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filterPrivacy="1" codeName="ThisWorkbook" defaultThemeVersion="124226"/>
  <xr:revisionPtr revIDLastSave="0" documentId="8_{04F6C5CB-AA80-4435-9772-241D37DA8334}" xr6:coauthVersionLast="47" xr6:coauthVersionMax="47" xr10:uidLastSave="{00000000-0000-0000-0000-000000000000}"/>
  <bookViews>
    <workbookView xWindow="57480" yWindow="-120" windowWidth="29040" windowHeight="15720" tabRatio="867" activeTab="1" xr2:uid="{00000000-000D-0000-FFFF-FFFF00000000}"/>
  </bookViews>
  <sheets>
    <sheet name="TOC" sheetId="1" r:id="rId1"/>
    <sheet name="FISC" sheetId="2" r:id="rId2"/>
    <sheet name="For Comparison" sheetId="19" r:id="rId3"/>
    <sheet name="NCUTI Table" sheetId="21" r:id="rId4"/>
    <sheet name="FISCinyear" sheetId="5" r:id="rId5"/>
    <sheet name="NET LENDING" sheetId="20" r:id="rId6"/>
    <sheet name="ERF Repaym(PSSF Inject)" sheetId="22" r:id="rId7"/>
    <sheet name="PRINCIPAL DOMDEBT" sheetId="18" state="hidden" r:id="rId8"/>
    <sheet name="RRA Tax " sheetId="15" r:id="rId9"/>
    <sheet name="Sheet1" sheetId="7" state="hidden" r:id="rId10"/>
    <sheet name="Sheet2" sheetId="8" state="hidden" r:id="rId11"/>
    <sheet name="Sheet4" sheetId="11" state="hidden" r:id="rId12"/>
    <sheet name="Sheet3" sheetId="14" state="hidden" r:id="rId13"/>
  </sheets>
  <externalReferences>
    <externalReference r:id="rId14"/>
    <externalReference r:id="rId15"/>
  </externalReferences>
  <definedNames>
    <definedName name="BNR_OTR_RecPyt_FISCinyear">FISCinyear!$DC$142:$EL$145</definedName>
    <definedName name="BOP_FISC">FISC!$I$243:$AT$252</definedName>
    <definedName name="BudgetFL_GFS1986">FISC!$D$1571:$AF$1630</definedName>
    <definedName name="DMO_DebDisb_FISCinyear">FISCinyear!$DC$5:$EL$33</definedName>
    <definedName name="DOMDEBT_FISC">FISC!$D$167:$AT$199</definedName>
    <definedName name="EXTDEBT_ALL">FISC!$I$110:$AT$163</definedName>
    <definedName name="EXTDEBT_PRINT">FISC!$D$109:$AT$163</definedName>
    <definedName name="EXTFIN_ALL">FISC!$I$57:$AT$107</definedName>
    <definedName name="EXTFIN_PRINT">FISC!$D$56:$AT$107</definedName>
    <definedName name="FISC_BOP">FISC!$I$1763:$AT$1767</definedName>
    <definedName name="FISC_MON">FISC!$I$1717:$AT$1753</definedName>
    <definedName name="FISC_REAL">FISC!$I$1635:$AT$1680</definedName>
    <definedName name="FISCAL_annual_DOMDEBT">FISC!$D$1771:$AT$1817</definedName>
    <definedName name="FISCAL_assumptions">FISC!$I$302:$AT$418</definedName>
    <definedName name="FISCAL_DEBT_OUTPUT">FISC!$D$1820:$AT$1828</definedName>
    <definedName name="FISCAL_inyear_DOMDEBT1415">FISCinyear!$D$1164:$EL$1228</definedName>
    <definedName name="FISCAL_inyear_DOMDEBTproj">FISCinyear!$EL$1164:$ID$1228</definedName>
    <definedName name="FISCAL_MON_PRINT">FISC!$D$1684:$AT$1757</definedName>
    <definedName name="FISCAL_OUTPUT">FISC!$D$942:$AT$1053</definedName>
    <definedName name="FISCAL_OUTPUT_progr_act">FISC!$D$1832:$AT$1868</definedName>
    <definedName name="FISCAL_PCI4_may2021">FISC!$D$1873:$AT$1894</definedName>
    <definedName name="FISCAL_Rwametric_Mdat">FISCinyear!$E$1231:$FV$1256</definedName>
    <definedName name="FISCAL_TOFE_inyear_201415">FISCinyear!$D$547:$DB$704</definedName>
    <definedName name="FISCAL_TOFE_inyear_201418">FISCinyear!$D$547:$IS$704</definedName>
    <definedName name="FISCAL1986_TOFE">FISC!$D$740:$AT$927</definedName>
    <definedName name="FISCAL2014_OUTPUT">FISC!$D$1393:$AT$1566</definedName>
    <definedName name="FISCAL2014_OUTPUT_inyear">FISCinyear!$D$1072:$DB$1098</definedName>
    <definedName name="FISCAL2014_TOFE">FISC!$D$1057:$AT$1366</definedName>
    <definedName name="FISCAL2014_TOFE_inyear">FISCinyear!$D$751:$DB$1041</definedName>
    <definedName name="GEE_ALL">FISC!$K$42:$AT$54</definedName>
    <definedName name="GEE_PRINT">FISC!$D$42:$AT$54</definedName>
    <definedName name="guidance_FISC">TOC!$A$2:$P$149</definedName>
    <definedName name="IFMIS_DEBT_FISCinyear">FISCinyear!$DC$311:$EL$322</definedName>
    <definedName name="IFMIS_Ex_FISCinyear">FISCinyear!$DC$291:$EL$296</definedName>
    <definedName name="IFMIS_EXP_Ord_FISCinyear">FISCinyear!$DC$246:$EL$261</definedName>
    <definedName name="IFMIS_EXP_Pyt_FISCinyear">FISCinyear!$DC$265:$EL$287</definedName>
    <definedName name="IFMIS_TaxExp_FISCinyear">FISCinyear!$DC$300:$EL$303</definedName>
    <definedName name="MON_MF">FISC!$I$255:$AT$289</definedName>
    <definedName name="MonSur_FISCinyear">FISCinyear!$DC$336:$EL$342</definedName>
    <definedName name="_xlnm.Print_Area" localSheetId="1">FISC!$D$1716:$AO$1753</definedName>
    <definedName name="_xlnm.Print_Area" localSheetId="4">FISCinyear!$D$547:$IS$704</definedName>
    <definedName name="_xlnm.Print_Area" localSheetId="2">'For Comparison'!$A$1:$AJ$111</definedName>
    <definedName name="_xlnm.Print_Area" localSheetId="3">'NCUTI Table'!$A$1:$O$201</definedName>
    <definedName name="_xlnm.Print_Titles" localSheetId="2">'For Comparison'!$A:$A,'For Comparison'!$1:$3</definedName>
    <definedName name="Privat_Rec_FISCinyear">FISCinyear!$DC$307:$EL$307</definedName>
    <definedName name="REAL_FISC">FISC!$I$291:$AT$299</definedName>
    <definedName name="REAL_MF">FISC!$I$205:$AT$239</definedName>
    <definedName name="RRA_tax_FISCinyear">FISCinyear!$DC$186:$EL$230</definedName>
    <definedName name="RRA_taxDECENTR_FISCinyear">FISCinyear!$DC$234:$EL$239</definedName>
    <definedName name="TAB_FISC_complete">FISC!$D$2:$AT$1767</definedName>
    <definedName name="TOC_guidance">TOC!$A$2:$O$149</definedName>
    <definedName name="TreBNR_DomDeb_FISCinyear">FISCinyear!$DC$80:$EL$124</definedName>
    <definedName name="TreBNR_ExtDeb_FISCinyear">FISCinyear!$DC$37:$EL$76</definedName>
    <definedName name="WEO_ALL">FISC!$I$7:$AT$37</definedName>
    <definedName name="WEO_PRINT">FISC!$D$7:$AT$37</definedName>
  </definedNames>
  <calcPr calcId="191029"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O1183" i="2" l="1"/>
  <c r="AO1182" i="2"/>
  <c r="AO1181" i="2"/>
  <c r="AO1180" i="2"/>
  <c r="AO1179" i="2"/>
  <c r="AO1178" i="2"/>
  <c r="AO1177" i="2"/>
  <c r="AO1176" i="2"/>
  <c r="AO1175" i="2"/>
  <c r="AO1174" i="2"/>
  <c r="AO1173" i="2"/>
  <c r="AO1172" i="2"/>
  <c r="AO1171" i="2"/>
  <c r="AN1183" i="2"/>
  <c r="AN1182" i="2"/>
  <c r="AN1181" i="2"/>
  <c r="AN1180" i="2"/>
  <c r="AN1179" i="2"/>
  <c r="AN1178" i="2"/>
  <c r="AN1177" i="2"/>
  <c r="AN1176" i="2"/>
  <c r="AN1175" i="2"/>
  <c r="AN1174" i="2"/>
  <c r="AN1173" i="2"/>
  <c r="AN1172" i="2"/>
  <c r="AN1171" i="2"/>
  <c r="AP1183" i="2"/>
  <c r="AP1182" i="2"/>
  <c r="AP1181" i="2"/>
  <c r="AP1180" i="2"/>
  <c r="AP1179" i="2"/>
  <c r="AP1178" i="2"/>
  <c r="AP1177" i="2"/>
  <c r="AP1176" i="2"/>
  <c r="AP1175" i="2"/>
  <c r="AP1174" i="2"/>
  <c r="AP1173" i="2"/>
  <c r="AP1172" i="2"/>
  <c r="AP1171" i="2"/>
  <c r="AP1170" i="2"/>
  <c r="AX1162" i="2"/>
  <c r="AX1161" i="2"/>
  <c r="AZ1160" i="2"/>
  <c r="BA1160" i="2"/>
  <c r="BB1160" i="2"/>
  <c r="BC1160" i="2"/>
  <c r="AY1160" i="2"/>
  <c r="AX1160" i="2"/>
  <c r="BC1159" i="2"/>
  <c r="AY1159" i="2"/>
  <c r="AZ1159" i="2"/>
  <c r="BA1159" i="2"/>
  <c r="BB1159" i="2"/>
  <c r="AX1159" i="2"/>
  <c r="AX1080" i="2" l="1"/>
  <c r="AY1080" i="2"/>
  <c r="AX1081" i="2"/>
  <c r="AY1081" i="2"/>
  <c r="AX1082" i="2"/>
  <c r="AY1082" i="2"/>
  <c r="T59" i="21" l="1"/>
  <c r="U59" i="21" s="1"/>
  <c r="V59" i="21" s="1"/>
  <c r="W59" i="21" s="1"/>
  <c r="X59" i="21" s="1"/>
  <c r="AL697" i="2"/>
  <c r="JO878" i="5"/>
  <c r="JO877" i="5"/>
  <c r="JO885" i="5"/>
  <c r="JO890" i="5"/>
  <c r="JO891" i="5"/>
  <c r="JO903" i="5"/>
  <c r="JO886" i="5"/>
  <c r="JO887" i="5"/>
  <c r="JO888" i="5"/>
  <c r="JO889" i="5"/>
  <c r="JO894" i="5"/>
  <c r="AC26" i="19" l="1"/>
  <c r="BM76" i="19" l="1"/>
  <c r="BM55" i="19"/>
  <c r="BM53" i="19"/>
  <c r="BM51" i="19"/>
  <c r="BM50" i="19"/>
  <c r="BM49" i="19"/>
  <c r="BM48" i="19"/>
  <c r="BM47" i="19"/>
  <c r="BM46" i="19"/>
  <c r="BM45" i="19"/>
  <c r="BM33" i="19"/>
  <c r="BM30" i="19"/>
  <c r="BM26" i="19"/>
  <c r="BM25" i="19"/>
  <c r="BL111" i="19"/>
  <c r="BM111" i="19" s="1"/>
  <c r="BL109" i="19"/>
  <c r="BM109" i="19" s="1"/>
  <c r="BL108" i="19"/>
  <c r="BM108" i="19" s="1"/>
  <c r="BL96" i="19"/>
  <c r="BM96" i="19" s="1"/>
  <c r="BL93" i="19"/>
  <c r="BM93" i="19" s="1"/>
  <c r="BL81" i="19"/>
  <c r="BM81" i="19" s="1"/>
  <c r="BL78" i="19"/>
  <c r="BM78" i="19" s="1"/>
  <c r="BL77" i="19"/>
  <c r="BM77" i="19" s="1"/>
  <c r="BL75" i="19"/>
  <c r="BM75" i="19" s="1"/>
  <c r="BL74" i="19"/>
  <c r="BM74" i="19" s="1"/>
  <c r="BL72" i="19"/>
  <c r="BM72" i="19" s="1"/>
  <c r="BL71" i="19"/>
  <c r="BM71" i="19" s="1"/>
  <c r="BL70" i="19"/>
  <c r="BM70" i="19" s="1"/>
  <c r="BL57" i="19"/>
  <c r="BL56" i="19"/>
  <c r="BL54" i="19"/>
  <c r="BL52" i="19"/>
  <c r="BM52" i="19" s="1"/>
  <c r="BL51" i="19"/>
  <c r="BL50" i="19"/>
  <c r="BL49" i="19"/>
  <c r="BL47" i="19"/>
  <c r="BL46" i="19"/>
  <c r="BL45" i="19"/>
  <c r="BL44" i="19"/>
  <c r="BM44" i="19" s="1"/>
  <c r="BL43" i="19"/>
  <c r="BM43" i="19" s="1"/>
  <c r="BL42" i="19"/>
  <c r="BM42" i="19" s="1"/>
  <c r="BL37" i="19"/>
  <c r="BM37" i="19" s="1"/>
  <c r="BL36" i="19"/>
  <c r="BM36" i="19" s="1"/>
  <c r="BL35" i="19"/>
  <c r="BM35" i="19" s="1"/>
  <c r="BL34" i="19"/>
  <c r="BM34" i="19" s="1"/>
  <c r="BL33" i="19"/>
  <c r="BL32" i="19"/>
  <c r="BL31" i="19"/>
  <c r="BM31" i="19" s="1"/>
  <c r="BL25" i="19"/>
  <c r="BL22" i="19"/>
  <c r="BM22" i="19" s="1"/>
  <c r="BL21" i="19"/>
  <c r="BL28" i="19" s="1"/>
  <c r="BM28" i="19" s="1"/>
  <c r="BL20" i="19"/>
  <c r="BL19" i="19"/>
  <c r="BL18" i="19"/>
  <c r="BL9" i="19"/>
  <c r="BM9" i="19" s="1"/>
  <c r="BL7" i="19"/>
  <c r="BM7" i="19" s="1"/>
  <c r="BL95" i="19"/>
  <c r="BM95" i="19" s="1"/>
  <c r="BL94" i="19"/>
  <c r="BM94" i="19" s="1"/>
  <c r="BM18" i="19" l="1"/>
  <c r="BM21" i="19"/>
  <c r="BM19" i="19"/>
  <c r="BM79" i="19"/>
  <c r="BM20" i="19"/>
  <c r="BM23" i="19"/>
  <c r="BM86" i="19"/>
  <c r="BM32" i="19"/>
  <c r="BM54" i="19"/>
  <c r="BM64" i="19"/>
  <c r="BM57" i="19"/>
  <c r="BM107" i="19"/>
  <c r="BM58" i="19"/>
  <c r="BM56" i="19"/>
  <c r="BL80" i="19"/>
  <c r="BM80" i="19" s="1"/>
  <c r="AL1055" i="2" l="1"/>
  <c r="R16" i="21" l="1"/>
  <c r="Q107" i="21"/>
  <c r="P107" i="21"/>
  <c r="T107" i="21"/>
  <c r="S107" i="21"/>
  <c r="U107" i="21" s="1"/>
  <c r="U16" i="21"/>
  <c r="W119" i="21"/>
  <c r="V119" i="21"/>
  <c r="T119" i="21"/>
  <c r="U119" i="21" s="1"/>
  <c r="Q119" i="21"/>
  <c r="R119" i="21" s="1"/>
  <c r="AL1301" i="2"/>
  <c r="AM1301" i="2"/>
  <c r="AN1301" i="2"/>
  <c r="AO1301" i="2"/>
  <c r="AP1301" i="2"/>
  <c r="AK1301" i="2"/>
  <c r="R107" i="21" l="1"/>
  <c r="W118" i="21"/>
  <c r="V118" i="21"/>
  <c r="T118" i="21"/>
  <c r="S33" i="21"/>
  <c r="AO1302" i="2" l="1"/>
  <c r="AN1302" i="2"/>
  <c r="AM1302" i="2"/>
  <c r="AL1302" i="2"/>
  <c r="AK1302" i="2"/>
  <c r="AK1296" i="2"/>
  <c r="AL709" i="2"/>
  <c r="AM709" i="2"/>
  <c r="AN709" i="2"/>
  <c r="AO709" i="2"/>
  <c r="AP709" i="2"/>
  <c r="AK709" i="2"/>
  <c r="AK1298" i="2" s="1"/>
  <c r="K28" i="22"/>
  <c r="K29" i="22" s="1"/>
  <c r="AC25" i="22"/>
  <c r="AB25" i="22"/>
  <c r="AA25" i="22"/>
  <c r="Z25" i="22"/>
  <c r="Y25" i="22"/>
  <c r="X25" i="22"/>
  <c r="K25" i="22"/>
  <c r="AC20" i="22"/>
  <c r="AB20" i="22"/>
  <c r="AA20" i="22"/>
  <c r="Z20" i="22"/>
  <c r="Y20" i="22"/>
  <c r="X20" i="22"/>
  <c r="W20" i="22"/>
  <c r="V20" i="22"/>
  <c r="U20" i="22"/>
  <c r="T20" i="22"/>
  <c r="S20" i="22"/>
  <c r="R20" i="22"/>
  <c r="Q20" i="22"/>
  <c r="P20" i="22"/>
  <c r="O20" i="22"/>
  <c r="N20" i="22"/>
  <c r="M20" i="22"/>
  <c r="L20" i="22"/>
  <c r="K20" i="22"/>
  <c r="J20" i="22"/>
  <c r="I20" i="22"/>
  <c r="H20" i="22"/>
  <c r="G20" i="22"/>
  <c r="F20" i="22"/>
  <c r="E20" i="22"/>
  <c r="L19" i="22"/>
  <c r="K19" i="22"/>
  <c r="J19" i="22"/>
  <c r="I19" i="22"/>
  <c r="H19" i="22"/>
  <c r="G19" i="22"/>
  <c r="F19" i="22"/>
  <c r="E19" i="22"/>
  <c r="AC18" i="22"/>
  <c r="AB18" i="22"/>
  <c r="AA18" i="22"/>
  <c r="Z18" i="22"/>
  <c r="Y18" i="22"/>
  <c r="X18" i="22"/>
  <c r="W18" i="22"/>
  <c r="W25" i="22" s="1"/>
  <c r="V18" i="22"/>
  <c r="V25" i="22" s="1"/>
  <c r="U18" i="22"/>
  <c r="U25" i="22" s="1"/>
  <c r="T18" i="22"/>
  <c r="T25" i="22" s="1"/>
  <c r="S18" i="22"/>
  <c r="S25" i="22" s="1"/>
  <c r="R18" i="22"/>
  <c r="R25" i="22" s="1"/>
  <c r="Q18" i="22"/>
  <c r="Q25" i="22" s="1"/>
  <c r="P18" i="22"/>
  <c r="P25" i="22" s="1"/>
  <c r="Q28" i="22" s="1"/>
  <c r="Q29" i="22" s="1"/>
  <c r="O18" i="22"/>
  <c r="O25" i="22" s="1"/>
  <c r="P28" i="22" s="1"/>
  <c r="P29" i="22" s="1"/>
  <c r="N18" i="22"/>
  <c r="N25" i="22" s="1"/>
  <c r="O28" i="22" s="1"/>
  <c r="O29" i="22" s="1"/>
  <c r="M18" i="22"/>
  <c r="M25" i="22" s="1"/>
  <c r="N28" i="22" s="1"/>
  <c r="N29" i="22" s="1"/>
  <c r="L18" i="22"/>
  <c r="L25" i="22" s="1"/>
  <c r="M28" i="22" s="1"/>
  <c r="M29" i="22" s="1"/>
  <c r="K18" i="22"/>
  <c r="J18" i="22"/>
  <c r="I18" i="22"/>
  <c r="H18" i="22"/>
  <c r="G18" i="22"/>
  <c r="F18" i="22"/>
  <c r="E18" i="22"/>
  <c r="L14" i="22"/>
  <c r="M14" i="22" s="1"/>
  <c r="N14" i="22" s="1"/>
  <c r="O14" i="22" s="1"/>
  <c r="P14" i="22" s="1"/>
  <c r="Q14" i="22" s="1"/>
  <c r="R14" i="22" s="1"/>
  <c r="S14" i="22" s="1"/>
  <c r="T14" i="22" s="1"/>
  <c r="U14" i="22" s="1"/>
  <c r="V14" i="22" s="1"/>
  <c r="W14" i="22" s="1"/>
  <c r="X14" i="22" s="1"/>
  <c r="Y14" i="22" s="1"/>
  <c r="Z14" i="22" s="1"/>
  <c r="AA14" i="22" s="1"/>
  <c r="AB14" i="22" s="1"/>
  <c r="AC14" i="22" s="1"/>
  <c r="L11" i="22"/>
  <c r="M11" i="22" s="1"/>
  <c r="AO1297" i="2" l="1"/>
  <c r="AO1298" i="2"/>
  <c r="AM1297" i="2"/>
  <c r="AM1295" i="2" s="1"/>
  <c r="AM1298" i="2"/>
  <c r="AL1297" i="2"/>
  <c r="AL1298" i="2"/>
  <c r="AP1297" i="2"/>
  <c r="AP1298" i="2"/>
  <c r="AN1297" i="2"/>
  <c r="AN1298" i="2"/>
  <c r="AK1297" i="2"/>
  <c r="AK1295" i="2" s="1"/>
  <c r="W35" i="21"/>
  <c r="V35" i="21"/>
  <c r="N11" i="22"/>
  <c r="M19" i="22"/>
  <c r="L28" i="22"/>
  <c r="L29" i="22" s="1"/>
  <c r="AP1295" i="2" l="1"/>
  <c r="AL1295" i="2"/>
  <c r="AN1295" i="2"/>
  <c r="T35" i="21"/>
  <c r="AO1295" i="2"/>
  <c r="O11" i="22"/>
  <c r="N19" i="22"/>
  <c r="O19" i="22" l="1"/>
  <c r="P11" i="22"/>
  <c r="P19" i="22" l="1"/>
  <c r="Q11" i="22"/>
  <c r="Q19" i="22" l="1"/>
  <c r="R11" i="22"/>
  <c r="R19" i="22" l="1"/>
  <c r="S11" i="22"/>
  <c r="S19" i="22" l="1"/>
  <c r="T11" i="22"/>
  <c r="T19" i="22" l="1"/>
  <c r="U11" i="22"/>
  <c r="U19" i="22" l="1"/>
  <c r="V11" i="22"/>
  <c r="V19" i="22" l="1"/>
  <c r="W11" i="22"/>
  <c r="W19" i="22" l="1"/>
  <c r="X11" i="22"/>
  <c r="X19" i="22" l="1"/>
  <c r="Y11" i="22"/>
  <c r="Y19" i="22" l="1"/>
  <c r="Z11" i="22"/>
  <c r="Z19" i="22" l="1"/>
  <c r="AA11" i="22"/>
  <c r="AA19" i="22" l="1"/>
  <c r="AB11" i="22"/>
  <c r="AC11" i="22" l="1"/>
  <c r="AC19" i="22" s="1"/>
  <c r="AB19" i="22"/>
  <c r="AP1193" i="2" l="1"/>
  <c r="AL703" i="2" l="1"/>
  <c r="AL1193" i="2" s="1"/>
  <c r="AM703" i="2"/>
  <c r="AM1193" i="2" s="1"/>
  <c r="AN703" i="2"/>
  <c r="AN1193" i="2" s="1"/>
  <c r="AO703" i="2"/>
  <c r="AO1193" i="2" s="1"/>
  <c r="AK703" i="2"/>
  <c r="AK1193" i="2" s="1"/>
  <c r="AK697" i="2"/>
  <c r="AL1189" i="2" l="1"/>
  <c r="AM1189" i="2"/>
  <c r="AN1189" i="2"/>
  <c r="AO1189" i="2"/>
  <c r="AP1189" i="2"/>
  <c r="AK1189" i="2"/>
  <c r="AF35" i="19"/>
  <c r="AO35" i="19"/>
  <c r="AX35" i="19"/>
  <c r="BG35" i="19"/>
  <c r="AM697" i="2" l="1"/>
  <c r="AV697" i="2" l="1"/>
  <c r="T208" i="21" l="1"/>
  <c r="T205" i="21" s="1"/>
  <c r="T206" i="21" l="1"/>
  <c r="T207" i="21" s="1"/>
  <c r="BB10" i="20"/>
  <c r="AY10" i="20"/>
  <c r="AV10" i="20"/>
  <c r="AS10" i="20"/>
  <c r="AP10" i="20"/>
  <c r="AM10" i="20"/>
  <c r="AJ10" i="20"/>
  <c r="AG10" i="20"/>
  <c r="AD10" i="20"/>
  <c r="AA10" i="20"/>
  <c r="BB12" i="20"/>
  <c r="AY12" i="20"/>
  <c r="AV12" i="20"/>
  <c r="AS12" i="20"/>
  <c r="AP12" i="20"/>
  <c r="AM12" i="20"/>
  <c r="AJ12" i="20"/>
  <c r="AG12" i="20"/>
  <c r="AD12" i="20"/>
  <c r="AA12" i="20"/>
  <c r="AY23" i="20"/>
  <c r="AV23" i="20"/>
  <c r="AS23" i="20"/>
  <c r="AP23" i="20"/>
  <c r="AM23" i="20"/>
  <c r="AJ23" i="20"/>
  <c r="AG23" i="20"/>
  <c r="AD23" i="20"/>
  <c r="AA23" i="20"/>
  <c r="AA18" i="20"/>
  <c r="AA17" i="20"/>
  <c r="AY16" i="20"/>
  <c r="AV16" i="20"/>
  <c r="AS16" i="20"/>
  <c r="AP16" i="20"/>
  <c r="AM16" i="20"/>
  <c r="AJ16" i="20"/>
  <c r="AG16" i="20"/>
  <c r="AD16" i="20"/>
  <c r="AA16" i="20"/>
  <c r="AL437" i="2"/>
  <c r="T201" i="21" l="1"/>
  <c r="R195" i="21"/>
  <c r="R191" i="21"/>
  <c r="R182" i="21"/>
  <c r="R181" i="21"/>
  <c r="R180" i="21"/>
  <c r="R179" i="21"/>
  <c r="R178" i="21"/>
  <c r="R177" i="21"/>
  <c r="R176" i="21"/>
  <c r="R175" i="21"/>
  <c r="R174" i="21"/>
  <c r="R173" i="21"/>
  <c r="R172" i="21"/>
  <c r="R171" i="21"/>
  <c r="R170" i="21"/>
  <c r="R169" i="21"/>
  <c r="R168" i="21"/>
  <c r="R167" i="21"/>
  <c r="R166" i="21"/>
  <c r="R165" i="21"/>
  <c r="R164" i="21"/>
  <c r="R163" i="21"/>
  <c r="R162" i="21"/>
  <c r="R161" i="21"/>
  <c r="R160" i="21"/>
  <c r="R159" i="21"/>
  <c r="R158" i="21"/>
  <c r="R157" i="21"/>
  <c r="R156" i="21"/>
  <c r="R155" i="21"/>
  <c r="R154" i="21"/>
  <c r="R153" i="21"/>
  <c r="R152" i="21"/>
  <c r="R151" i="21"/>
  <c r="R150" i="21"/>
  <c r="R149" i="21"/>
  <c r="R148" i="21"/>
  <c r="R147" i="21"/>
  <c r="R146" i="21"/>
  <c r="R145" i="21"/>
  <c r="R144" i="21"/>
  <c r="R143" i="21"/>
  <c r="R142" i="21"/>
  <c r="R141" i="21"/>
  <c r="R140" i="21"/>
  <c r="R139" i="21"/>
  <c r="R138" i="21"/>
  <c r="R137" i="21"/>
  <c r="R136" i="21"/>
  <c r="R135" i="21"/>
  <c r="R134" i="21"/>
  <c r="R133" i="21"/>
  <c r="R132" i="21"/>
  <c r="R131" i="21"/>
  <c r="R130" i="21"/>
  <c r="R129" i="21"/>
  <c r="R128" i="21"/>
  <c r="R127" i="21"/>
  <c r="R126" i="21"/>
  <c r="R125" i="21"/>
  <c r="R124" i="21"/>
  <c r="R122" i="21"/>
  <c r="R117" i="21"/>
  <c r="R106" i="21"/>
  <c r="R105" i="21"/>
  <c r="R104" i="21"/>
  <c r="R103" i="21"/>
  <c r="R73" i="21"/>
  <c r="R72" i="21"/>
  <c r="R69" i="21"/>
  <c r="R63" i="21"/>
  <c r="R59" i="21"/>
  <c r="R56" i="21"/>
  <c r="R55" i="21"/>
  <c r="R54" i="21"/>
  <c r="R53" i="21"/>
  <c r="R52" i="21"/>
  <c r="R46" i="21"/>
  <c r="R45" i="21"/>
  <c r="R44" i="21"/>
  <c r="R35" i="21"/>
  <c r="R28" i="21"/>
  <c r="R27" i="21"/>
  <c r="R26" i="21"/>
  <c r="R25" i="21"/>
  <c r="R24" i="21"/>
  <c r="R15" i="21"/>
  <c r="T30" i="21"/>
  <c r="T37" i="21"/>
  <c r="T38" i="21"/>
  <c r="T51" i="21"/>
  <c r="T68" i="21"/>
  <c r="T84" i="21"/>
  <c r="T94" i="21"/>
  <c r="T102" i="21"/>
  <c r="T108" i="21"/>
  <c r="T112" i="21" l="1"/>
  <c r="AM1142" i="2" l="1"/>
  <c r="AN1142" i="2" s="1"/>
  <c r="AO1142" i="2" s="1"/>
  <c r="AM1147" i="2"/>
  <c r="AN1147" i="2" s="1"/>
  <c r="AO1147" i="2" s="1"/>
  <c r="AO1170" i="2" l="1"/>
  <c r="AN1170" i="2"/>
  <c r="AM1181" i="2"/>
  <c r="AL1181" i="2"/>
  <c r="AK1181" i="2"/>
  <c r="AY21" i="20"/>
  <c r="AV21" i="20"/>
  <c r="AS21" i="20"/>
  <c r="AP21" i="20"/>
  <c r="AM21" i="20"/>
  <c r="AJ21" i="20"/>
  <c r="AG21" i="20"/>
  <c r="AD21" i="20"/>
  <c r="AA21" i="20"/>
  <c r="AY20" i="20"/>
  <c r="AV20" i="20"/>
  <c r="AS20" i="20"/>
  <c r="AP20" i="20"/>
  <c r="AM20" i="20"/>
  <c r="AJ20" i="20"/>
  <c r="AG20" i="20"/>
  <c r="AD20" i="20"/>
  <c r="AA20" i="20"/>
  <c r="AY18" i="20"/>
  <c r="AV18" i="20"/>
  <c r="AS18" i="20"/>
  <c r="AP18" i="20"/>
  <c r="AM18" i="20"/>
  <c r="AJ18" i="20"/>
  <c r="AG18" i="20"/>
  <c r="AD18" i="20"/>
  <c r="AY17" i="20"/>
  <c r="AV17" i="20"/>
  <c r="AS17" i="20"/>
  <c r="AP17" i="20"/>
  <c r="AM17" i="20"/>
  <c r="AJ17" i="20"/>
  <c r="AG17" i="20"/>
  <c r="AD17" i="20"/>
  <c r="AY13" i="20"/>
  <c r="AV13" i="20"/>
  <c r="AS13" i="20"/>
  <c r="AP13" i="20"/>
  <c r="AM13" i="20"/>
  <c r="AJ13" i="20"/>
  <c r="AG13" i="20"/>
  <c r="AD13" i="20"/>
  <c r="AA13" i="20"/>
  <c r="AY9" i="20"/>
  <c r="AV9" i="20"/>
  <c r="AS9" i="20"/>
  <c r="AP9" i="20"/>
  <c r="AM9" i="20"/>
  <c r="AJ9" i="20"/>
  <c r="AG9" i="20"/>
  <c r="AD9" i="20"/>
  <c r="AA9" i="20"/>
  <c r="AY8" i="20"/>
  <c r="AV8" i="20"/>
  <c r="AS8" i="20"/>
  <c r="AP8" i="20"/>
  <c r="AM8" i="20"/>
  <c r="AD8" i="20"/>
  <c r="AA8" i="20"/>
  <c r="AY7" i="20"/>
  <c r="AV7" i="20"/>
  <c r="AS7" i="20"/>
  <c r="AP7" i="20"/>
  <c r="AM7" i="20"/>
  <c r="AJ7" i="20"/>
  <c r="AG7" i="20"/>
  <c r="AD7" i="20"/>
  <c r="AA7" i="20"/>
  <c r="AY6" i="20"/>
  <c r="AV6" i="20"/>
  <c r="AS6" i="20"/>
  <c r="AP6" i="20"/>
  <c r="AM6" i="20"/>
  <c r="AJ6" i="20"/>
  <c r="AG6" i="20"/>
  <c r="AD6" i="20"/>
  <c r="AA6" i="20"/>
  <c r="X23" i="20"/>
  <c r="X21" i="20"/>
  <c r="X20" i="20"/>
  <c r="X18" i="20"/>
  <c r="X17" i="20"/>
  <c r="X16" i="20"/>
  <c r="X13" i="20"/>
  <c r="X12" i="20"/>
  <c r="X10" i="20"/>
  <c r="X9" i="20"/>
  <c r="X8" i="20"/>
  <c r="X7" i="20"/>
  <c r="X6" i="20"/>
  <c r="AH423" i="2" l="1"/>
  <c r="S49" i="21"/>
  <c r="W10" i="21"/>
  <c r="W14" i="21"/>
  <c r="W23" i="21"/>
  <c r="W30" i="21"/>
  <c r="W37" i="21"/>
  <c r="W38" i="21"/>
  <c r="W51" i="21"/>
  <c r="W75" i="21"/>
  <c r="W84" i="21"/>
  <c r="W108" i="21"/>
  <c r="V108" i="21"/>
  <c r="V84" i="21"/>
  <c r="V51" i="21"/>
  <c r="V38" i="21"/>
  <c r="V37" i="21"/>
  <c r="V30" i="21"/>
  <c r="V23" i="21"/>
  <c r="T23" i="21"/>
  <c r="U23" i="21" s="1"/>
  <c r="V14" i="21"/>
  <c r="V13" i="21"/>
  <c r="V10" i="21"/>
  <c r="U25" i="21"/>
  <c r="U26" i="21"/>
  <c r="U27" i="21"/>
  <c r="U28" i="21"/>
  <c r="U51" i="21"/>
  <c r="U37" i="21"/>
  <c r="U30" i="21"/>
  <c r="T14" i="21"/>
  <c r="U14" i="21" s="1"/>
  <c r="T13" i="21"/>
  <c r="U13" i="21" s="1"/>
  <c r="T10" i="21"/>
  <c r="U106" i="21"/>
  <c r="U105" i="21"/>
  <c r="U104" i="21"/>
  <c r="U103" i="21"/>
  <c r="U84" i="21"/>
  <c r="U80" i="21"/>
  <c r="U73" i="21"/>
  <c r="U72" i="21"/>
  <c r="U69" i="21"/>
  <c r="U63" i="21"/>
  <c r="U57" i="21"/>
  <c r="U56" i="21"/>
  <c r="U55" i="21"/>
  <c r="U54" i="21"/>
  <c r="U53" i="21"/>
  <c r="U52" i="21"/>
  <c r="U46" i="21"/>
  <c r="U45" i="21"/>
  <c r="U44" i="21"/>
  <c r="U35" i="21"/>
  <c r="U24" i="21"/>
  <c r="U15" i="21"/>
  <c r="U11" i="21"/>
  <c r="S47" i="21"/>
  <c r="S42" i="21"/>
  <c r="S39" i="21" s="1"/>
  <c r="Q108" i="21"/>
  <c r="R108" i="21" s="1"/>
  <c r="P100" i="21"/>
  <c r="Q51" i="21"/>
  <c r="R51" i="21" s="1"/>
  <c r="R201" i="21"/>
  <c r="R200" i="21"/>
  <c r="R199" i="21"/>
  <c r="R198" i="21"/>
  <c r="R197" i="21"/>
  <c r="P39" i="21"/>
  <c r="Q37" i="21"/>
  <c r="R37" i="21" s="1"/>
  <c r="Q32" i="21"/>
  <c r="R32" i="21" s="1"/>
  <c r="Q30" i="21"/>
  <c r="R30" i="21" s="1"/>
  <c r="Q14" i="21"/>
  <c r="R14" i="21" s="1"/>
  <c r="Q13" i="21"/>
  <c r="R13" i="21" s="1"/>
  <c r="Q10" i="21"/>
  <c r="R10" i="21" s="1"/>
  <c r="W208" i="21"/>
  <c r="V208" i="21"/>
  <c r="S208" i="21"/>
  <c r="S205" i="21" s="1"/>
  <c r="S68" i="21" s="1"/>
  <c r="U68" i="21" s="1"/>
  <c r="I207" i="21"/>
  <c r="I206" i="21"/>
  <c r="I205" i="21"/>
  <c r="I208" i="21" s="1"/>
  <c r="V201" i="21"/>
  <c r="S201" i="21"/>
  <c r="I200" i="21"/>
  <c r="I199" i="21"/>
  <c r="O198" i="21"/>
  <c r="I198" i="21"/>
  <c r="I201" i="21" s="1"/>
  <c r="I185" i="21"/>
  <c r="I187" i="21" s="1"/>
  <c r="I188" i="21" s="1"/>
  <c r="I189" i="21" s="1"/>
  <c r="K183" i="21"/>
  <c r="M182" i="21"/>
  <c r="K182" i="21"/>
  <c r="E182" i="21"/>
  <c r="M181" i="21"/>
  <c r="K181" i="21"/>
  <c r="E181" i="21"/>
  <c r="M180" i="21"/>
  <c r="K180" i="21"/>
  <c r="E180" i="21"/>
  <c r="M179" i="21"/>
  <c r="K179" i="21"/>
  <c r="E179" i="21"/>
  <c r="M178" i="21"/>
  <c r="K178" i="21"/>
  <c r="E178" i="21"/>
  <c r="M177" i="21"/>
  <c r="K177" i="21"/>
  <c r="E177" i="21"/>
  <c r="M176" i="21"/>
  <c r="K176" i="21"/>
  <c r="E176" i="21"/>
  <c r="M175" i="21"/>
  <c r="K175" i="21"/>
  <c r="E175" i="21"/>
  <c r="M174" i="21"/>
  <c r="K174" i="21"/>
  <c r="E174" i="21"/>
  <c r="M173" i="21"/>
  <c r="K173" i="21"/>
  <c r="E173" i="21"/>
  <c r="M172" i="21"/>
  <c r="K172" i="21"/>
  <c r="E172" i="21"/>
  <c r="M171" i="21"/>
  <c r="K171" i="21"/>
  <c r="E171" i="21"/>
  <c r="M170" i="21"/>
  <c r="K170" i="21"/>
  <c r="E170" i="21"/>
  <c r="M169" i="21"/>
  <c r="K169" i="21"/>
  <c r="E169" i="21"/>
  <c r="M168" i="21"/>
  <c r="K168" i="21"/>
  <c r="E168" i="21"/>
  <c r="M167" i="21"/>
  <c r="K167" i="21"/>
  <c r="E167" i="21"/>
  <c r="M166" i="21"/>
  <c r="K166" i="21"/>
  <c r="E166" i="21"/>
  <c r="M165" i="21"/>
  <c r="K165" i="21"/>
  <c r="E165" i="21"/>
  <c r="M164" i="21"/>
  <c r="K164" i="21"/>
  <c r="E164" i="21"/>
  <c r="M163" i="21"/>
  <c r="K163" i="21"/>
  <c r="E163" i="21"/>
  <c r="M162" i="21"/>
  <c r="K162" i="21"/>
  <c r="E162" i="21"/>
  <c r="M161" i="21"/>
  <c r="K161" i="21"/>
  <c r="E161" i="21"/>
  <c r="M160" i="21"/>
  <c r="K160" i="21"/>
  <c r="E160" i="21"/>
  <c r="M159" i="21"/>
  <c r="K159" i="21"/>
  <c r="E159" i="21"/>
  <c r="M158" i="21"/>
  <c r="K158" i="21"/>
  <c r="E158" i="21"/>
  <c r="M157" i="21"/>
  <c r="K157" i="21"/>
  <c r="E157" i="21"/>
  <c r="M156" i="21"/>
  <c r="K156" i="21"/>
  <c r="E156" i="21"/>
  <c r="M155" i="21"/>
  <c r="K155" i="21"/>
  <c r="E155" i="21"/>
  <c r="M154" i="21"/>
  <c r="K154" i="21"/>
  <c r="E154" i="21"/>
  <c r="M153" i="21"/>
  <c r="K153" i="21"/>
  <c r="E153" i="21"/>
  <c r="M152" i="21"/>
  <c r="K152" i="21"/>
  <c r="E152" i="21"/>
  <c r="M151" i="21"/>
  <c r="K151" i="21"/>
  <c r="E151" i="21"/>
  <c r="M150" i="21"/>
  <c r="K150" i="21"/>
  <c r="E150" i="21"/>
  <c r="M149" i="21"/>
  <c r="K149" i="21"/>
  <c r="E149" i="21"/>
  <c r="M148" i="21"/>
  <c r="K148" i="21"/>
  <c r="E148" i="21"/>
  <c r="M147" i="21"/>
  <c r="K147" i="21"/>
  <c r="E147" i="21"/>
  <c r="M146" i="21"/>
  <c r="K146" i="21"/>
  <c r="E146" i="21"/>
  <c r="M145" i="21"/>
  <c r="K145" i="21"/>
  <c r="E145" i="21"/>
  <c r="M144" i="21"/>
  <c r="K144" i="21"/>
  <c r="E144" i="21"/>
  <c r="M143" i="21"/>
  <c r="K143" i="21"/>
  <c r="E143" i="21"/>
  <c r="M142" i="21"/>
  <c r="K142" i="21"/>
  <c r="E142" i="21"/>
  <c r="M141" i="21"/>
  <c r="K141" i="21"/>
  <c r="E141" i="21"/>
  <c r="M140" i="21"/>
  <c r="K140" i="21"/>
  <c r="E140" i="21"/>
  <c r="M139" i="21"/>
  <c r="K139" i="21"/>
  <c r="E139" i="21"/>
  <c r="M138" i="21"/>
  <c r="K138" i="21"/>
  <c r="E138" i="21"/>
  <c r="M137" i="21"/>
  <c r="K137" i="21"/>
  <c r="E137" i="21"/>
  <c r="M136" i="21"/>
  <c r="K136" i="21"/>
  <c r="E136" i="21"/>
  <c r="M135" i="21"/>
  <c r="K135" i="21"/>
  <c r="E135" i="21"/>
  <c r="M134" i="21"/>
  <c r="K134" i="21"/>
  <c r="E134" i="21"/>
  <c r="M133" i="21"/>
  <c r="K133" i="21"/>
  <c r="E133" i="21"/>
  <c r="M132" i="21"/>
  <c r="K132" i="21"/>
  <c r="E132" i="21"/>
  <c r="M131" i="21"/>
  <c r="K131" i="21"/>
  <c r="E131" i="21"/>
  <c r="M130" i="21"/>
  <c r="K130" i="21"/>
  <c r="E130" i="21"/>
  <c r="M129" i="21"/>
  <c r="K129" i="21"/>
  <c r="E129" i="21"/>
  <c r="M128" i="21"/>
  <c r="K128" i="21"/>
  <c r="E128" i="21"/>
  <c r="M127" i="21"/>
  <c r="K127" i="21"/>
  <c r="E127" i="21"/>
  <c r="M126" i="21"/>
  <c r="K126" i="21"/>
  <c r="E126" i="21"/>
  <c r="M125" i="21"/>
  <c r="K125" i="21"/>
  <c r="E125" i="21"/>
  <c r="M124" i="21"/>
  <c r="K124" i="21"/>
  <c r="E124" i="21"/>
  <c r="K123" i="21"/>
  <c r="H123" i="21"/>
  <c r="M122" i="21"/>
  <c r="K122" i="21"/>
  <c r="E122" i="21"/>
  <c r="M121" i="21"/>
  <c r="K121" i="21"/>
  <c r="H121" i="21"/>
  <c r="E121" i="21"/>
  <c r="M120" i="21"/>
  <c r="K120" i="21"/>
  <c r="H120" i="21"/>
  <c r="E120" i="21"/>
  <c r="M118" i="21"/>
  <c r="K118" i="21"/>
  <c r="H118" i="21"/>
  <c r="E118" i="21"/>
  <c r="M117" i="21"/>
  <c r="K117" i="21"/>
  <c r="M116" i="21"/>
  <c r="K116" i="21"/>
  <c r="H116" i="21"/>
  <c r="E116" i="21"/>
  <c r="K115" i="21"/>
  <c r="H115" i="21"/>
  <c r="C115" i="21"/>
  <c r="E115" i="21" s="1"/>
  <c r="M114" i="21"/>
  <c r="K114" i="21"/>
  <c r="H114" i="21"/>
  <c r="E114" i="21"/>
  <c r="M111" i="21"/>
  <c r="M110" i="21"/>
  <c r="M109" i="21"/>
  <c r="K109" i="21"/>
  <c r="H109" i="21"/>
  <c r="E109" i="21"/>
  <c r="M108" i="21"/>
  <c r="K108" i="21"/>
  <c r="H108" i="21"/>
  <c r="E108" i="21"/>
  <c r="M106" i="21"/>
  <c r="K106" i="21"/>
  <c r="H106" i="21"/>
  <c r="M105" i="21"/>
  <c r="K105" i="21"/>
  <c r="H105" i="21"/>
  <c r="M104" i="21"/>
  <c r="K104" i="21"/>
  <c r="H104" i="21"/>
  <c r="M103" i="21"/>
  <c r="K103" i="21"/>
  <c r="M102" i="21"/>
  <c r="L102" i="21"/>
  <c r="K102" i="21"/>
  <c r="S97" i="21"/>
  <c r="M101" i="21"/>
  <c r="K101" i="21"/>
  <c r="H101" i="21"/>
  <c r="E101" i="21"/>
  <c r="K100" i="21"/>
  <c r="H100" i="21"/>
  <c r="K99" i="21"/>
  <c r="H99" i="21"/>
  <c r="M98" i="21"/>
  <c r="K98" i="21"/>
  <c r="H98" i="21"/>
  <c r="E98" i="21"/>
  <c r="L97" i="21"/>
  <c r="M97" i="21" s="1"/>
  <c r="I97" i="21"/>
  <c r="K97" i="21" s="1"/>
  <c r="H97" i="21"/>
  <c r="C97" i="21"/>
  <c r="M96" i="21"/>
  <c r="K96" i="21"/>
  <c r="H96" i="21"/>
  <c r="E96" i="21"/>
  <c r="M95" i="21"/>
  <c r="K95" i="21"/>
  <c r="H95" i="21"/>
  <c r="E95" i="21"/>
  <c r="M94" i="21"/>
  <c r="L94" i="21"/>
  <c r="K94" i="21"/>
  <c r="M93" i="21"/>
  <c r="K93" i="21"/>
  <c r="H93" i="21"/>
  <c r="E93" i="21"/>
  <c r="M92" i="21"/>
  <c r="K92" i="21"/>
  <c r="H92" i="21"/>
  <c r="E92" i="21"/>
  <c r="M91" i="21"/>
  <c r="K91" i="21"/>
  <c r="H91" i="21"/>
  <c r="E91" i="21"/>
  <c r="M90" i="21"/>
  <c r="K90" i="21"/>
  <c r="H90" i="21"/>
  <c r="E90" i="21"/>
  <c r="M89" i="21"/>
  <c r="K89" i="21"/>
  <c r="H89" i="21"/>
  <c r="E89" i="21"/>
  <c r="S87" i="21"/>
  <c r="P87" i="21"/>
  <c r="K88" i="21"/>
  <c r="H88" i="21"/>
  <c r="E88" i="21"/>
  <c r="I87" i="21"/>
  <c r="I60" i="21" s="1"/>
  <c r="K60" i="21" s="1"/>
  <c r="H87" i="21"/>
  <c r="C87" i="21"/>
  <c r="E87" i="21" s="1"/>
  <c r="K86" i="21"/>
  <c r="H86" i="21"/>
  <c r="E86" i="21"/>
  <c r="M85" i="21"/>
  <c r="K85" i="21"/>
  <c r="H85" i="21"/>
  <c r="E85" i="21"/>
  <c r="M84" i="21"/>
  <c r="K84" i="21"/>
  <c r="H84" i="21"/>
  <c r="E84" i="21"/>
  <c r="S86" i="21"/>
  <c r="P86" i="21"/>
  <c r="K83" i="21"/>
  <c r="H83" i="21"/>
  <c r="E83" i="21"/>
  <c r="M82" i="21"/>
  <c r="K82" i="21"/>
  <c r="H82" i="21"/>
  <c r="C82" i="21"/>
  <c r="E82" i="21" s="1"/>
  <c r="P76" i="21"/>
  <c r="L76" i="21"/>
  <c r="M76" i="21" s="1"/>
  <c r="K81" i="21"/>
  <c r="H81" i="21"/>
  <c r="E81" i="21"/>
  <c r="M79" i="21"/>
  <c r="K79" i="21"/>
  <c r="H79" i="21"/>
  <c r="E79" i="21"/>
  <c r="S76" i="21"/>
  <c r="M77" i="21"/>
  <c r="K77" i="21"/>
  <c r="H77" i="21"/>
  <c r="E77" i="21"/>
  <c r="K76" i="21"/>
  <c r="H76" i="21"/>
  <c r="C76" i="21"/>
  <c r="M74" i="21"/>
  <c r="K74" i="21"/>
  <c r="H74" i="21"/>
  <c r="E74" i="21"/>
  <c r="E70" i="21" s="1"/>
  <c r="S70" i="21"/>
  <c r="P70" i="21"/>
  <c r="O70" i="21"/>
  <c r="L70" i="21"/>
  <c r="M70" i="21" s="1"/>
  <c r="K71" i="21"/>
  <c r="H71" i="21"/>
  <c r="E71" i="21"/>
  <c r="K70" i="21"/>
  <c r="H70" i="21"/>
  <c r="C70" i="21"/>
  <c r="M69" i="21"/>
  <c r="K69" i="21"/>
  <c r="H69" i="21"/>
  <c r="E69" i="21"/>
  <c r="M68" i="21"/>
  <c r="L68" i="21"/>
  <c r="K68" i="21"/>
  <c r="M67" i="21"/>
  <c r="K67" i="21"/>
  <c r="H67" i="21"/>
  <c r="K66" i="21"/>
  <c r="H66" i="21"/>
  <c r="E66" i="21"/>
  <c r="M65" i="21"/>
  <c r="K65" i="21"/>
  <c r="H65" i="21"/>
  <c r="E65" i="21"/>
  <c r="L66" i="21"/>
  <c r="M66" i="21" s="1"/>
  <c r="K64" i="21"/>
  <c r="H64" i="21"/>
  <c r="E64" i="21"/>
  <c r="M63" i="21"/>
  <c r="K63" i="21"/>
  <c r="M62" i="21"/>
  <c r="K62" i="21"/>
  <c r="H62" i="21"/>
  <c r="E62" i="21"/>
  <c r="M61" i="21"/>
  <c r="K61" i="21"/>
  <c r="H61" i="21"/>
  <c r="E61" i="21"/>
  <c r="H60" i="21"/>
  <c r="K58" i="21"/>
  <c r="K185" i="21" s="1"/>
  <c r="H58" i="21"/>
  <c r="M57" i="21"/>
  <c r="K57" i="21"/>
  <c r="H57" i="21"/>
  <c r="E57" i="21"/>
  <c r="M56" i="21"/>
  <c r="K56" i="21"/>
  <c r="H56" i="21"/>
  <c r="E56" i="21"/>
  <c r="M55" i="21"/>
  <c r="K55" i="21"/>
  <c r="H55" i="21"/>
  <c r="E55" i="21"/>
  <c r="M54" i="21"/>
  <c r="K54" i="21"/>
  <c r="H54" i="21"/>
  <c r="E54" i="21"/>
  <c r="M53" i="21"/>
  <c r="K53" i="21"/>
  <c r="H53" i="21"/>
  <c r="E53" i="21"/>
  <c r="M52" i="21"/>
  <c r="K52" i="21"/>
  <c r="H52" i="21"/>
  <c r="E52" i="21"/>
  <c r="M51" i="21"/>
  <c r="K51" i="21"/>
  <c r="H51" i="21"/>
  <c r="S100" i="21"/>
  <c r="O100" i="21"/>
  <c r="M50" i="21"/>
  <c r="K50" i="21"/>
  <c r="H50" i="21"/>
  <c r="E50" i="21"/>
  <c r="K47" i="21"/>
  <c r="H47" i="21"/>
  <c r="E47" i="21"/>
  <c r="M46" i="21"/>
  <c r="K46" i="21"/>
  <c r="H46" i="21"/>
  <c r="E46" i="21"/>
  <c r="M45" i="21"/>
  <c r="K45" i="21"/>
  <c r="H45" i="21"/>
  <c r="E45" i="21"/>
  <c r="O43" i="21"/>
  <c r="M44" i="21"/>
  <c r="K44" i="21"/>
  <c r="H44" i="21"/>
  <c r="E44" i="21"/>
  <c r="K43" i="21"/>
  <c r="H43" i="21"/>
  <c r="C43" i="21"/>
  <c r="B43" i="21"/>
  <c r="M42" i="21"/>
  <c r="K42" i="21"/>
  <c r="H42" i="21"/>
  <c r="E42" i="21"/>
  <c r="O99" i="21"/>
  <c r="M41" i="21"/>
  <c r="K41" i="21"/>
  <c r="H41" i="21"/>
  <c r="E41" i="21"/>
  <c r="K40" i="21"/>
  <c r="H40" i="21"/>
  <c r="E40" i="21"/>
  <c r="K39" i="21"/>
  <c r="H39" i="21"/>
  <c r="C39" i="21"/>
  <c r="B39" i="21"/>
  <c r="M36" i="21"/>
  <c r="K36" i="21"/>
  <c r="H36" i="21"/>
  <c r="E36" i="21"/>
  <c r="M35" i="21"/>
  <c r="K35" i="21"/>
  <c r="P33" i="21"/>
  <c r="K34" i="21"/>
  <c r="H34" i="21"/>
  <c r="E34" i="21"/>
  <c r="K33" i="21"/>
  <c r="H33" i="21"/>
  <c r="E33" i="21"/>
  <c r="M32" i="21"/>
  <c r="K32" i="21"/>
  <c r="H32" i="21"/>
  <c r="E32" i="21"/>
  <c r="M31" i="21"/>
  <c r="K31" i="21"/>
  <c r="H31" i="21"/>
  <c r="E31" i="21"/>
  <c r="M30" i="21"/>
  <c r="K30" i="21"/>
  <c r="H30" i="21"/>
  <c r="E30" i="21"/>
  <c r="M29" i="21"/>
  <c r="K29" i="21"/>
  <c r="H29" i="21"/>
  <c r="E29" i="21"/>
  <c r="M28" i="21"/>
  <c r="K28" i="21"/>
  <c r="H28" i="21"/>
  <c r="E28" i="21"/>
  <c r="M27" i="21"/>
  <c r="K27" i="21"/>
  <c r="H27" i="21"/>
  <c r="E27" i="21"/>
  <c r="M26" i="21"/>
  <c r="K26" i="21"/>
  <c r="H26" i="21"/>
  <c r="E26" i="21"/>
  <c r="M25" i="21"/>
  <c r="K25" i="21"/>
  <c r="H25" i="21"/>
  <c r="E25" i="21"/>
  <c r="M24" i="21"/>
  <c r="K24" i="21"/>
  <c r="H24" i="21"/>
  <c r="E24" i="21"/>
  <c r="P23" i="21"/>
  <c r="Q23" i="21" s="1"/>
  <c r="R23" i="21" s="1"/>
  <c r="M23" i="21"/>
  <c r="K23" i="21"/>
  <c r="H23" i="21"/>
  <c r="E23" i="21"/>
  <c r="L22" i="21"/>
  <c r="M22" i="21" s="1"/>
  <c r="K22" i="21"/>
  <c r="H22" i="21"/>
  <c r="E22" i="21"/>
  <c r="M21" i="21"/>
  <c r="K21" i="21"/>
  <c r="H21" i="21"/>
  <c r="E21" i="21"/>
  <c r="O21" i="21"/>
  <c r="O65" i="21" s="1"/>
  <c r="M20" i="21"/>
  <c r="K20" i="21"/>
  <c r="H20" i="21"/>
  <c r="E20" i="21"/>
  <c r="M19" i="21"/>
  <c r="K19" i="21"/>
  <c r="H19" i="21"/>
  <c r="E19" i="21"/>
  <c r="M18" i="21"/>
  <c r="K18" i="21"/>
  <c r="H18" i="21"/>
  <c r="E18" i="21"/>
  <c r="K17" i="21"/>
  <c r="H17" i="21"/>
  <c r="M15" i="21"/>
  <c r="K15" i="21"/>
  <c r="H15" i="21"/>
  <c r="E15" i="21"/>
  <c r="M14" i="21"/>
  <c r="K14" i="21"/>
  <c r="H14" i="21"/>
  <c r="E14" i="21"/>
  <c r="K13" i="21"/>
  <c r="H13" i="21"/>
  <c r="E13" i="21"/>
  <c r="M12" i="21"/>
  <c r="K12" i="21"/>
  <c r="H12" i="21"/>
  <c r="E12" i="21"/>
  <c r="M11" i="21"/>
  <c r="K11" i="21"/>
  <c r="H11" i="21"/>
  <c r="M10" i="21"/>
  <c r="K10" i="21"/>
  <c r="H10" i="21"/>
  <c r="E10" i="21"/>
  <c r="M9" i="21"/>
  <c r="K9" i="21"/>
  <c r="H9" i="21"/>
  <c r="E9" i="21"/>
  <c r="M8" i="21"/>
  <c r="K8" i="21"/>
  <c r="H8" i="21"/>
  <c r="E8" i="21"/>
  <c r="M7" i="21"/>
  <c r="K7" i="21"/>
  <c r="H7" i="21"/>
  <c r="E7" i="21"/>
  <c r="K6" i="21"/>
  <c r="H6" i="21"/>
  <c r="C6" i="21"/>
  <c r="C5" i="21" s="1"/>
  <c r="K5" i="21"/>
  <c r="H5" i="21"/>
  <c r="B5" i="21"/>
  <c r="W112" i="21" l="1"/>
  <c r="S21" i="21"/>
  <c r="E76" i="21"/>
  <c r="V112" i="21"/>
  <c r="U10" i="21"/>
  <c r="U38" i="21"/>
  <c r="C60" i="21"/>
  <c r="O22" i="21"/>
  <c r="H183" i="21"/>
  <c r="E39" i="21"/>
  <c r="S99" i="21"/>
  <c r="O17" i="21"/>
  <c r="E43" i="21"/>
  <c r="Y36" i="21"/>
  <c r="O76" i="21"/>
  <c r="O97" i="21"/>
  <c r="M64" i="21"/>
  <c r="O115" i="21"/>
  <c r="L43" i="21"/>
  <c r="M43" i="21" s="1"/>
  <c r="L6" i="21"/>
  <c r="M6" i="21" s="1"/>
  <c r="S115" i="21"/>
  <c r="E97" i="21"/>
  <c r="O66" i="21"/>
  <c r="P17" i="21"/>
  <c r="S43" i="21"/>
  <c r="B58" i="21"/>
  <c r="O201" i="21"/>
  <c r="L99" i="21"/>
  <c r="M99" i="21" s="1"/>
  <c r="L33" i="21"/>
  <c r="M33" i="21" s="1"/>
  <c r="O33" i="21"/>
  <c r="E6" i="21"/>
  <c r="O6" i="21"/>
  <c r="E17" i="21"/>
  <c r="L87" i="21"/>
  <c r="M87" i="21" s="1"/>
  <c r="S60" i="21"/>
  <c r="O39" i="21"/>
  <c r="P6" i="21"/>
  <c r="O87" i="21"/>
  <c r="P99" i="21"/>
  <c r="P210" i="21"/>
  <c r="P97" i="21"/>
  <c r="M71" i="21"/>
  <c r="M47" i="21"/>
  <c r="P213" i="21"/>
  <c r="L100" i="21"/>
  <c r="M100" i="21" s="1"/>
  <c r="E60" i="21"/>
  <c r="O195" i="21"/>
  <c r="O214" i="21" s="1"/>
  <c r="L115" i="21"/>
  <c r="M115" i="21" s="1"/>
  <c r="P43" i="21"/>
  <c r="P115" i="21"/>
  <c r="M13" i="21"/>
  <c r="P80" i="21"/>
  <c r="R80" i="21" s="1"/>
  <c r="P112" i="21"/>
  <c r="P113" i="21" s="1"/>
  <c r="L17" i="21"/>
  <c r="M17" i="21" s="1"/>
  <c r="C123" i="21"/>
  <c r="L86" i="21"/>
  <c r="M86" i="21" s="1"/>
  <c r="P60" i="21"/>
  <c r="M83" i="21"/>
  <c r="S206" i="21"/>
  <c r="S94" i="21" s="1"/>
  <c r="U94" i="21" s="1"/>
  <c r="K187" i="21"/>
  <c r="K188" i="21" s="1"/>
  <c r="K189" i="21" s="1"/>
  <c r="O86" i="21"/>
  <c r="M88" i="21"/>
  <c r="V206" i="21"/>
  <c r="V94" i="21" s="1"/>
  <c r="V205" i="21"/>
  <c r="V68" i="21" s="1"/>
  <c r="V207" i="21"/>
  <c r="V102" i="21" s="1"/>
  <c r="S64" i="21"/>
  <c r="S65" i="21"/>
  <c r="S6" i="21"/>
  <c r="M81" i="21"/>
  <c r="C58" i="21"/>
  <c r="P64" i="21"/>
  <c r="P21" i="21"/>
  <c r="L39" i="21"/>
  <c r="M39" i="21" s="1"/>
  <c r="P214" i="21"/>
  <c r="W206" i="21"/>
  <c r="W94" i="21" s="1"/>
  <c r="W205" i="21"/>
  <c r="W68" i="21" s="1"/>
  <c r="S17" i="21"/>
  <c r="M40" i="21"/>
  <c r="K87" i="21"/>
  <c r="O5" i="21" l="1"/>
  <c r="S123" i="21"/>
  <c r="U108" i="21"/>
  <c r="O213" i="21"/>
  <c r="O215" i="21" s="1"/>
  <c r="L5" i="21"/>
  <c r="O60" i="21"/>
  <c r="O123" i="21" s="1"/>
  <c r="S22" i="21"/>
  <c r="S66" i="21" s="1"/>
  <c r="S5" i="21"/>
  <c r="S58" i="21" s="1"/>
  <c r="S185" i="21" s="1"/>
  <c r="S187" i="21" s="1"/>
  <c r="S188" i="21" s="1"/>
  <c r="O194" i="21"/>
  <c r="P5" i="21"/>
  <c r="P58" i="21" s="1"/>
  <c r="O58" i="21"/>
  <c r="O1" i="21" s="1"/>
  <c r="M34" i="21"/>
  <c r="L60" i="21"/>
  <c r="L123" i="21" s="1"/>
  <c r="E5" i="21"/>
  <c r="E58" i="21" s="1"/>
  <c r="C183" i="21"/>
  <c r="E123" i="21"/>
  <c r="P194" i="21"/>
  <c r="L58" i="21"/>
  <c r="M5" i="21"/>
  <c r="S207" i="21"/>
  <c r="S102" i="21" s="1"/>
  <c r="U102" i="21" s="1"/>
  <c r="P123" i="21"/>
  <c r="W207" i="21"/>
  <c r="W102" i="21" s="1"/>
  <c r="P22" i="21"/>
  <c r="P65" i="21"/>
  <c r="P215" i="21"/>
  <c r="O183" i="21" l="1"/>
  <c r="S183" i="21"/>
  <c r="M60" i="21"/>
  <c r="E183" i="21"/>
  <c r="O185" i="21"/>
  <c r="O192" i="21"/>
  <c r="P185" i="21"/>
  <c r="P1" i="21"/>
  <c r="S189" i="21"/>
  <c r="S211" i="21"/>
  <c r="S186" i="21" s="1"/>
  <c r="O187" i="21"/>
  <c r="O188" i="21" s="1"/>
  <c r="P183" i="21"/>
  <c r="P192" i="21"/>
  <c r="R192" i="21" s="1"/>
  <c r="P66" i="21"/>
  <c r="L185" i="21"/>
  <c r="L187" i="21" s="1"/>
  <c r="L188" i="21" s="1"/>
  <c r="L189" i="21" s="1"/>
  <c r="M58" i="21"/>
  <c r="M185" i="21" s="1"/>
  <c r="M187" i="21" s="1"/>
  <c r="M188" i="21" s="1"/>
  <c r="L1" i="21"/>
  <c r="M123" i="21"/>
  <c r="L183" i="21"/>
  <c r="M183" i="21" s="1"/>
  <c r="O189" i="21" l="1"/>
  <c r="O190" i="21"/>
  <c r="O208" i="21" s="1"/>
  <c r="O211" i="21" s="1"/>
  <c r="O193" i="21"/>
  <c r="P187" i="21"/>
  <c r="P188" i="21" l="1"/>
  <c r="P190" i="21" s="1"/>
  <c r="P208" i="21" s="1"/>
  <c r="P205" i="21" s="1"/>
  <c r="O206" i="21"/>
  <c r="O94" i="21" s="1"/>
  <c r="O205" i="21"/>
  <c r="O68" i="21" s="1"/>
  <c r="O186" i="21"/>
  <c r="U112" i="21" l="1"/>
  <c r="P189" i="21"/>
  <c r="P193" i="21"/>
  <c r="O207" i="21"/>
  <c r="O102" i="21" s="1"/>
  <c r="P206" i="21" l="1"/>
  <c r="P94" i="21" s="1"/>
  <c r="P68" i="21"/>
  <c r="P186" i="21"/>
  <c r="P207" i="21" l="1"/>
  <c r="P102" i="21" s="1"/>
  <c r="ER920" i="5" l="1"/>
  <c r="ES920" i="5"/>
  <c r="ET920" i="5"/>
  <c r="EU920" i="5"/>
  <c r="EV920" i="5"/>
  <c r="EW920" i="5"/>
  <c r="EX920" i="5"/>
  <c r="EY920" i="5"/>
  <c r="EZ920" i="5"/>
  <c r="FA920" i="5"/>
  <c r="FB920" i="5"/>
  <c r="FC920" i="5"/>
  <c r="FD920" i="5"/>
  <c r="FE920" i="5"/>
  <c r="FF920" i="5"/>
  <c r="FG920" i="5"/>
  <c r="FH920" i="5"/>
  <c r="FI920" i="5"/>
  <c r="FJ920" i="5"/>
  <c r="FK920" i="5"/>
  <c r="FL920" i="5"/>
  <c r="FM920" i="5"/>
  <c r="FN920" i="5"/>
  <c r="FO920" i="5"/>
  <c r="FP920" i="5"/>
  <c r="FQ920" i="5"/>
  <c r="FR920" i="5"/>
  <c r="FS920" i="5"/>
  <c r="FT920" i="5"/>
  <c r="FU920" i="5"/>
  <c r="FV920" i="5"/>
  <c r="FW920" i="5"/>
  <c r="FX920" i="5"/>
  <c r="FY920" i="5"/>
  <c r="FZ920" i="5"/>
  <c r="GA920" i="5"/>
  <c r="GB920" i="5"/>
  <c r="GC920" i="5"/>
  <c r="GD920" i="5"/>
  <c r="GE920" i="5"/>
  <c r="GF920" i="5"/>
  <c r="GG920" i="5"/>
  <c r="GH920" i="5"/>
  <c r="GI920" i="5"/>
  <c r="GJ920" i="5"/>
  <c r="GK920" i="5"/>
  <c r="GL920" i="5"/>
  <c r="GM920" i="5"/>
  <c r="GN920" i="5"/>
  <c r="GO920" i="5"/>
  <c r="GP920" i="5"/>
  <c r="GQ920" i="5"/>
  <c r="GR920" i="5"/>
  <c r="GS920" i="5"/>
  <c r="GT920" i="5"/>
  <c r="GU920" i="5"/>
  <c r="GV920" i="5"/>
  <c r="GW920" i="5"/>
  <c r="GX920" i="5"/>
  <c r="GY920" i="5"/>
  <c r="GZ920" i="5"/>
  <c r="HA920" i="5"/>
  <c r="HB920" i="5"/>
  <c r="HC920" i="5"/>
  <c r="HD920" i="5"/>
  <c r="HE920" i="5"/>
  <c r="HF920" i="5"/>
  <c r="HG920" i="5"/>
  <c r="HH920" i="5"/>
  <c r="HI920" i="5"/>
  <c r="HJ920" i="5"/>
  <c r="HK920" i="5"/>
  <c r="HL920" i="5"/>
  <c r="HM920" i="5"/>
  <c r="HN920" i="5"/>
  <c r="HO920" i="5"/>
  <c r="HP920" i="5"/>
  <c r="HQ920" i="5"/>
  <c r="HR920" i="5"/>
  <c r="HS920" i="5"/>
  <c r="HT920" i="5"/>
  <c r="JL920" i="5" s="1"/>
  <c r="HU920" i="5"/>
  <c r="HV920" i="5"/>
  <c r="HW920" i="5"/>
  <c r="HX920" i="5"/>
  <c r="HT470" i="5"/>
  <c r="HU470" i="5"/>
  <c r="HV470" i="5"/>
  <c r="HW470" i="5"/>
  <c r="HX470" i="5"/>
  <c r="HS470" i="5"/>
  <c r="HR912" i="5"/>
  <c r="JI927" i="5"/>
  <c r="JL755" i="5"/>
  <c r="JL756" i="5"/>
  <c r="JK756" i="5"/>
  <c r="JL1036" i="5"/>
  <c r="JL1037" i="5"/>
  <c r="JL1038" i="5"/>
  <c r="JL1039" i="5"/>
  <c r="JL1040" i="5"/>
  <c r="JL1035" i="5"/>
  <c r="JL1034" i="5"/>
  <c r="JL1033" i="5"/>
  <c r="JL1032" i="5"/>
  <c r="JL1031" i="5"/>
  <c r="JL1030" i="5"/>
  <c r="JL1029" i="5"/>
  <c r="JL1028" i="5"/>
  <c r="JL1027" i="5"/>
  <c r="JL1026" i="5"/>
  <c r="JL1025" i="5"/>
  <c r="JL1024" i="5"/>
  <c r="JL1023" i="5"/>
  <c r="JL1022" i="5"/>
  <c r="JL1021" i="5"/>
  <c r="JL1020" i="5"/>
  <c r="JL1019" i="5"/>
  <c r="JL1018" i="5"/>
  <c r="JL1017" i="5"/>
  <c r="JL1016" i="5"/>
  <c r="JL1015" i="5"/>
  <c r="JL1014" i="5"/>
  <c r="JL1013" i="5"/>
  <c r="JL1012" i="5"/>
  <c r="JL1011" i="5"/>
  <c r="JL1010" i="5"/>
  <c r="JL1009" i="5"/>
  <c r="JL1008" i="5"/>
  <c r="JL1007" i="5"/>
  <c r="JL1006" i="5"/>
  <c r="JL1005" i="5"/>
  <c r="JL1004" i="5"/>
  <c r="JL1003" i="5"/>
  <c r="JL1002" i="5"/>
  <c r="JL1001" i="5"/>
  <c r="JL1000" i="5"/>
  <c r="JL999" i="5"/>
  <c r="JL998" i="5"/>
  <c r="JL997" i="5"/>
  <c r="JL996" i="5"/>
  <c r="JL995" i="5"/>
  <c r="JL994" i="5"/>
  <c r="JL993" i="5"/>
  <c r="JL992" i="5"/>
  <c r="JL991" i="5"/>
  <c r="JL990" i="5"/>
  <c r="JL989" i="5"/>
  <c r="JL988" i="5"/>
  <c r="JL987" i="5"/>
  <c r="JL986" i="5"/>
  <c r="JL985" i="5"/>
  <c r="JL984" i="5"/>
  <c r="JL983" i="5"/>
  <c r="JL982" i="5"/>
  <c r="JL981" i="5"/>
  <c r="JL980" i="5"/>
  <c r="JL979" i="5"/>
  <c r="JL978" i="5"/>
  <c r="JL977" i="5"/>
  <c r="JL976" i="5"/>
  <c r="JL975" i="5"/>
  <c r="JL974" i="5"/>
  <c r="JL973" i="5"/>
  <c r="JL972" i="5"/>
  <c r="JL971" i="5"/>
  <c r="JL970" i="5"/>
  <c r="JL969" i="5"/>
  <c r="JL968" i="5"/>
  <c r="JL967" i="5"/>
  <c r="JL966" i="5"/>
  <c r="JL965" i="5"/>
  <c r="JL964" i="5"/>
  <c r="JL963" i="5"/>
  <c r="JL962" i="5"/>
  <c r="JL961" i="5"/>
  <c r="JL960" i="5"/>
  <c r="JL959" i="5"/>
  <c r="JL958" i="5"/>
  <c r="JL957" i="5"/>
  <c r="JL956" i="5"/>
  <c r="JL955" i="5"/>
  <c r="JL954" i="5"/>
  <c r="JL953" i="5"/>
  <c r="JL952" i="5"/>
  <c r="JL951" i="5"/>
  <c r="JL950" i="5"/>
  <c r="JL949" i="5"/>
  <c r="JL948" i="5"/>
  <c r="JL947" i="5"/>
  <c r="JL946" i="5"/>
  <c r="JL945" i="5"/>
  <c r="JL944" i="5"/>
  <c r="JL943" i="5"/>
  <c r="JL942" i="5"/>
  <c r="JL941" i="5"/>
  <c r="JL940" i="5"/>
  <c r="JL939" i="5"/>
  <c r="JL938" i="5"/>
  <c r="JL937" i="5"/>
  <c r="JL936" i="5"/>
  <c r="JL935" i="5"/>
  <c r="JL934" i="5"/>
  <c r="JL933" i="5"/>
  <c r="JL931" i="5"/>
  <c r="JL926" i="5"/>
  <c r="JL923" i="5"/>
  <c r="JL922" i="5"/>
  <c r="JL921" i="5"/>
  <c r="JL918" i="5"/>
  <c r="JL917" i="5"/>
  <c r="JL916" i="5"/>
  <c r="JL915" i="5"/>
  <c r="JL914" i="5"/>
  <c r="JL913" i="5"/>
  <c r="JL911" i="5"/>
  <c r="JL910" i="5"/>
  <c r="JL909" i="5"/>
  <c r="JL906" i="5"/>
  <c r="JL904" i="5"/>
  <c r="JL903" i="5"/>
  <c r="JL902" i="5"/>
  <c r="JL901" i="5"/>
  <c r="JL900" i="5"/>
  <c r="JL899" i="5"/>
  <c r="JL898" i="5"/>
  <c r="JL897" i="5"/>
  <c r="JL896" i="5"/>
  <c r="JL895" i="5"/>
  <c r="JL893" i="5"/>
  <c r="JL892" i="5"/>
  <c r="JL885" i="5"/>
  <c r="JL884" i="5"/>
  <c r="JL883" i="5"/>
  <c r="JL882" i="5"/>
  <c r="JL881" i="5"/>
  <c r="JL880" i="5"/>
  <c r="JL879" i="5"/>
  <c r="JL878" i="5"/>
  <c r="JL877" i="5"/>
  <c r="JL876" i="5"/>
  <c r="JL875" i="5"/>
  <c r="JL874" i="5"/>
  <c r="JL873" i="5"/>
  <c r="JL872" i="5"/>
  <c r="JL871" i="5"/>
  <c r="JL870" i="5"/>
  <c r="JL869" i="5"/>
  <c r="JL868" i="5"/>
  <c r="JL867" i="5"/>
  <c r="JL866" i="5"/>
  <c r="JL865" i="5"/>
  <c r="JL864" i="5"/>
  <c r="JL863" i="5"/>
  <c r="JL862" i="5"/>
  <c r="JL861" i="5"/>
  <c r="JL860" i="5"/>
  <c r="JL859" i="5"/>
  <c r="JL858" i="5"/>
  <c r="JL857" i="5"/>
  <c r="JL856" i="5"/>
  <c r="JL855" i="5"/>
  <c r="JL854" i="5"/>
  <c r="JL853" i="5"/>
  <c r="JL852" i="5"/>
  <c r="JL851" i="5"/>
  <c r="JL850" i="5"/>
  <c r="JL849" i="5"/>
  <c r="JL848" i="5"/>
  <c r="JL847" i="5"/>
  <c r="JL846" i="5"/>
  <c r="JL845" i="5"/>
  <c r="JL844" i="5"/>
  <c r="JL843" i="5"/>
  <c r="JL842" i="5"/>
  <c r="JL841" i="5"/>
  <c r="JL840" i="5"/>
  <c r="JL839" i="5"/>
  <c r="JL838" i="5"/>
  <c r="JL837" i="5"/>
  <c r="JL836" i="5"/>
  <c r="JL835" i="5"/>
  <c r="JL834" i="5"/>
  <c r="JL833" i="5"/>
  <c r="JL832" i="5"/>
  <c r="JL831" i="5"/>
  <c r="JL830" i="5"/>
  <c r="JL829" i="5"/>
  <c r="JL828" i="5"/>
  <c r="JL827" i="5"/>
  <c r="JL826" i="5"/>
  <c r="JL825" i="5"/>
  <c r="JL824" i="5"/>
  <c r="JL823" i="5"/>
  <c r="JL822" i="5"/>
  <c r="JL821" i="5"/>
  <c r="JL819" i="5"/>
  <c r="JL816" i="5"/>
  <c r="JL815" i="5"/>
  <c r="JL812" i="5"/>
  <c r="JL811" i="5"/>
  <c r="JL810" i="5"/>
  <c r="JL809" i="5"/>
  <c r="JL808" i="5"/>
  <c r="JL807" i="5"/>
  <c r="JL806" i="5"/>
  <c r="JL805" i="5"/>
  <c r="JL804" i="5"/>
  <c r="JL803" i="5"/>
  <c r="JL802" i="5"/>
  <c r="JL801" i="5"/>
  <c r="JL800" i="5"/>
  <c r="JL799" i="5"/>
  <c r="JL798" i="5"/>
  <c r="JL797" i="5"/>
  <c r="JL796" i="5"/>
  <c r="JL795" i="5"/>
  <c r="JL794" i="5"/>
  <c r="JL793" i="5"/>
  <c r="JL792" i="5"/>
  <c r="JL791" i="5"/>
  <c r="JL790" i="5"/>
  <c r="JL789" i="5"/>
  <c r="JL788" i="5"/>
  <c r="JL787" i="5"/>
  <c r="JL786" i="5"/>
  <c r="JL785" i="5"/>
  <c r="JL784" i="5"/>
  <c r="JL783" i="5"/>
  <c r="JL782" i="5"/>
  <c r="JL781" i="5"/>
  <c r="JL780" i="5"/>
  <c r="JL779" i="5"/>
  <c r="JL778" i="5"/>
  <c r="JL777" i="5"/>
  <c r="JL776" i="5"/>
  <c r="JL775" i="5"/>
  <c r="JL774" i="5"/>
  <c r="JL773" i="5"/>
  <c r="JL772" i="5"/>
  <c r="JL771" i="5"/>
  <c r="JL770" i="5"/>
  <c r="JL769" i="5"/>
  <c r="JL768" i="5"/>
  <c r="JL767" i="5"/>
  <c r="JL766" i="5"/>
  <c r="JL765" i="5"/>
  <c r="JL764" i="5"/>
  <c r="JL763" i="5"/>
  <c r="JL762" i="5"/>
  <c r="JL761" i="5"/>
  <c r="JL760" i="5"/>
  <c r="JL759" i="5"/>
  <c r="JL758" i="5"/>
  <c r="JL757" i="5"/>
  <c r="HS976" i="5"/>
  <c r="HT976" i="5"/>
  <c r="HU976" i="5"/>
  <c r="HV976" i="5"/>
  <c r="HW976" i="5"/>
  <c r="HX976" i="5"/>
  <c r="HQ976" i="5"/>
  <c r="HP976" i="5"/>
  <c r="HO976" i="5"/>
  <c r="HN976" i="5"/>
  <c r="HM976" i="5"/>
  <c r="HL976" i="5"/>
  <c r="HK976" i="5"/>
  <c r="HJ976" i="5"/>
  <c r="HI976" i="5"/>
  <c r="HH976" i="5"/>
  <c r="HG976" i="5"/>
  <c r="HF976" i="5"/>
  <c r="HE976" i="5"/>
  <c r="HD976" i="5"/>
  <c r="HC976" i="5"/>
  <c r="HB976" i="5"/>
  <c r="HA976" i="5"/>
  <c r="GZ976" i="5"/>
  <c r="GY976" i="5"/>
  <c r="GX976" i="5"/>
  <c r="GW976" i="5"/>
  <c r="GV976" i="5"/>
  <c r="GU976" i="5"/>
  <c r="GT976" i="5"/>
  <c r="GS976" i="5"/>
  <c r="GR976" i="5"/>
  <c r="GQ976" i="5"/>
  <c r="GP976" i="5"/>
  <c r="GO976" i="5"/>
  <c r="GN976" i="5"/>
  <c r="GM976" i="5"/>
  <c r="GL976" i="5"/>
  <c r="GK976" i="5"/>
  <c r="GJ976" i="5"/>
  <c r="GI976" i="5"/>
  <c r="GH976" i="5"/>
  <c r="GG976" i="5"/>
  <c r="GF976" i="5"/>
  <c r="GE976" i="5"/>
  <c r="GD976" i="5"/>
  <c r="GC976" i="5"/>
  <c r="GB976" i="5"/>
  <c r="GA976" i="5"/>
  <c r="FZ976" i="5"/>
  <c r="FY976" i="5"/>
  <c r="FX976" i="5"/>
  <c r="FW976" i="5"/>
  <c r="FV976" i="5"/>
  <c r="FU976" i="5"/>
  <c r="FT976" i="5"/>
  <c r="FS976" i="5"/>
  <c r="FR976" i="5"/>
  <c r="FQ976" i="5"/>
  <c r="FP976" i="5"/>
  <c r="FO976" i="5"/>
  <c r="FN976" i="5"/>
  <c r="FM976" i="5"/>
  <c r="FL976" i="5"/>
  <c r="FK976" i="5"/>
  <c r="FJ976" i="5"/>
  <c r="FI976" i="5"/>
  <c r="FH976" i="5"/>
  <c r="FG976" i="5"/>
  <c r="FF976" i="5"/>
  <c r="FE976" i="5"/>
  <c r="FD976" i="5"/>
  <c r="FC976" i="5"/>
  <c r="FB976" i="5"/>
  <c r="FA976" i="5"/>
  <c r="EZ976" i="5"/>
  <c r="EY976" i="5"/>
  <c r="EX976" i="5"/>
  <c r="EW976" i="5"/>
  <c r="EV976" i="5"/>
  <c r="EU976" i="5"/>
  <c r="ET976" i="5"/>
  <c r="ES976" i="5"/>
  <c r="ER976" i="5"/>
  <c r="EQ976" i="5"/>
  <c r="EP976" i="5"/>
  <c r="EO976" i="5"/>
  <c r="EN976" i="5"/>
  <c r="EM976" i="5"/>
  <c r="EL976" i="5"/>
  <c r="EK976" i="5"/>
  <c r="EJ976" i="5"/>
  <c r="EI976" i="5"/>
  <c r="EH976" i="5"/>
  <c r="EG976" i="5"/>
  <c r="EF976" i="5"/>
  <c r="EE976" i="5"/>
  <c r="ED976" i="5"/>
  <c r="EC976" i="5"/>
  <c r="EB976" i="5"/>
  <c r="EA976" i="5"/>
  <c r="DZ976" i="5"/>
  <c r="DY976" i="5"/>
  <c r="DX976" i="5"/>
  <c r="DW976" i="5"/>
  <c r="DV976" i="5"/>
  <c r="DU976" i="5"/>
  <c r="DT976" i="5"/>
  <c r="DS976" i="5"/>
  <c r="DR976" i="5"/>
  <c r="DQ976" i="5"/>
  <c r="DP976" i="5"/>
  <c r="DO976" i="5"/>
  <c r="DN976" i="5"/>
  <c r="DM976" i="5"/>
  <c r="DL976" i="5"/>
  <c r="DK976" i="5"/>
  <c r="DJ976" i="5"/>
  <c r="DI976" i="5"/>
  <c r="DH976" i="5"/>
  <c r="DG976" i="5"/>
  <c r="DF976" i="5"/>
  <c r="DE976" i="5"/>
  <c r="DD976" i="5"/>
  <c r="DC976" i="5"/>
  <c r="HR976" i="5"/>
  <c r="HS988" i="5"/>
  <c r="HS987" i="5" s="1"/>
  <c r="HT988" i="5"/>
  <c r="HT987" i="5" s="1"/>
  <c r="HU988" i="5"/>
  <c r="HU987" i="5" s="1"/>
  <c r="HV988" i="5"/>
  <c r="HV987" i="5" s="1"/>
  <c r="HW988" i="5"/>
  <c r="HW987" i="5" s="1"/>
  <c r="HX988" i="5"/>
  <c r="HX987" i="5" s="1"/>
  <c r="HR987" i="5"/>
  <c r="HQ987" i="5"/>
  <c r="HP987" i="5"/>
  <c r="HO987" i="5"/>
  <c r="HN987" i="5"/>
  <c r="HM987" i="5"/>
  <c r="HL987" i="5"/>
  <c r="HK987" i="5"/>
  <c r="HJ987" i="5"/>
  <c r="HI987" i="5"/>
  <c r="HH987" i="5"/>
  <c r="HG987" i="5"/>
  <c r="HF987" i="5"/>
  <c r="HE987" i="5"/>
  <c r="HD987" i="5"/>
  <c r="HC987" i="5"/>
  <c r="HB987" i="5"/>
  <c r="HA987" i="5"/>
  <c r="GZ987" i="5"/>
  <c r="GY987" i="5"/>
  <c r="GX987" i="5"/>
  <c r="GW987" i="5"/>
  <c r="GV987" i="5"/>
  <c r="GU987" i="5"/>
  <c r="GT987" i="5"/>
  <c r="GS987" i="5"/>
  <c r="GR987" i="5"/>
  <c r="GQ987" i="5"/>
  <c r="GP987" i="5"/>
  <c r="GO987" i="5"/>
  <c r="GN987" i="5"/>
  <c r="GM987" i="5"/>
  <c r="GL987" i="5"/>
  <c r="GK987" i="5"/>
  <c r="GJ987" i="5"/>
  <c r="GI987" i="5"/>
  <c r="GH987" i="5"/>
  <c r="GG987" i="5"/>
  <c r="GF987" i="5"/>
  <c r="GE987" i="5"/>
  <c r="GD987" i="5"/>
  <c r="GC987" i="5"/>
  <c r="GB987" i="5"/>
  <c r="GA987" i="5"/>
  <c r="FZ987" i="5"/>
  <c r="FY987" i="5"/>
  <c r="FX987" i="5"/>
  <c r="FW987" i="5"/>
  <c r="FV987" i="5"/>
  <c r="FU987" i="5"/>
  <c r="FT987" i="5"/>
  <c r="FS987" i="5"/>
  <c r="FR987" i="5"/>
  <c r="FQ987" i="5"/>
  <c r="FP987" i="5"/>
  <c r="FO987" i="5"/>
  <c r="FN987" i="5"/>
  <c r="FM987" i="5"/>
  <c r="FL987" i="5"/>
  <c r="FK987" i="5"/>
  <c r="FJ987" i="5"/>
  <c r="FI987" i="5"/>
  <c r="FH987" i="5"/>
  <c r="FG987" i="5"/>
  <c r="FF987" i="5"/>
  <c r="FE987" i="5"/>
  <c r="FD987" i="5"/>
  <c r="FC987" i="5"/>
  <c r="FB987" i="5"/>
  <c r="FA987" i="5"/>
  <c r="EZ987" i="5"/>
  <c r="EY987" i="5"/>
  <c r="EX987" i="5"/>
  <c r="EW987" i="5"/>
  <c r="EV987" i="5"/>
  <c r="EU987" i="5"/>
  <c r="ET987" i="5"/>
  <c r="ES987" i="5"/>
  <c r="ER987" i="5"/>
  <c r="EQ987" i="5"/>
  <c r="EP987" i="5"/>
  <c r="EO987" i="5"/>
  <c r="EN987" i="5"/>
  <c r="EM987" i="5"/>
  <c r="EL987" i="5"/>
  <c r="EK987" i="5"/>
  <c r="EJ987" i="5"/>
  <c r="EI987" i="5"/>
  <c r="EH987" i="5"/>
  <c r="EG987" i="5"/>
  <c r="EF987" i="5"/>
  <c r="EE987" i="5"/>
  <c r="ED987" i="5"/>
  <c r="EC987" i="5"/>
  <c r="EB987" i="5"/>
  <c r="EA987" i="5"/>
  <c r="DZ987" i="5"/>
  <c r="DY987" i="5"/>
  <c r="DX987" i="5"/>
  <c r="DW987" i="5"/>
  <c r="DV987" i="5"/>
  <c r="DU987" i="5"/>
  <c r="DT987" i="5"/>
  <c r="DS987" i="5"/>
  <c r="DR987" i="5"/>
  <c r="DQ987" i="5"/>
  <c r="DP987" i="5"/>
  <c r="DO987" i="5"/>
  <c r="DN987" i="5"/>
  <c r="DM987" i="5"/>
  <c r="DL987" i="5"/>
  <c r="DK987" i="5"/>
  <c r="DJ987" i="5"/>
  <c r="DI987" i="5"/>
  <c r="DH987" i="5"/>
  <c r="DG987" i="5"/>
  <c r="DF987" i="5"/>
  <c r="DE987" i="5"/>
  <c r="DD987" i="5"/>
  <c r="DC987" i="5"/>
  <c r="HR988" i="5"/>
  <c r="HQ988" i="5"/>
  <c r="HP988" i="5"/>
  <c r="HO988" i="5"/>
  <c r="HN988" i="5"/>
  <c r="HM988" i="5"/>
  <c r="HL988" i="5"/>
  <c r="HK988" i="5"/>
  <c r="HJ988" i="5"/>
  <c r="HI988" i="5"/>
  <c r="HH988" i="5"/>
  <c r="HG988" i="5"/>
  <c r="HF988" i="5"/>
  <c r="HE988" i="5"/>
  <c r="HD988" i="5"/>
  <c r="HC988" i="5"/>
  <c r="HB988" i="5"/>
  <c r="HA988" i="5"/>
  <c r="GZ988" i="5"/>
  <c r="GY988" i="5"/>
  <c r="GX988" i="5"/>
  <c r="GW988" i="5"/>
  <c r="GV988" i="5"/>
  <c r="GU988" i="5"/>
  <c r="GT988" i="5"/>
  <c r="GS988" i="5"/>
  <c r="GR988" i="5"/>
  <c r="GQ988" i="5"/>
  <c r="GP988" i="5"/>
  <c r="GO988" i="5"/>
  <c r="GN988" i="5"/>
  <c r="GM988" i="5"/>
  <c r="GL988" i="5"/>
  <c r="GK988" i="5"/>
  <c r="GJ988" i="5"/>
  <c r="GI988" i="5"/>
  <c r="GH988" i="5"/>
  <c r="GG988" i="5"/>
  <c r="GF988" i="5"/>
  <c r="GE988" i="5"/>
  <c r="GD988" i="5"/>
  <c r="GC988" i="5"/>
  <c r="GB988" i="5"/>
  <c r="GA988" i="5"/>
  <c r="FZ988" i="5"/>
  <c r="FY988" i="5"/>
  <c r="FX988" i="5"/>
  <c r="FW988" i="5"/>
  <c r="FV988" i="5"/>
  <c r="FU988" i="5"/>
  <c r="FT988" i="5"/>
  <c r="FS988" i="5"/>
  <c r="FR988" i="5"/>
  <c r="FQ988" i="5"/>
  <c r="FP988" i="5"/>
  <c r="FO988" i="5"/>
  <c r="FN988" i="5"/>
  <c r="FM988" i="5"/>
  <c r="FL988" i="5"/>
  <c r="FK988" i="5"/>
  <c r="FJ988" i="5"/>
  <c r="FI988" i="5"/>
  <c r="FH988" i="5"/>
  <c r="FG988" i="5"/>
  <c r="FF988" i="5"/>
  <c r="FE988" i="5"/>
  <c r="FD988" i="5"/>
  <c r="FC988" i="5"/>
  <c r="FB988" i="5"/>
  <c r="FA988" i="5"/>
  <c r="EZ988" i="5"/>
  <c r="EY988" i="5"/>
  <c r="EX988" i="5"/>
  <c r="EW988" i="5"/>
  <c r="EV988" i="5"/>
  <c r="EU988" i="5"/>
  <c r="ET988" i="5"/>
  <c r="ES988" i="5"/>
  <c r="ER988" i="5"/>
  <c r="EQ988" i="5"/>
  <c r="EP988" i="5"/>
  <c r="EO988" i="5"/>
  <c r="EN988" i="5"/>
  <c r="EM988" i="5"/>
  <c r="EL988" i="5"/>
  <c r="EK988" i="5"/>
  <c r="EJ988" i="5"/>
  <c r="EI988" i="5"/>
  <c r="EH988" i="5"/>
  <c r="EG988" i="5"/>
  <c r="EF988" i="5"/>
  <c r="EE988" i="5"/>
  <c r="ED988" i="5"/>
  <c r="EC988" i="5"/>
  <c r="EB988" i="5"/>
  <c r="EA988" i="5"/>
  <c r="DZ988" i="5"/>
  <c r="DY988" i="5"/>
  <c r="DX988" i="5"/>
  <c r="DW988" i="5"/>
  <c r="DV988" i="5"/>
  <c r="DU988" i="5"/>
  <c r="DT988" i="5"/>
  <c r="DS988" i="5"/>
  <c r="DR988" i="5"/>
  <c r="DQ988" i="5"/>
  <c r="DP988" i="5"/>
  <c r="DO988" i="5"/>
  <c r="DN988" i="5"/>
  <c r="DM988" i="5"/>
  <c r="DL988" i="5"/>
  <c r="DK988" i="5"/>
  <c r="DJ988" i="5"/>
  <c r="DI988" i="5"/>
  <c r="DH988" i="5"/>
  <c r="DG988" i="5"/>
  <c r="DF988" i="5"/>
  <c r="DE988" i="5"/>
  <c r="DD988" i="5"/>
  <c r="DC988" i="5"/>
  <c r="HS1035" i="5"/>
  <c r="HT1035" i="5"/>
  <c r="HU1035" i="5"/>
  <c r="HV1035" i="5"/>
  <c r="HW1035" i="5"/>
  <c r="HX1035" i="5"/>
  <c r="HX1028" i="5" s="1"/>
  <c r="HX1027" i="5" s="1"/>
  <c r="HX1019" i="5" s="1"/>
  <c r="HR1035" i="5"/>
  <c r="HQ1035" i="5"/>
  <c r="HP1035" i="5"/>
  <c r="HO1035" i="5"/>
  <c r="HN1035" i="5"/>
  <c r="HM1035" i="5"/>
  <c r="HL1035" i="5"/>
  <c r="HK1035" i="5"/>
  <c r="HJ1035" i="5"/>
  <c r="HI1035" i="5"/>
  <c r="HH1035" i="5"/>
  <c r="HG1035" i="5"/>
  <c r="HF1035" i="5"/>
  <c r="HE1035" i="5"/>
  <c r="HD1035" i="5"/>
  <c r="HC1035" i="5"/>
  <c r="HB1035" i="5"/>
  <c r="HA1035" i="5"/>
  <c r="GZ1035" i="5"/>
  <c r="GY1035" i="5"/>
  <c r="GX1035" i="5"/>
  <c r="GW1035" i="5"/>
  <c r="GV1035" i="5"/>
  <c r="GU1035" i="5"/>
  <c r="GT1035" i="5"/>
  <c r="GS1035" i="5"/>
  <c r="GR1035" i="5"/>
  <c r="GQ1035" i="5"/>
  <c r="GP1035" i="5"/>
  <c r="GO1035" i="5"/>
  <c r="GN1035" i="5"/>
  <c r="GM1035" i="5"/>
  <c r="GL1035" i="5"/>
  <c r="GK1035" i="5"/>
  <c r="GJ1035" i="5"/>
  <c r="GI1035" i="5"/>
  <c r="GH1035" i="5"/>
  <c r="GG1035" i="5"/>
  <c r="GF1035" i="5"/>
  <c r="GE1035" i="5"/>
  <c r="GD1035" i="5"/>
  <c r="GC1035" i="5"/>
  <c r="GB1035" i="5"/>
  <c r="GA1035" i="5"/>
  <c r="FZ1035" i="5"/>
  <c r="FY1035" i="5"/>
  <c r="FX1035" i="5"/>
  <c r="FW1035" i="5"/>
  <c r="FV1035" i="5"/>
  <c r="FU1035" i="5"/>
  <c r="FT1035" i="5"/>
  <c r="FS1035" i="5"/>
  <c r="FR1035" i="5"/>
  <c r="FQ1035" i="5"/>
  <c r="FP1035" i="5"/>
  <c r="FO1035" i="5"/>
  <c r="FN1035" i="5"/>
  <c r="FM1035" i="5"/>
  <c r="FL1035" i="5"/>
  <c r="FK1035" i="5"/>
  <c r="FJ1035" i="5"/>
  <c r="FI1035" i="5"/>
  <c r="FH1035" i="5"/>
  <c r="FG1035" i="5"/>
  <c r="FF1035" i="5"/>
  <c r="FE1035" i="5"/>
  <c r="FD1035" i="5"/>
  <c r="FC1035" i="5"/>
  <c r="FB1035" i="5"/>
  <c r="FA1035" i="5"/>
  <c r="EZ1035" i="5"/>
  <c r="EY1035" i="5"/>
  <c r="EX1035" i="5"/>
  <c r="EW1035" i="5"/>
  <c r="EV1035" i="5"/>
  <c r="EU1035" i="5"/>
  <c r="ET1035" i="5"/>
  <c r="ES1035" i="5"/>
  <c r="ER1035" i="5"/>
  <c r="EQ1035" i="5"/>
  <c r="EP1035" i="5"/>
  <c r="EO1035" i="5"/>
  <c r="EN1035" i="5"/>
  <c r="EM1035" i="5"/>
  <c r="EL1035" i="5"/>
  <c r="EK1035" i="5"/>
  <c r="EJ1035" i="5"/>
  <c r="EI1035" i="5"/>
  <c r="EH1035" i="5"/>
  <c r="EG1035" i="5"/>
  <c r="EF1035" i="5"/>
  <c r="EE1035" i="5"/>
  <c r="ED1035" i="5"/>
  <c r="EC1035" i="5"/>
  <c r="EB1035" i="5"/>
  <c r="EA1035" i="5"/>
  <c r="DZ1035" i="5"/>
  <c r="DY1035" i="5"/>
  <c r="DX1035" i="5"/>
  <c r="DW1035" i="5"/>
  <c r="DV1035" i="5"/>
  <c r="DU1035" i="5"/>
  <c r="DT1035" i="5"/>
  <c r="DS1035" i="5"/>
  <c r="DR1035" i="5"/>
  <c r="DQ1035" i="5"/>
  <c r="DP1035" i="5"/>
  <c r="DO1035" i="5"/>
  <c r="DN1035" i="5"/>
  <c r="DM1035" i="5"/>
  <c r="DL1035" i="5"/>
  <c r="DK1035" i="5"/>
  <c r="DJ1035" i="5"/>
  <c r="DI1035" i="5"/>
  <c r="DH1035" i="5"/>
  <c r="DG1035" i="5"/>
  <c r="DF1035" i="5"/>
  <c r="DE1035" i="5"/>
  <c r="DD1035" i="5"/>
  <c r="DC1035" i="5"/>
  <c r="HT883" i="5"/>
  <c r="HU883" i="5"/>
  <c r="HV883" i="5"/>
  <c r="HW883" i="5"/>
  <c r="HX883" i="5"/>
  <c r="HS883" i="5"/>
  <c r="HO164" i="5"/>
  <c r="HS165" i="5"/>
  <c r="HT165" i="5"/>
  <c r="HU165" i="5"/>
  <c r="HV165" i="5"/>
  <c r="HW165" i="5"/>
  <c r="HX165" i="5"/>
  <c r="HS164" i="5"/>
  <c r="HT164" i="5"/>
  <c r="HU164" i="5"/>
  <c r="HV164" i="5"/>
  <c r="HW164" i="5"/>
  <c r="HX164" i="5"/>
  <c r="HT162" i="5"/>
  <c r="HU162" i="5"/>
  <c r="HV162" i="5"/>
  <c r="HW162" i="5"/>
  <c r="HX162" i="5"/>
  <c r="HS162" i="5"/>
  <c r="HS158" i="5"/>
  <c r="HT158" i="5"/>
  <c r="HU158" i="5"/>
  <c r="HV158" i="5"/>
  <c r="HV157" i="5" s="1"/>
  <c r="HW158" i="5"/>
  <c r="HW157" i="5" s="1"/>
  <c r="HX158" i="5"/>
  <c r="HX157" i="5" s="1"/>
  <c r="HS157" i="5"/>
  <c r="HS756" i="5"/>
  <c r="HS755" i="5" s="1"/>
  <c r="HT756" i="5"/>
  <c r="HT755" i="5" s="1"/>
  <c r="HU756" i="5"/>
  <c r="HV756" i="5"/>
  <c r="HW756" i="5"/>
  <c r="HX756" i="5"/>
  <c r="HS757" i="5"/>
  <c r="HT757" i="5"/>
  <c r="HU757" i="5"/>
  <c r="HV757" i="5"/>
  <c r="HW757" i="5"/>
  <c r="HX757" i="5"/>
  <c r="HS758" i="5"/>
  <c r="HT758" i="5"/>
  <c r="HU758" i="5"/>
  <c r="HV758" i="5"/>
  <c r="HW758" i="5"/>
  <c r="HX758" i="5"/>
  <c r="HS759" i="5"/>
  <c r="HT759" i="5"/>
  <c r="HU759" i="5"/>
  <c r="HV759" i="5"/>
  <c r="HW759" i="5"/>
  <c r="HX759" i="5"/>
  <c r="HS760" i="5"/>
  <c r="HT760" i="5"/>
  <c r="HU760" i="5"/>
  <c r="HV760" i="5"/>
  <c r="HW760" i="5"/>
  <c r="HX760" i="5"/>
  <c r="HS761" i="5"/>
  <c r="HT761" i="5"/>
  <c r="HU761" i="5"/>
  <c r="HV761" i="5"/>
  <c r="HW761" i="5"/>
  <c r="HX761" i="5"/>
  <c r="HS762" i="5"/>
  <c r="HT762" i="5"/>
  <c r="HU762" i="5"/>
  <c r="HV762" i="5"/>
  <c r="HW762" i="5"/>
  <c r="HX762" i="5"/>
  <c r="HS763" i="5"/>
  <c r="HT763" i="5"/>
  <c r="HU763" i="5"/>
  <c r="HV763" i="5"/>
  <c r="HW763" i="5"/>
  <c r="HX763" i="5"/>
  <c r="HS764" i="5"/>
  <c r="HT764" i="5"/>
  <c r="HU764" i="5"/>
  <c r="HV764" i="5"/>
  <c r="HW764" i="5"/>
  <c r="HX764" i="5"/>
  <c r="HS765" i="5"/>
  <c r="HT765" i="5"/>
  <c r="HU765" i="5"/>
  <c r="HV765" i="5"/>
  <c r="HW765" i="5"/>
  <c r="HX765" i="5"/>
  <c r="HS766" i="5"/>
  <c r="HT766" i="5"/>
  <c r="HU766" i="5"/>
  <c r="HV766" i="5"/>
  <c r="HW766" i="5"/>
  <c r="HX766" i="5"/>
  <c r="HS767" i="5"/>
  <c r="HT767" i="5"/>
  <c r="HU767" i="5"/>
  <c r="HV767" i="5"/>
  <c r="HW767" i="5"/>
  <c r="HX767" i="5"/>
  <c r="HS768" i="5"/>
  <c r="HT768" i="5"/>
  <c r="HU768" i="5"/>
  <c r="HV768" i="5"/>
  <c r="HW768" i="5"/>
  <c r="HX768" i="5"/>
  <c r="HS769" i="5"/>
  <c r="HT769" i="5"/>
  <c r="HU769" i="5"/>
  <c r="HV769" i="5"/>
  <c r="HW769" i="5"/>
  <c r="HX769" i="5"/>
  <c r="HS770" i="5"/>
  <c r="HT770" i="5"/>
  <c r="HU770" i="5"/>
  <c r="HV770" i="5"/>
  <c r="HW770" i="5"/>
  <c r="HX770" i="5"/>
  <c r="HS771" i="5"/>
  <c r="HT771" i="5"/>
  <c r="HU771" i="5"/>
  <c r="HV771" i="5"/>
  <c r="HW771" i="5"/>
  <c r="HX771" i="5"/>
  <c r="HS772" i="5"/>
  <c r="HT772" i="5"/>
  <c r="HU772" i="5"/>
  <c r="HV772" i="5"/>
  <c r="HW772" i="5"/>
  <c r="HX772" i="5"/>
  <c r="HS773" i="5"/>
  <c r="HT773" i="5"/>
  <c r="HU773" i="5"/>
  <c r="HV773" i="5"/>
  <c r="HW773" i="5"/>
  <c r="HX773" i="5"/>
  <c r="HS774" i="5"/>
  <c r="HT774" i="5"/>
  <c r="HU774" i="5"/>
  <c r="HV774" i="5"/>
  <c r="HW774" i="5"/>
  <c r="HX774" i="5"/>
  <c r="HS775" i="5"/>
  <c r="HT775" i="5"/>
  <c r="HU775" i="5"/>
  <c r="HV775" i="5"/>
  <c r="HW775" i="5"/>
  <c r="HX775" i="5"/>
  <c r="HS776" i="5"/>
  <c r="HT776" i="5"/>
  <c r="HU776" i="5"/>
  <c r="HV776" i="5"/>
  <c r="HW776" i="5"/>
  <c r="HX776" i="5"/>
  <c r="HS777" i="5"/>
  <c r="HT777" i="5"/>
  <c r="HU777" i="5"/>
  <c r="HV777" i="5"/>
  <c r="HW777" i="5"/>
  <c r="HX777" i="5"/>
  <c r="HS778" i="5"/>
  <c r="HT778" i="5"/>
  <c r="HU778" i="5"/>
  <c r="HV778" i="5"/>
  <c r="HW778" i="5"/>
  <c r="HX778" i="5"/>
  <c r="HS779" i="5"/>
  <c r="HT779" i="5"/>
  <c r="HU779" i="5"/>
  <c r="HV779" i="5"/>
  <c r="HW779" i="5"/>
  <c r="HX779" i="5"/>
  <c r="HS780" i="5"/>
  <c r="HT780" i="5"/>
  <c r="HU780" i="5"/>
  <c r="HV780" i="5"/>
  <c r="HW780" i="5"/>
  <c r="HX780" i="5"/>
  <c r="HS781" i="5"/>
  <c r="HT781" i="5"/>
  <c r="HU781" i="5"/>
  <c r="HV781" i="5"/>
  <c r="HW781" i="5"/>
  <c r="HX781" i="5"/>
  <c r="HS782" i="5"/>
  <c r="HS956" i="5" s="1"/>
  <c r="HS955" i="5" s="1"/>
  <c r="HT782" i="5"/>
  <c r="HT956" i="5" s="1"/>
  <c r="HT955" i="5" s="1"/>
  <c r="HU782" i="5"/>
  <c r="HU956" i="5" s="1"/>
  <c r="HU955" i="5" s="1"/>
  <c r="HV782" i="5"/>
  <c r="HV956" i="5" s="1"/>
  <c r="HV955" i="5" s="1"/>
  <c r="HW782" i="5"/>
  <c r="HW956" i="5" s="1"/>
  <c r="HX782" i="5"/>
  <c r="HX956" i="5" s="1"/>
  <c r="HS783" i="5"/>
  <c r="HT783" i="5"/>
  <c r="HU783" i="5"/>
  <c r="HV783" i="5"/>
  <c r="HW783" i="5"/>
  <c r="HX783" i="5"/>
  <c r="HS784" i="5"/>
  <c r="HT784" i="5"/>
  <c r="HU784" i="5"/>
  <c r="HV784" i="5"/>
  <c r="HW784" i="5"/>
  <c r="HX784" i="5"/>
  <c r="HS785" i="5"/>
  <c r="HT785" i="5"/>
  <c r="HU785" i="5"/>
  <c r="HV785" i="5"/>
  <c r="HW785" i="5"/>
  <c r="HX785" i="5"/>
  <c r="HS786" i="5"/>
  <c r="HT786" i="5"/>
  <c r="HU786" i="5"/>
  <c r="HV786" i="5"/>
  <c r="HW786" i="5"/>
  <c r="HX786" i="5"/>
  <c r="HS787" i="5"/>
  <c r="HT787" i="5"/>
  <c r="HU787" i="5"/>
  <c r="HV787" i="5"/>
  <c r="HW787" i="5"/>
  <c r="HX787" i="5"/>
  <c r="HS788" i="5"/>
  <c r="HT788" i="5"/>
  <c r="HU788" i="5"/>
  <c r="HV788" i="5"/>
  <c r="HW788" i="5"/>
  <c r="HX788" i="5"/>
  <c r="HS789" i="5"/>
  <c r="HT789" i="5"/>
  <c r="HU789" i="5"/>
  <c r="HV789" i="5"/>
  <c r="HW789" i="5"/>
  <c r="HX789" i="5"/>
  <c r="HS790" i="5"/>
  <c r="HT790" i="5"/>
  <c r="HU790" i="5"/>
  <c r="HV790" i="5"/>
  <c r="HW790" i="5"/>
  <c r="HX790" i="5"/>
  <c r="HS791" i="5"/>
  <c r="HT791" i="5"/>
  <c r="HU791" i="5"/>
  <c r="HV791" i="5"/>
  <c r="HW791" i="5"/>
  <c r="HX791" i="5"/>
  <c r="HS792" i="5"/>
  <c r="HT792" i="5"/>
  <c r="HU792" i="5"/>
  <c r="HV792" i="5"/>
  <c r="HW792" i="5"/>
  <c r="HX792" i="5"/>
  <c r="HS793" i="5"/>
  <c r="HT793" i="5"/>
  <c r="HU793" i="5"/>
  <c r="HV793" i="5"/>
  <c r="HW793" i="5"/>
  <c r="HX793" i="5"/>
  <c r="HS794" i="5"/>
  <c r="HT794" i="5"/>
  <c r="HU794" i="5"/>
  <c r="HV794" i="5"/>
  <c r="HW794" i="5"/>
  <c r="HX794" i="5"/>
  <c r="HS795" i="5"/>
  <c r="HT795" i="5"/>
  <c r="HU795" i="5"/>
  <c r="HV795" i="5"/>
  <c r="HW795" i="5"/>
  <c r="HX795" i="5"/>
  <c r="HS796" i="5"/>
  <c r="HT796" i="5"/>
  <c r="HU796" i="5"/>
  <c r="HV796" i="5"/>
  <c r="HW796" i="5"/>
  <c r="HX796" i="5"/>
  <c r="HS797" i="5"/>
  <c r="HT797" i="5"/>
  <c r="HU797" i="5"/>
  <c r="HV797" i="5"/>
  <c r="HW797" i="5"/>
  <c r="HX797" i="5"/>
  <c r="HS798" i="5"/>
  <c r="HT798" i="5"/>
  <c r="HU798" i="5"/>
  <c r="HV798" i="5"/>
  <c r="HW798" i="5"/>
  <c r="HX798" i="5"/>
  <c r="HS799" i="5"/>
  <c r="HT799" i="5"/>
  <c r="HU799" i="5"/>
  <c r="HV799" i="5"/>
  <c r="HW799" i="5"/>
  <c r="HX799" i="5"/>
  <c r="HS800" i="5"/>
  <c r="HT800" i="5"/>
  <c r="HU800" i="5"/>
  <c r="HV800" i="5"/>
  <c r="HW800" i="5"/>
  <c r="HX800" i="5"/>
  <c r="HS801" i="5"/>
  <c r="HT801" i="5"/>
  <c r="HU801" i="5"/>
  <c r="HV801" i="5"/>
  <c r="HW801" i="5"/>
  <c r="HX801" i="5"/>
  <c r="HS802" i="5"/>
  <c r="HT802" i="5"/>
  <c r="HU802" i="5"/>
  <c r="HV802" i="5"/>
  <c r="HW802" i="5"/>
  <c r="HX802" i="5"/>
  <c r="HS815" i="5"/>
  <c r="HT815" i="5"/>
  <c r="HU815" i="5"/>
  <c r="HV815" i="5"/>
  <c r="HW815" i="5"/>
  <c r="HX815" i="5"/>
  <c r="HS817" i="5"/>
  <c r="HT817" i="5"/>
  <c r="HU817" i="5"/>
  <c r="HV817" i="5"/>
  <c r="HW817" i="5"/>
  <c r="JL817" i="5" s="1"/>
  <c r="HX817" i="5"/>
  <c r="HS819" i="5"/>
  <c r="HT819" i="5"/>
  <c r="HU819" i="5"/>
  <c r="HV819" i="5"/>
  <c r="HW819" i="5"/>
  <c r="HX819" i="5"/>
  <c r="HS820" i="5"/>
  <c r="HS818" i="5" s="1"/>
  <c r="HT820" i="5"/>
  <c r="HU820" i="5"/>
  <c r="HV820" i="5"/>
  <c r="HW820" i="5"/>
  <c r="HX820" i="5"/>
  <c r="HU826" i="5"/>
  <c r="HV826" i="5"/>
  <c r="HS827" i="5"/>
  <c r="HT827" i="5"/>
  <c r="HU827" i="5"/>
  <c r="HV827" i="5"/>
  <c r="HW827" i="5"/>
  <c r="HX827" i="5"/>
  <c r="HS828" i="5"/>
  <c r="HT828" i="5"/>
  <c r="HU828" i="5"/>
  <c r="HV828" i="5"/>
  <c r="HW828" i="5"/>
  <c r="HX828" i="5"/>
  <c r="HS829" i="5"/>
  <c r="HT829" i="5"/>
  <c r="HU829" i="5"/>
  <c r="HV829" i="5"/>
  <c r="HW829" i="5"/>
  <c r="HX829" i="5"/>
  <c r="HS832" i="5"/>
  <c r="HT832" i="5"/>
  <c r="HU832" i="5"/>
  <c r="HV832" i="5"/>
  <c r="HW832" i="5"/>
  <c r="HX832" i="5"/>
  <c r="HS833" i="5"/>
  <c r="HT833" i="5"/>
  <c r="HU833" i="5"/>
  <c r="HV833" i="5"/>
  <c r="HW833" i="5"/>
  <c r="HX833" i="5"/>
  <c r="HS835" i="5"/>
  <c r="HT835" i="5"/>
  <c r="HU835" i="5"/>
  <c r="HV835" i="5"/>
  <c r="HW835" i="5"/>
  <c r="HX835" i="5"/>
  <c r="HS836" i="5"/>
  <c r="HT836" i="5"/>
  <c r="HU836" i="5"/>
  <c r="HV836" i="5"/>
  <c r="HW836" i="5"/>
  <c r="HX836" i="5"/>
  <c r="HS837" i="5"/>
  <c r="HT837" i="5"/>
  <c r="HU837" i="5"/>
  <c r="HV837" i="5"/>
  <c r="HW837" i="5"/>
  <c r="HX837" i="5"/>
  <c r="HS838" i="5"/>
  <c r="HT838" i="5"/>
  <c r="HU838" i="5"/>
  <c r="HV838" i="5"/>
  <c r="HW838" i="5"/>
  <c r="HX838" i="5"/>
  <c r="HS839" i="5"/>
  <c r="HT839" i="5"/>
  <c r="HU839" i="5"/>
  <c r="HV839" i="5"/>
  <c r="HW839" i="5"/>
  <c r="HX839" i="5"/>
  <c r="HS840" i="5"/>
  <c r="HT840" i="5"/>
  <c r="HU840" i="5"/>
  <c r="HU860" i="5" s="1"/>
  <c r="HV840" i="5"/>
  <c r="HV860" i="5" s="1"/>
  <c r="HW840" i="5"/>
  <c r="HW860" i="5" s="1"/>
  <c r="HX840" i="5"/>
  <c r="HX860" i="5" s="1"/>
  <c r="HS841" i="5"/>
  <c r="HT841" i="5"/>
  <c r="HU841" i="5"/>
  <c r="HV841" i="5"/>
  <c r="HW841" i="5"/>
  <c r="HX841" i="5"/>
  <c r="HS843" i="5"/>
  <c r="HT843" i="5"/>
  <c r="HU843" i="5"/>
  <c r="HV843" i="5"/>
  <c r="HW843" i="5"/>
  <c r="HX843" i="5"/>
  <c r="HS844" i="5"/>
  <c r="HT844" i="5"/>
  <c r="HU844" i="5"/>
  <c r="HV844" i="5"/>
  <c r="HW844" i="5"/>
  <c r="HX844" i="5"/>
  <c r="HS846" i="5"/>
  <c r="HT846" i="5"/>
  <c r="HU846" i="5"/>
  <c r="HU845" i="5" s="1"/>
  <c r="HV846" i="5"/>
  <c r="HV845" i="5" s="1"/>
  <c r="HW846" i="5"/>
  <c r="HW845" i="5" s="1"/>
  <c r="HX846" i="5"/>
  <c r="HX845" i="5" s="1"/>
  <c r="HS847" i="5"/>
  <c r="HT847" i="5"/>
  <c r="HU847" i="5"/>
  <c r="HV847" i="5"/>
  <c r="HW847" i="5"/>
  <c r="HX847" i="5"/>
  <c r="HS851" i="5"/>
  <c r="HT851" i="5"/>
  <c r="HU851" i="5"/>
  <c r="HU850" i="5" s="1"/>
  <c r="HV851" i="5"/>
  <c r="HV850" i="5" s="1"/>
  <c r="HW851" i="5"/>
  <c r="HW850" i="5" s="1"/>
  <c r="HX851" i="5"/>
  <c r="HX850" i="5" s="1"/>
  <c r="HS853" i="5"/>
  <c r="HT853" i="5"/>
  <c r="HU853" i="5"/>
  <c r="HV853" i="5"/>
  <c r="HW853" i="5"/>
  <c r="HX853" i="5"/>
  <c r="HS860" i="5"/>
  <c r="HT860" i="5"/>
  <c r="HS869" i="5"/>
  <c r="HT869" i="5"/>
  <c r="HU869" i="5"/>
  <c r="HV869" i="5"/>
  <c r="HW869" i="5"/>
  <c r="HX869" i="5"/>
  <c r="HS870" i="5"/>
  <c r="HT870" i="5"/>
  <c r="HU870" i="5"/>
  <c r="HV870" i="5"/>
  <c r="HW870" i="5"/>
  <c r="HX870" i="5"/>
  <c r="HS876" i="5"/>
  <c r="HT876" i="5"/>
  <c r="HU876" i="5"/>
  <c r="HV876" i="5"/>
  <c r="HW876" i="5"/>
  <c r="HX876" i="5"/>
  <c r="HS877" i="5"/>
  <c r="HT877" i="5"/>
  <c r="HU877" i="5"/>
  <c r="HV877" i="5"/>
  <c r="HW877" i="5"/>
  <c r="HX877" i="5"/>
  <c r="HS878" i="5"/>
  <c r="HT878" i="5"/>
  <c r="HU878" i="5"/>
  <c r="HV878" i="5"/>
  <c r="HW878" i="5"/>
  <c r="HX878" i="5"/>
  <c r="HS882" i="5"/>
  <c r="HT882" i="5"/>
  <c r="HU882" i="5"/>
  <c r="HV882" i="5"/>
  <c r="HW882" i="5"/>
  <c r="HX882" i="5"/>
  <c r="HS885" i="5"/>
  <c r="HT885" i="5"/>
  <c r="HU885" i="5"/>
  <c r="HV885" i="5"/>
  <c r="HW885" i="5"/>
  <c r="HX885" i="5"/>
  <c r="HS886" i="5"/>
  <c r="HT886" i="5"/>
  <c r="HU886" i="5"/>
  <c r="HV886" i="5"/>
  <c r="HW886" i="5"/>
  <c r="HX886" i="5"/>
  <c r="JL886" i="5" s="1"/>
  <c r="HS887" i="5"/>
  <c r="JL887" i="5" s="1"/>
  <c r="HT887" i="5"/>
  <c r="HU887" i="5"/>
  <c r="HV887" i="5"/>
  <c r="HW887" i="5"/>
  <c r="HX887" i="5"/>
  <c r="HS888" i="5"/>
  <c r="HT888" i="5"/>
  <c r="HU888" i="5"/>
  <c r="HV888" i="5"/>
  <c r="JL888" i="5" s="1"/>
  <c r="HW888" i="5"/>
  <c r="HX888" i="5"/>
  <c r="HS889" i="5"/>
  <c r="HT889" i="5"/>
  <c r="HU889" i="5"/>
  <c r="HV889" i="5"/>
  <c r="HW889" i="5"/>
  <c r="JL889" i="5" s="1"/>
  <c r="HX889" i="5"/>
  <c r="HS890" i="5"/>
  <c r="HT890" i="5"/>
  <c r="JL890" i="5" s="1"/>
  <c r="HU890" i="5"/>
  <c r="HV890" i="5"/>
  <c r="HW890" i="5"/>
  <c r="HX890" i="5"/>
  <c r="HS891" i="5"/>
  <c r="JL891" i="5" s="1"/>
  <c r="HT891" i="5"/>
  <c r="HU891" i="5"/>
  <c r="HV891" i="5"/>
  <c r="HW891" i="5"/>
  <c r="HX891" i="5"/>
  <c r="HS892" i="5"/>
  <c r="HT892" i="5"/>
  <c r="HU892" i="5"/>
  <c r="HV892" i="5"/>
  <c r="HW892" i="5"/>
  <c r="HX892" i="5"/>
  <c r="HS894" i="5"/>
  <c r="JL894" i="5" s="1"/>
  <c r="HT894" i="5"/>
  <c r="HU894" i="5"/>
  <c r="HV894" i="5"/>
  <c r="HW894" i="5"/>
  <c r="HX894" i="5"/>
  <c r="HS901" i="5"/>
  <c r="HT901" i="5"/>
  <c r="HU901" i="5"/>
  <c r="HV901" i="5"/>
  <c r="HW901" i="5"/>
  <c r="HX901" i="5"/>
  <c r="HS903" i="5"/>
  <c r="HT903" i="5"/>
  <c r="HU903" i="5"/>
  <c r="HV903" i="5"/>
  <c r="HW903" i="5"/>
  <c r="HX903" i="5"/>
  <c r="HS912" i="5"/>
  <c r="HT912" i="5"/>
  <c r="HU912" i="5"/>
  <c r="HV912" i="5"/>
  <c r="HW912" i="5"/>
  <c r="HX912" i="5"/>
  <c r="HS919" i="5"/>
  <c r="JL919" i="5" s="1"/>
  <c r="HT919" i="5"/>
  <c r="HU919" i="5"/>
  <c r="HV919" i="5"/>
  <c r="HW919" i="5"/>
  <c r="HX919" i="5"/>
  <c r="HW948" i="5"/>
  <c r="HW947" i="5" s="1"/>
  <c r="HS950" i="5"/>
  <c r="HS948" i="5" s="1"/>
  <c r="HS947" i="5" s="1"/>
  <c r="HT950" i="5"/>
  <c r="HT948" i="5" s="1"/>
  <c r="HU950" i="5"/>
  <c r="HU948" i="5" s="1"/>
  <c r="HU947" i="5" s="1"/>
  <c r="HV950" i="5"/>
  <c r="HV948" i="5" s="1"/>
  <c r="HV947" i="5" s="1"/>
  <c r="HW950" i="5"/>
  <c r="HX950" i="5"/>
  <c r="HX948" i="5" s="1"/>
  <c r="HX947" i="5" s="1"/>
  <c r="HS953" i="5"/>
  <c r="HS952" i="5" s="1"/>
  <c r="HT953" i="5"/>
  <c r="HT952" i="5" s="1"/>
  <c r="HU953" i="5"/>
  <c r="HU952" i="5" s="1"/>
  <c r="HV953" i="5"/>
  <c r="HV952" i="5" s="1"/>
  <c r="HW953" i="5"/>
  <c r="HW952" i="5" s="1"/>
  <c r="HX953" i="5"/>
  <c r="HX952" i="5" s="1"/>
  <c r="HW955" i="5"/>
  <c r="HX955" i="5"/>
  <c r="HS962" i="5"/>
  <c r="HS961" i="5" s="1"/>
  <c r="HT962" i="5"/>
  <c r="HT961" i="5" s="1"/>
  <c r="HU962" i="5"/>
  <c r="HU961" i="5" s="1"/>
  <c r="HV962" i="5"/>
  <c r="HV961" i="5" s="1"/>
  <c r="HW962" i="5"/>
  <c r="HW961" i="5" s="1"/>
  <c r="HX962" i="5"/>
  <c r="HX961" i="5" s="1"/>
  <c r="HS985" i="5"/>
  <c r="HT985" i="5"/>
  <c r="HU985" i="5"/>
  <c r="HV985" i="5"/>
  <c r="HW985" i="5"/>
  <c r="HX985" i="5"/>
  <c r="HS995" i="5"/>
  <c r="HT995" i="5"/>
  <c r="HU995" i="5"/>
  <c r="HV995" i="5"/>
  <c r="HW995" i="5"/>
  <c r="HX995" i="5"/>
  <c r="HS998" i="5"/>
  <c r="HT998" i="5"/>
  <c r="HU998" i="5"/>
  <c r="HV998" i="5"/>
  <c r="HW998" i="5"/>
  <c r="HW994" i="5" s="1"/>
  <c r="HX998" i="5"/>
  <c r="HX994" i="5" s="1"/>
  <c r="HX993" i="5" s="1"/>
  <c r="HS1003" i="5"/>
  <c r="HT1003" i="5"/>
  <c r="HU1003" i="5"/>
  <c r="HV1003" i="5"/>
  <c r="HW1003" i="5"/>
  <c r="HX1003" i="5"/>
  <c r="HS1011" i="5"/>
  <c r="HS1009" i="5" s="1"/>
  <c r="HS1008" i="5" s="1"/>
  <c r="HT1011" i="5"/>
  <c r="HT1009" i="5" s="1"/>
  <c r="HT1008" i="5" s="1"/>
  <c r="HU1011" i="5"/>
  <c r="HU1009" i="5" s="1"/>
  <c r="HU1008" i="5" s="1"/>
  <c r="HV1011" i="5"/>
  <c r="HV1009" i="5" s="1"/>
  <c r="HV1008" i="5" s="1"/>
  <c r="HW1011" i="5"/>
  <c r="HW1009" i="5" s="1"/>
  <c r="HW1008" i="5" s="1"/>
  <c r="HX1011" i="5"/>
  <c r="HX1009" i="5" s="1"/>
  <c r="HX1008" i="5" s="1"/>
  <c r="HS1028" i="5"/>
  <c r="HS1027" i="5" s="1"/>
  <c r="HS1019" i="5" s="1"/>
  <c r="HT1028" i="5"/>
  <c r="HT1027" i="5" s="1"/>
  <c r="HT1019" i="5" s="1"/>
  <c r="HU1028" i="5"/>
  <c r="HU1027" i="5" s="1"/>
  <c r="HU1019" i="5" s="1"/>
  <c r="HV1028" i="5"/>
  <c r="HV1027" i="5" s="1"/>
  <c r="HV1019" i="5" s="1"/>
  <c r="HW1028" i="5"/>
  <c r="HW1027" i="5" s="1"/>
  <c r="HW1019" i="5" s="1"/>
  <c r="HS753" i="5"/>
  <c r="HT753" i="5"/>
  <c r="HU753" i="5"/>
  <c r="HV753" i="5"/>
  <c r="HW753" i="5"/>
  <c r="HX753" i="5"/>
  <c r="HM1252" i="5"/>
  <c r="HN1252" i="5"/>
  <c r="HO1252" i="5"/>
  <c r="HP1252" i="5"/>
  <c r="HQ1252" i="5"/>
  <c r="HR1252" i="5"/>
  <c r="KO1064" i="5"/>
  <c r="JH1064" i="5"/>
  <c r="JL912" i="5" l="1"/>
  <c r="HS908" i="5"/>
  <c r="HS907" i="5" s="1"/>
  <c r="JL820" i="5"/>
  <c r="HW993" i="5"/>
  <c r="HX908" i="5"/>
  <c r="HX907" i="5" s="1"/>
  <c r="HV908" i="5"/>
  <c r="HV907" i="5" s="1"/>
  <c r="HU908" i="5"/>
  <c r="HU907" i="5" s="1"/>
  <c r="HT908" i="5"/>
  <c r="HT907" i="5" s="1"/>
  <c r="HW908" i="5"/>
  <c r="HW907" i="5" s="1"/>
  <c r="HX818" i="5"/>
  <c r="HU818" i="5"/>
  <c r="HT818" i="5"/>
  <c r="JL818" i="5" s="1"/>
  <c r="HW818" i="5"/>
  <c r="HV818" i="5"/>
  <c r="HV814" i="5"/>
  <c r="HS814" i="5"/>
  <c r="HU814" i="5"/>
  <c r="HU813" i="5" s="1"/>
  <c r="HT814" i="5"/>
  <c r="HU157" i="5"/>
  <c r="HT157" i="5"/>
  <c r="HU994" i="5"/>
  <c r="HU993" i="5" s="1"/>
  <c r="HT994" i="5"/>
  <c r="HT993" i="5" s="1"/>
  <c r="HV994" i="5"/>
  <c r="HV993" i="5" s="1"/>
  <c r="HS994" i="5"/>
  <c r="HS993" i="5" s="1"/>
  <c r="HT850" i="5"/>
  <c r="HS850" i="5"/>
  <c r="HS813" i="5"/>
  <c r="HX755" i="5"/>
  <c r="HV755" i="5"/>
  <c r="HW755" i="5"/>
  <c r="HT947" i="5"/>
  <c r="HX814" i="5"/>
  <c r="HX813" i="5" s="1"/>
  <c r="HW814" i="5"/>
  <c r="HU755" i="5"/>
  <c r="HT845" i="5"/>
  <c r="HT826" i="5" s="1"/>
  <c r="HT906" i="5" s="1"/>
  <c r="HX826" i="5"/>
  <c r="HS845" i="5"/>
  <c r="HS826" i="5" s="1"/>
  <c r="HS906" i="5" s="1"/>
  <c r="HW826" i="5"/>
  <c r="KM1064" i="5"/>
  <c r="KN1064" i="5" s="1"/>
  <c r="U117" i="21" l="1"/>
  <c r="HS925" i="5"/>
  <c r="HW813" i="5"/>
  <c r="JL814" i="5"/>
  <c r="JL907" i="5"/>
  <c r="HV813" i="5"/>
  <c r="HT813" i="5"/>
  <c r="JL813" i="5" s="1"/>
  <c r="JL754" i="5" s="1"/>
  <c r="JL932" i="5" s="1"/>
  <c r="JL908" i="5"/>
  <c r="HT925" i="5"/>
  <c r="HV754" i="5"/>
  <c r="HV906" i="5"/>
  <c r="HV925" i="5" s="1"/>
  <c r="HS754" i="5"/>
  <c r="HT754" i="5"/>
  <c r="HU754" i="5"/>
  <c r="HU906" i="5"/>
  <c r="HU925" i="5" s="1"/>
  <c r="HW906" i="5"/>
  <c r="HW925" i="5" s="1"/>
  <c r="HW754" i="5"/>
  <c r="HX906" i="5"/>
  <c r="HX925" i="5" s="1"/>
  <c r="HX754" i="5"/>
  <c r="JL925" i="5" l="1"/>
  <c r="HU932" i="5"/>
  <c r="HU905" i="5"/>
  <c r="HU924" i="5" s="1"/>
  <c r="HU1041" i="5" s="1"/>
  <c r="HX932" i="5"/>
  <c r="HX905" i="5"/>
  <c r="HX924" i="5" s="1"/>
  <c r="HX1041" i="5" s="1"/>
  <c r="HW932" i="5"/>
  <c r="HW905" i="5"/>
  <c r="HW924" i="5" s="1"/>
  <c r="HW1041" i="5" s="1"/>
  <c r="HT905" i="5"/>
  <c r="HT924" i="5" s="1"/>
  <c r="HT1041" i="5" s="1"/>
  <c r="HT932" i="5"/>
  <c r="HS905" i="5"/>
  <c r="HS932" i="5"/>
  <c r="HV932" i="5"/>
  <c r="HV905" i="5"/>
  <c r="HV924" i="5" s="1"/>
  <c r="HV1041" i="5" s="1"/>
  <c r="AX37" i="19"/>
  <c r="AK1202" i="2"/>
  <c r="Q84" i="21" l="1"/>
  <c r="R84" i="21" s="1"/>
  <c r="HS924" i="5"/>
  <c r="JL905" i="5"/>
  <c r="HS1041" i="5" l="1"/>
  <c r="JL924" i="5"/>
  <c r="BD134" i="2"/>
  <c r="BE134" i="2"/>
  <c r="AX42" i="19"/>
  <c r="AN1190" i="2"/>
  <c r="U122" i="21" l="1"/>
  <c r="JL929" i="5"/>
  <c r="JL928" i="5"/>
  <c r="JL927" i="5"/>
  <c r="JL930" i="5"/>
  <c r="JL1041" i="5"/>
  <c r="AO1197" i="2"/>
  <c r="BG37" i="19" l="1"/>
  <c r="AQ58" i="19"/>
  <c r="BI58" i="19"/>
  <c r="AK1197" i="2"/>
  <c r="Q75" i="21" l="1"/>
  <c r="R75" i="21" s="1"/>
  <c r="U124" i="21"/>
  <c r="AM1197" i="2"/>
  <c r="AL1197" i="2"/>
  <c r="T75" i="21" l="1"/>
  <c r="U125" i="21"/>
  <c r="AF37" i="19"/>
  <c r="U75" i="21"/>
  <c r="AO37" i="19"/>
  <c r="AQ37" i="19" s="1"/>
  <c r="V75" i="21"/>
  <c r="AI37" i="19"/>
  <c r="AH37" i="19"/>
  <c r="BD68" i="19"/>
  <c r="AU68" i="19"/>
  <c r="U126" i="21" l="1"/>
  <c r="AK707" i="2"/>
  <c r="U127" i="21" l="1"/>
  <c r="BI107" i="19"/>
  <c r="BI86" i="19"/>
  <c r="BI79" i="19"/>
  <c r="BI76" i="19"/>
  <c r="BI64" i="19"/>
  <c r="BI55" i="19"/>
  <c r="BI53" i="19"/>
  <c r="BI48" i="19"/>
  <c r="BI35" i="19"/>
  <c r="BI30" i="19"/>
  <c r="BI26" i="19"/>
  <c r="BI23" i="19"/>
  <c r="AZ107" i="19"/>
  <c r="AZ86" i="19"/>
  <c r="AZ79" i="19"/>
  <c r="AZ76" i="19"/>
  <c r="AZ64" i="19"/>
  <c r="AZ55" i="19"/>
  <c r="AZ53" i="19"/>
  <c r="AZ48" i="19"/>
  <c r="AZ37" i="19"/>
  <c r="AZ35" i="19"/>
  <c r="AZ30" i="19"/>
  <c r="AZ26" i="19"/>
  <c r="AZ23" i="19"/>
  <c r="U128" i="21" l="1"/>
  <c r="AQ64" i="19"/>
  <c r="AQ55" i="19"/>
  <c r="AQ53" i="19"/>
  <c r="AQ48" i="19"/>
  <c r="AQ35" i="19"/>
  <c r="AQ30" i="19"/>
  <c r="AQ26" i="19"/>
  <c r="AQ23" i="19"/>
  <c r="AH64" i="19"/>
  <c r="AH55" i="19"/>
  <c r="AH53" i="19"/>
  <c r="AH48" i="19"/>
  <c r="AH35" i="19"/>
  <c r="AH30" i="19"/>
  <c r="AH26" i="19"/>
  <c r="AH23" i="19"/>
  <c r="Y64" i="19"/>
  <c r="Y55" i="19"/>
  <c r="Y53" i="19"/>
  <c r="Y48" i="19"/>
  <c r="Y37" i="19"/>
  <c r="Y26" i="19"/>
  <c r="U129" i="21" l="1"/>
  <c r="AK426" i="2"/>
  <c r="U130" i="21" l="1"/>
  <c r="AK1135" i="2"/>
  <c r="U131" i="21" l="1"/>
  <c r="AL1354" i="2"/>
  <c r="T47" i="21" l="1"/>
  <c r="U132" i="21"/>
  <c r="U47" i="21"/>
  <c r="AQ691" i="2"/>
  <c r="U133" i="21" l="1"/>
  <c r="Z37" i="19"/>
  <c r="V37" i="19"/>
  <c r="AU1059" i="2"/>
  <c r="AT1647" i="2"/>
  <c r="AT1650" i="2"/>
  <c r="AT1672" i="2"/>
  <c r="AU1361" i="2"/>
  <c r="AU1356" i="2"/>
  <c r="AU1357" i="2"/>
  <c r="AU1347" i="2"/>
  <c r="AU1351" i="2"/>
  <c r="AU1350" i="2" s="1"/>
  <c r="AU1346" i="2" s="1"/>
  <c r="AT1347" i="2"/>
  <c r="AT1351" i="2"/>
  <c r="AT1350" i="2" s="1"/>
  <c r="AU1333" i="2"/>
  <c r="AU1328" i="2"/>
  <c r="AU1295" i="2"/>
  <c r="AU1290" i="2"/>
  <c r="AU1237" i="2"/>
  <c r="AU1232" i="2"/>
  <c r="AU1223" i="2"/>
  <c r="AU1205" i="2"/>
  <c r="AU1199" i="2"/>
  <c r="AU1203" i="2"/>
  <c r="AU1191" i="2"/>
  <c r="AU1192" i="2"/>
  <c r="AU1121" i="2"/>
  <c r="AU1104" i="2"/>
  <c r="AU1105" i="2"/>
  <c r="AU1106" i="2"/>
  <c r="AU1107" i="2"/>
  <c r="AU1108" i="2"/>
  <c r="AU1097" i="2"/>
  <c r="AU1098" i="2"/>
  <c r="AU1093" i="2"/>
  <c r="AU1094" i="2"/>
  <c r="AU1091" i="2"/>
  <c r="AU1083" i="2"/>
  <c r="AU1084" i="2"/>
  <c r="AU1073" i="2"/>
  <c r="AU1074" i="2"/>
  <c r="AU1075" i="2"/>
  <c r="AU1068" i="2"/>
  <c r="AV1064" i="2"/>
  <c r="AV1065" i="2"/>
  <c r="AV1069" i="2"/>
  <c r="AV1081" i="2"/>
  <c r="AV1103" i="2"/>
  <c r="AV1109" i="2"/>
  <c r="AV1110" i="2"/>
  <c r="AV1111" i="2"/>
  <c r="AV1112" i="2"/>
  <c r="AV1113" i="2"/>
  <c r="AV1114" i="2"/>
  <c r="AV1115" i="2"/>
  <c r="AV1116" i="2"/>
  <c r="AV1117" i="2"/>
  <c r="AV1118" i="2"/>
  <c r="AV1122" i="2"/>
  <c r="AU1122" i="2" s="1"/>
  <c r="AV1127" i="2"/>
  <c r="AV1143" i="2"/>
  <c r="AU1143" i="2" s="1"/>
  <c r="AV1144" i="2"/>
  <c r="AU1144" i="2" s="1"/>
  <c r="AV1150" i="2"/>
  <c r="AU1150" i="2" s="1"/>
  <c r="AV1153" i="2"/>
  <c r="AV1154" i="2"/>
  <c r="AV1158" i="2"/>
  <c r="AV1160" i="2"/>
  <c r="AV1161" i="2"/>
  <c r="AV1162" i="2"/>
  <c r="AV1163" i="2"/>
  <c r="AV1164" i="2"/>
  <c r="AV1165" i="2"/>
  <c r="AV1167" i="2"/>
  <c r="AV1168" i="2"/>
  <c r="AV1169" i="2"/>
  <c r="AV1170" i="2"/>
  <c r="AV1171" i="2"/>
  <c r="AV1172" i="2"/>
  <c r="AV1173" i="2"/>
  <c r="AV1174" i="2"/>
  <c r="AV1175" i="2"/>
  <c r="AV1176" i="2"/>
  <c r="AV1177" i="2"/>
  <c r="AV1178" i="2"/>
  <c r="AV1179" i="2"/>
  <c r="AV1180" i="2"/>
  <c r="AV1181" i="2"/>
  <c r="AV1182" i="2"/>
  <c r="AV1183" i="2"/>
  <c r="AV1184" i="2"/>
  <c r="AV1185" i="2"/>
  <c r="AV1186" i="2"/>
  <c r="AV1187" i="2"/>
  <c r="AV1193" i="2"/>
  <c r="AV1194" i="2"/>
  <c r="AV1195" i="2"/>
  <c r="AV1200" i="2"/>
  <c r="AV1201" i="2"/>
  <c r="AV1202" i="2"/>
  <c r="AV1204" i="2"/>
  <c r="AV1214" i="2"/>
  <c r="AV1216" i="2"/>
  <c r="AV1217" i="2"/>
  <c r="AV1218" i="2"/>
  <c r="AV1219" i="2"/>
  <c r="AV1220" i="2"/>
  <c r="AV1221" i="2"/>
  <c r="AV1225" i="2"/>
  <c r="AV1230" i="2"/>
  <c r="AV1231" i="2"/>
  <c r="AV1234" i="2"/>
  <c r="AV1235" i="2"/>
  <c r="AV1236" i="2"/>
  <c r="AV1238" i="2"/>
  <c r="AV1239" i="2"/>
  <c r="AV1241" i="2"/>
  <c r="AU1241" i="2" s="1"/>
  <c r="AV1243" i="2"/>
  <c r="AV1244" i="2"/>
  <c r="AV1247" i="2"/>
  <c r="AV1252" i="2"/>
  <c r="AV1257" i="2"/>
  <c r="AV1259" i="2"/>
  <c r="AV1260" i="2"/>
  <c r="AV1266" i="2"/>
  <c r="AV1267" i="2"/>
  <c r="AV1270" i="2"/>
  <c r="AV1275" i="2"/>
  <c r="AU1275" i="2" s="1"/>
  <c r="AV1278" i="2"/>
  <c r="AV1279" i="2"/>
  <c r="AV1280" i="2"/>
  <c r="AV1281" i="2"/>
  <c r="AV1284" i="2"/>
  <c r="AV1285" i="2"/>
  <c r="AV1286" i="2"/>
  <c r="AV1287" i="2"/>
  <c r="AV1291" i="2"/>
  <c r="AV1292" i="2"/>
  <c r="AV1293" i="2"/>
  <c r="AV1294" i="2"/>
  <c r="AV1299" i="2"/>
  <c r="AV1301" i="2"/>
  <c r="AV1305" i="2"/>
  <c r="AV1307" i="2"/>
  <c r="AV1308" i="2"/>
  <c r="AV1309" i="2"/>
  <c r="AV1310" i="2"/>
  <c r="AV1311" i="2"/>
  <c r="AV1312" i="2"/>
  <c r="AV1315" i="2"/>
  <c r="AV1322" i="2"/>
  <c r="AV1325" i="2"/>
  <c r="AV1336" i="2"/>
  <c r="AV1338" i="2"/>
  <c r="AV1340" i="2"/>
  <c r="AV1341" i="2"/>
  <c r="AV1342" i="2"/>
  <c r="AV1345" i="2"/>
  <c r="AV1348" i="2"/>
  <c r="AV1349" i="2"/>
  <c r="AV1359" i="2"/>
  <c r="AV1362" i="2"/>
  <c r="AV1367" i="2"/>
  <c r="AU1367" i="2" s="1"/>
  <c r="AV1371" i="2"/>
  <c r="AV1372" i="2"/>
  <c r="AU1057" i="2"/>
  <c r="AE726" i="2"/>
  <c r="AE727" i="2"/>
  <c r="AE729" i="2"/>
  <c r="AE730" i="2"/>
  <c r="U134" i="21" l="1"/>
  <c r="AT1346" i="2"/>
  <c r="U135" i="21" l="1"/>
  <c r="AP697" i="2"/>
  <c r="AQ697" i="2"/>
  <c r="AR697" i="2"/>
  <c r="AS697" i="2"/>
  <c r="AT697" i="2"/>
  <c r="AT698" i="2" s="1"/>
  <c r="AL1190" i="2"/>
  <c r="U136" i="21" l="1"/>
  <c r="AK1338" i="2"/>
  <c r="Q38" i="21" l="1"/>
  <c r="R38" i="21" s="1"/>
  <c r="U137" i="21"/>
  <c r="Q112" i="21"/>
  <c r="R112" i="21" s="1"/>
  <c r="AK1337" i="2"/>
  <c r="AQ1195" i="2"/>
  <c r="AP1195" i="2"/>
  <c r="AO1195" i="2"/>
  <c r="AN1195" i="2"/>
  <c r="AM1195" i="2"/>
  <c r="AL1195" i="2"/>
  <c r="AK1195" i="2"/>
  <c r="AJ1195" i="2"/>
  <c r="AQ1336" i="2"/>
  <c r="AP1336" i="2"/>
  <c r="AO1336" i="2"/>
  <c r="AN1336" i="2"/>
  <c r="AM1336" i="2"/>
  <c r="AL1336" i="2"/>
  <c r="AK1336" i="2"/>
  <c r="U138" i="21" l="1"/>
  <c r="AM1121" i="2"/>
  <c r="AL1121" i="2"/>
  <c r="AO1121" i="2"/>
  <c r="U139" i="21" l="1"/>
  <c r="AO1304" i="2"/>
  <c r="JX978" i="5" s="1"/>
  <c r="AN1304" i="2"/>
  <c r="JU979" i="5" s="1"/>
  <c r="AM1304" i="2"/>
  <c r="AL1304" i="2"/>
  <c r="AP1289" i="2"/>
  <c r="AO1289" i="2"/>
  <c r="AN1289" i="2"/>
  <c r="AM1289" i="2"/>
  <c r="AL1289" i="2"/>
  <c r="AK1289" i="2"/>
  <c r="AK1304" i="2"/>
  <c r="AL708" i="2"/>
  <c r="AM708" i="2"/>
  <c r="AN708" i="2"/>
  <c r="AO708" i="2"/>
  <c r="AK708" i="2"/>
  <c r="AK1288" i="2" l="1"/>
  <c r="W116" i="21"/>
  <c r="V114" i="21"/>
  <c r="AO86" i="19"/>
  <c r="AM86" i="19" s="1"/>
  <c r="AN86" i="19" s="1"/>
  <c r="W114" i="21"/>
  <c r="V116" i="21"/>
  <c r="W86" i="19"/>
  <c r="Y86" i="19" s="1"/>
  <c r="Q116" i="21"/>
  <c r="R116" i="21" s="1"/>
  <c r="AF86" i="19"/>
  <c r="Q114" i="21"/>
  <c r="R114" i="21" s="1"/>
  <c r="T116" i="21"/>
  <c r="T114" i="21"/>
  <c r="U114" i="21" s="1"/>
  <c r="U140" i="21"/>
  <c r="U116" i="21"/>
  <c r="JR979" i="5"/>
  <c r="AO79" i="19"/>
  <c r="AQ79" i="19" s="1"/>
  <c r="JO979" i="5"/>
  <c r="AF79" i="19"/>
  <c r="W79" i="19"/>
  <c r="AK1335" i="2"/>
  <c r="AK1339" i="2"/>
  <c r="U86" i="19" l="1"/>
  <c r="V86" i="19" s="1"/>
  <c r="AQ86" i="19"/>
  <c r="AR86" i="19"/>
  <c r="AI86" i="19"/>
  <c r="AH86" i="19"/>
  <c r="AD86" i="19"/>
  <c r="AE86" i="19" s="1"/>
  <c r="Z86" i="19"/>
  <c r="AH79" i="19"/>
  <c r="U141" i="21"/>
  <c r="U79" i="19"/>
  <c r="V79" i="19" s="1"/>
  <c r="Y79" i="19"/>
  <c r="AJ421" i="2"/>
  <c r="U142" i="21" l="1"/>
  <c r="AO421" i="2"/>
  <c r="AO1391" i="2" l="1"/>
  <c r="U143" i="21"/>
  <c r="AO1476" i="2"/>
  <c r="JZ1064" i="5"/>
  <c r="JX1064" i="5" s="1"/>
  <c r="JY1064" i="5" s="1"/>
  <c r="AU109" i="19"/>
  <c r="AL109" i="19"/>
  <c r="W23" i="19"/>
  <c r="Y23" i="19" s="1"/>
  <c r="W29" i="19"/>
  <c r="Y29" i="19" s="1"/>
  <c r="W40" i="19"/>
  <c r="Y40" i="19" s="1"/>
  <c r="W73" i="19"/>
  <c r="Y73" i="19" s="1"/>
  <c r="W75" i="19"/>
  <c r="Y75" i="19" s="1"/>
  <c r="W81" i="19"/>
  <c r="Y81" i="19" s="1"/>
  <c r="W82" i="19"/>
  <c r="Y82" i="19" s="1"/>
  <c r="W98" i="19"/>
  <c r="Y98" i="19" s="1"/>
  <c r="W99" i="19"/>
  <c r="Y99" i="19" s="1"/>
  <c r="W100" i="19"/>
  <c r="Y100" i="19" s="1"/>
  <c r="W107" i="19"/>
  <c r="Y107" i="19" s="1"/>
  <c r="U144" i="21" l="1"/>
  <c r="AK1199" i="2"/>
  <c r="U145" i="21" l="1"/>
  <c r="W39" i="19"/>
  <c r="Q83" i="21"/>
  <c r="R83" i="21" s="1"/>
  <c r="W41" i="19"/>
  <c r="Y41" i="19" s="1"/>
  <c r="Y39" i="19"/>
  <c r="W42" i="19"/>
  <c r="Y42" i="19" s="1"/>
  <c r="AM1183" i="2"/>
  <c r="AL1183" i="2"/>
  <c r="AK1183" i="2"/>
  <c r="AK1182" i="2"/>
  <c r="AK1180" i="2"/>
  <c r="AK1179" i="2"/>
  <c r="AM1178" i="2"/>
  <c r="AL1178" i="2"/>
  <c r="AK1178" i="2"/>
  <c r="AK1177" i="2"/>
  <c r="AM1176" i="2"/>
  <c r="AL1176" i="2"/>
  <c r="AK1176" i="2"/>
  <c r="AM1175" i="2"/>
  <c r="AL1175" i="2"/>
  <c r="AK1175" i="2"/>
  <c r="AM1174" i="2"/>
  <c r="AL1174" i="2"/>
  <c r="AK1173" i="2"/>
  <c r="AK1174" i="2"/>
  <c r="AM1173" i="2"/>
  <c r="AL1173" i="2"/>
  <c r="AL1177" i="2"/>
  <c r="AM1177" i="2"/>
  <c r="AL1179" i="2"/>
  <c r="AM1179" i="2"/>
  <c r="AL1180" i="2"/>
  <c r="AM1180" i="2"/>
  <c r="AL1182" i="2"/>
  <c r="AM1182" i="2"/>
  <c r="AM1172" i="2"/>
  <c r="AL1172" i="2"/>
  <c r="AK1172" i="2"/>
  <c r="AL1171" i="2"/>
  <c r="AM1171" i="2"/>
  <c r="AK1171" i="2"/>
  <c r="AM1170" i="2"/>
  <c r="AL1170" i="2"/>
  <c r="AK1170" i="2"/>
  <c r="J68" i="20"/>
  <c r="I68" i="20"/>
  <c r="M47" i="20"/>
  <c r="L47" i="20"/>
  <c r="J47" i="20"/>
  <c r="J48" i="20" s="1"/>
  <c r="X42" i="20"/>
  <c r="T42" i="20"/>
  <c r="R42" i="20"/>
  <c r="P42" i="20"/>
  <c r="N42" i="20"/>
  <c r="L42" i="20"/>
  <c r="J42" i="20"/>
  <c r="X41" i="20"/>
  <c r="T41" i="20"/>
  <c r="R41" i="20"/>
  <c r="P41" i="20"/>
  <c r="N41" i="20"/>
  <c r="L41" i="20"/>
  <c r="J41" i="20"/>
  <c r="G41" i="20"/>
  <c r="F38" i="20"/>
  <c r="M28" i="20"/>
  <c r="U27" i="20"/>
  <c r="U28" i="20" s="1"/>
  <c r="T27" i="20"/>
  <c r="T28" i="20" s="1"/>
  <c r="S27" i="20"/>
  <c r="S28" i="20" s="1"/>
  <c r="R27" i="20"/>
  <c r="R28" i="20" s="1"/>
  <c r="Q27" i="20"/>
  <c r="Q28" i="20" s="1"/>
  <c r="P27" i="20"/>
  <c r="P28" i="20" s="1"/>
  <c r="O27" i="20"/>
  <c r="O28" i="20" s="1"/>
  <c r="N27" i="20"/>
  <c r="N28" i="20" s="1"/>
  <c r="M27" i="20"/>
  <c r="AY24" i="20"/>
  <c r="AX24" i="20"/>
  <c r="AW24" i="20"/>
  <c r="AV24" i="20"/>
  <c r="AU24" i="20"/>
  <c r="AT24" i="20"/>
  <c r="AS24" i="20"/>
  <c r="AR24" i="20"/>
  <c r="AQ24" i="20"/>
  <c r="AP24" i="20"/>
  <c r="AO24" i="20"/>
  <c r="AN24" i="20"/>
  <c r="AM24" i="20"/>
  <c r="AL24" i="20"/>
  <c r="AK24" i="20"/>
  <c r="AJ24" i="20"/>
  <c r="AI24" i="20"/>
  <c r="AH24" i="20"/>
  <c r="AG24" i="20"/>
  <c r="AF24" i="20"/>
  <c r="AE24" i="20"/>
  <c r="AD24" i="20"/>
  <c r="AC24" i="20"/>
  <c r="AB24" i="20"/>
  <c r="AA24" i="20"/>
  <c r="Z24" i="20"/>
  <c r="Y24" i="20"/>
  <c r="X24" i="20"/>
  <c r="W24" i="20"/>
  <c r="V24" i="20"/>
  <c r="U24" i="20"/>
  <c r="U30" i="20" s="1"/>
  <c r="T24" i="20"/>
  <c r="S24" i="20"/>
  <c r="R24" i="20"/>
  <c r="Q24" i="20"/>
  <c r="P24" i="20"/>
  <c r="O24" i="20"/>
  <c r="N24" i="20"/>
  <c r="M24" i="20"/>
  <c r="R9" i="20"/>
  <c r="R7" i="20"/>
  <c r="Q7" i="20"/>
  <c r="AK649" i="2"/>
  <c r="AL1328" i="2"/>
  <c r="AM1328" i="2"/>
  <c r="AN1328" i="2"/>
  <c r="AO1328" i="2"/>
  <c r="AP1328" i="2"/>
  <c r="AQ1328" i="2"/>
  <c r="AR1328" i="2"/>
  <c r="AS1328" i="2"/>
  <c r="AT1328" i="2"/>
  <c r="AK1328" i="2"/>
  <c r="AL1333" i="2"/>
  <c r="AM1333" i="2"/>
  <c r="AN1333" i="2"/>
  <c r="AO1333" i="2"/>
  <c r="AP1333" i="2"/>
  <c r="AQ1333" i="2"/>
  <c r="AR1333" i="2"/>
  <c r="AS1333" i="2"/>
  <c r="AT1333" i="2"/>
  <c r="AV1333" i="2" s="1"/>
  <c r="AK1333" i="2"/>
  <c r="AL1337" i="2"/>
  <c r="AM1337" i="2"/>
  <c r="AN1337" i="2"/>
  <c r="AO1337" i="2"/>
  <c r="AP1337" i="2"/>
  <c r="AQ1337" i="2"/>
  <c r="AR1337" i="2"/>
  <c r="AS1337" i="2"/>
  <c r="AT1337" i="2"/>
  <c r="AL1339" i="2"/>
  <c r="AM1339" i="2"/>
  <c r="AN1339" i="2"/>
  <c r="AO1339" i="2"/>
  <c r="AP1339" i="2"/>
  <c r="AQ1339" i="2"/>
  <c r="AR1339" i="2"/>
  <c r="AS1339" i="2"/>
  <c r="AT1339" i="2"/>
  <c r="W95" i="19"/>
  <c r="Y95" i="19" s="1"/>
  <c r="AM1343" i="2"/>
  <c r="AN1343" i="2"/>
  <c r="AO1343" i="2"/>
  <c r="AP1343" i="2"/>
  <c r="AQ1343" i="2"/>
  <c r="AR1343" i="2"/>
  <c r="AS1343" i="2"/>
  <c r="AT1343" i="2"/>
  <c r="AK1355" i="2"/>
  <c r="AT1271" i="2"/>
  <c r="AV1343" i="2" l="1"/>
  <c r="AU1343" i="2" s="1"/>
  <c r="W120" i="21"/>
  <c r="V120" i="21"/>
  <c r="AV1339" i="2"/>
  <c r="AU1339" i="2" s="1"/>
  <c r="AV1337" i="2"/>
  <c r="AU1337" i="2" s="1"/>
  <c r="AV1328" i="2"/>
  <c r="T67" i="21"/>
  <c r="U67" i="21" s="1"/>
  <c r="U146" i="21"/>
  <c r="W67" i="21"/>
  <c r="V67" i="21"/>
  <c r="Q67" i="21"/>
  <c r="R67" i="21" s="1"/>
  <c r="W94" i="19"/>
  <c r="Y94" i="19" s="1"/>
  <c r="U147" i="21" l="1"/>
  <c r="AJ707" i="2"/>
  <c r="AN706" i="2"/>
  <c r="AM706" i="2"/>
  <c r="AL706" i="2"/>
  <c r="AL1305" i="2" s="1"/>
  <c r="AK706" i="2"/>
  <c r="Q71" i="21"/>
  <c r="R71" i="21" s="1"/>
  <c r="AM1199" i="2"/>
  <c r="AL1199" i="2"/>
  <c r="AO697" i="2"/>
  <c r="AO1199" i="2" s="1"/>
  <c r="AN697" i="2"/>
  <c r="AN1199" i="2" s="1"/>
  <c r="AK1305" i="2" l="1"/>
  <c r="AM1305" i="2"/>
  <c r="AN1305" i="2"/>
  <c r="W83" i="21"/>
  <c r="T83" i="21"/>
  <c r="U83" i="21" s="1"/>
  <c r="V83" i="21"/>
  <c r="U148" i="21"/>
  <c r="T111" i="21"/>
  <c r="T113" i="21" s="1"/>
  <c r="HG781" i="5"/>
  <c r="HH781" i="5"/>
  <c r="HI781" i="5"/>
  <c r="HJ781" i="5"/>
  <c r="HK781" i="5"/>
  <c r="HL781" i="5"/>
  <c r="HN781" i="5"/>
  <c r="HO781" i="5"/>
  <c r="HP781" i="5"/>
  <c r="HQ781" i="5"/>
  <c r="HR781" i="5"/>
  <c r="HM781" i="5"/>
  <c r="HG780" i="5"/>
  <c r="V111" i="21" l="1"/>
  <c r="V113" i="21" s="1"/>
  <c r="JR978" i="5"/>
  <c r="Q111" i="21"/>
  <c r="R111" i="21" s="1"/>
  <c r="W111" i="21"/>
  <c r="W113" i="21" s="1"/>
  <c r="JU978" i="5"/>
  <c r="JU980" i="5"/>
  <c r="JR980" i="5"/>
  <c r="JO978" i="5"/>
  <c r="AL1303" i="2"/>
  <c r="U149" i="21"/>
  <c r="JO980" i="5"/>
  <c r="T662" i="2"/>
  <c r="U662" i="2"/>
  <c r="AL522" i="2"/>
  <c r="AM522" i="2"/>
  <c r="AN522" i="2"/>
  <c r="AO522" i="2"/>
  <c r="AK522" i="2"/>
  <c r="Q113" i="21" l="1"/>
  <c r="R113" i="21" s="1"/>
  <c r="T110" i="21"/>
  <c r="U110" i="21" s="1"/>
  <c r="U150" i="21"/>
  <c r="U111" i="21"/>
  <c r="U113" i="21"/>
  <c r="JJ1040" i="5"/>
  <c r="JK1040" i="5" s="1"/>
  <c r="JJ1039" i="5"/>
  <c r="JK1039" i="5" s="1"/>
  <c r="JJ1038" i="5"/>
  <c r="JJ1037" i="5"/>
  <c r="JJ1036" i="5"/>
  <c r="JJ1035" i="5"/>
  <c r="JJ1034" i="5"/>
  <c r="JK1034" i="5" s="1"/>
  <c r="JJ1033" i="5"/>
  <c r="JJ1032" i="5"/>
  <c r="JJ1031" i="5"/>
  <c r="JK1031" i="5" s="1"/>
  <c r="JJ1030" i="5"/>
  <c r="JJ1029" i="5"/>
  <c r="JJ1026" i="5"/>
  <c r="JJ1025" i="5"/>
  <c r="JJ1024" i="5"/>
  <c r="JJ1023" i="5"/>
  <c r="JJ1022" i="5"/>
  <c r="JJ1021" i="5"/>
  <c r="JJ1020" i="5"/>
  <c r="JJ1018" i="5"/>
  <c r="JJ1017" i="5"/>
  <c r="JJ1016" i="5"/>
  <c r="JJ1015" i="5"/>
  <c r="JJ1014" i="5"/>
  <c r="JJ1013" i="5"/>
  <c r="JJ1012" i="5"/>
  <c r="JJ1010" i="5"/>
  <c r="JJ1007" i="5"/>
  <c r="JK1007" i="5" s="1"/>
  <c r="JJ1006" i="5"/>
  <c r="JK1006" i="5" s="1"/>
  <c r="JJ1005" i="5"/>
  <c r="JJ1004" i="5"/>
  <c r="JJ1002" i="5"/>
  <c r="JK1002" i="5" s="1"/>
  <c r="JJ1001" i="5"/>
  <c r="JK1001" i="5" s="1"/>
  <c r="JJ1000" i="5"/>
  <c r="JJ999" i="5"/>
  <c r="JJ997" i="5"/>
  <c r="JJ996" i="5"/>
  <c r="JJ992" i="5"/>
  <c r="JJ991" i="5"/>
  <c r="JJ990" i="5"/>
  <c r="JJ989" i="5"/>
  <c r="JJ988" i="5"/>
  <c r="JJ987" i="5"/>
  <c r="JJ986" i="5"/>
  <c r="JJ984" i="5"/>
  <c r="JJ983" i="5"/>
  <c r="JJ982" i="5"/>
  <c r="JJ981" i="5"/>
  <c r="JJ980" i="5"/>
  <c r="JK980" i="5" s="1"/>
  <c r="JJ979" i="5"/>
  <c r="JK979" i="5" s="1"/>
  <c r="JJ978" i="5"/>
  <c r="JJ977" i="5"/>
  <c r="JJ976" i="5"/>
  <c r="JJ975" i="5"/>
  <c r="JJ974" i="5"/>
  <c r="JJ973" i="5"/>
  <c r="JJ972" i="5"/>
  <c r="JK972" i="5" s="1"/>
  <c r="JJ971" i="5"/>
  <c r="JJ970" i="5"/>
  <c r="JJ969" i="5"/>
  <c r="JK969" i="5" s="1"/>
  <c r="JJ968" i="5"/>
  <c r="JJ967" i="5"/>
  <c r="JJ966" i="5"/>
  <c r="JJ965" i="5"/>
  <c r="JJ964" i="5"/>
  <c r="JJ963" i="5"/>
  <c r="JJ960" i="5"/>
  <c r="JJ959" i="5"/>
  <c r="JJ958" i="5"/>
  <c r="JJ957" i="5"/>
  <c r="JJ954" i="5"/>
  <c r="JJ951" i="5"/>
  <c r="JJ949" i="5"/>
  <c r="JJ946" i="5"/>
  <c r="JJ945" i="5"/>
  <c r="JJ944" i="5"/>
  <c r="JJ943" i="5"/>
  <c r="JJ942" i="5"/>
  <c r="JJ941" i="5"/>
  <c r="JJ940" i="5"/>
  <c r="JJ939" i="5"/>
  <c r="JJ938" i="5"/>
  <c r="JJ937" i="5"/>
  <c r="JK937" i="5" s="1"/>
  <c r="JJ936" i="5"/>
  <c r="JJ935" i="5"/>
  <c r="JJ934" i="5"/>
  <c r="JJ913" i="5"/>
  <c r="JJ914" i="5"/>
  <c r="JJ915" i="5"/>
  <c r="JJ916" i="5"/>
  <c r="JJ917" i="5"/>
  <c r="JJ918" i="5"/>
  <c r="JJ920" i="5"/>
  <c r="JJ921" i="5"/>
  <c r="JJ922" i="5"/>
  <c r="JJ923" i="5"/>
  <c r="JJ926" i="5"/>
  <c r="JJ927" i="5"/>
  <c r="JJ928" i="5"/>
  <c r="JJ929" i="5"/>
  <c r="JJ930" i="5"/>
  <c r="JJ931" i="5"/>
  <c r="JJ909" i="5"/>
  <c r="JJ910" i="5"/>
  <c r="JJ911" i="5"/>
  <c r="JJ781" i="5"/>
  <c r="JJ803" i="5"/>
  <c r="JJ804" i="5"/>
  <c r="JJ805" i="5"/>
  <c r="JJ806" i="5"/>
  <c r="JJ807" i="5"/>
  <c r="JJ808" i="5"/>
  <c r="JJ809" i="5"/>
  <c r="JJ810" i="5"/>
  <c r="JJ811" i="5"/>
  <c r="JJ812" i="5"/>
  <c r="JJ816" i="5"/>
  <c r="JJ821" i="5"/>
  <c r="JJ822" i="5"/>
  <c r="JJ823" i="5"/>
  <c r="JJ824" i="5"/>
  <c r="JJ825" i="5"/>
  <c r="JJ830" i="5"/>
  <c r="JJ831" i="5"/>
  <c r="JJ834" i="5"/>
  <c r="JJ842" i="5"/>
  <c r="JJ848" i="5"/>
  <c r="JJ849" i="5"/>
  <c r="JJ852" i="5"/>
  <c r="JJ854" i="5"/>
  <c r="JJ855" i="5"/>
  <c r="JJ856" i="5"/>
  <c r="JJ857" i="5"/>
  <c r="JJ858" i="5"/>
  <c r="JJ859" i="5"/>
  <c r="JJ861" i="5"/>
  <c r="JJ862" i="5"/>
  <c r="JJ863" i="5"/>
  <c r="JJ864" i="5"/>
  <c r="JJ865" i="5"/>
  <c r="JJ866" i="5"/>
  <c r="JJ867" i="5"/>
  <c r="JJ868" i="5"/>
  <c r="JJ871" i="5"/>
  <c r="JJ872" i="5"/>
  <c r="JK872" i="5" s="1"/>
  <c r="JJ873" i="5"/>
  <c r="JK873" i="5" s="1"/>
  <c r="JJ874" i="5"/>
  <c r="JK874" i="5" s="1"/>
  <c r="JJ875" i="5"/>
  <c r="JK875" i="5" s="1"/>
  <c r="JJ879" i="5"/>
  <c r="JK879" i="5" s="1"/>
  <c r="JJ880" i="5"/>
  <c r="JK880" i="5" s="1"/>
  <c r="JJ881" i="5"/>
  <c r="JJ883" i="5"/>
  <c r="JJ884" i="5"/>
  <c r="JJ893" i="5"/>
  <c r="JJ895" i="5"/>
  <c r="JJ896" i="5"/>
  <c r="JJ897" i="5"/>
  <c r="JJ898" i="5"/>
  <c r="JJ899" i="5"/>
  <c r="JJ900" i="5"/>
  <c r="JJ902" i="5"/>
  <c r="JJ904" i="5"/>
  <c r="U151" i="21" l="1"/>
  <c r="HG1011" i="5"/>
  <c r="HH1011" i="5"/>
  <c r="HI1011" i="5"/>
  <c r="HJ1011" i="5"/>
  <c r="HK1011" i="5"/>
  <c r="HL1011" i="5"/>
  <c r="HM1011" i="5"/>
  <c r="HM1009" i="5" s="1"/>
  <c r="HN1011" i="5"/>
  <c r="HN1009" i="5" s="1"/>
  <c r="HN1008" i="5" s="1"/>
  <c r="HO1011" i="5"/>
  <c r="HO1009" i="5" s="1"/>
  <c r="HO1008" i="5" s="1"/>
  <c r="HP1011" i="5"/>
  <c r="HP1009" i="5" s="1"/>
  <c r="HP1008" i="5" s="1"/>
  <c r="HQ1011" i="5"/>
  <c r="HQ1009" i="5" s="1"/>
  <c r="HQ1008" i="5" s="1"/>
  <c r="HR1011" i="5"/>
  <c r="HR1009" i="5" s="1"/>
  <c r="HR1008" i="5" s="1"/>
  <c r="HH878" i="5"/>
  <c r="HI878" i="5"/>
  <c r="HJ878" i="5"/>
  <c r="HK878" i="5"/>
  <c r="HL878" i="5"/>
  <c r="HM878" i="5"/>
  <c r="HN878" i="5"/>
  <c r="HO878" i="5"/>
  <c r="HP878" i="5"/>
  <c r="HQ878" i="5"/>
  <c r="HR878" i="5"/>
  <c r="HC878" i="5"/>
  <c r="HD878" i="5"/>
  <c r="HE878" i="5"/>
  <c r="HF878" i="5"/>
  <c r="HG878" i="5"/>
  <c r="HM869" i="5"/>
  <c r="HN840" i="5"/>
  <c r="HN860" i="5" s="1"/>
  <c r="HB165" i="5"/>
  <c r="HC165" i="5"/>
  <c r="HD165" i="5"/>
  <c r="HE165" i="5"/>
  <c r="HF165" i="5"/>
  <c r="HH165" i="5"/>
  <c r="HI165" i="5"/>
  <c r="HJ165" i="5"/>
  <c r="HK165" i="5"/>
  <c r="HL165" i="5"/>
  <c r="HM165" i="5"/>
  <c r="HN165" i="5"/>
  <c r="HO165" i="5"/>
  <c r="HP165" i="5"/>
  <c r="HQ165" i="5"/>
  <c r="HR165" i="5"/>
  <c r="HG165" i="5"/>
  <c r="HM164" i="5"/>
  <c r="HN164" i="5"/>
  <c r="HP164" i="5"/>
  <c r="HQ164" i="5"/>
  <c r="HR164" i="5"/>
  <c r="HJ157" i="5"/>
  <c r="HK157" i="5"/>
  <c r="HL157" i="5"/>
  <c r="HM157" i="5"/>
  <c r="HN157" i="5"/>
  <c r="HB158" i="5"/>
  <c r="HC158" i="5"/>
  <c r="HD158" i="5"/>
  <c r="HE158" i="5"/>
  <c r="HF158" i="5"/>
  <c r="HH158" i="5"/>
  <c r="HI158" i="5"/>
  <c r="HJ158" i="5"/>
  <c r="HK158" i="5"/>
  <c r="HL158" i="5"/>
  <c r="HM158" i="5"/>
  <c r="HN158" i="5"/>
  <c r="HO158" i="5"/>
  <c r="HO157" i="5" s="1"/>
  <c r="HP158" i="5"/>
  <c r="HP157" i="5" s="1"/>
  <c r="HQ158" i="5"/>
  <c r="HQ157" i="5" s="1"/>
  <c r="HR158" i="5"/>
  <c r="HR157" i="5" s="1"/>
  <c r="HG158" i="5"/>
  <c r="HG157" i="5" s="1"/>
  <c r="HM1028" i="5"/>
  <c r="HN1028" i="5"/>
  <c r="HN1027" i="5" s="1"/>
  <c r="HN1019" i="5" s="1"/>
  <c r="HO1028" i="5"/>
  <c r="HO1027" i="5" s="1"/>
  <c r="HO1019" i="5" s="1"/>
  <c r="HP1028" i="5"/>
  <c r="HP1027" i="5" s="1"/>
  <c r="HP1019" i="5" s="1"/>
  <c r="HQ1028" i="5"/>
  <c r="HQ1027" i="5" s="1"/>
  <c r="HQ1019" i="5" s="1"/>
  <c r="HR1028" i="5"/>
  <c r="HR1027" i="5" s="1"/>
  <c r="HR1019" i="5" s="1"/>
  <c r="HM1003" i="5"/>
  <c r="HN1003" i="5"/>
  <c r="HO1003" i="5"/>
  <c r="HP1003" i="5"/>
  <c r="HQ1003" i="5"/>
  <c r="HR1003" i="5"/>
  <c r="HM998" i="5"/>
  <c r="HN998" i="5"/>
  <c r="HO998" i="5"/>
  <c r="HP998" i="5"/>
  <c r="HQ998" i="5"/>
  <c r="HR998" i="5"/>
  <c r="HM995" i="5"/>
  <c r="HN995" i="5"/>
  <c r="HO995" i="5"/>
  <c r="HP995" i="5"/>
  <c r="HQ995" i="5"/>
  <c r="HR995" i="5"/>
  <c r="HM985" i="5"/>
  <c r="HN985" i="5"/>
  <c r="HO985" i="5"/>
  <c r="HP985" i="5"/>
  <c r="HQ985" i="5"/>
  <c r="HR985" i="5"/>
  <c r="HM950" i="5"/>
  <c r="HN950" i="5"/>
  <c r="HO950" i="5"/>
  <c r="HP950" i="5"/>
  <c r="HQ950" i="5"/>
  <c r="HR950" i="5"/>
  <c r="HM919" i="5"/>
  <c r="HN919" i="5"/>
  <c r="HO919" i="5"/>
  <c r="HP919" i="5"/>
  <c r="HQ919" i="5"/>
  <c r="HR919" i="5"/>
  <c r="HM912" i="5"/>
  <c r="HN912" i="5"/>
  <c r="HO912" i="5"/>
  <c r="HP912" i="5"/>
  <c r="HQ912" i="5"/>
  <c r="HM903" i="5"/>
  <c r="HN903" i="5"/>
  <c r="HN1248" i="5" s="1"/>
  <c r="HO903" i="5"/>
  <c r="HO1248" i="5" s="1"/>
  <c r="HP903" i="5"/>
  <c r="HP1248" i="5" s="1"/>
  <c r="HQ903" i="5"/>
  <c r="HQ1248" i="5" s="1"/>
  <c r="HR903" i="5"/>
  <c r="HR1248" i="5" s="1"/>
  <c r="HM901" i="5"/>
  <c r="HN901" i="5"/>
  <c r="HO901" i="5"/>
  <c r="HP901" i="5"/>
  <c r="HQ901" i="5"/>
  <c r="HR901" i="5"/>
  <c r="HM894" i="5"/>
  <c r="HN894" i="5"/>
  <c r="HO894" i="5"/>
  <c r="HP894" i="5"/>
  <c r="HQ894" i="5"/>
  <c r="HR894" i="5"/>
  <c r="HM892" i="5"/>
  <c r="HN892" i="5"/>
  <c r="HO892" i="5"/>
  <c r="HP892" i="5"/>
  <c r="HQ892" i="5"/>
  <c r="HR892" i="5"/>
  <c r="HM891" i="5"/>
  <c r="HN891" i="5"/>
  <c r="HO891" i="5"/>
  <c r="HP891" i="5"/>
  <c r="HQ891" i="5"/>
  <c r="HR891" i="5"/>
  <c r="HM890" i="5"/>
  <c r="HN890" i="5"/>
  <c r="HO890" i="5"/>
  <c r="HP890" i="5"/>
  <c r="HQ890" i="5"/>
  <c r="HR890" i="5"/>
  <c r="HM889" i="5"/>
  <c r="HN889" i="5"/>
  <c r="HO889" i="5"/>
  <c r="HP889" i="5"/>
  <c r="HQ889" i="5"/>
  <c r="HR889" i="5"/>
  <c r="HM888" i="5"/>
  <c r="HN888" i="5"/>
  <c r="HO888" i="5"/>
  <c r="HP888" i="5"/>
  <c r="HQ888" i="5"/>
  <c r="HR888" i="5"/>
  <c r="HM887" i="5"/>
  <c r="HN887" i="5"/>
  <c r="HO887" i="5"/>
  <c r="HP887" i="5"/>
  <c r="HQ887" i="5"/>
  <c r="HR887" i="5"/>
  <c r="HM886" i="5"/>
  <c r="HN886" i="5"/>
  <c r="HO886" i="5"/>
  <c r="HP886" i="5"/>
  <c r="HQ886" i="5"/>
  <c r="HR886" i="5"/>
  <c r="HM885" i="5"/>
  <c r="HN885" i="5"/>
  <c r="HO885" i="5"/>
  <c r="HP885" i="5"/>
  <c r="HQ885" i="5"/>
  <c r="HR885" i="5"/>
  <c r="HM882" i="5"/>
  <c r="HN882" i="5"/>
  <c r="HO882" i="5"/>
  <c r="HP882" i="5"/>
  <c r="HQ882" i="5"/>
  <c r="HR882" i="5"/>
  <c r="HM877" i="5"/>
  <c r="HN877" i="5"/>
  <c r="HO877" i="5"/>
  <c r="HP877" i="5"/>
  <c r="HQ877" i="5"/>
  <c r="HR877" i="5"/>
  <c r="HM876" i="5"/>
  <c r="HN876" i="5"/>
  <c r="HN1245" i="5" s="1"/>
  <c r="HO876" i="5"/>
  <c r="HO1245" i="5" s="1"/>
  <c r="HP876" i="5"/>
  <c r="HP1245" i="5" s="1"/>
  <c r="HQ876" i="5"/>
  <c r="HQ1245" i="5" s="1"/>
  <c r="HR876" i="5"/>
  <c r="HR1245" i="5" s="1"/>
  <c r="HM870" i="5"/>
  <c r="HN870" i="5"/>
  <c r="HN1246" i="5" s="1"/>
  <c r="HO870" i="5"/>
  <c r="HO1246" i="5" s="1"/>
  <c r="HP870" i="5"/>
  <c r="HP1246" i="5" s="1"/>
  <c r="HQ870" i="5"/>
  <c r="HQ1246" i="5" s="1"/>
  <c r="HR870" i="5"/>
  <c r="HR1246" i="5" s="1"/>
  <c r="HN869" i="5"/>
  <c r="HO869" i="5"/>
  <c r="HP869" i="5"/>
  <c r="HQ869" i="5"/>
  <c r="HR869" i="5"/>
  <c r="HM853" i="5"/>
  <c r="HN853" i="5"/>
  <c r="HO853" i="5"/>
  <c r="HP853" i="5"/>
  <c r="HQ853" i="5"/>
  <c r="HR853" i="5"/>
  <c r="HM851" i="5"/>
  <c r="HN851" i="5"/>
  <c r="HO851" i="5"/>
  <c r="HP851" i="5"/>
  <c r="HQ851" i="5"/>
  <c r="HR851" i="5"/>
  <c r="HM843" i="5"/>
  <c r="HN843" i="5"/>
  <c r="HO843" i="5"/>
  <c r="HP843" i="5"/>
  <c r="HQ843" i="5"/>
  <c r="HR843" i="5"/>
  <c r="HM844" i="5"/>
  <c r="HN844" i="5"/>
  <c r="HO844" i="5"/>
  <c r="HP844" i="5"/>
  <c r="HQ844" i="5"/>
  <c r="HR844" i="5"/>
  <c r="HM846" i="5"/>
  <c r="HN846" i="5"/>
  <c r="HO846" i="5"/>
  <c r="HP846" i="5"/>
  <c r="HQ846" i="5"/>
  <c r="HR846" i="5"/>
  <c r="HM847" i="5"/>
  <c r="HN847" i="5"/>
  <c r="HO847" i="5"/>
  <c r="HP847" i="5"/>
  <c r="HQ847" i="5"/>
  <c r="HR847" i="5"/>
  <c r="HM840" i="5"/>
  <c r="HO840" i="5"/>
  <c r="HO860" i="5" s="1"/>
  <c r="HP840" i="5"/>
  <c r="HP860" i="5" s="1"/>
  <c r="HQ840" i="5"/>
  <c r="HQ860" i="5" s="1"/>
  <c r="HR840" i="5"/>
  <c r="HR860" i="5" s="1"/>
  <c r="HM841" i="5"/>
  <c r="HN841" i="5"/>
  <c r="HO841" i="5"/>
  <c r="HP841" i="5"/>
  <c r="HQ841" i="5"/>
  <c r="HR841" i="5"/>
  <c r="HM839" i="5"/>
  <c r="HN839" i="5"/>
  <c r="HO839" i="5"/>
  <c r="HP839" i="5"/>
  <c r="HQ839" i="5"/>
  <c r="HR839" i="5"/>
  <c r="HM838" i="5"/>
  <c r="HN838" i="5"/>
  <c r="HO838" i="5"/>
  <c r="HP838" i="5"/>
  <c r="HQ838" i="5"/>
  <c r="HR838" i="5"/>
  <c r="HM837" i="5"/>
  <c r="HN837" i="5"/>
  <c r="HO837" i="5"/>
  <c r="HP837" i="5"/>
  <c r="HQ837" i="5"/>
  <c r="HR837" i="5"/>
  <c r="HM836" i="5"/>
  <c r="HN836" i="5"/>
  <c r="HO836" i="5"/>
  <c r="HP836" i="5"/>
  <c r="HQ836" i="5"/>
  <c r="HR836" i="5"/>
  <c r="HM835" i="5"/>
  <c r="HN835" i="5"/>
  <c r="HO835" i="5"/>
  <c r="HP835" i="5"/>
  <c r="HQ835" i="5"/>
  <c r="HR835" i="5"/>
  <c r="HM833" i="5"/>
  <c r="HN833" i="5"/>
  <c r="HO833" i="5"/>
  <c r="HP833" i="5"/>
  <c r="HQ833" i="5"/>
  <c r="HR833" i="5"/>
  <c r="HM829" i="5"/>
  <c r="HN829" i="5"/>
  <c r="HO829" i="5"/>
  <c r="HP829" i="5"/>
  <c r="HQ829" i="5"/>
  <c r="HR829" i="5"/>
  <c r="HM832" i="5"/>
  <c r="HN832" i="5"/>
  <c r="HO832" i="5"/>
  <c r="HP832" i="5"/>
  <c r="HQ832" i="5"/>
  <c r="HR832" i="5"/>
  <c r="HM828" i="5"/>
  <c r="HN828" i="5"/>
  <c r="HO828" i="5"/>
  <c r="HP828" i="5"/>
  <c r="HQ828" i="5"/>
  <c r="HR828" i="5"/>
  <c r="HM827" i="5"/>
  <c r="HN827" i="5"/>
  <c r="HO827" i="5"/>
  <c r="HP827" i="5"/>
  <c r="HQ827" i="5"/>
  <c r="HR827" i="5"/>
  <c r="HM819" i="5"/>
  <c r="HN819" i="5"/>
  <c r="HO819" i="5"/>
  <c r="HP819" i="5"/>
  <c r="HQ819" i="5"/>
  <c r="HR819" i="5"/>
  <c r="HM820" i="5"/>
  <c r="HN820" i="5"/>
  <c r="HO820" i="5"/>
  <c r="HP820" i="5"/>
  <c r="HQ820" i="5"/>
  <c r="HR820" i="5"/>
  <c r="HM817" i="5"/>
  <c r="HN817" i="5"/>
  <c r="HO817" i="5"/>
  <c r="HP817" i="5"/>
  <c r="HQ817" i="5"/>
  <c r="HR817" i="5"/>
  <c r="HM815" i="5"/>
  <c r="HN815" i="5"/>
  <c r="HO815" i="5"/>
  <c r="HP815" i="5"/>
  <c r="HQ815" i="5"/>
  <c r="HR815" i="5"/>
  <c r="HM799" i="5"/>
  <c r="HN799" i="5"/>
  <c r="HO799" i="5"/>
  <c r="HP799" i="5"/>
  <c r="HQ799" i="5"/>
  <c r="HR799" i="5"/>
  <c r="HM800" i="5"/>
  <c r="HN800" i="5"/>
  <c r="HO800" i="5"/>
  <c r="HP800" i="5"/>
  <c r="HQ800" i="5"/>
  <c r="HR800" i="5"/>
  <c r="HM801" i="5"/>
  <c r="HN801" i="5"/>
  <c r="HO801" i="5"/>
  <c r="HP801" i="5"/>
  <c r="HQ801" i="5"/>
  <c r="HR801" i="5"/>
  <c r="HM802" i="5"/>
  <c r="HN802" i="5"/>
  <c r="HO802" i="5"/>
  <c r="HP802" i="5"/>
  <c r="HQ802" i="5"/>
  <c r="HR802" i="5"/>
  <c r="HM798" i="5"/>
  <c r="HN798" i="5"/>
  <c r="HO798" i="5"/>
  <c r="HP798" i="5"/>
  <c r="HQ798" i="5"/>
  <c r="HR798" i="5"/>
  <c r="HM797" i="5"/>
  <c r="HN797" i="5"/>
  <c r="HO797" i="5"/>
  <c r="HP797" i="5"/>
  <c r="HQ797" i="5"/>
  <c r="HR797" i="5"/>
  <c r="HR796" i="5"/>
  <c r="HR962" i="5" s="1"/>
  <c r="HR961" i="5" s="1"/>
  <c r="HM796" i="5"/>
  <c r="HM962" i="5" s="1"/>
  <c r="HN796" i="5"/>
  <c r="HN962" i="5" s="1"/>
  <c r="HN961" i="5" s="1"/>
  <c r="HO796" i="5"/>
  <c r="HO962" i="5" s="1"/>
  <c r="HO961" i="5" s="1"/>
  <c r="HP796" i="5"/>
  <c r="HP962" i="5" s="1"/>
  <c r="HP961" i="5" s="1"/>
  <c r="HQ796" i="5"/>
  <c r="HQ962" i="5" s="1"/>
  <c r="HQ961" i="5" s="1"/>
  <c r="HM795" i="5"/>
  <c r="HN795" i="5"/>
  <c r="HN953" i="5" s="1"/>
  <c r="HN952" i="5" s="1"/>
  <c r="HO795" i="5"/>
  <c r="HO953" i="5" s="1"/>
  <c r="HO952" i="5" s="1"/>
  <c r="HP795" i="5"/>
  <c r="HP953" i="5" s="1"/>
  <c r="HP952" i="5" s="1"/>
  <c r="HQ795" i="5"/>
  <c r="HQ953" i="5" s="1"/>
  <c r="HQ952" i="5" s="1"/>
  <c r="HR795" i="5"/>
  <c r="HR953" i="5" s="1"/>
  <c r="HR952" i="5" s="1"/>
  <c r="HM794" i="5"/>
  <c r="HN794" i="5"/>
  <c r="HO794" i="5"/>
  <c r="HP794" i="5"/>
  <c r="HQ794" i="5"/>
  <c r="HR794" i="5"/>
  <c r="HM793" i="5"/>
  <c r="HN793" i="5"/>
  <c r="HN1236" i="5" s="1"/>
  <c r="HO793" i="5"/>
  <c r="HO1236" i="5" s="1"/>
  <c r="HP793" i="5"/>
  <c r="HP1236" i="5" s="1"/>
  <c r="HQ793" i="5"/>
  <c r="HQ1236" i="5" s="1"/>
  <c r="HR793" i="5"/>
  <c r="HR1236" i="5" s="1"/>
  <c r="HM792" i="5"/>
  <c r="HN792" i="5"/>
  <c r="HO792" i="5"/>
  <c r="HP792" i="5"/>
  <c r="HQ792" i="5"/>
  <c r="HR792" i="5"/>
  <c r="HM791" i="5"/>
  <c r="HN791" i="5"/>
  <c r="HO791" i="5"/>
  <c r="HP791" i="5"/>
  <c r="HQ791" i="5"/>
  <c r="HR791" i="5"/>
  <c r="HM790" i="5"/>
  <c r="HN790" i="5"/>
  <c r="HO790" i="5"/>
  <c r="HP790" i="5"/>
  <c r="HQ790" i="5"/>
  <c r="HR790" i="5"/>
  <c r="HM789" i="5"/>
  <c r="HN789" i="5"/>
  <c r="HO789" i="5"/>
  <c r="HP789" i="5"/>
  <c r="HQ789" i="5"/>
  <c r="HR789" i="5"/>
  <c r="HM788" i="5"/>
  <c r="HN788" i="5"/>
  <c r="HO788" i="5"/>
  <c r="HP788" i="5"/>
  <c r="HQ788" i="5"/>
  <c r="HR788" i="5"/>
  <c r="HM787" i="5"/>
  <c r="HN787" i="5"/>
  <c r="HO787" i="5"/>
  <c r="HP787" i="5"/>
  <c r="HQ787" i="5"/>
  <c r="HR787" i="5"/>
  <c r="HM786" i="5"/>
  <c r="HN786" i="5"/>
  <c r="HO786" i="5"/>
  <c r="HP786" i="5"/>
  <c r="HQ786" i="5"/>
  <c r="HR786" i="5"/>
  <c r="HM785" i="5"/>
  <c r="HN785" i="5"/>
  <c r="HO785" i="5"/>
  <c r="HP785" i="5"/>
  <c r="HQ785" i="5"/>
  <c r="HR785" i="5"/>
  <c r="HM784" i="5"/>
  <c r="HN784" i="5"/>
  <c r="HO784" i="5"/>
  <c r="HP784" i="5"/>
  <c r="HQ784" i="5"/>
  <c r="HR784" i="5"/>
  <c r="HM783" i="5"/>
  <c r="HN783" i="5"/>
  <c r="HO783" i="5"/>
  <c r="HP783" i="5"/>
  <c r="HQ783" i="5"/>
  <c r="HR783" i="5"/>
  <c r="HM782" i="5"/>
  <c r="HN782" i="5"/>
  <c r="HN956" i="5" s="1"/>
  <c r="HN955" i="5" s="1"/>
  <c r="HO782" i="5"/>
  <c r="HO956" i="5" s="1"/>
  <c r="HO955" i="5" s="1"/>
  <c r="HP782" i="5"/>
  <c r="HP956" i="5" s="1"/>
  <c r="HP955" i="5" s="1"/>
  <c r="HQ782" i="5"/>
  <c r="HQ956" i="5" s="1"/>
  <c r="HQ955" i="5" s="1"/>
  <c r="HR782" i="5"/>
  <c r="HR956" i="5" s="1"/>
  <c r="HR955" i="5" s="1"/>
  <c r="HM780" i="5"/>
  <c r="HN780" i="5"/>
  <c r="HO780" i="5"/>
  <c r="HP780" i="5"/>
  <c r="HQ780" i="5"/>
  <c r="HR780" i="5"/>
  <c r="HM779" i="5"/>
  <c r="HN779" i="5"/>
  <c r="HO779" i="5"/>
  <c r="HP779" i="5"/>
  <c r="HQ779" i="5"/>
  <c r="HR779" i="5"/>
  <c r="HM778" i="5"/>
  <c r="HN778" i="5"/>
  <c r="HO778" i="5"/>
  <c r="HP778" i="5"/>
  <c r="HQ778" i="5"/>
  <c r="HR778" i="5"/>
  <c r="HM777" i="5"/>
  <c r="HN777" i="5"/>
  <c r="HO777" i="5"/>
  <c r="HP777" i="5"/>
  <c r="HQ777" i="5"/>
  <c r="HR777" i="5"/>
  <c r="HM776" i="5"/>
  <c r="HN776" i="5"/>
  <c r="HO776" i="5"/>
  <c r="HP776" i="5"/>
  <c r="HQ776" i="5"/>
  <c r="HR776" i="5"/>
  <c r="HM775" i="5"/>
  <c r="HN775" i="5"/>
  <c r="HO775" i="5"/>
  <c r="HP775" i="5"/>
  <c r="HQ775" i="5"/>
  <c r="HR775" i="5"/>
  <c r="HM774" i="5"/>
  <c r="HN774" i="5"/>
  <c r="HO774" i="5"/>
  <c r="HP774" i="5"/>
  <c r="HQ774" i="5"/>
  <c r="HR774" i="5"/>
  <c r="HM773" i="5"/>
  <c r="HN773" i="5"/>
  <c r="HO773" i="5"/>
  <c r="HP773" i="5"/>
  <c r="HQ773" i="5"/>
  <c r="HR773" i="5"/>
  <c r="HM772" i="5"/>
  <c r="HN772" i="5"/>
  <c r="HO772" i="5"/>
  <c r="HP772" i="5"/>
  <c r="HQ772" i="5"/>
  <c r="HR772" i="5"/>
  <c r="HM771" i="5"/>
  <c r="HN771" i="5"/>
  <c r="HN1235" i="5" s="1"/>
  <c r="HO771" i="5"/>
  <c r="HO1235" i="5" s="1"/>
  <c r="HP771" i="5"/>
  <c r="HP1235" i="5" s="1"/>
  <c r="HQ771" i="5"/>
  <c r="HQ1235" i="5" s="1"/>
  <c r="HR771" i="5"/>
  <c r="HR1235" i="5" s="1"/>
  <c r="HM770" i="5"/>
  <c r="HN770" i="5"/>
  <c r="HO770" i="5"/>
  <c r="HP770" i="5"/>
  <c r="HQ770" i="5"/>
  <c r="HR770" i="5"/>
  <c r="HM769" i="5"/>
  <c r="HN769" i="5"/>
  <c r="HO769" i="5"/>
  <c r="HP769" i="5"/>
  <c r="HQ769" i="5"/>
  <c r="HR769" i="5"/>
  <c r="HM768" i="5"/>
  <c r="HN768" i="5"/>
  <c r="HO768" i="5"/>
  <c r="HP768" i="5"/>
  <c r="HQ768" i="5"/>
  <c r="HR768" i="5"/>
  <c r="HM767" i="5"/>
  <c r="HN767" i="5"/>
  <c r="HO767" i="5"/>
  <c r="HP767" i="5"/>
  <c r="HQ767" i="5"/>
  <c r="HR767" i="5"/>
  <c r="HM766" i="5"/>
  <c r="HN766" i="5"/>
  <c r="HO766" i="5"/>
  <c r="HP766" i="5"/>
  <c r="HQ766" i="5"/>
  <c r="HR766" i="5"/>
  <c r="HM765" i="5"/>
  <c r="HN765" i="5"/>
  <c r="HO765" i="5"/>
  <c r="HP765" i="5"/>
  <c r="HQ765" i="5"/>
  <c r="HR765" i="5"/>
  <c r="HM764" i="5"/>
  <c r="HN764" i="5"/>
  <c r="HO764" i="5"/>
  <c r="HP764" i="5"/>
  <c r="HQ764" i="5"/>
  <c r="HR764" i="5"/>
  <c r="HM763" i="5"/>
  <c r="HN763" i="5"/>
  <c r="HO763" i="5"/>
  <c r="HP763" i="5"/>
  <c r="HQ763" i="5"/>
  <c r="HR763" i="5"/>
  <c r="HM762" i="5"/>
  <c r="HN762" i="5"/>
  <c r="HO762" i="5"/>
  <c r="HP762" i="5"/>
  <c r="HQ762" i="5"/>
  <c r="HR762" i="5"/>
  <c r="HM761" i="5"/>
  <c r="HN761" i="5"/>
  <c r="HO761" i="5"/>
  <c r="HP761" i="5"/>
  <c r="HQ761" i="5"/>
  <c r="HR761" i="5"/>
  <c r="HM760" i="5"/>
  <c r="HN760" i="5"/>
  <c r="HO760" i="5"/>
  <c r="HP760" i="5"/>
  <c r="HQ760" i="5"/>
  <c r="HR760" i="5"/>
  <c r="HM759" i="5"/>
  <c r="HN759" i="5"/>
  <c r="HO759" i="5"/>
  <c r="HP759" i="5"/>
  <c r="HQ759" i="5"/>
  <c r="HR759" i="5"/>
  <c r="HM758" i="5"/>
  <c r="HN758" i="5"/>
  <c r="HO758" i="5"/>
  <c r="HP758" i="5"/>
  <c r="HQ758" i="5"/>
  <c r="HR758" i="5"/>
  <c r="HM757" i="5"/>
  <c r="HN757" i="5"/>
  <c r="HO757" i="5"/>
  <c r="HP757" i="5"/>
  <c r="HQ757" i="5"/>
  <c r="HR757" i="5"/>
  <c r="HM756" i="5"/>
  <c r="HN756" i="5"/>
  <c r="HO756" i="5"/>
  <c r="HP756" i="5"/>
  <c r="HQ756" i="5"/>
  <c r="HR756" i="5"/>
  <c r="HM753" i="5"/>
  <c r="HN753" i="5"/>
  <c r="HO753" i="5"/>
  <c r="HP753" i="5"/>
  <c r="HQ753" i="5"/>
  <c r="HR753" i="5"/>
  <c r="U152" i="21" l="1"/>
  <c r="HR1253" i="5"/>
  <c r="JJ886" i="5"/>
  <c r="HN1243" i="5"/>
  <c r="HQ1253" i="5"/>
  <c r="JJ844" i="5"/>
  <c r="HP1243" i="5"/>
  <c r="HP1253" i="5"/>
  <c r="HO1253" i="5"/>
  <c r="HN1253" i="5"/>
  <c r="JJ763" i="5"/>
  <c r="JJ773" i="5"/>
  <c r="JJ784" i="5"/>
  <c r="JJ794" i="5"/>
  <c r="JJ837" i="5"/>
  <c r="HR1243" i="5"/>
  <c r="HQ1243" i="5"/>
  <c r="HN1247" i="5"/>
  <c r="HO1243" i="5"/>
  <c r="HR908" i="5"/>
  <c r="HR1251" i="5" s="1"/>
  <c r="HO1247" i="5"/>
  <c r="HM908" i="5"/>
  <c r="HM1240" i="5"/>
  <c r="JJ817" i="5"/>
  <c r="HP1247" i="5"/>
  <c r="HN1250" i="5"/>
  <c r="HM953" i="5"/>
  <c r="JJ795" i="5"/>
  <c r="JJ843" i="5"/>
  <c r="JJ799" i="5"/>
  <c r="JJ882" i="5"/>
  <c r="JJ901" i="5"/>
  <c r="HQ948" i="5"/>
  <c r="HQ947" i="5" s="1"/>
  <c r="JJ758" i="5"/>
  <c r="JJ768" i="5"/>
  <c r="JJ778" i="5"/>
  <c r="JJ789" i="5"/>
  <c r="JJ802" i="5"/>
  <c r="HQ1239" i="5"/>
  <c r="JJ832" i="5"/>
  <c r="HP948" i="5"/>
  <c r="HP947" i="5" s="1"/>
  <c r="JJ791" i="5"/>
  <c r="JJ765" i="5"/>
  <c r="JJ775" i="5"/>
  <c r="JJ786" i="5"/>
  <c r="HO1239" i="5"/>
  <c r="HM818" i="5"/>
  <c r="JJ819" i="5"/>
  <c r="JJ839" i="5"/>
  <c r="HP845" i="5"/>
  <c r="HP826" i="5" s="1"/>
  <c r="HP1237" i="5" s="1"/>
  <c r="HN948" i="5"/>
  <c r="HN947" i="5" s="1"/>
  <c r="HM1250" i="5"/>
  <c r="JJ912" i="5"/>
  <c r="JJ894" i="5"/>
  <c r="JJ767" i="5"/>
  <c r="JJ985" i="5"/>
  <c r="HM1008" i="5"/>
  <c r="JJ1008" i="5" s="1"/>
  <c r="JJ1009" i="5"/>
  <c r="JJ847" i="5"/>
  <c r="JJ796" i="5"/>
  <c r="HO948" i="5"/>
  <c r="HO947" i="5" s="1"/>
  <c r="HN1239" i="5"/>
  <c r="HM1243" i="5"/>
  <c r="JJ851" i="5"/>
  <c r="JJ888" i="5"/>
  <c r="HM948" i="5"/>
  <c r="JJ950" i="5"/>
  <c r="JJ995" i="5"/>
  <c r="JJ1011" i="5"/>
  <c r="HM961" i="5"/>
  <c r="JJ961" i="5" s="1"/>
  <c r="JJ962" i="5"/>
  <c r="JJ820" i="5"/>
  <c r="JJ919" i="5"/>
  <c r="JJ772" i="5"/>
  <c r="HM1236" i="5"/>
  <c r="JJ793" i="5"/>
  <c r="HM1239" i="5"/>
  <c r="JJ815" i="5"/>
  <c r="JJ836" i="5"/>
  <c r="HR1244" i="5"/>
  <c r="JJ777" i="5"/>
  <c r="JJ1003" i="5"/>
  <c r="JJ764" i="5"/>
  <c r="HR1234" i="5"/>
  <c r="HQ1234" i="5"/>
  <c r="HR814" i="5"/>
  <c r="HR1240" i="5"/>
  <c r="JJ846" i="5"/>
  <c r="HO1234" i="5"/>
  <c r="JJ759" i="5"/>
  <c r="JJ769" i="5"/>
  <c r="JJ779" i="5"/>
  <c r="JJ790" i="5"/>
  <c r="JJ801" i="5"/>
  <c r="HQ814" i="5"/>
  <c r="HQ1240" i="5"/>
  <c r="JJ829" i="5"/>
  <c r="HP1244" i="5"/>
  <c r="HR1250" i="5"/>
  <c r="HP994" i="5"/>
  <c r="HP993" i="5" s="1"/>
  <c r="JJ760" i="5"/>
  <c r="HM1247" i="5"/>
  <c r="JJ877" i="5"/>
  <c r="JJ838" i="5"/>
  <c r="JJ887" i="5"/>
  <c r="JJ761" i="5"/>
  <c r="HR948" i="5"/>
  <c r="HR947" i="5" s="1"/>
  <c r="JJ891" i="5"/>
  <c r="HP1234" i="5"/>
  <c r="HQ1244" i="5"/>
  <c r="HM1248" i="5"/>
  <c r="JJ903" i="5"/>
  <c r="HN1234" i="5"/>
  <c r="HP814" i="5"/>
  <c r="HP1240" i="5"/>
  <c r="HO1244" i="5"/>
  <c r="HM1245" i="5"/>
  <c r="JJ876" i="5"/>
  <c r="JJ892" i="5"/>
  <c r="HQ1250" i="5"/>
  <c r="HO994" i="5"/>
  <c r="HO993" i="5" s="1"/>
  <c r="JJ770" i="5"/>
  <c r="JJ800" i="5"/>
  <c r="JJ878" i="5"/>
  <c r="JJ788" i="5"/>
  <c r="JJ828" i="5"/>
  <c r="JJ890" i="5"/>
  <c r="JJ785" i="5"/>
  <c r="JJ792" i="5"/>
  <c r="HQ845" i="5"/>
  <c r="HQ826" i="5" s="1"/>
  <c r="HQ1237" i="5" s="1"/>
  <c r="HM1246" i="5"/>
  <c r="JJ870" i="5"/>
  <c r="JJ762" i="5"/>
  <c r="HM1234" i="5"/>
  <c r="JJ756" i="5"/>
  <c r="JJ766" i="5"/>
  <c r="JJ776" i="5"/>
  <c r="JJ787" i="5"/>
  <c r="JJ797" i="5"/>
  <c r="HO814" i="5"/>
  <c r="HO813" i="5" s="1"/>
  <c r="HO1238" i="5" s="1"/>
  <c r="HO1240" i="5"/>
  <c r="JJ827" i="5"/>
  <c r="JJ841" i="5"/>
  <c r="HN1244" i="5"/>
  <c r="HR1247" i="5"/>
  <c r="HP1250" i="5"/>
  <c r="HN994" i="5"/>
  <c r="HN993" i="5" s="1"/>
  <c r="JJ833" i="5"/>
  <c r="HM860" i="5"/>
  <c r="JJ860" i="5" s="1"/>
  <c r="JJ840" i="5"/>
  <c r="JJ757" i="5"/>
  <c r="JJ798" i="5"/>
  <c r="JJ774" i="5"/>
  <c r="HM1235" i="5"/>
  <c r="JJ771" i="5"/>
  <c r="JJ835" i="5"/>
  <c r="HR1239" i="5"/>
  <c r="HP1239" i="5"/>
  <c r="JJ869" i="5"/>
  <c r="JJ885" i="5"/>
  <c r="HN814" i="5"/>
  <c r="HN813" i="5" s="1"/>
  <c r="HN1238" i="5" s="1"/>
  <c r="HN1240" i="5"/>
  <c r="HM1244" i="5"/>
  <c r="JJ853" i="5"/>
  <c r="HQ1247" i="5"/>
  <c r="JJ889" i="5"/>
  <c r="HO1250" i="5"/>
  <c r="HM994" i="5"/>
  <c r="HM1255" i="5" s="1"/>
  <c r="JJ998" i="5"/>
  <c r="HM1027" i="5"/>
  <c r="JJ1028" i="5"/>
  <c r="JJ783" i="5"/>
  <c r="HM956" i="5"/>
  <c r="JJ782" i="5"/>
  <c r="JJ780" i="5"/>
  <c r="HR994" i="5"/>
  <c r="HR1255" i="5" s="1"/>
  <c r="HQ994" i="5"/>
  <c r="HQ1255" i="5" s="1"/>
  <c r="HQ850" i="5"/>
  <c r="HR850" i="5"/>
  <c r="HO845" i="5"/>
  <c r="HO826" i="5" s="1"/>
  <c r="HO1237" i="5" s="1"/>
  <c r="HN845" i="5"/>
  <c r="HN826" i="5" s="1"/>
  <c r="HN1237" i="5" s="1"/>
  <c r="HM845" i="5"/>
  <c r="HM826" i="5" s="1"/>
  <c r="HR845" i="5"/>
  <c r="HR826" i="5" s="1"/>
  <c r="HR1237" i="5" s="1"/>
  <c r="HR818" i="5"/>
  <c r="HQ818" i="5"/>
  <c r="HP818" i="5"/>
  <c r="HO818" i="5"/>
  <c r="HN818" i="5"/>
  <c r="HQ908" i="5"/>
  <c r="HP908" i="5"/>
  <c r="HO908" i="5"/>
  <c r="HN908" i="5"/>
  <c r="HM814" i="5"/>
  <c r="HR755" i="5"/>
  <c r="HR1233" i="5" s="1"/>
  <c r="HQ755" i="5"/>
  <c r="HQ1233" i="5" s="1"/>
  <c r="HO755" i="5"/>
  <c r="HR993" i="5"/>
  <c r="HQ993" i="5"/>
  <c r="HP850" i="5"/>
  <c r="HO850" i="5"/>
  <c r="HN850" i="5"/>
  <c r="HM850" i="5"/>
  <c r="JJ850" i="5" s="1"/>
  <c r="HP755" i="5"/>
  <c r="HP1233" i="5" s="1"/>
  <c r="HN755" i="5"/>
  <c r="HN1233" i="5" s="1"/>
  <c r="HM755" i="5"/>
  <c r="AP529" i="2"/>
  <c r="AP530" i="2" s="1"/>
  <c r="AQ529" i="2"/>
  <c r="AQ530" i="2" s="1"/>
  <c r="AR529" i="2"/>
  <c r="AR530" i="2" s="1"/>
  <c r="AS529" i="2"/>
  <c r="AS530" i="2" s="1"/>
  <c r="AT529" i="2"/>
  <c r="AT530" i="2" s="1"/>
  <c r="U153" i="21" l="1"/>
  <c r="HP813" i="5"/>
  <c r="HP1238" i="5" s="1"/>
  <c r="HR907" i="5"/>
  <c r="HR1249" i="5"/>
  <c r="HO1242" i="5"/>
  <c r="HN1242" i="5"/>
  <c r="HR813" i="5"/>
  <c r="HP1242" i="5"/>
  <c r="HQ1242" i="5"/>
  <c r="HQ813" i="5"/>
  <c r="HQ1238" i="5" s="1"/>
  <c r="HR1242" i="5"/>
  <c r="HR1241" i="5" s="1"/>
  <c r="HR754" i="5"/>
  <c r="HR905" i="5" s="1"/>
  <c r="HR924" i="5" s="1"/>
  <c r="HR1041" i="5" s="1"/>
  <c r="HR1238" i="5"/>
  <c r="HR1254" i="5"/>
  <c r="HR1256" i="5" s="1"/>
  <c r="JJ818" i="5"/>
  <c r="HQ1232" i="5"/>
  <c r="JJ845" i="5"/>
  <c r="HO906" i="5"/>
  <c r="HO1233" i="5"/>
  <c r="HO1232" i="5" s="1"/>
  <c r="HM952" i="5"/>
  <c r="JJ952" i="5" s="1"/>
  <c r="JJ953" i="5"/>
  <c r="HQ907" i="5"/>
  <c r="HQ1251" i="5"/>
  <c r="HQ1249" i="5" s="1"/>
  <c r="HN1254" i="5"/>
  <c r="HM947" i="5"/>
  <c r="JJ948" i="5"/>
  <c r="HM1233" i="5"/>
  <c r="JJ755" i="5"/>
  <c r="HM1242" i="5"/>
  <c r="HN1232" i="5"/>
  <c r="HR1232" i="5"/>
  <c r="HM813" i="5"/>
  <c r="HM754" i="5" s="1"/>
  <c r="JJ814" i="5"/>
  <c r="HP1255" i="5"/>
  <c r="HM993" i="5"/>
  <c r="JJ993" i="5" s="1"/>
  <c r="JJ994" i="5"/>
  <c r="HN1255" i="5"/>
  <c r="HO1255" i="5"/>
  <c r="HO754" i="5"/>
  <c r="HO905" i="5" s="1"/>
  <c r="HO1254" i="5"/>
  <c r="HO907" i="5"/>
  <c r="HO1251" i="5"/>
  <c r="HO1249" i="5" s="1"/>
  <c r="HP1254" i="5"/>
  <c r="HM1237" i="5"/>
  <c r="JJ826" i="5"/>
  <c r="HQ1254" i="5"/>
  <c r="HQ1256" i="5" s="1"/>
  <c r="HP1232" i="5"/>
  <c r="HN907" i="5"/>
  <c r="HN1251" i="5"/>
  <c r="HN1249" i="5" s="1"/>
  <c r="HN1241" i="5" s="1"/>
  <c r="HP907" i="5"/>
  <c r="HP1251" i="5"/>
  <c r="HP1249" i="5" s="1"/>
  <c r="HP1241" i="5" s="1"/>
  <c r="HM1019" i="5"/>
  <c r="JJ1027" i="5"/>
  <c r="HM907" i="5"/>
  <c r="HM1251" i="5"/>
  <c r="HM1249" i="5" s="1"/>
  <c r="JJ908" i="5"/>
  <c r="HM955" i="5"/>
  <c r="JJ955" i="5" s="1"/>
  <c r="JJ956" i="5"/>
  <c r="HR906" i="5"/>
  <c r="HR925" i="5" s="1"/>
  <c r="HQ906" i="5"/>
  <c r="HM906" i="5"/>
  <c r="HN906" i="5"/>
  <c r="HP906" i="5"/>
  <c r="HN754" i="5"/>
  <c r="HP754" i="5"/>
  <c r="AO1134" i="2"/>
  <c r="AP1134" i="2" s="1"/>
  <c r="AQ1134" i="2" s="1"/>
  <c r="AR1134" i="2" s="1"/>
  <c r="AS1134" i="2" s="1"/>
  <c r="AT1134" i="2" s="1"/>
  <c r="U154" i="21" l="1"/>
  <c r="HO1241" i="5"/>
  <c r="HR932" i="5"/>
  <c r="HQ1241" i="5"/>
  <c r="HQ1257" i="5" s="1"/>
  <c r="HO924" i="5"/>
  <c r="HO1041" i="5" s="1"/>
  <c r="JJ907" i="5"/>
  <c r="JJ749" i="5" s="1"/>
  <c r="HO925" i="5"/>
  <c r="HR1257" i="5"/>
  <c r="HQ754" i="5"/>
  <c r="JJ1019" i="5"/>
  <c r="HM1253" i="5"/>
  <c r="HM1254" i="5" s="1"/>
  <c r="HM1256" i="5" s="1"/>
  <c r="HO1257" i="5"/>
  <c r="HP1257" i="5"/>
  <c r="HM1238" i="5"/>
  <c r="JJ813" i="5"/>
  <c r="JJ754" i="5" s="1"/>
  <c r="JJ933" i="5" s="1"/>
  <c r="JJ1060" i="5" s="1"/>
  <c r="HO932" i="5"/>
  <c r="HN1257" i="5"/>
  <c r="HP925" i="5"/>
  <c r="HM925" i="5"/>
  <c r="JJ906" i="5"/>
  <c r="HP1256" i="5"/>
  <c r="HN1256" i="5"/>
  <c r="HM1241" i="5"/>
  <c r="HN925" i="5"/>
  <c r="HM1232" i="5"/>
  <c r="HQ925" i="5"/>
  <c r="JJ947" i="5"/>
  <c r="HO1256" i="5"/>
  <c r="AV1134" i="2"/>
  <c r="AU1134" i="2" s="1"/>
  <c r="HP932" i="5"/>
  <c r="HP905" i="5"/>
  <c r="HP924" i="5" s="1"/>
  <c r="HP1041" i="5" s="1"/>
  <c r="HQ932" i="5"/>
  <c r="HQ905" i="5"/>
  <c r="HQ924" i="5" s="1"/>
  <c r="HQ1041" i="5" s="1"/>
  <c r="HM932" i="5"/>
  <c r="HM905" i="5"/>
  <c r="HN932" i="5"/>
  <c r="HN905" i="5"/>
  <c r="HN924" i="5" s="1"/>
  <c r="HN1041" i="5" s="1"/>
  <c r="AE693" i="2"/>
  <c r="AF693" i="2"/>
  <c r="AG693" i="2"/>
  <c r="AG722" i="2" s="1"/>
  <c r="AH693" i="2"/>
  <c r="AQ693" i="2"/>
  <c r="AR693" i="2"/>
  <c r="AS693" i="2"/>
  <c r="AT693" i="2"/>
  <c r="AP693" i="2"/>
  <c r="AP1756" i="2"/>
  <c r="AQ1756" i="2"/>
  <c r="AR1756" i="2"/>
  <c r="AS1756" i="2"/>
  <c r="AT1756" i="2"/>
  <c r="AP1757" i="2"/>
  <c r="AQ1757" i="2"/>
  <c r="AR1757" i="2"/>
  <c r="AS1757" i="2"/>
  <c r="AT1757" i="2"/>
  <c r="AP1765" i="2"/>
  <c r="AQ1765" i="2"/>
  <c r="AR1765" i="2"/>
  <c r="AS1765" i="2"/>
  <c r="AT1765" i="2"/>
  <c r="AP1766" i="2"/>
  <c r="AQ1766" i="2"/>
  <c r="AR1766" i="2"/>
  <c r="AS1766" i="2"/>
  <c r="AT1766" i="2"/>
  <c r="AA1370" i="2"/>
  <c r="Z1370" i="2"/>
  <c r="Y1370" i="2"/>
  <c r="X1370" i="2"/>
  <c r="W1370" i="2"/>
  <c r="V1370" i="2"/>
  <c r="X1369" i="2"/>
  <c r="X1478" i="2" s="1"/>
  <c r="W1369" i="2"/>
  <c r="W1478" i="2" s="1"/>
  <c r="V1369" i="2"/>
  <c r="AI1195" i="2"/>
  <c r="AH1195" i="2"/>
  <c r="AG1195" i="2"/>
  <c r="AF1195" i="2"/>
  <c r="D1196" i="2"/>
  <c r="W33" i="19"/>
  <c r="Y33" i="19" s="1"/>
  <c r="U155" i="21" l="1"/>
  <c r="AT722" i="2"/>
  <c r="HM1257" i="5"/>
  <c r="HM924" i="5"/>
  <c r="JJ905" i="5"/>
  <c r="JJ932" i="5"/>
  <c r="JJ925" i="5"/>
  <c r="AR722" i="2"/>
  <c r="AS722" i="2"/>
  <c r="AQ722" i="2"/>
  <c r="U156" i="21" l="1"/>
  <c r="JJ924" i="5"/>
  <c r="HM1041" i="5"/>
  <c r="JJ1041" i="5" s="1"/>
  <c r="KA820" i="5"/>
  <c r="KA819" i="5"/>
  <c r="KA817" i="5"/>
  <c r="KA815" i="5"/>
  <c r="KD815" i="5"/>
  <c r="KD817" i="5"/>
  <c r="KD819" i="5"/>
  <c r="KD820" i="5"/>
  <c r="KG820" i="5"/>
  <c r="KG819" i="5"/>
  <c r="KG817" i="5"/>
  <c r="KG815" i="5"/>
  <c r="KJ815" i="5"/>
  <c r="KJ817" i="5"/>
  <c r="KJ819" i="5"/>
  <c r="KJ820" i="5"/>
  <c r="KM820" i="5"/>
  <c r="KM819" i="5"/>
  <c r="KM815" i="5"/>
  <c r="KM817" i="5"/>
  <c r="KN870" i="5"/>
  <c r="KM870" i="5"/>
  <c r="KK870" i="5"/>
  <c r="KJ870" i="5"/>
  <c r="KH870" i="5"/>
  <c r="KG870" i="5"/>
  <c r="KM876" i="5"/>
  <c r="KJ876" i="5"/>
  <c r="KG876" i="5"/>
  <c r="KD876" i="5"/>
  <c r="KA876" i="5"/>
  <c r="KA872" i="5"/>
  <c r="KE870" i="5"/>
  <c r="KD870" i="5"/>
  <c r="KB870" i="5"/>
  <c r="KA825" i="5"/>
  <c r="KD825" i="5"/>
  <c r="KA870" i="5"/>
  <c r="KA1040" i="5"/>
  <c r="KA1039" i="5"/>
  <c r="KA1038" i="5"/>
  <c r="KA1035" i="5"/>
  <c r="KA1032" i="5"/>
  <c r="KA1031" i="5"/>
  <c r="KA1030" i="5"/>
  <c r="KA1029" i="5"/>
  <c r="JQ1029" i="5"/>
  <c r="KA1033" i="5"/>
  <c r="KB1033" i="5"/>
  <c r="AP1125" i="2"/>
  <c r="AQ1125" i="2"/>
  <c r="KF819" i="5" s="1"/>
  <c r="AR1125" i="2"/>
  <c r="KI819" i="5" s="1"/>
  <c r="AS1125" i="2"/>
  <c r="KL819" i="5" s="1"/>
  <c r="AT1125" i="2"/>
  <c r="AP1121" i="2"/>
  <c r="BL12" i="19" s="1"/>
  <c r="BM12" i="19" s="1"/>
  <c r="AQ1121" i="2"/>
  <c r="KF815" i="5" s="1"/>
  <c r="AR1121" i="2"/>
  <c r="KI815" i="5" s="1"/>
  <c r="AS1121" i="2"/>
  <c r="KL815" i="5" s="1"/>
  <c r="AT1121" i="2"/>
  <c r="AP1123" i="2"/>
  <c r="BL13" i="19" s="1"/>
  <c r="BM13" i="19" s="1"/>
  <c r="AQ1123" i="2"/>
  <c r="KF817" i="5" s="1"/>
  <c r="AR1123" i="2"/>
  <c r="KI817" i="5" s="1"/>
  <c r="AS1123" i="2"/>
  <c r="KL817" i="5" s="1"/>
  <c r="AT1123" i="2"/>
  <c r="KO1015" i="5"/>
  <c r="KO1016" i="5"/>
  <c r="KO1017" i="5"/>
  <c r="KO1020" i="5"/>
  <c r="KO1023" i="5"/>
  <c r="KO1024" i="5"/>
  <c r="KO1034" i="5"/>
  <c r="KO1037" i="5"/>
  <c r="KO758" i="5"/>
  <c r="KO759" i="5"/>
  <c r="KO763" i="5"/>
  <c r="KO775" i="5"/>
  <c r="KO797" i="5"/>
  <c r="KO803" i="5"/>
  <c r="KO804" i="5"/>
  <c r="KO805" i="5"/>
  <c r="KO806" i="5"/>
  <c r="KO807" i="5"/>
  <c r="KO808" i="5"/>
  <c r="KO809" i="5"/>
  <c r="KO810" i="5"/>
  <c r="KO811" i="5"/>
  <c r="KO812" i="5"/>
  <c r="KO816" i="5"/>
  <c r="KO821" i="5"/>
  <c r="KO828" i="5"/>
  <c r="KO837" i="5"/>
  <c r="KO838" i="5"/>
  <c r="KO844" i="5"/>
  <c r="KO847" i="5"/>
  <c r="KO848" i="5"/>
  <c r="KO852" i="5"/>
  <c r="KO854" i="5"/>
  <c r="KO855" i="5"/>
  <c r="KO856" i="5"/>
  <c r="KO857" i="5"/>
  <c r="KO858" i="5"/>
  <c r="KO859" i="5"/>
  <c r="KO861" i="5"/>
  <c r="KO862" i="5"/>
  <c r="KO863" i="5"/>
  <c r="KO864" i="5"/>
  <c r="KO865" i="5"/>
  <c r="KO866" i="5"/>
  <c r="KO867" i="5"/>
  <c r="KO868" i="5"/>
  <c r="KO874" i="5"/>
  <c r="KO875" i="5"/>
  <c r="KO879" i="5"/>
  <c r="KO880" i="5"/>
  <c r="KO881" i="5"/>
  <c r="KO883" i="5"/>
  <c r="KO893" i="5"/>
  <c r="KO895" i="5"/>
  <c r="KO896" i="5"/>
  <c r="KO897" i="5"/>
  <c r="KO898" i="5"/>
  <c r="KO899" i="5"/>
  <c r="KO900" i="5"/>
  <c r="KO904" i="5"/>
  <c r="KO909" i="5"/>
  <c r="KO910" i="5"/>
  <c r="KO913" i="5"/>
  <c r="KO914" i="5"/>
  <c r="KO915" i="5"/>
  <c r="KO917" i="5"/>
  <c r="KO918" i="5"/>
  <c r="KO920" i="5"/>
  <c r="KO922" i="5"/>
  <c r="KO923" i="5"/>
  <c r="KO926" i="5"/>
  <c r="KO931" i="5"/>
  <c r="KO936" i="5"/>
  <c r="KO938" i="5"/>
  <c r="KO939" i="5"/>
  <c r="KO945" i="5"/>
  <c r="KO946" i="5"/>
  <c r="KO949" i="5"/>
  <c r="KO954" i="5"/>
  <c r="KO957" i="5"/>
  <c r="KO958" i="5"/>
  <c r="KO959" i="5"/>
  <c r="KO960" i="5"/>
  <c r="KO963" i="5"/>
  <c r="KO964" i="5"/>
  <c r="KO965" i="5"/>
  <c r="KO966" i="5"/>
  <c r="KO970" i="5"/>
  <c r="KO971" i="5"/>
  <c r="KO972" i="5"/>
  <c r="KO973" i="5"/>
  <c r="KO975" i="5"/>
  <c r="KO977" i="5"/>
  <c r="KO980" i="5"/>
  <c r="KO981" i="5"/>
  <c r="KO982" i="5"/>
  <c r="KO983" i="5"/>
  <c r="KO984" i="5"/>
  <c r="KO985" i="5"/>
  <c r="KO986" i="5"/>
  <c r="KO989" i="5"/>
  <c r="KO996" i="5"/>
  <c r="KO999" i="5"/>
  <c r="KO1010" i="5"/>
  <c r="KL1015" i="5"/>
  <c r="KL1016" i="5"/>
  <c r="KL1017" i="5"/>
  <c r="KL1020" i="5"/>
  <c r="KL1023" i="5"/>
  <c r="KL1024" i="5"/>
  <c r="KL1034" i="5"/>
  <c r="KL1037" i="5"/>
  <c r="KL758" i="5"/>
  <c r="KL759" i="5"/>
  <c r="KL763" i="5"/>
  <c r="KL775" i="5"/>
  <c r="KL797" i="5"/>
  <c r="KL803" i="5"/>
  <c r="KL804" i="5"/>
  <c r="KL805" i="5"/>
  <c r="KL806" i="5"/>
  <c r="KL807" i="5"/>
  <c r="KL808" i="5"/>
  <c r="KL809" i="5"/>
  <c r="KL810" i="5"/>
  <c r="KL811" i="5"/>
  <c r="KL812" i="5"/>
  <c r="KL816" i="5"/>
  <c r="KL821" i="5"/>
  <c r="KL828" i="5"/>
  <c r="KL837" i="5"/>
  <c r="KL838" i="5"/>
  <c r="KL844" i="5"/>
  <c r="KL847" i="5"/>
  <c r="KL848" i="5"/>
  <c r="KL852" i="5"/>
  <c r="KL854" i="5"/>
  <c r="KL855" i="5"/>
  <c r="KL856" i="5"/>
  <c r="KL857" i="5"/>
  <c r="KL858" i="5"/>
  <c r="KL859" i="5"/>
  <c r="KL861" i="5"/>
  <c r="KL862" i="5"/>
  <c r="KL863" i="5"/>
  <c r="KL864" i="5"/>
  <c r="KL865" i="5"/>
  <c r="KL866" i="5"/>
  <c r="KL867" i="5"/>
  <c r="KL868" i="5"/>
  <c r="KL874" i="5"/>
  <c r="KL875" i="5"/>
  <c r="KL879" i="5"/>
  <c r="KL880" i="5"/>
  <c r="KL881" i="5"/>
  <c r="KL883" i="5"/>
  <c r="KL893" i="5"/>
  <c r="KL895" i="5"/>
  <c r="KL896" i="5"/>
  <c r="KL897" i="5"/>
  <c r="KL898" i="5"/>
  <c r="KL899" i="5"/>
  <c r="KL900" i="5"/>
  <c r="KL904" i="5"/>
  <c r="KL909" i="5"/>
  <c r="KL910" i="5"/>
  <c r="KL913" i="5"/>
  <c r="KL914" i="5"/>
  <c r="KL915" i="5"/>
  <c r="KL917" i="5"/>
  <c r="KL918" i="5"/>
  <c r="KL920" i="5"/>
  <c r="KL922" i="5"/>
  <c r="KL923" i="5"/>
  <c r="KL926" i="5"/>
  <c r="KL931" i="5"/>
  <c r="KL936" i="5"/>
  <c r="KL938" i="5"/>
  <c r="KL939" i="5"/>
  <c r="KL945" i="5"/>
  <c r="KL946" i="5"/>
  <c r="KL949" i="5"/>
  <c r="KL954" i="5"/>
  <c r="KL957" i="5"/>
  <c r="KL958" i="5"/>
  <c r="KL959" i="5"/>
  <c r="KL960" i="5"/>
  <c r="KL963" i="5"/>
  <c r="KL964" i="5"/>
  <c r="KL965" i="5"/>
  <c r="KL966" i="5"/>
  <c r="KL970" i="5"/>
  <c r="KL971" i="5"/>
  <c r="KL972" i="5"/>
  <c r="KL973" i="5"/>
  <c r="KL975" i="5"/>
  <c r="KL977" i="5"/>
  <c r="KL980" i="5"/>
  <c r="KL981" i="5"/>
  <c r="KL982" i="5"/>
  <c r="KL983" i="5"/>
  <c r="KL984" i="5"/>
  <c r="KL985" i="5"/>
  <c r="KL986" i="5"/>
  <c r="KL989" i="5"/>
  <c r="KL996" i="5"/>
  <c r="KL999" i="5"/>
  <c r="KL1010" i="5"/>
  <c r="KI1015" i="5"/>
  <c r="KI1016" i="5"/>
  <c r="KI1017" i="5"/>
  <c r="KI1020" i="5"/>
  <c r="KI1023" i="5"/>
  <c r="KI1024" i="5"/>
  <c r="KI1034" i="5"/>
  <c r="KI1037" i="5"/>
  <c r="KI758" i="5"/>
  <c r="KI759" i="5"/>
  <c r="KI763" i="5"/>
  <c r="KI775" i="5"/>
  <c r="KI797" i="5"/>
  <c r="KI803" i="5"/>
  <c r="KI804" i="5"/>
  <c r="KI805" i="5"/>
  <c r="KI806" i="5"/>
  <c r="KI807" i="5"/>
  <c r="KI808" i="5"/>
  <c r="KI809" i="5"/>
  <c r="KI810" i="5"/>
  <c r="KI811" i="5"/>
  <c r="KI812" i="5"/>
  <c r="KI816" i="5"/>
  <c r="KI821" i="5"/>
  <c r="KI828" i="5"/>
  <c r="KI837" i="5"/>
  <c r="KI838" i="5"/>
  <c r="KI844" i="5"/>
  <c r="KI847" i="5"/>
  <c r="KI848" i="5"/>
  <c r="KI852" i="5"/>
  <c r="KI854" i="5"/>
  <c r="KI855" i="5"/>
  <c r="KI856" i="5"/>
  <c r="KI857" i="5"/>
  <c r="KI858" i="5"/>
  <c r="KI859" i="5"/>
  <c r="KI861" i="5"/>
  <c r="KI862" i="5"/>
  <c r="KI863" i="5"/>
  <c r="KI864" i="5"/>
  <c r="KI865" i="5"/>
  <c r="KI866" i="5"/>
  <c r="KI867" i="5"/>
  <c r="KI868" i="5"/>
  <c r="KI874" i="5"/>
  <c r="KI875" i="5"/>
  <c r="KI879" i="5"/>
  <c r="KI880" i="5"/>
  <c r="KI881" i="5"/>
  <c r="KI883" i="5"/>
  <c r="KI893" i="5"/>
  <c r="KI895" i="5"/>
  <c r="KI896" i="5"/>
  <c r="KI897" i="5"/>
  <c r="KI898" i="5"/>
  <c r="KI899" i="5"/>
  <c r="KI900" i="5"/>
  <c r="KI904" i="5"/>
  <c r="KI909" i="5"/>
  <c r="KI910" i="5"/>
  <c r="KI913" i="5"/>
  <c r="KI914" i="5"/>
  <c r="KI915" i="5"/>
  <c r="KI917" i="5"/>
  <c r="KI918" i="5"/>
  <c r="KI920" i="5"/>
  <c r="KI922" i="5"/>
  <c r="KI923" i="5"/>
  <c r="KI926" i="5"/>
  <c r="KI931" i="5"/>
  <c r="KI936" i="5"/>
  <c r="KI938" i="5"/>
  <c r="KI939" i="5"/>
  <c r="KI945" i="5"/>
  <c r="KI946" i="5"/>
  <c r="KI949" i="5"/>
  <c r="KI954" i="5"/>
  <c r="KI957" i="5"/>
  <c r="KI958" i="5"/>
  <c r="KI959" i="5"/>
  <c r="KI960" i="5"/>
  <c r="KI963" i="5"/>
  <c r="KI964" i="5"/>
  <c r="KI965" i="5"/>
  <c r="KI966" i="5"/>
  <c r="KI970" i="5"/>
  <c r="KI971" i="5"/>
  <c r="KI972" i="5"/>
  <c r="KI973" i="5"/>
  <c r="KI975" i="5"/>
  <c r="KI977" i="5"/>
  <c r="KI980" i="5"/>
  <c r="KI981" i="5"/>
  <c r="KI982" i="5"/>
  <c r="KI983" i="5"/>
  <c r="KI984" i="5"/>
  <c r="KI985" i="5"/>
  <c r="KI986" i="5"/>
  <c r="KI989" i="5"/>
  <c r="KI996" i="5"/>
  <c r="KI999" i="5"/>
  <c r="KI1010" i="5"/>
  <c r="KF1015" i="5"/>
  <c r="KF1016" i="5"/>
  <c r="KF1017" i="5"/>
  <c r="KF1020" i="5"/>
  <c r="KF1023" i="5"/>
  <c r="KF1024" i="5"/>
  <c r="KF1034" i="5"/>
  <c r="KF1037" i="5"/>
  <c r="KC1015" i="5"/>
  <c r="KC1016" i="5"/>
  <c r="KC1017" i="5"/>
  <c r="KC1020" i="5"/>
  <c r="KC1023" i="5"/>
  <c r="KC1024" i="5"/>
  <c r="KC1034" i="5"/>
  <c r="KC1037" i="5"/>
  <c r="KF828" i="5"/>
  <c r="KF837" i="5"/>
  <c r="KF838" i="5"/>
  <c r="KF844" i="5"/>
  <c r="KF847" i="5"/>
  <c r="KF848" i="5"/>
  <c r="KF852" i="5"/>
  <c r="KF854" i="5"/>
  <c r="KF855" i="5"/>
  <c r="KF856" i="5"/>
  <c r="KF857" i="5"/>
  <c r="KF858" i="5"/>
  <c r="KF859" i="5"/>
  <c r="KF861" i="5"/>
  <c r="KF862" i="5"/>
  <c r="KF863" i="5"/>
  <c r="KF864" i="5"/>
  <c r="KF865" i="5"/>
  <c r="KF866" i="5"/>
  <c r="KF867" i="5"/>
  <c r="KF868" i="5"/>
  <c r="KF874" i="5"/>
  <c r="KF875" i="5"/>
  <c r="KF879" i="5"/>
  <c r="KF880" i="5"/>
  <c r="KF881" i="5"/>
  <c r="KF883" i="5"/>
  <c r="KF893" i="5"/>
  <c r="KF895" i="5"/>
  <c r="KF896" i="5"/>
  <c r="KF897" i="5"/>
  <c r="KF898" i="5"/>
  <c r="KF899" i="5"/>
  <c r="KF900" i="5"/>
  <c r="KF904" i="5"/>
  <c r="KF909" i="5"/>
  <c r="KF910" i="5"/>
  <c r="KF913" i="5"/>
  <c r="KF914" i="5"/>
  <c r="KF915" i="5"/>
  <c r="KF917" i="5"/>
  <c r="KF918" i="5"/>
  <c r="KF920" i="5"/>
  <c r="KF922" i="5"/>
  <c r="KF923" i="5"/>
  <c r="KF926" i="5"/>
  <c r="KF931" i="5"/>
  <c r="KF936" i="5"/>
  <c r="KF938" i="5"/>
  <c r="KF939" i="5"/>
  <c r="KF945" i="5"/>
  <c r="KF946" i="5"/>
  <c r="KF949" i="5"/>
  <c r="KF954" i="5"/>
  <c r="KF957" i="5"/>
  <c r="KF958" i="5"/>
  <c r="KF959" i="5"/>
  <c r="KF960" i="5"/>
  <c r="KF963" i="5"/>
  <c r="KF964" i="5"/>
  <c r="KF965" i="5"/>
  <c r="KF966" i="5"/>
  <c r="KF970" i="5"/>
  <c r="KF971" i="5"/>
  <c r="KF972" i="5"/>
  <c r="KF973" i="5"/>
  <c r="KF975" i="5"/>
  <c r="KF977" i="5"/>
  <c r="KF980" i="5"/>
  <c r="KF981" i="5"/>
  <c r="KF982" i="5"/>
  <c r="KF983" i="5"/>
  <c r="KF984" i="5"/>
  <c r="KF985" i="5"/>
  <c r="KF986" i="5"/>
  <c r="KF989" i="5"/>
  <c r="KF996" i="5"/>
  <c r="KF999" i="5"/>
  <c r="KF1010" i="5"/>
  <c r="KF821" i="5"/>
  <c r="KF816" i="5"/>
  <c r="KF775" i="5"/>
  <c r="KF797" i="5"/>
  <c r="KF803" i="5"/>
  <c r="KF804" i="5"/>
  <c r="KF805" i="5"/>
  <c r="KF806" i="5"/>
  <c r="KF807" i="5"/>
  <c r="KF808" i="5"/>
  <c r="KF809" i="5"/>
  <c r="KF810" i="5"/>
  <c r="KF811" i="5"/>
  <c r="KF812" i="5"/>
  <c r="KF758" i="5"/>
  <c r="KF759" i="5"/>
  <c r="KF763" i="5"/>
  <c r="KC758" i="5"/>
  <c r="KC759" i="5"/>
  <c r="KC763" i="5"/>
  <c r="KC775" i="5"/>
  <c r="KC797" i="5"/>
  <c r="KC803" i="5"/>
  <c r="KC804" i="5"/>
  <c r="KC805" i="5"/>
  <c r="KC806" i="5"/>
  <c r="KC807" i="5"/>
  <c r="KC808" i="5"/>
  <c r="KC809" i="5"/>
  <c r="KC810" i="5"/>
  <c r="KC811" i="5"/>
  <c r="KC812" i="5"/>
  <c r="KC816" i="5"/>
  <c r="KC821" i="5"/>
  <c r="KC828" i="5"/>
  <c r="KC837" i="5"/>
  <c r="KC838" i="5"/>
  <c r="KC844" i="5"/>
  <c r="KC847" i="5"/>
  <c r="KC848" i="5"/>
  <c r="KC852" i="5"/>
  <c r="KC854" i="5"/>
  <c r="KC855" i="5"/>
  <c r="KC856" i="5"/>
  <c r="KC857" i="5"/>
  <c r="KC858" i="5"/>
  <c r="KC859" i="5"/>
  <c r="KC861" i="5"/>
  <c r="KC862" i="5"/>
  <c r="KC863" i="5"/>
  <c r="KC864" i="5"/>
  <c r="KC865" i="5"/>
  <c r="KC866" i="5"/>
  <c r="KC867" i="5"/>
  <c r="KC868" i="5"/>
  <c r="KC874" i="5"/>
  <c r="KC875" i="5"/>
  <c r="KC879" i="5"/>
  <c r="KC880" i="5"/>
  <c r="KC881" i="5"/>
  <c r="KC883" i="5"/>
  <c r="KC893" i="5"/>
  <c r="KC895" i="5"/>
  <c r="KC896" i="5"/>
  <c r="KC897" i="5"/>
  <c r="KC898" i="5"/>
  <c r="KC899" i="5"/>
  <c r="KC900" i="5"/>
  <c r="KC904" i="5"/>
  <c r="KC909" i="5"/>
  <c r="KC910" i="5"/>
  <c r="KC913" i="5"/>
  <c r="KC914" i="5"/>
  <c r="KC915" i="5"/>
  <c r="KC917" i="5"/>
  <c r="KC918" i="5"/>
  <c r="KC920" i="5"/>
  <c r="KC922" i="5"/>
  <c r="KC923" i="5"/>
  <c r="KC926" i="5"/>
  <c r="KC931" i="5"/>
  <c r="KC936" i="5"/>
  <c r="KC938" i="5"/>
  <c r="KC939" i="5"/>
  <c r="KC945" i="5"/>
  <c r="KC946" i="5"/>
  <c r="KC949" i="5"/>
  <c r="KC954" i="5"/>
  <c r="KC957" i="5"/>
  <c r="KC958" i="5"/>
  <c r="KC959" i="5"/>
  <c r="KC960" i="5"/>
  <c r="KC963" i="5"/>
  <c r="KC964" i="5"/>
  <c r="KC965" i="5"/>
  <c r="KC966" i="5"/>
  <c r="KC970" i="5"/>
  <c r="KC971" i="5"/>
  <c r="KC972" i="5"/>
  <c r="KC973" i="5"/>
  <c r="KC975" i="5"/>
  <c r="KC977" i="5"/>
  <c r="KC980" i="5"/>
  <c r="KC981" i="5"/>
  <c r="KC982" i="5"/>
  <c r="KC983" i="5"/>
  <c r="KC984" i="5"/>
  <c r="KC985" i="5"/>
  <c r="KC986" i="5"/>
  <c r="KC989" i="5"/>
  <c r="KC996" i="5"/>
  <c r="KC999" i="5"/>
  <c r="KC1010" i="5"/>
  <c r="JZ763" i="5"/>
  <c r="JZ766" i="5"/>
  <c r="JZ775" i="5"/>
  <c r="JZ782" i="5"/>
  <c r="JZ783" i="5"/>
  <c r="JZ796" i="5"/>
  <c r="JZ797" i="5"/>
  <c r="JZ803" i="5"/>
  <c r="JZ804" i="5"/>
  <c r="JZ805" i="5"/>
  <c r="JZ806" i="5"/>
  <c r="JZ807" i="5"/>
  <c r="JZ808" i="5"/>
  <c r="JZ809" i="5"/>
  <c r="JZ810" i="5"/>
  <c r="JZ811" i="5"/>
  <c r="JZ812" i="5"/>
  <c r="JZ816" i="5"/>
  <c r="JZ828" i="5"/>
  <c r="JZ837" i="5"/>
  <c r="JZ838" i="5"/>
  <c r="JZ844" i="5"/>
  <c r="JZ847" i="5"/>
  <c r="JZ848" i="5"/>
  <c r="JZ852" i="5"/>
  <c r="JZ854" i="5"/>
  <c r="JZ855" i="5"/>
  <c r="JZ856" i="5"/>
  <c r="JZ857" i="5"/>
  <c r="JZ858" i="5"/>
  <c r="JZ859" i="5"/>
  <c r="JZ861" i="5"/>
  <c r="JZ862" i="5"/>
  <c r="JZ863" i="5"/>
  <c r="JZ864" i="5"/>
  <c r="JZ865" i="5"/>
  <c r="JZ867" i="5"/>
  <c r="JZ875" i="5"/>
  <c r="JZ879" i="5"/>
  <c r="JZ881" i="5"/>
  <c r="JZ893" i="5"/>
  <c r="JZ895" i="5"/>
  <c r="JZ896" i="5"/>
  <c r="JZ897" i="5"/>
  <c r="JZ898" i="5"/>
  <c r="JZ899" i="5"/>
  <c r="JZ900" i="5"/>
  <c r="JZ904" i="5"/>
  <c r="JZ909" i="5"/>
  <c r="JZ910" i="5"/>
  <c r="JZ913" i="5"/>
  <c r="JZ914" i="5"/>
  <c r="JZ915" i="5"/>
  <c r="JZ917" i="5"/>
  <c r="JZ918" i="5"/>
  <c r="JZ920" i="5"/>
  <c r="JZ922" i="5"/>
  <c r="JZ923" i="5"/>
  <c r="JZ926" i="5"/>
  <c r="JZ931" i="5"/>
  <c r="JZ936" i="5"/>
  <c r="JZ939" i="5"/>
  <c r="JZ945" i="5"/>
  <c r="JZ946" i="5"/>
  <c r="JZ949" i="5"/>
  <c r="JZ954" i="5"/>
  <c r="JZ957" i="5"/>
  <c r="JZ958" i="5"/>
  <c r="JZ959" i="5"/>
  <c r="JZ960" i="5"/>
  <c r="JZ963" i="5"/>
  <c r="JZ964" i="5"/>
  <c r="JZ965" i="5"/>
  <c r="JZ966" i="5"/>
  <c r="JZ968" i="5"/>
  <c r="JZ970" i="5"/>
  <c r="JZ971" i="5"/>
  <c r="JZ972" i="5"/>
  <c r="JZ973" i="5"/>
  <c r="JZ975" i="5"/>
  <c r="JZ977" i="5"/>
  <c r="JZ979" i="5"/>
  <c r="JZ981" i="5"/>
  <c r="JZ982" i="5"/>
  <c r="JZ983" i="5"/>
  <c r="JZ984" i="5"/>
  <c r="JZ985" i="5"/>
  <c r="JZ986" i="5"/>
  <c r="JZ989" i="5"/>
  <c r="JZ996" i="5"/>
  <c r="JZ999" i="5"/>
  <c r="JZ1010" i="5"/>
  <c r="JZ1015" i="5"/>
  <c r="JZ1016" i="5"/>
  <c r="JZ1017" i="5"/>
  <c r="JZ1020" i="5"/>
  <c r="JZ1023" i="5"/>
  <c r="JZ1024" i="5"/>
  <c r="JZ1037" i="5"/>
  <c r="JW1015" i="5"/>
  <c r="JW1016" i="5"/>
  <c r="JW1017" i="5"/>
  <c r="JW1020" i="5"/>
  <c r="JW1023" i="5"/>
  <c r="JW1024" i="5"/>
  <c r="JW1037" i="5"/>
  <c r="JW763" i="5"/>
  <c r="JW766" i="5"/>
  <c r="JW775" i="5"/>
  <c r="JW782" i="5"/>
  <c r="JW783" i="5"/>
  <c r="JW790" i="5"/>
  <c r="JW796" i="5"/>
  <c r="JW797" i="5"/>
  <c r="JW803" i="5"/>
  <c r="JW804" i="5"/>
  <c r="JW805" i="5"/>
  <c r="JW806" i="5"/>
  <c r="JW807" i="5"/>
  <c r="JW808" i="5"/>
  <c r="JW809" i="5"/>
  <c r="JW810" i="5"/>
  <c r="JW811" i="5"/>
  <c r="JW812" i="5"/>
  <c r="JW816" i="5"/>
  <c r="JW828" i="5"/>
  <c r="JW837" i="5"/>
  <c r="JW838" i="5"/>
  <c r="JW841" i="5"/>
  <c r="JW844" i="5"/>
  <c r="JW847" i="5"/>
  <c r="JW848" i="5"/>
  <c r="JW852" i="5"/>
  <c r="JW854" i="5"/>
  <c r="JW855" i="5"/>
  <c r="JW856" i="5"/>
  <c r="JW857" i="5"/>
  <c r="JW858" i="5"/>
  <c r="JW859" i="5"/>
  <c r="JW861" i="5"/>
  <c r="JW862" i="5"/>
  <c r="JW863" i="5"/>
  <c r="JW865" i="5"/>
  <c r="JW867" i="5"/>
  <c r="JW875" i="5"/>
  <c r="JW879" i="5"/>
  <c r="JW881" i="5"/>
  <c r="JW893" i="5"/>
  <c r="JW895" i="5"/>
  <c r="JW896" i="5"/>
  <c r="JW897" i="5"/>
  <c r="JW898" i="5"/>
  <c r="JW899" i="5"/>
  <c r="JW900" i="5"/>
  <c r="JW904" i="5"/>
  <c r="JW909" i="5"/>
  <c r="JW910" i="5"/>
  <c r="JW913" i="5"/>
  <c r="JW914" i="5"/>
  <c r="JW915" i="5"/>
  <c r="JW917" i="5"/>
  <c r="JW918" i="5"/>
  <c r="JW920" i="5"/>
  <c r="JW922" i="5"/>
  <c r="JW923" i="5"/>
  <c r="JW926" i="5"/>
  <c r="JW931" i="5"/>
  <c r="JW936" i="5"/>
  <c r="JW939" i="5"/>
  <c r="JW945" i="5"/>
  <c r="JW946" i="5"/>
  <c r="JW949" i="5"/>
  <c r="JW954" i="5"/>
  <c r="JW957" i="5"/>
  <c r="JW958" i="5"/>
  <c r="JW959" i="5"/>
  <c r="JW960" i="5"/>
  <c r="JW963" i="5"/>
  <c r="JW964" i="5"/>
  <c r="JW965" i="5"/>
  <c r="JW966" i="5"/>
  <c r="JW968" i="5"/>
  <c r="JW970" i="5"/>
  <c r="JW971" i="5"/>
  <c r="JW972" i="5"/>
  <c r="JW973" i="5"/>
  <c r="JW975" i="5"/>
  <c r="JW977" i="5"/>
  <c r="JW979" i="5"/>
  <c r="JV979" i="5" s="1"/>
  <c r="JW981" i="5"/>
  <c r="JW982" i="5"/>
  <c r="JW983" i="5"/>
  <c r="JW984" i="5"/>
  <c r="JW985" i="5"/>
  <c r="JW986" i="5"/>
  <c r="JW989" i="5"/>
  <c r="JW996" i="5"/>
  <c r="JW999" i="5"/>
  <c r="JW1010" i="5"/>
  <c r="JT763" i="5"/>
  <c r="JT766" i="5"/>
  <c r="JT775" i="5"/>
  <c r="JT782" i="5"/>
  <c r="JT783" i="5"/>
  <c r="JT790" i="5"/>
  <c r="JT795" i="5"/>
  <c r="JT796" i="5"/>
  <c r="JT797" i="5"/>
  <c r="JT803" i="5"/>
  <c r="JT804" i="5"/>
  <c r="JT805" i="5"/>
  <c r="JT806" i="5"/>
  <c r="JT807" i="5"/>
  <c r="JT808" i="5"/>
  <c r="JT809" i="5"/>
  <c r="JT810" i="5"/>
  <c r="JT811" i="5"/>
  <c r="JT812" i="5"/>
  <c r="JT816" i="5"/>
  <c r="JT828" i="5"/>
  <c r="JT837" i="5"/>
  <c r="JT838" i="5"/>
  <c r="JT841" i="5"/>
  <c r="JT844" i="5"/>
  <c r="JT847" i="5"/>
  <c r="JT848" i="5"/>
  <c r="JT852" i="5"/>
  <c r="JT854" i="5"/>
  <c r="JT855" i="5"/>
  <c r="JT856" i="5"/>
  <c r="JT857" i="5"/>
  <c r="JT858" i="5"/>
  <c r="JT859" i="5"/>
  <c r="JT861" i="5"/>
  <c r="JT862" i="5"/>
  <c r="JT863" i="5"/>
  <c r="JT865" i="5"/>
  <c r="JT867" i="5"/>
  <c r="JT875" i="5"/>
  <c r="JT879" i="5"/>
  <c r="JT881" i="5"/>
  <c r="JT893" i="5"/>
  <c r="JT895" i="5"/>
  <c r="JT896" i="5"/>
  <c r="JT897" i="5"/>
  <c r="JT898" i="5"/>
  <c r="JT899" i="5"/>
  <c r="JT900" i="5"/>
  <c r="JT904" i="5"/>
  <c r="JT909" i="5"/>
  <c r="JT910" i="5"/>
  <c r="JT913" i="5"/>
  <c r="JT914" i="5"/>
  <c r="JT915" i="5"/>
  <c r="JT917" i="5"/>
  <c r="JT918" i="5"/>
  <c r="JT920" i="5"/>
  <c r="JT922" i="5"/>
  <c r="JT923" i="5"/>
  <c r="JT926" i="5"/>
  <c r="JT931" i="5"/>
  <c r="JT936" i="5"/>
  <c r="JT939" i="5"/>
  <c r="JT945" i="5"/>
  <c r="JT946" i="5"/>
  <c r="JT949" i="5"/>
  <c r="JT954" i="5"/>
  <c r="JT957" i="5"/>
  <c r="JT958" i="5"/>
  <c r="JT959" i="5"/>
  <c r="JT960" i="5"/>
  <c r="JT963" i="5"/>
  <c r="JT964" i="5"/>
  <c r="JT965" i="5"/>
  <c r="JT966" i="5"/>
  <c r="JT968" i="5"/>
  <c r="JT970" i="5"/>
  <c r="JT971" i="5"/>
  <c r="JT972" i="5"/>
  <c r="JT973" i="5"/>
  <c r="JT975" i="5"/>
  <c r="JT977" i="5"/>
  <c r="JT979" i="5"/>
  <c r="JS979" i="5" s="1"/>
  <c r="JT981" i="5"/>
  <c r="JT982" i="5"/>
  <c r="JT983" i="5"/>
  <c r="JT984" i="5"/>
  <c r="JT985" i="5"/>
  <c r="JT986" i="5"/>
  <c r="JT989" i="5"/>
  <c r="JT996" i="5"/>
  <c r="JT999" i="5"/>
  <c r="JT1010" i="5"/>
  <c r="JT1015" i="5"/>
  <c r="JT1016" i="5"/>
  <c r="JT1017" i="5"/>
  <c r="JT1020" i="5"/>
  <c r="JT1023" i="5"/>
  <c r="JT1024" i="5"/>
  <c r="JT1037" i="5"/>
  <c r="JQ1015" i="5"/>
  <c r="JQ1016" i="5"/>
  <c r="JQ1017" i="5"/>
  <c r="JQ1020" i="5"/>
  <c r="JQ1023" i="5"/>
  <c r="JQ1024" i="5"/>
  <c r="JQ1037" i="5"/>
  <c r="JQ763" i="5"/>
  <c r="JQ766" i="5"/>
  <c r="JO766" i="5" s="1"/>
  <c r="JQ775" i="5"/>
  <c r="JQ782" i="5"/>
  <c r="JO782" i="5" s="1"/>
  <c r="JQ783" i="5"/>
  <c r="JO783" i="5" s="1"/>
  <c r="JQ790" i="5"/>
  <c r="JO790" i="5" s="1"/>
  <c r="JQ795" i="5"/>
  <c r="JQ796" i="5"/>
  <c r="JQ797" i="5"/>
  <c r="JQ803" i="5"/>
  <c r="JQ804" i="5"/>
  <c r="JQ805" i="5"/>
  <c r="JQ806" i="5"/>
  <c r="JQ807" i="5"/>
  <c r="JQ808" i="5"/>
  <c r="JQ809" i="5"/>
  <c r="JQ810" i="5"/>
  <c r="JQ811" i="5"/>
  <c r="JQ812" i="5"/>
  <c r="JQ816" i="5"/>
  <c r="JQ828" i="5"/>
  <c r="JQ837" i="5"/>
  <c r="JQ838" i="5"/>
  <c r="JQ841" i="5"/>
  <c r="JQ844" i="5"/>
  <c r="JQ847" i="5"/>
  <c r="JQ848" i="5"/>
  <c r="JQ852" i="5"/>
  <c r="JQ854" i="5"/>
  <c r="JQ855" i="5"/>
  <c r="JQ856" i="5"/>
  <c r="JQ857" i="5"/>
  <c r="JQ858" i="5"/>
  <c r="JQ859" i="5"/>
  <c r="JQ861" i="5"/>
  <c r="JQ862" i="5"/>
  <c r="JQ863" i="5"/>
  <c r="JQ865" i="5"/>
  <c r="JQ867" i="5"/>
  <c r="JQ875" i="5"/>
  <c r="JQ879" i="5"/>
  <c r="JQ881" i="5"/>
  <c r="JQ893" i="5"/>
  <c r="JQ895" i="5"/>
  <c r="JQ896" i="5"/>
  <c r="JQ897" i="5"/>
  <c r="JQ898" i="5"/>
  <c r="JQ899" i="5"/>
  <c r="JQ900" i="5"/>
  <c r="JQ904" i="5"/>
  <c r="JQ909" i="5"/>
  <c r="JQ910" i="5"/>
  <c r="JQ913" i="5"/>
  <c r="JQ914" i="5"/>
  <c r="JQ915" i="5"/>
  <c r="JQ917" i="5"/>
  <c r="JQ918" i="5"/>
  <c r="JQ920" i="5"/>
  <c r="JQ922" i="5"/>
  <c r="JQ923" i="5"/>
  <c r="JQ926" i="5"/>
  <c r="JQ931" i="5"/>
  <c r="JQ936" i="5"/>
  <c r="JQ939" i="5"/>
  <c r="JQ945" i="5"/>
  <c r="JQ946" i="5"/>
  <c r="JQ949" i="5"/>
  <c r="JQ954" i="5"/>
  <c r="JQ957" i="5"/>
  <c r="JQ958" i="5"/>
  <c r="JQ959" i="5"/>
  <c r="JQ960" i="5"/>
  <c r="JQ963" i="5"/>
  <c r="JQ964" i="5"/>
  <c r="JQ965" i="5"/>
  <c r="JQ966" i="5"/>
  <c r="JQ968" i="5"/>
  <c r="JQ970" i="5"/>
  <c r="JQ971" i="5"/>
  <c r="JQ972" i="5"/>
  <c r="JQ973" i="5"/>
  <c r="JQ975" i="5"/>
  <c r="JQ977" i="5"/>
  <c r="JQ979" i="5"/>
  <c r="JP979" i="5" s="1"/>
  <c r="JQ981" i="5"/>
  <c r="JQ982" i="5"/>
  <c r="JQ983" i="5"/>
  <c r="JQ984" i="5"/>
  <c r="JQ985" i="5"/>
  <c r="JQ986" i="5"/>
  <c r="JQ989" i="5"/>
  <c r="JQ996" i="5"/>
  <c r="JQ999" i="5"/>
  <c r="JQ1010" i="5"/>
  <c r="JN1015" i="5"/>
  <c r="JN1016" i="5"/>
  <c r="JN1017" i="5"/>
  <c r="JN1020" i="5"/>
  <c r="JN1023" i="5"/>
  <c r="JN1024" i="5"/>
  <c r="JN1037" i="5"/>
  <c r="JN763" i="5"/>
  <c r="JN766" i="5"/>
  <c r="JN775" i="5"/>
  <c r="JM775" i="5" s="1"/>
  <c r="JN782" i="5"/>
  <c r="JN783" i="5"/>
  <c r="JM783" i="5" s="1"/>
  <c r="JN790" i="5"/>
  <c r="JN795" i="5"/>
  <c r="JN796" i="5"/>
  <c r="JN797" i="5"/>
  <c r="JN803" i="5"/>
  <c r="JN804" i="5"/>
  <c r="JN805" i="5"/>
  <c r="JN806" i="5"/>
  <c r="JN807" i="5"/>
  <c r="JN808" i="5"/>
  <c r="JN809" i="5"/>
  <c r="JN810" i="5"/>
  <c r="JN811" i="5"/>
  <c r="JN812" i="5"/>
  <c r="JN828" i="5"/>
  <c r="JN837" i="5"/>
  <c r="JN838" i="5"/>
  <c r="JN841" i="5"/>
  <c r="JN844" i="5"/>
  <c r="JN846" i="5"/>
  <c r="JN847" i="5"/>
  <c r="JN848" i="5"/>
  <c r="JN849" i="5"/>
  <c r="JN852" i="5"/>
  <c r="JN854" i="5"/>
  <c r="JN855" i="5"/>
  <c r="JN856" i="5"/>
  <c r="JN857" i="5"/>
  <c r="JN858" i="5"/>
  <c r="JN859" i="5"/>
  <c r="JN861" i="5"/>
  <c r="JN862" i="5"/>
  <c r="JN863" i="5"/>
  <c r="JN865" i="5"/>
  <c r="JN867" i="5"/>
  <c r="JN875" i="5"/>
  <c r="JN879" i="5"/>
  <c r="JN893" i="5"/>
  <c r="JN895" i="5"/>
  <c r="JN896" i="5"/>
  <c r="JN897" i="5"/>
  <c r="JN898" i="5"/>
  <c r="JN899" i="5"/>
  <c r="JN900" i="5"/>
  <c r="JN904" i="5"/>
  <c r="JN909" i="5"/>
  <c r="JN910" i="5"/>
  <c r="JN913" i="5"/>
  <c r="JN914" i="5"/>
  <c r="JN915" i="5"/>
  <c r="JN917" i="5"/>
  <c r="JN918" i="5"/>
  <c r="JN920" i="5"/>
  <c r="JN922" i="5"/>
  <c r="JN923" i="5"/>
  <c r="JN926" i="5"/>
  <c r="JN931" i="5"/>
  <c r="JN936" i="5"/>
  <c r="JN939" i="5"/>
  <c r="JN945" i="5"/>
  <c r="JN946" i="5"/>
  <c r="JN949" i="5"/>
  <c r="JN954" i="5"/>
  <c r="JN957" i="5"/>
  <c r="JN958" i="5"/>
  <c r="JN959" i="5"/>
  <c r="JN960" i="5"/>
  <c r="JN963" i="5"/>
  <c r="JN964" i="5"/>
  <c r="JN965" i="5"/>
  <c r="JN966" i="5"/>
  <c r="JN968" i="5"/>
  <c r="JN970" i="5"/>
  <c r="JN971" i="5"/>
  <c r="JN972" i="5"/>
  <c r="JN973" i="5"/>
  <c r="JN975" i="5"/>
  <c r="JN979" i="5"/>
  <c r="JM979" i="5" s="1"/>
  <c r="JN981" i="5"/>
  <c r="JN982" i="5"/>
  <c r="JN983" i="5"/>
  <c r="JN984" i="5"/>
  <c r="JN985" i="5"/>
  <c r="JN986" i="5"/>
  <c r="JN989" i="5"/>
  <c r="JN996" i="5"/>
  <c r="JN999" i="5"/>
  <c r="JN1010" i="5"/>
  <c r="KC819" i="5" l="1"/>
  <c r="BL15" i="19"/>
  <c r="BM15" i="19" s="1"/>
  <c r="KC817" i="5"/>
  <c r="U157" i="21"/>
  <c r="W30" i="19"/>
  <c r="Y30" i="19" s="1"/>
  <c r="KO815" i="5"/>
  <c r="AV1121" i="2"/>
  <c r="KO817" i="5"/>
  <c r="AV1123" i="2"/>
  <c r="AU1123" i="2" s="1"/>
  <c r="KO819" i="5"/>
  <c r="AV1125" i="2"/>
  <c r="AU1125" i="2" s="1"/>
  <c r="AP1731" i="2"/>
  <c r="AP1120" i="2"/>
  <c r="AQ1732" i="2"/>
  <c r="AS1731" i="2"/>
  <c r="AT1732" i="2"/>
  <c r="AR1120" i="2"/>
  <c r="KI814" i="5" s="1"/>
  <c r="AQ1120" i="2"/>
  <c r="KF814" i="5" s="1"/>
  <c r="AS1120" i="2"/>
  <c r="KL814" i="5" s="1"/>
  <c r="KC815" i="5"/>
  <c r="AT1120" i="2"/>
  <c r="KC814" i="5" l="1"/>
  <c r="BL11" i="19"/>
  <c r="BM11" i="19" s="1"/>
  <c r="U158" i="21"/>
  <c r="AU1120" i="2"/>
  <c r="KO814" i="5"/>
  <c r="AV1120" i="2"/>
  <c r="KN1040" i="5"/>
  <c r="KM1040" i="5"/>
  <c r="KN1039" i="5"/>
  <c r="KM1039" i="5"/>
  <c r="KN1038" i="5"/>
  <c r="KM1038" i="5"/>
  <c r="KM1037" i="5"/>
  <c r="KN1037" i="5" s="1"/>
  <c r="KN1035" i="5"/>
  <c r="KM1035" i="5"/>
  <c r="KN1032" i="5"/>
  <c r="KN1029" i="5" s="1"/>
  <c r="KM1032" i="5"/>
  <c r="KM1029" i="5" s="1"/>
  <c r="KN1031" i="5"/>
  <c r="KM1031" i="5"/>
  <c r="KN1030" i="5"/>
  <c r="KM1030" i="5"/>
  <c r="KM1017" i="5"/>
  <c r="KN1017" i="5" s="1"/>
  <c r="KM1016" i="5"/>
  <c r="KN1016" i="5" s="1"/>
  <c r="KM1015" i="5"/>
  <c r="KN1015" i="5" s="1"/>
  <c r="KM1014" i="5"/>
  <c r="KM1011" i="5"/>
  <c r="KM1010" i="5"/>
  <c r="KN1010" i="5" s="1"/>
  <c r="KN999" i="5"/>
  <c r="KN996" i="5"/>
  <c r="KM996" i="5"/>
  <c r="KM984" i="5"/>
  <c r="KN984" i="5" s="1"/>
  <c r="KM983" i="5"/>
  <c r="KN983" i="5" s="1"/>
  <c r="KM982" i="5"/>
  <c r="KN982" i="5" s="1"/>
  <c r="KM981" i="5"/>
  <c r="KN981" i="5" s="1"/>
  <c r="KM977" i="5"/>
  <c r="KM973" i="5"/>
  <c r="KN973" i="5" s="1"/>
  <c r="KM971" i="5"/>
  <c r="KN971" i="5" s="1"/>
  <c r="KM966" i="5"/>
  <c r="KM965" i="5"/>
  <c r="KM964" i="5"/>
  <c r="KN964" i="5" s="1"/>
  <c r="KM963" i="5"/>
  <c r="KN963" i="5" s="1"/>
  <c r="KM960" i="5"/>
  <c r="KN960" i="5" s="1"/>
  <c r="KM959" i="5"/>
  <c r="KN959" i="5" s="1"/>
  <c r="KM958" i="5"/>
  <c r="KM954" i="5"/>
  <c r="KN954" i="5" s="1"/>
  <c r="KM922" i="5"/>
  <c r="KN922" i="5" s="1"/>
  <c r="KM920" i="5"/>
  <c r="KM914" i="5"/>
  <c r="KM898" i="5"/>
  <c r="KN898" i="5" s="1"/>
  <c r="KM895" i="5"/>
  <c r="KN895" i="5" s="1"/>
  <c r="KM883" i="5"/>
  <c r="KN883" i="5" s="1"/>
  <c r="KM881" i="5"/>
  <c r="KN881" i="5" s="1"/>
  <c r="KM878" i="5"/>
  <c r="KN874" i="5"/>
  <c r="KM874" i="5"/>
  <c r="KN873" i="5"/>
  <c r="KM873" i="5"/>
  <c r="KN872" i="5"/>
  <c r="KM872" i="5"/>
  <c r="KM868" i="5"/>
  <c r="KN868" i="5" s="1"/>
  <c r="KM859" i="5"/>
  <c r="KN859" i="5" s="1"/>
  <c r="KM858" i="5"/>
  <c r="KM856" i="5"/>
  <c r="KN856" i="5" s="1"/>
  <c r="KM848" i="5"/>
  <c r="KM847" i="5"/>
  <c r="KN847" i="5" s="1"/>
  <c r="KN840" i="5"/>
  <c r="KM840" i="5"/>
  <c r="KM860" i="5" s="1"/>
  <c r="KM838" i="5"/>
  <c r="KN838" i="5" s="1"/>
  <c r="KM828" i="5"/>
  <c r="KM825" i="5"/>
  <c r="KM812" i="5"/>
  <c r="KN812" i="5" s="1"/>
  <c r="KM811" i="5"/>
  <c r="KN811" i="5" s="1"/>
  <c r="KM808" i="5"/>
  <c r="KN808" i="5" s="1"/>
  <c r="KM807" i="5"/>
  <c r="KM805" i="5"/>
  <c r="KN805" i="5" s="1"/>
  <c r="KM804" i="5"/>
  <c r="KN804" i="5" s="1"/>
  <c r="KM803" i="5"/>
  <c r="KN803" i="5" s="1"/>
  <c r="KM797" i="5"/>
  <c r="KN797" i="5" s="1"/>
  <c r="KO752" i="5"/>
  <c r="KN752" i="5"/>
  <c r="KM752" i="5"/>
  <c r="KO751" i="5"/>
  <c r="KN751" i="5"/>
  <c r="KM751" i="5"/>
  <c r="KO548" i="5"/>
  <c r="KN548" i="5"/>
  <c r="KM548" i="5"/>
  <c r="KO547" i="5"/>
  <c r="KO546" i="5"/>
  <c r="KN546" i="5"/>
  <c r="KM546" i="5"/>
  <c r="KK1040" i="5"/>
  <c r="KJ1040" i="5"/>
  <c r="KK1039" i="5"/>
  <c r="KJ1039" i="5"/>
  <c r="KK1038" i="5"/>
  <c r="KJ1038" i="5"/>
  <c r="KJ1037" i="5"/>
  <c r="KK1037" i="5" s="1"/>
  <c r="KK1035" i="5"/>
  <c r="KJ1035" i="5"/>
  <c r="KK1032" i="5"/>
  <c r="KK1029" i="5" s="1"/>
  <c r="KJ1032" i="5"/>
  <c r="KJ1029" i="5" s="1"/>
  <c r="KK1031" i="5"/>
  <c r="KJ1031" i="5"/>
  <c r="KK1030" i="5"/>
  <c r="KJ1030" i="5"/>
  <c r="KJ1017" i="5"/>
  <c r="KK1017" i="5" s="1"/>
  <c r="KJ1016" i="5"/>
  <c r="KK1016" i="5" s="1"/>
  <c r="KJ1015" i="5"/>
  <c r="KK1015" i="5" s="1"/>
  <c r="KJ1014" i="5"/>
  <c r="KJ1011" i="5"/>
  <c r="KJ1010" i="5"/>
  <c r="KK1010" i="5" s="1"/>
  <c r="KJ999" i="5"/>
  <c r="KJ996" i="5"/>
  <c r="KJ984" i="5"/>
  <c r="KK984" i="5" s="1"/>
  <c r="KJ983" i="5"/>
  <c r="KK983" i="5" s="1"/>
  <c r="KJ982" i="5"/>
  <c r="KK982" i="5" s="1"/>
  <c r="KJ981" i="5"/>
  <c r="KK981" i="5" s="1"/>
  <c r="KJ977" i="5"/>
  <c r="KJ973" i="5"/>
  <c r="KK973" i="5" s="1"/>
  <c r="KJ971" i="5"/>
  <c r="KK971" i="5" s="1"/>
  <c r="KJ966" i="5"/>
  <c r="KJ965" i="5"/>
  <c r="KJ964" i="5"/>
  <c r="KK964" i="5" s="1"/>
  <c r="KJ963" i="5"/>
  <c r="KK963" i="5" s="1"/>
  <c r="KJ960" i="5"/>
  <c r="KK960" i="5" s="1"/>
  <c r="KJ959" i="5"/>
  <c r="KJ958" i="5"/>
  <c r="KJ957" i="5"/>
  <c r="KK957" i="5" s="1"/>
  <c r="KJ954" i="5"/>
  <c r="KK954" i="5" s="1"/>
  <c r="KJ922" i="5"/>
  <c r="KK922" i="5" s="1"/>
  <c r="KJ920" i="5"/>
  <c r="KK920" i="5" s="1"/>
  <c r="KJ914" i="5"/>
  <c r="KJ898" i="5"/>
  <c r="KK898" i="5" s="1"/>
  <c r="KJ895" i="5"/>
  <c r="KK895" i="5" s="1"/>
  <c r="KJ883" i="5"/>
  <c r="KK883" i="5" s="1"/>
  <c r="KJ881" i="5"/>
  <c r="KK881" i="5" s="1"/>
  <c r="KJ878" i="5"/>
  <c r="KK874" i="5"/>
  <c r="KJ874" i="5"/>
  <c r="KK873" i="5"/>
  <c r="KJ873" i="5"/>
  <c r="KK872" i="5"/>
  <c r="KJ872" i="5"/>
  <c r="KJ868" i="5"/>
  <c r="KK868" i="5" s="1"/>
  <c r="KJ859" i="5"/>
  <c r="KJ857" i="5"/>
  <c r="KK857" i="5" s="1"/>
  <c r="KJ856" i="5"/>
  <c r="KK856" i="5" s="1"/>
  <c r="KJ848" i="5"/>
  <c r="KK848" i="5" s="1"/>
  <c r="KJ847" i="5"/>
  <c r="KK847" i="5" s="1"/>
  <c r="KK840" i="5"/>
  <c r="KJ840" i="5"/>
  <c r="KJ860" i="5" s="1"/>
  <c r="KJ838" i="5"/>
  <c r="KK838" i="5" s="1"/>
  <c r="KJ837" i="5"/>
  <c r="KK837" i="5" s="1"/>
  <c r="KJ828" i="5"/>
  <c r="KK828" i="5" s="1"/>
  <c r="KJ825" i="5"/>
  <c r="KJ812" i="5"/>
  <c r="KK812" i="5" s="1"/>
  <c r="KJ811" i="5"/>
  <c r="KJ810" i="5"/>
  <c r="KK810" i="5" s="1"/>
  <c r="KJ809" i="5"/>
  <c r="KK809" i="5" s="1"/>
  <c r="KJ808" i="5"/>
  <c r="KK808" i="5" s="1"/>
  <c r="KJ807" i="5"/>
  <c r="KJ806" i="5"/>
  <c r="KK806" i="5" s="1"/>
  <c r="KJ805" i="5"/>
  <c r="KK805" i="5" s="1"/>
  <c r="KJ804" i="5"/>
  <c r="KK804" i="5" s="1"/>
  <c r="KJ797" i="5"/>
  <c r="KK797" i="5" s="1"/>
  <c r="KJ763" i="5"/>
  <c r="KL752" i="5"/>
  <c r="KK752" i="5"/>
  <c r="KJ752" i="5"/>
  <c r="KL751" i="5"/>
  <c r="KK751" i="5"/>
  <c r="KJ751" i="5"/>
  <c r="KL548" i="5"/>
  <c r="KK548" i="5"/>
  <c r="KJ548" i="5"/>
  <c r="KL547" i="5"/>
  <c r="KL546" i="5"/>
  <c r="KK546" i="5"/>
  <c r="KJ546" i="5"/>
  <c r="KC751" i="5"/>
  <c r="KH1040" i="5"/>
  <c r="KG1040" i="5"/>
  <c r="KH1039" i="5"/>
  <c r="KG1039" i="5"/>
  <c r="KH1038" i="5"/>
  <c r="KG1038" i="5"/>
  <c r="KH1035" i="5"/>
  <c r="KG1035" i="5"/>
  <c r="KH1032" i="5"/>
  <c r="KH1029" i="5" s="1"/>
  <c r="KG1032" i="5"/>
  <c r="KG1029" i="5" s="1"/>
  <c r="KH1031" i="5"/>
  <c r="KG1031" i="5"/>
  <c r="KH1030" i="5"/>
  <c r="KG1030" i="5"/>
  <c r="KG1017" i="5"/>
  <c r="KH1017" i="5" s="1"/>
  <c r="KG1016" i="5"/>
  <c r="KH1016" i="5" s="1"/>
  <c r="KG1015" i="5"/>
  <c r="KH1015" i="5" s="1"/>
  <c r="KG1014" i="5"/>
  <c r="KG1011" i="5"/>
  <c r="KH999" i="5"/>
  <c r="KG996" i="5"/>
  <c r="KG983" i="5"/>
  <c r="KH983" i="5" s="1"/>
  <c r="KG981" i="5"/>
  <c r="KH981" i="5" s="1"/>
  <c r="KG977" i="5"/>
  <c r="KG973" i="5"/>
  <c r="KG971" i="5"/>
  <c r="KH971" i="5" s="1"/>
  <c r="KG966" i="5"/>
  <c r="KG965" i="5"/>
  <c r="KG963" i="5"/>
  <c r="KH963" i="5" s="1"/>
  <c r="KG960" i="5"/>
  <c r="KH960" i="5" s="1"/>
  <c r="KG959" i="5"/>
  <c r="KH959" i="5" s="1"/>
  <c r="KG958" i="5"/>
  <c r="KG954" i="5"/>
  <c r="KH954" i="5" s="1"/>
  <c r="KG922" i="5"/>
  <c r="KH922" i="5" s="1"/>
  <c r="KG920" i="5"/>
  <c r="KH920" i="5" s="1"/>
  <c r="KG914" i="5"/>
  <c r="KG898" i="5"/>
  <c r="KH898" i="5" s="1"/>
  <c r="KG895" i="5"/>
  <c r="KH895" i="5" s="1"/>
  <c r="KG883" i="5"/>
  <c r="KH883" i="5" s="1"/>
  <c r="KG881" i="5"/>
  <c r="KH881" i="5" s="1"/>
  <c r="KG878" i="5"/>
  <c r="KH874" i="5"/>
  <c r="KG874" i="5"/>
  <c r="KH873" i="5"/>
  <c r="KG873" i="5"/>
  <c r="KH872" i="5"/>
  <c r="KG872" i="5"/>
  <c r="KG868" i="5"/>
  <c r="KH868" i="5" s="1"/>
  <c r="KG859" i="5"/>
  <c r="KG858" i="5"/>
  <c r="KG857" i="5"/>
  <c r="KG856" i="5"/>
  <c r="KH856" i="5" s="1"/>
  <c r="KG852" i="5"/>
  <c r="KH852" i="5" s="1"/>
  <c r="KG848" i="5"/>
  <c r="KH848" i="5" s="1"/>
  <c r="KG847" i="5"/>
  <c r="KH847" i="5" s="1"/>
  <c r="KG844" i="5"/>
  <c r="KH844" i="5" s="1"/>
  <c r="KH840" i="5"/>
  <c r="KG840" i="5"/>
  <c r="KG860" i="5" s="1"/>
  <c r="KG838" i="5"/>
  <c r="KH838" i="5" s="1"/>
  <c r="KG828" i="5"/>
  <c r="KH828" i="5" s="1"/>
  <c r="KG825" i="5"/>
  <c r="KG812" i="5"/>
  <c r="KH812" i="5" s="1"/>
  <c r="KG810" i="5"/>
  <c r="KH810" i="5" s="1"/>
  <c r="KG809" i="5"/>
  <c r="KH809" i="5" s="1"/>
  <c r="KG808" i="5"/>
  <c r="KH808" i="5" s="1"/>
  <c r="KG807" i="5"/>
  <c r="KG806" i="5"/>
  <c r="KG805" i="5"/>
  <c r="KH805" i="5" s="1"/>
  <c r="KG804" i="5"/>
  <c r="KH804" i="5" s="1"/>
  <c r="KG803" i="5"/>
  <c r="KH803" i="5" s="1"/>
  <c r="KG797" i="5"/>
  <c r="KH797" i="5" s="1"/>
  <c r="KG763" i="5"/>
  <c r="KI752" i="5"/>
  <c r="KH752" i="5"/>
  <c r="KG752" i="5"/>
  <c r="KI751" i="5"/>
  <c r="KH751" i="5"/>
  <c r="KG751" i="5"/>
  <c r="KI548" i="5"/>
  <c r="KH548" i="5"/>
  <c r="KG548" i="5"/>
  <c r="KI547" i="5"/>
  <c r="KI546" i="5"/>
  <c r="KH546" i="5"/>
  <c r="KG546" i="5"/>
  <c r="KE1040" i="5"/>
  <c r="KD1040" i="5"/>
  <c r="KE1039" i="5"/>
  <c r="KD1039" i="5"/>
  <c r="KE1038" i="5"/>
  <c r="KD1038" i="5"/>
  <c r="KD1037" i="5"/>
  <c r="KE1037" i="5" s="1"/>
  <c r="KE1035" i="5"/>
  <c r="KD1035" i="5"/>
  <c r="KE1032" i="5"/>
  <c r="KE1029" i="5" s="1"/>
  <c r="KD1032" i="5"/>
  <c r="KD1029" i="5" s="1"/>
  <c r="KE1031" i="5"/>
  <c r="KD1031" i="5"/>
  <c r="KE1030" i="5"/>
  <c r="KD1030" i="5"/>
  <c r="KD1017" i="5"/>
  <c r="KE1017" i="5" s="1"/>
  <c r="KD1016" i="5"/>
  <c r="KE1016" i="5" s="1"/>
  <c r="KD1015" i="5"/>
  <c r="KE1015" i="5" s="1"/>
  <c r="KD1014" i="5"/>
  <c r="KD1011" i="5"/>
  <c r="KD1010" i="5"/>
  <c r="KE999" i="5"/>
  <c r="KE996" i="5"/>
  <c r="KD984" i="5"/>
  <c r="KE984" i="5" s="1"/>
  <c r="KD983" i="5"/>
  <c r="KE983" i="5" s="1"/>
  <c r="KD982" i="5"/>
  <c r="KE982" i="5" s="1"/>
  <c r="KD981" i="5"/>
  <c r="KE981" i="5" s="1"/>
  <c r="KD977" i="5"/>
  <c r="KD973" i="5"/>
  <c r="KE973" i="5" s="1"/>
  <c r="KD971" i="5"/>
  <c r="KE971" i="5" s="1"/>
  <c r="KD966" i="5"/>
  <c r="KD965" i="5"/>
  <c r="KD964" i="5"/>
  <c r="KE964" i="5" s="1"/>
  <c r="KD963" i="5"/>
  <c r="KE963" i="5" s="1"/>
  <c r="KD960" i="5"/>
  <c r="KE960" i="5" s="1"/>
  <c r="KD959" i="5"/>
  <c r="KE959" i="5" s="1"/>
  <c r="KD958" i="5"/>
  <c r="KE958" i="5" s="1"/>
  <c r="KD957" i="5"/>
  <c r="KE957" i="5" s="1"/>
  <c r="KD954" i="5"/>
  <c r="KE954" i="5" s="1"/>
  <c r="KD922" i="5"/>
  <c r="KE922" i="5" s="1"/>
  <c r="KD920" i="5"/>
  <c r="KE920" i="5" s="1"/>
  <c r="KD914" i="5"/>
  <c r="KD898" i="5"/>
  <c r="KE898" i="5" s="1"/>
  <c r="KD895" i="5"/>
  <c r="KE895" i="5" s="1"/>
  <c r="KD883" i="5"/>
  <c r="KE883" i="5" s="1"/>
  <c r="KD881" i="5"/>
  <c r="KE881" i="5" s="1"/>
  <c r="KD878" i="5"/>
  <c r="KE874" i="5"/>
  <c r="KD874" i="5"/>
  <c r="KE873" i="5"/>
  <c r="KD873" i="5"/>
  <c r="KE872" i="5"/>
  <c r="KD872" i="5"/>
  <c r="KD868" i="5"/>
  <c r="KE868" i="5" s="1"/>
  <c r="KD859" i="5"/>
  <c r="KE859" i="5" s="1"/>
  <c r="KD858" i="5"/>
  <c r="KE858" i="5" s="1"/>
  <c r="KD857" i="5"/>
  <c r="KE857" i="5" s="1"/>
  <c r="KD856" i="5"/>
  <c r="KE856" i="5" s="1"/>
  <c r="KD852" i="5"/>
  <c r="KE852" i="5" s="1"/>
  <c r="KD848" i="5"/>
  <c r="KD847" i="5"/>
  <c r="KE847" i="5" s="1"/>
  <c r="KD844" i="5"/>
  <c r="KE844" i="5" s="1"/>
  <c r="KD838" i="5"/>
  <c r="KE838" i="5" s="1"/>
  <c r="KD837" i="5"/>
  <c r="KE837" i="5" s="1"/>
  <c r="KD828" i="5"/>
  <c r="KD812" i="5"/>
  <c r="KD811" i="5"/>
  <c r="KE811" i="5" s="1"/>
  <c r="KD810" i="5"/>
  <c r="KE810" i="5" s="1"/>
  <c r="KD809" i="5"/>
  <c r="KE809" i="5" s="1"/>
  <c r="KD808" i="5"/>
  <c r="KE808" i="5" s="1"/>
  <c r="KD807" i="5"/>
  <c r="KE807" i="5" s="1"/>
  <c r="KD806" i="5"/>
  <c r="KE806" i="5" s="1"/>
  <c r="KD805" i="5"/>
  <c r="KE805" i="5" s="1"/>
  <c r="KD804" i="5"/>
  <c r="KE804" i="5" s="1"/>
  <c r="KD803" i="5"/>
  <c r="KE803" i="5" s="1"/>
  <c r="KD797" i="5"/>
  <c r="KE797" i="5" s="1"/>
  <c r="KD763" i="5"/>
  <c r="KF752" i="5"/>
  <c r="KE752" i="5"/>
  <c r="KD752" i="5"/>
  <c r="KF751" i="5"/>
  <c r="KE751" i="5"/>
  <c r="KD751" i="5"/>
  <c r="KF548" i="5"/>
  <c r="KE548" i="5"/>
  <c r="KD548" i="5"/>
  <c r="KF547" i="5"/>
  <c r="KF546" i="5"/>
  <c r="KE546" i="5"/>
  <c r="KD546" i="5"/>
  <c r="KB1040" i="5"/>
  <c r="KB1039" i="5"/>
  <c r="KB1038" i="5"/>
  <c r="KA1037" i="5"/>
  <c r="KB1037" i="5" s="1"/>
  <c r="KB1035" i="5"/>
  <c r="KB1032" i="5"/>
  <c r="KB1029" i="5" s="1"/>
  <c r="KB1031" i="5"/>
  <c r="KB1030" i="5"/>
  <c r="KA1016" i="5"/>
  <c r="KB1016" i="5" s="1"/>
  <c r="KA1015" i="5"/>
  <c r="KB1015" i="5" s="1"/>
  <c r="KA1014" i="5"/>
  <c r="AQ1751" i="2" s="1"/>
  <c r="KA1011" i="5"/>
  <c r="AQ1739" i="2" s="1"/>
  <c r="KA1010" i="5"/>
  <c r="KB1010" i="5" s="1"/>
  <c r="KB999" i="5"/>
  <c r="KA996" i="5"/>
  <c r="KB996" i="5"/>
  <c r="KA984" i="5"/>
  <c r="KB984" i="5" s="1"/>
  <c r="KA983" i="5"/>
  <c r="KB983" i="5" s="1"/>
  <c r="KA982" i="5"/>
  <c r="KB982" i="5" s="1"/>
  <c r="KA981" i="5"/>
  <c r="KB981" i="5" s="1"/>
  <c r="KA977" i="5"/>
  <c r="KA973" i="5"/>
  <c r="KA971" i="5"/>
  <c r="KB971" i="5" s="1"/>
  <c r="KA966" i="5"/>
  <c r="KA965" i="5"/>
  <c r="KA964" i="5"/>
  <c r="KB964" i="5" s="1"/>
  <c r="KA963" i="5"/>
  <c r="KB963" i="5" s="1"/>
  <c r="KA960" i="5"/>
  <c r="KB960" i="5" s="1"/>
  <c r="KA959" i="5"/>
  <c r="KB959" i="5" s="1"/>
  <c r="KA958" i="5"/>
  <c r="KA957" i="5"/>
  <c r="KB957" i="5" s="1"/>
  <c r="KA954" i="5"/>
  <c r="KB954" i="5" s="1"/>
  <c r="KA922" i="5"/>
  <c r="KB922" i="5" s="1"/>
  <c r="KA920" i="5"/>
  <c r="KB920" i="5" s="1"/>
  <c r="KA914" i="5"/>
  <c r="KA898" i="5"/>
  <c r="KB898" i="5" s="1"/>
  <c r="KA895" i="5"/>
  <c r="KB895" i="5" s="1"/>
  <c r="KA881" i="5"/>
  <c r="KB881" i="5" s="1"/>
  <c r="KA878" i="5"/>
  <c r="KB874" i="5"/>
  <c r="KA874" i="5"/>
  <c r="KB873" i="5"/>
  <c r="KA873" i="5"/>
  <c r="KB872" i="5"/>
  <c r="KA868" i="5"/>
  <c r="KB868" i="5" s="1"/>
  <c r="KA859" i="5"/>
  <c r="KA858" i="5"/>
  <c r="KB858" i="5" s="1"/>
  <c r="KA857" i="5"/>
  <c r="KB857" i="5" s="1"/>
  <c r="KA856" i="5"/>
  <c r="KB856" i="5" s="1"/>
  <c r="KA852" i="5"/>
  <c r="KB852" i="5" s="1"/>
  <c r="KA848" i="5"/>
  <c r="KB848" i="5" s="1"/>
  <c r="KA844" i="5"/>
  <c r="KB844" i="5" s="1"/>
  <c r="KA838" i="5"/>
  <c r="KB838" i="5" s="1"/>
  <c r="KA837" i="5"/>
  <c r="KB837" i="5" s="1"/>
  <c r="KA828" i="5"/>
  <c r="KB828" i="5" s="1"/>
  <c r="KA812" i="5"/>
  <c r="KB812" i="5" s="1"/>
  <c r="KA811" i="5"/>
  <c r="KB811" i="5" s="1"/>
  <c r="KA810" i="5"/>
  <c r="KB810" i="5" s="1"/>
  <c r="KA809" i="5"/>
  <c r="KB809" i="5" s="1"/>
  <c r="KA808" i="5"/>
  <c r="KB808" i="5" s="1"/>
  <c r="KA806" i="5"/>
  <c r="KB806" i="5" s="1"/>
  <c r="KA805" i="5"/>
  <c r="KB805" i="5" s="1"/>
  <c r="KA804" i="5"/>
  <c r="KB804" i="5" s="1"/>
  <c r="KA803" i="5"/>
  <c r="KB803" i="5" s="1"/>
  <c r="KA797" i="5"/>
  <c r="KB797" i="5" s="1"/>
  <c r="KA763" i="5"/>
  <c r="KC752" i="5"/>
  <c r="KB752" i="5"/>
  <c r="KA752" i="5"/>
  <c r="KB751" i="5"/>
  <c r="KA751" i="5"/>
  <c r="KC548" i="5"/>
  <c r="KB548" i="5"/>
  <c r="KA548" i="5"/>
  <c r="KC547" i="5"/>
  <c r="KC546" i="5"/>
  <c r="KB546" i="5"/>
  <c r="KA546" i="5"/>
  <c r="U159" i="21" l="1"/>
  <c r="AT1739" i="2"/>
  <c r="AR1740" i="2"/>
  <c r="AT1751" i="2"/>
  <c r="AR1752" i="2"/>
  <c r="AR1731" i="2"/>
  <c r="AP1732" i="2"/>
  <c r="KD999" i="5"/>
  <c r="KG999" i="5"/>
  <c r="KB819" i="5"/>
  <c r="KH1028" i="5"/>
  <c r="KH1027" i="5" s="1"/>
  <c r="KH1019" i="5" s="1"/>
  <c r="KH996" i="5"/>
  <c r="KK999" i="5"/>
  <c r="KK819" i="5"/>
  <c r="KH817" i="5"/>
  <c r="KH958" i="5"/>
  <c r="KN807" i="5"/>
  <c r="KK811" i="5"/>
  <c r="KH819" i="5"/>
  <c r="KH858" i="5"/>
  <c r="KJ814" i="5"/>
  <c r="KK814" i="5" s="1"/>
  <c r="KJ818" i="5"/>
  <c r="KK996" i="5"/>
  <c r="KB815" i="5"/>
  <c r="KN958" i="5"/>
  <c r="KE819" i="5"/>
  <c r="KN815" i="5"/>
  <c r="KB1028" i="5"/>
  <c r="KB1027" i="5" s="1"/>
  <c r="KB1019" i="5" s="1"/>
  <c r="KK815" i="5"/>
  <c r="KN819" i="5"/>
  <c r="KK807" i="5"/>
  <c r="KE815" i="5"/>
  <c r="KB958" i="5"/>
  <c r="KM814" i="5"/>
  <c r="KN814" i="5" s="1"/>
  <c r="KA814" i="5"/>
  <c r="KB814" i="5" s="1"/>
  <c r="KN858" i="5"/>
  <c r="KN920" i="5"/>
  <c r="KJ1028" i="5"/>
  <c r="KJ1027" i="5" s="1"/>
  <c r="KJ1019" i="5" s="1"/>
  <c r="KK1028" i="5"/>
  <c r="KK1027" i="5" s="1"/>
  <c r="KK1019" i="5" s="1"/>
  <c r="KK817" i="5"/>
  <c r="KK958" i="5"/>
  <c r="KM818" i="5"/>
  <c r="KM1028" i="5"/>
  <c r="KM1027" i="5" s="1"/>
  <c r="KM1019" i="5" s="1"/>
  <c r="KA869" i="5"/>
  <c r="KD1028" i="5"/>
  <c r="KD1027" i="5" s="1"/>
  <c r="KD1019" i="5" s="1"/>
  <c r="KD814" i="5"/>
  <c r="KE814" i="5" s="1"/>
  <c r="KE1028" i="5"/>
  <c r="KE1027" i="5" s="1"/>
  <c r="KE1019" i="5" s="1"/>
  <c r="KH973" i="5"/>
  <c r="KE1010" i="5"/>
  <c r="AS1732" i="2" s="1"/>
  <c r="KH806" i="5"/>
  <c r="KG957" i="5"/>
  <c r="KH957" i="5" s="1"/>
  <c r="KM1009" i="5"/>
  <c r="KM1008" i="5" s="1"/>
  <c r="KD996" i="5"/>
  <c r="KH807" i="5"/>
  <c r="KA807" i="5"/>
  <c r="KB807" i="5" s="1"/>
  <c r="KD869" i="5"/>
  <c r="KH815" i="5"/>
  <c r="KG814" i="5"/>
  <c r="KH814" i="5" s="1"/>
  <c r="KJ858" i="5"/>
  <c r="KK858" i="5" s="1"/>
  <c r="KD818" i="5"/>
  <c r="KA1009" i="5"/>
  <c r="KA1008" i="5" s="1"/>
  <c r="KE812" i="5"/>
  <c r="KN828" i="5"/>
  <c r="KN1028" i="5"/>
  <c r="KN1027" i="5" s="1"/>
  <c r="KN1019" i="5" s="1"/>
  <c r="KA999" i="5"/>
  <c r="AQ1731" i="2" s="1"/>
  <c r="KN848" i="5"/>
  <c r="KG869" i="5"/>
  <c r="KE828" i="5"/>
  <c r="KE848" i="5"/>
  <c r="KK959" i="5"/>
  <c r="KM869" i="5"/>
  <c r="KH857" i="5"/>
  <c r="KJ869" i="5"/>
  <c r="KA1028" i="5"/>
  <c r="KA1027" i="5" s="1"/>
  <c r="KA1019" i="5" s="1"/>
  <c r="KM837" i="5"/>
  <c r="KN837" i="5" s="1"/>
  <c r="KM852" i="5"/>
  <c r="KN852" i="5" s="1"/>
  <c r="KM810" i="5"/>
  <c r="KN810" i="5" s="1"/>
  <c r="KM844" i="5"/>
  <c r="KN844" i="5" s="1"/>
  <c r="KN977" i="5"/>
  <c r="KN817" i="5"/>
  <c r="KM763" i="5"/>
  <c r="KM809" i="5"/>
  <c r="KN809" i="5" s="1"/>
  <c r="KM806" i="5"/>
  <c r="KN806" i="5" s="1"/>
  <c r="KM857" i="5"/>
  <c r="KN857" i="5" s="1"/>
  <c r="KM957" i="5"/>
  <c r="KN957" i="5" s="1"/>
  <c r="KM999" i="5"/>
  <c r="KJ852" i="5"/>
  <c r="KK852" i="5" s="1"/>
  <c r="KJ844" i="5"/>
  <c r="KK844" i="5" s="1"/>
  <c r="KJ1009" i="5"/>
  <c r="KJ1008" i="5" s="1"/>
  <c r="KJ803" i="5"/>
  <c r="KK803" i="5" s="1"/>
  <c r="KK763" i="5"/>
  <c r="KK977" i="5"/>
  <c r="KK859" i="5"/>
  <c r="KH977" i="5"/>
  <c r="KG1028" i="5"/>
  <c r="KG1027" i="5" s="1"/>
  <c r="KG1019" i="5" s="1"/>
  <c r="KH763" i="5"/>
  <c r="KG837" i="5"/>
  <c r="KH837" i="5" s="1"/>
  <c r="KH859" i="5"/>
  <c r="KG818" i="5"/>
  <c r="KG811" i="5"/>
  <c r="KH811" i="5" s="1"/>
  <c r="KG982" i="5"/>
  <c r="KH982" i="5" s="1"/>
  <c r="KG1037" i="5"/>
  <c r="KH1037" i="5" s="1"/>
  <c r="KG964" i="5"/>
  <c r="KH964" i="5" s="1"/>
  <c r="KG984" i="5"/>
  <c r="KH984" i="5" s="1"/>
  <c r="KG1010" i="5"/>
  <c r="KG1009" i="5" s="1"/>
  <c r="KG1008" i="5" s="1"/>
  <c r="KE763" i="5"/>
  <c r="KD1009" i="5"/>
  <c r="KD1008" i="5" s="1"/>
  <c r="KE817" i="5"/>
  <c r="KE977" i="5"/>
  <c r="KB973" i="5"/>
  <c r="KB977" i="5"/>
  <c r="KB859" i="5"/>
  <c r="KB763" i="5"/>
  <c r="KB817" i="5"/>
  <c r="KA818" i="5"/>
  <c r="KA847" i="5"/>
  <c r="KB847" i="5" s="1"/>
  <c r="KA883" i="5"/>
  <c r="KB883" i="5" s="1"/>
  <c r="KA1017" i="5"/>
  <c r="KB1017" i="5" s="1"/>
  <c r="U160" i="21" l="1"/>
  <c r="AR1732" i="2"/>
  <c r="AT1731" i="2"/>
  <c r="KA813" i="5"/>
  <c r="KJ813" i="5"/>
  <c r="KD813" i="5"/>
  <c r="KM813" i="5"/>
  <c r="KG813" i="5"/>
  <c r="KN763" i="5"/>
  <c r="KH1010" i="5"/>
  <c r="U161" i="21" l="1"/>
  <c r="AP1733" i="2"/>
  <c r="AQ1733" i="2"/>
  <c r="AR1733" i="2"/>
  <c r="AS1733" i="2"/>
  <c r="AT1733" i="2"/>
  <c r="AP1730" i="2"/>
  <c r="AQ1730" i="2"/>
  <c r="AR1730" i="2"/>
  <c r="AS1730" i="2"/>
  <c r="AT1730" i="2"/>
  <c r="JN1002" i="5"/>
  <c r="JQ1002" i="5"/>
  <c r="JT1002" i="5"/>
  <c r="JW1002" i="5"/>
  <c r="JZ1002" i="5"/>
  <c r="KC1002" i="5"/>
  <c r="KF1002" i="5"/>
  <c r="KI1002" i="5"/>
  <c r="KL1002" i="5"/>
  <c r="KO1002" i="5"/>
  <c r="U162" i="21" l="1"/>
  <c r="KC1011" i="5"/>
  <c r="AQ1740" i="2" s="1"/>
  <c r="AQ1738" i="2" s="1"/>
  <c r="AP1335" i="2"/>
  <c r="KL1011" i="5"/>
  <c r="KK1011" i="5" s="1"/>
  <c r="KK1009" i="5" s="1"/>
  <c r="AS1335" i="2"/>
  <c r="JW1011" i="5"/>
  <c r="AN1335" i="2"/>
  <c r="KI1011" i="5"/>
  <c r="KH1011" i="5" s="1"/>
  <c r="KH1009" i="5" s="1"/>
  <c r="AR1335" i="2"/>
  <c r="JQ1011" i="5"/>
  <c r="AL1335" i="2"/>
  <c r="KO1011" i="5"/>
  <c r="KN1011" i="5" s="1"/>
  <c r="KN1009" i="5" s="1"/>
  <c r="AT1335" i="2"/>
  <c r="AV1335" i="2" s="1"/>
  <c r="AU1335" i="2" s="1"/>
  <c r="JZ1011" i="5"/>
  <c r="AP1739" i="2" s="1"/>
  <c r="AO1335" i="2"/>
  <c r="KF1011" i="5"/>
  <c r="AT1740" i="2" s="1"/>
  <c r="AT1738" i="2" s="1"/>
  <c r="AQ1335" i="2"/>
  <c r="JT1011" i="5"/>
  <c r="AM1335" i="2"/>
  <c r="JN1011" i="5"/>
  <c r="JM1011" i="5" s="1"/>
  <c r="AT1741" i="2"/>
  <c r="AS1741" i="2"/>
  <c r="AR1741" i="2"/>
  <c r="AQ1741" i="2"/>
  <c r="AP1741" i="2"/>
  <c r="U163" i="21" l="1"/>
  <c r="KB1011" i="5"/>
  <c r="KB1009" i="5" s="1"/>
  <c r="AS1739" i="2"/>
  <c r="KE1011" i="5"/>
  <c r="AS1740" i="2" s="1"/>
  <c r="KO1014" i="5"/>
  <c r="KN1014" i="5" s="1"/>
  <c r="KN1008" i="5" s="1"/>
  <c r="AT1753" i="2"/>
  <c r="KL1014" i="5"/>
  <c r="KK1014" i="5" s="1"/>
  <c r="KK1008" i="5" s="1"/>
  <c r="AS1753" i="2"/>
  <c r="KF1014" i="5"/>
  <c r="AQ1753" i="2"/>
  <c r="KI1014" i="5"/>
  <c r="KH1014" i="5" s="1"/>
  <c r="KH1008" i="5" s="1"/>
  <c r="AR1753" i="2"/>
  <c r="KC1014" i="5"/>
  <c r="AP1753" i="2"/>
  <c r="AP1304" i="2"/>
  <c r="KC968" i="5"/>
  <c r="U164" i="21" l="1"/>
  <c r="AS1738" i="2"/>
  <c r="KE1009" i="5"/>
  <c r="AR1739" i="2"/>
  <c r="AR1738" i="2" s="1"/>
  <c r="AP1740" i="2"/>
  <c r="AP1738" i="2" s="1"/>
  <c r="AQ1304" i="2"/>
  <c r="KC979" i="5"/>
  <c r="AS1751" i="2"/>
  <c r="AQ1752" i="2"/>
  <c r="AQ1750" i="2" s="1"/>
  <c r="KB1014" i="5"/>
  <c r="KB1008" i="5" s="1"/>
  <c r="AT1752" i="2"/>
  <c r="AT1750" i="2" s="1"/>
  <c r="KE1014" i="5"/>
  <c r="AS1752" i="2" s="1"/>
  <c r="AQ1289" i="2"/>
  <c r="KF968" i="5" s="1"/>
  <c r="KD968" i="5" s="1"/>
  <c r="U165" i="21" l="1"/>
  <c r="KE968" i="5"/>
  <c r="KE1008" i="5"/>
  <c r="AS1750" i="2"/>
  <c r="AR1751" i="2"/>
  <c r="AR1750" i="2" s="1"/>
  <c r="AP1752" i="2"/>
  <c r="AR1304" i="2"/>
  <c r="KF979" i="5"/>
  <c r="AR1289" i="2"/>
  <c r="U166" i="21" l="1"/>
  <c r="KA968" i="5"/>
  <c r="KB968" i="5" s="1"/>
  <c r="KI968" i="5"/>
  <c r="KG968" i="5" s="1"/>
  <c r="AS1304" i="2"/>
  <c r="KI979" i="5"/>
  <c r="AS1289" i="2"/>
  <c r="KL968" i="5" s="1"/>
  <c r="U167" i="21" l="1"/>
  <c r="KH968" i="5"/>
  <c r="KJ968" i="5"/>
  <c r="KK968" i="5" s="1"/>
  <c r="AT1304" i="2"/>
  <c r="KL979" i="5"/>
  <c r="AT1289" i="2"/>
  <c r="U168" i="21" l="1"/>
  <c r="KO968" i="5"/>
  <c r="KM968" i="5" s="1"/>
  <c r="KN968" i="5" s="1"/>
  <c r="AV1289" i="2"/>
  <c r="AU1289" i="2" s="1"/>
  <c r="KO979" i="5"/>
  <c r="AV1304" i="2"/>
  <c r="AU1304" i="2" s="1"/>
  <c r="AO1363" i="2"/>
  <c r="AP1363" i="2"/>
  <c r="KC1038" i="5" s="1"/>
  <c r="AQ1363" i="2"/>
  <c r="KF1038" i="5" s="1"/>
  <c r="AR1363" i="2"/>
  <c r="KI1038" i="5" s="1"/>
  <c r="AS1363" i="2"/>
  <c r="KL1038" i="5" s="1"/>
  <c r="AT1363" i="2"/>
  <c r="AM1360" i="2"/>
  <c r="AN1360" i="2"/>
  <c r="AO1360" i="2"/>
  <c r="AP1360" i="2"/>
  <c r="AQ1360" i="2"/>
  <c r="KF1035" i="5" s="1"/>
  <c r="AR1360" i="2"/>
  <c r="KI1035" i="5" s="1"/>
  <c r="AS1360" i="2"/>
  <c r="KL1035" i="5" s="1"/>
  <c r="AT1360" i="2"/>
  <c r="AM1354" i="2"/>
  <c r="AN1354" i="2"/>
  <c r="AO1354" i="2"/>
  <c r="AP1354" i="2"/>
  <c r="AQ1354" i="2"/>
  <c r="KF1029" i="5" s="1"/>
  <c r="AR1354" i="2"/>
  <c r="KI1029" i="5" s="1"/>
  <c r="AS1354" i="2"/>
  <c r="KL1029" i="5" s="1"/>
  <c r="AT1354" i="2"/>
  <c r="JN1030" i="5"/>
  <c r="AL1355" i="2"/>
  <c r="JQ1030" i="5" s="1"/>
  <c r="AM1355" i="2"/>
  <c r="JT1030" i="5" s="1"/>
  <c r="AN1355" i="2"/>
  <c r="JW1030" i="5" s="1"/>
  <c r="AO1355" i="2"/>
  <c r="JZ1030" i="5" s="1"/>
  <c r="AP1355" i="2"/>
  <c r="KC1030" i="5" s="1"/>
  <c r="AQ1355" i="2"/>
  <c r="KF1030" i="5" s="1"/>
  <c r="AR1355" i="2"/>
  <c r="KI1030" i="5" s="1"/>
  <c r="AS1355" i="2"/>
  <c r="KL1030" i="5" s="1"/>
  <c r="AT1355" i="2"/>
  <c r="KC1007" i="5"/>
  <c r="KF1007" i="5"/>
  <c r="KI1007" i="5"/>
  <c r="KL1007" i="5"/>
  <c r="KO1007" i="5"/>
  <c r="AS421" i="2"/>
  <c r="AS423" i="2"/>
  <c r="JN1007" i="5"/>
  <c r="JQ1007" i="5"/>
  <c r="JT1007" i="5"/>
  <c r="JW1007" i="5"/>
  <c r="JZ1007" i="5"/>
  <c r="AK693" i="2"/>
  <c r="AL693" i="2"/>
  <c r="AM693" i="2"/>
  <c r="AN693" i="2"/>
  <c r="AO693" i="2"/>
  <c r="AI693" i="2"/>
  <c r="AI722" i="2" s="1"/>
  <c r="AJ693" i="2"/>
  <c r="AJ719" i="2"/>
  <c r="AJ718" i="2" s="1"/>
  <c r="AK723" i="2"/>
  <c r="AL723" i="2" s="1"/>
  <c r="AM723" i="2" s="1"/>
  <c r="AN723" i="2" s="1"/>
  <c r="AO723" i="2" s="1"/>
  <c r="AP723" i="2" s="1"/>
  <c r="AQ723" i="2" s="1"/>
  <c r="AR723" i="2" s="1"/>
  <c r="AS723" i="2" s="1"/>
  <c r="AT723" i="2" s="1"/>
  <c r="AF729" i="2"/>
  <c r="AG729" i="2"/>
  <c r="AH729" i="2"/>
  <c r="AI729" i="2"/>
  <c r="AF730" i="2"/>
  <c r="AG730" i="2"/>
  <c r="AH730" i="2"/>
  <c r="AI730" i="2"/>
  <c r="AF727" i="2"/>
  <c r="AG727" i="2"/>
  <c r="AH727" i="2"/>
  <c r="AI727" i="2"/>
  <c r="AF726" i="2"/>
  <c r="AG726" i="2"/>
  <c r="AH726" i="2"/>
  <c r="AI726" i="2"/>
  <c r="AF724" i="2"/>
  <c r="AF728" i="2" s="1"/>
  <c r="AG724" i="2"/>
  <c r="AG728" i="2" s="1"/>
  <c r="AH724" i="2"/>
  <c r="AH728" i="2" s="1"/>
  <c r="AI724" i="2"/>
  <c r="AI728" i="2" s="1"/>
  <c r="AE724" i="2"/>
  <c r="KC1029" i="5" l="1"/>
  <c r="BL103" i="19"/>
  <c r="BM103" i="19" s="1"/>
  <c r="KC1035" i="5"/>
  <c r="BL106" i="19"/>
  <c r="BM106" i="19" s="1"/>
  <c r="JZ1035" i="5"/>
  <c r="JZ1029" i="5"/>
  <c r="JZ1038" i="5"/>
  <c r="KL1064" i="5"/>
  <c r="KJ1064" i="5" s="1"/>
  <c r="KK1064" i="5" s="1"/>
  <c r="AT422" i="2"/>
  <c r="U169" i="21"/>
  <c r="JT1029" i="5"/>
  <c r="V47" i="21"/>
  <c r="JW1029" i="5"/>
  <c r="W47" i="21"/>
  <c r="JW1035" i="5"/>
  <c r="W50" i="21"/>
  <c r="JT1035" i="5"/>
  <c r="V50" i="21"/>
  <c r="AJ726" i="2"/>
  <c r="AJ727" i="2" s="1"/>
  <c r="KO1038" i="5"/>
  <c r="AV1363" i="2"/>
  <c r="AU1363" i="2" s="1"/>
  <c r="KO1035" i="5"/>
  <c r="AV1360" i="2"/>
  <c r="AU1360" i="2" s="1"/>
  <c r="AT1661" i="2" s="1"/>
  <c r="KO1030" i="5"/>
  <c r="AV1355" i="2"/>
  <c r="AU1355" i="2" s="1"/>
  <c r="KO1029" i="5"/>
  <c r="AV1354" i="2"/>
  <c r="AU1354" i="2" s="1"/>
  <c r="AE725" i="2"/>
  <c r="AE728" i="2"/>
  <c r="AJ729" i="2"/>
  <c r="AJ730" i="2" s="1"/>
  <c r="AS1271" i="2"/>
  <c r="AV1271" i="2" s="1"/>
  <c r="AU1271" i="2" s="1"/>
  <c r="AS698" i="2"/>
  <c r="AO722" i="2"/>
  <c r="AP722" i="2"/>
  <c r="AM722" i="2"/>
  <c r="AH722" i="2"/>
  <c r="AT423" i="2"/>
  <c r="AK722" i="2"/>
  <c r="AK721" i="2" s="1"/>
  <c r="AN722" i="2"/>
  <c r="AL722" i="2"/>
  <c r="AJ722" i="2"/>
  <c r="U170" i="21" l="1"/>
  <c r="W43" i="21"/>
  <c r="V43" i="21"/>
  <c r="AL721" i="2"/>
  <c r="AM721" i="2" s="1"/>
  <c r="AN721" i="2" s="1"/>
  <c r="AO721" i="2" s="1"/>
  <c r="AP721" i="2" s="1"/>
  <c r="AQ721" i="2" s="1"/>
  <c r="AR721" i="2" s="1"/>
  <c r="AS721" i="2" s="1"/>
  <c r="AT721" i="2" s="1"/>
  <c r="AK726" i="2"/>
  <c r="AL726" i="2" s="1"/>
  <c r="AK729" i="2"/>
  <c r="AK730" i="2" s="1"/>
  <c r="U171" i="21" l="1"/>
  <c r="AL729" i="2"/>
  <c r="AK727" i="2"/>
  <c r="AM729" i="2"/>
  <c r="AL730" i="2"/>
  <c r="AM726" i="2"/>
  <c r="AL727" i="2"/>
  <c r="U172" i="21" l="1"/>
  <c r="AM727" i="2"/>
  <c r="AN726" i="2"/>
  <c r="AN729" i="2"/>
  <c r="AM730" i="2"/>
  <c r="U173" i="21" l="1"/>
  <c r="AN730" i="2"/>
  <c r="AO729" i="2"/>
  <c r="AN727" i="2"/>
  <c r="AO726" i="2"/>
  <c r="U174" i="21" l="1"/>
  <c r="AO727" i="2"/>
  <c r="AP726" i="2"/>
  <c r="AO730" i="2"/>
  <c r="AP729" i="2"/>
  <c r="U175" i="21" l="1"/>
  <c r="AQ729" i="2"/>
  <c r="AP730" i="2"/>
  <c r="AQ726" i="2"/>
  <c r="AP727" i="2"/>
  <c r="U176" i="21" l="1"/>
  <c r="AR726" i="2"/>
  <c r="AQ727" i="2"/>
  <c r="AQ730" i="2"/>
  <c r="AR729" i="2"/>
  <c r="U177" i="21" l="1"/>
  <c r="AR730" i="2"/>
  <c r="AS729" i="2"/>
  <c r="AS726" i="2"/>
  <c r="AR727" i="2"/>
  <c r="U178" i="21" l="1"/>
  <c r="AT726" i="2"/>
  <c r="AT727" i="2" s="1"/>
  <c r="AS727" i="2"/>
  <c r="AS730" i="2"/>
  <c r="AT729" i="2"/>
  <c r="AT730" i="2" s="1"/>
  <c r="U179" i="21" l="1"/>
  <c r="AF725" i="2"/>
  <c r="AG725" i="2"/>
  <c r="AH725" i="2"/>
  <c r="AI725" i="2"/>
  <c r="AJ725" i="2" s="1"/>
  <c r="U180" i="21" l="1"/>
  <c r="AJ728" i="2"/>
  <c r="AK725" i="2"/>
  <c r="U181" i="21" l="1"/>
  <c r="AL725" i="2"/>
  <c r="AK728" i="2"/>
  <c r="U182" i="21" l="1"/>
  <c r="AM725" i="2"/>
  <c r="AL728" i="2"/>
  <c r="AN725" i="2" l="1"/>
  <c r="AO725" i="2" s="1"/>
  <c r="AM728" i="2"/>
  <c r="U184" i="21" l="1"/>
  <c r="AO728" i="2"/>
  <c r="AP725" i="2"/>
  <c r="AN728" i="2"/>
  <c r="AQ725" i="2" l="1"/>
  <c r="AP728" i="2"/>
  <c r="AR725" i="2" l="1"/>
  <c r="AQ728" i="2"/>
  <c r="AR728" i="2" l="1"/>
  <c r="AS725" i="2"/>
  <c r="AS728" i="2" l="1"/>
  <c r="AT725" i="2"/>
  <c r="AT728" i="2" s="1"/>
  <c r="U190" i="21" l="1"/>
  <c r="AE714" i="2"/>
  <c r="AE715" i="2"/>
  <c r="AE716" i="2"/>
  <c r="AE717" i="2"/>
  <c r="AE718" i="2"/>
  <c r="AE719" i="2"/>
  <c r="AE720" i="2"/>
  <c r="AE721" i="2"/>
  <c r="AE713" i="2"/>
  <c r="AF714" i="2"/>
  <c r="AG714" i="2"/>
  <c r="AH714" i="2"/>
  <c r="AI714" i="2"/>
  <c r="AF715" i="2"/>
  <c r="AG715" i="2"/>
  <c r="AH715" i="2"/>
  <c r="AI715" i="2"/>
  <c r="AF716" i="2"/>
  <c r="AG716" i="2"/>
  <c r="AH716" i="2"/>
  <c r="AI716" i="2"/>
  <c r="AF717" i="2"/>
  <c r="AG717" i="2"/>
  <c r="AH717" i="2"/>
  <c r="AI717" i="2"/>
  <c r="AF718" i="2"/>
  <c r="AG718" i="2"/>
  <c r="AH718" i="2"/>
  <c r="AI718" i="2"/>
  <c r="AF719" i="2"/>
  <c r="AG719" i="2"/>
  <c r="AH719" i="2"/>
  <c r="AI719" i="2"/>
  <c r="AF720" i="2"/>
  <c r="AG720" i="2"/>
  <c r="AH720" i="2"/>
  <c r="AI720" i="2"/>
  <c r="AF721" i="2"/>
  <c r="AG721" i="2"/>
  <c r="AH721" i="2"/>
  <c r="AI721" i="2"/>
  <c r="AF713" i="2"/>
  <c r="AI713" i="2"/>
  <c r="AH713" i="2"/>
  <c r="AG713" i="2"/>
  <c r="U191" i="21" l="1"/>
  <c r="AH723" i="2"/>
  <c r="AI723" i="2"/>
  <c r="AG723" i="2"/>
  <c r="AF723" i="2"/>
  <c r="AE723" i="2"/>
  <c r="AO529" i="2"/>
  <c r="AO530" i="2" s="1"/>
  <c r="AJ529" i="2"/>
  <c r="AJ530" i="2" s="1"/>
  <c r="AK529" i="2"/>
  <c r="AK530" i="2" s="1"/>
  <c r="AL529" i="2"/>
  <c r="AL530" i="2" s="1"/>
  <c r="AM529" i="2"/>
  <c r="AM530" i="2" s="1"/>
  <c r="AN529" i="2"/>
  <c r="AN530" i="2" s="1"/>
  <c r="AF529" i="2"/>
  <c r="AF530" i="2" s="1"/>
  <c r="AG529" i="2"/>
  <c r="AG530" i="2" s="1"/>
  <c r="AH529" i="2"/>
  <c r="AH530" i="2" s="1"/>
  <c r="AI529" i="2"/>
  <c r="AI530" i="2" s="1"/>
  <c r="AJ706" i="2"/>
  <c r="AL705" i="2"/>
  <c r="AK705" i="2"/>
  <c r="AK1196" i="2" s="1"/>
  <c r="AJ705" i="2"/>
  <c r="AL704" i="2"/>
  <c r="AK704" i="2"/>
  <c r="AK1334" i="2" s="1"/>
  <c r="AJ704" i="2"/>
  <c r="AL702" i="2"/>
  <c r="AL1363" i="2" s="1"/>
  <c r="AK702" i="2"/>
  <c r="AK1363" i="2" s="1"/>
  <c r="AJ702" i="2"/>
  <c r="AJ701" i="2"/>
  <c r="AJ700" i="2"/>
  <c r="AJ699" i="2" s="1"/>
  <c r="AL699" i="2"/>
  <c r="AK699" i="2"/>
  <c r="AL691" i="2"/>
  <c r="AK691" i="2"/>
  <c r="AJ691" i="2"/>
  <c r="AK686" i="2"/>
  <c r="AK685" i="2"/>
  <c r="AL649" i="2"/>
  <c r="AJ649" i="2"/>
  <c r="AK639" i="2"/>
  <c r="AK637" i="2"/>
  <c r="AL636" i="2"/>
  <c r="AK636" i="2"/>
  <c r="AJ636" i="2"/>
  <c r="AK635" i="2"/>
  <c r="AK633" i="2"/>
  <c r="AJ630" i="2"/>
  <c r="AJ629" i="2"/>
  <c r="AK627" i="2"/>
  <c r="AJ626" i="2"/>
  <c r="AK625" i="2"/>
  <c r="AJ624" i="2"/>
  <c r="AJ623" i="2"/>
  <c r="AK622" i="2"/>
  <c r="AJ619" i="2"/>
  <c r="AL618" i="2"/>
  <c r="AK618" i="2"/>
  <c r="AJ618" i="2"/>
  <c r="AL616" i="2"/>
  <c r="AK616" i="2"/>
  <c r="AJ616" i="2"/>
  <c r="AL614" i="2"/>
  <c r="AK614" i="2"/>
  <c r="AJ614" i="2"/>
  <c r="AL612" i="2"/>
  <c r="AK612" i="2"/>
  <c r="AJ612" i="2"/>
  <c r="Q74" i="21" l="1"/>
  <c r="R74" i="21" s="1"/>
  <c r="Q77" i="21"/>
  <c r="R77" i="21" s="1"/>
  <c r="Q81" i="21"/>
  <c r="R81" i="21" s="1"/>
  <c r="T77" i="21"/>
  <c r="Q70" i="21"/>
  <c r="R70" i="21" s="1"/>
  <c r="JQ1038" i="5"/>
  <c r="JN1038" i="5"/>
  <c r="W108" i="19"/>
  <c r="Y108" i="19" s="1"/>
  <c r="AM1359" i="2"/>
  <c r="JT1034" i="5" s="1"/>
  <c r="AN1359" i="2"/>
  <c r="JW1034" i="5" s="1"/>
  <c r="AO1359" i="2"/>
  <c r="JZ1034" i="5" s="1"/>
  <c r="AK1354" i="2"/>
  <c r="Q47" i="21" l="1"/>
  <c r="R47" i="21" s="1"/>
  <c r="U77" i="21"/>
  <c r="JN1029" i="5"/>
  <c r="W103" i="19"/>
  <c r="Y103" i="19" s="1"/>
  <c r="FV962" i="5"/>
  <c r="FU962" i="5"/>
  <c r="FT962" i="5"/>
  <c r="FS962" i="5"/>
  <c r="FR962" i="5"/>
  <c r="FQ962" i="5"/>
  <c r="FP962" i="5"/>
  <c r="FO962" i="5"/>
  <c r="FN962" i="5"/>
  <c r="FM962" i="5"/>
  <c r="FL962" i="5"/>
  <c r="FK962" i="5"/>
  <c r="FJ962" i="5"/>
  <c r="FI962" i="5"/>
  <c r="FH962" i="5"/>
  <c r="FG962" i="5"/>
  <c r="FF962" i="5"/>
  <c r="FE962" i="5"/>
  <c r="FD962" i="5"/>
  <c r="FC962" i="5"/>
  <c r="FB962" i="5"/>
  <c r="FA962" i="5"/>
  <c r="EZ962" i="5"/>
  <c r="EY962" i="5"/>
  <c r="FV956" i="5"/>
  <c r="FU956" i="5"/>
  <c r="FT956" i="5"/>
  <c r="FS956" i="5"/>
  <c r="FR956" i="5"/>
  <c r="FQ956" i="5"/>
  <c r="FP956" i="5"/>
  <c r="FO956" i="5"/>
  <c r="FN956" i="5"/>
  <c r="FM956" i="5"/>
  <c r="FL956" i="5"/>
  <c r="FK956" i="5"/>
  <c r="FJ956" i="5"/>
  <c r="FI956" i="5"/>
  <c r="FH956" i="5"/>
  <c r="FG956" i="5"/>
  <c r="FF956" i="5"/>
  <c r="FE956" i="5"/>
  <c r="FD956" i="5"/>
  <c r="FC956" i="5"/>
  <c r="FB956" i="5"/>
  <c r="FA956" i="5"/>
  <c r="EZ956" i="5"/>
  <c r="EY956" i="5"/>
  <c r="EX956" i="5"/>
  <c r="EW956" i="5"/>
  <c r="EV956" i="5"/>
  <c r="EU956" i="5"/>
  <c r="ET956" i="5"/>
  <c r="ES956" i="5"/>
  <c r="ER956" i="5"/>
  <c r="EQ956" i="5"/>
  <c r="EP956" i="5"/>
  <c r="EO956" i="5"/>
  <c r="EN956" i="5"/>
  <c r="EM956" i="5"/>
  <c r="EL956" i="5"/>
  <c r="EK956" i="5"/>
  <c r="EJ956" i="5"/>
  <c r="EI956" i="5"/>
  <c r="EH956" i="5"/>
  <c r="EG956" i="5"/>
  <c r="EF956" i="5"/>
  <c r="EE956" i="5"/>
  <c r="ED956" i="5"/>
  <c r="EC956" i="5"/>
  <c r="EB956" i="5"/>
  <c r="EA956" i="5"/>
  <c r="DZ956" i="5"/>
  <c r="DY956" i="5"/>
  <c r="DX956" i="5"/>
  <c r="DW956" i="5"/>
  <c r="DV956" i="5"/>
  <c r="DU956" i="5"/>
  <c r="DT956" i="5"/>
  <c r="DS956" i="5"/>
  <c r="DR956" i="5"/>
  <c r="DQ956" i="5"/>
  <c r="DP956" i="5"/>
  <c r="DO956" i="5"/>
  <c r="DN956" i="5"/>
  <c r="DM956" i="5"/>
  <c r="DL956" i="5"/>
  <c r="DK956" i="5"/>
  <c r="DJ956" i="5"/>
  <c r="DI956" i="5"/>
  <c r="DH956" i="5"/>
  <c r="DG956" i="5"/>
  <c r="DF956" i="5"/>
  <c r="DE956" i="5"/>
  <c r="DD956" i="5"/>
  <c r="DC956" i="5"/>
  <c r="DG953" i="5"/>
  <c r="DF953" i="5"/>
  <c r="DE953" i="5"/>
  <c r="DD953" i="5"/>
  <c r="DC953" i="5"/>
  <c r="FV953" i="5"/>
  <c r="FU953" i="5"/>
  <c r="FT953" i="5"/>
  <c r="FS953" i="5"/>
  <c r="FR953" i="5"/>
  <c r="FQ953" i="5"/>
  <c r="FP953" i="5"/>
  <c r="FO953" i="5"/>
  <c r="FN953" i="5"/>
  <c r="FM953" i="5"/>
  <c r="FL953" i="5"/>
  <c r="FK953" i="5"/>
  <c r="FJ953" i="5"/>
  <c r="FI953" i="5"/>
  <c r="FH953" i="5"/>
  <c r="FG953" i="5"/>
  <c r="FF953" i="5"/>
  <c r="FE953" i="5"/>
  <c r="FD953" i="5"/>
  <c r="FC953" i="5"/>
  <c r="FB953" i="5"/>
  <c r="FA953" i="5"/>
  <c r="EZ953" i="5"/>
  <c r="EY953" i="5"/>
  <c r="EX953" i="5"/>
  <c r="EW953" i="5"/>
  <c r="EV953" i="5"/>
  <c r="EU953" i="5"/>
  <c r="ET953" i="5"/>
  <c r="ES953" i="5"/>
  <c r="ER953" i="5"/>
  <c r="EQ953" i="5"/>
  <c r="EP953" i="5"/>
  <c r="EO953" i="5"/>
  <c r="EN953" i="5"/>
  <c r="EM953" i="5"/>
  <c r="EL953" i="5"/>
  <c r="EK953" i="5"/>
  <c r="EJ953" i="5"/>
  <c r="EI953" i="5"/>
  <c r="EH953" i="5"/>
  <c r="EG953" i="5"/>
  <c r="EF953" i="5"/>
  <c r="EE953" i="5"/>
  <c r="ED953" i="5"/>
  <c r="EC953" i="5"/>
  <c r="EB953" i="5"/>
  <c r="EA953" i="5"/>
  <c r="DZ953" i="5"/>
  <c r="DY953" i="5"/>
  <c r="DX953" i="5"/>
  <c r="DW953" i="5"/>
  <c r="DV953" i="5"/>
  <c r="DU953" i="5"/>
  <c r="DT953" i="5"/>
  <c r="DS953" i="5"/>
  <c r="DR953" i="5"/>
  <c r="DQ953" i="5"/>
  <c r="DP953" i="5"/>
  <c r="DO953" i="5"/>
  <c r="DN953" i="5"/>
  <c r="DM953" i="5"/>
  <c r="DL953" i="5"/>
  <c r="DK953" i="5"/>
  <c r="DJ953" i="5"/>
  <c r="DI953" i="5"/>
  <c r="DH953" i="5"/>
  <c r="GS950" i="5"/>
  <c r="GT950" i="5"/>
  <c r="GU950" i="5"/>
  <c r="GV950" i="5"/>
  <c r="GW950" i="5"/>
  <c r="GX950" i="5"/>
  <c r="GY950" i="5"/>
  <c r="GZ950" i="5"/>
  <c r="HA950" i="5"/>
  <c r="HB950" i="5"/>
  <c r="HC950" i="5"/>
  <c r="HD950" i="5"/>
  <c r="HE950" i="5"/>
  <c r="HF950" i="5"/>
  <c r="HG950" i="5"/>
  <c r="HH950" i="5"/>
  <c r="HI950" i="5"/>
  <c r="HJ950" i="5"/>
  <c r="HK950" i="5"/>
  <c r="HL950" i="5"/>
  <c r="GJ950" i="5"/>
  <c r="GK950" i="5"/>
  <c r="GL950" i="5"/>
  <c r="GM950" i="5"/>
  <c r="GN950" i="5"/>
  <c r="GO950" i="5"/>
  <c r="GP950" i="5"/>
  <c r="GQ950" i="5"/>
  <c r="GR950" i="5"/>
  <c r="GI950" i="5"/>
  <c r="GG950" i="5"/>
  <c r="GH950" i="5"/>
  <c r="GF950" i="5"/>
  <c r="GE950" i="5"/>
  <c r="DC950" i="5"/>
  <c r="EJ950" i="5"/>
  <c r="EI950" i="5"/>
  <c r="EH950" i="5"/>
  <c r="EG950" i="5"/>
  <c r="EF950" i="5"/>
  <c r="EE950" i="5"/>
  <c r="ED950" i="5"/>
  <c r="EC950" i="5"/>
  <c r="EB950" i="5"/>
  <c r="EA950" i="5"/>
  <c r="DZ950" i="5"/>
  <c r="DY950" i="5"/>
  <c r="DX950" i="5"/>
  <c r="DW950" i="5"/>
  <c r="DV950" i="5"/>
  <c r="DU950" i="5"/>
  <c r="DT950" i="5"/>
  <c r="DS950" i="5"/>
  <c r="DR950" i="5"/>
  <c r="DQ950" i="5"/>
  <c r="DP950" i="5"/>
  <c r="DO950" i="5"/>
  <c r="DN950" i="5"/>
  <c r="DM950" i="5"/>
  <c r="DL950" i="5"/>
  <c r="DK950" i="5"/>
  <c r="DJ950" i="5"/>
  <c r="DI950" i="5"/>
  <c r="DH950" i="5"/>
  <c r="DG950" i="5"/>
  <c r="DF950" i="5"/>
  <c r="DE950" i="5"/>
  <c r="DD950" i="5"/>
  <c r="FO950" i="5"/>
  <c r="FN950" i="5"/>
  <c r="FM950" i="5"/>
  <c r="FL950" i="5"/>
  <c r="FK950" i="5"/>
  <c r="FJ950" i="5"/>
  <c r="FI950" i="5"/>
  <c r="FH950" i="5"/>
  <c r="FG950" i="5"/>
  <c r="FF950" i="5"/>
  <c r="FE950" i="5"/>
  <c r="FD950" i="5"/>
  <c r="FC950" i="5"/>
  <c r="FB950" i="5"/>
  <c r="FA950" i="5"/>
  <c r="EZ950" i="5"/>
  <c r="EY950" i="5"/>
  <c r="EX950" i="5"/>
  <c r="EW950" i="5"/>
  <c r="EV950" i="5"/>
  <c r="EU950" i="5"/>
  <c r="ET950" i="5"/>
  <c r="ES950" i="5"/>
  <c r="ER950" i="5"/>
  <c r="EQ950" i="5"/>
  <c r="EP950" i="5"/>
  <c r="EO950" i="5"/>
  <c r="EN950" i="5"/>
  <c r="EM950" i="5"/>
  <c r="EL950" i="5"/>
  <c r="EK950" i="5"/>
  <c r="FP950" i="5"/>
  <c r="FQ950" i="5"/>
  <c r="FR950" i="5"/>
  <c r="FS950" i="5"/>
  <c r="FT950" i="5"/>
  <c r="FU950" i="5"/>
  <c r="FV950" i="5"/>
  <c r="FW950" i="5"/>
  <c r="FX950" i="5"/>
  <c r="FY950" i="5"/>
  <c r="FZ950" i="5"/>
  <c r="GA950" i="5"/>
  <c r="GB950" i="5"/>
  <c r="GC950" i="5"/>
  <c r="GD950" i="5"/>
  <c r="GG919" i="5"/>
  <c r="GG912" i="5" s="1"/>
  <c r="GH919" i="5"/>
  <c r="GH912" i="5" s="1"/>
  <c r="FU919" i="5"/>
  <c r="FV919" i="5"/>
  <c r="FW919" i="5"/>
  <c r="FW912" i="5" s="1"/>
  <c r="FX919" i="5"/>
  <c r="FX912" i="5" s="1"/>
  <c r="FY919" i="5"/>
  <c r="FY912" i="5" s="1"/>
  <c r="FZ919" i="5"/>
  <c r="FZ912" i="5" s="1"/>
  <c r="GA919" i="5"/>
  <c r="GB919" i="5"/>
  <c r="GB912" i="5" s="1"/>
  <c r="GC919" i="5"/>
  <c r="GC912" i="5" s="1"/>
  <c r="GD919" i="5"/>
  <c r="GD912" i="5" s="1"/>
  <c r="GE919" i="5"/>
  <c r="GE912" i="5" s="1"/>
  <c r="GF919" i="5"/>
  <c r="GF912" i="5" s="1"/>
  <c r="GA912" i="5"/>
  <c r="FW903" i="5"/>
  <c r="FX903" i="5"/>
  <c r="FY903" i="5"/>
  <c r="FZ903" i="5"/>
  <c r="GA903" i="5"/>
  <c r="GB903" i="5"/>
  <c r="GC903" i="5"/>
  <c r="GD903" i="5"/>
  <c r="GE903" i="5"/>
  <c r="GF903" i="5"/>
  <c r="GG903" i="5"/>
  <c r="GH903" i="5"/>
  <c r="FW901" i="5"/>
  <c r="FX901" i="5"/>
  <c r="FY901" i="5"/>
  <c r="FZ901" i="5"/>
  <c r="GA901" i="5"/>
  <c r="GB901" i="5"/>
  <c r="GC901" i="5"/>
  <c r="GD901" i="5"/>
  <c r="GE901" i="5"/>
  <c r="GF901" i="5"/>
  <c r="GG901" i="5"/>
  <c r="GH901" i="5"/>
  <c r="GK886" i="5"/>
  <c r="GL886" i="5"/>
  <c r="GM886" i="5"/>
  <c r="GN886" i="5"/>
  <c r="GO886" i="5"/>
  <c r="GP886" i="5"/>
  <c r="GQ886" i="5"/>
  <c r="GR886" i="5"/>
  <c r="GS886" i="5"/>
  <c r="GT886" i="5"/>
  <c r="GU886" i="5"/>
  <c r="GV886" i="5"/>
  <c r="GW886" i="5"/>
  <c r="GX886" i="5"/>
  <c r="GY886" i="5"/>
  <c r="GZ886" i="5"/>
  <c r="HA886" i="5"/>
  <c r="HB886" i="5"/>
  <c r="HC886" i="5"/>
  <c r="HD886" i="5"/>
  <c r="HE886" i="5"/>
  <c r="HF886" i="5"/>
  <c r="HG886" i="5"/>
  <c r="HH886" i="5"/>
  <c r="HI886" i="5"/>
  <c r="HJ886" i="5"/>
  <c r="HK886" i="5"/>
  <c r="HL886" i="5"/>
  <c r="GK887" i="5"/>
  <c r="GL887" i="5"/>
  <c r="GM887" i="5"/>
  <c r="GN887" i="5"/>
  <c r="GO887" i="5"/>
  <c r="GP887" i="5"/>
  <c r="GQ887" i="5"/>
  <c r="GR887" i="5"/>
  <c r="GS887" i="5"/>
  <c r="GT887" i="5"/>
  <c r="GU887" i="5"/>
  <c r="GV887" i="5"/>
  <c r="GW887" i="5"/>
  <c r="GX887" i="5"/>
  <c r="GY887" i="5"/>
  <c r="GZ887" i="5"/>
  <c r="HA887" i="5"/>
  <c r="HB887" i="5"/>
  <c r="HC887" i="5"/>
  <c r="HD887" i="5"/>
  <c r="HE887" i="5"/>
  <c r="HF887" i="5"/>
  <c r="HG887" i="5"/>
  <c r="HH887" i="5"/>
  <c r="HI887" i="5"/>
  <c r="HJ887" i="5"/>
  <c r="HK887" i="5"/>
  <c r="HL887" i="5"/>
  <c r="GK888" i="5"/>
  <c r="GL888" i="5"/>
  <c r="GM888" i="5"/>
  <c r="GN888" i="5"/>
  <c r="GO888" i="5"/>
  <c r="GP888" i="5"/>
  <c r="GQ888" i="5"/>
  <c r="GR888" i="5"/>
  <c r="GS888" i="5"/>
  <c r="GT888" i="5"/>
  <c r="GU888" i="5"/>
  <c r="GV888" i="5"/>
  <c r="GW888" i="5"/>
  <c r="GX888" i="5"/>
  <c r="GY888" i="5"/>
  <c r="GZ888" i="5"/>
  <c r="HA888" i="5"/>
  <c r="HB888" i="5"/>
  <c r="HC888" i="5"/>
  <c r="HD888" i="5"/>
  <c r="HE888" i="5"/>
  <c r="HF888" i="5"/>
  <c r="HG888" i="5"/>
  <c r="HH888" i="5"/>
  <c r="HI888" i="5"/>
  <c r="HJ888" i="5"/>
  <c r="HK888" i="5"/>
  <c r="HL888" i="5"/>
  <c r="GK889" i="5"/>
  <c r="GL889" i="5"/>
  <c r="GM889" i="5"/>
  <c r="GN889" i="5"/>
  <c r="GO889" i="5"/>
  <c r="GP889" i="5"/>
  <c r="GQ889" i="5"/>
  <c r="GR889" i="5"/>
  <c r="GS889" i="5"/>
  <c r="GT889" i="5"/>
  <c r="GU889" i="5"/>
  <c r="GV889" i="5"/>
  <c r="GW889" i="5"/>
  <c r="GX889" i="5"/>
  <c r="GY889" i="5"/>
  <c r="GZ889" i="5"/>
  <c r="HA889" i="5"/>
  <c r="HB889" i="5"/>
  <c r="HC889" i="5"/>
  <c r="HD889" i="5"/>
  <c r="HE889" i="5"/>
  <c r="HF889" i="5"/>
  <c r="HG889" i="5"/>
  <c r="HH889" i="5"/>
  <c r="HI889" i="5"/>
  <c r="HJ889" i="5"/>
  <c r="HK889" i="5"/>
  <c r="HL889" i="5"/>
  <c r="GK890" i="5"/>
  <c r="GL890" i="5"/>
  <c r="GM890" i="5"/>
  <c r="GN890" i="5"/>
  <c r="GO890" i="5"/>
  <c r="GP890" i="5"/>
  <c r="GQ890" i="5"/>
  <c r="GR890" i="5"/>
  <c r="GS890" i="5"/>
  <c r="GT890" i="5"/>
  <c r="GU890" i="5"/>
  <c r="GV890" i="5"/>
  <c r="GW890" i="5"/>
  <c r="GX890" i="5"/>
  <c r="GY890" i="5"/>
  <c r="GZ890" i="5"/>
  <c r="HA890" i="5"/>
  <c r="HB890" i="5"/>
  <c r="HC890" i="5"/>
  <c r="HD890" i="5"/>
  <c r="HE890" i="5"/>
  <c r="HF890" i="5"/>
  <c r="HG890" i="5"/>
  <c r="HH890" i="5"/>
  <c r="HI890" i="5"/>
  <c r="HJ890" i="5"/>
  <c r="HK890" i="5"/>
  <c r="HL890" i="5"/>
  <c r="GK891" i="5"/>
  <c r="GL891" i="5"/>
  <c r="GM891" i="5"/>
  <c r="GN891" i="5"/>
  <c r="GO891" i="5"/>
  <c r="GP891" i="5"/>
  <c r="GQ891" i="5"/>
  <c r="GR891" i="5"/>
  <c r="GS891" i="5"/>
  <c r="GT891" i="5"/>
  <c r="GU891" i="5"/>
  <c r="GV891" i="5"/>
  <c r="GW891" i="5"/>
  <c r="GX891" i="5"/>
  <c r="GY891" i="5"/>
  <c r="GZ891" i="5"/>
  <c r="HA891" i="5"/>
  <c r="HB891" i="5"/>
  <c r="HC891" i="5"/>
  <c r="HD891" i="5"/>
  <c r="HE891" i="5"/>
  <c r="HF891" i="5"/>
  <c r="HG891" i="5"/>
  <c r="HH891" i="5"/>
  <c r="HI891" i="5"/>
  <c r="HJ891" i="5"/>
  <c r="HK891" i="5"/>
  <c r="HL891" i="5"/>
  <c r="GK892" i="5"/>
  <c r="GL892" i="5"/>
  <c r="GM892" i="5"/>
  <c r="GN892" i="5"/>
  <c r="GO892" i="5"/>
  <c r="GP892" i="5"/>
  <c r="GQ892" i="5"/>
  <c r="GR892" i="5"/>
  <c r="GS892" i="5"/>
  <c r="GT892" i="5"/>
  <c r="GU892" i="5"/>
  <c r="GV892" i="5"/>
  <c r="GW892" i="5"/>
  <c r="GX892" i="5"/>
  <c r="GY892" i="5"/>
  <c r="GZ892" i="5"/>
  <c r="HA892" i="5"/>
  <c r="HB892" i="5"/>
  <c r="HC892" i="5"/>
  <c r="HD892" i="5"/>
  <c r="HE892" i="5"/>
  <c r="HF892" i="5"/>
  <c r="HG892" i="5"/>
  <c r="HH892" i="5"/>
  <c r="HI892" i="5"/>
  <c r="HJ892" i="5"/>
  <c r="HK892" i="5"/>
  <c r="HL892" i="5"/>
  <c r="GK894" i="5"/>
  <c r="GL894" i="5"/>
  <c r="GM894" i="5"/>
  <c r="GN894" i="5"/>
  <c r="GO894" i="5"/>
  <c r="GP894" i="5"/>
  <c r="GQ894" i="5"/>
  <c r="GR894" i="5"/>
  <c r="GS894" i="5"/>
  <c r="GT894" i="5"/>
  <c r="GU894" i="5"/>
  <c r="GV894" i="5"/>
  <c r="GW894" i="5"/>
  <c r="GX894" i="5"/>
  <c r="GY894" i="5"/>
  <c r="GZ894" i="5"/>
  <c r="HA894" i="5"/>
  <c r="HB894" i="5"/>
  <c r="HC894" i="5"/>
  <c r="HD894" i="5"/>
  <c r="HE894" i="5"/>
  <c r="HF894" i="5"/>
  <c r="HG894" i="5"/>
  <c r="HH894" i="5"/>
  <c r="HI894" i="5"/>
  <c r="HJ894" i="5"/>
  <c r="HK894" i="5"/>
  <c r="HL894" i="5"/>
  <c r="GJ894" i="5"/>
  <c r="GJ892" i="5"/>
  <c r="GJ891" i="5"/>
  <c r="GJ890" i="5"/>
  <c r="GJ889" i="5"/>
  <c r="GJ888" i="5"/>
  <c r="GJ887" i="5"/>
  <c r="GJ886" i="5"/>
  <c r="GI894" i="5"/>
  <c r="GI892" i="5"/>
  <c r="GI891" i="5"/>
  <c r="GI890" i="5"/>
  <c r="GI889" i="5"/>
  <c r="GI888" i="5"/>
  <c r="GI887" i="5"/>
  <c r="GI886"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GH889" i="5"/>
  <c r="GG889" i="5"/>
  <c r="GF889" i="5"/>
  <c r="GE889" i="5"/>
  <c r="GD889" i="5"/>
  <c r="GC889" i="5"/>
  <c r="GB889" i="5"/>
  <c r="GA889" i="5"/>
  <c r="FZ889" i="5"/>
  <c r="FY889" i="5"/>
  <c r="FX889" i="5"/>
  <c r="FW889" i="5"/>
  <c r="FV889" i="5"/>
  <c r="FU889" i="5"/>
  <c r="FT889" i="5"/>
  <c r="FS889" i="5"/>
  <c r="FR889" i="5"/>
  <c r="FQ889" i="5"/>
  <c r="FP889" i="5"/>
  <c r="FO889" i="5"/>
  <c r="FN889" i="5"/>
  <c r="FM889" i="5"/>
  <c r="FL889" i="5"/>
  <c r="GH888" i="5"/>
  <c r="GG888" i="5"/>
  <c r="GF888" i="5"/>
  <c r="GE888" i="5"/>
  <c r="GD888" i="5"/>
  <c r="GC888" i="5"/>
  <c r="GB888" i="5"/>
  <c r="GA888" i="5"/>
  <c r="FZ888" i="5"/>
  <c r="FY888" i="5"/>
  <c r="FX888" i="5"/>
  <c r="FW888" i="5"/>
  <c r="FV888" i="5"/>
  <c r="FU888" i="5"/>
  <c r="FT888" i="5"/>
  <c r="FS888" i="5"/>
  <c r="FR888" i="5"/>
  <c r="FQ888" i="5"/>
  <c r="FP888" i="5"/>
  <c r="FO888" i="5"/>
  <c r="FN888" i="5"/>
  <c r="FM888" i="5"/>
  <c r="FL888" i="5"/>
  <c r="GH887" i="5"/>
  <c r="GG887" i="5"/>
  <c r="GF887" i="5"/>
  <c r="GE887" i="5"/>
  <c r="GD887" i="5"/>
  <c r="GC887" i="5"/>
  <c r="GB887" i="5"/>
  <c r="GA887" i="5"/>
  <c r="FZ887" i="5"/>
  <c r="FY887" i="5"/>
  <c r="FX887" i="5"/>
  <c r="FW887" i="5"/>
  <c r="FV887" i="5"/>
  <c r="FU887" i="5"/>
  <c r="FT887" i="5"/>
  <c r="FS887" i="5"/>
  <c r="FR887" i="5"/>
  <c r="FQ887" i="5"/>
  <c r="FP887" i="5"/>
  <c r="FO887" i="5"/>
  <c r="FN887" i="5"/>
  <c r="FM887" i="5"/>
  <c r="FL887" i="5"/>
  <c r="GH886" i="5"/>
  <c r="GG886" i="5"/>
  <c r="GF886" i="5"/>
  <c r="GE886" i="5"/>
  <c r="GD886" i="5"/>
  <c r="GC886" i="5"/>
  <c r="GB886" i="5"/>
  <c r="GA886" i="5"/>
  <c r="FZ886" i="5"/>
  <c r="FY886" i="5"/>
  <c r="FX886" i="5"/>
  <c r="FW886" i="5"/>
  <c r="FV886" i="5"/>
  <c r="FU886" i="5"/>
  <c r="FT886" i="5"/>
  <c r="FS886" i="5"/>
  <c r="FR886" i="5"/>
  <c r="FQ886" i="5"/>
  <c r="FP886" i="5"/>
  <c r="FO886" i="5"/>
  <c r="FN886" i="5"/>
  <c r="FM886" i="5"/>
  <c r="FL886" i="5"/>
  <c r="FK894" i="5"/>
  <c r="FK891" i="5"/>
  <c r="FK892" i="5"/>
  <c r="FK890" i="5"/>
  <c r="FK889" i="5"/>
  <c r="FK887" i="5"/>
  <c r="FK888" i="5"/>
  <c r="FK886" i="5"/>
  <c r="FV885" i="5"/>
  <c r="FW885" i="5"/>
  <c r="FX885" i="5"/>
  <c r="FY885" i="5"/>
  <c r="FZ885" i="5"/>
  <c r="GA885" i="5"/>
  <c r="GB885" i="5"/>
  <c r="GC885" i="5"/>
  <c r="GD885" i="5"/>
  <c r="GE885" i="5"/>
  <c r="GF885" i="5"/>
  <c r="GG885" i="5"/>
  <c r="GH885" i="5"/>
  <c r="DC882" i="5"/>
  <c r="DD882" i="5"/>
  <c r="DE882" i="5"/>
  <c r="ED882" i="5"/>
  <c r="EC882" i="5"/>
  <c r="EB882" i="5"/>
  <c r="EA882" i="5"/>
  <c r="DZ882" i="5"/>
  <c r="DY882" i="5"/>
  <c r="DX882" i="5"/>
  <c r="DW882" i="5"/>
  <c r="DV882" i="5"/>
  <c r="DU882" i="5"/>
  <c r="DT882" i="5"/>
  <c r="DS882" i="5"/>
  <c r="DR882" i="5"/>
  <c r="DQ882" i="5"/>
  <c r="DP882" i="5"/>
  <c r="DO882" i="5"/>
  <c r="DN882" i="5"/>
  <c r="DM882" i="5"/>
  <c r="DL882" i="5"/>
  <c r="DK882" i="5"/>
  <c r="DJ882" i="5"/>
  <c r="DI882" i="5"/>
  <c r="DH882" i="5"/>
  <c r="DG882" i="5"/>
  <c r="DF882" i="5"/>
  <c r="FL882" i="5"/>
  <c r="FK882" i="5"/>
  <c r="FJ882" i="5"/>
  <c r="FI882" i="5"/>
  <c r="FH882" i="5"/>
  <c r="FG882" i="5"/>
  <c r="FF882" i="5"/>
  <c r="FE882" i="5"/>
  <c r="FD882" i="5"/>
  <c r="FC882" i="5"/>
  <c r="FB882" i="5"/>
  <c r="FA882" i="5"/>
  <c r="EZ882" i="5"/>
  <c r="EY882" i="5"/>
  <c r="EX882" i="5"/>
  <c r="EW882" i="5"/>
  <c r="EV882" i="5"/>
  <c r="EU882" i="5"/>
  <c r="ET882" i="5"/>
  <c r="ES882" i="5"/>
  <c r="ER882" i="5"/>
  <c r="EQ882" i="5"/>
  <c r="EP882" i="5"/>
  <c r="EO882" i="5"/>
  <c r="EN882" i="5"/>
  <c r="EM882" i="5"/>
  <c r="EL882" i="5"/>
  <c r="EK882" i="5"/>
  <c r="EJ882" i="5"/>
  <c r="EI882" i="5"/>
  <c r="EH882" i="5"/>
  <c r="EG882" i="5"/>
  <c r="EF882" i="5"/>
  <c r="EE882" i="5"/>
  <c r="FM882" i="5"/>
  <c r="FN882" i="5"/>
  <c r="FO882" i="5"/>
  <c r="FP882" i="5"/>
  <c r="FQ882" i="5"/>
  <c r="FR882" i="5"/>
  <c r="FS882" i="5"/>
  <c r="FT882" i="5"/>
  <c r="FU882" i="5"/>
  <c r="FV882" i="5"/>
  <c r="FW882" i="5"/>
  <c r="FX882" i="5"/>
  <c r="FY882" i="5"/>
  <c r="FZ882" i="5"/>
  <c r="GA882" i="5"/>
  <c r="GB882" i="5"/>
  <c r="GC882" i="5"/>
  <c r="GD882" i="5"/>
  <c r="GE882" i="5"/>
  <c r="GF882" i="5"/>
  <c r="GG882" i="5"/>
  <c r="HL882" i="5"/>
  <c r="HK882" i="5"/>
  <c r="HJ882" i="5"/>
  <c r="HI882" i="5"/>
  <c r="HH882" i="5"/>
  <c r="HG882" i="5"/>
  <c r="HF882" i="5"/>
  <c r="HE882" i="5"/>
  <c r="HD882" i="5"/>
  <c r="HC882" i="5"/>
  <c r="HB882" i="5"/>
  <c r="HA882" i="5"/>
  <c r="GZ882" i="5"/>
  <c r="GY882" i="5"/>
  <c r="GX882" i="5"/>
  <c r="GW882" i="5"/>
  <c r="GV882" i="5"/>
  <c r="GU882" i="5"/>
  <c r="GT882" i="5"/>
  <c r="GS882" i="5"/>
  <c r="GR882" i="5"/>
  <c r="GQ882" i="5"/>
  <c r="GP882" i="5"/>
  <c r="GO882" i="5"/>
  <c r="GN882" i="5"/>
  <c r="GM882" i="5"/>
  <c r="GL882" i="5"/>
  <c r="GK882" i="5"/>
  <c r="GJ882" i="5"/>
  <c r="GI882" i="5"/>
  <c r="GH882" i="5"/>
  <c r="DC878" i="5"/>
  <c r="DD878" i="5"/>
  <c r="DE878" i="5"/>
  <c r="EF878" i="5"/>
  <c r="EE878" i="5"/>
  <c r="ED878" i="5"/>
  <c r="EC878" i="5"/>
  <c r="EB878" i="5"/>
  <c r="EA878" i="5"/>
  <c r="DZ878" i="5"/>
  <c r="DY878" i="5"/>
  <c r="DX878" i="5"/>
  <c r="DW878" i="5"/>
  <c r="DV878" i="5"/>
  <c r="DU878" i="5"/>
  <c r="DT878" i="5"/>
  <c r="DS878" i="5"/>
  <c r="DR878" i="5"/>
  <c r="DQ878" i="5"/>
  <c r="DP878" i="5"/>
  <c r="DO878" i="5"/>
  <c r="DN878" i="5"/>
  <c r="DM878" i="5"/>
  <c r="DL878" i="5"/>
  <c r="DK878" i="5"/>
  <c r="DJ878" i="5"/>
  <c r="DI878" i="5"/>
  <c r="DH878" i="5"/>
  <c r="DG878" i="5"/>
  <c r="DF878" i="5"/>
  <c r="EG878" i="5"/>
  <c r="EH878" i="5"/>
  <c r="GF878" i="5"/>
  <c r="GE878" i="5"/>
  <c r="GD878" i="5"/>
  <c r="GC878" i="5"/>
  <c r="GB878" i="5"/>
  <c r="GA878" i="5"/>
  <c r="FZ878" i="5"/>
  <c r="FY878" i="5"/>
  <c r="FX878" i="5"/>
  <c r="FW878" i="5"/>
  <c r="FV878" i="5"/>
  <c r="FU878" i="5"/>
  <c r="FT878" i="5"/>
  <c r="FS878" i="5"/>
  <c r="FR878" i="5"/>
  <c r="FQ878" i="5"/>
  <c r="FP878" i="5"/>
  <c r="FO878" i="5"/>
  <c r="FN878" i="5"/>
  <c r="FM878" i="5"/>
  <c r="FL878" i="5"/>
  <c r="FK878" i="5"/>
  <c r="FJ878" i="5"/>
  <c r="FI878" i="5"/>
  <c r="FH878" i="5"/>
  <c r="FG878" i="5"/>
  <c r="FF878" i="5"/>
  <c r="FE878" i="5"/>
  <c r="FD878" i="5"/>
  <c r="FC878" i="5"/>
  <c r="FB878" i="5"/>
  <c r="FA878" i="5"/>
  <c r="EZ878" i="5"/>
  <c r="EY878" i="5"/>
  <c r="EX878" i="5"/>
  <c r="EW878" i="5"/>
  <c r="EV878" i="5"/>
  <c r="EU878" i="5"/>
  <c r="ET878" i="5"/>
  <c r="ES878" i="5"/>
  <c r="ER878" i="5"/>
  <c r="EQ878" i="5"/>
  <c r="EP878" i="5"/>
  <c r="EO878" i="5"/>
  <c r="EN878" i="5"/>
  <c r="EM878" i="5"/>
  <c r="EL878" i="5"/>
  <c r="EK878" i="5"/>
  <c r="EJ878" i="5"/>
  <c r="EI878" i="5"/>
  <c r="GG878" i="5"/>
  <c r="GH878" i="5"/>
  <c r="FW877" i="5"/>
  <c r="FX877" i="5"/>
  <c r="FY877" i="5"/>
  <c r="FZ877" i="5"/>
  <c r="GA877" i="5"/>
  <c r="GB877" i="5"/>
  <c r="GC877" i="5"/>
  <c r="GD877" i="5"/>
  <c r="GE877" i="5"/>
  <c r="GF877" i="5"/>
  <c r="GG877" i="5"/>
  <c r="GH877" i="5"/>
  <c r="FW876" i="5"/>
  <c r="FX876" i="5"/>
  <c r="FY876" i="5"/>
  <c r="FZ876" i="5"/>
  <c r="GA876" i="5"/>
  <c r="GB876" i="5"/>
  <c r="GC876" i="5"/>
  <c r="GD876" i="5"/>
  <c r="GE876" i="5"/>
  <c r="GF876" i="5"/>
  <c r="GG876" i="5"/>
  <c r="GH876" i="5"/>
  <c r="FW870" i="5"/>
  <c r="FX870" i="5"/>
  <c r="FY870" i="5"/>
  <c r="FZ870" i="5"/>
  <c r="GA870" i="5"/>
  <c r="GB870" i="5"/>
  <c r="GC870" i="5"/>
  <c r="GD870" i="5"/>
  <c r="GE870" i="5"/>
  <c r="GF870" i="5"/>
  <c r="GG870" i="5"/>
  <c r="GH870" i="5"/>
  <c r="FW869" i="5"/>
  <c r="FX869" i="5"/>
  <c r="FY869" i="5"/>
  <c r="FZ869" i="5"/>
  <c r="GA869" i="5"/>
  <c r="GB869" i="5"/>
  <c r="GC869" i="5"/>
  <c r="GD869" i="5"/>
  <c r="GE869" i="5"/>
  <c r="GF869" i="5"/>
  <c r="GG869" i="5"/>
  <c r="GH869" i="5"/>
  <c r="FV868" i="5"/>
  <c r="FW868" i="5"/>
  <c r="FX868" i="5"/>
  <c r="FY868" i="5"/>
  <c r="FZ868" i="5"/>
  <c r="GA868" i="5"/>
  <c r="GB868" i="5"/>
  <c r="GC868" i="5"/>
  <c r="GD868" i="5"/>
  <c r="GE868" i="5"/>
  <c r="GF868" i="5"/>
  <c r="GG868" i="5"/>
  <c r="GH868" i="5"/>
  <c r="FV851" i="5"/>
  <c r="FW851" i="5"/>
  <c r="FX851" i="5"/>
  <c r="FY851" i="5"/>
  <c r="FZ851" i="5"/>
  <c r="GA851" i="5"/>
  <c r="GB851" i="5"/>
  <c r="GC851" i="5"/>
  <c r="GD851" i="5"/>
  <c r="GE851" i="5"/>
  <c r="GF851" i="5"/>
  <c r="GG851" i="5"/>
  <c r="GH851" i="5"/>
  <c r="FV853" i="5"/>
  <c r="FW853" i="5"/>
  <c r="FX853" i="5"/>
  <c r="FY853" i="5"/>
  <c r="FZ853" i="5"/>
  <c r="GA853" i="5"/>
  <c r="GB853" i="5"/>
  <c r="GC853" i="5"/>
  <c r="GD853" i="5"/>
  <c r="GE853" i="5"/>
  <c r="GF853" i="5"/>
  <c r="GG853" i="5"/>
  <c r="GH853" i="5"/>
  <c r="GH844" i="5"/>
  <c r="GG844" i="5"/>
  <c r="GF844" i="5"/>
  <c r="GE844" i="5"/>
  <c r="GD844" i="5"/>
  <c r="GC844" i="5"/>
  <c r="GB844" i="5"/>
  <c r="GA844" i="5"/>
  <c r="FZ844" i="5"/>
  <c r="FY844" i="5"/>
  <c r="FX844" i="5"/>
  <c r="FW844" i="5"/>
  <c r="FV844" i="5"/>
  <c r="FU844" i="5"/>
  <c r="FT844" i="5"/>
  <c r="FS844" i="5"/>
  <c r="FR844" i="5"/>
  <c r="FQ844" i="5"/>
  <c r="FP844" i="5"/>
  <c r="FO844" i="5"/>
  <c r="FN844" i="5"/>
  <c r="FM844" i="5"/>
  <c r="FL844" i="5"/>
  <c r="FK844" i="5"/>
  <c r="FJ844" i="5"/>
  <c r="FI844" i="5"/>
  <c r="FH844" i="5"/>
  <c r="FG844" i="5"/>
  <c r="FF844" i="5"/>
  <c r="FE844" i="5"/>
  <c r="FD844" i="5"/>
  <c r="FC844" i="5"/>
  <c r="FB844" i="5"/>
  <c r="FA844" i="5"/>
  <c r="EZ844" i="5"/>
  <c r="EY844" i="5"/>
  <c r="EX844" i="5"/>
  <c r="EW844" i="5"/>
  <c r="EV844" i="5"/>
  <c r="EU844" i="5"/>
  <c r="ET844" i="5"/>
  <c r="ES844" i="5"/>
  <c r="ER844" i="5"/>
  <c r="EQ844" i="5"/>
  <c r="EP844" i="5"/>
  <c r="EO844" i="5"/>
  <c r="EN844" i="5"/>
  <c r="EM844" i="5"/>
  <c r="EL844" i="5"/>
  <c r="EK844" i="5"/>
  <c r="EJ844" i="5"/>
  <c r="EI844" i="5"/>
  <c r="EH844" i="5"/>
  <c r="EG844" i="5"/>
  <c r="EF844" i="5"/>
  <c r="EE844" i="5"/>
  <c r="ED844" i="5"/>
  <c r="EC844" i="5"/>
  <c r="EB844" i="5"/>
  <c r="EA844" i="5"/>
  <c r="DZ844" i="5"/>
  <c r="DY844" i="5"/>
  <c r="DX844" i="5"/>
  <c r="DW844" i="5"/>
  <c r="DV844" i="5"/>
  <c r="DU844" i="5"/>
  <c r="DT844" i="5"/>
  <c r="DS844" i="5"/>
  <c r="DR844" i="5"/>
  <c r="DQ844" i="5"/>
  <c r="DP844" i="5"/>
  <c r="DO844" i="5"/>
  <c r="DN844" i="5"/>
  <c r="DM844" i="5"/>
  <c r="DL844" i="5"/>
  <c r="DK844" i="5"/>
  <c r="DJ844" i="5"/>
  <c r="DI844" i="5"/>
  <c r="DH844" i="5"/>
  <c r="DG844" i="5"/>
  <c r="DF844" i="5"/>
  <c r="DE844" i="5"/>
  <c r="DD844" i="5"/>
  <c r="GI844" i="5"/>
  <c r="GJ844" i="5"/>
  <c r="GK844" i="5"/>
  <c r="GL844" i="5"/>
  <c r="GM844" i="5"/>
  <c r="GN844" i="5"/>
  <c r="GO844" i="5"/>
  <c r="GP844" i="5"/>
  <c r="GQ844" i="5"/>
  <c r="GR844" i="5"/>
  <c r="GS844" i="5"/>
  <c r="GT844" i="5"/>
  <c r="GU844" i="5"/>
  <c r="GV844" i="5"/>
  <c r="GW844" i="5"/>
  <c r="GX844" i="5"/>
  <c r="GY844" i="5"/>
  <c r="GZ844" i="5"/>
  <c r="HA844" i="5"/>
  <c r="HB844" i="5"/>
  <c r="HC844" i="5"/>
  <c r="HD844" i="5"/>
  <c r="HE844" i="5"/>
  <c r="HF844" i="5"/>
  <c r="HG844" i="5"/>
  <c r="HH844" i="5"/>
  <c r="HI844" i="5"/>
  <c r="HJ844" i="5"/>
  <c r="HK844" i="5"/>
  <c r="HL844" i="5"/>
  <c r="GI843" i="5"/>
  <c r="GJ843" i="5"/>
  <c r="GK843" i="5"/>
  <c r="GL843" i="5"/>
  <c r="GM843" i="5"/>
  <c r="GN843" i="5"/>
  <c r="GO843" i="5"/>
  <c r="GP843" i="5"/>
  <c r="GQ843" i="5"/>
  <c r="GR843" i="5"/>
  <c r="GS843" i="5"/>
  <c r="GT843" i="5"/>
  <c r="GU843" i="5"/>
  <c r="GV843" i="5"/>
  <c r="GW843" i="5"/>
  <c r="GX843" i="5"/>
  <c r="GY843" i="5"/>
  <c r="GZ843" i="5"/>
  <c r="HA843" i="5"/>
  <c r="HB843" i="5"/>
  <c r="HC843" i="5"/>
  <c r="HD843" i="5"/>
  <c r="HE843" i="5"/>
  <c r="HF843" i="5"/>
  <c r="HG843" i="5"/>
  <c r="HH843" i="5"/>
  <c r="HI843" i="5"/>
  <c r="HJ843" i="5"/>
  <c r="HK843" i="5"/>
  <c r="HL843" i="5"/>
  <c r="DC839" i="5"/>
  <c r="DD839" i="5"/>
  <c r="DE839" i="5"/>
  <c r="DF839" i="5"/>
  <c r="DG839" i="5"/>
  <c r="DH839" i="5"/>
  <c r="DI839" i="5"/>
  <c r="DJ839" i="5"/>
  <c r="DK839" i="5"/>
  <c r="DL839" i="5"/>
  <c r="DM839" i="5"/>
  <c r="DN839" i="5"/>
  <c r="DO839" i="5"/>
  <c r="DP839" i="5"/>
  <c r="DQ839" i="5"/>
  <c r="DR839" i="5"/>
  <c r="DS839" i="5"/>
  <c r="DT839" i="5"/>
  <c r="DU839" i="5"/>
  <c r="DV839" i="5"/>
  <c r="DW839" i="5"/>
  <c r="DX839" i="5"/>
  <c r="DY839" i="5"/>
  <c r="DZ839" i="5"/>
  <c r="EA839" i="5"/>
  <c r="EB839" i="5"/>
  <c r="EC839" i="5"/>
  <c r="ED839" i="5"/>
  <c r="EE839" i="5"/>
  <c r="EF839" i="5"/>
  <c r="EG839" i="5"/>
  <c r="EH839" i="5"/>
  <c r="EI839" i="5"/>
  <c r="EJ839" i="5"/>
  <c r="EK839" i="5"/>
  <c r="EL839" i="5"/>
  <c r="EM839" i="5"/>
  <c r="EN839" i="5"/>
  <c r="EO839" i="5"/>
  <c r="EP839" i="5"/>
  <c r="EQ839" i="5"/>
  <c r="ER839" i="5"/>
  <c r="ES839" i="5"/>
  <c r="ET839" i="5"/>
  <c r="EU839" i="5"/>
  <c r="EV839" i="5"/>
  <c r="EW839" i="5"/>
  <c r="EX839" i="5"/>
  <c r="EY839" i="5"/>
  <c r="EZ839" i="5"/>
  <c r="FA839" i="5"/>
  <c r="FB839" i="5"/>
  <c r="FC839" i="5"/>
  <c r="FD839" i="5"/>
  <c r="FE839" i="5"/>
  <c r="FF839" i="5"/>
  <c r="FG839" i="5"/>
  <c r="FH839" i="5"/>
  <c r="FI839" i="5"/>
  <c r="FJ839" i="5"/>
  <c r="FK839" i="5"/>
  <c r="FL839" i="5"/>
  <c r="FM839" i="5"/>
  <c r="FN839" i="5"/>
  <c r="FO839" i="5"/>
  <c r="FP839" i="5"/>
  <c r="FQ839" i="5"/>
  <c r="FR839" i="5"/>
  <c r="FS839" i="5"/>
  <c r="FT839" i="5"/>
  <c r="FU839" i="5"/>
  <c r="FV839" i="5"/>
  <c r="FW839" i="5"/>
  <c r="FX839" i="5"/>
  <c r="FY839" i="5"/>
  <c r="FZ839" i="5"/>
  <c r="GA839" i="5"/>
  <c r="GB839" i="5"/>
  <c r="GC839" i="5"/>
  <c r="GD839" i="5"/>
  <c r="GE839" i="5"/>
  <c r="GF839" i="5"/>
  <c r="GG839" i="5"/>
  <c r="GH839" i="5"/>
  <c r="DC841" i="5"/>
  <c r="DD841" i="5"/>
  <c r="DE841" i="5"/>
  <c r="DF841" i="5"/>
  <c r="DG841" i="5"/>
  <c r="DH841" i="5"/>
  <c r="DI841" i="5"/>
  <c r="DJ841" i="5"/>
  <c r="DK841" i="5"/>
  <c r="DL841" i="5"/>
  <c r="DM841" i="5"/>
  <c r="DN841" i="5"/>
  <c r="DO841" i="5"/>
  <c r="DP841" i="5"/>
  <c r="DQ841" i="5"/>
  <c r="DR841" i="5"/>
  <c r="DS841" i="5"/>
  <c r="DT841" i="5"/>
  <c r="DU841" i="5"/>
  <c r="DV841" i="5"/>
  <c r="DW841" i="5"/>
  <c r="DX841" i="5"/>
  <c r="DY841" i="5"/>
  <c r="DZ841" i="5"/>
  <c r="EA841" i="5"/>
  <c r="EB841" i="5"/>
  <c r="EC841" i="5"/>
  <c r="ED841" i="5"/>
  <c r="EE841" i="5"/>
  <c r="EF841" i="5"/>
  <c r="EG841" i="5"/>
  <c r="EH841" i="5"/>
  <c r="EI841" i="5"/>
  <c r="EJ841" i="5"/>
  <c r="EK841" i="5"/>
  <c r="EL841" i="5"/>
  <c r="EM841" i="5"/>
  <c r="EN841" i="5"/>
  <c r="EO841" i="5"/>
  <c r="EP841" i="5"/>
  <c r="EQ841" i="5"/>
  <c r="ER841" i="5"/>
  <c r="ES841" i="5"/>
  <c r="ET841" i="5"/>
  <c r="EU841" i="5"/>
  <c r="EV841" i="5"/>
  <c r="EW841" i="5"/>
  <c r="EX841" i="5"/>
  <c r="EY841" i="5"/>
  <c r="EZ841" i="5"/>
  <c r="FA841" i="5"/>
  <c r="FB841" i="5"/>
  <c r="FC841" i="5"/>
  <c r="FD841" i="5"/>
  <c r="FE841" i="5"/>
  <c r="FF841" i="5"/>
  <c r="FG841" i="5"/>
  <c r="FH841" i="5"/>
  <c r="FI841" i="5"/>
  <c r="FJ841" i="5"/>
  <c r="FK841" i="5"/>
  <c r="FL841" i="5"/>
  <c r="FM841" i="5"/>
  <c r="FN841" i="5"/>
  <c r="FO841" i="5"/>
  <c r="FP841" i="5"/>
  <c r="FQ841" i="5"/>
  <c r="FR841" i="5"/>
  <c r="FS841" i="5"/>
  <c r="FT841" i="5"/>
  <c r="FU841" i="5"/>
  <c r="FV841" i="5"/>
  <c r="FW841" i="5"/>
  <c r="FX841" i="5"/>
  <c r="FY841" i="5"/>
  <c r="FZ841" i="5"/>
  <c r="GA841" i="5"/>
  <c r="GB841" i="5"/>
  <c r="GC841" i="5"/>
  <c r="GD841" i="5"/>
  <c r="GE841" i="5"/>
  <c r="GF841" i="5"/>
  <c r="GG841" i="5"/>
  <c r="GH841" i="5"/>
  <c r="GI841" i="5"/>
  <c r="GJ841" i="5"/>
  <c r="GK841" i="5"/>
  <c r="GL841" i="5"/>
  <c r="GM841" i="5"/>
  <c r="GN841" i="5"/>
  <c r="GO841" i="5"/>
  <c r="GP841" i="5"/>
  <c r="GQ841" i="5"/>
  <c r="GR841" i="5"/>
  <c r="GS841" i="5"/>
  <c r="GT841" i="5"/>
  <c r="GU841" i="5"/>
  <c r="GV841" i="5"/>
  <c r="GW841" i="5"/>
  <c r="GX841" i="5"/>
  <c r="GY841" i="5"/>
  <c r="GZ841" i="5"/>
  <c r="HA841" i="5"/>
  <c r="HB841" i="5"/>
  <c r="HC841" i="5"/>
  <c r="HD841" i="5"/>
  <c r="HE841" i="5"/>
  <c r="HF841" i="5"/>
  <c r="HG841" i="5"/>
  <c r="HH841" i="5"/>
  <c r="HI841" i="5"/>
  <c r="HJ841" i="5"/>
  <c r="HK841" i="5"/>
  <c r="HL841" i="5"/>
  <c r="HK840" i="5"/>
  <c r="HJ840" i="5"/>
  <c r="HI840" i="5"/>
  <c r="HH840" i="5"/>
  <c r="HG840" i="5"/>
  <c r="HF840" i="5"/>
  <c r="HF860" i="5" s="1"/>
  <c r="HE840" i="5"/>
  <c r="HD840" i="5"/>
  <c r="HC840" i="5"/>
  <c r="HB840" i="5"/>
  <c r="HA840" i="5"/>
  <c r="GZ840" i="5"/>
  <c r="GY840" i="5"/>
  <c r="GX840" i="5"/>
  <c r="GW840" i="5"/>
  <c r="GV840" i="5"/>
  <c r="GU840" i="5"/>
  <c r="GT840" i="5"/>
  <c r="GS840" i="5"/>
  <c r="GR840" i="5"/>
  <c r="GQ840" i="5"/>
  <c r="GP840" i="5"/>
  <c r="GO840" i="5"/>
  <c r="GN840" i="5"/>
  <c r="GM840" i="5"/>
  <c r="GL840" i="5"/>
  <c r="GK840" i="5"/>
  <c r="GJ840" i="5"/>
  <c r="GI840" i="5"/>
  <c r="GH840" i="5"/>
  <c r="GG840" i="5"/>
  <c r="GF840" i="5"/>
  <c r="GE840" i="5"/>
  <c r="GD840" i="5"/>
  <c r="GC840" i="5"/>
  <c r="GB840" i="5"/>
  <c r="GA840" i="5"/>
  <c r="FZ840" i="5"/>
  <c r="FY840" i="5"/>
  <c r="FX840" i="5"/>
  <c r="FW840" i="5"/>
  <c r="FV840" i="5"/>
  <c r="FU840" i="5"/>
  <c r="FT840" i="5"/>
  <c r="FS840" i="5"/>
  <c r="FR840" i="5"/>
  <c r="FQ840" i="5"/>
  <c r="FP840" i="5"/>
  <c r="FO840" i="5"/>
  <c r="FN840" i="5"/>
  <c r="FM840" i="5"/>
  <c r="FL840" i="5"/>
  <c r="FK840" i="5"/>
  <c r="FJ840" i="5"/>
  <c r="FI840" i="5"/>
  <c r="FH840" i="5"/>
  <c r="FG840" i="5"/>
  <c r="FF840" i="5"/>
  <c r="FE840" i="5"/>
  <c r="FD840" i="5"/>
  <c r="FC840" i="5"/>
  <c r="FB840" i="5"/>
  <c r="FA840" i="5"/>
  <c r="EZ840" i="5"/>
  <c r="EY840" i="5"/>
  <c r="EX840" i="5"/>
  <c r="EW840" i="5"/>
  <c r="EV840" i="5"/>
  <c r="EU840" i="5"/>
  <c r="ET840" i="5"/>
  <c r="ES840" i="5"/>
  <c r="ER840" i="5"/>
  <c r="EQ840" i="5"/>
  <c r="EP840" i="5"/>
  <c r="EO840" i="5"/>
  <c r="EN840" i="5"/>
  <c r="EM840" i="5"/>
  <c r="EL840" i="5"/>
  <c r="EK840" i="5"/>
  <c r="EJ840" i="5"/>
  <c r="EI840" i="5"/>
  <c r="EH840" i="5"/>
  <c r="EG840" i="5"/>
  <c r="EF840" i="5"/>
  <c r="EE840" i="5"/>
  <c r="ED840" i="5"/>
  <c r="EC840" i="5"/>
  <c r="EB840" i="5"/>
  <c r="EA840" i="5"/>
  <c r="DZ840" i="5"/>
  <c r="DY840" i="5"/>
  <c r="DX840" i="5"/>
  <c r="DW840" i="5"/>
  <c r="DV840" i="5"/>
  <c r="DU840" i="5"/>
  <c r="DT840" i="5"/>
  <c r="DS840" i="5"/>
  <c r="DR840" i="5"/>
  <c r="DQ840" i="5"/>
  <c r="DP840" i="5"/>
  <c r="DO840" i="5"/>
  <c r="DN840" i="5"/>
  <c r="DM840" i="5"/>
  <c r="DL840" i="5"/>
  <c r="DK840" i="5"/>
  <c r="DJ840" i="5"/>
  <c r="DI840" i="5"/>
  <c r="DH840" i="5"/>
  <c r="DG840" i="5"/>
  <c r="DF840" i="5"/>
  <c r="DE840" i="5"/>
  <c r="DD840" i="5"/>
  <c r="DC840" i="5"/>
  <c r="HL840" i="5"/>
  <c r="DC836" i="5"/>
  <c r="DD836" i="5"/>
  <c r="DE836" i="5"/>
  <c r="DF836" i="5"/>
  <c r="DG836" i="5"/>
  <c r="DH836" i="5"/>
  <c r="DI836" i="5"/>
  <c r="DJ836" i="5"/>
  <c r="DK836" i="5"/>
  <c r="DL836" i="5"/>
  <c r="DM836" i="5"/>
  <c r="DN836" i="5"/>
  <c r="DO836" i="5"/>
  <c r="DP836" i="5"/>
  <c r="DQ836" i="5"/>
  <c r="DR836" i="5"/>
  <c r="DS836" i="5"/>
  <c r="DT836" i="5"/>
  <c r="DU836" i="5"/>
  <c r="DV836" i="5"/>
  <c r="DW836" i="5"/>
  <c r="DX836" i="5"/>
  <c r="DY836" i="5"/>
  <c r="DZ836" i="5"/>
  <c r="EA836" i="5"/>
  <c r="EB836" i="5"/>
  <c r="EC836" i="5"/>
  <c r="ED836" i="5"/>
  <c r="EE836" i="5"/>
  <c r="EF836" i="5"/>
  <c r="EG836" i="5"/>
  <c r="EH836" i="5"/>
  <c r="EI836" i="5"/>
  <c r="EJ836" i="5"/>
  <c r="EK836" i="5"/>
  <c r="EL836" i="5"/>
  <c r="EM836" i="5"/>
  <c r="EN836" i="5"/>
  <c r="EO836" i="5"/>
  <c r="EP836" i="5"/>
  <c r="EQ836" i="5"/>
  <c r="ER836" i="5"/>
  <c r="ES836" i="5"/>
  <c r="ET836" i="5"/>
  <c r="EU836" i="5"/>
  <c r="EV836" i="5"/>
  <c r="EW836" i="5"/>
  <c r="EX836" i="5"/>
  <c r="EY836" i="5"/>
  <c r="EZ836" i="5"/>
  <c r="FA836" i="5"/>
  <c r="FB836" i="5"/>
  <c r="FC836" i="5"/>
  <c r="FD836" i="5"/>
  <c r="FE836" i="5"/>
  <c r="FF836" i="5"/>
  <c r="FG836" i="5"/>
  <c r="FH836" i="5"/>
  <c r="FI836" i="5"/>
  <c r="FJ836" i="5"/>
  <c r="FK836" i="5"/>
  <c r="FL836" i="5"/>
  <c r="FM836" i="5"/>
  <c r="FN836" i="5"/>
  <c r="FO836" i="5"/>
  <c r="FP836" i="5"/>
  <c r="FQ836" i="5"/>
  <c r="FR836" i="5"/>
  <c r="FS836" i="5"/>
  <c r="FT836" i="5"/>
  <c r="FU836" i="5"/>
  <c r="FV836" i="5"/>
  <c r="FW836" i="5"/>
  <c r="FX836" i="5"/>
  <c r="FY836" i="5"/>
  <c r="FZ836" i="5"/>
  <c r="GA836" i="5"/>
  <c r="GB836" i="5"/>
  <c r="GC836" i="5"/>
  <c r="GD836" i="5"/>
  <c r="GE836" i="5"/>
  <c r="GF836" i="5"/>
  <c r="GG836" i="5"/>
  <c r="GH836" i="5"/>
  <c r="GI836" i="5"/>
  <c r="GJ836" i="5"/>
  <c r="GK836" i="5"/>
  <c r="GL836" i="5"/>
  <c r="GM836" i="5"/>
  <c r="GN836" i="5"/>
  <c r="GO836" i="5"/>
  <c r="GP836" i="5"/>
  <c r="GQ836" i="5"/>
  <c r="GR836" i="5"/>
  <c r="GS836" i="5"/>
  <c r="GT836" i="5"/>
  <c r="GU836" i="5"/>
  <c r="GV836" i="5"/>
  <c r="GW836" i="5"/>
  <c r="GX836" i="5"/>
  <c r="GY836" i="5"/>
  <c r="GZ836" i="5"/>
  <c r="HA836" i="5"/>
  <c r="HB836" i="5"/>
  <c r="HC836" i="5"/>
  <c r="HD836" i="5"/>
  <c r="HE836" i="5"/>
  <c r="HF836" i="5"/>
  <c r="HG836" i="5"/>
  <c r="HH836" i="5"/>
  <c r="HI836" i="5"/>
  <c r="HJ836" i="5"/>
  <c r="HK836" i="5"/>
  <c r="DC837" i="5"/>
  <c r="DD837" i="5"/>
  <c r="DE837" i="5"/>
  <c r="DF837" i="5"/>
  <c r="DG837" i="5"/>
  <c r="DH837" i="5"/>
  <c r="DI837" i="5"/>
  <c r="DJ837" i="5"/>
  <c r="DK837" i="5"/>
  <c r="DL837" i="5"/>
  <c r="DM837" i="5"/>
  <c r="DN837" i="5"/>
  <c r="DO837" i="5"/>
  <c r="DP837" i="5"/>
  <c r="DQ837" i="5"/>
  <c r="DR837" i="5"/>
  <c r="DS837" i="5"/>
  <c r="DT837" i="5"/>
  <c r="DU837" i="5"/>
  <c r="DV837" i="5"/>
  <c r="DW837" i="5"/>
  <c r="DX837" i="5"/>
  <c r="DY837" i="5"/>
  <c r="DZ837" i="5"/>
  <c r="EA837" i="5"/>
  <c r="EB837" i="5"/>
  <c r="EC837" i="5"/>
  <c r="ED837" i="5"/>
  <c r="EE837" i="5"/>
  <c r="EF837" i="5"/>
  <c r="EG837" i="5"/>
  <c r="EH837" i="5"/>
  <c r="EI837" i="5"/>
  <c r="EJ837" i="5"/>
  <c r="EK837" i="5"/>
  <c r="EL837" i="5"/>
  <c r="EM837" i="5"/>
  <c r="EN837" i="5"/>
  <c r="EO837" i="5"/>
  <c r="EP837" i="5"/>
  <c r="EQ837" i="5"/>
  <c r="ER837" i="5"/>
  <c r="ES837" i="5"/>
  <c r="ET837" i="5"/>
  <c r="EU837" i="5"/>
  <c r="EV837" i="5"/>
  <c r="EW837" i="5"/>
  <c r="EX837" i="5"/>
  <c r="EY837" i="5"/>
  <c r="EZ837" i="5"/>
  <c r="FA837" i="5"/>
  <c r="FB837" i="5"/>
  <c r="FC837" i="5"/>
  <c r="FD837" i="5"/>
  <c r="FE837" i="5"/>
  <c r="FF837" i="5"/>
  <c r="FG837" i="5"/>
  <c r="FH837" i="5"/>
  <c r="FI837" i="5"/>
  <c r="FJ837" i="5"/>
  <c r="FK837" i="5"/>
  <c r="FL837" i="5"/>
  <c r="FM837" i="5"/>
  <c r="FN837" i="5"/>
  <c r="FO837" i="5"/>
  <c r="FP837" i="5"/>
  <c r="FQ837" i="5"/>
  <c r="FR837" i="5"/>
  <c r="FS837" i="5"/>
  <c r="FT837" i="5"/>
  <c r="FU837" i="5"/>
  <c r="FV837" i="5"/>
  <c r="FW837" i="5"/>
  <c r="FX837" i="5"/>
  <c r="FY837" i="5"/>
  <c r="FZ837" i="5"/>
  <c r="GA837" i="5"/>
  <c r="GB837" i="5"/>
  <c r="GC837" i="5"/>
  <c r="GD837" i="5"/>
  <c r="GE837" i="5"/>
  <c r="GF837" i="5"/>
  <c r="GG837" i="5"/>
  <c r="GH837" i="5"/>
  <c r="GI837" i="5"/>
  <c r="GJ837" i="5"/>
  <c r="GK837" i="5"/>
  <c r="GL837" i="5"/>
  <c r="GM837" i="5"/>
  <c r="GN837" i="5"/>
  <c r="GO837" i="5"/>
  <c r="GP837" i="5"/>
  <c r="GQ837" i="5"/>
  <c r="GR837" i="5"/>
  <c r="GS837" i="5"/>
  <c r="GT837" i="5"/>
  <c r="GU837" i="5"/>
  <c r="GV837" i="5"/>
  <c r="GW837" i="5"/>
  <c r="GX837" i="5"/>
  <c r="GY837" i="5"/>
  <c r="GZ837" i="5"/>
  <c r="HA837" i="5"/>
  <c r="HB837" i="5"/>
  <c r="HC837" i="5"/>
  <c r="HD837" i="5"/>
  <c r="HE837" i="5"/>
  <c r="HF837" i="5"/>
  <c r="HG837" i="5"/>
  <c r="HH837" i="5"/>
  <c r="HI837" i="5"/>
  <c r="HJ837" i="5"/>
  <c r="HK837" i="5"/>
  <c r="DC838" i="5"/>
  <c r="DD838" i="5"/>
  <c r="DE838" i="5"/>
  <c r="DF838" i="5"/>
  <c r="DG838" i="5"/>
  <c r="DH838" i="5"/>
  <c r="DI838" i="5"/>
  <c r="DJ838" i="5"/>
  <c r="DK838" i="5"/>
  <c r="DL838" i="5"/>
  <c r="DM838" i="5"/>
  <c r="DN838" i="5"/>
  <c r="DO838" i="5"/>
  <c r="DP838" i="5"/>
  <c r="DQ838" i="5"/>
  <c r="DR838" i="5"/>
  <c r="DS838" i="5"/>
  <c r="DT838" i="5"/>
  <c r="DU838" i="5"/>
  <c r="DV838" i="5"/>
  <c r="DW838" i="5"/>
  <c r="DX838" i="5"/>
  <c r="DY838" i="5"/>
  <c r="DZ838" i="5"/>
  <c r="EA838" i="5"/>
  <c r="EB838" i="5"/>
  <c r="EC838" i="5"/>
  <c r="ED838" i="5"/>
  <c r="EE838" i="5"/>
  <c r="EF838" i="5"/>
  <c r="EG838" i="5"/>
  <c r="EH838" i="5"/>
  <c r="EI838" i="5"/>
  <c r="EJ838" i="5"/>
  <c r="EK838" i="5"/>
  <c r="EL838" i="5"/>
  <c r="EM838" i="5"/>
  <c r="EN838" i="5"/>
  <c r="EO838" i="5"/>
  <c r="EP838" i="5"/>
  <c r="EQ838" i="5"/>
  <c r="ER838" i="5"/>
  <c r="ES838" i="5"/>
  <c r="ET838" i="5"/>
  <c r="EU838" i="5"/>
  <c r="EV838" i="5"/>
  <c r="EW838" i="5"/>
  <c r="EX838" i="5"/>
  <c r="EY838" i="5"/>
  <c r="EZ838" i="5"/>
  <c r="FA838" i="5"/>
  <c r="FB838" i="5"/>
  <c r="FC838" i="5"/>
  <c r="FD838" i="5"/>
  <c r="FE838" i="5"/>
  <c r="FF838" i="5"/>
  <c r="FG838" i="5"/>
  <c r="FH838" i="5"/>
  <c r="FI838" i="5"/>
  <c r="FJ838" i="5"/>
  <c r="FK838" i="5"/>
  <c r="FL838" i="5"/>
  <c r="FM838" i="5"/>
  <c r="FN838" i="5"/>
  <c r="FO838" i="5"/>
  <c r="FP838" i="5"/>
  <c r="FQ838" i="5"/>
  <c r="FR838" i="5"/>
  <c r="FS838" i="5"/>
  <c r="FT838" i="5"/>
  <c r="FU838" i="5"/>
  <c r="FV838" i="5"/>
  <c r="FW838" i="5"/>
  <c r="FX838" i="5"/>
  <c r="FY838" i="5"/>
  <c r="FZ838" i="5"/>
  <c r="GA838" i="5"/>
  <c r="GB838" i="5"/>
  <c r="GC838" i="5"/>
  <c r="GD838" i="5"/>
  <c r="GE838" i="5"/>
  <c r="GF838" i="5"/>
  <c r="GG838" i="5"/>
  <c r="GH838" i="5"/>
  <c r="GI838" i="5"/>
  <c r="GJ838" i="5"/>
  <c r="GK838" i="5"/>
  <c r="GL838" i="5"/>
  <c r="GM838" i="5"/>
  <c r="GN838" i="5"/>
  <c r="GO838" i="5"/>
  <c r="GP838" i="5"/>
  <c r="GQ838" i="5"/>
  <c r="GR838" i="5"/>
  <c r="GS838" i="5"/>
  <c r="GT838" i="5"/>
  <c r="GU838" i="5"/>
  <c r="GV838" i="5"/>
  <c r="GW838" i="5"/>
  <c r="GX838" i="5"/>
  <c r="GY838" i="5"/>
  <c r="GZ838" i="5"/>
  <c r="HA838" i="5"/>
  <c r="HB838" i="5"/>
  <c r="HC838" i="5"/>
  <c r="HD838" i="5"/>
  <c r="HE838" i="5"/>
  <c r="HF838" i="5"/>
  <c r="HG838" i="5"/>
  <c r="HH838" i="5"/>
  <c r="HI838" i="5"/>
  <c r="HJ838" i="5"/>
  <c r="HK838" i="5"/>
  <c r="HL838" i="5"/>
  <c r="HL837" i="5"/>
  <c r="HL836" i="5"/>
  <c r="HL827" i="5"/>
  <c r="DC819" i="5"/>
  <c r="DD819" i="5"/>
  <c r="DE819" i="5"/>
  <c r="DF819" i="5"/>
  <c r="DG819" i="5"/>
  <c r="DH819" i="5"/>
  <c r="DI819" i="5"/>
  <c r="DJ819" i="5"/>
  <c r="DK819" i="5"/>
  <c r="DL819" i="5"/>
  <c r="DM819" i="5"/>
  <c r="DN819" i="5"/>
  <c r="DO819" i="5"/>
  <c r="DP819" i="5"/>
  <c r="DQ819" i="5"/>
  <c r="DR819" i="5"/>
  <c r="DS819" i="5"/>
  <c r="DT819" i="5"/>
  <c r="DU819" i="5"/>
  <c r="DV819" i="5"/>
  <c r="DW819" i="5"/>
  <c r="DX819" i="5"/>
  <c r="DY819" i="5"/>
  <c r="DZ819" i="5"/>
  <c r="EA819" i="5"/>
  <c r="EB819" i="5"/>
  <c r="EC819" i="5"/>
  <c r="ED819" i="5"/>
  <c r="EE819" i="5"/>
  <c r="EF819" i="5"/>
  <c r="EG819" i="5"/>
  <c r="EH819" i="5"/>
  <c r="EI819" i="5"/>
  <c r="EJ819" i="5"/>
  <c r="EK819" i="5"/>
  <c r="EL819" i="5"/>
  <c r="EM819" i="5"/>
  <c r="EN819" i="5"/>
  <c r="EO819" i="5"/>
  <c r="EP819" i="5"/>
  <c r="EQ819" i="5"/>
  <c r="ER819" i="5"/>
  <c r="ES819" i="5"/>
  <c r="ET819" i="5"/>
  <c r="EU819" i="5"/>
  <c r="EV819" i="5"/>
  <c r="EW819" i="5"/>
  <c r="EX819" i="5"/>
  <c r="EY819" i="5"/>
  <c r="EZ819" i="5"/>
  <c r="FA819" i="5"/>
  <c r="FB819" i="5"/>
  <c r="FC819" i="5"/>
  <c r="FD819" i="5"/>
  <c r="FE819" i="5"/>
  <c r="FF819" i="5"/>
  <c r="FG819" i="5"/>
  <c r="FH819" i="5"/>
  <c r="FI819" i="5"/>
  <c r="FJ819" i="5"/>
  <c r="FK819" i="5"/>
  <c r="FL819" i="5"/>
  <c r="FM819" i="5"/>
  <c r="FN819" i="5"/>
  <c r="FO819" i="5"/>
  <c r="FP819" i="5"/>
  <c r="FQ819" i="5"/>
  <c r="FR819" i="5"/>
  <c r="FS819" i="5"/>
  <c r="FT819" i="5"/>
  <c r="FU819" i="5"/>
  <c r="FV819" i="5"/>
  <c r="FW819" i="5"/>
  <c r="FX819" i="5"/>
  <c r="FY819" i="5"/>
  <c r="FZ819" i="5"/>
  <c r="GA819" i="5"/>
  <c r="GB819" i="5"/>
  <c r="GC819" i="5"/>
  <c r="GD819" i="5"/>
  <c r="GE819" i="5"/>
  <c r="GF819" i="5"/>
  <c r="GG819" i="5"/>
  <c r="GH819" i="5"/>
  <c r="GI819" i="5"/>
  <c r="GJ819" i="5"/>
  <c r="GK819" i="5"/>
  <c r="GL819" i="5"/>
  <c r="GM819" i="5"/>
  <c r="GN819" i="5"/>
  <c r="GO819" i="5"/>
  <c r="GP819" i="5"/>
  <c r="GQ819" i="5"/>
  <c r="GR819" i="5"/>
  <c r="GS819" i="5"/>
  <c r="GT819" i="5"/>
  <c r="GU819" i="5"/>
  <c r="GV819" i="5"/>
  <c r="GW819" i="5"/>
  <c r="GX819" i="5"/>
  <c r="GY819" i="5"/>
  <c r="GZ819" i="5"/>
  <c r="HA819" i="5"/>
  <c r="HB819" i="5"/>
  <c r="HC819" i="5"/>
  <c r="HD819" i="5"/>
  <c r="HE819" i="5"/>
  <c r="HF819" i="5"/>
  <c r="HG819" i="5"/>
  <c r="HH819" i="5"/>
  <c r="DC820" i="5"/>
  <c r="DD820" i="5"/>
  <c r="DE820" i="5"/>
  <c r="DF820" i="5"/>
  <c r="DG820" i="5"/>
  <c r="DH820" i="5"/>
  <c r="DI820" i="5"/>
  <c r="DJ820" i="5"/>
  <c r="DK820" i="5"/>
  <c r="DL820" i="5"/>
  <c r="DM820" i="5"/>
  <c r="DN820" i="5"/>
  <c r="DO820" i="5"/>
  <c r="DP820" i="5"/>
  <c r="DQ820" i="5"/>
  <c r="DR820" i="5"/>
  <c r="DS820" i="5"/>
  <c r="DT820" i="5"/>
  <c r="DU820" i="5"/>
  <c r="DV820" i="5"/>
  <c r="DW820" i="5"/>
  <c r="DX820" i="5"/>
  <c r="DY820" i="5"/>
  <c r="DZ820" i="5"/>
  <c r="EA820" i="5"/>
  <c r="EB820" i="5"/>
  <c r="EC820" i="5"/>
  <c r="ED820" i="5"/>
  <c r="EE820" i="5"/>
  <c r="EF820" i="5"/>
  <c r="EG820" i="5"/>
  <c r="EH820" i="5"/>
  <c r="EI820" i="5"/>
  <c r="EJ820" i="5"/>
  <c r="EK820" i="5"/>
  <c r="EL820" i="5"/>
  <c r="EM820" i="5"/>
  <c r="EN820" i="5"/>
  <c r="EO820" i="5"/>
  <c r="EP820" i="5"/>
  <c r="EQ820" i="5"/>
  <c r="ER820" i="5"/>
  <c r="ES820" i="5"/>
  <c r="ET820" i="5"/>
  <c r="EU820" i="5"/>
  <c r="EV820" i="5"/>
  <c r="EW820" i="5"/>
  <c r="EX820" i="5"/>
  <c r="EY820" i="5"/>
  <c r="EZ820" i="5"/>
  <c r="FA820" i="5"/>
  <c r="FB820" i="5"/>
  <c r="FC820" i="5"/>
  <c r="FD820" i="5"/>
  <c r="FE820" i="5"/>
  <c r="FF820" i="5"/>
  <c r="FG820" i="5"/>
  <c r="FH820" i="5"/>
  <c r="FI820" i="5"/>
  <c r="FJ820" i="5"/>
  <c r="FK820" i="5"/>
  <c r="FL820" i="5"/>
  <c r="FM820" i="5"/>
  <c r="FN820" i="5"/>
  <c r="FO820" i="5"/>
  <c r="FP820" i="5"/>
  <c r="FQ820" i="5"/>
  <c r="FR820" i="5"/>
  <c r="FS820" i="5"/>
  <c r="FT820" i="5"/>
  <c r="FU820" i="5"/>
  <c r="FV820" i="5"/>
  <c r="FW820" i="5"/>
  <c r="FX820" i="5"/>
  <c r="FY820" i="5"/>
  <c r="FZ820" i="5"/>
  <c r="GA820" i="5"/>
  <c r="GB820" i="5"/>
  <c r="GC820" i="5"/>
  <c r="GD820" i="5"/>
  <c r="GE820" i="5"/>
  <c r="GF820" i="5"/>
  <c r="GG820" i="5"/>
  <c r="GH820" i="5"/>
  <c r="GI820" i="5"/>
  <c r="GJ820" i="5"/>
  <c r="GK820" i="5"/>
  <c r="GL820" i="5"/>
  <c r="GM820" i="5"/>
  <c r="GN820" i="5"/>
  <c r="GO820" i="5"/>
  <c r="GP820" i="5"/>
  <c r="GQ820" i="5"/>
  <c r="GR820" i="5"/>
  <c r="GS820" i="5"/>
  <c r="GT820" i="5"/>
  <c r="GU820" i="5"/>
  <c r="GV820" i="5"/>
  <c r="GW820" i="5"/>
  <c r="GX820" i="5"/>
  <c r="GY820" i="5"/>
  <c r="GZ820" i="5"/>
  <c r="HA820" i="5"/>
  <c r="HB820" i="5"/>
  <c r="HC820" i="5"/>
  <c r="HD820" i="5"/>
  <c r="HE820" i="5"/>
  <c r="HF820" i="5"/>
  <c r="HG820" i="5"/>
  <c r="HH820" i="5"/>
  <c r="HI819" i="5"/>
  <c r="HJ819" i="5"/>
  <c r="HK819" i="5"/>
  <c r="HI820" i="5"/>
  <c r="HJ820" i="5"/>
  <c r="HK820" i="5"/>
  <c r="HL820" i="5"/>
  <c r="HL819" i="5"/>
  <c r="GF817" i="5"/>
  <c r="HA818" i="5" l="1"/>
  <c r="GO818" i="5"/>
  <c r="HL818" i="5"/>
  <c r="HJ818" i="5"/>
  <c r="HI818" i="5"/>
  <c r="FX818" i="5"/>
  <c r="FY818" i="5"/>
  <c r="EE818" i="5"/>
  <c r="FG818" i="5"/>
  <c r="FW818" i="5"/>
  <c r="DO818" i="5"/>
  <c r="FL818" i="5"/>
  <c r="ER818" i="5"/>
  <c r="GP818" i="5"/>
  <c r="FV818" i="5"/>
  <c r="FB818" i="5"/>
  <c r="EH818" i="5"/>
  <c r="DN818" i="5"/>
  <c r="FC818" i="5"/>
  <c r="GY818" i="5"/>
  <c r="FK818" i="5"/>
  <c r="EQ818" i="5"/>
  <c r="FU818" i="5"/>
  <c r="FA818" i="5"/>
  <c r="EG818" i="5"/>
  <c r="DM818" i="5"/>
  <c r="GZ818" i="5"/>
  <c r="EF818" i="5"/>
  <c r="DL818" i="5"/>
  <c r="FF818" i="5"/>
  <c r="GQ818" i="5"/>
  <c r="EI818" i="5"/>
  <c r="DK818" i="5"/>
  <c r="ED818" i="5"/>
  <c r="DJ818" i="5"/>
  <c r="EC818" i="5"/>
  <c r="DI818" i="5"/>
  <c r="EB818" i="5"/>
  <c r="DH818" i="5"/>
  <c r="HC818" i="5"/>
  <c r="EA818" i="5"/>
  <c r="DG818" i="5"/>
  <c r="HB818" i="5"/>
  <c r="DZ818" i="5"/>
  <c r="DF818" i="5"/>
  <c r="DY818" i="5"/>
  <c r="GF818" i="5"/>
  <c r="DX818" i="5"/>
  <c r="DD818" i="5"/>
  <c r="GE818" i="5"/>
  <c r="DW818" i="5"/>
  <c r="DC818" i="5"/>
  <c r="GG818" i="5"/>
  <c r="FM818" i="5"/>
  <c r="ES818" i="5"/>
  <c r="HE818" i="5"/>
  <c r="GK818" i="5"/>
  <c r="FQ818" i="5"/>
  <c r="EW818" i="5"/>
  <c r="GU818" i="5"/>
  <c r="GA818" i="5"/>
  <c r="EM818" i="5"/>
  <c r="DS818" i="5"/>
  <c r="HD818" i="5"/>
  <c r="GJ818" i="5"/>
  <c r="FP818" i="5"/>
  <c r="EV818" i="5"/>
  <c r="GT818" i="5"/>
  <c r="FZ818" i="5"/>
  <c r="EL818" i="5"/>
  <c r="DR818" i="5"/>
  <c r="GI818" i="5"/>
  <c r="FO818" i="5"/>
  <c r="EU818" i="5"/>
  <c r="GS818" i="5"/>
  <c r="FE818" i="5"/>
  <c r="EK818" i="5"/>
  <c r="DQ818" i="5"/>
  <c r="GH818" i="5"/>
  <c r="FN818" i="5"/>
  <c r="ET818" i="5"/>
  <c r="GR818" i="5"/>
  <c r="FD818" i="5"/>
  <c r="EJ818" i="5"/>
  <c r="DP818" i="5"/>
  <c r="HK818" i="5"/>
  <c r="GN818" i="5"/>
  <c r="EZ818" i="5"/>
  <c r="GD818" i="5"/>
  <c r="EP818" i="5"/>
  <c r="HG818" i="5"/>
  <c r="GM818" i="5"/>
  <c r="FS818" i="5"/>
  <c r="EY818" i="5"/>
  <c r="GW818" i="5"/>
  <c r="GC818" i="5"/>
  <c r="FI818" i="5"/>
  <c r="EO818" i="5"/>
  <c r="DU818" i="5"/>
  <c r="DE818" i="5"/>
  <c r="HH818" i="5"/>
  <c r="FT818" i="5"/>
  <c r="GX818" i="5"/>
  <c r="FJ818" i="5"/>
  <c r="DV818" i="5"/>
  <c r="HF818" i="5"/>
  <c r="GL818" i="5"/>
  <c r="FR818" i="5"/>
  <c r="EX818" i="5"/>
  <c r="GV818" i="5"/>
  <c r="GB818" i="5"/>
  <c r="FH818" i="5"/>
  <c r="EN818" i="5"/>
  <c r="DT818" i="5"/>
  <c r="HL817" i="5"/>
  <c r="HK817" i="5"/>
  <c r="HJ817" i="5"/>
  <c r="HI817" i="5"/>
  <c r="HH817" i="5"/>
  <c r="HG817" i="5"/>
  <c r="HF817" i="5"/>
  <c r="HE817" i="5"/>
  <c r="HD817" i="5"/>
  <c r="HC817" i="5"/>
  <c r="HB817" i="5"/>
  <c r="HA817" i="5"/>
  <c r="GZ817" i="5"/>
  <c r="GY817" i="5"/>
  <c r="GX817" i="5"/>
  <c r="GW817" i="5"/>
  <c r="GV817" i="5"/>
  <c r="GU817" i="5"/>
  <c r="GT817" i="5"/>
  <c r="GS817" i="5"/>
  <c r="GR817" i="5"/>
  <c r="GQ817" i="5"/>
  <c r="GP817" i="5"/>
  <c r="GO817" i="5"/>
  <c r="GN817" i="5"/>
  <c r="GM817" i="5"/>
  <c r="GL817" i="5"/>
  <c r="GK817" i="5"/>
  <c r="GJ817" i="5"/>
  <c r="GI817" i="5"/>
  <c r="GH817" i="5"/>
  <c r="GG817" i="5"/>
  <c r="GE817" i="5"/>
  <c r="GD817" i="5"/>
  <c r="GC817" i="5"/>
  <c r="GB817" i="5"/>
  <c r="GA817" i="5"/>
  <c r="FZ817" i="5"/>
  <c r="FY817" i="5"/>
  <c r="FX817" i="5"/>
  <c r="FW817" i="5"/>
  <c r="FV817" i="5"/>
  <c r="FU817" i="5"/>
  <c r="FT817" i="5"/>
  <c r="FS817" i="5"/>
  <c r="FR817" i="5"/>
  <c r="FQ817" i="5"/>
  <c r="FP817" i="5"/>
  <c r="FO817" i="5"/>
  <c r="FN817" i="5"/>
  <c r="FM817" i="5"/>
  <c r="FL817" i="5"/>
  <c r="FK817" i="5"/>
  <c r="FJ817" i="5"/>
  <c r="FI817" i="5"/>
  <c r="FH817" i="5"/>
  <c r="FG817" i="5"/>
  <c r="FF817" i="5"/>
  <c r="FE817" i="5"/>
  <c r="FD817" i="5"/>
  <c r="FC817" i="5"/>
  <c r="FB817" i="5"/>
  <c r="FA817" i="5"/>
  <c r="EZ817" i="5"/>
  <c r="EY817" i="5"/>
  <c r="EX817" i="5"/>
  <c r="EW817" i="5"/>
  <c r="EV817" i="5"/>
  <c r="EU817" i="5"/>
  <c r="ET817" i="5"/>
  <c r="ES817" i="5"/>
  <c r="ER817" i="5"/>
  <c r="EQ817" i="5"/>
  <c r="EP817" i="5"/>
  <c r="EO817" i="5"/>
  <c r="EN817" i="5"/>
  <c r="EM817" i="5"/>
  <c r="EL817" i="5"/>
  <c r="EK817" i="5"/>
  <c r="EJ817" i="5"/>
  <c r="EI817" i="5"/>
  <c r="EH817" i="5"/>
  <c r="EG817" i="5"/>
  <c r="EF817" i="5"/>
  <c r="EE817" i="5"/>
  <c r="ED817" i="5"/>
  <c r="EC817" i="5"/>
  <c r="EB817" i="5"/>
  <c r="DZ817" i="5"/>
  <c r="DY817" i="5"/>
  <c r="DX817" i="5"/>
  <c r="DW817" i="5"/>
  <c r="DV817" i="5"/>
  <c r="DU817" i="5"/>
  <c r="DT817" i="5"/>
  <c r="DS817" i="5"/>
  <c r="DR817" i="5"/>
  <c r="DQ817" i="5"/>
  <c r="DP817" i="5"/>
  <c r="DO817" i="5"/>
  <c r="DN817" i="5"/>
  <c r="DM817" i="5"/>
  <c r="DL817" i="5"/>
  <c r="DK817" i="5"/>
  <c r="DJ817" i="5"/>
  <c r="DI817" i="5"/>
  <c r="DH817" i="5"/>
  <c r="DG817" i="5"/>
  <c r="DF817" i="5"/>
  <c r="DE817" i="5"/>
  <c r="DD817" i="5"/>
  <c r="DC817" i="5"/>
  <c r="EA817" i="5"/>
  <c r="DC815" i="5"/>
  <c r="DD815" i="5"/>
  <c r="DE815" i="5"/>
  <c r="DF815" i="5"/>
  <c r="DG815" i="5"/>
  <c r="DH815" i="5"/>
  <c r="DI815" i="5"/>
  <c r="DJ815" i="5"/>
  <c r="DK815" i="5"/>
  <c r="DL815" i="5"/>
  <c r="DM815" i="5"/>
  <c r="DN815" i="5"/>
  <c r="DO815" i="5"/>
  <c r="DP815" i="5"/>
  <c r="DQ815" i="5"/>
  <c r="DR815" i="5"/>
  <c r="DS815" i="5"/>
  <c r="DT815" i="5"/>
  <c r="DU815" i="5"/>
  <c r="DV815" i="5"/>
  <c r="DW815" i="5"/>
  <c r="DX815" i="5"/>
  <c r="DY815" i="5"/>
  <c r="DZ815" i="5"/>
  <c r="EA815" i="5"/>
  <c r="EB815" i="5"/>
  <c r="EC815" i="5"/>
  <c r="ED815" i="5"/>
  <c r="EE815" i="5"/>
  <c r="EF815" i="5"/>
  <c r="EG815" i="5"/>
  <c r="EH815" i="5"/>
  <c r="EI815" i="5"/>
  <c r="EJ815" i="5"/>
  <c r="EK815" i="5"/>
  <c r="EL815" i="5"/>
  <c r="EM815" i="5"/>
  <c r="EN815" i="5"/>
  <c r="EO815" i="5"/>
  <c r="EP815" i="5"/>
  <c r="EQ815" i="5"/>
  <c r="ER815" i="5"/>
  <c r="ES815" i="5"/>
  <c r="ET815" i="5"/>
  <c r="EU815" i="5"/>
  <c r="EV815" i="5"/>
  <c r="EW815" i="5"/>
  <c r="EX815" i="5"/>
  <c r="EY815" i="5"/>
  <c r="EZ815" i="5"/>
  <c r="FA815" i="5"/>
  <c r="FB815" i="5"/>
  <c r="FC815" i="5"/>
  <c r="FD815" i="5"/>
  <c r="FE815" i="5"/>
  <c r="FF815" i="5"/>
  <c r="FG815" i="5"/>
  <c r="FH815" i="5"/>
  <c r="FI815" i="5"/>
  <c r="FJ815" i="5"/>
  <c r="FK815" i="5"/>
  <c r="FL815" i="5"/>
  <c r="FM815" i="5"/>
  <c r="FN815" i="5"/>
  <c r="FO815" i="5"/>
  <c r="FP815" i="5"/>
  <c r="FQ815" i="5"/>
  <c r="FR815" i="5"/>
  <c r="FS815" i="5"/>
  <c r="FT815" i="5"/>
  <c r="FU815" i="5"/>
  <c r="FV815" i="5"/>
  <c r="FW815" i="5"/>
  <c r="FX815" i="5"/>
  <c r="FY815" i="5"/>
  <c r="FZ815" i="5"/>
  <c r="GA815" i="5"/>
  <c r="GB815" i="5"/>
  <c r="GC815" i="5"/>
  <c r="GD815" i="5"/>
  <c r="GE815" i="5"/>
  <c r="GF815" i="5"/>
  <c r="GG815" i="5"/>
  <c r="GH815" i="5"/>
  <c r="GI815" i="5"/>
  <c r="GJ815" i="5"/>
  <c r="GK815" i="5"/>
  <c r="GL815" i="5"/>
  <c r="GM815" i="5"/>
  <c r="GN815" i="5"/>
  <c r="GO815" i="5"/>
  <c r="GP815" i="5"/>
  <c r="GQ815" i="5"/>
  <c r="GR815" i="5"/>
  <c r="GS815" i="5"/>
  <c r="GT815" i="5"/>
  <c r="GU815" i="5"/>
  <c r="GV815" i="5"/>
  <c r="GW815" i="5"/>
  <c r="GX815" i="5"/>
  <c r="GY815" i="5"/>
  <c r="GZ815" i="5"/>
  <c r="HA815" i="5"/>
  <c r="HB815" i="5"/>
  <c r="HC815" i="5"/>
  <c r="HD815" i="5"/>
  <c r="HE815" i="5"/>
  <c r="HF815" i="5"/>
  <c r="HG815" i="5"/>
  <c r="HH815" i="5"/>
  <c r="HI815" i="5"/>
  <c r="HJ815" i="5"/>
  <c r="HK815" i="5"/>
  <c r="HL815" i="5"/>
  <c r="FX795" i="5" l="1"/>
  <c r="FX953" i="5" s="1"/>
  <c r="FY795" i="5"/>
  <c r="FY953" i="5" s="1"/>
  <c r="FZ795" i="5"/>
  <c r="FZ953" i="5" s="1"/>
  <c r="GA795" i="5"/>
  <c r="GA953" i="5" s="1"/>
  <c r="GB795" i="5"/>
  <c r="GB953" i="5" s="1"/>
  <c r="GC795" i="5"/>
  <c r="GC953" i="5" s="1"/>
  <c r="GD795" i="5"/>
  <c r="GD953" i="5" s="1"/>
  <c r="GE795" i="5"/>
  <c r="GE953" i="5" s="1"/>
  <c r="GF795" i="5"/>
  <c r="GF953" i="5" s="1"/>
  <c r="GG795" i="5"/>
  <c r="GG953" i="5" s="1"/>
  <c r="GH795" i="5"/>
  <c r="GH953" i="5" s="1"/>
  <c r="GI795" i="5"/>
  <c r="GI953" i="5" s="1"/>
  <c r="GJ795" i="5"/>
  <c r="GJ953" i="5" s="1"/>
  <c r="GK795" i="5"/>
  <c r="GK953" i="5" s="1"/>
  <c r="GL795" i="5"/>
  <c r="GL953" i="5" s="1"/>
  <c r="GM795" i="5"/>
  <c r="GM953" i="5" s="1"/>
  <c r="GN795" i="5"/>
  <c r="GN953" i="5" s="1"/>
  <c r="GO795" i="5"/>
  <c r="GO953" i="5" s="1"/>
  <c r="GP795" i="5"/>
  <c r="GP953" i="5" s="1"/>
  <c r="GQ795" i="5"/>
  <c r="GQ953" i="5" s="1"/>
  <c r="GR795" i="5"/>
  <c r="GR953" i="5" s="1"/>
  <c r="GS795" i="5"/>
  <c r="GS953" i="5" s="1"/>
  <c r="GT795" i="5"/>
  <c r="GT953" i="5" s="1"/>
  <c r="GU795" i="5"/>
  <c r="GU953" i="5" s="1"/>
  <c r="GV795" i="5"/>
  <c r="GV953" i="5" s="1"/>
  <c r="GW795" i="5"/>
  <c r="GW953" i="5" s="1"/>
  <c r="GX795" i="5"/>
  <c r="GX953" i="5" s="1"/>
  <c r="GY795" i="5"/>
  <c r="GY953" i="5" s="1"/>
  <c r="GZ795" i="5"/>
  <c r="GZ953" i="5" s="1"/>
  <c r="HA795" i="5"/>
  <c r="HA953" i="5" s="1"/>
  <c r="HB795" i="5"/>
  <c r="HB953" i="5" s="1"/>
  <c r="HC795" i="5"/>
  <c r="HC953" i="5" s="1"/>
  <c r="HD795" i="5"/>
  <c r="HD953" i="5" s="1"/>
  <c r="HE795" i="5"/>
  <c r="HE953" i="5" s="1"/>
  <c r="HF795" i="5"/>
  <c r="HF953" i="5" s="1"/>
  <c r="HG795" i="5"/>
  <c r="HG953" i="5" s="1"/>
  <c r="HH795" i="5"/>
  <c r="HH953" i="5" s="1"/>
  <c r="HI795" i="5"/>
  <c r="HI953" i="5" s="1"/>
  <c r="HJ795" i="5"/>
  <c r="HJ953" i="5" s="1"/>
  <c r="HK795" i="5"/>
  <c r="HK953" i="5" s="1"/>
  <c r="HL795" i="5"/>
  <c r="HL953" i="5" s="1"/>
  <c r="FX796" i="5"/>
  <c r="FX962" i="5" s="1"/>
  <c r="FY796" i="5"/>
  <c r="FY962" i="5" s="1"/>
  <c r="FZ796" i="5"/>
  <c r="FZ962" i="5" s="1"/>
  <c r="GA796" i="5"/>
  <c r="GA962" i="5" s="1"/>
  <c r="GB796" i="5"/>
  <c r="GB962" i="5" s="1"/>
  <c r="GC796" i="5"/>
  <c r="GC962" i="5" s="1"/>
  <c r="GD796" i="5"/>
  <c r="GD962" i="5" s="1"/>
  <c r="GE796" i="5"/>
  <c r="GE962" i="5" s="1"/>
  <c r="GF796" i="5"/>
  <c r="GF962" i="5" s="1"/>
  <c r="GG796" i="5"/>
  <c r="GG962" i="5" s="1"/>
  <c r="GH796" i="5"/>
  <c r="GH962" i="5" s="1"/>
  <c r="GI796" i="5"/>
  <c r="GI962" i="5" s="1"/>
  <c r="GJ796" i="5"/>
  <c r="GJ962" i="5" s="1"/>
  <c r="GK796" i="5"/>
  <c r="GK962" i="5" s="1"/>
  <c r="GL796" i="5"/>
  <c r="GL962" i="5" s="1"/>
  <c r="GM796" i="5"/>
  <c r="GM962" i="5" s="1"/>
  <c r="GN796" i="5"/>
  <c r="GN962" i="5" s="1"/>
  <c r="GO796" i="5"/>
  <c r="GO962" i="5" s="1"/>
  <c r="GP796" i="5"/>
  <c r="GP962" i="5" s="1"/>
  <c r="GQ796" i="5"/>
  <c r="GQ962" i="5" s="1"/>
  <c r="GR796" i="5"/>
  <c r="GR962" i="5" s="1"/>
  <c r="GS796" i="5"/>
  <c r="GS962" i="5" s="1"/>
  <c r="GT796" i="5"/>
  <c r="GT962" i="5" s="1"/>
  <c r="GU796" i="5"/>
  <c r="GU962" i="5" s="1"/>
  <c r="GV796" i="5"/>
  <c r="GV962" i="5" s="1"/>
  <c r="GW796" i="5"/>
  <c r="GW962" i="5" s="1"/>
  <c r="GX796" i="5"/>
  <c r="GX962" i="5" s="1"/>
  <c r="GY796" i="5"/>
  <c r="GY962" i="5" s="1"/>
  <c r="GZ796" i="5"/>
  <c r="GZ962" i="5" s="1"/>
  <c r="HA796" i="5"/>
  <c r="HA962" i="5" s="1"/>
  <c r="HB796" i="5"/>
  <c r="HB962" i="5" s="1"/>
  <c r="HC796" i="5"/>
  <c r="HC962" i="5" s="1"/>
  <c r="HD796" i="5"/>
  <c r="HD962" i="5" s="1"/>
  <c r="HE796" i="5"/>
  <c r="HE962" i="5" s="1"/>
  <c r="HF796" i="5"/>
  <c r="HF962" i="5" s="1"/>
  <c r="HG796" i="5"/>
  <c r="HG962" i="5" s="1"/>
  <c r="HH796" i="5"/>
  <c r="HH962" i="5" s="1"/>
  <c r="HI796" i="5"/>
  <c r="HI962" i="5" s="1"/>
  <c r="HJ796" i="5"/>
  <c r="HJ962" i="5" s="1"/>
  <c r="HK796" i="5"/>
  <c r="HK962" i="5" s="1"/>
  <c r="HL796" i="5"/>
  <c r="HL962" i="5" s="1"/>
  <c r="FW796" i="5"/>
  <c r="FW962" i="5" s="1"/>
  <c r="FW795" i="5"/>
  <c r="FW953" i="5" s="1"/>
  <c r="FX790" i="5"/>
  <c r="FY790" i="5"/>
  <c r="FZ790" i="5"/>
  <c r="GA790" i="5"/>
  <c r="GB790" i="5"/>
  <c r="GC790" i="5"/>
  <c r="GD790" i="5"/>
  <c r="GE790" i="5"/>
  <c r="GF790" i="5"/>
  <c r="GG790" i="5"/>
  <c r="GH790" i="5"/>
  <c r="GI790" i="5"/>
  <c r="GJ790" i="5"/>
  <c r="GK790" i="5"/>
  <c r="GL790" i="5"/>
  <c r="GM790" i="5"/>
  <c r="GN790" i="5"/>
  <c r="GO790" i="5"/>
  <c r="GP790" i="5"/>
  <c r="GQ790" i="5"/>
  <c r="GR790" i="5"/>
  <c r="GS790" i="5"/>
  <c r="GT790" i="5"/>
  <c r="GU790" i="5"/>
  <c r="GV790" i="5"/>
  <c r="GW790" i="5"/>
  <c r="GX790" i="5"/>
  <c r="GY790" i="5"/>
  <c r="FW790" i="5"/>
  <c r="GZ790" i="5"/>
  <c r="HA790" i="5"/>
  <c r="HB790" i="5"/>
  <c r="HC790" i="5"/>
  <c r="HD790" i="5"/>
  <c r="HE790" i="5"/>
  <c r="HF790" i="5"/>
  <c r="HG790" i="5"/>
  <c r="HH790" i="5"/>
  <c r="HI790" i="5"/>
  <c r="HJ790" i="5"/>
  <c r="HK790" i="5"/>
  <c r="HL790" i="5"/>
  <c r="FW782" i="5"/>
  <c r="FW956" i="5" s="1"/>
  <c r="FX782" i="5"/>
  <c r="FX956" i="5" s="1"/>
  <c r="FY782" i="5"/>
  <c r="FY956" i="5" s="1"/>
  <c r="FZ782" i="5"/>
  <c r="FZ956" i="5" s="1"/>
  <c r="GA782" i="5"/>
  <c r="GA956" i="5" s="1"/>
  <c r="GB782" i="5"/>
  <c r="GB956" i="5" s="1"/>
  <c r="GC782" i="5"/>
  <c r="GC956" i="5" s="1"/>
  <c r="GD782" i="5"/>
  <c r="GD956" i="5" s="1"/>
  <c r="GE782" i="5"/>
  <c r="GE956" i="5" s="1"/>
  <c r="GF782" i="5"/>
  <c r="GF956" i="5" s="1"/>
  <c r="GG782" i="5"/>
  <c r="GG956" i="5" s="1"/>
  <c r="GH782" i="5"/>
  <c r="GH956" i="5" s="1"/>
  <c r="FW783" i="5"/>
  <c r="FX783" i="5"/>
  <c r="FY783" i="5"/>
  <c r="FZ783" i="5"/>
  <c r="GA783" i="5"/>
  <c r="GB783" i="5"/>
  <c r="GC783" i="5"/>
  <c r="GD783" i="5"/>
  <c r="GE783" i="5"/>
  <c r="GF783" i="5"/>
  <c r="GG783" i="5"/>
  <c r="GH783" i="5"/>
  <c r="GI782" i="5"/>
  <c r="GI956" i="5" s="1"/>
  <c r="GJ782" i="5"/>
  <c r="GJ956" i="5" s="1"/>
  <c r="GK782" i="5"/>
  <c r="GK956" i="5" s="1"/>
  <c r="GL782" i="5"/>
  <c r="GL956" i="5" s="1"/>
  <c r="GM782" i="5"/>
  <c r="GM956" i="5" s="1"/>
  <c r="GN782" i="5"/>
  <c r="GN956" i="5" s="1"/>
  <c r="GO782" i="5"/>
  <c r="GO956" i="5" s="1"/>
  <c r="GP782" i="5"/>
  <c r="GP956" i="5" s="1"/>
  <c r="GQ782" i="5"/>
  <c r="GQ956" i="5" s="1"/>
  <c r="GI783" i="5"/>
  <c r="GJ783" i="5"/>
  <c r="GK783" i="5"/>
  <c r="GL783" i="5"/>
  <c r="GM783" i="5"/>
  <c r="GN783" i="5"/>
  <c r="GO783" i="5"/>
  <c r="GP783" i="5"/>
  <c r="GQ783" i="5"/>
  <c r="GS782" i="5"/>
  <c r="GS956" i="5" s="1"/>
  <c r="GT782" i="5"/>
  <c r="GT956" i="5" s="1"/>
  <c r="GU782" i="5"/>
  <c r="GU956" i="5" s="1"/>
  <c r="GV782" i="5"/>
  <c r="GV956" i="5" s="1"/>
  <c r="GW782" i="5"/>
  <c r="GW956" i="5" s="1"/>
  <c r="GX782" i="5"/>
  <c r="GX956" i="5" s="1"/>
  <c r="GY782" i="5"/>
  <c r="GY956" i="5" s="1"/>
  <c r="GZ782" i="5"/>
  <c r="GZ956" i="5" s="1"/>
  <c r="HA782" i="5"/>
  <c r="HA956" i="5" s="1"/>
  <c r="HB782" i="5"/>
  <c r="HB956" i="5" s="1"/>
  <c r="HC782" i="5"/>
  <c r="HC956" i="5" s="1"/>
  <c r="HD782" i="5"/>
  <c r="HD956" i="5" s="1"/>
  <c r="HE782" i="5"/>
  <c r="HE956" i="5" s="1"/>
  <c r="HF782" i="5"/>
  <c r="HF956" i="5" s="1"/>
  <c r="HG782" i="5"/>
  <c r="HG956" i="5" s="1"/>
  <c r="HH782" i="5"/>
  <c r="HH956" i="5" s="1"/>
  <c r="HI782" i="5"/>
  <c r="HI956" i="5" s="1"/>
  <c r="HJ782" i="5"/>
  <c r="HJ956" i="5" s="1"/>
  <c r="HK782" i="5"/>
  <c r="HK956" i="5" s="1"/>
  <c r="HL782" i="5"/>
  <c r="HL956" i="5" s="1"/>
  <c r="GS783" i="5"/>
  <c r="GT783" i="5"/>
  <c r="GU783" i="5"/>
  <c r="GV783" i="5"/>
  <c r="GW783" i="5"/>
  <c r="GX783" i="5"/>
  <c r="GY783" i="5"/>
  <c r="GZ783" i="5"/>
  <c r="HA783" i="5"/>
  <c r="HB783" i="5"/>
  <c r="HC783" i="5"/>
  <c r="HD783" i="5"/>
  <c r="HE783" i="5"/>
  <c r="HF783" i="5"/>
  <c r="HG783" i="5"/>
  <c r="HH783" i="5"/>
  <c r="HI783" i="5"/>
  <c r="HJ783" i="5"/>
  <c r="HK783" i="5"/>
  <c r="HL783" i="5"/>
  <c r="GR783" i="5"/>
  <c r="GR782" i="5"/>
  <c r="GR956" i="5" s="1"/>
  <c r="FX765" i="5"/>
  <c r="FY765" i="5"/>
  <c r="FZ765" i="5"/>
  <c r="GA765" i="5"/>
  <c r="GB765" i="5"/>
  <c r="GC765" i="5"/>
  <c r="GD765" i="5"/>
  <c r="GE765" i="5"/>
  <c r="GF765" i="5"/>
  <c r="GG765" i="5"/>
  <c r="GH765" i="5"/>
  <c r="GI765" i="5"/>
  <c r="GJ765" i="5"/>
  <c r="GK765" i="5"/>
  <c r="GL765" i="5"/>
  <c r="GM765" i="5"/>
  <c r="GN765" i="5"/>
  <c r="GO765" i="5"/>
  <c r="GP765" i="5"/>
  <c r="GQ765" i="5"/>
  <c r="GR765" i="5"/>
  <c r="GS765" i="5"/>
  <c r="GT765" i="5"/>
  <c r="GU765" i="5"/>
  <c r="GV765" i="5"/>
  <c r="GW765" i="5"/>
  <c r="GX765" i="5"/>
  <c r="GY765" i="5"/>
  <c r="GZ765" i="5"/>
  <c r="HA765" i="5"/>
  <c r="HB765" i="5"/>
  <c r="HC765" i="5"/>
  <c r="HD765" i="5"/>
  <c r="HE765" i="5"/>
  <c r="HF765" i="5"/>
  <c r="HG765" i="5"/>
  <c r="HH765" i="5"/>
  <c r="HI765" i="5"/>
  <c r="HJ765" i="5"/>
  <c r="HK765" i="5"/>
  <c r="HL765" i="5"/>
  <c r="FX766" i="5"/>
  <c r="FY766" i="5"/>
  <c r="FZ766" i="5"/>
  <c r="GA766" i="5"/>
  <c r="GB766" i="5"/>
  <c r="GC766" i="5"/>
  <c r="GD766" i="5"/>
  <c r="GE766" i="5"/>
  <c r="GF766" i="5"/>
  <c r="GG766" i="5"/>
  <c r="GH766" i="5"/>
  <c r="GI766" i="5"/>
  <c r="GJ766" i="5"/>
  <c r="GK766" i="5"/>
  <c r="GL766" i="5"/>
  <c r="GM766" i="5"/>
  <c r="GN766" i="5"/>
  <c r="GO766" i="5"/>
  <c r="GP766" i="5"/>
  <c r="GQ766" i="5"/>
  <c r="GR766" i="5"/>
  <c r="GS766" i="5"/>
  <c r="GT766" i="5"/>
  <c r="GU766" i="5"/>
  <c r="GV766" i="5"/>
  <c r="GW766" i="5"/>
  <c r="GX766" i="5"/>
  <c r="GY766" i="5"/>
  <c r="GZ766" i="5"/>
  <c r="HA766" i="5"/>
  <c r="HB766" i="5"/>
  <c r="HC766" i="5"/>
  <c r="HD766" i="5"/>
  <c r="HE766" i="5"/>
  <c r="HF766" i="5"/>
  <c r="HG766" i="5"/>
  <c r="HH766" i="5"/>
  <c r="HI766" i="5"/>
  <c r="HJ766" i="5"/>
  <c r="HK766" i="5"/>
  <c r="HL766" i="5"/>
  <c r="FW765" i="5"/>
  <c r="FW766" i="5"/>
  <c r="GJ758" i="5"/>
  <c r="GK758" i="5"/>
  <c r="GL758" i="5"/>
  <c r="GM758" i="5"/>
  <c r="GN758" i="5"/>
  <c r="GO758" i="5"/>
  <c r="GP758" i="5"/>
  <c r="GQ758" i="5"/>
  <c r="GR758" i="5"/>
  <c r="GS758" i="5"/>
  <c r="GT758" i="5"/>
  <c r="GU758" i="5"/>
  <c r="GV758" i="5"/>
  <c r="GW758" i="5"/>
  <c r="GX758" i="5"/>
  <c r="GY758" i="5"/>
  <c r="GZ758" i="5"/>
  <c r="HA758" i="5"/>
  <c r="HB758" i="5"/>
  <c r="HC758" i="5"/>
  <c r="HD758" i="5"/>
  <c r="HE758" i="5"/>
  <c r="HF758" i="5"/>
  <c r="HG758" i="5"/>
  <c r="HH758" i="5"/>
  <c r="HI758" i="5"/>
  <c r="HJ758" i="5"/>
  <c r="HK758" i="5"/>
  <c r="HL758" i="5"/>
  <c r="GJ759" i="5"/>
  <c r="GK759" i="5"/>
  <c r="GL759" i="5"/>
  <c r="GM759" i="5"/>
  <c r="GN759" i="5"/>
  <c r="GO759" i="5"/>
  <c r="GP759" i="5"/>
  <c r="GQ759" i="5"/>
  <c r="GR759" i="5"/>
  <c r="GS759" i="5"/>
  <c r="GT759" i="5"/>
  <c r="GU759" i="5"/>
  <c r="GV759" i="5"/>
  <c r="GW759" i="5"/>
  <c r="GX759" i="5"/>
  <c r="GY759" i="5"/>
  <c r="GZ759" i="5"/>
  <c r="HA759" i="5"/>
  <c r="HB759" i="5"/>
  <c r="HC759" i="5"/>
  <c r="HD759" i="5"/>
  <c r="HE759" i="5"/>
  <c r="HF759" i="5"/>
  <c r="HG759" i="5"/>
  <c r="HH759" i="5"/>
  <c r="HI759" i="5"/>
  <c r="HJ759" i="5"/>
  <c r="HK759" i="5"/>
  <c r="HL759" i="5"/>
  <c r="GI758" i="5"/>
  <c r="GI759" i="5"/>
  <c r="GI757" i="5"/>
  <c r="AE1066" i="2"/>
  <c r="IE780" i="5"/>
  <c r="IF780" i="5"/>
  <c r="IH780" i="5"/>
  <c r="II780" i="5"/>
  <c r="IK780" i="5"/>
  <c r="IL780" i="5"/>
  <c r="IN780" i="5"/>
  <c r="IO780" i="5"/>
  <c r="IQ780" i="5"/>
  <c r="IR780" i="5"/>
  <c r="IT780" i="5"/>
  <c r="IU780" i="5"/>
  <c r="IW780" i="5"/>
  <c r="IX780" i="5"/>
  <c r="IZ780" i="5"/>
  <c r="JA780" i="5"/>
  <c r="IE781" i="5"/>
  <c r="IF781" i="5"/>
  <c r="IG781" i="5" s="1"/>
  <c r="IH781" i="5"/>
  <c r="II781" i="5"/>
  <c r="IJ781" i="5"/>
  <c r="IK781" i="5"/>
  <c r="IL781" i="5"/>
  <c r="IN781" i="5"/>
  <c r="IO781" i="5"/>
  <c r="IQ781" i="5"/>
  <c r="IR781" i="5"/>
  <c r="IT781" i="5"/>
  <c r="IU781" i="5"/>
  <c r="IW781" i="5"/>
  <c r="IX781" i="5"/>
  <c r="IZ781" i="5"/>
  <c r="JA781" i="5"/>
  <c r="JB781" i="5" s="1"/>
  <c r="AG1087" i="2" s="1"/>
  <c r="AG527" i="2" s="1"/>
  <c r="IE782" i="5"/>
  <c r="IF782" i="5"/>
  <c r="IH782" i="5"/>
  <c r="II782" i="5"/>
  <c r="IK782" i="5"/>
  <c r="IL782" i="5"/>
  <c r="IM782" i="5"/>
  <c r="IN782" i="5"/>
  <c r="IO782" i="5"/>
  <c r="IQ782" i="5"/>
  <c r="IR782" i="5"/>
  <c r="IT782" i="5"/>
  <c r="IU782" i="5"/>
  <c r="IW782" i="5"/>
  <c r="IX782" i="5"/>
  <c r="IE783" i="5"/>
  <c r="IF783" i="5"/>
  <c r="IH783" i="5"/>
  <c r="II783" i="5"/>
  <c r="IK783" i="5"/>
  <c r="IL783" i="5"/>
  <c r="IN783" i="5"/>
  <c r="IO783" i="5"/>
  <c r="IQ783" i="5"/>
  <c r="IR783" i="5"/>
  <c r="IT783" i="5"/>
  <c r="IU783" i="5"/>
  <c r="IV783" i="5" s="1"/>
  <c r="AE1089" i="2" s="1"/>
  <c r="IW783" i="5"/>
  <c r="IX783" i="5"/>
  <c r="IE784" i="5"/>
  <c r="IF784" i="5"/>
  <c r="IH784" i="5"/>
  <c r="II784" i="5"/>
  <c r="IK784" i="5"/>
  <c r="IL784" i="5"/>
  <c r="IN784" i="5"/>
  <c r="IO784" i="5"/>
  <c r="IQ784" i="5"/>
  <c r="IR784" i="5"/>
  <c r="IT784" i="5"/>
  <c r="IU784" i="5"/>
  <c r="IW784" i="5"/>
  <c r="IX784" i="5"/>
  <c r="IZ784" i="5"/>
  <c r="JA784" i="5"/>
  <c r="IE774" i="5"/>
  <c r="IF774" i="5"/>
  <c r="IH774" i="5"/>
  <c r="II774" i="5"/>
  <c r="IK774" i="5"/>
  <c r="IL774" i="5"/>
  <c r="IN774" i="5"/>
  <c r="IO774" i="5"/>
  <c r="IQ774" i="5"/>
  <c r="IR774" i="5"/>
  <c r="IT774" i="5"/>
  <c r="IU774" i="5"/>
  <c r="IW774" i="5"/>
  <c r="IX774" i="5"/>
  <c r="IZ774" i="5"/>
  <c r="JA774" i="5"/>
  <c r="IE775" i="5"/>
  <c r="IF775" i="5"/>
  <c r="IH775" i="5"/>
  <c r="II775" i="5"/>
  <c r="IK775" i="5"/>
  <c r="IL775" i="5"/>
  <c r="IN775" i="5"/>
  <c r="IO775" i="5"/>
  <c r="IQ775" i="5"/>
  <c r="IR775" i="5"/>
  <c r="IT775" i="5"/>
  <c r="IU775" i="5"/>
  <c r="IW775" i="5"/>
  <c r="IX775" i="5"/>
  <c r="IZ775" i="5"/>
  <c r="JA775" i="5"/>
  <c r="IE776" i="5"/>
  <c r="IF776" i="5"/>
  <c r="IH776" i="5"/>
  <c r="II776" i="5"/>
  <c r="IK776" i="5"/>
  <c r="IL776" i="5"/>
  <c r="IN776" i="5"/>
  <c r="IO776" i="5"/>
  <c r="IQ776" i="5"/>
  <c r="IR776" i="5"/>
  <c r="IT776" i="5"/>
  <c r="IU776" i="5"/>
  <c r="IW776" i="5"/>
  <c r="IX776" i="5"/>
  <c r="IZ776" i="5"/>
  <c r="JA776" i="5"/>
  <c r="IE758" i="5"/>
  <c r="IF758" i="5"/>
  <c r="IH758" i="5"/>
  <c r="II758" i="5"/>
  <c r="IK758" i="5"/>
  <c r="IL758" i="5"/>
  <c r="IN758" i="5"/>
  <c r="IO758" i="5"/>
  <c r="IQ758" i="5"/>
  <c r="IR758" i="5"/>
  <c r="IT758" i="5"/>
  <c r="IU758" i="5"/>
  <c r="IW758" i="5"/>
  <c r="IX758" i="5"/>
  <c r="IZ758" i="5"/>
  <c r="JA758" i="5"/>
  <c r="IE759" i="5"/>
  <c r="IF759" i="5"/>
  <c r="IH759" i="5"/>
  <c r="II759" i="5"/>
  <c r="IK759" i="5"/>
  <c r="IL759" i="5"/>
  <c r="IN759" i="5"/>
  <c r="IO759" i="5"/>
  <c r="IQ759" i="5"/>
  <c r="IR759" i="5"/>
  <c r="IT759" i="5"/>
  <c r="IU759" i="5"/>
  <c r="IW759" i="5"/>
  <c r="IX759" i="5"/>
  <c r="IZ759" i="5"/>
  <c r="JA759" i="5"/>
  <c r="IB758" i="5"/>
  <c r="IC758" i="5"/>
  <c r="IB759" i="5"/>
  <c r="IC759" i="5"/>
  <c r="IB760" i="5"/>
  <c r="IC760" i="5"/>
  <c r="IB780" i="5"/>
  <c r="IC780" i="5"/>
  <c r="IB781" i="5"/>
  <c r="IC781" i="5"/>
  <c r="IB782" i="5"/>
  <c r="IC782" i="5"/>
  <c r="IB783" i="5"/>
  <c r="IC783" i="5"/>
  <c r="IB784" i="5"/>
  <c r="IC784" i="5"/>
  <c r="IB774" i="5"/>
  <c r="IC774" i="5"/>
  <c r="IB775" i="5"/>
  <c r="IC775" i="5"/>
  <c r="IB776" i="5"/>
  <c r="IC776" i="5"/>
  <c r="IJ758" i="5" l="1"/>
  <c r="IP784" i="5"/>
  <c r="IV780" i="5"/>
  <c r="AE1086" i="2" s="1"/>
  <c r="AE522" i="2" s="1"/>
  <c r="IP774" i="5"/>
  <c r="JB774" i="5"/>
  <c r="AG1080" i="2" s="1"/>
  <c r="AG503" i="2" s="1"/>
  <c r="IV784" i="5"/>
  <c r="AE1090" i="2" s="1"/>
  <c r="IS776" i="5"/>
  <c r="IP775" i="5"/>
  <c r="IG758" i="5"/>
  <c r="IP781" i="5"/>
  <c r="IP758" i="5"/>
  <c r="IP776" i="5"/>
  <c r="IM774" i="5"/>
  <c r="IG759" i="5"/>
  <c r="IM775" i="5"/>
  <c r="IM776" i="5"/>
  <c r="JB759" i="5"/>
  <c r="AG1065" i="2" s="1"/>
  <c r="IP759" i="5"/>
  <c r="IM781" i="5"/>
  <c r="IY783" i="5"/>
  <c r="AF1089" i="2" s="1"/>
  <c r="IJ759" i="5"/>
  <c r="JB784" i="5"/>
  <c r="AG1090" i="2" s="1"/>
  <c r="IY759" i="5"/>
  <c r="AF1065" i="2" s="1"/>
  <c r="IS774" i="5"/>
  <c r="JF783" i="5"/>
  <c r="IJ780" i="5"/>
  <c r="JC783" i="5"/>
  <c r="IY784" i="5"/>
  <c r="AF1090" i="2" s="1"/>
  <c r="JB758" i="5"/>
  <c r="AG1064" i="2" s="1"/>
  <c r="IG782" i="5"/>
  <c r="JC782" i="5"/>
  <c r="JD783" i="5"/>
  <c r="IY775" i="5"/>
  <c r="AF1081" i="2" s="1"/>
  <c r="JA783" i="5"/>
  <c r="JI783" i="5"/>
  <c r="JK783" i="5" s="1"/>
  <c r="AJ1089" i="2" s="1"/>
  <c r="JI782" i="5"/>
  <c r="JK782" i="5" s="1"/>
  <c r="AJ1088" i="2" s="1"/>
  <c r="IV776" i="5"/>
  <c r="AE1082" i="2" s="1"/>
  <c r="JG782" i="5"/>
  <c r="JD782" i="5"/>
  <c r="JC758" i="5"/>
  <c r="IG775" i="5"/>
  <c r="IV775" i="5"/>
  <c r="AE1081" i="2" s="1"/>
  <c r="IZ783" i="5"/>
  <c r="IV758" i="5"/>
  <c r="AE1064" i="2" s="1"/>
  <c r="JG783" i="5"/>
  <c r="ID782" i="5"/>
  <c r="JF782" i="5"/>
  <c r="JA782" i="5"/>
  <c r="IZ782" i="5"/>
  <c r="IS781" i="5"/>
  <c r="IP783" i="5"/>
  <c r="IJ775" i="5"/>
  <c r="IG774" i="5"/>
  <c r="JB775" i="5"/>
  <c r="AG1081" i="2" s="1"/>
  <c r="IS780" i="5"/>
  <c r="IP780" i="5"/>
  <c r="IM784" i="5"/>
  <c r="IY776" i="5"/>
  <c r="AF1082" i="2" s="1"/>
  <c r="IS759" i="5"/>
  <c r="IJ784" i="5"/>
  <c r="JB776" i="5"/>
  <c r="AG1082" i="2" s="1"/>
  <c r="IS782" i="5"/>
  <c r="ID758" i="5"/>
  <c r="IJ774" i="5"/>
  <c r="IG776" i="5"/>
  <c r="ID783" i="5"/>
  <c r="IV774" i="5"/>
  <c r="AE1080" i="2" s="1"/>
  <c r="IM780" i="5"/>
  <c r="IY780" i="5"/>
  <c r="AF1086" i="2" s="1"/>
  <c r="IJ782" i="5"/>
  <c r="ID759" i="5"/>
  <c r="ID775" i="5"/>
  <c r="ID774" i="5"/>
  <c r="ID784" i="5"/>
  <c r="ID781" i="5"/>
  <c r="ID780" i="5"/>
  <c r="JD759" i="5"/>
  <c r="IY774" i="5"/>
  <c r="AF1080" i="2" s="1"/>
  <c r="IS775" i="5"/>
  <c r="IS758" i="5"/>
  <c r="IP782" i="5"/>
  <c r="IG783" i="5"/>
  <c r="JG759" i="5"/>
  <c r="IY781" i="5"/>
  <c r="AF1087" i="2" s="1"/>
  <c r="AF527" i="2" s="1"/>
  <c r="IJ776" i="5"/>
  <c r="JC759" i="5"/>
  <c r="JF758" i="5"/>
  <c r="IM758" i="5"/>
  <c r="ID776" i="5"/>
  <c r="IS783" i="5"/>
  <c r="IG784" i="5"/>
  <c r="IV759" i="5"/>
  <c r="AE1065" i="2" s="1"/>
  <c r="IY758" i="5"/>
  <c r="AF1064" i="2" s="1"/>
  <c r="IM783" i="5"/>
  <c r="IJ783" i="5"/>
  <c r="JG758" i="5"/>
  <c r="JF759" i="5"/>
  <c r="JI759" i="5"/>
  <c r="JK759" i="5" s="1"/>
  <c r="AJ1065" i="2" s="1"/>
  <c r="IV781" i="5"/>
  <c r="AE1087" i="2" s="1"/>
  <c r="IS784" i="5"/>
  <c r="JB780" i="5"/>
  <c r="AG1086" i="2" s="1"/>
  <c r="IG780" i="5"/>
  <c r="IY782" i="5"/>
  <c r="AF1088" i="2" s="1"/>
  <c r="IV782" i="5"/>
  <c r="AE1088" i="2" s="1"/>
  <c r="IM759" i="5"/>
  <c r="JI758" i="5"/>
  <c r="JK758" i="5" s="1"/>
  <c r="AJ1064" i="2" s="1"/>
  <c r="JD758" i="5"/>
  <c r="AE523" i="2" l="1"/>
  <c r="AF522" i="2"/>
  <c r="AF1674" i="2"/>
  <c r="AE1674" i="2"/>
  <c r="AF503" i="2"/>
  <c r="JH783" i="5"/>
  <c r="AI1089" i="2" s="1"/>
  <c r="JE782" i="5"/>
  <c r="AH1088" i="2" s="1"/>
  <c r="JE783" i="5"/>
  <c r="AH1089" i="2" s="1"/>
  <c r="JB782" i="5"/>
  <c r="AG1088" i="2" s="1"/>
  <c r="JB783" i="5"/>
  <c r="AG1089" i="2" s="1"/>
  <c r="AF523" i="2"/>
  <c r="AF524" i="2" s="1"/>
  <c r="JE758" i="5"/>
  <c r="AH1064" i="2" s="1"/>
  <c r="JH782" i="5"/>
  <c r="AI1088" i="2" s="1"/>
  <c r="JE759" i="5"/>
  <c r="AH1065" i="2" s="1"/>
  <c r="JH759" i="5"/>
  <c r="AI1065" i="2" s="1"/>
  <c r="JH758" i="5"/>
  <c r="AI1064" i="2" s="1"/>
  <c r="AG522" i="2"/>
  <c r="AG523" i="2"/>
  <c r="AG524" i="2" l="1"/>
  <c r="JN864" i="5"/>
  <c r="JQ864" i="5"/>
  <c r="JT864" i="5"/>
  <c r="JW864" i="5"/>
  <c r="AM649" i="2" l="1"/>
  <c r="AN649" i="2"/>
  <c r="AO649" i="2"/>
  <c r="AE527" i="2"/>
  <c r="AF526" i="2"/>
  <c r="AG526" i="2"/>
  <c r="AE526" i="2"/>
  <c r="Y533" i="2"/>
  <c r="X533" i="2"/>
  <c r="W533" i="2"/>
  <c r="V533" i="2"/>
  <c r="V534" i="2" s="1"/>
  <c r="Y532" i="2"/>
  <c r="X532" i="2"/>
  <c r="W532" i="2"/>
  <c r="V532" i="2"/>
  <c r="X527" i="2"/>
  <c r="W527" i="2"/>
  <c r="V527" i="2"/>
  <c r="V528" i="2" s="1"/>
  <c r="X526" i="2"/>
  <c r="W526" i="2"/>
  <c r="V526" i="2"/>
  <c r="Y534" i="2" l="1"/>
  <c r="W534" i="2"/>
  <c r="X534" i="2"/>
  <c r="W528" i="2"/>
  <c r="X528" i="2"/>
  <c r="ED175" i="5" l="1"/>
  <c r="EE175" i="5"/>
  <c r="EF175" i="5"/>
  <c r="EG175" i="5"/>
  <c r="EH175" i="5"/>
  <c r="EI175" i="5"/>
  <c r="EJ175" i="5"/>
  <c r="EK175" i="5"/>
  <c r="EL175" i="5"/>
  <c r="EM175" i="5"/>
  <c r="EN175" i="5"/>
  <c r="EO175" i="5"/>
  <c r="EP175" i="5"/>
  <c r="EQ175" i="5"/>
  <c r="ER175" i="5"/>
  <c r="ES175" i="5"/>
  <c r="ET175" i="5"/>
  <c r="EU175" i="5"/>
  <c r="EV175" i="5"/>
  <c r="EW175" i="5"/>
  <c r="EX175" i="5"/>
  <c r="EY175" i="5"/>
  <c r="EZ175" i="5"/>
  <c r="FA175" i="5"/>
  <c r="FB175" i="5"/>
  <c r="FC175" i="5"/>
  <c r="FD175" i="5"/>
  <c r="FE175" i="5"/>
  <c r="FF175" i="5"/>
  <c r="FG175" i="5"/>
  <c r="FH175" i="5"/>
  <c r="FI175" i="5"/>
  <c r="FJ175" i="5"/>
  <c r="FK175" i="5"/>
  <c r="FL175" i="5"/>
  <c r="FM175" i="5"/>
  <c r="FN175" i="5"/>
  <c r="FO175" i="5"/>
  <c r="FP175" i="5"/>
  <c r="FQ175" i="5"/>
  <c r="FR175" i="5"/>
  <c r="FS175" i="5"/>
  <c r="FT175" i="5"/>
  <c r="FU175" i="5"/>
  <c r="FV175" i="5"/>
  <c r="FW175" i="5"/>
  <c r="FX175" i="5"/>
  <c r="FY175" i="5"/>
  <c r="FZ175" i="5"/>
  <c r="GA175" i="5"/>
  <c r="GB175" i="5"/>
  <c r="GC175" i="5"/>
  <c r="GD175" i="5"/>
  <c r="GE175" i="5"/>
  <c r="GF175" i="5"/>
  <c r="GG175" i="5"/>
  <c r="GH175" i="5"/>
  <c r="GI175" i="5"/>
  <c r="GJ175" i="5"/>
  <c r="GK175" i="5"/>
  <c r="GL175" i="5"/>
  <c r="GM175" i="5"/>
  <c r="GN175" i="5"/>
  <c r="GO175" i="5"/>
  <c r="GP175" i="5"/>
  <c r="GQ175" i="5"/>
  <c r="HD175" i="5"/>
  <c r="HE175" i="5"/>
  <c r="HF175" i="5"/>
  <c r="HG175" i="5"/>
  <c r="HH175" i="5"/>
  <c r="HI175" i="5"/>
  <c r="HJ175" i="5"/>
  <c r="HK175" i="5"/>
  <c r="HL175" i="5"/>
  <c r="GS175" i="5"/>
  <c r="GT175" i="5"/>
  <c r="GU175" i="5"/>
  <c r="GV175" i="5"/>
  <c r="GW175" i="5"/>
  <c r="GX175" i="5"/>
  <c r="GY175" i="5"/>
  <c r="GZ175" i="5"/>
  <c r="HA175" i="5"/>
  <c r="HB175" i="5"/>
  <c r="HC175" i="5"/>
  <c r="GR175" i="5"/>
  <c r="GJ780" i="5" l="1"/>
  <c r="GK780" i="5"/>
  <c r="GL780" i="5"/>
  <c r="GM780" i="5"/>
  <c r="GN780" i="5"/>
  <c r="GO780" i="5"/>
  <c r="GP780" i="5"/>
  <c r="GQ780" i="5"/>
  <c r="GR780" i="5"/>
  <c r="GS780" i="5"/>
  <c r="GT780" i="5"/>
  <c r="GU780" i="5"/>
  <c r="GV780" i="5"/>
  <c r="GW780" i="5"/>
  <c r="GX780" i="5"/>
  <c r="GY780" i="5"/>
  <c r="GZ780" i="5"/>
  <c r="HA780" i="5"/>
  <c r="HB780" i="5"/>
  <c r="HC780" i="5"/>
  <c r="HD780" i="5"/>
  <c r="HE780" i="5"/>
  <c r="HF780" i="5"/>
  <c r="HH780" i="5"/>
  <c r="HI780" i="5"/>
  <c r="HJ780" i="5"/>
  <c r="HK780" i="5"/>
  <c r="HL780" i="5"/>
  <c r="GI780" i="5"/>
  <c r="GT774" i="5"/>
  <c r="GU774" i="5"/>
  <c r="GV774" i="5"/>
  <c r="GW774" i="5"/>
  <c r="GX774" i="5"/>
  <c r="GY774" i="5"/>
  <c r="GZ774" i="5"/>
  <c r="HA774" i="5"/>
  <c r="HB774" i="5"/>
  <c r="HC774" i="5"/>
  <c r="HD774" i="5"/>
  <c r="HE774" i="5"/>
  <c r="HF774" i="5"/>
  <c r="HG774" i="5"/>
  <c r="HH774" i="5"/>
  <c r="HI774" i="5"/>
  <c r="HJ774" i="5"/>
  <c r="HK774" i="5"/>
  <c r="HL774" i="5"/>
  <c r="GT775" i="5"/>
  <c r="GU775" i="5"/>
  <c r="GV775" i="5"/>
  <c r="GW775" i="5"/>
  <c r="GX775" i="5"/>
  <c r="GY775" i="5"/>
  <c r="GZ775" i="5"/>
  <c r="HA775" i="5"/>
  <c r="HB775" i="5"/>
  <c r="HC775" i="5"/>
  <c r="HD775" i="5"/>
  <c r="HE775" i="5"/>
  <c r="HF775" i="5"/>
  <c r="HG775" i="5"/>
  <c r="HH775" i="5"/>
  <c r="HI775" i="5"/>
  <c r="HJ775" i="5"/>
  <c r="HK775" i="5"/>
  <c r="HL775" i="5"/>
  <c r="GT776" i="5"/>
  <c r="GU776" i="5"/>
  <c r="GV776" i="5"/>
  <c r="GW776" i="5"/>
  <c r="GX776" i="5"/>
  <c r="GY776" i="5"/>
  <c r="GZ776" i="5"/>
  <c r="HA776" i="5"/>
  <c r="HB776" i="5"/>
  <c r="HC776" i="5"/>
  <c r="HD776" i="5"/>
  <c r="HE776" i="5"/>
  <c r="HF776" i="5"/>
  <c r="HG776" i="5"/>
  <c r="HH776" i="5"/>
  <c r="HI776" i="5"/>
  <c r="HJ776" i="5"/>
  <c r="HK776" i="5"/>
  <c r="HL776" i="5"/>
  <c r="GI774" i="5"/>
  <c r="GJ774" i="5"/>
  <c r="GK774" i="5"/>
  <c r="GL774" i="5"/>
  <c r="GM774" i="5"/>
  <c r="GN774" i="5"/>
  <c r="GO774" i="5"/>
  <c r="GP774" i="5"/>
  <c r="GQ774" i="5"/>
  <c r="GR774" i="5"/>
  <c r="GI775" i="5"/>
  <c r="GJ775" i="5"/>
  <c r="GK775" i="5"/>
  <c r="GL775" i="5"/>
  <c r="GM775" i="5"/>
  <c r="GN775" i="5"/>
  <c r="GO775" i="5"/>
  <c r="GP775" i="5"/>
  <c r="GQ775" i="5"/>
  <c r="GR775" i="5"/>
  <c r="GI776" i="5"/>
  <c r="GJ776" i="5"/>
  <c r="GK776" i="5"/>
  <c r="GL776" i="5"/>
  <c r="GM776" i="5"/>
  <c r="GN776" i="5"/>
  <c r="GO776" i="5"/>
  <c r="GP776" i="5"/>
  <c r="GQ776" i="5"/>
  <c r="GR776" i="5"/>
  <c r="GS775" i="5"/>
  <c r="GS776" i="5"/>
  <c r="GS774" i="5"/>
  <c r="JD775" i="5" l="1"/>
  <c r="JI774" i="5"/>
  <c r="JK774" i="5" s="1"/>
  <c r="AJ1080" i="2" s="1"/>
  <c r="AJ503" i="2" s="1"/>
  <c r="JI776" i="5"/>
  <c r="JK776" i="5" s="1"/>
  <c r="AJ1082" i="2" s="1"/>
  <c r="JI781" i="5"/>
  <c r="JK781" i="5" s="1"/>
  <c r="AJ1087" i="2" s="1"/>
  <c r="JC775" i="5"/>
  <c r="JI780" i="5"/>
  <c r="JC781" i="5"/>
  <c r="JF780" i="5"/>
  <c r="JG775" i="5"/>
  <c r="JF781" i="5"/>
  <c r="JF776" i="5"/>
  <c r="JC776" i="5"/>
  <c r="JC774" i="5"/>
  <c r="JG780" i="5"/>
  <c r="JI775" i="5"/>
  <c r="JK775" i="5" s="1"/>
  <c r="AJ1081" i="2" s="1"/>
  <c r="JG774" i="5"/>
  <c r="JG781" i="5"/>
  <c r="JD780" i="5"/>
  <c r="JD774" i="5"/>
  <c r="JF775" i="5"/>
  <c r="JG776" i="5"/>
  <c r="JD776" i="5"/>
  <c r="JF774" i="5"/>
  <c r="JC780" i="5"/>
  <c r="JD781" i="5"/>
  <c r="GU382" i="5"/>
  <c r="GU784" i="5" s="1"/>
  <c r="GV382" i="5"/>
  <c r="GV784" i="5" s="1"/>
  <c r="GW382" i="5"/>
  <c r="GW784" i="5" s="1"/>
  <c r="GX382" i="5"/>
  <c r="GX784" i="5" s="1"/>
  <c r="GY382" i="5"/>
  <c r="GY784" i="5" s="1"/>
  <c r="GZ382" i="5"/>
  <c r="GZ784" i="5" s="1"/>
  <c r="HA382" i="5"/>
  <c r="HA784" i="5" s="1"/>
  <c r="HB382" i="5"/>
  <c r="HB784" i="5" s="1"/>
  <c r="HC382" i="5"/>
  <c r="HC784" i="5" s="1"/>
  <c r="HD382" i="5"/>
  <c r="HD784" i="5" s="1"/>
  <c r="HE382" i="5"/>
  <c r="HE784" i="5" s="1"/>
  <c r="HF382" i="5"/>
  <c r="HF784" i="5" s="1"/>
  <c r="HG784" i="5"/>
  <c r="HH784" i="5"/>
  <c r="HI784" i="5"/>
  <c r="HJ784" i="5"/>
  <c r="HK784" i="5"/>
  <c r="HL784" i="5"/>
  <c r="GJ382" i="5"/>
  <c r="GJ784" i="5" s="1"/>
  <c r="GK382" i="5"/>
  <c r="GK784" i="5" s="1"/>
  <c r="GL382" i="5"/>
  <c r="GL784" i="5" s="1"/>
  <c r="GM382" i="5"/>
  <c r="GM784" i="5" s="1"/>
  <c r="GN382" i="5"/>
  <c r="GN784" i="5" s="1"/>
  <c r="GO382" i="5"/>
  <c r="GO784" i="5" s="1"/>
  <c r="GP382" i="5"/>
  <c r="GP784" i="5" s="1"/>
  <c r="GQ382" i="5"/>
  <c r="GQ784" i="5" s="1"/>
  <c r="GR382" i="5"/>
  <c r="GR784" i="5" s="1"/>
  <c r="GS382" i="5"/>
  <c r="GS784" i="5" s="1"/>
  <c r="GT382" i="5"/>
  <c r="GT784" i="5" s="1"/>
  <c r="GI382" i="5"/>
  <c r="GI784" i="5" s="1"/>
  <c r="JK780" i="5" l="1"/>
  <c r="AJ1086" i="2"/>
  <c r="AJ523" i="2" s="1"/>
  <c r="AJ526" i="2"/>
  <c r="AJ527" i="2"/>
  <c r="AJ522" i="2"/>
  <c r="JE775" i="5"/>
  <c r="AH1081" i="2" s="1"/>
  <c r="JH776" i="5"/>
  <c r="AI1082" i="2" s="1"/>
  <c r="JE776" i="5"/>
  <c r="AH1082" i="2" s="1"/>
  <c r="JC784" i="5"/>
  <c r="JG784" i="5"/>
  <c r="JD784" i="5"/>
  <c r="JE784" i="5" s="1"/>
  <c r="AH1090" i="2" s="1"/>
  <c r="JH781" i="5"/>
  <c r="AI1087" i="2" s="1"/>
  <c r="JE774" i="5"/>
  <c r="AH1080" i="2" s="1"/>
  <c r="JF784" i="5"/>
  <c r="JH780" i="5"/>
  <c r="JE780" i="5"/>
  <c r="JI784" i="5"/>
  <c r="JK784" i="5" s="1"/>
  <c r="AJ1090" i="2" s="1"/>
  <c r="JE781" i="5"/>
  <c r="AH1087" i="2" s="1"/>
  <c r="JH774" i="5"/>
  <c r="AI1080" i="2" s="1"/>
  <c r="JH775" i="5"/>
  <c r="AI1081" i="2" s="1"/>
  <c r="AI1086" i="2" l="1"/>
  <c r="AI522" i="2" s="1"/>
  <c r="AH1086" i="2"/>
  <c r="AH522" i="2" s="1"/>
  <c r="AH1673" i="2"/>
  <c r="AH1679" i="2" s="1"/>
  <c r="AH527" i="2"/>
  <c r="AH1672" i="2"/>
  <c r="AI527" i="2"/>
  <c r="AI503" i="2"/>
  <c r="AJ504" i="2" s="1"/>
  <c r="AH503" i="2"/>
  <c r="AH504" i="2" s="1"/>
  <c r="AI526" i="2"/>
  <c r="JH784" i="5"/>
  <c r="AI1090" i="2" s="1"/>
  <c r="AH526" i="2"/>
  <c r="HF756" i="5"/>
  <c r="AI534" i="2" l="1"/>
  <c r="AJ534" i="2"/>
  <c r="AJ528" i="2"/>
  <c r="AI523" i="2"/>
  <c r="AJ524" i="2" s="1"/>
  <c r="AI528" i="2"/>
  <c r="AH523" i="2"/>
  <c r="AH524" i="2" s="1"/>
  <c r="AH1674" i="2"/>
  <c r="AG1674" i="2"/>
  <c r="AI504" i="2"/>
  <c r="AH528" i="2"/>
  <c r="HE757" i="5"/>
  <c r="HF757" i="5"/>
  <c r="HG757" i="5"/>
  <c r="HH757" i="5"/>
  <c r="HI757" i="5"/>
  <c r="HJ757" i="5"/>
  <c r="HK757" i="5"/>
  <c r="HL757" i="5"/>
  <c r="HC756" i="5"/>
  <c r="GD757" i="5"/>
  <c r="GE757" i="5"/>
  <c r="GF757" i="5"/>
  <c r="GG757" i="5"/>
  <c r="GH757" i="5"/>
  <c r="GJ757" i="5"/>
  <c r="GK757" i="5"/>
  <c r="GL757" i="5"/>
  <c r="GM757" i="5"/>
  <c r="GN757" i="5"/>
  <c r="GO757" i="5"/>
  <c r="GP757" i="5"/>
  <c r="GQ757" i="5"/>
  <c r="GR757" i="5"/>
  <c r="GS757" i="5"/>
  <c r="GT757" i="5"/>
  <c r="GU757" i="5"/>
  <c r="GV757" i="5"/>
  <c r="GW757" i="5"/>
  <c r="GX757" i="5"/>
  <c r="GY757" i="5"/>
  <c r="GZ757" i="5"/>
  <c r="HA757" i="5"/>
  <c r="HB757" i="5"/>
  <c r="HC757" i="5"/>
  <c r="HD757" i="5"/>
  <c r="FL757" i="5"/>
  <c r="FM757" i="5"/>
  <c r="FN757" i="5"/>
  <c r="FO757" i="5"/>
  <c r="FP757" i="5"/>
  <c r="FQ757" i="5"/>
  <c r="FR757" i="5"/>
  <c r="FS757" i="5"/>
  <c r="FT757" i="5"/>
  <c r="FU757" i="5"/>
  <c r="FV757" i="5"/>
  <c r="FW757" i="5"/>
  <c r="FX757" i="5"/>
  <c r="FY757" i="5"/>
  <c r="FZ757" i="5"/>
  <c r="GA757" i="5"/>
  <c r="GB757" i="5"/>
  <c r="GC757" i="5"/>
  <c r="FX760" i="5"/>
  <c r="FY760" i="5"/>
  <c r="FZ760" i="5"/>
  <c r="GA760" i="5"/>
  <c r="GB760" i="5"/>
  <c r="GC760" i="5"/>
  <c r="GD760" i="5"/>
  <c r="GE760" i="5"/>
  <c r="GF760" i="5"/>
  <c r="GG760" i="5"/>
  <c r="GH760" i="5"/>
  <c r="GI760" i="5"/>
  <c r="GJ760" i="5"/>
  <c r="GK760" i="5"/>
  <c r="GL760" i="5"/>
  <c r="GM760" i="5"/>
  <c r="GN760" i="5"/>
  <c r="GO760" i="5"/>
  <c r="GP760" i="5"/>
  <c r="GQ760" i="5"/>
  <c r="GR760" i="5"/>
  <c r="GS760" i="5"/>
  <c r="GT760" i="5"/>
  <c r="GU760" i="5"/>
  <c r="GV760" i="5"/>
  <c r="GW760" i="5"/>
  <c r="GX760" i="5"/>
  <c r="GY760" i="5"/>
  <c r="GZ760" i="5"/>
  <c r="HA760" i="5"/>
  <c r="HB760" i="5"/>
  <c r="HC760" i="5"/>
  <c r="HD760" i="5"/>
  <c r="HE760" i="5"/>
  <c r="HF760" i="5"/>
  <c r="HG760" i="5"/>
  <c r="HH760" i="5"/>
  <c r="HI760" i="5"/>
  <c r="HJ760" i="5"/>
  <c r="HK760" i="5"/>
  <c r="HL760" i="5"/>
  <c r="FW760" i="5"/>
  <c r="GK348" i="5"/>
  <c r="GL348" i="5"/>
  <c r="GJ348" i="5"/>
  <c r="GI348" i="5"/>
  <c r="DC757" i="5"/>
  <c r="DC756" i="5"/>
  <c r="GH755" i="5"/>
  <c r="GH754" i="5" s="1"/>
  <c r="GG755" i="5"/>
  <c r="GG754" i="5" s="1"/>
  <c r="GF755" i="5"/>
  <c r="GF754" i="5" s="1"/>
  <c r="GE755" i="5"/>
  <c r="GE754" i="5" s="1"/>
  <c r="GD755" i="5"/>
  <c r="GD754" i="5" s="1"/>
  <c r="GC755" i="5"/>
  <c r="GB755" i="5"/>
  <c r="GB754" i="5" s="1"/>
  <c r="GA755" i="5"/>
  <c r="GA754" i="5" s="1"/>
  <c r="FZ755" i="5"/>
  <c r="FZ754" i="5" s="1"/>
  <c r="FY755" i="5"/>
  <c r="FY754" i="5" s="1"/>
  <c r="FX755" i="5"/>
  <c r="FX754" i="5" s="1"/>
  <c r="FW755" i="5"/>
  <c r="FW754" i="5" s="1"/>
  <c r="DD513" i="5"/>
  <c r="DE513" i="5"/>
  <c r="DF513" i="5"/>
  <c r="DG513" i="5"/>
  <c r="DH513" i="5"/>
  <c r="DI513" i="5"/>
  <c r="DJ513" i="5"/>
  <c r="DK513" i="5"/>
  <c r="DL513" i="5"/>
  <c r="DM513" i="5"/>
  <c r="DN513" i="5"/>
  <c r="DO513" i="5"/>
  <c r="DP513" i="5"/>
  <c r="DQ513" i="5"/>
  <c r="DR513" i="5"/>
  <c r="DS513" i="5"/>
  <c r="DT513" i="5"/>
  <c r="DU513" i="5"/>
  <c r="DV513" i="5"/>
  <c r="DW513" i="5"/>
  <c r="DX513" i="5"/>
  <c r="DY513" i="5"/>
  <c r="DZ513" i="5"/>
  <c r="EA513" i="5"/>
  <c r="EB513" i="5"/>
  <c r="EC513" i="5"/>
  <c r="ED513" i="5"/>
  <c r="EE513" i="5"/>
  <c r="EF513" i="5"/>
  <c r="EG513" i="5"/>
  <c r="EH513" i="5"/>
  <c r="EI513" i="5"/>
  <c r="EJ513" i="5"/>
  <c r="EK513" i="5"/>
  <c r="EL513" i="5"/>
  <c r="EM513" i="5"/>
  <c r="EN513" i="5"/>
  <c r="EO513" i="5"/>
  <c r="EP513" i="5"/>
  <c r="EQ513" i="5"/>
  <c r="ER513" i="5"/>
  <c r="ES513" i="5"/>
  <c r="ET513" i="5"/>
  <c r="EU513" i="5"/>
  <c r="EV513" i="5"/>
  <c r="EW513" i="5"/>
  <c r="EX513" i="5"/>
  <c r="EY513" i="5"/>
  <c r="EZ513" i="5"/>
  <c r="FA513" i="5"/>
  <c r="FB513" i="5"/>
  <c r="FC513" i="5"/>
  <c r="FD513" i="5"/>
  <c r="FE513" i="5"/>
  <c r="FF513" i="5"/>
  <c r="FG513" i="5"/>
  <c r="FH513" i="5"/>
  <c r="FI513" i="5"/>
  <c r="FJ513" i="5"/>
  <c r="FK513" i="5"/>
  <c r="FL513" i="5"/>
  <c r="FM513" i="5"/>
  <c r="FN513" i="5"/>
  <c r="FO513" i="5"/>
  <c r="FP513" i="5"/>
  <c r="FQ513" i="5"/>
  <c r="FR513" i="5"/>
  <c r="FS513" i="5"/>
  <c r="FT513" i="5"/>
  <c r="FU513" i="5"/>
  <c r="FV513" i="5"/>
  <c r="FW513" i="5"/>
  <c r="FX513" i="5"/>
  <c r="FY513" i="5"/>
  <c r="FZ513" i="5"/>
  <c r="GA513" i="5"/>
  <c r="GB513" i="5"/>
  <c r="GC513" i="5"/>
  <c r="GD513" i="5"/>
  <c r="GE513" i="5"/>
  <c r="GF513" i="5"/>
  <c r="GG513" i="5"/>
  <c r="GH513" i="5"/>
  <c r="GI513" i="5"/>
  <c r="GJ513" i="5"/>
  <c r="GK513" i="5"/>
  <c r="GL513" i="5"/>
  <c r="GM513" i="5"/>
  <c r="GN513" i="5"/>
  <c r="GO513" i="5"/>
  <c r="GP513" i="5"/>
  <c r="GQ513" i="5"/>
  <c r="GR513" i="5"/>
  <c r="GS513" i="5"/>
  <c r="GT513" i="5"/>
  <c r="GU513" i="5"/>
  <c r="GV513" i="5"/>
  <c r="GW513" i="5"/>
  <c r="GX513" i="5"/>
  <c r="GY513" i="5"/>
  <c r="GZ513" i="5"/>
  <c r="HA513" i="5"/>
  <c r="HB513" i="5"/>
  <c r="HC513" i="5"/>
  <c r="HD513" i="5"/>
  <c r="HE513" i="5"/>
  <c r="HF513" i="5"/>
  <c r="HG513" i="5"/>
  <c r="HH513" i="5"/>
  <c r="HI513" i="5"/>
  <c r="HJ513" i="5"/>
  <c r="HK513" i="5"/>
  <c r="HL513" i="5"/>
  <c r="DC513" i="5"/>
  <c r="AI524" i="2" l="1"/>
  <c r="AK527" i="2"/>
  <c r="GP173" i="5"/>
  <c r="GQ173" i="5"/>
  <c r="GR173" i="5"/>
  <c r="GS173" i="5"/>
  <c r="GT173" i="5"/>
  <c r="GU173" i="5"/>
  <c r="GV173" i="5"/>
  <c r="GW173" i="5"/>
  <c r="GX173" i="5"/>
  <c r="GY173" i="5"/>
  <c r="GZ173" i="5"/>
  <c r="HA173" i="5"/>
  <c r="HB173" i="5"/>
  <c r="HC173" i="5"/>
  <c r="HD173" i="5"/>
  <c r="HE173" i="5"/>
  <c r="HF173" i="5"/>
  <c r="HG173" i="5"/>
  <c r="HH173" i="5"/>
  <c r="HI173" i="5"/>
  <c r="HJ173" i="5"/>
  <c r="HK173" i="5"/>
  <c r="HL173" i="5"/>
  <c r="GE173" i="5"/>
  <c r="GF173" i="5"/>
  <c r="GG173" i="5"/>
  <c r="GH173" i="5"/>
  <c r="GI173" i="5"/>
  <c r="GJ173" i="5"/>
  <c r="GK173" i="5"/>
  <c r="GL173" i="5"/>
  <c r="GM173" i="5"/>
  <c r="GN173" i="5"/>
  <c r="GO173" i="5"/>
  <c r="GD173" i="5"/>
  <c r="GC173" i="5"/>
  <c r="GB173" i="5"/>
  <c r="GA173" i="5"/>
  <c r="FZ173" i="5"/>
  <c r="FY173" i="5"/>
  <c r="FX173" i="5"/>
  <c r="FW173" i="5"/>
  <c r="FV173" i="5"/>
  <c r="FU173" i="5"/>
  <c r="FT173" i="5"/>
  <c r="FS173" i="5"/>
  <c r="FR173" i="5"/>
  <c r="FQ173" i="5"/>
  <c r="FP173" i="5"/>
  <c r="FO173" i="5"/>
  <c r="FN173" i="5"/>
  <c r="FM173" i="5"/>
  <c r="FL173" i="5"/>
  <c r="FK173" i="5"/>
  <c r="FJ173" i="5"/>
  <c r="FI173" i="5"/>
  <c r="FH173" i="5"/>
  <c r="FG173" i="5"/>
  <c r="FF173" i="5"/>
  <c r="FE173" i="5"/>
  <c r="FD173" i="5"/>
  <c r="FC173" i="5"/>
  <c r="FB173" i="5"/>
  <c r="FA173" i="5"/>
  <c r="EZ173" i="5"/>
  <c r="EY173" i="5"/>
  <c r="EX173" i="5"/>
  <c r="EW173" i="5"/>
  <c r="EV173" i="5"/>
  <c r="EU173" i="5"/>
  <c r="ET173" i="5"/>
  <c r="ES173" i="5"/>
  <c r="ER173" i="5"/>
  <c r="EQ173" i="5"/>
  <c r="EP173" i="5"/>
  <c r="EO173" i="5"/>
  <c r="EN173" i="5"/>
  <c r="EM173" i="5"/>
  <c r="EL173" i="5"/>
  <c r="EK173" i="5"/>
  <c r="EJ173" i="5"/>
  <c r="EI173" i="5"/>
  <c r="EH173" i="5"/>
  <c r="EG173" i="5"/>
  <c r="EF173" i="5"/>
  <c r="EE173" i="5"/>
  <c r="ED173" i="5"/>
  <c r="EC173" i="5"/>
  <c r="EB173" i="5"/>
  <c r="EA173" i="5"/>
  <c r="DZ173" i="5"/>
  <c r="DY173" i="5"/>
  <c r="DX173" i="5"/>
  <c r="DW173" i="5"/>
  <c r="DV173" i="5"/>
  <c r="DU173" i="5"/>
  <c r="DT173" i="5"/>
  <c r="DS173" i="5"/>
  <c r="DR173" i="5"/>
  <c r="DQ173" i="5"/>
  <c r="DP173" i="5"/>
  <c r="DO173" i="5"/>
  <c r="DN173" i="5"/>
  <c r="DM173" i="5"/>
  <c r="DL173" i="5"/>
  <c r="DK173" i="5"/>
  <c r="DJ173" i="5"/>
  <c r="DI173" i="5"/>
  <c r="DH173" i="5"/>
  <c r="DG173" i="5"/>
  <c r="DD173" i="5"/>
  <c r="DE173" i="5"/>
  <c r="DF173" i="5"/>
  <c r="DC173" i="5"/>
  <c r="AK523" i="2" l="1"/>
  <c r="AK1086" i="2" s="1"/>
  <c r="AI1673" i="2"/>
  <c r="AI1679" i="2" s="1"/>
  <c r="AL527" i="2"/>
  <c r="AK1087" i="2"/>
  <c r="JN781" i="5" s="1"/>
  <c r="JM781" i="5" s="1"/>
  <c r="IX996" i="5"/>
  <c r="AO1732" i="2"/>
  <c r="AE1731" i="2"/>
  <c r="AJ427" i="2"/>
  <c r="AK427" i="2"/>
  <c r="AL427" i="2"/>
  <c r="AM427" i="2"/>
  <c r="AN427" i="2"/>
  <c r="AO427" i="2"/>
  <c r="AP427" i="2"/>
  <c r="AQ427" i="2"/>
  <c r="AR427" i="2"/>
  <c r="AS427" i="2"/>
  <c r="AT427" i="2"/>
  <c r="AI427" i="2"/>
  <c r="AK526" i="2" l="1"/>
  <c r="AM527" i="2"/>
  <c r="AL1087" i="2"/>
  <c r="JQ781" i="5" s="1"/>
  <c r="AJ1673" i="2"/>
  <c r="AJ1679" i="2" s="1"/>
  <c r="AL523" i="2"/>
  <c r="AI1674" i="2"/>
  <c r="AK1071" i="2"/>
  <c r="JN765" i="5" s="1"/>
  <c r="AJ1674" i="2" l="1"/>
  <c r="JN780" i="5"/>
  <c r="JM780" i="5" s="1"/>
  <c r="AN527" i="2"/>
  <c r="AN1087" i="2" s="1"/>
  <c r="JW781" i="5" s="1"/>
  <c r="AM1087" i="2"/>
  <c r="JT781" i="5" s="1"/>
  <c r="AL1086" i="2"/>
  <c r="AM523" i="2"/>
  <c r="AL1673" i="2"/>
  <c r="AL1679" i="2" s="1"/>
  <c r="AL526" i="2"/>
  <c r="AK1673" i="2"/>
  <c r="AK1679" i="2" s="1"/>
  <c r="D1099" i="2"/>
  <c r="D1108" i="2"/>
  <c r="D1109" i="2"/>
  <c r="D1110" i="2"/>
  <c r="D1115" i="2"/>
  <c r="D1119" i="2"/>
  <c r="D1120" i="2"/>
  <c r="D1121" i="2"/>
  <c r="D1123" i="2"/>
  <c r="D1124" i="2"/>
  <c r="D1125" i="2"/>
  <c r="D1126" i="2"/>
  <c r="D1128" i="2"/>
  <c r="D1132" i="2"/>
  <c r="D1133" i="2"/>
  <c r="D1139" i="2"/>
  <c r="D1149" i="2"/>
  <c r="D1156" i="2"/>
  <c r="D1157" i="2"/>
  <c r="D1159" i="2"/>
  <c r="D1187" i="2"/>
  <c r="D1188" i="2"/>
  <c r="D1189" i="2"/>
  <c r="D1198" i="2"/>
  <c r="D1199" i="2"/>
  <c r="D1206" i="2"/>
  <c r="D1222" i="2"/>
  <c r="D1224" i="2"/>
  <c r="D1225" i="2"/>
  <c r="D1226" i="2"/>
  <c r="D1227" i="2"/>
  <c r="D1228" i="2"/>
  <c r="D1229" i="2"/>
  <c r="D1233" i="2"/>
  <c r="D1240" i="2"/>
  <c r="D1241" i="2"/>
  <c r="D1242" i="2"/>
  <c r="D1243" i="2"/>
  <c r="D1244" i="2"/>
  <c r="D1245" i="2"/>
  <c r="D1246" i="2"/>
  <c r="JQ780" i="5" l="1"/>
  <c r="AM1673" i="2"/>
  <c r="AM1679" i="2" s="1"/>
  <c r="AM526" i="2"/>
  <c r="AN526" i="2"/>
  <c r="AM1086" i="2"/>
  <c r="AN523" i="2"/>
  <c r="AK1674" i="2"/>
  <c r="IH235" i="5"/>
  <c r="II235" i="5"/>
  <c r="IK235" i="5"/>
  <c r="IH236" i="5"/>
  <c r="II236" i="5"/>
  <c r="IJ236" i="5" s="1"/>
  <c r="IK236" i="5"/>
  <c r="IH237" i="5"/>
  <c r="II237" i="5"/>
  <c r="IK237" i="5"/>
  <c r="IH238" i="5"/>
  <c r="II238" i="5"/>
  <c r="IK238" i="5"/>
  <c r="IH239" i="5"/>
  <c r="II239" i="5"/>
  <c r="IK239" i="5"/>
  <c r="IK165" i="5"/>
  <c r="II165" i="5"/>
  <c r="IH165" i="5"/>
  <c r="IH173" i="5"/>
  <c r="DB173" i="5"/>
  <c r="DA173" i="5"/>
  <c r="CZ173" i="5"/>
  <c r="CY173" i="5"/>
  <c r="CX173" i="5"/>
  <c r="CW173" i="5"/>
  <c r="CV173" i="5"/>
  <c r="CU173" i="5"/>
  <c r="CT173" i="5"/>
  <c r="CS173" i="5"/>
  <c r="CR173" i="5"/>
  <c r="CQ173" i="5"/>
  <c r="CP173" i="5"/>
  <c r="CO173" i="5"/>
  <c r="CN173" i="5"/>
  <c r="CM173" i="5"/>
  <c r="CL173" i="5"/>
  <c r="CK173" i="5"/>
  <c r="CJ173" i="5"/>
  <c r="CI173" i="5"/>
  <c r="CH173" i="5"/>
  <c r="CG173" i="5"/>
  <c r="CF173" i="5"/>
  <c r="CE173" i="5"/>
  <c r="JT780" i="5" l="1"/>
  <c r="AL1674" i="2"/>
  <c r="AN1086" i="2"/>
  <c r="AO523" i="2"/>
  <c r="IJ239" i="5"/>
  <c r="IJ238" i="5"/>
  <c r="IJ237" i="5"/>
  <c r="IJ235" i="5"/>
  <c r="IJ165" i="5"/>
  <c r="IK173" i="5"/>
  <c r="II173" i="5"/>
  <c r="IJ173" i="5" s="1"/>
  <c r="JW780" i="5" l="1"/>
  <c r="AO1086" i="2"/>
  <c r="AP523" i="2"/>
  <c r="AM1674" i="2"/>
  <c r="HL164" i="5"/>
  <c r="HK164" i="5"/>
  <c r="HJ164" i="5"/>
  <c r="HI164" i="5"/>
  <c r="HH164" i="5"/>
  <c r="HG164" i="5"/>
  <c r="HF164" i="5"/>
  <c r="HE164" i="5"/>
  <c r="HD164" i="5"/>
  <c r="HC164" i="5"/>
  <c r="HB164" i="5"/>
  <c r="HA164" i="5"/>
  <c r="GZ164" i="5"/>
  <c r="GY164" i="5"/>
  <c r="GX164" i="5"/>
  <c r="GW164" i="5"/>
  <c r="GV164" i="5"/>
  <c r="GU164" i="5"/>
  <c r="GT164" i="5"/>
  <c r="GS164" i="5"/>
  <c r="GR164" i="5"/>
  <c r="GQ164" i="5"/>
  <c r="GP164" i="5"/>
  <c r="GO164" i="5"/>
  <c r="GN164" i="5"/>
  <c r="GM164" i="5"/>
  <c r="GL164" i="5"/>
  <c r="GK164" i="5"/>
  <c r="GJ164" i="5"/>
  <c r="GI164" i="5"/>
  <c r="GH164" i="5"/>
  <c r="GG164" i="5"/>
  <c r="GF164" i="5"/>
  <c r="GE164" i="5"/>
  <c r="GD164" i="5"/>
  <c r="GC164" i="5"/>
  <c r="GB164" i="5"/>
  <c r="GA164" i="5"/>
  <c r="FZ164" i="5"/>
  <c r="FY164" i="5"/>
  <c r="FX164" i="5"/>
  <c r="FW164" i="5"/>
  <c r="FV164" i="5"/>
  <c r="FU164" i="5"/>
  <c r="FT164" i="5"/>
  <c r="FS164" i="5"/>
  <c r="FR164" i="5"/>
  <c r="FQ164" i="5"/>
  <c r="FP164" i="5"/>
  <c r="FO164" i="5"/>
  <c r="FN164" i="5"/>
  <c r="FM164" i="5"/>
  <c r="FL164" i="5"/>
  <c r="FK164" i="5"/>
  <c r="FJ164" i="5"/>
  <c r="FI164" i="5"/>
  <c r="FH164" i="5"/>
  <c r="FG164" i="5"/>
  <c r="FF164" i="5"/>
  <c r="FE164" i="5"/>
  <c r="FD164" i="5"/>
  <c r="FC164" i="5"/>
  <c r="FB164" i="5"/>
  <c r="FA164" i="5"/>
  <c r="EZ164" i="5"/>
  <c r="EY164" i="5"/>
  <c r="EX164" i="5"/>
  <c r="EW164" i="5"/>
  <c r="EV164" i="5"/>
  <c r="EU164" i="5"/>
  <c r="ET164" i="5"/>
  <c r="ES164" i="5"/>
  <c r="ER164" i="5"/>
  <c r="EQ164" i="5"/>
  <c r="EP164" i="5"/>
  <c r="EO164" i="5"/>
  <c r="EN164" i="5"/>
  <c r="EM164" i="5"/>
  <c r="EL164" i="5"/>
  <c r="EK164" i="5"/>
  <c r="EC164" i="5"/>
  <c r="ED164" i="5"/>
  <c r="EE164" i="5"/>
  <c r="EF164" i="5"/>
  <c r="EG164" i="5"/>
  <c r="EH164" i="5"/>
  <c r="EI164" i="5"/>
  <c r="EJ164" i="5"/>
  <c r="EB164" i="5"/>
  <c r="EA164" i="5"/>
  <c r="DZ164" i="5"/>
  <c r="DY164" i="5"/>
  <c r="DX164" i="5"/>
  <c r="DW164" i="5"/>
  <c r="DV164" i="5"/>
  <c r="DU164" i="5"/>
  <c r="DT164" i="5"/>
  <c r="DS164" i="5"/>
  <c r="DR164" i="5"/>
  <c r="DQ164" i="5"/>
  <c r="DP164" i="5"/>
  <c r="DO164" i="5"/>
  <c r="DN164" i="5"/>
  <c r="DM164" i="5"/>
  <c r="DL164" i="5"/>
  <c r="DK164" i="5"/>
  <c r="DJ164" i="5"/>
  <c r="DI164" i="5"/>
  <c r="DH164" i="5"/>
  <c r="DG164" i="5"/>
  <c r="DF164" i="5"/>
  <c r="DE164" i="5"/>
  <c r="DD164" i="5"/>
  <c r="DC164" i="5"/>
  <c r="DB164" i="5"/>
  <c r="DA164" i="5"/>
  <c r="CZ164" i="5"/>
  <c r="CY164" i="5"/>
  <c r="CX164" i="5"/>
  <c r="CW164" i="5"/>
  <c r="CV164" i="5"/>
  <c r="CU164" i="5"/>
  <c r="CT164" i="5"/>
  <c r="CS164" i="5"/>
  <c r="CR164" i="5"/>
  <c r="CQ164" i="5"/>
  <c r="CP164" i="5"/>
  <c r="CO164" i="5"/>
  <c r="CN164" i="5"/>
  <c r="CM164" i="5"/>
  <c r="CL164" i="5"/>
  <c r="CK164" i="5"/>
  <c r="CJ164" i="5"/>
  <c r="CI164" i="5"/>
  <c r="CH164" i="5"/>
  <c r="CG164" i="5"/>
  <c r="CF164" i="5"/>
  <c r="CE164" i="5"/>
  <c r="CF157" i="5"/>
  <c r="CG157" i="5"/>
  <c r="CH157" i="5"/>
  <c r="CI157" i="5"/>
  <c r="CJ157" i="5"/>
  <c r="CK157" i="5"/>
  <c r="CL157" i="5"/>
  <c r="CM157" i="5"/>
  <c r="CN157" i="5"/>
  <c r="CO157" i="5"/>
  <c r="CP157" i="5"/>
  <c r="CQ157" i="5"/>
  <c r="CR157" i="5"/>
  <c r="CS157" i="5"/>
  <c r="CT157" i="5"/>
  <c r="CU157" i="5"/>
  <c r="CV157" i="5"/>
  <c r="CW157" i="5"/>
  <c r="CX157" i="5"/>
  <c r="CY157" i="5"/>
  <c r="CZ157" i="5"/>
  <c r="DA157" i="5"/>
  <c r="DB157" i="5"/>
  <c r="DC157" i="5"/>
  <c r="DD157" i="5"/>
  <c r="DE157" i="5"/>
  <c r="DF157" i="5"/>
  <c r="DG157" i="5"/>
  <c r="DH157" i="5"/>
  <c r="DI157" i="5"/>
  <c r="DJ157" i="5"/>
  <c r="DK157" i="5"/>
  <c r="DL157" i="5"/>
  <c r="DM157" i="5"/>
  <c r="DN157" i="5"/>
  <c r="DO157" i="5"/>
  <c r="DP157" i="5"/>
  <c r="DQ157" i="5"/>
  <c r="DR157" i="5"/>
  <c r="DS157" i="5"/>
  <c r="DT157" i="5"/>
  <c r="DU157" i="5"/>
  <c r="DV157" i="5"/>
  <c r="DW157" i="5"/>
  <c r="DX157" i="5"/>
  <c r="DY157" i="5"/>
  <c r="DZ157" i="5"/>
  <c r="EA157" i="5"/>
  <c r="EB157" i="5"/>
  <c r="EC157" i="5"/>
  <c r="ED157" i="5"/>
  <c r="EE157" i="5"/>
  <c r="EF157" i="5"/>
  <c r="EG157" i="5"/>
  <c r="EH157" i="5"/>
  <c r="EI157" i="5"/>
  <c r="EJ157" i="5"/>
  <c r="EK157" i="5"/>
  <c r="EL157" i="5"/>
  <c r="EM157" i="5"/>
  <c r="EN157" i="5"/>
  <c r="EO157" i="5"/>
  <c r="EP157" i="5"/>
  <c r="EQ157" i="5"/>
  <c r="ER157" i="5"/>
  <c r="ES157" i="5"/>
  <c r="ET157" i="5"/>
  <c r="EU157" i="5"/>
  <c r="EV157" i="5"/>
  <c r="EW157" i="5"/>
  <c r="EX157" i="5"/>
  <c r="EY157" i="5"/>
  <c r="EZ157" i="5"/>
  <c r="FA157" i="5"/>
  <c r="FB157" i="5"/>
  <c r="FC157" i="5"/>
  <c r="FD157" i="5"/>
  <c r="FE157" i="5"/>
  <c r="FF157" i="5"/>
  <c r="FG157" i="5"/>
  <c r="FH157" i="5"/>
  <c r="FI157" i="5"/>
  <c r="FJ157" i="5"/>
  <c r="FK157" i="5"/>
  <c r="FL157" i="5"/>
  <c r="FM157" i="5"/>
  <c r="FN157" i="5"/>
  <c r="FO157" i="5"/>
  <c r="FP157" i="5"/>
  <c r="FQ157" i="5"/>
  <c r="FR157" i="5"/>
  <c r="FS157" i="5"/>
  <c r="FT157" i="5"/>
  <c r="FU157" i="5"/>
  <c r="FV157" i="5"/>
  <c r="FW157" i="5"/>
  <c r="FX157" i="5"/>
  <c r="FY157" i="5"/>
  <c r="FZ157" i="5"/>
  <c r="GA157" i="5"/>
  <c r="GB157" i="5"/>
  <c r="GC157" i="5"/>
  <c r="GD157" i="5"/>
  <c r="GE157" i="5"/>
  <c r="GF157" i="5"/>
  <c r="GG157" i="5"/>
  <c r="GH157" i="5"/>
  <c r="GI157" i="5"/>
  <c r="GJ157" i="5"/>
  <c r="GK157" i="5"/>
  <c r="GL157" i="5"/>
  <c r="GM157" i="5"/>
  <c r="GN157" i="5"/>
  <c r="GO157" i="5"/>
  <c r="GP157" i="5"/>
  <c r="GQ157" i="5"/>
  <c r="GR157" i="5"/>
  <c r="GS157" i="5"/>
  <c r="GT157" i="5"/>
  <c r="GU157" i="5"/>
  <c r="GV157" i="5"/>
  <c r="GW157" i="5"/>
  <c r="GX157" i="5"/>
  <c r="GY157" i="5"/>
  <c r="GZ157" i="5"/>
  <c r="HA157" i="5"/>
  <c r="HB157" i="5"/>
  <c r="HC157" i="5"/>
  <c r="HD157" i="5"/>
  <c r="HE157" i="5"/>
  <c r="HF157" i="5"/>
  <c r="HH157" i="5"/>
  <c r="HI157" i="5"/>
  <c r="CE157" i="5"/>
  <c r="AQ523" i="2" l="1"/>
  <c r="AQ1086" i="2" s="1"/>
  <c r="AP1086" i="2"/>
  <c r="JZ780" i="5"/>
  <c r="AN1674" i="2"/>
  <c r="I525" i="5"/>
  <c r="I524" i="5"/>
  <c r="KC780" i="5" l="1"/>
  <c r="AO1674" i="2"/>
  <c r="AR523" i="2"/>
  <c r="KF780" i="5"/>
  <c r="I526" i="5"/>
  <c r="AS523" i="2" l="1"/>
  <c r="AR1086" i="2"/>
  <c r="AV1715" i="2"/>
  <c r="AW1715" i="2"/>
  <c r="AZ1715" i="2"/>
  <c r="BA1715" i="2"/>
  <c r="BB1715" i="2"/>
  <c r="BC1715" i="2"/>
  <c r="BD1715" i="2"/>
  <c r="BE1715" i="2"/>
  <c r="BF1715" i="2"/>
  <c r="BG1715" i="2"/>
  <c r="BH1715" i="2"/>
  <c r="BI1715" i="2"/>
  <c r="BJ1715" i="2"/>
  <c r="BK1715" i="2"/>
  <c r="BL1715" i="2"/>
  <c r="BM1715" i="2"/>
  <c r="BN1715" i="2"/>
  <c r="BO1715" i="2"/>
  <c r="BP1715" i="2"/>
  <c r="BQ1715" i="2"/>
  <c r="BR1715" i="2"/>
  <c r="BS1715" i="2"/>
  <c r="BT1715" i="2"/>
  <c r="BU1715" i="2"/>
  <c r="BV1715" i="2"/>
  <c r="BW1715" i="2"/>
  <c r="BX1715" i="2"/>
  <c r="AM1733" i="2"/>
  <c r="AO1752" i="2"/>
  <c r="AE1751" i="2"/>
  <c r="AD1753" i="2"/>
  <c r="AE1753" i="2"/>
  <c r="X1721" i="2"/>
  <c r="W1721" i="2"/>
  <c r="V1721" i="2"/>
  <c r="U1721" i="2"/>
  <c r="T1721" i="2"/>
  <c r="S1721" i="2"/>
  <c r="R1721" i="2"/>
  <c r="Q1721" i="2"/>
  <c r="P1721" i="2"/>
  <c r="O1721" i="2"/>
  <c r="N1721" i="2"/>
  <c r="M1721" i="2"/>
  <c r="L1721" i="2"/>
  <c r="K1721" i="2"/>
  <c r="J1721" i="2"/>
  <c r="I1721" i="2"/>
  <c r="H1721" i="2"/>
  <c r="G1721" i="2"/>
  <c r="F1721" i="2"/>
  <c r="AD1718" i="2"/>
  <c r="AC1718" i="2"/>
  <c r="AB1718" i="2"/>
  <c r="AA1718" i="2"/>
  <c r="Z1718" i="2"/>
  <c r="Y1718" i="2"/>
  <c r="X1718" i="2"/>
  <c r="W1718" i="2"/>
  <c r="V1718" i="2"/>
  <c r="U1718" i="2"/>
  <c r="T1718" i="2"/>
  <c r="S1718" i="2"/>
  <c r="R1718" i="2"/>
  <c r="Q1718" i="2"/>
  <c r="P1718" i="2"/>
  <c r="O1718" i="2"/>
  <c r="N1718" i="2"/>
  <c r="M1718" i="2"/>
  <c r="L1718" i="2"/>
  <c r="K1718" i="2"/>
  <c r="J1718" i="2"/>
  <c r="I1718" i="2"/>
  <c r="H1718" i="2"/>
  <c r="G1718" i="2"/>
  <c r="F1718" i="2"/>
  <c r="AC1753" i="2"/>
  <c r="AB1753" i="2"/>
  <c r="AA1753" i="2"/>
  <c r="Z1753" i="2"/>
  <c r="Y1753" i="2"/>
  <c r="X1753" i="2"/>
  <c r="W1753" i="2"/>
  <c r="V1753" i="2"/>
  <c r="U1753" i="2"/>
  <c r="T1753" i="2"/>
  <c r="S1753" i="2"/>
  <c r="R1753" i="2"/>
  <c r="Q1753" i="2"/>
  <c r="P1753" i="2"/>
  <c r="O1753" i="2"/>
  <c r="N1753" i="2"/>
  <c r="M1753" i="2"/>
  <c r="L1753" i="2"/>
  <c r="K1753" i="2"/>
  <c r="J1753" i="2"/>
  <c r="I1753" i="2"/>
  <c r="H1753" i="2"/>
  <c r="G1753" i="2"/>
  <c r="F1753" i="2"/>
  <c r="AD1750" i="2"/>
  <c r="AC1750" i="2"/>
  <c r="AB1750" i="2"/>
  <c r="AA1750" i="2"/>
  <c r="Z1750" i="2"/>
  <c r="Y1750" i="2"/>
  <c r="X1750" i="2"/>
  <c r="W1750" i="2"/>
  <c r="V1750" i="2"/>
  <c r="U1750" i="2"/>
  <c r="T1750" i="2"/>
  <c r="S1750" i="2"/>
  <c r="R1750" i="2"/>
  <c r="Q1750" i="2"/>
  <c r="P1750" i="2"/>
  <c r="O1750" i="2"/>
  <c r="N1750" i="2"/>
  <c r="M1750" i="2"/>
  <c r="L1750" i="2"/>
  <c r="K1750" i="2"/>
  <c r="J1750" i="2"/>
  <c r="I1750" i="2"/>
  <c r="H1750" i="2"/>
  <c r="G1750" i="2"/>
  <c r="F1750" i="2"/>
  <c r="KI780" i="5" l="1"/>
  <c r="AT523" i="2"/>
  <c r="AT1086" i="2" s="1"/>
  <c r="AS1086" i="2"/>
  <c r="GY1011" i="5"/>
  <c r="AV1086" i="2" l="1"/>
  <c r="AU1086" i="2" s="1"/>
  <c r="KL780" i="5"/>
  <c r="KO780" i="5"/>
  <c r="HA835" i="5"/>
  <c r="AP423" i="2" l="1"/>
  <c r="AQ423" i="2"/>
  <c r="AR423" i="2"/>
  <c r="AP421" i="2"/>
  <c r="AP1391" i="2" s="1"/>
  <c r="AQ421" i="2"/>
  <c r="AR421" i="2"/>
  <c r="AQ1295" i="2"/>
  <c r="AR1295" i="2"/>
  <c r="AS1295" i="2"/>
  <c r="AT1295" i="2"/>
  <c r="AV1295" i="2" s="1"/>
  <c r="JN977" i="5"/>
  <c r="KI1064" i="5" l="1"/>
  <c r="KG1064" i="5" s="1"/>
  <c r="KH1064" i="5" s="1"/>
  <c r="AR422" i="2"/>
  <c r="AS422" i="2"/>
  <c r="KF1064" i="5"/>
  <c r="KD1064" i="5" s="1"/>
  <c r="KE1064" i="5" s="1"/>
  <c r="AQ422" i="2"/>
  <c r="KC1064" i="5"/>
  <c r="KA1064" i="5" s="1"/>
  <c r="KB1064" i="5" s="1"/>
  <c r="AP422" i="2"/>
  <c r="AR1271" i="2"/>
  <c r="AR698" i="2"/>
  <c r="AQ1271" i="2"/>
  <c r="AQ698" i="2"/>
  <c r="AP1271" i="2"/>
  <c r="AP698" i="2"/>
  <c r="AR1288" i="2"/>
  <c r="KI967" i="5" s="1"/>
  <c r="KI974" i="5"/>
  <c r="AT1288" i="2"/>
  <c r="KO974" i="5"/>
  <c r="AS1288" i="2"/>
  <c r="KL967" i="5" s="1"/>
  <c r="KL974" i="5"/>
  <c r="KJ974" i="5" s="1"/>
  <c r="AQ1288" i="2"/>
  <c r="KF967" i="5" s="1"/>
  <c r="KF974" i="5"/>
  <c r="AP1288" i="2"/>
  <c r="KC967" i="5" s="1"/>
  <c r="KC974" i="5"/>
  <c r="KA974" i="5" s="1"/>
  <c r="AT447" i="2"/>
  <c r="AS447" i="2"/>
  <c r="AR447" i="2"/>
  <c r="AQ447" i="2"/>
  <c r="AP447" i="2"/>
  <c r="AP1303" i="2"/>
  <c r="KC978" i="5" s="1"/>
  <c r="AQ1303" i="2"/>
  <c r="KF978" i="5" s="1"/>
  <c r="AR1303" i="2"/>
  <c r="KI978" i="5" s="1"/>
  <c r="AS1303" i="2"/>
  <c r="KL978" i="5" s="1"/>
  <c r="AT1303" i="2"/>
  <c r="KO967" i="5" l="1"/>
  <c r="AV1288" i="2"/>
  <c r="AU1288" i="2" s="1"/>
  <c r="KO978" i="5"/>
  <c r="KM978" i="5" s="1"/>
  <c r="KN978" i="5" s="1"/>
  <c r="AV1303" i="2"/>
  <c r="AU1303" i="2" s="1"/>
  <c r="KA978" i="5"/>
  <c r="KA976" i="5" s="1"/>
  <c r="KB974" i="5"/>
  <c r="KB967" i="5" s="1"/>
  <c r="KA908" i="5"/>
  <c r="KA967" i="5"/>
  <c r="KD974" i="5"/>
  <c r="KE974" i="5" s="1"/>
  <c r="KE967" i="5" s="1"/>
  <c r="KK974" i="5"/>
  <c r="KK967" i="5" s="1"/>
  <c r="KJ908" i="5"/>
  <c r="KJ967" i="5"/>
  <c r="KM974" i="5"/>
  <c r="KN974" i="5" s="1"/>
  <c r="KN967" i="5" s="1"/>
  <c r="KJ978" i="5"/>
  <c r="KJ976" i="5" s="1"/>
  <c r="KG978" i="5"/>
  <c r="KG976" i="5" s="1"/>
  <c r="KG974" i="5"/>
  <c r="KH974" i="5" s="1"/>
  <c r="KH967" i="5" s="1"/>
  <c r="KD978" i="5"/>
  <c r="KD976" i="5" s="1"/>
  <c r="JY1040" i="5"/>
  <c r="JY1039" i="5"/>
  <c r="JX1040" i="5"/>
  <c r="JX1039" i="5"/>
  <c r="JV1040" i="5"/>
  <c r="JV1039" i="5"/>
  <c r="JU1040" i="5"/>
  <c r="JU1039" i="5"/>
  <c r="JS1040" i="5"/>
  <c r="JS1039" i="5"/>
  <c r="JR1040" i="5"/>
  <c r="JR1039" i="5"/>
  <c r="JP1040" i="5"/>
  <c r="JP1039" i="5"/>
  <c r="JO1040" i="5"/>
  <c r="JO1039" i="5"/>
  <c r="JM1040" i="5"/>
  <c r="JM1039" i="5"/>
  <c r="JY1038" i="5"/>
  <c r="JX1038" i="5"/>
  <c r="JV1038" i="5"/>
  <c r="JU1038" i="5"/>
  <c r="JS1038" i="5"/>
  <c r="JR1038" i="5"/>
  <c r="JP1038" i="5"/>
  <c r="JO1038" i="5"/>
  <c r="JM1038" i="5"/>
  <c r="JX1032" i="5"/>
  <c r="JX1035" i="5"/>
  <c r="JX815" i="5"/>
  <c r="JU815" i="5"/>
  <c r="BF107" i="19"/>
  <c r="BF76" i="19"/>
  <c r="BF64" i="19"/>
  <c r="BF58" i="19"/>
  <c r="BF35" i="19"/>
  <c r="BF30" i="19"/>
  <c r="BF23" i="19"/>
  <c r="BE55" i="19"/>
  <c r="BF55" i="19" s="1"/>
  <c r="BE53" i="19"/>
  <c r="BF53" i="19" s="1"/>
  <c r="BE48" i="19"/>
  <c r="BF48" i="19" s="1"/>
  <c r="BE26" i="19"/>
  <c r="BF26" i="19" s="1"/>
  <c r="AW107" i="19"/>
  <c r="AW76" i="19"/>
  <c r="AW64" i="19"/>
  <c r="AW58" i="19"/>
  <c r="AV55" i="19"/>
  <c r="AW55" i="19" s="1"/>
  <c r="AV53" i="19"/>
  <c r="AW53" i="19" s="1"/>
  <c r="AV48" i="19"/>
  <c r="AW48" i="19" s="1"/>
  <c r="AW35" i="19"/>
  <c r="AW30" i="19"/>
  <c r="AV26" i="19"/>
  <c r="AW26" i="19" s="1"/>
  <c r="AM55" i="19"/>
  <c r="AN55" i="19" s="1"/>
  <c r="AM53" i="19"/>
  <c r="AN53" i="19" s="1"/>
  <c r="AM48" i="19"/>
  <c r="AN48" i="19" s="1"/>
  <c r="AM26" i="19"/>
  <c r="AN26" i="19" s="1"/>
  <c r="AN64" i="19"/>
  <c r="AN58" i="19"/>
  <c r="AN35" i="19"/>
  <c r="AN30" i="19"/>
  <c r="AC104" i="19"/>
  <c r="JY1035" i="5"/>
  <c r="JX1031" i="5"/>
  <c r="JX1030" i="5"/>
  <c r="JY1031" i="5"/>
  <c r="JY1030" i="5"/>
  <c r="JY1032" i="5"/>
  <c r="JY1029" i="5" s="1"/>
  <c r="JV1031" i="5"/>
  <c r="JU1031" i="5"/>
  <c r="JU1030" i="5"/>
  <c r="JV1030" i="5"/>
  <c r="JS1031" i="5"/>
  <c r="JS1030" i="5"/>
  <c r="JR1031" i="5"/>
  <c r="JR1030" i="5"/>
  <c r="JP1030" i="5"/>
  <c r="JO1030" i="5"/>
  <c r="JP1032" i="5"/>
  <c r="JP1031" i="5"/>
  <c r="JO1031" i="5"/>
  <c r="JM1031" i="5"/>
  <c r="JM1030" i="5"/>
  <c r="AD48" i="19"/>
  <c r="AE48" i="19" s="1"/>
  <c r="AD53" i="19"/>
  <c r="AE53" i="19" s="1"/>
  <c r="AD55" i="19"/>
  <c r="AE55" i="19" s="1"/>
  <c r="JY874" i="5"/>
  <c r="JY873" i="5"/>
  <c r="JY872" i="5"/>
  <c r="JX874" i="5"/>
  <c r="JX873" i="5"/>
  <c r="JX872" i="5"/>
  <c r="JV874" i="5"/>
  <c r="JV873" i="5"/>
  <c r="JV872" i="5"/>
  <c r="JU874" i="5"/>
  <c r="JU873" i="5"/>
  <c r="JU872" i="5"/>
  <c r="JS874" i="5"/>
  <c r="JS873" i="5"/>
  <c r="JR874" i="5"/>
  <c r="JR873" i="5"/>
  <c r="JS872" i="5"/>
  <c r="JR872" i="5"/>
  <c r="JP874" i="5"/>
  <c r="JP873" i="5"/>
  <c r="JP872" i="5"/>
  <c r="JO874" i="5"/>
  <c r="JO873" i="5"/>
  <c r="JO872" i="5"/>
  <c r="JM874" i="5"/>
  <c r="JM873" i="5"/>
  <c r="JM872" i="5"/>
  <c r="JM870" i="5"/>
  <c r="AE64" i="19"/>
  <c r="AE35" i="19"/>
  <c r="AD26" i="19"/>
  <c r="AE26" i="19" s="1"/>
  <c r="JX1014" i="5"/>
  <c r="JX1011" i="5"/>
  <c r="JU1014" i="5"/>
  <c r="JU1011" i="5"/>
  <c r="AM1740" i="2" s="1"/>
  <c r="JR1014" i="5"/>
  <c r="JR1011" i="5"/>
  <c r="JO1014" i="5"/>
  <c r="JO1011" i="5"/>
  <c r="JI1014" i="5"/>
  <c r="JK1014" i="5" s="1"/>
  <c r="AJ1339" i="2" s="1"/>
  <c r="N105" i="19"/>
  <c r="N80" i="19"/>
  <c r="N79" i="19"/>
  <c r="N58" i="19"/>
  <c r="N55" i="19"/>
  <c r="N53" i="19"/>
  <c r="N48" i="19"/>
  <c r="N41" i="19"/>
  <c r="N35" i="19"/>
  <c r="N26" i="19"/>
  <c r="KM976" i="5" l="1"/>
  <c r="AJ1752" i="2"/>
  <c r="AL1752" i="2"/>
  <c r="AM1752" i="2"/>
  <c r="KH978" i="5"/>
  <c r="KB978" i="5"/>
  <c r="KK978" i="5"/>
  <c r="KE978" i="5"/>
  <c r="KG908" i="5"/>
  <c r="KG967" i="5"/>
  <c r="KD908" i="5"/>
  <c r="KD967" i="5"/>
  <c r="KM967" i="5"/>
  <c r="KM908" i="5"/>
  <c r="AM109" i="19"/>
  <c r="K95" i="19"/>
  <c r="AI1752" i="2"/>
  <c r="AV95" i="19"/>
  <c r="BE95" i="19"/>
  <c r="AN1752" i="2"/>
  <c r="AD95" i="19"/>
  <c r="AK1752" i="2"/>
  <c r="AV108" i="19"/>
  <c r="AV12" i="19"/>
  <c r="BE12" i="19"/>
  <c r="BE104" i="19"/>
  <c r="AD34" i="19"/>
  <c r="AM104" i="19"/>
  <c r="BE106" i="19"/>
  <c r="BE108" i="19"/>
  <c r="AV104" i="19"/>
  <c r="U109" i="19"/>
  <c r="AV109" i="19"/>
  <c r="BE109" i="19"/>
  <c r="AD109" i="19"/>
  <c r="AM34" i="19"/>
  <c r="JY1028" i="5"/>
  <c r="BE34" i="19"/>
  <c r="AD104" i="19"/>
  <c r="AV34" i="19"/>
  <c r="U34" i="19"/>
  <c r="JX1029" i="5"/>
  <c r="BE105" i="19"/>
  <c r="BE103" i="19" l="1"/>
  <c r="JX1028" i="5"/>
  <c r="JX1027" i="5" l="1"/>
  <c r="BE102" i="19"/>
  <c r="JX1019" i="5" l="1"/>
  <c r="BE101" i="19"/>
  <c r="BE97" i="19"/>
  <c r="JX878" i="5"/>
  <c r="JU878" i="5"/>
  <c r="JR878" i="5"/>
  <c r="JI976" i="5"/>
  <c r="K77" i="19" l="1"/>
  <c r="JK976" i="5"/>
  <c r="AJ1300" i="2" s="1"/>
  <c r="AV39" i="19"/>
  <c r="BE39" i="19"/>
  <c r="JI749" i="5"/>
  <c r="AO1357" i="2" l="1"/>
  <c r="JZ1032" i="5" s="1"/>
  <c r="AM78" i="19" l="1"/>
  <c r="AD78" i="19"/>
  <c r="AV78" i="19"/>
  <c r="AO1356" i="2"/>
  <c r="AN1356" i="2"/>
  <c r="AM1356" i="2"/>
  <c r="AL1356" i="2"/>
  <c r="JT1031" i="5" l="1"/>
  <c r="JW1031" i="5"/>
  <c r="JQ1031" i="5"/>
  <c r="JZ1031" i="5"/>
  <c r="W48" i="21"/>
  <c r="JN881" i="5"/>
  <c r="BA35" i="19" l="1"/>
  <c r="AU34" i="19"/>
  <c r="AU35" i="19"/>
  <c r="AR35" i="19"/>
  <c r="AL34" i="19"/>
  <c r="AL35" i="19"/>
  <c r="AI35" i="19"/>
  <c r="AK1356" i="2" l="1"/>
  <c r="AC34" i="19"/>
  <c r="AC35" i="19"/>
  <c r="T34" i="19"/>
  <c r="T35" i="19"/>
  <c r="I34" i="19"/>
  <c r="I35" i="19"/>
  <c r="Q48" i="21" l="1"/>
  <c r="R48" i="21" s="1"/>
  <c r="JN1031" i="5"/>
  <c r="AN1201" i="2"/>
  <c r="JW878" i="5"/>
  <c r="AL1201" i="2"/>
  <c r="JQ878" i="5"/>
  <c r="AM1201" i="2"/>
  <c r="JT878" i="5"/>
  <c r="AO1201" i="2"/>
  <c r="JZ878" i="5"/>
  <c r="AK1201" i="2"/>
  <c r="JN878" i="5"/>
  <c r="JZ874" i="5"/>
  <c r="JN870" i="5"/>
  <c r="AO1191" i="2"/>
  <c r="JZ872" i="5" s="1"/>
  <c r="AK1191" i="2"/>
  <c r="JN872" i="5" s="1"/>
  <c r="JN874" i="5" l="1"/>
  <c r="W35" i="19"/>
  <c r="JQ880" i="5"/>
  <c r="JN880" i="5"/>
  <c r="JZ880" i="5"/>
  <c r="JT880" i="5"/>
  <c r="JW880" i="5"/>
  <c r="Z35" i="19" l="1"/>
  <c r="Y35" i="19"/>
  <c r="JM875" i="5"/>
  <c r="U35" i="19"/>
  <c r="V35" i="19" s="1"/>
  <c r="AN1192" i="2"/>
  <c r="JW873" i="5" s="1"/>
  <c r="AO1192" i="2"/>
  <c r="JZ873" i="5" s="1"/>
  <c r="AP1192" i="2"/>
  <c r="KC873" i="5" s="1"/>
  <c r="AQ1192" i="2"/>
  <c r="KF873" i="5" s="1"/>
  <c r="AR1192" i="2"/>
  <c r="KI873" i="5" s="1"/>
  <c r="AS1192" i="2"/>
  <c r="KL873" i="5" s="1"/>
  <c r="AT1192" i="2"/>
  <c r="KO873" i="5" l="1"/>
  <c r="AV1192" i="2"/>
  <c r="BD41" i="19"/>
  <c r="BG40" i="19"/>
  <c r="AU41" i="19"/>
  <c r="AX40" i="19"/>
  <c r="AL41" i="19"/>
  <c r="AO40" i="19"/>
  <c r="AC41" i="19"/>
  <c r="AF40" i="19"/>
  <c r="AH40" i="19" l="1"/>
  <c r="BA40" i="19"/>
  <c r="AZ40" i="19"/>
  <c r="BJ40" i="19"/>
  <c r="BI40" i="19"/>
  <c r="AR40" i="19"/>
  <c r="AQ40" i="19"/>
  <c r="AC40" i="19"/>
  <c r="AL40" i="19"/>
  <c r="AU40" i="19"/>
  <c r="BD40" i="19"/>
  <c r="AK1361" i="2" l="1"/>
  <c r="JN1036" i="5" s="1"/>
  <c r="AK1364" i="2" l="1"/>
  <c r="AL1364" i="2"/>
  <c r="AM1364" i="2"/>
  <c r="AN1364" i="2"/>
  <c r="AO1364" i="2"/>
  <c r="AP1191" i="2"/>
  <c r="KC872" i="5" s="1"/>
  <c r="AQ1191" i="2"/>
  <c r="KF872" i="5" s="1"/>
  <c r="AR1191" i="2"/>
  <c r="KI872" i="5" s="1"/>
  <c r="AS1191" i="2"/>
  <c r="KL872" i="5" s="1"/>
  <c r="AT1191" i="2"/>
  <c r="JQ871" i="5"/>
  <c r="AM1190" i="2"/>
  <c r="JW871" i="5"/>
  <c r="AO1190" i="2"/>
  <c r="AK1190" i="2"/>
  <c r="JT871" i="5" l="1"/>
  <c r="T78" i="21"/>
  <c r="U78" i="21" s="1"/>
  <c r="JZ871" i="5"/>
  <c r="JZ1039" i="5"/>
  <c r="Q78" i="21"/>
  <c r="R78" i="21" s="1"/>
  <c r="JQ1039" i="5"/>
  <c r="JW1039" i="5"/>
  <c r="W78" i="21"/>
  <c r="JT1039" i="5"/>
  <c r="V78" i="21"/>
  <c r="KO872" i="5"/>
  <c r="AV1191" i="2"/>
  <c r="JN1039" i="5"/>
  <c r="JN871" i="5"/>
  <c r="BG34" i="19"/>
  <c r="BF34" i="19" l="1"/>
  <c r="BI34" i="19"/>
  <c r="BJ34" i="19"/>
  <c r="AM705" i="2" l="1"/>
  <c r="AM704" i="2"/>
  <c r="AM1192" i="2" s="1"/>
  <c r="JT873" i="5" s="1"/>
  <c r="AL1192" i="2"/>
  <c r="JQ873" i="5" s="1"/>
  <c r="AK1192" i="2"/>
  <c r="AN1191" i="2"/>
  <c r="AN702" i="2"/>
  <c r="AN1363" i="2" s="1"/>
  <c r="AM702" i="2"/>
  <c r="AM1363" i="2" s="1"/>
  <c r="AO1196" i="2"/>
  <c r="JZ876" i="5" l="1"/>
  <c r="JT1038" i="5"/>
  <c r="V77" i="21"/>
  <c r="JW1038" i="5"/>
  <c r="W77" i="21"/>
  <c r="JN873" i="5"/>
  <c r="W34" i="19"/>
  <c r="JT874" i="5"/>
  <c r="V71" i="21"/>
  <c r="JQ874" i="5"/>
  <c r="T71" i="21"/>
  <c r="JW874" i="5"/>
  <c r="W71" i="21"/>
  <c r="JW872" i="5"/>
  <c r="AL1191" i="2"/>
  <c r="AM1191" i="2"/>
  <c r="JT872" i="5" l="1"/>
  <c r="U71" i="21"/>
  <c r="JQ872" i="5"/>
  <c r="AF34" i="19"/>
  <c r="V34" i="19"/>
  <c r="Y34" i="19"/>
  <c r="JT870" i="5"/>
  <c r="JW870" i="5"/>
  <c r="JQ870" i="5"/>
  <c r="AO34" i="19"/>
  <c r="AX34" i="19"/>
  <c r="Z34" i="19"/>
  <c r="AO706" i="2"/>
  <c r="AO1305" i="2" s="1"/>
  <c r="AO1361" i="2"/>
  <c r="JZ1036" i="5" s="1"/>
  <c r="AN1361" i="2"/>
  <c r="JW1036" i="5" s="1"/>
  <c r="AM1361" i="2"/>
  <c r="JT1036" i="5" s="1"/>
  <c r="AL1361" i="2"/>
  <c r="JQ1036" i="5" s="1"/>
  <c r="BA34" i="19" l="1"/>
  <c r="AZ34" i="19"/>
  <c r="AN34" i="19"/>
  <c r="AQ34" i="19"/>
  <c r="AI34" i="19"/>
  <c r="AH34" i="19"/>
  <c r="AR34" i="19"/>
  <c r="AE34" i="19"/>
  <c r="AW34" i="19"/>
  <c r="U55" i="19"/>
  <c r="V55" i="19" s="1"/>
  <c r="U53" i="19"/>
  <c r="V53" i="19" s="1"/>
  <c r="U48" i="19"/>
  <c r="V48" i="19" s="1"/>
  <c r="U26" i="19"/>
  <c r="V26" i="19" s="1"/>
  <c r="AM1303" i="2" l="1"/>
  <c r="JT980" i="5"/>
  <c r="JS980" i="5" s="1"/>
  <c r="JQ978" i="5"/>
  <c r="JQ980" i="5"/>
  <c r="JP980" i="5" s="1"/>
  <c r="AO1303" i="2"/>
  <c r="JZ980" i="5"/>
  <c r="AN1303" i="2"/>
  <c r="JW980" i="5"/>
  <c r="JV980" i="5" s="1"/>
  <c r="AK1303" i="2"/>
  <c r="JN980" i="5"/>
  <c r="JM980" i="5" s="1"/>
  <c r="T26" i="19"/>
  <c r="T30" i="19"/>
  <c r="I30" i="19"/>
  <c r="O30" i="19"/>
  <c r="N30" i="19" s="1"/>
  <c r="Q110" i="21" l="1"/>
  <c r="R110" i="21" s="1"/>
  <c r="JZ978" i="5"/>
  <c r="JW978" i="5"/>
  <c r="W110" i="21"/>
  <c r="JT978" i="5"/>
  <c r="V110" i="21"/>
  <c r="JN978" i="5"/>
  <c r="W78" i="19"/>
  <c r="AQ126" i="18"/>
  <c r="AP126" i="18"/>
  <c r="AR126" i="18" s="1"/>
  <c r="AN126" i="18"/>
  <c r="AM126" i="18"/>
  <c r="AO126" i="18" s="1"/>
  <c r="AK126" i="18"/>
  <c r="AJ126" i="18"/>
  <c r="AL126" i="18" s="1"/>
  <c r="AH126" i="18"/>
  <c r="AH63" i="18" s="1"/>
  <c r="AG126" i="18"/>
  <c r="AI126" i="18" s="1"/>
  <c r="AE126" i="18"/>
  <c r="AD126" i="18"/>
  <c r="AB126" i="18"/>
  <c r="AA126" i="18"/>
  <c r="AC126" i="18" s="1"/>
  <c r="Y126" i="18"/>
  <c r="X126" i="18"/>
  <c r="V126" i="18"/>
  <c r="V63" i="18" s="1"/>
  <c r="U126" i="18"/>
  <c r="S126" i="18"/>
  <c r="S63" i="18" s="1"/>
  <c r="R126" i="18"/>
  <c r="T126" i="18" s="1"/>
  <c r="P126" i="18"/>
  <c r="O126" i="18"/>
  <c r="M126" i="18"/>
  <c r="L126" i="18"/>
  <c r="J126" i="18"/>
  <c r="I126" i="18"/>
  <c r="H126" i="18"/>
  <c r="F126" i="18"/>
  <c r="D126" i="18"/>
  <c r="D63" i="18" s="1"/>
  <c r="C126" i="18"/>
  <c r="C63" i="18" s="1"/>
  <c r="AR125" i="18"/>
  <c r="AO125" i="18"/>
  <c r="AL125" i="18"/>
  <c r="AI125" i="18"/>
  <c r="AF125" i="18"/>
  <c r="AC125" i="18"/>
  <c r="Z125" i="18"/>
  <c r="W125" i="18"/>
  <c r="T125" i="18"/>
  <c r="Q125" i="18"/>
  <c r="N125" i="18"/>
  <c r="K125" i="18"/>
  <c r="AR124" i="18"/>
  <c r="AO124" i="18"/>
  <c r="AL124" i="18"/>
  <c r="AI124" i="18"/>
  <c r="AF124" i="18"/>
  <c r="AC124" i="18"/>
  <c r="Z124" i="18"/>
  <c r="W124" i="18"/>
  <c r="T124" i="18"/>
  <c r="Q124" i="18"/>
  <c r="N124" i="18"/>
  <c r="K124" i="18"/>
  <c r="AR123" i="18"/>
  <c r="AO123" i="18"/>
  <c r="AL123" i="18"/>
  <c r="AI123" i="18"/>
  <c r="AF123" i="18"/>
  <c r="AC123" i="18"/>
  <c r="Z123" i="18"/>
  <c r="W123" i="18"/>
  <c r="T123" i="18"/>
  <c r="Q123" i="18"/>
  <c r="N123" i="18"/>
  <c r="K123" i="18"/>
  <c r="AQ122" i="18"/>
  <c r="AQ63" i="18" s="1"/>
  <c r="AP122" i="18"/>
  <c r="AP63" i="18" s="1"/>
  <c r="AN122" i="18"/>
  <c r="AN63" i="18" s="1"/>
  <c r="AM122" i="18"/>
  <c r="AM63" i="18" s="1"/>
  <c r="AK122" i="18"/>
  <c r="AK63" i="18" s="1"/>
  <c r="AJ122" i="18"/>
  <c r="AH122" i="18"/>
  <c r="AG122" i="18"/>
  <c r="AE122" i="18"/>
  <c r="AD122" i="18"/>
  <c r="AF122" i="18" s="1"/>
  <c r="AB122" i="18"/>
  <c r="AA122" i="18"/>
  <c r="Y122" i="18"/>
  <c r="X122" i="18"/>
  <c r="Z122" i="18" s="1"/>
  <c r="V122" i="18"/>
  <c r="U122" i="18"/>
  <c r="S122" i="18"/>
  <c r="R122" i="18"/>
  <c r="P122" i="18"/>
  <c r="O122" i="18"/>
  <c r="Q122" i="18" s="1"/>
  <c r="M122" i="18"/>
  <c r="M63" i="18" s="1"/>
  <c r="L122" i="18"/>
  <c r="N122" i="18" s="1"/>
  <c r="J122" i="18"/>
  <c r="I122" i="18"/>
  <c r="K122" i="18" s="1"/>
  <c r="H122" i="18"/>
  <c r="AR121" i="18"/>
  <c r="AO121" i="18"/>
  <c r="AL121" i="18"/>
  <c r="AI121" i="18"/>
  <c r="AF121" i="18"/>
  <c r="AC121" i="18"/>
  <c r="Z121" i="18"/>
  <c r="W121" i="18"/>
  <c r="T121" i="18"/>
  <c r="Q121" i="18"/>
  <c r="N121" i="18"/>
  <c r="K121" i="18"/>
  <c r="G63" i="18"/>
  <c r="F63" i="18"/>
  <c r="E63" i="18"/>
  <c r="H63" i="18"/>
  <c r="AJ63" i="18"/>
  <c r="J59" i="18"/>
  <c r="J3" i="18" s="1"/>
  <c r="I59" i="18"/>
  <c r="I3" i="18" s="1"/>
  <c r="C3" i="18"/>
  <c r="D3" i="18"/>
  <c r="G3" i="18"/>
  <c r="Q59" i="18"/>
  <c r="T59" i="18"/>
  <c r="W59" i="18"/>
  <c r="Z59" i="18"/>
  <c r="AC59" i="18"/>
  <c r="AC3" i="18" s="1"/>
  <c r="AL59" i="18"/>
  <c r="AL3" i="18" s="1"/>
  <c r="AO59" i="18"/>
  <c r="AO3" i="18" s="1"/>
  <c r="AR59" i="18"/>
  <c r="C59" i="18"/>
  <c r="D59" i="18"/>
  <c r="E59" i="18"/>
  <c r="E3" i="18" s="1"/>
  <c r="F59" i="18"/>
  <c r="K59" i="18"/>
  <c r="AF59" i="18"/>
  <c r="AF3" i="18" s="1"/>
  <c r="N59" i="18"/>
  <c r="G59" i="18"/>
  <c r="H59" i="18"/>
  <c r="H3" i="18" s="1"/>
  <c r="L59" i="18"/>
  <c r="L3" i="18" s="1"/>
  <c r="M59" i="18"/>
  <c r="M3" i="18" s="1"/>
  <c r="O59" i="18"/>
  <c r="O3" i="18" s="1"/>
  <c r="P59" i="18"/>
  <c r="P3" i="18" s="1"/>
  <c r="R59" i="18"/>
  <c r="R3" i="18" s="1"/>
  <c r="S59" i="18"/>
  <c r="S3" i="18" s="1"/>
  <c r="U59" i="18"/>
  <c r="U3" i="18" s="1"/>
  <c r="V59" i="18"/>
  <c r="V3" i="18" s="1"/>
  <c r="X59" i="18"/>
  <c r="X3" i="18" s="1"/>
  <c r="Y59" i="18"/>
  <c r="Y3" i="18" s="1"/>
  <c r="AA59" i="18"/>
  <c r="AA3" i="18" s="1"/>
  <c r="AB59" i="18"/>
  <c r="AB3" i="18" s="1"/>
  <c r="AD59" i="18"/>
  <c r="AD3" i="18" s="1"/>
  <c r="AE59" i="18"/>
  <c r="AE3" i="18" s="1"/>
  <c r="AG59" i="18"/>
  <c r="AG3" i="18" s="1"/>
  <c r="AH59" i="18"/>
  <c r="AH3" i="18" s="1"/>
  <c r="AI59" i="18"/>
  <c r="AI3" i="18" s="1"/>
  <c r="AJ59" i="18"/>
  <c r="AJ3" i="18" s="1"/>
  <c r="AK59" i="18"/>
  <c r="AK3" i="18" s="1"/>
  <c r="AM59" i="18"/>
  <c r="AM3" i="18" s="1"/>
  <c r="AN59" i="18"/>
  <c r="AN3" i="18" s="1"/>
  <c r="AP59" i="18"/>
  <c r="AP3" i="18" s="1"/>
  <c r="AQ59" i="18"/>
  <c r="AQ3" i="18" s="1"/>
  <c r="W80" i="19" l="1"/>
  <c r="Y80" i="19" s="1"/>
  <c r="Y78" i="19"/>
  <c r="W36" i="19"/>
  <c r="Y36" i="19" s="1"/>
  <c r="AK1188" i="2"/>
  <c r="W32" i="19" s="1"/>
  <c r="Y32" i="19" s="1"/>
  <c r="W126" i="18"/>
  <c r="X63" i="18"/>
  <c r="AE63" i="18"/>
  <c r="AL122" i="18"/>
  <c r="AL63" i="18" s="1"/>
  <c r="AF126" i="18"/>
  <c r="AF63" i="18" s="1"/>
  <c r="J63" i="18"/>
  <c r="W122" i="18"/>
  <c r="W63" i="18" s="1"/>
  <c r="JN876" i="5"/>
  <c r="T122" i="18"/>
  <c r="L63" i="18"/>
  <c r="AR122" i="18"/>
  <c r="AR63" i="18" s="1"/>
  <c r="P63" i="18"/>
  <c r="AK1753" i="2"/>
  <c r="AO1753" i="2"/>
  <c r="AL1753" i="2"/>
  <c r="AG63" i="18"/>
  <c r="AO122" i="18"/>
  <c r="AO63" i="18" s="1"/>
  <c r="AM1753" i="2"/>
  <c r="AM1741" i="2"/>
  <c r="G126" i="18"/>
  <c r="K126" i="18"/>
  <c r="K63" i="18" s="1"/>
  <c r="Z126" i="18"/>
  <c r="Z63" i="18" s="1"/>
  <c r="AA63" i="18"/>
  <c r="N126" i="18"/>
  <c r="N63" i="18" s="1"/>
  <c r="U63" i="18"/>
  <c r="AB63" i="18"/>
  <c r="R63" i="18"/>
  <c r="Q126" i="18"/>
  <c r="Q63" i="18" s="1"/>
  <c r="Y63" i="18"/>
  <c r="AI122" i="18"/>
  <c r="AI63" i="18" s="1"/>
  <c r="AC122" i="18"/>
  <c r="AC63" i="18" s="1"/>
  <c r="T63" i="18"/>
  <c r="I63" i="18"/>
  <c r="AD63" i="18"/>
  <c r="O63" i="18"/>
  <c r="T3" i="18"/>
  <c r="F3" i="18"/>
  <c r="Q3" i="18"/>
  <c r="Z3" i="18"/>
  <c r="N3" i="18"/>
  <c r="K3" i="18"/>
  <c r="AJ1753" i="2" s="1"/>
  <c r="W3" i="18"/>
  <c r="AN1753" i="2" s="1"/>
  <c r="AR3" i="18"/>
  <c r="AL1360" i="2"/>
  <c r="AK1360" i="2"/>
  <c r="Q50" i="21" l="1"/>
  <c r="R50" i="21" s="1"/>
  <c r="T50" i="21"/>
  <c r="T43" i="21" s="1"/>
  <c r="JQ1035" i="5"/>
  <c r="JN1035" i="5"/>
  <c r="W106" i="19"/>
  <c r="Y106" i="19" s="1"/>
  <c r="AJ447" i="2"/>
  <c r="AJ506" i="2"/>
  <c r="AJ502" i="2"/>
  <c r="AJ451" i="2"/>
  <c r="AJ697" i="2"/>
  <c r="JZ841" i="5"/>
  <c r="Q43" i="21" l="1"/>
  <c r="R43" i="21" s="1"/>
  <c r="U50" i="21"/>
  <c r="U43" i="21"/>
  <c r="AD1673" i="2"/>
  <c r="AC1673" i="2"/>
  <c r="AB1673" i="2"/>
  <c r="AA1673" i="2"/>
  <c r="Z1673" i="2"/>
  <c r="Y1673" i="2"/>
  <c r="X1673" i="2"/>
  <c r="AS1672" i="2"/>
  <c r="AR1672" i="2"/>
  <c r="AQ1672" i="2"/>
  <c r="AP1672" i="2"/>
  <c r="AG1672" i="2"/>
  <c r="AF1672" i="2"/>
  <c r="AE1672" i="2"/>
  <c r="AD1672" i="2"/>
  <c r="AC1672" i="2"/>
  <c r="AB1672" i="2"/>
  <c r="AA1672" i="2"/>
  <c r="Z1672" i="2"/>
  <c r="Y1672" i="2"/>
  <c r="X1672" i="2"/>
  <c r="W1658" i="2"/>
  <c r="Z1650" i="2"/>
  <c r="AA1650" i="2"/>
  <c r="AB1650" i="2"/>
  <c r="AC1650" i="2"/>
  <c r="AD1650" i="2"/>
  <c r="AE1650" i="2"/>
  <c r="AF1650" i="2"/>
  <c r="AJ1647" i="2"/>
  <c r="AK1647" i="2"/>
  <c r="AL1647" i="2"/>
  <c r="AM1647" i="2"/>
  <c r="AN1647" i="2"/>
  <c r="AO1647" i="2"/>
  <c r="AP1647" i="2"/>
  <c r="AQ1647" i="2"/>
  <c r="AR1647" i="2"/>
  <c r="AS1647" i="2"/>
  <c r="AP1650" i="2"/>
  <c r="AQ1650" i="2"/>
  <c r="AR1650" i="2"/>
  <c r="AS1650" i="2"/>
  <c r="AK436" i="2" l="1"/>
  <c r="AK532" i="2" s="1"/>
  <c r="AL1071" i="2"/>
  <c r="JQ765" i="5" s="1"/>
  <c r="JO765" i="5" s="1"/>
  <c r="AM1207" i="2" l="1"/>
  <c r="JT886" i="5" l="1"/>
  <c r="V88" i="21"/>
  <c r="IZ1020" i="5"/>
  <c r="JA1015" i="5"/>
  <c r="AK1131" i="2" l="1"/>
  <c r="AO1131" i="2"/>
  <c r="AN1131" i="2"/>
  <c r="AM1131" i="2"/>
  <c r="AL1131" i="2"/>
  <c r="GD1233" i="5"/>
  <c r="GE1233" i="5"/>
  <c r="GF1233" i="5"/>
  <c r="GG1233" i="5"/>
  <c r="GH1233" i="5"/>
  <c r="GD1234" i="5"/>
  <c r="GE1234" i="5"/>
  <c r="GF1234" i="5"/>
  <c r="GG1234" i="5"/>
  <c r="GH1234" i="5"/>
  <c r="GD1235" i="5"/>
  <c r="GE1235" i="5"/>
  <c r="GF1235" i="5"/>
  <c r="GG1235" i="5"/>
  <c r="GH1235" i="5"/>
  <c r="GD1236" i="5"/>
  <c r="GE1236" i="5"/>
  <c r="GF1236" i="5"/>
  <c r="GG1236" i="5"/>
  <c r="GH1236" i="5"/>
  <c r="GD1237" i="5"/>
  <c r="GE1237" i="5"/>
  <c r="GF1237" i="5"/>
  <c r="GG1237" i="5"/>
  <c r="GH1237" i="5"/>
  <c r="GD1238" i="5"/>
  <c r="GE1238" i="5"/>
  <c r="GF1238" i="5"/>
  <c r="GG1238" i="5"/>
  <c r="GH1238" i="5"/>
  <c r="GD1239" i="5"/>
  <c r="GE1239" i="5"/>
  <c r="GF1239" i="5"/>
  <c r="GG1239" i="5"/>
  <c r="GH1239" i="5"/>
  <c r="GD1240" i="5"/>
  <c r="GE1240" i="5"/>
  <c r="GF1240" i="5"/>
  <c r="GG1240" i="5"/>
  <c r="GH1240" i="5"/>
  <c r="GD1243" i="5"/>
  <c r="GE1243" i="5"/>
  <c r="GF1243" i="5"/>
  <c r="GG1243" i="5"/>
  <c r="GH1243" i="5"/>
  <c r="GD1244" i="5"/>
  <c r="GE1244" i="5"/>
  <c r="GF1244" i="5"/>
  <c r="GG1244" i="5"/>
  <c r="GH1244" i="5"/>
  <c r="GD1245" i="5"/>
  <c r="GE1245" i="5"/>
  <c r="GF1245" i="5"/>
  <c r="GG1245" i="5"/>
  <c r="GH1245" i="5"/>
  <c r="GD1246" i="5"/>
  <c r="GE1246" i="5"/>
  <c r="GF1246" i="5"/>
  <c r="GG1246" i="5"/>
  <c r="GH1246" i="5"/>
  <c r="GD1247" i="5"/>
  <c r="GE1247" i="5"/>
  <c r="GF1247" i="5"/>
  <c r="GG1247" i="5"/>
  <c r="GH1247" i="5"/>
  <c r="GD1248" i="5"/>
  <c r="GE1248" i="5"/>
  <c r="GF1248" i="5"/>
  <c r="GG1248" i="5"/>
  <c r="GH1248" i="5"/>
  <c r="GD1250" i="5"/>
  <c r="GE1250" i="5"/>
  <c r="GF1250" i="5"/>
  <c r="GG1250" i="5"/>
  <c r="GH1250" i="5"/>
  <c r="GD1252" i="5"/>
  <c r="GE1252" i="5"/>
  <c r="GF1252" i="5"/>
  <c r="GG1252" i="5"/>
  <c r="GH1252" i="5"/>
  <c r="GU1252" i="5"/>
  <c r="GV1252" i="5"/>
  <c r="GW1252" i="5"/>
  <c r="GX1252" i="5"/>
  <c r="GY1252" i="5"/>
  <c r="GZ1252" i="5"/>
  <c r="HA1252" i="5"/>
  <c r="HB1252" i="5"/>
  <c r="HC1252" i="5"/>
  <c r="HD1252" i="5"/>
  <c r="HE1252" i="5"/>
  <c r="HF1252" i="5"/>
  <c r="HG1252" i="5"/>
  <c r="HH1252" i="5"/>
  <c r="HI1252" i="5"/>
  <c r="HJ1252" i="5"/>
  <c r="HK1252" i="5"/>
  <c r="HL1252" i="5"/>
  <c r="GD1253" i="5"/>
  <c r="GE1253" i="5"/>
  <c r="GF1253" i="5"/>
  <c r="GG1253" i="5"/>
  <c r="GH1253" i="5"/>
  <c r="GD1255" i="5"/>
  <c r="GE1255" i="5"/>
  <c r="GF1255" i="5"/>
  <c r="GG1255" i="5"/>
  <c r="GH1255" i="5"/>
  <c r="FW1250" i="5"/>
  <c r="FX1250" i="5"/>
  <c r="FY1250" i="5"/>
  <c r="FZ1250" i="5"/>
  <c r="GA1250" i="5"/>
  <c r="GB1250" i="5"/>
  <c r="GC1250" i="5"/>
  <c r="FW1252" i="5"/>
  <c r="FX1252" i="5"/>
  <c r="FY1252" i="5"/>
  <c r="FZ1252" i="5"/>
  <c r="GA1252" i="5"/>
  <c r="GB1252" i="5"/>
  <c r="GC1252" i="5"/>
  <c r="FW1253" i="5"/>
  <c r="FX1253" i="5"/>
  <c r="FY1253" i="5"/>
  <c r="FZ1253" i="5"/>
  <c r="GA1253" i="5"/>
  <c r="GB1253" i="5"/>
  <c r="GC1253" i="5"/>
  <c r="FW1255" i="5"/>
  <c r="FX1255" i="5"/>
  <c r="FY1255" i="5"/>
  <c r="FZ1255" i="5"/>
  <c r="GA1255" i="5"/>
  <c r="GB1255" i="5"/>
  <c r="GC1255" i="5"/>
  <c r="GB1244" i="5"/>
  <c r="GC1244" i="5"/>
  <c r="FW1245" i="5"/>
  <c r="FX1245" i="5"/>
  <c r="FY1245" i="5"/>
  <c r="FZ1245" i="5"/>
  <c r="GA1245" i="5"/>
  <c r="GB1245" i="5"/>
  <c r="GC1245" i="5"/>
  <c r="FW1246" i="5"/>
  <c r="FX1246" i="5"/>
  <c r="FY1246" i="5"/>
  <c r="FZ1246" i="5"/>
  <c r="GA1246" i="5"/>
  <c r="GB1246" i="5"/>
  <c r="GC1246" i="5"/>
  <c r="FW1247" i="5"/>
  <c r="FX1247" i="5"/>
  <c r="FY1247" i="5"/>
  <c r="FZ1247" i="5"/>
  <c r="GA1247" i="5"/>
  <c r="GB1247" i="5"/>
  <c r="GC1247" i="5"/>
  <c r="FW1248" i="5"/>
  <c r="FX1248" i="5"/>
  <c r="FY1248" i="5"/>
  <c r="FZ1248" i="5"/>
  <c r="GA1248" i="5"/>
  <c r="GB1248" i="5"/>
  <c r="GC1248" i="5"/>
  <c r="FW1244" i="5"/>
  <c r="FX1244" i="5"/>
  <c r="FY1244" i="5"/>
  <c r="FZ1244" i="5"/>
  <c r="GA1244" i="5"/>
  <c r="FW1243" i="5"/>
  <c r="FX1243" i="5"/>
  <c r="FY1243" i="5"/>
  <c r="FZ1243" i="5"/>
  <c r="GA1243" i="5"/>
  <c r="GB1243" i="5"/>
  <c r="GC1243" i="5"/>
  <c r="FW1239" i="5"/>
  <c r="FX1239" i="5"/>
  <c r="FY1239" i="5"/>
  <c r="FZ1239" i="5"/>
  <c r="GA1239" i="5"/>
  <c r="GB1239" i="5"/>
  <c r="GC1239" i="5"/>
  <c r="FW1240" i="5"/>
  <c r="FX1240" i="5"/>
  <c r="FY1240" i="5"/>
  <c r="FZ1240" i="5"/>
  <c r="GA1240" i="5"/>
  <c r="GB1240" i="5"/>
  <c r="GC1240" i="5"/>
  <c r="FW1238" i="5"/>
  <c r="FX1238" i="5"/>
  <c r="FY1238" i="5"/>
  <c r="FZ1238" i="5"/>
  <c r="GA1238" i="5"/>
  <c r="GB1238" i="5"/>
  <c r="GC1238" i="5"/>
  <c r="FW1237" i="5"/>
  <c r="FX1237" i="5"/>
  <c r="FY1237" i="5"/>
  <c r="FZ1237" i="5"/>
  <c r="GA1237" i="5"/>
  <c r="GB1237" i="5"/>
  <c r="FW1236" i="5"/>
  <c r="FX1236" i="5"/>
  <c r="FY1236" i="5"/>
  <c r="FZ1236" i="5"/>
  <c r="GA1236" i="5"/>
  <c r="GB1236" i="5"/>
  <c r="GC1236" i="5"/>
  <c r="FW1235" i="5"/>
  <c r="FX1235" i="5"/>
  <c r="FY1235" i="5"/>
  <c r="FZ1235" i="5"/>
  <c r="GA1235" i="5"/>
  <c r="GB1235" i="5"/>
  <c r="GC1235" i="5"/>
  <c r="GC1233" i="5"/>
  <c r="FW1234" i="5"/>
  <c r="FX1234" i="5"/>
  <c r="FY1234" i="5"/>
  <c r="FZ1234" i="5"/>
  <c r="GA1234" i="5"/>
  <c r="GB1234" i="5"/>
  <c r="GC1234" i="5"/>
  <c r="FW1233" i="5"/>
  <c r="FX1233" i="5"/>
  <c r="FY1233" i="5"/>
  <c r="FZ1233" i="5"/>
  <c r="GA1233" i="5"/>
  <c r="GB1233" i="5"/>
  <c r="T42" i="21" l="1"/>
  <c r="U42" i="21" s="1"/>
  <c r="JZ825" i="5"/>
  <c r="Q42" i="21"/>
  <c r="R42" i="21" s="1"/>
  <c r="JQ825" i="5"/>
  <c r="JT825" i="5"/>
  <c r="V42" i="21"/>
  <c r="JW825" i="5"/>
  <c r="W42" i="21"/>
  <c r="JN825" i="5"/>
  <c r="W17" i="19"/>
  <c r="Y17" i="19" s="1"/>
  <c r="GE1254" i="5"/>
  <c r="GE1256" i="5" s="1"/>
  <c r="GC1254" i="5"/>
  <c r="GC1256" i="5" s="1"/>
  <c r="GD1254" i="5"/>
  <c r="GD1256" i="5" s="1"/>
  <c r="FZ1232" i="5"/>
  <c r="GA1232" i="5"/>
  <c r="FX1254" i="5"/>
  <c r="FX1256" i="5" s="1"/>
  <c r="FW1254" i="5"/>
  <c r="FW1256" i="5" s="1"/>
  <c r="GF1254" i="5"/>
  <c r="GF1256" i="5" s="1"/>
  <c r="GF1242" i="5"/>
  <c r="GE1242" i="5"/>
  <c r="GB1242" i="5"/>
  <c r="GD1242" i="5"/>
  <c r="GF1232" i="5"/>
  <c r="GE1232" i="5"/>
  <c r="GD1232" i="5"/>
  <c r="FY1232" i="5"/>
  <c r="GH1232" i="5"/>
  <c r="FX1232" i="5"/>
  <c r="GG1232" i="5"/>
  <c r="FW1232" i="5"/>
  <c r="GB1254" i="5"/>
  <c r="GB1256" i="5" s="1"/>
  <c r="GA1254" i="5"/>
  <c r="GA1256" i="5" s="1"/>
  <c r="FZ1254" i="5"/>
  <c r="FZ1256" i="5" s="1"/>
  <c r="GH1254" i="5"/>
  <c r="GH1256" i="5" s="1"/>
  <c r="GH1242" i="5"/>
  <c r="FY1254" i="5"/>
  <c r="FY1256" i="5" s="1"/>
  <c r="GG1254" i="5"/>
  <c r="GG1256" i="5" s="1"/>
  <c r="GG1242" i="5"/>
  <c r="GB1232" i="5"/>
  <c r="GC1242" i="5"/>
  <c r="GA1242" i="5"/>
  <c r="FZ1242" i="5"/>
  <c r="FY1242" i="5"/>
  <c r="FX1242" i="5"/>
  <c r="FW1242" i="5"/>
  <c r="H68" i="19"/>
  <c r="L105" i="19"/>
  <c r="L100" i="19"/>
  <c r="L99" i="19"/>
  <c r="L98" i="19"/>
  <c r="L95" i="19"/>
  <c r="L82" i="19"/>
  <c r="L81" i="19"/>
  <c r="L80" i="19"/>
  <c r="L79" i="19"/>
  <c r="L78" i="19"/>
  <c r="L77" i="19"/>
  <c r="L64" i="19"/>
  <c r="L55" i="19"/>
  <c r="L53" i="19"/>
  <c r="L48" i="19"/>
  <c r="L42" i="19"/>
  <c r="L41" i="19"/>
  <c r="L31" i="19"/>
  <c r="L30" i="19"/>
  <c r="L29" i="19"/>
  <c r="L26" i="19"/>
  <c r="M66" i="19"/>
  <c r="M67" i="19" s="1"/>
  <c r="J66" i="19"/>
  <c r="J67" i="19" s="1"/>
  <c r="J69" i="19" s="1"/>
  <c r="L69" i="19" s="1"/>
  <c r="J68" i="19" l="1"/>
  <c r="M68" i="19"/>
  <c r="H60" i="19"/>
  <c r="H59" i="19"/>
  <c r="M60" i="19"/>
  <c r="J60" i="19"/>
  <c r="M59" i="19"/>
  <c r="J59" i="19"/>
  <c r="BJ79" i="19" l="1"/>
  <c r="BA79" i="19"/>
  <c r="BD79" i="19"/>
  <c r="BD80" i="19"/>
  <c r="AU79" i="19"/>
  <c r="AU80" i="19"/>
  <c r="AR79" i="19"/>
  <c r="AL79" i="19"/>
  <c r="AL80" i="19"/>
  <c r="AI79" i="19"/>
  <c r="AC79" i="19"/>
  <c r="AC80" i="19"/>
  <c r="T79" i="19"/>
  <c r="T80" i="19"/>
  <c r="Z79" i="19"/>
  <c r="Q79" i="19"/>
  <c r="Q80" i="19"/>
  <c r="I79" i="19"/>
  <c r="I80" i="19"/>
  <c r="AC68" i="19" l="1"/>
  <c r="BD67" i="19"/>
  <c r="AU67" i="19"/>
  <c r="AL67" i="19"/>
  <c r="AC67" i="19"/>
  <c r="T68" i="19"/>
  <c r="I67" i="19"/>
  <c r="BJ107" i="19" l="1"/>
  <c r="BA107" i="19"/>
  <c r="BJ76" i="19"/>
  <c r="BA76" i="19"/>
  <c r="AL78" i="19"/>
  <c r="AL81" i="19"/>
  <c r="AL107" i="19"/>
  <c r="AL76" i="19"/>
  <c r="T40" i="19"/>
  <c r="T41" i="19"/>
  <c r="AR26" i="19"/>
  <c r="BA26" i="19"/>
  <c r="BJ26" i="19"/>
  <c r="AO1209" i="2"/>
  <c r="AN1209" i="2"/>
  <c r="AM1209" i="2"/>
  <c r="AO1208" i="2"/>
  <c r="AN1208" i="2"/>
  <c r="AM1208" i="2"/>
  <c r="AO1207" i="2"/>
  <c r="AN1207" i="2"/>
  <c r="AO45" i="19"/>
  <c r="AQ45" i="19" s="1"/>
  <c r="AS30" i="19"/>
  <c r="BJ48" i="19"/>
  <c r="BJ53" i="19"/>
  <c r="BA48" i="19"/>
  <c r="AR48" i="19"/>
  <c r="AR55" i="19"/>
  <c r="AL44" i="19"/>
  <c r="AL45" i="19"/>
  <c r="AL46" i="19"/>
  <c r="AL47" i="19"/>
  <c r="AL48" i="19"/>
  <c r="AL49" i="19"/>
  <c r="AL50" i="19"/>
  <c r="AL51" i="19"/>
  <c r="AL52" i="19"/>
  <c r="AL53" i="19"/>
  <c r="AL54" i="19"/>
  <c r="AL55" i="19"/>
  <c r="AC107" i="19"/>
  <c r="AC78" i="19"/>
  <c r="AC81" i="19"/>
  <c r="AC76" i="19"/>
  <c r="Z40" i="19"/>
  <c r="AI40" i="19"/>
  <c r="AI26" i="19"/>
  <c r="Z26" i="19"/>
  <c r="T107" i="19"/>
  <c r="T108" i="19"/>
  <c r="T76" i="19"/>
  <c r="T77" i="19"/>
  <c r="T78" i="19"/>
  <c r="I107" i="19"/>
  <c r="I76" i="19"/>
  <c r="I77" i="19"/>
  <c r="I78" i="19"/>
  <c r="I81" i="19"/>
  <c r="I82" i="19"/>
  <c r="I41" i="19"/>
  <c r="R41" i="19" s="1"/>
  <c r="H40" i="19"/>
  <c r="Q26" i="19"/>
  <c r="AI48" i="19"/>
  <c r="AI53" i="19"/>
  <c r="AI55" i="19"/>
  <c r="AC45" i="19"/>
  <c r="AC46" i="19"/>
  <c r="AC47" i="19"/>
  <c r="AC48" i="19"/>
  <c r="AC49" i="19"/>
  <c r="AC50" i="19"/>
  <c r="AC51" i="19"/>
  <c r="AC52" i="19"/>
  <c r="AC53" i="19"/>
  <c r="AC54" i="19"/>
  <c r="AC55" i="19"/>
  <c r="Q48" i="19"/>
  <c r="Q53" i="19"/>
  <c r="Q55" i="19"/>
  <c r="Z48" i="19"/>
  <c r="Z53" i="19"/>
  <c r="Z55" i="19"/>
  <c r="T45" i="19"/>
  <c r="T46" i="19"/>
  <c r="T47" i="19"/>
  <c r="T48" i="19"/>
  <c r="T49" i="19"/>
  <c r="T50" i="19"/>
  <c r="T51" i="19"/>
  <c r="T52" i="19"/>
  <c r="T53" i="19"/>
  <c r="T54" i="19"/>
  <c r="T55" i="19"/>
  <c r="I44" i="19"/>
  <c r="I45" i="19"/>
  <c r="I46" i="19"/>
  <c r="I47" i="19"/>
  <c r="I48" i="19"/>
  <c r="I49" i="19"/>
  <c r="I50" i="19"/>
  <c r="I51" i="19"/>
  <c r="I52" i="19"/>
  <c r="I53" i="19"/>
  <c r="I54" i="19"/>
  <c r="I55" i="19"/>
  <c r="BD110" i="19"/>
  <c r="BD108" i="19"/>
  <c r="BD107" i="19"/>
  <c r="BD106" i="19"/>
  <c r="BD105" i="19"/>
  <c r="BD103" i="19"/>
  <c r="BD102" i="19"/>
  <c r="BD101" i="19"/>
  <c r="BD100" i="19"/>
  <c r="BL100" i="19" s="1"/>
  <c r="BM100" i="19" s="1"/>
  <c r="BD99" i="19"/>
  <c r="BL99" i="19" s="1"/>
  <c r="BM99" i="19" s="1"/>
  <c r="BD98" i="19"/>
  <c r="BL98" i="19" s="1"/>
  <c r="BM98" i="19" s="1"/>
  <c r="BD97" i="19"/>
  <c r="BD96" i="19"/>
  <c r="BD95" i="19"/>
  <c r="BD94" i="19"/>
  <c r="BD93" i="19"/>
  <c r="BD92" i="19"/>
  <c r="BD91" i="19"/>
  <c r="BD90" i="19"/>
  <c r="BD89" i="19"/>
  <c r="BD88" i="19"/>
  <c r="BD87" i="19"/>
  <c r="BD85" i="19"/>
  <c r="BD84" i="19"/>
  <c r="BD83" i="19"/>
  <c r="BD82" i="19"/>
  <c r="BL82" i="19" s="1"/>
  <c r="BM82" i="19" s="1"/>
  <c r="BD81" i="19"/>
  <c r="BD78" i="19"/>
  <c r="BD77" i="19"/>
  <c r="BD76" i="19"/>
  <c r="BD75" i="19"/>
  <c r="BD74" i="19"/>
  <c r="BD73" i="19"/>
  <c r="BL73" i="19" s="1"/>
  <c r="BM73" i="19" s="1"/>
  <c r="BD72" i="19"/>
  <c r="BD71" i="19"/>
  <c r="BD70" i="19"/>
  <c r="BD66" i="19"/>
  <c r="BD64" i="19"/>
  <c r="BD63" i="19"/>
  <c r="BD62" i="19"/>
  <c r="BD61" i="19"/>
  <c r="BD60" i="19"/>
  <c r="BD59" i="19"/>
  <c r="BD57" i="19"/>
  <c r="BD56" i="19"/>
  <c r="BD55" i="19"/>
  <c r="BD54" i="19"/>
  <c r="BD53" i="19"/>
  <c r="BD52" i="19"/>
  <c r="BD51" i="19"/>
  <c r="BD50" i="19"/>
  <c r="BD49" i="19"/>
  <c r="BD48" i="19"/>
  <c r="BD47" i="19"/>
  <c r="BD46" i="19"/>
  <c r="BD45" i="19"/>
  <c r="BD44" i="19"/>
  <c r="BD43" i="19"/>
  <c r="BD42" i="19"/>
  <c r="BD39" i="19"/>
  <c r="BD38" i="19"/>
  <c r="BD36" i="19"/>
  <c r="BD33" i="19"/>
  <c r="BD32" i="19"/>
  <c r="BD31" i="19"/>
  <c r="BD30" i="19"/>
  <c r="BD29" i="19"/>
  <c r="BL29" i="19" s="1"/>
  <c r="BM29" i="19" s="1"/>
  <c r="BD28" i="19"/>
  <c r="BD27" i="19"/>
  <c r="BD26" i="19"/>
  <c r="BD25" i="19"/>
  <c r="BD24" i="19"/>
  <c r="BD23" i="19"/>
  <c r="BD22" i="19"/>
  <c r="BD21" i="19"/>
  <c r="BD20" i="19"/>
  <c r="BD19" i="19"/>
  <c r="BD18" i="19"/>
  <c r="BD17" i="19"/>
  <c r="BD16" i="19"/>
  <c r="BD15" i="19"/>
  <c r="BD14" i="19"/>
  <c r="BD13" i="19"/>
  <c r="BD12" i="19"/>
  <c r="BD11" i="19"/>
  <c r="BD10" i="19"/>
  <c r="BD9" i="19"/>
  <c r="BD8" i="19"/>
  <c r="BD7" i="19"/>
  <c r="BD6" i="19"/>
  <c r="BD5" i="19"/>
  <c r="BD4" i="19"/>
  <c r="AU110" i="19"/>
  <c r="AU108" i="19"/>
  <c r="AU107" i="19"/>
  <c r="AU106" i="19"/>
  <c r="AU105" i="19"/>
  <c r="AU103" i="19"/>
  <c r="AU102" i="19"/>
  <c r="AU101" i="19"/>
  <c r="AU100" i="19"/>
  <c r="AU99" i="19"/>
  <c r="AU98" i="19"/>
  <c r="AU97" i="19"/>
  <c r="AU96" i="19"/>
  <c r="AU95" i="19"/>
  <c r="AU94" i="19"/>
  <c r="AU93" i="19"/>
  <c r="AU92" i="19"/>
  <c r="AU91" i="19"/>
  <c r="AU90" i="19"/>
  <c r="AU89" i="19"/>
  <c r="AU88" i="19"/>
  <c r="AU87" i="19"/>
  <c r="AU85" i="19"/>
  <c r="AU84" i="19"/>
  <c r="AU83" i="19"/>
  <c r="AU82" i="19"/>
  <c r="AU81" i="19"/>
  <c r="AU78" i="19"/>
  <c r="AU77" i="19"/>
  <c r="AU76" i="19"/>
  <c r="AU75" i="19"/>
  <c r="AU74" i="19"/>
  <c r="AU73" i="19"/>
  <c r="AU72" i="19"/>
  <c r="AU71" i="19"/>
  <c r="AU70" i="19"/>
  <c r="AU66" i="19"/>
  <c r="AU64" i="19"/>
  <c r="AU63" i="19"/>
  <c r="AU62" i="19"/>
  <c r="AU61" i="19"/>
  <c r="AU60" i="19"/>
  <c r="AU59" i="19"/>
  <c r="AU57" i="19"/>
  <c r="AU56" i="19"/>
  <c r="AU55" i="19"/>
  <c r="AU54" i="19"/>
  <c r="AU53" i="19"/>
  <c r="AU52" i="19"/>
  <c r="AU51" i="19"/>
  <c r="AU50" i="19"/>
  <c r="AU49" i="19"/>
  <c r="AU48" i="19"/>
  <c r="AU47" i="19"/>
  <c r="AU46" i="19"/>
  <c r="AU45" i="19"/>
  <c r="AU44" i="19"/>
  <c r="AU43" i="19"/>
  <c r="AU42" i="19"/>
  <c r="AU39" i="19"/>
  <c r="AU38" i="19"/>
  <c r="AU36" i="19"/>
  <c r="AU33" i="19"/>
  <c r="AU32" i="19"/>
  <c r="AU31" i="19"/>
  <c r="AU30" i="19"/>
  <c r="AU29" i="19"/>
  <c r="AU28" i="19"/>
  <c r="AU27" i="19"/>
  <c r="AU26" i="19"/>
  <c r="AU25" i="19"/>
  <c r="AU24" i="19"/>
  <c r="AU23" i="19"/>
  <c r="AU22" i="19"/>
  <c r="AU21" i="19"/>
  <c r="AU20" i="19"/>
  <c r="AU19" i="19"/>
  <c r="AU18" i="19"/>
  <c r="AU17" i="19"/>
  <c r="AU16" i="19"/>
  <c r="AU15" i="19"/>
  <c r="AU14" i="19"/>
  <c r="AU13" i="19"/>
  <c r="AU12" i="19"/>
  <c r="AU11" i="19"/>
  <c r="AU10" i="19"/>
  <c r="AU9" i="19"/>
  <c r="AU8" i="19"/>
  <c r="AU7" i="19"/>
  <c r="AU6" i="19"/>
  <c r="AU5" i="19"/>
  <c r="AU4" i="19"/>
  <c r="I66" i="19"/>
  <c r="D1456" i="2"/>
  <c r="D1545" i="2" s="1"/>
  <c r="D1461" i="2"/>
  <c r="D1550" i="2" s="1"/>
  <c r="JI1038" i="5"/>
  <c r="JI1037" i="5"/>
  <c r="JI1036" i="5"/>
  <c r="JK1036" i="5" s="1"/>
  <c r="AJ1361" i="2" s="1"/>
  <c r="JI1035" i="5"/>
  <c r="JI1033" i="5"/>
  <c r="JK1033" i="5" s="1"/>
  <c r="AJ1359" i="2" s="1"/>
  <c r="JI1032" i="5"/>
  <c r="JK1032" i="5" s="1"/>
  <c r="AJ1358" i="2" s="1"/>
  <c r="JI1030" i="5"/>
  <c r="JK1030" i="5" s="1"/>
  <c r="AJ1355" i="2" s="1"/>
  <c r="JI1029" i="5"/>
  <c r="JI1026" i="5"/>
  <c r="JK1026" i="5" s="1"/>
  <c r="AJ1351" i="2" s="1"/>
  <c r="JI1025" i="5"/>
  <c r="JK1025" i="5" s="1"/>
  <c r="AJ1350" i="2" s="1"/>
  <c r="JI1024" i="5"/>
  <c r="JK1024" i="5" s="1"/>
  <c r="AJ1349" i="2" s="1"/>
  <c r="JI1023" i="5"/>
  <c r="JK1023" i="5" s="1"/>
  <c r="AJ1348" i="2" s="1"/>
  <c r="JI1022" i="5"/>
  <c r="JK1022" i="5" s="1"/>
  <c r="AJ1347" i="2" s="1"/>
  <c r="JI1021" i="5"/>
  <c r="JK1021" i="5" s="1"/>
  <c r="AJ1346" i="2" s="1"/>
  <c r="JI1020" i="5"/>
  <c r="JK1020" i="5" s="1"/>
  <c r="AJ1345" i="2" s="1"/>
  <c r="JI1018" i="5"/>
  <c r="JI1017" i="5"/>
  <c r="JK1017" i="5" s="1"/>
  <c r="AJ1342" i="2" s="1"/>
  <c r="JI1016" i="5"/>
  <c r="JK1016" i="5" s="1"/>
  <c r="AJ1341" i="2" s="1"/>
  <c r="JI1015" i="5"/>
  <c r="JK1015" i="5" s="1"/>
  <c r="AJ1340" i="2" s="1"/>
  <c r="JI1013" i="5"/>
  <c r="JK1013" i="5" s="1"/>
  <c r="JI1012" i="5"/>
  <c r="JK1012" i="5" s="1"/>
  <c r="JI1010" i="5"/>
  <c r="JK1010" i="5" s="1"/>
  <c r="AJ1336" i="2" s="1"/>
  <c r="JI1005" i="5"/>
  <c r="JI1004" i="5"/>
  <c r="JI1000" i="5"/>
  <c r="JK1000" i="5" s="1"/>
  <c r="AJ1326" i="2" s="1"/>
  <c r="JI999" i="5"/>
  <c r="JK999" i="5" s="1"/>
  <c r="AJ1325" i="2" s="1"/>
  <c r="JI997" i="5"/>
  <c r="JK997" i="5" s="1"/>
  <c r="AJ1323" i="2" s="1"/>
  <c r="JI996" i="5"/>
  <c r="JK996" i="5" s="1"/>
  <c r="AJ1322" i="2" s="1"/>
  <c r="JI992" i="5"/>
  <c r="JK992" i="5" s="1"/>
  <c r="AJ1318" i="2" s="1"/>
  <c r="JI991" i="5"/>
  <c r="JK991" i="5" s="1"/>
  <c r="AJ1317" i="2" s="1"/>
  <c r="JI990" i="5"/>
  <c r="JK990" i="5" s="1"/>
  <c r="AJ1316" i="2" s="1"/>
  <c r="JI989" i="5"/>
  <c r="JK989" i="5" s="1"/>
  <c r="AJ1315" i="2" s="1"/>
  <c r="JI986" i="5"/>
  <c r="JK986" i="5" s="1"/>
  <c r="AJ1312" i="2" s="1"/>
  <c r="JI984" i="5"/>
  <c r="JK984" i="5" s="1"/>
  <c r="AJ1310" i="2" s="1"/>
  <c r="JI983" i="5"/>
  <c r="JK983" i="5" s="1"/>
  <c r="AJ1309" i="2" s="1"/>
  <c r="JI982" i="5"/>
  <c r="JK982" i="5" s="1"/>
  <c r="AJ1308" i="2" s="1"/>
  <c r="JI981" i="5"/>
  <c r="JK981" i="5" s="1"/>
  <c r="AJ1307" i="2" s="1"/>
  <c r="JI978" i="5"/>
  <c r="JK978" i="5" s="1"/>
  <c r="AJ1303" i="2" s="1"/>
  <c r="JI977" i="5"/>
  <c r="JK977" i="5" s="1"/>
  <c r="AJ1301" i="2" s="1"/>
  <c r="JI975" i="5"/>
  <c r="JK975" i="5" s="1"/>
  <c r="JI974" i="5"/>
  <c r="JI973" i="5"/>
  <c r="JK973" i="5" s="1"/>
  <c r="AJ1294" i="2" s="1"/>
  <c r="JI971" i="5"/>
  <c r="JK971" i="5" s="1"/>
  <c r="AJ1293" i="2" s="1"/>
  <c r="JI970" i="5"/>
  <c r="JK970" i="5" s="1"/>
  <c r="JI968" i="5"/>
  <c r="JI967" i="5"/>
  <c r="JI966" i="5"/>
  <c r="JI965" i="5"/>
  <c r="JK965" i="5" s="1"/>
  <c r="AJ1286" i="2" s="1"/>
  <c r="JI964" i="5"/>
  <c r="JK964" i="5" s="1"/>
  <c r="AJ1285" i="2" s="1"/>
  <c r="JI963" i="5"/>
  <c r="JK963" i="5" s="1"/>
  <c r="AJ1284" i="2" s="1"/>
  <c r="JI962" i="5"/>
  <c r="JK962" i="5" s="1"/>
  <c r="AJ1283" i="2" s="1"/>
  <c r="JI960" i="5"/>
  <c r="JK960" i="5" s="1"/>
  <c r="AJ1281" i="2" s="1"/>
  <c r="JI959" i="5"/>
  <c r="JK959" i="5" s="1"/>
  <c r="AJ1280" i="2" s="1"/>
  <c r="JI958" i="5"/>
  <c r="JK958" i="5" s="1"/>
  <c r="AJ1279" i="2" s="1"/>
  <c r="JI957" i="5"/>
  <c r="JK957" i="5" s="1"/>
  <c r="AJ1278" i="2" s="1"/>
  <c r="JI956" i="5"/>
  <c r="JK956" i="5" s="1"/>
  <c r="AJ1277" i="2" s="1"/>
  <c r="JI954" i="5"/>
  <c r="JK954" i="5" s="1"/>
  <c r="AJ1275" i="2" s="1"/>
  <c r="JI953" i="5"/>
  <c r="JK953" i="5" s="1"/>
  <c r="AJ1274" i="2" s="1"/>
  <c r="JI951" i="5"/>
  <c r="JK951" i="5" s="1"/>
  <c r="AJ1272" i="2" s="1"/>
  <c r="JI950" i="5"/>
  <c r="JK950" i="5" s="1"/>
  <c r="AJ1271" i="2" s="1"/>
  <c r="JI949" i="5"/>
  <c r="JK949" i="5" s="1"/>
  <c r="AJ1270" i="2" s="1"/>
  <c r="JI946" i="5"/>
  <c r="JK946" i="5" s="1"/>
  <c r="JI945" i="5"/>
  <c r="JK945" i="5" s="1"/>
  <c r="JI939" i="5"/>
  <c r="JK939" i="5" s="1"/>
  <c r="JI938" i="5"/>
  <c r="JK938" i="5" s="1"/>
  <c r="JI936" i="5"/>
  <c r="JK936" i="5" s="1"/>
  <c r="JI931" i="5"/>
  <c r="JK931" i="5" s="1"/>
  <c r="JI926" i="5"/>
  <c r="JK926" i="5" s="1"/>
  <c r="JI923" i="5"/>
  <c r="JK923" i="5" s="1"/>
  <c r="JI922" i="5"/>
  <c r="JK922" i="5" s="1"/>
  <c r="AJ1243" i="2" s="1"/>
  <c r="JI921" i="5"/>
  <c r="JK921" i="5" s="1"/>
  <c r="AJ1242" i="2" s="1"/>
  <c r="JI920" i="5"/>
  <c r="JK920" i="5" s="1"/>
  <c r="AJ1241" i="2" s="1"/>
  <c r="JI918" i="5"/>
  <c r="JK918" i="5" s="1"/>
  <c r="AJ1239" i="2" s="1"/>
  <c r="JI917" i="5"/>
  <c r="JK917" i="5" s="1"/>
  <c r="AJ1238" i="2" s="1"/>
  <c r="JI916" i="5"/>
  <c r="JK916" i="5" s="1"/>
  <c r="AJ1237" i="2" s="1"/>
  <c r="JI915" i="5"/>
  <c r="JK915" i="5" s="1"/>
  <c r="AJ1236" i="2" s="1"/>
  <c r="JI914" i="5"/>
  <c r="JK914" i="5" s="1"/>
  <c r="AJ1235" i="2" s="1"/>
  <c r="JI913" i="5"/>
  <c r="JK913" i="5" s="1"/>
  <c r="JI911" i="5"/>
  <c r="JK911" i="5" s="1"/>
  <c r="AJ1232" i="2" s="1"/>
  <c r="JI910" i="5"/>
  <c r="JK910" i="5" s="1"/>
  <c r="AJ1231" i="2" s="1"/>
  <c r="JI909" i="5"/>
  <c r="JK909" i="5" s="1"/>
  <c r="AJ1230" i="2" s="1"/>
  <c r="JI904" i="5"/>
  <c r="JK904" i="5" s="1"/>
  <c r="JI902" i="5"/>
  <c r="JK902" i="5" s="1"/>
  <c r="AJ1223" i="2" s="1"/>
  <c r="JI900" i="5"/>
  <c r="JK900" i="5" s="1"/>
  <c r="AJ1221" i="2" s="1"/>
  <c r="JI899" i="5"/>
  <c r="JK899" i="5" s="1"/>
  <c r="AJ1220" i="2" s="1"/>
  <c r="JI898" i="5"/>
  <c r="JK898" i="5" s="1"/>
  <c r="AJ1219" i="2" s="1"/>
  <c r="JI897" i="5"/>
  <c r="JK897" i="5" s="1"/>
  <c r="AJ1218" i="2" s="1"/>
  <c r="JI896" i="5"/>
  <c r="JK896" i="5" s="1"/>
  <c r="AJ1217" i="2" s="1"/>
  <c r="JI895" i="5"/>
  <c r="JK895" i="5" s="1"/>
  <c r="AJ1216" i="2" s="1"/>
  <c r="JI894" i="5"/>
  <c r="JI893" i="5"/>
  <c r="JK893" i="5" s="1"/>
  <c r="AJ1214" i="2" s="1"/>
  <c r="JI892" i="5"/>
  <c r="JI891" i="5"/>
  <c r="JI890" i="5"/>
  <c r="JI889" i="5"/>
  <c r="JI888" i="5"/>
  <c r="JI887" i="5"/>
  <c r="JI886" i="5"/>
  <c r="JI884" i="5"/>
  <c r="JK884" i="5" s="1"/>
  <c r="AJ1205" i="2" s="1"/>
  <c r="JI883" i="5"/>
  <c r="JK883" i="5" s="1"/>
  <c r="AJ1204" i="2" s="1"/>
  <c r="JI882" i="5"/>
  <c r="JI881" i="5"/>
  <c r="JK881" i="5" s="1"/>
  <c r="AJ1202" i="2" s="1"/>
  <c r="JI878" i="5"/>
  <c r="JK878" i="5" s="1"/>
  <c r="AJ1199" i="2" s="1"/>
  <c r="JI871" i="5"/>
  <c r="JK871" i="5" s="1"/>
  <c r="AJ1191" i="2" s="1"/>
  <c r="JI868" i="5"/>
  <c r="JK868" i="5" s="1"/>
  <c r="AJ1187" i="2" s="1"/>
  <c r="JI867" i="5"/>
  <c r="JK867" i="5" s="1"/>
  <c r="AJ1186" i="2" s="1"/>
  <c r="JI866" i="5"/>
  <c r="JK866" i="5" s="1"/>
  <c r="AJ1185" i="2" s="1"/>
  <c r="JI865" i="5"/>
  <c r="JK865" i="5" s="1"/>
  <c r="AJ1184" i="2" s="1"/>
  <c r="JI864" i="5"/>
  <c r="JK864" i="5" s="1"/>
  <c r="JI863" i="5"/>
  <c r="JK863" i="5" s="1"/>
  <c r="AJ1169" i="2" s="1"/>
  <c r="JI862" i="5"/>
  <c r="JK862" i="5" s="1"/>
  <c r="AJ1168" i="2" s="1"/>
  <c r="JI861" i="5"/>
  <c r="JK861" i="5" s="1"/>
  <c r="AJ1167" i="2" s="1"/>
  <c r="JI859" i="5"/>
  <c r="JK859" i="5" s="1"/>
  <c r="AJ1165" i="2" s="1"/>
  <c r="JI858" i="5"/>
  <c r="JK858" i="5" s="1"/>
  <c r="AJ1164" i="2" s="1"/>
  <c r="JI857" i="5"/>
  <c r="JK857" i="5" s="1"/>
  <c r="AJ1163" i="2" s="1"/>
  <c r="JI856" i="5"/>
  <c r="JK856" i="5" s="1"/>
  <c r="AJ1162" i="2" s="1"/>
  <c r="JI855" i="5"/>
  <c r="JK855" i="5" s="1"/>
  <c r="JI854" i="5"/>
  <c r="JK854" i="5" s="1"/>
  <c r="JI852" i="5"/>
  <c r="JK852" i="5" s="1"/>
  <c r="AJ1158" i="2" s="1"/>
  <c r="JI849" i="5"/>
  <c r="JK849" i="5" s="1"/>
  <c r="AJ1155" i="2" s="1"/>
  <c r="JI848" i="5"/>
  <c r="JK848" i="5" s="1"/>
  <c r="AJ1154" i="2" s="1"/>
  <c r="JI844" i="5"/>
  <c r="JK844" i="5" s="1"/>
  <c r="AJ1150" i="2" s="1"/>
  <c r="JI842" i="5"/>
  <c r="JK842" i="5" s="1"/>
  <c r="AJ1148" i="2" s="1"/>
  <c r="JI841" i="5"/>
  <c r="JK841" i="5" s="1"/>
  <c r="AJ1147" i="2" s="1"/>
  <c r="JI840" i="5"/>
  <c r="JI838" i="5"/>
  <c r="JK838" i="5" s="1"/>
  <c r="AJ1144" i="2" s="1"/>
  <c r="JI837" i="5"/>
  <c r="JK837" i="5" s="1"/>
  <c r="AJ1143" i="2" s="1"/>
  <c r="JI836" i="5"/>
  <c r="JK836" i="5" s="1"/>
  <c r="AJ1142" i="2" s="1"/>
  <c r="JI834" i="5"/>
  <c r="JK834" i="5" s="1"/>
  <c r="AJ1140" i="2" s="1"/>
  <c r="JI831" i="5"/>
  <c r="JK831" i="5" s="1"/>
  <c r="AJ1137" i="2" s="1"/>
  <c r="JI830" i="5"/>
  <c r="JK830" i="5" s="1"/>
  <c r="AJ1136" i="2" s="1"/>
  <c r="JI825" i="5"/>
  <c r="JI824" i="5"/>
  <c r="JK824" i="5" s="1"/>
  <c r="AJ1130" i="2" s="1"/>
  <c r="JI823" i="5"/>
  <c r="JK823" i="5" s="1"/>
  <c r="AJ1129" i="2" s="1"/>
  <c r="AK1129" i="2" s="1"/>
  <c r="JI822" i="5"/>
  <c r="JK822" i="5" s="1"/>
  <c r="AJ1128" i="2" s="1"/>
  <c r="JI821" i="5"/>
  <c r="JK821" i="5" s="1"/>
  <c r="AJ1127" i="2" s="1"/>
  <c r="JI816" i="5"/>
  <c r="JK816" i="5" s="1"/>
  <c r="AJ1122" i="2" s="1"/>
  <c r="JI812" i="5"/>
  <c r="JK812" i="5" s="1"/>
  <c r="AJ1118" i="2" s="1"/>
  <c r="JI811" i="5"/>
  <c r="JK811" i="5" s="1"/>
  <c r="AJ1117" i="2" s="1"/>
  <c r="JI810" i="5"/>
  <c r="JK810" i="5" s="1"/>
  <c r="AJ1116" i="2" s="1"/>
  <c r="JI809" i="5"/>
  <c r="JK809" i="5" s="1"/>
  <c r="AJ1115" i="2" s="1"/>
  <c r="JI808" i="5"/>
  <c r="JK808" i="5" s="1"/>
  <c r="AJ1114" i="2" s="1"/>
  <c r="JI807" i="5"/>
  <c r="JK807" i="5" s="1"/>
  <c r="AJ1113" i="2" s="1"/>
  <c r="JI806" i="5"/>
  <c r="JK806" i="5" s="1"/>
  <c r="AJ1112" i="2" s="1"/>
  <c r="JI805" i="5"/>
  <c r="JK805" i="5" s="1"/>
  <c r="AJ1111" i="2" s="1"/>
  <c r="JI804" i="5"/>
  <c r="JK804" i="5" s="1"/>
  <c r="AJ1110" i="2" s="1"/>
  <c r="JI803" i="5"/>
  <c r="JK803" i="5" s="1"/>
  <c r="AJ1109" i="2" s="1"/>
  <c r="JI796" i="5"/>
  <c r="JK796" i="5" s="1"/>
  <c r="AJ1102" i="2" s="1"/>
  <c r="JI795" i="5"/>
  <c r="JK795" i="5" s="1"/>
  <c r="AJ1101" i="2" s="1"/>
  <c r="JI790" i="5"/>
  <c r="JK790" i="5" s="1"/>
  <c r="AJ1096" i="2" s="1"/>
  <c r="JI766" i="5"/>
  <c r="JK766" i="5" s="1"/>
  <c r="AJ1072" i="2" s="1"/>
  <c r="JI760" i="5"/>
  <c r="JK760" i="5" s="1"/>
  <c r="AJ1066" i="2" s="1"/>
  <c r="HG1028" i="5"/>
  <c r="HG1027" i="5" s="1"/>
  <c r="HH1028" i="5"/>
  <c r="HH1027" i="5" s="1"/>
  <c r="HH1019" i="5" s="1"/>
  <c r="HI1028" i="5"/>
  <c r="HI1027" i="5" s="1"/>
  <c r="HI1019" i="5" s="1"/>
  <c r="HJ1028" i="5"/>
  <c r="HJ1027" i="5" s="1"/>
  <c r="HJ1019" i="5" s="1"/>
  <c r="HK1028" i="5"/>
  <c r="HK1027" i="5" s="1"/>
  <c r="HK1019" i="5" s="1"/>
  <c r="HL1028" i="5"/>
  <c r="HL1027" i="5" s="1"/>
  <c r="HL1019" i="5" s="1"/>
  <c r="HF1011" i="5"/>
  <c r="HH1009" i="5"/>
  <c r="HH1008" i="5" s="1"/>
  <c r="HI1009" i="5"/>
  <c r="HI1008" i="5" s="1"/>
  <c r="HJ1009" i="5"/>
  <c r="HJ1008" i="5" s="1"/>
  <c r="HK1009" i="5"/>
  <c r="HK1008" i="5" s="1"/>
  <c r="HL1009" i="5"/>
  <c r="HL1008" i="5" s="1"/>
  <c r="HG1003" i="5"/>
  <c r="HH1003" i="5"/>
  <c r="HI1003" i="5"/>
  <c r="HJ1003" i="5"/>
  <c r="HK1003" i="5"/>
  <c r="HL1003" i="5"/>
  <c r="HF998" i="5"/>
  <c r="HG998" i="5"/>
  <c r="HH998" i="5"/>
  <c r="HI998" i="5"/>
  <c r="HJ998" i="5"/>
  <c r="HK998" i="5"/>
  <c r="HL998" i="5"/>
  <c r="HG995" i="5"/>
  <c r="HH995" i="5"/>
  <c r="HI995" i="5"/>
  <c r="HJ995" i="5"/>
  <c r="HK995" i="5"/>
  <c r="HL995" i="5"/>
  <c r="HG985" i="5"/>
  <c r="HH985" i="5"/>
  <c r="HI985" i="5"/>
  <c r="HJ985" i="5"/>
  <c r="HK985" i="5"/>
  <c r="HL985" i="5"/>
  <c r="HG961" i="5"/>
  <c r="HH961" i="5"/>
  <c r="HI961" i="5"/>
  <c r="HJ961" i="5"/>
  <c r="HK961" i="5"/>
  <c r="HL961" i="5"/>
  <c r="HG955" i="5"/>
  <c r="HH955" i="5"/>
  <c r="HI955" i="5"/>
  <c r="HJ955" i="5"/>
  <c r="HK955" i="5"/>
  <c r="HL955" i="5"/>
  <c r="HL952" i="5"/>
  <c r="HG952" i="5"/>
  <c r="HH952" i="5"/>
  <c r="HI952" i="5"/>
  <c r="HJ952" i="5"/>
  <c r="HK952" i="5"/>
  <c r="HG948" i="5"/>
  <c r="HH948" i="5"/>
  <c r="HI948" i="5"/>
  <c r="HJ948" i="5"/>
  <c r="HK948" i="5"/>
  <c r="HL948" i="5"/>
  <c r="HG919" i="5"/>
  <c r="HH919" i="5"/>
  <c r="HI919" i="5"/>
  <c r="HJ919" i="5"/>
  <c r="HK919" i="5"/>
  <c r="HL919" i="5"/>
  <c r="HG912" i="5"/>
  <c r="HG1250" i="5" s="1"/>
  <c r="HH912" i="5"/>
  <c r="HH1250" i="5" s="1"/>
  <c r="HI912" i="5"/>
  <c r="HI1250" i="5" s="1"/>
  <c r="HJ912" i="5"/>
  <c r="HJ1250" i="5" s="1"/>
  <c r="HK912" i="5"/>
  <c r="HK1250" i="5" s="1"/>
  <c r="HL912" i="5"/>
  <c r="HL1250" i="5" s="1"/>
  <c r="HG903" i="5"/>
  <c r="HG1248" i="5" s="1"/>
  <c r="HH903" i="5"/>
  <c r="HH1248" i="5" s="1"/>
  <c r="HI903" i="5"/>
  <c r="HJ903" i="5"/>
  <c r="HJ1248" i="5" s="1"/>
  <c r="HK903" i="5"/>
  <c r="HK1248" i="5" s="1"/>
  <c r="HL903" i="5"/>
  <c r="HG901" i="5"/>
  <c r="HH901" i="5"/>
  <c r="HI901" i="5"/>
  <c r="HJ901" i="5"/>
  <c r="HK901" i="5"/>
  <c r="HL901" i="5"/>
  <c r="HG885" i="5"/>
  <c r="HH885" i="5"/>
  <c r="HI885" i="5"/>
  <c r="HJ885" i="5"/>
  <c r="HK885" i="5"/>
  <c r="HL885" i="5"/>
  <c r="HL877" i="5"/>
  <c r="HG877" i="5"/>
  <c r="HH877" i="5"/>
  <c r="HI877" i="5"/>
  <c r="HJ877" i="5"/>
  <c r="HK877" i="5"/>
  <c r="HG876" i="5"/>
  <c r="HG1245" i="5" s="1"/>
  <c r="HH876" i="5"/>
  <c r="HH1245" i="5" s="1"/>
  <c r="HI876" i="5"/>
  <c r="HI1245" i="5" s="1"/>
  <c r="HJ876" i="5"/>
  <c r="HJ1245" i="5" s="1"/>
  <c r="HK876" i="5"/>
  <c r="HK1245" i="5" s="1"/>
  <c r="HL876" i="5"/>
  <c r="HL1245" i="5" s="1"/>
  <c r="HG870" i="5"/>
  <c r="HG1246" i="5" s="1"/>
  <c r="HH870" i="5"/>
  <c r="HH1246" i="5" s="1"/>
  <c r="HI870" i="5"/>
  <c r="HI1246" i="5" s="1"/>
  <c r="HJ870" i="5"/>
  <c r="HJ1246" i="5" s="1"/>
  <c r="HK870" i="5"/>
  <c r="HK1246" i="5" s="1"/>
  <c r="HL870" i="5"/>
  <c r="HL1246" i="5" s="1"/>
  <c r="HG869" i="5"/>
  <c r="HH869" i="5"/>
  <c r="HI869" i="5"/>
  <c r="HJ869" i="5"/>
  <c r="HK869" i="5"/>
  <c r="HL869" i="5"/>
  <c r="HG860" i="5"/>
  <c r="HH860" i="5"/>
  <c r="HI860" i="5"/>
  <c r="HJ860" i="5"/>
  <c r="HK860" i="5"/>
  <c r="HL860" i="5"/>
  <c r="HG853" i="5"/>
  <c r="HG1244" i="5" s="1"/>
  <c r="HH853" i="5"/>
  <c r="HH1244" i="5" s="1"/>
  <c r="HI853" i="5"/>
  <c r="HI1244" i="5" s="1"/>
  <c r="HJ853" i="5"/>
  <c r="HJ1244" i="5" s="1"/>
  <c r="HK853" i="5"/>
  <c r="HK1244" i="5" s="1"/>
  <c r="HL853" i="5"/>
  <c r="HL1244" i="5" s="1"/>
  <c r="HG851" i="5"/>
  <c r="HG1243" i="5" s="1"/>
  <c r="HH851" i="5"/>
  <c r="HH1243" i="5" s="1"/>
  <c r="HI851" i="5"/>
  <c r="HI1243" i="5" s="1"/>
  <c r="HJ851" i="5"/>
  <c r="HJ1243" i="5" s="1"/>
  <c r="HK851" i="5"/>
  <c r="HK1243" i="5" s="1"/>
  <c r="HL851" i="5"/>
  <c r="HL1243" i="5" s="1"/>
  <c r="HG847" i="5"/>
  <c r="HH847" i="5"/>
  <c r="HI847" i="5"/>
  <c r="HJ847" i="5"/>
  <c r="HK847" i="5"/>
  <c r="HL847" i="5"/>
  <c r="HH846" i="5"/>
  <c r="HI846" i="5"/>
  <c r="HJ846" i="5"/>
  <c r="HK846" i="5"/>
  <c r="HL846" i="5"/>
  <c r="HG846" i="5"/>
  <c r="HG839" i="5"/>
  <c r="HH839" i="5"/>
  <c r="HI839" i="5"/>
  <c r="HJ839" i="5"/>
  <c r="HK839" i="5"/>
  <c r="HL839" i="5"/>
  <c r="HG835" i="5"/>
  <c r="HH835" i="5"/>
  <c r="HI835" i="5"/>
  <c r="HJ835" i="5"/>
  <c r="HK835" i="5"/>
  <c r="HL835" i="5"/>
  <c r="HG833" i="5"/>
  <c r="HH833" i="5"/>
  <c r="HI833" i="5"/>
  <c r="HJ833" i="5"/>
  <c r="HK833" i="5"/>
  <c r="HL833" i="5"/>
  <c r="HG832" i="5"/>
  <c r="HH832" i="5"/>
  <c r="HI832" i="5"/>
  <c r="HJ832" i="5"/>
  <c r="HK832" i="5"/>
  <c r="HL832" i="5"/>
  <c r="HL829" i="5"/>
  <c r="HG829" i="5"/>
  <c r="HH829" i="5"/>
  <c r="HI829" i="5"/>
  <c r="HJ829" i="5"/>
  <c r="HK829" i="5"/>
  <c r="HG828" i="5"/>
  <c r="HH828" i="5"/>
  <c r="HI828" i="5"/>
  <c r="HJ828" i="5"/>
  <c r="HK828" i="5"/>
  <c r="HL828" i="5"/>
  <c r="HG827" i="5"/>
  <c r="HH827" i="5"/>
  <c r="HI827" i="5"/>
  <c r="HJ827" i="5"/>
  <c r="HK827" i="5"/>
  <c r="HG797" i="5"/>
  <c r="HH797" i="5"/>
  <c r="HI797" i="5"/>
  <c r="HJ797" i="5"/>
  <c r="HK797" i="5"/>
  <c r="HL797" i="5"/>
  <c r="HG798" i="5"/>
  <c r="HH798" i="5"/>
  <c r="HI798" i="5"/>
  <c r="HJ798" i="5"/>
  <c r="HK798" i="5"/>
  <c r="HL798" i="5"/>
  <c r="HG799" i="5"/>
  <c r="HH799" i="5"/>
  <c r="HI799" i="5"/>
  <c r="HJ799" i="5"/>
  <c r="HK799" i="5"/>
  <c r="HL799" i="5"/>
  <c r="HG800" i="5"/>
  <c r="HH800" i="5"/>
  <c r="HI800" i="5"/>
  <c r="HJ800" i="5"/>
  <c r="HK800" i="5"/>
  <c r="HL800" i="5"/>
  <c r="HG801" i="5"/>
  <c r="HH801" i="5"/>
  <c r="HI801" i="5"/>
  <c r="HJ801" i="5"/>
  <c r="HK801" i="5"/>
  <c r="HL801" i="5"/>
  <c r="HG802" i="5"/>
  <c r="HH802" i="5"/>
  <c r="HI802" i="5"/>
  <c r="HJ802" i="5"/>
  <c r="HK802" i="5"/>
  <c r="HL802" i="5"/>
  <c r="HG793" i="5"/>
  <c r="HG1236" i="5" s="1"/>
  <c r="HH793" i="5"/>
  <c r="HH1236" i="5" s="1"/>
  <c r="HI793" i="5"/>
  <c r="HI1236" i="5" s="1"/>
  <c r="HJ793" i="5"/>
  <c r="HJ1236" i="5" s="1"/>
  <c r="HK793" i="5"/>
  <c r="HK1236" i="5" s="1"/>
  <c r="HL793" i="5"/>
  <c r="HL1236" i="5" s="1"/>
  <c r="HG794" i="5"/>
  <c r="HH794" i="5"/>
  <c r="HI794" i="5"/>
  <c r="HJ794" i="5"/>
  <c r="HK794" i="5"/>
  <c r="HL794" i="5"/>
  <c r="HK791" i="5"/>
  <c r="HL791" i="5"/>
  <c r="HG792" i="5"/>
  <c r="HH792" i="5"/>
  <c r="HI792" i="5"/>
  <c r="HJ792" i="5"/>
  <c r="HK792" i="5"/>
  <c r="HL792" i="5"/>
  <c r="HG791" i="5"/>
  <c r="HH791" i="5"/>
  <c r="HI791" i="5"/>
  <c r="HJ791" i="5"/>
  <c r="HG789" i="5"/>
  <c r="HH789" i="5"/>
  <c r="HI789" i="5"/>
  <c r="HJ789" i="5"/>
  <c r="HK789" i="5"/>
  <c r="HL789" i="5"/>
  <c r="HG788" i="5"/>
  <c r="HH788" i="5"/>
  <c r="HI788" i="5"/>
  <c r="HJ788" i="5"/>
  <c r="HK788" i="5"/>
  <c r="HL788" i="5"/>
  <c r="HG786" i="5"/>
  <c r="HH786" i="5"/>
  <c r="HI786" i="5"/>
  <c r="HJ786" i="5"/>
  <c r="HK786" i="5"/>
  <c r="HL786" i="5"/>
  <c r="HG787" i="5"/>
  <c r="HH787" i="5"/>
  <c r="HI787" i="5"/>
  <c r="HJ787" i="5"/>
  <c r="HK787" i="5"/>
  <c r="HL787" i="5"/>
  <c r="HG785" i="5"/>
  <c r="HH785" i="5"/>
  <c r="HI785" i="5"/>
  <c r="HJ785" i="5"/>
  <c r="HK785" i="5"/>
  <c r="HL785" i="5"/>
  <c r="HG779" i="5"/>
  <c r="HH779" i="5"/>
  <c r="HI779" i="5"/>
  <c r="HJ779" i="5"/>
  <c r="HK779" i="5"/>
  <c r="HL779" i="5"/>
  <c r="HG777" i="5"/>
  <c r="HH777" i="5"/>
  <c r="HI777" i="5"/>
  <c r="HJ777" i="5"/>
  <c r="HK777" i="5"/>
  <c r="HL777" i="5"/>
  <c r="HG778" i="5"/>
  <c r="HH778" i="5"/>
  <c r="HI778" i="5"/>
  <c r="HJ778" i="5"/>
  <c r="HK778" i="5"/>
  <c r="HL778" i="5"/>
  <c r="HG773" i="5"/>
  <c r="HH773" i="5"/>
  <c r="HI773" i="5"/>
  <c r="HJ773" i="5"/>
  <c r="HK773" i="5"/>
  <c r="HL773" i="5"/>
  <c r="HG772" i="5"/>
  <c r="HH772" i="5"/>
  <c r="HI772" i="5"/>
  <c r="HJ772" i="5"/>
  <c r="HK772" i="5"/>
  <c r="HL772" i="5"/>
  <c r="HG771" i="5"/>
  <c r="HG1235" i="5" s="1"/>
  <c r="HH771" i="5"/>
  <c r="HH1235" i="5" s="1"/>
  <c r="HI771" i="5"/>
  <c r="HI1235" i="5" s="1"/>
  <c r="HJ771" i="5"/>
  <c r="HJ1235" i="5" s="1"/>
  <c r="HK771" i="5"/>
  <c r="HK1235" i="5" s="1"/>
  <c r="HL771" i="5"/>
  <c r="HL1235" i="5" s="1"/>
  <c r="HG767" i="5"/>
  <c r="HH767" i="5"/>
  <c r="HI767" i="5"/>
  <c r="HJ767" i="5"/>
  <c r="HK767" i="5"/>
  <c r="HL767" i="5"/>
  <c r="HG768" i="5"/>
  <c r="HH768" i="5"/>
  <c r="HI768" i="5"/>
  <c r="HJ768" i="5"/>
  <c r="HK768" i="5"/>
  <c r="HL768" i="5"/>
  <c r="HG769" i="5"/>
  <c r="HH769" i="5"/>
  <c r="HI769" i="5"/>
  <c r="HJ769" i="5"/>
  <c r="HK769" i="5"/>
  <c r="HL769" i="5"/>
  <c r="HG770" i="5"/>
  <c r="HH770" i="5"/>
  <c r="HI770" i="5"/>
  <c r="HJ770" i="5"/>
  <c r="HK770" i="5"/>
  <c r="HL770" i="5"/>
  <c r="HG764" i="5"/>
  <c r="HH764" i="5"/>
  <c r="HI764" i="5"/>
  <c r="HJ764" i="5"/>
  <c r="HK764" i="5"/>
  <c r="HL764" i="5"/>
  <c r="HG763" i="5"/>
  <c r="HH763" i="5"/>
  <c r="HI763" i="5"/>
  <c r="HJ763" i="5"/>
  <c r="HK763" i="5"/>
  <c r="HL763" i="5"/>
  <c r="HG762" i="5"/>
  <c r="HH762" i="5"/>
  <c r="HI762" i="5"/>
  <c r="HJ762" i="5"/>
  <c r="HK762" i="5"/>
  <c r="HL762" i="5"/>
  <c r="HG761" i="5"/>
  <c r="HH761" i="5"/>
  <c r="HI761" i="5"/>
  <c r="HJ761" i="5"/>
  <c r="HK761" i="5"/>
  <c r="HL761" i="5"/>
  <c r="HG756" i="5"/>
  <c r="HH756" i="5"/>
  <c r="HI756" i="5"/>
  <c r="HJ756" i="5"/>
  <c r="HK756" i="5"/>
  <c r="HL756" i="5"/>
  <c r="HG753" i="5"/>
  <c r="HG234" i="5" s="1"/>
  <c r="HH753" i="5"/>
  <c r="HH234" i="5" s="1"/>
  <c r="HI753" i="5"/>
  <c r="HI234" i="5" s="1"/>
  <c r="HJ753" i="5"/>
  <c r="HJ234" i="5" s="1"/>
  <c r="HK753" i="5"/>
  <c r="HK234" i="5" s="1"/>
  <c r="HL753" i="5"/>
  <c r="HL234" i="5" s="1"/>
  <c r="W89" i="21" l="1"/>
  <c r="V89" i="21"/>
  <c r="W88" i="21"/>
  <c r="K73" i="19"/>
  <c r="JK966" i="5"/>
  <c r="AJ1287" i="2" s="1"/>
  <c r="K91" i="19"/>
  <c r="L91" i="19" s="1"/>
  <c r="JK1004" i="5"/>
  <c r="AJ1330" i="2" s="1"/>
  <c r="K43" i="19"/>
  <c r="JK882" i="5"/>
  <c r="AJ1203" i="2" s="1"/>
  <c r="K108" i="19"/>
  <c r="L108" i="19" s="1"/>
  <c r="JK1038" i="5"/>
  <c r="AJ1363" i="2" s="1"/>
  <c r="K45" i="19"/>
  <c r="L45" i="19" s="1"/>
  <c r="JK886" i="5"/>
  <c r="AJ1207" i="2" s="1"/>
  <c r="K46" i="19"/>
  <c r="L46" i="19" s="1"/>
  <c r="JK887" i="5"/>
  <c r="AJ1208" i="2" s="1"/>
  <c r="K47" i="19"/>
  <c r="L47" i="19" s="1"/>
  <c r="JK888" i="5"/>
  <c r="AJ1209" i="2" s="1"/>
  <c r="K96" i="19"/>
  <c r="L96" i="19" s="1"/>
  <c r="JK1018" i="5"/>
  <c r="AJ1343" i="2" s="1"/>
  <c r="K74" i="19"/>
  <c r="L74" i="19" s="1"/>
  <c r="JK967" i="5"/>
  <c r="AJ1288" i="2" s="1"/>
  <c r="K49" i="19"/>
  <c r="L49" i="19" s="1"/>
  <c r="JK889" i="5"/>
  <c r="AJ1210" i="2" s="1"/>
  <c r="K76" i="19"/>
  <c r="JK974" i="5"/>
  <c r="AJ1295" i="2" s="1"/>
  <c r="K17" i="19"/>
  <c r="JK825" i="5"/>
  <c r="AJ1131" i="2" s="1"/>
  <c r="K52" i="19"/>
  <c r="L52" i="19" s="1"/>
  <c r="JK892" i="5"/>
  <c r="AJ1213" i="2" s="1"/>
  <c r="K54" i="19"/>
  <c r="L54" i="19" s="1"/>
  <c r="JK894" i="5"/>
  <c r="AJ1215" i="2" s="1"/>
  <c r="K21" i="19"/>
  <c r="L21" i="19" s="1"/>
  <c r="JK840" i="5"/>
  <c r="AJ1146" i="2" s="1"/>
  <c r="K75" i="19"/>
  <c r="N75" i="19" s="1"/>
  <c r="JK968" i="5"/>
  <c r="AJ1289" i="2" s="1"/>
  <c r="K106" i="19"/>
  <c r="L106" i="19" s="1"/>
  <c r="JK1035" i="5"/>
  <c r="AJ1360" i="2" s="1"/>
  <c r="K92" i="19"/>
  <c r="L92" i="19" s="1"/>
  <c r="JK1005" i="5"/>
  <c r="AJ1331" i="2" s="1"/>
  <c r="K107" i="19"/>
  <c r="L107" i="19" s="1"/>
  <c r="JK1037" i="5"/>
  <c r="AJ1362" i="2" s="1"/>
  <c r="K50" i="19"/>
  <c r="L50" i="19" s="1"/>
  <c r="JK890" i="5"/>
  <c r="AJ1211" i="2" s="1"/>
  <c r="K51" i="19"/>
  <c r="L51" i="19" s="1"/>
  <c r="JK891" i="5"/>
  <c r="AJ1212" i="2" s="1"/>
  <c r="JN836" i="5"/>
  <c r="K103" i="19"/>
  <c r="JK1029" i="5"/>
  <c r="AJ1354" i="2" s="1"/>
  <c r="BG46" i="19"/>
  <c r="JZ887" i="5"/>
  <c r="AX47" i="19"/>
  <c r="JW888" i="5"/>
  <c r="BG47" i="19"/>
  <c r="JZ888" i="5"/>
  <c r="AO47" i="19"/>
  <c r="JT888" i="5"/>
  <c r="BG45" i="19"/>
  <c r="JZ886" i="5"/>
  <c r="AX46" i="19"/>
  <c r="JW887" i="5"/>
  <c r="AO46" i="19"/>
  <c r="JT887" i="5"/>
  <c r="AX45" i="19"/>
  <c r="JW886" i="5"/>
  <c r="HG755" i="5"/>
  <c r="HL755" i="5"/>
  <c r="HK755" i="5"/>
  <c r="HJ755" i="5"/>
  <c r="HI755" i="5"/>
  <c r="HH755" i="5"/>
  <c r="AI1732" i="2"/>
  <c r="K72" i="19"/>
  <c r="L72" i="19" s="1"/>
  <c r="AI1724" i="2"/>
  <c r="HJ814" i="5"/>
  <c r="JI768" i="5"/>
  <c r="JK768" i="5" s="1"/>
  <c r="AJ1074" i="2" s="1"/>
  <c r="AR45" i="19"/>
  <c r="HK845" i="5"/>
  <c r="HK826" i="5" s="1"/>
  <c r="HK1237" i="5" s="1"/>
  <c r="HH1234" i="5"/>
  <c r="JI995" i="5"/>
  <c r="JI846" i="5"/>
  <c r="JK846" i="5" s="1"/>
  <c r="AJ1152" i="2" s="1"/>
  <c r="HK994" i="5"/>
  <c r="HK1255" i="5" s="1"/>
  <c r="HJ994" i="5"/>
  <c r="HJ1255" i="5" s="1"/>
  <c r="HH1239" i="5"/>
  <c r="HI845" i="5"/>
  <c r="HI826" i="5" s="1"/>
  <c r="HI1237" i="5" s="1"/>
  <c r="HK947" i="5"/>
  <c r="HJ845" i="5"/>
  <c r="HJ826" i="5" s="1"/>
  <c r="HJ1237" i="5" s="1"/>
  <c r="HL814" i="5"/>
  <c r="HI947" i="5"/>
  <c r="JI919" i="5"/>
  <c r="JK919" i="5" s="1"/>
  <c r="AJ1240" i="2" s="1"/>
  <c r="AJ688" i="2" s="1"/>
  <c r="K39" i="19"/>
  <c r="K40" i="19"/>
  <c r="JI764" i="5"/>
  <c r="JI948" i="5"/>
  <c r="JI799" i="5"/>
  <c r="JK799" i="5" s="1"/>
  <c r="AJ1105" i="2" s="1"/>
  <c r="AJ572" i="2" s="1"/>
  <c r="HI1239" i="5"/>
  <c r="L43" i="19"/>
  <c r="L76" i="19"/>
  <c r="JI789" i="5"/>
  <c r="JK789" i="5" s="1"/>
  <c r="AJ1095" i="2" s="1"/>
  <c r="AJ552" i="2" s="1"/>
  <c r="HG1239" i="5"/>
  <c r="HG1247" i="5"/>
  <c r="HG1242" i="5" s="1"/>
  <c r="HH1253" i="5"/>
  <c r="JI1003" i="5"/>
  <c r="JI767" i="5"/>
  <c r="JK767" i="5" s="1"/>
  <c r="AJ1073" i="2" s="1"/>
  <c r="JI798" i="5"/>
  <c r="JK798" i="5" s="1"/>
  <c r="AJ1104" i="2" s="1"/>
  <c r="AJ568" i="2" s="1"/>
  <c r="JI885" i="5"/>
  <c r="JI770" i="5"/>
  <c r="JK770" i="5" s="1"/>
  <c r="AJ1076" i="2" s="1"/>
  <c r="AJ488" i="2" s="1"/>
  <c r="JI801" i="5"/>
  <c r="JK801" i="5" s="1"/>
  <c r="AJ1107" i="2" s="1"/>
  <c r="AJ580" i="2" s="1"/>
  <c r="JI797" i="5"/>
  <c r="JK797" i="5" s="1"/>
  <c r="AJ1103" i="2" s="1"/>
  <c r="AJ564" i="2" s="1"/>
  <c r="L103" i="19"/>
  <c r="JI757" i="5"/>
  <c r="JK757" i="5" s="1"/>
  <c r="AJ1063" i="2" s="1"/>
  <c r="AJ439" i="2" s="1"/>
  <c r="JI820" i="5"/>
  <c r="JI772" i="5"/>
  <c r="JK772" i="5" s="1"/>
  <c r="AJ1078" i="2" s="1"/>
  <c r="AJ492" i="2" s="1"/>
  <c r="HJ1247" i="5"/>
  <c r="HJ1242" i="5" s="1"/>
  <c r="L17" i="19"/>
  <c r="JI786" i="5"/>
  <c r="JK786" i="5" s="1"/>
  <c r="AJ1092" i="2" s="1"/>
  <c r="AJ540" i="2" s="1"/>
  <c r="HL1240" i="5"/>
  <c r="JI839" i="5"/>
  <c r="JK839" i="5" s="1"/>
  <c r="AJ1145" i="2" s="1"/>
  <c r="AJ598" i="2" s="1"/>
  <c r="HL1247" i="5"/>
  <c r="JI952" i="5"/>
  <c r="JK952" i="5" s="1"/>
  <c r="AJ1273" i="2" s="1"/>
  <c r="JI1011" i="5"/>
  <c r="JK1011" i="5" s="1"/>
  <c r="AJ1337" i="2" s="1"/>
  <c r="JI785" i="5"/>
  <c r="JK785" i="5" s="1"/>
  <c r="AJ1091" i="2" s="1"/>
  <c r="JI763" i="5"/>
  <c r="JK763" i="5" s="1"/>
  <c r="AJ1069" i="2" s="1"/>
  <c r="JI777" i="5"/>
  <c r="JK777" i="5" s="1"/>
  <c r="AJ1083" i="2" s="1"/>
  <c r="AJ510" i="2" s="1"/>
  <c r="JI819" i="5"/>
  <c r="HK1240" i="5"/>
  <c r="HL994" i="5"/>
  <c r="HL1255" i="5" s="1"/>
  <c r="HG1009" i="5"/>
  <c r="JI1009" i="5" s="1"/>
  <c r="JI961" i="5"/>
  <c r="JK961" i="5" s="1"/>
  <c r="AJ1282" i="2" s="1"/>
  <c r="JI761" i="5"/>
  <c r="JK761" i="5" s="1"/>
  <c r="AJ1067" i="2" s="1"/>
  <c r="AJ455" i="2" s="1"/>
  <c r="JI847" i="5"/>
  <c r="JK847" i="5" s="1"/>
  <c r="AJ1153" i="2" s="1"/>
  <c r="HK1234" i="5"/>
  <c r="JI765" i="5"/>
  <c r="JK765" i="5" s="1"/>
  <c r="AJ1071" i="2" s="1"/>
  <c r="AJ463" i="2" s="1"/>
  <c r="JI779" i="5"/>
  <c r="JK779" i="5" s="1"/>
  <c r="AJ1085" i="2" s="1"/>
  <c r="JI792" i="5"/>
  <c r="JK792" i="5" s="1"/>
  <c r="AJ1098" i="2" s="1"/>
  <c r="AJ556" i="2" s="1"/>
  <c r="JI802" i="5"/>
  <c r="JK802" i="5" s="1"/>
  <c r="AJ1108" i="2" s="1"/>
  <c r="JI832" i="5"/>
  <c r="JK832" i="5" s="1"/>
  <c r="AJ1138" i="2" s="1"/>
  <c r="JI869" i="5"/>
  <c r="JK869" i="5" s="1"/>
  <c r="AJ1188" i="2" s="1"/>
  <c r="JI794" i="5"/>
  <c r="JK794" i="5" s="1"/>
  <c r="AJ1100" i="2" s="1"/>
  <c r="AJ560" i="2" s="1"/>
  <c r="JI998" i="5"/>
  <c r="JI769" i="5"/>
  <c r="JK769" i="5" s="1"/>
  <c r="AJ1075" i="2" s="1"/>
  <c r="JI800" i="5"/>
  <c r="JK800" i="5" s="1"/>
  <c r="AJ1106" i="2" s="1"/>
  <c r="AJ576" i="2" s="1"/>
  <c r="HJ1234" i="5"/>
  <c r="HI1240" i="5"/>
  <c r="JI955" i="5"/>
  <c r="JK955" i="5" s="1"/>
  <c r="AJ1276" i="2" s="1"/>
  <c r="JI788" i="5"/>
  <c r="JK788" i="5" s="1"/>
  <c r="AJ1094" i="2" s="1"/>
  <c r="AJ548" i="2" s="1"/>
  <c r="JI843" i="5"/>
  <c r="JI778" i="5"/>
  <c r="JK778" i="5" s="1"/>
  <c r="AJ1084" i="2" s="1"/>
  <c r="JI828" i="5"/>
  <c r="JK828" i="5" s="1"/>
  <c r="AJ1134" i="2" s="1"/>
  <c r="L73" i="19"/>
  <c r="JI901" i="5"/>
  <c r="HL845" i="5"/>
  <c r="HL826" i="5" s="1"/>
  <c r="HL1237" i="5" s="1"/>
  <c r="JI787" i="5"/>
  <c r="JK787" i="5" s="1"/>
  <c r="AJ1093" i="2" s="1"/>
  <c r="AJ544" i="2" s="1"/>
  <c r="JI835" i="5"/>
  <c r="JK835" i="5" s="1"/>
  <c r="AJ1141" i="2" s="1"/>
  <c r="AJ592" i="2" s="1"/>
  <c r="JI829" i="5"/>
  <c r="JK829" i="5" s="1"/>
  <c r="AJ1135" i="2" s="1"/>
  <c r="JI791" i="5"/>
  <c r="JK791" i="5" s="1"/>
  <c r="AJ1097" i="2" s="1"/>
  <c r="JI860" i="5"/>
  <c r="HI1234" i="5"/>
  <c r="JI762" i="5"/>
  <c r="JK762" i="5" s="1"/>
  <c r="AJ1068" i="2" s="1"/>
  <c r="AJ459" i="2" s="1"/>
  <c r="JI773" i="5"/>
  <c r="JK773" i="5" s="1"/>
  <c r="AJ1079" i="2" s="1"/>
  <c r="HH1240" i="5"/>
  <c r="JI827" i="5"/>
  <c r="JI833" i="5"/>
  <c r="JI1027" i="5"/>
  <c r="HG1019" i="5"/>
  <c r="JI1019" i="5" s="1"/>
  <c r="HG1234" i="5"/>
  <c r="HG1240" i="5"/>
  <c r="HH845" i="5"/>
  <c r="HH826" i="5" s="1"/>
  <c r="HH1237" i="5" s="1"/>
  <c r="HH908" i="5"/>
  <c r="JI793" i="5"/>
  <c r="JI853" i="5"/>
  <c r="HI850" i="5"/>
  <c r="HI1248" i="5"/>
  <c r="HG908" i="5"/>
  <c r="HJ947" i="5"/>
  <c r="JI912" i="5"/>
  <c r="HK1247" i="5"/>
  <c r="HK1242" i="5" s="1"/>
  <c r="HJ850" i="5"/>
  <c r="HI1247" i="5"/>
  <c r="JI815" i="5"/>
  <c r="HG850" i="5"/>
  <c r="HH850" i="5"/>
  <c r="HH1247" i="5"/>
  <c r="HH1242" i="5" s="1"/>
  <c r="HL1253" i="5"/>
  <c r="HL1234" i="5"/>
  <c r="JI870" i="5"/>
  <c r="HK1253" i="5"/>
  <c r="JI817" i="5"/>
  <c r="HJ1253" i="5"/>
  <c r="HI814" i="5"/>
  <c r="HI1253" i="5"/>
  <c r="HH814" i="5"/>
  <c r="JI876" i="5"/>
  <c r="HG814" i="5"/>
  <c r="HG845" i="5"/>
  <c r="JI877" i="5"/>
  <c r="HL1239" i="5"/>
  <c r="HK814" i="5"/>
  <c r="JI771" i="5"/>
  <c r="HK1239" i="5"/>
  <c r="HJ1239" i="5"/>
  <c r="JI756" i="5"/>
  <c r="JI903" i="5"/>
  <c r="HI994" i="5"/>
  <c r="HI1255" i="5" s="1"/>
  <c r="HL908" i="5"/>
  <c r="HL947" i="5"/>
  <c r="HH994" i="5"/>
  <c r="HH1255" i="5" s="1"/>
  <c r="JI1028" i="5"/>
  <c r="HJ1240" i="5"/>
  <c r="HK908" i="5"/>
  <c r="HG994" i="5"/>
  <c r="JI985" i="5"/>
  <c r="JK985" i="5" s="1"/>
  <c r="AJ1311" i="2" s="1"/>
  <c r="HL850" i="5"/>
  <c r="HL1248" i="5"/>
  <c r="HJ908" i="5"/>
  <c r="JI851" i="5"/>
  <c r="HI908" i="5"/>
  <c r="I40" i="19"/>
  <c r="I68" i="19"/>
  <c r="BA53" i="19"/>
  <c r="BA55" i="19"/>
  <c r="AR53" i="19"/>
  <c r="BJ55" i="19"/>
  <c r="HH947" i="5"/>
  <c r="HG947" i="5"/>
  <c r="HK850" i="5"/>
  <c r="O107" i="19" l="1"/>
  <c r="N107" i="19" s="1"/>
  <c r="L75" i="19"/>
  <c r="Q107" i="19"/>
  <c r="K97" i="19"/>
  <c r="L97" i="19" s="1"/>
  <c r="JK1019" i="5"/>
  <c r="AJ1344" i="2" s="1"/>
  <c r="K22" i="19"/>
  <c r="L22" i="19" s="1"/>
  <c r="JK843" i="5"/>
  <c r="AJ1149" i="2" s="1"/>
  <c r="K12" i="19"/>
  <c r="L12" i="19" s="1"/>
  <c r="JK815" i="5"/>
  <c r="AJ1121" i="2" s="1"/>
  <c r="K8" i="19"/>
  <c r="L8" i="19" s="1"/>
  <c r="JK771" i="5"/>
  <c r="AJ1077" i="2" s="1"/>
  <c r="K15" i="19"/>
  <c r="L15" i="19" s="1"/>
  <c r="JK819" i="5"/>
  <c r="AJ1125" i="2" s="1"/>
  <c r="K25" i="19"/>
  <c r="L25" i="19" s="1"/>
  <c r="JK851" i="5"/>
  <c r="AJ1157" i="2" s="1"/>
  <c r="K38" i="19"/>
  <c r="L38" i="19" s="1"/>
  <c r="JK877" i="5"/>
  <c r="AJ1198" i="2" s="1"/>
  <c r="K63" i="19"/>
  <c r="L63" i="19" s="1"/>
  <c r="JK912" i="5"/>
  <c r="AJ1233" i="2" s="1"/>
  <c r="K28" i="19"/>
  <c r="L28" i="19" s="1"/>
  <c r="JK860" i="5"/>
  <c r="AJ1166" i="2" s="1"/>
  <c r="K36" i="19"/>
  <c r="L36" i="19" s="1"/>
  <c r="JK876" i="5"/>
  <c r="AJ1196" i="2" s="1"/>
  <c r="K20" i="19"/>
  <c r="L20" i="19" s="1"/>
  <c r="JK833" i="5"/>
  <c r="AJ1139" i="2" s="1"/>
  <c r="K16" i="19"/>
  <c r="L16" i="19" s="1"/>
  <c r="JK820" i="5"/>
  <c r="AJ1126" i="2" s="1"/>
  <c r="K44" i="19"/>
  <c r="L44" i="19" s="1"/>
  <c r="JK885" i="5"/>
  <c r="AJ1206" i="2" s="1"/>
  <c r="K101" i="19"/>
  <c r="L101" i="19" s="1"/>
  <c r="JK1027" i="5"/>
  <c r="AJ1352" i="2" s="1"/>
  <c r="K56" i="19"/>
  <c r="L56" i="19" s="1"/>
  <c r="JK901" i="5"/>
  <c r="AJ1222" i="2" s="1"/>
  <c r="K27" i="19"/>
  <c r="L27" i="19" s="1"/>
  <c r="JK853" i="5"/>
  <c r="AJ1159" i="2" s="1"/>
  <c r="K9" i="19"/>
  <c r="L9" i="19" s="1"/>
  <c r="JK793" i="5"/>
  <c r="AJ1099" i="2" s="1"/>
  <c r="K88" i="19"/>
  <c r="L88" i="19" s="1"/>
  <c r="JK995" i="5"/>
  <c r="AJ1321" i="2" s="1"/>
  <c r="K94" i="19"/>
  <c r="L94" i="19" s="1"/>
  <c r="JK1009" i="5"/>
  <c r="AJ1335" i="2" s="1"/>
  <c r="K57" i="19"/>
  <c r="L57" i="19" s="1"/>
  <c r="JK903" i="5"/>
  <c r="AJ1224" i="2" s="1"/>
  <c r="K6" i="19"/>
  <c r="L6" i="19" s="1"/>
  <c r="AJ1062" i="2"/>
  <c r="K19" i="19"/>
  <c r="JK827" i="5"/>
  <c r="AJ1133" i="2" s="1"/>
  <c r="AJ496" i="2"/>
  <c r="K7" i="19"/>
  <c r="L7" i="19" s="1"/>
  <c r="JK764" i="5"/>
  <c r="AJ1070" i="2" s="1"/>
  <c r="K89" i="19"/>
  <c r="L89" i="19" s="1"/>
  <c r="JK998" i="5"/>
  <c r="AJ1324" i="2" s="1"/>
  <c r="K102" i="19"/>
  <c r="L102" i="19" s="1"/>
  <c r="JK1028" i="5"/>
  <c r="AJ1353" i="2" s="1"/>
  <c r="K13" i="19"/>
  <c r="L13" i="19" s="1"/>
  <c r="JK817" i="5"/>
  <c r="AJ1123" i="2" s="1"/>
  <c r="AI1744" i="2"/>
  <c r="JK1003" i="5"/>
  <c r="AJ1329" i="2" s="1"/>
  <c r="JQ836" i="5"/>
  <c r="K33" i="19"/>
  <c r="L33" i="19" s="1"/>
  <c r="JK870" i="5"/>
  <c r="AJ1189" i="2" s="1"/>
  <c r="BA46" i="19"/>
  <c r="AZ46" i="19"/>
  <c r="BA47" i="19"/>
  <c r="AZ47" i="19"/>
  <c r="BA45" i="19"/>
  <c r="AZ45" i="19"/>
  <c r="BJ45" i="19"/>
  <c r="BI45" i="19"/>
  <c r="BJ47" i="19"/>
  <c r="BI47" i="19"/>
  <c r="BJ46" i="19"/>
  <c r="BI46" i="19"/>
  <c r="AR46" i="19"/>
  <c r="AQ46" i="19"/>
  <c r="AR47" i="19"/>
  <c r="AQ47" i="19"/>
  <c r="K71" i="19"/>
  <c r="JK948" i="5"/>
  <c r="AJ1269" i="2" s="1"/>
  <c r="K32" i="19"/>
  <c r="L32" i="19" s="1"/>
  <c r="JI1058" i="5"/>
  <c r="K90" i="19"/>
  <c r="N90" i="19" s="1"/>
  <c r="HH813" i="5"/>
  <c r="HH1238" i="5" s="1"/>
  <c r="AI1728" i="2"/>
  <c r="HJ813" i="5"/>
  <c r="HJ1238" i="5" s="1"/>
  <c r="HK813" i="5"/>
  <c r="HK1238" i="5" s="1"/>
  <c r="HJ993" i="5"/>
  <c r="HJ1254" i="5" s="1"/>
  <c r="HJ1256" i="5" s="1"/>
  <c r="HI813" i="5"/>
  <c r="HI1238" i="5" s="1"/>
  <c r="HL993" i="5"/>
  <c r="HL1254" i="5" s="1"/>
  <c r="HL1256" i="5" s="1"/>
  <c r="HK993" i="5"/>
  <c r="HK1254" i="5" s="1"/>
  <c r="HK1256" i="5" s="1"/>
  <c r="HG1008" i="5"/>
  <c r="JI1008" i="5" s="1"/>
  <c r="HG1253" i="5"/>
  <c r="JI845" i="5"/>
  <c r="HI1242" i="5"/>
  <c r="HL813" i="5"/>
  <c r="HL1238" i="5" s="1"/>
  <c r="HL1242" i="5"/>
  <c r="L19" i="19"/>
  <c r="JI818" i="5"/>
  <c r="L71" i="19"/>
  <c r="L40" i="19"/>
  <c r="L39" i="19"/>
  <c r="HG826" i="5"/>
  <c r="HG906" i="5" s="1"/>
  <c r="HH993" i="5"/>
  <c r="HH1254" i="5" s="1"/>
  <c r="HH1256" i="5" s="1"/>
  <c r="HL907" i="5"/>
  <c r="HL1251" i="5"/>
  <c r="HL1249" i="5" s="1"/>
  <c r="HG907" i="5"/>
  <c r="HG1251" i="5"/>
  <c r="HG1249" i="5" s="1"/>
  <c r="HG1241" i="5" s="1"/>
  <c r="JI908" i="5"/>
  <c r="HI993" i="5"/>
  <c r="HI1254" i="5" s="1"/>
  <c r="HI1256" i="5" s="1"/>
  <c r="HH1233" i="5"/>
  <c r="HH1232" i="5" s="1"/>
  <c r="HH906" i="5"/>
  <c r="HI1233" i="5"/>
  <c r="HI1232" i="5" s="1"/>
  <c r="HI906" i="5"/>
  <c r="HI907" i="5"/>
  <c r="HI1251" i="5"/>
  <c r="HI1249" i="5" s="1"/>
  <c r="JI947" i="5"/>
  <c r="HJ1233" i="5"/>
  <c r="HJ1232" i="5" s="1"/>
  <c r="HJ906" i="5"/>
  <c r="HH907" i="5"/>
  <c r="HH1251" i="5"/>
  <c r="HH1249" i="5" s="1"/>
  <c r="HH1241" i="5" s="1"/>
  <c r="HK1233" i="5"/>
  <c r="HK1232" i="5" s="1"/>
  <c r="HK906" i="5"/>
  <c r="HJ907" i="5"/>
  <c r="HJ1251" i="5"/>
  <c r="HJ1249" i="5" s="1"/>
  <c r="HJ1241" i="5" s="1"/>
  <c r="HG1233" i="5"/>
  <c r="JI755" i="5"/>
  <c r="HG993" i="5"/>
  <c r="HG1255" i="5"/>
  <c r="JI994" i="5"/>
  <c r="JK994" i="5" s="1"/>
  <c r="AJ1320" i="2" s="1"/>
  <c r="HL1233" i="5"/>
  <c r="HL1232" i="5" s="1"/>
  <c r="HL906" i="5"/>
  <c r="HK907" i="5"/>
  <c r="HK1251" i="5"/>
  <c r="HK1249" i="5" s="1"/>
  <c r="HK1241" i="5" s="1"/>
  <c r="JI814" i="5"/>
  <c r="HG813" i="5"/>
  <c r="JI850" i="5"/>
  <c r="AK1157" i="2" l="1"/>
  <c r="AJ676" i="2"/>
  <c r="AJ677" i="2" s="1"/>
  <c r="AJ588" i="2"/>
  <c r="AJ602" i="2"/>
  <c r="AJ660" i="2"/>
  <c r="K93" i="19"/>
  <c r="L93" i="19" s="1"/>
  <c r="JK1008" i="5"/>
  <c r="AJ1334" i="2" s="1"/>
  <c r="K23" i="19"/>
  <c r="L23" i="19" s="1"/>
  <c r="JK845" i="5"/>
  <c r="AJ1151" i="2" s="1"/>
  <c r="AJ666" i="2"/>
  <c r="AJ665" i="2"/>
  <c r="K11" i="19"/>
  <c r="L11" i="19" s="1"/>
  <c r="JK814" i="5"/>
  <c r="AJ1120" i="2" s="1"/>
  <c r="K24" i="19"/>
  <c r="L24" i="19" s="1"/>
  <c r="JK850" i="5"/>
  <c r="K14" i="19"/>
  <c r="L14" i="19" s="1"/>
  <c r="JK818" i="5"/>
  <c r="AJ1124" i="2" s="1"/>
  <c r="K62" i="19"/>
  <c r="L62" i="19" s="1"/>
  <c r="JK908" i="5"/>
  <c r="AJ1229" i="2" s="1"/>
  <c r="K5" i="19"/>
  <c r="L5" i="19" s="1"/>
  <c r="JK755" i="5"/>
  <c r="AJ1061" i="2" s="1"/>
  <c r="AJ679" i="2"/>
  <c r="AJ680" i="2"/>
  <c r="AJ671" i="2"/>
  <c r="AJ672" i="2"/>
  <c r="AJ1156" i="2"/>
  <c r="JT836" i="5"/>
  <c r="K70" i="19"/>
  <c r="L70" i="19" s="1"/>
  <c r="JK947" i="5"/>
  <c r="AJ1268" i="2" s="1"/>
  <c r="HG754" i="5"/>
  <c r="HG932" i="5" s="1"/>
  <c r="HL754" i="5"/>
  <c r="HL905" i="5" s="1"/>
  <c r="HL924" i="5" s="1"/>
  <c r="HL1041" i="5" s="1"/>
  <c r="HK754" i="5"/>
  <c r="HK905" i="5" s="1"/>
  <c r="HK924" i="5" s="1"/>
  <c r="HK1041" i="5" s="1"/>
  <c r="HH754" i="5"/>
  <c r="HH905" i="5" s="1"/>
  <c r="HH924" i="5" s="1"/>
  <c r="HH1041" i="5" s="1"/>
  <c r="HJ754" i="5"/>
  <c r="HJ905" i="5" s="1"/>
  <c r="HJ924" i="5" s="1"/>
  <c r="HJ1041" i="5" s="1"/>
  <c r="HI754" i="5"/>
  <c r="HI905" i="5" s="1"/>
  <c r="HI924" i="5" s="1"/>
  <c r="HI1041" i="5" s="1"/>
  <c r="HI1241" i="5"/>
  <c r="HI1257" i="5" s="1"/>
  <c r="L90" i="19"/>
  <c r="K87" i="19"/>
  <c r="L87" i="19" s="1"/>
  <c r="AI1720" i="2"/>
  <c r="HL1241" i="5"/>
  <c r="HL1257" i="5" s="1"/>
  <c r="HL925" i="5"/>
  <c r="HJ925" i="5"/>
  <c r="JI906" i="5"/>
  <c r="JK906" i="5" s="1"/>
  <c r="HH1257" i="5"/>
  <c r="JI826" i="5"/>
  <c r="HG1237" i="5"/>
  <c r="HG1232" i="5" s="1"/>
  <c r="HK1257" i="5"/>
  <c r="JI993" i="5"/>
  <c r="HI925" i="5"/>
  <c r="HK925" i="5"/>
  <c r="HG1238" i="5"/>
  <c r="JI813" i="5"/>
  <c r="HH925" i="5"/>
  <c r="HG925" i="5"/>
  <c r="JI907" i="5"/>
  <c r="HJ1257" i="5"/>
  <c r="AL1157" i="2" l="1"/>
  <c r="AJ1392" i="2"/>
  <c r="AJ1391" i="2" s="1"/>
  <c r="W25" i="19"/>
  <c r="Y25" i="19" s="1"/>
  <c r="Q61" i="21"/>
  <c r="R61" i="21" s="1"/>
  <c r="K10" i="19"/>
  <c r="L10" i="19" s="1"/>
  <c r="JK813" i="5"/>
  <c r="AJ1119" i="2" s="1"/>
  <c r="K85" i="19"/>
  <c r="L85" i="19" s="1"/>
  <c r="JK993" i="5"/>
  <c r="AJ1319" i="2" s="1"/>
  <c r="K60" i="19"/>
  <c r="L60" i="19" s="1"/>
  <c r="K61" i="19"/>
  <c r="L61" i="19" s="1"/>
  <c r="JK907" i="5"/>
  <c r="AJ1228" i="2" s="1"/>
  <c r="JW836" i="5"/>
  <c r="JZ836" i="5"/>
  <c r="K18" i="19"/>
  <c r="L18" i="19" s="1"/>
  <c r="JK826" i="5"/>
  <c r="AJ1132" i="2" s="1"/>
  <c r="HK932" i="5"/>
  <c r="HJ932" i="5"/>
  <c r="HH932" i="5"/>
  <c r="HG905" i="5"/>
  <c r="JI905" i="5" s="1"/>
  <c r="JK905" i="5" s="1"/>
  <c r="HI932" i="5"/>
  <c r="HL932" i="5"/>
  <c r="JI925" i="5"/>
  <c r="JK925" i="5" s="1"/>
  <c r="JI988" i="5"/>
  <c r="AI425" i="2"/>
  <c r="AK425" i="2"/>
  <c r="AE425" i="2"/>
  <c r="AM1157" i="2" l="1"/>
  <c r="K84" i="19"/>
  <c r="L84" i="19" s="1"/>
  <c r="JK988" i="5"/>
  <c r="AJ1314" i="2" s="1"/>
  <c r="AI507" i="2"/>
  <c r="AI533" i="2"/>
  <c r="JI932" i="5"/>
  <c r="HG924" i="5"/>
  <c r="JI987" i="5"/>
  <c r="HG1254" i="5"/>
  <c r="AP1482" i="2"/>
  <c r="AQ1482" i="2"/>
  <c r="AR1482" i="2"/>
  <c r="AS1482" i="2"/>
  <c r="AT1482" i="2"/>
  <c r="AP1398" i="2"/>
  <c r="AQ1398" i="2"/>
  <c r="AR1398" i="2"/>
  <c r="AS1398" i="2"/>
  <c r="AT1398" i="2"/>
  <c r="AP1406" i="2"/>
  <c r="AQ1406" i="2"/>
  <c r="AR1406" i="2"/>
  <c r="AS1406" i="2"/>
  <c r="AT1406" i="2"/>
  <c r="AP1407" i="2"/>
  <c r="AQ1407" i="2"/>
  <c r="AR1407" i="2"/>
  <c r="AS1407" i="2"/>
  <c r="AT1407" i="2"/>
  <c r="AP1409" i="2"/>
  <c r="AQ1409" i="2"/>
  <c r="AR1409" i="2"/>
  <c r="AS1409" i="2"/>
  <c r="AT1409" i="2"/>
  <c r="AP1423" i="2"/>
  <c r="AQ1423" i="2"/>
  <c r="AR1423" i="2"/>
  <c r="AS1423" i="2"/>
  <c r="AT1423" i="2"/>
  <c r="AP1425" i="2"/>
  <c r="AQ1425" i="2"/>
  <c r="AR1425" i="2"/>
  <c r="AS1425" i="2"/>
  <c r="AT1425" i="2"/>
  <c r="AP1426" i="2"/>
  <c r="AQ1426" i="2"/>
  <c r="AR1426" i="2"/>
  <c r="AS1426" i="2"/>
  <c r="AT1426" i="2"/>
  <c r="AP1427" i="2"/>
  <c r="AQ1427" i="2"/>
  <c r="AR1427" i="2"/>
  <c r="AS1427" i="2"/>
  <c r="AT1427" i="2"/>
  <c r="AP1430" i="2"/>
  <c r="AQ1430" i="2"/>
  <c r="AR1430" i="2"/>
  <c r="AS1430" i="2"/>
  <c r="AT1430" i="2"/>
  <c r="AP1439" i="2"/>
  <c r="AQ1439" i="2"/>
  <c r="AR1439" i="2"/>
  <c r="AS1439" i="2"/>
  <c r="AT1439" i="2"/>
  <c r="AP1440" i="2"/>
  <c r="AQ1440" i="2"/>
  <c r="AR1440" i="2"/>
  <c r="AS1440" i="2"/>
  <c r="AT1440" i="2"/>
  <c r="AP1442" i="2"/>
  <c r="AQ1442" i="2"/>
  <c r="AR1442" i="2"/>
  <c r="AS1442" i="2"/>
  <c r="AT1442" i="2"/>
  <c r="AP1466" i="2"/>
  <c r="AQ1466" i="2"/>
  <c r="AR1466" i="2"/>
  <c r="AS1466" i="2"/>
  <c r="AT1466" i="2"/>
  <c r="AQ1477" i="2"/>
  <c r="AR1477" i="2"/>
  <c r="AS1477" i="2"/>
  <c r="AT1477" i="2"/>
  <c r="AQ1365" i="2"/>
  <c r="KF1040" i="5" s="1"/>
  <c r="AR1365" i="2"/>
  <c r="KI1040" i="5" s="1"/>
  <c r="AS1365" i="2"/>
  <c r="KL1040" i="5" s="1"/>
  <c r="AT1365" i="2"/>
  <c r="AQ1364" i="2"/>
  <c r="KF1039" i="5" s="1"/>
  <c r="AR1364" i="2"/>
  <c r="KI1039" i="5" s="1"/>
  <c r="AS1364" i="2"/>
  <c r="KL1039" i="5" s="1"/>
  <c r="AT1364" i="2"/>
  <c r="AQ1473" i="2"/>
  <c r="AR1473" i="2"/>
  <c r="AS1473" i="2"/>
  <c r="AT1473" i="2"/>
  <c r="AQ1361" i="2"/>
  <c r="KF1036" i="5" s="1"/>
  <c r="AR1361" i="2"/>
  <c r="KI1036" i="5" s="1"/>
  <c r="AS1361" i="2"/>
  <c r="KL1036" i="5" s="1"/>
  <c r="AT1361" i="2"/>
  <c r="AT1472" i="2"/>
  <c r="AQ1358" i="2"/>
  <c r="AR1358" i="2"/>
  <c r="KI1033" i="5" s="1"/>
  <c r="AS1358" i="2"/>
  <c r="KL1033" i="5" s="1"/>
  <c r="AT1358" i="2"/>
  <c r="AQ1357" i="2"/>
  <c r="KF1032" i="5" s="1"/>
  <c r="AR1357" i="2"/>
  <c r="KI1032" i="5" s="1"/>
  <c r="AS1357" i="2"/>
  <c r="KL1032" i="5" s="1"/>
  <c r="AT1357" i="2"/>
  <c r="AQ1356" i="2"/>
  <c r="KF1031" i="5" s="1"/>
  <c r="AR1356" i="2"/>
  <c r="KI1031" i="5" s="1"/>
  <c r="AS1356" i="2"/>
  <c r="KL1031" i="5" s="1"/>
  <c r="AT1356" i="2"/>
  <c r="AP1351" i="2"/>
  <c r="AQ1351" i="2"/>
  <c r="AR1351" i="2"/>
  <c r="AS1351" i="2"/>
  <c r="AV1351" i="2" s="1"/>
  <c r="AO1347" i="2"/>
  <c r="JZ1022" i="5" s="1"/>
  <c r="AP1347" i="2"/>
  <c r="KC1022" i="5" s="1"/>
  <c r="AQ1347" i="2"/>
  <c r="KF1022" i="5" s="1"/>
  <c r="AR1347" i="2"/>
  <c r="KI1022" i="5" s="1"/>
  <c r="AS1347" i="2"/>
  <c r="KO1022" i="5"/>
  <c r="KC1018" i="5"/>
  <c r="KA1018" i="5" s="1"/>
  <c r="KB1018" i="5" s="1"/>
  <c r="KF1018" i="5"/>
  <c r="KD1018" i="5" s="1"/>
  <c r="KE1018" i="5" s="1"/>
  <c r="KI1018" i="5"/>
  <c r="KG1018" i="5" s="1"/>
  <c r="KH1018" i="5" s="1"/>
  <c r="KL1018" i="5"/>
  <c r="KJ1018" i="5" s="1"/>
  <c r="KK1018" i="5" s="1"/>
  <c r="KO1018" i="5"/>
  <c r="KL1009" i="5"/>
  <c r="KO1009" i="5"/>
  <c r="AP1290" i="2"/>
  <c r="KC969" i="5" s="1"/>
  <c r="AQ1290" i="2"/>
  <c r="KF969" i="5" s="1"/>
  <c r="AR1290" i="2"/>
  <c r="KI969" i="5" s="1"/>
  <c r="AS1290" i="2"/>
  <c r="KL969" i="5" s="1"/>
  <c r="AT1290" i="2"/>
  <c r="AP1237" i="2"/>
  <c r="KC916" i="5" s="1"/>
  <c r="AQ1237" i="2"/>
  <c r="KF916" i="5" s="1"/>
  <c r="AR1237" i="2"/>
  <c r="KI916" i="5" s="1"/>
  <c r="AS1237" i="2"/>
  <c r="KL916" i="5" s="1"/>
  <c r="AT1237" i="2"/>
  <c r="AP1232" i="2"/>
  <c r="KC911" i="5" s="1"/>
  <c r="AQ1232" i="2"/>
  <c r="KF911" i="5" s="1"/>
  <c r="AR1232" i="2"/>
  <c r="KI911" i="5" s="1"/>
  <c r="AS1232" i="2"/>
  <c r="KL911" i="5" s="1"/>
  <c r="AT1232" i="2"/>
  <c r="AP1223" i="2"/>
  <c r="KC902" i="5" s="1"/>
  <c r="KA902" i="5" s="1"/>
  <c r="KB902" i="5" s="1"/>
  <c r="AQ1223" i="2"/>
  <c r="KF902" i="5" s="1"/>
  <c r="AR1223" i="2"/>
  <c r="KI902" i="5" s="1"/>
  <c r="KG902" i="5" s="1"/>
  <c r="KH902" i="5" s="1"/>
  <c r="AS1223" i="2"/>
  <c r="KL902" i="5" s="1"/>
  <c r="KJ902" i="5" s="1"/>
  <c r="KK902" i="5" s="1"/>
  <c r="AT1223" i="2"/>
  <c r="AP1209" i="2"/>
  <c r="KC888" i="5" s="1"/>
  <c r="KA888" i="5" s="1"/>
  <c r="KB888" i="5" s="1"/>
  <c r="AQ1209" i="2"/>
  <c r="KF888" i="5" s="1"/>
  <c r="KD888" i="5" s="1"/>
  <c r="KE888" i="5" s="1"/>
  <c r="AR1209" i="2"/>
  <c r="KI888" i="5" s="1"/>
  <c r="KG888" i="5" s="1"/>
  <c r="KH888" i="5" s="1"/>
  <c r="AS1209" i="2"/>
  <c r="KL888" i="5" s="1"/>
  <c r="KJ888" i="5" s="1"/>
  <c r="KK888" i="5" s="1"/>
  <c r="AT1209" i="2"/>
  <c r="AP1208" i="2"/>
  <c r="KC887" i="5" s="1"/>
  <c r="KA887" i="5" s="1"/>
  <c r="KB887" i="5" s="1"/>
  <c r="AQ1208" i="2"/>
  <c r="KF887" i="5" s="1"/>
  <c r="KD887" i="5" s="1"/>
  <c r="KE887" i="5" s="1"/>
  <c r="AR1208" i="2"/>
  <c r="KI887" i="5" s="1"/>
  <c r="KG887" i="5" s="1"/>
  <c r="AS1208" i="2"/>
  <c r="KL887" i="5" s="1"/>
  <c r="KJ887" i="5" s="1"/>
  <c r="AT1208" i="2"/>
  <c r="AP1207" i="2"/>
  <c r="KC886" i="5" s="1"/>
  <c r="AQ1207" i="2"/>
  <c r="KF886" i="5" s="1"/>
  <c r="KD886" i="5" s="1"/>
  <c r="KE886" i="5" s="1"/>
  <c r="AR1207" i="2"/>
  <c r="KI886" i="5" s="1"/>
  <c r="AS1207" i="2"/>
  <c r="KL886" i="5" s="1"/>
  <c r="AT1207" i="2"/>
  <c r="AP1205" i="2"/>
  <c r="KC884" i="5" s="1"/>
  <c r="AQ1205" i="2"/>
  <c r="KF884" i="5" s="1"/>
  <c r="AR1205" i="2"/>
  <c r="KI884" i="5" s="1"/>
  <c r="AS1205" i="2"/>
  <c r="KL884" i="5" s="1"/>
  <c r="AT1205" i="2"/>
  <c r="AP1203" i="2"/>
  <c r="KC882" i="5" s="1"/>
  <c r="KA882" i="5" s="1"/>
  <c r="KB882" i="5" s="1"/>
  <c r="AQ1203" i="2"/>
  <c r="KF882" i="5" s="1"/>
  <c r="KD882" i="5" s="1"/>
  <c r="KE882" i="5" s="1"/>
  <c r="AR1203" i="2"/>
  <c r="KI882" i="5" s="1"/>
  <c r="KG882" i="5" s="1"/>
  <c r="KH882" i="5" s="1"/>
  <c r="AS1203" i="2"/>
  <c r="KL882" i="5" s="1"/>
  <c r="KJ882" i="5" s="1"/>
  <c r="KK882" i="5" s="1"/>
  <c r="AT1203" i="2"/>
  <c r="AQ1199" i="2"/>
  <c r="KF878" i="5" s="1"/>
  <c r="KE878" i="5" s="1"/>
  <c r="AR1199" i="2"/>
  <c r="KI878" i="5" s="1"/>
  <c r="KH878" i="5" s="1"/>
  <c r="AS1199" i="2"/>
  <c r="KL878" i="5" s="1"/>
  <c r="KK878" i="5" s="1"/>
  <c r="AT1199" i="2"/>
  <c r="AQ1196" i="2"/>
  <c r="KF876" i="5" s="1"/>
  <c r="KE876" i="5" s="1"/>
  <c r="AR1196" i="2"/>
  <c r="KI876" i="5" s="1"/>
  <c r="KH876" i="5" s="1"/>
  <c r="AS1196" i="2"/>
  <c r="KL876" i="5" s="1"/>
  <c r="KK876" i="5" s="1"/>
  <c r="AT1196" i="2"/>
  <c r="AQ1190" i="2"/>
  <c r="KF871" i="5" s="1"/>
  <c r="KD871" i="5" s="1"/>
  <c r="KE871" i="5" s="1"/>
  <c r="AR1190" i="2"/>
  <c r="KI871" i="5" s="1"/>
  <c r="KG871" i="5" s="1"/>
  <c r="KH871" i="5" s="1"/>
  <c r="AS1190" i="2"/>
  <c r="KL871" i="5" s="1"/>
  <c r="KJ871" i="5" s="1"/>
  <c r="KK871" i="5" s="1"/>
  <c r="AT1190" i="2"/>
  <c r="AQ1189" i="2"/>
  <c r="AR1189" i="2"/>
  <c r="AS1189" i="2"/>
  <c r="AT1189" i="2"/>
  <c r="AQ1131" i="2"/>
  <c r="AR1131" i="2"/>
  <c r="AS1131" i="2"/>
  <c r="AT1131" i="2"/>
  <c r="AQ1126" i="2"/>
  <c r="KF820" i="5" s="1"/>
  <c r="KE820" i="5" s="1"/>
  <c r="KE818" i="5" s="1"/>
  <c r="AR1126" i="2"/>
  <c r="KI820" i="5" s="1"/>
  <c r="KH820" i="5" s="1"/>
  <c r="KH818" i="5" s="1"/>
  <c r="AS1126" i="2"/>
  <c r="KL820" i="5" s="1"/>
  <c r="KK820" i="5" s="1"/>
  <c r="KK818" i="5" s="1"/>
  <c r="AT1126" i="2"/>
  <c r="AP1102" i="2"/>
  <c r="KC796" i="5" s="1"/>
  <c r="KA796" i="5" s="1"/>
  <c r="KB796" i="5" s="1"/>
  <c r="AP1089" i="2"/>
  <c r="AP522" i="2" s="1"/>
  <c r="AN425" i="2"/>
  <c r="AP425" i="2"/>
  <c r="AQ425" i="2"/>
  <c r="AR425" i="2"/>
  <c r="AS425" i="2"/>
  <c r="AT425" i="2"/>
  <c r="AP1072" i="2"/>
  <c r="AP1059" i="2"/>
  <c r="AQ1059" i="2"/>
  <c r="AR1059" i="2"/>
  <c r="AS1059" i="2"/>
  <c r="AT1059" i="2"/>
  <c r="AP1057" i="2"/>
  <c r="AQ1057" i="2"/>
  <c r="AR1057" i="2"/>
  <c r="AS1057" i="2"/>
  <c r="AT1057" i="2"/>
  <c r="AP718" i="2"/>
  <c r="AQ718" i="2"/>
  <c r="AR718" i="2"/>
  <c r="AS718" i="2"/>
  <c r="AT718" i="2"/>
  <c r="AP691" i="2"/>
  <c r="AR691" i="2"/>
  <c r="AS691" i="2"/>
  <c r="AT691" i="2"/>
  <c r="AQ685" i="2"/>
  <c r="AR685" i="2"/>
  <c r="AS685" i="2"/>
  <c r="AT685" i="2"/>
  <c r="AQ686" i="2"/>
  <c r="AR686" i="2"/>
  <c r="AS686" i="2"/>
  <c r="AT686" i="2"/>
  <c r="AQ639" i="2"/>
  <c r="AR639" i="2"/>
  <c r="AS639" i="2"/>
  <c r="AT639" i="2"/>
  <c r="AP642" i="2"/>
  <c r="AQ642" i="2"/>
  <c r="AR642" i="2"/>
  <c r="AS642" i="2"/>
  <c r="AT642" i="2"/>
  <c r="AP649" i="2"/>
  <c r="AQ649" i="2"/>
  <c r="AR649" i="2"/>
  <c r="AS649" i="2"/>
  <c r="AT649" i="2"/>
  <c r="AQ637" i="2"/>
  <c r="AR637" i="2"/>
  <c r="AS637" i="2"/>
  <c r="AT637" i="2"/>
  <c r="AP619" i="2"/>
  <c r="AQ619" i="2"/>
  <c r="AR619" i="2"/>
  <c r="AS619" i="2"/>
  <c r="AT619" i="2"/>
  <c r="AQ622" i="2"/>
  <c r="AR622" i="2"/>
  <c r="AS622" i="2"/>
  <c r="AT622" i="2"/>
  <c r="AP623" i="2"/>
  <c r="AQ623" i="2"/>
  <c r="AR623" i="2"/>
  <c r="AS623" i="2"/>
  <c r="AT623" i="2"/>
  <c r="AP624" i="2"/>
  <c r="AQ624" i="2"/>
  <c r="AR624" i="2"/>
  <c r="AS624" i="2"/>
  <c r="AT624" i="2"/>
  <c r="AQ625" i="2"/>
  <c r="AR625" i="2"/>
  <c r="AS625" i="2"/>
  <c r="AT625" i="2"/>
  <c r="AP626" i="2"/>
  <c r="AQ626" i="2"/>
  <c r="AR626" i="2"/>
  <c r="AS626" i="2"/>
  <c r="AT626" i="2"/>
  <c r="AQ627" i="2"/>
  <c r="AR627" i="2"/>
  <c r="AS627" i="2"/>
  <c r="AT627" i="2"/>
  <c r="AP629" i="2"/>
  <c r="AQ629" i="2"/>
  <c r="AR629" i="2"/>
  <c r="AS629" i="2"/>
  <c r="AT629" i="2"/>
  <c r="AQ632" i="2"/>
  <c r="AR632" i="2"/>
  <c r="AS632" i="2"/>
  <c r="AT632" i="2"/>
  <c r="AQ633" i="2"/>
  <c r="AR633" i="2"/>
  <c r="AS633" i="2"/>
  <c r="AT633" i="2"/>
  <c r="AQ635" i="2"/>
  <c r="AR635" i="2"/>
  <c r="AS635" i="2"/>
  <c r="AT635" i="2"/>
  <c r="AP636" i="2"/>
  <c r="AQ636" i="2"/>
  <c r="AR636" i="2"/>
  <c r="AS636" i="2"/>
  <c r="AT636" i="2"/>
  <c r="AP618" i="2"/>
  <c r="AQ618" i="2"/>
  <c r="AR618" i="2"/>
  <c r="AS618" i="2"/>
  <c r="AT618" i="2"/>
  <c r="AQ616" i="2"/>
  <c r="AP616" i="2"/>
  <c r="AR616" i="2"/>
  <c r="AS616" i="2"/>
  <c r="AT616" i="2"/>
  <c r="AP614" i="2"/>
  <c r="AQ614" i="2"/>
  <c r="AR614" i="2"/>
  <c r="AS614" i="2"/>
  <c r="AT614" i="2"/>
  <c r="AP612" i="2"/>
  <c r="AQ612" i="2"/>
  <c r="AR612" i="2"/>
  <c r="AS612" i="2"/>
  <c r="AT612" i="2"/>
  <c r="AN423" i="2"/>
  <c r="AN1157" i="2" l="1"/>
  <c r="K83" i="19"/>
  <c r="L83" i="19" s="1"/>
  <c r="JK987" i="5"/>
  <c r="AJ1313" i="2" s="1"/>
  <c r="JI924" i="5"/>
  <c r="JK924" i="5" s="1"/>
  <c r="HG1041" i="5"/>
  <c r="JI944" i="5"/>
  <c r="JK944" i="5" s="1"/>
  <c r="JK932" i="5"/>
  <c r="KO916" i="5"/>
  <c r="AV1237" i="2"/>
  <c r="KO882" i="5"/>
  <c r="KM882" i="5" s="1"/>
  <c r="KN882" i="5" s="1"/>
  <c r="AV1203" i="2"/>
  <c r="KO888" i="5"/>
  <c r="KM888" i="5" s="1"/>
  <c r="KN888" i="5" s="1"/>
  <c r="AV1209" i="2"/>
  <c r="AU1209" i="2" s="1"/>
  <c r="KO969" i="5"/>
  <c r="AV1290" i="2"/>
  <c r="KL1022" i="5"/>
  <c r="AV1347" i="2"/>
  <c r="KO887" i="5"/>
  <c r="KM887" i="5" s="1"/>
  <c r="KN887" i="5" s="1"/>
  <c r="AV1208" i="2"/>
  <c r="AU1208" i="2" s="1"/>
  <c r="KO884" i="5"/>
  <c r="AV1205" i="2"/>
  <c r="KO902" i="5"/>
  <c r="KM902" i="5" s="1"/>
  <c r="KN902" i="5" s="1"/>
  <c r="AV1223" i="2"/>
  <c r="KO886" i="5"/>
  <c r="KM886" i="5" s="1"/>
  <c r="KN886" i="5" s="1"/>
  <c r="AV1207" i="2"/>
  <c r="AU1207" i="2" s="1"/>
  <c r="KO911" i="5"/>
  <c r="AV1232" i="2"/>
  <c r="AV1196" i="2"/>
  <c r="AU1196" i="2" s="1"/>
  <c r="AT1656" i="2" s="1"/>
  <c r="AV1131" i="2"/>
  <c r="AU1131" i="2" s="1"/>
  <c r="KO1039" i="5"/>
  <c r="AV1364" i="2"/>
  <c r="AU1364" i="2" s="1"/>
  <c r="KO1040" i="5"/>
  <c r="AV1365" i="2"/>
  <c r="AU1365" i="2" s="1"/>
  <c r="KO871" i="5"/>
  <c r="KM871" i="5" s="1"/>
  <c r="KN871" i="5" s="1"/>
  <c r="AV1190" i="2"/>
  <c r="AU1190" i="2" s="1"/>
  <c r="KO870" i="5"/>
  <c r="AV1189" i="2"/>
  <c r="AU1189" i="2" s="1"/>
  <c r="AT1657" i="2" s="1"/>
  <c r="KO878" i="5"/>
  <c r="KN878" i="5" s="1"/>
  <c r="AV1199" i="2"/>
  <c r="KO1031" i="5"/>
  <c r="AV1356" i="2"/>
  <c r="KO1036" i="5"/>
  <c r="AV1361" i="2"/>
  <c r="KO820" i="5"/>
  <c r="KN820" i="5" s="1"/>
  <c r="KN818" i="5" s="1"/>
  <c r="AV1126" i="2"/>
  <c r="AU1126" i="2" s="1"/>
  <c r="KO1032" i="5"/>
  <c r="AV1357" i="2"/>
  <c r="KO1033" i="5"/>
  <c r="AV1358" i="2"/>
  <c r="AU1358" i="2" s="1"/>
  <c r="AO425" i="2"/>
  <c r="KF870" i="5"/>
  <c r="AQ1188" i="2"/>
  <c r="KF869" i="5" s="1"/>
  <c r="KI870" i="5"/>
  <c r="AR1188" i="2"/>
  <c r="KI869" i="5" s="1"/>
  <c r="KL870" i="5"/>
  <c r="AS1188" i="2"/>
  <c r="KL869" i="5" s="1"/>
  <c r="KO1026" i="5"/>
  <c r="AS1350" i="2"/>
  <c r="AV1350" i="2" s="1"/>
  <c r="KL1026" i="5"/>
  <c r="AT1414" i="2"/>
  <c r="KO825" i="5"/>
  <c r="KN825" i="5" s="1"/>
  <c r="AR1350" i="2"/>
  <c r="KI1026" i="5"/>
  <c r="AS1414" i="2"/>
  <c r="KL825" i="5"/>
  <c r="KK825" i="5" s="1"/>
  <c r="AQ1350" i="2"/>
  <c r="KF1026" i="5"/>
  <c r="AQ1471" i="2"/>
  <c r="KF1033" i="5"/>
  <c r="KK887" i="5"/>
  <c r="AP1350" i="2"/>
  <c r="KC1026" i="5"/>
  <c r="KD902" i="5"/>
  <c r="KE902" i="5" s="1"/>
  <c r="KC783" i="5"/>
  <c r="KA783" i="5" s="1"/>
  <c r="KB783" i="5" s="1"/>
  <c r="KO876" i="5"/>
  <c r="KN876" i="5" s="1"/>
  <c r="KA886" i="5"/>
  <c r="KB886" i="5" s="1"/>
  <c r="AQ1414" i="2"/>
  <c r="KF825" i="5"/>
  <c r="KE825" i="5" s="1"/>
  <c r="AQ1072" i="2"/>
  <c r="KF766" i="5" s="1"/>
  <c r="KC766" i="5"/>
  <c r="KA766" i="5" s="1"/>
  <c r="KB766" i="5" s="1"/>
  <c r="KM1018" i="5"/>
  <c r="KN1018" i="5" s="1"/>
  <c r="KG886" i="5"/>
  <c r="KH886" i="5" s="1"/>
  <c r="KH887" i="5"/>
  <c r="AR1414" i="2"/>
  <c r="KI825" i="5"/>
  <c r="KH825" i="5" s="1"/>
  <c r="KJ886" i="5"/>
  <c r="KK886" i="5" s="1"/>
  <c r="JI934" i="5"/>
  <c r="JK934" i="5" s="1"/>
  <c r="JI935" i="5"/>
  <c r="JK935" i="5" s="1"/>
  <c r="JI940" i="5"/>
  <c r="JK940" i="5" s="1"/>
  <c r="JI941" i="5"/>
  <c r="JK941" i="5" s="1"/>
  <c r="JI942" i="5"/>
  <c r="JK942" i="5" s="1"/>
  <c r="JI943" i="5"/>
  <c r="JK943" i="5" s="1"/>
  <c r="JI1041" i="5"/>
  <c r="AR1657" i="2"/>
  <c r="AQ1657" i="2"/>
  <c r="AR1229" i="2"/>
  <c r="AS1229" i="2"/>
  <c r="AT1229" i="2"/>
  <c r="AT1300" i="2"/>
  <c r="AS1656" i="2"/>
  <c r="AS1124" i="2"/>
  <c r="AR1656" i="2"/>
  <c r="AS1657" i="2"/>
  <c r="AS1472" i="2"/>
  <c r="AS1661" i="2"/>
  <c r="AT1124" i="2"/>
  <c r="AR1472" i="2"/>
  <c r="AR1661" i="2"/>
  <c r="AT1210" i="2"/>
  <c r="AQ1472" i="2"/>
  <c r="AS1210" i="2"/>
  <c r="AQ1656" i="2"/>
  <c r="AT1471" i="2"/>
  <c r="AS1471" i="2"/>
  <c r="HG1256" i="5"/>
  <c r="HG1257" i="5"/>
  <c r="JI930" i="5"/>
  <c r="JK930" i="5" s="1"/>
  <c r="JI929" i="5"/>
  <c r="JK929" i="5" s="1"/>
  <c r="JI928" i="5"/>
  <c r="JK928" i="5" s="1"/>
  <c r="JK927" i="5"/>
  <c r="AT1470" i="2"/>
  <c r="AS1470" i="2"/>
  <c r="AT1405" i="2"/>
  <c r="AP1071" i="2"/>
  <c r="KC765" i="5" s="1"/>
  <c r="KA765" i="5" s="1"/>
  <c r="KB765" i="5" s="1"/>
  <c r="AT1334" i="2"/>
  <c r="AP1210" i="2"/>
  <c r="AS1334" i="2"/>
  <c r="KL1008" i="5" s="1"/>
  <c r="AR1405" i="2"/>
  <c r="AS1405" i="2"/>
  <c r="AR1465" i="2"/>
  <c r="AQ1102" i="2"/>
  <c r="KF796" i="5" s="1"/>
  <c r="KD796" i="5" s="1"/>
  <c r="KE796" i="5" s="1"/>
  <c r="AP1283" i="2"/>
  <c r="AQ1405" i="2"/>
  <c r="AT1465" i="2"/>
  <c r="AT1410" i="2"/>
  <c r="AT1408" i="2" s="1"/>
  <c r="AP1405" i="2"/>
  <c r="AS1465" i="2"/>
  <c r="AS1410" i="2"/>
  <c r="AS1408" i="2" s="1"/>
  <c r="KI1009" i="5"/>
  <c r="AR1124" i="2"/>
  <c r="AR1410" i="2"/>
  <c r="AQ1210" i="2"/>
  <c r="KC1009" i="5"/>
  <c r="AR1210" i="2"/>
  <c r="AR1470" i="2"/>
  <c r="AR1471" i="2"/>
  <c r="AQ1124" i="2"/>
  <c r="AQ1410" i="2"/>
  <c r="KF1009" i="5"/>
  <c r="AS1300" i="2"/>
  <c r="KL976" i="5" s="1"/>
  <c r="KK976" i="5" s="1"/>
  <c r="AR1300" i="2"/>
  <c r="KI976" i="5" s="1"/>
  <c r="KH976" i="5" s="1"/>
  <c r="AT1188" i="2"/>
  <c r="AO423" i="2"/>
  <c r="AT1353" i="2"/>
  <c r="AS1353" i="2"/>
  <c r="AQ1300" i="2"/>
  <c r="KF976" i="5" s="1"/>
  <c r="KE976" i="5" s="1"/>
  <c r="AQ1089" i="2"/>
  <c r="AO1157" i="2" l="1"/>
  <c r="AV1229" i="2"/>
  <c r="KO976" i="5"/>
  <c r="KN976" i="5" s="1"/>
  <c r="AV1300" i="2"/>
  <c r="AU1300" i="2" s="1"/>
  <c r="AT1664" i="2" s="1"/>
  <c r="AV1210" i="2"/>
  <c r="AU1210" i="2" s="1"/>
  <c r="KO1008" i="5"/>
  <c r="AV1334" i="2"/>
  <c r="AU1334" i="2" s="1"/>
  <c r="KO869" i="5"/>
  <c r="KN869" i="5" s="1"/>
  <c r="AV1188" i="2"/>
  <c r="AU1188" i="2" s="1"/>
  <c r="AU1229" i="2"/>
  <c r="AU1124" i="2"/>
  <c r="AU1119" i="2" s="1"/>
  <c r="AV1353" i="2"/>
  <c r="AU1353" i="2" s="1"/>
  <c r="KO818" i="5"/>
  <c r="AV1124" i="2"/>
  <c r="KF783" i="5"/>
  <c r="KD783" i="5" s="1"/>
  <c r="KE783" i="5" s="1"/>
  <c r="AQ522" i="2"/>
  <c r="K110" i="19"/>
  <c r="L110" i="19" s="1"/>
  <c r="JK1041" i="5"/>
  <c r="KI889" i="5"/>
  <c r="KG889" i="5" s="1"/>
  <c r="KH889" i="5" s="1"/>
  <c r="KF889" i="5"/>
  <c r="KD889" i="5" s="1"/>
  <c r="KE889" i="5" s="1"/>
  <c r="KL889" i="5"/>
  <c r="KJ889" i="5" s="1"/>
  <c r="KK889" i="5" s="1"/>
  <c r="KO889" i="5"/>
  <c r="KM889" i="5" s="1"/>
  <c r="KN889" i="5" s="1"/>
  <c r="KC889" i="5"/>
  <c r="KA889" i="5" s="1"/>
  <c r="KB889" i="5" s="1"/>
  <c r="AR1072" i="2"/>
  <c r="KI766" i="5" s="1"/>
  <c r="KG766" i="5" s="1"/>
  <c r="KH766" i="5" s="1"/>
  <c r="AQ1071" i="2"/>
  <c r="KF765" i="5" s="1"/>
  <c r="KD765" i="5" s="1"/>
  <c r="KE765" i="5" s="1"/>
  <c r="AP1346" i="2"/>
  <c r="KC1021" i="5" s="1"/>
  <c r="KC1025" i="5"/>
  <c r="AS1438" i="2"/>
  <c r="KL908" i="5"/>
  <c r="KK908" i="5" s="1"/>
  <c r="AQ1346" i="2"/>
  <c r="KF1021" i="5" s="1"/>
  <c r="KF1025" i="5"/>
  <c r="AR1346" i="2"/>
  <c r="KI1021" i="5" s="1"/>
  <c r="KI1025" i="5"/>
  <c r="KD766" i="5"/>
  <c r="KE766" i="5" s="1"/>
  <c r="KE869" i="5"/>
  <c r="KK869" i="5"/>
  <c r="AP1282" i="2"/>
  <c r="KC961" i="5" s="1"/>
  <c r="KA961" i="5" s="1"/>
  <c r="KB961" i="5" s="1"/>
  <c r="KC962" i="5"/>
  <c r="KA962" i="5" s="1"/>
  <c r="KB962" i="5" s="1"/>
  <c r="AT1352" i="2"/>
  <c r="KO1028" i="5"/>
  <c r="AR1438" i="2"/>
  <c r="KI908" i="5"/>
  <c r="KH908" i="5" s="1"/>
  <c r="AT1438" i="2"/>
  <c r="KO908" i="5"/>
  <c r="KN908" i="5" s="1"/>
  <c r="AS1346" i="2"/>
  <c r="KL1025" i="5"/>
  <c r="KH869" i="5"/>
  <c r="KO1021" i="5"/>
  <c r="KO1025" i="5"/>
  <c r="AS1352" i="2"/>
  <c r="KL1028" i="5"/>
  <c r="AS1119" i="2"/>
  <c r="KL813" i="5" s="1"/>
  <c r="KK813" i="5" s="1"/>
  <c r="KL818" i="5"/>
  <c r="AQ1119" i="2"/>
  <c r="KF813" i="5" s="1"/>
  <c r="KE813" i="5" s="1"/>
  <c r="KF818" i="5"/>
  <c r="AR1119" i="2"/>
  <c r="KI813" i="5" s="1"/>
  <c r="KH813" i="5" s="1"/>
  <c r="KI818" i="5"/>
  <c r="AT1119" i="2"/>
  <c r="AR1664" i="2"/>
  <c r="AR1089" i="2"/>
  <c r="AR522" i="2" s="1"/>
  <c r="AS1664" i="2"/>
  <c r="AR1428" i="2"/>
  <c r="AS1428" i="2"/>
  <c r="AQ1428" i="2"/>
  <c r="AT1428" i="2"/>
  <c r="AR1334" i="2"/>
  <c r="KI1008" i="5" s="1"/>
  <c r="AQ1353" i="2"/>
  <c r="AQ1470" i="2"/>
  <c r="AR1408" i="2"/>
  <c r="AR1353" i="2"/>
  <c r="AR1102" i="2"/>
  <c r="KI796" i="5" s="1"/>
  <c r="KG796" i="5" s="1"/>
  <c r="KH796" i="5" s="1"/>
  <c r="AQ1283" i="2"/>
  <c r="AQ1408" i="2"/>
  <c r="AP1157" i="2" l="1"/>
  <c r="AQ1157" i="2" s="1"/>
  <c r="AR1157" i="2" s="1"/>
  <c r="AS1157" i="2" s="1"/>
  <c r="AT1157" i="2" s="1"/>
  <c r="AU1157" i="2" s="1"/>
  <c r="AV1157" i="2" s="1"/>
  <c r="AV1352" i="2"/>
  <c r="AU1352" i="2" s="1"/>
  <c r="KL1021" i="5"/>
  <c r="AV1346" i="2"/>
  <c r="AV1119" i="2"/>
  <c r="AT1667" i="2"/>
  <c r="AS1072" i="2"/>
  <c r="KL766" i="5" s="1"/>
  <c r="KJ766" i="5" s="1"/>
  <c r="KK766" i="5" s="1"/>
  <c r="AR1071" i="2"/>
  <c r="KI765" i="5" s="1"/>
  <c r="KG765" i="5" s="1"/>
  <c r="KH765" i="5" s="1"/>
  <c r="AT1344" i="2"/>
  <c r="KO1027" i="5"/>
  <c r="AQ1667" i="2"/>
  <c r="KI783" i="5"/>
  <c r="KG783" i="5" s="1"/>
  <c r="KH783" i="5" s="1"/>
  <c r="AQ1352" i="2"/>
  <c r="KF1028" i="5"/>
  <c r="AS1344" i="2"/>
  <c r="AS1370" i="2" s="1"/>
  <c r="AS1479" i="2" s="1"/>
  <c r="AS1566" i="2" s="1"/>
  <c r="KL1027" i="5"/>
  <c r="AQ1282" i="2"/>
  <c r="KF961" i="5" s="1"/>
  <c r="KD961" i="5" s="1"/>
  <c r="KE961" i="5" s="1"/>
  <c r="KF962" i="5"/>
  <c r="KD962" i="5" s="1"/>
  <c r="KE962" i="5" s="1"/>
  <c r="AR1352" i="2"/>
  <c r="KI1028" i="5"/>
  <c r="AR1667" i="2"/>
  <c r="KO813" i="5"/>
  <c r="KN813" i="5" s="1"/>
  <c r="AS1667" i="2"/>
  <c r="AS1089" i="2"/>
  <c r="AS522" i="2" s="1"/>
  <c r="AS1102" i="2"/>
  <c r="KL796" i="5" s="1"/>
  <c r="KJ796" i="5" s="1"/>
  <c r="KK796" i="5" s="1"/>
  <c r="AR1283" i="2"/>
  <c r="AM423" i="2"/>
  <c r="AN421" i="2"/>
  <c r="AO1271" i="2"/>
  <c r="AQ1497" i="2"/>
  <c r="AQ445" i="2"/>
  <c r="AR445" i="2"/>
  <c r="AS445" i="2"/>
  <c r="AT445" i="2"/>
  <c r="AO438" i="2"/>
  <c r="AP438" i="2"/>
  <c r="AQ438" i="2"/>
  <c r="AR438" i="2"/>
  <c r="AS438" i="2"/>
  <c r="AT438" i="2"/>
  <c r="AQ436" i="2"/>
  <c r="KE840" i="5" s="1"/>
  <c r="AR436" i="2"/>
  <c r="AS436" i="2"/>
  <c r="AT436" i="2"/>
  <c r="AP437" i="2"/>
  <c r="KD840" i="5" s="1"/>
  <c r="KD860" i="5" s="1"/>
  <c r="AQ437" i="2"/>
  <c r="AR437" i="2"/>
  <c r="AS437" i="2"/>
  <c r="AT437" i="2"/>
  <c r="AP430" i="2"/>
  <c r="AQ430" i="2"/>
  <c r="AR430" i="2"/>
  <c r="AS430" i="2"/>
  <c r="AT430" i="2"/>
  <c r="AQ433" i="2"/>
  <c r="AQ1767" i="2" s="1"/>
  <c r="AR433" i="2"/>
  <c r="AR1767" i="2" s="1"/>
  <c r="AS433" i="2"/>
  <c r="AS1767" i="2" s="1"/>
  <c r="AT433" i="2"/>
  <c r="AT1767" i="2" s="1"/>
  <c r="AP428" i="2"/>
  <c r="AQ428" i="2"/>
  <c r="AR428" i="2"/>
  <c r="AS428" i="2"/>
  <c r="AT428" i="2"/>
  <c r="AQ426" i="2"/>
  <c r="AR426" i="2"/>
  <c r="AS426" i="2"/>
  <c r="AT426" i="2"/>
  <c r="AJ426" i="2"/>
  <c r="JW1064" i="5" l="1"/>
  <c r="JU1064" i="5" s="1"/>
  <c r="JV1064" i="5" s="1"/>
  <c r="AN1391" i="2"/>
  <c r="AT1370" i="2"/>
  <c r="AV1344" i="2"/>
  <c r="AU1344" i="2" s="1"/>
  <c r="AT1668" i="2" s="1"/>
  <c r="AS1071" i="2"/>
  <c r="KL765" i="5" s="1"/>
  <c r="KJ765" i="5" s="1"/>
  <c r="KK765" i="5" s="1"/>
  <c r="AT1072" i="2"/>
  <c r="AV1072" i="2" s="1"/>
  <c r="AU1072" i="2" s="1"/>
  <c r="AN1271" i="2"/>
  <c r="AJ549" i="2"/>
  <c r="AJ468" i="2"/>
  <c r="AJ561" i="2"/>
  <c r="AR1755" i="2"/>
  <c r="AR1764" i="2"/>
  <c r="AT1755" i="2"/>
  <c r="AT1764" i="2"/>
  <c r="AS1755" i="2"/>
  <c r="AS1764" i="2"/>
  <c r="AQ1755" i="2"/>
  <c r="AQ1764" i="2"/>
  <c r="AP1764" i="2"/>
  <c r="AP1755" i="2"/>
  <c r="JZ870" i="5"/>
  <c r="AO1188" i="2"/>
  <c r="AR1344" i="2"/>
  <c r="AR1370" i="2" s="1"/>
  <c r="AR1479" i="2" s="1"/>
  <c r="AR1566" i="2" s="1"/>
  <c r="KI1027" i="5"/>
  <c r="KL1019" i="5"/>
  <c r="AS1469" i="2"/>
  <c r="AS1558" i="2" s="1"/>
  <c r="AS1668" i="2"/>
  <c r="AR1282" i="2"/>
  <c r="KI961" i="5" s="1"/>
  <c r="KG961" i="5" s="1"/>
  <c r="KH961" i="5" s="1"/>
  <c r="KI962" i="5"/>
  <c r="KG962" i="5" s="1"/>
  <c r="KH962" i="5" s="1"/>
  <c r="AT1071" i="2"/>
  <c r="AQ1344" i="2"/>
  <c r="AQ1370" i="2" s="1"/>
  <c r="AQ1479" i="2" s="1"/>
  <c r="AQ1566" i="2" s="1"/>
  <c r="KF1027" i="5"/>
  <c r="AT1089" i="2"/>
  <c r="KL783" i="5"/>
  <c r="KJ783" i="5" s="1"/>
  <c r="KK783" i="5" s="1"/>
  <c r="KO1019" i="5"/>
  <c r="AT1469" i="2"/>
  <c r="AT1558" i="2" s="1"/>
  <c r="AQ1146" i="2"/>
  <c r="AX111" i="19"/>
  <c r="AY35" i="19" s="1"/>
  <c r="BB35" i="19" s="1"/>
  <c r="AS1146" i="2"/>
  <c r="AR1146" i="2"/>
  <c r="BG111" i="19"/>
  <c r="BH37" i="19" s="1"/>
  <c r="AP667" i="2"/>
  <c r="AT1146" i="2"/>
  <c r="AS673" i="2"/>
  <c r="AP443" i="2"/>
  <c r="AQ1559" i="2"/>
  <c r="AS667" i="2"/>
  <c r="AS661" i="2"/>
  <c r="AS689" i="2"/>
  <c r="AS681" i="2"/>
  <c r="AT564" i="2"/>
  <c r="AT1564" i="2"/>
  <c r="AT1516" i="2"/>
  <c r="AT1385" i="2"/>
  <c r="AT1498" i="2"/>
  <c r="AT1528" i="2"/>
  <c r="AT1476" i="2"/>
  <c r="AT1512" i="2"/>
  <c r="AT676" i="2"/>
  <c r="AT1222" i="2" s="1"/>
  <c r="AT1515" i="2"/>
  <c r="AT1531" i="2"/>
  <c r="AT1494" i="2"/>
  <c r="AT1561" i="2"/>
  <c r="AT1562" i="2"/>
  <c r="AT1555" i="2"/>
  <c r="AT1487" i="2"/>
  <c r="AT1519" i="2"/>
  <c r="AT1496" i="2"/>
  <c r="AT1495" i="2"/>
  <c r="AT1503" i="2"/>
  <c r="AT1559" i="2"/>
  <c r="AT1560" i="2"/>
  <c r="AT1514" i="2"/>
  <c r="AT1529" i="2"/>
  <c r="AT1497" i="2"/>
  <c r="AT1499" i="2"/>
  <c r="AT1554" i="2"/>
  <c r="AT1527" i="2"/>
  <c r="AT1517" i="2"/>
  <c r="AR564" i="2"/>
  <c r="AR1516" i="2"/>
  <c r="AR1519" i="2"/>
  <c r="AR1498" i="2"/>
  <c r="AR1496" i="2"/>
  <c r="AR1385" i="2"/>
  <c r="AR1564" i="2"/>
  <c r="KI950" i="5"/>
  <c r="AR1476" i="2"/>
  <c r="AR1514" i="2"/>
  <c r="AR676" i="2"/>
  <c r="AR1222" i="2" s="1"/>
  <c r="AR1529" i="2"/>
  <c r="AR1487" i="2"/>
  <c r="AR1528" i="2"/>
  <c r="AR1512" i="2"/>
  <c r="AR1561" i="2"/>
  <c r="AR1515" i="2"/>
  <c r="AR1517" i="2"/>
  <c r="AR1495" i="2"/>
  <c r="AR1562" i="2"/>
  <c r="AR1555" i="2"/>
  <c r="AR1531" i="2"/>
  <c r="AR1503" i="2"/>
  <c r="AR1559" i="2"/>
  <c r="AR1499" i="2"/>
  <c r="AR1527" i="2"/>
  <c r="AR1494" i="2"/>
  <c r="AR1560" i="2"/>
  <c r="AR1554" i="2"/>
  <c r="AS564" i="2"/>
  <c r="AS1516" i="2"/>
  <c r="AS1564" i="2"/>
  <c r="AS1385" i="2"/>
  <c r="AS1476" i="2"/>
  <c r="AS1531" i="2"/>
  <c r="AS676" i="2"/>
  <c r="AS1222" i="2" s="1"/>
  <c r="AS1498" i="2"/>
  <c r="AS1515" i="2"/>
  <c r="AS1561" i="2"/>
  <c r="AS1559" i="2"/>
  <c r="AS1519" i="2"/>
  <c r="AS1560" i="2"/>
  <c r="AS1555" i="2"/>
  <c r="AS1495" i="2"/>
  <c r="AS1562" i="2"/>
  <c r="AS1503" i="2"/>
  <c r="AS1528" i="2"/>
  <c r="AS1514" i="2"/>
  <c r="AS1512" i="2"/>
  <c r="AS1487" i="2"/>
  <c r="AS1529" i="2"/>
  <c r="AS1496" i="2"/>
  <c r="AS1554" i="2"/>
  <c r="AS1499" i="2"/>
  <c r="AS1494" i="2"/>
  <c r="AS1497" i="2"/>
  <c r="AS1517" i="2"/>
  <c r="AS1527" i="2"/>
  <c r="AQ564" i="2"/>
  <c r="AQ1564" i="2"/>
  <c r="AQ1496" i="2"/>
  <c r="AQ1385" i="2"/>
  <c r="AQ1519" i="2"/>
  <c r="AQ1498" i="2"/>
  <c r="AQ1487" i="2"/>
  <c r="AQ1476" i="2"/>
  <c r="AQ1514" i="2"/>
  <c r="AQ676" i="2"/>
  <c r="AQ1222" i="2" s="1"/>
  <c r="AQ1529" i="2"/>
  <c r="AQ1560" i="2"/>
  <c r="AQ1516" i="2"/>
  <c r="AQ1495" i="2"/>
  <c r="AQ1531" i="2"/>
  <c r="AQ1503" i="2"/>
  <c r="AQ1515" i="2"/>
  <c r="AQ1512" i="2"/>
  <c r="AQ1562" i="2"/>
  <c r="AQ1561" i="2"/>
  <c r="AQ1528" i="2"/>
  <c r="AQ1555" i="2"/>
  <c r="AQ1517" i="2"/>
  <c r="AQ463" i="2"/>
  <c r="AQ1494" i="2"/>
  <c r="AQ1499" i="2"/>
  <c r="AT1102" i="2"/>
  <c r="AV1102" i="2" s="1"/>
  <c r="AU1102" i="2" s="1"/>
  <c r="AS1283" i="2"/>
  <c r="AP1476" i="2"/>
  <c r="AP1564" i="2"/>
  <c r="AP1385" i="2"/>
  <c r="AP1498" i="2"/>
  <c r="AP1487" i="2"/>
  <c r="AP1519" i="2"/>
  <c r="AP1514" i="2"/>
  <c r="AP1529" i="2"/>
  <c r="AP676" i="2"/>
  <c r="AP1222" i="2" s="1"/>
  <c r="AP1516" i="2"/>
  <c r="AP564" i="2"/>
  <c r="AP1555" i="2"/>
  <c r="AP1515" i="2"/>
  <c r="AP1496" i="2"/>
  <c r="AP1531" i="2"/>
  <c r="AP1512" i="2"/>
  <c r="AP463" i="2"/>
  <c r="AP1495" i="2"/>
  <c r="AP1528" i="2"/>
  <c r="AP1494" i="2"/>
  <c r="AR443" i="2"/>
  <c r="AT443" i="2"/>
  <c r="AR463" i="2"/>
  <c r="AQ443" i="2"/>
  <c r="AS463" i="2"/>
  <c r="AR1497" i="2"/>
  <c r="AS443" i="2"/>
  <c r="AN426" i="2"/>
  <c r="AO426" i="2"/>
  <c r="AV1385" i="2" l="1"/>
  <c r="AU1385" i="2" s="1"/>
  <c r="KO766" i="5"/>
  <c r="KM766" i="5" s="1"/>
  <c r="KN766" i="5" s="1"/>
  <c r="AV1222" i="2"/>
  <c r="AU1222" i="2" s="1"/>
  <c r="AT522" i="2"/>
  <c r="AV1089" i="2"/>
  <c r="AU1089" i="2" s="1"/>
  <c r="KO765" i="5"/>
  <c r="KM765" i="5" s="1"/>
  <c r="KN765" i="5" s="1"/>
  <c r="AV1071" i="2"/>
  <c r="AU1071" i="2" s="1"/>
  <c r="BH35" i="19"/>
  <c r="BI111" i="19"/>
  <c r="AV1146" i="2"/>
  <c r="AU1146" i="2" s="1"/>
  <c r="AT1479" i="2"/>
  <c r="AT1566" i="2" s="1"/>
  <c r="AV1370" i="2"/>
  <c r="AU1370" i="2" s="1"/>
  <c r="AQ1432" i="2"/>
  <c r="AQ1521" i="2" s="1"/>
  <c r="KF901" i="5"/>
  <c r="AT1283" i="2"/>
  <c r="AV1283" i="2" s="1"/>
  <c r="AU1283" i="2" s="1"/>
  <c r="KO796" i="5"/>
  <c r="KM796" i="5" s="1"/>
  <c r="KN796" i="5" s="1"/>
  <c r="KO783" i="5"/>
  <c r="KM783" i="5" s="1"/>
  <c r="KN783" i="5" s="1"/>
  <c r="AT463" i="2"/>
  <c r="KF1019" i="5"/>
  <c r="AQ1469" i="2"/>
  <c r="AQ1558" i="2" s="1"/>
  <c r="AQ1668" i="2"/>
  <c r="AP1725" i="2"/>
  <c r="KC950" i="5"/>
  <c r="AQ1166" i="2"/>
  <c r="KF860" i="5" s="1"/>
  <c r="KE860" i="5" s="1"/>
  <c r="KF840" i="5"/>
  <c r="AR1432" i="2"/>
  <c r="AR1521" i="2" s="1"/>
  <c r="KI901" i="5"/>
  <c r="KH950" i="5"/>
  <c r="KH948" i="5" s="1"/>
  <c r="KH947" i="5" s="1"/>
  <c r="KG950" i="5"/>
  <c r="KG948" i="5" s="1"/>
  <c r="KG947" i="5" s="1"/>
  <c r="AS1166" i="2"/>
  <c r="KL860" i="5" s="1"/>
  <c r="KK860" i="5" s="1"/>
  <c r="KL840" i="5"/>
  <c r="AT1166" i="2"/>
  <c r="KO840" i="5"/>
  <c r="AR1166" i="2"/>
  <c r="KI860" i="5" s="1"/>
  <c r="KH860" i="5" s="1"/>
  <c r="KI840" i="5"/>
  <c r="AS1725" i="2"/>
  <c r="KL950" i="5"/>
  <c r="AT1725" i="2"/>
  <c r="KO950" i="5"/>
  <c r="AS1282" i="2"/>
  <c r="KL961" i="5" s="1"/>
  <c r="KJ961" i="5" s="1"/>
  <c r="KK961" i="5" s="1"/>
  <c r="KL962" i="5"/>
  <c r="KJ962" i="5" s="1"/>
  <c r="KK962" i="5" s="1"/>
  <c r="AP1432" i="2"/>
  <c r="AP1521" i="2" s="1"/>
  <c r="KC901" i="5"/>
  <c r="KA901" i="5" s="1"/>
  <c r="AS1432" i="2"/>
  <c r="AS1521" i="2" s="1"/>
  <c r="KL901" i="5"/>
  <c r="AT1432" i="2"/>
  <c r="AT1521" i="2" s="1"/>
  <c r="KO901" i="5"/>
  <c r="AQ1725" i="2"/>
  <c r="KF950" i="5"/>
  <c r="KI1019" i="5"/>
  <c r="AR1668" i="2"/>
  <c r="AR1469" i="2"/>
  <c r="AR1558" i="2" s="1"/>
  <c r="AR1725" i="2"/>
  <c r="AY76" i="19"/>
  <c r="BB76" i="19" s="1"/>
  <c r="AY40" i="19"/>
  <c r="BB40" i="19" s="1"/>
  <c r="AP681" i="2"/>
  <c r="AY34" i="19"/>
  <c r="BB34" i="19" s="1"/>
  <c r="AP661" i="2"/>
  <c r="AY46" i="19"/>
  <c r="BB46" i="19" s="1"/>
  <c r="AY47" i="19"/>
  <c r="BB47" i="19" s="1"/>
  <c r="AY45" i="19"/>
  <c r="BB45" i="19" s="1"/>
  <c r="AY48" i="19"/>
  <c r="BB48" i="19" s="1"/>
  <c r="AY53" i="19"/>
  <c r="BB53" i="19" s="1"/>
  <c r="AY26" i="19"/>
  <c r="BB26" i="19" s="1"/>
  <c r="AY107" i="19"/>
  <c r="BB107" i="19" s="1"/>
  <c r="AY79" i="19"/>
  <c r="BB79" i="19" s="1"/>
  <c r="BH34" i="19"/>
  <c r="BK34" i="19" s="1"/>
  <c r="BH40" i="19"/>
  <c r="AY55" i="19"/>
  <c r="BB55" i="19" s="1"/>
  <c r="AP673" i="2"/>
  <c r="BH47" i="19"/>
  <c r="BK47" i="19" s="1"/>
  <c r="BH45" i="19"/>
  <c r="BK45" i="19" s="1"/>
  <c r="BH48" i="19"/>
  <c r="BK48" i="19" s="1"/>
  <c r="BH76" i="19"/>
  <c r="BK76" i="19" s="1"/>
  <c r="BH46" i="19"/>
  <c r="BK46" i="19" s="1"/>
  <c r="BH53" i="19"/>
  <c r="BK53" i="19" s="1"/>
  <c r="BH26" i="19"/>
  <c r="BK26" i="19" s="1"/>
  <c r="AP689" i="2"/>
  <c r="BH107" i="19"/>
  <c r="BK107" i="19" s="1"/>
  <c r="BH79" i="19"/>
  <c r="BK79" i="19" s="1"/>
  <c r="BH55" i="19"/>
  <c r="BK55" i="19" s="1"/>
  <c r="AQ673" i="2"/>
  <c r="AQ681" i="2"/>
  <c r="AQ661" i="2"/>
  <c r="AQ667" i="2"/>
  <c r="AQ689" i="2"/>
  <c r="AS1374" i="2"/>
  <c r="AS1269" i="2"/>
  <c r="AR1374" i="2"/>
  <c r="AR1269" i="2"/>
  <c r="KI948" i="5" s="1"/>
  <c r="AT1374" i="2"/>
  <c r="AT1269" i="2"/>
  <c r="KO948" i="5" s="1"/>
  <c r="AR673" i="2"/>
  <c r="AR681" i="2"/>
  <c r="AR661" i="2"/>
  <c r="AR667" i="2"/>
  <c r="AR689" i="2"/>
  <c r="AQ1374" i="2"/>
  <c r="AT689" i="2"/>
  <c r="AT667" i="2"/>
  <c r="AT673" i="2"/>
  <c r="AT661" i="2"/>
  <c r="AT681" i="2"/>
  <c r="AP1374" i="2"/>
  <c r="BG42" i="19"/>
  <c r="BI42" i="19" s="1"/>
  <c r="BG36" i="19"/>
  <c r="BG81" i="19"/>
  <c r="AZ42" i="19"/>
  <c r="AX81" i="19"/>
  <c r="AO42" i="19"/>
  <c r="AQ42" i="19" s="1"/>
  <c r="AO100" i="19"/>
  <c r="AO99" i="19"/>
  <c r="AO98" i="19"/>
  <c r="AO82" i="19"/>
  <c r="AO81" i="19"/>
  <c r="AO73" i="19"/>
  <c r="AQ73" i="19" s="1"/>
  <c r="AO29" i="19"/>
  <c r="BK40" i="19" l="1"/>
  <c r="BL40" i="19"/>
  <c r="BM40" i="19" s="1"/>
  <c r="KB901" i="5"/>
  <c r="BI36" i="19"/>
  <c r="BJ36" i="19"/>
  <c r="AV1374" i="2"/>
  <c r="AU1374" i="2" s="1"/>
  <c r="AW81" i="19"/>
  <c r="AZ81" i="19"/>
  <c r="BF81" i="19"/>
  <c r="BI81" i="19"/>
  <c r="AN29" i="19"/>
  <c r="AQ29" i="19"/>
  <c r="AN98" i="19"/>
  <c r="AQ98" i="19"/>
  <c r="AN99" i="19"/>
  <c r="AQ99" i="19"/>
  <c r="AN100" i="19"/>
  <c r="AQ100" i="19"/>
  <c r="AN82" i="19"/>
  <c r="AQ82" i="19"/>
  <c r="AN81" i="19"/>
  <c r="AQ81" i="19"/>
  <c r="KO860" i="5"/>
  <c r="KN860" i="5" s="1"/>
  <c r="AV1166" i="2"/>
  <c r="AU1166" i="2" s="1"/>
  <c r="KL948" i="5"/>
  <c r="AV1269" i="2"/>
  <c r="AU1269" i="2" s="1"/>
  <c r="AS1723" i="2"/>
  <c r="AQ1724" i="2"/>
  <c r="KG901" i="5"/>
  <c r="KJ901" i="5"/>
  <c r="AT1724" i="2"/>
  <c r="KE950" i="5"/>
  <c r="KD950" i="5"/>
  <c r="KM950" i="5"/>
  <c r="KM948" i="5" s="1"/>
  <c r="KM947" i="5" s="1"/>
  <c r="KN950" i="5"/>
  <c r="KN948" i="5" s="1"/>
  <c r="KN947" i="5" s="1"/>
  <c r="KJ950" i="5"/>
  <c r="KJ948" i="5" s="1"/>
  <c r="KJ947" i="5" s="1"/>
  <c r="KK950" i="5"/>
  <c r="KK948" i="5" s="1"/>
  <c r="KK947" i="5" s="1"/>
  <c r="AT1282" i="2"/>
  <c r="KO962" i="5"/>
  <c r="KM962" i="5" s="1"/>
  <c r="KN962" i="5" s="1"/>
  <c r="KD901" i="5"/>
  <c r="KM901" i="5"/>
  <c r="KB950" i="5"/>
  <c r="KA950" i="5"/>
  <c r="AQ1723" i="2" s="1"/>
  <c r="O34" i="19"/>
  <c r="N34" i="19" s="1"/>
  <c r="BA81" i="19"/>
  <c r="AY81" i="19"/>
  <c r="BB81" i="19" s="1"/>
  <c r="BH81" i="19"/>
  <c r="BK81" i="19" s="1"/>
  <c r="BJ81" i="19"/>
  <c r="AT1268" i="2"/>
  <c r="AT1464" i="2"/>
  <c r="AR1268" i="2"/>
  <c r="AR1464" i="2"/>
  <c r="AS1268" i="2"/>
  <c r="AS1464" i="2"/>
  <c r="AV1268" i="2" l="1"/>
  <c r="AU1268" i="2" s="1"/>
  <c r="KO961" i="5"/>
  <c r="KM961" i="5" s="1"/>
  <c r="KN961" i="5" s="1"/>
  <c r="AV1282" i="2"/>
  <c r="AU1282" i="2" s="1"/>
  <c r="KO947" i="5"/>
  <c r="KL947" i="5"/>
  <c r="KI947" i="5"/>
  <c r="AQ1722" i="2"/>
  <c r="KK901" i="5"/>
  <c r="AT1723" i="2"/>
  <c r="AT1722" i="2" s="1"/>
  <c r="AR1724" i="2"/>
  <c r="KD948" i="5"/>
  <c r="KD947" i="5" s="1"/>
  <c r="AS1724" i="2"/>
  <c r="AS1722" i="2" s="1"/>
  <c r="KE948" i="5"/>
  <c r="KE947" i="5" s="1"/>
  <c r="AR1723" i="2"/>
  <c r="AP1724" i="2"/>
  <c r="KN901" i="5"/>
  <c r="KH901" i="5"/>
  <c r="KE901" i="5"/>
  <c r="KA948" i="5"/>
  <c r="KA947" i="5" s="1"/>
  <c r="AO1724" i="2"/>
  <c r="Q34" i="19"/>
  <c r="AT1463" i="2"/>
  <c r="AT1552" i="2" s="1"/>
  <c r="AT1553" i="2"/>
  <c r="AR1463" i="2"/>
  <c r="AR1552" i="2" s="1"/>
  <c r="AR1553" i="2"/>
  <c r="AS1463" i="2"/>
  <c r="AS1552" i="2" s="1"/>
  <c r="AS1553" i="2"/>
  <c r="BH64" i="19"/>
  <c r="BK64" i="19" s="1"/>
  <c r="BH42" i="19"/>
  <c r="BK42" i="19" s="1"/>
  <c r="BH36" i="19"/>
  <c r="BK36" i="19" s="1"/>
  <c r="BH30" i="19"/>
  <c r="BK30" i="19" s="1"/>
  <c r="BH23" i="19"/>
  <c r="BK23" i="19" s="1"/>
  <c r="AY64" i="19"/>
  <c r="BB64" i="19" s="1"/>
  <c r="AY42" i="19"/>
  <c r="BB42" i="19" s="1"/>
  <c r="AY30" i="19"/>
  <c r="BB30" i="19" s="1"/>
  <c r="AY23" i="19"/>
  <c r="BB23" i="19" s="1"/>
  <c r="BJ111" i="19"/>
  <c r="BJ64" i="19"/>
  <c r="BJ42" i="19"/>
  <c r="BA111" i="19"/>
  <c r="BA64" i="19"/>
  <c r="BA23" i="19"/>
  <c r="AR1722" i="2" l="1"/>
  <c r="BJ23" i="19"/>
  <c r="BA42" i="19"/>
  <c r="O104" i="19" l="1"/>
  <c r="Q104" i="19" l="1"/>
  <c r="N104" i="19"/>
  <c r="AK1357" i="2"/>
  <c r="AL1357" i="2"/>
  <c r="AM1357" i="2"/>
  <c r="AN1357" i="2"/>
  <c r="T48" i="21" l="1"/>
  <c r="JT1032" i="5"/>
  <c r="JW1032" i="5"/>
  <c r="V48" i="21"/>
  <c r="JQ1032" i="5"/>
  <c r="U48" i="21"/>
  <c r="JN1032" i="5"/>
  <c r="W104" i="19"/>
  <c r="BG104" i="19"/>
  <c r="AX104" i="19"/>
  <c r="AZ104" i="19" s="1"/>
  <c r="AO104" i="19"/>
  <c r="AQ104" i="19" s="1"/>
  <c r="AF104" i="19"/>
  <c r="AL1207" i="2"/>
  <c r="AK1208" i="2"/>
  <c r="AL1208" i="2"/>
  <c r="AL1209" i="2"/>
  <c r="AK1209" i="2"/>
  <c r="AK1207" i="2"/>
  <c r="W46" i="19" l="1"/>
  <c r="Y46" i="19" s="1"/>
  <c r="T88" i="21"/>
  <c r="U88" i="21" s="1"/>
  <c r="AH104" i="19"/>
  <c r="T89" i="21"/>
  <c r="U89" i="21" s="1"/>
  <c r="W47" i="19"/>
  <c r="Y47" i="19" s="1"/>
  <c r="Q89" i="21"/>
  <c r="R89" i="21" s="1"/>
  <c r="W45" i="19"/>
  <c r="Y45" i="19" s="1"/>
  <c r="Q88" i="21"/>
  <c r="R88" i="21" s="1"/>
  <c r="BF104" i="19"/>
  <c r="BI104" i="19"/>
  <c r="Y104" i="19"/>
  <c r="O45" i="19"/>
  <c r="Q45" i="19" s="1"/>
  <c r="O47" i="19"/>
  <c r="Q47" i="19" s="1"/>
  <c r="JN886" i="5"/>
  <c r="JN888" i="5"/>
  <c r="AF46" i="19"/>
  <c r="JQ887" i="5"/>
  <c r="JN887" i="5"/>
  <c r="AF45" i="19"/>
  <c r="JQ886" i="5"/>
  <c r="O46" i="19"/>
  <c r="Q46" i="19" s="1"/>
  <c r="AF47" i="19"/>
  <c r="JQ888" i="5"/>
  <c r="AY104" i="19"/>
  <c r="BB104" i="19" s="1"/>
  <c r="AW104" i="19"/>
  <c r="BH104" i="19"/>
  <c r="BK104" i="19" s="1"/>
  <c r="Z104" i="19"/>
  <c r="V104" i="19"/>
  <c r="AI104" i="19"/>
  <c r="AE104" i="19"/>
  <c r="AR104" i="19"/>
  <c r="AN104" i="19"/>
  <c r="BA104" i="19"/>
  <c r="BJ104" i="19"/>
  <c r="Z46" i="19" l="1"/>
  <c r="Z47" i="19"/>
  <c r="Z45" i="19"/>
  <c r="AI47" i="19"/>
  <c r="AH47" i="19"/>
  <c r="AI45" i="19"/>
  <c r="AH45" i="19"/>
  <c r="AI46" i="19"/>
  <c r="AH46" i="19"/>
  <c r="N45" i="19"/>
  <c r="N47" i="19"/>
  <c r="N46" i="19"/>
  <c r="BG39" i="19"/>
  <c r="AX39" i="19"/>
  <c r="AZ39" i="19" s="1"/>
  <c r="AO39" i="19"/>
  <c r="AL1365" i="2"/>
  <c r="AM1365" i="2"/>
  <c r="AN1365" i="2"/>
  <c r="AO1365" i="2"/>
  <c r="AK1365" i="2"/>
  <c r="AO108" i="19"/>
  <c r="AQ108" i="19" s="1"/>
  <c r="AL1196" i="2"/>
  <c r="AM1196" i="2"/>
  <c r="AN1196" i="2"/>
  <c r="V74" i="21" l="1"/>
  <c r="V70" i="21" s="1"/>
  <c r="JQ1040" i="5"/>
  <c r="T74" i="21"/>
  <c r="T70" i="21" s="1"/>
  <c r="U70" i="21" s="1"/>
  <c r="JW1040" i="5"/>
  <c r="W74" i="21"/>
  <c r="W70" i="21" s="1"/>
  <c r="JZ1040" i="5"/>
  <c r="JT1040" i="5"/>
  <c r="AQ39" i="19"/>
  <c r="AO41" i="19"/>
  <c r="BF39" i="19"/>
  <c r="BI39" i="19"/>
  <c r="JN1040" i="5"/>
  <c r="W109" i="19"/>
  <c r="Y109" i="19" s="1"/>
  <c r="JT876" i="5"/>
  <c r="AM1188" i="2"/>
  <c r="JW876" i="5"/>
  <c r="AN1188" i="2"/>
  <c r="JQ876" i="5"/>
  <c r="AL1188" i="2"/>
  <c r="O109" i="19"/>
  <c r="Q109" i="19" s="1"/>
  <c r="AX41" i="19"/>
  <c r="AW39" i="19"/>
  <c r="AN1656" i="2"/>
  <c r="BA39" i="19"/>
  <c r="AY39" i="19"/>
  <c r="BB39" i="19" s="1"/>
  <c r="BG41" i="19"/>
  <c r="BJ39" i="19"/>
  <c r="BH39" i="19"/>
  <c r="BK39" i="19" s="1"/>
  <c r="AO109" i="19"/>
  <c r="AX109" i="19"/>
  <c r="BG109" i="19"/>
  <c r="AF109" i="19"/>
  <c r="AJ1657" i="2"/>
  <c r="AL1656" i="2"/>
  <c r="AK1656" i="2"/>
  <c r="AJ1656" i="2"/>
  <c r="AO36" i="19"/>
  <c r="AQ36" i="19" s="1"/>
  <c r="AM1656" i="2"/>
  <c r="AM1657" i="2"/>
  <c r="AN1657" i="2"/>
  <c r="AO33" i="19"/>
  <c r="AQ33" i="19" s="1"/>
  <c r="AL1657" i="2"/>
  <c r="AK1657" i="2"/>
  <c r="AX36" i="19"/>
  <c r="AZ36" i="19" s="1"/>
  <c r="AX33" i="19"/>
  <c r="AZ33" i="19" s="1"/>
  <c r="BG108" i="19"/>
  <c r="AX108" i="19"/>
  <c r="BG33" i="19"/>
  <c r="AM699" i="2"/>
  <c r="AN699" i="2"/>
  <c r="U74" i="21" l="1"/>
  <c r="BI33" i="19"/>
  <c r="BJ41" i="19"/>
  <c r="BI41" i="19"/>
  <c r="AW108" i="19"/>
  <c r="AZ108" i="19"/>
  <c r="BF108" i="19"/>
  <c r="BI108" i="19"/>
  <c r="BA41" i="19"/>
  <c r="AZ41" i="19"/>
  <c r="BF109" i="19"/>
  <c r="BI109" i="19"/>
  <c r="AW109" i="19"/>
  <c r="AZ109" i="19"/>
  <c r="V109" i="19"/>
  <c r="AN109" i="19"/>
  <c r="AQ109" i="19"/>
  <c r="AR41" i="19"/>
  <c r="AQ41" i="19"/>
  <c r="AE109" i="19"/>
  <c r="AH109" i="19"/>
  <c r="BH41" i="19"/>
  <c r="BK41" i="19" s="1"/>
  <c r="AY41" i="19"/>
  <c r="BB41" i="19" s="1"/>
  <c r="N109" i="19"/>
  <c r="AI109" i="19"/>
  <c r="Z109" i="19"/>
  <c r="BJ109" i="19"/>
  <c r="BH109" i="19"/>
  <c r="BK109" i="19" s="1"/>
  <c r="AY109" i="19"/>
  <c r="BB109" i="19" s="1"/>
  <c r="BA109" i="19"/>
  <c r="AR109" i="19"/>
  <c r="AY36" i="19"/>
  <c r="BB36" i="19" s="1"/>
  <c r="BA36" i="19"/>
  <c r="BH33" i="19"/>
  <c r="BK33" i="19" s="1"/>
  <c r="BJ33" i="19"/>
  <c r="AY108" i="19"/>
  <c r="BB108" i="19" s="1"/>
  <c r="BA108" i="19"/>
  <c r="BH108" i="19"/>
  <c r="BK108" i="19" s="1"/>
  <c r="BJ108" i="19"/>
  <c r="AY33" i="19"/>
  <c r="BB33" i="19" s="1"/>
  <c r="BA33" i="19"/>
  <c r="JQ869" i="5"/>
  <c r="JN869" i="5"/>
  <c r="AX78" i="19" l="1"/>
  <c r="AZ78" i="19" s="1"/>
  <c r="BG78" i="19"/>
  <c r="BI78" i="19" s="1"/>
  <c r="AF78" i="19"/>
  <c r="AO78" i="19"/>
  <c r="AQ78" i="19" s="1"/>
  <c r="Z78" i="19"/>
  <c r="Z80" i="19"/>
  <c r="AL90" i="19"/>
  <c r="AL93" i="19"/>
  <c r="AL95" i="19"/>
  <c r="AL94" i="19"/>
  <c r="AL92" i="19"/>
  <c r="AL91" i="19"/>
  <c r="AL89" i="19"/>
  <c r="AL88" i="19"/>
  <c r="AC87" i="19"/>
  <c r="AC90" i="19"/>
  <c r="AC93" i="19"/>
  <c r="AC95" i="19"/>
  <c r="AC94" i="19"/>
  <c r="AC91" i="19"/>
  <c r="AC88" i="19"/>
  <c r="T88" i="19"/>
  <c r="T90" i="19"/>
  <c r="T93" i="19"/>
  <c r="T95" i="19"/>
  <c r="T89" i="19"/>
  <c r="Q90" i="19"/>
  <c r="I94" i="19"/>
  <c r="I95" i="19"/>
  <c r="I93" i="19"/>
  <c r="I92" i="19"/>
  <c r="I88" i="19"/>
  <c r="I89" i="19"/>
  <c r="AH78" i="19" l="1"/>
  <c r="BJ78" i="19"/>
  <c r="AX80" i="19"/>
  <c r="AW78" i="19"/>
  <c r="AR78" i="19"/>
  <c r="AN78" i="19"/>
  <c r="AI78" i="19"/>
  <c r="AE78" i="19"/>
  <c r="BH78" i="19"/>
  <c r="BK78" i="19" s="1"/>
  <c r="BA78" i="19"/>
  <c r="AY78" i="19"/>
  <c r="BB78" i="19" s="1"/>
  <c r="AO80" i="19"/>
  <c r="AF80" i="19"/>
  <c r="BG80" i="19"/>
  <c r="T94" i="19"/>
  <c r="T92" i="19"/>
  <c r="T91" i="19"/>
  <c r="I91" i="19"/>
  <c r="AC89" i="19"/>
  <c r="AC92" i="19"/>
  <c r="BH80" i="19" l="1"/>
  <c r="BK80" i="19" s="1"/>
  <c r="BI80" i="19"/>
  <c r="BA80" i="19"/>
  <c r="AZ80" i="19"/>
  <c r="AR80" i="19"/>
  <c r="AQ80" i="19"/>
  <c r="AI80" i="19"/>
  <c r="AH80" i="19"/>
  <c r="AY80" i="19"/>
  <c r="BB80" i="19" s="1"/>
  <c r="BJ80" i="19"/>
  <c r="AD30" i="19"/>
  <c r="AE30" i="19" s="1"/>
  <c r="AD29" i="19"/>
  <c r="O78" i="19"/>
  <c r="N78" i="19" s="1"/>
  <c r="Q78" i="19" l="1"/>
  <c r="Z30" i="19" l="1"/>
  <c r="U30" i="19"/>
  <c r="V30" i="19" s="1"/>
  <c r="Q30" i="19"/>
  <c r="JM855" i="5"/>
  <c r="AK1122" i="2" l="1"/>
  <c r="JN816" i="5" s="1"/>
  <c r="O13" i="19" l="1"/>
  <c r="N13" i="19" s="1"/>
  <c r="AK1290" i="2"/>
  <c r="JN969" i="5" s="1"/>
  <c r="AL1290" i="2"/>
  <c r="JQ969" i="5" s="1"/>
  <c r="AM1290" i="2"/>
  <c r="JT969" i="5" s="1"/>
  <c r="AN1290" i="2"/>
  <c r="JW969" i="5" s="1"/>
  <c r="AO1290" i="2"/>
  <c r="JZ969" i="5" s="1"/>
  <c r="AL105" i="19" l="1"/>
  <c r="AC105" i="19"/>
  <c r="T105" i="19"/>
  <c r="Q105" i="19" l="1"/>
  <c r="I105" i="19"/>
  <c r="U81" i="19" l="1"/>
  <c r="U64" i="19"/>
  <c r="V64" i="19" s="1"/>
  <c r="U29" i="19"/>
  <c r="D81" i="19"/>
  <c r="C110" i="19"/>
  <c r="C108" i="19"/>
  <c r="C106" i="19"/>
  <c r="C103" i="19"/>
  <c r="C102" i="19"/>
  <c r="C101" i="19"/>
  <c r="C100" i="19"/>
  <c r="C99" i="19"/>
  <c r="C98" i="19"/>
  <c r="C97" i="19"/>
  <c r="C96" i="19"/>
  <c r="C93" i="19"/>
  <c r="C90" i="19"/>
  <c r="C87" i="19"/>
  <c r="C85" i="19"/>
  <c r="C84" i="19"/>
  <c r="C83" i="19"/>
  <c r="C82" i="19"/>
  <c r="C81" i="19"/>
  <c r="C77" i="19"/>
  <c r="C75" i="19"/>
  <c r="C74" i="19"/>
  <c r="C73" i="19"/>
  <c r="C72" i="19"/>
  <c r="C71" i="19"/>
  <c r="C70" i="19"/>
  <c r="C69" i="19"/>
  <c r="C65" i="19"/>
  <c r="C64" i="19"/>
  <c r="C63" i="19"/>
  <c r="C62" i="19"/>
  <c r="C61" i="19"/>
  <c r="C58" i="19"/>
  <c r="C57" i="19"/>
  <c r="C56" i="19"/>
  <c r="C44" i="19"/>
  <c r="C43" i="19"/>
  <c r="C39" i="19"/>
  <c r="C38" i="19"/>
  <c r="C36" i="19"/>
  <c r="C33" i="19"/>
  <c r="C32" i="19"/>
  <c r="C31" i="19"/>
  <c r="C29" i="19"/>
  <c r="C28" i="19"/>
  <c r="C27" i="19"/>
  <c r="C25" i="19"/>
  <c r="C24" i="19"/>
  <c r="C23" i="19"/>
  <c r="C22" i="19"/>
  <c r="C21" i="19"/>
  <c r="C20" i="19"/>
  <c r="C19" i="19"/>
  <c r="C18" i="19"/>
  <c r="C17" i="19"/>
  <c r="C16" i="19"/>
  <c r="C15" i="19"/>
  <c r="C14" i="19"/>
  <c r="C13" i="19"/>
  <c r="C12" i="19"/>
  <c r="C11" i="19"/>
  <c r="C10" i="19"/>
  <c r="C9" i="19"/>
  <c r="C8" i="19"/>
  <c r="C7" i="19"/>
  <c r="C6" i="19"/>
  <c r="C5" i="19"/>
  <c r="D110" i="19" l="1"/>
  <c r="D100" i="19"/>
  <c r="D99" i="19"/>
  <c r="F98" i="19"/>
  <c r="F90" i="19"/>
  <c r="F87" i="19"/>
  <c r="D82" i="19"/>
  <c r="F75" i="19"/>
  <c r="D73" i="19"/>
  <c r="F64" i="19"/>
  <c r="D42" i="19"/>
  <c r="C42" i="19"/>
  <c r="F36" i="19"/>
  <c r="F33" i="19"/>
  <c r="F29" i="19"/>
  <c r="D28" i="19"/>
  <c r="F21" i="19"/>
  <c r="F17" i="19"/>
  <c r="F16" i="19"/>
  <c r="F15" i="19"/>
  <c r="F14" i="19"/>
  <c r="F13" i="19"/>
  <c r="F12" i="19"/>
  <c r="F11" i="19"/>
  <c r="B4" i="19"/>
  <c r="C4" i="19" s="1"/>
  <c r="F99" i="19" l="1"/>
  <c r="F73" i="19"/>
  <c r="F82" i="19"/>
  <c r="F100" i="19"/>
  <c r="F28" i="19"/>
  <c r="F81" i="19"/>
  <c r="F42" i="19"/>
  <c r="F31" i="19"/>
  <c r="F110" i="19"/>
  <c r="B59" i="19"/>
  <c r="C59" i="19" s="1"/>
  <c r="B66" i="19"/>
  <c r="C66" i="19" s="1"/>
  <c r="B60" i="19" l="1"/>
  <c r="C60" i="19" s="1"/>
  <c r="B67" i="19"/>
  <c r="C67" i="19" s="1"/>
  <c r="AQ1334" i="2" l="1"/>
  <c r="KF1008" i="5" s="1"/>
  <c r="AP1142" i="2" l="1"/>
  <c r="AR64" i="19"/>
  <c r="AI64" i="19"/>
  <c r="Z64" i="19"/>
  <c r="AQ1142" i="2" l="1"/>
  <c r="KC836" i="5"/>
  <c r="AR1142" i="2" l="1"/>
  <c r="KF836" i="5"/>
  <c r="KD836" i="5" s="1"/>
  <c r="KE836" i="5" s="1"/>
  <c r="KA836" i="5"/>
  <c r="KB836" i="5" s="1"/>
  <c r="O64" i="19"/>
  <c r="N64" i="19" s="1"/>
  <c r="KI836" i="5" l="1"/>
  <c r="AS1142" i="2"/>
  <c r="Q64" i="19"/>
  <c r="AT1142" i="2" l="1"/>
  <c r="KL836" i="5"/>
  <c r="KG836" i="5"/>
  <c r="KH836" i="5" s="1"/>
  <c r="O29" i="19"/>
  <c r="N29" i="19" s="1"/>
  <c r="O73" i="19"/>
  <c r="N73" i="19" s="1"/>
  <c r="O82" i="19"/>
  <c r="N82" i="19" s="1"/>
  <c r="O98" i="19"/>
  <c r="N98" i="19" s="1"/>
  <c r="O99" i="19"/>
  <c r="N99" i="19" s="1"/>
  <c r="O100" i="19"/>
  <c r="N100" i="19" s="1"/>
  <c r="KO836" i="5" l="1"/>
  <c r="KM836" i="5" s="1"/>
  <c r="KN836" i="5" s="1"/>
  <c r="AV1142" i="2"/>
  <c r="AU1142" i="2" s="1"/>
  <c r="KJ836" i="5"/>
  <c r="KK836" i="5" s="1"/>
  <c r="Q82" i="19"/>
  <c r="Q29" i="19"/>
  <c r="I64" i="19" l="1"/>
  <c r="T64" i="19"/>
  <c r="AC64" i="19"/>
  <c r="O106" i="19" l="1"/>
  <c r="N106" i="19" s="1"/>
  <c r="AL64" i="19"/>
  <c r="AL63" i="19"/>
  <c r="O81" i="19"/>
  <c r="N81" i="19" s="1"/>
  <c r="AR42" i="19"/>
  <c r="AF81" i="19"/>
  <c r="AF42" i="19"/>
  <c r="V81" i="19"/>
  <c r="AL110" i="19"/>
  <c r="AC110" i="19"/>
  <c r="T110" i="19"/>
  <c r="I110" i="19"/>
  <c r="AL108" i="19"/>
  <c r="AC108" i="19"/>
  <c r="I108" i="19"/>
  <c r="AL106" i="19"/>
  <c r="AC106" i="19"/>
  <c r="T106" i="19"/>
  <c r="I106" i="19"/>
  <c r="AL103" i="19"/>
  <c r="AC103" i="19"/>
  <c r="T103" i="19"/>
  <c r="I103" i="19"/>
  <c r="AL102" i="19"/>
  <c r="AC102" i="19"/>
  <c r="T102" i="19"/>
  <c r="I102" i="19"/>
  <c r="AL101" i="19"/>
  <c r="AC101" i="19"/>
  <c r="T101" i="19"/>
  <c r="I101" i="19"/>
  <c r="AR100" i="19"/>
  <c r="AL100" i="19"/>
  <c r="AF100" i="19"/>
  <c r="AH100" i="19" s="1"/>
  <c r="AC100" i="19"/>
  <c r="T100" i="19"/>
  <c r="I100" i="19"/>
  <c r="AL99" i="19"/>
  <c r="AF99" i="19"/>
  <c r="AH99" i="19" s="1"/>
  <c r="AC99" i="19"/>
  <c r="V99" i="19"/>
  <c r="T99" i="19"/>
  <c r="Q99" i="19"/>
  <c r="I99" i="19"/>
  <c r="AR98" i="19"/>
  <c r="AL98" i="19"/>
  <c r="AF98" i="19"/>
  <c r="AH98" i="19" s="1"/>
  <c r="AC98" i="19"/>
  <c r="T98" i="19"/>
  <c r="I98" i="19"/>
  <c r="AL97" i="19"/>
  <c r="AC97" i="19"/>
  <c r="T97" i="19"/>
  <c r="I97" i="19"/>
  <c r="AL96" i="19"/>
  <c r="AC96" i="19"/>
  <c r="T96" i="19"/>
  <c r="I96" i="19"/>
  <c r="I90" i="19"/>
  <c r="AL87" i="19"/>
  <c r="T87" i="19"/>
  <c r="I87" i="19"/>
  <c r="AL85" i="19"/>
  <c r="AC85" i="19"/>
  <c r="T85" i="19"/>
  <c r="I85" i="19"/>
  <c r="AL84" i="19"/>
  <c r="AC84" i="19"/>
  <c r="T84" i="19"/>
  <c r="I84" i="19"/>
  <c r="AL83" i="19"/>
  <c r="AC83" i="19"/>
  <c r="T83" i="19"/>
  <c r="I83" i="19"/>
  <c r="AR82" i="19"/>
  <c r="AL82" i="19"/>
  <c r="AF82" i="19"/>
  <c r="AC82" i="19"/>
  <c r="T82" i="19"/>
  <c r="T81" i="19"/>
  <c r="AL77" i="19"/>
  <c r="AC77" i="19"/>
  <c r="AL75" i="19"/>
  <c r="AC75" i="19"/>
  <c r="T75" i="19"/>
  <c r="Q75" i="19"/>
  <c r="I75" i="19"/>
  <c r="AL74" i="19"/>
  <c r="AC74" i="19"/>
  <c r="T74" i="19"/>
  <c r="I74" i="19"/>
  <c r="AR73" i="19"/>
  <c r="AL73" i="19"/>
  <c r="AF73" i="19"/>
  <c r="AC73" i="19"/>
  <c r="T73" i="19"/>
  <c r="Q73" i="19"/>
  <c r="I73" i="19"/>
  <c r="AL72" i="19"/>
  <c r="AC72" i="19"/>
  <c r="T72" i="19"/>
  <c r="I72" i="19"/>
  <c r="AL71" i="19"/>
  <c r="AC71" i="19"/>
  <c r="T71" i="19"/>
  <c r="I71" i="19"/>
  <c r="AL70" i="19"/>
  <c r="AC70" i="19"/>
  <c r="T70" i="19"/>
  <c r="I70" i="19"/>
  <c r="AC63" i="19"/>
  <c r="T63" i="19"/>
  <c r="I63" i="19"/>
  <c r="AL62" i="19"/>
  <c r="AC62" i="19"/>
  <c r="T62" i="19"/>
  <c r="I62" i="19"/>
  <c r="AL61" i="19"/>
  <c r="AC61" i="19"/>
  <c r="T61" i="19"/>
  <c r="I61" i="19"/>
  <c r="AL57" i="19"/>
  <c r="AC57" i="19"/>
  <c r="T57" i="19"/>
  <c r="I57" i="19"/>
  <c r="AL56" i="19"/>
  <c r="AC56" i="19"/>
  <c r="T56" i="19"/>
  <c r="I56" i="19"/>
  <c r="AC44" i="19"/>
  <c r="T44" i="19"/>
  <c r="AL43" i="19"/>
  <c r="AC43" i="19"/>
  <c r="T43" i="19"/>
  <c r="I43" i="19"/>
  <c r="AL42" i="19"/>
  <c r="T42" i="19"/>
  <c r="I42" i="19"/>
  <c r="AL39" i="19"/>
  <c r="AC39" i="19"/>
  <c r="T39" i="19"/>
  <c r="I39" i="19"/>
  <c r="AL38" i="19"/>
  <c r="AC38" i="19"/>
  <c r="T38" i="19"/>
  <c r="I38" i="19"/>
  <c r="AL36" i="19"/>
  <c r="AC36" i="19"/>
  <c r="T36" i="19"/>
  <c r="I36" i="19"/>
  <c r="AL33" i="19"/>
  <c r="AC33" i="19"/>
  <c r="T33" i="19"/>
  <c r="I33" i="19"/>
  <c r="AL32" i="19"/>
  <c r="AC32" i="19"/>
  <c r="T32" i="19"/>
  <c r="I32" i="19"/>
  <c r="AL31" i="19"/>
  <c r="AC31" i="19"/>
  <c r="T31" i="19"/>
  <c r="I31" i="19"/>
  <c r="AL29" i="19"/>
  <c r="AC29" i="19"/>
  <c r="V29" i="19"/>
  <c r="T29" i="19"/>
  <c r="I29" i="19"/>
  <c r="AL28" i="19"/>
  <c r="AC28" i="19"/>
  <c r="T28" i="19"/>
  <c r="I28" i="19"/>
  <c r="AL27" i="19"/>
  <c r="AC27" i="19"/>
  <c r="T27" i="19"/>
  <c r="I27" i="19"/>
  <c r="AL25" i="19"/>
  <c r="AC25" i="19"/>
  <c r="T25" i="19"/>
  <c r="I25" i="19"/>
  <c r="AL24" i="19"/>
  <c r="AC24" i="19"/>
  <c r="T24" i="19"/>
  <c r="I24" i="19"/>
  <c r="AL23" i="19"/>
  <c r="I23" i="19"/>
  <c r="AL22" i="19"/>
  <c r="AC22" i="19"/>
  <c r="T22" i="19"/>
  <c r="I22" i="19"/>
  <c r="AL21" i="19"/>
  <c r="AC21" i="19"/>
  <c r="T21" i="19"/>
  <c r="I21" i="19"/>
  <c r="AL20" i="19"/>
  <c r="AC20" i="19"/>
  <c r="T20" i="19"/>
  <c r="I20" i="19"/>
  <c r="AL19" i="19"/>
  <c r="AC19" i="19"/>
  <c r="T19" i="19"/>
  <c r="I19" i="19"/>
  <c r="AL18" i="19"/>
  <c r="AC18" i="19"/>
  <c r="T18" i="19"/>
  <c r="I18" i="19"/>
  <c r="AL17" i="19"/>
  <c r="AC17" i="19"/>
  <c r="T17" i="19"/>
  <c r="AL16" i="19"/>
  <c r="AC16" i="19"/>
  <c r="AL15" i="19"/>
  <c r="AC15" i="19"/>
  <c r="T15" i="19"/>
  <c r="AL14" i="19"/>
  <c r="AC14" i="19"/>
  <c r="AL13" i="19"/>
  <c r="AC13" i="19"/>
  <c r="Q13" i="19"/>
  <c r="I13" i="19"/>
  <c r="AL12" i="19"/>
  <c r="AC12" i="19"/>
  <c r="AL11" i="19"/>
  <c r="AC11" i="19"/>
  <c r="AL10" i="19"/>
  <c r="AC10" i="19"/>
  <c r="AL9" i="19"/>
  <c r="AC9" i="19"/>
  <c r="T9" i="19"/>
  <c r="I9" i="19"/>
  <c r="AL8" i="19"/>
  <c r="AC8" i="19"/>
  <c r="T8" i="19"/>
  <c r="I8" i="19"/>
  <c r="AL7" i="19"/>
  <c r="AC7" i="19"/>
  <c r="T7" i="19"/>
  <c r="I7" i="19"/>
  <c r="AL6" i="19"/>
  <c r="AC6" i="19"/>
  <c r="T6" i="19"/>
  <c r="I6" i="19"/>
  <c r="AL5" i="19"/>
  <c r="AC5" i="19"/>
  <c r="T5" i="19"/>
  <c r="I5" i="19"/>
  <c r="AL4" i="19"/>
  <c r="AE81" i="19" l="1"/>
  <c r="AH81" i="19"/>
  <c r="AE82" i="19"/>
  <c r="AH82" i="19"/>
  <c r="AI42" i="19"/>
  <c r="AH42" i="19"/>
  <c r="AI73" i="19"/>
  <c r="AH73" i="19"/>
  <c r="AE29" i="19"/>
  <c r="AH29" i="19"/>
  <c r="Z100" i="19"/>
  <c r="V100" i="19"/>
  <c r="AI98" i="19"/>
  <c r="AE98" i="19"/>
  <c r="AI100" i="19"/>
  <c r="AE100" i="19"/>
  <c r="Z98" i="19"/>
  <c r="V98" i="19"/>
  <c r="Z82" i="19"/>
  <c r="V82" i="19"/>
  <c r="AI99" i="19"/>
  <c r="AE99" i="19"/>
  <c r="Z29" i="19"/>
  <c r="AI29" i="19"/>
  <c r="Q81" i="19"/>
  <c r="Z81" i="19"/>
  <c r="I16" i="19"/>
  <c r="I14" i="19"/>
  <c r="T11" i="19"/>
  <c r="AL59" i="19"/>
  <c r="Z73" i="19"/>
  <c r="AR81" i="19"/>
  <c r="T59" i="19"/>
  <c r="T60" i="19"/>
  <c r="AC59" i="19"/>
  <c r="AC60" i="19"/>
  <c r="I12" i="19"/>
  <c r="AC4" i="19"/>
  <c r="I11" i="19"/>
  <c r="Q100" i="19"/>
  <c r="T13" i="19"/>
  <c r="T4" i="19"/>
  <c r="AR99" i="19"/>
  <c r="AI82" i="19"/>
  <c r="I15" i="19"/>
  <c r="AR29" i="19"/>
  <c r="T10" i="19"/>
  <c r="Q98" i="19"/>
  <c r="T14" i="19"/>
  <c r="T12" i="19"/>
  <c r="T16" i="19"/>
  <c r="Z99" i="19"/>
  <c r="AI81" i="19"/>
  <c r="I10" i="19"/>
  <c r="AL60" i="19" l="1"/>
  <c r="AC66" i="19"/>
  <c r="AL66" i="19"/>
  <c r="AL68" i="19" s="1"/>
  <c r="T66" i="19"/>
  <c r="T67" i="19"/>
  <c r="I4" i="19"/>
  <c r="I59" i="19" l="1"/>
  <c r="I60" i="19" l="1"/>
  <c r="T23" i="19" l="1"/>
  <c r="Z23" i="19"/>
  <c r="AI23" i="19" l="1"/>
  <c r="AC23" i="19"/>
  <c r="AK1300" i="2"/>
  <c r="BG75" i="19"/>
  <c r="BI75" i="19" s="1"/>
  <c r="AX75" i="19"/>
  <c r="AZ75" i="19" s="1"/>
  <c r="JG1014" i="5"/>
  <c r="AI1751" i="2" s="1"/>
  <c r="AI1750" i="2" s="1"/>
  <c r="O36" i="19"/>
  <c r="N36" i="19" s="1"/>
  <c r="Q109" i="21" l="1"/>
  <c r="R109" i="21" s="1"/>
  <c r="JN976" i="5"/>
  <c r="W77" i="19"/>
  <c r="Y77" i="19" s="1"/>
  <c r="U95" i="19"/>
  <c r="AO95" i="19"/>
  <c r="AQ95" i="19" s="1"/>
  <c r="BJ75" i="19"/>
  <c r="BH75" i="19"/>
  <c r="BK75" i="19" s="1"/>
  <c r="BA75" i="19"/>
  <c r="AY75" i="19"/>
  <c r="BB75" i="19" s="1"/>
  <c r="Q36" i="19"/>
  <c r="AM95" i="19" l="1"/>
  <c r="AN95" i="19" s="1"/>
  <c r="Z95" i="19"/>
  <c r="AR95" i="19"/>
  <c r="Z77" i="19"/>
  <c r="AX95" i="19"/>
  <c r="BG95" i="19"/>
  <c r="O95" i="19"/>
  <c r="N95" i="19" s="1"/>
  <c r="O94" i="19"/>
  <c r="N94" i="19" s="1"/>
  <c r="GU756" i="5"/>
  <c r="GV756" i="5"/>
  <c r="GW756" i="5"/>
  <c r="GX756" i="5"/>
  <c r="GY756" i="5"/>
  <c r="GZ756" i="5"/>
  <c r="GU763" i="5"/>
  <c r="GV763" i="5"/>
  <c r="GW763" i="5"/>
  <c r="GX763" i="5"/>
  <c r="GY763" i="5"/>
  <c r="GZ763" i="5"/>
  <c r="GU764" i="5"/>
  <c r="GV764" i="5"/>
  <c r="GW764" i="5"/>
  <c r="GX764" i="5"/>
  <c r="GY764" i="5"/>
  <c r="GZ764" i="5"/>
  <c r="GU771" i="5"/>
  <c r="GU1235" i="5" s="1"/>
  <c r="GV771" i="5"/>
  <c r="GV1235" i="5" s="1"/>
  <c r="GW771" i="5"/>
  <c r="GW1235" i="5" s="1"/>
  <c r="GX771" i="5"/>
  <c r="GX1235" i="5" s="1"/>
  <c r="GY771" i="5"/>
  <c r="GY1235" i="5" s="1"/>
  <c r="GZ771" i="5"/>
  <c r="GZ1235" i="5" s="1"/>
  <c r="GU793" i="5"/>
  <c r="GU1236" i="5" s="1"/>
  <c r="GV793" i="5"/>
  <c r="GV1236" i="5" s="1"/>
  <c r="GW793" i="5"/>
  <c r="GW1236" i="5" s="1"/>
  <c r="GX793" i="5"/>
  <c r="GX1236" i="5" s="1"/>
  <c r="GY793" i="5"/>
  <c r="GY1236" i="5" s="1"/>
  <c r="GZ793" i="5"/>
  <c r="GZ1236" i="5" s="1"/>
  <c r="GU802" i="5"/>
  <c r="GV802" i="5"/>
  <c r="GW802" i="5"/>
  <c r="GX802" i="5"/>
  <c r="GY802" i="5"/>
  <c r="GZ802" i="5"/>
  <c r="JF803" i="5"/>
  <c r="JF822" i="5"/>
  <c r="JF825" i="5"/>
  <c r="GU827" i="5"/>
  <c r="GV827" i="5"/>
  <c r="GW827" i="5"/>
  <c r="GX827" i="5"/>
  <c r="GY827" i="5"/>
  <c r="GZ827" i="5"/>
  <c r="GU833" i="5"/>
  <c r="GV833" i="5"/>
  <c r="GW833" i="5"/>
  <c r="GX833" i="5"/>
  <c r="GY833" i="5"/>
  <c r="GZ833" i="5"/>
  <c r="JF845" i="5"/>
  <c r="JF849" i="5"/>
  <c r="GU851" i="5"/>
  <c r="GU1243" i="5" s="1"/>
  <c r="GV851" i="5"/>
  <c r="GV1243" i="5" s="1"/>
  <c r="GW851" i="5"/>
  <c r="GW1243" i="5" s="1"/>
  <c r="GX851" i="5"/>
  <c r="GX1243" i="5" s="1"/>
  <c r="GY851" i="5"/>
  <c r="GY1243" i="5" s="1"/>
  <c r="GZ851" i="5"/>
  <c r="GZ1243" i="5" s="1"/>
  <c r="GU853" i="5"/>
  <c r="GU1244" i="5" s="1"/>
  <c r="GV853" i="5"/>
  <c r="GV1244" i="5" s="1"/>
  <c r="GW853" i="5"/>
  <c r="GW1244" i="5" s="1"/>
  <c r="GX853" i="5"/>
  <c r="GX1244" i="5" s="1"/>
  <c r="GY853" i="5"/>
  <c r="GY1244" i="5" s="1"/>
  <c r="GZ853" i="5"/>
  <c r="GZ1244" i="5" s="1"/>
  <c r="JF868" i="5"/>
  <c r="GU870" i="5"/>
  <c r="GU1246" i="5" s="1"/>
  <c r="GV870" i="5"/>
  <c r="GV1246" i="5" s="1"/>
  <c r="GW870" i="5"/>
  <c r="GW1246" i="5" s="1"/>
  <c r="GX870" i="5"/>
  <c r="GX1246" i="5" s="1"/>
  <c r="GY870" i="5"/>
  <c r="GY1246" i="5" s="1"/>
  <c r="GZ870" i="5"/>
  <c r="GZ1246" i="5" s="1"/>
  <c r="GU876" i="5"/>
  <c r="GU1245" i="5" s="1"/>
  <c r="GV876" i="5"/>
  <c r="GV1245" i="5" s="1"/>
  <c r="GW876" i="5"/>
  <c r="GW1245" i="5" s="1"/>
  <c r="GX876" i="5"/>
  <c r="GX1245" i="5" s="1"/>
  <c r="GY876" i="5"/>
  <c r="GY1245" i="5" s="1"/>
  <c r="GZ876" i="5"/>
  <c r="GZ1245" i="5" s="1"/>
  <c r="GU877" i="5"/>
  <c r="GV877" i="5"/>
  <c r="GW877" i="5"/>
  <c r="GX877" i="5"/>
  <c r="GY877" i="5"/>
  <c r="GZ877" i="5"/>
  <c r="GU885" i="5"/>
  <c r="GV885" i="5"/>
  <c r="GW885" i="5"/>
  <c r="GX885" i="5"/>
  <c r="GY885" i="5"/>
  <c r="GZ885" i="5"/>
  <c r="GU901" i="5"/>
  <c r="GV901" i="5"/>
  <c r="GW901" i="5"/>
  <c r="GX901" i="5"/>
  <c r="GY901" i="5"/>
  <c r="GZ901" i="5"/>
  <c r="GU903" i="5"/>
  <c r="GU1248" i="5" s="1"/>
  <c r="GV903" i="5"/>
  <c r="GV1248" i="5" s="1"/>
  <c r="GW903" i="5"/>
  <c r="GW1248" i="5" s="1"/>
  <c r="GX903" i="5"/>
  <c r="GX1248" i="5" s="1"/>
  <c r="GY903" i="5"/>
  <c r="GY1248" i="5" s="1"/>
  <c r="GZ903" i="5"/>
  <c r="GZ1248" i="5" s="1"/>
  <c r="JF824" i="5"/>
  <c r="JF1035" i="5"/>
  <c r="JF974" i="5"/>
  <c r="GU912" i="5"/>
  <c r="GU1250" i="5" s="1"/>
  <c r="GV912" i="5"/>
  <c r="GV1250" i="5" s="1"/>
  <c r="GW912" i="5"/>
  <c r="GW1250" i="5" s="1"/>
  <c r="GX912" i="5"/>
  <c r="GX1250" i="5" s="1"/>
  <c r="GY912" i="5"/>
  <c r="GY1250" i="5" s="1"/>
  <c r="GZ912" i="5"/>
  <c r="GZ1250" i="5" s="1"/>
  <c r="HA756" i="5"/>
  <c r="HB756" i="5"/>
  <c r="HD756" i="5"/>
  <c r="HE756" i="5"/>
  <c r="HA763" i="5"/>
  <c r="HB763" i="5"/>
  <c r="HC763" i="5"/>
  <c r="HD763" i="5"/>
  <c r="HE763" i="5"/>
  <c r="HF763" i="5"/>
  <c r="HA764" i="5"/>
  <c r="HB764" i="5"/>
  <c r="HC764" i="5"/>
  <c r="HD764" i="5"/>
  <c r="HE764" i="5"/>
  <c r="HF764" i="5"/>
  <c r="HA771" i="5"/>
  <c r="HA1235" i="5" s="1"/>
  <c r="HB771" i="5"/>
  <c r="HB1235" i="5" s="1"/>
  <c r="HC771" i="5"/>
  <c r="HC1235" i="5" s="1"/>
  <c r="HD771" i="5"/>
  <c r="HD1235" i="5" s="1"/>
  <c r="HE771" i="5"/>
  <c r="HE1235" i="5" s="1"/>
  <c r="HF771" i="5"/>
  <c r="HF1235" i="5" s="1"/>
  <c r="HA793" i="5"/>
  <c r="HA1236" i="5" s="1"/>
  <c r="HB793" i="5"/>
  <c r="HB1236" i="5" s="1"/>
  <c r="HC793" i="5"/>
  <c r="HC1236" i="5" s="1"/>
  <c r="HD793" i="5"/>
  <c r="HD1236" i="5" s="1"/>
  <c r="HE793" i="5"/>
  <c r="HE1236" i="5" s="1"/>
  <c r="HF793" i="5"/>
  <c r="HF1236" i="5" s="1"/>
  <c r="HA802" i="5"/>
  <c r="HB802" i="5"/>
  <c r="HC802" i="5"/>
  <c r="HD802" i="5"/>
  <c r="HE802" i="5"/>
  <c r="HF802" i="5"/>
  <c r="JG803" i="5"/>
  <c r="JG822" i="5"/>
  <c r="JG825" i="5"/>
  <c r="HA827" i="5"/>
  <c r="HB827" i="5"/>
  <c r="HC827" i="5"/>
  <c r="HD827" i="5"/>
  <c r="HE827" i="5"/>
  <c r="HF827" i="5"/>
  <c r="HA833" i="5"/>
  <c r="HB833" i="5"/>
  <c r="HC833" i="5"/>
  <c r="HD833" i="5"/>
  <c r="HE833" i="5"/>
  <c r="HF833" i="5"/>
  <c r="JG845" i="5"/>
  <c r="JG849" i="5"/>
  <c r="HA851" i="5"/>
  <c r="HA1243" i="5" s="1"/>
  <c r="HB851" i="5"/>
  <c r="HB1243" i="5" s="1"/>
  <c r="HC851" i="5"/>
  <c r="HC1243" i="5" s="1"/>
  <c r="HD851" i="5"/>
  <c r="HD1243" i="5" s="1"/>
  <c r="HE851" i="5"/>
  <c r="HE1243" i="5" s="1"/>
  <c r="HF851" i="5"/>
  <c r="HF1243" i="5" s="1"/>
  <c r="HA853" i="5"/>
  <c r="HA1244" i="5" s="1"/>
  <c r="HB853" i="5"/>
  <c r="HB1244" i="5" s="1"/>
  <c r="HC853" i="5"/>
  <c r="HC1244" i="5" s="1"/>
  <c r="HD853" i="5"/>
  <c r="HD1244" i="5" s="1"/>
  <c r="HE853" i="5"/>
  <c r="HE1244" i="5" s="1"/>
  <c r="HF853" i="5"/>
  <c r="HF1244" i="5" s="1"/>
  <c r="JG868" i="5"/>
  <c r="HA870" i="5"/>
  <c r="HA1246" i="5" s="1"/>
  <c r="HB870" i="5"/>
  <c r="HB1246" i="5" s="1"/>
  <c r="HC870" i="5"/>
  <c r="HC1246" i="5" s="1"/>
  <c r="HD870" i="5"/>
  <c r="HD1246" i="5" s="1"/>
  <c r="HE870" i="5"/>
  <c r="HE1246" i="5" s="1"/>
  <c r="HF870" i="5"/>
  <c r="HF1246" i="5" s="1"/>
  <c r="HA876" i="5"/>
  <c r="HA1245" i="5" s="1"/>
  <c r="HB876" i="5"/>
  <c r="HB1245" i="5" s="1"/>
  <c r="HC876" i="5"/>
  <c r="HC1245" i="5" s="1"/>
  <c r="HD876" i="5"/>
  <c r="HD1245" i="5" s="1"/>
  <c r="HE876" i="5"/>
  <c r="HE1245" i="5" s="1"/>
  <c r="HF876" i="5"/>
  <c r="HF1245" i="5" s="1"/>
  <c r="HA877" i="5"/>
  <c r="HB877" i="5"/>
  <c r="HC877" i="5"/>
  <c r="HD877" i="5"/>
  <c r="HE877" i="5"/>
  <c r="HF877" i="5"/>
  <c r="HA885" i="5"/>
  <c r="HB885" i="5"/>
  <c r="HC885" i="5"/>
  <c r="HD885" i="5"/>
  <c r="HE885" i="5"/>
  <c r="HF885" i="5"/>
  <c r="HA901" i="5"/>
  <c r="HB901" i="5"/>
  <c r="HC901" i="5"/>
  <c r="HD901" i="5"/>
  <c r="HE901" i="5"/>
  <c r="HF901" i="5"/>
  <c r="HA903" i="5"/>
  <c r="HA1248" i="5" s="1"/>
  <c r="HB903" i="5"/>
  <c r="HB1248" i="5" s="1"/>
  <c r="HC903" i="5"/>
  <c r="HC1248" i="5" s="1"/>
  <c r="HD903" i="5"/>
  <c r="HD1248" i="5" s="1"/>
  <c r="HE903" i="5"/>
  <c r="HE1248" i="5" s="1"/>
  <c r="HF903" i="5"/>
  <c r="HF1248" i="5" s="1"/>
  <c r="JG824" i="5"/>
  <c r="JG1035" i="5"/>
  <c r="JG974" i="5"/>
  <c r="HA912" i="5"/>
  <c r="HA1250" i="5" s="1"/>
  <c r="HB912" i="5"/>
  <c r="HB1250" i="5" s="1"/>
  <c r="HC912" i="5"/>
  <c r="HC1250" i="5" s="1"/>
  <c r="HD912" i="5"/>
  <c r="HD1250" i="5" s="1"/>
  <c r="HE912" i="5"/>
  <c r="HE1250" i="5" s="1"/>
  <c r="HF912" i="5"/>
  <c r="HF1250" i="5" s="1"/>
  <c r="JF950" i="5"/>
  <c r="AH1724" i="2" s="1"/>
  <c r="JF966" i="5"/>
  <c r="JF967" i="5"/>
  <c r="JF976" i="5"/>
  <c r="JF749" i="5" s="1"/>
  <c r="JF982" i="5"/>
  <c r="JF983" i="5"/>
  <c r="JF984" i="5"/>
  <c r="JG950" i="5"/>
  <c r="AI1723" i="2" s="1"/>
  <c r="JG966" i="5"/>
  <c r="JG967" i="5"/>
  <c r="JG976" i="5"/>
  <c r="JG749" i="5" s="1"/>
  <c r="JG982" i="5"/>
  <c r="JG983" i="5"/>
  <c r="JG984" i="5"/>
  <c r="HA985" i="5"/>
  <c r="HB985" i="5"/>
  <c r="HC985" i="5"/>
  <c r="HD985" i="5"/>
  <c r="HE985" i="5"/>
  <c r="HF985" i="5"/>
  <c r="JF997" i="5"/>
  <c r="JF995" i="5" s="1"/>
  <c r="JF1000" i="5"/>
  <c r="JF998" i="5" s="1"/>
  <c r="JF1004" i="5"/>
  <c r="JF1005" i="5"/>
  <c r="JF1010" i="5"/>
  <c r="AH1732" i="2" s="1"/>
  <c r="GU1011" i="5"/>
  <c r="GU1009" i="5" s="1"/>
  <c r="GU1008" i="5" s="1"/>
  <c r="GV1011" i="5"/>
  <c r="GV1009" i="5" s="1"/>
  <c r="GV1008" i="5" s="1"/>
  <c r="GW1011" i="5"/>
  <c r="GX1011" i="5"/>
  <c r="GX1009" i="5" s="1"/>
  <c r="GX1008" i="5" s="1"/>
  <c r="GY1009" i="5"/>
  <c r="GY1008" i="5" s="1"/>
  <c r="GZ1011" i="5"/>
  <c r="GZ1009" i="5" s="1"/>
  <c r="GZ1008" i="5" s="1"/>
  <c r="JF1014" i="5"/>
  <c r="JF1015" i="5"/>
  <c r="JF1016" i="5"/>
  <c r="JF1017" i="5"/>
  <c r="JF1018" i="5"/>
  <c r="JF1029" i="5"/>
  <c r="JF1038" i="5"/>
  <c r="JG997" i="5"/>
  <c r="JG1000" i="5"/>
  <c r="JG1004" i="5"/>
  <c r="JG1005" i="5"/>
  <c r="JG1010" i="5"/>
  <c r="AI1731" i="2" s="1"/>
  <c r="HA1011" i="5"/>
  <c r="HA1009" i="5" s="1"/>
  <c r="HA1008" i="5" s="1"/>
  <c r="HB1011" i="5"/>
  <c r="HB1009" i="5" s="1"/>
  <c r="HB1008" i="5" s="1"/>
  <c r="HC1011" i="5"/>
  <c r="HC1009" i="5" s="1"/>
  <c r="HC1008" i="5" s="1"/>
  <c r="HD1011" i="5"/>
  <c r="HD1009" i="5" s="1"/>
  <c r="HD1008" i="5" s="1"/>
  <c r="HE1011" i="5"/>
  <c r="HE1009" i="5" s="1"/>
  <c r="HE1008" i="5" s="1"/>
  <c r="HF1009" i="5"/>
  <c r="HF1008" i="5" s="1"/>
  <c r="JG1015" i="5"/>
  <c r="JG1016" i="5"/>
  <c r="JG1017" i="5"/>
  <c r="JG1018" i="5"/>
  <c r="JG1029" i="5"/>
  <c r="JG1038" i="5"/>
  <c r="JG1021" i="5"/>
  <c r="JH1021" i="5" s="1"/>
  <c r="AI1346" i="2" s="1"/>
  <c r="JF1037" i="5"/>
  <c r="JG1037" i="5"/>
  <c r="JG1036" i="5"/>
  <c r="JH1036" i="5" s="1"/>
  <c r="AI1361" i="2" s="1"/>
  <c r="JG1030" i="5"/>
  <c r="JH1030" i="5" s="1"/>
  <c r="AI1355" i="2" s="1"/>
  <c r="JG1026" i="5"/>
  <c r="JH1026" i="5" s="1"/>
  <c r="AI1351" i="2" s="1"/>
  <c r="JG1025" i="5"/>
  <c r="JH1025" i="5" s="1"/>
  <c r="AI1350" i="2" s="1"/>
  <c r="JG1024" i="5"/>
  <c r="JH1024" i="5" s="1"/>
  <c r="AI1349" i="2" s="1"/>
  <c r="JG1023" i="5"/>
  <c r="JH1023" i="5" s="1"/>
  <c r="AI1348" i="2" s="1"/>
  <c r="JG1022" i="5"/>
  <c r="JH1022" i="5" s="1"/>
  <c r="AI1347" i="2" s="1"/>
  <c r="JH1020" i="5"/>
  <c r="AI1345" i="2" s="1"/>
  <c r="JH999" i="5"/>
  <c r="AI1325" i="2" s="1"/>
  <c r="JH996" i="5"/>
  <c r="AI1322" i="2" s="1"/>
  <c r="JF992" i="5"/>
  <c r="JG992" i="5"/>
  <c r="JF991" i="5"/>
  <c r="JG991" i="5"/>
  <c r="JF990" i="5"/>
  <c r="JG990" i="5"/>
  <c r="JF989" i="5"/>
  <c r="JG989" i="5"/>
  <c r="JG986" i="5"/>
  <c r="JH986" i="5" s="1"/>
  <c r="AI1312" i="2" s="1"/>
  <c r="JF981" i="5"/>
  <c r="JG981" i="5"/>
  <c r="JF978" i="5"/>
  <c r="JG978" i="5"/>
  <c r="JF977" i="5"/>
  <c r="JG977" i="5"/>
  <c r="JF973" i="5"/>
  <c r="JG973" i="5"/>
  <c r="JF971" i="5"/>
  <c r="JG971" i="5"/>
  <c r="JF968" i="5"/>
  <c r="JG968" i="5"/>
  <c r="JF965" i="5"/>
  <c r="JG965" i="5"/>
  <c r="JF964" i="5"/>
  <c r="JG964" i="5"/>
  <c r="JF963" i="5"/>
  <c r="JG963" i="5"/>
  <c r="JF962" i="5"/>
  <c r="JG962" i="5"/>
  <c r="GU961" i="5"/>
  <c r="GV961" i="5"/>
  <c r="GW961" i="5"/>
  <c r="GX961" i="5"/>
  <c r="GY961" i="5"/>
  <c r="GZ961" i="5"/>
  <c r="HA961" i="5"/>
  <c r="HB961" i="5"/>
  <c r="HC961" i="5"/>
  <c r="HD961" i="5"/>
  <c r="HE961" i="5"/>
  <c r="HF961" i="5"/>
  <c r="JF960" i="5"/>
  <c r="JG960" i="5"/>
  <c r="JF959" i="5"/>
  <c r="JG959" i="5"/>
  <c r="JF958" i="5"/>
  <c r="JG958" i="5"/>
  <c r="JF957" i="5"/>
  <c r="JG957" i="5"/>
  <c r="JF956" i="5"/>
  <c r="JG956" i="5"/>
  <c r="GU955" i="5"/>
  <c r="GV955" i="5"/>
  <c r="GW955" i="5"/>
  <c r="GX955" i="5"/>
  <c r="GY955" i="5"/>
  <c r="GZ955" i="5"/>
  <c r="HA955" i="5"/>
  <c r="HB955" i="5"/>
  <c r="HC955" i="5"/>
  <c r="HD955" i="5"/>
  <c r="HE955" i="5"/>
  <c r="HF955" i="5"/>
  <c r="JF954" i="5"/>
  <c r="JG954" i="5"/>
  <c r="JF953" i="5"/>
  <c r="JG953" i="5"/>
  <c r="GU952" i="5"/>
  <c r="GV952" i="5"/>
  <c r="GW952" i="5"/>
  <c r="GX952" i="5"/>
  <c r="GY952" i="5"/>
  <c r="GZ952" i="5"/>
  <c r="HA952" i="5"/>
  <c r="HB952" i="5"/>
  <c r="HC952" i="5"/>
  <c r="HD952" i="5"/>
  <c r="HE952" i="5"/>
  <c r="HF952" i="5"/>
  <c r="JF951" i="5"/>
  <c r="AM1272" i="2" s="1"/>
  <c r="JT951" i="5" s="1"/>
  <c r="JG951" i="5"/>
  <c r="AN1272" i="2" s="1"/>
  <c r="JW951" i="5" s="1"/>
  <c r="JH949" i="5"/>
  <c r="AI1270" i="2" s="1"/>
  <c r="JF922" i="5"/>
  <c r="JG922" i="5"/>
  <c r="JF921" i="5"/>
  <c r="JG921" i="5"/>
  <c r="JF920" i="5"/>
  <c r="JG920" i="5"/>
  <c r="GU919" i="5"/>
  <c r="GV919" i="5"/>
  <c r="GW919" i="5"/>
  <c r="GX919" i="5"/>
  <c r="GY919" i="5"/>
  <c r="GZ919" i="5"/>
  <c r="HA919" i="5"/>
  <c r="HB919" i="5"/>
  <c r="HC919" i="5"/>
  <c r="HD919" i="5"/>
  <c r="HE919" i="5"/>
  <c r="HF919" i="5"/>
  <c r="JG918" i="5"/>
  <c r="JH918" i="5" s="1"/>
  <c r="AI1239" i="2" s="1"/>
  <c r="JG917" i="5"/>
  <c r="JH917" i="5" s="1"/>
  <c r="AI1238" i="2" s="1"/>
  <c r="JH916" i="5"/>
  <c r="AI1237" i="2" s="1"/>
  <c r="JF915" i="5"/>
  <c r="JG915" i="5"/>
  <c r="JF914" i="5"/>
  <c r="JG914" i="5"/>
  <c r="JF911" i="5"/>
  <c r="JG911" i="5"/>
  <c r="JG910" i="5"/>
  <c r="JH910" i="5" s="1"/>
  <c r="AI1231" i="2" s="1"/>
  <c r="AI1440" i="2" s="1"/>
  <c r="JG909" i="5"/>
  <c r="JH909" i="5" s="1"/>
  <c r="AI1230" i="2" s="1"/>
  <c r="JG902" i="5"/>
  <c r="JH902" i="5" s="1"/>
  <c r="AI1223" i="2" s="1"/>
  <c r="JF900" i="5"/>
  <c r="JG900" i="5"/>
  <c r="JG899" i="5"/>
  <c r="JH899" i="5" s="1"/>
  <c r="AI1220" i="2" s="1"/>
  <c r="JF898" i="5"/>
  <c r="JG898" i="5"/>
  <c r="JF897" i="5"/>
  <c r="JG897" i="5"/>
  <c r="JF896" i="5"/>
  <c r="JG896" i="5"/>
  <c r="JF895" i="5"/>
  <c r="JG895" i="5"/>
  <c r="JF894" i="5"/>
  <c r="JG894" i="5"/>
  <c r="JF893" i="5"/>
  <c r="JG893" i="5"/>
  <c r="JF892" i="5"/>
  <c r="JG892" i="5"/>
  <c r="JF891" i="5"/>
  <c r="JG891" i="5"/>
  <c r="JF890" i="5"/>
  <c r="JG890" i="5"/>
  <c r="JF889" i="5"/>
  <c r="JG889" i="5"/>
  <c r="JF888" i="5"/>
  <c r="JG888" i="5"/>
  <c r="JF887" i="5"/>
  <c r="JG887" i="5"/>
  <c r="JF886" i="5"/>
  <c r="JG886" i="5"/>
  <c r="JF884" i="5"/>
  <c r="JG884" i="5"/>
  <c r="JF883" i="5"/>
  <c r="JG883" i="5"/>
  <c r="JF882" i="5"/>
  <c r="JG882" i="5"/>
  <c r="JF881" i="5"/>
  <c r="JG881" i="5"/>
  <c r="JF878" i="5"/>
  <c r="JG878" i="5"/>
  <c r="JF871" i="5"/>
  <c r="JG871" i="5"/>
  <c r="JF867" i="5"/>
  <c r="JG867" i="5"/>
  <c r="JF866" i="5"/>
  <c r="JG866" i="5"/>
  <c r="JF865" i="5"/>
  <c r="JG865" i="5"/>
  <c r="JF864" i="5"/>
  <c r="JG864" i="5"/>
  <c r="JF863" i="5"/>
  <c r="JG863" i="5"/>
  <c r="JF862" i="5"/>
  <c r="JG862" i="5"/>
  <c r="JF861" i="5"/>
  <c r="JG861" i="5"/>
  <c r="GU860" i="5"/>
  <c r="GV860" i="5"/>
  <c r="GW860" i="5"/>
  <c r="GX860" i="5"/>
  <c r="GY860" i="5"/>
  <c r="GZ860" i="5"/>
  <c r="HA860" i="5"/>
  <c r="HB860" i="5"/>
  <c r="HC860" i="5"/>
  <c r="HD860" i="5"/>
  <c r="HE860" i="5"/>
  <c r="JF859" i="5"/>
  <c r="JG859" i="5"/>
  <c r="JF858" i="5"/>
  <c r="JG858" i="5"/>
  <c r="JF857" i="5"/>
  <c r="JG857" i="5"/>
  <c r="JF856" i="5"/>
  <c r="JG856" i="5"/>
  <c r="JF852" i="5"/>
  <c r="JG852" i="5"/>
  <c r="JF848" i="5"/>
  <c r="JG848" i="5"/>
  <c r="JF847" i="5"/>
  <c r="JG847" i="5"/>
  <c r="JF846" i="5"/>
  <c r="JG846" i="5"/>
  <c r="JF844" i="5"/>
  <c r="JG844" i="5"/>
  <c r="JF842" i="5"/>
  <c r="JG842" i="5"/>
  <c r="JF841" i="5"/>
  <c r="JG841" i="5"/>
  <c r="JF840" i="5"/>
  <c r="JG840" i="5"/>
  <c r="GU839" i="5"/>
  <c r="GV839" i="5"/>
  <c r="GW839" i="5"/>
  <c r="GX839" i="5"/>
  <c r="GY839" i="5"/>
  <c r="GZ839" i="5"/>
  <c r="HA839" i="5"/>
  <c r="HB839" i="5"/>
  <c r="HC839" i="5"/>
  <c r="HD839" i="5"/>
  <c r="HE839" i="5"/>
  <c r="HF839" i="5"/>
  <c r="JF838" i="5"/>
  <c r="JG838" i="5"/>
  <c r="JF837" i="5"/>
  <c r="JG837" i="5"/>
  <c r="JF836" i="5"/>
  <c r="JG836" i="5"/>
  <c r="GU835" i="5"/>
  <c r="GV835" i="5"/>
  <c r="GW835" i="5"/>
  <c r="GX835" i="5"/>
  <c r="GY835" i="5"/>
  <c r="GZ835" i="5"/>
  <c r="HB835" i="5"/>
  <c r="HC835" i="5"/>
  <c r="HD835" i="5"/>
  <c r="HE835" i="5"/>
  <c r="HF835" i="5"/>
  <c r="JF834" i="5"/>
  <c r="JG834" i="5"/>
  <c r="GU832" i="5"/>
  <c r="GV832" i="5"/>
  <c r="GW832" i="5"/>
  <c r="GX832" i="5"/>
  <c r="GY832" i="5"/>
  <c r="GZ832" i="5"/>
  <c r="HA832" i="5"/>
  <c r="HB832" i="5"/>
  <c r="HC832" i="5"/>
  <c r="HD832" i="5"/>
  <c r="HE832" i="5"/>
  <c r="HF832" i="5"/>
  <c r="JF831" i="5"/>
  <c r="JG831" i="5"/>
  <c r="JF830" i="5"/>
  <c r="JG830" i="5"/>
  <c r="GU829" i="5"/>
  <c r="GV829" i="5"/>
  <c r="GW829" i="5"/>
  <c r="GX829" i="5"/>
  <c r="GY829" i="5"/>
  <c r="GZ829" i="5"/>
  <c r="HA829" i="5"/>
  <c r="HB829" i="5"/>
  <c r="HC829" i="5"/>
  <c r="HD829" i="5"/>
  <c r="HE829" i="5"/>
  <c r="HF829" i="5"/>
  <c r="GU828" i="5"/>
  <c r="GV828" i="5"/>
  <c r="GW828" i="5"/>
  <c r="GX828" i="5"/>
  <c r="GY828" i="5"/>
  <c r="GZ828" i="5"/>
  <c r="HA828" i="5"/>
  <c r="HB828" i="5"/>
  <c r="HC828" i="5"/>
  <c r="HD828" i="5"/>
  <c r="HE828" i="5"/>
  <c r="HF828" i="5"/>
  <c r="JF823" i="5"/>
  <c r="JG823" i="5"/>
  <c r="JG821" i="5"/>
  <c r="JH821" i="5" s="1"/>
  <c r="AI1127" i="2" s="1"/>
  <c r="JF816" i="5"/>
  <c r="JG816" i="5"/>
  <c r="JF812" i="5"/>
  <c r="JG812" i="5"/>
  <c r="JF811" i="5"/>
  <c r="JG811" i="5"/>
  <c r="JF810" i="5"/>
  <c r="JG810" i="5"/>
  <c r="JF809" i="5"/>
  <c r="JG809" i="5"/>
  <c r="JF808" i="5"/>
  <c r="JG808" i="5"/>
  <c r="JF807" i="5"/>
  <c r="JG807" i="5"/>
  <c r="JF806" i="5"/>
  <c r="JG806" i="5"/>
  <c r="JF805" i="5"/>
  <c r="JG805" i="5"/>
  <c r="JF804" i="5"/>
  <c r="JG804" i="5"/>
  <c r="GU801" i="5"/>
  <c r="GV801" i="5"/>
  <c r="GW801" i="5"/>
  <c r="GX801" i="5"/>
  <c r="GY801" i="5"/>
  <c r="GZ801" i="5"/>
  <c r="HA801" i="5"/>
  <c r="HB801" i="5"/>
  <c r="HC801" i="5"/>
  <c r="HD801" i="5"/>
  <c r="HE801" i="5"/>
  <c r="HF801" i="5"/>
  <c r="GU800" i="5"/>
  <c r="GV800" i="5"/>
  <c r="GW800" i="5"/>
  <c r="GX800" i="5"/>
  <c r="GY800" i="5"/>
  <c r="GZ800" i="5"/>
  <c r="HA800" i="5"/>
  <c r="HB800" i="5"/>
  <c r="HC800" i="5"/>
  <c r="HD800" i="5"/>
  <c r="HE800" i="5"/>
  <c r="HF800" i="5"/>
  <c r="GU799" i="5"/>
  <c r="GV799" i="5"/>
  <c r="GW799" i="5"/>
  <c r="GX799" i="5"/>
  <c r="GY799" i="5"/>
  <c r="GZ799" i="5"/>
  <c r="HA799" i="5"/>
  <c r="HB799" i="5"/>
  <c r="HC799" i="5"/>
  <c r="HD799" i="5"/>
  <c r="HE799" i="5"/>
  <c r="HF799" i="5"/>
  <c r="GU798" i="5"/>
  <c r="GV798" i="5"/>
  <c r="GW798" i="5"/>
  <c r="GX798" i="5"/>
  <c r="GY798" i="5"/>
  <c r="GZ798" i="5"/>
  <c r="HA798" i="5"/>
  <c r="HB798" i="5"/>
  <c r="HC798" i="5"/>
  <c r="HD798" i="5"/>
  <c r="HE798" i="5"/>
  <c r="HF798" i="5"/>
  <c r="GU797" i="5"/>
  <c r="GV797" i="5"/>
  <c r="GW797" i="5"/>
  <c r="GX797" i="5"/>
  <c r="GY797" i="5"/>
  <c r="GZ797" i="5"/>
  <c r="HA797" i="5"/>
  <c r="HB797" i="5"/>
  <c r="HC797" i="5"/>
  <c r="HD797" i="5"/>
  <c r="HE797" i="5"/>
  <c r="HF797" i="5"/>
  <c r="JF796" i="5"/>
  <c r="JG796" i="5"/>
  <c r="JF795" i="5"/>
  <c r="JG795" i="5"/>
  <c r="GU794" i="5"/>
  <c r="GV794" i="5"/>
  <c r="GW794" i="5"/>
  <c r="GX794" i="5"/>
  <c r="GY794" i="5"/>
  <c r="GZ794" i="5"/>
  <c r="HA794" i="5"/>
  <c r="HB794" i="5"/>
  <c r="HC794" i="5"/>
  <c r="HD794" i="5"/>
  <c r="HE794" i="5"/>
  <c r="HF794" i="5"/>
  <c r="GU792" i="5"/>
  <c r="GV792" i="5"/>
  <c r="GW792" i="5"/>
  <c r="GX792" i="5"/>
  <c r="GY792" i="5"/>
  <c r="GZ792" i="5"/>
  <c r="HA792" i="5"/>
  <c r="HB792" i="5"/>
  <c r="HC792" i="5"/>
  <c r="HD792" i="5"/>
  <c r="HE792" i="5"/>
  <c r="HF792" i="5"/>
  <c r="GU791" i="5"/>
  <c r="GV791" i="5"/>
  <c r="GW791" i="5"/>
  <c r="GX791" i="5"/>
  <c r="GY791" i="5"/>
  <c r="GZ791" i="5"/>
  <c r="HA791" i="5"/>
  <c r="HB791" i="5"/>
  <c r="HC791" i="5"/>
  <c r="HD791" i="5"/>
  <c r="HE791" i="5"/>
  <c r="HF791" i="5"/>
  <c r="JF790" i="5"/>
  <c r="JG790" i="5"/>
  <c r="GU789" i="5"/>
  <c r="GV789" i="5"/>
  <c r="GW789" i="5"/>
  <c r="GX789" i="5"/>
  <c r="GY789" i="5"/>
  <c r="GZ789" i="5"/>
  <c r="HA789" i="5"/>
  <c r="HB789" i="5"/>
  <c r="HC789" i="5"/>
  <c r="HD789" i="5"/>
  <c r="HE789" i="5"/>
  <c r="HF789" i="5"/>
  <c r="GU788" i="5"/>
  <c r="GV788" i="5"/>
  <c r="GW788" i="5"/>
  <c r="GX788" i="5"/>
  <c r="GY788" i="5"/>
  <c r="GZ788" i="5"/>
  <c r="HA788" i="5"/>
  <c r="HB788" i="5"/>
  <c r="HC788" i="5"/>
  <c r="HD788" i="5"/>
  <c r="HE788" i="5"/>
  <c r="HF788" i="5"/>
  <c r="GU787" i="5"/>
  <c r="GV787" i="5"/>
  <c r="GW787" i="5"/>
  <c r="GX787" i="5"/>
  <c r="GY787" i="5"/>
  <c r="GZ787" i="5"/>
  <c r="HA787" i="5"/>
  <c r="HB787" i="5"/>
  <c r="HC787" i="5"/>
  <c r="HD787" i="5"/>
  <c r="HE787" i="5"/>
  <c r="HF787" i="5"/>
  <c r="GU786" i="5"/>
  <c r="GV786" i="5"/>
  <c r="GW786" i="5"/>
  <c r="GX786" i="5"/>
  <c r="GY786" i="5"/>
  <c r="GZ786" i="5"/>
  <c r="HA786" i="5"/>
  <c r="HB786" i="5"/>
  <c r="HC786" i="5"/>
  <c r="HD786" i="5"/>
  <c r="HE786" i="5"/>
  <c r="HF786" i="5"/>
  <c r="GU785" i="5"/>
  <c r="GV785" i="5"/>
  <c r="GW785" i="5"/>
  <c r="GX785" i="5"/>
  <c r="GY785" i="5"/>
  <c r="GZ785" i="5"/>
  <c r="HA785" i="5"/>
  <c r="HB785" i="5"/>
  <c r="HC785" i="5"/>
  <c r="HD785" i="5"/>
  <c r="HE785" i="5"/>
  <c r="HF785" i="5"/>
  <c r="GU779" i="5"/>
  <c r="GV779" i="5"/>
  <c r="GW779" i="5"/>
  <c r="GX779" i="5"/>
  <c r="GY779" i="5"/>
  <c r="GZ779" i="5"/>
  <c r="HA779" i="5"/>
  <c r="HB779" i="5"/>
  <c r="HC779" i="5"/>
  <c r="HD779" i="5"/>
  <c r="HE779" i="5"/>
  <c r="HF779" i="5"/>
  <c r="GU778" i="5"/>
  <c r="GV778" i="5"/>
  <c r="GW778" i="5"/>
  <c r="GX778" i="5"/>
  <c r="GY778" i="5"/>
  <c r="GZ778" i="5"/>
  <c r="HA778" i="5"/>
  <c r="HB778" i="5"/>
  <c r="HC778" i="5"/>
  <c r="HD778" i="5"/>
  <c r="HE778" i="5"/>
  <c r="HF778" i="5"/>
  <c r="GU777" i="5"/>
  <c r="GV777" i="5"/>
  <c r="GW777" i="5"/>
  <c r="GX777" i="5"/>
  <c r="GY777" i="5"/>
  <c r="GZ777" i="5"/>
  <c r="HA777" i="5"/>
  <c r="HB777" i="5"/>
  <c r="HC777" i="5"/>
  <c r="HD777" i="5"/>
  <c r="HE777" i="5"/>
  <c r="HF777" i="5"/>
  <c r="GU773" i="5"/>
  <c r="GV773" i="5"/>
  <c r="GW773" i="5"/>
  <c r="GX773" i="5"/>
  <c r="GY773" i="5"/>
  <c r="GZ773" i="5"/>
  <c r="HA773" i="5"/>
  <c r="HB773" i="5"/>
  <c r="HC773" i="5"/>
  <c r="HD773" i="5"/>
  <c r="HE773" i="5"/>
  <c r="HF773" i="5"/>
  <c r="GU772" i="5"/>
  <c r="GV772" i="5"/>
  <c r="GW772" i="5"/>
  <c r="GX772" i="5"/>
  <c r="GY772" i="5"/>
  <c r="GZ772" i="5"/>
  <c r="HA772" i="5"/>
  <c r="HB772" i="5"/>
  <c r="HC772" i="5"/>
  <c r="HD772" i="5"/>
  <c r="HE772" i="5"/>
  <c r="HF772" i="5"/>
  <c r="GU770" i="5"/>
  <c r="GV770" i="5"/>
  <c r="GW770" i="5"/>
  <c r="GX770" i="5"/>
  <c r="GY770" i="5"/>
  <c r="GZ770" i="5"/>
  <c r="HA770" i="5"/>
  <c r="HB770" i="5"/>
  <c r="HC770" i="5"/>
  <c r="HD770" i="5"/>
  <c r="HE770" i="5"/>
  <c r="HF770" i="5"/>
  <c r="GU769" i="5"/>
  <c r="GV769" i="5"/>
  <c r="GW769" i="5"/>
  <c r="GX769" i="5"/>
  <c r="GY769" i="5"/>
  <c r="GZ769" i="5"/>
  <c r="HA769" i="5"/>
  <c r="HB769" i="5"/>
  <c r="HC769" i="5"/>
  <c r="HD769" i="5"/>
  <c r="HE769" i="5"/>
  <c r="HF769" i="5"/>
  <c r="GU768" i="5"/>
  <c r="GV768" i="5"/>
  <c r="GW768" i="5"/>
  <c r="GX768" i="5"/>
  <c r="GY768" i="5"/>
  <c r="GZ768" i="5"/>
  <c r="HA768" i="5"/>
  <c r="HB768" i="5"/>
  <c r="HC768" i="5"/>
  <c r="HD768" i="5"/>
  <c r="HE768" i="5"/>
  <c r="HF768" i="5"/>
  <c r="GU767" i="5"/>
  <c r="GV767" i="5"/>
  <c r="GW767" i="5"/>
  <c r="GX767" i="5"/>
  <c r="GY767" i="5"/>
  <c r="GZ767" i="5"/>
  <c r="HA767" i="5"/>
  <c r="HB767" i="5"/>
  <c r="HC767" i="5"/>
  <c r="HD767" i="5"/>
  <c r="HE767" i="5"/>
  <c r="HF767" i="5"/>
  <c r="JF766" i="5"/>
  <c r="JG766" i="5"/>
  <c r="GU762" i="5"/>
  <c r="GV762" i="5"/>
  <c r="GW762" i="5"/>
  <c r="GX762" i="5"/>
  <c r="GY762" i="5"/>
  <c r="GZ762" i="5"/>
  <c r="HA762" i="5"/>
  <c r="HB762" i="5"/>
  <c r="HC762" i="5"/>
  <c r="HD762" i="5"/>
  <c r="HE762" i="5"/>
  <c r="HF762" i="5"/>
  <c r="GU761" i="5"/>
  <c r="GV761" i="5"/>
  <c r="GW761" i="5"/>
  <c r="GX761" i="5"/>
  <c r="GY761" i="5"/>
  <c r="GZ761" i="5"/>
  <c r="HA761" i="5"/>
  <c r="HB761" i="5"/>
  <c r="HC761" i="5"/>
  <c r="HD761" i="5"/>
  <c r="HE761" i="5"/>
  <c r="HF761" i="5"/>
  <c r="JF760" i="5"/>
  <c r="JG760" i="5"/>
  <c r="GI756" i="5"/>
  <c r="GI763" i="5"/>
  <c r="GI764" i="5"/>
  <c r="GI771" i="5"/>
  <c r="GI1235" i="5" s="1"/>
  <c r="GI793" i="5"/>
  <c r="GI1236" i="5" s="1"/>
  <c r="GI827" i="5"/>
  <c r="GI833" i="5"/>
  <c r="GJ756" i="5"/>
  <c r="GJ763" i="5"/>
  <c r="GJ764" i="5"/>
  <c r="GJ771" i="5"/>
  <c r="GJ1235" i="5" s="1"/>
  <c r="GJ793" i="5"/>
  <c r="GJ1236" i="5" s="1"/>
  <c r="GJ827" i="5"/>
  <c r="GJ833" i="5"/>
  <c r="GK756" i="5"/>
  <c r="GK763" i="5"/>
  <c r="GK764" i="5"/>
  <c r="GK771" i="5"/>
  <c r="GK1235" i="5" s="1"/>
  <c r="GK793" i="5"/>
  <c r="GK1236" i="5" s="1"/>
  <c r="GK827" i="5"/>
  <c r="GK833" i="5"/>
  <c r="GL756" i="5"/>
  <c r="GL763" i="5"/>
  <c r="GL764" i="5"/>
  <c r="GL771" i="5"/>
  <c r="GL1235" i="5" s="1"/>
  <c r="GL793" i="5"/>
  <c r="GL1236" i="5" s="1"/>
  <c r="GL827" i="5"/>
  <c r="GL833" i="5"/>
  <c r="GM756" i="5"/>
  <c r="GM763" i="5"/>
  <c r="GM764" i="5"/>
  <c r="GM771" i="5"/>
  <c r="GM1235" i="5" s="1"/>
  <c r="GM793" i="5"/>
  <c r="GM1236" i="5" s="1"/>
  <c r="GM827" i="5"/>
  <c r="GM833" i="5"/>
  <c r="GN756" i="5"/>
  <c r="GN763" i="5"/>
  <c r="GN764" i="5"/>
  <c r="GN771" i="5"/>
  <c r="GN1235" i="5" s="1"/>
  <c r="GN793" i="5"/>
  <c r="GN1236" i="5" s="1"/>
  <c r="GN827" i="5"/>
  <c r="GN833" i="5"/>
  <c r="GO756" i="5"/>
  <c r="GO763" i="5"/>
  <c r="GO764" i="5"/>
  <c r="GO771" i="5"/>
  <c r="GO1235" i="5" s="1"/>
  <c r="GO793" i="5"/>
  <c r="GO1236" i="5" s="1"/>
  <c r="GO827" i="5"/>
  <c r="GO833" i="5"/>
  <c r="GP756" i="5"/>
  <c r="GP763" i="5"/>
  <c r="GP764" i="5"/>
  <c r="GP771" i="5"/>
  <c r="GP1235" i="5" s="1"/>
  <c r="GP793" i="5"/>
  <c r="GP1236" i="5" s="1"/>
  <c r="GP827" i="5"/>
  <c r="GP833" i="5"/>
  <c r="GQ756" i="5"/>
  <c r="GQ763" i="5"/>
  <c r="GQ764" i="5"/>
  <c r="GQ771" i="5"/>
  <c r="GQ1235" i="5" s="1"/>
  <c r="GQ793" i="5"/>
  <c r="GQ1236" i="5" s="1"/>
  <c r="GQ827" i="5"/>
  <c r="GQ833" i="5"/>
  <c r="GR756" i="5"/>
  <c r="GR763" i="5"/>
  <c r="GR764" i="5"/>
  <c r="GR771" i="5"/>
  <c r="GR1235" i="5" s="1"/>
  <c r="GR793" i="5"/>
  <c r="GR1236" i="5" s="1"/>
  <c r="GR827" i="5"/>
  <c r="GR833" i="5"/>
  <c r="GS756" i="5"/>
  <c r="GS763" i="5"/>
  <c r="GS764" i="5"/>
  <c r="GS771" i="5"/>
  <c r="GS1235" i="5" s="1"/>
  <c r="GS793" i="5"/>
  <c r="GS1236" i="5" s="1"/>
  <c r="GS814" i="5"/>
  <c r="GS827" i="5"/>
  <c r="GS833" i="5"/>
  <c r="GT756" i="5"/>
  <c r="GT763" i="5"/>
  <c r="GT764" i="5"/>
  <c r="GT771" i="5"/>
  <c r="GT1235" i="5" s="1"/>
  <c r="GT793" i="5"/>
  <c r="GT1236" i="5" s="1"/>
  <c r="GT827" i="5"/>
  <c r="GT833" i="5"/>
  <c r="JC760" i="5"/>
  <c r="JD760" i="5"/>
  <c r="GI761" i="5"/>
  <c r="GJ761" i="5"/>
  <c r="GK761" i="5"/>
  <c r="GL761" i="5"/>
  <c r="GM761" i="5"/>
  <c r="GN761" i="5"/>
  <c r="GO761" i="5"/>
  <c r="GP761" i="5"/>
  <c r="GQ761" i="5"/>
  <c r="GR761" i="5"/>
  <c r="GS761" i="5"/>
  <c r="GT761" i="5"/>
  <c r="GI762" i="5"/>
  <c r="GJ762" i="5"/>
  <c r="GK762" i="5"/>
  <c r="GL762" i="5"/>
  <c r="GM762" i="5"/>
  <c r="GN762" i="5"/>
  <c r="GO762" i="5"/>
  <c r="GP762" i="5"/>
  <c r="GQ762" i="5"/>
  <c r="GR762" i="5"/>
  <c r="GS762" i="5"/>
  <c r="GT762" i="5"/>
  <c r="JC766" i="5"/>
  <c r="JD766" i="5"/>
  <c r="GI767" i="5"/>
  <c r="GJ767" i="5"/>
  <c r="GK767" i="5"/>
  <c r="GL767" i="5"/>
  <c r="GM767" i="5"/>
  <c r="GN767" i="5"/>
  <c r="GO767" i="5"/>
  <c r="GP767" i="5"/>
  <c r="GQ767" i="5"/>
  <c r="GR767" i="5"/>
  <c r="GS767" i="5"/>
  <c r="GT767" i="5"/>
  <c r="GI768" i="5"/>
  <c r="GJ768" i="5"/>
  <c r="GK768" i="5"/>
  <c r="GL768" i="5"/>
  <c r="GM768" i="5"/>
  <c r="GN768" i="5"/>
  <c r="GO768" i="5"/>
  <c r="GP768" i="5"/>
  <c r="GQ768" i="5"/>
  <c r="GR768" i="5"/>
  <c r="GS768" i="5"/>
  <c r="GT768" i="5"/>
  <c r="GI769" i="5"/>
  <c r="GJ769" i="5"/>
  <c r="GK769" i="5"/>
  <c r="GL769" i="5"/>
  <c r="GM769" i="5"/>
  <c r="GN769" i="5"/>
  <c r="GO769" i="5"/>
  <c r="GP769" i="5"/>
  <c r="GQ769" i="5"/>
  <c r="GR769" i="5"/>
  <c r="GS769" i="5"/>
  <c r="GT769" i="5"/>
  <c r="GI770" i="5"/>
  <c r="GJ770" i="5"/>
  <c r="GK770" i="5"/>
  <c r="GL770" i="5"/>
  <c r="GM770" i="5"/>
  <c r="GN770" i="5"/>
  <c r="GO770" i="5"/>
  <c r="GP770" i="5"/>
  <c r="GQ770" i="5"/>
  <c r="GR770" i="5"/>
  <c r="GS770" i="5"/>
  <c r="GT770" i="5"/>
  <c r="GI772" i="5"/>
  <c r="GJ772" i="5"/>
  <c r="GK772" i="5"/>
  <c r="GL772" i="5"/>
  <c r="GM772" i="5"/>
  <c r="GN772" i="5"/>
  <c r="GO772" i="5"/>
  <c r="GP772" i="5"/>
  <c r="GQ772" i="5"/>
  <c r="GR772" i="5"/>
  <c r="GS772" i="5"/>
  <c r="GT772" i="5"/>
  <c r="GI773" i="5"/>
  <c r="GJ773" i="5"/>
  <c r="GK773" i="5"/>
  <c r="GL773" i="5"/>
  <c r="GM773" i="5"/>
  <c r="GN773" i="5"/>
  <c r="GO773" i="5"/>
  <c r="GP773" i="5"/>
  <c r="GQ773" i="5"/>
  <c r="GR773" i="5"/>
  <c r="GS773" i="5"/>
  <c r="GT773" i="5"/>
  <c r="GI777" i="5"/>
  <c r="GJ777" i="5"/>
  <c r="GK777" i="5"/>
  <c r="GL777" i="5"/>
  <c r="GM777" i="5"/>
  <c r="GN777" i="5"/>
  <c r="GO777" i="5"/>
  <c r="GP777" i="5"/>
  <c r="GQ777" i="5"/>
  <c r="GR777" i="5"/>
  <c r="GS777" i="5"/>
  <c r="GT777" i="5"/>
  <c r="GI778" i="5"/>
  <c r="GJ778" i="5"/>
  <c r="GK778" i="5"/>
  <c r="GL778" i="5"/>
  <c r="GM778" i="5"/>
  <c r="GN778" i="5"/>
  <c r="GO778" i="5"/>
  <c r="GP778" i="5"/>
  <c r="GQ778" i="5"/>
  <c r="GR778" i="5"/>
  <c r="GS778" i="5"/>
  <c r="GT778" i="5"/>
  <c r="GI779" i="5"/>
  <c r="GJ779" i="5"/>
  <c r="GK779" i="5"/>
  <c r="GL779" i="5"/>
  <c r="GM779" i="5"/>
  <c r="GN779" i="5"/>
  <c r="GO779" i="5"/>
  <c r="GP779" i="5"/>
  <c r="GQ779" i="5"/>
  <c r="GR779" i="5"/>
  <c r="GS779" i="5"/>
  <c r="GT779" i="5"/>
  <c r="GI785" i="5"/>
  <c r="GJ785" i="5"/>
  <c r="GK785" i="5"/>
  <c r="GL785" i="5"/>
  <c r="GM785" i="5"/>
  <c r="GN785" i="5"/>
  <c r="GO785" i="5"/>
  <c r="GP785" i="5"/>
  <c r="GQ785" i="5"/>
  <c r="GR785" i="5"/>
  <c r="GS785" i="5"/>
  <c r="GT785" i="5"/>
  <c r="GI786" i="5"/>
  <c r="GJ786" i="5"/>
  <c r="GK786" i="5"/>
  <c r="GL786" i="5"/>
  <c r="GM786" i="5"/>
  <c r="GN786" i="5"/>
  <c r="GO786" i="5"/>
  <c r="GP786" i="5"/>
  <c r="GQ786" i="5"/>
  <c r="GR786" i="5"/>
  <c r="GS786" i="5"/>
  <c r="GT786" i="5"/>
  <c r="GI787" i="5"/>
  <c r="GJ787" i="5"/>
  <c r="GK787" i="5"/>
  <c r="GL787" i="5"/>
  <c r="GM787" i="5"/>
  <c r="GN787" i="5"/>
  <c r="GO787" i="5"/>
  <c r="GP787" i="5"/>
  <c r="GQ787" i="5"/>
  <c r="GR787" i="5"/>
  <c r="GS787" i="5"/>
  <c r="GT787" i="5"/>
  <c r="GI788" i="5"/>
  <c r="GJ788" i="5"/>
  <c r="GK788" i="5"/>
  <c r="GL788" i="5"/>
  <c r="GM788" i="5"/>
  <c r="GN788" i="5"/>
  <c r="GO788" i="5"/>
  <c r="GP788" i="5"/>
  <c r="GQ788" i="5"/>
  <c r="GR788" i="5"/>
  <c r="GS788" i="5"/>
  <c r="GT788" i="5"/>
  <c r="GI789" i="5"/>
  <c r="GJ789" i="5"/>
  <c r="GK789" i="5"/>
  <c r="GL789" i="5"/>
  <c r="GM789" i="5"/>
  <c r="GN789" i="5"/>
  <c r="GO789" i="5"/>
  <c r="GP789" i="5"/>
  <c r="GQ789" i="5"/>
  <c r="GR789" i="5"/>
  <c r="GS789" i="5"/>
  <c r="GT789" i="5"/>
  <c r="JC790" i="5"/>
  <c r="JD790" i="5"/>
  <c r="JC791" i="5"/>
  <c r="JD791" i="5"/>
  <c r="GI792" i="5"/>
  <c r="GJ792" i="5"/>
  <c r="GK792" i="5"/>
  <c r="GL792" i="5"/>
  <c r="GM792" i="5"/>
  <c r="GN792" i="5"/>
  <c r="GO792" i="5"/>
  <c r="GP792" i="5"/>
  <c r="GQ792" i="5"/>
  <c r="GR792" i="5"/>
  <c r="GS792" i="5"/>
  <c r="GT792" i="5"/>
  <c r="GI794" i="5"/>
  <c r="GJ794" i="5"/>
  <c r="GK794" i="5"/>
  <c r="GL794" i="5"/>
  <c r="GM794" i="5"/>
  <c r="GN794" i="5"/>
  <c r="GO794" i="5"/>
  <c r="GP794" i="5"/>
  <c r="GQ794" i="5"/>
  <c r="GR794" i="5"/>
  <c r="GS794" i="5"/>
  <c r="GT794" i="5"/>
  <c r="JC795" i="5"/>
  <c r="JD795" i="5"/>
  <c r="JC796" i="5"/>
  <c r="JD796" i="5"/>
  <c r="GI797" i="5"/>
  <c r="GJ797" i="5"/>
  <c r="GK797" i="5"/>
  <c r="GL797" i="5"/>
  <c r="GM797" i="5"/>
  <c r="GN797" i="5"/>
  <c r="GO797" i="5"/>
  <c r="GP797" i="5"/>
  <c r="GQ797" i="5"/>
  <c r="GR797" i="5"/>
  <c r="GS797" i="5"/>
  <c r="GT797" i="5"/>
  <c r="GI798" i="5"/>
  <c r="GJ798" i="5"/>
  <c r="GK798" i="5"/>
  <c r="GL798" i="5"/>
  <c r="GM798" i="5"/>
  <c r="GN798" i="5"/>
  <c r="GO798" i="5"/>
  <c r="GP798" i="5"/>
  <c r="GQ798" i="5"/>
  <c r="GR798" i="5"/>
  <c r="GS798" i="5"/>
  <c r="GT798" i="5"/>
  <c r="GI799" i="5"/>
  <c r="GJ799" i="5"/>
  <c r="GK799" i="5"/>
  <c r="GL799" i="5"/>
  <c r="GM799" i="5"/>
  <c r="GN799" i="5"/>
  <c r="GO799" i="5"/>
  <c r="GP799" i="5"/>
  <c r="GQ799" i="5"/>
  <c r="GR799" i="5"/>
  <c r="GS799" i="5"/>
  <c r="GT799" i="5"/>
  <c r="GI800" i="5"/>
  <c r="GJ800" i="5"/>
  <c r="GK800" i="5"/>
  <c r="GL800" i="5"/>
  <c r="GM800" i="5"/>
  <c r="GN800" i="5"/>
  <c r="GO800" i="5"/>
  <c r="GP800" i="5"/>
  <c r="GQ800" i="5"/>
  <c r="GR800" i="5"/>
  <c r="GS800" i="5"/>
  <c r="GT800" i="5"/>
  <c r="GI801" i="5"/>
  <c r="GJ801" i="5"/>
  <c r="GK801" i="5"/>
  <c r="GL801" i="5"/>
  <c r="GM801" i="5"/>
  <c r="GN801" i="5"/>
  <c r="GO801" i="5"/>
  <c r="GP801" i="5"/>
  <c r="GQ801" i="5"/>
  <c r="GR801" i="5"/>
  <c r="GS801" i="5"/>
  <c r="GT801" i="5"/>
  <c r="GI802" i="5"/>
  <c r="GJ802" i="5"/>
  <c r="GK802" i="5"/>
  <c r="GL802" i="5"/>
  <c r="GM802" i="5"/>
  <c r="GN802" i="5"/>
  <c r="GO802" i="5"/>
  <c r="GP802" i="5"/>
  <c r="GQ802" i="5"/>
  <c r="GR802" i="5"/>
  <c r="GS802" i="5"/>
  <c r="GT802" i="5"/>
  <c r="JC803" i="5"/>
  <c r="JC1077" i="5" s="1"/>
  <c r="JD803" i="5"/>
  <c r="JC804" i="5"/>
  <c r="JD804" i="5"/>
  <c r="JC805" i="5"/>
  <c r="JD805" i="5"/>
  <c r="JC806" i="5"/>
  <c r="JD806" i="5"/>
  <c r="JC807" i="5"/>
  <c r="JD807" i="5"/>
  <c r="JC808" i="5"/>
  <c r="JD808" i="5"/>
  <c r="JC809" i="5"/>
  <c r="JD809" i="5"/>
  <c r="JC810" i="5"/>
  <c r="JD810" i="5"/>
  <c r="JC811" i="5"/>
  <c r="JD811" i="5"/>
  <c r="JC812" i="5"/>
  <c r="JD812" i="5"/>
  <c r="JC816" i="5"/>
  <c r="JD816" i="5"/>
  <c r="JC821" i="5"/>
  <c r="JD821" i="5"/>
  <c r="JC822" i="5"/>
  <c r="JD822" i="5"/>
  <c r="JC823" i="5"/>
  <c r="JD823" i="5"/>
  <c r="JC824" i="5"/>
  <c r="JD824" i="5"/>
  <c r="JC825" i="5"/>
  <c r="JD825" i="5"/>
  <c r="GI828" i="5"/>
  <c r="GJ828" i="5"/>
  <c r="GK828" i="5"/>
  <c r="GL828" i="5"/>
  <c r="GM828" i="5"/>
  <c r="GN828" i="5"/>
  <c r="GO828" i="5"/>
  <c r="GP828" i="5"/>
  <c r="GQ828" i="5"/>
  <c r="GR828" i="5"/>
  <c r="GS828" i="5"/>
  <c r="GT828" i="5"/>
  <c r="JC829" i="5"/>
  <c r="JD829" i="5"/>
  <c r="JC830" i="5"/>
  <c r="JD830" i="5"/>
  <c r="JC831" i="5"/>
  <c r="JD831" i="5"/>
  <c r="AK1137" i="2" s="1"/>
  <c r="GI832" i="5"/>
  <c r="GJ832" i="5"/>
  <c r="GK832" i="5"/>
  <c r="GL832" i="5"/>
  <c r="GM832" i="5"/>
  <c r="GN832" i="5"/>
  <c r="GO832" i="5"/>
  <c r="GP832" i="5"/>
  <c r="GQ832" i="5"/>
  <c r="GR832" i="5"/>
  <c r="GS832" i="5"/>
  <c r="GT832" i="5"/>
  <c r="JC834" i="5"/>
  <c r="JD834" i="5"/>
  <c r="GI835" i="5"/>
  <c r="GJ835" i="5"/>
  <c r="GK835" i="5"/>
  <c r="GL835" i="5"/>
  <c r="GM835" i="5"/>
  <c r="GN835" i="5"/>
  <c r="GO835" i="5"/>
  <c r="GP835" i="5"/>
  <c r="GQ835" i="5"/>
  <c r="GR835" i="5"/>
  <c r="GS835" i="5"/>
  <c r="GT835" i="5"/>
  <c r="JC836" i="5"/>
  <c r="JD836" i="5"/>
  <c r="JC837" i="5"/>
  <c r="JD837" i="5"/>
  <c r="JC838" i="5"/>
  <c r="JD838" i="5"/>
  <c r="GI839" i="5"/>
  <c r="GJ839" i="5"/>
  <c r="GK839" i="5"/>
  <c r="GL839" i="5"/>
  <c r="GM839" i="5"/>
  <c r="GN839" i="5"/>
  <c r="GO839" i="5"/>
  <c r="GP839" i="5"/>
  <c r="GQ839" i="5"/>
  <c r="GR839" i="5"/>
  <c r="GS839" i="5"/>
  <c r="GT839" i="5"/>
  <c r="JC840" i="5"/>
  <c r="JD840" i="5"/>
  <c r="JC841" i="5"/>
  <c r="JD841" i="5"/>
  <c r="JC842" i="5"/>
  <c r="JD842" i="5"/>
  <c r="JC844" i="5"/>
  <c r="JD844" i="5"/>
  <c r="JC845" i="5"/>
  <c r="JD845" i="5"/>
  <c r="JC846" i="5"/>
  <c r="JD846" i="5"/>
  <c r="JC847" i="5"/>
  <c r="JD847" i="5"/>
  <c r="JC848" i="5"/>
  <c r="JD848" i="5"/>
  <c r="JC849" i="5"/>
  <c r="JD849" i="5"/>
  <c r="GI851" i="5"/>
  <c r="GI1243" i="5" s="1"/>
  <c r="GI853" i="5"/>
  <c r="GI877" i="5"/>
  <c r="GI885" i="5"/>
  <c r="GI901" i="5"/>
  <c r="GI903" i="5"/>
  <c r="GI1248" i="5" s="1"/>
  <c r="GJ851" i="5"/>
  <c r="GJ1243" i="5" s="1"/>
  <c r="GJ853" i="5"/>
  <c r="GJ869" i="5"/>
  <c r="GJ877" i="5"/>
  <c r="GJ885" i="5"/>
  <c r="GJ901" i="5"/>
  <c r="GJ903" i="5"/>
  <c r="GJ1248" i="5" s="1"/>
  <c r="GK851" i="5"/>
  <c r="GK1243" i="5" s="1"/>
  <c r="GK853" i="5"/>
  <c r="GK877" i="5"/>
  <c r="GK885" i="5"/>
  <c r="GK901" i="5"/>
  <c r="GK903" i="5"/>
  <c r="GK1248" i="5" s="1"/>
  <c r="GL851" i="5"/>
  <c r="GL1243" i="5" s="1"/>
  <c r="GL853" i="5"/>
  <c r="GL877" i="5"/>
  <c r="GL885" i="5"/>
  <c r="GL901" i="5"/>
  <c r="GL903" i="5"/>
  <c r="GL1248" i="5" s="1"/>
  <c r="GM851" i="5"/>
  <c r="GM1243" i="5" s="1"/>
  <c r="GM853" i="5"/>
  <c r="GM869" i="5"/>
  <c r="GM877" i="5"/>
  <c r="GM885" i="5"/>
  <c r="GM901" i="5"/>
  <c r="GM903" i="5"/>
  <c r="GM1248" i="5" s="1"/>
  <c r="GN851" i="5"/>
  <c r="GN1243" i="5" s="1"/>
  <c r="GN853" i="5"/>
  <c r="GN449" i="5"/>
  <c r="GN877" i="5"/>
  <c r="GN885" i="5"/>
  <c r="GN901" i="5"/>
  <c r="GN903" i="5"/>
  <c r="GN1248" i="5" s="1"/>
  <c r="GO851" i="5"/>
  <c r="GO1243" i="5" s="1"/>
  <c r="GO853" i="5"/>
  <c r="GO1244" i="5" s="1"/>
  <c r="GO869" i="5"/>
  <c r="GO877" i="5"/>
  <c r="GO885" i="5"/>
  <c r="GO901" i="5"/>
  <c r="GO903" i="5"/>
  <c r="GO1248" i="5" s="1"/>
  <c r="GP851" i="5"/>
  <c r="GP1243" i="5" s="1"/>
  <c r="GP853" i="5"/>
  <c r="GP1244" i="5" s="1"/>
  <c r="GP869" i="5"/>
  <c r="GP877" i="5"/>
  <c r="GP885" i="5"/>
  <c r="GP901" i="5"/>
  <c r="GP903" i="5"/>
  <c r="GP1248" i="5" s="1"/>
  <c r="GQ851" i="5"/>
  <c r="GQ1243" i="5" s="1"/>
  <c r="GQ853" i="5"/>
  <c r="GQ1244" i="5" s="1"/>
  <c r="GQ869" i="5"/>
  <c r="GQ877" i="5"/>
  <c r="GQ885" i="5"/>
  <c r="GQ901" i="5"/>
  <c r="GQ903" i="5"/>
  <c r="GQ1248" i="5" s="1"/>
  <c r="GR851" i="5"/>
  <c r="GR1243" i="5" s="1"/>
  <c r="GR853" i="5"/>
  <c r="GR1244" i="5" s="1"/>
  <c r="GR869" i="5"/>
  <c r="GR877" i="5"/>
  <c r="GR885" i="5"/>
  <c r="GR901" i="5"/>
  <c r="GR903" i="5"/>
  <c r="GR1248" i="5" s="1"/>
  <c r="GS851" i="5"/>
  <c r="GS1243" i="5" s="1"/>
  <c r="GS853" i="5"/>
  <c r="GS1244" i="5" s="1"/>
  <c r="GS869" i="5"/>
  <c r="GS877" i="5"/>
  <c r="GS885" i="5"/>
  <c r="GS901" i="5"/>
  <c r="GS903" i="5"/>
  <c r="GS1248" i="5" s="1"/>
  <c r="GT851" i="5"/>
  <c r="GT1243" i="5" s="1"/>
  <c r="GT853" i="5"/>
  <c r="GT1244" i="5" s="1"/>
  <c r="GT869" i="5"/>
  <c r="GT877" i="5"/>
  <c r="GT885" i="5"/>
  <c r="GT901" i="5"/>
  <c r="GT903" i="5"/>
  <c r="GT1248" i="5" s="1"/>
  <c r="GI470" i="5"/>
  <c r="GI912" i="5" s="1"/>
  <c r="GJ470" i="5"/>
  <c r="GJ912" i="5" s="1"/>
  <c r="GK470" i="5"/>
  <c r="GK912" i="5" s="1"/>
  <c r="GL470" i="5"/>
  <c r="GL912" i="5" s="1"/>
  <c r="GM470" i="5"/>
  <c r="GM912" i="5" s="1"/>
  <c r="GN470" i="5"/>
  <c r="GN912" i="5" s="1"/>
  <c r="GO470" i="5"/>
  <c r="GO912" i="5" s="1"/>
  <c r="GO1250" i="5" s="1"/>
  <c r="GP470" i="5"/>
  <c r="GP912" i="5" s="1"/>
  <c r="GP1250" i="5" s="1"/>
  <c r="GQ470" i="5"/>
  <c r="GQ912" i="5" s="1"/>
  <c r="GQ1250" i="5" s="1"/>
  <c r="GR470" i="5"/>
  <c r="GR912" i="5" s="1"/>
  <c r="GR1250" i="5" s="1"/>
  <c r="GS470" i="5"/>
  <c r="GS912" i="5" s="1"/>
  <c r="GS1250" i="5" s="1"/>
  <c r="GT470" i="5"/>
  <c r="GT912" i="5" s="1"/>
  <c r="GT1250" i="5" s="1"/>
  <c r="GI967" i="5"/>
  <c r="GI985" i="5"/>
  <c r="GJ967" i="5"/>
  <c r="GJ985" i="5"/>
  <c r="GK967" i="5"/>
  <c r="GK985" i="5"/>
  <c r="GL967" i="5"/>
  <c r="GL985" i="5"/>
  <c r="GM967" i="5"/>
  <c r="GM985" i="5"/>
  <c r="GN967" i="5"/>
  <c r="GN985" i="5"/>
  <c r="GO967" i="5"/>
  <c r="GO985" i="5"/>
  <c r="GP967" i="5"/>
  <c r="GP985" i="5"/>
  <c r="GQ967" i="5"/>
  <c r="GQ985" i="5"/>
  <c r="GR967" i="5"/>
  <c r="GR986" i="5"/>
  <c r="GR985" i="5" s="1"/>
  <c r="GS967" i="5"/>
  <c r="GS985" i="5"/>
  <c r="GT967" i="5"/>
  <c r="GT985" i="5"/>
  <c r="GI995" i="5"/>
  <c r="GI998" i="5"/>
  <c r="GI1003" i="5"/>
  <c r="GI1008" i="5"/>
  <c r="GI1021" i="5"/>
  <c r="GI1028" i="5"/>
  <c r="GI1027" i="5" s="1"/>
  <c r="GJ995" i="5"/>
  <c r="GJ998" i="5"/>
  <c r="GJ1003" i="5"/>
  <c r="GJ1008" i="5"/>
  <c r="GJ1021" i="5"/>
  <c r="GJ1028" i="5"/>
  <c r="GJ1027" i="5" s="1"/>
  <c r="GK995" i="5"/>
  <c r="GK998" i="5"/>
  <c r="GK1003" i="5"/>
  <c r="GK1008" i="5"/>
  <c r="GK1021" i="5"/>
  <c r="GK1028" i="5"/>
  <c r="GK1027" i="5" s="1"/>
  <c r="GL995" i="5"/>
  <c r="GL998" i="5"/>
  <c r="GL1003" i="5"/>
  <c r="GL1008" i="5"/>
  <c r="GL1021" i="5"/>
  <c r="GL1028" i="5"/>
  <c r="GL1027" i="5" s="1"/>
  <c r="GM995" i="5"/>
  <c r="GM998" i="5"/>
  <c r="GM1003" i="5"/>
  <c r="GM1008" i="5"/>
  <c r="GM1021" i="5"/>
  <c r="GM1028" i="5"/>
  <c r="GM1027" i="5" s="1"/>
  <c r="GN995" i="5"/>
  <c r="GN998" i="5"/>
  <c r="GN1003" i="5"/>
  <c r="GN1008" i="5"/>
  <c r="GN1021" i="5"/>
  <c r="GN1028" i="5"/>
  <c r="GO995" i="5"/>
  <c r="GO998" i="5"/>
  <c r="GO1003" i="5"/>
  <c r="GO1008" i="5"/>
  <c r="GO1021" i="5"/>
  <c r="GO1028" i="5"/>
  <c r="GO1027" i="5" s="1"/>
  <c r="GP995" i="5"/>
  <c r="GP998" i="5"/>
  <c r="GP1003" i="5"/>
  <c r="GP1008" i="5"/>
  <c r="GP1021" i="5"/>
  <c r="GP1028" i="5"/>
  <c r="GP1027" i="5" s="1"/>
  <c r="GQ995" i="5"/>
  <c r="GQ998" i="5"/>
  <c r="GQ1003" i="5"/>
  <c r="GQ1008" i="5"/>
  <c r="GQ1021" i="5"/>
  <c r="GQ1028" i="5"/>
  <c r="GQ1027" i="5" s="1"/>
  <c r="GR995" i="5"/>
  <c r="GR998" i="5"/>
  <c r="GR1003" i="5"/>
  <c r="GR1008" i="5"/>
  <c r="GR1021" i="5"/>
  <c r="GR1028" i="5"/>
  <c r="GR1038" i="5"/>
  <c r="JD1038" i="5" s="1"/>
  <c r="GS995" i="5"/>
  <c r="GS998" i="5"/>
  <c r="GS1003" i="5"/>
  <c r="GS1008" i="5"/>
  <c r="GS1021" i="5"/>
  <c r="GS1028" i="5"/>
  <c r="GS1027" i="5" s="1"/>
  <c r="GT995" i="5"/>
  <c r="GT998" i="5"/>
  <c r="GT1003" i="5"/>
  <c r="GT1008" i="5"/>
  <c r="GT1021" i="5"/>
  <c r="GT1028" i="5"/>
  <c r="GT1027" i="5" s="1"/>
  <c r="JG1032" i="5"/>
  <c r="JG1033" i="5"/>
  <c r="JF1012" i="5"/>
  <c r="JG1012" i="5"/>
  <c r="JF1013" i="5"/>
  <c r="JG1013" i="5"/>
  <c r="JH904" i="5"/>
  <c r="IA1013" i="5"/>
  <c r="IA1012" i="5"/>
  <c r="HA869" i="5"/>
  <c r="HA948" i="5"/>
  <c r="HA995" i="5"/>
  <c r="HA998" i="5"/>
  <c r="HA1003" i="5"/>
  <c r="HA1028" i="5"/>
  <c r="HA1027" i="5" s="1"/>
  <c r="HA1019" i="5" s="1"/>
  <c r="HB869" i="5"/>
  <c r="HB948" i="5"/>
  <c r="HB995" i="5"/>
  <c r="HB998" i="5"/>
  <c r="HB1003" i="5"/>
  <c r="HB1028" i="5"/>
  <c r="HB1027" i="5" s="1"/>
  <c r="HB1019" i="5" s="1"/>
  <c r="HC869" i="5"/>
  <c r="HC948" i="5"/>
  <c r="HC995" i="5"/>
  <c r="HC998" i="5"/>
  <c r="HC1003" i="5"/>
  <c r="HC1028" i="5"/>
  <c r="HC1027" i="5" s="1"/>
  <c r="HC1019" i="5" s="1"/>
  <c r="HD869" i="5"/>
  <c r="HD948" i="5"/>
  <c r="HD995" i="5"/>
  <c r="HD998" i="5"/>
  <c r="HD1003" i="5"/>
  <c r="HD1028" i="5"/>
  <c r="HD1027" i="5" s="1"/>
  <c r="HD1019" i="5" s="1"/>
  <c r="HE869" i="5"/>
  <c r="HE948" i="5"/>
  <c r="HE995" i="5"/>
  <c r="HE998" i="5"/>
  <c r="HE1003" i="5"/>
  <c r="HE1028" i="5"/>
  <c r="HE1027" i="5" s="1"/>
  <c r="HE1019" i="5" s="1"/>
  <c r="HF869" i="5"/>
  <c r="HF948" i="5"/>
  <c r="HF995" i="5"/>
  <c r="HF1003" i="5"/>
  <c r="HF1028" i="5"/>
  <c r="HF1027" i="5" s="1"/>
  <c r="HF1019" i="5" s="1"/>
  <c r="GV1003" i="5"/>
  <c r="GW1003" i="5"/>
  <c r="GX1003" i="5"/>
  <c r="GY1003" i="5"/>
  <c r="GZ1003" i="5"/>
  <c r="GV998" i="5"/>
  <c r="GW998" i="5"/>
  <c r="GX998" i="5"/>
  <c r="GY998" i="5"/>
  <c r="GZ998" i="5"/>
  <c r="GU985" i="5"/>
  <c r="GV985" i="5"/>
  <c r="GW985" i="5"/>
  <c r="GX985" i="5"/>
  <c r="GY985" i="5"/>
  <c r="GZ985" i="5"/>
  <c r="HA753" i="5"/>
  <c r="HA234" i="5" s="1"/>
  <c r="HB753" i="5"/>
  <c r="HB234" i="5" s="1"/>
  <c r="HC753" i="5"/>
  <c r="HC234" i="5" s="1"/>
  <c r="HD753" i="5"/>
  <c r="HD234" i="5" s="1"/>
  <c r="HE753" i="5"/>
  <c r="HE234" i="5" s="1"/>
  <c r="HF753" i="5"/>
  <c r="HF234" i="5" s="1"/>
  <c r="AF33" i="19"/>
  <c r="AF108" i="19"/>
  <c r="AR33" i="19"/>
  <c r="AK1358" i="2"/>
  <c r="AH421" i="2"/>
  <c r="AG421" i="2"/>
  <c r="AJ438" i="2"/>
  <c r="JD866" i="5"/>
  <c r="JC867" i="5"/>
  <c r="JD865" i="5"/>
  <c r="JD867" i="5"/>
  <c r="JC865" i="5"/>
  <c r="JV1035" i="5"/>
  <c r="JV1032" i="5"/>
  <c r="JV1029" i="5" s="1"/>
  <c r="AM421" i="2"/>
  <c r="AN1101" i="2"/>
  <c r="JX783" i="5"/>
  <c r="JU782" i="5"/>
  <c r="AM1071" i="2"/>
  <c r="D918" i="5"/>
  <c r="D917" i="5"/>
  <c r="D898" i="5"/>
  <c r="D899" i="5"/>
  <c r="D900" i="5"/>
  <c r="D867" i="5"/>
  <c r="AO1757" i="2"/>
  <c r="AO1756" i="2"/>
  <c r="AO1740" i="2"/>
  <c r="AO1766" i="2"/>
  <c r="AO1765" i="2"/>
  <c r="AO1733" i="2"/>
  <c r="GU1028" i="5"/>
  <c r="GU1027" i="5" s="1"/>
  <c r="GU1019" i="5" s="1"/>
  <c r="GV1028" i="5"/>
  <c r="GW1028" i="5"/>
  <c r="GW1027" i="5" s="1"/>
  <c r="GW1019" i="5" s="1"/>
  <c r="GX1028" i="5"/>
  <c r="GX1027" i="5" s="1"/>
  <c r="GX1019" i="5" s="1"/>
  <c r="GY1028" i="5"/>
  <c r="GY1027" i="5" s="1"/>
  <c r="GY1019" i="5" s="1"/>
  <c r="GZ1028" i="5"/>
  <c r="GZ1027" i="5" s="1"/>
  <c r="GZ1019" i="5" s="1"/>
  <c r="GU1003" i="5"/>
  <c r="GU998" i="5"/>
  <c r="GU995" i="5"/>
  <c r="GV995" i="5"/>
  <c r="GW995" i="5"/>
  <c r="GX995" i="5"/>
  <c r="GY995" i="5"/>
  <c r="GZ995" i="5"/>
  <c r="GU948" i="5"/>
  <c r="GV948" i="5"/>
  <c r="GW948" i="5"/>
  <c r="GX948" i="5"/>
  <c r="GY948" i="5"/>
  <c r="GZ948" i="5"/>
  <c r="GU869" i="5"/>
  <c r="GV869" i="5"/>
  <c r="GW869" i="5"/>
  <c r="GX869" i="5"/>
  <c r="GY869" i="5"/>
  <c r="GZ869" i="5"/>
  <c r="GU753" i="5"/>
  <c r="GU234" i="5" s="1"/>
  <c r="GV753" i="5"/>
  <c r="GV234" i="5" s="1"/>
  <c r="GW753" i="5"/>
  <c r="GW234" i="5" s="1"/>
  <c r="GX753" i="5"/>
  <c r="GX234" i="5" s="1"/>
  <c r="GY753" i="5"/>
  <c r="GY234" i="5" s="1"/>
  <c r="GZ753" i="5"/>
  <c r="GZ234" i="5" s="1"/>
  <c r="AO1650" i="2"/>
  <c r="AN1765" i="2"/>
  <c r="AN1766" i="2"/>
  <c r="AN1757" i="2"/>
  <c r="AN1756" i="2"/>
  <c r="AN1733" i="2"/>
  <c r="AN1650" i="2"/>
  <c r="AN1126" i="2"/>
  <c r="JT815" i="5"/>
  <c r="AL1125" i="2"/>
  <c r="AM1123" i="2"/>
  <c r="AL1123" i="2"/>
  <c r="AK1123" i="2"/>
  <c r="AM433" i="2"/>
  <c r="AM1767" i="2" s="1"/>
  <c r="AJ436" i="2"/>
  <c r="AJ532" i="2" s="1"/>
  <c r="AL436" i="2"/>
  <c r="AL532" i="2" s="1"/>
  <c r="AM436" i="2"/>
  <c r="AI437" i="2"/>
  <c r="AJ437" i="2"/>
  <c r="AK437" i="2"/>
  <c r="JR840" i="5"/>
  <c r="AI436" i="2"/>
  <c r="AH437" i="2"/>
  <c r="JX876" i="5"/>
  <c r="JU876" i="5"/>
  <c r="JR870" i="5"/>
  <c r="JX1010" i="5"/>
  <c r="JX1016" i="5"/>
  <c r="JY999" i="5"/>
  <c r="JY996" i="5"/>
  <c r="JX983" i="5"/>
  <c r="JX954" i="5"/>
  <c r="JX959" i="5"/>
  <c r="JX963" i="5"/>
  <c r="JX964" i="5"/>
  <c r="JX965" i="5"/>
  <c r="JX966" i="5"/>
  <c r="JX971" i="5"/>
  <c r="JX973" i="5"/>
  <c r="JY973" i="5" s="1"/>
  <c r="JX977" i="5"/>
  <c r="JX914" i="5"/>
  <c r="JX920" i="5"/>
  <c r="JX922" i="5"/>
  <c r="JX898" i="5"/>
  <c r="JY898" i="5" s="1"/>
  <c r="JX763" i="5"/>
  <c r="JX796" i="5"/>
  <c r="JX797" i="5"/>
  <c r="JX804" i="5"/>
  <c r="JX806" i="5"/>
  <c r="JX807" i="5"/>
  <c r="JX808" i="5"/>
  <c r="JX809" i="5"/>
  <c r="JX810" i="5"/>
  <c r="JX811" i="5"/>
  <c r="JX837" i="5"/>
  <c r="JY837" i="5" s="1"/>
  <c r="JX847" i="5"/>
  <c r="JY847" i="5" s="1"/>
  <c r="JX852" i="5"/>
  <c r="JY852" i="5" s="1"/>
  <c r="JX857" i="5"/>
  <c r="JX858" i="5"/>
  <c r="JX859" i="5"/>
  <c r="JX886" i="5"/>
  <c r="JU1010" i="5"/>
  <c r="JU1015" i="5"/>
  <c r="JU1016" i="5"/>
  <c r="JU1017" i="5"/>
  <c r="JV1017" i="5" s="1"/>
  <c r="JU999" i="5"/>
  <c r="JU996" i="5"/>
  <c r="JU971" i="5"/>
  <c r="JU977" i="5"/>
  <c r="JU981" i="5"/>
  <c r="JV981" i="5" s="1"/>
  <c r="JU954" i="5"/>
  <c r="JU957" i="5"/>
  <c r="JU958" i="5"/>
  <c r="JV958" i="5" s="1"/>
  <c r="JU960" i="5"/>
  <c r="JU963" i="5"/>
  <c r="JV963" i="5" s="1"/>
  <c r="JU965" i="5"/>
  <c r="JU966" i="5"/>
  <c r="JU914" i="5"/>
  <c r="JU922" i="5"/>
  <c r="JU898" i="5"/>
  <c r="JV898" i="5" s="1"/>
  <c r="JU887" i="5"/>
  <c r="JU888" i="5"/>
  <c r="JU881" i="5"/>
  <c r="JV881" i="5" s="1"/>
  <c r="JU852" i="5"/>
  <c r="JV852" i="5" s="1"/>
  <c r="JU859" i="5"/>
  <c r="JU837" i="5"/>
  <c r="JU848" i="5"/>
  <c r="JU804" i="5"/>
  <c r="JU805" i="5"/>
  <c r="JU806" i="5"/>
  <c r="JU807" i="5"/>
  <c r="JU808" i="5"/>
  <c r="JU809" i="5"/>
  <c r="JU810" i="5"/>
  <c r="JU811" i="5"/>
  <c r="JU803" i="5"/>
  <c r="JU763" i="5"/>
  <c r="JU751" i="5"/>
  <c r="JZ752" i="5"/>
  <c r="JY752" i="5"/>
  <c r="JX752" i="5"/>
  <c r="JZ751" i="5"/>
  <c r="JY751" i="5"/>
  <c r="JX751" i="5"/>
  <c r="JZ548" i="5"/>
  <c r="JY548" i="5"/>
  <c r="JX548" i="5"/>
  <c r="JZ547" i="5"/>
  <c r="JZ546" i="5"/>
  <c r="JY546" i="5"/>
  <c r="JX546" i="5"/>
  <c r="JW752" i="5"/>
  <c r="JV752" i="5"/>
  <c r="JU752" i="5"/>
  <c r="JW751" i="5"/>
  <c r="JV751" i="5"/>
  <c r="JW548" i="5"/>
  <c r="JV548" i="5"/>
  <c r="JU548" i="5"/>
  <c r="JW547" i="5"/>
  <c r="JW546" i="5"/>
  <c r="JV546" i="5"/>
  <c r="JU546" i="5"/>
  <c r="FY908" i="5"/>
  <c r="FY907" i="5" s="1"/>
  <c r="FZ908" i="5"/>
  <c r="GA908" i="5"/>
  <c r="GB908" i="5"/>
  <c r="GB1251" i="5" s="1"/>
  <c r="GB1249" i="5" s="1"/>
  <c r="GB1241" i="5" s="1"/>
  <c r="GB1257" i="5" s="1"/>
  <c r="GC908" i="5"/>
  <c r="GD908" i="5"/>
  <c r="GE908" i="5"/>
  <c r="GE1087" i="5" s="1"/>
  <c r="GF908" i="5"/>
  <c r="GG908" i="5"/>
  <c r="GH908" i="5"/>
  <c r="FW908" i="5"/>
  <c r="FW1087" i="5" s="1"/>
  <c r="FX908" i="5"/>
  <c r="FX1251" i="5" s="1"/>
  <c r="FX1249" i="5" s="1"/>
  <c r="FX1241" i="5" s="1"/>
  <c r="FX1257" i="5" s="1"/>
  <c r="IX840" i="5"/>
  <c r="IY840" i="5" s="1"/>
  <c r="AF1146" i="2" s="1"/>
  <c r="IV840" i="5"/>
  <c r="IS840" i="5"/>
  <c r="IP840" i="5"/>
  <c r="IM840" i="5"/>
  <c r="IJ840" i="5"/>
  <c r="IG840" i="5"/>
  <c r="ID840" i="5"/>
  <c r="JS1035" i="5"/>
  <c r="JR1035" i="5"/>
  <c r="JS1032" i="5"/>
  <c r="JR1032" i="5"/>
  <c r="JR876" i="5"/>
  <c r="JS870" i="5"/>
  <c r="JO870" i="5"/>
  <c r="JR825" i="5"/>
  <c r="JO825" i="5"/>
  <c r="JR820" i="5"/>
  <c r="JR819" i="5"/>
  <c r="JR817" i="5"/>
  <c r="JR815" i="5"/>
  <c r="JO815" i="5"/>
  <c r="AM1482" i="2"/>
  <c r="AN1482" i="2"/>
  <c r="AO1482" i="2"/>
  <c r="AN1398" i="2"/>
  <c r="AO1398" i="2"/>
  <c r="AN1403" i="2"/>
  <c r="AO1403" i="2"/>
  <c r="AN1423" i="2"/>
  <c r="AO1423" i="2"/>
  <c r="AN1425" i="2"/>
  <c r="AO1425" i="2"/>
  <c r="AN1426" i="2"/>
  <c r="AO1426" i="2"/>
  <c r="AN1439" i="2"/>
  <c r="AO1439" i="2"/>
  <c r="AN1440" i="2"/>
  <c r="AO1440" i="2"/>
  <c r="AN1442" i="2"/>
  <c r="AO1442" i="2"/>
  <c r="AN1466" i="2"/>
  <c r="AO1466" i="2"/>
  <c r="AG807" i="2"/>
  <c r="JB605" i="5" s="1"/>
  <c r="AO428" i="2"/>
  <c r="AM426" i="2"/>
  <c r="AN612" i="2"/>
  <c r="AO614" i="2"/>
  <c r="AN336" i="2"/>
  <c r="AN1185" i="2"/>
  <c r="JW866" i="5" s="1"/>
  <c r="AO1185" i="2"/>
  <c r="JZ866" i="5" s="1"/>
  <c r="AN1283" i="2"/>
  <c r="AO1283" i="2"/>
  <c r="JU968" i="5"/>
  <c r="AO1300" i="2"/>
  <c r="AO1741" i="2"/>
  <c r="AN1347" i="2"/>
  <c r="JW1022" i="5" s="1"/>
  <c r="AN1351" i="2"/>
  <c r="AO1351" i="2"/>
  <c r="JZ1026" i="5" s="1"/>
  <c r="AN1232" i="2"/>
  <c r="JW911" i="5" s="1"/>
  <c r="AO1232" i="2"/>
  <c r="JZ911" i="5" s="1"/>
  <c r="AN1237" i="2"/>
  <c r="JW916" i="5" s="1"/>
  <c r="AO1237" i="2"/>
  <c r="JZ916" i="5" s="1"/>
  <c r="AN1223" i="2"/>
  <c r="JW902" i="5" s="1"/>
  <c r="AO1223" i="2"/>
  <c r="AN1210" i="2"/>
  <c r="AO1210" i="2"/>
  <c r="AN1205" i="2"/>
  <c r="JW884" i="5" s="1"/>
  <c r="AO1205" i="2"/>
  <c r="JZ884" i="5" s="1"/>
  <c r="AN1059" i="2"/>
  <c r="AO1059" i="2"/>
  <c r="AN1057" i="2"/>
  <c r="AO1057" i="2"/>
  <c r="AN691" i="2"/>
  <c r="AO691" i="2"/>
  <c r="AN305" i="2"/>
  <c r="AO305" i="2"/>
  <c r="AO315" i="2"/>
  <c r="AN316" i="2"/>
  <c r="AO316" i="2"/>
  <c r="AN392" i="2"/>
  <c r="AO392" i="2"/>
  <c r="AN438" i="2"/>
  <c r="AN430" i="2"/>
  <c r="AO430" i="2"/>
  <c r="IS893" i="5"/>
  <c r="IS895" i="5"/>
  <c r="IV893" i="5"/>
  <c r="IV895" i="5"/>
  <c r="IP893" i="5"/>
  <c r="IP895" i="5"/>
  <c r="IM893" i="5"/>
  <c r="IM895" i="5"/>
  <c r="IJ893" i="5"/>
  <c r="IJ895" i="5"/>
  <c r="IG893" i="5"/>
  <c r="IG895" i="5"/>
  <c r="ID893" i="5"/>
  <c r="ID895" i="5"/>
  <c r="AM1836" i="2"/>
  <c r="AL1836" i="2" s="1"/>
  <c r="AK1836" i="2"/>
  <c r="AJ1836" i="2" s="1"/>
  <c r="AO332" i="2"/>
  <c r="AN332" i="2"/>
  <c r="AN614" i="2"/>
  <c r="JZ1014" i="5"/>
  <c r="JW1014" i="5"/>
  <c r="JV1014" i="5" s="1"/>
  <c r="AN1751" i="2" s="1"/>
  <c r="JZ1009" i="5"/>
  <c r="AN1740" i="2"/>
  <c r="JW1009" i="5"/>
  <c r="AN1741" i="2"/>
  <c r="JV1011" i="5"/>
  <c r="AN428" i="2"/>
  <c r="AO334" i="2"/>
  <c r="AO616" i="2"/>
  <c r="AN334" i="2"/>
  <c r="AN618" i="2"/>
  <c r="AO618" i="2"/>
  <c r="AN616" i="2"/>
  <c r="AN354" i="2"/>
  <c r="AN636" i="2"/>
  <c r="AO390" i="2"/>
  <c r="AO382" i="2"/>
  <c r="AK1903" i="2"/>
  <c r="AL1903" i="2"/>
  <c r="AM1903" i="2"/>
  <c r="AO354" i="2"/>
  <c r="AO336" i="2"/>
  <c r="AO378" i="2"/>
  <c r="AO612" i="2"/>
  <c r="AO636" i="2"/>
  <c r="JK1064" i="5"/>
  <c r="JE1064" i="5"/>
  <c r="JB1064" i="5"/>
  <c r="IY1064" i="5"/>
  <c r="IV1064" i="5"/>
  <c r="IS1064" i="5"/>
  <c r="IP1064" i="5"/>
  <c r="IM1064" i="5"/>
  <c r="IJ1064" i="5"/>
  <c r="IG1064" i="5"/>
  <c r="ID1064" i="5"/>
  <c r="W1382" i="2"/>
  <c r="V1382" i="2"/>
  <c r="JR954" i="5"/>
  <c r="JS954" i="5" s="1"/>
  <c r="JR957" i="5"/>
  <c r="JS957" i="5" s="1"/>
  <c r="JR965" i="5"/>
  <c r="JR966" i="5"/>
  <c r="JR971" i="5"/>
  <c r="JS971" i="5" s="1"/>
  <c r="JR973" i="5"/>
  <c r="JS973" i="5" s="1"/>
  <c r="JR977" i="5"/>
  <c r="JR981" i="5"/>
  <c r="JS981" i="5" s="1"/>
  <c r="JR982" i="5"/>
  <c r="JR983" i="5"/>
  <c r="JR984" i="5"/>
  <c r="JS999" i="5"/>
  <c r="JR1010" i="5"/>
  <c r="JR1015" i="5"/>
  <c r="JS1015" i="5" s="1"/>
  <c r="JR1016" i="5"/>
  <c r="JS1016" i="5" s="1"/>
  <c r="JR1017" i="5"/>
  <c r="JR922" i="5"/>
  <c r="JR914" i="5"/>
  <c r="JR898" i="5"/>
  <c r="JR895" i="5"/>
  <c r="JS895" i="5" s="1"/>
  <c r="JR763" i="5"/>
  <c r="JR782" i="5"/>
  <c r="JR783" i="5"/>
  <c r="JR796" i="5"/>
  <c r="JR797" i="5"/>
  <c r="JR803" i="5"/>
  <c r="JR805" i="5"/>
  <c r="JR806" i="5"/>
  <c r="JR807" i="5"/>
  <c r="JR809" i="5"/>
  <c r="JR837" i="5"/>
  <c r="JR838" i="5"/>
  <c r="JS838" i="5" s="1"/>
  <c r="JR847" i="5"/>
  <c r="JR848" i="5"/>
  <c r="JR852" i="5"/>
  <c r="JR856" i="5"/>
  <c r="JR857" i="5"/>
  <c r="JS857" i="5" s="1"/>
  <c r="JR858" i="5"/>
  <c r="JS858" i="5" s="1"/>
  <c r="JP978" i="5"/>
  <c r="AO75" i="19"/>
  <c r="AQ75" i="19" s="1"/>
  <c r="AM1232" i="2"/>
  <c r="JT911" i="5" s="1"/>
  <c r="AL1232" i="2"/>
  <c r="JQ911" i="5" s="1"/>
  <c r="AK1232" i="2"/>
  <c r="JN911" i="5" s="1"/>
  <c r="D911" i="5"/>
  <c r="AI694" i="2"/>
  <c r="W1673" i="2"/>
  <c r="W1675" i="2" s="1"/>
  <c r="V1673" i="2"/>
  <c r="V1675" i="2" s="1"/>
  <c r="AH1650" i="2"/>
  <c r="JT1014" i="5"/>
  <c r="AH1185" i="2"/>
  <c r="AH1205" i="2"/>
  <c r="AH1225" i="2"/>
  <c r="D916" i="5"/>
  <c r="D902" i="5"/>
  <c r="D884" i="5"/>
  <c r="D866" i="5"/>
  <c r="JC949" i="5"/>
  <c r="JD949" i="5"/>
  <c r="JC950" i="5"/>
  <c r="AG1724" i="2" s="1"/>
  <c r="JD950" i="5"/>
  <c r="AH1723" i="2" s="1"/>
  <c r="JC951" i="5"/>
  <c r="JD951" i="5"/>
  <c r="JC953" i="5"/>
  <c r="JD953" i="5"/>
  <c r="JC954" i="5"/>
  <c r="JD954" i="5"/>
  <c r="JC956" i="5"/>
  <c r="JD956" i="5"/>
  <c r="JC957" i="5"/>
  <c r="JD957" i="5"/>
  <c r="JC958" i="5"/>
  <c r="JD958" i="5"/>
  <c r="JC959" i="5"/>
  <c r="JD959" i="5"/>
  <c r="JC960" i="5"/>
  <c r="JD960" i="5"/>
  <c r="JC962" i="5"/>
  <c r="JD962" i="5"/>
  <c r="JC963" i="5"/>
  <c r="JD963" i="5"/>
  <c r="JC964" i="5"/>
  <c r="JD964" i="5"/>
  <c r="JC965" i="5"/>
  <c r="JD965" i="5"/>
  <c r="JC966" i="5"/>
  <c r="JD966" i="5"/>
  <c r="JC968" i="5"/>
  <c r="JD968" i="5"/>
  <c r="JC971" i="5"/>
  <c r="JD971" i="5"/>
  <c r="JC973" i="5"/>
  <c r="JD973" i="5"/>
  <c r="JC974" i="5"/>
  <c r="JD974" i="5"/>
  <c r="JD976" i="5"/>
  <c r="JD749" i="5" s="1"/>
  <c r="JC977" i="5"/>
  <c r="JD977" i="5"/>
  <c r="JC978" i="5"/>
  <c r="JD978" i="5"/>
  <c r="JC981" i="5"/>
  <c r="JD981" i="5"/>
  <c r="JC982" i="5"/>
  <c r="JD982" i="5"/>
  <c r="JC983" i="5"/>
  <c r="JD983" i="5"/>
  <c r="JC984" i="5"/>
  <c r="JD984" i="5"/>
  <c r="JC986" i="5"/>
  <c r="JC989" i="5"/>
  <c r="JD989" i="5"/>
  <c r="JC990" i="5"/>
  <c r="JD990" i="5"/>
  <c r="JC991" i="5"/>
  <c r="JD991" i="5"/>
  <c r="JC992" i="5"/>
  <c r="JD992" i="5"/>
  <c r="JC996" i="5"/>
  <c r="JD996" i="5"/>
  <c r="JC997" i="5"/>
  <c r="JD997" i="5"/>
  <c r="JC999" i="5"/>
  <c r="JD999" i="5"/>
  <c r="JC1000" i="5"/>
  <c r="JD1000" i="5"/>
  <c r="JC1004" i="5"/>
  <c r="JD1004" i="5"/>
  <c r="JC1005" i="5"/>
  <c r="JD1005" i="5"/>
  <c r="JC1009" i="5"/>
  <c r="JD1009" i="5"/>
  <c r="JC1010" i="5"/>
  <c r="JD1010" i="5"/>
  <c r="JC1011" i="5"/>
  <c r="AG1740" i="2" s="1"/>
  <c r="JD1011" i="5"/>
  <c r="JC1014" i="5"/>
  <c r="AG1752" i="2" s="1"/>
  <c r="JD1014" i="5"/>
  <c r="AH1751" i="2" s="1"/>
  <c r="JC1015" i="5"/>
  <c r="JD1015" i="5"/>
  <c r="JC1016" i="5"/>
  <c r="JD1016" i="5"/>
  <c r="JC1017" i="5"/>
  <c r="JD1017" i="5"/>
  <c r="JC1018" i="5"/>
  <c r="JD1018" i="5"/>
  <c r="JC1020" i="5"/>
  <c r="JD1020" i="5"/>
  <c r="JC1022" i="5"/>
  <c r="JD1022" i="5"/>
  <c r="JC1023" i="5"/>
  <c r="JD1023" i="5"/>
  <c r="JC1024" i="5"/>
  <c r="JD1024" i="5"/>
  <c r="JC1025" i="5"/>
  <c r="JD1025" i="5"/>
  <c r="JC1026" i="5"/>
  <c r="JD1026" i="5"/>
  <c r="JC1029" i="5"/>
  <c r="JD1029" i="5"/>
  <c r="JC1030" i="5"/>
  <c r="JD1030" i="5"/>
  <c r="JC1032" i="5"/>
  <c r="JD1032" i="5"/>
  <c r="JC1033" i="5"/>
  <c r="JD1033" i="5"/>
  <c r="JC1035" i="5"/>
  <c r="JD1035" i="5"/>
  <c r="JC1036" i="5"/>
  <c r="JD1036" i="5"/>
  <c r="JC1037" i="5"/>
  <c r="JD1037" i="5"/>
  <c r="JC1038" i="5"/>
  <c r="JD946" i="5"/>
  <c r="JC946" i="5"/>
  <c r="JD945" i="5"/>
  <c r="JC945" i="5"/>
  <c r="JD944" i="5"/>
  <c r="JC944" i="5"/>
  <c r="JD943" i="5"/>
  <c r="JC943" i="5"/>
  <c r="JD942" i="5"/>
  <c r="JC942" i="5"/>
  <c r="JD941" i="5"/>
  <c r="JC941" i="5"/>
  <c r="JD940" i="5"/>
  <c r="JC940" i="5"/>
  <c r="JD939" i="5"/>
  <c r="JC939" i="5"/>
  <c r="JD938" i="5"/>
  <c r="JC938" i="5"/>
  <c r="JD936" i="5"/>
  <c r="JC936" i="5"/>
  <c r="JD931" i="5"/>
  <c r="JC931" i="5"/>
  <c r="JD930" i="5"/>
  <c r="JC930" i="5"/>
  <c r="JD929" i="5"/>
  <c r="JC929" i="5"/>
  <c r="JD928" i="5"/>
  <c r="JC928" i="5"/>
  <c r="JD927" i="5"/>
  <c r="JC927" i="5"/>
  <c r="JD923" i="5"/>
  <c r="JC923" i="5"/>
  <c r="JD922" i="5"/>
  <c r="JC922" i="5"/>
  <c r="JD921" i="5"/>
  <c r="JC921" i="5"/>
  <c r="JD920" i="5"/>
  <c r="JC920" i="5"/>
  <c r="JD919" i="5"/>
  <c r="JC919" i="5"/>
  <c r="JD917" i="5"/>
  <c r="JC917" i="5"/>
  <c r="JD916" i="5"/>
  <c r="JC916" i="5"/>
  <c r="JD915" i="5"/>
  <c r="JC915" i="5"/>
  <c r="JD914" i="5"/>
  <c r="JC914" i="5"/>
  <c r="JD911" i="5"/>
  <c r="JC911" i="5"/>
  <c r="JD910" i="5"/>
  <c r="JC910" i="5"/>
  <c r="JD909" i="5"/>
  <c r="JC909" i="5"/>
  <c r="JC896" i="5"/>
  <c r="JD896" i="5"/>
  <c r="JC897" i="5"/>
  <c r="JD897" i="5"/>
  <c r="JC898" i="5"/>
  <c r="JD898" i="5"/>
  <c r="JC902" i="5"/>
  <c r="JD902" i="5"/>
  <c r="JD895" i="5"/>
  <c r="JC895" i="5"/>
  <c r="JD894" i="5"/>
  <c r="JC894" i="5"/>
  <c r="JD893" i="5"/>
  <c r="JC893" i="5"/>
  <c r="JD892" i="5"/>
  <c r="JC892" i="5"/>
  <c r="JD891" i="5"/>
  <c r="JD890" i="5"/>
  <c r="JD889" i="5"/>
  <c r="JD888" i="5"/>
  <c r="JC888" i="5"/>
  <c r="JD887" i="5"/>
  <c r="JD886" i="5"/>
  <c r="JC871" i="5"/>
  <c r="JD871" i="5"/>
  <c r="JC878" i="5"/>
  <c r="JD878" i="5"/>
  <c r="JC881" i="5"/>
  <c r="JD881" i="5"/>
  <c r="JC882" i="5"/>
  <c r="JD882" i="5"/>
  <c r="JC883" i="5"/>
  <c r="JD883" i="5"/>
  <c r="JD868" i="5"/>
  <c r="JC868" i="5"/>
  <c r="JC852" i="5"/>
  <c r="JD852" i="5"/>
  <c r="JC856" i="5"/>
  <c r="JD856" i="5"/>
  <c r="JC857" i="5"/>
  <c r="JD857" i="5"/>
  <c r="JC858" i="5"/>
  <c r="JD858" i="5"/>
  <c r="JC859" i="5"/>
  <c r="JD859" i="5"/>
  <c r="JC861" i="5"/>
  <c r="JD861" i="5"/>
  <c r="JC862" i="5"/>
  <c r="JD862" i="5"/>
  <c r="JC863" i="5"/>
  <c r="JD863" i="5"/>
  <c r="JC864" i="5"/>
  <c r="JD864" i="5"/>
  <c r="GJ860" i="5"/>
  <c r="GK860" i="5"/>
  <c r="GL860" i="5"/>
  <c r="GM860" i="5"/>
  <c r="GN860" i="5"/>
  <c r="GO860" i="5"/>
  <c r="GP860" i="5"/>
  <c r="GQ860" i="5"/>
  <c r="GR860" i="5"/>
  <c r="GS860" i="5"/>
  <c r="GT860" i="5"/>
  <c r="GI860" i="5"/>
  <c r="GD832" i="5"/>
  <c r="GE832" i="5"/>
  <c r="GF832" i="5"/>
  <c r="GG832" i="5"/>
  <c r="GH832" i="5"/>
  <c r="GC832" i="5"/>
  <c r="GJ876" i="5"/>
  <c r="GJ1245" i="5" s="1"/>
  <c r="GK876" i="5"/>
  <c r="GK1245" i="5" s="1"/>
  <c r="GL876" i="5"/>
  <c r="GL1245" i="5" s="1"/>
  <c r="GM876" i="5"/>
  <c r="GM1245" i="5" s="1"/>
  <c r="GN876" i="5"/>
  <c r="GN1245" i="5" s="1"/>
  <c r="GO876" i="5"/>
  <c r="GO1245" i="5" s="1"/>
  <c r="GP876" i="5"/>
  <c r="GP1245" i="5" s="1"/>
  <c r="GQ876" i="5"/>
  <c r="GQ1245" i="5" s="1"/>
  <c r="GR876" i="5"/>
  <c r="GR1245" i="5" s="1"/>
  <c r="GS876" i="5"/>
  <c r="GS1245" i="5" s="1"/>
  <c r="GT876" i="5"/>
  <c r="GT1245" i="5" s="1"/>
  <c r="GI876" i="5"/>
  <c r="GI1245" i="5" s="1"/>
  <c r="GO952" i="5"/>
  <c r="GO961" i="5"/>
  <c r="GP961" i="5"/>
  <c r="GQ961" i="5"/>
  <c r="GR961" i="5"/>
  <c r="GS961" i="5"/>
  <c r="GT961" i="5"/>
  <c r="GO955" i="5"/>
  <c r="GP955" i="5"/>
  <c r="GQ955" i="5"/>
  <c r="GR955" i="5"/>
  <c r="GS955" i="5"/>
  <c r="GT955" i="5"/>
  <c r="GP952" i="5"/>
  <c r="GQ952" i="5"/>
  <c r="GR952" i="5"/>
  <c r="GS952" i="5"/>
  <c r="GT952" i="5"/>
  <c r="GO449" i="5"/>
  <c r="GP449" i="5"/>
  <c r="GQ449" i="5"/>
  <c r="GR449" i="5"/>
  <c r="GS449" i="5"/>
  <c r="GT449" i="5"/>
  <c r="GO870" i="5"/>
  <c r="GO1246" i="5" s="1"/>
  <c r="GP870" i="5"/>
  <c r="GP1246" i="5" s="1"/>
  <c r="GQ870" i="5"/>
  <c r="GQ1246" i="5" s="1"/>
  <c r="GR870" i="5"/>
  <c r="GR1246" i="5" s="1"/>
  <c r="GS870" i="5"/>
  <c r="GS1246" i="5" s="1"/>
  <c r="GT870" i="5"/>
  <c r="GT1246" i="5" s="1"/>
  <c r="GR753" i="5"/>
  <c r="GR234" i="5" s="1"/>
  <c r="GS753" i="5"/>
  <c r="GS234" i="5" s="1"/>
  <c r="GT753" i="5"/>
  <c r="GT234" i="5" s="1"/>
  <c r="AK1237" i="2"/>
  <c r="JN916" i="5" s="1"/>
  <c r="AL1237" i="2"/>
  <c r="JQ916" i="5" s="1"/>
  <c r="AM1237" i="2"/>
  <c r="JT916" i="5" s="1"/>
  <c r="AJ1950" i="2"/>
  <c r="AF36" i="19"/>
  <c r="AR36" i="19"/>
  <c r="AM1248" i="5"/>
  <c r="AM1247" i="5" s="1"/>
  <c r="AL1248" i="5"/>
  <c r="AL1247" i="5" s="1"/>
  <c r="AK1248" i="5"/>
  <c r="AK1247" i="5" s="1"/>
  <c r="AJ1248" i="5"/>
  <c r="AJ1247" i="5" s="1"/>
  <c r="AI1248" i="5"/>
  <c r="AI1247" i="5" s="1"/>
  <c r="AM1223" i="2"/>
  <c r="JT902" i="5" s="1"/>
  <c r="JR902" i="5" s="1"/>
  <c r="JS902" i="5" s="1"/>
  <c r="AL1223" i="2"/>
  <c r="JQ902" i="5" s="1"/>
  <c r="AK1223" i="2"/>
  <c r="JN902" i="5" s="1"/>
  <c r="AH1248" i="5"/>
  <c r="AH1247" i="5" s="1"/>
  <c r="AM1205" i="2"/>
  <c r="JT884" i="5" s="1"/>
  <c r="AL1205" i="2"/>
  <c r="JQ884" i="5" s="1"/>
  <c r="AK1205" i="2"/>
  <c r="JN884" i="5" s="1"/>
  <c r="AM1220" i="5"/>
  <c r="AL1220" i="5"/>
  <c r="AK1220" i="5"/>
  <c r="AJ1220" i="5"/>
  <c r="AI1220" i="5"/>
  <c r="AM1185" i="2"/>
  <c r="JT866" i="5" s="1"/>
  <c r="AL1185" i="2"/>
  <c r="JQ866" i="5" s="1"/>
  <c r="AK1185" i="2"/>
  <c r="JN866" i="5" s="1"/>
  <c r="AH1220" i="5"/>
  <c r="AH1202" i="5" s="1"/>
  <c r="AL303" i="2"/>
  <c r="AM303" i="2"/>
  <c r="AL305" i="2"/>
  <c r="AM305" i="2"/>
  <c r="AL316" i="2"/>
  <c r="AM316" i="2"/>
  <c r="AL330" i="2"/>
  <c r="AM330" i="2"/>
  <c r="AL332" i="2"/>
  <c r="AM332" i="2"/>
  <c r="AL334" i="2"/>
  <c r="AM334" i="2"/>
  <c r="AL336" i="2"/>
  <c r="AM336" i="2"/>
  <c r="AL354" i="2"/>
  <c r="AM354" i="2"/>
  <c r="AL392" i="2"/>
  <c r="AM392" i="2"/>
  <c r="AN378" i="2"/>
  <c r="AN390" i="2"/>
  <c r="AN382" i="2"/>
  <c r="AL438" i="2"/>
  <c r="AM438" i="2"/>
  <c r="AK1121" i="2"/>
  <c r="JQ815" i="5"/>
  <c r="GJ961" i="5"/>
  <c r="GK961" i="5"/>
  <c r="GL961" i="5"/>
  <c r="GM961" i="5"/>
  <c r="GN961" i="5"/>
  <c r="GI961" i="5"/>
  <c r="GJ955" i="5"/>
  <c r="GK955" i="5"/>
  <c r="GL955" i="5"/>
  <c r="GM955" i="5"/>
  <c r="GN955" i="5"/>
  <c r="GI955" i="5"/>
  <c r="GJ952" i="5"/>
  <c r="GK952" i="5"/>
  <c r="GL952" i="5"/>
  <c r="GM952" i="5"/>
  <c r="GN952" i="5"/>
  <c r="GI952" i="5"/>
  <c r="JC884" i="5"/>
  <c r="JD884" i="5" s="1"/>
  <c r="JC904" i="5"/>
  <c r="JD904" i="5" s="1"/>
  <c r="JC926" i="5"/>
  <c r="JD926" i="5" s="1"/>
  <c r="GJ870" i="5"/>
  <c r="GJ1246" i="5" s="1"/>
  <c r="GK870" i="5"/>
  <c r="GK1246" i="5" s="1"/>
  <c r="GL870" i="5"/>
  <c r="GL1246" i="5" s="1"/>
  <c r="GM870" i="5"/>
  <c r="GM1246" i="5" s="1"/>
  <c r="GN870" i="5"/>
  <c r="GN1246" i="5" s="1"/>
  <c r="GI870" i="5"/>
  <c r="GI1246" i="5" s="1"/>
  <c r="G148" i="8"/>
  <c r="H148" i="8" s="1"/>
  <c r="G147" i="8"/>
  <c r="H147" i="8" s="1"/>
  <c r="G146" i="8"/>
  <c r="H146" i="8" s="1"/>
  <c r="G145" i="8"/>
  <c r="H145" i="8" s="1"/>
  <c r="G144" i="8"/>
  <c r="H144" i="8" s="1"/>
  <c r="G143" i="8"/>
  <c r="H143" i="8" s="1"/>
  <c r="G142" i="8"/>
  <c r="H142" i="8" s="1"/>
  <c r="G141" i="8"/>
  <c r="H141" i="8" s="1"/>
  <c r="G140" i="8"/>
  <c r="H140" i="8" s="1"/>
  <c r="G139" i="8"/>
  <c r="H139" i="8" s="1"/>
  <c r="G138" i="8"/>
  <c r="H138" i="8" s="1"/>
  <c r="G137" i="8"/>
  <c r="H137" i="8" s="1"/>
  <c r="G136" i="8"/>
  <c r="H136" i="8" s="1"/>
  <c r="G135" i="8"/>
  <c r="H135" i="8" s="1"/>
  <c r="G134" i="8"/>
  <c r="H134" i="8" s="1"/>
  <c r="G133" i="8"/>
  <c r="H133" i="8" s="1"/>
  <c r="G132" i="8"/>
  <c r="H132" i="8" s="1"/>
  <c r="G131" i="8"/>
  <c r="H131" i="8" s="1"/>
  <c r="G130" i="8"/>
  <c r="H130" i="8" s="1"/>
  <c r="G129" i="8"/>
  <c r="H129" i="8" s="1"/>
  <c r="G128" i="8"/>
  <c r="H128" i="8" s="1"/>
  <c r="G127" i="8"/>
  <c r="H127" i="8" s="1"/>
  <c r="G126" i="8"/>
  <c r="H126" i="8" s="1"/>
  <c r="G125" i="8"/>
  <c r="H125" i="8" s="1"/>
  <c r="G124" i="8"/>
  <c r="H124" i="8" s="1"/>
  <c r="G123" i="8"/>
  <c r="H123" i="8" s="1"/>
  <c r="G122" i="8"/>
  <c r="H122" i="8" s="1"/>
  <c r="G121" i="8"/>
  <c r="H121" i="8" s="1"/>
  <c r="G120" i="8"/>
  <c r="H120" i="8" s="1"/>
  <c r="G119" i="8"/>
  <c r="H119" i="8" s="1"/>
  <c r="G118" i="8"/>
  <c r="H118" i="8" s="1"/>
  <c r="G117" i="8"/>
  <c r="H117" i="8" s="1"/>
  <c r="G116" i="8"/>
  <c r="H116" i="8" s="1"/>
  <c r="G115" i="8"/>
  <c r="H115" i="8" s="1"/>
  <c r="G114" i="8"/>
  <c r="H114" i="8" s="1"/>
  <c r="G113" i="8"/>
  <c r="H113" i="8" s="1"/>
  <c r="G112" i="8"/>
  <c r="H112" i="8" s="1"/>
  <c r="G111" i="8"/>
  <c r="H111" i="8" s="1"/>
  <c r="G110" i="8"/>
  <c r="H110" i="8" s="1"/>
  <c r="G109" i="8"/>
  <c r="H109" i="8" s="1"/>
  <c r="G108" i="8"/>
  <c r="H108" i="8" s="1"/>
  <c r="G107" i="8"/>
  <c r="H107" i="8" s="1"/>
  <c r="G106" i="8"/>
  <c r="H106" i="8" s="1"/>
  <c r="G104" i="8"/>
  <c r="H104" i="8" s="1"/>
  <c r="G103" i="8"/>
  <c r="H103" i="8" s="1"/>
  <c r="G102" i="8"/>
  <c r="H102" i="8" s="1"/>
  <c r="G101" i="8"/>
  <c r="H101" i="8" s="1"/>
  <c r="G100" i="8"/>
  <c r="H100" i="8" s="1"/>
  <c r="G99" i="8"/>
  <c r="H99" i="8" s="1"/>
  <c r="G98" i="8"/>
  <c r="H98" i="8" s="1"/>
  <c r="G97" i="8"/>
  <c r="H97" i="8" s="1"/>
  <c r="G96" i="8"/>
  <c r="H96" i="8" s="1"/>
  <c r="G95" i="8"/>
  <c r="H95" i="8" s="1"/>
  <c r="G94" i="8"/>
  <c r="H94" i="8" s="1"/>
  <c r="G93" i="8"/>
  <c r="H93" i="8" s="1"/>
  <c r="G92" i="8"/>
  <c r="H92" i="8" s="1"/>
  <c r="G91" i="8"/>
  <c r="H91" i="8" s="1"/>
  <c r="G90" i="8"/>
  <c r="H90" i="8" s="1"/>
  <c r="G89" i="8"/>
  <c r="H89" i="8" s="1"/>
  <c r="G88" i="8"/>
  <c r="H88" i="8" s="1"/>
  <c r="G87" i="8"/>
  <c r="H87" i="8" s="1"/>
  <c r="G86" i="8"/>
  <c r="H86" i="8" s="1"/>
  <c r="G85" i="8"/>
  <c r="H85" i="8" s="1"/>
  <c r="G84" i="8"/>
  <c r="H84" i="8" s="1"/>
  <c r="G83" i="8"/>
  <c r="H83" i="8" s="1"/>
  <c r="G82" i="8"/>
  <c r="H82" i="8" s="1"/>
  <c r="G81" i="8"/>
  <c r="H81" i="8" s="1"/>
  <c r="G80" i="8"/>
  <c r="H80" i="8" s="1"/>
  <c r="G79" i="8"/>
  <c r="H79" i="8" s="1"/>
  <c r="G78" i="8"/>
  <c r="H78" i="8" s="1"/>
  <c r="G77" i="8"/>
  <c r="H77" i="8" s="1"/>
  <c r="G76" i="8"/>
  <c r="H76" i="8" s="1"/>
  <c r="G75" i="8"/>
  <c r="H75" i="8" s="1"/>
  <c r="G74" i="8"/>
  <c r="H74" i="8" s="1"/>
  <c r="G73" i="8"/>
  <c r="H73" i="8" s="1"/>
  <c r="G72" i="8"/>
  <c r="H72" i="8" s="1"/>
  <c r="G71" i="8"/>
  <c r="H71" i="8" s="1"/>
  <c r="G70" i="8"/>
  <c r="H70" i="8" s="1"/>
  <c r="G69" i="8"/>
  <c r="H69" i="8" s="1"/>
  <c r="G68" i="8"/>
  <c r="H68" i="8" s="1"/>
  <c r="G67" i="8"/>
  <c r="H67" i="8" s="1"/>
  <c r="G66" i="8"/>
  <c r="H66" i="8" s="1"/>
  <c r="G65" i="8"/>
  <c r="H65" i="8" s="1"/>
  <c r="G64" i="8"/>
  <c r="H64" i="8" s="1"/>
  <c r="G63" i="8"/>
  <c r="H63" i="8" s="1"/>
  <c r="G62" i="8"/>
  <c r="H62" i="8" s="1"/>
  <c r="G61" i="8"/>
  <c r="H61" i="8" s="1"/>
  <c r="G60" i="8"/>
  <c r="H60" i="8" s="1"/>
  <c r="G59" i="8"/>
  <c r="H59" i="8" s="1"/>
  <c r="G58" i="8"/>
  <c r="H58" i="8" s="1"/>
  <c r="G57" i="8"/>
  <c r="H57" i="8" s="1"/>
  <c r="G56" i="8"/>
  <c r="H56" i="8" s="1"/>
  <c r="G55" i="8"/>
  <c r="H55" i="8" s="1"/>
  <c r="G54" i="8"/>
  <c r="H54" i="8" s="1"/>
  <c r="G53" i="8"/>
  <c r="H53" i="8" s="1"/>
  <c r="G52" i="8"/>
  <c r="H52" i="8" s="1"/>
  <c r="G51" i="8"/>
  <c r="H51" i="8" s="1"/>
  <c r="G50" i="8"/>
  <c r="H50" i="8" s="1"/>
  <c r="G49" i="8"/>
  <c r="H49" i="8" s="1"/>
  <c r="G48" i="8"/>
  <c r="H48" i="8" s="1"/>
  <c r="G47" i="8"/>
  <c r="H47" i="8" s="1"/>
  <c r="G46" i="8"/>
  <c r="H46" i="8" s="1"/>
  <c r="G45" i="8"/>
  <c r="H45" i="8" s="1"/>
  <c r="G44" i="8"/>
  <c r="H44" i="8" s="1"/>
  <c r="G43" i="8"/>
  <c r="H43" i="8" s="1"/>
  <c r="G42" i="8"/>
  <c r="H42" i="8" s="1"/>
  <c r="G41" i="8"/>
  <c r="G40" i="8"/>
  <c r="H40" i="8" s="1"/>
  <c r="G39" i="8"/>
  <c r="H39" i="8" s="1"/>
  <c r="G38" i="8"/>
  <c r="H38" i="8" s="1"/>
  <c r="G37" i="8"/>
  <c r="H37" i="8" s="1"/>
  <c r="G36" i="8"/>
  <c r="H36" i="8" s="1"/>
  <c r="G35" i="8"/>
  <c r="H35" i="8" s="1"/>
  <c r="G34" i="8"/>
  <c r="H34" i="8" s="1"/>
  <c r="G33" i="8"/>
  <c r="H33" i="8" s="1"/>
  <c r="G32" i="8"/>
  <c r="H32" i="8" s="1"/>
  <c r="G31" i="8"/>
  <c r="H31" i="8" s="1"/>
  <c r="G30" i="8"/>
  <c r="H30" i="8" s="1"/>
  <c r="G28" i="8"/>
  <c r="H28" i="8" s="1"/>
  <c r="G27" i="8"/>
  <c r="H27" i="8" s="1"/>
  <c r="G26" i="8"/>
  <c r="H26" i="8" s="1"/>
  <c r="G25" i="8"/>
  <c r="H25" i="8" s="1"/>
  <c r="G24" i="8"/>
  <c r="H24" i="8" s="1"/>
  <c r="G23" i="8"/>
  <c r="H23" i="8" s="1"/>
  <c r="G22" i="8"/>
  <c r="H22" i="8" s="1"/>
  <c r="G21" i="8"/>
  <c r="H21" i="8" s="1"/>
  <c r="G20" i="8"/>
  <c r="H20" i="8" s="1"/>
  <c r="G19" i="8"/>
  <c r="H19" i="8" s="1"/>
  <c r="G18" i="8"/>
  <c r="H18" i="8" s="1"/>
  <c r="G17" i="8"/>
  <c r="H17" i="8" s="1"/>
  <c r="G16" i="8"/>
  <c r="H16" i="8" s="1"/>
  <c r="G15" i="8"/>
  <c r="H15" i="8" s="1"/>
  <c r="G14" i="8"/>
  <c r="H14" i="8" s="1"/>
  <c r="G13" i="8"/>
  <c r="H13" i="8" s="1"/>
  <c r="G12" i="8"/>
  <c r="H12" i="8" s="1"/>
  <c r="G11" i="8"/>
  <c r="H11" i="8" s="1"/>
  <c r="G10" i="8"/>
  <c r="H10" i="8" s="1"/>
  <c r="G9" i="8"/>
  <c r="H9" i="8" s="1"/>
  <c r="G8" i="8"/>
  <c r="H8" i="8" s="1"/>
  <c r="G7" i="8"/>
  <c r="H7" i="8" s="1"/>
  <c r="T134" i="7"/>
  <c r="S134" i="7"/>
  <c r="R134" i="7"/>
  <c r="Q134" i="7"/>
  <c r="L134" i="7"/>
  <c r="J134" i="7"/>
  <c r="G134" i="7"/>
  <c r="F134" i="7"/>
  <c r="D134" i="7"/>
  <c r="C134" i="7"/>
  <c r="T133" i="7"/>
  <c r="S133" i="7"/>
  <c r="R133" i="7"/>
  <c r="Q133" i="7"/>
  <c r="L133" i="7"/>
  <c r="J133" i="7"/>
  <c r="G133" i="7"/>
  <c r="F133" i="7"/>
  <c r="D133" i="7"/>
  <c r="C133" i="7"/>
  <c r="R132" i="7"/>
  <c r="Q132" i="7"/>
  <c r="L132" i="7"/>
  <c r="J132" i="7"/>
  <c r="G132" i="7"/>
  <c r="R131" i="7"/>
  <c r="Q131" i="7"/>
  <c r="L131" i="7"/>
  <c r="J131" i="7"/>
  <c r="G131" i="7"/>
  <c r="R130" i="7"/>
  <c r="Q130" i="7"/>
  <c r="J130" i="7"/>
  <c r="G130" i="7"/>
  <c r="R129" i="7"/>
  <c r="Q129" i="7"/>
  <c r="L129" i="7"/>
  <c r="J129" i="7"/>
  <c r="G129" i="7"/>
  <c r="J128" i="7"/>
  <c r="I128" i="7"/>
  <c r="G128" i="7"/>
  <c r="F128" i="7"/>
  <c r="D128" i="7"/>
  <c r="C128" i="7"/>
  <c r="J124" i="7"/>
  <c r="R123" i="7"/>
  <c r="Q123" i="7"/>
  <c r="L123" i="7"/>
  <c r="J123" i="7"/>
  <c r="F123" i="7"/>
  <c r="D123" i="7"/>
  <c r="R122" i="7"/>
  <c r="Q122" i="7"/>
  <c r="L122" i="7"/>
  <c r="J122" i="7"/>
  <c r="F122" i="7"/>
  <c r="D122" i="7"/>
  <c r="R121" i="7"/>
  <c r="Q121" i="7"/>
  <c r="L121" i="7"/>
  <c r="J121" i="7"/>
  <c r="F121" i="7"/>
  <c r="D121" i="7"/>
  <c r="L119" i="7"/>
  <c r="J119" i="7"/>
  <c r="F119" i="7"/>
  <c r="D119" i="7"/>
  <c r="C119" i="7"/>
  <c r="R118" i="7"/>
  <c r="Q118" i="7"/>
  <c r="L118" i="7"/>
  <c r="J118" i="7"/>
  <c r="F118" i="7"/>
  <c r="D118" i="7"/>
  <c r="R117" i="7"/>
  <c r="Q117" i="7"/>
  <c r="L117" i="7"/>
  <c r="J117" i="7"/>
  <c r="F117" i="7"/>
  <c r="D117" i="7"/>
  <c r="R113" i="7"/>
  <c r="Q113" i="7"/>
  <c r="P113" i="7"/>
  <c r="O113" i="7"/>
  <c r="N113" i="7"/>
  <c r="M113" i="7"/>
  <c r="L113" i="7"/>
  <c r="J113" i="7"/>
  <c r="I113" i="7"/>
  <c r="G113" i="7"/>
  <c r="F113" i="7"/>
  <c r="D113" i="7"/>
  <c r="C113" i="7"/>
  <c r="R111" i="7"/>
  <c r="Q111" i="7"/>
  <c r="P111" i="7"/>
  <c r="O111" i="7"/>
  <c r="N111" i="7"/>
  <c r="M111" i="7"/>
  <c r="L111" i="7"/>
  <c r="J111" i="7"/>
  <c r="I111" i="7"/>
  <c r="G111" i="7"/>
  <c r="F111" i="7"/>
  <c r="D111" i="7"/>
  <c r="C111" i="7"/>
  <c r="R108" i="7"/>
  <c r="Q108" i="7"/>
  <c r="P108" i="7"/>
  <c r="O108" i="7"/>
  <c r="N108" i="7"/>
  <c r="M108" i="7"/>
  <c r="L108" i="7"/>
  <c r="J108" i="7"/>
  <c r="I108" i="7"/>
  <c r="G108" i="7"/>
  <c r="F108" i="7"/>
  <c r="D108" i="7"/>
  <c r="C108" i="7"/>
  <c r="R107" i="7"/>
  <c r="Q107" i="7"/>
  <c r="P107" i="7"/>
  <c r="O107" i="7"/>
  <c r="N107" i="7"/>
  <c r="M107" i="7"/>
  <c r="L107" i="7"/>
  <c r="J107" i="7"/>
  <c r="I107" i="7"/>
  <c r="G107" i="7"/>
  <c r="F107" i="7"/>
  <c r="D107" i="7"/>
  <c r="C107" i="7"/>
  <c r="J106" i="7"/>
  <c r="R104" i="7"/>
  <c r="Q104" i="7"/>
  <c r="L104" i="7"/>
  <c r="J104" i="7"/>
  <c r="I104" i="7"/>
  <c r="G104" i="7"/>
  <c r="F104" i="7"/>
  <c r="D104" i="7"/>
  <c r="C104" i="7"/>
  <c r="T101" i="7"/>
  <c r="S101" i="7"/>
  <c r="R101" i="7"/>
  <c r="Q101" i="7"/>
  <c r="L101" i="7"/>
  <c r="J101" i="7"/>
  <c r="I101" i="7"/>
  <c r="G101" i="7"/>
  <c r="F101" i="7"/>
  <c r="D101" i="7"/>
  <c r="C101" i="7"/>
  <c r="T100" i="7"/>
  <c r="S100" i="7"/>
  <c r="R100" i="7"/>
  <c r="Q100" i="7"/>
  <c r="L100" i="7"/>
  <c r="J100" i="7"/>
  <c r="I100" i="7"/>
  <c r="G100" i="7"/>
  <c r="F100" i="7"/>
  <c r="D100" i="7"/>
  <c r="C100" i="7"/>
  <c r="L99" i="7"/>
  <c r="J99" i="7"/>
  <c r="L98" i="7"/>
  <c r="J98" i="7"/>
  <c r="R96" i="7"/>
  <c r="Q96" i="7"/>
  <c r="R95" i="7"/>
  <c r="Q95" i="7"/>
  <c r="Q94" i="7"/>
  <c r="J94" i="7"/>
  <c r="R93" i="7"/>
  <c r="Q93" i="7"/>
  <c r="F93" i="7"/>
  <c r="D93" i="7"/>
  <c r="C93" i="7"/>
  <c r="J92" i="7"/>
  <c r="T90" i="7"/>
  <c r="S90" i="7"/>
  <c r="R90" i="7"/>
  <c r="Q90" i="7"/>
  <c r="F90" i="7"/>
  <c r="D90" i="7"/>
  <c r="C90" i="7"/>
  <c r="R89" i="7"/>
  <c r="Q89" i="7"/>
  <c r="J89" i="7"/>
  <c r="J88" i="7"/>
  <c r="Q87" i="7"/>
  <c r="J85" i="7"/>
  <c r="S84" i="7"/>
  <c r="R83" i="7"/>
  <c r="Q83" i="7"/>
  <c r="L83" i="7"/>
  <c r="J83" i="7"/>
  <c r="R81" i="7"/>
  <c r="Q81" i="7"/>
  <c r="L81" i="7"/>
  <c r="J81" i="7"/>
  <c r="F81" i="7"/>
  <c r="D81" i="7"/>
  <c r="R80" i="7"/>
  <c r="Q80" i="7"/>
  <c r="L80" i="7"/>
  <c r="J80" i="7"/>
  <c r="F80" i="7"/>
  <c r="D80" i="7"/>
  <c r="R79" i="7"/>
  <c r="Q79" i="7"/>
  <c r="L79" i="7"/>
  <c r="J79" i="7"/>
  <c r="F79" i="7"/>
  <c r="D79" i="7"/>
  <c r="R78" i="7"/>
  <c r="Q78" i="7"/>
  <c r="L78" i="7"/>
  <c r="J78" i="7"/>
  <c r="F78" i="7"/>
  <c r="D78" i="7"/>
  <c r="T77" i="7"/>
  <c r="S77" i="7"/>
  <c r="R77" i="7"/>
  <c r="Q77" i="7"/>
  <c r="L77" i="7"/>
  <c r="J77" i="7"/>
  <c r="G77" i="7"/>
  <c r="F77" i="7"/>
  <c r="D77" i="7"/>
  <c r="C77" i="7"/>
  <c r="T76" i="7"/>
  <c r="S76" i="7"/>
  <c r="R76" i="7"/>
  <c r="Q76" i="7"/>
  <c r="L76" i="7"/>
  <c r="J76" i="7"/>
  <c r="G76" i="7"/>
  <c r="F76" i="7"/>
  <c r="D76" i="7"/>
  <c r="C76" i="7"/>
  <c r="R74" i="7"/>
  <c r="Q74" i="7"/>
  <c r="L74" i="7"/>
  <c r="J74" i="7"/>
  <c r="R72" i="7"/>
  <c r="Q72" i="7"/>
  <c r="R71" i="7"/>
  <c r="Q71" i="7"/>
  <c r="L71" i="7"/>
  <c r="J71" i="7"/>
  <c r="F71" i="7"/>
  <c r="D71" i="7"/>
  <c r="R70" i="7"/>
  <c r="Q70" i="7"/>
  <c r="L70" i="7"/>
  <c r="J70" i="7"/>
  <c r="F70" i="7"/>
  <c r="D70" i="7"/>
  <c r="J69" i="7"/>
  <c r="T67" i="7"/>
  <c r="S67" i="7"/>
  <c r="R67" i="7"/>
  <c r="Q67" i="7"/>
  <c r="L67" i="7"/>
  <c r="J67" i="7"/>
  <c r="G67" i="7"/>
  <c r="F67" i="7"/>
  <c r="D67" i="7"/>
  <c r="C67" i="7"/>
  <c r="I66" i="7"/>
  <c r="G66" i="7"/>
  <c r="F66" i="7"/>
  <c r="D66" i="7"/>
  <c r="C66" i="7"/>
  <c r="T65" i="7"/>
  <c r="S65" i="7"/>
  <c r="R65" i="7"/>
  <c r="Q65" i="7"/>
  <c r="L65" i="7"/>
  <c r="J65" i="7"/>
  <c r="F65" i="7"/>
  <c r="D65" i="7"/>
  <c r="C65" i="7"/>
  <c r="Q64" i="7"/>
  <c r="J64" i="7"/>
  <c r="Q63" i="7"/>
  <c r="J63" i="7"/>
  <c r="Q62" i="7"/>
  <c r="J62" i="7"/>
  <c r="R60" i="7"/>
  <c r="Q60" i="7"/>
  <c r="L60" i="7"/>
  <c r="J60" i="7"/>
  <c r="F60" i="7"/>
  <c r="D60" i="7"/>
  <c r="T58" i="7"/>
  <c r="S58" i="7"/>
  <c r="R58" i="7"/>
  <c r="Q58" i="7"/>
  <c r="P58" i="7"/>
  <c r="O58" i="7"/>
  <c r="N58" i="7"/>
  <c r="M58" i="7"/>
  <c r="L58" i="7"/>
  <c r="J58" i="7"/>
  <c r="I58" i="7"/>
  <c r="G58" i="7"/>
  <c r="F58" i="7"/>
  <c r="D58" i="7"/>
  <c r="C58" i="7"/>
  <c r="J53" i="7"/>
  <c r="R52" i="7"/>
  <c r="Q52" i="7"/>
  <c r="L52" i="7"/>
  <c r="J52" i="7"/>
  <c r="F52" i="7"/>
  <c r="D52" i="7"/>
  <c r="J51" i="7"/>
  <c r="S50" i="7"/>
  <c r="T49" i="7"/>
  <c r="S49" i="7"/>
  <c r="R49" i="7"/>
  <c r="Q49" i="7"/>
  <c r="P49" i="7"/>
  <c r="O49" i="7"/>
  <c r="N49" i="7"/>
  <c r="M49" i="7"/>
  <c r="L49" i="7"/>
  <c r="J49" i="7"/>
  <c r="G49" i="7"/>
  <c r="F49" i="7"/>
  <c r="D49" i="7"/>
  <c r="F48" i="7"/>
  <c r="D48" i="7"/>
  <c r="T47" i="7"/>
  <c r="S47" i="7"/>
  <c r="R47" i="7"/>
  <c r="Q47" i="7"/>
  <c r="P47" i="7"/>
  <c r="O47" i="7"/>
  <c r="N47" i="7"/>
  <c r="M47" i="7"/>
  <c r="L47" i="7"/>
  <c r="J47" i="7"/>
  <c r="F47" i="7"/>
  <c r="D47" i="7"/>
  <c r="R45" i="7"/>
  <c r="Q45" i="7"/>
  <c r="P45" i="7"/>
  <c r="O45" i="7"/>
  <c r="N45" i="7"/>
  <c r="M45" i="7"/>
  <c r="L45" i="7"/>
  <c r="J45" i="7"/>
  <c r="F45" i="7"/>
  <c r="D45" i="7"/>
  <c r="R44" i="7"/>
  <c r="Q44" i="7"/>
  <c r="P44" i="7"/>
  <c r="O44" i="7"/>
  <c r="N44" i="7"/>
  <c r="M44" i="7"/>
  <c r="L44" i="7"/>
  <c r="J44" i="7"/>
  <c r="F44" i="7"/>
  <c r="D44" i="7"/>
  <c r="R43" i="7"/>
  <c r="Q43" i="7"/>
  <c r="P43" i="7"/>
  <c r="O43" i="7"/>
  <c r="N43" i="7"/>
  <c r="M43" i="7"/>
  <c r="L43" i="7"/>
  <c r="J43" i="7"/>
  <c r="F43" i="7"/>
  <c r="D43" i="7"/>
  <c r="T40" i="7"/>
  <c r="S40" i="7"/>
  <c r="R40" i="7"/>
  <c r="Q40" i="7"/>
  <c r="P40" i="7"/>
  <c r="O40" i="7"/>
  <c r="N40" i="7"/>
  <c r="L40" i="7"/>
  <c r="J40" i="7"/>
  <c r="I40" i="7"/>
  <c r="G40" i="7"/>
  <c r="F40" i="7"/>
  <c r="D40" i="7"/>
  <c r="C40" i="7"/>
  <c r="T38" i="7"/>
  <c r="S38" i="7"/>
  <c r="R38" i="7"/>
  <c r="Q38" i="7"/>
  <c r="P38" i="7"/>
  <c r="O38" i="7"/>
  <c r="N38" i="7"/>
  <c r="M38" i="7"/>
  <c r="L38" i="7"/>
  <c r="J38" i="7"/>
  <c r="I38" i="7"/>
  <c r="G38" i="7"/>
  <c r="F38" i="7"/>
  <c r="D38" i="7"/>
  <c r="C38" i="7"/>
  <c r="R37" i="7"/>
  <c r="Q37" i="7"/>
  <c r="L37" i="7"/>
  <c r="J37" i="7"/>
  <c r="T36" i="7"/>
  <c r="S36" i="7"/>
  <c r="R36" i="7"/>
  <c r="Q36" i="7"/>
  <c r="P36" i="7"/>
  <c r="O36" i="7"/>
  <c r="N36" i="7"/>
  <c r="M36" i="7"/>
  <c r="L36" i="7"/>
  <c r="J36" i="7"/>
  <c r="F36" i="7"/>
  <c r="D36" i="7"/>
  <c r="C36" i="7"/>
  <c r="T35" i="7"/>
  <c r="S35" i="7"/>
  <c r="R35" i="7"/>
  <c r="Q35" i="7"/>
  <c r="P35" i="7"/>
  <c r="O35" i="7"/>
  <c r="N35" i="7"/>
  <c r="M35" i="7"/>
  <c r="L35" i="7"/>
  <c r="J35" i="7"/>
  <c r="F35" i="7"/>
  <c r="D35" i="7"/>
  <c r="C35" i="7"/>
  <c r="J32" i="7"/>
  <c r="I32" i="7"/>
  <c r="G32" i="7"/>
  <c r="F32" i="7"/>
  <c r="D32" i="7"/>
  <c r="C32" i="7"/>
  <c r="J27" i="7"/>
  <c r="Q26" i="7"/>
  <c r="J26" i="7"/>
  <c r="J25" i="7"/>
  <c r="T23" i="7"/>
  <c r="S23" i="7"/>
  <c r="R23" i="7"/>
  <c r="Q23" i="7"/>
  <c r="L23" i="7"/>
  <c r="J23" i="7"/>
  <c r="I23" i="7"/>
  <c r="G23" i="7"/>
  <c r="F23" i="7"/>
  <c r="D23" i="7"/>
  <c r="C23" i="7"/>
  <c r="J22" i="7"/>
  <c r="F22" i="7"/>
  <c r="D22" i="7"/>
  <c r="R21" i="7"/>
  <c r="Q21" i="7"/>
  <c r="T19" i="7"/>
  <c r="S19" i="7"/>
  <c r="R19" i="7"/>
  <c r="Q19" i="7"/>
  <c r="L19" i="7"/>
  <c r="J19" i="7"/>
  <c r="I19" i="7"/>
  <c r="G19" i="7"/>
  <c r="F19" i="7"/>
  <c r="D19" i="7"/>
  <c r="C19" i="7"/>
  <c r="J18" i="7"/>
  <c r="R17" i="7"/>
  <c r="Q17" i="7"/>
  <c r="L17" i="7"/>
  <c r="J17" i="7"/>
  <c r="R16" i="7"/>
  <c r="Q16" i="7"/>
  <c r="L16" i="7"/>
  <c r="J16" i="7"/>
  <c r="R15" i="7"/>
  <c r="Q15" i="7"/>
  <c r="L15" i="7"/>
  <c r="J15" i="7"/>
  <c r="J13" i="7"/>
  <c r="R12" i="7"/>
  <c r="Q12" i="7"/>
  <c r="L12" i="7"/>
  <c r="J12" i="7"/>
  <c r="Q11" i="7"/>
  <c r="J11" i="7"/>
  <c r="J10" i="7"/>
  <c r="T9" i="7"/>
  <c r="S9" i="7"/>
  <c r="R9" i="7"/>
  <c r="Q9" i="7"/>
  <c r="P9" i="7"/>
  <c r="O9" i="7"/>
  <c r="N9" i="7"/>
  <c r="M9" i="7"/>
  <c r="L9" i="7"/>
  <c r="J9" i="7"/>
  <c r="I9" i="7"/>
  <c r="G9" i="7"/>
  <c r="F9" i="7"/>
  <c r="D9" i="7"/>
  <c r="T6" i="7"/>
  <c r="S6" i="7"/>
  <c r="R6" i="7"/>
  <c r="Q6" i="7"/>
  <c r="P6" i="7"/>
  <c r="M6" i="7"/>
  <c r="L6" i="7"/>
  <c r="J6" i="7"/>
  <c r="I6" i="7"/>
  <c r="G6" i="7"/>
  <c r="F6" i="7"/>
  <c r="D6" i="7"/>
  <c r="C6" i="7"/>
  <c r="E34" i="15"/>
  <c r="E28" i="15"/>
  <c r="E24" i="15"/>
  <c r="E19" i="15"/>
  <c r="E7" i="15"/>
  <c r="BR1256" i="5"/>
  <c r="BQ1256" i="5"/>
  <c r="BP1256" i="5"/>
  <c r="BO1256" i="5"/>
  <c r="BN1256" i="5"/>
  <c r="BM1256" i="5"/>
  <c r="BL1256" i="5"/>
  <c r="BK1256" i="5"/>
  <c r="BJ1256" i="5"/>
  <c r="BI1256" i="5"/>
  <c r="BH1256" i="5"/>
  <c r="BG1256" i="5"/>
  <c r="BF1256" i="5"/>
  <c r="BE1256" i="5"/>
  <c r="BD1256" i="5"/>
  <c r="BC1256" i="5"/>
  <c r="BB1256" i="5"/>
  <c r="BA1256" i="5"/>
  <c r="AZ1256" i="5"/>
  <c r="AY1256" i="5"/>
  <c r="AX1256" i="5"/>
  <c r="AW1256" i="5"/>
  <c r="AV1256" i="5"/>
  <c r="AU1256" i="5"/>
  <c r="AT1256" i="5"/>
  <c r="AS1256" i="5"/>
  <c r="AR1256" i="5"/>
  <c r="AQ1256" i="5"/>
  <c r="AP1256" i="5"/>
  <c r="AO1256" i="5"/>
  <c r="AN1256" i="5"/>
  <c r="AM1256" i="5"/>
  <c r="AL1256" i="5"/>
  <c r="AK1256" i="5"/>
  <c r="AJ1256" i="5"/>
  <c r="AI1256" i="5"/>
  <c r="AH1256" i="5"/>
  <c r="AG1256" i="5"/>
  <c r="AF1256" i="5"/>
  <c r="AE1256" i="5"/>
  <c r="AD1256" i="5"/>
  <c r="AC1256" i="5"/>
  <c r="AB1256" i="5"/>
  <c r="AA1256" i="5"/>
  <c r="Z1256" i="5"/>
  <c r="Y1256" i="5"/>
  <c r="X1256" i="5"/>
  <c r="W1256" i="5"/>
  <c r="V1256" i="5"/>
  <c r="U1256" i="5"/>
  <c r="T1256" i="5"/>
  <c r="S1256" i="5"/>
  <c r="R1256" i="5"/>
  <c r="Q1256" i="5"/>
  <c r="P1256" i="5"/>
  <c r="O1256" i="5"/>
  <c r="N1256" i="5"/>
  <c r="M1256" i="5"/>
  <c r="L1256" i="5"/>
  <c r="K1256" i="5"/>
  <c r="J1256" i="5"/>
  <c r="I1256" i="5"/>
  <c r="H1256" i="5"/>
  <c r="G1256" i="5"/>
  <c r="F1256" i="5"/>
  <c r="E1256" i="5"/>
  <c r="CD1255" i="5"/>
  <c r="CC1255" i="5"/>
  <c r="CB1255" i="5"/>
  <c r="CA1255" i="5"/>
  <c r="BZ1255" i="5"/>
  <c r="BY1255" i="5"/>
  <c r="BX1255" i="5"/>
  <c r="BW1255" i="5"/>
  <c r="BV1255" i="5"/>
  <c r="BU1255" i="5"/>
  <c r="BT1255" i="5"/>
  <c r="BS1255" i="5"/>
  <c r="BR1255" i="5"/>
  <c r="BQ1255" i="5"/>
  <c r="BP1255" i="5"/>
  <c r="BO1255" i="5"/>
  <c r="BN1255" i="5"/>
  <c r="BM1255" i="5"/>
  <c r="BL1255" i="5"/>
  <c r="BK1255" i="5"/>
  <c r="BJ1255" i="5"/>
  <c r="BI1255" i="5"/>
  <c r="BH1255" i="5"/>
  <c r="BG1255" i="5"/>
  <c r="BF1255" i="5"/>
  <c r="BE1255" i="5"/>
  <c r="BD1255" i="5"/>
  <c r="BC1255" i="5"/>
  <c r="BB1255" i="5"/>
  <c r="BA1255" i="5"/>
  <c r="AZ1255" i="5"/>
  <c r="AY1255" i="5"/>
  <c r="AX1255" i="5"/>
  <c r="AW1255" i="5"/>
  <c r="AV1255" i="5"/>
  <c r="AU1255" i="5"/>
  <c r="AT1255" i="5"/>
  <c r="AS1255" i="5"/>
  <c r="AR1255" i="5"/>
  <c r="AQ1255" i="5"/>
  <c r="AP1255" i="5"/>
  <c r="AO1255" i="5"/>
  <c r="AN1255" i="5"/>
  <c r="AM1255" i="5"/>
  <c r="AL1255" i="5"/>
  <c r="AK1255" i="5"/>
  <c r="AJ1255" i="5"/>
  <c r="AI1255" i="5"/>
  <c r="AH1255" i="5"/>
  <c r="AG1255" i="5"/>
  <c r="AF1255" i="5"/>
  <c r="AE1255" i="5"/>
  <c r="AD1255" i="5"/>
  <c r="AC1255" i="5"/>
  <c r="AB1255" i="5"/>
  <c r="AA1255" i="5"/>
  <c r="Z1255" i="5"/>
  <c r="Y1255" i="5"/>
  <c r="X1255" i="5"/>
  <c r="W1255" i="5"/>
  <c r="V1255" i="5"/>
  <c r="U1255" i="5"/>
  <c r="T1255" i="5"/>
  <c r="S1255" i="5"/>
  <c r="R1255" i="5"/>
  <c r="Q1255" i="5"/>
  <c r="P1255" i="5"/>
  <c r="O1255" i="5"/>
  <c r="N1255" i="5"/>
  <c r="M1255" i="5"/>
  <c r="L1255" i="5"/>
  <c r="K1255" i="5"/>
  <c r="J1255" i="5"/>
  <c r="I1255" i="5"/>
  <c r="H1255" i="5"/>
  <c r="G1255" i="5"/>
  <c r="F1255" i="5"/>
  <c r="E1255" i="5"/>
  <c r="FV1252" i="5"/>
  <c r="FU1252" i="5"/>
  <c r="FT1252" i="5"/>
  <c r="FS1252" i="5"/>
  <c r="FR1252" i="5"/>
  <c r="FQ1252" i="5"/>
  <c r="FP1252" i="5"/>
  <c r="FO1252" i="5"/>
  <c r="FN1252" i="5"/>
  <c r="FM1252" i="5"/>
  <c r="FL1252" i="5"/>
  <c r="FK1252" i="5"/>
  <c r="FJ1252" i="5"/>
  <c r="FI1252" i="5"/>
  <c r="FH1252" i="5"/>
  <c r="FG1252" i="5"/>
  <c r="FF1252" i="5"/>
  <c r="FE1252" i="5"/>
  <c r="FD1252" i="5"/>
  <c r="FC1252" i="5"/>
  <c r="FB1252" i="5"/>
  <c r="FA1252" i="5"/>
  <c r="EZ1252" i="5"/>
  <c r="EY1252" i="5"/>
  <c r="CD1252" i="5"/>
  <c r="CC1252" i="5"/>
  <c r="CB1252" i="5"/>
  <c r="CA1252" i="5"/>
  <c r="BZ1252" i="5"/>
  <c r="BY1252" i="5"/>
  <c r="BX1252" i="5"/>
  <c r="BW1252" i="5"/>
  <c r="BV1252" i="5"/>
  <c r="BU1252" i="5"/>
  <c r="BT1252" i="5"/>
  <c r="BS1252" i="5"/>
  <c r="BR1252" i="5"/>
  <c r="BQ1252" i="5"/>
  <c r="BP1252" i="5"/>
  <c r="BO1252" i="5"/>
  <c r="BN1252" i="5"/>
  <c r="BM1252" i="5"/>
  <c r="BL1252" i="5"/>
  <c r="BK1252" i="5"/>
  <c r="BJ1252" i="5"/>
  <c r="BI1252" i="5"/>
  <c r="BH1252" i="5"/>
  <c r="BG1252" i="5"/>
  <c r="BF1252" i="5"/>
  <c r="BE1252" i="5"/>
  <c r="BD1252" i="5"/>
  <c r="BC1252" i="5"/>
  <c r="BB1252" i="5"/>
  <c r="BA1252" i="5"/>
  <c r="AZ1252" i="5"/>
  <c r="AY1252" i="5"/>
  <c r="AX1252" i="5"/>
  <c r="AW1252" i="5"/>
  <c r="AV1252" i="5"/>
  <c r="AU1252" i="5"/>
  <c r="AT1252" i="5"/>
  <c r="AS1252" i="5"/>
  <c r="AR1252" i="5"/>
  <c r="AQ1252" i="5"/>
  <c r="AP1252" i="5"/>
  <c r="AO1252" i="5"/>
  <c r="AN1252" i="5"/>
  <c r="AM1252" i="5"/>
  <c r="AL1252" i="5"/>
  <c r="AK1252" i="5"/>
  <c r="AJ1252" i="5"/>
  <c r="AI1252" i="5"/>
  <c r="AH1252" i="5"/>
  <c r="AG1252" i="5"/>
  <c r="AF1252" i="5"/>
  <c r="AE1252" i="5"/>
  <c r="AD1252" i="5"/>
  <c r="AC1252" i="5"/>
  <c r="AB1252" i="5"/>
  <c r="AA1252" i="5"/>
  <c r="Z1252" i="5"/>
  <c r="Y1252" i="5"/>
  <c r="X1252" i="5"/>
  <c r="W1252" i="5"/>
  <c r="V1252" i="5"/>
  <c r="U1252" i="5"/>
  <c r="T1252" i="5"/>
  <c r="S1252" i="5"/>
  <c r="R1252" i="5"/>
  <c r="Q1252" i="5"/>
  <c r="P1252" i="5"/>
  <c r="O1252" i="5"/>
  <c r="N1252" i="5"/>
  <c r="M1252" i="5"/>
  <c r="L1252" i="5"/>
  <c r="K1252" i="5"/>
  <c r="J1252" i="5"/>
  <c r="I1252" i="5"/>
  <c r="H1252" i="5"/>
  <c r="G1252" i="5"/>
  <c r="F1252" i="5"/>
  <c r="E1252" i="5"/>
  <c r="CD1251" i="5"/>
  <c r="CC1251" i="5"/>
  <c r="CB1251" i="5"/>
  <c r="CA1251" i="5"/>
  <c r="BZ1251" i="5"/>
  <c r="BY1251" i="5"/>
  <c r="BX1251" i="5"/>
  <c r="BW1251" i="5"/>
  <c r="BV1251" i="5"/>
  <c r="BU1251" i="5"/>
  <c r="BT1251" i="5"/>
  <c r="BS1251" i="5"/>
  <c r="BR1251" i="5"/>
  <c r="BQ1251" i="5"/>
  <c r="BP1251" i="5"/>
  <c r="BO1251" i="5"/>
  <c r="BN1251" i="5"/>
  <c r="BM1251" i="5"/>
  <c r="BL1251" i="5"/>
  <c r="BK1251" i="5"/>
  <c r="BJ1251" i="5"/>
  <c r="BI1251" i="5"/>
  <c r="BH1251" i="5"/>
  <c r="BG1251" i="5"/>
  <c r="BF1251" i="5"/>
  <c r="BE1251" i="5"/>
  <c r="BD1251" i="5"/>
  <c r="BC1251" i="5"/>
  <c r="BB1251" i="5"/>
  <c r="BA1251" i="5"/>
  <c r="AZ1251" i="5"/>
  <c r="AY1251" i="5"/>
  <c r="AX1251" i="5"/>
  <c r="AW1251" i="5"/>
  <c r="AV1251" i="5"/>
  <c r="AU1251" i="5"/>
  <c r="AT1251" i="5"/>
  <c r="AS1251" i="5"/>
  <c r="AR1251" i="5"/>
  <c r="AQ1251" i="5"/>
  <c r="AP1251" i="5"/>
  <c r="AO1251" i="5"/>
  <c r="AN1251" i="5"/>
  <c r="AM1251" i="5"/>
  <c r="AL1251" i="5"/>
  <c r="AK1251" i="5"/>
  <c r="AJ1251" i="5"/>
  <c r="AI1251" i="5"/>
  <c r="AH1251" i="5"/>
  <c r="AG1251" i="5"/>
  <c r="AF1251" i="5"/>
  <c r="AE1251" i="5"/>
  <c r="AD1251" i="5"/>
  <c r="AC1251" i="5"/>
  <c r="AB1251" i="5"/>
  <c r="AA1251" i="5"/>
  <c r="Z1251" i="5"/>
  <c r="Y1251" i="5"/>
  <c r="X1251" i="5"/>
  <c r="W1251" i="5"/>
  <c r="V1251" i="5"/>
  <c r="U1251" i="5"/>
  <c r="T1251" i="5"/>
  <c r="S1251" i="5"/>
  <c r="R1251" i="5"/>
  <c r="Q1251" i="5"/>
  <c r="P1251" i="5"/>
  <c r="O1251" i="5"/>
  <c r="N1251" i="5"/>
  <c r="M1251" i="5"/>
  <c r="L1251" i="5"/>
  <c r="K1251" i="5"/>
  <c r="J1251" i="5"/>
  <c r="I1251" i="5"/>
  <c r="H1251" i="5"/>
  <c r="G1251" i="5"/>
  <c r="F1251" i="5"/>
  <c r="E1251" i="5"/>
  <c r="CD1250" i="5"/>
  <c r="CC1250" i="5"/>
  <c r="CB1250" i="5"/>
  <c r="CA1250" i="5"/>
  <c r="BZ1250" i="5"/>
  <c r="BY1250" i="5"/>
  <c r="BX1250" i="5"/>
  <c r="BW1250" i="5"/>
  <c r="BV1250" i="5"/>
  <c r="BU1250" i="5"/>
  <c r="BT1250" i="5"/>
  <c r="BS1250" i="5"/>
  <c r="BR1250" i="5"/>
  <c r="BQ1250" i="5"/>
  <c r="BP1250" i="5"/>
  <c r="BO1250" i="5"/>
  <c r="BN1250" i="5"/>
  <c r="BM1250" i="5"/>
  <c r="BL1250" i="5"/>
  <c r="BK1250" i="5"/>
  <c r="BJ1250" i="5"/>
  <c r="BI1250" i="5"/>
  <c r="BH1250" i="5"/>
  <c r="BG1250" i="5"/>
  <c r="BF1250" i="5"/>
  <c r="BE1250" i="5"/>
  <c r="BD1250" i="5"/>
  <c r="BC1250" i="5"/>
  <c r="BB1250" i="5"/>
  <c r="BA1250" i="5"/>
  <c r="AZ1250" i="5"/>
  <c r="AY1250" i="5"/>
  <c r="AX1250" i="5"/>
  <c r="AW1250" i="5"/>
  <c r="AV1250" i="5"/>
  <c r="AU1250" i="5"/>
  <c r="AT1250" i="5"/>
  <c r="AS1250" i="5"/>
  <c r="AR1250" i="5"/>
  <c r="AQ1250" i="5"/>
  <c r="AP1250" i="5"/>
  <c r="AO1250" i="5"/>
  <c r="AN1250" i="5"/>
  <c r="AM1250" i="5"/>
  <c r="AL1250" i="5"/>
  <c r="AK1250" i="5"/>
  <c r="AJ1250" i="5"/>
  <c r="AI1250" i="5"/>
  <c r="AH1250" i="5"/>
  <c r="AG1250" i="5"/>
  <c r="AF1250" i="5"/>
  <c r="AE1250" i="5"/>
  <c r="AD1250" i="5"/>
  <c r="AC1250" i="5"/>
  <c r="AB1250" i="5"/>
  <c r="AA1250" i="5"/>
  <c r="Z1250" i="5"/>
  <c r="Y1250" i="5"/>
  <c r="X1250" i="5"/>
  <c r="W1250" i="5"/>
  <c r="V1250" i="5"/>
  <c r="U1250" i="5"/>
  <c r="T1250" i="5"/>
  <c r="S1250" i="5"/>
  <c r="R1250" i="5"/>
  <c r="Q1250" i="5"/>
  <c r="P1250" i="5"/>
  <c r="O1250" i="5"/>
  <c r="N1250" i="5"/>
  <c r="M1250" i="5"/>
  <c r="L1250" i="5"/>
  <c r="K1250" i="5"/>
  <c r="J1250" i="5"/>
  <c r="I1250" i="5"/>
  <c r="H1250" i="5"/>
  <c r="G1250" i="5"/>
  <c r="F1250" i="5"/>
  <c r="E1250" i="5"/>
  <c r="CD1248" i="5"/>
  <c r="CC1248" i="5"/>
  <c r="CB1248" i="5"/>
  <c r="CA1248" i="5"/>
  <c r="BZ1248" i="5"/>
  <c r="BY1248" i="5"/>
  <c r="BX1248" i="5"/>
  <c r="BW1248" i="5"/>
  <c r="BV1248" i="5"/>
  <c r="BU1248" i="5"/>
  <c r="BT1248" i="5"/>
  <c r="BS1248" i="5"/>
  <c r="BR1248" i="5"/>
  <c r="BQ1248" i="5"/>
  <c r="BP1248" i="5"/>
  <c r="BO1248" i="5"/>
  <c r="BN1248" i="5"/>
  <c r="BM1248" i="5"/>
  <c r="BL1248" i="5"/>
  <c r="BK1248" i="5"/>
  <c r="BJ1248" i="5"/>
  <c r="BI1248" i="5"/>
  <c r="BH1248" i="5"/>
  <c r="BG1248" i="5"/>
  <c r="BF1248" i="5"/>
  <c r="BE1248" i="5"/>
  <c r="BD1248" i="5"/>
  <c r="BC1248" i="5"/>
  <c r="BB1248" i="5"/>
  <c r="BA1248" i="5"/>
  <c r="AZ1248" i="5"/>
  <c r="AY1248" i="5"/>
  <c r="AX1248" i="5"/>
  <c r="AW1248" i="5"/>
  <c r="AV1248" i="5"/>
  <c r="AU1248" i="5"/>
  <c r="AT1248" i="5"/>
  <c r="AS1248" i="5"/>
  <c r="AR1248" i="5"/>
  <c r="AQ1248" i="5"/>
  <c r="AP1248" i="5"/>
  <c r="AO1248" i="5"/>
  <c r="AN1248" i="5"/>
  <c r="X1248" i="5"/>
  <c r="W1248" i="5"/>
  <c r="V1248" i="5"/>
  <c r="U1248" i="5"/>
  <c r="T1248" i="5"/>
  <c r="S1248" i="5"/>
  <c r="R1248" i="5"/>
  <c r="Q1248" i="5"/>
  <c r="P1248" i="5"/>
  <c r="O1248" i="5"/>
  <c r="N1248" i="5"/>
  <c r="M1248" i="5"/>
  <c r="L1248" i="5"/>
  <c r="K1248" i="5"/>
  <c r="J1248" i="5"/>
  <c r="I1248" i="5"/>
  <c r="H1248" i="5"/>
  <c r="G1248" i="5"/>
  <c r="F1248" i="5"/>
  <c r="E1248" i="5"/>
  <c r="CD1247" i="5"/>
  <c r="CC1247" i="5"/>
  <c r="CB1247" i="5"/>
  <c r="CA1247" i="5"/>
  <c r="BZ1247" i="5"/>
  <c r="BY1247" i="5"/>
  <c r="BX1247" i="5"/>
  <c r="BW1247" i="5"/>
  <c r="BV1247" i="5"/>
  <c r="BU1247" i="5"/>
  <c r="BT1247" i="5"/>
  <c r="BS1247" i="5"/>
  <c r="BR1247" i="5"/>
  <c r="BQ1247" i="5"/>
  <c r="BP1247" i="5"/>
  <c r="BO1247" i="5"/>
  <c r="BN1247" i="5"/>
  <c r="BM1247" i="5"/>
  <c r="BL1247" i="5"/>
  <c r="BK1247" i="5"/>
  <c r="BJ1247" i="5"/>
  <c r="BI1247" i="5"/>
  <c r="BH1247" i="5"/>
  <c r="BG1247" i="5"/>
  <c r="BF1247" i="5"/>
  <c r="BE1247" i="5"/>
  <c r="BD1247" i="5"/>
  <c r="BC1247" i="5"/>
  <c r="BB1247" i="5"/>
  <c r="BA1247" i="5"/>
  <c r="AZ1247" i="5"/>
  <c r="AY1247" i="5"/>
  <c r="AX1247" i="5"/>
  <c r="AW1247" i="5"/>
  <c r="AV1247" i="5"/>
  <c r="AU1247" i="5"/>
  <c r="AT1247" i="5"/>
  <c r="AS1247" i="5"/>
  <c r="AR1247" i="5"/>
  <c r="AQ1247" i="5"/>
  <c r="AN1247" i="5"/>
  <c r="AG1247" i="5"/>
  <c r="AF1247" i="5"/>
  <c r="AE1247" i="5"/>
  <c r="AD1247" i="5"/>
  <c r="AC1247" i="5"/>
  <c r="AB1247" i="5"/>
  <c r="AA1247" i="5"/>
  <c r="Z1247" i="5"/>
  <c r="Y1247" i="5"/>
  <c r="X1247" i="5"/>
  <c r="W1247" i="5"/>
  <c r="V1247" i="5"/>
  <c r="U1247" i="5"/>
  <c r="T1247" i="5"/>
  <c r="S1247" i="5"/>
  <c r="R1247" i="5"/>
  <c r="Q1247" i="5"/>
  <c r="P1247" i="5"/>
  <c r="O1247" i="5"/>
  <c r="N1247" i="5"/>
  <c r="M1247" i="5"/>
  <c r="L1247" i="5"/>
  <c r="K1247" i="5"/>
  <c r="J1247" i="5"/>
  <c r="I1247" i="5"/>
  <c r="H1247" i="5"/>
  <c r="G1247" i="5"/>
  <c r="F1247" i="5"/>
  <c r="E1247" i="5"/>
  <c r="CD1246" i="5"/>
  <c r="CC1246" i="5"/>
  <c r="CB1246" i="5"/>
  <c r="CA1246" i="5"/>
  <c r="BZ1246" i="5"/>
  <c r="BY1246" i="5"/>
  <c r="BX1246" i="5"/>
  <c r="BW1246" i="5"/>
  <c r="BV1246" i="5"/>
  <c r="BU1246" i="5"/>
  <c r="BT1246" i="5"/>
  <c r="BS1246" i="5"/>
  <c r="BR1246" i="5"/>
  <c r="BQ1246" i="5"/>
  <c r="BP1246" i="5"/>
  <c r="BO1246" i="5"/>
  <c r="BN1246" i="5"/>
  <c r="BM1246" i="5"/>
  <c r="BL1246" i="5"/>
  <c r="BK1246" i="5"/>
  <c r="BJ1246" i="5"/>
  <c r="BI1246" i="5"/>
  <c r="BH1246" i="5"/>
  <c r="BG1246" i="5"/>
  <c r="BF1246" i="5"/>
  <c r="BE1246" i="5"/>
  <c r="BD1246" i="5"/>
  <c r="BC1246" i="5"/>
  <c r="BB1246" i="5"/>
  <c r="BA1246" i="5"/>
  <c r="AZ1246" i="5"/>
  <c r="AY1246" i="5"/>
  <c r="AX1246" i="5"/>
  <c r="AW1246" i="5"/>
  <c r="AV1246" i="5"/>
  <c r="AU1246" i="5"/>
  <c r="AT1246" i="5"/>
  <c r="AS1246" i="5"/>
  <c r="AR1246" i="5"/>
  <c r="AQ1246" i="5"/>
  <c r="AP1246" i="5"/>
  <c r="AO1246" i="5"/>
  <c r="AN1246" i="5"/>
  <c r="AM1246" i="5"/>
  <c r="AL1246" i="5"/>
  <c r="AK1246" i="5"/>
  <c r="AJ1246" i="5"/>
  <c r="AI1246" i="5"/>
  <c r="AH1246" i="5"/>
  <c r="AG1246" i="5"/>
  <c r="AF1246" i="5"/>
  <c r="AE1246" i="5"/>
  <c r="AD1246" i="5"/>
  <c r="AC1246" i="5"/>
  <c r="AB1246" i="5"/>
  <c r="AA1246" i="5"/>
  <c r="Z1246" i="5"/>
  <c r="Y1246" i="5"/>
  <c r="X1246" i="5"/>
  <c r="W1246" i="5"/>
  <c r="V1246" i="5"/>
  <c r="U1246" i="5"/>
  <c r="T1246" i="5"/>
  <c r="S1246" i="5"/>
  <c r="R1246" i="5"/>
  <c r="Q1246" i="5"/>
  <c r="P1246" i="5"/>
  <c r="O1246" i="5"/>
  <c r="N1246" i="5"/>
  <c r="M1246" i="5"/>
  <c r="L1246" i="5"/>
  <c r="K1246" i="5"/>
  <c r="J1246" i="5"/>
  <c r="I1246" i="5"/>
  <c r="H1246" i="5"/>
  <c r="G1246" i="5"/>
  <c r="F1246" i="5"/>
  <c r="E1246" i="5"/>
  <c r="CD1245" i="5"/>
  <c r="CC1245" i="5"/>
  <c r="CB1245" i="5"/>
  <c r="CA1245" i="5"/>
  <c r="BZ1245" i="5"/>
  <c r="BY1245" i="5"/>
  <c r="BX1245" i="5"/>
  <c r="BW1245" i="5"/>
  <c r="BV1245" i="5"/>
  <c r="BU1245" i="5"/>
  <c r="BT1245" i="5"/>
  <c r="BS1245" i="5"/>
  <c r="BR1245" i="5"/>
  <c r="BQ1245" i="5"/>
  <c r="BP1245" i="5"/>
  <c r="BO1245" i="5"/>
  <c r="BN1245" i="5"/>
  <c r="BM1245" i="5"/>
  <c r="BL1245" i="5"/>
  <c r="BK1245" i="5"/>
  <c r="BJ1245" i="5"/>
  <c r="BI1245" i="5"/>
  <c r="BH1245" i="5"/>
  <c r="BG1245" i="5"/>
  <c r="BF1245" i="5"/>
  <c r="BE1245" i="5"/>
  <c r="BD1245" i="5"/>
  <c r="BC1245" i="5"/>
  <c r="BB1245" i="5"/>
  <c r="BA1245" i="5"/>
  <c r="AZ1245" i="5"/>
  <c r="AY1245" i="5"/>
  <c r="AX1245" i="5"/>
  <c r="AW1245" i="5"/>
  <c r="AV1245" i="5"/>
  <c r="AU1245" i="5"/>
  <c r="AT1245" i="5"/>
  <c r="AS1245" i="5"/>
  <c r="AR1245" i="5"/>
  <c r="AQ1245" i="5"/>
  <c r="AP1245" i="5"/>
  <c r="AO1245" i="5"/>
  <c r="AN1245" i="5"/>
  <c r="AM1245" i="5"/>
  <c r="AL1245" i="5"/>
  <c r="AK1245" i="5"/>
  <c r="AJ1245" i="5"/>
  <c r="AI1245" i="5"/>
  <c r="AH1245" i="5"/>
  <c r="AG1245" i="5"/>
  <c r="AF1245" i="5"/>
  <c r="AE1245" i="5"/>
  <c r="AD1245" i="5"/>
  <c r="AC1245" i="5"/>
  <c r="AB1245" i="5"/>
  <c r="AA1245" i="5"/>
  <c r="Z1245" i="5"/>
  <c r="Y1245" i="5"/>
  <c r="X1245" i="5"/>
  <c r="W1245" i="5"/>
  <c r="V1245" i="5"/>
  <c r="U1245" i="5"/>
  <c r="T1245" i="5"/>
  <c r="S1245" i="5"/>
  <c r="R1245" i="5"/>
  <c r="Q1245" i="5"/>
  <c r="P1245" i="5"/>
  <c r="O1245" i="5"/>
  <c r="N1245" i="5"/>
  <c r="M1245" i="5"/>
  <c r="L1245" i="5"/>
  <c r="K1245" i="5"/>
  <c r="J1245" i="5"/>
  <c r="I1245" i="5"/>
  <c r="H1245" i="5"/>
  <c r="G1245" i="5"/>
  <c r="F1245" i="5"/>
  <c r="E1245" i="5"/>
  <c r="CD1244" i="5"/>
  <c r="CC1244" i="5"/>
  <c r="CB1244" i="5"/>
  <c r="CA1244" i="5"/>
  <c r="BZ1244" i="5"/>
  <c r="BY1244" i="5"/>
  <c r="BX1244" i="5"/>
  <c r="BW1244" i="5"/>
  <c r="BV1244" i="5"/>
  <c r="BU1244" i="5"/>
  <c r="BT1244" i="5"/>
  <c r="BS1244" i="5"/>
  <c r="BR1244" i="5"/>
  <c r="BQ1244" i="5"/>
  <c r="BP1244" i="5"/>
  <c r="BO1244" i="5"/>
  <c r="BN1244" i="5"/>
  <c r="BM1244" i="5"/>
  <c r="BL1244" i="5"/>
  <c r="BK1244" i="5"/>
  <c r="BJ1244" i="5"/>
  <c r="BI1244" i="5"/>
  <c r="BH1244" i="5"/>
  <c r="BG1244" i="5"/>
  <c r="BF1244" i="5"/>
  <c r="BE1244" i="5"/>
  <c r="BD1244" i="5"/>
  <c r="BC1244" i="5"/>
  <c r="BB1244" i="5"/>
  <c r="BA1244" i="5"/>
  <c r="AZ1244" i="5"/>
  <c r="AY1244" i="5"/>
  <c r="AX1244" i="5"/>
  <c r="AW1244" i="5"/>
  <c r="AV1244" i="5"/>
  <c r="AU1244" i="5"/>
  <c r="AT1244" i="5"/>
  <c r="AS1244" i="5"/>
  <c r="AR1244" i="5"/>
  <c r="AQ1244" i="5"/>
  <c r="AP1244" i="5"/>
  <c r="AO1244" i="5"/>
  <c r="AN1244" i="5"/>
  <c r="AM1244" i="5"/>
  <c r="AL1244" i="5"/>
  <c r="AK1244" i="5"/>
  <c r="AJ1244" i="5"/>
  <c r="AI1244" i="5"/>
  <c r="AH1244" i="5"/>
  <c r="AG1244" i="5"/>
  <c r="AF1244" i="5"/>
  <c r="AE1244" i="5"/>
  <c r="AD1244" i="5"/>
  <c r="AC1244" i="5"/>
  <c r="AB1244" i="5"/>
  <c r="AA1244" i="5"/>
  <c r="Z1244" i="5"/>
  <c r="Y1244" i="5"/>
  <c r="X1244" i="5"/>
  <c r="W1244" i="5"/>
  <c r="V1244" i="5"/>
  <c r="U1244" i="5"/>
  <c r="T1244" i="5"/>
  <c r="S1244" i="5"/>
  <c r="R1244" i="5"/>
  <c r="Q1244" i="5"/>
  <c r="P1244" i="5"/>
  <c r="O1244" i="5"/>
  <c r="N1244" i="5"/>
  <c r="M1244" i="5"/>
  <c r="L1244" i="5"/>
  <c r="K1244" i="5"/>
  <c r="J1244" i="5"/>
  <c r="I1244" i="5"/>
  <c r="H1244" i="5"/>
  <c r="G1244" i="5"/>
  <c r="F1244" i="5"/>
  <c r="E1244" i="5"/>
  <c r="CD1243" i="5"/>
  <c r="CC1243" i="5"/>
  <c r="CB1243" i="5"/>
  <c r="CA1243" i="5"/>
  <c r="BZ1243" i="5"/>
  <c r="BY1243" i="5"/>
  <c r="BX1243" i="5"/>
  <c r="BW1243" i="5"/>
  <c r="BV1243" i="5"/>
  <c r="BU1243" i="5"/>
  <c r="BT1243" i="5"/>
  <c r="BS1243" i="5"/>
  <c r="BR1243" i="5"/>
  <c r="BQ1243" i="5"/>
  <c r="BP1243" i="5"/>
  <c r="BO1243" i="5"/>
  <c r="BN1243" i="5"/>
  <c r="BM1243" i="5"/>
  <c r="BL1243" i="5"/>
  <c r="BK1243" i="5"/>
  <c r="BJ1243" i="5"/>
  <c r="BI1243" i="5"/>
  <c r="BH1243" i="5"/>
  <c r="BG1243" i="5"/>
  <c r="BF1243" i="5"/>
  <c r="BE1243" i="5"/>
  <c r="BD1243" i="5"/>
  <c r="BC1243" i="5"/>
  <c r="BB1243" i="5"/>
  <c r="BA1243" i="5"/>
  <c r="AZ1243" i="5"/>
  <c r="AY1243" i="5"/>
  <c r="AX1243" i="5"/>
  <c r="AW1243" i="5"/>
  <c r="AV1243" i="5"/>
  <c r="AU1243" i="5"/>
  <c r="AT1243" i="5"/>
  <c r="AS1243" i="5"/>
  <c r="AR1243" i="5"/>
  <c r="AQ1243" i="5"/>
  <c r="AP1243" i="5"/>
  <c r="AO1243" i="5"/>
  <c r="AN1243" i="5"/>
  <c r="AM1243" i="5"/>
  <c r="AL1243" i="5"/>
  <c r="AK1243" i="5"/>
  <c r="AJ1243" i="5"/>
  <c r="AI1243" i="5"/>
  <c r="AH1243" i="5"/>
  <c r="AG1243" i="5"/>
  <c r="AF1243" i="5"/>
  <c r="AE1243" i="5"/>
  <c r="AD1243" i="5"/>
  <c r="AC1243" i="5"/>
  <c r="AB1243" i="5"/>
  <c r="AA1243" i="5"/>
  <c r="Z1243" i="5"/>
  <c r="Y1243" i="5"/>
  <c r="X1243" i="5"/>
  <c r="W1243" i="5"/>
  <c r="V1243" i="5"/>
  <c r="U1243" i="5"/>
  <c r="T1243" i="5"/>
  <c r="S1243" i="5"/>
  <c r="R1243" i="5"/>
  <c r="Q1243" i="5"/>
  <c r="P1243" i="5"/>
  <c r="O1243" i="5"/>
  <c r="N1243" i="5"/>
  <c r="M1243" i="5"/>
  <c r="L1243" i="5"/>
  <c r="K1243" i="5"/>
  <c r="J1243" i="5"/>
  <c r="I1243" i="5"/>
  <c r="H1243" i="5"/>
  <c r="G1243" i="5"/>
  <c r="F1243" i="5"/>
  <c r="E1243" i="5"/>
  <c r="CD1240" i="5"/>
  <c r="CC1240" i="5"/>
  <c r="CB1240" i="5"/>
  <c r="CA1240"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AO1240" i="5"/>
  <c r="AN1240" i="5"/>
  <c r="AM1240" i="5"/>
  <c r="AL1240"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CD1239" i="5"/>
  <c r="CC1239" i="5"/>
  <c r="CB1239" i="5"/>
  <c r="CA1239"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AO1239" i="5"/>
  <c r="AN1239" i="5"/>
  <c r="AM1239" i="5"/>
  <c r="AL1239" i="5"/>
  <c r="AK1239" i="5"/>
  <c r="AJ1239" i="5"/>
  <c r="AI1239" i="5"/>
  <c r="AH1239" i="5"/>
  <c r="AG1239" i="5"/>
  <c r="AF1239" i="5"/>
  <c r="AE1239" i="5"/>
  <c r="AD1239" i="5"/>
  <c r="AC1239" i="5"/>
  <c r="AB1239" i="5"/>
  <c r="AA1239" i="5"/>
  <c r="Z1239" i="5"/>
  <c r="Y1239" i="5"/>
  <c r="X1239" i="5"/>
  <c r="W1239" i="5"/>
  <c r="V1239" i="5"/>
  <c r="U1239" i="5"/>
  <c r="T1239" i="5"/>
  <c r="S1239" i="5"/>
  <c r="R1239" i="5"/>
  <c r="Q1239" i="5"/>
  <c r="P1239" i="5"/>
  <c r="O1239" i="5"/>
  <c r="N1239" i="5"/>
  <c r="M1239" i="5"/>
  <c r="L1239" i="5"/>
  <c r="K1239" i="5"/>
  <c r="J1239" i="5"/>
  <c r="I1239" i="5"/>
  <c r="H1239" i="5"/>
  <c r="G1239" i="5"/>
  <c r="F1239" i="5"/>
  <c r="E1239"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AO1237" i="5"/>
  <c r="AN1237" i="5"/>
  <c r="AM1237"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K1237" i="5"/>
  <c r="J1237" i="5"/>
  <c r="I1237" i="5"/>
  <c r="H1237" i="5"/>
  <c r="G1237" i="5"/>
  <c r="F1237" i="5"/>
  <c r="E1237" i="5"/>
  <c r="CD1236" i="5"/>
  <c r="CC1236" i="5"/>
  <c r="CB1236" i="5"/>
  <c r="CA1236"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O1236" i="5"/>
  <c r="AN1236" i="5"/>
  <c r="AM1236" i="5"/>
  <c r="AL1236" i="5"/>
  <c r="AK1236" i="5"/>
  <c r="AJ1236" i="5"/>
  <c r="AI1236" i="5"/>
  <c r="AH1236" i="5"/>
  <c r="AG1236" i="5"/>
  <c r="AF1236" i="5"/>
  <c r="AE1236" i="5"/>
  <c r="AD1236" i="5"/>
  <c r="AC1236" i="5"/>
  <c r="AB1236" i="5"/>
  <c r="AA1236" i="5"/>
  <c r="Z1236" i="5"/>
  <c r="Y1236" i="5"/>
  <c r="X1236" i="5"/>
  <c r="W1236" i="5"/>
  <c r="V1236" i="5"/>
  <c r="U1236" i="5"/>
  <c r="T1236" i="5"/>
  <c r="S1236" i="5"/>
  <c r="R1236" i="5"/>
  <c r="Q1236" i="5"/>
  <c r="P1236" i="5"/>
  <c r="O1236" i="5"/>
  <c r="N1236" i="5"/>
  <c r="M1236" i="5"/>
  <c r="L1236" i="5"/>
  <c r="K1236" i="5"/>
  <c r="J1236" i="5"/>
  <c r="I1236" i="5"/>
  <c r="H1236" i="5"/>
  <c r="G1236" i="5"/>
  <c r="F1236" i="5"/>
  <c r="E1236" i="5"/>
  <c r="CD1235" i="5"/>
  <c r="CC1235" i="5"/>
  <c r="CB1235" i="5"/>
  <c r="CA1235" i="5"/>
  <c r="BZ1235" i="5"/>
  <c r="BY1235" i="5"/>
  <c r="BX1235" i="5"/>
  <c r="BW1235" i="5"/>
  <c r="BV1235" i="5"/>
  <c r="BU1235" i="5"/>
  <c r="BT1235" i="5"/>
  <c r="BS1235" i="5"/>
  <c r="BR1235" i="5"/>
  <c r="BQ1235" i="5"/>
  <c r="BP1235" i="5"/>
  <c r="BO1235" i="5"/>
  <c r="BN1235" i="5"/>
  <c r="BM1235" i="5"/>
  <c r="BL1235" i="5"/>
  <c r="BK1235" i="5"/>
  <c r="BJ1235" i="5"/>
  <c r="BI1235" i="5"/>
  <c r="BH1235" i="5"/>
  <c r="BG1235" i="5"/>
  <c r="BF1235" i="5"/>
  <c r="BE1235" i="5"/>
  <c r="BD1235" i="5"/>
  <c r="BC1235" i="5"/>
  <c r="BB1235" i="5"/>
  <c r="BA1235" i="5"/>
  <c r="AZ1235" i="5"/>
  <c r="AY1235" i="5"/>
  <c r="AX1235" i="5"/>
  <c r="AW1235" i="5"/>
  <c r="AV1235" i="5"/>
  <c r="AU1235" i="5"/>
  <c r="AT1235" i="5"/>
  <c r="AS1235" i="5"/>
  <c r="AR1235" i="5"/>
  <c r="AQ1235" i="5"/>
  <c r="AP1235" i="5"/>
  <c r="AO1235" i="5"/>
  <c r="AN1235" i="5"/>
  <c r="AM1235" i="5"/>
  <c r="AL1235" i="5"/>
  <c r="AK1235" i="5"/>
  <c r="AJ1235" i="5"/>
  <c r="AI1235" i="5"/>
  <c r="AH1235" i="5"/>
  <c r="AG1235" i="5"/>
  <c r="AF1235" i="5"/>
  <c r="AE1235" i="5"/>
  <c r="AD1235" i="5"/>
  <c r="AC1235" i="5"/>
  <c r="AB1235" i="5"/>
  <c r="AA1235" i="5"/>
  <c r="Z1235" i="5"/>
  <c r="Y1235" i="5"/>
  <c r="X1235" i="5"/>
  <c r="W1235" i="5"/>
  <c r="V1235" i="5"/>
  <c r="U1235" i="5"/>
  <c r="T1235" i="5"/>
  <c r="S1235" i="5"/>
  <c r="R1235" i="5"/>
  <c r="Q1235" i="5"/>
  <c r="P1235" i="5"/>
  <c r="O1235" i="5"/>
  <c r="N1235" i="5"/>
  <c r="M1235" i="5"/>
  <c r="L1235" i="5"/>
  <c r="K1235" i="5"/>
  <c r="J1235" i="5"/>
  <c r="I1235" i="5"/>
  <c r="H1235" i="5"/>
  <c r="G1235" i="5"/>
  <c r="F1235" i="5"/>
  <c r="E1235" i="5"/>
  <c r="CD1234" i="5"/>
  <c r="CC1234" i="5"/>
  <c r="CB1234" i="5"/>
  <c r="CA1234" i="5"/>
  <c r="BZ1234" i="5"/>
  <c r="BY1234" i="5"/>
  <c r="BX1234" i="5"/>
  <c r="BW1234" i="5"/>
  <c r="BV1234" i="5"/>
  <c r="BU1234" i="5"/>
  <c r="BT1234" i="5"/>
  <c r="BS1234" i="5"/>
  <c r="BR1234" i="5"/>
  <c r="BQ1234" i="5"/>
  <c r="BP1234" i="5"/>
  <c r="BO1234" i="5"/>
  <c r="BN1234" i="5"/>
  <c r="BM1234" i="5"/>
  <c r="BL1234" i="5"/>
  <c r="BK1234" i="5"/>
  <c r="BJ1234" i="5"/>
  <c r="BI1234" i="5"/>
  <c r="BH1234" i="5"/>
  <c r="BG1234" i="5"/>
  <c r="BF1234" i="5"/>
  <c r="BE1234" i="5"/>
  <c r="BD1234" i="5"/>
  <c r="BC1234" i="5"/>
  <c r="BB1234" i="5"/>
  <c r="BA1234" i="5"/>
  <c r="AZ1234" i="5"/>
  <c r="AY1234" i="5"/>
  <c r="AX1234" i="5"/>
  <c r="AW1234" i="5"/>
  <c r="AV1234" i="5"/>
  <c r="AU1234" i="5"/>
  <c r="AT1234" i="5"/>
  <c r="AS1234" i="5"/>
  <c r="AR1234" i="5"/>
  <c r="AQ1234" i="5"/>
  <c r="AP1234" i="5"/>
  <c r="AO1234" i="5"/>
  <c r="AN1234" i="5"/>
  <c r="AM1234" i="5"/>
  <c r="AL1234" i="5"/>
  <c r="AK1234" i="5"/>
  <c r="AJ1234" i="5"/>
  <c r="AI1234" i="5"/>
  <c r="AH1234" i="5"/>
  <c r="AG1234" i="5"/>
  <c r="AF1234" i="5"/>
  <c r="AE1234" i="5"/>
  <c r="AD1234" i="5"/>
  <c r="AC1234" i="5"/>
  <c r="AB1234" i="5"/>
  <c r="AA1234" i="5"/>
  <c r="Z1234" i="5"/>
  <c r="Y1234" i="5"/>
  <c r="X1234" i="5"/>
  <c r="W1234" i="5"/>
  <c r="V1234" i="5"/>
  <c r="U1234" i="5"/>
  <c r="T1234" i="5"/>
  <c r="S1234" i="5"/>
  <c r="R1234" i="5"/>
  <c r="Q1234" i="5"/>
  <c r="P1234" i="5"/>
  <c r="O1234" i="5"/>
  <c r="N1234" i="5"/>
  <c r="M1234" i="5"/>
  <c r="L1234" i="5"/>
  <c r="K1234" i="5"/>
  <c r="J1234" i="5"/>
  <c r="I1234" i="5"/>
  <c r="H1234" i="5"/>
  <c r="G1234" i="5"/>
  <c r="F1234" i="5"/>
  <c r="E1234" i="5"/>
  <c r="ID1227" i="5"/>
  <c r="ID1226" i="5"/>
  <c r="ID1224" i="5"/>
  <c r="ID1223" i="5"/>
  <c r="ID1222" i="5"/>
  <c r="ID1221" i="5"/>
  <c r="ID1219" i="5"/>
  <c r="ID1217" i="5"/>
  <c r="ID1216" i="5"/>
  <c r="ID1214" i="5"/>
  <c r="ID1213" i="5"/>
  <c r="ID1212" i="5"/>
  <c r="ID1210" i="5"/>
  <c r="ID1209" i="5"/>
  <c r="ID1208" i="5"/>
  <c r="ID1207" i="5"/>
  <c r="ID1206" i="5"/>
  <c r="ID1205" i="5"/>
  <c r="ID1203" i="5"/>
  <c r="D1201" i="5"/>
  <c r="ID1201" i="5" s="1"/>
  <c r="D1199" i="5"/>
  <c r="ID1199" i="5" s="1"/>
  <c r="DT1197" i="5"/>
  <c r="DS1197" i="5"/>
  <c r="DR1197" i="5"/>
  <c r="DQ1197" i="5"/>
  <c r="DP1197" i="5"/>
  <c r="DO1197" i="5"/>
  <c r="DN1197" i="5"/>
  <c r="IJ1197" i="5" s="1"/>
  <c r="DM1197" i="5"/>
  <c r="DL1197" i="5"/>
  <c r="DK1197" i="5"/>
  <c r="DJ1197" i="5"/>
  <c r="DI1197" i="5"/>
  <c r="DH1197" i="5"/>
  <c r="D1197" i="5"/>
  <c r="ID1197" i="5" s="1"/>
  <c r="ID1195" i="5"/>
  <c r="DT1193" i="5"/>
  <c r="DS1193" i="5"/>
  <c r="DR1193" i="5"/>
  <c r="DQ1193" i="5"/>
  <c r="DP1193" i="5"/>
  <c r="DO1193" i="5"/>
  <c r="DN1193" i="5"/>
  <c r="IJ1193" i="5" s="1"/>
  <c r="AA1800" i="2" s="1"/>
  <c r="DM1193" i="5"/>
  <c r="DL1193" i="5"/>
  <c r="DK1193" i="5"/>
  <c r="DJ1193" i="5"/>
  <c r="DI1193" i="5"/>
  <c r="DH1193" i="5"/>
  <c r="Z1800" i="2" s="1"/>
  <c r="DG1193" i="5"/>
  <c r="DF1193" i="5"/>
  <c r="DE1193" i="5"/>
  <c r="DD1193" i="5"/>
  <c r="DC1193" i="5"/>
  <c r="DB1193" i="5"/>
  <c r="DA1193" i="5"/>
  <c r="CZ1193" i="5"/>
  <c r="CY1193" i="5"/>
  <c r="CX1193" i="5"/>
  <c r="CW1193" i="5"/>
  <c r="CV1193" i="5"/>
  <c r="CU1193" i="5"/>
  <c r="CT1193" i="5"/>
  <c r="CS1193" i="5"/>
  <c r="CR1193" i="5"/>
  <c r="CQ1193" i="5"/>
  <c r="CP1193" i="5"/>
  <c r="CJ1193" i="5"/>
  <c r="X1800" i="2" s="1"/>
  <c r="D1193" i="5"/>
  <c r="DT1192" i="5"/>
  <c r="DS1192" i="5"/>
  <c r="DR1192" i="5"/>
  <c r="DQ1192" i="5"/>
  <c r="DP1192" i="5"/>
  <c r="DO1192" i="5"/>
  <c r="DN1192" i="5"/>
  <c r="IJ1192" i="5" s="1"/>
  <c r="AA1799" i="2" s="1"/>
  <c r="DM1192" i="5"/>
  <c r="DL1192" i="5"/>
  <c r="DK1192" i="5"/>
  <c r="DJ1192" i="5"/>
  <c r="DI1192" i="5"/>
  <c r="DH1192" i="5"/>
  <c r="Z1799" i="2" s="1"/>
  <c r="DG1192" i="5"/>
  <c r="DF1192" i="5"/>
  <c r="DE1192" i="5"/>
  <c r="DD1192" i="5"/>
  <c r="DC1192" i="5"/>
  <c r="DB1192" i="5"/>
  <c r="IG1192" i="5" s="1"/>
  <c r="DA1192" i="5"/>
  <c r="CZ1192" i="5"/>
  <c r="CY1192" i="5"/>
  <c r="CX1192" i="5"/>
  <c r="CW1192" i="5"/>
  <c r="CV1192" i="5"/>
  <c r="Y1799" i="2" s="1"/>
  <c r="CU1192" i="5"/>
  <c r="CT1192" i="5"/>
  <c r="CS1192" i="5"/>
  <c r="CR1192" i="5"/>
  <c r="CQ1192" i="5"/>
  <c r="CP1192" i="5"/>
  <c r="CJ1192" i="5"/>
  <c r="X1799" i="2" s="1"/>
  <c r="D1192" i="5"/>
  <c r="ID1191" i="5"/>
  <c r="IJ1190" i="5"/>
  <c r="DT1189" i="5"/>
  <c r="DS1189" i="5"/>
  <c r="DR1189" i="5"/>
  <c r="DQ1189" i="5"/>
  <c r="DP1189" i="5"/>
  <c r="DO1189" i="5"/>
  <c r="DN1189" i="5"/>
  <c r="IJ1189" i="5" s="1"/>
  <c r="AA1796" i="2" s="1"/>
  <c r="DM1189" i="5"/>
  <c r="DL1189" i="5"/>
  <c r="DK1189" i="5"/>
  <c r="DJ1189" i="5"/>
  <c r="DI1189" i="5"/>
  <c r="DH1189" i="5"/>
  <c r="DG1189" i="5"/>
  <c r="DF1189" i="5"/>
  <c r="DE1189" i="5"/>
  <c r="DD1189" i="5"/>
  <c r="DC1189" i="5"/>
  <c r="DB1189" i="5"/>
  <c r="DA1189" i="5"/>
  <c r="CZ1189" i="5"/>
  <c r="CY1189" i="5"/>
  <c r="CX1189" i="5"/>
  <c r="CW1189" i="5"/>
  <c r="CV1189" i="5"/>
  <c r="Y1796" i="2" s="1"/>
  <c r="CU1189" i="5"/>
  <c r="CT1189" i="5"/>
  <c r="CS1189" i="5"/>
  <c r="CR1189" i="5"/>
  <c r="CQ1189" i="5"/>
  <c r="CP1189" i="5"/>
  <c r="CJ1189" i="5"/>
  <c r="D1189" i="5"/>
  <c r="DT1188" i="5"/>
  <c r="DS1188" i="5"/>
  <c r="DR1188" i="5"/>
  <c r="DQ1188" i="5"/>
  <c r="DP1188" i="5"/>
  <c r="DO1188" i="5"/>
  <c r="DN1188" i="5"/>
  <c r="DM1188" i="5"/>
  <c r="DL1188" i="5"/>
  <c r="DK1188" i="5"/>
  <c r="DJ1188" i="5"/>
  <c r="DI1188" i="5"/>
  <c r="DH1188" i="5"/>
  <c r="Z1795" i="2" s="1"/>
  <c r="DG1188" i="5"/>
  <c r="DF1188" i="5"/>
  <c r="DE1188" i="5"/>
  <c r="DD1188" i="5"/>
  <c r="DC1188" i="5"/>
  <c r="DB1188" i="5"/>
  <c r="IG1188" i="5" s="1"/>
  <c r="DA1188" i="5"/>
  <c r="CZ1188" i="5"/>
  <c r="CY1188" i="5"/>
  <c r="CX1188" i="5"/>
  <c r="CW1188" i="5"/>
  <c r="CV1188" i="5"/>
  <c r="CU1188" i="5"/>
  <c r="CT1188" i="5"/>
  <c r="CS1188" i="5"/>
  <c r="CR1188" i="5"/>
  <c r="CQ1188" i="5"/>
  <c r="CP1188" i="5"/>
  <c r="CJ1188" i="5"/>
  <c r="X1795" i="2" s="1"/>
  <c r="D1188" i="5"/>
  <c r="ID1187" i="5"/>
  <c r="DT1186" i="5"/>
  <c r="DS1186" i="5"/>
  <c r="DR1186" i="5"/>
  <c r="DQ1186" i="5"/>
  <c r="DP1186" i="5"/>
  <c r="DO1186" i="5"/>
  <c r="DN1186" i="5"/>
  <c r="IJ1186" i="5" s="1"/>
  <c r="AA1793" i="2" s="1"/>
  <c r="DM1186" i="5"/>
  <c r="DL1186" i="5"/>
  <c r="DK1186" i="5"/>
  <c r="DJ1186" i="5"/>
  <c r="DI1186" i="5"/>
  <c r="DH1186" i="5"/>
  <c r="Z1793" i="2" s="1"/>
  <c r="DG1186" i="5"/>
  <c r="DF1186" i="5"/>
  <c r="DE1186" i="5"/>
  <c r="DD1186" i="5"/>
  <c r="DC1186" i="5"/>
  <c r="DB1186" i="5"/>
  <c r="IG1186" i="5" s="1"/>
  <c r="DA1186" i="5"/>
  <c r="CZ1186" i="5"/>
  <c r="CY1186" i="5"/>
  <c r="CX1186" i="5"/>
  <c r="CW1186" i="5"/>
  <c r="CV1186" i="5"/>
  <c r="CU1186" i="5"/>
  <c r="CT1186" i="5"/>
  <c r="CS1186" i="5"/>
  <c r="CR1186" i="5"/>
  <c r="CQ1186" i="5"/>
  <c r="CP1186" i="5"/>
  <c r="CJ1186" i="5"/>
  <c r="X1793" i="2" s="1"/>
  <c r="D1186" i="5"/>
  <c r="DT1185" i="5"/>
  <c r="DS1185" i="5"/>
  <c r="DR1185" i="5"/>
  <c r="DQ1185" i="5"/>
  <c r="DP1185" i="5"/>
  <c r="DO1185" i="5"/>
  <c r="DN1185" i="5"/>
  <c r="IJ1185" i="5" s="1"/>
  <c r="AA1792" i="2" s="1"/>
  <c r="DM1185" i="5"/>
  <c r="DL1185" i="5"/>
  <c r="DK1185" i="5"/>
  <c r="DJ1185" i="5"/>
  <c r="DI1185" i="5"/>
  <c r="DH1185" i="5"/>
  <c r="DG1185" i="5"/>
  <c r="DF1185" i="5"/>
  <c r="DE1185" i="5"/>
  <c r="DD1185" i="5"/>
  <c r="DC1185" i="5"/>
  <c r="DB1185" i="5"/>
  <c r="DA1185" i="5"/>
  <c r="CZ1185" i="5"/>
  <c r="CY1185" i="5"/>
  <c r="CX1185" i="5"/>
  <c r="CW1185" i="5"/>
  <c r="CV1185" i="5"/>
  <c r="Y1792" i="2" s="1"/>
  <c r="CU1185" i="5"/>
  <c r="CT1185" i="5"/>
  <c r="CS1185" i="5"/>
  <c r="CR1185" i="5"/>
  <c r="CQ1185" i="5"/>
  <c r="CP1185" i="5"/>
  <c r="CJ1185" i="5"/>
  <c r="X1792" i="2" s="1"/>
  <c r="D1185" i="5"/>
  <c r="D1184" i="5"/>
  <c r="ID1184" i="5" s="1"/>
  <c r="ID1183" i="5"/>
  <c r="DT1181" i="5"/>
  <c r="DS1181" i="5"/>
  <c r="DR1181" i="5"/>
  <c r="DQ1181" i="5"/>
  <c r="DP1181" i="5"/>
  <c r="DO1181" i="5"/>
  <c r="DN1181" i="5"/>
  <c r="IJ1181" i="5" s="1"/>
  <c r="AA1788" i="2" s="1"/>
  <c r="DM1181" i="5"/>
  <c r="DL1181" i="5"/>
  <c r="DK1181" i="5"/>
  <c r="DJ1181" i="5"/>
  <c r="DI1181" i="5"/>
  <c r="DH1181" i="5"/>
  <c r="Z1788" i="2" s="1"/>
  <c r="DG1181" i="5"/>
  <c r="DF1181" i="5"/>
  <c r="DE1181" i="5"/>
  <c r="DD1181" i="5"/>
  <c r="DC1181" i="5"/>
  <c r="DB1181" i="5"/>
  <c r="IG1181" i="5" s="1"/>
  <c r="DA1181" i="5"/>
  <c r="CZ1181" i="5"/>
  <c r="CY1181" i="5"/>
  <c r="CX1181" i="5"/>
  <c r="CW1181" i="5"/>
  <c r="CV1181" i="5"/>
  <c r="Y1788" i="2" s="1"/>
  <c r="CU1181" i="5"/>
  <c r="CT1181" i="5"/>
  <c r="CS1181" i="5"/>
  <c r="CR1181" i="5"/>
  <c r="CQ1181" i="5"/>
  <c r="CP1181" i="5"/>
  <c r="CJ1181" i="5"/>
  <c r="X1788" i="2" s="1"/>
  <c r="D1181" i="5"/>
  <c r="DT1180" i="5"/>
  <c r="DS1180" i="5"/>
  <c r="DR1180" i="5"/>
  <c r="DQ1180" i="5"/>
  <c r="DP1180" i="5"/>
  <c r="DO1180" i="5"/>
  <c r="DN1180" i="5"/>
  <c r="IJ1180" i="5" s="1"/>
  <c r="AA1787" i="2" s="1"/>
  <c r="DM1180" i="5"/>
  <c r="DL1180" i="5"/>
  <c r="DK1180" i="5"/>
  <c r="DJ1180" i="5"/>
  <c r="DI1180" i="5"/>
  <c r="DH1180" i="5"/>
  <c r="Z1787" i="2" s="1"/>
  <c r="DG1180" i="5"/>
  <c r="DF1180" i="5"/>
  <c r="DE1180" i="5"/>
  <c r="DD1180" i="5"/>
  <c r="DC1180" i="5"/>
  <c r="DB1180" i="5"/>
  <c r="IG1180" i="5" s="1"/>
  <c r="DA1180" i="5"/>
  <c r="CZ1180" i="5"/>
  <c r="CY1180" i="5"/>
  <c r="CX1180" i="5"/>
  <c r="CW1180" i="5"/>
  <c r="CV1180" i="5"/>
  <c r="CU1180" i="5"/>
  <c r="CT1180" i="5"/>
  <c r="CS1180" i="5"/>
  <c r="CR1180" i="5"/>
  <c r="CQ1180" i="5"/>
  <c r="CP1180" i="5"/>
  <c r="CJ1180" i="5"/>
  <c r="X1787" i="2" s="1"/>
  <c r="D1180" i="5"/>
  <c r="DT1179" i="5"/>
  <c r="DS1179" i="5"/>
  <c r="DR1179" i="5"/>
  <c r="DQ1179" i="5"/>
  <c r="DP1179" i="5"/>
  <c r="DO1179" i="5"/>
  <c r="DN1179" i="5"/>
  <c r="DM1179" i="5"/>
  <c r="DL1179" i="5"/>
  <c r="DK1179" i="5"/>
  <c r="DJ1179" i="5"/>
  <c r="DI1179" i="5"/>
  <c r="DH1179" i="5"/>
  <c r="DG1179" i="5"/>
  <c r="DF1179" i="5"/>
  <c r="DE1179" i="5"/>
  <c r="DD1179" i="5"/>
  <c r="DC1179" i="5"/>
  <c r="DB1179" i="5"/>
  <c r="DA1179" i="5"/>
  <c r="CZ1179" i="5"/>
  <c r="CY1179" i="5"/>
  <c r="CX1179" i="5"/>
  <c r="CW1179" i="5"/>
  <c r="CV1179" i="5"/>
  <c r="Y1786" i="2" s="1"/>
  <c r="CU1179" i="5"/>
  <c r="CT1179" i="5"/>
  <c r="CS1179" i="5"/>
  <c r="CR1179" i="5"/>
  <c r="CQ1179" i="5"/>
  <c r="CP1179" i="5"/>
  <c r="CJ1179" i="5"/>
  <c r="X1786" i="2" s="1"/>
  <c r="D1179" i="5"/>
  <c r="D1786" i="2" s="1"/>
  <c r="ID1178" i="5"/>
  <c r="ID1177" i="5"/>
  <c r="DT1177" i="5"/>
  <c r="DS1177" i="5"/>
  <c r="DR1177" i="5"/>
  <c r="DQ1177" i="5"/>
  <c r="DP1177" i="5"/>
  <c r="DO1177" i="5"/>
  <c r="DN1177" i="5"/>
  <c r="DM1177" i="5"/>
  <c r="DL1177" i="5"/>
  <c r="DK1177" i="5"/>
  <c r="DJ1177" i="5"/>
  <c r="DI1177" i="5"/>
  <c r="DH1177" i="5"/>
  <c r="DG1177" i="5"/>
  <c r="DF1177" i="5"/>
  <c r="DE1177" i="5"/>
  <c r="DD1177" i="5"/>
  <c r="DC1177" i="5"/>
  <c r="DB1177" i="5"/>
  <c r="IG1177" i="5" s="1"/>
  <c r="DA1177" i="5"/>
  <c r="CZ1177" i="5"/>
  <c r="CY1177" i="5"/>
  <c r="CX1177" i="5"/>
  <c r="CW1177" i="5"/>
  <c r="CV1177" i="5"/>
  <c r="Y1784" i="2" s="1"/>
  <c r="CU1177" i="5"/>
  <c r="CT1177" i="5"/>
  <c r="CS1177" i="5"/>
  <c r="CR1177" i="5"/>
  <c r="CQ1177" i="5"/>
  <c r="CP1177" i="5"/>
  <c r="CJ1177" i="5"/>
  <c r="ID1176" i="5"/>
  <c r="DT1176" i="5"/>
  <c r="DS1176" i="5"/>
  <c r="DR1176" i="5"/>
  <c r="DQ1176" i="5"/>
  <c r="DP1176" i="5"/>
  <c r="DO1176" i="5"/>
  <c r="DN1176" i="5"/>
  <c r="IJ1176" i="5" s="1"/>
  <c r="AA1783" i="2" s="1"/>
  <c r="DM1176" i="5"/>
  <c r="DL1176" i="5"/>
  <c r="DK1176" i="5"/>
  <c r="DJ1176" i="5"/>
  <c r="DI1176" i="5"/>
  <c r="DH1176" i="5"/>
  <c r="Z1783" i="2" s="1"/>
  <c r="DG1176" i="5"/>
  <c r="DF1176" i="5"/>
  <c r="DE1176" i="5"/>
  <c r="DD1176" i="5"/>
  <c r="DC1176" i="5"/>
  <c r="DB1176" i="5"/>
  <c r="DA1176" i="5"/>
  <c r="CZ1176" i="5"/>
  <c r="CY1176" i="5"/>
  <c r="CX1176" i="5"/>
  <c r="CW1176" i="5"/>
  <c r="CV1176" i="5"/>
  <c r="CU1176" i="5"/>
  <c r="CT1176" i="5"/>
  <c r="CS1176" i="5"/>
  <c r="CR1176" i="5"/>
  <c r="CQ1176" i="5"/>
  <c r="CP1176" i="5"/>
  <c r="CJ1176" i="5"/>
  <c r="X1783" i="2" s="1"/>
  <c r="ID1175" i="5"/>
  <c r="ID1174" i="5"/>
  <c r="ID1173" i="5"/>
  <c r="ID1171" i="5"/>
  <c r="ID1170" i="5"/>
  <c r="DT1170" i="5"/>
  <c r="DS1170" i="5"/>
  <c r="DR1170" i="5"/>
  <c r="DQ1170" i="5"/>
  <c r="DP1170" i="5"/>
  <c r="DO1170" i="5"/>
  <c r="DN1170" i="5"/>
  <c r="DM1170" i="5"/>
  <c r="DL1170" i="5"/>
  <c r="DK1170" i="5"/>
  <c r="DJ1170" i="5"/>
  <c r="DI1170" i="5"/>
  <c r="DH1170" i="5"/>
  <c r="Z1777" i="2" s="1"/>
  <c r="DG1170" i="5"/>
  <c r="DF1170" i="5"/>
  <c r="DE1170" i="5"/>
  <c r="DD1170" i="5"/>
  <c r="DC1170" i="5"/>
  <c r="DB1170" i="5"/>
  <c r="IG1170" i="5" s="1"/>
  <c r="DA1170" i="5"/>
  <c r="CZ1170" i="5"/>
  <c r="CY1170" i="5"/>
  <c r="CX1170" i="5"/>
  <c r="CW1170" i="5"/>
  <c r="CV1170" i="5"/>
  <c r="Y1777" i="2" s="1"/>
  <c r="CU1170" i="5"/>
  <c r="CT1170" i="5"/>
  <c r="CS1170" i="5"/>
  <c r="CR1170" i="5"/>
  <c r="CQ1170" i="5"/>
  <c r="CP1170" i="5"/>
  <c r="CJ1170" i="5"/>
  <c r="X1777" i="2" s="1"/>
  <c r="ID1169" i="5"/>
  <c r="DT1169" i="5"/>
  <c r="DS1169" i="5"/>
  <c r="DR1169" i="5"/>
  <c r="DQ1169" i="5"/>
  <c r="DP1169" i="5"/>
  <c r="DO1169" i="5"/>
  <c r="DN1169" i="5"/>
  <c r="IJ1169" i="5" s="1"/>
  <c r="AA1776" i="2" s="1"/>
  <c r="DM1169" i="5"/>
  <c r="DL1169" i="5"/>
  <c r="DK1169" i="5"/>
  <c r="DJ1169" i="5"/>
  <c r="DI1169" i="5"/>
  <c r="DH1169" i="5"/>
  <c r="DG1169" i="5"/>
  <c r="DF1169" i="5"/>
  <c r="DE1169" i="5"/>
  <c r="DD1169" i="5"/>
  <c r="DC1169" i="5"/>
  <c r="DB1169" i="5"/>
  <c r="IG1169" i="5" s="1"/>
  <c r="DA1169" i="5"/>
  <c r="CZ1169" i="5"/>
  <c r="CY1169" i="5"/>
  <c r="CX1169" i="5"/>
  <c r="CW1169" i="5"/>
  <c r="CV1169" i="5"/>
  <c r="CU1169" i="5"/>
  <c r="CT1169" i="5"/>
  <c r="CS1169" i="5"/>
  <c r="CR1169" i="5"/>
  <c r="CQ1169" i="5"/>
  <c r="CP1169" i="5"/>
  <c r="CJ1169" i="5"/>
  <c r="ID1168" i="5"/>
  <c r="DZ1166" i="5"/>
  <c r="DY1166" i="5"/>
  <c r="DX1166" i="5"/>
  <c r="DW1166" i="5"/>
  <c r="DV1166" i="5"/>
  <c r="DU1166" i="5"/>
  <c r="DT1166" i="5"/>
  <c r="DS1166" i="5"/>
  <c r="DR1166" i="5"/>
  <c r="DQ1166" i="5"/>
  <c r="DP1166" i="5"/>
  <c r="DO1166" i="5"/>
  <c r="DN1166" i="5"/>
  <c r="DM1166" i="5"/>
  <c r="DL1166" i="5"/>
  <c r="DK1166" i="5"/>
  <c r="DJ1166" i="5"/>
  <c r="DI1166" i="5"/>
  <c r="DH1166" i="5"/>
  <c r="DG1166" i="5"/>
  <c r="DF1166" i="5"/>
  <c r="DE1166" i="5"/>
  <c r="DD1166" i="5"/>
  <c r="DC1166" i="5"/>
  <c r="DB1166" i="5"/>
  <c r="DA1166" i="5"/>
  <c r="CZ1166" i="5"/>
  <c r="CY1166" i="5"/>
  <c r="CX1166" i="5"/>
  <c r="CW1166" i="5"/>
  <c r="CV1166" i="5"/>
  <c r="CU1166" i="5"/>
  <c r="CT1166" i="5"/>
  <c r="CS1166" i="5"/>
  <c r="CR1166" i="5"/>
  <c r="CQ1166" i="5"/>
  <c r="CP1166" i="5"/>
  <c r="CO1166" i="5"/>
  <c r="CN1166" i="5"/>
  <c r="CM1166" i="5"/>
  <c r="CL1166" i="5"/>
  <c r="CK1166" i="5"/>
  <c r="CJ1166" i="5"/>
  <c r="IJ1165" i="5"/>
  <c r="IG1165" i="5"/>
  <c r="IV1164" i="5"/>
  <c r="IS1164" i="5"/>
  <c r="IP1164" i="5"/>
  <c r="IO1164" i="5"/>
  <c r="IN1164" i="5"/>
  <c r="IM1164" i="5"/>
  <c r="IL1164" i="5"/>
  <c r="IK1164" i="5"/>
  <c r="IJ1164" i="5"/>
  <c r="II1164" i="5"/>
  <c r="IH1164" i="5"/>
  <c r="IG1164" i="5"/>
  <c r="ID1164" i="5"/>
  <c r="H56" i="1" s="1"/>
  <c r="D1164" i="5"/>
  <c r="DF1101" i="5"/>
  <c r="DE1101" i="5"/>
  <c r="DD1101" i="5"/>
  <c r="DC1101" i="5"/>
  <c r="DB1101" i="5"/>
  <c r="DA1101" i="5"/>
  <c r="CZ1101" i="5"/>
  <c r="CY1101" i="5"/>
  <c r="CX1101" i="5"/>
  <c r="CW1101" i="5"/>
  <c r="CV1101" i="5"/>
  <c r="CU1101" i="5"/>
  <c r="CT1101" i="5"/>
  <c r="CS1101" i="5"/>
  <c r="CR1101" i="5"/>
  <c r="CQ1101" i="5"/>
  <c r="CP1101" i="5"/>
  <c r="CJ1101" i="5"/>
  <c r="GH1098" i="5"/>
  <c r="GG1098" i="5"/>
  <c r="GF1098" i="5"/>
  <c r="GE1098" i="5"/>
  <c r="GD1098" i="5"/>
  <c r="GC1098" i="5"/>
  <c r="GB1098" i="5"/>
  <c r="GA1098" i="5"/>
  <c r="FZ1098" i="5"/>
  <c r="FY1098" i="5"/>
  <c r="FX1098" i="5"/>
  <c r="FW1098" i="5"/>
  <c r="D1098" i="5"/>
  <c r="D1474" i="2" s="1"/>
  <c r="GH1097" i="5"/>
  <c r="GG1097" i="5"/>
  <c r="GF1097" i="5"/>
  <c r="GE1097" i="5"/>
  <c r="GD1097" i="5"/>
  <c r="GC1097" i="5"/>
  <c r="GB1097" i="5"/>
  <c r="GA1097" i="5"/>
  <c r="FZ1097" i="5"/>
  <c r="FY1097" i="5"/>
  <c r="FX1097" i="5"/>
  <c r="FW1097" i="5"/>
  <c r="D1097" i="5"/>
  <c r="D1469" i="2" s="1"/>
  <c r="GH1096" i="5"/>
  <c r="GG1096" i="5"/>
  <c r="GF1096" i="5"/>
  <c r="GE1096" i="5"/>
  <c r="GD1096" i="5"/>
  <c r="GC1096" i="5"/>
  <c r="GB1096" i="5"/>
  <c r="GA1096" i="5"/>
  <c r="FZ1096" i="5"/>
  <c r="FY1096" i="5"/>
  <c r="FX1096" i="5"/>
  <c r="FW1096" i="5"/>
  <c r="D1096" i="5"/>
  <c r="D1468" i="2" s="1"/>
  <c r="GH1095" i="5"/>
  <c r="GG1095" i="5"/>
  <c r="GF1095" i="5"/>
  <c r="GE1095" i="5"/>
  <c r="GD1095" i="5"/>
  <c r="GC1095" i="5"/>
  <c r="GB1095" i="5"/>
  <c r="GA1095" i="5"/>
  <c r="FZ1095" i="5"/>
  <c r="FY1095" i="5"/>
  <c r="FX1095" i="5"/>
  <c r="FW1095" i="5"/>
  <c r="AL1095" i="5"/>
  <c r="D1095" i="5"/>
  <c r="D1467" i="2" s="1"/>
  <c r="LB1094" i="5"/>
  <c r="LA1094" i="5"/>
  <c r="KZ1094" i="5"/>
  <c r="KY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FE1094" i="5"/>
  <c r="FD1094" i="5"/>
  <c r="FC1094" i="5"/>
  <c r="FB1094" i="5"/>
  <c r="FA1094"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DQ1094" i="5"/>
  <c r="DP1094" i="5"/>
  <c r="DO1094" i="5"/>
  <c r="DN1094" i="5"/>
  <c r="DM1094"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CC1094" i="5"/>
  <c r="CB1094" i="5"/>
  <c r="CA1094" i="5"/>
  <c r="BZ1094" i="5"/>
  <c r="BY1094"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AO1094" i="5"/>
  <c r="AN1094" i="5"/>
  <c r="AM1094" i="5"/>
  <c r="AL1094" i="5"/>
  <c r="AK1094" i="5"/>
  <c r="AJ1094" i="5"/>
  <c r="AI1094" i="5"/>
  <c r="AH1094" i="5"/>
  <c r="AG1094" i="5"/>
  <c r="AF1094" i="5"/>
  <c r="AE1094" i="5"/>
  <c r="AD1094" i="5"/>
  <c r="AC1094" i="5"/>
  <c r="AB1094" i="5"/>
  <c r="AA1094" i="5"/>
  <c r="Z1094" i="5"/>
  <c r="Y1094" i="5"/>
  <c r="X1094" i="5"/>
  <c r="W1094" i="5"/>
  <c r="V1094" i="5"/>
  <c r="U1094" i="5"/>
  <c r="T1094" i="5"/>
  <c r="S1094" i="5"/>
  <c r="R1094" i="5"/>
  <c r="Q1094" i="5"/>
  <c r="P1094" i="5"/>
  <c r="O1094" i="5"/>
  <c r="N1094" i="5"/>
  <c r="M1094" i="5"/>
  <c r="L1094" i="5"/>
  <c r="K1094" i="5"/>
  <c r="J1094" i="5"/>
  <c r="I1094" i="5"/>
  <c r="H1094" i="5"/>
  <c r="G1094" i="5"/>
  <c r="F1094" i="5"/>
  <c r="E1094" i="5"/>
  <c r="D1094" i="5"/>
  <c r="D1466" i="2" s="1"/>
  <c r="GH1093" i="5"/>
  <c r="GG1093" i="5"/>
  <c r="GF1093" i="5"/>
  <c r="GE1093" i="5"/>
  <c r="GD1093" i="5"/>
  <c r="GC1093" i="5"/>
  <c r="GB1093" i="5"/>
  <c r="GA1093" i="5"/>
  <c r="FZ1093" i="5"/>
  <c r="FY1093" i="5"/>
  <c r="FX1093" i="5"/>
  <c r="FW1093" i="5"/>
  <c r="D1093" i="5"/>
  <c r="D1464" i="2" s="1"/>
  <c r="GH1092" i="5"/>
  <c r="GG1092" i="5"/>
  <c r="GF1092" i="5"/>
  <c r="GE1092" i="5"/>
  <c r="GD1092" i="5"/>
  <c r="GC1092" i="5"/>
  <c r="GB1092" i="5"/>
  <c r="GA1092" i="5"/>
  <c r="FZ1092" i="5"/>
  <c r="FY1092" i="5"/>
  <c r="FX1092" i="5"/>
  <c r="FW1092" i="5"/>
  <c r="D1092" i="5"/>
  <c r="D1463" i="2" s="1"/>
  <c r="GH1091" i="5"/>
  <c r="GG1091" i="5"/>
  <c r="GF1091" i="5"/>
  <c r="GE1091" i="5"/>
  <c r="GD1091" i="5"/>
  <c r="GC1091" i="5"/>
  <c r="GB1091" i="5"/>
  <c r="GA1091" i="5"/>
  <c r="FZ1091" i="5"/>
  <c r="FY1091" i="5"/>
  <c r="FX1091" i="5"/>
  <c r="FW1091" i="5"/>
  <c r="D1091" i="5"/>
  <c r="D1445" i="2" s="1"/>
  <c r="GH1090" i="5"/>
  <c r="GG1090" i="5"/>
  <c r="GF1090" i="5"/>
  <c r="GE1090" i="5"/>
  <c r="GD1090" i="5"/>
  <c r="GC1090" i="5"/>
  <c r="GB1090" i="5"/>
  <c r="GA1090" i="5"/>
  <c r="FZ1090" i="5"/>
  <c r="FY1090" i="5"/>
  <c r="FX1090" i="5"/>
  <c r="FW1090" i="5"/>
  <c r="D1090" i="5"/>
  <c r="D1444" i="2" s="1"/>
  <c r="D1089" i="5"/>
  <c r="D1443" i="2" s="1"/>
  <c r="GH1088" i="5"/>
  <c r="GG1088" i="5"/>
  <c r="GF1088" i="5"/>
  <c r="GE1088" i="5"/>
  <c r="GD1088" i="5"/>
  <c r="GC1088" i="5"/>
  <c r="GB1088" i="5"/>
  <c r="GA1088" i="5"/>
  <c r="FZ1088" i="5"/>
  <c r="FY1088" i="5"/>
  <c r="FX1088" i="5"/>
  <c r="FW1088" i="5"/>
  <c r="CD1088" i="5"/>
  <c r="CC1088" i="5"/>
  <c r="CB1088" i="5"/>
  <c r="CA1088" i="5"/>
  <c r="BZ1088" i="5"/>
  <c r="BY1088" i="5"/>
  <c r="BX1088" i="5"/>
  <c r="BW1088" i="5"/>
  <c r="BV1088" i="5"/>
  <c r="BU1088" i="5"/>
  <c r="BT1088" i="5"/>
  <c r="BS1088" i="5"/>
  <c r="BR1088" i="5"/>
  <c r="BQ1088" i="5"/>
  <c r="BP1088" i="5"/>
  <c r="BO1088" i="5"/>
  <c r="BN1088" i="5"/>
  <c r="BM1088" i="5"/>
  <c r="BL1088" i="5"/>
  <c r="BK1088" i="5"/>
  <c r="BJ1088" i="5"/>
  <c r="BI1088" i="5"/>
  <c r="BH1088" i="5"/>
  <c r="BG1088" i="5"/>
  <c r="BF1088" i="5"/>
  <c r="BE1088" i="5"/>
  <c r="BD1088" i="5"/>
  <c r="BC1088" i="5"/>
  <c r="BB1088" i="5"/>
  <c r="BA1088" i="5"/>
  <c r="AZ1088" i="5"/>
  <c r="AY1088" i="5"/>
  <c r="AX1088" i="5"/>
  <c r="AW1088" i="5"/>
  <c r="AV1088" i="5"/>
  <c r="AU1088" i="5"/>
  <c r="AT1088" i="5"/>
  <c r="AS1088" i="5"/>
  <c r="AR1088" i="5"/>
  <c r="AQ1088" i="5"/>
  <c r="AP1088" i="5"/>
  <c r="AO1088" i="5"/>
  <c r="D1088" i="5"/>
  <c r="D1441" i="2" s="1"/>
  <c r="LB1087" i="5"/>
  <c r="LA1087" i="5"/>
  <c r="KZ1087" i="5"/>
  <c r="KY1087" i="5"/>
  <c r="DT1087" i="5"/>
  <c r="DS1087" i="5"/>
  <c r="DR1087" i="5"/>
  <c r="DQ1087" i="5"/>
  <c r="DP1087" i="5"/>
  <c r="DO1087" i="5"/>
  <c r="DN1087" i="5"/>
  <c r="DM1087" i="5"/>
  <c r="DL1087" i="5"/>
  <c r="DK1087" i="5"/>
  <c r="DJ1087" i="5"/>
  <c r="DI1087" i="5"/>
  <c r="DH1087" i="5"/>
  <c r="DG1087" i="5"/>
  <c r="DF1087" i="5"/>
  <c r="DE1087" i="5"/>
  <c r="DD1087" i="5"/>
  <c r="DC1087" i="5"/>
  <c r="CD1087" i="5"/>
  <c r="CC1087" i="5"/>
  <c r="CB1087" i="5"/>
  <c r="CA1087" i="5"/>
  <c r="BZ1087" i="5"/>
  <c r="BY1087" i="5"/>
  <c r="BX1087" i="5"/>
  <c r="BW1087" i="5"/>
  <c r="BV1087" i="5"/>
  <c r="BU1087" i="5"/>
  <c r="BT1087" i="5"/>
  <c r="BS1087" i="5"/>
  <c r="BR1087" i="5"/>
  <c r="BQ1087" i="5"/>
  <c r="BP1087" i="5"/>
  <c r="BO1087" i="5"/>
  <c r="BN1087" i="5"/>
  <c r="BM1087" i="5"/>
  <c r="BL1087" i="5"/>
  <c r="BK1087" i="5"/>
  <c r="BJ1087" i="5"/>
  <c r="BI1087" i="5"/>
  <c r="BH1087" i="5"/>
  <c r="BG1087" i="5"/>
  <c r="BF1087" i="5"/>
  <c r="BE1087" i="5"/>
  <c r="BD1087" i="5"/>
  <c r="BC1087" i="5"/>
  <c r="BB1087" i="5"/>
  <c r="BA1087" i="5"/>
  <c r="AZ1087" i="5"/>
  <c r="AY1087" i="5"/>
  <c r="AX1087" i="5"/>
  <c r="AW1087" i="5"/>
  <c r="AV1087" i="5"/>
  <c r="AU1087" i="5"/>
  <c r="AT1087" i="5"/>
  <c r="AS1087" i="5"/>
  <c r="AR1087" i="5"/>
  <c r="AQ1087" i="5"/>
  <c r="AP1087" i="5"/>
  <c r="AO1087" i="5"/>
  <c r="AN1087" i="5"/>
  <c r="AM1087" i="5"/>
  <c r="AL1087" i="5"/>
  <c r="AK1087" i="5"/>
  <c r="AJ1087" i="5"/>
  <c r="AI1087" i="5"/>
  <c r="AH1087" i="5"/>
  <c r="AG1087" i="5"/>
  <c r="AF1087" i="5"/>
  <c r="AE1087" i="5"/>
  <c r="AD1087" i="5"/>
  <c r="AC1087" i="5"/>
  <c r="AB1087" i="5"/>
  <c r="AA1087" i="5"/>
  <c r="Z1087" i="5"/>
  <c r="Y1087" i="5"/>
  <c r="X1087" i="5"/>
  <c r="W1087" i="5"/>
  <c r="V1087" i="5"/>
  <c r="U1087" i="5"/>
  <c r="T1087" i="5"/>
  <c r="S1087" i="5"/>
  <c r="R1087" i="5"/>
  <c r="Q1087" i="5"/>
  <c r="P1087" i="5"/>
  <c r="O1087" i="5"/>
  <c r="N1087" i="5"/>
  <c r="M1087" i="5"/>
  <c r="L1087" i="5"/>
  <c r="K1087" i="5"/>
  <c r="J1087" i="5"/>
  <c r="I1087" i="5"/>
  <c r="H1087" i="5"/>
  <c r="G1087" i="5"/>
  <c r="F1087" i="5"/>
  <c r="E1087" i="5"/>
  <c r="D1087" i="5"/>
  <c r="D1438" i="2" s="1"/>
  <c r="D1086" i="5"/>
  <c r="D1437" i="2" s="1"/>
  <c r="D1526" i="2" s="1"/>
  <c r="GH1085" i="5"/>
  <c r="GG1085" i="5"/>
  <c r="GF1085" i="5"/>
  <c r="GE1085" i="5"/>
  <c r="GD1085" i="5"/>
  <c r="GC1085" i="5"/>
  <c r="GB1085" i="5"/>
  <c r="GA1085" i="5"/>
  <c r="FZ1085" i="5"/>
  <c r="FY1085" i="5"/>
  <c r="FX1085" i="5"/>
  <c r="FW1085" i="5"/>
  <c r="D1085" i="5"/>
  <c r="D1436" i="2" s="1"/>
  <c r="GH1084" i="5"/>
  <c r="GG1084" i="5"/>
  <c r="GF1084" i="5"/>
  <c r="GE1084" i="5"/>
  <c r="GD1084" i="5"/>
  <c r="GC1084" i="5"/>
  <c r="GB1084" i="5"/>
  <c r="GA1084" i="5"/>
  <c r="FZ1084" i="5"/>
  <c r="FY1084" i="5"/>
  <c r="FX1084" i="5"/>
  <c r="FW1084" i="5"/>
  <c r="D1084" i="5"/>
  <c r="D1435" i="2" s="1"/>
  <c r="D1083" i="5"/>
  <c r="D1434" i="2" s="1"/>
  <c r="GH1082" i="5"/>
  <c r="GG1082" i="5"/>
  <c r="GF1082" i="5"/>
  <c r="GE1082" i="5"/>
  <c r="GD1082" i="5"/>
  <c r="GC1082" i="5"/>
  <c r="GB1082" i="5"/>
  <c r="GA1082" i="5"/>
  <c r="FZ1082" i="5"/>
  <c r="FY1082" i="5"/>
  <c r="FX1082" i="5"/>
  <c r="FW1082" i="5"/>
  <c r="D1082" i="5"/>
  <c r="D1421" i="2" s="1"/>
  <c r="GH1081" i="5"/>
  <c r="GG1081" i="5"/>
  <c r="GF1081" i="5"/>
  <c r="GE1081" i="5"/>
  <c r="GD1081" i="5"/>
  <c r="GB1081" i="5"/>
  <c r="GA1081" i="5"/>
  <c r="FZ1081" i="5"/>
  <c r="FY1081" i="5"/>
  <c r="FX1081" i="5"/>
  <c r="FW1081" i="5"/>
  <c r="D1081" i="5"/>
  <c r="D1415" i="2" s="1"/>
  <c r="LB1080" i="5"/>
  <c r="LA1080" i="5"/>
  <c r="KZ1080" i="5"/>
  <c r="KY1080" i="5"/>
  <c r="GH1080" i="5"/>
  <c r="GG1080" i="5"/>
  <c r="GF1080" i="5"/>
  <c r="GE1080" i="5"/>
  <c r="GD1080" i="5"/>
  <c r="GC1080" i="5"/>
  <c r="GB1080" i="5"/>
  <c r="GA1080" i="5"/>
  <c r="FZ1080" i="5"/>
  <c r="FY1080" i="5"/>
  <c r="FX1080" i="5"/>
  <c r="FW1080" i="5"/>
  <c r="CD1080" i="5"/>
  <c r="CC1080" i="5"/>
  <c r="CB1080" i="5"/>
  <c r="CA1080" i="5"/>
  <c r="BZ1080" i="5"/>
  <c r="BY1080" i="5"/>
  <c r="BX1080" i="5"/>
  <c r="BW1080" i="5"/>
  <c r="BV1080" i="5"/>
  <c r="BU1080" i="5"/>
  <c r="BT1080" i="5"/>
  <c r="BS1080" i="5"/>
  <c r="BR1080" i="5"/>
  <c r="BQ1080" i="5"/>
  <c r="BP1080" i="5"/>
  <c r="BO1080" i="5"/>
  <c r="BN1080" i="5"/>
  <c r="BM1080" i="5"/>
  <c r="BL1080" i="5"/>
  <c r="BK1080" i="5"/>
  <c r="BJ1080" i="5"/>
  <c r="BI1080" i="5"/>
  <c r="BH1080" i="5"/>
  <c r="BG1080" i="5"/>
  <c r="BF1080" i="5"/>
  <c r="BE1080" i="5"/>
  <c r="BD1080" i="5"/>
  <c r="BC1080" i="5"/>
  <c r="BB1080" i="5"/>
  <c r="BA1080" i="5"/>
  <c r="AZ1080" i="5"/>
  <c r="AY1080" i="5"/>
  <c r="AX1080" i="5"/>
  <c r="AW1080" i="5"/>
  <c r="AV1080" i="5"/>
  <c r="AU1080" i="5"/>
  <c r="AT1080" i="5"/>
  <c r="AS1080" i="5"/>
  <c r="AR1080" i="5"/>
  <c r="AQ1080" i="5"/>
  <c r="AP1080" i="5"/>
  <c r="AO1080" i="5"/>
  <c r="AN1080" i="5"/>
  <c r="AM1080" i="5"/>
  <c r="AL1080" i="5"/>
  <c r="AK1080" i="5"/>
  <c r="AJ1080" i="5"/>
  <c r="AI1080" i="5"/>
  <c r="AH1080" i="5"/>
  <c r="AG1080" i="5"/>
  <c r="AF1080" i="5"/>
  <c r="AE1080" i="5"/>
  <c r="AD1080" i="5"/>
  <c r="AC1080" i="5"/>
  <c r="AB1080" i="5"/>
  <c r="AA1080" i="5"/>
  <c r="Z1080" i="5"/>
  <c r="Y1080" i="5"/>
  <c r="X1080" i="5"/>
  <c r="W1080" i="5"/>
  <c r="V1080" i="5"/>
  <c r="U1080" i="5"/>
  <c r="T1080" i="5"/>
  <c r="S1080" i="5"/>
  <c r="R1080" i="5"/>
  <c r="Q1080" i="5"/>
  <c r="P1080" i="5"/>
  <c r="O1080" i="5"/>
  <c r="N1080" i="5"/>
  <c r="M1080" i="5"/>
  <c r="L1080" i="5"/>
  <c r="K1080" i="5"/>
  <c r="J1080" i="5"/>
  <c r="I1080" i="5"/>
  <c r="H1080" i="5"/>
  <c r="G1080" i="5"/>
  <c r="F1080" i="5"/>
  <c r="E1080" i="5"/>
  <c r="D1080" i="5"/>
  <c r="D1407" i="2" s="1"/>
  <c r="LB1079" i="5"/>
  <c r="LA1079" i="5"/>
  <c r="KZ1079" i="5"/>
  <c r="KY1079" i="5"/>
  <c r="GH1079" i="5"/>
  <c r="GG1079" i="5"/>
  <c r="GF1079" i="5"/>
  <c r="GE1079" i="5"/>
  <c r="GD1079" i="5"/>
  <c r="GC1079" i="5"/>
  <c r="GB1079" i="5"/>
  <c r="GA1079" i="5"/>
  <c r="FZ1079" i="5"/>
  <c r="FY1079" i="5"/>
  <c r="FX1079" i="5"/>
  <c r="FW1079" i="5"/>
  <c r="CD1079" i="5"/>
  <c r="CC1079" i="5"/>
  <c r="CB1079" i="5"/>
  <c r="CA1079" i="5"/>
  <c r="BZ1079" i="5"/>
  <c r="BY1079" i="5"/>
  <c r="BX1079" i="5"/>
  <c r="BW1079" i="5"/>
  <c r="BV1079" i="5"/>
  <c r="BU1079" i="5"/>
  <c r="BT1079" i="5"/>
  <c r="BS1079" i="5"/>
  <c r="BR1079" i="5"/>
  <c r="BQ1079" i="5"/>
  <c r="BP1079" i="5"/>
  <c r="BO1079" i="5"/>
  <c r="BN1079" i="5"/>
  <c r="BM1079" i="5"/>
  <c r="BL1079" i="5"/>
  <c r="BK1079" i="5"/>
  <c r="BJ1079" i="5"/>
  <c r="BI1079" i="5"/>
  <c r="BH1079" i="5"/>
  <c r="BG1079" i="5"/>
  <c r="BF1079" i="5"/>
  <c r="BE1079" i="5"/>
  <c r="BD1079" i="5"/>
  <c r="BC1079" i="5"/>
  <c r="BB1079" i="5"/>
  <c r="BA1079" i="5"/>
  <c r="AZ1079" i="5"/>
  <c r="AY1079" i="5"/>
  <c r="AX1079" i="5"/>
  <c r="AW1079" i="5"/>
  <c r="AV1079" i="5"/>
  <c r="AU1079" i="5"/>
  <c r="AT1079" i="5"/>
  <c r="AS1079" i="5"/>
  <c r="AR1079" i="5"/>
  <c r="AQ1079" i="5"/>
  <c r="AP1079" i="5"/>
  <c r="AO1079" i="5"/>
  <c r="AN1079" i="5"/>
  <c r="AM1079" i="5"/>
  <c r="AL1079" i="5"/>
  <c r="AK1079" i="5"/>
  <c r="AJ1079" i="5"/>
  <c r="AI1079" i="5"/>
  <c r="AH1079" i="5"/>
  <c r="AG1079" i="5"/>
  <c r="AF1079" i="5"/>
  <c r="AE1079" i="5"/>
  <c r="AD1079" i="5"/>
  <c r="AC1079" i="5"/>
  <c r="AB1079" i="5"/>
  <c r="AA1079" i="5"/>
  <c r="Z1079" i="5"/>
  <c r="Y1079" i="5"/>
  <c r="X1079" i="5"/>
  <c r="W1079" i="5"/>
  <c r="V1079" i="5"/>
  <c r="U1079" i="5"/>
  <c r="T1079" i="5"/>
  <c r="S1079" i="5"/>
  <c r="R1079" i="5"/>
  <c r="Q1079" i="5"/>
  <c r="P1079" i="5"/>
  <c r="O1079" i="5"/>
  <c r="N1079" i="5"/>
  <c r="M1079" i="5"/>
  <c r="L1079" i="5"/>
  <c r="K1079" i="5"/>
  <c r="J1079" i="5"/>
  <c r="I1079" i="5"/>
  <c r="H1079" i="5"/>
  <c r="G1079" i="5"/>
  <c r="F1079" i="5"/>
  <c r="E1079" i="5"/>
  <c r="D1079" i="5"/>
  <c r="D1406" i="2" s="1"/>
  <c r="GH1078" i="5"/>
  <c r="GG1078" i="5"/>
  <c r="GF1078" i="5"/>
  <c r="GE1078" i="5"/>
  <c r="GD1078" i="5"/>
  <c r="GC1078" i="5"/>
  <c r="GB1078" i="5"/>
  <c r="GA1078" i="5"/>
  <c r="FZ1078" i="5"/>
  <c r="FY1078" i="5"/>
  <c r="FX1078" i="5"/>
  <c r="FW1078" i="5"/>
  <c r="D1078" i="5"/>
  <c r="D1404" i="2" s="1"/>
  <c r="GH1077" i="5"/>
  <c r="GG1077" i="5"/>
  <c r="GF1077" i="5"/>
  <c r="GE1077" i="5"/>
  <c r="GD1077" i="5"/>
  <c r="GC1077" i="5"/>
  <c r="GB1077" i="5"/>
  <c r="GA1077" i="5"/>
  <c r="FZ1077" i="5"/>
  <c r="FY1077" i="5"/>
  <c r="FX1077" i="5"/>
  <c r="FW1077" i="5"/>
  <c r="D1077" i="5"/>
  <c r="D1403" i="2" s="1"/>
  <c r="GH1076" i="5"/>
  <c r="GG1076" i="5"/>
  <c r="GF1076" i="5"/>
  <c r="GE1076" i="5"/>
  <c r="GD1076" i="5"/>
  <c r="GC1076" i="5"/>
  <c r="GB1076" i="5"/>
  <c r="GA1076" i="5"/>
  <c r="FZ1076" i="5"/>
  <c r="FY1076" i="5"/>
  <c r="FX1076" i="5"/>
  <c r="FW1076" i="5"/>
  <c r="D1076" i="5"/>
  <c r="D1396" i="2" s="1"/>
  <c r="GH1075" i="5"/>
  <c r="GG1075" i="5"/>
  <c r="GF1075" i="5"/>
  <c r="GE1075" i="5"/>
  <c r="GD1075" i="5"/>
  <c r="GB1075" i="5"/>
  <c r="GA1075" i="5"/>
  <c r="FZ1075" i="5"/>
  <c r="FY1075" i="5"/>
  <c r="FX1075" i="5"/>
  <c r="FW1075" i="5"/>
  <c r="D1075" i="5"/>
  <c r="D1395" i="2" s="1"/>
  <c r="ID1074" i="5"/>
  <c r="GH1074" i="5"/>
  <c r="GG1074" i="5"/>
  <c r="GF1074" i="5"/>
  <c r="GE1074" i="5"/>
  <c r="GD1074" i="5"/>
  <c r="GC1074" i="5"/>
  <c r="GB1074" i="5"/>
  <c r="GA1074" i="5"/>
  <c r="FZ1074" i="5"/>
  <c r="FY1074" i="5"/>
  <c r="FX1074" i="5"/>
  <c r="FW1074" i="5"/>
  <c r="FV1074" i="5"/>
  <c r="FU1074" i="5"/>
  <c r="FT1074" i="5"/>
  <c r="FS1074" i="5"/>
  <c r="FR1074" i="5"/>
  <c r="FQ1074" i="5"/>
  <c r="FP1074" i="5"/>
  <c r="FO1074" i="5"/>
  <c r="FN1074" i="5"/>
  <c r="FM1074" i="5"/>
  <c r="FL1074" i="5"/>
  <c r="FK1074" i="5"/>
  <c r="FJ1074" i="5"/>
  <c r="FI1074" i="5"/>
  <c r="FH1074" i="5"/>
  <c r="FG1074" i="5"/>
  <c r="FF1074" i="5"/>
  <c r="FE1074" i="5"/>
  <c r="FD1074" i="5"/>
  <c r="FC1074" i="5"/>
  <c r="FB1074" i="5"/>
  <c r="FA1074" i="5"/>
  <c r="EZ1074" i="5"/>
  <c r="EY1074" i="5"/>
  <c r="EX1074" i="5"/>
  <c r="EW1074" i="5"/>
  <c r="EV1074" i="5"/>
  <c r="EU1074" i="5"/>
  <c r="ET1074" i="5"/>
  <c r="ES1074" i="5"/>
  <c r="ER1074" i="5"/>
  <c r="EQ1074" i="5"/>
  <c r="EP1074" i="5"/>
  <c r="EO1074" i="5"/>
  <c r="EN1074" i="5"/>
  <c r="EM1074" i="5"/>
  <c r="EL1074" i="5"/>
  <c r="EK1074" i="5"/>
  <c r="EJ1074" i="5"/>
  <c r="EI1074" i="5"/>
  <c r="EH1074" i="5"/>
  <c r="EG1074" i="5"/>
  <c r="EF1074" i="5"/>
  <c r="EE1074" i="5"/>
  <c r="ED1074" i="5"/>
  <c r="EC1074" i="5"/>
  <c r="EB1074" i="5"/>
  <c r="EA1074" i="5"/>
  <c r="DZ1074" i="5"/>
  <c r="DY1074" i="5"/>
  <c r="DX1074" i="5"/>
  <c r="DW1074" i="5"/>
  <c r="DV1074" i="5"/>
  <c r="DU1074" i="5"/>
  <c r="DT1074" i="5"/>
  <c r="DS1074" i="5"/>
  <c r="DR1074" i="5"/>
  <c r="DQ1074" i="5"/>
  <c r="DP1074" i="5"/>
  <c r="DO1074" i="5"/>
  <c r="DN1074" i="5"/>
  <c r="DM1074" i="5"/>
  <c r="DL1074" i="5"/>
  <c r="DK1074" i="5"/>
  <c r="DJ1074" i="5"/>
  <c r="DI1074" i="5"/>
  <c r="DH1074" i="5"/>
  <c r="DG1074" i="5"/>
  <c r="DF1074" i="5"/>
  <c r="DE1074" i="5"/>
  <c r="DD1074" i="5"/>
  <c r="DC1074" i="5"/>
  <c r="DB1074" i="5"/>
  <c r="DA1074" i="5"/>
  <c r="CZ1074" i="5"/>
  <c r="CY1074" i="5"/>
  <c r="CX1074" i="5"/>
  <c r="CW1074" i="5"/>
  <c r="CV1074" i="5"/>
  <c r="CU1074" i="5"/>
  <c r="CT1074" i="5"/>
  <c r="CS1074" i="5"/>
  <c r="CR1074" i="5"/>
  <c r="CQ1074" i="5"/>
  <c r="CP1074" i="5"/>
  <c r="CO1074" i="5"/>
  <c r="CN1074" i="5"/>
  <c r="CM1074" i="5"/>
  <c r="CL1074" i="5"/>
  <c r="CK1074" i="5"/>
  <c r="CJ1074" i="5"/>
  <c r="CI1074" i="5"/>
  <c r="CH1074" i="5"/>
  <c r="CG1074" i="5"/>
  <c r="CF1074" i="5"/>
  <c r="CE1074" i="5"/>
  <c r="CD1074" i="5"/>
  <c r="CC1074" i="5"/>
  <c r="CB1074" i="5"/>
  <c r="CA1074" i="5"/>
  <c r="BZ1074" i="5"/>
  <c r="BY1074" i="5"/>
  <c r="BX1074" i="5"/>
  <c r="BW1074" i="5"/>
  <c r="BV1074" i="5"/>
  <c r="BU1074" i="5"/>
  <c r="BT1074" i="5"/>
  <c r="BS1074" i="5"/>
  <c r="BR1074" i="5"/>
  <c r="BQ1074" i="5"/>
  <c r="BP1074" i="5"/>
  <c r="BO1074" i="5"/>
  <c r="BN1074" i="5"/>
  <c r="BM1074" i="5"/>
  <c r="BL1074" i="5"/>
  <c r="BK1074" i="5"/>
  <c r="BJ1074" i="5"/>
  <c r="BI1074" i="5"/>
  <c r="BH1074" i="5"/>
  <c r="BG1074" i="5"/>
  <c r="BF1074" i="5"/>
  <c r="BE1074" i="5"/>
  <c r="BD1074" i="5"/>
  <c r="BC1074" i="5"/>
  <c r="BB1074" i="5"/>
  <c r="BA1074" i="5"/>
  <c r="AZ1074" i="5"/>
  <c r="AY1074" i="5"/>
  <c r="AX1074" i="5"/>
  <c r="AW1074" i="5"/>
  <c r="AV1074" i="5"/>
  <c r="AU1074" i="5"/>
  <c r="AT1074" i="5"/>
  <c r="AS1074" i="5"/>
  <c r="AR1074" i="5"/>
  <c r="AQ1074" i="5"/>
  <c r="AP1074" i="5"/>
  <c r="AO1074" i="5"/>
  <c r="AN1074" i="5"/>
  <c r="AM1074" i="5"/>
  <c r="AL1074" i="5"/>
  <c r="AK1074" i="5"/>
  <c r="AJ1074" i="5"/>
  <c r="AI1074" i="5"/>
  <c r="AH1074" i="5"/>
  <c r="AG1074" i="5"/>
  <c r="AF1074" i="5"/>
  <c r="AE1074" i="5"/>
  <c r="AD1074" i="5"/>
  <c r="AC1074" i="5"/>
  <c r="AB1074" i="5"/>
  <c r="AA1074" i="5"/>
  <c r="Z1074" i="5"/>
  <c r="Y1074" i="5"/>
  <c r="X1074" i="5"/>
  <c r="W1074" i="5"/>
  <c r="V1074" i="5"/>
  <c r="U1074" i="5"/>
  <c r="T1074" i="5"/>
  <c r="S1074" i="5"/>
  <c r="R1074" i="5"/>
  <c r="Q1074" i="5"/>
  <c r="P1074" i="5"/>
  <c r="O1074" i="5"/>
  <c r="N1074" i="5"/>
  <c r="M1074" i="5"/>
  <c r="L1074" i="5"/>
  <c r="K1074" i="5"/>
  <c r="J1074" i="5"/>
  <c r="I1074" i="5"/>
  <c r="H1074" i="5"/>
  <c r="G1074" i="5"/>
  <c r="F1074" i="5"/>
  <c r="E1074" i="5"/>
  <c r="IY1072" i="5"/>
  <c r="IV1072" i="5"/>
  <c r="IS1072" i="5"/>
  <c r="IP1072" i="5"/>
  <c r="IO1072" i="5"/>
  <c r="IN1072" i="5"/>
  <c r="IM1072" i="5"/>
  <c r="IL1072" i="5"/>
  <c r="IK1072" i="5"/>
  <c r="IJ1072" i="5"/>
  <c r="II1072" i="5"/>
  <c r="IH1072" i="5"/>
  <c r="IG1072" i="5"/>
  <c r="IF1072" i="5"/>
  <c r="IE1072" i="5"/>
  <c r="ID1072" i="5"/>
  <c r="IY1071" i="5"/>
  <c r="IV1071" i="5"/>
  <c r="IS1071" i="5"/>
  <c r="IP1071" i="5"/>
  <c r="IO1071" i="5"/>
  <c r="IN1071" i="5"/>
  <c r="IM1071" i="5"/>
  <c r="IL1071" i="5"/>
  <c r="IK1071" i="5"/>
  <c r="IJ1071" i="5"/>
  <c r="II1071" i="5"/>
  <c r="IH1071" i="5"/>
  <c r="IG1071" i="5"/>
  <c r="IF1071" i="5"/>
  <c r="IE1071" i="5"/>
  <c r="ID1071" i="5"/>
  <c r="JN1054" i="5"/>
  <c r="JK1054" i="5"/>
  <c r="JH1054" i="5"/>
  <c r="JE1054" i="5"/>
  <c r="JB1054" i="5"/>
  <c r="IY1054" i="5"/>
  <c r="IV1054" i="5"/>
  <c r="IS1054" i="5"/>
  <c r="IP1054" i="5"/>
  <c r="IM1054" i="5"/>
  <c r="IJ1054" i="5"/>
  <c r="IG1054" i="5"/>
  <c r="ID1054" i="5"/>
  <c r="JA1038" i="5"/>
  <c r="IZ1038" i="5"/>
  <c r="IC1038" i="5"/>
  <c r="IB1038" i="5"/>
  <c r="FV1038" i="5"/>
  <c r="FU1038" i="5"/>
  <c r="FT1038" i="5"/>
  <c r="FS1038" i="5"/>
  <c r="FR1038" i="5"/>
  <c r="FQ1038" i="5"/>
  <c r="FP1038" i="5"/>
  <c r="FO1038" i="5"/>
  <c r="FN1038" i="5"/>
  <c r="FM1038" i="5"/>
  <c r="FL1038" i="5"/>
  <c r="FK1038" i="5"/>
  <c r="FJ1038" i="5"/>
  <c r="FI1038" i="5"/>
  <c r="FH1038" i="5"/>
  <c r="FG1038" i="5"/>
  <c r="FF1038" i="5"/>
  <c r="FE1038" i="5"/>
  <c r="FD1038" i="5"/>
  <c r="FC1038" i="5"/>
  <c r="FB1038" i="5"/>
  <c r="FA1038" i="5"/>
  <c r="EZ1038" i="5"/>
  <c r="EY1038" i="5"/>
  <c r="EX1038" i="5"/>
  <c r="EW1038" i="5"/>
  <c r="EV1038" i="5"/>
  <c r="EU1038" i="5"/>
  <c r="ET1038" i="5"/>
  <c r="ES1038" i="5"/>
  <c r="ER1038" i="5"/>
  <c r="EQ1038" i="5"/>
  <c r="EP1038" i="5"/>
  <c r="EO1038" i="5"/>
  <c r="EN1038" i="5"/>
  <c r="EM1038" i="5"/>
  <c r="EL1038" i="5"/>
  <c r="EK1038" i="5"/>
  <c r="EJ1038" i="5"/>
  <c r="EI1038" i="5"/>
  <c r="EH1038" i="5"/>
  <c r="EG1038" i="5"/>
  <c r="EF1038" i="5"/>
  <c r="EE1038" i="5"/>
  <c r="ED1038" i="5"/>
  <c r="EC1038" i="5"/>
  <c r="EB1038" i="5"/>
  <c r="EA1038" i="5"/>
  <c r="DZ1038" i="5"/>
  <c r="DY1038" i="5"/>
  <c r="DX1038" i="5"/>
  <c r="DW1038" i="5"/>
  <c r="DV1038" i="5"/>
  <c r="DU1038" i="5"/>
  <c r="DT1038" i="5"/>
  <c r="DS1038" i="5"/>
  <c r="DR1038" i="5"/>
  <c r="DQ1038" i="5"/>
  <c r="DP1038" i="5"/>
  <c r="DO1038" i="5"/>
  <c r="DN1038" i="5"/>
  <c r="DM1038" i="5"/>
  <c r="DL1038" i="5"/>
  <c r="DK1038" i="5"/>
  <c r="DJ1038" i="5"/>
  <c r="DI1038" i="5"/>
  <c r="DH1038" i="5"/>
  <c r="DG1038" i="5"/>
  <c r="DF1038" i="5"/>
  <c r="DE1038" i="5"/>
  <c r="DD1038" i="5"/>
  <c r="DC1038" i="5"/>
  <c r="DB1038" i="5"/>
  <c r="DA1038" i="5"/>
  <c r="CZ1038" i="5"/>
  <c r="CY1038" i="5"/>
  <c r="CX1038" i="5"/>
  <c r="CW1038" i="5"/>
  <c r="CV1038" i="5"/>
  <c r="CU1038" i="5"/>
  <c r="CT1038" i="5"/>
  <c r="CS1038" i="5"/>
  <c r="CR1038" i="5"/>
  <c r="CQ1038" i="5"/>
  <c r="JA1037" i="5"/>
  <c r="IZ1037" i="5"/>
  <c r="IX1037" i="5"/>
  <c r="IY1037" i="5" s="1"/>
  <c r="AF1362" i="2" s="1"/>
  <c r="JP1035" i="5"/>
  <c r="JO1035" i="5"/>
  <c r="JM1035" i="5"/>
  <c r="JA1035" i="5"/>
  <c r="IZ1035" i="5"/>
  <c r="IC1035" i="5"/>
  <c r="IB1035" i="5"/>
  <c r="DB1035" i="5"/>
  <c r="DA1035" i="5"/>
  <c r="CZ1035" i="5"/>
  <c r="CY1035" i="5"/>
  <c r="CX1035" i="5"/>
  <c r="CW1035" i="5"/>
  <c r="CV1035" i="5"/>
  <c r="CU1035" i="5"/>
  <c r="CT1035" i="5"/>
  <c r="CS1035" i="5"/>
  <c r="CR1035" i="5"/>
  <c r="CQ1035" i="5"/>
  <c r="JF1033" i="5"/>
  <c r="JO1032" i="5"/>
  <c r="JM1032" i="5"/>
  <c r="JF1032" i="5"/>
  <c r="JA1032" i="5"/>
  <c r="IZ1032" i="5"/>
  <c r="IX1032" i="5"/>
  <c r="IW1032" i="5"/>
  <c r="JA1030" i="5"/>
  <c r="IZ1030" i="5"/>
  <c r="IX1030" i="5"/>
  <c r="IY1030" i="5" s="1"/>
  <c r="AF1355" i="2" s="1"/>
  <c r="JA1029" i="5"/>
  <c r="IZ1029" i="5"/>
  <c r="IC1029" i="5"/>
  <c r="IB1029" i="5"/>
  <c r="FV1029" i="5"/>
  <c r="FU1029" i="5"/>
  <c r="FT1029" i="5"/>
  <c r="FS1029" i="5"/>
  <c r="FR1029" i="5"/>
  <c r="FQ1029" i="5"/>
  <c r="FP1029" i="5"/>
  <c r="FO1029" i="5"/>
  <c r="FN1029" i="5"/>
  <c r="FM1029" i="5"/>
  <c r="FL1029" i="5"/>
  <c r="FK1029" i="5"/>
  <c r="FJ1029" i="5"/>
  <c r="FI1029" i="5"/>
  <c r="FH1029" i="5"/>
  <c r="FG1029" i="5"/>
  <c r="FF1029" i="5"/>
  <c r="FE1029" i="5"/>
  <c r="FD1029" i="5"/>
  <c r="FC1029" i="5"/>
  <c r="FB1029" i="5"/>
  <c r="FA1029" i="5"/>
  <c r="EZ1029" i="5"/>
  <c r="EY1029" i="5"/>
  <c r="EX1029" i="5"/>
  <c r="EW1029" i="5"/>
  <c r="EV1029" i="5"/>
  <c r="EU1029" i="5"/>
  <c r="ET1029" i="5"/>
  <c r="ES1029" i="5"/>
  <c r="ER1029" i="5"/>
  <c r="EQ1029" i="5"/>
  <c r="EP1029" i="5"/>
  <c r="EO1029" i="5"/>
  <c r="EN1029" i="5"/>
  <c r="EM1029" i="5"/>
  <c r="EL1029" i="5"/>
  <c r="EK1029" i="5"/>
  <c r="EJ1029" i="5"/>
  <c r="EI1029" i="5"/>
  <c r="EH1029" i="5"/>
  <c r="EG1029" i="5"/>
  <c r="EF1029" i="5"/>
  <c r="EE1029" i="5"/>
  <c r="ED1029" i="5"/>
  <c r="EC1029" i="5"/>
  <c r="EB1029" i="5"/>
  <c r="EA1029" i="5"/>
  <c r="DZ1029" i="5"/>
  <c r="DY1029" i="5"/>
  <c r="DX1029" i="5"/>
  <c r="DW1029" i="5"/>
  <c r="DV1029" i="5"/>
  <c r="DU1029" i="5"/>
  <c r="DT1029" i="5"/>
  <c r="DS1029" i="5"/>
  <c r="DR1029" i="5"/>
  <c r="DQ1029" i="5"/>
  <c r="DP1029" i="5"/>
  <c r="DO1029" i="5"/>
  <c r="DN1029" i="5"/>
  <c r="DM1029" i="5"/>
  <c r="DL1029" i="5"/>
  <c r="DK1029" i="5"/>
  <c r="DJ1029" i="5"/>
  <c r="DI1029" i="5"/>
  <c r="DH1029" i="5"/>
  <c r="DG1029" i="5"/>
  <c r="DF1029" i="5"/>
  <c r="DE1029" i="5"/>
  <c r="DD1029" i="5"/>
  <c r="DC1029" i="5"/>
  <c r="DB1029" i="5"/>
  <c r="DA1029" i="5"/>
  <c r="CZ1029" i="5"/>
  <c r="CY1029" i="5"/>
  <c r="CX1029" i="5"/>
  <c r="CW1029" i="5"/>
  <c r="CV1029" i="5"/>
  <c r="CU1029" i="5"/>
  <c r="CT1029" i="5"/>
  <c r="CS1029" i="5"/>
  <c r="CR1029" i="5"/>
  <c r="CQ1029" i="5"/>
  <c r="LB1028" i="5"/>
  <c r="LB1027" i="5" s="1"/>
  <c r="LB1019" i="5" s="1"/>
  <c r="LB1097" i="5" s="1"/>
  <c r="LA1028" i="5"/>
  <c r="LA1027" i="5" s="1"/>
  <c r="LA1019" i="5" s="1"/>
  <c r="LA1097" i="5" s="1"/>
  <c r="KZ1028" i="5"/>
  <c r="KZ1027" i="5" s="1"/>
  <c r="KZ1019" i="5" s="1"/>
  <c r="KZ1097" i="5" s="1"/>
  <c r="KY1028" i="5"/>
  <c r="KY1027" i="5" s="1"/>
  <c r="KY1019" i="5" s="1"/>
  <c r="KY1097" i="5" s="1"/>
  <c r="JA1028" i="5"/>
  <c r="IZ1028" i="5"/>
  <c r="CP1028" i="5"/>
  <c r="CP1027" i="5" s="1"/>
  <c r="CP1019" i="5" s="1"/>
  <c r="CP1097" i="5" s="1"/>
  <c r="CO1028" i="5"/>
  <c r="CO1027" i="5" s="1"/>
  <c r="CO1019" i="5" s="1"/>
  <c r="CO1097" i="5" s="1"/>
  <c r="CN1028" i="5"/>
  <c r="CN1027" i="5" s="1"/>
  <c r="CN1019" i="5" s="1"/>
  <c r="CN1097" i="5" s="1"/>
  <c r="CM1028" i="5"/>
  <c r="CM1027" i="5" s="1"/>
  <c r="CM1019" i="5" s="1"/>
  <c r="CM1097" i="5" s="1"/>
  <c r="CL1028" i="5"/>
  <c r="CL1027" i="5" s="1"/>
  <c r="CK1028" i="5"/>
  <c r="CK1027" i="5" s="1"/>
  <c r="CK1019" i="5" s="1"/>
  <c r="CK1097" i="5" s="1"/>
  <c r="CJ1028" i="5"/>
  <c r="CJ1027" i="5" s="1"/>
  <c r="CJ1019" i="5" s="1"/>
  <c r="CJ1097" i="5" s="1"/>
  <c r="CI1028" i="5"/>
  <c r="CI1027" i="5" s="1"/>
  <c r="CH1028" i="5"/>
  <c r="CH1027" i="5" s="1"/>
  <c r="CH1019" i="5" s="1"/>
  <c r="CH1097" i="5" s="1"/>
  <c r="CG1028" i="5"/>
  <c r="CG1027" i="5" s="1"/>
  <c r="CG1019" i="5" s="1"/>
  <c r="CG1097" i="5" s="1"/>
  <c r="CF1028" i="5"/>
  <c r="CF1027" i="5" s="1"/>
  <c r="CF1019" i="5" s="1"/>
  <c r="CF1097" i="5" s="1"/>
  <c r="CE1028" i="5"/>
  <c r="CE1027" i="5" s="1"/>
  <c r="CE1019" i="5" s="1"/>
  <c r="CE1097" i="5" s="1"/>
  <c r="CD1028" i="5"/>
  <c r="CD1027" i="5" s="1"/>
  <c r="CD1019" i="5" s="1"/>
  <c r="CD1097" i="5" s="1"/>
  <c r="CC1028" i="5"/>
  <c r="CC1027" i="5" s="1"/>
  <c r="CC1019" i="5" s="1"/>
  <c r="CC1097" i="5" s="1"/>
  <c r="CB1028" i="5"/>
  <c r="CB1027" i="5" s="1"/>
  <c r="CB1019" i="5" s="1"/>
  <c r="CB1097" i="5" s="1"/>
  <c r="CA1028" i="5"/>
  <c r="CA1027" i="5" s="1"/>
  <c r="CA1019" i="5" s="1"/>
  <c r="CA1097" i="5" s="1"/>
  <c r="BZ1028" i="5"/>
  <c r="BZ1027" i="5" s="1"/>
  <c r="BZ1019" i="5" s="1"/>
  <c r="BZ1097" i="5" s="1"/>
  <c r="BY1028" i="5"/>
  <c r="BY1027" i="5" s="1"/>
  <c r="BY1019" i="5" s="1"/>
  <c r="BX1028" i="5"/>
  <c r="BX1027" i="5" s="1"/>
  <c r="BX1019" i="5" s="1"/>
  <c r="BX1097" i="5" s="1"/>
  <c r="BW1028" i="5"/>
  <c r="BW1027" i="5" s="1"/>
  <c r="BW1019" i="5" s="1"/>
  <c r="BW1097" i="5" s="1"/>
  <c r="BV1028" i="5"/>
  <c r="BV1027" i="5" s="1"/>
  <c r="BV1019" i="5" s="1"/>
  <c r="BV1097" i="5" s="1"/>
  <c r="BU1028" i="5"/>
  <c r="BU1027" i="5" s="1"/>
  <c r="BU1019" i="5" s="1"/>
  <c r="BU1097" i="5" s="1"/>
  <c r="BT1028" i="5"/>
  <c r="BT1027" i="5" s="1"/>
  <c r="BT1019" i="5" s="1"/>
  <c r="BT1097" i="5" s="1"/>
  <c r="BS1028" i="5"/>
  <c r="BS1027" i="5" s="1"/>
  <c r="BS1019" i="5" s="1"/>
  <c r="BR1028" i="5"/>
  <c r="BR1027" i="5" s="1"/>
  <c r="BR1019" i="5" s="1"/>
  <c r="BR1097" i="5" s="1"/>
  <c r="BQ1028" i="5"/>
  <c r="BQ1027" i="5" s="1"/>
  <c r="BQ1019" i="5" s="1"/>
  <c r="BP1028" i="5"/>
  <c r="BP1027" i="5" s="1"/>
  <c r="BP1019" i="5" s="1"/>
  <c r="BP1097" i="5" s="1"/>
  <c r="BO1028" i="5"/>
  <c r="BO1027" i="5" s="1"/>
  <c r="BO1019" i="5" s="1"/>
  <c r="BN1028" i="5"/>
  <c r="BN1027" i="5" s="1"/>
  <c r="BN1019" i="5" s="1"/>
  <c r="BM1028" i="5"/>
  <c r="BM1027" i="5" s="1"/>
  <c r="BM1019" i="5" s="1"/>
  <c r="BL1028" i="5"/>
  <c r="BL1027" i="5" s="1"/>
  <c r="BL1019" i="5" s="1"/>
  <c r="BL1097" i="5" s="1"/>
  <c r="BK1028" i="5"/>
  <c r="BK1027" i="5" s="1"/>
  <c r="BK1019" i="5" s="1"/>
  <c r="BJ1028" i="5"/>
  <c r="BJ1027" i="5" s="1"/>
  <c r="BJ1019" i="5" s="1"/>
  <c r="BJ1097" i="5" s="1"/>
  <c r="BI1028" i="5"/>
  <c r="BI1027" i="5" s="1"/>
  <c r="BI1019" i="5" s="1"/>
  <c r="BI1097" i="5" s="1"/>
  <c r="BH1028" i="5"/>
  <c r="BH1027" i="5" s="1"/>
  <c r="BH1019" i="5" s="1"/>
  <c r="BH1097" i="5" s="1"/>
  <c r="BG1028" i="5"/>
  <c r="BG1027" i="5" s="1"/>
  <c r="BG1019" i="5" s="1"/>
  <c r="BG1097" i="5" s="1"/>
  <c r="BF1028" i="5"/>
  <c r="BF1027" i="5" s="1"/>
  <c r="BF1019" i="5" s="1"/>
  <c r="BF1097" i="5" s="1"/>
  <c r="BE1028" i="5"/>
  <c r="BE1027" i="5" s="1"/>
  <c r="BE1019" i="5" s="1"/>
  <c r="BD1028" i="5"/>
  <c r="BD1027" i="5" s="1"/>
  <c r="BD1019" i="5" s="1"/>
  <c r="BD1097" i="5" s="1"/>
  <c r="BC1028" i="5"/>
  <c r="BC1027" i="5" s="1"/>
  <c r="BC1019" i="5" s="1"/>
  <c r="BC1097" i="5" s="1"/>
  <c r="BB1028" i="5"/>
  <c r="BB1027" i="5" s="1"/>
  <c r="BB1019" i="5" s="1"/>
  <c r="BB1097" i="5" s="1"/>
  <c r="BA1028" i="5"/>
  <c r="BA1027" i="5" s="1"/>
  <c r="BA1019" i="5" s="1"/>
  <c r="BA1097" i="5" s="1"/>
  <c r="AZ1028" i="5"/>
  <c r="AZ1027" i="5" s="1"/>
  <c r="AZ1019" i="5" s="1"/>
  <c r="AY1028" i="5"/>
  <c r="AY1027" i="5" s="1"/>
  <c r="AY1019" i="5" s="1"/>
  <c r="AY1097" i="5" s="1"/>
  <c r="AX1028" i="5"/>
  <c r="AX1027" i="5" s="1"/>
  <c r="AX1019" i="5" s="1"/>
  <c r="AX1097" i="5" s="1"/>
  <c r="AW1028" i="5"/>
  <c r="AW1027" i="5" s="1"/>
  <c r="AW1019" i="5" s="1"/>
  <c r="AW1097" i="5" s="1"/>
  <c r="AV1028" i="5"/>
  <c r="AV1027" i="5" s="1"/>
  <c r="AV1019" i="5" s="1"/>
  <c r="AU1028" i="5"/>
  <c r="AU1027" i="5" s="1"/>
  <c r="AU1019" i="5" s="1"/>
  <c r="AT1028" i="5"/>
  <c r="AT1027" i="5" s="1"/>
  <c r="AT1019" i="5" s="1"/>
  <c r="AT1097" i="5" s="1"/>
  <c r="AS1028" i="5"/>
  <c r="AS1027" i="5" s="1"/>
  <c r="AS1019" i="5" s="1"/>
  <c r="AS1097" i="5" s="1"/>
  <c r="AR1028" i="5"/>
  <c r="AR1027" i="5" s="1"/>
  <c r="AR1019" i="5" s="1"/>
  <c r="AR1097" i="5" s="1"/>
  <c r="AQ1028" i="5"/>
  <c r="AQ1027" i="5" s="1"/>
  <c r="AQ1019" i="5" s="1"/>
  <c r="AP1028" i="5"/>
  <c r="AP1027" i="5" s="1"/>
  <c r="AP1019" i="5" s="1"/>
  <c r="AO1028" i="5"/>
  <c r="AO1027" i="5" s="1"/>
  <c r="AO1019" i="5" s="1"/>
  <c r="AN1028" i="5"/>
  <c r="AN1027" i="5" s="1"/>
  <c r="AN1019" i="5" s="1"/>
  <c r="AM1028" i="5"/>
  <c r="AM1027" i="5" s="1"/>
  <c r="AM1019" i="5" s="1"/>
  <c r="AM1097" i="5" s="1"/>
  <c r="AL1028" i="5"/>
  <c r="AL1027" i="5" s="1"/>
  <c r="AL1019" i="5" s="1"/>
  <c r="AL1097" i="5" s="1"/>
  <c r="AK1028" i="5"/>
  <c r="AK1027" i="5" s="1"/>
  <c r="AK1019" i="5" s="1"/>
  <c r="AK1097" i="5" s="1"/>
  <c r="AJ1028" i="5"/>
  <c r="AJ1027" i="5" s="1"/>
  <c r="AJ1019" i="5" s="1"/>
  <c r="AJ1097" i="5" s="1"/>
  <c r="AI1028" i="5"/>
  <c r="AI1027" i="5" s="1"/>
  <c r="AI1019" i="5" s="1"/>
  <c r="AI1097" i="5" s="1"/>
  <c r="AH1028" i="5"/>
  <c r="AH1027" i="5" s="1"/>
  <c r="AH1019" i="5" s="1"/>
  <c r="AH1097" i="5" s="1"/>
  <c r="AG1028" i="5"/>
  <c r="AG1027" i="5" s="1"/>
  <c r="AG1019" i="5" s="1"/>
  <c r="AF1028" i="5"/>
  <c r="AF1027" i="5" s="1"/>
  <c r="AF1019" i="5" s="1"/>
  <c r="AF1097" i="5" s="1"/>
  <c r="AE1028" i="5"/>
  <c r="AE1027" i="5" s="1"/>
  <c r="AE1019" i="5" s="1"/>
  <c r="AD1028" i="5"/>
  <c r="AD1027" i="5" s="1"/>
  <c r="AD1019" i="5" s="1"/>
  <c r="AC1028" i="5"/>
  <c r="AC1027" i="5" s="1"/>
  <c r="AC1019" i="5" s="1"/>
  <c r="AB1028" i="5"/>
  <c r="AB1027" i="5" s="1"/>
  <c r="AB1019" i="5" s="1"/>
  <c r="AA1028" i="5"/>
  <c r="AA1027" i="5" s="1"/>
  <c r="AA1019" i="5" s="1"/>
  <c r="Z1028" i="5"/>
  <c r="Z1027" i="5" s="1"/>
  <c r="Z1019" i="5" s="1"/>
  <c r="Y1028" i="5"/>
  <c r="Y1027" i="5" s="1"/>
  <c r="Y1019" i="5" s="1"/>
  <c r="Y1097" i="5" s="1"/>
  <c r="X1028" i="5"/>
  <c r="X1027" i="5" s="1"/>
  <c r="X1019" i="5" s="1"/>
  <c r="X1097" i="5" s="1"/>
  <c r="W1028" i="5"/>
  <c r="W1027" i="5" s="1"/>
  <c r="W1019" i="5" s="1"/>
  <c r="W1097" i="5" s="1"/>
  <c r="V1028" i="5"/>
  <c r="V1027" i="5" s="1"/>
  <c r="V1019" i="5" s="1"/>
  <c r="V1097" i="5" s="1"/>
  <c r="U1028" i="5"/>
  <c r="U1027" i="5" s="1"/>
  <c r="U1019" i="5" s="1"/>
  <c r="U1097" i="5" s="1"/>
  <c r="T1028" i="5"/>
  <c r="T1027" i="5" s="1"/>
  <c r="T1019" i="5" s="1"/>
  <c r="S1028" i="5"/>
  <c r="S1027" i="5" s="1"/>
  <c r="S1019" i="5" s="1"/>
  <c r="S1097" i="5" s="1"/>
  <c r="R1028" i="5"/>
  <c r="R1027" i="5" s="1"/>
  <c r="R1019" i="5" s="1"/>
  <c r="Q1028" i="5"/>
  <c r="Q1027" i="5" s="1"/>
  <c r="Q1019" i="5" s="1"/>
  <c r="P1028" i="5"/>
  <c r="P1027" i="5" s="1"/>
  <c r="P1019" i="5" s="1"/>
  <c r="P1097" i="5" s="1"/>
  <c r="O1028" i="5"/>
  <c r="O1027" i="5" s="1"/>
  <c r="O1019" i="5" s="1"/>
  <c r="O1097" i="5" s="1"/>
  <c r="N1028" i="5"/>
  <c r="N1027" i="5" s="1"/>
  <c r="N1019" i="5" s="1"/>
  <c r="N1097" i="5" s="1"/>
  <c r="M1028" i="5"/>
  <c r="M1027" i="5" s="1"/>
  <c r="M1019" i="5" s="1"/>
  <c r="L1028" i="5"/>
  <c r="L1027" i="5" s="1"/>
  <c r="L1019" i="5" s="1"/>
  <c r="L1097" i="5" s="1"/>
  <c r="K1028" i="5"/>
  <c r="K1027" i="5" s="1"/>
  <c r="K1019" i="5" s="1"/>
  <c r="K1097" i="5" s="1"/>
  <c r="J1028" i="5"/>
  <c r="J1027" i="5" s="1"/>
  <c r="J1019" i="5" s="1"/>
  <c r="J1097" i="5" s="1"/>
  <c r="I1028" i="5"/>
  <c r="I1027" i="5" s="1"/>
  <c r="I1019" i="5" s="1"/>
  <c r="I1097" i="5" s="1"/>
  <c r="H1028" i="5"/>
  <c r="H1027" i="5" s="1"/>
  <c r="H1019" i="5" s="1"/>
  <c r="G1028" i="5"/>
  <c r="G1027" i="5" s="1"/>
  <c r="G1019" i="5" s="1"/>
  <c r="G1097" i="5" s="1"/>
  <c r="F1028" i="5"/>
  <c r="F1027" i="5" s="1"/>
  <c r="F1019" i="5" s="1"/>
  <c r="E1028" i="5"/>
  <c r="E1027" i="5" s="1"/>
  <c r="E1019" i="5" s="1"/>
  <c r="JA1027" i="5"/>
  <c r="IZ1027" i="5"/>
  <c r="JA1026" i="5"/>
  <c r="IZ1026" i="5"/>
  <c r="IX1026" i="5"/>
  <c r="IW1026" i="5"/>
  <c r="IV1026" i="5"/>
  <c r="JA1025" i="5"/>
  <c r="IZ1025" i="5"/>
  <c r="IX1025" i="5"/>
  <c r="IW1025" i="5"/>
  <c r="IV1025" i="5"/>
  <c r="JA1024" i="5"/>
  <c r="IZ1024" i="5"/>
  <c r="JA1023" i="5"/>
  <c r="IZ1023" i="5"/>
  <c r="IX1023" i="5"/>
  <c r="IW1023" i="5"/>
  <c r="IV1023" i="5"/>
  <c r="JA1022" i="5"/>
  <c r="IZ1022" i="5"/>
  <c r="IX1022" i="5"/>
  <c r="IW1022" i="5"/>
  <c r="IV1022" i="5"/>
  <c r="JA1021" i="5"/>
  <c r="IZ1021" i="5"/>
  <c r="IX1021" i="5"/>
  <c r="IW1021" i="5"/>
  <c r="IV1021" i="5"/>
  <c r="JA1020" i="5"/>
  <c r="IV1020" i="5"/>
  <c r="JA1019" i="5"/>
  <c r="JA1097" i="5" s="1"/>
  <c r="IZ1019" i="5"/>
  <c r="JA1018" i="5"/>
  <c r="IZ1018" i="5"/>
  <c r="IX1018" i="5"/>
  <c r="IW1018" i="5"/>
  <c r="IU1018" i="5"/>
  <c r="IT1018" i="5"/>
  <c r="IR1018" i="5"/>
  <c r="IQ1018" i="5"/>
  <c r="IO1018" i="5"/>
  <c r="IN1018" i="5"/>
  <c r="IC1018" i="5"/>
  <c r="IB1018" i="5"/>
  <c r="DZ1018" i="5"/>
  <c r="DY1018" i="5"/>
  <c r="DX1018" i="5"/>
  <c r="DW1018" i="5"/>
  <c r="DV1018" i="5"/>
  <c r="DU1018" i="5"/>
  <c r="DT1018" i="5"/>
  <c r="DS1018" i="5"/>
  <c r="DR1018" i="5"/>
  <c r="DQ1018" i="5"/>
  <c r="DP1018" i="5"/>
  <c r="DO1018" i="5"/>
  <c r="DN1018" i="5"/>
  <c r="DM1018" i="5"/>
  <c r="DL1018" i="5"/>
  <c r="DK1018" i="5"/>
  <c r="DJ1018" i="5"/>
  <c r="DI1018" i="5"/>
  <c r="DH1018" i="5"/>
  <c r="DG1018" i="5"/>
  <c r="DF1018" i="5"/>
  <c r="DE1018" i="5"/>
  <c r="DD1018" i="5"/>
  <c r="DC1018" i="5"/>
  <c r="DB1018" i="5"/>
  <c r="DA1018" i="5"/>
  <c r="CZ1018" i="5"/>
  <c r="CY1018" i="5"/>
  <c r="CX1018" i="5"/>
  <c r="CW1018" i="5"/>
  <c r="CV1018" i="5"/>
  <c r="CU1018" i="5"/>
  <c r="CT1018" i="5"/>
  <c r="CS1018" i="5"/>
  <c r="CR1018" i="5"/>
  <c r="CQ1018" i="5"/>
  <c r="JO1017" i="5"/>
  <c r="JP1017" i="5" s="1"/>
  <c r="JM1017" i="5"/>
  <c r="JA1017" i="5"/>
  <c r="IZ1017" i="5"/>
  <c r="IX1017" i="5"/>
  <c r="IW1017" i="5"/>
  <c r="JO1016" i="5"/>
  <c r="JP1016" i="5" s="1"/>
  <c r="JA1016" i="5"/>
  <c r="IZ1016" i="5"/>
  <c r="IX1016" i="5"/>
  <c r="IW1016" i="5"/>
  <c r="IZ1015" i="5"/>
  <c r="IX1015" i="5"/>
  <c r="IW1015" i="5"/>
  <c r="JQ1014" i="5"/>
  <c r="JN1014" i="5"/>
  <c r="JM1014" i="5" s="1"/>
  <c r="AK1751" i="2" s="1"/>
  <c r="JA1014" i="5"/>
  <c r="AG1751" i="2" s="1"/>
  <c r="IZ1014" i="5"/>
  <c r="AF1752" i="2" s="1"/>
  <c r="IX1014" i="5"/>
  <c r="AF1751" i="2" s="1"/>
  <c r="IW1014" i="5"/>
  <c r="AE1752" i="2" s="1"/>
  <c r="AE1750" i="2" s="1"/>
  <c r="JA1011" i="5"/>
  <c r="IZ1011" i="5"/>
  <c r="AF1740" i="2" s="1"/>
  <c r="IX1011" i="5"/>
  <c r="AF1739" i="2" s="1"/>
  <c r="IW1011" i="5"/>
  <c r="JO1010" i="5"/>
  <c r="JP1010" i="5" s="1"/>
  <c r="JM1010" i="5"/>
  <c r="JA1010" i="5"/>
  <c r="IZ1010" i="5"/>
  <c r="IX1010" i="5"/>
  <c r="IW1010" i="5"/>
  <c r="AE1732" i="2" s="1"/>
  <c r="JA1009" i="5"/>
  <c r="IZ1009" i="5"/>
  <c r="IX1009" i="5"/>
  <c r="IW1009" i="5"/>
  <c r="JA1008" i="5"/>
  <c r="IZ1008" i="5"/>
  <c r="IX1008" i="5"/>
  <c r="IW1008" i="5"/>
  <c r="IU1008" i="5"/>
  <c r="IT1008" i="5"/>
  <c r="IR1008" i="5"/>
  <c r="IQ1008" i="5"/>
  <c r="IO1008" i="5"/>
  <c r="IN1008" i="5"/>
  <c r="IL1008" i="5"/>
  <c r="IK1008" i="5"/>
  <c r="II1008" i="5"/>
  <c r="IH1008" i="5"/>
  <c r="IF1008" i="5"/>
  <c r="IE1008" i="5"/>
  <c r="IC1008" i="5"/>
  <c r="IB1008" i="5"/>
  <c r="JA1005" i="5"/>
  <c r="IZ1005" i="5"/>
  <c r="IX1005" i="5"/>
  <c r="IW1005" i="5"/>
  <c r="IU1005" i="5"/>
  <c r="IT1005" i="5"/>
  <c r="IR1005" i="5"/>
  <c r="IQ1005" i="5"/>
  <c r="IO1005" i="5"/>
  <c r="IN1005" i="5"/>
  <c r="IL1005" i="5"/>
  <c r="IK1005" i="5"/>
  <c r="II1005" i="5"/>
  <c r="IH1005" i="5"/>
  <c r="IF1005" i="5"/>
  <c r="IE1005" i="5"/>
  <c r="IC1005" i="5"/>
  <c r="IB1005" i="5"/>
  <c r="JA1004" i="5"/>
  <c r="IZ1004" i="5"/>
  <c r="IX1004" i="5"/>
  <c r="IW1004" i="5"/>
  <c r="IU1004" i="5"/>
  <c r="IT1004" i="5"/>
  <c r="IR1004" i="5"/>
  <c r="IQ1004" i="5"/>
  <c r="IO1004" i="5"/>
  <c r="IN1004" i="5"/>
  <c r="IL1004" i="5"/>
  <c r="IK1004" i="5"/>
  <c r="II1004" i="5"/>
  <c r="IH1004" i="5"/>
  <c r="IF1004" i="5"/>
  <c r="IE1004" i="5"/>
  <c r="IC1004" i="5"/>
  <c r="IB1004" i="5"/>
  <c r="LB1003" i="5"/>
  <c r="LA1003" i="5"/>
  <c r="KZ1003" i="5"/>
  <c r="KY1003" i="5"/>
  <c r="JA1003" i="5"/>
  <c r="IZ1003" i="5"/>
  <c r="FV1003" i="5"/>
  <c r="FU1003" i="5"/>
  <c r="FT1003" i="5"/>
  <c r="FS1003" i="5"/>
  <c r="FR1003" i="5"/>
  <c r="FQ1003" i="5"/>
  <c r="FP1003" i="5"/>
  <c r="FO1003" i="5"/>
  <c r="FN1003" i="5"/>
  <c r="FM1003" i="5"/>
  <c r="FL1003" i="5"/>
  <c r="FK1003" i="5"/>
  <c r="FJ1003" i="5"/>
  <c r="FI1003" i="5"/>
  <c r="FH1003" i="5"/>
  <c r="FG1003" i="5"/>
  <c r="FF1003" i="5"/>
  <c r="FE1003" i="5"/>
  <c r="FD1003" i="5"/>
  <c r="FC1003" i="5"/>
  <c r="FB1003" i="5"/>
  <c r="FA1003" i="5"/>
  <c r="EZ1003" i="5"/>
  <c r="EY1003" i="5"/>
  <c r="EX1003" i="5"/>
  <c r="EW1003" i="5"/>
  <c r="EV1003" i="5"/>
  <c r="EU1003" i="5"/>
  <c r="ET1003" i="5"/>
  <c r="ES1003" i="5"/>
  <c r="ER1003"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DQ1003" i="5"/>
  <c r="DP1003" i="5"/>
  <c r="DO1003" i="5"/>
  <c r="DN1003" i="5"/>
  <c r="DN993" i="5" s="1"/>
  <c r="DM1003" i="5"/>
  <c r="DL1003" i="5"/>
  <c r="DL993" i="5" s="1"/>
  <c r="DK1003" i="5"/>
  <c r="DK993" i="5" s="1"/>
  <c r="DJ1003" i="5"/>
  <c r="DJ993" i="5" s="1"/>
  <c r="DI1003" i="5"/>
  <c r="DI993" i="5" s="1"/>
  <c r="DH1003" i="5"/>
  <c r="DH993" i="5" s="1"/>
  <c r="DG1003" i="5"/>
  <c r="DG993" i="5" s="1"/>
  <c r="DF1003" i="5"/>
  <c r="DF993" i="5" s="1"/>
  <c r="DE1003" i="5"/>
  <c r="DE993" i="5" s="1"/>
  <c r="DD1003" i="5"/>
  <c r="DD993" i="5" s="1"/>
  <c r="DC1003" i="5"/>
  <c r="DC993" i="5" s="1"/>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JA1000" i="5"/>
  <c r="IZ1000" i="5"/>
  <c r="IV1000" i="5"/>
  <c r="JO999" i="5"/>
  <c r="JA999" i="5"/>
  <c r="IZ999" i="5"/>
  <c r="IX999" i="5"/>
  <c r="IV999" i="5"/>
  <c r="JA998" i="5"/>
  <c r="IZ998" i="5"/>
  <c r="IX998" i="5"/>
  <c r="IU998" i="5"/>
  <c r="IT998" i="5"/>
  <c r="IR998" i="5"/>
  <c r="IQ998" i="5"/>
  <c r="IO998" i="5"/>
  <c r="IN998" i="5"/>
  <c r="IL998" i="5"/>
  <c r="IK998" i="5"/>
  <c r="II998" i="5"/>
  <c r="IH998" i="5"/>
  <c r="IF998" i="5"/>
  <c r="IE998" i="5"/>
  <c r="IC998" i="5"/>
  <c r="IB998" i="5"/>
  <c r="JA997" i="5"/>
  <c r="IZ997" i="5"/>
  <c r="JO996" i="5"/>
  <c r="JM996" i="5"/>
  <c r="JA996" i="5"/>
  <c r="IZ996" i="5"/>
  <c r="IV996" i="5"/>
  <c r="JA995" i="5"/>
  <c r="IZ995" i="5"/>
  <c r="IX995" i="5"/>
  <c r="IX997" i="5" s="1"/>
  <c r="IW995" i="5"/>
  <c r="IW997" i="5" s="1"/>
  <c r="IU995" i="5"/>
  <c r="IU997" i="5" s="1"/>
  <c r="AE1735" i="2" s="1"/>
  <c r="IT995" i="5"/>
  <c r="IT997" i="5" s="1"/>
  <c r="IR995" i="5"/>
  <c r="IR997" i="5" s="1"/>
  <c r="IQ995" i="5"/>
  <c r="IQ997" i="5" s="1"/>
  <c r="IO995" i="5"/>
  <c r="IO997" i="5" s="1"/>
  <c r="IN995" i="5"/>
  <c r="IN997" i="5" s="1"/>
  <c r="IL995" i="5"/>
  <c r="IL997" i="5" s="1"/>
  <c r="IK995" i="5"/>
  <c r="IK997" i="5" s="1"/>
  <c r="II995" i="5"/>
  <c r="II997" i="5" s="1"/>
  <c r="IH995" i="5"/>
  <c r="IH997" i="5" s="1"/>
  <c r="IF995" i="5"/>
  <c r="IF997" i="5" s="1"/>
  <c r="IE995" i="5"/>
  <c r="IE997" i="5" s="1"/>
  <c r="IC995" i="5"/>
  <c r="IB995" i="5"/>
  <c r="LB994" i="5"/>
  <c r="LA994" i="5"/>
  <c r="KZ994" i="5"/>
  <c r="KY994" i="5"/>
  <c r="JA994" i="5"/>
  <c r="IZ994" i="5"/>
  <c r="II994" i="5"/>
  <c r="IH994" i="5"/>
  <c r="FV994" i="5"/>
  <c r="FV1255" i="5" s="1"/>
  <c r="FU994" i="5"/>
  <c r="FU1255" i="5" s="1"/>
  <c r="FT994" i="5"/>
  <c r="FT1255" i="5" s="1"/>
  <c r="FS994" i="5"/>
  <c r="FS1255" i="5" s="1"/>
  <c r="FR994" i="5"/>
  <c r="FQ994" i="5"/>
  <c r="FQ1255" i="5" s="1"/>
  <c r="FP994" i="5"/>
  <c r="FP1255" i="5" s="1"/>
  <c r="FO994" i="5"/>
  <c r="FN994" i="5"/>
  <c r="FM994" i="5"/>
  <c r="FL994" i="5"/>
  <c r="FL1255" i="5" s="1"/>
  <c r="FK994" i="5"/>
  <c r="FK1255" i="5" s="1"/>
  <c r="FJ994" i="5"/>
  <c r="FI994" i="5"/>
  <c r="FH994" i="5"/>
  <c r="FH1255" i="5" s="1"/>
  <c r="FG994" i="5"/>
  <c r="FF994" i="5"/>
  <c r="FF1255" i="5" s="1"/>
  <c r="FE994" i="5"/>
  <c r="FD994" i="5"/>
  <c r="FC994" i="5"/>
  <c r="FC1255" i="5" s="1"/>
  <c r="FB994" i="5"/>
  <c r="FB1255" i="5" s="1"/>
  <c r="FA994" i="5"/>
  <c r="FA1255" i="5" s="1"/>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DQ994" i="5"/>
  <c r="DP994" i="5"/>
  <c r="DO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JA993" i="5"/>
  <c r="AG1694" i="2" s="1"/>
  <c r="IZ993" i="5"/>
  <c r="AF1695" i="2" s="1"/>
  <c r="CC993" i="5"/>
  <c r="CC988" i="5" s="1"/>
  <c r="CC1096" i="5" s="1"/>
  <c r="CB993" i="5"/>
  <c r="CB988" i="5" s="1"/>
  <c r="CB1096" i="5" s="1"/>
  <c r="CA993" i="5"/>
  <c r="CA988" i="5" s="1"/>
  <c r="CA1096" i="5" s="1"/>
  <c r="BZ993" i="5"/>
  <c r="BZ988" i="5" s="1"/>
  <c r="BZ1096" i="5" s="1"/>
  <c r="BY993" i="5"/>
  <c r="BY988" i="5" s="1"/>
  <c r="BY1096" i="5" s="1"/>
  <c r="BX993" i="5"/>
  <c r="BX988" i="5" s="1"/>
  <c r="BW993" i="5"/>
  <c r="BW988" i="5" s="1"/>
  <c r="BV993" i="5"/>
  <c r="BV988" i="5" s="1"/>
  <c r="BU993" i="5"/>
  <c r="BU988" i="5" s="1"/>
  <c r="BT993" i="5"/>
  <c r="BT988" i="5" s="1"/>
  <c r="BS993" i="5"/>
  <c r="BS988" i="5" s="1"/>
  <c r="BS1096" i="5" s="1"/>
  <c r="BR993" i="5"/>
  <c r="BR988" i="5" s="1"/>
  <c r="BQ993" i="5"/>
  <c r="BQ988" i="5" s="1"/>
  <c r="BQ1096" i="5" s="1"/>
  <c r="BP993" i="5"/>
  <c r="BP988" i="5" s="1"/>
  <c r="BP1096" i="5" s="1"/>
  <c r="BO993" i="5"/>
  <c r="BO988" i="5" s="1"/>
  <c r="BO1096" i="5" s="1"/>
  <c r="BN993" i="5"/>
  <c r="BN988" i="5" s="1"/>
  <c r="BN1096" i="5" s="1"/>
  <c r="BM993" i="5"/>
  <c r="BM988" i="5" s="1"/>
  <c r="BM1096" i="5" s="1"/>
  <c r="BL993" i="5"/>
  <c r="BL988" i="5" s="1"/>
  <c r="BL1096" i="5" s="1"/>
  <c r="BK993" i="5"/>
  <c r="BK988" i="5" s="1"/>
  <c r="BK1096" i="5" s="1"/>
  <c r="BJ993" i="5"/>
  <c r="BJ988" i="5" s="1"/>
  <c r="BI993" i="5"/>
  <c r="BI988" i="5" s="1"/>
  <c r="BH993" i="5"/>
  <c r="BH988" i="5" s="1"/>
  <c r="BH1096" i="5" s="1"/>
  <c r="BG993" i="5"/>
  <c r="BG988" i="5" s="1"/>
  <c r="BG1096" i="5" s="1"/>
  <c r="BF993" i="5"/>
  <c r="BF988" i="5" s="1"/>
  <c r="BF1096" i="5" s="1"/>
  <c r="BE993" i="5"/>
  <c r="BE988" i="5" s="1"/>
  <c r="BE1096" i="5" s="1"/>
  <c r="BD993" i="5"/>
  <c r="BD988" i="5" s="1"/>
  <c r="BD1096" i="5" s="1"/>
  <c r="BC993" i="5"/>
  <c r="BC988" i="5" s="1"/>
  <c r="BB993" i="5"/>
  <c r="BB988" i="5" s="1"/>
  <c r="BA993" i="5"/>
  <c r="BA988" i="5" s="1"/>
  <c r="AZ993" i="5"/>
  <c r="AZ988" i="5" s="1"/>
  <c r="AZ1096" i="5" s="1"/>
  <c r="AY993" i="5"/>
  <c r="AY988" i="5" s="1"/>
  <c r="AY1096" i="5" s="1"/>
  <c r="AX993" i="5"/>
  <c r="AX988" i="5" s="1"/>
  <c r="AW993" i="5"/>
  <c r="AW988" i="5" s="1"/>
  <c r="AW1096" i="5" s="1"/>
  <c r="AV993" i="5"/>
  <c r="AV988" i="5" s="1"/>
  <c r="AV1096" i="5" s="1"/>
  <c r="AU993" i="5"/>
  <c r="AU988" i="5" s="1"/>
  <c r="AU1096" i="5" s="1"/>
  <c r="AT993" i="5"/>
  <c r="AT988" i="5" s="1"/>
  <c r="AS993" i="5"/>
  <c r="AS988" i="5" s="1"/>
  <c r="AR993" i="5"/>
  <c r="AR988" i="5" s="1"/>
  <c r="AR1096" i="5" s="1"/>
  <c r="AQ993" i="5"/>
  <c r="AQ988" i="5" s="1"/>
  <c r="AQ1096" i="5" s="1"/>
  <c r="AP993" i="5"/>
  <c r="AP988" i="5" s="1"/>
  <c r="AP1096" i="5" s="1"/>
  <c r="AO993" i="5"/>
  <c r="AO988" i="5" s="1"/>
  <c r="AO1096" i="5" s="1"/>
  <c r="AN993" i="5"/>
  <c r="AN988" i="5" s="1"/>
  <c r="AN1096" i="5" s="1"/>
  <c r="AM993" i="5"/>
  <c r="AM988" i="5" s="1"/>
  <c r="AL993" i="5"/>
  <c r="AL988" i="5" s="1"/>
  <c r="AL1096" i="5" s="1"/>
  <c r="AK993" i="5"/>
  <c r="AK988" i="5" s="1"/>
  <c r="AK1096" i="5" s="1"/>
  <c r="AJ993" i="5"/>
  <c r="AJ988" i="5" s="1"/>
  <c r="AI993" i="5"/>
  <c r="AI988" i="5" s="1"/>
  <c r="AI1096" i="5" s="1"/>
  <c r="AH993" i="5"/>
  <c r="AH988" i="5" s="1"/>
  <c r="AG993" i="5"/>
  <c r="AG988" i="5" s="1"/>
  <c r="AG1096" i="5" s="1"/>
  <c r="AF993" i="5"/>
  <c r="AF988" i="5" s="1"/>
  <c r="AF1096" i="5" s="1"/>
  <c r="AE993" i="5"/>
  <c r="AE988" i="5" s="1"/>
  <c r="AE1096" i="5" s="1"/>
  <c r="AD993" i="5"/>
  <c r="AD988" i="5" s="1"/>
  <c r="AD1096" i="5" s="1"/>
  <c r="AC993" i="5"/>
  <c r="AC988" i="5" s="1"/>
  <c r="AC1096" i="5" s="1"/>
  <c r="AB993" i="5"/>
  <c r="AB988" i="5" s="1"/>
  <c r="AB1096" i="5" s="1"/>
  <c r="AA993" i="5"/>
  <c r="AA988" i="5" s="1"/>
  <c r="AA1096" i="5" s="1"/>
  <c r="Z993" i="5"/>
  <c r="Z988" i="5" s="1"/>
  <c r="Z1096" i="5" s="1"/>
  <c r="Y993" i="5"/>
  <c r="Y988" i="5" s="1"/>
  <c r="Y1096" i="5" s="1"/>
  <c r="X993" i="5"/>
  <c r="X988" i="5" s="1"/>
  <c r="X1096" i="5" s="1"/>
  <c r="W993" i="5"/>
  <c r="W988" i="5" s="1"/>
  <c r="W1096" i="5" s="1"/>
  <c r="V993" i="5"/>
  <c r="V988" i="5" s="1"/>
  <c r="V1096" i="5" s="1"/>
  <c r="U993" i="5"/>
  <c r="U988" i="5" s="1"/>
  <c r="U1096" i="5" s="1"/>
  <c r="T993" i="5"/>
  <c r="T988" i="5" s="1"/>
  <c r="T1096" i="5" s="1"/>
  <c r="S993" i="5"/>
  <c r="S988" i="5" s="1"/>
  <c r="S1096" i="5" s="1"/>
  <c r="R993" i="5"/>
  <c r="R988" i="5" s="1"/>
  <c r="R1096" i="5" s="1"/>
  <c r="Q993" i="5"/>
  <c r="Q988" i="5" s="1"/>
  <c r="Q1096" i="5" s="1"/>
  <c r="P993" i="5"/>
  <c r="P988" i="5" s="1"/>
  <c r="O993" i="5"/>
  <c r="O988" i="5" s="1"/>
  <c r="O1096" i="5" s="1"/>
  <c r="N993" i="5"/>
  <c r="N988" i="5" s="1"/>
  <c r="N1096" i="5" s="1"/>
  <c r="M993" i="5"/>
  <c r="M988" i="5" s="1"/>
  <c r="M1096" i="5" s="1"/>
  <c r="L993" i="5"/>
  <c r="L988" i="5" s="1"/>
  <c r="K993" i="5"/>
  <c r="K988" i="5" s="1"/>
  <c r="J993" i="5"/>
  <c r="J988" i="5" s="1"/>
  <c r="J1096" i="5" s="1"/>
  <c r="I993" i="5"/>
  <c r="I988" i="5" s="1"/>
  <c r="H993" i="5"/>
  <c r="H988" i="5" s="1"/>
  <c r="H1096" i="5" s="1"/>
  <c r="G993" i="5"/>
  <c r="G988" i="5" s="1"/>
  <c r="F993" i="5"/>
  <c r="F988" i="5" s="1"/>
  <c r="F1096" i="5" s="1"/>
  <c r="E993" i="5"/>
  <c r="E988" i="5" s="1"/>
  <c r="E1096" i="5" s="1"/>
  <c r="JA992" i="5"/>
  <c r="IZ992" i="5"/>
  <c r="IX992" i="5"/>
  <c r="IW992" i="5"/>
  <c r="IV992" i="5"/>
  <c r="AE1318" i="2" s="1"/>
  <c r="AE1376" i="2" s="1"/>
  <c r="JA991" i="5"/>
  <c r="IZ991" i="5"/>
  <c r="IX991" i="5"/>
  <c r="IW991" i="5"/>
  <c r="IV991" i="5"/>
  <c r="AE1317" i="2" s="1"/>
  <c r="AE1375" i="2" s="1"/>
  <c r="JA990" i="5"/>
  <c r="IZ990" i="5"/>
  <c r="IX990" i="5"/>
  <c r="IW990" i="5"/>
  <c r="IU990" i="5"/>
  <c r="IT990" i="5"/>
  <c r="IR990" i="5"/>
  <c r="IQ990" i="5"/>
  <c r="IO990" i="5"/>
  <c r="IN990" i="5"/>
  <c r="IL990" i="5"/>
  <c r="IK990" i="5"/>
  <c r="II990" i="5"/>
  <c r="IH990" i="5"/>
  <c r="IF990" i="5"/>
  <c r="IE990" i="5"/>
  <c r="IC990" i="5"/>
  <c r="IB990" i="5"/>
  <c r="JA989" i="5"/>
  <c r="IZ989" i="5"/>
  <c r="JA988" i="5"/>
  <c r="JA1096" i="5" s="1"/>
  <c r="IZ988" i="5"/>
  <c r="JA987" i="5"/>
  <c r="IZ987" i="5"/>
  <c r="JA986" i="5"/>
  <c r="IZ986" i="5"/>
  <c r="JA985" i="5"/>
  <c r="IZ985" i="5"/>
  <c r="IX985" i="5"/>
  <c r="IW985" i="5"/>
  <c r="IU985" i="5"/>
  <c r="IT985" i="5"/>
  <c r="IR985" i="5"/>
  <c r="IQ985" i="5"/>
  <c r="IO985" i="5"/>
  <c r="IN985" i="5"/>
  <c r="IL985" i="5"/>
  <c r="IK985" i="5"/>
  <c r="II985" i="5"/>
  <c r="IH985" i="5"/>
  <c r="IF985" i="5"/>
  <c r="IE985" i="5"/>
  <c r="IE1094" i="5" s="1"/>
  <c r="IC985" i="5"/>
  <c r="IB985" i="5"/>
  <c r="JO984" i="5"/>
  <c r="JM984" i="5"/>
  <c r="JA984" i="5"/>
  <c r="IZ984" i="5"/>
  <c r="IX984" i="5"/>
  <c r="IW984" i="5"/>
  <c r="JO983" i="5"/>
  <c r="JP983" i="5" s="1"/>
  <c r="JM983" i="5"/>
  <c r="JA983" i="5"/>
  <c r="IZ983" i="5"/>
  <c r="IX983" i="5"/>
  <c r="IW983" i="5"/>
  <c r="JO982" i="5"/>
  <c r="JP982" i="5" s="1"/>
  <c r="JM982" i="5"/>
  <c r="JA982" i="5"/>
  <c r="IZ982" i="5"/>
  <c r="IX982" i="5"/>
  <c r="IW982" i="5"/>
  <c r="JO981" i="5"/>
  <c r="JP981" i="5" s="1"/>
  <c r="JM981" i="5"/>
  <c r="JA981" i="5"/>
  <c r="IZ981" i="5"/>
  <c r="IX981" i="5"/>
  <c r="IY981" i="5" s="1"/>
  <c r="AF1307" i="2" s="1"/>
  <c r="JA978" i="5"/>
  <c r="IZ978" i="5"/>
  <c r="IX978" i="5"/>
  <c r="IY978" i="5" s="1"/>
  <c r="AF1303" i="2" s="1"/>
  <c r="JO977" i="5"/>
  <c r="JA977" i="5"/>
  <c r="IZ977" i="5"/>
  <c r="IX977" i="5"/>
  <c r="IY977" i="5" s="1"/>
  <c r="AF1301" i="2" s="1"/>
  <c r="JA976" i="5"/>
  <c r="JA749" i="5" s="1"/>
  <c r="IZ976" i="5"/>
  <c r="IZ749" i="5" s="1"/>
  <c r="IX976" i="5"/>
  <c r="IX749" i="5" s="1"/>
  <c r="IW976" i="5"/>
  <c r="JA974" i="5"/>
  <c r="IZ974" i="5"/>
  <c r="IX974" i="5"/>
  <c r="IW974" i="5"/>
  <c r="IU974" i="5"/>
  <c r="IT974" i="5"/>
  <c r="IR974" i="5"/>
  <c r="IQ974" i="5"/>
  <c r="IO974" i="5"/>
  <c r="IN974" i="5"/>
  <c r="IL974" i="5"/>
  <c r="IK974" i="5"/>
  <c r="II974" i="5"/>
  <c r="IH974" i="5"/>
  <c r="IF974" i="5"/>
  <c r="IE974" i="5"/>
  <c r="IC974" i="5"/>
  <c r="IB974" i="5"/>
  <c r="JA973" i="5"/>
  <c r="IZ973" i="5"/>
  <c r="IX973" i="5"/>
  <c r="IY973" i="5" s="1"/>
  <c r="AF1294" i="2" s="1"/>
  <c r="JO971" i="5"/>
  <c r="JA971" i="5"/>
  <c r="IZ971" i="5"/>
  <c r="IX971" i="5"/>
  <c r="IY971" i="5" s="1"/>
  <c r="AF1293" i="2" s="1"/>
  <c r="JA968" i="5"/>
  <c r="IZ968" i="5"/>
  <c r="IX968" i="5"/>
  <c r="IW968" i="5"/>
  <c r="IU968" i="5"/>
  <c r="IT968" i="5"/>
  <c r="IR968" i="5"/>
  <c r="IQ968" i="5"/>
  <c r="IO968" i="5"/>
  <c r="IN968" i="5"/>
  <c r="IL968" i="5"/>
  <c r="IK968" i="5"/>
  <c r="II968" i="5"/>
  <c r="IH968" i="5"/>
  <c r="IF968" i="5"/>
  <c r="IE968" i="5"/>
  <c r="IC968" i="5"/>
  <c r="IB968" i="5"/>
  <c r="JA967" i="5"/>
  <c r="IZ967" i="5"/>
  <c r="IX967" i="5"/>
  <c r="IW967" i="5"/>
  <c r="IU967" i="5"/>
  <c r="IT967" i="5"/>
  <c r="IR967" i="5"/>
  <c r="IQ967" i="5"/>
  <c r="IO967" i="5"/>
  <c r="IN967" i="5"/>
  <c r="IL967" i="5"/>
  <c r="IK967" i="5"/>
  <c r="II967" i="5"/>
  <c r="IH967" i="5"/>
  <c r="IC967" i="5"/>
  <c r="IB967" i="5"/>
  <c r="DB967" i="5"/>
  <c r="DB948" i="5" s="1"/>
  <c r="DB1093" i="5" s="1"/>
  <c r="DA967" i="5"/>
  <c r="DA948" i="5" s="1"/>
  <c r="DA947" i="5" s="1"/>
  <c r="DA1092" i="5" s="1"/>
  <c r="CZ967" i="5"/>
  <c r="CZ948" i="5" s="1"/>
  <c r="CZ1093" i="5" s="1"/>
  <c r="CY967" i="5"/>
  <c r="CX967" i="5"/>
  <c r="CX948" i="5" s="1"/>
  <c r="CX1093" i="5" s="1"/>
  <c r="CW967" i="5"/>
  <c r="CW948" i="5" s="1"/>
  <c r="CW1093" i="5" s="1"/>
  <c r="CV967" i="5"/>
  <c r="CV948" i="5" s="1"/>
  <c r="CV947" i="5" s="1"/>
  <c r="CV1092" i="5" s="1"/>
  <c r="CU967" i="5"/>
  <c r="CU948" i="5" s="1"/>
  <c r="CU1093" i="5" s="1"/>
  <c r="CT967" i="5"/>
  <c r="CT948" i="5" s="1"/>
  <c r="CT1093" i="5" s="1"/>
  <c r="CS967" i="5"/>
  <c r="CS948" i="5" s="1"/>
  <c r="CR967" i="5"/>
  <c r="CQ967" i="5"/>
  <c r="CQ948" i="5" s="1"/>
  <c r="JO966" i="5"/>
  <c r="JA966" i="5"/>
  <c r="IZ966" i="5"/>
  <c r="IX966" i="5"/>
  <c r="IW966" i="5"/>
  <c r="IU966" i="5"/>
  <c r="IT966" i="5"/>
  <c r="IR966" i="5"/>
  <c r="IQ966" i="5"/>
  <c r="IO966" i="5"/>
  <c r="IN966" i="5"/>
  <c r="IL966" i="5"/>
  <c r="IK966" i="5"/>
  <c r="II966" i="5"/>
  <c r="IH966" i="5"/>
  <c r="IF966" i="5"/>
  <c r="IE966" i="5"/>
  <c r="IC966" i="5"/>
  <c r="IB966" i="5"/>
  <c r="JO965" i="5"/>
  <c r="JA965" i="5"/>
  <c r="IZ965" i="5"/>
  <c r="IX965" i="5"/>
  <c r="IW965" i="5"/>
  <c r="IU965" i="5"/>
  <c r="IT965" i="5"/>
  <c r="IR965" i="5"/>
  <c r="IQ965" i="5"/>
  <c r="IO965" i="5"/>
  <c r="IN965" i="5"/>
  <c r="IL965" i="5"/>
  <c r="IK965" i="5"/>
  <c r="II965" i="5"/>
  <c r="IH965" i="5"/>
  <c r="IF965" i="5"/>
  <c r="IE965" i="5"/>
  <c r="IC965" i="5"/>
  <c r="IB965" i="5"/>
  <c r="JA964" i="5"/>
  <c r="IZ964" i="5"/>
  <c r="IX964" i="5"/>
  <c r="IY964" i="5" s="1"/>
  <c r="AF1285" i="2" s="1"/>
  <c r="JO963" i="5"/>
  <c r="JP963" i="5" s="1"/>
  <c r="JA963" i="5"/>
  <c r="IZ963" i="5"/>
  <c r="IX963" i="5"/>
  <c r="IY963" i="5" s="1"/>
  <c r="AF1284" i="2" s="1"/>
  <c r="JA962" i="5"/>
  <c r="IZ962" i="5"/>
  <c r="IX962" i="5"/>
  <c r="IY962" i="5" s="1"/>
  <c r="AF1283" i="2" s="1"/>
  <c r="JA961" i="5"/>
  <c r="IZ961" i="5"/>
  <c r="IX961" i="5"/>
  <c r="IW961" i="5"/>
  <c r="JO960" i="5"/>
  <c r="JP960" i="5" s="1"/>
  <c r="JA960" i="5"/>
  <c r="IZ960" i="5"/>
  <c r="IX960" i="5"/>
  <c r="IY960" i="5" s="1"/>
  <c r="AF1281" i="2" s="1"/>
  <c r="JA959" i="5"/>
  <c r="IZ959" i="5"/>
  <c r="IX959" i="5"/>
  <c r="IY959" i="5" s="1"/>
  <c r="AF1280" i="2" s="1"/>
  <c r="JA958" i="5"/>
  <c r="IZ958" i="5"/>
  <c r="IX958" i="5"/>
  <c r="IY958" i="5" s="1"/>
  <c r="AF1279" i="2" s="1"/>
  <c r="JO957" i="5"/>
  <c r="JP957" i="5" s="1"/>
  <c r="JM957" i="5"/>
  <c r="JA957" i="5"/>
  <c r="IZ957" i="5"/>
  <c r="IX957" i="5"/>
  <c r="IY957" i="5" s="1"/>
  <c r="AF1278" i="2" s="1"/>
  <c r="JA956" i="5"/>
  <c r="IZ956" i="5"/>
  <c r="IX956" i="5"/>
  <c r="IY956" i="5" s="1"/>
  <c r="AF1277" i="2" s="1"/>
  <c r="JA955" i="5"/>
  <c r="IZ955" i="5"/>
  <c r="IX955" i="5"/>
  <c r="IW955" i="5"/>
  <c r="IU955" i="5"/>
  <c r="IT955" i="5"/>
  <c r="IR955" i="5"/>
  <c r="IQ955" i="5"/>
  <c r="IO955" i="5"/>
  <c r="IN955" i="5"/>
  <c r="IL955" i="5"/>
  <c r="IK955" i="5"/>
  <c r="II955" i="5"/>
  <c r="IH955" i="5"/>
  <c r="IF955" i="5"/>
  <c r="IE955" i="5"/>
  <c r="IC955" i="5"/>
  <c r="IB955" i="5"/>
  <c r="JM954" i="5"/>
  <c r="JA954" i="5"/>
  <c r="IZ954" i="5"/>
  <c r="IX954" i="5"/>
  <c r="IY954" i="5" s="1"/>
  <c r="AF1275" i="2" s="1"/>
  <c r="JA953" i="5"/>
  <c r="IZ953" i="5"/>
  <c r="IX953" i="5"/>
  <c r="IY953" i="5" s="1"/>
  <c r="AF1274" i="2" s="1"/>
  <c r="JA952" i="5"/>
  <c r="IZ952" i="5"/>
  <c r="IX952" i="5"/>
  <c r="IW952" i="5"/>
  <c r="IU952" i="5"/>
  <c r="IT952" i="5"/>
  <c r="IR952" i="5"/>
  <c r="IQ952" i="5"/>
  <c r="IO952" i="5"/>
  <c r="IN952" i="5"/>
  <c r="IL952" i="5"/>
  <c r="IK952" i="5"/>
  <c r="II952" i="5"/>
  <c r="IH952" i="5"/>
  <c r="IF952" i="5"/>
  <c r="IE952" i="5"/>
  <c r="IC952" i="5"/>
  <c r="IB952" i="5"/>
  <c r="JA951" i="5"/>
  <c r="IZ951" i="5"/>
  <c r="IX951" i="5"/>
  <c r="IY951" i="5" s="1"/>
  <c r="AF1272" i="2" s="1"/>
  <c r="JA950" i="5"/>
  <c r="AG1723" i="2" s="1"/>
  <c r="IZ950" i="5"/>
  <c r="AF1724" i="2" s="1"/>
  <c r="IX950" i="5"/>
  <c r="AF1723" i="2" s="1"/>
  <c r="IW950" i="5"/>
  <c r="AE1724" i="2" s="1"/>
  <c r="IU950" i="5"/>
  <c r="AE1723" i="2" s="1"/>
  <c r="IT950" i="5"/>
  <c r="IR950" i="5"/>
  <c r="AD1698" i="2" s="1"/>
  <c r="IQ950" i="5"/>
  <c r="IO950" i="5"/>
  <c r="AC1698" i="2" s="1"/>
  <c r="IN950" i="5"/>
  <c r="IL950" i="5"/>
  <c r="IK950" i="5"/>
  <c r="AA1699" i="2" s="1"/>
  <c r="II950" i="5"/>
  <c r="AA1698" i="2" s="1"/>
  <c r="IH950" i="5"/>
  <c r="IF950" i="5"/>
  <c r="Z1698" i="2" s="1"/>
  <c r="IE950" i="5"/>
  <c r="Y1699" i="2" s="1"/>
  <c r="IC950" i="5"/>
  <c r="IB950" i="5"/>
  <c r="X1699" i="2" s="1"/>
  <c r="JA949" i="5"/>
  <c r="IZ949" i="5"/>
  <c r="LB948" i="5"/>
  <c r="LB1093" i="5" s="1"/>
  <c r="LA948" i="5"/>
  <c r="KZ948" i="5"/>
  <c r="KY948" i="5"/>
  <c r="KY1093" i="5" s="1"/>
  <c r="JA948" i="5"/>
  <c r="IZ948" i="5"/>
  <c r="FV948" i="5"/>
  <c r="FU948" i="5"/>
  <c r="FU947" i="5" s="1"/>
  <c r="FU1092" i="5" s="1"/>
  <c r="FT948" i="5"/>
  <c r="FT1093" i="5" s="1"/>
  <c r="FS948" i="5"/>
  <c r="FR948" i="5"/>
  <c r="FR947" i="5" s="1"/>
  <c r="FR1092" i="5" s="1"/>
  <c r="FQ948" i="5"/>
  <c r="FQ1093" i="5" s="1"/>
  <c r="FP948" i="5"/>
  <c r="FP1093" i="5" s="1"/>
  <c r="FO948" i="5"/>
  <c r="FN948" i="5"/>
  <c r="FN947" i="5" s="1"/>
  <c r="FN1092" i="5" s="1"/>
  <c r="FM948" i="5"/>
  <c r="FL948" i="5"/>
  <c r="FK948" i="5"/>
  <c r="FJ948" i="5"/>
  <c r="FI948" i="5"/>
  <c r="FH948" i="5"/>
  <c r="FG948" i="5"/>
  <c r="FF948" i="5"/>
  <c r="FE948" i="5"/>
  <c r="FD948" i="5"/>
  <c r="FC948" i="5"/>
  <c r="FB948" i="5"/>
  <c r="FB1093" i="5" s="1"/>
  <c r="FA948" i="5"/>
  <c r="EZ948" i="5"/>
  <c r="EZ947" i="5" s="1"/>
  <c r="EZ1092" i="5" s="1"/>
  <c r="EY948" i="5"/>
  <c r="EX948" i="5"/>
  <c r="EX1093" i="5" s="1"/>
  <c r="EW948" i="5"/>
  <c r="EW1093" i="5" s="1"/>
  <c r="EV948" i="5"/>
  <c r="EV947" i="5" s="1"/>
  <c r="EV1092" i="5" s="1"/>
  <c r="EU948" i="5"/>
  <c r="EU1093" i="5" s="1"/>
  <c r="ET948" i="5"/>
  <c r="ET947" i="5" s="1"/>
  <c r="ET1092" i="5" s="1"/>
  <c r="ES948" i="5"/>
  <c r="ER948" i="5"/>
  <c r="EQ948" i="5"/>
  <c r="EP948" i="5"/>
  <c r="EP1093" i="5" s="1"/>
  <c r="EO948" i="5"/>
  <c r="EN948" i="5"/>
  <c r="EN947" i="5" s="1"/>
  <c r="EN1092" i="5" s="1"/>
  <c r="EM948" i="5"/>
  <c r="EL948" i="5"/>
  <c r="EK948" i="5"/>
  <c r="EJ948" i="5"/>
  <c r="EI948" i="5"/>
  <c r="EI1093" i="5" s="1"/>
  <c r="EH948" i="5"/>
  <c r="EH1093" i="5" s="1"/>
  <c r="EG948" i="5"/>
  <c r="EG947" i="5" s="1"/>
  <c r="EG1092" i="5" s="1"/>
  <c r="EF948" i="5"/>
  <c r="EE948" i="5"/>
  <c r="EE1093" i="5" s="1"/>
  <c r="ED948" i="5"/>
  <c r="ED1093" i="5" s="1"/>
  <c r="EC948" i="5"/>
  <c r="EB948" i="5"/>
  <c r="EA948" i="5"/>
  <c r="EA1093" i="5" s="1"/>
  <c r="DZ948" i="5"/>
  <c r="DZ1093" i="5" s="1"/>
  <c r="DY948" i="5"/>
  <c r="DX948" i="5"/>
  <c r="DW948" i="5"/>
  <c r="DV948" i="5"/>
  <c r="DU948" i="5"/>
  <c r="DT948" i="5"/>
  <c r="DS948" i="5"/>
  <c r="DS1093" i="5" s="1"/>
  <c r="DR948" i="5"/>
  <c r="DQ948" i="5"/>
  <c r="DP948" i="5"/>
  <c r="DP1093" i="5" s="1"/>
  <c r="DO948" i="5"/>
  <c r="DN948" i="5"/>
  <c r="DM948" i="5"/>
  <c r="DM1093" i="5" s="1"/>
  <c r="DL948" i="5"/>
  <c r="DL1093" i="5" s="1"/>
  <c r="DK948" i="5"/>
  <c r="DK947" i="5" s="1"/>
  <c r="DK1092" i="5" s="1"/>
  <c r="DJ948" i="5"/>
  <c r="DJ947" i="5" s="1"/>
  <c r="DJ1092" i="5" s="1"/>
  <c r="DI948" i="5"/>
  <c r="DI1093" i="5" s="1"/>
  <c r="DH948" i="5"/>
  <c r="DH1093" i="5" s="1"/>
  <c r="DG948" i="5"/>
  <c r="DG947" i="5" s="1"/>
  <c r="DG1092" i="5" s="1"/>
  <c r="DF948" i="5"/>
  <c r="DF1093" i="5" s="1"/>
  <c r="DE948" i="5"/>
  <c r="DD948" i="5"/>
  <c r="DC948" i="5"/>
  <c r="DC947" i="5" s="1"/>
  <c r="DC1092" i="5" s="1"/>
  <c r="CP948" i="5"/>
  <c r="CO948" i="5"/>
  <c r="CN948" i="5"/>
  <c r="CM948" i="5"/>
  <c r="CL948" i="5"/>
  <c r="CK948" i="5"/>
  <c r="CJ948" i="5"/>
  <c r="CI948" i="5"/>
  <c r="CH948" i="5"/>
  <c r="CH1093" i="5" s="1"/>
  <c r="CG948" i="5"/>
  <c r="CF948" i="5"/>
  <c r="CF1093" i="5" s="1"/>
  <c r="CE948" i="5"/>
  <c r="CD948" i="5"/>
  <c r="CD1093" i="5" s="1"/>
  <c r="CC948" i="5"/>
  <c r="CC1093" i="5" s="1"/>
  <c r="CB948" i="5"/>
  <c r="CA948" i="5"/>
  <c r="CA1093" i="5" s="1"/>
  <c r="BZ948" i="5"/>
  <c r="BZ947" i="5" s="1"/>
  <c r="BZ1092" i="5" s="1"/>
  <c r="BY948" i="5"/>
  <c r="BX948" i="5"/>
  <c r="BW948" i="5"/>
  <c r="BV948" i="5"/>
  <c r="BV947" i="5" s="1"/>
  <c r="BV1092" i="5" s="1"/>
  <c r="BU948" i="5"/>
  <c r="BT948" i="5"/>
  <c r="BS948" i="5"/>
  <c r="BS947" i="5" s="1"/>
  <c r="BS1092" i="5" s="1"/>
  <c r="BR948" i="5"/>
  <c r="BR947" i="5" s="1"/>
  <c r="BR1092" i="5" s="1"/>
  <c r="BQ948" i="5"/>
  <c r="BP948" i="5"/>
  <c r="BP947" i="5" s="1"/>
  <c r="BP1092" i="5" s="1"/>
  <c r="BO948" i="5"/>
  <c r="BO947" i="5" s="1"/>
  <c r="BO1092" i="5" s="1"/>
  <c r="BN948" i="5"/>
  <c r="BN1093" i="5" s="1"/>
  <c r="BM948" i="5"/>
  <c r="BL948" i="5"/>
  <c r="BK948" i="5"/>
  <c r="BJ948" i="5"/>
  <c r="BJ947" i="5" s="1"/>
  <c r="BJ1092" i="5" s="1"/>
  <c r="BI948" i="5"/>
  <c r="BI1093" i="5" s="1"/>
  <c r="BH948" i="5"/>
  <c r="BH1093" i="5" s="1"/>
  <c r="BG948" i="5"/>
  <c r="BG1093" i="5" s="1"/>
  <c r="BF948" i="5"/>
  <c r="BF1093" i="5" s="1"/>
  <c r="BE948" i="5"/>
  <c r="BD948" i="5"/>
  <c r="BD1093" i="5" s="1"/>
  <c r="BC948" i="5"/>
  <c r="BB948" i="5"/>
  <c r="BA948" i="5"/>
  <c r="AZ948" i="5"/>
  <c r="AZ947" i="5" s="1"/>
  <c r="AZ1092" i="5" s="1"/>
  <c r="AY948" i="5"/>
  <c r="AX948" i="5"/>
  <c r="AW948" i="5"/>
  <c r="AV948" i="5"/>
  <c r="AV1093" i="5" s="1"/>
  <c r="AU948" i="5"/>
  <c r="AT948" i="5"/>
  <c r="AS948" i="5"/>
  <c r="AS947" i="5" s="1"/>
  <c r="AS1092" i="5" s="1"/>
  <c r="AR948" i="5"/>
  <c r="AQ948" i="5"/>
  <c r="AQ1093" i="5" s="1"/>
  <c r="AP948" i="5"/>
  <c r="AP1093" i="5" s="1"/>
  <c r="AO948" i="5"/>
  <c r="AN948" i="5"/>
  <c r="AN947" i="5" s="1"/>
  <c r="AN1092" i="5" s="1"/>
  <c r="AM948" i="5"/>
  <c r="AL948" i="5"/>
  <c r="AL947" i="5" s="1"/>
  <c r="AL1092" i="5" s="1"/>
  <c r="AK948" i="5"/>
  <c r="AJ948" i="5"/>
  <c r="AJ1093" i="5" s="1"/>
  <c r="AI948" i="5"/>
  <c r="AH948" i="5"/>
  <c r="AH1093" i="5" s="1"/>
  <c r="AG948" i="5"/>
  <c r="AF948" i="5"/>
  <c r="AE948" i="5"/>
  <c r="AD948" i="5"/>
  <c r="AC948" i="5"/>
  <c r="AB948" i="5"/>
  <c r="AB1093" i="5" s="1"/>
  <c r="AA948" i="5"/>
  <c r="AA1093" i="5" s="1"/>
  <c r="Z948" i="5"/>
  <c r="Z947" i="5" s="1"/>
  <c r="Z1092" i="5" s="1"/>
  <c r="Y948" i="5"/>
  <c r="Y1093" i="5" s="1"/>
  <c r="X948" i="5"/>
  <c r="X1093" i="5" s="1"/>
  <c r="W948" i="5"/>
  <c r="W1093" i="5" s="1"/>
  <c r="V948" i="5"/>
  <c r="V1093" i="5" s="1"/>
  <c r="U948" i="5"/>
  <c r="T948" i="5"/>
  <c r="S948" i="5"/>
  <c r="S1093" i="5" s="1"/>
  <c r="R948" i="5"/>
  <c r="R1093" i="5" s="1"/>
  <c r="Q948" i="5"/>
  <c r="P948" i="5"/>
  <c r="O948" i="5"/>
  <c r="O1093" i="5" s="1"/>
  <c r="N948" i="5"/>
  <c r="N947" i="5" s="1"/>
  <c r="N1092" i="5" s="1"/>
  <c r="M948" i="5"/>
  <c r="L948" i="5"/>
  <c r="L1093" i="5" s="1"/>
  <c r="K948" i="5"/>
  <c r="J948" i="5"/>
  <c r="J1093" i="5" s="1"/>
  <c r="I948" i="5"/>
  <c r="I1093" i="5" s="1"/>
  <c r="H948" i="5"/>
  <c r="G948" i="5"/>
  <c r="F948" i="5"/>
  <c r="F1093" i="5" s="1"/>
  <c r="E948" i="5"/>
  <c r="JA947" i="5"/>
  <c r="JA1092" i="5" s="1"/>
  <c r="IZ947" i="5"/>
  <c r="AF1687" i="2" s="1"/>
  <c r="JA946" i="5"/>
  <c r="IZ946" i="5"/>
  <c r="JA945" i="5"/>
  <c r="IZ945" i="5"/>
  <c r="JA944" i="5"/>
  <c r="IZ944" i="5"/>
  <c r="JA943" i="5"/>
  <c r="IZ943" i="5"/>
  <c r="JA942" i="5"/>
  <c r="IZ942" i="5"/>
  <c r="JA941" i="5"/>
  <c r="IZ941" i="5"/>
  <c r="JA940" i="5"/>
  <c r="IZ940" i="5"/>
  <c r="JA939" i="5"/>
  <c r="IZ939" i="5"/>
  <c r="JA938" i="5"/>
  <c r="IZ938" i="5"/>
  <c r="JA936" i="5"/>
  <c r="IZ936" i="5"/>
  <c r="JA931" i="5"/>
  <c r="IZ931" i="5"/>
  <c r="JA930" i="5"/>
  <c r="IZ930" i="5"/>
  <c r="JA929" i="5"/>
  <c r="IZ929" i="5"/>
  <c r="JA928" i="5"/>
  <c r="IZ928" i="5"/>
  <c r="JA927" i="5"/>
  <c r="IZ927" i="5"/>
  <c r="JA926" i="5"/>
  <c r="IZ926" i="5"/>
  <c r="JA925" i="5"/>
  <c r="IZ925" i="5"/>
  <c r="JA924" i="5"/>
  <c r="IZ924" i="5"/>
  <c r="JA923" i="5"/>
  <c r="IZ923" i="5"/>
  <c r="JO922" i="5"/>
  <c r="JP922" i="5" s="1"/>
  <c r="JM922" i="5"/>
  <c r="JA922" i="5"/>
  <c r="IZ922" i="5"/>
  <c r="FV922" i="5"/>
  <c r="FU922" i="5"/>
  <c r="FT922" i="5"/>
  <c r="FS922" i="5"/>
  <c r="FR922" i="5"/>
  <c r="FQ922" i="5"/>
  <c r="FP922" i="5"/>
  <c r="FO922" i="5"/>
  <c r="FN922" i="5"/>
  <c r="FM922" i="5"/>
  <c r="FL922" i="5"/>
  <c r="FK922" i="5"/>
  <c r="FJ922" i="5"/>
  <c r="FI922" i="5"/>
  <c r="FH922" i="5"/>
  <c r="FG922" i="5"/>
  <c r="FF922" i="5"/>
  <c r="FE922" i="5"/>
  <c r="FD922" i="5"/>
  <c r="FC922" i="5"/>
  <c r="FB922" i="5"/>
  <c r="FA922" i="5"/>
  <c r="EZ922" i="5"/>
  <c r="EY922" i="5"/>
  <c r="EX922" i="5"/>
  <c r="EW922" i="5"/>
  <c r="EV922" i="5"/>
  <c r="EU922" i="5"/>
  <c r="ET922" i="5"/>
  <c r="ES922" i="5"/>
  <c r="ER922" i="5"/>
  <c r="EQ922" i="5"/>
  <c r="EP922" i="5"/>
  <c r="EO922" i="5"/>
  <c r="EN922" i="5"/>
  <c r="EM922" i="5"/>
  <c r="EL922" i="5"/>
  <c r="EK922" i="5"/>
  <c r="EJ922" i="5"/>
  <c r="EI922" i="5"/>
  <c r="EH922" i="5"/>
  <c r="EG922" i="5"/>
  <c r="EF922" i="5"/>
  <c r="EE922" i="5"/>
  <c r="ED922" i="5"/>
  <c r="EC922" i="5"/>
  <c r="EB922" i="5"/>
  <c r="EA922" i="5"/>
  <c r="DZ922" i="5"/>
  <c r="DY922" i="5"/>
  <c r="DX922" i="5"/>
  <c r="DW922" i="5"/>
  <c r="DV922" i="5"/>
  <c r="DU922" i="5"/>
  <c r="DT922" i="5"/>
  <c r="DS922" i="5"/>
  <c r="DR922" i="5"/>
  <c r="DQ922" i="5"/>
  <c r="DP922" i="5"/>
  <c r="DO922" i="5"/>
  <c r="DN922" i="5"/>
  <c r="DM922" i="5"/>
  <c r="DL922" i="5"/>
  <c r="DK922" i="5"/>
  <c r="DJ922" i="5"/>
  <c r="DI922" i="5"/>
  <c r="DH922" i="5"/>
  <c r="DG922" i="5"/>
  <c r="DF922" i="5"/>
  <c r="DE922" i="5"/>
  <c r="DD922" i="5"/>
  <c r="DC922" i="5"/>
  <c r="DB922" i="5"/>
  <c r="DA922" i="5"/>
  <c r="CZ922" i="5"/>
  <c r="CY922" i="5"/>
  <c r="CX922" i="5"/>
  <c r="CW922" i="5"/>
  <c r="CV922" i="5"/>
  <c r="CU922" i="5"/>
  <c r="CT922" i="5"/>
  <c r="CS922" i="5"/>
  <c r="CR922" i="5"/>
  <c r="CQ922" i="5"/>
  <c r="CP922" i="5"/>
  <c r="CO922" i="5"/>
  <c r="CN922" i="5"/>
  <c r="CM922" i="5"/>
  <c r="CL922" i="5"/>
  <c r="CK922" i="5"/>
  <c r="CJ922" i="5"/>
  <c r="CI922" i="5"/>
  <c r="CH922" i="5"/>
  <c r="CG922" i="5"/>
  <c r="CF922" i="5"/>
  <c r="CE922" i="5"/>
  <c r="E922" i="5"/>
  <c r="JA921" i="5"/>
  <c r="IZ921" i="5"/>
  <c r="FV921" i="5"/>
  <c r="FU921" i="5"/>
  <c r="FT921" i="5"/>
  <c r="FS921" i="5"/>
  <c r="FR921" i="5"/>
  <c r="FQ921" i="5"/>
  <c r="FP921" i="5"/>
  <c r="FO921" i="5"/>
  <c r="FN921" i="5"/>
  <c r="FM921" i="5"/>
  <c r="FL921" i="5"/>
  <c r="FK921" i="5"/>
  <c r="FJ921" i="5"/>
  <c r="FI921" i="5"/>
  <c r="FH921" i="5"/>
  <c r="FG921" i="5"/>
  <c r="FF921" i="5"/>
  <c r="FE921" i="5"/>
  <c r="FD921" i="5"/>
  <c r="FC921" i="5"/>
  <c r="FB921" i="5"/>
  <c r="FA921" i="5"/>
  <c r="EZ921" i="5"/>
  <c r="EY921" i="5"/>
  <c r="EX921" i="5"/>
  <c r="EW921" i="5"/>
  <c r="EV921" i="5"/>
  <c r="EU921" i="5"/>
  <c r="ET921" i="5"/>
  <c r="ES921" i="5"/>
  <c r="ER921" i="5"/>
  <c r="EQ921" i="5"/>
  <c r="EP921" i="5"/>
  <c r="EO921" i="5"/>
  <c r="EN921" i="5"/>
  <c r="EM921" i="5"/>
  <c r="EL921" i="5"/>
  <c r="EK921" i="5"/>
  <c r="EJ921" i="5"/>
  <c r="EI921" i="5"/>
  <c r="EH921" i="5"/>
  <c r="EG921" i="5"/>
  <c r="EF921" i="5"/>
  <c r="EE921" i="5"/>
  <c r="ED921" i="5"/>
  <c r="EC921" i="5"/>
  <c r="EB921" i="5"/>
  <c r="EA921" i="5"/>
  <c r="DZ921" i="5"/>
  <c r="DY921" i="5"/>
  <c r="DX921" i="5"/>
  <c r="DW921" i="5"/>
  <c r="DV921" i="5"/>
  <c r="DU921" i="5"/>
  <c r="DT921" i="5"/>
  <c r="DS921" i="5"/>
  <c r="DR921" i="5"/>
  <c r="DQ921" i="5"/>
  <c r="DP921" i="5"/>
  <c r="DO921" i="5"/>
  <c r="DN921" i="5"/>
  <c r="DM921" i="5"/>
  <c r="DL921" i="5"/>
  <c r="DK921" i="5"/>
  <c r="DJ921" i="5"/>
  <c r="DI921" i="5"/>
  <c r="DH921" i="5"/>
  <c r="DG921" i="5"/>
  <c r="DF921" i="5"/>
  <c r="DE921" i="5"/>
  <c r="DD921" i="5"/>
  <c r="DC921" i="5"/>
  <c r="DB921" i="5"/>
  <c r="DA921" i="5"/>
  <c r="CZ921" i="5"/>
  <c r="CY921" i="5"/>
  <c r="CX921" i="5"/>
  <c r="CW921" i="5"/>
  <c r="CV921" i="5"/>
  <c r="CU921" i="5"/>
  <c r="CT921" i="5"/>
  <c r="CS921" i="5"/>
  <c r="CR921" i="5"/>
  <c r="CQ921" i="5"/>
  <c r="CP921" i="5"/>
  <c r="CO921" i="5"/>
  <c r="CN921" i="5"/>
  <c r="CM921" i="5"/>
  <c r="CL921" i="5"/>
  <c r="CK921" i="5"/>
  <c r="CJ921" i="5"/>
  <c r="CI921" i="5"/>
  <c r="CH921" i="5"/>
  <c r="CG921" i="5"/>
  <c r="CF921" i="5"/>
  <c r="CE921" i="5"/>
  <c r="JO920" i="5"/>
  <c r="JM920" i="5"/>
  <c r="JA920" i="5"/>
  <c r="IZ920" i="5"/>
  <c r="EQ920" i="5"/>
  <c r="EP920" i="5"/>
  <c r="EO920" i="5"/>
  <c r="EN920" i="5"/>
  <c r="EM920" i="5"/>
  <c r="EL920" i="5"/>
  <c r="EK920" i="5"/>
  <c r="EJ920" i="5"/>
  <c r="EI920" i="5"/>
  <c r="EH920" i="5"/>
  <c r="EG920" i="5"/>
  <c r="EF920" i="5"/>
  <c r="EE920" i="5"/>
  <c r="ED920" i="5"/>
  <c r="EC920" i="5"/>
  <c r="EB920" i="5"/>
  <c r="EA920" i="5"/>
  <c r="DZ920" i="5"/>
  <c r="DY920" i="5"/>
  <c r="DX920" i="5"/>
  <c r="DW920" i="5"/>
  <c r="DV920" i="5"/>
  <c r="DU920" i="5"/>
  <c r="DT920" i="5"/>
  <c r="DS920" i="5"/>
  <c r="DR920" i="5"/>
  <c r="DQ920" i="5"/>
  <c r="DP920" i="5"/>
  <c r="DO920" i="5"/>
  <c r="DN920" i="5"/>
  <c r="DM920" i="5"/>
  <c r="DL920" i="5"/>
  <c r="DK920" i="5"/>
  <c r="DJ920" i="5"/>
  <c r="DI920" i="5"/>
  <c r="DH920" i="5"/>
  <c r="DG920" i="5"/>
  <c r="DF920" i="5"/>
  <c r="DE920" i="5"/>
  <c r="DD920" i="5"/>
  <c r="DC920" i="5"/>
  <c r="DB920" i="5"/>
  <c r="DA920" i="5"/>
  <c r="CZ920" i="5"/>
  <c r="CY920" i="5"/>
  <c r="CX920" i="5"/>
  <c r="CW920" i="5"/>
  <c r="CV920" i="5"/>
  <c r="CU920" i="5"/>
  <c r="CT920" i="5"/>
  <c r="CS920" i="5"/>
  <c r="CR920" i="5"/>
  <c r="CQ920" i="5"/>
  <c r="CP920" i="5"/>
  <c r="CO920" i="5"/>
  <c r="CN920" i="5"/>
  <c r="CM920" i="5"/>
  <c r="CL920" i="5"/>
  <c r="CK920" i="5"/>
  <c r="CJ920" i="5"/>
  <c r="CI920" i="5"/>
  <c r="CH920" i="5"/>
  <c r="CG920" i="5"/>
  <c r="CF920" i="5"/>
  <c r="CE920" i="5"/>
  <c r="E920" i="5"/>
  <c r="JA919" i="5"/>
  <c r="IZ919" i="5"/>
  <c r="FT919" i="5"/>
  <c r="FS919" i="5"/>
  <c r="FR919" i="5"/>
  <c r="FQ919" i="5"/>
  <c r="FP919" i="5"/>
  <c r="FO919" i="5"/>
  <c r="FN919" i="5"/>
  <c r="FM919" i="5"/>
  <c r="FL919" i="5"/>
  <c r="FK919" i="5"/>
  <c r="FJ919" i="5"/>
  <c r="FI919" i="5"/>
  <c r="FH919" i="5"/>
  <c r="FG919" i="5"/>
  <c r="FF919" i="5"/>
  <c r="FE919" i="5"/>
  <c r="FD919" i="5"/>
  <c r="FC919" i="5"/>
  <c r="FB919" i="5"/>
  <c r="FA919" i="5"/>
  <c r="EZ919" i="5"/>
  <c r="EY919" i="5"/>
  <c r="EX919" i="5"/>
  <c r="EW919" i="5"/>
  <c r="EV919" i="5"/>
  <c r="EU919" i="5"/>
  <c r="ET919" i="5"/>
  <c r="ES919" i="5"/>
  <c r="ER919" i="5"/>
  <c r="EQ919" i="5"/>
  <c r="EP919" i="5"/>
  <c r="EO919" i="5"/>
  <c r="EN919" i="5"/>
  <c r="EM919" i="5"/>
  <c r="EL919" i="5"/>
  <c r="EK919" i="5"/>
  <c r="EJ919" i="5"/>
  <c r="EI919" i="5"/>
  <c r="EH919" i="5"/>
  <c r="EG919" i="5"/>
  <c r="EF919" i="5"/>
  <c r="EE919" i="5"/>
  <c r="ED919" i="5"/>
  <c r="EC919" i="5"/>
  <c r="EB919" i="5"/>
  <c r="EA919" i="5"/>
  <c r="DZ919" i="5"/>
  <c r="DY919" i="5"/>
  <c r="DX919" i="5"/>
  <c r="DW919" i="5"/>
  <c r="DV919" i="5"/>
  <c r="DU919" i="5"/>
  <c r="DT919" i="5"/>
  <c r="DS919" i="5"/>
  <c r="DR919" i="5"/>
  <c r="DQ919" i="5"/>
  <c r="DP919" i="5"/>
  <c r="DO919" i="5"/>
  <c r="DN919" i="5"/>
  <c r="DM919" i="5"/>
  <c r="DL919" i="5"/>
  <c r="DK919" i="5"/>
  <c r="DJ919" i="5"/>
  <c r="DI919" i="5"/>
  <c r="DH919" i="5"/>
  <c r="DG919" i="5"/>
  <c r="DF919" i="5"/>
  <c r="DE919" i="5"/>
  <c r="DD919" i="5"/>
  <c r="DC919" i="5"/>
  <c r="DB919" i="5"/>
  <c r="DA919" i="5"/>
  <c r="CZ919" i="5"/>
  <c r="CY919" i="5"/>
  <c r="CX919" i="5"/>
  <c r="CW919" i="5"/>
  <c r="CV919" i="5"/>
  <c r="CU919" i="5"/>
  <c r="CT919" i="5"/>
  <c r="CS919" i="5"/>
  <c r="CR919" i="5"/>
  <c r="CQ919" i="5"/>
  <c r="CP919" i="5"/>
  <c r="CO919" i="5"/>
  <c r="CN919" i="5"/>
  <c r="CM919" i="5"/>
  <c r="CL919" i="5"/>
  <c r="CK919" i="5"/>
  <c r="CJ919" i="5"/>
  <c r="CI919" i="5"/>
  <c r="CH919" i="5"/>
  <c r="CG919" i="5"/>
  <c r="CF919" i="5"/>
  <c r="CE919" i="5"/>
  <c r="E919" i="5"/>
  <c r="JA917" i="5"/>
  <c r="IZ917" i="5"/>
  <c r="JA916" i="5"/>
  <c r="IZ916" i="5"/>
  <c r="JA915" i="5"/>
  <c r="IZ915" i="5"/>
  <c r="IX915" i="5"/>
  <c r="IY915" i="5" s="1"/>
  <c r="AF1236" i="2" s="1"/>
  <c r="IV915" i="5"/>
  <c r="JO914" i="5"/>
  <c r="JA914" i="5"/>
  <c r="IZ914" i="5"/>
  <c r="IX914" i="5"/>
  <c r="IY914" i="5" s="1"/>
  <c r="AF1235" i="2" s="1"/>
  <c r="AF1442" i="2" s="1"/>
  <c r="IV914" i="5"/>
  <c r="LB912" i="5"/>
  <c r="LB1088" i="5" s="1"/>
  <c r="LA912" i="5"/>
  <c r="KZ912" i="5"/>
  <c r="KY912" i="5"/>
  <c r="KY907" i="5" s="1"/>
  <c r="KY1086" i="5" s="1"/>
  <c r="JA912" i="5"/>
  <c r="JA1088" i="5" s="1"/>
  <c r="IZ912" i="5"/>
  <c r="AN912" i="5"/>
  <c r="AM912" i="5"/>
  <c r="AM907" i="5" s="1"/>
  <c r="AM1086" i="5" s="1"/>
  <c r="AL912" i="5"/>
  <c r="AL907" i="5" s="1"/>
  <c r="AL1086" i="5" s="1"/>
  <c r="AK912" i="5"/>
  <c r="AK1088" i="5" s="1"/>
  <c r="AJ912" i="5"/>
  <c r="AI912" i="5"/>
  <c r="AH912" i="5"/>
  <c r="AH1088" i="5" s="1"/>
  <c r="AG912" i="5"/>
  <c r="AG1088" i="5" s="1"/>
  <c r="AF912" i="5"/>
  <c r="AF1088" i="5" s="1"/>
  <c r="AE912" i="5"/>
  <c r="AE1088" i="5" s="1"/>
  <c r="AD912" i="5"/>
  <c r="AC912" i="5"/>
  <c r="AB912" i="5"/>
  <c r="AA912" i="5"/>
  <c r="Z912" i="5"/>
  <c r="Y912" i="5"/>
  <c r="X912" i="5"/>
  <c r="W912" i="5"/>
  <c r="V912" i="5"/>
  <c r="U912" i="5"/>
  <c r="T912" i="5"/>
  <c r="T1088" i="5" s="1"/>
  <c r="S912" i="5"/>
  <c r="R912" i="5"/>
  <c r="R1088" i="5" s="1"/>
  <c r="Q912" i="5"/>
  <c r="Q1088" i="5" s="1"/>
  <c r="P912" i="5"/>
  <c r="P907" i="5" s="1"/>
  <c r="P1086" i="5" s="1"/>
  <c r="O912" i="5"/>
  <c r="N912" i="5"/>
  <c r="N1088" i="5" s="1"/>
  <c r="M912" i="5"/>
  <c r="M1088" i="5" s="1"/>
  <c r="L912" i="5"/>
  <c r="K912" i="5"/>
  <c r="K907" i="5" s="1"/>
  <c r="K1086" i="5" s="1"/>
  <c r="J912" i="5"/>
  <c r="J907" i="5" s="1"/>
  <c r="J1086" i="5" s="1"/>
  <c r="I912" i="5"/>
  <c r="I1088" i="5" s="1"/>
  <c r="H912" i="5"/>
  <c r="G912" i="5"/>
  <c r="F912" i="5"/>
  <c r="JA911" i="5"/>
  <c r="IZ911" i="5"/>
  <c r="IX911" i="5"/>
  <c r="IY911" i="5" s="1"/>
  <c r="AF1232" i="2" s="1"/>
  <c r="JA910" i="5"/>
  <c r="IZ910" i="5"/>
  <c r="IX910" i="5"/>
  <c r="IY910" i="5" s="1"/>
  <c r="AF1231" i="2" s="1"/>
  <c r="AF1440" i="2" s="1"/>
  <c r="JA909" i="5"/>
  <c r="IZ909" i="5"/>
  <c r="IX909" i="5"/>
  <c r="IY909" i="5" s="1"/>
  <c r="AF1230" i="2" s="1"/>
  <c r="IK908" i="5"/>
  <c r="II908" i="5"/>
  <c r="IH908" i="5"/>
  <c r="CD907" i="5"/>
  <c r="CD1086" i="5" s="1"/>
  <c r="CC907" i="5"/>
  <c r="CC1086" i="5" s="1"/>
  <c r="CB907" i="5"/>
  <c r="CB1086" i="5" s="1"/>
  <c r="CA907" i="5"/>
  <c r="CA1086" i="5" s="1"/>
  <c r="BZ907" i="5"/>
  <c r="BZ1086" i="5" s="1"/>
  <c r="BY907" i="5"/>
  <c r="BY1086" i="5" s="1"/>
  <c r="BX907" i="5"/>
  <c r="BX1086" i="5" s="1"/>
  <c r="BW907" i="5"/>
  <c r="BW1086" i="5" s="1"/>
  <c r="BV907" i="5"/>
  <c r="BV1086" i="5" s="1"/>
  <c r="BU907" i="5"/>
  <c r="BU1086" i="5" s="1"/>
  <c r="BT907" i="5"/>
  <c r="BT1086" i="5" s="1"/>
  <c r="BS907" i="5"/>
  <c r="BS1086" i="5" s="1"/>
  <c r="BR907" i="5"/>
  <c r="BR1086" i="5" s="1"/>
  <c r="BQ907" i="5"/>
  <c r="BP907" i="5"/>
  <c r="BP1086" i="5" s="1"/>
  <c r="BO907" i="5"/>
  <c r="BO1086" i="5" s="1"/>
  <c r="BN907" i="5"/>
  <c r="BN1086" i="5" s="1"/>
  <c r="BM907" i="5"/>
  <c r="BM1086" i="5" s="1"/>
  <c r="BL907" i="5"/>
  <c r="BL1086" i="5" s="1"/>
  <c r="BK907" i="5"/>
  <c r="BK1086" i="5" s="1"/>
  <c r="BJ907" i="5"/>
  <c r="BJ1086" i="5" s="1"/>
  <c r="BI907" i="5"/>
  <c r="BI1086" i="5" s="1"/>
  <c r="BH907" i="5"/>
  <c r="BH1086" i="5" s="1"/>
  <c r="BG907" i="5"/>
  <c r="BG1086" i="5" s="1"/>
  <c r="BF907" i="5"/>
  <c r="BF1086" i="5" s="1"/>
  <c r="BE907" i="5"/>
  <c r="BE1086" i="5" s="1"/>
  <c r="BD907" i="5"/>
  <c r="BD1086" i="5" s="1"/>
  <c r="BC907" i="5"/>
  <c r="BC1086" i="5" s="1"/>
  <c r="BB907" i="5"/>
  <c r="BB1086" i="5" s="1"/>
  <c r="BA907" i="5"/>
  <c r="BA1086" i="5" s="1"/>
  <c r="AZ907" i="5"/>
  <c r="AZ1086" i="5" s="1"/>
  <c r="AY907" i="5"/>
  <c r="AY1086" i="5" s="1"/>
  <c r="AX907" i="5"/>
  <c r="AX1086" i="5" s="1"/>
  <c r="AW907" i="5"/>
  <c r="AW1086" i="5" s="1"/>
  <c r="AV907" i="5"/>
  <c r="AV1086" i="5" s="1"/>
  <c r="AU907" i="5"/>
  <c r="AU1086" i="5" s="1"/>
  <c r="AT907" i="5"/>
  <c r="AT1086" i="5" s="1"/>
  <c r="AS907" i="5"/>
  <c r="AS1086" i="5" s="1"/>
  <c r="AR907" i="5"/>
  <c r="AR1086" i="5" s="1"/>
  <c r="AQ907" i="5"/>
  <c r="AQ1086" i="5" s="1"/>
  <c r="AP907" i="5"/>
  <c r="AP1086" i="5" s="1"/>
  <c r="AO907" i="5"/>
  <c r="AO1086" i="5" s="1"/>
  <c r="JA906" i="5"/>
  <c r="JA1085" i="5" s="1"/>
  <c r="IZ906" i="5"/>
  <c r="JA905" i="5"/>
  <c r="IZ905" i="5"/>
  <c r="JA904" i="5"/>
  <c r="IZ904" i="5"/>
  <c r="JA903" i="5"/>
  <c r="IZ903" i="5"/>
  <c r="FV903" i="5"/>
  <c r="FV1248" i="5" s="1"/>
  <c r="FU903" i="5"/>
  <c r="FU1248" i="5" s="1"/>
  <c r="FT903" i="5"/>
  <c r="FT1248" i="5" s="1"/>
  <c r="FS903" i="5"/>
  <c r="FS1248" i="5" s="1"/>
  <c r="FR903" i="5"/>
  <c r="FR1248" i="5" s="1"/>
  <c r="FQ903" i="5"/>
  <c r="FQ1248" i="5" s="1"/>
  <c r="FP903" i="5"/>
  <c r="FO903" i="5"/>
  <c r="FO1248" i="5" s="1"/>
  <c r="FN903" i="5"/>
  <c r="FN1248" i="5" s="1"/>
  <c r="FM903" i="5"/>
  <c r="FM1248" i="5" s="1"/>
  <c r="FL903" i="5"/>
  <c r="FL1248" i="5" s="1"/>
  <c r="FK903" i="5"/>
  <c r="FK1248" i="5" s="1"/>
  <c r="FJ903" i="5"/>
  <c r="FI903" i="5"/>
  <c r="FI1248" i="5" s="1"/>
  <c r="FH903" i="5"/>
  <c r="FH1248" i="5" s="1"/>
  <c r="FG903" i="5"/>
  <c r="FG1248" i="5" s="1"/>
  <c r="FF903" i="5"/>
  <c r="FF1248" i="5" s="1"/>
  <c r="FE903" i="5"/>
  <c r="FE1248" i="5" s="1"/>
  <c r="FD903" i="5"/>
  <c r="FD1248" i="5" s="1"/>
  <c r="FC903" i="5"/>
  <c r="FC1248" i="5" s="1"/>
  <c r="FB903" i="5"/>
  <c r="FB1248" i="5" s="1"/>
  <c r="FA903" i="5"/>
  <c r="EZ903" i="5"/>
  <c r="EZ1248" i="5" s="1"/>
  <c r="EY903" i="5"/>
  <c r="EY1248" i="5" s="1"/>
  <c r="EX903" i="5"/>
  <c r="EW903" i="5"/>
  <c r="EV903" i="5"/>
  <c r="EU903" i="5"/>
  <c r="ET903" i="5"/>
  <c r="ES903" i="5"/>
  <c r="ER903"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DQ903" i="5"/>
  <c r="DP903" i="5"/>
  <c r="DO903" i="5"/>
  <c r="DN903" i="5"/>
  <c r="DM903" i="5"/>
  <c r="DL903" i="5"/>
  <c r="DK903" i="5"/>
  <c r="DJ903" i="5"/>
  <c r="DI903" i="5"/>
  <c r="DH903" i="5"/>
  <c r="DG903" i="5"/>
  <c r="DF903" i="5"/>
  <c r="DE903" i="5"/>
  <c r="DD903"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E903" i="5"/>
  <c r="JA902" i="5"/>
  <c r="IZ902" i="5"/>
  <c r="IX902" i="5"/>
  <c r="IY902" i="5" s="1"/>
  <c r="IU902" i="5"/>
  <c r="JA901" i="5"/>
  <c r="IZ901" i="5"/>
  <c r="FV901" i="5"/>
  <c r="FU901" i="5"/>
  <c r="FT901" i="5"/>
  <c r="FS901" i="5"/>
  <c r="FR901" i="5"/>
  <c r="FQ901" i="5"/>
  <c r="FP901" i="5"/>
  <c r="FO901" i="5"/>
  <c r="FN901" i="5"/>
  <c r="FM901" i="5"/>
  <c r="FL901" i="5"/>
  <c r="FK901" i="5"/>
  <c r="FJ901" i="5"/>
  <c r="FI901" i="5"/>
  <c r="FH901" i="5"/>
  <c r="FG901" i="5"/>
  <c r="FF901" i="5"/>
  <c r="FE901" i="5"/>
  <c r="FD901" i="5"/>
  <c r="FC901" i="5"/>
  <c r="FB901" i="5"/>
  <c r="FA901" i="5"/>
  <c r="EZ901" i="5"/>
  <c r="EY901" i="5"/>
  <c r="EX901" i="5"/>
  <c r="EW901" i="5"/>
  <c r="EV901" i="5"/>
  <c r="EU901" i="5"/>
  <c r="ET901"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DQ901" i="5"/>
  <c r="DP901" i="5"/>
  <c r="DO901" i="5"/>
  <c r="DN901" i="5"/>
  <c r="DM901" i="5"/>
  <c r="DL901" i="5"/>
  <c r="DK901" i="5"/>
  <c r="DJ901" i="5"/>
  <c r="DI901" i="5"/>
  <c r="DH901" i="5"/>
  <c r="DG901" i="5"/>
  <c r="DF901"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E901" i="5"/>
  <c r="JO898" i="5"/>
  <c r="JP898" i="5" s="1"/>
  <c r="JM898" i="5"/>
  <c r="JA898" i="5"/>
  <c r="IZ898" i="5"/>
  <c r="IX898" i="5"/>
  <c r="IW898" i="5"/>
  <c r="JA897" i="5"/>
  <c r="IZ897" i="5"/>
  <c r="D897" i="5"/>
  <c r="JA896" i="5"/>
  <c r="IZ896" i="5"/>
  <c r="D896" i="5"/>
  <c r="JO895" i="5"/>
  <c r="JA895" i="5"/>
  <c r="IZ895" i="5"/>
  <c r="IX895" i="5"/>
  <c r="IY895" i="5" s="1"/>
  <c r="AF1216" i="2" s="1"/>
  <c r="JA894" i="5"/>
  <c r="IZ894" i="5"/>
  <c r="IX894" i="5"/>
  <c r="IY894" i="5" s="1"/>
  <c r="AF1215" i="2" s="1"/>
  <c r="JA893" i="5"/>
  <c r="IZ893" i="5"/>
  <c r="D893" i="5"/>
  <c r="JA892" i="5"/>
  <c r="IZ892" i="5"/>
  <c r="IX892" i="5"/>
  <c r="IY892" i="5" s="1"/>
  <c r="AF1213" i="2" s="1"/>
  <c r="JA891" i="5"/>
  <c r="IZ891" i="5"/>
  <c r="JA1047" i="5" s="1"/>
  <c r="IX891" i="5"/>
  <c r="IY891" i="5" s="1"/>
  <c r="AF1212" i="2" s="1"/>
  <c r="JA890" i="5"/>
  <c r="IZ890" i="5"/>
  <c r="IY890" i="5"/>
  <c r="AF1211" i="2" s="1"/>
  <c r="JA889" i="5"/>
  <c r="IZ889" i="5"/>
  <c r="IX889" i="5"/>
  <c r="IY889" i="5" s="1"/>
  <c r="AF1210" i="2" s="1"/>
  <c r="JA888" i="5"/>
  <c r="IZ888" i="5"/>
  <c r="IX888" i="5"/>
  <c r="IY888" i="5" s="1"/>
  <c r="AF1209" i="2" s="1"/>
  <c r="JA887" i="5"/>
  <c r="IZ887" i="5"/>
  <c r="IX887" i="5"/>
  <c r="IY887" i="5" s="1"/>
  <c r="AF1208" i="2" s="1"/>
  <c r="JA886" i="5"/>
  <c r="IZ886" i="5"/>
  <c r="IX886" i="5"/>
  <c r="IY886" i="5" s="1"/>
  <c r="AF1207" i="2" s="1"/>
  <c r="JA885" i="5"/>
  <c r="IZ885" i="5"/>
  <c r="FU885" i="5"/>
  <c r="FT885" i="5"/>
  <c r="FS885" i="5"/>
  <c r="FR885" i="5"/>
  <c r="FQ885" i="5"/>
  <c r="FP885" i="5"/>
  <c r="FO885" i="5"/>
  <c r="FN885" i="5"/>
  <c r="FM885" i="5"/>
  <c r="FL885" i="5"/>
  <c r="FK885" i="5"/>
  <c r="FJ885" i="5"/>
  <c r="FI885" i="5"/>
  <c r="FH885" i="5"/>
  <c r="FG885" i="5"/>
  <c r="FF885" i="5"/>
  <c r="FE885" i="5"/>
  <c r="FD885" i="5"/>
  <c r="FC885" i="5"/>
  <c r="FB885" i="5"/>
  <c r="FA885" i="5"/>
  <c r="EZ885" i="5"/>
  <c r="EY885" i="5"/>
  <c r="EX885" i="5"/>
  <c r="EW885" i="5"/>
  <c r="EV885" i="5"/>
  <c r="EU885" i="5"/>
  <c r="ET885" i="5"/>
  <c r="ES885" i="5"/>
  <c r="ER885" i="5"/>
  <c r="EQ885" i="5"/>
  <c r="EP885" i="5"/>
  <c r="EO885" i="5"/>
  <c r="EN885" i="5"/>
  <c r="EM885" i="5"/>
  <c r="EL885" i="5"/>
  <c r="EK885" i="5"/>
  <c r="EJ885" i="5"/>
  <c r="EI885" i="5"/>
  <c r="EH885" i="5"/>
  <c r="EG885" i="5"/>
  <c r="EF885" i="5"/>
  <c r="EE885" i="5"/>
  <c r="ED885" i="5"/>
  <c r="EC885" i="5"/>
  <c r="EB885" i="5"/>
  <c r="EA885" i="5"/>
  <c r="DZ885" i="5"/>
  <c r="DY885" i="5"/>
  <c r="DX885" i="5"/>
  <c r="DW885" i="5"/>
  <c r="DV885" i="5"/>
  <c r="DU885" i="5"/>
  <c r="DT885" i="5"/>
  <c r="DS885" i="5"/>
  <c r="DR885" i="5"/>
  <c r="DQ885" i="5"/>
  <c r="DP885" i="5"/>
  <c r="DO885" i="5"/>
  <c r="DN885" i="5"/>
  <c r="DM885" i="5"/>
  <c r="DL885" i="5"/>
  <c r="DK885" i="5"/>
  <c r="DJ885" i="5"/>
  <c r="DI885" i="5"/>
  <c r="DH885" i="5"/>
  <c r="DG885" i="5"/>
  <c r="DF885" i="5"/>
  <c r="DE885" i="5"/>
  <c r="DD885" i="5"/>
  <c r="DC885" i="5"/>
  <c r="DB885" i="5"/>
  <c r="DA885" i="5"/>
  <c r="CZ885" i="5"/>
  <c r="CY885" i="5"/>
  <c r="CX885" i="5"/>
  <c r="CW885" i="5"/>
  <c r="CV885" i="5"/>
  <c r="CU885" i="5"/>
  <c r="CT885" i="5"/>
  <c r="CS885" i="5"/>
  <c r="CR885" i="5"/>
  <c r="CQ885" i="5"/>
  <c r="CP885" i="5"/>
  <c r="CO885" i="5"/>
  <c r="CN885" i="5"/>
  <c r="CM885" i="5"/>
  <c r="CL885" i="5"/>
  <c r="CK885" i="5"/>
  <c r="CJ885" i="5"/>
  <c r="CI885" i="5"/>
  <c r="CH885" i="5"/>
  <c r="CG885" i="5"/>
  <c r="CF885" i="5"/>
  <c r="CE885" i="5"/>
  <c r="E885" i="5"/>
  <c r="JA883" i="5"/>
  <c r="IZ883" i="5"/>
  <c r="IX883" i="5"/>
  <c r="IY883" i="5" s="1"/>
  <c r="AF1204" i="2" s="1"/>
  <c r="AF1430" i="2" s="1"/>
  <c r="JA882" i="5"/>
  <c r="IZ882" i="5"/>
  <c r="IX882" i="5"/>
  <c r="IY882" i="5" s="1"/>
  <c r="AF1203" i="2" s="1"/>
  <c r="JA881" i="5"/>
  <c r="IZ881" i="5"/>
  <c r="IX881" i="5"/>
  <c r="IY881" i="5" s="1"/>
  <c r="AF1202" i="2" s="1"/>
  <c r="JA878" i="5"/>
  <c r="IZ878" i="5"/>
  <c r="IX878" i="5"/>
  <c r="IY878" i="5" s="1"/>
  <c r="AF1199" i="2" s="1"/>
  <c r="AF697" i="2" s="1"/>
  <c r="IU878" i="5"/>
  <c r="IT878" i="5"/>
  <c r="IR878" i="5"/>
  <c r="IQ878" i="5"/>
  <c r="IO878" i="5"/>
  <c r="IN878" i="5"/>
  <c r="IL878" i="5"/>
  <c r="IK878" i="5"/>
  <c r="II878" i="5"/>
  <c r="IH878" i="5"/>
  <c r="IF878" i="5"/>
  <c r="IE878" i="5"/>
  <c r="IC878" i="5"/>
  <c r="IB878" i="5"/>
  <c r="JA877" i="5"/>
  <c r="IZ877" i="5"/>
  <c r="FV877" i="5"/>
  <c r="FU877" i="5"/>
  <c r="FT877" i="5"/>
  <c r="FS877" i="5"/>
  <c r="FR877" i="5"/>
  <c r="FQ877" i="5"/>
  <c r="FP877" i="5"/>
  <c r="FO877" i="5"/>
  <c r="FN877" i="5"/>
  <c r="FM877" i="5"/>
  <c r="FL877" i="5"/>
  <c r="FK877" i="5"/>
  <c r="FJ877" i="5"/>
  <c r="FI877" i="5"/>
  <c r="FH877" i="5"/>
  <c r="FG877" i="5"/>
  <c r="FF877" i="5"/>
  <c r="FE877" i="5"/>
  <c r="FD877" i="5"/>
  <c r="FC877" i="5"/>
  <c r="FB877" i="5"/>
  <c r="FA877" i="5"/>
  <c r="EZ877" i="5"/>
  <c r="EY877" i="5"/>
  <c r="EX877" i="5"/>
  <c r="EW877" i="5"/>
  <c r="EV877" i="5"/>
  <c r="EU877" i="5"/>
  <c r="ET877" i="5"/>
  <c r="ES877" i="5"/>
  <c r="ER877" i="5"/>
  <c r="EQ877" i="5"/>
  <c r="EP877" i="5"/>
  <c r="EO877" i="5"/>
  <c r="EN877" i="5"/>
  <c r="EM877" i="5"/>
  <c r="EL877" i="5"/>
  <c r="EK877" i="5"/>
  <c r="EJ877" i="5"/>
  <c r="EI877" i="5"/>
  <c r="EH877" i="5"/>
  <c r="EG877" i="5"/>
  <c r="EF877" i="5"/>
  <c r="EE877" i="5"/>
  <c r="ED877" i="5"/>
  <c r="EC877" i="5"/>
  <c r="EB877" i="5"/>
  <c r="EA877" i="5"/>
  <c r="DZ877" i="5"/>
  <c r="DY877" i="5"/>
  <c r="DX877" i="5"/>
  <c r="DW877" i="5"/>
  <c r="DV877" i="5"/>
  <c r="DU877" i="5"/>
  <c r="DT877" i="5"/>
  <c r="DS877" i="5"/>
  <c r="DR877" i="5"/>
  <c r="DQ877" i="5"/>
  <c r="DP877" i="5"/>
  <c r="DO877" i="5"/>
  <c r="DN877" i="5"/>
  <c r="DM877" i="5"/>
  <c r="DL877" i="5"/>
  <c r="DK877" i="5"/>
  <c r="DJ877" i="5"/>
  <c r="DI877" i="5"/>
  <c r="DH877" i="5"/>
  <c r="DG877" i="5"/>
  <c r="DF877" i="5"/>
  <c r="DE877" i="5"/>
  <c r="DD877" i="5"/>
  <c r="DC877" i="5"/>
  <c r="DB877" i="5"/>
  <c r="DA877" i="5"/>
  <c r="CZ877" i="5"/>
  <c r="CY877" i="5"/>
  <c r="CX877" i="5"/>
  <c r="CW877" i="5"/>
  <c r="CV877" i="5"/>
  <c r="CU877" i="5"/>
  <c r="CT877" i="5"/>
  <c r="CS877" i="5"/>
  <c r="CR877" i="5"/>
  <c r="CQ877" i="5"/>
  <c r="CP877" i="5"/>
  <c r="CO877" i="5"/>
  <c r="CN877" i="5"/>
  <c r="CM877" i="5"/>
  <c r="CL877" i="5"/>
  <c r="CK877" i="5"/>
  <c r="CJ877" i="5"/>
  <c r="CI877" i="5"/>
  <c r="CH877" i="5"/>
  <c r="CG877" i="5"/>
  <c r="CF877" i="5"/>
  <c r="CE877" i="5"/>
  <c r="JO876" i="5"/>
  <c r="JA876" i="5"/>
  <c r="IZ876" i="5"/>
  <c r="FV876" i="5"/>
  <c r="FV1245" i="5" s="1"/>
  <c r="FU876" i="5"/>
  <c r="FU1245" i="5" s="1"/>
  <c r="FT876" i="5"/>
  <c r="FT1245" i="5" s="1"/>
  <c r="FS876" i="5"/>
  <c r="FR876" i="5"/>
  <c r="FR1245" i="5" s="1"/>
  <c r="FQ876" i="5"/>
  <c r="FQ1245" i="5" s="1"/>
  <c r="FP876" i="5"/>
  <c r="FP1245" i="5" s="1"/>
  <c r="FO876" i="5"/>
  <c r="FO1245" i="5" s="1"/>
  <c r="FN876" i="5"/>
  <c r="FN1245" i="5" s="1"/>
  <c r="FM876" i="5"/>
  <c r="FM1245" i="5" s="1"/>
  <c r="FL876" i="5"/>
  <c r="FL1245" i="5" s="1"/>
  <c r="FK876" i="5"/>
  <c r="FK1245" i="5" s="1"/>
  <c r="FJ876" i="5"/>
  <c r="FJ1245" i="5" s="1"/>
  <c r="FI876" i="5"/>
  <c r="FH876" i="5"/>
  <c r="FH1245" i="5" s="1"/>
  <c r="FG876" i="5"/>
  <c r="FG1245" i="5" s="1"/>
  <c r="FF876" i="5"/>
  <c r="FF1245" i="5" s="1"/>
  <c r="FE876" i="5"/>
  <c r="FE1245" i="5" s="1"/>
  <c r="FD876" i="5"/>
  <c r="FD1245" i="5" s="1"/>
  <c r="FC876" i="5"/>
  <c r="FC1245" i="5" s="1"/>
  <c r="FB876" i="5"/>
  <c r="FB1245" i="5" s="1"/>
  <c r="FA876" i="5"/>
  <c r="FA1245" i="5" s="1"/>
  <c r="EZ876" i="5"/>
  <c r="EZ1245" i="5" s="1"/>
  <c r="EY876" i="5"/>
  <c r="EX876" i="5"/>
  <c r="EW876" i="5"/>
  <c r="EV876" i="5"/>
  <c r="EU876" i="5"/>
  <c r="ET876" i="5"/>
  <c r="ES876" i="5"/>
  <c r="ER876" i="5"/>
  <c r="EQ876" i="5"/>
  <c r="EP876" i="5"/>
  <c r="EO876" i="5"/>
  <c r="EN876" i="5"/>
  <c r="EM876" i="5"/>
  <c r="EL876" i="5"/>
  <c r="EK876" i="5"/>
  <c r="EJ876" i="5"/>
  <c r="EI876" i="5"/>
  <c r="EH876" i="5"/>
  <c r="EG876" i="5"/>
  <c r="EF876" i="5"/>
  <c r="EE876" i="5"/>
  <c r="ED876" i="5"/>
  <c r="EC876" i="5"/>
  <c r="EB876" i="5"/>
  <c r="EA876" i="5"/>
  <c r="DZ876" i="5"/>
  <c r="DY876" i="5"/>
  <c r="DX876" i="5"/>
  <c r="DW876" i="5"/>
  <c r="DV876" i="5"/>
  <c r="DU876" i="5"/>
  <c r="DT876" i="5"/>
  <c r="DS876" i="5"/>
  <c r="DR876" i="5"/>
  <c r="DQ876" i="5"/>
  <c r="DP876" i="5"/>
  <c r="DO876" i="5"/>
  <c r="DN876" i="5"/>
  <c r="DM876" i="5"/>
  <c r="DL876" i="5"/>
  <c r="DK876" i="5"/>
  <c r="DJ876" i="5"/>
  <c r="DI876" i="5"/>
  <c r="DH876" i="5"/>
  <c r="DG876" i="5"/>
  <c r="DF876" i="5"/>
  <c r="DE876" i="5"/>
  <c r="DD876" i="5"/>
  <c r="DC876" i="5"/>
  <c r="DB876" i="5"/>
  <c r="DA876" i="5"/>
  <c r="CZ876" i="5"/>
  <c r="CY876" i="5"/>
  <c r="CX876" i="5"/>
  <c r="CW876" i="5"/>
  <c r="CV876" i="5"/>
  <c r="CU876" i="5"/>
  <c r="CT876" i="5"/>
  <c r="CS876" i="5"/>
  <c r="CR876" i="5"/>
  <c r="CQ876" i="5"/>
  <c r="CP876" i="5"/>
  <c r="CO876" i="5"/>
  <c r="CN876" i="5"/>
  <c r="CM876" i="5"/>
  <c r="CL876" i="5"/>
  <c r="CK876" i="5"/>
  <c r="CJ876" i="5"/>
  <c r="CI876" i="5"/>
  <c r="CH876" i="5"/>
  <c r="CG876" i="5"/>
  <c r="CF876" i="5"/>
  <c r="CE876" i="5"/>
  <c r="JA871" i="5"/>
  <c r="IZ871" i="5"/>
  <c r="IX871" i="5"/>
  <c r="IY871" i="5" s="1"/>
  <c r="AF1191" i="2" s="1"/>
  <c r="JP870" i="5"/>
  <c r="JA870" i="5"/>
  <c r="IZ870" i="5"/>
  <c r="FV870" i="5"/>
  <c r="FU870" i="5"/>
  <c r="FU1246" i="5" s="1"/>
  <c r="FT870" i="5"/>
  <c r="FT1246" i="5" s="1"/>
  <c r="FS870" i="5"/>
  <c r="FS1246" i="5" s="1"/>
  <c r="FR870" i="5"/>
  <c r="FR1246" i="5" s="1"/>
  <c r="FQ870" i="5"/>
  <c r="FQ1246" i="5" s="1"/>
  <c r="FP870" i="5"/>
  <c r="FP1246" i="5" s="1"/>
  <c r="FO870" i="5"/>
  <c r="FO1246" i="5" s="1"/>
  <c r="FN870" i="5"/>
  <c r="FN1246" i="5" s="1"/>
  <c r="FM870" i="5"/>
  <c r="FM1246" i="5" s="1"/>
  <c r="FL870" i="5"/>
  <c r="FL1246" i="5" s="1"/>
  <c r="FK870" i="5"/>
  <c r="FK1246" i="5" s="1"/>
  <c r="FJ870" i="5"/>
  <c r="FJ1246" i="5" s="1"/>
  <c r="FI870" i="5"/>
  <c r="FI1246" i="5" s="1"/>
  <c r="FH870" i="5"/>
  <c r="FH1246" i="5" s="1"/>
  <c r="FG870" i="5"/>
  <c r="FG1246" i="5" s="1"/>
  <c r="FF870" i="5"/>
  <c r="FF1246" i="5" s="1"/>
  <c r="FE870" i="5"/>
  <c r="FE1246" i="5" s="1"/>
  <c r="FD870" i="5"/>
  <c r="FD1246" i="5" s="1"/>
  <c r="FC870" i="5"/>
  <c r="FC1246" i="5" s="1"/>
  <c r="FB870" i="5"/>
  <c r="FB1246" i="5" s="1"/>
  <c r="FA870" i="5"/>
  <c r="FA1246" i="5" s="1"/>
  <c r="EZ870" i="5"/>
  <c r="EY870" i="5"/>
  <c r="EY1246" i="5" s="1"/>
  <c r="EX870" i="5"/>
  <c r="EW870" i="5"/>
  <c r="EV870" i="5"/>
  <c r="EU870" i="5"/>
  <c r="ET870" i="5"/>
  <c r="ES870" i="5"/>
  <c r="ER870" i="5"/>
  <c r="EQ870" i="5"/>
  <c r="EP870" i="5"/>
  <c r="EO870" i="5"/>
  <c r="EN870" i="5"/>
  <c r="EM870" i="5"/>
  <c r="EL870" i="5"/>
  <c r="EK870" i="5"/>
  <c r="EJ870" i="5"/>
  <c r="EI870" i="5"/>
  <c r="EH870" i="5"/>
  <c r="EG870" i="5"/>
  <c r="EF870" i="5"/>
  <c r="EE870" i="5"/>
  <c r="ED870" i="5"/>
  <c r="EC870" i="5"/>
  <c r="EB870" i="5"/>
  <c r="EA870" i="5"/>
  <c r="DZ870" i="5"/>
  <c r="DY870" i="5"/>
  <c r="DX870" i="5"/>
  <c r="DW870" i="5"/>
  <c r="DV870" i="5"/>
  <c r="DU870" i="5"/>
  <c r="DT870" i="5"/>
  <c r="DS870" i="5"/>
  <c r="DR870" i="5"/>
  <c r="DQ870" i="5"/>
  <c r="DP870" i="5"/>
  <c r="DO870" i="5"/>
  <c r="DN870" i="5"/>
  <c r="DM870" i="5"/>
  <c r="DL870" i="5"/>
  <c r="DK870" i="5"/>
  <c r="DJ870" i="5"/>
  <c r="DI870" i="5"/>
  <c r="DH870" i="5"/>
  <c r="DG870" i="5"/>
  <c r="DF870" i="5"/>
  <c r="DE870" i="5"/>
  <c r="DD870" i="5"/>
  <c r="DC870" i="5"/>
  <c r="DB870" i="5"/>
  <c r="DA870" i="5"/>
  <c r="CZ870" i="5"/>
  <c r="CY870" i="5"/>
  <c r="CX870" i="5"/>
  <c r="CW870" i="5"/>
  <c r="CV870" i="5"/>
  <c r="CU870" i="5"/>
  <c r="CT870" i="5"/>
  <c r="CS870" i="5"/>
  <c r="CR870" i="5"/>
  <c r="CQ870" i="5"/>
  <c r="CP870" i="5"/>
  <c r="CO870" i="5"/>
  <c r="CN870" i="5"/>
  <c r="CM870" i="5"/>
  <c r="CL870" i="5"/>
  <c r="CK870" i="5"/>
  <c r="CJ870" i="5"/>
  <c r="CI870" i="5"/>
  <c r="CH870" i="5"/>
  <c r="CG870" i="5"/>
  <c r="CF870" i="5"/>
  <c r="CE870" i="5"/>
  <c r="JA869" i="5"/>
  <c r="IZ869" i="5"/>
  <c r="FV869" i="5"/>
  <c r="FU869" i="5"/>
  <c r="FT869" i="5"/>
  <c r="FS869" i="5"/>
  <c r="FR869" i="5"/>
  <c r="FQ869" i="5"/>
  <c r="FP869" i="5"/>
  <c r="FO869" i="5"/>
  <c r="FN869" i="5"/>
  <c r="FM869" i="5"/>
  <c r="FL869" i="5"/>
  <c r="FK869" i="5"/>
  <c r="FJ869" i="5"/>
  <c r="FI869" i="5"/>
  <c r="FH869" i="5"/>
  <c r="FG869" i="5"/>
  <c r="FF869" i="5"/>
  <c r="FE869" i="5"/>
  <c r="FD869" i="5"/>
  <c r="FC869" i="5"/>
  <c r="FB869" i="5"/>
  <c r="FA869" i="5"/>
  <c r="EZ869" i="5"/>
  <c r="EY869" i="5"/>
  <c r="EX869" i="5"/>
  <c r="EW869" i="5"/>
  <c r="EV869" i="5"/>
  <c r="EU869" i="5"/>
  <c r="ET869" i="5"/>
  <c r="ES869" i="5"/>
  <c r="ER869" i="5"/>
  <c r="EQ869" i="5"/>
  <c r="EP869" i="5"/>
  <c r="EO869" i="5"/>
  <c r="EN869" i="5"/>
  <c r="EM869" i="5"/>
  <c r="EL869" i="5"/>
  <c r="EK869" i="5"/>
  <c r="EJ869" i="5"/>
  <c r="EI869" i="5"/>
  <c r="EH869" i="5"/>
  <c r="EG869" i="5"/>
  <c r="EF869" i="5"/>
  <c r="EE869" i="5"/>
  <c r="ED869" i="5"/>
  <c r="EC869" i="5"/>
  <c r="EB869" i="5"/>
  <c r="EA869" i="5"/>
  <c r="DZ869" i="5"/>
  <c r="DY869" i="5"/>
  <c r="DX869" i="5"/>
  <c r="DW869" i="5"/>
  <c r="DV869" i="5"/>
  <c r="DU869" i="5"/>
  <c r="DT869" i="5"/>
  <c r="DS869" i="5"/>
  <c r="DR869" i="5"/>
  <c r="DQ869" i="5"/>
  <c r="DP869" i="5"/>
  <c r="DO869" i="5"/>
  <c r="DN869" i="5"/>
  <c r="DM869" i="5"/>
  <c r="DL869" i="5"/>
  <c r="DK869" i="5"/>
  <c r="DJ869" i="5"/>
  <c r="DI869" i="5"/>
  <c r="DH869" i="5"/>
  <c r="DG869" i="5"/>
  <c r="DF869" i="5"/>
  <c r="DE869" i="5"/>
  <c r="DD869" i="5"/>
  <c r="DC869" i="5"/>
  <c r="DB869" i="5"/>
  <c r="DA869" i="5"/>
  <c r="CZ869" i="5"/>
  <c r="CY869" i="5"/>
  <c r="CX869" i="5"/>
  <c r="CW869" i="5"/>
  <c r="CV869" i="5"/>
  <c r="CU869" i="5"/>
  <c r="CT869" i="5"/>
  <c r="CS869" i="5"/>
  <c r="CR869" i="5"/>
  <c r="CQ869" i="5"/>
  <c r="CP869" i="5"/>
  <c r="CO869" i="5"/>
  <c r="CN869" i="5"/>
  <c r="CM869" i="5"/>
  <c r="CL869" i="5"/>
  <c r="CK869" i="5"/>
  <c r="CJ869" i="5"/>
  <c r="CI869" i="5"/>
  <c r="CH869" i="5"/>
  <c r="CG869" i="5"/>
  <c r="CF869" i="5"/>
  <c r="CE869" i="5"/>
  <c r="AN869" i="5"/>
  <c r="AN850" i="5" s="1"/>
  <c r="AN1082" i="5" s="1"/>
  <c r="AM869" i="5"/>
  <c r="AM850" i="5" s="1"/>
  <c r="AM1082" i="5" s="1"/>
  <c r="AL869" i="5"/>
  <c r="AL850" i="5" s="1"/>
  <c r="AL1082" i="5" s="1"/>
  <c r="AK869" i="5"/>
  <c r="AK850" i="5" s="1"/>
  <c r="AK1082" i="5" s="1"/>
  <c r="AJ869" i="5"/>
  <c r="AJ850" i="5" s="1"/>
  <c r="AJ1082" i="5" s="1"/>
  <c r="AI869" i="5"/>
  <c r="AI850" i="5" s="1"/>
  <c r="AI1082" i="5" s="1"/>
  <c r="AH869" i="5"/>
  <c r="AH850" i="5" s="1"/>
  <c r="AH1082" i="5" s="1"/>
  <c r="AG869" i="5"/>
  <c r="AG850" i="5" s="1"/>
  <c r="AG1082" i="5" s="1"/>
  <c r="AF869" i="5"/>
  <c r="AF850" i="5" s="1"/>
  <c r="AF1082" i="5" s="1"/>
  <c r="AE869" i="5"/>
  <c r="AE850" i="5" s="1"/>
  <c r="AE1082" i="5" s="1"/>
  <c r="AD869" i="5"/>
  <c r="AD850" i="5" s="1"/>
  <c r="AD1082" i="5" s="1"/>
  <c r="AC869" i="5"/>
  <c r="AC850" i="5" s="1"/>
  <c r="AB869" i="5"/>
  <c r="AB850" i="5" s="1"/>
  <c r="AB1082" i="5" s="1"/>
  <c r="AA869" i="5"/>
  <c r="AA850" i="5" s="1"/>
  <c r="AA1082" i="5" s="1"/>
  <c r="Z869" i="5"/>
  <c r="Z850" i="5" s="1"/>
  <c r="Z1082" i="5" s="1"/>
  <c r="Y869" i="5"/>
  <c r="Y850" i="5" s="1"/>
  <c r="Y1082" i="5" s="1"/>
  <c r="X869" i="5"/>
  <c r="X850" i="5" s="1"/>
  <c r="X1082" i="5" s="1"/>
  <c r="W869" i="5"/>
  <c r="W850" i="5" s="1"/>
  <c r="W1082" i="5" s="1"/>
  <c r="V869" i="5"/>
  <c r="V850" i="5" s="1"/>
  <c r="V1082" i="5" s="1"/>
  <c r="U869" i="5"/>
  <c r="U850" i="5" s="1"/>
  <c r="U1082" i="5" s="1"/>
  <c r="T869" i="5"/>
  <c r="T850" i="5" s="1"/>
  <c r="T1082" i="5" s="1"/>
  <c r="S869" i="5"/>
  <c r="S850" i="5" s="1"/>
  <c r="S1082" i="5" s="1"/>
  <c r="R869" i="5"/>
  <c r="R850" i="5" s="1"/>
  <c r="R1082" i="5" s="1"/>
  <c r="Q869" i="5"/>
  <c r="Q850" i="5" s="1"/>
  <c r="Q1082" i="5" s="1"/>
  <c r="P869" i="5"/>
  <c r="P850" i="5" s="1"/>
  <c r="P1082" i="5" s="1"/>
  <c r="O869" i="5"/>
  <c r="O850" i="5" s="1"/>
  <c r="O1082" i="5" s="1"/>
  <c r="N869" i="5"/>
  <c r="N850" i="5" s="1"/>
  <c r="N1082" i="5" s="1"/>
  <c r="M869" i="5"/>
  <c r="M850" i="5" s="1"/>
  <c r="M1082" i="5" s="1"/>
  <c r="L869" i="5"/>
  <c r="L850" i="5" s="1"/>
  <c r="L1082" i="5" s="1"/>
  <c r="K869" i="5"/>
  <c r="K850" i="5" s="1"/>
  <c r="K1082" i="5" s="1"/>
  <c r="J869" i="5"/>
  <c r="J850" i="5" s="1"/>
  <c r="J1082" i="5" s="1"/>
  <c r="I869" i="5"/>
  <c r="I850" i="5" s="1"/>
  <c r="H869" i="5"/>
  <c r="H850" i="5" s="1"/>
  <c r="H1082" i="5" s="1"/>
  <c r="G869" i="5"/>
  <c r="G850" i="5" s="1"/>
  <c r="G1082" i="5" s="1"/>
  <c r="F869" i="5"/>
  <c r="F850" i="5" s="1"/>
  <c r="F1082" i="5" s="1"/>
  <c r="E869" i="5"/>
  <c r="JA868" i="5"/>
  <c r="IZ868" i="5"/>
  <c r="FU868" i="5"/>
  <c r="FT868" i="5"/>
  <c r="FS868" i="5"/>
  <c r="FR868" i="5"/>
  <c r="FQ868" i="5"/>
  <c r="FP868" i="5"/>
  <c r="FO868" i="5"/>
  <c r="FN868" i="5"/>
  <c r="FM868" i="5"/>
  <c r="FL868" i="5"/>
  <c r="FK868" i="5"/>
  <c r="FJ868" i="5"/>
  <c r="FI868" i="5"/>
  <c r="FH868" i="5"/>
  <c r="FG868" i="5"/>
  <c r="FF868" i="5"/>
  <c r="FE868" i="5"/>
  <c r="FD868" i="5"/>
  <c r="FC868" i="5"/>
  <c r="FB868" i="5"/>
  <c r="FA868" i="5"/>
  <c r="EZ868" i="5"/>
  <c r="EY868" i="5"/>
  <c r="EX868" i="5"/>
  <c r="EW868" i="5"/>
  <c r="EV868" i="5"/>
  <c r="EU868" i="5"/>
  <c r="ET868" i="5"/>
  <c r="ES868" i="5"/>
  <c r="ER868" i="5"/>
  <c r="EQ868" i="5"/>
  <c r="EP868" i="5"/>
  <c r="EO868" i="5"/>
  <c r="EN868" i="5"/>
  <c r="EM868" i="5"/>
  <c r="EL868" i="5"/>
  <c r="EK868" i="5"/>
  <c r="EJ868" i="5"/>
  <c r="EI868" i="5"/>
  <c r="EH868" i="5"/>
  <c r="EG868" i="5"/>
  <c r="EF868" i="5"/>
  <c r="EE868" i="5"/>
  <c r="ED868" i="5"/>
  <c r="EC868" i="5"/>
  <c r="EB868" i="5"/>
  <c r="EA868" i="5"/>
  <c r="DZ868" i="5"/>
  <c r="DY868" i="5"/>
  <c r="DX868" i="5"/>
  <c r="DW868" i="5"/>
  <c r="DV868" i="5"/>
  <c r="DU868" i="5"/>
  <c r="DT868" i="5"/>
  <c r="DS868" i="5"/>
  <c r="DR868" i="5"/>
  <c r="DQ868" i="5"/>
  <c r="DP868" i="5"/>
  <c r="DO868" i="5"/>
  <c r="DN868" i="5"/>
  <c r="DM868" i="5"/>
  <c r="DL868" i="5"/>
  <c r="DK868" i="5"/>
  <c r="DJ868" i="5"/>
  <c r="DI868" i="5"/>
  <c r="DH868" i="5"/>
  <c r="DG868" i="5"/>
  <c r="DF868" i="5"/>
  <c r="DE868" i="5"/>
  <c r="DD868" i="5"/>
  <c r="DC868" i="5"/>
  <c r="DB868" i="5"/>
  <c r="DA868" i="5"/>
  <c r="CZ868" i="5"/>
  <c r="CY868" i="5"/>
  <c r="CX868" i="5"/>
  <c r="CW868" i="5"/>
  <c r="CV868" i="5"/>
  <c r="CU868" i="5"/>
  <c r="CT868" i="5"/>
  <c r="CS868" i="5"/>
  <c r="CR868" i="5"/>
  <c r="CQ868" i="5"/>
  <c r="CP868" i="5"/>
  <c r="CO868" i="5"/>
  <c r="CN868" i="5"/>
  <c r="CM868" i="5"/>
  <c r="CL868" i="5"/>
  <c r="CK868" i="5"/>
  <c r="CJ868" i="5"/>
  <c r="CI868" i="5"/>
  <c r="CH868" i="5"/>
  <c r="CG868" i="5"/>
  <c r="CF868" i="5"/>
  <c r="CE868" i="5"/>
  <c r="JA863" i="5"/>
  <c r="IZ863" i="5"/>
  <c r="D863" i="5"/>
  <c r="JA862" i="5"/>
  <c r="IZ862" i="5"/>
  <c r="IY862" i="5"/>
  <c r="JA861" i="5"/>
  <c r="IZ861" i="5"/>
  <c r="IY861" i="5"/>
  <c r="JA860" i="5"/>
  <c r="IZ860" i="5"/>
  <c r="IX860" i="5"/>
  <c r="IY860" i="5" s="1"/>
  <c r="AF1166" i="2" s="1"/>
  <c r="JO859" i="5"/>
  <c r="JP859" i="5" s="1"/>
  <c r="JM859" i="5"/>
  <c r="JA859" i="5"/>
  <c r="IZ859" i="5"/>
  <c r="IX859" i="5"/>
  <c r="IW859" i="5"/>
  <c r="JO858" i="5"/>
  <c r="JA858" i="5"/>
  <c r="IZ858" i="5"/>
  <c r="IX858" i="5"/>
  <c r="IY858" i="5" s="1"/>
  <c r="AF1164" i="2" s="1"/>
  <c r="JO857" i="5"/>
  <c r="JP857" i="5" s="1"/>
  <c r="JA857" i="5"/>
  <c r="IZ857" i="5"/>
  <c r="IX857" i="5"/>
  <c r="IY857" i="5" s="1"/>
  <c r="AF1163" i="2" s="1"/>
  <c r="AF1426" i="2" s="1"/>
  <c r="JO856" i="5"/>
  <c r="JP856" i="5" s="1"/>
  <c r="JM856" i="5"/>
  <c r="JA856" i="5"/>
  <c r="IZ856" i="5"/>
  <c r="IX856" i="5"/>
  <c r="IY856" i="5" s="1"/>
  <c r="AF1162" i="2" s="1"/>
  <c r="AF1425" i="2" s="1"/>
  <c r="JA853" i="5"/>
  <c r="IZ853" i="5"/>
  <c r="FV1244" i="5"/>
  <c r="FU853" i="5"/>
  <c r="FU1244" i="5" s="1"/>
  <c r="FT853" i="5"/>
  <c r="FS853" i="5"/>
  <c r="FS1244" i="5" s="1"/>
  <c r="FR853" i="5"/>
  <c r="FR1244" i="5" s="1"/>
  <c r="FQ853" i="5"/>
  <c r="FQ1244" i="5" s="1"/>
  <c r="FP853" i="5"/>
  <c r="FP1244" i="5" s="1"/>
  <c r="FO853" i="5"/>
  <c r="FO1244" i="5" s="1"/>
  <c r="FM853" i="5"/>
  <c r="FM1244" i="5" s="1"/>
  <c r="FL853" i="5"/>
  <c r="FL1244" i="5" s="1"/>
  <c r="FK853" i="5"/>
  <c r="FK1244" i="5" s="1"/>
  <c r="FJ853" i="5"/>
  <c r="FJ1244" i="5" s="1"/>
  <c r="FI853" i="5"/>
  <c r="FI1244" i="5" s="1"/>
  <c r="FH853" i="5"/>
  <c r="FH1244" i="5" s="1"/>
  <c r="FG853" i="5"/>
  <c r="FG1244" i="5" s="1"/>
  <c r="FF853" i="5"/>
  <c r="FF1244" i="5" s="1"/>
  <c r="FE853" i="5"/>
  <c r="FD853" i="5"/>
  <c r="FC853" i="5"/>
  <c r="FB853" i="5"/>
  <c r="FB1244" i="5" s="1"/>
  <c r="FA853" i="5"/>
  <c r="FA1244" i="5" s="1"/>
  <c r="EZ853" i="5"/>
  <c r="EZ1244" i="5" s="1"/>
  <c r="EY853" i="5"/>
  <c r="EY1244" i="5" s="1"/>
  <c r="EX853" i="5"/>
  <c r="EW853" i="5"/>
  <c r="EV853" i="5"/>
  <c r="EU853" i="5"/>
  <c r="ET853" i="5"/>
  <c r="ES853" i="5"/>
  <c r="ER853" i="5"/>
  <c r="EQ853" i="5"/>
  <c r="EP853" i="5"/>
  <c r="EO853" i="5"/>
  <c r="EN853" i="5"/>
  <c r="EM853" i="5"/>
  <c r="EL853" i="5"/>
  <c r="EK853" i="5"/>
  <c r="EJ853" i="5"/>
  <c r="EI853" i="5"/>
  <c r="EH853" i="5"/>
  <c r="EG853" i="5"/>
  <c r="EF853" i="5"/>
  <c r="EE853" i="5"/>
  <c r="ED853" i="5"/>
  <c r="EC853" i="5"/>
  <c r="EB853" i="5"/>
  <c r="EA853" i="5"/>
  <c r="DZ853" i="5"/>
  <c r="DY853" i="5"/>
  <c r="DX853" i="5"/>
  <c r="DW853" i="5"/>
  <c r="DV853" i="5"/>
  <c r="DU853" i="5"/>
  <c r="DT853" i="5"/>
  <c r="DS853" i="5"/>
  <c r="DR853" i="5"/>
  <c r="DQ853" i="5"/>
  <c r="DP853" i="5"/>
  <c r="DO853" i="5"/>
  <c r="DN853" i="5"/>
  <c r="DM853" i="5"/>
  <c r="DL853" i="5"/>
  <c r="DK853" i="5"/>
  <c r="DJ853" i="5"/>
  <c r="DI853" i="5"/>
  <c r="DH853" i="5"/>
  <c r="DG853" i="5"/>
  <c r="DF853" i="5"/>
  <c r="DE853" i="5"/>
  <c r="DD853" i="5"/>
  <c r="DC853" i="5"/>
  <c r="DB853" i="5"/>
  <c r="DA853" i="5"/>
  <c r="CZ853" i="5"/>
  <c r="CY853" i="5"/>
  <c r="CX853" i="5"/>
  <c r="CW853" i="5"/>
  <c r="CV853" i="5"/>
  <c r="CU853" i="5"/>
  <c r="CT853" i="5"/>
  <c r="CS853" i="5"/>
  <c r="CR853" i="5"/>
  <c r="CQ853" i="5"/>
  <c r="CP853" i="5"/>
  <c r="CO853" i="5"/>
  <c r="CN853" i="5"/>
  <c r="CM853" i="5"/>
  <c r="CL853" i="5"/>
  <c r="CK853" i="5"/>
  <c r="CJ853" i="5"/>
  <c r="CI853" i="5"/>
  <c r="CH853" i="5"/>
  <c r="CG853" i="5"/>
  <c r="CF853" i="5"/>
  <c r="CE853" i="5"/>
  <c r="E853" i="5"/>
  <c r="JO852" i="5"/>
  <c r="JP852" i="5" s="1"/>
  <c r="JM852" i="5"/>
  <c r="JA852" i="5"/>
  <c r="IZ852" i="5"/>
  <c r="IX852" i="5"/>
  <c r="IY852" i="5" s="1"/>
  <c r="AF1158" i="2" s="1"/>
  <c r="AF1423" i="2" s="1"/>
  <c r="JA851" i="5"/>
  <c r="IZ851" i="5"/>
  <c r="FV1243" i="5"/>
  <c r="FU851" i="5"/>
  <c r="FT851" i="5"/>
  <c r="FT1243" i="5" s="1"/>
  <c r="FS851" i="5"/>
  <c r="FS1243" i="5" s="1"/>
  <c r="FR851" i="5"/>
  <c r="FQ851" i="5"/>
  <c r="FQ1243" i="5" s="1"/>
  <c r="FP851" i="5"/>
  <c r="FP1243" i="5" s="1"/>
  <c r="FO851" i="5"/>
  <c r="FO1243" i="5" s="1"/>
  <c r="FN851" i="5"/>
  <c r="FN1243" i="5" s="1"/>
  <c r="FM851" i="5"/>
  <c r="FL851" i="5"/>
  <c r="FL1243" i="5" s="1"/>
  <c r="FK851" i="5"/>
  <c r="FK1243" i="5" s="1"/>
  <c r="FJ851" i="5"/>
  <c r="FJ1243" i="5" s="1"/>
  <c r="FI851" i="5"/>
  <c r="FH851" i="5"/>
  <c r="FG851" i="5"/>
  <c r="FF851" i="5"/>
  <c r="FE851" i="5"/>
  <c r="FE1243" i="5" s="1"/>
  <c r="FD851" i="5"/>
  <c r="FD1243" i="5" s="1"/>
  <c r="FC851" i="5"/>
  <c r="FC1243" i="5" s="1"/>
  <c r="FB851" i="5"/>
  <c r="FA851" i="5"/>
  <c r="FA1243" i="5" s="1"/>
  <c r="EZ851" i="5"/>
  <c r="EZ1243" i="5" s="1"/>
  <c r="EY851" i="5"/>
  <c r="EY1243" i="5" s="1"/>
  <c r="EX851" i="5"/>
  <c r="EW851" i="5"/>
  <c r="EV851" i="5"/>
  <c r="EU851" i="5"/>
  <c r="ET851" i="5"/>
  <c r="ES851" i="5"/>
  <c r="ER851" i="5"/>
  <c r="EQ851" i="5"/>
  <c r="EP851" i="5"/>
  <c r="EO851" i="5"/>
  <c r="EN851" i="5"/>
  <c r="EM851" i="5"/>
  <c r="EL851" i="5"/>
  <c r="EK851" i="5"/>
  <c r="EJ851" i="5"/>
  <c r="EI851" i="5"/>
  <c r="EH851" i="5"/>
  <c r="EG851" i="5"/>
  <c r="EF851" i="5"/>
  <c r="EE851" i="5"/>
  <c r="ED851" i="5"/>
  <c r="EC851" i="5"/>
  <c r="EB851" i="5"/>
  <c r="EA851" i="5"/>
  <c r="DZ851" i="5"/>
  <c r="DY851" i="5"/>
  <c r="DX851" i="5"/>
  <c r="DW851" i="5"/>
  <c r="DV851" i="5"/>
  <c r="DU851" i="5"/>
  <c r="DT851" i="5"/>
  <c r="DS851" i="5"/>
  <c r="DR851" i="5"/>
  <c r="DQ851" i="5"/>
  <c r="DP851" i="5"/>
  <c r="DO851" i="5"/>
  <c r="DN851" i="5"/>
  <c r="DM851" i="5"/>
  <c r="DL851" i="5"/>
  <c r="DK851" i="5"/>
  <c r="DJ851" i="5"/>
  <c r="DI851" i="5"/>
  <c r="DH851" i="5"/>
  <c r="DG851" i="5"/>
  <c r="DF851" i="5"/>
  <c r="DE851" i="5"/>
  <c r="DD851" i="5"/>
  <c r="DC851" i="5"/>
  <c r="DB851" i="5"/>
  <c r="DA851" i="5"/>
  <c r="CZ851" i="5"/>
  <c r="CY851" i="5"/>
  <c r="CX851" i="5"/>
  <c r="CW851" i="5"/>
  <c r="CV851" i="5"/>
  <c r="CU851" i="5"/>
  <c r="CT851" i="5"/>
  <c r="CS851" i="5"/>
  <c r="CR851" i="5"/>
  <c r="CQ851" i="5"/>
  <c r="CP851" i="5"/>
  <c r="CO851" i="5"/>
  <c r="CN851" i="5"/>
  <c r="CM851" i="5"/>
  <c r="CL851" i="5"/>
  <c r="CK851" i="5"/>
  <c r="CJ851" i="5"/>
  <c r="CI851" i="5"/>
  <c r="CH851" i="5"/>
  <c r="CG851" i="5"/>
  <c r="CF851" i="5"/>
  <c r="CE851" i="5"/>
  <c r="E851" i="5"/>
  <c r="LB850" i="5"/>
  <c r="LB1082" i="5" s="1"/>
  <c r="LA850" i="5"/>
  <c r="LA1082" i="5" s="1"/>
  <c r="KZ850" i="5"/>
  <c r="KZ1082" i="5" s="1"/>
  <c r="KY850" i="5"/>
  <c r="KY1082" i="5" s="1"/>
  <c r="JA850" i="5"/>
  <c r="JA1082" i="5" s="1"/>
  <c r="IZ850" i="5"/>
  <c r="CD850" i="5"/>
  <c r="CD1082" i="5" s="1"/>
  <c r="CC850" i="5"/>
  <c r="CC1082" i="5" s="1"/>
  <c r="CB850" i="5"/>
  <c r="CB1082" i="5" s="1"/>
  <c r="CA850" i="5"/>
  <c r="CA1082" i="5" s="1"/>
  <c r="BZ850" i="5"/>
  <c r="BZ1082" i="5" s="1"/>
  <c r="BY850" i="5"/>
  <c r="BY1082" i="5" s="1"/>
  <c r="BX850" i="5"/>
  <c r="BX1082" i="5" s="1"/>
  <c r="BW850" i="5"/>
  <c r="BW1082" i="5" s="1"/>
  <c r="BV850" i="5"/>
  <c r="BV1082" i="5" s="1"/>
  <c r="BU850" i="5"/>
  <c r="BU1082" i="5" s="1"/>
  <c r="BT850" i="5"/>
  <c r="BT1082" i="5" s="1"/>
  <c r="BS850" i="5"/>
  <c r="BS1082" i="5" s="1"/>
  <c r="BR850" i="5"/>
  <c r="BR1082" i="5" s="1"/>
  <c r="BQ850" i="5"/>
  <c r="BQ1082" i="5" s="1"/>
  <c r="BP850" i="5"/>
  <c r="BP1082" i="5" s="1"/>
  <c r="BO850" i="5"/>
  <c r="BO1082" i="5" s="1"/>
  <c r="BN850" i="5"/>
  <c r="BN1082" i="5" s="1"/>
  <c r="BM850" i="5"/>
  <c r="BM1082" i="5" s="1"/>
  <c r="BL850" i="5"/>
  <c r="BL1082" i="5" s="1"/>
  <c r="BK850" i="5"/>
  <c r="BK1082" i="5" s="1"/>
  <c r="BJ850" i="5"/>
  <c r="BJ1082" i="5" s="1"/>
  <c r="BI850" i="5"/>
  <c r="BI1082" i="5" s="1"/>
  <c r="BH850" i="5"/>
  <c r="BH1082" i="5" s="1"/>
  <c r="BG850" i="5"/>
  <c r="BG1082" i="5" s="1"/>
  <c r="BF850" i="5"/>
  <c r="BF1082" i="5" s="1"/>
  <c r="BE850" i="5"/>
  <c r="BE1082" i="5" s="1"/>
  <c r="BD850" i="5"/>
  <c r="BD1082" i="5" s="1"/>
  <c r="BC850" i="5"/>
  <c r="BC1082" i="5" s="1"/>
  <c r="BB850" i="5"/>
  <c r="BB1082" i="5" s="1"/>
  <c r="BA850" i="5"/>
  <c r="BA1082" i="5" s="1"/>
  <c r="AZ850" i="5"/>
  <c r="AZ1082" i="5" s="1"/>
  <c r="AY850" i="5"/>
  <c r="AY1082" i="5" s="1"/>
  <c r="AX850" i="5"/>
  <c r="AX1082" i="5" s="1"/>
  <c r="AW850" i="5"/>
  <c r="AW1082" i="5" s="1"/>
  <c r="AV850" i="5"/>
  <c r="AV1082" i="5" s="1"/>
  <c r="AU850" i="5"/>
  <c r="AU1082" i="5" s="1"/>
  <c r="AT850" i="5"/>
  <c r="AT1082" i="5" s="1"/>
  <c r="AS850" i="5"/>
  <c r="AS1082" i="5" s="1"/>
  <c r="AR850" i="5"/>
  <c r="AR1082" i="5" s="1"/>
  <c r="AQ850" i="5"/>
  <c r="AQ1082" i="5" s="1"/>
  <c r="AP850" i="5"/>
  <c r="AP1082" i="5" s="1"/>
  <c r="AO850" i="5"/>
  <c r="AO1082" i="5" s="1"/>
  <c r="JA849" i="5"/>
  <c r="IZ849" i="5"/>
  <c r="FV849" i="5"/>
  <c r="FU849" i="5"/>
  <c r="FT849" i="5"/>
  <c r="FS849" i="5"/>
  <c r="FR849" i="5"/>
  <c r="FQ849" i="5"/>
  <c r="FP849" i="5"/>
  <c r="FO849" i="5"/>
  <c r="FN849" i="5"/>
  <c r="FM849" i="5"/>
  <c r="FL849" i="5"/>
  <c r="FK849" i="5"/>
  <c r="FJ849" i="5"/>
  <c r="FI849" i="5"/>
  <c r="FH849" i="5"/>
  <c r="FG849" i="5"/>
  <c r="FF849" i="5"/>
  <c r="FE849" i="5"/>
  <c r="FD849" i="5"/>
  <c r="FC849" i="5"/>
  <c r="FB849" i="5"/>
  <c r="FA849" i="5"/>
  <c r="EZ849" i="5"/>
  <c r="EY849" i="5"/>
  <c r="EX849" i="5"/>
  <c r="EW849" i="5"/>
  <c r="EV849" i="5"/>
  <c r="EU849" i="5"/>
  <c r="ET849" i="5"/>
  <c r="ES849" i="5"/>
  <c r="ER849" i="5"/>
  <c r="EQ849" i="5"/>
  <c r="EP849" i="5"/>
  <c r="EO849" i="5"/>
  <c r="EN849" i="5"/>
  <c r="EM849" i="5"/>
  <c r="EL849" i="5"/>
  <c r="EK849" i="5"/>
  <c r="EJ849" i="5"/>
  <c r="EI849" i="5"/>
  <c r="EH849" i="5"/>
  <c r="EG849" i="5"/>
  <c r="EF849" i="5"/>
  <c r="EE849" i="5"/>
  <c r="ED849" i="5"/>
  <c r="EC849" i="5"/>
  <c r="EB849" i="5"/>
  <c r="EA849" i="5"/>
  <c r="DZ849" i="5"/>
  <c r="DY849" i="5"/>
  <c r="DX849" i="5"/>
  <c r="DW849" i="5"/>
  <c r="DV849" i="5"/>
  <c r="DU849" i="5"/>
  <c r="DT849" i="5"/>
  <c r="DS849" i="5"/>
  <c r="DR849" i="5"/>
  <c r="DQ849" i="5"/>
  <c r="DP849" i="5"/>
  <c r="DO849" i="5"/>
  <c r="DN849" i="5"/>
  <c r="DM849" i="5"/>
  <c r="DL849" i="5"/>
  <c r="DK849" i="5"/>
  <c r="DJ849" i="5"/>
  <c r="DI849" i="5"/>
  <c r="DH849" i="5"/>
  <c r="DG849" i="5"/>
  <c r="DF849" i="5"/>
  <c r="DE849" i="5"/>
  <c r="DD849" i="5"/>
  <c r="DC849" i="5"/>
  <c r="DB849" i="5"/>
  <c r="DA849" i="5"/>
  <c r="CZ849" i="5"/>
  <c r="CY849" i="5"/>
  <c r="CX849" i="5"/>
  <c r="CW849" i="5"/>
  <c r="CV849" i="5"/>
  <c r="CU849" i="5"/>
  <c r="CT849" i="5"/>
  <c r="CS849" i="5"/>
  <c r="CR849" i="5"/>
  <c r="CQ849" i="5"/>
  <c r="CP849" i="5"/>
  <c r="CO849" i="5"/>
  <c r="CN849" i="5"/>
  <c r="CM849" i="5"/>
  <c r="CL849" i="5"/>
  <c r="CK849" i="5"/>
  <c r="CJ849" i="5"/>
  <c r="CI849" i="5"/>
  <c r="CH849" i="5"/>
  <c r="CG849" i="5"/>
  <c r="CF849" i="5"/>
  <c r="CE849" i="5"/>
  <c r="JM848" i="5"/>
  <c r="JA848" i="5"/>
  <c r="IZ848" i="5"/>
  <c r="IX848" i="5"/>
  <c r="IW848" i="5"/>
  <c r="JM847" i="5"/>
  <c r="JA847" i="5"/>
  <c r="IZ847" i="5"/>
  <c r="FV847" i="5"/>
  <c r="FU847" i="5"/>
  <c r="FT847" i="5"/>
  <c r="FS847" i="5"/>
  <c r="FR847" i="5"/>
  <c r="FQ847" i="5"/>
  <c r="FP847" i="5"/>
  <c r="FO847" i="5"/>
  <c r="FN847" i="5"/>
  <c r="FM847" i="5"/>
  <c r="FL847" i="5"/>
  <c r="FK847" i="5"/>
  <c r="FJ847" i="5"/>
  <c r="FI847" i="5"/>
  <c r="FH847" i="5"/>
  <c r="FG847" i="5"/>
  <c r="FF847" i="5"/>
  <c r="FE847" i="5"/>
  <c r="FD847" i="5"/>
  <c r="FC847" i="5"/>
  <c r="FB847" i="5"/>
  <c r="FA847" i="5"/>
  <c r="EZ847" i="5"/>
  <c r="EY847" i="5"/>
  <c r="EX847" i="5"/>
  <c r="EW847" i="5"/>
  <c r="EV847" i="5"/>
  <c r="EU847" i="5"/>
  <c r="ET847" i="5"/>
  <c r="ES847" i="5"/>
  <c r="ER847" i="5"/>
  <c r="EQ847" i="5"/>
  <c r="EP847" i="5"/>
  <c r="EO847" i="5"/>
  <c r="EN847" i="5"/>
  <c r="EM847" i="5"/>
  <c r="EL847" i="5"/>
  <c r="EK847" i="5"/>
  <c r="EJ847" i="5"/>
  <c r="EI847" i="5"/>
  <c r="EH847" i="5"/>
  <c r="EG847" i="5"/>
  <c r="EF847" i="5"/>
  <c r="EE847" i="5"/>
  <c r="ED847" i="5"/>
  <c r="EC847" i="5"/>
  <c r="EB847" i="5"/>
  <c r="EA847" i="5"/>
  <c r="DZ847" i="5"/>
  <c r="DY847" i="5"/>
  <c r="DX847" i="5"/>
  <c r="DW847" i="5"/>
  <c r="DV847" i="5"/>
  <c r="DU847" i="5"/>
  <c r="DT847" i="5"/>
  <c r="DS847" i="5"/>
  <c r="DR847" i="5"/>
  <c r="DQ847" i="5"/>
  <c r="DP847" i="5"/>
  <c r="DO847" i="5"/>
  <c r="DN847" i="5"/>
  <c r="DM847" i="5"/>
  <c r="DL847" i="5"/>
  <c r="DK847" i="5"/>
  <c r="DJ847" i="5"/>
  <c r="DI847" i="5"/>
  <c r="DH847" i="5"/>
  <c r="DG847" i="5"/>
  <c r="DF847" i="5"/>
  <c r="DE847" i="5"/>
  <c r="DD847" i="5"/>
  <c r="DC847" i="5"/>
  <c r="DB847" i="5"/>
  <c r="DA847" i="5"/>
  <c r="CZ847" i="5"/>
  <c r="CY847" i="5"/>
  <c r="CX847" i="5"/>
  <c r="CW847" i="5"/>
  <c r="CV847" i="5"/>
  <c r="CU847" i="5"/>
  <c r="CT847" i="5"/>
  <c r="CS847" i="5"/>
  <c r="CR847" i="5"/>
  <c r="CQ847" i="5"/>
  <c r="CP847" i="5"/>
  <c r="CO847" i="5"/>
  <c r="CN847" i="5"/>
  <c r="CM847" i="5"/>
  <c r="CL847" i="5"/>
  <c r="CK847" i="5"/>
  <c r="CJ847" i="5"/>
  <c r="CI847" i="5"/>
  <c r="CH847" i="5"/>
  <c r="CG847" i="5"/>
  <c r="CF847" i="5"/>
  <c r="CE847" i="5"/>
  <c r="JA846" i="5"/>
  <c r="IZ846" i="5"/>
  <c r="FV846" i="5"/>
  <c r="FU846" i="5"/>
  <c r="FT846" i="5"/>
  <c r="FS846" i="5"/>
  <c r="FR846" i="5"/>
  <c r="FQ846" i="5"/>
  <c r="FP846" i="5"/>
  <c r="FO846" i="5"/>
  <c r="FN846" i="5"/>
  <c r="FM846" i="5"/>
  <c r="FL846" i="5"/>
  <c r="FK846" i="5"/>
  <c r="FJ846" i="5"/>
  <c r="FI846" i="5"/>
  <c r="FH846" i="5"/>
  <c r="FG846" i="5"/>
  <c r="FF846" i="5"/>
  <c r="FE846" i="5"/>
  <c r="FD846" i="5"/>
  <c r="FC846" i="5"/>
  <c r="FB846" i="5"/>
  <c r="FA846" i="5"/>
  <c r="EZ846" i="5"/>
  <c r="EY846" i="5"/>
  <c r="EX846" i="5"/>
  <c r="EW846" i="5"/>
  <c r="EV846" i="5"/>
  <c r="EU846" i="5"/>
  <c r="ET846" i="5"/>
  <c r="ES846" i="5"/>
  <c r="ER846" i="5"/>
  <c r="EQ846" i="5"/>
  <c r="EP846" i="5"/>
  <c r="EO846" i="5"/>
  <c r="EN846" i="5"/>
  <c r="EM846" i="5"/>
  <c r="EL846" i="5"/>
  <c r="EK846" i="5"/>
  <c r="EJ846" i="5"/>
  <c r="EI846" i="5"/>
  <c r="EH846" i="5"/>
  <c r="EG846" i="5"/>
  <c r="EF846" i="5"/>
  <c r="EE846" i="5"/>
  <c r="ED846" i="5"/>
  <c r="EC846" i="5"/>
  <c r="EB846" i="5"/>
  <c r="EA846" i="5"/>
  <c r="DZ846" i="5"/>
  <c r="DY846" i="5"/>
  <c r="DX846" i="5"/>
  <c r="DW846" i="5"/>
  <c r="DV846" i="5"/>
  <c r="DU846" i="5"/>
  <c r="DT846" i="5"/>
  <c r="DS846" i="5"/>
  <c r="DR846" i="5"/>
  <c r="DQ846" i="5"/>
  <c r="DP846" i="5"/>
  <c r="DO846" i="5"/>
  <c r="DN846" i="5"/>
  <c r="DM846" i="5"/>
  <c r="DL846" i="5"/>
  <c r="DK846" i="5"/>
  <c r="DJ846" i="5"/>
  <c r="DI846" i="5"/>
  <c r="DH846" i="5"/>
  <c r="DG846" i="5"/>
  <c r="DF846" i="5"/>
  <c r="DE846" i="5"/>
  <c r="DD846" i="5"/>
  <c r="DC846" i="5"/>
  <c r="DB846" i="5"/>
  <c r="DA846" i="5"/>
  <c r="CZ846" i="5"/>
  <c r="CY846" i="5"/>
  <c r="CX846" i="5"/>
  <c r="CW846" i="5"/>
  <c r="CV846" i="5"/>
  <c r="CU846" i="5"/>
  <c r="CT846" i="5"/>
  <c r="CS846" i="5"/>
  <c r="CR846" i="5"/>
  <c r="CQ846" i="5"/>
  <c r="CP846" i="5"/>
  <c r="CO846" i="5"/>
  <c r="CN846" i="5"/>
  <c r="CM846" i="5"/>
  <c r="CL846" i="5"/>
  <c r="CK846" i="5"/>
  <c r="CJ846" i="5"/>
  <c r="CI846" i="5"/>
  <c r="CH846" i="5"/>
  <c r="CG846" i="5"/>
  <c r="CF846" i="5"/>
  <c r="CE846" i="5"/>
  <c r="IZ845" i="5"/>
  <c r="GC845" i="5"/>
  <c r="FV845" i="5"/>
  <c r="FU845" i="5"/>
  <c r="FT845" i="5"/>
  <c r="FS845" i="5"/>
  <c r="FR845" i="5"/>
  <c r="FQ845" i="5"/>
  <c r="FP845" i="5"/>
  <c r="FO845" i="5"/>
  <c r="FN845" i="5"/>
  <c r="FM845" i="5"/>
  <c r="FL845" i="5"/>
  <c r="FK845" i="5"/>
  <c r="FJ845" i="5"/>
  <c r="FI845" i="5"/>
  <c r="FH845" i="5"/>
  <c r="FG845" i="5"/>
  <c r="FF845" i="5"/>
  <c r="FE845" i="5"/>
  <c r="FD845" i="5"/>
  <c r="FC845" i="5"/>
  <c r="FB845" i="5"/>
  <c r="FA845" i="5"/>
  <c r="EZ845" i="5"/>
  <c r="EY845" i="5"/>
  <c r="EX845" i="5"/>
  <c r="EW845" i="5"/>
  <c r="EV845" i="5"/>
  <c r="EU845" i="5"/>
  <c r="ET845" i="5"/>
  <c r="ES845" i="5"/>
  <c r="ER845" i="5"/>
  <c r="EQ845" i="5"/>
  <c r="EP845" i="5"/>
  <c r="EO845" i="5"/>
  <c r="EN845" i="5"/>
  <c r="EM845" i="5"/>
  <c r="EL845" i="5"/>
  <c r="EK845" i="5"/>
  <c r="EJ845" i="5"/>
  <c r="EI845" i="5"/>
  <c r="EH845" i="5"/>
  <c r="EG845" i="5"/>
  <c r="EF845" i="5"/>
  <c r="EE845" i="5"/>
  <c r="ED845" i="5"/>
  <c r="EC845" i="5"/>
  <c r="EB845" i="5"/>
  <c r="EA845" i="5"/>
  <c r="DZ845" i="5"/>
  <c r="DY845" i="5"/>
  <c r="DX845" i="5"/>
  <c r="DW845" i="5"/>
  <c r="DV845" i="5"/>
  <c r="DU845" i="5"/>
  <c r="DT845" i="5"/>
  <c r="DS845" i="5"/>
  <c r="DR845" i="5"/>
  <c r="DQ845" i="5"/>
  <c r="DP845" i="5"/>
  <c r="DO845" i="5"/>
  <c r="DN845" i="5"/>
  <c r="DM845" i="5"/>
  <c r="DL845" i="5"/>
  <c r="DK845" i="5"/>
  <c r="DJ845" i="5"/>
  <c r="DI845" i="5"/>
  <c r="DH845" i="5"/>
  <c r="DG845" i="5"/>
  <c r="DF845" i="5"/>
  <c r="DE845" i="5"/>
  <c r="DD845" i="5"/>
  <c r="DC845" i="5"/>
  <c r="DB845" i="5"/>
  <c r="DA845" i="5"/>
  <c r="CZ845" i="5"/>
  <c r="CY845" i="5"/>
  <c r="CX845" i="5"/>
  <c r="CW845" i="5"/>
  <c r="CV845" i="5"/>
  <c r="CU845" i="5"/>
  <c r="CT845" i="5"/>
  <c r="CS845" i="5"/>
  <c r="CR845" i="5"/>
  <c r="CQ845" i="5"/>
  <c r="CP845" i="5"/>
  <c r="CO845" i="5"/>
  <c r="CN845" i="5"/>
  <c r="CM845" i="5"/>
  <c r="CL845" i="5"/>
  <c r="CK845" i="5"/>
  <c r="CJ845" i="5"/>
  <c r="CI845" i="5"/>
  <c r="CH845" i="5"/>
  <c r="CG845" i="5"/>
  <c r="CF845" i="5"/>
  <c r="CE845" i="5"/>
  <c r="JA844" i="5"/>
  <c r="IZ844" i="5"/>
  <c r="IX844" i="5"/>
  <c r="IY844" i="5" s="1"/>
  <c r="AF1150" i="2" s="1"/>
  <c r="JA843" i="5"/>
  <c r="IZ843" i="5"/>
  <c r="FV843" i="5"/>
  <c r="FU843" i="5"/>
  <c r="FT843" i="5"/>
  <c r="FS843" i="5"/>
  <c r="FR843" i="5"/>
  <c r="FQ843" i="5"/>
  <c r="FP843" i="5"/>
  <c r="FO843" i="5"/>
  <c r="FN843" i="5"/>
  <c r="FM843" i="5"/>
  <c r="FL843" i="5"/>
  <c r="FK843" i="5"/>
  <c r="FJ843" i="5"/>
  <c r="FI843" i="5"/>
  <c r="FH843" i="5"/>
  <c r="FG843" i="5"/>
  <c r="FF843" i="5"/>
  <c r="FE843" i="5"/>
  <c r="FD843" i="5"/>
  <c r="FC843" i="5"/>
  <c r="FB843" i="5"/>
  <c r="FA843" i="5"/>
  <c r="EZ843" i="5"/>
  <c r="EY843" i="5"/>
  <c r="EX843" i="5"/>
  <c r="EW843" i="5"/>
  <c r="EV843" i="5"/>
  <c r="EU843" i="5"/>
  <c r="ET843" i="5"/>
  <c r="ES843" i="5"/>
  <c r="ER843" i="5"/>
  <c r="EQ843" i="5"/>
  <c r="EP843" i="5"/>
  <c r="EO843" i="5"/>
  <c r="EN843" i="5"/>
  <c r="EM843" i="5"/>
  <c r="EL843" i="5"/>
  <c r="EK843" i="5"/>
  <c r="EJ843" i="5"/>
  <c r="EI843" i="5"/>
  <c r="EH843" i="5"/>
  <c r="EG843" i="5"/>
  <c r="EF843" i="5"/>
  <c r="EE843" i="5"/>
  <c r="ED843" i="5"/>
  <c r="EC843" i="5"/>
  <c r="EB843" i="5"/>
  <c r="EA843" i="5"/>
  <c r="DZ843" i="5"/>
  <c r="DY843" i="5"/>
  <c r="DX843" i="5"/>
  <c r="DW843" i="5"/>
  <c r="DV843" i="5"/>
  <c r="DU843" i="5"/>
  <c r="DT843" i="5"/>
  <c r="DS843" i="5"/>
  <c r="DR843" i="5"/>
  <c r="DQ843" i="5"/>
  <c r="DP843" i="5"/>
  <c r="DO843" i="5"/>
  <c r="DN843" i="5"/>
  <c r="DM843" i="5"/>
  <c r="DL843" i="5"/>
  <c r="DK843" i="5"/>
  <c r="DJ843" i="5"/>
  <c r="DI843" i="5"/>
  <c r="DH843" i="5"/>
  <c r="DG843" i="5"/>
  <c r="DF843" i="5"/>
  <c r="DE843" i="5"/>
  <c r="DD843" i="5"/>
  <c r="DC843" i="5"/>
  <c r="DB843" i="5"/>
  <c r="DA843" i="5"/>
  <c r="CZ843" i="5"/>
  <c r="CY843" i="5"/>
  <c r="CX843" i="5"/>
  <c r="CW843" i="5"/>
  <c r="CV843" i="5"/>
  <c r="CU843" i="5"/>
  <c r="CT843" i="5"/>
  <c r="CS843" i="5"/>
  <c r="CR843" i="5"/>
  <c r="CQ843" i="5"/>
  <c r="CP843" i="5"/>
  <c r="CO843" i="5"/>
  <c r="CN843" i="5"/>
  <c r="CM843" i="5"/>
  <c r="CL843" i="5"/>
  <c r="CK843" i="5"/>
  <c r="CJ843" i="5"/>
  <c r="CI843" i="5"/>
  <c r="CH843" i="5"/>
  <c r="CG843" i="5"/>
  <c r="CF843" i="5"/>
  <c r="CE843" i="5"/>
  <c r="JA842" i="5"/>
  <c r="IZ842" i="5"/>
  <c r="FV842" i="5"/>
  <c r="FU842" i="5"/>
  <c r="FT842" i="5"/>
  <c r="FS842" i="5"/>
  <c r="FR842" i="5"/>
  <c r="FQ842" i="5"/>
  <c r="FP842" i="5"/>
  <c r="FO842" i="5"/>
  <c r="FN842" i="5"/>
  <c r="FM842" i="5"/>
  <c r="FL842" i="5"/>
  <c r="FK842" i="5"/>
  <c r="FJ842" i="5"/>
  <c r="FI842" i="5"/>
  <c r="FH842" i="5"/>
  <c r="FG842" i="5"/>
  <c r="FF842" i="5"/>
  <c r="FE842" i="5"/>
  <c r="FD842" i="5"/>
  <c r="FC842" i="5"/>
  <c r="FB842" i="5"/>
  <c r="FA842" i="5"/>
  <c r="EZ842" i="5"/>
  <c r="EY842" i="5"/>
  <c r="EX842" i="5"/>
  <c r="EW842" i="5"/>
  <c r="EV842" i="5"/>
  <c r="EU842" i="5"/>
  <c r="ET842" i="5"/>
  <c r="ES842" i="5"/>
  <c r="ER842" i="5"/>
  <c r="EQ842" i="5"/>
  <c r="EP842" i="5"/>
  <c r="EO842" i="5"/>
  <c r="EN842" i="5"/>
  <c r="EM842" i="5"/>
  <c r="EL842" i="5"/>
  <c r="EK842" i="5"/>
  <c r="EJ842" i="5"/>
  <c r="EI842" i="5"/>
  <c r="EH842" i="5"/>
  <c r="EG842" i="5"/>
  <c r="EF842" i="5"/>
  <c r="EE842" i="5"/>
  <c r="ED842" i="5"/>
  <c r="EC842" i="5"/>
  <c r="EB842" i="5"/>
  <c r="EA842" i="5"/>
  <c r="DZ842" i="5"/>
  <c r="DY842" i="5"/>
  <c r="DX842" i="5"/>
  <c r="DW842" i="5"/>
  <c r="DV842" i="5"/>
  <c r="DU842" i="5"/>
  <c r="DT842" i="5"/>
  <c r="DS842" i="5"/>
  <c r="DR842" i="5"/>
  <c r="DQ842" i="5"/>
  <c r="DP842" i="5"/>
  <c r="DO842" i="5"/>
  <c r="DN842" i="5"/>
  <c r="DM842" i="5"/>
  <c r="DL842" i="5"/>
  <c r="DK842" i="5"/>
  <c r="DJ842" i="5"/>
  <c r="DI842" i="5"/>
  <c r="DH842" i="5"/>
  <c r="DG842" i="5"/>
  <c r="DF842" i="5"/>
  <c r="DE842" i="5"/>
  <c r="DD842" i="5"/>
  <c r="DC842" i="5"/>
  <c r="DB842" i="5"/>
  <c r="DA842" i="5"/>
  <c r="CZ842" i="5"/>
  <c r="CY842" i="5"/>
  <c r="CX842" i="5"/>
  <c r="CW842" i="5"/>
  <c r="CV842" i="5"/>
  <c r="CU842" i="5"/>
  <c r="CT842" i="5"/>
  <c r="CS842" i="5"/>
  <c r="CR842" i="5"/>
  <c r="CQ842" i="5"/>
  <c r="CP842" i="5"/>
  <c r="CO842" i="5"/>
  <c r="CN842" i="5"/>
  <c r="CM842" i="5"/>
  <c r="CL842" i="5"/>
  <c r="CK842" i="5"/>
  <c r="CJ842" i="5"/>
  <c r="CI842" i="5"/>
  <c r="CH842" i="5"/>
  <c r="CG842" i="5"/>
  <c r="CF842" i="5"/>
  <c r="CE842" i="5"/>
  <c r="JO841" i="5"/>
  <c r="JP841" i="5" s="1"/>
  <c r="JM841" i="5"/>
  <c r="JA841" i="5"/>
  <c r="IZ841" i="5"/>
  <c r="IX841" i="5"/>
  <c r="IY841" i="5" s="1"/>
  <c r="AF1147" i="2" s="1"/>
  <c r="JA840" i="5"/>
  <c r="IZ840" i="5"/>
  <c r="JA839" i="5"/>
  <c r="IZ839" i="5"/>
  <c r="DB839" i="5"/>
  <c r="DA839" i="5"/>
  <c r="CZ839" i="5"/>
  <c r="CY839" i="5"/>
  <c r="CX839" i="5"/>
  <c r="CW839" i="5"/>
  <c r="CV839" i="5"/>
  <c r="CU839" i="5"/>
  <c r="CT839" i="5"/>
  <c r="CS839" i="5"/>
  <c r="CR839" i="5"/>
  <c r="CQ839" i="5"/>
  <c r="CP839" i="5"/>
  <c r="CO839" i="5"/>
  <c r="CN839" i="5"/>
  <c r="CM839" i="5"/>
  <c r="CL839" i="5"/>
  <c r="CK839" i="5"/>
  <c r="CJ839" i="5"/>
  <c r="CI839" i="5"/>
  <c r="CH839" i="5"/>
  <c r="CG839" i="5"/>
  <c r="CF839" i="5"/>
  <c r="CE839" i="5"/>
  <c r="JO838" i="5"/>
  <c r="JM838" i="5"/>
  <c r="JA838" i="5"/>
  <c r="IZ838" i="5"/>
  <c r="IX838" i="5"/>
  <c r="IY838" i="5" s="1"/>
  <c r="AF1144" i="2" s="1"/>
  <c r="JO837" i="5"/>
  <c r="JM837" i="5"/>
  <c r="JA837" i="5"/>
  <c r="IZ837" i="5"/>
  <c r="IX837" i="5"/>
  <c r="IY837" i="5" s="1"/>
  <c r="AF1143" i="2" s="1"/>
  <c r="JA836" i="5"/>
  <c r="IZ836" i="5"/>
  <c r="IX836" i="5"/>
  <c r="IY836" i="5" s="1"/>
  <c r="AF1142" i="2" s="1"/>
  <c r="JA835" i="5"/>
  <c r="IZ835" i="5"/>
  <c r="FV835" i="5"/>
  <c r="FU835" i="5"/>
  <c r="FT835" i="5"/>
  <c r="FS835" i="5"/>
  <c r="FR835" i="5"/>
  <c r="FQ835" i="5"/>
  <c r="FP835" i="5"/>
  <c r="FO835" i="5"/>
  <c r="FN835" i="5"/>
  <c r="FM835" i="5"/>
  <c r="FL835" i="5"/>
  <c r="FK835" i="5"/>
  <c r="FJ835" i="5"/>
  <c r="FI835" i="5"/>
  <c r="FH835" i="5"/>
  <c r="FG835" i="5"/>
  <c r="FF835" i="5"/>
  <c r="FE835" i="5"/>
  <c r="FD835" i="5"/>
  <c r="FC835" i="5"/>
  <c r="FB835" i="5"/>
  <c r="FA835" i="5"/>
  <c r="EZ835" i="5"/>
  <c r="EY835" i="5"/>
  <c r="EX835" i="5"/>
  <c r="EW835" i="5"/>
  <c r="EV835" i="5"/>
  <c r="EU835" i="5"/>
  <c r="ET835" i="5"/>
  <c r="ES835" i="5"/>
  <c r="ER835" i="5"/>
  <c r="EQ835" i="5"/>
  <c r="EP835" i="5"/>
  <c r="EO835" i="5"/>
  <c r="EN835" i="5"/>
  <c r="EM835" i="5"/>
  <c r="EL835" i="5"/>
  <c r="EK835" i="5"/>
  <c r="EJ835" i="5"/>
  <c r="EI835" i="5"/>
  <c r="EH835" i="5"/>
  <c r="EG835" i="5"/>
  <c r="EF835" i="5"/>
  <c r="EE835" i="5"/>
  <c r="ED835" i="5"/>
  <c r="EC835" i="5"/>
  <c r="EB835" i="5"/>
  <c r="EA835" i="5"/>
  <c r="DZ835" i="5"/>
  <c r="DY835" i="5"/>
  <c r="DX835" i="5"/>
  <c r="DW835" i="5"/>
  <c r="DV835" i="5"/>
  <c r="DU835" i="5"/>
  <c r="DT835" i="5"/>
  <c r="DS835" i="5"/>
  <c r="DR835" i="5"/>
  <c r="DQ835" i="5"/>
  <c r="DP835" i="5"/>
  <c r="DO835" i="5"/>
  <c r="DN835" i="5"/>
  <c r="DM835" i="5"/>
  <c r="DL835" i="5"/>
  <c r="DK835" i="5"/>
  <c r="DJ835" i="5"/>
  <c r="DI835" i="5"/>
  <c r="DH835" i="5"/>
  <c r="DG835" i="5"/>
  <c r="DF835" i="5"/>
  <c r="DE835" i="5"/>
  <c r="DD835" i="5"/>
  <c r="DC835" i="5"/>
  <c r="DB835" i="5"/>
  <c r="DA835" i="5"/>
  <c r="CZ835" i="5"/>
  <c r="CY835" i="5"/>
  <c r="CX835" i="5"/>
  <c r="CW835" i="5"/>
  <c r="CV835" i="5"/>
  <c r="CU835" i="5"/>
  <c r="CT835" i="5"/>
  <c r="CS835" i="5"/>
  <c r="CR835" i="5"/>
  <c r="CQ835" i="5"/>
  <c r="CP835" i="5"/>
  <c r="CO835" i="5"/>
  <c r="CN835" i="5"/>
  <c r="CM835" i="5"/>
  <c r="CL835" i="5"/>
  <c r="CK835" i="5"/>
  <c r="CJ835" i="5"/>
  <c r="CI835" i="5"/>
  <c r="CH835" i="5"/>
  <c r="CG835" i="5"/>
  <c r="CF835" i="5"/>
  <c r="CE835" i="5"/>
  <c r="JA834" i="5"/>
  <c r="IZ834" i="5"/>
  <c r="FV834" i="5"/>
  <c r="FU834" i="5"/>
  <c r="FT834" i="5"/>
  <c r="FS834" i="5"/>
  <c r="FR834" i="5"/>
  <c r="FQ834" i="5"/>
  <c r="FP834" i="5"/>
  <c r="FO834" i="5"/>
  <c r="FN834" i="5"/>
  <c r="FM834" i="5"/>
  <c r="FL834" i="5"/>
  <c r="FK834" i="5"/>
  <c r="FJ834" i="5"/>
  <c r="FI834" i="5"/>
  <c r="FH834" i="5"/>
  <c r="FG834" i="5"/>
  <c r="FF834" i="5"/>
  <c r="FE834" i="5"/>
  <c r="FD834" i="5"/>
  <c r="FC834" i="5"/>
  <c r="FB834" i="5"/>
  <c r="FA834" i="5"/>
  <c r="EZ834" i="5"/>
  <c r="EY834" i="5"/>
  <c r="EX834" i="5"/>
  <c r="EW834" i="5"/>
  <c r="EV834" i="5"/>
  <c r="EU834" i="5"/>
  <c r="ET834" i="5"/>
  <c r="ES834" i="5"/>
  <c r="ER834" i="5"/>
  <c r="EQ834" i="5"/>
  <c r="EP834" i="5"/>
  <c r="EO834" i="5"/>
  <c r="EN834" i="5"/>
  <c r="EM834" i="5"/>
  <c r="EL834" i="5"/>
  <c r="EK834" i="5"/>
  <c r="EJ834" i="5"/>
  <c r="EI834" i="5"/>
  <c r="EH834" i="5"/>
  <c r="EG834" i="5"/>
  <c r="EF834" i="5"/>
  <c r="EE834" i="5"/>
  <c r="ED834" i="5"/>
  <c r="EC834" i="5"/>
  <c r="EB834" i="5"/>
  <c r="EA834" i="5"/>
  <c r="DZ834" i="5"/>
  <c r="DY834" i="5"/>
  <c r="DX834" i="5"/>
  <c r="DW834" i="5"/>
  <c r="DV834" i="5"/>
  <c r="DU834" i="5"/>
  <c r="DT834" i="5"/>
  <c r="DS834" i="5"/>
  <c r="DR834" i="5"/>
  <c r="DQ834" i="5"/>
  <c r="DP834" i="5"/>
  <c r="DO834" i="5"/>
  <c r="DN834" i="5"/>
  <c r="DM834" i="5"/>
  <c r="DL834" i="5"/>
  <c r="DK834" i="5"/>
  <c r="DJ834" i="5"/>
  <c r="DI834" i="5"/>
  <c r="DH834" i="5"/>
  <c r="DG834" i="5"/>
  <c r="DF834" i="5"/>
  <c r="DE834" i="5"/>
  <c r="DD834" i="5"/>
  <c r="DC834" i="5"/>
  <c r="DB834" i="5"/>
  <c r="DA834" i="5"/>
  <c r="CZ834" i="5"/>
  <c r="CY834" i="5"/>
  <c r="CX834" i="5"/>
  <c r="CW834" i="5"/>
  <c r="CV834" i="5"/>
  <c r="CU834" i="5"/>
  <c r="CT834" i="5"/>
  <c r="CS834" i="5"/>
  <c r="CR834" i="5"/>
  <c r="CQ834" i="5"/>
  <c r="CP834" i="5"/>
  <c r="CO834" i="5"/>
  <c r="CN834" i="5"/>
  <c r="CM834" i="5"/>
  <c r="CL834" i="5"/>
  <c r="CK834" i="5"/>
  <c r="CJ834" i="5"/>
  <c r="CI834" i="5"/>
  <c r="CH834" i="5"/>
  <c r="CG834" i="5"/>
  <c r="CF834" i="5"/>
  <c r="CE834" i="5"/>
  <c r="JA833" i="5"/>
  <c r="IZ833" i="5"/>
  <c r="FV833" i="5"/>
  <c r="FU833" i="5"/>
  <c r="FT833" i="5"/>
  <c r="FS833" i="5"/>
  <c r="FR833" i="5"/>
  <c r="FQ833" i="5"/>
  <c r="FP833" i="5"/>
  <c r="FO833" i="5"/>
  <c r="FN833" i="5"/>
  <c r="FM833" i="5"/>
  <c r="FL833" i="5"/>
  <c r="FK833" i="5"/>
  <c r="FJ833" i="5"/>
  <c r="FI833" i="5"/>
  <c r="FH833" i="5"/>
  <c r="FG833" i="5"/>
  <c r="FF833" i="5"/>
  <c r="FE833" i="5"/>
  <c r="FD833" i="5"/>
  <c r="FC833" i="5"/>
  <c r="FB833" i="5"/>
  <c r="FA833" i="5"/>
  <c r="EZ833" i="5"/>
  <c r="EY833" i="5"/>
  <c r="EX833" i="5"/>
  <c r="EW833" i="5"/>
  <c r="EV833" i="5"/>
  <c r="EU833" i="5"/>
  <c r="ET833" i="5"/>
  <c r="ES833" i="5"/>
  <c r="ER833" i="5"/>
  <c r="EQ833" i="5"/>
  <c r="EP833" i="5"/>
  <c r="EO833" i="5"/>
  <c r="EN833" i="5"/>
  <c r="EM833" i="5"/>
  <c r="EL833" i="5"/>
  <c r="EK833" i="5"/>
  <c r="EJ833" i="5"/>
  <c r="EI833" i="5"/>
  <c r="EH833" i="5"/>
  <c r="EG833" i="5"/>
  <c r="EF833" i="5"/>
  <c r="EE833" i="5"/>
  <c r="ED833" i="5"/>
  <c r="EC833" i="5"/>
  <c r="EB833" i="5"/>
  <c r="EA833" i="5"/>
  <c r="DZ833" i="5"/>
  <c r="DY833" i="5"/>
  <c r="DX833" i="5"/>
  <c r="DW833" i="5"/>
  <c r="DV833" i="5"/>
  <c r="DU833" i="5"/>
  <c r="DT833" i="5"/>
  <c r="DS833" i="5"/>
  <c r="DR833" i="5"/>
  <c r="DQ833" i="5"/>
  <c r="DP833" i="5"/>
  <c r="DO833" i="5"/>
  <c r="DN833" i="5"/>
  <c r="DM833" i="5"/>
  <c r="DL833" i="5"/>
  <c r="DK833" i="5"/>
  <c r="DJ833" i="5"/>
  <c r="DI833" i="5"/>
  <c r="DH833" i="5"/>
  <c r="DG833" i="5"/>
  <c r="DF833" i="5"/>
  <c r="DE833" i="5"/>
  <c r="DD833" i="5"/>
  <c r="DC833" i="5"/>
  <c r="DB833" i="5"/>
  <c r="DA833" i="5"/>
  <c r="CZ833" i="5"/>
  <c r="CY833" i="5"/>
  <c r="CX833" i="5"/>
  <c r="CW833" i="5"/>
  <c r="CV833" i="5"/>
  <c r="CU833" i="5"/>
  <c r="CT833" i="5"/>
  <c r="CS833" i="5"/>
  <c r="CR833" i="5"/>
  <c r="CQ833" i="5"/>
  <c r="CP833" i="5"/>
  <c r="CO833" i="5"/>
  <c r="CN833" i="5"/>
  <c r="CM833" i="5"/>
  <c r="CL833" i="5"/>
  <c r="CK833" i="5"/>
  <c r="CJ833" i="5"/>
  <c r="CI833" i="5"/>
  <c r="CH833" i="5"/>
  <c r="CG833" i="5"/>
  <c r="CF833" i="5"/>
  <c r="CE833" i="5"/>
  <c r="IZ832" i="5"/>
  <c r="FV832" i="5"/>
  <c r="FU832" i="5"/>
  <c r="FT832" i="5"/>
  <c r="FS832" i="5"/>
  <c r="FR832" i="5"/>
  <c r="FQ832" i="5"/>
  <c r="FP832" i="5"/>
  <c r="FO832" i="5"/>
  <c r="FN832" i="5"/>
  <c r="FM832" i="5"/>
  <c r="FL832" i="5"/>
  <c r="FK832" i="5"/>
  <c r="FJ832" i="5"/>
  <c r="FI832" i="5"/>
  <c r="FH832" i="5"/>
  <c r="FG832" i="5"/>
  <c r="FF832" i="5"/>
  <c r="FE832" i="5"/>
  <c r="FD832" i="5"/>
  <c r="FC832" i="5"/>
  <c r="FB832" i="5"/>
  <c r="FA832" i="5"/>
  <c r="EZ832" i="5"/>
  <c r="EY832" i="5"/>
  <c r="EX832" i="5"/>
  <c r="EW832" i="5"/>
  <c r="EV832" i="5"/>
  <c r="EU832" i="5"/>
  <c r="ET832" i="5"/>
  <c r="ES832" i="5"/>
  <c r="ER832" i="5"/>
  <c r="EQ832" i="5"/>
  <c r="EP832" i="5"/>
  <c r="EO832" i="5"/>
  <c r="EN832" i="5"/>
  <c r="EM832" i="5"/>
  <c r="EL832" i="5"/>
  <c r="EK832" i="5"/>
  <c r="EJ832" i="5"/>
  <c r="EI832" i="5"/>
  <c r="EH832" i="5"/>
  <c r="EG832" i="5"/>
  <c r="EF832" i="5"/>
  <c r="EE832" i="5"/>
  <c r="ED832" i="5"/>
  <c r="EC832" i="5"/>
  <c r="EB832" i="5"/>
  <c r="EA832" i="5"/>
  <c r="DZ832" i="5"/>
  <c r="DY832" i="5"/>
  <c r="DX832" i="5"/>
  <c r="DW832" i="5"/>
  <c r="DV832" i="5"/>
  <c r="DU832" i="5"/>
  <c r="DT832" i="5"/>
  <c r="DS832" i="5"/>
  <c r="DR832" i="5"/>
  <c r="DQ832" i="5"/>
  <c r="DP832" i="5"/>
  <c r="DO832" i="5"/>
  <c r="DN832" i="5"/>
  <c r="DM832" i="5"/>
  <c r="DL832" i="5"/>
  <c r="DK832" i="5"/>
  <c r="DJ832" i="5"/>
  <c r="DI832" i="5"/>
  <c r="DH832" i="5"/>
  <c r="DG832" i="5"/>
  <c r="DF832" i="5"/>
  <c r="DE832" i="5"/>
  <c r="DD832" i="5"/>
  <c r="DC832" i="5"/>
  <c r="DB832" i="5"/>
  <c r="DA832" i="5"/>
  <c r="CZ832" i="5"/>
  <c r="CY832" i="5"/>
  <c r="CX832" i="5"/>
  <c r="CW832" i="5"/>
  <c r="CV832" i="5"/>
  <c r="CU832" i="5"/>
  <c r="CT832" i="5"/>
  <c r="CS832" i="5"/>
  <c r="CR832" i="5"/>
  <c r="CQ832" i="5"/>
  <c r="CP832" i="5"/>
  <c r="CO832" i="5"/>
  <c r="CN832" i="5"/>
  <c r="CM832" i="5"/>
  <c r="CL832" i="5"/>
  <c r="CK832" i="5"/>
  <c r="CJ832" i="5"/>
  <c r="CI832" i="5"/>
  <c r="CH832" i="5"/>
  <c r="CG832" i="5"/>
  <c r="CF832" i="5"/>
  <c r="CE832" i="5"/>
  <c r="JA831" i="5"/>
  <c r="IZ831" i="5"/>
  <c r="FV831" i="5"/>
  <c r="FU831" i="5"/>
  <c r="FT831" i="5"/>
  <c r="FS831" i="5"/>
  <c r="FR831" i="5"/>
  <c r="FQ831" i="5"/>
  <c r="FP831" i="5"/>
  <c r="FO831" i="5"/>
  <c r="FN831" i="5"/>
  <c r="FM831" i="5"/>
  <c r="FL831" i="5"/>
  <c r="FK831" i="5"/>
  <c r="FJ831" i="5"/>
  <c r="FI831" i="5"/>
  <c r="FH831" i="5"/>
  <c r="FG831" i="5"/>
  <c r="FF831"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JA830" i="5"/>
  <c r="IZ830" i="5"/>
  <c r="FV830" i="5"/>
  <c r="FU830" i="5"/>
  <c r="FT830" i="5"/>
  <c r="FS830" i="5"/>
  <c r="FR830" i="5"/>
  <c r="FQ830" i="5"/>
  <c r="FP830" i="5"/>
  <c r="FO830" i="5"/>
  <c r="FN830" i="5"/>
  <c r="FM830" i="5"/>
  <c r="FL830" i="5"/>
  <c r="FK830" i="5"/>
  <c r="FJ830" i="5"/>
  <c r="FI830" i="5"/>
  <c r="FH830" i="5"/>
  <c r="FG830" i="5"/>
  <c r="FF830" i="5"/>
  <c r="FE830" i="5"/>
  <c r="FD830" i="5"/>
  <c r="FC830" i="5"/>
  <c r="FB830" i="5"/>
  <c r="FA830" i="5"/>
  <c r="EZ830" i="5"/>
  <c r="EY830" i="5"/>
  <c r="EX830" i="5"/>
  <c r="EW830" i="5"/>
  <c r="EV830" i="5"/>
  <c r="EU830" i="5"/>
  <c r="ET830" i="5"/>
  <c r="ES830" i="5"/>
  <c r="ER830" i="5"/>
  <c r="EQ830" i="5"/>
  <c r="EP830" i="5"/>
  <c r="EO830" i="5"/>
  <c r="EN830" i="5"/>
  <c r="EM830" i="5"/>
  <c r="EL830" i="5"/>
  <c r="EK830" i="5"/>
  <c r="EJ830" i="5"/>
  <c r="EI830" i="5"/>
  <c r="EH830" i="5"/>
  <c r="EG830" i="5"/>
  <c r="EF830" i="5"/>
  <c r="EE830" i="5"/>
  <c r="ED830" i="5"/>
  <c r="EC830" i="5"/>
  <c r="EB830" i="5"/>
  <c r="EA830" i="5"/>
  <c r="DZ830" i="5"/>
  <c r="DY830" i="5"/>
  <c r="DX830" i="5"/>
  <c r="DW830" i="5"/>
  <c r="DV830" i="5"/>
  <c r="DU830" i="5"/>
  <c r="DT830" i="5"/>
  <c r="DS830" i="5"/>
  <c r="DR830" i="5"/>
  <c r="DQ830" i="5"/>
  <c r="DP830" i="5"/>
  <c r="DO830" i="5"/>
  <c r="DN830" i="5"/>
  <c r="DM830" i="5"/>
  <c r="DL830" i="5"/>
  <c r="DK830" i="5"/>
  <c r="DJ830" i="5"/>
  <c r="DI830" i="5"/>
  <c r="DH830" i="5"/>
  <c r="DG830" i="5"/>
  <c r="DF830" i="5"/>
  <c r="DE830" i="5"/>
  <c r="DD830" i="5"/>
  <c r="DC830" i="5"/>
  <c r="DB830" i="5"/>
  <c r="DA830" i="5"/>
  <c r="CZ830" i="5"/>
  <c r="CY830" i="5"/>
  <c r="CX830" i="5"/>
  <c r="CW830" i="5"/>
  <c r="CV830" i="5"/>
  <c r="CU830" i="5"/>
  <c r="CT830" i="5"/>
  <c r="CS830" i="5"/>
  <c r="CR830" i="5"/>
  <c r="CQ830" i="5"/>
  <c r="CP830" i="5"/>
  <c r="CO830" i="5"/>
  <c r="CN830" i="5"/>
  <c r="CM830" i="5"/>
  <c r="CL830" i="5"/>
  <c r="CK830" i="5"/>
  <c r="CJ830" i="5"/>
  <c r="CI830" i="5"/>
  <c r="CH830" i="5"/>
  <c r="CG830" i="5"/>
  <c r="CF830" i="5"/>
  <c r="CE830" i="5"/>
  <c r="JA829" i="5"/>
  <c r="IZ829" i="5"/>
  <c r="FV829" i="5"/>
  <c r="FU829" i="5"/>
  <c r="FT829" i="5"/>
  <c r="FS829" i="5"/>
  <c r="FR829" i="5"/>
  <c r="FQ829" i="5"/>
  <c r="FP829" i="5"/>
  <c r="FO829" i="5"/>
  <c r="FN829" i="5"/>
  <c r="FM829" i="5"/>
  <c r="FL829" i="5"/>
  <c r="FK829" i="5"/>
  <c r="FJ829" i="5"/>
  <c r="FI829" i="5"/>
  <c r="FH829" i="5"/>
  <c r="FG829" i="5"/>
  <c r="FF829" i="5"/>
  <c r="FE829" i="5"/>
  <c r="FD829" i="5"/>
  <c r="FC829" i="5"/>
  <c r="FB829" i="5"/>
  <c r="FA829" i="5"/>
  <c r="EZ829" i="5"/>
  <c r="EY829" i="5"/>
  <c r="EX829" i="5"/>
  <c r="EW829" i="5"/>
  <c r="EV829" i="5"/>
  <c r="EU829" i="5"/>
  <c r="ET829" i="5"/>
  <c r="ES829" i="5"/>
  <c r="ER829" i="5"/>
  <c r="EQ829" i="5"/>
  <c r="EP829" i="5"/>
  <c r="EO829" i="5"/>
  <c r="EN829" i="5"/>
  <c r="EM829" i="5"/>
  <c r="EL829" i="5"/>
  <c r="EK829" i="5"/>
  <c r="EJ829" i="5"/>
  <c r="EI829" i="5"/>
  <c r="EH829" i="5"/>
  <c r="EG829" i="5"/>
  <c r="EF829" i="5"/>
  <c r="EE829" i="5"/>
  <c r="ED829" i="5"/>
  <c r="EC829" i="5"/>
  <c r="EB829" i="5"/>
  <c r="EA829" i="5"/>
  <c r="DZ829" i="5"/>
  <c r="DY829" i="5"/>
  <c r="DX829" i="5"/>
  <c r="DW829" i="5"/>
  <c r="DV829" i="5"/>
  <c r="DU829" i="5"/>
  <c r="DT829" i="5"/>
  <c r="DS829" i="5"/>
  <c r="DR829" i="5"/>
  <c r="DQ829" i="5"/>
  <c r="DP829" i="5"/>
  <c r="DO829" i="5"/>
  <c r="DN829" i="5"/>
  <c r="DM829" i="5"/>
  <c r="DL829" i="5"/>
  <c r="DK829" i="5"/>
  <c r="DJ829" i="5"/>
  <c r="DI829" i="5"/>
  <c r="DH829" i="5"/>
  <c r="DG829" i="5"/>
  <c r="DF829" i="5"/>
  <c r="DE829" i="5"/>
  <c r="DD829" i="5"/>
  <c r="DC829" i="5"/>
  <c r="DB829" i="5"/>
  <c r="DA829" i="5"/>
  <c r="CZ829" i="5"/>
  <c r="CY829" i="5"/>
  <c r="CX829" i="5"/>
  <c r="CW829" i="5"/>
  <c r="CV829" i="5"/>
  <c r="CU829" i="5"/>
  <c r="CT829" i="5"/>
  <c r="CS829" i="5"/>
  <c r="CR829" i="5"/>
  <c r="CQ829" i="5"/>
  <c r="CP829" i="5"/>
  <c r="CO829" i="5"/>
  <c r="CN829" i="5"/>
  <c r="CM829" i="5"/>
  <c r="CL829" i="5"/>
  <c r="CK829" i="5"/>
  <c r="CJ829" i="5"/>
  <c r="CI829" i="5"/>
  <c r="CH829" i="5"/>
  <c r="CG829" i="5"/>
  <c r="CF829" i="5"/>
  <c r="CE829" i="5"/>
  <c r="JA828" i="5"/>
  <c r="IZ828" i="5"/>
  <c r="FV828" i="5"/>
  <c r="FU828" i="5"/>
  <c r="FT828" i="5"/>
  <c r="FS828" i="5"/>
  <c r="FR828" i="5"/>
  <c r="FQ828" i="5"/>
  <c r="FP828" i="5"/>
  <c r="FO828" i="5"/>
  <c r="FN828" i="5"/>
  <c r="FM828" i="5"/>
  <c r="FL828" i="5"/>
  <c r="FK828" i="5"/>
  <c r="FJ828" i="5"/>
  <c r="FI828" i="5"/>
  <c r="FH828" i="5"/>
  <c r="FG828" i="5"/>
  <c r="FF828" i="5"/>
  <c r="FE828" i="5"/>
  <c r="FD828" i="5"/>
  <c r="FC828" i="5"/>
  <c r="FB828" i="5"/>
  <c r="FA828" i="5"/>
  <c r="EZ828" i="5"/>
  <c r="EY828" i="5"/>
  <c r="EX828" i="5"/>
  <c r="EW828" i="5"/>
  <c r="EV828" i="5"/>
  <c r="EU828" i="5"/>
  <c r="ET828" i="5"/>
  <c r="ES828" i="5"/>
  <c r="ER828" i="5"/>
  <c r="EQ828" i="5"/>
  <c r="EP828" i="5"/>
  <c r="EO828" i="5"/>
  <c r="EN828" i="5"/>
  <c r="EM828" i="5"/>
  <c r="EL828" i="5"/>
  <c r="EK828" i="5"/>
  <c r="EJ828" i="5"/>
  <c r="EI828" i="5"/>
  <c r="EH828" i="5"/>
  <c r="EG828" i="5"/>
  <c r="EF828" i="5"/>
  <c r="EE828" i="5"/>
  <c r="ED828" i="5"/>
  <c r="EC828" i="5"/>
  <c r="EB828" i="5"/>
  <c r="EA828" i="5"/>
  <c r="DZ828" i="5"/>
  <c r="DY828" i="5"/>
  <c r="DX828" i="5"/>
  <c r="DW828" i="5"/>
  <c r="DV828" i="5"/>
  <c r="DU828" i="5"/>
  <c r="DT828" i="5"/>
  <c r="DS828" i="5"/>
  <c r="DR828" i="5"/>
  <c r="DQ828" i="5"/>
  <c r="DP828" i="5"/>
  <c r="DO828" i="5"/>
  <c r="DN828" i="5"/>
  <c r="DM828" i="5"/>
  <c r="DL828" i="5"/>
  <c r="DK828" i="5"/>
  <c r="DJ828" i="5"/>
  <c r="DI828" i="5"/>
  <c r="DH828" i="5"/>
  <c r="DG828" i="5"/>
  <c r="DF828" i="5"/>
  <c r="DE828" i="5"/>
  <c r="DD828" i="5"/>
  <c r="DC828" i="5"/>
  <c r="DB828" i="5"/>
  <c r="DA828" i="5"/>
  <c r="CZ828" i="5"/>
  <c r="CY828" i="5"/>
  <c r="CX828" i="5"/>
  <c r="CW828" i="5"/>
  <c r="CV828" i="5"/>
  <c r="CU828" i="5"/>
  <c r="CT828" i="5"/>
  <c r="CS828" i="5"/>
  <c r="CR828" i="5"/>
  <c r="CQ828" i="5"/>
  <c r="CP828" i="5"/>
  <c r="CO828" i="5"/>
  <c r="CN828" i="5"/>
  <c r="CM828" i="5"/>
  <c r="CL828" i="5"/>
  <c r="CK828" i="5"/>
  <c r="CJ828" i="5"/>
  <c r="CI828" i="5"/>
  <c r="CH828" i="5"/>
  <c r="CG828" i="5"/>
  <c r="CF828" i="5"/>
  <c r="CE828" i="5"/>
  <c r="JA827" i="5"/>
  <c r="IZ827" i="5"/>
  <c r="FV827" i="5"/>
  <c r="FU827" i="5"/>
  <c r="FT827" i="5"/>
  <c r="FS827" i="5"/>
  <c r="FR827" i="5"/>
  <c r="FQ827" i="5"/>
  <c r="FP827" i="5"/>
  <c r="FO827" i="5"/>
  <c r="FN827" i="5"/>
  <c r="FM827" i="5"/>
  <c r="FL827" i="5"/>
  <c r="FK827" i="5"/>
  <c r="FJ827" i="5"/>
  <c r="FI827" i="5"/>
  <c r="FH827" i="5"/>
  <c r="FG827" i="5"/>
  <c r="FF827" i="5"/>
  <c r="FE827" i="5"/>
  <c r="FD827" i="5"/>
  <c r="FC827" i="5"/>
  <c r="FB827" i="5"/>
  <c r="FA827" i="5"/>
  <c r="EZ827" i="5"/>
  <c r="EY827" i="5"/>
  <c r="EX827" i="5"/>
  <c r="EW827" i="5"/>
  <c r="EV827" i="5"/>
  <c r="EU827" i="5"/>
  <c r="ET827" i="5"/>
  <c r="ES827" i="5"/>
  <c r="ER827" i="5"/>
  <c r="EQ827" i="5"/>
  <c r="EP827" i="5"/>
  <c r="EO827" i="5"/>
  <c r="EN827" i="5"/>
  <c r="EM827" i="5"/>
  <c r="EL827" i="5"/>
  <c r="EK827" i="5"/>
  <c r="EJ827" i="5"/>
  <c r="EI827" i="5"/>
  <c r="EH827" i="5"/>
  <c r="EG827" i="5"/>
  <c r="EF827" i="5"/>
  <c r="EE827" i="5"/>
  <c r="ED827" i="5"/>
  <c r="EC827" i="5"/>
  <c r="EB827" i="5"/>
  <c r="EA827" i="5"/>
  <c r="DZ827" i="5"/>
  <c r="DY827" i="5"/>
  <c r="DX827" i="5"/>
  <c r="DW827" i="5"/>
  <c r="DV827" i="5"/>
  <c r="DU827" i="5"/>
  <c r="DT827" i="5"/>
  <c r="DS827" i="5"/>
  <c r="DR827" i="5"/>
  <c r="DQ827" i="5"/>
  <c r="DP827" i="5"/>
  <c r="DO827" i="5"/>
  <c r="DN827" i="5"/>
  <c r="DM827" i="5"/>
  <c r="DL827" i="5"/>
  <c r="DK827" i="5"/>
  <c r="DJ827" i="5"/>
  <c r="DI827" i="5"/>
  <c r="DH827" i="5"/>
  <c r="DG827" i="5"/>
  <c r="DF827" i="5"/>
  <c r="DE827" i="5"/>
  <c r="DD827" i="5"/>
  <c r="DC827" i="5"/>
  <c r="DB827" i="5"/>
  <c r="DA827" i="5"/>
  <c r="CZ827" i="5"/>
  <c r="CY827" i="5"/>
  <c r="CX827" i="5"/>
  <c r="CW827" i="5"/>
  <c r="CV827" i="5"/>
  <c r="CU827" i="5"/>
  <c r="CT827" i="5"/>
  <c r="CS827" i="5"/>
  <c r="CR827" i="5"/>
  <c r="CQ827" i="5"/>
  <c r="CP827" i="5"/>
  <c r="CO827" i="5"/>
  <c r="CN827" i="5"/>
  <c r="CM827" i="5"/>
  <c r="CL827" i="5"/>
  <c r="CK827" i="5"/>
  <c r="CJ827" i="5"/>
  <c r="CI827" i="5"/>
  <c r="CH827" i="5"/>
  <c r="CG827" i="5"/>
  <c r="CF827" i="5"/>
  <c r="CE827" i="5"/>
  <c r="LB826" i="5"/>
  <c r="LB1081" i="5" s="1"/>
  <c r="LA826" i="5"/>
  <c r="LA1081" i="5" s="1"/>
  <c r="KZ826" i="5"/>
  <c r="KZ1081" i="5" s="1"/>
  <c r="KY826" i="5"/>
  <c r="KY1081" i="5" s="1"/>
  <c r="IZ826" i="5"/>
  <c r="CD826" i="5"/>
  <c r="CD1081" i="5" s="1"/>
  <c r="CC826" i="5"/>
  <c r="CC1081" i="5" s="1"/>
  <c r="CB826" i="5"/>
  <c r="CB1081" i="5" s="1"/>
  <c r="CA826" i="5"/>
  <c r="CA1081" i="5" s="1"/>
  <c r="BZ826" i="5"/>
  <c r="BZ1081" i="5" s="1"/>
  <c r="BY826" i="5"/>
  <c r="BY1081" i="5" s="1"/>
  <c r="BX826" i="5"/>
  <c r="BX1081" i="5" s="1"/>
  <c r="BW826" i="5"/>
  <c r="BW1081" i="5" s="1"/>
  <c r="BV826" i="5"/>
  <c r="BV1081" i="5" s="1"/>
  <c r="BU826" i="5"/>
  <c r="BU1081" i="5" s="1"/>
  <c r="BT826" i="5"/>
  <c r="BT1081" i="5" s="1"/>
  <c r="BS826" i="5"/>
  <c r="BS1081" i="5" s="1"/>
  <c r="BR826" i="5"/>
  <c r="BR1081" i="5" s="1"/>
  <c r="BQ826" i="5"/>
  <c r="BQ1081" i="5" s="1"/>
  <c r="BP826" i="5"/>
  <c r="BP1081" i="5" s="1"/>
  <c r="BO826" i="5"/>
  <c r="BO1081" i="5" s="1"/>
  <c r="BN826" i="5"/>
  <c r="BN1081" i="5" s="1"/>
  <c r="BM826" i="5"/>
  <c r="BM1081" i="5" s="1"/>
  <c r="BL826" i="5"/>
  <c r="BL1081" i="5" s="1"/>
  <c r="BK826" i="5"/>
  <c r="BK1081" i="5" s="1"/>
  <c r="BJ826" i="5"/>
  <c r="BJ1081" i="5" s="1"/>
  <c r="BI826" i="5"/>
  <c r="BI1081" i="5" s="1"/>
  <c r="BH826" i="5"/>
  <c r="BH1081" i="5" s="1"/>
  <c r="BG826" i="5"/>
  <c r="BG1081" i="5" s="1"/>
  <c r="BF826" i="5"/>
  <c r="BE826" i="5"/>
  <c r="BE1081" i="5" s="1"/>
  <c r="BD826" i="5"/>
  <c r="BD1081" i="5" s="1"/>
  <c r="BC826" i="5"/>
  <c r="BC1081" i="5" s="1"/>
  <c r="BB826" i="5"/>
  <c r="BB1081" i="5" s="1"/>
  <c r="BA826" i="5"/>
  <c r="BA1081" i="5" s="1"/>
  <c r="AZ826" i="5"/>
  <c r="AZ1081" i="5" s="1"/>
  <c r="AY826" i="5"/>
  <c r="AX826" i="5"/>
  <c r="AX1081" i="5" s="1"/>
  <c r="AW826" i="5"/>
  <c r="AW1081" i="5" s="1"/>
  <c r="AV826" i="5"/>
  <c r="AV1081" i="5" s="1"/>
  <c r="AU826" i="5"/>
  <c r="AU1081" i="5" s="1"/>
  <c r="AT826" i="5"/>
  <c r="AT1081" i="5" s="1"/>
  <c r="AS826" i="5"/>
  <c r="AS1081" i="5" s="1"/>
  <c r="AR826" i="5"/>
  <c r="AR1081" i="5" s="1"/>
  <c r="AQ826" i="5"/>
  <c r="AQ1081" i="5" s="1"/>
  <c r="AP826" i="5"/>
  <c r="AP1081" i="5" s="1"/>
  <c r="AO826" i="5"/>
  <c r="AO1081" i="5" s="1"/>
  <c r="AN826" i="5"/>
  <c r="AM826" i="5"/>
  <c r="AM1081" i="5" s="1"/>
  <c r="AL826" i="5"/>
  <c r="AL1081" i="5" s="1"/>
  <c r="AK826" i="5"/>
  <c r="AK1081" i="5" s="1"/>
  <c r="AJ826" i="5"/>
  <c r="AJ1081" i="5" s="1"/>
  <c r="AI826" i="5"/>
  <c r="AI1081" i="5" s="1"/>
  <c r="AH826" i="5"/>
  <c r="AH1081" i="5" s="1"/>
  <c r="AG826" i="5"/>
  <c r="AG1081" i="5" s="1"/>
  <c r="AF826" i="5"/>
  <c r="AF1081" i="5" s="1"/>
  <c r="AE826" i="5"/>
  <c r="AE1081" i="5" s="1"/>
  <c r="AD826" i="5"/>
  <c r="AD1081" i="5" s="1"/>
  <c r="AC826" i="5"/>
  <c r="AC1081" i="5" s="1"/>
  <c r="AB826" i="5"/>
  <c r="AB1081" i="5" s="1"/>
  <c r="AA826" i="5"/>
  <c r="Z826" i="5"/>
  <c r="Z1081" i="5" s="1"/>
  <c r="Y826" i="5"/>
  <c r="Y1081" i="5" s="1"/>
  <c r="X826" i="5"/>
  <c r="X1081" i="5" s="1"/>
  <c r="W826" i="5"/>
  <c r="W1081" i="5" s="1"/>
  <c r="V826" i="5"/>
  <c r="V1081" i="5" s="1"/>
  <c r="U826" i="5"/>
  <c r="U1081" i="5" s="1"/>
  <c r="T826" i="5"/>
  <c r="T1081" i="5" s="1"/>
  <c r="S826" i="5"/>
  <c r="S1081" i="5" s="1"/>
  <c r="R826" i="5"/>
  <c r="R1081" i="5" s="1"/>
  <c r="Q826" i="5"/>
  <c r="Q1081" i="5" s="1"/>
  <c r="P826" i="5"/>
  <c r="P1081" i="5" s="1"/>
  <c r="O826" i="5"/>
  <c r="O1081" i="5" s="1"/>
  <c r="N826" i="5"/>
  <c r="N1081" i="5" s="1"/>
  <c r="M826" i="5"/>
  <c r="M1081" i="5" s="1"/>
  <c r="L826" i="5"/>
  <c r="L1081" i="5" s="1"/>
  <c r="K826" i="5"/>
  <c r="K1081" i="5" s="1"/>
  <c r="J826" i="5"/>
  <c r="J1081" i="5" s="1"/>
  <c r="I826" i="5"/>
  <c r="I1081" i="5" s="1"/>
  <c r="H826" i="5"/>
  <c r="H1081" i="5" s="1"/>
  <c r="G826" i="5"/>
  <c r="G1081" i="5" s="1"/>
  <c r="F826" i="5"/>
  <c r="F1081" i="5" s="1"/>
  <c r="E826" i="5"/>
  <c r="E1081" i="5" s="1"/>
  <c r="JP825" i="5"/>
  <c r="JM825" i="5"/>
  <c r="JA825" i="5"/>
  <c r="IZ825" i="5"/>
  <c r="IX825" i="5"/>
  <c r="IY825" i="5" s="1"/>
  <c r="AF1131" i="2" s="1"/>
  <c r="AF1414" i="2" s="1"/>
  <c r="IV825" i="5"/>
  <c r="JA824" i="5"/>
  <c r="IZ824" i="5"/>
  <c r="FV824" i="5"/>
  <c r="FU824" i="5"/>
  <c r="FT824" i="5"/>
  <c r="FS824" i="5"/>
  <c r="FR824" i="5"/>
  <c r="FQ824" i="5"/>
  <c r="FP824" i="5"/>
  <c r="FO824" i="5"/>
  <c r="FN824" i="5"/>
  <c r="FM824" i="5"/>
  <c r="FL824" i="5"/>
  <c r="FK824" i="5"/>
  <c r="FJ824" i="5"/>
  <c r="FI824" i="5"/>
  <c r="FH824" i="5"/>
  <c r="FG824" i="5"/>
  <c r="FF824" i="5"/>
  <c r="FE824" i="5"/>
  <c r="FD824" i="5"/>
  <c r="FC824" i="5"/>
  <c r="FB824" i="5"/>
  <c r="FA824" i="5"/>
  <c r="EZ824" i="5"/>
  <c r="EY824" i="5"/>
  <c r="EX824" i="5"/>
  <c r="EW824" i="5"/>
  <c r="EV824" i="5"/>
  <c r="EU824" i="5"/>
  <c r="ET824" i="5"/>
  <c r="ES824" i="5"/>
  <c r="ER824" i="5"/>
  <c r="EQ824" i="5"/>
  <c r="EP824" i="5"/>
  <c r="EO824" i="5"/>
  <c r="EN824" i="5"/>
  <c r="EM824" i="5"/>
  <c r="EL824" i="5"/>
  <c r="EK824" i="5"/>
  <c r="EJ824" i="5"/>
  <c r="EI824" i="5"/>
  <c r="EH824" i="5"/>
  <c r="EG824" i="5"/>
  <c r="EF824" i="5"/>
  <c r="EE824" i="5"/>
  <c r="ED824" i="5"/>
  <c r="EC824" i="5"/>
  <c r="EB824" i="5"/>
  <c r="EA824" i="5"/>
  <c r="DZ824" i="5"/>
  <c r="DY824" i="5"/>
  <c r="DX824" i="5"/>
  <c r="DW824" i="5"/>
  <c r="DV824" i="5"/>
  <c r="DU824" i="5"/>
  <c r="DT824" i="5"/>
  <c r="DS824" i="5"/>
  <c r="DR824" i="5"/>
  <c r="DQ824" i="5"/>
  <c r="DP824" i="5"/>
  <c r="DO824" i="5"/>
  <c r="DN824" i="5"/>
  <c r="DM824" i="5"/>
  <c r="DL824" i="5"/>
  <c r="DK824" i="5"/>
  <c r="DJ824" i="5"/>
  <c r="DI824" i="5"/>
  <c r="DH824" i="5"/>
  <c r="DG824" i="5"/>
  <c r="DF824" i="5"/>
  <c r="DE824" i="5"/>
  <c r="DD824" i="5"/>
  <c r="DC824" i="5"/>
  <c r="DB824" i="5"/>
  <c r="DA824" i="5"/>
  <c r="CZ824" i="5"/>
  <c r="CY824" i="5"/>
  <c r="CX824" i="5"/>
  <c r="CW824" i="5"/>
  <c r="CV824" i="5"/>
  <c r="CU824" i="5"/>
  <c r="CT824" i="5"/>
  <c r="CS824" i="5"/>
  <c r="CR824" i="5"/>
  <c r="CQ824" i="5"/>
  <c r="CP824" i="5"/>
  <c r="CO824" i="5"/>
  <c r="CN824" i="5"/>
  <c r="CM824" i="5"/>
  <c r="CL824" i="5"/>
  <c r="CK824" i="5"/>
  <c r="CJ824" i="5"/>
  <c r="CI824" i="5"/>
  <c r="CH824" i="5"/>
  <c r="CG824" i="5"/>
  <c r="CF824" i="5"/>
  <c r="CE824" i="5"/>
  <c r="JA823" i="5"/>
  <c r="IZ823" i="5"/>
  <c r="FV823" i="5"/>
  <c r="FU823" i="5"/>
  <c r="FT823" i="5"/>
  <c r="FS823" i="5"/>
  <c r="FR823" i="5"/>
  <c r="FQ823" i="5"/>
  <c r="FP823" i="5"/>
  <c r="FO823" i="5"/>
  <c r="FN823" i="5"/>
  <c r="FM823" i="5"/>
  <c r="FL823" i="5"/>
  <c r="FK823" i="5"/>
  <c r="FJ823" i="5"/>
  <c r="FI823" i="5"/>
  <c r="FH823" i="5"/>
  <c r="FG823" i="5"/>
  <c r="FF823" i="5"/>
  <c r="FE823" i="5"/>
  <c r="FD823" i="5"/>
  <c r="FC823" i="5"/>
  <c r="FB823" i="5"/>
  <c r="FA823" i="5"/>
  <c r="EZ823" i="5"/>
  <c r="EY823" i="5"/>
  <c r="EX823" i="5"/>
  <c r="EW823" i="5"/>
  <c r="EV823" i="5"/>
  <c r="EU823" i="5"/>
  <c r="ET823" i="5"/>
  <c r="ES823" i="5"/>
  <c r="ER823" i="5"/>
  <c r="EQ823" i="5"/>
  <c r="EP823" i="5"/>
  <c r="EO823" i="5"/>
  <c r="EN823" i="5"/>
  <c r="EM823" i="5"/>
  <c r="EL823" i="5"/>
  <c r="EK823" i="5"/>
  <c r="EJ823" i="5"/>
  <c r="EI823" i="5"/>
  <c r="EH823" i="5"/>
  <c r="EG823" i="5"/>
  <c r="EF823" i="5"/>
  <c r="EE823" i="5"/>
  <c r="ED823" i="5"/>
  <c r="EC823" i="5"/>
  <c r="EB823" i="5"/>
  <c r="EA823" i="5"/>
  <c r="DZ823" i="5"/>
  <c r="DY823" i="5"/>
  <c r="DX823" i="5"/>
  <c r="DW823" i="5"/>
  <c r="DV823" i="5"/>
  <c r="DU823" i="5"/>
  <c r="DT823" i="5"/>
  <c r="DS823" i="5"/>
  <c r="DR823" i="5"/>
  <c r="DQ823" i="5"/>
  <c r="DP823" i="5"/>
  <c r="DO823" i="5"/>
  <c r="DN823" i="5"/>
  <c r="DM823" i="5"/>
  <c r="DL823" i="5"/>
  <c r="DK823" i="5"/>
  <c r="DJ823" i="5"/>
  <c r="DI823" i="5"/>
  <c r="DH823" i="5"/>
  <c r="DG823" i="5"/>
  <c r="DF823" i="5"/>
  <c r="DE823" i="5"/>
  <c r="DD823" i="5"/>
  <c r="DC823" i="5"/>
  <c r="DB823" i="5"/>
  <c r="DA823" i="5"/>
  <c r="CZ823" i="5"/>
  <c r="CY823" i="5"/>
  <c r="CX823" i="5"/>
  <c r="CW823" i="5"/>
  <c r="CV823" i="5"/>
  <c r="CU823" i="5"/>
  <c r="CT823" i="5"/>
  <c r="CS823" i="5"/>
  <c r="CR823" i="5"/>
  <c r="CQ823" i="5"/>
  <c r="CP823" i="5"/>
  <c r="CO823" i="5"/>
  <c r="CN823" i="5"/>
  <c r="CM823" i="5"/>
  <c r="CL823" i="5"/>
  <c r="CK823" i="5"/>
  <c r="CJ823" i="5"/>
  <c r="CI823" i="5"/>
  <c r="CH823" i="5"/>
  <c r="CG823" i="5"/>
  <c r="CF823" i="5"/>
  <c r="CE823" i="5"/>
  <c r="JA822" i="5"/>
  <c r="IZ822" i="5"/>
  <c r="FV822" i="5"/>
  <c r="FU822" i="5"/>
  <c r="FT822" i="5"/>
  <c r="FS822" i="5"/>
  <c r="FR822" i="5"/>
  <c r="FQ822" i="5"/>
  <c r="FP822" i="5"/>
  <c r="FO822" i="5"/>
  <c r="FN822" i="5"/>
  <c r="FM822" i="5"/>
  <c r="FL822" i="5"/>
  <c r="FK822" i="5"/>
  <c r="FJ822" i="5"/>
  <c r="FI822" i="5"/>
  <c r="FH822" i="5"/>
  <c r="FG822" i="5"/>
  <c r="FF822" i="5"/>
  <c r="FE822" i="5"/>
  <c r="FD822" i="5"/>
  <c r="FC822" i="5"/>
  <c r="FB822" i="5"/>
  <c r="FA822" i="5"/>
  <c r="EZ822" i="5"/>
  <c r="EY822" i="5"/>
  <c r="EX822" i="5"/>
  <c r="EW822" i="5"/>
  <c r="EV822" i="5"/>
  <c r="EU822" i="5"/>
  <c r="ET822" i="5"/>
  <c r="ES822" i="5"/>
  <c r="ER822" i="5"/>
  <c r="EQ822" i="5"/>
  <c r="EP822" i="5"/>
  <c r="EO822" i="5"/>
  <c r="EN822" i="5"/>
  <c r="EM822" i="5"/>
  <c r="EL822" i="5"/>
  <c r="EK822" i="5"/>
  <c r="EJ822" i="5"/>
  <c r="EI822" i="5"/>
  <c r="EH822" i="5"/>
  <c r="EG822" i="5"/>
  <c r="EF822" i="5"/>
  <c r="EE822" i="5"/>
  <c r="ED822" i="5"/>
  <c r="EC822" i="5"/>
  <c r="EB822" i="5"/>
  <c r="EA822" i="5"/>
  <c r="DZ822" i="5"/>
  <c r="DY822" i="5"/>
  <c r="DX822" i="5"/>
  <c r="DW822" i="5"/>
  <c r="DV822" i="5"/>
  <c r="DU822" i="5"/>
  <c r="DT822" i="5"/>
  <c r="DS822" i="5"/>
  <c r="DR822" i="5"/>
  <c r="DQ822" i="5"/>
  <c r="DP822" i="5"/>
  <c r="DO822" i="5"/>
  <c r="DN822" i="5"/>
  <c r="DM822" i="5"/>
  <c r="DL822" i="5"/>
  <c r="DK822" i="5"/>
  <c r="DJ822" i="5"/>
  <c r="DI822" i="5"/>
  <c r="DH822" i="5"/>
  <c r="DG822" i="5"/>
  <c r="DF822" i="5"/>
  <c r="DE822" i="5"/>
  <c r="DD822" i="5"/>
  <c r="DC822" i="5"/>
  <c r="DB822" i="5"/>
  <c r="DA822" i="5"/>
  <c r="CZ822" i="5"/>
  <c r="CY822" i="5"/>
  <c r="CX822" i="5"/>
  <c r="CW822" i="5"/>
  <c r="CV822" i="5"/>
  <c r="CU822" i="5"/>
  <c r="CT822" i="5"/>
  <c r="CS822" i="5"/>
  <c r="CR822" i="5"/>
  <c r="CQ822" i="5"/>
  <c r="CP822" i="5"/>
  <c r="CO822" i="5"/>
  <c r="CN822" i="5"/>
  <c r="CM822" i="5"/>
  <c r="CL822" i="5"/>
  <c r="CK822" i="5"/>
  <c r="CJ822" i="5"/>
  <c r="CI822" i="5"/>
  <c r="CH822" i="5"/>
  <c r="CG822" i="5"/>
  <c r="CF822" i="5"/>
  <c r="CE822" i="5"/>
  <c r="JA821" i="5"/>
  <c r="IZ821" i="5"/>
  <c r="IX821" i="5"/>
  <c r="IY821" i="5" s="1"/>
  <c r="AF1127" i="2" s="1"/>
  <c r="JP820" i="5"/>
  <c r="JO820" i="5"/>
  <c r="JM820" i="5"/>
  <c r="JA820" i="5"/>
  <c r="IZ820" i="5"/>
  <c r="DB820" i="5"/>
  <c r="DA820" i="5"/>
  <c r="CZ820" i="5"/>
  <c r="CY820" i="5"/>
  <c r="CX820" i="5"/>
  <c r="CW820" i="5"/>
  <c r="CV820" i="5"/>
  <c r="CU820" i="5"/>
  <c r="CT820" i="5"/>
  <c r="CS820" i="5"/>
  <c r="CR820" i="5"/>
  <c r="CQ820" i="5"/>
  <c r="CP820" i="5"/>
  <c r="CO820" i="5"/>
  <c r="CN820" i="5"/>
  <c r="CM820" i="5"/>
  <c r="CL820" i="5"/>
  <c r="CK820" i="5"/>
  <c r="CJ820" i="5"/>
  <c r="CI820" i="5"/>
  <c r="CH820" i="5"/>
  <c r="CG820" i="5"/>
  <c r="CF820" i="5"/>
  <c r="CE820" i="5"/>
  <c r="JP819" i="5"/>
  <c r="JO819" i="5"/>
  <c r="JM819" i="5"/>
  <c r="JA819" i="5"/>
  <c r="IZ819" i="5"/>
  <c r="DB819" i="5"/>
  <c r="DA819" i="5"/>
  <c r="CZ819" i="5"/>
  <c r="CY819" i="5"/>
  <c r="CX819" i="5"/>
  <c r="CW819" i="5"/>
  <c r="CV819" i="5"/>
  <c r="CU819" i="5"/>
  <c r="CT819" i="5"/>
  <c r="CS819" i="5"/>
  <c r="CR819" i="5"/>
  <c r="CQ819" i="5"/>
  <c r="CP819" i="5"/>
  <c r="CO819" i="5"/>
  <c r="CN819" i="5"/>
  <c r="CM819" i="5"/>
  <c r="CL819" i="5"/>
  <c r="CK819" i="5"/>
  <c r="CJ819" i="5"/>
  <c r="CI819" i="5"/>
  <c r="CH819" i="5"/>
  <c r="CG819" i="5"/>
  <c r="CF819" i="5"/>
  <c r="CE819" i="5"/>
  <c r="LB818" i="5"/>
  <c r="LA818" i="5"/>
  <c r="KZ818" i="5"/>
  <c r="KY818" i="5"/>
  <c r="JA818" i="5"/>
  <c r="IZ818" i="5"/>
  <c r="CD818" i="5"/>
  <c r="CC818" i="5"/>
  <c r="CB818" i="5"/>
  <c r="CA818" i="5"/>
  <c r="BZ818" i="5"/>
  <c r="BY818" i="5"/>
  <c r="BX818" i="5"/>
  <c r="BW818" i="5"/>
  <c r="BV818" i="5"/>
  <c r="BU818" i="5"/>
  <c r="BT818" i="5"/>
  <c r="BS818" i="5"/>
  <c r="BR818" i="5"/>
  <c r="BQ818" i="5"/>
  <c r="BP818" i="5"/>
  <c r="BO818" i="5"/>
  <c r="BN818" i="5"/>
  <c r="BM818" i="5"/>
  <c r="BL818" i="5"/>
  <c r="BK818" i="5"/>
  <c r="BJ818" i="5"/>
  <c r="BI818" i="5"/>
  <c r="BH818" i="5"/>
  <c r="BG818" i="5"/>
  <c r="BF818" i="5"/>
  <c r="BE818" i="5"/>
  <c r="BD818" i="5"/>
  <c r="BC818" i="5"/>
  <c r="BB818" i="5"/>
  <c r="BA818" i="5"/>
  <c r="AZ818" i="5"/>
  <c r="AY818" i="5"/>
  <c r="AX818" i="5"/>
  <c r="AW818" i="5"/>
  <c r="AV818" i="5"/>
  <c r="AU818" i="5"/>
  <c r="AT818" i="5"/>
  <c r="AS818" i="5"/>
  <c r="AR818" i="5"/>
  <c r="AQ818" i="5"/>
  <c r="AP818" i="5"/>
  <c r="AO818" i="5"/>
  <c r="AN818" i="5"/>
  <c r="AM818" i="5"/>
  <c r="AL818" i="5"/>
  <c r="AK818" i="5"/>
  <c r="AJ818" i="5"/>
  <c r="AI818" i="5"/>
  <c r="AH818" i="5"/>
  <c r="AG818" i="5"/>
  <c r="AF818" i="5"/>
  <c r="AE818" i="5"/>
  <c r="AD818" i="5"/>
  <c r="AC818" i="5"/>
  <c r="AB818" i="5"/>
  <c r="AA818" i="5"/>
  <c r="Z818" i="5"/>
  <c r="Y818" i="5"/>
  <c r="X818" i="5"/>
  <c r="W818" i="5"/>
  <c r="V818" i="5"/>
  <c r="U818" i="5"/>
  <c r="T818" i="5"/>
  <c r="S818" i="5"/>
  <c r="R818" i="5"/>
  <c r="Q818" i="5"/>
  <c r="P818" i="5"/>
  <c r="O818" i="5"/>
  <c r="N818" i="5"/>
  <c r="M818" i="5"/>
  <c r="L818" i="5"/>
  <c r="K818" i="5"/>
  <c r="J818" i="5"/>
  <c r="I818" i="5"/>
  <c r="H818" i="5"/>
  <c r="G818" i="5"/>
  <c r="F818" i="5"/>
  <c r="E818" i="5"/>
  <c r="JP817" i="5"/>
  <c r="JO817" i="5"/>
  <c r="JM817" i="5"/>
  <c r="JA817" i="5"/>
  <c r="IZ817" i="5"/>
  <c r="DB817" i="5"/>
  <c r="DA817" i="5"/>
  <c r="CZ817" i="5"/>
  <c r="CY817" i="5"/>
  <c r="CX817" i="5"/>
  <c r="CW817" i="5"/>
  <c r="CV817" i="5"/>
  <c r="CU817" i="5"/>
  <c r="CT817" i="5"/>
  <c r="CS817" i="5"/>
  <c r="CR817" i="5"/>
  <c r="CQ817" i="5"/>
  <c r="CP817" i="5"/>
  <c r="CO817" i="5"/>
  <c r="CN817" i="5"/>
  <c r="CM817" i="5"/>
  <c r="CL817" i="5"/>
  <c r="CK817" i="5"/>
  <c r="CJ817" i="5"/>
  <c r="CI817" i="5"/>
  <c r="CH817" i="5"/>
  <c r="CG817" i="5"/>
  <c r="CF817" i="5"/>
  <c r="CE817" i="5"/>
  <c r="JA816" i="5"/>
  <c r="IZ816" i="5"/>
  <c r="D816" i="5"/>
  <c r="JP815" i="5"/>
  <c r="JM815" i="5"/>
  <c r="JA815" i="5"/>
  <c r="IZ815" i="5"/>
  <c r="DB815" i="5"/>
  <c r="DA815" i="5"/>
  <c r="CZ815" i="5"/>
  <c r="CY815" i="5"/>
  <c r="CX815" i="5"/>
  <c r="CW815" i="5"/>
  <c r="CV815" i="5"/>
  <c r="CU815" i="5"/>
  <c r="CT815" i="5"/>
  <c r="CS815" i="5"/>
  <c r="CR815" i="5"/>
  <c r="CQ815" i="5"/>
  <c r="CP815" i="5"/>
  <c r="CO815" i="5"/>
  <c r="CN815" i="5"/>
  <c r="CM815" i="5"/>
  <c r="CL815" i="5"/>
  <c r="CK815" i="5"/>
  <c r="CJ815" i="5"/>
  <c r="CI815" i="5"/>
  <c r="CH815" i="5"/>
  <c r="CG815" i="5"/>
  <c r="CF815" i="5"/>
  <c r="CE815" i="5"/>
  <c r="LB814" i="5"/>
  <c r="LA814" i="5"/>
  <c r="KZ814" i="5"/>
  <c r="KY814" i="5"/>
  <c r="JA814" i="5"/>
  <c r="IZ814" i="5"/>
  <c r="CD814" i="5"/>
  <c r="CC814" i="5"/>
  <c r="CB814" i="5"/>
  <c r="CA814" i="5"/>
  <c r="BZ814" i="5"/>
  <c r="BY814" i="5"/>
  <c r="BX814" i="5"/>
  <c r="BW814" i="5"/>
  <c r="BV814" i="5"/>
  <c r="BU814" i="5"/>
  <c r="BT814" i="5"/>
  <c r="BS814" i="5"/>
  <c r="BR814" i="5"/>
  <c r="BQ814" i="5"/>
  <c r="BP814" i="5"/>
  <c r="BO814" i="5"/>
  <c r="BN814" i="5"/>
  <c r="BM814" i="5"/>
  <c r="BL814" i="5"/>
  <c r="BK814" i="5"/>
  <c r="BJ814" i="5"/>
  <c r="BI814" i="5"/>
  <c r="BH814" i="5"/>
  <c r="BG814" i="5"/>
  <c r="BF814" i="5"/>
  <c r="BE814" i="5"/>
  <c r="BD814" i="5"/>
  <c r="BC814" i="5"/>
  <c r="BB814" i="5"/>
  <c r="BA814" i="5"/>
  <c r="AZ814" i="5"/>
  <c r="AY814" i="5"/>
  <c r="AX814" i="5"/>
  <c r="AW814" i="5"/>
  <c r="AV814" i="5"/>
  <c r="AU814" i="5"/>
  <c r="AT814" i="5"/>
  <c r="AS814" i="5"/>
  <c r="AR814" i="5"/>
  <c r="AQ814" i="5"/>
  <c r="AP814" i="5"/>
  <c r="AO814" i="5"/>
  <c r="AN814" i="5"/>
  <c r="AM814" i="5"/>
  <c r="AL814" i="5"/>
  <c r="AK814" i="5"/>
  <c r="AJ814" i="5"/>
  <c r="AI814" i="5"/>
  <c r="AH814" i="5"/>
  <c r="AG814" i="5"/>
  <c r="AF814" i="5"/>
  <c r="AE814" i="5"/>
  <c r="AD814" i="5"/>
  <c r="AC814" i="5"/>
  <c r="AB814" i="5"/>
  <c r="AA814" i="5"/>
  <c r="Z814" i="5"/>
  <c r="Y814" i="5"/>
  <c r="X814" i="5"/>
  <c r="W814" i="5"/>
  <c r="V814" i="5"/>
  <c r="U814" i="5"/>
  <c r="T814" i="5"/>
  <c r="S814" i="5"/>
  <c r="R814" i="5"/>
  <c r="Q814" i="5"/>
  <c r="P814" i="5"/>
  <c r="O814" i="5"/>
  <c r="N814" i="5"/>
  <c r="M814" i="5"/>
  <c r="L814" i="5"/>
  <c r="K814" i="5"/>
  <c r="J814" i="5"/>
  <c r="I814" i="5"/>
  <c r="H814" i="5"/>
  <c r="G814" i="5"/>
  <c r="F814" i="5"/>
  <c r="E814" i="5"/>
  <c r="JA813" i="5"/>
  <c r="JA1078" i="5" s="1"/>
  <c r="IZ813" i="5"/>
  <c r="JO812" i="5"/>
  <c r="JA812" i="5"/>
  <c r="IZ812" i="5"/>
  <c r="FV812" i="5"/>
  <c r="FU812" i="5"/>
  <c r="FT812" i="5"/>
  <c r="FS812" i="5"/>
  <c r="FR812" i="5"/>
  <c r="FQ812" i="5"/>
  <c r="FP812" i="5"/>
  <c r="FO812" i="5"/>
  <c r="FN812" i="5"/>
  <c r="FM812" i="5"/>
  <c r="FL812" i="5"/>
  <c r="FK812" i="5"/>
  <c r="FJ812" i="5"/>
  <c r="FI812" i="5"/>
  <c r="FH812" i="5"/>
  <c r="FG812" i="5"/>
  <c r="FF812" i="5"/>
  <c r="FE812" i="5"/>
  <c r="FD812" i="5"/>
  <c r="FC812" i="5"/>
  <c r="FB812" i="5"/>
  <c r="FA812" i="5"/>
  <c r="EZ812" i="5"/>
  <c r="EY812" i="5"/>
  <c r="EX812" i="5"/>
  <c r="EW812" i="5"/>
  <c r="EV812" i="5"/>
  <c r="EU812" i="5"/>
  <c r="ET812" i="5"/>
  <c r="ES812" i="5"/>
  <c r="ER812" i="5"/>
  <c r="EQ812" i="5"/>
  <c r="EP812" i="5"/>
  <c r="EO812" i="5"/>
  <c r="EN812" i="5"/>
  <c r="EM812" i="5"/>
  <c r="EL812" i="5"/>
  <c r="EK812" i="5"/>
  <c r="EJ812" i="5"/>
  <c r="EI812" i="5"/>
  <c r="EH812" i="5"/>
  <c r="EG812" i="5"/>
  <c r="EF812" i="5"/>
  <c r="EE812" i="5"/>
  <c r="ED812" i="5"/>
  <c r="EC812" i="5"/>
  <c r="EB812" i="5"/>
  <c r="EA812" i="5"/>
  <c r="DZ812" i="5"/>
  <c r="DY812" i="5"/>
  <c r="DX812" i="5"/>
  <c r="DW812" i="5"/>
  <c r="DV812" i="5"/>
  <c r="DU812" i="5"/>
  <c r="DT812" i="5"/>
  <c r="DS812" i="5"/>
  <c r="DR812" i="5"/>
  <c r="DQ812" i="5"/>
  <c r="DP812" i="5"/>
  <c r="DO812" i="5"/>
  <c r="DN812" i="5"/>
  <c r="DM812" i="5"/>
  <c r="DL812" i="5"/>
  <c r="DK812" i="5"/>
  <c r="DJ812" i="5"/>
  <c r="DI812" i="5"/>
  <c r="DH812" i="5"/>
  <c r="DG812" i="5"/>
  <c r="DF812" i="5"/>
  <c r="DE812" i="5"/>
  <c r="DD812" i="5"/>
  <c r="DC812" i="5"/>
  <c r="DB812" i="5"/>
  <c r="DA812" i="5"/>
  <c r="CZ812" i="5"/>
  <c r="CY812" i="5"/>
  <c r="CX812" i="5"/>
  <c r="CW812" i="5"/>
  <c r="CV812" i="5"/>
  <c r="CU812" i="5"/>
  <c r="CT812" i="5"/>
  <c r="CS812" i="5"/>
  <c r="CR812" i="5"/>
  <c r="CQ812" i="5"/>
  <c r="CP812" i="5"/>
  <c r="CO812" i="5"/>
  <c r="CN812" i="5"/>
  <c r="CM812" i="5"/>
  <c r="CL812" i="5"/>
  <c r="CK812" i="5"/>
  <c r="CJ812" i="5"/>
  <c r="CI812" i="5"/>
  <c r="CH812" i="5"/>
  <c r="CG812" i="5"/>
  <c r="CF812" i="5"/>
  <c r="CE812" i="5"/>
  <c r="JA811" i="5"/>
  <c r="IZ811" i="5"/>
  <c r="FV811" i="5"/>
  <c r="FU811" i="5"/>
  <c r="FT811" i="5"/>
  <c r="FS811" i="5"/>
  <c r="FR811" i="5"/>
  <c r="FQ811" i="5"/>
  <c r="FP811" i="5"/>
  <c r="FO811" i="5"/>
  <c r="FN811" i="5"/>
  <c r="FM811" i="5"/>
  <c r="FL811" i="5"/>
  <c r="FK811" i="5"/>
  <c r="FJ811" i="5"/>
  <c r="FI811" i="5"/>
  <c r="FH811" i="5"/>
  <c r="FG811" i="5"/>
  <c r="FF811" i="5"/>
  <c r="FE811" i="5"/>
  <c r="FD811" i="5"/>
  <c r="FC811" i="5"/>
  <c r="FB811" i="5"/>
  <c r="FA811" i="5"/>
  <c r="EZ811" i="5"/>
  <c r="EY811" i="5"/>
  <c r="EX811" i="5"/>
  <c r="EW811" i="5"/>
  <c r="EV811" i="5"/>
  <c r="EU811" i="5"/>
  <c r="ET811" i="5"/>
  <c r="ES811" i="5"/>
  <c r="ER811" i="5"/>
  <c r="EQ811" i="5"/>
  <c r="EP811" i="5"/>
  <c r="EO811" i="5"/>
  <c r="EN811" i="5"/>
  <c r="EM811" i="5"/>
  <c r="EL811" i="5"/>
  <c r="EK811" i="5"/>
  <c r="EJ811" i="5"/>
  <c r="EI811" i="5"/>
  <c r="EH811" i="5"/>
  <c r="EG811" i="5"/>
  <c r="EF811" i="5"/>
  <c r="EE811" i="5"/>
  <c r="ED811" i="5"/>
  <c r="EC811" i="5"/>
  <c r="EB811" i="5"/>
  <c r="EA811" i="5"/>
  <c r="DZ811" i="5"/>
  <c r="DY811" i="5"/>
  <c r="DX811" i="5"/>
  <c r="DW811" i="5"/>
  <c r="DV811" i="5"/>
  <c r="DU811" i="5"/>
  <c r="DT811" i="5"/>
  <c r="DS811" i="5"/>
  <c r="DR811" i="5"/>
  <c r="DQ811" i="5"/>
  <c r="DP811" i="5"/>
  <c r="DO811" i="5"/>
  <c r="DN811" i="5"/>
  <c r="DM811" i="5"/>
  <c r="DL811" i="5"/>
  <c r="DK811" i="5"/>
  <c r="DJ811" i="5"/>
  <c r="DI811" i="5"/>
  <c r="DH811" i="5"/>
  <c r="DG811" i="5"/>
  <c r="DF811" i="5"/>
  <c r="DE811" i="5"/>
  <c r="DD811" i="5"/>
  <c r="DC811" i="5"/>
  <c r="DB811" i="5"/>
  <c r="DA811" i="5"/>
  <c r="CZ811" i="5"/>
  <c r="CY811" i="5"/>
  <c r="CX811" i="5"/>
  <c r="CW811" i="5"/>
  <c r="CV811" i="5"/>
  <c r="CU811" i="5"/>
  <c r="CT811" i="5"/>
  <c r="CS811" i="5"/>
  <c r="CR811" i="5"/>
  <c r="CQ811" i="5"/>
  <c r="CP811" i="5"/>
  <c r="CO811" i="5"/>
  <c r="CN811" i="5"/>
  <c r="CM811" i="5"/>
  <c r="CL811" i="5"/>
  <c r="CK811" i="5"/>
  <c r="CJ811" i="5"/>
  <c r="CI811" i="5"/>
  <c r="CH811" i="5"/>
  <c r="CG811" i="5"/>
  <c r="CF811" i="5"/>
  <c r="CE811" i="5"/>
  <c r="JO810" i="5"/>
  <c r="JA810" i="5"/>
  <c r="IZ810" i="5"/>
  <c r="FV810" i="5"/>
  <c r="FU810" i="5"/>
  <c r="FT810" i="5"/>
  <c r="FS810" i="5"/>
  <c r="FR810" i="5"/>
  <c r="FQ810" i="5"/>
  <c r="FP810" i="5"/>
  <c r="FO810" i="5"/>
  <c r="FN810" i="5"/>
  <c r="FM810" i="5"/>
  <c r="FL810" i="5"/>
  <c r="FK810" i="5"/>
  <c r="FJ810" i="5"/>
  <c r="FI810" i="5"/>
  <c r="FH810" i="5"/>
  <c r="FG810" i="5"/>
  <c r="FF810" i="5"/>
  <c r="FE810" i="5"/>
  <c r="FD810" i="5"/>
  <c r="FC810" i="5"/>
  <c r="FB810" i="5"/>
  <c r="FA810" i="5"/>
  <c r="EZ810" i="5"/>
  <c r="EY810" i="5"/>
  <c r="EX810" i="5"/>
  <c r="EW810" i="5"/>
  <c r="EV810" i="5"/>
  <c r="EU810" i="5"/>
  <c r="ET810" i="5"/>
  <c r="ES810" i="5"/>
  <c r="ER810" i="5"/>
  <c r="EQ810" i="5"/>
  <c r="EP810" i="5"/>
  <c r="EO810" i="5"/>
  <c r="EN810" i="5"/>
  <c r="EM810" i="5"/>
  <c r="EL810" i="5"/>
  <c r="EK810" i="5"/>
  <c r="EJ810" i="5"/>
  <c r="EI810" i="5"/>
  <c r="EH810" i="5"/>
  <c r="EG810" i="5"/>
  <c r="EF810" i="5"/>
  <c r="EE810" i="5"/>
  <c r="ED810" i="5"/>
  <c r="EC810" i="5"/>
  <c r="EB810" i="5"/>
  <c r="EA810" i="5"/>
  <c r="DZ810" i="5"/>
  <c r="DY810" i="5"/>
  <c r="DX810" i="5"/>
  <c r="DW810" i="5"/>
  <c r="DV810" i="5"/>
  <c r="DU810" i="5"/>
  <c r="DT810" i="5"/>
  <c r="DS810" i="5"/>
  <c r="DR810" i="5"/>
  <c r="DQ810" i="5"/>
  <c r="DP810" i="5"/>
  <c r="DO810" i="5"/>
  <c r="DN810" i="5"/>
  <c r="DM810" i="5"/>
  <c r="DL810" i="5"/>
  <c r="DK810" i="5"/>
  <c r="DJ810" i="5"/>
  <c r="DI810" i="5"/>
  <c r="DH810" i="5"/>
  <c r="DG810" i="5"/>
  <c r="DF810" i="5"/>
  <c r="DE810" i="5"/>
  <c r="DD810" i="5"/>
  <c r="DC810" i="5"/>
  <c r="DB810" i="5"/>
  <c r="DA810" i="5"/>
  <c r="CZ810" i="5"/>
  <c r="CY810" i="5"/>
  <c r="CX810" i="5"/>
  <c r="CW810" i="5"/>
  <c r="CV810" i="5"/>
  <c r="CU810" i="5"/>
  <c r="CT810" i="5"/>
  <c r="CS810" i="5"/>
  <c r="CR810" i="5"/>
  <c r="CQ810" i="5"/>
  <c r="CP810" i="5"/>
  <c r="CO810" i="5"/>
  <c r="CN810" i="5"/>
  <c r="CM810" i="5"/>
  <c r="CL810" i="5"/>
  <c r="CK810" i="5"/>
  <c r="CJ810" i="5"/>
  <c r="CI810" i="5"/>
  <c r="CH810" i="5"/>
  <c r="CG810" i="5"/>
  <c r="CF810" i="5"/>
  <c r="CE810" i="5"/>
  <c r="JO809" i="5"/>
  <c r="JA809" i="5"/>
  <c r="IZ809" i="5"/>
  <c r="FV809" i="5"/>
  <c r="FU809" i="5"/>
  <c r="FT809" i="5"/>
  <c r="FS809" i="5"/>
  <c r="FR809" i="5"/>
  <c r="FQ809" i="5"/>
  <c r="FP809" i="5"/>
  <c r="FO809" i="5"/>
  <c r="FN809" i="5"/>
  <c r="FM809" i="5"/>
  <c r="FL809" i="5"/>
  <c r="FK809" i="5"/>
  <c r="FJ809" i="5"/>
  <c r="FI809" i="5"/>
  <c r="FH809" i="5"/>
  <c r="FG809" i="5"/>
  <c r="FF809" i="5"/>
  <c r="FE809" i="5"/>
  <c r="FD809" i="5"/>
  <c r="FC809" i="5"/>
  <c r="FB809" i="5"/>
  <c r="FA809" i="5"/>
  <c r="EZ809" i="5"/>
  <c r="EY809" i="5"/>
  <c r="EX809" i="5"/>
  <c r="EW809" i="5"/>
  <c r="EV809" i="5"/>
  <c r="EU809" i="5"/>
  <c r="ET809" i="5"/>
  <c r="ES809" i="5"/>
  <c r="ER809" i="5"/>
  <c r="EQ809" i="5"/>
  <c r="EP809" i="5"/>
  <c r="EO809" i="5"/>
  <c r="EN809" i="5"/>
  <c r="EM809" i="5"/>
  <c r="EL809" i="5"/>
  <c r="EK809" i="5"/>
  <c r="EJ809" i="5"/>
  <c r="EI809" i="5"/>
  <c r="EH809" i="5"/>
  <c r="EG809" i="5"/>
  <c r="EF809" i="5"/>
  <c r="EE809" i="5"/>
  <c r="ED809" i="5"/>
  <c r="EC809" i="5"/>
  <c r="EB809" i="5"/>
  <c r="EA809" i="5"/>
  <c r="DZ809" i="5"/>
  <c r="DY809" i="5"/>
  <c r="DX809" i="5"/>
  <c r="DW809" i="5"/>
  <c r="DV809" i="5"/>
  <c r="DU809" i="5"/>
  <c r="DT809" i="5"/>
  <c r="DS809" i="5"/>
  <c r="DR809" i="5"/>
  <c r="DQ809" i="5"/>
  <c r="DP809" i="5"/>
  <c r="DO809" i="5"/>
  <c r="DN809" i="5"/>
  <c r="DM809" i="5"/>
  <c r="DL809" i="5"/>
  <c r="DK809" i="5"/>
  <c r="DJ809" i="5"/>
  <c r="DI809" i="5"/>
  <c r="DH809" i="5"/>
  <c r="DG809" i="5"/>
  <c r="DF809" i="5"/>
  <c r="DE809" i="5"/>
  <c r="DD809" i="5"/>
  <c r="DC809" i="5"/>
  <c r="DB809" i="5"/>
  <c r="DA809" i="5"/>
  <c r="CZ809" i="5"/>
  <c r="CY809" i="5"/>
  <c r="CX809" i="5"/>
  <c r="CW809" i="5"/>
  <c r="CV809" i="5"/>
  <c r="CU809" i="5"/>
  <c r="CT809" i="5"/>
  <c r="CS809" i="5"/>
  <c r="CR809" i="5"/>
  <c r="CQ809" i="5"/>
  <c r="CP809" i="5"/>
  <c r="CO809" i="5"/>
  <c r="CN809" i="5"/>
  <c r="CM809" i="5"/>
  <c r="CL809" i="5"/>
  <c r="CK809" i="5"/>
  <c r="CJ809" i="5"/>
  <c r="CI809" i="5"/>
  <c r="CH809" i="5"/>
  <c r="CG809" i="5"/>
  <c r="CF809" i="5"/>
  <c r="CE809" i="5"/>
  <c r="JA808" i="5"/>
  <c r="IZ808" i="5"/>
  <c r="FV808" i="5"/>
  <c r="FU808" i="5"/>
  <c r="FT808" i="5"/>
  <c r="FS808" i="5"/>
  <c r="FR808" i="5"/>
  <c r="FQ808" i="5"/>
  <c r="FP808" i="5"/>
  <c r="FO808" i="5"/>
  <c r="FN808" i="5"/>
  <c r="FM808" i="5"/>
  <c r="FL808" i="5"/>
  <c r="FK808" i="5"/>
  <c r="FJ808" i="5"/>
  <c r="FI808" i="5"/>
  <c r="FH808" i="5"/>
  <c r="FG808" i="5"/>
  <c r="FF808" i="5"/>
  <c r="FE808" i="5"/>
  <c r="FD808" i="5"/>
  <c r="FC808" i="5"/>
  <c r="FB808" i="5"/>
  <c r="FA808" i="5"/>
  <c r="EZ808" i="5"/>
  <c r="EY808" i="5"/>
  <c r="EX808" i="5"/>
  <c r="EW808" i="5"/>
  <c r="EV808" i="5"/>
  <c r="EU808" i="5"/>
  <c r="ET808" i="5"/>
  <c r="ES808" i="5"/>
  <c r="ER808" i="5"/>
  <c r="EQ808" i="5"/>
  <c r="EP808" i="5"/>
  <c r="EO808" i="5"/>
  <c r="EN808" i="5"/>
  <c r="EM808" i="5"/>
  <c r="EL808" i="5"/>
  <c r="EK808" i="5"/>
  <c r="EJ808" i="5"/>
  <c r="EI808" i="5"/>
  <c r="EH808" i="5"/>
  <c r="EG808" i="5"/>
  <c r="EF808" i="5"/>
  <c r="EE808" i="5"/>
  <c r="ED808" i="5"/>
  <c r="EC808" i="5"/>
  <c r="EB808" i="5"/>
  <c r="EA808" i="5"/>
  <c r="DZ808" i="5"/>
  <c r="DY808" i="5"/>
  <c r="DX808" i="5"/>
  <c r="DW808" i="5"/>
  <c r="DV808" i="5"/>
  <c r="DU808" i="5"/>
  <c r="DT808" i="5"/>
  <c r="DS808" i="5"/>
  <c r="DR808" i="5"/>
  <c r="DQ808" i="5"/>
  <c r="DP808" i="5"/>
  <c r="DO808" i="5"/>
  <c r="DN808" i="5"/>
  <c r="DM808" i="5"/>
  <c r="DL808" i="5"/>
  <c r="DK808" i="5"/>
  <c r="DJ808" i="5"/>
  <c r="DI808" i="5"/>
  <c r="DH808" i="5"/>
  <c r="DG808" i="5"/>
  <c r="DF808" i="5"/>
  <c r="DE808" i="5"/>
  <c r="DD808" i="5"/>
  <c r="DC808" i="5"/>
  <c r="DB808" i="5"/>
  <c r="DA808" i="5"/>
  <c r="CZ808" i="5"/>
  <c r="CY808" i="5"/>
  <c r="CX808" i="5"/>
  <c r="CW808" i="5"/>
  <c r="CV808" i="5"/>
  <c r="CU808" i="5"/>
  <c r="CT808" i="5"/>
  <c r="CS808" i="5"/>
  <c r="CR808" i="5"/>
  <c r="CQ808" i="5"/>
  <c r="CP808" i="5"/>
  <c r="CO808" i="5"/>
  <c r="CN808" i="5"/>
  <c r="CM808" i="5"/>
  <c r="CL808" i="5"/>
  <c r="CK808" i="5"/>
  <c r="CJ808" i="5"/>
  <c r="CI808" i="5"/>
  <c r="CH808" i="5"/>
  <c r="CG808" i="5"/>
  <c r="CF808" i="5"/>
  <c r="CE808" i="5"/>
  <c r="JA807" i="5"/>
  <c r="IZ807" i="5"/>
  <c r="FV807" i="5"/>
  <c r="FU807" i="5"/>
  <c r="FT807" i="5"/>
  <c r="FS807" i="5"/>
  <c r="FR807" i="5"/>
  <c r="FQ807" i="5"/>
  <c r="FP807" i="5"/>
  <c r="FO807" i="5"/>
  <c r="FN807" i="5"/>
  <c r="FM807" i="5"/>
  <c r="FL807" i="5"/>
  <c r="FK807" i="5"/>
  <c r="FJ807" i="5"/>
  <c r="FI807" i="5"/>
  <c r="FH807" i="5"/>
  <c r="FG807" i="5"/>
  <c r="FF807" i="5"/>
  <c r="FE807" i="5"/>
  <c r="FD807" i="5"/>
  <c r="FC807" i="5"/>
  <c r="FB807" i="5"/>
  <c r="FA807" i="5"/>
  <c r="EZ807" i="5"/>
  <c r="EY807" i="5"/>
  <c r="EX807" i="5"/>
  <c r="EW807" i="5"/>
  <c r="EV807" i="5"/>
  <c r="EU807" i="5"/>
  <c r="ET807" i="5"/>
  <c r="ES807" i="5"/>
  <c r="ER807" i="5"/>
  <c r="EQ807" i="5"/>
  <c r="EP807" i="5"/>
  <c r="EO807" i="5"/>
  <c r="EN807" i="5"/>
  <c r="EM807" i="5"/>
  <c r="EL807" i="5"/>
  <c r="EK807" i="5"/>
  <c r="EJ807" i="5"/>
  <c r="EI807" i="5"/>
  <c r="EH807" i="5"/>
  <c r="EG807" i="5"/>
  <c r="EF807" i="5"/>
  <c r="EE807" i="5"/>
  <c r="ED807" i="5"/>
  <c r="EC807" i="5"/>
  <c r="EB807" i="5"/>
  <c r="EA807" i="5"/>
  <c r="DZ807" i="5"/>
  <c r="DY807" i="5"/>
  <c r="DX807" i="5"/>
  <c r="DW807" i="5"/>
  <c r="DV807" i="5"/>
  <c r="DU807" i="5"/>
  <c r="DT807" i="5"/>
  <c r="DS807" i="5"/>
  <c r="DR807" i="5"/>
  <c r="DQ807" i="5"/>
  <c r="DP807" i="5"/>
  <c r="DO807" i="5"/>
  <c r="DN807" i="5"/>
  <c r="DM807" i="5"/>
  <c r="DL807" i="5"/>
  <c r="DK807" i="5"/>
  <c r="DJ807" i="5"/>
  <c r="DI807" i="5"/>
  <c r="DH807" i="5"/>
  <c r="DG807" i="5"/>
  <c r="DF807" i="5"/>
  <c r="DE807" i="5"/>
  <c r="DD807" i="5"/>
  <c r="DC807" i="5"/>
  <c r="DB807" i="5"/>
  <c r="DA807" i="5"/>
  <c r="CZ807" i="5"/>
  <c r="CY807" i="5"/>
  <c r="CX807" i="5"/>
  <c r="CW807" i="5"/>
  <c r="CV807" i="5"/>
  <c r="CU807" i="5"/>
  <c r="CT807" i="5"/>
  <c r="CS807" i="5"/>
  <c r="CR807" i="5"/>
  <c r="CQ807" i="5"/>
  <c r="CP807" i="5"/>
  <c r="CO807" i="5"/>
  <c r="CN807" i="5"/>
  <c r="CM807" i="5"/>
  <c r="CL807" i="5"/>
  <c r="CK807" i="5"/>
  <c r="CJ807" i="5"/>
  <c r="CI807" i="5"/>
  <c r="CH807" i="5"/>
  <c r="CG807" i="5"/>
  <c r="CF807" i="5"/>
  <c r="CE807" i="5"/>
  <c r="JA806" i="5"/>
  <c r="IZ806" i="5"/>
  <c r="FV806" i="5"/>
  <c r="FU806" i="5"/>
  <c r="FT806" i="5"/>
  <c r="FS806" i="5"/>
  <c r="FR806" i="5"/>
  <c r="FQ806" i="5"/>
  <c r="FP806" i="5"/>
  <c r="FO806" i="5"/>
  <c r="FN806" i="5"/>
  <c r="FM806" i="5"/>
  <c r="FL806" i="5"/>
  <c r="FK806" i="5"/>
  <c r="FJ806" i="5"/>
  <c r="FI806" i="5"/>
  <c r="FH806" i="5"/>
  <c r="FG806" i="5"/>
  <c r="FF806" i="5"/>
  <c r="FE806" i="5"/>
  <c r="FD806" i="5"/>
  <c r="FC806" i="5"/>
  <c r="FB806" i="5"/>
  <c r="FA806" i="5"/>
  <c r="EZ806" i="5"/>
  <c r="EY806" i="5"/>
  <c r="EX806" i="5"/>
  <c r="EW806" i="5"/>
  <c r="EV806" i="5"/>
  <c r="EU806" i="5"/>
  <c r="ET806" i="5"/>
  <c r="ES806" i="5"/>
  <c r="ER806" i="5"/>
  <c r="EQ806" i="5"/>
  <c r="EP806" i="5"/>
  <c r="EO806" i="5"/>
  <c r="EN806" i="5"/>
  <c r="EM806" i="5"/>
  <c r="EL806" i="5"/>
  <c r="EK806" i="5"/>
  <c r="EJ806" i="5"/>
  <c r="EI806" i="5"/>
  <c r="EH806" i="5"/>
  <c r="EG806" i="5"/>
  <c r="EF806" i="5"/>
  <c r="EE806" i="5"/>
  <c r="ED806" i="5"/>
  <c r="EC806" i="5"/>
  <c r="EB806" i="5"/>
  <c r="EA806" i="5"/>
  <c r="DZ806" i="5"/>
  <c r="DY806" i="5"/>
  <c r="DX806" i="5"/>
  <c r="DW806" i="5"/>
  <c r="DV806" i="5"/>
  <c r="DU806" i="5"/>
  <c r="DT806" i="5"/>
  <c r="DS806" i="5"/>
  <c r="DR806" i="5"/>
  <c r="DQ806" i="5"/>
  <c r="DP806" i="5"/>
  <c r="DO806" i="5"/>
  <c r="DN806" i="5"/>
  <c r="DM806" i="5"/>
  <c r="DL806" i="5"/>
  <c r="DK806" i="5"/>
  <c r="DJ806" i="5"/>
  <c r="DI806" i="5"/>
  <c r="DH806" i="5"/>
  <c r="DG806" i="5"/>
  <c r="DF806" i="5"/>
  <c r="DE806" i="5"/>
  <c r="DD806" i="5"/>
  <c r="DC806" i="5"/>
  <c r="DB806" i="5"/>
  <c r="DA806" i="5"/>
  <c r="CZ806" i="5"/>
  <c r="CY806" i="5"/>
  <c r="CX806" i="5"/>
  <c r="CW806" i="5"/>
  <c r="CV806" i="5"/>
  <c r="CU806" i="5"/>
  <c r="CT806" i="5"/>
  <c r="CS806" i="5"/>
  <c r="CR806" i="5"/>
  <c r="CQ806" i="5"/>
  <c r="CP806" i="5"/>
  <c r="CO806" i="5"/>
  <c r="CN806" i="5"/>
  <c r="CM806" i="5"/>
  <c r="CL806" i="5"/>
  <c r="CK806" i="5"/>
  <c r="CJ806" i="5"/>
  <c r="CI806" i="5"/>
  <c r="CH806" i="5"/>
  <c r="CG806" i="5"/>
  <c r="CF806" i="5"/>
  <c r="CE806" i="5"/>
  <c r="JA805" i="5"/>
  <c r="IZ805" i="5"/>
  <c r="FV805" i="5"/>
  <c r="FU805" i="5"/>
  <c r="FT805" i="5"/>
  <c r="FS805" i="5"/>
  <c r="FR805" i="5"/>
  <c r="FQ805" i="5"/>
  <c r="FP805" i="5"/>
  <c r="FO805" i="5"/>
  <c r="FN805" i="5"/>
  <c r="FM805" i="5"/>
  <c r="FL805" i="5"/>
  <c r="FK805" i="5"/>
  <c r="FJ805" i="5"/>
  <c r="FI805" i="5"/>
  <c r="FH805" i="5"/>
  <c r="FG805" i="5"/>
  <c r="FF805" i="5"/>
  <c r="FE805" i="5"/>
  <c r="FD805" i="5"/>
  <c r="FC805" i="5"/>
  <c r="FB805" i="5"/>
  <c r="FA805" i="5"/>
  <c r="EZ805" i="5"/>
  <c r="EY805" i="5"/>
  <c r="EX805" i="5"/>
  <c r="EW805" i="5"/>
  <c r="EV805" i="5"/>
  <c r="EU805" i="5"/>
  <c r="ET805" i="5"/>
  <c r="ES805" i="5"/>
  <c r="ER805" i="5"/>
  <c r="EQ805" i="5"/>
  <c r="EP805" i="5"/>
  <c r="EO805" i="5"/>
  <c r="EN805" i="5"/>
  <c r="EM805" i="5"/>
  <c r="EL805" i="5"/>
  <c r="EK805" i="5"/>
  <c r="EJ805" i="5"/>
  <c r="EI805" i="5"/>
  <c r="EH805" i="5"/>
  <c r="EG805" i="5"/>
  <c r="EF805" i="5"/>
  <c r="EE805" i="5"/>
  <c r="ED805" i="5"/>
  <c r="EC805" i="5"/>
  <c r="EB805" i="5"/>
  <c r="EA805" i="5"/>
  <c r="DZ805" i="5"/>
  <c r="DY805" i="5"/>
  <c r="DX805" i="5"/>
  <c r="DW805" i="5"/>
  <c r="DV805" i="5"/>
  <c r="DU805" i="5"/>
  <c r="DT805" i="5"/>
  <c r="DS805" i="5"/>
  <c r="DR805" i="5"/>
  <c r="DQ805" i="5"/>
  <c r="DP805" i="5"/>
  <c r="DO805" i="5"/>
  <c r="DN805" i="5"/>
  <c r="DM805" i="5"/>
  <c r="DL805" i="5"/>
  <c r="DK805" i="5"/>
  <c r="DJ805" i="5"/>
  <c r="DI805" i="5"/>
  <c r="DH805" i="5"/>
  <c r="DG805" i="5"/>
  <c r="DF805" i="5"/>
  <c r="DE805" i="5"/>
  <c r="DD805" i="5"/>
  <c r="DC805" i="5"/>
  <c r="DB805" i="5"/>
  <c r="DA805" i="5"/>
  <c r="CZ805" i="5"/>
  <c r="CY805" i="5"/>
  <c r="CX805" i="5"/>
  <c r="CW805" i="5"/>
  <c r="CV805" i="5"/>
  <c r="CU805" i="5"/>
  <c r="CT805" i="5"/>
  <c r="CS805" i="5"/>
  <c r="CR805" i="5"/>
  <c r="CQ805" i="5"/>
  <c r="CP805" i="5"/>
  <c r="CO805" i="5"/>
  <c r="CN805" i="5"/>
  <c r="CM805" i="5"/>
  <c r="CL805" i="5"/>
  <c r="CK805" i="5"/>
  <c r="CJ805" i="5"/>
  <c r="CI805" i="5"/>
  <c r="CH805" i="5"/>
  <c r="CG805" i="5"/>
  <c r="CF805" i="5"/>
  <c r="CE805" i="5"/>
  <c r="JA804" i="5"/>
  <c r="IZ804" i="5"/>
  <c r="FV804" i="5"/>
  <c r="FU804" i="5"/>
  <c r="FT804" i="5"/>
  <c r="FS804" i="5"/>
  <c r="FR804" i="5"/>
  <c r="FQ804" i="5"/>
  <c r="FP804" i="5"/>
  <c r="FO804" i="5"/>
  <c r="FN804" i="5"/>
  <c r="FM804" i="5"/>
  <c r="FL804" i="5"/>
  <c r="FK804" i="5"/>
  <c r="FJ804" i="5"/>
  <c r="FI804" i="5"/>
  <c r="FH804" i="5"/>
  <c r="FG804" i="5"/>
  <c r="FF804" i="5"/>
  <c r="FE804" i="5"/>
  <c r="FD804" i="5"/>
  <c r="FC804" i="5"/>
  <c r="FB804" i="5"/>
  <c r="FA804" i="5"/>
  <c r="EZ804" i="5"/>
  <c r="EY804" i="5"/>
  <c r="EX804" i="5"/>
  <c r="EW804" i="5"/>
  <c r="EV804" i="5"/>
  <c r="EU804" i="5"/>
  <c r="ET804" i="5"/>
  <c r="ES804" i="5"/>
  <c r="ER804" i="5"/>
  <c r="EQ804" i="5"/>
  <c r="EP804" i="5"/>
  <c r="EO804" i="5"/>
  <c r="EN804" i="5"/>
  <c r="EM804" i="5"/>
  <c r="EL804" i="5"/>
  <c r="EK804" i="5"/>
  <c r="EJ804" i="5"/>
  <c r="EI804" i="5"/>
  <c r="EH804" i="5"/>
  <c r="EG804" i="5"/>
  <c r="EF804" i="5"/>
  <c r="EE804" i="5"/>
  <c r="ED804" i="5"/>
  <c r="EC804" i="5"/>
  <c r="EB804" i="5"/>
  <c r="EA804" i="5"/>
  <c r="DZ804" i="5"/>
  <c r="DY804" i="5"/>
  <c r="DX804" i="5"/>
  <c r="DW804" i="5"/>
  <c r="DV804" i="5"/>
  <c r="DU804" i="5"/>
  <c r="DT804" i="5"/>
  <c r="DS804" i="5"/>
  <c r="DR804" i="5"/>
  <c r="DQ804" i="5"/>
  <c r="DP804" i="5"/>
  <c r="DO804" i="5"/>
  <c r="DN804" i="5"/>
  <c r="DM804" i="5"/>
  <c r="DL804" i="5"/>
  <c r="DK804" i="5"/>
  <c r="DJ804" i="5"/>
  <c r="DI804" i="5"/>
  <c r="DH804" i="5"/>
  <c r="DG804" i="5"/>
  <c r="DF804" i="5"/>
  <c r="DE804" i="5"/>
  <c r="DD804" i="5"/>
  <c r="DC804" i="5"/>
  <c r="DB804" i="5"/>
  <c r="DA804" i="5"/>
  <c r="CZ804" i="5"/>
  <c r="CY804" i="5"/>
  <c r="CX804" i="5"/>
  <c r="CW804" i="5"/>
  <c r="CV804" i="5"/>
  <c r="CU804" i="5"/>
  <c r="CT804" i="5"/>
  <c r="CS804" i="5"/>
  <c r="CR804" i="5"/>
  <c r="CQ804" i="5"/>
  <c r="CP804" i="5"/>
  <c r="CO804" i="5"/>
  <c r="CN804" i="5"/>
  <c r="CM804" i="5"/>
  <c r="CL804" i="5"/>
  <c r="CK804" i="5"/>
  <c r="CJ804" i="5"/>
  <c r="CI804" i="5"/>
  <c r="CH804" i="5"/>
  <c r="CG804" i="5"/>
  <c r="CF804" i="5"/>
  <c r="CE804" i="5"/>
  <c r="LB803" i="5"/>
  <c r="LB1077" i="5" s="1"/>
  <c r="LA803" i="5"/>
  <c r="LA1077" i="5" s="1"/>
  <c r="KZ803" i="5"/>
  <c r="KZ1077" i="5" s="1"/>
  <c r="KY803" i="5"/>
  <c r="JA803" i="5"/>
  <c r="JA1077" i="5" s="1"/>
  <c r="IZ803" i="5"/>
  <c r="CD803" i="5"/>
  <c r="CD1077" i="5" s="1"/>
  <c r="CC803" i="5"/>
  <c r="CC1077" i="5" s="1"/>
  <c r="CB803" i="5"/>
  <c r="CA803" i="5"/>
  <c r="CA1077" i="5" s="1"/>
  <c r="BZ803" i="5"/>
  <c r="BZ1077" i="5" s="1"/>
  <c r="BY803" i="5"/>
  <c r="BY1077" i="5" s="1"/>
  <c r="BX803" i="5"/>
  <c r="BX1077" i="5" s="1"/>
  <c r="BW803" i="5"/>
  <c r="BW1077" i="5" s="1"/>
  <c r="BV803" i="5"/>
  <c r="BV1077" i="5" s="1"/>
  <c r="BU803" i="5"/>
  <c r="BU1077" i="5" s="1"/>
  <c r="BT803" i="5"/>
  <c r="BT1077" i="5" s="1"/>
  <c r="BS803" i="5"/>
  <c r="BS1077" i="5" s="1"/>
  <c r="BR803" i="5"/>
  <c r="BR1077" i="5" s="1"/>
  <c r="BQ803" i="5"/>
  <c r="BQ1077" i="5" s="1"/>
  <c r="BP803" i="5"/>
  <c r="BP1077" i="5" s="1"/>
  <c r="BO803" i="5"/>
  <c r="BO1077" i="5" s="1"/>
  <c r="BN803" i="5"/>
  <c r="BM803" i="5"/>
  <c r="BM1077" i="5" s="1"/>
  <c r="BL803" i="5"/>
  <c r="BL1077" i="5" s="1"/>
  <c r="BK803" i="5"/>
  <c r="BJ803" i="5"/>
  <c r="BJ1077" i="5" s="1"/>
  <c r="BI803" i="5"/>
  <c r="BI1077" i="5" s="1"/>
  <c r="BH803" i="5"/>
  <c r="BH1077" i="5" s="1"/>
  <c r="BG803" i="5"/>
  <c r="BG1077" i="5" s="1"/>
  <c r="BF803" i="5"/>
  <c r="BF1077" i="5" s="1"/>
  <c r="BE803" i="5"/>
  <c r="BE1077" i="5" s="1"/>
  <c r="BD803" i="5"/>
  <c r="BD1077" i="5" s="1"/>
  <c r="BC803" i="5"/>
  <c r="BC1077" i="5" s="1"/>
  <c r="BB803" i="5"/>
  <c r="BB1077" i="5" s="1"/>
  <c r="BA803" i="5"/>
  <c r="BA1077" i="5" s="1"/>
  <c r="AZ803" i="5"/>
  <c r="AY803" i="5"/>
  <c r="AY1077" i="5" s="1"/>
  <c r="AX803" i="5"/>
  <c r="AX1077" i="5" s="1"/>
  <c r="AW803" i="5"/>
  <c r="AW1077" i="5" s="1"/>
  <c r="AV803" i="5"/>
  <c r="AV1077" i="5" s="1"/>
  <c r="AU803" i="5"/>
  <c r="AU1077" i="5" s="1"/>
  <c r="AT803" i="5"/>
  <c r="AS803" i="5"/>
  <c r="AS1077" i="5" s="1"/>
  <c r="AR803" i="5"/>
  <c r="AQ803" i="5"/>
  <c r="AQ1077" i="5" s="1"/>
  <c r="AP803" i="5"/>
  <c r="AP1077" i="5" s="1"/>
  <c r="AO803" i="5"/>
  <c r="AO1077" i="5" s="1"/>
  <c r="AN803" i="5"/>
  <c r="AN1077" i="5" s="1"/>
  <c r="AM803" i="5"/>
  <c r="AL803" i="5"/>
  <c r="AL1077" i="5" s="1"/>
  <c r="AK803" i="5"/>
  <c r="AK1077" i="5" s="1"/>
  <c r="AJ803" i="5"/>
  <c r="AJ1077" i="5" s="1"/>
  <c r="AI803" i="5"/>
  <c r="AI1077" i="5" s="1"/>
  <c r="AH803" i="5"/>
  <c r="AH1077" i="5" s="1"/>
  <c r="AG803" i="5"/>
  <c r="AG1077" i="5" s="1"/>
  <c r="AF803" i="5"/>
  <c r="AF1077" i="5" s="1"/>
  <c r="AE803" i="5"/>
  <c r="AD803" i="5"/>
  <c r="AC803" i="5"/>
  <c r="AC1077" i="5" s="1"/>
  <c r="AB803" i="5"/>
  <c r="AB1077" i="5" s="1"/>
  <c r="AA803" i="5"/>
  <c r="AA1077" i="5" s="1"/>
  <c r="Z803" i="5"/>
  <c r="Z1077" i="5" s="1"/>
  <c r="Y803" i="5"/>
  <c r="X803" i="5"/>
  <c r="X1077" i="5" s="1"/>
  <c r="W803" i="5"/>
  <c r="W1077" i="5" s="1"/>
  <c r="V803" i="5"/>
  <c r="V1077" i="5" s="1"/>
  <c r="U803" i="5"/>
  <c r="U1077" i="5" s="1"/>
  <c r="T803" i="5"/>
  <c r="T1077" i="5" s="1"/>
  <c r="S803" i="5"/>
  <c r="S1077" i="5" s="1"/>
  <c r="R803" i="5"/>
  <c r="R1077" i="5" s="1"/>
  <c r="Q803" i="5"/>
  <c r="Q1077" i="5" s="1"/>
  <c r="P803" i="5"/>
  <c r="P1077" i="5" s="1"/>
  <c r="O803" i="5"/>
  <c r="O1077" i="5" s="1"/>
  <c r="N803" i="5"/>
  <c r="N1077" i="5" s="1"/>
  <c r="M803" i="5"/>
  <c r="M1077" i="5" s="1"/>
  <c r="L803" i="5"/>
  <c r="L1077" i="5" s="1"/>
  <c r="K803" i="5"/>
  <c r="K1077" i="5" s="1"/>
  <c r="J803" i="5"/>
  <c r="J1077" i="5" s="1"/>
  <c r="I803" i="5"/>
  <c r="I1077" i="5" s="1"/>
  <c r="H803" i="5"/>
  <c r="H1077" i="5" s="1"/>
  <c r="G803" i="5"/>
  <c r="G1077" i="5" s="1"/>
  <c r="F803" i="5"/>
  <c r="F1077" i="5" s="1"/>
  <c r="E803" i="5"/>
  <c r="E1077" i="5" s="1"/>
  <c r="JA802" i="5"/>
  <c r="IZ802" i="5"/>
  <c r="FV802" i="5"/>
  <c r="FU802" i="5"/>
  <c r="FT802" i="5"/>
  <c r="FS802" i="5"/>
  <c r="FR802" i="5"/>
  <c r="FQ802" i="5"/>
  <c r="FP802" i="5"/>
  <c r="FO802" i="5"/>
  <c r="FN802" i="5"/>
  <c r="FM802" i="5"/>
  <c r="FL802" i="5"/>
  <c r="FK802" i="5"/>
  <c r="FJ802" i="5"/>
  <c r="FI802" i="5"/>
  <c r="FH802" i="5"/>
  <c r="FG802" i="5"/>
  <c r="FF802" i="5"/>
  <c r="FE802" i="5"/>
  <c r="FD802" i="5"/>
  <c r="FC802" i="5"/>
  <c r="FB802" i="5"/>
  <c r="FA802" i="5"/>
  <c r="EZ802" i="5"/>
  <c r="EY802" i="5"/>
  <c r="EX802" i="5"/>
  <c r="EW802" i="5"/>
  <c r="EV802" i="5"/>
  <c r="EU802" i="5"/>
  <c r="ET802" i="5"/>
  <c r="ES802" i="5"/>
  <c r="ER802" i="5"/>
  <c r="EQ802" i="5"/>
  <c r="EP802" i="5"/>
  <c r="EO802" i="5"/>
  <c r="EN802" i="5"/>
  <c r="EM802" i="5"/>
  <c r="EL802" i="5"/>
  <c r="EK802" i="5"/>
  <c r="EJ802" i="5"/>
  <c r="EI802" i="5"/>
  <c r="EH802" i="5"/>
  <c r="EG802" i="5"/>
  <c r="EF802" i="5"/>
  <c r="EE802" i="5"/>
  <c r="ED802" i="5"/>
  <c r="EC802" i="5"/>
  <c r="EB802" i="5"/>
  <c r="EA802" i="5"/>
  <c r="DZ802" i="5"/>
  <c r="DY802" i="5"/>
  <c r="DX802" i="5"/>
  <c r="DW802" i="5"/>
  <c r="DV802" i="5"/>
  <c r="DU802" i="5"/>
  <c r="DT802" i="5"/>
  <c r="DS802" i="5"/>
  <c r="DR802" i="5"/>
  <c r="DQ802" i="5"/>
  <c r="DP802" i="5"/>
  <c r="DO802" i="5"/>
  <c r="DN802" i="5"/>
  <c r="DM802" i="5"/>
  <c r="DL802" i="5"/>
  <c r="DK802" i="5"/>
  <c r="DJ802" i="5"/>
  <c r="DI802" i="5"/>
  <c r="DH802" i="5"/>
  <c r="DG802" i="5"/>
  <c r="DF802" i="5"/>
  <c r="DE802" i="5"/>
  <c r="DD802" i="5"/>
  <c r="DC802" i="5"/>
  <c r="DB802" i="5"/>
  <c r="DA802" i="5"/>
  <c r="CZ802" i="5"/>
  <c r="CY802" i="5"/>
  <c r="CX802" i="5"/>
  <c r="CW802" i="5"/>
  <c r="CV802" i="5"/>
  <c r="CU802" i="5"/>
  <c r="CT802" i="5"/>
  <c r="CS802" i="5"/>
  <c r="CR802" i="5"/>
  <c r="CQ802" i="5"/>
  <c r="CP802" i="5"/>
  <c r="CO802" i="5"/>
  <c r="CN802" i="5"/>
  <c r="CM802" i="5"/>
  <c r="CL802" i="5"/>
  <c r="CK802" i="5"/>
  <c r="CJ802" i="5"/>
  <c r="CI802" i="5"/>
  <c r="CH802" i="5"/>
  <c r="CG802" i="5"/>
  <c r="CF802" i="5"/>
  <c r="CE802" i="5"/>
  <c r="CD802" i="5"/>
  <c r="JA801" i="5"/>
  <c r="IZ801" i="5"/>
  <c r="FV801" i="5"/>
  <c r="FU801" i="5"/>
  <c r="FT801" i="5"/>
  <c r="FS801" i="5"/>
  <c r="FR801" i="5"/>
  <c r="FQ801" i="5"/>
  <c r="FP801" i="5"/>
  <c r="FO801" i="5"/>
  <c r="FN801" i="5"/>
  <c r="FM801" i="5"/>
  <c r="FL801" i="5"/>
  <c r="FK801" i="5"/>
  <c r="FJ801" i="5"/>
  <c r="FI801" i="5"/>
  <c r="FH801" i="5"/>
  <c r="FG801" i="5"/>
  <c r="FF801" i="5"/>
  <c r="FE801" i="5"/>
  <c r="FD801" i="5"/>
  <c r="FC801" i="5"/>
  <c r="FB801" i="5"/>
  <c r="FA801" i="5"/>
  <c r="EZ801" i="5"/>
  <c r="EY801" i="5"/>
  <c r="EX801" i="5"/>
  <c r="EW801" i="5"/>
  <c r="EV801" i="5"/>
  <c r="EU801" i="5"/>
  <c r="ET801" i="5"/>
  <c r="ES801" i="5"/>
  <c r="ER801" i="5"/>
  <c r="EQ801" i="5"/>
  <c r="EP801" i="5"/>
  <c r="EO801" i="5"/>
  <c r="EN801" i="5"/>
  <c r="EM801" i="5"/>
  <c r="EL801" i="5"/>
  <c r="EK801" i="5"/>
  <c r="EJ801" i="5"/>
  <c r="EI801" i="5"/>
  <c r="EH801" i="5"/>
  <c r="EG801" i="5"/>
  <c r="EF801" i="5"/>
  <c r="EE801" i="5"/>
  <c r="ED801" i="5"/>
  <c r="EC801" i="5"/>
  <c r="EB801" i="5"/>
  <c r="EA801" i="5"/>
  <c r="DZ801" i="5"/>
  <c r="DY801" i="5"/>
  <c r="DX801" i="5"/>
  <c r="DW801" i="5"/>
  <c r="DV801" i="5"/>
  <c r="DU801" i="5"/>
  <c r="DT801" i="5"/>
  <c r="DS801" i="5"/>
  <c r="DR801" i="5"/>
  <c r="DQ801" i="5"/>
  <c r="DP801" i="5"/>
  <c r="DO801" i="5"/>
  <c r="DN801" i="5"/>
  <c r="DM801" i="5"/>
  <c r="DL801" i="5"/>
  <c r="DK801" i="5"/>
  <c r="DJ801" i="5"/>
  <c r="DI801" i="5"/>
  <c r="DH801" i="5"/>
  <c r="DG801" i="5"/>
  <c r="DF801" i="5"/>
  <c r="DE801" i="5"/>
  <c r="DD801" i="5"/>
  <c r="DC801" i="5"/>
  <c r="DB801" i="5"/>
  <c r="DA801" i="5"/>
  <c r="CZ801" i="5"/>
  <c r="CY801" i="5"/>
  <c r="CX801" i="5"/>
  <c r="CW801" i="5"/>
  <c r="CV801" i="5"/>
  <c r="CU801" i="5"/>
  <c r="CT801" i="5"/>
  <c r="CS801" i="5"/>
  <c r="CR801" i="5"/>
  <c r="CQ801" i="5"/>
  <c r="CP801" i="5"/>
  <c r="CO801" i="5"/>
  <c r="CN801" i="5"/>
  <c r="CM801" i="5"/>
  <c r="CL801" i="5"/>
  <c r="CK801" i="5"/>
  <c r="CJ801" i="5"/>
  <c r="CI801" i="5"/>
  <c r="CH801" i="5"/>
  <c r="CG801" i="5"/>
  <c r="CF801" i="5"/>
  <c r="CE801" i="5"/>
  <c r="JA800" i="5"/>
  <c r="IZ800" i="5"/>
  <c r="FV800" i="5"/>
  <c r="FU800" i="5"/>
  <c r="FT800" i="5"/>
  <c r="FS800" i="5"/>
  <c r="FR800" i="5"/>
  <c r="FQ800" i="5"/>
  <c r="FP800" i="5"/>
  <c r="FO800" i="5"/>
  <c r="FN800" i="5"/>
  <c r="FM800" i="5"/>
  <c r="FL800" i="5"/>
  <c r="FK800" i="5"/>
  <c r="FJ800" i="5"/>
  <c r="FI800" i="5"/>
  <c r="FH800" i="5"/>
  <c r="FG800" i="5"/>
  <c r="FF800" i="5"/>
  <c r="FE800" i="5"/>
  <c r="FD800" i="5"/>
  <c r="FC800" i="5"/>
  <c r="FB800" i="5"/>
  <c r="FA800" i="5"/>
  <c r="EZ800" i="5"/>
  <c r="EY800" i="5"/>
  <c r="EX800" i="5"/>
  <c r="EW800" i="5"/>
  <c r="EV800" i="5"/>
  <c r="EU800" i="5"/>
  <c r="ET800" i="5"/>
  <c r="ES800" i="5"/>
  <c r="ER800" i="5"/>
  <c r="EQ800" i="5"/>
  <c r="EP800" i="5"/>
  <c r="EO800" i="5"/>
  <c r="EN800" i="5"/>
  <c r="EM800" i="5"/>
  <c r="EL800" i="5"/>
  <c r="EK800" i="5"/>
  <c r="EJ800" i="5"/>
  <c r="EI800" i="5"/>
  <c r="EH800" i="5"/>
  <c r="EG800" i="5"/>
  <c r="EF800" i="5"/>
  <c r="EE800" i="5"/>
  <c r="ED800" i="5"/>
  <c r="EC800" i="5"/>
  <c r="EB800" i="5"/>
  <c r="EA800" i="5"/>
  <c r="DZ800" i="5"/>
  <c r="DY800" i="5"/>
  <c r="DX800" i="5"/>
  <c r="DW800" i="5"/>
  <c r="DV800" i="5"/>
  <c r="DU800" i="5"/>
  <c r="DT800" i="5"/>
  <c r="DS800" i="5"/>
  <c r="DR800" i="5"/>
  <c r="DQ800" i="5"/>
  <c r="DP800" i="5"/>
  <c r="DO800" i="5"/>
  <c r="DN800" i="5"/>
  <c r="DM800" i="5"/>
  <c r="DL800" i="5"/>
  <c r="DK800" i="5"/>
  <c r="DJ800" i="5"/>
  <c r="DI800" i="5"/>
  <c r="DH800" i="5"/>
  <c r="DG800" i="5"/>
  <c r="DF800" i="5"/>
  <c r="DE800" i="5"/>
  <c r="DD800" i="5"/>
  <c r="DC800" i="5"/>
  <c r="DB800" i="5"/>
  <c r="DA800" i="5"/>
  <c r="CZ800" i="5"/>
  <c r="CY800" i="5"/>
  <c r="CX800" i="5"/>
  <c r="CW800" i="5"/>
  <c r="CV800" i="5"/>
  <c r="CU800" i="5"/>
  <c r="CT800" i="5"/>
  <c r="CS800" i="5"/>
  <c r="CR800" i="5"/>
  <c r="CQ800" i="5"/>
  <c r="CP800" i="5"/>
  <c r="CO800" i="5"/>
  <c r="CN800" i="5"/>
  <c r="CM800" i="5"/>
  <c r="CL800" i="5"/>
  <c r="CK800" i="5"/>
  <c r="CJ800" i="5"/>
  <c r="CI800" i="5"/>
  <c r="CH800" i="5"/>
  <c r="CG800" i="5"/>
  <c r="CF800" i="5"/>
  <c r="CE800" i="5"/>
  <c r="JA799" i="5"/>
  <c r="IZ799" i="5"/>
  <c r="FV799" i="5"/>
  <c r="FU799" i="5"/>
  <c r="FT799" i="5"/>
  <c r="FS799" i="5"/>
  <c r="FR799" i="5"/>
  <c r="FQ799" i="5"/>
  <c r="FP799" i="5"/>
  <c r="FO799" i="5"/>
  <c r="FN799" i="5"/>
  <c r="FM799" i="5"/>
  <c r="FL799" i="5"/>
  <c r="FK799" i="5"/>
  <c r="FJ799" i="5"/>
  <c r="FI799" i="5"/>
  <c r="FH799" i="5"/>
  <c r="FG799" i="5"/>
  <c r="FF799" i="5"/>
  <c r="FE799" i="5"/>
  <c r="FD799" i="5"/>
  <c r="FC799" i="5"/>
  <c r="FB799" i="5"/>
  <c r="FA799" i="5"/>
  <c r="EZ799" i="5"/>
  <c r="EY799" i="5"/>
  <c r="EX799" i="5"/>
  <c r="EW799" i="5"/>
  <c r="EV799" i="5"/>
  <c r="EU799" i="5"/>
  <c r="ET799" i="5"/>
  <c r="ES799" i="5"/>
  <c r="ER799" i="5"/>
  <c r="EQ799" i="5"/>
  <c r="EP799" i="5"/>
  <c r="EO799" i="5"/>
  <c r="EN799" i="5"/>
  <c r="EM799" i="5"/>
  <c r="EL799" i="5"/>
  <c r="EK799" i="5"/>
  <c r="EJ799" i="5"/>
  <c r="EI799" i="5"/>
  <c r="EH799" i="5"/>
  <c r="EG799" i="5"/>
  <c r="EF799" i="5"/>
  <c r="EE799" i="5"/>
  <c r="ED799" i="5"/>
  <c r="EC799" i="5"/>
  <c r="EB799" i="5"/>
  <c r="EA799" i="5"/>
  <c r="DZ799" i="5"/>
  <c r="DY799" i="5"/>
  <c r="DX799" i="5"/>
  <c r="DW799" i="5"/>
  <c r="DV799" i="5"/>
  <c r="DU799" i="5"/>
  <c r="DT799" i="5"/>
  <c r="DS799" i="5"/>
  <c r="DR799" i="5"/>
  <c r="DQ799" i="5"/>
  <c r="DP799" i="5"/>
  <c r="DO799" i="5"/>
  <c r="DN799" i="5"/>
  <c r="DM799" i="5"/>
  <c r="DL799" i="5"/>
  <c r="DK799" i="5"/>
  <c r="DJ799" i="5"/>
  <c r="DI799" i="5"/>
  <c r="DH799" i="5"/>
  <c r="DG799" i="5"/>
  <c r="DF799" i="5"/>
  <c r="DE799" i="5"/>
  <c r="DD799" i="5"/>
  <c r="DC799" i="5"/>
  <c r="DB799" i="5"/>
  <c r="DA799" i="5"/>
  <c r="CZ799" i="5"/>
  <c r="CY799" i="5"/>
  <c r="CX799" i="5"/>
  <c r="CW799" i="5"/>
  <c r="CV799" i="5"/>
  <c r="CU799" i="5"/>
  <c r="CT799" i="5"/>
  <c r="CS799" i="5"/>
  <c r="CR799" i="5"/>
  <c r="CQ799" i="5"/>
  <c r="CP799" i="5"/>
  <c r="CO799" i="5"/>
  <c r="CN799" i="5"/>
  <c r="CM799" i="5"/>
  <c r="CL799" i="5"/>
  <c r="CK799" i="5"/>
  <c r="CJ799" i="5"/>
  <c r="CI799" i="5"/>
  <c r="CH799" i="5"/>
  <c r="CG799" i="5"/>
  <c r="CF799" i="5"/>
  <c r="CE799" i="5"/>
  <c r="JA798" i="5"/>
  <c r="IZ798" i="5"/>
  <c r="FV798" i="5"/>
  <c r="FU798" i="5"/>
  <c r="FT798" i="5"/>
  <c r="FS798" i="5"/>
  <c r="FR798" i="5"/>
  <c r="FQ798" i="5"/>
  <c r="FP798" i="5"/>
  <c r="FO798" i="5"/>
  <c r="FN798" i="5"/>
  <c r="FM798" i="5"/>
  <c r="FL798" i="5"/>
  <c r="FK798" i="5"/>
  <c r="FJ798" i="5"/>
  <c r="FI798" i="5"/>
  <c r="FH798" i="5"/>
  <c r="FG798" i="5"/>
  <c r="FF798" i="5"/>
  <c r="FE798" i="5"/>
  <c r="FD798" i="5"/>
  <c r="FC798" i="5"/>
  <c r="FB798" i="5"/>
  <c r="FA798" i="5"/>
  <c r="EZ798" i="5"/>
  <c r="EY798" i="5"/>
  <c r="EX798" i="5"/>
  <c r="EW798" i="5"/>
  <c r="EV798" i="5"/>
  <c r="EU798" i="5"/>
  <c r="ET798" i="5"/>
  <c r="ES798" i="5"/>
  <c r="ER798" i="5"/>
  <c r="EQ798" i="5"/>
  <c r="EP798" i="5"/>
  <c r="EO798" i="5"/>
  <c r="EN798" i="5"/>
  <c r="EM798" i="5"/>
  <c r="EL798" i="5"/>
  <c r="EK798" i="5"/>
  <c r="EJ798" i="5"/>
  <c r="EI798" i="5"/>
  <c r="EH798" i="5"/>
  <c r="EG798" i="5"/>
  <c r="EF798" i="5"/>
  <c r="EE798" i="5"/>
  <c r="ED798" i="5"/>
  <c r="EC798" i="5"/>
  <c r="EB798" i="5"/>
  <c r="EA798" i="5"/>
  <c r="DZ798" i="5"/>
  <c r="DY798" i="5"/>
  <c r="DX798" i="5"/>
  <c r="DW798" i="5"/>
  <c r="DV798" i="5"/>
  <c r="DU798" i="5"/>
  <c r="DT798" i="5"/>
  <c r="DS798" i="5"/>
  <c r="DR798" i="5"/>
  <c r="DQ798" i="5"/>
  <c r="DP798" i="5"/>
  <c r="DO798" i="5"/>
  <c r="DN798" i="5"/>
  <c r="DM798" i="5"/>
  <c r="DL798" i="5"/>
  <c r="DK798" i="5"/>
  <c r="DJ798" i="5"/>
  <c r="DI798" i="5"/>
  <c r="DH798" i="5"/>
  <c r="DG798" i="5"/>
  <c r="DF798" i="5"/>
  <c r="DE798" i="5"/>
  <c r="DD798" i="5"/>
  <c r="DC798" i="5"/>
  <c r="DB798" i="5"/>
  <c r="DA798" i="5"/>
  <c r="CZ798" i="5"/>
  <c r="CY798" i="5"/>
  <c r="CX798" i="5"/>
  <c r="CW798" i="5"/>
  <c r="CV798" i="5"/>
  <c r="CU798" i="5"/>
  <c r="CT798" i="5"/>
  <c r="CS798" i="5"/>
  <c r="CR798" i="5"/>
  <c r="CQ798" i="5"/>
  <c r="CP798" i="5"/>
  <c r="CO798" i="5"/>
  <c r="CN798" i="5"/>
  <c r="CM798" i="5"/>
  <c r="CL798" i="5"/>
  <c r="CK798" i="5"/>
  <c r="CJ798" i="5"/>
  <c r="CI798" i="5"/>
  <c r="CH798" i="5"/>
  <c r="CG798" i="5"/>
  <c r="CF798" i="5"/>
  <c r="CE798" i="5"/>
  <c r="JO797" i="5"/>
  <c r="JA797" i="5"/>
  <c r="IZ797" i="5"/>
  <c r="FV797" i="5"/>
  <c r="FU797" i="5"/>
  <c r="FT797" i="5"/>
  <c r="FS797" i="5"/>
  <c r="FR797" i="5"/>
  <c r="FQ797" i="5"/>
  <c r="FP797" i="5"/>
  <c r="FO797" i="5"/>
  <c r="FN797" i="5"/>
  <c r="FM797" i="5"/>
  <c r="FL797" i="5"/>
  <c r="FK797" i="5"/>
  <c r="FJ797" i="5"/>
  <c r="FI797" i="5"/>
  <c r="FH797" i="5"/>
  <c r="FG797" i="5"/>
  <c r="FF797" i="5"/>
  <c r="FE797" i="5"/>
  <c r="FD797" i="5"/>
  <c r="FC797" i="5"/>
  <c r="FB797" i="5"/>
  <c r="FA797" i="5"/>
  <c r="EZ797" i="5"/>
  <c r="EY797" i="5"/>
  <c r="EX797" i="5"/>
  <c r="EW797" i="5"/>
  <c r="EV797" i="5"/>
  <c r="EU797" i="5"/>
  <c r="ET797" i="5"/>
  <c r="ES797" i="5"/>
  <c r="ER797" i="5"/>
  <c r="EQ797" i="5"/>
  <c r="EP797" i="5"/>
  <c r="EO797" i="5"/>
  <c r="EN797" i="5"/>
  <c r="EM797" i="5"/>
  <c r="EL797" i="5"/>
  <c r="EK797" i="5"/>
  <c r="EJ797" i="5"/>
  <c r="EI797" i="5"/>
  <c r="EH797" i="5"/>
  <c r="EG797" i="5"/>
  <c r="EF797" i="5"/>
  <c r="EE797" i="5"/>
  <c r="ED797" i="5"/>
  <c r="EC797" i="5"/>
  <c r="EB797" i="5"/>
  <c r="EA797" i="5"/>
  <c r="DZ797" i="5"/>
  <c r="DY797" i="5"/>
  <c r="DX797" i="5"/>
  <c r="DW797" i="5"/>
  <c r="DV797" i="5"/>
  <c r="DU797" i="5"/>
  <c r="DT797" i="5"/>
  <c r="DS797" i="5"/>
  <c r="DR797" i="5"/>
  <c r="DQ797" i="5"/>
  <c r="DP797" i="5"/>
  <c r="DO797" i="5"/>
  <c r="DN797" i="5"/>
  <c r="DM797" i="5"/>
  <c r="DL797" i="5"/>
  <c r="DK797" i="5"/>
  <c r="DJ797" i="5"/>
  <c r="DI797" i="5"/>
  <c r="DH797" i="5"/>
  <c r="DG797" i="5"/>
  <c r="DF797" i="5"/>
  <c r="DE797" i="5"/>
  <c r="DD797" i="5"/>
  <c r="DC797" i="5"/>
  <c r="DB797" i="5"/>
  <c r="DA797" i="5"/>
  <c r="CZ797" i="5"/>
  <c r="CY797" i="5"/>
  <c r="CX797" i="5"/>
  <c r="CW797" i="5"/>
  <c r="CV797" i="5"/>
  <c r="CU797" i="5"/>
  <c r="CT797" i="5"/>
  <c r="CS797" i="5"/>
  <c r="CR797" i="5"/>
  <c r="CQ797" i="5"/>
  <c r="CP797" i="5"/>
  <c r="CO797" i="5"/>
  <c r="CN797" i="5"/>
  <c r="CM797" i="5"/>
  <c r="CL797" i="5"/>
  <c r="CK797" i="5"/>
  <c r="CJ797" i="5"/>
  <c r="CI797" i="5"/>
  <c r="CH797" i="5"/>
  <c r="CG797" i="5"/>
  <c r="CF797" i="5"/>
  <c r="CE797" i="5"/>
  <c r="JA796" i="5"/>
  <c r="IZ796" i="5"/>
  <c r="IX796" i="5"/>
  <c r="IW796" i="5"/>
  <c r="JA795" i="5"/>
  <c r="IZ795" i="5"/>
  <c r="IX795" i="5"/>
  <c r="IY795" i="5" s="1"/>
  <c r="AF1101" i="2" s="1"/>
  <c r="JA794" i="5"/>
  <c r="IZ794" i="5"/>
  <c r="FV794" i="5"/>
  <c r="FU794" i="5"/>
  <c r="FT794" i="5"/>
  <c r="FS794" i="5"/>
  <c r="FR794" i="5"/>
  <c r="FQ794" i="5"/>
  <c r="FP794" i="5"/>
  <c r="FO794" i="5"/>
  <c r="FN794" i="5"/>
  <c r="FM794" i="5"/>
  <c r="FL794" i="5"/>
  <c r="FK794" i="5"/>
  <c r="FJ794" i="5"/>
  <c r="FI794" i="5"/>
  <c r="FH794" i="5"/>
  <c r="FG794" i="5"/>
  <c r="FF794" i="5"/>
  <c r="FE794" i="5"/>
  <c r="FD794" i="5"/>
  <c r="FC794" i="5"/>
  <c r="FB794" i="5"/>
  <c r="FA794" i="5"/>
  <c r="EZ794" i="5"/>
  <c r="EY794" i="5"/>
  <c r="EX794" i="5"/>
  <c r="EW794" i="5"/>
  <c r="EV794" i="5"/>
  <c r="EU794" i="5"/>
  <c r="ET794" i="5"/>
  <c r="ES794" i="5"/>
  <c r="ER794" i="5"/>
  <c r="EQ794" i="5"/>
  <c r="EP794" i="5"/>
  <c r="EO794" i="5"/>
  <c r="EN794" i="5"/>
  <c r="EM794" i="5"/>
  <c r="EL794" i="5"/>
  <c r="EK794" i="5"/>
  <c r="EJ794" i="5"/>
  <c r="EI794" i="5"/>
  <c r="EH794" i="5"/>
  <c r="EG794" i="5"/>
  <c r="EF794" i="5"/>
  <c r="EE794" i="5"/>
  <c r="ED794" i="5"/>
  <c r="EC794" i="5"/>
  <c r="EB794" i="5"/>
  <c r="EA794" i="5"/>
  <c r="DZ794" i="5"/>
  <c r="DY794" i="5"/>
  <c r="DX794" i="5"/>
  <c r="DW794" i="5"/>
  <c r="DV794" i="5"/>
  <c r="DU794" i="5"/>
  <c r="DT794" i="5"/>
  <c r="DS794" i="5"/>
  <c r="DR794" i="5"/>
  <c r="DQ794" i="5"/>
  <c r="DP794" i="5"/>
  <c r="DO794" i="5"/>
  <c r="DN794" i="5"/>
  <c r="DM794" i="5"/>
  <c r="DL794" i="5"/>
  <c r="DK794" i="5"/>
  <c r="DJ794" i="5"/>
  <c r="DI794" i="5"/>
  <c r="DH794" i="5"/>
  <c r="DG794" i="5"/>
  <c r="DF794" i="5"/>
  <c r="DE794" i="5"/>
  <c r="DD794" i="5"/>
  <c r="DC794" i="5"/>
  <c r="DB794" i="5"/>
  <c r="DA794" i="5"/>
  <c r="CZ794" i="5"/>
  <c r="CY794" i="5"/>
  <c r="CX794" i="5"/>
  <c r="CW794" i="5"/>
  <c r="CV794" i="5"/>
  <c r="CU794" i="5"/>
  <c r="CT794" i="5"/>
  <c r="CS794" i="5"/>
  <c r="CR794" i="5"/>
  <c r="CQ794" i="5"/>
  <c r="CP794" i="5"/>
  <c r="CO794" i="5"/>
  <c r="CN794" i="5"/>
  <c r="CM794" i="5"/>
  <c r="CL794" i="5"/>
  <c r="CK794" i="5"/>
  <c r="CJ794" i="5"/>
  <c r="CI794" i="5"/>
  <c r="CH794" i="5"/>
  <c r="CG794" i="5"/>
  <c r="CF794" i="5"/>
  <c r="CE794" i="5"/>
  <c r="JA793" i="5"/>
  <c r="IZ793" i="5"/>
  <c r="FV793" i="5"/>
  <c r="FV1236" i="5" s="1"/>
  <c r="FU793" i="5"/>
  <c r="FU1236" i="5" s="1"/>
  <c r="FT793" i="5"/>
  <c r="FT1236" i="5" s="1"/>
  <c r="FS793" i="5"/>
  <c r="FS1236" i="5" s="1"/>
  <c r="FR793" i="5"/>
  <c r="FR1236" i="5" s="1"/>
  <c r="FQ793" i="5"/>
  <c r="FQ1236" i="5" s="1"/>
  <c r="FP793" i="5"/>
  <c r="FP1236" i="5" s="1"/>
  <c r="FO793" i="5"/>
  <c r="FO1236" i="5" s="1"/>
  <c r="FN793" i="5"/>
  <c r="FN1236" i="5" s="1"/>
  <c r="FM793" i="5"/>
  <c r="FM1236" i="5" s="1"/>
  <c r="FL793" i="5"/>
  <c r="FL1236" i="5" s="1"/>
  <c r="FK793" i="5"/>
  <c r="FK1236" i="5" s="1"/>
  <c r="FJ793" i="5"/>
  <c r="FJ1236" i="5" s="1"/>
  <c r="FI793" i="5"/>
  <c r="FI1236" i="5" s="1"/>
  <c r="FH793" i="5"/>
  <c r="FH1236" i="5" s="1"/>
  <c r="FG793" i="5"/>
  <c r="FF793" i="5"/>
  <c r="FF1236" i="5" s="1"/>
  <c r="FE793" i="5"/>
  <c r="FE1236" i="5" s="1"/>
  <c r="FD793" i="5"/>
  <c r="FD1236" i="5" s="1"/>
  <c r="FC793" i="5"/>
  <c r="FB793" i="5"/>
  <c r="FB1236" i="5" s="1"/>
  <c r="FA793" i="5"/>
  <c r="FA1236" i="5" s="1"/>
  <c r="EZ793" i="5"/>
  <c r="EZ1236" i="5" s="1"/>
  <c r="EY793" i="5"/>
  <c r="EY1236" i="5" s="1"/>
  <c r="EX793" i="5"/>
  <c r="EW793" i="5"/>
  <c r="EV793" i="5"/>
  <c r="EU793" i="5"/>
  <c r="ET793" i="5"/>
  <c r="ES793" i="5"/>
  <c r="ER793" i="5"/>
  <c r="EQ793" i="5"/>
  <c r="EP793" i="5"/>
  <c r="EO793" i="5"/>
  <c r="EN793" i="5"/>
  <c r="EM793" i="5"/>
  <c r="EL793" i="5"/>
  <c r="EK793" i="5"/>
  <c r="EJ793" i="5"/>
  <c r="EI793" i="5"/>
  <c r="EH793" i="5"/>
  <c r="EG793" i="5"/>
  <c r="EF793" i="5"/>
  <c r="EE793" i="5"/>
  <c r="ED793" i="5"/>
  <c r="EC793" i="5"/>
  <c r="EB793" i="5"/>
  <c r="EA793" i="5"/>
  <c r="DZ793" i="5"/>
  <c r="DY793" i="5"/>
  <c r="DX793" i="5"/>
  <c r="DW793" i="5"/>
  <c r="DV793" i="5"/>
  <c r="DU793" i="5"/>
  <c r="DT793" i="5"/>
  <c r="DS793" i="5"/>
  <c r="DR793" i="5"/>
  <c r="DQ793" i="5"/>
  <c r="DP793" i="5"/>
  <c r="DO793" i="5"/>
  <c r="DN793" i="5"/>
  <c r="DM793" i="5"/>
  <c r="DL793" i="5"/>
  <c r="DK793" i="5"/>
  <c r="DJ793" i="5"/>
  <c r="DI793" i="5"/>
  <c r="DH793" i="5"/>
  <c r="DG793" i="5"/>
  <c r="DF793" i="5"/>
  <c r="DE793" i="5"/>
  <c r="DD793" i="5"/>
  <c r="DC793" i="5"/>
  <c r="DB793" i="5"/>
  <c r="DA793" i="5"/>
  <c r="CZ793" i="5"/>
  <c r="CY793" i="5"/>
  <c r="CX793" i="5"/>
  <c r="CW793" i="5"/>
  <c r="CV793" i="5"/>
  <c r="CU793" i="5"/>
  <c r="CT793" i="5"/>
  <c r="CS793" i="5"/>
  <c r="CR793" i="5"/>
  <c r="CQ793" i="5"/>
  <c r="CP793" i="5"/>
  <c r="CO793" i="5"/>
  <c r="CN793" i="5"/>
  <c r="CM793" i="5"/>
  <c r="CL793" i="5"/>
  <c r="CK793" i="5"/>
  <c r="CJ793" i="5"/>
  <c r="CI793" i="5"/>
  <c r="CH793" i="5"/>
  <c r="CG793" i="5"/>
  <c r="CF793" i="5"/>
  <c r="CE793" i="5"/>
  <c r="CD793" i="5"/>
  <c r="JA792" i="5"/>
  <c r="IZ792" i="5"/>
  <c r="FV792" i="5"/>
  <c r="FU792" i="5"/>
  <c r="FT792" i="5"/>
  <c r="FS792" i="5"/>
  <c r="FR792" i="5"/>
  <c r="FQ792" i="5"/>
  <c r="FP792" i="5"/>
  <c r="FO792" i="5"/>
  <c r="FN792" i="5"/>
  <c r="FM792" i="5"/>
  <c r="FL792" i="5"/>
  <c r="FK792" i="5"/>
  <c r="FJ792" i="5"/>
  <c r="FI792" i="5"/>
  <c r="FH792" i="5"/>
  <c r="FG792" i="5"/>
  <c r="FF792" i="5"/>
  <c r="FE792" i="5"/>
  <c r="FD792" i="5"/>
  <c r="FC792" i="5"/>
  <c r="FB792" i="5"/>
  <c r="FA792" i="5"/>
  <c r="EZ792" i="5"/>
  <c r="EY792" i="5"/>
  <c r="EX792" i="5"/>
  <c r="EW792" i="5"/>
  <c r="EV792" i="5"/>
  <c r="EU792" i="5"/>
  <c r="ET792" i="5"/>
  <c r="ES792" i="5"/>
  <c r="ER792" i="5"/>
  <c r="EQ792" i="5"/>
  <c r="EP792" i="5"/>
  <c r="EO792" i="5"/>
  <c r="EN792" i="5"/>
  <c r="EM792" i="5"/>
  <c r="EL792" i="5"/>
  <c r="EK792" i="5"/>
  <c r="EJ792" i="5"/>
  <c r="EI792" i="5"/>
  <c r="EH792" i="5"/>
  <c r="EG792" i="5"/>
  <c r="EF792" i="5"/>
  <c r="EE792" i="5"/>
  <c r="ED792" i="5"/>
  <c r="EC792" i="5"/>
  <c r="EB792" i="5"/>
  <c r="EA792" i="5"/>
  <c r="DZ792" i="5"/>
  <c r="DY792" i="5"/>
  <c r="DX792" i="5"/>
  <c r="DW792" i="5"/>
  <c r="DV792" i="5"/>
  <c r="DU792" i="5"/>
  <c r="DT792" i="5"/>
  <c r="DS792" i="5"/>
  <c r="DR792" i="5"/>
  <c r="DQ792" i="5"/>
  <c r="DP792" i="5"/>
  <c r="DO792" i="5"/>
  <c r="DN792" i="5"/>
  <c r="DM792" i="5"/>
  <c r="DL792" i="5"/>
  <c r="DK792" i="5"/>
  <c r="DJ792" i="5"/>
  <c r="DI792" i="5"/>
  <c r="DH792" i="5"/>
  <c r="DG792" i="5"/>
  <c r="DF792" i="5"/>
  <c r="DE792" i="5"/>
  <c r="DD792" i="5"/>
  <c r="DC792" i="5"/>
  <c r="DB792" i="5"/>
  <c r="DA792" i="5"/>
  <c r="CZ792" i="5"/>
  <c r="CY792" i="5"/>
  <c r="CX792" i="5"/>
  <c r="CW792" i="5"/>
  <c r="CV792" i="5"/>
  <c r="CU792" i="5"/>
  <c r="CT792" i="5"/>
  <c r="CS792" i="5"/>
  <c r="CR792" i="5"/>
  <c r="CQ792" i="5"/>
  <c r="CP792" i="5"/>
  <c r="CO792" i="5"/>
  <c r="CN792" i="5"/>
  <c r="CM792" i="5"/>
  <c r="CL792" i="5"/>
  <c r="CK792" i="5"/>
  <c r="CJ792" i="5"/>
  <c r="CI792" i="5"/>
  <c r="CH792" i="5"/>
  <c r="CG792" i="5"/>
  <c r="CF792" i="5"/>
  <c r="CE792" i="5"/>
  <c r="JA791" i="5"/>
  <c r="IZ791" i="5"/>
  <c r="IX791" i="5"/>
  <c r="IY791" i="5" s="1"/>
  <c r="AF1097" i="2" s="1"/>
  <c r="JA790" i="5"/>
  <c r="IZ790" i="5"/>
  <c r="IX790" i="5"/>
  <c r="IW790" i="5"/>
  <c r="JA789" i="5"/>
  <c r="IZ789" i="5"/>
  <c r="FV789" i="5"/>
  <c r="FU789" i="5"/>
  <c r="FT789" i="5"/>
  <c r="FS789" i="5"/>
  <c r="FR789" i="5"/>
  <c r="FQ789" i="5"/>
  <c r="FP789" i="5"/>
  <c r="FO789" i="5"/>
  <c r="FN789" i="5"/>
  <c r="FM789" i="5"/>
  <c r="FL789" i="5"/>
  <c r="FK789" i="5"/>
  <c r="FJ789" i="5"/>
  <c r="FI789" i="5"/>
  <c r="FH789" i="5"/>
  <c r="FG789" i="5"/>
  <c r="FF789" i="5"/>
  <c r="FE789" i="5"/>
  <c r="FD789" i="5"/>
  <c r="FC789" i="5"/>
  <c r="FB789" i="5"/>
  <c r="FA789" i="5"/>
  <c r="EZ789" i="5"/>
  <c r="EY789" i="5"/>
  <c r="EX789" i="5"/>
  <c r="EW789" i="5"/>
  <c r="EV789" i="5"/>
  <c r="EU789" i="5"/>
  <c r="ET789" i="5"/>
  <c r="ES789" i="5"/>
  <c r="ER789" i="5"/>
  <c r="EQ789" i="5"/>
  <c r="EP789" i="5"/>
  <c r="EO789" i="5"/>
  <c r="EN789" i="5"/>
  <c r="EM789" i="5"/>
  <c r="EL789" i="5"/>
  <c r="EK789" i="5"/>
  <c r="EJ789" i="5"/>
  <c r="EI789" i="5"/>
  <c r="EH789" i="5"/>
  <c r="EG789" i="5"/>
  <c r="EF789" i="5"/>
  <c r="EE789" i="5"/>
  <c r="ED789" i="5"/>
  <c r="EC789" i="5"/>
  <c r="EB789" i="5"/>
  <c r="EA789" i="5"/>
  <c r="DZ789" i="5"/>
  <c r="DY789" i="5"/>
  <c r="DX789" i="5"/>
  <c r="DW789" i="5"/>
  <c r="DV789" i="5"/>
  <c r="DU789" i="5"/>
  <c r="DT789" i="5"/>
  <c r="DS789" i="5"/>
  <c r="DR789" i="5"/>
  <c r="DQ789" i="5"/>
  <c r="DP789" i="5"/>
  <c r="DO789" i="5"/>
  <c r="DN789" i="5"/>
  <c r="DM789" i="5"/>
  <c r="DL789" i="5"/>
  <c r="DK789" i="5"/>
  <c r="DJ789" i="5"/>
  <c r="DI789" i="5"/>
  <c r="DH789" i="5"/>
  <c r="DG789" i="5"/>
  <c r="DF789" i="5"/>
  <c r="DE789" i="5"/>
  <c r="DD789" i="5"/>
  <c r="DC789" i="5"/>
  <c r="DB789" i="5"/>
  <c r="DA789" i="5"/>
  <c r="CZ789" i="5"/>
  <c r="CY789" i="5"/>
  <c r="CX789" i="5"/>
  <c r="CW789" i="5"/>
  <c r="CV789" i="5"/>
  <c r="CU789" i="5"/>
  <c r="CT789" i="5"/>
  <c r="CS789" i="5"/>
  <c r="CR789" i="5"/>
  <c r="CQ789" i="5"/>
  <c r="CP789" i="5"/>
  <c r="CO789" i="5"/>
  <c r="CN789" i="5"/>
  <c r="CM789" i="5"/>
  <c r="CL789" i="5"/>
  <c r="CK789" i="5"/>
  <c r="CJ789" i="5"/>
  <c r="CI789" i="5"/>
  <c r="CH789" i="5"/>
  <c r="CG789" i="5"/>
  <c r="CF789" i="5"/>
  <c r="CE789" i="5"/>
  <c r="JA788" i="5"/>
  <c r="IZ788" i="5"/>
  <c r="FV788" i="5"/>
  <c r="FU788" i="5"/>
  <c r="FT788" i="5"/>
  <c r="FS788" i="5"/>
  <c r="FR788" i="5"/>
  <c r="FQ788" i="5"/>
  <c r="FP788" i="5"/>
  <c r="FO788" i="5"/>
  <c r="FN788" i="5"/>
  <c r="FM788" i="5"/>
  <c r="FL788" i="5"/>
  <c r="FK788" i="5"/>
  <c r="FJ788" i="5"/>
  <c r="FI788" i="5"/>
  <c r="FH788" i="5"/>
  <c r="FG788" i="5"/>
  <c r="FF788" i="5"/>
  <c r="FE788" i="5"/>
  <c r="FD788" i="5"/>
  <c r="FC788" i="5"/>
  <c r="FB788" i="5"/>
  <c r="FA788" i="5"/>
  <c r="EZ788" i="5"/>
  <c r="EY788" i="5"/>
  <c r="EX788" i="5"/>
  <c r="EW788" i="5"/>
  <c r="EV788" i="5"/>
  <c r="EU788" i="5"/>
  <c r="ET788" i="5"/>
  <c r="ES788" i="5"/>
  <c r="ER788" i="5"/>
  <c r="EQ788" i="5"/>
  <c r="EP788" i="5"/>
  <c r="EO788" i="5"/>
  <c r="EN788" i="5"/>
  <c r="EM788" i="5"/>
  <c r="EL788" i="5"/>
  <c r="EK788" i="5"/>
  <c r="EJ788" i="5"/>
  <c r="EI788" i="5"/>
  <c r="EH788" i="5"/>
  <c r="EG788" i="5"/>
  <c r="EF788" i="5"/>
  <c r="EE788" i="5"/>
  <c r="ED788" i="5"/>
  <c r="EC788" i="5"/>
  <c r="EB788" i="5"/>
  <c r="EA788" i="5"/>
  <c r="DZ788" i="5"/>
  <c r="DY788" i="5"/>
  <c r="DX788" i="5"/>
  <c r="DW788" i="5"/>
  <c r="DV788" i="5"/>
  <c r="DU788" i="5"/>
  <c r="DT788" i="5"/>
  <c r="DS788" i="5"/>
  <c r="DR788" i="5"/>
  <c r="DQ788" i="5"/>
  <c r="DP788" i="5"/>
  <c r="DO788" i="5"/>
  <c r="DN788" i="5"/>
  <c r="DM788" i="5"/>
  <c r="DL788" i="5"/>
  <c r="DK788" i="5"/>
  <c r="DJ788" i="5"/>
  <c r="DI788" i="5"/>
  <c r="DH788" i="5"/>
  <c r="DG788" i="5"/>
  <c r="DF788" i="5"/>
  <c r="DE788" i="5"/>
  <c r="DD788" i="5"/>
  <c r="DC788" i="5"/>
  <c r="DB788" i="5"/>
  <c r="DA788" i="5"/>
  <c r="CZ788" i="5"/>
  <c r="CY788" i="5"/>
  <c r="CX788" i="5"/>
  <c r="CW788" i="5"/>
  <c r="CV788" i="5"/>
  <c r="CU788" i="5"/>
  <c r="CT788" i="5"/>
  <c r="CS788" i="5"/>
  <c r="CR788" i="5"/>
  <c r="CQ788" i="5"/>
  <c r="CP788" i="5"/>
  <c r="CO788" i="5"/>
  <c r="CN788" i="5"/>
  <c r="CM788" i="5"/>
  <c r="CL788" i="5"/>
  <c r="CK788" i="5"/>
  <c r="CJ788" i="5"/>
  <c r="CI788" i="5"/>
  <c r="CH788" i="5"/>
  <c r="CG788" i="5"/>
  <c r="CF788" i="5"/>
  <c r="CE788" i="5"/>
  <c r="JA787" i="5"/>
  <c r="IZ787" i="5"/>
  <c r="FV787" i="5"/>
  <c r="FU787" i="5"/>
  <c r="FT787" i="5"/>
  <c r="FS787" i="5"/>
  <c r="FR787" i="5"/>
  <c r="FQ787" i="5"/>
  <c r="FP787" i="5"/>
  <c r="FO787" i="5"/>
  <c r="FN787" i="5"/>
  <c r="FM787" i="5"/>
  <c r="FL787" i="5"/>
  <c r="FK787" i="5"/>
  <c r="FJ787" i="5"/>
  <c r="FI787" i="5"/>
  <c r="FH787" i="5"/>
  <c r="FG787" i="5"/>
  <c r="FF787" i="5"/>
  <c r="FE787" i="5"/>
  <c r="FD787" i="5"/>
  <c r="FC787" i="5"/>
  <c r="FB787" i="5"/>
  <c r="FA787" i="5"/>
  <c r="EZ787" i="5"/>
  <c r="EY787" i="5"/>
  <c r="EX787" i="5"/>
  <c r="EW787" i="5"/>
  <c r="EV787" i="5"/>
  <c r="EU787" i="5"/>
  <c r="ET787" i="5"/>
  <c r="ES787" i="5"/>
  <c r="ER787" i="5"/>
  <c r="EQ787" i="5"/>
  <c r="EP787" i="5"/>
  <c r="EO787" i="5"/>
  <c r="EN787" i="5"/>
  <c r="EM787" i="5"/>
  <c r="EL787" i="5"/>
  <c r="EK787" i="5"/>
  <c r="EJ787" i="5"/>
  <c r="EI787" i="5"/>
  <c r="EH787" i="5"/>
  <c r="EG787" i="5"/>
  <c r="EF787" i="5"/>
  <c r="EE787" i="5"/>
  <c r="ED787" i="5"/>
  <c r="EC787" i="5"/>
  <c r="EB787" i="5"/>
  <c r="EA787" i="5"/>
  <c r="DZ787" i="5"/>
  <c r="DY787" i="5"/>
  <c r="DX787" i="5"/>
  <c r="DW787" i="5"/>
  <c r="DV787" i="5"/>
  <c r="DU787" i="5"/>
  <c r="DT787" i="5"/>
  <c r="DS787" i="5"/>
  <c r="DR787" i="5"/>
  <c r="DQ787" i="5"/>
  <c r="DP787" i="5"/>
  <c r="DO787" i="5"/>
  <c r="DN787" i="5"/>
  <c r="DM787" i="5"/>
  <c r="DL787" i="5"/>
  <c r="DK787" i="5"/>
  <c r="DJ787" i="5"/>
  <c r="DI787" i="5"/>
  <c r="DH787" i="5"/>
  <c r="DG787" i="5"/>
  <c r="DF787" i="5"/>
  <c r="DE787" i="5"/>
  <c r="DD787" i="5"/>
  <c r="DC787" i="5"/>
  <c r="DB787" i="5"/>
  <c r="DA787" i="5"/>
  <c r="CZ787" i="5"/>
  <c r="CY787" i="5"/>
  <c r="CX787" i="5"/>
  <c r="CW787" i="5"/>
  <c r="CV787" i="5"/>
  <c r="CU787" i="5"/>
  <c r="CT787" i="5"/>
  <c r="CS787" i="5"/>
  <c r="CR787" i="5"/>
  <c r="CQ787" i="5"/>
  <c r="CP787" i="5"/>
  <c r="CO787" i="5"/>
  <c r="CN787" i="5"/>
  <c r="CM787" i="5"/>
  <c r="CL787" i="5"/>
  <c r="CK787" i="5"/>
  <c r="CJ787" i="5"/>
  <c r="CI787" i="5"/>
  <c r="CH787" i="5"/>
  <c r="CG787" i="5"/>
  <c r="CF787" i="5"/>
  <c r="CE787" i="5"/>
  <c r="JA786" i="5"/>
  <c r="IZ786" i="5"/>
  <c r="FV786" i="5"/>
  <c r="FU786" i="5"/>
  <c r="FT786" i="5"/>
  <c r="FS786" i="5"/>
  <c r="FR786" i="5"/>
  <c r="FQ786" i="5"/>
  <c r="FP786" i="5"/>
  <c r="FO786" i="5"/>
  <c r="FN786" i="5"/>
  <c r="FM786" i="5"/>
  <c r="FL786" i="5"/>
  <c r="FK786" i="5"/>
  <c r="FJ786" i="5"/>
  <c r="FI786" i="5"/>
  <c r="FH786" i="5"/>
  <c r="FG786" i="5"/>
  <c r="FF786" i="5"/>
  <c r="FE786" i="5"/>
  <c r="FD786" i="5"/>
  <c r="FC786" i="5"/>
  <c r="FB786" i="5"/>
  <c r="FA786" i="5"/>
  <c r="EZ786" i="5"/>
  <c r="EY786" i="5"/>
  <c r="EX786" i="5"/>
  <c r="EW786" i="5"/>
  <c r="EV786" i="5"/>
  <c r="EU786" i="5"/>
  <c r="ET786" i="5"/>
  <c r="ES786" i="5"/>
  <c r="ER786" i="5"/>
  <c r="EQ786" i="5"/>
  <c r="EP786" i="5"/>
  <c r="EO786" i="5"/>
  <c r="EN786" i="5"/>
  <c r="EM786" i="5"/>
  <c r="EL786" i="5"/>
  <c r="EK786" i="5"/>
  <c r="EJ786" i="5"/>
  <c r="EI786" i="5"/>
  <c r="EH786" i="5"/>
  <c r="EG786" i="5"/>
  <c r="EF786" i="5"/>
  <c r="EE786" i="5"/>
  <c r="ED786" i="5"/>
  <c r="EC786" i="5"/>
  <c r="EB786" i="5"/>
  <c r="EA786" i="5"/>
  <c r="DZ786" i="5"/>
  <c r="DY786" i="5"/>
  <c r="DX786" i="5"/>
  <c r="DW786" i="5"/>
  <c r="DV786" i="5"/>
  <c r="DU786" i="5"/>
  <c r="DT786" i="5"/>
  <c r="DS786" i="5"/>
  <c r="DR786" i="5"/>
  <c r="DQ786" i="5"/>
  <c r="DP786" i="5"/>
  <c r="DO786" i="5"/>
  <c r="DN786" i="5"/>
  <c r="DM786" i="5"/>
  <c r="DL786" i="5"/>
  <c r="DK786" i="5"/>
  <c r="DJ786" i="5"/>
  <c r="DI786" i="5"/>
  <c r="DH786" i="5"/>
  <c r="DG786" i="5"/>
  <c r="DF786" i="5"/>
  <c r="DE786" i="5"/>
  <c r="DD786" i="5"/>
  <c r="DC786" i="5"/>
  <c r="DB786" i="5"/>
  <c r="DA786" i="5"/>
  <c r="CZ786" i="5"/>
  <c r="CY786" i="5"/>
  <c r="CX786" i="5"/>
  <c r="CW786" i="5"/>
  <c r="CV786" i="5"/>
  <c r="CU786" i="5"/>
  <c r="CT786" i="5"/>
  <c r="CS786" i="5"/>
  <c r="CR786" i="5"/>
  <c r="CQ786" i="5"/>
  <c r="CP786" i="5"/>
  <c r="CO786" i="5"/>
  <c r="CN786" i="5"/>
  <c r="CM786" i="5"/>
  <c r="CL786" i="5"/>
  <c r="CK786" i="5"/>
  <c r="CJ786" i="5"/>
  <c r="CI786" i="5"/>
  <c r="CH786" i="5"/>
  <c r="CG786" i="5"/>
  <c r="CF786" i="5"/>
  <c r="CE786" i="5"/>
  <c r="JA785" i="5"/>
  <c r="IZ785" i="5"/>
  <c r="FV785" i="5"/>
  <c r="FU785" i="5"/>
  <c r="FT785" i="5"/>
  <c r="FS785" i="5"/>
  <c r="FR785" i="5"/>
  <c r="FQ785" i="5"/>
  <c r="FP785" i="5"/>
  <c r="FO785" i="5"/>
  <c r="FN785" i="5"/>
  <c r="FM785" i="5"/>
  <c r="FL785" i="5"/>
  <c r="FK785" i="5"/>
  <c r="FJ785" i="5"/>
  <c r="FI785" i="5"/>
  <c r="FH785" i="5"/>
  <c r="FG785" i="5"/>
  <c r="FF785" i="5"/>
  <c r="FE785" i="5"/>
  <c r="FD785" i="5"/>
  <c r="FC785" i="5"/>
  <c r="FB785" i="5"/>
  <c r="FA785" i="5"/>
  <c r="EZ785" i="5"/>
  <c r="EY785" i="5"/>
  <c r="EX785" i="5"/>
  <c r="EW785" i="5"/>
  <c r="EV785" i="5"/>
  <c r="EU785" i="5"/>
  <c r="ET785" i="5"/>
  <c r="ES785" i="5"/>
  <c r="ER785" i="5"/>
  <c r="EQ785" i="5"/>
  <c r="EP785" i="5"/>
  <c r="EO785" i="5"/>
  <c r="EN785" i="5"/>
  <c r="EM785" i="5"/>
  <c r="EL785" i="5"/>
  <c r="EK785" i="5"/>
  <c r="EJ785" i="5"/>
  <c r="EI785" i="5"/>
  <c r="EH785" i="5"/>
  <c r="EG785" i="5"/>
  <c r="EF785" i="5"/>
  <c r="EE785" i="5"/>
  <c r="ED785" i="5"/>
  <c r="EC785" i="5"/>
  <c r="EB785" i="5"/>
  <c r="EA785" i="5"/>
  <c r="DZ785" i="5"/>
  <c r="DY785" i="5"/>
  <c r="DX785" i="5"/>
  <c r="DW785" i="5"/>
  <c r="DV785" i="5"/>
  <c r="DU785" i="5"/>
  <c r="DT785" i="5"/>
  <c r="DS785" i="5"/>
  <c r="DR785" i="5"/>
  <c r="DQ785" i="5"/>
  <c r="DP785" i="5"/>
  <c r="DO785" i="5"/>
  <c r="DN785" i="5"/>
  <c r="DM785" i="5"/>
  <c r="DL785" i="5"/>
  <c r="DK785" i="5"/>
  <c r="DJ785" i="5"/>
  <c r="DI785" i="5"/>
  <c r="DH785" i="5"/>
  <c r="DG785" i="5"/>
  <c r="DF785" i="5"/>
  <c r="DE785" i="5"/>
  <c r="DD785" i="5"/>
  <c r="DC785" i="5"/>
  <c r="DB785" i="5"/>
  <c r="DA785" i="5"/>
  <c r="CZ785" i="5"/>
  <c r="CY785" i="5"/>
  <c r="CX785" i="5"/>
  <c r="CW785" i="5"/>
  <c r="CV785" i="5"/>
  <c r="CU785" i="5"/>
  <c r="CT785" i="5"/>
  <c r="CS785" i="5"/>
  <c r="CR785" i="5"/>
  <c r="CQ785" i="5"/>
  <c r="CP785" i="5"/>
  <c r="CO785" i="5"/>
  <c r="CN785" i="5"/>
  <c r="CM785" i="5"/>
  <c r="CL785" i="5"/>
  <c r="CK785" i="5"/>
  <c r="CJ785" i="5"/>
  <c r="CI785" i="5"/>
  <c r="CH785" i="5"/>
  <c r="CG785" i="5"/>
  <c r="CF785" i="5"/>
  <c r="CE785" i="5"/>
  <c r="JA779" i="5"/>
  <c r="IZ779" i="5"/>
  <c r="FV779" i="5"/>
  <c r="FU779" i="5"/>
  <c r="FT779" i="5"/>
  <c r="FS779" i="5"/>
  <c r="FR779" i="5"/>
  <c r="FQ779" i="5"/>
  <c r="FP779" i="5"/>
  <c r="FO779" i="5"/>
  <c r="FN779" i="5"/>
  <c r="FM779" i="5"/>
  <c r="FL779" i="5"/>
  <c r="FK779" i="5"/>
  <c r="FJ779" i="5"/>
  <c r="FI779" i="5"/>
  <c r="FH779" i="5"/>
  <c r="FG779" i="5"/>
  <c r="FF779" i="5"/>
  <c r="FE779" i="5"/>
  <c r="FD779" i="5"/>
  <c r="FC779" i="5"/>
  <c r="FB779" i="5"/>
  <c r="FA779" i="5"/>
  <c r="EZ779" i="5"/>
  <c r="EY779" i="5"/>
  <c r="EX779" i="5"/>
  <c r="EW779" i="5"/>
  <c r="EV779" i="5"/>
  <c r="EU779" i="5"/>
  <c r="ET779" i="5"/>
  <c r="ES779" i="5"/>
  <c r="ER779" i="5"/>
  <c r="EQ779" i="5"/>
  <c r="EP779" i="5"/>
  <c r="EO779" i="5"/>
  <c r="EN779" i="5"/>
  <c r="EM779" i="5"/>
  <c r="EL779" i="5"/>
  <c r="EK779" i="5"/>
  <c r="EJ779" i="5"/>
  <c r="EI779" i="5"/>
  <c r="EH779" i="5"/>
  <c r="EG779" i="5"/>
  <c r="EF779" i="5"/>
  <c r="EE779" i="5"/>
  <c r="ED779" i="5"/>
  <c r="EC779" i="5"/>
  <c r="EB779" i="5"/>
  <c r="EA779" i="5"/>
  <c r="DZ779" i="5"/>
  <c r="DY779" i="5"/>
  <c r="DX779" i="5"/>
  <c r="DW779" i="5"/>
  <c r="DV779" i="5"/>
  <c r="DU779" i="5"/>
  <c r="DT779" i="5"/>
  <c r="DS779" i="5"/>
  <c r="DR779" i="5"/>
  <c r="DQ779" i="5"/>
  <c r="DP779" i="5"/>
  <c r="DO779" i="5"/>
  <c r="DN779" i="5"/>
  <c r="DM779" i="5"/>
  <c r="DL779" i="5"/>
  <c r="DK779" i="5"/>
  <c r="DJ779" i="5"/>
  <c r="DI779" i="5"/>
  <c r="DH779" i="5"/>
  <c r="DG779" i="5"/>
  <c r="DF779" i="5"/>
  <c r="DE779" i="5"/>
  <c r="DD779" i="5"/>
  <c r="DC779" i="5"/>
  <c r="DB779" i="5"/>
  <c r="DA779" i="5"/>
  <c r="CZ779" i="5"/>
  <c r="CY779" i="5"/>
  <c r="CX779" i="5"/>
  <c r="CW779" i="5"/>
  <c r="CV779" i="5"/>
  <c r="CU779" i="5"/>
  <c r="CT779" i="5"/>
  <c r="CS779" i="5"/>
  <c r="CR779" i="5"/>
  <c r="CQ779" i="5"/>
  <c r="CP779" i="5"/>
  <c r="CO779" i="5"/>
  <c r="CN779" i="5"/>
  <c r="CM779" i="5"/>
  <c r="CL779" i="5"/>
  <c r="CK779" i="5"/>
  <c r="CJ779" i="5"/>
  <c r="CI779" i="5"/>
  <c r="CH779" i="5"/>
  <c r="CG779" i="5"/>
  <c r="CF779" i="5"/>
  <c r="CE779" i="5"/>
  <c r="JA778" i="5"/>
  <c r="IZ778" i="5"/>
  <c r="FV778" i="5"/>
  <c r="FU778" i="5"/>
  <c r="FT778" i="5"/>
  <c r="FS778" i="5"/>
  <c r="FR778" i="5"/>
  <c r="FQ778" i="5"/>
  <c r="FP778" i="5"/>
  <c r="FO778" i="5"/>
  <c r="FN778" i="5"/>
  <c r="FM778" i="5"/>
  <c r="FL778" i="5"/>
  <c r="FK778" i="5"/>
  <c r="FJ778" i="5"/>
  <c r="FI778" i="5"/>
  <c r="FH778" i="5"/>
  <c r="FG778" i="5"/>
  <c r="FF778" i="5"/>
  <c r="FE778" i="5"/>
  <c r="FD778" i="5"/>
  <c r="FC778" i="5"/>
  <c r="FB778" i="5"/>
  <c r="FA778" i="5"/>
  <c r="EZ778" i="5"/>
  <c r="EY778" i="5"/>
  <c r="EX778" i="5"/>
  <c r="EW778" i="5"/>
  <c r="EV778" i="5"/>
  <c r="EU778" i="5"/>
  <c r="ET778" i="5"/>
  <c r="ES778" i="5"/>
  <c r="ER778" i="5"/>
  <c r="EQ778" i="5"/>
  <c r="EP778" i="5"/>
  <c r="EO778" i="5"/>
  <c r="EN778" i="5"/>
  <c r="EM778" i="5"/>
  <c r="EL778" i="5"/>
  <c r="EK778" i="5"/>
  <c r="EJ778" i="5"/>
  <c r="EI778" i="5"/>
  <c r="EH778" i="5"/>
  <c r="EG778" i="5"/>
  <c r="EF778" i="5"/>
  <c r="EE778" i="5"/>
  <c r="ED778" i="5"/>
  <c r="EC778" i="5"/>
  <c r="EB778" i="5"/>
  <c r="EA778" i="5"/>
  <c r="DZ778" i="5"/>
  <c r="DY778" i="5"/>
  <c r="DX778" i="5"/>
  <c r="DW778" i="5"/>
  <c r="DV778" i="5"/>
  <c r="DU778" i="5"/>
  <c r="DT778" i="5"/>
  <c r="DS778" i="5"/>
  <c r="DR778" i="5"/>
  <c r="DQ778" i="5"/>
  <c r="DP778" i="5"/>
  <c r="DO778" i="5"/>
  <c r="DN778" i="5"/>
  <c r="DM778" i="5"/>
  <c r="DL778" i="5"/>
  <c r="DK778" i="5"/>
  <c r="DJ778" i="5"/>
  <c r="DI778" i="5"/>
  <c r="DH778" i="5"/>
  <c r="DG778" i="5"/>
  <c r="DF778" i="5"/>
  <c r="DE778" i="5"/>
  <c r="DD778" i="5"/>
  <c r="DC778" i="5"/>
  <c r="DB778" i="5"/>
  <c r="DA778" i="5"/>
  <c r="CZ778" i="5"/>
  <c r="CY778" i="5"/>
  <c r="CX778" i="5"/>
  <c r="CW778" i="5"/>
  <c r="CV778" i="5"/>
  <c r="CU778" i="5"/>
  <c r="CT778" i="5"/>
  <c r="CS778" i="5"/>
  <c r="CR778" i="5"/>
  <c r="CQ778" i="5"/>
  <c r="CP778" i="5"/>
  <c r="CO778" i="5"/>
  <c r="CN778" i="5"/>
  <c r="CM778" i="5"/>
  <c r="CL778" i="5"/>
  <c r="CK778" i="5"/>
  <c r="CJ778" i="5"/>
  <c r="CI778" i="5"/>
  <c r="CH778" i="5"/>
  <c r="CG778" i="5"/>
  <c r="CF778" i="5"/>
  <c r="CE778" i="5"/>
  <c r="JA777" i="5"/>
  <c r="IZ777" i="5"/>
  <c r="FV777" i="5"/>
  <c r="FU777" i="5"/>
  <c r="FT777" i="5"/>
  <c r="FS777" i="5"/>
  <c r="FR777" i="5"/>
  <c r="FQ777" i="5"/>
  <c r="FP777" i="5"/>
  <c r="FO777" i="5"/>
  <c r="FN777" i="5"/>
  <c r="FM777" i="5"/>
  <c r="FL777" i="5"/>
  <c r="FK777" i="5"/>
  <c r="FJ777" i="5"/>
  <c r="FI777" i="5"/>
  <c r="FH777" i="5"/>
  <c r="FG777" i="5"/>
  <c r="FF777" i="5"/>
  <c r="FE777" i="5"/>
  <c r="FD777" i="5"/>
  <c r="FC777" i="5"/>
  <c r="FB777" i="5"/>
  <c r="FA777" i="5"/>
  <c r="EZ777" i="5"/>
  <c r="EY777" i="5"/>
  <c r="EX777" i="5"/>
  <c r="EW777" i="5"/>
  <c r="EV777" i="5"/>
  <c r="EU777" i="5"/>
  <c r="ET777" i="5"/>
  <c r="ES777" i="5"/>
  <c r="ER777" i="5"/>
  <c r="EQ777" i="5"/>
  <c r="EP777" i="5"/>
  <c r="EO777" i="5"/>
  <c r="EN777" i="5"/>
  <c r="EM777" i="5"/>
  <c r="EL777" i="5"/>
  <c r="EK777" i="5"/>
  <c r="EJ777" i="5"/>
  <c r="EI777" i="5"/>
  <c r="EH777" i="5"/>
  <c r="EG777" i="5"/>
  <c r="EF777" i="5"/>
  <c r="EE777" i="5"/>
  <c r="ED777" i="5"/>
  <c r="EC777" i="5"/>
  <c r="EB777" i="5"/>
  <c r="EA777" i="5"/>
  <c r="DZ777" i="5"/>
  <c r="DY777" i="5"/>
  <c r="DX777" i="5"/>
  <c r="DW777" i="5"/>
  <c r="DV777" i="5"/>
  <c r="DU777" i="5"/>
  <c r="DT777" i="5"/>
  <c r="DS777" i="5"/>
  <c r="DR777" i="5"/>
  <c r="DQ777" i="5"/>
  <c r="DP777" i="5"/>
  <c r="DO777" i="5"/>
  <c r="DN777" i="5"/>
  <c r="DM777" i="5"/>
  <c r="DL777" i="5"/>
  <c r="DK777" i="5"/>
  <c r="DJ777" i="5"/>
  <c r="DI777" i="5"/>
  <c r="DH777" i="5"/>
  <c r="DG777" i="5"/>
  <c r="DF777" i="5"/>
  <c r="DE777" i="5"/>
  <c r="DD777" i="5"/>
  <c r="DC777" i="5"/>
  <c r="DB777" i="5"/>
  <c r="DA777" i="5"/>
  <c r="CZ777" i="5"/>
  <c r="CY777" i="5"/>
  <c r="CX777" i="5"/>
  <c r="CW777" i="5"/>
  <c r="CV777" i="5"/>
  <c r="CU777" i="5"/>
  <c r="CT777" i="5"/>
  <c r="CS777" i="5"/>
  <c r="CR777" i="5"/>
  <c r="CQ777" i="5"/>
  <c r="CP777" i="5"/>
  <c r="CO777" i="5"/>
  <c r="CN777" i="5"/>
  <c r="CM777" i="5"/>
  <c r="CL777" i="5"/>
  <c r="CK777" i="5"/>
  <c r="CJ777" i="5"/>
  <c r="CI777" i="5"/>
  <c r="CH777" i="5"/>
  <c r="CG777" i="5"/>
  <c r="CF777" i="5"/>
  <c r="CE777" i="5"/>
  <c r="JA773" i="5"/>
  <c r="IZ773" i="5"/>
  <c r="FV773" i="5"/>
  <c r="FU773" i="5"/>
  <c r="FT773" i="5"/>
  <c r="FS773" i="5"/>
  <c r="FR773" i="5"/>
  <c r="FQ773" i="5"/>
  <c r="FP773" i="5"/>
  <c r="FO773" i="5"/>
  <c r="FN773" i="5"/>
  <c r="FM773" i="5"/>
  <c r="FL773" i="5"/>
  <c r="FK773" i="5"/>
  <c r="FJ773" i="5"/>
  <c r="FI773" i="5"/>
  <c r="FH773" i="5"/>
  <c r="FG773" i="5"/>
  <c r="FF773" i="5"/>
  <c r="FE773" i="5"/>
  <c r="FD773" i="5"/>
  <c r="FC773" i="5"/>
  <c r="FB773" i="5"/>
  <c r="FA773" i="5"/>
  <c r="EZ773" i="5"/>
  <c r="EY773" i="5"/>
  <c r="EX773" i="5"/>
  <c r="EW773" i="5"/>
  <c r="EV773" i="5"/>
  <c r="EU773" i="5"/>
  <c r="ET773" i="5"/>
  <c r="ES773" i="5"/>
  <c r="ER773" i="5"/>
  <c r="EQ773" i="5"/>
  <c r="EP773" i="5"/>
  <c r="EO773" i="5"/>
  <c r="EN773" i="5"/>
  <c r="EM773" i="5"/>
  <c r="EL773" i="5"/>
  <c r="EK773" i="5"/>
  <c r="EJ773" i="5"/>
  <c r="EI773" i="5"/>
  <c r="EH773" i="5"/>
  <c r="EG773" i="5"/>
  <c r="EF773" i="5"/>
  <c r="EE773" i="5"/>
  <c r="ED773" i="5"/>
  <c r="EC773" i="5"/>
  <c r="EB773" i="5"/>
  <c r="EA773" i="5"/>
  <c r="DZ773" i="5"/>
  <c r="DY773" i="5"/>
  <c r="DX773" i="5"/>
  <c r="DW773" i="5"/>
  <c r="DV773" i="5"/>
  <c r="DU773" i="5"/>
  <c r="DT773" i="5"/>
  <c r="DS773" i="5"/>
  <c r="DR773" i="5"/>
  <c r="DQ773" i="5"/>
  <c r="DP773" i="5"/>
  <c r="DO773" i="5"/>
  <c r="DN773" i="5"/>
  <c r="DM773" i="5"/>
  <c r="DL773" i="5"/>
  <c r="DK773" i="5"/>
  <c r="DJ773" i="5"/>
  <c r="DI773" i="5"/>
  <c r="DH773" i="5"/>
  <c r="DG773" i="5"/>
  <c r="DF773" i="5"/>
  <c r="DE773" i="5"/>
  <c r="DD773" i="5"/>
  <c r="DC773" i="5"/>
  <c r="DB773" i="5"/>
  <c r="DA773" i="5"/>
  <c r="CZ773" i="5"/>
  <c r="CY773" i="5"/>
  <c r="CX773" i="5"/>
  <c r="CW773" i="5"/>
  <c r="CV773" i="5"/>
  <c r="CU773" i="5"/>
  <c r="CT773" i="5"/>
  <c r="CS773" i="5"/>
  <c r="CR773" i="5"/>
  <c r="CQ773" i="5"/>
  <c r="CP773" i="5"/>
  <c r="CO773" i="5"/>
  <c r="CN773" i="5"/>
  <c r="CM773" i="5"/>
  <c r="CL773" i="5"/>
  <c r="CK773" i="5"/>
  <c r="CJ773" i="5"/>
  <c r="CI773" i="5"/>
  <c r="CH773" i="5"/>
  <c r="CG773" i="5"/>
  <c r="CF773" i="5"/>
  <c r="CE773" i="5"/>
  <c r="JA772" i="5"/>
  <c r="IZ772" i="5"/>
  <c r="FV772" i="5"/>
  <c r="FU772" i="5"/>
  <c r="FT772" i="5"/>
  <c r="FS772" i="5"/>
  <c r="FR772" i="5"/>
  <c r="FQ772" i="5"/>
  <c r="FP772" i="5"/>
  <c r="FO772" i="5"/>
  <c r="FN772" i="5"/>
  <c r="FM772" i="5"/>
  <c r="FL772" i="5"/>
  <c r="FK772" i="5"/>
  <c r="FJ772" i="5"/>
  <c r="FI772" i="5"/>
  <c r="FH772" i="5"/>
  <c r="FG772" i="5"/>
  <c r="FF772" i="5"/>
  <c r="FE772" i="5"/>
  <c r="FD772" i="5"/>
  <c r="FC772" i="5"/>
  <c r="FB772" i="5"/>
  <c r="FA772" i="5"/>
  <c r="EZ772" i="5"/>
  <c r="EY772" i="5"/>
  <c r="EX772" i="5"/>
  <c r="EW772" i="5"/>
  <c r="EV772" i="5"/>
  <c r="EU772" i="5"/>
  <c r="ET772" i="5"/>
  <c r="ES772" i="5"/>
  <c r="ER772" i="5"/>
  <c r="EQ772" i="5"/>
  <c r="EP772" i="5"/>
  <c r="EO772" i="5"/>
  <c r="EN772" i="5"/>
  <c r="EM772" i="5"/>
  <c r="EL772" i="5"/>
  <c r="EK772" i="5"/>
  <c r="EJ772" i="5"/>
  <c r="EI772" i="5"/>
  <c r="EH772" i="5"/>
  <c r="EG772" i="5"/>
  <c r="EF772" i="5"/>
  <c r="EE772" i="5"/>
  <c r="ED772" i="5"/>
  <c r="EC772" i="5"/>
  <c r="EB772" i="5"/>
  <c r="EA772" i="5"/>
  <c r="DZ772" i="5"/>
  <c r="DY772" i="5"/>
  <c r="DX772" i="5"/>
  <c r="DW772" i="5"/>
  <c r="DV772" i="5"/>
  <c r="DU772" i="5"/>
  <c r="DT772" i="5"/>
  <c r="DS772" i="5"/>
  <c r="DR772" i="5"/>
  <c r="DQ772" i="5"/>
  <c r="DP772" i="5"/>
  <c r="DO772" i="5"/>
  <c r="DN772" i="5"/>
  <c r="DM772" i="5"/>
  <c r="DL772" i="5"/>
  <c r="DK772" i="5"/>
  <c r="DJ772" i="5"/>
  <c r="DI772" i="5"/>
  <c r="DH772" i="5"/>
  <c r="DG772" i="5"/>
  <c r="DF772" i="5"/>
  <c r="DE772" i="5"/>
  <c r="DD772" i="5"/>
  <c r="DC772" i="5"/>
  <c r="DB772" i="5"/>
  <c r="DA772" i="5"/>
  <c r="CZ772" i="5"/>
  <c r="CY772" i="5"/>
  <c r="CX772" i="5"/>
  <c r="CW772" i="5"/>
  <c r="CV772" i="5"/>
  <c r="CU772" i="5"/>
  <c r="CT772" i="5"/>
  <c r="CS772" i="5"/>
  <c r="CR772" i="5"/>
  <c r="CQ772" i="5"/>
  <c r="CP772" i="5"/>
  <c r="CO772" i="5"/>
  <c r="CN772" i="5"/>
  <c r="CM772" i="5"/>
  <c r="CL772" i="5"/>
  <c r="CK772" i="5"/>
  <c r="CJ772" i="5"/>
  <c r="CI772" i="5"/>
  <c r="CH772" i="5"/>
  <c r="CG772" i="5"/>
  <c r="CF772" i="5"/>
  <c r="CE772" i="5"/>
  <c r="JA771" i="5"/>
  <c r="IZ771" i="5"/>
  <c r="FV771" i="5"/>
  <c r="FV1235" i="5" s="1"/>
  <c r="FU771" i="5"/>
  <c r="FU1235" i="5" s="1"/>
  <c r="FT771" i="5"/>
  <c r="FT1235" i="5" s="1"/>
  <c r="FS771" i="5"/>
  <c r="FS1235" i="5" s="1"/>
  <c r="FR771" i="5"/>
  <c r="FR1235" i="5" s="1"/>
  <c r="FQ771" i="5"/>
  <c r="FQ1235" i="5" s="1"/>
  <c r="FP771" i="5"/>
  <c r="FP1235" i="5" s="1"/>
  <c r="FO771" i="5"/>
  <c r="FO1235" i="5" s="1"/>
  <c r="FN771" i="5"/>
  <c r="FN1235" i="5" s="1"/>
  <c r="FM771" i="5"/>
  <c r="FM1235" i="5" s="1"/>
  <c r="FL771" i="5"/>
  <c r="FL1235" i="5" s="1"/>
  <c r="FK771" i="5"/>
  <c r="FK1235" i="5" s="1"/>
  <c r="FJ771" i="5"/>
  <c r="FI771" i="5"/>
  <c r="FI1235" i="5" s="1"/>
  <c r="FH771" i="5"/>
  <c r="FH1235" i="5" s="1"/>
  <c r="FG771" i="5"/>
  <c r="FG1235" i="5" s="1"/>
  <c r="FF771" i="5"/>
  <c r="FF1235" i="5" s="1"/>
  <c r="FE771" i="5"/>
  <c r="FE1235" i="5" s="1"/>
  <c r="FD771" i="5"/>
  <c r="FD1235" i="5" s="1"/>
  <c r="FC771" i="5"/>
  <c r="FC1235" i="5" s="1"/>
  <c r="FB771" i="5"/>
  <c r="FB1235" i="5" s="1"/>
  <c r="FA771" i="5"/>
  <c r="FA1235" i="5" s="1"/>
  <c r="EZ771" i="5"/>
  <c r="EY771" i="5"/>
  <c r="EY1235" i="5" s="1"/>
  <c r="EX771" i="5"/>
  <c r="EW771" i="5"/>
  <c r="EV771" i="5"/>
  <c r="EU771" i="5"/>
  <c r="ET771" i="5"/>
  <c r="ES771" i="5"/>
  <c r="ER771" i="5"/>
  <c r="EQ771" i="5"/>
  <c r="EP771" i="5"/>
  <c r="EO771" i="5"/>
  <c r="EN771" i="5"/>
  <c r="EM771" i="5"/>
  <c r="EL771" i="5"/>
  <c r="EK771" i="5"/>
  <c r="EJ771" i="5"/>
  <c r="EI771" i="5"/>
  <c r="EH771" i="5"/>
  <c r="EG771" i="5"/>
  <c r="EF771" i="5"/>
  <c r="EE771" i="5"/>
  <c r="ED771" i="5"/>
  <c r="EC771" i="5"/>
  <c r="EB771" i="5"/>
  <c r="EA771" i="5"/>
  <c r="DZ771" i="5"/>
  <c r="DY771" i="5"/>
  <c r="DX771" i="5"/>
  <c r="DW771" i="5"/>
  <c r="DV771" i="5"/>
  <c r="DU771" i="5"/>
  <c r="DT771" i="5"/>
  <c r="DS771" i="5"/>
  <c r="DR771" i="5"/>
  <c r="DQ771" i="5"/>
  <c r="DP771" i="5"/>
  <c r="DO771" i="5"/>
  <c r="DN771" i="5"/>
  <c r="DM771" i="5"/>
  <c r="DL771" i="5"/>
  <c r="DK771" i="5"/>
  <c r="DJ771" i="5"/>
  <c r="DI771" i="5"/>
  <c r="DH771" i="5"/>
  <c r="DG771" i="5"/>
  <c r="DF771" i="5"/>
  <c r="DE771" i="5"/>
  <c r="DD771" i="5"/>
  <c r="DC771" i="5"/>
  <c r="DB771" i="5"/>
  <c r="DA771" i="5"/>
  <c r="CZ771" i="5"/>
  <c r="CY771" i="5"/>
  <c r="CX771" i="5"/>
  <c r="CW771" i="5"/>
  <c r="CV771" i="5"/>
  <c r="CU771" i="5"/>
  <c r="CT771" i="5"/>
  <c r="CS771" i="5"/>
  <c r="CR771" i="5"/>
  <c r="CQ771" i="5"/>
  <c r="CP771" i="5"/>
  <c r="CO771" i="5"/>
  <c r="CN771" i="5"/>
  <c r="CM771" i="5"/>
  <c r="CL771" i="5"/>
  <c r="CK771" i="5"/>
  <c r="CJ771" i="5"/>
  <c r="CI771" i="5"/>
  <c r="CH771" i="5"/>
  <c r="CG771" i="5"/>
  <c r="CF771" i="5"/>
  <c r="CE771" i="5"/>
  <c r="CD771" i="5"/>
  <c r="JA770" i="5"/>
  <c r="IZ770" i="5"/>
  <c r="FV770" i="5"/>
  <c r="FU770" i="5"/>
  <c r="FT770" i="5"/>
  <c r="FS770" i="5"/>
  <c r="FR770" i="5"/>
  <c r="FQ770" i="5"/>
  <c r="FP770" i="5"/>
  <c r="FO770" i="5"/>
  <c r="FN770" i="5"/>
  <c r="FM770" i="5"/>
  <c r="FL770" i="5"/>
  <c r="FK770" i="5"/>
  <c r="FJ770" i="5"/>
  <c r="FI770" i="5"/>
  <c r="FH770" i="5"/>
  <c r="FG770" i="5"/>
  <c r="FF770" i="5"/>
  <c r="FE770" i="5"/>
  <c r="FD770" i="5"/>
  <c r="FC770" i="5"/>
  <c r="FB770" i="5"/>
  <c r="FA770" i="5"/>
  <c r="EZ770" i="5"/>
  <c r="EY770" i="5"/>
  <c r="EX770" i="5"/>
  <c r="EW770" i="5"/>
  <c r="EV770" i="5"/>
  <c r="EU770" i="5"/>
  <c r="ET770" i="5"/>
  <c r="ES770" i="5"/>
  <c r="ER770" i="5"/>
  <c r="EQ770" i="5"/>
  <c r="EP770" i="5"/>
  <c r="EO770" i="5"/>
  <c r="EN770" i="5"/>
  <c r="EM770" i="5"/>
  <c r="EL770" i="5"/>
  <c r="EK770" i="5"/>
  <c r="EJ770" i="5"/>
  <c r="EI770" i="5"/>
  <c r="EH770" i="5"/>
  <c r="EG770" i="5"/>
  <c r="EF770" i="5"/>
  <c r="EE770" i="5"/>
  <c r="ED770" i="5"/>
  <c r="EC770" i="5"/>
  <c r="EB770" i="5"/>
  <c r="EA770" i="5"/>
  <c r="DZ770" i="5"/>
  <c r="DY770" i="5"/>
  <c r="DX770" i="5"/>
  <c r="DW770" i="5"/>
  <c r="DV770" i="5"/>
  <c r="DU770" i="5"/>
  <c r="DT770" i="5"/>
  <c r="DS770" i="5"/>
  <c r="DR770" i="5"/>
  <c r="DQ770" i="5"/>
  <c r="DP770" i="5"/>
  <c r="DO770" i="5"/>
  <c r="DN770" i="5"/>
  <c r="DM770" i="5"/>
  <c r="DL770" i="5"/>
  <c r="DK770" i="5"/>
  <c r="DJ770" i="5"/>
  <c r="DI770" i="5"/>
  <c r="DH770" i="5"/>
  <c r="DG770" i="5"/>
  <c r="DF770" i="5"/>
  <c r="DE770" i="5"/>
  <c r="DD770" i="5"/>
  <c r="DC770" i="5"/>
  <c r="DB770" i="5"/>
  <c r="DA770" i="5"/>
  <c r="CZ770" i="5"/>
  <c r="CY770" i="5"/>
  <c r="CX770" i="5"/>
  <c r="CW770" i="5"/>
  <c r="CV770" i="5"/>
  <c r="CU770" i="5"/>
  <c r="CT770" i="5"/>
  <c r="CS770" i="5"/>
  <c r="CR770" i="5"/>
  <c r="CQ770" i="5"/>
  <c r="CP770" i="5"/>
  <c r="CO770" i="5"/>
  <c r="CN770" i="5"/>
  <c r="CM770" i="5"/>
  <c r="CL770" i="5"/>
  <c r="CK770" i="5"/>
  <c r="CJ770" i="5"/>
  <c r="CI770" i="5"/>
  <c r="CH770" i="5"/>
  <c r="CG770" i="5"/>
  <c r="CF770" i="5"/>
  <c r="CE770" i="5"/>
  <c r="JA769" i="5"/>
  <c r="IZ769" i="5"/>
  <c r="FV769" i="5"/>
  <c r="FU769" i="5"/>
  <c r="FT769" i="5"/>
  <c r="FS769" i="5"/>
  <c r="FR769" i="5"/>
  <c r="FQ769" i="5"/>
  <c r="FP769" i="5"/>
  <c r="FO769" i="5"/>
  <c r="FN769" i="5"/>
  <c r="FM769" i="5"/>
  <c r="FL769" i="5"/>
  <c r="FK769" i="5"/>
  <c r="FJ769" i="5"/>
  <c r="FI769" i="5"/>
  <c r="FH769" i="5"/>
  <c r="FG769" i="5"/>
  <c r="FF769" i="5"/>
  <c r="FE769" i="5"/>
  <c r="FD769" i="5"/>
  <c r="FC769" i="5"/>
  <c r="FB769" i="5"/>
  <c r="FA769" i="5"/>
  <c r="EZ769" i="5"/>
  <c r="EY769" i="5"/>
  <c r="EX769" i="5"/>
  <c r="EW769" i="5"/>
  <c r="EV769" i="5"/>
  <c r="EU769" i="5"/>
  <c r="ET769" i="5"/>
  <c r="ES769" i="5"/>
  <c r="ER769" i="5"/>
  <c r="EQ769" i="5"/>
  <c r="EP769" i="5"/>
  <c r="EO769" i="5"/>
  <c r="EN769" i="5"/>
  <c r="EM769" i="5"/>
  <c r="EL769" i="5"/>
  <c r="EK769" i="5"/>
  <c r="EJ769" i="5"/>
  <c r="EI769" i="5"/>
  <c r="EH769" i="5"/>
  <c r="EG769" i="5"/>
  <c r="EF769" i="5"/>
  <c r="EE769" i="5"/>
  <c r="ED769" i="5"/>
  <c r="EC769" i="5"/>
  <c r="EB769" i="5"/>
  <c r="EA769" i="5"/>
  <c r="DZ769" i="5"/>
  <c r="DY769" i="5"/>
  <c r="DX769" i="5"/>
  <c r="DW769" i="5"/>
  <c r="DV769" i="5"/>
  <c r="DU769" i="5"/>
  <c r="DT769" i="5"/>
  <c r="DS769" i="5"/>
  <c r="DR769" i="5"/>
  <c r="DQ769" i="5"/>
  <c r="DP769" i="5"/>
  <c r="DO769" i="5"/>
  <c r="DN769" i="5"/>
  <c r="DM769" i="5"/>
  <c r="DL769" i="5"/>
  <c r="DK769" i="5"/>
  <c r="DJ769" i="5"/>
  <c r="DI769" i="5"/>
  <c r="DH769" i="5"/>
  <c r="DG769" i="5"/>
  <c r="DF769" i="5"/>
  <c r="DE769" i="5"/>
  <c r="DD769" i="5"/>
  <c r="DC769" i="5"/>
  <c r="DB769" i="5"/>
  <c r="DA769" i="5"/>
  <c r="CZ769" i="5"/>
  <c r="CY769" i="5"/>
  <c r="CX769" i="5"/>
  <c r="CW769" i="5"/>
  <c r="CV769" i="5"/>
  <c r="CU769" i="5"/>
  <c r="CT769" i="5"/>
  <c r="CS769" i="5"/>
  <c r="CR769" i="5"/>
  <c r="CQ769" i="5"/>
  <c r="CP769" i="5"/>
  <c r="CO769" i="5"/>
  <c r="CN769" i="5"/>
  <c r="CM769" i="5"/>
  <c r="CL769" i="5"/>
  <c r="CK769" i="5"/>
  <c r="CJ769" i="5"/>
  <c r="CI769" i="5"/>
  <c r="CH769" i="5"/>
  <c r="CG769" i="5"/>
  <c r="CF769" i="5"/>
  <c r="CE769" i="5"/>
  <c r="JA768" i="5"/>
  <c r="IZ768" i="5"/>
  <c r="FV768" i="5"/>
  <c r="FU768" i="5"/>
  <c r="FT768" i="5"/>
  <c r="FS768" i="5"/>
  <c r="FR768" i="5"/>
  <c r="FQ768" i="5"/>
  <c r="FP768" i="5"/>
  <c r="FO768" i="5"/>
  <c r="FN768" i="5"/>
  <c r="FM768" i="5"/>
  <c r="FL768" i="5"/>
  <c r="FK768" i="5"/>
  <c r="FJ768" i="5"/>
  <c r="FI768" i="5"/>
  <c r="FH768" i="5"/>
  <c r="FG768" i="5"/>
  <c r="FF768" i="5"/>
  <c r="FE768" i="5"/>
  <c r="FD768" i="5"/>
  <c r="FC768" i="5"/>
  <c r="FB768" i="5"/>
  <c r="FA768" i="5"/>
  <c r="EZ768" i="5"/>
  <c r="EY768" i="5"/>
  <c r="EX768" i="5"/>
  <c r="EW768" i="5"/>
  <c r="EV768" i="5"/>
  <c r="EU768" i="5"/>
  <c r="ET768" i="5"/>
  <c r="ES768" i="5"/>
  <c r="ER768" i="5"/>
  <c r="EQ768" i="5"/>
  <c r="EP768" i="5"/>
  <c r="EO768" i="5"/>
  <c r="EN768" i="5"/>
  <c r="EM768" i="5"/>
  <c r="EL768" i="5"/>
  <c r="EK768" i="5"/>
  <c r="EJ768" i="5"/>
  <c r="EI768" i="5"/>
  <c r="EH768" i="5"/>
  <c r="EG768" i="5"/>
  <c r="EF768" i="5"/>
  <c r="EE768" i="5"/>
  <c r="ED768" i="5"/>
  <c r="EC768" i="5"/>
  <c r="EB768" i="5"/>
  <c r="EA768" i="5"/>
  <c r="DZ768" i="5"/>
  <c r="DY768" i="5"/>
  <c r="DX768" i="5"/>
  <c r="DW768" i="5"/>
  <c r="DV768" i="5"/>
  <c r="DU768" i="5"/>
  <c r="DT768" i="5"/>
  <c r="DS768" i="5"/>
  <c r="DR768" i="5"/>
  <c r="DQ768" i="5"/>
  <c r="DP768" i="5"/>
  <c r="DO768" i="5"/>
  <c r="DN768" i="5"/>
  <c r="DM768" i="5"/>
  <c r="DL768" i="5"/>
  <c r="DK768" i="5"/>
  <c r="DJ768" i="5"/>
  <c r="DI768" i="5"/>
  <c r="DH768" i="5"/>
  <c r="DG768" i="5"/>
  <c r="DF768" i="5"/>
  <c r="DE768" i="5"/>
  <c r="DD768" i="5"/>
  <c r="DC768" i="5"/>
  <c r="DB768" i="5"/>
  <c r="DA768" i="5"/>
  <c r="CZ768" i="5"/>
  <c r="CY768" i="5"/>
  <c r="CX768" i="5"/>
  <c r="CW768" i="5"/>
  <c r="CV768" i="5"/>
  <c r="CU768" i="5"/>
  <c r="CT768" i="5"/>
  <c r="CS768" i="5"/>
  <c r="CR768" i="5"/>
  <c r="CQ768" i="5"/>
  <c r="CP768" i="5"/>
  <c r="CO768" i="5"/>
  <c r="CN768" i="5"/>
  <c r="CM768" i="5"/>
  <c r="CL768" i="5"/>
  <c r="CK768" i="5"/>
  <c r="CJ768" i="5"/>
  <c r="CI768" i="5"/>
  <c r="CH768" i="5"/>
  <c r="CG768" i="5"/>
  <c r="CF768" i="5"/>
  <c r="CE768" i="5"/>
  <c r="JA767" i="5"/>
  <c r="IZ767" i="5"/>
  <c r="FV767" i="5"/>
  <c r="FU767" i="5"/>
  <c r="FT767" i="5"/>
  <c r="FS767" i="5"/>
  <c r="FR767" i="5"/>
  <c r="FQ767" i="5"/>
  <c r="FP767" i="5"/>
  <c r="FO767" i="5"/>
  <c r="FN767" i="5"/>
  <c r="FM767" i="5"/>
  <c r="FL767" i="5"/>
  <c r="FK767" i="5"/>
  <c r="FJ767" i="5"/>
  <c r="FI767" i="5"/>
  <c r="FH767" i="5"/>
  <c r="FG767" i="5"/>
  <c r="FF767" i="5"/>
  <c r="FE767" i="5"/>
  <c r="FD767" i="5"/>
  <c r="FC767" i="5"/>
  <c r="FB767" i="5"/>
  <c r="FA767" i="5"/>
  <c r="EZ767" i="5"/>
  <c r="EY767" i="5"/>
  <c r="EX767" i="5"/>
  <c r="EW767" i="5"/>
  <c r="EV767" i="5"/>
  <c r="EU767" i="5"/>
  <c r="ET767" i="5"/>
  <c r="ES767" i="5"/>
  <c r="ER767" i="5"/>
  <c r="EQ767" i="5"/>
  <c r="EP767" i="5"/>
  <c r="EO767" i="5"/>
  <c r="EN767" i="5"/>
  <c r="EM767" i="5"/>
  <c r="EL767" i="5"/>
  <c r="EK767" i="5"/>
  <c r="EJ767" i="5"/>
  <c r="EI767" i="5"/>
  <c r="EH767" i="5"/>
  <c r="EG767" i="5"/>
  <c r="EF767" i="5"/>
  <c r="EE767" i="5"/>
  <c r="ED767" i="5"/>
  <c r="EC767" i="5"/>
  <c r="EB767" i="5"/>
  <c r="EA767" i="5"/>
  <c r="DZ767" i="5"/>
  <c r="DY767" i="5"/>
  <c r="DX767" i="5"/>
  <c r="DW767" i="5"/>
  <c r="DV767" i="5"/>
  <c r="DU767" i="5"/>
  <c r="DT767" i="5"/>
  <c r="DS767" i="5"/>
  <c r="DR767" i="5"/>
  <c r="DQ767" i="5"/>
  <c r="DP767" i="5"/>
  <c r="DO767" i="5"/>
  <c r="DN767" i="5"/>
  <c r="DM767" i="5"/>
  <c r="DL767" i="5"/>
  <c r="DK767" i="5"/>
  <c r="DJ767" i="5"/>
  <c r="DI767" i="5"/>
  <c r="DH767" i="5"/>
  <c r="DG767" i="5"/>
  <c r="DF767" i="5"/>
  <c r="DE767" i="5"/>
  <c r="DD767" i="5"/>
  <c r="DC767" i="5"/>
  <c r="DB767" i="5"/>
  <c r="DA767" i="5"/>
  <c r="CZ767" i="5"/>
  <c r="CY767" i="5"/>
  <c r="CX767" i="5"/>
  <c r="CW767" i="5"/>
  <c r="CV767" i="5"/>
  <c r="CU767" i="5"/>
  <c r="CT767" i="5"/>
  <c r="CS767" i="5"/>
  <c r="CR767" i="5"/>
  <c r="CQ767" i="5"/>
  <c r="CP767" i="5"/>
  <c r="CO767" i="5"/>
  <c r="CN767" i="5"/>
  <c r="CM767" i="5"/>
  <c r="CL767" i="5"/>
  <c r="CK767" i="5"/>
  <c r="CJ767" i="5"/>
  <c r="CI767" i="5"/>
  <c r="CH767" i="5"/>
  <c r="CG767" i="5"/>
  <c r="CF767" i="5"/>
  <c r="CE767" i="5"/>
  <c r="JA766" i="5"/>
  <c r="IZ766" i="5"/>
  <c r="IX766" i="5"/>
  <c r="IY766" i="5" s="1"/>
  <c r="AF1072" i="2" s="1"/>
  <c r="JA765" i="5"/>
  <c r="IZ765" i="5"/>
  <c r="FV765" i="5"/>
  <c r="FU765" i="5"/>
  <c r="FT765" i="5"/>
  <c r="FS765" i="5"/>
  <c r="FR765" i="5"/>
  <c r="FQ765" i="5"/>
  <c r="FP765" i="5"/>
  <c r="FO765" i="5"/>
  <c r="FN765" i="5"/>
  <c r="FM765" i="5"/>
  <c r="FL765" i="5"/>
  <c r="FK765" i="5"/>
  <c r="FJ765" i="5"/>
  <c r="FI765" i="5"/>
  <c r="FH765" i="5"/>
  <c r="FG765" i="5"/>
  <c r="FF765" i="5"/>
  <c r="FE765" i="5"/>
  <c r="FD765" i="5"/>
  <c r="FC765" i="5"/>
  <c r="FB765" i="5"/>
  <c r="FA765" i="5"/>
  <c r="EZ765" i="5"/>
  <c r="EY765" i="5"/>
  <c r="EX765" i="5"/>
  <c r="EW765" i="5"/>
  <c r="EV765" i="5"/>
  <c r="EU765" i="5"/>
  <c r="ET765" i="5"/>
  <c r="ES765" i="5"/>
  <c r="ER765" i="5"/>
  <c r="EQ765" i="5"/>
  <c r="EP765" i="5"/>
  <c r="EO765" i="5"/>
  <c r="EN765" i="5"/>
  <c r="EM765" i="5"/>
  <c r="EL765" i="5"/>
  <c r="EK765" i="5"/>
  <c r="EJ765" i="5"/>
  <c r="EI765" i="5"/>
  <c r="EH765" i="5"/>
  <c r="EG765" i="5"/>
  <c r="EF765" i="5"/>
  <c r="EE765" i="5"/>
  <c r="ED765" i="5"/>
  <c r="EC765" i="5"/>
  <c r="EB765" i="5"/>
  <c r="EA765" i="5"/>
  <c r="DZ765" i="5"/>
  <c r="DY765" i="5"/>
  <c r="DX765" i="5"/>
  <c r="DW765" i="5"/>
  <c r="DV765" i="5"/>
  <c r="DU765" i="5"/>
  <c r="DT765" i="5"/>
  <c r="DS765" i="5"/>
  <c r="DR765" i="5"/>
  <c r="DQ765" i="5"/>
  <c r="DP765" i="5"/>
  <c r="DO765" i="5"/>
  <c r="DN765" i="5"/>
  <c r="DM765" i="5"/>
  <c r="DL765" i="5"/>
  <c r="DK765" i="5"/>
  <c r="DJ765" i="5"/>
  <c r="DI765" i="5"/>
  <c r="DH765" i="5"/>
  <c r="DG765" i="5"/>
  <c r="DF765" i="5"/>
  <c r="DE765" i="5"/>
  <c r="DD765" i="5"/>
  <c r="DC765" i="5"/>
  <c r="DB765" i="5"/>
  <c r="DA765" i="5"/>
  <c r="CZ765" i="5"/>
  <c r="CY765" i="5"/>
  <c r="CX765" i="5"/>
  <c r="CW765" i="5"/>
  <c r="CV765" i="5"/>
  <c r="CU765" i="5"/>
  <c r="CT765" i="5"/>
  <c r="CS765" i="5"/>
  <c r="CR765" i="5"/>
  <c r="CQ765" i="5"/>
  <c r="CP765" i="5"/>
  <c r="CO765" i="5"/>
  <c r="CN765" i="5"/>
  <c r="CM765" i="5"/>
  <c r="CL765" i="5"/>
  <c r="CK765" i="5"/>
  <c r="CJ765" i="5"/>
  <c r="CI765" i="5"/>
  <c r="CH765" i="5"/>
  <c r="CG765" i="5"/>
  <c r="CF765" i="5"/>
  <c r="CE765" i="5"/>
  <c r="JA764" i="5"/>
  <c r="IZ764" i="5"/>
  <c r="FV764" i="5"/>
  <c r="FU764" i="5"/>
  <c r="FT764" i="5"/>
  <c r="FS764" i="5"/>
  <c r="FR764" i="5"/>
  <c r="FQ764" i="5"/>
  <c r="FP764" i="5"/>
  <c r="FO764" i="5"/>
  <c r="FN764" i="5"/>
  <c r="FM764" i="5"/>
  <c r="FL764" i="5"/>
  <c r="FK764" i="5"/>
  <c r="FJ764" i="5"/>
  <c r="FI764" i="5"/>
  <c r="FH764" i="5"/>
  <c r="FG764" i="5"/>
  <c r="FF764" i="5"/>
  <c r="FE764" i="5"/>
  <c r="FD764" i="5"/>
  <c r="FC764" i="5"/>
  <c r="FB764" i="5"/>
  <c r="FA764" i="5"/>
  <c r="EZ764" i="5"/>
  <c r="EY764" i="5"/>
  <c r="EX764" i="5"/>
  <c r="EW764" i="5"/>
  <c r="EV764" i="5"/>
  <c r="EU764" i="5"/>
  <c r="ET764" i="5"/>
  <c r="ES764" i="5"/>
  <c r="ER764" i="5"/>
  <c r="EQ764" i="5"/>
  <c r="EP764" i="5"/>
  <c r="EO764" i="5"/>
  <c r="EN764" i="5"/>
  <c r="EM764" i="5"/>
  <c r="EL764" i="5"/>
  <c r="EK764" i="5"/>
  <c r="EJ764" i="5"/>
  <c r="EI764" i="5"/>
  <c r="EH764" i="5"/>
  <c r="EG764" i="5"/>
  <c r="EF764" i="5"/>
  <c r="EE764" i="5"/>
  <c r="ED764" i="5"/>
  <c r="EC764" i="5"/>
  <c r="EB764" i="5"/>
  <c r="EA764" i="5"/>
  <c r="DZ764" i="5"/>
  <c r="DY764" i="5"/>
  <c r="DX764" i="5"/>
  <c r="DW764" i="5"/>
  <c r="DV764" i="5"/>
  <c r="DU764" i="5"/>
  <c r="DT764" i="5"/>
  <c r="DS764" i="5"/>
  <c r="DR764" i="5"/>
  <c r="DQ764" i="5"/>
  <c r="DP764" i="5"/>
  <c r="DO764" i="5"/>
  <c r="DN764" i="5"/>
  <c r="DM764" i="5"/>
  <c r="DL764" i="5"/>
  <c r="DK764" i="5"/>
  <c r="DJ764" i="5"/>
  <c r="DI764" i="5"/>
  <c r="DH764" i="5"/>
  <c r="DG764" i="5"/>
  <c r="DF764" i="5"/>
  <c r="DE764" i="5"/>
  <c r="DD764" i="5"/>
  <c r="DC764" i="5"/>
  <c r="DB764" i="5"/>
  <c r="DA764" i="5"/>
  <c r="CZ764" i="5"/>
  <c r="CY764" i="5"/>
  <c r="CX764" i="5"/>
  <c r="CW764" i="5"/>
  <c r="CV764" i="5"/>
  <c r="CU764" i="5"/>
  <c r="CT764" i="5"/>
  <c r="CS764" i="5"/>
  <c r="CR764" i="5"/>
  <c r="CQ764" i="5"/>
  <c r="CP764" i="5"/>
  <c r="CO764" i="5"/>
  <c r="CN764" i="5"/>
  <c r="CM764" i="5"/>
  <c r="CL764" i="5"/>
  <c r="CK764" i="5"/>
  <c r="CJ764" i="5"/>
  <c r="CI764" i="5"/>
  <c r="CH764" i="5"/>
  <c r="CG764" i="5"/>
  <c r="CF764" i="5"/>
  <c r="CE764" i="5"/>
  <c r="CD764" i="5"/>
  <c r="JO763" i="5"/>
  <c r="JA763" i="5"/>
  <c r="IZ763" i="5"/>
  <c r="FV763" i="5"/>
  <c r="FU763" i="5"/>
  <c r="FT763" i="5"/>
  <c r="FS763" i="5"/>
  <c r="FR763" i="5"/>
  <c r="FQ763" i="5"/>
  <c r="FP763" i="5"/>
  <c r="FO763" i="5"/>
  <c r="FN763" i="5"/>
  <c r="FM763" i="5"/>
  <c r="FL763" i="5"/>
  <c r="FK763" i="5"/>
  <c r="FJ763" i="5"/>
  <c r="FI763" i="5"/>
  <c r="FH763" i="5"/>
  <c r="FG763" i="5"/>
  <c r="FF763" i="5"/>
  <c r="FE763" i="5"/>
  <c r="FD763" i="5"/>
  <c r="FC763" i="5"/>
  <c r="FB763" i="5"/>
  <c r="FA763" i="5"/>
  <c r="EZ763" i="5"/>
  <c r="EY763" i="5"/>
  <c r="EX763" i="5"/>
  <c r="EW763" i="5"/>
  <c r="EV763" i="5"/>
  <c r="EU763" i="5"/>
  <c r="ET763" i="5"/>
  <c r="ES763" i="5"/>
  <c r="ER763" i="5"/>
  <c r="EQ763" i="5"/>
  <c r="EP763" i="5"/>
  <c r="EO763" i="5"/>
  <c r="EN763" i="5"/>
  <c r="EM763" i="5"/>
  <c r="EL763" i="5"/>
  <c r="EK763" i="5"/>
  <c r="EJ763" i="5"/>
  <c r="EI763" i="5"/>
  <c r="EH763" i="5"/>
  <c r="EG763" i="5"/>
  <c r="EF763" i="5"/>
  <c r="EE763" i="5"/>
  <c r="ED763" i="5"/>
  <c r="EC763" i="5"/>
  <c r="EB763" i="5"/>
  <c r="EA763" i="5"/>
  <c r="DZ763" i="5"/>
  <c r="DY763" i="5"/>
  <c r="DX763" i="5"/>
  <c r="DW763" i="5"/>
  <c r="DV763" i="5"/>
  <c r="DU763" i="5"/>
  <c r="DT763" i="5"/>
  <c r="DS763" i="5"/>
  <c r="DR763" i="5"/>
  <c r="DQ763" i="5"/>
  <c r="DP763" i="5"/>
  <c r="DO763" i="5"/>
  <c r="DN763" i="5"/>
  <c r="DM763" i="5"/>
  <c r="DL763" i="5"/>
  <c r="DK763" i="5"/>
  <c r="DJ763" i="5"/>
  <c r="DI763" i="5"/>
  <c r="DH763" i="5"/>
  <c r="DG763" i="5"/>
  <c r="DF763" i="5"/>
  <c r="DE763" i="5"/>
  <c r="DD763" i="5"/>
  <c r="DC763" i="5"/>
  <c r="DB763" i="5"/>
  <c r="DA763" i="5"/>
  <c r="CZ763" i="5"/>
  <c r="CY763" i="5"/>
  <c r="CX763" i="5"/>
  <c r="CW763" i="5"/>
  <c r="CV763" i="5"/>
  <c r="CU763" i="5"/>
  <c r="CT763" i="5"/>
  <c r="CS763" i="5"/>
  <c r="CR763" i="5"/>
  <c r="CQ763" i="5"/>
  <c r="CP763" i="5"/>
  <c r="CO763" i="5"/>
  <c r="CN763" i="5"/>
  <c r="CM763" i="5"/>
  <c r="CL763" i="5"/>
  <c r="CK763" i="5"/>
  <c r="CJ763" i="5"/>
  <c r="CI763" i="5"/>
  <c r="CH763" i="5"/>
  <c r="CG763" i="5"/>
  <c r="CF763" i="5"/>
  <c r="CE763" i="5"/>
  <c r="CD763" i="5"/>
  <c r="JA762" i="5"/>
  <c r="IZ762" i="5"/>
  <c r="FV762" i="5"/>
  <c r="FU762" i="5"/>
  <c r="FT762" i="5"/>
  <c r="FS762" i="5"/>
  <c r="FR762" i="5"/>
  <c r="FQ762" i="5"/>
  <c r="FP762" i="5"/>
  <c r="FO762" i="5"/>
  <c r="FN762" i="5"/>
  <c r="FM762" i="5"/>
  <c r="FL762" i="5"/>
  <c r="FK762" i="5"/>
  <c r="FJ762" i="5"/>
  <c r="FI762" i="5"/>
  <c r="FH762" i="5"/>
  <c r="FG762" i="5"/>
  <c r="FF762" i="5"/>
  <c r="FE762" i="5"/>
  <c r="FD762" i="5"/>
  <c r="FC762" i="5"/>
  <c r="FB762" i="5"/>
  <c r="FA762" i="5"/>
  <c r="EZ762" i="5"/>
  <c r="EY762" i="5"/>
  <c r="EX762" i="5"/>
  <c r="EW762" i="5"/>
  <c r="EV762" i="5"/>
  <c r="EU762" i="5"/>
  <c r="ET762" i="5"/>
  <c r="ES762" i="5"/>
  <c r="ER762" i="5"/>
  <c r="EQ762" i="5"/>
  <c r="EP762" i="5"/>
  <c r="EO762" i="5"/>
  <c r="EN762" i="5"/>
  <c r="EM762" i="5"/>
  <c r="EL762" i="5"/>
  <c r="EK762" i="5"/>
  <c r="EJ762" i="5"/>
  <c r="EI762" i="5"/>
  <c r="EH762" i="5"/>
  <c r="EG762" i="5"/>
  <c r="EF762" i="5"/>
  <c r="EE762" i="5"/>
  <c r="ED762" i="5"/>
  <c r="EC762" i="5"/>
  <c r="EB762" i="5"/>
  <c r="EA762" i="5"/>
  <c r="DZ762" i="5"/>
  <c r="DY762" i="5"/>
  <c r="DX762" i="5"/>
  <c r="DW762" i="5"/>
  <c r="DV762" i="5"/>
  <c r="DU762" i="5"/>
  <c r="DT762" i="5"/>
  <c r="DS762" i="5"/>
  <c r="DR762" i="5"/>
  <c r="DQ762" i="5"/>
  <c r="DP762" i="5"/>
  <c r="DO762" i="5"/>
  <c r="DN762" i="5"/>
  <c r="DM762" i="5"/>
  <c r="DL762" i="5"/>
  <c r="DK762" i="5"/>
  <c r="DJ762" i="5"/>
  <c r="DI762" i="5"/>
  <c r="DH762" i="5"/>
  <c r="DG762" i="5"/>
  <c r="DF762" i="5"/>
  <c r="DE762" i="5"/>
  <c r="DD762" i="5"/>
  <c r="DC762" i="5"/>
  <c r="DB762" i="5"/>
  <c r="DA762" i="5"/>
  <c r="CZ762" i="5"/>
  <c r="CY762" i="5"/>
  <c r="CX762" i="5"/>
  <c r="CW762" i="5"/>
  <c r="CV762" i="5"/>
  <c r="CU762" i="5"/>
  <c r="CT762" i="5"/>
  <c r="CS762" i="5"/>
  <c r="CR762" i="5"/>
  <c r="CQ762" i="5"/>
  <c r="CP762" i="5"/>
  <c r="CO762" i="5"/>
  <c r="CN762" i="5"/>
  <c r="CM762" i="5"/>
  <c r="CL762" i="5"/>
  <c r="CK762" i="5"/>
  <c r="CJ762" i="5"/>
  <c r="CI762" i="5"/>
  <c r="CH762" i="5"/>
  <c r="CG762" i="5"/>
  <c r="CF762" i="5"/>
  <c r="CE762" i="5"/>
  <c r="JA761" i="5"/>
  <c r="IZ761" i="5"/>
  <c r="FV761" i="5"/>
  <c r="FU761" i="5"/>
  <c r="FT761" i="5"/>
  <c r="FS761" i="5"/>
  <c r="FR761" i="5"/>
  <c r="FQ761" i="5"/>
  <c r="FP761" i="5"/>
  <c r="FO761" i="5"/>
  <c r="FN761" i="5"/>
  <c r="FM761" i="5"/>
  <c r="FL761" i="5"/>
  <c r="FK761" i="5"/>
  <c r="FJ761" i="5"/>
  <c r="FI761" i="5"/>
  <c r="FH761" i="5"/>
  <c r="FG761" i="5"/>
  <c r="FF761" i="5"/>
  <c r="FE761" i="5"/>
  <c r="FD761" i="5"/>
  <c r="FC761" i="5"/>
  <c r="FB761" i="5"/>
  <c r="FA761" i="5"/>
  <c r="EZ761" i="5"/>
  <c r="EY761" i="5"/>
  <c r="EX761" i="5"/>
  <c r="EW761" i="5"/>
  <c r="EV761" i="5"/>
  <c r="EU761" i="5"/>
  <c r="ET761" i="5"/>
  <c r="ES761" i="5"/>
  <c r="ER761" i="5"/>
  <c r="EQ761" i="5"/>
  <c r="EP761" i="5"/>
  <c r="EO761" i="5"/>
  <c r="EN761" i="5"/>
  <c r="EM761" i="5"/>
  <c r="EL761" i="5"/>
  <c r="EK761" i="5"/>
  <c r="EJ761" i="5"/>
  <c r="EI761" i="5"/>
  <c r="EH761" i="5"/>
  <c r="EG761" i="5"/>
  <c r="EF761" i="5"/>
  <c r="EE761" i="5"/>
  <c r="ED761" i="5"/>
  <c r="EC761" i="5"/>
  <c r="EB761" i="5"/>
  <c r="EA761" i="5"/>
  <c r="DZ761" i="5"/>
  <c r="DY761" i="5"/>
  <c r="DX761" i="5"/>
  <c r="DW761" i="5"/>
  <c r="DV761" i="5"/>
  <c r="DU761" i="5"/>
  <c r="DT761" i="5"/>
  <c r="DS761" i="5"/>
  <c r="DR761" i="5"/>
  <c r="DQ761" i="5"/>
  <c r="DP761" i="5"/>
  <c r="DO761" i="5"/>
  <c r="DN761" i="5"/>
  <c r="DM761" i="5"/>
  <c r="DL761" i="5"/>
  <c r="DK761" i="5"/>
  <c r="DJ761" i="5"/>
  <c r="DI761" i="5"/>
  <c r="DH761" i="5"/>
  <c r="DG761" i="5"/>
  <c r="DF761" i="5"/>
  <c r="DE761" i="5"/>
  <c r="DD761" i="5"/>
  <c r="DC761" i="5"/>
  <c r="DB761" i="5"/>
  <c r="DA761" i="5"/>
  <c r="CZ761" i="5"/>
  <c r="CY761" i="5"/>
  <c r="CX761" i="5"/>
  <c r="CW761" i="5"/>
  <c r="CV761" i="5"/>
  <c r="CU761" i="5"/>
  <c r="CT761" i="5"/>
  <c r="CS761" i="5"/>
  <c r="CR761" i="5"/>
  <c r="CQ761" i="5"/>
  <c r="CP761" i="5"/>
  <c r="CO761" i="5"/>
  <c r="CN761" i="5"/>
  <c r="CM761" i="5"/>
  <c r="CL761" i="5"/>
  <c r="CK761" i="5"/>
  <c r="CJ761" i="5"/>
  <c r="CI761" i="5"/>
  <c r="CH761" i="5"/>
  <c r="CG761" i="5"/>
  <c r="CF761" i="5"/>
  <c r="CE761" i="5"/>
  <c r="JA760" i="5"/>
  <c r="IZ760" i="5"/>
  <c r="IX760" i="5"/>
  <c r="IW760" i="5"/>
  <c r="JA757" i="5"/>
  <c r="IZ757" i="5"/>
  <c r="FK757" i="5"/>
  <c r="FJ757" i="5"/>
  <c r="FI757" i="5"/>
  <c r="FH757" i="5"/>
  <c r="FG757" i="5"/>
  <c r="FF757" i="5"/>
  <c r="FE757" i="5"/>
  <c r="FD757" i="5"/>
  <c r="FC757" i="5"/>
  <c r="FB757" i="5"/>
  <c r="FA757" i="5"/>
  <c r="EZ757" i="5"/>
  <c r="EY757" i="5"/>
  <c r="EX757" i="5"/>
  <c r="EW757" i="5"/>
  <c r="EV757" i="5"/>
  <c r="EU757" i="5"/>
  <c r="ET757" i="5"/>
  <c r="ES757" i="5"/>
  <c r="ER757" i="5"/>
  <c r="EQ757" i="5"/>
  <c r="EP757" i="5"/>
  <c r="EO757" i="5"/>
  <c r="EN757" i="5"/>
  <c r="EM757" i="5"/>
  <c r="EL757" i="5"/>
  <c r="EK757" i="5"/>
  <c r="EJ757" i="5"/>
  <c r="EI757" i="5"/>
  <c r="EH757" i="5"/>
  <c r="EG757" i="5"/>
  <c r="EF757" i="5"/>
  <c r="EE757" i="5"/>
  <c r="ED757" i="5"/>
  <c r="EC757" i="5"/>
  <c r="EB757" i="5"/>
  <c r="EA757" i="5"/>
  <c r="DZ757" i="5"/>
  <c r="DY757" i="5"/>
  <c r="DX757" i="5"/>
  <c r="DW757" i="5"/>
  <c r="DV757" i="5"/>
  <c r="DU757" i="5"/>
  <c r="DT757" i="5"/>
  <c r="DS757" i="5"/>
  <c r="DR757" i="5"/>
  <c r="DQ757" i="5"/>
  <c r="DP757" i="5"/>
  <c r="DO757" i="5"/>
  <c r="DN757" i="5"/>
  <c r="DM757" i="5"/>
  <c r="DL757" i="5"/>
  <c r="DK757" i="5"/>
  <c r="DJ757" i="5"/>
  <c r="DI757" i="5"/>
  <c r="DH757" i="5"/>
  <c r="DG757" i="5"/>
  <c r="DF757" i="5"/>
  <c r="DE757" i="5"/>
  <c r="DD757" i="5"/>
  <c r="DB757" i="5"/>
  <c r="DA757" i="5"/>
  <c r="CZ757" i="5"/>
  <c r="CY757" i="5"/>
  <c r="CX757" i="5"/>
  <c r="CW757" i="5"/>
  <c r="CV757" i="5"/>
  <c r="CU757" i="5"/>
  <c r="CT757" i="5"/>
  <c r="CS757" i="5"/>
  <c r="CR757" i="5"/>
  <c r="CQ757" i="5"/>
  <c r="CP757" i="5"/>
  <c r="CO757" i="5"/>
  <c r="CN757" i="5"/>
  <c r="CM757" i="5"/>
  <c r="CL757" i="5"/>
  <c r="CK757" i="5"/>
  <c r="CJ757" i="5"/>
  <c r="CI757" i="5"/>
  <c r="CH757" i="5"/>
  <c r="CG757" i="5"/>
  <c r="CF757" i="5"/>
  <c r="CE757" i="5"/>
  <c r="JA756" i="5"/>
  <c r="IZ756" i="5"/>
  <c r="FV756" i="5"/>
  <c r="FU756" i="5"/>
  <c r="FT756" i="5"/>
  <c r="FS756" i="5"/>
  <c r="FR756" i="5"/>
  <c r="FQ756" i="5"/>
  <c r="FP756" i="5"/>
  <c r="FO756" i="5"/>
  <c r="FN756" i="5"/>
  <c r="FM756" i="5"/>
  <c r="FL756" i="5"/>
  <c r="FK756" i="5"/>
  <c r="FJ756" i="5"/>
  <c r="FI756" i="5"/>
  <c r="FH756" i="5"/>
  <c r="FG756" i="5"/>
  <c r="FF756" i="5"/>
  <c r="FE756" i="5"/>
  <c r="FD756" i="5"/>
  <c r="FC756" i="5"/>
  <c r="FB756" i="5"/>
  <c r="FA756" i="5"/>
  <c r="EZ756" i="5"/>
  <c r="EY756" i="5"/>
  <c r="EX756" i="5"/>
  <c r="EW756" i="5"/>
  <c r="EV756" i="5"/>
  <c r="EU756" i="5"/>
  <c r="ET756" i="5"/>
  <c r="ES756" i="5"/>
  <c r="ER756" i="5"/>
  <c r="EQ756" i="5"/>
  <c r="EP756" i="5"/>
  <c r="EO756" i="5"/>
  <c r="EN756" i="5"/>
  <c r="EM756" i="5"/>
  <c r="EL756" i="5"/>
  <c r="EK756" i="5"/>
  <c r="EJ756" i="5"/>
  <c r="EI756" i="5"/>
  <c r="EH756" i="5"/>
  <c r="EG756" i="5"/>
  <c r="EF756" i="5"/>
  <c r="EE756" i="5"/>
  <c r="ED756" i="5"/>
  <c r="EC756" i="5"/>
  <c r="EB756" i="5"/>
  <c r="EA756" i="5"/>
  <c r="DZ756" i="5"/>
  <c r="DY756" i="5"/>
  <c r="DX756" i="5"/>
  <c r="DW756" i="5"/>
  <c r="DV756" i="5"/>
  <c r="DU756" i="5"/>
  <c r="DT756" i="5"/>
  <c r="DS756" i="5"/>
  <c r="DR756" i="5"/>
  <c r="DQ756" i="5"/>
  <c r="DP756" i="5"/>
  <c r="DO756" i="5"/>
  <c r="DN756" i="5"/>
  <c r="DM756" i="5"/>
  <c r="DL756" i="5"/>
  <c r="DK756" i="5"/>
  <c r="DJ756" i="5"/>
  <c r="DI756" i="5"/>
  <c r="DH756" i="5"/>
  <c r="DG756" i="5"/>
  <c r="DF756" i="5"/>
  <c r="DE756" i="5"/>
  <c r="DD756" i="5"/>
  <c r="DB756" i="5"/>
  <c r="DA756" i="5"/>
  <c r="CZ756" i="5"/>
  <c r="CY756" i="5"/>
  <c r="CX756" i="5"/>
  <c r="CW756" i="5"/>
  <c r="CV756" i="5"/>
  <c r="CU756" i="5"/>
  <c r="CT756" i="5"/>
  <c r="CS756" i="5"/>
  <c r="CR756" i="5"/>
  <c r="CQ756" i="5"/>
  <c r="CP756" i="5"/>
  <c r="CO756" i="5"/>
  <c r="CN756" i="5"/>
  <c r="CM756" i="5"/>
  <c r="CL756" i="5"/>
  <c r="CK756" i="5"/>
  <c r="CJ756" i="5"/>
  <c r="CI756" i="5"/>
  <c r="CH756" i="5"/>
  <c r="CG756" i="5"/>
  <c r="CF756" i="5"/>
  <c r="CE756" i="5"/>
  <c r="CD756" i="5"/>
  <c r="LB755" i="5"/>
  <c r="LB1076" i="5" s="1"/>
  <c r="LA755" i="5"/>
  <c r="KZ755" i="5"/>
  <c r="KY755" i="5"/>
  <c r="KY1076" i="5" s="1"/>
  <c r="JA755" i="5"/>
  <c r="IZ755" i="5"/>
  <c r="CC755" i="5"/>
  <c r="CC1076" i="5" s="1"/>
  <c r="CB755" i="5"/>
  <c r="CB1076" i="5" s="1"/>
  <c r="CA755" i="5"/>
  <c r="CA1076" i="5" s="1"/>
  <c r="BZ755" i="5"/>
  <c r="BZ1076" i="5" s="1"/>
  <c r="BY755" i="5"/>
  <c r="BY1076" i="5" s="1"/>
  <c r="BX755" i="5"/>
  <c r="BX1076" i="5" s="1"/>
  <c r="BW755" i="5"/>
  <c r="BW1076" i="5" s="1"/>
  <c r="BV755" i="5"/>
  <c r="BV1076" i="5" s="1"/>
  <c r="BU755" i="5"/>
  <c r="BU1076" i="5" s="1"/>
  <c r="BT755" i="5"/>
  <c r="BT1076" i="5" s="1"/>
  <c r="BS755" i="5"/>
  <c r="BS1076" i="5" s="1"/>
  <c r="BR755" i="5"/>
  <c r="BR1076" i="5" s="1"/>
  <c r="BQ755" i="5"/>
  <c r="BP755" i="5"/>
  <c r="BP1076" i="5" s="1"/>
  <c r="BO755" i="5"/>
  <c r="BO1076" i="5" s="1"/>
  <c r="BN755" i="5"/>
  <c r="BN1076" i="5" s="1"/>
  <c r="BM755" i="5"/>
  <c r="BM1076" i="5" s="1"/>
  <c r="BL755" i="5"/>
  <c r="BL1076" i="5" s="1"/>
  <c r="BK755" i="5"/>
  <c r="BK1076" i="5" s="1"/>
  <c r="BJ755" i="5"/>
  <c r="BJ1076" i="5" s="1"/>
  <c r="BI755" i="5"/>
  <c r="BI1076" i="5" s="1"/>
  <c r="BH755" i="5"/>
  <c r="BH1076" i="5" s="1"/>
  <c r="BG755" i="5"/>
  <c r="BG1076" i="5" s="1"/>
  <c r="BF755" i="5"/>
  <c r="BF1076" i="5" s="1"/>
  <c r="BE755" i="5"/>
  <c r="BE1076" i="5" s="1"/>
  <c r="BD755" i="5"/>
  <c r="BD1076" i="5" s="1"/>
  <c r="BC755" i="5"/>
  <c r="BC1076" i="5" s="1"/>
  <c r="BB755" i="5"/>
  <c r="BB1076" i="5" s="1"/>
  <c r="BA755" i="5"/>
  <c r="BA1076" i="5" s="1"/>
  <c r="AZ755" i="5"/>
  <c r="AZ1076" i="5" s="1"/>
  <c r="AY755" i="5"/>
  <c r="AY1076" i="5" s="1"/>
  <c r="AX755" i="5"/>
  <c r="AX1076" i="5" s="1"/>
  <c r="AW755" i="5"/>
  <c r="AW1076" i="5" s="1"/>
  <c r="AV755" i="5"/>
  <c r="AV1076" i="5" s="1"/>
  <c r="AU755" i="5"/>
  <c r="AU1076" i="5" s="1"/>
  <c r="AT755" i="5"/>
  <c r="AT1076" i="5" s="1"/>
  <c r="AS755" i="5"/>
  <c r="AS1076" i="5" s="1"/>
  <c r="AR755" i="5"/>
  <c r="AR1076" i="5" s="1"/>
  <c r="AQ755" i="5"/>
  <c r="AQ1076" i="5" s="1"/>
  <c r="AP755" i="5"/>
  <c r="AP1076" i="5" s="1"/>
  <c r="AO755" i="5"/>
  <c r="AO1076" i="5" s="1"/>
  <c r="AN755" i="5"/>
  <c r="AN1076" i="5" s="1"/>
  <c r="AM755" i="5"/>
  <c r="AM1076" i="5" s="1"/>
  <c r="AL755" i="5"/>
  <c r="AK755" i="5"/>
  <c r="AK1076" i="5" s="1"/>
  <c r="AJ755" i="5"/>
  <c r="AJ1076" i="5" s="1"/>
  <c r="AI755" i="5"/>
  <c r="AI1076" i="5" s="1"/>
  <c r="AH755" i="5"/>
  <c r="AH1076" i="5" s="1"/>
  <c r="AG755" i="5"/>
  <c r="AG1076" i="5" s="1"/>
  <c r="AF755" i="5"/>
  <c r="AF1076" i="5" s="1"/>
  <c r="AE755" i="5"/>
  <c r="AE1076" i="5" s="1"/>
  <c r="AD755" i="5"/>
  <c r="AD1076" i="5" s="1"/>
  <c r="AC755" i="5"/>
  <c r="AC1076" i="5" s="1"/>
  <c r="AB755" i="5"/>
  <c r="AB1076" i="5" s="1"/>
  <c r="AA755" i="5"/>
  <c r="AA1076" i="5" s="1"/>
  <c r="Z755" i="5"/>
  <c r="Z1076" i="5" s="1"/>
  <c r="Y755" i="5"/>
  <c r="Y1076" i="5" s="1"/>
  <c r="X755" i="5"/>
  <c r="X1076" i="5" s="1"/>
  <c r="W755" i="5"/>
  <c r="W1076" i="5" s="1"/>
  <c r="V755" i="5"/>
  <c r="V1076" i="5" s="1"/>
  <c r="U755" i="5"/>
  <c r="T755" i="5"/>
  <c r="T1076" i="5" s="1"/>
  <c r="S755" i="5"/>
  <c r="R755" i="5"/>
  <c r="R1076" i="5" s="1"/>
  <c r="Q755" i="5"/>
  <c r="Q1076" i="5" s="1"/>
  <c r="P755" i="5"/>
  <c r="P1076" i="5" s="1"/>
  <c r="O755" i="5"/>
  <c r="O1076" i="5" s="1"/>
  <c r="N755" i="5"/>
  <c r="N1076" i="5" s="1"/>
  <c r="M755" i="5"/>
  <c r="M1076" i="5" s="1"/>
  <c r="L755" i="5"/>
  <c r="L1076" i="5" s="1"/>
  <c r="K755" i="5"/>
  <c r="K1076" i="5" s="1"/>
  <c r="J755" i="5"/>
  <c r="J1076" i="5" s="1"/>
  <c r="I755" i="5"/>
  <c r="I1076" i="5" s="1"/>
  <c r="H755" i="5"/>
  <c r="H1076" i="5" s="1"/>
  <c r="G755" i="5"/>
  <c r="G1076" i="5" s="1"/>
  <c r="F755" i="5"/>
  <c r="F1076" i="5" s="1"/>
  <c r="E755" i="5"/>
  <c r="E1076" i="5" s="1"/>
  <c r="IZ754" i="5"/>
  <c r="GQ753" i="5"/>
  <c r="GQ234" i="5" s="1"/>
  <c r="GP753" i="5"/>
  <c r="GP234" i="5" s="1"/>
  <c r="GO753" i="5"/>
  <c r="GO234" i="5" s="1"/>
  <c r="GN753" i="5"/>
  <c r="GN234" i="5" s="1"/>
  <c r="GM753" i="5"/>
  <c r="GM234" i="5" s="1"/>
  <c r="GL753" i="5"/>
  <c r="GL234" i="5" s="1"/>
  <c r="GK753" i="5"/>
  <c r="GK234" i="5" s="1"/>
  <c r="GJ753" i="5"/>
  <c r="GJ234" i="5" s="1"/>
  <c r="GI753" i="5"/>
  <c r="GI234" i="5" s="1"/>
  <c r="GH753" i="5"/>
  <c r="GH234" i="5" s="1"/>
  <c r="GG753" i="5"/>
  <c r="GG234" i="5" s="1"/>
  <c r="GF753" i="5"/>
  <c r="GF234" i="5" s="1"/>
  <c r="GE753" i="5"/>
  <c r="GE234" i="5" s="1"/>
  <c r="GD753" i="5"/>
  <c r="GD234" i="5" s="1"/>
  <c r="GC753" i="5"/>
  <c r="GC234" i="5" s="1"/>
  <c r="GB753" i="5"/>
  <c r="GB234" i="5" s="1"/>
  <c r="GA753" i="5"/>
  <c r="GA234" i="5" s="1"/>
  <c r="FZ753" i="5"/>
  <c r="FZ234" i="5" s="1"/>
  <c r="FY753" i="5"/>
  <c r="FY234" i="5" s="1"/>
  <c r="FX753" i="5"/>
  <c r="FX234" i="5" s="1"/>
  <c r="FW753" i="5"/>
  <c r="FW234" i="5" s="1"/>
  <c r="FV753" i="5"/>
  <c r="FV234" i="5" s="1"/>
  <c r="FU753" i="5"/>
  <c r="FU234" i="5" s="1"/>
  <c r="FT753" i="5"/>
  <c r="FT234" i="5" s="1"/>
  <c r="FS753" i="5"/>
  <c r="FS234" i="5" s="1"/>
  <c r="FR753" i="5"/>
  <c r="FR234" i="5" s="1"/>
  <c r="FQ753" i="5"/>
  <c r="FQ234" i="5" s="1"/>
  <c r="FP753" i="5"/>
  <c r="FO753" i="5"/>
  <c r="FN753" i="5"/>
  <c r="FM753" i="5"/>
  <c r="FL753" i="5"/>
  <c r="FK753" i="5"/>
  <c r="FJ753" i="5"/>
  <c r="FI753" i="5"/>
  <c r="FH753" i="5"/>
  <c r="FG753" i="5"/>
  <c r="FF753" i="5"/>
  <c r="FE753" i="5"/>
  <c r="FD753" i="5"/>
  <c r="FC753" i="5"/>
  <c r="FB753" i="5"/>
  <c r="FA753" i="5"/>
  <c r="EZ753" i="5"/>
  <c r="EY753" i="5"/>
  <c r="EX753" i="5"/>
  <c r="EW753" i="5"/>
  <c r="EV753" i="5"/>
  <c r="EU753" i="5"/>
  <c r="ET753" i="5"/>
  <c r="ES753" i="5"/>
  <c r="ER753" i="5"/>
  <c r="EQ753" i="5"/>
  <c r="EP753" i="5"/>
  <c r="EO753" i="5"/>
  <c r="EN753" i="5"/>
  <c r="EM753" i="5"/>
  <c r="EL753" i="5"/>
  <c r="EK753" i="5"/>
  <c r="EJ753" i="5"/>
  <c r="EI753" i="5"/>
  <c r="EH753" i="5"/>
  <c r="EG753" i="5"/>
  <c r="EF753" i="5"/>
  <c r="EE753" i="5"/>
  <c r="ED753" i="5"/>
  <c r="EC753" i="5"/>
  <c r="EB753" i="5"/>
  <c r="EA753" i="5"/>
  <c r="DZ753" i="5"/>
  <c r="DY753" i="5"/>
  <c r="DX753" i="5"/>
  <c r="DW753" i="5"/>
  <c r="DV753" i="5"/>
  <c r="DU753" i="5"/>
  <c r="DT753" i="5"/>
  <c r="DS753" i="5"/>
  <c r="DR753" i="5"/>
  <c r="DQ753" i="5"/>
  <c r="DP753" i="5"/>
  <c r="DO753" i="5"/>
  <c r="DN753" i="5"/>
  <c r="DM753" i="5"/>
  <c r="DL753" i="5"/>
  <c r="DK753" i="5"/>
  <c r="DJ753" i="5"/>
  <c r="DI753" i="5"/>
  <c r="DH753" i="5"/>
  <c r="DG753" i="5"/>
  <c r="DF753" i="5"/>
  <c r="DE753" i="5"/>
  <c r="DD753" i="5"/>
  <c r="DC753" i="5"/>
  <c r="DB753" i="5"/>
  <c r="DA753" i="5"/>
  <c r="CZ753" i="5"/>
  <c r="CY753" i="5"/>
  <c r="CX753" i="5"/>
  <c r="CW753" i="5"/>
  <c r="CV753" i="5"/>
  <c r="CU753" i="5"/>
  <c r="CT753" i="5"/>
  <c r="CS753" i="5"/>
  <c r="CR753" i="5"/>
  <c r="CQ753" i="5"/>
  <c r="CP753" i="5"/>
  <c r="CO753" i="5"/>
  <c r="CN753" i="5"/>
  <c r="CM753" i="5"/>
  <c r="CL753" i="5"/>
  <c r="CK753" i="5"/>
  <c r="CJ753" i="5"/>
  <c r="CI753" i="5"/>
  <c r="CH753" i="5"/>
  <c r="CG753" i="5"/>
  <c r="CF753" i="5"/>
  <c r="CE753" i="5"/>
  <c r="CD753" i="5"/>
  <c r="CC753" i="5"/>
  <c r="CB753" i="5"/>
  <c r="CA753" i="5"/>
  <c r="BZ753" i="5"/>
  <c r="BY753" i="5"/>
  <c r="BX753" i="5"/>
  <c r="BW753" i="5"/>
  <c r="BV753" i="5"/>
  <c r="BU753" i="5"/>
  <c r="BT753" i="5"/>
  <c r="BS753" i="5"/>
  <c r="BR753" i="5"/>
  <c r="BQ753" i="5"/>
  <c r="BP753" i="5"/>
  <c r="BO753" i="5"/>
  <c r="BN753" i="5"/>
  <c r="BM753" i="5"/>
  <c r="BL753" i="5"/>
  <c r="BK753" i="5"/>
  <c r="BJ753" i="5"/>
  <c r="BI753" i="5"/>
  <c r="BH753" i="5"/>
  <c r="BG753" i="5"/>
  <c r="BF753" i="5"/>
  <c r="BE753" i="5"/>
  <c r="BD753" i="5"/>
  <c r="BC753" i="5"/>
  <c r="BB753" i="5"/>
  <c r="BA753" i="5"/>
  <c r="AZ753" i="5"/>
  <c r="AY753" i="5"/>
  <c r="AX753" i="5"/>
  <c r="AW753" i="5"/>
  <c r="AV753" i="5"/>
  <c r="AU753" i="5"/>
  <c r="AT753" i="5"/>
  <c r="AS753" i="5"/>
  <c r="AR753" i="5"/>
  <c r="AQ753" i="5"/>
  <c r="AP753" i="5"/>
  <c r="AO753" i="5"/>
  <c r="AN753" i="5"/>
  <c r="AM753" i="5"/>
  <c r="AL753" i="5"/>
  <c r="AK753" i="5"/>
  <c r="AJ753" i="5"/>
  <c r="AI753" i="5"/>
  <c r="AH753" i="5"/>
  <c r="AG753" i="5"/>
  <c r="AF753" i="5"/>
  <c r="AE753" i="5"/>
  <c r="AD753" i="5"/>
  <c r="AC753" i="5"/>
  <c r="AB753" i="5"/>
  <c r="AA753" i="5"/>
  <c r="Z753" i="5"/>
  <c r="Y753" i="5"/>
  <c r="X753" i="5"/>
  <c r="W753" i="5"/>
  <c r="V753" i="5"/>
  <c r="U753" i="5"/>
  <c r="T753" i="5"/>
  <c r="S753" i="5"/>
  <c r="R753" i="5"/>
  <c r="Q753" i="5"/>
  <c r="P753" i="5"/>
  <c r="O753" i="5"/>
  <c r="N753" i="5"/>
  <c r="M753" i="5"/>
  <c r="L753" i="5"/>
  <c r="K753" i="5"/>
  <c r="J753" i="5"/>
  <c r="I753" i="5"/>
  <c r="H753" i="5"/>
  <c r="G753" i="5"/>
  <c r="F753" i="5"/>
  <c r="E753" i="5"/>
  <c r="JT752" i="5"/>
  <c r="JS752" i="5"/>
  <c r="JR752" i="5"/>
  <c r="JQ752" i="5"/>
  <c r="JP752" i="5"/>
  <c r="JO752" i="5"/>
  <c r="JN752" i="5"/>
  <c r="JM752" i="5"/>
  <c r="JL752" i="5"/>
  <c r="JK752" i="5"/>
  <c r="JJ752" i="5"/>
  <c r="JI752" i="5"/>
  <c r="JH752" i="5"/>
  <c r="JG752" i="5"/>
  <c r="JF752" i="5"/>
  <c r="JE752" i="5"/>
  <c r="JD752" i="5"/>
  <c r="JC752" i="5"/>
  <c r="JB752" i="5"/>
  <c r="JA752" i="5"/>
  <c r="IZ752" i="5"/>
  <c r="IY752" i="5"/>
  <c r="IX752" i="5"/>
  <c r="IW752" i="5"/>
  <c r="IV752" i="5"/>
  <c r="IU752" i="5"/>
  <c r="IT752" i="5"/>
  <c r="IS752" i="5"/>
  <c r="IR752" i="5"/>
  <c r="IQ752" i="5"/>
  <c r="IP752" i="5"/>
  <c r="IO752" i="5"/>
  <c r="IN752" i="5"/>
  <c r="IM752" i="5"/>
  <c r="IL752" i="5"/>
  <c r="IK752" i="5"/>
  <c r="IJ752" i="5"/>
  <c r="II752" i="5"/>
  <c r="IH752" i="5"/>
  <c r="IG752" i="5"/>
  <c r="IF752" i="5"/>
  <c r="IE752" i="5"/>
  <c r="ID752" i="5"/>
  <c r="IC752" i="5"/>
  <c r="IB752" i="5"/>
  <c r="JT751" i="5"/>
  <c r="JS751" i="5"/>
  <c r="JR751" i="5"/>
  <c r="JQ751" i="5"/>
  <c r="JP751" i="5"/>
  <c r="JO751" i="5"/>
  <c r="JN751" i="5"/>
  <c r="JM751" i="5"/>
  <c r="JL751" i="5"/>
  <c r="JK751" i="5"/>
  <c r="JJ751" i="5"/>
  <c r="JI751" i="5"/>
  <c r="JH751" i="5"/>
  <c r="JG751" i="5"/>
  <c r="JF751" i="5"/>
  <c r="JE751" i="5"/>
  <c r="JD751" i="5"/>
  <c r="JC751" i="5"/>
  <c r="JB751" i="5"/>
  <c r="JA751" i="5"/>
  <c r="IZ751" i="5"/>
  <c r="IY751" i="5"/>
  <c r="IX751" i="5"/>
  <c r="IW751" i="5"/>
  <c r="IV751" i="5"/>
  <c r="IU751" i="5"/>
  <c r="IT751" i="5"/>
  <c r="IS751" i="5"/>
  <c r="IR751" i="5"/>
  <c r="IQ751" i="5"/>
  <c r="IP751" i="5"/>
  <c r="IO751" i="5"/>
  <c r="IN751" i="5"/>
  <c r="IM751" i="5"/>
  <c r="IL751" i="5"/>
  <c r="IK751" i="5"/>
  <c r="IJ751" i="5"/>
  <c r="II751" i="5"/>
  <c r="IH751" i="5"/>
  <c r="IG751" i="5"/>
  <c r="IF751" i="5"/>
  <c r="IE751" i="5"/>
  <c r="ID751" i="5"/>
  <c r="JK750" i="5"/>
  <c r="JH750" i="5"/>
  <c r="JE750" i="5"/>
  <c r="JB750" i="5"/>
  <c r="IY750" i="5"/>
  <c r="IV750" i="5"/>
  <c r="IS750" i="5"/>
  <c r="IR750" i="5"/>
  <c r="IQ750" i="5"/>
  <c r="IP750" i="5"/>
  <c r="IO750" i="5"/>
  <c r="IN750" i="5"/>
  <c r="IM750" i="5"/>
  <c r="IL750" i="5"/>
  <c r="IK750" i="5"/>
  <c r="IJ750" i="5"/>
  <c r="II750" i="5"/>
  <c r="IH750" i="5"/>
  <c r="IG750" i="5"/>
  <c r="IF750" i="5"/>
  <c r="IE750" i="5"/>
  <c r="ID750" i="5"/>
  <c r="D748" i="5"/>
  <c r="D747" i="5"/>
  <c r="D746" i="5"/>
  <c r="D745" i="5"/>
  <c r="D744" i="5"/>
  <c r="D743" i="5"/>
  <c r="JB742" i="5"/>
  <c r="D741" i="5"/>
  <c r="D740" i="5"/>
  <c r="JB739" i="5"/>
  <c r="JB738" i="5"/>
  <c r="JB737" i="5"/>
  <c r="JB736" i="5"/>
  <c r="LB733" i="5"/>
  <c r="LA733" i="5"/>
  <c r="KZ733" i="5"/>
  <c r="KY733" i="5"/>
  <c r="JB733" i="5"/>
  <c r="CD733" i="5"/>
  <c r="CC733" i="5"/>
  <c r="CB733" i="5"/>
  <c r="CA733" i="5"/>
  <c r="BZ733" i="5"/>
  <c r="BY733" i="5"/>
  <c r="BX733" i="5"/>
  <c r="BW733" i="5"/>
  <c r="BV733" i="5"/>
  <c r="BU733" i="5"/>
  <c r="BT733" i="5"/>
  <c r="BS733" i="5"/>
  <c r="BR733" i="5"/>
  <c r="BQ733" i="5"/>
  <c r="BP733" i="5"/>
  <c r="BO733" i="5"/>
  <c r="BN733" i="5"/>
  <c r="BM733" i="5"/>
  <c r="BL733" i="5"/>
  <c r="BK733" i="5"/>
  <c r="BJ733" i="5"/>
  <c r="BI733" i="5"/>
  <c r="BH733" i="5"/>
  <c r="BG733" i="5"/>
  <c r="BF733" i="5"/>
  <c r="BE733" i="5"/>
  <c r="BD733" i="5"/>
  <c r="BC733" i="5"/>
  <c r="BB733" i="5"/>
  <c r="BA733" i="5"/>
  <c r="AZ733" i="5"/>
  <c r="AY733" i="5"/>
  <c r="AX733" i="5"/>
  <c r="AW733" i="5"/>
  <c r="AV733" i="5"/>
  <c r="AU733" i="5"/>
  <c r="AT733" i="5"/>
  <c r="AS733" i="5"/>
  <c r="AR733" i="5"/>
  <c r="AQ733" i="5"/>
  <c r="AP733" i="5"/>
  <c r="AO733" i="5"/>
  <c r="AN733" i="5"/>
  <c r="AM733" i="5"/>
  <c r="AL733" i="5"/>
  <c r="AK733" i="5"/>
  <c r="AJ733" i="5"/>
  <c r="AI733" i="5"/>
  <c r="AH733" i="5"/>
  <c r="AG733" i="5"/>
  <c r="AF733" i="5"/>
  <c r="AE733" i="5"/>
  <c r="AD733" i="5"/>
  <c r="AC733" i="5"/>
  <c r="AB733" i="5"/>
  <c r="AA733" i="5"/>
  <c r="Z733" i="5"/>
  <c r="Y733" i="5"/>
  <c r="X733" i="5"/>
  <c r="W733" i="5"/>
  <c r="V733" i="5"/>
  <c r="U733" i="5"/>
  <c r="T733" i="5"/>
  <c r="S733" i="5"/>
  <c r="R733" i="5"/>
  <c r="Q733" i="5"/>
  <c r="P733" i="5"/>
  <c r="O733" i="5"/>
  <c r="N733" i="5"/>
  <c r="M733" i="5"/>
  <c r="L733" i="5"/>
  <c r="K733" i="5"/>
  <c r="J733" i="5"/>
  <c r="I733" i="5"/>
  <c r="H733" i="5"/>
  <c r="G733" i="5"/>
  <c r="F733" i="5"/>
  <c r="E733" i="5"/>
  <c r="JB732" i="5"/>
  <c r="CD732" i="5"/>
  <c r="CC732" i="5"/>
  <c r="CB732" i="5"/>
  <c r="CA732" i="5"/>
  <c r="BZ732" i="5"/>
  <c r="BY732" i="5"/>
  <c r="BX732" i="5"/>
  <c r="BW732" i="5"/>
  <c r="BV732" i="5"/>
  <c r="BU732" i="5"/>
  <c r="BT732" i="5"/>
  <c r="BS732" i="5"/>
  <c r="BR732" i="5"/>
  <c r="BQ732" i="5"/>
  <c r="BP732" i="5"/>
  <c r="BO732" i="5"/>
  <c r="BN732" i="5"/>
  <c r="BM732" i="5"/>
  <c r="BL732" i="5"/>
  <c r="BK732" i="5"/>
  <c r="BJ732" i="5"/>
  <c r="BI732" i="5"/>
  <c r="BH732" i="5"/>
  <c r="BG732" i="5"/>
  <c r="BF732" i="5"/>
  <c r="BE732" i="5"/>
  <c r="BD732" i="5"/>
  <c r="BC732" i="5"/>
  <c r="BB732" i="5"/>
  <c r="BA732" i="5"/>
  <c r="AZ732" i="5"/>
  <c r="AY732" i="5"/>
  <c r="AX732" i="5"/>
  <c r="AW732" i="5"/>
  <c r="AV732" i="5"/>
  <c r="AU732" i="5"/>
  <c r="AT732" i="5"/>
  <c r="AS732" i="5"/>
  <c r="AR732" i="5"/>
  <c r="AQ732" i="5"/>
  <c r="AP732" i="5"/>
  <c r="AO732" i="5"/>
  <c r="AN732" i="5"/>
  <c r="AM732" i="5"/>
  <c r="AL732" i="5"/>
  <c r="AK732" i="5"/>
  <c r="AJ732" i="5"/>
  <c r="AI732" i="5"/>
  <c r="AH732" i="5"/>
  <c r="AG732" i="5"/>
  <c r="AF732" i="5"/>
  <c r="AE732" i="5"/>
  <c r="AD732" i="5"/>
  <c r="AC732" i="5"/>
  <c r="AB732" i="5"/>
  <c r="AA732" i="5"/>
  <c r="Z732" i="5"/>
  <c r="Y732" i="5"/>
  <c r="X732" i="5"/>
  <c r="W732" i="5"/>
  <c r="V732" i="5"/>
  <c r="U732" i="5"/>
  <c r="T732" i="5"/>
  <c r="S732" i="5"/>
  <c r="R732" i="5"/>
  <c r="Q732" i="5"/>
  <c r="P732" i="5"/>
  <c r="O732" i="5"/>
  <c r="N732" i="5"/>
  <c r="M732" i="5"/>
  <c r="L732" i="5"/>
  <c r="K732" i="5"/>
  <c r="J732" i="5"/>
  <c r="I732" i="5"/>
  <c r="H732" i="5"/>
  <c r="G732" i="5"/>
  <c r="F732" i="5"/>
  <c r="E732" i="5"/>
  <c r="JB731" i="5"/>
  <c r="JB730" i="5"/>
  <c r="JB728" i="5"/>
  <c r="CD728" i="5"/>
  <c r="CC728" i="5"/>
  <c r="CB728" i="5"/>
  <c r="CA728" i="5"/>
  <c r="BZ728" i="5"/>
  <c r="BY728" i="5"/>
  <c r="BX728" i="5"/>
  <c r="BW728" i="5"/>
  <c r="BV728" i="5"/>
  <c r="BU728" i="5"/>
  <c r="BT728" i="5"/>
  <c r="BS728" i="5"/>
  <c r="BR728" i="5"/>
  <c r="BQ728" i="5"/>
  <c r="BP728" i="5"/>
  <c r="BO728" i="5"/>
  <c r="BN728" i="5"/>
  <c r="BM728" i="5"/>
  <c r="BL728" i="5"/>
  <c r="BK728" i="5"/>
  <c r="BJ728" i="5"/>
  <c r="BI728" i="5"/>
  <c r="BH728" i="5"/>
  <c r="BG728" i="5"/>
  <c r="BF728" i="5"/>
  <c r="BE728" i="5"/>
  <c r="BD728" i="5"/>
  <c r="BC728" i="5"/>
  <c r="BB728" i="5"/>
  <c r="BA728" i="5"/>
  <c r="AZ728" i="5"/>
  <c r="AY728" i="5"/>
  <c r="AX728" i="5"/>
  <c r="AW728" i="5"/>
  <c r="AV728" i="5"/>
  <c r="AU728" i="5"/>
  <c r="AT728" i="5"/>
  <c r="AS728" i="5"/>
  <c r="AR728" i="5"/>
  <c r="AQ728" i="5"/>
  <c r="AP728" i="5"/>
  <c r="AO728" i="5"/>
  <c r="AN728" i="5"/>
  <c r="AM728" i="5"/>
  <c r="AL728" i="5"/>
  <c r="AK728" i="5"/>
  <c r="AJ728" i="5"/>
  <c r="AI728" i="5"/>
  <c r="AH728" i="5"/>
  <c r="AG728" i="5"/>
  <c r="AF728" i="5"/>
  <c r="AE728" i="5"/>
  <c r="AD728" i="5"/>
  <c r="AC728" i="5"/>
  <c r="AB728" i="5"/>
  <c r="AA728" i="5"/>
  <c r="Z728" i="5"/>
  <c r="Y728" i="5"/>
  <c r="X728" i="5"/>
  <c r="W728" i="5"/>
  <c r="V728" i="5"/>
  <c r="U728" i="5"/>
  <c r="T728" i="5"/>
  <c r="S728" i="5"/>
  <c r="R728" i="5"/>
  <c r="Q728" i="5"/>
  <c r="P728" i="5"/>
  <c r="O728" i="5"/>
  <c r="N728" i="5"/>
  <c r="M728" i="5"/>
  <c r="L728" i="5"/>
  <c r="K728" i="5"/>
  <c r="J728" i="5"/>
  <c r="I728" i="5"/>
  <c r="H728" i="5"/>
  <c r="G728" i="5"/>
  <c r="F728" i="5"/>
  <c r="E728" i="5"/>
  <c r="JB726" i="5"/>
  <c r="JB724" i="5"/>
  <c r="JB723" i="5"/>
  <c r="JB721" i="5"/>
  <c r="CD721" i="5"/>
  <c r="CC721" i="5"/>
  <c r="CB721" i="5"/>
  <c r="CA721" i="5"/>
  <c r="BZ721" i="5"/>
  <c r="BY721" i="5"/>
  <c r="BX721" i="5"/>
  <c r="BW721" i="5"/>
  <c r="BV721" i="5"/>
  <c r="BU721" i="5"/>
  <c r="BT721" i="5"/>
  <c r="BS721" i="5"/>
  <c r="BR721" i="5"/>
  <c r="BQ721" i="5"/>
  <c r="BP721" i="5"/>
  <c r="BO721" i="5"/>
  <c r="BN721" i="5"/>
  <c r="BM721" i="5"/>
  <c r="BL721" i="5"/>
  <c r="BK721" i="5"/>
  <c r="BJ721" i="5"/>
  <c r="BI721" i="5"/>
  <c r="BH721" i="5"/>
  <c r="BG721" i="5"/>
  <c r="BF721" i="5"/>
  <c r="BE721" i="5"/>
  <c r="BD721" i="5"/>
  <c r="BC721" i="5"/>
  <c r="BB721" i="5"/>
  <c r="BA721" i="5"/>
  <c r="AZ721" i="5"/>
  <c r="AY721" i="5"/>
  <c r="AX721" i="5"/>
  <c r="AW721" i="5"/>
  <c r="AV721" i="5"/>
  <c r="AU721" i="5"/>
  <c r="AT721" i="5"/>
  <c r="AS721" i="5"/>
  <c r="AR721" i="5"/>
  <c r="AQ721" i="5"/>
  <c r="AP721" i="5"/>
  <c r="AO721" i="5"/>
  <c r="AN721" i="5"/>
  <c r="AM721" i="5"/>
  <c r="AL721" i="5"/>
  <c r="AK721" i="5"/>
  <c r="AJ721" i="5"/>
  <c r="AI721" i="5"/>
  <c r="AH721" i="5"/>
  <c r="AG721" i="5"/>
  <c r="AF721" i="5"/>
  <c r="AE721" i="5"/>
  <c r="AD721" i="5"/>
  <c r="AC721" i="5"/>
  <c r="AB721" i="5"/>
  <c r="AA721" i="5"/>
  <c r="Z721" i="5"/>
  <c r="Y721" i="5"/>
  <c r="X721" i="5"/>
  <c r="W721" i="5"/>
  <c r="V721" i="5"/>
  <c r="U721" i="5"/>
  <c r="T721" i="5"/>
  <c r="S721" i="5"/>
  <c r="R721" i="5"/>
  <c r="Q721" i="5"/>
  <c r="P721" i="5"/>
  <c r="O721" i="5"/>
  <c r="N721" i="5"/>
  <c r="M721" i="5"/>
  <c r="L721" i="5"/>
  <c r="K721" i="5"/>
  <c r="J721" i="5"/>
  <c r="I721" i="5"/>
  <c r="H721" i="5"/>
  <c r="G721" i="5"/>
  <c r="F721" i="5"/>
  <c r="E721" i="5"/>
  <c r="JB720" i="5"/>
  <c r="CD720" i="5"/>
  <c r="CC720" i="5"/>
  <c r="CB720" i="5"/>
  <c r="CA720" i="5"/>
  <c r="BZ720" i="5"/>
  <c r="BY720" i="5"/>
  <c r="BX720" i="5"/>
  <c r="BW720" i="5"/>
  <c r="BV720" i="5"/>
  <c r="BU720" i="5"/>
  <c r="BT720" i="5"/>
  <c r="BS720" i="5"/>
  <c r="BR720" i="5"/>
  <c r="BQ720" i="5"/>
  <c r="BP720" i="5"/>
  <c r="BO720" i="5"/>
  <c r="BN720" i="5"/>
  <c r="BM720" i="5"/>
  <c r="BL720" i="5"/>
  <c r="BK720" i="5"/>
  <c r="BJ720" i="5"/>
  <c r="BI720" i="5"/>
  <c r="BH720" i="5"/>
  <c r="BG720" i="5"/>
  <c r="BF720" i="5"/>
  <c r="BE720" i="5"/>
  <c r="BD720" i="5"/>
  <c r="BC720" i="5"/>
  <c r="BB720" i="5"/>
  <c r="BA720" i="5"/>
  <c r="AZ720" i="5"/>
  <c r="AY720" i="5"/>
  <c r="AX720" i="5"/>
  <c r="AW720" i="5"/>
  <c r="AV720" i="5"/>
  <c r="AU720" i="5"/>
  <c r="AT720" i="5"/>
  <c r="AS720" i="5"/>
  <c r="AR720" i="5"/>
  <c r="AQ720" i="5"/>
  <c r="AP720" i="5"/>
  <c r="AO720" i="5"/>
  <c r="AN720" i="5"/>
  <c r="AM720" i="5"/>
  <c r="AL720" i="5"/>
  <c r="AK720" i="5"/>
  <c r="AJ720" i="5"/>
  <c r="AI720" i="5"/>
  <c r="AH720" i="5"/>
  <c r="AG720" i="5"/>
  <c r="AF720" i="5"/>
  <c r="AE720" i="5"/>
  <c r="AD720" i="5"/>
  <c r="AC720" i="5"/>
  <c r="AB720" i="5"/>
  <c r="AA720" i="5"/>
  <c r="Z720" i="5"/>
  <c r="Y720" i="5"/>
  <c r="X720" i="5"/>
  <c r="W720" i="5"/>
  <c r="V720" i="5"/>
  <c r="U720" i="5"/>
  <c r="T720" i="5"/>
  <c r="S720" i="5"/>
  <c r="R720" i="5"/>
  <c r="Q720" i="5"/>
  <c r="P720" i="5"/>
  <c r="O720" i="5"/>
  <c r="N720" i="5"/>
  <c r="M720" i="5"/>
  <c r="L720" i="5"/>
  <c r="K720" i="5"/>
  <c r="J720" i="5"/>
  <c r="I720" i="5"/>
  <c r="H720" i="5"/>
  <c r="G720" i="5"/>
  <c r="F720" i="5"/>
  <c r="E720" i="5"/>
  <c r="JB719" i="5"/>
  <c r="D718" i="5"/>
  <c r="JB717" i="5"/>
  <c r="BU717" i="5"/>
  <c r="BT717" i="5"/>
  <c r="BS717" i="5"/>
  <c r="BR717" i="5"/>
  <c r="BQ717" i="5"/>
  <c r="BP717" i="5"/>
  <c r="BO717" i="5"/>
  <c r="BN717" i="5"/>
  <c r="BM717" i="5"/>
  <c r="BL717" i="5"/>
  <c r="BK717" i="5"/>
  <c r="BJ717" i="5"/>
  <c r="BI717" i="5"/>
  <c r="BH717" i="5"/>
  <c r="BG717" i="5"/>
  <c r="BF717" i="5"/>
  <c r="BE717" i="5"/>
  <c r="BD717" i="5"/>
  <c r="BC717" i="5"/>
  <c r="BB717" i="5"/>
  <c r="BA717" i="5"/>
  <c r="AZ717" i="5"/>
  <c r="AY717" i="5"/>
  <c r="AX717" i="5"/>
  <c r="AW717" i="5"/>
  <c r="AV717" i="5"/>
  <c r="AU717" i="5"/>
  <c r="AT717" i="5"/>
  <c r="AS717" i="5"/>
  <c r="AR717" i="5"/>
  <c r="AQ717" i="5"/>
  <c r="AP717" i="5"/>
  <c r="AO717" i="5"/>
  <c r="AN717" i="5"/>
  <c r="AM717" i="5"/>
  <c r="AM1261" i="5" s="1"/>
  <c r="AL717" i="5"/>
  <c r="AL1261" i="5" s="1"/>
  <c r="AK717" i="5"/>
  <c r="AK1261" i="5" s="1"/>
  <c r="AJ717" i="5"/>
  <c r="AJ1261" i="5" s="1"/>
  <c r="AI717" i="5"/>
  <c r="AI1261" i="5" s="1"/>
  <c r="AH717" i="5"/>
  <c r="AH1261" i="5" s="1"/>
  <c r="AH1263" i="5" s="1"/>
  <c r="AG717" i="5"/>
  <c r="AF717" i="5"/>
  <c r="AE717" i="5"/>
  <c r="AD717" i="5"/>
  <c r="AC717" i="5"/>
  <c r="AB717" i="5"/>
  <c r="AA717" i="5"/>
  <c r="Z717" i="5"/>
  <c r="Y717" i="5"/>
  <c r="X717" i="5"/>
  <c r="W717" i="5"/>
  <c r="V717" i="5"/>
  <c r="U717" i="5"/>
  <c r="T717" i="5"/>
  <c r="S717" i="5"/>
  <c r="R717" i="5"/>
  <c r="Q717" i="5"/>
  <c r="P717" i="5"/>
  <c r="O717" i="5"/>
  <c r="N717" i="5"/>
  <c r="M717" i="5"/>
  <c r="L717" i="5"/>
  <c r="K717" i="5"/>
  <c r="J717" i="5"/>
  <c r="I717" i="5"/>
  <c r="H717" i="5"/>
  <c r="G717" i="5"/>
  <c r="F717" i="5"/>
  <c r="E717" i="5"/>
  <c r="JB716" i="5"/>
  <c r="JB715" i="5"/>
  <c r="JB714" i="5"/>
  <c r="DZ713" i="5"/>
  <c r="DY713" i="5"/>
  <c r="DX713" i="5"/>
  <c r="DW713" i="5"/>
  <c r="DV713" i="5"/>
  <c r="DU713" i="5"/>
  <c r="DT713" i="5"/>
  <c r="DS713" i="5"/>
  <c r="DR713" i="5"/>
  <c r="DQ713" i="5"/>
  <c r="DP713" i="5"/>
  <c r="DO713" i="5"/>
  <c r="DN713" i="5"/>
  <c r="DM713" i="5"/>
  <c r="DL713" i="5"/>
  <c r="DK713" i="5"/>
  <c r="DJ713" i="5"/>
  <c r="DI713" i="5"/>
  <c r="DH713" i="5"/>
  <c r="DG713" i="5"/>
  <c r="DF713" i="5"/>
  <c r="DE713" i="5"/>
  <c r="DD713" i="5"/>
  <c r="DC713" i="5"/>
  <c r="DB713" i="5"/>
  <c r="DA713" i="5"/>
  <c r="CZ713" i="5"/>
  <c r="CY713" i="5"/>
  <c r="CX713" i="5"/>
  <c r="CW713" i="5"/>
  <c r="CV713" i="5"/>
  <c r="CU713" i="5"/>
  <c r="CT713" i="5"/>
  <c r="CS713" i="5"/>
  <c r="CR713" i="5"/>
  <c r="CQ713" i="5"/>
  <c r="CP713" i="5"/>
  <c r="CJ713" i="5"/>
  <c r="CI713" i="5"/>
  <c r="CH713" i="5"/>
  <c r="CG713" i="5"/>
  <c r="CF713" i="5"/>
  <c r="CE713" i="5"/>
  <c r="CD713" i="5"/>
  <c r="D713" i="5"/>
  <c r="IY712" i="5"/>
  <c r="IV712" i="5"/>
  <c r="IS712" i="5"/>
  <c r="IR712" i="5"/>
  <c r="IQ712" i="5"/>
  <c r="IP712" i="5"/>
  <c r="IO712" i="5"/>
  <c r="IN712" i="5"/>
  <c r="IM712" i="5"/>
  <c r="IL712" i="5"/>
  <c r="IK712" i="5"/>
  <c r="II712" i="5"/>
  <c r="IH712" i="5"/>
  <c r="IG712" i="5"/>
  <c r="IF712" i="5"/>
  <c r="IE712" i="5"/>
  <c r="ID712" i="5"/>
  <c r="D712" i="5"/>
  <c r="H46" i="1" s="1"/>
  <c r="JB711" i="5"/>
  <c r="JA711" i="5"/>
  <c r="IY711" i="5"/>
  <c r="IV711" i="5"/>
  <c r="IS711" i="5"/>
  <c r="IR711" i="5"/>
  <c r="IP711" i="5"/>
  <c r="IO711" i="5"/>
  <c r="IM711" i="5"/>
  <c r="IL711" i="5"/>
  <c r="IK711" i="5"/>
  <c r="IJ711" i="5"/>
  <c r="II711" i="5"/>
  <c r="IG711" i="5"/>
  <c r="IF711" i="5"/>
  <c r="ID711" i="5"/>
  <c r="JD710" i="5"/>
  <c r="JC710" i="5"/>
  <c r="JB710" i="5"/>
  <c r="JA710" i="5"/>
  <c r="IY710" i="5"/>
  <c r="IV710" i="5"/>
  <c r="IS710" i="5"/>
  <c r="IR710" i="5"/>
  <c r="IQ710" i="5"/>
  <c r="IP710" i="5"/>
  <c r="IO710" i="5"/>
  <c r="IN710" i="5"/>
  <c r="IM710" i="5"/>
  <c r="IL710" i="5"/>
  <c r="IK710" i="5"/>
  <c r="IJ710" i="5"/>
  <c r="II710" i="5"/>
  <c r="IH710" i="5"/>
  <c r="IG710" i="5"/>
  <c r="IF710" i="5"/>
  <c r="ID710" i="5"/>
  <c r="IX705" i="5"/>
  <c r="IP705" i="5"/>
  <c r="IY704" i="5"/>
  <c r="IX704" i="5" s="1"/>
  <c r="IV704" i="5"/>
  <c r="IP704" i="5"/>
  <c r="IJ704" i="5"/>
  <c r="ID704" i="5"/>
  <c r="D704" i="5"/>
  <c r="IY703" i="5"/>
  <c r="IX703" i="5" s="1"/>
  <c r="IV703" i="5"/>
  <c r="IP703" i="5"/>
  <c r="IJ703" i="5"/>
  <c r="ID703" i="5"/>
  <c r="D703" i="5"/>
  <c r="IX702" i="5"/>
  <c r="IP702" i="5"/>
  <c r="D702" i="5"/>
  <c r="IY701" i="5"/>
  <c r="IX701" i="5" s="1"/>
  <c r="IV701" i="5"/>
  <c r="IP701" i="5"/>
  <c r="D701" i="5"/>
  <c r="IY700" i="5"/>
  <c r="T142" i="7" s="1"/>
  <c r="IV700" i="5"/>
  <c r="S142" i="7" s="1"/>
  <c r="IP700" i="5"/>
  <c r="M142" i="7" s="1"/>
  <c r="D700" i="5"/>
  <c r="IY699" i="5"/>
  <c r="T141" i="7" s="1"/>
  <c r="IV699" i="5"/>
  <c r="IV1213" i="5" s="1"/>
  <c r="IP699" i="5"/>
  <c r="IP1213" i="5" s="1"/>
  <c r="EX699" i="5"/>
  <c r="EW699" i="5"/>
  <c r="EV699" i="5"/>
  <c r="EU699" i="5"/>
  <c r="ET699" i="5"/>
  <c r="ES699"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DQ699" i="5"/>
  <c r="DP699" i="5"/>
  <c r="DO699" i="5"/>
  <c r="DN699" i="5"/>
  <c r="DM699" i="5"/>
  <c r="DL699" i="5"/>
  <c r="DK699" i="5"/>
  <c r="DJ699" i="5"/>
  <c r="DI699" i="5"/>
  <c r="DH699" i="5"/>
  <c r="DG699" i="5"/>
  <c r="DF699" i="5"/>
  <c r="DE699"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D699" i="5"/>
  <c r="IY698" i="5"/>
  <c r="IV698" i="5"/>
  <c r="S140" i="7" s="1"/>
  <c r="IP698" i="5"/>
  <c r="M140" i="7" s="1"/>
  <c r="EX698" i="5"/>
  <c r="EW698" i="5"/>
  <c r="EV698" i="5"/>
  <c r="EU698" i="5"/>
  <c r="ET698"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DQ698" i="5"/>
  <c r="DP698" i="5"/>
  <c r="DO698" i="5"/>
  <c r="DN698" i="5"/>
  <c r="DM698" i="5"/>
  <c r="DL698" i="5"/>
  <c r="DK698" i="5"/>
  <c r="DJ698" i="5"/>
  <c r="DI698" i="5"/>
  <c r="DH698" i="5"/>
  <c r="DG698" i="5"/>
  <c r="DF698"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D698" i="5"/>
  <c r="IY697" i="5"/>
  <c r="IW697" i="5" s="1"/>
  <c r="IV697" i="5"/>
  <c r="S139" i="7" s="1"/>
  <c r="IP697" i="5"/>
  <c r="M139" i="7" s="1"/>
  <c r="EX697" i="5"/>
  <c r="EW697" i="5"/>
  <c r="EV697" i="5"/>
  <c r="EU697"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DQ697" i="5"/>
  <c r="DP697" i="5"/>
  <c r="DO697" i="5"/>
  <c r="DN697" i="5"/>
  <c r="DM697" i="5"/>
  <c r="DL697" i="5"/>
  <c r="DK697" i="5"/>
  <c r="DJ697" i="5"/>
  <c r="DI697" i="5"/>
  <c r="DH697" i="5"/>
  <c r="DG697"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D697" i="5"/>
  <c r="LB696" i="5"/>
  <c r="LB695" i="5" s="1"/>
  <c r="LA696" i="5"/>
  <c r="LA695" i="5" s="1"/>
  <c r="KZ696" i="5"/>
  <c r="KZ695" i="5" s="1"/>
  <c r="KY696" i="5"/>
  <c r="KY695" i="5" s="1"/>
  <c r="IY696" i="5"/>
  <c r="T138" i="7" s="1"/>
  <c r="IV696" i="5"/>
  <c r="S138" i="7" s="1"/>
  <c r="IP696" i="5"/>
  <c r="M138" i="7" s="1"/>
  <c r="D696" i="5"/>
  <c r="IY695" i="5"/>
  <c r="T137" i="7" s="1"/>
  <c r="IV695" i="5"/>
  <c r="IP695" i="5"/>
  <c r="M137" i="7" s="1"/>
  <c r="CD695" i="5"/>
  <c r="CD1256" i="5" s="1"/>
  <c r="CC695" i="5"/>
  <c r="CC1256" i="5" s="1"/>
  <c r="CB695" i="5"/>
  <c r="CB1256" i="5" s="1"/>
  <c r="CA695" i="5"/>
  <c r="CA1256" i="5" s="1"/>
  <c r="BZ695" i="5"/>
  <c r="BZ1256" i="5" s="1"/>
  <c r="BY695" i="5"/>
  <c r="BY1256" i="5" s="1"/>
  <c r="BX695" i="5"/>
  <c r="BX1256" i="5" s="1"/>
  <c r="BW695" i="5"/>
  <c r="BW1256" i="5" s="1"/>
  <c r="BV695" i="5"/>
  <c r="BV1256" i="5" s="1"/>
  <c r="BU695" i="5"/>
  <c r="BU1256" i="5" s="1"/>
  <c r="BT695" i="5"/>
  <c r="BT1256" i="5" s="1"/>
  <c r="BS695" i="5"/>
  <c r="BS1256" i="5" s="1"/>
  <c r="D695" i="5"/>
  <c r="IY694" i="5"/>
  <c r="T136" i="7" s="1"/>
  <c r="IV694" i="5"/>
  <c r="S136" i="7" s="1"/>
  <c r="IP694" i="5"/>
  <c r="II694" i="5"/>
  <c r="F136" i="7" s="1"/>
  <c r="IH694" i="5"/>
  <c r="IG694" i="5"/>
  <c r="IF694" i="5"/>
  <c r="C136" i="7" s="1"/>
  <c r="IE694" i="5"/>
  <c r="ID694" i="5"/>
  <c r="EX694"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DQ694" i="5"/>
  <c r="DP694" i="5"/>
  <c r="DO694" i="5"/>
  <c r="D694" i="5"/>
  <c r="IY693" i="5"/>
  <c r="IV693" i="5"/>
  <c r="IP693" i="5"/>
  <c r="II693" i="5"/>
  <c r="F135" i="7" s="1"/>
  <c r="IH693" i="5"/>
  <c r="IG693" i="5"/>
  <c r="IF693" i="5"/>
  <c r="C135" i="7" s="1"/>
  <c r="IE693" i="5"/>
  <c r="ID693"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DQ693" i="5"/>
  <c r="DP693" i="5"/>
  <c r="DO693" i="5"/>
  <c r="D693" i="5"/>
  <c r="JL692" i="5"/>
  <c r="JM692" i="5" s="1"/>
  <c r="JI692" i="5"/>
  <c r="JJ692" i="5" s="1"/>
  <c r="JF692" i="5"/>
  <c r="JG692" i="5" s="1"/>
  <c r="JC692" i="5"/>
  <c r="JD692" i="5" s="1"/>
  <c r="IZ692" i="5"/>
  <c r="JA692" i="5" s="1"/>
  <c r="IW692" i="5"/>
  <c r="IX692" i="5" s="1"/>
  <c r="IR692" i="5"/>
  <c r="O134" i="7" s="1"/>
  <c r="IQ692" i="5"/>
  <c r="IP692" i="5"/>
  <c r="M134" i="7" s="1"/>
  <c r="IL692" i="5"/>
  <c r="I134" i="7" s="1"/>
  <c r="JL691" i="5"/>
  <c r="JM691" i="5" s="1"/>
  <c r="JI691" i="5"/>
  <c r="JJ691" i="5" s="1"/>
  <c r="JF691" i="5"/>
  <c r="JG691" i="5" s="1"/>
  <c r="JC691" i="5"/>
  <c r="JD691" i="5" s="1"/>
  <c r="IZ691" i="5"/>
  <c r="JA691" i="5" s="1"/>
  <c r="IW691" i="5"/>
  <c r="IX691" i="5" s="1"/>
  <c r="IR691" i="5"/>
  <c r="O133" i="7" s="1"/>
  <c r="IQ691" i="5"/>
  <c r="N133" i="7" s="1"/>
  <c r="IP691" i="5"/>
  <c r="M133" i="7" s="1"/>
  <c r="IL691" i="5"/>
  <c r="JN690" i="5"/>
  <c r="JK690" i="5"/>
  <c r="JI690" i="5" s="1"/>
  <c r="JJ690" i="5" s="1"/>
  <c r="JH690" i="5"/>
  <c r="JF690" i="5" s="1"/>
  <c r="JE690" i="5"/>
  <c r="JC690" i="5" s="1"/>
  <c r="JD690" i="5" s="1"/>
  <c r="JB690" i="5"/>
  <c r="IZ690" i="5" s="1"/>
  <c r="IY690" i="5"/>
  <c r="T132" i="7" s="1"/>
  <c r="IV690" i="5"/>
  <c r="S132" i="7" s="1"/>
  <c r="IR690" i="5"/>
  <c r="O132" i="7" s="1"/>
  <c r="IQ690" i="5"/>
  <c r="N132" i="7" s="1"/>
  <c r="IP690" i="5"/>
  <c r="M132" i="7" s="1"/>
  <c r="IL690" i="5"/>
  <c r="IM690" i="5" s="1"/>
  <c r="II690" i="5"/>
  <c r="F132" i="7" s="1"/>
  <c r="IH690" i="5"/>
  <c r="D132" i="7" s="1"/>
  <c r="IG690" i="5"/>
  <c r="IF690" i="5"/>
  <c r="C132" i="7" s="1"/>
  <c r="IE690" i="5"/>
  <c r="ID690" i="5"/>
  <c r="D690" i="5"/>
  <c r="IZ689" i="5"/>
  <c r="IY689" i="5"/>
  <c r="IW689" i="5"/>
  <c r="IV689" i="5"/>
  <c r="IT689" i="5"/>
  <c r="JB688" i="5"/>
  <c r="JA688" i="5" s="1"/>
  <c r="IY688" i="5"/>
  <c r="IX688" i="5" s="1"/>
  <c r="IV688" i="5"/>
  <c r="IT688" i="5" s="1"/>
  <c r="IU688" i="5" s="1"/>
  <c r="JN687" i="5"/>
  <c r="JL687" i="5" s="1"/>
  <c r="JK687" i="5"/>
  <c r="JI687" i="5" s="1"/>
  <c r="JJ687" i="5" s="1"/>
  <c r="JH687" i="5"/>
  <c r="JF687" i="5" s="1"/>
  <c r="JE687" i="5"/>
  <c r="JC687" i="5" s="1"/>
  <c r="JD687" i="5" s="1"/>
  <c r="JB687" i="5"/>
  <c r="IZ687" i="5" s="1"/>
  <c r="JA687" i="5" s="1"/>
  <c r="IY687" i="5"/>
  <c r="IW687" i="5" s="1"/>
  <c r="IX687" i="5" s="1"/>
  <c r="IV687" i="5"/>
  <c r="S131" i="7" s="1"/>
  <c r="IR687" i="5"/>
  <c r="O131" i="7" s="1"/>
  <c r="IQ687" i="5"/>
  <c r="N131" i="7" s="1"/>
  <c r="IP687" i="5"/>
  <c r="M131" i="7" s="1"/>
  <c r="IL687" i="5"/>
  <c r="I131" i="7" s="1"/>
  <c r="II687" i="5"/>
  <c r="F131" i="7" s="1"/>
  <c r="IH687" i="5"/>
  <c r="IG687" i="5"/>
  <c r="IF687" i="5"/>
  <c r="C131" i="7" s="1"/>
  <c r="IE687" i="5"/>
  <c r="ID687" i="5"/>
  <c r="D687" i="5"/>
  <c r="JN686" i="5"/>
  <c r="JL686" i="5" s="1"/>
  <c r="JM686" i="5" s="1"/>
  <c r="JK686" i="5"/>
  <c r="JH686" i="5"/>
  <c r="JE686" i="5"/>
  <c r="JB686" i="5"/>
  <c r="IZ686" i="5" s="1"/>
  <c r="JA686" i="5" s="1"/>
  <c r="IY686" i="5"/>
  <c r="IV686" i="5"/>
  <c r="S130" i="7" s="1"/>
  <c r="IP686" i="5"/>
  <c r="ID686" i="5"/>
  <c r="EX686" i="5"/>
  <c r="EW686" i="5"/>
  <c r="EV686" i="5"/>
  <c r="EU686" i="5"/>
  <c r="ET686" i="5"/>
  <c r="ES686" i="5"/>
  <c r="ER686" i="5"/>
  <c r="EQ686" i="5"/>
  <c r="EP686" i="5"/>
  <c r="EO686" i="5"/>
  <c r="EN686" i="5"/>
  <c r="EM686" i="5"/>
  <c r="EL686" i="5"/>
  <c r="EK686" i="5"/>
  <c r="EJ686" i="5"/>
  <c r="EI686" i="5"/>
  <c r="EH686" i="5"/>
  <c r="EG686" i="5"/>
  <c r="EF686" i="5"/>
  <c r="EE686" i="5"/>
  <c r="ED686" i="5"/>
  <c r="EC686" i="5"/>
  <c r="EB686" i="5"/>
  <c r="EA686" i="5"/>
  <c r="DZ686" i="5"/>
  <c r="DY686" i="5"/>
  <c r="DX686" i="5"/>
  <c r="DW686" i="5"/>
  <c r="DV686" i="5"/>
  <c r="DU686" i="5"/>
  <c r="DT686" i="5"/>
  <c r="DS686" i="5"/>
  <c r="DR686" i="5"/>
  <c r="DQ686" i="5"/>
  <c r="DP686" i="5"/>
  <c r="DO686" i="5"/>
  <c r="DN686" i="5"/>
  <c r="DM686" i="5"/>
  <c r="DL686" i="5"/>
  <c r="DK686" i="5"/>
  <c r="DJ686" i="5"/>
  <c r="DI686" i="5"/>
  <c r="DH686" i="5"/>
  <c r="DG686" i="5"/>
  <c r="DF686" i="5"/>
  <c r="DE686" i="5"/>
  <c r="DD686" i="5"/>
  <c r="DC686" i="5"/>
  <c r="DB686" i="5"/>
  <c r="DA686" i="5"/>
  <c r="CZ686" i="5"/>
  <c r="CY686" i="5"/>
  <c r="CX686" i="5"/>
  <c r="CW686" i="5"/>
  <c r="CV686" i="5"/>
  <c r="CU686" i="5"/>
  <c r="CT686" i="5"/>
  <c r="CS686" i="5"/>
  <c r="CR686" i="5"/>
  <c r="CQ686" i="5"/>
  <c r="CP686" i="5"/>
  <c r="CO686" i="5"/>
  <c r="CN686" i="5"/>
  <c r="CM686" i="5"/>
  <c r="CL686" i="5"/>
  <c r="CK686" i="5"/>
  <c r="CJ686" i="5"/>
  <c r="CI686" i="5"/>
  <c r="CH686" i="5"/>
  <c r="CG686" i="5"/>
  <c r="CF686" i="5"/>
  <c r="CE686" i="5"/>
  <c r="D686" i="5"/>
  <c r="JN685" i="5"/>
  <c r="JL685" i="5" s="1"/>
  <c r="JM685" i="5" s="1"/>
  <c r="JK685" i="5"/>
  <c r="JH685" i="5"/>
  <c r="JF685" i="5" s="1"/>
  <c r="JG685" i="5" s="1"/>
  <c r="JE685" i="5"/>
  <c r="JB685" i="5"/>
  <c r="IZ685" i="5" s="1"/>
  <c r="JA685" i="5" s="1"/>
  <c r="IY685" i="5"/>
  <c r="T129" i="7" s="1"/>
  <c r="IV685" i="5"/>
  <c r="IP685" i="5"/>
  <c r="D685" i="5"/>
  <c r="KW684" i="5"/>
  <c r="IY684" i="5"/>
  <c r="IV684" i="5"/>
  <c r="S128" i="7" s="1"/>
  <c r="IR684" i="5"/>
  <c r="O128" i="7" s="1"/>
  <c r="IQ684" i="5"/>
  <c r="N128" i="7" s="1"/>
  <c r="IP684" i="5"/>
  <c r="M128" i="7" s="1"/>
  <c r="D684" i="5"/>
  <c r="JL683" i="5"/>
  <c r="JI683" i="5"/>
  <c r="JF683" i="5"/>
  <c r="JC683" i="5"/>
  <c r="IZ683" i="5"/>
  <c r="IY683" i="5"/>
  <c r="IW683" i="5"/>
  <c r="IV683" i="5"/>
  <c r="S127" i="7" s="1"/>
  <c r="IT683" i="5"/>
  <c r="Q127" i="7" s="1"/>
  <c r="IP683" i="5"/>
  <c r="M127" i="7" s="1"/>
  <c r="IN683" i="5"/>
  <c r="J127" i="7" s="1"/>
  <c r="D683" i="5"/>
  <c r="IY682" i="5"/>
  <c r="T126" i="7" s="1"/>
  <c r="IV682" i="5"/>
  <c r="S126" i="7" s="1"/>
  <c r="IP682" i="5"/>
  <c r="IP1207" i="5" s="1"/>
  <c r="EX682" i="5"/>
  <c r="EW682" i="5"/>
  <c r="EV682" i="5"/>
  <c r="EU682" i="5"/>
  <c r="ET682" i="5"/>
  <c r="ES682" i="5"/>
  <c r="ER682" i="5"/>
  <c r="EQ682" i="5"/>
  <c r="EP682" i="5"/>
  <c r="EO682" i="5"/>
  <c r="EN682" i="5"/>
  <c r="EM682" i="5"/>
  <c r="EL682" i="5"/>
  <c r="EK682" i="5"/>
  <c r="EJ682" i="5"/>
  <c r="EI682" i="5"/>
  <c r="EH682" i="5"/>
  <c r="EG682" i="5"/>
  <c r="EF682" i="5"/>
  <c r="EE682" i="5"/>
  <c r="ED682" i="5"/>
  <c r="EC682" i="5"/>
  <c r="EB682" i="5"/>
  <c r="EA682" i="5"/>
  <c r="DZ682" i="5"/>
  <c r="DY682" i="5"/>
  <c r="DX682" i="5"/>
  <c r="DW682" i="5"/>
  <c r="DV682" i="5"/>
  <c r="DU682" i="5"/>
  <c r="DT682" i="5"/>
  <c r="DS682" i="5"/>
  <c r="DR682" i="5"/>
  <c r="DR743" i="5" s="1"/>
  <c r="DQ682" i="5"/>
  <c r="DQ743" i="5" s="1"/>
  <c r="DP682" i="5"/>
  <c r="DP743" i="5" s="1"/>
  <c r="DO682" i="5"/>
  <c r="DO743" i="5" s="1"/>
  <c r="DN682" i="5"/>
  <c r="DM682" i="5"/>
  <c r="DL682" i="5"/>
  <c r="DL743" i="5" s="1"/>
  <c r="DK682" i="5"/>
  <c r="DJ682" i="5"/>
  <c r="DJ743" i="5" s="1"/>
  <c r="DI682" i="5"/>
  <c r="DI743" i="5" s="1"/>
  <c r="DH682" i="5"/>
  <c r="DH743" i="5" s="1"/>
  <c r="DG682" i="5"/>
  <c r="DG743" i="5" s="1"/>
  <c r="DF682" i="5"/>
  <c r="DF743" i="5" s="1"/>
  <c r="DE682" i="5"/>
  <c r="DE743" i="5" s="1"/>
  <c r="DD682" i="5"/>
  <c r="DD743" i="5" s="1"/>
  <c r="DC682" i="5"/>
  <c r="DB682" i="5"/>
  <c r="DA682" i="5"/>
  <c r="CZ682" i="5"/>
  <c r="CY682" i="5"/>
  <c r="CX682" i="5"/>
  <c r="CW682" i="5"/>
  <c r="CV682" i="5"/>
  <c r="CU682" i="5"/>
  <c r="CT682" i="5"/>
  <c r="CS682" i="5"/>
  <c r="CR682" i="5"/>
  <c r="CQ682" i="5"/>
  <c r="CP682" i="5"/>
  <c r="CO682" i="5"/>
  <c r="CN682" i="5"/>
  <c r="CM682" i="5"/>
  <c r="CL682" i="5"/>
  <c r="CK682" i="5"/>
  <c r="CJ682" i="5"/>
  <c r="CI682" i="5"/>
  <c r="CH682" i="5"/>
  <c r="CG682" i="5"/>
  <c r="CF682" i="5"/>
  <c r="CE682" i="5"/>
  <c r="IY681" i="5"/>
  <c r="IY742" i="5" s="1"/>
  <c r="IV681" i="5"/>
  <c r="IV742" i="5" s="1"/>
  <c r="IP681" i="5"/>
  <c r="IP743" i="5" s="1"/>
  <c r="D681" i="5"/>
  <c r="D742" i="5" s="1"/>
  <c r="JL680" i="5"/>
  <c r="JI680" i="5"/>
  <c r="JF680" i="5"/>
  <c r="JC680" i="5"/>
  <c r="IZ680" i="5"/>
  <c r="IW680" i="5"/>
  <c r="IV680" i="5"/>
  <c r="S124" i="7" s="1"/>
  <c r="IT680" i="5"/>
  <c r="Q124" i="7" s="1"/>
  <c r="IP680" i="5"/>
  <c r="ID680" i="5"/>
  <c r="EX680" i="5"/>
  <c r="EW680" i="5"/>
  <c r="EV680" i="5"/>
  <c r="EU680" i="5"/>
  <c r="ET680" i="5"/>
  <c r="ES680" i="5"/>
  <c r="ER680" i="5"/>
  <c r="EQ680" i="5"/>
  <c r="EP680" i="5"/>
  <c r="EO680" i="5"/>
  <c r="EN680" i="5"/>
  <c r="EM680" i="5"/>
  <c r="EL680" i="5"/>
  <c r="EK680" i="5"/>
  <c r="EJ680" i="5"/>
  <c r="EI680" i="5"/>
  <c r="EH680" i="5"/>
  <c r="EG680" i="5"/>
  <c r="EF680" i="5"/>
  <c r="EE680" i="5"/>
  <c r="ED680" i="5"/>
  <c r="EC680" i="5"/>
  <c r="EB680" i="5"/>
  <c r="EA680" i="5"/>
  <c r="DZ680" i="5"/>
  <c r="DY680" i="5"/>
  <c r="DX680" i="5"/>
  <c r="DW680" i="5"/>
  <c r="DV680" i="5"/>
  <c r="DU680" i="5"/>
  <c r="DT680" i="5"/>
  <c r="DS680" i="5"/>
  <c r="DR680" i="5"/>
  <c r="DQ680" i="5"/>
  <c r="DP680" i="5"/>
  <c r="DO680" i="5"/>
  <c r="DN680" i="5"/>
  <c r="DM680" i="5"/>
  <c r="DL680" i="5"/>
  <c r="DK680" i="5"/>
  <c r="DJ680" i="5"/>
  <c r="DI680" i="5"/>
  <c r="DH680" i="5"/>
  <c r="DG680" i="5"/>
  <c r="DF680" i="5"/>
  <c r="DE680" i="5"/>
  <c r="DD680" i="5"/>
  <c r="DC680" i="5"/>
  <c r="DB680" i="5"/>
  <c r="DA680" i="5"/>
  <c r="CZ680" i="5"/>
  <c r="CY680" i="5"/>
  <c r="CX680" i="5"/>
  <c r="CW680" i="5"/>
  <c r="CV680" i="5"/>
  <c r="CU680" i="5"/>
  <c r="CT680" i="5"/>
  <c r="CS680" i="5"/>
  <c r="CR680" i="5"/>
  <c r="CQ680" i="5"/>
  <c r="CP680" i="5"/>
  <c r="CO680" i="5"/>
  <c r="CN680" i="5"/>
  <c r="CM680" i="5"/>
  <c r="CL680" i="5"/>
  <c r="CK680" i="5"/>
  <c r="CJ680" i="5"/>
  <c r="CI680" i="5"/>
  <c r="CH680" i="5"/>
  <c r="CG680" i="5"/>
  <c r="CF680" i="5"/>
  <c r="CE680" i="5"/>
  <c r="D680" i="5"/>
  <c r="JN679" i="5"/>
  <c r="JL679" i="5" s="1"/>
  <c r="JM679" i="5" s="1"/>
  <c r="JK679" i="5"/>
  <c r="JH679" i="5"/>
  <c r="JF679" i="5" s="1"/>
  <c r="JG679" i="5" s="1"/>
  <c r="JE679" i="5"/>
  <c r="JC679" i="5" s="1"/>
  <c r="JB679" i="5"/>
  <c r="IY679" i="5"/>
  <c r="IV679" i="5"/>
  <c r="S123" i="7" s="1"/>
  <c r="IR679" i="5"/>
  <c r="O123" i="7" s="1"/>
  <c r="IQ679" i="5"/>
  <c r="IP679" i="5"/>
  <c r="M123" i="7" s="1"/>
  <c r="IL679" i="5"/>
  <c r="I123" i="7" s="1"/>
  <c r="IK679" i="5"/>
  <c r="IG679" i="5"/>
  <c r="IF679" i="5"/>
  <c r="C123" i="7" s="1"/>
  <c r="IE679" i="5"/>
  <c r="ID679" i="5"/>
  <c r="D679" i="5"/>
  <c r="JN678" i="5"/>
  <c r="JL678" i="5" s="1"/>
  <c r="JM678" i="5" s="1"/>
  <c r="JK678" i="5"/>
  <c r="JI678" i="5" s="1"/>
  <c r="JJ678" i="5" s="1"/>
  <c r="JH678" i="5"/>
  <c r="JE678" i="5"/>
  <c r="JB678" i="5"/>
  <c r="IZ678" i="5" s="1"/>
  <c r="IY678" i="5"/>
  <c r="T122" i="7" s="1"/>
  <c r="IV678" i="5"/>
  <c r="S122" i="7" s="1"/>
  <c r="IR678" i="5"/>
  <c r="O122" i="7" s="1"/>
  <c r="IQ678" i="5"/>
  <c r="IP678" i="5"/>
  <c r="M122" i="7" s="1"/>
  <c r="IL678" i="5"/>
  <c r="I122" i="7" s="1"/>
  <c r="IK678" i="5"/>
  <c r="G122" i="7" s="1"/>
  <c r="IG678" i="5"/>
  <c r="IF678" i="5"/>
  <c r="C122" i="7" s="1"/>
  <c r="IE678" i="5"/>
  <c r="ID678" i="5"/>
  <c r="D678" i="5"/>
  <c r="JN677" i="5"/>
  <c r="JK677" i="5"/>
  <c r="JI677" i="5" s="1"/>
  <c r="JH677" i="5"/>
  <c r="JF677" i="5" s="1"/>
  <c r="JE677" i="5"/>
  <c r="JC677" i="5" s="1"/>
  <c r="JD677" i="5" s="1"/>
  <c r="JB677" i="5"/>
  <c r="IZ677" i="5" s="1"/>
  <c r="JA677" i="5" s="1"/>
  <c r="IY677" i="5"/>
  <c r="T121" i="7" s="1"/>
  <c r="IV677" i="5"/>
  <c r="S121" i="7" s="1"/>
  <c r="IR677" i="5"/>
  <c r="O121" i="7" s="1"/>
  <c r="IQ677" i="5"/>
  <c r="N121" i="7" s="1"/>
  <c r="IP677" i="5"/>
  <c r="M121" i="7" s="1"/>
  <c r="IL677" i="5"/>
  <c r="I121" i="7" s="1"/>
  <c r="IK677" i="5"/>
  <c r="G121" i="7" s="1"/>
  <c r="IG677" i="5"/>
  <c r="IF677" i="5"/>
  <c r="C121" i="7" s="1"/>
  <c r="IE677" i="5"/>
  <c r="ID677" i="5"/>
  <c r="D677" i="5"/>
  <c r="JL676" i="5"/>
  <c r="JI676" i="5"/>
  <c r="JF676" i="5"/>
  <c r="JC676" i="5"/>
  <c r="IZ676" i="5"/>
  <c r="IW676" i="5"/>
  <c r="IV676" i="5"/>
  <c r="IT676" i="5"/>
  <c r="Q120" i="7" s="1"/>
  <c r="IP676" i="5"/>
  <c r="M120" i="7" s="1"/>
  <c r="IN676" i="5"/>
  <c r="J120" i="7" s="1"/>
  <c r="EX676" i="5"/>
  <c r="EW676" i="5"/>
  <c r="EV676" i="5"/>
  <c r="EU676" i="5"/>
  <c r="ET676" i="5"/>
  <c r="ES676" i="5"/>
  <c r="ER676" i="5"/>
  <c r="EQ676" i="5"/>
  <c r="EP676" i="5"/>
  <c r="EO676" i="5"/>
  <c r="EN676" i="5"/>
  <c r="EM676" i="5"/>
  <c r="EL676" i="5"/>
  <c r="EK676" i="5"/>
  <c r="EJ676" i="5"/>
  <c r="EI676" i="5"/>
  <c r="EH676" i="5"/>
  <c r="EG676" i="5"/>
  <c r="EF676" i="5"/>
  <c r="EE676" i="5"/>
  <c r="ED676" i="5"/>
  <c r="EC676" i="5"/>
  <c r="EB676" i="5"/>
  <c r="EA676" i="5"/>
  <c r="DZ676" i="5"/>
  <c r="DY676" i="5"/>
  <c r="DX676" i="5"/>
  <c r="DW676" i="5"/>
  <c r="DV676" i="5"/>
  <c r="DU676" i="5"/>
  <c r="DT676" i="5"/>
  <c r="DS676" i="5"/>
  <c r="DR676" i="5"/>
  <c r="DQ676" i="5"/>
  <c r="DP676" i="5"/>
  <c r="DO676" i="5"/>
  <c r="DN676" i="5"/>
  <c r="DM676" i="5"/>
  <c r="DL676" i="5"/>
  <c r="DK676" i="5"/>
  <c r="DJ676" i="5"/>
  <c r="DI676" i="5"/>
  <c r="DH676" i="5"/>
  <c r="DG676" i="5"/>
  <c r="DF676" i="5"/>
  <c r="DE676" i="5"/>
  <c r="DD676" i="5"/>
  <c r="DC676" i="5"/>
  <c r="DB676" i="5"/>
  <c r="DA676" i="5"/>
  <c r="CZ676" i="5"/>
  <c r="CY676" i="5"/>
  <c r="CX676" i="5"/>
  <c r="CW676" i="5"/>
  <c r="CV676" i="5"/>
  <c r="CU676" i="5"/>
  <c r="CT676" i="5"/>
  <c r="CS676" i="5"/>
  <c r="CR676" i="5"/>
  <c r="CQ676" i="5"/>
  <c r="CP676" i="5"/>
  <c r="CO676" i="5"/>
  <c r="CN676" i="5"/>
  <c r="CM676" i="5"/>
  <c r="CL676" i="5"/>
  <c r="CK676" i="5"/>
  <c r="CJ676" i="5"/>
  <c r="CI676" i="5"/>
  <c r="CH676" i="5"/>
  <c r="CG676" i="5"/>
  <c r="CF676" i="5"/>
  <c r="CE676" i="5"/>
  <c r="D676" i="5"/>
  <c r="JL675" i="5"/>
  <c r="JM675" i="5" s="1"/>
  <c r="JI675" i="5"/>
  <c r="JJ675" i="5" s="1"/>
  <c r="JF675" i="5"/>
  <c r="JG675" i="5" s="1"/>
  <c r="JC675" i="5"/>
  <c r="JD675" i="5" s="1"/>
  <c r="IZ675" i="5"/>
  <c r="IW675" i="5"/>
  <c r="Q119" i="7" s="1"/>
  <c r="IV675" i="5"/>
  <c r="IR675" i="5"/>
  <c r="O119" i="7" s="1"/>
  <c r="IQ675" i="5"/>
  <c r="IP675" i="5"/>
  <c r="M119" i="7" s="1"/>
  <c r="IL675" i="5"/>
  <c r="I119" i="7" s="1"/>
  <c r="IK675" i="5"/>
  <c r="G119" i="7" s="1"/>
  <c r="JN674" i="5"/>
  <c r="JM674" i="5" s="1"/>
  <c r="JK674" i="5"/>
  <c r="JJ674" i="5" s="1"/>
  <c r="JH674" i="5"/>
  <c r="JE674" i="5"/>
  <c r="JB674" i="5"/>
  <c r="IY674" i="5"/>
  <c r="T118" i="7" s="1"/>
  <c r="IV674" i="5"/>
  <c r="S118" i="7" s="1"/>
  <c r="IP674" i="5"/>
  <c r="M118" i="7" s="1"/>
  <c r="ID674" i="5"/>
  <c r="EX674" i="5"/>
  <c r="EW674" i="5"/>
  <c r="EV674" i="5"/>
  <c r="EU674" i="5"/>
  <c r="ET674" i="5"/>
  <c r="ES674" i="5"/>
  <c r="ER674" i="5"/>
  <c r="EQ674" i="5"/>
  <c r="EP674" i="5"/>
  <c r="EO674" i="5"/>
  <c r="EN674" i="5"/>
  <c r="EM674" i="5"/>
  <c r="EL674" i="5"/>
  <c r="EK674" i="5"/>
  <c r="EJ674" i="5"/>
  <c r="EI674" i="5"/>
  <c r="EH674" i="5"/>
  <c r="EG674" i="5"/>
  <c r="EF674" i="5"/>
  <c r="EE674" i="5"/>
  <c r="ED674" i="5"/>
  <c r="EC674" i="5"/>
  <c r="EB674" i="5"/>
  <c r="EA674" i="5"/>
  <c r="DZ674" i="5"/>
  <c r="DY674" i="5"/>
  <c r="DX674" i="5"/>
  <c r="DW674" i="5"/>
  <c r="DV674" i="5"/>
  <c r="DU674" i="5"/>
  <c r="DT674" i="5"/>
  <c r="DS674" i="5"/>
  <c r="DR674" i="5"/>
  <c r="DQ674" i="5"/>
  <c r="DP674" i="5"/>
  <c r="DO674" i="5"/>
  <c r="DN674" i="5"/>
  <c r="DM674" i="5"/>
  <c r="DL674" i="5"/>
  <c r="DK674" i="5"/>
  <c r="DJ674" i="5"/>
  <c r="DI674" i="5"/>
  <c r="DH674" i="5"/>
  <c r="DG674" i="5"/>
  <c r="DF674" i="5"/>
  <c r="DE674" i="5"/>
  <c r="DD674" i="5"/>
  <c r="DC674" i="5"/>
  <c r="DB674" i="5"/>
  <c r="DA674" i="5"/>
  <c r="CZ674" i="5"/>
  <c r="CY674" i="5"/>
  <c r="CX674" i="5"/>
  <c r="CW674" i="5"/>
  <c r="CV674" i="5"/>
  <c r="CU674" i="5"/>
  <c r="CT674" i="5"/>
  <c r="CS674" i="5"/>
  <c r="CR674" i="5"/>
  <c r="CQ674" i="5"/>
  <c r="CP674" i="5"/>
  <c r="CO674" i="5"/>
  <c r="CN674" i="5"/>
  <c r="CM674" i="5"/>
  <c r="CL674" i="5"/>
  <c r="CK674" i="5"/>
  <c r="CJ674" i="5"/>
  <c r="CI674" i="5"/>
  <c r="CH674" i="5"/>
  <c r="CG674" i="5"/>
  <c r="CF674" i="5"/>
  <c r="CE674" i="5"/>
  <c r="D674" i="5"/>
  <c r="JN673" i="5"/>
  <c r="JM673" i="5" s="1"/>
  <c r="JK673" i="5"/>
  <c r="JJ673" i="5" s="1"/>
  <c r="JH673" i="5"/>
  <c r="JE673" i="5"/>
  <c r="IY673" i="5"/>
  <c r="T117" i="7" s="1"/>
  <c r="IV673" i="5"/>
  <c r="S117" i="7" s="1"/>
  <c r="IP673" i="5"/>
  <c r="M117" i="7" s="1"/>
  <c r="ID673" i="5"/>
  <c r="EX673" i="5"/>
  <c r="EW673" i="5"/>
  <c r="EV673" i="5"/>
  <c r="EU673" i="5"/>
  <c r="ET673" i="5"/>
  <c r="ES673" i="5"/>
  <c r="ER673" i="5"/>
  <c r="EQ673" i="5"/>
  <c r="EP673" i="5"/>
  <c r="EO673" i="5"/>
  <c r="EN673" i="5"/>
  <c r="EM673" i="5"/>
  <c r="EL673" i="5"/>
  <c r="EK673" i="5"/>
  <c r="EJ673" i="5"/>
  <c r="EI673" i="5"/>
  <c r="EH673" i="5"/>
  <c r="EG673" i="5"/>
  <c r="EF673" i="5"/>
  <c r="EE673" i="5"/>
  <c r="ED673" i="5"/>
  <c r="EC673" i="5"/>
  <c r="EB673" i="5"/>
  <c r="EA673" i="5"/>
  <c r="DZ673" i="5"/>
  <c r="DY673" i="5"/>
  <c r="DX673" i="5"/>
  <c r="DW673" i="5"/>
  <c r="DV673" i="5"/>
  <c r="DU673" i="5"/>
  <c r="DT673" i="5"/>
  <c r="DS673" i="5"/>
  <c r="DR673" i="5"/>
  <c r="DQ673" i="5"/>
  <c r="DP673" i="5"/>
  <c r="DO673" i="5"/>
  <c r="DN673" i="5"/>
  <c r="DM673" i="5"/>
  <c r="DL673" i="5"/>
  <c r="DK673" i="5"/>
  <c r="DJ673" i="5"/>
  <c r="DI673" i="5"/>
  <c r="DH673" i="5"/>
  <c r="DG673" i="5"/>
  <c r="DF673" i="5"/>
  <c r="DE673" i="5"/>
  <c r="DD673" i="5"/>
  <c r="DC673" i="5"/>
  <c r="DB673" i="5"/>
  <c r="DA673" i="5"/>
  <c r="CZ673" i="5"/>
  <c r="CY673" i="5"/>
  <c r="CX673" i="5"/>
  <c r="CW673" i="5"/>
  <c r="CV673" i="5"/>
  <c r="CU673" i="5"/>
  <c r="CT673" i="5"/>
  <c r="CS673" i="5"/>
  <c r="CR673" i="5"/>
  <c r="CQ673" i="5"/>
  <c r="CP673" i="5"/>
  <c r="CO673" i="5"/>
  <c r="CN673" i="5"/>
  <c r="CM673" i="5"/>
  <c r="CL673" i="5"/>
  <c r="CK673" i="5"/>
  <c r="CJ673" i="5"/>
  <c r="CI673" i="5"/>
  <c r="CH673" i="5"/>
  <c r="CG673" i="5"/>
  <c r="CF673" i="5"/>
  <c r="CE673" i="5"/>
  <c r="D673" i="5"/>
  <c r="IV672" i="5"/>
  <c r="IT672" i="5" s="1"/>
  <c r="IT671" i="5" s="1"/>
  <c r="JL671" i="5"/>
  <c r="JI671" i="5"/>
  <c r="JF671" i="5"/>
  <c r="JC671" i="5"/>
  <c r="IZ671" i="5"/>
  <c r="IW671" i="5"/>
  <c r="IV671" i="5"/>
  <c r="S116" i="7" s="1"/>
  <c r="IP671" i="5"/>
  <c r="M116" i="7" s="1"/>
  <c r="IN671" i="5"/>
  <c r="EX671" i="5"/>
  <c r="EW671" i="5"/>
  <c r="EV671" i="5"/>
  <c r="EU671" i="5"/>
  <c r="ET671" i="5"/>
  <c r="ES671" i="5"/>
  <c r="ER671" i="5"/>
  <c r="EQ671" i="5"/>
  <c r="EP671" i="5"/>
  <c r="EO671" i="5"/>
  <c r="EN671" i="5"/>
  <c r="EM671" i="5"/>
  <c r="EL671" i="5"/>
  <c r="EK671" i="5"/>
  <c r="EJ671" i="5"/>
  <c r="EI671" i="5"/>
  <c r="EH671" i="5"/>
  <c r="EG671" i="5"/>
  <c r="EF671" i="5"/>
  <c r="EE671" i="5"/>
  <c r="ED671" i="5"/>
  <c r="EC671" i="5"/>
  <c r="EB671" i="5"/>
  <c r="EA671" i="5"/>
  <c r="DZ671" i="5"/>
  <c r="DY671" i="5"/>
  <c r="DX671" i="5"/>
  <c r="DW671" i="5"/>
  <c r="DV671" i="5"/>
  <c r="DU671" i="5"/>
  <c r="DT671" i="5"/>
  <c r="DS671" i="5"/>
  <c r="DR671" i="5"/>
  <c r="DQ671" i="5"/>
  <c r="DP671" i="5"/>
  <c r="DO671" i="5"/>
  <c r="DN671" i="5"/>
  <c r="DM671" i="5"/>
  <c r="DL671" i="5"/>
  <c r="DK671" i="5"/>
  <c r="DJ671" i="5"/>
  <c r="DI671" i="5"/>
  <c r="DH671" i="5"/>
  <c r="DG671" i="5"/>
  <c r="DF671" i="5"/>
  <c r="DE671" i="5"/>
  <c r="DD671" i="5"/>
  <c r="DC671" i="5"/>
  <c r="DB671" i="5"/>
  <c r="DA671" i="5"/>
  <c r="CZ671" i="5"/>
  <c r="CY671" i="5"/>
  <c r="CX671" i="5"/>
  <c r="CW671" i="5"/>
  <c r="CV671" i="5"/>
  <c r="CU671" i="5"/>
  <c r="CT671" i="5"/>
  <c r="CS671" i="5"/>
  <c r="CR671" i="5"/>
  <c r="CQ671" i="5"/>
  <c r="CP671" i="5"/>
  <c r="CO671" i="5"/>
  <c r="CN671" i="5"/>
  <c r="CM671" i="5"/>
  <c r="CL671" i="5"/>
  <c r="CK671" i="5"/>
  <c r="CJ671" i="5"/>
  <c r="CI671" i="5"/>
  <c r="CH671" i="5"/>
  <c r="CG671" i="5"/>
  <c r="CF671" i="5"/>
  <c r="CE671" i="5"/>
  <c r="D671" i="5"/>
  <c r="LB670" i="5"/>
  <c r="LB669" i="5" s="1"/>
  <c r="LB739" i="5" s="1"/>
  <c r="LA670" i="5"/>
  <c r="LA669" i="5" s="1"/>
  <c r="LA739" i="5" s="1"/>
  <c r="KZ670" i="5"/>
  <c r="KZ669" i="5" s="1"/>
  <c r="KZ739" i="5" s="1"/>
  <c r="KY670" i="5"/>
  <c r="KY669" i="5" s="1"/>
  <c r="KY739" i="5" s="1"/>
  <c r="IY670" i="5"/>
  <c r="T115" i="7" s="1"/>
  <c r="IV670" i="5"/>
  <c r="S115" i="7" s="1"/>
  <c r="IP670" i="5"/>
  <c r="M115" i="7" s="1"/>
  <c r="CD670" i="5"/>
  <c r="CD669" i="5" s="1"/>
  <c r="CD1253" i="5" s="1"/>
  <c r="CC670" i="5"/>
  <c r="CC669" i="5" s="1"/>
  <c r="CC739" i="5" s="1"/>
  <c r="CB670" i="5"/>
  <c r="CB669" i="5" s="1"/>
  <c r="CA670" i="5"/>
  <c r="CA669" i="5" s="1"/>
  <c r="CA1253" i="5" s="1"/>
  <c r="BZ670" i="5"/>
  <c r="BZ669" i="5" s="1"/>
  <c r="BY670" i="5"/>
  <c r="BY669" i="5" s="1"/>
  <c r="BY1253" i="5" s="1"/>
  <c r="BX670" i="5"/>
  <c r="BX669" i="5" s="1"/>
  <c r="BW670" i="5"/>
  <c r="BW669" i="5" s="1"/>
  <c r="BV670" i="5"/>
  <c r="BV669" i="5" s="1"/>
  <c r="BU670" i="5"/>
  <c r="BU669" i="5" s="1"/>
  <c r="BU739" i="5" s="1"/>
  <c r="BT670" i="5"/>
  <c r="BT669" i="5" s="1"/>
  <c r="BS670" i="5"/>
  <c r="BS669" i="5" s="1"/>
  <c r="BS1253" i="5" s="1"/>
  <c r="BR670" i="5"/>
  <c r="BR669" i="5" s="1"/>
  <c r="BQ670" i="5"/>
  <c r="BQ669" i="5" s="1"/>
  <c r="BQ1253" i="5" s="1"/>
  <c r="BP670" i="5"/>
  <c r="BP669" i="5" s="1"/>
  <c r="BP1253" i="5" s="1"/>
  <c r="BO670" i="5"/>
  <c r="BO669" i="5" s="1"/>
  <c r="BO1253" i="5" s="1"/>
  <c r="BN670" i="5"/>
  <c r="BN669" i="5" s="1"/>
  <c r="BM670" i="5"/>
  <c r="BM669" i="5" s="1"/>
  <c r="BM739" i="5" s="1"/>
  <c r="BL670" i="5"/>
  <c r="BL669" i="5" s="1"/>
  <c r="BK670" i="5"/>
  <c r="BK669" i="5" s="1"/>
  <c r="BJ670" i="5"/>
  <c r="BJ669" i="5" s="1"/>
  <c r="BJ739" i="5" s="1"/>
  <c r="BI670" i="5"/>
  <c r="BI669" i="5" s="1"/>
  <c r="BH670" i="5"/>
  <c r="BH669" i="5" s="1"/>
  <c r="BG670" i="5"/>
  <c r="BG669" i="5" s="1"/>
  <c r="BF670" i="5"/>
  <c r="BF669" i="5" s="1"/>
  <c r="BF1253" i="5" s="1"/>
  <c r="BE670" i="5"/>
  <c r="BE669" i="5" s="1"/>
  <c r="BD670" i="5"/>
  <c r="BD669" i="5" s="1"/>
  <c r="BC670" i="5"/>
  <c r="BC669" i="5" s="1"/>
  <c r="BB670" i="5"/>
  <c r="BB669" i="5" s="1"/>
  <c r="BB739" i="5" s="1"/>
  <c r="BA670" i="5"/>
  <c r="BA669" i="5" s="1"/>
  <c r="AZ670" i="5"/>
  <c r="AZ669" i="5" s="1"/>
  <c r="AZ1253" i="5" s="1"/>
  <c r="AY670" i="5"/>
  <c r="AY669" i="5" s="1"/>
  <c r="AX670" i="5"/>
  <c r="AX669" i="5" s="1"/>
  <c r="AW670" i="5"/>
  <c r="AW669" i="5" s="1"/>
  <c r="AV670" i="5"/>
  <c r="AV669" i="5" s="1"/>
  <c r="AV1253" i="5" s="1"/>
  <c r="AU670" i="5"/>
  <c r="AU669" i="5" s="1"/>
  <c r="AT670" i="5"/>
  <c r="AT669" i="5" s="1"/>
  <c r="AS670" i="5"/>
  <c r="AS669" i="5" s="1"/>
  <c r="AR670" i="5"/>
  <c r="AR669" i="5" s="1"/>
  <c r="AQ670" i="5"/>
  <c r="AQ669" i="5" s="1"/>
  <c r="AP670" i="5"/>
  <c r="AP669" i="5" s="1"/>
  <c r="AP739" i="5" s="1"/>
  <c r="AO670" i="5"/>
  <c r="AO669" i="5" s="1"/>
  <c r="AN670" i="5"/>
  <c r="AN669" i="5" s="1"/>
  <c r="AN1253" i="5" s="1"/>
  <c r="AM670" i="5"/>
  <c r="AM669" i="5" s="1"/>
  <c r="AM1253" i="5" s="1"/>
  <c r="AL670" i="5"/>
  <c r="AL669" i="5" s="1"/>
  <c r="AK670" i="5"/>
  <c r="AK669" i="5" s="1"/>
  <c r="AK739" i="5" s="1"/>
  <c r="AJ670" i="5"/>
  <c r="AJ669" i="5" s="1"/>
  <c r="AI670" i="5"/>
  <c r="AI669" i="5" s="1"/>
  <c r="AH670" i="5"/>
  <c r="AH669" i="5" s="1"/>
  <c r="AH1253" i="5" s="1"/>
  <c r="AG670" i="5"/>
  <c r="AG669" i="5" s="1"/>
  <c r="AF670" i="5"/>
  <c r="AF669" i="5" s="1"/>
  <c r="AF1253" i="5" s="1"/>
  <c r="AE670" i="5"/>
  <c r="AE669" i="5" s="1"/>
  <c r="AE1253" i="5" s="1"/>
  <c r="AD670" i="5"/>
  <c r="AD669" i="5" s="1"/>
  <c r="AD1253" i="5" s="1"/>
  <c r="AC670" i="5"/>
  <c r="AC669" i="5" s="1"/>
  <c r="AB670" i="5"/>
  <c r="AB669" i="5" s="1"/>
  <c r="AA670" i="5"/>
  <c r="AA669" i="5" s="1"/>
  <c r="Z670" i="5"/>
  <c r="Z669" i="5" s="1"/>
  <c r="Y670" i="5"/>
  <c r="Y669" i="5" s="1"/>
  <c r="X670" i="5"/>
  <c r="X669" i="5" s="1"/>
  <c r="W670" i="5"/>
  <c r="W669" i="5" s="1"/>
  <c r="V670" i="5"/>
  <c r="V669" i="5" s="1"/>
  <c r="V739" i="5" s="1"/>
  <c r="U670" i="5"/>
  <c r="U669" i="5" s="1"/>
  <c r="T670" i="5"/>
  <c r="T669" i="5" s="1"/>
  <c r="S670" i="5"/>
  <c r="S669" i="5" s="1"/>
  <c r="R670" i="5"/>
  <c r="R669" i="5" s="1"/>
  <c r="Q670" i="5"/>
  <c r="Q669" i="5" s="1"/>
  <c r="Q739" i="5" s="1"/>
  <c r="P670" i="5"/>
  <c r="P669" i="5" s="1"/>
  <c r="P1253" i="5" s="1"/>
  <c r="O670" i="5"/>
  <c r="O669" i="5" s="1"/>
  <c r="N670" i="5"/>
  <c r="N669" i="5" s="1"/>
  <c r="N739" i="5" s="1"/>
  <c r="M670" i="5"/>
  <c r="M669" i="5" s="1"/>
  <c r="M1253" i="5" s="1"/>
  <c r="L670" i="5"/>
  <c r="L669" i="5" s="1"/>
  <c r="L1253" i="5" s="1"/>
  <c r="K670" i="5"/>
  <c r="K669" i="5" s="1"/>
  <c r="K1253" i="5" s="1"/>
  <c r="J670" i="5"/>
  <c r="J669" i="5" s="1"/>
  <c r="I670" i="5"/>
  <c r="I669" i="5" s="1"/>
  <c r="H670" i="5"/>
  <c r="H669" i="5" s="1"/>
  <c r="G670" i="5"/>
  <c r="G669" i="5" s="1"/>
  <c r="F670" i="5"/>
  <c r="F669" i="5" s="1"/>
  <c r="E670" i="5"/>
  <c r="E669" i="5" s="1"/>
  <c r="E1253" i="5" s="1"/>
  <c r="D670" i="5"/>
  <c r="IY669" i="5"/>
  <c r="IV669" i="5"/>
  <c r="S114" i="7" s="1"/>
  <c r="IP669" i="5"/>
  <c r="IP739" i="5" s="1"/>
  <c r="D669" i="5"/>
  <c r="D739" i="5" s="1"/>
  <c r="JN668" i="5"/>
  <c r="JL668" i="5" s="1"/>
  <c r="JM668" i="5" s="1"/>
  <c r="JK668" i="5"/>
  <c r="JI668" i="5" s="1"/>
  <c r="JJ668" i="5" s="1"/>
  <c r="JH668" i="5"/>
  <c r="JF668" i="5" s="1"/>
  <c r="JG668" i="5" s="1"/>
  <c r="JE668" i="5"/>
  <c r="JC668" i="5" s="1"/>
  <c r="JD668" i="5" s="1"/>
  <c r="JB668" i="5"/>
  <c r="IY668" i="5"/>
  <c r="IV668" i="5"/>
  <c r="S113" i="7" s="1"/>
  <c r="ID668" i="5"/>
  <c r="IY667" i="5"/>
  <c r="IV667" i="5"/>
  <c r="S112" i="7" s="1"/>
  <c r="IP667" i="5"/>
  <c r="D667" i="5"/>
  <c r="D738" i="5" s="1"/>
  <c r="JN666" i="5"/>
  <c r="JL666" i="5" s="1"/>
  <c r="JM666" i="5" s="1"/>
  <c r="JK666" i="5"/>
  <c r="JH666" i="5"/>
  <c r="JE666" i="5"/>
  <c r="JB666" i="5"/>
  <c r="IZ666" i="5" s="1"/>
  <c r="JA666" i="5" s="1"/>
  <c r="IY666" i="5"/>
  <c r="T111" i="7" s="1"/>
  <c r="IV666" i="5"/>
  <c r="S111" i="7" s="1"/>
  <c r="ID666" i="5"/>
  <c r="IY665" i="5"/>
  <c r="IY737" i="5" s="1"/>
  <c r="IV665" i="5"/>
  <c r="IP665" i="5"/>
  <c r="IP737" i="5" s="1"/>
  <c r="D665" i="5"/>
  <c r="D737" i="5" s="1"/>
  <c r="IY664" i="5"/>
  <c r="T109" i="7" s="1"/>
  <c r="IV664" i="5"/>
  <c r="IP664" i="5"/>
  <c r="M109" i="7" s="1"/>
  <c r="D664" i="5"/>
  <c r="D736" i="5" s="1"/>
  <c r="JN663" i="5"/>
  <c r="JL663" i="5" s="1"/>
  <c r="JM663" i="5" s="1"/>
  <c r="JK663" i="5"/>
  <c r="JI663" i="5" s="1"/>
  <c r="JJ663" i="5" s="1"/>
  <c r="JH663" i="5"/>
  <c r="JF663" i="5" s="1"/>
  <c r="JG663" i="5" s="1"/>
  <c r="JE663" i="5"/>
  <c r="JC663" i="5" s="1"/>
  <c r="JD663" i="5" s="1"/>
  <c r="JB663" i="5"/>
  <c r="IZ663" i="5" s="1"/>
  <c r="JA663" i="5" s="1"/>
  <c r="IY663" i="5"/>
  <c r="IV663" i="5"/>
  <c r="S108" i="7" s="1"/>
  <c r="D663" i="5"/>
  <c r="D735" i="5" s="1"/>
  <c r="JN662" i="5"/>
  <c r="JK662" i="5"/>
  <c r="JH662" i="5"/>
  <c r="JF662" i="5" s="1"/>
  <c r="JE662" i="5"/>
  <c r="JC662" i="5" s="1"/>
  <c r="JB662" i="5"/>
  <c r="IZ662" i="5" s="1"/>
  <c r="IY662" i="5"/>
  <c r="IV662" i="5"/>
  <c r="S107" i="7" s="1"/>
  <c r="JB661" i="5"/>
  <c r="IY661" i="5"/>
  <c r="T106" i="7" s="1"/>
  <c r="IV661" i="5"/>
  <c r="S106" i="7" s="1"/>
  <c r="IP661" i="5"/>
  <c r="IO661" i="5" s="1"/>
  <c r="EX661" i="5"/>
  <c r="EX660" i="5" s="1"/>
  <c r="EW661" i="5"/>
  <c r="EW660" i="5" s="1"/>
  <c r="EV661" i="5"/>
  <c r="EV660" i="5" s="1"/>
  <c r="EU661" i="5"/>
  <c r="EU660" i="5" s="1"/>
  <c r="ET661" i="5"/>
  <c r="ES661" i="5"/>
  <c r="ES660" i="5" s="1"/>
  <c r="ER661" i="5"/>
  <c r="ER660" i="5" s="1"/>
  <c r="EQ661" i="5"/>
  <c r="EQ660" i="5" s="1"/>
  <c r="EP661" i="5"/>
  <c r="EP660" i="5" s="1"/>
  <c r="EO661" i="5"/>
  <c r="EO660" i="5" s="1"/>
  <c r="EN661" i="5"/>
  <c r="EM661" i="5"/>
  <c r="EM660" i="5" s="1"/>
  <c r="EL661" i="5"/>
  <c r="EL660" i="5" s="1"/>
  <c r="EK661" i="5"/>
  <c r="EK660" i="5" s="1"/>
  <c r="EJ661" i="5"/>
  <c r="EJ660" i="5" s="1"/>
  <c r="EI661" i="5"/>
  <c r="EI660" i="5" s="1"/>
  <c r="EH661" i="5"/>
  <c r="EH660" i="5" s="1"/>
  <c r="EG661" i="5"/>
  <c r="EG660" i="5" s="1"/>
  <c r="EF661" i="5"/>
  <c r="EF660" i="5" s="1"/>
  <c r="EE661" i="5"/>
  <c r="EE660" i="5" s="1"/>
  <c r="ED661" i="5"/>
  <c r="ED660" i="5" s="1"/>
  <c r="EC661" i="5"/>
  <c r="EC660" i="5" s="1"/>
  <c r="EB661" i="5"/>
  <c r="EB660" i="5" s="1"/>
  <c r="EA661" i="5"/>
  <c r="EA660" i="5" s="1"/>
  <c r="DZ661" i="5"/>
  <c r="DZ660" i="5" s="1"/>
  <c r="DY661" i="5"/>
  <c r="DY660" i="5" s="1"/>
  <c r="DX661" i="5"/>
  <c r="DX660" i="5" s="1"/>
  <c r="DW661" i="5"/>
  <c r="DW660" i="5" s="1"/>
  <c r="DV661" i="5"/>
  <c r="DV660" i="5" s="1"/>
  <c r="DU661" i="5"/>
  <c r="DT661" i="5"/>
  <c r="DS661" i="5"/>
  <c r="DS733" i="5" s="1"/>
  <c r="DR661" i="5"/>
  <c r="DR660" i="5" s="1"/>
  <c r="DR732" i="5" s="1"/>
  <c r="DQ661" i="5"/>
  <c r="DQ733" i="5" s="1"/>
  <c r="DP661" i="5"/>
  <c r="DO661" i="5"/>
  <c r="DN661" i="5"/>
  <c r="DM661" i="5"/>
  <c r="DL661" i="5"/>
  <c r="DK661" i="5"/>
  <c r="DJ661" i="5"/>
  <c r="DI661" i="5"/>
  <c r="DH661" i="5"/>
  <c r="DG661" i="5"/>
  <c r="DG660" i="5" s="1"/>
  <c r="DG732" i="5" s="1"/>
  <c r="DF661" i="5"/>
  <c r="DE661" i="5"/>
  <c r="DD661" i="5"/>
  <c r="DC661" i="5"/>
  <c r="DC733" i="5" s="1"/>
  <c r="DB661" i="5"/>
  <c r="DA661" i="5"/>
  <c r="CZ661" i="5"/>
  <c r="CY661" i="5"/>
  <c r="CY733" i="5" s="1"/>
  <c r="CX661" i="5"/>
  <c r="CW661" i="5"/>
  <c r="CV661" i="5"/>
  <c r="CU661" i="5"/>
  <c r="CU660" i="5" s="1"/>
  <c r="CU732" i="5" s="1"/>
  <c r="CT661" i="5"/>
  <c r="CS661" i="5"/>
  <c r="CR661" i="5"/>
  <c r="CQ661" i="5"/>
  <c r="CP661" i="5"/>
  <c r="CP660" i="5" s="1"/>
  <c r="CP732" i="5" s="1"/>
  <c r="CO661" i="5"/>
  <c r="CN661" i="5"/>
  <c r="CM661" i="5"/>
  <c r="CL661" i="5"/>
  <c r="CK661" i="5"/>
  <c r="CJ661" i="5"/>
  <c r="CI661" i="5"/>
  <c r="CH661" i="5"/>
  <c r="CG661" i="5"/>
  <c r="CG733" i="5" s="1"/>
  <c r="CF661" i="5"/>
  <c r="CE661" i="5"/>
  <c r="D661" i="5"/>
  <c r="D733" i="5" s="1"/>
  <c r="LB660" i="5"/>
  <c r="LB732" i="5" s="1"/>
  <c r="LA660" i="5"/>
  <c r="LA732" i="5" s="1"/>
  <c r="KZ660" i="5"/>
  <c r="KZ732" i="5" s="1"/>
  <c r="KY660" i="5"/>
  <c r="KY732" i="5" s="1"/>
  <c r="IY660" i="5"/>
  <c r="IY732" i="5" s="1"/>
  <c r="IV660" i="5"/>
  <c r="IP660" i="5"/>
  <c r="M105" i="7" s="1"/>
  <c r="IN660" i="5"/>
  <c r="J105" i="7" s="1"/>
  <c r="D660" i="5"/>
  <c r="D732" i="5" s="1"/>
  <c r="IY659" i="5"/>
  <c r="T104" i="7" s="1"/>
  <c r="IV659" i="5"/>
  <c r="S104" i="7" s="1"/>
  <c r="IR659" i="5"/>
  <c r="O104" i="7" s="1"/>
  <c r="IQ659" i="5"/>
  <c r="N104" i="7" s="1"/>
  <c r="IY658" i="5"/>
  <c r="IV658" i="5"/>
  <c r="IP658" i="5"/>
  <c r="D658" i="5"/>
  <c r="D731" i="5" s="1"/>
  <c r="IY657" i="5"/>
  <c r="IV657" i="5"/>
  <c r="S102" i="7" s="1"/>
  <c r="IP657" i="5"/>
  <c r="D657" i="5"/>
  <c r="D730" i="5" s="1"/>
  <c r="JL656" i="5"/>
  <c r="JM656" i="5" s="1"/>
  <c r="JI656" i="5"/>
  <c r="JJ656" i="5" s="1"/>
  <c r="JF656" i="5"/>
  <c r="JG656" i="5" s="1"/>
  <c r="JC656" i="5"/>
  <c r="JD656" i="5" s="1"/>
  <c r="IZ656" i="5"/>
  <c r="JA656" i="5" s="1"/>
  <c r="IW656" i="5"/>
  <c r="IX656" i="5" s="1"/>
  <c r="IR656" i="5"/>
  <c r="IQ656" i="5"/>
  <c r="N101" i="7" s="1"/>
  <c r="IP656" i="5"/>
  <c r="M101" i="7" s="1"/>
  <c r="ID656" i="5"/>
  <c r="D656" i="5"/>
  <c r="D729" i="5" s="1"/>
  <c r="JL655" i="5"/>
  <c r="JM655" i="5" s="1"/>
  <c r="JI655" i="5"/>
  <c r="JJ655" i="5" s="1"/>
  <c r="JF655" i="5"/>
  <c r="JG655" i="5" s="1"/>
  <c r="JC655" i="5"/>
  <c r="JD655" i="5" s="1"/>
  <c r="IZ655" i="5"/>
  <c r="JA655" i="5" s="1"/>
  <c r="IW655" i="5"/>
  <c r="IX655" i="5" s="1"/>
  <c r="IR655" i="5"/>
  <c r="O100" i="7" s="1"/>
  <c r="IQ655" i="5"/>
  <c r="IP655" i="5"/>
  <c r="M100" i="7" s="1"/>
  <c r="ID655" i="5"/>
  <c r="IY654" i="5"/>
  <c r="T99" i="7" s="1"/>
  <c r="IV654" i="5"/>
  <c r="S99" i="7" s="1"/>
  <c r="IP654" i="5"/>
  <c r="M99" i="7" s="1"/>
  <c r="D654" i="5"/>
  <c r="IY653" i="5"/>
  <c r="T98" i="7" s="1"/>
  <c r="IV653" i="5"/>
  <c r="S98" i="7" s="1"/>
  <c r="IP653" i="5"/>
  <c r="M98" i="7" s="1"/>
  <c r="D653" i="5"/>
  <c r="IY652" i="5"/>
  <c r="T97" i="7" s="1"/>
  <c r="IV652" i="5"/>
  <c r="S97" i="7" s="1"/>
  <c r="IP652" i="5"/>
  <c r="M97" i="7" s="1"/>
  <c r="D652" i="5"/>
  <c r="JN651" i="5"/>
  <c r="JL651" i="5" s="1"/>
  <c r="JM651" i="5" s="1"/>
  <c r="JK651" i="5"/>
  <c r="JI651" i="5" s="1"/>
  <c r="JH651" i="5"/>
  <c r="JF651" i="5" s="1"/>
  <c r="JG651" i="5" s="1"/>
  <c r="JE651" i="5"/>
  <c r="JC651" i="5" s="1"/>
  <c r="JD651" i="5" s="1"/>
  <c r="JB651" i="5"/>
  <c r="IZ651" i="5" s="1"/>
  <c r="IY651" i="5"/>
  <c r="IV651" i="5"/>
  <c r="S96" i="7" s="1"/>
  <c r="IR651" i="5"/>
  <c r="IQ651" i="5"/>
  <c r="N96" i="7" s="1"/>
  <c r="IP651" i="5"/>
  <c r="M96" i="7" s="1"/>
  <c r="IL651" i="5"/>
  <c r="I96" i="7" s="1"/>
  <c r="IK651" i="5"/>
  <c r="IH651" i="5"/>
  <c r="IG651" i="5"/>
  <c r="IF651" i="5"/>
  <c r="C96" i="7" s="1"/>
  <c r="IE651" i="5"/>
  <c r="ID651" i="5"/>
  <c r="D651" i="5"/>
  <c r="JN650" i="5"/>
  <c r="JL650" i="5" s="1"/>
  <c r="JK650" i="5"/>
  <c r="JI650" i="5" s="1"/>
  <c r="JJ650" i="5" s="1"/>
  <c r="JH650" i="5"/>
  <c r="JE650" i="5"/>
  <c r="JC650" i="5" s="1"/>
  <c r="JB650" i="5"/>
  <c r="IZ650" i="5" s="1"/>
  <c r="IY650" i="5"/>
  <c r="IW650" i="5" s="1"/>
  <c r="IV650" i="5"/>
  <c r="S95" i="7" s="1"/>
  <c r="IR650" i="5"/>
  <c r="O95" i="7" s="1"/>
  <c r="IQ650" i="5"/>
  <c r="IP650" i="5"/>
  <c r="M95" i="7" s="1"/>
  <c r="IL650" i="5"/>
  <c r="I95" i="7" s="1"/>
  <c r="IK650" i="5"/>
  <c r="G95" i="7" s="1"/>
  <c r="IH650" i="5"/>
  <c r="D95" i="7" s="1"/>
  <c r="IG650" i="5"/>
  <c r="IF650" i="5"/>
  <c r="C95" i="7" s="1"/>
  <c r="IE650" i="5"/>
  <c r="ID650" i="5"/>
  <c r="D650" i="5"/>
  <c r="IY649" i="5"/>
  <c r="IW649" i="5" s="1"/>
  <c r="IX649" i="5" s="1"/>
  <c r="IV649" i="5"/>
  <c r="S94" i="7" s="1"/>
  <c r="IP649" i="5"/>
  <c r="IO649" i="5" s="1"/>
  <c r="L94" i="7" s="1"/>
  <c r="EX649" i="5"/>
  <c r="EW649" i="5"/>
  <c r="EV649" i="5"/>
  <c r="EU649" i="5"/>
  <c r="ET649" i="5"/>
  <c r="ES649" i="5"/>
  <c r="ER649" i="5"/>
  <c r="EQ649" i="5"/>
  <c r="EP649" i="5"/>
  <c r="EO649" i="5"/>
  <c r="EN649" i="5"/>
  <c r="EM649" i="5"/>
  <c r="EL649" i="5"/>
  <c r="EK649" i="5"/>
  <c r="EJ649" i="5"/>
  <c r="EI649" i="5"/>
  <c r="EH649" i="5"/>
  <c r="EG649" i="5"/>
  <c r="EF649" i="5"/>
  <c r="EE649" i="5"/>
  <c r="ED649" i="5"/>
  <c r="EC649" i="5"/>
  <c r="EB649" i="5"/>
  <c r="EA649" i="5"/>
  <c r="DZ649" i="5"/>
  <c r="DY649" i="5"/>
  <c r="DX649" i="5"/>
  <c r="DW649" i="5"/>
  <c r="DV649" i="5"/>
  <c r="DU649" i="5"/>
  <c r="DT649" i="5"/>
  <c r="DS649" i="5"/>
  <c r="DR649" i="5"/>
  <c r="DQ649" i="5"/>
  <c r="DP649" i="5"/>
  <c r="DO649" i="5"/>
  <c r="DN649" i="5"/>
  <c r="DM649" i="5"/>
  <c r="DL649" i="5"/>
  <c r="DK649" i="5"/>
  <c r="DJ649" i="5"/>
  <c r="DI649" i="5"/>
  <c r="DH649" i="5"/>
  <c r="DG649" i="5"/>
  <c r="DF649" i="5"/>
  <c r="DE649" i="5"/>
  <c r="DD649" i="5"/>
  <c r="DC649" i="5"/>
  <c r="DB649" i="5"/>
  <c r="DA649" i="5"/>
  <c r="CZ649" i="5"/>
  <c r="CY649" i="5"/>
  <c r="CX649" i="5"/>
  <c r="CW649" i="5"/>
  <c r="CV649" i="5"/>
  <c r="CU649" i="5"/>
  <c r="CT649" i="5"/>
  <c r="CS649" i="5"/>
  <c r="CR649" i="5"/>
  <c r="CQ649" i="5"/>
  <c r="CP649" i="5"/>
  <c r="CO649" i="5"/>
  <c r="CN649" i="5"/>
  <c r="CM649" i="5"/>
  <c r="CL649" i="5"/>
  <c r="CK649" i="5"/>
  <c r="CJ649" i="5"/>
  <c r="CI649" i="5"/>
  <c r="CH649" i="5"/>
  <c r="CG649" i="5"/>
  <c r="CF649" i="5"/>
  <c r="CE649" i="5"/>
  <c r="D649" i="5"/>
  <c r="IY648" i="5"/>
  <c r="IW648" i="5" s="1"/>
  <c r="IV648" i="5"/>
  <c r="IU648" i="5" s="1"/>
  <c r="IA648" i="5"/>
  <c r="JN647" i="5"/>
  <c r="JL647" i="5" s="1"/>
  <c r="JK647" i="5"/>
  <c r="JI647" i="5" s="1"/>
  <c r="JJ647" i="5" s="1"/>
  <c r="JH647" i="5"/>
  <c r="JF647" i="5" s="1"/>
  <c r="JG647" i="5" s="1"/>
  <c r="JE647" i="5"/>
  <c r="JC647" i="5" s="1"/>
  <c r="JD647" i="5" s="1"/>
  <c r="JB647" i="5"/>
  <c r="IZ647" i="5" s="1"/>
  <c r="JA647" i="5" s="1"/>
  <c r="IY647" i="5"/>
  <c r="IP647" i="5"/>
  <c r="M93" i="7" s="1"/>
  <c r="EX647" i="5"/>
  <c r="EW647" i="5"/>
  <c r="EV647" i="5"/>
  <c r="EU647" i="5"/>
  <c r="ET647" i="5"/>
  <c r="ES647" i="5"/>
  <c r="ER647" i="5"/>
  <c r="EQ647" i="5"/>
  <c r="EP647" i="5"/>
  <c r="EO647" i="5"/>
  <c r="EN647" i="5"/>
  <c r="EM647" i="5"/>
  <c r="EL647" i="5"/>
  <c r="EK647" i="5"/>
  <c r="EJ647" i="5"/>
  <c r="EI647" i="5"/>
  <c r="EH647" i="5"/>
  <c r="EG647" i="5"/>
  <c r="EF647" i="5"/>
  <c r="EE647" i="5"/>
  <c r="ED647" i="5"/>
  <c r="EC647" i="5"/>
  <c r="EB647" i="5"/>
  <c r="EA647" i="5"/>
  <c r="DZ647" i="5"/>
  <c r="DY647" i="5"/>
  <c r="DX647" i="5"/>
  <c r="DW647" i="5"/>
  <c r="DV647" i="5"/>
  <c r="DU647" i="5"/>
  <c r="DT647" i="5"/>
  <c r="DS647" i="5"/>
  <c r="DR647" i="5"/>
  <c r="DQ647" i="5"/>
  <c r="DP647" i="5"/>
  <c r="DO647" i="5"/>
  <c r="DN647" i="5"/>
  <c r="DM647" i="5"/>
  <c r="IY646" i="5"/>
  <c r="T92" i="7" s="1"/>
  <c r="IV646" i="5"/>
  <c r="IP646" i="5"/>
  <c r="M92" i="7" s="1"/>
  <c r="EX646" i="5"/>
  <c r="EX685" i="5" s="1"/>
  <c r="EW646" i="5"/>
  <c r="EW685" i="5" s="1"/>
  <c r="EV646" i="5"/>
  <c r="EV685" i="5" s="1"/>
  <c r="EU646" i="5"/>
  <c r="ET646" i="5"/>
  <c r="ET685" i="5" s="1"/>
  <c r="ES646" i="5"/>
  <c r="ES685" i="5" s="1"/>
  <c r="ER646" i="5"/>
  <c r="ER685" i="5" s="1"/>
  <c r="EQ646" i="5"/>
  <c r="EQ685" i="5" s="1"/>
  <c r="EP646" i="5"/>
  <c r="EP685" i="5" s="1"/>
  <c r="EO646" i="5"/>
  <c r="EO685" i="5" s="1"/>
  <c r="EN646" i="5"/>
  <c r="EN685" i="5" s="1"/>
  <c r="EM646" i="5"/>
  <c r="EM685" i="5" s="1"/>
  <c r="EL646" i="5"/>
  <c r="EL685" i="5" s="1"/>
  <c r="EK646" i="5"/>
  <c r="EK685" i="5" s="1"/>
  <c r="EJ646" i="5"/>
  <c r="EI646" i="5"/>
  <c r="EI685" i="5" s="1"/>
  <c r="EH646" i="5"/>
  <c r="EH685" i="5" s="1"/>
  <c r="EG646" i="5"/>
  <c r="EG685" i="5" s="1"/>
  <c r="EF646" i="5"/>
  <c r="EF685" i="5" s="1"/>
  <c r="EE646" i="5"/>
  <c r="EE685" i="5" s="1"/>
  <c r="ED646" i="5"/>
  <c r="EC646" i="5"/>
  <c r="EC685" i="5" s="1"/>
  <c r="EB646" i="5"/>
  <c r="EB685" i="5" s="1"/>
  <c r="EA646" i="5"/>
  <c r="EA685" i="5" s="1"/>
  <c r="DZ646" i="5"/>
  <c r="DZ685" i="5" s="1"/>
  <c r="DY646" i="5"/>
  <c r="DY685" i="5" s="1"/>
  <c r="DX646" i="5"/>
  <c r="DX685" i="5" s="1"/>
  <c r="DW646" i="5"/>
  <c r="DV646" i="5"/>
  <c r="DV685" i="5" s="1"/>
  <c r="DU646" i="5"/>
  <c r="DU685" i="5" s="1"/>
  <c r="DT646" i="5"/>
  <c r="DT685" i="5" s="1"/>
  <c r="DS646" i="5"/>
  <c r="DR646" i="5"/>
  <c r="DR685" i="5" s="1"/>
  <c r="DQ646" i="5"/>
  <c r="DP646" i="5"/>
  <c r="DP685" i="5" s="1"/>
  <c r="DO646" i="5"/>
  <c r="DO685" i="5" s="1"/>
  <c r="DN646" i="5"/>
  <c r="DN685" i="5" s="1"/>
  <c r="DM646" i="5"/>
  <c r="DM685" i="5" s="1"/>
  <c r="DL646" i="5"/>
  <c r="DL685" i="5" s="1"/>
  <c r="DK646" i="5"/>
  <c r="DK685" i="5" s="1"/>
  <c r="DJ646" i="5"/>
  <c r="DI646" i="5"/>
  <c r="DI685" i="5" s="1"/>
  <c r="DH646" i="5"/>
  <c r="DH685" i="5" s="1"/>
  <c r="DG646" i="5"/>
  <c r="DG685" i="5" s="1"/>
  <c r="DF646" i="5"/>
  <c r="DF685" i="5" s="1"/>
  <c r="DE646" i="5"/>
  <c r="DE685" i="5" s="1"/>
  <c r="DD646" i="5"/>
  <c r="DD685" i="5" s="1"/>
  <c r="DC646" i="5"/>
  <c r="DC685" i="5" s="1"/>
  <c r="DB646" i="5"/>
  <c r="DB685" i="5" s="1"/>
  <c r="DA646" i="5"/>
  <c r="DA685" i="5" s="1"/>
  <c r="CZ646" i="5"/>
  <c r="CY646" i="5"/>
  <c r="CY685" i="5" s="1"/>
  <c r="CX646" i="5"/>
  <c r="CX685" i="5" s="1"/>
  <c r="CW646" i="5"/>
  <c r="CW685" i="5" s="1"/>
  <c r="CV646" i="5"/>
  <c r="CU646" i="5"/>
  <c r="CU685" i="5" s="1"/>
  <c r="CT646" i="5"/>
  <c r="CT685" i="5" s="1"/>
  <c r="CS646" i="5"/>
  <c r="CS685" i="5" s="1"/>
  <c r="CR646" i="5"/>
  <c r="CR685" i="5" s="1"/>
  <c r="CQ646" i="5"/>
  <c r="CP646" i="5"/>
  <c r="CO646" i="5"/>
  <c r="CO685" i="5" s="1"/>
  <c r="CN646" i="5"/>
  <c r="CM646" i="5"/>
  <c r="CM685" i="5" s="1"/>
  <c r="CL646" i="5"/>
  <c r="CL685" i="5" s="1"/>
  <c r="CK646" i="5"/>
  <c r="CJ646" i="5"/>
  <c r="CJ685" i="5" s="1"/>
  <c r="CI646" i="5"/>
  <c r="CI685" i="5" s="1"/>
  <c r="CH646" i="5"/>
  <c r="CH685" i="5" s="1"/>
  <c r="CG646" i="5"/>
  <c r="CG685" i="5" s="1"/>
  <c r="CF646" i="5"/>
  <c r="CF685" i="5" s="1"/>
  <c r="CE646" i="5"/>
  <c r="CE685" i="5" s="1"/>
  <c r="D646" i="5"/>
  <c r="JN645" i="5"/>
  <c r="JL645" i="5" s="1"/>
  <c r="JM645" i="5" s="1"/>
  <c r="JK645" i="5"/>
  <c r="JH645" i="5"/>
  <c r="JF645" i="5" s="1"/>
  <c r="JE645" i="5"/>
  <c r="JC645" i="5" s="1"/>
  <c r="JD645" i="5" s="1"/>
  <c r="IY645" i="5"/>
  <c r="T91" i="7" s="1"/>
  <c r="IV645" i="5"/>
  <c r="S91" i="7" s="1"/>
  <c r="IR645" i="5"/>
  <c r="O91" i="7" s="1"/>
  <c r="IQ645" i="5"/>
  <c r="IP645" i="5"/>
  <c r="M91" i="7" s="1"/>
  <c r="IL645" i="5"/>
  <c r="I91" i="7" s="1"/>
  <c r="IK645" i="5"/>
  <c r="G91" i="7" s="1"/>
  <c r="II645" i="5"/>
  <c r="F91" i="7" s="1"/>
  <c r="IH645" i="5"/>
  <c r="D91" i="7" s="1"/>
  <c r="IG645" i="5"/>
  <c r="IF645" i="5"/>
  <c r="C91" i="7" s="1"/>
  <c r="IE645" i="5"/>
  <c r="ID645" i="5"/>
  <c r="D645" i="5"/>
  <c r="JL644" i="5"/>
  <c r="JM644" i="5" s="1"/>
  <c r="JI644" i="5"/>
  <c r="JJ644" i="5" s="1"/>
  <c r="JF644" i="5"/>
  <c r="JG644" i="5" s="1"/>
  <c r="JC644" i="5"/>
  <c r="JD644" i="5" s="1"/>
  <c r="IZ644" i="5"/>
  <c r="JA644" i="5" s="1"/>
  <c r="IW644" i="5"/>
  <c r="IX644" i="5" s="1"/>
  <c r="IP644" i="5"/>
  <c r="M90" i="7" s="1"/>
  <c r="EX644" i="5"/>
  <c r="EW644" i="5"/>
  <c r="EV644" i="5"/>
  <c r="EU644" i="5"/>
  <c r="ET644" i="5"/>
  <c r="ES644" i="5"/>
  <c r="ER644" i="5"/>
  <c r="EQ644" i="5"/>
  <c r="EP644" i="5"/>
  <c r="EO644" i="5"/>
  <c r="EN644" i="5"/>
  <c r="EM644" i="5"/>
  <c r="EL644" i="5"/>
  <c r="EK644" i="5"/>
  <c r="EJ644" i="5"/>
  <c r="EI644" i="5"/>
  <c r="EH644" i="5"/>
  <c r="EG644" i="5"/>
  <c r="EF644" i="5"/>
  <c r="EE644" i="5"/>
  <c r="ED644" i="5"/>
  <c r="EC644" i="5"/>
  <c r="EB644" i="5"/>
  <c r="EA644" i="5"/>
  <c r="DZ644" i="5"/>
  <c r="DY644" i="5"/>
  <c r="DX644" i="5"/>
  <c r="DW644" i="5"/>
  <c r="DV644" i="5"/>
  <c r="DU644" i="5"/>
  <c r="DT644" i="5"/>
  <c r="DS644" i="5"/>
  <c r="DR644" i="5"/>
  <c r="DQ644" i="5"/>
  <c r="DP644" i="5"/>
  <c r="DO644" i="5"/>
  <c r="D644" i="5"/>
  <c r="IY643" i="5"/>
  <c r="T89" i="7" s="1"/>
  <c r="IV643" i="5"/>
  <c r="S89" i="7" s="1"/>
  <c r="IP643" i="5"/>
  <c r="M89" i="7" s="1"/>
  <c r="EX643" i="5"/>
  <c r="EW643" i="5"/>
  <c r="EV643" i="5"/>
  <c r="EU643" i="5"/>
  <c r="ET643" i="5"/>
  <c r="ES643" i="5"/>
  <c r="ER643" i="5"/>
  <c r="EQ643" i="5"/>
  <c r="EP643" i="5"/>
  <c r="EO643" i="5"/>
  <c r="EN643" i="5"/>
  <c r="EM643" i="5"/>
  <c r="EL643" i="5"/>
  <c r="EK643" i="5"/>
  <c r="EJ643" i="5"/>
  <c r="EI643" i="5"/>
  <c r="EH643" i="5"/>
  <c r="EG643" i="5"/>
  <c r="EF643" i="5"/>
  <c r="EE643" i="5"/>
  <c r="ED643" i="5"/>
  <c r="EC643" i="5"/>
  <c r="EB643" i="5"/>
  <c r="EA643" i="5"/>
  <c r="DZ643" i="5"/>
  <c r="DY643" i="5"/>
  <c r="DX643" i="5"/>
  <c r="DW643" i="5"/>
  <c r="DV643" i="5"/>
  <c r="DU643" i="5"/>
  <c r="DT643" i="5"/>
  <c r="DS643" i="5"/>
  <c r="DR643" i="5"/>
  <c r="DQ643" i="5"/>
  <c r="DP643" i="5"/>
  <c r="DO643" i="5"/>
  <c r="DN643" i="5"/>
  <c r="DM643" i="5"/>
  <c r="DL643" i="5"/>
  <c r="DK643" i="5"/>
  <c r="DJ643" i="5"/>
  <c r="DI643" i="5"/>
  <c r="DH643" i="5"/>
  <c r="DG643" i="5"/>
  <c r="DF643" i="5"/>
  <c r="DE643" i="5"/>
  <c r="DD643" i="5"/>
  <c r="DC643" i="5"/>
  <c r="DB643" i="5"/>
  <c r="DA643" i="5"/>
  <c r="CZ643" i="5"/>
  <c r="CY643" i="5"/>
  <c r="CX643" i="5"/>
  <c r="CW643" i="5"/>
  <c r="CV643" i="5"/>
  <c r="CU643" i="5"/>
  <c r="CT643" i="5"/>
  <c r="CS643" i="5"/>
  <c r="CR643" i="5"/>
  <c r="CQ643" i="5"/>
  <c r="CP643" i="5"/>
  <c r="CO643" i="5"/>
  <c r="CN643" i="5"/>
  <c r="CM643" i="5"/>
  <c r="CL643" i="5"/>
  <c r="CK643" i="5"/>
  <c r="CJ643" i="5"/>
  <c r="CI643" i="5"/>
  <c r="CH643" i="5"/>
  <c r="CG643" i="5"/>
  <c r="CF643" i="5"/>
  <c r="CE643" i="5"/>
  <c r="D643" i="5"/>
  <c r="JN642" i="5"/>
  <c r="JL642" i="5" s="1"/>
  <c r="JM642" i="5" s="1"/>
  <c r="JK642" i="5"/>
  <c r="JI642" i="5" s="1"/>
  <c r="JJ642" i="5" s="1"/>
  <c r="JH642" i="5"/>
  <c r="JF642" i="5" s="1"/>
  <c r="JG642" i="5" s="1"/>
  <c r="JE642" i="5"/>
  <c r="JC642" i="5" s="1"/>
  <c r="JB642" i="5"/>
  <c r="IZ642" i="5" s="1"/>
  <c r="JA642" i="5" s="1"/>
  <c r="IY642" i="5"/>
  <c r="IV642" i="5"/>
  <c r="IR642" i="5"/>
  <c r="O88" i="7" s="1"/>
  <c r="IQ642" i="5"/>
  <c r="N88" i="7" s="1"/>
  <c r="IP642" i="5"/>
  <c r="M88" i="7" s="1"/>
  <c r="IL642" i="5"/>
  <c r="I88" i="7" s="1"/>
  <c r="IK642" i="5"/>
  <c r="II642" i="5"/>
  <c r="F88" i="7" s="1"/>
  <c r="IH642" i="5"/>
  <c r="D88" i="7" s="1"/>
  <c r="IG642" i="5"/>
  <c r="IF642" i="5"/>
  <c r="C88" i="7" s="1"/>
  <c r="IE642" i="5"/>
  <c r="D642" i="5"/>
  <c r="JN640" i="5"/>
  <c r="JL640" i="5" s="1"/>
  <c r="JM640" i="5" s="1"/>
  <c r="JK640" i="5"/>
  <c r="JI640" i="5" s="1"/>
  <c r="JJ640" i="5" s="1"/>
  <c r="JH640" i="5"/>
  <c r="JF640" i="5" s="1"/>
  <c r="JG640" i="5" s="1"/>
  <c r="JE640" i="5"/>
  <c r="JB640" i="5"/>
  <c r="IY640" i="5"/>
  <c r="IV640" i="5"/>
  <c r="S87" i="7" s="1"/>
  <c r="IR640" i="5"/>
  <c r="O87" i="7" s="1"/>
  <c r="IQ640" i="5"/>
  <c r="IP640" i="5"/>
  <c r="IN640" i="5" s="1"/>
  <c r="IL640" i="5"/>
  <c r="I87" i="7" s="1"/>
  <c r="IK640" i="5"/>
  <c r="IH640" i="5"/>
  <c r="II640" i="5" s="1"/>
  <c r="F87" i="7" s="1"/>
  <c r="IG640" i="5"/>
  <c r="IF640" i="5"/>
  <c r="C87" i="7" s="1"/>
  <c r="IE640" i="5"/>
  <c r="ID640" i="5"/>
  <c r="D640" i="5"/>
  <c r="IY639" i="5"/>
  <c r="IV639" i="5"/>
  <c r="IP639" i="5"/>
  <c r="M86" i="7" s="1"/>
  <c r="IN639" i="5"/>
  <c r="J86" i="7" s="1"/>
  <c r="EX639" i="5"/>
  <c r="EW639" i="5"/>
  <c r="EV639" i="5"/>
  <c r="EU639" i="5"/>
  <c r="ET639" i="5"/>
  <c r="ES639" i="5"/>
  <c r="ER639" i="5"/>
  <c r="EQ639" i="5"/>
  <c r="EP639" i="5"/>
  <c r="EO639" i="5"/>
  <c r="EN639" i="5"/>
  <c r="EM639" i="5"/>
  <c r="EL639" i="5"/>
  <c r="EK639" i="5"/>
  <c r="EJ639" i="5"/>
  <c r="EI639" i="5"/>
  <c r="EH639" i="5"/>
  <c r="EG639" i="5"/>
  <c r="EF639" i="5"/>
  <c r="EE639" i="5"/>
  <c r="ED639" i="5"/>
  <c r="EC639" i="5"/>
  <c r="EB639" i="5"/>
  <c r="EA639" i="5"/>
  <c r="DZ639" i="5"/>
  <c r="DY639" i="5"/>
  <c r="DX639" i="5"/>
  <c r="DW639" i="5"/>
  <c r="DV639" i="5"/>
  <c r="DU639" i="5"/>
  <c r="DT639" i="5"/>
  <c r="DS639" i="5"/>
  <c r="DR639" i="5"/>
  <c r="DQ639" i="5"/>
  <c r="DP639" i="5"/>
  <c r="DO639" i="5"/>
  <c r="DN639" i="5"/>
  <c r="DM639" i="5"/>
  <c r="DL639" i="5"/>
  <c r="DK639" i="5"/>
  <c r="DJ639" i="5"/>
  <c r="DI639" i="5"/>
  <c r="DH639" i="5"/>
  <c r="DG639" i="5"/>
  <c r="DF639" i="5"/>
  <c r="DE639" i="5"/>
  <c r="DD639" i="5"/>
  <c r="DC639" i="5"/>
  <c r="DB639" i="5"/>
  <c r="DA639" i="5"/>
  <c r="CZ639" i="5"/>
  <c r="CY639" i="5"/>
  <c r="CX639" i="5"/>
  <c r="CW639" i="5"/>
  <c r="CV639" i="5"/>
  <c r="CU639" i="5"/>
  <c r="CT639" i="5"/>
  <c r="CS639" i="5"/>
  <c r="CR639" i="5"/>
  <c r="CQ639" i="5"/>
  <c r="CP639" i="5"/>
  <c r="CO639" i="5"/>
  <c r="CN639" i="5"/>
  <c r="CM639" i="5"/>
  <c r="CL639" i="5"/>
  <c r="CK639" i="5"/>
  <c r="CJ639" i="5"/>
  <c r="CI639" i="5"/>
  <c r="CH639" i="5"/>
  <c r="CG639" i="5"/>
  <c r="CF639" i="5"/>
  <c r="CE639" i="5"/>
  <c r="D639" i="5"/>
  <c r="JN638" i="5"/>
  <c r="JL638" i="5" s="1"/>
  <c r="JM638" i="5" s="1"/>
  <c r="JK638" i="5"/>
  <c r="JH638" i="5"/>
  <c r="JF638" i="5" s="1"/>
  <c r="JG638" i="5" s="1"/>
  <c r="JE638" i="5"/>
  <c r="IY638" i="5"/>
  <c r="T85" i="7" s="1"/>
  <c r="IV638" i="5"/>
  <c r="IT638" i="5" s="1"/>
  <c r="IP638" i="5"/>
  <c r="M85" i="7" s="1"/>
  <c r="IG638" i="5"/>
  <c r="IF638" i="5"/>
  <c r="C85" i="7" s="1"/>
  <c r="IE638" i="5"/>
  <c r="EX638" i="5"/>
  <c r="EW638" i="5"/>
  <c r="EV638" i="5"/>
  <c r="EU638" i="5"/>
  <c r="ET638" i="5"/>
  <c r="ES638" i="5"/>
  <c r="ER638" i="5"/>
  <c r="EQ638" i="5"/>
  <c r="EP638" i="5"/>
  <c r="EO638" i="5"/>
  <c r="EN638" i="5"/>
  <c r="EM638" i="5"/>
  <c r="EL638" i="5"/>
  <c r="EK638" i="5"/>
  <c r="EJ638" i="5"/>
  <c r="EI638" i="5"/>
  <c r="EH638" i="5"/>
  <c r="EG638" i="5"/>
  <c r="EF638" i="5"/>
  <c r="EE638" i="5"/>
  <c r="ED638" i="5"/>
  <c r="EC638" i="5"/>
  <c r="EB638" i="5"/>
  <c r="EA638" i="5"/>
  <c r="DZ638" i="5"/>
  <c r="DY638" i="5"/>
  <c r="DX638" i="5"/>
  <c r="DW638" i="5"/>
  <c r="DV638" i="5"/>
  <c r="DU638" i="5"/>
  <c r="DT638" i="5"/>
  <c r="DS638" i="5"/>
  <c r="DR638" i="5"/>
  <c r="DQ638" i="5"/>
  <c r="DP638" i="5"/>
  <c r="DO638" i="5"/>
  <c r="DN638" i="5"/>
  <c r="DM638" i="5"/>
  <c r="DL638" i="5"/>
  <c r="DK638" i="5"/>
  <c r="DJ638" i="5"/>
  <c r="DI638" i="5"/>
  <c r="DH638" i="5"/>
  <c r="DG638" i="5"/>
  <c r="DF638" i="5"/>
  <c r="DE638" i="5"/>
  <c r="DD638" i="5"/>
  <c r="DC638" i="5"/>
  <c r="D638" i="5"/>
  <c r="JN637" i="5"/>
  <c r="JL637" i="5" s="1"/>
  <c r="JM637" i="5" s="1"/>
  <c r="JK637" i="5"/>
  <c r="JI637" i="5" s="1"/>
  <c r="JJ637" i="5" s="1"/>
  <c r="JH637" i="5"/>
  <c r="JF637" i="5" s="1"/>
  <c r="JG637" i="5" s="1"/>
  <c r="JE637" i="5"/>
  <c r="JC637" i="5" s="1"/>
  <c r="JD637" i="5" s="1"/>
  <c r="IY637" i="5"/>
  <c r="T84" i="7" s="1"/>
  <c r="IV637" i="5"/>
  <c r="S93" i="7" s="1"/>
  <c r="IP637" i="5"/>
  <c r="M84" i="7" s="1"/>
  <c r="IG637" i="5"/>
  <c r="IF637" i="5"/>
  <c r="C84" i="7" s="1"/>
  <c r="IE637" i="5"/>
  <c r="EX637" i="5"/>
  <c r="EW637" i="5"/>
  <c r="EV637" i="5"/>
  <c r="EU637" i="5"/>
  <c r="ET637" i="5"/>
  <c r="ES637" i="5"/>
  <c r="ER637" i="5"/>
  <c r="EQ637" i="5"/>
  <c r="EP637" i="5"/>
  <c r="EO637" i="5"/>
  <c r="EN637" i="5"/>
  <c r="EM637" i="5"/>
  <c r="EL637" i="5"/>
  <c r="EK637" i="5"/>
  <c r="EJ637" i="5"/>
  <c r="EI637" i="5"/>
  <c r="EH637" i="5"/>
  <c r="EG637" i="5"/>
  <c r="EF637" i="5"/>
  <c r="EE637" i="5"/>
  <c r="ED637" i="5"/>
  <c r="EC637" i="5"/>
  <c r="EB637" i="5"/>
  <c r="EA637" i="5"/>
  <c r="DZ637" i="5"/>
  <c r="DY637" i="5"/>
  <c r="DX637" i="5"/>
  <c r="DW637" i="5"/>
  <c r="DV637" i="5"/>
  <c r="DU637" i="5"/>
  <c r="DT637" i="5"/>
  <c r="DS637" i="5"/>
  <c r="DR637" i="5"/>
  <c r="DQ637" i="5"/>
  <c r="DP637" i="5"/>
  <c r="DO637" i="5"/>
  <c r="DN637" i="5"/>
  <c r="DM637" i="5"/>
  <c r="DL637" i="5"/>
  <c r="DK637" i="5"/>
  <c r="DJ637" i="5"/>
  <c r="DI637" i="5"/>
  <c r="DH637" i="5"/>
  <c r="DG637" i="5"/>
  <c r="DF637" i="5"/>
  <c r="DE637" i="5"/>
  <c r="DD637" i="5"/>
  <c r="DC637" i="5"/>
  <c r="D637" i="5"/>
  <c r="JN636" i="5"/>
  <c r="JL636" i="5" s="1"/>
  <c r="JM636" i="5" s="1"/>
  <c r="JK636" i="5"/>
  <c r="JI636" i="5" s="1"/>
  <c r="JH636" i="5"/>
  <c r="JF636" i="5" s="1"/>
  <c r="JE636" i="5"/>
  <c r="JB636" i="5"/>
  <c r="IZ636" i="5" s="1"/>
  <c r="IY636" i="5"/>
  <c r="T83" i="7" s="1"/>
  <c r="IV636" i="5"/>
  <c r="S83" i="7" s="1"/>
  <c r="IP636" i="5"/>
  <c r="M83" i="7" s="1"/>
  <c r="IG636" i="5"/>
  <c r="IF636" i="5"/>
  <c r="C83" i="7" s="1"/>
  <c r="IE636" i="5"/>
  <c r="ID636" i="5"/>
  <c r="EX636" i="5"/>
  <c r="EW636" i="5"/>
  <c r="EV636" i="5"/>
  <c r="EU636" i="5"/>
  <c r="ET636" i="5"/>
  <c r="ES636" i="5"/>
  <c r="ER636" i="5"/>
  <c r="EQ636" i="5"/>
  <c r="EP636" i="5"/>
  <c r="EO636" i="5"/>
  <c r="EN636" i="5"/>
  <c r="EM636" i="5"/>
  <c r="EL636" i="5"/>
  <c r="EK636" i="5"/>
  <c r="EJ636" i="5"/>
  <c r="EI636" i="5"/>
  <c r="EH636" i="5"/>
  <c r="EG636" i="5"/>
  <c r="EF636" i="5"/>
  <c r="EE636" i="5"/>
  <c r="ED636" i="5"/>
  <c r="EC636" i="5"/>
  <c r="EB636" i="5"/>
  <c r="EA636" i="5"/>
  <c r="DZ636" i="5"/>
  <c r="DY636" i="5"/>
  <c r="DX636" i="5"/>
  <c r="DW636" i="5"/>
  <c r="DV636" i="5"/>
  <c r="DU636" i="5"/>
  <c r="DT636" i="5"/>
  <c r="DS636" i="5"/>
  <c r="DR636" i="5"/>
  <c r="DQ636" i="5"/>
  <c r="DP636" i="5"/>
  <c r="DO636" i="5"/>
  <c r="DN636" i="5"/>
  <c r="DM636" i="5"/>
  <c r="DL636" i="5"/>
  <c r="DK636" i="5"/>
  <c r="DJ636" i="5"/>
  <c r="DI636" i="5"/>
  <c r="DH636" i="5"/>
  <c r="DG636" i="5"/>
  <c r="DF636" i="5"/>
  <c r="DE636" i="5"/>
  <c r="DD636" i="5"/>
  <c r="DC636" i="5"/>
  <c r="D636" i="5"/>
  <c r="LB635" i="5"/>
  <c r="LB728" i="5" s="1"/>
  <c r="LA635" i="5"/>
  <c r="LA728" i="5" s="1"/>
  <c r="KZ635" i="5"/>
  <c r="KZ728" i="5" s="1"/>
  <c r="KY635" i="5"/>
  <c r="KY728" i="5" s="1"/>
  <c r="IY635" i="5"/>
  <c r="T82" i="7" s="1"/>
  <c r="IV635" i="5"/>
  <c r="IV728" i="5" s="1"/>
  <c r="IP635" i="5"/>
  <c r="M82" i="7" s="1"/>
  <c r="D635" i="5"/>
  <c r="D728" i="5" s="1"/>
  <c r="JN634" i="5"/>
  <c r="JL634" i="5" s="1"/>
  <c r="JM634" i="5" s="1"/>
  <c r="JK634" i="5"/>
  <c r="JI634" i="5" s="1"/>
  <c r="JJ634" i="5" s="1"/>
  <c r="JH634" i="5"/>
  <c r="JF634" i="5" s="1"/>
  <c r="JE634" i="5"/>
  <c r="JC634" i="5" s="1"/>
  <c r="IY634" i="5"/>
  <c r="T81" i="7" s="1"/>
  <c r="IV634" i="5"/>
  <c r="S81" i="7" s="1"/>
  <c r="IR634" i="5"/>
  <c r="O81" i="7" s="1"/>
  <c r="IQ634" i="5"/>
  <c r="IP634" i="5"/>
  <c r="M81" i="7" s="1"/>
  <c r="IL634" i="5"/>
  <c r="I81" i="7" s="1"/>
  <c r="IK634" i="5"/>
  <c r="G81" i="7" s="1"/>
  <c r="IG634" i="5"/>
  <c r="IF634" i="5"/>
  <c r="C81" i="7" s="1"/>
  <c r="IE634" i="5"/>
  <c r="ID634" i="5"/>
  <c r="D634" i="5"/>
  <c r="JN633" i="5"/>
  <c r="JL633" i="5" s="1"/>
  <c r="JM633" i="5" s="1"/>
  <c r="JK633" i="5"/>
  <c r="JI633" i="5" s="1"/>
  <c r="JJ633" i="5" s="1"/>
  <c r="JH633" i="5"/>
  <c r="JF633" i="5" s="1"/>
  <c r="JE633" i="5"/>
  <c r="JC633" i="5" s="1"/>
  <c r="JD633" i="5" s="1"/>
  <c r="JB633" i="5"/>
  <c r="IZ633" i="5" s="1"/>
  <c r="JA633" i="5" s="1"/>
  <c r="IY633" i="5"/>
  <c r="T80" i="7" s="1"/>
  <c r="IV633" i="5"/>
  <c r="S80" i="7" s="1"/>
  <c r="IR633" i="5"/>
  <c r="O80" i="7" s="1"/>
  <c r="IQ633" i="5"/>
  <c r="IP633" i="5"/>
  <c r="M80" i="7" s="1"/>
  <c r="IL633" i="5"/>
  <c r="I80" i="7" s="1"/>
  <c r="IK633" i="5"/>
  <c r="IG633" i="5"/>
  <c r="IF633" i="5"/>
  <c r="C80" i="7" s="1"/>
  <c r="IE633" i="5"/>
  <c r="ID633" i="5"/>
  <c r="CP633" i="5"/>
  <c r="CO633" i="5"/>
  <c r="CN633" i="5"/>
  <c r="CM633" i="5"/>
  <c r="CL633" i="5"/>
  <c r="CK633" i="5"/>
  <c r="CJ633" i="5"/>
  <c r="CI633" i="5"/>
  <c r="CH633" i="5"/>
  <c r="CG633" i="5"/>
  <c r="CF633" i="5"/>
  <c r="CE633" i="5"/>
  <c r="D633" i="5"/>
  <c r="JN632" i="5"/>
  <c r="JL632" i="5" s="1"/>
  <c r="JM632" i="5" s="1"/>
  <c r="JK632" i="5"/>
  <c r="JI632" i="5" s="1"/>
  <c r="JJ632" i="5" s="1"/>
  <c r="JH632" i="5"/>
  <c r="JF632" i="5" s="1"/>
  <c r="JG632" i="5" s="1"/>
  <c r="JE632" i="5"/>
  <c r="JC632" i="5" s="1"/>
  <c r="JB632" i="5"/>
  <c r="IZ632" i="5" s="1"/>
  <c r="JA632" i="5" s="1"/>
  <c r="IY632" i="5"/>
  <c r="IW632" i="5" s="1"/>
  <c r="IX632" i="5" s="1"/>
  <c r="IV632" i="5"/>
  <c r="S79" i="7" s="1"/>
  <c r="IR632" i="5"/>
  <c r="O79" i="7" s="1"/>
  <c r="IQ632" i="5"/>
  <c r="N79" i="7" s="1"/>
  <c r="IP632" i="5"/>
  <c r="M79" i="7" s="1"/>
  <c r="IL632" i="5"/>
  <c r="I79" i="7" s="1"/>
  <c r="IK632" i="5"/>
  <c r="G79" i="7" s="1"/>
  <c r="IG632" i="5"/>
  <c r="IF632" i="5"/>
  <c r="C79" i="7" s="1"/>
  <c r="IE632" i="5"/>
  <c r="ID632" i="5"/>
  <c r="D632" i="5"/>
  <c r="JN631" i="5"/>
  <c r="JK631" i="5"/>
  <c r="JI631" i="5" s="1"/>
  <c r="JJ631" i="5" s="1"/>
  <c r="JH631" i="5"/>
  <c r="JF631" i="5" s="1"/>
  <c r="JE631" i="5"/>
  <c r="JC631" i="5" s="1"/>
  <c r="JB631" i="5"/>
  <c r="IZ631" i="5" s="1"/>
  <c r="IY631" i="5"/>
  <c r="T78" i="7" s="1"/>
  <c r="IV631" i="5"/>
  <c r="S78" i="7" s="1"/>
  <c r="IR631" i="5"/>
  <c r="O78" i="7" s="1"/>
  <c r="IQ631" i="5"/>
  <c r="N78" i="7" s="1"/>
  <c r="IP631" i="5"/>
  <c r="M78" i="7" s="1"/>
  <c r="IL631" i="5"/>
  <c r="I78" i="7" s="1"/>
  <c r="IK631" i="5"/>
  <c r="G78" i="7" s="1"/>
  <c r="IG631" i="5"/>
  <c r="IF631" i="5"/>
  <c r="C78" i="7" s="1"/>
  <c r="IE631" i="5"/>
  <c r="ID631" i="5"/>
  <c r="D631" i="5"/>
  <c r="JL630" i="5"/>
  <c r="JM630" i="5" s="1"/>
  <c r="JI630" i="5"/>
  <c r="JJ630" i="5" s="1"/>
  <c r="JF630" i="5"/>
  <c r="JG630" i="5" s="1"/>
  <c r="JC630" i="5"/>
  <c r="JD630" i="5" s="1"/>
  <c r="IZ630" i="5"/>
  <c r="JA630" i="5" s="1"/>
  <c r="IW630" i="5"/>
  <c r="IX630" i="5" s="1"/>
  <c r="IR630" i="5"/>
  <c r="O77" i="7" s="1"/>
  <c r="IQ630" i="5"/>
  <c r="N77" i="7" s="1"/>
  <c r="IP630" i="5"/>
  <c r="M77" i="7" s="1"/>
  <c r="IL630" i="5"/>
  <c r="DC630" i="5"/>
  <c r="D630" i="5"/>
  <c r="JL629" i="5"/>
  <c r="JM629" i="5" s="1"/>
  <c r="JI629" i="5"/>
  <c r="JJ629" i="5" s="1"/>
  <c r="JF629" i="5"/>
  <c r="JG629" i="5" s="1"/>
  <c r="JC629" i="5"/>
  <c r="JD629" i="5" s="1"/>
  <c r="IZ629" i="5"/>
  <c r="JA629" i="5" s="1"/>
  <c r="IW629" i="5"/>
  <c r="IX629" i="5" s="1"/>
  <c r="IR629" i="5"/>
  <c r="IQ629" i="5"/>
  <c r="N76" i="7" s="1"/>
  <c r="IP629" i="5"/>
  <c r="M76" i="7" s="1"/>
  <c r="IL629" i="5"/>
  <c r="DC629" i="5"/>
  <c r="DC691" i="5" s="1"/>
  <c r="D629" i="5"/>
  <c r="IY628" i="5"/>
  <c r="T75" i="7" s="1"/>
  <c r="IV628" i="5"/>
  <c r="S75" i="7" s="1"/>
  <c r="IP628" i="5"/>
  <c r="M75" i="7" s="1"/>
  <c r="D628" i="5"/>
  <c r="JN627" i="5"/>
  <c r="JL627" i="5" s="1"/>
  <c r="JK627" i="5"/>
  <c r="JI627" i="5" s="1"/>
  <c r="JJ627" i="5" s="1"/>
  <c r="JH627" i="5"/>
  <c r="JE627" i="5"/>
  <c r="JC627" i="5" s="1"/>
  <c r="JD627" i="5" s="1"/>
  <c r="JB627" i="5"/>
  <c r="IZ627" i="5" s="1"/>
  <c r="IY627" i="5"/>
  <c r="T74" i="7" s="1"/>
  <c r="IV627" i="5"/>
  <c r="S74" i="7" s="1"/>
  <c r="IP627" i="5"/>
  <c r="M74" i="7" s="1"/>
  <c r="ID627" i="5"/>
  <c r="EX627" i="5"/>
  <c r="EW627" i="5"/>
  <c r="EV627" i="5"/>
  <c r="EU627" i="5"/>
  <c r="ET627" i="5"/>
  <c r="ES627" i="5"/>
  <c r="ER627" i="5"/>
  <c r="EQ627" i="5"/>
  <c r="EP627" i="5"/>
  <c r="EO627" i="5"/>
  <c r="EN627" i="5"/>
  <c r="EM627" i="5"/>
  <c r="EL627" i="5"/>
  <c r="EK627" i="5"/>
  <c r="EJ627" i="5"/>
  <c r="EI627" i="5"/>
  <c r="EH627" i="5"/>
  <c r="EG627" i="5"/>
  <c r="EF627" i="5"/>
  <c r="EE627" i="5"/>
  <c r="ED627" i="5"/>
  <c r="EC627" i="5"/>
  <c r="EB627" i="5"/>
  <c r="EA627" i="5"/>
  <c r="DZ627" i="5"/>
  <c r="DY627" i="5"/>
  <c r="DX627" i="5"/>
  <c r="DW627" i="5"/>
  <c r="DV627" i="5"/>
  <c r="DU627" i="5"/>
  <c r="DT627" i="5"/>
  <c r="DS627" i="5"/>
  <c r="DR627" i="5"/>
  <c r="DQ627" i="5"/>
  <c r="DP627" i="5"/>
  <c r="DO627" i="5"/>
  <c r="DN627" i="5"/>
  <c r="DM627" i="5"/>
  <c r="DL627" i="5"/>
  <c r="DK627" i="5"/>
  <c r="DJ627" i="5"/>
  <c r="DI627" i="5"/>
  <c r="DH627" i="5"/>
  <c r="DG627" i="5"/>
  <c r="DF627" i="5"/>
  <c r="DE627" i="5"/>
  <c r="DD627" i="5"/>
  <c r="DC627" i="5"/>
  <c r="DB627" i="5"/>
  <c r="DA627" i="5"/>
  <c r="CZ627" i="5"/>
  <c r="CY627" i="5"/>
  <c r="CX627" i="5"/>
  <c r="CW627" i="5"/>
  <c r="CV627" i="5"/>
  <c r="CU627" i="5"/>
  <c r="CT627" i="5"/>
  <c r="CS627" i="5"/>
  <c r="CR627" i="5"/>
  <c r="CQ627" i="5"/>
  <c r="D627" i="5"/>
  <c r="IY626" i="5"/>
  <c r="T73" i="7" s="1"/>
  <c r="IV626" i="5"/>
  <c r="S73" i="7" s="1"/>
  <c r="IP626" i="5"/>
  <c r="M73" i="7" s="1"/>
  <c r="IG626" i="5"/>
  <c r="IF626" i="5"/>
  <c r="C73" i="7" s="1"/>
  <c r="IE626" i="5"/>
  <c r="EX626" i="5"/>
  <c r="EW626" i="5"/>
  <c r="EV626" i="5"/>
  <c r="EU626" i="5"/>
  <c r="ET626" i="5"/>
  <c r="ES626" i="5"/>
  <c r="ER626" i="5"/>
  <c r="EQ626" i="5"/>
  <c r="EP626" i="5"/>
  <c r="EO626" i="5"/>
  <c r="EN626" i="5"/>
  <c r="EM626" i="5"/>
  <c r="EL626" i="5"/>
  <c r="EK626" i="5"/>
  <c r="EJ626" i="5"/>
  <c r="EI626" i="5"/>
  <c r="EH626" i="5"/>
  <c r="EG626" i="5"/>
  <c r="EF626" i="5"/>
  <c r="EE626" i="5"/>
  <c r="ED626" i="5"/>
  <c r="EC626" i="5"/>
  <c r="EB626" i="5"/>
  <c r="EA626" i="5"/>
  <c r="DZ626" i="5"/>
  <c r="DY626" i="5"/>
  <c r="DX626" i="5"/>
  <c r="DW626" i="5"/>
  <c r="DV626" i="5"/>
  <c r="DU626" i="5"/>
  <c r="DT626" i="5"/>
  <c r="DS626" i="5"/>
  <c r="DR626" i="5"/>
  <c r="DQ626" i="5"/>
  <c r="DP626" i="5"/>
  <c r="DO626" i="5"/>
  <c r="DN626" i="5"/>
  <c r="DM626" i="5"/>
  <c r="DL626" i="5"/>
  <c r="DK626" i="5"/>
  <c r="DJ626" i="5"/>
  <c r="DI626" i="5"/>
  <c r="DH626" i="5"/>
  <c r="DG626" i="5"/>
  <c r="DF626" i="5"/>
  <c r="DE626" i="5"/>
  <c r="DD626" i="5"/>
  <c r="DC626" i="5"/>
  <c r="D626" i="5"/>
  <c r="JN625" i="5"/>
  <c r="JL625" i="5" s="1"/>
  <c r="JK625" i="5"/>
  <c r="JI625" i="5" s="1"/>
  <c r="JJ625" i="5" s="1"/>
  <c r="JH625" i="5"/>
  <c r="JF625" i="5" s="1"/>
  <c r="JE625" i="5"/>
  <c r="JB625" i="5"/>
  <c r="IY625" i="5"/>
  <c r="T72" i="7" s="1"/>
  <c r="IV625" i="5"/>
  <c r="S72" i="7" s="1"/>
  <c r="IP625" i="5"/>
  <c r="IN625" i="5" s="1"/>
  <c r="J72" i="7" s="1"/>
  <c r="ID625" i="5"/>
  <c r="EX625" i="5"/>
  <c r="EW625" i="5"/>
  <c r="EV625" i="5"/>
  <c r="EU625" i="5"/>
  <c r="ET625" i="5"/>
  <c r="ES625" i="5"/>
  <c r="ER625" i="5"/>
  <c r="EQ625" i="5"/>
  <c r="EP625" i="5"/>
  <c r="EO625" i="5"/>
  <c r="EN625" i="5"/>
  <c r="EM625" i="5"/>
  <c r="EL625" i="5"/>
  <c r="EK625" i="5"/>
  <c r="EJ625" i="5"/>
  <c r="EI625" i="5"/>
  <c r="EH625" i="5"/>
  <c r="EG625" i="5"/>
  <c r="EF625" i="5"/>
  <c r="EE625" i="5"/>
  <c r="ED625" i="5"/>
  <c r="EC625" i="5"/>
  <c r="EB625" i="5"/>
  <c r="EA625" i="5"/>
  <c r="DZ625" i="5"/>
  <c r="DY625" i="5"/>
  <c r="DX625" i="5"/>
  <c r="DW625" i="5"/>
  <c r="DV625" i="5"/>
  <c r="DU625" i="5"/>
  <c r="DT625" i="5"/>
  <c r="DS625" i="5"/>
  <c r="DR625" i="5"/>
  <c r="DQ625" i="5"/>
  <c r="DP625" i="5"/>
  <c r="DO625" i="5"/>
  <c r="DN625" i="5"/>
  <c r="DM625" i="5"/>
  <c r="DL625" i="5"/>
  <c r="DK625" i="5"/>
  <c r="DJ625" i="5"/>
  <c r="DI625" i="5"/>
  <c r="DH625" i="5"/>
  <c r="DG625" i="5"/>
  <c r="DF625" i="5"/>
  <c r="DE625" i="5"/>
  <c r="DD625" i="5"/>
  <c r="DC625" i="5"/>
  <c r="DB625" i="5"/>
  <c r="DA625" i="5"/>
  <c r="CZ625" i="5"/>
  <c r="CY625" i="5"/>
  <c r="CX625" i="5"/>
  <c r="CW625" i="5"/>
  <c r="CV625" i="5"/>
  <c r="CU625" i="5"/>
  <c r="CT625" i="5"/>
  <c r="CS625" i="5"/>
  <c r="CR625" i="5"/>
  <c r="CQ625" i="5"/>
  <c r="CP625" i="5"/>
  <c r="CO625" i="5"/>
  <c r="CN625" i="5"/>
  <c r="CM625" i="5"/>
  <c r="CL625" i="5"/>
  <c r="CK625" i="5"/>
  <c r="CJ625" i="5"/>
  <c r="CI625" i="5"/>
  <c r="CH625" i="5"/>
  <c r="CG625" i="5"/>
  <c r="CF625" i="5"/>
  <c r="CE625" i="5"/>
  <c r="D625" i="5"/>
  <c r="JN624" i="5"/>
  <c r="JL624" i="5" s="1"/>
  <c r="JM624" i="5" s="1"/>
  <c r="JK624" i="5"/>
  <c r="JI624" i="5" s="1"/>
  <c r="JH624" i="5"/>
  <c r="JF624" i="5" s="1"/>
  <c r="JG624" i="5" s="1"/>
  <c r="JE624" i="5"/>
  <c r="JC624" i="5" s="1"/>
  <c r="JB624" i="5"/>
  <c r="IY624" i="5"/>
  <c r="IV624" i="5"/>
  <c r="S71" i="7" s="1"/>
  <c r="IR624" i="5"/>
  <c r="O71" i="7" s="1"/>
  <c r="IQ624" i="5"/>
  <c r="IP624" i="5"/>
  <c r="M71" i="7" s="1"/>
  <c r="IL624" i="5"/>
  <c r="I71" i="7" s="1"/>
  <c r="IK624" i="5"/>
  <c r="G71" i="7" s="1"/>
  <c r="IG624" i="5"/>
  <c r="IF624" i="5"/>
  <c r="C71" i="7" s="1"/>
  <c r="IE624" i="5"/>
  <c r="ID624" i="5"/>
  <c r="D624" i="5"/>
  <c r="JN623" i="5"/>
  <c r="JL623" i="5" s="1"/>
  <c r="JM623" i="5" s="1"/>
  <c r="JK623" i="5"/>
  <c r="JI623" i="5" s="1"/>
  <c r="JJ623" i="5" s="1"/>
  <c r="JH623" i="5"/>
  <c r="JF623" i="5" s="1"/>
  <c r="JE623" i="5"/>
  <c r="JC623" i="5" s="1"/>
  <c r="JD623" i="5" s="1"/>
  <c r="JB623" i="5"/>
  <c r="IY623" i="5"/>
  <c r="T70" i="7" s="1"/>
  <c r="IV623" i="5"/>
  <c r="S70" i="7" s="1"/>
  <c r="IR623" i="5"/>
  <c r="IQ623" i="5"/>
  <c r="N70" i="7" s="1"/>
  <c r="IP623" i="5"/>
  <c r="M70" i="7" s="1"/>
  <c r="IL623" i="5"/>
  <c r="I70" i="7" s="1"/>
  <c r="IK623" i="5"/>
  <c r="G70" i="7" s="1"/>
  <c r="IG623" i="5"/>
  <c r="IF623" i="5"/>
  <c r="C70" i="7" s="1"/>
  <c r="IE623" i="5"/>
  <c r="ID623" i="5"/>
  <c r="D623" i="5"/>
  <c r="JB622" i="5"/>
  <c r="IZ622" i="5" s="1"/>
  <c r="JA622" i="5" s="1"/>
  <c r="IY622" i="5"/>
  <c r="IW622" i="5" s="1"/>
  <c r="IV622" i="5"/>
  <c r="S69" i="7" s="1"/>
  <c r="IP622" i="5"/>
  <c r="EX622" i="5"/>
  <c r="EX1250" i="5" s="1"/>
  <c r="EW622" i="5"/>
  <c r="EW1250" i="5" s="1"/>
  <c r="EV622" i="5"/>
  <c r="EU622" i="5"/>
  <c r="EU1250" i="5" s="1"/>
  <c r="ET622" i="5"/>
  <c r="ET1250" i="5" s="1"/>
  <c r="ES622" i="5"/>
  <c r="ES1250" i="5" s="1"/>
  <c r="ER622" i="5"/>
  <c r="ER1250" i="5" s="1"/>
  <c r="EQ622" i="5"/>
  <c r="EQ1250" i="5" s="1"/>
  <c r="EP622" i="5"/>
  <c r="EP1250" i="5" s="1"/>
  <c r="EO622" i="5"/>
  <c r="EO1250" i="5" s="1"/>
  <c r="EN622" i="5"/>
  <c r="EN1250" i="5" s="1"/>
  <c r="EM622" i="5"/>
  <c r="EM1250" i="5" s="1"/>
  <c r="EL622" i="5"/>
  <c r="EL1250" i="5" s="1"/>
  <c r="EK622" i="5"/>
  <c r="EK1250" i="5" s="1"/>
  <c r="EJ622" i="5"/>
  <c r="EJ1250" i="5" s="1"/>
  <c r="EI622" i="5"/>
  <c r="EI1250" i="5" s="1"/>
  <c r="EH622" i="5"/>
  <c r="EH1250" i="5" s="1"/>
  <c r="EG622" i="5"/>
  <c r="EG1250" i="5" s="1"/>
  <c r="EF622" i="5"/>
  <c r="EF1250" i="5" s="1"/>
  <c r="EE622" i="5"/>
  <c r="EE1250" i="5" s="1"/>
  <c r="ED622" i="5"/>
  <c r="EC622" i="5"/>
  <c r="EC1250" i="5" s="1"/>
  <c r="EB622" i="5"/>
  <c r="EB1250" i="5" s="1"/>
  <c r="EA622" i="5"/>
  <c r="EA1250" i="5" s="1"/>
  <c r="DZ622" i="5"/>
  <c r="DZ1250" i="5" s="1"/>
  <c r="DY622" i="5"/>
  <c r="DY1250" i="5" s="1"/>
  <c r="DX622" i="5"/>
  <c r="DX1250" i="5" s="1"/>
  <c r="DW622" i="5"/>
  <c r="DW1250" i="5" s="1"/>
  <c r="DV622" i="5"/>
  <c r="DV1250" i="5" s="1"/>
  <c r="DU622" i="5"/>
  <c r="DT622" i="5"/>
  <c r="DT1250" i="5" s="1"/>
  <c r="DS622" i="5"/>
  <c r="DS1250" i="5" s="1"/>
  <c r="DR622" i="5"/>
  <c r="DQ622" i="5"/>
  <c r="DQ1250" i="5" s="1"/>
  <c r="DP622" i="5"/>
  <c r="DP1250" i="5" s="1"/>
  <c r="DO622" i="5"/>
  <c r="DO1250" i="5" s="1"/>
  <c r="DN622" i="5"/>
  <c r="DN1250" i="5" s="1"/>
  <c r="DM622" i="5"/>
  <c r="DM1250" i="5" s="1"/>
  <c r="DL622" i="5"/>
  <c r="DL1250" i="5" s="1"/>
  <c r="DK622" i="5"/>
  <c r="DK1250" i="5" s="1"/>
  <c r="DJ622" i="5"/>
  <c r="DJ1250" i="5" s="1"/>
  <c r="DI622" i="5"/>
  <c r="DH622" i="5"/>
  <c r="DH1250" i="5" s="1"/>
  <c r="DG622" i="5"/>
  <c r="DG1250" i="5" s="1"/>
  <c r="DF622" i="5"/>
  <c r="DF1250" i="5" s="1"/>
  <c r="DE622" i="5"/>
  <c r="DE1250" i="5" s="1"/>
  <c r="DD622" i="5"/>
  <c r="DC622" i="5"/>
  <c r="DC1250" i="5" s="1"/>
  <c r="DB622" i="5"/>
  <c r="DB1250" i="5" s="1"/>
  <c r="DA622" i="5"/>
  <c r="DA1250" i="5" s="1"/>
  <c r="CZ622" i="5"/>
  <c r="CY622" i="5"/>
  <c r="CY1250" i="5" s="1"/>
  <c r="CX622" i="5"/>
  <c r="CX1250" i="5" s="1"/>
  <c r="CW622" i="5"/>
  <c r="CV622" i="5"/>
  <c r="CV1250" i="5" s="1"/>
  <c r="CU622" i="5"/>
  <c r="CU1250" i="5" s="1"/>
  <c r="CT622" i="5"/>
  <c r="CT1250" i="5" s="1"/>
  <c r="CS622" i="5"/>
  <c r="CS1250" i="5" s="1"/>
  <c r="CR622" i="5"/>
  <c r="CR1250" i="5" s="1"/>
  <c r="CQ622" i="5"/>
  <c r="CP622" i="5"/>
  <c r="CO622" i="5"/>
  <c r="CO1250" i="5" s="1"/>
  <c r="CN622" i="5"/>
  <c r="CN1250" i="5" s="1"/>
  <c r="CM622" i="5"/>
  <c r="CM1250" i="5" s="1"/>
  <c r="CL622" i="5"/>
  <c r="CL1250" i="5" s="1"/>
  <c r="CK622" i="5"/>
  <c r="CJ622" i="5"/>
  <c r="CJ1250" i="5" s="1"/>
  <c r="CI622" i="5"/>
  <c r="CI1250" i="5" s="1"/>
  <c r="CH622" i="5"/>
  <c r="CH1250" i="5" s="1"/>
  <c r="CG622" i="5"/>
  <c r="CG1250" i="5" s="1"/>
  <c r="CF622" i="5"/>
  <c r="CF1250" i="5" s="1"/>
  <c r="CE622" i="5"/>
  <c r="CE1250" i="5" s="1"/>
  <c r="D622" i="5"/>
  <c r="LB621" i="5"/>
  <c r="LB726" i="5" s="1"/>
  <c r="LA621" i="5"/>
  <c r="LA726" i="5" s="1"/>
  <c r="KZ621" i="5"/>
  <c r="KZ726" i="5" s="1"/>
  <c r="KY621" i="5"/>
  <c r="KY726" i="5" s="1"/>
  <c r="IY621" i="5"/>
  <c r="IY726" i="5" s="1"/>
  <c r="IV621" i="5"/>
  <c r="IP621" i="5"/>
  <c r="CD621" i="5"/>
  <c r="CC621" i="5"/>
  <c r="CB621" i="5"/>
  <c r="CB726" i="5" s="1"/>
  <c r="CA621" i="5"/>
  <c r="BZ621" i="5"/>
  <c r="BY621" i="5"/>
  <c r="BY1249" i="5" s="1"/>
  <c r="BX621" i="5"/>
  <c r="BX1249" i="5" s="1"/>
  <c r="BW621" i="5"/>
  <c r="BW1249" i="5" s="1"/>
  <c r="BV621" i="5"/>
  <c r="BU621" i="5"/>
  <c r="BT621" i="5"/>
  <c r="BS621" i="5"/>
  <c r="BR621" i="5"/>
  <c r="BQ621" i="5"/>
  <c r="BP621" i="5"/>
  <c r="BO621" i="5"/>
  <c r="BN621" i="5"/>
  <c r="BM621" i="5"/>
  <c r="BL621" i="5"/>
  <c r="BK621" i="5"/>
  <c r="BJ621" i="5"/>
  <c r="BJ1249" i="5" s="1"/>
  <c r="BI621" i="5"/>
  <c r="BI1249" i="5" s="1"/>
  <c r="BH621" i="5"/>
  <c r="BG621" i="5"/>
  <c r="BF621" i="5"/>
  <c r="BF726" i="5" s="1"/>
  <c r="BE621" i="5"/>
  <c r="BD621" i="5"/>
  <c r="BC621" i="5"/>
  <c r="BC1249" i="5" s="1"/>
  <c r="BB621" i="5"/>
  <c r="BB1249" i="5" s="1"/>
  <c r="BA621" i="5"/>
  <c r="AZ621" i="5"/>
  <c r="AY621" i="5"/>
  <c r="AY1249" i="5" s="1"/>
  <c r="AX621" i="5"/>
  <c r="AW621" i="5"/>
  <c r="AV621" i="5"/>
  <c r="AU621" i="5"/>
  <c r="AT621" i="5"/>
  <c r="AS621" i="5"/>
  <c r="AR621" i="5"/>
  <c r="AQ621" i="5"/>
  <c r="AP621" i="5"/>
  <c r="AP726" i="5" s="1"/>
  <c r="AO621" i="5"/>
  <c r="AO726" i="5" s="1"/>
  <c r="AN621" i="5"/>
  <c r="AM621" i="5"/>
  <c r="AL621" i="5"/>
  <c r="AK621" i="5"/>
  <c r="AJ621" i="5"/>
  <c r="AJ726" i="5" s="1"/>
  <c r="AI621" i="5"/>
  <c r="AI726" i="5" s="1"/>
  <c r="AH621" i="5"/>
  <c r="AH1249" i="5" s="1"/>
  <c r="AG621" i="5"/>
  <c r="AF621" i="5"/>
  <c r="AF1249" i="5" s="1"/>
  <c r="AE621" i="5"/>
  <c r="AE1249" i="5" s="1"/>
  <c r="AD621" i="5"/>
  <c r="AC621" i="5"/>
  <c r="AC726" i="5" s="1"/>
  <c r="AB621" i="5"/>
  <c r="AA621" i="5"/>
  <c r="Z621" i="5"/>
  <c r="Y621" i="5"/>
  <c r="Y1249" i="5" s="1"/>
  <c r="X621" i="5"/>
  <c r="W621" i="5"/>
  <c r="V621" i="5"/>
  <c r="U621" i="5"/>
  <c r="T621" i="5"/>
  <c r="T726" i="5" s="1"/>
  <c r="S621" i="5"/>
  <c r="R621" i="5"/>
  <c r="Q621" i="5"/>
  <c r="P621" i="5"/>
  <c r="O621" i="5"/>
  <c r="O726" i="5" s="1"/>
  <c r="N621" i="5"/>
  <c r="N1249" i="5" s="1"/>
  <c r="M621" i="5"/>
  <c r="L621" i="5"/>
  <c r="K621" i="5"/>
  <c r="K1249" i="5" s="1"/>
  <c r="J621" i="5"/>
  <c r="I621" i="5"/>
  <c r="I1249" i="5" s="1"/>
  <c r="H621" i="5"/>
  <c r="H1249" i="5" s="1"/>
  <c r="G621" i="5"/>
  <c r="F621" i="5"/>
  <c r="E621" i="5"/>
  <c r="E1249" i="5" s="1"/>
  <c r="D621" i="5"/>
  <c r="D726" i="5" s="1"/>
  <c r="JL620" i="5"/>
  <c r="JM620" i="5" s="1"/>
  <c r="JI620" i="5"/>
  <c r="JJ620" i="5" s="1"/>
  <c r="JF620" i="5"/>
  <c r="JG620" i="5" s="1"/>
  <c r="JC620" i="5"/>
  <c r="JD620" i="5" s="1"/>
  <c r="IZ620" i="5"/>
  <c r="JA620" i="5" s="1"/>
  <c r="IW620" i="5"/>
  <c r="IX620" i="5" s="1"/>
  <c r="IR620" i="5"/>
  <c r="O67" i="7" s="1"/>
  <c r="IQ620" i="5"/>
  <c r="IP620" i="5"/>
  <c r="M67" i="7" s="1"/>
  <c r="IL620" i="5"/>
  <c r="I67" i="7" s="1"/>
  <c r="JN619" i="5"/>
  <c r="JK619" i="5"/>
  <c r="JI619" i="5" s="1"/>
  <c r="JJ619" i="5" s="1"/>
  <c r="JH619" i="5"/>
  <c r="JF619" i="5" s="1"/>
  <c r="JE619" i="5"/>
  <c r="JB619" i="5"/>
  <c r="IZ619" i="5" s="1"/>
  <c r="IY619" i="5"/>
  <c r="T66" i="7" s="1"/>
  <c r="IV619" i="5"/>
  <c r="S66" i="7" s="1"/>
  <c r="IR619" i="5"/>
  <c r="O66" i="7" s="1"/>
  <c r="IQ619" i="5"/>
  <c r="N66" i="7" s="1"/>
  <c r="IP619" i="5"/>
  <c r="IN619" i="5"/>
  <c r="J66" i="7" s="1"/>
  <c r="D619" i="5"/>
  <c r="JL618" i="5"/>
  <c r="JM618" i="5" s="1"/>
  <c r="JI618" i="5"/>
  <c r="JJ618" i="5" s="1"/>
  <c r="JF618" i="5"/>
  <c r="JG618" i="5" s="1"/>
  <c r="JC618" i="5"/>
  <c r="JD618" i="5" s="1"/>
  <c r="IZ618" i="5"/>
  <c r="JA618" i="5" s="1"/>
  <c r="IW618" i="5"/>
  <c r="IX618" i="5" s="1"/>
  <c r="IP618" i="5"/>
  <c r="M65" i="7" s="1"/>
  <c r="EX618" i="5"/>
  <c r="EW618" i="5"/>
  <c r="EV618" i="5"/>
  <c r="EU618" i="5"/>
  <c r="ET618" i="5"/>
  <c r="ES618" i="5"/>
  <c r="ER618" i="5"/>
  <c r="EQ618" i="5"/>
  <c r="EP618" i="5"/>
  <c r="EO618" i="5"/>
  <c r="EN618" i="5"/>
  <c r="EM618" i="5"/>
  <c r="EL618" i="5"/>
  <c r="EK618" i="5"/>
  <c r="EJ618" i="5"/>
  <c r="EI618" i="5"/>
  <c r="EH618" i="5"/>
  <c r="EG618" i="5"/>
  <c r="EF618" i="5"/>
  <c r="EE618" i="5"/>
  <c r="ED618" i="5"/>
  <c r="EC618" i="5"/>
  <c r="EB618" i="5"/>
  <c r="EA618" i="5"/>
  <c r="DZ618" i="5"/>
  <c r="DY618" i="5"/>
  <c r="DX618" i="5"/>
  <c r="DW618" i="5"/>
  <c r="DV618" i="5"/>
  <c r="DU618" i="5"/>
  <c r="DT618" i="5"/>
  <c r="DS618" i="5"/>
  <c r="DR618" i="5"/>
  <c r="DQ618" i="5"/>
  <c r="DP618" i="5"/>
  <c r="DO618" i="5"/>
  <c r="DN618" i="5"/>
  <c r="DM618" i="5"/>
  <c r="DL618" i="5"/>
  <c r="DK618" i="5"/>
  <c r="DJ618" i="5"/>
  <c r="DI618" i="5"/>
  <c r="DH618" i="5"/>
  <c r="DG618" i="5"/>
  <c r="DF618" i="5"/>
  <c r="DE618" i="5"/>
  <c r="DD618" i="5"/>
  <c r="DC618" i="5"/>
  <c r="IY617" i="5"/>
  <c r="T64" i="7" s="1"/>
  <c r="IV617" i="5"/>
  <c r="S64" i="7" s="1"/>
  <c r="IP617" i="5"/>
  <c r="IO617" i="5" s="1"/>
  <c r="L64" i="7" s="1"/>
  <c r="EX617" i="5"/>
  <c r="EW617" i="5"/>
  <c r="EV617" i="5"/>
  <c r="EU617" i="5"/>
  <c r="ET617" i="5"/>
  <c r="ES617" i="5"/>
  <c r="ER617" i="5"/>
  <c r="EQ617" i="5"/>
  <c r="EP617" i="5"/>
  <c r="EO617" i="5"/>
  <c r="EN617" i="5"/>
  <c r="EM617" i="5"/>
  <c r="EL617" i="5"/>
  <c r="EK617" i="5"/>
  <c r="EJ617" i="5"/>
  <c r="EI617" i="5"/>
  <c r="EH617" i="5"/>
  <c r="EG617" i="5"/>
  <c r="EF617" i="5"/>
  <c r="EE617" i="5"/>
  <c r="ED617" i="5"/>
  <c r="EC617" i="5"/>
  <c r="EB617" i="5"/>
  <c r="EA617" i="5"/>
  <c r="DZ617" i="5"/>
  <c r="DY617" i="5"/>
  <c r="DX617" i="5"/>
  <c r="DW617" i="5"/>
  <c r="DV617" i="5"/>
  <c r="DU617" i="5"/>
  <c r="DT617" i="5"/>
  <c r="DS617" i="5"/>
  <c r="DR617" i="5"/>
  <c r="DQ617" i="5"/>
  <c r="DP617" i="5"/>
  <c r="DO617" i="5"/>
  <c r="DN617" i="5"/>
  <c r="DM617" i="5"/>
  <c r="DL617" i="5"/>
  <c r="DK617" i="5"/>
  <c r="DJ617" i="5"/>
  <c r="DI617" i="5"/>
  <c r="DH617" i="5"/>
  <c r="DG617" i="5"/>
  <c r="DF617" i="5"/>
  <c r="DE617" i="5"/>
  <c r="DD617" i="5"/>
  <c r="DC617" i="5"/>
  <c r="DB617" i="5"/>
  <c r="DA617" i="5"/>
  <c r="CZ617" i="5"/>
  <c r="CY617" i="5"/>
  <c r="CX617" i="5"/>
  <c r="CW617" i="5"/>
  <c r="CV617" i="5"/>
  <c r="CU617" i="5"/>
  <c r="CT617" i="5"/>
  <c r="CS617" i="5"/>
  <c r="CR617" i="5"/>
  <c r="CQ617" i="5"/>
  <c r="CP617" i="5"/>
  <c r="CO617" i="5"/>
  <c r="CN617" i="5"/>
  <c r="CM617" i="5"/>
  <c r="CL617" i="5"/>
  <c r="CK617" i="5"/>
  <c r="CJ617" i="5"/>
  <c r="CI617" i="5"/>
  <c r="CH617" i="5"/>
  <c r="CG617" i="5"/>
  <c r="CF617" i="5"/>
  <c r="CE617" i="5"/>
  <c r="D617" i="5"/>
  <c r="IY616" i="5"/>
  <c r="IW616" i="5" s="1"/>
  <c r="IX616" i="5" s="1"/>
  <c r="IV616" i="5"/>
  <c r="IP616" i="5"/>
  <c r="M63" i="7" s="1"/>
  <c r="EX616" i="5"/>
  <c r="EW616" i="5"/>
  <c r="EV616" i="5"/>
  <c r="EU616" i="5"/>
  <c r="ET616" i="5"/>
  <c r="ES616" i="5"/>
  <c r="ER616" i="5"/>
  <c r="EQ616" i="5"/>
  <c r="EP616" i="5"/>
  <c r="EO616" i="5"/>
  <c r="EN616" i="5"/>
  <c r="EM616" i="5"/>
  <c r="EL616" i="5"/>
  <c r="EK616" i="5"/>
  <c r="EJ616" i="5"/>
  <c r="EI616" i="5"/>
  <c r="EH616" i="5"/>
  <c r="EG616" i="5"/>
  <c r="EF616" i="5"/>
  <c r="EE616" i="5"/>
  <c r="ED616" i="5"/>
  <c r="EC616" i="5"/>
  <c r="EB616" i="5"/>
  <c r="EA616" i="5"/>
  <c r="DZ616" i="5"/>
  <c r="DY616" i="5"/>
  <c r="DX616" i="5"/>
  <c r="DW616" i="5"/>
  <c r="DV616" i="5"/>
  <c r="DU616" i="5"/>
  <c r="DT616" i="5"/>
  <c r="DS616" i="5"/>
  <c r="DR616" i="5"/>
  <c r="DQ616" i="5"/>
  <c r="DP616" i="5"/>
  <c r="DO616" i="5"/>
  <c r="DN616" i="5"/>
  <c r="DM616" i="5"/>
  <c r="DL616" i="5"/>
  <c r="DK616" i="5"/>
  <c r="DJ616" i="5"/>
  <c r="DI616" i="5"/>
  <c r="DH616" i="5"/>
  <c r="DG616" i="5"/>
  <c r="DF616" i="5"/>
  <c r="DE616" i="5"/>
  <c r="DD616" i="5"/>
  <c r="DC616" i="5"/>
  <c r="DB616" i="5"/>
  <c r="DA616" i="5"/>
  <c r="CZ616" i="5"/>
  <c r="CY616" i="5"/>
  <c r="CX616" i="5"/>
  <c r="CW616" i="5"/>
  <c r="CV616" i="5"/>
  <c r="CU616" i="5"/>
  <c r="CT616" i="5"/>
  <c r="CS616" i="5"/>
  <c r="CR616" i="5"/>
  <c r="CQ616" i="5"/>
  <c r="CP616" i="5"/>
  <c r="CO616" i="5"/>
  <c r="CN616" i="5"/>
  <c r="CM616" i="5"/>
  <c r="CL616" i="5"/>
  <c r="CK616" i="5"/>
  <c r="CJ616" i="5"/>
  <c r="CI616" i="5"/>
  <c r="CH616" i="5"/>
  <c r="CG616" i="5"/>
  <c r="CF616" i="5"/>
  <c r="CE616" i="5"/>
  <c r="D616" i="5"/>
  <c r="IY615" i="5"/>
  <c r="T62" i="7" s="1"/>
  <c r="IV615" i="5"/>
  <c r="IU615" i="5" s="1"/>
  <c r="IP615" i="5"/>
  <c r="IO615" i="5" s="1"/>
  <c r="EX615" i="5"/>
  <c r="EW615" i="5"/>
  <c r="EV615" i="5"/>
  <c r="EU615" i="5"/>
  <c r="ET615" i="5"/>
  <c r="ES615" i="5"/>
  <c r="ER615" i="5"/>
  <c r="EQ615" i="5"/>
  <c r="EP615" i="5"/>
  <c r="EO615" i="5"/>
  <c r="EN615" i="5"/>
  <c r="EM615" i="5"/>
  <c r="EL615" i="5"/>
  <c r="EK615" i="5"/>
  <c r="EJ615" i="5"/>
  <c r="EI615" i="5"/>
  <c r="EH615" i="5"/>
  <c r="EG615" i="5"/>
  <c r="EF615" i="5"/>
  <c r="EE615" i="5"/>
  <c r="ED615" i="5"/>
  <c r="EC615" i="5"/>
  <c r="EB615" i="5"/>
  <c r="EA615" i="5"/>
  <c r="DZ615" i="5"/>
  <c r="DY615" i="5"/>
  <c r="DX615" i="5"/>
  <c r="DW615" i="5"/>
  <c r="DV615" i="5"/>
  <c r="DU615" i="5"/>
  <c r="DT615" i="5"/>
  <c r="DS615" i="5"/>
  <c r="DR615" i="5"/>
  <c r="DQ615" i="5"/>
  <c r="DP615" i="5"/>
  <c r="DO615" i="5"/>
  <c r="DN615" i="5"/>
  <c r="DM615" i="5"/>
  <c r="DL615" i="5"/>
  <c r="DK615" i="5"/>
  <c r="DJ615" i="5"/>
  <c r="DI615" i="5"/>
  <c r="DH615" i="5"/>
  <c r="DG615" i="5"/>
  <c r="DF615" i="5"/>
  <c r="DE615" i="5"/>
  <c r="DD615" i="5"/>
  <c r="DC615" i="5"/>
  <c r="DB615" i="5"/>
  <c r="DA615" i="5"/>
  <c r="CZ615" i="5"/>
  <c r="CY615" i="5"/>
  <c r="CX615" i="5"/>
  <c r="CW615" i="5"/>
  <c r="CV615" i="5"/>
  <c r="CU615" i="5"/>
  <c r="CT615" i="5"/>
  <c r="CS615" i="5"/>
  <c r="CR615" i="5"/>
  <c r="CQ615" i="5"/>
  <c r="CP615" i="5"/>
  <c r="CO615" i="5"/>
  <c r="CN615" i="5"/>
  <c r="CM615" i="5"/>
  <c r="CL615" i="5"/>
  <c r="CK615" i="5"/>
  <c r="CJ615" i="5"/>
  <c r="CI615" i="5"/>
  <c r="CH615" i="5"/>
  <c r="CG615" i="5"/>
  <c r="CF615" i="5"/>
  <c r="CE615" i="5"/>
  <c r="D615" i="5"/>
  <c r="LB614" i="5"/>
  <c r="LA614" i="5"/>
  <c r="KZ614" i="5"/>
  <c r="KY614" i="5"/>
  <c r="IY614" i="5"/>
  <c r="T61" i="7" s="1"/>
  <c r="IV614" i="5"/>
  <c r="S61" i="7" s="1"/>
  <c r="IT614" i="5"/>
  <c r="Q61" i="7" s="1"/>
  <c r="IP614" i="5"/>
  <c r="M61" i="7" s="1"/>
  <c r="IN614" i="5"/>
  <c r="J61" i="7" s="1"/>
  <c r="D614" i="5"/>
  <c r="JN611" i="5"/>
  <c r="JL611" i="5" s="1"/>
  <c r="JK611" i="5"/>
  <c r="JI611" i="5" s="1"/>
  <c r="JJ611" i="5" s="1"/>
  <c r="JH611" i="5"/>
  <c r="JF611" i="5" s="1"/>
  <c r="JE611" i="5"/>
  <c r="JC611" i="5" s="1"/>
  <c r="JD611" i="5" s="1"/>
  <c r="JB611" i="5"/>
  <c r="IZ611" i="5" s="1"/>
  <c r="JA611" i="5" s="1"/>
  <c r="IY611" i="5"/>
  <c r="IW611" i="5" s="1"/>
  <c r="IX611" i="5" s="1"/>
  <c r="IV611" i="5"/>
  <c r="S60" i="7" s="1"/>
  <c r="IR611" i="5"/>
  <c r="O60" i="7" s="1"/>
  <c r="IQ611" i="5"/>
  <c r="IP611" i="5"/>
  <c r="M60" i="7" s="1"/>
  <c r="IL611" i="5"/>
  <c r="IK611" i="5"/>
  <c r="G60" i="7" s="1"/>
  <c r="IJ611" i="5"/>
  <c r="IG611" i="5"/>
  <c r="IF611" i="5"/>
  <c r="C60" i="7" s="1"/>
  <c r="IE611" i="5"/>
  <c r="ID611" i="5"/>
  <c r="D611" i="5"/>
  <c r="IY610" i="5"/>
  <c r="T59" i="7" s="1"/>
  <c r="IV610" i="5"/>
  <c r="IR610" i="5"/>
  <c r="O59" i="7" s="1"/>
  <c r="IQ610" i="5"/>
  <c r="N59" i="7" s="1"/>
  <c r="IP610" i="5"/>
  <c r="M59" i="7" s="1"/>
  <c r="IK610" i="5"/>
  <c r="IJ610" i="5"/>
  <c r="IH610" i="5" s="1"/>
  <c r="II610" i="5"/>
  <c r="F59" i="7" s="1"/>
  <c r="IG610" i="5"/>
  <c r="IF610" i="5"/>
  <c r="C59" i="7" s="1"/>
  <c r="IE610" i="5"/>
  <c r="D610" i="5"/>
  <c r="JL609" i="5"/>
  <c r="JM609" i="5" s="1"/>
  <c r="JI609" i="5"/>
  <c r="JJ609" i="5" s="1"/>
  <c r="JF609" i="5"/>
  <c r="JG609" i="5" s="1"/>
  <c r="JC609" i="5"/>
  <c r="JD609" i="5" s="1"/>
  <c r="IZ609" i="5"/>
  <c r="JA609" i="5" s="1"/>
  <c r="IW609" i="5"/>
  <c r="IX609" i="5" s="1"/>
  <c r="EX609" i="5"/>
  <c r="EW609" i="5"/>
  <c r="EV609" i="5"/>
  <c r="EU609" i="5"/>
  <c r="ET609" i="5"/>
  <c r="ES609" i="5"/>
  <c r="ER609" i="5"/>
  <c r="EQ609" i="5"/>
  <c r="EP609" i="5"/>
  <c r="EO609" i="5"/>
  <c r="EN609" i="5"/>
  <c r="EM609" i="5"/>
  <c r="EL609" i="5"/>
  <c r="EK609" i="5"/>
  <c r="EJ609" i="5"/>
  <c r="EI609" i="5"/>
  <c r="EH609" i="5"/>
  <c r="EG609" i="5"/>
  <c r="EF609" i="5"/>
  <c r="EE609" i="5"/>
  <c r="ED609" i="5"/>
  <c r="EC609" i="5"/>
  <c r="EB609" i="5"/>
  <c r="EA609" i="5"/>
  <c r="DZ609" i="5"/>
  <c r="DY609" i="5"/>
  <c r="DX609" i="5"/>
  <c r="DW609" i="5"/>
  <c r="DV609" i="5"/>
  <c r="DU609" i="5"/>
  <c r="DT609" i="5"/>
  <c r="DS609" i="5"/>
  <c r="DR609" i="5"/>
  <c r="DQ609" i="5"/>
  <c r="DP609" i="5"/>
  <c r="DO609" i="5"/>
  <c r="DN609" i="5"/>
  <c r="DM609" i="5"/>
  <c r="DL609" i="5"/>
  <c r="DK609" i="5"/>
  <c r="DJ609" i="5"/>
  <c r="DI609" i="5"/>
  <c r="DH609" i="5"/>
  <c r="DG609" i="5"/>
  <c r="DF609" i="5"/>
  <c r="DE609" i="5"/>
  <c r="DD609" i="5"/>
  <c r="DC609" i="5"/>
  <c r="D609" i="5"/>
  <c r="IY608" i="5"/>
  <c r="T57" i="7" s="1"/>
  <c r="IV608" i="5"/>
  <c r="S57" i="7" s="1"/>
  <c r="IP608" i="5"/>
  <c r="M57" i="7" s="1"/>
  <c r="D608" i="5"/>
  <c r="IY607" i="5"/>
  <c r="T56" i="7" s="1"/>
  <c r="IV607" i="5"/>
  <c r="S56" i="7" s="1"/>
  <c r="IR607" i="5"/>
  <c r="O56" i="7" s="1"/>
  <c r="IQ607" i="5"/>
  <c r="IP607" i="5"/>
  <c r="M56" i="7" s="1"/>
  <c r="IG607" i="5"/>
  <c r="IF607" i="5"/>
  <c r="C56" i="7" s="1"/>
  <c r="IE607" i="5"/>
  <c r="D607" i="5"/>
  <c r="IY606" i="5"/>
  <c r="IW606" i="5" s="1"/>
  <c r="IV606" i="5"/>
  <c r="S55" i="7" s="1"/>
  <c r="IP606" i="5"/>
  <c r="DB606" i="5"/>
  <c r="DB1247" i="5" s="1"/>
  <c r="DA606" i="5"/>
  <c r="DA1247" i="5" s="1"/>
  <c r="CZ606" i="5"/>
  <c r="CZ1247" i="5" s="1"/>
  <c r="CY606" i="5"/>
  <c r="CX606" i="5"/>
  <c r="CW606" i="5"/>
  <c r="CW1247" i="5" s="1"/>
  <c r="CV606" i="5"/>
  <c r="CV1247" i="5" s="1"/>
  <c r="CU606" i="5"/>
  <c r="CU1247" i="5" s="1"/>
  <c r="CT606" i="5"/>
  <c r="CT1247" i="5" s="1"/>
  <c r="CS606" i="5"/>
  <c r="CS1247" i="5" s="1"/>
  <c r="CR606" i="5"/>
  <c r="CQ606" i="5"/>
  <c r="CQ1247" i="5" s="1"/>
  <c r="CP606" i="5"/>
  <c r="CP1247" i="5" s="1"/>
  <c r="CO606" i="5"/>
  <c r="CO1247" i="5" s="1"/>
  <c r="CN606" i="5"/>
  <c r="CN1247" i="5" s="1"/>
  <c r="CM606" i="5"/>
  <c r="CM1247" i="5" s="1"/>
  <c r="CL606" i="5"/>
  <c r="CL1247" i="5" s="1"/>
  <c r="CK606" i="5"/>
  <c r="CK1247" i="5" s="1"/>
  <c r="CJ606" i="5"/>
  <c r="CJ1247" i="5" s="1"/>
  <c r="CI606" i="5"/>
  <c r="CI1247" i="5" s="1"/>
  <c r="CH606" i="5"/>
  <c r="CH1247" i="5" s="1"/>
  <c r="CG606" i="5"/>
  <c r="CG1247" i="5" s="1"/>
  <c r="CF606" i="5"/>
  <c r="CF1247" i="5" s="1"/>
  <c r="CE606" i="5"/>
  <c r="CE1247" i="5" s="1"/>
  <c r="D606" i="5"/>
  <c r="IY605" i="5"/>
  <c r="T54" i="7" s="1"/>
  <c r="IV605" i="5"/>
  <c r="IT605" i="5" s="1"/>
  <c r="Q54" i="7" s="1"/>
  <c r="IP605" i="5"/>
  <c r="EX605" i="5"/>
  <c r="EW605" i="5"/>
  <c r="EV605" i="5"/>
  <c r="EU605" i="5"/>
  <c r="ET605" i="5"/>
  <c r="ES605" i="5"/>
  <c r="ER605" i="5"/>
  <c r="EQ605" i="5"/>
  <c r="EP605" i="5"/>
  <c r="EO605" i="5"/>
  <c r="EN605" i="5"/>
  <c r="EM605" i="5"/>
  <c r="EL605" i="5"/>
  <c r="EK605" i="5"/>
  <c r="EJ605" i="5"/>
  <c r="EI605" i="5"/>
  <c r="EH605" i="5"/>
  <c r="EG605" i="5"/>
  <c r="EF605" i="5"/>
  <c r="EE605" i="5"/>
  <c r="ED605" i="5"/>
  <c r="EC605" i="5"/>
  <c r="EB605" i="5"/>
  <c r="EA605" i="5"/>
  <c r="DZ605" i="5"/>
  <c r="DY605" i="5"/>
  <c r="DX605" i="5"/>
  <c r="DW605" i="5"/>
  <c r="DV605" i="5"/>
  <c r="DU605" i="5"/>
  <c r="DT605" i="5"/>
  <c r="DS605" i="5"/>
  <c r="DR605" i="5"/>
  <c r="DQ605" i="5"/>
  <c r="DP605" i="5"/>
  <c r="DO605" i="5"/>
  <c r="DN605" i="5"/>
  <c r="DM605" i="5"/>
  <c r="DL605" i="5"/>
  <c r="DK605" i="5"/>
  <c r="DJ605" i="5"/>
  <c r="DI605" i="5"/>
  <c r="DH605" i="5"/>
  <c r="DG605" i="5"/>
  <c r="DF605" i="5"/>
  <c r="DE605" i="5"/>
  <c r="DD605" i="5"/>
  <c r="DC605" i="5"/>
  <c r="DB605" i="5"/>
  <c r="DA605" i="5"/>
  <c r="CZ605" i="5"/>
  <c r="CY605" i="5"/>
  <c r="CX605" i="5"/>
  <c r="CW605" i="5"/>
  <c r="CV605" i="5"/>
  <c r="CU605" i="5"/>
  <c r="CT605" i="5"/>
  <c r="CS605" i="5"/>
  <c r="CR605" i="5"/>
  <c r="CQ605" i="5"/>
  <c r="CP605" i="5"/>
  <c r="CO605" i="5"/>
  <c r="CN605" i="5"/>
  <c r="CM605" i="5"/>
  <c r="CL605" i="5"/>
  <c r="CK605" i="5"/>
  <c r="CJ605" i="5"/>
  <c r="CI605" i="5"/>
  <c r="CH605" i="5"/>
  <c r="CG605" i="5"/>
  <c r="CF605" i="5"/>
  <c r="CE605" i="5"/>
  <c r="D605" i="5"/>
  <c r="IZ604" i="5"/>
  <c r="IY604" i="5"/>
  <c r="IW604" i="5"/>
  <c r="IV604" i="5"/>
  <c r="IT604" i="5"/>
  <c r="JL603" i="5"/>
  <c r="JI603" i="5"/>
  <c r="JF603" i="5"/>
  <c r="JC603" i="5"/>
  <c r="IZ603" i="5"/>
  <c r="IY603" i="5"/>
  <c r="IW603" i="5"/>
  <c r="IV603" i="5"/>
  <c r="S53" i="7" s="1"/>
  <c r="IT603" i="5"/>
  <c r="Q53" i="7" s="1"/>
  <c r="IP603" i="5"/>
  <c r="M53" i="7" s="1"/>
  <c r="EX603" i="5"/>
  <c r="EW603" i="5"/>
  <c r="EW1246" i="5" s="1"/>
  <c r="EV603" i="5"/>
  <c r="EU603" i="5"/>
  <c r="EU1246" i="5" s="1"/>
  <c r="ET603" i="5"/>
  <c r="ET1246" i="5" s="1"/>
  <c r="ES603" i="5"/>
  <c r="ES1246" i="5" s="1"/>
  <c r="ER603" i="5"/>
  <c r="ER1246" i="5" s="1"/>
  <c r="EQ603" i="5"/>
  <c r="EQ1246" i="5" s="1"/>
  <c r="EP603" i="5"/>
  <c r="EO603" i="5"/>
  <c r="EN603" i="5"/>
  <c r="EN1246" i="5" s="1"/>
  <c r="EM603" i="5"/>
  <c r="EL603" i="5"/>
  <c r="EL1246" i="5" s="1"/>
  <c r="EK603" i="5"/>
  <c r="EJ603" i="5"/>
  <c r="EJ1246" i="5" s="1"/>
  <c r="EI603" i="5"/>
  <c r="EI1246" i="5" s="1"/>
  <c r="EH603" i="5"/>
  <c r="EH1246" i="5" s="1"/>
  <c r="EG603" i="5"/>
  <c r="EG1246" i="5" s="1"/>
  <c r="EF603" i="5"/>
  <c r="EE603" i="5"/>
  <c r="EE1246" i="5" s="1"/>
  <c r="ED603" i="5"/>
  <c r="EC603" i="5"/>
  <c r="EC1246" i="5" s="1"/>
  <c r="EB603" i="5"/>
  <c r="EB1246" i="5" s="1"/>
  <c r="EA603" i="5"/>
  <c r="DZ603" i="5"/>
  <c r="DZ1246" i="5" s="1"/>
  <c r="DY603" i="5"/>
  <c r="DY1246" i="5" s="1"/>
  <c r="DX603" i="5"/>
  <c r="DX1246" i="5" s="1"/>
  <c r="DW603" i="5"/>
  <c r="DW1246" i="5" s="1"/>
  <c r="DV603" i="5"/>
  <c r="DU603" i="5"/>
  <c r="DT603" i="5"/>
  <c r="DT1246" i="5" s="1"/>
  <c r="DS603" i="5"/>
  <c r="DR603" i="5"/>
  <c r="DR1246" i="5" s="1"/>
  <c r="DQ603" i="5"/>
  <c r="DQ1246" i="5" s="1"/>
  <c r="DP603" i="5"/>
  <c r="DP1246" i="5" s="1"/>
  <c r="DO603" i="5"/>
  <c r="DO1246" i="5" s="1"/>
  <c r="DN603" i="5"/>
  <c r="DN1246" i="5" s="1"/>
  <c r="DM603" i="5"/>
  <c r="DM1246" i="5" s="1"/>
  <c r="DL603" i="5"/>
  <c r="DK603" i="5"/>
  <c r="DJ603" i="5"/>
  <c r="DJ1246" i="5" s="1"/>
  <c r="DI603" i="5"/>
  <c r="DI1246" i="5" s="1"/>
  <c r="DH603" i="5"/>
  <c r="DH1246" i="5" s="1"/>
  <c r="DG603" i="5"/>
  <c r="DF603" i="5"/>
  <c r="DE603" i="5"/>
  <c r="DD603" i="5"/>
  <c r="DC603" i="5"/>
  <c r="DB603" i="5"/>
  <c r="DB1246" i="5" s="1"/>
  <c r="DA603" i="5"/>
  <c r="DA1246" i="5" s="1"/>
  <c r="CZ603" i="5"/>
  <c r="CZ1246" i="5" s="1"/>
  <c r="CY603" i="5"/>
  <c r="CX603" i="5"/>
  <c r="CX1246" i="5" s="1"/>
  <c r="CW603" i="5"/>
  <c r="CW1246" i="5" s="1"/>
  <c r="CV603" i="5"/>
  <c r="CU603" i="5"/>
  <c r="CU1246" i="5" s="1"/>
  <c r="CT603" i="5"/>
  <c r="CT1246" i="5" s="1"/>
  <c r="CS603" i="5"/>
  <c r="CS1246" i="5" s="1"/>
  <c r="CR603" i="5"/>
  <c r="CR1246" i="5" s="1"/>
  <c r="CQ603" i="5"/>
  <c r="CP603" i="5"/>
  <c r="CP1246" i="5" s="1"/>
  <c r="CO603" i="5"/>
  <c r="CO1246" i="5" s="1"/>
  <c r="CN603" i="5"/>
  <c r="CN1246" i="5" s="1"/>
  <c r="CM603" i="5"/>
  <c r="CM1246" i="5" s="1"/>
  <c r="CL603" i="5"/>
  <c r="CL1246" i="5" s="1"/>
  <c r="CK603" i="5"/>
  <c r="CK1246" i="5" s="1"/>
  <c r="CJ603" i="5"/>
  <c r="CJ1246" i="5" s="1"/>
  <c r="CI603" i="5"/>
  <c r="CI1246" i="5" s="1"/>
  <c r="CH603" i="5"/>
  <c r="CG603" i="5"/>
  <c r="CG1246" i="5" s="1"/>
  <c r="CF603" i="5"/>
  <c r="CF1246" i="5" s="1"/>
  <c r="CE603" i="5"/>
  <c r="D603" i="5"/>
  <c r="IZ602" i="5"/>
  <c r="IY602" i="5"/>
  <c r="IW602" i="5"/>
  <c r="IV602" i="5"/>
  <c r="IT602" i="5"/>
  <c r="JN601" i="5"/>
  <c r="JL601" i="5" s="1"/>
  <c r="JM601" i="5" s="1"/>
  <c r="JK601" i="5"/>
  <c r="JI601" i="5" s="1"/>
  <c r="JJ601" i="5" s="1"/>
  <c r="JH601" i="5"/>
  <c r="JF601" i="5" s="1"/>
  <c r="JE601" i="5"/>
  <c r="JC601" i="5" s="1"/>
  <c r="JD601" i="5" s="1"/>
  <c r="IY601" i="5"/>
  <c r="IW601" i="5" s="1"/>
  <c r="IX601" i="5" s="1"/>
  <c r="IV601" i="5"/>
  <c r="S52" i="7" s="1"/>
  <c r="IP601" i="5"/>
  <c r="M52" i="7" s="1"/>
  <c r="ID601" i="5"/>
  <c r="EX601" i="5"/>
  <c r="EW601" i="5"/>
  <c r="EV601" i="5"/>
  <c r="EU601" i="5"/>
  <c r="ET601" i="5"/>
  <c r="ES601" i="5"/>
  <c r="ER601" i="5"/>
  <c r="EQ601"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DQ601" i="5"/>
  <c r="DP601" i="5"/>
  <c r="DO601" i="5"/>
  <c r="DN601" i="5"/>
  <c r="DM601" i="5"/>
  <c r="DL601" i="5"/>
  <c r="DK601" i="5"/>
  <c r="DJ601" i="5"/>
  <c r="DI601" i="5"/>
  <c r="DH601" i="5"/>
  <c r="DG601" i="5"/>
  <c r="DF601" i="5"/>
  <c r="DE601" i="5"/>
  <c r="DD601" i="5"/>
  <c r="DC601"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D601" i="5"/>
  <c r="IY600" i="5"/>
  <c r="IV600" i="5"/>
  <c r="S51" i="7" s="1"/>
  <c r="IP600" i="5"/>
  <c r="M51" i="7" s="1"/>
  <c r="ID600" i="5"/>
  <c r="EX600" i="5"/>
  <c r="EW600" i="5"/>
  <c r="EV600" i="5"/>
  <c r="EV1245" i="5" s="1"/>
  <c r="EU600" i="5"/>
  <c r="ET600" i="5"/>
  <c r="ES600" i="5"/>
  <c r="ER600" i="5"/>
  <c r="EQ600" i="5"/>
  <c r="EQ1245" i="5" s="1"/>
  <c r="EP600" i="5"/>
  <c r="EP1245" i="5" s="1"/>
  <c r="EO600" i="5"/>
  <c r="EO1245" i="5" s="1"/>
  <c r="EN600" i="5"/>
  <c r="EM600" i="5"/>
  <c r="EL600" i="5"/>
  <c r="EL1245" i="5" s="1"/>
  <c r="EK600" i="5"/>
  <c r="EK1245" i="5" s="1"/>
  <c r="EJ600" i="5"/>
  <c r="EJ1245" i="5" s="1"/>
  <c r="EI600" i="5"/>
  <c r="EH600" i="5"/>
  <c r="EH1245" i="5" s="1"/>
  <c r="EG600" i="5"/>
  <c r="EF600" i="5"/>
  <c r="EF1245" i="5" s="1"/>
  <c r="EE600" i="5"/>
  <c r="ED600" i="5"/>
  <c r="ED1245" i="5" s="1"/>
  <c r="EC600" i="5"/>
  <c r="EC1245" i="5" s="1"/>
  <c r="EB600" i="5"/>
  <c r="EA600" i="5"/>
  <c r="EA1245" i="5" s="1"/>
  <c r="DZ600" i="5"/>
  <c r="DY600" i="5"/>
  <c r="DX600" i="5"/>
  <c r="DW600" i="5"/>
  <c r="DV600" i="5"/>
  <c r="DV1245" i="5" s="1"/>
  <c r="DU600" i="5"/>
  <c r="DU1245" i="5" s="1"/>
  <c r="DT600" i="5"/>
  <c r="DS600" i="5"/>
  <c r="DS1245" i="5" s="1"/>
  <c r="DR600" i="5"/>
  <c r="DQ600" i="5"/>
  <c r="DQ1245" i="5" s="1"/>
  <c r="DP600" i="5"/>
  <c r="DO600" i="5"/>
  <c r="DN600" i="5"/>
  <c r="DM600" i="5"/>
  <c r="DM1245" i="5" s="1"/>
  <c r="DL600" i="5"/>
  <c r="DL1245" i="5" s="1"/>
  <c r="DK600" i="5"/>
  <c r="DK1245" i="5" s="1"/>
  <c r="DJ600" i="5"/>
  <c r="DI600" i="5"/>
  <c r="DH600" i="5"/>
  <c r="DH1245" i="5" s="1"/>
  <c r="DG600" i="5"/>
  <c r="DG1245" i="5" s="1"/>
  <c r="DF600" i="5"/>
  <c r="DF1245" i="5" s="1"/>
  <c r="DE600" i="5"/>
  <c r="DE1245" i="5" s="1"/>
  <c r="DD600" i="5"/>
  <c r="DD1245" i="5" s="1"/>
  <c r="DC600" i="5"/>
  <c r="DC1245" i="5" s="1"/>
  <c r="DB600" i="5"/>
  <c r="DA600" i="5"/>
  <c r="CZ600" i="5"/>
  <c r="CY600" i="5"/>
  <c r="CX600" i="5"/>
  <c r="CX1245" i="5" s="1"/>
  <c r="CW600" i="5"/>
  <c r="CV600" i="5"/>
  <c r="CV1245" i="5" s="1"/>
  <c r="CU600" i="5"/>
  <c r="CU1245" i="5" s="1"/>
  <c r="CT600" i="5"/>
  <c r="CT1245" i="5" s="1"/>
  <c r="CS600" i="5"/>
  <c r="CR600" i="5"/>
  <c r="CQ600" i="5"/>
  <c r="CQ1245" i="5" s="1"/>
  <c r="CP600" i="5"/>
  <c r="CP1245" i="5" s="1"/>
  <c r="CO600" i="5"/>
  <c r="CN600" i="5"/>
  <c r="CM600" i="5"/>
  <c r="CM1245" i="5" s="1"/>
  <c r="CL600" i="5"/>
  <c r="CK600" i="5"/>
  <c r="CJ600" i="5"/>
  <c r="CI600" i="5"/>
  <c r="CH600" i="5"/>
  <c r="CH1245" i="5" s="1"/>
  <c r="CG600" i="5"/>
  <c r="CF600" i="5"/>
  <c r="CE600" i="5"/>
  <c r="CE1245" i="5" s="1"/>
  <c r="D600" i="5"/>
  <c r="LB599" i="5"/>
  <c r="LA599" i="5"/>
  <c r="KZ599" i="5"/>
  <c r="KY599" i="5"/>
  <c r="IY599" i="5"/>
  <c r="T50" i="7" s="1"/>
  <c r="IV599" i="5"/>
  <c r="S48" i="7" s="1"/>
  <c r="IP599" i="5"/>
  <c r="M50" i="7" s="1"/>
  <c r="IN599" i="5"/>
  <c r="J50" i="7" s="1"/>
  <c r="CD599" i="5"/>
  <c r="CD590" i="5" s="1"/>
  <c r="CC599" i="5"/>
  <c r="CC590" i="5" s="1"/>
  <c r="CB599" i="5"/>
  <c r="CB590" i="5" s="1"/>
  <c r="CA599" i="5"/>
  <c r="CA590" i="5" s="1"/>
  <c r="BZ599" i="5"/>
  <c r="BZ590" i="5" s="1"/>
  <c r="BY599" i="5"/>
  <c r="BY590" i="5" s="1"/>
  <c r="BX599" i="5"/>
  <c r="BX590" i="5" s="1"/>
  <c r="BX724" i="5" s="1"/>
  <c r="BW599" i="5"/>
  <c r="BW590" i="5" s="1"/>
  <c r="BV599" i="5"/>
  <c r="BV590" i="5" s="1"/>
  <c r="BU599" i="5"/>
  <c r="BU590" i="5" s="1"/>
  <c r="BT599" i="5"/>
  <c r="BT590" i="5" s="1"/>
  <c r="BT1242" i="5" s="1"/>
  <c r="BS599" i="5"/>
  <c r="BS590" i="5" s="1"/>
  <c r="BR599" i="5"/>
  <c r="BR590" i="5" s="1"/>
  <c r="BR1242" i="5" s="1"/>
  <c r="BQ599" i="5"/>
  <c r="BQ590" i="5" s="1"/>
  <c r="BP599" i="5"/>
  <c r="BP590" i="5" s="1"/>
  <c r="BO599" i="5"/>
  <c r="BO590" i="5" s="1"/>
  <c r="BN599" i="5"/>
  <c r="BN590" i="5" s="1"/>
  <c r="BM599" i="5"/>
  <c r="BM590" i="5" s="1"/>
  <c r="BM1242" i="5" s="1"/>
  <c r="BL599" i="5"/>
  <c r="BL590" i="5" s="1"/>
  <c r="BK599" i="5"/>
  <c r="BK590" i="5" s="1"/>
  <c r="BJ599" i="5"/>
  <c r="BJ590" i="5" s="1"/>
  <c r="BI599" i="5"/>
  <c r="BI590" i="5" s="1"/>
  <c r="BI724" i="5" s="1"/>
  <c r="BH599" i="5"/>
  <c r="BH590" i="5" s="1"/>
  <c r="BG599" i="5"/>
  <c r="BG590" i="5" s="1"/>
  <c r="BF599" i="5"/>
  <c r="BF590" i="5" s="1"/>
  <c r="BE599" i="5"/>
  <c r="BE590" i="5" s="1"/>
  <c r="BD599" i="5"/>
  <c r="BD590" i="5" s="1"/>
  <c r="BC599" i="5"/>
  <c r="BC590" i="5" s="1"/>
  <c r="BC1242" i="5" s="1"/>
  <c r="BB599" i="5"/>
  <c r="BB590" i="5" s="1"/>
  <c r="BA599" i="5"/>
  <c r="BA590" i="5" s="1"/>
  <c r="BA724" i="5" s="1"/>
  <c r="AZ599" i="5"/>
  <c r="AZ590" i="5" s="1"/>
  <c r="AZ724" i="5" s="1"/>
  <c r="AY599" i="5"/>
  <c r="AY590" i="5" s="1"/>
  <c r="AX599" i="5"/>
  <c r="AX590" i="5" s="1"/>
  <c r="AX724" i="5" s="1"/>
  <c r="AW599" i="5"/>
  <c r="AW590" i="5" s="1"/>
  <c r="AV599" i="5"/>
  <c r="AV590" i="5" s="1"/>
  <c r="AU599" i="5"/>
  <c r="AU590" i="5" s="1"/>
  <c r="AT599" i="5"/>
  <c r="AT590" i="5" s="1"/>
  <c r="AS599" i="5"/>
  <c r="AS590" i="5" s="1"/>
  <c r="AS1242" i="5" s="1"/>
  <c r="AR599" i="5"/>
  <c r="AR590" i="5" s="1"/>
  <c r="AQ599" i="5"/>
  <c r="AQ590" i="5" s="1"/>
  <c r="AQ1242" i="5" s="1"/>
  <c r="AP599" i="5"/>
  <c r="AP590" i="5" s="1"/>
  <c r="AO599" i="5"/>
  <c r="AO590" i="5" s="1"/>
  <c r="AN599" i="5"/>
  <c r="AN590" i="5" s="1"/>
  <c r="AM599" i="5"/>
  <c r="AM590" i="5" s="1"/>
  <c r="AL599" i="5"/>
  <c r="AL590" i="5" s="1"/>
  <c r="AK599" i="5"/>
  <c r="AK590" i="5" s="1"/>
  <c r="AJ599" i="5"/>
  <c r="AJ590" i="5" s="1"/>
  <c r="AI599" i="5"/>
  <c r="AI590" i="5" s="1"/>
  <c r="AI1242" i="5" s="1"/>
  <c r="AH599" i="5"/>
  <c r="AH590" i="5" s="1"/>
  <c r="AH724" i="5" s="1"/>
  <c r="AG599" i="5"/>
  <c r="AG590" i="5" s="1"/>
  <c r="AG1242" i="5" s="1"/>
  <c r="AF599" i="5"/>
  <c r="AF590" i="5" s="1"/>
  <c r="AF724" i="5" s="1"/>
  <c r="AE599" i="5"/>
  <c r="AE590" i="5" s="1"/>
  <c r="AD599" i="5"/>
  <c r="AD590" i="5" s="1"/>
  <c r="AC599" i="5"/>
  <c r="AC590" i="5" s="1"/>
  <c r="AC1242" i="5" s="1"/>
  <c r="AB599" i="5"/>
  <c r="AB590" i="5" s="1"/>
  <c r="AA599" i="5"/>
  <c r="AA590" i="5" s="1"/>
  <c r="AA724" i="5" s="1"/>
  <c r="Z599" i="5"/>
  <c r="Z590" i="5" s="1"/>
  <c r="Z1242" i="5" s="1"/>
  <c r="Y599" i="5"/>
  <c r="Y590" i="5" s="1"/>
  <c r="X599" i="5"/>
  <c r="X590" i="5" s="1"/>
  <c r="W599" i="5"/>
  <c r="W590" i="5" s="1"/>
  <c r="V599" i="5"/>
  <c r="V590" i="5" s="1"/>
  <c r="V1242" i="5" s="1"/>
  <c r="U599" i="5"/>
  <c r="U590" i="5" s="1"/>
  <c r="T599" i="5"/>
  <c r="T590" i="5" s="1"/>
  <c r="T1242" i="5" s="1"/>
  <c r="S599" i="5"/>
  <c r="S590" i="5" s="1"/>
  <c r="R599" i="5"/>
  <c r="R590" i="5" s="1"/>
  <c r="Q599" i="5"/>
  <c r="Q590" i="5" s="1"/>
  <c r="Q724" i="5" s="1"/>
  <c r="P599" i="5"/>
  <c r="P590" i="5" s="1"/>
  <c r="P724" i="5" s="1"/>
  <c r="O599" i="5"/>
  <c r="O590" i="5" s="1"/>
  <c r="N599" i="5"/>
  <c r="N590" i="5" s="1"/>
  <c r="N1242" i="5" s="1"/>
  <c r="M599" i="5"/>
  <c r="M590" i="5" s="1"/>
  <c r="M1242" i="5" s="1"/>
  <c r="L599" i="5"/>
  <c r="L590" i="5" s="1"/>
  <c r="L1242" i="5" s="1"/>
  <c r="K599" i="5"/>
  <c r="K590" i="5" s="1"/>
  <c r="K1242" i="5" s="1"/>
  <c r="J599" i="5"/>
  <c r="J590" i="5" s="1"/>
  <c r="J1242" i="5" s="1"/>
  <c r="I599" i="5"/>
  <c r="I590" i="5" s="1"/>
  <c r="H599" i="5"/>
  <c r="H590" i="5" s="1"/>
  <c r="G599" i="5"/>
  <c r="G590" i="5" s="1"/>
  <c r="G724" i="5" s="1"/>
  <c r="F599" i="5"/>
  <c r="F590" i="5" s="1"/>
  <c r="E599" i="5"/>
  <c r="E590" i="5" s="1"/>
  <c r="E724" i="5" s="1"/>
  <c r="D599" i="5"/>
  <c r="JL598" i="5"/>
  <c r="JM598" i="5" s="1"/>
  <c r="JI598" i="5"/>
  <c r="JJ598" i="5" s="1"/>
  <c r="JF598" i="5"/>
  <c r="JG598" i="5" s="1"/>
  <c r="JC598" i="5"/>
  <c r="JD598" i="5" s="1"/>
  <c r="IZ598" i="5"/>
  <c r="JA598" i="5" s="1"/>
  <c r="IW598" i="5"/>
  <c r="IX598" i="5" s="1"/>
  <c r="EX598" i="5"/>
  <c r="EW598" i="5"/>
  <c r="EV598" i="5"/>
  <c r="EU598" i="5"/>
  <c r="ET598"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DQ598" i="5"/>
  <c r="DP598" i="5"/>
  <c r="DO598" i="5"/>
  <c r="DN598" i="5"/>
  <c r="DM598" i="5"/>
  <c r="DL598" i="5"/>
  <c r="DK598" i="5"/>
  <c r="DJ598" i="5"/>
  <c r="DI598" i="5"/>
  <c r="DH598" i="5"/>
  <c r="DG598" i="5"/>
  <c r="DF598"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D598" i="5"/>
  <c r="JE597" i="5"/>
  <c r="IY597" i="5"/>
  <c r="IR597" i="5"/>
  <c r="O48" i="7" s="1"/>
  <c r="IQ597" i="5"/>
  <c r="N48" i="7" s="1"/>
  <c r="IP597" i="5"/>
  <c r="IG597" i="5"/>
  <c r="IF597" i="5"/>
  <c r="C48" i="7" s="1"/>
  <c r="IE597" i="5"/>
  <c r="D597" i="5"/>
  <c r="JL596" i="5"/>
  <c r="JM596" i="5" s="1"/>
  <c r="JI596" i="5"/>
  <c r="JJ596" i="5" s="1"/>
  <c r="JF596" i="5"/>
  <c r="JG596" i="5" s="1"/>
  <c r="JC596" i="5"/>
  <c r="JD596" i="5" s="1"/>
  <c r="IZ596" i="5"/>
  <c r="JA596" i="5" s="1"/>
  <c r="IW596" i="5"/>
  <c r="IX596" i="5" s="1"/>
  <c r="EX596" i="5"/>
  <c r="EW596" i="5"/>
  <c r="EV596"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DQ596" i="5"/>
  <c r="DP596" i="5"/>
  <c r="DO596" i="5"/>
  <c r="DN596" i="5"/>
  <c r="DM596" i="5"/>
  <c r="DL596" i="5"/>
  <c r="DK596" i="5"/>
  <c r="DJ596" i="5"/>
  <c r="DI596" i="5"/>
  <c r="DH596"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D596" i="5"/>
  <c r="IY595" i="5"/>
  <c r="T46" i="7" s="1"/>
  <c r="IV595" i="5"/>
  <c r="IP595" i="5"/>
  <c r="M46" i="7" s="1"/>
  <c r="IN595" i="5"/>
  <c r="J46" i="7" s="1"/>
  <c r="EX595" i="5"/>
  <c r="EX1244" i="5" s="1"/>
  <c r="EW595" i="5"/>
  <c r="EW1244" i="5" s="1"/>
  <c r="EV595" i="5"/>
  <c r="EV1244" i="5" s="1"/>
  <c r="EU595" i="5"/>
  <c r="EU1244" i="5" s="1"/>
  <c r="ET595" i="5"/>
  <c r="ET1244" i="5" s="1"/>
  <c r="ES595" i="5"/>
  <c r="ER595" i="5"/>
  <c r="ER1244" i="5" s="1"/>
  <c r="EQ595" i="5"/>
  <c r="EQ1244" i="5" s="1"/>
  <c r="EP595" i="5"/>
  <c r="EP1244" i="5" s="1"/>
  <c r="EO595" i="5"/>
  <c r="EN595" i="5"/>
  <c r="EN1244" i="5" s="1"/>
  <c r="EM595" i="5"/>
  <c r="EM1244" i="5" s="1"/>
  <c r="EL595" i="5"/>
  <c r="EL1244" i="5" s="1"/>
  <c r="EK595" i="5"/>
  <c r="EK1244" i="5" s="1"/>
  <c r="EJ595" i="5"/>
  <c r="EJ1244" i="5" s="1"/>
  <c r="EI595" i="5"/>
  <c r="EI1244" i="5" s="1"/>
  <c r="EH595" i="5"/>
  <c r="EH1244" i="5" s="1"/>
  <c r="EG595" i="5"/>
  <c r="EG1244" i="5" s="1"/>
  <c r="EF595" i="5"/>
  <c r="EE595" i="5"/>
  <c r="EE1244" i="5" s="1"/>
  <c r="ED595" i="5"/>
  <c r="ED1244" i="5" s="1"/>
  <c r="EC595" i="5"/>
  <c r="EC1244" i="5" s="1"/>
  <c r="EB595" i="5"/>
  <c r="EB1244" i="5" s="1"/>
  <c r="EA595" i="5"/>
  <c r="EA1244" i="5" s="1"/>
  <c r="DZ595" i="5"/>
  <c r="DZ1244" i="5" s="1"/>
  <c r="DY595" i="5"/>
  <c r="DY1244" i="5" s="1"/>
  <c r="DX595" i="5"/>
  <c r="DX1244" i="5" s="1"/>
  <c r="DW595" i="5"/>
  <c r="DW1244" i="5" s="1"/>
  <c r="DV595" i="5"/>
  <c r="DV1244" i="5" s="1"/>
  <c r="DU595" i="5"/>
  <c r="DU1244" i="5" s="1"/>
  <c r="DT595" i="5"/>
  <c r="DT1244" i="5" s="1"/>
  <c r="DS595" i="5"/>
  <c r="DS1244" i="5" s="1"/>
  <c r="DR595" i="5"/>
  <c r="DR1244" i="5" s="1"/>
  <c r="DQ595" i="5"/>
  <c r="DQ1244" i="5" s="1"/>
  <c r="DP595" i="5"/>
  <c r="DP1244" i="5" s="1"/>
  <c r="DO595" i="5"/>
  <c r="DO1244" i="5" s="1"/>
  <c r="DN595" i="5"/>
  <c r="DN1244" i="5" s="1"/>
  <c r="DM595" i="5"/>
  <c r="DM1244" i="5" s="1"/>
  <c r="DL595" i="5"/>
  <c r="DK595" i="5"/>
  <c r="DK1244" i="5" s="1"/>
  <c r="DJ595" i="5"/>
  <c r="DJ1244" i="5" s="1"/>
  <c r="DI595" i="5"/>
  <c r="DI1244" i="5" s="1"/>
  <c r="DH595" i="5"/>
  <c r="DH1244" i="5" s="1"/>
  <c r="DG595" i="5"/>
  <c r="DG1244" i="5" s="1"/>
  <c r="DF595" i="5"/>
  <c r="DE595" i="5"/>
  <c r="DE1244" i="5" s="1"/>
  <c r="DD595" i="5"/>
  <c r="DD1244" i="5" s="1"/>
  <c r="DC595" i="5"/>
  <c r="DB595" i="5"/>
  <c r="DA595" i="5"/>
  <c r="DA1244" i="5" s="1"/>
  <c r="CZ595" i="5"/>
  <c r="CZ1244" i="5" s="1"/>
  <c r="CY595" i="5"/>
  <c r="CY1244" i="5" s="1"/>
  <c r="CX595" i="5"/>
  <c r="CX1244" i="5" s="1"/>
  <c r="CW595" i="5"/>
  <c r="CW1244" i="5" s="1"/>
  <c r="CV595" i="5"/>
  <c r="CV1244" i="5" s="1"/>
  <c r="CU595" i="5"/>
  <c r="CU1244" i="5" s="1"/>
  <c r="CT595" i="5"/>
  <c r="CT1244" i="5" s="1"/>
  <c r="CS595" i="5"/>
  <c r="CS1244" i="5" s="1"/>
  <c r="CR595" i="5"/>
  <c r="CR1244" i="5" s="1"/>
  <c r="CQ595" i="5"/>
  <c r="CQ1244" i="5" s="1"/>
  <c r="CP595" i="5"/>
  <c r="CP1244" i="5" s="1"/>
  <c r="CO595" i="5"/>
  <c r="CO1244" i="5" s="1"/>
  <c r="CN595" i="5"/>
  <c r="CN1244" i="5" s="1"/>
  <c r="CM595" i="5"/>
  <c r="CM1244" i="5" s="1"/>
  <c r="CL595" i="5"/>
  <c r="CK595" i="5"/>
  <c r="CK1244" i="5" s="1"/>
  <c r="CJ595" i="5"/>
  <c r="CJ1244" i="5" s="1"/>
  <c r="CI595" i="5"/>
  <c r="CI1244" i="5" s="1"/>
  <c r="CH595" i="5"/>
  <c r="CH1244" i="5" s="1"/>
  <c r="CG595" i="5"/>
  <c r="CG1244" i="5" s="1"/>
  <c r="CF595" i="5"/>
  <c r="CF1244" i="5" s="1"/>
  <c r="CE595" i="5"/>
  <c r="CE1244" i="5" s="1"/>
  <c r="D595" i="5"/>
  <c r="JN594" i="5"/>
  <c r="JL594" i="5" s="1"/>
  <c r="JM594" i="5" s="1"/>
  <c r="JK594" i="5"/>
  <c r="JI594" i="5" s="1"/>
  <c r="JJ594" i="5" s="1"/>
  <c r="JH594" i="5"/>
  <c r="JE594" i="5"/>
  <c r="JC594" i="5" s="1"/>
  <c r="JB594" i="5"/>
  <c r="IY594" i="5"/>
  <c r="T45" i="7" s="1"/>
  <c r="IV594" i="5"/>
  <c r="S45" i="7" s="1"/>
  <c r="ID594" i="5"/>
  <c r="EX594"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DQ594" i="5"/>
  <c r="DP594" i="5"/>
  <c r="DO594" i="5"/>
  <c r="DN594" i="5"/>
  <c r="DM594" i="5"/>
  <c r="DL594" i="5"/>
  <c r="DK594" i="5"/>
  <c r="DJ594"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D594" i="5"/>
  <c r="JN593" i="5"/>
  <c r="JL593" i="5" s="1"/>
  <c r="JK593" i="5"/>
  <c r="JI593" i="5" s="1"/>
  <c r="JJ593" i="5" s="1"/>
  <c r="JH593" i="5"/>
  <c r="JF593" i="5" s="1"/>
  <c r="JE593" i="5"/>
  <c r="JC593" i="5" s="1"/>
  <c r="JD593" i="5" s="1"/>
  <c r="JB593" i="5"/>
  <c r="IY593" i="5"/>
  <c r="T44" i="7" s="1"/>
  <c r="IV593" i="5"/>
  <c r="S44" i="7" s="1"/>
  <c r="IL593" i="5"/>
  <c r="I44" i="7" s="1"/>
  <c r="IK593" i="5"/>
  <c r="IG593" i="5"/>
  <c r="IF593" i="5"/>
  <c r="C44" i="7" s="1"/>
  <c r="IE593" i="5"/>
  <c r="ID593" i="5"/>
  <c r="D593" i="5"/>
  <c r="JN592" i="5"/>
  <c r="JL592" i="5" s="1"/>
  <c r="JK592" i="5"/>
  <c r="JI592" i="5" s="1"/>
  <c r="JH592" i="5"/>
  <c r="JE592" i="5"/>
  <c r="JC592" i="5" s="1"/>
  <c r="JB592" i="5"/>
  <c r="IY592" i="5"/>
  <c r="T43" i="7" s="1"/>
  <c r="IV592" i="5"/>
  <c r="S43" i="7" s="1"/>
  <c r="ID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DQ592" i="5"/>
  <c r="DP592" i="5"/>
  <c r="DO592" i="5"/>
  <c r="DN592" i="5"/>
  <c r="DM592" i="5"/>
  <c r="DL592"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D592" i="5"/>
  <c r="IY591" i="5"/>
  <c r="T42" i="7" s="1"/>
  <c r="IV591" i="5"/>
  <c r="IT591" i="5" s="1"/>
  <c r="IU591" i="5" s="1"/>
  <c r="R42" i="7" s="1"/>
  <c r="IP591" i="5"/>
  <c r="IN591" i="5"/>
  <c r="J42" i="7" s="1"/>
  <c r="EX591" i="5"/>
  <c r="EX1243" i="5" s="1"/>
  <c r="EW591" i="5"/>
  <c r="EW1243" i="5" s="1"/>
  <c r="EV591" i="5"/>
  <c r="EV1243" i="5" s="1"/>
  <c r="EU591" i="5"/>
  <c r="EU1243" i="5" s="1"/>
  <c r="ET591" i="5"/>
  <c r="ET1243" i="5" s="1"/>
  <c r="ES591" i="5"/>
  <c r="ER591" i="5"/>
  <c r="EQ591" i="5"/>
  <c r="EQ1243" i="5" s="1"/>
  <c r="EP591" i="5"/>
  <c r="EP1243" i="5" s="1"/>
  <c r="EO591" i="5"/>
  <c r="EO1243" i="5" s="1"/>
  <c r="EN591" i="5"/>
  <c r="EN1243" i="5" s="1"/>
  <c r="EM591" i="5"/>
  <c r="EM1243" i="5" s="1"/>
  <c r="EL591" i="5"/>
  <c r="EL1243" i="5" s="1"/>
  <c r="EK591" i="5"/>
  <c r="EK1243" i="5" s="1"/>
  <c r="EJ591" i="5"/>
  <c r="EJ1243" i="5" s="1"/>
  <c r="EI591" i="5"/>
  <c r="EI1243" i="5" s="1"/>
  <c r="EH591" i="5"/>
  <c r="EH1243" i="5" s="1"/>
  <c r="EG591" i="5"/>
  <c r="EG1243" i="5" s="1"/>
  <c r="EF591" i="5"/>
  <c r="EF1243" i="5" s="1"/>
  <c r="EE591" i="5"/>
  <c r="EE1243" i="5" s="1"/>
  <c r="ED591" i="5"/>
  <c r="ED1243" i="5" s="1"/>
  <c r="EC591" i="5"/>
  <c r="EB591" i="5"/>
  <c r="EB1243" i="5" s="1"/>
  <c r="EA591" i="5"/>
  <c r="EA1243" i="5" s="1"/>
  <c r="DZ591" i="5"/>
  <c r="DZ1243" i="5" s="1"/>
  <c r="DY591" i="5"/>
  <c r="DY1243" i="5" s="1"/>
  <c r="DX591" i="5"/>
  <c r="DW591" i="5"/>
  <c r="DW1243" i="5" s="1"/>
  <c r="DV591" i="5"/>
  <c r="DV1243" i="5" s="1"/>
  <c r="DU591" i="5"/>
  <c r="DU1243" i="5" s="1"/>
  <c r="DT591" i="5"/>
  <c r="DT1243" i="5" s="1"/>
  <c r="DS591" i="5"/>
  <c r="DS1243" i="5" s="1"/>
  <c r="DR591" i="5"/>
  <c r="DR1243" i="5" s="1"/>
  <c r="DQ591" i="5"/>
  <c r="DQ1243" i="5" s="1"/>
  <c r="DP591" i="5"/>
  <c r="DP1243" i="5" s="1"/>
  <c r="DO591" i="5"/>
  <c r="DO1243" i="5" s="1"/>
  <c r="DN591" i="5"/>
  <c r="DN1243" i="5" s="1"/>
  <c r="DM591" i="5"/>
  <c r="DL591" i="5"/>
  <c r="DL1243" i="5" s="1"/>
  <c r="DK591" i="5"/>
  <c r="DK1243" i="5" s="1"/>
  <c r="DJ591" i="5"/>
  <c r="DJ1243" i="5" s="1"/>
  <c r="DI591" i="5"/>
  <c r="DI1243" i="5" s="1"/>
  <c r="DH591" i="5"/>
  <c r="DH1243" i="5" s="1"/>
  <c r="DG591" i="5"/>
  <c r="DG1243" i="5" s="1"/>
  <c r="DF591" i="5"/>
  <c r="DF1243" i="5" s="1"/>
  <c r="DE591" i="5"/>
  <c r="DE1243" i="5" s="1"/>
  <c r="DD591" i="5"/>
  <c r="DD1243" i="5" s="1"/>
  <c r="DC591" i="5"/>
  <c r="DC1243" i="5" s="1"/>
  <c r="DB591" i="5"/>
  <c r="DA591" i="5"/>
  <c r="DA1243" i="5" s="1"/>
  <c r="CZ591" i="5"/>
  <c r="CY591" i="5"/>
  <c r="CY1243" i="5" s="1"/>
  <c r="CX591" i="5"/>
  <c r="CW591" i="5"/>
  <c r="CW1243" i="5" s="1"/>
  <c r="CV591" i="5"/>
  <c r="CV1243" i="5" s="1"/>
  <c r="CU591" i="5"/>
  <c r="CU1243" i="5" s="1"/>
  <c r="CT591" i="5"/>
  <c r="CT1243" i="5" s="1"/>
  <c r="CS591" i="5"/>
  <c r="CS1243" i="5" s="1"/>
  <c r="CR591" i="5"/>
  <c r="CR1243" i="5" s="1"/>
  <c r="CQ591" i="5"/>
  <c r="CQ1243" i="5" s="1"/>
  <c r="CP591" i="5"/>
  <c r="CP1243" i="5" s="1"/>
  <c r="CO591" i="5"/>
  <c r="CN591" i="5"/>
  <c r="CN1243" i="5" s="1"/>
  <c r="CM591" i="5"/>
  <c r="CM1243" i="5" s="1"/>
  <c r="CL591" i="5"/>
  <c r="CL1243" i="5" s="1"/>
  <c r="CK591" i="5"/>
  <c r="CK1243" i="5" s="1"/>
  <c r="CJ591" i="5"/>
  <c r="CI591" i="5"/>
  <c r="CI1243" i="5" s="1"/>
  <c r="CH591" i="5"/>
  <c r="CH1243" i="5" s="1"/>
  <c r="CG591" i="5"/>
  <c r="CG1243" i="5" s="1"/>
  <c r="CF591" i="5"/>
  <c r="CF1243" i="5" s="1"/>
  <c r="CE591" i="5"/>
  <c r="CE1243" i="5" s="1"/>
  <c r="D591" i="5"/>
  <c r="IY590" i="5"/>
  <c r="T41" i="7" s="1"/>
  <c r="IV590" i="5"/>
  <c r="IV724" i="5" s="1"/>
  <c r="IP590" i="5"/>
  <c r="IP724" i="5" s="1"/>
  <c r="D590" i="5"/>
  <c r="D724" i="5" s="1"/>
  <c r="JL589" i="5"/>
  <c r="JM589" i="5" s="1"/>
  <c r="JI589" i="5"/>
  <c r="JJ589" i="5" s="1"/>
  <c r="JF589" i="5"/>
  <c r="JG589" i="5" s="1"/>
  <c r="JC589" i="5"/>
  <c r="JD589" i="5" s="1"/>
  <c r="IZ589" i="5"/>
  <c r="JA589" i="5" s="1"/>
  <c r="IW589" i="5"/>
  <c r="IX589" i="5" s="1"/>
  <c r="IP589" i="5"/>
  <c r="M40" i="7" s="1"/>
  <c r="IY588" i="5"/>
  <c r="T39" i="7" s="1"/>
  <c r="IV588" i="5"/>
  <c r="IP588" i="5"/>
  <c r="M39" i="7" s="1"/>
  <c r="D588" i="5"/>
  <c r="D723" i="5" s="1"/>
  <c r="JL587" i="5"/>
  <c r="JM587" i="5" s="1"/>
  <c r="JI587" i="5"/>
  <c r="JJ587" i="5" s="1"/>
  <c r="JF587" i="5"/>
  <c r="JG587" i="5" s="1"/>
  <c r="JC587" i="5"/>
  <c r="JD587" i="5" s="1"/>
  <c r="IZ587" i="5"/>
  <c r="JA587" i="5" s="1"/>
  <c r="IW587" i="5"/>
  <c r="IX587" i="5" s="1"/>
  <c r="JN586" i="5"/>
  <c r="JL586" i="5" s="1"/>
  <c r="JM586" i="5" s="1"/>
  <c r="JK586" i="5"/>
  <c r="JH586" i="5"/>
  <c r="JE586" i="5"/>
  <c r="JC586" i="5" s="1"/>
  <c r="JD586" i="5" s="1"/>
  <c r="JB586" i="5"/>
  <c r="JA586" i="5" s="1"/>
  <c r="IY586" i="5"/>
  <c r="IV586" i="5"/>
  <c r="S37" i="7" s="1"/>
  <c r="IR586" i="5"/>
  <c r="IQ586" i="5"/>
  <c r="N37" i="7" s="1"/>
  <c r="IP586" i="5"/>
  <c r="M37" i="7" s="1"/>
  <c r="IL586" i="5"/>
  <c r="I37" i="7" s="1"/>
  <c r="IK586" i="5"/>
  <c r="IH586" i="5"/>
  <c r="IG586" i="5"/>
  <c r="IF586" i="5"/>
  <c r="C37" i="7" s="1"/>
  <c r="IE586" i="5"/>
  <c r="ID586" i="5"/>
  <c r="CP586" i="5"/>
  <c r="CO586" i="5"/>
  <c r="CO631" i="5" s="1"/>
  <c r="CN586" i="5"/>
  <c r="CM586" i="5"/>
  <c r="CL586" i="5"/>
  <c r="CL582" i="5" s="1"/>
  <c r="CK586" i="5"/>
  <c r="CJ586" i="5"/>
  <c r="CJ582" i="5" s="1"/>
  <c r="CI586" i="5"/>
  <c r="CH586" i="5"/>
  <c r="CG586" i="5"/>
  <c r="CG631" i="5" s="1"/>
  <c r="CF586" i="5"/>
  <c r="CE586" i="5"/>
  <c r="D586" i="5"/>
  <c r="JL585" i="5"/>
  <c r="JM585" i="5" s="1"/>
  <c r="JI585" i="5"/>
  <c r="JJ585" i="5" s="1"/>
  <c r="JF585" i="5"/>
  <c r="JG585" i="5" s="1"/>
  <c r="JC585" i="5"/>
  <c r="JD585" i="5" s="1"/>
  <c r="IZ585" i="5"/>
  <c r="JA585" i="5" s="1"/>
  <c r="IW585" i="5"/>
  <c r="IX585" i="5" s="1"/>
  <c r="IL585" i="5"/>
  <c r="I36" i="7" s="1"/>
  <c r="IK585" i="5"/>
  <c r="JL584" i="5"/>
  <c r="JM584" i="5" s="1"/>
  <c r="JI584" i="5"/>
  <c r="JJ584" i="5" s="1"/>
  <c r="JF584" i="5"/>
  <c r="JG584" i="5" s="1"/>
  <c r="JC584" i="5"/>
  <c r="JD584" i="5" s="1"/>
  <c r="IZ584" i="5"/>
  <c r="JA584" i="5" s="1"/>
  <c r="IW584" i="5"/>
  <c r="IX584" i="5" s="1"/>
  <c r="IL584" i="5"/>
  <c r="I35" i="7" s="1"/>
  <c r="IK584" i="5"/>
  <c r="G35" i="7" s="1"/>
  <c r="JL583" i="5"/>
  <c r="JI583" i="5"/>
  <c r="JF583" i="5"/>
  <c r="JC583" i="5"/>
  <c r="IZ583" i="5"/>
  <c r="IZ582" i="5" s="1"/>
  <c r="IY583" i="5"/>
  <c r="T34" i="7" s="1"/>
  <c r="IW583" i="5"/>
  <c r="IW582" i="5" s="1"/>
  <c r="IV583" i="5"/>
  <c r="S34" i="7" s="1"/>
  <c r="IT583" i="5"/>
  <c r="IP583" i="5"/>
  <c r="M34" i="7" s="1"/>
  <c r="IN583" i="5"/>
  <c r="IG583" i="5"/>
  <c r="IF583" i="5"/>
  <c r="IE583" i="5"/>
  <c r="ID583" i="5"/>
  <c r="EX583" i="5"/>
  <c r="EX582" i="5" s="1"/>
  <c r="EX1240" i="5" s="1"/>
  <c r="EW583" i="5"/>
  <c r="EW582" i="5" s="1"/>
  <c r="EW1240" i="5" s="1"/>
  <c r="EV583" i="5"/>
  <c r="EU583" i="5"/>
  <c r="EU582" i="5" s="1"/>
  <c r="ET583" i="5"/>
  <c r="ET582" i="5" s="1"/>
  <c r="ES583" i="5"/>
  <c r="ES582" i="5" s="1"/>
  <c r="ER583" i="5"/>
  <c r="ER582" i="5" s="1"/>
  <c r="ER1240" i="5" s="1"/>
  <c r="EQ583" i="5"/>
  <c r="EQ582" i="5" s="1"/>
  <c r="EQ1240" i="5" s="1"/>
  <c r="EP583" i="5"/>
  <c r="EP582" i="5" s="1"/>
  <c r="EP1240" i="5" s="1"/>
  <c r="EO583" i="5"/>
  <c r="EO582" i="5" s="1"/>
  <c r="EN583" i="5"/>
  <c r="EN582" i="5" s="1"/>
  <c r="EM583" i="5"/>
  <c r="EL583" i="5"/>
  <c r="EL582" i="5" s="1"/>
  <c r="EL1240" i="5" s="1"/>
  <c r="EK583" i="5"/>
  <c r="EK582" i="5" s="1"/>
  <c r="EK1240" i="5" s="1"/>
  <c r="EJ583" i="5"/>
  <c r="EJ582" i="5" s="1"/>
  <c r="EJ1240" i="5" s="1"/>
  <c r="EI583" i="5"/>
  <c r="EI582" i="5" s="1"/>
  <c r="EI1240" i="5" s="1"/>
  <c r="EH583" i="5"/>
  <c r="EH582" i="5" s="1"/>
  <c r="EG583" i="5"/>
  <c r="EG582" i="5" s="1"/>
  <c r="EG1240" i="5" s="1"/>
  <c r="EF583" i="5"/>
  <c r="EF582" i="5" s="1"/>
  <c r="EF1240" i="5" s="1"/>
  <c r="EE583" i="5"/>
  <c r="EE582" i="5" s="1"/>
  <c r="ED583" i="5"/>
  <c r="ED582" i="5" s="1"/>
  <c r="ED1240" i="5" s="1"/>
  <c r="EC583" i="5"/>
  <c r="EC582" i="5" s="1"/>
  <c r="EC1240" i="5" s="1"/>
  <c r="EB583" i="5"/>
  <c r="EB582" i="5" s="1"/>
  <c r="EB1240" i="5" s="1"/>
  <c r="EA583" i="5"/>
  <c r="EA582" i="5" s="1"/>
  <c r="EA1240" i="5" s="1"/>
  <c r="DZ583" i="5"/>
  <c r="DY583" i="5"/>
  <c r="DY582" i="5" s="1"/>
  <c r="DX583" i="5"/>
  <c r="DX582" i="5" s="1"/>
  <c r="DW583" i="5"/>
  <c r="DW582" i="5" s="1"/>
  <c r="DW1240" i="5" s="1"/>
  <c r="DV583" i="5"/>
  <c r="DV582" i="5" s="1"/>
  <c r="DU583" i="5"/>
  <c r="DU582" i="5" s="1"/>
  <c r="DT583" i="5"/>
  <c r="DT582" i="5" s="1"/>
  <c r="DS583" i="5"/>
  <c r="DS582" i="5" s="1"/>
  <c r="DS721" i="5" s="1"/>
  <c r="DR583" i="5"/>
  <c r="DR582" i="5" s="1"/>
  <c r="DQ583" i="5"/>
  <c r="DQ582" i="5" s="1"/>
  <c r="DQ721" i="5" s="1"/>
  <c r="DP583" i="5"/>
  <c r="DO583" i="5"/>
  <c r="DO582" i="5" s="1"/>
  <c r="DN583" i="5"/>
  <c r="DN582" i="5" s="1"/>
  <c r="DM583" i="5"/>
  <c r="DM582" i="5" s="1"/>
  <c r="DL583" i="5"/>
  <c r="DL582" i="5" s="1"/>
  <c r="DK583" i="5"/>
  <c r="DK582" i="5" s="1"/>
  <c r="DJ583" i="5"/>
  <c r="DJ582" i="5" s="1"/>
  <c r="DI583" i="5"/>
  <c r="DI582" i="5" s="1"/>
  <c r="DI721" i="5" s="1"/>
  <c r="DH583" i="5"/>
  <c r="DH582" i="5" s="1"/>
  <c r="DH1240" i="5" s="1"/>
  <c r="DG583" i="5"/>
  <c r="DG582" i="5" s="1"/>
  <c r="DF583" i="5"/>
  <c r="DF582" i="5" s="1"/>
  <c r="DE583" i="5"/>
  <c r="DD583" i="5"/>
  <c r="DD582" i="5" s="1"/>
  <c r="DC583" i="5"/>
  <c r="DC582" i="5" s="1"/>
  <c r="D583" i="5"/>
  <c r="LB582" i="5"/>
  <c r="LA582" i="5"/>
  <c r="LA721" i="5" s="1"/>
  <c r="KZ582" i="5"/>
  <c r="KZ721" i="5" s="1"/>
  <c r="KY582" i="5"/>
  <c r="KY721" i="5" s="1"/>
  <c r="IY582" i="5"/>
  <c r="IV582" i="5"/>
  <c r="S33" i="7" s="1"/>
  <c r="IP582" i="5"/>
  <c r="IP721" i="5" s="1"/>
  <c r="DB582" i="5"/>
  <c r="DB1240" i="5" s="1"/>
  <c r="DA582" i="5"/>
  <c r="CZ582" i="5"/>
  <c r="CZ1240" i="5" s="1"/>
  <c r="CY582" i="5"/>
  <c r="CY721" i="5" s="1"/>
  <c r="CX582" i="5"/>
  <c r="CW582" i="5"/>
  <c r="CV582" i="5"/>
  <c r="CU582" i="5"/>
  <c r="CT582" i="5"/>
  <c r="CT1240" i="5" s="1"/>
  <c r="CS582" i="5"/>
  <c r="CS1240" i="5" s="1"/>
  <c r="CR582" i="5"/>
  <c r="CQ582" i="5"/>
  <c r="D582" i="5"/>
  <c r="D721" i="5" s="1"/>
  <c r="JL581" i="5"/>
  <c r="JI581" i="5"/>
  <c r="JF581" i="5"/>
  <c r="JC581" i="5"/>
  <c r="IZ581" i="5"/>
  <c r="IY581" i="5"/>
  <c r="T32" i="7" s="1"/>
  <c r="IW581" i="5"/>
  <c r="IV581" i="5"/>
  <c r="IT581" i="5"/>
  <c r="Q32" i="7" s="1"/>
  <c r="IR581" i="5"/>
  <c r="O32" i="7" s="1"/>
  <c r="IQ581" i="5"/>
  <c r="N32" i="7" s="1"/>
  <c r="IP581" i="5"/>
  <c r="M32" i="7" s="1"/>
  <c r="IM581" i="5"/>
  <c r="JL580" i="5"/>
  <c r="JM580" i="5" s="1"/>
  <c r="JI580" i="5"/>
  <c r="JJ580" i="5" s="1"/>
  <c r="JF580" i="5"/>
  <c r="JG580" i="5" s="1"/>
  <c r="JC580" i="5"/>
  <c r="JD580" i="5" s="1"/>
  <c r="IZ580" i="5"/>
  <c r="JA580" i="5" s="1"/>
  <c r="IW580" i="5"/>
  <c r="IX580" i="5" s="1"/>
  <c r="IR580" i="5"/>
  <c r="IQ580" i="5"/>
  <c r="JL579" i="5"/>
  <c r="JI579" i="5"/>
  <c r="JF579" i="5"/>
  <c r="JC579" i="5"/>
  <c r="IZ579" i="5"/>
  <c r="IY579" i="5"/>
  <c r="T31" i="7" s="1"/>
  <c r="IW579" i="5"/>
  <c r="IW578" i="5" s="1"/>
  <c r="IV579" i="5"/>
  <c r="S31" i="7" s="1"/>
  <c r="IT579" i="5"/>
  <c r="Q31" i="7" s="1"/>
  <c r="IP579" i="5"/>
  <c r="M31" i="7" s="1"/>
  <c r="IN579" i="5"/>
  <c r="J31" i="7" s="1"/>
  <c r="ID579" i="5"/>
  <c r="EX579" i="5"/>
  <c r="EW579" i="5"/>
  <c r="EV579" i="5"/>
  <c r="EU579" i="5"/>
  <c r="ET579" i="5"/>
  <c r="ES579" i="5"/>
  <c r="ER579" i="5"/>
  <c r="EQ579" i="5"/>
  <c r="EP579" i="5"/>
  <c r="EO579" i="5"/>
  <c r="EN579" i="5"/>
  <c r="EM579" i="5"/>
  <c r="EL579" i="5"/>
  <c r="EK579" i="5"/>
  <c r="EJ579" i="5"/>
  <c r="EI579" i="5"/>
  <c r="EH579" i="5"/>
  <c r="EG579" i="5"/>
  <c r="EF579" i="5"/>
  <c r="EE579" i="5"/>
  <c r="ED579" i="5"/>
  <c r="EC579" i="5"/>
  <c r="EB579" i="5"/>
  <c r="EA579" i="5"/>
  <c r="DZ579" i="5"/>
  <c r="DY579" i="5"/>
  <c r="DX579" i="5"/>
  <c r="DW579" i="5"/>
  <c r="DV579" i="5"/>
  <c r="DU579" i="5"/>
  <c r="DT579" i="5"/>
  <c r="DS579" i="5"/>
  <c r="DR579" i="5"/>
  <c r="DQ579" i="5"/>
  <c r="DP579" i="5"/>
  <c r="DO579" i="5"/>
  <c r="DN579" i="5"/>
  <c r="DM579" i="5"/>
  <c r="DL579" i="5"/>
  <c r="DK579" i="5"/>
  <c r="DJ579" i="5"/>
  <c r="DI579" i="5"/>
  <c r="DH579" i="5"/>
  <c r="DG579" i="5"/>
  <c r="DF579" i="5"/>
  <c r="DE579" i="5"/>
  <c r="DD579" i="5"/>
  <c r="DC579" i="5"/>
  <c r="DB579" i="5"/>
  <c r="DA579" i="5"/>
  <c r="CZ579" i="5"/>
  <c r="CY579" i="5"/>
  <c r="CX579" i="5"/>
  <c r="CW579" i="5"/>
  <c r="CV579" i="5"/>
  <c r="CU579" i="5"/>
  <c r="CT579" i="5"/>
  <c r="CS579" i="5"/>
  <c r="CR579" i="5"/>
  <c r="CQ579" i="5"/>
  <c r="D579" i="5"/>
  <c r="IY578" i="5"/>
  <c r="T30" i="7" s="1"/>
  <c r="IV578" i="5"/>
  <c r="S30" i="7" s="1"/>
  <c r="IP578" i="5"/>
  <c r="M30" i="7" s="1"/>
  <c r="IN578" i="5"/>
  <c r="EX578" i="5"/>
  <c r="EW578" i="5"/>
  <c r="EV578" i="5"/>
  <c r="EU578" i="5"/>
  <c r="ET578" i="5"/>
  <c r="ES578" i="5"/>
  <c r="ER578" i="5"/>
  <c r="EQ578" i="5"/>
  <c r="EP578" i="5"/>
  <c r="EO578" i="5"/>
  <c r="EN578" i="5"/>
  <c r="EM578" i="5"/>
  <c r="EL578" i="5"/>
  <c r="EK578" i="5"/>
  <c r="EJ578" i="5"/>
  <c r="EI578" i="5"/>
  <c r="EH578" i="5"/>
  <c r="EG578" i="5"/>
  <c r="EF578" i="5"/>
  <c r="EE578" i="5"/>
  <c r="ED578" i="5"/>
  <c r="EC578" i="5"/>
  <c r="EB578" i="5"/>
  <c r="EA578" i="5"/>
  <c r="DZ578" i="5"/>
  <c r="DY578" i="5"/>
  <c r="DX578" i="5"/>
  <c r="DW578" i="5"/>
  <c r="DV578" i="5"/>
  <c r="DU578" i="5"/>
  <c r="DT578" i="5"/>
  <c r="DS578" i="5"/>
  <c r="DR578" i="5"/>
  <c r="DQ578" i="5"/>
  <c r="DP578" i="5"/>
  <c r="DO578" i="5"/>
  <c r="DN578" i="5"/>
  <c r="DM578" i="5"/>
  <c r="DL578" i="5"/>
  <c r="DK578" i="5"/>
  <c r="DJ578" i="5"/>
  <c r="DI578" i="5"/>
  <c r="DH578" i="5"/>
  <c r="DG578" i="5"/>
  <c r="DF578" i="5"/>
  <c r="DE578" i="5"/>
  <c r="DD578" i="5"/>
  <c r="DC578" i="5"/>
  <c r="DB578" i="5"/>
  <c r="DA578" i="5"/>
  <c r="CZ578" i="5"/>
  <c r="CY578" i="5"/>
  <c r="CX578" i="5"/>
  <c r="CW578" i="5"/>
  <c r="CV578" i="5"/>
  <c r="CU578" i="5"/>
  <c r="CT578" i="5"/>
  <c r="CS578" i="5"/>
  <c r="CR578" i="5"/>
  <c r="CQ578" i="5"/>
  <c r="CP578" i="5"/>
  <c r="CP577" i="5" s="1"/>
  <c r="CO578" i="5"/>
  <c r="CO577" i="5" s="1"/>
  <c r="CN578" i="5"/>
  <c r="CN577" i="5" s="1"/>
  <c r="CN720" i="5" s="1"/>
  <c r="CM578" i="5"/>
  <c r="CM577" i="5" s="1"/>
  <c r="CM720" i="5" s="1"/>
  <c r="CL578" i="5"/>
  <c r="CL577" i="5" s="1"/>
  <c r="CL720" i="5" s="1"/>
  <c r="CK578" i="5"/>
  <c r="CK577" i="5" s="1"/>
  <c r="CK720" i="5" s="1"/>
  <c r="CJ578" i="5"/>
  <c r="CJ577" i="5" s="1"/>
  <c r="CI578" i="5"/>
  <c r="CI577" i="5" s="1"/>
  <c r="CH578" i="5"/>
  <c r="CH577" i="5" s="1"/>
  <c r="CG578" i="5"/>
  <c r="CG577" i="5" s="1"/>
  <c r="CF578" i="5"/>
  <c r="CF577" i="5" s="1"/>
  <c r="CE578" i="5"/>
  <c r="CE577" i="5" s="1"/>
  <c r="CE720" i="5" s="1"/>
  <c r="D578" i="5"/>
  <c r="LB577" i="5"/>
  <c r="LB720" i="5" s="1"/>
  <c r="LA577" i="5"/>
  <c r="LA720" i="5" s="1"/>
  <c r="KZ577" i="5"/>
  <c r="KY577" i="5"/>
  <c r="IY577" i="5"/>
  <c r="T29" i="7" s="1"/>
  <c r="IV577" i="5"/>
  <c r="IV720" i="5" s="1"/>
  <c r="IP577" i="5"/>
  <c r="M29" i="7" s="1"/>
  <c r="D577" i="5"/>
  <c r="D720" i="5" s="1"/>
  <c r="IY576" i="5"/>
  <c r="IV576" i="5"/>
  <c r="S28" i="7" s="1"/>
  <c r="CD576" i="5"/>
  <c r="CC576" i="5"/>
  <c r="CC719" i="5" s="1"/>
  <c r="CB576" i="5"/>
  <c r="CB1238" i="5" s="1"/>
  <c r="CA576" i="5"/>
  <c r="CA719" i="5" s="1"/>
  <c r="BZ576" i="5"/>
  <c r="BY576" i="5"/>
  <c r="BY1238" i="5" s="1"/>
  <c r="BX576" i="5"/>
  <c r="BW576" i="5"/>
  <c r="BW1238" i="5" s="1"/>
  <c r="BV576" i="5"/>
  <c r="BU576" i="5"/>
  <c r="BU1238" i="5" s="1"/>
  <c r="BT576" i="5"/>
  <c r="BS576" i="5"/>
  <c r="BS1238" i="5" s="1"/>
  <c r="BR576" i="5"/>
  <c r="BR1238" i="5" s="1"/>
  <c r="BQ576" i="5"/>
  <c r="BP576" i="5"/>
  <c r="BO576" i="5"/>
  <c r="BO1238" i="5" s="1"/>
  <c r="BN576" i="5"/>
  <c r="BM576" i="5"/>
  <c r="BL576" i="5"/>
  <c r="BL1238" i="5" s="1"/>
  <c r="BK576" i="5"/>
  <c r="BK719" i="5" s="1"/>
  <c r="BJ576" i="5"/>
  <c r="BJ1238" i="5" s="1"/>
  <c r="BI576" i="5"/>
  <c r="BH576" i="5"/>
  <c r="BH1238" i="5" s="1"/>
  <c r="BG576" i="5"/>
  <c r="BG1238" i="5" s="1"/>
  <c r="BF576" i="5"/>
  <c r="BE576" i="5"/>
  <c r="BD576" i="5"/>
  <c r="BD1238" i="5" s="1"/>
  <c r="BC576" i="5"/>
  <c r="BC1238" i="5" s="1"/>
  <c r="BB576" i="5"/>
  <c r="BA576" i="5"/>
  <c r="BA719" i="5" s="1"/>
  <c r="AZ576" i="5"/>
  <c r="AZ1238" i="5" s="1"/>
  <c r="AY576" i="5"/>
  <c r="AX576" i="5"/>
  <c r="AW576" i="5"/>
  <c r="AV576" i="5"/>
  <c r="AV719" i="5" s="1"/>
  <c r="AU576" i="5"/>
  <c r="AU719" i="5" s="1"/>
  <c r="AT576" i="5"/>
  <c r="AS576" i="5"/>
  <c r="AS1238" i="5" s="1"/>
  <c r="AR576" i="5"/>
  <c r="AR1238" i="5" s="1"/>
  <c r="AQ576" i="5"/>
  <c r="AQ1238" i="5" s="1"/>
  <c r="AP576" i="5"/>
  <c r="AO576" i="5"/>
  <c r="AN576" i="5"/>
  <c r="AN1238" i="5" s="1"/>
  <c r="AM576" i="5"/>
  <c r="AL576" i="5"/>
  <c r="AK576" i="5"/>
  <c r="AK1238" i="5" s="1"/>
  <c r="AJ576" i="5"/>
  <c r="AI576" i="5"/>
  <c r="AH576" i="5"/>
  <c r="AG576" i="5"/>
  <c r="AG1238" i="5" s="1"/>
  <c r="AF576" i="5"/>
  <c r="AE576" i="5"/>
  <c r="AE719" i="5" s="1"/>
  <c r="AD576" i="5"/>
  <c r="AC576" i="5"/>
  <c r="AB576" i="5"/>
  <c r="AA576" i="5"/>
  <c r="AA719" i="5" s="1"/>
  <c r="Z576" i="5"/>
  <c r="Y576" i="5"/>
  <c r="X576" i="5"/>
  <c r="W576" i="5"/>
  <c r="V576" i="5"/>
  <c r="V1238" i="5" s="1"/>
  <c r="U576" i="5"/>
  <c r="U719" i="5" s="1"/>
  <c r="T576" i="5"/>
  <c r="T1238" i="5" s="1"/>
  <c r="S576" i="5"/>
  <c r="S1238" i="5" s="1"/>
  <c r="R576" i="5"/>
  <c r="Q576" i="5"/>
  <c r="P576" i="5"/>
  <c r="O576" i="5"/>
  <c r="N576" i="5"/>
  <c r="M576" i="5"/>
  <c r="L576" i="5"/>
  <c r="L1238" i="5" s="1"/>
  <c r="K576" i="5"/>
  <c r="K719" i="5" s="1"/>
  <c r="J576" i="5"/>
  <c r="J1238" i="5" s="1"/>
  <c r="I576" i="5"/>
  <c r="H576" i="5"/>
  <c r="H719" i="5" s="1"/>
  <c r="G576" i="5"/>
  <c r="G1238" i="5" s="1"/>
  <c r="F576" i="5"/>
  <c r="F719" i="5" s="1"/>
  <c r="E576" i="5"/>
  <c r="D576" i="5"/>
  <c r="D719" i="5" s="1"/>
  <c r="EX575" i="5"/>
  <c r="EX613" i="5" s="1"/>
  <c r="EW575" i="5"/>
  <c r="EW613" i="5" s="1"/>
  <c r="EV575" i="5"/>
  <c r="EV613" i="5" s="1"/>
  <c r="EU575" i="5"/>
  <c r="EU613" i="5" s="1"/>
  <c r="ET575" i="5"/>
  <c r="ET613" i="5" s="1"/>
  <c r="ES575" i="5"/>
  <c r="ER575" i="5"/>
  <c r="ER613" i="5" s="1"/>
  <c r="EQ575" i="5"/>
  <c r="EQ613" i="5" s="1"/>
  <c r="EP575" i="5"/>
  <c r="EP613" i="5" s="1"/>
  <c r="EO575" i="5"/>
  <c r="EO613" i="5" s="1"/>
  <c r="EN575" i="5"/>
  <c r="EM575" i="5"/>
  <c r="EX574" i="5"/>
  <c r="EW574" i="5"/>
  <c r="EV574" i="5"/>
  <c r="EV612" i="5" s="1"/>
  <c r="EU574" i="5"/>
  <c r="ET574" i="5"/>
  <c r="ET612" i="5" s="1"/>
  <c r="ES574" i="5"/>
  <c r="ES612" i="5" s="1"/>
  <c r="ER574" i="5"/>
  <c r="ER612" i="5" s="1"/>
  <c r="EQ574" i="5"/>
  <c r="EQ612" i="5" s="1"/>
  <c r="EP574" i="5"/>
  <c r="EP612" i="5" s="1"/>
  <c r="EO574" i="5"/>
  <c r="EN574" i="5"/>
  <c r="EN612" i="5" s="1"/>
  <c r="EM574" i="5"/>
  <c r="EM612" i="5" s="1"/>
  <c r="IY573" i="5"/>
  <c r="T27" i="7" s="1"/>
  <c r="IV573" i="5"/>
  <c r="S27" i="7" s="1"/>
  <c r="IP573" i="5"/>
  <c r="EX573" i="5"/>
  <c r="EW573" i="5"/>
  <c r="EV573" i="5"/>
  <c r="EU573" i="5"/>
  <c r="ET573" i="5"/>
  <c r="ES573" i="5"/>
  <c r="ER573" i="5"/>
  <c r="EQ573" i="5"/>
  <c r="EP573" i="5"/>
  <c r="EO573" i="5"/>
  <c r="EN573" i="5"/>
  <c r="EM573" i="5"/>
  <c r="EL573" i="5"/>
  <c r="EK573" i="5"/>
  <c r="EJ573" i="5"/>
  <c r="EI573" i="5"/>
  <c r="EH573" i="5"/>
  <c r="EG573" i="5"/>
  <c r="EF573" i="5"/>
  <c r="EE573" i="5"/>
  <c r="ED573" i="5"/>
  <c r="EC573" i="5"/>
  <c r="EB573" i="5"/>
  <c r="EA573" i="5"/>
  <c r="DZ573" i="5"/>
  <c r="DY573" i="5"/>
  <c r="DX573" i="5"/>
  <c r="DW573" i="5"/>
  <c r="DV573" i="5"/>
  <c r="DU573" i="5"/>
  <c r="DT573" i="5"/>
  <c r="DS573" i="5"/>
  <c r="DR573" i="5"/>
  <c r="DQ573" i="5"/>
  <c r="DP573" i="5"/>
  <c r="DO573" i="5"/>
  <c r="DN573" i="5"/>
  <c r="DM573" i="5"/>
  <c r="DL573" i="5"/>
  <c r="DK573" i="5"/>
  <c r="DJ573" i="5"/>
  <c r="DI573" i="5"/>
  <c r="DH573" i="5"/>
  <c r="DG573" i="5"/>
  <c r="DF573" i="5"/>
  <c r="DE573" i="5"/>
  <c r="DD573" i="5"/>
  <c r="DC573" i="5"/>
  <c r="DB573" i="5"/>
  <c r="DA573" i="5"/>
  <c r="CZ573" i="5"/>
  <c r="CY573" i="5"/>
  <c r="CX573" i="5"/>
  <c r="CW573" i="5"/>
  <c r="CV573" i="5"/>
  <c r="CU573" i="5"/>
  <c r="CT573" i="5"/>
  <c r="CS573" i="5"/>
  <c r="CR573" i="5"/>
  <c r="CQ573" i="5"/>
  <c r="CP573" i="5"/>
  <c r="CO573" i="5"/>
  <c r="CN573" i="5"/>
  <c r="CM573" i="5"/>
  <c r="CL573" i="5"/>
  <c r="CK573" i="5"/>
  <c r="CJ573" i="5"/>
  <c r="CI573" i="5"/>
  <c r="CH573" i="5"/>
  <c r="CG573" i="5"/>
  <c r="CF573" i="5"/>
  <c r="CE573" i="5"/>
  <c r="D573" i="5"/>
  <c r="IY572" i="5"/>
  <c r="IV572" i="5"/>
  <c r="IU572" i="5" s="1"/>
  <c r="R26" i="7" s="1"/>
  <c r="IP572" i="5"/>
  <c r="EX572" i="5"/>
  <c r="EW572" i="5"/>
  <c r="EV572" i="5"/>
  <c r="EU572" i="5"/>
  <c r="ET572" i="5"/>
  <c r="ES572" i="5"/>
  <c r="ER572" i="5"/>
  <c r="EQ572" i="5"/>
  <c r="EP572" i="5"/>
  <c r="EO572" i="5"/>
  <c r="EN572" i="5"/>
  <c r="EM572" i="5"/>
  <c r="EL572" i="5"/>
  <c r="EK572" i="5"/>
  <c r="EJ572" i="5"/>
  <c r="EI572" i="5"/>
  <c r="EH572" i="5"/>
  <c r="EG572" i="5"/>
  <c r="EF572" i="5"/>
  <c r="EE572" i="5"/>
  <c r="ED572" i="5"/>
  <c r="EC572" i="5"/>
  <c r="EB572" i="5"/>
  <c r="EA572" i="5"/>
  <c r="DZ572" i="5"/>
  <c r="DY572" i="5"/>
  <c r="DX572" i="5"/>
  <c r="DW572" i="5"/>
  <c r="DV572" i="5"/>
  <c r="DU572" i="5"/>
  <c r="DT572" i="5"/>
  <c r="DS572" i="5"/>
  <c r="DR572" i="5"/>
  <c r="DQ572" i="5"/>
  <c r="DP572" i="5"/>
  <c r="DO572" i="5"/>
  <c r="DN572" i="5"/>
  <c r="DM572" i="5"/>
  <c r="DL572" i="5"/>
  <c r="DK572" i="5"/>
  <c r="DJ572" i="5"/>
  <c r="DI572" i="5"/>
  <c r="DH572" i="5"/>
  <c r="DG572" i="5"/>
  <c r="DF572" i="5"/>
  <c r="DE572" i="5"/>
  <c r="DD572" i="5"/>
  <c r="DC572" i="5"/>
  <c r="DB572" i="5"/>
  <c r="DA572" i="5"/>
  <c r="CZ572" i="5"/>
  <c r="CY572" i="5"/>
  <c r="CX572" i="5"/>
  <c r="CW572" i="5"/>
  <c r="CV572" i="5"/>
  <c r="CU572" i="5"/>
  <c r="CT572" i="5"/>
  <c r="CS572" i="5"/>
  <c r="CR572" i="5"/>
  <c r="CQ572" i="5"/>
  <c r="CP572" i="5"/>
  <c r="CO572" i="5"/>
  <c r="CN572" i="5"/>
  <c r="CM572" i="5"/>
  <c r="CL572" i="5"/>
  <c r="CK572" i="5"/>
  <c r="CJ572" i="5"/>
  <c r="CI572" i="5"/>
  <c r="CH572" i="5"/>
  <c r="CG572" i="5"/>
  <c r="CF572" i="5"/>
  <c r="CE572" i="5"/>
  <c r="D572" i="5"/>
  <c r="IZ571" i="5"/>
  <c r="IZ617" i="5" s="1"/>
  <c r="IY571" i="5"/>
  <c r="IW571" i="5"/>
  <c r="IW570" i="5" s="1"/>
  <c r="IV571" i="5"/>
  <c r="S25" i="7" s="1"/>
  <c r="IT571" i="5"/>
  <c r="Q25" i="7" s="1"/>
  <c r="IP571" i="5"/>
  <c r="EX571" i="5"/>
  <c r="EW571" i="5"/>
  <c r="EV571" i="5"/>
  <c r="EU571" i="5"/>
  <c r="ET571" i="5"/>
  <c r="ES571" i="5"/>
  <c r="ER571" i="5"/>
  <c r="EQ571" i="5"/>
  <c r="EP571" i="5"/>
  <c r="EO571" i="5"/>
  <c r="EN571" i="5"/>
  <c r="EM571" i="5"/>
  <c r="EL571" i="5"/>
  <c r="EK571" i="5"/>
  <c r="EJ571" i="5"/>
  <c r="EI571" i="5"/>
  <c r="EH571" i="5"/>
  <c r="EG571" i="5"/>
  <c r="EF571" i="5"/>
  <c r="EE571" i="5"/>
  <c r="ED571" i="5"/>
  <c r="EC571" i="5"/>
  <c r="EB571" i="5"/>
  <c r="EA571" i="5"/>
  <c r="DZ571" i="5"/>
  <c r="DY571" i="5"/>
  <c r="DX571" i="5"/>
  <c r="DW571" i="5"/>
  <c r="DV571" i="5"/>
  <c r="DU571" i="5"/>
  <c r="DT571" i="5"/>
  <c r="DS571" i="5"/>
  <c r="DR571" i="5"/>
  <c r="DQ571" i="5"/>
  <c r="DP571" i="5"/>
  <c r="DO571" i="5"/>
  <c r="DN571" i="5"/>
  <c r="DM571" i="5"/>
  <c r="DL571" i="5"/>
  <c r="DK571" i="5"/>
  <c r="DJ571" i="5"/>
  <c r="DI571" i="5"/>
  <c r="DH571" i="5"/>
  <c r="DG571" i="5"/>
  <c r="DF571" i="5"/>
  <c r="DE571" i="5"/>
  <c r="DD571" i="5"/>
  <c r="DC571" i="5"/>
  <c r="DB571" i="5"/>
  <c r="DA571" i="5"/>
  <c r="CZ571" i="5"/>
  <c r="CY571" i="5"/>
  <c r="CX571" i="5"/>
  <c r="CW571" i="5"/>
  <c r="CV571" i="5"/>
  <c r="CU571" i="5"/>
  <c r="CT571" i="5"/>
  <c r="CS571" i="5"/>
  <c r="CR571" i="5"/>
  <c r="CQ571" i="5"/>
  <c r="CP571" i="5"/>
  <c r="CO571" i="5"/>
  <c r="CN571" i="5"/>
  <c r="CM571" i="5"/>
  <c r="CL571" i="5"/>
  <c r="CK571" i="5"/>
  <c r="CJ571" i="5"/>
  <c r="CI571" i="5"/>
  <c r="CH571" i="5"/>
  <c r="CG571" i="5"/>
  <c r="CF571" i="5"/>
  <c r="CE571" i="5"/>
  <c r="D571" i="5"/>
  <c r="LB570" i="5"/>
  <c r="LB717" i="5" s="1"/>
  <c r="LA570" i="5"/>
  <c r="LA717" i="5" s="1"/>
  <c r="KZ570" i="5"/>
  <c r="KZ717" i="5" s="1"/>
  <c r="KY570" i="5"/>
  <c r="KY717" i="5" s="1"/>
  <c r="IY570" i="5"/>
  <c r="IY717" i="5" s="1"/>
  <c r="IV570" i="5"/>
  <c r="IP570" i="5"/>
  <c r="IN570" i="5"/>
  <c r="J24" i="7" s="1"/>
  <c r="CD570" i="5"/>
  <c r="CD717" i="5" s="1"/>
  <c r="CC570" i="5"/>
  <c r="CB570" i="5"/>
  <c r="CA570" i="5"/>
  <c r="BZ570" i="5"/>
  <c r="BY570" i="5"/>
  <c r="BX570" i="5"/>
  <c r="BW570" i="5"/>
  <c r="BW717" i="5" s="1"/>
  <c r="BV570" i="5"/>
  <c r="D570" i="5"/>
  <c r="D717" i="5" s="1"/>
  <c r="JL569" i="5"/>
  <c r="JM569" i="5" s="1"/>
  <c r="JI569" i="5"/>
  <c r="JJ569" i="5" s="1"/>
  <c r="JF569" i="5"/>
  <c r="JG569" i="5" s="1"/>
  <c r="JC569" i="5"/>
  <c r="JD569" i="5" s="1"/>
  <c r="IZ569" i="5"/>
  <c r="JA569" i="5" s="1"/>
  <c r="IW569" i="5"/>
  <c r="IX569" i="5" s="1"/>
  <c r="JL568" i="5"/>
  <c r="JM568" i="5" s="1"/>
  <c r="JI568" i="5"/>
  <c r="JJ568" i="5" s="1"/>
  <c r="JF568" i="5"/>
  <c r="JG568" i="5" s="1"/>
  <c r="JC568" i="5"/>
  <c r="JD568" i="5" s="1"/>
  <c r="IZ568" i="5"/>
  <c r="JA568" i="5" s="1"/>
  <c r="IW568" i="5"/>
  <c r="IX568" i="5" s="1"/>
  <c r="IR568" i="5"/>
  <c r="O23" i="7" s="1"/>
  <c r="IQ568" i="5"/>
  <c r="IP568" i="5"/>
  <c r="M23" i="7" s="1"/>
  <c r="JB567" i="5"/>
  <c r="IY567" i="5"/>
  <c r="IV567" i="5"/>
  <c r="S22" i="7" s="1"/>
  <c r="IP567" i="5"/>
  <c r="IJ567" i="5"/>
  <c r="AA760" i="2" s="1"/>
  <c r="IF567" i="5"/>
  <c r="C22" i="7" s="1"/>
  <c r="IE567" i="5"/>
  <c r="ID567" i="5"/>
  <c r="EX567" i="5"/>
  <c r="EW567" i="5"/>
  <c r="EV567" i="5"/>
  <c r="EU567" i="5"/>
  <c r="ET567" i="5"/>
  <c r="ES567" i="5"/>
  <c r="ER567" i="5"/>
  <c r="EQ567" i="5"/>
  <c r="EP567" i="5"/>
  <c r="EO567" i="5"/>
  <c r="EN567" i="5"/>
  <c r="EM567" i="5"/>
  <c r="EL567" i="5"/>
  <c r="EK567" i="5"/>
  <c r="EJ567" i="5"/>
  <c r="EI567" i="5"/>
  <c r="EH567" i="5"/>
  <c r="EG567" i="5"/>
  <c r="EF567" i="5"/>
  <c r="EE567" i="5"/>
  <c r="ED567" i="5"/>
  <c r="EC567" i="5"/>
  <c r="EB567" i="5"/>
  <c r="EA567" i="5"/>
  <c r="DZ567" i="5"/>
  <c r="DY567" i="5"/>
  <c r="DX567" i="5"/>
  <c r="DW567" i="5"/>
  <c r="DV567" i="5"/>
  <c r="DU567" i="5"/>
  <c r="DT567" i="5"/>
  <c r="DS567" i="5"/>
  <c r="DR567" i="5"/>
  <c r="DQ567" i="5"/>
  <c r="DP567" i="5"/>
  <c r="DO567" i="5"/>
  <c r="D567" i="5"/>
  <c r="JN566" i="5"/>
  <c r="JL566" i="5" s="1"/>
  <c r="JM566" i="5" s="1"/>
  <c r="JK566" i="5"/>
  <c r="JH566" i="5"/>
  <c r="JE566" i="5"/>
  <c r="JC566" i="5" s="1"/>
  <c r="JB566" i="5"/>
  <c r="IZ566" i="5" s="1"/>
  <c r="IY566" i="5"/>
  <c r="T21" i="7" s="1"/>
  <c r="IV566" i="5"/>
  <c r="S21" i="7" s="1"/>
  <c r="IP566" i="5"/>
  <c r="M21" i="7" s="1"/>
  <c r="EX566" i="5"/>
  <c r="EW566" i="5"/>
  <c r="EV566" i="5"/>
  <c r="EU566" i="5"/>
  <c r="ET566" i="5"/>
  <c r="ES566" i="5"/>
  <c r="ER566" i="5"/>
  <c r="EQ566" i="5"/>
  <c r="EP566" i="5"/>
  <c r="EO566" i="5"/>
  <c r="EN566" i="5"/>
  <c r="EM566" i="5"/>
  <c r="EL566" i="5"/>
  <c r="EK566" i="5"/>
  <c r="EJ566" i="5"/>
  <c r="EI566" i="5"/>
  <c r="EH566" i="5"/>
  <c r="EG566" i="5"/>
  <c r="EF566" i="5"/>
  <c r="EE566" i="5"/>
  <c r="ED566" i="5"/>
  <c r="EC566" i="5"/>
  <c r="EB566" i="5"/>
  <c r="EA566" i="5"/>
  <c r="DZ566" i="5"/>
  <c r="DY566" i="5"/>
  <c r="DX566" i="5"/>
  <c r="DW566" i="5"/>
  <c r="DV566" i="5"/>
  <c r="DU566" i="5"/>
  <c r="DT566" i="5"/>
  <c r="DS566" i="5"/>
  <c r="DR566" i="5"/>
  <c r="DQ566" i="5"/>
  <c r="DP566" i="5"/>
  <c r="DO566" i="5"/>
  <c r="DN566" i="5"/>
  <c r="DM566" i="5"/>
  <c r="DL566" i="5"/>
  <c r="DK566" i="5"/>
  <c r="DJ566" i="5"/>
  <c r="DI566" i="5"/>
  <c r="DH566" i="5"/>
  <c r="DG566" i="5"/>
  <c r="DF566" i="5"/>
  <c r="DE566" i="5"/>
  <c r="DD566" i="5"/>
  <c r="DC566" i="5"/>
  <c r="DB566" i="5"/>
  <c r="DA566" i="5"/>
  <c r="CZ566" i="5"/>
  <c r="CY566" i="5"/>
  <c r="CX566" i="5"/>
  <c r="CW566" i="5"/>
  <c r="CV566" i="5"/>
  <c r="CU566" i="5"/>
  <c r="CT566" i="5"/>
  <c r="CS566" i="5"/>
  <c r="CR566" i="5"/>
  <c r="CQ566" i="5"/>
  <c r="CP566" i="5"/>
  <c r="CO566" i="5"/>
  <c r="CN566" i="5"/>
  <c r="CM566" i="5"/>
  <c r="CL566" i="5"/>
  <c r="CK566" i="5"/>
  <c r="CJ566" i="5"/>
  <c r="CI566" i="5"/>
  <c r="CH566" i="5"/>
  <c r="CG566" i="5"/>
  <c r="CF566" i="5"/>
  <c r="CE566" i="5"/>
  <c r="D566" i="5"/>
  <c r="IY565" i="5"/>
  <c r="IV565" i="5"/>
  <c r="IP565" i="5"/>
  <c r="M20" i="7" s="1"/>
  <c r="EX565" i="5"/>
  <c r="EX1236" i="5" s="1"/>
  <c r="EW565" i="5"/>
  <c r="EW1236" i="5" s="1"/>
  <c r="EV565" i="5"/>
  <c r="EV1236" i="5" s="1"/>
  <c r="EU565" i="5"/>
  <c r="ET565" i="5"/>
  <c r="ET1236" i="5" s="1"/>
  <c r="ES565" i="5"/>
  <c r="ES1236" i="5" s="1"/>
  <c r="ER565" i="5"/>
  <c r="EQ565" i="5"/>
  <c r="EQ1236" i="5" s="1"/>
  <c r="EP565" i="5"/>
  <c r="EP1236" i="5" s="1"/>
  <c r="EO565" i="5"/>
  <c r="EO1236" i="5" s="1"/>
  <c r="EN565" i="5"/>
  <c r="EN1236" i="5" s="1"/>
  <c r="EM565" i="5"/>
  <c r="EM1236" i="5" s="1"/>
  <c r="EL565" i="5"/>
  <c r="EL1236" i="5" s="1"/>
  <c r="EK565" i="5"/>
  <c r="EJ565" i="5"/>
  <c r="EI565" i="5"/>
  <c r="EI1236" i="5" s="1"/>
  <c r="EH565" i="5"/>
  <c r="EH1236" i="5" s="1"/>
  <c r="EG565" i="5"/>
  <c r="EF565" i="5"/>
  <c r="EE565" i="5"/>
  <c r="EE1236" i="5" s="1"/>
  <c r="ED565" i="5"/>
  <c r="ED1236" i="5" s="1"/>
  <c r="EC565" i="5"/>
  <c r="EC1236" i="5" s="1"/>
  <c r="EB565" i="5"/>
  <c r="EB1236" i="5" s="1"/>
  <c r="EA565" i="5"/>
  <c r="EA1236" i="5" s="1"/>
  <c r="DZ565" i="5"/>
  <c r="DY565" i="5"/>
  <c r="DY1236" i="5" s="1"/>
  <c r="DX565" i="5"/>
  <c r="DX1236" i="5" s="1"/>
  <c r="DW565" i="5"/>
  <c r="DW1236" i="5" s="1"/>
  <c r="DV565" i="5"/>
  <c r="DV1236" i="5" s="1"/>
  <c r="DU565" i="5"/>
  <c r="DU1236" i="5" s="1"/>
  <c r="DT565" i="5"/>
  <c r="DT1236" i="5" s="1"/>
  <c r="DS565" i="5"/>
  <c r="DS1236" i="5" s="1"/>
  <c r="DR565" i="5"/>
  <c r="DQ565" i="5"/>
  <c r="DQ1236" i="5" s="1"/>
  <c r="DP565" i="5"/>
  <c r="DP1236" i="5" s="1"/>
  <c r="DO565" i="5"/>
  <c r="DO1236" i="5" s="1"/>
  <c r="DN565" i="5"/>
  <c r="DN1236" i="5" s="1"/>
  <c r="DM565" i="5"/>
  <c r="DL565" i="5"/>
  <c r="DL1236" i="5" s="1"/>
  <c r="DK565" i="5"/>
  <c r="DK1236" i="5" s="1"/>
  <c r="DJ565" i="5"/>
  <c r="DJ1236" i="5" s="1"/>
  <c r="DI565" i="5"/>
  <c r="DI1236" i="5" s="1"/>
  <c r="DH565" i="5"/>
  <c r="DH1236" i="5" s="1"/>
  <c r="DG565" i="5"/>
  <c r="DG1236" i="5" s="1"/>
  <c r="DF565" i="5"/>
  <c r="DF1236" i="5" s="1"/>
  <c r="DE565" i="5"/>
  <c r="DD565" i="5"/>
  <c r="DD1236" i="5" s="1"/>
  <c r="DC565" i="5"/>
  <c r="DC1236" i="5" s="1"/>
  <c r="DB565" i="5"/>
  <c r="DB1236" i="5" s="1"/>
  <c r="DA565" i="5"/>
  <c r="CZ565" i="5"/>
  <c r="CZ1236" i="5" s="1"/>
  <c r="CY565" i="5"/>
  <c r="CY1236" i="5" s="1"/>
  <c r="CX565" i="5"/>
  <c r="CX1236" i="5" s="1"/>
  <c r="CW565" i="5"/>
  <c r="CW1236" i="5" s="1"/>
  <c r="CV565" i="5"/>
  <c r="CV1236" i="5" s="1"/>
  <c r="CU565" i="5"/>
  <c r="CU1236" i="5" s="1"/>
  <c r="CT565" i="5"/>
  <c r="CT1236" i="5" s="1"/>
  <c r="CS565" i="5"/>
  <c r="CS1236" i="5" s="1"/>
  <c r="CR565" i="5"/>
  <c r="CQ565" i="5"/>
  <c r="CQ1236" i="5" s="1"/>
  <c r="CP565" i="5"/>
  <c r="CP1236" i="5" s="1"/>
  <c r="CO565" i="5"/>
  <c r="CN565" i="5"/>
  <c r="CN1236" i="5" s="1"/>
  <c r="CM565" i="5"/>
  <c r="CM1236" i="5" s="1"/>
  <c r="CL565" i="5"/>
  <c r="CL1236" i="5" s="1"/>
  <c r="CK565" i="5"/>
  <c r="CK1236" i="5" s="1"/>
  <c r="CJ565" i="5"/>
  <c r="CJ1236" i="5" s="1"/>
  <c r="CI565" i="5"/>
  <c r="CI1236" i="5" s="1"/>
  <c r="CH565" i="5"/>
  <c r="CH1236" i="5" s="1"/>
  <c r="CG565" i="5"/>
  <c r="CG1236" i="5" s="1"/>
  <c r="CF565" i="5"/>
  <c r="CF1236" i="5" s="1"/>
  <c r="CE565" i="5"/>
  <c r="CE1236" i="5" s="1"/>
  <c r="D565" i="5"/>
  <c r="JL564" i="5"/>
  <c r="JM564" i="5" s="1"/>
  <c r="JI564" i="5"/>
  <c r="JJ564" i="5" s="1"/>
  <c r="JF564" i="5"/>
  <c r="JG564" i="5" s="1"/>
  <c r="JC564" i="5"/>
  <c r="JD564" i="5" s="1"/>
  <c r="IZ564" i="5"/>
  <c r="JA564" i="5" s="1"/>
  <c r="IW564" i="5"/>
  <c r="IX564" i="5" s="1"/>
  <c r="IR564" i="5"/>
  <c r="O19" i="7" s="1"/>
  <c r="IQ564" i="5"/>
  <c r="N19" i="7" s="1"/>
  <c r="IP564" i="5"/>
  <c r="M19" i="7" s="1"/>
  <c r="IY563" i="5"/>
  <c r="T18" i="7" s="1"/>
  <c r="IV563" i="5"/>
  <c r="IP563" i="5"/>
  <c r="IO563" i="5" s="1"/>
  <c r="L18" i="7" s="1"/>
  <c r="ID563" i="5"/>
  <c r="EX563" i="5"/>
  <c r="EW563" i="5"/>
  <c r="EV563" i="5"/>
  <c r="EU563" i="5"/>
  <c r="ET563" i="5"/>
  <c r="ES563" i="5"/>
  <c r="ER563" i="5"/>
  <c r="EQ563" i="5"/>
  <c r="EP563" i="5"/>
  <c r="EO563" i="5"/>
  <c r="EN563" i="5"/>
  <c r="EM563" i="5"/>
  <c r="EL563" i="5"/>
  <c r="EK563" i="5"/>
  <c r="EJ563" i="5"/>
  <c r="EI563" i="5"/>
  <c r="EH563" i="5"/>
  <c r="EG563" i="5"/>
  <c r="EF563" i="5"/>
  <c r="EE563" i="5"/>
  <c r="ED563" i="5"/>
  <c r="EC563" i="5"/>
  <c r="EB563" i="5"/>
  <c r="EA563" i="5"/>
  <c r="DZ563" i="5"/>
  <c r="DY563" i="5"/>
  <c r="DX563" i="5"/>
  <c r="DW563" i="5"/>
  <c r="DV563" i="5"/>
  <c r="DU563" i="5"/>
  <c r="DT563" i="5"/>
  <c r="DS563" i="5"/>
  <c r="DR563" i="5"/>
  <c r="DQ563" i="5"/>
  <c r="DP563" i="5"/>
  <c r="DO563" i="5"/>
  <c r="DN563" i="5"/>
  <c r="DM563" i="5"/>
  <c r="DL563" i="5"/>
  <c r="DK563" i="5"/>
  <c r="DJ563" i="5"/>
  <c r="DI563" i="5"/>
  <c r="DH563" i="5"/>
  <c r="DG563" i="5"/>
  <c r="DF563" i="5"/>
  <c r="DE563" i="5"/>
  <c r="DD563" i="5"/>
  <c r="DC563" i="5"/>
  <c r="DB563" i="5"/>
  <c r="DA563" i="5"/>
  <c r="CZ563" i="5"/>
  <c r="CY563" i="5"/>
  <c r="CX563" i="5"/>
  <c r="CW563" i="5"/>
  <c r="CV563" i="5"/>
  <c r="CU563" i="5"/>
  <c r="CT563" i="5"/>
  <c r="CS563" i="5"/>
  <c r="CR563" i="5"/>
  <c r="CQ563" i="5"/>
  <c r="CP563" i="5"/>
  <c r="CO563" i="5"/>
  <c r="CN563" i="5"/>
  <c r="CM563" i="5"/>
  <c r="CL563" i="5"/>
  <c r="CK563" i="5"/>
  <c r="CJ563" i="5"/>
  <c r="CI563" i="5"/>
  <c r="CH563" i="5"/>
  <c r="CG563" i="5"/>
  <c r="CF563" i="5"/>
  <c r="CE563" i="5"/>
  <c r="D563" i="5"/>
  <c r="JB562" i="5"/>
  <c r="IZ562" i="5" s="1"/>
  <c r="IY562" i="5"/>
  <c r="T17" i="7" s="1"/>
  <c r="IV562" i="5"/>
  <c r="S17" i="7" s="1"/>
  <c r="IP562" i="5"/>
  <c r="M17" i="7" s="1"/>
  <c r="ID562" i="5"/>
  <c r="EX562" i="5"/>
  <c r="EW562" i="5"/>
  <c r="EV562" i="5"/>
  <c r="EU562" i="5"/>
  <c r="ET562" i="5"/>
  <c r="ES562" i="5"/>
  <c r="ER562" i="5"/>
  <c r="EQ562" i="5"/>
  <c r="EP562" i="5"/>
  <c r="EO562" i="5"/>
  <c r="EN562" i="5"/>
  <c r="EM562" i="5"/>
  <c r="EL562" i="5"/>
  <c r="EK562" i="5"/>
  <c r="EJ562" i="5"/>
  <c r="EI562" i="5"/>
  <c r="EH562" i="5"/>
  <c r="EG562" i="5"/>
  <c r="EF562" i="5"/>
  <c r="EE562" i="5"/>
  <c r="ED562" i="5"/>
  <c r="EC562" i="5"/>
  <c r="EB562" i="5"/>
  <c r="EA562" i="5"/>
  <c r="DZ562" i="5"/>
  <c r="DY562" i="5"/>
  <c r="DX562" i="5"/>
  <c r="DW562" i="5"/>
  <c r="DV562" i="5"/>
  <c r="DU562" i="5"/>
  <c r="DT562" i="5"/>
  <c r="DS562" i="5"/>
  <c r="DR562" i="5"/>
  <c r="DQ562" i="5"/>
  <c r="DP562" i="5"/>
  <c r="DO562" i="5"/>
  <c r="DN562" i="5"/>
  <c r="DM562" i="5"/>
  <c r="DL562" i="5"/>
  <c r="DK562" i="5"/>
  <c r="DJ562" i="5"/>
  <c r="DI562" i="5"/>
  <c r="DH562" i="5"/>
  <c r="DG562" i="5"/>
  <c r="DF562" i="5"/>
  <c r="DE562" i="5"/>
  <c r="DD562" i="5"/>
  <c r="DC562" i="5"/>
  <c r="DB562" i="5"/>
  <c r="DA562" i="5"/>
  <c r="CZ562" i="5"/>
  <c r="CY562" i="5"/>
  <c r="CX562" i="5"/>
  <c r="CW562" i="5"/>
  <c r="CV562" i="5"/>
  <c r="CU562" i="5"/>
  <c r="CT562" i="5"/>
  <c r="CS562" i="5"/>
  <c r="CR562" i="5"/>
  <c r="CQ562" i="5"/>
  <c r="CP562" i="5"/>
  <c r="CO562" i="5"/>
  <c r="CN562" i="5"/>
  <c r="CM562" i="5"/>
  <c r="CL562" i="5"/>
  <c r="CK562" i="5"/>
  <c r="CJ562" i="5"/>
  <c r="CI562" i="5"/>
  <c r="CH562" i="5"/>
  <c r="CG562" i="5"/>
  <c r="CF562" i="5"/>
  <c r="CE562" i="5"/>
  <c r="D562" i="5"/>
  <c r="IY561" i="5"/>
  <c r="T16" i="7" s="1"/>
  <c r="IV561" i="5"/>
  <c r="S16" i="7" s="1"/>
  <c r="IP561" i="5"/>
  <c r="M16" i="7" s="1"/>
  <c r="ID561" i="5"/>
  <c r="EX561" i="5"/>
  <c r="EW561" i="5"/>
  <c r="EV561" i="5"/>
  <c r="EU561" i="5"/>
  <c r="ET561" i="5"/>
  <c r="ES561" i="5"/>
  <c r="ER561" i="5"/>
  <c r="EQ561" i="5"/>
  <c r="EP561" i="5"/>
  <c r="EO561" i="5"/>
  <c r="EN561" i="5"/>
  <c r="EM561" i="5"/>
  <c r="EL561" i="5"/>
  <c r="EK561" i="5"/>
  <c r="EJ561" i="5"/>
  <c r="EI561" i="5"/>
  <c r="EH561" i="5"/>
  <c r="EG561" i="5"/>
  <c r="EF561" i="5"/>
  <c r="EE561" i="5"/>
  <c r="ED561" i="5"/>
  <c r="EC561" i="5"/>
  <c r="EB561" i="5"/>
  <c r="EA561" i="5"/>
  <c r="DZ561" i="5"/>
  <c r="DY561" i="5"/>
  <c r="DX561" i="5"/>
  <c r="DW561" i="5"/>
  <c r="DV561" i="5"/>
  <c r="DU561" i="5"/>
  <c r="DT561" i="5"/>
  <c r="DS561" i="5"/>
  <c r="DR561" i="5"/>
  <c r="DQ561" i="5"/>
  <c r="DP561" i="5"/>
  <c r="DO561" i="5"/>
  <c r="DN561" i="5"/>
  <c r="DM561" i="5"/>
  <c r="DL561" i="5"/>
  <c r="DK561" i="5"/>
  <c r="DJ561" i="5"/>
  <c r="DI561" i="5"/>
  <c r="DH561" i="5"/>
  <c r="DG561" i="5"/>
  <c r="DF561" i="5"/>
  <c r="DE561" i="5"/>
  <c r="DD561" i="5"/>
  <c r="DC561" i="5"/>
  <c r="DB561" i="5"/>
  <c r="DA561" i="5"/>
  <c r="CZ561" i="5"/>
  <c r="CY561" i="5"/>
  <c r="CX561" i="5"/>
  <c r="CW561" i="5"/>
  <c r="CV561" i="5"/>
  <c r="CU561" i="5"/>
  <c r="CT561" i="5"/>
  <c r="CS561" i="5"/>
  <c r="CR561" i="5"/>
  <c r="CQ561" i="5"/>
  <c r="CP561" i="5"/>
  <c r="CO561" i="5"/>
  <c r="CN561" i="5"/>
  <c r="CM561" i="5"/>
  <c r="CL561" i="5"/>
  <c r="CK561" i="5"/>
  <c r="CJ561" i="5"/>
  <c r="CI561" i="5"/>
  <c r="CH561" i="5"/>
  <c r="CG561" i="5"/>
  <c r="CF561" i="5"/>
  <c r="CE561" i="5"/>
  <c r="D561" i="5"/>
  <c r="IY560" i="5"/>
  <c r="T15" i="7" s="1"/>
  <c r="IV560" i="5"/>
  <c r="S15" i="7" s="1"/>
  <c r="IP560" i="5"/>
  <c r="M15" i="7" s="1"/>
  <c r="D560" i="5"/>
  <c r="IP559" i="5"/>
  <c r="ID559" i="5"/>
  <c r="EX559" i="5"/>
  <c r="EW559" i="5"/>
  <c r="EV559" i="5"/>
  <c r="EU559" i="5"/>
  <c r="ET559" i="5"/>
  <c r="ES559" i="5"/>
  <c r="ER559" i="5"/>
  <c r="EQ559" i="5"/>
  <c r="EP559" i="5"/>
  <c r="EO559" i="5"/>
  <c r="EN559" i="5"/>
  <c r="EM559" i="5"/>
  <c r="EL559" i="5"/>
  <c r="EK559" i="5"/>
  <c r="EJ559" i="5"/>
  <c r="EI559" i="5"/>
  <c r="EH559" i="5"/>
  <c r="EG559" i="5"/>
  <c r="EF559" i="5"/>
  <c r="EE559" i="5"/>
  <c r="ED559" i="5"/>
  <c r="EC559" i="5"/>
  <c r="EB559" i="5"/>
  <c r="EA559" i="5"/>
  <c r="DZ559" i="5"/>
  <c r="DY559" i="5"/>
  <c r="DX559" i="5"/>
  <c r="DW559" i="5"/>
  <c r="DV559" i="5"/>
  <c r="DU559" i="5"/>
  <c r="DT559" i="5"/>
  <c r="DS559" i="5"/>
  <c r="DR559" i="5"/>
  <c r="DQ559" i="5"/>
  <c r="DP559" i="5"/>
  <c r="DO559" i="5"/>
  <c r="DN559" i="5"/>
  <c r="DM559" i="5"/>
  <c r="DL559" i="5"/>
  <c r="DK559" i="5"/>
  <c r="DJ559" i="5"/>
  <c r="DI559" i="5"/>
  <c r="DH559" i="5"/>
  <c r="DG559" i="5"/>
  <c r="DF559" i="5"/>
  <c r="DE559" i="5"/>
  <c r="DD559" i="5"/>
  <c r="DC559" i="5"/>
  <c r="DB559" i="5"/>
  <c r="DA559" i="5"/>
  <c r="CZ559" i="5"/>
  <c r="CY559" i="5"/>
  <c r="CX559" i="5"/>
  <c r="CW559" i="5"/>
  <c r="CV559" i="5"/>
  <c r="CU559" i="5"/>
  <c r="CT559" i="5"/>
  <c r="CS559" i="5"/>
  <c r="CR559" i="5"/>
  <c r="CQ559" i="5"/>
  <c r="CP559" i="5"/>
  <c r="CO559" i="5"/>
  <c r="CN559" i="5"/>
  <c r="CM559" i="5"/>
  <c r="CL559" i="5"/>
  <c r="CK559" i="5"/>
  <c r="CJ559" i="5"/>
  <c r="CI559" i="5"/>
  <c r="CH559" i="5"/>
  <c r="CG559" i="5"/>
  <c r="CF559" i="5"/>
  <c r="CE559" i="5"/>
  <c r="D559" i="5"/>
  <c r="IP558" i="5"/>
  <c r="M13" i="7" s="1"/>
  <c r="EX558" i="5"/>
  <c r="EW558" i="5"/>
  <c r="EV558" i="5"/>
  <c r="EU558" i="5"/>
  <c r="EU1235" i="5" s="1"/>
  <c r="ET558" i="5"/>
  <c r="ET1235" i="5" s="1"/>
  <c r="ES558" i="5"/>
  <c r="ER558" i="5"/>
  <c r="EQ558" i="5"/>
  <c r="EQ1235" i="5" s="1"/>
  <c r="EP558" i="5"/>
  <c r="EO558" i="5"/>
  <c r="EN558" i="5"/>
  <c r="EN1235" i="5" s="1"/>
  <c r="EM558" i="5"/>
  <c r="EL558" i="5"/>
  <c r="EL1235" i="5" s="1"/>
  <c r="EK558" i="5"/>
  <c r="EK1235" i="5" s="1"/>
  <c r="EJ558" i="5"/>
  <c r="EJ1235" i="5" s="1"/>
  <c r="EI558" i="5"/>
  <c r="EI1235" i="5" s="1"/>
  <c r="EH558" i="5"/>
  <c r="EG558" i="5"/>
  <c r="EF558" i="5"/>
  <c r="EF1235" i="5" s="1"/>
  <c r="EE558" i="5"/>
  <c r="EE1235" i="5" s="1"/>
  <c r="ED558" i="5"/>
  <c r="EC558" i="5"/>
  <c r="EC1235" i="5" s="1"/>
  <c r="EB558" i="5"/>
  <c r="EB1235" i="5" s="1"/>
  <c r="EA558" i="5"/>
  <c r="DZ558" i="5"/>
  <c r="DZ1235" i="5" s="1"/>
  <c r="DY558" i="5"/>
  <c r="DY1235" i="5" s="1"/>
  <c r="DX558" i="5"/>
  <c r="DW558" i="5"/>
  <c r="DV558" i="5"/>
  <c r="DU558" i="5"/>
  <c r="DT558" i="5"/>
  <c r="DS558" i="5"/>
  <c r="DR558" i="5"/>
  <c r="DR1235" i="5" s="1"/>
  <c r="DQ558" i="5"/>
  <c r="DP558" i="5"/>
  <c r="DO558" i="5"/>
  <c r="DO1235" i="5" s="1"/>
  <c r="DN558" i="5"/>
  <c r="DM558" i="5"/>
  <c r="DM1235" i="5" s="1"/>
  <c r="DL558" i="5"/>
  <c r="DK558" i="5"/>
  <c r="DK1235" i="5" s="1"/>
  <c r="DJ558" i="5"/>
  <c r="DJ1235" i="5" s="1"/>
  <c r="DI558" i="5"/>
  <c r="DH558" i="5"/>
  <c r="DH1235" i="5" s="1"/>
  <c r="DG558" i="5"/>
  <c r="DG1235" i="5" s="1"/>
  <c r="DF558" i="5"/>
  <c r="DE558" i="5"/>
  <c r="DE1235" i="5" s="1"/>
  <c r="DD558" i="5"/>
  <c r="DC558" i="5"/>
  <c r="DC1235" i="5" s="1"/>
  <c r="DB558" i="5"/>
  <c r="DA558" i="5"/>
  <c r="CZ558" i="5"/>
  <c r="CZ1235" i="5" s="1"/>
  <c r="CY558" i="5"/>
  <c r="CX558" i="5"/>
  <c r="CX1235" i="5" s="1"/>
  <c r="CW558" i="5"/>
  <c r="CW1235" i="5" s="1"/>
  <c r="CV558" i="5"/>
  <c r="CV1235" i="5" s="1"/>
  <c r="CU558" i="5"/>
  <c r="CT558" i="5"/>
  <c r="CT1235" i="5" s="1"/>
  <c r="CS558" i="5"/>
  <c r="CS1235" i="5" s="1"/>
  <c r="CR558" i="5"/>
  <c r="CQ558" i="5"/>
  <c r="CQ1235" i="5" s="1"/>
  <c r="CP558" i="5"/>
  <c r="CO558" i="5"/>
  <c r="CO1235" i="5" s="1"/>
  <c r="CN558" i="5"/>
  <c r="CM558" i="5"/>
  <c r="CL558" i="5"/>
  <c r="CK558" i="5"/>
  <c r="CJ558" i="5"/>
  <c r="CI558" i="5"/>
  <c r="CI1235" i="5" s="1"/>
  <c r="CH558" i="5"/>
  <c r="CH1235" i="5" s="1"/>
  <c r="CG558" i="5"/>
  <c r="CF558" i="5"/>
  <c r="CF1235" i="5" s="1"/>
  <c r="CE558" i="5"/>
  <c r="CE1235" i="5" s="1"/>
  <c r="D558" i="5"/>
  <c r="JN557" i="5"/>
  <c r="JL557" i="5" s="1"/>
  <c r="JM557" i="5" s="1"/>
  <c r="JK557" i="5"/>
  <c r="JH557" i="5"/>
  <c r="JE557" i="5"/>
  <c r="JB557" i="5"/>
  <c r="IZ557" i="5" s="1"/>
  <c r="JA557" i="5" s="1"/>
  <c r="IY557" i="5"/>
  <c r="IV557" i="5"/>
  <c r="S12" i="7" s="1"/>
  <c r="IP557" i="5"/>
  <c r="M12" i="7" s="1"/>
  <c r="ID557" i="5"/>
  <c r="EX557" i="5"/>
  <c r="EW557" i="5"/>
  <c r="EV557" i="5"/>
  <c r="EU557" i="5"/>
  <c r="ET557" i="5"/>
  <c r="ES557" i="5"/>
  <c r="ER557" i="5"/>
  <c r="EQ557" i="5"/>
  <c r="EP557" i="5"/>
  <c r="EO557" i="5"/>
  <c r="EN557" i="5"/>
  <c r="EM557" i="5"/>
  <c r="EL557" i="5"/>
  <c r="EK557" i="5"/>
  <c r="EJ557" i="5"/>
  <c r="EI557" i="5"/>
  <c r="EH557" i="5"/>
  <c r="EG557" i="5"/>
  <c r="EF557" i="5"/>
  <c r="EE557" i="5"/>
  <c r="ED557" i="5"/>
  <c r="EC557" i="5"/>
  <c r="EB557" i="5"/>
  <c r="EA557" i="5"/>
  <c r="DZ557" i="5"/>
  <c r="DY557" i="5"/>
  <c r="DX557" i="5"/>
  <c r="DW557" i="5"/>
  <c r="DV557" i="5"/>
  <c r="DU557" i="5"/>
  <c r="DT557" i="5"/>
  <c r="DS557" i="5"/>
  <c r="DR557" i="5"/>
  <c r="DQ557" i="5"/>
  <c r="DP557" i="5"/>
  <c r="DO557" i="5"/>
  <c r="DN557" i="5"/>
  <c r="DM557" i="5"/>
  <c r="DL557" i="5"/>
  <c r="DK557" i="5"/>
  <c r="DJ557" i="5"/>
  <c r="DI557" i="5"/>
  <c r="DH557" i="5"/>
  <c r="DG557" i="5"/>
  <c r="DF557" i="5"/>
  <c r="DE557" i="5"/>
  <c r="DD557" i="5"/>
  <c r="DC557" i="5"/>
  <c r="DB557" i="5"/>
  <c r="DA557" i="5"/>
  <c r="CZ557" i="5"/>
  <c r="CY557" i="5"/>
  <c r="CX557" i="5"/>
  <c r="CW557" i="5"/>
  <c r="CV557" i="5"/>
  <c r="CU557" i="5"/>
  <c r="CT557" i="5"/>
  <c r="CS557" i="5"/>
  <c r="CR557" i="5"/>
  <c r="CQ557" i="5"/>
  <c r="CP557" i="5"/>
  <c r="CO557" i="5"/>
  <c r="CN557" i="5"/>
  <c r="CM557" i="5"/>
  <c r="CL557" i="5"/>
  <c r="CK557" i="5"/>
  <c r="CJ557" i="5"/>
  <c r="CI557" i="5"/>
  <c r="CH557" i="5"/>
  <c r="CG557" i="5"/>
  <c r="CF557" i="5"/>
  <c r="CE557" i="5"/>
  <c r="D557" i="5"/>
  <c r="IP556" i="5"/>
  <c r="ID556" i="5"/>
  <c r="EX556" i="5"/>
  <c r="EX555" i="5" s="1"/>
  <c r="EX1234" i="5" s="1"/>
  <c r="EW556" i="5"/>
  <c r="EW555" i="5" s="1"/>
  <c r="EV556" i="5"/>
  <c r="EU556" i="5"/>
  <c r="EU555" i="5" s="1"/>
  <c r="EU1234" i="5" s="1"/>
  <c r="ET556" i="5"/>
  <c r="ET555" i="5" s="1"/>
  <c r="ES556" i="5"/>
  <c r="ER556" i="5"/>
  <c r="ER555" i="5" s="1"/>
  <c r="ER1234" i="5" s="1"/>
  <c r="EQ556" i="5"/>
  <c r="EP556" i="5"/>
  <c r="EO556" i="5"/>
  <c r="EO555" i="5" s="1"/>
  <c r="EN556" i="5"/>
  <c r="EM556" i="5"/>
  <c r="EM555" i="5" s="1"/>
  <c r="EM1234" i="5" s="1"/>
  <c r="EL556" i="5"/>
  <c r="EK556" i="5"/>
  <c r="EK555" i="5" s="1"/>
  <c r="EK1234" i="5" s="1"/>
  <c r="EJ556" i="5"/>
  <c r="EJ555" i="5" s="1"/>
  <c r="EJ1234" i="5" s="1"/>
  <c r="EI556" i="5"/>
  <c r="EI555" i="5" s="1"/>
  <c r="EI1234" i="5" s="1"/>
  <c r="EH556" i="5"/>
  <c r="EG556" i="5"/>
  <c r="EG555" i="5" s="1"/>
  <c r="EG1234" i="5" s="1"/>
  <c r="EF556" i="5"/>
  <c r="EE556" i="5"/>
  <c r="EE555" i="5" s="1"/>
  <c r="EE1234" i="5" s="1"/>
  <c r="ED556" i="5"/>
  <c r="ED555" i="5" s="1"/>
  <c r="ED1234" i="5" s="1"/>
  <c r="EC556" i="5"/>
  <c r="EB556" i="5"/>
  <c r="EB555" i="5" s="1"/>
  <c r="EA556" i="5"/>
  <c r="DZ556" i="5"/>
  <c r="DY556" i="5"/>
  <c r="DY555" i="5" s="1"/>
  <c r="DX556" i="5"/>
  <c r="DX555" i="5" s="1"/>
  <c r="DX1234" i="5" s="1"/>
  <c r="DW556" i="5"/>
  <c r="DW555" i="5" s="1"/>
  <c r="DW1234" i="5" s="1"/>
  <c r="DV556" i="5"/>
  <c r="DV555" i="5" s="1"/>
  <c r="DU556" i="5"/>
  <c r="DU555" i="5" s="1"/>
  <c r="DT556" i="5"/>
  <c r="DT555" i="5" s="1"/>
  <c r="DT1234" i="5" s="1"/>
  <c r="DS556" i="5"/>
  <c r="DR556" i="5"/>
  <c r="DQ556" i="5"/>
  <c r="DQ555" i="5" s="1"/>
  <c r="DQ1234" i="5" s="1"/>
  <c r="DP556" i="5"/>
  <c r="DP555" i="5" s="1"/>
  <c r="DP1234" i="5" s="1"/>
  <c r="DO556" i="5"/>
  <c r="DO555" i="5" s="1"/>
  <c r="DO1234" i="5" s="1"/>
  <c r="DN556" i="5"/>
  <c r="DM556" i="5"/>
  <c r="DL556" i="5"/>
  <c r="DK556" i="5"/>
  <c r="DK555" i="5" s="1"/>
  <c r="DJ556" i="5"/>
  <c r="DJ555" i="5" s="1"/>
  <c r="DI556" i="5"/>
  <c r="DH556" i="5"/>
  <c r="DH555" i="5" s="1"/>
  <c r="DG556" i="5"/>
  <c r="DF556" i="5"/>
  <c r="DF555" i="5" s="1"/>
  <c r="DF1234" i="5" s="1"/>
  <c r="DE556" i="5"/>
  <c r="DE555" i="5" s="1"/>
  <c r="DE1234" i="5" s="1"/>
  <c r="DD556" i="5"/>
  <c r="DD555" i="5" s="1"/>
  <c r="DD1234" i="5" s="1"/>
  <c r="DC556" i="5"/>
  <c r="DB556" i="5"/>
  <c r="DA556" i="5"/>
  <c r="CZ556" i="5"/>
  <c r="CY556" i="5"/>
  <c r="CX556" i="5"/>
  <c r="CW556" i="5"/>
  <c r="CV556" i="5"/>
  <c r="CU556" i="5"/>
  <c r="CT556" i="5"/>
  <c r="CS556" i="5"/>
  <c r="CR556" i="5"/>
  <c r="CQ556" i="5"/>
  <c r="CP556" i="5"/>
  <c r="CO556" i="5"/>
  <c r="CN556" i="5"/>
  <c r="CM556" i="5"/>
  <c r="CL556" i="5"/>
  <c r="CK556" i="5"/>
  <c r="CJ556" i="5"/>
  <c r="CI556" i="5"/>
  <c r="CH556" i="5"/>
  <c r="CG556" i="5"/>
  <c r="CF556" i="5"/>
  <c r="CE556" i="5"/>
  <c r="D556" i="5"/>
  <c r="IP555" i="5"/>
  <c r="DB555" i="5"/>
  <c r="DB1234" i="5" s="1"/>
  <c r="DA555" i="5"/>
  <c r="DA1234" i="5" s="1"/>
  <c r="CZ555" i="5"/>
  <c r="CY555" i="5"/>
  <c r="CX555" i="5"/>
  <c r="CW555" i="5"/>
  <c r="CV555" i="5"/>
  <c r="CV1234" i="5" s="1"/>
  <c r="CU555" i="5"/>
  <c r="CT555" i="5"/>
  <c r="CS555" i="5"/>
  <c r="CS1234" i="5" s="1"/>
  <c r="CR555" i="5"/>
  <c r="CR1234" i="5" s="1"/>
  <c r="CQ555" i="5"/>
  <c r="CP555" i="5"/>
  <c r="CO555" i="5"/>
  <c r="CO1234" i="5" s="1"/>
  <c r="CN555" i="5"/>
  <c r="CN1234" i="5" s="1"/>
  <c r="CM555" i="5"/>
  <c r="CM1234" i="5" s="1"/>
  <c r="CL555" i="5"/>
  <c r="CL1234" i="5" s="1"/>
  <c r="CK555" i="5"/>
  <c r="CJ555" i="5"/>
  <c r="CI555" i="5"/>
  <c r="CI1234" i="5" s="1"/>
  <c r="CH555" i="5"/>
  <c r="CH1234" i="5" s="1"/>
  <c r="CG555" i="5"/>
  <c r="CG1234" i="5" s="1"/>
  <c r="CF555" i="5"/>
  <c r="CE555" i="5"/>
  <c r="D555" i="5"/>
  <c r="JL554" i="5"/>
  <c r="JM554" i="5" s="1"/>
  <c r="JI554" i="5"/>
  <c r="JJ554" i="5" s="1"/>
  <c r="JF554" i="5"/>
  <c r="JG554" i="5" s="1"/>
  <c r="JC554" i="5"/>
  <c r="JD554" i="5" s="1"/>
  <c r="IZ554" i="5"/>
  <c r="JA554" i="5" s="1"/>
  <c r="IX554" i="5"/>
  <c r="IF554" i="5"/>
  <c r="C9" i="7" s="1"/>
  <c r="IE554" i="5"/>
  <c r="D554" i="5"/>
  <c r="LB553" i="5"/>
  <c r="LB716" i="5" s="1"/>
  <c r="LA553" i="5"/>
  <c r="KZ553" i="5"/>
  <c r="KY553" i="5"/>
  <c r="KY716" i="5" s="1"/>
  <c r="IP553" i="5"/>
  <c r="M8" i="7" s="1"/>
  <c r="CD553" i="5"/>
  <c r="CD716" i="5" s="1"/>
  <c r="CC553" i="5"/>
  <c r="CC1233" i="5" s="1"/>
  <c r="CB553" i="5"/>
  <c r="CA553" i="5"/>
  <c r="BZ553" i="5"/>
  <c r="BY553" i="5"/>
  <c r="BX553" i="5"/>
  <c r="BW553" i="5"/>
  <c r="BW713" i="5" s="1"/>
  <c r="BV553" i="5"/>
  <c r="BV716" i="5" s="1"/>
  <c r="BU553" i="5"/>
  <c r="BU713" i="5" s="1"/>
  <c r="BT553" i="5"/>
  <c r="BT716" i="5" s="1"/>
  <c r="BS553" i="5"/>
  <c r="BS716" i="5" s="1"/>
  <c r="BR553" i="5"/>
  <c r="BR1233" i="5" s="1"/>
  <c r="BQ553" i="5"/>
  <c r="BP553" i="5"/>
  <c r="BP552" i="5" s="1"/>
  <c r="BO553" i="5"/>
  <c r="BO552" i="5" s="1"/>
  <c r="BN553" i="5"/>
  <c r="BN713" i="5" s="1"/>
  <c r="BM553" i="5"/>
  <c r="BM716" i="5" s="1"/>
  <c r="BL553" i="5"/>
  <c r="BL713" i="5" s="1"/>
  <c r="BK553" i="5"/>
  <c r="BK713" i="5" s="1"/>
  <c r="BJ553" i="5"/>
  <c r="BI553" i="5"/>
  <c r="BI552" i="5" s="1"/>
  <c r="BH553" i="5"/>
  <c r="BH552" i="5" s="1"/>
  <c r="BG553" i="5"/>
  <c r="BF553" i="5"/>
  <c r="BE553" i="5"/>
  <c r="BE552" i="5" s="1"/>
  <c r="BE1232" i="5" s="1"/>
  <c r="BD553" i="5"/>
  <c r="BC553" i="5"/>
  <c r="BB553" i="5"/>
  <c r="BA553" i="5"/>
  <c r="AZ553" i="5"/>
  <c r="AZ552" i="5" s="1"/>
  <c r="AY553" i="5"/>
  <c r="AX553" i="5"/>
  <c r="AX1233" i="5" s="1"/>
  <c r="AW553" i="5"/>
  <c r="AW1233" i="5" s="1"/>
  <c r="AV553" i="5"/>
  <c r="AV1233" i="5" s="1"/>
  <c r="AU553" i="5"/>
  <c r="AT553" i="5"/>
  <c r="AT552" i="5" s="1"/>
  <c r="AS553" i="5"/>
  <c r="AS716" i="5" s="1"/>
  <c r="AR553" i="5"/>
  <c r="AQ553" i="5"/>
  <c r="AQ552" i="5" s="1"/>
  <c r="AP553" i="5"/>
  <c r="AP552" i="5" s="1"/>
  <c r="AP1232" i="5" s="1"/>
  <c r="AO553" i="5"/>
  <c r="AN553" i="5"/>
  <c r="AM553" i="5"/>
  <c r="AM716" i="5" s="1"/>
  <c r="AL553" i="5"/>
  <c r="AK553" i="5"/>
  <c r="AK713" i="5" s="1"/>
  <c r="AJ553" i="5"/>
  <c r="AJ552" i="5" s="1"/>
  <c r="AJ1232" i="5" s="1"/>
  <c r="AJ1230" i="5" s="1"/>
  <c r="AI553" i="5"/>
  <c r="AI713" i="5" s="1"/>
  <c r="AH553" i="5"/>
  <c r="AH716" i="5" s="1"/>
  <c r="AG553" i="5"/>
  <c r="AG552" i="5" s="1"/>
  <c r="AG715" i="5" s="1"/>
  <c r="AF553" i="5"/>
  <c r="AE553" i="5"/>
  <c r="AE716" i="5" s="1"/>
  <c r="AD553" i="5"/>
  <c r="AD716" i="5" s="1"/>
  <c r="AC553" i="5"/>
  <c r="AC713" i="5" s="1"/>
  <c r="AB553" i="5"/>
  <c r="AB552" i="5" s="1"/>
  <c r="AA553" i="5"/>
  <c r="Z553" i="5"/>
  <c r="Z552" i="5" s="1"/>
  <c r="Z715" i="5" s="1"/>
  <c r="Y553" i="5"/>
  <c r="Y552" i="5" s="1"/>
  <c r="Y715" i="5" s="1"/>
  <c r="X553" i="5"/>
  <c r="X713" i="5" s="1"/>
  <c r="W553" i="5"/>
  <c r="V553" i="5"/>
  <c r="U553" i="5"/>
  <c r="U1233" i="5" s="1"/>
  <c r="T553" i="5"/>
  <c r="S553" i="5"/>
  <c r="R553" i="5"/>
  <c r="Q553" i="5"/>
  <c r="P553" i="5"/>
  <c r="O553" i="5"/>
  <c r="O716" i="5" s="1"/>
  <c r="N553" i="5"/>
  <c r="M553" i="5"/>
  <c r="L553" i="5"/>
  <c r="L1233" i="5" s="1"/>
  <c r="K553" i="5"/>
  <c r="J553" i="5"/>
  <c r="I553" i="5"/>
  <c r="I1233" i="5" s="1"/>
  <c r="H553" i="5"/>
  <c r="H1233" i="5" s="1"/>
  <c r="G553" i="5"/>
  <c r="G713" i="5" s="1"/>
  <c r="F553" i="5"/>
  <c r="F1233" i="5" s="1"/>
  <c r="E553" i="5"/>
  <c r="E552" i="5" s="1"/>
  <c r="D553" i="5"/>
  <c r="D716" i="5" s="1"/>
  <c r="IP552" i="5"/>
  <c r="M7" i="7" s="1"/>
  <c r="D552" i="5"/>
  <c r="D715" i="5" s="1"/>
  <c r="JL551" i="5"/>
  <c r="JM551" i="5" s="1"/>
  <c r="JI551" i="5"/>
  <c r="JJ551" i="5" s="1"/>
  <c r="JF551" i="5"/>
  <c r="JG551" i="5" s="1"/>
  <c r="JC551" i="5"/>
  <c r="JD551" i="5" s="1"/>
  <c r="IZ551" i="5"/>
  <c r="JA551" i="5" s="1"/>
  <c r="IR551" i="5"/>
  <c r="O6" i="7" s="1"/>
  <c r="IQ551" i="5"/>
  <c r="N6" i="7" s="1"/>
  <c r="D550" i="5"/>
  <c r="D714" i="5" s="1"/>
  <c r="LB549" i="5"/>
  <c r="LB711" i="5" s="1"/>
  <c r="LA549" i="5"/>
  <c r="LA711" i="5" s="1"/>
  <c r="JD549" i="5"/>
  <c r="JD711" i="5" s="1"/>
  <c r="JC549" i="5"/>
  <c r="JC711" i="5" s="1"/>
  <c r="FI549" i="5"/>
  <c r="FH549" i="5"/>
  <c r="FG549" i="5"/>
  <c r="FF549" i="5"/>
  <c r="FE549" i="5"/>
  <c r="FD549" i="5"/>
  <c r="FC549" i="5"/>
  <c r="FB549" i="5"/>
  <c r="FA549" i="5"/>
  <c r="EZ549" i="5"/>
  <c r="EY549" i="5"/>
  <c r="EX549" i="5"/>
  <c r="EW549" i="5"/>
  <c r="EV549" i="5"/>
  <c r="EU549" i="5"/>
  <c r="ET549" i="5"/>
  <c r="ES549" i="5"/>
  <c r="ER549" i="5"/>
  <c r="EQ549" i="5"/>
  <c r="EP549" i="5"/>
  <c r="EO549" i="5"/>
  <c r="EN549" i="5"/>
  <c r="EM549" i="5"/>
  <c r="EL549" i="5"/>
  <c r="EK549" i="5"/>
  <c r="EJ549" i="5"/>
  <c r="EI549" i="5"/>
  <c r="EH549" i="5"/>
  <c r="EG549" i="5"/>
  <c r="EF549" i="5"/>
  <c r="EE549" i="5"/>
  <c r="ED549" i="5"/>
  <c r="EC549" i="5"/>
  <c r="EB549" i="5"/>
  <c r="EA549" i="5"/>
  <c r="DZ549" i="5"/>
  <c r="DY549" i="5"/>
  <c r="DX549" i="5"/>
  <c r="DW549" i="5"/>
  <c r="DV549" i="5"/>
  <c r="DU549" i="5"/>
  <c r="DT549" i="5"/>
  <c r="DS549" i="5"/>
  <c r="DR549" i="5"/>
  <c r="DQ549" i="5"/>
  <c r="DP549" i="5"/>
  <c r="DO549" i="5"/>
  <c r="DN549" i="5"/>
  <c r="DM549" i="5"/>
  <c r="DL549" i="5"/>
  <c r="DK549" i="5"/>
  <c r="DJ549" i="5"/>
  <c r="DI549" i="5"/>
  <c r="DH549" i="5"/>
  <c r="DG549" i="5"/>
  <c r="DF549" i="5"/>
  <c r="DE549" i="5"/>
  <c r="DD549" i="5"/>
  <c r="DC549" i="5"/>
  <c r="DB549" i="5"/>
  <c r="DA549" i="5"/>
  <c r="CZ549" i="5"/>
  <c r="CY549" i="5"/>
  <c r="CX549" i="5"/>
  <c r="CW549" i="5"/>
  <c r="CV549" i="5"/>
  <c r="CU549" i="5"/>
  <c r="CT549" i="5"/>
  <c r="CS549" i="5"/>
  <c r="CR549" i="5"/>
  <c r="CQ549" i="5"/>
  <c r="CP549" i="5"/>
  <c r="CO549" i="5"/>
  <c r="CN549" i="5"/>
  <c r="CM549" i="5"/>
  <c r="CL549" i="5"/>
  <c r="CK549" i="5"/>
  <c r="CJ549" i="5"/>
  <c r="CI549" i="5"/>
  <c r="CH549" i="5"/>
  <c r="CG549" i="5"/>
  <c r="CF549" i="5"/>
  <c r="CE549" i="5"/>
  <c r="CD549" i="5"/>
  <c r="LB548" i="5"/>
  <c r="LA548" i="5"/>
  <c r="JT548" i="5"/>
  <c r="JS548" i="5"/>
  <c r="JR548" i="5"/>
  <c r="JQ548" i="5"/>
  <c r="JP548" i="5"/>
  <c r="JO548" i="5"/>
  <c r="JN548" i="5"/>
  <c r="JM548" i="5"/>
  <c r="JL548" i="5"/>
  <c r="JK548" i="5"/>
  <c r="JJ548" i="5"/>
  <c r="JI548" i="5"/>
  <c r="JH548" i="5"/>
  <c r="JG548" i="5"/>
  <c r="JF548" i="5"/>
  <c r="JE548" i="5"/>
  <c r="JD548" i="5"/>
  <c r="JC548" i="5"/>
  <c r="JB548" i="5"/>
  <c r="JA548" i="5"/>
  <c r="IZ548" i="5"/>
  <c r="IY548" i="5"/>
  <c r="IX548" i="5"/>
  <c r="IW548" i="5"/>
  <c r="IV548" i="5"/>
  <c r="IV1165" i="5" s="1"/>
  <c r="IU548" i="5"/>
  <c r="IT548" i="5"/>
  <c r="IS548" i="5"/>
  <c r="IS1165" i="5" s="1"/>
  <c r="IR548" i="5"/>
  <c r="IR1165" i="5" s="1"/>
  <c r="IQ548" i="5"/>
  <c r="IQ1165" i="5" s="1"/>
  <c r="IP548" i="5"/>
  <c r="IP1165" i="5" s="1"/>
  <c r="IO548" i="5"/>
  <c r="IO1165" i="5" s="1"/>
  <c r="IN548" i="5"/>
  <c r="IN1165" i="5" s="1"/>
  <c r="IM548" i="5"/>
  <c r="IM1165" i="5" s="1"/>
  <c r="IL548" i="5"/>
  <c r="IL1165" i="5" s="1"/>
  <c r="IK548" i="5"/>
  <c r="IK1165" i="5" s="1"/>
  <c r="II548" i="5"/>
  <c r="II1165" i="5" s="1"/>
  <c r="IH548" i="5"/>
  <c r="IH1165" i="5" s="1"/>
  <c r="IF548" i="5"/>
  <c r="IE548" i="5"/>
  <c r="LB547" i="5"/>
  <c r="LB710" i="5" s="1"/>
  <c r="LA547" i="5"/>
  <c r="LA710" i="5" s="1"/>
  <c r="JT547" i="5"/>
  <c r="JQ547" i="5"/>
  <c r="JN547" i="5"/>
  <c r="JK547" i="5"/>
  <c r="JH547" i="5"/>
  <c r="JE547" i="5"/>
  <c r="JB547" i="5"/>
  <c r="IY547" i="5"/>
  <c r="IV547" i="5"/>
  <c r="IS547" i="5"/>
  <c r="IP547" i="5"/>
  <c r="IM547" i="5"/>
  <c r="IJ547" i="5"/>
  <c r="IG547" i="5"/>
  <c r="ID547" i="5"/>
  <c r="JT546" i="5"/>
  <c r="JS546" i="5"/>
  <c r="JR546" i="5"/>
  <c r="JQ546" i="5"/>
  <c r="JP546" i="5"/>
  <c r="JO546" i="5"/>
  <c r="JN546" i="5"/>
  <c r="JM546" i="5"/>
  <c r="JL546" i="5"/>
  <c r="JK546" i="5"/>
  <c r="JJ546" i="5"/>
  <c r="JI546" i="5"/>
  <c r="JH546" i="5"/>
  <c r="JG546" i="5"/>
  <c r="JF546" i="5"/>
  <c r="JE546" i="5"/>
  <c r="JD546" i="5"/>
  <c r="JC546" i="5"/>
  <c r="JB546" i="5"/>
  <c r="JA546" i="5"/>
  <c r="IZ546" i="5"/>
  <c r="IY546" i="5"/>
  <c r="IX546" i="5"/>
  <c r="IW546" i="5"/>
  <c r="IV546" i="5"/>
  <c r="IU546" i="5"/>
  <c r="IT546" i="5"/>
  <c r="IS546" i="5"/>
  <c r="IR546" i="5"/>
  <c r="IQ546" i="5"/>
  <c r="IP546" i="5"/>
  <c r="IO546" i="5"/>
  <c r="IN546" i="5"/>
  <c r="IM546" i="5"/>
  <c r="IL546" i="5"/>
  <c r="KZ710" i="5" s="1"/>
  <c r="IK546" i="5"/>
  <c r="KY710" i="5" s="1"/>
  <c r="IJ546" i="5"/>
  <c r="II546" i="5"/>
  <c r="IH546" i="5"/>
  <c r="IG546" i="5"/>
  <c r="IF546" i="5"/>
  <c r="IE546" i="5"/>
  <c r="IE710" i="5" s="1"/>
  <c r="ID546" i="5"/>
  <c r="FN482" i="5"/>
  <c r="FN481" i="5" s="1"/>
  <c r="FP481" i="5"/>
  <c r="FO481" i="5"/>
  <c r="FM481" i="5"/>
  <c r="FL481" i="5"/>
  <c r="FK481" i="5"/>
  <c r="FP449" i="5"/>
  <c r="FO449" i="5"/>
  <c r="FM449" i="5"/>
  <c r="FL449" i="5"/>
  <c r="FK449" i="5"/>
  <c r="IK322" i="5"/>
  <c r="IK319" i="5"/>
  <c r="IK318" i="5"/>
  <c r="IK317" i="5"/>
  <c r="IK316" i="5"/>
  <c r="IK315" i="5"/>
  <c r="IK314" i="5"/>
  <c r="IK313" i="5"/>
  <c r="IK312" i="5"/>
  <c r="IK303" i="5"/>
  <c r="IK302" i="5"/>
  <c r="IK301" i="5"/>
  <c r="IK296" i="5"/>
  <c r="IK295" i="5"/>
  <c r="IK294" i="5"/>
  <c r="IK293" i="5"/>
  <c r="IK292" i="5"/>
  <c r="IK287" i="5"/>
  <c r="II287" i="5"/>
  <c r="IH287" i="5"/>
  <c r="IK286" i="5"/>
  <c r="IK285" i="5"/>
  <c r="IK284" i="5"/>
  <c r="IK283" i="5"/>
  <c r="IK282" i="5"/>
  <c r="IK281" i="5"/>
  <c r="IK280" i="5"/>
  <c r="IK277" i="5"/>
  <c r="II277" i="5"/>
  <c r="IH277" i="5"/>
  <c r="IK276" i="5"/>
  <c r="II276" i="5"/>
  <c r="IH276" i="5"/>
  <c r="IK275" i="5"/>
  <c r="II275" i="5"/>
  <c r="IH275" i="5"/>
  <c r="IK274" i="5"/>
  <c r="II274" i="5"/>
  <c r="IH274" i="5"/>
  <c r="IK273" i="5"/>
  <c r="II273" i="5"/>
  <c r="IH273" i="5"/>
  <c r="IK272" i="5"/>
  <c r="II272" i="5"/>
  <c r="IH272" i="5"/>
  <c r="IK271" i="5"/>
  <c r="II271" i="5"/>
  <c r="IH271" i="5"/>
  <c r="IK270" i="5"/>
  <c r="II270" i="5"/>
  <c r="IH270" i="5"/>
  <c r="IK269" i="5"/>
  <c r="II269" i="5"/>
  <c r="IH269" i="5"/>
  <c r="IK268" i="5"/>
  <c r="II268" i="5"/>
  <c r="IH268" i="5"/>
  <c r="IK267" i="5"/>
  <c r="II267" i="5"/>
  <c r="IH267" i="5"/>
  <c r="IK266" i="5"/>
  <c r="II266" i="5"/>
  <c r="IH266" i="5"/>
  <c r="DB265" i="5"/>
  <c r="DA265" i="5"/>
  <c r="CZ265" i="5"/>
  <c r="CY265" i="5"/>
  <c r="CX265" i="5"/>
  <c r="CW265" i="5"/>
  <c r="CV265" i="5"/>
  <c r="CU265" i="5"/>
  <c r="CT265" i="5"/>
  <c r="CS265" i="5"/>
  <c r="CR265" i="5"/>
  <c r="CQ265" i="5"/>
  <c r="CP265" i="5"/>
  <c r="CO265" i="5"/>
  <c r="CN265" i="5"/>
  <c r="CM265" i="5"/>
  <c r="CL265" i="5"/>
  <c r="CK265" i="5"/>
  <c r="CJ265" i="5"/>
  <c r="CI265" i="5"/>
  <c r="CH265" i="5"/>
  <c r="CG265" i="5"/>
  <c r="CF265" i="5"/>
  <c r="CE265" i="5"/>
  <c r="CD265" i="5"/>
  <c r="CC265" i="5"/>
  <c r="CB265" i="5"/>
  <c r="CA265" i="5"/>
  <c r="BZ265" i="5"/>
  <c r="BY265" i="5"/>
  <c r="BX265" i="5"/>
  <c r="BW265" i="5"/>
  <c r="BV265" i="5"/>
  <c r="BU265" i="5"/>
  <c r="BT265" i="5"/>
  <c r="BS265" i="5"/>
  <c r="BR265" i="5"/>
  <c r="BQ265" i="5"/>
  <c r="BP265" i="5"/>
  <c r="BO265" i="5"/>
  <c r="BN265" i="5"/>
  <c r="BM265" i="5"/>
  <c r="BL265" i="5"/>
  <c r="BK265" i="5"/>
  <c r="BJ265" i="5"/>
  <c r="BI265" i="5"/>
  <c r="BH265" i="5"/>
  <c r="BG265" i="5"/>
  <c r="BF265" i="5"/>
  <c r="BE265" i="5"/>
  <c r="BD265" i="5"/>
  <c r="BC265" i="5"/>
  <c r="BB265" i="5"/>
  <c r="BA265" i="5"/>
  <c r="AZ265" i="5"/>
  <c r="AY265" i="5"/>
  <c r="AX265" i="5"/>
  <c r="AW265" i="5"/>
  <c r="AV265" i="5"/>
  <c r="AU265" i="5"/>
  <c r="AT265" i="5"/>
  <c r="AS265" i="5"/>
  <c r="AR265" i="5"/>
  <c r="AQ265" i="5"/>
  <c r="AP265" i="5"/>
  <c r="AO265" i="5"/>
  <c r="AN265" i="5"/>
  <c r="AM265" i="5"/>
  <c r="AL265" i="5"/>
  <c r="AK265" i="5"/>
  <c r="AJ265" i="5"/>
  <c r="AI265" i="5"/>
  <c r="AH265" i="5"/>
  <c r="AG265" i="5"/>
  <c r="AF265" i="5"/>
  <c r="AE265" i="5"/>
  <c r="AD265" i="5"/>
  <c r="AC265" i="5"/>
  <c r="AB265" i="5"/>
  <c r="AA265" i="5"/>
  <c r="Z265" i="5"/>
  <c r="Y265" i="5"/>
  <c r="X265" i="5"/>
  <c r="W265" i="5"/>
  <c r="V265" i="5"/>
  <c r="U265" i="5"/>
  <c r="T265" i="5"/>
  <c r="S265" i="5"/>
  <c r="R265" i="5"/>
  <c r="Q265" i="5"/>
  <c r="P265" i="5"/>
  <c r="O265" i="5"/>
  <c r="N265" i="5"/>
  <c r="M265" i="5"/>
  <c r="L265" i="5"/>
  <c r="K265" i="5"/>
  <c r="J265" i="5"/>
  <c r="I265" i="5"/>
  <c r="H265" i="5"/>
  <c r="G265" i="5"/>
  <c r="F265" i="5"/>
  <c r="E265" i="5"/>
  <c r="IK261" i="5"/>
  <c r="II261" i="5"/>
  <c r="IH261" i="5"/>
  <c r="IK260" i="5"/>
  <c r="II260" i="5"/>
  <c r="IH260" i="5"/>
  <c r="IK259" i="5"/>
  <c r="II259" i="5"/>
  <c r="IH259" i="5"/>
  <c r="IK258" i="5"/>
  <c r="II258" i="5"/>
  <c r="IH258" i="5"/>
  <c r="IK256" i="5"/>
  <c r="II256" i="5"/>
  <c r="IH256" i="5"/>
  <c r="IK255" i="5"/>
  <c r="II255" i="5"/>
  <c r="IH255" i="5"/>
  <c r="IK254" i="5"/>
  <c r="II254" i="5"/>
  <c r="IH254" i="5"/>
  <c r="IK253" i="5"/>
  <c r="II253" i="5"/>
  <c r="IH253" i="5"/>
  <c r="IK252" i="5"/>
  <c r="II252" i="5"/>
  <c r="IH252" i="5"/>
  <c r="IK251" i="5"/>
  <c r="II251" i="5"/>
  <c r="IH251" i="5"/>
  <c r="IK250" i="5"/>
  <c r="II250" i="5"/>
  <c r="IH250" i="5"/>
  <c r="IK249" i="5"/>
  <c r="II249" i="5"/>
  <c r="IH249" i="5"/>
  <c r="IK248" i="5"/>
  <c r="II248" i="5"/>
  <c r="IH248" i="5"/>
  <c r="IK247" i="5"/>
  <c r="II247" i="5"/>
  <c r="IH247" i="5"/>
  <c r="CO246" i="5"/>
  <c r="CO245" i="5" s="1"/>
  <c r="CN246" i="5"/>
  <c r="CN245" i="5" s="1"/>
  <c r="CM246" i="5"/>
  <c r="CM245" i="5" s="1"/>
  <c r="CL246" i="5"/>
  <c r="CL245" i="5" s="1"/>
  <c r="CK246" i="5"/>
  <c r="CK245" i="5" s="1"/>
  <c r="IK243" i="5"/>
  <c r="II243" i="5"/>
  <c r="IH243" i="5"/>
  <c r="DZ232" i="5"/>
  <c r="DY232" i="5"/>
  <c r="DX232" i="5"/>
  <c r="DW232" i="5"/>
  <c r="DV232" i="5"/>
  <c r="DU232" i="5"/>
  <c r="DT232" i="5"/>
  <c r="DS232" i="5"/>
  <c r="DR232" i="5"/>
  <c r="DQ232" i="5"/>
  <c r="DP232" i="5"/>
  <c r="DO232" i="5"/>
  <c r="DN232" i="5"/>
  <c r="DM232" i="5"/>
  <c r="DL232" i="5"/>
  <c r="DK232" i="5"/>
  <c r="DJ232" i="5"/>
  <c r="DI232" i="5"/>
  <c r="DH232" i="5"/>
  <c r="DG232" i="5"/>
  <c r="DF232" i="5"/>
  <c r="DE232" i="5"/>
  <c r="DD232" i="5"/>
  <c r="DC232" i="5"/>
  <c r="IK230" i="5"/>
  <c r="II230" i="5"/>
  <c r="IH230" i="5"/>
  <c r="II229" i="5"/>
  <c r="IH229" i="5"/>
  <c r="IK228" i="5"/>
  <c r="II228" i="5"/>
  <c r="IH228" i="5"/>
  <c r="IK227" i="5"/>
  <c r="II227" i="5"/>
  <c r="IH227" i="5"/>
  <c r="IK225" i="5"/>
  <c r="IK224" i="5"/>
  <c r="II224" i="5"/>
  <c r="IH224" i="5"/>
  <c r="IK223" i="5"/>
  <c r="II223" i="5"/>
  <c r="IH223" i="5"/>
  <c r="IK222" i="5"/>
  <c r="II222" i="5"/>
  <c r="IH222" i="5"/>
  <c r="IK221" i="5"/>
  <c r="II221" i="5"/>
  <c r="IH221" i="5"/>
  <c r="IK220" i="5"/>
  <c r="II220" i="5"/>
  <c r="IH220" i="5"/>
  <c r="IK219" i="5"/>
  <c r="II219" i="5"/>
  <c r="IH219" i="5"/>
  <c r="IL218" i="5"/>
  <c r="IL597" i="5" s="1"/>
  <c r="IK218" i="5"/>
  <c r="IK597" i="5" s="1"/>
  <c r="G48" i="7" s="1"/>
  <c r="II218" i="5"/>
  <c r="IH218" i="5"/>
  <c r="IK217" i="5"/>
  <c r="II217" i="5"/>
  <c r="IH217" i="5"/>
  <c r="IK216" i="5"/>
  <c r="II216" i="5"/>
  <c r="IH216" i="5"/>
  <c r="IK215" i="5"/>
  <c r="II215" i="5"/>
  <c r="IH215" i="5"/>
  <c r="IK214" i="5"/>
  <c r="II214" i="5"/>
  <c r="IH214" i="5"/>
  <c r="IK212" i="5"/>
  <c r="II212" i="5"/>
  <c r="IH212" i="5"/>
  <c r="IK211" i="5"/>
  <c r="II211" i="5"/>
  <c r="IH211" i="5"/>
  <c r="IK210" i="5"/>
  <c r="II210" i="5"/>
  <c r="IH210" i="5"/>
  <c r="IK209" i="5"/>
  <c r="II209" i="5"/>
  <c r="IH209" i="5"/>
  <c r="IK208" i="5"/>
  <c r="II208" i="5"/>
  <c r="IH208" i="5"/>
  <c r="IK207" i="5"/>
  <c r="II207" i="5"/>
  <c r="IH207" i="5"/>
  <c r="IK206" i="5"/>
  <c r="II206" i="5"/>
  <c r="IH206" i="5"/>
  <c r="IK205" i="5"/>
  <c r="II205" i="5"/>
  <c r="IH205" i="5"/>
  <c r="IK204" i="5"/>
  <c r="II204" i="5"/>
  <c r="IH204" i="5"/>
  <c r="IK203" i="5"/>
  <c r="II203" i="5"/>
  <c r="IH203" i="5"/>
  <c r="IK202" i="5"/>
  <c r="II202" i="5"/>
  <c r="IH202" i="5"/>
  <c r="IK201" i="5"/>
  <c r="II201" i="5"/>
  <c r="IH201" i="5"/>
  <c r="IK199" i="5"/>
  <c r="II199" i="5"/>
  <c r="IH199" i="5"/>
  <c r="II198" i="5"/>
  <c r="IH198" i="5"/>
  <c r="IK197" i="5"/>
  <c r="II197" i="5"/>
  <c r="IH197" i="5"/>
  <c r="IK196" i="5"/>
  <c r="II196" i="5"/>
  <c r="IH196" i="5"/>
  <c r="IK195" i="5"/>
  <c r="II195" i="5"/>
  <c r="IH195" i="5"/>
  <c r="IK194" i="5"/>
  <c r="II194" i="5"/>
  <c r="IH194" i="5"/>
  <c r="IK193" i="5"/>
  <c r="II193" i="5"/>
  <c r="IH193" i="5"/>
  <c r="IK192" i="5"/>
  <c r="II192" i="5"/>
  <c r="IH192" i="5"/>
  <c r="IK191" i="5"/>
  <c r="II191" i="5"/>
  <c r="IH191" i="5"/>
  <c r="IK190" i="5"/>
  <c r="II190" i="5"/>
  <c r="IH190" i="5"/>
  <c r="IK189" i="5"/>
  <c r="II189" i="5"/>
  <c r="IH189" i="5"/>
  <c r="IK188" i="5"/>
  <c r="II188" i="5"/>
  <c r="IH188" i="5"/>
  <c r="IK187" i="5"/>
  <c r="II187" i="5"/>
  <c r="IH187" i="5"/>
  <c r="IK181" i="5"/>
  <c r="II181" i="5"/>
  <c r="IH181" i="5"/>
  <c r="IK180" i="5"/>
  <c r="II180" i="5"/>
  <c r="IH180" i="5"/>
  <c r="IK179" i="5"/>
  <c r="II179" i="5"/>
  <c r="IH179" i="5"/>
  <c r="IK174" i="5"/>
  <c r="II174" i="5"/>
  <c r="IH174" i="5"/>
  <c r="IK168" i="5"/>
  <c r="II168" i="5"/>
  <c r="IH168" i="5"/>
  <c r="IK164" i="5"/>
  <c r="II164" i="5"/>
  <c r="IH164" i="5"/>
  <c r="IK162" i="5"/>
  <c r="II162" i="5"/>
  <c r="IH162" i="5"/>
  <c r="IK161" i="5"/>
  <c r="II161" i="5"/>
  <c r="IH161" i="5"/>
  <c r="IK158" i="5"/>
  <c r="II158" i="5"/>
  <c r="IH158" i="5"/>
  <c r="IK157" i="5"/>
  <c r="II157" i="5"/>
  <c r="IH157" i="5"/>
  <c r="IK155" i="5"/>
  <c r="II155" i="5"/>
  <c r="IH155" i="5"/>
  <c r="IK154" i="5"/>
  <c r="II154" i="5"/>
  <c r="IH154" i="5"/>
  <c r="IK153" i="5"/>
  <c r="II153" i="5"/>
  <c r="IH153" i="5"/>
  <c r="IK145" i="5"/>
  <c r="II145" i="5"/>
  <c r="IH145" i="5"/>
  <c r="IK144" i="5"/>
  <c r="II144" i="5"/>
  <c r="IH144" i="5"/>
  <c r="IK143" i="5"/>
  <c r="II143" i="5"/>
  <c r="IH143" i="5"/>
  <c r="IK124" i="5"/>
  <c r="II124" i="5"/>
  <c r="IH124" i="5"/>
  <c r="IK123" i="5"/>
  <c r="II123" i="5"/>
  <c r="IH123" i="5"/>
  <c r="IK122" i="5"/>
  <c r="II122" i="5"/>
  <c r="IH122" i="5"/>
  <c r="IK121" i="5"/>
  <c r="II121" i="5"/>
  <c r="IH121" i="5"/>
  <c r="IK120" i="5"/>
  <c r="II120" i="5"/>
  <c r="IH120" i="5"/>
  <c r="IK119" i="5"/>
  <c r="II119" i="5"/>
  <c r="IH119" i="5"/>
  <c r="IK136" i="5"/>
  <c r="II136" i="5"/>
  <c r="IH136" i="5"/>
  <c r="IK133" i="5"/>
  <c r="II133" i="5"/>
  <c r="IH133" i="5"/>
  <c r="IK117" i="5"/>
  <c r="II117" i="5"/>
  <c r="IH117" i="5"/>
  <c r="IK116" i="5"/>
  <c r="II116" i="5"/>
  <c r="IH116" i="5"/>
  <c r="IK115" i="5"/>
  <c r="II115" i="5"/>
  <c r="IH115" i="5"/>
  <c r="IK114" i="5"/>
  <c r="II114" i="5"/>
  <c r="IH114" i="5"/>
  <c r="IK113" i="5"/>
  <c r="II113" i="5"/>
  <c r="IH113" i="5"/>
  <c r="IK112" i="5"/>
  <c r="II112" i="5"/>
  <c r="IH112" i="5"/>
  <c r="IK111" i="5"/>
  <c r="II111" i="5"/>
  <c r="IH111" i="5"/>
  <c r="IK110" i="5"/>
  <c r="II110" i="5"/>
  <c r="IH110" i="5"/>
  <c r="IK109" i="5"/>
  <c r="II109" i="5"/>
  <c r="IH109" i="5"/>
  <c r="IK108" i="5"/>
  <c r="II108" i="5"/>
  <c r="IH108" i="5"/>
  <c r="IK107" i="5"/>
  <c r="II107" i="5"/>
  <c r="IH107" i="5"/>
  <c r="IK106" i="5"/>
  <c r="II106" i="5"/>
  <c r="IH106" i="5"/>
  <c r="IK105" i="5"/>
  <c r="II105" i="5"/>
  <c r="IH105" i="5"/>
  <c r="IK104" i="5"/>
  <c r="II104" i="5"/>
  <c r="IH104" i="5"/>
  <c r="IK103" i="5"/>
  <c r="II103" i="5"/>
  <c r="IH103" i="5"/>
  <c r="IK102" i="5"/>
  <c r="II102" i="5"/>
  <c r="IH102" i="5"/>
  <c r="IK101" i="5"/>
  <c r="II101" i="5"/>
  <c r="IH101" i="5"/>
  <c r="IK100" i="5"/>
  <c r="II100" i="5"/>
  <c r="IH100" i="5"/>
  <c r="IK99" i="5"/>
  <c r="II99" i="5"/>
  <c r="IH99" i="5"/>
  <c r="IK98" i="5"/>
  <c r="II98" i="5"/>
  <c r="IH98" i="5"/>
  <c r="IK97" i="5"/>
  <c r="II97" i="5"/>
  <c r="IH97" i="5"/>
  <c r="IK96" i="5"/>
  <c r="II96" i="5"/>
  <c r="IH96" i="5"/>
  <c r="II95" i="5"/>
  <c r="IH95" i="5"/>
  <c r="IK94" i="5"/>
  <c r="II94" i="5"/>
  <c r="IH94" i="5"/>
  <c r="IK93" i="5"/>
  <c r="II93" i="5"/>
  <c r="IH93" i="5"/>
  <c r="IK92" i="5"/>
  <c r="IK91" i="5"/>
  <c r="IK90" i="5"/>
  <c r="IK89" i="5"/>
  <c r="IK88" i="5"/>
  <c r="IK87" i="5"/>
  <c r="IK86" i="5"/>
  <c r="IK85" i="5"/>
  <c r="IK84" i="5"/>
  <c r="IK83" i="5"/>
  <c r="IK82" i="5"/>
  <c r="IK81" i="5"/>
  <c r="IK76" i="5"/>
  <c r="II76" i="5"/>
  <c r="IH76" i="5"/>
  <c r="IK75" i="5"/>
  <c r="II75" i="5"/>
  <c r="IH75" i="5"/>
  <c r="IK74" i="5"/>
  <c r="II74" i="5"/>
  <c r="IH74" i="5"/>
  <c r="IK73" i="5"/>
  <c r="II73" i="5"/>
  <c r="IH73" i="5"/>
  <c r="IK72" i="5"/>
  <c r="II72" i="5"/>
  <c r="IH72" i="5"/>
  <c r="IK71" i="5"/>
  <c r="II71" i="5"/>
  <c r="IH71" i="5"/>
  <c r="D71" i="5"/>
  <c r="IK70" i="5"/>
  <c r="II70" i="5"/>
  <c r="IH70" i="5"/>
  <c r="D70" i="5"/>
  <c r="IK69" i="5"/>
  <c r="II69" i="5"/>
  <c r="IH69" i="5"/>
  <c r="D69" i="5"/>
  <c r="IK68" i="5"/>
  <c r="II68" i="5"/>
  <c r="IH68" i="5"/>
  <c r="D68" i="5"/>
  <c r="IK67" i="5"/>
  <c r="II67" i="5"/>
  <c r="IH67" i="5"/>
  <c r="D67" i="5"/>
  <c r="IK66" i="5"/>
  <c r="II66" i="5"/>
  <c r="IH66" i="5"/>
  <c r="D66" i="5"/>
  <c r="IK65" i="5"/>
  <c r="II65" i="5"/>
  <c r="IH65" i="5"/>
  <c r="D65" i="5"/>
  <c r="IK64" i="5"/>
  <c r="II64" i="5"/>
  <c r="IH64" i="5"/>
  <c r="D64" i="5"/>
  <c r="IK63" i="5"/>
  <c r="II63" i="5"/>
  <c r="IH63" i="5"/>
  <c r="D63" i="5"/>
  <c r="IK62" i="5"/>
  <c r="II62" i="5"/>
  <c r="IH62" i="5"/>
  <c r="D62" i="5"/>
  <c r="IK61" i="5"/>
  <c r="II61" i="5"/>
  <c r="IH61" i="5"/>
  <c r="D61" i="5"/>
  <c r="IK60" i="5"/>
  <c r="II60" i="5"/>
  <c r="IH60" i="5"/>
  <c r="D60" i="5"/>
  <c r="IK59" i="5"/>
  <c r="II59" i="5"/>
  <c r="IH59" i="5"/>
  <c r="D59" i="5"/>
  <c r="IK58" i="5"/>
  <c r="II58" i="5"/>
  <c r="IH58" i="5"/>
  <c r="D58" i="5"/>
  <c r="IK57" i="5"/>
  <c r="II57" i="5"/>
  <c r="IH57" i="5"/>
  <c r="D57" i="5"/>
  <c r="IK56" i="5"/>
  <c r="II56" i="5"/>
  <c r="IH56" i="5"/>
  <c r="D56" i="5"/>
  <c r="IK55" i="5"/>
  <c r="II55" i="5"/>
  <c r="IH55" i="5"/>
  <c r="IK54" i="5"/>
  <c r="II54" i="5"/>
  <c r="IH54" i="5"/>
  <c r="IK53" i="5"/>
  <c r="II53" i="5"/>
  <c r="IH53" i="5"/>
  <c r="IK52" i="5"/>
  <c r="II52" i="5"/>
  <c r="IH52" i="5"/>
  <c r="IK51" i="5"/>
  <c r="II51" i="5"/>
  <c r="IH51" i="5"/>
  <c r="IK50" i="5"/>
  <c r="II50" i="5"/>
  <c r="IH50" i="5"/>
  <c r="IK49" i="5"/>
  <c r="II49" i="5"/>
  <c r="IH49" i="5"/>
  <c r="IK48" i="5"/>
  <c r="II48" i="5"/>
  <c r="IH48" i="5"/>
  <c r="IK47" i="5"/>
  <c r="II47" i="5"/>
  <c r="IH47" i="5"/>
  <c r="IK46" i="5"/>
  <c r="II46" i="5"/>
  <c r="IH46" i="5"/>
  <c r="IK45" i="5"/>
  <c r="II45" i="5"/>
  <c r="IH45" i="5"/>
  <c r="IK44" i="5"/>
  <c r="II44" i="5"/>
  <c r="IH44" i="5"/>
  <c r="IK43" i="5"/>
  <c r="II43" i="5"/>
  <c r="IH43" i="5"/>
  <c r="IK42" i="5"/>
  <c r="II42" i="5"/>
  <c r="IH42" i="5"/>
  <c r="IK41" i="5"/>
  <c r="II41" i="5"/>
  <c r="IH41" i="5"/>
  <c r="IK40" i="5"/>
  <c r="II40" i="5"/>
  <c r="IH40" i="5"/>
  <c r="IK39" i="5"/>
  <c r="II39" i="5"/>
  <c r="IH39" i="5"/>
  <c r="IK38" i="5"/>
  <c r="II38" i="5"/>
  <c r="IH38" i="5"/>
  <c r="IK33" i="5"/>
  <c r="II33" i="5"/>
  <c r="IH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IK28" i="5"/>
  <c r="II28" i="5"/>
  <c r="IH28" i="5"/>
  <c r="IK27" i="5"/>
  <c r="II27" i="5"/>
  <c r="IH27" i="5"/>
  <c r="IK26" i="5"/>
  <c r="II26" i="5"/>
  <c r="IH26" i="5"/>
  <c r="IK24" i="5"/>
  <c r="II24" i="5"/>
  <c r="IH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IK20" i="5"/>
  <c r="II20" i="5"/>
  <c r="IH20" i="5"/>
  <c r="IK19" i="5"/>
  <c r="II19" i="5"/>
  <c r="IH19" i="5"/>
  <c r="IK18" i="5"/>
  <c r="II18" i="5"/>
  <c r="IH18" i="5"/>
  <c r="IK17" i="5"/>
  <c r="II17" i="5"/>
  <c r="IH17" i="5"/>
  <c r="IK16" i="5"/>
  <c r="II16" i="5"/>
  <c r="IH16" i="5"/>
  <c r="IK15" i="5"/>
  <c r="II15" i="5"/>
  <c r="IH15" i="5"/>
  <c r="IK14" i="5"/>
  <c r="II14" i="5"/>
  <c r="IH14" i="5"/>
  <c r="IK13" i="5"/>
  <c r="II13" i="5"/>
  <c r="IH13" i="5"/>
  <c r="IK11" i="5"/>
  <c r="II11" i="5"/>
  <c r="IH11" i="5"/>
  <c r="IK10" i="5"/>
  <c r="II10" i="5"/>
  <c r="IH10" i="5"/>
  <c r="IK9" i="5"/>
  <c r="II9" i="5"/>
  <c r="IH9" i="5"/>
  <c r="IK8" i="5"/>
  <c r="II8" i="5"/>
  <c r="IH8" i="5"/>
  <c r="IK7" i="5"/>
  <c r="II7" i="5"/>
  <c r="IH7" i="5"/>
  <c r="IK6" i="5"/>
  <c r="II6" i="5"/>
  <c r="IH6" i="5"/>
  <c r="AE1886" i="2"/>
  <c r="AK1884" i="2"/>
  <c r="AJ1884" i="2"/>
  <c r="AE1884" i="2"/>
  <c r="AF1867" i="2"/>
  <c r="AD1867" i="2"/>
  <c r="AB1867" i="2"/>
  <c r="AF1866" i="2"/>
  <c r="AD1866" i="2"/>
  <c r="AB1866" i="2"/>
  <c r="AF1863" i="2"/>
  <c r="AD1863" i="2"/>
  <c r="AB1863" i="2"/>
  <c r="AF1862" i="2"/>
  <c r="AD1862" i="2"/>
  <c r="AB1862" i="2"/>
  <c r="AF1861" i="2"/>
  <c r="AD1861" i="2"/>
  <c r="AB1861" i="2"/>
  <c r="D1858" i="2"/>
  <c r="D1857" i="2"/>
  <c r="AF1856" i="2"/>
  <c r="AD1856" i="2"/>
  <c r="AB1856" i="2"/>
  <c r="Z1856" i="2"/>
  <c r="D1856" i="2"/>
  <c r="D1855" i="2"/>
  <c r="D1854" i="2"/>
  <c r="D1853" i="2"/>
  <c r="AF1851" i="2"/>
  <c r="AD1851" i="2"/>
  <c r="AB1851" i="2"/>
  <c r="Z1851" i="2"/>
  <c r="D1851" i="2"/>
  <c r="D1850" i="2"/>
  <c r="D1849" i="2"/>
  <c r="D1848" i="2"/>
  <c r="D1847" i="2"/>
  <c r="D1846" i="2"/>
  <c r="D1845" i="2"/>
  <c r="AF1844" i="2"/>
  <c r="AD1844" i="2"/>
  <c r="AB1844" i="2"/>
  <c r="Z1844" i="2"/>
  <c r="D1844" i="2"/>
  <c r="D1843" i="2"/>
  <c r="D1842" i="2"/>
  <c r="AF1841" i="2"/>
  <c r="AD1841" i="2"/>
  <c r="AB1841" i="2"/>
  <c r="Z1841" i="2"/>
  <c r="D1841" i="2"/>
  <c r="D1840" i="2"/>
  <c r="D1839" i="2"/>
  <c r="AF1838" i="2"/>
  <c r="AD1838" i="2"/>
  <c r="AB1838" i="2"/>
  <c r="Z1838" i="2"/>
  <c r="D1838" i="2"/>
  <c r="D1837" i="2"/>
  <c r="AI1836" i="2"/>
  <c r="AH1836" i="2" s="1"/>
  <c r="AG1836" i="2"/>
  <c r="AF1836" i="2" s="1"/>
  <c r="AE1836" i="2"/>
  <c r="AD1836" i="2"/>
  <c r="AC1836" i="2"/>
  <c r="AB1836" i="2"/>
  <c r="AA1836" i="2"/>
  <c r="Z1836" i="2"/>
  <c r="Y1836" i="2"/>
  <c r="X1836" i="2"/>
  <c r="AI1834" i="2"/>
  <c r="AG1834" i="2"/>
  <c r="AB1834" i="2"/>
  <c r="D1827" i="2"/>
  <c r="AA1826" i="2"/>
  <c r="D1826" i="2"/>
  <c r="AA1821" i="2"/>
  <c r="AA1820" i="2"/>
  <c r="Z1819" i="2"/>
  <c r="D1815" i="2"/>
  <c r="D1814" i="2"/>
  <c r="D1813" i="2"/>
  <c r="D1812" i="2"/>
  <c r="D1811" i="2"/>
  <c r="AA1804" i="2"/>
  <c r="AA1827" i="2" s="1"/>
  <c r="Z1804" i="2"/>
  <c r="Y1804" i="2"/>
  <c r="DB1197" i="5" s="1"/>
  <c r="IG1197" i="5" s="1"/>
  <c r="X1804" i="2"/>
  <c r="D1802" i="2"/>
  <c r="D1798" i="2"/>
  <c r="D1825" i="2" s="1"/>
  <c r="D1794" i="2"/>
  <c r="D1790" i="2"/>
  <c r="D1824" i="2" s="1"/>
  <c r="D1785" i="2"/>
  <c r="D1784" i="2"/>
  <c r="D1783" i="2"/>
  <c r="D1782" i="2"/>
  <c r="D1791" i="2" s="1"/>
  <c r="AA1781" i="2"/>
  <c r="DI1174" i="5" s="1"/>
  <c r="Z1781" i="2"/>
  <c r="DH1174" i="5" s="1"/>
  <c r="Y1781" i="2"/>
  <c r="Y1780" i="2" s="1"/>
  <c r="X1781" i="2"/>
  <c r="X1780" i="2" s="1"/>
  <c r="D1781" i="2"/>
  <c r="D1780" i="2"/>
  <c r="D1823" i="2" s="1"/>
  <c r="AA1778" i="2"/>
  <c r="Z1778" i="2"/>
  <c r="Y1778" i="2"/>
  <c r="X1778" i="2"/>
  <c r="D1778" i="2"/>
  <c r="D1777" i="2"/>
  <c r="D1776" i="2"/>
  <c r="D1775" i="2"/>
  <c r="D1822" i="2" s="1"/>
  <c r="AE1773" i="2"/>
  <c r="AE1770" i="2" s="1"/>
  <c r="AD1773" i="2"/>
  <c r="AD1770" i="2" s="1"/>
  <c r="AC1773" i="2"/>
  <c r="AC1770" i="2" s="1"/>
  <c r="AB1773" i="2"/>
  <c r="AB1770" i="2" s="1"/>
  <c r="AA1773" i="2"/>
  <c r="AA1770" i="2" s="1"/>
  <c r="Z1773" i="2"/>
  <c r="Z1770" i="2" s="1"/>
  <c r="Y1773" i="2"/>
  <c r="Y1770" i="2" s="1"/>
  <c r="X1773" i="2"/>
  <c r="X1770" i="2" s="1"/>
  <c r="D1773" i="2"/>
  <c r="AM1766" i="2"/>
  <c r="AL1766" i="2"/>
  <c r="AK1766" i="2"/>
  <c r="AJ1766" i="2"/>
  <c r="AI1766" i="2"/>
  <c r="AH1766" i="2"/>
  <c r="AG1766" i="2"/>
  <c r="AF1766" i="2"/>
  <c r="AE1766" i="2"/>
  <c r="AD1766" i="2"/>
  <c r="AC1766" i="2"/>
  <c r="AA1766" i="2"/>
  <c r="AM1765" i="2"/>
  <c r="AL1765" i="2"/>
  <c r="AK1765" i="2"/>
  <c r="AJ1765" i="2"/>
  <c r="AI1765" i="2"/>
  <c r="AH1765" i="2"/>
  <c r="AG1765" i="2"/>
  <c r="AF1765" i="2"/>
  <c r="AD1765" i="2"/>
  <c r="AC1765" i="2"/>
  <c r="AB1765" i="2"/>
  <c r="AA1765" i="2"/>
  <c r="Z1765" i="2"/>
  <c r="AA1764" i="2"/>
  <c r="Z1764" i="2"/>
  <c r="Y1764" i="2"/>
  <c r="AF1763" i="2"/>
  <c r="AM1757" i="2"/>
  <c r="AL1757" i="2"/>
  <c r="AK1757" i="2"/>
  <c r="AJ1757" i="2"/>
  <c r="AI1757" i="2"/>
  <c r="AH1757" i="2"/>
  <c r="AG1757" i="2"/>
  <c r="AF1757" i="2"/>
  <c r="AE1757" i="2"/>
  <c r="AD1757" i="2"/>
  <c r="AC1757" i="2"/>
  <c r="AA1757" i="2"/>
  <c r="D1757" i="2"/>
  <c r="AM1756" i="2"/>
  <c r="AL1756" i="2"/>
  <c r="AK1756" i="2"/>
  <c r="AJ1756" i="2"/>
  <c r="AI1756" i="2"/>
  <c r="AH1756" i="2"/>
  <c r="AG1756" i="2"/>
  <c r="AF1756" i="2"/>
  <c r="AD1756" i="2"/>
  <c r="AC1756" i="2"/>
  <c r="AB1756" i="2"/>
  <c r="AA1756" i="2"/>
  <c r="Z1756" i="2"/>
  <c r="D1756" i="2"/>
  <c r="AA1755" i="2"/>
  <c r="Z1755" i="2"/>
  <c r="Y1755" i="2"/>
  <c r="AL1741" i="2"/>
  <c r="AK1741" i="2"/>
  <c r="AE1741" i="2"/>
  <c r="AD1741" i="2"/>
  <c r="AC1741" i="2"/>
  <c r="AB1741" i="2"/>
  <c r="AA1741" i="2"/>
  <c r="Z1741" i="2"/>
  <c r="Y1741" i="2"/>
  <c r="X1741" i="2"/>
  <c r="W1741" i="2"/>
  <c r="V1741" i="2"/>
  <c r="U1741" i="2"/>
  <c r="T1741" i="2"/>
  <c r="S1741" i="2"/>
  <c r="R1741" i="2"/>
  <c r="Q1741" i="2"/>
  <c r="P1741" i="2"/>
  <c r="O1741" i="2"/>
  <c r="N1741" i="2"/>
  <c r="M1741" i="2"/>
  <c r="L1741" i="2"/>
  <c r="K1741" i="2"/>
  <c r="J1741" i="2"/>
  <c r="I1741" i="2"/>
  <c r="H1741" i="2"/>
  <c r="G1741" i="2"/>
  <c r="F1741" i="2"/>
  <c r="AE1739" i="2"/>
  <c r="AD1738" i="2"/>
  <c r="AC1738" i="2"/>
  <c r="AB1738" i="2"/>
  <c r="AA1738" i="2"/>
  <c r="Z1738" i="2"/>
  <c r="Y1738" i="2"/>
  <c r="X1738" i="2"/>
  <c r="W1738" i="2"/>
  <c r="V1738" i="2"/>
  <c r="U1738" i="2"/>
  <c r="T1738" i="2"/>
  <c r="S1738" i="2"/>
  <c r="R1738" i="2"/>
  <c r="Q1738" i="2"/>
  <c r="P1738" i="2"/>
  <c r="O1738" i="2"/>
  <c r="N1738" i="2"/>
  <c r="M1738" i="2"/>
  <c r="L1738" i="2"/>
  <c r="K1738" i="2"/>
  <c r="J1738" i="2"/>
  <c r="I1738" i="2"/>
  <c r="H1738" i="2"/>
  <c r="G1738" i="2"/>
  <c r="F1738" i="2"/>
  <c r="AE1737" i="2"/>
  <c r="AD1737" i="2"/>
  <c r="AC1737" i="2"/>
  <c r="AB1737" i="2"/>
  <c r="AA1737" i="2"/>
  <c r="Z1737" i="2"/>
  <c r="Y1737" i="2"/>
  <c r="X1737" i="2"/>
  <c r="W1737" i="2"/>
  <c r="V1737" i="2"/>
  <c r="U1737" i="2"/>
  <c r="T1737" i="2"/>
  <c r="S1737" i="2"/>
  <c r="R1737" i="2"/>
  <c r="Q1737" i="2"/>
  <c r="P1737" i="2"/>
  <c r="O1737" i="2"/>
  <c r="N1737" i="2"/>
  <c r="M1737" i="2"/>
  <c r="L1737" i="2"/>
  <c r="K1737" i="2"/>
  <c r="J1737" i="2"/>
  <c r="I1737" i="2"/>
  <c r="H1737" i="2"/>
  <c r="G1737" i="2"/>
  <c r="F1737" i="2"/>
  <c r="AD1734" i="2"/>
  <c r="AC1734" i="2"/>
  <c r="AB1734" i="2"/>
  <c r="AA1734" i="2"/>
  <c r="Z1734" i="2"/>
  <c r="Y1734" i="2"/>
  <c r="X1734" i="2"/>
  <c r="W1734" i="2"/>
  <c r="V1734" i="2"/>
  <c r="U1734" i="2"/>
  <c r="T1734" i="2"/>
  <c r="S1734" i="2"/>
  <c r="R1734" i="2"/>
  <c r="Q1734" i="2"/>
  <c r="P1734" i="2"/>
  <c r="O1734" i="2"/>
  <c r="N1734" i="2"/>
  <c r="M1734" i="2"/>
  <c r="L1734" i="2"/>
  <c r="K1734" i="2"/>
  <c r="J1734" i="2"/>
  <c r="I1734" i="2"/>
  <c r="H1734" i="2"/>
  <c r="G1734" i="2"/>
  <c r="F1734" i="2"/>
  <c r="AL1733" i="2"/>
  <c r="AK1733" i="2"/>
  <c r="AJ1733" i="2"/>
  <c r="AE1733" i="2"/>
  <c r="AD1733" i="2"/>
  <c r="AC1733" i="2"/>
  <c r="AB1733" i="2"/>
  <c r="AA1733" i="2"/>
  <c r="Z1733" i="2"/>
  <c r="Y1733" i="2"/>
  <c r="X1733" i="2"/>
  <c r="W1733" i="2"/>
  <c r="V1733" i="2"/>
  <c r="U1733" i="2"/>
  <c r="T1733" i="2"/>
  <c r="S1733" i="2"/>
  <c r="R1733" i="2"/>
  <c r="Q1733" i="2"/>
  <c r="P1733" i="2"/>
  <c r="O1733" i="2"/>
  <c r="N1733" i="2"/>
  <c r="M1733" i="2"/>
  <c r="L1733" i="2"/>
  <c r="K1733" i="2"/>
  <c r="J1733" i="2"/>
  <c r="I1733" i="2"/>
  <c r="H1733" i="2"/>
  <c r="G1733" i="2"/>
  <c r="F1733" i="2"/>
  <c r="D1732" i="2"/>
  <c r="D1740" i="2" s="1"/>
  <c r="D1731" i="2"/>
  <c r="D1739" i="2" s="1"/>
  <c r="AD1730" i="2"/>
  <c r="AC1730" i="2"/>
  <c r="AB1730" i="2"/>
  <c r="AA1730" i="2"/>
  <c r="Z1730" i="2"/>
  <c r="Y1730" i="2"/>
  <c r="X1730" i="2"/>
  <c r="W1730" i="2"/>
  <c r="V1730" i="2"/>
  <c r="U1730" i="2"/>
  <c r="T1730" i="2"/>
  <c r="S1730" i="2"/>
  <c r="R1730" i="2"/>
  <c r="Q1730" i="2"/>
  <c r="P1730" i="2"/>
  <c r="O1730" i="2"/>
  <c r="N1730" i="2"/>
  <c r="M1730" i="2"/>
  <c r="L1730" i="2"/>
  <c r="K1730" i="2"/>
  <c r="J1730" i="2"/>
  <c r="I1730" i="2"/>
  <c r="H1730" i="2"/>
  <c r="G1730" i="2"/>
  <c r="F1730" i="2"/>
  <c r="U1725" i="2"/>
  <c r="T1725" i="2"/>
  <c r="S1725" i="2"/>
  <c r="R1725" i="2"/>
  <c r="Q1725" i="2"/>
  <c r="P1725" i="2"/>
  <c r="O1725" i="2"/>
  <c r="N1725" i="2"/>
  <c r="M1725" i="2"/>
  <c r="L1725" i="2"/>
  <c r="K1725" i="2"/>
  <c r="J1725" i="2"/>
  <c r="I1725" i="2"/>
  <c r="H1725" i="2"/>
  <c r="G1725" i="2"/>
  <c r="F1725" i="2"/>
  <c r="D1724" i="2"/>
  <c r="D1736" i="2" s="1"/>
  <c r="D1723" i="2"/>
  <c r="D1735" i="2" s="1"/>
  <c r="AD1722" i="2"/>
  <c r="AC1722" i="2"/>
  <c r="AB1722" i="2"/>
  <c r="AA1722" i="2"/>
  <c r="Z1722" i="2"/>
  <c r="Y1722" i="2"/>
  <c r="X1722" i="2"/>
  <c r="W1722" i="2"/>
  <c r="V1722" i="2"/>
  <c r="U1722" i="2"/>
  <c r="T1722" i="2"/>
  <c r="S1722" i="2"/>
  <c r="R1722" i="2"/>
  <c r="Q1722" i="2"/>
  <c r="P1722" i="2"/>
  <c r="O1722" i="2"/>
  <c r="N1722" i="2"/>
  <c r="M1722" i="2"/>
  <c r="L1722" i="2"/>
  <c r="K1722" i="2"/>
  <c r="J1722" i="2"/>
  <c r="I1722" i="2"/>
  <c r="H1722" i="2"/>
  <c r="G1722" i="2"/>
  <c r="F1722" i="2"/>
  <c r="AD1726" i="2"/>
  <c r="AC1726" i="2"/>
  <c r="AB1726" i="2"/>
  <c r="AA1726" i="2"/>
  <c r="Z1726" i="2"/>
  <c r="Y1726" i="2"/>
  <c r="X1726" i="2"/>
  <c r="W1726" i="2"/>
  <c r="V1726" i="2"/>
  <c r="U1726" i="2"/>
  <c r="T1726" i="2"/>
  <c r="S1726" i="2"/>
  <c r="R1726" i="2"/>
  <c r="Q1726" i="2"/>
  <c r="P1726" i="2"/>
  <c r="O1726" i="2"/>
  <c r="N1726" i="2"/>
  <c r="M1726" i="2"/>
  <c r="L1726" i="2"/>
  <c r="K1726" i="2"/>
  <c r="J1726" i="2"/>
  <c r="I1726" i="2"/>
  <c r="H1726" i="2"/>
  <c r="G1726" i="2"/>
  <c r="F1726" i="2"/>
  <c r="U1749" i="2"/>
  <c r="T1749" i="2"/>
  <c r="S1749" i="2"/>
  <c r="R1749" i="2"/>
  <c r="Q1749" i="2"/>
  <c r="P1749" i="2"/>
  <c r="O1749" i="2"/>
  <c r="N1749" i="2"/>
  <c r="M1749" i="2"/>
  <c r="L1749" i="2"/>
  <c r="K1749" i="2"/>
  <c r="J1749" i="2"/>
  <c r="I1749" i="2"/>
  <c r="H1749" i="2"/>
  <c r="G1749" i="2"/>
  <c r="F1749" i="2"/>
  <c r="AD1746" i="2"/>
  <c r="AC1746" i="2"/>
  <c r="AB1746" i="2"/>
  <c r="AA1746" i="2"/>
  <c r="Z1746" i="2"/>
  <c r="Y1746" i="2"/>
  <c r="X1746" i="2"/>
  <c r="W1746" i="2"/>
  <c r="V1746" i="2"/>
  <c r="U1746" i="2"/>
  <c r="T1746" i="2"/>
  <c r="S1746" i="2"/>
  <c r="R1746" i="2"/>
  <c r="Q1746" i="2"/>
  <c r="P1746" i="2"/>
  <c r="O1746" i="2"/>
  <c r="N1746" i="2"/>
  <c r="M1746" i="2"/>
  <c r="L1746" i="2"/>
  <c r="K1746" i="2"/>
  <c r="J1746" i="2"/>
  <c r="I1746" i="2"/>
  <c r="H1746" i="2"/>
  <c r="G1746" i="2"/>
  <c r="F1746" i="2"/>
  <c r="AD1742" i="2"/>
  <c r="AC1742" i="2"/>
  <c r="AB1742" i="2"/>
  <c r="AA1742" i="2"/>
  <c r="Z1742" i="2"/>
  <c r="Y1742" i="2"/>
  <c r="X1742" i="2"/>
  <c r="W1742" i="2"/>
  <c r="V1742" i="2"/>
  <c r="U1742" i="2"/>
  <c r="T1742" i="2"/>
  <c r="S1742" i="2"/>
  <c r="R1742" i="2"/>
  <c r="Q1742" i="2"/>
  <c r="P1742" i="2"/>
  <c r="O1742" i="2"/>
  <c r="N1742" i="2"/>
  <c r="M1742" i="2"/>
  <c r="L1742" i="2"/>
  <c r="K1742" i="2"/>
  <c r="J1742" i="2"/>
  <c r="I1742" i="2"/>
  <c r="H1742" i="2"/>
  <c r="G1742" i="2"/>
  <c r="F1742" i="2"/>
  <c r="AM1709" i="2"/>
  <c r="AL1709" i="2"/>
  <c r="AK1709" i="2"/>
  <c r="AJ1709" i="2"/>
  <c r="AI1709" i="2"/>
  <c r="AH1709" i="2"/>
  <c r="AG1709" i="2"/>
  <c r="AF1709" i="2"/>
  <c r="AE1709" i="2"/>
  <c r="AD1709" i="2"/>
  <c r="AC1709" i="2"/>
  <c r="AB1709" i="2"/>
  <c r="AA1709" i="2"/>
  <c r="Z1709" i="2"/>
  <c r="Y1709" i="2"/>
  <c r="AE1704" i="2"/>
  <c r="AC1704" i="2"/>
  <c r="Z1704" i="2"/>
  <c r="Y1704" i="2"/>
  <c r="X1704" i="2"/>
  <c r="W1704" i="2"/>
  <c r="AA1703" i="2"/>
  <c r="Z1703" i="2"/>
  <c r="Y1703" i="2"/>
  <c r="X1703" i="2"/>
  <c r="W1703" i="2"/>
  <c r="AB1702" i="2"/>
  <c r="AA1702" i="2"/>
  <c r="Z1702" i="2"/>
  <c r="Y1702" i="2"/>
  <c r="X1702" i="2"/>
  <c r="W1702" i="2"/>
  <c r="W1700" i="2"/>
  <c r="V1700" i="2"/>
  <c r="U1700" i="2"/>
  <c r="W1699" i="2"/>
  <c r="D1699" i="2"/>
  <c r="D1703" i="2" s="1"/>
  <c r="D1707" i="2" s="1"/>
  <c r="X1698" i="2"/>
  <c r="D1698" i="2"/>
  <c r="D1702" i="2" s="1"/>
  <c r="D1706" i="2" s="1"/>
  <c r="X1697" i="2"/>
  <c r="V1688" i="2"/>
  <c r="U1688" i="2"/>
  <c r="T1688" i="2"/>
  <c r="S1688" i="2"/>
  <c r="AF1684" i="2"/>
  <c r="AG1684" i="2" s="1"/>
  <c r="AH1684" i="2" s="1"/>
  <c r="AI1684" i="2" s="1"/>
  <c r="AJ1684" i="2" s="1"/>
  <c r="AK1684" i="2" s="1"/>
  <c r="AL1684" i="2" s="1"/>
  <c r="AM1684" i="2" s="1"/>
  <c r="U1679" i="2"/>
  <c r="T1679" i="2"/>
  <c r="S1679" i="2"/>
  <c r="R1679" i="2"/>
  <c r="Q1679" i="2"/>
  <c r="P1679" i="2"/>
  <c r="O1679" i="2"/>
  <c r="N1679" i="2"/>
  <c r="M1679" i="2"/>
  <c r="L1679" i="2"/>
  <c r="K1679" i="2"/>
  <c r="J1679" i="2"/>
  <c r="E1679" i="2"/>
  <c r="T1676" i="2"/>
  <c r="S1676" i="2"/>
  <c r="R1676" i="2"/>
  <c r="Q1676" i="2"/>
  <c r="P1676" i="2"/>
  <c r="O1676" i="2"/>
  <c r="N1676" i="2"/>
  <c r="M1676" i="2"/>
  <c r="L1676" i="2"/>
  <c r="K1676" i="2"/>
  <c r="J1676" i="2"/>
  <c r="U1673" i="2"/>
  <c r="T1673" i="2"/>
  <c r="S1673" i="2"/>
  <c r="R1673" i="2"/>
  <c r="Q1673" i="2"/>
  <c r="P1673" i="2"/>
  <c r="O1673" i="2"/>
  <c r="N1673" i="2"/>
  <c r="M1673" i="2"/>
  <c r="L1673" i="2"/>
  <c r="K1673" i="2"/>
  <c r="J1673" i="2"/>
  <c r="W1672" i="2"/>
  <c r="V1672" i="2"/>
  <c r="U1672" i="2"/>
  <c r="T1672" i="2"/>
  <c r="S1672" i="2"/>
  <c r="R1672" i="2"/>
  <c r="Q1672" i="2"/>
  <c r="P1672" i="2"/>
  <c r="O1672" i="2"/>
  <c r="N1672" i="2"/>
  <c r="M1672" i="2"/>
  <c r="L1672" i="2"/>
  <c r="K1672" i="2"/>
  <c r="J1672" i="2"/>
  <c r="T1671" i="2"/>
  <c r="S1671" i="2"/>
  <c r="R1671" i="2"/>
  <c r="Q1671" i="2"/>
  <c r="P1671" i="2"/>
  <c r="O1671" i="2"/>
  <c r="N1671" i="2"/>
  <c r="M1671" i="2"/>
  <c r="L1671" i="2"/>
  <c r="K1671" i="2"/>
  <c r="J1671" i="2"/>
  <c r="U1669" i="2"/>
  <c r="T1669" i="2"/>
  <c r="S1669" i="2"/>
  <c r="R1669" i="2"/>
  <c r="Q1669" i="2"/>
  <c r="P1669" i="2"/>
  <c r="O1669" i="2"/>
  <c r="N1669" i="2"/>
  <c r="M1669" i="2"/>
  <c r="L1669" i="2"/>
  <c r="K1669" i="2"/>
  <c r="J1669" i="2"/>
  <c r="T1668" i="2"/>
  <c r="S1668" i="2"/>
  <c r="R1668" i="2"/>
  <c r="Q1668" i="2"/>
  <c r="P1668" i="2"/>
  <c r="O1668" i="2"/>
  <c r="N1668" i="2"/>
  <c r="M1668" i="2"/>
  <c r="L1668" i="2"/>
  <c r="K1668" i="2"/>
  <c r="J1668" i="2"/>
  <c r="T1667" i="2"/>
  <c r="S1667" i="2"/>
  <c r="R1667" i="2"/>
  <c r="Q1667" i="2"/>
  <c r="P1667" i="2"/>
  <c r="O1667" i="2"/>
  <c r="N1667" i="2"/>
  <c r="M1667" i="2"/>
  <c r="L1667" i="2"/>
  <c r="K1667" i="2"/>
  <c r="J1667" i="2"/>
  <c r="T1665" i="2"/>
  <c r="S1665" i="2"/>
  <c r="R1665" i="2"/>
  <c r="Q1665" i="2"/>
  <c r="P1665" i="2"/>
  <c r="O1665" i="2"/>
  <c r="N1665" i="2"/>
  <c r="M1665" i="2"/>
  <c r="L1665" i="2"/>
  <c r="K1665" i="2"/>
  <c r="J1665" i="2"/>
  <c r="T1664" i="2"/>
  <c r="S1664" i="2"/>
  <c r="R1664" i="2"/>
  <c r="Q1664" i="2"/>
  <c r="P1664" i="2"/>
  <c r="O1664" i="2"/>
  <c r="N1664" i="2"/>
  <c r="M1664" i="2"/>
  <c r="L1664" i="2"/>
  <c r="K1664" i="2"/>
  <c r="J1664" i="2"/>
  <c r="T1662" i="2"/>
  <c r="T1663" i="2" s="1"/>
  <c r="S1662" i="2"/>
  <c r="S1663" i="2" s="1"/>
  <c r="R1662" i="2"/>
  <c r="R1663" i="2" s="1"/>
  <c r="Q1662" i="2"/>
  <c r="Q1663" i="2" s="1"/>
  <c r="P1662" i="2"/>
  <c r="P1663" i="2" s="1"/>
  <c r="O1662" i="2"/>
  <c r="O1663" i="2" s="1"/>
  <c r="N1662" i="2"/>
  <c r="N1663" i="2" s="1"/>
  <c r="M1662" i="2"/>
  <c r="M1663" i="2" s="1"/>
  <c r="L1662" i="2"/>
  <c r="L1663" i="2" s="1"/>
  <c r="K1662" i="2"/>
  <c r="K1663" i="2" s="1"/>
  <c r="J1662" i="2"/>
  <c r="J1663" i="2" s="1"/>
  <c r="T1661" i="2"/>
  <c r="S1661" i="2"/>
  <c r="R1661" i="2"/>
  <c r="Q1661" i="2"/>
  <c r="P1661" i="2"/>
  <c r="O1661" i="2"/>
  <c r="N1661" i="2"/>
  <c r="M1661" i="2"/>
  <c r="L1661" i="2"/>
  <c r="K1661" i="2"/>
  <c r="J1661" i="2"/>
  <c r="T1660" i="2"/>
  <c r="S1660" i="2"/>
  <c r="R1660" i="2"/>
  <c r="Q1660" i="2"/>
  <c r="P1660" i="2"/>
  <c r="O1660" i="2"/>
  <c r="N1660" i="2"/>
  <c r="M1660" i="2"/>
  <c r="L1660" i="2"/>
  <c r="K1660" i="2"/>
  <c r="J1660" i="2"/>
  <c r="V1658" i="2"/>
  <c r="U1658" i="2"/>
  <c r="T1658" i="2"/>
  <c r="S1658" i="2"/>
  <c r="R1658" i="2"/>
  <c r="Q1658" i="2"/>
  <c r="P1658" i="2"/>
  <c r="O1658" i="2"/>
  <c r="N1658" i="2"/>
  <c r="M1658" i="2"/>
  <c r="L1658" i="2"/>
  <c r="K1658" i="2"/>
  <c r="J1658" i="2"/>
  <c r="U1657" i="2"/>
  <c r="T1657" i="2"/>
  <c r="S1657" i="2"/>
  <c r="R1657" i="2"/>
  <c r="Q1657" i="2"/>
  <c r="P1657" i="2"/>
  <c r="O1657" i="2"/>
  <c r="N1657" i="2"/>
  <c r="M1657" i="2"/>
  <c r="L1657" i="2"/>
  <c r="K1657" i="2"/>
  <c r="J1657" i="2"/>
  <c r="T1656" i="2"/>
  <c r="S1656" i="2"/>
  <c r="R1656" i="2"/>
  <c r="Q1656" i="2"/>
  <c r="P1656" i="2"/>
  <c r="O1656" i="2"/>
  <c r="N1656" i="2"/>
  <c r="M1656" i="2"/>
  <c r="L1656" i="2"/>
  <c r="K1656" i="2"/>
  <c r="J1656" i="2"/>
  <c r="T1654" i="2"/>
  <c r="S1654" i="2"/>
  <c r="R1654" i="2"/>
  <c r="Q1654" i="2"/>
  <c r="P1654" i="2"/>
  <c r="O1654" i="2"/>
  <c r="N1654" i="2"/>
  <c r="M1654" i="2"/>
  <c r="L1654" i="2"/>
  <c r="K1654" i="2"/>
  <c r="J1654" i="2"/>
  <c r="T1653" i="2"/>
  <c r="S1653" i="2"/>
  <c r="R1653" i="2"/>
  <c r="Q1653" i="2"/>
  <c r="P1653" i="2"/>
  <c r="O1653" i="2"/>
  <c r="N1653" i="2"/>
  <c r="M1653" i="2"/>
  <c r="L1653" i="2"/>
  <c r="K1653" i="2"/>
  <c r="J1653" i="2"/>
  <c r="AM1650" i="2"/>
  <c r="AL1650" i="2"/>
  <c r="AK1650" i="2"/>
  <c r="AJ1650" i="2"/>
  <c r="AI1650" i="2"/>
  <c r="AG1650" i="2"/>
  <c r="S1650" i="2"/>
  <c r="R1650" i="2"/>
  <c r="Q1650" i="2"/>
  <c r="P1650" i="2"/>
  <c r="O1650" i="2"/>
  <c r="N1650" i="2"/>
  <c r="M1650" i="2"/>
  <c r="L1650" i="2"/>
  <c r="K1650" i="2"/>
  <c r="J1650" i="2"/>
  <c r="T1647" i="2"/>
  <c r="S1647" i="2"/>
  <c r="R1647" i="2"/>
  <c r="Q1647" i="2"/>
  <c r="P1647" i="2"/>
  <c r="O1647" i="2"/>
  <c r="N1647" i="2"/>
  <c r="M1647" i="2"/>
  <c r="L1647" i="2"/>
  <c r="K1647" i="2"/>
  <c r="J1647" i="2"/>
  <c r="T1646" i="2"/>
  <c r="S1646" i="2"/>
  <c r="R1646" i="2"/>
  <c r="Q1646" i="2"/>
  <c r="P1646" i="2"/>
  <c r="O1646" i="2"/>
  <c r="N1646" i="2"/>
  <c r="M1646" i="2"/>
  <c r="L1646" i="2"/>
  <c r="K1646" i="2"/>
  <c r="J1646" i="2"/>
  <c r="I1646" i="2"/>
  <c r="I1678" i="2" s="1"/>
  <c r="H1646" i="2"/>
  <c r="H1678" i="2" s="1"/>
  <c r="G1646" i="2"/>
  <c r="F1646" i="2"/>
  <c r="T1645" i="2"/>
  <c r="S1645" i="2"/>
  <c r="R1645" i="2"/>
  <c r="Q1645" i="2"/>
  <c r="P1645" i="2"/>
  <c r="O1645" i="2"/>
  <c r="N1645" i="2"/>
  <c r="M1645" i="2"/>
  <c r="L1645" i="2"/>
  <c r="K1645" i="2"/>
  <c r="J1645" i="2"/>
  <c r="I1645" i="2"/>
  <c r="W1644" i="2"/>
  <c r="V1644" i="2"/>
  <c r="U1644" i="2"/>
  <c r="T1644" i="2"/>
  <c r="S1644" i="2"/>
  <c r="R1644" i="2"/>
  <c r="Q1644" i="2"/>
  <c r="P1644" i="2"/>
  <c r="O1644" i="2"/>
  <c r="N1644" i="2"/>
  <c r="M1644" i="2"/>
  <c r="L1644" i="2"/>
  <c r="K1644" i="2"/>
  <c r="J1644" i="2"/>
  <c r="T1643" i="2"/>
  <c r="S1643" i="2"/>
  <c r="R1643" i="2"/>
  <c r="Q1643" i="2"/>
  <c r="P1643" i="2"/>
  <c r="O1643" i="2"/>
  <c r="N1643" i="2"/>
  <c r="M1643" i="2"/>
  <c r="L1643" i="2"/>
  <c r="K1643" i="2"/>
  <c r="J1643" i="2"/>
  <c r="I1643" i="2"/>
  <c r="T1642" i="2"/>
  <c r="S1642" i="2"/>
  <c r="R1642" i="2"/>
  <c r="Q1642" i="2"/>
  <c r="P1642" i="2"/>
  <c r="O1642" i="2"/>
  <c r="N1642" i="2"/>
  <c r="M1642" i="2"/>
  <c r="L1642" i="2"/>
  <c r="K1642" i="2"/>
  <c r="J1642" i="2"/>
  <c r="W1640" i="2"/>
  <c r="V1640" i="2"/>
  <c r="U1640" i="2"/>
  <c r="T1640" i="2"/>
  <c r="S1640" i="2"/>
  <c r="R1640" i="2"/>
  <c r="Q1640" i="2"/>
  <c r="P1640" i="2"/>
  <c r="O1640" i="2"/>
  <c r="N1640" i="2"/>
  <c r="M1640" i="2"/>
  <c r="L1640" i="2"/>
  <c r="K1640" i="2"/>
  <c r="J1640" i="2"/>
  <c r="W1639" i="2"/>
  <c r="V1639" i="2"/>
  <c r="U1639" i="2"/>
  <c r="W1638" i="2"/>
  <c r="V1638" i="2"/>
  <c r="U1638" i="2"/>
  <c r="T1638" i="2"/>
  <c r="S1638" i="2"/>
  <c r="R1638" i="2"/>
  <c r="Q1638" i="2"/>
  <c r="P1638" i="2"/>
  <c r="O1638" i="2"/>
  <c r="N1638" i="2"/>
  <c r="M1638" i="2"/>
  <c r="L1638" i="2"/>
  <c r="K1638" i="2"/>
  <c r="J1638" i="2"/>
  <c r="T1637" i="2"/>
  <c r="S1637" i="2"/>
  <c r="R1637" i="2"/>
  <c r="Q1637" i="2"/>
  <c r="P1637" i="2"/>
  <c r="O1637" i="2"/>
  <c r="N1637" i="2"/>
  <c r="M1637" i="2"/>
  <c r="L1637" i="2"/>
  <c r="K1637" i="2"/>
  <c r="J1637" i="2"/>
  <c r="T1636" i="2"/>
  <c r="S1636" i="2"/>
  <c r="R1636" i="2"/>
  <c r="Q1636" i="2"/>
  <c r="P1636" i="2"/>
  <c r="O1636" i="2"/>
  <c r="N1636" i="2"/>
  <c r="M1636" i="2"/>
  <c r="L1636" i="2"/>
  <c r="K1636" i="2"/>
  <c r="J1636" i="2"/>
  <c r="AF1635" i="2"/>
  <c r="AG1635" i="2" s="1"/>
  <c r="AH1635" i="2" s="1"/>
  <c r="AI1635" i="2" s="1"/>
  <c r="AJ1635" i="2" s="1"/>
  <c r="AK1635" i="2" s="1"/>
  <c r="AL1635" i="2" s="1"/>
  <c r="AM1635" i="2" s="1"/>
  <c r="AN1635" i="2" s="1"/>
  <c r="AO1635" i="2" s="1"/>
  <c r="AP1635" i="2" s="1"/>
  <c r="AQ1635" i="2" s="1"/>
  <c r="AR1635" i="2" s="1"/>
  <c r="AS1635" i="2" s="1"/>
  <c r="AT1635" i="2" s="1"/>
  <c r="AF1634" i="2"/>
  <c r="AG1634" i="2" s="1"/>
  <c r="AH1634" i="2" s="1"/>
  <c r="AI1634" i="2" s="1"/>
  <c r="AJ1634" i="2" s="1"/>
  <c r="AK1634" i="2" s="1"/>
  <c r="AL1634" i="2" s="1"/>
  <c r="AM1634" i="2" s="1"/>
  <c r="AN1634" i="2" s="1"/>
  <c r="AO1634" i="2" s="1"/>
  <c r="AP1634" i="2" s="1"/>
  <c r="AQ1634" i="2" s="1"/>
  <c r="AR1634" i="2" s="1"/>
  <c r="AS1634" i="2" s="1"/>
  <c r="AT1634" i="2" s="1"/>
  <c r="AC1628" i="2"/>
  <c r="AB1628" i="2"/>
  <c r="AC1627" i="2"/>
  <c r="AB1627" i="2"/>
  <c r="AC1626" i="2"/>
  <c r="AB1626" i="2"/>
  <c r="AC1622" i="2"/>
  <c r="AB1622" i="2"/>
  <c r="AC1620" i="2"/>
  <c r="AB1620" i="2"/>
  <c r="AC1617" i="2"/>
  <c r="AB1617" i="2"/>
  <c r="AC1615" i="2"/>
  <c r="AC1614" i="2" s="1"/>
  <c r="AB1615" i="2"/>
  <c r="AB1614" i="2" s="1"/>
  <c r="Z1614" i="2"/>
  <c r="AC1613" i="2"/>
  <c r="AB1613" i="2"/>
  <c r="Y1613" i="2"/>
  <c r="AC1612" i="2"/>
  <c r="AB1612" i="2"/>
  <c r="AC1610" i="2"/>
  <c r="AB1610" i="2"/>
  <c r="AC1608" i="2"/>
  <c r="AB1608" i="2"/>
  <c r="Y1608" i="2"/>
  <c r="AC1605" i="2"/>
  <c r="AB1605" i="2"/>
  <c r="AC1604" i="2"/>
  <c r="AB1604" i="2"/>
  <c r="AC1597" i="2"/>
  <c r="AB1597" i="2"/>
  <c r="AA1597" i="2"/>
  <c r="Y1597" i="2"/>
  <c r="AC1595" i="2"/>
  <c r="AC1625" i="2" s="1"/>
  <c r="AB1595" i="2"/>
  <c r="AB1625" i="2" s="1"/>
  <c r="AC1594" i="2"/>
  <c r="AB1594" i="2"/>
  <c r="AC1593" i="2"/>
  <c r="AB1593" i="2"/>
  <c r="AC1591" i="2"/>
  <c r="AB1591" i="2"/>
  <c r="Y1591" i="2"/>
  <c r="AC1590" i="2"/>
  <c r="AB1590" i="2"/>
  <c r="Y1590" i="2"/>
  <c r="AC1589" i="2"/>
  <c r="AB1589" i="2"/>
  <c r="AD1586" i="2"/>
  <c r="AC1586" i="2"/>
  <c r="AB1586" i="2"/>
  <c r="AC1585" i="2"/>
  <c r="AB1585" i="2"/>
  <c r="AC1583" i="2"/>
  <c r="AC1582" i="2" s="1"/>
  <c r="AB1583" i="2"/>
  <c r="AB1582" i="2" s="1"/>
  <c r="Z1582" i="2"/>
  <c r="AC1581" i="2"/>
  <c r="AB1581" i="2"/>
  <c r="AC1580" i="2"/>
  <c r="AB1580" i="2"/>
  <c r="AC1579" i="2"/>
  <c r="AC1578" i="2" s="1"/>
  <c r="AB1579" i="2"/>
  <c r="AB1578" i="2" s="1"/>
  <c r="Y1579" i="2"/>
  <c r="Z1578" i="2"/>
  <c r="AD1571" i="2"/>
  <c r="AC1571" i="2"/>
  <c r="AB1571" i="2"/>
  <c r="AA1571" i="2"/>
  <c r="Y1571" i="2"/>
  <c r="D1564" i="2"/>
  <c r="D1544" i="2"/>
  <c r="D1543" i="2"/>
  <c r="D1503" i="2"/>
  <c r="AL1482" i="2"/>
  <c r="AK1482" i="2"/>
  <c r="AJ1482" i="2"/>
  <c r="AI1482" i="2"/>
  <c r="AH1482" i="2"/>
  <c r="AG1482" i="2"/>
  <c r="AF1482" i="2"/>
  <c r="AE1482" i="2"/>
  <c r="AD1482" i="2"/>
  <c r="AC1482" i="2"/>
  <c r="AB1482" i="2"/>
  <c r="AA1482" i="2"/>
  <c r="Z1482" i="2"/>
  <c r="Y1482" i="2"/>
  <c r="X1482" i="2"/>
  <c r="W1482" i="2"/>
  <c r="V1482" i="2"/>
  <c r="AM1477" i="2"/>
  <c r="AL1477" i="2"/>
  <c r="AK1477" i="2"/>
  <c r="AJ1477" i="2"/>
  <c r="AI1477" i="2"/>
  <c r="AH1477" i="2"/>
  <c r="AG1477" i="2"/>
  <c r="AF1477" i="2"/>
  <c r="AE1477" i="2"/>
  <c r="AD1477" i="2"/>
  <c r="AC1477" i="2"/>
  <c r="AB1477" i="2"/>
  <c r="AA1477" i="2"/>
  <c r="Z1477" i="2"/>
  <c r="Y1477" i="2"/>
  <c r="X1477" i="2"/>
  <c r="W1477" i="2"/>
  <c r="V1477" i="2"/>
  <c r="AE1471" i="2"/>
  <c r="AD1471" i="2"/>
  <c r="W1470" i="2"/>
  <c r="V1470" i="2"/>
  <c r="V1468" i="2"/>
  <c r="AM1466" i="2"/>
  <c r="AL1466" i="2"/>
  <c r="AK1466" i="2"/>
  <c r="AJ1466" i="2"/>
  <c r="X1466" i="2"/>
  <c r="W1466" i="2"/>
  <c r="V1466" i="2"/>
  <c r="AE1465" i="2"/>
  <c r="AD1465" i="2"/>
  <c r="V1464" i="2"/>
  <c r="D1455" i="2"/>
  <c r="D1454" i="2"/>
  <c r="AC1451" i="2"/>
  <c r="AB1451" i="2"/>
  <c r="AM1442" i="2"/>
  <c r="AL1442" i="2"/>
  <c r="AK1442" i="2"/>
  <c r="AJ1442" i="2"/>
  <c r="AE1442" i="2"/>
  <c r="D1442" i="2"/>
  <c r="D1531" i="2" s="1"/>
  <c r="AM1440" i="2"/>
  <c r="AL1440" i="2"/>
  <c r="AJ1440" i="2"/>
  <c r="AE1440" i="2"/>
  <c r="D1440" i="2"/>
  <c r="D1529" i="2" s="1"/>
  <c r="AM1439" i="2"/>
  <c r="AL1439" i="2"/>
  <c r="AK1439" i="2"/>
  <c r="AJ1439" i="2"/>
  <c r="AE1439" i="2"/>
  <c r="D1439" i="2"/>
  <c r="D1528" i="2" s="1"/>
  <c r="X1433" i="2"/>
  <c r="W1433" i="2"/>
  <c r="V1433" i="2"/>
  <c r="X1432" i="2"/>
  <c r="W1432" i="2"/>
  <c r="V1432" i="2"/>
  <c r="AE1430" i="2"/>
  <c r="D1430" i="2"/>
  <c r="D1519" i="2" s="1"/>
  <c r="X1427" i="2"/>
  <c r="W1427" i="2"/>
  <c r="V1427" i="2"/>
  <c r="AM1426" i="2"/>
  <c r="AL1426" i="2"/>
  <c r="AK1426" i="2"/>
  <c r="AJ1426" i="2"/>
  <c r="AE1426" i="2"/>
  <c r="D1426" i="2"/>
  <c r="D1515" i="2" s="1"/>
  <c r="AM1425" i="2"/>
  <c r="AL1425" i="2"/>
  <c r="AK1425" i="2"/>
  <c r="AJ1425" i="2"/>
  <c r="AE1425" i="2"/>
  <c r="D1425" i="2"/>
  <c r="D1514" i="2" s="1"/>
  <c r="AM1423" i="2"/>
  <c r="AL1423" i="2"/>
  <c r="AK1423" i="2"/>
  <c r="AJ1423" i="2"/>
  <c r="AE1423" i="2"/>
  <c r="D1423" i="2"/>
  <c r="D1512" i="2" s="1"/>
  <c r="X1420" i="2"/>
  <c r="W1420" i="2"/>
  <c r="V1420" i="2"/>
  <c r="X1419" i="2"/>
  <c r="W1419" i="2"/>
  <c r="V1419" i="2"/>
  <c r="X1418" i="2"/>
  <c r="W1418" i="2"/>
  <c r="V1418" i="2"/>
  <c r="X1417" i="2"/>
  <c r="W1417" i="2"/>
  <c r="V1417" i="2"/>
  <c r="X1416" i="2"/>
  <c r="W1416" i="2"/>
  <c r="V1416" i="2"/>
  <c r="AE1414" i="2"/>
  <c r="AD1414" i="2"/>
  <c r="AC1414" i="2"/>
  <c r="AB1414" i="2"/>
  <c r="X1413" i="2"/>
  <c r="W1413" i="2"/>
  <c r="V1413" i="2"/>
  <c r="X1412" i="2"/>
  <c r="W1412" i="2"/>
  <c r="V1412" i="2"/>
  <c r="X1407" i="2"/>
  <c r="W1407" i="2"/>
  <c r="V1407" i="2"/>
  <c r="X1406" i="2"/>
  <c r="W1406" i="2"/>
  <c r="V1406" i="2"/>
  <c r="AM1403" i="2"/>
  <c r="AL1403" i="2"/>
  <c r="AK1403" i="2"/>
  <c r="AJ1403" i="2"/>
  <c r="AI1403" i="2"/>
  <c r="AH1403" i="2"/>
  <c r="AG1403" i="2"/>
  <c r="AF1403" i="2"/>
  <c r="AE1403" i="2"/>
  <c r="AD1403" i="2"/>
  <c r="AC1403" i="2"/>
  <c r="AB1403" i="2"/>
  <c r="AA1403" i="2"/>
  <c r="Z1403" i="2"/>
  <c r="Y1403" i="2"/>
  <c r="X1403" i="2"/>
  <c r="W1403" i="2"/>
  <c r="V1403" i="2"/>
  <c r="X1402" i="2"/>
  <c r="W1402" i="2"/>
  <c r="V1402" i="2"/>
  <c r="AM1398" i="2"/>
  <c r="AL1398" i="2"/>
  <c r="AK1398" i="2"/>
  <c r="AJ1398" i="2"/>
  <c r="X1398" i="2"/>
  <c r="W1398" i="2"/>
  <c r="V1398" i="2"/>
  <c r="D1393" i="2"/>
  <c r="D47" i="1" s="1"/>
  <c r="D1366" i="2"/>
  <c r="AE1365" i="2"/>
  <c r="AD1365" i="2"/>
  <c r="AC1365" i="2"/>
  <c r="AB1365" i="2"/>
  <c r="O108" i="19"/>
  <c r="N108" i="19" s="1"/>
  <c r="X1363" i="2"/>
  <c r="X1473" i="2" s="1"/>
  <c r="W1363" i="2"/>
  <c r="W1473" i="2" s="1"/>
  <c r="V1363" i="2"/>
  <c r="D1363" i="2"/>
  <c r="AG1361" i="2"/>
  <c r="AF1361" i="2"/>
  <c r="AE1361" i="2"/>
  <c r="AD1361" i="2"/>
  <c r="AC1361" i="2"/>
  <c r="AB1361" i="2"/>
  <c r="AA1361" i="2"/>
  <c r="Z1361" i="2"/>
  <c r="X1360" i="2"/>
  <c r="W1360" i="2"/>
  <c r="V1360" i="2"/>
  <c r="D1360" i="2"/>
  <c r="AL1359" i="2"/>
  <c r="JQ1034" i="5" s="1"/>
  <c r="AK1359" i="2"/>
  <c r="JN1034" i="5" s="1"/>
  <c r="AM1358" i="2"/>
  <c r="AL1358" i="2"/>
  <c r="AE1355" i="2"/>
  <c r="AD1355" i="2"/>
  <c r="AC1355" i="2"/>
  <c r="AB1355" i="2"/>
  <c r="AA1355" i="2"/>
  <c r="Z1355" i="2"/>
  <c r="X1354" i="2"/>
  <c r="D1354" i="2"/>
  <c r="W1353" i="2"/>
  <c r="V1353" i="2"/>
  <c r="D1353" i="2"/>
  <c r="D1352" i="2"/>
  <c r="AM1351" i="2"/>
  <c r="JT1026" i="5" s="1"/>
  <c r="AL1351" i="2"/>
  <c r="JQ1026" i="5" s="1"/>
  <c r="AK1351" i="2"/>
  <c r="JN1026" i="5" s="1"/>
  <c r="AE1350" i="2"/>
  <c r="AD1350" i="2"/>
  <c r="AC1350" i="2"/>
  <c r="AB1350" i="2"/>
  <c r="AA1350" i="2"/>
  <c r="Z1350" i="2"/>
  <c r="Y1350" i="2"/>
  <c r="X1350" i="2"/>
  <c r="AE1348" i="2"/>
  <c r="AE1347" i="2" s="1"/>
  <c r="AD1348" i="2"/>
  <c r="AC1348" i="2"/>
  <c r="AB1348" i="2"/>
  <c r="AA1348" i="2"/>
  <c r="AA1347" i="2" s="1"/>
  <c r="Z1348" i="2"/>
  <c r="Z1347" i="2" s="1"/>
  <c r="Y1348" i="2"/>
  <c r="Y1347" i="2" s="1"/>
  <c r="X1348" i="2"/>
  <c r="X1347" i="2" s="1"/>
  <c r="AM1347" i="2"/>
  <c r="JT1022" i="5" s="1"/>
  <c r="AL1347" i="2"/>
  <c r="JQ1022" i="5" s="1"/>
  <c r="AK1347" i="2"/>
  <c r="JN1022" i="5" s="1"/>
  <c r="D1344" i="2"/>
  <c r="AL1343" i="2"/>
  <c r="AK1343" i="2"/>
  <c r="X1343" i="2"/>
  <c r="W1343" i="2"/>
  <c r="V1343" i="2"/>
  <c r="D1343" i="2"/>
  <c r="AE1340" i="2"/>
  <c r="AD1340" i="2"/>
  <c r="AC1340" i="2"/>
  <c r="AC1721" i="2" s="1"/>
  <c r="AB1340" i="2"/>
  <c r="AB1721" i="2" s="1"/>
  <c r="AA1340" i="2"/>
  <c r="AA1721" i="2" s="1"/>
  <c r="Z1340" i="2"/>
  <c r="Z1721" i="2" s="1"/>
  <c r="Y1340" i="2"/>
  <c r="Y1721" i="2" s="1"/>
  <c r="JT1009" i="5"/>
  <c r="JQ1009" i="5"/>
  <c r="JN1009" i="5"/>
  <c r="D1334" i="2"/>
  <c r="D1331" i="2"/>
  <c r="D1330" i="2"/>
  <c r="X1329" i="2"/>
  <c r="X1749" i="2" s="1"/>
  <c r="W1329" i="2"/>
  <c r="W1749" i="2" s="1"/>
  <c r="V1329" i="2"/>
  <c r="V1749" i="2" s="1"/>
  <c r="D1329" i="2"/>
  <c r="D1324" i="2"/>
  <c r="D1321" i="2"/>
  <c r="D1320" i="2"/>
  <c r="AD1318" i="2"/>
  <c r="AD1376" i="2" s="1"/>
  <c r="AC1318" i="2"/>
  <c r="AC1376" i="2" s="1"/>
  <c r="AB1318" i="2"/>
  <c r="AA1318" i="2"/>
  <c r="Z1318" i="2"/>
  <c r="AD1317" i="2"/>
  <c r="AD1375" i="2" s="1"/>
  <c r="AC1317" i="2"/>
  <c r="AC1375" i="2" s="1"/>
  <c r="AB1317" i="2"/>
  <c r="AA1317" i="2"/>
  <c r="Z1317" i="2"/>
  <c r="D1316" i="2"/>
  <c r="D1314" i="2"/>
  <c r="D1313" i="2"/>
  <c r="D1311" i="2"/>
  <c r="D1289" i="2"/>
  <c r="X1288" i="2"/>
  <c r="W1288" i="2"/>
  <c r="V1288" i="2"/>
  <c r="U1664" i="2" s="1"/>
  <c r="D1288" i="2"/>
  <c r="D1287" i="2"/>
  <c r="D1286" i="2"/>
  <c r="AM1283" i="2"/>
  <c r="JT962" i="5" s="1"/>
  <c r="AL1283" i="2"/>
  <c r="JQ962" i="5" s="1"/>
  <c r="AK1283" i="2"/>
  <c r="JN962" i="5" s="1"/>
  <c r="D1282" i="2"/>
  <c r="AM1277" i="2"/>
  <c r="JT956" i="5" s="1"/>
  <c r="AL1277" i="2"/>
  <c r="AK1277" i="2"/>
  <c r="JN956" i="5" s="1"/>
  <c r="D1276" i="2"/>
  <c r="AM1274" i="2"/>
  <c r="AL1274" i="2"/>
  <c r="JQ953" i="5" s="1"/>
  <c r="AK1274" i="2"/>
  <c r="JN953" i="5" s="1"/>
  <c r="X1273" i="2"/>
  <c r="W1273" i="2"/>
  <c r="V1273" i="2"/>
  <c r="D1273" i="2"/>
  <c r="V1271" i="2"/>
  <c r="V1725" i="2" s="1"/>
  <c r="D1271" i="2"/>
  <c r="D1269" i="2"/>
  <c r="D1268" i="2"/>
  <c r="D1267" i="2"/>
  <c r="X1240" i="2"/>
  <c r="W1240" i="2"/>
  <c r="W1233" i="2" s="1"/>
  <c r="V1240" i="2"/>
  <c r="V689" i="2" s="1"/>
  <c r="AE1880" i="2"/>
  <c r="AM1210" i="2"/>
  <c r="AL1210" i="2"/>
  <c r="AK1210" i="2"/>
  <c r="AE1203" i="2"/>
  <c r="AD1203" i="2"/>
  <c r="AA1203" i="2"/>
  <c r="Z1203" i="2"/>
  <c r="Y1203" i="2"/>
  <c r="X1203" i="2"/>
  <c r="W1203" i="2"/>
  <c r="V1203" i="2"/>
  <c r="X1199" i="2"/>
  <c r="X697" i="2" s="1"/>
  <c r="W1199" i="2"/>
  <c r="V1199" i="2"/>
  <c r="V1198" i="2" s="1"/>
  <c r="X1196" i="2"/>
  <c r="W1196" i="2"/>
  <c r="V1196" i="2"/>
  <c r="V1188" i="2" s="1"/>
  <c r="V1428" i="2" s="1"/>
  <c r="AE1191" i="2"/>
  <c r="AD1191" i="2"/>
  <c r="AC1191" i="2"/>
  <c r="AB1191" i="2"/>
  <c r="AA1191" i="2"/>
  <c r="Z1191" i="2"/>
  <c r="Y1191" i="2"/>
  <c r="X1191" i="2"/>
  <c r="W1191" i="2"/>
  <c r="V1191" i="2"/>
  <c r="X1189" i="2"/>
  <c r="W1189" i="2"/>
  <c r="V1657" i="2" s="1"/>
  <c r="X1159" i="2"/>
  <c r="W1159" i="2"/>
  <c r="V1159" i="2"/>
  <c r="V662" i="2" s="1"/>
  <c r="AE1154" i="2"/>
  <c r="AE1153" i="2" s="1"/>
  <c r="JR841" i="5"/>
  <c r="JS841" i="5" s="1"/>
  <c r="Y1146" i="2"/>
  <c r="X1132" i="2"/>
  <c r="W1132" i="2"/>
  <c r="V1132" i="2"/>
  <c r="AF17" i="19"/>
  <c r="AM1127" i="2"/>
  <c r="JT821" i="5" s="1"/>
  <c r="AL1127" i="2"/>
  <c r="JQ821" i="5" s="1"/>
  <c r="AK1127" i="2"/>
  <c r="JN821" i="5" s="1"/>
  <c r="AE1127" i="2"/>
  <c r="AD1127" i="2"/>
  <c r="AC1127" i="2"/>
  <c r="AB1127" i="2"/>
  <c r="AA1127" i="2"/>
  <c r="Z1127" i="2"/>
  <c r="AM1126" i="2"/>
  <c r="AL1126" i="2"/>
  <c r="AK1126" i="2"/>
  <c r="X1126" i="2"/>
  <c r="W1126" i="2"/>
  <c r="V1126" i="2"/>
  <c r="AM1125" i="2"/>
  <c r="AK1125" i="2"/>
  <c r="X1125" i="2"/>
  <c r="X1409" i="2" s="1"/>
  <c r="W1125" i="2"/>
  <c r="W1409" i="2" s="1"/>
  <c r="V1125" i="2"/>
  <c r="V1409" i="2" s="1"/>
  <c r="X1124" i="2"/>
  <c r="X1119" i="2" s="1"/>
  <c r="W1124" i="2"/>
  <c r="W1119" i="2" s="1"/>
  <c r="V1124" i="2"/>
  <c r="V1119" i="2" s="1"/>
  <c r="X1099" i="2"/>
  <c r="W1099" i="2"/>
  <c r="V1099" i="2"/>
  <c r="V1401" i="2" s="1"/>
  <c r="AE1097" i="2"/>
  <c r="AD1097" i="2"/>
  <c r="AC1097" i="2"/>
  <c r="AB1097" i="2"/>
  <c r="AA1097" i="2"/>
  <c r="Z1097" i="2"/>
  <c r="Y1097" i="2"/>
  <c r="X1077" i="2"/>
  <c r="W1077" i="2"/>
  <c r="V1077" i="2"/>
  <c r="D1077" i="2"/>
  <c r="X1070" i="2"/>
  <c r="X1399" i="2" s="1"/>
  <c r="W1070" i="2"/>
  <c r="V1070" i="2"/>
  <c r="V1399" i="2" s="1"/>
  <c r="D1070" i="2"/>
  <c r="D1069" i="2"/>
  <c r="X1062" i="2"/>
  <c r="W1062" i="2"/>
  <c r="V1062" i="2"/>
  <c r="V1397" i="2" s="1"/>
  <c r="D1062" i="2"/>
  <c r="D1061" i="2"/>
  <c r="AM1059" i="2"/>
  <c r="AL1059" i="2"/>
  <c r="AK1059" i="2"/>
  <c r="AJ1059" i="2"/>
  <c r="AI1059" i="2"/>
  <c r="AH1059" i="2"/>
  <c r="AG1059" i="2"/>
  <c r="AF1059" i="2"/>
  <c r="AM1057" i="2"/>
  <c r="AL1057" i="2"/>
  <c r="AK1057" i="2"/>
  <c r="AJ1057" i="2"/>
  <c r="AI1057" i="2"/>
  <c r="AH1057" i="2"/>
  <c r="AG1057" i="2"/>
  <c r="AF1057" i="2"/>
  <c r="AE1057" i="2"/>
  <c r="AD1057" i="2"/>
  <c r="AC1057" i="2"/>
  <c r="AB1057" i="2"/>
  <c r="AA1057" i="2"/>
  <c r="Z1057" i="2"/>
  <c r="Y1057" i="2"/>
  <c r="X1057" i="2"/>
  <c r="W1057" i="2"/>
  <c r="V1057" i="2"/>
  <c r="U1057" i="2"/>
  <c r="T1057" i="2"/>
  <c r="S1057" i="2"/>
  <c r="R1057" i="2"/>
  <c r="Q1057" i="2"/>
  <c r="P1057" i="2"/>
  <c r="O1057" i="2"/>
  <c r="N1057" i="2"/>
  <c r="M1057" i="2"/>
  <c r="L1057" i="2"/>
  <c r="K1057" i="2"/>
  <c r="J1057" i="2"/>
  <c r="I1057" i="2"/>
  <c r="D1057" i="2"/>
  <c r="D1059" i="2" s="1"/>
  <c r="AC1048" i="2"/>
  <c r="AC1046" i="2"/>
  <c r="AB1043" i="2"/>
  <c r="AE1035" i="2"/>
  <c r="AD1035" i="2"/>
  <c r="AC1035" i="2"/>
  <c r="AB1035" i="2"/>
  <c r="AA1035" i="2"/>
  <c r="Z1035" i="2"/>
  <c r="J1034" i="2"/>
  <c r="D1028" i="2"/>
  <c r="D1014" i="2"/>
  <c r="D1013" i="2"/>
  <c r="D1012" i="2"/>
  <c r="D1011" i="2"/>
  <c r="D1002" i="2"/>
  <c r="V992" i="2"/>
  <c r="V943" i="2" s="1"/>
  <c r="U992" i="2"/>
  <c r="U943" i="2" s="1"/>
  <c r="T992" i="2"/>
  <c r="T943" i="2" s="1"/>
  <c r="S992" i="2"/>
  <c r="S943" i="2" s="1"/>
  <c r="R992" i="2"/>
  <c r="R943" i="2" s="1"/>
  <c r="Q992" i="2"/>
  <c r="Q943" i="2" s="1"/>
  <c r="P992" i="2"/>
  <c r="P943" i="2" s="1"/>
  <c r="O992" i="2"/>
  <c r="O943" i="2" s="1"/>
  <c r="N992" i="2"/>
  <c r="N943" i="2" s="1"/>
  <c r="M992" i="2"/>
  <c r="M943" i="2" s="1"/>
  <c r="L992" i="2"/>
  <c r="L943" i="2" s="1"/>
  <c r="K992" i="2"/>
  <c r="K943" i="2" s="1"/>
  <c r="J992" i="2"/>
  <c r="J943" i="2" s="1"/>
  <c r="Z990" i="2"/>
  <c r="Y990" i="2"/>
  <c r="X990" i="2"/>
  <c r="W990" i="2"/>
  <c r="V990" i="2"/>
  <c r="U990" i="2"/>
  <c r="T990" i="2"/>
  <c r="S990" i="2"/>
  <c r="R990" i="2"/>
  <c r="Q990" i="2"/>
  <c r="P990" i="2"/>
  <c r="O990" i="2"/>
  <c r="N990" i="2"/>
  <c r="M990" i="2"/>
  <c r="L990" i="2"/>
  <c r="K990" i="2"/>
  <c r="J990" i="2"/>
  <c r="I990" i="2"/>
  <c r="H990" i="2"/>
  <c r="G990" i="2"/>
  <c r="F990" i="2"/>
  <c r="E990" i="2"/>
  <c r="D990" i="2"/>
  <c r="AJ989" i="2"/>
  <c r="AJ1033" i="2" s="1"/>
  <c r="AI989" i="2"/>
  <c r="AH989" i="2"/>
  <c r="AD989" i="2"/>
  <c r="AC989" i="2"/>
  <c r="AB989" i="2"/>
  <c r="AA989" i="2"/>
  <c r="Z989" i="2"/>
  <c r="Y989" i="2"/>
  <c r="X989" i="2"/>
  <c r="W989" i="2"/>
  <c r="V989" i="2"/>
  <c r="U989" i="2"/>
  <c r="T989" i="2"/>
  <c r="S989" i="2"/>
  <c r="R989" i="2"/>
  <c r="Q989" i="2"/>
  <c r="P989" i="2"/>
  <c r="O989" i="2"/>
  <c r="N989" i="2"/>
  <c r="M989" i="2"/>
  <c r="L989" i="2"/>
  <c r="K989" i="2"/>
  <c r="J989" i="2"/>
  <c r="I989" i="2"/>
  <c r="H989" i="2"/>
  <c r="G989" i="2"/>
  <c r="F989" i="2"/>
  <c r="E989" i="2"/>
  <c r="D989" i="2"/>
  <c r="D1033" i="2" s="1"/>
  <c r="AC988" i="2"/>
  <c r="AB988" i="2"/>
  <c r="AA988" i="2"/>
  <c r="Z988" i="2"/>
  <c r="Y988" i="2"/>
  <c r="X988" i="2"/>
  <c r="W988" i="2"/>
  <c r="V988" i="2"/>
  <c r="U988" i="2"/>
  <c r="T988" i="2"/>
  <c r="S988" i="2"/>
  <c r="R988" i="2"/>
  <c r="Q988" i="2"/>
  <c r="P988" i="2"/>
  <c r="O988" i="2"/>
  <c r="N988" i="2"/>
  <c r="M988" i="2"/>
  <c r="L988" i="2"/>
  <c r="K988" i="2"/>
  <c r="J988" i="2"/>
  <c r="I988" i="2"/>
  <c r="H988" i="2"/>
  <c r="G988" i="2"/>
  <c r="F988" i="2"/>
  <c r="E988" i="2"/>
  <c r="D988" i="2"/>
  <c r="D1032" i="2" s="1"/>
  <c r="AC987" i="2"/>
  <c r="AB987" i="2"/>
  <c r="AA987" i="2"/>
  <c r="Y987" i="2"/>
  <c r="X987" i="2"/>
  <c r="W987" i="2"/>
  <c r="V987" i="2"/>
  <c r="U987" i="2"/>
  <c r="T987" i="2"/>
  <c r="S987" i="2"/>
  <c r="R987" i="2"/>
  <c r="Q987" i="2"/>
  <c r="P987" i="2"/>
  <c r="O987" i="2"/>
  <c r="N987" i="2"/>
  <c r="M987" i="2"/>
  <c r="L987" i="2"/>
  <c r="K987" i="2"/>
  <c r="J987" i="2"/>
  <c r="I987" i="2"/>
  <c r="H987" i="2"/>
  <c r="G987" i="2"/>
  <c r="F987" i="2"/>
  <c r="E987" i="2"/>
  <c r="D987" i="2"/>
  <c r="AF985" i="2"/>
  <c r="AE985" i="2"/>
  <c r="AC985" i="2"/>
  <c r="AB985" i="2"/>
  <c r="AF984" i="2"/>
  <c r="AE984" i="2"/>
  <c r="AC984" i="2"/>
  <c r="AB984" i="2"/>
  <c r="AA984" i="2"/>
  <c r="Y984" i="2"/>
  <c r="X984" i="2"/>
  <c r="W984" i="2"/>
  <c r="V984" i="2"/>
  <c r="U984" i="2"/>
  <c r="T984" i="2"/>
  <c r="S984" i="2"/>
  <c r="R984" i="2"/>
  <c r="Q984" i="2"/>
  <c r="P984" i="2"/>
  <c r="O984" i="2"/>
  <c r="N984" i="2"/>
  <c r="M984" i="2"/>
  <c r="L984" i="2"/>
  <c r="K984" i="2"/>
  <c r="J984" i="2"/>
  <c r="AF983" i="2"/>
  <c r="AE983" i="2"/>
  <c r="AC983" i="2"/>
  <c r="AB983" i="2"/>
  <c r="W983" i="2"/>
  <c r="V983" i="2"/>
  <c r="U983" i="2"/>
  <c r="T983" i="2"/>
  <c r="S983" i="2"/>
  <c r="R983" i="2"/>
  <c r="Q983" i="2"/>
  <c r="P983" i="2"/>
  <c r="O983" i="2"/>
  <c r="N983" i="2"/>
  <c r="M983" i="2"/>
  <c r="L983" i="2"/>
  <c r="K983" i="2"/>
  <c r="J983" i="2"/>
  <c r="AJ982" i="2"/>
  <c r="AI982" i="2"/>
  <c r="AH982" i="2"/>
  <c r="AG982" i="2"/>
  <c r="AB982" i="2"/>
  <c r="Y982" i="2"/>
  <c r="X982" i="2"/>
  <c r="AF981" i="2"/>
  <c r="AE981" i="2"/>
  <c r="AC981" i="2"/>
  <c r="AB981" i="2"/>
  <c r="Y981" i="2"/>
  <c r="X981" i="2"/>
  <c r="W981" i="2"/>
  <c r="V981" i="2"/>
  <c r="U981" i="2"/>
  <c r="T981" i="2"/>
  <c r="S981" i="2"/>
  <c r="R981" i="2"/>
  <c r="Q981" i="2"/>
  <c r="P981" i="2"/>
  <c r="O981" i="2"/>
  <c r="N981" i="2"/>
  <c r="M981" i="2"/>
  <c r="L981" i="2"/>
  <c r="K981" i="2"/>
  <c r="J981" i="2"/>
  <c r="AF980" i="2"/>
  <c r="AE980" i="2"/>
  <c r="AI1858" i="2" s="1"/>
  <c r="AC980" i="2"/>
  <c r="AE1858" i="2" s="1"/>
  <c r="AB980" i="2"/>
  <c r="AC1858" i="2" s="1"/>
  <c r="T980" i="2"/>
  <c r="S980" i="2"/>
  <c r="R980" i="2"/>
  <c r="Q980" i="2"/>
  <c r="P980" i="2"/>
  <c r="O980" i="2"/>
  <c r="N980" i="2"/>
  <c r="M980" i="2"/>
  <c r="L980" i="2"/>
  <c r="K980" i="2"/>
  <c r="J980" i="2"/>
  <c r="AE979" i="2"/>
  <c r="AC979" i="2"/>
  <c r="AB979" i="2"/>
  <c r="Z979" i="2"/>
  <c r="Y979" i="2"/>
  <c r="AE978" i="2"/>
  <c r="AC978" i="2"/>
  <c r="AB978" i="2"/>
  <c r="Y978" i="2"/>
  <c r="X978" i="2"/>
  <c r="AE977" i="2"/>
  <c r="AC977" i="2"/>
  <c r="AB977" i="2"/>
  <c r="Y977" i="2"/>
  <c r="X977" i="2"/>
  <c r="AF976" i="2"/>
  <c r="AE976" i="2"/>
  <c r="AC976" i="2"/>
  <c r="AE1857" i="2" s="1"/>
  <c r="AB976" i="2"/>
  <c r="AC1857" i="2" s="1"/>
  <c r="U976" i="2"/>
  <c r="T976" i="2"/>
  <c r="S976" i="2"/>
  <c r="R976" i="2"/>
  <c r="Q976" i="2"/>
  <c r="P976" i="2"/>
  <c r="O976" i="2"/>
  <c r="N976" i="2"/>
  <c r="M976" i="2"/>
  <c r="L976" i="2"/>
  <c r="K976" i="2"/>
  <c r="J976" i="2"/>
  <c r="AF975" i="2"/>
  <c r="AE975" i="2"/>
  <c r="AI1856" i="2" s="1"/>
  <c r="AC975" i="2"/>
  <c r="AE1856" i="2" s="1"/>
  <c r="AB975" i="2"/>
  <c r="T975" i="2"/>
  <c r="S975" i="2"/>
  <c r="R975" i="2"/>
  <c r="Q975" i="2"/>
  <c r="P975" i="2"/>
  <c r="O975" i="2"/>
  <c r="N975" i="2"/>
  <c r="M975" i="2"/>
  <c r="L975" i="2"/>
  <c r="K975" i="2"/>
  <c r="J975" i="2"/>
  <c r="AF974" i="2"/>
  <c r="AE974" i="2"/>
  <c r="AI1855" i="2" s="1"/>
  <c r="AC974" i="2"/>
  <c r="AE1855" i="2" s="1"/>
  <c r="AB974" i="2"/>
  <c r="AC1855" i="2" s="1"/>
  <c r="AA974" i="2"/>
  <c r="AA1855" i="2" s="1"/>
  <c r="Y974" i="2"/>
  <c r="X1855" i="2" s="1"/>
  <c r="X974" i="2"/>
  <c r="W974" i="2"/>
  <c r="V974" i="2"/>
  <c r="U974" i="2"/>
  <c r="T974" i="2"/>
  <c r="S974" i="2"/>
  <c r="R974" i="2"/>
  <c r="Q974" i="2"/>
  <c r="P974" i="2"/>
  <c r="O974" i="2"/>
  <c r="N974" i="2"/>
  <c r="M974" i="2"/>
  <c r="L974" i="2"/>
  <c r="K974" i="2"/>
  <c r="J974" i="2"/>
  <c r="AF973" i="2"/>
  <c r="AE973" i="2"/>
  <c r="AI1854" i="2" s="1"/>
  <c r="AC973" i="2"/>
  <c r="AB973" i="2"/>
  <c r="AC1854" i="2" s="1"/>
  <c r="Y973" i="2"/>
  <c r="X1854" i="2" s="1"/>
  <c r="X973" i="2"/>
  <c r="W973" i="2"/>
  <c r="V973" i="2"/>
  <c r="U973" i="2"/>
  <c r="T973" i="2"/>
  <c r="S973" i="2"/>
  <c r="R973" i="2"/>
  <c r="Q973" i="2"/>
  <c r="P973" i="2"/>
  <c r="O973" i="2"/>
  <c r="N973" i="2"/>
  <c r="M973" i="2"/>
  <c r="L973" i="2"/>
  <c r="K973" i="2"/>
  <c r="J973" i="2"/>
  <c r="AG970" i="2"/>
  <c r="AF970" i="2"/>
  <c r="AE970" i="2"/>
  <c r="AI1852" i="2" s="1"/>
  <c r="AC970" i="2"/>
  <c r="AE1852" i="2" s="1"/>
  <c r="AB970" i="2"/>
  <c r="AC1852" i="2" s="1"/>
  <c r="Y970" i="2"/>
  <c r="X1852" i="2" s="1"/>
  <c r="X970" i="2"/>
  <c r="W970" i="2"/>
  <c r="V970" i="2"/>
  <c r="U970" i="2"/>
  <c r="T970" i="2"/>
  <c r="S970" i="2"/>
  <c r="R970" i="2"/>
  <c r="Q970" i="2"/>
  <c r="P970" i="2"/>
  <c r="O970" i="2"/>
  <c r="N970" i="2"/>
  <c r="M970" i="2"/>
  <c r="L970" i="2"/>
  <c r="K970" i="2"/>
  <c r="J970" i="2"/>
  <c r="D970" i="2"/>
  <c r="AF969" i="2"/>
  <c r="AE969" i="2"/>
  <c r="AI1851" i="2" s="1"/>
  <c r="AC969" i="2"/>
  <c r="AB969" i="2"/>
  <c r="AC1851" i="2" s="1"/>
  <c r="Y969" i="2"/>
  <c r="X1851" i="2" s="1"/>
  <c r="X969" i="2"/>
  <c r="W969" i="2"/>
  <c r="V969" i="2"/>
  <c r="U969" i="2"/>
  <c r="T969" i="2"/>
  <c r="S969" i="2"/>
  <c r="R969" i="2"/>
  <c r="Q969" i="2"/>
  <c r="P969" i="2"/>
  <c r="O969" i="2"/>
  <c r="N969" i="2"/>
  <c r="M969" i="2"/>
  <c r="L969" i="2"/>
  <c r="K969" i="2"/>
  <c r="J969" i="2"/>
  <c r="AF968" i="2"/>
  <c r="AE968" i="2"/>
  <c r="D968" i="2"/>
  <c r="AF967" i="2"/>
  <c r="AE967" i="2"/>
  <c r="D967" i="2"/>
  <c r="AF966" i="2"/>
  <c r="AE966" i="2"/>
  <c r="D966" i="2"/>
  <c r="AF965" i="2"/>
  <c r="AE965" i="2"/>
  <c r="D965" i="2"/>
  <c r="AF964" i="2"/>
  <c r="AE964" i="2"/>
  <c r="AI1850" i="2" s="1"/>
  <c r="AC964" i="2"/>
  <c r="AE1850" i="2" s="1"/>
  <c r="AB964" i="2"/>
  <c r="AC1850" i="2" s="1"/>
  <c r="Y964" i="2"/>
  <c r="X1850" i="2" s="1"/>
  <c r="X964" i="2"/>
  <c r="W964" i="2"/>
  <c r="V964" i="2"/>
  <c r="U964" i="2"/>
  <c r="T964" i="2"/>
  <c r="S964" i="2"/>
  <c r="R964" i="2"/>
  <c r="Q964" i="2"/>
  <c r="P964" i="2"/>
  <c r="O964" i="2"/>
  <c r="N964" i="2"/>
  <c r="M964" i="2"/>
  <c r="L964" i="2"/>
  <c r="K964" i="2"/>
  <c r="J964" i="2"/>
  <c r="AF963" i="2"/>
  <c r="AE963" i="2"/>
  <c r="AI1849" i="2" s="1"/>
  <c r="AC963" i="2"/>
  <c r="AE1849" i="2" s="1"/>
  <c r="AB963" i="2"/>
  <c r="AC1849" i="2" s="1"/>
  <c r="Y963" i="2"/>
  <c r="X1849" i="2" s="1"/>
  <c r="X963" i="2"/>
  <c r="W963" i="2"/>
  <c r="V963" i="2"/>
  <c r="U963" i="2"/>
  <c r="T963" i="2"/>
  <c r="S963" i="2"/>
  <c r="R963" i="2"/>
  <c r="Q963" i="2"/>
  <c r="P963" i="2"/>
  <c r="O963" i="2"/>
  <c r="N963" i="2"/>
  <c r="M963" i="2"/>
  <c r="L963" i="2"/>
  <c r="K963" i="2"/>
  <c r="J963" i="2"/>
  <c r="AF961" i="2"/>
  <c r="AE961" i="2"/>
  <c r="AI1847" i="2" s="1"/>
  <c r="AC961" i="2"/>
  <c r="AE1847" i="2" s="1"/>
  <c r="AB961" i="2"/>
  <c r="AC1847" i="2" s="1"/>
  <c r="Y961" i="2"/>
  <c r="X1847" i="2" s="1"/>
  <c r="X961" i="2"/>
  <c r="W961" i="2"/>
  <c r="V961" i="2"/>
  <c r="U961" i="2"/>
  <c r="T961" i="2"/>
  <c r="S961" i="2"/>
  <c r="R961" i="2"/>
  <c r="Q961" i="2"/>
  <c r="P961" i="2"/>
  <c r="O961" i="2"/>
  <c r="N961" i="2"/>
  <c r="M961" i="2"/>
  <c r="L961" i="2"/>
  <c r="K961" i="2"/>
  <c r="J961" i="2"/>
  <c r="AF960" i="2"/>
  <c r="AE960" i="2"/>
  <c r="D960" i="2"/>
  <c r="D1006" i="2" s="1"/>
  <c r="AF958" i="2"/>
  <c r="AE958" i="2"/>
  <c r="AI1846" i="2" s="1"/>
  <c r="AC958" i="2"/>
  <c r="AE1846" i="2" s="1"/>
  <c r="AB958" i="2"/>
  <c r="AC1846" i="2" s="1"/>
  <c r="Y958" i="2"/>
  <c r="X1846" i="2" s="1"/>
  <c r="X958" i="2"/>
  <c r="W958" i="2"/>
  <c r="V958" i="2"/>
  <c r="U958" i="2"/>
  <c r="U1228" i="2" s="1"/>
  <c r="T958" i="2"/>
  <c r="S958" i="2"/>
  <c r="R958" i="2"/>
  <c r="R1228" i="2" s="1"/>
  <c r="Q958" i="2"/>
  <c r="Q1228" i="2" s="1"/>
  <c r="P958" i="2"/>
  <c r="P1228" i="2" s="1"/>
  <c r="O958" i="2"/>
  <c r="O1228" i="2" s="1"/>
  <c r="N958" i="2"/>
  <c r="N1228" i="2" s="1"/>
  <c r="M958" i="2"/>
  <c r="M1228" i="2" s="1"/>
  <c r="L958" i="2"/>
  <c r="L1228" i="2" s="1"/>
  <c r="K958" i="2"/>
  <c r="K1228" i="2" s="1"/>
  <c r="J958" i="2"/>
  <c r="J1228" i="2" s="1"/>
  <c r="AF957" i="2"/>
  <c r="AE957" i="2"/>
  <c r="D957" i="2"/>
  <c r="D1004" i="2" s="1"/>
  <c r="AE956" i="2"/>
  <c r="D956" i="2"/>
  <c r="D1003" i="2" s="1"/>
  <c r="AF955" i="2"/>
  <c r="AE955" i="2"/>
  <c r="AC955" i="2"/>
  <c r="AB955" i="2"/>
  <c r="Y955" i="2"/>
  <c r="X955" i="2"/>
  <c r="AF954" i="2"/>
  <c r="AE954" i="2"/>
  <c r="AI1845" i="2" s="1"/>
  <c r="AC954" i="2"/>
  <c r="AE1845" i="2" s="1"/>
  <c r="AB954" i="2"/>
  <c r="AC1845" i="2" s="1"/>
  <c r="Y954" i="2"/>
  <c r="X1845" i="2" s="1"/>
  <c r="X954" i="2"/>
  <c r="W954" i="2"/>
  <c r="V954" i="2"/>
  <c r="U954" i="2"/>
  <c r="T954" i="2"/>
  <c r="S954" i="2"/>
  <c r="R954" i="2"/>
  <c r="Q954" i="2"/>
  <c r="P954" i="2"/>
  <c r="O954" i="2"/>
  <c r="N954" i="2"/>
  <c r="M954" i="2"/>
  <c r="L954" i="2"/>
  <c r="K954" i="2"/>
  <c r="J954" i="2"/>
  <c r="AF953" i="2"/>
  <c r="AE953" i="2"/>
  <c r="AI1844" i="2" s="1"/>
  <c r="AC953" i="2"/>
  <c r="AE1844" i="2" s="1"/>
  <c r="AB953" i="2"/>
  <c r="AC1844" i="2" s="1"/>
  <c r="Y953" i="2"/>
  <c r="X1844" i="2" s="1"/>
  <c r="X953" i="2"/>
  <c r="W953" i="2"/>
  <c r="V953" i="2"/>
  <c r="U953" i="2"/>
  <c r="T953" i="2"/>
  <c r="S953" i="2"/>
  <c r="R953" i="2"/>
  <c r="Q953" i="2"/>
  <c r="P953" i="2"/>
  <c r="O953" i="2"/>
  <c r="N953" i="2"/>
  <c r="M953" i="2"/>
  <c r="L953" i="2"/>
  <c r="K953" i="2"/>
  <c r="J953" i="2"/>
  <c r="AF951" i="2"/>
  <c r="AE951" i="2"/>
  <c r="AI1843" i="2" s="1"/>
  <c r="AC951" i="2"/>
  <c r="AE1843" i="2" s="1"/>
  <c r="AB951" i="2"/>
  <c r="AC1843" i="2" s="1"/>
  <c r="Y951" i="2"/>
  <c r="X1843" i="2" s="1"/>
  <c r="X951" i="2"/>
  <c r="W951" i="2"/>
  <c r="V951" i="2"/>
  <c r="U951" i="2"/>
  <c r="T951" i="2"/>
  <c r="S951" i="2"/>
  <c r="R951" i="2"/>
  <c r="Q951" i="2"/>
  <c r="P951" i="2"/>
  <c r="O951" i="2"/>
  <c r="N951" i="2"/>
  <c r="M951" i="2"/>
  <c r="L951" i="2"/>
  <c r="K951" i="2"/>
  <c r="J951" i="2"/>
  <c r="AF950" i="2"/>
  <c r="AE950" i="2"/>
  <c r="AI1842" i="2" s="1"/>
  <c r="AC950" i="2"/>
  <c r="AE1842" i="2" s="1"/>
  <c r="AB950" i="2"/>
  <c r="AC1842" i="2" s="1"/>
  <c r="Y950" i="2"/>
  <c r="X1842" i="2" s="1"/>
  <c r="X950" i="2"/>
  <c r="W950" i="2"/>
  <c r="V950" i="2"/>
  <c r="U950" i="2"/>
  <c r="T950" i="2"/>
  <c r="S950" i="2"/>
  <c r="R950" i="2"/>
  <c r="Q950" i="2"/>
  <c r="P950" i="2"/>
  <c r="O950" i="2"/>
  <c r="N950" i="2"/>
  <c r="M950" i="2"/>
  <c r="L950" i="2"/>
  <c r="K950" i="2"/>
  <c r="J950" i="2"/>
  <c r="AF949" i="2"/>
  <c r="AE949" i="2"/>
  <c r="AI1841" i="2" s="1"/>
  <c r="Y949" i="2"/>
  <c r="X1841" i="2" s="1"/>
  <c r="X949" i="2"/>
  <c r="W949" i="2"/>
  <c r="V949" i="2"/>
  <c r="U949" i="2"/>
  <c r="T949" i="2"/>
  <c r="S949" i="2"/>
  <c r="R949" i="2"/>
  <c r="Q949" i="2"/>
  <c r="P949" i="2"/>
  <c r="O949" i="2"/>
  <c r="N949" i="2"/>
  <c r="M949" i="2"/>
  <c r="L949" i="2"/>
  <c r="K949" i="2"/>
  <c r="J949" i="2"/>
  <c r="AF948" i="2"/>
  <c r="AE948" i="2"/>
  <c r="AC948" i="2"/>
  <c r="AB948" i="2"/>
  <c r="Y948" i="2"/>
  <c r="X948" i="2"/>
  <c r="AF947" i="2"/>
  <c r="AE947" i="2"/>
  <c r="AC947" i="2"/>
  <c r="AB947" i="2"/>
  <c r="AC1840" i="2" s="1"/>
  <c r="Y947" i="2"/>
  <c r="X1840" i="2" s="1"/>
  <c r="X947" i="2"/>
  <c r="W947" i="2"/>
  <c r="V947" i="2"/>
  <c r="U947" i="2"/>
  <c r="T947" i="2"/>
  <c r="S947" i="2"/>
  <c r="R947" i="2"/>
  <c r="Q947" i="2"/>
  <c r="P947" i="2"/>
  <c r="O947" i="2"/>
  <c r="N947" i="2"/>
  <c r="M947" i="2"/>
  <c r="L947" i="2"/>
  <c r="K947" i="2"/>
  <c r="J947" i="2"/>
  <c r="AC946" i="2"/>
  <c r="AE1839" i="2" s="1"/>
  <c r="AB946" i="2"/>
  <c r="AC1839" i="2" s="1"/>
  <c r="Y946" i="2"/>
  <c r="X1839" i="2" s="1"/>
  <c r="X946" i="2"/>
  <c r="W946" i="2"/>
  <c r="V946" i="2"/>
  <c r="U946" i="2"/>
  <c r="T946" i="2"/>
  <c r="S946" i="2"/>
  <c r="R946" i="2"/>
  <c r="Q946" i="2"/>
  <c r="P946" i="2"/>
  <c r="O946" i="2"/>
  <c r="N946" i="2"/>
  <c r="M946" i="2"/>
  <c r="L946" i="2"/>
  <c r="K946" i="2"/>
  <c r="J946" i="2"/>
  <c r="AC945" i="2"/>
  <c r="AE1838" i="2" s="1"/>
  <c r="AB945" i="2"/>
  <c r="AC1838" i="2" s="1"/>
  <c r="Y945" i="2"/>
  <c r="X945" i="2"/>
  <c r="W945" i="2"/>
  <c r="V945" i="2"/>
  <c r="U945" i="2"/>
  <c r="T945" i="2"/>
  <c r="S945" i="2"/>
  <c r="R945" i="2"/>
  <c r="Q945" i="2"/>
  <c r="P945" i="2"/>
  <c r="O945" i="2"/>
  <c r="N945" i="2"/>
  <c r="M945" i="2"/>
  <c r="L945" i="2"/>
  <c r="K945" i="2"/>
  <c r="J945" i="2"/>
  <c r="T944" i="2"/>
  <c r="S944" i="2"/>
  <c r="R944" i="2"/>
  <c r="Q944" i="2"/>
  <c r="P944" i="2"/>
  <c r="O944" i="2"/>
  <c r="N944" i="2"/>
  <c r="M944" i="2"/>
  <c r="L944" i="2"/>
  <c r="K944" i="2"/>
  <c r="J944" i="2"/>
  <c r="Q941" i="2"/>
  <c r="P941" i="2"/>
  <c r="O941" i="2"/>
  <c r="N941" i="2"/>
  <c r="M941" i="2"/>
  <c r="L941" i="2"/>
  <c r="K941" i="2"/>
  <c r="J941" i="2"/>
  <c r="Z933" i="2"/>
  <c r="Y933" i="2"/>
  <c r="X933" i="2"/>
  <c r="W933" i="2"/>
  <c r="AF930" i="2"/>
  <c r="AF989" i="2" s="1"/>
  <c r="AE930" i="2"/>
  <c r="AE989" i="2" s="1"/>
  <c r="AF928" i="2"/>
  <c r="AF988" i="2" s="1"/>
  <c r="AE928" i="2"/>
  <c r="AE988" i="2" s="1"/>
  <c r="AJ927" i="2"/>
  <c r="AJ987" i="2" s="1"/>
  <c r="AI927" i="2"/>
  <c r="AI987" i="2" s="1"/>
  <c r="AH927" i="2"/>
  <c r="AH987" i="2" s="1"/>
  <c r="AG927" i="2"/>
  <c r="AG987" i="2" s="1"/>
  <c r="AF927" i="2"/>
  <c r="AF987" i="2" s="1"/>
  <c r="AE927" i="2"/>
  <c r="AE987" i="2" s="1"/>
  <c r="AD927" i="2"/>
  <c r="AD987" i="2" s="1"/>
  <c r="AC927" i="2"/>
  <c r="AB927" i="2"/>
  <c r="AA927" i="2"/>
  <c r="AF926" i="2"/>
  <c r="AE926" i="2"/>
  <c r="Y921" i="2"/>
  <c r="X921" i="2"/>
  <c r="T920" i="2"/>
  <c r="S920" i="2"/>
  <c r="R920" i="2"/>
  <c r="Q920" i="2"/>
  <c r="P920" i="2"/>
  <c r="O920" i="2"/>
  <c r="N920" i="2"/>
  <c r="M920" i="2"/>
  <c r="L920" i="2"/>
  <c r="K920" i="2"/>
  <c r="J920" i="2"/>
  <c r="JN699" i="5"/>
  <c r="JL699" i="5" s="1"/>
  <c r="AJ919" i="2"/>
  <c r="JK699" i="5" s="1"/>
  <c r="JI699" i="5" s="1"/>
  <c r="AI919" i="2"/>
  <c r="AI918" i="2" s="1"/>
  <c r="AH919" i="2"/>
  <c r="AG919" i="2"/>
  <c r="JB699" i="5" s="1"/>
  <c r="IZ699" i="5" s="1"/>
  <c r="Z919" i="2"/>
  <c r="Z918" i="2"/>
  <c r="ID698" i="5" s="1"/>
  <c r="Z917" i="2"/>
  <c r="ID697" i="5" s="1"/>
  <c r="Z916" i="2"/>
  <c r="Y915" i="2"/>
  <c r="Y900" i="2" s="1"/>
  <c r="X915" i="2"/>
  <c r="X983" i="2" s="1"/>
  <c r="AG914" i="2"/>
  <c r="JB694" i="5" s="1"/>
  <c r="IZ694" i="5" s="1"/>
  <c r="AG913" i="2"/>
  <c r="AD913" i="2"/>
  <c r="Z904" i="2"/>
  <c r="AJ902" i="2"/>
  <c r="AI902" i="2"/>
  <c r="AI903" i="2" s="1"/>
  <c r="JH684" i="5" s="1"/>
  <c r="AH902" i="2"/>
  <c r="AG902" i="2"/>
  <c r="Z901" i="2"/>
  <c r="ID682" i="5" s="1"/>
  <c r="ID743" i="5" s="1"/>
  <c r="W900" i="2"/>
  <c r="W980" i="2" s="1"/>
  <c r="V900" i="2"/>
  <c r="V980" i="2" s="1"/>
  <c r="U900" i="2"/>
  <c r="U879" i="2" s="1"/>
  <c r="AG899" i="2"/>
  <c r="AG908" i="2" s="1"/>
  <c r="AJ898" i="2"/>
  <c r="AJ979" i="2" s="1"/>
  <c r="AI898" i="2"/>
  <c r="AI979" i="2" s="1"/>
  <c r="AH898" i="2"/>
  <c r="AG898" i="2"/>
  <c r="AG979" i="2" s="1"/>
  <c r="AF898" i="2"/>
  <c r="AA897" i="2"/>
  <c r="AA896" i="2"/>
  <c r="AA895" i="2"/>
  <c r="AJ894" i="2"/>
  <c r="AJ978" i="2" s="1"/>
  <c r="AJ1028" i="2" s="1"/>
  <c r="AI894" i="2"/>
  <c r="JH676" i="5" s="1"/>
  <c r="AH894" i="2"/>
  <c r="JE676" i="5" s="1"/>
  <c r="AG894" i="2"/>
  <c r="JB676" i="5" s="1"/>
  <c r="AF894" i="2"/>
  <c r="Z894" i="2"/>
  <c r="JN671" i="5"/>
  <c r="AJ891" i="2"/>
  <c r="AJ883" i="2" s="1"/>
  <c r="AI891" i="2"/>
  <c r="AI883" i="2" s="1"/>
  <c r="AI977" i="2" s="1"/>
  <c r="AH891" i="2"/>
  <c r="AH883" i="2" s="1"/>
  <c r="AG891" i="2"/>
  <c r="JB675" i="5" s="1"/>
  <c r="AF891" i="2"/>
  <c r="AD891" i="2"/>
  <c r="AA886" i="2"/>
  <c r="AG885" i="2"/>
  <c r="JB673" i="5" s="1"/>
  <c r="AD885" i="2"/>
  <c r="AA885" i="2"/>
  <c r="Z883" i="2"/>
  <c r="Z977" i="2" s="1"/>
  <c r="Y881" i="2"/>
  <c r="Y976" i="2" s="1"/>
  <c r="X881" i="2"/>
  <c r="X976" i="2" s="1"/>
  <c r="W881" i="2"/>
  <c r="V881" i="2"/>
  <c r="V976" i="2" s="1"/>
  <c r="AH873" i="2"/>
  <c r="AI873" i="2" s="1"/>
  <c r="AI970" i="2" s="1"/>
  <c r="Z873" i="2"/>
  <c r="Z872" i="2" s="1"/>
  <c r="AG872" i="2"/>
  <c r="JB660" i="5" s="1"/>
  <c r="T871" i="2"/>
  <c r="T968" i="2" s="1"/>
  <c r="S871" i="2"/>
  <c r="S968" i="2" s="1"/>
  <c r="R871" i="2"/>
  <c r="R968" i="2" s="1"/>
  <c r="Q871" i="2"/>
  <c r="Q968" i="2" s="1"/>
  <c r="P871" i="2"/>
  <c r="P968" i="2" s="1"/>
  <c r="O871" i="2"/>
  <c r="O968" i="2" s="1"/>
  <c r="N871" i="2"/>
  <c r="N968" i="2" s="1"/>
  <c r="M871" i="2"/>
  <c r="M968" i="2" s="1"/>
  <c r="L871" i="2"/>
  <c r="L968" i="2" s="1"/>
  <c r="K871" i="2"/>
  <c r="K968" i="2" s="1"/>
  <c r="J871" i="2"/>
  <c r="J968" i="2" s="1"/>
  <c r="T870" i="2"/>
  <c r="T967" i="2" s="1"/>
  <c r="S870" i="2"/>
  <c r="S967" i="2" s="1"/>
  <c r="R870" i="2"/>
  <c r="R967" i="2" s="1"/>
  <c r="Q870" i="2"/>
  <c r="Q967" i="2" s="1"/>
  <c r="P870" i="2"/>
  <c r="P967" i="2" s="1"/>
  <c r="O870" i="2"/>
  <c r="O967" i="2" s="1"/>
  <c r="N870" i="2"/>
  <c r="N967" i="2" s="1"/>
  <c r="M870" i="2"/>
  <c r="M967" i="2" s="1"/>
  <c r="L870" i="2"/>
  <c r="L967" i="2" s="1"/>
  <c r="K870" i="2"/>
  <c r="K967" i="2" s="1"/>
  <c r="J870" i="2"/>
  <c r="J967" i="2" s="1"/>
  <c r="T869" i="2"/>
  <c r="T966" i="2" s="1"/>
  <c r="S869" i="2"/>
  <c r="S966" i="2" s="1"/>
  <c r="R869" i="2"/>
  <c r="R966" i="2" s="1"/>
  <c r="Q869" i="2"/>
  <c r="Q966" i="2" s="1"/>
  <c r="P869" i="2"/>
  <c r="P966" i="2" s="1"/>
  <c r="O869" i="2"/>
  <c r="O966" i="2" s="1"/>
  <c r="N869" i="2"/>
  <c r="N966" i="2" s="1"/>
  <c r="M869" i="2"/>
  <c r="M966" i="2" s="1"/>
  <c r="L869" i="2"/>
  <c r="L966" i="2" s="1"/>
  <c r="K869" i="2"/>
  <c r="K966" i="2" s="1"/>
  <c r="J869" i="2"/>
  <c r="J966" i="2" s="1"/>
  <c r="T868" i="2"/>
  <c r="T965" i="2" s="1"/>
  <c r="S868" i="2"/>
  <c r="S965" i="2" s="1"/>
  <c r="R868" i="2"/>
  <c r="R965" i="2" s="1"/>
  <c r="Q868" i="2"/>
  <c r="Q965" i="2" s="1"/>
  <c r="P868" i="2"/>
  <c r="P965" i="2" s="1"/>
  <c r="O868" i="2"/>
  <c r="O965" i="2" s="1"/>
  <c r="N868" i="2"/>
  <c r="N965" i="2" s="1"/>
  <c r="M868" i="2"/>
  <c r="M965" i="2" s="1"/>
  <c r="L868" i="2"/>
  <c r="L965" i="2" s="1"/>
  <c r="K868" i="2"/>
  <c r="K965" i="2" s="1"/>
  <c r="J868" i="2"/>
  <c r="J965" i="2" s="1"/>
  <c r="Y864" i="2"/>
  <c r="X864" i="2"/>
  <c r="W864" i="2"/>
  <c r="V864" i="2"/>
  <c r="U864" i="2"/>
  <c r="T864" i="2"/>
  <c r="S864" i="2"/>
  <c r="R864" i="2"/>
  <c r="Q864" i="2"/>
  <c r="P864" i="2"/>
  <c r="O864" i="2"/>
  <c r="N864" i="2"/>
  <c r="M864" i="2"/>
  <c r="L864" i="2"/>
  <c r="K864" i="2"/>
  <c r="J864" i="2"/>
  <c r="AA861" i="2"/>
  <c r="AA860" i="2"/>
  <c r="AH859" i="2"/>
  <c r="AG859" i="2"/>
  <c r="JB649" i="5" s="1"/>
  <c r="IZ649" i="5" s="1"/>
  <c r="JA649" i="5" s="1"/>
  <c r="Z859" i="2"/>
  <c r="ID649" i="5" s="1"/>
  <c r="AH856" i="2"/>
  <c r="AG856" i="2"/>
  <c r="AG855" i="2"/>
  <c r="Z855" i="2"/>
  <c r="ID646" i="5" s="1"/>
  <c r="AG854" i="2"/>
  <c r="JB645" i="5" s="1"/>
  <c r="IZ645" i="5" s="1"/>
  <c r="JA645" i="5" s="1"/>
  <c r="AA854" i="2"/>
  <c r="AJ853" i="2"/>
  <c r="AI853" i="2"/>
  <c r="AH853" i="2"/>
  <c r="AG853" i="2"/>
  <c r="Z852" i="2"/>
  <c r="AD851" i="2"/>
  <c r="AD850" i="2"/>
  <c r="Z848" i="2"/>
  <c r="ID642" i="5" s="1"/>
  <c r="AA847" i="2"/>
  <c r="Z846" i="2"/>
  <c r="ID639" i="5" s="1"/>
  <c r="AG845" i="2"/>
  <c r="JB638" i="5" s="1"/>
  <c r="Z845" i="2"/>
  <c r="ID638" i="5" s="1"/>
  <c r="AG844" i="2"/>
  <c r="JB637" i="5" s="1"/>
  <c r="Z844" i="2"/>
  <c r="ID637" i="5" s="1"/>
  <c r="E843" i="2"/>
  <c r="AD841" i="2"/>
  <c r="AG840" i="2"/>
  <c r="JB634" i="5" s="1"/>
  <c r="IZ634" i="5" s="1"/>
  <c r="JA634" i="5" s="1"/>
  <c r="AD840" i="2"/>
  <c r="AA840" i="2"/>
  <c r="AA839" i="2"/>
  <c r="AA838" i="2"/>
  <c r="AA837" i="2"/>
  <c r="D836" i="2"/>
  <c r="D835" i="2"/>
  <c r="Z834" i="2"/>
  <c r="ID628" i="5" s="1"/>
  <c r="Z832" i="2"/>
  <c r="ID626" i="5" s="1"/>
  <c r="AA830" i="2"/>
  <c r="AA829" i="2"/>
  <c r="AG827" i="2"/>
  <c r="AD827" i="2"/>
  <c r="Z826" i="2"/>
  <c r="Z390" i="2" s="1"/>
  <c r="AH820" i="2"/>
  <c r="JE616" i="5" s="1"/>
  <c r="JC616" i="5" s="1"/>
  <c r="AG820" i="2"/>
  <c r="JB616" i="5" s="1"/>
  <c r="IZ616" i="5" s="1"/>
  <c r="Z820" i="2"/>
  <c r="ID616" i="5" s="1"/>
  <c r="AH819" i="2"/>
  <c r="JE615" i="5" s="1"/>
  <c r="JC615" i="5" s="1"/>
  <c r="Z819" i="2"/>
  <c r="Z685" i="2" s="1"/>
  <c r="Y816" i="2"/>
  <c r="X816" i="2"/>
  <c r="X1206" i="2" s="1"/>
  <c r="W816" i="2"/>
  <c r="V816" i="2" s="1"/>
  <c r="AG814" i="2"/>
  <c r="AD813" i="2"/>
  <c r="AG812" i="2"/>
  <c r="AD812" i="2"/>
  <c r="Z810" i="2"/>
  <c r="Y1615" i="2" s="1"/>
  <c r="T809" i="2"/>
  <c r="S809" i="2"/>
  <c r="R809" i="2"/>
  <c r="Z808" i="2"/>
  <c r="JN605" i="5"/>
  <c r="JL605" i="5" s="1"/>
  <c r="AJ807" i="2"/>
  <c r="JK605" i="5" s="1"/>
  <c r="JI605" i="5" s="1"/>
  <c r="JJ605" i="5" s="1"/>
  <c r="AI807" i="2"/>
  <c r="JH605" i="5" s="1"/>
  <c r="AH807" i="2"/>
  <c r="JE605" i="5" s="1"/>
  <c r="Z807" i="2"/>
  <c r="ID605" i="5" s="1"/>
  <c r="AI806" i="2"/>
  <c r="AH806" i="2"/>
  <c r="AG806" i="2"/>
  <c r="AG804" i="2" s="1"/>
  <c r="JB602" i="5" s="1"/>
  <c r="JN603" i="5"/>
  <c r="AJ805" i="2"/>
  <c r="JK603" i="5" s="1"/>
  <c r="AI805" i="2"/>
  <c r="JH603" i="5" s="1"/>
  <c r="AH805" i="2"/>
  <c r="JE603" i="5" s="1"/>
  <c r="AG805" i="2"/>
  <c r="Z805" i="2"/>
  <c r="AG803" i="2"/>
  <c r="JB601" i="5" s="1"/>
  <c r="IZ601" i="5" s="1"/>
  <c r="AA803" i="2"/>
  <c r="JN600" i="5"/>
  <c r="AJ802" i="2"/>
  <c r="JK600" i="5" s="1"/>
  <c r="AI802" i="2"/>
  <c r="AH802" i="2"/>
  <c r="JE600" i="5" s="1"/>
  <c r="AG802" i="2"/>
  <c r="JB600" i="5" s="1"/>
  <c r="AD800" i="2"/>
  <c r="AI797" i="2"/>
  <c r="JH597" i="5" s="1"/>
  <c r="AG796" i="2"/>
  <c r="JB597" i="5" s="1"/>
  <c r="AD794" i="2"/>
  <c r="Z793" i="2"/>
  <c r="Z378" i="2" s="1"/>
  <c r="AD792" i="2"/>
  <c r="AD791" i="2"/>
  <c r="AD790" i="2"/>
  <c r="Z789" i="2"/>
  <c r="Z816" i="2" s="1"/>
  <c r="Y787" i="2"/>
  <c r="X787" i="2"/>
  <c r="W787" i="2"/>
  <c r="V787" i="2"/>
  <c r="U787" i="2"/>
  <c r="AG782" i="2"/>
  <c r="AG781" i="2"/>
  <c r="AJ780" i="2"/>
  <c r="AJ779" i="2" s="1"/>
  <c r="AJ951" i="2" s="1"/>
  <c r="AJ999" i="2" s="1"/>
  <c r="AI780" i="2"/>
  <c r="AI779" i="2" s="1"/>
  <c r="JH582" i="5" s="1"/>
  <c r="AH780" i="2"/>
  <c r="JE583" i="5" s="1"/>
  <c r="AG780" i="2"/>
  <c r="JB583" i="5" s="1"/>
  <c r="Z779" i="2"/>
  <c r="AJ778" i="2"/>
  <c r="JK581" i="5" s="1"/>
  <c r="AI778" i="2"/>
  <c r="JH581" i="5" s="1"/>
  <c r="AH778" i="2"/>
  <c r="JE581" i="5" s="1"/>
  <c r="AD778" i="2"/>
  <c r="AA778" i="2"/>
  <c r="AG777" i="2"/>
  <c r="AG778" i="2" s="1"/>
  <c r="D777" i="2"/>
  <c r="AJ775" i="2"/>
  <c r="AJ774" i="2" s="1"/>
  <c r="AI775" i="2"/>
  <c r="AI774" i="2" s="1"/>
  <c r="AH775" i="2"/>
  <c r="JE579" i="5" s="1"/>
  <c r="AG775" i="2"/>
  <c r="AG774" i="2" s="1"/>
  <c r="JB578" i="5" s="1"/>
  <c r="Z774" i="2"/>
  <c r="AC772" i="2"/>
  <c r="AC949" i="2" s="1"/>
  <c r="AE1841" i="2" s="1"/>
  <c r="AB772" i="2"/>
  <c r="AB949" i="2" s="1"/>
  <c r="AC1841" i="2" s="1"/>
  <c r="AG771" i="2"/>
  <c r="AD771" i="2"/>
  <c r="AG770" i="2"/>
  <c r="AD770" i="2"/>
  <c r="AG769" i="2"/>
  <c r="AD769" i="2"/>
  <c r="Z765" i="2"/>
  <c r="Z764" i="2"/>
  <c r="ID571" i="5" s="1"/>
  <c r="AD762" i="2"/>
  <c r="Z759" i="2"/>
  <c r="ID566" i="5" s="1"/>
  <c r="Z758" i="2"/>
  <c r="ID565" i="5" s="1"/>
  <c r="Y753" i="2"/>
  <c r="X753" i="2"/>
  <c r="W753" i="2"/>
  <c r="V753" i="2"/>
  <c r="AF751" i="2"/>
  <c r="IY558" i="5" s="1"/>
  <c r="AE751" i="2"/>
  <c r="IV558" i="5" s="1"/>
  <c r="IT558" i="5" s="1"/>
  <c r="Q13" i="7" s="1"/>
  <c r="Z751" i="2"/>
  <c r="Z753" i="2" s="1"/>
  <c r="ID560" i="5" s="1"/>
  <c r="Z748" i="2"/>
  <c r="Y743" i="2"/>
  <c r="X743" i="2"/>
  <c r="W743" i="2"/>
  <c r="W868" i="2" s="1"/>
  <c r="W965" i="2" s="1"/>
  <c r="V743" i="2"/>
  <c r="V870" i="2" s="1"/>
  <c r="V967" i="2" s="1"/>
  <c r="U743" i="2"/>
  <c r="U871" i="2" s="1"/>
  <c r="U968" i="2" s="1"/>
  <c r="AC718" i="2"/>
  <c r="AB718" i="2"/>
  <c r="Y718" i="2"/>
  <c r="X718" i="2"/>
  <c r="W718" i="2"/>
  <c r="AA717" i="2"/>
  <c r="Z717" i="2"/>
  <c r="Y717" i="2"/>
  <c r="X717" i="2"/>
  <c r="W717" i="2"/>
  <c r="AC716" i="2"/>
  <c r="AB716" i="2"/>
  <c r="Y716" i="2"/>
  <c r="X716" i="2"/>
  <c r="W716" i="2"/>
  <c r="AA715" i="2"/>
  <c r="Z715" i="2"/>
  <c r="Y715" i="2"/>
  <c r="X715" i="2"/>
  <c r="W715" i="2"/>
  <c r="AI710" i="2"/>
  <c r="AJ710" i="2" s="1"/>
  <c r="AK710" i="2" s="1"/>
  <c r="AL710" i="2" s="1"/>
  <c r="AG710" i="2"/>
  <c r="AC710" i="2"/>
  <c r="AC1203" i="2" s="1"/>
  <c r="AB710" i="2"/>
  <c r="AB1203" i="2" s="1"/>
  <c r="AC706" i="2"/>
  <c r="AB706" i="2"/>
  <c r="AE700" i="2"/>
  <c r="AD699" i="2"/>
  <c r="AB699" i="2"/>
  <c r="AM691" i="2"/>
  <c r="AI691" i="2"/>
  <c r="AH691" i="2"/>
  <c r="AG691" i="2"/>
  <c r="AF691" i="2"/>
  <c r="AE691" i="2"/>
  <c r="AD691" i="2"/>
  <c r="AC691" i="2"/>
  <c r="AB691" i="2"/>
  <c r="AA691" i="2"/>
  <c r="Z691" i="2"/>
  <c r="Y691" i="2"/>
  <c r="X691" i="2"/>
  <c r="W691" i="2"/>
  <c r="V691" i="2"/>
  <c r="AI686" i="2"/>
  <c r="AI685" i="2"/>
  <c r="AF685" i="2"/>
  <c r="AE685" i="2"/>
  <c r="AD685" i="2"/>
  <c r="AC685" i="2"/>
  <c r="AB685" i="2"/>
  <c r="Y685" i="2"/>
  <c r="X685" i="2"/>
  <c r="X681" i="2"/>
  <c r="W681" i="2"/>
  <c r="X676" i="2"/>
  <c r="AB669" i="2"/>
  <c r="E658" i="2"/>
  <c r="E657" i="2"/>
  <c r="V654" i="2"/>
  <c r="U1647" i="2" s="1"/>
  <c r="AF643" i="2"/>
  <c r="AD637" i="2"/>
  <c r="AM636" i="2"/>
  <c r="AI636" i="2"/>
  <c r="AH636" i="2"/>
  <c r="AG636" i="2"/>
  <c r="AF636" i="2"/>
  <c r="AE636" i="2"/>
  <c r="AD636" i="2"/>
  <c r="AC636" i="2"/>
  <c r="AB636" i="2"/>
  <c r="AA636" i="2"/>
  <c r="Z636" i="2"/>
  <c r="Y636" i="2"/>
  <c r="X636" i="2"/>
  <c r="W636" i="2"/>
  <c r="Y635" i="2"/>
  <c r="X635" i="2"/>
  <c r="W635" i="2"/>
  <c r="V635" i="2"/>
  <c r="Y632" i="2"/>
  <c r="X632" i="2"/>
  <c r="W632" i="2"/>
  <c r="V632" i="2"/>
  <c r="D632" i="2"/>
  <c r="AD627" i="2"/>
  <c r="AC625" i="2"/>
  <c r="AA625" i="2"/>
  <c r="AB622" i="2"/>
  <c r="AA620" i="2"/>
  <c r="AB620" i="2" s="1"/>
  <c r="AC620" i="2" s="1"/>
  <c r="AD620" i="2" s="1"/>
  <c r="AE620" i="2" s="1"/>
  <c r="AF620" i="2" s="1"/>
  <c r="AG620" i="2" s="1"/>
  <c r="AH620" i="2" s="1"/>
  <c r="AI620" i="2" s="1"/>
  <c r="AF619" i="2"/>
  <c r="AE619" i="2"/>
  <c r="AD619" i="2"/>
  <c r="AC619" i="2"/>
  <c r="AB619" i="2"/>
  <c r="AA619" i="2"/>
  <c r="Z619" i="2"/>
  <c r="Y619" i="2"/>
  <c r="X619" i="2"/>
  <c r="W619" i="2"/>
  <c r="V619" i="2"/>
  <c r="U619" i="2"/>
  <c r="T619" i="2"/>
  <c r="S619" i="2"/>
  <c r="R619" i="2"/>
  <c r="Q619" i="2"/>
  <c r="P619" i="2"/>
  <c r="AM618" i="2"/>
  <c r="AI618" i="2"/>
  <c r="AH618" i="2"/>
  <c r="AG618" i="2"/>
  <c r="AF618" i="2"/>
  <c r="AE618" i="2"/>
  <c r="AD618" i="2"/>
  <c r="AC618" i="2"/>
  <c r="AB618" i="2"/>
  <c r="AA618" i="2"/>
  <c r="Z618" i="2"/>
  <c r="AM616" i="2"/>
  <c r="AI616" i="2"/>
  <c r="AH616" i="2"/>
  <c r="AG616" i="2"/>
  <c r="AF616" i="2"/>
  <c r="AE616" i="2"/>
  <c r="AD616" i="2"/>
  <c r="AC616" i="2"/>
  <c r="AB616" i="2"/>
  <c r="AA616" i="2"/>
  <c r="Z616" i="2"/>
  <c r="Y616" i="2"/>
  <c r="X616" i="2"/>
  <c r="W616" i="2"/>
  <c r="AB615" i="2"/>
  <c r="AM614" i="2"/>
  <c r="AI614" i="2"/>
  <c r="AH614" i="2"/>
  <c r="AG614" i="2"/>
  <c r="AF614" i="2"/>
  <c r="AE614" i="2"/>
  <c r="AD614" i="2"/>
  <c r="AC614" i="2"/>
  <c r="AB614" i="2"/>
  <c r="AA614" i="2"/>
  <c r="Z614" i="2"/>
  <c r="Y614" i="2"/>
  <c r="X614" i="2"/>
  <c r="W614" i="2"/>
  <c r="AM612" i="2"/>
  <c r="AI612" i="2"/>
  <c r="AH612" i="2"/>
  <c r="AG612" i="2"/>
  <c r="AF612" i="2"/>
  <c r="AE612" i="2"/>
  <c r="AD612" i="2"/>
  <c r="AC612" i="2"/>
  <c r="AB612" i="2"/>
  <c r="AA612" i="2"/>
  <c r="Z612" i="2"/>
  <c r="Y612" i="2"/>
  <c r="X612" i="2"/>
  <c r="W612" i="2"/>
  <c r="Y606" i="2"/>
  <c r="Z606" i="2" s="1"/>
  <c r="X606" i="2"/>
  <c r="W606" i="2"/>
  <c r="V606" i="2"/>
  <c r="AK438" i="2"/>
  <c r="AI438" i="2"/>
  <c r="AH438" i="2"/>
  <c r="AG438" i="2"/>
  <c r="AF438" i="2"/>
  <c r="AE438" i="2"/>
  <c r="AD438" i="2"/>
  <c r="AC438" i="2"/>
  <c r="AB438" i="2"/>
  <c r="AA438" i="2"/>
  <c r="Z438" i="2"/>
  <c r="Y438" i="2"/>
  <c r="X438" i="2"/>
  <c r="W438" i="2"/>
  <c r="V438" i="2"/>
  <c r="D437" i="2"/>
  <c r="D436" i="2"/>
  <c r="AC434" i="2"/>
  <c r="AD434" i="2" s="1"/>
  <c r="AL433" i="2"/>
  <c r="AK433" i="2"/>
  <c r="AK1767" i="2" s="1"/>
  <c r="AJ433" i="2"/>
  <c r="AJ1767" i="2" s="1"/>
  <c r="AI433" i="2"/>
  <c r="AI1767" i="2" s="1"/>
  <c r="AH433" i="2"/>
  <c r="AH1767" i="2" s="1"/>
  <c r="AG433" i="2"/>
  <c r="AG1767" i="2" s="1"/>
  <c r="AF433" i="2"/>
  <c r="AF1767" i="2" s="1"/>
  <c r="AD433" i="2"/>
  <c r="AD1767" i="2" s="1"/>
  <c r="AB433" i="2"/>
  <c r="AB432" i="2"/>
  <c r="AB430" i="2" s="1"/>
  <c r="AB1764" i="2" s="1"/>
  <c r="Z432" i="2"/>
  <c r="AE431" i="2"/>
  <c r="AE433" i="2" s="1"/>
  <c r="Y431" i="2"/>
  <c r="Y432" i="2" s="1"/>
  <c r="Z433" i="2" s="1"/>
  <c r="AM430" i="2"/>
  <c r="AM1755" i="2" s="1"/>
  <c r="AL430" i="2"/>
  <c r="AL1755" i="2" s="1"/>
  <c r="AK430" i="2"/>
  <c r="AK1764" i="2" s="1"/>
  <c r="AJ430" i="2"/>
  <c r="AJ1764" i="2" s="1"/>
  <c r="AI430" i="2"/>
  <c r="AI1755" i="2" s="1"/>
  <c r="AH430" i="2"/>
  <c r="AH1755" i="2" s="1"/>
  <c r="AG430" i="2"/>
  <c r="AF430" i="2"/>
  <c r="AD430" i="2"/>
  <c r="AC430" i="2"/>
  <c r="AC1764" i="2" s="1"/>
  <c r="AM428" i="2"/>
  <c r="AL428" i="2"/>
  <c r="AK428" i="2"/>
  <c r="AJ428" i="2"/>
  <c r="AJ565" i="2" s="1"/>
  <c r="AI428" i="2"/>
  <c r="AH428" i="2"/>
  <c r="AG428" i="2"/>
  <c r="AF428" i="2"/>
  <c r="AE428" i="2"/>
  <c r="AD428" i="2"/>
  <c r="AC428" i="2"/>
  <c r="AB428" i="2"/>
  <c r="AA428" i="2"/>
  <c r="Z428" i="2"/>
  <c r="Y428" i="2"/>
  <c r="X428" i="2"/>
  <c r="X565" i="2" s="1"/>
  <c r="W428" i="2"/>
  <c r="W565" i="2" s="1"/>
  <c r="V428" i="2"/>
  <c r="V565" i="2" s="1"/>
  <c r="V566" i="2" s="1"/>
  <c r="U428" i="2"/>
  <c r="T428" i="2"/>
  <c r="S428" i="2"/>
  <c r="R428" i="2"/>
  <c r="Q428" i="2"/>
  <c r="P428" i="2"/>
  <c r="O428" i="2"/>
  <c r="N428" i="2"/>
  <c r="M428" i="2"/>
  <c r="AL426" i="2"/>
  <c r="AI426" i="2"/>
  <c r="AH426" i="2"/>
  <c r="AG426" i="2"/>
  <c r="AF426" i="2"/>
  <c r="AE426" i="2"/>
  <c r="AD426" i="2"/>
  <c r="AC426" i="2"/>
  <c r="AB426" i="2"/>
  <c r="AA426" i="2"/>
  <c r="Z426" i="2"/>
  <c r="Y426" i="2"/>
  <c r="X426" i="2"/>
  <c r="X468" i="2" s="1"/>
  <c r="W426" i="2"/>
  <c r="V426" i="2"/>
  <c r="U426" i="2"/>
  <c r="T426" i="2"/>
  <c r="S426" i="2"/>
  <c r="R426" i="2"/>
  <c r="Q426" i="2"/>
  <c r="P426" i="2"/>
  <c r="O426" i="2"/>
  <c r="N426" i="2"/>
  <c r="AM425" i="2"/>
  <c r="AL425" i="2"/>
  <c r="AJ425" i="2"/>
  <c r="AJ497" i="2" s="1"/>
  <c r="AH425" i="2"/>
  <c r="AG425" i="2"/>
  <c r="AF425" i="2"/>
  <c r="AD425" i="2"/>
  <c r="AC425" i="2"/>
  <c r="AB425" i="2"/>
  <c r="AA425" i="2"/>
  <c r="Z425" i="2"/>
  <c r="Y425" i="2"/>
  <c r="X425" i="2"/>
  <c r="X497" i="2" s="1"/>
  <c r="W425" i="2"/>
  <c r="W518" i="2" s="1"/>
  <c r="V425" i="2"/>
  <c r="U425" i="2"/>
  <c r="T425" i="2"/>
  <c r="S425" i="2"/>
  <c r="R425" i="2"/>
  <c r="Q425" i="2"/>
  <c r="P425" i="2"/>
  <c r="O425" i="2"/>
  <c r="N425" i="2"/>
  <c r="M425" i="2"/>
  <c r="L425" i="2"/>
  <c r="K425" i="2"/>
  <c r="J425" i="2"/>
  <c r="J424" i="2"/>
  <c r="I424" i="2"/>
  <c r="H424" i="2"/>
  <c r="AL423" i="2"/>
  <c r="AK423" i="2"/>
  <c r="AJ423" i="2"/>
  <c r="AI423" i="2"/>
  <c r="AG423" i="2"/>
  <c r="AF423" i="2"/>
  <c r="AE423" i="2"/>
  <c r="AD423" i="2"/>
  <c r="AC423" i="2"/>
  <c r="AB423" i="2"/>
  <c r="AA423" i="2"/>
  <c r="Z423" i="2"/>
  <c r="Y423" i="2"/>
  <c r="X423" i="2"/>
  <c r="W423" i="2"/>
  <c r="W573" i="2" s="1"/>
  <c r="V423" i="2"/>
  <c r="V464" i="2" s="1"/>
  <c r="U423" i="2"/>
  <c r="T423" i="2"/>
  <c r="S423" i="2"/>
  <c r="R423" i="2"/>
  <c r="Q423" i="2"/>
  <c r="P423" i="2"/>
  <c r="O423" i="2"/>
  <c r="N423" i="2"/>
  <c r="M423" i="2"/>
  <c r="L423" i="2"/>
  <c r="K423" i="2"/>
  <c r="AL421" i="2"/>
  <c r="AK421" i="2"/>
  <c r="AI421" i="2"/>
  <c r="AF421" i="2"/>
  <c r="AJ443" i="2" s="1"/>
  <c r="AE421" i="2"/>
  <c r="AD421" i="2"/>
  <c r="AC421" i="2"/>
  <c r="AB421" i="2"/>
  <c r="AB1544" i="2" s="1"/>
  <c r="AA421" i="2"/>
  <c r="AA1544" i="2" s="1"/>
  <c r="Z421" i="2"/>
  <c r="Z1385" i="2" s="1"/>
  <c r="Y421" i="2"/>
  <c r="Y1385" i="2" s="1"/>
  <c r="X421" i="2"/>
  <c r="W421" i="2"/>
  <c r="W580" i="2" s="1"/>
  <c r="V421" i="2"/>
  <c r="U421" i="2"/>
  <c r="U424" i="2" s="1"/>
  <c r="T421" i="2"/>
  <c r="S421" i="2"/>
  <c r="R421" i="2"/>
  <c r="Q421" i="2"/>
  <c r="P421" i="2"/>
  <c r="O421" i="2"/>
  <c r="N421" i="2"/>
  <c r="N424" i="2" s="1"/>
  <c r="M421" i="2"/>
  <c r="M424" i="2" s="1"/>
  <c r="L421" i="2"/>
  <c r="L424" i="2" s="1"/>
  <c r="K421" i="2"/>
  <c r="K424" i="2" s="1"/>
  <c r="AF410" i="2"/>
  <c r="AE410" i="2"/>
  <c r="AC410" i="2"/>
  <c r="AB410" i="2"/>
  <c r="Y410" i="2"/>
  <c r="X410" i="2"/>
  <c r="W410" i="2"/>
  <c r="AA409" i="2"/>
  <c r="Z409" i="2"/>
  <c r="Y409" i="2"/>
  <c r="X409" i="2"/>
  <c r="X1271" i="2" s="1"/>
  <c r="W409" i="2"/>
  <c r="W1271" i="2" s="1"/>
  <c r="AC408" i="2"/>
  <c r="AB408" i="2"/>
  <c r="Y408" i="2"/>
  <c r="X408" i="2"/>
  <c r="W408" i="2"/>
  <c r="AA407" i="2"/>
  <c r="Z407" i="2"/>
  <c r="Y407" i="2"/>
  <c r="X407" i="2"/>
  <c r="W407" i="2"/>
  <c r="AI402" i="2"/>
  <c r="AK402" i="2"/>
  <c r="AL402" i="2" s="1"/>
  <c r="AM402" i="2" s="1"/>
  <c r="AN402" i="2" s="1"/>
  <c r="AO402" i="2" s="1"/>
  <c r="AC402" i="2"/>
  <c r="AB402" i="2"/>
  <c r="AC401" i="2"/>
  <c r="AB401" i="2"/>
  <c r="AE400" i="2"/>
  <c r="AD399" i="2"/>
  <c r="AB399" i="2"/>
  <c r="AI398" i="2"/>
  <c r="AG397" i="2"/>
  <c r="AG846" i="2" s="1"/>
  <c r="JB639" i="5" s="1"/>
  <c r="IZ639" i="5" s="1"/>
  <c r="AF397" i="2"/>
  <c r="AE397" i="2"/>
  <c r="AD397" i="2"/>
  <c r="AC397" i="2"/>
  <c r="AB397" i="2"/>
  <c r="AK392" i="2"/>
  <c r="AI392" i="2"/>
  <c r="AH392" i="2"/>
  <c r="AG392" i="2"/>
  <c r="AF392" i="2"/>
  <c r="AE392" i="2"/>
  <c r="AD392" i="2"/>
  <c r="AC392" i="2"/>
  <c r="AB392" i="2"/>
  <c r="AA392" i="2"/>
  <c r="Z392" i="2"/>
  <c r="Y392" i="2"/>
  <c r="X392" i="2"/>
  <c r="W392" i="2"/>
  <c r="V392" i="2"/>
  <c r="AG390" i="2"/>
  <c r="AF390" i="2"/>
  <c r="AC390" i="2"/>
  <c r="Y390" i="2"/>
  <c r="X390" i="2"/>
  <c r="W390" i="2"/>
  <c r="V390" i="2"/>
  <c r="AI387" i="2"/>
  <c r="AJ686" i="2" s="1"/>
  <c r="AI386" i="2"/>
  <c r="AJ685" i="2" s="1"/>
  <c r="AG386" i="2"/>
  <c r="AG819" i="2" s="1"/>
  <c r="JB615" i="5" s="1"/>
  <c r="IZ615" i="5" s="1"/>
  <c r="AF386" i="2"/>
  <c r="AE386" i="2"/>
  <c r="AD386" i="2"/>
  <c r="AC386" i="2"/>
  <c r="AB386" i="2"/>
  <c r="Y386" i="2"/>
  <c r="X386" i="2"/>
  <c r="AB384" i="2"/>
  <c r="AC382" i="2"/>
  <c r="Y378" i="2"/>
  <c r="X378" i="2"/>
  <c r="W378" i="2"/>
  <c r="E375" i="2"/>
  <c r="E374" i="2"/>
  <c r="AI373" i="2"/>
  <c r="AK373" i="2"/>
  <c r="AI372" i="2"/>
  <c r="V372" i="2"/>
  <c r="AH367" i="2"/>
  <c r="AG367" i="2"/>
  <c r="AF367" i="2"/>
  <c r="AE367" i="2"/>
  <c r="AC367" i="2"/>
  <c r="AC366" i="2"/>
  <c r="AB366" i="2"/>
  <c r="AD355" i="2"/>
  <c r="AE637" i="2" s="1"/>
  <c r="AK354" i="2"/>
  <c r="AI354" i="2"/>
  <c r="AH354" i="2"/>
  <c r="AG354" i="2"/>
  <c r="AF354" i="2"/>
  <c r="AF632" i="2" s="1"/>
  <c r="AE354" i="2"/>
  <c r="AE632" i="2" s="1"/>
  <c r="AD354" i="2"/>
  <c r="AC354" i="2"/>
  <c r="AC632" i="2" s="1"/>
  <c r="AB354" i="2"/>
  <c r="AA354" i="2"/>
  <c r="Z354" i="2"/>
  <c r="Y354" i="2"/>
  <c r="X354" i="2"/>
  <c r="W354" i="2"/>
  <c r="V354" i="2"/>
  <c r="U354" i="2"/>
  <c r="T354" i="2"/>
  <c r="S354" i="2"/>
  <c r="R354" i="2"/>
  <c r="Q354" i="2"/>
  <c r="P354" i="2"/>
  <c r="O354" i="2"/>
  <c r="N354" i="2"/>
  <c r="M354" i="2"/>
  <c r="M426" i="2" s="1"/>
  <c r="L354" i="2"/>
  <c r="L426" i="2" s="1"/>
  <c r="K354" i="2"/>
  <c r="K426" i="2" s="1"/>
  <c r="J354" i="2"/>
  <c r="J426" i="2" s="1"/>
  <c r="Y353" i="2"/>
  <c r="X353" i="2"/>
  <c r="W353" i="2"/>
  <c r="V353" i="2"/>
  <c r="AK351" i="2"/>
  <c r="Y350" i="2"/>
  <c r="X350" i="2"/>
  <c r="W350" i="2"/>
  <c r="V350" i="2"/>
  <c r="D350" i="2"/>
  <c r="AD345" i="2"/>
  <c r="AC343" i="2"/>
  <c r="AA343" i="2"/>
  <c r="AB340" i="2"/>
  <c r="AC340" i="2" s="1"/>
  <c r="AK336" i="2"/>
  <c r="AI336" i="2"/>
  <c r="AH336" i="2"/>
  <c r="AG336" i="2"/>
  <c r="AF336" i="2"/>
  <c r="AE336" i="2"/>
  <c r="AD336" i="2"/>
  <c r="AC336" i="2"/>
  <c r="AB336" i="2"/>
  <c r="AA336" i="2"/>
  <c r="Z336" i="2"/>
  <c r="AK334" i="2"/>
  <c r="AI334" i="2"/>
  <c r="AH334" i="2"/>
  <c r="AG334" i="2"/>
  <c r="AF334" i="2"/>
  <c r="AE334" i="2"/>
  <c r="AD334" i="2"/>
  <c r="AC334" i="2"/>
  <c r="AB334" i="2"/>
  <c r="AA334" i="2"/>
  <c r="Z334" i="2"/>
  <c r="Y334" i="2"/>
  <c r="X334" i="2"/>
  <c r="W334" i="2"/>
  <c r="AB333" i="2"/>
  <c r="AC333" i="2" s="1"/>
  <c r="AK332" i="2"/>
  <c r="AI332" i="2"/>
  <c r="AH332" i="2"/>
  <c r="AG332" i="2"/>
  <c r="AF332" i="2"/>
  <c r="AE332" i="2"/>
  <c r="AD332" i="2"/>
  <c r="AC332" i="2"/>
  <c r="AB332" i="2"/>
  <c r="AA332" i="2"/>
  <c r="Z332" i="2"/>
  <c r="Y332" i="2"/>
  <c r="X332" i="2"/>
  <c r="W332" i="2"/>
  <c r="AK330" i="2"/>
  <c r="AI330" i="2"/>
  <c r="AH330" i="2"/>
  <c r="AG330" i="2"/>
  <c r="AF330" i="2"/>
  <c r="AE330" i="2"/>
  <c r="AD330" i="2"/>
  <c r="AC330" i="2"/>
  <c r="AB330" i="2"/>
  <c r="AA330" i="2"/>
  <c r="Z330" i="2"/>
  <c r="Y330" i="2"/>
  <c r="X330" i="2"/>
  <c r="W330" i="2"/>
  <c r="Y329" i="2"/>
  <c r="X329" i="2"/>
  <c r="W329" i="2"/>
  <c r="V329" i="2"/>
  <c r="D329" i="2"/>
  <c r="Y323" i="2"/>
  <c r="Z323" i="2" s="1"/>
  <c r="AA323" i="2" s="1"/>
  <c r="X323" i="2"/>
  <c r="W323" i="2"/>
  <c r="V323" i="2"/>
  <c r="AI321" i="2"/>
  <c r="AK316" i="2"/>
  <c r="AI316" i="2"/>
  <c r="AH316" i="2"/>
  <c r="AG316" i="2"/>
  <c r="AF316" i="2"/>
  <c r="AE316" i="2"/>
  <c r="AD316" i="2"/>
  <c r="AC316" i="2"/>
  <c r="AB316" i="2"/>
  <c r="AA316" i="2"/>
  <c r="Z316" i="2"/>
  <c r="Y316" i="2"/>
  <c r="X316" i="2"/>
  <c r="W316" i="2"/>
  <c r="V316" i="2"/>
  <c r="D315" i="2"/>
  <c r="D314" i="2"/>
  <c r="AC312" i="2"/>
  <c r="AD312" i="2" s="1"/>
  <c r="AE312" i="2" s="1"/>
  <c r="AF312" i="2" s="1"/>
  <c r="AG312" i="2" s="1"/>
  <c r="AH312" i="2" s="1"/>
  <c r="AI312" i="2" s="1"/>
  <c r="AK312" i="2"/>
  <c r="AL312" i="2" s="1"/>
  <c r="AM312" i="2" s="1"/>
  <c r="AN312" i="2" s="1"/>
  <c r="AO312" i="2" s="1"/>
  <c r="AD311" i="2"/>
  <c r="AB311" i="2"/>
  <c r="AB313" i="2" s="1"/>
  <c r="AH310" i="2"/>
  <c r="AB310" i="2"/>
  <c r="AB1757" i="2" s="1"/>
  <c r="Z310" i="2"/>
  <c r="AA311" i="2" s="1"/>
  <c r="AA313" i="2" s="1"/>
  <c r="AG309" i="2"/>
  <c r="AG308" i="2" s="1"/>
  <c r="AF309" i="2"/>
  <c r="AE309" i="2"/>
  <c r="Y309" i="2"/>
  <c r="Y1756" i="2" s="1"/>
  <c r="AD308" i="2"/>
  <c r="AC308" i="2"/>
  <c r="AC1755" i="2" s="1"/>
  <c r="J306" i="2"/>
  <c r="AK305" i="2"/>
  <c r="AI305" i="2"/>
  <c r="AH305" i="2"/>
  <c r="AG305" i="2"/>
  <c r="AF305" i="2"/>
  <c r="AE305" i="2"/>
  <c r="AD305" i="2"/>
  <c r="AC305" i="2"/>
  <c r="AC318" i="2" s="1"/>
  <c r="AB305" i="2"/>
  <c r="AA305" i="2"/>
  <c r="Z305" i="2"/>
  <c r="Y305" i="2"/>
  <c r="Y318" i="2" s="1"/>
  <c r="X305" i="2"/>
  <c r="W305" i="2"/>
  <c r="V305" i="2"/>
  <c r="AK303" i="2"/>
  <c r="AI303" i="2"/>
  <c r="AH303" i="2"/>
  <c r="AG303" i="2"/>
  <c r="AF303" i="2"/>
  <c r="AE303" i="2"/>
  <c r="AI1868" i="2" s="1"/>
  <c r="AD303" i="2"/>
  <c r="AG1868" i="2" s="1"/>
  <c r="AC303" i="2"/>
  <c r="AB303" i="2"/>
  <c r="AB327" i="2" s="1"/>
  <c r="AA303" i="2"/>
  <c r="Z303" i="2"/>
  <c r="Z339" i="2" s="1"/>
  <c r="Y303" i="2"/>
  <c r="Y317" i="2" s="1"/>
  <c r="X303" i="2"/>
  <c r="W303" i="2"/>
  <c r="V303" i="2"/>
  <c r="V389" i="2" s="1"/>
  <c r="U303" i="2"/>
  <c r="T303" i="2"/>
  <c r="S303" i="2"/>
  <c r="R303" i="2"/>
  <c r="R306" i="2" s="1"/>
  <c r="Q303" i="2"/>
  <c r="Q306" i="2" s="1"/>
  <c r="P303" i="2"/>
  <c r="O303" i="2"/>
  <c r="O306" i="2" s="1"/>
  <c r="N303" i="2"/>
  <c r="M303" i="2"/>
  <c r="L303" i="2"/>
  <c r="K303" i="2"/>
  <c r="Z2" i="2"/>
  <c r="AA2" i="2" s="1"/>
  <c r="AB2" i="2" s="1"/>
  <c r="AC2" i="2" s="1"/>
  <c r="AD2" i="2" s="1"/>
  <c r="AE2" i="2" s="1"/>
  <c r="AF2" i="2" s="1"/>
  <c r="D116" i="1"/>
  <c r="D115" i="1"/>
  <c r="D114" i="1"/>
  <c r="D113" i="1"/>
  <c r="D112" i="1"/>
  <c r="A111" i="1"/>
  <c r="F110" i="1"/>
  <c r="D110" i="1"/>
  <c r="F109" i="1"/>
  <c r="D109" i="1"/>
  <c r="A109" i="1"/>
  <c r="F106" i="1"/>
  <c r="D106" i="1"/>
  <c r="A106" i="1"/>
  <c r="L104" i="1"/>
  <c r="F104" i="1"/>
  <c r="A104" i="1"/>
  <c r="F103" i="1"/>
  <c r="D103" i="1"/>
  <c r="A103" i="1"/>
  <c r="L101" i="1"/>
  <c r="F101" i="1"/>
  <c r="D101" i="1"/>
  <c r="A101" i="1"/>
  <c r="F100" i="1"/>
  <c r="D100" i="1"/>
  <c r="A100" i="1"/>
  <c r="D99" i="1"/>
  <c r="D98" i="1"/>
  <c r="F97" i="1"/>
  <c r="D97" i="1"/>
  <c r="A97" i="1"/>
  <c r="F94" i="1"/>
  <c r="D94" i="1"/>
  <c r="A94" i="1"/>
  <c r="D92" i="1"/>
  <c r="F91" i="1"/>
  <c r="D91" i="1"/>
  <c r="A91" i="1"/>
  <c r="D90" i="1"/>
  <c r="D88" i="1"/>
  <c r="D87" i="1"/>
  <c r="F86" i="1"/>
  <c r="D86" i="1"/>
  <c r="A86" i="1"/>
  <c r="F83" i="1"/>
  <c r="A83" i="1"/>
  <c r="D82" i="1"/>
  <c r="F81" i="1"/>
  <c r="D81" i="1"/>
  <c r="A81" i="1"/>
  <c r="D80" i="1"/>
  <c r="D79" i="1"/>
  <c r="F78" i="1"/>
  <c r="D78" i="1"/>
  <c r="A78" i="1"/>
  <c r="D77" i="1"/>
  <c r="F76" i="1"/>
  <c r="D76" i="1"/>
  <c r="A76" i="1"/>
  <c r="D75" i="1"/>
  <c r="F74" i="1"/>
  <c r="D74" i="1"/>
  <c r="A74" i="1"/>
  <c r="D57" i="1"/>
  <c r="D56" i="1"/>
  <c r="D55" i="1"/>
  <c r="D54" i="1"/>
  <c r="D53" i="1"/>
  <c r="D51" i="1"/>
  <c r="D49" i="1"/>
  <c r="H48" i="1"/>
  <c r="D48" i="1"/>
  <c r="H47" i="1"/>
  <c r="D46" i="1"/>
  <c r="H43" i="1"/>
  <c r="H42" i="1"/>
  <c r="D42" i="1"/>
  <c r="H40" i="1"/>
  <c r="H14" i="1"/>
  <c r="JR766" i="5"/>
  <c r="AK398" i="2"/>
  <c r="AK372" i="2"/>
  <c r="AL372" i="2" s="1"/>
  <c r="AJ1741" i="2"/>
  <c r="AJ931" i="2"/>
  <c r="AJ990" i="2" s="1"/>
  <c r="AK309" i="2"/>
  <c r="AJ846" i="2"/>
  <c r="JK639" i="5" s="1"/>
  <c r="JI639" i="5" s="1"/>
  <c r="JI571" i="5"/>
  <c r="JI617" i="5" s="1"/>
  <c r="AK321" i="2"/>
  <c r="AK320" i="2" s="1"/>
  <c r="AJ820" i="2"/>
  <c r="JK616" i="5" s="1"/>
  <c r="AK387" i="2"/>
  <c r="AJ819" i="2"/>
  <c r="AK386" i="2"/>
  <c r="AL685" i="2" s="1"/>
  <c r="AK338" i="2"/>
  <c r="AL338" i="2" s="1"/>
  <c r="AM338" i="2" s="1"/>
  <c r="AN338" i="2" s="1"/>
  <c r="AO338" i="2" s="1"/>
  <c r="AI315" i="2"/>
  <c r="AK310" i="2"/>
  <c r="AL310" i="2" s="1"/>
  <c r="AM310" i="2" s="1"/>
  <c r="AJ764" i="2"/>
  <c r="AJ821" i="2"/>
  <c r="AJ753" i="2"/>
  <c r="AK324" i="2"/>
  <c r="JR836" i="5"/>
  <c r="AJ852" i="2"/>
  <c r="JK643" i="5" s="1"/>
  <c r="AK400" i="2"/>
  <c r="JN643" i="5" s="1"/>
  <c r="AK355" i="2"/>
  <c r="AL637" i="2" s="1"/>
  <c r="AK399" i="2"/>
  <c r="AL399" i="2" s="1"/>
  <c r="AM399" i="2" s="1"/>
  <c r="AK345" i="2"/>
  <c r="AL627" i="2" s="1"/>
  <c r="AK318" i="2"/>
  <c r="AL318" i="2" s="1"/>
  <c r="AM318" i="2" s="1"/>
  <c r="AN318" i="2" s="1"/>
  <c r="AO318" i="2" s="1"/>
  <c r="AK340" i="2"/>
  <c r="AK333" i="2"/>
  <c r="AK343" i="2"/>
  <c r="AL625" i="2" s="1"/>
  <c r="AJ749" i="2"/>
  <c r="AJ766" i="2"/>
  <c r="JK573" i="5" s="1"/>
  <c r="AJ756" i="2"/>
  <c r="JK563" i="5" s="1"/>
  <c r="JI563" i="5" s="1"/>
  <c r="JJ563" i="5" s="1"/>
  <c r="AJ755" i="2"/>
  <c r="AJ621" i="2" s="1"/>
  <c r="AJ912" i="2"/>
  <c r="AK357" i="2"/>
  <c r="AL639" i="2" s="1"/>
  <c r="AJ758" i="2"/>
  <c r="AJ754" i="2"/>
  <c r="JK561" i="5" s="1"/>
  <c r="AK353" i="2"/>
  <c r="AL635" i="2" s="1"/>
  <c r="AN330" i="2"/>
  <c r="AM437" i="2"/>
  <c r="AN433" i="2"/>
  <c r="AN1767" i="2" s="1"/>
  <c r="JU1035" i="5"/>
  <c r="JU817" i="5"/>
  <c r="AN1477" i="2"/>
  <c r="AN1125" i="2"/>
  <c r="JU870" i="5"/>
  <c r="AN1121" i="2"/>
  <c r="JU819" i="5"/>
  <c r="AX17" i="19"/>
  <c r="AZ17" i="19" s="1"/>
  <c r="AN1358" i="2"/>
  <c r="AN436" i="2"/>
  <c r="AN1123" i="2"/>
  <c r="AN1127" i="2"/>
  <c r="JW821" i="5" s="1"/>
  <c r="AO1125" i="2"/>
  <c r="JU825" i="5"/>
  <c r="JU1032" i="5"/>
  <c r="JU820" i="5"/>
  <c r="JV870" i="5"/>
  <c r="JX820" i="5"/>
  <c r="AO436" i="2"/>
  <c r="JY840" i="5" s="1"/>
  <c r="BG17" i="19"/>
  <c r="BI17" i="19" s="1"/>
  <c r="AO433" i="2"/>
  <c r="JX817" i="5"/>
  <c r="AO330" i="2"/>
  <c r="JX871" i="5"/>
  <c r="JY871" i="5" s="1"/>
  <c r="JX819" i="5"/>
  <c r="AO1123" i="2"/>
  <c r="JY870" i="5"/>
  <c r="JZ815" i="5"/>
  <c r="AO1126" i="2"/>
  <c r="AO1477" i="2"/>
  <c r="JX825" i="5"/>
  <c r="AO1127" i="2"/>
  <c r="JZ821" i="5" s="1"/>
  <c r="AO1358" i="2"/>
  <c r="JX870" i="5"/>
  <c r="AN437" i="2"/>
  <c r="AK1229" i="2" l="1"/>
  <c r="AL1229" i="2"/>
  <c r="AM1229" i="2"/>
  <c r="AN1229" i="2"/>
  <c r="AO1229" i="2"/>
  <c r="JZ976" i="5"/>
  <c r="T40" i="21"/>
  <c r="V90" i="21"/>
  <c r="JW820" i="5"/>
  <c r="JV820" i="5" s="1"/>
  <c r="T49" i="21"/>
  <c r="U49" i="21" s="1"/>
  <c r="Q120" i="21"/>
  <c r="R120" i="21" s="1"/>
  <c r="JQ820" i="5"/>
  <c r="T120" i="21"/>
  <c r="U120" i="21" s="1"/>
  <c r="JZ820" i="5"/>
  <c r="JY820" i="5" s="1"/>
  <c r="AI1391" i="2"/>
  <c r="Q49" i="21"/>
  <c r="R49" i="21" s="1"/>
  <c r="JZ1033" i="5"/>
  <c r="JZ819" i="5"/>
  <c r="JY819" i="5" s="1"/>
  <c r="W13" i="21"/>
  <c r="W34" i="21" s="1"/>
  <c r="W33" i="21" s="1"/>
  <c r="AK1271" i="2"/>
  <c r="AL1391" i="2"/>
  <c r="JZ817" i="5"/>
  <c r="JY817" i="5" s="1"/>
  <c r="JW819" i="5"/>
  <c r="JV819" i="5" s="1"/>
  <c r="W90" i="21"/>
  <c r="JT820" i="5"/>
  <c r="JS820" i="5" s="1"/>
  <c r="AH36" i="19"/>
  <c r="AH108" i="19"/>
  <c r="AH33" i="19"/>
  <c r="T90" i="21"/>
  <c r="U90" i="21" s="1"/>
  <c r="AK1391" i="2"/>
  <c r="AK1213" i="2"/>
  <c r="JT1064" i="5"/>
  <c r="JR1064" i="5" s="1"/>
  <c r="JS1064" i="5" s="1"/>
  <c r="AM1391" i="2"/>
  <c r="JO840" i="5"/>
  <c r="AL1146" i="2"/>
  <c r="JN1064" i="5"/>
  <c r="T41" i="21"/>
  <c r="T99" i="21" s="1"/>
  <c r="Q40" i="21"/>
  <c r="R40" i="21" s="1"/>
  <c r="W49" i="19"/>
  <c r="Y49" i="19" s="1"/>
  <c r="Q90" i="21"/>
  <c r="R90" i="21" s="1"/>
  <c r="JQ1018" i="5"/>
  <c r="JO1018" i="5" s="1"/>
  <c r="JW817" i="5"/>
  <c r="JV817" i="5" s="1"/>
  <c r="W41" i="21"/>
  <c r="W99" i="21" s="1"/>
  <c r="Q41" i="21"/>
  <c r="R41" i="21" s="1"/>
  <c r="JW1033" i="5"/>
  <c r="W49" i="21"/>
  <c r="JT817" i="5"/>
  <c r="JS817" i="5" s="1"/>
  <c r="V41" i="21"/>
  <c r="V99" i="21" s="1"/>
  <c r="JQ819" i="5"/>
  <c r="JT819" i="5"/>
  <c r="JS819" i="5" s="1"/>
  <c r="V40" i="21"/>
  <c r="JQ1033" i="5"/>
  <c r="JT1033" i="5"/>
  <c r="V49" i="21"/>
  <c r="JW815" i="5"/>
  <c r="JV815" i="5" s="1"/>
  <c r="W40" i="21"/>
  <c r="JQ817" i="5"/>
  <c r="AL1271" i="2"/>
  <c r="JQ1064" i="5"/>
  <c r="JO1064" i="5" s="1"/>
  <c r="JP1064" i="5" s="1"/>
  <c r="W111" i="19"/>
  <c r="X86" i="19" s="1"/>
  <c r="AA86" i="19" s="1"/>
  <c r="BF95" i="19"/>
  <c r="BI95" i="19"/>
  <c r="AW95" i="19"/>
  <c r="AZ95" i="19"/>
  <c r="AI17" i="19"/>
  <c r="AH17" i="19"/>
  <c r="AV36" i="19"/>
  <c r="AW36" i="19" s="1"/>
  <c r="BE36" i="19"/>
  <c r="BF36" i="19" s="1"/>
  <c r="BE45" i="19"/>
  <c r="BF45" i="19" s="1"/>
  <c r="AV47" i="19"/>
  <c r="AW47" i="19" s="1"/>
  <c r="AV73" i="19"/>
  <c r="BE73" i="19"/>
  <c r="AV75" i="19"/>
  <c r="AW75" i="19" s="1"/>
  <c r="JN1018" i="5"/>
  <c r="W96" i="19"/>
  <c r="Y96" i="19" s="1"/>
  <c r="JN820" i="5"/>
  <c r="W16" i="19"/>
  <c r="Y16" i="19" s="1"/>
  <c r="JN1033" i="5"/>
  <c r="W105" i="19"/>
  <c r="Y105" i="19" s="1"/>
  <c r="JN815" i="5"/>
  <c r="W12" i="19"/>
  <c r="Y12" i="19" s="1"/>
  <c r="JN819" i="5"/>
  <c r="W15" i="19"/>
  <c r="Y15" i="19" s="1"/>
  <c r="JN817" i="5"/>
  <c r="W13" i="19"/>
  <c r="Y13" i="19" s="1"/>
  <c r="AM1271" i="2"/>
  <c r="X1269" i="2"/>
  <c r="W662" i="2"/>
  <c r="X662" i="2"/>
  <c r="AJ519" i="2"/>
  <c r="AJ507" i="2"/>
  <c r="AJ518" i="2"/>
  <c r="AJ533" i="2"/>
  <c r="AE444" i="2"/>
  <c r="AE445" i="2" s="1"/>
  <c r="AJ444" i="2"/>
  <c r="AJ448" i="2"/>
  <c r="AJ440" i="2"/>
  <c r="AJ593" i="2"/>
  <c r="AJ553" i="2"/>
  <c r="AJ452" i="2"/>
  <c r="AJ581" i="2"/>
  <c r="AJ493" i="2"/>
  <c r="AJ589" i="2"/>
  <c r="AJ599" i="2"/>
  <c r="AJ456" i="2"/>
  <c r="AJ577" i="2"/>
  <c r="AJ541" i="2"/>
  <c r="AJ569" i="2"/>
  <c r="AJ573" i="2"/>
  <c r="AJ557" i="2"/>
  <c r="AJ464" i="2"/>
  <c r="AJ603" i="2"/>
  <c r="AD447" i="2"/>
  <c r="JQ889" i="5"/>
  <c r="JT889" i="5"/>
  <c r="JR889" i="5" s="1"/>
  <c r="JZ889" i="5"/>
  <c r="JX889" i="5" s="1"/>
  <c r="JN889" i="5"/>
  <c r="JW889" i="5"/>
  <c r="JU889" i="5" s="1"/>
  <c r="AJ1731" i="2"/>
  <c r="O1678" i="2"/>
  <c r="M1678" i="2"/>
  <c r="K1678" i="2"/>
  <c r="L1678" i="2"/>
  <c r="N1678" i="2"/>
  <c r="AM1273" i="2"/>
  <c r="JT953" i="5"/>
  <c r="JR953" i="5" s="1"/>
  <c r="JS953" i="5" s="1"/>
  <c r="AO1101" i="2"/>
  <c r="JZ795" i="5" s="1"/>
  <c r="JX795" i="5" s="1"/>
  <c r="JW795" i="5"/>
  <c r="JU795" i="5" s="1"/>
  <c r="O96" i="19"/>
  <c r="N96" i="19" s="1"/>
  <c r="AX96" i="19"/>
  <c r="JW1018" i="5"/>
  <c r="JU1018" i="5" s="1"/>
  <c r="AR1272" i="2"/>
  <c r="KI951" i="5" s="1"/>
  <c r="AL1276" i="2"/>
  <c r="JQ955" i="5" s="1"/>
  <c r="JO955" i="5" s="1"/>
  <c r="JP955" i="5" s="1"/>
  <c r="JQ956" i="5"/>
  <c r="AN1350" i="2"/>
  <c r="JW1026" i="5"/>
  <c r="AO96" i="19"/>
  <c r="AQ96" i="19" s="1"/>
  <c r="JT1018" i="5"/>
  <c r="JR1018" i="5" s="1"/>
  <c r="BG96" i="19"/>
  <c r="JZ1018" i="5"/>
  <c r="JX1018" i="5" s="1"/>
  <c r="J1678" i="2"/>
  <c r="AO1282" i="2"/>
  <c r="JZ961" i="5" s="1"/>
  <c r="JX961" i="5" s="1"/>
  <c r="JY961" i="5" s="1"/>
  <c r="JZ962" i="5"/>
  <c r="JX962" i="5" s="1"/>
  <c r="AN1282" i="2"/>
  <c r="JW961" i="5" s="1"/>
  <c r="JU961" i="5" s="1"/>
  <c r="JV961" i="5" s="1"/>
  <c r="JW962" i="5"/>
  <c r="JU962" i="5" s="1"/>
  <c r="JV962" i="5" s="1"/>
  <c r="Q1678" i="2"/>
  <c r="JT765" i="5"/>
  <c r="JR765" i="5" s="1"/>
  <c r="JS765" i="5" s="1"/>
  <c r="S1678" i="2"/>
  <c r="AL1137" i="2"/>
  <c r="JN831" i="5"/>
  <c r="JM831" i="5" s="1"/>
  <c r="P1678" i="2"/>
  <c r="R1678" i="2"/>
  <c r="JY1014" i="5"/>
  <c r="AO1751" i="2" s="1"/>
  <c r="AP1751" i="2"/>
  <c r="AP1750" i="2" s="1"/>
  <c r="JZ902" i="5"/>
  <c r="JX902" i="5" s="1"/>
  <c r="JY902" i="5" s="1"/>
  <c r="T1678" i="2"/>
  <c r="FV912" i="5"/>
  <c r="JH864" i="5"/>
  <c r="AG507" i="2"/>
  <c r="AG533" i="2"/>
  <c r="AF507" i="2"/>
  <c r="AF508" i="2" s="1"/>
  <c r="AF533" i="2"/>
  <c r="AH507" i="2"/>
  <c r="AH533" i="2"/>
  <c r="AG502" i="2"/>
  <c r="AG506" i="2"/>
  <c r="AL351" i="2"/>
  <c r="AM351" i="2" s="1"/>
  <c r="AN351" i="2" s="1"/>
  <c r="AL633" i="2"/>
  <c r="AK632" i="2"/>
  <c r="AL387" i="2"/>
  <c r="AM387" i="2" s="1"/>
  <c r="AN387" i="2" s="1"/>
  <c r="AL686" i="2"/>
  <c r="AE443" i="2"/>
  <c r="AF502" i="2"/>
  <c r="AF506" i="2"/>
  <c r="AI502" i="2"/>
  <c r="AI506" i="2"/>
  <c r="JK693" i="5"/>
  <c r="JI693" i="5" s="1"/>
  <c r="AH502" i="2"/>
  <c r="AH506" i="2"/>
  <c r="AL622" i="2"/>
  <c r="AK629" i="2"/>
  <c r="AK619" i="2"/>
  <c r="AK626" i="2"/>
  <c r="AK623" i="2"/>
  <c r="AK698" i="2"/>
  <c r="AK676" i="2"/>
  <c r="AK1222" i="2" s="1"/>
  <c r="AK564" i="2"/>
  <c r="AL698" i="2"/>
  <c r="AL676" i="2"/>
  <c r="AL1222" i="2" s="1"/>
  <c r="AL564" i="2"/>
  <c r="AJ620" i="2"/>
  <c r="AK620" i="2" s="1"/>
  <c r="AL620" i="2" s="1"/>
  <c r="AM620" i="2" s="1"/>
  <c r="AN620" i="2" s="1"/>
  <c r="AO620" i="2" s="1"/>
  <c r="AP620" i="2" s="1"/>
  <c r="AJ634" i="2"/>
  <c r="JK556" i="5"/>
  <c r="JI556" i="5" s="1"/>
  <c r="JJ556" i="5" s="1"/>
  <c r="AG451" i="2"/>
  <c r="AG447" i="2"/>
  <c r="AE447" i="2"/>
  <c r="AE451" i="2"/>
  <c r="AI447" i="2"/>
  <c r="AI451" i="2"/>
  <c r="AH447" i="2"/>
  <c r="AH451" i="2"/>
  <c r="AF447" i="2"/>
  <c r="AF451" i="2"/>
  <c r="AE448" i="2"/>
  <c r="AE452" i="2"/>
  <c r="AF452" i="2"/>
  <c r="AF448" i="2"/>
  <c r="AH452" i="2"/>
  <c r="AH448" i="2"/>
  <c r="AI448" i="2"/>
  <c r="AI452" i="2"/>
  <c r="AG452" i="2"/>
  <c r="AG448" i="2"/>
  <c r="IC853" i="5"/>
  <c r="JV840" i="5"/>
  <c r="AN532" i="2"/>
  <c r="JS840" i="5"/>
  <c r="AM532" i="2"/>
  <c r="IV997" i="5"/>
  <c r="AF1732" i="2"/>
  <c r="GU755" i="5"/>
  <c r="GU1233" i="5" s="1"/>
  <c r="EM755" i="5"/>
  <c r="DS755" i="5"/>
  <c r="DS1076" i="5" s="1"/>
  <c r="FG755" i="5"/>
  <c r="DR755" i="5"/>
  <c r="DR1076" i="5" s="1"/>
  <c r="EL755" i="5"/>
  <c r="EL1076" i="5" s="1"/>
  <c r="FF755" i="5"/>
  <c r="GZ755" i="5"/>
  <c r="GZ1233" i="5" s="1"/>
  <c r="DE755" i="5"/>
  <c r="DE1076" i="5" s="1"/>
  <c r="DY755" i="5"/>
  <c r="DY1076" i="5" s="1"/>
  <c r="ES755" i="5"/>
  <c r="ES1076" i="5" s="1"/>
  <c r="FM755" i="5"/>
  <c r="HD755" i="5"/>
  <c r="GY755" i="5"/>
  <c r="GY1233" i="5" s="1"/>
  <c r="GX755" i="5"/>
  <c r="GW755" i="5"/>
  <c r="GW1233" i="5" s="1"/>
  <c r="DC755" i="5"/>
  <c r="DC1076" i="5" s="1"/>
  <c r="DG755" i="5"/>
  <c r="DG1076" i="5" s="1"/>
  <c r="EA755" i="5"/>
  <c r="EU755" i="5"/>
  <c r="EU1076" i="5" s="1"/>
  <c r="FO755" i="5"/>
  <c r="HB755" i="5"/>
  <c r="DH755" i="5"/>
  <c r="EB755" i="5"/>
  <c r="EV755" i="5"/>
  <c r="EV1076" i="5" s="1"/>
  <c r="FP755" i="5"/>
  <c r="AG1731" i="2"/>
  <c r="GT755" i="5"/>
  <c r="GT1233" i="5" s="1"/>
  <c r="GO755" i="5"/>
  <c r="GO1233" i="5" s="1"/>
  <c r="GJ755" i="5"/>
  <c r="GJ1233" i="5" s="1"/>
  <c r="HA755" i="5"/>
  <c r="HA1233" i="5" s="1"/>
  <c r="GV755" i="5"/>
  <c r="GV1233" i="5" s="1"/>
  <c r="DX755" i="5"/>
  <c r="GQ755" i="5"/>
  <c r="DF755" i="5"/>
  <c r="DJ755" i="5"/>
  <c r="ED755" i="5"/>
  <c r="EX755" i="5"/>
  <c r="FR755" i="5"/>
  <c r="DK755" i="5"/>
  <c r="EE755" i="5"/>
  <c r="EY755" i="5"/>
  <c r="EY1233" i="5" s="1"/>
  <c r="FS755" i="5"/>
  <c r="GS755" i="5"/>
  <c r="GS1233" i="5" s="1"/>
  <c r="EO755" i="5"/>
  <c r="EO1076" i="5" s="1"/>
  <c r="DL755" i="5"/>
  <c r="EF755" i="5"/>
  <c r="EZ755" i="5"/>
  <c r="FT755" i="5"/>
  <c r="GR755" i="5"/>
  <c r="GR1233" i="5" s="1"/>
  <c r="GM755" i="5"/>
  <c r="GM1233" i="5" s="1"/>
  <c r="EN755" i="5"/>
  <c r="DV755" i="5"/>
  <c r="DV1076" i="5" s="1"/>
  <c r="ET755" i="5"/>
  <c r="ET1076" i="5" s="1"/>
  <c r="EC755" i="5"/>
  <c r="EC1076" i="5" s="1"/>
  <c r="DM755" i="5"/>
  <c r="EG755" i="5"/>
  <c r="FA755" i="5"/>
  <c r="FU755" i="5"/>
  <c r="DT755" i="5"/>
  <c r="GN755" i="5"/>
  <c r="GN1233" i="5" s="1"/>
  <c r="GI755" i="5"/>
  <c r="GI1233" i="5" s="1"/>
  <c r="DU755" i="5"/>
  <c r="DU1076" i="5" s="1"/>
  <c r="FK755" i="5"/>
  <c r="FK1233" i="5" s="1"/>
  <c r="DD755" i="5"/>
  <c r="DD1076" i="5" s="1"/>
  <c r="FN755" i="5"/>
  <c r="FN1233" i="5" s="1"/>
  <c r="DI755" i="5"/>
  <c r="DI1076" i="5" s="1"/>
  <c r="DN755" i="5"/>
  <c r="DN1076" i="5" s="1"/>
  <c r="EH755" i="5"/>
  <c r="EH1076" i="5" s="1"/>
  <c r="FB755" i="5"/>
  <c r="FV755" i="5"/>
  <c r="FV1076" i="5" s="1"/>
  <c r="FH755" i="5"/>
  <c r="FI755" i="5"/>
  <c r="EP755" i="5"/>
  <c r="EP1076" i="5" s="1"/>
  <c r="EQ755" i="5"/>
  <c r="GL755" i="5"/>
  <c r="GL1233" i="5" s="1"/>
  <c r="HC755" i="5"/>
  <c r="EW755" i="5"/>
  <c r="EW1076" i="5" s="1"/>
  <c r="DO755" i="5"/>
  <c r="EI755" i="5"/>
  <c r="FC755" i="5"/>
  <c r="HF755" i="5"/>
  <c r="HF1233" i="5" s="1"/>
  <c r="FL755" i="5"/>
  <c r="FL1076" i="5" s="1"/>
  <c r="HE755" i="5"/>
  <c r="HE1233" i="5" s="1"/>
  <c r="DP755" i="5"/>
  <c r="EJ755" i="5"/>
  <c r="EJ1076" i="5" s="1"/>
  <c r="FD755" i="5"/>
  <c r="GP755" i="5"/>
  <c r="GP1233" i="5" s="1"/>
  <c r="GK755" i="5"/>
  <c r="GK1233" i="5" s="1"/>
  <c r="FJ755" i="5"/>
  <c r="DW755" i="5"/>
  <c r="ER755" i="5"/>
  <c r="DZ755" i="5"/>
  <c r="DZ1076" i="5" s="1"/>
  <c r="FQ755" i="5"/>
  <c r="DQ755" i="5"/>
  <c r="EK755" i="5"/>
  <c r="EK1076" i="5" s="1"/>
  <c r="FE755" i="5"/>
  <c r="IG997" i="5"/>
  <c r="AH1731" i="2"/>
  <c r="AH1730" i="2" s="1"/>
  <c r="AK1732" i="2"/>
  <c r="IJ997" i="5"/>
  <c r="IM997" i="5"/>
  <c r="AG1743" i="2"/>
  <c r="AG1732" i="2"/>
  <c r="EO993" i="5"/>
  <c r="EO1096" i="5" s="1"/>
  <c r="IY999" i="5"/>
  <c r="AF1325" i="2" s="1"/>
  <c r="AF1731" i="2"/>
  <c r="EV993" i="5"/>
  <c r="IP997" i="5"/>
  <c r="IS997" i="5"/>
  <c r="AF1744" i="2"/>
  <c r="AM1732" i="2"/>
  <c r="BR1093" i="5"/>
  <c r="JA1058" i="5"/>
  <c r="JA1067" i="5" s="1"/>
  <c r="IZ1058" i="5"/>
  <c r="V549" i="2"/>
  <c r="V550" i="2" s="1"/>
  <c r="V468" i="2"/>
  <c r="W549" i="2"/>
  <c r="W468" i="2"/>
  <c r="AF1727" i="2"/>
  <c r="EX993" i="5"/>
  <c r="EX1096" i="5" s="1"/>
  <c r="JB786" i="5"/>
  <c r="AG1092" i="2" s="1"/>
  <c r="AG540" i="2" s="1"/>
  <c r="AF1728" i="2"/>
  <c r="JF763" i="5"/>
  <c r="AF1750" i="2"/>
  <c r="GY1239" i="5"/>
  <c r="HA1240" i="5"/>
  <c r="GV1240" i="5"/>
  <c r="HF1239" i="5"/>
  <c r="GU1240" i="5"/>
  <c r="AG1727" i="2"/>
  <c r="HA1247" i="5"/>
  <c r="HA1242" i="5" s="1"/>
  <c r="HF1240" i="5"/>
  <c r="GV1247" i="5"/>
  <c r="GV1242" i="5" s="1"/>
  <c r="HE1240" i="5"/>
  <c r="HD1240" i="5"/>
  <c r="HC1240" i="5"/>
  <c r="HB1240" i="5"/>
  <c r="GW1240" i="5"/>
  <c r="HE1239" i="5"/>
  <c r="GZ1239" i="5"/>
  <c r="BA1242" i="5"/>
  <c r="AE1727" i="2"/>
  <c r="AF1720" i="2"/>
  <c r="JH1014" i="5"/>
  <c r="AI1339" i="2" s="1"/>
  <c r="AI1753" i="2" s="1"/>
  <c r="AH1752" i="2"/>
  <c r="AH1750" i="2" s="1"/>
  <c r="AE1728" i="2"/>
  <c r="AG1719" i="2"/>
  <c r="AG1750" i="2"/>
  <c r="W1667" i="2"/>
  <c r="AL1334" i="2"/>
  <c r="AX94" i="19"/>
  <c r="DU1028" i="5"/>
  <c r="DU1027" i="5" s="1"/>
  <c r="DU1019" i="5" s="1"/>
  <c r="AH1699" i="2"/>
  <c r="GU1247" i="5"/>
  <c r="GU1242" i="5" s="1"/>
  <c r="GX1240" i="5"/>
  <c r="JB830" i="5"/>
  <c r="AG1136" i="2" s="1"/>
  <c r="GZ1240" i="5"/>
  <c r="GY1240" i="5"/>
  <c r="DK1191" i="5"/>
  <c r="GV1027" i="5"/>
  <c r="GV1019" i="5" s="1"/>
  <c r="GV1253" i="5" s="1"/>
  <c r="AI1735" i="2"/>
  <c r="FY1086" i="5"/>
  <c r="FY932" i="5"/>
  <c r="JB953" i="5"/>
  <c r="AG1274" i="2" s="1"/>
  <c r="IP965" i="5"/>
  <c r="AC1286" i="2" s="1"/>
  <c r="JB967" i="5"/>
  <c r="AG1288" i="2" s="1"/>
  <c r="JB978" i="5"/>
  <c r="AG1303" i="2" s="1"/>
  <c r="ID990" i="5"/>
  <c r="Y1316" i="2" s="1"/>
  <c r="ID995" i="5"/>
  <c r="Y1321" i="2" s="1"/>
  <c r="JB996" i="5"/>
  <c r="AG1322" i="2" s="1"/>
  <c r="JP782" i="5"/>
  <c r="JX805" i="5"/>
  <c r="JY805" i="5" s="1"/>
  <c r="JM790" i="5"/>
  <c r="JM811" i="5"/>
  <c r="JO811" i="5"/>
  <c r="JP811" i="5" s="1"/>
  <c r="JP790" i="5"/>
  <c r="JR812" i="5"/>
  <c r="JS812" i="5" s="1"/>
  <c r="JX803" i="5"/>
  <c r="JY803" i="5" s="1"/>
  <c r="JP783" i="5"/>
  <c r="JU797" i="5"/>
  <c r="JV797" i="5" s="1"/>
  <c r="JO795" i="5"/>
  <c r="JP795" i="5" s="1"/>
  <c r="JR808" i="5"/>
  <c r="JS808" i="5" s="1"/>
  <c r="JU796" i="5"/>
  <c r="JV796" i="5" s="1"/>
  <c r="JM763" i="5"/>
  <c r="JO803" i="5"/>
  <c r="JP803" i="5" s="1"/>
  <c r="JU812" i="5"/>
  <c r="JV812" i="5" s="1"/>
  <c r="JO806" i="5"/>
  <c r="JP806" i="5" s="1"/>
  <c r="JM782" i="5"/>
  <c r="JO807" i="5"/>
  <c r="JP807" i="5" s="1"/>
  <c r="JM809" i="5"/>
  <c r="JR804" i="5"/>
  <c r="JS804" i="5" s="1"/>
  <c r="JO808" i="5"/>
  <c r="JP808" i="5" s="1"/>
  <c r="JR811" i="5"/>
  <c r="JS811" i="5" s="1"/>
  <c r="JR810" i="5"/>
  <c r="JS810" i="5" s="1"/>
  <c r="JM796" i="5"/>
  <c r="JM804" i="5"/>
  <c r="JR790" i="5"/>
  <c r="JS790" i="5" s="1"/>
  <c r="JM766" i="5"/>
  <c r="JO796" i="5"/>
  <c r="JP796" i="5" s="1"/>
  <c r="JO804" i="5"/>
  <c r="JP804" i="5" s="1"/>
  <c r="JX812" i="5"/>
  <c r="JY812" i="5" s="1"/>
  <c r="JO805" i="5"/>
  <c r="JP805" i="5" s="1"/>
  <c r="JM806" i="5"/>
  <c r="JR795" i="5"/>
  <c r="JS795" i="5" s="1"/>
  <c r="AV17" i="19"/>
  <c r="AW17" i="19" s="1"/>
  <c r="AV13" i="19"/>
  <c r="AV106" i="19"/>
  <c r="BE17" i="19"/>
  <c r="BF17" i="19" s="1"/>
  <c r="AL1350" i="2"/>
  <c r="BE15" i="19"/>
  <c r="BE13" i="19"/>
  <c r="AK1350" i="2"/>
  <c r="AV16" i="19"/>
  <c r="AM1350" i="2"/>
  <c r="JP911" i="5"/>
  <c r="JR1029" i="5"/>
  <c r="BE33" i="19"/>
  <c r="BF33" i="19" s="1"/>
  <c r="BE16" i="19"/>
  <c r="AV15" i="19"/>
  <c r="JO1029" i="5"/>
  <c r="AV33" i="19"/>
  <c r="AW33" i="19" s="1"/>
  <c r="JM911" i="5"/>
  <c r="IJ908" i="5"/>
  <c r="IJ1087" i="5" s="1"/>
  <c r="IM995" i="5"/>
  <c r="AB1321" i="2" s="1"/>
  <c r="IP1004" i="5"/>
  <c r="AC1330" i="2" s="1"/>
  <c r="IS1005" i="5"/>
  <c r="AD1331" i="2" s="1"/>
  <c r="IG955" i="5"/>
  <c r="Z1276" i="2" s="1"/>
  <c r="Z1369" i="2" s="1"/>
  <c r="Z1478" i="2" s="1"/>
  <c r="CW608" i="5"/>
  <c r="IV998" i="5"/>
  <c r="AE1324" i="2" s="1"/>
  <c r="JB793" i="5"/>
  <c r="AG1099" i="2" s="1"/>
  <c r="AF609" i="2" s="1"/>
  <c r="HC1247" i="5"/>
  <c r="HC1242" i="5" s="1"/>
  <c r="GX1247" i="5"/>
  <c r="GX1242" i="5" s="1"/>
  <c r="JB810" i="5"/>
  <c r="AG1116" i="2" s="1"/>
  <c r="IP1018" i="5"/>
  <c r="AC1343" i="2" s="1"/>
  <c r="ID1008" i="5"/>
  <c r="Y1334" i="2" s="1"/>
  <c r="FL1240" i="5"/>
  <c r="ED1079" i="5"/>
  <c r="JV887" i="5"/>
  <c r="AV46" i="19"/>
  <c r="AW46" i="19" s="1"/>
  <c r="JU1029" i="5"/>
  <c r="AV105" i="19"/>
  <c r="JB954" i="5"/>
  <c r="AG1275" i="2" s="1"/>
  <c r="AR75" i="19"/>
  <c r="V95" i="19"/>
  <c r="IM1008" i="5"/>
  <c r="AB1334" i="2" s="1"/>
  <c r="GS1234" i="5"/>
  <c r="GN1234" i="5"/>
  <c r="H19" i="7"/>
  <c r="E77" i="7"/>
  <c r="E107" i="7"/>
  <c r="V947" i="5"/>
  <c r="V1092" i="5" s="1"/>
  <c r="GZ1234" i="5"/>
  <c r="HF1253" i="5"/>
  <c r="HE1253" i="5"/>
  <c r="JB844" i="5"/>
  <c r="AG1150" i="2" s="1"/>
  <c r="IM967" i="5"/>
  <c r="AB1288" i="2" s="1"/>
  <c r="IP968" i="5"/>
  <c r="AC1289" i="2" s="1"/>
  <c r="JB982" i="5"/>
  <c r="GI1234" i="5"/>
  <c r="H32" i="7"/>
  <c r="CI912" i="5"/>
  <c r="CI1088" i="5" s="1"/>
  <c r="GV1234" i="5"/>
  <c r="DP570" i="5"/>
  <c r="DP1237" i="5" s="1"/>
  <c r="HB1253" i="5"/>
  <c r="J1088" i="5"/>
  <c r="JB957" i="5"/>
  <c r="AG1278" i="2" s="1"/>
  <c r="AM713" i="5"/>
  <c r="E40" i="7"/>
  <c r="IJ72" i="5"/>
  <c r="GL1252" i="5"/>
  <c r="GO1247" i="5"/>
  <c r="GO1242" i="5" s="1"/>
  <c r="GP1239" i="5"/>
  <c r="GK1239" i="5"/>
  <c r="GW1234" i="5"/>
  <c r="GU1234" i="5"/>
  <c r="Z75" i="19"/>
  <c r="DC660" i="5"/>
  <c r="DC732" i="5" s="1"/>
  <c r="GK1252" i="5"/>
  <c r="JE810" i="5"/>
  <c r="AH1116" i="2" s="1"/>
  <c r="GW1239" i="5"/>
  <c r="JB778" i="5"/>
  <c r="AG1084" i="2" s="1"/>
  <c r="AG514" i="2" s="1"/>
  <c r="IY976" i="5"/>
  <c r="AF1300" i="2" s="1"/>
  <c r="IW749" i="5"/>
  <c r="IJ690" i="5"/>
  <c r="AA909" i="2" s="1"/>
  <c r="IH843" i="5"/>
  <c r="JB819" i="5"/>
  <c r="AG1125" i="2" s="1"/>
  <c r="AG1409" i="2" s="1"/>
  <c r="AG1498" i="2" s="1"/>
  <c r="CY1191" i="5"/>
  <c r="E58" i="7"/>
  <c r="Z17" i="19"/>
  <c r="ID966" i="5"/>
  <c r="Y1287" i="2" s="1"/>
  <c r="JE1032" i="5"/>
  <c r="AH1358" i="2" s="1"/>
  <c r="AH1471" i="2" s="1"/>
  <c r="AH1560" i="2" s="1"/>
  <c r="GX1253" i="5"/>
  <c r="GI1252" i="5"/>
  <c r="HE1247" i="5"/>
  <c r="HE1242" i="5" s="1"/>
  <c r="GZ1247" i="5"/>
  <c r="GZ1242" i="5" s="1"/>
  <c r="DU608" i="5"/>
  <c r="DU606" i="5" s="1"/>
  <c r="DU1247" i="5" s="1"/>
  <c r="DR733" i="5"/>
  <c r="DX1080" i="5"/>
  <c r="FL1080" i="5"/>
  <c r="JB824" i="5"/>
  <c r="AG1130" i="2" s="1"/>
  <c r="AG1413" i="2" s="1"/>
  <c r="AG1502" i="2" s="1"/>
  <c r="JB910" i="5"/>
  <c r="AG1231" i="2" s="1"/>
  <c r="AG1440" i="2" s="1"/>
  <c r="AG1529" i="2" s="1"/>
  <c r="GW1253" i="5"/>
  <c r="HD1247" i="5"/>
  <c r="HD1242" i="5" s="1"/>
  <c r="GY1247" i="5"/>
  <c r="GY1242" i="5" s="1"/>
  <c r="JO976" i="5"/>
  <c r="JR888" i="5"/>
  <c r="JV977" i="5"/>
  <c r="JU976" i="5"/>
  <c r="JM977" i="5"/>
  <c r="JR976" i="5"/>
  <c r="AJ1661" i="2"/>
  <c r="A61" i="19"/>
  <c r="W1664" i="2"/>
  <c r="AO105" i="19"/>
  <c r="AQ105" i="19" s="1"/>
  <c r="AF16" i="19"/>
  <c r="BG105" i="19"/>
  <c r="O15" i="19"/>
  <c r="AX16" i="19"/>
  <c r="AZ16" i="19" s="1"/>
  <c r="BG15" i="19"/>
  <c r="BI15" i="19" s="1"/>
  <c r="AX15" i="19"/>
  <c r="AZ15" i="19" s="1"/>
  <c r="AD106" i="19"/>
  <c r="U15" i="19"/>
  <c r="U36" i="19"/>
  <c r="U73" i="19"/>
  <c r="V73" i="19" s="1"/>
  <c r="AM73" i="19"/>
  <c r="AN73" i="19" s="1"/>
  <c r="AD36" i="19"/>
  <c r="AE36" i="19" s="1"/>
  <c r="AD73" i="19"/>
  <c r="AE73" i="19" s="1"/>
  <c r="AD15" i="19"/>
  <c r="U16" i="19"/>
  <c r="AM16" i="19"/>
  <c r="U12" i="19"/>
  <c r="AD17" i="19"/>
  <c r="AE17" i="19" s="1"/>
  <c r="U106" i="19"/>
  <c r="V106" i="19" s="1"/>
  <c r="AD16" i="19"/>
  <c r="U47" i="19"/>
  <c r="V47" i="19" s="1"/>
  <c r="AF95" i="19"/>
  <c r="AD12" i="19"/>
  <c r="U45" i="19"/>
  <c r="V45" i="19" s="1"/>
  <c r="AM106" i="19"/>
  <c r="AM12" i="19"/>
  <c r="U17" i="19"/>
  <c r="V17" i="19" s="1"/>
  <c r="AM13" i="19"/>
  <c r="AM17" i="19"/>
  <c r="U13" i="19"/>
  <c r="AM36" i="19"/>
  <c r="AN36" i="19" s="1"/>
  <c r="AD13" i="19"/>
  <c r="U46" i="19"/>
  <c r="V46" i="19" s="1"/>
  <c r="AM15" i="19"/>
  <c r="AM33" i="19"/>
  <c r="AN33" i="19" s="1"/>
  <c r="U108" i="19"/>
  <c r="V108" i="19" s="1"/>
  <c r="AD108" i="19"/>
  <c r="AE108" i="19" s="1"/>
  <c r="AM108" i="19"/>
  <c r="AN108" i="19" s="1"/>
  <c r="U33" i="19"/>
  <c r="V33" i="19" s="1"/>
  <c r="AD33" i="19"/>
  <c r="AE33" i="19" s="1"/>
  <c r="W1637" i="2"/>
  <c r="AQ1661" i="2"/>
  <c r="W1660" i="2"/>
  <c r="AN422" i="2"/>
  <c r="W1656" i="2"/>
  <c r="AX106" i="19"/>
  <c r="AZ106" i="19" s="1"/>
  <c r="AN1661" i="2"/>
  <c r="AF106" i="19"/>
  <c r="AL1661" i="2"/>
  <c r="AK1661" i="2"/>
  <c r="AO106" i="19"/>
  <c r="AQ106" i="19" s="1"/>
  <c r="AM1661" i="2"/>
  <c r="X1424" i="2"/>
  <c r="X1513" i="2" s="1"/>
  <c r="W1441" i="2"/>
  <c r="W1530" i="2" s="1"/>
  <c r="BG13" i="19"/>
  <c r="BI13" i="19" s="1"/>
  <c r="AF1651" i="2"/>
  <c r="AF1652" i="2"/>
  <c r="X1400" i="2"/>
  <c r="X1489" i="2" s="1"/>
  <c r="W1472" i="2"/>
  <c r="W1661" i="2"/>
  <c r="AF13" i="19"/>
  <c r="BG106" i="19"/>
  <c r="W1657" i="2"/>
  <c r="AK1146" i="2"/>
  <c r="JB901" i="5"/>
  <c r="AG1222" i="2" s="1"/>
  <c r="AG676" i="2" s="1"/>
  <c r="AG677" i="2" s="1"/>
  <c r="JE852" i="5"/>
  <c r="AH1158" i="2" s="1"/>
  <c r="AH1423" i="2" s="1"/>
  <c r="AH1512" i="2" s="1"/>
  <c r="JE966" i="5"/>
  <c r="AH1287" i="2" s="1"/>
  <c r="GU1253" i="5"/>
  <c r="GS1247" i="5"/>
  <c r="GS1242" i="5" s="1"/>
  <c r="GT1239" i="5"/>
  <c r="GO1239" i="5"/>
  <c r="GJ1239" i="5"/>
  <c r="JH971" i="5"/>
  <c r="AI1293" i="2" s="1"/>
  <c r="HB1247" i="5"/>
  <c r="HB1242" i="5" s="1"/>
  <c r="GW1247" i="5"/>
  <c r="GW1242" i="5" s="1"/>
  <c r="GT1234" i="5"/>
  <c r="GO1234" i="5"/>
  <c r="GJ1234" i="5"/>
  <c r="HE1234" i="5"/>
  <c r="DQ1240" i="5"/>
  <c r="JB795" i="5"/>
  <c r="AG1101" i="2" s="1"/>
  <c r="HD947" i="5"/>
  <c r="HD1234" i="5"/>
  <c r="GY1234" i="5"/>
  <c r="GR1240" i="5"/>
  <c r="GM1240" i="5"/>
  <c r="ET1028" i="5"/>
  <c r="ET1027" i="5" s="1"/>
  <c r="ET1019" i="5" s="1"/>
  <c r="ET1097" i="5" s="1"/>
  <c r="FN1028" i="5"/>
  <c r="FN1027" i="5" s="1"/>
  <c r="FN1019" i="5" s="1"/>
  <c r="FN1253" i="5" s="1"/>
  <c r="FY1087" i="5"/>
  <c r="FY1251" i="5"/>
  <c r="FY1249" i="5" s="1"/>
  <c r="FY1241" i="5" s="1"/>
  <c r="FY1257" i="5" s="1"/>
  <c r="GR1239" i="5"/>
  <c r="GM1239" i="5"/>
  <c r="HF1234" i="5"/>
  <c r="GM948" i="5"/>
  <c r="GM947" i="5" s="1"/>
  <c r="GM1252" i="5"/>
  <c r="AH1736" i="2"/>
  <c r="AV713" i="5"/>
  <c r="JB821" i="5"/>
  <c r="AG1127" i="2" s="1"/>
  <c r="IZ1043" i="5"/>
  <c r="GR1247" i="5"/>
  <c r="GR1242" i="5" s="1"/>
  <c r="GP1240" i="5"/>
  <c r="GK1240" i="5"/>
  <c r="HC1234" i="5"/>
  <c r="GX1234" i="5"/>
  <c r="GM1234" i="5"/>
  <c r="CR608" i="5"/>
  <c r="IY796" i="5"/>
  <c r="AF1102" i="2" s="1"/>
  <c r="JB800" i="5"/>
  <c r="AG1106" i="2" s="1"/>
  <c r="AG577" i="2" s="1"/>
  <c r="IY1018" i="5"/>
  <c r="AF1343" i="2" s="1"/>
  <c r="HC1239" i="5"/>
  <c r="GX1239" i="5"/>
  <c r="HD1239" i="5"/>
  <c r="GS1239" i="5"/>
  <c r="GN1239" i="5"/>
  <c r="GI1239" i="5"/>
  <c r="HC1253" i="5"/>
  <c r="HA1239" i="5"/>
  <c r="GV1239" i="5"/>
  <c r="GA1087" i="5"/>
  <c r="GA1251" i="5"/>
  <c r="GA1249" i="5" s="1"/>
  <c r="GA1241" i="5" s="1"/>
  <c r="GA1257" i="5" s="1"/>
  <c r="GQ1234" i="5"/>
  <c r="FK1080" i="5"/>
  <c r="HB1234" i="5"/>
  <c r="HB1239" i="5"/>
  <c r="DJ570" i="5"/>
  <c r="DJ1237" i="5" s="1"/>
  <c r="DC912" i="5"/>
  <c r="DC1088" i="5" s="1"/>
  <c r="FW907" i="5"/>
  <c r="FW1251" i="5"/>
  <c r="FW1249" i="5" s="1"/>
  <c r="FW1241" i="5" s="1"/>
  <c r="FW1257" i="5" s="1"/>
  <c r="GR948" i="5"/>
  <c r="GR947" i="5" s="1"/>
  <c r="GR1252" i="5"/>
  <c r="GT1247" i="5"/>
  <c r="GT1242" i="5" s="1"/>
  <c r="GP1234" i="5"/>
  <c r="GK1234" i="5"/>
  <c r="GU1239" i="5"/>
  <c r="GC907" i="5"/>
  <c r="GC1086" i="5" s="1"/>
  <c r="GC1251" i="5"/>
  <c r="GC1249" i="5" s="1"/>
  <c r="GC1241" i="5" s="1"/>
  <c r="GL1234" i="5"/>
  <c r="HA1234" i="5"/>
  <c r="AJ947" i="5"/>
  <c r="AJ1092" i="5" s="1"/>
  <c r="IM631" i="5"/>
  <c r="IS597" i="5"/>
  <c r="AD795" i="2" s="1"/>
  <c r="DP803" i="5"/>
  <c r="DP1077" i="5" s="1"/>
  <c r="GH1087" i="5"/>
  <c r="GH1251" i="5"/>
  <c r="GH1249" i="5" s="1"/>
  <c r="GH1241" i="5" s="1"/>
  <c r="GH1257" i="5" s="1"/>
  <c r="GJ1252" i="5"/>
  <c r="GQ1247" i="5"/>
  <c r="GQ1242" i="5" s="1"/>
  <c r="HA1253" i="5"/>
  <c r="GP948" i="5"/>
  <c r="GP947" i="5" s="1"/>
  <c r="GP1252" i="5"/>
  <c r="IS990" i="5"/>
  <c r="AD1316" i="2" s="1"/>
  <c r="FZ907" i="5"/>
  <c r="FZ1251" i="5"/>
  <c r="FZ1249" i="5" s="1"/>
  <c r="FZ1241" i="5" s="1"/>
  <c r="FZ1257" i="5" s="1"/>
  <c r="GI1240" i="5"/>
  <c r="BS1233" i="5"/>
  <c r="JB956" i="5"/>
  <c r="AG1277" i="2" s="1"/>
  <c r="JB973" i="5"/>
  <c r="AG1294" i="2" s="1"/>
  <c r="JB999" i="5"/>
  <c r="AG1325" i="2" s="1"/>
  <c r="IS1008" i="5"/>
  <c r="AD1334" i="2" s="1"/>
  <c r="JB1035" i="5"/>
  <c r="AG1360" i="2" s="1"/>
  <c r="JE871" i="5"/>
  <c r="AH1191" i="2" s="1"/>
  <c r="GG907" i="5"/>
  <c r="GG1251" i="5"/>
  <c r="GG1249" i="5" s="1"/>
  <c r="GG1241" i="5" s="1"/>
  <c r="GG1257" i="5" s="1"/>
  <c r="GZ1253" i="5"/>
  <c r="GQ948" i="5"/>
  <c r="GQ947" i="5" s="1"/>
  <c r="GQ1252" i="5"/>
  <c r="GQ1240" i="5"/>
  <c r="GL1240" i="5"/>
  <c r="GE907" i="5"/>
  <c r="GE1251" i="5"/>
  <c r="GE1249" i="5" s="1"/>
  <c r="GE1241" i="5" s="1"/>
  <c r="GE1257" i="5" s="1"/>
  <c r="JB986" i="5"/>
  <c r="AG1312" i="2" s="1"/>
  <c r="AG1466" i="2" s="1"/>
  <c r="AG1555" i="2" s="1"/>
  <c r="GD907" i="5"/>
  <c r="GD1251" i="5"/>
  <c r="GD1249" i="5" s="1"/>
  <c r="GD1241" i="5" s="1"/>
  <c r="GD1257" i="5" s="1"/>
  <c r="GO948" i="5"/>
  <c r="GO947" i="5" s="1"/>
  <c r="GO1252" i="5"/>
  <c r="GT1240" i="5"/>
  <c r="GO1240" i="5"/>
  <c r="GJ1240" i="5"/>
  <c r="GP1247" i="5"/>
  <c r="GP1242" i="5" s="1"/>
  <c r="IM677" i="5"/>
  <c r="GN1252" i="5"/>
  <c r="DH721" i="5"/>
  <c r="DC1080" i="5"/>
  <c r="EJ1079" i="5"/>
  <c r="GT948" i="5"/>
  <c r="GT947" i="5" s="1"/>
  <c r="GT1252" i="5"/>
  <c r="GR1234" i="5"/>
  <c r="GS948" i="5"/>
  <c r="GS947" i="5" s="1"/>
  <c r="GS1252" i="5"/>
  <c r="GS1240" i="5"/>
  <c r="GN1240" i="5"/>
  <c r="HD1253" i="5"/>
  <c r="IM650" i="5"/>
  <c r="EP912" i="5"/>
  <c r="EP1088" i="5" s="1"/>
  <c r="JB939" i="5"/>
  <c r="JB960" i="5"/>
  <c r="AG1281" i="2" s="1"/>
  <c r="JB965" i="5"/>
  <c r="AG1286" i="2" s="1"/>
  <c r="IJ967" i="5"/>
  <c r="AA1288" i="2" s="1"/>
  <c r="JB974" i="5"/>
  <c r="AG1295" i="2" s="1"/>
  <c r="AG1886" i="2" s="1"/>
  <c r="IY982" i="5"/>
  <c r="AF1308" i="2" s="1"/>
  <c r="IP990" i="5"/>
  <c r="AC1316" i="2" s="1"/>
  <c r="CY1028" i="5"/>
  <c r="CY1027" i="5" s="1"/>
  <c r="CY1019" i="5" s="1"/>
  <c r="CY1097" i="5" s="1"/>
  <c r="DS1028" i="5"/>
  <c r="DS1027" i="5" s="1"/>
  <c r="DS1019" i="5" s="1"/>
  <c r="DS1097" i="5" s="1"/>
  <c r="GF907" i="5"/>
  <c r="GF932" i="5" s="1"/>
  <c r="GF1251" i="5"/>
  <c r="GF1249" i="5" s="1"/>
  <c r="GF1241" i="5" s="1"/>
  <c r="GF1257" i="5" s="1"/>
  <c r="GY1253" i="5"/>
  <c r="GQ1239" i="5"/>
  <c r="GL1239" i="5"/>
  <c r="HF1247" i="5"/>
  <c r="HF1242" i="5" s="1"/>
  <c r="E90" i="7"/>
  <c r="H134" i="7"/>
  <c r="E23" i="7"/>
  <c r="K104" i="7"/>
  <c r="O49" i="19"/>
  <c r="AF49" i="19"/>
  <c r="JO1037" i="5"/>
  <c r="AF107" i="19"/>
  <c r="JR1037" i="5"/>
  <c r="JS1037" i="5" s="1"/>
  <c r="AO107" i="19"/>
  <c r="AQ107" i="19" s="1"/>
  <c r="Z107" i="19"/>
  <c r="BH95" i="19"/>
  <c r="BK95" i="19" s="1"/>
  <c r="BJ95" i="19"/>
  <c r="AY95" i="19"/>
  <c r="BB95" i="19" s="1"/>
  <c r="BA95" i="19"/>
  <c r="BG49" i="19"/>
  <c r="BI49" i="19" s="1"/>
  <c r="AX49" i="19"/>
  <c r="AZ49" i="19" s="1"/>
  <c r="AO49" i="19"/>
  <c r="AQ49" i="19" s="1"/>
  <c r="AI36" i="19"/>
  <c r="AI33" i="19"/>
  <c r="Z33" i="19"/>
  <c r="Q94" i="19"/>
  <c r="Q95" i="19"/>
  <c r="DN696" i="5"/>
  <c r="DN695" i="5" s="1"/>
  <c r="DN1256" i="5" s="1"/>
  <c r="CB552" i="5"/>
  <c r="CB652" i="5" s="1"/>
  <c r="DS814" i="5"/>
  <c r="FG826" i="5"/>
  <c r="FG1081" i="5" s="1"/>
  <c r="IW845" i="5"/>
  <c r="ID998" i="5"/>
  <c r="Y1324" i="2" s="1"/>
  <c r="DC1168" i="5"/>
  <c r="DM1175" i="5"/>
  <c r="JE964" i="5"/>
  <c r="AH1285" i="2" s="1"/>
  <c r="IM1004" i="5"/>
  <c r="AB1330" i="2" s="1"/>
  <c r="I132" i="7"/>
  <c r="K132" i="7" s="1"/>
  <c r="I907" i="5"/>
  <c r="I1086" i="5" s="1"/>
  <c r="DO608" i="5"/>
  <c r="DO606" i="5" s="1"/>
  <c r="DO1247" i="5" s="1"/>
  <c r="EI608" i="5"/>
  <c r="EI606" i="5" s="1"/>
  <c r="EI1247" i="5" s="1"/>
  <c r="BI550" i="5"/>
  <c r="BI714" i="5" s="1"/>
  <c r="CZ696" i="5"/>
  <c r="CZ695" i="5" s="1"/>
  <c r="CZ1256" i="5" s="1"/>
  <c r="JB822" i="5"/>
  <c r="AG1128" i="2" s="1"/>
  <c r="JB831" i="5"/>
  <c r="AG1137" i="2" s="1"/>
  <c r="DL1096" i="5"/>
  <c r="CX1028" i="5"/>
  <c r="CX1027" i="5" s="1"/>
  <c r="CX1019" i="5" s="1"/>
  <c r="DR1028" i="5"/>
  <c r="DR1027" i="5" s="1"/>
  <c r="DR1019" i="5" s="1"/>
  <c r="DR1097" i="5" s="1"/>
  <c r="EL1028" i="5"/>
  <c r="EL1027" i="5" s="1"/>
  <c r="EL1019" i="5" s="1"/>
  <c r="FF1028" i="5"/>
  <c r="FF1027" i="5" s="1"/>
  <c r="FF1019" i="5" s="1"/>
  <c r="JE914" i="5"/>
  <c r="AH1235" i="2" s="1"/>
  <c r="AH1442" i="2" s="1"/>
  <c r="AH1531" i="2" s="1"/>
  <c r="EC599" i="5"/>
  <c r="IY1023" i="5"/>
  <c r="AF1348" i="2" s="1"/>
  <c r="DL1187" i="5"/>
  <c r="DL1183" i="5" s="1"/>
  <c r="CJ1080" i="5"/>
  <c r="DD1080" i="5"/>
  <c r="ER1080" i="5"/>
  <c r="CT993" i="5"/>
  <c r="CT988" i="5" s="1"/>
  <c r="CT1096" i="5" s="1"/>
  <c r="ED947" i="5"/>
  <c r="ED1092" i="5" s="1"/>
  <c r="K726" i="5"/>
  <c r="EV1093" i="5"/>
  <c r="IQ1038" i="5"/>
  <c r="JB808" i="5"/>
  <c r="AG1114" i="2" s="1"/>
  <c r="T813" i="5"/>
  <c r="T1078" i="5" s="1"/>
  <c r="CP1079" i="5"/>
  <c r="DJ1079" i="5"/>
  <c r="EX1079" i="5"/>
  <c r="CS912" i="5"/>
  <c r="CS1088" i="5" s="1"/>
  <c r="JB809" i="5"/>
  <c r="AG1115" i="2" s="1"/>
  <c r="EQ1028" i="5"/>
  <c r="EQ1027" i="5" s="1"/>
  <c r="EQ1019" i="5" s="1"/>
  <c r="EQ1097" i="5" s="1"/>
  <c r="FK1028" i="5"/>
  <c r="FK1027" i="5" s="1"/>
  <c r="FK1019" i="5" s="1"/>
  <c r="IY983" i="5"/>
  <c r="AF1309" i="2" s="1"/>
  <c r="IM624" i="5"/>
  <c r="IQ842" i="5"/>
  <c r="IM692" i="5"/>
  <c r="CZ721" i="5"/>
  <c r="DF947" i="5"/>
  <c r="DF1092" i="5" s="1"/>
  <c r="BW719" i="5"/>
  <c r="H35" i="7"/>
  <c r="BH947" i="5"/>
  <c r="BH1092" i="5" s="1"/>
  <c r="BG947" i="5"/>
  <c r="BG1092" i="5" s="1"/>
  <c r="ET1093" i="5"/>
  <c r="S947" i="5"/>
  <c r="S1092" i="5" s="1"/>
  <c r="AE713" i="5"/>
  <c r="CA1238" i="5"/>
  <c r="AL1093" i="5"/>
  <c r="BO719" i="5"/>
  <c r="JB889" i="5"/>
  <c r="AG1210" i="2" s="1"/>
  <c r="JB946" i="5"/>
  <c r="GD1087" i="5"/>
  <c r="BG987" i="5"/>
  <c r="BG1095" i="5" s="1"/>
  <c r="EW947" i="5"/>
  <c r="EW1092" i="5" s="1"/>
  <c r="CZ947" i="5"/>
  <c r="CZ1092" i="5" s="1"/>
  <c r="CU1191" i="5"/>
  <c r="CW803" i="5"/>
  <c r="CW1077" i="5" s="1"/>
  <c r="IU804" i="5"/>
  <c r="IU822" i="5"/>
  <c r="DN1096" i="5"/>
  <c r="W987" i="5"/>
  <c r="W1095" i="5" s="1"/>
  <c r="BL716" i="5"/>
  <c r="IG950" i="5"/>
  <c r="Z1271" i="2" s="1"/>
  <c r="Z1725" i="2" s="1"/>
  <c r="IO772" i="5"/>
  <c r="JB773" i="5"/>
  <c r="AG1079" i="2" s="1"/>
  <c r="AG497" i="2" s="1"/>
  <c r="IF777" i="5"/>
  <c r="IB778" i="5"/>
  <c r="IQ778" i="5"/>
  <c r="IX785" i="5"/>
  <c r="IT786" i="5"/>
  <c r="IO787" i="5"/>
  <c r="IK788" i="5"/>
  <c r="JB788" i="5"/>
  <c r="AG1094" i="2" s="1"/>
  <c r="AG548" i="2" s="1"/>
  <c r="IF789" i="5"/>
  <c r="IU789" i="5"/>
  <c r="IY790" i="5"/>
  <c r="AF1096" i="2" s="1"/>
  <c r="IX792" i="5"/>
  <c r="IO809" i="5"/>
  <c r="BU813" i="5"/>
  <c r="BU1078" i="5" s="1"/>
  <c r="CI814" i="5"/>
  <c r="DC814" i="5"/>
  <c r="DW814" i="5"/>
  <c r="JB816" i="5"/>
  <c r="AG1122" i="2" s="1"/>
  <c r="IU817" i="5"/>
  <c r="CO1079" i="5"/>
  <c r="EW1079" i="5"/>
  <c r="IR820" i="5"/>
  <c r="JB838" i="5"/>
  <c r="AG1144" i="2" s="1"/>
  <c r="JB882" i="5"/>
  <c r="AG1203" i="2" s="1"/>
  <c r="JB888" i="5"/>
  <c r="AG1209" i="2" s="1"/>
  <c r="IP967" i="5"/>
  <c r="AC1288" i="2" s="1"/>
  <c r="ID974" i="5"/>
  <c r="Y1300" i="2" s="1"/>
  <c r="JB976" i="5"/>
  <c r="AG1300" i="2" s="1"/>
  <c r="IV990" i="5"/>
  <c r="AE1316" i="2" s="1"/>
  <c r="IY1017" i="5"/>
  <c r="AF1342" i="2" s="1"/>
  <c r="K9" i="7"/>
  <c r="JE894" i="5"/>
  <c r="AH1215" i="2" s="1"/>
  <c r="JE915" i="5"/>
  <c r="AH1236" i="2" s="1"/>
  <c r="JE929" i="5"/>
  <c r="JE944" i="5"/>
  <c r="CD1233" i="5"/>
  <c r="CE608" i="5"/>
  <c r="BJ719" i="5"/>
  <c r="S987" i="5"/>
  <c r="S1095" i="5" s="1"/>
  <c r="BH987" i="5"/>
  <c r="BH1095" i="5" s="1"/>
  <c r="BL719" i="5"/>
  <c r="EU947" i="5"/>
  <c r="EU1092" i="5" s="1"/>
  <c r="FP993" i="5"/>
  <c r="FP1096" i="5" s="1"/>
  <c r="IH799" i="5"/>
  <c r="CR818" i="5"/>
  <c r="IJ878" i="5"/>
  <c r="AA1199" i="2" s="1"/>
  <c r="AA697" i="2" s="1"/>
  <c r="DO912" i="5"/>
  <c r="DO1088" i="5" s="1"/>
  <c r="JB920" i="5"/>
  <c r="AG1241" i="2" s="1"/>
  <c r="JB988" i="5"/>
  <c r="JB993" i="5"/>
  <c r="AG1319" i="2" s="1"/>
  <c r="AG1696" i="2" s="1"/>
  <c r="V987" i="5"/>
  <c r="V1095" i="5" s="1"/>
  <c r="CB719" i="5"/>
  <c r="CD947" i="5"/>
  <c r="CD1092" i="5" s="1"/>
  <c r="AQ713" i="5"/>
  <c r="IJ220" i="5"/>
  <c r="EY1234" i="5"/>
  <c r="FS1234" i="5"/>
  <c r="JB771" i="5"/>
  <c r="AG1077" i="2" s="1"/>
  <c r="IF772" i="5"/>
  <c r="IU772" i="5"/>
  <c r="IL777" i="5"/>
  <c r="IH778" i="5"/>
  <c r="IC779" i="5"/>
  <c r="IQ788" i="5"/>
  <c r="IL789" i="5"/>
  <c r="CN1239" i="5"/>
  <c r="CY696" i="5"/>
  <c r="CY695" i="5" s="1"/>
  <c r="CY1256" i="5" s="1"/>
  <c r="JB792" i="5"/>
  <c r="AG1098" i="2" s="1"/>
  <c r="EC993" i="5"/>
  <c r="IK1018" i="5"/>
  <c r="E113" i="7"/>
  <c r="JB837" i="5"/>
  <c r="AG1143" i="2" s="1"/>
  <c r="IL853" i="5"/>
  <c r="IC920" i="5"/>
  <c r="X1241" i="2" s="1"/>
  <c r="CG670" i="5"/>
  <c r="CG669" i="5" s="1"/>
  <c r="AR719" i="5"/>
  <c r="AF907" i="5"/>
  <c r="AF1086" i="5" s="1"/>
  <c r="CT721" i="5"/>
  <c r="BI947" i="5"/>
  <c r="BI1092" i="5" s="1"/>
  <c r="FR1093" i="5"/>
  <c r="BJ1093" i="5"/>
  <c r="BJ1253" i="5"/>
  <c r="AP715" i="5"/>
  <c r="AX1242" i="5"/>
  <c r="LA813" i="5"/>
  <c r="LA1078" i="5" s="1"/>
  <c r="EK1079" i="5"/>
  <c r="IH922" i="5"/>
  <c r="JB925" i="5"/>
  <c r="JB1091" i="5" s="1"/>
  <c r="IM990" i="5"/>
  <c r="AB1316" i="2" s="1"/>
  <c r="DJ1093" i="5"/>
  <c r="CX696" i="5"/>
  <c r="CX695" i="5" s="1"/>
  <c r="CX1256" i="5" s="1"/>
  <c r="O1249" i="5"/>
  <c r="BN947" i="5"/>
  <c r="BN1092" i="5" s="1"/>
  <c r="BI713" i="5"/>
  <c r="AD739" i="5"/>
  <c r="U1238" i="5"/>
  <c r="E35" i="7"/>
  <c r="EA912" i="5"/>
  <c r="EA1088" i="5" s="1"/>
  <c r="FQ993" i="5"/>
  <c r="FQ1096" i="5" s="1"/>
  <c r="JB861" i="5"/>
  <c r="AG1167" i="2" s="1"/>
  <c r="IR922" i="5"/>
  <c r="IX994" i="5"/>
  <c r="AF1719" i="2" s="1"/>
  <c r="BK1238" i="5"/>
  <c r="EX947" i="5"/>
  <c r="EX1092" i="5" s="1"/>
  <c r="AP947" i="5"/>
  <c r="AP1092" i="5" s="1"/>
  <c r="EH599" i="5"/>
  <c r="KZ711" i="5"/>
  <c r="FQ947" i="5"/>
  <c r="FQ1092" i="5" s="1"/>
  <c r="IM1005" i="5"/>
  <c r="AB1331" i="2" s="1"/>
  <c r="JB1026" i="5"/>
  <c r="AG1351" i="2" s="1"/>
  <c r="CY1240" i="5"/>
  <c r="BO1093" i="5"/>
  <c r="JB860" i="5"/>
  <c r="AG1166" i="2" s="1"/>
  <c r="DW912" i="5"/>
  <c r="DW1088" i="5" s="1"/>
  <c r="EQ912" i="5"/>
  <c r="EQ1088" i="5" s="1"/>
  <c r="JB936" i="5"/>
  <c r="JB955" i="5"/>
  <c r="AG1276" i="2" s="1"/>
  <c r="IG968" i="5"/>
  <c r="Z1289" i="2" s="1"/>
  <c r="IV974" i="5"/>
  <c r="AE1300" i="2" s="1"/>
  <c r="IJ990" i="5"/>
  <c r="AA1316" i="2" s="1"/>
  <c r="IY992" i="5"/>
  <c r="AF1318" i="2" s="1"/>
  <c r="FS993" i="5"/>
  <c r="FS1096" i="5" s="1"/>
  <c r="EC912" i="5"/>
  <c r="EC1088" i="5" s="1"/>
  <c r="ID985" i="5"/>
  <c r="ID1094" i="5" s="1"/>
  <c r="IN1003" i="5"/>
  <c r="AB1691" i="2" s="1"/>
  <c r="H716" i="5"/>
  <c r="DD608" i="5"/>
  <c r="DD606" i="5" s="1"/>
  <c r="EH912" i="5"/>
  <c r="EH1088" i="5" s="1"/>
  <c r="N1253" i="5"/>
  <c r="AT1233" i="5"/>
  <c r="EZ1093" i="5"/>
  <c r="CC947" i="5"/>
  <c r="CC1092" i="5" s="1"/>
  <c r="IX767" i="5"/>
  <c r="JB812" i="5"/>
  <c r="AG1118" i="2" s="1"/>
  <c r="JB827" i="5"/>
  <c r="AG1133" i="2" s="1"/>
  <c r="AG1416" i="2" s="1"/>
  <c r="AG1505" i="2" s="1"/>
  <c r="CN993" i="5"/>
  <c r="CN988" i="5" s="1"/>
  <c r="CN987" i="5" s="1"/>
  <c r="CN1095" i="5" s="1"/>
  <c r="JB1032" i="5"/>
  <c r="AG1358" i="2" s="1"/>
  <c r="AG1471" i="2" s="1"/>
  <c r="AG1560" i="2" s="1"/>
  <c r="JH846" i="5"/>
  <c r="AI1152" i="2" s="1"/>
  <c r="JH878" i="5"/>
  <c r="AI1199" i="2" s="1"/>
  <c r="JH891" i="5"/>
  <c r="AI1212" i="2" s="1"/>
  <c r="AH739" i="5"/>
  <c r="CU733" i="5"/>
  <c r="II650" i="5"/>
  <c r="F95" i="7" s="1"/>
  <c r="H95" i="7" s="1"/>
  <c r="AP716" i="5"/>
  <c r="IQ787" i="5"/>
  <c r="EW814" i="5"/>
  <c r="JB825" i="5"/>
  <c r="AG1131" i="2" s="1"/>
  <c r="AG1414" i="2" s="1"/>
  <c r="AG1503" i="2" s="1"/>
  <c r="CP1175" i="5"/>
  <c r="CT912" i="5"/>
  <c r="CT1088" i="5" s="1"/>
  <c r="BN716" i="5"/>
  <c r="DI1240" i="5"/>
  <c r="Y947" i="5"/>
  <c r="Y1092" i="5" s="1"/>
  <c r="BB726" i="5"/>
  <c r="DL947" i="5"/>
  <c r="DL1092" i="5" s="1"/>
  <c r="DB947" i="5"/>
  <c r="DB1092" i="5" s="1"/>
  <c r="J947" i="5"/>
  <c r="J1092" i="5" s="1"/>
  <c r="N726" i="5"/>
  <c r="AP1233" i="5"/>
  <c r="Y713" i="5"/>
  <c r="V724" i="5"/>
  <c r="DI947" i="5"/>
  <c r="DI1092" i="5" s="1"/>
  <c r="FT1080" i="5"/>
  <c r="JB842" i="5"/>
  <c r="AG1148" i="2" s="1"/>
  <c r="IH851" i="5"/>
  <c r="JB951" i="5"/>
  <c r="AG1272" i="2" s="1"/>
  <c r="IS985" i="5"/>
  <c r="IS1094" i="5" s="1"/>
  <c r="IY991" i="5"/>
  <c r="AF1317" i="2" s="1"/>
  <c r="DV993" i="5"/>
  <c r="EP993" i="5"/>
  <c r="EP1096" i="5" s="1"/>
  <c r="ID1004" i="5"/>
  <c r="Y1330" i="2" s="1"/>
  <c r="IG1005" i="5"/>
  <c r="Z1331" i="2" s="1"/>
  <c r="X588" i="5"/>
  <c r="X1241" i="5" s="1"/>
  <c r="BY813" i="5"/>
  <c r="BY1078" i="5" s="1"/>
  <c r="CA739" i="5"/>
  <c r="BC726" i="5"/>
  <c r="EG1093" i="5"/>
  <c r="IR571" i="5"/>
  <c r="O25" i="7" s="1"/>
  <c r="X947" i="5"/>
  <c r="X1092" i="5" s="1"/>
  <c r="Z713" i="5"/>
  <c r="Y716" i="5"/>
  <c r="BX1242" i="5"/>
  <c r="DB577" i="5"/>
  <c r="DB1239" i="5" s="1"/>
  <c r="H588" i="5"/>
  <c r="H1241" i="5" s="1"/>
  <c r="JB756" i="5"/>
  <c r="AG1062" i="2" s="1"/>
  <c r="JB835" i="5"/>
  <c r="AG1141" i="2" s="1"/>
  <c r="AG592" i="2" s="1"/>
  <c r="Y550" i="5"/>
  <c r="Y714" i="5" s="1"/>
  <c r="AU1238" i="5"/>
  <c r="EW912" i="5"/>
  <c r="EW1088" i="5" s="1"/>
  <c r="IK805" i="5"/>
  <c r="IX811" i="5"/>
  <c r="JB817" i="5"/>
  <c r="AG1123" i="2" s="1"/>
  <c r="AA1238" i="5"/>
  <c r="CJ608" i="5"/>
  <c r="II792" i="5"/>
  <c r="IM620" i="5"/>
  <c r="Z716" i="5"/>
  <c r="Y1233" i="5"/>
  <c r="BC724" i="5"/>
  <c r="L724" i="5"/>
  <c r="DK1093" i="5"/>
  <c r="DM947" i="5"/>
  <c r="DM1092" i="5" s="1"/>
  <c r="Y1232" i="5"/>
  <c r="FK1234" i="5"/>
  <c r="IN920" i="5"/>
  <c r="JB1011" i="5"/>
  <c r="AG1337" i="2" s="1"/>
  <c r="AG1741" i="2" s="1"/>
  <c r="CQ912" i="5"/>
  <c r="CQ1088" i="5" s="1"/>
  <c r="K66" i="7"/>
  <c r="DO670" i="5"/>
  <c r="DO669" i="5" s="1"/>
  <c r="DO739" i="5" s="1"/>
  <c r="CW670" i="5"/>
  <c r="CW669" i="5" s="1"/>
  <c r="CW1253" i="5" s="1"/>
  <c r="DQ670" i="5"/>
  <c r="DQ669" i="5" s="1"/>
  <c r="IW843" i="5"/>
  <c r="IJ254" i="5"/>
  <c r="IP952" i="5"/>
  <c r="AC1273" i="2" s="1"/>
  <c r="IS1004" i="5"/>
  <c r="AD1330" i="2" s="1"/>
  <c r="CV803" i="5"/>
  <c r="CV1077" i="5" s="1"/>
  <c r="DX608" i="5"/>
  <c r="DX606" i="5" s="1"/>
  <c r="DX1247" i="5" s="1"/>
  <c r="H119" i="7"/>
  <c r="BM1233" i="5"/>
  <c r="DA1184" i="5"/>
  <c r="AI724" i="5"/>
  <c r="Z1233" i="5"/>
  <c r="I716" i="5"/>
  <c r="AH907" i="5"/>
  <c r="AH1086" i="5" s="1"/>
  <c r="DQ660" i="5"/>
  <c r="DQ732" i="5" s="1"/>
  <c r="CT599" i="5"/>
  <c r="F716" i="5"/>
  <c r="N907" i="5"/>
  <c r="N1086" i="5" s="1"/>
  <c r="DA826" i="5"/>
  <c r="DA1081" i="5" s="1"/>
  <c r="DU826" i="5"/>
  <c r="DU1081" i="5" s="1"/>
  <c r="JH883" i="5"/>
  <c r="AI1204" i="2" s="1"/>
  <c r="AI1430" i="2" s="1"/>
  <c r="AI1519" i="2" s="1"/>
  <c r="DI912" i="5"/>
  <c r="DI907" i="5" s="1"/>
  <c r="DI1086" i="5" s="1"/>
  <c r="IR920" i="5"/>
  <c r="JB805" i="5"/>
  <c r="AG1111" i="2" s="1"/>
  <c r="FU1093" i="5"/>
  <c r="E713" i="5"/>
  <c r="AS719" i="5"/>
  <c r="T907" i="5"/>
  <c r="T1086" i="5" s="1"/>
  <c r="DZ577" i="5"/>
  <c r="DZ1239" i="5" s="1"/>
  <c r="CU814" i="5"/>
  <c r="DO814" i="5"/>
  <c r="EI814" i="5"/>
  <c r="FC814" i="5"/>
  <c r="K813" i="5"/>
  <c r="K1078" i="5" s="1"/>
  <c r="AE813" i="5"/>
  <c r="AE1078" i="5" s="1"/>
  <c r="AY813" i="5"/>
  <c r="AY1078" i="5" s="1"/>
  <c r="DU1079" i="5"/>
  <c r="FI1079" i="5"/>
  <c r="E716" i="5"/>
  <c r="IS581" i="5"/>
  <c r="P32" i="7" s="1"/>
  <c r="E1233" i="5"/>
  <c r="CB1233" i="5"/>
  <c r="AG719" i="5"/>
  <c r="AS1093" i="5"/>
  <c r="EM670" i="5"/>
  <c r="EM669" i="5" s="1"/>
  <c r="EM1253" i="5" s="1"/>
  <c r="FI1234" i="5"/>
  <c r="FG1234" i="5"/>
  <c r="E19" i="7"/>
  <c r="JH810" i="5"/>
  <c r="AI1116" i="2" s="1"/>
  <c r="FT912" i="5"/>
  <c r="FT1088" i="5" s="1"/>
  <c r="IN921" i="5"/>
  <c r="AW1093" i="5"/>
  <c r="AW947" i="5"/>
  <c r="AW1092" i="5" s="1"/>
  <c r="IQ804" i="5"/>
  <c r="DS660" i="5"/>
  <c r="DS732" i="5" s="1"/>
  <c r="O1238" i="5"/>
  <c r="O719" i="5"/>
  <c r="AI719" i="5"/>
  <c r="AI1238" i="5"/>
  <c r="AA1249" i="5"/>
  <c r="AA726" i="5"/>
  <c r="AI1263" i="5"/>
  <c r="AJ1263" i="5" s="1"/>
  <c r="AK1263" i="5" s="1"/>
  <c r="AL1263" i="5" s="1"/>
  <c r="AM1263" i="5" s="1"/>
  <c r="FQ1234" i="5"/>
  <c r="JB772" i="5"/>
  <c r="AG1078" i="2" s="1"/>
  <c r="AG492" i="2" s="1"/>
  <c r="JB787" i="5"/>
  <c r="AG1093" i="2" s="1"/>
  <c r="IQ789" i="5"/>
  <c r="JB790" i="5"/>
  <c r="AG1096" i="2" s="1"/>
  <c r="JB894" i="5"/>
  <c r="AG1215" i="2" s="1"/>
  <c r="JB903" i="5"/>
  <c r="AG1224" i="2" s="1"/>
  <c r="FB912" i="5"/>
  <c r="AD1093" i="5"/>
  <c r="AD947" i="5"/>
  <c r="AD1092" i="5" s="1"/>
  <c r="AX1093" i="5"/>
  <c r="AX947" i="5"/>
  <c r="AX1092" i="5" s="1"/>
  <c r="CL1093" i="5"/>
  <c r="CL947" i="5"/>
  <c r="CL1092" i="5" s="1"/>
  <c r="DR1093" i="5"/>
  <c r="DR947" i="5"/>
  <c r="DR1092" i="5" s="1"/>
  <c r="EL947" i="5"/>
  <c r="EL1092" i="5" s="1"/>
  <c r="EL1093" i="5"/>
  <c r="FF1093" i="5"/>
  <c r="FF947" i="5"/>
  <c r="FF1092" i="5" s="1"/>
  <c r="KZ1093" i="5"/>
  <c r="KZ947" i="5"/>
  <c r="KZ1092" i="5" s="1"/>
  <c r="CQ947" i="5"/>
  <c r="CQ1092" i="5" s="1"/>
  <c r="CQ1093" i="5"/>
  <c r="IS995" i="5"/>
  <c r="AD1321" i="2" s="1"/>
  <c r="I77" i="7"/>
  <c r="K77" i="7" s="1"/>
  <c r="IM630" i="5"/>
  <c r="JB840" i="5"/>
  <c r="AG1146" i="2" s="1"/>
  <c r="EI912" i="5"/>
  <c r="EI1088" i="5" s="1"/>
  <c r="P1088" i="5"/>
  <c r="BN1249" i="5"/>
  <c r="BN726" i="5"/>
  <c r="AT652" i="5"/>
  <c r="AT1242" i="5"/>
  <c r="BE1238" i="5"/>
  <c r="BE719" i="5"/>
  <c r="CO582" i="5"/>
  <c r="CO721" i="5" s="1"/>
  <c r="R1238" i="5"/>
  <c r="R719" i="5"/>
  <c r="BZ1238" i="5"/>
  <c r="BZ719" i="5"/>
  <c r="BP1242" i="5"/>
  <c r="BP724" i="5"/>
  <c r="BP588" i="5"/>
  <c r="BP723" i="5" s="1"/>
  <c r="J1249" i="5"/>
  <c r="J726" i="5"/>
  <c r="AD1249" i="5"/>
  <c r="AD726" i="5"/>
  <c r="AX1249" i="5"/>
  <c r="AX726" i="5"/>
  <c r="BR1249" i="5"/>
  <c r="BR726" i="5"/>
  <c r="N80" i="7"/>
  <c r="IS633" i="5"/>
  <c r="P80" i="7" s="1"/>
  <c r="AT947" i="5"/>
  <c r="AT1092" i="5" s="1"/>
  <c r="AT1093" i="5"/>
  <c r="I133" i="7"/>
  <c r="K133" i="7" s="1"/>
  <c r="IM691" i="5"/>
  <c r="Z1093" i="5"/>
  <c r="BD716" i="5"/>
  <c r="BD1233" i="5"/>
  <c r="BD713" i="5"/>
  <c r="BD552" i="5"/>
  <c r="BD654" i="5" s="1"/>
  <c r="DK1234" i="5"/>
  <c r="DK553" i="5"/>
  <c r="DK716" i="5" s="1"/>
  <c r="BP1249" i="5"/>
  <c r="BP726" i="5"/>
  <c r="FB947" i="5"/>
  <c r="FB1092" i="5" s="1"/>
  <c r="AK719" i="5"/>
  <c r="IJ42" i="5"/>
  <c r="IJ109" i="5"/>
  <c r="IJ153" i="5"/>
  <c r="IJ194" i="5"/>
  <c r="IJ202" i="5"/>
  <c r="S552" i="5"/>
  <c r="S1232" i="5" s="1"/>
  <c r="S713" i="5"/>
  <c r="BG1233" i="5"/>
  <c r="BG716" i="5"/>
  <c r="CA1233" i="5"/>
  <c r="CA716" i="5"/>
  <c r="CZ1234" i="5"/>
  <c r="CZ553" i="5"/>
  <c r="CC1237" i="5"/>
  <c r="CC717" i="5"/>
  <c r="AN1233" i="5"/>
  <c r="AN716" i="5"/>
  <c r="AN713" i="5"/>
  <c r="AN552" i="5"/>
  <c r="AN715" i="5" s="1"/>
  <c r="BH1233" i="5"/>
  <c r="BH713" i="5"/>
  <c r="CB813" i="5"/>
  <c r="CB1078" i="5" s="1"/>
  <c r="DK1240" i="5"/>
  <c r="DK721" i="5"/>
  <c r="DN1235" i="5"/>
  <c r="DN560" i="5"/>
  <c r="DG1246" i="5"/>
  <c r="DG599" i="5"/>
  <c r="K80" i="7"/>
  <c r="CH1239" i="5"/>
  <c r="CH720" i="5"/>
  <c r="DN1240" i="5"/>
  <c r="DN721" i="5"/>
  <c r="AO552" i="5"/>
  <c r="AO715" i="5" s="1"/>
  <c r="AO1233" i="5"/>
  <c r="AO716" i="5"/>
  <c r="G1096" i="5"/>
  <c r="G987" i="5"/>
  <c r="G1095" i="5" s="1"/>
  <c r="Q716" i="5"/>
  <c r="Q1233" i="5"/>
  <c r="V552" i="5"/>
  <c r="V1232" i="5" s="1"/>
  <c r="V1233" i="5"/>
  <c r="FV1093" i="5"/>
  <c r="FV947" i="5"/>
  <c r="FV1092" i="5" s="1"/>
  <c r="DN1093" i="5"/>
  <c r="DN947" i="5"/>
  <c r="DN1092" i="5" s="1"/>
  <c r="FR912" i="5"/>
  <c r="FR1250" i="5" s="1"/>
  <c r="IJ1177" i="5"/>
  <c r="AA1784" i="2" s="1"/>
  <c r="DN1175" i="5"/>
  <c r="IJ1175" i="5" s="1"/>
  <c r="AA1782" i="2" s="1"/>
  <c r="IB948" i="5"/>
  <c r="X1687" i="2" s="1"/>
  <c r="CJ947" i="5"/>
  <c r="CJ1092" i="5" s="1"/>
  <c r="BB1238" i="5"/>
  <c r="BB719" i="5"/>
  <c r="Z1249" i="5"/>
  <c r="Z726" i="5"/>
  <c r="AV726" i="5"/>
  <c r="AV1249" i="5"/>
  <c r="F947" i="5"/>
  <c r="F1092" i="5" s="1"/>
  <c r="H726" i="5"/>
  <c r="AL1088" i="5"/>
  <c r="CH947" i="5"/>
  <c r="CH1092" i="5" s="1"/>
  <c r="EH947" i="5"/>
  <c r="EH1092" i="5" s="1"/>
  <c r="V1253" i="5"/>
  <c r="R907" i="5"/>
  <c r="R1086" i="5" s="1"/>
  <c r="AA947" i="5"/>
  <c r="AA1092" i="5" s="1"/>
  <c r="DJ912" i="5"/>
  <c r="DJ907" i="5" s="1"/>
  <c r="DJ1086" i="5" s="1"/>
  <c r="CI947" i="5"/>
  <c r="CI1092" i="5" s="1"/>
  <c r="CI1093" i="5"/>
  <c r="IG998" i="5"/>
  <c r="Z1324" i="2" s="1"/>
  <c r="AH1238" i="5"/>
  <c r="AH719" i="5"/>
  <c r="AK907" i="5"/>
  <c r="AK1086" i="5" s="1"/>
  <c r="Q907" i="5"/>
  <c r="Q1086" i="5" s="1"/>
  <c r="AP713" i="5"/>
  <c r="DC1184" i="5"/>
  <c r="AY588" i="5"/>
  <c r="AY723" i="5" s="1"/>
  <c r="IU827" i="5"/>
  <c r="IX833" i="5"/>
  <c r="IL839" i="5"/>
  <c r="JB952" i="5"/>
  <c r="AG1273" i="2" s="1"/>
  <c r="LA993" i="5"/>
  <c r="LA988" i="5" s="1"/>
  <c r="LA1096" i="5" s="1"/>
  <c r="K111" i="7"/>
  <c r="DH1079" i="5"/>
  <c r="DB814" i="5"/>
  <c r="IL627" i="5"/>
  <c r="I74" i="7" s="1"/>
  <c r="K74" i="7" s="1"/>
  <c r="IO786" i="5"/>
  <c r="IU788" i="5"/>
  <c r="IO793" i="5"/>
  <c r="V719" i="5"/>
  <c r="IM623" i="5"/>
  <c r="CS599" i="5"/>
  <c r="IC804" i="5"/>
  <c r="DZ803" i="5"/>
  <c r="DZ1077" i="5" s="1"/>
  <c r="CK803" i="5"/>
  <c r="CK1077" i="5" s="1"/>
  <c r="IR805" i="5"/>
  <c r="IW806" i="5"/>
  <c r="IL809" i="5"/>
  <c r="IB810" i="5"/>
  <c r="IQ810" i="5"/>
  <c r="IB811" i="5"/>
  <c r="IQ811" i="5"/>
  <c r="CC813" i="5"/>
  <c r="CC1078" i="5" s="1"/>
  <c r="EE1079" i="5"/>
  <c r="EY1079" i="5"/>
  <c r="FS1239" i="5"/>
  <c r="IR817" i="5"/>
  <c r="FE1239" i="5"/>
  <c r="DM1080" i="5"/>
  <c r="FA1240" i="5"/>
  <c r="FU1080" i="5"/>
  <c r="IC822" i="5"/>
  <c r="IR822" i="5"/>
  <c r="IN823" i="5"/>
  <c r="II824" i="5"/>
  <c r="IX824" i="5"/>
  <c r="DI570" i="5"/>
  <c r="EV1079" i="5"/>
  <c r="IN820" i="5"/>
  <c r="FC912" i="5"/>
  <c r="JB929" i="5"/>
  <c r="IE793" i="5"/>
  <c r="EQ814" i="5"/>
  <c r="JA1091" i="5"/>
  <c r="X987" i="5"/>
  <c r="X1095" i="5" s="1"/>
  <c r="BH719" i="5"/>
  <c r="BJ726" i="5"/>
  <c r="AH588" i="5"/>
  <c r="AH1241" i="5" s="1"/>
  <c r="M907" i="5"/>
  <c r="M1086" i="5" s="1"/>
  <c r="AQ719" i="5"/>
  <c r="AH1242" i="5"/>
  <c r="T724" i="5"/>
  <c r="CZ628" i="5"/>
  <c r="CZ1251" i="5" s="1"/>
  <c r="EE696" i="5"/>
  <c r="EE695" i="5" s="1"/>
  <c r="EE1256" i="5" s="1"/>
  <c r="CW755" i="5"/>
  <c r="CW1076" i="5" s="1"/>
  <c r="FE1234" i="5"/>
  <c r="IU765" i="5"/>
  <c r="JB768" i="5"/>
  <c r="AG1074" i="2" s="1"/>
  <c r="AG476" i="2" s="1"/>
  <c r="CR1079" i="5"/>
  <c r="DL1079" i="5"/>
  <c r="CT1080" i="5"/>
  <c r="DA912" i="5"/>
  <c r="DA1088" i="5" s="1"/>
  <c r="EO912" i="5"/>
  <c r="EO1088" i="5" s="1"/>
  <c r="JB945" i="5"/>
  <c r="IP966" i="5"/>
  <c r="AC1287" i="2" s="1"/>
  <c r="IF773" i="5"/>
  <c r="IT785" i="5"/>
  <c r="DI1079" i="5"/>
  <c r="FQ1079" i="5"/>
  <c r="JB947" i="5"/>
  <c r="AN719" i="5"/>
  <c r="AG716" i="5"/>
  <c r="K724" i="5"/>
  <c r="IJ197" i="5"/>
  <c r="BP654" i="5"/>
  <c r="DT608" i="5"/>
  <c r="DT606" i="5" s="1"/>
  <c r="DT1247" i="5" s="1"/>
  <c r="Z550" i="5"/>
  <c r="Z714" i="5" s="1"/>
  <c r="AX813" i="5"/>
  <c r="AX754" i="5" s="1"/>
  <c r="AX932" i="5" s="1"/>
  <c r="FH1079" i="5"/>
  <c r="CV1080" i="5"/>
  <c r="EJ1080" i="5"/>
  <c r="JA1080" i="5"/>
  <c r="IL843" i="5"/>
  <c r="JB896" i="5"/>
  <c r="AG1217" i="2" s="1"/>
  <c r="CH912" i="5"/>
  <c r="CH1088" i="5" s="1"/>
  <c r="FJ912" i="5"/>
  <c r="FJ1250" i="5" s="1"/>
  <c r="K6" i="7"/>
  <c r="CN1079" i="5"/>
  <c r="IX819" i="5"/>
  <c r="CU912" i="5"/>
  <c r="CU1088" i="5" s="1"/>
  <c r="IW778" i="5"/>
  <c r="JB794" i="5"/>
  <c r="AG1100" i="2" s="1"/>
  <c r="AG560" i="2" s="1"/>
  <c r="AM813" i="5"/>
  <c r="AM1078" i="5" s="1"/>
  <c r="JB895" i="5"/>
  <c r="AG1216" i="2" s="1"/>
  <c r="AG713" i="5"/>
  <c r="CU614" i="5"/>
  <c r="CU1248" i="5" s="1"/>
  <c r="EA1080" i="5"/>
  <c r="T719" i="5"/>
  <c r="AG1233" i="5"/>
  <c r="AQ947" i="5"/>
  <c r="AQ1092" i="5" s="1"/>
  <c r="IK594" i="5"/>
  <c r="G45" i="7" s="1"/>
  <c r="H45" i="7" s="1"/>
  <c r="IB756" i="5"/>
  <c r="CZ755" i="5"/>
  <c r="CZ1076" i="5" s="1"/>
  <c r="IQ765" i="5"/>
  <c r="JB803" i="5"/>
  <c r="AG1109" i="2" s="1"/>
  <c r="DA818" i="5"/>
  <c r="CW1080" i="5"/>
  <c r="DQ1080" i="5"/>
  <c r="EK1080" i="5"/>
  <c r="CH826" i="5"/>
  <c r="CH1081" i="5" s="1"/>
  <c r="EP826" i="5"/>
  <c r="EP1081" i="5" s="1"/>
  <c r="JB857" i="5"/>
  <c r="AG1163" i="2" s="1"/>
  <c r="AG1426" i="2" s="1"/>
  <c r="AG1515" i="2" s="1"/>
  <c r="EC1028" i="5"/>
  <c r="EC1027" i="5" s="1"/>
  <c r="EC1019" i="5" s="1"/>
  <c r="EC1097" i="5" s="1"/>
  <c r="EW1028" i="5"/>
  <c r="EW1027" i="5" s="1"/>
  <c r="EW1019" i="5" s="1"/>
  <c r="IU805" i="5"/>
  <c r="CQ818" i="5"/>
  <c r="AC724" i="5"/>
  <c r="CF947" i="5"/>
  <c r="CF1092" i="5" s="1"/>
  <c r="W947" i="5"/>
  <c r="W1092" i="5" s="1"/>
  <c r="DV608" i="5"/>
  <c r="DV606" i="5" s="1"/>
  <c r="DV1247" i="5" s="1"/>
  <c r="CV1079" i="5"/>
  <c r="DP1079" i="5"/>
  <c r="JA1079" i="5"/>
  <c r="L813" i="5"/>
  <c r="L1078" i="5" s="1"/>
  <c r="AF813" i="5"/>
  <c r="AF754" i="5" s="1"/>
  <c r="AZ813" i="5"/>
  <c r="AZ1078" i="5" s="1"/>
  <c r="BT813" i="5"/>
  <c r="BT754" i="5" s="1"/>
  <c r="BT932" i="5" s="1"/>
  <c r="CH818" i="5"/>
  <c r="EP1079" i="5"/>
  <c r="FJ1079" i="5"/>
  <c r="EL1080" i="5"/>
  <c r="FF1240" i="5"/>
  <c r="FU1239" i="5"/>
  <c r="JB916" i="5"/>
  <c r="JB922" i="5"/>
  <c r="AG1243" i="2" s="1"/>
  <c r="IO785" i="5"/>
  <c r="EC1079" i="5"/>
  <c r="AY726" i="5"/>
  <c r="DS1240" i="5"/>
  <c r="AG907" i="5"/>
  <c r="AG1086" i="5" s="1"/>
  <c r="FT947" i="5"/>
  <c r="FT1092" i="5" s="1"/>
  <c r="CV696" i="5"/>
  <c r="CV695" i="5" s="1"/>
  <c r="CV1256" i="5" s="1"/>
  <c r="EJ696" i="5"/>
  <c r="EJ695" i="5" s="1"/>
  <c r="CW814" i="5"/>
  <c r="DQ814" i="5"/>
  <c r="EK814" i="5"/>
  <c r="FE814" i="5"/>
  <c r="EY1080" i="5"/>
  <c r="FS1080" i="5"/>
  <c r="BA813" i="5"/>
  <c r="BA1078" i="5" s="1"/>
  <c r="FK1079" i="5"/>
  <c r="EM1080" i="5"/>
  <c r="CK912" i="5"/>
  <c r="CK1088" i="5" s="1"/>
  <c r="DY912" i="5"/>
  <c r="DY1088" i="5" s="1"/>
  <c r="FM912" i="5"/>
  <c r="FM1250" i="5" s="1"/>
  <c r="CF803" i="5"/>
  <c r="CF1077" i="5" s="1"/>
  <c r="EB1079" i="5"/>
  <c r="FP1079" i="5"/>
  <c r="IT819" i="5"/>
  <c r="JB942" i="5"/>
  <c r="K1238" i="5"/>
  <c r="IJ100" i="5"/>
  <c r="IJ214" i="5"/>
  <c r="CZ570" i="5"/>
  <c r="CZ1237" i="5" s="1"/>
  <c r="CT577" i="5"/>
  <c r="CT720" i="5" s="1"/>
  <c r="DN577" i="5"/>
  <c r="DN1239" i="5" s="1"/>
  <c r="EH577" i="5"/>
  <c r="EH1239" i="5" s="1"/>
  <c r="IC843" i="5"/>
  <c r="JB878" i="5"/>
  <c r="AG1199" i="2" s="1"/>
  <c r="AG697" i="2" s="1"/>
  <c r="AG698" i="2" s="1"/>
  <c r="IY965" i="5"/>
  <c r="AF1286" i="2" s="1"/>
  <c r="ID967" i="5"/>
  <c r="Y1288" i="2" s="1"/>
  <c r="K23" i="7"/>
  <c r="CS803" i="5"/>
  <c r="CS1077" i="5" s="1"/>
  <c r="P813" i="5"/>
  <c r="P1078" i="5" s="1"/>
  <c r="FN1239" i="5"/>
  <c r="EH803" i="5"/>
  <c r="EH1077" i="5" s="1"/>
  <c r="EM814" i="5"/>
  <c r="FG814" i="5"/>
  <c r="O813" i="5"/>
  <c r="O1078" i="5" s="1"/>
  <c r="CK818" i="5"/>
  <c r="ES1079" i="5"/>
  <c r="IQ849" i="5"/>
  <c r="AE726" i="5"/>
  <c r="AF726" i="5"/>
  <c r="IK578" i="5"/>
  <c r="G30" i="7" s="1"/>
  <c r="DH628" i="5"/>
  <c r="DH1251" i="5" s="1"/>
  <c r="DC696" i="5"/>
  <c r="DC695" i="5" s="1"/>
  <c r="DC1256" i="5" s="1"/>
  <c r="DZ1079" i="5"/>
  <c r="IU823" i="5"/>
  <c r="DQ628" i="5"/>
  <c r="DQ1251" i="5" s="1"/>
  <c r="DQ577" i="5"/>
  <c r="DQ1239" i="5" s="1"/>
  <c r="V588" i="5"/>
  <c r="V723" i="5" s="1"/>
  <c r="IG617" i="5"/>
  <c r="EU670" i="5"/>
  <c r="EU669" i="5" s="1"/>
  <c r="EU1253" i="5" s="1"/>
  <c r="IQ779" i="5"/>
  <c r="JB877" i="5"/>
  <c r="AG1198" i="2" s="1"/>
  <c r="AG671" i="2" s="1"/>
  <c r="JB881" i="5"/>
  <c r="AG1202" i="2" s="1"/>
  <c r="JB898" i="5"/>
  <c r="AG1219" i="2" s="1"/>
  <c r="IM968" i="5"/>
  <c r="AB1289" i="2" s="1"/>
  <c r="AY1093" i="5"/>
  <c r="AY947" i="5"/>
  <c r="AY1092" i="5" s="1"/>
  <c r="CM1093" i="5"/>
  <c r="CM947" i="5"/>
  <c r="CM1092" i="5" s="1"/>
  <c r="BP1093" i="5"/>
  <c r="DG560" i="5"/>
  <c r="CM660" i="5"/>
  <c r="CM732" i="5" s="1"/>
  <c r="CM733" i="5"/>
  <c r="FC1236" i="5"/>
  <c r="IT793" i="5"/>
  <c r="IY952" i="5"/>
  <c r="AF1273" i="2" s="1"/>
  <c r="EM1093" i="5"/>
  <c r="EM947" i="5"/>
  <c r="EM1092" i="5" s="1"/>
  <c r="LA947" i="5"/>
  <c r="LA1092" i="5" s="1"/>
  <c r="LA1093" i="5"/>
  <c r="AF1698" i="2"/>
  <c r="AB947" i="5"/>
  <c r="AB1092" i="5" s="1"/>
  <c r="IF601" i="5"/>
  <c r="C52" i="7" s="1"/>
  <c r="E52" i="7" s="1"/>
  <c r="AG1249" i="5"/>
  <c r="AG726" i="5"/>
  <c r="BA1249" i="5"/>
  <c r="BA588" i="5"/>
  <c r="BA723" i="5" s="1"/>
  <c r="BU1249" i="5"/>
  <c r="BU726" i="5"/>
  <c r="IF853" i="5"/>
  <c r="IO869" i="5"/>
  <c r="IT869" i="5"/>
  <c r="IK870" i="5"/>
  <c r="IH876" i="5"/>
  <c r="IB877" i="5"/>
  <c r="IL877" i="5"/>
  <c r="IO885" i="5"/>
  <c r="IO886" i="5" s="1"/>
  <c r="IO890" i="5" s="1"/>
  <c r="IT885" i="5"/>
  <c r="IT886" i="5" s="1"/>
  <c r="IT887" i="5" s="1"/>
  <c r="EJ912" i="5"/>
  <c r="EJ1088" i="5" s="1"/>
  <c r="IT921" i="5"/>
  <c r="JB921" i="5"/>
  <c r="AG1242" i="2" s="1"/>
  <c r="CO947" i="5"/>
  <c r="CO1092" i="5" s="1"/>
  <c r="CO1093" i="5"/>
  <c r="DT993" i="5"/>
  <c r="DT1096" i="5" s="1"/>
  <c r="JB1021" i="5"/>
  <c r="AG1346" i="2" s="1"/>
  <c r="IK764" i="5"/>
  <c r="CM803" i="5"/>
  <c r="CM1077" i="5" s="1"/>
  <c r="DG803" i="5"/>
  <c r="DG1077" i="5" s="1"/>
  <c r="EU803" i="5"/>
  <c r="EU1077" i="5" s="1"/>
  <c r="FO803" i="5"/>
  <c r="FO1077" i="5" s="1"/>
  <c r="IC806" i="5"/>
  <c r="IR806" i="5"/>
  <c r="IH808" i="5"/>
  <c r="IW808" i="5"/>
  <c r="IL810" i="5"/>
  <c r="IB812" i="5"/>
  <c r="IQ812" i="5"/>
  <c r="FT1239" i="5"/>
  <c r="CX818" i="5"/>
  <c r="IN822" i="5"/>
  <c r="II823" i="5"/>
  <c r="IT824" i="5"/>
  <c r="CX826" i="5"/>
  <c r="CX1081" i="5" s="1"/>
  <c r="DR826" i="5"/>
  <c r="DR1081" i="5" s="1"/>
  <c r="EL826" i="5"/>
  <c r="EL1081" i="5" s="1"/>
  <c r="IE833" i="5"/>
  <c r="IB847" i="5"/>
  <c r="IT849" i="5"/>
  <c r="BX1096" i="5"/>
  <c r="BX987" i="5"/>
  <c r="BX1095" i="5" s="1"/>
  <c r="BD719" i="5"/>
  <c r="AX1253" i="5"/>
  <c r="AX739" i="5"/>
  <c r="BR1253" i="5"/>
  <c r="BR739" i="5"/>
  <c r="BS1093" i="5"/>
  <c r="CQ560" i="5"/>
  <c r="IE561" i="5"/>
  <c r="N67" i="7"/>
  <c r="IS620" i="5"/>
  <c r="P67" i="7" s="1"/>
  <c r="CX755" i="5"/>
  <c r="CX1076" i="5" s="1"/>
  <c r="IK756" i="5"/>
  <c r="IU756" i="5"/>
  <c r="IF757" i="5"/>
  <c r="IQ757" i="5"/>
  <c r="JB760" i="5"/>
  <c r="AG1066" i="2" s="1"/>
  <c r="IU763" i="5"/>
  <c r="IT764" i="5"/>
  <c r="JB764" i="5"/>
  <c r="AG1070" i="2" s="1"/>
  <c r="AG1399" i="2" s="1"/>
  <c r="AG1488" i="2" s="1"/>
  <c r="JB766" i="5"/>
  <c r="AG1072" i="2" s="1"/>
  <c r="IK767" i="5"/>
  <c r="JB767" i="5"/>
  <c r="AG1073" i="2" s="1"/>
  <c r="AG472" i="2" s="1"/>
  <c r="IU768" i="5"/>
  <c r="IB769" i="5"/>
  <c r="IF769" i="5"/>
  <c r="IQ769" i="5"/>
  <c r="IL770" i="5"/>
  <c r="IL771" i="5"/>
  <c r="IB772" i="5"/>
  <c r="IC773" i="5"/>
  <c r="IL773" i="5"/>
  <c r="IW773" i="5"/>
  <c r="IC777" i="5"/>
  <c r="IR777" i="5"/>
  <c r="IR778" i="5"/>
  <c r="II779" i="5"/>
  <c r="IN779" i="5"/>
  <c r="IF785" i="5"/>
  <c r="IB786" i="5"/>
  <c r="IF786" i="5"/>
  <c r="IU786" i="5"/>
  <c r="IL787" i="5"/>
  <c r="IL788" i="5"/>
  <c r="IW788" i="5"/>
  <c r="IR789" i="5"/>
  <c r="IC797" i="5"/>
  <c r="IR797" i="5"/>
  <c r="IN798" i="5"/>
  <c r="II800" i="5"/>
  <c r="IX800" i="5"/>
  <c r="IT801" i="5"/>
  <c r="IT802" i="5"/>
  <c r="JB802" i="5"/>
  <c r="AG1108" i="2" s="1"/>
  <c r="AG1402" i="2" s="1"/>
  <c r="AG1491" i="2" s="1"/>
  <c r="CE826" i="5"/>
  <c r="CE1081" i="5" s="1"/>
  <c r="EM826" i="5"/>
  <c r="EM1081" i="5" s="1"/>
  <c r="IN831" i="5"/>
  <c r="IB843" i="5"/>
  <c r="IB853" i="5"/>
  <c r="IQ853" i="5"/>
  <c r="II868" i="5"/>
  <c r="IX868" i="5"/>
  <c r="JB869" i="5"/>
  <c r="IP878" i="5"/>
  <c r="AC1199" i="2" s="1"/>
  <c r="AC697" i="2" s="1"/>
  <c r="JB886" i="5"/>
  <c r="AG1207" i="2" s="1"/>
  <c r="AZ719" i="5"/>
  <c r="DS947" i="5"/>
  <c r="DS1092" i="5" s="1"/>
  <c r="BP715" i="5"/>
  <c r="BP1232" i="5"/>
  <c r="BW1242" i="5"/>
  <c r="BW724" i="5"/>
  <c r="CF670" i="5"/>
  <c r="CF669" i="5" s="1"/>
  <c r="IF671" i="5"/>
  <c r="C116" i="7" s="1"/>
  <c r="DT670" i="5"/>
  <c r="DT669" i="5" s="1"/>
  <c r="DT1253" i="5" s="1"/>
  <c r="IL699" i="5"/>
  <c r="I141" i="7" s="1"/>
  <c r="IQ699" i="5"/>
  <c r="N141" i="7" s="1"/>
  <c r="EC803" i="5"/>
  <c r="EC1077" i="5" s="1"/>
  <c r="II822" i="5"/>
  <c r="IT823" i="5"/>
  <c r="IF842" i="5"/>
  <c r="IU842" i="5"/>
  <c r="IF845" i="5"/>
  <c r="IE868" i="5"/>
  <c r="IT868" i="5"/>
  <c r="BZ716" i="5"/>
  <c r="BZ713" i="5"/>
  <c r="BZ1233" i="5"/>
  <c r="P1238" i="5"/>
  <c r="P719" i="5"/>
  <c r="CG1239" i="5"/>
  <c r="CG720" i="5"/>
  <c r="AJ1242" i="5"/>
  <c r="AJ724" i="5"/>
  <c r="BA1253" i="5"/>
  <c r="BA739" i="5"/>
  <c r="FE908" i="5"/>
  <c r="FE1251" i="5" s="1"/>
  <c r="FE1080" i="5"/>
  <c r="CU696" i="5"/>
  <c r="CU695" i="5" s="1"/>
  <c r="CU1256" i="5" s="1"/>
  <c r="EI696" i="5"/>
  <c r="EI695" i="5" s="1"/>
  <c r="CE696" i="5"/>
  <c r="CE695" i="5" s="1"/>
  <c r="CE1256" i="5" s="1"/>
  <c r="IQ698" i="5"/>
  <c r="N140" i="7" s="1"/>
  <c r="IH699" i="5"/>
  <c r="IH1213" i="5" s="1"/>
  <c r="CI755" i="5"/>
  <c r="CI1076" i="5" s="1"/>
  <c r="FD1239" i="5"/>
  <c r="FD1079" i="5"/>
  <c r="ED1080" i="5"/>
  <c r="FR1080" i="5"/>
  <c r="CJ1093" i="5"/>
  <c r="CK685" i="5"/>
  <c r="CK683" i="5" s="1"/>
  <c r="CK1255" i="5" s="1"/>
  <c r="CK635" i="5"/>
  <c r="CK728" i="5" s="1"/>
  <c r="ER683" i="5"/>
  <c r="ER1255" i="5" s="1"/>
  <c r="BU1253" i="5"/>
  <c r="EU1240" i="5"/>
  <c r="EU628" i="5"/>
  <c r="EU621" i="5" s="1"/>
  <c r="EU1249" i="5" s="1"/>
  <c r="AM1242" i="5"/>
  <c r="AM724" i="5"/>
  <c r="DW599" i="5"/>
  <c r="DW1245" i="5"/>
  <c r="EJ947" i="5"/>
  <c r="EJ1092" i="5" s="1"/>
  <c r="EJ1093" i="5"/>
  <c r="S1088" i="5"/>
  <c r="S907" i="5"/>
  <c r="S1086" i="5" s="1"/>
  <c r="FI1245" i="5"/>
  <c r="IU876" i="5"/>
  <c r="AH1735" i="2"/>
  <c r="DP947" i="5"/>
  <c r="DP1092" i="5" s="1"/>
  <c r="IX919" i="5"/>
  <c r="AV947" i="5"/>
  <c r="AV1092" i="5" s="1"/>
  <c r="BV1093" i="5"/>
  <c r="J713" i="5"/>
  <c r="J716" i="5"/>
  <c r="AK1242" i="5"/>
  <c r="AK724" i="5"/>
  <c r="IK639" i="5"/>
  <c r="G86" i="7" s="1"/>
  <c r="AY713" i="5"/>
  <c r="AY716" i="5"/>
  <c r="ET1240" i="5"/>
  <c r="ET628" i="5"/>
  <c r="ET1251" i="5" s="1"/>
  <c r="BF588" i="5"/>
  <c r="BF1241" i="5" s="1"/>
  <c r="BF1242" i="5"/>
  <c r="L719" i="5"/>
  <c r="AD713" i="5"/>
  <c r="M588" i="5"/>
  <c r="M1241" i="5" s="1"/>
  <c r="EI560" i="5"/>
  <c r="BF1249" i="5"/>
  <c r="M724" i="5"/>
  <c r="IJ40" i="5"/>
  <c r="IJ229" i="5"/>
  <c r="M716" i="5"/>
  <c r="M1233" i="5"/>
  <c r="AY719" i="5"/>
  <c r="AY1238" i="5"/>
  <c r="CU577" i="5"/>
  <c r="CU576" i="5" s="1"/>
  <c r="DO577" i="5"/>
  <c r="EI577" i="5"/>
  <c r="EI576" i="5" s="1"/>
  <c r="EI1238" i="5" s="1"/>
  <c r="CV1240" i="5"/>
  <c r="CV721" i="5"/>
  <c r="FA814" i="5"/>
  <c r="DY1079" i="5"/>
  <c r="DM1240" i="5"/>
  <c r="DM721" i="5"/>
  <c r="H1093" i="5"/>
  <c r="H947" i="5"/>
  <c r="H1092" i="5" s="1"/>
  <c r="AF1238" i="5"/>
  <c r="AF719" i="5"/>
  <c r="BT1238" i="5"/>
  <c r="BT719" i="5"/>
  <c r="BZ739" i="5"/>
  <c r="BZ1253" i="5"/>
  <c r="AE739" i="5"/>
  <c r="P1242" i="5"/>
  <c r="LB552" i="5"/>
  <c r="LB715" i="5" s="1"/>
  <c r="AM1088" i="5"/>
  <c r="IJ6" i="5"/>
  <c r="IJ64" i="5"/>
  <c r="IJ114" i="5"/>
  <c r="IJ207" i="5"/>
  <c r="IJ250" i="5"/>
  <c r="BC1233" i="5"/>
  <c r="BC716" i="5"/>
  <c r="BJ1242" i="5"/>
  <c r="BJ724" i="5"/>
  <c r="X726" i="5"/>
  <c r="X1249" i="5"/>
  <c r="BA726" i="5"/>
  <c r="BA1238" i="5"/>
  <c r="CT560" i="5"/>
  <c r="JB833" i="5"/>
  <c r="AG1139" i="2" s="1"/>
  <c r="AG1417" i="2" s="1"/>
  <c r="AG1506" i="2" s="1"/>
  <c r="IL842" i="5"/>
  <c r="IL846" i="5"/>
  <c r="IH847" i="5"/>
  <c r="IW847" i="5"/>
  <c r="JB849" i="5"/>
  <c r="AG1155" i="2" s="1"/>
  <c r="AG1420" i="2" s="1"/>
  <c r="AG1509" i="2" s="1"/>
  <c r="CA713" i="5"/>
  <c r="G1242" i="5"/>
  <c r="IJ7" i="5"/>
  <c r="IJ26" i="5"/>
  <c r="IJ48" i="5"/>
  <c r="IJ76" i="5"/>
  <c r="IJ115" i="5"/>
  <c r="IJ162" i="5"/>
  <c r="IJ208" i="5"/>
  <c r="IJ251" i="5"/>
  <c r="CM670" i="5"/>
  <c r="CM669" i="5" s="1"/>
  <c r="CM1253" i="5" s="1"/>
  <c r="DG670" i="5"/>
  <c r="DG669" i="5" s="1"/>
  <c r="EA670" i="5"/>
  <c r="EA669" i="5" s="1"/>
  <c r="EA1253" i="5" s="1"/>
  <c r="CH696" i="5"/>
  <c r="CH695" i="5" s="1"/>
  <c r="CH1256" i="5" s="1"/>
  <c r="CS1175" i="5"/>
  <c r="DD1184" i="5"/>
  <c r="DR1187" i="5"/>
  <c r="DR1183" i="5" s="1"/>
  <c r="DX912" i="5"/>
  <c r="DX1088" i="5" s="1"/>
  <c r="FL912" i="5"/>
  <c r="FL1250" i="5" s="1"/>
  <c r="IH920" i="5"/>
  <c r="IH921" i="5"/>
  <c r="IC922" i="5"/>
  <c r="X1243" i="2" s="1"/>
  <c r="IW922" i="5"/>
  <c r="IN948" i="5"/>
  <c r="AB1687" i="2" s="1"/>
  <c r="DZ993" i="5"/>
  <c r="ET993" i="5"/>
  <c r="ET1096" i="5" s="1"/>
  <c r="IV1018" i="5"/>
  <c r="AE1343" i="2" s="1"/>
  <c r="DA1178" i="5"/>
  <c r="IJ187" i="5"/>
  <c r="I726" i="5"/>
  <c r="DW628" i="5"/>
  <c r="DW1251" i="5" s="1"/>
  <c r="CU608" i="5"/>
  <c r="EK577" i="5"/>
  <c r="EK576" i="5" s="1"/>
  <c r="EK1238" i="5" s="1"/>
  <c r="ED628" i="5"/>
  <c r="ED1251" i="5" s="1"/>
  <c r="EX628" i="5"/>
  <c r="EX1251" i="5" s="1"/>
  <c r="CQ755" i="5"/>
  <c r="CQ1076" i="5" s="1"/>
  <c r="IY898" i="5"/>
  <c r="AF1219" i="2" s="1"/>
  <c r="JB938" i="5"/>
  <c r="IJ952" i="5"/>
  <c r="AA1273" i="2" s="1"/>
  <c r="DC1028" i="5"/>
  <c r="DC1027" i="5" s="1"/>
  <c r="DC1019" i="5" s="1"/>
  <c r="DC1097" i="5" s="1"/>
  <c r="DW1028" i="5"/>
  <c r="DW1027" i="5" s="1"/>
  <c r="DW1019" i="5" s="1"/>
  <c r="DW1097" i="5" s="1"/>
  <c r="CS1168" i="5"/>
  <c r="DM1168" i="5"/>
  <c r="DP1175" i="5"/>
  <c r="DC1175" i="5"/>
  <c r="DS1191" i="5"/>
  <c r="K32" i="7"/>
  <c r="H70" i="7"/>
  <c r="E93" i="7"/>
  <c r="E108" i="7"/>
  <c r="E133" i="7"/>
  <c r="GJ449" i="5"/>
  <c r="GK1019" i="5"/>
  <c r="GK1253" i="5" s="1"/>
  <c r="E44" i="7"/>
  <c r="DK628" i="5"/>
  <c r="DK621" i="5" s="1"/>
  <c r="DK726" i="5" s="1"/>
  <c r="DD1175" i="5"/>
  <c r="DO1184" i="5"/>
  <c r="DT1191" i="5"/>
  <c r="IS642" i="5"/>
  <c r="P88" i="7" s="1"/>
  <c r="DB826" i="5"/>
  <c r="DB1081" i="5" s="1"/>
  <c r="FJ826" i="5"/>
  <c r="FJ1081" i="5" s="1"/>
  <c r="II839" i="5"/>
  <c r="IX839" i="5"/>
  <c r="IH842" i="5"/>
  <c r="IW842" i="5"/>
  <c r="IR843" i="5"/>
  <c r="IC846" i="5"/>
  <c r="IR846" i="5"/>
  <c r="IN847" i="5"/>
  <c r="IB849" i="5"/>
  <c r="FO912" i="5"/>
  <c r="FO1250" i="5" s="1"/>
  <c r="EA993" i="5"/>
  <c r="EA1096" i="5" s="1"/>
  <c r="DJ1028" i="5"/>
  <c r="DJ1027" i="5" s="1"/>
  <c r="DJ1019" i="5" s="1"/>
  <c r="DJ1097" i="5" s="1"/>
  <c r="ED1028" i="5"/>
  <c r="ED1027" i="5" s="1"/>
  <c r="ED1019" i="5" s="1"/>
  <c r="ED1097" i="5" s="1"/>
  <c r="EX1028" i="5"/>
  <c r="EX1027" i="5" s="1"/>
  <c r="EX1019" i="5" s="1"/>
  <c r="EX1097" i="5" s="1"/>
  <c r="FR1028" i="5"/>
  <c r="FR1027" i="5" s="1"/>
  <c r="FR1019" i="5" s="1"/>
  <c r="FR1097" i="5" s="1"/>
  <c r="IE616" i="5"/>
  <c r="JB807" i="5"/>
  <c r="AG1113" i="2" s="1"/>
  <c r="JB851" i="5"/>
  <c r="AG1157" i="2" s="1"/>
  <c r="CN912" i="5"/>
  <c r="CN1088" i="5" s="1"/>
  <c r="DH912" i="5"/>
  <c r="EV912" i="5"/>
  <c r="EV1088" i="5" s="1"/>
  <c r="AQ987" i="5"/>
  <c r="AQ1095" i="5" s="1"/>
  <c r="DP1168" i="5"/>
  <c r="DF1175" i="5"/>
  <c r="GN908" i="5"/>
  <c r="IJ259" i="5"/>
  <c r="BI1233" i="5"/>
  <c r="EQ1079" i="5"/>
  <c r="AP1249" i="5"/>
  <c r="BG719" i="5"/>
  <c r="BE713" i="5"/>
  <c r="CC1238" i="5"/>
  <c r="EK628" i="5"/>
  <c r="EM608" i="5"/>
  <c r="CH553" i="5"/>
  <c r="CH1233" i="5" s="1"/>
  <c r="DK570" i="5"/>
  <c r="DK1237" i="5" s="1"/>
  <c r="EE570" i="5"/>
  <c r="EE1237" i="5" s="1"/>
  <c r="EE993" i="5"/>
  <c r="EE1096" i="5" s="1"/>
  <c r="CW1168" i="5"/>
  <c r="DQ1168" i="5"/>
  <c r="DG1175" i="5"/>
  <c r="CQ1187" i="5"/>
  <c r="CQ1183" i="5" s="1"/>
  <c r="K108" i="7"/>
  <c r="BP713" i="5"/>
  <c r="DD553" i="5"/>
  <c r="DD1233" i="5" s="1"/>
  <c r="EN577" i="5"/>
  <c r="EN1239" i="5" s="1"/>
  <c r="FK1239" i="5"/>
  <c r="AH726" i="5"/>
  <c r="BC719" i="5"/>
  <c r="BE716" i="5"/>
  <c r="BY719" i="5"/>
  <c r="DB721" i="5"/>
  <c r="CU599" i="5"/>
  <c r="EF993" i="5"/>
  <c r="EF1096" i="5" s="1"/>
  <c r="CS1028" i="5"/>
  <c r="CS1027" i="5" s="1"/>
  <c r="CS1019" i="5" s="1"/>
  <c r="CS1097" i="5" s="1"/>
  <c r="EG1028" i="5"/>
  <c r="EG1027" i="5" s="1"/>
  <c r="EG1019" i="5" s="1"/>
  <c r="EG1097" i="5" s="1"/>
  <c r="FA1028" i="5"/>
  <c r="FA1027" i="5" s="1"/>
  <c r="FA1019" i="5" s="1"/>
  <c r="FA1097" i="5" s="1"/>
  <c r="IJ269" i="5"/>
  <c r="IS684" i="5"/>
  <c r="P128" i="7" s="1"/>
  <c r="BI716" i="5"/>
  <c r="EU560" i="5"/>
  <c r="DY577" i="5"/>
  <c r="DY1239" i="5" s="1"/>
  <c r="IR625" i="5"/>
  <c r="O72" i="7" s="1"/>
  <c r="S716" i="5"/>
  <c r="AP1253" i="5"/>
  <c r="BE1233" i="5"/>
  <c r="AT724" i="5"/>
  <c r="CK1239" i="5"/>
  <c r="FO1239" i="5"/>
  <c r="JB828" i="5"/>
  <c r="AG1134" i="2" s="1"/>
  <c r="IG878" i="5"/>
  <c r="Z1199" i="2" s="1"/>
  <c r="Z697" i="2" s="1"/>
  <c r="IV1005" i="5"/>
  <c r="AE1331" i="2" s="1"/>
  <c r="GC1087" i="5"/>
  <c r="H49" i="7"/>
  <c r="E101" i="7"/>
  <c r="DT1168" i="5"/>
  <c r="DJ1175" i="5"/>
  <c r="II919" i="5"/>
  <c r="EG912" i="5"/>
  <c r="EG1088" i="5" s="1"/>
  <c r="FA912" i="5"/>
  <c r="FA1088" i="5" s="1"/>
  <c r="FU912" i="5"/>
  <c r="FU1250" i="5" s="1"/>
  <c r="IE920" i="5"/>
  <c r="II920" i="5"/>
  <c r="II921" i="5"/>
  <c r="JB928" i="5"/>
  <c r="IO948" i="5"/>
  <c r="AC1686" i="2" s="1"/>
  <c r="IV950" i="5"/>
  <c r="AE1271" i="2" s="1"/>
  <c r="AE1725" i="2" s="1"/>
  <c r="EQ608" i="5"/>
  <c r="EQ606" i="5" s="1"/>
  <c r="EQ1247" i="5" s="1"/>
  <c r="AG588" i="5"/>
  <c r="AG658" i="5" s="1"/>
  <c r="IK772" i="5"/>
  <c r="IU773" i="5"/>
  <c r="IL778" i="5"/>
  <c r="IH779" i="5"/>
  <c r="JB785" i="5"/>
  <c r="AG1091" i="2" s="1"/>
  <c r="AG536" i="2" s="1"/>
  <c r="IK786" i="5"/>
  <c r="IK787" i="5"/>
  <c r="IF788" i="5"/>
  <c r="IR800" i="5"/>
  <c r="AO713" i="5"/>
  <c r="CE1239" i="5"/>
  <c r="IJ255" i="5"/>
  <c r="EK570" i="5"/>
  <c r="EK1237" i="5" s="1"/>
  <c r="DK577" i="5"/>
  <c r="DK576" i="5" s="1"/>
  <c r="DK1238" i="5" s="1"/>
  <c r="EE577" i="5"/>
  <c r="EE576" i="5" s="1"/>
  <c r="JB791" i="5"/>
  <c r="AG1097" i="2" s="1"/>
  <c r="AG480" i="2" s="1"/>
  <c r="IX885" i="5"/>
  <c r="IK901" i="5"/>
  <c r="IJ985" i="5"/>
  <c r="CJ993" i="5"/>
  <c r="CJ988" i="5" s="1"/>
  <c r="CJ1096" i="5" s="1"/>
  <c r="IJ998" i="5"/>
  <c r="AA1324" i="2" s="1"/>
  <c r="JB1000" i="5"/>
  <c r="AG1326" i="2" s="1"/>
  <c r="CV993" i="5"/>
  <c r="CV988" i="5" s="1"/>
  <c r="CV1096" i="5" s="1"/>
  <c r="EH993" i="5"/>
  <c r="EH1096" i="5" s="1"/>
  <c r="FB993" i="5"/>
  <c r="FB1096" i="5" s="1"/>
  <c r="FV993" i="5"/>
  <c r="FV1096" i="5" s="1"/>
  <c r="IY1008" i="5"/>
  <c r="AF1334" i="2" s="1"/>
  <c r="IH1018" i="5"/>
  <c r="JB1024" i="5"/>
  <c r="AG1349" i="2" s="1"/>
  <c r="JB1029" i="5"/>
  <c r="AG1354" i="2" s="1"/>
  <c r="K19" i="7"/>
  <c r="D96" i="7"/>
  <c r="E96" i="7" s="1"/>
  <c r="II651" i="5"/>
  <c r="F96" i="7" s="1"/>
  <c r="DW1079" i="5"/>
  <c r="FG1240" i="5"/>
  <c r="IS631" i="5"/>
  <c r="P78" i="7" s="1"/>
  <c r="DA1093" i="5"/>
  <c r="ED1250" i="5"/>
  <c r="CW733" i="5"/>
  <c r="CW660" i="5"/>
  <c r="CW732" i="5" s="1"/>
  <c r="R739" i="5"/>
  <c r="R1253" i="5"/>
  <c r="AL739" i="5"/>
  <c r="AL1253" i="5"/>
  <c r="BE1253" i="5"/>
  <c r="BE739" i="5"/>
  <c r="K119" i="7"/>
  <c r="H121" i="7"/>
  <c r="FJ1235" i="5"/>
  <c r="IU771" i="5"/>
  <c r="W1088" i="5"/>
  <c r="W907" i="5"/>
  <c r="W1086" i="5" s="1"/>
  <c r="C34" i="7"/>
  <c r="IF582" i="5"/>
  <c r="C33" i="7" s="1"/>
  <c r="AS726" i="5"/>
  <c r="AS1249" i="5"/>
  <c r="JA1041" i="5"/>
  <c r="JA1098" i="5" s="1"/>
  <c r="JA1090" i="5"/>
  <c r="JB924" i="5"/>
  <c r="AG1245" i="2" s="1"/>
  <c r="CF755" i="5"/>
  <c r="CF1076" i="5" s="1"/>
  <c r="DH599" i="5"/>
  <c r="BF1238" i="5"/>
  <c r="BF719" i="5"/>
  <c r="BL588" i="5"/>
  <c r="BL723" i="5" s="1"/>
  <c r="DI1245" i="5"/>
  <c r="DI599" i="5"/>
  <c r="F1249" i="5"/>
  <c r="F726" i="5"/>
  <c r="IM640" i="5"/>
  <c r="G87" i="7"/>
  <c r="H87" i="7" s="1"/>
  <c r="N91" i="7"/>
  <c r="IS645" i="5"/>
  <c r="P91" i="7" s="1"/>
  <c r="CF733" i="5"/>
  <c r="CF660" i="5"/>
  <c r="CF732" i="5" s="1"/>
  <c r="U739" i="5"/>
  <c r="U1253" i="5"/>
  <c r="CG696" i="5"/>
  <c r="CG695" i="5" s="1"/>
  <c r="CG1256" i="5" s="1"/>
  <c r="DA696" i="5"/>
  <c r="DA695" i="5" s="1"/>
  <c r="DA1256" i="5" s="1"/>
  <c r="DU696" i="5"/>
  <c r="DU695" i="5" s="1"/>
  <c r="DU1256" i="5" s="1"/>
  <c r="EO696" i="5"/>
  <c r="EO695" i="5" s="1"/>
  <c r="AO1093" i="5"/>
  <c r="AO947" i="5"/>
  <c r="AO1092" i="5" s="1"/>
  <c r="CU1178" i="5"/>
  <c r="DG1184" i="5"/>
  <c r="FH1234" i="5"/>
  <c r="CE733" i="5"/>
  <c r="CE660" i="5"/>
  <c r="CE732" i="5" s="1"/>
  <c r="IM634" i="5"/>
  <c r="IC1028" i="5"/>
  <c r="AI987" i="5"/>
  <c r="AI1095" i="5" s="1"/>
  <c r="FJ1239" i="5"/>
  <c r="E95" i="7"/>
  <c r="BF739" i="5"/>
  <c r="AK1253" i="5"/>
  <c r="AN1093" i="5"/>
  <c r="IS690" i="5"/>
  <c r="P132" i="7" s="1"/>
  <c r="IS619" i="5"/>
  <c r="P66" i="7" s="1"/>
  <c r="DE1079" i="5"/>
  <c r="IM632" i="5"/>
  <c r="BB1253" i="5"/>
  <c r="KY947" i="5"/>
  <c r="KY1092" i="5" s="1"/>
  <c r="Q1253" i="5"/>
  <c r="BM588" i="5"/>
  <c r="BM723" i="5" s="1"/>
  <c r="EO683" i="5"/>
  <c r="EO1255" i="5" s="1"/>
  <c r="FJ1234" i="5"/>
  <c r="JE1030" i="5"/>
  <c r="AH1355" i="2" s="1"/>
  <c r="GC826" i="5"/>
  <c r="GC754" i="5" s="1"/>
  <c r="JA754" i="5" s="1"/>
  <c r="JB754" i="5" s="1"/>
  <c r="BS739" i="5"/>
  <c r="DA1079" i="5"/>
  <c r="U987" i="5"/>
  <c r="U1095" i="5" s="1"/>
  <c r="BI726" i="5"/>
  <c r="DB1168" i="5"/>
  <c r="IG1168" i="5" s="1"/>
  <c r="AB1249" i="5"/>
  <c r="AB726" i="5"/>
  <c r="G80" i="7"/>
  <c r="H80" i="7" s="1"/>
  <c r="IM633" i="5"/>
  <c r="N81" i="7"/>
  <c r="IS634" i="5"/>
  <c r="P81" i="7" s="1"/>
  <c r="W1253" i="5"/>
  <c r="W739" i="5"/>
  <c r="IJ1188" i="5"/>
  <c r="AA1795" i="2" s="1"/>
  <c r="AA1794" i="2" s="1"/>
  <c r="DN1187" i="5"/>
  <c r="IJ1187" i="5" s="1"/>
  <c r="JE943" i="5"/>
  <c r="BW1233" i="5"/>
  <c r="BW716" i="5"/>
  <c r="W1233" i="5"/>
  <c r="W713" i="5"/>
  <c r="AO1238" i="5"/>
  <c r="AO719" i="5"/>
  <c r="BI719" i="5"/>
  <c r="BI1238" i="5"/>
  <c r="AU1242" i="5"/>
  <c r="AU724" i="5"/>
  <c r="EE1245" i="5"/>
  <c r="EE599" i="5"/>
  <c r="AW1249" i="5"/>
  <c r="AW726" i="5"/>
  <c r="BQ1249" i="5"/>
  <c r="BQ726" i="5"/>
  <c r="N87" i="7"/>
  <c r="IS640" i="5"/>
  <c r="P87" i="7" s="1"/>
  <c r="CI733" i="5"/>
  <c r="CI660" i="5"/>
  <c r="CI732" i="5" s="1"/>
  <c r="AX1238" i="5"/>
  <c r="AX719" i="5"/>
  <c r="IJ93" i="5"/>
  <c r="IS678" i="5"/>
  <c r="P122" i="7" s="1"/>
  <c r="N122" i="7"/>
  <c r="X1242" i="5"/>
  <c r="X724" i="5"/>
  <c r="S1253" i="5"/>
  <c r="S739" i="5"/>
  <c r="CL670" i="5"/>
  <c r="CL669" i="5" s="1"/>
  <c r="DZ670" i="5"/>
  <c r="DZ669" i="5" s="1"/>
  <c r="DZ1253" i="5" s="1"/>
  <c r="ET670" i="5"/>
  <c r="ET669" i="5" s="1"/>
  <c r="ET1253" i="5" s="1"/>
  <c r="DS696" i="5"/>
  <c r="DS695" i="5" s="1"/>
  <c r="DS1256" i="5" s="1"/>
  <c r="EM696" i="5"/>
  <c r="EM695" i="5" s="1"/>
  <c r="EM681" i="5" s="1"/>
  <c r="FM1079" i="5"/>
  <c r="FM1239" i="5"/>
  <c r="CV553" i="5"/>
  <c r="CV716" i="5" s="1"/>
  <c r="T1253" i="5"/>
  <c r="T739" i="5"/>
  <c r="T1093" i="5"/>
  <c r="T947" i="5"/>
  <c r="T1092" i="5" s="1"/>
  <c r="CB1093" i="5"/>
  <c r="CB947" i="5"/>
  <c r="CB1092" i="5" s="1"/>
  <c r="FN1255" i="5"/>
  <c r="FN993" i="5"/>
  <c r="FN1096" i="5" s="1"/>
  <c r="DE1168" i="5"/>
  <c r="CU1175" i="5"/>
  <c r="DO1175" i="5"/>
  <c r="X1233" i="5"/>
  <c r="X552" i="5"/>
  <c r="X654" i="5" s="1"/>
  <c r="AR552" i="5"/>
  <c r="AR654" i="5" s="1"/>
  <c r="AR713" i="5"/>
  <c r="AR1233" i="5"/>
  <c r="AR716" i="5"/>
  <c r="CD1238" i="5"/>
  <c r="CD719" i="5"/>
  <c r="AV1242" i="5"/>
  <c r="AV724" i="5"/>
  <c r="FM1240" i="5"/>
  <c r="FM1080" i="5"/>
  <c r="FE1079" i="5"/>
  <c r="N60" i="7"/>
  <c r="IS611" i="5"/>
  <c r="P60" i="7" s="1"/>
  <c r="CC1249" i="5"/>
  <c r="CC726" i="5"/>
  <c r="BC1253" i="5"/>
  <c r="BC739" i="5"/>
  <c r="DB818" i="5"/>
  <c r="DB1079" i="5"/>
  <c r="JE1016" i="5"/>
  <c r="AH1341" i="2" s="1"/>
  <c r="AZ739" i="5"/>
  <c r="BL726" i="5"/>
  <c r="BL1249" i="5"/>
  <c r="JA845" i="5"/>
  <c r="JB845" i="5" s="1"/>
  <c r="AG1151" i="2" s="1"/>
  <c r="AG1419" i="2" s="1"/>
  <c r="AG1508" i="2" s="1"/>
  <c r="AF739" i="5"/>
  <c r="FP947" i="5"/>
  <c r="FP1092" i="5" s="1"/>
  <c r="FD1234" i="5"/>
  <c r="CY660" i="5"/>
  <c r="CY732" i="5" s="1"/>
  <c r="AE1698" i="2"/>
  <c r="AY1253" i="5"/>
  <c r="AY739" i="5"/>
  <c r="BT1253" i="5"/>
  <c r="BT739" i="5"/>
  <c r="IJ287" i="5"/>
  <c r="FU1240" i="5"/>
  <c r="CH755" i="5"/>
  <c r="CH1076" i="5" s="1"/>
  <c r="JE997" i="5"/>
  <c r="AH1323" i="2" s="1"/>
  <c r="E88" i="7"/>
  <c r="IX820" i="5"/>
  <c r="EA628" i="5"/>
  <c r="EA1251" i="5" s="1"/>
  <c r="DF670" i="5"/>
  <c r="DF669" i="5" s="1"/>
  <c r="IM678" i="5"/>
  <c r="DV1079" i="5"/>
  <c r="AM739" i="5"/>
  <c r="CK1079" i="5"/>
  <c r="P739" i="5"/>
  <c r="M739" i="5"/>
  <c r="AH1698" i="2"/>
  <c r="IS632" i="5"/>
  <c r="P79" i="7" s="1"/>
  <c r="DH947" i="5"/>
  <c r="DH1092" i="5" s="1"/>
  <c r="FF1080" i="5"/>
  <c r="CH1079" i="5"/>
  <c r="L739" i="5"/>
  <c r="DP814" i="5"/>
  <c r="BH1242" i="5"/>
  <c r="BH724" i="5"/>
  <c r="ER1245" i="5"/>
  <c r="ER599" i="5"/>
  <c r="CW818" i="5"/>
  <c r="IF819" i="5"/>
  <c r="AZ1233" i="5"/>
  <c r="AZ716" i="5"/>
  <c r="AZ713" i="5"/>
  <c r="IJ53" i="5"/>
  <c r="IJ119" i="5"/>
  <c r="IJ180" i="5"/>
  <c r="IJ256" i="5"/>
  <c r="IJ267" i="5"/>
  <c r="S1242" i="5"/>
  <c r="S724" i="5"/>
  <c r="IW876" i="5"/>
  <c r="AI1253" i="5"/>
  <c r="AI739" i="5"/>
  <c r="ID1186" i="5"/>
  <c r="D1793" i="2"/>
  <c r="JE963" i="5"/>
  <c r="AH1284" i="2" s="1"/>
  <c r="FS1079" i="5"/>
  <c r="IQ815" i="5"/>
  <c r="FG1080" i="5"/>
  <c r="BR719" i="5"/>
  <c r="E726" i="5"/>
  <c r="O552" i="5"/>
  <c r="O550" i="5" s="1"/>
  <c r="O714" i="5" s="1"/>
  <c r="AC1093" i="5"/>
  <c r="AC947" i="5"/>
  <c r="AC1092" i="5" s="1"/>
  <c r="BQ1093" i="5"/>
  <c r="BQ947" i="5"/>
  <c r="BQ1092" i="5" s="1"/>
  <c r="DQ1093" i="5"/>
  <c r="DQ947" i="5"/>
  <c r="DQ1092" i="5" s="1"/>
  <c r="BP653" i="5"/>
  <c r="AN739" i="5"/>
  <c r="X716" i="5"/>
  <c r="I947" i="5"/>
  <c r="I1092" i="5" s="1"/>
  <c r="FV1246" i="5"/>
  <c r="IX870" i="5"/>
  <c r="IF901" i="5"/>
  <c r="JB904" i="5"/>
  <c r="AG1225" i="2" s="1"/>
  <c r="JA1095" i="5"/>
  <c r="JB987" i="5"/>
  <c r="AG1313" i="2" s="1"/>
  <c r="AT588" i="5"/>
  <c r="AT723" i="5" s="1"/>
  <c r="IR626" i="5"/>
  <c r="O73" i="7" s="1"/>
  <c r="IF627" i="5"/>
  <c r="C74" i="7" s="1"/>
  <c r="IR638" i="5"/>
  <c r="O85" i="7" s="1"/>
  <c r="IK680" i="5"/>
  <c r="G124" i="7" s="1"/>
  <c r="DK683" i="5"/>
  <c r="DK1255" i="5" s="1"/>
  <c r="IR682" i="5"/>
  <c r="O126" i="7" s="1"/>
  <c r="DV696" i="5"/>
  <c r="DV695" i="5" s="1"/>
  <c r="CK755" i="5"/>
  <c r="CK1076" i="5" s="1"/>
  <c r="AM987" i="5"/>
  <c r="AM1095" i="5" s="1"/>
  <c r="AM1096" i="5"/>
  <c r="IR994" i="5"/>
  <c r="IG995" i="5"/>
  <c r="Z1321" i="2" s="1"/>
  <c r="IC1003" i="5"/>
  <c r="Y1690" i="2" s="1"/>
  <c r="IJ1005" i="5"/>
  <c r="AA1331" i="2" s="1"/>
  <c r="AG724" i="5"/>
  <c r="AG652" i="5"/>
  <c r="IF573" i="5"/>
  <c r="C27" i="7" s="1"/>
  <c r="W719" i="5"/>
  <c r="W1238" i="5"/>
  <c r="DV577" i="5"/>
  <c r="DV1239" i="5" s="1"/>
  <c r="EN628" i="5"/>
  <c r="EN621" i="5" s="1"/>
  <c r="EN1249" i="5" s="1"/>
  <c r="EN1240" i="5"/>
  <c r="IF876" i="5"/>
  <c r="JA1094" i="5"/>
  <c r="JB985" i="5"/>
  <c r="JB1094" i="5" s="1"/>
  <c r="IX1029" i="5"/>
  <c r="DX1028" i="5"/>
  <c r="DX1027" i="5" s="1"/>
  <c r="DX1019" i="5" s="1"/>
  <c r="DX1097" i="5" s="1"/>
  <c r="IH1038" i="5"/>
  <c r="IN1038" i="5"/>
  <c r="IW1038" i="5"/>
  <c r="DP1178" i="5"/>
  <c r="DA1187" i="5"/>
  <c r="DA1183" i="5" s="1"/>
  <c r="CS1191" i="5"/>
  <c r="IS564" i="5"/>
  <c r="P19" i="7" s="1"/>
  <c r="K134" i="7"/>
  <c r="G552" i="5"/>
  <c r="G653" i="5" s="1"/>
  <c r="F552" i="5"/>
  <c r="F550" i="5" s="1"/>
  <c r="F713" i="5"/>
  <c r="DM570" i="5"/>
  <c r="EG570" i="5"/>
  <c r="EG1237" i="5" s="1"/>
  <c r="CX608" i="5"/>
  <c r="X719" i="5"/>
  <c r="X1238" i="5"/>
  <c r="FD1247" i="5"/>
  <c r="JB926" i="5"/>
  <c r="AG1247" i="2" s="1"/>
  <c r="CE947" i="5"/>
  <c r="CE1092" i="5" s="1"/>
  <c r="CE1093" i="5"/>
  <c r="EY947" i="5"/>
  <c r="EY1092" i="5" s="1"/>
  <c r="EY1093" i="5"/>
  <c r="AB1698" i="2"/>
  <c r="AB1706" i="2" s="1"/>
  <c r="IM950" i="5"/>
  <c r="AB1271" i="2" s="1"/>
  <c r="IM952" i="5"/>
  <c r="AB1273" i="2" s="1"/>
  <c r="JB964" i="5"/>
  <c r="AG1285" i="2" s="1"/>
  <c r="IY966" i="5"/>
  <c r="AF1287" i="2" s="1"/>
  <c r="IJ968" i="5"/>
  <c r="AA1289" i="2" s="1"/>
  <c r="IY974" i="5"/>
  <c r="AF1295" i="2" s="1"/>
  <c r="AF1886" i="2" s="1"/>
  <c r="JB992" i="5"/>
  <c r="AG1318" i="2" s="1"/>
  <c r="JB1027" i="5"/>
  <c r="AG1352" i="2" s="1"/>
  <c r="DE1028" i="5"/>
  <c r="DE1027" i="5" s="1"/>
  <c r="DY1028" i="5"/>
  <c r="DY1027" i="5" s="1"/>
  <c r="DY1019" i="5" s="1"/>
  <c r="DY1097" i="5" s="1"/>
  <c r="FM1028" i="5"/>
  <c r="FM1027" i="5" s="1"/>
  <c r="FM1019" i="5" s="1"/>
  <c r="FM1097" i="5" s="1"/>
  <c r="CW1178" i="5"/>
  <c r="DQ1178" i="5"/>
  <c r="DV1234" i="5"/>
  <c r="DV553" i="5"/>
  <c r="DV1233" i="5" s="1"/>
  <c r="CY608" i="5"/>
  <c r="BT1249" i="5"/>
  <c r="BT726" i="5"/>
  <c r="IC833" i="5"/>
  <c r="IR833" i="5"/>
  <c r="IN834" i="5"/>
  <c r="II835" i="5"/>
  <c r="IX835" i="5"/>
  <c r="IX845" i="5"/>
  <c r="IE846" i="5"/>
  <c r="IT846" i="5"/>
  <c r="IO847" i="5"/>
  <c r="IC849" i="5"/>
  <c r="IR849" i="5"/>
  <c r="O1088" i="5"/>
  <c r="O907" i="5"/>
  <c r="O1086" i="5" s="1"/>
  <c r="FQ912" i="5"/>
  <c r="E1093" i="5"/>
  <c r="E947" i="5"/>
  <c r="E1092" i="5" s="1"/>
  <c r="AR1093" i="5"/>
  <c r="AR947" i="5"/>
  <c r="AR1092" i="5" s="1"/>
  <c r="BL1093" i="5"/>
  <c r="BL947" i="5"/>
  <c r="BL1092" i="5" s="1"/>
  <c r="EF1093" i="5"/>
  <c r="EF947" i="5"/>
  <c r="EF1092" i="5" s="1"/>
  <c r="FR1255" i="5"/>
  <c r="FR993" i="5"/>
  <c r="FR1096" i="5" s="1"/>
  <c r="IP1008" i="5"/>
  <c r="AC1334" i="2" s="1"/>
  <c r="IY1016" i="5"/>
  <c r="AF1341" i="2" s="1"/>
  <c r="DI1168" i="5"/>
  <c r="CX1178" i="5"/>
  <c r="H713" i="5"/>
  <c r="H552" i="5"/>
  <c r="H652" i="5" s="1"/>
  <c r="AV716" i="5"/>
  <c r="AV552" i="5"/>
  <c r="AV550" i="5" s="1"/>
  <c r="AV714" i="5" s="1"/>
  <c r="IE559" i="5"/>
  <c r="DM599" i="5"/>
  <c r="CS826" i="5"/>
  <c r="CS1081" i="5" s="1"/>
  <c r="IO827" i="5"/>
  <c r="IF829" i="5"/>
  <c r="IU829" i="5"/>
  <c r="IB830" i="5"/>
  <c r="IQ830" i="5"/>
  <c r="IL831" i="5"/>
  <c r="IW832" i="5"/>
  <c r="IU839" i="5"/>
  <c r="IE842" i="5"/>
  <c r="IT842" i="5"/>
  <c r="FA1093" i="5"/>
  <c r="FA947" i="5"/>
  <c r="FA1092" i="5" s="1"/>
  <c r="CP1168" i="5"/>
  <c r="DJ1168" i="5"/>
  <c r="CZ1175" i="5"/>
  <c r="DT1175" i="5"/>
  <c r="DL1178" i="5"/>
  <c r="AC552" i="5"/>
  <c r="AC550" i="5" s="1"/>
  <c r="AC714" i="5" s="1"/>
  <c r="AC1233" i="5"/>
  <c r="AC716" i="5"/>
  <c r="CV570" i="5"/>
  <c r="CV1237" i="5" s="1"/>
  <c r="ET577" i="5"/>
  <c r="ET1239" i="5" s="1"/>
  <c r="JB915" i="5"/>
  <c r="AG1236" i="2" s="1"/>
  <c r="ED912" i="5"/>
  <c r="ED1088" i="5" s="1"/>
  <c r="AC1699" i="2"/>
  <c r="AC1697" i="2" s="1"/>
  <c r="AC1811" i="2" s="1"/>
  <c r="IS950" i="5"/>
  <c r="AD1271" i="2" s="1"/>
  <c r="DH1028" i="5"/>
  <c r="DH1027" i="5" s="1"/>
  <c r="DH1019" i="5" s="1"/>
  <c r="EB1028" i="5"/>
  <c r="EB1027" i="5" s="1"/>
  <c r="EB1019" i="5" s="1"/>
  <c r="EB1097" i="5" s="1"/>
  <c r="AW716" i="5"/>
  <c r="AW713" i="5"/>
  <c r="Y719" i="5"/>
  <c r="J552" i="5"/>
  <c r="J550" i="5" s="1"/>
  <c r="J714" i="5" s="1"/>
  <c r="J1233" i="5"/>
  <c r="AX552" i="5"/>
  <c r="AX652" i="5" s="1"/>
  <c r="AX716" i="5"/>
  <c r="AX713" i="5"/>
  <c r="BR552" i="5"/>
  <c r="BR653" i="5" s="1"/>
  <c r="BR716" i="5"/>
  <c r="BR713" i="5"/>
  <c r="CW570" i="5"/>
  <c r="CW717" i="5" s="1"/>
  <c r="DQ570" i="5"/>
  <c r="DQ1237" i="5" s="1"/>
  <c r="CF631" i="5"/>
  <c r="CF582" i="5"/>
  <c r="CF628" i="5" s="1"/>
  <c r="CF1251" i="5" s="1"/>
  <c r="IK827" i="5"/>
  <c r="IF828" i="5"/>
  <c r="IU828" i="5"/>
  <c r="IB829" i="5"/>
  <c r="IH831" i="5"/>
  <c r="IW831" i="5"/>
  <c r="IC832" i="5"/>
  <c r="IR832" i="5"/>
  <c r="IB839" i="5"/>
  <c r="IQ839" i="5"/>
  <c r="IO842" i="5"/>
  <c r="IK843" i="5"/>
  <c r="JB843" i="5"/>
  <c r="AG1149" i="2" s="1"/>
  <c r="AG602" i="2" s="1"/>
  <c r="IR868" i="5"/>
  <c r="IO870" i="5"/>
  <c r="EZ912" i="5"/>
  <c r="AU1093" i="5"/>
  <c r="AU947" i="5"/>
  <c r="AU1092" i="5" s="1"/>
  <c r="DO1093" i="5"/>
  <c r="DO947" i="5"/>
  <c r="DO1092" i="5" s="1"/>
  <c r="I552" i="5"/>
  <c r="I652" i="5" s="1"/>
  <c r="I713" i="5"/>
  <c r="BQ1233" i="5"/>
  <c r="BQ716" i="5"/>
  <c r="BQ713" i="5"/>
  <c r="Y1238" i="5"/>
  <c r="IJ46" i="5"/>
  <c r="IJ74" i="5"/>
  <c r="IJ113" i="5"/>
  <c r="IJ158" i="5"/>
  <c r="IJ198" i="5"/>
  <c r="IJ206" i="5"/>
  <c r="IJ249" i="5"/>
  <c r="DO560" i="5"/>
  <c r="IN778" i="5"/>
  <c r="IH788" i="5"/>
  <c r="FD826" i="5"/>
  <c r="FD1081" i="5" s="1"/>
  <c r="II833" i="5"/>
  <c r="IE834" i="5"/>
  <c r="IT834" i="5"/>
  <c r="IO835" i="5"/>
  <c r="JB841" i="5"/>
  <c r="AG1147" i="2" s="1"/>
  <c r="IO845" i="5"/>
  <c r="IK846" i="5"/>
  <c r="JB846" i="5"/>
  <c r="AG1152" i="2" s="1"/>
  <c r="IU847" i="5"/>
  <c r="II849" i="5"/>
  <c r="IX849" i="5"/>
  <c r="JB859" i="5"/>
  <c r="AG1165" i="2" s="1"/>
  <c r="JB941" i="5"/>
  <c r="IL1018" i="5"/>
  <c r="EH696" i="5"/>
  <c r="EH695" i="5" s="1"/>
  <c r="DR696" i="5"/>
  <c r="DR695" i="5" s="1"/>
  <c r="DR1256" i="5" s="1"/>
  <c r="EL696" i="5"/>
  <c r="EL695" i="5" s="1"/>
  <c r="JB801" i="5"/>
  <c r="AG1107" i="2" s="1"/>
  <c r="AG581" i="2" s="1"/>
  <c r="CS814" i="5"/>
  <c r="DM814" i="5"/>
  <c r="AW813" i="5"/>
  <c r="AW1078" i="5" s="1"/>
  <c r="BQ813" i="5"/>
  <c r="BQ1078" i="5" s="1"/>
  <c r="FG1079" i="5"/>
  <c r="V907" i="5"/>
  <c r="V1086" i="5" s="1"/>
  <c r="V1088" i="5"/>
  <c r="IM955" i="5"/>
  <c r="AB1276" i="2" s="1"/>
  <c r="IS967" i="5"/>
  <c r="AD1288" i="2" s="1"/>
  <c r="IV968" i="5"/>
  <c r="AE1289" i="2" s="1"/>
  <c r="IG974" i="5"/>
  <c r="Z1300" i="2" s="1"/>
  <c r="IY990" i="5"/>
  <c r="AF1316" i="2" s="1"/>
  <c r="CW993" i="5"/>
  <c r="CW988" i="5" s="1"/>
  <c r="CW1096" i="5" s="1"/>
  <c r="BH716" i="5"/>
  <c r="AG653" i="5"/>
  <c r="DW608" i="5"/>
  <c r="DW606" i="5" s="1"/>
  <c r="DW1247" i="5" s="1"/>
  <c r="DI628" i="5"/>
  <c r="DI1251" i="5" s="1"/>
  <c r="IX777" i="5"/>
  <c r="IK779" i="5"/>
  <c r="IC785" i="5"/>
  <c r="DN912" i="5"/>
  <c r="IK994" i="5"/>
  <c r="IJ994" i="5"/>
  <c r="AA1320" i="2" s="1"/>
  <c r="IV995" i="5"/>
  <c r="AE1321" i="2" s="1"/>
  <c r="FA993" i="5"/>
  <c r="FA1096" i="5" s="1"/>
  <c r="IV1008" i="5"/>
  <c r="AE1334" i="2" s="1"/>
  <c r="DF1028" i="5"/>
  <c r="DF1027" i="5" s="1"/>
  <c r="DF1019" i="5" s="1"/>
  <c r="DF1097" i="5" s="1"/>
  <c r="CX1191" i="5"/>
  <c r="H6" i="7"/>
  <c r="H76" i="7"/>
  <c r="K100" i="7"/>
  <c r="H104" i="7"/>
  <c r="GU994" i="5"/>
  <c r="EE553" i="5"/>
  <c r="EE1233" i="5" s="1"/>
  <c r="DU570" i="5"/>
  <c r="DU1237" i="5" s="1"/>
  <c r="IF594" i="5"/>
  <c r="C45" i="7" s="1"/>
  <c r="E45" i="7" s="1"/>
  <c r="DJ670" i="5"/>
  <c r="DJ669" i="5" s="1"/>
  <c r="DJ1253" i="5" s="1"/>
  <c r="EX670" i="5"/>
  <c r="EX669" i="5" s="1"/>
  <c r="EX1253" i="5" s="1"/>
  <c r="EF628" i="5"/>
  <c r="EF1251" i="5" s="1"/>
  <c r="CM683" i="5"/>
  <c r="CM1255" i="5" s="1"/>
  <c r="EQ696" i="5"/>
  <c r="EQ695" i="5" s="1"/>
  <c r="EQ1256" i="5" s="1"/>
  <c r="EU696" i="5"/>
  <c r="EU695" i="5" s="1"/>
  <c r="JB804" i="5"/>
  <c r="AG1110" i="2" s="1"/>
  <c r="IO807" i="5"/>
  <c r="IK869" i="5"/>
  <c r="IF870" i="5"/>
  <c r="IW877" i="5"/>
  <c r="IB885" i="5"/>
  <c r="IB886" i="5" s="1"/>
  <c r="IB890" i="5" s="1"/>
  <c r="IK885" i="5"/>
  <c r="IK886" i="5" s="1"/>
  <c r="IK887" i="5" s="1"/>
  <c r="IK888" i="5" s="1"/>
  <c r="IQ885" i="5"/>
  <c r="IQ886" i="5" s="1"/>
  <c r="IQ887" i="5" s="1"/>
  <c r="FH1247" i="5"/>
  <c r="JB890" i="5"/>
  <c r="AG1211" i="2" s="1"/>
  <c r="IC901" i="5"/>
  <c r="IH901" i="5"/>
  <c r="IL901" i="5"/>
  <c r="IR901" i="5"/>
  <c r="IW901" i="5"/>
  <c r="IB903" i="5"/>
  <c r="IL903" i="5"/>
  <c r="JB911" i="5"/>
  <c r="AG1232" i="2" s="1"/>
  <c r="E912" i="5"/>
  <c r="E907" i="5" s="1"/>
  <c r="E1086" i="5" s="1"/>
  <c r="CX912" i="5"/>
  <c r="CX1088" i="5" s="1"/>
  <c r="DR912" i="5"/>
  <c r="DR1088" i="5" s="1"/>
  <c r="EL912" i="5"/>
  <c r="EL1088" i="5" s="1"/>
  <c r="FF912" i="5"/>
  <c r="FF1250" i="5" s="1"/>
  <c r="IP955" i="5"/>
  <c r="AC1276" i="2" s="1"/>
  <c r="JB958" i="5"/>
  <c r="AG1279" i="2" s="1"/>
  <c r="IJ965" i="5"/>
  <c r="AA1286" i="2" s="1"/>
  <c r="IY968" i="5"/>
  <c r="AF1289" i="2" s="1"/>
  <c r="IJ974" i="5"/>
  <c r="AA1300" i="2" s="1"/>
  <c r="CQ1168" i="5"/>
  <c r="CX1168" i="5"/>
  <c r="DR1168" i="5"/>
  <c r="DA1175" i="5"/>
  <c r="CY1178" i="5"/>
  <c r="CV1184" i="5"/>
  <c r="DP1184" i="5"/>
  <c r="DI1187" i="5"/>
  <c r="DI1183" i="5" s="1"/>
  <c r="DA1191" i="5"/>
  <c r="H133" i="7"/>
  <c r="CI560" i="5"/>
  <c r="DL635" i="5"/>
  <c r="DL728" i="5" s="1"/>
  <c r="EF635" i="5"/>
  <c r="EF1252" i="5" s="1"/>
  <c r="II638" i="5"/>
  <c r="F85" i="7" s="1"/>
  <c r="IE671" i="5"/>
  <c r="DM628" i="5"/>
  <c r="DM1251" i="5" s="1"/>
  <c r="DL683" i="5"/>
  <c r="DL1255" i="5" s="1"/>
  <c r="IS691" i="5"/>
  <c r="P133" i="7" s="1"/>
  <c r="JB806" i="5"/>
  <c r="AG1112" i="2" s="1"/>
  <c r="IL869" i="5"/>
  <c r="IT876" i="5"/>
  <c r="IV878" i="5"/>
  <c r="AE1199" i="2" s="1"/>
  <c r="AE697" i="2" s="1"/>
  <c r="AE698" i="2" s="1"/>
  <c r="FI1247" i="5"/>
  <c r="CY912" i="5"/>
  <c r="CY1088" i="5" s="1"/>
  <c r="JB944" i="5"/>
  <c r="IJ966" i="5"/>
  <c r="AA1287" i="2" s="1"/>
  <c r="EM993" i="5"/>
  <c r="EM1096" i="5" s="1"/>
  <c r="IU1003" i="5"/>
  <c r="AE1743" i="2" s="1"/>
  <c r="JB1004" i="5"/>
  <c r="AG1330" i="2" s="1"/>
  <c r="IY1021" i="5"/>
  <c r="AF1346" i="2" s="1"/>
  <c r="ID1029" i="5"/>
  <c r="Y1354" i="2" s="1"/>
  <c r="Y1470" i="2" s="1"/>
  <c r="IO1038" i="5"/>
  <c r="CR1168" i="5"/>
  <c r="DL1168" i="5"/>
  <c r="DS1168" i="5"/>
  <c r="CW1184" i="5"/>
  <c r="DQ1184" i="5"/>
  <c r="CP1187" i="5"/>
  <c r="CP1183" i="5" s="1"/>
  <c r="DJ1187" i="5"/>
  <c r="DJ1183" i="5" s="1"/>
  <c r="H23" i="7"/>
  <c r="E66" i="7"/>
  <c r="H122" i="7"/>
  <c r="IH627" i="5"/>
  <c r="D74" i="7" s="1"/>
  <c r="CT670" i="5"/>
  <c r="CT669" i="5" s="1"/>
  <c r="CO683" i="5"/>
  <c r="CO1255" i="5" s="1"/>
  <c r="DI683" i="5"/>
  <c r="DI1255" i="5" s="1"/>
  <c r="FJ1247" i="5"/>
  <c r="IC903" i="5"/>
  <c r="IS955" i="5"/>
  <c r="AD1276" i="2" s="1"/>
  <c r="JB962" i="5"/>
  <c r="AG1283" i="2" s="1"/>
  <c r="IM965" i="5"/>
  <c r="AB1286" i="2" s="1"/>
  <c r="IM974" i="5"/>
  <c r="AB1300" i="2" s="1"/>
  <c r="CF993" i="5"/>
  <c r="CF988" i="5" s="1"/>
  <c r="CF987" i="5" s="1"/>
  <c r="CF1095" i="5" s="1"/>
  <c r="CZ993" i="5"/>
  <c r="CZ988" i="5" s="1"/>
  <c r="CZ1096" i="5" s="1"/>
  <c r="ID1018" i="5"/>
  <c r="Y1343" i="2" s="1"/>
  <c r="IY1025" i="5"/>
  <c r="AF1350" i="2" s="1"/>
  <c r="H79" i="7"/>
  <c r="EI614" i="5"/>
  <c r="EI1248" i="5" s="1"/>
  <c r="CE683" i="5"/>
  <c r="CE1255" i="5" s="1"/>
  <c r="JB871" i="5"/>
  <c r="AG1191" i="2" s="1"/>
  <c r="IE877" i="5"/>
  <c r="JB897" i="5"/>
  <c r="AG1218" i="2" s="1"/>
  <c r="II901" i="5"/>
  <c r="IX901" i="5"/>
  <c r="IL920" i="5"/>
  <c r="IM966" i="5"/>
  <c r="AB1287" i="2" s="1"/>
  <c r="IS998" i="5"/>
  <c r="AD1324" i="2" s="1"/>
  <c r="ID1005" i="5"/>
  <c r="Y1331" i="2" s="1"/>
  <c r="DH1096" i="5"/>
  <c r="DA1168" i="5"/>
  <c r="CQ1175" i="5"/>
  <c r="DK1175" i="5"/>
  <c r="H66" i="7"/>
  <c r="GQ1019" i="5"/>
  <c r="GQ1253" i="5" s="1"/>
  <c r="CJ628" i="5"/>
  <c r="CJ1251" i="5" s="1"/>
  <c r="CY683" i="5"/>
  <c r="CY1255" i="5" s="1"/>
  <c r="DK696" i="5"/>
  <c r="DK695" i="5" s="1"/>
  <c r="DK1256" i="5" s="1"/>
  <c r="IE839" i="5"/>
  <c r="IT839" i="5"/>
  <c r="IC842" i="5"/>
  <c r="IN842" i="5"/>
  <c r="IL845" i="5"/>
  <c r="IH846" i="5"/>
  <c r="IW846" i="5"/>
  <c r="IC847" i="5"/>
  <c r="IR847" i="5"/>
  <c r="IF849" i="5"/>
  <c r="IU849" i="5"/>
  <c r="EZ1247" i="5"/>
  <c r="FT1247" i="5"/>
  <c r="IL919" i="5"/>
  <c r="IL921" i="5"/>
  <c r="DI1096" i="5"/>
  <c r="DT1184" i="5"/>
  <c r="CS1187" i="5"/>
  <c r="CS1183" i="5" s="1"/>
  <c r="DE1191" i="5"/>
  <c r="H71" i="7"/>
  <c r="IJ56" i="5"/>
  <c r="IJ195" i="5"/>
  <c r="IJ203" i="5"/>
  <c r="CG614" i="5"/>
  <c r="CG1248" i="5" s="1"/>
  <c r="ES614" i="5"/>
  <c r="ES1248" i="5" s="1"/>
  <c r="DC826" i="5"/>
  <c r="DC1081" i="5" s="1"/>
  <c r="IC834" i="5"/>
  <c r="IN835" i="5"/>
  <c r="IO877" i="5"/>
  <c r="FA1247" i="5"/>
  <c r="IE901" i="5"/>
  <c r="IT901" i="5"/>
  <c r="IW920" i="5"/>
  <c r="CQ993" i="5"/>
  <c r="CQ988" i="5" s="1"/>
  <c r="CQ1096" i="5" s="1"/>
  <c r="IH559" i="5"/>
  <c r="D14" i="7" s="1"/>
  <c r="CX614" i="5"/>
  <c r="CX1248" i="5" s="1"/>
  <c r="IQ805" i="5"/>
  <c r="IO808" i="5"/>
  <c r="DA1080" i="5"/>
  <c r="EO1080" i="5"/>
  <c r="FI1240" i="5"/>
  <c r="CS1079" i="5"/>
  <c r="FQ1240" i="5"/>
  <c r="IB822" i="5"/>
  <c r="CQ826" i="5"/>
  <c r="CQ1081" i="5" s="1"/>
  <c r="EY826" i="5"/>
  <c r="EY1081" i="5" s="1"/>
  <c r="FS826" i="5"/>
  <c r="FS1081" i="5" s="1"/>
  <c r="IK829" i="5"/>
  <c r="JB829" i="5"/>
  <c r="AG1135" i="2" s="1"/>
  <c r="IF830" i="5"/>
  <c r="IU830" i="5"/>
  <c r="IB831" i="5"/>
  <c r="IQ831" i="5"/>
  <c r="DX826" i="5"/>
  <c r="DX1081" i="5" s="1"/>
  <c r="JB862" i="5"/>
  <c r="AG1168" i="2" s="1"/>
  <c r="JB876" i="5"/>
  <c r="AG1196" i="2" s="1"/>
  <c r="FK912" i="5"/>
  <c r="FK1088" i="5" s="1"/>
  <c r="ER912" i="5"/>
  <c r="ER1088" i="5" s="1"/>
  <c r="JB959" i="5"/>
  <c r="AG1280" i="2" s="1"/>
  <c r="IS965" i="5"/>
  <c r="AD1286" i="2" s="1"/>
  <c r="IS974" i="5"/>
  <c r="AD1300" i="2" s="1"/>
  <c r="IY984" i="5"/>
  <c r="AF1310" i="2" s="1"/>
  <c r="IG990" i="5"/>
  <c r="Z1316" i="2" s="1"/>
  <c r="CR993" i="5"/>
  <c r="CR988" i="5" s="1"/>
  <c r="CR1096" i="5" s="1"/>
  <c r="IE1018" i="5"/>
  <c r="IS1018" i="5"/>
  <c r="AD1343" i="2" s="1"/>
  <c r="IY1022" i="5"/>
  <c r="AF1347" i="2" s="1"/>
  <c r="CZ1028" i="5"/>
  <c r="CZ1027" i="5" s="1"/>
  <c r="CZ1019" i="5" s="1"/>
  <c r="CZ1097" i="5" s="1"/>
  <c r="DT1028" i="5"/>
  <c r="DT1027" i="5" s="1"/>
  <c r="DT1019" i="5" s="1"/>
  <c r="DT1097" i="5" s="1"/>
  <c r="CP570" i="5"/>
  <c r="IB770" i="5"/>
  <c r="IQ770" i="5"/>
  <c r="CT826" i="5"/>
  <c r="CT1081" i="5" s="1"/>
  <c r="DN826" i="5"/>
  <c r="DN1081" i="5" s="1"/>
  <c r="FB826" i="5"/>
  <c r="FB1081" i="5" s="1"/>
  <c r="FV826" i="5"/>
  <c r="FV1081" i="5" s="1"/>
  <c r="IY859" i="5"/>
  <c r="AF1165" i="2" s="1"/>
  <c r="IF877" i="5"/>
  <c r="IU877" i="5"/>
  <c r="ID878" i="5"/>
  <c r="Y1199" i="2" s="1"/>
  <c r="Y697" i="2" s="1"/>
  <c r="IV966" i="5"/>
  <c r="AE1287" i="2" s="1"/>
  <c r="IJ995" i="5"/>
  <c r="AA1321" i="2" s="1"/>
  <c r="AO12" i="19"/>
  <c r="AQ12" i="19" s="1"/>
  <c r="AX12" i="19"/>
  <c r="AZ12" i="19" s="1"/>
  <c r="JH914" i="5"/>
  <c r="AI1235" i="2" s="1"/>
  <c r="AI1442" i="2" s="1"/>
  <c r="AI1531" i="2" s="1"/>
  <c r="AF698" i="2"/>
  <c r="AO437" i="2"/>
  <c r="KA840" i="5" s="1"/>
  <c r="KA860" i="5" s="1"/>
  <c r="AP1357" i="2"/>
  <c r="KC1032" i="5" s="1"/>
  <c r="AP1196" i="2"/>
  <c r="KC876" i="5" s="1"/>
  <c r="KB876" i="5" s="1"/>
  <c r="AP1126" i="2"/>
  <c r="BL16" i="19" s="1"/>
  <c r="BM16" i="19" s="1"/>
  <c r="AP1358" i="2"/>
  <c r="AP1473" i="2"/>
  <c r="AP1562" i="2" s="1"/>
  <c r="AP1477" i="2"/>
  <c r="AP1356" i="2"/>
  <c r="AP1361" i="2"/>
  <c r="KC1036" i="5" s="1"/>
  <c r="AP1365" i="2"/>
  <c r="KC1040" i="5" s="1"/>
  <c r="AP1199" i="2"/>
  <c r="BL39" i="19" s="1"/>
  <c r="AP1131" i="2"/>
  <c r="BL17" i="19" s="1"/>
  <c r="BM17" i="19" s="1"/>
  <c r="AP1334" i="2"/>
  <c r="KC1008" i="5" s="1"/>
  <c r="AP426" i="2"/>
  <c r="AP433" i="2"/>
  <c r="AP1767" i="2" s="1"/>
  <c r="AP436" i="2"/>
  <c r="KB840" i="5" s="1"/>
  <c r="AP1190" i="2"/>
  <c r="KC871" i="5" s="1"/>
  <c r="KA871" i="5" s="1"/>
  <c r="KB871" i="5" s="1"/>
  <c r="AP1364" i="2"/>
  <c r="KC1039" i="5" s="1"/>
  <c r="BG94" i="19"/>
  <c r="BI94" i="19" s="1"/>
  <c r="AM1334" i="2"/>
  <c r="AO94" i="19"/>
  <c r="AQ94" i="19" s="1"/>
  <c r="BG77" i="19"/>
  <c r="BI77" i="19" s="1"/>
  <c r="BG16" i="19"/>
  <c r="BI16" i="19" s="1"/>
  <c r="AO17" i="19"/>
  <c r="AO15" i="19"/>
  <c r="AQ15" i="19" s="1"/>
  <c r="AX13" i="19"/>
  <c r="AZ13" i="19" s="1"/>
  <c r="BG12" i="19"/>
  <c r="AX105" i="19"/>
  <c r="AZ105" i="19" s="1"/>
  <c r="BH17" i="19"/>
  <c r="BK17" i="19" s="1"/>
  <c r="BJ17" i="19"/>
  <c r="BA17" i="19"/>
  <c r="AY17" i="19"/>
  <c r="BB17" i="19" s="1"/>
  <c r="AO13" i="19"/>
  <c r="AQ13" i="19" s="1"/>
  <c r="AO16" i="19"/>
  <c r="AQ16" i="19" s="1"/>
  <c r="HE994" i="5"/>
  <c r="JE831" i="5"/>
  <c r="AH1137" i="2" s="1"/>
  <c r="AQ1097" i="5"/>
  <c r="IF697" i="5"/>
  <c r="C139" i="7" s="1"/>
  <c r="DB696" i="5"/>
  <c r="DB695" i="5" s="1"/>
  <c r="DB1256" i="5" s="1"/>
  <c r="BL1253" i="5"/>
  <c r="BL739" i="5"/>
  <c r="X907" i="5"/>
  <c r="X1086" i="5" s="1"/>
  <c r="X1088" i="5"/>
  <c r="JB930" i="5"/>
  <c r="J987" i="5"/>
  <c r="J1095" i="5" s="1"/>
  <c r="LB947" i="5"/>
  <c r="LB1092" i="5" s="1"/>
  <c r="F1253" i="5"/>
  <c r="F739" i="5"/>
  <c r="EE670" i="5"/>
  <c r="EE669" i="5" s="1"/>
  <c r="EE1253" i="5" s="1"/>
  <c r="IF869" i="5"/>
  <c r="BB1093" i="5"/>
  <c r="BB947" i="5"/>
  <c r="BB1092" i="5" s="1"/>
  <c r="CP1093" i="5"/>
  <c r="CP947" i="5"/>
  <c r="CP1092" i="5" s="1"/>
  <c r="BC1093" i="5"/>
  <c r="BC947" i="5"/>
  <c r="BC1092" i="5" s="1"/>
  <c r="EL993" i="5"/>
  <c r="EL1096" i="5" s="1"/>
  <c r="CR1247" i="5"/>
  <c r="IE606" i="5"/>
  <c r="IE851" i="5"/>
  <c r="IR853" i="5"/>
  <c r="IF868" i="5"/>
  <c r="IK868" i="5"/>
  <c r="IO868" i="5"/>
  <c r="IU868" i="5"/>
  <c r="P1093" i="5"/>
  <c r="P947" i="5"/>
  <c r="P1092" i="5" s="1"/>
  <c r="BX1093" i="5"/>
  <c r="BX947" i="5"/>
  <c r="BX1092" i="5" s="1"/>
  <c r="DD1093" i="5"/>
  <c r="DD947" i="5"/>
  <c r="DD1092" i="5" s="1"/>
  <c r="DX1093" i="5"/>
  <c r="DX947" i="5"/>
  <c r="DX1092" i="5" s="1"/>
  <c r="P987" i="5"/>
  <c r="P1095" i="5" s="1"/>
  <c r="P1096" i="5"/>
  <c r="BC1096" i="5"/>
  <c r="BC987" i="5"/>
  <c r="BC1095" i="5" s="1"/>
  <c r="BW1096" i="5"/>
  <c r="BW987" i="5"/>
  <c r="BW1095" i="5" s="1"/>
  <c r="IY1009" i="5"/>
  <c r="AF1335" i="2" s="1"/>
  <c r="CQ1028" i="5"/>
  <c r="CQ1027" i="5" s="1"/>
  <c r="EE1028" i="5"/>
  <c r="EE1027" i="5" s="1"/>
  <c r="EE1019" i="5" s="1"/>
  <c r="EE1097" i="5" s="1"/>
  <c r="EY1028" i="5"/>
  <c r="EY1027" i="5" s="1"/>
  <c r="EY1019" i="5" s="1"/>
  <c r="FS1028" i="5"/>
  <c r="FS1027" i="5" s="1"/>
  <c r="FS1019" i="5" s="1"/>
  <c r="DK1184" i="5"/>
  <c r="JG827" i="5"/>
  <c r="JE950" i="5"/>
  <c r="AH1271" i="2" s="1"/>
  <c r="AH1725" i="2" s="1"/>
  <c r="AG1722" i="2"/>
  <c r="AG1699" i="2"/>
  <c r="CU993" i="5"/>
  <c r="CU988" i="5" s="1"/>
  <c r="CU1096" i="5" s="1"/>
  <c r="IE1003" i="5"/>
  <c r="Y1691" i="2" s="1"/>
  <c r="CN1093" i="5"/>
  <c r="CN947" i="5"/>
  <c r="CN1092" i="5" s="1"/>
  <c r="IC948" i="5"/>
  <c r="Y1686" i="2" s="1"/>
  <c r="DT1093" i="5"/>
  <c r="DT947" i="5"/>
  <c r="DT1092" i="5" s="1"/>
  <c r="AF1699" i="2"/>
  <c r="CR948" i="5"/>
  <c r="IE967" i="5"/>
  <c r="IX1038" i="5"/>
  <c r="AN1334" i="2"/>
  <c r="D135" i="7"/>
  <c r="E135" i="7" s="1"/>
  <c r="IJ693" i="5"/>
  <c r="AA912" i="2" s="1"/>
  <c r="AC1097" i="5"/>
  <c r="AC987" i="5"/>
  <c r="AC1095" i="5" s="1"/>
  <c r="IX771" i="5"/>
  <c r="FJ1093" i="5"/>
  <c r="FJ947" i="5"/>
  <c r="FJ1092" i="5" s="1"/>
  <c r="BA1096" i="5"/>
  <c r="BA987" i="5"/>
  <c r="BA1095" i="5" s="1"/>
  <c r="FK1093" i="5"/>
  <c r="FK947" i="5"/>
  <c r="FK1092" i="5" s="1"/>
  <c r="JB989" i="5"/>
  <c r="AG1315" i="2" s="1"/>
  <c r="AG1736" i="2"/>
  <c r="AL1242" i="5"/>
  <c r="AL724" i="5"/>
  <c r="E79" i="7"/>
  <c r="IW870" i="5"/>
  <c r="BE1093" i="5"/>
  <c r="BE947" i="5"/>
  <c r="BE1092" i="5" s="1"/>
  <c r="IY996" i="5"/>
  <c r="AF1322" i="2" s="1"/>
  <c r="EN993" i="5"/>
  <c r="EN1096" i="5" s="1"/>
  <c r="AL726" i="5"/>
  <c r="AL1249" i="5"/>
  <c r="N1093" i="5"/>
  <c r="IE591" i="5"/>
  <c r="IQ622" i="5"/>
  <c r="N69" i="7" s="1"/>
  <c r="CU947" i="5"/>
  <c r="CU1092" i="5" s="1"/>
  <c r="CJ720" i="5"/>
  <c r="CJ1239" i="5"/>
  <c r="KZ716" i="5"/>
  <c r="KZ552" i="5"/>
  <c r="KZ715" i="5" s="1"/>
  <c r="O39" i="19"/>
  <c r="FO1234" i="5"/>
  <c r="FM1234" i="5"/>
  <c r="JB1037" i="5"/>
  <c r="FE912" i="5"/>
  <c r="FE1250" i="5" s="1"/>
  <c r="IO922" i="5"/>
  <c r="DE733" i="5"/>
  <c r="DE660" i="5"/>
  <c r="DE732" i="5" s="1"/>
  <c r="DK670" i="5"/>
  <c r="DK669" i="5" s="1"/>
  <c r="IB870" i="5"/>
  <c r="BU987" i="5"/>
  <c r="BU1095" i="5" s="1"/>
  <c r="BU1096" i="5"/>
  <c r="FG1255" i="5"/>
  <c r="FG993" i="5"/>
  <c r="FG1096" i="5" s="1"/>
  <c r="EK993" i="5"/>
  <c r="EK1096" i="5" s="1"/>
  <c r="AH1739" i="2"/>
  <c r="AZ1093" i="5"/>
  <c r="BF552" i="5"/>
  <c r="BF550" i="5" s="1"/>
  <c r="BF714" i="5" s="1"/>
  <c r="BF1233" i="5"/>
  <c r="JB906" i="5"/>
  <c r="AG1227" i="2" s="1"/>
  <c r="EQ1093" i="5"/>
  <c r="EQ947" i="5"/>
  <c r="EQ1092" i="5" s="1"/>
  <c r="FF993" i="5"/>
  <c r="FF1096" i="5" s="1"/>
  <c r="GX994" i="5"/>
  <c r="FR1247" i="5"/>
  <c r="AB1088" i="5"/>
  <c r="AB907" i="5"/>
  <c r="AB1086" i="5" s="1"/>
  <c r="FI912" i="5"/>
  <c r="FI1088" i="5" s="1"/>
  <c r="Q1093" i="5"/>
  <c r="Q947" i="5"/>
  <c r="Q1092" i="5" s="1"/>
  <c r="DY947" i="5"/>
  <c r="DY1092" i="5" s="1"/>
  <c r="DY1093" i="5"/>
  <c r="DG733" i="5"/>
  <c r="EN1093" i="5"/>
  <c r="BZ1242" i="5"/>
  <c r="BZ724" i="5"/>
  <c r="R1249" i="5"/>
  <c r="R726" i="5"/>
  <c r="DE1175" i="5"/>
  <c r="CX599" i="5"/>
  <c r="DK743" i="5"/>
  <c r="AY987" i="5"/>
  <c r="AY1095" i="5" s="1"/>
  <c r="JH960" i="5"/>
  <c r="AI1281" i="2" s="1"/>
  <c r="AX1096" i="5"/>
  <c r="AX987" i="5"/>
  <c r="AX1095" i="5" s="1"/>
  <c r="BT1093" i="5"/>
  <c r="BT947" i="5"/>
  <c r="BT1092" i="5" s="1"/>
  <c r="FE1255" i="5"/>
  <c r="IU994" i="5"/>
  <c r="AE1719" i="2" s="1"/>
  <c r="IO1003" i="5"/>
  <c r="AC1690" i="2" s="1"/>
  <c r="IE1029" i="5"/>
  <c r="JE1014" i="5"/>
  <c r="AH1339" i="2" s="1"/>
  <c r="AH1753" i="2" s="1"/>
  <c r="L947" i="5"/>
  <c r="L1092" i="5" s="1"/>
  <c r="JB917" i="5"/>
  <c r="IO921" i="5"/>
  <c r="IM998" i="5"/>
  <c r="AB1324" i="2" s="1"/>
  <c r="AL552" i="5"/>
  <c r="AL716" i="5"/>
  <c r="AL713" i="5"/>
  <c r="DM743" i="5"/>
  <c r="DM683" i="5"/>
  <c r="DM1255" i="5" s="1"/>
  <c r="DC1093" i="5"/>
  <c r="IH948" i="5"/>
  <c r="Z1687" i="2" s="1"/>
  <c r="H60" i="7"/>
  <c r="Q1249" i="5"/>
  <c r="Q726" i="5"/>
  <c r="Q588" i="5"/>
  <c r="Q1241" i="5" s="1"/>
  <c r="CG912" i="5"/>
  <c r="CG1088" i="5" s="1"/>
  <c r="BY1093" i="5"/>
  <c r="BY947" i="5"/>
  <c r="BY1092" i="5" s="1"/>
  <c r="FH993" i="5"/>
  <c r="FH1096" i="5" s="1"/>
  <c r="H48" i="7"/>
  <c r="K70" i="7"/>
  <c r="DN1191" i="5"/>
  <c r="U724" i="5"/>
  <c r="U1242" i="5"/>
  <c r="DM1184" i="5"/>
  <c r="DR1191" i="5"/>
  <c r="BP987" i="5"/>
  <c r="BP1095" i="5" s="1"/>
  <c r="AH947" i="5"/>
  <c r="AH1092" i="5" s="1"/>
  <c r="CT947" i="5"/>
  <c r="CT1092" i="5" s="1"/>
  <c r="CW947" i="5"/>
  <c r="CW1092" i="5" s="1"/>
  <c r="BY726" i="5"/>
  <c r="IQ994" i="5"/>
  <c r="IL885" i="5"/>
  <c r="IL886" i="5" s="1"/>
  <c r="IL890" i="5" s="1"/>
  <c r="DR993" i="5"/>
  <c r="DR1096" i="5" s="1"/>
  <c r="U588" i="5"/>
  <c r="U1241" i="5" s="1"/>
  <c r="EP947" i="5"/>
  <c r="EP1092" i="5" s="1"/>
  <c r="BO739" i="5"/>
  <c r="CQ670" i="5"/>
  <c r="CQ669" i="5" s="1"/>
  <c r="CQ1253" i="5" s="1"/>
  <c r="E739" i="5"/>
  <c r="DM993" i="5"/>
  <c r="II993" i="5" s="1"/>
  <c r="AA1694" i="2" s="1"/>
  <c r="II1003" i="5"/>
  <c r="AA1690" i="2" s="1"/>
  <c r="EW553" i="5"/>
  <c r="EW1233" i="5" s="1"/>
  <c r="EW1234" i="5"/>
  <c r="IY1005" i="5"/>
  <c r="AF1331" i="2" s="1"/>
  <c r="Z1776" i="2"/>
  <c r="Z1775" i="2" s="1"/>
  <c r="DH1168" i="5"/>
  <c r="GV947" i="5"/>
  <c r="JH857" i="5"/>
  <c r="AI1163" i="2" s="1"/>
  <c r="AI1426" i="2" s="1"/>
  <c r="AI1515" i="2" s="1"/>
  <c r="IH698" i="5"/>
  <c r="D140" i="7" s="1"/>
  <c r="L1096" i="5"/>
  <c r="L987" i="5"/>
  <c r="L1095" i="5" s="1"/>
  <c r="IT1029" i="5"/>
  <c r="CW912" i="5"/>
  <c r="CW1088" i="5" s="1"/>
  <c r="IU922" i="5"/>
  <c r="JB943" i="5"/>
  <c r="DU1093" i="5"/>
  <c r="IL948" i="5"/>
  <c r="AB1686" i="2" s="1"/>
  <c r="DU947" i="5"/>
  <c r="DU1092" i="5" s="1"/>
  <c r="CS1093" i="5"/>
  <c r="CS947" i="5"/>
  <c r="CS1092" i="5" s="1"/>
  <c r="JB994" i="5"/>
  <c r="AG1320" i="2" s="1"/>
  <c r="IY1004" i="5"/>
  <c r="AF1330" i="2" s="1"/>
  <c r="JB1048" i="5"/>
  <c r="JB1052" i="5" s="1"/>
  <c r="EB683" i="5"/>
  <c r="EB1255" i="5" s="1"/>
  <c r="IU869" i="5"/>
  <c r="IQ870" i="5"/>
  <c r="II876" i="5"/>
  <c r="DV947" i="5"/>
  <c r="DV1092" i="5" s="1"/>
  <c r="DV1093" i="5"/>
  <c r="HA994" i="5"/>
  <c r="IS659" i="5"/>
  <c r="P104" i="7" s="1"/>
  <c r="IN901" i="5"/>
  <c r="AI947" i="5"/>
  <c r="AI1092" i="5" s="1"/>
  <c r="AI1093" i="5"/>
  <c r="BB1096" i="5"/>
  <c r="BB987" i="5"/>
  <c r="BB1095" i="5" s="1"/>
  <c r="IP998" i="5"/>
  <c r="AC1324" i="2" s="1"/>
  <c r="CZ1178" i="5"/>
  <c r="IG1193" i="5"/>
  <c r="DB1191" i="5"/>
  <c r="IG1191" i="5" s="1"/>
  <c r="CC987" i="5"/>
  <c r="CC1095" i="5" s="1"/>
  <c r="O947" i="5"/>
  <c r="O1092" i="5" s="1"/>
  <c r="BY1242" i="5"/>
  <c r="BY588" i="5"/>
  <c r="BY723" i="5" s="1"/>
  <c r="BY724" i="5"/>
  <c r="BE1249" i="5"/>
  <c r="BE726" i="5"/>
  <c r="DE947" i="5"/>
  <c r="DE1092" i="5" s="1"/>
  <c r="DE1093" i="5"/>
  <c r="CS1184" i="5"/>
  <c r="CV1093" i="5"/>
  <c r="IK948" i="5"/>
  <c r="AA1687" i="2" s="1"/>
  <c r="AL1233" i="5"/>
  <c r="GV994" i="5"/>
  <c r="II639" i="5"/>
  <c r="F86" i="7" s="1"/>
  <c r="IW834" i="5"/>
  <c r="ED850" i="5"/>
  <c r="ED1082" i="5" s="1"/>
  <c r="JB858" i="5"/>
  <c r="AG1164" i="2" s="1"/>
  <c r="IQ868" i="5"/>
  <c r="DB912" i="5"/>
  <c r="DB1088" i="5" s="1"/>
  <c r="EO599" i="5"/>
  <c r="CT635" i="5"/>
  <c r="CT1252" i="5" s="1"/>
  <c r="IQ685" i="5"/>
  <c r="N129" i="7" s="1"/>
  <c r="II827" i="5"/>
  <c r="IN827" i="5"/>
  <c r="IE828" i="5"/>
  <c r="II828" i="5"/>
  <c r="IT828" i="5"/>
  <c r="IX828" i="5"/>
  <c r="IE829" i="5"/>
  <c r="IO829" i="5"/>
  <c r="IT829" i="5"/>
  <c r="IK830" i="5"/>
  <c r="IO830" i="5"/>
  <c r="IF831" i="5"/>
  <c r="IK831" i="5"/>
  <c r="IU831" i="5"/>
  <c r="CJ826" i="5"/>
  <c r="CJ1081" i="5" s="1"/>
  <c r="CW850" i="5"/>
  <c r="CW1082" i="5" s="1"/>
  <c r="JB914" i="5"/>
  <c r="AG1235" i="2" s="1"/>
  <c r="AG1442" i="2" s="1"/>
  <c r="AG1531" i="2" s="1"/>
  <c r="JB963" i="5"/>
  <c r="AG1284" i="2" s="1"/>
  <c r="JB971" i="5"/>
  <c r="AG1293" i="2" s="1"/>
  <c r="IV985" i="5"/>
  <c r="IV1094" i="5" s="1"/>
  <c r="JB991" i="5"/>
  <c r="AG1317" i="2" s="1"/>
  <c r="R947" i="5"/>
  <c r="R1092" i="5" s="1"/>
  <c r="DV599" i="5"/>
  <c r="E78" i="7"/>
  <c r="K79" i="7"/>
  <c r="IR779" i="5"/>
  <c r="IK839" i="5"/>
  <c r="IO839" i="5"/>
  <c r="II842" i="5"/>
  <c r="IR842" i="5"/>
  <c r="IX842" i="5"/>
  <c r="IN843" i="5"/>
  <c r="IT843" i="5"/>
  <c r="IX843" i="5"/>
  <c r="IC845" i="5"/>
  <c r="IN845" i="5"/>
  <c r="IR845" i="5"/>
  <c r="II846" i="5"/>
  <c r="IX846" i="5"/>
  <c r="IE847" i="5"/>
  <c r="IT847" i="5"/>
  <c r="IX847" i="5"/>
  <c r="IH849" i="5"/>
  <c r="IL849" i="5"/>
  <c r="IW849" i="5"/>
  <c r="BF947" i="5"/>
  <c r="BF1092" i="5" s="1"/>
  <c r="FI1080" i="5"/>
  <c r="AF111" i="19"/>
  <c r="DZ947" i="5"/>
  <c r="DZ1092" i="5" s="1"/>
  <c r="ES1235" i="5"/>
  <c r="IR558" i="5"/>
  <c r="O13" i="7" s="1"/>
  <c r="AQ1249" i="5"/>
  <c r="AQ726" i="5"/>
  <c r="IK636" i="5"/>
  <c r="G83" i="7" s="1"/>
  <c r="IQ832" i="5"/>
  <c r="IL833" i="5"/>
  <c r="IL834" i="5"/>
  <c r="IK851" i="5"/>
  <c r="II853" i="5"/>
  <c r="BZ987" i="5"/>
  <c r="BZ1095" i="5" s="1"/>
  <c r="FN1093" i="5"/>
  <c r="T1249" i="5"/>
  <c r="II1018" i="5"/>
  <c r="DG1093" i="5"/>
  <c r="DI1235" i="5"/>
  <c r="II558" i="5"/>
  <c r="F13" i="7" s="1"/>
  <c r="IE566" i="5"/>
  <c r="IR578" i="5"/>
  <c r="O30" i="7" s="1"/>
  <c r="IS580" i="5"/>
  <c r="AD776" i="2" s="1"/>
  <c r="H1242" i="5"/>
  <c r="H724" i="5"/>
  <c r="EB1245" i="5"/>
  <c r="EB599" i="5"/>
  <c r="CS635" i="5"/>
  <c r="CS728" i="5" s="1"/>
  <c r="IF832" i="5"/>
  <c r="IB833" i="5"/>
  <c r="IC835" i="5"/>
  <c r="AC1088" i="5"/>
  <c r="AC907" i="5"/>
  <c r="AC1086" i="5" s="1"/>
  <c r="DV912" i="5"/>
  <c r="DV1088" i="5" s="1"/>
  <c r="CI993" i="5"/>
  <c r="CI988" i="5" s="1"/>
  <c r="CI1096" i="5" s="1"/>
  <c r="K81" i="7"/>
  <c r="CH635" i="5"/>
  <c r="D37" i="7"/>
  <c r="E37" i="7" s="1"/>
  <c r="II586" i="5"/>
  <c r="F37" i="7" s="1"/>
  <c r="IE594" i="5"/>
  <c r="AK987" i="5"/>
  <c r="AK1095" i="5" s="1"/>
  <c r="DZ683" i="5"/>
  <c r="DZ1255" i="5" s="1"/>
  <c r="T588" i="5"/>
  <c r="T1241" i="5" s="1"/>
  <c r="CX947" i="5"/>
  <c r="CX1092" i="5" s="1"/>
  <c r="DO553" i="5"/>
  <c r="DO716" i="5" s="1"/>
  <c r="CB1249" i="5"/>
  <c r="EA947" i="5"/>
  <c r="EA1092" i="5" s="1"/>
  <c r="IJ41" i="5"/>
  <c r="IJ145" i="5"/>
  <c r="IJ201" i="5"/>
  <c r="IJ268" i="5"/>
  <c r="IJ275" i="5"/>
  <c r="CX570" i="5"/>
  <c r="CX717" i="5" s="1"/>
  <c r="EL570" i="5"/>
  <c r="EL1237" i="5" s="1"/>
  <c r="IQ573" i="5"/>
  <c r="N27" i="7" s="1"/>
  <c r="EA577" i="5"/>
  <c r="EA1239" i="5" s="1"/>
  <c r="EU577" i="5"/>
  <c r="EU576" i="5" s="1"/>
  <c r="EU1238" i="5" s="1"/>
  <c r="BX1233" i="5"/>
  <c r="BX716" i="5"/>
  <c r="O987" i="5"/>
  <c r="O1095" i="5" s="1"/>
  <c r="ID1181" i="5"/>
  <c r="D1788" i="2"/>
  <c r="IK644" i="5"/>
  <c r="G90" i="7" s="1"/>
  <c r="H90" i="7" s="1"/>
  <c r="IK647" i="5"/>
  <c r="G93" i="7" s="1"/>
  <c r="H93" i="7" s="1"/>
  <c r="IU832" i="5"/>
  <c r="IQ833" i="5"/>
  <c r="IH834" i="5"/>
  <c r="IR835" i="5"/>
  <c r="IB868" i="5"/>
  <c r="DO1168" i="5"/>
  <c r="FO1079" i="5"/>
  <c r="CA947" i="5"/>
  <c r="CA1092" i="5" s="1"/>
  <c r="BZ1093" i="5"/>
  <c r="CM1239" i="5"/>
  <c r="DT803" i="5"/>
  <c r="DT1077" i="5" s="1"/>
  <c r="ED826" i="5"/>
  <c r="ED1081" i="5" s="1"/>
  <c r="EX826" i="5"/>
  <c r="EX1081" i="5" s="1"/>
  <c r="FR826" i="5"/>
  <c r="FR1081" i="5" s="1"/>
  <c r="EF850" i="5"/>
  <c r="EF1082" i="5" s="1"/>
  <c r="FO850" i="5"/>
  <c r="FO1082" i="5" s="1"/>
  <c r="IF557" i="5"/>
  <c r="C12" i="7" s="1"/>
  <c r="CX560" i="5"/>
  <c r="DC560" i="5"/>
  <c r="EQ560" i="5"/>
  <c r="II579" i="5"/>
  <c r="F31" i="7" s="1"/>
  <c r="DG826" i="5"/>
  <c r="DG1081" i="5" s="1"/>
  <c r="IN833" i="5"/>
  <c r="IX834" i="5"/>
  <c r="IT835" i="5"/>
  <c r="IE845" i="5"/>
  <c r="IT845" i="5"/>
  <c r="IO846" i="5"/>
  <c r="IK847" i="5"/>
  <c r="JB847" i="5"/>
  <c r="AG1153" i="2" s="1"/>
  <c r="IN849" i="5"/>
  <c r="CE850" i="5"/>
  <c r="CE1082" i="5" s="1"/>
  <c r="JB852" i="5"/>
  <c r="AG1158" i="2" s="1"/>
  <c r="AG1423" i="2" s="1"/>
  <c r="AG1512" i="2" s="1"/>
  <c r="CS850" i="5"/>
  <c r="CS1082" i="5" s="1"/>
  <c r="JB893" i="5"/>
  <c r="AG1214" i="2" s="1"/>
  <c r="CL608" i="5"/>
  <c r="DF608" i="5"/>
  <c r="DF606" i="5" s="1"/>
  <c r="DF1247" i="5" s="1"/>
  <c r="ET608" i="5"/>
  <c r="ET606" i="5" s="1"/>
  <c r="ET1247" i="5" s="1"/>
  <c r="K122" i="7"/>
  <c r="IL772" i="5"/>
  <c r="IU792" i="5"/>
  <c r="IW804" i="5"/>
  <c r="IL805" i="5"/>
  <c r="DX803" i="5"/>
  <c r="DX1077" i="5" s="1"/>
  <c r="ER803" i="5"/>
  <c r="ER1077" i="5" s="1"/>
  <c r="CI803" i="5"/>
  <c r="CI1077" i="5" s="1"/>
  <c r="DC803" i="5"/>
  <c r="DC1077" i="5" s="1"/>
  <c r="DW803" i="5"/>
  <c r="DW1077" i="5" s="1"/>
  <c r="EQ803" i="5"/>
  <c r="EQ1077" i="5" s="1"/>
  <c r="IU808" i="5"/>
  <c r="IB809" i="5"/>
  <c r="IQ809" i="5"/>
  <c r="IU809" i="5"/>
  <c r="IK810" i="5"/>
  <c r="IF811" i="5"/>
  <c r="IU811" i="5"/>
  <c r="IE820" i="5"/>
  <c r="IH822" i="5"/>
  <c r="IL822" i="5"/>
  <c r="IW822" i="5"/>
  <c r="FP1239" i="5"/>
  <c r="IN824" i="5"/>
  <c r="EB826" i="5"/>
  <c r="EB1081" i="5" s="1"/>
  <c r="FP826" i="5"/>
  <c r="FP1081" i="5" s="1"/>
  <c r="ER850" i="5"/>
  <c r="ER1082" i="5" s="1"/>
  <c r="FN1240" i="5"/>
  <c r="FQ1239" i="5"/>
  <c r="FS1240" i="5"/>
  <c r="FQ826" i="5"/>
  <c r="FQ1081" i="5" s="1"/>
  <c r="BO653" i="5"/>
  <c r="IJ116" i="5"/>
  <c r="IJ122" i="5"/>
  <c r="IJ252" i="5"/>
  <c r="IJ260" i="5"/>
  <c r="IJ270" i="5"/>
  <c r="FP803" i="5"/>
  <c r="FP1077" i="5" s="1"/>
  <c r="JB813" i="5"/>
  <c r="JB1078" i="5" s="1"/>
  <c r="JB814" i="5"/>
  <c r="AG1120" i="2" s="1"/>
  <c r="EG1079" i="5"/>
  <c r="FA1239" i="5"/>
  <c r="FU1079" i="5"/>
  <c r="CM814" i="5"/>
  <c r="DG814" i="5"/>
  <c r="EU814" i="5"/>
  <c r="CY818" i="5"/>
  <c r="CU818" i="5"/>
  <c r="JB820" i="5"/>
  <c r="AG1126" i="2" s="1"/>
  <c r="AG1410" i="2" s="1"/>
  <c r="AG1499" i="2" s="1"/>
  <c r="IF827" i="5"/>
  <c r="IB828" i="5"/>
  <c r="IQ828" i="5"/>
  <c r="IL829" i="5"/>
  <c r="IH830" i="5"/>
  <c r="IW830" i="5"/>
  <c r="IC831" i="5"/>
  <c r="IR831" i="5"/>
  <c r="IF843" i="5"/>
  <c r="DY670" i="5"/>
  <c r="DY669" i="5" s="1"/>
  <c r="DY1253" i="5" s="1"/>
  <c r="ES670" i="5"/>
  <c r="ES669" i="5" s="1"/>
  <c r="ES1253" i="5" s="1"/>
  <c r="IH794" i="5"/>
  <c r="IL794" i="5"/>
  <c r="IQ794" i="5"/>
  <c r="IW794" i="5"/>
  <c r="IE797" i="5"/>
  <c r="II797" i="5"/>
  <c r="IN797" i="5"/>
  <c r="IT797" i="5"/>
  <c r="IX797" i="5"/>
  <c r="IX798" i="5"/>
  <c r="IE799" i="5"/>
  <c r="II799" i="5"/>
  <c r="IT799" i="5"/>
  <c r="IX799" i="5"/>
  <c r="IE800" i="5"/>
  <c r="IO800" i="5"/>
  <c r="IK801" i="5"/>
  <c r="CD755" i="5"/>
  <c r="CD1076" i="5" s="1"/>
  <c r="IF802" i="5"/>
  <c r="IK802" i="5"/>
  <c r="IO802" i="5"/>
  <c r="IU802" i="5"/>
  <c r="X813" i="5"/>
  <c r="X1078" i="5" s="1"/>
  <c r="AR813" i="5"/>
  <c r="AR1078" i="5" s="1"/>
  <c r="BL813" i="5"/>
  <c r="BL1078" i="5" s="1"/>
  <c r="CT1079" i="5"/>
  <c r="DN1079" i="5"/>
  <c r="EH1079" i="5"/>
  <c r="FB1079" i="5"/>
  <c r="EB814" i="5"/>
  <c r="EV814" i="5"/>
  <c r="IL686" i="5"/>
  <c r="I130" i="7" s="1"/>
  <c r="K130" i="7" s="1"/>
  <c r="IC772" i="5"/>
  <c r="IH772" i="5"/>
  <c r="IW772" i="5"/>
  <c r="II773" i="5"/>
  <c r="IN773" i="5"/>
  <c r="IR773" i="5"/>
  <c r="IX773" i="5"/>
  <c r="IE777" i="5"/>
  <c r="II777" i="5"/>
  <c r="IN777" i="5"/>
  <c r="IE778" i="5"/>
  <c r="IO778" i="5"/>
  <c r="IT778" i="5"/>
  <c r="IX778" i="5"/>
  <c r="IE779" i="5"/>
  <c r="IT779" i="5"/>
  <c r="JB779" i="5"/>
  <c r="AG1085" i="2" s="1"/>
  <c r="IL785" i="5"/>
  <c r="IQ785" i="5"/>
  <c r="IC786" i="5"/>
  <c r="IR786" i="5"/>
  <c r="IW786" i="5"/>
  <c r="IH787" i="5"/>
  <c r="IN787" i="5"/>
  <c r="IR787" i="5"/>
  <c r="IW787" i="5"/>
  <c r="IC788" i="5"/>
  <c r="II788" i="5"/>
  <c r="IR788" i="5"/>
  <c r="IX788" i="5"/>
  <c r="IE789" i="5"/>
  <c r="II789" i="5"/>
  <c r="IN789" i="5"/>
  <c r="IT789" i="5"/>
  <c r="IX789" i="5"/>
  <c r="IH792" i="5"/>
  <c r="IQ792" i="5"/>
  <c r="IB793" i="5"/>
  <c r="IH793" i="5"/>
  <c r="IL793" i="5"/>
  <c r="IQ793" i="5"/>
  <c r="E813" i="5"/>
  <c r="E1078" i="5" s="1"/>
  <c r="Y813" i="5"/>
  <c r="Y1078" i="5" s="1"/>
  <c r="BM813" i="5"/>
  <c r="BM1078" i="5" s="1"/>
  <c r="FC1079" i="5"/>
  <c r="JB815" i="5"/>
  <c r="AG1121" i="2" s="1"/>
  <c r="AG1406" i="2" s="1"/>
  <c r="AG1495" i="2" s="1"/>
  <c r="DI814" i="5"/>
  <c r="EC814" i="5"/>
  <c r="EW1080" i="5"/>
  <c r="FQ814" i="5"/>
  <c r="EU570" i="5"/>
  <c r="EU1237" i="5" s="1"/>
  <c r="DK608" i="5"/>
  <c r="DK606" i="5" s="1"/>
  <c r="DK1247" i="5" s="1"/>
  <c r="EE608" i="5"/>
  <c r="EE606" i="5" s="1"/>
  <c r="EE1247" i="5" s="1"/>
  <c r="CJ755" i="5"/>
  <c r="CJ1076" i="5" s="1"/>
  <c r="IL756" i="5"/>
  <c r="FL1234" i="5"/>
  <c r="IH757" i="5"/>
  <c r="IL757" i="5"/>
  <c r="IF761" i="5"/>
  <c r="IL762" i="5"/>
  <c r="IQ763" i="5"/>
  <c r="IB764" i="5"/>
  <c r="IF764" i="5"/>
  <c r="IQ764" i="5"/>
  <c r="IU764" i="5"/>
  <c r="IB765" i="5"/>
  <c r="IL765" i="5"/>
  <c r="IU767" i="5"/>
  <c r="IB768" i="5"/>
  <c r="IQ768" i="5"/>
  <c r="IL769" i="5"/>
  <c r="IW769" i="5"/>
  <c r="IC770" i="5"/>
  <c r="IR770" i="5"/>
  <c r="IW770" i="5"/>
  <c r="IC771" i="5"/>
  <c r="IH771" i="5"/>
  <c r="IR771" i="5"/>
  <c r="JB796" i="5"/>
  <c r="AG1102" i="2" s="1"/>
  <c r="JB799" i="5"/>
  <c r="AG1105" i="2" s="1"/>
  <c r="AG572" i="2" s="1"/>
  <c r="KZ813" i="5"/>
  <c r="KZ1078" i="5" s="1"/>
  <c r="CP1080" i="5"/>
  <c r="CN560" i="5"/>
  <c r="EB560" i="5"/>
  <c r="CQ1080" i="5"/>
  <c r="DK1080" i="5"/>
  <c r="EE1080" i="5"/>
  <c r="CL912" i="5"/>
  <c r="CL1088" i="5" s="1"/>
  <c r="ET912" i="5"/>
  <c r="ET1088" i="5" s="1"/>
  <c r="FN912" i="5"/>
  <c r="IW994" i="5"/>
  <c r="AE1720" i="2" s="1"/>
  <c r="DW993" i="5"/>
  <c r="EQ993" i="5"/>
  <c r="EQ1096" i="5" s="1"/>
  <c r="FK993" i="5"/>
  <c r="FK1096" i="5" s="1"/>
  <c r="IG1008" i="5"/>
  <c r="Z1334" i="2" s="1"/>
  <c r="IY1010" i="5"/>
  <c r="AF1336" i="2" s="1"/>
  <c r="IJ44" i="5"/>
  <c r="IJ189" i="5"/>
  <c r="IJ204" i="5"/>
  <c r="IJ218" i="5"/>
  <c r="DQ553" i="5"/>
  <c r="DQ716" i="5" s="1"/>
  <c r="K78" i="7"/>
  <c r="DE683" i="5"/>
  <c r="DE1255" i="5" s="1"/>
  <c r="IM651" i="5"/>
  <c r="IE682" i="5"/>
  <c r="IE743" i="5" s="1"/>
  <c r="II686" i="5"/>
  <c r="F130" i="7" s="1"/>
  <c r="H130" i="7" s="1"/>
  <c r="IR686" i="5"/>
  <c r="O130" i="7" s="1"/>
  <c r="IK693" i="5"/>
  <c r="G135" i="7" s="1"/>
  <c r="H135" i="7" s="1"/>
  <c r="II757" i="5"/>
  <c r="IX757" i="5"/>
  <c r="IH761" i="5"/>
  <c r="IW761" i="5"/>
  <c r="IC762" i="5"/>
  <c r="IR762" i="5"/>
  <c r="IR763" i="5"/>
  <c r="IE772" i="5"/>
  <c r="II772" i="5"/>
  <c r="IX772" i="5"/>
  <c r="IE773" i="5"/>
  <c r="IO773" i="5"/>
  <c r="IT773" i="5"/>
  <c r="IK777" i="5"/>
  <c r="IF778" i="5"/>
  <c r="IK778" i="5"/>
  <c r="IU778" i="5"/>
  <c r="IB779" i="5"/>
  <c r="IF779" i="5"/>
  <c r="IU779" i="5"/>
  <c r="IN785" i="5"/>
  <c r="IR785" i="5"/>
  <c r="II786" i="5"/>
  <c r="IN786" i="5"/>
  <c r="IX786" i="5"/>
  <c r="IE787" i="5"/>
  <c r="II787" i="5"/>
  <c r="IT787" i="5"/>
  <c r="IE788" i="5"/>
  <c r="IO788" i="5"/>
  <c r="IT788" i="5"/>
  <c r="IO789" i="5"/>
  <c r="JB789" i="5"/>
  <c r="AG1095" i="2" s="1"/>
  <c r="AG553" i="2" s="1"/>
  <c r="IR792" i="5"/>
  <c r="IN793" i="5"/>
  <c r="IR793" i="5"/>
  <c r="JB798" i="5"/>
  <c r="AG1104" i="2" s="1"/>
  <c r="AG569" i="2" s="1"/>
  <c r="CR803" i="5"/>
  <c r="CR1077" i="5" s="1"/>
  <c r="EZ803" i="5"/>
  <c r="EZ1077" i="5" s="1"/>
  <c r="IX808" i="5"/>
  <c r="H813" i="5"/>
  <c r="H754" i="5" s="1"/>
  <c r="H905" i="5" s="1"/>
  <c r="H1084" i="5" s="1"/>
  <c r="EZ1240" i="5"/>
  <c r="ER1079" i="5"/>
  <c r="IF820" i="5"/>
  <c r="IQ820" i="5"/>
  <c r="FH1240" i="5"/>
  <c r="IQ827" i="5"/>
  <c r="IL828" i="5"/>
  <c r="IH829" i="5"/>
  <c r="IC830" i="5"/>
  <c r="IR830" i="5"/>
  <c r="IT833" i="5"/>
  <c r="IO834" i="5"/>
  <c r="JB834" i="5"/>
  <c r="AG1140" i="2" s="1"/>
  <c r="IK835" i="5"/>
  <c r="JB998" i="5"/>
  <c r="AG1324" i="2" s="1"/>
  <c r="CL993" i="5"/>
  <c r="CL988" i="5" s="1"/>
  <c r="CL1096" i="5" s="1"/>
  <c r="DE1096" i="5"/>
  <c r="DX993" i="5"/>
  <c r="ER993" i="5"/>
  <c r="FL993" i="5"/>
  <c r="FL1096" i="5" s="1"/>
  <c r="IJ1008" i="5"/>
  <c r="AA1334" i="2" s="1"/>
  <c r="JB1010" i="5"/>
  <c r="AG1336" i="2" s="1"/>
  <c r="JE1022" i="5"/>
  <c r="AH1347" i="2" s="1"/>
  <c r="K35" i="7"/>
  <c r="AW588" i="5"/>
  <c r="BQ588" i="5"/>
  <c r="BQ723" i="5" s="1"/>
  <c r="IS610" i="5"/>
  <c r="P59" i="7" s="1"/>
  <c r="IL625" i="5"/>
  <c r="I72" i="7" s="1"/>
  <c r="K72" i="7" s="1"/>
  <c r="IL626" i="5"/>
  <c r="I73" i="7" s="1"/>
  <c r="IE676" i="5"/>
  <c r="IC921" i="5"/>
  <c r="X1242" i="2" s="1"/>
  <c r="KY552" i="5"/>
  <c r="KY715" i="5" s="1"/>
  <c r="IQ557" i="5"/>
  <c r="N12" i="7" s="1"/>
  <c r="IQ647" i="5"/>
  <c r="N93" i="7" s="1"/>
  <c r="IF649" i="5"/>
  <c r="C94" i="7" s="1"/>
  <c r="CM696" i="5"/>
  <c r="CM695" i="5" s="1"/>
  <c r="CM1256" i="5" s="1"/>
  <c r="EA696" i="5"/>
  <c r="EA695" i="5" s="1"/>
  <c r="EA1256" i="5" s="1"/>
  <c r="CO755" i="5"/>
  <c r="CO1076" i="5" s="1"/>
  <c r="BE813" i="5"/>
  <c r="BE1078" i="5" s="1"/>
  <c r="DK912" i="5"/>
  <c r="EE912" i="5"/>
  <c r="EE1088" i="5" s="1"/>
  <c r="IX921" i="5"/>
  <c r="JB927" i="5"/>
  <c r="JH997" i="5"/>
  <c r="AI1323" i="2" s="1"/>
  <c r="IJ157" i="5"/>
  <c r="IJ248" i="5"/>
  <c r="IF617" i="5"/>
  <c r="C64" i="7" s="1"/>
  <c r="EK614" i="5"/>
  <c r="EK1248" i="5" s="1"/>
  <c r="EP814" i="5"/>
  <c r="R813" i="5"/>
  <c r="R1078" i="5" s="1"/>
  <c r="AW552" i="5"/>
  <c r="CN570" i="5"/>
  <c r="CN717" i="5" s="1"/>
  <c r="CO570" i="5"/>
  <c r="EC570" i="5"/>
  <c r="EC1237" i="5" s="1"/>
  <c r="E48" i="7"/>
  <c r="R588" i="5"/>
  <c r="R1241" i="5" s="1"/>
  <c r="CF683" i="5"/>
  <c r="CF1255" i="5" s="1"/>
  <c r="JB757" i="5"/>
  <c r="AG1063" i="2" s="1"/>
  <c r="AG440" i="2" s="1"/>
  <c r="IB777" i="5"/>
  <c r="IW779" i="5"/>
  <c r="IE785" i="5"/>
  <c r="IB789" i="5"/>
  <c r="CR1191" i="5"/>
  <c r="HB814" i="5"/>
  <c r="GW814" i="5"/>
  <c r="IE615" i="5"/>
  <c r="EE614" i="5"/>
  <c r="EE1248" i="5" s="1"/>
  <c r="E122" i="7"/>
  <c r="IB773" i="5"/>
  <c r="IF787" i="5"/>
  <c r="IU787" i="5"/>
  <c r="IB788" i="5"/>
  <c r="IV952" i="5"/>
  <c r="AE1273" i="2" s="1"/>
  <c r="IJ955" i="5"/>
  <c r="AA1276" i="2" s="1"/>
  <c r="AA1369" i="2" s="1"/>
  <c r="AA1478" i="2" s="1"/>
  <c r="ID965" i="5"/>
  <c r="Y1286" i="2" s="1"/>
  <c r="DZ1028" i="5"/>
  <c r="DZ1027" i="5" s="1"/>
  <c r="DZ1019" i="5" s="1"/>
  <c r="DZ1097" i="5" s="1"/>
  <c r="DT614" i="5"/>
  <c r="DT1248" i="5" s="1"/>
  <c r="CH670" i="5"/>
  <c r="CH669" i="5" s="1"/>
  <c r="CH1253" i="5" s="1"/>
  <c r="IL676" i="5"/>
  <c r="I120" i="7" s="1"/>
  <c r="K120" i="7" s="1"/>
  <c r="EP628" i="5"/>
  <c r="EP1251" i="5" s="1"/>
  <c r="DP696" i="5"/>
  <c r="DP695" i="5" s="1"/>
  <c r="IF1035" i="5"/>
  <c r="IL1038" i="5"/>
  <c r="DD1168" i="5"/>
  <c r="CT1175" i="5"/>
  <c r="JH852" i="5"/>
  <c r="AI1158" i="2" s="1"/>
  <c r="AI1423" i="2" s="1"/>
  <c r="AI1512" i="2" s="1"/>
  <c r="IJ20" i="5"/>
  <c r="IJ192" i="5"/>
  <c r="IJ199" i="5"/>
  <c r="IJ274" i="5"/>
  <c r="CM560" i="5"/>
  <c r="CR570" i="5"/>
  <c r="CR1237" i="5" s="1"/>
  <c r="DL570" i="5"/>
  <c r="DL717" i="5" s="1"/>
  <c r="EF570" i="5"/>
  <c r="EF1237" i="5" s="1"/>
  <c r="IG573" i="5"/>
  <c r="DP608" i="5"/>
  <c r="DP606" i="5" s="1"/>
  <c r="DP1247" i="5" s="1"/>
  <c r="EJ608" i="5"/>
  <c r="EJ606" i="5" s="1"/>
  <c r="EJ1247" i="5" s="1"/>
  <c r="DC628" i="5"/>
  <c r="DC1251" i="5" s="1"/>
  <c r="EK696" i="5"/>
  <c r="EK695" i="5" s="1"/>
  <c r="JB762" i="5"/>
  <c r="AG1068" i="2" s="1"/>
  <c r="IO767" i="5"/>
  <c r="JB919" i="5"/>
  <c r="AG1240" i="2" s="1"/>
  <c r="AG688" i="2" s="1"/>
  <c r="CV912" i="5"/>
  <c r="CV1088" i="5" s="1"/>
  <c r="DP912" i="5"/>
  <c r="IE921" i="5"/>
  <c r="E32" i="7"/>
  <c r="K38" i="7"/>
  <c r="AO111" i="19"/>
  <c r="AM698" i="2"/>
  <c r="JH856" i="5"/>
  <c r="AI1162" i="2" s="1"/>
  <c r="AI1425" i="2" s="1"/>
  <c r="AI1514" i="2" s="1"/>
  <c r="AN1409" i="2"/>
  <c r="AO1472" i="2"/>
  <c r="AN1414" i="2"/>
  <c r="AN1472" i="2"/>
  <c r="AO1409" i="2"/>
  <c r="AN1410" i="2"/>
  <c r="AO1414" i="2"/>
  <c r="AO1407" i="2"/>
  <c r="AO1334" i="2"/>
  <c r="Z94" i="19"/>
  <c r="JM876" i="5"/>
  <c r="O33" i="19"/>
  <c r="N33" i="19" s="1"/>
  <c r="JR860" i="5"/>
  <c r="AM21" i="19"/>
  <c r="JS1014" i="5"/>
  <c r="AM1751" i="2" s="1"/>
  <c r="AM1750" i="2" s="1"/>
  <c r="U105" i="19"/>
  <c r="JP1029" i="5"/>
  <c r="AM105" i="19"/>
  <c r="JM1029" i="5"/>
  <c r="AD105" i="19"/>
  <c r="JS1029" i="5"/>
  <c r="BP1238" i="5"/>
  <c r="BP719" i="5"/>
  <c r="BP550" i="5"/>
  <c r="BP714" i="5" s="1"/>
  <c r="AB1238" i="5"/>
  <c r="AB719" i="5"/>
  <c r="FH1080" i="5"/>
  <c r="FV1239" i="5"/>
  <c r="FV1079" i="5"/>
  <c r="FP814" i="5"/>
  <c r="FP1240" i="5"/>
  <c r="FP1080" i="5"/>
  <c r="DP1080" i="5"/>
  <c r="CO826" i="5"/>
  <c r="CO1081" i="5" s="1"/>
  <c r="EC826" i="5"/>
  <c r="EC1081" i="5" s="1"/>
  <c r="CF850" i="5"/>
  <c r="CF1082" i="5" s="1"/>
  <c r="CZ850" i="5"/>
  <c r="CZ1082" i="5" s="1"/>
  <c r="DT850" i="5"/>
  <c r="DT1082" i="5" s="1"/>
  <c r="EN850" i="5"/>
  <c r="EN1082" i="5" s="1"/>
  <c r="FG1243" i="5"/>
  <c r="FG850" i="5"/>
  <c r="FG1082" i="5" s="1"/>
  <c r="DD850" i="5"/>
  <c r="DD1082" i="5" s="1"/>
  <c r="AJ1096" i="5"/>
  <c r="AJ987" i="5"/>
  <c r="AJ1095" i="5" s="1"/>
  <c r="DU993" i="5"/>
  <c r="IL994" i="5"/>
  <c r="FI1255" i="5"/>
  <c r="FI993" i="5"/>
  <c r="BO1097" i="5"/>
  <c r="BO987" i="5"/>
  <c r="BO1095" i="5" s="1"/>
  <c r="DB1175" i="5"/>
  <c r="IG1176" i="5"/>
  <c r="IG1175" i="5" s="1"/>
  <c r="DN1178" i="5"/>
  <c r="IJ1179" i="5"/>
  <c r="AA1786" i="2" s="1"/>
  <c r="AA1785" i="2" s="1"/>
  <c r="IU870" i="5"/>
  <c r="Z724" i="5"/>
  <c r="IW811" i="5"/>
  <c r="CU850" i="5"/>
  <c r="CU1082" i="5" s="1"/>
  <c r="Z653" i="5"/>
  <c r="EY1245" i="5"/>
  <c r="ES1080" i="5"/>
  <c r="IQ1003" i="5"/>
  <c r="AC1691" i="2" s="1"/>
  <c r="EE814" i="5"/>
  <c r="EG814" i="5"/>
  <c r="FK826" i="5"/>
  <c r="FK1081" i="5" s="1"/>
  <c r="IW833" i="5"/>
  <c r="FU850" i="5"/>
  <c r="FU1082" i="5" s="1"/>
  <c r="FU1243" i="5"/>
  <c r="EB850" i="5"/>
  <c r="EB1082" i="5" s="1"/>
  <c r="IN853" i="5"/>
  <c r="AA1097" i="5"/>
  <c r="AA987" i="5"/>
  <c r="AA1095" i="5" s="1"/>
  <c r="DD1028" i="5"/>
  <c r="IH1035" i="5"/>
  <c r="I1238" i="5"/>
  <c r="I719" i="5"/>
  <c r="DO696" i="5"/>
  <c r="DO695" i="5" s="1"/>
  <c r="IK697" i="5"/>
  <c r="G139" i="7" s="1"/>
  <c r="IO851" i="5"/>
  <c r="FB1243" i="5"/>
  <c r="FB850" i="5"/>
  <c r="FB1082" i="5" s="1"/>
  <c r="JA1084" i="5"/>
  <c r="JB905" i="5"/>
  <c r="JB1084" i="5" s="1"/>
  <c r="H1097" i="5"/>
  <c r="H987" i="5"/>
  <c r="H1095" i="5" s="1"/>
  <c r="II1029" i="5"/>
  <c r="DI1028" i="5"/>
  <c r="DI1027" i="5" s="1"/>
  <c r="ER1028" i="5"/>
  <c r="ER1027" i="5" s="1"/>
  <c r="ER1019" i="5" s="1"/>
  <c r="ER1097" i="5" s="1"/>
  <c r="ER908" i="5"/>
  <c r="FL908" i="5"/>
  <c r="IW1035" i="5"/>
  <c r="Y1783" i="2"/>
  <c r="Y1782" i="2" s="1"/>
  <c r="CV1175" i="5"/>
  <c r="Z1786" i="2"/>
  <c r="Z1785" i="2" s="1"/>
  <c r="DH1178" i="5"/>
  <c r="IJ54" i="5"/>
  <c r="O1233" i="5"/>
  <c r="O713" i="5"/>
  <c r="CP1235" i="5"/>
  <c r="CP560" i="5"/>
  <c r="W724" i="5"/>
  <c r="W1242" i="5"/>
  <c r="AO1253" i="5"/>
  <c r="AO739" i="5"/>
  <c r="KZ1088" i="5"/>
  <c r="KZ907" i="5"/>
  <c r="KZ1086" i="5" s="1"/>
  <c r="BA1093" i="5"/>
  <c r="BA947" i="5"/>
  <c r="BA1092" i="5" s="1"/>
  <c r="BK1097" i="5"/>
  <c r="BK987" i="5"/>
  <c r="BK1095" i="5" s="1"/>
  <c r="IR1035" i="5"/>
  <c r="ES1028" i="5"/>
  <c r="ES1027" i="5" s="1"/>
  <c r="IJ1170" i="5"/>
  <c r="AA1777" i="2" s="1"/>
  <c r="AA1775" i="2" s="1"/>
  <c r="AA1822" i="2" s="1"/>
  <c r="DN1168" i="5"/>
  <c r="IJ1168" i="5" s="1"/>
  <c r="EY814" i="5"/>
  <c r="BQ719" i="5"/>
  <c r="BQ1238" i="5"/>
  <c r="IS677" i="5"/>
  <c r="P121" i="7" s="1"/>
  <c r="IK820" i="5"/>
  <c r="DH683" i="5"/>
  <c r="DH1255" i="5" s="1"/>
  <c r="BU1233" i="5"/>
  <c r="FN803" i="5"/>
  <c r="FN1077" i="5" s="1"/>
  <c r="CG660" i="5"/>
  <c r="CG732" i="5" s="1"/>
  <c r="ER628" i="5"/>
  <c r="FE850" i="5"/>
  <c r="IK876" i="5"/>
  <c r="FR1240" i="5"/>
  <c r="EO1246" i="5"/>
  <c r="CC1253" i="5"/>
  <c r="LB907" i="5"/>
  <c r="LB1086" i="5" s="1"/>
  <c r="DH850" i="5"/>
  <c r="DH1082" i="5" s="1"/>
  <c r="IH853" i="5"/>
  <c r="FJ1248" i="5"/>
  <c r="IU903" i="5"/>
  <c r="IJ101" i="5"/>
  <c r="DG555" i="5"/>
  <c r="IH556" i="5"/>
  <c r="D11" i="7" s="1"/>
  <c r="FN853" i="5"/>
  <c r="FN449" i="5"/>
  <c r="DH553" i="5"/>
  <c r="DH1233" i="5" s="1"/>
  <c r="DA733" i="5"/>
  <c r="IG661" i="5"/>
  <c r="IG660" i="5" s="1"/>
  <c r="IG732" i="5" s="1"/>
  <c r="DA660" i="5"/>
  <c r="DA732" i="5" s="1"/>
  <c r="IF661" i="5"/>
  <c r="EN660" i="5"/>
  <c r="IQ660" i="5" s="1"/>
  <c r="IQ661" i="5"/>
  <c r="N106" i="7" s="1"/>
  <c r="EY1247" i="5"/>
  <c r="IT877" i="5"/>
  <c r="BN1238" i="5"/>
  <c r="BN719" i="5"/>
  <c r="II578" i="5"/>
  <c r="F30" i="7" s="1"/>
  <c r="DI577" i="5"/>
  <c r="EO1240" i="5"/>
  <c r="EO628" i="5"/>
  <c r="EO1251" i="5" s="1"/>
  <c r="S1249" i="5"/>
  <c r="S726" i="5"/>
  <c r="CA1249" i="5"/>
  <c r="CA726" i="5"/>
  <c r="CH660" i="5"/>
  <c r="CH732" i="5" s="1"/>
  <c r="CH733" i="5"/>
  <c r="DF803" i="5"/>
  <c r="DF1077" i="5" s="1"/>
  <c r="IH804" i="5"/>
  <c r="DE803" i="5"/>
  <c r="DE1077" i="5" s="1"/>
  <c r="IH805" i="5"/>
  <c r="IC817" i="5"/>
  <c r="CK1080" i="5"/>
  <c r="DQ1079" i="5"/>
  <c r="IK819" i="5"/>
  <c r="IO820" i="5"/>
  <c r="EG1080" i="5"/>
  <c r="IN846" i="5"/>
  <c r="FT1244" i="5"/>
  <c r="FT850" i="5"/>
  <c r="FT1082" i="5" s="1"/>
  <c r="DJ628" i="5"/>
  <c r="DJ721" i="5"/>
  <c r="IH807" i="5"/>
  <c r="IU810" i="5"/>
  <c r="FV1240" i="5"/>
  <c r="EE826" i="5"/>
  <c r="EE1081" i="5" s="1"/>
  <c r="AD1097" i="5"/>
  <c r="AD987" i="5"/>
  <c r="AD1095" i="5" s="1"/>
  <c r="ID1179" i="5"/>
  <c r="DX1240" i="5"/>
  <c r="DX628" i="5"/>
  <c r="EM1079" i="5"/>
  <c r="IQ819" i="5"/>
  <c r="FC1080" i="5"/>
  <c r="FC1240" i="5"/>
  <c r="JB887" i="5"/>
  <c r="AG1208" i="2" s="1"/>
  <c r="IN903" i="5"/>
  <c r="BV1096" i="5"/>
  <c r="BV987" i="5"/>
  <c r="BV1095" i="5" s="1"/>
  <c r="BN1097" i="5"/>
  <c r="BN987" i="5"/>
  <c r="BN1095" i="5" s="1"/>
  <c r="T1233" i="5"/>
  <c r="T716" i="5"/>
  <c r="T713" i="5"/>
  <c r="T552" i="5"/>
  <c r="T715" i="5" s="1"/>
  <c r="EF555" i="5"/>
  <c r="EF1234" i="5" s="1"/>
  <c r="EF608" i="5"/>
  <c r="EF606" i="5" s="1"/>
  <c r="EF1247" i="5" s="1"/>
  <c r="AC1238" i="5"/>
  <c r="AC719" i="5"/>
  <c r="EZ850" i="5"/>
  <c r="EZ1082" i="5" s="1"/>
  <c r="CS993" i="5"/>
  <c r="CS988" i="5" s="1"/>
  <c r="IE994" i="5"/>
  <c r="FN1080" i="5"/>
  <c r="FN1247" i="5"/>
  <c r="CS1080" i="5"/>
  <c r="FS850" i="5"/>
  <c r="FS1082" i="5" s="1"/>
  <c r="EA826" i="5"/>
  <c r="EA1081" i="5" s="1"/>
  <c r="IH833" i="5"/>
  <c r="IX851" i="5"/>
  <c r="AR987" i="5"/>
  <c r="AR1095" i="5" s="1"/>
  <c r="BI1242" i="5"/>
  <c r="BM1253" i="5"/>
  <c r="P552" i="5"/>
  <c r="P1232" i="5" s="1"/>
  <c r="P713" i="5"/>
  <c r="IE843" i="5"/>
  <c r="CR826" i="5"/>
  <c r="CR1081" i="5" s="1"/>
  <c r="DL826" i="5"/>
  <c r="DL1081" i="5" s="1"/>
  <c r="II843" i="5"/>
  <c r="AB1097" i="5"/>
  <c r="AB987" i="5"/>
  <c r="AB1095" i="5" s="1"/>
  <c r="AV1238" i="5"/>
  <c r="G719" i="5"/>
  <c r="F588" i="5"/>
  <c r="F1241" i="5" s="1"/>
  <c r="F724" i="5"/>
  <c r="F1242" i="5"/>
  <c r="AO724" i="5"/>
  <c r="AO1242" i="5"/>
  <c r="CB1253" i="5"/>
  <c r="CB739" i="5"/>
  <c r="CB1077" i="5"/>
  <c r="FM803" i="5"/>
  <c r="IW805" i="5"/>
  <c r="II815" i="5"/>
  <c r="DK814" i="5"/>
  <c r="IX815" i="5"/>
  <c r="IY815" i="5" s="1"/>
  <c r="AF1121" i="2" s="1"/>
  <c r="AF1406" i="2" s="1"/>
  <c r="AF1495" i="2" s="1"/>
  <c r="FS814" i="5"/>
  <c r="DE1080" i="5"/>
  <c r="DE814" i="5"/>
  <c r="IH817" i="5"/>
  <c r="FM814" i="5"/>
  <c r="IW817" i="5"/>
  <c r="FM908" i="5"/>
  <c r="IU819" i="5"/>
  <c r="F907" i="5"/>
  <c r="F1086" i="5" s="1"/>
  <c r="F1088" i="5"/>
  <c r="AG1747" i="2"/>
  <c r="AG1690" i="2"/>
  <c r="O76" i="7"/>
  <c r="IS629" i="5"/>
  <c r="P76" i="7" s="1"/>
  <c r="Y1077" i="5"/>
  <c r="IN804" i="5"/>
  <c r="EA803" i="5"/>
  <c r="EA1077" i="5" s="1"/>
  <c r="EL850" i="5"/>
  <c r="EL1082" i="5" s="1"/>
  <c r="DL850" i="5"/>
  <c r="DL1082" i="5" s="1"/>
  <c r="IC994" i="5"/>
  <c r="CM993" i="5"/>
  <c r="CM988" i="5" s="1"/>
  <c r="CM1096" i="5" s="1"/>
  <c r="BM1097" i="5"/>
  <c r="BM987" i="5"/>
  <c r="BM1095" i="5" s="1"/>
  <c r="G37" i="7"/>
  <c r="IM586" i="5"/>
  <c r="JA1044" i="5"/>
  <c r="JB892" i="5"/>
  <c r="AG1213" i="2" s="1"/>
  <c r="AG1651" i="2" s="1"/>
  <c r="IQ591" i="5"/>
  <c r="N42" i="7" s="1"/>
  <c r="Z588" i="5"/>
  <c r="Z723" i="5" s="1"/>
  <c r="FD1080" i="5"/>
  <c r="IY995" i="5"/>
  <c r="AF1321" i="2" s="1"/>
  <c r="IW756" i="5"/>
  <c r="EZ1235" i="5"/>
  <c r="IT771" i="5"/>
  <c r="IN772" i="5"/>
  <c r="IT777" i="5"/>
  <c r="IW792" i="5"/>
  <c r="AE1077" i="5"/>
  <c r="CX1079" i="5"/>
  <c r="IB827" i="5"/>
  <c r="CG826" i="5"/>
  <c r="CG1081" i="5" s="1"/>
  <c r="IT827" i="5"/>
  <c r="CD739" i="5"/>
  <c r="CA987" i="5"/>
  <c r="CA1095" i="5" s="1"/>
  <c r="IM675" i="5"/>
  <c r="IX853" i="5"/>
  <c r="BD987" i="5"/>
  <c r="BD1095" i="5" s="1"/>
  <c r="JB1014" i="5"/>
  <c r="AG1339" i="2" s="1"/>
  <c r="AG1753" i="2" s="1"/>
  <c r="J719" i="5"/>
  <c r="Y1088" i="5"/>
  <c r="Y907" i="5"/>
  <c r="Y1086" i="5" s="1"/>
  <c r="ED1235" i="5"/>
  <c r="ED553" i="5"/>
  <c r="ED1233" i="5" s="1"/>
  <c r="AT1238" i="5"/>
  <c r="AT550" i="5"/>
  <c r="AT714" i="5" s="1"/>
  <c r="AT719" i="5"/>
  <c r="CO1239" i="5"/>
  <c r="CO720" i="5"/>
  <c r="Y653" i="5"/>
  <c r="Y724" i="5"/>
  <c r="DY1245" i="5"/>
  <c r="DY599" i="5"/>
  <c r="AM1249" i="5"/>
  <c r="AM726" i="5"/>
  <c r="IR804" i="5"/>
  <c r="ET803" i="5"/>
  <c r="ET1077" i="5" s="1"/>
  <c r="IW807" i="5"/>
  <c r="FK803" i="5"/>
  <c r="FK1077" i="5" s="1"/>
  <c r="CQ814" i="5"/>
  <c r="IE815" i="5"/>
  <c r="IL817" i="5"/>
  <c r="DY908" i="5"/>
  <c r="DY1080" i="5"/>
  <c r="DY814" i="5"/>
  <c r="IT820" i="5"/>
  <c r="EG826" i="5"/>
  <c r="EG1081" i="5" s="1"/>
  <c r="IO843" i="5"/>
  <c r="FQ1028" i="5"/>
  <c r="FQ1027" i="5" s="1"/>
  <c r="FQ1019" i="5" s="1"/>
  <c r="N119" i="7"/>
  <c r="IS675" i="5"/>
  <c r="P119" i="7" s="1"/>
  <c r="FB1080" i="5"/>
  <c r="FB1240" i="5"/>
  <c r="IR823" i="5"/>
  <c r="CX850" i="5"/>
  <c r="CX1082" i="5" s="1"/>
  <c r="AU1097" i="5"/>
  <c r="AU987" i="5"/>
  <c r="AU1095" i="5" s="1"/>
  <c r="CT850" i="5"/>
  <c r="CT1082" i="5" s="1"/>
  <c r="IL595" i="5"/>
  <c r="I46" i="7" s="1"/>
  <c r="K46" i="7" s="1"/>
  <c r="CR1240" i="5"/>
  <c r="CR721" i="5"/>
  <c r="CE818" i="5"/>
  <c r="CE1079" i="5"/>
  <c r="FS1247" i="5"/>
  <c r="DM1178" i="5"/>
  <c r="BL987" i="5"/>
  <c r="BL1095" i="5" s="1"/>
  <c r="AW719" i="5"/>
  <c r="KY720" i="5"/>
  <c r="KY576" i="5"/>
  <c r="DY1240" i="5"/>
  <c r="DY628" i="5"/>
  <c r="DY1251" i="5" s="1"/>
  <c r="CO670" i="5"/>
  <c r="CO669" i="5" s="1"/>
  <c r="EC670" i="5"/>
  <c r="EC669" i="5" s="1"/>
  <c r="EC1253" i="5" s="1"/>
  <c r="IL674" i="5"/>
  <c r="I118" i="7" s="1"/>
  <c r="K118" i="7" s="1"/>
  <c r="FL850" i="5"/>
  <c r="FL1082" i="5" s="1"/>
  <c r="EQ628" i="5"/>
  <c r="DN743" i="5"/>
  <c r="II682" i="5"/>
  <c r="F126" i="7" s="1"/>
  <c r="IC757" i="5"/>
  <c r="JB891" i="5"/>
  <c r="JA1048" i="5" s="1"/>
  <c r="IX827" i="5"/>
  <c r="IS687" i="5"/>
  <c r="P131" i="7" s="1"/>
  <c r="II820" i="5"/>
  <c r="CW1079" i="5"/>
  <c r="E132" i="7"/>
  <c r="FL1028" i="5"/>
  <c r="DG1028" i="5"/>
  <c r="DG1027" i="5" s="1"/>
  <c r="DG1019" i="5" s="1"/>
  <c r="DG1097" i="5" s="1"/>
  <c r="AW1238" i="5"/>
  <c r="DO1080" i="5"/>
  <c r="IW793" i="5"/>
  <c r="CO1080" i="5"/>
  <c r="CO814" i="5"/>
  <c r="BM724" i="5"/>
  <c r="EJ1236" i="5"/>
  <c r="EJ553" i="5"/>
  <c r="BV1237" i="5"/>
  <c r="BV717" i="5"/>
  <c r="IF571" i="5"/>
  <c r="C25" i="7" s="1"/>
  <c r="EO570" i="5"/>
  <c r="EO1237" i="5" s="1"/>
  <c r="EC577" i="5"/>
  <c r="EW577" i="5"/>
  <c r="EW576" i="5" s="1"/>
  <c r="EW1238" i="5" s="1"/>
  <c r="CU1240" i="5"/>
  <c r="CU721" i="5"/>
  <c r="CL755" i="5"/>
  <c r="CL1076" i="5" s="1"/>
  <c r="IN757" i="5"/>
  <c r="IC763" i="5"/>
  <c r="IO777" i="5"/>
  <c r="CQ803" i="5"/>
  <c r="CQ1077" i="5" s="1"/>
  <c r="AS588" i="5"/>
  <c r="AS723" i="5" s="1"/>
  <c r="AS724" i="5"/>
  <c r="DJ1245" i="5"/>
  <c r="II600" i="5"/>
  <c r="F51" i="7" s="1"/>
  <c r="CH614" i="5"/>
  <c r="CH1248" i="5" s="1"/>
  <c r="EP614" i="5"/>
  <c r="EP1248" i="5" s="1"/>
  <c r="DF733" i="5"/>
  <c r="DF660" i="5"/>
  <c r="DF732" i="5" s="1"/>
  <c r="BN1253" i="5"/>
  <c r="BN739" i="5"/>
  <c r="EP696" i="5"/>
  <c r="EP695" i="5" s="1"/>
  <c r="IQ697" i="5"/>
  <c r="N139" i="7" s="1"/>
  <c r="CG818" i="5"/>
  <c r="CG1079" i="5"/>
  <c r="IN832" i="5"/>
  <c r="CP826" i="5"/>
  <c r="CP1081" i="5" s="1"/>
  <c r="DJ826" i="5"/>
  <c r="DJ1081" i="5" s="1"/>
  <c r="CG850" i="5"/>
  <c r="CG1082" i="5" s="1"/>
  <c r="DA850" i="5"/>
  <c r="DA1082" i="5" s="1"/>
  <c r="FH1243" i="5"/>
  <c r="FH850" i="5"/>
  <c r="FH1082" i="5" s="1"/>
  <c r="FC1244" i="5"/>
  <c r="FC850" i="5"/>
  <c r="FC1082" i="5" s="1"/>
  <c r="CY948" i="5"/>
  <c r="IF967" i="5"/>
  <c r="FJ1255" i="5"/>
  <c r="FJ993" i="5"/>
  <c r="FJ1096" i="5" s="1"/>
  <c r="II1038" i="5"/>
  <c r="K739" i="5"/>
  <c r="EO1079" i="5"/>
  <c r="FQ1080" i="5"/>
  <c r="DJ599" i="5"/>
  <c r="II948" i="5"/>
  <c r="AA1686" i="2" s="1"/>
  <c r="EG1245" i="5"/>
  <c r="EG599" i="5"/>
  <c r="AW987" i="5"/>
  <c r="AW1095" i="5" s="1"/>
  <c r="N588" i="5"/>
  <c r="N1241" i="5" s="1"/>
  <c r="N724" i="5"/>
  <c r="BS1097" i="5"/>
  <c r="BS987" i="5"/>
  <c r="BS1095" i="5" s="1"/>
  <c r="CP599" i="5"/>
  <c r="IH1029" i="5"/>
  <c r="IQ646" i="5"/>
  <c r="N92" i="7" s="1"/>
  <c r="AE1238" i="5"/>
  <c r="V713" i="5"/>
  <c r="AZ653" i="5"/>
  <c r="AZ1232" i="5"/>
  <c r="CB987" i="5"/>
  <c r="CB1095" i="5" s="1"/>
  <c r="V716" i="5"/>
  <c r="AF1242" i="5"/>
  <c r="AF588" i="5"/>
  <c r="AF1241" i="5" s="1"/>
  <c r="AF987" i="5"/>
  <c r="AF1095" i="5" s="1"/>
  <c r="IE573" i="5"/>
  <c r="BQ724" i="5"/>
  <c r="CY1235" i="5"/>
  <c r="CY553" i="5"/>
  <c r="DN1245" i="5"/>
  <c r="DN599" i="5"/>
  <c r="ED1246" i="5"/>
  <c r="ED599" i="5"/>
  <c r="CY635" i="5"/>
  <c r="CY728" i="5" s="1"/>
  <c r="BK1093" i="5"/>
  <c r="BK947" i="5"/>
  <c r="BK1092" i="5" s="1"/>
  <c r="FS1093" i="5"/>
  <c r="FS947" i="5"/>
  <c r="FS1092" i="5" s="1"/>
  <c r="IX948" i="5"/>
  <c r="AF1686" i="2" s="1"/>
  <c r="AF1685" i="2" s="1"/>
  <c r="IM645" i="5"/>
  <c r="BQ1242" i="5"/>
  <c r="EE947" i="5"/>
  <c r="EE1092" i="5" s="1"/>
  <c r="AF1233" i="5"/>
  <c r="AF713" i="5"/>
  <c r="CM1235" i="5"/>
  <c r="CM553" i="5"/>
  <c r="CM713" i="5" s="1"/>
  <c r="EO612" i="5"/>
  <c r="IQ612" i="5" s="1"/>
  <c r="IQ574" i="5"/>
  <c r="EA1028" i="5"/>
  <c r="EA1027" i="5" s="1"/>
  <c r="EA1019" i="5" s="1"/>
  <c r="IN1029" i="5"/>
  <c r="EU1028" i="5"/>
  <c r="EU1027" i="5" s="1"/>
  <c r="EU1019" i="5" s="1"/>
  <c r="EU1097" i="5" s="1"/>
  <c r="IR1029" i="5"/>
  <c r="IW1029" i="5"/>
  <c r="FO1028" i="5"/>
  <c r="FO1027" i="5" s="1"/>
  <c r="FO1019" i="5" s="1"/>
  <c r="IL1035" i="5"/>
  <c r="IQ1035" i="5"/>
  <c r="IU1035" i="5"/>
  <c r="FJ1028" i="5"/>
  <c r="FJ1027" i="5" s="1"/>
  <c r="FJ1019" i="5" s="1"/>
  <c r="FJ1097" i="5" s="1"/>
  <c r="IR1038" i="5"/>
  <c r="IG1185" i="5"/>
  <c r="DB1184" i="5"/>
  <c r="IG1184" i="5" s="1"/>
  <c r="BS719" i="5"/>
  <c r="II583" i="5"/>
  <c r="F34" i="7" s="1"/>
  <c r="EK1236" i="5"/>
  <c r="EK553" i="5"/>
  <c r="EK1233" i="5" s="1"/>
  <c r="BW1237" i="5"/>
  <c r="BW552" i="5"/>
  <c r="BW1232" i="5" s="1"/>
  <c r="M1238" i="5"/>
  <c r="M719" i="5"/>
  <c r="IF625" i="5"/>
  <c r="C72" i="7" s="1"/>
  <c r="IE627" i="5"/>
  <c r="CN660" i="5"/>
  <c r="CN732" i="5" s="1"/>
  <c r="CN733" i="5"/>
  <c r="AW1253" i="5"/>
  <c r="AW739" i="5"/>
  <c r="EL555" i="5"/>
  <c r="EL608" i="5"/>
  <c r="EL606" i="5" s="1"/>
  <c r="AA1233" i="5"/>
  <c r="AA552" i="5"/>
  <c r="AA653" i="5" s="1"/>
  <c r="DY560" i="5"/>
  <c r="ES560" i="5"/>
  <c r="DJ560" i="5"/>
  <c r="ED560" i="5"/>
  <c r="Q1238" i="5"/>
  <c r="Q719" i="5"/>
  <c r="AJ1238" i="5"/>
  <c r="AJ719" i="5"/>
  <c r="BX1238" i="5"/>
  <c r="BX719" i="5"/>
  <c r="IQ625" i="5"/>
  <c r="IK627" i="5"/>
  <c r="G74" i="7" s="1"/>
  <c r="CV670" i="5"/>
  <c r="CV669" i="5" s="1"/>
  <c r="DP670" i="5"/>
  <c r="DP669" i="5" s="1"/>
  <c r="EJ670" i="5"/>
  <c r="EJ669" i="5" s="1"/>
  <c r="EJ1253" i="5" s="1"/>
  <c r="Q1242" i="5"/>
  <c r="KY711" i="5"/>
  <c r="IE562" i="5"/>
  <c r="AM1238" i="5"/>
  <c r="AM719" i="5"/>
  <c r="CN631" i="5"/>
  <c r="CN582" i="5"/>
  <c r="CN576" i="5" s="1"/>
  <c r="CN1238" i="5" s="1"/>
  <c r="BV1242" i="5"/>
  <c r="BV724" i="5"/>
  <c r="CG1245" i="5"/>
  <c r="CG599" i="5"/>
  <c r="CY1245" i="5"/>
  <c r="CY599" i="5"/>
  <c r="II615" i="5"/>
  <c r="F62" i="7" s="1"/>
  <c r="AZ1249" i="5"/>
  <c r="AZ726" i="5"/>
  <c r="DQ599" i="5"/>
  <c r="BL552" i="5"/>
  <c r="BL653" i="5" s="1"/>
  <c r="BP652" i="5"/>
  <c r="BL1233" i="5"/>
  <c r="IX787" i="5"/>
  <c r="IC792" i="5"/>
  <c r="IC793" i="5"/>
  <c r="ED908" i="5"/>
  <c r="ED1087" i="5" s="1"/>
  <c r="FR814" i="5"/>
  <c r="FR908" i="5"/>
  <c r="FR1087" i="5" s="1"/>
  <c r="IW829" i="5"/>
  <c r="IB851" i="5"/>
  <c r="EP850" i="5"/>
  <c r="EP1082" i="5" s="1"/>
  <c r="IE853" i="5"/>
  <c r="IK853" i="5"/>
  <c r="FD850" i="5"/>
  <c r="FD1082" i="5" s="1"/>
  <c r="CL850" i="5"/>
  <c r="CL1082" i="5" s="1"/>
  <c r="IH868" i="5"/>
  <c r="ET850" i="5"/>
  <c r="ET1082" i="5" s="1"/>
  <c r="Z1699" i="2"/>
  <c r="Z1697" i="2" s="1"/>
  <c r="Z1811" i="2" s="1"/>
  <c r="IJ950" i="5"/>
  <c r="AA1271" i="2" s="1"/>
  <c r="G813" i="5"/>
  <c r="AA813" i="5"/>
  <c r="AA1078" i="5" s="1"/>
  <c r="AU813" i="5"/>
  <c r="AU1078" i="5" s="1"/>
  <c r="CI818" i="5"/>
  <c r="CI1079" i="5"/>
  <c r="EF826" i="5"/>
  <c r="EF1081" i="5" s="1"/>
  <c r="FT826" i="5"/>
  <c r="FT1081" i="5" s="1"/>
  <c r="EC1093" i="5"/>
  <c r="EC947" i="5"/>
  <c r="EC1092" i="5" s="1"/>
  <c r="IJ215" i="5"/>
  <c r="IE557" i="5"/>
  <c r="EJ628" i="5"/>
  <c r="IH639" i="5"/>
  <c r="D86" i="7" s="1"/>
  <c r="IU777" i="5"/>
  <c r="IL779" i="5"/>
  <c r="IE786" i="5"/>
  <c r="IZ1056" i="5"/>
  <c r="IZ1065" i="5" s="1"/>
  <c r="BS813" i="5"/>
  <c r="BS754" i="5" s="1"/>
  <c r="BS932" i="5" s="1"/>
  <c r="CU1080" i="5"/>
  <c r="CV1246" i="5"/>
  <c r="CV599" i="5"/>
  <c r="M1249" i="5"/>
  <c r="M726" i="5"/>
  <c r="DN660" i="5"/>
  <c r="DN732" i="5" s="1"/>
  <c r="DN733" i="5"/>
  <c r="CL1239" i="5"/>
  <c r="AK588" i="5"/>
  <c r="IJ15" i="5"/>
  <c r="IJ60" i="5"/>
  <c r="IJ65" i="5"/>
  <c r="IJ70" i="5"/>
  <c r="CW1234" i="5"/>
  <c r="CW553" i="5"/>
  <c r="EL614" i="5"/>
  <c r="EL1248" i="5" s="1"/>
  <c r="AM552" i="5"/>
  <c r="AM1233" i="5"/>
  <c r="BE715" i="5"/>
  <c r="BE550" i="5"/>
  <c r="BE714" i="5" s="1"/>
  <c r="IK557" i="5"/>
  <c r="G12" i="7" s="1"/>
  <c r="IR601" i="5"/>
  <c r="O52" i="7" s="1"/>
  <c r="DS599" i="5"/>
  <c r="IF616" i="5"/>
  <c r="C63" i="7" s="1"/>
  <c r="IH617" i="5"/>
  <c r="AA1048" i="2" s="1"/>
  <c r="IQ617" i="5"/>
  <c r="N64" i="7" s="1"/>
  <c r="P1249" i="5"/>
  <c r="P726" i="5"/>
  <c r="BX588" i="5"/>
  <c r="BX726" i="5"/>
  <c r="G96" i="7"/>
  <c r="BG552" i="5"/>
  <c r="BG1232" i="5" s="1"/>
  <c r="BG713" i="5"/>
  <c r="K1093" i="5"/>
  <c r="K947" i="5"/>
  <c r="K1092" i="5" s="1"/>
  <c r="IJ17" i="5"/>
  <c r="IJ33" i="5"/>
  <c r="IJ261" i="5"/>
  <c r="IJ271" i="5"/>
  <c r="CL696" i="5"/>
  <c r="CL695" i="5" s="1"/>
  <c r="CL1256" i="5" s="1"/>
  <c r="DF696" i="5"/>
  <c r="DF695" i="5" s="1"/>
  <c r="DF1256" i="5" s="1"/>
  <c r="ET696" i="5"/>
  <c r="ET695" i="5" s="1"/>
  <c r="CP696" i="5"/>
  <c r="CP695" i="5" s="1"/>
  <c r="CP1256" i="5" s="1"/>
  <c r="DJ696" i="5"/>
  <c r="DJ695" i="5" s="1"/>
  <c r="DJ1256" i="5" s="1"/>
  <c r="II793" i="5"/>
  <c r="I813" i="5"/>
  <c r="AC813" i="5"/>
  <c r="CY1079" i="5"/>
  <c r="FA908" i="5"/>
  <c r="FA1080" i="5"/>
  <c r="JB1025" i="5"/>
  <c r="AG1350" i="2" s="1"/>
  <c r="DE608" i="5"/>
  <c r="DE606" i="5" s="1"/>
  <c r="DE1247" i="5" s="1"/>
  <c r="DH577" i="5"/>
  <c r="EB577" i="5"/>
  <c r="EV577" i="5"/>
  <c r="EV1239" i="5" s="1"/>
  <c r="CZ660" i="5"/>
  <c r="CZ732" i="5" s="1"/>
  <c r="CZ733" i="5"/>
  <c r="IG682" i="5"/>
  <c r="IG743" i="5" s="1"/>
  <c r="IE686" i="5"/>
  <c r="IL693" i="5"/>
  <c r="I135" i="7" s="1"/>
  <c r="IQ693" i="5"/>
  <c r="N135" i="7" s="1"/>
  <c r="EK683" i="5"/>
  <c r="EK1255" i="5" s="1"/>
  <c r="IQ777" i="5"/>
  <c r="AJ1088" i="5"/>
  <c r="AJ907" i="5"/>
  <c r="AJ1086" i="5" s="1"/>
  <c r="CG1093" i="5"/>
  <c r="CG947" i="5"/>
  <c r="ID955" i="5"/>
  <c r="Y1276" i="2" s="1"/>
  <c r="Y1369" i="2" s="1"/>
  <c r="Y1478" i="2" s="1"/>
  <c r="DB628" i="5"/>
  <c r="DB1251" i="5" s="1"/>
  <c r="CG683" i="5"/>
  <c r="CG1255" i="5" s="1"/>
  <c r="IT922" i="5"/>
  <c r="DB733" i="5"/>
  <c r="DB660" i="5"/>
  <c r="DB732" i="5" s="1"/>
  <c r="IE919" i="5"/>
  <c r="IT919" i="5"/>
  <c r="CH560" i="5"/>
  <c r="IQ671" i="5"/>
  <c r="N116" i="7" s="1"/>
  <c r="IF673" i="5"/>
  <c r="C117" i="7" s="1"/>
  <c r="E117" i="7" s="1"/>
  <c r="IQ673" i="5"/>
  <c r="N117" i="7" s="1"/>
  <c r="IQ674" i="5"/>
  <c r="N118" i="7" s="1"/>
  <c r="CH608" i="5"/>
  <c r="DB608" i="5"/>
  <c r="DA1235" i="5"/>
  <c r="DA560" i="5"/>
  <c r="EW608" i="5"/>
  <c r="L588" i="5"/>
  <c r="IK605" i="5"/>
  <c r="G54" i="7" s="1"/>
  <c r="CR614" i="5"/>
  <c r="CR1248" i="5" s="1"/>
  <c r="CJ670" i="5"/>
  <c r="CJ669" i="5" s="1"/>
  <c r="DD670" i="5"/>
  <c r="DD669" i="5" s="1"/>
  <c r="DD1253" i="5" s="1"/>
  <c r="DX670" i="5"/>
  <c r="DX669" i="5" s="1"/>
  <c r="DX1253" i="5" s="1"/>
  <c r="ER670" i="5"/>
  <c r="ER669" i="5" s="1"/>
  <c r="ER1253" i="5" s="1"/>
  <c r="IL673" i="5"/>
  <c r="I117" i="7" s="1"/>
  <c r="K117" i="7" s="1"/>
  <c r="CI608" i="5"/>
  <c r="ED608" i="5"/>
  <c r="ED606" i="5" s="1"/>
  <c r="ED1247" i="5" s="1"/>
  <c r="CY628" i="5"/>
  <c r="EW628" i="5"/>
  <c r="DB683" i="5"/>
  <c r="DB1255" i="5" s="1"/>
  <c r="IC876" i="5"/>
  <c r="IN876" i="5"/>
  <c r="IR876" i="5"/>
  <c r="IJ24" i="5"/>
  <c r="IJ69" i="5"/>
  <c r="IJ221" i="5"/>
  <c r="DI560" i="5"/>
  <c r="DK560" i="5"/>
  <c r="EE560" i="5"/>
  <c r="EA570" i="5"/>
  <c r="EA1237" i="5" s="1"/>
  <c r="DH570" i="5"/>
  <c r="DH717" i="5" s="1"/>
  <c r="II603" i="5"/>
  <c r="F53" i="7" s="1"/>
  <c r="IK617" i="5"/>
  <c r="AB1048" i="2" s="1"/>
  <c r="AB1049" i="2" s="1"/>
  <c r="H91" i="7"/>
  <c r="CN670" i="5"/>
  <c r="CN669" i="5" s="1"/>
  <c r="EB670" i="5"/>
  <c r="EB669" i="5" s="1"/>
  <c r="EB1253" i="5" s="1"/>
  <c r="CJ803" i="5"/>
  <c r="CJ1077" i="5" s="1"/>
  <c r="DD803" i="5"/>
  <c r="DD1077" i="5" s="1"/>
  <c r="CI1080" i="5"/>
  <c r="DW1080" i="5"/>
  <c r="JB839" i="5"/>
  <c r="AG1145" i="2" s="1"/>
  <c r="FD912" i="5"/>
  <c r="FD1088" i="5" s="1"/>
  <c r="JH796" i="5"/>
  <c r="AI1102" i="2" s="1"/>
  <c r="JH968" i="5"/>
  <c r="AI1289" i="2" s="1"/>
  <c r="JF815" i="5"/>
  <c r="DM912" i="5"/>
  <c r="DS993" i="5"/>
  <c r="DF1187" i="5"/>
  <c r="DF1183" i="5" s="1"/>
  <c r="JD772" i="5"/>
  <c r="JE837" i="5"/>
  <c r="AH1143" i="2" s="1"/>
  <c r="JH1013" i="5"/>
  <c r="JD877" i="5"/>
  <c r="JF764" i="5"/>
  <c r="GM449" i="5"/>
  <c r="JE893" i="5"/>
  <c r="AH1214" i="2" s="1"/>
  <c r="JE928" i="5"/>
  <c r="JE981" i="5"/>
  <c r="AH1307" i="2" s="1"/>
  <c r="JE840" i="5"/>
  <c r="AH1146" i="2" s="1"/>
  <c r="JH807" i="5"/>
  <c r="AI1113" i="2" s="1"/>
  <c r="IL1003" i="5"/>
  <c r="AB1690" i="2" s="1"/>
  <c r="IW1003" i="5"/>
  <c r="AE1744" i="2" s="1"/>
  <c r="IG1004" i="5"/>
  <c r="Z1330" i="2" s="1"/>
  <c r="IY1015" i="5"/>
  <c r="AF1340" i="2" s="1"/>
  <c r="E60" i="7"/>
  <c r="CQ577" i="5"/>
  <c r="CQ576" i="5" s="1"/>
  <c r="J813" i="5"/>
  <c r="AD813" i="5"/>
  <c r="AD1078" i="5" s="1"/>
  <c r="BR813" i="5"/>
  <c r="BR1078" i="5" s="1"/>
  <c r="CT814" i="5"/>
  <c r="FB814" i="5"/>
  <c r="DQ850" i="5"/>
  <c r="DQ1082" i="5" s="1"/>
  <c r="EK850" i="5"/>
  <c r="EK1082" i="5" s="1"/>
  <c r="IC869" i="5"/>
  <c r="DJ850" i="5"/>
  <c r="DJ1082" i="5" s="1"/>
  <c r="IR869" i="5"/>
  <c r="IX869" i="5"/>
  <c r="II870" i="5"/>
  <c r="IK877" i="5"/>
  <c r="CN850" i="5"/>
  <c r="CN1082" i="5" s="1"/>
  <c r="IH885" i="5"/>
  <c r="IN885" i="5"/>
  <c r="IN886" i="5" s="1"/>
  <c r="IN887" i="5" s="1"/>
  <c r="IN889" i="5" s="1"/>
  <c r="IS968" i="5"/>
  <c r="AD1289" i="2" s="1"/>
  <c r="CD993" i="5"/>
  <c r="CD988" i="5" s="1"/>
  <c r="CX993" i="5"/>
  <c r="CX988" i="5" s="1"/>
  <c r="CX1096" i="5" s="1"/>
  <c r="CO993" i="5"/>
  <c r="CO988" i="5" s="1"/>
  <c r="CO1096" i="5" s="1"/>
  <c r="GX947" i="5"/>
  <c r="GZ908" i="5"/>
  <c r="JB856" i="5"/>
  <c r="AG1162" i="2" s="1"/>
  <c r="AG1425" i="2" s="1"/>
  <c r="AG1514" i="2" s="1"/>
  <c r="JB863" i="5"/>
  <c r="AG1169" i="2" s="1"/>
  <c r="IN868" i="5"/>
  <c r="JB949" i="5"/>
  <c r="AG1270" i="2" s="1"/>
  <c r="CE993" i="5"/>
  <c r="CE988" i="5" s="1"/>
  <c r="CE987" i="5" s="1"/>
  <c r="AG1735" i="2"/>
  <c r="CP993" i="5"/>
  <c r="CP988" i="5" s="1"/>
  <c r="CP1096" i="5" s="1"/>
  <c r="EU993" i="5"/>
  <c r="IJ1004" i="5"/>
  <c r="AA1330" i="2" s="1"/>
  <c r="JB1015" i="5"/>
  <c r="AG1340" i="2" s="1"/>
  <c r="JB1022" i="5"/>
  <c r="AG1347" i="2" s="1"/>
  <c r="IY1026" i="5"/>
  <c r="AF1351" i="2" s="1"/>
  <c r="EM1028" i="5"/>
  <c r="EM1027" i="5" s="1"/>
  <c r="EM1019" i="5" s="1"/>
  <c r="FG1028" i="5"/>
  <c r="FG1027" i="5" s="1"/>
  <c r="FG1019" i="5" s="1"/>
  <c r="JB1038" i="5"/>
  <c r="AG1363" i="2" s="1"/>
  <c r="AG1473" i="2" s="1"/>
  <c r="AG1562" i="2" s="1"/>
  <c r="JE916" i="5"/>
  <c r="AH1237" i="2" s="1"/>
  <c r="JE930" i="5"/>
  <c r="JE945" i="5"/>
  <c r="JE949" i="5"/>
  <c r="AH1270" i="2" s="1"/>
  <c r="GW947" i="5"/>
  <c r="JE849" i="5"/>
  <c r="AH1155" i="2" s="1"/>
  <c r="AH1420" i="2" s="1"/>
  <c r="AH1509" i="2" s="1"/>
  <c r="JE808" i="5"/>
  <c r="AH1114" i="2" s="1"/>
  <c r="FD814" i="5"/>
  <c r="DX908" i="5"/>
  <c r="ER826" i="5"/>
  <c r="ER1081" i="5" s="1"/>
  <c r="FL826" i="5"/>
  <c r="FL1081" i="5" s="1"/>
  <c r="DP826" i="5"/>
  <c r="DP1081" i="5" s="1"/>
  <c r="DV826" i="5"/>
  <c r="DV1081" i="5" s="1"/>
  <c r="IU843" i="5"/>
  <c r="IQ847" i="5"/>
  <c r="EI826" i="5"/>
  <c r="EI1081" i="5" s="1"/>
  <c r="JB977" i="5"/>
  <c r="AG1301" i="2" s="1"/>
  <c r="IM985" i="5"/>
  <c r="IP995" i="5"/>
  <c r="AC1321" i="2" s="1"/>
  <c r="EB993" i="5"/>
  <c r="IP1005" i="5"/>
  <c r="AC1331" i="2" s="1"/>
  <c r="JM1009" i="5"/>
  <c r="DO1028" i="5"/>
  <c r="DO1027" i="5" s="1"/>
  <c r="DO1019" i="5" s="1"/>
  <c r="EI1028" i="5"/>
  <c r="EI1027" i="5" s="1"/>
  <c r="EI1019" i="5" s="1"/>
  <c r="EI1097" i="5" s="1"/>
  <c r="IJ210" i="5"/>
  <c r="IJ224" i="5"/>
  <c r="IJ253" i="5"/>
  <c r="IH600" i="5"/>
  <c r="CF614" i="5"/>
  <c r="CF1248" i="5" s="1"/>
  <c r="CR635" i="5"/>
  <c r="II643" i="5"/>
  <c r="F89" i="7" s="1"/>
  <c r="IS651" i="5"/>
  <c r="P96" i="7" s="1"/>
  <c r="M813" i="5"/>
  <c r="M754" i="5" s="1"/>
  <c r="AG813" i="5"/>
  <c r="DC1079" i="5"/>
  <c r="FK814" i="5"/>
  <c r="CW908" i="5"/>
  <c r="CW1087" i="5" s="1"/>
  <c r="EK908" i="5"/>
  <c r="EK1087" i="5" s="1"/>
  <c r="BG813" i="5"/>
  <c r="BG1078" i="5" s="1"/>
  <c r="CA813" i="5"/>
  <c r="CA754" i="5" s="1"/>
  <c r="CA932" i="5" s="1"/>
  <c r="CK826" i="5"/>
  <c r="CK1081" i="5" s="1"/>
  <c r="DE826" i="5"/>
  <c r="DE1081" i="5" s="1"/>
  <c r="DY826" i="5"/>
  <c r="DY1081" i="5" s="1"/>
  <c r="ES826" i="5"/>
  <c r="ES1081" i="5" s="1"/>
  <c r="FM826" i="5"/>
  <c r="FM1081" i="5" s="1"/>
  <c r="IL922" i="5"/>
  <c r="HE947" i="5"/>
  <c r="II636" i="5"/>
  <c r="F83" i="7" s="1"/>
  <c r="IR636" i="5"/>
  <c r="O83" i="7" s="1"/>
  <c r="IR639" i="5"/>
  <c r="O86" i="7" s="1"/>
  <c r="CR683" i="5"/>
  <c r="CR1255" i="5" s="1"/>
  <c r="EM803" i="5"/>
  <c r="EM1077" i="5" s="1"/>
  <c r="FG803" i="5"/>
  <c r="DR803" i="5"/>
  <c r="DR1077" i="5" s="1"/>
  <c r="IF806" i="5"/>
  <c r="IK806" i="5"/>
  <c r="EK803" i="5"/>
  <c r="EK1077" i="5" s="1"/>
  <c r="II809" i="5"/>
  <c r="CJ814" i="5"/>
  <c r="DD814" i="5"/>
  <c r="ER814" i="5"/>
  <c r="FL814" i="5"/>
  <c r="AN813" i="5"/>
  <c r="AN1078" i="5" s="1"/>
  <c r="BH813" i="5"/>
  <c r="CM850" i="5"/>
  <c r="CM1082" i="5" s="1"/>
  <c r="DG850" i="5"/>
  <c r="DU850" i="5"/>
  <c r="DU1082" i="5" s="1"/>
  <c r="CJ912" i="5"/>
  <c r="CJ1088" i="5" s="1"/>
  <c r="DD912" i="5"/>
  <c r="DI1175" i="5"/>
  <c r="DG1178" i="5"/>
  <c r="GT908" i="5"/>
  <c r="JG995" i="5"/>
  <c r="JH995" i="5" s="1"/>
  <c r="AI1321" i="2" s="1"/>
  <c r="GV814" i="5"/>
  <c r="DL670" i="5"/>
  <c r="DL669" i="5" s="1"/>
  <c r="IW777" i="5"/>
  <c r="IB794" i="5"/>
  <c r="IT800" i="5"/>
  <c r="IO801" i="5"/>
  <c r="AI813" i="5"/>
  <c r="BC813" i="5"/>
  <c r="BC1078" i="5" s="1"/>
  <c r="BW813" i="5"/>
  <c r="BW1078" i="5" s="1"/>
  <c r="CK814" i="5"/>
  <c r="DS1080" i="5"/>
  <c r="U813" i="5"/>
  <c r="AO813" i="5"/>
  <c r="BI813" i="5"/>
  <c r="CQ1079" i="5"/>
  <c r="DK1079" i="5"/>
  <c r="EA908" i="5"/>
  <c r="CM826" i="5"/>
  <c r="CM1081" i="5" s="1"/>
  <c r="EU826" i="5"/>
  <c r="EU1081" i="5" s="1"/>
  <c r="DG1168" i="5"/>
  <c r="CW1175" i="5"/>
  <c r="DQ1175" i="5"/>
  <c r="GY994" i="5"/>
  <c r="EP577" i="5"/>
  <c r="EP576" i="5" s="1"/>
  <c r="EP1238" i="5" s="1"/>
  <c r="ET599" i="5"/>
  <c r="IL698" i="5"/>
  <c r="I140" i="7" s="1"/>
  <c r="IR699" i="5"/>
  <c r="O141" i="7" s="1"/>
  <c r="IW771" i="5"/>
  <c r="CG803" i="5"/>
  <c r="CG1077" i="5" s="1"/>
  <c r="DA803" i="5"/>
  <c r="DA1077" i="5" s="1"/>
  <c r="EO803" i="5"/>
  <c r="EO1077" i="5" s="1"/>
  <c r="FI803" i="5"/>
  <c r="FI1077" i="5" s="1"/>
  <c r="IB806" i="5"/>
  <c r="IQ806" i="5"/>
  <c r="IF808" i="5"/>
  <c r="IO812" i="5"/>
  <c r="DF814" i="5"/>
  <c r="DZ814" i="5"/>
  <c r="ET814" i="5"/>
  <c r="FN814" i="5"/>
  <c r="CF1080" i="5"/>
  <c r="EN908" i="5"/>
  <c r="EN1087" i="5" s="1"/>
  <c r="V813" i="5"/>
  <c r="AP813" i="5"/>
  <c r="AP1078" i="5" s="1"/>
  <c r="BJ813" i="5"/>
  <c r="BJ1078" i="5" s="1"/>
  <c r="CD813" i="5"/>
  <c r="CD1078" i="5" s="1"/>
  <c r="IE819" i="5"/>
  <c r="EF1079" i="5"/>
  <c r="DH1080" i="5"/>
  <c r="IH823" i="5"/>
  <c r="IW823" i="5"/>
  <c r="IC824" i="5"/>
  <c r="IR824" i="5"/>
  <c r="CN826" i="5"/>
  <c r="CN1081" i="5" s="1"/>
  <c r="IH845" i="5"/>
  <c r="IY967" i="5"/>
  <c r="AF1288" i="2" s="1"/>
  <c r="JB968" i="5"/>
  <c r="AG1289" i="2" s="1"/>
  <c r="CX1175" i="5"/>
  <c r="DR1175" i="5"/>
  <c r="CJ1178" i="5"/>
  <c r="DF1184" i="5"/>
  <c r="H40" i="7"/>
  <c r="H58" i="7"/>
  <c r="H77" i="7"/>
  <c r="H107" i="7"/>
  <c r="JE1024" i="5"/>
  <c r="AH1349" i="2" s="1"/>
  <c r="JE990" i="5"/>
  <c r="AH1316" i="2" s="1"/>
  <c r="JE958" i="5"/>
  <c r="AH1279" i="2" s="1"/>
  <c r="GS1019" i="5"/>
  <c r="GS1253" i="5" s="1"/>
  <c r="JH1038" i="5"/>
  <c r="AI1363" i="2" s="1"/>
  <c r="JH822" i="5"/>
  <c r="AI1128" i="2" s="1"/>
  <c r="BP739" i="5"/>
  <c r="DC577" i="5"/>
  <c r="DC576" i="5" s="1"/>
  <c r="DW577" i="5"/>
  <c r="EQ577" i="5"/>
  <c r="EQ1239" i="5" s="1"/>
  <c r="CX577" i="5"/>
  <c r="CX1239" i="5" s="1"/>
  <c r="DR577" i="5"/>
  <c r="DR720" i="5" s="1"/>
  <c r="IE592" i="5"/>
  <c r="II625" i="5"/>
  <c r="F72" i="7" s="1"/>
  <c r="II626" i="5"/>
  <c r="F73" i="7" s="1"/>
  <c r="DN683" i="5"/>
  <c r="DN1255" i="5" s="1"/>
  <c r="CF696" i="5"/>
  <c r="CF695" i="5" s="1"/>
  <c r="CF1256" i="5" s="1"/>
  <c r="DT696" i="5"/>
  <c r="DT695" i="5" s="1"/>
  <c r="DT1256" i="5" s="1"/>
  <c r="EN696" i="5"/>
  <c r="EN695" i="5" s="1"/>
  <c r="IB761" i="5"/>
  <c r="IQ761" i="5"/>
  <c r="IB767" i="5"/>
  <c r="IQ767" i="5"/>
  <c r="IH786" i="5"/>
  <c r="IC787" i="5"/>
  <c r="IN788" i="5"/>
  <c r="IL792" i="5"/>
  <c r="II798" i="5"/>
  <c r="JB811" i="5"/>
  <c r="AG1117" i="2" s="1"/>
  <c r="Q813" i="5"/>
  <c r="AK813" i="5"/>
  <c r="CM1079" i="5"/>
  <c r="DG1079" i="5"/>
  <c r="EU1079" i="5"/>
  <c r="EO814" i="5"/>
  <c r="FI814" i="5"/>
  <c r="JB818" i="5"/>
  <c r="AG1124" i="2" s="1"/>
  <c r="CS818" i="5"/>
  <c r="EO826" i="5"/>
  <c r="EO1081" i="5" s="1"/>
  <c r="JB885" i="5"/>
  <c r="AG1206" i="2" s="1"/>
  <c r="AG665" i="2" s="1"/>
  <c r="IP974" i="5"/>
  <c r="AC1300" i="2" s="1"/>
  <c r="CP1178" i="5"/>
  <c r="JE846" i="5"/>
  <c r="AH1152" i="2" s="1"/>
  <c r="JE829" i="5"/>
  <c r="AH1135" i="2" s="1"/>
  <c r="II571" i="5"/>
  <c r="F25" i="7" s="1"/>
  <c r="IK572" i="5"/>
  <c r="G26" i="7" s="1"/>
  <c r="CY577" i="5"/>
  <c r="CY720" i="5" s="1"/>
  <c r="BJ588" i="5"/>
  <c r="CN814" i="5"/>
  <c r="DH814" i="5"/>
  <c r="JB909" i="5"/>
  <c r="AG1230" i="2" s="1"/>
  <c r="EB912" i="5"/>
  <c r="EB1088" i="5" s="1"/>
  <c r="FP912" i="5"/>
  <c r="EJ570" i="5"/>
  <c r="EJ1237" i="5" s="1"/>
  <c r="EO608" i="5"/>
  <c r="IG625" i="5"/>
  <c r="IK625" i="5"/>
  <c r="G72" i="7" s="1"/>
  <c r="II627" i="5"/>
  <c r="EH683" i="5"/>
  <c r="EH1255" i="5" s="1"/>
  <c r="EK670" i="5"/>
  <c r="EK669" i="5" s="1"/>
  <c r="EK1253" i="5" s="1"/>
  <c r="CV818" i="5"/>
  <c r="EG850" i="5"/>
  <c r="EG1082" i="5" s="1"/>
  <c r="FO1247" i="5"/>
  <c r="FO1242" i="5" s="1"/>
  <c r="IG952" i="5"/>
  <c r="Z1273" i="2" s="1"/>
  <c r="IY955" i="5"/>
  <c r="AF1276" i="2" s="1"/>
  <c r="IS966" i="5"/>
  <c r="AD1287" i="2" s="1"/>
  <c r="ID968" i="5"/>
  <c r="Y1289" i="2" s="1"/>
  <c r="IY985" i="5"/>
  <c r="JB1005" i="5"/>
  <c r="AG1331" i="2" s="1"/>
  <c r="EV1028" i="5"/>
  <c r="EV1027" i="5" s="1"/>
  <c r="EV1019" i="5" s="1"/>
  <c r="EV1097" i="5" s="1"/>
  <c r="FP1028" i="5"/>
  <c r="FP1027" i="5" s="1"/>
  <c r="FP1019" i="5" s="1"/>
  <c r="FP1097" i="5" s="1"/>
  <c r="DJ1184" i="5"/>
  <c r="DC1187" i="5"/>
  <c r="DC1183" i="5" s="1"/>
  <c r="JH841" i="5"/>
  <c r="AI1147" i="2" s="1"/>
  <c r="O77" i="19"/>
  <c r="N77" i="19" s="1"/>
  <c r="JS815" i="5"/>
  <c r="AJ1410" i="2"/>
  <c r="AJ1499" i="2" s="1"/>
  <c r="O16" i="19"/>
  <c r="N16" i="19" s="1"/>
  <c r="AL1409" i="2"/>
  <c r="AL1498" i="2" s="1"/>
  <c r="AF15" i="19"/>
  <c r="AF12" i="19"/>
  <c r="O12" i="19"/>
  <c r="N12" i="19" s="1"/>
  <c r="P991" i="2"/>
  <c r="AI1740" i="2"/>
  <c r="AJ1739" i="2"/>
  <c r="JP1014" i="5"/>
  <c r="AL1751" i="2" s="1"/>
  <c r="D111" i="19"/>
  <c r="E81" i="19" s="1"/>
  <c r="G81" i="19" s="1"/>
  <c r="JY1010" i="5"/>
  <c r="AO1731" i="2" s="1"/>
  <c r="AO1730" i="2" s="1"/>
  <c r="JX1009" i="5"/>
  <c r="AF105" i="19"/>
  <c r="O17" i="19"/>
  <c r="N17" i="19" s="1"/>
  <c r="I17" i="19"/>
  <c r="AM1471" i="2"/>
  <c r="AM1560" i="2" s="1"/>
  <c r="G123" i="7"/>
  <c r="H123" i="7" s="1"/>
  <c r="IM679" i="5"/>
  <c r="IH680" i="5"/>
  <c r="D124" i="7" s="1"/>
  <c r="IR680" i="5"/>
  <c r="O124" i="7" s="1"/>
  <c r="IK682" i="5"/>
  <c r="JH889" i="5"/>
  <c r="AI1210" i="2" s="1"/>
  <c r="JH1015" i="5"/>
  <c r="AI1340" i="2" s="1"/>
  <c r="JH868" i="5"/>
  <c r="AI1187" i="2" s="1"/>
  <c r="AI1427" i="2" s="1"/>
  <c r="AI1516" i="2" s="1"/>
  <c r="AH1233" i="5"/>
  <c r="AH713" i="5"/>
  <c r="AH552" i="5"/>
  <c r="BT1233" i="5"/>
  <c r="BT552" i="5"/>
  <c r="DW1235" i="5"/>
  <c r="DW553" i="5"/>
  <c r="DW1233" i="5" s="1"/>
  <c r="DW560" i="5"/>
  <c r="EM1235" i="5"/>
  <c r="EM553" i="5"/>
  <c r="EM1233" i="5" s="1"/>
  <c r="IH671" i="5"/>
  <c r="D116" i="7" s="1"/>
  <c r="DC670" i="5"/>
  <c r="DC669" i="5" s="1"/>
  <c r="DW670" i="5"/>
  <c r="DW669" i="5" s="1"/>
  <c r="DW1253" i="5" s="1"/>
  <c r="IL671" i="5"/>
  <c r="I116" i="7" s="1"/>
  <c r="IG674" i="5"/>
  <c r="IF674" i="5"/>
  <c r="C118" i="7" s="1"/>
  <c r="E118" i="7" s="1"/>
  <c r="ID1185" i="5"/>
  <c r="D1792" i="2"/>
  <c r="FP1234" i="5"/>
  <c r="BT713" i="5"/>
  <c r="IF919" i="5"/>
  <c r="AI1233" i="5"/>
  <c r="AI716" i="5"/>
  <c r="AI552" i="5"/>
  <c r="BA552" i="5"/>
  <c r="BA1233" i="5"/>
  <c r="BA716" i="5"/>
  <c r="BA713" i="5"/>
  <c r="BU552" i="5"/>
  <c r="BU1232" i="5" s="1"/>
  <c r="BU716" i="5"/>
  <c r="EJ850" i="5"/>
  <c r="EJ1082" i="5" s="1"/>
  <c r="IO853" i="5"/>
  <c r="LA1088" i="5"/>
  <c r="LA907" i="5"/>
  <c r="LA1086" i="5" s="1"/>
  <c r="EK912" i="5"/>
  <c r="IO919" i="5"/>
  <c r="AS1096" i="5"/>
  <c r="AS987" i="5"/>
  <c r="AS1095" i="5" s="1"/>
  <c r="Q1097" i="5"/>
  <c r="Q987" i="5"/>
  <c r="Q1095" i="5" s="1"/>
  <c r="IG673" i="5"/>
  <c r="IJ164" i="5"/>
  <c r="IJ209" i="5"/>
  <c r="IJ223" i="5"/>
  <c r="R552" i="5"/>
  <c r="R654" i="5" s="1"/>
  <c r="R1233" i="5"/>
  <c r="R716" i="5"/>
  <c r="R713" i="5"/>
  <c r="AK552" i="5"/>
  <c r="AK1232" i="5" s="1"/>
  <c r="AK1230" i="5" s="1"/>
  <c r="AK1233" i="5"/>
  <c r="BV1249" i="5"/>
  <c r="BV726" i="5"/>
  <c r="BV588" i="5"/>
  <c r="O101" i="7"/>
  <c r="IS656" i="5"/>
  <c r="P101" i="7" s="1"/>
  <c r="CS696" i="5"/>
  <c r="CS695" i="5" s="1"/>
  <c r="CS1256" i="5" s="1"/>
  <c r="IG697" i="5"/>
  <c r="IE697" i="5"/>
  <c r="IF698" i="5"/>
  <c r="C140" i="7" s="1"/>
  <c r="CW696" i="5"/>
  <c r="CW695" i="5" s="1"/>
  <c r="CW1256" i="5" s="1"/>
  <c r="DQ696" i="5"/>
  <c r="DQ695" i="5" s="1"/>
  <c r="IK698" i="5"/>
  <c r="FE1244" i="5"/>
  <c r="IU853" i="5"/>
  <c r="EZ1246" i="5"/>
  <c r="IT870" i="5"/>
  <c r="EV850" i="5"/>
  <c r="EV1082" i="5" s="1"/>
  <c r="IR885" i="5"/>
  <c r="IW885" i="5"/>
  <c r="FP1247" i="5"/>
  <c r="Z1088" i="5"/>
  <c r="Z907" i="5"/>
  <c r="Z1086" i="5" s="1"/>
  <c r="IF1094" i="5"/>
  <c r="IG985" i="5"/>
  <c r="AT1096" i="5"/>
  <c r="AT987" i="5"/>
  <c r="AT1095" i="5" s="1"/>
  <c r="ES993" i="5"/>
  <c r="ES1096" i="5" s="1"/>
  <c r="IR1003" i="5"/>
  <c r="AD1690" i="2" s="1"/>
  <c r="IU920" i="5"/>
  <c r="AJ654" i="5"/>
  <c r="AJ653" i="5"/>
  <c r="AJ715" i="5"/>
  <c r="AJ652" i="5"/>
  <c r="AJ550" i="5"/>
  <c r="AJ714" i="5" s="1"/>
  <c r="CZ1250" i="5"/>
  <c r="IO920" i="5"/>
  <c r="BY739" i="5"/>
  <c r="DZ696" i="5"/>
  <c r="DZ695" i="5" s="1"/>
  <c r="IL697" i="5"/>
  <c r="I139" i="7" s="1"/>
  <c r="EA555" i="5"/>
  <c r="EA608" i="5"/>
  <c r="EA606" i="5" s="1"/>
  <c r="EA1247" i="5" s="1"/>
  <c r="DF1096" i="5"/>
  <c r="IH993" i="5"/>
  <c r="Z1695" i="2" s="1"/>
  <c r="DP850" i="5"/>
  <c r="DP1082" i="5" s="1"/>
  <c r="BB552" i="5"/>
  <c r="BB716" i="5"/>
  <c r="BB713" i="5"/>
  <c r="BB1233" i="5"/>
  <c r="FI1243" i="5"/>
  <c r="FI850" i="5"/>
  <c r="FI1082" i="5" s="1"/>
  <c r="IT853" i="5"/>
  <c r="FD1244" i="5"/>
  <c r="IK919" i="5"/>
  <c r="DQ912" i="5"/>
  <c r="M1093" i="5"/>
  <c r="M947" i="5"/>
  <c r="M1092" i="5" s="1"/>
  <c r="AG1097" i="5"/>
  <c r="AG987" i="5"/>
  <c r="AG1095" i="5" s="1"/>
  <c r="AK716" i="5"/>
  <c r="EX696" i="5"/>
  <c r="EX695" i="5" s="1"/>
  <c r="IR698" i="5"/>
  <c r="DS743" i="5"/>
  <c r="CV850" i="5"/>
  <c r="CV1082" i="5" s="1"/>
  <c r="DO1240" i="5"/>
  <c r="DO721" i="5"/>
  <c r="DT743" i="5"/>
  <c r="X1776" i="2"/>
  <c r="X1775" i="2" s="1"/>
  <c r="CJ1168" i="5"/>
  <c r="BV713" i="5"/>
  <c r="BV1233" i="5"/>
  <c r="EI947" i="5"/>
  <c r="EI1092" i="5" s="1"/>
  <c r="IJ43" i="5"/>
  <c r="IJ61" i="5"/>
  <c r="IJ66" i="5"/>
  <c r="IJ71" i="5"/>
  <c r="IJ110" i="5"/>
  <c r="IJ154" i="5"/>
  <c r="IJ277" i="5"/>
  <c r="EH850" i="5"/>
  <c r="EH1082" i="5" s="1"/>
  <c r="IC885" i="5"/>
  <c r="DK850" i="5"/>
  <c r="DK1082" i="5" s="1"/>
  <c r="EE850" i="5"/>
  <c r="EE1082" i="5" s="1"/>
  <c r="AK1272" i="2"/>
  <c r="JE951" i="5"/>
  <c r="GB907" i="5"/>
  <c r="GB1087" i="5"/>
  <c r="EL599" i="5"/>
  <c r="IG566" i="5"/>
  <c r="CL631" i="5"/>
  <c r="AT1253" i="5"/>
  <c r="AT739" i="5"/>
  <c r="N56" i="7"/>
  <c r="IS607" i="5"/>
  <c r="P56" i="7" s="1"/>
  <c r="IK615" i="5"/>
  <c r="DO614" i="5"/>
  <c r="DO1248" i="5" s="1"/>
  <c r="AI1249" i="5"/>
  <c r="AI588" i="5"/>
  <c r="IQ603" i="5"/>
  <c r="N53" i="7" s="1"/>
  <c r="BD1249" i="5"/>
  <c r="BD726" i="5"/>
  <c r="EQ599" i="5"/>
  <c r="IF579" i="5"/>
  <c r="C31" i="7" s="1"/>
  <c r="CW577" i="5"/>
  <c r="CJ576" i="5"/>
  <c r="CJ1238" i="5" s="1"/>
  <c r="BI652" i="5"/>
  <c r="BI588" i="5"/>
  <c r="AK1249" i="5"/>
  <c r="AK726" i="5"/>
  <c r="AP550" i="5"/>
  <c r="AP714" i="5" s="1"/>
  <c r="AP1238" i="5"/>
  <c r="AP719" i="5"/>
  <c r="CK631" i="5"/>
  <c r="CK582" i="5"/>
  <c r="AA1242" i="5"/>
  <c r="AA588" i="5"/>
  <c r="CO1245" i="5"/>
  <c r="CO599" i="5"/>
  <c r="ET1245" i="5"/>
  <c r="CH1246" i="5"/>
  <c r="CH599" i="5"/>
  <c r="EL560" i="5"/>
  <c r="EP599" i="5"/>
  <c r="EP1246" i="5"/>
  <c r="EB628" i="5"/>
  <c r="LA552" i="5"/>
  <c r="LA716" i="5"/>
  <c r="CG608" i="5"/>
  <c r="EG560" i="5"/>
  <c r="EG1235" i="5"/>
  <c r="CY560" i="5"/>
  <c r="DD560" i="5"/>
  <c r="DX560" i="5"/>
  <c r="EI570" i="5"/>
  <c r="EI1237" i="5" s="1"/>
  <c r="AE552" i="5"/>
  <c r="AE1233" i="5"/>
  <c r="CG1235" i="5"/>
  <c r="CG553" i="5"/>
  <c r="CG716" i="5" s="1"/>
  <c r="EK608" i="5"/>
  <c r="EK606" i="5" s="1"/>
  <c r="EK1247" i="5" s="1"/>
  <c r="AF716" i="5"/>
  <c r="AF552" i="5"/>
  <c r="BP716" i="5"/>
  <c r="BP1233" i="5"/>
  <c r="DC555" i="5"/>
  <c r="DC608" i="5"/>
  <c r="DC606" i="5" s="1"/>
  <c r="DC1247" i="5" s="1"/>
  <c r="V1249" i="5"/>
  <c r="V726" i="5"/>
  <c r="DE560" i="5"/>
  <c r="IH562" i="5"/>
  <c r="D17" i="7" s="1"/>
  <c r="CJ1235" i="5"/>
  <c r="CJ560" i="5"/>
  <c r="EP555" i="5"/>
  <c r="EP1234" i="5" s="1"/>
  <c r="EP608" i="5"/>
  <c r="EP606" i="5" s="1"/>
  <c r="EP1247" i="5" s="1"/>
  <c r="CP582" i="5"/>
  <c r="CP628" i="5" s="1"/>
  <c r="CP1251" i="5" s="1"/>
  <c r="CP631" i="5"/>
  <c r="DH733" i="5"/>
  <c r="DH660" i="5"/>
  <c r="DH732" i="5" s="1"/>
  <c r="AE1093" i="5"/>
  <c r="AE947" i="5"/>
  <c r="AE1092" i="5" s="1"/>
  <c r="U552" i="5"/>
  <c r="U653" i="5" s="1"/>
  <c r="U713" i="5"/>
  <c r="ES608" i="5"/>
  <c r="ES555" i="5"/>
  <c r="ES1234" i="5" s="1"/>
  <c r="DF553" i="5"/>
  <c r="DF716" i="5" s="1"/>
  <c r="DX1235" i="5"/>
  <c r="DX553" i="5"/>
  <c r="DX1233" i="5" s="1"/>
  <c r="IL573" i="5"/>
  <c r="I27" i="7" s="1"/>
  <c r="K27" i="7" s="1"/>
  <c r="IR674" i="5"/>
  <c r="O118" i="7" s="1"/>
  <c r="G1088" i="5"/>
  <c r="G907" i="5"/>
  <c r="G1086" i="5" s="1"/>
  <c r="FH1093" i="5"/>
  <c r="FH947" i="5"/>
  <c r="FH1092" i="5" s="1"/>
  <c r="AX588" i="5"/>
  <c r="LA590" i="5"/>
  <c r="LA588" i="5" s="1"/>
  <c r="LA723" i="5" s="1"/>
  <c r="IK601" i="5"/>
  <c r="G52" i="7" s="1"/>
  <c r="H52" i="7" s="1"/>
  <c r="EJ803" i="5"/>
  <c r="EJ1077" i="5" s="1"/>
  <c r="IX810" i="5"/>
  <c r="CV814" i="5"/>
  <c r="CV908" i="5"/>
  <c r="CV1087" i="5" s="1"/>
  <c r="IF822" i="5"/>
  <c r="CY993" i="5"/>
  <c r="CY988" i="5" s="1"/>
  <c r="IF994" i="5"/>
  <c r="IK591" i="5"/>
  <c r="G42" i="7" s="1"/>
  <c r="IJ196" i="5"/>
  <c r="LB590" i="5"/>
  <c r="EV1246" i="5"/>
  <c r="EV599" i="5"/>
  <c r="EC683" i="5"/>
  <c r="EC1255" i="5" s="1"/>
  <c r="IN799" i="5"/>
  <c r="IE802" i="5"/>
  <c r="ES908" i="5"/>
  <c r="ES1087" i="5" s="1"/>
  <c r="II832" i="5"/>
  <c r="IX832" i="5"/>
  <c r="IC839" i="5"/>
  <c r="IH839" i="5"/>
  <c r="IN839" i="5"/>
  <c r="IB842" i="5"/>
  <c r="CI826" i="5"/>
  <c r="CI1081" i="5" s="1"/>
  <c r="DW826" i="5"/>
  <c r="DW1081" i="5" s="1"/>
  <c r="CZ826" i="5"/>
  <c r="CZ1081" i="5" s="1"/>
  <c r="IB846" i="5"/>
  <c r="IF846" i="5"/>
  <c r="IQ846" i="5"/>
  <c r="IU846" i="5"/>
  <c r="IE849" i="5"/>
  <c r="IK849" i="5"/>
  <c r="IO849" i="5"/>
  <c r="CW1245" i="5"/>
  <c r="CW599" i="5"/>
  <c r="CQ1246" i="5"/>
  <c r="CQ599" i="5"/>
  <c r="DK1246" i="5"/>
  <c r="DK599" i="5"/>
  <c r="IF767" i="5"/>
  <c r="IF768" i="5"/>
  <c r="IF804" i="5"/>
  <c r="CY803" i="5"/>
  <c r="CY1077" i="5" s="1"/>
  <c r="IK807" i="5"/>
  <c r="FD803" i="5"/>
  <c r="FD1077" i="5" s="1"/>
  <c r="IK808" i="5"/>
  <c r="EI803" i="5"/>
  <c r="EI1077" i="5" s="1"/>
  <c r="IT809" i="5"/>
  <c r="IE810" i="5"/>
  <c r="II811" i="5"/>
  <c r="IE812" i="5"/>
  <c r="II812" i="5"/>
  <c r="AG1698" i="2"/>
  <c r="JB950" i="5"/>
  <c r="AG1271" i="2" s="1"/>
  <c r="AG1725" i="2" s="1"/>
  <c r="DO683" i="5"/>
  <c r="DO1255" i="5" s="1"/>
  <c r="IL649" i="5"/>
  <c r="CE814" i="5"/>
  <c r="IB817" i="5"/>
  <c r="IH835" i="5"/>
  <c r="IL567" i="5"/>
  <c r="I22" i="7" s="1"/>
  <c r="K22" i="7" s="1"/>
  <c r="IQ756" i="5"/>
  <c r="IB757" i="5"/>
  <c r="IW757" i="5"/>
  <c r="IU761" i="5"/>
  <c r="IB762" i="5"/>
  <c r="IQ762" i="5"/>
  <c r="IB763" i="5"/>
  <c r="IL763" i="5"/>
  <c r="FH803" i="5"/>
  <c r="FH1077" i="5" s="1"/>
  <c r="IU807" i="5"/>
  <c r="IK809" i="5"/>
  <c r="IO811" i="5"/>
  <c r="DP635" i="5"/>
  <c r="DP728" i="5" s="1"/>
  <c r="EB570" i="5"/>
  <c r="EB1237" i="5" s="1"/>
  <c r="EL577" i="5"/>
  <c r="EL1239" i="5" s="1"/>
  <c r="IR605" i="5"/>
  <c r="O54" i="7" s="1"/>
  <c r="DA635" i="5"/>
  <c r="DA1252" i="5" s="1"/>
  <c r="CX733" i="5"/>
  <c r="CX660" i="5"/>
  <c r="CX732" i="5" s="1"/>
  <c r="U716" i="5"/>
  <c r="EN1245" i="5"/>
  <c r="EN599" i="5"/>
  <c r="DR635" i="5"/>
  <c r="DR728" i="5" s="1"/>
  <c r="DA683" i="5"/>
  <c r="DA1255" i="5" s="1"/>
  <c r="EI683" i="5"/>
  <c r="EI1255" i="5" s="1"/>
  <c r="IH626" i="5"/>
  <c r="D73" i="7" s="1"/>
  <c r="E73" i="7" s="1"/>
  <c r="DN635" i="5"/>
  <c r="CY826" i="5"/>
  <c r="CY1081" i="5" s="1"/>
  <c r="DS826" i="5"/>
  <c r="DS1081" i="5" s="1"/>
  <c r="IW835" i="5"/>
  <c r="GR850" i="5"/>
  <c r="CR628" i="5"/>
  <c r="CR1251" i="5" s="1"/>
  <c r="IW919" i="5"/>
  <c r="ER1093" i="5"/>
  <c r="ER947" i="5"/>
  <c r="ER1092" i="5" s="1"/>
  <c r="Y1776" i="2"/>
  <c r="Y1775" i="2" s="1"/>
  <c r="CV1168" i="5"/>
  <c r="DR1178" i="5"/>
  <c r="DJ1178" i="5"/>
  <c r="DL577" i="5"/>
  <c r="EF577" i="5"/>
  <c r="DF599" i="5"/>
  <c r="CE614" i="5"/>
  <c r="CE1248" i="5" s="1"/>
  <c r="DS614" i="5"/>
  <c r="DS1248" i="5" s="1"/>
  <c r="CV608" i="5"/>
  <c r="CO608" i="5"/>
  <c r="CS577" i="5"/>
  <c r="DM577" i="5"/>
  <c r="DM1239" i="5" s="1"/>
  <c r="EG577" i="5"/>
  <c r="EG1239" i="5" s="1"/>
  <c r="IL594" i="5"/>
  <c r="I45" i="7" s="1"/>
  <c r="K45" i="7" s="1"/>
  <c r="O588" i="5"/>
  <c r="O1241" i="5" s="1"/>
  <c r="EN614" i="5"/>
  <c r="EN1248" i="5" s="1"/>
  <c r="CS553" i="5"/>
  <c r="CS560" i="5"/>
  <c r="DZ570" i="5"/>
  <c r="DZ1237" i="5" s="1"/>
  <c r="DA614" i="5"/>
  <c r="DA1248" i="5" s="1"/>
  <c r="FO1093" i="5"/>
  <c r="FO947" i="5"/>
  <c r="FO1092" i="5" s="1"/>
  <c r="IC805" i="5"/>
  <c r="CL803" i="5"/>
  <c r="CL1077" i="5" s="1"/>
  <c r="EZ814" i="5"/>
  <c r="IT815" i="5"/>
  <c r="AI1088" i="5"/>
  <c r="AI907" i="5"/>
  <c r="AI1086" i="5" s="1"/>
  <c r="EB1093" i="5"/>
  <c r="EB947" i="5"/>
  <c r="EB1092" i="5" s="1"/>
  <c r="ID1193" i="5"/>
  <c r="D1800" i="2"/>
  <c r="GK449" i="5"/>
  <c r="GK869" i="5"/>
  <c r="GK850" i="5" s="1"/>
  <c r="DO826" i="5"/>
  <c r="DO1081" i="5" s="1"/>
  <c r="FC826" i="5"/>
  <c r="FC1081" i="5" s="1"/>
  <c r="IQ829" i="5"/>
  <c r="IH832" i="5"/>
  <c r="FO826" i="5"/>
  <c r="II834" i="5"/>
  <c r="IR834" i="5"/>
  <c r="IE835" i="5"/>
  <c r="II845" i="5"/>
  <c r="EA850" i="5"/>
  <c r="EA1082" i="5" s="1"/>
  <c r="EU850" i="5"/>
  <c r="EU1082" i="5" s="1"/>
  <c r="IS878" i="5"/>
  <c r="AD1199" i="2" s="1"/>
  <c r="AD697" i="2" s="1"/>
  <c r="IU885" i="5"/>
  <c r="DH826" i="5"/>
  <c r="DH1081" i="5" s="1"/>
  <c r="CY1175" i="5"/>
  <c r="DS1175" i="5"/>
  <c r="JD819" i="5"/>
  <c r="IF699" i="5"/>
  <c r="C141" i="7" s="1"/>
  <c r="II877" i="5"/>
  <c r="IE625" i="5"/>
  <c r="IR627" i="5"/>
  <c r="O74" i="7" s="1"/>
  <c r="CP733" i="5"/>
  <c r="DE670" i="5"/>
  <c r="DE669" i="5" s="1"/>
  <c r="CT696" i="5"/>
  <c r="CT695" i="5" s="1"/>
  <c r="CT1256" i="5" s="1"/>
  <c r="IC810" i="5"/>
  <c r="EJ814" i="5"/>
  <c r="FF826" i="5"/>
  <c r="FF1081" i="5" s="1"/>
  <c r="JB984" i="5"/>
  <c r="AG1310" i="2" s="1"/>
  <c r="CT683" i="5"/>
  <c r="CT1255" i="5" s="1"/>
  <c r="IL647" i="5"/>
  <c r="I93" i="7" s="1"/>
  <c r="IT772" i="5"/>
  <c r="IK773" i="5"/>
  <c r="II785" i="5"/>
  <c r="IK789" i="5"/>
  <c r="KY993" i="5"/>
  <c r="KY988" i="5" s="1"/>
  <c r="KY1096" i="5" s="1"/>
  <c r="IQ559" i="5"/>
  <c r="N14" i="7" s="1"/>
  <c r="IM584" i="5"/>
  <c r="CU683" i="5"/>
  <c r="CU1255" i="5" s="1"/>
  <c r="IR673" i="5"/>
  <c r="O117" i="7" s="1"/>
  <c r="AB1699" i="2"/>
  <c r="IP950" i="5"/>
  <c r="AC1271" i="2" s="1"/>
  <c r="IY760" i="5"/>
  <c r="AF1066" i="2" s="1"/>
  <c r="IO763" i="5"/>
  <c r="IC919" i="5"/>
  <c r="IR919" i="5"/>
  <c r="IR921" i="5"/>
  <c r="IN922" i="5"/>
  <c r="EO1028" i="5"/>
  <c r="EO1027" i="5" s="1"/>
  <c r="EO1019" i="5" s="1"/>
  <c r="FI1028" i="5"/>
  <c r="FI1027" i="5" s="1"/>
  <c r="FI1019" i="5" s="1"/>
  <c r="FI1097" i="5" s="1"/>
  <c r="JE978" i="5"/>
  <c r="AH1303" i="2" s="1"/>
  <c r="JE809" i="5"/>
  <c r="AH1115" i="2" s="1"/>
  <c r="GI814" i="5"/>
  <c r="JH848" i="5"/>
  <c r="AI1154" i="2" s="1"/>
  <c r="IK770" i="5"/>
  <c r="JE996" i="5"/>
  <c r="AH1322" i="2" s="1"/>
  <c r="JF785" i="5"/>
  <c r="JG839" i="5"/>
  <c r="IJ13" i="5"/>
  <c r="Z1238" i="5"/>
  <c r="Z719" i="5"/>
  <c r="CE635" i="5"/>
  <c r="DT683" i="5"/>
  <c r="DT1255" i="5" s="1"/>
  <c r="CH803" i="5"/>
  <c r="CH1077" i="5" s="1"/>
  <c r="DB803" i="5"/>
  <c r="DB1077" i="5" s="1"/>
  <c r="DV803" i="5"/>
  <c r="DV1077" i="5" s="1"/>
  <c r="EP803" i="5"/>
  <c r="EP1077" i="5" s="1"/>
  <c r="FJ803" i="5"/>
  <c r="IB807" i="5"/>
  <c r="IQ807" i="5"/>
  <c r="IF809" i="5"/>
  <c r="IK811" i="5"/>
  <c r="FO814" i="5"/>
  <c r="W813" i="5"/>
  <c r="AQ813" i="5"/>
  <c r="AQ754" i="5" s="1"/>
  <c r="AQ932" i="5" s="1"/>
  <c r="BK813" i="5"/>
  <c r="BK1078" i="5" s="1"/>
  <c r="IO819" i="5"/>
  <c r="FA1079" i="5"/>
  <c r="DI1080" i="5"/>
  <c r="EW908" i="5"/>
  <c r="DI826" i="5"/>
  <c r="DI1081" i="5" s="1"/>
  <c r="EW826" i="5"/>
  <c r="EW1081" i="5" s="1"/>
  <c r="H1088" i="5"/>
  <c r="H907" i="5"/>
  <c r="H1086" i="5" s="1"/>
  <c r="AA1088" i="5"/>
  <c r="AA907" i="5"/>
  <c r="AA1086" i="5" s="1"/>
  <c r="AF1093" i="5"/>
  <c r="AF947" i="5"/>
  <c r="AF1092" i="5" s="1"/>
  <c r="FD1093" i="5"/>
  <c r="FD947" i="5"/>
  <c r="FD1092" i="5" s="1"/>
  <c r="CS608" i="5"/>
  <c r="DR570" i="5"/>
  <c r="CJ614" i="5"/>
  <c r="CJ1248" i="5" s="1"/>
  <c r="DD614" i="5"/>
  <c r="DD1248" i="5" s="1"/>
  <c r="IL618" i="5"/>
  <c r="I65" i="7" s="1"/>
  <c r="K65" i="7" s="1"/>
  <c r="IH638" i="5"/>
  <c r="CF635" i="5"/>
  <c r="DT635" i="5"/>
  <c r="D87" i="7"/>
  <c r="E87" i="7" s="1"/>
  <c r="IR644" i="5"/>
  <c r="O90" i="7" s="1"/>
  <c r="DY993" i="5"/>
  <c r="DF1168" i="5"/>
  <c r="IJ47" i="5"/>
  <c r="IJ59" i="5"/>
  <c r="IJ75" i="5"/>
  <c r="IJ161" i="5"/>
  <c r="CT608" i="5"/>
  <c r="DT570" i="5"/>
  <c r="CK614" i="5"/>
  <c r="CK1248" i="5" s="1"/>
  <c r="DE614" i="5"/>
  <c r="DE1248" i="5" s="1"/>
  <c r="K71" i="7"/>
  <c r="IL639" i="5"/>
  <c r="I86" i="7" s="1"/>
  <c r="K86" i="7" s="1"/>
  <c r="K88" i="7"/>
  <c r="IK649" i="5"/>
  <c r="G94" i="7" s="1"/>
  <c r="DU912" i="5"/>
  <c r="DU1088" i="5" s="1"/>
  <c r="DK1028" i="5"/>
  <c r="DK1027" i="5" s="1"/>
  <c r="DK1019" i="5" s="1"/>
  <c r="DK1097" i="5" s="1"/>
  <c r="DQ1187" i="5"/>
  <c r="DQ1183" i="5" s="1"/>
  <c r="JC1003" i="5"/>
  <c r="IR615" i="5"/>
  <c r="O62" i="7" s="1"/>
  <c r="DN614" i="5"/>
  <c r="DN1248" i="5" s="1"/>
  <c r="FG1093" i="5"/>
  <c r="FG947" i="5"/>
  <c r="FG1092" i="5" s="1"/>
  <c r="IE876" i="5"/>
  <c r="IO876" i="5"/>
  <c r="GU947" i="5"/>
  <c r="GL908" i="5"/>
  <c r="DP660" i="5"/>
  <c r="DP732" i="5" s="1"/>
  <c r="DP733" i="5"/>
  <c r="CR670" i="5"/>
  <c r="CR669" i="5" s="1"/>
  <c r="EF670" i="5"/>
  <c r="EF669" i="5" s="1"/>
  <c r="ET683" i="5"/>
  <c r="ET1255" i="5" s="1"/>
  <c r="JE807" i="5"/>
  <c r="AH1113" i="2" s="1"/>
  <c r="DR1080" i="5"/>
  <c r="FF908" i="5"/>
  <c r="FF1251" i="5" s="1"/>
  <c r="CP818" i="5"/>
  <c r="II819" i="5"/>
  <c r="DF1080" i="5"/>
  <c r="IK822" i="5"/>
  <c r="IQ822" i="5"/>
  <c r="IB823" i="5"/>
  <c r="IL823" i="5"/>
  <c r="IQ823" i="5"/>
  <c r="FI1239" i="5"/>
  <c r="IB824" i="5"/>
  <c r="IH824" i="5"/>
  <c r="IL824" i="5"/>
  <c r="IQ824" i="5"/>
  <c r="DD826" i="5"/>
  <c r="DD1081" i="5" s="1"/>
  <c r="FI826" i="5"/>
  <c r="FI1081" i="5" s="1"/>
  <c r="IN870" i="5"/>
  <c r="Y1698" i="2"/>
  <c r="Y1697" i="2" s="1"/>
  <c r="ID950" i="5"/>
  <c r="Y1271" i="2" s="1"/>
  <c r="ED993" i="5"/>
  <c r="DH1191" i="5"/>
  <c r="H38" i="7"/>
  <c r="E65" i="7"/>
  <c r="JE857" i="5"/>
  <c r="AH1163" i="2" s="1"/>
  <c r="AH1426" i="2" s="1"/>
  <c r="AH1515" i="2" s="1"/>
  <c r="JE897" i="5"/>
  <c r="AH1218" i="2" s="1"/>
  <c r="JE1037" i="5"/>
  <c r="AH1362" i="2" s="1"/>
  <c r="JE971" i="5"/>
  <c r="AH1293" i="2" s="1"/>
  <c r="GW994" i="5"/>
  <c r="CX670" i="5"/>
  <c r="CX669" i="5" s="1"/>
  <c r="DR670" i="5"/>
  <c r="DR669" i="5" s="1"/>
  <c r="E123" i="7"/>
  <c r="IL768" i="5"/>
  <c r="IH769" i="5"/>
  <c r="IH785" i="5"/>
  <c r="IW785" i="5"/>
  <c r="IL806" i="5"/>
  <c r="IB808" i="5"/>
  <c r="IQ808" i="5"/>
  <c r="IF810" i="5"/>
  <c r="IK812" i="5"/>
  <c r="BF813" i="5"/>
  <c r="BF1078" i="5" s="1"/>
  <c r="BZ813" i="5"/>
  <c r="CT818" i="5"/>
  <c r="CP908" i="5"/>
  <c r="CP1087" i="5" s="1"/>
  <c r="DJ1080" i="5"/>
  <c r="IC823" i="5"/>
  <c r="AE1740" i="2"/>
  <c r="AE1738" i="2" s="1"/>
  <c r="IY1011" i="5"/>
  <c r="AF1337" i="2" s="1"/>
  <c r="AF1741" i="2" s="1"/>
  <c r="JE909" i="5"/>
  <c r="AH1230" i="2" s="1"/>
  <c r="AH1439" i="2" s="1"/>
  <c r="AH1528" i="2" s="1"/>
  <c r="JE922" i="5"/>
  <c r="AH1243" i="2" s="1"/>
  <c r="JE940" i="5"/>
  <c r="JE984" i="5"/>
  <c r="AH1310" i="2" s="1"/>
  <c r="JH896" i="5"/>
  <c r="AI1217" i="2" s="1"/>
  <c r="W552" i="5"/>
  <c r="W550" i="5" s="1"/>
  <c r="W716" i="5"/>
  <c r="DT553" i="5"/>
  <c r="EI553" i="5"/>
  <c r="IR563" i="5"/>
  <c r="O18" i="7" s="1"/>
  <c r="EJ599" i="5"/>
  <c r="DP614" i="5"/>
  <c r="DP1248" i="5" s="1"/>
  <c r="IR618" i="5"/>
  <c r="O65" i="7" s="1"/>
  <c r="IF682" i="5"/>
  <c r="CI696" i="5"/>
  <c r="CI695" i="5" s="1"/>
  <c r="CI1256" i="5" s="1"/>
  <c r="DW696" i="5"/>
  <c r="DW695" i="5" s="1"/>
  <c r="S813" i="5"/>
  <c r="S1078" i="5" s="1"/>
  <c r="AS813" i="5"/>
  <c r="KY813" i="5"/>
  <c r="KY1078" i="5" s="1"/>
  <c r="CU1079" i="5"/>
  <c r="DO1079" i="5"/>
  <c r="EI1079" i="5"/>
  <c r="CQ908" i="5"/>
  <c r="EE908" i="5"/>
  <c r="EY1240" i="5"/>
  <c r="FS908" i="5"/>
  <c r="AE1703" i="2"/>
  <c r="DK1096" i="5"/>
  <c r="GF1087" i="5"/>
  <c r="JH866" i="5"/>
  <c r="AI1185" i="2" s="1"/>
  <c r="DI614" i="5"/>
  <c r="DI1248" i="5" s="1"/>
  <c r="CW614" i="5"/>
  <c r="CW1248" i="5" s="1"/>
  <c r="DQ614" i="5"/>
  <c r="DQ1248" i="5" s="1"/>
  <c r="CJ696" i="5"/>
  <c r="CJ695" i="5" s="1"/>
  <c r="CJ1256" i="5" s="1"/>
  <c r="DD696" i="5"/>
  <c r="DD695" i="5" s="1"/>
  <c r="DD1256" i="5" s="1"/>
  <c r="DX696" i="5"/>
  <c r="DX695" i="5" s="1"/>
  <c r="ER696" i="5"/>
  <c r="ER695" i="5" s="1"/>
  <c r="DY803" i="5"/>
  <c r="DY1077" i="5" s="1"/>
  <c r="ES803" i="5"/>
  <c r="ES1077" i="5" s="1"/>
  <c r="IH806" i="5"/>
  <c r="IL808" i="5"/>
  <c r="EZ826" i="5"/>
  <c r="EZ1081" i="5" s="1"/>
  <c r="IF1038" i="5"/>
  <c r="IU1038" i="5"/>
  <c r="IJ11" i="5"/>
  <c r="IJ19" i="5"/>
  <c r="IJ39" i="5"/>
  <c r="IJ58" i="5"/>
  <c r="IJ63" i="5"/>
  <c r="IJ68" i="5"/>
  <c r="IJ106" i="5"/>
  <c r="IJ143" i="5"/>
  <c r="IJ191" i="5"/>
  <c r="IJ228" i="5"/>
  <c r="IJ266" i="5"/>
  <c r="CP608" i="5"/>
  <c r="K37" i="7"/>
  <c r="IF592" i="5"/>
  <c r="C43" i="7" s="1"/>
  <c r="E43" i="7" s="1"/>
  <c r="IK592" i="5"/>
  <c r="G43" i="7" s="1"/>
  <c r="H43" i="7" s="1"/>
  <c r="K588" i="5"/>
  <c r="IR637" i="5"/>
  <c r="O84" i="7" s="1"/>
  <c r="CK696" i="5"/>
  <c r="CK695" i="5" s="1"/>
  <c r="CK1256" i="5" s="1"/>
  <c r="DE696" i="5"/>
  <c r="DE695" i="5" s="1"/>
  <c r="DE1256" i="5" s="1"/>
  <c r="DY696" i="5"/>
  <c r="DY695" i="5" s="1"/>
  <c r="ES696" i="5"/>
  <c r="ES695" i="5" s="1"/>
  <c r="EW696" i="5"/>
  <c r="EW695" i="5" s="1"/>
  <c r="EW1256" i="5" s="1"/>
  <c r="II699" i="5"/>
  <c r="II1213" i="5" s="1"/>
  <c r="AP1220" i="5"/>
  <c r="FG1247" i="5"/>
  <c r="IC1027" i="5"/>
  <c r="JB1030" i="5"/>
  <c r="AG1355" i="2" s="1"/>
  <c r="ID1035" i="5"/>
  <c r="Y1360" i="2" s="1"/>
  <c r="X1661" i="2" s="1"/>
  <c r="CZ1184" i="5"/>
  <c r="H108" i="7"/>
  <c r="JG800" i="5"/>
  <c r="JH842" i="5"/>
  <c r="AI1148" i="2" s="1"/>
  <c r="IF812" i="5"/>
  <c r="IU812" i="5"/>
  <c r="CP814" i="5"/>
  <c r="DJ814" i="5"/>
  <c r="ED814" i="5"/>
  <c r="EX814" i="5"/>
  <c r="F813" i="5"/>
  <c r="Z813" i="5"/>
  <c r="Z1078" i="5" s="1"/>
  <c r="AT813" i="5"/>
  <c r="AT1078" i="5" s="1"/>
  <c r="BN813" i="5"/>
  <c r="BN1078" i="5" s="1"/>
  <c r="JB966" i="5"/>
  <c r="AG1287" i="2" s="1"/>
  <c r="FU993" i="5"/>
  <c r="FU1096" i="5" s="1"/>
  <c r="CT1187" i="5"/>
  <c r="CT1183" i="5" s="1"/>
  <c r="DM1187" i="5"/>
  <c r="DM1183" i="5" s="1"/>
  <c r="DC1191" i="5"/>
  <c r="E67" i="7"/>
  <c r="H101" i="7"/>
  <c r="H113" i="7"/>
  <c r="JE822" i="5"/>
  <c r="AH1128" i="2" s="1"/>
  <c r="JH956" i="5"/>
  <c r="AI1277" i="2" s="1"/>
  <c r="CS570" i="5"/>
  <c r="DN570" i="5"/>
  <c r="IK573" i="5"/>
  <c r="G27" i="7" s="1"/>
  <c r="IH615" i="5"/>
  <c r="D62" i="7" s="1"/>
  <c r="IL615" i="5"/>
  <c r="I62" i="7" s="1"/>
  <c r="K62" i="7" s="1"/>
  <c r="DK614" i="5"/>
  <c r="DK1248" i="5" s="1"/>
  <c r="E71" i="7"/>
  <c r="IJ642" i="5"/>
  <c r="AA848" i="2" s="1"/>
  <c r="CJ635" i="5"/>
  <c r="DD635" i="5"/>
  <c r="DH635" i="5"/>
  <c r="EB635" i="5"/>
  <c r="EB1252" i="5" s="1"/>
  <c r="EV635" i="5"/>
  <c r="EV1252" i="5" s="1"/>
  <c r="IL682" i="5"/>
  <c r="EL683" i="5"/>
  <c r="EL1255" i="5" s="1"/>
  <c r="IR693" i="5"/>
  <c r="O135" i="7" s="1"/>
  <c r="EM683" i="5"/>
  <c r="EM1255" i="5" s="1"/>
  <c r="CN696" i="5"/>
  <c r="CN695" i="5" s="1"/>
  <c r="CN1256" i="5" s="1"/>
  <c r="DH696" i="5"/>
  <c r="DH695" i="5" s="1"/>
  <c r="DH1256" i="5" s="1"/>
  <c r="EB696" i="5"/>
  <c r="EB695" i="5" s="1"/>
  <c r="EV696" i="5"/>
  <c r="EV695" i="5" s="1"/>
  <c r="EV681" i="5" s="1"/>
  <c r="EV1254" i="5" s="1"/>
  <c r="EF696" i="5"/>
  <c r="EF695" i="5" s="1"/>
  <c r="EF681" i="5" s="1"/>
  <c r="EF1254" i="5" s="1"/>
  <c r="IS952" i="5"/>
  <c r="AD1273" i="2" s="1"/>
  <c r="JB1016" i="5"/>
  <c r="AG1341" i="2" s="1"/>
  <c r="IF1018" i="5"/>
  <c r="CU1187" i="5"/>
  <c r="CU1183" i="5" s="1"/>
  <c r="CZ1187" i="5"/>
  <c r="CZ1183" i="5" s="1"/>
  <c r="DT1187" i="5"/>
  <c r="DT1183" i="5" s="1"/>
  <c r="DD1191" i="5"/>
  <c r="K101" i="7"/>
  <c r="K113" i="7"/>
  <c r="K123" i="7"/>
  <c r="H131" i="7"/>
  <c r="E134" i="7"/>
  <c r="JE927" i="5"/>
  <c r="JE1033" i="5"/>
  <c r="AH1359" i="2" s="1"/>
  <c r="JE1018" i="5"/>
  <c r="AH1343" i="2" s="1"/>
  <c r="JE1000" i="5"/>
  <c r="AH1326" i="2" s="1"/>
  <c r="JE965" i="5"/>
  <c r="AH1286" i="2" s="1"/>
  <c r="JE953" i="5"/>
  <c r="AH1274" i="2" s="1"/>
  <c r="JE845" i="5"/>
  <c r="AH1151" i="2" s="1"/>
  <c r="AH1419" i="2" s="1"/>
  <c r="AH1508" i="2" s="1"/>
  <c r="JE821" i="5"/>
  <c r="AH1127" i="2" s="1"/>
  <c r="GT814" i="5"/>
  <c r="JH861" i="5"/>
  <c r="AI1167" i="2" s="1"/>
  <c r="JH920" i="5"/>
  <c r="AI1241" i="2" s="1"/>
  <c r="JH981" i="5"/>
  <c r="AI1307" i="2" s="1"/>
  <c r="JF1003" i="5"/>
  <c r="AH1744" i="2" s="1"/>
  <c r="JF793" i="5"/>
  <c r="JB995" i="5"/>
  <c r="AG1321" i="2" s="1"/>
  <c r="DP993" i="5"/>
  <c r="DP1096" i="5" s="1"/>
  <c r="EJ993" i="5"/>
  <c r="EJ1096" i="5" s="1"/>
  <c r="CW1028" i="5"/>
  <c r="CW1027" i="5" s="1"/>
  <c r="DQ1028" i="5"/>
  <c r="DQ1027" i="5" s="1"/>
  <c r="DQ1019" i="5" s="1"/>
  <c r="FE1028" i="5"/>
  <c r="FE1027" i="5" s="1"/>
  <c r="CR1028" i="5"/>
  <c r="CR1027" i="5" s="1"/>
  <c r="CR1019" i="5" s="1"/>
  <c r="CR1097" i="5" s="1"/>
  <c r="FT1028" i="5"/>
  <c r="FT1027" i="5" s="1"/>
  <c r="FT1019" i="5" s="1"/>
  <c r="FT1097" i="5" s="1"/>
  <c r="DS1178" i="5"/>
  <c r="CW1187" i="5"/>
  <c r="CW1183" i="5" s="1"/>
  <c r="DO1187" i="5"/>
  <c r="DO1183" i="5" s="1"/>
  <c r="DF1191" i="5"/>
  <c r="H9" i="7"/>
  <c r="K58" i="7"/>
  <c r="E119" i="7"/>
  <c r="JE844" i="5"/>
  <c r="AH1150" i="2" s="1"/>
  <c r="JE804" i="5"/>
  <c r="AH1110" i="2" s="1"/>
  <c r="JH884" i="5"/>
  <c r="AI1205" i="2" s="1"/>
  <c r="JH962" i="5"/>
  <c r="AI1283" i="2" s="1"/>
  <c r="IE649" i="5"/>
  <c r="DK635" i="5"/>
  <c r="CP670" i="5"/>
  <c r="CP669" i="5" s="1"/>
  <c r="ED670" i="5"/>
  <c r="ED669" i="5" s="1"/>
  <c r="ED1253" i="5" s="1"/>
  <c r="JB770" i="5"/>
  <c r="AG1076" i="2" s="1"/>
  <c r="IE792" i="5"/>
  <c r="IN792" i="5"/>
  <c r="IT792" i="5"/>
  <c r="JB850" i="5"/>
  <c r="DF850" i="5"/>
  <c r="DF1082" i="5" s="1"/>
  <c r="DZ850" i="5"/>
  <c r="DZ1082" i="5" s="1"/>
  <c r="DM850" i="5"/>
  <c r="DM1082" i="5" s="1"/>
  <c r="FE993" i="5"/>
  <c r="DM1028" i="5"/>
  <c r="DM1027" i="5" s="1"/>
  <c r="DM1019" i="5" s="1"/>
  <c r="DM1097" i="5" s="1"/>
  <c r="FU1028" i="5"/>
  <c r="FU1027" i="5" s="1"/>
  <c r="DO1178" i="5"/>
  <c r="DT1178" i="5"/>
  <c r="DE1184" i="5"/>
  <c r="DL1184" i="5"/>
  <c r="CX1187" i="5"/>
  <c r="CX1183" i="5" s="1"/>
  <c r="DP1187" i="5"/>
  <c r="DP1183" i="5" s="1"/>
  <c r="DG1191" i="5"/>
  <c r="DM1191" i="5"/>
  <c r="E111" i="7"/>
  <c r="GL948" i="5"/>
  <c r="GL947" i="5" s="1"/>
  <c r="JH863" i="5"/>
  <c r="AI1169" i="2" s="1"/>
  <c r="JH953" i="5"/>
  <c r="AI1274" i="2" s="1"/>
  <c r="JH958" i="5"/>
  <c r="AI1279" i="2" s="1"/>
  <c r="JH963" i="5"/>
  <c r="AI1284" i="2" s="1"/>
  <c r="GW908" i="5"/>
  <c r="FK1247" i="5"/>
  <c r="FK1242" i="5" s="1"/>
  <c r="JB883" i="5"/>
  <c r="AG1204" i="2" s="1"/>
  <c r="AG1430" i="2" s="1"/>
  <c r="AG1519" i="2" s="1"/>
  <c r="FB1247" i="5"/>
  <c r="CK993" i="5"/>
  <c r="CY1168" i="5"/>
  <c r="CT1178" i="5"/>
  <c r="CW1191" i="5"/>
  <c r="GZ947" i="5"/>
  <c r="JF788" i="5"/>
  <c r="JH823" i="5"/>
  <c r="AI1129" i="2" s="1"/>
  <c r="IK792" i="5"/>
  <c r="IK793" i="5"/>
  <c r="IH798" i="5"/>
  <c r="IW798" i="5"/>
  <c r="IC799" i="5"/>
  <c r="IR799" i="5"/>
  <c r="IN800" i="5"/>
  <c r="II801" i="5"/>
  <c r="IX801" i="5"/>
  <c r="DS1079" i="5"/>
  <c r="FG1239" i="5"/>
  <c r="IQ877" i="5"/>
  <c r="FL1247" i="5"/>
  <c r="FL1242" i="5" s="1"/>
  <c r="IM878" i="5"/>
  <c r="AB1199" i="2" s="1"/>
  <c r="AB697" i="2" s="1"/>
  <c r="DO850" i="5"/>
  <c r="DO1082" i="5" s="1"/>
  <c r="EI850" i="5"/>
  <c r="EI1082" i="5" s="1"/>
  <c r="FC1247" i="5"/>
  <c r="IF903" i="5"/>
  <c r="E6" i="7"/>
  <c r="E76" i="7"/>
  <c r="H100" i="7"/>
  <c r="E104" i="7"/>
  <c r="H128" i="7"/>
  <c r="JE1026" i="5"/>
  <c r="AH1351" i="2" s="1"/>
  <c r="JE992" i="5"/>
  <c r="AH1318" i="2" s="1"/>
  <c r="JE960" i="5"/>
  <c r="AH1281" i="2" s="1"/>
  <c r="GY947" i="5"/>
  <c r="JE790" i="5"/>
  <c r="AH1096" i="2" s="1"/>
  <c r="GK908" i="5"/>
  <c r="JH991" i="5"/>
  <c r="AI1317" i="2" s="1"/>
  <c r="IJ62" i="5"/>
  <c r="IJ124" i="5"/>
  <c r="IJ174" i="5"/>
  <c r="IJ190" i="5"/>
  <c r="IJ227" i="5"/>
  <c r="IJ272" i="5"/>
  <c r="CM608" i="5"/>
  <c r="DG608" i="5"/>
  <c r="DG606" i="5" s="1"/>
  <c r="EU608" i="5"/>
  <c r="AV588" i="5"/>
  <c r="IF680" i="5"/>
  <c r="C124" i="7" s="1"/>
  <c r="K131" i="7"/>
  <c r="IQ772" i="5"/>
  <c r="IH777" i="5"/>
  <c r="IK785" i="5"/>
  <c r="IU785" i="5"/>
  <c r="IQ786" i="5"/>
  <c r="IB787" i="5"/>
  <c r="IW789" i="5"/>
  <c r="DB850" i="5"/>
  <c r="DB1082" i="5" s="1"/>
  <c r="FJ850" i="5"/>
  <c r="FJ1082" i="5" s="1"/>
  <c r="K128" i="7"/>
  <c r="GT1019" i="5"/>
  <c r="GT1253" i="5" s="1"/>
  <c r="JC903" i="5"/>
  <c r="CW560" i="5"/>
  <c r="IK561" i="5"/>
  <c r="G16" i="7" s="1"/>
  <c r="EK560" i="5"/>
  <c r="CF560" i="5"/>
  <c r="CZ560" i="5"/>
  <c r="IK562" i="5"/>
  <c r="G17" i="7" s="1"/>
  <c r="EN560" i="5"/>
  <c r="CN608" i="5"/>
  <c r="EX577" i="5"/>
  <c r="EX576" i="5" s="1"/>
  <c r="EX1238" i="5" s="1"/>
  <c r="DE577" i="5"/>
  <c r="DE1239" i="5" s="1"/>
  <c r="IL579" i="5"/>
  <c r="I31" i="7" s="1"/>
  <c r="K31" i="7" s="1"/>
  <c r="ES577" i="5"/>
  <c r="ES1239" i="5" s="1"/>
  <c r="DS628" i="5"/>
  <c r="II637" i="5"/>
  <c r="F84" i="7" s="1"/>
  <c r="IF794" i="5"/>
  <c r="IU794" i="5"/>
  <c r="IC798" i="5"/>
  <c r="IR798" i="5"/>
  <c r="IE801" i="5"/>
  <c r="IF851" i="5"/>
  <c r="DS850" i="5"/>
  <c r="DS1082" i="5" s="1"/>
  <c r="JB983" i="5"/>
  <c r="AG1309" i="2" s="1"/>
  <c r="IP985" i="5"/>
  <c r="IP1094" i="5" s="1"/>
  <c r="EW993" i="5"/>
  <c r="EW1096" i="5" s="1"/>
  <c r="CR1175" i="5"/>
  <c r="CY1184" i="5"/>
  <c r="JE919" i="5"/>
  <c r="AH1240" i="2" s="1"/>
  <c r="JE936" i="5"/>
  <c r="JH1018" i="5"/>
  <c r="AI1343" i="2" s="1"/>
  <c r="JH1016" i="5"/>
  <c r="AI1341" i="2" s="1"/>
  <c r="DK733" i="5"/>
  <c r="DK660" i="5"/>
  <c r="DK732" i="5" s="1"/>
  <c r="I1253" i="5"/>
  <c r="I739" i="5"/>
  <c r="AB1253" i="5"/>
  <c r="AB739" i="5"/>
  <c r="BK1253" i="5"/>
  <c r="BK739" i="5"/>
  <c r="D136" i="7"/>
  <c r="E136" i="7" s="1"/>
  <c r="IJ694" i="5"/>
  <c r="AA914" i="2" s="1"/>
  <c r="AL1076" i="5"/>
  <c r="JH1035" i="5"/>
  <c r="AI1360" i="2" s="1"/>
  <c r="AN1249" i="5"/>
  <c r="AN726" i="5"/>
  <c r="AC1253" i="5"/>
  <c r="AC739" i="5"/>
  <c r="AI1698" i="2"/>
  <c r="IR616" i="5"/>
  <c r="O63" i="7" s="1"/>
  <c r="II617" i="5"/>
  <c r="F64" i="7" s="1"/>
  <c r="AO1249" i="5"/>
  <c r="AO588" i="5"/>
  <c r="BH1249" i="5"/>
  <c r="BH726" i="5"/>
  <c r="BH588" i="5"/>
  <c r="BH658" i="5" s="1"/>
  <c r="CK1250" i="5"/>
  <c r="CZ685" i="5"/>
  <c r="IF646" i="5"/>
  <c r="C92" i="7" s="1"/>
  <c r="CS733" i="5"/>
  <c r="CS660" i="5"/>
  <c r="CS732" i="5" s="1"/>
  <c r="U1076" i="5"/>
  <c r="AT1077" i="5"/>
  <c r="BK1077" i="5"/>
  <c r="EO1093" i="5"/>
  <c r="EO947" i="5"/>
  <c r="EO1092" i="5" s="1"/>
  <c r="IQ948" i="5"/>
  <c r="AC1687" i="2" s="1"/>
  <c r="FI1093" i="5"/>
  <c r="FI947" i="5"/>
  <c r="FI1092" i="5" s="1"/>
  <c r="AD1699" i="2"/>
  <c r="AD1697" i="2" s="1"/>
  <c r="AD1811" i="2" s="1"/>
  <c r="IT948" i="5"/>
  <c r="JF912" i="5"/>
  <c r="U1249" i="5"/>
  <c r="U726" i="5"/>
  <c r="CR733" i="5"/>
  <c r="CR660" i="5"/>
  <c r="CR732" i="5" s="1"/>
  <c r="BE1242" i="5"/>
  <c r="BE588" i="5"/>
  <c r="BE653" i="5"/>
  <c r="BE652" i="5"/>
  <c r="BE724" i="5"/>
  <c r="BE654" i="5"/>
  <c r="G59" i="7"/>
  <c r="H59" i="7" s="1"/>
  <c r="IL610" i="5"/>
  <c r="I59" i="7" s="1"/>
  <c r="IE617" i="5"/>
  <c r="Z1048" i="2" s="1"/>
  <c r="CQ614" i="5"/>
  <c r="CQ1248" i="5" s="1"/>
  <c r="W1249" i="5"/>
  <c r="W726" i="5"/>
  <c r="DQ685" i="5"/>
  <c r="DQ683" i="5" s="1"/>
  <c r="DQ1255" i="5" s="1"/>
  <c r="DQ635" i="5"/>
  <c r="N123" i="7"/>
  <c r="IS679" i="5"/>
  <c r="P123" i="7" s="1"/>
  <c r="DC743" i="5"/>
  <c r="DC683" i="5"/>
  <c r="DC1255" i="5" s="1"/>
  <c r="CX683" i="5"/>
  <c r="CX1255" i="5" s="1"/>
  <c r="IG686" i="5"/>
  <c r="IF686" i="5"/>
  <c r="C130" i="7" s="1"/>
  <c r="N134" i="7"/>
  <c r="IS692" i="5"/>
  <c r="P134" i="7" s="1"/>
  <c r="CR696" i="5"/>
  <c r="CR695" i="5" s="1"/>
  <c r="CR1256" i="5" s="1"/>
  <c r="IG698" i="5"/>
  <c r="AV739" i="5"/>
  <c r="BF724" i="5"/>
  <c r="BG1249" i="5"/>
  <c r="BG726" i="5"/>
  <c r="IE661" i="5"/>
  <c r="IE660" i="5" s="1"/>
  <c r="IE732" i="5" s="1"/>
  <c r="AP1242" i="5"/>
  <c r="AP724" i="5"/>
  <c r="AP588" i="5"/>
  <c r="AP652" i="5"/>
  <c r="AP653" i="5"/>
  <c r="AP654" i="5"/>
  <c r="AR588" i="5"/>
  <c r="AR1249" i="5"/>
  <c r="AR726" i="5"/>
  <c r="BK1249" i="5"/>
  <c r="BK726" i="5"/>
  <c r="CD588" i="5"/>
  <c r="CD1241" i="5" s="1"/>
  <c r="CD1249" i="5"/>
  <c r="CD726" i="5"/>
  <c r="CZ635" i="5"/>
  <c r="G88" i="7"/>
  <c r="H88" i="7" s="1"/>
  <c r="IM642" i="5"/>
  <c r="CL635" i="5"/>
  <c r="DZ635" i="5"/>
  <c r="DZ1252" i="5" s="1"/>
  <c r="ET635" i="5"/>
  <c r="ET1252" i="5" s="1"/>
  <c r="FP1248" i="5"/>
  <c r="IW903" i="5"/>
  <c r="FP850" i="5"/>
  <c r="FP1082" i="5" s="1"/>
  <c r="CI1019" i="5"/>
  <c r="IB1027" i="5"/>
  <c r="BZ588" i="5"/>
  <c r="BZ1241" i="5" s="1"/>
  <c r="BZ1249" i="5"/>
  <c r="BZ726" i="5"/>
  <c r="IR647" i="5"/>
  <c r="O93" i="7" s="1"/>
  <c r="EW635" i="5"/>
  <c r="EW1252" i="5" s="1"/>
  <c r="DL733" i="5"/>
  <c r="DL660" i="5"/>
  <c r="DL732" i="5" s="1"/>
  <c r="J739" i="5"/>
  <c r="J1253" i="5"/>
  <c r="T1097" i="5"/>
  <c r="T987" i="5"/>
  <c r="T1095" i="5" s="1"/>
  <c r="CP614" i="5"/>
  <c r="CP1248" i="5" s="1"/>
  <c r="EX614" i="5"/>
  <c r="EX1248" i="5" s="1"/>
  <c r="ER635" i="5"/>
  <c r="ER1252" i="5" s="1"/>
  <c r="O37" i="7"/>
  <c r="IS586" i="5"/>
  <c r="P37" i="7" s="1"/>
  <c r="CL721" i="5"/>
  <c r="CL576" i="5"/>
  <c r="CL1238" i="5" s="1"/>
  <c r="DR721" i="5"/>
  <c r="DR628" i="5"/>
  <c r="DR1251" i="5" s="1"/>
  <c r="DR1240" i="5"/>
  <c r="EV582" i="5"/>
  <c r="IR583" i="5"/>
  <c r="O34" i="7" s="1"/>
  <c r="CL614" i="5"/>
  <c r="CL1248" i="5" s="1"/>
  <c r="DF614" i="5"/>
  <c r="DF1248" i="5" s="1"/>
  <c r="DZ614" i="5"/>
  <c r="DZ1248" i="5" s="1"/>
  <c r="II616" i="5"/>
  <c r="F63" i="7" s="1"/>
  <c r="DJ614" i="5"/>
  <c r="DJ1248" i="5" s="1"/>
  <c r="ED614" i="5"/>
  <c r="ED1248" i="5" s="1"/>
  <c r="G588" i="5"/>
  <c r="G1249" i="5"/>
  <c r="G726" i="5"/>
  <c r="Y726" i="5"/>
  <c r="Y588" i="5"/>
  <c r="DX635" i="5"/>
  <c r="DX1252" i="5" s="1"/>
  <c r="DC635" i="5"/>
  <c r="DC1252" i="5" s="1"/>
  <c r="IH637" i="5"/>
  <c r="D84" i="7" s="1"/>
  <c r="E84" i="7" s="1"/>
  <c r="CM635" i="5"/>
  <c r="DG635" i="5"/>
  <c r="EA635" i="5"/>
  <c r="EA1252" i="5" s="1"/>
  <c r="EU635" i="5"/>
  <c r="EU1252" i="5" s="1"/>
  <c r="EE635" i="5"/>
  <c r="EE1252" i="5" s="1"/>
  <c r="DW1093" i="5"/>
  <c r="DW947" i="5"/>
  <c r="DW1092" i="5" s="1"/>
  <c r="JH824" i="5"/>
  <c r="AI1130" i="2" s="1"/>
  <c r="CJ631" i="5"/>
  <c r="CH631" i="5"/>
  <c r="CH582" i="5"/>
  <c r="CH628" i="5" s="1"/>
  <c r="AR1242" i="5"/>
  <c r="AR724" i="5"/>
  <c r="CE1246" i="5"/>
  <c r="CE599" i="5"/>
  <c r="CY1246" i="5"/>
  <c r="IF603" i="5"/>
  <c r="C53" i="7" s="1"/>
  <c r="EK599" i="5"/>
  <c r="EK1246" i="5"/>
  <c r="U1093" i="5"/>
  <c r="U947" i="5"/>
  <c r="U1092" i="5" s="1"/>
  <c r="DO993" i="5"/>
  <c r="IK1003" i="5"/>
  <c r="IT1003" i="5"/>
  <c r="FC993" i="5"/>
  <c r="FC1096" i="5" s="1"/>
  <c r="JA832" i="5"/>
  <c r="JB832" i="5" s="1"/>
  <c r="AG1138" i="2" s="1"/>
  <c r="EK1028" i="5"/>
  <c r="EK1027" i="5" s="1"/>
  <c r="EK1019" i="5" s="1"/>
  <c r="IO1029" i="5"/>
  <c r="EF1028" i="5"/>
  <c r="EF1027" i="5" s="1"/>
  <c r="EF1019" i="5" s="1"/>
  <c r="EF1097" i="5" s="1"/>
  <c r="IN1035" i="5"/>
  <c r="CJ721" i="5"/>
  <c r="EI628" i="5"/>
  <c r="EI1251" i="5" s="1"/>
  <c r="I48" i="7"/>
  <c r="IM597" i="5"/>
  <c r="IQ566" i="5"/>
  <c r="N21" i="7" s="1"/>
  <c r="BX1237" i="5"/>
  <c r="BX717" i="5"/>
  <c r="CH570" i="5"/>
  <c r="CH1237" i="5" s="1"/>
  <c r="DB570" i="5"/>
  <c r="EP570" i="5"/>
  <c r="EP1237" i="5" s="1"/>
  <c r="EM570" i="5"/>
  <c r="EM1237" i="5" s="1"/>
  <c r="EM613" i="5"/>
  <c r="DZ1245" i="5"/>
  <c r="DZ599" i="5"/>
  <c r="IL600" i="5"/>
  <c r="I51" i="7" s="1"/>
  <c r="K51" i="7" s="1"/>
  <c r="FF1247" i="5"/>
  <c r="EX612" i="5"/>
  <c r="EX570" i="5"/>
  <c r="EX1237" i="5" s="1"/>
  <c r="ES1245" i="5"/>
  <c r="IR600" i="5"/>
  <c r="O51" i="7" s="1"/>
  <c r="ES599" i="5"/>
  <c r="DU1246" i="5"/>
  <c r="DU599" i="5"/>
  <c r="FA1248" i="5"/>
  <c r="FA850" i="5"/>
  <c r="FA1082" i="5" s="1"/>
  <c r="CJ1240" i="5"/>
  <c r="BY1237" i="5"/>
  <c r="BY717" i="5"/>
  <c r="CP1239" i="5"/>
  <c r="CP720" i="5"/>
  <c r="CQ628" i="5"/>
  <c r="CQ1240" i="5"/>
  <c r="CQ721" i="5"/>
  <c r="LB721" i="5"/>
  <c r="LB576" i="5"/>
  <c r="LB719" i="5" s="1"/>
  <c r="AE1242" i="5"/>
  <c r="AE724" i="5"/>
  <c r="AE588" i="5"/>
  <c r="AE723" i="5" s="1"/>
  <c r="IH877" i="5"/>
  <c r="IE885" i="5"/>
  <c r="IE886" i="5" s="1"/>
  <c r="DN850" i="5"/>
  <c r="DN1082" i="5" s="1"/>
  <c r="II885" i="5"/>
  <c r="II886" i="5" s="1"/>
  <c r="FV850" i="5"/>
  <c r="FV1082" i="5" s="1"/>
  <c r="FV1247" i="5"/>
  <c r="IB901" i="5"/>
  <c r="IQ901" i="5"/>
  <c r="IK903" i="5"/>
  <c r="IT920" i="5"/>
  <c r="EY912" i="5"/>
  <c r="EY1088" i="5" s="1"/>
  <c r="IX920" i="5"/>
  <c r="FS912" i="5"/>
  <c r="G1093" i="5"/>
  <c r="G947" i="5"/>
  <c r="CL1019" i="5"/>
  <c r="Y1787" i="2"/>
  <c r="Y1785" i="2" s="1"/>
  <c r="CV1178" i="5"/>
  <c r="IG1189" i="5"/>
  <c r="DB1187" i="5"/>
  <c r="H1238" i="5"/>
  <c r="CG582" i="5"/>
  <c r="E653" i="5"/>
  <c r="E1232" i="5"/>
  <c r="E715" i="5"/>
  <c r="E652" i="5"/>
  <c r="ID1192" i="5"/>
  <c r="D1799" i="2"/>
  <c r="IH557" i="5"/>
  <c r="IR557" i="5"/>
  <c r="O12" i="7" s="1"/>
  <c r="CK1235" i="5"/>
  <c r="CK560" i="5"/>
  <c r="DB1235" i="5"/>
  <c r="DB560" i="5"/>
  <c r="IF558" i="5"/>
  <c r="C13" i="7" s="1"/>
  <c r="DB553" i="5"/>
  <c r="DS1235" i="5"/>
  <c r="DS560" i="5"/>
  <c r="EH1235" i="5"/>
  <c r="EH560" i="5"/>
  <c r="IQ561" i="5"/>
  <c r="N16" i="7" s="1"/>
  <c r="EM560" i="5"/>
  <c r="DT1240" i="5"/>
  <c r="DT721" i="5"/>
  <c r="DT628" i="5"/>
  <c r="CL1235" i="5"/>
  <c r="CL553" i="5"/>
  <c r="DT1235" i="5"/>
  <c r="DT560" i="5"/>
  <c r="KZ720" i="5"/>
  <c r="KZ576" i="5"/>
  <c r="KZ719" i="5" s="1"/>
  <c r="DD1240" i="5"/>
  <c r="DD721" i="5"/>
  <c r="DD628" i="5"/>
  <c r="IQ851" i="5"/>
  <c r="EM850" i="5"/>
  <c r="EM1082" i="5" s="1"/>
  <c r="E654" i="5"/>
  <c r="CX1234" i="5"/>
  <c r="CX553" i="5"/>
  <c r="DI555" i="5"/>
  <c r="DI1234" i="5" s="1"/>
  <c r="II556" i="5"/>
  <c r="F11" i="7" s="1"/>
  <c r="E850" i="5"/>
  <c r="DR850" i="5"/>
  <c r="DR1082" i="5" s="1"/>
  <c r="DI1184" i="5"/>
  <c r="IX903" i="5"/>
  <c r="DA570" i="5"/>
  <c r="IE556" i="5"/>
  <c r="CQ608" i="5"/>
  <c r="DJ1234" i="5"/>
  <c r="DJ553" i="5"/>
  <c r="BV1253" i="5"/>
  <c r="BV739" i="5"/>
  <c r="EL670" i="5"/>
  <c r="EL669" i="5" s="1"/>
  <c r="EL628" i="5"/>
  <c r="EL1251" i="5" s="1"/>
  <c r="AZ550" i="5"/>
  <c r="AZ714" i="5" s="1"/>
  <c r="ET1234" i="5"/>
  <c r="ET553" i="5"/>
  <c r="AQ1253" i="5"/>
  <c r="AQ739" i="5"/>
  <c r="BW1253" i="5"/>
  <c r="BW739" i="5"/>
  <c r="DB755" i="5"/>
  <c r="IF756" i="5"/>
  <c r="IF805" i="5"/>
  <c r="CX803" i="5"/>
  <c r="CX1077" i="5" s="1"/>
  <c r="FV803" i="5"/>
  <c r="IX809" i="5"/>
  <c r="IL815" i="5"/>
  <c r="DX814" i="5"/>
  <c r="CX908" i="5"/>
  <c r="IF817" i="5"/>
  <c r="CX1080" i="5"/>
  <c r="EL908" i="5"/>
  <c r="EL814" i="5"/>
  <c r="IN819" i="5"/>
  <c r="FR1079" i="5"/>
  <c r="FR1239" i="5"/>
  <c r="CL908" i="5"/>
  <c r="CL1080" i="5"/>
  <c r="IC820" i="5"/>
  <c r="DZ908" i="5"/>
  <c r="DZ1087" i="5" s="1"/>
  <c r="DZ1080" i="5"/>
  <c r="ET908" i="5"/>
  <c r="ET1080" i="5"/>
  <c r="FN908" i="5"/>
  <c r="IW820" i="5"/>
  <c r="FK1240" i="5"/>
  <c r="IW824" i="5"/>
  <c r="AZ652" i="5"/>
  <c r="CJ1184" i="5"/>
  <c r="EU685" i="5"/>
  <c r="IR685" i="5" s="1"/>
  <c r="O129" i="7" s="1"/>
  <c r="IR646" i="5"/>
  <c r="IQ649" i="5"/>
  <c r="N94" i="7" s="1"/>
  <c r="N95" i="7"/>
  <c r="IS650" i="5"/>
  <c r="P95" i="7" s="1"/>
  <c r="O96" i="7"/>
  <c r="Y1253" i="5"/>
  <c r="Y739" i="5"/>
  <c r="AR1253" i="5"/>
  <c r="AR739" i="5"/>
  <c r="BH1253" i="5"/>
  <c r="BH739" i="5"/>
  <c r="EQ826" i="5"/>
  <c r="EQ1081" i="5" s="1"/>
  <c r="IQ843" i="5"/>
  <c r="IB845" i="5"/>
  <c r="CF826" i="5"/>
  <c r="DT826" i="5"/>
  <c r="DT1081" i="5" s="1"/>
  <c r="IK845" i="5"/>
  <c r="EN826" i="5"/>
  <c r="EN1081" i="5" s="1"/>
  <c r="IQ845" i="5"/>
  <c r="FH826" i="5"/>
  <c r="IU845" i="5"/>
  <c r="AZ715" i="5"/>
  <c r="IB1028" i="5"/>
  <c r="BB1242" i="5"/>
  <c r="BB724" i="5"/>
  <c r="BB588" i="5"/>
  <c r="ED685" i="5"/>
  <c r="ED683" i="5" s="1"/>
  <c r="ED1255" i="5" s="1"/>
  <c r="ED635" i="5"/>
  <c r="ED1252" i="5" s="1"/>
  <c r="DI733" i="5"/>
  <c r="DI660" i="5"/>
  <c r="DI732" i="5" s="1"/>
  <c r="H1253" i="5"/>
  <c r="H739" i="5"/>
  <c r="Z1253" i="5"/>
  <c r="Z739" i="5"/>
  <c r="AS1253" i="5"/>
  <c r="AS739" i="5"/>
  <c r="BI1253" i="5"/>
  <c r="BI739" i="5"/>
  <c r="BX1253" i="5"/>
  <c r="BX739" i="5"/>
  <c r="IL804" i="5"/>
  <c r="DU803" i="5"/>
  <c r="IC815" i="5"/>
  <c r="CL814" i="5"/>
  <c r="CL1079" i="5"/>
  <c r="EZ1239" i="5"/>
  <c r="EZ1079" i="5"/>
  <c r="FT1079" i="5"/>
  <c r="CN1080" i="5"/>
  <c r="CN908" i="5"/>
  <c r="CN1087" i="5" s="1"/>
  <c r="EB908" i="5"/>
  <c r="EB1087" i="5" s="1"/>
  <c r="EB1080" i="5"/>
  <c r="EV1080" i="5"/>
  <c r="EV908" i="5"/>
  <c r="EV1087" i="5" s="1"/>
  <c r="FP908" i="5"/>
  <c r="IT903" i="5"/>
  <c r="CY850" i="5"/>
  <c r="CY1082" i="5" s="1"/>
  <c r="DJ733" i="5"/>
  <c r="DJ660" i="5"/>
  <c r="DJ732" i="5" s="1"/>
  <c r="AA1253" i="5"/>
  <c r="AA739" i="5"/>
  <c r="EA1079" i="5"/>
  <c r="EA814" i="5"/>
  <c r="IN815" i="5"/>
  <c r="CG908" i="5"/>
  <c r="CG1087" i="5" s="1"/>
  <c r="CG814" i="5"/>
  <c r="DA908" i="5"/>
  <c r="DA814" i="5"/>
  <c r="DU1080" i="5"/>
  <c r="DU908" i="5"/>
  <c r="DU814" i="5"/>
  <c r="DM1079" i="5"/>
  <c r="CO908" i="5"/>
  <c r="CO1087" i="5" s="1"/>
  <c r="CO818" i="5"/>
  <c r="EC908" i="5"/>
  <c r="EC1087" i="5" s="1"/>
  <c r="EC1080" i="5"/>
  <c r="FQ908" i="5"/>
  <c r="DH1234" i="5"/>
  <c r="EQ555" i="5"/>
  <c r="IQ556" i="5"/>
  <c r="N11" i="7" s="1"/>
  <c r="IF559" i="5"/>
  <c r="C14" i="7" s="1"/>
  <c r="DR560" i="5"/>
  <c r="CG560" i="5"/>
  <c r="IL562" i="5"/>
  <c r="I17" i="7" s="1"/>
  <c r="K17" i="7" s="1"/>
  <c r="IH563" i="5"/>
  <c r="IQ639" i="5"/>
  <c r="IR643" i="5"/>
  <c r="O89" i="7" s="1"/>
  <c r="IB804" i="5"/>
  <c r="CZ803" i="5"/>
  <c r="CZ1077" i="5" s="1"/>
  <c r="EN803" i="5"/>
  <c r="CE803" i="5"/>
  <c r="IB805" i="5"/>
  <c r="DS803" i="5"/>
  <c r="DS1077" i="5" s="1"/>
  <c r="FF803" i="5"/>
  <c r="IF807" i="5"/>
  <c r="DQ803" i="5"/>
  <c r="DQ1077" i="5" s="1"/>
  <c r="IE811" i="5"/>
  <c r="IT811" i="5"/>
  <c r="IT812" i="5"/>
  <c r="IX812" i="5"/>
  <c r="IH815" i="5"/>
  <c r="CE1080" i="5"/>
  <c r="CE908" i="5"/>
  <c r="CE1087" i="5" s="1"/>
  <c r="IQ817" i="5"/>
  <c r="CM1080" i="5"/>
  <c r="CM908" i="5"/>
  <c r="CM1087" i="5" s="1"/>
  <c r="CM818" i="5"/>
  <c r="CV1187" i="5"/>
  <c r="CV1183" i="5" s="1"/>
  <c r="Y1795" i="2"/>
  <c r="Y1794" i="2" s="1"/>
  <c r="K40" i="7"/>
  <c r="H67" i="7"/>
  <c r="JD961" i="5"/>
  <c r="EC555" i="5"/>
  <c r="EC1234" i="5" s="1"/>
  <c r="EC608" i="5"/>
  <c r="EC606" i="5" s="1"/>
  <c r="EC1247" i="5" s="1"/>
  <c r="ER560" i="5"/>
  <c r="DC1246" i="5"/>
  <c r="DC599" i="5"/>
  <c r="CN614" i="5"/>
  <c r="CN1248" i="5" s="1"/>
  <c r="DH614" i="5"/>
  <c r="DH1248" i="5" s="1"/>
  <c r="EB614" i="5"/>
  <c r="EB1248" i="5" s="1"/>
  <c r="DL614" i="5"/>
  <c r="DL1248" i="5" s="1"/>
  <c r="EF614" i="5"/>
  <c r="EF1248" i="5" s="1"/>
  <c r="DE635" i="5"/>
  <c r="DY635" i="5"/>
  <c r="DY1252" i="5" s="1"/>
  <c r="ES635" i="5"/>
  <c r="ES1252" i="5" s="1"/>
  <c r="CH1080" i="5"/>
  <c r="CH814" i="5"/>
  <c r="DV814" i="5"/>
  <c r="DV908" i="5"/>
  <c r="EX908" i="5"/>
  <c r="EX1080" i="5"/>
  <c r="CY1187" i="5"/>
  <c r="CY1183" i="5" s="1"/>
  <c r="AD552" i="5"/>
  <c r="AD550" i="5" s="1"/>
  <c r="AD1233" i="5"/>
  <c r="DL555" i="5"/>
  <c r="DL1234" i="5" s="1"/>
  <c r="DL608" i="5"/>
  <c r="DL606" i="5" s="1"/>
  <c r="DL1247" i="5" s="1"/>
  <c r="DV1235" i="5"/>
  <c r="DV560" i="5"/>
  <c r="DD1246" i="5"/>
  <c r="DD599" i="5"/>
  <c r="EM1246" i="5"/>
  <c r="CO614" i="5"/>
  <c r="CO1248" i="5" s="1"/>
  <c r="EC614" i="5"/>
  <c r="EC1248" i="5" s="1"/>
  <c r="CS614" i="5"/>
  <c r="CS1248" i="5" s="1"/>
  <c r="II671" i="5"/>
  <c r="F116" i="7" s="1"/>
  <c r="DI670" i="5"/>
  <c r="DI669" i="5" s="1"/>
  <c r="DI1253" i="5" s="1"/>
  <c r="DH670" i="5"/>
  <c r="DH669" i="5" s="1"/>
  <c r="IH676" i="5"/>
  <c r="D120" i="7" s="1"/>
  <c r="FL803" i="5"/>
  <c r="IL807" i="5"/>
  <c r="II869" i="5"/>
  <c r="IE870" i="5"/>
  <c r="K987" i="5"/>
  <c r="K1095" i="5" s="1"/>
  <c r="K1096" i="5"/>
  <c r="CJ1191" i="5"/>
  <c r="BM552" i="5"/>
  <c r="BM713" i="5"/>
  <c r="DM555" i="5"/>
  <c r="DM608" i="5"/>
  <c r="DM606" i="5" s="1"/>
  <c r="II557" i="5"/>
  <c r="F12" i="7" s="1"/>
  <c r="X1784" i="2"/>
  <c r="X1782" i="2" s="1"/>
  <c r="CJ1175" i="5"/>
  <c r="Z1792" i="2"/>
  <c r="Z1791" i="2" s="1"/>
  <c r="DH1184" i="5"/>
  <c r="DS1187" i="5"/>
  <c r="DS1183" i="5" s="1"/>
  <c r="JD801" i="5"/>
  <c r="M552" i="5"/>
  <c r="M713" i="5"/>
  <c r="BN552" i="5"/>
  <c r="BN654" i="5" s="1"/>
  <c r="BN1233" i="5"/>
  <c r="BR724" i="5"/>
  <c r="BR588" i="5"/>
  <c r="IE869" i="5"/>
  <c r="CR850" i="5"/>
  <c r="CR1082" i="5" s="1"/>
  <c r="BY1097" i="5"/>
  <c r="BY987" i="5"/>
  <c r="BY1095" i="5" s="1"/>
  <c r="IJ276" i="5"/>
  <c r="CK1234" i="5"/>
  <c r="CK553" i="5"/>
  <c r="E1242" i="5"/>
  <c r="E588" i="5"/>
  <c r="BS1242" i="5"/>
  <c r="BS724" i="5"/>
  <c r="IU757" i="5"/>
  <c r="IE761" i="5"/>
  <c r="IT761" i="5"/>
  <c r="IO762" i="5"/>
  <c r="IK763" i="5"/>
  <c r="IJ8" i="5"/>
  <c r="IJ16" i="5"/>
  <c r="IJ27" i="5"/>
  <c r="IJ49" i="5"/>
  <c r="IJ96" i="5"/>
  <c r="IJ103" i="5"/>
  <c r="IJ188" i="5"/>
  <c r="IJ217" i="5"/>
  <c r="BQ552" i="5"/>
  <c r="DM1243" i="5"/>
  <c r="II591" i="5"/>
  <c r="F42" i="7" s="1"/>
  <c r="IG592" i="5"/>
  <c r="W588" i="5"/>
  <c r="IJ687" i="5"/>
  <c r="AA906" i="2" s="1"/>
  <c r="D131" i="7"/>
  <c r="E131" i="7" s="1"/>
  <c r="IO761" i="5"/>
  <c r="IK762" i="5"/>
  <c r="CT755" i="5"/>
  <c r="CT1076" i="5" s="1"/>
  <c r="EK947" i="5"/>
  <c r="EK1092" i="5" s="1"/>
  <c r="EK1093" i="5"/>
  <c r="FC1093" i="5"/>
  <c r="FC947" i="5"/>
  <c r="FC1092" i="5" s="1"/>
  <c r="JB948" i="5"/>
  <c r="AG1269" i="2" s="1"/>
  <c r="IV965" i="5"/>
  <c r="AE1286" i="2" s="1"/>
  <c r="BU1242" i="5"/>
  <c r="BU588" i="5"/>
  <c r="CW1250" i="5"/>
  <c r="IF622" i="5"/>
  <c r="C69" i="7" s="1"/>
  <c r="EV1250" i="5"/>
  <c r="IR622" i="5"/>
  <c r="O69" i="7" s="1"/>
  <c r="L1088" i="5"/>
  <c r="L907" i="5"/>
  <c r="L1086" i="5" s="1"/>
  <c r="FE1093" i="5"/>
  <c r="FE947" i="5"/>
  <c r="FE1092" i="5" s="1"/>
  <c r="IU948" i="5"/>
  <c r="AE1686" i="2" s="1"/>
  <c r="R1097" i="5"/>
  <c r="R987" i="5"/>
  <c r="R1095" i="5" s="1"/>
  <c r="II232" i="5"/>
  <c r="CE631" i="5"/>
  <c r="CE582" i="5"/>
  <c r="CE1240" i="5" s="1"/>
  <c r="CF1245" i="5"/>
  <c r="CF599" i="5"/>
  <c r="IU762" i="5"/>
  <c r="AK1093" i="5"/>
  <c r="AK947" i="5"/>
  <c r="AK1092" i="5" s="1"/>
  <c r="DU1234" i="5"/>
  <c r="DU553" i="5"/>
  <c r="DU1233" i="5" s="1"/>
  <c r="IO901" i="5"/>
  <c r="IU901" i="5"/>
  <c r="IE903" i="5"/>
  <c r="IO903" i="5"/>
  <c r="JD768" i="5"/>
  <c r="GM826" i="5"/>
  <c r="GM1237" i="5" s="1"/>
  <c r="GJ814" i="5"/>
  <c r="JH978" i="5"/>
  <c r="AI1303" i="2" s="1"/>
  <c r="JG877" i="5"/>
  <c r="JG802" i="5"/>
  <c r="IJ155" i="5"/>
  <c r="IJ247" i="5"/>
  <c r="S1233" i="5"/>
  <c r="CO635" i="5"/>
  <c r="EC635" i="5"/>
  <c r="EC1252" i="5" s="1"/>
  <c r="IG699" i="5"/>
  <c r="IK768" i="5"/>
  <c r="IU769" i="5"/>
  <c r="CG755" i="5"/>
  <c r="CG1076" i="5" s="1"/>
  <c r="DA755" i="5"/>
  <c r="DA1076" i="5" s="1"/>
  <c r="IN869" i="5"/>
  <c r="JB902" i="5"/>
  <c r="JE842" i="5"/>
  <c r="AH1148" i="2" s="1"/>
  <c r="JE816" i="5"/>
  <c r="AH1122" i="2" s="1"/>
  <c r="JE803" i="5"/>
  <c r="AH1109" i="2" s="1"/>
  <c r="JD1077" i="5"/>
  <c r="JC792" i="5"/>
  <c r="GR908" i="5"/>
  <c r="IJ10" i="5"/>
  <c r="BS713" i="5"/>
  <c r="BS552" i="5"/>
  <c r="IR579" i="5"/>
  <c r="O31" i="7" s="1"/>
  <c r="IS630" i="5"/>
  <c r="P77" i="7" s="1"/>
  <c r="EG635" i="5"/>
  <c r="EG1252" i="5" s="1"/>
  <c r="IK761" i="5"/>
  <c r="JB761" i="5"/>
  <c r="AG1067" i="2" s="1"/>
  <c r="IF762" i="5"/>
  <c r="IF763" i="5"/>
  <c r="IF765" i="5"/>
  <c r="IF885" i="5"/>
  <c r="CQ1184" i="5"/>
  <c r="CJ1187" i="5"/>
  <c r="CJ1183" i="5" s="1"/>
  <c r="X1796" i="2"/>
  <c r="X1794" i="2" s="1"/>
  <c r="E9" i="7"/>
  <c r="BV1238" i="5"/>
  <c r="BV719" i="5"/>
  <c r="LA576" i="5"/>
  <c r="CU628" i="5"/>
  <c r="IH770" i="5"/>
  <c r="IQ773" i="5"/>
  <c r="IL797" i="5"/>
  <c r="IW799" i="5"/>
  <c r="IC800" i="5"/>
  <c r="IN801" i="5"/>
  <c r="II802" i="5"/>
  <c r="IX802" i="5"/>
  <c r="DJ577" i="5"/>
  <c r="ED577" i="5"/>
  <c r="ED1239" i="5" s="1"/>
  <c r="DV683" i="5"/>
  <c r="DV1255" i="5" s="1"/>
  <c r="IR697" i="5"/>
  <c r="IE699" i="5"/>
  <c r="IK794" i="5"/>
  <c r="IC877" i="5"/>
  <c r="IN877" i="5"/>
  <c r="IR877" i="5"/>
  <c r="FQ850" i="5"/>
  <c r="FQ1082" i="5" s="1"/>
  <c r="FQ1247" i="5"/>
  <c r="FQ1242" i="5" s="1"/>
  <c r="U1088" i="5"/>
  <c r="U907" i="5"/>
  <c r="U1086" i="5" s="1"/>
  <c r="AN1088" i="5"/>
  <c r="AN907" i="5"/>
  <c r="AN1086" i="5" s="1"/>
  <c r="CT570" i="5"/>
  <c r="EH570" i="5"/>
  <c r="EH1237" i="5" s="1"/>
  <c r="P588" i="5"/>
  <c r="IK694" i="5"/>
  <c r="CO696" i="5"/>
  <c r="CO695" i="5" s="1"/>
  <c r="CO1256" i="5" s="1"/>
  <c r="EC696" i="5"/>
  <c r="EC695" i="5" s="1"/>
  <c r="DM696" i="5"/>
  <c r="DM695" i="5" s="1"/>
  <c r="DM1256" i="5" s="1"/>
  <c r="EG696" i="5"/>
  <c r="EG695" i="5" s="1"/>
  <c r="KZ993" i="5"/>
  <c r="KZ988" i="5" s="1"/>
  <c r="JE859" i="5"/>
  <c r="AH1165" i="2" s="1"/>
  <c r="JE1025" i="5"/>
  <c r="AH1350" i="2" s="1"/>
  <c r="JE1011" i="5"/>
  <c r="AH1337" i="2" s="1"/>
  <c r="AH1741" i="2" s="1"/>
  <c r="JE991" i="5"/>
  <c r="AH1317" i="2" s="1"/>
  <c r="IG572" i="5"/>
  <c r="CF608" i="5"/>
  <c r="CZ608" i="5"/>
  <c r="IQ626" i="5"/>
  <c r="N73" i="7" s="1"/>
  <c r="DX683" i="5"/>
  <c r="DX1255" i="5" s="1"/>
  <c r="IQ682" i="5"/>
  <c r="N126" i="7" s="1"/>
  <c r="ED696" i="5"/>
  <c r="ED695" i="5" s="1"/>
  <c r="ED1256" i="5" s="1"/>
  <c r="EJ826" i="5"/>
  <c r="EJ1081" i="5" s="1"/>
  <c r="IO828" i="5"/>
  <c r="IL830" i="5"/>
  <c r="IL832" i="5"/>
  <c r="JB868" i="5"/>
  <c r="AG1187" i="2" s="1"/>
  <c r="AG1427" i="2" s="1"/>
  <c r="AG1516" i="2" s="1"/>
  <c r="JE898" i="5"/>
  <c r="AH1219" i="2" s="1"/>
  <c r="II559" i="5"/>
  <c r="F14" i="7" s="1"/>
  <c r="IK563" i="5"/>
  <c r="G18" i="7" s="1"/>
  <c r="IE595" i="5"/>
  <c r="II680" i="5"/>
  <c r="F124" i="7" s="1"/>
  <c r="CL683" i="5"/>
  <c r="CL1255" i="5" s="1"/>
  <c r="EP683" i="5"/>
  <c r="EP1255" i="5" s="1"/>
  <c r="I1096" i="5"/>
  <c r="I987" i="5"/>
  <c r="I1095" i="5" s="1"/>
  <c r="JE938" i="5"/>
  <c r="IF566" i="5"/>
  <c r="C21" i="7" s="1"/>
  <c r="IK566" i="5"/>
  <c r="G21" i="7" s="1"/>
  <c r="CI614" i="5"/>
  <c r="CI1248" i="5" s="1"/>
  <c r="IH616" i="5"/>
  <c r="IL616" i="5"/>
  <c r="I63" i="7" s="1"/>
  <c r="K63" i="7" s="1"/>
  <c r="CM614" i="5"/>
  <c r="CM1248" i="5" s="1"/>
  <c r="DG614" i="5"/>
  <c r="DG1248" i="5" s="1"/>
  <c r="EA614" i="5"/>
  <c r="EA1248" i="5" s="1"/>
  <c r="IR617" i="5"/>
  <c r="O64" i="7" s="1"/>
  <c r="IK618" i="5"/>
  <c r="ID952" i="5"/>
  <c r="Y1273" i="2" s="1"/>
  <c r="IV955" i="5"/>
  <c r="AE1276" i="2" s="1"/>
  <c r="IV967" i="5"/>
  <c r="AE1288" i="2" s="1"/>
  <c r="EV614" i="5"/>
  <c r="EV1248" i="5" s="1"/>
  <c r="CE570" i="5"/>
  <c r="CY570" i="5"/>
  <c r="DS570" i="5"/>
  <c r="IF572" i="5"/>
  <c r="C26" i="7" s="1"/>
  <c r="ER608" i="5"/>
  <c r="ER606" i="5" s="1"/>
  <c r="ER1247" i="5" s="1"/>
  <c r="IF605" i="5"/>
  <c r="C54" i="7" s="1"/>
  <c r="IQ605" i="5"/>
  <c r="N54" i="7" s="1"/>
  <c r="EW614" i="5"/>
  <c r="EW1248" i="5" s="1"/>
  <c r="IK671" i="5"/>
  <c r="EI670" i="5"/>
  <c r="EI669" i="5" s="1"/>
  <c r="EI1253" i="5" s="1"/>
  <c r="IE673" i="5"/>
  <c r="CT628" i="5"/>
  <c r="EH670" i="5"/>
  <c r="EH669" i="5" s="1"/>
  <c r="EH1253" i="5" s="1"/>
  <c r="JB990" i="5"/>
  <c r="AG1316" i="2" s="1"/>
  <c r="IC778" i="5"/>
  <c r="IL786" i="5"/>
  <c r="IC789" i="5"/>
  <c r="IH789" i="5"/>
  <c r="IB792" i="5"/>
  <c r="CZ1168" i="5"/>
  <c r="CQ1191" i="5"/>
  <c r="DJ1191" i="5"/>
  <c r="JC877" i="5"/>
  <c r="IJ45" i="5"/>
  <c r="IJ73" i="5"/>
  <c r="IJ112" i="5"/>
  <c r="IJ205" i="5"/>
  <c r="DQ608" i="5"/>
  <c r="DQ606" i="5" s="1"/>
  <c r="DY608" i="5"/>
  <c r="DY606" i="5" s="1"/>
  <c r="DY1247" i="5" s="1"/>
  <c r="DU683" i="5"/>
  <c r="DU1255" i="5" s="1"/>
  <c r="EX683" i="5"/>
  <c r="EX1255" i="5" s="1"/>
  <c r="IR772" i="5"/>
  <c r="IO779" i="5"/>
  <c r="CP912" i="5"/>
  <c r="CP1088" i="5" s="1"/>
  <c r="EX912" i="5"/>
  <c r="EX1088" i="5" s="1"/>
  <c r="LB993" i="5"/>
  <c r="LB988" i="5" s="1"/>
  <c r="JB1020" i="5"/>
  <c r="AG1345" i="2" s="1"/>
  <c r="DH1187" i="5"/>
  <c r="DH1183" i="5" s="1"/>
  <c r="Z1796" i="2"/>
  <c r="Z1794" i="2" s="1"/>
  <c r="GM1019" i="5"/>
  <c r="GM1253" i="5" s="1"/>
  <c r="DG683" i="5"/>
  <c r="DG1255" i="5" s="1"/>
  <c r="EF683" i="5"/>
  <c r="EF1255" i="5" s="1"/>
  <c r="IN919" i="5"/>
  <c r="IE922" i="5"/>
  <c r="II922" i="5"/>
  <c r="IX922" i="5"/>
  <c r="JB940" i="5"/>
  <c r="DE1187" i="5"/>
  <c r="DE1183" i="5" s="1"/>
  <c r="JH888" i="5"/>
  <c r="AI1209" i="2" s="1"/>
  <c r="IJ273" i="5"/>
  <c r="BV552" i="5"/>
  <c r="BV550" i="5" s="1"/>
  <c r="CI570" i="5"/>
  <c r="DW570" i="5"/>
  <c r="DW1237" i="5" s="1"/>
  <c r="EQ570" i="5"/>
  <c r="EQ1237" i="5" s="1"/>
  <c r="IH572" i="5"/>
  <c r="D26" i="7" s="1"/>
  <c r="IL572" i="5"/>
  <c r="IF676" i="5"/>
  <c r="C120" i="7" s="1"/>
  <c r="EW683" i="5"/>
  <c r="EW1255" i="5" s="1"/>
  <c r="DE1178" i="5"/>
  <c r="HD994" i="5"/>
  <c r="GJ994" i="5"/>
  <c r="JH967" i="5"/>
  <c r="AI1288" i="2" s="1"/>
  <c r="CQ553" i="5"/>
  <c r="IH566" i="5"/>
  <c r="D21" i="7" s="1"/>
  <c r="IL566" i="5"/>
  <c r="IK567" i="5"/>
  <c r="IR572" i="5"/>
  <c r="O26" i="7" s="1"/>
  <c r="IH591" i="5"/>
  <c r="CM599" i="5"/>
  <c r="EK635" i="5"/>
  <c r="EK1252" i="5" s="1"/>
  <c r="CW635" i="5"/>
  <c r="CS683" i="5"/>
  <c r="CS1255" i="5" s="1"/>
  <c r="DB670" i="5"/>
  <c r="DB669" i="5" s="1"/>
  <c r="DV670" i="5"/>
  <c r="DV669" i="5" s="1"/>
  <c r="DV1253" i="5" s="1"/>
  <c r="EP670" i="5"/>
  <c r="EP669" i="5" s="1"/>
  <c r="EP1253" i="5" s="1"/>
  <c r="IK674" i="5"/>
  <c r="IL680" i="5"/>
  <c r="IQ680" i="5"/>
  <c r="N124" i="7" s="1"/>
  <c r="EV826" i="5"/>
  <c r="EV1081" i="5" s="1"/>
  <c r="IL851" i="5"/>
  <c r="KY1088" i="5"/>
  <c r="JB1009" i="5"/>
  <c r="AG1335" i="2" s="1"/>
  <c r="JB1017" i="5"/>
  <c r="AG1342" i="2" s="1"/>
  <c r="GA907" i="5"/>
  <c r="GM994" i="5"/>
  <c r="ET570" i="5"/>
  <c r="ET1237" i="5" s="1"/>
  <c r="DJ608" i="5"/>
  <c r="DJ606" i="5" s="1"/>
  <c r="DJ1247" i="5" s="1"/>
  <c r="EX608" i="5"/>
  <c r="IK595" i="5"/>
  <c r="IR757" i="5"/>
  <c r="IL761" i="5"/>
  <c r="IH762" i="5"/>
  <c r="IW762" i="5"/>
  <c r="IH763" i="5"/>
  <c r="IW763" i="5"/>
  <c r="IL764" i="5"/>
  <c r="IC765" i="5"/>
  <c r="IH765" i="5"/>
  <c r="IR765" i="5"/>
  <c r="IW765" i="5"/>
  <c r="IL767" i="5"/>
  <c r="IH768" i="5"/>
  <c r="IW768" i="5"/>
  <c r="IC769" i="5"/>
  <c r="IR769" i="5"/>
  <c r="IN770" i="5"/>
  <c r="II771" i="5"/>
  <c r="D1787" i="2"/>
  <c r="ID1180" i="5"/>
  <c r="DK1178" i="5"/>
  <c r="IJ107" i="5"/>
  <c r="IL559" i="5"/>
  <c r="I14" i="7" s="1"/>
  <c r="IR559" i="5"/>
  <c r="CL560" i="5"/>
  <c r="IH561" i="5"/>
  <c r="D16" i="7" s="1"/>
  <c r="DZ560" i="5"/>
  <c r="ET560" i="5"/>
  <c r="CO560" i="5"/>
  <c r="II562" i="5"/>
  <c r="F17" i="7" s="1"/>
  <c r="EC560" i="5"/>
  <c r="IR562" i="5"/>
  <c r="O17" i="7" s="1"/>
  <c r="IE563" i="5"/>
  <c r="II563" i="5"/>
  <c r="F18" i="7" s="1"/>
  <c r="CZ577" i="5"/>
  <c r="DT577" i="5"/>
  <c r="IF598" i="5"/>
  <c r="C49" i="7" s="1"/>
  <c r="E49" i="7" s="1"/>
  <c r="IL598" i="5"/>
  <c r="IM598" i="5" s="1"/>
  <c r="IQ601" i="5"/>
  <c r="DM614" i="5"/>
  <c r="DM1248" i="5" s="1"/>
  <c r="EG614" i="5"/>
  <c r="EG1248" i="5" s="1"/>
  <c r="CI670" i="5"/>
  <c r="CI669" i="5" s="1"/>
  <c r="EQ670" i="5"/>
  <c r="EQ669" i="5" s="1"/>
  <c r="CM755" i="5"/>
  <c r="CM1076" i="5" s="1"/>
  <c r="CG1080" i="5"/>
  <c r="EO908" i="5"/>
  <c r="EO1087" i="5" s="1"/>
  <c r="FI908" i="5"/>
  <c r="DL1028" i="5"/>
  <c r="DL1027" i="5" s="1"/>
  <c r="DL1019" i="5" s="1"/>
  <c r="DL1097" i="5" s="1"/>
  <c r="EZ1028" i="5"/>
  <c r="EZ1027" i="5" s="1"/>
  <c r="EZ1019" i="5" s="1"/>
  <c r="EZ1097" i="5" s="1"/>
  <c r="JC765" i="5"/>
  <c r="JH830" i="5"/>
  <c r="AI1136" i="2" s="1"/>
  <c r="IJ258" i="5"/>
  <c r="EV570" i="5"/>
  <c r="EV1237" i="5" s="1"/>
  <c r="DO628" i="5"/>
  <c r="EC628" i="5"/>
  <c r="IE596" i="5"/>
  <c r="CT614" i="5"/>
  <c r="CT1248" i="5" s="1"/>
  <c r="EH614" i="5"/>
  <c r="EH1248" i="5" s="1"/>
  <c r="DB614" i="5"/>
  <c r="DB1248" i="5" s="1"/>
  <c r="K67" i="7"/>
  <c r="IK638" i="5"/>
  <c r="DO635" i="5"/>
  <c r="CU803" i="5"/>
  <c r="CU1077" i="5" s="1"/>
  <c r="FC803" i="5"/>
  <c r="IO805" i="5"/>
  <c r="IO806" i="5"/>
  <c r="IT807" i="5"/>
  <c r="IE808" i="5"/>
  <c r="IT808" i="5"/>
  <c r="II810" i="5"/>
  <c r="IN812" i="5"/>
  <c r="AJ813" i="5"/>
  <c r="AJ1078" i="5" s="1"/>
  <c r="BD813" i="5"/>
  <c r="BX813" i="5"/>
  <c r="DF1079" i="5"/>
  <c r="CH908" i="5"/>
  <c r="DG1096" i="5"/>
  <c r="DC1178" i="5"/>
  <c r="JG786" i="5"/>
  <c r="JH808" i="5"/>
  <c r="AI1114" i="2" s="1"/>
  <c r="II572" i="5"/>
  <c r="F26" i="7" s="1"/>
  <c r="EG608" i="5"/>
  <c r="EG606" i="5" s="1"/>
  <c r="EG1247" i="5" s="1"/>
  <c r="K44" i="7"/>
  <c r="AL588" i="5"/>
  <c r="IQ627" i="5"/>
  <c r="N74" i="7" s="1"/>
  <c r="CG635" i="5"/>
  <c r="DR683" i="5"/>
  <c r="DR1255" i="5" s="1"/>
  <c r="H132" i="7"/>
  <c r="CI908" i="5"/>
  <c r="DW908" i="5"/>
  <c r="DW1087" i="5" s="1"/>
  <c r="FK908" i="5"/>
  <c r="JE862" i="5"/>
  <c r="AH1168" i="2" s="1"/>
  <c r="JE881" i="5"/>
  <c r="AH1202" i="2" s="1"/>
  <c r="JE1029" i="5"/>
  <c r="AH1354" i="2" s="1"/>
  <c r="JE1015" i="5"/>
  <c r="AH1340" i="2" s="1"/>
  <c r="JE962" i="5"/>
  <c r="AH1283" i="2" s="1"/>
  <c r="JE806" i="5"/>
  <c r="AH1112" i="2" s="1"/>
  <c r="JC769" i="5"/>
  <c r="GJ826" i="5"/>
  <c r="GJ1237" i="5" s="1"/>
  <c r="IR567" i="5"/>
  <c r="O22" i="7" s="1"/>
  <c r="IG594" i="5"/>
  <c r="CV614" i="5"/>
  <c r="EJ614" i="5"/>
  <c r="EJ1248" i="5" s="1"/>
  <c r="CZ614" i="5"/>
  <c r="CZ1248" i="5" s="1"/>
  <c r="DX614" i="5"/>
  <c r="DX1248" i="5" s="1"/>
  <c r="ER614" i="5"/>
  <c r="ER1248" i="5" s="1"/>
  <c r="IH625" i="5"/>
  <c r="D72" i="7" s="1"/>
  <c r="DB635" i="5"/>
  <c r="CH683" i="5"/>
  <c r="CH1255" i="5" s="1"/>
  <c r="II765" i="5"/>
  <c r="IX765" i="5"/>
  <c r="FJ814" i="5"/>
  <c r="AL813" i="5"/>
  <c r="AL1078" i="5" s="1"/>
  <c r="CN818" i="5"/>
  <c r="CJ908" i="5"/>
  <c r="II903" i="5"/>
  <c r="JE796" i="5"/>
  <c r="AH1102" i="2" s="1"/>
  <c r="JD787" i="5"/>
  <c r="JH809" i="5"/>
  <c r="AI1115" i="2" s="1"/>
  <c r="IJ216" i="5"/>
  <c r="AM588" i="5"/>
  <c r="IE600" i="5"/>
  <c r="E80" i="7"/>
  <c r="IH636" i="5"/>
  <c r="IL636" i="5"/>
  <c r="EQ635" i="5"/>
  <c r="EQ1252" i="5" s="1"/>
  <c r="IL637" i="5"/>
  <c r="I84" i="7" s="1"/>
  <c r="IL638" i="5"/>
  <c r="I85" i="7" s="1"/>
  <c r="K85" i="7" s="1"/>
  <c r="EL635" i="5"/>
  <c r="EL1252" i="5" s="1"/>
  <c r="CI635" i="5"/>
  <c r="IH643" i="5"/>
  <c r="IL643" i="5"/>
  <c r="I89" i="7" s="1"/>
  <c r="K89" i="7" s="1"/>
  <c r="IL644" i="5"/>
  <c r="CI683" i="5"/>
  <c r="CI1255" i="5" s="1"/>
  <c r="IF823" i="5"/>
  <c r="IB832" i="5"/>
  <c r="FU1247" i="5"/>
  <c r="JC870" i="5"/>
  <c r="JE917" i="5"/>
  <c r="JE931" i="5"/>
  <c r="JE946" i="5"/>
  <c r="JE838" i="5"/>
  <c r="AH1144" i="2" s="1"/>
  <c r="JE805" i="5"/>
  <c r="AH1111" i="2" s="1"/>
  <c r="JE920" i="5"/>
  <c r="AH1241" i="2" s="1"/>
  <c r="GS994" i="5"/>
  <c r="GN869" i="5"/>
  <c r="GN850" i="5" s="1"/>
  <c r="JE812" i="5"/>
  <c r="AH1118" i="2" s="1"/>
  <c r="JC762" i="5"/>
  <c r="JF860" i="5"/>
  <c r="JH954" i="5"/>
  <c r="AI1275" i="2" s="1"/>
  <c r="JH982" i="5"/>
  <c r="AI1308" i="2" s="1"/>
  <c r="JC1008" i="5"/>
  <c r="JC998" i="5"/>
  <c r="JH976" i="5"/>
  <c r="AI1300" i="2" s="1"/>
  <c r="DS912" i="5"/>
  <c r="DS907" i="5" s="1"/>
  <c r="DS1086" i="5" s="1"/>
  <c r="CZ912" i="5"/>
  <c r="CZ1088" i="5" s="1"/>
  <c r="FH912" i="5"/>
  <c r="FH1250" i="5" s="1"/>
  <c r="IB921" i="5"/>
  <c r="IF921" i="5"/>
  <c r="IK921" i="5"/>
  <c r="IQ921" i="5"/>
  <c r="IU921" i="5"/>
  <c r="IB922" i="5"/>
  <c r="IF922" i="5"/>
  <c r="IK922" i="5"/>
  <c r="IQ922" i="5"/>
  <c r="JB923" i="5"/>
  <c r="AG1244" i="2" s="1"/>
  <c r="JB931" i="5"/>
  <c r="CG993" i="5"/>
  <c r="CG988" i="5" s="1"/>
  <c r="DA993" i="5"/>
  <c r="DA988" i="5" s="1"/>
  <c r="DA1096" i="5" s="1"/>
  <c r="IE1038" i="5"/>
  <c r="IK1038" i="5"/>
  <c r="IT1038" i="5"/>
  <c r="ID1038" i="5"/>
  <c r="Y1363" i="2" s="1"/>
  <c r="Y1473" i="2" s="1"/>
  <c r="CR1178" i="5"/>
  <c r="CT1184" i="5"/>
  <c r="DD1187" i="5"/>
  <c r="DD1183" i="5" s="1"/>
  <c r="CP1191" i="5"/>
  <c r="DI1191" i="5"/>
  <c r="DO1191" i="5"/>
  <c r="E36" i="7"/>
  <c r="H81" i="7"/>
  <c r="E100" i="7"/>
  <c r="H111" i="7"/>
  <c r="E121" i="7"/>
  <c r="E128" i="7"/>
  <c r="JE1023" i="5"/>
  <c r="AH1348" i="2" s="1"/>
  <c r="JE1009" i="5"/>
  <c r="AH1335" i="2" s="1"/>
  <c r="JE989" i="5"/>
  <c r="AH1315" i="2" s="1"/>
  <c r="JE957" i="5"/>
  <c r="AH1278" i="2" s="1"/>
  <c r="GR1027" i="5"/>
  <c r="GR1019" i="5" s="1"/>
  <c r="GR1253" i="5" s="1"/>
  <c r="JE811" i="5"/>
  <c r="AH1117" i="2" s="1"/>
  <c r="JE791" i="5"/>
  <c r="AH1097" i="2" s="1"/>
  <c r="AH480" i="2" s="1"/>
  <c r="JC779" i="5"/>
  <c r="GR814" i="5"/>
  <c r="GM908" i="5"/>
  <c r="JF789" i="5"/>
  <c r="JH795" i="5"/>
  <c r="AI1101" i="2" s="1"/>
  <c r="JF817" i="5"/>
  <c r="JE896" i="5"/>
  <c r="AH1217" i="2" s="1"/>
  <c r="JE1036" i="5"/>
  <c r="AH1361" i="2" s="1"/>
  <c r="JE956" i="5"/>
  <c r="AH1277" i="2" s="1"/>
  <c r="GH907" i="5"/>
  <c r="GH932" i="5" s="1"/>
  <c r="JC785" i="5"/>
  <c r="JH965" i="5"/>
  <c r="AI1286" i="2" s="1"/>
  <c r="JH1037" i="5"/>
  <c r="AI1362" i="2" s="1"/>
  <c r="JF994" i="5"/>
  <c r="JH966" i="5"/>
  <c r="AI1287" i="2" s="1"/>
  <c r="JG901" i="5"/>
  <c r="CK908" i="5"/>
  <c r="CK1087" i="5" s="1"/>
  <c r="JB853" i="5"/>
  <c r="AG1159" i="2" s="1"/>
  <c r="CJ850" i="5"/>
  <c r="CJ1082" i="5" s="1"/>
  <c r="Y987" i="5"/>
  <c r="Y1095" i="5" s="1"/>
  <c r="CV1028" i="5"/>
  <c r="CV1027" i="5" s="1"/>
  <c r="CV1019" i="5" s="1"/>
  <c r="DP1028" i="5"/>
  <c r="EJ1028" i="5"/>
  <c r="DK1168" i="5"/>
  <c r="DL1175" i="5"/>
  <c r="DD1178" i="5"/>
  <c r="DQ1191" i="5"/>
  <c r="H78" i="7"/>
  <c r="JH950" i="5"/>
  <c r="AI1271" i="2" s="1"/>
  <c r="GV908" i="5"/>
  <c r="DE850" i="5"/>
  <c r="DE1082" i="5" s="1"/>
  <c r="DY850" i="5"/>
  <c r="DY1082" i="5" s="1"/>
  <c r="ES850" i="5"/>
  <c r="ES1082" i="5" s="1"/>
  <c r="DB1028" i="5"/>
  <c r="DB1027" i="5" s="1"/>
  <c r="DB1019" i="5" s="1"/>
  <c r="DB1097" i="5" s="1"/>
  <c r="DV1028" i="5"/>
  <c r="DV1027" i="5" s="1"/>
  <c r="DV1019" i="5" s="1"/>
  <c r="DV1097" i="5" s="1"/>
  <c r="EP1028" i="5"/>
  <c r="EP1027" i="5" s="1"/>
  <c r="EP1019" i="5" s="1"/>
  <c r="EP1097" i="5" s="1"/>
  <c r="DG1187" i="5"/>
  <c r="DG1183" i="5" s="1"/>
  <c r="DL1191" i="5"/>
  <c r="JD998" i="5"/>
  <c r="CP850" i="5"/>
  <c r="CP1082" i="5" s="1"/>
  <c r="EX850" i="5"/>
  <c r="EX1082" i="5" s="1"/>
  <c r="DQ993" i="5"/>
  <c r="DQ1096" i="5" s="1"/>
  <c r="IY1032" i="5"/>
  <c r="AF1358" i="2" s="1"/>
  <c r="AF883" i="2" s="1"/>
  <c r="CT1168" i="5"/>
  <c r="CR1187" i="5"/>
  <c r="CR1183" i="5" s="1"/>
  <c r="DK1187" i="5"/>
  <c r="DK1183" i="5" s="1"/>
  <c r="CZ1191" i="5"/>
  <c r="JE923" i="5"/>
  <c r="AH1244" i="2" s="1"/>
  <c r="JE941" i="5"/>
  <c r="JE983" i="5"/>
  <c r="AH1309" i="2" s="1"/>
  <c r="JC833" i="5"/>
  <c r="JH812" i="5"/>
  <c r="AI1118" i="2" s="1"/>
  <c r="JH840" i="5"/>
  <c r="AI1146" i="2" s="1"/>
  <c r="JH992" i="5"/>
  <c r="AI1318" i="2" s="1"/>
  <c r="JH825" i="5"/>
  <c r="AI1131" i="2" s="1"/>
  <c r="AI1414" i="2" s="1"/>
  <c r="AI1503" i="2" s="1"/>
  <c r="CQ850" i="5"/>
  <c r="CU1168" i="5"/>
  <c r="JE824" i="5"/>
  <c r="AH1130" i="2" s="1"/>
  <c r="AH1413" i="2" s="1"/>
  <c r="GN826" i="5"/>
  <c r="GN1237" i="5" s="1"/>
  <c r="JF777" i="5"/>
  <c r="JG1028" i="5"/>
  <c r="JG1027" i="5" s="1"/>
  <c r="JG1019" i="5" s="1"/>
  <c r="DW850" i="5"/>
  <c r="DW1082" i="5" s="1"/>
  <c r="IC870" i="5"/>
  <c r="IH870" i="5"/>
  <c r="IL870" i="5"/>
  <c r="IR870" i="5"/>
  <c r="JB870" i="5"/>
  <c r="AG1189" i="2" s="1"/>
  <c r="IB876" i="5"/>
  <c r="IL876" i="5"/>
  <c r="IQ876" i="5"/>
  <c r="IG965" i="5"/>
  <c r="Z1286" i="2" s="1"/>
  <c r="IG966" i="5"/>
  <c r="Z1287" i="2" s="1"/>
  <c r="JH766" i="5"/>
  <c r="AI1072" i="2" s="1"/>
  <c r="JH804" i="5"/>
  <c r="AI1110" i="2" s="1"/>
  <c r="JH816" i="5"/>
  <c r="AI1122" i="2" s="1"/>
  <c r="JH892" i="5"/>
  <c r="AI1213" i="2" s="1"/>
  <c r="JG952" i="5"/>
  <c r="JG912" i="5"/>
  <c r="FM1247" i="5"/>
  <c r="IH903" i="5"/>
  <c r="CM912" i="5"/>
  <c r="CM1088" i="5" s="1"/>
  <c r="DG912" i="5"/>
  <c r="EU912" i="5"/>
  <c r="EU1088" i="5" s="1"/>
  <c r="IW921" i="5"/>
  <c r="DP1191" i="5"/>
  <c r="JD967" i="5"/>
  <c r="JD764" i="5"/>
  <c r="JH1017" i="5"/>
  <c r="AI1342" i="2" s="1"/>
  <c r="FB1239" i="5"/>
  <c r="IX823" i="5"/>
  <c r="IE824" i="5"/>
  <c r="FD1240" i="5"/>
  <c r="IF847" i="5"/>
  <c r="IL847" i="5"/>
  <c r="IY848" i="5"/>
  <c r="AF1154" i="2" s="1"/>
  <c r="DM826" i="5"/>
  <c r="DM1081" i="5" s="1"/>
  <c r="FA826" i="5"/>
  <c r="FA1081" i="5" s="1"/>
  <c r="FU826" i="5"/>
  <c r="FU1081" i="5" s="1"/>
  <c r="IR903" i="5"/>
  <c r="IZ1041" i="5"/>
  <c r="IX1003" i="5"/>
  <c r="AF1743" i="2" s="1"/>
  <c r="JB763" i="5"/>
  <c r="AG1069" i="2" s="1"/>
  <c r="AH1903" i="2" s="1"/>
  <c r="IE764" i="5"/>
  <c r="IO764" i="5"/>
  <c r="IK765" i="5"/>
  <c r="IO765" i="5"/>
  <c r="JB765" i="5"/>
  <c r="AG1071" i="2" s="1"/>
  <c r="AG464" i="2" s="1"/>
  <c r="IE767" i="5"/>
  <c r="IT767" i="5"/>
  <c r="IO768" i="5"/>
  <c r="IK769" i="5"/>
  <c r="IF770" i="5"/>
  <c r="IU770" i="5"/>
  <c r="IE804" i="5"/>
  <c r="IE805" i="5"/>
  <c r="IT805" i="5"/>
  <c r="IE806" i="5"/>
  <c r="IN808" i="5"/>
  <c r="FQ803" i="5"/>
  <c r="FQ1077" i="5" s="1"/>
  <c r="IW809" i="5"/>
  <c r="IH810" i="5"/>
  <c r="IN810" i="5"/>
  <c r="IR810" i="5"/>
  <c r="IW810" i="5"/>
  <c r="IC811" i="5"/>
  <c r="IH811" i="5"/>
  <c r="IL811" i="5"/>
  <c r="IR811" i="5"/>
  <c r="IC812" i="5"/>
  <c r="IH812" i="5"/>
  <c r="IL812" i="5"/>
  <c r="IR812" i="5"/>
  <c r="IW812" i="5"/>
  <c r="AB813" i="5"/>
  <c r="AB1078" i="5" s="1"/>
  <c r="AV813" i="5"/>
  <c r="AV754" i="5" s="1"/>
  <c r="AV932" i="5" s="1"/>
  <c r="BP813" i="5"/>
  <c r="BP754" i="5" s="1"/>
  <c r="BP932" i="5" s="1"/>
  <c r="LB813" i="5"/>
  <c r="LB754" i="5" s="1"/>
  <c r="N813" i="5"/>
  <c r="N1078" i="5" s="1"/>
  <c r="BV813" i="5"/>
  <c r="BV1078" i="5" s="1"/>
  <c r="EN1080" i="5"/>
  <c r="IO822" i="5"/>
  <c r="IT822" i="5"/>
  <c r="IX822" i="5"/>
  <c r="IK823" i="5"/>
  <c r="FC1239" i="5"/>
  <c r="JB823" i="5"/>
  <c r="AG1129" i="2" s="1"/>
  <c r="AG1412" i="2" s="1"/>
  <c r="AG1501" i="2" s="1"/>
  <c r="IF824" i="5"/>
  <c r="IK824" i="5"/>
  <c r="IR839" i="5"/>
  <c r="IW839" i="5"/>
  <c r="IK842" i="5"/>
  <c r="JB848" i="5"/>
  <c r="AG1154" i="2" s="1"/>
  <c r="EH826" i="5"/>
  <c r="EH1081" i="5" s="1"/>
  <c r="FE1247" i="5"/>
  <c r="FT993" i="5"/>
  <c r="JB1018" i="5"/>
  <c r="AG1343" i="2" s="1"/>
  <c r="JC800" i="5"/>
  <c r="JG797" i="5"/>
  <c r="JH838" i="5"/>
  <c r="AI1144" i="2" s="1"/>
  <c r="JH974" i="5"/>
  <c r="AI1295" i="2" s="1"/>
  <c r="AI1886" i="2" s="1"/>
  <c r="JF853" i="5"/>
  <c r="GY850" i="5"/>
  <c r="EM582" i="5"/>
  <c r="IQ583" i="5"/>
  <c r="G36" i="7"/>
  <c r="H36" i="7" s="1"/>
  <c r="IM585" i="5"/>
  <c r="CJ1245" i="5"/>
  <c r="CJ599" i="5"/>
  <c r="DA599" i="5"/>
  <c r="DA1245" i="5"/>
  <c r="IG600" i="5"/>
  <c r="IF600" i="5"/>
  <c r="DR1245" i="5"/>
  <c r="DR599" i="5"/>
  <c r="IG601" i="5"/>
  <c r="IE601" i="5"/>
  <c r="DU1250" i="5"/>
  <c r="IL622" i="5"/>
  <c r="I69" i="7" s="1"/>
  <c r="K69" i="7" s="1"/>
  <c r="CP685" i="5"/>
  <c r="CP683" i="5" s="1"/>
  <c r="CP1255" i="5" s="1"/>
  <c r="CP635" i="5"/>
  <c r="DF635" i="5"/>
  <c r="IH646" i="5"/>
  <c r="DO660" i="5"/>
  <c r="DO732" i="5" s="1"/>
  <c r="IK661" i="5"/>
  <c r="DO733" i="5"/>
  <c r="AZ1077" i="5"/>
  <c r="BN1077" i="5"/>
  <c r="AQ653" i="5"/>
  <c r="AQ652" i="5"/>
  <c r="AQ654" i="5"/>
  <c r="DA608" i="5"/>
  <c r="IG556" i="5"/>
  <c r="IF556" i="5"/>
  <c r="C11" i="7" s="1"/>
  <c r="DS555" i="5"/>
  <c r="DS608" i="5"/>
  <c r="DS606" i="5" s="1"/>
  <c r="DZ582" i="5"/>
  <c r="IL583" i="5"/>
  <c r="CK1245" i="5"/>
  <c r="CK599" i="5"/>
  <c r="DB1245" i="5"/>
  <c r="DB599" i="5"/>
  <c r="EI599" i="5"/>
  <c r="EI1245" i="5"/>
  <c r="EA1246" i="5"/>
  <c r="EA599" i="5"/>
  <c r="DD1250" i="5"/>
  <c r="IH622" i="5"/>
  <c r="CQ685" i="5"/>
  <c r="IG646" i="5"/>
  <c r="IE646" i="5"/>
  <c r="I1082" i="5"/>
  <c r="DJ1240" i="5"/>
  <c r="II582" i="5"/>
  <c r="BO654" i="5"/>
  <c r="BO550" i="5"/>
  <c r="BO715" i="5"/>
  <c r="BO1232" i="5"/>
  <c r="BO652" i="5"/>
  <c r="CP1234" i="5"/>
  <c r="CP553" i="5"/>
  <c r="BZ1237" i="5"/>
  <c r="BZ552" i="5"/>
  <c r="BZ717" i="5"/>
  <c r="IH571" i="5"/>
  <c r="DC570" i="5"/>
  <c r="ER570" i="5"/>
  <c r="IQ572" i="5"/>
  <c r="DH608" i="5"/>
  <c r="DH606" i="5" s="1"/>
  <c r="DH1247" i="5" s="1"/>
  <c r="IH573" i="5"/>
  <c r="EV608" i="5"/>
  <c r="IR573" i="5"/>
  <c r="O27" i="7" s="1"/>
  <c r="EN613" i="5"/>
  <c r="IQ575" i="5"/>
  <c r="DL628" i="5"/>
  <c r="DL1240" i="5"/>
  <c r="DL721" i="5"/>
  <c r="ES1244" i="5"/>
  <c r="IR595" i="5"/>
  <c r="O46" i="7" s="1"/>
  <c r="BK588" i="5"/>
  <c r="BK1242" i="5"/>
  <c r="BK724" i="5"/>
  <c r="CL1245" i="5"/>
  <c r="CL599" i="5"/>
  <c r="DT1245" i="5"/>
  <c r="DT599" i="5"/>
  <c r="AD1088" i="5"/>
  <c r="AD907" i="5"/>
  <c r="AD1086" i="5" s="1"/>
  <c r="IB919" i="5"/>
  <c r="CE912" i="5"/>
  <c r="IQ919" i="5"/>
  <c r="EM912" i="5"/>
  <c r="IU919" i="5"/>
  <c r="FG912" i="5"/>
  <c r="CF912" i="5"/>
  <c r="CF1088" i="5" s="1"/>
  <c r="IB920" i="5"/>
  <c r="IK920" i="5"/>
  <c r="DT912" i="5"/>
  <c r="EN912" i="5"/>
  <c r="EN1088" i="5" s="1"/>
  <c r="IQ920" i="5"/>
  <c r="BT1096" i="5"/>
  <c r="BT987" i="5"/>
  <c r="BT1095" i="5" s="1"/>
  <c r="EG993" i="5"/>
  <c r="IO994" i="5"/>
  <c r="AZ1097" i="5"/>
  <c r="AZ987" i="5"/>
  <c r="CT908" i="5"/>
  <c r="CT1028" i="5"/>
  <c r="DN1028" i="5"/>
  <c r="II1035" i="5"/>
  <c r="EH1028" i="5"/>
  <c r="EH1027" i="5" s="1"/>
  <c r="EH1019" i="5" s="1"/>
  <c r="EH1097" i="5" s="1"/>
  <c r="IO1035" i="5"/>
  <c r="IT1035" i="5"/>
  <c r="FB1028" i="5"/>
  <c r="FB908" i="5"/>
  <c r="IX1035" i="5"/>
  <c r="FV1028" i="5"/>
  <c r="FV1027" i="5" s="1"/>
  <c r="FV1019" i="5" s="1"/>
  <c r="IG1179" i="5"/>
  <c r="DB1178" i="5"/>
  <c r="Y1800" i="2"/>
  <c r="Y1798" i="2" s="1"/>
  <c r="CV1191" i="5"/>
  <c r="JG903" i="5"/>
  <c r="JF833" i="5"/>
  <c r="EN570" i="5"/>
  <c r="EN1237" i="5" s="1"/>
  <c r="IE1035" i="5"/>
  <c r="CA552" i="5"/>
  <c r="CA653" i="5" s="1"/>
  <c r="CA1237" i="5"/>
  <c r="CA717" i="5"/>
  <c r="CJ570" i="5"/>
  <c r="DD570" i="5"/>
  <c r="DX570" i="5"/>
  <c r="DX1237" i="5" s="1"/>
  <c r="II573" i="5"/>
  <c r="F27" i="7" s="1"/>
  <c r="DI608" i="5"/>
  <c r="DI606" i="5" s="1"/>
  <c r="DI1247" i="5" s="1"/>
  <c r="DB1244" i="5"/>
  <c r="IF595" i="5"/>
  <c r="C46" i="7" s="1"/>
  <c r="IG595" i="5"/>
  <c r="BL1242" i="5"/>
  <c r="BL724" i="5"/>
  <c r="CB1242" i="5"/>
  <c r="CB724" i="5"/>
  <c r="CB588" i="5"/>
  <c r="O1253" i="5"/>
  <c r="O739" i="5"/>
  <c r="FS1245" i="5"/>
  <c r="IX876" i="5"/>
  <c r="ES947" i="5"/>
  <c r="ES1093" i="5"/>
  <c r="IR948" i="5"/>
  <c r="FM1093" i="5"/>
  <c r="FM947" i="5"/>
  <c r="FM1092" i="5" s="1"/>
  <c r="AE1699" i="2"/>
  <c r="IY950" i="5"/>
  <c r="AF1271" i="2" s="1"/>
  <c r="EN1028" i="5"/>
  <c r="IQ1029" i="5"/>
  <c r="FH1028" i="5"/>
  <c r="FH1027" i="5" s="1"/>
  <c r="FH1019" i="5" s="1"/>
  <c r="IU1029" i="5"/>
  <c r="CU1028" i="5"/>
  <c r="CU1027" i="5" s="1"/>
  <c r="CU1019" i="5" s="1"/>
  <c r="CU908" i="5"/>
  <c r="FC908" i="5"/>
  <c r="FC1028" i="5"/>
  <c r="FC1027" i="5" s="1"/>
  <c r="FC1019" i="5" s="1"/>
  <c r="CU1184" i="5"/>
  <c r="DN1184" i="5"/>
  <c r="IJ1184" i="5" s="1"/>
  <c r="AA1791" i="2" s="1"/>
  <c r="DS1184" i="5"/>
  <c r="JH1000" i="5"/>
  <c r="AI1326" i="2" s="1"/>
  <c r="JG998" i="5"/>
  <c r="JH998" i="5" s="1"/>
  <c r="AI1324" i="2" s="1"/>
  <c r="JG763" i="5"/>
  <c r="IK1035" i="5"/>
  <c r="K1088" i="5"/>
  <c r="ER1236" i="5"/>
  <c r="IQ565" i="5"/>
  <c r="N20" i="7" s="1"/>
  <c r="IF920" i="5"/>
  <c r="EA1235" i="5"/>
  <c r="EA560" i="5"/>
  <c r="EO1235" i="5"/>
  <c r="IQ558" i="5"/>
  <c r="GX908" i="5"/>
  <c r="GX814" i="5"/>
  <c r="JH849" i="5"/>
  <c r="AI1155" i="2" s="1"/>
  <c r="N552" i="5"/>
  <c r="N713" i="5"/>
  <c r="N1233" i="5"/>
  <c r="N716" i="5"/>
  <c r="CY1234" i="5"/>
  <c r="IF555" i="5"/>
  <c r="C10" i="7" s="1"/>
  <c r="CO1236" i="5"/>
  <c r="CO553" i="5"/>
  <c r="CO713" i="5" s="1"/>
  <c r="CX1243" i="5"/>
  <c r="IF591" i="5"/>
  <c r="C42" i="7" s="1"/>
  <c r="IG591" i="5"/>
  <c r="EX1246" i="5"/>
  <c r="IR603" i="5"/>
  <c r="O53" i="7" s="1"/>
  <c r="CY614" i="5"/>
  <c r="IF615" i="5"/>
  <c r="IQ615" i="5"/>
  <c r="EM614" i="5"/>
  <c r="EQ614" i="5"/>
  <c r="IQ616" i="5"/>
  <c r="I76" i="7"/>
  <c r="K76" i="7" s="1"/>
  <c r="IM629" i="5"/>
  <c r="BD1253" i="5"/>
  <c r="BD739" i="5"/>
  <c r="LA1076" i="5"/>
  <c r="FC1234" i="5"/>
  <c r="IB771" i="5"/>
  <c r="CE755" i="5"/>
  <c r="CY755" i="5"/>
  <c r="IF771" i="5"/>
  <c r="IQ771" i="5"/>
  <c r="KY1077" i="5"/>
  <c r="II804" i="5"/>
  <c r="DM803" i="5"/>
  <c r="DM1077" i="5" s="1"/>
  <c r="EG803" i="5"/>
  <c r="IO804" i="5"/>
  <c r="FA803" i="5"/>
  <c r="IT804" i="5"/>
  <c r="FU803" i="5"/>
  <c r="IX804" i="5"/>
  <c r="DL803" i="5"/>
  <c r="DL1077" i="5" s="1"/>
  <c r="II805" i="5"/>
  <c r="EF803" i="5"/>
  <c r="EF1077" i="5" s="1"/>
  <c r="IN805" i="5"/>
  <c r="IX805" i="5"/>
  <c r="FT803" i="5"/>
  <c r="II806" i="5"/>
  <c r="DK803" i="5"/>
  <c r="IN806" i="5"/>
  <c r="EE803" i="5"/>
  <c r="EY803" i="5"/>
  <c r="IT806" i="5"/>
  <c r="IX806" i="5"/>
  <c r="FS803" i="5"/>
  <c r="CP803" i="5"/>
  <c r="CP1077" i="5" s="1"/>
  <c r="IC807" i="5"/>
  <c r="DJ803" i="5"/>
  <c r="DJ1077" i="5" s="1"/>
  <c r="II807" i="5"/>
  <c r="ED803" i="5"/>
  <c r="ED1077" i="5" s="1"/>
  <c r="IN807" i="5"/>
  <c r="EX803" i="5"/>
  <c r="EX1077" i="5" s="1"/>
  <c r="IR807" i="5"/>
  <c r="FR803" i="5"/>
  <c r="IX807" i="5"/>
  <c r="CO803" i="5"/>
  <c r="CO1077" i="5" s="1"/>
  <c r="IC808" i="5"/>
  <c r="DI803" i="5"/>
  <c r="II808" i="5"/>
  <c r="EW803" i="5"/>
  <c r="IR808" i="5"/>
  <c r="IC809" i="5"/>
  <c r="CN803" i="5"/>
  <c r="DH803" i="5"/>
  <c r="DH1077" i="5" s="1"/>
  <c r="IH809" i="5"/>
  <c r="EB803" i="5"/>
  <c r="IN809" i="5"/>
  <c r="EV803" i="5"/>
  <c r="EV1077" i="5" s="1"/>
  <c r="IR809" i="5"/>
  <c r="IF815" i="5"/>
  <c r="CX814" i="5"/>
  <c r="DR1079" i="5"/>
  <c r="DR814" i="5"/>
  <c r="IK815" i="5"/>
  <c r="IO815" i="5"/>
  <c r="EL1079" i="5"/>
  <c r="FF814" i="5"/>
  <c r="FF1239" i="5"/>
  <c r="IU815" i="5"/>
  <c r="FF1079" i="5"/>
  <c r="CR814" i="5"/>
  <c r="IE817" i="5"/>
  <c r="CR908" i="5"/>
  <c r="CR1080" i="5"/>
  <c r="DL814" i="5"/>
  <c r="DL1080" i="5"/>
  <c r="II817" i="5"/>
  <c r="EF814" i="5"/>
  <c r="EF908" i="5"/>
  <c r="EF1080" i="5"/>
  <c r="IN817" i="5"/>
  <c r="EZ908" i="5"/>
  <c r="EZ1080" i="5"/>
  <c r="IT817" i="5"/>
  <c r="FT814" i="5"/>
  <c r="FT908" i="5"/>
  <c r="IX817" i="5"/>
  <c r="FT1240" i="5"/>
  <c r="CJ1079" i="5"/>
  <c r="CJ818" i="5"/>
  <c r="IB819" i="5"/>
  <c r="DD1079" i="5"/>
  <c r="IH819" i="5"/>
  <c r="JF876" i="5"/>
  <c r="IK1029" i="5"/>
  <c r="IG606" i="5"/>
  <c r="CY1247" i="5"/>
  <c r="IX877" i="5"/>
  <c r="GW826" i="5"/>
  <c r="GW1237" i="5" s="1"/>
  <c r="HF814" i="5"/>
  <c r="AA1081" i="5"/>
  <c r="IW948" i="5"/>
  <c r="BO1233" i="5"/>
  <c r="BO713" i="5"/>
  <c r="BO716" i="5"/>
  <c r="AT653" i="5"/>
  <c r="AT654" i="5"/>
  <c r="AT715" i="5"/>
  <c r="AT1232" i="5"/>
  <c r="GU908" i="5"/>
  <c r="GU814" i="5"/>
  <c r="BF987" i="5"/>
  <c r="BF1095" i="5" s="1"/>
  <c r="AE907" i="5"/>
  <c r="L716" i="5"/>
  <c r="L713" i="5"/>
  <c r="L552" i="5"/>
  <c r="JG771" i="5"/>
  <c r="EH555" i="5"/>
  <c r="EH608" i="5"/>
  <c r="EH606" i="5" s="1"/>
  <c r="DF560" i="5"/>
  <c r="DF1235" i="5"/>
  <c r="DM733" i="5"/>
  <c r="DM660" i="5"/>
  <c r="DM732" i="5" s="1"/>
  <c r="II661" i="5"/>
  <c r="II733" i="5" s="1"/>
  <c r="EP1235" i="5"/>
  <c r="EP560" i="5"/>
  <c r="CB1237" i="5"/>
  <c r="CB717" i="5"/>
  <c r="CK570" i="5"/>
  <c r="DE570" i="5"/>
  <c r="DY570" i="5"/>
  <c r="DY1237" i="5" s="1"/>
  <c r="ES570" i="5"/>
  <c r="DC1244" i="5"/>
  <c r="IH595" i="5"/>
  <c r="CC588" i="5"/>
  <c r="CC1242" i="5"/>
  <c r="CC724" i="5"/>
  <c r="CN1245" i="5"/>
  <c r="CN599" i="5"/>
  <c r="IG603" i="5"/>
  <c r="IE603" i="5"/>
  <c r="CN755" i="5"/>
  <c r="CN1076" i="5" s="1"/>
  <c r="IC756" i="5"/>
  <c r="IH756" i="5"/>
  <c r="IN756" i="5"/>
  <c r="IR756" i="5"/>
  <c r="IH764" i="5"/>
  <c r="FN1234" i="5"/>
  <c r="IW764" i="5"/>
  <c r="FM1243" i="5"/>
  <c r="FM850" i="5"/>
  <c r="FM1082" i="5" s="1"/>
  <c r="IW851" i="5"/>
  <c r="DX850" i="5"/>
  <c r="DX1082" i="5" s="1"/>
  <c r="IL868" i="5"/>
  <c r="IW868" i="5"/>
  <c r="AN1097" i="5"/>
  <c r="AN987" i="5"/>
  <c r="AN1095" i="5" s="1"/>
  <c r="JB1028" i="5"/>
  <c r="AG1353" i="2" s="1"/>
  <c r="DA1028" i="5"/>
  <c r="DA1027" i="5" s="1"/>
  <c r="DA1019" i="5" s="1"/>
  <c r="IF1029" i="5"/>
  <c r="IL1029" i="5"/>
  <c r="FD1028" i="5"/>
  <c r="FD1027" i="5" s="1"/>
  <c r="FD1019" i="5" s="1"/>
  <c r="FD908" i="5"/>
  <c r="GZ994" i="5"/>
  <c r="CU1234" i="5"/>
  <c r="CU553" i="5"/>
  <c r="CU716" i="5" s="1"/>
  <c r="CU1235" i="5"/>
  <c r="IG558" i="5"/>
  <c r="IE558" i="5"/>
  <c r="CU560" i="5"/>
  <c r="DL1235" i="5"/>
  <c r="DL560" i="5"/>
  <c r="CL1244" i="5"/>
  <c r="I724" i="5"/>
  <c r="I588" i="5"/>
  <c r="AY1242" i="5"/>
  <c r="AY724" i="5"/>
  <c r="BN588" i="5"/>
  <c r="BN1242" i="5"/>
  <c r="BN724" i="5"/>
  <c r="CD1242" i="5"/>
  <c r="CD724" i="5"/>
  <c r="AC588" i="5"/>
  <c r="AC1249" i="5"/>
  <c r="BO1249" i="5"/>
  <c r="BO726" i="5"/>
  <c r="IC851" i="5"/>
  <c r="CO850" i="5"/>
  <c r="CO1082" i="5" s="1"/>
  <c r="II851" i="5"/>
  <c r="DI850" i="5"/>
  <c r="EC850" i="5"/>
  <c r="EC1082" i="5" s="1"/>
  <c r="IN851" i="5"/>
  <c r="EW850" i="5"/>
  <c r="EW1082" i="5" s="1"/>
  <c r="IR851" i="5"/>
  <c r="CK850" i="5"/>
  <c r="CK1082" i="5" s="1"/>
  <c r="IC868" i="5"/>
  <c r="FD1255" i="5"/>
  <c r="IT994" i="5"/>
  <c r="FD993" i="5"/>
  <c r="Z1097" i="5"/>
  <c r="Z987" i="5"/>
  <c r="Z1095" i="5" s="1"/>
  <c r="AO1097" i="5"/>
  <c r="AO987" i="5"/>
  <c r="AO1095" i="5" s="1"/>
  <c r="BQ1097" i="5"/>
  <c r="BQ987" i="5"/>
  <c r="BQ1095" i="5" s="1"/>
  <c r="JC801" i="5"/>
  <c r="AB550" i="5"/>
  <c r="AB714" i="5" s="1"/>
  <c r="AB1232" i="5"/>
  <c r="AB715" i="5"/>
  <c r="AU552" i="5"/>
  <c r="AU716" i="5"/>
  <c r="AU713" i="5"/>
  <c r="AU1233" i="5"/>
  <c r="DE1236" i="5"/>
  <c r="IH565" i="5"/>
  <c r="DE553" i="5"/>
  <c r="EG1236" i="5"/>
  <c r="EG553" i="5"/>
  <c r="ER1243" i="5"/>
  <c r="DF1244" i="5"/>
  <c r="I60" i="7"/>
  <c r="K60" i="7" s="1"/>
  <c r="IM611" i="5"/>
  <c r="CJ660" i="5"/>
  <c r="CJ732" i="5" s="1"/>
  <c r="CJ733" i="5"/>
  <c r="DU660" i="5"/>
  <c r="IL660" i="5" s="1"/>
  <c r="IL661" i="5"/>
  <c r="I106" i="7" s="1"/>
  <c r="K106" i="7" s="1"/>
  <c r="JB755" i="5"/>
  <c r="JA1076" i="5"/>
  <c r="IC761" i="5"/>
  <c r="II761" i="5"/>
  <c r="IN761" i="5"/>
  <c r="IR761" i="5"/>
  <c r="IX761" i="5"/>
  <c r="IE762" i="5"/>
  <c r="II762" i="5"/>
  <c r="IN762" i="5"/>
  <c r="IT762" i="5"/>
  <c r="IX762" i="5"/>
  <c r="IE765" i="5"/>
  <c r="IN765" i="5"/>
  <c r="IT765" i="5"/>
  <c r="II767" i="5"/>
  <c r="IE768" i="5"/>
  <c r="IT768" i="5"/>
  <c r="IO769" i="5"/>
  <c r="BF1081" i="5"/>
  <c r="AC1082" i="5"/>
  <c r="IB869" i="5"/>
  <c r="CI850" i="5"/>
  <c r="CI1082" i="5" s="1"/>
  <c r="IH869" i="5"/>
  <c r="DC850" i="5"/>
  <c r="DC1082" i="5" s="1"/>
  <c r="IQ869" i="5"/>
  <c r="EQ850" i="5"/>
  <c r="EQ1082" i="5" s="1"/>
  <c r="IW869" i="5"/>
  <c r="FK850" i="5"/>
  <c r="AF1703" i="2"/>
  <c r="JB961" i="5"/>
  <c r="AG1282" i="2" s="1"/>
  <c r="AH1096" i="5"/>
  <c r="AH987" i="5"/>
  <c r="AH1095" i="5" s="1"/>
  <c r="BJ987" i="5"/>
  <c r="BJ1095" i="5" s="1"/>
  <c r="BJ1096" i="5"/>
  <c r="M1097" i="5"/>
  <c r="M987" i="5"/>
  <c r="M1095" i="5" s="1"/>
  <c r="K1233" i="5"/>
  <c r="K552" i="5"/>
  <c r="K713" i="5"/>
  <c r="K716" i="5"/>
  <c r="AB716" i="5"/>
  <c r="AB713" i="5"/>
  <c r="AB1233" i="5"/>
  <c r="AS552" i="5"/>
  <c r="AS713" i="5"/>
  <c r="AS1233" i="5"/>
  <c r="BJ552" i="5"/>
  <c r="BJ1232" i="5" s="1"/>
  <c r="BJ716" i="5"/>
  <c r="CB716" i="5"/>
  <c r="CB713" i="5"/>
  <c r="CE1234" i="5"/>
  <c r="CE553" i="5"/>
  <c r="G44" i="7"/>
  <c r="H44" i="7" s="1"/>
  <c r="IM593" i="5"/>
  <c r="BO1242" i="5"/>
  <c r="BO724" i="5"/>
  <c r="BO588" i="5"/>
  <c r="BO658" i="5" s="1"/>
  <c r="EM599" i="5"/>
  <c r="EM1245" i="5"/>
  <c r="IQ600" i="5"/>
  <c r="N51" i="7" s="1"/>
  <c r="CR577" i="5"/>
  <c r="IE578" i="5"/>
  <c r="DG577" i="5"/>
  <c r="DG576" i="5" s="1"/>
  <c r="IH579" i="5"/>
  <c r="CS721" i="5"/>
  <c r="CS628" i="5"/>
  <c r="O70" i="7"/>
  <c r="IS623" i="5"/>
  <c r="P70" i="7" s="1"/>
  <c r="BQ1076" i="5"/>
  <c r="CV755" i="5"/>
  <c r="CV1076" i="5" s="1"/>
  <c r="FB1234" i="5"/>
  <c r="AR1077" i="5"/>
  <c r="FL1239" i="5"/>
  <c r="FL1079" i="5"/>
  <c r="IW819" i="5"/>
  <c r="CZ908" i="5"/>
  <c r="CZ818" i="5"/>
  <c r="IU820" i="5"/>
  <c r="FH908" i="5"/>
  <c r="IU824" i="5"/>
  <c r="FE1240" i="5"/>
  <c r="CZ1080" i="5"/>
  <c r="CR1236" i="5"/>
  <c r="IE565" i="5"/>
  <c r="AL1238" i="5"/>
  <c r="AL719" i="5"/>
  <c r="DC1240" i="5"/>
  <c r="DC721" i="5"/>
  <c r="CJ1243" i="5"/>
  <c r="CZ1243" i="5"/>
  <c r="DX1079" i="5"/>
  <c r="IL819" i="5"/>
  <c r="CF908" i="5"/>
  <c r="IB820" i="5"/>
  <c r="CF818" i="5"/>
  <c r="DT1080" i="5"/>
  <c r="JG961" i="5"/>
  <c r="HC814" i="5"/>
  <c r="JG815" i="5"/>
  <c r="BU719" i="5"/>
  <c r="CL1240" i="5"/>
  <c r="CL628" i="5"/>
  <c r="BJ713" i="5"/>
  <c r="BJ1233" i="5"/>
  <c r="DV1240" i="5"/>
  <c r="DV628" i="5"/>
  <c r="EC1243" i="5"/>
  <c r="BS588" i="5"/>
  <c r="BS1249" i="5"/>
  <c r="BS726" i="5"/>
  <c r="IS624" i="5"/>
  <c r="P71" i="7" s="1"/>
  <c r="N71" i="7"/>
  <c r="IF639" i="5"/>
  <c r="CX635" i="5"/>
  <c r="CK733" i="5"/>
  <c r="CK660" i="5"/>
  <c r="CK732" i="5" s="1"/>
  <c r="DD733" i="5"/>
  <c r="DD660" i="5"/>
  <c r="DD732" i="5" s="1"/>
  <c r="IH661" i="5"/>
  <c r="BK552" i="5"/>
  <c r="BK716" i="5"/>
  <c r="BK1233" i="5"/>
  <c r="CC552" i="5"/>
  <c r="CC716" i="5"/>
  <c r="CC713" i="5"/>
  <c r="CF1234" i="5"/>
  <c r="CF553" i="5"/>
  <c r="ER1235" i="5"/>
  <c r="ER553" i="5"/>
  <c r="DR1236" i="5"/>
  <c r="IK565" i="5"/>
  <c r="II566" i="5"/>
  <c r="F21" i="7" s="1"/>
  <c r="Y652" i="5"/>
  <c r="Y654" i="5"/>
  <c r="Y1242" i="5"/>
  <c r="AZ588" i="5"/>
  <c r="AZ1242" i="5"/>
  <c r="DV614" i="5"/>
  <c r="DV1248" i="5" s="1"/>
  <c r="IL617" i="5"/>
  <c r="I64" i="7" s="1"/>
  <c r="K64" i="7" s="1"/>
  <c r="EN635" i="5"/>
  <c r="EN1252" i="5" s="1"/>
  <c r="IQ636" i="5"/>
  <c r="EM635" i="5"/>
  <c r="IQ638" i="5"/>
  <c r="CU635" i="5"/>
  <c r="IE639" i="5"/>
  <c r="IG639" i="5"/>
  <c r="IG643" i="5"/>
  <c r="IF643" i="5"/>
  <c r="C89" i="7" s="1"/>
  <c r="IQ643" i="5"/>
  <c r="IQ644" i="5"/>
  <c r="CV685" i="5"/>
  <c r="CV683" i="5" s="1"/>
  <c r="CV1255" i="5" s="1"/>
  <c r="CV635" i="5"/>
  <c r="HC826" i="5"/>
  <c r="HC1237" i="5" s="1"/>
  <c r="DV1246" i="5"/>
  <c r="IL603" i="5"/>
  <c r="I53" i="7" s="1"/>
  <c r="K53" i="7" s="1"/>
  <c r="AJ1249" i="5"/>
  <c r="AJ588" i="5"/>
  <c r="BW588" i="5"/>
  <c r="BW726" i="5"/>
  <c r="X1253" i="5"/>
  <c r="X739" i="5"/>
  <c r="IK804" i="5"/>
  <c r="DO803" i="5"/>
  <c r="CF1079" i="5"/>
  <c r="CF814" i="5"/>
  <c r="CZ814" i="5"/>
  <c r="CZ1079" i="5"/>
  <c r="DT814" i="5"/>
  <c r="DT1079" i="5"/>
  <c r="EN814" i="5"/>
  <c r="EN1079" i="5"/>
  <c r="FH814" i="5"/>
  <c r="FH1239" i="5"/>
  <c r="DN1080" i="5"/>
  <c r="DN814" i="5"/>
  <c r="EH908" i="5"/>
  <c r="EH1087" i="5" s="1"/>
  <c r="EH814" i="5"/>
  <c r="EH1080" i="5"/>
  <c r="FV908" i="5"/>
  <c r="FV1080" i="5"/>
  <c r="FV814" i="5"/>
  <c r="CL818" i="5"/>
  <c r="IC819" i="5"/>
  <c r="IR819" i="5"/>
  <c r="ET1079" i="5"/>
  <c r="FN1079" i="5"/>
  <c r="DB1080" i="5"/>
  <c r="DB908" i="5"/>
  <c r="DV1080" i="5"/>
  <c r="IL820" i="5"/>
  <c r="EP1080" i="5"/>
  <c r="EP908" i="5"/>
  <c r="FJ908" i="5"/>
  <c r="FJ1240" i="5"/>
  <c r="FJ1080" i="5"/>
  <c r="E1097" i="5"/>
  <c r="E987" i="5"/>
  <c r="E1095" i="5" s="1"/>
  <c r="AE1097" i="5"/>
  <c r="AE987" i="5"/>
  <c r="AE1095" i="5" s="1"/>
  <c r="Z1784" i="2"/>
  <c r="Z1782" i="2" s="1"/>
  <c r="DH1175" i="5"/>
  <c r="CS1178" i="5"/>
  <c r="IJ18" i="5"/>
  <c r="IJ38" i="5"/>
  <c r="IJ105" i="5"/>
  <c r="DU560" i="5"/>
  <c r="IL558" i="5"/>
  <c r="I13" i="7" s="1"/>
  <c r="K13" i="7" s="1"/>
  <c r="DU1235" i="5"/>
  <c r="DB1243" i="5"/>
  <c r="R724" i="5"/>
  <c r="R1242" i="5"/>
  <c r="EU1245" i="5"/>
  <c r="EU599" i="5"/>
  <c r="G1253" i="5"/>
  <c r="G739" i="5"/>
  <c r="IG680" i="5"/>
  <c r="IH682" i="5"/>
  <c r="DF683" i="5"/>
  <c r="DF1255" i="5" s="1"/>
  <c r="DG696" i="5"/>
  <c r="DG695" i="5" s="1"/>
  <c r="DG1256" i="5" s="1"/>
  <c r="IH697" i="5"/>
  <c r="CQ696" i="5"/>
  <c r="CQ695" i="5" s="1"/>
  <c r="CQ1256" i="5" s="1"/>
  <c r="IE698" i="5"/>
  <c r="IK699" i="5"/>
  <c r="S1076" i="5"/>
  <c r="FF1234" i="5"/>
  <c r="CH993" i="5"/>
  <c r="CH988" i="5" s="1"/>
  <c r="IB1003" i="5"/>
  <c r="DB993" i="5"/>
  <c r="IF1003" i="5"/>
  <c r="AF1748" i="2"/>
  <c r="JB1003" i="5"/>
  <c r="AG1329" i="2" s="1"/>
  <c r="AF1691" i="2"/>
  <c r="EV555" i="5"/>
  <c r="EV1234" i="5" s="1"/>
  <c r="IR556" i="5"/>
  <c r="CN1235" i="5"/>
  <c r="CN553" i="5"/>
  <c r="DE1246" i="5"/>
  <c r="DE599" i="5"/>
  <c r="DC614" i="5"/>
  <c r="N100" i="7"/>
  <c r="IS655" i="5"/>
  <c r="P100" i="7" s="1"/>
  <c r="ET660" i="5"/>
  <c r="IR660" i="5" s="1"/>
  <c r="O105" i="7" s="1"/>
  <c r="IR661" i="5"/>
  <c r="O106" i="7" s="1"/>
  <c r="DO599" i="5"/>
  <c r="DO1245" i="5"/>
  <c r="IK600" i="5"/>
  <c r="EW1245" i="5"/>
  <c r="EW599" i="5"/>
  <c r="IJ51" i="5"/>
  <c r="IJ57" i="5"/>
  <c r="IJ67" i="5"/>
  <c r="IJ98" i="5"/>
  <c r="IJ133" i="5"/>
  <c r="IJ211" i="5"/>
  <c r="ES1243" i="5"/>
  <c r="IR591" i="5"/>
  <c r="O42" i="7" s="1"/>
  <c r="CX1247" i="5"/>
  <c r="IF606" i="5"/>
  <c r="C55" i="7" s="1"/>
  <c r="AP1097" i="5"/>
  <c r="AP987" i="5"/>
  <c r="IJ52" i="5"/>
  <c r="IJ99" i="5"/>
  <c r="IJ136" i="5"/>
  <c r="IJ179" i="5"/>
  <c r="IJ212" i="5"/>
  <c r="IJ219" i="5"/>
  <c r="AJ1233" i="5"/>
  <c r="AJ716" i="5"/>
  <c r="AJ713" i="5"/>
  <c r="EX1235" i="5"/>
  <c r="EX560" i="5"/>
  <c r="IF561" i="5"/>
  <c r="C16" i="7" s="1"/>
  <c r="IQ563" i="5"/>
  <c r="II565" i="5"/>
  <c r="F20" i="7" s="1"/>
  <c r="CU570" i="5"/>
  <c r="IG571" i="5"/>
  <c r="IE571" i="5"/>
  <c r="DO570" i="5"/>
  <c r="IK571" i="5"/>
  <c r="BT724" i="5"/>
  <c r="BT588" i="5"/>
  <c r="DV635" i="5"/>
  <c r="DV1252" i="5" s="1"/>
  <c r="EP635" i="5"/>
  <c r="EP1252" i="5" s="1"/>
  <c r="IE822" i="5"/>
  <c r="IE823" i="5"/>
  <c r="IO823" i="5"/>
  <c r="IO824" i="5"/>
  <c r="AZ654" i="5"/>
  <c r="DP1245" i="5"/>
  <c r="DP599" i="5"/>
  <c r="DR1250" i="5"/>
  <c r="IK622" i="5"/>
  <c r="CQ660" i="5"/>
  <c r="CQ732" i="5" s="1"/>
  <c r="CQ733" i="5"/>
  <c r="BG1253" i="5"/>
  <c r="BG739" i="5"/>
  <c r="CU670" i="5"/>
  <c r="CU669" i="5" s="1"/>
  <c r="IG671" i="5"/>
  <c r="DN670" i="5"/>
  <c r="DN669" i="5" s="1"/>
  <c r="DN628" i="5"/>
  <c r="DI696" i="5"/>
  <c r="II697" i="5"/>
  <c r="F139" i="7" s="1"/>
  <c r="AD1077" i="5"/>
  <c r="IH685" i="5"/>
  <c r="CZ1245" i="5"/>
  <c r="CZ599" i="5"/>
  <c r="DS685" i="5"/>
  <c r="DS683" i="5" s="1"/>
  <c r="DS1255" i="5" s="1"/>
  <c r="IK646" i="5"/>
  <c r="G92" i="7" s="1"/>
  <c r="DQ1235" i="5"/>
  <c r="IK558" i="5"/>
  <c r="DQ560" i="5"/>
  <c r="IG559" i="5"/>
  <c r="EX1245" i="5"/>
  <c r="EX599" i="5"/>
  <c r="EU614" i="5"/>
  <c r="EU1248" i="5" s="1"/>
  <c r="EW670" i="5"/>
  <c r="EW669" i="5" s="1"/>
  <c r="IR671" i="5"/>
  <c r="O116" i="7" s="1"/>
  <c r="IR676" i="5"/>
  <c r="O120" i="7" s="1"/>
  <c r="K121" i="7"/>
  <c r="IT851" i="5"/>
  <c r="EY850" i="5"/>
  <c r="BI1096" i="5"/>
  <c r="BI987" i="5"/>
  <c r="CI553" i="5"/>
  <c r="DW614" i="5"/>
  <c r="IJ108" i="5"/>
  <c r="IJ193" i="5"/>
  <c r="CQ1234" i="5"/>
  <c r="EX553" i="5"/>
  <c r="IQ571" i="5"/>
  <c r="E1238" i="5"/>
  <c r="E550" i="5"/>
  <c r="E719" i="5"/>
  <c r="O1242" i="5"/>
  <c r="O724" i="5"/>
  <c r="BC588" i="5"/>
  <c r="KY590" i="5"/>
  <c r="CS1245" i="5"/>
  <c r="IL601" i="5"/>
  <c r="F1097" i="5"/>
  <c r="F987" i="5"/>
  <c r="F1095" i="5" s="1"/>
  <c r="BQ739" i="5"/>
  <c r="Z652" i="5"/>
  <c r="Z1232" i="5"/>
  <c r="Z654" i="5"/>
  <c r="AQ1233" i="5"/>
  <c r="AQ716" i="5"/>
  <c r="BF716" i="5"/>
  <c r="BF713" i="5"/>
  <c r="BX713" i="5"/>
  <c r="BX552" i="5"/>
  <c r="DZ1236" i="5"/>
  <c r="IL565" i="5"/>
  <c r="I20" i="7" s="1"/>
  <c r="EW612" i="5"/>
  <c r="EW570" i="5"/>
  <c r="KZ590" i="5"/>
  <c r="AT1249" i="5"/>
  <c r="AT726" i="5"/>
  <c r="BM1249" i="5"/>
  <c r="BM726" i="5"/>
  <c r="IK637" i="5"/>
  <c r="EI635" i="5"/>
  <c r="EI1252" i="5" s="1"/>
  <c r="IR815" i="5"/>
  <c r="ES814" i="5"/>
  <c r="CY1080" i="5"/>
  <c r="CY908" i="5"/>
  <c r="EY1239" i="5"/>
  <c r="DG1080" i="5"/>
  <c r="IH820" i="5"/>
  <c r="EU1080" i="5"/>
  <c r="EU908" i="5"/>
  <c r="FO908" i="5"/>
  <c r="FO1080" i="5"/>
  <c r="FO1240" i="5"/>
  <c r="FM1255" i="5"/>
  <c r="FM993" i="5"/>
  <c r="AA713" i="5"/>
  <c r="AA716" i="5"/>
  <c r="BY552" i="5"/>
  <c r="BY654" i="5" s="1"/>
  <c r="BY1233" i="5"/>
  <c r="BY716" i="5"/>
  <c r="BY713" i="5"/>
  <c r="CO1243" i="5"/>
  <c r="DL1244" i="5"/>
  <c r="II595" i="5"/>
  <c r="F46" i="7" s="1"/>
  <c r="AD1242" i="5"/>
  <c r="AD724" i="5"/>
  <c r="AD588" i="5"/>
  <c r="AQ588" i="5"/>
  <c r="AQ724" i="5"/>
  <c r="BD1242" i="5"/>
  <c r="BD724" i="5"/>
  <c r="BD588" i="5"/>
  <c r="BU724" i="5"/>
  <c r="IG615" i="5"/>
  <c r="IG616" i="5"/>
  <c r="IK616" i="5"/>
  <c r="L1249" i="5"/>
  <c r="L726" i="5"/>
  <c r="AU1249" i="5"/>
  <c r="AU726" i="5"/>
  <c r="CP1250" i="5"/>
  <c r="EA683" i="5"/>
  <c r="EA1255" i="5" s="1"/>
  <c r="IH797" i="5"/>
  <c r="IW797" i="5"/>
  <c r="FF1243" i="5"/>
  <c r="FF850" i="5"/>
  <c r="FF1082" i="5" s="1"/>
  <c r="IU851" i="5"/>
  <c r="IY998" i="5"/>
  <c r="AF1324" i="2" s="1"/>
  <c r="IX1000" i="5"/>
  <c r="AF1735" i="2" s="1"/>
  <c r="IY1014" i="5"/>
  <c r="AF1339" i="2" s="1"/>
  <c r="AF1753" i="2" s="1"/>
  <c r="IK232" i="5"/>
  <c r="E22" i="7"/>
  <c r="CW1240" i="5"/>
  <c r="CW721" i="5"/>
  <c r="CW628" i="5"/>
  <c r="CI582" i="5"/>
  <c r="CI631" i="5"/>
  <c r="EN683" i="5"/>
  <c r="EN1255" i="5" s="1"/>
  <c r="CT803" i="5"/>
  <c r="CT1077" i="5" s="1"/>
  <c r="DN803" i="5"/>
  <c r="DN1077" i="5" s="1"/>
  <c r="FB803" i="5"/>
  <c r="IE807" i="5"/>
  <c r="IN811" i="5"/>
  <c r="IB815" i="5"/>
  <c r="CY814" i="5"/>
  <c r="EG908" i="5"/>
  <c r="IO817" i="5"/>
  <c r="FU908" i="5"/>
  <c r="FU814" i="5"/>
  <c r="DF912" i="5"/>
  <c r="IH919" i="5"/>
  <c r="CK1093" i="5"/>
  <c r="CK947" i="5"/>
  <c r="JD802" i="5"/>
  <c r="JD788" i="5"/>
  <c r="DY1234" i="5"/>
  <c r="DY553" i="5"/>
  <c r="CL570" i="5"/>
  <c r="DU614" i="5"/>
  <c r="EO614" i="5"/>
  <c r="EO1248" i="5" s="1"/>
  <c r="EO635" i="5"/>
  <c r="EO1252" i="5" s="1"/>
  <c r="IQ637" i="5"/>
  <c r="E91" i="7"/>
  <c r="IH773" i="5"/>
  <c r="II778" i="5"/>
  <c r="IX779" i="5"/>
  <c r="IN994" i="5"/>
  <c r="FO1255" i="5"/>
  <c r="FO993" i="5"/>
  <c r="P1233" i="5"/>
  <c r="P716" i="5"/>
  <c r="IR566" i="5"/>
  <c r="IQ567" i="5"/>
  <c r="CD552" i="5"/>
  <c r="DR614" i="5"/>
  <c r="DR1248" i="5" s="1"/>
  <c r="DT733" i="5"/>
  <c r="DT660" i="5"/>
  <c r="DT732" i="5" s="1"/>
  <c r="BR1096" i="5"/>
  <c r="BR987" i="5"/>
  <c r="BR1095" i="5" s="1"/>
  <c r="Y1793" i="2"/>
  <c r="Y1791" i="2" s="1"/>
  <c r="IJ14" i="5"/>
  <c r="IJ94" i="5"/>
  <c r="IJ120" i="5"/>
  <c r="IJ181" i="5"/>
  <c r="IH605" i="5"/>
  <c r="IL605" i="5"/>
  <c r="CQ1250" i="5"/>
  <c r="IE622" i="5"/>
  <c r="IG622" i="5"/>
  <c r="IK643" i="5"/>
  <c r="DW635" i="5"/>
  <c r="DW1252" i="5" s="1"/>
  <c r="CV733" i="5"/>
  <c r="CV660" i="5"/>
  <c r="CV732" i="5" s="1"/>
  <c r="IO794" i="5"/>
  <c r="IB797" i="5"/>
  <c r="IQ797" i="5"/>
  <c r="IB798" i="5"/>
  <c r="IQ798" i="5"/>
  <c r="IL799" i="5"/>
  <c r="IH800" i="5"/>
  <c r="IW800" i="5"/>
  <c r="IC801" i="5"/>
  <c r="IR801" i="5"/>
  <c r="IC802" i="5"/>
  <c r="IR802" i="5"/>
  <c r="JE942" i="5"/>
  <c r="JE982" i="5"/>
  <c r="AH1308" i="2" s="1"/>
  <c r="HB994" i="5"/>
  <c r="GN1027" i="5"/>
  <c r="GN1019" i="5" s="1"/>
  <c r="GN1253" i="5" s="1"/>
  <c r="JC1028" i="5"/>
  <c r="JC799" i="5"/>
  <c r="JD797" i="5"/>
  <c r="IJ104" i="5"/>
  <c r="IJ123" i="5"/>
  <c r="DM1236" i="5"/>
  <c r="F1238" i="5"/>
  <c r="II605" i="5"/>
  <c r="F54" i="7" s="1"/>
  <c r="IK626" i="5"/>
  <c r="CL733" i="5"/>
  <c r="CL660" i="5"/>
  <c r="CL732" i="5" s="1"/>
  <c r="IB994" i="5"/>
  <c r="EY1255" i="5"/>
  <c r="EY993" i="5"/>
  <c r="CR1184" i="5"/>
  <c r="JE865" i="5"/>
  <c r="AH1184" i="2" s="1"/>
  <c r="IJ111" i="5"/>
  <c r="AT716" i="5"/>
  <c r="AT713" i="5"/>
  <c r="CM582" i="5"/>
  <c r="CM631" i="5"/>
  <c r="CV826" i="5"/>
  <c r="CV1081" i="5" s="1"/>
  <c r="IE827" i="5"/>
  <c r="EZ993" i="5"/>
  <c r="EZ1255" i="5"/>
  <c r="JB997" i="5"/>
  <c r="AG1323" i="2" s="1"/>
  <c r="AF1736" i="2"/>
  <c r="DI635" i="5"/>
  <c r="IL694" i="5"/>
  <c r="I136" i="7" s="1"/>
  <c r="FR1243" i="5"/>
  <c r="FR850" i="5"/>
  <c r="FR1082" i="5" s="1"/>
  <c r="IY961" i="5"/>
  <c r="AF1282" i="2" s="1"/>
  <c r="JE823" i="5"/>
  <c r="AH1129" i="2" s="1"/>
  <c r="AH1412" i="2" s="1"/>
  <c r="AH1501" i="2" s="1"/>
  <c r="JG851" i="5"/>
  <c r="JG793" i="5"/>
  <c r="AY1233" i="5"/>
  <c r="AY552" i="5"/>
  <c r="DF570" i="5"/>
  <c r="CM570" i="5"/>
  <c r="DG570" i="5"/>
  <c r="K36" i="7"/>
  <c r="CR1245" i="5"/>
  <c r="CR599" i="5"/>
  <c r="DL1246" i="5"/>
  <c r="DL599" i="5"/>
  <c r="IQ676" i="5"/>
  <c r="EN670" i="5"/>
  <c r="EL803" i="5"/>
  <c r="IU806" i="5"/>
  <c r="IO810" i="5"/>
  <c r="AH813" i="5"/>
  <c r="BB813" i="5"/>
  <c r="CS908" i="5"/>
  <c r="CS1087" i="5" s="1"/>
  <c r="ID1189" i="5"/>
  <c r="D1796" i="2"/>
  <c r="JH1029" i="5"/>
  <c r="AI1354" i="2" s="1"/>
  <c r="JF1028" i="5"/>
  <c r="JF1027" i="5" s="1"/>
  <c r="JF1019" i="5" s="1"/>
  <c r="CH850" i="5"/>
  <c r="AM1093" i="5"/>
  <c r="AM947" i="5"/>
  <c r="AM1092" i="5" s="1"/>
  <c r="BW1093" i="5"/>
  <c r="BW947" i="5"/>
  <c r="N987" i="5"/>
  <c r="N1095" i="5" s="1"/>
  <c r="BD947" i="5"/>
  <c r="BD1092" i="5" s="1"/>
  <c r="DV850" i="5"/>
  <c r="DP582" i="5"/>
  <c r="IK583" i="5"/>
  <c r="IL592" i="5"/>
  <c r="IG627" i="5"/>
  <c r="IH649" i="5"/>
  <c r="D94" i="7" s="1"/>
  <c r="CR912" i="5"/>
  <c r="DL912" i="5"/>
  <c r="EF912" i="5"/>
  <c r="JA1093" i="5"/>
  <c r="AG1686" i="2"/>
  <c r="DF1178" i="5"/>
  <c r="DI1178" i="5"/>
  <c r="CX1184" i="5"/>
  <c r="ID1188" i="5"/>
  <c r="D1795" i="2"/>
  <c r="CT1191" i="5"/>
  <c r="JB912" i="5"/>
  <c r="EE1240" i="5"/>
  <c r="EE628" i="5"/>
  <c r="AG1739" i="2"/>
  <c r="AG1738" i="2" s="1"/>
  <c r="CQ1178" i="5"/>
  <c r="JC761" i="5"/>
  <c r="JH921" i="5"/>
  <c r="AI1242" i="2" s="1"/>
  <c r="IJ9" i="5"/>
  <c r="IJ28" i="5"/>
  <c r="IJ50" i="5"/>
  <c r="IJ97" i="5"/>
  <c r="IJ117" i="5"/>
  <c r="IJ168" i="5"/>
  <c r="IK559" i="5"/>
  <c r="CV560" i="5"/>
  <c r="DP560" i="5"/>
  <c r="EJ560" i="5"/>
  <c r="CE560" i="5"/>
  <c r="IF562" i="5"/>
  <c r="C17" i="7" s="1"/>
  <c r="IQ562" i="5"/>
  <c r="IL563" i="5"/>
  <c r="EO560" i="5"/>
  <c r="IG582" i="5"/>
  <c r="IG721" i="5" s="1"/>
  <c r="EV670" i="5"/>
  <c r="IC767" i="5"/>
  <c r="IH767" i="5"/>
  <c r="IN767" i="5"/>
  <c r="IR767" i="5"/>
  <c r="IW767" i="5"/>
  <c r="IC768" i="5"/>
  <c r="II768" i="5"/>
  <c r="IN768" i="5"/>
  <c r="IR768" i="5"/>
  <c r="IX768" i="5"/>
  <c r="IE769" i="5"/>
  <c r="II769" i="5"/>
  <c r="IN769" i="5"/>
  <c r="IT769" i="5"/>
  <c r="IX769" i="5"/>
  <c r="IE770" i="5"/>
  <c r="II770" i="5"/>
  <c r="IO770" i="5"/>
  <c r="IT770" i="5"/>
  <c r="IX770" i="5"/>
  <c r="IE771" i="5"/>
  <c r="IV1004" i="5"/>
  <c r="AE1330" i="2" s="1"/>
  <c r="JB1019" i="5"/>
  <c r="JB1023" i="5"/>
  <c r="AG1348" i="2" s="1"/>
  <c r="GT850" i="5"/>
  <c r="FL1093" i="5"/>
  <c r="FL947" i="5"/>
  <c r="IH1003" i="5"/>
  <c r="JB1008" i="5"/>
  <c r="AG1334" i="2" s="1"/>
  <c r="GX826" i="5"/>
  <c r="GX1237" i="5" s="1"/>
  <c r="GY814" i="5"/>
  <c r="GY908" i="5"/>
  <c r="IE572" i="5"/>
  <c r="DF577" i="5"/>
  <c r="II622" i="5"/>
  <c r="DI1250" i="5"/>
  <c r="IF792" i="5"/>
  <c r="IO792" i="5"/>
  <c r="IF793" i="5"/>
  <c r="IN802" i="5"/>
  <c r="IE809" i="5"/>
  <c r="IK817" i="5"/>
  <c r="EI908" i="5"/>
  <c r="EI1080" i="5"/>
  <c r="EQ1080" i="5"/>
  <c r="EQ908" i="5"/>
  <c r="JF800" i="5"/>
  <c r="JH806" i="5"/>
  <c r="AI1112" i="2" s="1"/>
  <c r="JH894" i="5"/>
  <c r="AI1215" i="2" s="1"/>
  <c r="IL561" i="5"/>
  <c r="IR561" i="5"/>
  <c r="ET614" i="5"/>
  <c r="IQ618" i="5"/>
  <c r="IN771" i="5"/>
  <c r="IB785" i="5"/>
  <c r="IL798" i="5"/>
  <c r="FE803" i="5"/>
  <c r="IT810" i="5"/>
  <c r="EJ908" i="5"/>
  <c r="JD876" i="5"/>
  <c r="JD832" i="5"/>
  <c r="JD828" i="5"/>
  <c r="GQ814" i="5"/>
  <c r="GO826" i="5"/>
  <c r="GO1237" i="5" s="1"/>
  <c r="JH886" i="5"/>
  <c r="AI1207" i="2" s="1"/>
  <c r="CF570" i="5"/>
  <c r="CG570" i="5"/>
  <c r="CK608" i="5"/>
  <c r="CT733" i="5"/>
  <c r="CT660" i="5"/>
  <c r="CT732" i="5" s="1"/>
  <c r="K107" i="7"/>
  <c r="JE1035" i="5"/>
  <c r="AH1360" i="2" s="1"/>
  <c r="JE1020" i="5"/>
  <c r="AH1345" i="2" s="1"/>
  <c r="JE1004" i="5"/>
  <c r="AH1330" i="2" s="1"/>
  <c r="JE954" i="5"/>
  <c r="AH1275" i="2" s="1"/>
  <c r="JE766" i="5"/>
  <c r="AH1072" i="2" s="1"/>
  <c r="IL596" i="5"/>
  <c r="I47" i="7" s="1"/>
  <c r="K47" i="7" s="1"/>
  <c r="S588" i="5"/>
  <c r="E81" i="7"/>
  <c r="DS635" i="5"/>
  <c r="CP1184" i="5"/>
  <c r="E38" i="7"/>
  <c r="II698" i="5"/>
  <c r="IE757" i="5"/>
  <c r="IK757" i="5"/>
  <c r="IO757" i="5"/>
  <c r="IT757" i="5"/>
  <c r="EI993" i="5"/>
  <c r="JD799" i="5"/>
  <c r="JD770" i="5"/>
  <c r="JC767" i="5"/>
  <c r="JD762" i="5"/>
  <c r="JH887" i="5"/>
  <c r="AI1208" i="2" s="1"/>
  <c r="HF908" i="5"/>
  <c r="HE814" i="5"/>
  <c r="GV826" i="5"/>
  <c r="GV1237" i="5" s="1"/>
  <c r="IJ144" i="5"/>
  <c r="IE582" i="5"/>
  <c r="IE721" i="5" s="1"/>
  <c r="DY614" i="5"/>
  <c r="FV1234" i="5"/>
  <c r="JB769" i="5"/>
  <c r="AG1075" i="2" s="1"/>
  <c r="AG484" i="2" s="1"/>
  <c r="IQ903" i="5"/>
  <c r="JB981" i="5"/>
  <c r="AG1307" i="2" s="1"/>
  <c r="GK994" i="5"/>
  <c r="JE760" i="5"/>
  <c r="AH1066" i="2" s="1"/>
  <c r="JG778" i="5"/>
  <c r="IJ230" i="5"/>
  <c r="CN685" i="5"/>
  <c r="CN683" i="5" s="1"/>
  <c r="CN1255" i="5" s="1"/>
  <c r="CN635" i="5"/>
  <c r="EE683" i="5"/>
  <c r="EE1255" i="5" s="1"/>
  <c r="JD955" i="5"/>
  <c r="JC777" i="5"/>
  <c r="DH560" i="5"/>
  <c r="DY683" i="5"/>
  <c r="DY1255" i="5" s="1"/>
  <c r="DL696" i="5"/>
  <c r="DL695" i="5" s="1"/>
  <c r="DL1256" i="5" s="1"/>
  <c r="IK828" i="5"/>
  <c r="CO912" i="5"/>
  <c r="BU1093" i="5"/>
  <c r="BU947" i="5"/>
  <c r="GI948" i="5"/>
  <c r="GI947" i="5" s="1"/>
  <c r="JD853" i="5"/>
  <c r="JC901" i="5"/>
  <c r="JE834" i="5"/>
  <c r="AH1140" i="2" s="1"/>
  <c r="JD786" i="5"/>
  <c r="BC552" i="5"/>
  <c r="BC713" i="5"/>
  <c r="EF560" i="5"/>
  <c r="DM635" i="5"/>
  <c r="CO733" i="5"/>
  <c r="CO660" i="5"/>
  <c r="CO732" i="5" s="1"/>
  <c r="CK670" i="5"/>
  <c r="CK669" i="5" s="1"/>
  <c r="EG683" i="5"/>
  <c r="EG1255" i="5" s="1"/>
  <c r="EO850" i="5"/>
  <c r="EO1082" i="5" s="1"/>
  <c r="HF994" i="5"/>
  <c r="GO850" i="5"/>
  <c r="JG788" i="5"/>
  <c r="JG798" i="5"/>
  <c r="IC828" i="5"/>
  <c r="IH828" i="5"/>
  <c r="IN828" i="5"/>
  <c r="IR828" i="5"/>
  <c r="IW828" i="5"/>
  <c r="IC829" i="5"/>
  <c r="II829" i="5"/>
  <c r="IN829" i="5"/>
  <c r="IR829" i="5"/>
  <c r="IX829" i="5"/>
  <c r="IE830" i="5"/>
  <c r="II830" i="5"/>
  <c r="IN830" i="5"/>
  <c r="IT830" i="5"/>
  <c r="IX830" i="5"/>
  <c r="IE831" i="5"/>
  <c r="II831" i="5"/>
  <c r="IO831" i="5"/>
  <c r="IT831" i="5"/>
  <c r="IX831" i="5"/>
  <c r="IE832" i="5"/>
  <c r="IK832" i="5"/>
  <c r="IO832" i="5"/>
  <c r="IT832" i="5"/>
  <c r="IB834" i="5"/>
  <c r="IF834" i="5"/>
  <c r="IK834" i="5"/>
  <c r="IQ834" i="5"/>
  <c r="IU834" i="5"/>
  <c r="IB835" i="5"/>
  <c r="IF835" i="5"/>
  <c r="IL835" i="5"/>
  <c r="IQ835" i="5"/>
  <c r="IU835" i="5"/>
  <c r="JE868" i="5"/>
  <c r="AH1187" i="2" s="1"/>
  <c r="AH1427" i="2" s="1"/>
  <c r="AH1516" i="2" s="1"/>
  <c r="GG1087" i="5"/>
  <c r="JA908" i="5"/>
  <c r="JA1087" i="5" s="1"/>
  <c r="HF947" i="5"/>
  <c r="GL1019" i="5"/>
  <c r="GL1253" i="5" s="1"/>
  <c r="JD885" i="5"/>
  <c r="JE841" i="5"/>
  <c r="AH1147" i="2" s="1"/>
  <c r="JF952" i="5"/>
  <c r="IG557" i="5"/>
  <c r="DR1184" i="5"/>
  <c r="GO1019" i="5"/>
  <c r="GO1253" i="5" s="1"/>
  <c r="GK814" i="5"/>
  <c r="JH790" i="5"/>
  <c r="AI1096" i="2" s="1"/>
  <c r="AI532" i="2" s="1"/>
  <c r="JH897" i="5"/>
  <c r="AI1218" i="2" s="1"/>
  <c r="IJ55" i="5"/>
  <c r="IJ95" i="5"/>
  <c r="IJ102" i="5"/>
  <c r="IJ121" i="5"/>
  <c r="AU588" i="5"/>
  <c r="EV683" i="5"/>
  <c r="EV1255" i="5" s="1"/>
  <c r="GL994" i="5"/>
  <c r="GL826" i="5"/>
  <c r="GL1237" i="5" s="1"/>
  <c r="JF757" i="5"/>
  <c r="JF772" i="5"/>
  <c r="JF828" i="5"/>
  <c r="JH922" i="5"/>
  <c r="AI1243" i="2" s="1"/>
  <c r="ED570" i="5"/>
  <c r="CQ570" i="5"/>
  <c r="E70" i="7"/>
  <c r="JD903" i="5"/>
  <c r="GQ908" i="5"/>
  <c r="JF839" i="5"/>
  <c r="JD833" i="5"/>
  <c r="GN814" i="5"/>
  <c r="EJ577" i="5"/>
  <c r="IE643" i="5"/>
  <c r="IE680" i="5"/>
  <c r="JH1012" i="5"/>
  <c r="GR994" i="5"/>
  <c r="GT826" i="5"/>
  <c r="GT1237" i="5" s="1"/>
  <c r="JC763" i="5"/>
  <c r="JG829" i="5"/>
  <c r="JE902" i="5"/>
  <c r="AH1223" i="2" s="1"/>
  <c r="JE974" i="5"/>
  <c r="AH1295" i="2" s="1"/>
  <c r="AH1465" i="2" s="1"/>
  <c r="AH1554" i="2" s="1"/>
  <c r="JE959" i="5"/>
  <c r="AH1280" i="2" s="1"/>
  <c r="GQ850" i="5"/>
  <c r="JE836" i="5"/>
  <c r="AH1142" i="2" s="1"/>
  <c r="GJ908" i="5"/>
  <c r="JF791" i="5"/>
  <c r="JH836" i="5"/>
  <c r="AI1142" i="2" s="1"/>
  <c r="JH898" i="5"/>
  <c r="AI1219" i="2" s="1"/>
  <c r="HE908" i="5"/>
  <c r="HD814" i="5"/>
  <c r="JC985" i="5"/>
  <c r="JC1094" i="5" s="1"/>
  <c r="JD820" i="5"/>
  <c r="JD763" i="5"/>
  <c r="GM814" i="5"/>
  <c r="JG799" i="5"/>
  <c r="JH881" i="5"/>
  <c r="AI1202" i="2" s="1"/>
  <c r="HB826" i="5"/>
  <c r="HB1237" i="5" s="1"/>
  <c r="JH845" i="5"/>
  <c r="AI1151" i="2" s="1"/>
  <c r="AI1419" i="2" s="1"/>
  <c r="AI1508" i="2" s="1"/>
  <c r="FZ1087" i="5"/>
  <c r="JC860" i="5"/>
  <c r="JE858" i="5"/>
  <c r="AH1164" i="2" s="1"/>
  <c r="JE1010" i="5"/>
  <c r="AH1336" i="2" s="1"/>
  <c r="JE973" i="5"/>
  <c r="AH1294" i="2" s="1"/>
  <c r="JC828" i="5"/>
  <c r="JD773" i="5"/>
  <c r="JC772" i="5"/>
  <c r="JD756" i="5"/>
  <c r="JG885" i="5"/>
  <c r="JF901" i="5"/>
  <c r="GZ826" i="5"/>
  <c r="GZ1237" i="5" s="1"/>
  <c r="CW683" i="5"/>
  <c r="IE674" i="5"/>
  <c r="JH1032" i="5"/>
  <c r="AI1358" i="2" s="1"/>
  <c r="AI1471" i="2" s="1"/>
  <c r="AI1560" i="2" s="1"/>
  <c r="JE1038" i="5"/>
  <c r="AH1363" i="2" s="1"/>
  <c r="AH1473" i="2" s="1"/>
  <c r="AH1562" i="2" s="1"/>
  <c r="GJ948" i="5"/>
  <c r="GJ947" i="5" s="1"/>
  <c r="JE848" i="5"/>
  <c r="AH1154" i="2" s="1"/>
  <c r="JE795" i="5"/>
  <c r="AH1101" i="2" s="1"/>
  <c r="JC786" i="5"/>
  <c r="GP814" i="5"/>
  <c r="JG757" i="5"/>
  <c r="JF797" i="5"/>
  <c r="JF832" i="5"/>
  <c r="JH964" i="5"/>
  <c r="AI1285" i="2" s="1"/>
  <c r="JH984" i="5"/>
  <c r="AI1310" i="2" s="1"/>
  <c r="IJ222" i="5"/>
  <c r="IH232" i="5"/>
  <c r="IJ243" i="5"/>
  <c r="JB797" i="5"/>
  <c r="AG1103" i="2" s="1"/>
  <c r="AG564" i="2" s="1"/>
  <c r="JE921" i="5"/>
  <c r="AH1242" i="2" s="1"/>
  <c r="JE939" i="5"/>
  <c r="GP994" i="5"/>
  <c r="JD869" i="5"/>
  <c r="JG772" i="5"/>
  <c r="JH858" i="5"/>
  <c r="AI1164" i="2" s="1"/>
  <c r="JH989" i="5"/>
  <c r="AI1315" i="2" s="1"/>
  <c r="IC794" i="5"/>
  <c r="IR794" i="5"/>
  <c r="IE798" i="5"/>
  <c r="IT798" i="5"/>
  <c r="IO799" i="5"/>
  <c r="IK800" i="5"/>
  <c r="IF801" i="5"/>
  <c r="IU801" i="5"/>
  <c r="JC995" i="5"/>
  <c r="JD785" i="5"/>
  <c r="JF778" i="5"/>
  <c r="DD577" i="5"/>
  <c r="DX577" i="5"/>
  <c r="ER577" i="5"/>
  <c r="DS577" i="5"/>
  <c r="IE794" i="5"/>
  <c r="IT794" i="5"/>
  <c r="IF798" i="5"/>
  <c r="IU798" i="5"/>
  <c r="IB799" i="5"/>
  <c r="IQ799" i="5"/>
  <c r="IL800" i="5"/>
  <c r="IH801" i="5"/>
  <c r="IW801" i="5"/>
  <c r="JB836" i="5"/>
  <c r="AG1142" i="2" s="1"/>
  <c r="JD952" i="5"/>
  <c r="JE856" i="5"/>
  <c r="AH1162" i="2" s="1"/>
  <c r="AH1425" i="2" s="1"/>
  <c r="AH1514" i="2" s="1"/>
  <c r="JE888" i="5"/>
  <c r="AH1209" i="2" s="1"/>
  <c r="JE1005" i="5"/>
  <c r="AH1331" i="2" s="1"/>
  <c r="JC789" i="5"/>
  <c r="JD779" i="5"/>
  <c r="GS908" i="5"/>
  <c r="JD771" i="5"/>
  <c r="JC843" i="5"/>
  <c r="JF765" i="5"/>
  <c r="JG777" i="5"/>
  <c r="JH844" i="5"/>
  <c r="AI1150" i="2" s="1"/>
  <c r="JG955" i="5"/>
  <c r="JH990" i="5"/>
  <c r="AI1316" i="2" s="1"/>
  <c r="CV628" i="5"/>
  <c r="IK676" i="5"/>
  <c r="JB777" i="5"/>
  <c r="AG1083" i="2" s="1"/>
  <c r="II847" i="5"/>
  <c r="JE864" i="5"/>
  <c r="JE883" i="5"/>
  <c r="AH1204" i="2" s="1"/>
  <c r="AH1430" i="2" s="1"/>
  <c r="AH1519" i="2" s="1"/>
  <c r="GI994" i="5"/>
  <c r="GI1255" i="5" s="1"/>
  <c r="JD912" i="5"/>
  <c r="JD835" i="5"/>
  <c r="JC768" i="5"/>
  <c r="GR826" i="5"/>
  <c r="GR1237" i="5" s="1"/>
  <c r="JH760" i="5"/>
  <c r="AI1066" i="2" s="1"/>
  <c r="JH900" i="5"/>
  <c r="AI1221" i="2" s="1"/>
  <c r="HE850" i="5"/>
  <c r="JH803" i="5"/>
  <c r="AI1109" i="2" s="1"/>
  <c r="JH1033" i="5"/>
  <c r="AI1359" i="2" s="1"/>
  <c r="JE863" i="5"/>
  <c r="AH1169" i="2" s="1"/>
  <c r="JE882" i="5"/>
  <c r="AH1203" i="2" s="1"/>
  <c r="JE847" i="5"/>
  <c r="AH1153" i="2" s="1"/>
  <c r="JD798" i="5"/>
  <c r="JC797" i="5"/>
  <c r="JD778" i="5"/>
  <c r="JC770" i="5"/>
  <c r="GO814" i="5"/>
  <c r="JF801" i="5"/>
  <c r="JH859" i="5"/>
  <c r="AI1165" i="2" s="1"/>
  <c r="JH865" i="5"/>
  <c r="AI1184" i="2" s="1"/>
  <c r="JH957" i="5"/>
  <c r="AI1278" i="2" s="1"/>
  <c r="JH973" i="5"/>
  <c r="AI1294" i="2" s="1"/>
  <c r="JG1011" i="5"/>
  <c r="CZ670" i="5"/>
  <c r="CZ669" i="5" s="1"/>
  <c r="DK826" i="5"/>
  <c r="JC876" i="5"/>
  <c r="GT994" i="5"/>
  <c r="JD839" i="5"/>
  <c r="JC832" i="5"/>
  <c r="JE825" i="5"/>
  <c r="AH1131" i="2" s="1"/>
  <c r="AH1414" i="2" s="1"/>
  <c r="AH1503" i="2" s="1"/>
  <c r="JH811" i="5"/>
  <c r="AI1117" i="2" s="1"/>
  <c r="HC850" i="5"/>
  <c r="DA670" i="5"/>
  <c r="DA669" i="5" s="1"/>
  <c r="DU670" i="5"/>
  <c r="DU669" i="5" s="1"/>
  <c r="EO670" i="5"/>
  <c r="EO669" i="5" s="1"/>
  <c r="IK673" i="5"/>
  <c r="CE670" i="5"/>
  <c r="CE669" i="5" s="1"/>
  <c r="CY670" i="5"/>
  <c r="CY669" i="5" s="1"/>
  <c r="DS670" i="5"/>
  <c r="DS669" i="5" s="1"/>
  <c r="CJ683" i="5"/>
  <c r="CJ1255" i="5" s="1"/>
  <c r="IQ686" i="5"/>
  <c r="CU826" i="5"/>
  <c r="CU1081" i="5" s="1"/>
  <c r="JC835" i="5"/>
  <c r="JD843" i="5"/>
  <c r="JC771" i="5"/>
  <c r="JH831" i="5"/>
  <c r="AI1137" i="2" s="1"/>
  <c r="JG919" i="5"/>
  <c r="JH951" i="5"/>
  <c r="JC952" i="5"/>
  <c r="GX850" i="5"/>
  <c r="HC947" i="5"/>
  <c r="JC778" i="5"/>
  <c r="JG787" i="5"/>
  <c r="JF756" i="5"/>
  <c r="BO813" i="5"/>
  <c r="EY908" i="5"/>
  <c r="EM908" i="5"/>
  <c r="FG908" i="5"/>
  <c r="DE912" i="5"/>
  <c r="ES912" i="5"/>
  <c r="JC955" i="5"/>
  <c r="JE861" i="5"/>
  <c r="AH1167" i="2" s="1"/>
  <c r="JE878" i="5"/>
  <c r="AH1199" i="2" s="1"/>
  <c r="AH697" i="2" s="1"/>
  <c r="AH698" i="2" s="1"/>
  <c r="JE977" i="5"/>
  <c r="AH1301" i="2" s="1"/>
  <c r="HA947" i="5"/>
  <c r="GQ994" i="5"/>
  <c r="GN994" i="5"/>
  <c r="JD985" i="5"/>
  <c r="JD1094" i="5" s="1"/>
  <c r="JE830" i="5"/>
  <c r="AH1136" i="2" s="1"/>
  <c r="JD792" i="5"/>
  <c r="JD769" i="5"/>
  <c r="JC757" i="5"/>
  <c r="GS826" i="5"/>
  <c r="GS1237" i="5" s="1"/>
  <c r="JG791" i="5"/>
  <c r="JH805" i="5"/>
  <c r="AI1111" i="2" s="1"/>
  <c r="JH847" i="5"/>
  <c r="AI1153" i="2" s="1"/>
  <c r="JH893" i="5"/>
  <c r="AI1214" i="2" s="1"/>
  <c r="JH977" i="5"/>
  <c r="AI1301" i="2" s="1"/>
  <c r="JG764" i="5"/>
  <c r="JF771" i="5"/>
  <c r="IG598" i="5"/>
  <c r="IE598" i="5"/>
  <c r="EH628" i="5"/>
  <c r="EH1240" i="5"/>
  <c r="AN1081" i="5"/>
  <c r="AV1097" i="5"/>
  <c r="AV987" i="5"/>
  <c r="DE582" i="5"/>
  <c r="IH583" i="5"/>
  <c r="DG628" i="5"/>
  <c r="DG1240" i="5"/>
  <c r="DG721" i="5"/>
  <c r="EQ683" i="5"/>
  <c r="IQ694" i="5"/>
  <c r="DF1240" i="5"/>
  <c r="DF628" i="5"/>
  <c r="DF721" i="5"/>
  <c r="AN1242" i="5"/>
  <c r="AN724" i="5"/>
  <c r="AN588" i="5"/>
  <c r="JF819" i="5"/>
  <c r="CF1239" i="5"/>
  <c r="CF720" i="5"/>
  <c r="AM1077" i="5"/>
  <c r="AB1242" i="5"/>
  <c r="AB724" i="5"/>
  <c r="AB588" i="5"/>
  <c r="AB654" i="5"/>
  <c r="AB652" i="5"/>
  <c r="AB653" i="5"/>
  <c r="CX1240" i="5"/>
  <c r="CX628" i="5"/>
  <c r="CX721" i="5"/>
  <c r="IX793" i="5"/>
  <c r="EB1234" i="5"/>
  <c r="EB553" i="5"/>
  <c r="EO1244" i="5"/>
  <c r="IQ595" i="5"/>
  <c r="AY1081" i="5"/>
  <c r="CL826" i="5"/>
  <c r="IC827" i="5"/>
  <c r="IH827" i="5"/>
  <c r="DF826" i="5"/>
  <c r="DZ826" i="5"/>
  <c r="IL827" i="5"/>
  <c r="IR827" i="5"/>
  <c r="ET826" i="5"/>
  <c r="FN826" i="5"/>
  <c r="IW827" i="5"/>
  <c r="CW826" i="5"/>
  <c r="IF833" i="5"/>
  <c r="DQ826" i="5"/>
  <c r="IK833" i="5"/>
  <c r="EK826" i="5"/>
  <c r="IO833" i="5"/>
  <c r="IU833" i="5"/>
  <c r="FE826" i="5"/>
  <c r="ES1240" i="5"/>
  <c r="ES628" i="5"/>
  <c r="CA1242" i="5"/>
  <c r="CA588" i="5"/>
  <c r="CA724" i="5"/>
  <c r="CI1245" i="5"/>
  <c r="CI599" i="5"/>
  <c r="IE605" i="5"/>
  <c r="IG605" i="5"/>
  <c r="II794" i="5"/>
  <c r="IN794" i="5"/>
  <c r="IX794" i="5"/>
  <c r="IF797" i="5"/>
  <c r="IK797" i="5"/>
  <c r="IO797" i="5"/>
  <c r="IU797" i="5"/>
  <c r="IK798" i="5"/>
  <c r="IO798" i="5"/>
  <c r="IF799" i="5"/>
  <c r="IK799" i="5"/>
  <c r="IU799" i="5"/>
  <c r="IB800" i="5"/>
  <c r="IF800" i="5"/>
  <c r="IQ800" i="5"/>
  <c r="IU800" i="5"/>
  <c r="IB801" i="5"/>
  <c r="IL801" i="5"/>
  <c r="IQ801" i="5"/>
  <c r="IB802" i="5"/>
  <c r="IH802" i="5"/>
  <c r="IL802" i="5"/>
  <c r="IQ802" i="5"/>
  <c r="IW802" i="5"/>
  <c r="BQ1086" i="5"/>
  <c r="JF802" i="5"/>
  <c r="CT553" i="5"/>
  <c r="IG555" i="5"/>
  <c r="CT1234" i="5"/>
  <c r="IE555" i="5"/>
  <c r="DR555" i="5"/>
  <c r="DR608" i="5"/>
  <c r="IK556" i="5"/>
  <c r="AD1238" i="5"/>
  <c r="AD719" i="5"/>
  <c r="CI720" i="5"/>
  <c r="CI1239" i="5"/>
  <c r="DA721" i="5"/>
  <c r="DA628" i="5"/>
  <c r="DA1240" i="5"/>
  <c r="DU1240" i="5"/>
  <c r="DU628" i="5"/>
  <c r="EF1244" i="5"/>
  <c r="IE763" i="5"/>
  <c r="CR755" i="5"/>
  <c r="II763" i="5"/>
  <c r="IN763" i="5"/>
  <c r="EZ1234" i="5"/>
  <c r="IT763" i="5"/>
  <c r="IX763" i="5"/>
  <c r="FT1234" i="5"/>
  <c r="IC764" i="5"/>
  <c r="CP755" i="5"/>
  <c r="II764" i="5"/>
  <c r="IN764" i="5"/>
  <c r="IR764" i="5"/>
  <c r="IK771" i="5"/>
  <c r="IO771" i="5"/>
  <c r="FX907" i="5"/>
  <c r="FX932" i="5" s="1"/>
  <c r="FX1087" i="5"/>
  <c r="IZ908" i="5"/>
  <c r="IX764" i="5"/>
  <c r="FR1234" i="5"/>
  <c r="JG817" i="5"/>
  <c r="HA908" i="5"/>
  <c r="BM1238" i="5"/>
  <c r="BM719" i="5"/>
  <c r="AG1253" i="5"/>
  <c r="AG739" i="5"/>
  <c r="CS755" i="5"/>
  <c r="IE756" i="5"/>
  <c r="DA1236" i="5"/>
  <c r="DA553" i="5"/>
  <c r="IG565" i="5"/>
  <c r="IF565" i="5"/>
  <c r="N1238" i="5"/>
  <c r="N719" i="5"/>
  <c r="IF578" i="5"/>
  <c r="IG578" i="5"/>
  <c r="DA577" i="5"/>
  <c r="IL578" i="5"/>
  <c r="DU577" i="5"/>
  <c r="EO577" i="5"/>
  <c r="IQ578" i="5"/>
  <c r="CV577" i="5"/>
  <c r="IE579" i="5"/>
  <c r="IG579" i="5"/>
  <c r="DP577" i="5"/>
  <c r="IK579" i="5"/>
  <c r="AU1253" i="5"/>
  <c r="AU739" i="5"/>
  <c r="ES683" i="5"/>
  <c r="IR694" i="5"/>
  <c r="O136" i="7" s="1"/>
  <c r="KZ1076" i="5"/>
  <c r="II756" i="5"/>
  <c r="IO756" i="5"/>
  <c r="IT756" i="5"/>
  <c r="FA1234" i="5"/>
  <c r="IX756" i="5"/>
  <c r="FU1234" i="5"/>
  <c r="JF903" i="5"/>
  <c r="BH1232" i="5"/>
  <c r="BH654" i="5"/>
  <c r="BH653" i="5"/>
  <c r="BH715" i="5"/>
  <c r="BH652" i="5"/>
  <c r="BH550" i="5"/>
  <c r="FG1236" i="5"/>
  <c r="IU793" i="5"/>
  <c r="AQ715" i="5"/>
  <c r="AQ550" i="5"/>
  <c r="AQ1232" i="5"/>
  <c r="CJ1234" i="5"/>
  <c r="CJ553" i="5"/>
  <c r="BG588" i="5"/>
  <c r="BG1242" i="5"/>
  <c r="BG724" i="5"/>
  <c r="CU755" i="5"/>
  <c r="II649" i="5"/>
  <c r="IR649" i="5"/>
  <c r="EX635" i="5"/>
  <c r="EX1252" i="5" s="1"/>
  <c r="CS670" i="5"/>
  <c r="CS669" i="5" s="1"/>
  <c r="IG676" i="5"/>
  <c r="II676" i="5"/>
  <c r="DM670" i="5"/>
  <c r="DM669" i="5" s="1"/>
  <c r="EG670" i="5"/>
  <c r="EG669" i="5" s="1"/>
  <c r="EG628" i="5"/>
  <c r="IL646" i="5"/>
  <c r="DU635" i="5"/>
  <c r="DU1252" i="5" s="1"/>
  <c r="EJ685" i="5"/>
  <c r="EJ683" i="5" s="1"/>
  <c r="EJ1255" i="5" s="1"/>
  <c r="EJ635" i="5"/>
  <c r="EJ1252" i="5" s="1"/>
  <c r="IG649" i="5"/>
  <c r="CQ635" i="5"/>
  <c r="EV560" i="5"/>
  <c r="EV1235" i="5"/>
  <c r="N23" i="7"/>
  <c r="IS568" i="5"/>
  <c r="P23" i="7" s="1"/>
  <c r="EU612" i="5"/>
  <c r="IR574" i="5"/>
  <c r="S719" i="5"/>
  <c r="DJ685" i="5"/>
  <c r="DJ635" i="5"/>
  <c r="II646" i="5"/>
  <c r="DZ555" i="5"/>
  <c r="IL556" i="5"/>
  <c r="I11" i="7" s="1"/>
  <c r="K11" i="7" s="1"/>
  <c r="DZ608" i="5"/>
  <c r="EW1235" i="5"/>
  <c r="EW560" i="5"/>
  <c r="IF563" i="5"/>
  <c r="C18" i="7" s="1"/>
  <c r="IG563" i="5"/>
  <c r="EF1236" i="5"/>
  <c r="I1242" i="5"/>
  <c r="J724" i="5"/>
  <c r="J588" i="5"/>
  <c r="DF1246" i="5"/>
  <c r="IH603" i="5"/>
  <c r="EU1236" i="5"/>
  <c r="IR565" i="5"/>
  <c r="EU553" i="5"/>
  <c r="DN555" i="5"/>
  <c r="DN608" i="5"/>
  <c r="EN555" i="5"/>
  <c r="EN608" i="5"/>
  <c r="IL557" i="5"/>
  <c r="EO1234" i="5"/>
  <c r="EO553" i="5"/>
  <c r="Q552" i="5"/>
  <c r="Q713" i="5"/>
  <c r="AG1232" i="5"/>
  <c r="AG654" i="5"/>
  <c r="AG550" i="5"/>
  <c r="AW1242" i="5"/>
  <c r="AW724" i="5"/>
  <c r="BI654" i="5"/>
  <c r="BI1232" i="5"/>
  <c r="BI653" i="5"/>
  <c r="BI715" i="5"/>
  <c r="CR1235" i="5"/>
  <c r="CR553" i="5"/>
  <c r="CR560" i="5"/>
  <c r="EB608" i="5"/>
  <c r="EB606" i="5" s="1"/>
  <c r="DX1245" i="5"/>
  <c r="DX599" i="5"/>
  <c r="DW685" i="5"/>
  <c r="DW683" i="5" s="1"/>
  <c r="DW1255" i="5" s="1"/>
  <c r="IG596" i="5"/>
  <c r="IF596" i="5"/>
  <c r="C47" i="7" s="1"/>
  <c r="E47" i="7" s="1"/>
  <c r="IK596" i="5"/>
  <c r="AJ1253" i="5"/>
  <c r="AJ739" i="5"/>
  <c r="G1233" i="5"/>
  <c r="G716" i="5"/>
  <c r="ES613" i="5"/>
  <c r="IR575" i="5"/>
  <c r="DX1243" i="5"/>
  <c r="IL591" i="5"/>
  <c r="BE1097" i="5"/>
  <c r="BE987" i="5"/>
  <c r="EM577" i="5"/>
  <c r="IQ579" i="5"/>
  <c r="AG1093" i="5"/>
  <c r="AG947" i="5"/>
  <c r="DD1235" i="5"/>
  <c r="IH558" i="5"/>
  <c r="IG561" i="5"/>
  <c r="DM560" i="5"/>
  <c r="II561" i="5"/>
  <c r="IG562" i="5"/>
  <c r="DV570" i="5"/>
  <c r="IL571" i="5"/>
  <c r="JD800" i="5"/>
  <c r="EH635" i="5"/>
  <c r="JD870" i="5"/>
  <c r="CD1237" i="5"/>
  <c r="JC802" i="5"/>
  <c r="JH834" i="5"/>
  <c r="AI1140" i="2" s="1"/>
  <c r="DD683" i="5"/>
  <c r="DD1255" i="5" s="1"/>
  <c r="DP683" i="5"/>
  <c r="DP1255" i="5" s="1"/>
  <c r="DP1235" i="5"/>
  <c r="DP553" i="5"/>
  <c r="IF839" i="5"/>
  <c r="EF1246" i="5"/>
  <c r="EF599" i="5"/>
  <c r="DS1246" i="5"/>
  <c r="IK603" i="5"/>
  <c r="DZ912" i="5"/>
  <c r="BM1093" i="5"/>
  <c r="BM947" i="5"/>
  <c r="JD793" i="5"/>
  <c r="GJ850" i="5"/>
  <c r="JC851" i="5"/>
  <c r="GP826" i="5"/>
  <c r="GP1237" i="5" s="1"/>
  <c r="JD827" i="5"/>
  <c r="JE892" i="5"/>
  <c r="AH1213" i="2" s="1"/>
  <c r="JE911" i="5"/>
  <c r="AH1232" i="2" s="1"/>
  <c r="GW850" i="5"/>
  <c r="JC976" i="5"/>
  <c r="GK948" i="5"/>
  <c r="GK947" i="5" s="1"/>
  <c r="GL869" i="5"/>
  <c r="GL850" i="5" s="1"/>
  <c r="GL449" i="5"/>
  <c r="JC885" i="5"/>
  <c r="JG789" i="5"/>
  <c r="GI869" i="5"/>
  <c r="GI449" i="5"/>
  <c r="JC827" i="5"/>
  <c r="GI826" i="5"/>
  <c r="GI1237" i="5" s="1"/>
  <c r="JG768" i="5"/>
  <c r="GO908" i="5"/>
  <c r="GO1251" i="5" s="1"/>
  <c r="GO1249" i="5" s="1"/>
  <c r="JD817" i="5"/>
  <c r="GI908" i="5"/>
  <c r="GI1251" i="5" s="1"/>
  <c r="JC820" i="5"/>
  <c r="GL814" i="5"/>
  <c r="JC815" i="5"/>
  <c r="JC819" i="5"/>
  <c r="JC1021" i="5"/>
  <c r="GI1019" i="5"/>
  <c r="GI1253" i="5" s="1"/>
  <c r="JD765" i="5"/>
  <c r="JF768" i="5"/>
  <c r="JD901" i="5"/>
  <c r="JC853" i="5"/>
  <c r="JC773" i="5"/>
  <c r="JE895" i="5"/>
  <c r="AH1216" i="2" s="1"/>
  <c r="GN948" i="5"/>
  <c r="GN947" i="5" s="1"/>
  <c r="JC967" i="5"/>
  <c r="JD767" i="5"/>
  <c r="JG870" i="5"/>
  <c r="JD1028" i="5"/>
  <c r="JC912" i="5"/>
  <c r="JD777" i="5"/>
  <c r="GP908" i="5"/>
  <c r="JG756" i="5"/>
  <c r="GS850" i="5"/>
  <c r="JD851" i="5"/>
  <c r="JG801" i="5"/>
  <c r="JH882" i="5"/>
  <c r="AI1203" i="2" s="1"/>
  <c r="JG853" i="5"/>
  <c r="HC908" i="5"/>
  <c r="JD1008" i="5"/>
  <c r="JC788" i="5"/>
  <c r="JG843" i="5"/>
  <c r="HB908" i="5"/>
  <c r="JG820" i="5"/>
  <c r="HA814" i="5"/>
  <c r="JC961" i="5"/>
  <c r="GQ826" i="5"/>
  <c r="GQ1237" i="5" s="1"/>
  <c r="JF799" i="5"/>
  <c r="GW1009" i="5"/>
  <c r="GW1008" i="5" s="1"/>
  <c r="JF1011" i="5"/>
  <c r="JG948" i="5"/>
  <c r="JD986" i="5"/>
  <c r="JE986" i="5" s="1"/>
  <c r="AH1312" i="2" s="1"/>
  <c r="JC798" i="5"/>
  <c r="JD789" i="5"/>
  <c r="JG860" i="5"/>
  <c r="JF955" i="5"/>
  <c r="JH1010" i="5"/>
  <c r="AI1336" i="2" s="1"/>
  <c r="HA850" i="5"/>
  <c r="HC994" i="5"/>
  <c r="JF773" i="5"/>
  <c r="JF779" i="5"/>
  <c r="JD860" i="5"/>
  <c r="JE910" i="5"/>
  <c r="AH1231" i="2" s="1"/>
  <c r="AH1440" i="2" s="1"/>
  <c r="AH1529" i="2" s="1"/>
  <c r="JE968" i="5"/>
  <c r="AH1289" i="2" s="1"/>
  <c r="JD995" i="5"/>
  <c r="GO994" i="5"/>
  <c r="GO1255" i="5" s="1"/>
  <c r="GJ1019" i="5"/>
  <c r="GJ1253" i="5" s="1"/>
  <c r="JD815" i="5"/>
  <c r="JH837" i="5"/>
  <c r="AI1143" i="2" s="1"/>
  <c r="JH895" i="5"/>
  <c r="AI1216" i="2" s="1"/>
  <c r="JH1004" i="5"/>
  <c r="AI1330" i="2" s="1"/>
  <c r="JG1003" i="5"/>
  <c r="AI1743" i="2" s="1"/>
  <c r="GV850" i="5"/>
  <c r="JE1017" i="5"/>
  <c r="AH1342" i="2" s="1"/>
  <c r="JE999" i="5"/>
  <c r="AH1325" i="2" s="1"/>
  <c r="JD1021" i="5"/>
  <c r="GP1019" i="5"/>
  <c r="GP1253" i="5" s="1"/>
  <c r="JC839" i="5"/>
  <c r="JH890" i="5"/>
  <c r="AI1211" i="2" s="1"/>
  <c r="JH911" i="5"/>
  <c r="AI1232" i="2" s="1"/>
  <c r="JF851" i="5"/>
  <c r="JD757" i="5"/>
  <c r="JF787" i="5"/>
  <c r="JF798" i="5"/>
  <c r="JH867" i="5"/>
  <c r="AI1186" i="2" s="1"/>
  <c r="JH983" i="5"/>
  <c r="AI1309" i="2" s="1"/>
  <c r="HD850" i="5"/>
  <c r="JF827" i="5"/>
  <c r="GP850" i="5"/>
  <c r="JD794" i="5"/>
  <c r="JC764" i="5"/>
  <c r="JF762" i="5"/>
  <c r="JG770" i="5"/>
  <c r="JG835" i="5"/>
  <c r="JH871" i="5"/>
  <c r="AI1191" i="2" s="1"/>
  <c r="JH915" i="5"/>
  <c r="AI1236" i="2" s="1"/>
  <c r="JF961" i="5"/>
  <c r="JG819" i="5"/>
  <c r="GU850" i="5"/>
  <c r="GM850" i="5"/>
  <c r="JF919" i="5"/>
  <c r="JF843" i="5"/>
  <c r="AI1202" i="5"/>
  <c r="AJ1202" i="5" s="1"/>
  <c r="AK1202" i="5" s="1"/>
  <c r="AL1202" i="5" s="1"/>
  <c r="AM1202" i="5" s="1"/>
  <c r="JD1003" i="5"/>
  <c r="JD761" i="5"/>
  <c r="GK826" i="5"/>
  <c r="GK1237" i="5" s="1"/>
  <c r="JC756" i="5"/>
  <c r="JG761" i="5"/>
  <c r="JH959" i="5"/>
  <c r="AI1280" i="2" s="1"/>
  <c r="JF948" i="5"/>
  <c r="HF850" i="5"/>
  <c r="GZ814" i="5"/>
  <c r="JG785" i="5"/>
  <c r="JF786" i="5"/>
  <c r="JH862" i="5"/>
  <c r="AI1168" i="2" s="1"/>
  <c r="JF870" i="5"/>
  <c r="JC793" i="5"/>
  <c r="JF885" i="5"/>
  <c r="JC794" i="5"/>
  <c r="JF770" i="5"/>
  <c r="JG832" i="5"/>
  <c r="JG876" i="5"/>
  <c r="HD908" i="5"/>
  <c r="JF877" i="5"/>
  <c r="GZ850" i="5"/>
  <c r="HB850" i="5"/>
  <c r="JC787" i="5"/>
  <c r="JF820" i="5"/>
  <c r="HB947" i="5"/>
  <c r="JG985" i="5"/>
  <c r="JH985" i="5" s="1"/>
  <c r="AI1311" i="2" s="1"/>
  <c r="JV999" i="5"/>
  <c r="JF769" i="5"/>
  <c r="JH1005" i="5"/>
  <c r="AI1331" i="2" s="1"/>
  <c r="HD826" i="5"/>
  <c r="HD1237" i="5" s="1"/>
  <c r="JF792" i="5"/>
  <c r="JG794" i="5"/>
  <c r="JG833" i="5"/>
  <c r="JF761" i="5"/>
  <c r="JG767" i="5"/>
  <c r="JC817" i="5"/>
  <c r="JG765" i="5"/>
  <c r="JG792" i="5"/>
  <c r="JF794" i="5"/>
  <c r="JF767" i="5"/>
  <c r="JG769" i="5"/>
  <c r="JF835" i="5"/>
  <c r="JG762" i="5"/>
  <c r="JG773" i="5"/>
  <c r="JG779" i="5"/>
  <c r="JG828" i="5"/>
  <c r="GY826" i="5"/>
  <c r="GY1237" i="5" s="1"/>
  <c r="O1677" i="2"/>
  <c r="IO616" i="5"/>
  <c r="L63" i="7" s="1"/>
  <c r="Q1677" i="2"/>
  <c r="V1661" i="2"/>
  <c r="T60" i="7"/>
  <c r="V1411" i="2"/>
  <c r="V1500" i="2" s="1"/>
  <c r="Z353" i="2"/>
  <c r="X1411" i="2"/>
  <c r="X1500" i="2" s="1"/>
  <c r="IN645" i="5"/>
  <c r="IO645" i="5" s="1"/>
  <c r="L91" i="7" s="1"/>
  <c r="S42" i="7"/>
  <c r="M41" i="7"/>
  <c r="S41" i="7"/>
  <c r="L1677" i="2"/>
  <c r="S29" i="7"/>
  <c r="AC1619" i="2"/>
  <c r="JR844" i="5"/>
  <c r="JS844" i="5" s="1"/>
  <c r="IT699" i="5"/>
  <c r="Q141" i="7" s="1"/>
  <c r="AM304" i="2"/>
  <c r="AM390" i="2" s="1"/>
  <c r="AG969" i="2"/>
  <c r="AG1020" i="2" s="1"/>
  <c r="JS782" i="5"/>
  <c r="IW608" i="5"/>
  <c r="IX608" i="5" s="1"/>
  <c r="W1676" i="2"/>
  <c r="W1677" i="2" s="1"/>
  <c r="IT608" i="5"/>
  <c r="IU608" i="5" s="1"/>
  <c r="R57" i="7" s="1"/>
  <c r="Y983" i="2"/>
  <c r="K1659" i="2"/>
  <c r="JA602" i="5"/>
  <c r="IT606" i="5"/>
  <c r="Q55" i="7" s="1"/>
  <c r="T24" i="7"/>
  <c r="IW615" i="5"/>
  <c r="IX615" i="5" s="1"/>
  <c r="IT578" i="5"/>
  <c r="Q30" i="7" s="1"/>
  <c r="JV837" i="5"/>
  <c r="K1677" i="2"/>
  <c r="IX604" i="5"/>
  <c r="T79" i="7"/>
  <c r="T131" i="7"/>
  <c r="Y1593" i="2"/>
  <c r="ID671" i="5"/>
  <c r="AH1722" i="2"/>
  <c r="JD615" i="5"/>
  <c r="AK1755" i="2"/>
  <c r="AA1798" i="2"/>
  <c r="AA1825" i="2" s="1"/>
  <c r="AC991" i="2"/>
  <c r="JD650" i="5"/>
  <c r="AH1033" i="2"/>
  <c r="AI1033" i="2"/>
  <c r="S991" i="2"/>
  <c r="AC1049" i="2"/>
  <c r="J1677" i="2"/>
  <c r="JR999" i="5"/>
  <c r="AE481" i="2"/>
  <c r="AF481" i="2" s="1"/>
  <c r="AG481" i="2" s="1"/>
  <c r="AH481" i="2" s="1"/>
  <c r="AI481" i="2" s="1"/>
  <c r="AJ481" i="2" s="1"/>
  <c r="AK481" i="2" s="1"/>
  <c r="AI820" i="2"/>
  <c r="JH616" i="5" s="1"/>
  <c r="JF616" i="5" s="1"/>
  <c r="JG616" i="5" s="1"/>
  <c r="IW699" i="5"/>
  <c r="IX699" i="5" s="1"/>
  <c r="V1637" i="2"/>
  <c r="AI108" i="19"/>
  <c r="Z108" i="19"/>
  <c r="V485" i="2"/>
  <c r="V486" i="2" s="1"/>
  <c r="JM857" i="5"/>
  <c r="AI1764" i="2"/>
  <c r="AJ1472" i="2"/>
  <c r="AJ1561" i="2" s="1"/>
  <c r="Q108" i="19"/>
  <c r="O111" i="19"/>
  <c r="P109" i="19" s="1"/>
  <c r="R109" i="19" s="1"/>
  <c r="IW634" i="5"/>
  <c r="IX634" i="5" s="1"/>
  <c r="JM611" i="5"/>
  <c r="AK350" i="2"/>
  <c r="DC1197" i="5"/>
  <c r="DD1197" i="5" s="1"/>
  <c r="DE1197" i="5" s="1"/>
  <c r="DF1197" i="5" s="1"/>
  <c r="DG1197" i="5" s="1"/>
  <c r="IP720" i="5"/>
  <c r="T52" i="7"/>
  <c r="Z106" i="19"/>
  <c r="X1405" i="2"/>
  <c r="X1494" i="2" s="1"/>
  <c r="AF96" i="19"/>
  <c r="AR108" i="19"/>
  <c r="T68" i="7"/>
  <c r="AI1021" i="2"/>
  <c r="U980" i="2"/>
  <c r="U1029" i="2" s="1"/>
  <c r="V646" i="2"/>
  <c r="V1206" i="2"/>
  <c r="V1431" i="2" s="1"/>
  <c r="V1520" i="2" s="1"/>
  <c r="U816" i="2"/>
  <c r="U809" i="2" s="1"/>
  <c r="IW659" i="5"/>
  <c r="IX659" i="5" s="1"/>
  <c r="IW605" i="5"/>
  <c r="IX605" i="5" s="1"/>
  <c r="S1021" i="2"/>
  <c r="S1026" i="2"/>
  <c r="W1411" i="2"/>
  <c r="W1500" i="2" s="1"/>
  <c r="AC1584" i="2"/>
  <c r="T1677" i="2"/>
  <c r="Q1729" i="2"/>
  <c r="IU602" i="5"/>
  <c r="JS836" i="5"/>
  <c r="Y1622" i="2"/>
  <c r="JP999" i="5"/>
  <c r="JU783" i="5"/>
  <c r="M110" i="7"/>
  <c r="JA662" i="5"/>
  <c r="AH872" i="2"/>
  <c r="AH969" i="2" s="1"/>
  <c r="AH1020" i="2" s="1"/>
  <c r="W869" i="2"/>
  <c r="W966" i="2" s="1"/>
  <c r="W1012" i="2" s="1"/>
  <c r="S1029" i="2"/>
  <c r="P1007" i="2"/>
  <c r="P1009" i="2"/>
  <c r="O1030" i="2"/>
  <c r="Z480" i="2"/>
  <c r="IX602" i="5"/>
  <c r="M126" i="7"/>
  <c r="P1030" i="2"/>
  <c r="M94" i="7"/>
  <c r="IT684" i="5"/>
  <c r="IU684" i="5" s="1"/>
  <c r="R128" i="7" s="1"/>
  <c r="IW677" i="5"/>
  <c r="IX677" i="5" s="1"/>
  <c r="AM1764" i="2"/>
  <c r="Z318" i="2"/>
  <c r="Z319" i="2" s="1"/>
  <c r="E376" i="2"/>
  <c r="W373" i="2" s="1"/>
  <c r="N1000" i="2"/>
  <c r="AB1619" i="2"/>
  <c r="M18" i="7"/>
  <c r="IU617" i="5"/>
  <c r="R64" i="7" s="1"/>
  <c r="N1026" i="2"/>
  <c r="AK308" i="2"/>
  <c r="AH397" i="2"/>
  <c r="AH846" i="2" s="1"/>
  <c r="JE639" i="5" s="1"/>
  <c r="JC639" i="5" s="1"/>
  <c r="JD639" i="5" s="1"/>
  <c r="IO642" i="5"/>
  <c r="L88" i="7" s="1"/>
  <c r="IN637" i="5"/>
  <c r="IO637" i="5" s="1"/>
  <c r="L84" i="7" s="1"/>
  <c r="AL1764" i="2"/>
  <c r="IY728" i="5"/>
  <c r="U868" i="2"/>
  <c r="U965" i="2" s="1"/>
  <c r="U1011" i="2" s="1"/>
  <c r="Z1539" i="2"/>
  <c r="X1198" i="2"/>
  <c r="W712" i="2"/>
  <c r="O1659" i="2"/>
  <c r="Z1492" i="2"/>
  <c r="Y939" i="2"/>
  <c r="Z1523" i="2"/>
  <c r="X1030" i="2"/>
  <c r="JM971" i="5"/>
  <c r="M991" i="2"/>
  <c r="T110" i="7"/>
  <c r="AC1607" i="2"/>
  <c r="M1680" i="2"/>
  <c r="U869" i="2"/>
  <c r="U966" i="2" s="1"/>
  <c r="U1012" i="2" s="1"/>
  <c r="JP996" i="5"/>
  <c r="JV1015" i="5"/>
  <c r="HE826" i="5"/>
  <c r="HE1237" i="5" s="1"/>
  <c r="HA826" i="5"/>
  <c r="HA1237" i="5" s="1"/>
  <c r="HF826" i="5"/>
  <c r="HF1237" i="5" s="1"/>
  <c r="JF829" i="5"/>
  <c r="GU826" i="5"/>
  <c r="GU1237" i="5" s="1"/>
  <c r="AE1012" i="2"/>
  <c r="AE1002" i="2"/>
  <c r="AE365" i="2"/>
  <c r="AI931" i="2"/>
  <c r="AI990" i="2" s="1"/>
  <c r="Q1024" i="2"/>
  <c r="S1024" i="2"/>
  <c r="Q1025" i="2"/>
  <c r="AC1492" i="2"/>
  <c r="Q1007" i="2"/>
  <c r="Q1009" i="2"/>
  <c r="W603" i="2"/>
  <c r="Q1010" i="2"/>
  <c r="W593" i="2"/>
  <c r="Q1020" i="2"/>
  <c r="AE931" i="2"/>
  <c r="AE990" i="2" s="1"/>
  <c r="AA1701" i="2"/>
  <c r="AA1812" i="2" s="1"/>
  <c r="IZ570" i="5"/>
  <c r="Z981" i="2"/>
  <c r="Z1030" i="2" s="1"/>
  <c r="W569" i="2"/>
  <c r="T1007" i="2"/>
  <c r="T1009" i="2"/>
  <c r="S1010" i="2"/>
  <c r="W557" i="2"/>
  <c r="AB352" i="2"/>
  <c r="T1020" i="2"/>
  <c r="T1024" i="2"/>
  <c r="S1025" i="2"/>
  <c r="AE1009" i="2"/>
  <c r="S996" i="2"/>
  <c r="S1007" i="2"/>
  <c r="S1009" i="2"/>
  <c r="T1025" i="2"/>
  <c r="AC480" i="2"/>
  <c r="T994" i="2"/>
  <c r="S1011" i="2"/>
  <c r="X518" i="2"/>
  <c r="W519" i="2"/>
  <c r="AD924" i="2"/>
  <c r="AD985" i="2" s="1"/>
  <c r="U1661" i="2"/>
  <c r="V385" i="2"/>
  <c r="V320" i="2"/>
  <c r="AI304" i="2"/>
  <c r="AI378" i="2" s="1"/>
  <c r="AH931" i="2"/>
  <c r="AH990" i="2" s="1"/>
  <c r="AC327" i="2"/>
  <c r="AC660" i="2"/>
  <c r="P999" i="2"/>
  <c r="W1005" i="2"/>
  <c r="Z1541" i="2"/>
  <c r="S994" i="2"/>
  <c r="W996" i="2"/>
  <c r="S998" i="2"/>
  <c r="W1007" i="2"/>
  <c r="V1010" i="2"/>
  <c r="AE1010" i="2"/>
  <c r="W404" i="2"/>
  <c r="AK397" i="2"/>
  <c r="JN639" i="5" s="1"/>
  <c r="JL639" i="5" s="1"/>
  <c r="AD1560" i="2"/>
  <c r="Q1021" i="2"/>
  <c r="Q1026" i="2"/>
  <c r="Y324" i="2"/>
  <c r="AE1011" i="2"/>
  <c r="S1020" i="2"/>
  <c r="JH680" i="5"/>
  <c r="JG680" i="5" s="1"/>
  <c r="IP742" i="5"/>
  <c r="IP1206" i="5"/>
  <c r="M125" i="7"/>
  <c r="IT637" i="5"/>
  <c r="Q84" i="7" s="1"/>
  <c r="IU689" i="5"/>
  <c r="AI1733" i="2"/>
  <c r="IU583" i="5"/>
  <c r="R34" i="7" s="1"/>
  <c r="X1798" i="2"/>
  <c r="JD634" i="5"/>
  <c r="IX689" i="5"/>
  <c r="IW623" i="5"/>
  <c r="IX623" i="5" s="1"/>
  <c r="Z1798" i="2"/>
  <c r="IU649" i="5"/>
  <c r="R94" i="7" s="1"/>
  <c r="IP723" i="5"/>
  <c r="IZ628" i="5"/>
  <c r="IZ621" i="5" s="1"/>
  <c r="IV1207" i="5"/>
  <c r="IW636" i="5"/>
  <c r="IX636" i="5" s="1"/>
  <c r="IT626" i="5"/>
  <c r="Q73" i="7" s="1"/>
  <c r="IN698" i="5"/>
  <c r="IO698" i="5" s="1"/>
  <c r="L140" i="7" s="1"/>
  <c r="IW670" i="5"/>
  <c r="IX670" i="5" s="1"/>
  <c r="IY723" i="5"/>
  <c r="M33" i="7"/>
  <c r="JD594" i="5"/>
  <c r="JD632" i="5"/>
  <c r="IO603" i="5"/>
  <c r="L53" i="7" s="1"/>
  <c r="D43" i="1"/>
  <c r="IZ670" i="5"/>
  <c r="IZ669" i="5" s="1"/>
  <c r="IY736" i="5"/>
  <c r="IN608" i="5"/>
  <c r="IO608" i="5" s="1"/>
  <c r="IN670" i="5"/>
  <c r="J115" i="7" s="1"/>
  <c r="JM795" i="5"/>
  <c r="IN650" i="5"/>
  <c r="IO650" i="5" s="1"/>
  <c r="L95" i="7" s="1"/>
  <c r="IW610" i="5"/>
  <c r="IX610" i="5" s="1"/>
  <c r="IN565" i="5"/>
  <c r="IO565" i="5" s="1"/>
  <c r="L20" i="7" s="1"/>
  <c r="JA676" i="5"/>
  <c r="JY858" i="5"/>
  <c r="JK676" i="5"/>
  <c r="JJ676" i="5" s="1"/>
  <c r="AC389" i="2"/>
  <c r="JO816" i="5"/>
  <c r="IP1212" i="5"/>
  <c r="IP1214" i="5" s="1"/>
  <c r="JH583" i="5"/>
  <c r="JG583" i="5" s="1"/>
  <c r="AE1013" i="2"/>
  <c r="Q1030" i="2"/>
  <c r="AC1047" i="2"/>
  <c r="AE339" i="2"/>
  <c r="JM803" i="5"/>
  <c r="JA650" i="5"/>
  <c r="JA566" i="5"/>
  <c r="AE355" i="2"/>
  <c r="AF637" i="2" s="1"/>
  <c r="X1791" i="2"/>
  <c r="AC320" i="2"/>
  <c r="AD320" i="2" s="1"/>
  <c r="AE320" i="2" s="1"/>
  <c r="IU603" i="5"/>
  <c r="R53" i="7" s="1"/>
  <c r="IP716" i="5"/>
  <c r="IO683" i="5"/>
  <c r="L127" i="7" s="1"/>
  <c r="IT600" i="5"/>
  <c r="Q51" i="7" s="1"/>
  <c r="Z1536" i="2"/>
  <c r="Z825" i="2"/>
  <c r="Z958" i="2" s="1"/>
  <c r="Q1014" i="2"/>
  <c r="AI1027" i="2"/>
  <c r="Q994" i="2"/>
  <c r="Q998" i="2"/>
  <c r="Q999" i="2"/>
  <c r="Q1000" i="2"/>
  <c r="Q1001" i="2"/>
  <c r="AF1880" i="2"/>
  <c r="JO818" i="5"/>
  <c r="X1785" i="2"/>
  <c r="IV739" i="5"/>
  <c r="IW566" i="5"/>
  <c r="IX566" i="5" s="1"/>
  <c r="AJ918" i="2"/>
  <c r="JK698" i="5" s="1"/>
  <c r="JI698" i="5" s="1"/>
  <c r="JJ698" i="5" s="1"/>
  <c r="IN566" i="5"/>
  <c r="J21" i="7" s="1"/>
  <c r="Q1005" i="2"/>
  <c r="Z443" i="2"/>
  <c r="AD304" i="2"/>
  <c r="AD382" i="2" s="1"/>
  <c r="AD809" i="2" s="1"/>
  <c r="X519" i="2"/>
  <c r="O1029" i="2"/>
  <c r="T1030" i="2"/>
  <c r="P1729" i="2"/>
  <c r="AA1697" i="2"/>
  <c r="JV859" i="5"/>
  <c r="IW638" i="5"/>
  <c r="IX638" i="5" s="1"/>
  <c r="IN651" i="5"/>
  <c r="J96" i="7" s="1"/>
  <c r="K96" i="7" s="1"/>
  <c r="AJ797" i="2"/>
  <c r="M114" i="7"/>
  <c r="IN647" i="5"/>
  <c r="IO647" i="5" s="1"/>
  <c r="L93" i="7" s="1"/>
  <c r="V366" i="2"/>
  <c r="IV730" i="5"/>
  <c r="JM625" i="5"/>
  <c r="S1729" i="2"/>
  <c r="JY797" i="5"/>
  <c r="W367" i="2"/>
  <c r="JN626" i="5"/>
  <c r="T105" i="7"/>
  <c r="V1676" i="2"/>
  <c r="V1677" i="2" s="1"/>
  <c r="Z1476" i="2"/>
  <c r="T304" i="2"/>
  <c r="X1729" i="2"/>
  <c r="I1729" i="2"/>
  <c r="G1729" i="2"/>
  <c r="AA1729" i="2"/>
  <c r="JF670" i="5"/>
  <c r="JF669" i="5" s="1"/>
  <c r="V809" i="2"/>
  <c r="V381" i="2" s="1"/>
  <c r="JN579" i="5"/>
  <c r="JM579" i="5" s="1"/>
  <c r="IW643" i="5"/>
  <c r="IX643" i="5" s="1"/>
  <c r="IY724" i="5"/>
  <c r="JA678" i="5"/>
  <c r="IW627" i="5"/>
  <c r="IX627" i="5" s="1"/>
  <c r="U1642" i="2"/>
  <c r="W1642" i="2"/>
  <c r="Z1503" i="2"/>
  <c r="AE389" i="2"/>
  <c r="Q1011" i="2"/>
  <c r="AF1032" i="2"/>
  <c r="JI670" i="5"/>
  <c r="JI669" i="5" s="1"/>
  <c r="IW678" i="5"/>
  <c r="IX678" i="5" s="1"/>
  <c r="JP977" i="5"/>
  <c r="Q997" i="2"/>
  <c r="AC404" i="2"/>
  <c r="U1676" i="2"/>
  <c r="U1677" i="2" s="1"/>
  <c r="W1401" i="2"/>
  <c r="W1490" i="2" s="1"/>
  <c r="Z1537" i="2"/>
  <c r="AE352" i="2"/>
  <c r="V944" i="2"/>
  <c r="V993" i="2" s="1"/>
  <c r="Z632" i="2"/>
  <c r="X940" i="2"/>
  <c r="N1670" i="2"/>
  <c r="X1701" i="2"/>
  <c r="M87" i="7"/>
  <c r="IW560" i="5"/>
  <c r="IX560" i="5" s="1"/>
  <c r="AC357" i="2"/>
  <c r="IP715" i="5"/>
  <c r="IN626" i="5"/>
  <c r="J73" i="7" s="1"/>
  <c r="IO643" i="5"/>
  <c r="L89" i="7" s="1"/>
  <c r="V1642" i="2"/>
  <c r="Z1538" i="2"/>
  <c r="V868" i="2"/>
  <c r="V965" i="2" s="1"/>
  <c r="V1011" i="2" s="1"/>
  <c r="JM603" i="5"/>
  <c r="Y1701" i="2"/>
  <c r="JS1010" i="5"/>
  <c r="AB1031" i="2"/>
  <c r="IY720" i="5"/>
  <c r="AJ1755" i="2"/>
  <c r="IW666" i="5"/>
  <c r="IX666" i="5" s="1"/>
  <c r="R1729" i="2"/>
  <c r="AC381" i="2"/>
  <c r="JV825" i="5"/>
  <c r="AK304" i="2"/>
  <c r="AK641" i="2" s="1"/>
  <c r="IW646" i="5"/>
  <c r="IX646" i="5" s="1"/>
  <c r="W1397" i="2"/>
  <c r="W1486" i="2" s="1"/>
  <c r="Y310" i="2"/>
  <c r="AB398" i="2"/>
  <c r="JG676" i="5"/>
  <c r="P1670" i="2"/>
  <c r="JJ639" i="5"/>
  <c r="IW690" i="5"/>
  <c r="IX690" i="5" s="1"/>
  <c r="JP971" i="5"/>
  <c r="IZ614" i="5"/>
  <c r="H1729" i="2"/>
  <c r="IN644" i="5"/>
  <c r="IO684" i="5"/>
  <c r="L128" i="7" s="1"/>
  <c r="Y1620" i="2"/>
  <c r="Y639" i="2"/>
  <c r="AC615" i="2"/>
  <c r="AH779" i="2"/>
  <c r="JE582" i="5" s="1"/>
  <c r="JC721" i="5" s="1"/>
  <c r="V1405" i="2"/>
  <c r="V1494" i="2" s="1"/>
  <c r="Q1670" i="2"/>
  <c r="T63" i="7"/>
  <c r="JY954" i="5"/>
  <c r="IP732" i="5"/>
  <c r="V363" i="2"/>
  <c r="IU640" i="5"/>
  <c r="R87" i="7" s="1"/>
  <c r="IO558" i="5"/>
  <c r="L13" i="7" s="1"/>
  <c r="W1729" i="2"/>
  <c r="AE998" i="2"/>
  <c r="IW637" i="5"/>
  <c r="IX637" i="5" s="1"/>
  <c r="ID622" i="5"/>
  <c r="AD313" i="2"/>
  <c r="AD314" i="2" s="1"/>
  <c r="W1405" i="2"/>
  <c r="W1494" i="2" s="1"/>
  <c r="M1677" i="2"/>
  <c r="AH760" i="2"/>
  <c r="JE567" i="5" s="1"/>
  <c r="JC567" i="5" s="1"/>
  <c r="Q424" i="2"/>
  <c r="Q422" i="2"/>
  <c r="Q991" i="2"/>
  <c r="IP733" i="5"/>
  <c r="M106" i="7"/>
  <c r="JM999" i="5"/>
  <c r="AK1731" i="2" s="1"/>
  <c r="AC306" i="2"/>
  <c r="AC634" i="2"/>
  <c r="AC998" i="2"/>
  <c r="AE1868" i="2"/>
  <c r="AE1867" i="2" s="1"/>
  <c r="AC999" i="2"/>
  <c r="R991" i="2"/>
  <c r="W1400" i="2"/>
  <c r="W1489" i="2" s="1"/>
  <c r="W1671" i="2"/>
  <c r="W1641" i="2"/>
  <c r="L1680" i="2"/>
  <c r="J1729" i="2"/>
  <c r="IZ623" i="5"/>
  <c r="JA623" i="5" s="1"/>
  <c r="AE1385" i="2"/>
  <c r="JI666" i="5"/>
  <c r="JJ666" i="5" s="1"/>
  <c r="JL690" i="5"/>
  <c r="JM690" i="5" s="1"/>
  <c r="IY721" i="5"/>
  <c r="T33" i="7"/>
  <c r="S46" i="7"/>
  <c r="IT595" i="5"/>
  <c r="Q46" i="7" s="1"/>
  <c r="U1660" i="2"/>
  <c r="V1410" i="2"/>
  <c r="V1408" i="2" s="1"/>
  <c r="IV731" i="5"/>
  <c r="S103" i="7"/>
  <c r="T112" i="7"/>
  <c r="IY738" i="5"/>
  <c r="IV738" i="5"/>
  <c r="JA639" i="5"/>
  <c r="AK1410" i="2"/>
  <c r="AK1499" i="2" s="1"/>
  <c r="IO625" i="5"/>
  <c r="L72" i="7" s="1"/>
  <c r="IU616" i="5"/>
  <c r="R63" i="7" s="1"/>
  <c r="S63" i="7"/>
  <c r="M68" i="7"/>
  <c r="IP726" i="5"/>
  <c r="IP728" i="5"/>
  <c r="AG892" i="2"/>
  <c r="AG883" i="2"/>
  <c r="JB671" i="5" s="1"/>
  <c r="JA671" i="5" s="1"/>
  <c r="S68" i="7"/>
  <c r="IV726" i="5"/>
  <c r="JN829" i="5"/>
  <c r="IT698" i="5"/>
  <c r="Q140" i="7" s="1"/>
  <c r="AB480" i="2"/>
  <c r="D59" i="7"/>
  <c r="E59" i="7" s="1"/>
  <c r="M62" i="7"/>
  <c r="IZ625" i="5"/>
  <c r="JA625" i="5" s="1"/>
  <c r="AB339" i="2"/>
  <c r="JE649" i="5"/>
  <c r="AI859" i="2"/>
  <c r="JH649" i="5" s="1"/>
  <c r="AE326" i="2"/>
  <c r="T51" i="7"/>
  <c r="IW600" i="5"/>
  <c r="IW599" i="5" s="1"/>
  <c r="AJ1420" i="2"/>
  <c r="AJ1509" i="2" s="1"/>
  <c r="AE306" i="2"/>
  <c r="JG631" i="5"/>
  <c r="S39" i="7"/>
  <c r="IV723" i="5"/>
  <c r="ID578" i="5"/>
  <c r="Z773" i="2"/>
  <c r="Z772" i="2" s="1"/>
  <c r="JF686" i="5"/>
  <c r="JG686" i="5" s="1"/>
  <c r="AD1755" i="2"/>
  <c r="AD1764" i="2"/>
  <c r="IW631" i="5"/>
  <c r="IX631" i="5" s="1"/>
  <c r="Z363" i="2"/>
  <c r="ID610" i="5"/>
  <c r="W689" i="2"/>
  <c r="ID591" i="5"/>
  <c r="Y1604" i="2"/>
  <c r="Z646" i="2"/>
  <c r="ID643" i="5"/>
  <c r="Y1595" i="2"/>
  <c r="IO583" i="5"/>
  <c r="IN582" i="5"/>
  <c r="IN628" i="5" s="1"/>
  <c r="JF594" i="5"/>
  <c r="JG594" i="5" s="1"/>
  <c r="M54" i="7"/>
  <c r="IN605" i="5"/>
  <c r="J54" i="7" s="1"/>
  <c r="S141" i="7"/>
  <c r="M112" i="7"/>
  <c r="IP738" i="5"/>
  <c r="IV721" i="5"/>
  <c r="S109" i="7"/>
  <c r="IV736" i="5"/>
  <c r="AB1385" i="2"/>
  <c r="W871" i="2"/>
  <c r="W968" i="2" s="1"/>
  <c r="W1014" i="2" s="1"/>
  <c r="W944" i="2"/>
  <c r="W993" i="2" s="1"/>
  <c r="JL619" i="5"/>
  <c r="JM619" i="5" s="1"/>
  <c r="JM818" i="5"/>
  <c r="JN683" i="5"/>
  <c r="JM683" i="5" s="1"/>
  <c r="JN684" i="5"/>
  <c r="JL684" i="5" s="1"/>
  <c r="AC621" i="2"/>
  <c r="AC1476" i="2"/>
  <c r="W577" i="2"/>
  <c r="W473" i="2"/>
  <c r="Q34" i="7"/>
  <c r="IT582" i="5"/>
  <c r="T127" i="7"/>
  <c r="IX683" i="5"/>
  <c r="JC685" i="5"/>
  <c r="JD685" i="5" s="1"/>
  <c r="JR886" i="5"/>
  <c r="M25" i="7"/>
  <c r="IO571" i="5"/>
  <c r="L25" i="7" s="1"/>
  <c r="IW591" i="5"/>
  <c r="IX591" i="5" s="1"/>
  <c r="AB743" i="2"/>
  <c r="JI679" i="5"/>
  <c r="JJ679" i="5" s="1"/>
  <c r="AB318" i="2"/>
  <c r="AC319" i="2" s="1"/>
  <c r="AB324" i="2"/>
  <c r="AC324" i="2" s="1"/>
  <c r="AD324" i="2" s="1"/>
  <c r="AE324" i="2" s="1"/>
  <c r="AF324" i="2" s="1"/>
  <c r="AG324" i="2" s="1"/>
  <c r="IX583" i="5"/>
  <c r="JP838" i="5"/>
  <c r="IZ567" i="5"/>
  <c r="JA567" i="5" s="1"/>
  <c r="AI1529" i="2"/>
  <c r="L106" i="7"/>
  <c r="IO660" i="5"/>
  <c r="L105" i="7" s="1"/>
  <c r="JO958" i="5"/>
  <c r="JP958" i="5" s="1"/>
  <c r="JX838" i="5"/>
  <c r="JY838" i="5" s="1"/>
  <c r="T71" i="7"/>
  <c r="IW624" i="5"/>
  <c r="IX624" i="5" s="1"/>
  <c r="IZ624" i="5"/>
  <c r="JA624" i="5" s="1"/>
  <c r="JD631" i="5"/>
  <c r="JM902" i="5"/>
  <c r="Y1707" i="2"/>
  <c r="AD1503" i="2"/>
  <c r="Z1701" i="2"/>
  <c r="Z1812" i="2" s="1"/>
  <c r="IT573" i="5"/>
  <c r="Q27" i="7" s="1"/>
  <c r="JL626" i="5"/>
  <c r="JL578" i="5"/>
  <c r="JL577" i="5" s="1"/>
  <c r="S59" i="7"/>
  <c r="IT610" i="5"/>
  <c r="T130" i="7"/>
  <c r="IW686" i="5"/>
  <c r="IX686" i="5" s="1"/>
  <c r="S137" i="7"/>
  <c r="IV1212" i="5"/>
  <c r="IV1214" i="5" s="1"/>
  <c r="AE639" i="2"/>
  <c r="JU818" i="5"/>
  <c r="JA636" i="5"/>
  <c r="AE621" i="2"/>
  <c r="IW561" i="5"/>
  <c r="IX561" i="5" s="1"/>
  <c r="U1656" i="2"/>
  <c r="AH1764" i="2"/>
  <c r="JK579" i="5"/>
  <c r="JJ579" i="5" s="1"/>
  <c r="S1670" i="2"/>
  <c r="P1677" i="2"/>
  <c r="O1680" i="2"/>
  <c r="L1729" i="2"/>
  <c r="AE634" i="2"/>
  <c r="T1011" i="2"/>
  <c r="AI1859" i="2"/>
  <c r="T1670" i="2"/>
  <c r="JG636" i="5"/>
  <c r="JM959" i="5"/>
  <c r="AI397" i="2"/>
  <c r="S1013" i="2"/>
  <c r="AE1033" i="2"/>
  <c r="AE1021" i="2"/>
  <c r="JN615" i="5"/>
  <c r="JL615" i="5" s="1"/>
  <c r="AE997" i="2"/>
  <c r="IO639" i="5"/>
  <c r="L86" i="7" s="1"/>
  <c r="JA562" i="5"/>
  <c r="IO638" i="5"/>
  <c r="L85" i="7" s="1"/>
  <c r="X422" i="2"/>
  <c r="V1463" i="2"/>
  <c r="V1552" i="2" s="1"/>
  <c r="IU579" i="5"/>
  <c r="R31" i="7" s="1"/>
  <c r="AF1738" i="2"/>
  <c r="X566" i="2"/>
  <c r="JS1017" i="5"/>
  <c r="AE1005" i="2"/>
  <c r="Z948" i="2"/>
  <c r="JH699" i="5"/>
  <c r="JF699" i="5" s="1"/>
  <c r="AE1014" i="2"/>
  <c r="AE364" i="2"/>
  <c r="IP736" i="5"/>
  <c r="IO646" i="5"/>
  <c r="L92" i="7" s="1"/>
  <c r="IO676" i="5"/>
  <c r="L120" i="7" s="1"/>
  <c r="S993" i="2"/>
  <c r="V1352" i="2"/>
  <c r="V1344" i="2" s="1"/>
  <c r="V1469" i="2" s="1"/>
  <c r="V1558" i="2" s="1"/>
  <c r="IW595" i="5"/>
  <c r="IX595" i="5" s="1"/>
  <c r="N1680" i="2"/>
  <c r="AF1837" i="2"/>
  <c r="AF1849" i="2" s="1"/>
  <c r="AF1854" i="2" s="1"/>
  <c r="AF1859" i="2" s="1"/>
  <c r="W1023" i="2"/>
  <c r="L991" i="2"/>
  <c r="AB1607" i="2"/>
  <c r="AE1851" i="2"/>
  <c r="AC1020" i="2"/>
  <c r="AC1856" i="2"/>
  <c r="AC1859" i="2" s="1"/>
  <c r="AB991" i="2"/>
  <c r="AI1863" i="2"/>
  <c r="AI1865" i="2"/>
  <c r="AL398" i="2"/>
  <c r="AM398" i="2" s="1"/>
  <c r="AM397" i="2" s="1"/>
  <c r="W879" i="2"/>
  <c r="W976" i="2"/>
  <c r="W1026" i="2" s="1"/>
  <c r="Y1594" i="2"/>
  <c r="ID676" i="5"/>
  <c r="Z882" i="2"/>
  <c r="V995" i="2"/>
  <c r="U975" i="2"/>
  <c r="U991" i="2" s="1"/>
  <c r="U920" i="2"/>
  <c r="AL353" i="2"/>
  <c r="AM635" i="2" s="1"/>
  <c r="Y367" i="2"/>
  <c r="Z367" i="2"/>
  <c r="Z372" i="2" s="1"/>
  <c r="W1030" i="2"/>
  <c r="AO1473" i="2"/>
  <c r="Y879" i="2"/>
  <c r="JI561" i="5"/>
  <c r="JJ561" i="5" s="1"/>
  <c r="JI643" i="5"/>
  <c r="JJ643" i="5" s="1"/>
  <c r="JK615" i="5"/>
  <c r="JI615" i="5" s="1"/>
  <c r="AJ818" i="2"/>
  <c r="AJ684" i="2" s="1"/>
  <c r="AF311" i="2"/>
  <c r="AF313" i="2" s="1"/>
  <c r="AF308" i="2"/>
  <c r="W999" i="2"/>
  <c r="W1001" i="2"/>
  <c r="JM895" i="5"/>
  <c r="U1010" i="2"/>
  <c r="U1005" i="2"/>
  <c r="X318" i="2"/>
  <c r="X324" i="2"/>
  <c r="JP766" i="5"/>
  <c r="JN616" i="5"/>
  <c r="JL616" i="5" s="1"/>
  <c r="V660" i="2"/>
  <c r="V357" i="2"/>
  <c r="V326" i="2"/>
  <c r="V1022" i="2"/>
  <c r="V639" i="2"/>
  <c r="V1024" i="2"/>
  <c r="V1023" i="2"/>
  <c r="V306" i="2"/>
  <c r="V1009" i="2"/>
  <c r="V634" i="2"/>
  <c r="V621" i="2"/>
  <c r="V317" i="2"/>
  <c r="V1000" i="2"/>
  <c r="V1031" i="2"/>
  <c r="V377" i="2"/>
  <c r="V693" i="2"/>
  <c r="V1030" i="2"/>
  <c r="V327" i="2"/>
  <c r="V394" i="2"/>
  <c r="V684" i="2"/>
  <c r="V352" i="2"/>
  <c r="V380" i="2"/>
  <c r="V364" i="2"/>
  <c r="V339" i="2"/>
  <c r="V404" i="2"/>
  <c r="IP1208" i="5"/>
  <c r="IP1210" i="5" s="1"/>
  <c r="M129" i="7"/>
  <c r="AN1071" i="2"/>
  <c r="JW765" i="5" s="1"/>
  <c r="JU766" i="5"/>
  <c r="W326" i="2"/>
  <c r="W352" i="2"/>
  <c r="W317" i="2"/>
  <c r="W327" i="2"/>
  <c r="W377" i="2"/>
  <c r="W304" i="2"/>
  <c r="W1022" i="2"/>
  <c r="W634" i="2"/>
  <c r="W621" i="2"/>
  <c r="W394" i="2"/>
  <c r="W380" i="2"/>
  <c r="W639" i="2"/>
  <c r="W339" i="2"/>
  <c r="W385" i="2"/>
  <c r="W1009" i="2"/>
  <c r="W1010" i="2"/>
  <c r="W364" i="2"/>
  <c r="W684" i="2"/>
  <c r="W306" i="2"/>
  <c r="W693" i="2"/>
  <c r="W389" i="2"/>
  <c r="W320" i="2"/>
  <c r="W1021" i="2"/>
  <c r="W357" i="2"/>
  <c r="W660" i="2"/>
  <c r="IV1208" i="5"/>
  <c r="S129" i="7"/>
  <c r="IX603" i="5"/>
  <c r="T53" i="7"/>
  <c r="M66" i="7"/>
  <c r="IO619" i="5"/>
  <c r="L66" i="7" s="1"/>
  <c r="T102" i="7"/>
  <c r="IY730" i="5"/>
  <c r="JC666" i="5"/>
  <c r="JD666" i="5" s="1"/>
  <c r="T114" i="7"/>
  <c r="IY739" i="5"/>
  <c r="J87" i="7"/>
  <c r="K87" i="7" s="1"/>
  <c r="IO640" i="5"/>
  <c r="L87" i="7" s="1"/>
  <c r="JX984" i="5"/>
  <c r="JY984" i="5" s="1"/>
  <c r="S20" i="7"/>
  <c r="IT565" i="5"/>
  <c r="JF566" i="5"/>
  <c r="JG566" i="5" s="1"/>
  <c r="IZ626" i="5"/>
  <c r="IZ578" i="5"/>
  <c r="IZ577" i="5" s="1"/>
  <c r="IZ576" i="5" s="1"/>
  <c r="S32" i="7"/>
  <c r="IU581" i="5"/>
  <c r="R32" i="7" s="1"/>
  <c r="T48" i="7"/>
  <c r="IW597" i="5"/>
  <c r="IX597" i="5" s="1"/>
  <c r="JX848" i="5"/>
  <c r="JY848" i="5" s="1"/>
  <c r="AL333" i="2"/>
  <c r="AM333" i="2" s="1"/>
  <c r="T20" i="7"/>
  <c r="IW565" i="5"/>
  <c r="IX565" i="5" s="1"/>
  <c r="JC597" i="5"/>
  <c r="JD597" i="5" s="1"/>
  <c r="S24" i="7"/>
  <c r="IV717" i="5"/>
  <c r="AF1773" i="2"/>
  <c r="AF1770" i="2" s="1"/>
  <c r="AG1763" i="2"/>
  <c r="AH1763" i="2" s="1"/>
  <c r="AI1763" i="2" s="1"/>
  <c r="AJ1763" i="2" s="1"/>
  <c r="AK1763" i="2" s="1"/>
  <c r="AL1763" i="2" s="1"/>
  <c r="AM1763" i="2" s="1"/>
  <c r="AN1763" i="2" s="1"/>
  <c r="AO1763" i="2" s="1"/>
  <c r="AP1763" i="2" s="1"/>
  <c r="AQ1763" i="2" s="1"/>
  <c r="AR1763" i="2" s="1"/>
  <c r="AS1763" i="2" s="1"/>
  <c r="AT1763" i="2" s="1"/>
  <c r="W443" i="2"/>
  <c r="W488" i="2"/>
  <c r="W455" i="2"/>
  <c r="W564" i="2"/>
  <c r="W592" i="2"/>
  <c r="W584" i="2"/>
  <c r="V497" i="2"/>
  <c r="V498" i="2" s="1"/>
  <c r="V518" i="2"/>
  <c r="X809" i="2"/>
  <c r="X381" i="2" s="1"/>
  <c r="X366" i="2"/>
  <c r="X646" i="2"/>
  <c r="X363" i="2"/>
  <c r="T995" i="2"/>
  <c r="V996" i="2"/>
  <c r="V1005" i="2"/>
  <c r="AC1893" i="2"/>
  <c r="W581" i="2"/>
  <c r="W585" i="2"/>
  <c r="X1857" i="2"/>
  <c r="Y1026" i="2"/>
  <c r="JP895" i="5"/>
  <c r="AH924" i="2"/>
  <c r="JE703" i="5" s="1"/>
  <c r="T1000" i="2"/>
  <c r="T1026" i="2"/>
  <c r="W485" i="2"/>
  <c r="W553" i="2"/>
  <c r="AH978" i="2"/>
  <c r="AH1028" i="2" s="1"/>
  <c r="JD592" i="5"/>
  <c r="X1157" i="2"/>
  <c r="T1010" i="2"/>
  <c r="W537" i="2"/>
  <c r="W493" i="2"/>
  <c r="IN610" i="5"/>
  <c r="J59" i="7" s="1"/>
  <c r="L422" i="2"/>
  <c r="U1014" i="2"/>
  <c r="JD616" i="5"/>
  <c r="O993" i="2"/>
  <c r="V997" i="2"/>
  <c r="W998" i="2"/>
  <c r="V999" i="2"/>
  <c r="V1001" i="2"/>
  <c r="S62" i="7"/>
  <c r="JD679" i="5"/>
  <c r="JV809" i="5"/>
  <c r="W1029" i="2"/>
  <c r="AF1884" i="2"/>
  <c r="AF1439" i="2"/>
  <c r="AF1475" i="2" s="1"/>
  <c r="AF1564" i="2" s="1"/>
  <c r="JO1015" i="5"/>
  <c r="JP1015" i="5" s="1"/>
  <c r="JL571" i="5"/>
  <c r="JL617" i="5" s="1"/>
  <c r="M141" i="7"/>
  <c r="IW633" i="5"/>
  <c r="IX633" i="5" s="1"/>
  <c r="W459" i="2"/>
  <c r="L996" i="2"/>
  <c r="T28" i="7"/>
  <c r="IY719" i="5"/>
  <c r="JC582" i="5"/>
  <c r="JC628" i="5" s="1"/>
  <c r="M135" i="7"/>
  <c r="IN693" i="5"/>
  <c r="JX1017" i="5"/>
  <c r="JY1017" i="5" s="1"/>
  <c r="AD318" i="2"/>
  <c r="AE318" i="2" s="1"/>
  <c r="AF318" i="2" s="1"/>
  <c r="AG318" i="2" s="1"/>
  <c r="W997" i="2"/>
  <c r="M10" i="7"/>
  <c r="IO555" i="5"/>
  <c r="IT563" i="5"/>
  <c r="Q18" i="7" s="1"/>
  <c r="S18" i="7"/>
  <c r="W1555" i="2"/>
  <c r="W589" i="2"/>
  <c r="W460" i="2"/>
  <c r="W440" i="2"/>
  <c r="S82" i="7"/>
  <c r="IW645" i="5"/>
  <c r="IX645" i="5" s="1"/>
  <c r="JD624" i="5"/>
  <c r="T1023" i="2"/>
  <c r="M422" i="2"/>
  <c r="N422" i="2"/>
  <c r="K1670" i="2"/>
  <c r="JI686" i="5"/>
  <c r="JJ686" i="5" s="1"/>
  <c r="JG601" i="5"/>
  <c r="IV719" i="5"/>
  <c r="IT645" i="5"/>
  <c r="Q91" i="7" s="1"/>
  <c r="AG918" i="2"/>
  <c r="AG917" i="2" s="1"/>
  <c r="AG916" i="2" s="1"/>
  <c r="AG984" i="2" s="1"/>
  <c r="AG1031" i="2" s="1"/>
  <c r="T1021" i="2"/>
  <c r="IT694" i="5"/>
  <c r="JG603" i="5"/>
  <c r="IT661" i="5"/>
  <c r="IV733" i="5"/>
  <c r="W599" i="2"/>
  <c r="W515" i="2"/>
  <c r="W545" i="2"/>
  <c r="W541" i="2"/>
  <c r="W464" i="2"/>
  <c r="W465" i="2" s="1"/>
  <c r="W511" i="2"/>
  <c r="W489" i="2"/>
  <c r="W1000" i="2"/>
  <c r="JX818" i="5"/>
  <c r="W456" i="2"/>
  <c r="IW685" i="5"/>
  <c r="IX685" i="5" s="1"/>
  <c r="T1012" i="2"/>
  <c r="V712" i="2"/>
  <c r="X1346" i="2"/>
  <c r="S13" i="7"/>
  <c r="IU558" i="5"/>
  <c r="R13" i="7" s="1"/>
  <c r="V1472" i="2"/>
  <c r="V1229" i="2"/>
  <c r="V1438" i="2" s="1"/>
  <c r="V1473" i="2"/>
  <c r="M1670" i="2"/>
  <c r="S1680" i="2"/>
  <c r="S1677" i="2"/>
  <c r="J1680" i="2"/>
  <c r="R1680" i="2"/>
  <c r="O1729" i="2"/>
  <c r="IY733" i="5"/>
  <c r="IW661" i="5"/>
  <c r="IW668" i="5"/>
  <c r="IX668" i="5" s="1"/>
  <c r="JX999" i="5"/>
  <c r="JU984" i="5"/>
  <c r="JV984" i="5" s="1"/>
  <c r="JX1015" i="5"/>
  <c r="JY1015" i="5" s="1"/>
  <c r="IU683" i="5"/>
  <c r="R127" i="7" s="1"/>
  <c r="IT619" i="5"/>
  <c r="AC433" i="2"/>
  <c r="Z766" i="2"/>
  <c r="ID608" i="5"/>
  <c r="K1680" i="2"/>
  <c r="IZ661" i="5"/>
  <c r="IZ660" i="5" s="1"/>
  <c r="JA660" i="5" s="1"/>
  <c r="JA732" i="5" s="1"/>
  <c r="JY922" i="5"/>
  <c r="JX958" i="5"/>
  <c r="JY958" i="5" s="1"/>
  <c r="JM650" i="5"/>
  <c r="IO595" i="5"/>
  <c r="L46" i="7" s="1"/>
  <c r="W602" i="2"/>
  <c r="T996" i="2"/>
  <c r="W540" i="2"/>
  <c r="AG1764" i="2"/>
  <c r="AG1755" i="2"/>
  <c r="W1031" i="2"/>
  <c r="JY806" i="5"/>
  <c r="AL1471" i="2"/>
  <c r="AL1560" i="2" s="1"/>
  <c r="JP812" i="5"/>
  <c r="JJ592" i="5"/>
  <c r="IT570" i="5"/>
  <c r="Q24" i="7" s="1"/>
  <c r="JA651" i="5"/>
  <c r="V1013" i="2"/>
  <c r="W680" i="2"/>
  <c r="W514" i="2"/>
  <c r="N1025" i="2"/>
  <c r="N991" i="2"/>
  <c r="M48" i="7"/>
  <c r="IN597" i="5"/>
  <c r="T93" i="7"/>
  <c r="IW647" i="5"/>
  <c r="IX647" i="5" s="1"/>
  <c r="S120" i="7"/>
  <c r="IU676" i="5"/>
  <c r="R120" i="7" s="1"/>
  <c r="IY743" i="5"/>
  <c r="T125" i="7"/>
  <c r="JS984" i="5"/>
  <c r="JY857" i="5"/>
  <c r="JK565" i="5"/>
  <c r="JI565" i="5" s="1"/>
  <c r="JJ565" i="5" s="1"/>
  <c r="IN699" i="5"/>
  <c r="J141" i="7" s="1"/>
  <c r="W1507" i="2"/>
  <c r="W607" i="2"/>
  <c r="T999" i="2"/>
  <c r="W477" i="2"/>
  <c r="U1020" i="2"/>
  <c r="U1643" i="2"/>
  <c r="AL357" i="2"/>
  <c r="AM357" i="2" s="1"/>
  <c r="AI978" i="2"/>
  <c r="AI1028" i="2" s="1"/>
  <c r="JM593" i="5"/>
  <c r="JD566" i="5"/>
  <c r="IW562" i="5"/>
  <c r="IX562" i="5" s="1"/>
  <c r="JM627" i="5"/>
  <c r="IO600" i="5"/>
  <c r="L51" i="7" s="1"/>
  <c r="V1020" i="2"/>
  <c r="AC1588" i="2"/>
  <c r="JV803" i="5"/>
  <c r="JY886" i="5"/>
  <c r="IU680" i="5"/>
  <c r="R124" i="7" s="1"/>
  <c r="T1001" i="2"/>
  <c r="W481" i="2"/>
  <c r="W536" i="2"/>
  <c r="S1031" i="2"/>
  <c r="S1022" i="2"/>
  <c r="V324" i="2"/>
  <c r="V325" i="2" s="1"/>
  <c r="V318" i="2"/>
  <c r="V1496" i="2"/>
  <c r="V1486" i="2"/>
  <c r="V519" i="2"/>
  <c r="V520" i="2" s="1"/>
  <c r="W1206" i="2"/>
  <c r="X667" i="2" s="1"/>
  <c r="W366" i="2"/>
  <c r="W365" i="2"/>
  <c r="X900" i="2"/>
  <c r="X404" i="2" s="1"/>
  <c r="O999" i="2"/>
  <c r="W1020" i="2"/>
  <c r="X1491" i="2"/>
  <c r="X1506" i="2"/>
  <c r="T139" i="7"/>
  <c r="IX697" i="5"/>
  <c r="P1659" i="2"/>
  <c r="V1415" i="2"/>
  <c r="V1504" i="2" s="1"/>
  <c r="O1670" i="2"/>
  <c r="T1680" i="2"/>
  <c r="JV996" i="5"/>
  <c r="W1491" i="2"/>
  <c r="AE1475" i="2"/>
  <c r="AE1564" i="2" s="1"/>
  <c r="AB1588" i="2"/>
  <c r="JS982" i="5"/>
  <c r="JK680" i="5"/>
  <c r="JJ680" i="5" s="1"/>
  <c r="AB1576" i="2"/>
  <c r="AB1575" i="2" s="1"/>
  <c r="Z1837" i="2"/>
  <c r="Z1849" i="2" s="1"/>
  <c r="Z1850" i="2" s="1"/>
  <c r="Z1855" i="2" s="1"/>
  <c r="Q1031" i="2"/>
  <c r="AB1837" i="2"/>
  <c r="AB1849" i="2" s="1"/>
  <c r="AB1850" i="2" s="1"/>
  <c r="JV1016" i="5"/>
  <c r="V1026" i="2"/>
  <c r="W1498" i="2"/>
  <c r="JZ790" i="5"/>
  <c r="W1011" i="2"/>
  <c r="Z809" i="2"/>
  <c r="ID607" i="5" s="1"/>
  <c r="V879" i="2"/>
  <c r="O991" i="2"/>
  <c r="K991" i="2"/>
  <c r="X1498" i="2"/>
  <c r="AE1730" i="2"/>
  <c r="Z1757" i="2"/>
  <c r="AI834" i="2"/>
  <c r="JB604" i="5"/>
  <c r="JA604" i="5" s="1"/>
  <c r="AE1032" i="2"/>
  <c r="W995" i="2"/>
  <c r="S997" i="2"/>
  <c r="T998" i="2"/>
  <c r="AE1003" i="2"/>
  <c r="V1021" i="2"/>
  <c r="AB1729" i="2"/>
  <c r="JS856" i="5"/>
  <c r="Z842" i="2"/>
  <c r="Z961" i="2" s="1"/>
  <c r="Y1847" i="2" s="1"/>
  <c r="V994" i="2"/>
  <c r="T997" i="2"/>
  <c r="S999" i="2"/>
  <c r="S1000" i="2"/>
  <c r="S1001" i="2"/>
  <c r="V1007" i="2"/>
  <c r="W1229" i="2"/>
  <c r="W1438" i="2" s="1"/>
  <c r="AB1584" i="2"/>
  <c r="AA1707" i="2"/>
  <c r="JX996" i="5"/>
  <c r="AI367" i="2"/>
  <c r="W994" i="2"/>
  <c r="V998" i="2"/>
  <c r="AE1004" i="2"/>
  <c r="JY876" i="5"/>
  <c r="AL343" i="2"/>
  <c r="AL626" i="2" s="1"/>
  <c r="Y419" i="2"/>
  <c r="JE680" i="5"/>
  <c r="JD680" i="5" s="1"/>
  <c r="AH979" i="2"/>
  <c r="AJ1473" i="2"/>
  <c r="AJ1562" i="2" s="1"/>
  <c r="W1415" i="2"/>
  <c r="W1504" i="2" s="1"/>
  <c r="W1506" i="2"/>
  <c r="M14" i="7"/>
  <c r="IN559" i="5"/>
  <c r="J14" i="7" s="1"/>
  <c r="JM840" i="5"/>
  <c r="S1005" i="2"/>
  <c r="S1228" i="2"/>
  <c r="R1659" i="2" s="1"/>
  <c r="AK1282" i="2"/>
  <c r="JN961" i="5" s="1"/>
  <c r="JS809" i="5"/>
  <c r="JX814" i="5"/>
  <c r="W1495" i="2"/>
  <c r="U994" i="2"/>
  <c r="W324" i="2"/>
  <c r="W318" i="2"/>
  <c r="T13" i="7"/>
  <c r="IW558" i="5"/>
  <c r="IX558" i="5" s="1"/>
  <c r="AC743" i="2"/>
  <c r="AC868" i="2" s="1"/>
  <c r="IP576" i="5"/>
  <c r="G29" i="8"/>
  <c r="H29" i="8" s="1"/>
  <c r="ID582" i="5"/>
  <c r="ID721" i="5" s="1"/>
  <c r="Z951" i="2"/>
  <c r="Y1843" i="2" s="1"/>
  <c r="U996" i="2"/>
  <c r="T1228" i="2"/>
  <c r="T1005" i="2"/>
  <c r="AL1282" i="2"/>
  <c r="Y1614" i="2"/>
  <c r="U995" i="2"/>
  <c r="Y443" i="2"/>
  <c r="Y1523" i="2"/>
  <c r="Y422" i="2"/>
  <c r="Y1541" i="2"/>
  <c r="Y1539" i="2"/>
  <c r="Y1538" i="2"/>
  <c r="Y1492" i="2"/>
  <c r="Y1476" i="2"/>
  <c r="Y1565" i="2" s="1"/>
  <c r="Y1537" i="2"/>
  <c r="Y1536" i="2"/>
  <c r="Z419" i="2"/>
  <c r="JF586" i="5"/>
  <c r="JF582" i="5" s="1"/>
  <c r="JF628" i="5" s="1"/>
  <c r="JM858" i="5"/>
  <c r="JI586" i="5"/>
  <c r="JI582" i="5" s="1"/>
  <c r="JI628" i="5" s="1"/>
  <c r="JP858" i="5"/>
  <c r="JR960" i="5"/>
  <c r="JS960" i="5" s="1"/>
  <c r="JX836" i="5"/>
  <c r="AK1564" i="2"/>
  <c r="AK1893" i="2"/>
  <c r="AK1487" i="2"/>
  <c r="AK1555" i="2"/>
  <c r="T22" i="7"/>
  <c r="IW567" i="5"/>
  <c r="IX567" i="5" s="1"/>
  <c r="AL463" i="2"/>
  <c r="IZ597" i="5"/>
  <c r="JA597" i="5" s="1"/>
  <c r="ID606" i="5"/>
  <c r="JI645" i="5"/>
  <c r="JJ645" i="5" s="1"/>
  <c r="JC678" i="5"/>
  <c r="JD678" i="5" s="1"/>
  <c r="T123" i="7"/>
  <c r="IW679" i="5"/>
  <c r="IX679" i="5" s="1"/>
  <c r="JP797" i="5"/>
  <c r="JR958" i="5"/>
  <c r="JS958" i="5" s="1"/>
  <c r="JY804" i="5"/>
  <c r="Z801" i="2"/>
  <c r="ID599" i="5" s="1"/>
  <c r="ID603" i="5"/>
  <c r="Y1610" i="2"/>
  <c r="Y1607" i="2" s="1"/>
  <c r="JK562" i="5"/>
  <c r="JI562" i="5" s="1"/>
  <c r="AK463" i="2"/>
  <c r="X1385" i="2"/>
  <c r="X552" i="2"/>
  <c r="X680" i="2"/>
  <c r="X572" i="2"/>
  <c r="X514" i="2"/>
  <c r="X602" i="2"/>
  <c r="X540" i="2"/>
  <c r="X679" i="2"/>
  <c r="X1496" i="2"/>
  <c r="X548" i="2"/>
  <c r="X1541" i="2"/>
  <c r="X443" i="2"/>
  <c r="X556" i="2"/>
  <c r="X1536" i="2"/>
  <c r="X463" i="2"/>
  <c r="X580" i="2"/>
  <c r="X1509" i="2"/>
  <c r="X592" i="2"/>
  <c r="X1538" i="2"/>
  <c r="X1523" i="2"/>
  <c r="X1492" i="2"/>
  <c r="X1501" i="2"/>
  <c r="X455" i="2"/>
  <c r="X1508" i="2"/>
  <c r="X1487" i="2"/>
  <c r="X419" i="2"/>
  <c r="X492" i="2"/>
  <c r="X488" i="2"/>
  <c r="X1537" i="2"/>
  <c r="X496" i="2"/>
  <c r="X476" i="2"/>
  <c r="X568" i="2"/>
  <c r="X484" i="2"/>
  <c r="X459" i="2"/>
  <c r="X564" i="2"/>
  <c r="X536" i="2"/>
  <c r="X472" i="2"/>
  <c r="X584" i="2"/>
  <c r="X439" i="2"/>
  <c r="X1495" i="2"/>
  <c r="X576" i="2"/>
  <c r="X588" i="2"/>
  <c r="X1539" i="2"/>
  <c r="X480" i="2"/>
  <c r="X1502" i="2"/>
  <c r="X1516" i="2"/>
  <c r="X1507" i="2"/>
  <c r="X1476" i="2"/>
  <c r="X1565" i="2" s="1"/>
  <c r="X560" i="2"/>
  <c r="JX895" i="5"/>
  <c r="JY895" i="5" s="1"/>
  <c r="T12" i="7"/>
  <c r="IW557" i="5"/>
  <c r="IX557" i="5" s="1"/>
  <c r="JF678" i="5"/>
  <c r="JG678" i="5" s="1"/>
  <c r="IZ679" i="5"/>
  <c r="JA679" i="5" s="1"/>
  <c r="IN697" i="5"/>
  <c r="AG1385" i="2"/>
  <c r="AG1476" i="2"/>
  <c r="AG1893" i="2"/>
  <c r="JX856" i="5"/>
  <c r="JY856" i="5" s="1"/>
  <c r="AH1476" i="2"/>
  <c r="AH1385" i="2"/>
  <c r="AH422" i="2"/>
  <c r="JO844" i="5"/>
  <c r="JP844" i="5" s="1"/>
  <c r="V304" i="2"/>
  <c r="U1022" i="2"/>
  <c r="U1024" i="2"/>
  <c r="U1023" i="2"/>
  <c r="U1026" i="2"/>
  <c r="U1031" i="2"/>
  <c r="U997" i="2"/>
  <c r="U1001" i="2"/>
  <c r="W1399" i="2"/>
  <c r="W1488" i="2" s="1"/>
  <c r="W1061" i="2"/>
  <c r="JV804" i="5"/>
  <c r="JY825" i="5"/>
  <c r="AJ748" i="2"/>
  <c r="JK555" i="5" s="1"/>
  <c r="JI555" i="5" s="1"/>
  <c r="JJ555" i="5" s="1"/>
  <c r="X598" i="2"/>
  <c r="X544" i="2"/>
  <c r="JC638" i="5"/>
  <c r="JD638" i="5" s="1"/>
  <c r="T86" i="7"/>
  <c r="IW639" i="5"/>
  <c r="IX639" i="5" s="1"/>
  <c r="JC640" i="5"/>
  <c r="JD640" i="5" s="1"/>
  <c r="S88" i="7"/>
  <c r="IT642" i="5"/>
  <c r="Q88" i="7" s="1"/>
  <c r="JL677" i="5"/>
  <c r="JM677" i="5" s="1"/>
  <c r="M124" i="7"/>
  <c r="IO680" i="5"/>
  <c r="L124" i="7" s="1"/>
  <c r="AM1276" i="2"/>
  <c r="JT955" i="5" s="1"/>
  <c r="AI1864" i="2"/>
  <c r="AI1867" i="2"/>
  <c r="Q1023" i="2"/>
  <c r="Z422" i="2"/>
  <c r="U304" i="2"/>
  <c r="M11" i="7"/>
  <c r="IO556" i="5"/>
  <c r="L11" i="7" s="1"/>
  <c r="JC557" i="5"/>
  <c r="JD557" i="5" s="1"/>
  <c r="T88" i="7"/>
  <c r="IX642" i="5"/>
  <c r="M24" i="7"/>
  <c r="IP717" i="5"/>
  <c r="M22" i="7"/>
  <c r="IO567" i="5"/>
  <c r="L22" i="7" s="1"/>
  <c r="R424" i="2"/>
  <c r="R422" i="2"/>
  <c r="JV960" i="5"/>
  <c r="JY1016" i="5"/>
  <c r="JK617" i="5"/>
  <c r="JJ617" i="5" s="1"/>
  <c r="AJ955" i="2"/>
  <c r="AJ1002" i="2" s="1"/>
  <c r="JV922" i="5"/>
  <c r="JP840" i="5"/>
  <c r="JI616" i="5"/>
  <c r="AN1146" i="2"/>
  <c r="JU840" i="5"/>
  <c r="AG1492" i="2"/>
  <c r="X1431" i="2"/>
  <c r="X1520" i="2" s="1"/>
  <c r="X665" i="2"/>
  <c r="X666" i="2"/>
  <c r="X510" i="2"/>
  <c r="JI638" i="5"/>
  <c r="JJ638" i="5" s="1"/>
  <c r="JO954" i="5"/>
  <c r="JP954" i="5" s="1"/>
  <c r="AN1277" i="2"/>
  <c r="JW956" i="5" s="1"/>
  <c r="AL321" i="2"/>
  <c r="IT639" i="5"/>
  <c r="S86" i="7"/>
  <c r="IZ640" i="5"/>
  <c r="JA640" i="5" s="1"/>
  <c r="T128" i="7"/>
  <c r="IW684" i="5"/>
  <c r="IX684" i="5" s="1"/>
  <c r="JM797" i="5"/>
  <c r="JV805" i="5"/>
  <c r="IZ668" i="5"/>
  <c r="JA668" i="5" s="1"/>
  <c r="AO1350" i="2"/>
  <c r="JZ1025" i="5" s="1"/>
  <c r="IZ605" i="5"/>
  <c r="JA605" i="5" s="1"/>
  <c r="Z350" i="2"/>
  <c r="U1007" i="2"/>
  <c r="U1009" i="2"/>
  <c r="M55" i="7"/>
  <c r="IN606" i="5"/>
  <c r="T69" i="7"/>
  <c r="IX622" i="5"/>
  <c r="AM1414" i="2"/>
  <c r="AM1503" i="2" s="1"/>
  <c r="JS825" i="5"/>
  <c r="X1488" i="2"/>
  <c r="IO622" i="5"/>
  <c r="L69" i="7" s="1"/>
  <c r="M69" i="7"/>
  <c r="N993" i="2"/>
  <c r="U998" i="2"/>
  <c r="U1671" i="2"/>
  <c r="U1641" i="2"/>
  <c r="V1400" i="2"/>
  <c r="V1396" i="2" s="1"/>
  <c r="V1671" i="2"/>
  <c r="V1641" i="2"/>
  <c r="M42" i="7"/>
  <c r="IO591" i="5"/>
  <c r="L42" i="7" s="1"/>
  <c r="AL400" i="2"/>
  <c r="AM400" i="2" s="1"/>
  <c r="M1030" i="2"/>
  <c r="M306" i="2"/>
  <c r="M999" i="2"/>
  <c r="M1025" i="2"/>
  <c r="AC712" i="2"/>
  <c r="AC1027" i="2"/>
  <c r="AC639" i="2"/>
  <c r="AC1009" i="2"/>
  <c r="AD333" i="2"/>
  <c r="AD615" i="2"/>
  <c r="AB1767" i="2"/>
  <c r="AB435" i="2"/>
  <c r="AB436" i="2" s="1"/>
  <c r="AH918" i="2"/>
  <c r="JE698" i="5" s="1"/>
  <c r="JE699" i="5"/>
  <c r="JC699" i="5" s="1"/>
  <c r="JD699" i="5" s="1"/>
  <c r="IX586" i="5"/>
  <c r="T37" i="7"/>
  <c r="T55" i="7"/>
  <c r="IX606" i="5"/>
  <c r="T95" i="7"/>
  <c r="IX650" i="5"/>
  <c r="S110" i="7"/>
  <c r="IV737" i="5"/>
  <c r="JS763" i="5"/>
  <c r="V365" i="2"/>
  <c r="V1157" i="2"/>
  <c r="N1030" i="2"/>
  <c r="N997" i="2"/>
  <c r="N1020" i="2"/>
  <c r="N1022" i="2"/>
  <c r="N1005" i="2"/>
  <c r="N1023" i="2"/>
  <c r="N306" i="2"/>
  <c r="U999" i="2"/>
  <c r="AI1857" i="2"/>
  <c r="AI1866" i="2" s="1"/>
  <c r="AE1026" i="2"/>
  <c r="T94" i="7"/>
  <c r="JS983" i="5"/>
  <c r="IN694" i="5"/>
  <c r="M136" i="7"/>
  <c r="AJ903" i="2"/>
  <c r="JK684" i="5" s="1"/>
  <c r="JI684" i="5" s="1"/>
  <c r="JK683" i="5"/>
  <c r="JJ683" i="5" s="1"/>
  <c r="IT597" i="5"/>
  <c r="Q48" i="7" s="1"/>
  <c r="S105" i="7"/>
  <c r="IV732" i="5"/>
  <c r="JG611" i="5"/>
  <c r="AJ810" i="2"/>
  <c r="JK608" i="5" s="1"/>
  <c r="JI608" i="5" s="1"/>
  <c r="JJ608" i="5" s="1"/>
  <c r="JS898" i="5"/>
  <c r="W496" i="2"/>
  <c r="W688" i="2"/>
  <c r="W492" i="2"/>
  <c r="W568" i="2"/>
  <c r="W510" i="2"/>
  <c r="W480" i="2"/>
  <c r="W544" i="2"/>
  <c r="W439" i="2"/>
  <c r="W576" i="2"/>
  <c r="W484" i="2"/>
  <c r="W1501" i="2"/>
  <c r="W1385" i="2"/>
  <c r="W1390" i="2" s="1"/>
  <c r="W1479" i="2" s="1"/>
  <c r="W1566" i="2" s="1"/>
  <c r="W548" i="2"/>
  <c r="W1508" i="2"/>
  <c r="W1509" i="2"/>
  <c r="W556" i="2"/>
  <c r="W1476" i="2"/>
  <c r="W1565" i="2" s="1"/>
  <c r="W588" i="2"/>
  <c r="W1523" i="2"/>
  <c r="W560" i="2"/>
  <c r="W1492" i="2"/>
  <c r="W476" i="2"/>
  <c r="W679" i="2"/>
  <c r="W472" i="2"/>
  <c r="JM605" i="5"/>
  <c r="U1021" i="2"/>
  <c r="T107" i="7"/>
  <c r="IW662" i="5"/>
  <c r="IX662" i="5" s="1"/>
  <c r="JR814" i="5"/>
  <c r="O1001" i="2"/>
  <c r="O304" i="2"/>
  <c r="O998" i="2"/>
  <c r="O1005" i="2"/>
  <c r="O995" i="2"/>
  <c r="O996" i="2"/>
  <c r="O994" i="2"/>
  <c r="O1020" i="2"/>
  <c r="JA583" i="5"/>
  <c r="ID595" i="5"/>
  <c r="Y1605" i="2"/>
  <c r="N1029" i="2"/>
  <c r="AE1031" i="2"/>
  <c r="JG625" i="5"/>
  <c r="JL631" i="5"/>
  <c r="JM631" i="5" s="1"/>
  <c r="M102" i="7"/>
  <c r="IP730" i="5"/>
  <c r="P996" i="2"/>
  <c r="P304" i="2"/>
  <c r="P994" i="2"/>
  <c r="P1022" i="2"/>
  <c r="P1029" i="2"/>
  <c r="AE394" i="2"/>
  <c r="AE999" i="2"/>
  <c r="AE684" i="2"/>
  <c r="AE1000" i="2"/>
  <c r="AE1024" i="2"/>
  <c r="AE1028" i="2"/>
  <c r="AF1003" i="2"/>
  <c r="AE1023" i="2"/>
  <c r="AE1025" i="2"/>
  <c r="AE1020" i="2"/>
  <c r="AG832" i="2"/>
  <c r="JB626" i="5" s="1"/>
  <c r="JB579" i="5"/>
  <c r="JA579" i="5" s="1"/>
  <c r="T96" i="7"/>
  <c r="IW651" i="5"/>
  <c r="IX651" i="5" s="1"/>
  <c r="JL662" i="5"/>
  <c r="JM662" i="5" s="1"/>
  <c r="JI685" i="5"/>
  <c r="JJ685" i="5" s="1"/>
  <c r="JU983" i="5"/>
  <c r="JV983" i="5" s="1"/>
  <c r="AE1027" i="2"/>
  <c r="W572" i="2"/>
  <c r="JD583" i="5"/>
  <c r="T993" i="2"/>
  <c r="AC1023" i="2"/>
  <c r="JC686" i="5"/>
  <c r="JD686" i="5" s="1"/>
  <c r="JO964" i="5"/>
  <c r="JP964" i="5" s="1"/>
  <c r="AL386" i="2"/>
  <c r="AE1007" i="2"/>
  <c r="AD698" i="2"/>
  <c r="W598" i="2"/>
  <c r="W552" i="2"/>
  <c r="Q995" i="2"/>
  <c r="Q1022" i="2"/>
  <c r="Q996" i="2"/>
  <c r="Z978" i="2"/>
  <c r="Z1028" i="2" s="1"/>
  <c r="JN680" i="5"/>
  <c r="JM680" i="5" s="1"/>
  <c r="Z410" i="2"/>
  <c r="Z982" i="2"/>
  <c r="ID685" i="5"/>
  <c r="Z718" i="2"/>
  <c r="AD1033" i="2"/>
  <c r="JP809" i="5"/>
  <c r="JO959" i="5"/>
  <c r="JP959" i="5" s="1"/>
  <c r="JR964" i="5"/>
  <c r="JS964" i="5" s="1"/>
  <c r="AE1029" i="2"/>
  <c r="AE385" i="2"/>
  <c r="JA601" i="5"/>
  <c r="W1521" i="2"/>
  <c r="P1026" i="2"/>
  <c r="Z635" i="2"/>
  <c r="Y1581" i="2"/>
  <c r="T1013" i="2"/>
  <c r="W1505" i="2"/>
  <c r="P1680" i="2"/>
  <c r="M103" i="7"/>
  <c r="IP731" i="5"/>
  <c r="JP810" i="5"/>
  <c r="AE1030" i="2"/>
  <c r="AE380" i="2"/>
  <c r="W463" i="2"/>
  <c r="S306" i="2"/>
  <c r="S1023" i="2"/>
  <c r="S995" i="2"/>
  <c r="W561" i="2"/>
  <c r="AB1766" i="2"/>
  <c r="R1677" i="2"/>
  <c r="JG645" i="5"/>
  <c r="JJ651" i="5"/>
  <c r="JM973" i="5"/>
  <c r="AE327" i="2"/>
  <c r="W1496" i="2"/>
  <c r="T1031" i="2"/>
  <c r="T1014" i="2"/>
  <c r="T1022" i="2"/>
  <c r="T306" i="2"/>
  <c r="T1029" i="2"/>
  <c r="AE311" i="2"/>
  <c r="AE313" i="2" s="1"/>
  <c r="AE314" i="2" s="1"/>
  <c r="AE308" i="2"/>
  <c r="T87" i="7"/>
  <c r="IW640" i="5"/>
  <c r="IX640" i="5" s="1"/>
  <c r="JM887" i="5"/>
  <c r="JM671" i="5"/>
  <c r="Q993" i="2"/>
  <c r="U1000" i="2"/>
  <c r="W1198" i="2"/>
  <c r="W697" i="2"/>
  <c r="AM1282" i="2"/>
  <c r="AE1854" i="2"/>
  <c r="AE1859" i="2" s="1"/>
  <c r="K1729" i="2"/>
  <c r="JR859" i="5"/>
  <c r="JS859" i="5" s="1"/>
  <c r="JV888" i="5"/>
  <c r="X677" i="2"/>
  <c r="Q1012" i="2"/>
  <c r="JM807" i="5"/>
  <c r="JS807" i="5"/>
  <c r="JY983" i="5"/>
  <c r="S1030" i="2"/>
  <c r="AC1033" i="2"/>
  <c r="Y480" i="2"/>
  <c r="S92" i="7"/>
  <c r="IT646" i="5"/>
  <c r="JU886" i="5"/>
  <c r="AE699" i="2"/>
  <c r="AE399" i="2"/>
  <c r="J991" i="2"/>
  <c r="Q1029" i="2"/>
  <c r="JV810" i="5"/>
  <c r="U870" i="2"/>
  <c r="U967" i="2" s="1"/>
  <c r="U1013" i="2" s="1"/>
  <c r="U944" i="2"/>
  <c r="U993" i="2" s="1"/>
  <c r="Y363" i="2"/>
  <c r="Y646" i="2"/>
  <c r="Y366" i="2"/>
  <c r="Y809" i="2"/>
  <c r="S1012" i="2"/>
  <c r="U1030" i="2"/>
  <c r="W1352" i="2"/>
  <c r="W1344" i="2" s="1"/>
  <c r="W1487" i="2"/>
  <c r="V871" i="2"/>
  <c r="V968" i="2" s="1"/>
  <c r="V1014" i="2" s="1"/>
  <c r="V869" i="2"/>
  <c r="V966" i="2" s="1"/>
  <c r="V1012" i="2" s="1"/>
  <c r="ID615" i="5"/>
  <c r="Z386" i="2"/>
  <c r="O1011" i="2"/>
  <c r="W1516" i="2"/>
  <c r="AC1576" i="2"/>
  <c r="AC1575" i="2" s="1"/>
  <c r="AB1592" i="2"/>
  <c r="JM1016" i="5"/>
  <c r="JC571" i="5"/>
  <c r="JC617" i="5" s="1"/>
  <c r="JC614" i="5" s="1"/>
  <c r="AI310" i="2"/>
  <c r="JF571" i="5" s="1"/>
  <c r="JF617" i="5" s="1"/>
  <c r="P1020" i="2"/>
  <c r="JV971" i="5"/>
  <c r="JA694" i="5"/>
  <c r="AG816" i="2"/>
  <c r="AG789" i="2"/>
  <c r="M1000" i="2"/>
  <c r="N1009" i="2"/>
  <c r="O1021" i="2"/>
  <c r="JV807" i="5"/>
  <c r="W870" i="2"/>
  <c r="W967" i="2" s="1"/>
  <c r="W1013" i="2" s="1"/>
  <c r="L1670" i="2"/>
  <c r="M64" i="7"/>
  <c r="AK1950" i="2"/>
  <c r="JV848" i="5"/>
  <c r="JY964" i="5"/>
  <c r="V1029" i="2"/>
  <c r="K994" i="2"/>
  <c r="X1555" i="2"/>
  <c r="AD1837" i="2"/>
  <c r="AD1849" i="2" s="1"/>
  <c r="AD1850" i="2" s="1"/>
  <c r="M72" i="7"/>
  <c r="JS805" i="5"/>
  <c r="V1664" i="2"/>
  <c r="AE1346" i="2"/>
  <c r="M1729" i="2"/>
  <c r="JP920" i="5"/>
  <c r="N1729" i="2"/>
  <c r="IU571" i="5"/>
  <c r="R25" i="7" s="1"/>
  <c r="JY963" i="5"/>
  <c r="S1014" i="2"/>
  <c r="X1470" i="2"/>
  <c r="X1521" i="2"/>
  <c r="Z1706" i="2"/>
  <c r="T1729" i="2"/>
  <c r="IX570" i="5"/>
  <c r="JM687" i="5"/>
  <c r="JP837" i="5"/>
  <c r="JS852" i="5"/>
  <c r="JY763" i="5"/>
  <c r="N1659" i="2"/>
  <c r="AE1006" i="2"/>
  <c r="AA1704" i="2"/>
  <c r="U1729" i="2"/>
  <c r="Y1729" i="2"/>
  <c r="JJ636" i="5"/>
  <c r="JS848" i="5"/>
  <c r="JS796" i="5"/>
  <c r="AM1146" i="2"/>
  <c r="JW869" i="5"/>
  <c r="Y1765" i="2"/>
  <c r="Y1346" i="2"/>
  <c r="W1522" i="2"/>
  <c r="AB1704" i="2"/>
  <c r="V1729" i="2"/>
  <c r="JM647" i="5"/>
  <c r="L1010" i="2"/>
  <c r="JB680" i="5"/>
  <c r="JA680" i="5" s="1"/>
  <c r="JH683" i="5"/>
  <c r="JG683" i="5" s="1"/>
  <c r="W1024" i="2"/>
  <c r="T991" i="2"/>
  <c r="X1522" i="2"/>
  <c r="W1701" i="2"/>
  <c r="Q1013" i="2"/>
  <c r="AI924" i="2"/>
  <c r="AI925" i="2" s="1"/>
  <c r="JH704" i="5" s="1"/>
  <c r="W609" i="2"/>
  <c r="Z1346" i="2"/>
  <c r="W1502" i="2"/>
  <c r="R1670" i="2"/>
  <c r="N1677" i="2"/>
  <c r="JS977" i="5"/>
  <c r="JV968" i="5"/>
  <c r="JO836" i="5"/>
  <c r="JP836" i="5" s="1"/>
  <c r="JY920" i="5"/>
  <c r="JI573" i="5"/>
  <c r="JJ573" i="5" s="1"/>
  <c r="JY783" i="5"/>
  <c r="AM1473" i="2"/>
  <c r="AM1562" i="2" s="1"/>
  <c r="JY971" i="5"/>
  <c r="AM1951" i="2"/>
  <c r="JT869" i="5"/>
  <c r="AE1767" i="2"/>
  <c r="AK1471" i="2"/>
  <c r="AK1560" i="2" s="1"/>
  <c r="Y481" i="2"/>
  <c r="AF700" i="2"/>
  <c r="AF400" i="2"/>
  <c r="AN1471" i="2"/>
  <c r="AI1439" i="2"/>
  <c r="AI1528" i="2" s="1"/>
  <c r="JU847" i="5"/>
  <c r="JV847" i="5" s="1"/>
  <c r="W1725" i="2"/>
  <c r="W1320" i="2"/>
  <c r="W1319" i="2" s="1"/>
  <c r="W1269" i="2"/>
  <c r="AF1385" i="2"/>
  <c r="AF1514" i="2"/>
  <c r="AF1531" i="2"/>
  <c r="AF1529" i="2"/>
  <c r="AF1519" i="2"/>
  <c r="AF1503" i="2"/>
  <c r="AF1476" i="2"/>
  <c r="AF1492" i="2"/>
  <c r="AG422" i="2"/>
  <c r="AF1512" i="2"/>
  <c r="AF480" i="2"/>
  <c r="AF1893" i="2"/>
  <c r="X481" i="2"/>
  <c r="X541" i="2"/>
  <c r="X485" i="2"/>
  <c r="X464" i="2"/>
  <c r="X603" i="2"/>
  <c r="X456" i="2"/>
  <c r="X573" i="2"/>
  <c r="X574" i="2" s="1"/>
  <c r="X569" i="2"/>
  <c r="X577" i="2"/>
  <c r="X511" i="2"/>
  <c r="X489" i="2"/>
  <c r="X553" i="2"/>
  <c r="X585" i="2"/>
  <c r="X593" i="2"/>
  <c r="X599" i="2"/>
  <c r="X473" i="2"/>
  <c r="X440" i="2"/>
  <c r="X607" i="2"/>
  <c r="X557" i="2"/>
  <c r="X460" i="2"/>
  <c r="X537" i="2"/>
  <c r="X589" i="2"/>
  <c r="X515" i="2"/>
  <c r="X493" i="2"/>
  <c r="X477" i="2"/>
  <c r="AJ1893" i="2"/>
  <c r="AG767" i="2" s="1"/>
  <c r="AJ1385" i="2"/>
  <c r="AJ1564" i="2"/>
  <c r="AJ1529" i="2"/>
  <c r="AJ1528" i="2"/>
  <c r="AJ1492" i="2"/>
  <c r="AJ1515" i="2"/>
  <c r="AJ1531" i="2"/>
  <c r="AJ1514" i="2"/>
  <c r="AJ1487" i="2"/>
  <c r="AJ1476" i="2"/>
  <c r="AJ1512" i="2"/>
  <c r="AO1767" i="2"/>
  <c r="X581" i="2"/>
  <c r="V1424" i="2"/>
  <c r="V1513" i="2" s="1"/>
  <c r="JU982" i="5"/>
  <c r="JV982" i="5" s="1"/>
  <c r="JY810" i="5"/>
  <c r="W661" i="2"/>
  <c r="X661" i="2"/>
  <c r="W1424" i="2"/>
  <c r="W1513" i="2" s="1"/>
  <c r="AO1755" i="2"/>
  <c r="AO1764" i="2"/>
  <c r="JV808" i="5"/>
  <c r="JM836" i="5"/>
  <c r="AL1414" i="2"/>
  <c r="AL1503" i="2" s="1"/>
  <c r="JS876" i="5"/>
  <c r="AM1950" i="2"/>
  <c r="AN1764" i="2"/>
  <c r="AN1755" i="2"/>
  <c r="JY796" i="5"/>
  <c r="JX982" i="5"/>
  <c r="JY982" i="5" s="1"/>
  <c r="JP765" i="5"/>
  <c r="JL643" i="5"/>
  <c r="JM643" i="5" s="1"/>
  <c r="JK560" i="5"/>
  <c r="AJ751" i="2"/>
  <c r="JK558" i="5" s="1"/>
  <c r="AJ921" i="2"/>
  <c r="JK701" i="5" s="1"/>
  <c r="JK571" i="5"/>
  <c r="JJ571" i="5" s="1"/>
  <c r="AJ948" i="2"/>
  <c r="U1667" i="2"/>
  <c r="V1667" i="2"/>
  <c r="AL1950" i="2"/>
  <c r="JP876" i="5"/>
  <c r="T424" i="2"/>
  <c r="U429" i="2" s="1"/>
  <c r="T422" i="2"/>
  <c r="AL1473" i="2"/>
  <c r="AL1562" i="2" s="1"/>
  <c r="JR869" i="5"/>
  <c r="AL1977" i="2"/>
  <c r="AL1951" i="2"/>
  <c r="JX981" i="5"/>
  <c r="JY981" i="5" s="1"/>
  <c r="JU857" i="5"/>
  <c r="JV857" i="5" s="1"/>
  <c r="JV1010" i="5"/>
  <c r="JV1009" i="5" s="1"/>
  <c r="JU1009" i="5"/>
  <c r="JY811" i="5"/>
  <c r="Q85" i="7"/>
  <c r="JX960" i="5"/>
  <c r="JY960" i="5" s="1"/>
  <c r="AO1406" i="2"/>
  <c r="JY815" i="5"/>
  <c r="AO1120" i="2"/>
  <c r="AM372" i="2"/>
  <c r="JB581" i="5"/>
  <c r="JA581" i="5" s="1"/>
  <c r="AG924" i="2"/>
  <c r="JB703" i="5" s="1"/>
  <c r="IZ637" i="5"/>
  <c r="JA637" i="5" s="1"/>
  <c r="AB700" i="2"/>
  <c r="AB400" i="2"/>
  <c r="AB481" i="2"/>
  <c r="JU838" i="5"/>
  <c r="JV838" i="5" s="1"/>
  <c r="JA615" i="5"/>
  <c r="AK1473" i="2"/>
  <c r="AK1562" i="2" s="1"/>
  <c r="Z969" i="2"/>
  <c r="Y1626" i="2"/>
  <c r="ID660" i="5"/>
  <c r="ID732" i="5" s="1"/>
  <c r="R62" i="7"/>
  <c r="X545" i="2"/>
  <c r="V1429" i="2"/>
  <c r="V1518" i="2" s="1"/>
  <c r="U1654" i="2"/>
  <c r="V1380" i="2"/>
  <c r="AL345" i="2"/>
  <c r="AL1767" i="2"/>
  <c r="X869" i="2"/>
  <c r="X966" i="2" s="1"/>
  <c r="X1012" i="2" s="1"/>
  <c r="X868" i="2"/>
  <c r="X965" i="2" s="1"/>
  <c r="X1011" i="2" s="1"/>
  <c r="X871" i="2"/>
  <c r="X968" i="2" s="1"/>
  <c r="X1014" i="2" s="1"/>
  <c r="X870" i="2"/>
  <c r="X967" i="2" s="1"/>
  <c r="X1013" i="2" s="1"/>
  <c r="X944" i="2"/>
  <c r="X993" i="2" s="1"/>
  <c r="AL324" i="2"/>
  <c r="Y944" i="2"/>
  <c r="Y869" i="2"/>
  <c r="Y966" i="2" s="1"/>
  <c r="Y1012" i="2" s="1"/>
  <c r="Y868" i="2"/>
  <c r="Y965" i="2" s="1"/>
  <c r="Y1011" i="2" s="1"/>
  <c r="Y870" i="2"/>
  <c r="Y967" i="2" s="1"/>
  <c r="Y1013" i="2" s="1"/>
  <c r="Y871" i="2"/>
  <c r="Y968" i="2" s="1"/>
  <c r="Y1014" i="2" s="1"/>
  <c r="Z915" i="2"/>
  <c r="Z900" i="2" s="1"/>
  <c r="ID696" i="5"/>
  <c r="Z984" i="2"/>
  <c r="Z1031" i="2" s="1"/>
  <c r="AN1274" i="2"/>
  <c r="JW953" i="5" s="1"/>
  <c r="AK1276" i="2"/>
  <c r="JN955" i="5" s="1"/>
  <c r="JH661" i="5"/>
  <c r="AJ873" i="2"/>
  <c r="AI872" i="2"/>
  <c r="AK344" i="2"/>
  <c r="JU856" i="5"/>
  <c r="JV856" i="5" s="1"/>
  <c r="AL340" i="2"/>
  <c r="AL629" i="2" s="1"/>
  <c r="AK347" i="2"/>
  <c r="AK341" i="2"/>
  <c r="AK624" i="2" s="1"/>
  <c r="JX840" i="5"/>
  <c r="AO1146" i="2"/>
  <c r="AK337" i="2"/>
  <c r="AN399" i="2"/>
  <c r="AI801" i="2"/>
  <c r="JH599" i="5" s="1"/>
  <c r="JH600" i="5"/>
  <c r="JF600" i="5" s="1"/>
  <c r="JF599" i="5" s="1"/>
  <c r="X1410" i="2"/>
  <c r="X1229" i="2"/>
  <c r="AN1473" i="2"/>
  <c r="X1725" i="2"/>
  <c r="X1700" i="2"/>
  <c r="X1320" i="2"/>
  <c r="X1319" i="2" s="1"/>
  <c r="AI1492" i="2"/>
  <c r="Z481" i="2"/>
  <c r="V561" i="2"/>
  <c r="V562" i="2" s="1"/>
  <c r="Z1767" i="2"/>
  <c r="Z435" i="2"/>
  <c r="ID555" i="5"/>
  <c r="Y1578" i="2"/>
  <c r="Z746" i="2"/>
  <c r="Z716" i="2"/>
  <c r="Z408" i="2"/>
  <c r="Z902" i="2"/>
  <c r="ID683" i="5" s="1"/>
  <c r="L1659" i="2"/>
  <c r="M1659" i="2"/>
  <c r="AK1385" i="2"/>
  <c r="AK1515" i="2"/>
  <c r="AK1531" i="2"/>
  <c r="AK1514" i="2"/>
  <c r="AK1512" i="2"/>
  <c r="AK1476" i="2"/>
  <c r="AK1528" i="2"/>
  <c r="AK1492" i="2"/>
  <c r="AK422" i="2"/>
  <c r="AA481" i="2"/>
  <c r="AE434" i="2"/>
  <c r="AF434" i="2" s="1"/>
  <c r="AD435" i="2"/>
  <c r="AG903" i="2"/>
  <c r="JB684" i="5" s="1"/>
  <c r="JB683" i="5"/>
  <c r="JA683" i="5" s="1"/>
  <c r="X398" i="2"/>
  <c r="X385" i="2"/>
  <c r="X394" i="2"/>
  <c r="X327" i="2"/>
  <c r="X339" i="2"/>
  <c r="X1022" i="2"/>
  <c r="X1021" i="2"/>
  <c r="X1028" i="2"/>
  <c r="X693" i="2"/>
  <c r="X1010" i="2"/>
  <c r="X1023" i="2"/>
  <c r="X994" i="2"/>
  <c r="X999" i="2"/>
  <c r="X377" i="2"/>
  <c r="X1001" i="2"/>
  <c r="X621" i="2"/>
  <c r="X352" i="2"/>
  <c r="X304" i="2"/>
  <c r="X379" i="2" s="1"/>
  <c r="X1007" i="2"/>
  <c r="X1027" i="2"/>
  <c r="X1020" i="2"/>
  <c r="X995" i="2"/>
  <c r="X998" i="2"/>
  <c r="X684" i="2"/>
  <c r="X1000" i="2"/>
  <c r="X698" i="2"/>
  <c r="AG311" i="2"/>
  <c r="AG313" i="2" s="1"/>
  <c r="AH309" i="2"/>
  <c r="AB344" i="2"/>
  <c r="AB623" i="2"/>
  <c r="AB337" i="2"/>
  <c r="AB329" i="2" s="1"/>
  <c r="AB626" i="2"/>
  <c r="AB341" i="2"/>
  <c r="AC347" i="2"/>
  <c r="AD622" i="2"/>
  <c r="AC629" i="2"/>
  <c r="AD340" i="2"/>
  <c r="AL373" i="2"/>
  <c r="AM373" i="2" s="1"/>
  <c r="AN373" i="2" s="1"/>
  <c r="AO373" i="2" s="1"/>
  <c r="AK367" i="2"/>
  <c r="AI819" i="2"/>
  <c r="AL1385" i="2"/>
  <c r="JQ1054" i="5"/>
  <c r="AL1555" i="2"/>
  <c r="AL1476" i="2"/>
  <c r="AL422" i="2"/>
  <c r="AL1564" i="2"/>
  <c r="AL1487" i="2"/>
  <c r="AL1515" i="2"/>
  <c r="AL1528" i="2"/>
  <c r="AL1514" i="2"/>
  <c r="AL1512" i="2"/>
  <c r="AL1531" i="2"/>
  <c r="AE1756" i="2"/>
  <c r="AE1765" i="2"/>
  <c r="AE430" i="2"/>
  <c r="AB347" i="2"/>
  <c r="AC622" i="2"/>
  <c r="AB629" i="2"/>
  <c r="V422" i="2"/>
  <c r="V596" i="2" s="1"/>
  <c r="V1143" i="2" s="1"/>
  <c r="U422" i="2"/>
  <c r="X549" i="2"/>
  <c r="X561" i="2"/>
  <c r="AA433" i="2"/>
  <c r="Z1766" i="2"/>
  <c r="AL355" i="2"/>
  <c r="Y304" i="2"/>
  <c r="Y621" i="2"/>
  <c r="Y634" i="2"/>
  <c r="Y1030" i="2"/>
  <c r="Y357" i="2"/>
  <c r="Y364" i="2"/>
  <c r="Y712" i="2"/>
  <c r="Y389" i="2"/>
  <c r="Y365" i="2"/>
  <c r="Y1000" i="2"/>
  <c r="Y997" i="2"/>
  <c r="Y377" i="2"/>
  <c r="Y320" i="2"/>
  <c r="Y1023" i="2"/>
  <c r="AA314" i="2"/>
  <c r="Z315" i="2" s="1"/>
  <c r="Z344" i="2"/>
  <c r="Z337" i="2"/>
  <c r="Z626" i="2"/>
  <c r="V552" i="2"/>
  <c r="V514" i="2"/>
  <c r="V496" i="2"/>
  <c r="V492" i="2"/>
  <c r="V679" i="2"/>
  <c r="V476" i="2"/>
  <c r="V1492" i="2"/>
  <c r="V472" i="2"/>
  <c r="V488" i="2"/>
  <c r="W419" i="2"/>
  <c r="V602" i="2"/>
  <c r="V572" i="2"/>
  <c r="V1555" i="2"/>
  <c r="V443" i="2"/>
  <c r="V576" i="2"/>
  <c r="V592" i="2"/>
  <c r="V1523" i="2"/>
  <c r="V1385" i="2"/>
  <c r="V1476" i="2"/>
  <c r="V1565" i="2" s="1"/>
  <c r="V1532" i="2"/>
  <c r="W422" i="2"/>
  <c r="W682" i="2" s="1"/>
  <c r="V1501" i="2"/>
  <c r="V680" i="2"/>
  <c r="V598" i="2"/>
  <c r="V580" i="2"/>
  <c r="V609" i="2"/>
  <c r="V1508" i="2"/>
  <c r="V548" i="2"/>
  <c r="V1502" i="2"/>
  <c r="V560" i="2"/>
  <c r="V480" i="2"/>
  <c r="V544" i="2"/>
  <c r="V463" i="2"/>
  <c r="V536" i="2"/>
  <c r="V540" i="2"/>
  <c r="V568" i="2"/>
  <c r="V1509" i="2"/>
  <c r="V584" i="2"/>
  <c r="V556" i="2"/>
  <c r="V1557" i="2"/>
  <c r="V459" i="2"/>
  <c r="V1517" i="2"/>
  <c r="V484" i="2"/>
  <c r="V1498" i="2"/>
  <c r="V564" i="2"/>
  <c r="V1495" i="2"/>
  <c r="V1487" i="2"/>
  <c r="V455" i="2"/>
  <c r="V1553" i="2"/>
  <c r="V588" i="2"/>
  <c r="V510" i="2"/>
  <c r="V439" i="2"/>
  <c r="V1507" i="2"/>
  <c r="L62" i="7"/>
  <c r="Z621" i="2"/>
  <c r="Z698" i="2"/>
  <c r="Z660" i="2"/>
  <c r="AA337" i="2"/>
  <c r="AA329" i="2" s="1"/>
  <c r="AA628" i="2"/>
  <c r="AA341" i="2"/>
  <c r="AA344" i="2"/>
  <c r="AA629" i="2"/>
  <c r="AA626" i="2"/>
  <c r="AA623" i="2"/>
  <c r="AA347" i="2"/>
  <c r="AA346" i="2"/>
  <c r="AD625" i="2"/>
  <c r="AD343" i="2"/>
  <c r="IX572" i="5"/>
  <c r="T26" i="7"/>
  <c r="JU869" i="5"/>
  <c r="Q42" i="7"/>
  <c r="V1522" i="2"/>
  <c r="T25" i="7"/>
  <c r="IX571" i="5"/>
  <c r="AL1273" i="2"/>
  <c r="S85" i="7"/>
  <c r="IU638" i="5"/>
  <c r="R85" i="7" s="1"/>
  <c r="AI1840" i="2"/>
  <c r="AE996" i="2"/>
  <c r="W1188" i="2"/>
  <c r="V1656" i="2"/>
  <c r="AN310" i="2"/>
  <c r="AJ1414" i="2"/>
  <c r="AJ1503" i="2" s="1"/>
  <c r="X1188" i="2"/>
  <c r="AK1420" i="2"/>
  <c r="AK1509" i="2" s="1"/>
  <c r="AL1155" i="2"/>
  <c r="Z763" i="2"/>
  <c r="Z639" i="2" s="1"/>
  <c r="ID572" i="5"/>
  <c r="V1660" i="2"/>
  <c r="W1410" i="2"/>
  <c r="AK1414" i="2"/>
  <c r="AK1503" i="2" s="1"/>
  <c r="JC625" i="5"/>
  <c r="JD625" i="5" s="1"/>
  <c r="T140" i="7"/>
  <c r="IW698" i="5"/>
  <c r="IW696" i="5" s="1"/>
  <c r="AK311" i="2"/>
  <c r="AK313" i="2" s="1"/>
  <c r="AL309" i="2"/>
  <c r="AL311" i="2" s="1"/>
  <c r="AL313" i="2" s="1"/>
  <c r="J1659" i="2"/>
  <c r="AC1592" i="2"/>
  <c r="AC1611" i="2"/>
  <c r="V1521" i="2"/>
  <c r="AL1529" i="2"/>
  <c r="AB1820" i="2"/>
  <c r="AA1819" i="2"/>
  <c r="AC996" i="2"/>
  <c r="AE1840" i="2"/>
  <c r="X688" i="2"/>
  <c r="X689" i="2"/>
  <c r="AJ1555" i="2"/>
  <c r="JS766" i="5"/>
  <c r="K306" i="2"/>
  <c r="K1013" i="2"/>
  <c r="K1009" i="2"/>
  <c r="K1031" i="2"/>
  <c r="K1012" i="2"/>
  <c r="K1000" i="2"/>
  <c r="K1023" i="2"/>
  <c r="K1001" i="2"/>
  <c r="AC311" i="2"/>
  <c r="AC313" i="2" s="1"/>
  <c r="AB308" i="2"/>
  <c r="AB1755" i="2" s="1"/>
  <c r="AE627" i="2"/>
  <c r="AE345" i="2"/>
  <c r="AC341" i="2"/>
  <c r="AC337" i="2"/>
  <c r="AC626" i="2"/>
  <c r="AC623" i="2"/>
  <c r="AC344" i="2"/>
  <c r="AC398" i="2"/>
  <c r="AC698" i="2"/>
  <c r="E659" i="2"/>
  <c r="T655" i="2" s="1"/>
  <c r="M27" i="7"/>
  <c r="IO573" i="5"/>
  <c r="L27" i="7" s="1"/>
  <c r="IW694" i="5"/>
  <c r="IX694" i="5" s="1"/>
  <c r="IT697" i="5"/>
  <c r="IU697" i="5" s="1"/>
  <c r="L997" i="2"/>
  <c r="AB634" i="2"/>
  <c r="AB1020" i="2"/>
  <c r="AB1000" i="2"/>
  <c r="AB698" i="2"/>
  <c r="AB1029" i="2"/>
  <c r="AB365" i="2"/>
  <c r="AB306" i="2"/>
  <c r="AB326" i="2"/>
  <c r="AB1021" i="2"/>
  <c r="AB1001" i="2"/>
  <c r="AB621" i="2"/>
  <c r="AL1492" i="2"/>
  <c r="X1415" i="2"/>
  <c r="X1504" i="2" s="1"/>
  <c r="X1505" i="2"/>
  <c r="JA619" i="5"/>
  <c r="Q1659" i="2"/>
  <c r="V1491" i="2"/>
  <c r="V1506" i="2"/>
  <c r="M26" i="7"/>
  <c r="IO572" i="5"/>
  <c r="JC619" i="5"/>
  <c r="JD619" i="5" s="1"/>
  <c r="AB314" i="2"/>
  <c r="AA315" i="2" s="1"/>
  <c r="IW617" i="5"/>
  <c r="S26" i="7"/>
  <c r="JC626" i="5"/>
  <c r="JC578" i="5"/>
  <c r="JC577" i="5" s="1"/>
  <c r="JG593" i="5"/>
  <c r="AF1515" i="2"/>
  <c r="IW563" i="5"/>
  <c r="IX563" i="5" s="1"/>
  <c r="IW573" i="5"/>
  <c r="IX573" i="5" s="1"/>
  <c r="JG619" i="5"/>
  <c r="AK1273" i="2"/>
  <c r="AB1611" i="2"/>
  <c r="J30" i="7"/>
  <c r="IO578" i="5"/>
  <c r="L30" i="7" s="1"/>
  <c r="IN577" i="5"/>
  <c r="JI578" i="5"/>
  <c r="JI577" i="5" s="1"/>
  <c r="JI626" i="5"/>
  <c r="JF592" i="5"/>
  <c r="JG592" i="5" s="1"/>
  <c r="S54" i="7"/>
  <c r="IU605" i="5"/>
  <c r="R54" i="7" s="1"/>
  <c r="JF627" i="5"/>
  <c r="JG627" i="5" s="1"/>
  <c r="JE683" i="5"/>
  <c r="JD683" i="5" s="1"/>
  <c r="AH903" i="2"/>
  <c r="JE684" i="5" s="1"/>
  <c r="AC481" i="2"/>
  <c r="JJ677" i="5"/>
  <c r="JP763" i="5"/>
  <c r="JO902" i="5"/>
  <c r="JP902" i="5" s="1"/>
  <c r="JH671" i="5"/>
  <c r="JG671" i="5" s="1"/>
  <c r="AI882" i="2"/>
  <c r="AI881" i="2" s="1"/>
  <c r="AI1862" i="2"/>
  <c r="U1637" i="2"/>
  <c r="V1061" i="2"/>
  <c r="AD481" i="2"/>
  <c r="T108" i="7"/>
  <c r="IW663" i="5"/>
  <c r="IX663" i="5" s="1"/>
  <c r="JM810" i="5"/>
  <c r="JA616" i="5"/>
  <c r="ID661" i="5"/>
  <c r="ID733" i="5" s="1"/>
  <c r="Z970" i="2"/>
  <c r="JF684" i="5"/>
  <c r="JG684" i="5" s="1"/>
  <c r="ID699" i="5"/>
  <c r="Y1612" i="2"/>
  <c r="Y1611" i="2" s="1"/>
  <c r="JF557" i="5"/>
  <c r="JG557" i="5" s="1"/>
  <c r="Q116" i="7"/>
  <c r="IT670" i="5"/>
  <c r="IU671" i="5"/>
  <c r="R116" i="7" s="1"/>
  <c r="JF597" i="5"/>
  <c r="JG597" i="5" s="1"/>
  <c r="JE661" i="5"/>
  <c r="AH970" i="2"/>
  <c r="AH1021" i="2" s="1"/>
  <c r="JI557" i="5"/>
  <c r="JJ557" i="5" s="1"/>
  <c r="JC636" i="5"/>
  <c r="JD636" i="5" s="1"/>
  <c r="T103" i="7"/>
  <c r="IY731" i="5"/>
  <c r="AA1706" i="2"/>
  <c r="JM960" i="5"/>
  <c r="S135" i="7"/>
  <c r="IT693" i="5"/>
  <c r="IU693" i="5" s="1"/>
  <c r="R135" i="7" s="1"/>
  <c r="JM963" i="5"/>
  <c r="JO973" i="5"/>
  <c r="JP973" i="5" s="1"/>
  <c r="JJ624" i="5"/>
  <c r="T135" i="7"/>
  <c r="IW693" i="5"/>
  <c r="IX693" i="5" s="1"/>
  <c r="AE1001" i="2"/>
  <c r="AB350" i="2"/>
  <c r="AB632" i="2"/>
  <c r="IW625" i="5"/>
  <c r="IX625" i="5" s="1"/>
  <c r="JM805" i="5"/>
  <c r="Y1031" i="2"/>
  <c r="M130" i="7"/>
  <c r="IO686" i="5"/>
  <c r="L130" i="7" s="1"/>
  <c r="JM812" i="5"/>
  <c r="JM958" i="5"/>
  <c r="JC605" i="5"/>
  <c r="JD605" i="5" s="1"/>
  <c r="JB646" i="5"/>
  <c r="IZ646" i="5" s="1"/>
  <c r="AH855" i="2"/>
  <c r="JE646" i="5" s="1"/>
  <c r="K1021" i="2"/>
  <c r="AB1023" i="2"/>
  <c r="X1397" i="2"/>
  <c r="X1061" i="2"/>
  <c r="AL1410" i="2"/>
  <c r="AL1499" i="2" s="1"/>
  <c r="JM592" i="5"/>
  <c r="IT622" i="5"/>
  <c r="Q69" i="7" s="1"/>
  <c r="JF650" i="5"/>
  <c r="JG650" i="5" s="1"/>
  <c r="ID558" i="5"/>
  <c r="Y1580" i="2"/>
  <c r="Z324" i="2"/>
  <c r="IZ638" i="5"/>
  <c r="JA638" i="5" s="1"/>
  <c r="V1490" i="2"/>
  <c r="AM1410" i="2"/>
  <c r="AM1499" i="2" s="1"/>
  <c r="V1643" i="2"/>
  <c r="IT567" i="5"/>
  <c r="Q22" i="7" s="1"/>
  <c r="JO1009" i="5"/>
  <c r="JS837" i="5"/>
  <c r="JS996" i="5"/>
  <c r="JR996" i="5"/>
  <c r="JV978" i="5"/>
  <c r="AN1300" i="2"/>
  <c r="JF605" i="5"/>
  <c r="JG605" i="5" s="1"/>
  <c r="W646" i="2"/>
  <c r="W363" i="2"/>
  <c r="W809" i="2"/>
  <c r="X367" i="2"/>
  <c r="W1157" i="2"/>
  <c r="X1838" i="2"/>
  <c r="Y940" i="2"/>
  <c r="Y995" i="2"/>
  <c r="Y996" i="2"/>
  <c r="W1643" i="2"/>
  <c r="JS783" i="5"/>
  <c r="JN676" i="5"/>
  <c r="JM676" i="5" s="1"/>
  <c r="V1488" i="2"/>
  <c r="X1401" i="2"/>
  <c r="X1490" i="2" s="1"/>
  <c r="JG662" i="5"/>
  <c r="T113" i="7"/>
  <c r="AC1385" i="2"/>
  <c r="AC422" i="2"/>
  <c r="JD642" i="5"/>
  <c r="JI662" i="5"/>
  <c r="JJ662" i="5" s="1"/>
  <c r="IV1206" i="5"/>
  <c r="S125" i="7"/>
  <c r="IV743" i="5"/>
  <c r="Y404" i="2"/>
  <c r="Y980" i="2"/>
  <c r="N304" i="2"/>
  <c r="N1021" i="2"/>
  <c r="K1026" i="2"/>
  <c r="JF666" i="5"/>
  <c r="JG666" i="5" s="1"/>
  <c r="JO847" i="5"/>
  <c r="JP847" i="5" s="1"/>
  <c r="JD579" i="5"/>
  <c r="L1026" i="2"/>
  <c r="J1670" i="2"/>
  <c r="JP984" i="5"/>
  <c r="JR881" i="5"/>
  <c r="JS803" i="5"/>
  <c r="P1010" i="2"/>
  <c r="Q304" i="2"/>
  <c r="K997" i="2"/>
  <c r="JM844" i="5"/>
  <c r="JS797" i="5"/>
  <c r="Y1028" i="2"/>
  <c r="P1031" i="2"/>
  <c r="Q1680" i="2"/>
  <c r="F1729" i="2"/>
  <c r="Z1729" i="2"/>
  <c r="JG687" i="5"/>
  <c r="JU902" i="5"/>
  <c r="JV902" i="5" s="1"/>
  <c r="O1007" i="2"/>
  <c r="AF1755" i="2"/>
  <c r="AF1764" i="2"/>
  <c r="N998" i="2"/>
  <c r="V1233" i="2"/>
  <c r="V1441" i="2" s="1"/>
  <c r="V1530" i="2" s="1"/>
  <c r="V688" i="2"/>
  <c r="V1505" i="2"/>
  <c r="V1516" i="2"/>
  <c r="JI566" i="5"/>
  <c r="JJ566" i="5" s="1"/>
  <c r="AD398" i="2"/>
  <c r="AE398" i="2" s="1"/>
  <c r="AF398" i="2" s="1"/>
  <c r="AG398" i="2" s="1"/>
  <c r="Z821" i="2"/>
  <c r="Z921" i="2" s="1"/>
  <c r="ID701" i="5" s="1"/>
  <c r="P998" i="2"/>
  <c r="X1009" i="2"/>
  <c r="JV806" i="5"/>
  <c r="JU964" i="5"/>
  <c r="JV964" i="5" s="1"/>
  <c r="JX888" i="5"/>
  <c r="JY859" i="5"/>
  <c r="JY809" i="5"/>
  <c r="JY959" i="5"/>
  <c r="JA699" i="5"/>
  <c r="JA631" i="5"/>
  <c r="JG633" i="5"/>
  <c r="AK1406" i="2"/>
  <c r="AK1495" i="2" s="1"/>
  <c r="JU973" i="5"/>
  <c r="JV973" i="5" s="1"/>
  <c r="JX887" i="5"/>
  <c r="JY808" i="5"/>
  <c r="JJ581" i="5"/>
  <c r="JS922" i="5"/>
  <c r="JR963" i="5"/>
  <c r="JS963" i="5" s="1"/>
  <c r="JR818" i="5"/>
  <c r="JY807" i="5"/>
  <c r="JG634" i="5"/>
  <c r="JD662" i="5"/>
  <c r="JR920" i="5"/>
  <c r="JS920" i="5" s="1"/>
  <c r="AM1124" i="2"/>
  <c r="AA1346" i="2"/>
  <c r="JO848" i="5"/>
  <c r="JP848" i="5" s="1"/>
  <c r="JA627" i="5"/>
  <c r="JV782" i="5"/>
  <c r="JJ699" i="5"/>
  <c r="JU920" i="5"/>
  <c r="JV920" i="5" s="1"/>
  <c r="JU959" i="5"/>
  <c r="JV959" i="5" s="1"/>
  <c r="W566" i="2"/>
  <c r="AB1346" i="2"/>
  <c r="JR959" i="5"/>
  <c r="JS959" i="5" s="1"/>
  <c r="JZ869" i="5"/>
  <c r="JV811" i="5"/>
  <c r="JX881" i="5"/>
  <c r="JY977" i="5"/>
  <c r="JX957" i="5"/>
  <c r="JY957" i="5" s="1"/>
  <c r="JV957" i="5"/>
  <c r="JA690" i="5"/>
  <c r="JM808" i="5"/>
  <c r="JM888" i="5"/>
  <c r="JU858" i="5"/>
  <c r="JV858" i="5" s="1"/>
  <c r="JM886" i="5"/>
  <c r="JV763" i="5"/>
  <c r="JU895" i="5"/>
  <c r="JV895" i="5" s="1"/>
  <c r="JV954" i="5"/>
  <c r="IU604" i="5"/>
  <c r="JM964" i="5"/>
  <c r="JR887" i="5"/>
  <c r="JL582" i="5"/>
  <c r="JL628" i="5" s="1"/>
  <c r="JG690" i="5"/>
  <c r="JS847" i="5"/>
  <c r="JS806" i="5"/>
  <c r="JG623" i="5"/>
  <c r="JV876" i="5"/>
  <c r="JG677" i="5"/>
  <c r="JP814" i="5"/>
  <c r="IX581" i="5"/>
  <c r="IO579" i="5"/>
  <c r="L31" i="7" s="1"/>
  <c r="AL1300" i="2"/>
  <c r="AM1300" i="2"/>
  <c r="JS978" i="5"/>
  <c r="JX1037" i="5"/>
  <c r="JX968" i="5"/>
  <c r="JY1011" i="5"/>
  <c r="AJ1740" i="2"/>
  <c r="AN1739" i="2"/>
  <c r="AN1738" i="2" s="1"/>
  <c r="AL1740" i="2"/>
  <c r="JR1009" i="5"/>
  <c r="JS1011" i="5"/>
  <c r="AM1739" i="2" s="1"/>
  <c r="AM1738" i="2" s="1"/>
  <c r="AI917" i="2"/>
  <c r="JH698" i="5"/>
  <c r="IZ600" i="5"/>
  <c r="IZ599" i="5" s="1"/>
  <c r="JC600" i="5"/>
  <c r="JC599" i="5" s="1"/>
  <c r="JI600" i="5"/>
  <c r="JI599" i="5" s="1"/>
  <c r="AH801" i="2"/>
  <c r="JE599" i="5" s="1"/>
  <c r="JL600" i="5"/>
  <c r="JL599" i="5" s="1"/>
  <c r="JN698" i="5"/>
  <c r="JM699" i="5"/>
  <c r="AJ801" i="2"/>
  <c r="JK599" i="5" s="1"/>
  <c r="JX869" i="5"/>
  <c r="JU871" i="5"/>
  <c r="JV871" i="5" s="1"/>
  <c r="JM871" i="5"/>
  <c r="JO869" i="5"/>
  <c r="JN599" i="5"/>
  <c r="AJ1977" i="2"/>
  <c r="AG893" i="2" s="1"/>
  <c r="JK671" i="5"/>
  <c r="JJ671" i="5" s="1"/>
  <c r="AJ977" i="2"/>
  <c r="AJ1027" i="2" s="1"/>
  <c r="AJ882" i="2"/>
  <c r="JK670" i="5" s="1"/>
  <c r="AG779" i="2"/>
  <c r="JB582" i="5" s="1"/>
  <c r="JA582" i="5" s="1"/>
  <c r="JA721" i="5" s="1"/>
  <c r="AG834" i="2"/>
  <c r="JB628" i="5" s="1"/>
  <c r="AJ834" i="2"/>
  <c r="AM1406" i="2"/>
  <c r="AM1495" i="2" s="1"/>
  <c r="AJ832" i="2"/>
  <c r="JK626" i="5" s="1"/>
  <c r="AH834" i="2"/>
  <c r="JE628" i="5" s="1"/>
  <c r="AJ1406" i="2"/>
  <c r="AJ1495" i="2" s="1"/>
  <c r="JK583" i="5"/>
  <c r="JJ583" i="5" s="1"/>
  <c r="JN583" i="5"/>
  <c r="JM583" i="5" s="1"/>
  <c r="JM814" i="5"/>
  <c r="JP818" i="5"/>
  <c r="JO814" i="5"/>
  <c r="JN703" i="5"/>
  <c r="AJ924" i="2"/>
  <c r="AG978" i="2"/>
  <c r="AG1028" i="2" s="1"/>
  <c r="JL670" i="5"/>
  <c r="JL669" i="5" s="1"/>
  <c r="JK582" i="5"/>
  <c r="AF304" i="2"/>
  <c r="AF1033" i="2"/>
  <c r="AF1025" i="2"/>
  <c r="V465" i="2"/>
  <c r="AF1009" i="2"/>
  <c r="AF339" i="2"/>
  <c r="AF1002" i="2"/>
  <c r="AF1004" i="2"/>
  <c r="AF1001" i="2"/>
  <c r="AF931" i="2"/>
  <c r="AF990" i="2" s="1"/>
  <c r="AF639" i="2"/>
  <c r="AF364" i="2"/>
  <c r="AF999" i="2"/>
  <c r="AF365" i="2"/>
  <c r="AF380" i="2"/>
  <c r="AF352" i="2"/>
  <c r="AF1031" i="2"/>
  <c r="AF997" i="2"/>
  <c r="AF1026" i="2"/>
  <c r="AF1030" i="2"/>
  <c r="AF1013" i="2"/>
  <c r="AF1029" i="2"/>
  <c r="AF1011" i="2"/>
  <c r="AF1012" i="2"/>
  <c r="AF1024" i="2"/>
  <c r="AF1014" i="2"/>
  <c r="AF1007" i="2"/>
  <c r="AF1000" i="2"/>
  <c r="AF621" i="2"/>
  <c r="AF1023" i="2"/>
  <c r="AF326" i="2"/>
  <c r="AF1020" i="2"/>
  <c r="AF327" i="2"/>
  <c r="AF998" i="2"/>
  <c r="AF1006" i="2"/>
  <c r="AF684" i="2"/>
  <c r="AF634" i="2"/>
  <c r="AF1021" i="2"/>
  <c r="AF394" i="2"/>
  <c r="AF996" i="2"/>
  <c r="AF1010" i="2"/>
  <c r="AF1005" i="2"/>
  <c r="AF389" i="2"/>
  <c r="AF306" i="2"/>
  <c r="AF385" i="2"/>
  <c r="AG931" i="2"/>
  <c r="AG990" i="2" s="1"/>
  <c r="AG1021" i="2"/>
  <c r="AH304" i="2"/>
  <c r="AG304" i="2"/>
  <c r="AG389" i="2"/>
  <c r="AG621" i="2"/>
  <c r="AM1529" i="2"/>
  <c r="AM1487" i="2"/>
  <c r="AM1385" i="2"/>
  <c r="AM1515" i="2"/>
  <c r="AM1564" i="2"/>
  <c r="AM422" i="2"/>
  <c r="AM673" i="2" s="1"/>
  <c r="AM1512" i="2"/>
  <c r="AM1492" i="2"/>
  <c r="AM564" i="2"/>
  <c r="AM676" i="2"/>
  <c r="AM1222" i="2" s="1"/>
  <c r="AM1476" i="2"/>
  <c r="AM1555" i="2"/>
  <c r="AM1531" i="2"/>
  <c r="AM1514" i="2"/>
  <c r="AM1528" i="2"/>
  <c r="AM463" i="2"/>
  <c r="AA1385" i="2"/>
  <c r="AA1523" i="2"/>
  <c r="AA1476" i="2"/>
  <c r="AA480" i="2"/>
  <c r="AA419" i="2"/>
  <c r="AA422" i="2"/>
  <c r="AB422" i="2"/>
  <c r="AA1541" i="2"/>
  <c r="AA1539" i="2"/>
  <c r="AA1538" i="2"/>
  <c r="AA1536" i="2"/>
  <c r="AA1492" i="2"/>
  <c r="AA1503" i="2"/>
  <c r="AA1537" i="2"/>
  <c r="AB419" i="2"/>
  <c r="R1005" i="2"/>
  <c r="R1009" i="2"/>
  <c r="R1010" i="2"/>
  <c r="R997" i="2"/>
  <c r="R1013" i="2"/>
  <c r="R1023" i="2"/>
  <c r="R1014" i="2"/>
  <c r="R1007" i="2"/>
  <c r="R995" i="2"/>
  <c r="R1011" i="2"/>
  <c r="R304" i="2"/>
  <c r="R1024" i="2"/>
  <c r="R993" i="2"/>
  <c r="R1025" i="2"/>
  <c r="R999" i="2"/>
  <c r="R1022" i="2"/>
  <c r="R994" i="2"/>
  <c r="R1012" i="2"/>
  <c r="R996" i="2"/>
  <c r="R1030" i="2"/>
  <c r="R1000" i="2"/>
  <c r="R1031" i="2"/>
  <c r="R998" i="2"/>
  <c r="R1029" i="2"/>
  <c r="R1001" i="2"/>
  <c r="R1020" i="2"/>
  <c r="R1026" i="2"/>
  <c r="S304" i="2"/>
  <c r="R1021" i="2"/>
  <c r="V493" i="2"/>
  <c r="V589" i="2"/>
  <c r="V590" i="2" s="1"/>
  <c r="V511" i="2"/>
  <c r="V512" i="2" s="1"/>
  <c r="V557" i="2"/>
  <c r="V581" i="2"/>
  <c r="V582" i="2" s="1"/>
  <c r="V545" i="2"/>
  <c r="V546" i="2" s="1"/>
  <c r="V460" i="2"/>
  <c r="V607" i="2"/>
  <c r="V599" i="2"/>
  <c r="V585" i="2"/>
  <c r="V593" i="2"/>
  <c r="V515" i="2"/>
  <c r="V473" i="2"/>
  <c r="V541" i="2"/>
  <c r="V542" i="2" s="1"/>
  <c r="V603" i="2"/>
  <c r="V573" i="2"/>
  <c r="V537" i="2"/>
  <c r="V538" i="2" s="1"/>
  <c r="V569" i="2"/>
  <c r="V570" i="2" s="1"/>
  <c r="V481" i="2"/>
  <c r="V489" i="2"/>
  <c r="V456" i="2"/>
  <c r="V457" i="2" s="1"/>
  <c r="V553" i="2"/>
  <c r="V440" i="2"/>
  <c r="V477" i="2"/>
  <c r="V577" i="2"/>
  <c r="AD480" i="2"/>
  <c r="AD422" i="2"/>
  <c r="AD1476" i="2"/>
  <c r="AD1492" i="2"/>
  <c r="AD1385" i="2"/>
  <c r="AD1554" i="2"/>
  <c r="AD1893" i="2"/>
  <c r="AE422" i="2"/>
  <c r="AE1560" i="2"/>
  <c r="AE1528" i="2"/>
  <c r="AE1514" i="2"/>
  <c r="AE1512" i="2"/>
  <c r="AE1503" i="2"/>
  <c r="AE1554" i="2"/>
  <c r="AE1519" i="2"/>
  <c r="AE1529" i="2"/>
  <c r="AE1531" i="2"/>
  <c r="AE480" i="2"/>
  <c r="AF422" i="2"/>
  <c r="AE1893" i="2"/>
  <c r="AE1476" i="2"/>
  <c r="AE1492" i="2"/>
  <c r="AE1515" i="2"/>
  <c r="L1023" i="2"/>
  <c r="L1011" i="2"/>
  <c r="L1031" i="2"/>
  <c r="L1001" i="2"/>
  <c r="L1014" i="2"/>
  <c r="L995" i="2"/>
  <c r="L306" i="2"/>
  <c r="L1012" i="2"/>
  <c r="L304" i="2"/>
  <c r="L1021" i="2"/>
  <c r="L1013" i="2"/>
  <c r="L993" i="2"/>
  <c r="L1025" i="2"/>
  <c r="L1022" i="2"/>
  <c r="L999" i="2"/>
  <c r="L1000" i="2"/>
  <c r="L998" i="2"/>
  <c r="L994" i="2"/>
  <c r="L1009" i="2"/>
  <c r="L1007" i="2"/>
  <c r="L1005" i="2"/>
  <c r="L1029" i="2"/>
  <c r="L1024" i="2"/>
  <c r="L1030" i="2"/>
  <c r="L1020" i="2"/>
  <c r="AA1868" i="2"/>
  <c r="AA1032" i="2"/>
  <c r="AA1024" i="2"/>
  <c r="AA1031" i="2"/>
  <c r="AA398" i="2"/>
  <c r="AA698" i="2"/>
  <c r="AA1033" i="2"/>
  <c r="AA304" i="2"/>
  <c r="AA931" i="2"/>
  <c r="AA990" i="2" s="1"/>
  <c r="K1007" i="2"/>
  <c r="Z364" i="2"/>
  <c r="AB693" i="2"/>
  <c r="M1021" i="2"/>
  <c r="Z317" i="2"/>
  <c r="S424" i="2"/>
  <c r="S422" i="2"/>
  <c r="AN303" i="2"/>
  <c r="AH1893" i="2"/>
  <c r="AH1492" i="2"/>
  <c r="AB660" i="2"/>
  <c r="M1012" i="2"/>
  <c r="K999" i="2"/>
  <c r="Y398" i="2"/>
  <c r="Y326" i="2"/>
  <c r="Y1009" i="2"/>
  <c r="Y385" i="2"/>
  <c r="Y380" i="2"/>
  <c r="Y1005" i="2"/>
  <c r="Y698" i="2"/>
  <c r="Y352" i="2"/>
  <c r="Y660" i="2"/>
  <c r="Y339" i="2"/>
  <c r="Y999" i="2"/>
  <c r="Y1021" i="2"/>
  <c r="Y394" i="2"/>
  <c r="Y1007" i="2"/>
  <c r="Y684" i="2"/>
  <c r="Y1020" i="2"/>
  <c r="Y998" i="2"/>
  <c r="Y994" i="2"/>
  <c r="Y693" i="2"/>
  <c r="Y1010" i="2"/>
  <c r="Y1024" i="2"/>
  <c r="Y306" i="2"/>
  <c r="Y1001" i="2"/>
  <c r="Y1027" i="2"/>
  <c r="Y327" i="2"/>
  <c r="AL304" i="2"/>
  <c r="K996" i="2"/>
  <c r="K1022" i="2"/>
  <c r="K1030" i="2"/>
  <c r="K1010" i="2"/>
  <c r="K1014" i="2"/>
  <c r="K1011" i="2"/>
  <c r="K1005" i="2"/>
  <c r="K995" i="2"/>
  <c r="K1025" i="2"/>
  <c r="K1029" i="2"/>
  <c r="K998" i="2"/>
  <c r="Z394" i="2"/>
  <c r="Z380" i="2"/>
  <c r="Z320" i="2"/>
  <c r="Z389" i="2"/>
  <c r="Z377" i="2"/>
  <c r="Z1027" i="2"/>
  <c r="Z398" i="2"/>
  <c r="Z634" i="2"/>
  <c r="Z326" i="2"/>
  <c r="Z693" i="2"/>
  <c r="Z304" i="2"/>
  <c r="Z352" i="2"/>
  <c r="AI1893" i="2"/>
  <c r="AI422" i="2"/>
  <c r="AI1564" i="2"/>
  <c r="AI1385" i="2"/>
  <c r="AI1476" i="2"/>
  <c r="M1001" i="2"/>
  <c r="M1022" i="2"/>
  <c r="M1010" i="2"/>
  <c r="M998" i="2"/>
  <c r="M997" i="2"/>
  <c r="M304" i="2"/>
  <c r="M1005" i="2"/>
  <c r="M993" i="2"/>
  <c r="M995" i="2"/>
  <c r="M1024" i="2"/>
  <c r="M994" i="2"/>
  <c r="M1013" i="2"/>
  <c r="M1023" i="2"/>
  <c r="M996" i="2"/>
  <c r="M1009" i="2"/>
  <c r="AB1007" i="2"/>
  <c r="AB1025" i="2"/>
  <c r="AB1005" i="2"/>
  <c r="AB1024" i="2"/>
  <c r="AB994" i="2"/>
  <c r="AB684" i="2"/>
  <c r="AB304" i="2"/>
  <c r="AB1027" i="2"/>
  <c r="AB380" i="2"/>
  <c r="AB1026" i="2"/>
  <c r="AB1033" i="2"/>
  <c r="AB381" i="2"/>
  <c r="AB1028" i="2"/>
  <c r="AB1009" i="2"/>
  <c r="AB377" i="2"/>
  <c r="AB357" i="2"/>
  <c r="AB385" i="2"/>
  <c r="AB931" i="2"/>
  <c r="AB990" i="2" s="1"/>
  <c r="AB1010" i="2"/>
  <c r="AB404" i="2"/>
  <c r="AB394" i="2"/>
  <c r="AB712" i="2"/>
  <c r="AB1030" i="2"/>
  <c r="AB639" i="2"/>
  <c r="AC1868" i="2"/>
  <c r="AB999" i="2"/>
  <c r="AB317" i="2"/>
  <c r="AB997" i="2"/>
  <c r="AB995" i="2"/>
  <c r="Z327" i="2"/>
  <c r="AJ422" i="2"/>
  <c r="M1026" i="2"/>
  <c r="M1031" i="2"/>
  <c r="M1011" i="2"/>
  <c r="M1014" i="2"/>
  <c r="K1020" i="2"/>
  <c r="N999" i="2"/>
  <c r="N1031" i="2"/>
  <c r="N1007" i="2"/>
  <c r="N1010" i="2"/>
  <c r="N1012" i="2"/>
  <c r="N996" i="2"/>
  <c r="N1011" i="2"/>
  <c r="N1013" i="2"/>
  <c r="N1024" i="2"/>
  <c r="N1001" i="2"/>
  <c r="N995" i="2"/>
  <c r="N1014" i="2"/>
  <c r="N994" i="2"/>
  <c r="Z306" i="2"/>
  <c r="Z365" i="2"/>
  <c r="AB996" i="2"/>
  <c r="AB364" i="2"/>
  <c r="AB389" i="2"/>
  <c r="M1020" i="2"/>
  <c r="M1007" i="2"/>
  <c r="K1024" i="2"/>
  <c r="M1029" i="2"/>
  <c r="K993" i="2"/>
  <c r="O997" i="2"/>
  <c r="O1013" i="2"/>
  <c r="O1014" i="2"/>
  <c r="O1000" i="2"/>
  <c r="O1023" i="2"/>
  <c r="O1025" i="2"/>
  <c r="O1010" i="2"/>
  <c r="O1009" i="2"/>
  <c r="O1022" i="2"/>
  <c r="O1026" i="2"/>
  <c r="O1024" i="2"/>
  <c r="O1031" i="2"/>
  <c r="O1012" i="2"/>
  <c r="AC1007" i="2"/>
  <c r="AC1028" i="2"/>
  <c r="AC304" i="2"/>
  <c r="AC364" i="2"/>
  <c r="AC1005" i="2"/>
  <c r="AC1026" i="2"/>
  <c r="AC365" i="2"/>
  <c r="AC994" i="2"/>
  <c r="AC1024" i="2"/>
  <c r="AC339" i="2"/>
  <c r="AC1030" i="2"/>
  <c r="AC684" i="2"/>
  <c r="AC352" i="2"/>
  <c r="AC1025" i="2"/>
  <c r="AC1010" i="2"/>
  <c r="AC326" i="2"/>
  <c r="AC997" i="2"/>
  <c r="AC931" i="2"/>
  <c r="AC990" i="2" s="1"/>
  <c r="AC385" i="2"/>
  <c r="AC1029" i="2"/>
  <c r="AC380" i="2"/>
  <c r="AC394" i="2"/>
  <c r="AC995" i="2"/>
  <c r="AC693" i="2"/>
  <c r="AC1031" i="2"/>
  <c r="AC1021" i="2"/>
  <c r="AC317" i="2"/>
  <c r="AC1000" i="2"/>
  <c r="AC1001" i="2"/>
  <c r="AB998" i="2"/>
  <c r="AB320" i="2"/>
  <c r="X320" i="2"/>
  <c r="X364" i="2"/>
  <c r="X996" i="2"/>
  <c r="X660" i="2"/>
  <c r="X997" i="2"/>
  <c r="X634" i="2"/>
  <c r="X306" i="2"/>
  <c r="X365" i="2"/>
  <c r="X326" i="2"/>
  <c r="X639" i="2"/>
  <c r="X389" i="2"/>
  <c r="X1031" i="2"/>
  <c r="X1005" i="2"/>
  <c r="P997" i="2"/>
  <c r="P306" i="2"/>
  <c r="P1025" i="2"/>
  <c r="P1001" i="2"/>
  <c r="P1021" i="2"/>
  <c r="P1012" i="2"/>
  <c r="P1013" i="2"/>
  <c r="P1014" i="2"/>
  <c r="P1023" i="2"/>
  <c r="P993" i="2"/>
  <c r="P1005" i="2"/>
  <c r="P1000" i="2"/>
  <c r="P995" i="2"/>
  <c r="X1026" i="2"/>
  <c r="P1011" i="2"/>
  <c r="W497" i="2"/>
  <c r="X380" i="2"/>
  <c r="O424" i="2"/>
  <c r="O429" i="2" s="1"/>
  <c r="O422" i="2"/>
  <c r="AB1503" i="2"/>
  <c r="AB1476" i="2"/>
  <c r="AB1492" i="2"/>
  <c r="AB443" i="2"/>
  <c r="X1024" i="2"/>
  <c r="X317" i="2"/>
  <c r="P422" i="2"/>
  <c r="P424" i="2"/>
  <c r="P1024" i="2"/>
  <c r="X357" i="2"/>
  <c r="AC443" i="2"/>
  <c r="AC419" i="2"/>
  <c r="AC1503" i="2"/>
  <c r="AD931" i="2"/>
  <c r="AD990" i="2" s="1"/>
  <c r="AE304" i="2"/>
  <c r="JO871" i="5"/>
  <c r="JP871" i="5" s="1"/>
  <c r="JR871" i="5"/>
  <c r="JS871" i="5" s="1"/>
  <c r="JD603" i="5"/>
  <c r="JB689" i="5"/>
  <c r="JA689" i="5" s="1"/>
  <c r="AK1977" i="2"/>
  <c r="AK1951" i="2"/>
  <c r="JJ603" i="5"/>
  <c r="O32" i="19"/>
  <c r="N32" i="19" s="1"/>
  <c r="AM1977" i="2"/>
  <c r="AJ1951" i="2"/>
  <c r="AJ1949" i="2" s="1"/>
  <c r="AK1472" i="2"/>
  <c r="AK1561" i="2" s="1"/>
  <c r="AL1472" i="2"/>
  <c r="AL1561" i="2" s="1"/>
  <c r="IW577" i="5"/>
  <c r="IX578" i="5"/>
  <c r="AM1472" i="2"/>
  <c r="AM1561" i="2" s="1"/>
  <c r="IW626" i="5"/>
  <c r="IX626" i="5" s="1"/>
  <c r="IX579" i="5"/>
  <c r="IX582" i="5"/>
  <c r="IW628" i="5"/>
  <c r="AK1407" i="2"/>
  <c r="AK1120" i="2"/>
  <c r="AL1407" i="2"/>
  <c r="AL1496" i="2" s="1"/>
  <c r="AN1407" i="2"/>
  <c r="AN1120" i="2"/>
  <c r="AM1407" i="2"/>
  <c r="AM1120" i="2"/>
  <c r="AO1410" i="2"/>
  <c r="AJ1471" i="2"/>
  <c r="AJ1560" i="2" s="1"/>
  <c r="O103" i="19"/>
  <c r="N103" i="19" s="1"/>
  <c r="JC670" i="5"/>
  <c r="JC669" i="5" s="1"/>
  <c r="JD676" i="5"/>
  <c r="AI773" i="2"/>
  <c r="JH578" i="5"/>
  <c r="AN1406" i="2"/>
  <c r="JN581" i="5"/>
  <c r="JM581" i="5" s="1"/>
  <c r="AB1347" i="2"/>
  <c r="JF626" i="5"/>
  <c r="JF578" i="5"/>
  <c r="JF577" i="5" s="1"/>
  <c r="AJ1409" i="2"/>
  <c r="JD581" i="5"/>
  <c r="AH774" i="2"/>
  <c r="AH832" i="2"/>
  <c r="JE626" i="5" s="1"/>
  <c r="AO1471" i="2"/>
  <c r="AI832" i="2"/>
  <c r="JH626" i="5" s="1"/>
  <c r="JH579" i="5"/>
  <c r="JG579" i="5" s="1"/>
  <c r="AN1124" i="2"/>
  <c r="AH882" i="2"/>
  <c r="AH977" i="2"/>
  <c r="AH1027" i="2" s="1"/>
  <c r="JE671" i="5"/>
  <c r="JD671" i="5" s="1"/>
  <c r="JK578" i="5"/>
  <c r="AJ773" i="2"/>
  <c r="AK1409" i="2"/>
  <c r="AK1124" i="2"/>
  <c r="AC1347" i="2"/>
  <c r="AC1346" i="2"/>
  <c r="JN578" i="5"/>
  <c r="AJ1407" i="2"/>
  <c r="AJ1496" i="2" s="1"/>
  <c r="AD1346" i="2"/>
  <c r="AD1347" i="2"/>
  <c r="AO1124" i="2"/>
  <c r="JU814" i="5"/>
  <c r="AM1409" i="2"/>
  <c r="AL1124" i="2"/>
  <c r="AI951" i="2"/>
  <c r="AI999" i="2" s="1"/>
  <c r="T119" i="7"/>
  <c r="JA675" i="5"/>
  <c r="AL1120" i="2"/>
  <c r="AL1406" i="2"/>
  <c r="JG581" i="5"/>
  <c r="X1472" i="2"/>
  <c r="X1353" i="2"/>
  <c r="X1352" i="2" s="1"/>
  <c r="X1344" i="2" s="1"/>
  <c r="J34" i="7"/>
  <c r="IO671" i="5"/>
  <c r="J116" i="7"/>
  <c r="KC1033" i="5" l="1"/>
  <c r="BL105" i="19"/>
  <c r="BM105" i="19" s="1"/>
  <c r="BM39" i="19"/>
  <c r="BL41" i="19"/>
  <c r="BM41" i="19" s="1"/>
  <c r="BL104" i="19"/>
  <c r="BM104" i="19" s="1"/>
  <c r="KC820" i="5"/>
  <c r="KB820" i="5" s="1"/>
  <c r="KB818" i="5" s="1"/>
  <c r="AP1229" i="2"/>
  <c r="BL62" i="19" s="1"/>
  <c r="BM62" i="19" s="1"/>
  <c r="JT974" i="5"/>
  <c r="JR974" i="5" s="1"/>
  <c r="JS974" i="5" s="1"/>
  <c r="JZ840" i="5"/>
  <c r="AL1213" i="2"/>
  <c r="T92" i="21" s="1"/>
  <c r="JT818" i="5"/>
  <c r="Q95" i="21"/>
  <c r="R95" i="21" s="1"/>
  <c r="V34" i="21"/>
  <c r="V33" i="21" s="1"/>
  <c r="JQ818" i="5"/>
  <c r="W11" i="19"/>
  <c r="Y11" i="19" s="1"/>
  <c r="JZ1008" i="5"/>
  <c r="T95" i="21"/>
  <c r="U95" i="21" s="1"/>
  <c r="JW818" i="5"/>
  <c r="T109" i="21"/>
  <c r="U109" i="21" s="1"/>
  <c r="JZ818" i="5"/>
  <c r="W72" i="19"/>
  <c r="Y72" i="19" s="1"/>
  <c r="Q92" i="21"/>
  <c r="R92" i="21" s="1"/>
  <c r="T79" i="21"/>
  <c r="U79" i="21" s="1"/>
  <c r="Q118" i="21"/>
  <c r="R118" i="21" s="1"/>
  <c r="AI1725" i="2"/>
  <c r="T81" i="21"/>
  <c r="U81" i="21" s="1"/>
  <c r="T34" i="21"/>
  <c r="T33" i="21" s="1"/>
  <c r="U33" i="21" s="1"/>
  <c r="T32" i="21"/>
  <c r="U32" i="21" s="1"/>
  <c r="JO860" i="5"/>
  <c r="AH107" i="19"/>
  <c r="AH96" i="19"/>
  <c r="AH95" i="19"/>
  <c r="AV698" i="2"/>
  <c r="AP37" i="19"/>
  <c r="AP35" i="19"/>
  <c r="AS35" i="19" s="1"/>
  <c r="AD21" i="19"/>
  <c r="AD28" i="19" s="1"/>
  <c r="KC878" i="5"/>
  <c r="KB878" i="5" s="1"/>
  <c r="T121" i="21"/>
  <c r="U121" i="21" s="1"/>
  <c r="T115" i="21"/>
  <c r="T100" i="21"/>
  <c r="T39" i="21"/>
  <c r="U39" i="21" s="1"/>
  <c r="AK689" i="2"/>
  <c r="AK1240" i="2" s="1"/>
  <c r="AK661" i="2"/>
  <c r="AK1159" i="2" s="1"/>
  <c r="AY1161" i="2" s="1"/>
  <c r="AY1162" i="2" s="1"/>
  <c r="Q39" i="21"/>
  <c r="R39" i="21" s="1"/>
  <c r="JW974" i="5"/>
  <c r="JW1008" i="5"/>
  <c r="W81" i="21"/>
  <c r="JW840" i="5"/>
  <c r="W20" i="21"/>
  <c r="JT1008" i="5"/>
  <c r="V81" i="21"/>
  <c r="Q34" i="21"/>
  <c r="R34" i="21" s="1"/>
  <c r="JQ840" i="5"/>
  <c r="T20" i="21"/>
  <c r="T64" i="21" s="1"/>
  <c r="JQ974" i="5"/>
  <c r="JO974" i="5" s="1"/>
  <c r="JP974" i="5" s="1"/>
  <c r="JT840" i="5"/>
  <c r="V20" i="21"/>
  <c r="JQ1008" i="5"/>
  <c r="JT952" i="5"/>
  <c r="JR952" i="5" s="1"/>
  <c r="V121" i="21"/>
  <c r="JW1025" i="5"/>
  <c r="W79" i="21"/>
  <c r="JQ952" i="5"/>
  <c r="W39" i="21"/>
  <c r="JQ849" i="5"/>
  <c r="JN1025" i="5"/>
  <c r="Q79" i="21"/>
  <c r="R79" i="21" s="1"/>
  <c r="JQ901" i="5"/>
  <c r="JO901" i="5" s="1"/>
  <c r="JT901" i="5"/>
  <c r="JR901" i="5" s="1"/>
  <c r="V95" i="21"/>
  <c r="JN952" i="5"/>
  <c r="Q121" i="21"/>
  <c r="R121" i="21" s="1"/>
  <c r="JT1025" i="5"/>
  <c r="V79" i="21"/>
  <c r="JZ974" i="5"/>
  <c r="JX974" i="5" s="1"/>
  <c r="JX908" i="5" s="1"/>
  <c r="V39" i="21"/>
  <c r="AQ17" i="19"/>
  <c r="AR17" i="19"/>
  <c r="U40" i="21"/>
  <c r="Q99" i="21"/>
  <c r="R99" i="21" s="1"/>
  <c r="U99" i="21"/>
  <c r="U41" i="21"/>
  <c r="JT976" i="5"/>
  <c r="V109" i="21"/>
  <c r="JQ976" i="5"/>
  <c r="JW976" i="5"/>
  <c r="JV976" i="5" s="1"/>
  <c r="W109" i="21"/>
  <c r="W21" i="19"/>
  <c r="W28" i="19" s="1"/>
  <c r="Y28" i="19" s="1"/>
  <c r="Q20" i="21"/>
  <c r="R20" i="21" s="1"/>
  <c r="AI654" i="5"/>
  <c r="AI1232" i="5"/>
  <c r="AH715" i="5"/>
  <c r="AH1232" i="5"/>
  <c r="AM550" i="5"/>
  <c r="AM1232" i="5"/>
  <c r="AL654" i="5"/>
  <c r="AL1232" i="5"/>
  <c r="AQ1220" i="5"/>
  <c r="JM1015" i="5"/>
  <c r="AG37" i="19"/>
  <c r="AJ37" i="19" s="1"/>
  <c r="AJ453" i="2"/>
  <c r="X37" i="19"/>
  <c r="AA37" i="19" s="1"/>
  <c r="BF106" i="19"/>
  <c r="BI106" i="19"/>
  <c r="BF105" i="19"/>
  <c r="BI105" i="19"/>
  <c r="AY94" i="19"/>
  <c r="BB94" i="19" s="1"/>
  <c r="AZ94" i="19"/>
  <c r="BJ96" i="19"/>
  <c r="BI96" i="19"/>
  <c r="BF12" i="19"/>
  <c r="BI12" i="19"/>
  <c r="AY96" i="19"/>
  <c r="BB96" i="19" s="1"/>
  <c r="AZ96" i="19"/>
  <c r="AI12" i="19"/>
  <c r="AH12" i="19"/>
  <c r="AI15" i="19"/>
  <c r="AH15" i="19"/>
  <c r="AI13" i="19"/>
  <c r="AH13" i="19"/>
  <c r="AI105" i="19"/>
  <c r="AH105" i="19"/>
  <c r="AI106" i="19"/>
  <c r="AH106" i="19"/>
  <c r="AI16" i="19"/>
  <c r="AH16" i="19"/>
  <c r="AI49" i="19"/>
  <c r="AH49" i="19"/>
  <c r="Z105" i="19"/>
  <c r="AI111" i="19"/>
  <c r="AG86" i="19"/>
  <c r="AJ86" i="19" s="1"/>
  <c r="AP109" i="19"/>
  <c r="AS109" i="19" s="1"/>
  <c r="AP86" i="19"/>
  <c r="AS86" i="19" s="1"/>
  <c r="AV42" i="19"/>
  <c r="AW42" i="19" s="1"/>
  <c r="JZ814" i="5"/>
  <c r="JY814" i="5" s="1"/>
  <c r="AO1119" i="2"/>
  <c r="JN974" i="5"/>
  <c r="W76" i="19"/>
  <c r="JN818" i="5"/>
  <c r="W14" i="19"/>
  <c r="Y14" i="19" s="1"/>
  <c r="JN1008" i="5"/>
  <c r="W93" i="19"/>
  <c r="Y93" i="19" s="1"/>
  <c r="W52" i="19"/>
  <c r="Y52" i="19" s="1"/>
  <c r="JN901" i="5"/>
  <c r="W56" i="19"/>
  <c r="Y56" i="19" s="1"/>
  <c r="AK720" i="2"/>
  <c r="AK719" i="2" s="1"/>
  <c r="AK718" i="2" s="1"/>
  <c r="AJ449" i="2"/>
  <c r="AH688" i="2"/>
  <c r="AH689" i="2"/>
  <c r="AH690" i="2"/>
  <c r="AG660" i="2"/>
  <c r="AJ508" i="2"/>
  <c r="AK507" i="2"/>
  <c r="AK519" i="2"/>
  <c r="Z1565" i="2"/>
  <c r="AA1565" i="2"/>
  <c r="AF1725" i="2"/>
  <c r="JB1092" i="5"/>
  <c r="AG1268" i="2"/>
  <c r="JB1096" i="5"/>
  <c r="AG1314" i="2"/>
  <c r="AG1468" i="2" s="1"/>
  <c r="AG1557" i="2" s="1"/>
  <c r="JQ814" i="5"/>
  <c r="JW814" i="5"/>
  <c r="JV814" i="5" s="1"/>
  <c r="JT814" i="5"/>
  <c r="JS814" i="5" s="1"/>
  <c r="JN814" i="5"/>
  <c r="AG557" i="2"/>
  <c r="AK557" i="2" s="1"/>
  <c r="AL557" i="2" s="1"/>
  <c r="KC870" i="5"/>
  <c r="AP1188" i="2"/>
  <c r="KC869" i="5" s="1"/>
  <c r="KB869" i="5" s="1"/>
  <c r="BA96" i="19"/>
  <c r="BH96" i="19"/>
  <c r="BK96" i="19" s="1"/>
  <c r="AH508" i="2"/>
  <c r="AP1101" i="2"/>
  <c r="KC795" i="5" s="1"/>
  <c r="KA795" i="5" s="1"/>
  <c r="KB795" i="5" s="1"/>
  <c r="JN951" i="5"/>
  <c r="AK1318" i="2"/>
  <c r="AL1318" i="2" s="1"/>
  <c r="AP1414" i="2"/>
  <c r="AP1503" i="2" s="1"/>
  <c r="KC825" i="5"/>
  <c r="KB825" i="5" s="1"/>
  <c r="AK1145" i="2"/>
  <c r="JN840" i="5"/>
  <c r="AP1300" i="2"/>
  <c r="KC976" i="5" s="1"/>
  <c r="KB976" i="5" s="1"/>
  <c r="KC1031" i="5"/>
  <c r="AQ1272" i="2"/>
  <c r="KF951" i="5" s="1"/>
  <c r="AK1316" i="2"/>
  <c r="JN990" i="5" s="1"/>
  <c r="AL1346" i="2"/>
  <c r="JQ1021" i="5" s="1"/>
  <c r="JQ1025" i="5"/>
  <c r="JN892" i="5"/>
  <c r="AM1137" i="2"/>
  <c r="JQ831" i="5"/>
  <c r="JO831" i="5" s="1"/>
  <c r="JP831" i="5" s="1"/>
  <c r="JT961" i="5"/>
  <c r="JR961" i="5" s="1"/>
  <c r="JS961" i="5" s="1"/>
  <c r="O43" i="19"/>
  <c r="N43" i="19" s="1"/>
  <c r="AK1128" i="2"/>
  <c r="JN822" i="5" s="1"/>
  <c r="JM822" i="5" s="1"/>
  <c r="AK1140" i="2"/>
  <c r="JN834" i="5" s="1"/>
  <c r="JM834" i="5" s="1"/>
  <c r="JQ961" i="5"/>
  <c r="AN1346" i="2"/>
  <c r="JW1021" i="5" s="1"/>
  <c r="AO1274" i="2"/>
  <c r="AO1288" i="2"/>
  <c r="AF722" i="2"/>
  <c r="AG508" i="2"/>
  <c r="AI508" i="2"/>
  <c r="AF453" i="2"/>
  <c r="AG738" i="2"/>
  <c r="AN686" i="2"/>
  <c r="AM686" i="2"/>
  <c r="AQ620" i="2"/>
  <c r="AR620" i="2" s="1"/>
  <c r="AP500" i="2"/>
  <c r="AN633" i="2"/>
  <c r="AM633" i="2"/>
  <c r="JJ693" i="5"/>
  <c r="AK681" i="2"/>
  <c r="AK673" i="2"/>
  <c r="AK667" i="2"/>
  <c r="AL350" i="2"/>
  <c r="AM632" i="2" s="1"/>
  <c r="AL632" i="2"/>
  <c r="AL661" i="2"/>
  <c r="AL673" i="2"/>
  <c r="AL667" i="2"/>
  <c r="AL681" i="2"/>
  <c r="AL689" i="2"/>
  <c r="AK630" i="2"/>
  <c r="AL623" i="2"/>
  <c r="AL619" i="2"/>
  <c r="AI444" i="2"/>
  <c r="AJ445" i="2" s="1"/>
  <c r="AI443" i="2"/>
  <c r="AG443" i="2"/>
  <c r="AG444" i="2"/>
  <c r="AH443" i="2"/>
  <c r="AH444" i="2"/>
  <c r="AF443" i="2"/>
  <c r="AF444" i="2"/>
  <c r="AF445" i="2" s="1"/>
  <c r="AG453" i="2"/>
  <c r="AH449" i="2"/>
  <c r="AG449" i="2"/>
  <c r="AH453" i="2"/>
  <c r="AF449" i="2"/>
  <c r="AI453" i="2"/>
  <c r="AI449" i="2"/>
  <c r="AG439" i="2"/>
  <c r="AK377" i="2"/>
  <c r="AL377" i="2" s="1"/>
  <c r="AB533" i="2"/>
  <c r="AB532" i="2"/>
  <c r="AP1096" i="2"/>
  <c r="AO532" i="2"/>
  <c r="AG544" i="2"/>
  <c r="W550" i="2"/>
  <c r="X550" i="2"/>
  <c r="GC1075" i="5"/>
  <c r="AL1731" i="2"/>
  <c r="FQ1076" i="5"/>
  <c r="DK1076" i="5"/>
  <c r="ER1076" i="5"/>
  <c r="EE1076" i="5"/>
  <c r="AJ1732" i="2"/>
  <c r="HD1233" i="5"/>
  <c r="HD1232" i="5" s="1"/>
  <c r="EA1076" i="5"/>
  <c r="FH1233" i="5"/>
  <c r="DT1076" i="5"/>
  <c r="EQ1076" i="5"/>
  <c r="EN1076" i="5"/>
  <c r="HC1233" i="5"/>
  <c r="HC1232" i="5" s="1"/>
  <c r="DX1076" i="5"/>
  <c r="GQ1233" i="5"/>
  <c r="GQ1232" i="5" s="1"/>
  <c r="GX1233" i="5"/>
  <c r="GX1232" i="5" s="1"/>
  <c r="FE1233" i="5"/>
  <c r="DQ1076" i="5"/>
  <c r="HB1233" i="5"/>
  <c r="HB1232" i="5" s="1"/>
  <c r="AL1732" i="2"/>
  <c r="AM1731" i="2"/>
  <c r="AM1730" i="2" s="1"/>
  <c r="IG842" i="5"/>
  <c r="Z1148" i="2" s="1"/>
  <c r="AN1732" i="2"/>
  <c r="AH1743" i="2"/>
  <c r="AH1742" i="2" s="1"/>
  <c r="IW1058" i="5"/>
  <c r="IW1067" i="5" s="1"/>
  <c r="AN1731" i="2"/>
  <c r="AG1745" i="2"/>
  <c r="AG1744" i="2"/>
  <c r="AG1742" i="2" s="1"/>
  <c r="II1058" i="5"/>
  <c r="II1067" i="5" s="1"/>
  <c r="IM839" i="5"/>
  <c r="AB1145" i="2" s="1"/>
  <c r="AB599" i="2" s="1"/>
  <c r="IX1058" i="5"/>
  <c r="IX1067" i="5" s="1"/>
  <c r="IR1058" i="5"/>
  <c r="IR1067" i="5" s="1"/>
  <c r="JD1058" i="5"/>
  <c r="JD1067" i="5" s="1"/>
  <c r="IL1058" i="5"/>
  <c r="IL1067" i="5" s="1"/>
  <c r="IT1058" i="5"/>
  <c r="IT1067" i="5" s="1"/>
  <c r="IN1058" i="5"/>
  <c r="IN1067" i="5" s="1"/>
  <c r="AG1188" i="2"/>
  <c r="AG1428" i="2" s="1"/>
  <c r="AG1517" i="2" s="1"/>
  <c r="JB1058" i="5"/>
  <c r="JB1067" i="5" s="1"/>
  <c r="IU1058" i="5"/>
  <c r="IU1067" i="5" s="1"/>
  <c r="IQ1058" i="5"/>
  <c r="IO1058" i="5"/>
  <c r="IO1067" i="5" s="1"/>
  <c r="IH1058" i="5"/>
  <c r="IH1067" i="5" s="1"/>
  <c r="IK1058" i="5"/>
  <c r="AG488" i="2"/>
  <c r="AG469" i="2"/>
  <c r="AG468" i="2"/>
  <c r="AM1729" i="2"/>
  <c r="BA94" i="19"/>
  <c r="AG541" i="2"/>
  <c r="AI1466" i="2"/>
  <c r="AI1555" i="2" s="1"/>
  <c r="JH763" i="5"/>
  <c r="AI1069" i="2" s="1"/>
  <c r="AI1398" i="2" s="1"/>
  <c r="AI1487" i="2" s="1"/>
  <c r="AF1664" i="2"/>
  <c r="AF1718" i="2"/>
  <c r="AE1664" i="2"/>
  <c r="AD1664" i="2"/>
  <c r="AO1465" i="2"/>
  <c r="IP802" i="5"/>
  <c r="AC1108" i="2" s="1"/>
  <c r="AC585" i="2" s="1"/>
  <c r="AF1742" i="2"/>
  <c r="IV835" i="5"/>
  <c r="AE1141" i="2" s="1"/>
  <c r="AE593" i="2" s="1"/>
  <c r="AE1729" i="2"/>
  <c r="AH1697" i="2"/>
  <c r="IY901" i="5"/>
  <c r="AF1222" i="2" s="1"/>
  <c r="AF1432" i="2" s="1"/>
  <c r="AF1521" i="2" s="1"/>
  <c r="AE1718" i="2"/>
  <c r="AI1727" i="2"/>
  <c r="DH716" i="5"/>
  <c r="IV849" i="5"/>
  <c r="AE1155" i="2" s="1"/>
  <c r="AE1420" i="2" s="1"/>
  <c r="AE1509" i="2" s="1"/>
  <c r="AE1690" i="2"/>
  <c r="AE1747" i="2"/>
  <c r="AE1742" i="2"/>
  <c r="AH1728" i="2"/>
  <c r="AL1729" i="2"/>
  <c r="AG1728" i="2"/>
  <c r="AG1726" i="2" s="1"/>
  <c r="IG785" i="5"/>
  <c r="Z1091" i="2" s="1"/>
  <c r="Z536" i="2" s="1"/>
  <c r="IG788" i="5"/>
  <c r="Z1094" i="2" s="1"/>
  <c r="Z549" i="2" s="1"/>
  <c r="ID786" i="5"/>
  <c r="Y1092" i="2" s="1"/>
  <c r="Y540" i="2" s="1"/>
  <c r="AK1729" i="2"/>
  <c r="AF1729" i="2"/>
  <c r="AG1729" i="2"/>
  <c r="AH1727" i="2"/>
  <c r="IS994" i="5"/>
  <c r="AD1320" i="2" s="1"/>
  <c r="AD1721" i="2" s="1"/>
  <c r="AJ1729" i="2"/>
  <c r="IJ1038" i="5"/>
  <c r="AA1363" i="2" s="1"/>
  <c r="AA1473" i="2" s="1"/>
  <c r="AG1721" i="2"/>
  <c r="AK1750" i="2"/>
  <c r="AG1749" i="2"/>
  <c r="JV1008" i="5"/>
  <c r="AN1750" i="2"/>
  <c r="AK1346" i="2"/>
  <c r="JN1021" i="5" s="1"/>
  <c r="AV94" i="19"/>
  <c r="AW94" i="19" s="1"/>
  <c r="BF723" i="5"/>
  <c r="AA1229" i="2"/>
  <c r="AA1438" i="2" s="1"/>
  <c r="AA1527" i="2" s="1"/>
  <c r="IS800" i="5"/>
  <c r="AD1106" i="2" s="1"/>
  <c r="AD577" i="2" s="1"/>
  <c r="CB654" i="5"/>
  <c r="ET621" i="5"/>
  <c r="ET1249" i="5" s="1"/>
  <c r="FA1253" i="5"/>
  <c r="ID1003" i="5"/>
  <c r="Y1329" i="2" s="1"/>
  <c r="Y1749" i="2" s="1"/>
  <c r="AN550" i="5"/>
  <c r="AN714" i="5" s="1"/>
  <c r="V654" i="5"/>
  <c r="IM810" i="5"/>
  <c r="AB1116" i="2" s="1"/>
  <c r="LA987" i="5"/>
  <c r="LA1095" i="5" s="1"/>
  <c r="AG1733" i="2"/>
  <c r="IM809" i="5"/>
  <c r="AB1115" i="2" s="1"/>
  <c r="IY839" i="5"/>
  <c r="AF1145" i="2" s="1"/>
  <c r="AF599" i="2" s="1"/>
  <c r="ID810" i="5"/>
  <c r="Y1116" i="2" s="1"/>
  <c r="IY808" i="5"/>
  <c r="AF1114" i="2" s="1"/>
  <c r="IV823" i="5"/>
  <c r="AE1129" i="2" s="1"/>
  <c r="AE1412" i="2" s="1"/>
  <c r="AE1501" i="2" s="1"/>
  <c r="DJ1173" i="5"/>
  <c r="DJ1195" i="5" s="1"/>
  <c r="IJ808" i="5"/>
  <c r="AA1114" i="2" s="1"/>
  <c r="GM1232" i="5"/>
  <c r="IY922" i="5"/>
  <c r="AF1243" i="2" s="1"/>
  <c r="GO813" i="5"/>
  <c r="GO1238" i="5" s="1"/>
  <c r="IY794" i="5"/>
  <c r="AF1100" i="2" s="1"/>
  <c r="AF561" i="2" s="1"/>
  <c r="AX1078" i="5"/>
  <c r="V715" i="5"/>
  <c r="IS785" i="5"/>
  <c r="AD1091" i="2" s="1"/>
  <c r="AD537" i="2" s="1"/>
  <c r="AG1885" i="2"/>
  <c r="AD752" i="2" s="1"/>
  <c r="AF932" i="5"/>
  <c r="IS804" i="5"/>
  <c r="AD1110" i="2" s="1"/>
  <c r="IJ1018" i="5"/>
  <c r="AA1343" i="2" s="1"/>
  <c r="AE754" i="5"/>
  <c r="AE932" i="5" s="1"/>
  <c r="ID877" i="5"/>
  <c r="Y1198" i="2" s="1"/>
  <c r="Y672" i="2" s="1"/>
  <c r="ID812" i="5"/>
  <c r="Y1118" i="2" s="1"/>
  <c r="GD1086" i="5"/>
  <c r="GD932" i="5"/>
  <c r="FZ1086" i="5"/>
  <c r="FZ932" i="5"/>
  <c r="CB653" i="5"/>
  <c r="IG786" i="5"/>
  <c r="Z1092" i="2" s="1"/>
  <c r="Z541" i="2" s="1"/>
  <c r="IJ868" i="5"/>
  <c r="AA1187" i="2" s="1"/>
  <c r="AA1427" i="2" s="1"/>
  <c r="AA1516" i="2" s="1"/>
  <c r="M906" i="5"/>
  <c r="M1085" i="5" s="1"/>
  <c r="M932" i="5"/>
  <c r="GE1086" i="5"/>
  <c r="GE932" i="5"/>
  <c r="FW1086" i="5"/>
  <c r="FW932" i="5"/>
  <c r="IS810" i="5"/>
  <c r="AD1116" i="2" s="1"/>
  <c r="IG789" i="5"/>
  <c r="Z1095" i="2" s="1"/>
  <c r="Z552" i="2" s="1"/>
  <c r="FA813" i="5"/>
  <c r="FA754" i="5" s="1"/>
  <c r="GA1086" i="5"/>
  <c r="GA932" i="5"/>
  <c r="GB1086" i="5"/>
  <c r="GB932" i="5"/>
  <c r="GC932" i="5"/>
  <c r="IV764" i="5"/>
  <c r="AE1070" i="2" s="1"/>
  <c r="AE1904" i="2" s="1"/>
  <c r="GG1086" i="5"/>
  <c r="GG932" i="5"/>
  <c r="EN813" i="5"/>
  <c r="EN754" i="5" s="1"/>
  <c r="BA754" i="5"/>
  <c r="BA925" i="5" s="1"/>
  <c r="BA1091" i="5" s="1"/>
  <c r="DO1253" i="5"/>
  <c r="BF13" i="19"/>
  <c r="AG1401" i="2"/>
  <c r="AG1490" i="2" s="1"/>
  <c r="AG1906" i="2"/>
  <c r="JU765" i="5"/>
  <c r="JV765" i="5" s="1"/>
  <c r="JM765" i="5"/>
  <c r="JU790" i="5"/>
  <c r="JV790" i="5" s="1"/>
  <c r="BG93" i="19"/>
  <c r="AV103" i="19"/>
  <c r="AV11" i="19"/>
  <c r="BE78" i="19"/>
  <c r="BF78" i="19" s="1"/>
  <c r="AV14" i="19"/>
  <c r="V105" i="19"/>
  <c r="AW13" i="19"/>
  <c r="AO21" i="19"/>
  <c r="AO93" i="19"/>
  <c r="AV32" i="19"/>
  <c r="BF16" i="19"/>
  <c r="BE11" i="19"/>
  <c r="AF21" i="19"/>
  <c r="AX21" i="19"/>
  <c r="BF15" i="19"/>
  <c r="BE14" i="19"/>
  <c r="AM1346" i="2"/>
  <c r="JT1021" i="5" s="1"/>
  <c r="AO1353" i="2"/>
  <c r="BE32" i="19"/>
  <c r="AJ1978" i="2"/>
  <c r="AJ1976" i="2" s="1"/>
  <c r="AG887" i="2" s="1"/>
  <c r="AE16" i="19"/>
  <c r="EB813" i="5"/>
  <c r="EB1078" i="5" s="1"/>
  <c r="IJ876" i="5"/>
  <c r="AA1196" i="2" s="1"/>
  <c r="DQ720" i="5"/>
  <c r="AG607" i="2"/>
  <c r="AH607" i="2" s="1"/>
  <c r="AI607" i="2" s="1"/>
  <c r="DQ576" i="5"/>
  <c r="DQ719" i="5" s="1"/>
  <c r="IG845" i="5"/>
  <c r="Z1151" i="2" s="1"/>
  <c r="Z1419" i="2" s="1"/>
  <c r="Z1508" i="2" s="1"/>
  <c r="IV805" i="5"/>
  <c r="AE1111" i="2" s="1"/>
  <c r="CB754" i="5"/>
  <c r="CB1075" i="5" s="1"/>
  <c r="DQ621" i="5"/>
  <c r="DQ1249" i="5" s="1"/>
  <c r="CQ813" i="5"/>
  <c r="CQ1078" i="5" s="1"/>
  <c r="JU1028" i="5"/>
  <c r="IM853" i="5"/>
  <c r="AB1159" i="2" s="1"/>
  <c r="IM802" i="5"/>
  <c r="AB1108" i="2" s="1"/>
  <c r="AB584" i="2" s="1"/>
  <c r="IJ794" i="5"/>
  <c r="AA1100" i="2" s="1"/>
  <c r="AA560" i="2" s="1"/>
  <c r="AW105" i="19"/>
  <c r="JY887" i="5"/>
  <c r="BE46" i="19"/>
  <c r="BF46" i="19" s="1"/>
  <c r="JV1018" i="5"/>
  <c r="AV96" i="19"/>
  <c r="AW96" i="19" s="1"/>
  <c r="FS813" i="5"/>
  <c r="FS1078" i="5" s="1"/>
  <c r="JV889" i="5"/>
  <c r="AV49" i="19"/>
  <c r="AW49" i="19" s="1"/>
  <c r="JB1085" i="5"/>
  <c r="CP1173" i="5"/>
  <c r="CP1195" i="5" s="1"/>
  <c r="JY889" i="5"/>
  <c r="BE49" i="19"/>
  <c r="BF49" i="19" s="1"/>
  <c r="AV77" i="19"/>
  <c r="JS887" i="5"/>
  <c r="AM46" i="19"/>
  <c r="AN46" i="19" s="1"/>
  <c r="JX1008" i="5"/>
  <c r="BE94" i="19"/>
  <c r="BF94" i="19" s="1"/>
  <c r="JS889" i="5"/>
  <c r="AM49" i="19"/>
  <c r="AN49" i="19" s="1"/>
  <c r="DM1173" i="5"/>
  <c r="DM1195" i="5" s="1"/>
  <c r="JS888" i="5"/>
  <c r="AM47" i="19"/>
  <c r="AN47" i="19" s="1"/>
  <c r="JV886" i="5"/>
  <c r="AV45" i="19"/>
  <c r="AW45" i="19" s="1"/>
  <c r="JX860" i="5"/>
  <c r="BE21" i="19"/>
  <c r="AN15" i="19"/>
  <c r="BM658" i="5"/>
  <c r="BM665" i="5" s="1"/>
  <c r="BM737" i="5" s="1"/>
  <c r="JY968" i="5"/>
  <c r="BE75" i="19"/>
  <c r="BF75" i="19" s="1"/>
  <c r="JS886" i="5"/>
  <c r="AM45" i="19"/>
  <c r="AN45" i="19" s="1"/>
  <c r="AG515" i="2"/>
  <c r="AH515" i="2" s="1"/>
  <c r="AI515" i="2" s="1"/>
  <c r="AJ515" i="2" s="1"/>
  <c r="AK515" i="2" s="1"/>
  <c r="AL515" i="2" s="1"/>
  <c r="JU860" i="5"/>
  <c r="AV21" i="19"/>
  <c r="JY881" i="5"/>
  <c r="BE42" i="19"/>
  <c r="BF42" i="19" s="1"/>
  <c r="JP1037" i="5"/>
  <c r="AD107" i="19"/>
  <c r="AE107" i="19" s="1"/>
  <c r="JY888" i="5"/>
  <c r="BE47" i="19"/>
  <c r="BF47" i="19" s="1"/>
  <c r="JY1018" i="5"/>
  <c r="BE96" i="19"/>
  <c r="BF96" i="19" s="1"/>
  <c r="BA15" i="19"/>
  <c r="AW15" i="19"/>
  <c r="BJ15" i="19"/>
  <c r="AY16" i="19"/>
  <c r="BB16" i="19" s="1"/>
  <c r="AW16" i="19"/>
  <c r="BA106" i="19"/>
  <c r="AW106" i="19"/>
  <c r="BJ13" i="19"/>
  <c r="BH105" i="19"/>
  <c r="BK105" i="19" s="1"/>
  <c r="BH106" i="19"/>
  <c r="BK106" i="19" s="1"/>
  <c r="AY12" i="19"/>
  <c r="BB12" i="19" s="1"/>
  <c r="AW12" i="19"/>
  <c r="AE13" i="19"/>
  <c r="AR12" i="19"/>
  <c r="AN12" i="19"/>
  <c r="AE106" i="19"/>
  <c r="AE12" i="19"/>
  <c r="AN17" i="19"/>
  <c r="O40" i="19"/>
  <c r="P40" i="19" s="1"/>
  <c r="R40" i="19" s="1"/>
  <c r="N39" i="19"/>
  <c r="Q15" i="19"/>
  <c r="N15" i="19"/>
  <c r="AR16" i="19"/>
  <c r="AN16" i="19"/>
  <c r="AN13" i="19"/>
  <c r="AN105" i="19"/>
  <c r="AR49" i="19"/>
  <c r="Q49" i="19"/>
  <c r="N49" i="19"/>
  <c r="AE105" i="19"/>
  <c r="AR106" i="19"/>
  <c r="AN106" i="19"/>
  <c r="AI107" i="19"/>
  <c r="AR107" i="19"/>
  <c r="AN107" i="19"/>
  <c r="AE15" i="19"/>
  <c r="DP717" i="5"/>
  <c r="IP785" i="5"/>
  <c r="AC1091" i="2" s="1"/>
  <c r="AC537" i="2" s="1"/>
  <c r="JP888" i="5"/>
  <c r="AD47" i="19"/>
  <c r="AE47" i="19" s="1"/>
  <c r="IV804" i="5"/>
  <c r="AE1110" i="2" s="1"/>
  <c r="JX976" i="5"/>
  <c r="JP887" i="5"/>
  <c r="AD46" i="19"/>
  <c r="AE46" i="19" s="1"/>
  <c r="JP886" i="5"/>
  <c r="AD45" i="19"/>
  <c r="AE45" i="19" s="1"/>
  <c r="IY811" i="5"/>
  <c r="AF1117" i="2" s="1"/>
  <c r="JO968" i="5"/>
  <c r="AF75" i="19"/>
  <c r="IY792" i="5"/>
  <c r="AF1098" i="2" s="1"/>
  <c r="JP889" i="5"/>
  <c r="AD49" i="19"/>
  <c r="AE49" i="19" s="1"/>
  <c r="IS842" i="5"/>
  <c r="AD1148" i="2" s="1"/>
  <c r="P754" i="5"/>
  <c r="IV822" i="5"/>
  <c r="AE1128" i="2" s="1"/>
  <c r="EA813" i="5"/>
  <c r="EA1078" i="5" s="1"/>
  <c r="IP809" i="5"/>
  <c r="AC1115" i="2" s="1"/>
  <c r="DF1173" i="5"/>
  <c r="DF1195" i="5" s="1"/>
  <c r="CF721" i="5"/>
  <c r="CF1240" i="5"/>
  <c r="IP805" i="5"/>
  <c r="AC1111" i="2" s="1"/>
  <c r="GI1247" i="5"/>
  <c r="CF621" i="5"/>
  <c r="CF1249" i="5" s="1"/>
  <c r="ID843" i="5"/>
  <c r="Y1149" i="2" s="1"/>
  <c r="Y603" i="2" s="1"/>
  <c r="Y604" i="2" s="1"/>
  <c r="IJ843" i="5"/>
  <c r="AA1149" i="2" s="1"/>
  <c r="AA603" i="2" s="1"/>
  <c r="IV785" i="5"/>
  <c r="AE1091" i="2" s="1"/>
  <c r="AE537" i="2" s="1"/>
  <c r="DC907" i="5"/>
  <c r="DC1086" i="5" s="1"/>
  <c r="P48" i="7"/>
  <c r="EP553" i="5"/>
  <c r="EP552" i="5" s="1"/>
  <c r="GO1241" i="5"/>
  <c r="ID921" i="5"/>
  <c r="Y1242" i="2" s="1"/>
  <c r="GS1232" i="5"/>
  <c r="GJ1232" i="5"/>
  <c r="GK1232" i="5"/>
  <c r="DQ1233" i="5"/>
  <c r="O1232" i="5"/>
  <c r="GF1086" i="5"/>
  <c r="O715" i="5"/>
  <c r="JD948" i="5"/>
  <c r="JD1093" i="5" s="1"/>
  <c r="EE813" i="5"/>
  <c r="EE1078" i="5" s="1"/>
  <c r="IM801" i="5"/>
  <c r="AB1107" i="2" s="1"/>
  <c r="AB580" i="2" s="1"/>
  <c r="Z13" i="19"/>
  <c r="V13" i="19"/>
  <c r="CB658" i="5"/>
  <c r="CB731" i="5" s="1"/>
  <c r="ID764" i="5"/>
  <c r="Y1070" i="2" s="1"/>
  <c r="Y1399" i="2" s="1"/>
  <c r="Y1488" i="2" s="1"/>
  <c r="BU754" i="5"/>
  <c r="V36" i="19"/>
  <c r="Z16" i="19"/>
  <c r="V16" i="19"/>
  <c r="CB1232" i="5"/>
  <c r="CB715" i="5"/>
  <c r="EP621" i="5"/>
  <c r="EP1249" i="5" s="1"/>
  <c r="GP1232" i="5"/>
  <c r="IG830" i="5"/>
  <c r="Z1136" i="2" s="1"/>
  <c r="ID785" i="5"/>
  <c r="Y1091" i="2" s="1"/>
  <c r="Y536" i="2" s="1"/>
  <c r="AG1119" i="2"/>
  <c r="AG1877" i="2" s="1"/>
  <c r="CG813" i="5"/>
  <c r="CG1078" i="5" s="1"/>
  <c r="AI95" i="19"/>
  <c r="AE95" i="19"/>
  <c r="GI1232" i="5"/>
  <c r="JE976" i="5"/>
  <c r="AH1300" i="2" s="1"/>
  <c r="JC749" i="5"/>
  <c r="HA1232" i="5"/>
  <c r="ID778" i="5"/>
  <c r="Y1084" i="2" s="1"/>
  <c r="Y514" i="2" s="1"/>
  <c r="GY1232" i="5"/>
  <c r="Z15" i="19"/>
  <c r="V15" i="19"/>
  <c r="Z49" i="19"/>
  <c r="GZ1232" i="5"/>
  <c r="GK813" i="5"/>
  <c r="GK1238" i="5" s="1"/>
  <c r="Z12" i="19"/>
  <c r="V12" i="19"/>
  <c r="JR968" i="5"/>
  <c r="AG109" i="19"/>
  <c r="AJ109" i="19" s="1"/>
  <c r="AG35" i="19"/>
  <c r="AJ35" i="19" s="1"/>
  <c r="X109" i="19"/>
  <c r="AA109" i="19" s="1"/>
  <c r="X35" i="19"/>
  <c r="AA35" i="19" s="1"/>
  <c r="X34" i="19"/>
  <c r="AA34" i="19" s="1"/>
  <c r="AI1473" i="2"/>
  <c r="AI1562" i="2" s="1"/>
  <c r="D23" i="19"/>
  <c r="F23" i="19" s="1"/>
  <c r="D43" i="19"/>
  <c r="F43" i="19" s="1"/>
  <c r="D72" i="19"/>
  <c r="F72" i="19" s="1"/>
  <c r="D96" i="19"/>
  <c r="F96" i="19" s="1"/>
  <c r="D39" i="19"/>
  <c r="F39" i="19" s="1"/>
  <c r="AG1362" i="2"/>
  <c r="AG1661" i="2" s="1"/>
  <c r="BA16" i="19"/>
  <c r="BH15" i="19"/>
  <c r="BK15" i="19" s="1"/>
  <c r="O56" i="19"/>
  <c r="AO56" i="19"/>
  <c r="AQ56" i="19" s="1"/>
  <c r="AF56" i="19"/>
  <c r="BG11" i="19"/>
  <c r="BI11" i="19" s="1"/>
  <c r="AY15" i="19"/>
  <c r="BB15" i="19" s="1"/>
  <c r="AO103" i="19"/>
  <c r="O11" i="19"/>
  <c r="BJ105" i="19"/>
  <c r="AX103" i="19"/>
  <c r="AX14" i="19"/>
  <c r="AZ14" i="19" s="1"/>
  <c r="AO11" i="19"/>
  <c r="AQ11" i="19" s="1"/>
  <c r="AX11" i="19"/>
  <c r="AZ11" i="19" s="1"/>
  <c r="AO14" i="19"/>
  <c r="AQ14" i="19" s="1"/>
  <c r="AF14" i="19"/>
  <c r="U103" i="19"/>
  <c r="AD14" i="19"/>
  <c r="U11" i="19"/>
  <c r="U14" i="19"/>
  <c r="AM28" i="19"/>
  <c r="AM11" i="19"/>
  <c r="AM14" i="19"/>
  <c r="AM103" i="19"/>
  <c r="AD11" i="19"/>
  <c r="U94" i="19"/>
  <c r="V94" i="19" s="1"/>
  <c r="U49" i="19"/>
  <c r="V49" i="19" s="1"/>
  <c r="AF94" i="19"/>
  <c r="AD103" i="19"/>
  <c r="BG32" i="19"/>
  <c r="BI32" i="19" s="1"/>
  <c r="AX32" i="19"/>
  <c r="AZ32" i="19" s="1"/>
  <c r="AO32" i="19"/>
  <c r="AQ32" i="19" s="1"/>
  <c r="AM32" i="19"/>
  <c r="U32" i="19"/>
  <c r="V32" i="19" s="1"/>
  <c r="AD32" i="19"/>
  <c r="X1664" i="2"/>
  <c r="AP40" i="19"/>
  <c r="AS40" i="19" s="1"/>
  <c r="AP41" i="19"/>
  <c r="AS41" i="19" s="1"/>
  <c r="AP34" i="19"/>
  <c r="AS34" i="19" s="1"/>
  <c r="AP104" i="19"/>
  <c r="AS104" i="19" s="1"/>
  <c r="AG34" i="19"/>
  <c r="AJ34" i="19" s="1"/>
  <c r="AG104" i="19"/>
  <c r="AJ104" i="19" s="1"/>
  <c r="X104" i="19"/>
  <c r="AA104" i="19" s="1"/>
  <c r="P34" i="19"/>
  <c r="R34" i="19" s="1"/>
  <c r="P104" i="19"/>
  <c r="R104" i="19" s="1"/>
  <c r="AQ1229" i="2"/>
  <c r="AQ1664" i="2"/>
  <c r="AQ1465" i="2"/>
  <c r="AQ1554" i="2" s="1"/>
  <c r="JM1037" i="5"/>
  <c r="U107" i="19"/>
  <c r="V107" i="19" s="1"/>
  <c r="JM978" i="5"/>
  <c r="U78" i="19"/>
  <c r="U80" i="19" s="1"/>
  <c r="AY106" i="19"/>
  <c r="BB106" i="19" s="1"/>
  <c r="AG1946" i="2"/>
  <c r="AG1432" i="2"/>
  <c r="AG1521" i="2" s="1"/>
  <c r="U21" i="19"/>
  <c r="U28" i="19" s="1"/>
  <c r="AG1673" i="2"/>
  <c r="AG1679" i="2" s="1"/>
  <c r="BH13" i="19"/>
  <c r="BK13" i="19" s="1"/>
  <c r="BJ106" i="19"/>
  <c r="AG1422" i="2"/>
  <c r="AG1511" i="2" s="1"/>
  <c r="AG1902" i="2"/>
  <c r="AE1673" i="2"/>
  <c r="AE1679" i="2" s="1"/>
  <c r="AF1673" i="2"/>
  <c r="AF1679" i="2" s="1"/>
  <c r="AG459" i="2"/>
  <c r="AG1951" i="2"/>
  <c r="AP1472" i="2"/>
  <c r="AP1561" i="2" s="1"/>
  <c r="AP1661" i="2"/>
  <c r="W1060" i="2"/>
  <c r="W1636" i="2"/>
  <c r="AG576" i="2"/>
  <c r="W1469" i="2"/>
  <c r="W1558" i="2" s="1"/>
  <c r="W1668" i="2"/>
  <c r="AG1472" i="2"/>
  <c r="AG1561" i="2" s="1"/>
  <c r="AF1700" i="2"/>
  <c r="AG1400" i="2"/>
  <c r="AG1489" i="2" s="1"/>
  <c r="AP1656" i="2"/>
  <c r="AO1656" i="2"/>
  <c r="AC1664" i="2"/>
  <c r="X1429" i="2"/>
  <c r="X1518" i="2" s="1"/>
  <c r="AH1472" i="2"/>
  <c r="AH1561" i="2" s="1"/>
  <c r="AH1661" i="2"/>
  <c r="Y1472" i="2"/>
  <c r="AH1700" i="2"/>
  <c r="Z1700" i="2"/>
  <c r="Z1708" i="2" s="1"/>
  <c r="AO1657" i="2"/>
  <c r="AP1657" i="2"/>
  <c r="AA1700" i="2"/>
  <c r="AA1708" i="2" s="1"/>
  <c r="AG1424" i="2"/>
  <c r="AG1513" i="2" s="1"/>
  <c r="AB1700" i="2"/>
  <c r="AB1708" i="2" s="1"/>
  <c r="AO1661" i="2"/>
  <c r="AG1407" i="2"/>
  <c r="AG1496" i="2" s="1"/>
  <c r="AG456" i="2"/>
  <c r="AF1885" i="2"/>
  <c r="AB1664" i="2"/>
  <c r="W673" i="2"/>
  <c r="W1654" i="2"/>
  <c r="AI1661" i="2"/>
  <c r="AG518" i="2"/>
  <c r="AA1664" i="2"/>
  <c r="AD1374" i="2"/>
  <c r="AD1373" i="2" s="1"/>
  <c r="AG1950" i="2"/>
  <c r="AG679" i="2"/>
  <c r="Y1725" i="2"/>
  <c r="GN993" i="5"/>
  <c r="GN1254" i="5" s="1"/>
  <c r="GN1255" i="5"/>
  <c r="GX907" i="5"/>
  <c r="GX1251" i="5"/>
  <c r="GX1249" i="5" s="1"/>
  <c r="GX1241" i="5" s="1"/>
  <c r="HA993" i="5"/>
  <c r="HA1254" i="5" s="1"/>
  <c r="HA1255" i="5"/>
  <c r="IM567" i="5"/>
  <c r="HB993" i="5"/>
  <c r="HB1254" i="5" s="1"/>
  <c r="HB1255" i="5"/>
  <c r="DK1251" i="5"/>
  <c r="EI813" i="5"/>
  <c r="EI1078" i="5" s="1"/>
  <c r="GV1232" i="5"/>
  <c r="DE813" i="5"/>
  <c r="DE754" i="5" s="1"/>
  <c r="GK993" i="5"/>
  <c r="GK1254" i="5" s="1"/>
  <c r="GK1255" i="5"/>
  <c r="IJ779" i="5"/>
  <c r="AA1085" i="2" s="1"/>
  <c r="AG1060" i="2"/>
  <c r="JA1075" i="5"/>
  <c r="GU993" i="5"/>
  <c r="GU1254" i="5" s="1"/>
  <c r="GU1255" i="5"/>
  <c r="HC993" i="5"/>
  <c r="HC1254" i="5" s="1"/>
  <c r="HC1255" i="5"/>
  <c r="HB907" i="5"/>
  <c r="HB1251" i="5"/>
  <c r="HB1249" i="5" s="1"/>
  <c r="HB1241" i="5" s="1"/>
  <c r="HA907" i="5"/>
  <c r="HA1251" i="5"/>
  <c r="HA1249" i="5" s="1"/>
  <c r="HA1241" i="5" s="1"/>
  <c r="GU907" i="5"/>
  <c r="GU1251" i="5"/>
  <c r="GU1249" i="5" s="1"/>
  <c r="GU1241" i="5" s="1"/>
  <c r="GM993" i="5"/>
  <c r="GM1254" i="5" s="1"/>
  <c r="GM1255" i="5"/>
  <c r="DO813" i="5"/>
  <c r="DO1078" i="5" s="1"/>
  <c r="IY847" i="5"/>
  <c r="AF1153" i="2" s="1"/>
  <c r="M905" i="5"/>
  <c r="M1084" i="5" s="1"/>
  <c r="CT576" i="5"/>
  <c r="CT1238" i="5" s="1"/>
  <c r="IM792" i="5"/>
  <c r="AB1098" i="2" s="1"/>
  <c r="AB557" i="2" s="1"/>
  <c r="IY994" i="5"/>
  <c r="AF1320" i="2" s="1"/>
  <c r="CU813" i="5"/>
  <c r="CU1078" i="5" s="1"/>
  <c r="ID849" i="5"/>
  <c r="Y1155" i="2" s="1"/>
  <c r="Y1420" i="2" s="1"/>
  <c r="Y1509" i="2" s="1"/>
  <c r="M1075" i="5"/>
  <c r="GT993" i="5"/>
  <c r="GT1255" i="5"/>
  <c r="IJ831" i="5"/>
  <c r="AA1137" i="2" s="1"/>
  <c r="IP812" i="5"/>
  <c r="AC1118" i="2" s="1"/>
  <c r="EQ576" i="5"/>
  <c r="EQ1238" i="5" s="1"/>
  <c r="DS813" i="5"/>
  <c r="DS1078" i="5" s="1"/>
  <c r="IP847" i="5"/>
  <c r="AC1153" i="2" s="1"/>
  <c r="HC907" i="5"/>
  <c r="HC1251" i="5"/>
  <c r="HC1249" i="5" s="1"/>
  <c r="HC1241" i="5" s="1"/>
  <c r="GR1232" i="5"/>
  <c r="HF993" i="5"/>
  <c r="HF1254" i="5" s="1"/>
  <c r="HF1255" i="5"/>
  <c r="ID811" i="5"/>
  <c r="Y1117" i="2" s="1"/>
  <c r="GV907" i="5"/>
  <c r="GV1251" i="5"/>
  <c r="GV1249" i="5" s="1"/>
  <c r="GV1241" i="5" s="1"/>
  <c r="IS922" i="5"/>
  <c r="AD1243" i="2" s="1"/>
  <c r="IS765" i="5"/>
  <c r="AD1071" i="2" s="1"/>
  <c r="AD464" i="2" s="1"/>
  <c r="GJ993" i="5"/>
  <c r="GJ1254" i="5" s="1"/>
  <c r="GJ1255" i="5"/>
  <c r="IS773" i="5"/>
  <c r="AD1079" i="2" s="1"/>
  <c r="AD496" i="2" s="1"/>
  <c r="GW1232" i="5"/>
  <c r="IY845" i="5"/>
  <c r="AF1151" i="2" s="1"/>
  <c r="AF1419" i="2" s="1"/>
  <c r="AF1508" i="2" s="1"/>
  <c r="FT1250" i="5"/>
  <c r="GY907" i="5"/>
  <c r="GY1251" i="5"/>
  <c r="GY1249" i="5" s="1"/>
  <c r="GY1241" i="5" s="1"/>
  <c r="GO1232" i="5"/>
  <c r="IJ851" i="5"/>
  <c r="AA1157" i="2" s="1"/>
  <c r="AA647" i="2" s="1"/>
  <c r="X550" i="5"/>
  <c r="X714" i="5" s="1"/>
  <c r="X653" i="5"/>
  <c r="AG1465" i="2"/>
  <c r="AG1554" i="2" s="1"/>
  <c r="HE1232" i="5"/>
  <c r="GT1232" i="5"/>
  <c r="X1232" i="5"/>
  <c r="LA754" i="5"/>
  <c r="LA924" i="5" s="1"/>
  <c r="AT658" i="5"/>
  <c r="AT731" i="5" s="1"/>
  <c r="IM789" i="5"/>
  <c r="AB1095" i="2" s="1"/>
  <c r="AB553" i="2" s="1"/>
  <c r="BI657" i="5"/>
  <c r="BI730" i="5" s="1"/>
  <c r="IY787" i="5"/>
  <c r="AF1093" i="2" s="1"/>
  <c r="IS1038" i="5"/>
  <c r="AD1363" i="2" s="1"/>
  <c r="AD1473" i="2" s="1"/>
  <c r="AD1562" i="2" s="1"/>
  <c r="IL1213" i="5"/>
  <c r="CV1233" i="5"/>
  <c r="GT907" i="5"/>
  <c r="GT1251" i="5"/>
  <c r="GT1249" i="5" s="1"/>
  <c r="GT1241" i="5" s="1"/>
  <c r="IG757" i="5"/>
  <c r="Z1063" i="2" s="1"/>
  <c r="Z440" i="2" s="1"/>
  <c r="AM754" i="5"/>
  <c r="GR993" i="5"/>
  <c r="GR1254" i="5" s="1"/>
  <c r="GR1255" i="5"/>
  <c r="GL993" i="5"/>
  <c r="GL1254" i="5" s="1"/>
  <c r="GL1255" i="5"/>
  <c r="IJ778" i="5"/>
  <c r="AA1084" i="2" s="1"/>
  <c r="AA515" i="2" s="1"/>
  <c r="AX653" i="5"/>
  <c r="AY1241" i="5"/>
  <c r="GS993" i="5"/>
  <c r="GS1254" i="5" s="1"/>
  <c r="GS1255" i="5"/>
  <c r="HD993" i="5"/>
  <c r="HD1254" i="5" s="1"/>
  <c r="HD1255" i="5"/>
  <c r="DJ717" i="5"/>
  <c r="AH1734" i="2"/>
  <c r="HF907" i="5"/>
  <c r="HF1251" i="5"/>
  <c r="HF1249" i="5" s="1"/>
  <c r="HF1241" i="5" s="1"/>
  <c r="GR907" i="5"/>
  <c r="GR1251" i="5"/>
  <c r="GR1249" i="5" s="1"/>
  <c r="GR1241" i="5" s="1"/>
  <c r="IM788" i="5"/>
  <c r="AB1094" i="2" s="1"/>
  <c r="AB548" i="2" s="1"/>
  <c r="GU1232" i="5"/>
  <c r="FI813" i="5"/>
  <c r="FI754" i="5" s="1"/>
  <c r="CI813" i="5"/>
  <c r="CI1078" i="5" s="1"/>
  <c r="IT890" i="5"/>
  <c r="IT891" i="5" s="1"/>
  <c r="IT892" i="5" s="1"/>
  <c r="HD907" i="5"/>
  <c r="HD1251" i="5"/>
  <c r="HD1249" i="5" s="1"/>
  <c r="HD1241" i="5" s="1"/>
  <c r="IG833" i="5"/>
  <c r="Z1139" i="2" s="1"/>
  <c r="Z1417" i="2" s="1"/>
  <c r="Z1506" i="2" s="1"/>
  <c r="IV768" i="5"/>
  <c r="AE1074" i="2" s="1"/>
  <c r="AE476" i="2" s="1"/>
  <c r="GL907" i="5"/>
  <c r="GL1251" i="5"/>
  <c r="IV885" i="5"/>
  <c r="AE1206" i="2" s="1"/>
  <c r="AE666" i="2" s="1"/>
  <c r="Y754" i="5"/>
  <c r="GQ907" i="5"/>
  <c r="GQ1251" i="5"/>
  <c r="GQ1249" i="5" s="1"/>
  <c r="GQ1241" i="5" s="1"/>
  <c r="GM907" i="5"/>
  <c r="GM1251" i="5"/>
  <c r="GW993" i="5"/>
  <c r="GW1254" i="5" s="1"/>
  <c r="GW1255" i="5"/>
  <c r="GJ907" i="5"/>
  <c r="GJ1251" i="5"/>
  <c r="GX993" i="5"/>
  <c r="GX1254" i="5" s="1"/>
  <c r="GX1255" i="5"/>
  <c r="FQ1097" i="5"/>
  <c r="GN907" i="5"/>
  <c r="GN1251" i="5"/>
  <c r="GS907" i="5"/>
  <c r="GS1251" i="5"/>
  <c r="GS1249" i="5" s="1"/>
  <c r="GS1241" i="5" s="1"/>
  <c r="DK1233" i="5"/>
  <c r="GC1081" i="5"/>
  <c r="GC1237" i="5"/>
  <c r="GC1232" i="5" s="1"/>
  <c r="GC1257" i="5" s="1"/>
  <c r="LB654" i="5"/>
  <c r="GN1232" i="5"/>
  <c r="GL1232" i="5"/>
  <c r="CB550" i="5"/>
  <c r="CB714" i="5" s="1"/>
  <c r="IS764" i="5"/>
  <c r="AD1070" i="2" s="1"/>
  <c r="AD1399" i="2" s="1"/>
  <c r="AD1488" i="2" s="1"/>
  <c r="HE907" i="5"/>
  <c r="HE1251" i="5"/>
  <c r="HE1249" i="5" s="1"/>
  <c r="HE1241" i="5" s="1"/>
  <c r="DV576" i="5"/>
  <c r="DV1238" i="5" s="1"/>
  <c r="DN576" i="5"/>
  <c r="DN719" i="5" s="1"/>
  <c r="GY993" i="5"/>
  <c r="GY1254" i="5" s="1"/>
  <c r="GY1255" i="5"/>
  <c r="IS777" i="5"/>
  <c r="AD1083" i="2" s="1"/>
  <c r="AD511" i="2" s="1"/>
  <c r="HE993" i="5"/>
  <c r="HE1254" i="5" s="1"/>
  <c r="HE1255" i="5"/>
  <c r="GZ993" i="5"/>
  <c r="GZ1254" i="5" s="1"/>
  <c r="GZ1255" i="5"/>
  <c r="GQ993" i="5"/>
  <c r="GQ1254" i="5" s="1"/>
  <c r="GQ1255" i="5"/>
  <c r="GZ907" i="5"/>
  <c r="GZ1251" i="5"/>
  <c r="GZ1249" i="5" s="1"/>
  <c r="GZ1241" i="5" s="1"/>
  <c r="ID779" i="5"/>
  <c r="Y1085" i="2" s="1"/>
  <c r="GP993" i="5"/>
  <c r="GP1254" i="5" s="1"/>
  <c r="GP1255" i="5"/>
  <c r="IY785" i="5"/>
  <c r="AF1091" i="2" s="1"/>
  <c r="AF537" i="2" s="1"/>
  <c r="LA653" i="5"/>
  <c r="HF1232" i="5"/>
  <c r="GP907" i="5"/>
  <c r="GP1251" i="5"/>
  <c r="GP1249" i="5" s="1"/>
  <c r="GP1241" i="5" s="1"/>
  <c r="EU1251" i="5"/>
  <c r="IY804" i="5"/>
  <c r="AF1110" i="2" s="1"/>
  <c r="IM786" i="5"/>
  <c r="AB1092" i="2" s="1"/>
  <c r="AB540" i="2" s="1"/>
  <c r="FV1242" i="5"/>
  <c r="GK907" i="5"/>
  <c r="GK1251" i="5"/>
  <c r="GW907" i="5"/>
  <c r="GW1251" i="5"/>
  <c r="GW1249" i="5" s="1"/>
  <c r="GW1241" i="5" s="1"/>
  <c r="IV772" i="5"/>
  <c r="AE1078" i="2" s="1"/>
  <c r="AE492" i="2" s="1"/>
  <c r="FK813" i="5"/>
  <c r="FK1238" i="5" s="1"/>
  <c r="AH723" i="5"/>
  <c r="GV993" i="5"/>
  <c r="GV1254" i="5" s="1"/>
  <c r="GV1255" i="5"/>
  <c r="E72" i="7"/>
  <c r="E74" i="7"/>
  <c r="K141" i="7"/>
  <c r="AP1146" i="2"/>
  <c r="AG545" i="2"/>
  <c r="AH545" i="2" s="1"/>
  <c r="AI545" i="2" s="1"/>
  <c r="AB1689" i="2"/>
  <c r="AB1814" i="2" s="1"/>
  <c r="AG585" i="2"/>
  <c r="AH585" i="2" s="1"/>
  <c r="AI585" i="2" s="1"/>
  <c r="AJ585" i="2" s="1"/>
  <c r="AK585" i="2" s="1"/>
  <c r="AL585" i="2" s="1"/>
  <c r="O76" i="19"/>
  <c r="AF76" i="19"/>
  <c r="O52" i="19"/>
  <c r="AK1465" i="2"/>
  <c r="AK1554" i="2" s="1"/>
  <c r="AO76" i="19"/>
  <c r="AQ76" i="19" s="1"/>
  <c r="JM889" i="5"/>
  <c r="AG1908" i="2"/>
  <c r="X79" i="19"/>
  <c r="X80" i="19"/>
  <c r="AA80" i="19" s="1"/>
  <c r="AG79" i="19"/>
  <c r="AJ79" i="19" s="1"/>
  <c r="AG80" i="19"/>
  <c r="AJ80" i="19" s="1"/>
  <c r="P80" i="19"/>
  <c r="R80" i="19" s="1"/>
  <c r="P79" i="19"/>
  <c r="R79" i="19" s="1"/>
  <c r="AP96" i="19"/>
  <c r="AS96" i="19" s="1"/>
  <c r="AP79" i="19"/>
  <c r="AS79" i="19" s="1"/>
  <c r="AP78" i="19"/>
  <c r="AS78" i="19" s="1"/>
  <c r="AP80" i="19"/>
  <c r="AS80" i="19" s="1"/>
  <c r="AG107" i="19"/>
  <c r="AJ107" i="19" s="1"/>
  <c r="AG78" i="19"/>
  <c r="AJ78" i="19" s="1"/>
  <c r="BH77" i="19"/>
  <c r="BK77" i="19" s="1"/>
  <c r="BJ77" i="19"/>
  <c r="AP94" i="19"/>
  <c r="AS94" i="19" s="1"/>
  <c r="AR94" i="19"/>
  <c r="AP26" i="19"/>
  <c r="AS26" i="19" s="1"/>
  <c r="AP75" i="19"/>
  <c r="AS75" i="19" s="1"/>
  <c r="AP107" i="19"/>
  <c r="AS107" i="19" s="1"/>
  <c r="AP95" i="19"/>
  <c r="AS95" i="19" s="1"/>
  <c r="BH94" i="19"/>
  <c r="BK94" i="19" s="1"/>
  <c r="BJ94" i="19"/>
  <c r="BJ49" i="19"/>
  <c r="BH49" i="19"/>
  <c r="BK49" i="19" s="1"/>
  <c r="BA49" i="19"/>
  <c r="AY49" i="19"/>
  <c r="BB49" i="19" s="1"/>
  <c r="X40" i="19"/>
  <c r="AA40" i="19" s="1"/>
  <c r="X26" i="19"/>
  <c r="AA26" i="19" s="1"/>
  <c r="X78" i="19"/>
  <c r="AA78" i="19" s="1"/>
  <c r="X107" i="19"/>
  <c r="AA107" i="19" s="1"/>
  <c r="X30" i="19"/>
  <c r="AA30" i="19" s="1"/>
  <c r="X29" i="19"/>
  <c r="AA29" i="19" s="1"/>
  <c r="X81" i="19"/>
  <c r="AA81" i="19" s="1"/>
  <c r="X77" i="19"/>
  <c r="AA77" i="19" s="1"/>
  <c r="AG40" i="19"/>
  <c r="AJ40" i="19" s="1"/>
  <c r="AG26" i="19"/>
  <c r="AJ26" i="19" s="1"/>
  <c r="AG30" i="19"/>
  <c r="AJ30" i="19" s="1"/>
  <c r="AG29" i="19"/>
  <c r="AJ29" i="19" s="1"/>
  <c r="X32" i="19"/>
  <c r="AA32" i="19" s="1"/>
  <c r="AP64" i="19"/>
  <c r="AS64" i="19" s="1"/>
  <c r="AP55" i="19"/>
  <c r="AS55" i="19" s="1"/>
  <c r="AP46" i="19"/>
  <c r="AS46" i="19" s="1"/>
  <c r="AP47" i="19"/>
  <c r="AS47" i="19" s="1"/>
  <c r="AP49" i="19"/>
  <c r="AS49" i="19" s="1"/>
  <c r="AP48" i="19"/>
  <c r="AS48" i="19" s="1"/>
  <c r="AP45" i="19"/>
  <c r="AS45" i="19" s="1"/>
  <c r="AP53" i="19"/>
  <c r="AS53" i="19" s="1"/>
  <c r="Q77" i="19"/>
  <c r="P26" i="19"/>
  <c r="R26" i="19" s="1"/>
  <c r="P78" i="19"/>
  <c r="R78" i="19" s="1"/>
  <c r="P107" i="19"/>
  <c r="R107" i="19" s="1"/>
  <c r="X33" i="19"/>
  <c r="AA33" i="19" s="1"/>
  <c r="AG33" i="19"/>
  <c r="AJ33" i="19" s="1"/>
  <c r="Z36" i="19"/>
  <c r="X36" i="19"/>
  <c r="AA36" i="19" s="1"/>
  <c r="AG36" i="19"/>
  <c r="AJ36" i="19" s="1"/>
  <c r="Q33" i="19"/>
  <c r="AG45" i="19"/>
  <c r="AJ45" i="19" s="1"/>
  <c r="AG55" i="19"/>
  <c r="AJ55" i="19" s="1"/>
  <c r="AG46" i="19"/>
  <c r="AJ46" i="19" s="1"/>
  <c r="AG47" i="19"/>
  <c r="AJ47" i="19" s="1"/>
  <c r="AG53" i="19"/>
  <c r="AJ53" i="19" s="1"/>
  <c r="AG48" i="19"/>
  <c r="AJ48" i="19" s="1"/>
  <c r="AG49" i="19"/>
  <c r="AJ49" i="19" s="1"/>
  <c r="P48" i="19"/>
  <c r="R48" i="19" s="1"/>
  <c r="P53" i="19"/>
  <c r="R53" i="19" s="1"/>
  <c r="P55" i="19"/>
  <c r="R55" i="19" s="1"/>
  <c r="P46" i="19"/>
  <c r="R46" i="19" s="1"/>
  <c r="P47" i="19"/>
  <c r="R47" i="19" s="1"/>
  <c r="P49" i="19"/>
  <c r="R49" i="19" s="1"/>
  <c r="P45" i="19"/>
  <c r="R45" i="19" s="1"/>
  <c r="X46" i="19"/>
  <c r="AA46" i="19" s="1"/>
  <c r="X49" i="19"/>
  <c r="AA49" i="19" s="1"/>
  <c r="X53" i="19"/>
  <c r="AA53" i="19" s="1"/>
  <c r="X48" i="19"/>
  <c r="AA48" i="19" s="1"/>
  <c r="X45" i="19"/>
  <c r="AA45" i="19" s="1"/>
  <c r="X47" i="19"/>
  <c r="AA47" i="19" s="1"/>
  <c r="X55" i="19"/>
  <c r="AA55" i="19" s="1"/>
  <c r="BA12" i="19"/>
  <c r="AG1397" i="2"/>
  <c r="AG1486" i="2" s="1"/>
  <c r="AG1704" i="2"/>
  <c r="AG1702" i="2" s="1"/>
  <c r="AG1706" i="2" s="1"/>
  <c r="AG647" i="2"/>
  <c r="AJ1751" i="2"/>
  <c r="AJ1750" i="2" s="1"/>
  <c r="AG1904" i="2"/>
  <c r="AE1885" i="2"/>
  <c r="AI697" i="2"/>
  <c r="AI698" i="2" s="1"/>
  <c r="AM1978" i="2"/>
  <c r="AM1976" i="2" s="1"/>
  <c r="AG73" i="19"/>
  <c r="AJ73" i="19" s="1"/>
  <c r="AG537" i="2"/>
  <c r="AH537" i="2" s="1"/>
  <c r="AI537" i="2" s="1"/>
  <c r="AJ537" i="2" s="1"/>
  <c r="AK537" i="2" s="1"/>
  <c r="AL537" i="2" s="1"/>
  <c r="JH1019" i="5"/>
  <c r="AI1344" i="2" s="1"/>
  <c r="M925" i="5"/>
  <c r="M1091" i="5" s="1"/>
  <c r="IG772" i="5"/>
  <c r="Z1078" i="2" s="1"/>
  <c r="Z493" i="2" s="1"/>
  <c r="DA813" i="5"/>
  <c r="DA1078" i="5" s="1"/>
  <c r="IM828" i="5"/>
  <c r="AB1134" i="2" s="1"/>
  <c r="IY830" i="5"/>
  <c r="AF1136" i="2" s="1"/>
  <c r="H42" i="7"/>
  <c r="AT1241" i="5"/>
  <c r="IJ842" i="5"/>
  <c r="AA1148" i="2" s="1"/>
  <c r="E754" i="5"/>
  <c r="E906" i="5" s="1"/>
  <c r="E1085" i="5" s="1"/>
  <c r="JE800" i="5"/>
  <c r="AH1106" i="2" s="1"/>
  <c r="IV833" i="5"/>
  <c r="AE1139" i="2" s="1"/>
  <c r="AE1417" i="2" s="1"/>
  <c r="AE1506" i="2" s="1"/>
  <c r="IY767" i="5"/>
  <c r="AF1073" i="2" s="1"/>
  <c r="AF472" i="2" s="1"/>
  <c r="IP820" i="5"/>
  <c r="AC1126" i="2" s="1"/>
  <c r="AC1410" i="2" s="1"/>
  <c r="CX1237" i="5"/>
  <c r="IV787" i="5"/>
  <c r="AE1093" i="2" s="1"/>
  <c r="IV789" i="5"/>
  <c r="AE1095" i="2" s="1"/>
  <c r="AE553" i="2" s="1"/>
  <c r="V658" i="5"/>
  <c r="V731" i="5" s="1"/>
  <c r="BY754" i="5"/>
  <c r="IP830" i="5"/>
  <c r="AC1136" i="2" s="1"/>
  <c r="AH1470" i="2"/>
  <c r="AH1559" i="2" s="1"/>
  <c r="FK1250" i="5"/>
  <c r="IP789" i="5"/>
  <c r="AC1095" i="2" s="1"/>
  <c r="AC552" i="2" s="1"/>
  <c r="IV829" i="5"/>
  <c r="AE1135" i="2" s="1"/>
  <c r="AB1725" i="2"/>
  <c r="ID920" i="5"/>
  <c r="Y1241" i="2" s="1"/>
  <c r="IS771" i="5"/>
  <c r="AD1077" i="2" s="1"/>
  <c r="X723" i="5"/>
  <c r="IS853" i="5"/>
  <c r="AD1159" i="2" s="1"/>
  <c r="AG1905" i="2"/>
  <c r="V652" i="5"/>
  <c r="DY813" i="5"/>
  <c r="DY754" i="5" s="1"/>
  <c r="IJ788" i="5"/>
  <c r="AA1094" i="2" s="1"/>
  <c r="AA548" i="2" s="1"/>
  <c r="IG777" i="5"/>
  <c r="Z1083" i="2" s="1"/>
  <c r="Z511" i="2" s="1"/>
  <c r="ID853" i="5"/>
  <c r="Y1159" i="2" s="1"/>
  <c r="Y662" i="2" s="1"/>
  <c r="AG496" i="2"/>
  <c r="T754" i="5"/>
  <c r="V550" i="5"/>
  <c r="V714" i="5" s="1"/>
  <c r="IP772" i="5"/>
  <c r="AC1078" i="2" s="1"/>
  <c r="AC492" i="2" s="1"/>
  <c r="DI813" i="5"/>
  <c r="DI754" i="5" s="1"/>
  <c r="IM805" i="5"/>
  <c r="AB1111" i="2" s="1"/>
  <c r="IM1018" i="5"/>
  <c r="AB1343" i="2" s="1"/>
  <c r="CU590" i="5"/>
  <c r="CU1242" i="5" s="1"/>
  <c r="AG424" i="2"/>
  <c r="AG1429" i="2"/>
  <c r="AG1518" i="2" s="1"/>
  <c r="T723" i="5"/>
  <c r="IG764" i="5"/>
  <c r="Z1070" i="2" s="1"/>
  <c r="Z1399" i="2" s="1"/>
  <c r="Z1488" i="2" s="1"/>
  <c r="V653" i="5"/>
  <c r="IJ901" i="5"/>
  <c r="AA1222" i="2" s="1"/>
  <c r="AA676" i="2" s="1"/>
  <c r="AA677" i="2" s="1"/>
  <c r="IV786" i="5"/>
  <c r="AE1092" i="2" s="1"/>
  <c r="AE541" i="2" s="1"/>
  <c r="E116" i="7"/>
  <c r="EQ813" i="5"/>
  <c r="EQ754" i="5" s="1"/>
  <c r="IS778" i="5"/>
  <c r="AD1084" i="2" s="1"/>
  <c r="AD515" i="2" s="1"/>
  <c r="EE1239" i="5"/>
  <c r="IS827" i="5"/>
  <c r="AD1133" i="2" s="1"/>
  <c r="AD589" i="2" s="1"/>
  <c r="IY807" i="5"/>
  <c r="AF1113" i="2" s="1"/>
  <c r="IJ787" i="5"/>
  <c r="AA1093" i="2" s="1"/>
  <c r="DC813" i="5"/>
  <c r="DC754" i="5" s="1"/>
  <c r="IP1038" i="5"/>
  <c r="AC1363" i="2" s="1"/>
  <c r="AC1473" i="2" s="1"/>
  <c r="DB720" i="5"/>
  <c r="IP851" i="5"/>
  <c r="AC1157" i="2" s="1"/>
  <c r="H723" i="5"/>
  <c r="IP807" i="5"/>
  <c r="AC1113" i="2" s="1"/>
  <c r="IY921" i="5"/>
  <c r="AF1242" i="2" s="1"/>
  <c r="ID922" i="5"/>
  <c r="Y1243" i="2" s="1"/>
  <c r="IG870" i="5"/>
  <c r="Z1189" i="2" s="1"/>
  <c r="IS806" i="5"/>
  <c r="AD1112" i="2" s="1"/>
  <c r="AR653" i="5"/>
  <c r="X1233" i="2"/>
  <c r="IS787" i="5"/>
  <c r="AD1093" i="2" s="1"/>
  <c r="IY802" i="5"/>
  <c r="AF1108" i="2" s="1"/>
  <c r="AF1402" i="2" s="1"/>
  <c r="AF1491" i="2" s="1"/>
  <c r="IM765" i="5"/>
  <c r="AB1071" i="2" s="1"/>
  <c r="AB463" i="2" s="1"/>
  <c r="JB1090" i="5"/>
  <c r="GN813" i="5"/>
  <c r="GN754" i="5" s="1"/>
  <c r="IG869" i="5"/>
  <c r="IJ777" i="5"/>
  <c r="AA1083" i="2" s="1"/>
  <c r="AA510" i="2" s="1"/>
  <c r="IM777" i="5"/>
  <c r="AB1083" i="2" s="1"/>
  <c r="AB510" i="2" s="1"/>
  <c r="AG549" i="2"/>
  <c r="AK549" i="2" s="1"/>
  <c r="AL549" i="2" s="1"/>
  <c r="Y1311" i="2"/>
  <c r="Y1466" i="2" s="1"/>
  <c r="Y1555" i="2" s="1"/>
  <c r="AH1737" i="2"/>
  <c r="IP788" i="5"/>
  <c r="AC1094" i="2" s="1"/>
  <c r="AC549" i="2" s="1"/>
  <c r="ID806" i="5"/>
  <c r="Y1112" i="2" s="1"/>
  <c r="AR652" i="5"/>
  <c r="IP787" i="5"/>
  <c r="AC1093" i="2" s="1"/>
  <c r="DW813" i="5"/>
  <c r="DW1078" i="5" s="1"/>
  <c r="IJ921" i="5"/>
  <c r="AA1242" i="2" s="1"/>
  <c r="AG556" i="2"/>
  <c r="FE1087" i="5"/>
  <c r="EI1239" i="5"/>
  <c r="AA715" i="5"/>
  <c r="IS788" i="5"/>
  <c r="AD1094" i="2" s="1"/>
  <c r="AD548" i="2" s="1"/>
  <c r="AA550" i="5"/>
  <c r="AA657" i="5" s="1"/>
  <c r="IS876" i="5"/>
  <c r="AD1196" i="2" s="1"/>
  <c r="IY833" i="5"/>
  <c r="AF1139" i="2" s="1"/>
  <c r="AF1417" i="2" s="1"/>
  <c r="AF1506" i="2" s="1"/>
  <c r="ID763" i="5"/>
  <c r="Y1069" i="2" s="1"/>
  <c r="Y1398" i="2" s="1"/>
  <c r="Y1487" i="2" s="1"/>
  <c r="EA621" i="5"/>
  <c r="EA1249" i="5" s="1"/>
  <c r="IJ827" i="5"/>
  <c r="AA1133" i="2" s="1"/>
  <c r="AA1416" i="2" s="1"/>
  <c r="AA1505" i="2" s="1"/>
  <c r="DO1233" i="5"/>
  <c r="DD1173" i="5"/>
  <c r="DD1195" i="5" s="1"/>
  <c r="EX621" i="5"/>
  <c r="EX1249" i="5" s="1"/>
  <c r="IY772" i="5"/>
  <c r="AF1078" i="2" s="1"/>
  <c r="AF492" i="2" s="1"/>
  <c r="IP921" i="5"/>
  <c r="AC1242" i="2" s="1"/>
  <c r="IP778" i="5"/>
  <c r="AC1084" i="2" s="1"/>
  <c r="AC515" i="2" s="1"/>
  <c r="IJ920" i="5"/>
  <c r="AA1241" i="2" s="1"/>
  <c r="DB576" i="5"/>
  <c r="DB1238" i="5" s="1"/>
  <c r="AG1246" i="2"/>
  <c r="ID757" i="5"/>
  <c r="Y1063" i="2" s="1"/>
  <c r="AG1925" i="2"/>
  <c r="K754" i="5"/>
  <c r="IY1038" i="5"/>
  <c r="AF1363" i="2" s="1"/>
  <c r="IY680" i="5" s="1"/>
  <c r="T124" i="7" s="1"/>
  <c r="IY777" i="5"/>
  <c r="AF1083" i="2" s="1"/>
  <c r="AF511" i="2" s="1"/>
  <c r="DQ1173" i="5"/>
  <c r="DQ1195" i="5" s="1"/>
  <c r="AA652" i="5"/>
  <c r="IG846" i="5"/>
  <c r="Z1152" i="2" s="1"/>
  <c r="IV869" i="5"/>
  <c r="FE1076" i="5"/>
  <c r="AS1241" i="5"/>
  <c r="FE813" i="5"/>
  <c r="FE754" i="5" s="1"/>
  <c r="AY754" i="5"/>
  <c r="DK717" i="5"/>
  <c r="DV813" i="5"/>
  <c r="DV1078" i="5" s="1"/>
  <c r="JB1079" i="5"/>
  <c r="AC1885" i="2"/>
  <c r="IG853" i="5"/>
  <c r="Z1159" i="2" s="1"/>
  <c r="KY550" i="5"/>
  <c r="KY714" i="5" s="1"/>
  <c r="IS847" i="5"/>
  <c r="AD1153" i="2" s="1"/>
  <c r="CH716" i="5"/>
  <c r="DP1173" i="5"/>
  <c r="DP1195" i="5" s="1"/>
  <c r="IJ922" i="5"/>
  <c r="AA1243" i="2" s="1"/>
  <c r="IM846" i="5"/>
  <c r="AB1152" i="2" s="1"/>
  <c r="AG584" i="2"/>
  <c r="E17" i="7"/>
  <c r="X715" i="5"/>
  <c r="ID789" i="5"/>
  <c r="Y1095" i="2" s="1"/>
  <c r="Y553" i="2" s="1"/>
  <c r="Y554" i="2" s="1"/>
  <c r="DC621" i="5"/>
  <c r="DC726" i="5" s="1"/>
  <c r="CH813" i="5"/>
  <c r="CH1078" i="5" s="1"/>
  <c r="IY771" i="5"/>
  <c r="AF1077" i="2" s="1"/>
  <c r="FC813" i="5"/>
  <c r="FC1238" i="5" s="1"/>
  <c r="IJ793" i="5"/>
  <c r="AA1099" i="2" s="1"/>
  <c r="ID847" i="5"/>
  <c r="Y1153" i="2" s="1"/>
  <c r="IM787" i="5"/>
  <c r="AB1093" i="2" s="1"/>
  <c r="Y657" i="5"/>
  <c r="Y730" i="5" s="1"/>
  <c r="DN720" i="5"/>
  <c r="IJ824" i="5"/>
  <c r="AA1130" i="2" s="1"/>
  <c r="AA1413" i="2" s="1"/>
  <c r="AA1502" i="2" s="1"/>
  <c r="AD1311" i="2"/>
  <c r="IS805" i="5"/>
  <c r="AD1111" i="2" s="1"/>
  <c r="DF813" i="5"/>
  <c r="DF1078" i="5" s="1"/>
  <c r="IM778" i="5"/>
  <c r="AB1084" i="2" s="1"/>
  <c r="AB515" i="2" s="1"/>
  <c r="AR754" i="5"/>
  <c r="DK552" i="5"/>
  <c r="DK1232" i="5" s="1"/>
  <c r="HB813" i="5"/>
  <c r="HB754" i="5" s="1"/>
  <c r="DR1173" i="5"/>
  <c r="DR1195" i="5" s="1"/>
  <c r="AN652" i="5"/>
  <c r="ET813" i="5"/>
  <c r="ET1078" i="5" s="1"/>
  <c r="X652" i="5"/>
  <c r="IY806" i="5"/>
  <c r="AF1112" i="2" s="1"/>
  <c r="IS757" i="5"/>
  <c r="AD1063" i="2" s="1"/>
  <c r="AB1697" i="2"/>
  <c r="AB1811" i="2" s="1"/>
  <c r="AG593" i="2"/>
  <c r="IV827" i="5"/>
  <c r="AE1133" i="2" s="1"/>
  <c r="AE1416" i="2" s="1"/>
  <c r="AE1505" i="2" s="1"/>
  <c r="H30" i="7"/>
  <c r="IS820" i="5"/>
  <c r="AD1126" i="2" s="1"/>
  <c r="AD1410" i="2" s="1"/>
  <c r="AD1499" i="2" s="1"/>
  <c r="IY786" i="5"/>
  <c r="AF1092" i="2" s="1"/>
  <c r="AF540" i="2" s="1"/>
  <c r="IS763" i="5"/>
  <c r="AD1069" i="2" s="1"/>
  <c r="AE1903" i="2" s="1"/>
  <c r="IJ799" i="5"/>
  <c r="AA1105" i="2" s="1"/>
  <c r="AA573" i="2" s="1"/>
  <c r="FM1088" i="5"/>
  <c r="FL1088" i="5"/>
  <c r="CU1173" i="5"/>
  <c r="CU1195" i="5" s="1"/>
  <c r="AN653" i="5"/>
  <c r="EH576" i="5"/>
  <c r="EH1238" i="5" s="1"/>
  <c r="ID794" i="5"/>
  <c r="Y1100" i="2" s="1"/>
  <c r="Y561" i="2" s="1"/>
  <c r="Y562" i="2" s="1"/>
  <c r="CH576" i="5"/>
  <c r="CH1238" i="5" s="1"/>
  <c r="IP779" i="5"/>
  <c r="AC1085" i="2" s="1"/>
  <c r="IY824" i="5"/>
  <c r="AF1130" i="2" s="1"/>
  <c r="AF1413" i="2" s="1"/>
  <c r="AF1502" i="2" s="1"/>
  <c r="EM606" i="5"/>
  <c r="EM1247" i="5" s="1"/>
  <c r="DM1096" i="5"/>
  <c r="ID885" i="5"/>
  <c r="Y1206" i="2" s="1"/>
  <c r="Y667" i="2" s="1"/>
  <c r="IP920" i="5"/>
  <c r="AC1241" i="2" s="1"/>
  <c r="X658" i="5"/>
  <c r="X731" i="5" s="1"/>
  <c r="EK813" i="5"/>
  <c r="EK1078" i="5" s="1"/>
  <c r="IP1003" i="5"/>
  <c r="AC1329" i="2" s="1"/>
  <c r="AC1749" i="2" s="1"/>
  <c r="FD1250" i="5"/>
  <c r="AN654" i="5"/>
  <c r="JH800" i="5"/>
  <c r="AI1106" i="2" s="1"/>
  <c r="IV765" i="5"/>
  <c r="AE1071" i="2" s="1"/>
  <c r="AE464" i="2" s="1"/>
  <c r="CH721" i="5"/>
  <c r="IP869" i="5"/>
  <c r="CS813" i="5"/>
  <c r="CS1078" i="5" s="1"/>
  <c r="IS770" i="5"/>
  <c r="AD1076" i="2" s="1"/>
  <c r="IJ792" i="5"/>
  <c r="AA1098" i="2" s="1"/>
  <c r="AA556" i="2" s="1"/>
  <c r="IY798" i="5"/>
  <c r="AF1104" i="2" s="1"/>
  <c r="AF568" i="2" s="1"/>
  <c r="DO907" i="5"/>
  <c r="DO1086" i="5" s="1"/>
  <c r="IP831" i="5"/>
  <c r="AC1137" i="2" s="1"/>
  <c r="IV763" i="5"/>
  <c r="AE1069" i="2" s="1"/>
  <c r="AF1903" i="2" s="1"/>
  <c r="IP808" i="5"/>
  <c r="AC1114" i="2" s="1"/>
  <c r="AG680" i="2"/>
  <c r="KZ754" i="5"/>
  <c r="KZ906" i="5" s="1"/>
  <c r="KZ1085" i="5" s="1"/>
  <c r="IY831" i="5"/>
  <c r="AF1137" i="2" s="1"/>
  <c r="IG769" i="5"/>
  <c r="Z1075" i="2" s="1"/>
  <c r="Z485" i="2" s="1"/>
  <c r="IP823" i="5"/>
  <c r="AC1129" i="2" s="1"/>
  <c r="AC1412" i="2" s="1"/>
  <c r="AC1501" i="2" s="1"/>
  <c r="CH1240" i="5"/>
  <c r="CR813" i="5"/>
  <c r="CR1078" i="5" s="1"/>
  <c r="AN1232" i="5"/>
  <c r="IS817" i="5"/>
  <c r="AD1123" i="2" s="1"/>
  <c r="IY820" i="5"/>
  <c r="AF1126" i="2" s="1"/>
  <c r="AF1410" i="2" s="1"/>
  <c r="AF1499" i="2" s="1"/>
  <c r="DH621" i="5"/>
  <c r="DH1249" i="5" s="1"/>
  <c r="IM806" i="5"/>
  <c r="AB1112" i="2" s="1"/>
  <c r="IG802" i="5"/>
  <c r="Z1108" i="2" s="1"/>
  <c r="Z1402" i="2" s="1"/>
  <c r="Z1491" i="2" s="1"/>
  <c r="AA658" i="5"/>
  <c r="AA665" i="5" s="1"/>
  <c r="AA737" i="5" s="1"/>
  <c r="IG829" i="5"/>
  <c r="Z1135" i="2" s="1"/>
  <c r="EW813" i="5"/>
  <c r="EW1078" i="5" s="1"/>
  <c r="CT1239" i="5"/>
  <c r="IT889" i="5"/>
  <c r="IT888" i="5"/>
  <c r="IG733" i="5"/>
  <c r="EY1076" i="5"/>
  <c r="AA1780" i="2"/>
  <c r="AA1823" i="2" s="1"/>
  <c r="IM843" i="5"/>
  <c r="AB1149" i="2" s="1"/>
  <c r="AB603" i="2" s="1"/>
  <c r="EU813" i="5"/>
  <c r="EU1078" i="5" s="1"/>
  <c r="DN1183" i="5"/>
  <c r="IJ1183" i="5" s="1"/>
  <c r="DT590" i="5"/>
  <c r="DT724" i="5" s="1"/>
  <c r="V1241" i="5"/>
  <c r="FJ1253" i="5"/>
  <c r="FR1088" i="5"/>
  <c r="S654" i="5"/>
  <c r="IV819" i="5"/>
  <c r="AE1125" i="2" s="1"/>
  <c r="AE1409" i="2" s="1"/>
  <c r="AE1498" i="2" s="1"/>
  <c r="Q723" i="5"/>
  <c r="H96" i="7"/>
  <c r="AG672" i="2"/>
  <c r="EI590" i="5"/>
  <c r="EI1242" i="5" s="1"/>
  <c r="AG589" i="2"/>
  <c r="AG1939" i="2"/>
  <c r="S550" i="5"/>
  <c r="S657" i="5" s="1"/>
  <c r="JH827" i="5"/>
  <c r="AI1133" i="2" s="1"/>
  <c r="IG835" i="5"/>
  <c r="Z1141" i="2" s="1"/>
  <c r="Z592" i="2" s="1"/>
  <c r="IV810" i="5"/>
  <c r="AE1116" i="2" s="1"/>
  <c r="IP767" i="5"/>
  <c r="AC1073" i="2" s="1"/>
  <c r="AC472" i="2" s="1"/>
  <c r="E94" i="7"/>
  <c r="IE733" i="5"/>
  <c r="IV994" i="5"/>
  <c r="AE1320" i="2" s="1"/>
  <c r="IP804" i="5"/>
  <c r="AC1110" i="2" s="1"/>
  <c r="FQ813" i="5"/>
  <c r="FQ1238" i="5" s="1"/>
  <c r="DK590" i="5"/>
  <c r="DK1242" i="5" s="1"/>
  <c r="S715" i="5"/>
  <c r="ID833" i="5"/>
  <c r="Y1139" i="2" s="1"/>
  <c r="Y1417" i="2" s="1"/>
  <c r="Y1506" i="2" s="1"/>
  <c r="IV876" i="5"/>
  <c r="AE1196" i="2" s="1"/>
  <c r="DJ1088" i="5"/>
  <c r="CZ1173" i="5"/>
  <c r="CZ1195" i="5" s="1"/>
  <c r="AG473" i="2"/>
  <c r="O653" i="5"/>
  <c r="IM835" i="5"/>
  <c r="AB1141" i="2" s="1"/>
  <c r="AB593" i="2" s="1"/>
  <c r="AG1909" i="2"/>
  <c r="FJ1088" i="5"/>
  <c r="FV813" i="5"/>
  <c r="FV754" i="5" s="1"/>
  <c r="EU1239" i="5"/>
  <c r="IP877" i="5"/>
  <c r="AC1198" i="2" s="1"/>
  <c r="Z657" i="5"/>
  <c r="Z730" i="5" s="1"/>
  <c r="BG754" i="5"/>
  <c r="CX720" i="5"/>
  <c r="O754" i="5"/>
  <c r="FM907" i="5"/>
  <c r="FM1086" i="5" s="1"/>
  <c r="FT1242" i="5"/>
  <c r="EV553" i="5"/>
  <c r="EV1233" i="5" s="1"/>
  <c r="EW1239" i="5"/>
  <c r="IS756" i="5"/>
  <c r="AD1062" i="2" s="1"/>
  <c r="DZ576" i="5"/>
  <c r="DZ1238" i="5" s="1"/>
  <c r="X754" i="5"/>
  <c r="CW1173" i="5"/>
  <c r="CW1195" i="5" s="1"/>
  <c r="AV1232" i="5"/>
  <c r="LB653" i="5"/>
  <c r="IM794" i="5"/>
  <c r="AB1100" i="2" s="1"/>
  <c r="AB560" i="2" s="1"/>
  <c r="CI987" i="5"/>
  <c r="CI1095" i="5" s="1"/>
  <c r="IG696" i="5"/>
  <c r="IG746" i="5" s="1"/>
  <c r="AG1470" i="2"/>
  <c r="AG1559" i="2" s="1"/>
  <c r="IG773" i="5"/>
  <c r="Z1079" i="2" s="1"/>
  <c r="Z497" i="2" s="1"/>
  <c r="IS833" i="5"/>
  <c r="AD1139" i="2" s="1"/>
  <c r="AD1909" i="2" s="1"/>
  <c r="S652" i="5"/>
  <c r="IY920" i="5"/>
  <c r="AF1241" i="2" s="1"/>
  <c r="IS846" i="5"/>
  <c r="AD1152" i="2" s="1"/>
  <c r="AE1152" i="2" s="1"/>
  <c r="AE1151" i="2" s="1"/>
  <c r="AE1419" i="2" s="1"/>
  <c r="AE1508" i="2" s="1"/>
  <c r="KZ654" i="5"/>
  <c r="DA1173" i="5"/>
  <c r="DA1195" i="5" s="1"/>
  <c r="IS809" i="5"/>
  <c r="AD1115" i="2" s="1"/>
  <c r="CW907" i="5"/>
  <c r="CW1086" i="5" s="1"/>
  <c r="IP829" i="5"/>
  <c r="AC1135" i="2" s="1"/>
  <c r="IG792" i="5"/>
  <c r="Z1098" i="2" s="1"/>
  <c r="Z556" i="2" s="1"/>
  <c r="H1232" i="5"/>
  <c r="DY621" i="5"/>
  <c r="DY1249" i="5" s="1"/>
  <c r="FI1253" i="5"/>
  <c r="AG1910" i="2"/>
  <c r="GR813" i="5"/>
  <c r="GR1238" i="5" s="1"/>
  <c r="IJ847" i="5"/>
  <c r="AA1153" i="2" s="1"/>
  <c r="IJ797" i="5"/>
  <c r="AA1103" i="2" s="1"/>
  <c r="AA565" i="2" s="1"/>
  <c r="IV820" i="5"/>
  <c r="AE1126" i="2" s="1"/>
  <c r="AE1410" i="2" s="1"/>
  <c r="AE1499" i="2" s="1"/>
  <c r="EA576" i="5"/>
  <c r="EA1238" i="5" s="1"/>
  <c r="DR1252" i="5"/>
  <c r="DC1173" i="5"/>
  <c r="DC1195" i="5" s="1"/>
  <c r="CO813" i="5"/>
  <c r="CO1078" i="5" s="1"/>
  <c r="DO1173" i="5"/>
  <c r="DO1195" i="5" s="1"/>
  <c r="GW813" i="5"/>
  <c r="GW754" i="5" s="1"/>
  <c r="D141" i="7"/>
  <c r="E141" i="7" s="1"/>
  <c r="IJ853" i="5"/>
  <c r="AA1159" i="2" s="1"/>
  <c r="I550" i="5"/>
  <c r="I714" i="5" s="1"/>
  <c r="IM772" i="5"/>
  <c r="AB1078" i="2" s="1"/>
  <c r="AB492" i="2" s="1"/>
  <c r="IY843" i="5"/>
  <c r="AF1149" i="2" s="1"/>
  <c r="AF1418" i="2" s="1"/>
  <c r="AF1507" i="2" s="1"/>
  <c r="IV830" i="5"/>
  <c r="AE1136" i="2" s="1"/>
  <c r="DN1173" i="5"/>
  <c r="IJ1173" i="5" s="1"/>
  <c r="IJ804" i="5"/>
  <c r="AA1110" i="2" s="1"/>
  <c r="AG588" i="2"/>
  <c r="AG1418" i="2"/>
  <c r="AG1507" i="2" s="1"/>
  <c r="FJ907" i="5"/>
  <c r="FJ1086" i="5" s="1"/>
  <c r="CW739" i="5"/>
  <c r="ID809" i="5"/>
  <c r="Y1115" i="2" s="1"/>
  <c r="IS920" i="5"/>
  <c r="AD1241" i="2" s="1"/>
  <c r="DQ552" i="5"/>
  <c r="IS812" i="5"/>
  <c r="AD1118" i="2" s="1"/>
  <c r="IM847" i="5"/>
  <c r="AB1153" i="2" s="1"/>
  <c r="IV901" i="5"/>
  <c r="AE1222" i="2" s="1"/>
  <c r="AE1946" i="2" s="1"/>
  <c r="O652" i="5"/>
  <c r="II947" i="5"/>
  <c r="ID777" i="5"/>
  <c r="Y1083" i="2" s="1"/>
  <c r="IS868" i="5"/>
  <c r="AD1187" i="2" s="1"/>
  <c r="AD1427" i="2" s="1"/>
  <c r="AD1516" i="2" s="1"/>
  <c r="LB652" i="5"/>
  <c r="IM823" i="5"/>
  <c r="AB1129" i="2" s="1"/>
  <c r="AB1412" i="2" s="1"/>
  <c r="AB1501" i="2" s="1"/>
  <c r="AV658" i="5"/>
  <c r="AV665" i="5" s="1"/>
  <c r="AV737" i="5" s="1"/>
  <c r="H54" i="7"/>
  <c r="IF818" i="5"/>
  <c r="DI1088" i="5"/>
  <c r="CO576" i="5"/>
  <c r="CO719" i="5" s="1"/>
  <c r="IG847" i="5"/>
  <c r="Z1153" i="2" s="1"/>
  <c r="IM1038" i="5"/>
  <c r="AB1363" i="2" s="1"/>
  <c r="AB1473" i="2" s="1"/>
  <c r="DV907" i="5"/>
  <c r="DV1086" i="5" s="1"/>
  <c r="IV845" i="5"/>
  <c r="BL754" i="5"/>
  <c r="DG1173" i="5"/>
  <c r="DG1195" i="5" s="1"/>
  <c r="CC754" i="5"/>
  <c r="CC932" i="5" s="1"/>
  <c r="IJ822" i="5"/>
  <c r="AA1128" i="2" s="1"/>
  <c r="CN1096" i="5"/>
  <c r="DB813" i="5"/>
  <c r="DB1078" i="5" s="1"/>
  <c r="IV802" i="5"/>
  <c r="AE1108" i="2" s="1"/>
  <c r="AE585" i="2" s="1"/>
  <c r="ID822" i="5"/>
  <c r="Y1128" i="2" s="1"/>
  <c r="DF552" i="5"/>
  <c r="DF715" i="5" s="1"/>
  <c r="FG813" i="5"/>
  <c r="FG1238" i="5" s="1"/>
  <c r="EZ1242" i="5"/>
  <c r="ID756" i="5"/>
  <c r="Y1062" i="2" s="1"/>
  <c r="IP806" i="5"/>
  <c r="AC1112" i="2" s="1"/>
  <c r="CO1240" i="5"/>
  <c r="U723" i="5"/>
  <c r="IM849" i="5"/>
  <c r="AB1155" i="2" s="1"/>
  <c r="AB1420" i="2" s="1"/>
  <c r="AB1509" i="2" s="1"/>
  <c r="EE1095" i="5"/>
  <c r="IS794" i="5"/>
  <c r="AD1100" i="2" s="1"/>
  <c r="AD560" i="2" s="1"/>
  <c r="IP832" i="5"/>
  <c r="AC1138" i="2" s="1"/>
  <c r="CR590" i="5"/>
  <c r="CR1242" i="5" s="1"/>
  <c r="E16" i="7"/>
  <c r="IY819" i="5"/>
  <c r="IY1079" i="5" s="1"/>
  <c r="CO628" i="5"/>
  <c r="CO621" i="5" s="1"/>
  <c r="IV767" i="5"/>
  <c r="AE1073" i="2" s="1"/>
  <c r="AE473" i="2" s="1"/>
  <c r="ID769" i="5"/>
  <c r="Y1075" i="2" s="1"/>
  <c r="Y484" i="2" s="1"/>
  <c r="IM830" i="5"/>
  <c r="AB1136" i="2" s="1"/>
  <c r="IP777" i="5"/>
  <c r="AC1083" i="2" s="1"/>
  <c r="AC511" i="2" s="1"/>
  <c r="IJ828" i="5"/>
  <c r="AA1134" i="2" s="1"/>
  <c r="ID797" i="5"/>
  <c r="Y1103" i="2" s="1"/>
  <c r="Y565" i="2" s="1"/>
  <c r="Y566" i="2" s="1"/>
  <c r="EP813" i="5"/>
  <c r="EP754" i="5" s="1"/>
  <c r="IS811" i="5"/>
  <c r="AD1117" i="2" s="1"/>
  <c r="IG767" i="5"/>
  <c r="Z1073" i="2" s="1"/>
  <c r="Z473" i="2" s="1"/>
  <c r="IY823" i="5"/>
  <c r="AF1129" i="2" s="1"/>
  <c r="AF1412" i="2" s="1"/>
  <c r="AF1501" i="2" s="1"/>
  <c r="IM948" i="5"/>
  <c r="CM813" i="5"/>
  <c r="CM754" i="5" s="1"/>
  <c r="O654" i="5"/>
  <c r="DJ813" i="5"/>
  <c r="DJ1078" i="5" s="1"/>
  <c r="FR907" i="5"/>
  <c r="FR1086" i="5" s="1"/>
  <c r="KY719" i="5"/>
  <c r="BM754" i="5"/>
  <c r="IP786" i="5"/>
  <c r="AC1092" i="2" s="1"/>
  <c r="AC541" i="2" s="1"/>
  <c r="ID830" i="5"/>
  <c r="Y1136" i="2" s="1"/>
  <c r="CZ552" i="5"/>
  <c r="CZ715" i="5" s="1"/>
  <c r="BT905" i="5"/>
  <c r="BT1084" i="5" s="1"/>
  <c r="BT925" i="5"/>
  <c r="BT1091" i="5" s="1"/>
  <c r="BU652" i="5"/>
  <c r="AF1078" i="5"/>
  <c r="BD550" i="5"/>
  <c r="BD714" i="5" s="1"/>
  <c r="IG820" i="5"/>
  <c r="Z1126" i="2" s="1"/>
  <c r="Z1410" i="2" s="1"/>
  <c r="Z1499" i="2" s="1"/>
  <c r="DJ739" i="5"/>
  <c r="AV654" i="5"/>
  <c r="IM901" i="5"/>
  <c r="AB1222" i="2" s="1"/>
  <c r="AB1432" i="2" s="1"/>
  <c r="AB1521" i="2" s="1"/>
  <c r="BD715" i="5"/>
  <c r="AO652" i="5"/>
  <c r="ID770" i="5"/>
  <c r="Y1076" i="2" s="1"/>
  <c r="IM756" i="5"/>
  <c r="AB1062" i="2" s="1"/>
  <c r="AV653" i="5"/>
  <c r="FI1242" i="5"/>
  <c r="IC1058" i="5"/>
  <c r="IC1067" i="5" s="1"/>
  <c r="ID846" i="5"/>
  <c r="Y1152" i="2" s="1"/>
  <c r="IJ829" i="5"/>
  <c r="AA1135" i="2" s="1"/>
  <c r="EF621" i="5"/>
  <c r="EF1249" i="5" s="1"/>
  <c r="IG920" i="5"/>
  <c r="Z1241" i="2" s="1"/>
  <c r="IS870" i="5"/>
  <c r="AD1189" i="2" s="1"/>
  <c r="IM903" i="5"/>
  <c r="AB1224" i="2" s="1"/>
  <c r="BD652" i="5"/>
  <c r="CY1239" i="5"/>
  <c r="IJ833" i="5"/>
  <c r="AA1139" i="2" s="1"/>
  <c r="AA1417" i="2" s="1"/>
  <c r="AA1506" i="2" s="1"/>
  <c r="ID773" i="5"/>
  <c r="Y1079" i="2" s="1"/>
  <c r="Y497" i="2" s="1"/>
  <c r="Y498" i="2" s="1"/>
  <c r="IV778" i="5"/>
  <c r="AE1084" i="2" s="1"/>
  <c r="AE514" i="2" s="1"/>
  <c r="AV652" i="5"/>
  <c r="AD1885" i="2"/>
  <c r="IP842" i="5"/>
  <c r="AC1148" i="2" s="1"/>
  <c r="IJ849" i="5"/>
  <c r="AA1155" i="2" s="1"/>
  <c r="AA1420" i="2" s="1"/>
  <c r="AA1509" i="2" s="1"/>
  <c r="AG1433" i="2"/>
  <c r="AG1522" i="2" s="1"/>
  <c r="AG561" i="2"/>
  <c r="CV907" i="5"/>
  <c r="CV1086" i="5" s="1"/>
  <c r="CQ1173" i="5"/>
  <c r="CQ1195" i="5" s="1"/>
  <c r="IS761" i="5"/>
  <c r="AD1067" i="2" s="1"/>
  <c r="IS849" i="5"/>
  <c r="AD1155" i="2" s="1"/>
  <c r="AD1420" i="2" s="1"/>
  <c r="AD1509" i="2" s="1"/>
  <c r="AE1374" i="2"/>
  <c r="AE1373" i="2" s="1"/>
  <c r="U654" i="5"/>
  <c r="CF576" i="5"/>
  <c r="CF719" i="5" s="1"/>
  <c r="IY779" i="5"/>
  <c r="AF1085" i="2" s="1"/>
  <c r="DU552" i="5"/>
  <c r="DU1232" i="5" s="1"/>
  <c r="IJ805" i="5"/>
  <c r="AA1111" i="2" s="1"/>
  <c r="IY809" i="5"/>
  <c r="AF1115" i="2" s="1"/>
  <c r="BD1232" i="5"/>
  <c r="FI1250" i="5"/>
  <c r="IS779" i="5"/>
  <c r="AD1085" i="2" s="1"/>
  <c r="IV847" i="5"/>
  <c r="DL1237" i="5"/>
  <c r="IG800" i="5"/>
  <c r="Z1106" i="2" s="1"/>
  <c r="Z577" i="2" s="1"/>
  <c r="IM876" i="5"/>
  <c r="AB1196" i="2" s="1"/>
  <c r="BD653" i="5"/>
  <c r="BA1241" i="5"/>
  <c r="DZ813" i="5"/>
  <c r="DZ1078" i="5" s="1"/>
  <c r="EE552" i="5"/>
  <c r="EE1232" i="5" s="1"/>
  <c r="JB1077" i="5"/>
  <c r="IY778" i="5"/>
  <c r="AF1084" i="2" s="1"/>
  <c r="AF515" i="2" s="1"/>
  <c r="AV715" i="5"/>
  <c r="EK552" i="5"/>
  <c r="EK1232" i="5" s="1"/>
  <c r="IS789" i="5"/>
  <c r="AD1095" i="2" s="1"/>
  <c r="AD553" i="2" s="1"/>
  <c r="U652" i="5"/>
  <c r="AE1700" i="2"/>
  <c r="AE1708" i="2" s="1"/>
  <c r="M924" i="5"/>
  <c r="M1041" i="5" s="1"/>
  <c r="M1098" i="5" s="1"/>
  <c r="ID834" i="5"/>
  <c r="Y1140" i="2" s="1"/>
  <c r="FR1242" i="5"/>
  <c r="BQ1241" i="5"/>
  <c r="IM921" i="5"/>
  <c r="AB1242" i="2" s="1"/>
  <c r="GV813" i="5"/>
  <c r="GV1238" i="5" s="1"/>
  <c r="FM813" i="5"/>
  <c r="FM1078" i="5" s="1"/>
  <c r="T653" i="5"/>
  <c r="P654" i="5"/>
  <c r="AO550" i="5"/>
  <c r="AO714" i="5" s="1"/>
  <c r="FM1253" i="5"/>
  <c r="IG778" i="5"/>
  <c r="Z1084" i="2" s="1"/>
  <c r="Z514" i="2" s="1"/>
  <c r="IJ773" i="5"/>
  <c r="AA1079" i="2" s="1"/>
  <c r="AA497" i="2" s="1"/>
  <c r="FO907" i="5"/>
  <c r="FO1086" i="5" s="1"/>
  <c r="DR681" i="5"/>
  <c r="DR742" i="5" s="1"/>
  <c r="IM920" i="5"/>
  <c r="AB1241" i="2" s="1"/>
  <c r="ID870" i="5"/>
  <c r="Y1189" i="2" s="1"/>
  <c r="X1657" i="2" s="1"/>
  <c r="ID787" i="5"/>
  <c r="Y1093" i="2" s="1"/>
  <c r="IG1018" i="5"/>
  <c r="Z1343" i="2" s="1"/>
  <c r="AO653" i="5"/>
  <c r="CZ717" i="5"/>
  <c r="E140" i="7"/>
  <c r="AO1232" i="5"/>
  <c r="EQ681" i="5"/>
  <c r="EQ1254" i="5" s="1"/>
  <c r="IE614" i="5"/>
  <c r="IV842" i="5"/>
  <c r="AE1148" i="2" s="1"/>
  <c r="AG580" i="2"/>
  <c r="IE577" i="5"/>
  <c r="IE576" i="5" s="1"/>
  <c r="IE719" i="5" s="1"/>
  <c r="IG770" i="5"/>
  <c r="Z1076" i="2" s="1"/>
  <c r="AO654" i="5"/>
  <c r="DT739" i="5"/>
  <c r="FA1242" i="5"/>
  <c r="BF653" i="5"/>
  <c r="IS786" i="5"/>
  <c r="AD1092" i="2" s="1"/>
  <c r="AD540" i="2" s="1"/>
  <c r="CY1173" i="5"/>
  <c r="CY1195" i="5" s="1"/>
  <c r="CK1252" i="5"/>
  <c r="CW1237" i="5"/>
  <c r="IP793" i="5"/>
  <c r="AC1099" i="2" s="1"/>
  <c r="H715" i="5"/>
  <c r="IY800" i="5"/>
  <c r="AF1106" i="2" s="1"/>
  <c r="AF576" i="2" s="1"/>
  <c r="DM813" i="5"/>
  <c r="DM1078" i="5" s="1"/>
  <c r="BU715" i="5"/>
  <c r="H86" i="7"/>
  <c r="EO813" i="5"/>
  <c r="EO1078" i="5" s="1"/>
  <c r="CW813" i="5"/>
  <c r="CW1078" i="5" s="1"/>
  <c r="FC1088" i="5"/>
  <c r="FC1250" i="5"/>
  <c r="AZ754" i="5"/>
  <c r="CZ1233" i="5"/>
  <c r="CZ716" i="5"/>
  <c r="JE1028" i="5"/>
  <c r="AH1353" i="2" s="1"/>
  <c r="IV801" i="5"/>
  <c r="AE1107" i="2" s="1"/>
  <c r="AE580" i="2" s="1"/>
  <c r="IY822" i="5"/>
  <c r="AF1128" i="2" s="1"/>
  <c r="DT1173" i="5"/>
  <c r="DT1195" i="5" s="1"/>
  <c r="BA658" i="5"/>
  <c r="BA731" i="5" s="1"/>
  <c r="IX947" i="5"/>
  <c r="AG603" i="2"/>
  <c r="ID799" i="5"/>
  <c r="Y1105" i="2" s="1"/>
  <c r="Y572" i="2" s="1"/>
  <c r="IG807" i="5"/>
  <c r="Z1113" i="2" s="1"/>
  <c r="IV824" i="5"/>
  <c r="AE1130" i="2" s="1"/>
  <c r="AE1413" i="2" s="1"/>
  <c r="AE1502" i="2" s="1"/>
  <c r="FH1076" i="5"/>
  <c r="E1088" i="5"/>
  <c r="DF1233" i="5"/>
  <c r="IY799" i="5"/>
  <c r="AF1105" i="2" s="1"/>
  <c r="AF572" i="2" s="1"/>
  <c r="ID804" i="5"/>
  <c r="Y1110" i="2" s="1"/>
  <c r="BU653" i="5"/>
  <c r="IG849" i="5"/>
  <c r="Z1155" i="2" s="1"/>
  <c r="Z1420" i="2" s="1"/>
  <c r="Z1509" i="2" s="1"/>
  <c r="AG1212" i="2"/>
  <c r="AG1929" i="2" s="1"/>
  <c r="AD814" i="2" s="1"/>
  <c r="BT1078" i="5"/>
  <c r="IE670" i="5"/>
  <c r="IE669" i="5" s="1"/>
  <c r="IE739" i="5" s="1"/>
  <c r="IP835" i="5"/>
  <c r="AC1141" i="2" s="1"/>
  <c r="AC592" i="2" s="1"/>
  <c r="CZ621" i="5"/>
  <c r="CZ1249" i="5" s="1"/>
  <c r="I49" i="7"/>
  <c r="K49" i="7" s="1"/>
  <c r="FP1237" i="5"/>
  <c r="BU654" i="5"/>
  <c r="K73" i="7"/>
  <c r="AG1737" i="2"/>
  <c r="CJ987" i="5"/>
  <c r="CJ1095" i="5" s="1"/>
  <c r="FQ1233" i="5"/>
  <c r="ID807" i="5"/>
  <c r="Y1113" i="2" s="1"/>
  <c r="IQ613" i="5"/>
  <c r="BQ658" i="5"/>
  <c r="BQ665" i="5" s="1"/>
  <c r="BQ737" i="5" s="1"/>
  <c r="BU550" i="5"/>
  <c r="BU657" i="5" s="1"/>
  <c r="IV773" i="5"/>
  <c r="AE1079" i="2" s="1"/>
  <c r="AG1952" i="2"/>
  <c r="U1232" i="5"/>
  <c r="IP870" i="5"/>
  <c r="AC1189" i="2" s="1"/>
  <c r="AG493" i="2"/>
  <c r="AK493" i="2" s="1"/>
  <c r="AL493" i="2" s="1"/>
  <c r="AM493" i="2" s="1"/>
  <c r="AN493" i="2" s="1"/>
  <c r="AO493" i="2" s="1"/>
  <c r="AP493" i="2" s="1"/>
  <c r="AQ493" i="2" s="1"/>
  <c r="AR493" i="2" s="1"/>
  <c r="AS493" i="2" s="1"/>
  <c r="AT493" i="2" s="1"/>
  <c r="CX576" i="5"/>
  <c r="CX1238" i="5" s="1"/>
  <c r="IV831" i="5"/>
  <c r="AE1137" i="2" s="1"/>
  <c r="CS1173" i="5"/>
  <c r="CS1195" i="5" s="1"/>
  <c r="FN1076" i="5"/>
  <c r="IY851" i="5"/>
  <c r="AF1157" i="2" s="1"/>
  <c r="IJ877" i="5"/>
  <c r="AA1198" i="2" s="1"/>
  <c r="IM919" i="5"/>
  <c r="AB1240" i="2" s="1"/>
  <c r="AB688" i="2" s="1"/>
  <c r="FG1095" i="5"/>
  <c r="BP658" i="5"/>
  <c r="IY1029" i="5"/>
  <c r="AF1354" i="2" s="1"/>
  <c r="IY671" i="5" s="1"/>
  <c r="IX671" i="5" s="1"/>
  <c r="EM813" i="5"/>
  <c r="EM1078" i="5" s="1"/>
  <c r="IV788" i="5"/>
  <c r="AE1094" i="2" s="1"/>
  <c r="AE548" i="2" s="1"/>
  <c r="IY846" i="5"/>
  <c r="AF1152" i="2" s="1"/>
  <c r="IP827" i="5"/>
  <c r="AC1133" i="2" s="1"/>
  <c r="AC588" i="2" s="1"/>
  <c r="S653" i="5"/>
  <c r="DI717" i="5"/>
  <c r="DI1237" i="5"/>
  <c r="ED621" i="5"/>
  <c r="ED1249" i="5" s="1"/>
  <c r="FV1250" i="5"/>
  <c r="FV1088" i="5"/>
  <c r="IG851" i="5"/>
  <c r="Z1157" i="2" s="1"/>
  <c r="ID772" i="5"/>
  <c r="Y1078" i="2" s="1"/>
  <c r="Y493" i="2" s="1"/>
  <c r="Y494" i="2" s="1"/>
  <c r="AC653" i="5"/>
  <c r="DO552" i="5"/>
  <c r="DO715" i="5" s="1"/>
  <c r="CV717" i="5"/>
  <c r="AD854" i="2"/>
  <c r="BP1241" i="5"/>
  <c r="FR813" i="5"/>
  <c r="FR1078" i="5" s="1"/>
  <c r="IS574" i="5"/>
  <c r="AD767" i="2" s="1"/>
  <c r="FO1088" i="5"/>
  <c r="AC1232" i="5"/>
  <c r="IS797" i="5"/>
  <c r="AD1103" i="2" s="1"/>
  <c r="AD564" i="2" s="1"/>
  <c r="IM819" i="5"/>
  <c r="AB1125" i="2" s="1"/>
  <c r="AB1409" i="2" s="1"/>
  <c r="AB1498" i="2" s="1"/>
  <c r="BL1232" i="5"/>
  <c r="IM842" i="5"/>
  <c r="AB1148" i="2" s="1"/>
  <c r="IW755" i="5"/>
  <c r="IS822" i="5"/>
  <c r="AD1128" i="2" s="1"/>
  <c r="CH739" i="5"/>
  <c r="DK813" i="5"/>
  <c r="DK1078" i="5" s="1"/>
  <c r="DQ813" i="5"/>
  <c r="DQ1078" i="5" s="1"/>
  <c r="IG831" i="5"/>
  <c r="Z1137" i="2" s="1"/>
  <c r="H658" i="5"/>
  <c r="H665" i="5" s="1"/>
  <c r="H737" i="5" s="1"/>
  <c r="AF1707" i="2"/>
  <c r="CV552" i="5"/>
  <c r="CV1232" i="5" s="1"/>
  <c r="FS1242" i="5"/>
  <c r="IS601" i="5"/>
  <c r="P52" i="7" s="1"/>
  <c r="L754" i="5"/>
  <c r="CV1173" i="5"/>
  <c r="CV1195" i="5" s="1"/>
  <c r="IS762" i="5"/>
  <c r="AD1068" i="2" s="1"/>
  <c r="IM994" i="5"/>
  <c r="AB1320" i="2" s="1"/>
  <c r="IJ772" i="5"/>
  <c r="AA1078" i="2" s="1"/>
  <c r="AA492" i="2" s="1"/>
  <c r="IS832" i="5"/>
  <c r="AD1138" i="2" s="1"/>
  <c r="IP845" i="5"/>
  <c r="AC1151" i="2" s="1"/>
  <c r="AC1419" i="2" s="1"/>
  <c r="AC1508" i="2" s="1"/>
  <c r="FB1088" i="5"/>
  <c r="FB1250" i="5"/>
  <c r="EH681" i="5"/>
  <c r="EH667" i="5" s="1"/>
  <c r="EH1256" i="5"/>
  <c r="CQ719" i="5"/>
  <c r="CQ1238" i="5"/>
  <c r="EN576" i="5"/>
  <c r="EN1238" i="5" s="1"/>
  <c r="IP948" i="5"/>
  <c r="DE720" i="5"/>
  <c r="IS769" i="5"/>
  <c r="AD1075" i="2" s="1"/>
  <c r="AD485" i="2" s="1"/>
  <c r="H124" i="7"/>
  <c r="IP800" i="5"/>
  <c r="AC1106" i="2" s="1"/>
  <c r="AC576" i="2" s="1"/>
  <c r="EW1095" i="5"/>
  <c r="IM773" i="5"/>
  <c r="AB1079" i="2" s="1"/>
  <c r="AB496" i="2" s="1"/>
  <c r="DI621" i="5"/>
  <c r="DI726" i="5" s="1"/>
  <c r="EN1251" i="5"/>
  <c r="IG877" i="5"/>
  <c r="Z1198" i="2" s="1"/>
  <c r="K59" i="7"/>
  <c r="JC1027" i="5"/>
  <c r="IP798" i="5"/>
  <c r="AC1104" i="2" s="1"/>
  <c r="AC569" i="2" s="1"/>
  <c r="JE772" i="5"/>
  <c r="AH1078" i="2" s="1"/>
  <c r="ID835" i="5"/>
  <c r="Y1141" i="2" s="1"/>
  <c r="Y593" i="2" s="1"/>
  <c r="CG590" i="5"/>
  <c r="CG724" i="5" s="1"/>
  <c r="IV771" i="5"/>
  <c r="AE1077" i="2" s="1"/>
  <c r="AX715" i="5"/>
  <c r="BF1232" i="5"/>
  <c r="IQ988" i="5"/>
  <c r="BF715" i="5"/>
  <c r="IM785" i="5"/>
  <c r="AB1091" i="2" s="1"/>
  <c r="AB537" i="2" s="1"/>
  <c r="FP1095" i="5"/>
  <c r="IP833" i="5"/>
  <c r="AC1139" i="2" s="1"/>
  <c r="AC1417" i="2" s="1"/>
  <c r="AC1506" i="2" s="1"/>
  <c r="ID851" i="5"/>
  <c r="Y1157" i="2" s="1"/>
  <c r="IG1029" i="5"/>
  <c r="Z1354" i="2" s="1"/>
  <c r="Z1470" i="2" s="1"/>
  <c r="CM987" i="5"/>
  <c r="CM1095" i="5" s="1"/>
  <c r="BF657" i="5"/>
  <c r="CX1173" i="5"/>
  <c r="CX1195" i="5" s="1"/>
  <c r="IS793" i="5"/>
  <c r="AD1099" i="2" s="1"/>
  <c r="JE1008" i="5"/>
  <c r="AH1334" i="2" s="1"/>
  <c r="IP824" i="5"/>
  <c r="AC1130" i="2" s="1"/>
  <c r="AC1413" i="2" s="1"/>
  <c r="AC1502" i="2" s="1"/>
  <c r="AA1232" i="5"/>
  <c r="BE754" i="5"/>
  <c r="CJ813" i="5"/>
  <c r="CJ1078" i="5" s="1"/>
  <c r="IM767" i="5"/>
  <c r="AB1073" i="2" s="1"/>
  <c r="AB472" i="2" s="1"/>
  <c r="EL813" i="5"/>
  <c r="EL1078" i="5" s="1"/>
  <c r="IS901" i="5"/>
  <c r="AD1222" i="2" s="1"/>
  <c r="AD1946" i="2" s="1"/>
  <c r="IJ798" i="5"/>
  <c r="AA1104" i="2" s="1"/>
  <c r="AA568" i="2" s="1"/>
  <c r="IV846" i="5"/>
  <c r="AG723" i="5"/>
  <c r="FH1242" i="5"/>
  <c r="IY788" i="5"/>
  <c r="AF1094" i="2" s="1"/>
  <c r="AF549" i="2" s="1"/>
  <c r="IY842" i="5"/>
  <c r="AF1148" i="2" s="1"/>
  <c r="BF654" i="5"/>
  <c r="IJ817" i="5"/>
  <c r="AA1123" i="2" s="1"/>
  <c r="IH814" i="5"/>
  <c r="AX658" i="5"/>
  <c r="AX731" i="5" s="1"/>
  <c r="FN1097" i="5"/>
  <c r="IP792" i="5"/>
  <c r="AC1098" i="2" s="1"/>
  <c r="AC557" i="2" s="1"/>
  <c r="AX654" i="5"/>
  <c r="DM720" i="5"/>
  <c r="IP822" i="5"/>
  <c r="AC1128" i="2" s="1"/>
  <c r="IV921" i="5"/>
  <c r="AE1242" i="2" s="1"/>
  <c r="ID901" i="5"/>
  <c r="Y1222" i="2" s="1"/>
  <c r="Y1432" i="2" s="1"/>
  <c r="Y1521" i="2" s="1"/>
  <c r="AG1241" i="5"/>
  <c r="H550" i="5"/>
  <c r="IV868" i="5"/>
  <c r="AE1187" i="2" s="1"/>
  <c r="AE1427" i="2" s="1"/>
  <c r="AE1516" i="2" s="1"/>
  <c r="DJ1095" i="5"/>
  <c r="IG901" i="5"/>
  <c r="Z1222" i="2" s="1"/>
  <c r="Z1432" i="2" s="1"/>
  <c r="Z1521" i="2" s="1"/>
  <c r="IY770" i="5"/>
  <c r="AF1076" i="2" s="1"/>
  <c r="DM576" i="5"/>
  <c r="DM1238" i="5" s="1"/>
  <c r="IS921" i="5"/>
  <c r="AD1242" i="2" s="1"/>
  <c r="AM658" i="5"/>
  <c r="AM665" i="5" s="1"/>
  <c r="AM737" i="5" s="1"/>
  <c r="IM845" i="5"/>
  <c r="AB1151" i="2" s="1"/>
  <c r="AB1419" i="2" s="1"/>
  <c r="AB1508" i="2" s="1"/>
  <c r="IY885" i="5"/>
  <c r="AF1206" i="2" s="1"/>
  <c r="AG667" i="2" s="1"/>
  <c r="IG967" i="5"/>
  <c r="Z1288" i="2" s="1"/>
  <c r="Z1664" i="2" s="1"/>
  <c r="IK947" i="5"/>
  <c r="M723" i="5"/>
  <c r="IF1058" i="5"/>
  <c r="IF1067" i="5" s="1"/>
  <c r="IJ919" i="5"/>
  <c r="AA1240" i="2" s="1"/>
  <c r="AA688" i="2" s="1"/>
  <c r="LA724" i="5"/>
  <c r="IY868" i="5"/>
  <c r="AF1187" i="2" s="1"/>
  <c r="AF1427" i="2" s="1"/>
  <c r="AF1516" i="2" s="1"/>
  <c r="ID771" i="5"/>
  <c r="Y1077" i="2" s="1"/>
  <c r="DL1173" i="5"/>
  <c r="DL1195" i="5" s="1"/>
  <c r="IM851" i="5"/>
  <c r="AB1157" i="2" s="1"/>
  <c r="EK590" i="5"/>
  <c r="IF721" i="5"/>
  <c r="IS885" i="5"/>
  <c r="AD1206" i="2" s="1"/>
  <c r="AD666" i="2" s="1"/>
  <c r="IV843" i="5"/>
  <c r="AE1149" i="2" s="1"/>
  <c r="AE602" i="2" s="1"/>
  <c r="IM877" i="5"/>
  <c r="AB1198" i="2" s="1"/>
  <c r="AB1429" i="2" s="1"/>
  <c r="AB1518" i="2" s="1"/>
  <c r="IJ948" i="5"/>
  <c r="ID788" i="5"/>
  <c r="Y1094" i="2" s="1"/>
  <c r="IY773" i="5"/>
  <c r="AF1079" i="2" s="1"/>
  <c r="AF496" i="2" s="1"/>
  <c r="DG813" i="5"/>
  <c r="DG754" i="5" s="1"/>
  <c r="DY576" i="5"/>
  <c r="DY1238" i="5" s="1"/>
  <c r="ET1095" i="5"/>
  <c r="ID948" i="5"/>
  <c r="Y1269" i="2" s="1"/>
  <c r="IG797" i="5"/>
  <c r="Z1103" i="2" s="1"/>
  <c r="Z564" i="2" s="1"/>
  <c r="AN754" i="5"/>
  <c r="IY828" i="5"/>
  <c r="AF1134" i="2" s="1"/>
  <c r="GT813" i="5"/>
  <c r="GT1238" i="5" s="1"/>
  <c r="II660" i="5"/>
  <c r="F105" i="7" s="1"/>
  <c r="IS799" i="5"/>
  <c r="AD1105" i="2" s="1"/>
  <c r="AD573" i="2" s="1"/>
  <c r="GJ813" i="5"/>
  <c r="GJ1238" i="5" s="1"/>
  <c r="J715" i="5"/>
  <c r="DW621" i="5"/>
  <c r="DW1249" i="5" s="1"/>
  <c r="DE1173" i="5"/>
  <c r="DE1195" i="5" s="1"/>
  <c r="IM763" i="5"/>
  <c r="AB1069" i="2" s="1"/>
  <c r="AB1398" i="2" s="1"/>
  <c r="AB1487" i="2" s="1"/>
  <c r="ID762" i="5"/>
  <c r="Y1068" i="2" s="1"/>
  <c r="X1640" i="2" s="1"/>
  <c r="FL1233" i="5"/>
  <c r="BM1241" i="5"/>
  <c r="AG1311" i="2"/>
  <c r="AF1722" i="2"/>
  <c r="IG868" i="5"/>
  <c r="Z1187" i="2" s="1"/>
  <c r="Z1427" i="2" s="1"/>
  <c r="Z1516" i="2" s="1"/>
  <c r="DK1249" i="5"/>
  <c r="GQ813" i="5"/>
  <c r="GQ754" i="5" s="1"/>
  <c r="EX1095" i="5"/>
  <c r="FD1242" i="5"/>
  <c r="IG876" i="5"/>
  <c r="Z1196" i="2" s="1"/>
  <c r="ID994" i="5"/>
  <c r="Y1320" i="2" s="1"/>
  <c r="FU813" i="5"/>
  <c r="FU1078" i="5" s="1"/>
  <c r="IE988" i="5"/>
  <c r="IE1096" i="5" s="1"/>
  <c r="CM716" i="5"/>
  <c r="BS1078" i="5"/>
  <c r="CR717" i="5"/>
  <c r="IG806" i="5"/>
  <c r="Z1112" i="2" s="1"/>
  <c r="IM764" i="5"/>
  <c r="AB1070" i="2" s="1"/>
  <c r="AB1399" i="2" s="1"/>
  <c r="AB1488" i="2" s="1"/>
  <c r="IM762" i="5"/>
  <c r="AB1068" i="2" s="1"/>
  <c r="IY812" i="5"/>
  <c r="AF1118" i="2" s="1"/>
  <c r="II743" i="5"/>
  <c r="IJ757" i="5"/>
  <c r="AA1063" i="2" s="1"/>
  <c r="IS699" i="5"/>
  <c r="AD919" i="2" s="1"/>
  <c r="AD1612" i="2" s="1"/>
  <c r="IY849" i="5"/>
  <c r="AF1155" i="2" s="1"/>
  <c r="AF1420" i="2" s="1"/>
  <c r="AF1509" i="2" s="1"/>
  <c r="FU1088" i="5"/>
  <c r="AF1697" i="2"/>
  <c r="R658" i="5"/>
  <c r="R731" i="5" s="1"/>
  <c r="IV799" i="5"/>
  <c r="AE1105" i="2" s="1"/>
  <c r="AE573" i="2" s="1"/>
  <c r="IM824" i="5"/>
  <c r="AB1130" i="2" s="1"/>
  <c r="AB1413" i="2" s="1"/>
  <c r="EE681" i="5"/>
  <c r="EE667" i="5" s="1"/>
  <c r="ED813" i="5"/>
  <c r="ED1078" i="5" s="1"/>
  <c r="IM869" i="5"/>
  <c r="FR1095" i="5"/>
  <c r="DH907" i="5"/>
  <c r="DH1086" i="5" s="1"/>
  <c r="DH1088" i="5"/>
  <c r="IG832" i="5"/>
  <c r="Z1138" i="2" s="1"/>
  <c r="ID828" i="5"/>
  <c r="Y1134" i="2" s="1"/>
  <c r="JA826" i="5"/>
  <c r="JA1056" i="5" s="1"/>
  <c r="JA1065" i="5" s="1"/>
  <c r="CM1233" i="5"/>
  <c r="CY552" i="5"/>
  <c r="CY1232" i="5" s="1"/>
  <c r="IS843" i="5"/>
  <c r="AD1149" i="2" s="1"/>
  <c r="AD1418" i="2" s="1"/>
  <c r="AD1507" i="2" s="1"/>
  <c r="CE590" i="5"/>
  <c r="CE724" i="5" s="1"/>
  <c r="EG576" i="5"/>
  <c r="EG1238" i="5" s="1"/>
  <c r="FG1242" i="5"/>
  <c r="IY757" i="5"/>
  <c r="AF1063" i="2" s="1"/>
  <c r="IJ786" i="5"/>
  <c r="AA1092" i="2" s="1"/>
  <c r="AA540" i="2" s="1"/>
  <c r="IJ823" i="5"/>
  <c r="AA1129" i="2" s="1"/>
  <c r="AA1412" i="2" s="1"/>
  <c r="AA1501" i="2" s="1"/>
  <c r="EK1239" i="5"/>
  <c r="FA1250" i="5"/>
  <c r="IP922" i="5"/>
  <c r="AC1243" i="2" s="1"/>
  <c r="IM829" i="5"/>
  <c r="AB1135" i="2" s="1"/>
  <c r="DP813" i="5"/>
  <c r="DP1078" i="5" s="1"/>
  <c r="EK621" i="5"/>
  <c r="EK1249" i="5" s="1"/>
  <c r="EK1251" i="5"/>
  <c r="DO1239" i="5"/>
  <c r="DO720" i="5"/>
  <c r="DO576" i="5"/>
  <c r="FR1253" i="5"/>
  <c r="BC754" i="5"/>
  <c r="IV877" i="5"/>
  <c r="AE1198" i="2" s="1"/>
  <c r="IY832" i="5"/>
  <c r="AF1138" i="2" s="1"/>
  <c r="IY763" i="5"/>
  <c r="AF1069" i="2" s="1"/>
  <c r="AG1903" i="2" s="1"/>
  <c r="DD739" i="5"/>
  <c r="BG550" i="5"/>
  <c r="BG714" i="5" s="1"/>
  <c r="IR814" i="5"/>
  <c r="DK720" i="5"/>
  <c r="IH686" i="5"/>
  <c r="D130" i="7" s="1"/>
  <c r="E130" i="7" s="1"/>
  <c r="IS807" i="5"/>
  <c r="AD1113" i="2" s="1"/>
  <c r="DP1252" i="5"/>
  <c r="ID832" i="5"/>
  <c r="Y1138" i="2" s="1"/>
  <c r="IG761" i="5"/>
  <c r="Z1067" i="2" s="1"/>
  <c r="DK719" i="5"/>
  <c r="IM885" i="5"/>
  <c r="AB1206" i="2" s="1"/>
  <c r="AB1431" i="2" s="1"/>
  <c r="AB1520" i="2" s="1"/>
  <c r="ID842" i="5"/>
  <c r="Y1148" i="2" s="1"/>
  <c r="FR1251" i="5"/>
  <c r="FR1249" i="5" s="1"/>
  <c r="EQ1095" i="5"/>
  <c r="H37" i="7"/>
  <c r="AW754" i="5"/>
  <c r="IG843" i="5"/>
  <c r="Z1149" i="2" s="1"/>
  <c r="Z602" i="2" s="1"/>
  <c r="CU1239" i="5"/>
  <c r="CU720" i="5"/>
  <c r="IS835" i="5"/>
  <c r="AD1141" i="2" s="1"/>
  <c r="AD592" i="2" s="1"/>
  <c r="BF652" i="5"/>
  <c r="IJ1094" i="5"/>
  <c r="AA1311" i="2"/>
  <c r="AA1466" i="2" s="1"/>
  <c r="AA1555" i="2" s="1"/>
  <c r="ID1028" i="5"/>
  <c r="Y1353" i="2" s="1"/>
  <c r="BW754" i="5"/>
  <c r="IJ846" i="5"/>
  <c r="AA1152" i="2" s="1"/>
  <c r="BG715" i="5"/>
  <c r="DK1239" i="5"/>
  <c r="FH1095" i="5"/>
  <c r="CR621" i="5"/>
  <c r="CR1249" i="5" s="1"/>
  <c r="DT552" i="5"/>
  <c r="DT715" i="5" s="1"/>
  <c r="CX590" i="5"/>
  <c r="CX724" i="5" s="1"/>
  <c r="II599" i="5"/>
  <c r="F50" i="7" s="1"/>
  <c r="IJ800" i="5"/>
  <c r="AA1106" i="2" s="1"/>
  <c r="AA576" i="2" s="1"/>
  <c r="BG652" i="5"/>
  <c r="CO987" i="5"/>
  <c r="CO1095" i="5" s="1"/>
  <c r="G64" i="7"/>
  <c r="H64" i="7" s="1"/>
  <c r="IC993" i="5"/>
  <c r="Y1694" i="2" s="1"/>
  <c r="IJ839" i="5"/>
  <c r="AA1145" i="2" s="1"/>
  <c r="FD813" i="5"/>
  <c r="FD754" i="5" s="1"/>
  <c r="AI1884" i="2"/>
  <c r="JE802" i="5"/>
  <c r="AH1108" i="2" s="1"/>
  <c r="AH1402" i="2" s="1"/>
  <c r="AH1491" i="2" s="1"/>
  <c r="JH764" i="5"/>
  <c r="AI1070" i="2" s="1"/>
  <c r="CR987" i="5"/>
  <c r="CR1095" i="5" s="1"/>
  <c r="IQ890" i="5"/>
  <c r="IQ891" i="5" s="1"/>
  <c r="IQ894" i="5" s="1"/>
  <c r="DR1095" i="5"/>
  <c r="DH813" i="5"/>
  <c r="DH1078" i="5" s="1"/>
  <c r="IJ789" i="5"/>
  <c r="AA1095" i="2" s="1"/>
  <c r="AA552" i="2" s="1"/>
  <c r="AH658" i="5"/>
  <c r="AH731" i="5" s="1"/>
  <c r="AC1685" i="2"/>
  <c r="IM770" i="5"/>
  <c r="AB1076" i="2" s="1"/>
  <c r="IY919" i="5"/>
  <c r="AF1240" i="2" s="1"/>
  <c r="AG689" i="2" s="1"/>
  <c r="ID839" i="5"/>
  <c r="Y1145" i="2" s="1"/>
  <c r="FN1095" i="5"/>
  <c r="DD716" i="5"/>
  <c r="DH1097" i="5"/>
  <c r="DH1095" i="5"/>
  <c r="DP1256" i="5"/>
  <c r="DP681" i="5"/>
  <c r="DP742" i="5" s="1"/>
  <c r="FS1253" i="5"/>
  <c r="FS1097" i="5"/>
  <c r="FS1095" i="5"/>
  <c r="EK681" i="5"/>
  <c r="EK1254" i="5" s="1"/>
  <c r="EK1256" i="5"/>
  <c r="DX1095" i="5"/>
  <c r="DX1096" i="5"/>
  <c r="IJ835" i="5"/>
  <c r="AA1141" i="2" s="1"/>
  <c r="AA593" i="2" s="1"/>
  <c r="T1232" i="5"/>
  <c r="IG819" i="5"/>
  <c r="Z1125" i="2" s="1"/>
  <c r="Z1409" i="2" s="1"/>
  <c r="Z1498" i="2" s="1"/>
  <c r="FK1095" i="5"/>
  <c r="IP868" i="5"/>
  <c r="AC1187" i="2" s="1"/>
  <c r="AC1427" i="2" s="1"/>
  <c r="AC1516" i="2" s="1"/>
  <c r="F654" i="5"/>
  <c r="DN907" i="5"/>
  <c r="DN1086" i="5" s="1"/>
  <c r="DN1088" i="5"/>
  <c r="AR1232" i="5"/>
  <c r="AR715" i="5"/>
  <c r="AR550" i="5"/>
  <c r="AR714" i="5" s="1"/>
  <c r="I654" i="5"/>
  <c r="IG799" i="5"/>
  <c r="Z1105" i="2" s="1"/>
  <c r="Z573" i="2" s="1"/>
  <c r="IJ769" i="5"/>
  <c r="AA1075" i="2" s="1"/>
  <c r="AA484" i="2" s="1"/>
  <c r="EW1097" i="5"/>
  <c r="IP762" i="5"/>
  <c r="AC1068" i="2" s="1"/>
  <c r="EM1256" i="5"/>
  <c r="IV808" i="5"/>
  <c r="AE1114" i="2" s="1"/>
  <c r="IS845" i="5"/>
  <c r="AD1151" i="2" s="1"/>
  <c r="AD1419" i="2" s="1"/>
  <c r="AD1508" i="2" s="1"/>
  <c r="FM1087" i="5"/>
  <c r="CJ719" i="5"/>
  <c r="FE1088" i="5"/>
  <c r="ID824" i="5"/>
  <c r="Y1130" i="2" s="1"/>
  <c r="Y1413" i="2" s="1"/>
  <c r="Y1502" i="2" s="1"/>
  <c r="FF1088" i="5"/>
  <c r="F652" i="5"/>
  <c r="CP1237" i="5"/>
  <c r="CP717" i="5"/>
  <c r="ID827" i="5"/>
  <c r="Y1133" i="2" s="1"/>
  <c r="Y1416" i="2" s="1"/>
  <c r="Y1505" i="2" s="1"/>
  <c r="G1232" i="5"/>
  <c r="BZ723" i="5"/>
  <c r="ED907" i="5"/>
  <c r="ED1086" i="5" s="1"/>
  <c r="IN947" i="5"/>
  <c r="CF590" i="5"/>
  <c r="CF1242" i="5" s="1"/>
  <c r="AD1729" i="2"/>
  <c r="AD1700" i="2"/>
  <c r="IG763" i="5"/>
  <c r="Z1069" i="2" s="1"/>
  <c r="Z1398" i="2" s="1"/>
  <c r="Z1487" i="2" s="1"/>
  <c r="AG1978" i="2"/>
  <c r="BL658" i="5"/>
  <c r="BL731" i="5" s="1"/>
  <c r="GU813" i="5"/>
  <c r="GU754" i="5" s="1"/>
  <c r="JB1075" i="5"/>
  <c r="CJ590" i="5"/>
  <c r="CJ724" i="5" s="1"/>
  <c r="FE907" i="5"/>
  <c r="FE1086" i="5" s="1"/>
  <c r="CT728" i="5"/>
  <c r="F653" i="5"/>
  <c r="IY835" i="5"/>
  <c r="AF1141" i="2" s="1"/>
  <c r="AF593" i="2" s="1"/>
  <c r="G550" i="5"/>
  <c r="G714" i="5" s="1"/>
  <c r="IP834" i="5"/>
  <c r="AC1140" i="2" s="1"/>
  <c r="ID903" i="5"/>
  <c r="Y1224" i="2" s="1"/>
  <c r="EZ1088" i="5"/>
  <c r="EZ1250" i="5"/>
  <c r="AD1725" i="2"/>
  <c r="DJ1096" i="5"/>
  <c r="IV797" i="5"/>
  <c r="AE1103" i="2" s="1"/>
  <c r="AE565" i="2" s="1"/>
  <c r="IM625" i="5"/>
  <c r="AI550" i="5"/>
  <c r="AI714" i="5" s="1"/>
  <c r="BL550" i="5"/>
  <c r="BL657" i="5" s="1"/>
  <c r="BL652" i="5"/>
  <c r="IV1029" i="5"/>
  <c r="AE1354" i="2" s="1"/>
  <c r="AE1470" i="2" s="1"/>
  <c r="AE1559" i="2" s="1"/>
  <c r="BL654" i="5"/>
  <c r="ID765" i="5"/>
  <c r="Y1071" i="2" s="1"/>
  <c r="Y463" i="2" s="1"/>
  <c r="W652" i="5"/>
  <c r="IP1029" i="5"/>
  <c r="AC1354" i="2" s="1"/>
  <c r="AC1470" i="2" s="1"/>
  <c r="IV922" i="5"/>
  <c r="AE1243" i="2" s="1"/>
  <c r="CF1096" i="5"/>
  <c r="IM831" i="5"/>
  <c r="AB1137" i="2" s="1"/>
  <c r="JB1095" i="5"/>
  <c r="IM697" i="5"/>
  <c r="IM693" i="5"/>
  <c r="IE1058" i="5"/>
  <c r="IE1067" i="5" s="1"/>
  <c r="IM833" i="5"/>
  <c r="AB1139" i="2" s="1"/>
  <c r="AB1417" i="2" s="1"/>
  <c r="AB1506" i="2" s="1"/>
  <c r="IJ830" i="5"/>
  <c r="AA1136" i="2" s="1"/>
  <c r="CY813" i="5"/>
  <c r="CY1078" i="5" s="1"/>
  <c r="IS815" i="5"/>
  <c r="AD1121" i="2" s="1"/>
  <c r="AD1406" i="2" s="1"/>
  <c r="AD1495" i="2" s="1"/>
  <c r="S754" i="5"/>
  <c r="CS1252" i="5"/>
  <c r="IN826" i="5"/>
  <c r="CD754" i="5"/>
  <c r="BL715" i="5"/>
  <c r="KY754" i="5"/>
  <c r="KY906" i="5" s="1"/>
  <c r="KY1085" i="5" s="1"/>
  <c r="DS681" i="5"/>
  <c r="DS1254" i="5" s="1"/>
  <c r="IV792" i="5"/>
  <c r="AE1098" i="2" s="1"/>
  <c r="IS830" i="5"/>
  <c r="AD1136" i="2" s="1"/>
  <c r="Y1689" i="2"/>
  <c r="BR1232" i="5"/>
  <c r="BR654" i="5"/>
  <c r="BR715" i="5"/>
  <c r="BR652" i="5"/>
  <c r="BR550" i="5"/>
  <c r="BR714" i="5" s="1"/>
  <c r="AC715" i="5"/>
  <c r="AC654" i="5"/>
  <c r="AC652" i="5"/>
  <c r="ER1096" i="5"/>
  <c r="CN1237" i="5"/>
  <c r="IM868" i="5"/>
  <c r="AB1187" i="2" s="1"/>
  <c r="AB1427" i="2" s="1"/>
  <c r="AB1516" i="2" s="1"/>
  <c r="DD813" i="5"/>
  <c r="DD754" i="5" s="1"/>
  <c r="IS1029" i="5"/>
  <c r="AD1354" i="2" s="1"/>
  <c r="AD1470" i="2" s="1"/>
  <c r="AD1559" i="2" s="1"/>
  <c r="BL1241" i="5"/>
  <c r="IP849" i="5"/>
  <c r="AC1155" i="2" s="1"/>
  <c r="AC1420" i="2" s="1"/>
  <c r="AC1509" i="2" s="1"/>
  <c r="FQ1250" i="5"/>
  <c r="FQ1088" i="5"/>
  <c r="DF1095" i="5"/>
  <c r="IG801" i="5"/>
  <c r="Z1107" i="2" s="1"/>
  <c r="Z580" i="2" s="1"/>
  <c r="IY829" i="5"/>
  <c r="AF1135" i="2" s="1"/>
  <c r="IG827" i="5"/>
  <c r="Z1133" i="2" s="1"/>
  <c r="Z588" i="2" s="1"/>
  <c r="IS693" i="5"/>
  <c r="AD912" i="2" s="1"/>
  <c r="E1082" i="5"/>
  <c r="CL719" i="5"/>
  <c r="IS808" i="5"/>
  <c r="AD1114" i="2" s="1"/>
  <c r="BY1241" i="5"/>
  <c r="EE590" i="5"/>
  <c r="EE1242" i="5" s="1"/>
  <c r="IV812" i="5"/>
  <c r="AE1118" i="2" s="1"/>
  <c r="IF1080" i="5"/>
  <c r="IM822" i="5"/>
  <c r="AB1128" i="2" s="1"/>
  <c r="IM779" i="5"/>
  <c r="AB1085" i="2" s="1"/>
  <c r="DL1252" i="5"/>
  <c r="ET576" i="5"/>
  <c r="ET1238" i="5" s="1"/>
  <c r="IP773" i="5"/>
  <c r="AC1079" i="2" s="1"/>
  <c r="AC497" i="2" s="1"/>
  <c r="G715" i="5"/>
  <c r="CJ621" i="5"/>
  <c r="CJ1249" i="5" s="1"/>
  <c r="IM817" i="5"/>
  <c r="AB1123" i="2" s="1"/>
  <c r="IY797" i="5"/>
  <c r="AF1103" i="2" s="1"/>
  <c r="AF565" i="2" s="1"/>
  <c r="DH1173" i="5"/>
  <c r="DH1195" i="5" s="1"/>
  <c r="DH1201" i="5" s="1"/>
  <c r="ID793" i="5"/>
  <c r="Y1099" i="2" s="1"/>
  <c r="IH614" i="5"/>
  <c r="D61" i="7" s="1"/>
  <c r="IV811" i="5"/>
  <c r="AE1117" i="2" s="1"/>
  <c r="IM793" i="5"/>
  <c r="AB1099" i="2" s="1"/>
  <c r="IV777" i="5"/>
  <c r="AE1083" i="2" s="1"/>
  <c r="AE510" i="2" s="1"/>
  <c r="G654" i="5"/>
  <c r="DQ717" i="5"/>
  <c r="AX550" i="5"/>
  <c r="AX1232" i="5"/>
  <c r="IK696" i="5"/>
  <c r="IK695" i="5" s="1"/>
  <c r="I715" i="5"/>
  <c r="I1232" i="5"/>
  <c r="G652" i="5"/>
  <c r="T658" i="5"/>
  <c r="T731" i="5" s="1"/>
  <c r="IQ993" i="5"/>
  <c r="AC1695" i="2" s="1"/>
  <c r="ID868" i="5"/>
  <c r="Y1187" i="2" s="1"/>
  <c r="Y1427" i="2" s="1"/>
  <c r="Y1516" i="2" s="1"/>
  <c r="IM1035" i="5"/>
  <c r="AB1360" i="2" s="1"/>
  <c r="EX1239" i="5"/>
  <c r="IV1038" i="5"/>
  <c r="AE1363" i="2" s="1"/>
  <c r="AE1473" i="2" s="1"/>
  <c r="AE1562" i="2" s="1"/>
  <c r="IG811" i="5"/>
  <c r="Z1117" i="2" s="1"/>
  <c r="IV1003" i="5"/>
  <c r="AE1329" i="2" s="1"/>
  <c r="AE1745" i="2" s="1"/>
  <c r="DT1233" i="5"/>
  <c r="DR907" i="5"/>
  <c r="DR1086" i="5" s="1"/>
  <c r="FF1249" i="5"/>
  <c r="F715" i="5"/>
  <c r="F1232" i="5"/>
  <c r="FF1095" i="5"/>
  <c r="IG921" i="5"/>
  <c r="Z1242" i="2" s="1"/>
  <c r="IV834" i="5"/>
  <c r="AE1140" i="2" s="1"/>
  <c r="IJ802" i="5"/>
  <c r="AA1108" i="2" s="1"/>
  <c r="AA1402" i="2" s="1"/>
  <c r="AA1491" i="2" s="1"/>
  <c r="IY801" i="5"/>
  <c r="AF1107" i="2" s="1"/>
  <c r="AF581" i="2" s="1"/>
  <c r="AG582" i="2" s="1"/>
  <c r="IV798" i="5"/>
  <c r="AE1104" i="2" s="1"/>
  <c r="AE569" i="2" s="1"/>
  <c r="JE903" i="5"/>
  <c r="AH1224" i="2" s="1"/>
  <c r="IM834" i="5"/>
  <c r="AB1140" i="2" s="1"/>
  <c r="ID820" i="5"/>
  <c r="Y1126" i="2" s="1"/>
  <c r="Y1410" i="2" s="1"/>
  <c r="Y1499" i="2" s="1"/>
  <c r="I653" i="5"/>
  <c r="IS557" i="5"/>
  <c r="P12" i="7" s="1"/>
  <c r="IJ806" i="5"/>
  <c r="AA1112" i="2" s="1"/>
  <c r="R723" i="5"/>
  <c r="IM769" i="5"/>
  <c r="AB1075" i="2" s="1"/>
  <c r="AB484" i="2" s="1"/>
  <c r="IJ1178" i="5"/>
  <c r="IH947" i="5"/>
  <c r="AA654" i="5"/>
  <c r="IK889" i="5"/>
  <c r="E124" i="7"/>
  <c r="JB1080" i="5"/>
  <c r="IS831" i="5"/>
  <c r="AD1137" i="2" s="1"/>
  <c r="H653" i="5"/>
  <c r="J1232" i="5"/>
  <c r="J652" i="5"/>
  <c r="J653" i="5"/>
  <c r="J654" i="5"/>
  <c r="IY769" i="5"/>
  <c r="AF1075" i="2" s="1"/>
  <c r="AF484" i="2" s="1"/>
  <c r="IG822" i="5"/>
  <c r="Z1128" i="2" s="1"/>
  <c r="AQ1078" i="5"/>
  <c r="IY869" i="5"/>
  <c r="BI658" i="5"/>
  <c r="BI665" i="5" s="1"/>
  <c r="BI737" i="5" s="1"/>
  <c r="U550" i="5"/>
  <c r="U714" i="5" s="1"/>
  <c r="IJ801" i="5"/>
  <c r="AA1107" i="2" s="1"/>
  <c r="AA581" i="2" s="1"/>
  <c r="IG798" i="5"/>
  <c r="Z1104" i="2" s="1"/>
  <c r="Z568" i="2" s="1"/>
  <c r="JH797" i="5"/>
  <c r="AI1103" i="2" s="1"/>
  <c r="IG834" i="5"/>
  <c r="Z1140" i="2" s="1"/>
  <c r="ID829" i="5"/>
  <c r="Y1135" i="2" s="1"/>
  <c r="BQ754" i="5"/>
  <c r="D64" i="7"/>
  <c r="E64" i="7" s="1"/>
  <c r="F723" i="5"/>
  <c r="IG1038" i="5"/>
  <c r="Z1363" i="2" s="1"/>
  <c r="Z1473" i="2" s="1"/>
  <c r="DK1173" i="5"/>
  <c r="DK1195" i="5" s="1"/>
  <c r="KY987" i="5"/>
  <c r="KY1095" i="5" s="1"/>
  <c r="IJ834" i="5"/>
  <c r="AA1140" i="2" s="1"/>
  <c r="DT681" i="5"/>
  <c r="IP843" i="5"/>
  <c r="AC1149" i="2" s="1"/>
  <c r="AC1418" i="2" s="1"/>
  <c r="AC1507" i="2" s="1"/>
  <c r="IE993" i="5"/>
  <c r="Y1695" i="2" s="1"/>
  <c r="ID831" i="5"/>
  <c r="Y1137" i="2" s="1"/>
  <c r="DU681" i="5"/>
  <c r="DU1254" i="5" s="1"/>
  <c r="H654" i="5"/>
  <c r="IY870" i="5"/>
  <c r="AF1189" i="2" s="1"/>
  <c r="AF1657" i="2" s="1"/>
  <c r="H1078" i="5"/>
  <c r="IV828" i="5"/>
  <c r="AE1134" i="2" s="1"/>
  <c r="DM621" i="5"/>
  <c r="IV839" i="5"/>
  <c r="AE1145" i="2" s="1"/>
  <c r="DM1237" i="5"/>
  <c r="DM717" i="5"/>
  <c r="EV813" i="5"/>
  <c r="EV1078" i="5" s="1"/>
  <c r="H139" i="7"/>
  <c r="JH765" i="5"/>
  <c r="AI1071" i="2" s="1"/>
  <c r="BI1241" i="5"/>
  <c r="U658" i="5"/>
  <c r="U665" i="5" s="1"/>
  <c r="U737" i="5" s="1"/>
  <c r="F658" i="5"/>
  <c r="F665" i="5" s="1"/>
  <c r="F737" i="5" s="1"/>
  <c r="ID792" i="5"/>
  <c r="Y1098" i="2" s="1"/>
  <c r="Y556" i="2" s="1"/>
  <c r="JB1041" i="5"/>
  <c r="JB1098" i="5" s="1"/>
  <c r="AF1465" i="2"/>
  <c r="AF1554" i="2" s="1"/>
  <c r="AL652" i="5"/>
  <c r="BI723" i="5"/>
  <c r="U715" i="5"/>
  <c r="IM827" i="5"/>
  <c r="AB1133" i="2" s="1"/>
  <c r="AB1416" i="2" s="1"/>
  <c r="AB1505" i="2" s="1"/>
  <c r="IV832" i="5"/>
  <c r="AE1138" i="2" s="1"/>
  <c r="IS828" i="5"/>
  <c r="AD1134" i="2" s="1"/>
  <c r="FO813" i="5"/>
  <c r="FO754" i="5" s="1"/>
  <c r="FA1095" i="5"/>
  <c r="IB988" i="5"/>
  <c r="IP901" i="5"/>
  <c r="AC1222" i="2" s="1"/>
  <c r="AC1432" i="2" s="1"/>
  <c r="IM639" i="5"/>
  <c r="IP828" i="5"/>
  <c r="AC1134" i="2" s="1"/>
  <c r="IV770" i="5"/>
  <c r="AE1076" i="2" s="1"/>
  <c r="IF608" i="5"/>
  <c r="C57" i="7" s="1"/>
  <c r="IM811" i="5"/>
  <c r="AB1117" i="2" s="1"/>
  <c r="JF993" i="5"/>
  <c r="AH1695" i="2" s="1"/>
  <c r="IJ771" i="5"/>
  <c r="AA1077" i="2" s="1"/>
  <c r="IV903" i="5"/>
  <c r="AE1224" i="2" s="1"/>
  <c r="EO621" i="5"/>
  <c r="EO1249" i="5" s="1"/>
  <c r="CT1173" i="5"/>
  <c r="CT1195" i="5" s="1"/>
  <c r="ER813" i="5"/>
  <c r="ER1078" i="5" s="1"/>
  <c r="IV761" i="5"/>
  <c r="AE1067" i="2" s="1"/>
  <c r="CY576" i="5"/>
  <c r="CY719" i="5" s="1"/>
  <c r="T654" i="5"/>
  <c r="FJ1242" i="5"/>
  <c r="IG828" i="5"/>
  <c r="Z1134" i="2" s="1"/>
  <c r="AP98" i="19"/>
  <c r="AG64" i="19"/>
  <c r="AJ64" i="19" s="1"/>
  <c r="AG573" i="2"/>
  <c r="AK573" i="2" s="1"/>
  <c r="AL573" i="2" s="1"/>
  <c r="AP1471" i="2"/>
  <c r="AP1560" i="2" s="1"/>
  <c r="AP1124" i="2"/>
  <c r="AP1410" i="2"/>
  <c r="AP1465" i="2"/>
  <c r="AP1554" i="2" s="1"/>
  <c r="AG1375" i="2"/>
  <c r="AF1730" i="2"/>
  <c r="AA1685" i="2"/>
  <c r="AA1627" i="2"/>
  <c r="AO1277" i="2"/>
  <c r="AP1088" i="2"/>
  <c r="AF1375" i="2"/>
  <c r="AG81" i="19"/>
  <c r="AJ81" i="19" s="1"/>
  <c r="AG99" i="19"/>
  <c r="AJ99" i="19" s="1"/>
  <c r="AG16" i="19"/>
  <c r="AJ16" i="19" s="1"/>
  <c r="AG23" i="19"/>
  <c r="AJ23" i="19" s="1"/>
  <c r="AG42" i="19"/>
  <c r="AJ42" i="19" s="1"/>
  <c r="AG13" i="19"/>
  <c r="AJ13" i="19" s="1"/>
  <c r="AP1272" i="2"/>
  <c r="KC951" i="5" s="1"/>
  <c r="AP13" i="19"/>
  <c r="AS13" i="19" s="1"/>
  <c r="AP15" i="19"/>
  <c r="AS15" i="19" s="1"/>
  <c r="AR111" i="19"/>
  <c r="AP106" i="19"/>
  <c r="AS106" i="19" s="1"/>
  <c r="AP81" i="19"/>
  <c r="AS81" i="19" s="1"/>
  <c r="AF1733" i="2"/>
  <c r="AP73" i="19"/>
  <c r="AP108" i="19"/>
  <c r="AS108" i="19" s="1"/>
  <c r="AG17" i="19"/>
  <c r="AJ17" i="19" s="1"/>
  <c r="AG1697" i="2"/>
  <c r="AG568" i="2"/>
  <c r="AP36" i="19"/>
  <c r="AS36" i="19" s="1"/>
  <c r="AP33" i="19"/>
  <c r="AS33" i="19" s="1"/>
  <c r="AP82" i="19"/>
  <c r="AG519" i="2"/>
  <c r="AP100" i="19"/>
  <c r="AP29" i="19"/>
  <c r="AP99" i="19"/>
  <c r="AG96" i="19"/>
  <c r="AJ96" i="19" s="1"/>
  <c r="AG552" i="2"/>
  <c r="AG98" i="19"/>
  <c r="AJ98" i="19" s="1"/>
  <c r="AP16" i="19"/>
  <c r="AS16" i="19" s="1"/>
  <c r="AP42" i="19"/>
  <c r="AS42" i="19" s="1"/>
  <c r="AB1685" i="2"/>
  <c r="AG82" i="19"/>
  <c r="AJ82" i="19" s="1"/>
  <c r="AH1652" i="2"/>
  <c r="AG1884" i="2"/>
  <c r="BG21" i="19"/>
  <c r="BI21" i="19" s="1"/>
  <c r="D77" i="19"/>
  <c r="F77" i="19" s="1"/>
  <c r="AP17" i="19"/>
  <c r="AS17" i="19" s="1"/>
  <c r="AH1374" i="2"/>
  <c r="AG100" i="19"/>
  <c r="AJ100" i="19" s="1"/>
  <c r="AG108" i="19"/>
  <c r="AJ108" i="19" s="1"/>
  <c r="O93" i="19"/>
  <c r="N93" i="19" s="1"/>
  <c r="AN1408" i="2"/>
  <c r="AN1497" i="2" s="1"/>
  <c r="AX93" i="19"/>
  <c r="AZ93" i="19" s="1"/>
  <c r="AG106" i="19"/>
  <c r="AJ106" i="19" s="1"/>
  <c r="AX77" i="19"/>
  <c r="AZ77" i="19" s="1"/>
  <c r="AO77" i="19"/>
  <c r="AQ77" i="19" s="1"/>
  <c r="AO1470" i="2"/>
  <c r="AR15" i="19"/>
  <c r="AR13" i="19"/>
  <c r="BA13" i="19"/>
  <c r="AY13" i="19"/>
  <c r="BB13" i="19" s="1"/>
  <c r="BJ12" i="19"/>
  <c r="BH12" i="19"/>
  <c r="BK12" i="19" s="1"/>
  <c r="AO1405" i="2"/>
  <c r="BG14" i="19"/>
  <c r="BI14" i="19" s="1"/>
  <c r="BA105" i="19"/>
  <c r="AY105" i="19"/>
  <c r="BB105" i="19" s="1"/>
  <c r="BG103" i="19"/>
  <c r="BI103" i="19" s="1"/>
  <c r="BH16" i="19"/>
  <c r="BK16" i="19" s="1"/>
  <c r="BJ16" i="19"/>
  <c r="EP1256" i="5"/>
  <c r="EP681" i="5"/>
  <c r="EP667" i="5" s="1"/>
  <c r="IS673" i="5"/>
  <c r="P117" i="7" s="1"/>
  <c r="BN754" i="5"/>
  <c r="DA590" i="5"/>
  <c r="DA1242" i="5" s="1"/>
  <c r="FN1088" i="5"/>
  <c r="FN1250" i="5"/>
  <c r="IG779" i="5"/>
  <c r="Z1085" i="2" s="1"/>
  <c r="CF1253" i="5"/>
  <c r="CF739" i="5"/>
  <c r="DT716" i="5"/>
  <c r="DB621" i="5"/>
  <c r="DB726" i="5" s="1"/>
  <c r="DP1088" i="5"/>
  <c r="DP907" i="5"/>
  <c r="DP1086" i="5" s="1"/>
  <c r="AW1232" i="5"/>
  <c r="AW653" i="5"/>
  <c r="AW715" i="5"/>
  <c r="AW654" i="5"/>
  <c r="CA654" i="5"/>
  <c r="BK754" i="5"/>
  <c r="IP819" i="5"/>
  <c r="AC1125" i="2" s="1"/>
  <c r="AC1409" i="2" s="1"/>
  <c r="AC1498" i="2" s="1"/>
  <c r="AL653" i="5"/>
  <c r="AL715" i="5"/>
  <c r="AL550" i="5"/>
  <c r="AL714" i="5" s="1"/>
  <c r="IM820" i="5"/>
  <c r="AB1126" i="2" s="1"/>
  <c r="AB1410" i="2" s="1"/>
  <c r="AB1499" i="2" s="1"/>
  <c r="ID808" i="5"/>
  <c r="Y1114" i="2" s="1"/>
  <c r="BW653" i="5"/>
  <c r="IV919" i="5"/>
  <c r="AE1240" i="2" s="1"/>
  <c r="AE688" i="2" s="1"/>
  <c r="AE1241" i="5"/>
  <c r="IJ811" i="5"/>
  <c r="AA1117" i="2" s="1"/>
  <c r="ID845" i="5"/>
  <c r="Y1151" i="2" s="1"/>
  <c r="Y1419" i="2" s="1"/>
  <c r="Y1508" i="2" s="1"/>
  <c r="BW654" i="5"/>
  <c r="IY805" i="5"/>
  <c r="AF1111" i="2" s="1"/>
  <c r="BW652" i="5"/>
  <c r="AE658" i="5"/>
  <c r="AE665" i="5" s="1"/>
  <c r="AE737" i="5" s="1"/>
  <c r="FD1237" i="5"/>
  <c r="GN906" i="5"/>
  <c r="IM573" i="5"/>
  <c r="O723" i="5"/>
  <c r="BW715" i="5"/>
  <c r="IL670" i="5"/>
  <c r="I115" i="7" s="1"/>
  <c r="K115" i="7" s="1"/>
  <c r="IY789" i="5"/>
  <c r="AF1095" i="2" s="1"/>
  <c r="AF552" i="2" s="1"/>
  <c r="IV809" i="5"/>
  <c r="AE1115" i="2" s="1"/>
  <c r="AG1248" i="2"/>
  <c r="AG1447" i="2" s="1"/>
  <c r="AG1536" i="2" s="1"/>
  <c r="IP846" i="5"/>
  <c r="AC1152" i="2" s="1"/>
  <c r="CZ590" i="5"/>
  <c r="CZ1242" i="5" s="1"/>
  <c r="IJ626" i="5"/>
  <c r="AA832" i="2" s="1"/>
  <c r="BW550" i="5"/>
  <c r="BW714" i="5" s="1"/>
  <c r="EF1095" i="5"/>
  <c r="IP801" i="5"/>
  <c r="AC1107" i="2" s="1"/>
  <c r="AC581" i="2" s="1"/>
  <c r="II1207" i="5"/>
  <c r="IS824" i="5"/>
  <c r="AD1130" i="2" s="1"/>
  <c r="AD1413" i="2" s="1"/>
  <c r="AD1502" i="2" s="1"/>
  <c r="FQ1253" i="5"/>
  <c r="R754" i="5"/>
  <c r="R932" i="5" s="1"/>
  <c r="CR947" i="5"/>
  <c r="IE948" i="5"/>
  <c r="CR1093" i="5"/>
  <c r="IJ869" i="5"/>
  <c r="FQ1095" i="5"/>
  <c r="IJ615" i="5"/>
  <c r="AA819" i="2" s="1"/>
  <c r="AA685" i="2" s="1"/>
  <c r="P653" i="5"/>
  <c r="IO818" i="5"/>
  <c r="AG95" i="19"/>
  <c r="AJ95" i="19" s="1"/>
  <c r="IK890" i="5"/>
  <c r="IM890" i="5" s="1"/>
  <c r="DQ1253" i="5"/>
  <c r="DQ739" i="5"/>
  <c r="AG1226" i="2"/>
  <c r="IG919" i="5"/>
  <c r="Z1240" i="2" s="1"/>
  <c r="Z688" i="2" s="1"/>
  <c r="IJ556" i="5"/>
  <c r="AA749" i="2" s="1"/>
  <c r="AA443" i="2" s="1"/>
  <c r="M1078" i="5"/>
  <c r="IS772" i="5"/>
  <c r="AD1078" i="2" s="1"/>
  <c r="AD493" i="2" s="1"/>
  <c r="BF658" i="5"/>
  <c r="IY834" i="5"/>
  <c r="AF1140" i="2" s="1"/>
  <c r="GZ813" i="5"/>
  <c r="GZ754" i="5" s="1"/>
  <c r="IP764" i="5"/>
  <c r="AC1070" i="2" s="1"/>
  <c r="AC1399" i="2" s="1"/>
  <c r="AC1488" i="2" s="1"/>
  <c r="IP797" i="5"/>
  <c r="AC1103" i="2" s="1"/>
  <c r="AC564" i="2" s="1"/>
  <c r="IG570" i="5"/>
  <c r="IG717" i="5" s="1"/>
  <c r="DH1237" i="5"/>
  <c r="JF814" i="5"/>
  <c r="IG808" i="5"/>
  <c r="Z1114" i="2" s="1"/>
  <c r="CH1252" i="5"/>
  <c r="CH728" i="5"/>
  <c r="AN698" i="2"/>
  <c r="CO552" i="5"/>
  <c r="CO715" i="5" s="1"/>
  <c r="IF850" i="5"/>
  <c r="IF1082" i="5" s="1"/>
  <c r="IM797" i="5"/>
  <c r="AB1103" i="2" s="1"/>
  <c r="AB564" i="2" s="1"/>
  <c r="BR754" i="5"/>
  <c r="CH590" i="5"/>
  <c r="CH1242" i="5" s="1"/>
  <c r="IP885" i="5"/>
  <c r="AC1206" i="2" s="1"/>
  <c r="AC666" i="2" s="1"/>
  <c r="N723" i="5"/>
  <c r="H83" i="7"/>
  <c r="DK1088" i="5"/>
  <c r="DK907" i="5"/>
  <c r="DK1086" i="5" s="1"/>
  <c r="AW1241" i="5"/>
  <c r="AW723" i="5"/>
  <c r="IG787" i="5"/>
  <c r="Z1093" i="2" s="1"/>
  <c r="FM1233" i="5"/>
  <c r="FM1076" i="5"/>
  <c r="IS768" i="5"/>
  <c r="AD1074" i="2" s="1"/>
  <c r="AD477" i="2" s="1"/>
  <c r="AD754" i="5"/>
  <c r="IN1028" i="5"/>
  <c r="IS617" i="5"/>
  <c r="AD821" i="2" s="1"/>
  <c r="AD955" i="2" s="1"/>
  <c r="IJ993" i="5"/>
  <c r="AA1319" i="2" s="1"/>
  <c r="AA1696" i="2" s="1"/>
  <c r="FO1076" i="5"/>
  <c r="FO1233" i="5"/>
  <c r="GX906" i="5"/>
  <c r="DI553" i="5"/>
  <c r="DI1233" i="5" s="1"/>
  <c r="IS839" i="5"/>
  <c r="AD1145" i="2" s="1"/>
  <c r="AF723" i="5"/>
  <c r="CE813" i="5"/>
  <c r="CE1078" i="5" s="1"/>
  <c r="EO606" i="5"/>
  <c r="EO1247" i="5" s="1"/>
  <c r="AE1311" i="2"/>
  <c r="AW550" i="5"/>
  <c r="AW657" i="5" s="1"/>
  <c r="AW664" i="5" s="1"/>
  <c r="FK1237" i="5"/>
  <c r="FK1232" i="5" s="1"/>
  <c r="JG994" i="5"/>
  <c r="DI1173" i="5"/>
  <c r="DI1195" i="5" s="1"/>
  <c r="IM804" i="5"/>
  <c r="AB1110" i="2" s="1"/>
  <c r="IJ699" i="5"/>
  <c r="AA919" i="2" s="1"/>
  <c r="EL576" i="5"/>
  <c r="EL1238" i="5" s="1"/>
  <c r="AU754" i="5"/>
  <c r="AI1737" i="2"/>
  <c r="IP886" i="5"/>
  <c r="AT657" i="5"/>
  <c r="AT730" i="5" s="1"/>
  <c r="AH652" i="5"/>
  <c r="H12" i="7"/>
  <c r="IJ845" i="5"/>
  <c r="AA1151" i="2" s="1"/>
  <c r="AA1419" i="2" s="1"/>
  <c r="AA1508" i="2" s="1"/>
  <c r="ES813" i="5"/>
  <c r="ES1078" i="5" s="1"/>
  <c r="AF658" i="5"/>
  <c r="AF731" i="5" s="1"/>
  <c r="BP657" i="5"/>
  <c r="AG1734" i="2"/>
  <c r="AW652" i="5"/>
  <c r="CQ739" i="5"/>
  <c r="JE778" i="5"/>
  <c r="AH1084" i="2" s="1"/>
  <c r="AH514" i="2" s="1"/>
  <c r="IM800" i="5"/>
  <c r="AB1106" i="2" s="1"/>
  <c r="AB577" i="2" s="1"/>
  <c r="IS829" i="5"/>
  <c r="AD1135" i="2" s="1"/>
  <c r="JD1027" i="5"/>
  <c r="ID768" i="5"/>
  <c r="Y1074" i="2" s="1"/>
  <c r="Y476" i="2" s="1"/>
  <c r="JH815" i="5"/>
  <c r="AI1121" i="2" s="1"/>
  <c r="AI1406" i="2" s="1"/>
  <c r="AI1495" i="2" s="1"/>
  <c r="FP1076" i="5"/>
  <c r="H26" i="7"/>
  <c r="DR576" i="5"/>
  <c r="DR719" i="5" s="1"/>
  <c r="EV1256" i="5"/>
  <c r="EX813" i="5"/>
  <c r="EX1078" i="5" s="1"/>
  <c r="EJ813" i="5"/>
  <c r="EJ1078" i="5" s="1"/>
  <c r="AW658" i="5"/>
  <c r="AW665" i="5" s="1"/>
  <c r="AW737" i="5" s="1"/>
  <c r="IP799" i="5"/>
  <c r="AC1105" i="2" s="1"/>
  <c r="AC572" i="2" s="1"/>
  <c r="ER1095" i="5"/>
  <c r="BM654" i="5"/>
  <c r="EH1095" i="5"/>
  <c r="IN890" i="5"/>
  <c r="IP890" i="5" s="1"/>
  <c r="ID805" i="5"/>
  <c r="Y1111" i="2" s="1"/>
  <c r="CY1252" i="5"/>
  <c r="IS792" i="5"/>
  <c r="AD1098" i="2" s="1"/>
  <c r="IG809" i="5"/>
  <c r="Z1115" i="2" s="1"/>
  <c r="BM653" i="5"/>
  <c r="JE801" i="5"/>
  <c r="AH1107" i="2" s="1"/>
  <c r="AA754" i="5"/>
  <c r="IN993" i="5"/>
  <c r="AB1695" i="2" s="1"/>
  <c r="IJ762" i="5"/>
  <c r="AA1068" i="2" s="1"/>
  <c r="IG885" i="5"/>
  <c r="Z1206" i="2" s="1"/>
  <c r="Z666" i="2" s="1"/>
  <c r="IC886" i="5"/>
  <c r="IC890" i="5" s="1"/>
  <c r="IC891" i="5" s="1"/>
  <c r="IC892" i="5" s="1"/>
  <c r="FC1242" i="5"/>
  <c r="CO1237" i="5"/>
  <c r="CO717" i="5"/>
  <c r="IV779" i="5"/>
  <c r="AE1085" i="2" s="1"/>
  <c r="AN1470" i="2"/>
  <c r="AN1559" i="2" s="1"/>
  <c r="X94" i="19"/>
  <c r="AA94" i="19" s="1"/>
  <c r="AG1652" i="2"/>
  <c r="AG455" i="2"/>
  <c r="Z1707" i="2"/>
  <c r="JO1028" i="5"/>
  <c r="AA1725" i="2"/>
  <c r="AI846" i="2"/>
  <c r="JH639" i="5" s="1"/>
  <c r="JF639" i="5" s="1"/>
  <c r="JG639" i="5" s="1"/>
  <c r="AF1704" i="2"/>
  <c r="AF1702" i="2" s="1"/>
  <c r="AF1706" i="2" s="1"/>
  <c r="AJ1413" i="2"/>
  <c r="AJ1502" i="2" s="1"/>
  <c r="D108" i="19"/>
  <c r="F108" i="19" s="1"/>
  <c r="AG1439" i="2"/>
  <c r="AG1528" i="2" s="1"/>
  <c r="AF1374" i="2"/>
  <c r="JM816" i="5"/>
  <c r="JR1028" i="5"/>
  <c r="P90" i="19"/>
  <c r="R90" i="19" s="1"/>
  <c r="P94" i="19"/>
  <c r="R94" i="19" s="1"/>
  <c r="P95" i="19"/>
  <c r="R95" i="19" s="1"/>
  <c r="JS1018" i="5"/>
  <c r="AM96" i="19"/>
  <c r="AN96" i="19" s="1"/>
  <c r="JO1008" i="5"/>
  <c r="AD94" i="19"/>
  <c r="AG1408" i="2"/>
  <c r="AG1497" i="2" s="1"/>
  <c r="JS881" i="5"/>
  <c r="AM42" i="19"/>
  <c r="AN42" i="19" s="1"/>
  <c r="JP1018" i="5"/>
  <c r="AD96" i="19"/>
  <c r="AE96" i="19" s="1"/>
  <c r="JP816" i="5"/>
  <c r="X95" i="19"/>
  <c r="AA95" i="19" s="1"/>
  <c r="AP12" i="19"/>
  <c r="AS12" i="19" s="1"/>
  <c r="X105" i="19"/>
  <c r="AA105" i="19" s="1"/>
  <c r="AG15" i="19"/>
  <c r="AJ15" i="19" s="1"/>
  <c r="E110" i="19"/>
  <c r="G110" i="19" s="1"/>
  <c r="E28" i="19"/>
  <c r="G28" i="19" s="1"/>
  <c r="P30" i="19"/>
  <c r="R30" i="19" s="1"/>
  <c r="AG510" i="2"/>
  <c r="AG511" i="2"/>
  <c r="AH511" i="2" s="1"/>
  <c r="AI511" i="2" s="1"/>
  <c r="AJ511" i="2" s="1"/>
  <c r="AK511" i="2" s="1"/>
  <c r="CE1252" i="5"/>
  <c r="CE728" i="5"/>
  <c r="I94" i="7"/>
  <c r="K94" i="7" s="1"/>
  <c r="IM649" i="5"/>
  <c r="O140" i="7"/>
  <c r="IS698" i="5"/>
  <c r="P140" i="7" s="1"/>
  <c r="DJ1251" i="5"/>
  <c r="DJ621" i="5"/>
  <c r="DJ726" i="5" s="1"/>
  <c r="ER621" i="5"/>
  <c r="ER1249" i="5" s="1"/>
  <c r="ER1251" i="5"/>
  <c r="E26" i="7"/>
  <c r="DD1251" i="5"/>
  <c r="DD621" i="5"/>
  <c r="DD1249" i="5" s="1"/>
  <c r="EF576" i="5"/>
  <c r="EF1238" i="5" s="1"/>
  <c r="EF1239" i="5"/>
  <c r="FM1077" i="5"/>
  <c r="FM1237" i="5"/>
  <c r="AG1691" i="2"/>
  <c r="AG1689" i="2" s="1"/>
  <c r="AG1748" i="2"/>
  <c r="AG1746" i="2" s="1"/>
  <c r="EW1087" i="5"/>
  <c r="EW907" i="5"/>
  <c r="EW1086" i="5" s="1"/>
  <c r="DL576" i="5"/>
  <c r="DL719" i="5" s="1"/>
  <c r="DL720" i="5"/>
  <c r="DL1239" i="5"/>
  <c r="AG1700" i="2"/>
  <c r="AG1374" i="2"/>
  <c r="DH1252" i="5"/>
  <c r="DH728" i="5"/>
  <c r="ED1096" i="5"/>
  <c r="ED1095" i="5"/>
  <c r="DT1252" i="5"/>
  <c r="DT728" i="5"/>
  <c r="AC1729" i="2"/>
  <c r="AC1374" i="2"/>
  <c r="AC1373" i="2" s="1"/>
  <c r="AC1700" i="2"/>
  <c r="AC1708" i="2" s="1"/>
  <c r="IF948" i="5"/>
  <c r="CY1093" i="5"/>
  <c r="CY947" i="5"/>
  <c r="CY1092" i="5" s="1"/>
  <c r="EJ1233" i="5"/>
  <c r="EJ552" i="5"/>
  <c r="EJ1232" i="5" s="1"/>
  <c r="CY1233" i="5"/>
  <c r="CY716" i="5"/>
  <c r="AG665" i="5"/>
  <c r="AG737" i="5" s="1"/>
  <c r="AG731" i="5"/>
  <c r="IJ885" i="5"/>
  <c r="AA1206" i="2" s="1"/>
  <c r="EL1247" i="5"/>
  <c r="EL590" i="5"/>
  <c r="FN1244" i="5"/>
  <c r="FN1242" i="5" s="1"/>
  <c r="IW853" i="5"/>
  <c r="IY853" i="5" s="1"/>
  <c r="AF1159" i="2" s="1"/>
  <c r="FN850" i="5"/>
  <c r="FN1082" i="5" s="1"/>
  <c r="IS647" i="5"/>
  <c r="P93" i="7" s="1"/>
  <c r="FA1251" i="5"/>
  <c r="FA1087" i="5"/>
  <c r="FA907" i="5"/>
  <c r="FA1086" i="5" s="1"/>
  <c r="EL1234" i="5"/>
  <c r="EL553" i="5"/>
  <c r="FL1027" i="5"/>
  <c r="IW1028" i="5"/>
  <c r="JE828" i="5"/>
  <c r="AH1134" i="2" s="1"/>
  <c r="DD1027" i="5"/>
  <c r="DD1019" i="5" s="1"/>
  <c r="DD1097" i="5" s="1"/>
  <c r="IH1028" i="5"/>
  <c r="FE1082" i="5"/>
  <c r="IU850" i="5"/>
  <c r="JE788" i="5"/>
  <c r="AH1094" i="2" s="1"/>
  <c r="IJ627" i="5"/>
  <c r="AA833" i="2" s="1"/>
  <c r="F74" i="7"/>
  <c r="H74" i="7" s="1"/>
  <c r="IH886" i="5"/>
  <c r="IH887" i="5" s="1"/>
  <c r="IH888" i="5" s="1"/>
  <c r="AE1748" i="2"/>
  <c r="IY1003" i="5"/>
  <c r="AF1329" i="2" s="1"/>
  <c r="AF1745" i="2" s="1"/>
  <c r="AE1691" i="2"/>
  <c r="L1241" i="5"/>
  <c r="L723" i="5"/>
  <c r="CG1092" i="5"/>
  <c r="IB947" i="5"/>
  <c r="CW1233" i="5"/>
  <c r="CW716" i="5"/>
  <c r="CW552" i="5"/>
  <c r="CW1232" i="5" s="1"/>
  <c r="DZ1256" i="5"/>
  <c r="DZ681" i="5"/>
  <c r="DZ1254" i="5" s="1"/>
  <c r="CH552" i="5"/>
  <c r="CH1232" i="5" s="1"/>
  <c r="BI1078" i="5"/>
  <c r="BI754" i="5"/>
  <c r="BI932" i="5" s="1"/>
  <c r="CR728" i="5"/>
  <c r="CR1252" i="5"/>
  <c r="AC1078" i="5"/>
  <c r="AC754" i="5"/>
  <c r="AC932" i="5" s="1"/>
  <c r="BS653" i="5"/>
  <c r="BS1232" i="5"/>
  <c r="BS715" i="5"/>
  <c r="BS652" i="5"/>
  <c r="EV1240" i="5"/>
  <c r="EV628" i="5"/>
  <c r="IR628" i="5" s="1"/>
  <c r="EV576" i="5"/>
  <c r="EV1238" i="5" s="1"/>
  <c r="IR582" i="5"/>
  <c r="O33" i="7" s="1"/>
  <c r="CD723" i="5"/>
  <c r="CV813" i="5"/>
  <c r="CV1078" i="5" s="1"/>
  <c r="IE814" i="5"/>
  <c r="CH717" i="5"/>
  <c r="IM572" i="5"/>
  <c r="I26" i="7"/>
  <c r="K26" i="7" s="1"/>
  <c r="ER1087" i="5"/>
  <c r="ER907" i="5"/>
  <c r="ER1086" i="5" s="1"/>
  <c r="JE764" i="5"/>
  <c r="AH1070" i="2" s="1"/>
  <c r="AH1904" i="2" s="1"/>
  <c r="AG1431" i="2"/>
  <c r="AG1520" i="2" s="1"/>
  <c r="AG666" i="2"/>
  <c r="AG1942" i="2"/>
  <c r="AO1078" i="5"/>
  <c r="AO754" i="5"/>
  <c r="DG1082" i="5"/>
  <c r="I1078" i="5"/>
  <c r="I754" i="5"/>
  <c r="JE952" i="5"/>
  <c r="AH1273" i="2" s="1"/>
  <c r="C126" i="7"/>
  <c r="IF743" i="5"/>
  <c r="EP590" i="5"/>
  <c r="AI715" i="5"/>
  <c r="AI653" i="5"/>
  <c r="AI652" i="5"/>
  <c r="II818" i="5"/>
  <c r="U1078" i="5"/>
  <c r="U754" i="5"/>
  <c r="U932" i="5" s="1"/>
  <c r="D51" i="7"/>
  <c r="IJ600" i="5"/>
  <c r="IJ1227" i="5" s="1"/>
  <c r="AG599" i="2"/>
  <c r="AG598" i="2"/>
  <c r="CV739" i="5"/>
  <c r="CV1253" i="5"/>
  <c r="EA1234" i="5"/>
  <c r="EA553" i="5"/>
  <c r="EA552" i="5" s="1"/>
  <c r="DM1234" i="5"/>
  <c r="DM553" i="5"/>
  <c r="DM716" i="5" s="1"/>
  <c r="FI1096" i="5"/>
  <c r="FI1095" i="5"/>
  <c r="FL907" i="5"/>
  <c r="FL1086" i="5" s="1"/>
  <c r="FL1251" i="5"/>
  <c r="FL1249" i="5" s="1"/>
  <c r="FL1241" i="5" s="1"/>
  <c r="FL1087" i="5"/>
  <c r="IH560" i="5"/>
  <c r="D15" i="7" s="1"/>
  <c r="EN1077" i="5"/>
  <c r="IQ803" i="5"/>
  <c r="DQ1088" i="5"/>
  <c r="DQ907" i="5"/>
  <c r="DQ1086" i="5" s="1"/>
  <c r="EN1256" i="5"/>
  <c r="EN681" i="5"/>
  <c r="EN1254" i="5" s="1"/>
  <c r="IC814" i="5"/>
  <c r="EC907" i="5"/>
  <c r="EC1086" i="5" s="1"/>
  <c r="FP813" i="5"/>
  <c r="FP754" i="5" s="1"/>
  <c r="IJ832" i="5"/>
  <c r="AA1138" i="2" s="1"/>
  <c r="FJ1233" i="5"/>
  <c r="FJ1076" i="5"/>
  <c r="BH1078" i="5"/>
  <c r="BH754" i="5"/>
  <c r="BH932" i="5" s="1"/>
  <c r="EU1096" i="5"/>
  <c r="EU1095" i="5"/>
  <c r="Z658" i="5"/>
  <c r="Z1241" i="5"/>
  <c r="O658" i="5"/>
  <c r="O731" i="5" s="1"/>
  <c r="IS877" i="5"/>
  <c r="AD1198" i="2" s="1"/>
  <c r="FB1242" i="5"/>
  <c r="DI1239" i="5"/>
  <c r="DI720" i="5"/>
  <c r="DI576" i="5"/>
  <c r="IK818" i="5"/>
  <c r="FP1233" i="5"/>
  <c r="IJ637" i="5"/>
  <c r="AA844" i="2" s="1"/>
  <c r="FE1249" i="5"/>
  <c r="V1078" i="5"/>
  <c r="V754" i="5"/>
  <c r="V932" i="5" s="1"/>
  <c r="AI1078" i="5"/>
  <c r="AI754" i="5"/>
  <c r="AI932" i="5" s="1"/>
  <c r="EW1251" i="5"/>
  <c r="EW621" i="5"/>
  <c r="EW1249" i="5" s="1"/>
  <c r="N72" i="7"/>
  <c r="IS625" i="5"/>
  <c r="P72" i="7" s="1"/>
  <c r="P550" i="5"/>
  <c r="P714" i="5" s="1"/>
  <c r="P652" i="5"/>
  <c r="P715" i="5"/>
  <c r="IY810" i="5"/>
  <c r="AF1116" i="2" s="1"/>
  <c r="JH771" i="5"/>
  <c r="AI1077" i="2" s="1"/>
  <c r="GP813" i="5"/>
  <c r="GP754" i="5" s="1"/>
  <c r="JE762" i="5"/>
  <c r="AH1068" i="2" s="1"/>
  <c r="IK614" i="5"/>
  <c r="G61" i="7" s="1"/>
  <c r="DO590" i="5"/>
  <c r="DO1242" i="5" s="1"/>
  <c r="IJ625" i="5"/>
  <c r="AA831" i="2" s="1"/>
  <c r="CL590" i="5"/>
  <c r="CL724" i="5" s="1"/>
  <c r="GS813" i="5"/>
  <c r="GS754" i="5" s="1"/>
  <c r="DX1087" i="5"/>
  <c r="DX907" i="5"/>
  <c r="DX1086" i="5" s="1"/>
  <c r="ET681" i="5"/>
  <c r="ET1254" i="5" s="1"/>
  <c r="ET1256" i="5"/>
  <c r="DY1087" i="5"/>
  <c r="DY907" i="5"/>
  <c r="DY1086" i="5" s="1"/>
  <c r="DG553" i="5"/>
  <c r="DG552" i="5" s="1"/>
  <c r="DG1234" i="5"/>
  <c r="JD1079" i="5"/>
  <c r="GW906" i="5"/>
  <c r="EF553" i="5"/>
  <c r="EF1233" i="5" s="1"/>
  <c r="CM739" i="5"/>
  <c r="EW606" i="5"/>
  <c r="EW1247" i="5" s="1"/>
  <c r="IE803" i="5"/>
  <c r="IE1077" i="5" s="1"/>
  <c r="ID767" i="5"/>
  <c r="Y1073" i="2" s="1"/>
  <c r="Y473" i="2" s="1"/>
  <c r="Y474" i="2" s="1"/>
  <c r="EG813" i="5"/>
  <c r="EG1078" i="5" s="1"/>
  <c r="ID869" i="5"/>
  <c r="Y1188" i="2" s="1"/>
  <c r="Y1428" i="2" s="1"/>
  <c r="Y1517" i="2" s="1"/>
  <c r="CP907" i="5"/>
  <c r="CP1086" i="5" s="1"/>
  <c r="IJ819" i="5"/>
  <c r="AA1125" i="2" s="1"/>
  <c r="AA1409" i="2" s="1"/>
  <c r="EU683" i="5"/>
  <c r="EU1255" i="5" s="1"/>
  <c r="IP903" i="5"/>
  <c r="AC1224" i="2" s="1"/>
  <c r="DR1239" i="5"/>
  <c r="CT590" i="5"/>
  <c r="CT724" i="5" s="1"/>
  <c r="IY1094" i="5"/>
  <c r="AF1311" i="2"/>
  <c r="FP1088" i="5"/>
  <c r="FP1250" i="5"/>
  <c r="CN739" i="5"/>
  <c r="CN1253" i="5"/>
  <c r="CY1251" i="5"/>
  <c r="CY621" i="5"/>
  <c r="AK723" i="5"/>
  <c r="AK1241" i="5"/>
  <c r="DX1251" i="5"/>
  <c r="DX621" i="5"/>
  <c r="DX1249" i="5" s="1"/>
  <c r="IW912" i="5"/>
  <c r="N52" i="7"/>
  <c r="IJ807" i="5"/>
  <c r="AA1113" i="2" s="1"/>
  <c r="IJ815" i="5"/>
  <c r="AA1121" i="2" s="1"/>
  <c r="AA1406" i="2" s="1"/>
  <c r="AA1495" i="2" s="1"/>
  <c r="ID1027" i="5"/>
  <c r="Y1352" i="2" s="1"/>
  <c r="IS1035" i="5"/>
  <c r="AD1360" i="2" s="1"/>
  <c r="IJ1029" i="5"/>
  <c r="AA1354" i="2" s="1"/>
  <c r="AA1470" i="2" s="1"/>
  <c r="IM922" i="5"/>
  <c r="AB1243" i="2" s="1"/>
  <c r="CK988" i="5"/>
  <c r="IC988" i="5" s="1"/>
  <c r="IE696" i="5"/>
  <c r="IE695" i="5" s="1"/>
  <c r="IE745" i="5" s="1"/>
  <c r="Z754" i="5"/>
  <c r="EP1239" i="5"/>
  <c r="IS680" i="5"/>
  <c r="AD898" i="2" s="1"/>
  <c r="DL813" i="5"/>
  <c r="DL1078" i="5" s="1"/>
  <c r="IJ809" i="5"/>
  <c r="AA1115" i="2" s="1"/>
  <c r="E21" i="7"/>
  <c r="CP813" i="5"/>
  <c r="CP1078" i="5" s="1"/>
  <c r="AK1078" i="5"/>
  <c r="AK754" i="5"/>
  <c r="AK932" i="5" s="1"/>
  <c r="CU1238" i="5"/>
  <c r="CU719" i="5"/>
  <c r="FO1097" i="5"/>
  <c r="FO1253" i="5"/>
  <c r="DZ1095" i="5"/>
  <c r="DZ1096" i="5"/>
  <c r="IP757" i="5"/>
  <c r="AC1063" i="2" s="1"/>
  <c r="ID815" i="5"/>
  <c r="Y1121" i="2" s="1"/>
  <c r="Y1406" i="2" s="1"/>
  <c r="Y1495" i="2" s="1"/>
  <c r="CK813" i="5"/>
  <c r="IM627" i="5"/>
  <c r="IG805" i="5"/>
  <c r="Z1111" i="2" s="1"/>
  <c r="JH912" i="5"/>
  <c r="AI1233" i="2" s="1"/>
  <c r="IY903" i="5"/>
  <c r="AF1224" i="2" s="1"/>
  <c r="IJ785" i="5"/>
  <c r="AA1091" i="2" s="1"/>
  <c r="AA537" i="2" s="1"/>
  <c r="IP853" i="5"/>
  <c r="AC1159" i="2" s="1"/>
  <c r="Q1078" i="5"/>
  <c r="Q754" i="5"/>
  <c r="Q932" i="5" s="1"/>
  <c r="DL739" i="5"/>
  <c r="DL1253" i="5"/>
  <c r="EJ1251" i="5"/>
  <c r="EJ621" i="5"/>
  <c r="EJ1249" i="5" s="1"/>
  <c r="JH832" i="5"/>
  <c r="AI1138" i="2" s="1"/>
  <c r="JG755" i="5"/>
  <c r="O657" i="5"/>
  <c r="O730" i="5" s="1"/>
  <c r="JE860" i="5"/>
  <c r="AH1166" i="2" s="1"/>
  <c r="GQ906" i="5"/>
  <c r="JE777" i="5"/>
  <c r="AH1083" i="2" s="1"/>
  <c r="AH510" i="2" s="1"/>
  <c r="GM813" i="5"/>
  <c r="GM754" i="5" s="1"/>
  <c r="JH793" i="5"/>
  <c r="AI1099" i="2" s="1"/>
  <c r="IP811" i="5"/>
  <c r="AC1117" i="2" s="1"/>
  <c r="AC1311" i="2"/>
  <c r="EA681" i="5"/>
  <c r="EA667" i="5" s="1"/>
  <c r="FN813" i="5"/>
  <c r="FN1078" i="5" s="1"/>
  <c r="FP1253" i="5"/>
  <c r="DV1087" i="5"/>
  <c r="IF696" i="5"/>
  <c r="IF746" i="5" s="1"/>
  <c r="BN652" i="5"/>
  <c r="DK1095" i="5"/>
  <c r="CN628" i="5"/>
  <c r="CN621" i="5" s="1"/>
  <c r="CN719" i="5"/>
  <c r="FE1242" i="5"/>
  <c r="FU1242" i="5"/>
  <c r="IV807" i="5"/>
  <c r="AE1113" i="2" s="1"/>
  <c r="IJ765" i="5"/>
  <c r="AA1071" i="2" s="1"/>
  <c r="AA464" i="2" s="1"/>
  <c r="FM1251" i="5"/>
  <c r="FM1249" i="5" s="1"/>
  <c r="FP1242" i="5"/>
  <c r="EF1256" i="5"/>
  <c r="IS823" i="5"/>
  <c r="AD1129" i="2" s="1"/>
  <c r="AD1412" i="2" s="1"/>
  <c r="T652" i="5"/>
  <c r="AK658" i="5"/>
  <c r="AK731" i="5" s="1"/>
  <c r="BJ723" i="5"/>
  <c r="BJ1241" i="5"/>
  <c r="EB1096" i="5"/>
  <c r="EB1095" i="5"/>
  <c r="J1078" i="5"/>
  <c r="J754" i="5"/>
  <c r="EB576" i="5"/>
  <c r="EB1238" i="5" s="1"/>
  <c r="EB1239" i="5"/>
  <c r="FB813" i="5"/>
  <c r="FB754" i="5" s="1"/>
  <c r="IF660" i="5"/>
  <c r="IF733" i="5"/>
  <c r="C106" i="7"/>
  <c r="IS767" i="5"/>
  <c r="AD1073" i="2" s="1"/>
  <c r="AD473" i="2" s="1"/>
  <c r="JE843" i="5"/>
  <c r="AH1149" i="2" s="1"/>
  <c r="AH602" i="2" s="1"/>
  <c r="G63" i="7"/>
  <c r="H63" i="7" s="1"/>
  <c r="IP763" i="5"/>
  <c r="AC1069" i="2" s="1"/>
  <c r="AD1903" i="2" s="1"/>
  <c r="CA1078" i="5"/>
  <c r="EZ1237" i="5"/>
  <c r="BV754" i="5"/>
  <c r="CN1240" i="5"/>
  <c r="IJ639" i="5"/>
  <c r="AA846" i="2" s="1"/>
  <c r="FK1076" i="5"/>
  <c r="DW576" i="5"/>
  <c r="DW1238" i="5" s="1"/>
  <c r="DW1239" i="5"/>
  <c r="FG1077" i="5"/>
  <c r="FG1237" i="5"/>
  <c r="DH720" i="5"/>
  <c r="DH576" i="5"/>
  <c r="DH1239" i="5"/>
  <c r="EC1239" i="5"/>
  <c r="EC576" i="5"/>
  <c r="EC1238" i="5" s="1"/>
  <c r="H1075" i="5"/>
  <c r="H906" i="5"/>
  <c r="H1085" i="5" s="1"/>
  <c r="HA813" i="5"/>
  <c r="HA754" i="5" s="1"/>
  <c r="DW907" i="5"/>
  <c r="DW1086" i="5" s="1"/>
  <c r="BM550" i="5"/>
  <c r="BM657" i="5" s="1"/>
  <c r="CI590" i="5"/>
  <c r="CI724" i="5" s="1"/>
  <c r="JE769" i="5"/>
  <c r="AH1075" i="2" s="1"/>
  <c r="AH484" i="2" s="1"/>
  <c r="GY813" i="5"/>
  <c r="GY754" i="5" s="1"/>
  <c r="DP590" i="5"/>
  <c r="DP724" i="5" s="1"/>
  <c r="IS819" i="5"/>
  <c r="AD1125" i="2" s="1"/>
  <c r="AD1409" i="2" s="1"/>
  <c r="EI621" i="5"/>
  <c r="EI1249" i="5" s="1"/>
  <c r="IE1079" i="5"/>
  <c r="FF1097" i="5"/>
  <c r="IF803" i="5"/>
  <c r="IF1077" i="5" s="1"/>
  <c r="FQ1237" i="5"/>
  <c r="CR1173" i="5"/>
  <c r="CR1195" i="5" s="1"/>
  <c r="IM768" i="5"/>
  <c r="AB1074" i="2" s="1"/>
  <c r="AB477" i="2" s="1"/>
  <c r="IV920" i="5"/>
  <c r="AE1241" i="2" s="1"/>
  <c r="CN721" i="5"/>
  <c r="IP876" i="5"/>
  <c r="AC1196" i="2" s="1"/>
  <c r="IG994" i="5"/>
  <c r="Z1320" i="2" s="1"/>
  <c r="DC1239" i="5"/>
  <c r="DC720" i="5"/>
  <c r="IM1094" i="5"/>
  <c r="AB1311" i="2"/>
  <c r="CD1096" i="5"/>
  <c r="CD987" i="5"/>
  <c r="CD1095" i="5" s="1"/>
  <c r="CQ1239" i="5"/>
  <c r="CQ720" i="5"/>
  <c r="G1078" i="5"/>
  <c r="G754" i="5"/>
  <c r="EY1253" i="5"/>
  <c r="EY1097" i="5"/>
  <c r="IS834" i="5"/>
  <c r="AD1140" i="2" s="1"/>
  <c r="ID876" i="5"/>
  <c r="Y1196" i="2" s="1"/>
  <c r="IM832" i="5"/>
  <c r="AB1138" i="2" s="1"/>
  <c r="JE819" i="5"/>
  <c r="AH1125" i="2" s="1"/>
  <c r="AH1409" i="2" s="1"/>
  <c r="AH1498" i="2" s="1"/>
  <c r="IJ763" i="5"/>
  <c r="AA1069" i="2" s="1"/>
  <c r="AA1398" i="2" s="1"/>
  <c r="AA1487" i="2" s="1"/>
  <c r="IV800" i="5"/>
  <c r="AE1106" i="2" s="1"/>
  <c r="AE577" i="2" s="1"/>
  <c r="JE792" i="5"/>
  <c r="AH1098" i="2" s="1"/>
  <c r="JE785" i="5"/>
  <c r="AH1091" i="2" s="1"/>
  <c r="AH536" i="2" s="1"/>
  <c r="BS658" i="5"/>
  <c r="BS665" i="5" s="1"/>
  <c r="BS737" i="5" s="1"/>
  <c r="IS685" i="5"/>
  <c r="P129" i="7" s="1"/>
  <c r="F141" i="7"/>
  <c r="FI1237" i="5"/>
  <c r="FF1253" i="5"/>
  <c r="IE599" i="5"/>
  <c r="N754" i="5"/>
  <c r="CE1096" i="5"/>
  <c r="DB590" i="5"/>
  <c r="DB1242" i="5" s="1"/>
  <c r="IM812" i="5"/>
  <c r="AB1118" i="2" s="1"/>
  <c r="CJ1173" i="5"/>
  <c r="CJ1195" i="5" s="1"/>
  <c r="X713" i="2" s="1"/>
  <c r="AP754" i="5"/>
  <c r="IE608" i="5"/>
  <c r="T550" i="5"/>
  <c r="T657" i="5" s="1"/>
  <c r="IV870" i="5"/>
  <c r="AE1189" i="2" s="1"/>
  <c r="EA1087" i="5"/>
  <c r="EA907" i="5"/>
  <c r="EA1086" i="5" s="1"/>
  <c r="AG1078" i="5"/>
  <c r="AG754" i="5"/>
  <c r="AG932" i="5" s="1"/>
  <c r="CJ739" i="5"/>
  <c r="CJ1253" i="5"/>
  <c r="BG653" i="5"/>
  <c r="BG654" i="5"/>
  <c r="AM653" i="5"/>
  <c r="AM715" i="5"/>
  <c r="AM652" i="5"/>
  <c r="AM654" i="5"/>
  <c r="DC1096" i="5"/>
  <c r="DC1095" i="5"/>
  <c r="H27" i="7"/>
  <c r="IJ812" i="5"/>
  <c r="AA1118" i="2" s="1"/>
  <c r="CP987" i="5"/>
  <c r="CP1095" i="5" s="1"/>
  <c r="ID817" i="5"/>
  <c r="Y1123" i="2" s="1"/>
  <c r="DM907" i="5"/>
  <c r="DM1086" i="5" s="1"/>
  <c r="DM1088" i="5"/>
  <c r="CT1253" i="5"/>
  <c r="CT739" i="5"/>
  <c r="EQ1251" i="5"/>
  <c r="EQ621" i="5"/>
  <c r="EQ1249" i="5" s="1"/>
  <c r="DH552" i="5"/>
  <c r="EY1242" i="5"/>
  <c r="FI1076" i="5"/>
  <c r="FI1233" i="5"/>
  <c r="BX723" i="5"/>
  <c r="BX1241" i="5"/>
  <c r="FD907" i="5"/>
  <c r="FD1086" i="5" s="1"/>
  <c r="IM616" i="5"/>
  <c r="IG794" i="5"/>
  <c r="Z1100" i="2" s="1"/>
  <c r="Z560" i="2" s="1"/>
  <c r="II577" i="5"/>
  <c r="II576" i="5" s="1"/>
  <c r="GI813" i="5"/>
  <c r="GI754" i="5" s="1"/>
  <c r="CA652" i="5"/>
  <c r="IP810" i="5"/>
  <c r="AC1116" i="2" s="1"/>
  <c r="DJ576" i="5"/>
  <c r="DJ719" i="5" s="1"/>
  <c r="EM552" i="5"/>
  <c r="EM1232" i="5" s="1"/>
  <c r="IY827" i="5"/>
  <c r="AF1133" i="2" s="1"/>
  <c r="AF588" i="2" s="1"/>
  <c r="IJ232" i="5"/>
  <c r="DG1095" i="5"/>
  <c r="CL813" i="5"/>
  <c r="CL1078" i="5" s="1"/>
  <c r="IJ870" i="5"/>
  <c r="AA1189" i="2" s="1"/>
  <c r="CN590" i="5"/>
  <c r="CN1242" i="5" s="1"/>
  <c r="IR1028" i="5"/>
  <c r="CK590" i="5"/>
  <c r="CK724" i="5" s="1"/>
  <c r="CN813" i="5"/>
  <c r="CN1078" i="5" s="1"/>
  <c r="JE877" i="5"/>
  <c r="AH1198" i="2" s="1"/>
  <c r="BJ754" i="5"/>
  <c r="CT813" i="5"/>
  <c r="CT1078" i="5" s="1"/>
  <c r="EZ813" i="5"/>
  <c r="EZ754" i="5" s="1"/>
  <c r="DD1088" i="5"/>
  <c r="DD907" i="5"/>
  <c r="DD1086" i="5" s="1"/>
  <c r="AG105" i="19"/>
  <c r="AJ105" i="19" s="1"/>
  <c r="AK1148" i="2"/>
  <c r="O14" i="19"/>
  <c r="N14" i="19" s="1"/>
  <c r="Y1700" i="2"/>
  <c r="Y1708" i="2" s="1"/>
  <c r="Y1706" i="2"/>
  <c r="Q16" i="19"/>
  <c r="AE1707" i="2"/>
  <c r="AF11" i="19"/>
  <c r="Q12" i="19"/>
  <c r="JB603" i="5"/>
  <c r="JA603" i="5" s="1"/>
  <c r="JY1009" i="5"/>
  <c r="AI1374" i="2"/>
  <c r="O21" i="19"/>
  <c r="N21" i="19" s="1"/>
  <c r="AI1880" i="2"/>
  <c r="AG12" i="19"/>
  <c r="AJ12" i="19" s="1"/>
  <c r="AI1700" i="2"/>
  <c r="E17" i="19"/>
  <c r="G17" i="19" s="1"/>
  <c r="AC1689" i="2"/>
  <c r="AC1814" i="2" s="1"/>
  <c r="AG1249" i="2"/>
  <c r="AG1448" i="2" s="1"/>
  <c r="AG1537" i="2" s="1"/>
  <c r="AK1242" i="2"/>
  <c r="JN921" i="5" s="1"/>
  <c r="AF1726" i="2"/>
  <c r="E11" i="19"/>
  <c r="G11" i="19" s="1"/>
  <c r="E98" i="19"/>
  <c r="G98" i="19" s="1"/>
  <c r="E36" i="19"/>
  <c r="G36" i="19" s="1"/>
  <c r="E13" i="19"/>
  <c r="G13" i="19" s="1"/>
  <c r="E21" i="19"/>
  <c r="G21" i="19" s="1"/>
  <c r="E73" i="19"/>
  <c r="G73" i="19" s="1"/>
  <c r="E100" i="19"/>
  <c r="G100" i="19" s="1"/>
  <c r="E15" i="19"/>
  <c r="G15" i="19" s="1"/>
  <c r="E75" i="19"/>
  <c r="G75" i="19" s="1"/>
  <c r="E82" i="19"/>
  <c r="G82" i="19" s="1"/>
  <c r="AH1886" i="2"/>
  <c r="AF1734" i="2"/>
  <c r="AI1885" i="2"/>
  <c r="AF752" i="2" s="1"/>
  <c r="IY559" i="5" s="1"/>
  <c r="T14" i="7" s="1"/>
  <c r="D74" i="19"/>
  <c r="AH1884" i="2"/>
  <c r="E99" i="19"/>
  <c r="G99" i="19" s="1"/>
  <c r="E12" i="19"/>
  <c r="G12" i="19" s="1"/>
  <c r="AI1470" i="2"/>
  <c r="AI1559" i="2" s="1"/>
  <c r="D103" i="19"/>
  <c r="E29" i="19"/>
  <c r="G29" i="19" s="1"/>
  <c r="E69" i="19"/>
  <c r="G69" i="19" s="1"/>
  <c r="JM976" i="5"/>
  <c r="U77" i="19"/>
  <c r="V77" i="19" s="1"/>
  <c r="E42" i="19"/>
  <c r="G42" i="19" s="1"/>
  <c r="AI1472" i="2"/>
  <c r="AI1561" i="2" s="1"/>
  <c r="D106" i="19"/>
  <c r="E16" i="19"/>
  <c r="G16" i="19" s="1"/>
  <c r="E64" i="19"/>
  <c r="G64" i="19" s="1"/>
  <c r="F111" i="19"/>
  <c r="E90" i="19"/>
  <c r="G90" i="19" s="1"/>
  <c r="JM1018" i="5"/>
  <c r="U96" i="19"/>
  <c r="V96" i="19" s="1"/>
  <c r="E65" i="19"/>
  <c r="E87" i="19"/>
  <c r="G87" i="19" s="1"/>
  <c r="E33" i="19"/>
  <c r="G33" i="19" s="1"/>
  <c r="AC1725" i="2"/>
  <c r="E31" i="19"/>
  <c r="G31" i="19" s="1"/>
  <c r="AE1726" i="2"/>
  <c r="AI1375" i="2"/>
  <c r="E58" i="19"/>
  <c r="G58" i="19" s="1"/>
  <c r="E14" i="19"/>
  <c r="G14" i="19" s="1"/>
  <c r="Q17" i="19"/>
  <c r="P105" i="19"/>
  <c r="R105" i="19" s="1"/>
  <c r="AR105" i="19"/>
  <c r="AP105" i="19"/>
  <c r="AS105" i="19" s="1"/>
  <c r="AJ1886" i="2"/>
  <c r="Q32" i="19"/>
  <c r="X106" i="19"/>
  <c r="AA106" i="19" s="1"/>
  <c r="X64" i="19"/>
  <c r="AA64" i="19" s="1"/>
  <c r="AG1977" i="2"/>
  <c r="AD893" i="2" s="1"/>
  <c r="P64" i="19"/>
  <c r="R64" i="19" s="1"/>
  <c r="AG1398" i="2"/>
  <c r="AG1487" i="2" s="1"/>
  <c r="AE1697" i="2"/>
  <c r="AE1811" i="2" s="1"/>
  <c r="AI1465" i="2"/>
  <c r="AI1554" i="2" s="1"/>
  <c r="AK1130" i="2"/>
  <c r="JN824" i="5" s="1"/>
  <c r="AH1733" i="2"/>
  <c r="AG1251" i="2"/>
  <c r="AG1450" i="2" s="1"/>
  <c r="AG1539" i="2" s="1"/>
  <c r="IO614" i="5"/>
  <c r="L61" i="7" s="1"/>
  <c r="IY675" i="5"/>
  <c r="S119" i="7" s="1"/>
  <c r="AF1471" i="2"/>
  <c r="AF1560" i="2" s="1"/>
  <c r="AE1722" i="2"/>
  <c r="AG801" i="2"/>
  <c r="JB599" i="5" s="1"/>
  <c r="JA599" i="5" s="1"/>
  <c r="AG1730" i="2"/>
  <c r="AG1880" i="2"/>
  <c r="AG1250" i="2"/>
  <c r="AG1449" i="2" s="1"/>
  <c r="AG1538" i="2" s="1"/>
  <c r="DG1247" i="5"/>
  <c r="DG590" i="5"/>
  <c r="DG724" i="5" s="1"/>
  <c r="CP1253" i="5"/>
  <c r="CP739" i="5"/>
  <c r="AH1272" i="2"/>
  <c r="AL1272" i="2"/>
  <c r="BT653" i="5"/>
  <c r="BT1232" i="5"/>
  <c r="BT654" i="5"/>
  <c r="BT652" i="5"/>
  <c r="BT715" i="5"/>
  <c r="BT550" i="5"/>
  <c r="BT714" i="5" s="1"/>
  <c r="AG1411" i="2"/>
  <c r="AG1500" i="2" s="1"/>
  <c r="JH785" i="5"/>
  <c r="AI1091" i="2" s="1"/>
  <c r="AI536" i="2" s="1"/>
  <c r="EF590" i="5"/>
  <c r="EF1242" i="5" s="1"/>
  <c r="IB818" i="5"/>
  <c r="IH803" i="5"/>
  <c r="H925" i="5"/>
  <c r="H1091" i="5" s="1"/>
  <c r="IL908" i="5"/>
  <c r="IM908" i="5" s="1"/>
  <c r="AB1229" i="2" s="1"/>
  <c r="AB1438" i="2" s="1"/>
  <c r="AB1527" i="2" s="1"/>
  <c r="CQ590" i="5"/>
  <c r="CQ1242" i="5" s="1"/>
  <c r="AT754" i="5"/>
  <c r="DK1252" i="5"/>
  <c r="DK728" i="5"/>
  <c r="AE550" i="5"/>
  <c r="AE654" i="5"/>
  <c r="AE652" i="5"/>
  <c r="AE715" i="5"/>
  <c r="AE1232" i="5"/>
  <c r="AE653" i="5"/>
  <c r="BT906" i="5"/>
  <c r="BT1085" i="5" s="1"/>
  <c r="BT924" i="5"/>
  <c r="BT1090" i="5" s="1"/>
  <c r="BT1075" i="5"/>
  <c r="IY761" i="5"/>
  <c r="AF1067" i="2" s="1"/>
  <c r="JE797" i="5"/>
  <c r="AH1103" i="2" s="1"/>
  <c r="CK907" i="5"/>
  <c r="CK1086" i="5" s="1"/>
  <c r="FJ813" i="5"/>
  <c r="FJ754" i="5" s="1"/>
  <c r="BF754" i="5"/>
  <c r="JA907" i="5"/>
  <c r="JA1057" i="5" s="1"/>
  <c r="JA1055" i="5" s="1"/>
  <c r="JA1063" i="5" s="1"/>
  <c r="KZ550" i="5"/>
  <c r="KZ714" i="5" s="1"/>
  <c r="CS590" i="5"/>
  <c r="FF1087" i="5"/>
  <c r="FF907" i="5"/>
  <c r="FF1086" i="5" s="1"/>
  <c r="AK654" i="5"/>
  <c r="AK715" i="5"/>
  <c r="AK652" i="5"/>
  <c r="AK550" i="5"/>
  <c r="AK653" i="5"/>
  <c r="AH653" i="5"/>
  <c r="AH550" i="5"/>
  <c r="AH654" i="5"/>
  <c r="IV769" i="5"/>
  <c r="AE1075" i="2" s="1"/>
  <c r="H924" i="5"/>
  <c r="H1041" i="5" s="1"/>
  <c r="H1098" i="5" s="1"/>
  <c r="DY1096" i="5"/>
  <c r="DY1095" i="5"/>
  <c r="K116" i="7"/>
  <c r="AH1376" i="2"/>
  <c r="JE833" i="5"/>
  <c r="AH1139" i="2" s="1"/>
  <c r="AH1909" i="2" s="1"/>
  <c r="FF1242" i="5"/>
  <c r="IG823" i="5"/>
  <c r="Z1129" i="2" s="1"/>
  <c r="Z1412" i="2" s="1"/>
  <c r="Z1501" i="2" s="1"/>
  <c r="ED576" i="5"/>
  <c r="ED1238" i="5" s="1"/>
  <c r="DC728" i="5"/>
  <c r="IM807" i="5"/>
  <c r="AB1113" i="2" s="1"/>
  <c r="IL1019" i="5"/>
  <c r="IS674" i="5"/>
  <c r="P118" i="7" s="1"/>
  <c r="DD728" i="5"/>
  <c r="DD1252" i="5"/>
  <c r="DE1253" i="5"/>
  <c r="DE739" i="5"/>
  <c r="IR886" i="5"/>
  <c r="IR890" i="5" s="1"/>
  <c r="BV1241" i="5"/>
  <c r="BV723" i="5"/>
  <c r="I126" i="7"/>
  <c r="IL1207" i="5"/>
  <c r="EK907" i="5"/>
  <c r="EK1086" i="5" s="1"/>
  <c r="EK1088" i="5"/>
  <c r="JH961" i="5"/>
  <c r="AI1282" i="2" s="1"/>
  <c r="IY762" i="5"/>
  <c r="AF1068" i="2" s="1"/>
  <c r="AF1640" i="2" s="1"/>
  <c r="CG552" i="5"/>
  <c r="CG715" i="5" s="1"/>
  <c r="IO912" i="5"/>
  <c r="JH773" i="5"/>
  <c r="AI1079" i="2" s="1"/>
  <c r="ES553" i="5"/>
  <c r="ES1233" i="5" s="1"/>
  <c r="F106" i="7"/>
  <c r="IJ761" i="5"/>
  <c r="AA1067" i="2" s="1"/>
  <c r="IF560" i="5"/>
  <c r="C15" i="7" s="1"/>
  <c r="DS621" i="5"/>
  <c r="DS1251" i="5"/>
  <c r="CJ728" i="5"/>
  <c r="CJ1252" i="5"/>
  <c r="EI1233" i="5"/>
  <c r="EI552" i="5"/>
  <c r="EI1232" i="5" s="1"/>
  <c r="CF1252" i="5"/>
  <c r="CF728" i="5"/>
  <c r="FO1081" i="5"/>
  <c r="FO1237" i="5"/>
  <c r="AI1241" i="5"/>
  <c r="AI723" i="5"/>
  <c r="E120" i="7"/>
  <c r="AH1748" i="2"/>
  <c r="AH1691" i="2"/>
  <c r="D85" i="7"/>
  <c r="E85" i="7" s="1"/>
  <c r="IJ638" i="5"/>
  <c r="AA845" i="2" s="1"/>
  <c r="DF739" i="5"/>
  <c r="DF1253" i="5"/>
  <c r="DC553" i="5"/>
  <c r="DC552" i="5" s="1"/>
  <c r="DC1234" i="5"/>
  <c r="CL1253" i="5"/>
  <c r="CL739" i="5"/>
  <c r="DL553" i="5"/>
  <c r="DL716" i="5" s="1"/>
  <c r="IH608" i="5"/>
  <c r="D57" i="7" s="1"/>
  <c r="IR555" i="5"/>
  <c r="O10" i="7" s="1"/>
  <c r="ID761" i="5"/>
  <c r="Y1067" i="2" s="1"/>
  <c r="X1639" i="2" s="1"/>
  <c r="IW947" i="5"/>
  <c r="IM694" i="5"/>
  <c r="FH813" i="5"/>
  <c r="FH1238" i="5" s="1"/>
  <c r="IG768" i="5"/>
  <c r="Z1074" i="2" s="1"/>
  <c r="Z476" i="2" s="1"/>
  <c r="IR696" i="5"/>
  <c r="IR705" i="5" s="1"/>
  <c r="EN907" i="5"/>
  <c r="EN1086" i="5" s="1"/>
  <c r="IR993" i="5"/>
  <c r="IH555" i="5"/>
  <c r="D10" i="7" s="1"/>
  <c r="E10" i="7" s="1"/>
  <c r="AI658" i="5"/>
  <c r="AI731" i="5" s="1"/>
  <c r="ES1256" i="5"/>
  <c r="ES681" i="5"/>
  <c r="DN728" i="5"/>
  <c r="DN1252" i="5"/>
  <c r="CW590" i="5"/>
  <c r="R653" i="5"/>
  <c r="R550" i="5"/>
  <c r="R1232" i="5"/>
  <c r="R715" i="5"/>
  <c r="R652" i="5"/>
  <c r="BB715" i="5"/>
  <c r="BB653" i="5"/>
  <c r="BB550" i="5"/>
  <c r="BB1232" i="5"/>
  <c r="BB652" i="5"/>
  <c r="AG463" i="2"/>
  <c r="JH794" i="5"/>
  <c r="AI1100" i="2" s="1"/>
  <c r="GZ906" i="5"/>
  <c r="DV590" i="5"/>
  <c r="DV1242" i="5" s="1"/>
  <c r="IQ826" i="5"/>
  <c r="IS605" i="5"/>
  <c r="AD807" i="2" s="1"/>
  <c r="IQ696" i="5"/>
  <c r="F1078" i="5"/>
  <c r="F754" i="5"/>
  <c r="DY681" i="5"/>
  <c r="DY1256" i="5"/>
  <c r="FS1251" i="5"/>
  <c r="FS1087" i="5"/>
  <c r="W1232" i="5"/>
  <c r="W653" i="5"/>
  <c r="W715" i="5"/>
  <c r="W654" i="5"/>
  <c r="CP1240" i="5"/>
  <c r="CP721" i="5"/>
  <c r="CP576" i="5"/>
  <c r="G62" i="7"/>
  <c r="H62" i="7" s="1"/>
  <c r="IM615" i="5"/>
  <c r="IV853" i="5"/>
  <c r="AE1159" i="2" s="1"/>
  <c r="JH843" i="5"/>
  <c r="AI1149" i="2" s="1"/>
  <c r="CS907" i="5"/>
  <c r="CS1086" i="5" s="1"/>
  <c r="IP1035" i="5"/>
  <c r="AC1360" i="2" s="1"/>
  <c r="IL560" i="5"/>
  <c r="I15" i="7" s="1"/>
  <c r="K15" i="7" s="1"/>
  <c r="H18" i="7"/>
  <c r="IO850" i="5"/>
  <c r="IQ695" i="5"/>
  <c r="N137" i="7" s="1"/>
  <c r="IU993" i="5"/>
  <c r="AE1694" i="2" s="1"/>
  <c r="W1078" i="5"/>
  <c r="W754" i="5"/>
  <c r="W932" i="5" s="1"/>
  <c r="IG812" i="5"/>
  <c r="Z1118" i="2" s="1"/>
  <c r="AX723" i="5"/>
  <c r="AX1241" i="5"/>
  <c r="AF653" i="5"/>
  <c r="AF652" i="5"/>
  <c r="AF715" i="5"/>
  <c r="AF1232" i="5"/>
  <c r="AF550" i="5"/>
  <c r="AF654" i="5"/>
  <c r="IK743" i="5"/>
  <c r="G126" i="7"/>
  <c r="H126" i="7" s="1"/>
  <c r="IK1207" i="5"/>
  <c r="IM682" i="5"/>
  <c r="IM1207" i="5" s="1"/>
  <c r="IF670" i="5"/>
  <c r="C115" i="7" s="1"/>
  <c r="IP765" i="5"/>
  <c r="AC1071" i="2" s="1"/>
  <c r="GH1086" i="5"/>
  <c r="FG1253" i="5"/>
  <c r="FG1097" i="5"/>
  <c r="EE1087" i="5"/>
  <c r="EE907" i="5"/>
  <c r="EE1086" i="5" s="1"/>
  <c r="DR717" i="5"/>
  <c r="DR1237" i="5"/>
  <c r="CS1233" i="5"/>
  <c r="CS716" i="5"/>
  <c r="CS552" i="5"/>
  <c r="DG1253" i="5"/>
  <c r="DG739" i="5"/>
  <c r="EX1256" i="5"/>
  <c r="EX681" i="5"/>
  <c r="G140" i="7"/>
  <c r="IM698" i="5"/>
  <c r="K14" i="7"/>
  <c r="HF813" i="5"/>
  <c r="HF754" i="5" s="1"/>
  <c r="CO590" i="5"/>
  <c r="IQ599" i="5"/>
  <c r="N50" i="7" s="1"/>
  <c r="IG765" i="5"/>
  <c r="Z1071" i="2" s="1"/>
  <c r="IO1028" i="5"/>
  <c r="IM566" i="5"/>
  <c r="EB907" i="5"/>
  <c r="EB1086" i="5" s="1"/>
  <c r="IX818" i="5"/>
  <c r="CQ1087" i="5"/>
  <c r="CQ907" i="5"/>
  <c r="CQ1086" i="5" s="1"/>
  <c r="IG810" i="5"/>
  <c r="Z1116" i="2" s="1"/>
  <c r="DQ681" i="5"/>
  <c r="DQ1256" i="5"/>
  <c r="BA1232" i="5"/>
  <c r="BA654" i="5"/>
  <c r="BA715" i="5"/>
  <c r="BA652" i="5"/>
  <c r="BA653" i="5"/>
  <c r="BA550" i="5"/>
  <c r="GV906" i="5"/>
  <c r="IM761" i="5"/>
  <c r="AB1067" i="2" s="1"/>
  <c r="ID800" i="5"/>
  <c r="Y1106" i="2" s="1"/>
  <c r="IV794" i="5"/>
  <c r="AE1100" i="2" s="1"/>
  <c r="IH912" i="5"/>
  <c r="H21" i="7"/>
  <c r="CG1233" i="5"/>
  <c r="IK1028" i="5"/>
  <c r="JH789" i="5"/>
  <c r="AI1095" i="2" s="1"/>
  <c r="JE765" i="5"/>
  <c r="AH1071" i="2" s="1"/>
  <c r="AH463" i="2" s="1"/>
  <c r="IY765" i="5"/>
  <c r="AF1071" i="2" s="1"/>
  <c r="AF463" i="2" s="1"/>
  <c r="IT814" i="5"/>
  <c r="DN717" i="5"/>
  <c r="DN1237" i="5"/>
  <c r="II570" i="5"/>
  <c r="K1241" i="5"/>
  <c r="K723" i="5"/>
  <c r="DC1253" i="5"/>
  <c r="DC739" i="5"/>
  <c r="IJ562" i="5"/>
  <c r="AA755" i="2" s="1"/>
  <c r="IS919" i="5"/>
  <c r="AD1240" i="2" s="1"/>
  <c r="IG804" i="5"/>
  <c r="Z1110" i="2" s="1"/>
  <c r="IL993" i="5"/>
  <c r="AB1694" i="2" s="1"/>
  <c r="IV948" i="5"/>
  <c r="AL754" i="5"/>
  <c r="AG1156" i="2"/>
  <c r="JB1082" i="5"/>
  <c r="CS1237" i="5"/>
  <c r="CS717" i="5"/>
  <c r="DT1237" i="5"/>
  <c r="DT717" i="5"/>
  <c r="DS1173" i="5"/>
  <c r="DS1195" i="5" s="1"/>
  <c r="LB724" i="5"/>
  <c r="LB588" i="5"/>
  <c r="LA658" i="5"/>
  <c r="LA654" i="5"/>
  <c r="LA715" i="5"/>
  <c r="LA652" i="5"/>
  <c r="BZ1078" i="5"/>
  <c r="BZ754" i="5"/>
  <c r="BZ932" i="5" s="1"/>
  <c r="IP839" i="5"/>
  <c r="AC1145" i="2" s="1"/>
  <c r="JH860" i="5"/>
  <c r="AI1166" i="2" s="1"/>
  <c r="AH1411" i="2"/>
  <c r="AH1500" i="2" s="1"/>
  <c r="DA728" i="5"/>
  <c r="EO907" i="5"/>
  <c r="EO1086" i="5" s="1"/>
  <c r="EB681" i="5"/>
  <c r="EB1256" i="5"/>
  <c r="IM808" i="5"/>
  <c r="AB1114" i="2" s="1"/>
  <c r="EO1256" i="5"/>
  <c r="EO681" i="5"/>
  <c r="EO1254" i="5" s="1"/>
  <c r="CW576" i="5"/>
  <c r="CW1239" i="5"/>
  <c r="CW720" i="5"/>
  <c r="IS1003" i="5"/>
  <c r="AD1329" i="2" s="1"/>
  <c r="JH901" i="5"/>
  <c r="AI1222" i="2" s="1"/>
  <c r="AG565" i="2"/>
  <c r="IK850" i="5"/>
  <c r="IS798" i="5"/>
  <c r="AD1104" i="2" s="1"/>
  <c r="AD568" i="2" s="1"/>
  <c r="IC908" i="5"/>
  <c r="IV815" i="5"/>
  <c r="AE1121" i="2" s="1"/>
  <c r="AE1406" i="2" s="1"/>
  <c r="ID919" i="5"/>
  <c r="Y1240" i="2" s="1"/>
  <c r="Y690" i="2" s="1"/>
  <c r="IE818" i="5"/>
  <c r="IG903" i="5"/>
  <c r="Z1224" i="2" s="1"/>
  <c r="IL1028" i="5"/>
  <c r="EW681" i="5"/>
  <c r="EW1254" i="5" s="1"/>
  <c r="FJ1077" i="5"/>
  <c r="FJ1237" i="5"/>
  <c r="ID798" i="5"/>
  <c r="Y1104" i="2" s="1"/>
  <c r="IG762" i="5"/>
  <c r="Z1068" i="2" s="1"/>
  <c r="IR577" i="5"/>
  <c r="O29" i="7" s="1"/>
  <c r="IP919" i="5"/>
  <c r="AC1240" i="2" s="1"/>
  <c r="IE628" i="5"/>
  <c r="IE621" i="5" s="1"/>
  <c r="IE726" i="5" s="1"/>
  <c r="IF570" i="5"/>
  <c r="C24" i="7" s="1"/>
  <c r="FT1253" i="5"/>
  <c r="DP1253" i="5"/>
  <c r="DP739" i="5"/>
  <c r="ER1256" i="5"/>
  <c r="ER681" i="5"/>
  <c r="AS1078" i="5"/>
  <c r="AS754" i="5"/>
  <c r="AS932" i="5" s="1"/>
  <c r="ID823" i="5"/>
  <c r="Y1129" i="2" s="1"/>
  <c r="Y1412" i="2" s="1"/>
  <c r="EO1095" i="5"/>
  <c r="EO1097" i="5"/>
  <c r="JH786" i="5"/>
  <c r="AI1092" i="2" s="1"/>
  <c r="AI1412" i="2"/>
  <c r="AI1501" i="2" s="1"/>
  <c r="IS603" i="5"/>
  <c r="P53" i="7" s="1"/>
  <c r="IP770" i="5"/>
  <c r="AC1076" i="2" s="1"/>
  <c r="IH850" i="5"/>
  <c r="BB654" i="5"/>
  <c r="DX1256" i="5"/>
  <c r="DX681" i="5"/>
  <c r="IU886" i="5"/>
  <c r="CS1239" i="5"/>
  <c r="CS720" i="5"/>
  <c r="CS576" i="5"/>
  <c r="EB621" i="5"/>
  <c r="EB1249" i="5" s="1"/>
  <c r="EB1251" i="5"/>
  <c r="AA1241" i="5"/>
  <c r="AA723" i="5"/>
  <c r="IE635" i="5"/>
  <c r="IE728" i="5" s="1"/>
  <c r="CK721" i="5"/>
  <c r="CK576" i="5"/>
  <c r="CK1240" i="5"/>
  <c r="CK628" i="5"/>
  <c r="DW552" i="5"/>
  <c r="DW1232" i="5" s="1"/>
  <c r="IG670" i="5"/>
  <c r="ES576" i="5"/>
  <c r="ES1238" i="5" s="1"/>
  <c r="JH778" i="5"/>
  <c r="AI1084" i="2" s="1"/>
  <c r="AI514" i="2" s="1"/>
  <c r="JH757" i="5"/>
  <c r="AI1063" i="2" s="1"/>
  <c r="JH788" i="5"/>
  <c r="AI1094" i="2" s="1"/>
  <c r="IJ770" i="5"/>
  <c r="AA1076" i="2" s="1"/>
  <c r="DE590" i="5"/>
  <c r="DE724" i="5" s="1"/>
  <c r="CE628" i="5"/>
  <c r="CE1251" i="5" s="1"/>
  <c r="DU590" i="5"/>
  <c r="DU1242" i="5" s="1"/>
  <c r="IL696" i="5"/>
  <c r="IL803" i="5"/>
  <c r="IM594" i="5"/>
  <c r="IM647" i="5"/>
  <c r="AV1241" i="5"/>
  <c r="AV723" i="5"/>
  <c r="AV657" i="5"/>
  <c r="DW1256" i="5"/>
  <c r="DW681" i="5"/>
  <c r="Z1311" i="2"/>
  <c r="Z1466" i="2" s="1"/>
  <c r="Z1555" i="2" s="1"/>
  <c r="IG1094" i="5"/>
  <c r="LB905" i="5"/>
  <c r="LB1084" i="5" s="1"/>
  <c r="LB1075" i="5"/>
  <c r="LB924" i="5"/>
  <c r="LB1090" i="5" s="1"/>
  <c r="LB550" i="5"/>
  <c r="DT1095" i="5"/>
  <c r="CK1233" i="5"/>
  <c r="CK713" i="5"/>
  <c r="CK716" i="5"/>
  <c r="DW1096" i="5"/>
  <c r="DW1095" i="5"/>
  <c r="LA719" i="5"/>
  <c r="LA550" i="5"/>
  <c r="E658" i="5"/>
  <c r="E1241" i="5"/>
  <c r="E723" i="5"/>
  <c r="G658" i="5"/>
  <c r="G665" i="5" s="1"/>
  <c r="G737" i="5" s="1"/>
  <c r="AO658" i="5"/>
  <c r="AO1241" i="5"/>
  <c r="AO723" i="5"/>
  <c r="AM723" i="5"/>
  <c r="CJ1087" i="5"/>
  <c r="CJ907" i="5"/>
  <c r="CJ1086" i="5" s="1"/>
  <c r="IM671" i="5"/>
  <c r="G116" i="7"/>
  <c r="H116" i="7" s="1"/>
  <c r="EC681" i="5"/>
  <c r="EC1254" i="5" s="1"/>
  <c r="EC1256" i="5"/>
  <c r="FD1233" i="5"/>
  <c r="FD1076" i="5"/>
  <c r="CO1253" i="5"/>
  <c r="CO739" i="5"/>
  <c r="AH1502" i="2"/>
  <c r="JH1027" i="5"/>
  <c r="AI1352" i="2" s="1"/>
  <c r="JH768" i="5"/>
  <c r="AI1074" i="2" s="1"/>
  <c r="AI476" i="2" s="1"/>
  <c r="IH818" i="5"/>
  <c r="FV1233" i="5"/>
  <c r="EJ1027" i="5"/>
  <c r="EJ1019" i="5" s="1"/>
  <c r="IO1019" i="5" s="1"/>
  <c r="DJ590" i="5"/>
  <c r="AV1078" i="5"/>
  <c r="I21" i="7"/>
  <c r="K21" i="7" s="1"/>
  <c r="KZ652" i="5"/>
  <c r="G1092" i="5"/>
  <c r="JE998" i="5"/>
  <c r="AH1324" i="2" s="1"/>
  <c r="I90" i="7"/>
  <c r="IM644" i="5"/>
  <c r="FC1077" i="5"/>
  <c r="FC1237" i="5"/>
  <c r="G65" i="7"/>
  <c r="H65" i="7" s="1"/>
  <c r="IM618" i="5"/>
  <c r="DJ720" i="5"/>
  <c r="DJ1239" i="5"/>
  <c r="BN653" i="5"/>
  <c r="BN715" i="5"/>
  <c r="BN550" i="5"/>
  <c r="BN1232" i="5"/>
  <c r="FN1087" i="5"/>
  <c r="FN907" i="5"/>
  <c r="FN1086" i="5" s="1"/>
  <c r="FN1251" i="5"/>
  <c r="CV1248" i="5"/>
  <c r="CV590" i="5"/>
  <c r="IG614" i="5"/>
  <c r="AM1241" i="5"/>
  <c r="EQ1234" i="5"/>
  <c r="EQ553" i="5"/>
  <c r="IM1003" i="5"/>
  <c r="AB1329" i="2" s="1"/>
  <c r="AA1691" i="2"/>
  <c r="AA1689" i="2" s="1"/>
  <c r="AA1814" i="2" s="1"/>
  <c r="DQ728" i="5"/>
  <c r="DQ1252" i="5"/>
  <c r="IS626" i="5"/>
  <c r="P73" i="7" s="1"/>
  <c r="IS802" i="5"/>
  <c r="AD1108" i="2" s="1"/>
  <c r="AD585" i="2" s="1"/>
  <c r="BJ654" i="5"/>
  <c r="IK560" i="5"/>
  <c r="DF590" i="5"/>
  <c r="DP1027" i="5"/>
  <c r="KZ653" i="5"/>
  <c r="IT826" i="5"/>
  <c r="EL1256" i="5"/>
  <c r="EL681" i="5"/>
  <c r="EL1254" i="5" s="1"/>
  <c r="G136" i="7"/>
  <c r="H136" i="7" s="1"/>
  <c r="IK683" i="5"/>
  <c r="G127" i="7" s="1"/>
  <c r="FF1077" i="5"/>
  <c r="FF1237" i="5"/>
  <c r="FQ907" i="5"/>
  <c r="FQ1086" i="5" s="1"/>
  <c r="FQ1087" i="5"/>
  <c r="FQ1251" i="5"/>
  <c r="FV1077" i="5"/>
  <c r="FV1237" i="5"/>
  <c r="CL728" i="5"/>
  <c r="CL1252" i="5"/>
  <c r="EG590" i="5"/>
  <c r="EG1242" i="5" s="1"/>
  <c r="AP658" i="5"/>
  <c r="AP1241" i="5"/>
  <c r="AP723" i="5"/>
  <c r="AP657" i="5"/>
  <c r="DU1077" i="5"/>
  <c r="BU658" i="5"/>
  <c r="BU1241" i="5"/>
  <c r="BU723" i="5"/>
  <c r="JH798" i="5"/>
  <c r="AI1104" i="2" s="1"/>
  <c r="BJ653" i="5"/>
  <c r="ED681" i="5"/>
  <c r="ED1254" i="5" s="1"/>
  <c r="FH1088" i="5"/>
  <c r="IG824" i="5"/>
  <c r="Z1130" i="2" s="1"/>
  <c r="Z1413" i="2" s="1"/>
  <c r="Z1502" i="2" s="1"/>
  <c r="D89" i="7"/>
  <c r="E89" i="7" s="1"/>
  <c r="IJ643" i="5"/>
  <c r="AA852" i="2" s="1"/>
  <c r="AA1595" i="2" s="1"/>
  <c r="DO728" i="5"/>
  <c r="DO1252" i="5"/>
  <c r="O14" i="7"/>
  <c r="IS559" i="5"/>
  <c r="P14" i="7" s="1"/>
  <c r="I124" i="7"/>
  <c r="K124" i="7" s="1"/>
  <c r="IM680" i="5"/>
  <c r="DD1096" i="5"/>
  <c r="IH988" i="5"/>
  <c r="P658" i="5"/>
  <c r="P1241" i="5"/>
  <c r="P723" i="5"/>
  <c r="IF886" i="5"/>
  <c r="IF890" i="5" s="1"/>
  <c r="W658" i="5"/>
  <c r="W723" i="5"/>
  <c r="W1241" i="5"/>
  <c r="M654" i="5"/>
  <c r="M1232" i="5"/>
  <c r="M653" i="5"/>
  <c r="M715" i="5"/>
  <c r="M652" i="5"/>
  <c r="M550" i="5"/>
  <c r="M658" i="5"/>
  <c r="BM652" i="5"/>
  <c r="BM715" i="5"/>
  <c r="BM1232" i="5"/>
  <c r="IS646" i="5"/>
  <c r="O92" i="7"/>
  <c r="ET1087" i="5"/>
  <c r="ET907" i="5"/>
  <c r="ET1086" i="5" s="1"/>
  <c r="EL1253" i="5"/>
  <c r="LB1078" i="5"/>
  <c r="KZ1096" i="5"/>
  <c r="KZ987" i="5"/>
  <c r="KZ1095" i="5" s="1"/>
  <c r="AF906" i="5"/>
  <c r="AF1085" i="5" s="1"/>
  <c r="AF905" i="5"/>
  <c r="AF1084" i="5" s="1"/>
  <c r="AF924" i="5"/>
  <c r="AF925" i="5"/>
  <c r="AF1091" i="5" s="1"/>
  <c r="AF1075" i="5"/>
  <c r="AH1475" i="2"/>
  <c r="AH1564" i="2" s="1"/>
  <c r="IY764" i="5"/>
  <c r="AF1070" i="2" s="1"/>
  <c r="IJ764" i="5"/>
  <c r="AA1070" i="2" s="1"/>
  <c r="AA1399" i="2" s="1"/>
  <c r="AA1488" i="2" s="1"/>
  <c r="BJ652" i="5"/>
  <c r="IY768" i="5"/>
  <c r="AF1074" i="2" s="1"/>
  <c r="AF476" i="2" s="1"/>
  <c r="IV851" i="5"/>
  <c r="AE1157" i="2" s="1"/>
  <c r="DT813" i="5"/>
  <c r="DT1078" i="5" s="1"/>
  <c r="CG907" i="5"/>
  <c r="CG1086" i="5" s="1"/>
  <c r="ER590" i="5"/>
  <c r="ER1242" i="5" s="1"/>
  <c r="IU1028" i="5"/>
  <c r="IS575" i="5"/>
  <c r="AD768" i="2" s="1"/>
  <c r="CI1252" i="5"/>
  <c r="CI728" i="5"/>
  <c r="G85" i="7"/>
  <c r="H85" i="7" s="1"/>
  <c r="IM638" i="5"/>
  <c r="EQ1253" i="5"/>
  <c r="G118" i="7"/>
  <c r="H118" i="7" s="1"/>
  <c r="IM674" i="5"/>
  <c r="FH1081" i="5"/>
  <c r="FH1237" i="5"/>
  <c r="DB716" i="5"/>
  <c r="DB1233" i="5"/>
  <c r="DB552" i="5"/>
  <c r="DG728" i="5"/>
  <c r="DG1252" i="5"/>
  <c r="CP590" i="5"/>
  <c r="FL1237" i="5"/>
  <c r="FL1077" i="5"/>
  <c r="CL1097" i="5"/>
  <c r="IC1019" i="5"/>
  <c r="JH802" i="5"/>
  <c r="AI1108" i="2" s="1"/>
  <c r="AI1402" i="2" s="1"/>
  <c r="AI1491" i="2" s="1"/>
  <c r="EG681" i="5"/>
  <c r="EG1254" i="5" s="1"/>
  <c r="EG1256" i="5"/>
  <c r="BP1078" i="5"/>
  <c r="IK993" i="5"/>
  <c r="AD1691" i="2"/>
  <c r="AD1689" i="2" s="1"/>
  <c r="AD1814" i="2" s="1"/>
  <c r="GM906" i="5"/>
  <c r="II560" i="5"/>
  <c r="IL685" i="5"/>
  <c r="I129" i="7" s="1"/>
  <c r="K129" i="7" s="1"/>
  <c r="IS682" i="5"/>
  <c r="IS1207" i="5" s="1"/>
  <c r="BJ658" i="5"/>
  <c r="BJ731" i="5" s="1"/>
  <c r="JH777" i="5"/>
  <c r="AI1083" i="2" s="1"/>
  <c r="AI510" i="2" s="1"/>
  <c r="EY1250" i="5"/>
  <c r="IO947" i="5"/>
  <c r="IK912" i="5"/>
  <c r="DS1088" i="5"/>
  <c r="IL887" i="5"/>
  <c r="IL889" i="5" s="1"/>
  <c r="DR621" i="5"/>
  <c r="DR726" i="5" s="1"/>
  <c r="CI1253" i="5"/>
  <c r="CI739" i="5"/>
  <c r="CT1237" i="5"/>
  <c r="CT717" i="5"/>
  <c r="IB803" i="5"/>
  <c r="CE1077" i="5"/>
  <c r="CM1252" i="5"/>
  <c r="CM728" i="5"/>
  <c r="IO887" i="5"/>
  <c r="IO888" i="5" s="1"/>
  <c r="CZ1252" i="5"/>
  <c r="CZ728" i="5"/>
  <c r="IX912" i="5"/>
  <c r="FS1250" i="5"/>
  <c r="FS1088" i="5"/>
  <c r="FS907" i="5"/>
  <c r="FS1086" i="5" s="1"/>
  <c r="IT912" i="5"/>
  <c r="EP1095" i="5"/>
  <c r="HE813" i="5"/>
  <c r="HE754" i="5" s="1"/>
  <c r="IP768" i="5"/>
  <c r="AC1074" i="2" s="1"/>
  <c r="IQ947" i="5"/>
  <c r="CZ813" i="5"/>
  <c r="CZ754" i="5" s="1"/>
  <c r="CE721" i="5"/>
  <c r="IS627" i="5"/>
  <c r="P74" i="7" s="1"/>
  <c r="DU1097" i="5"/>
  <c r="IH670" i="5"/>
  <c r="IH669" i="5" s="1"/>
  <c r="IM886" i="5"/>
  <c r="DS717" i="5"/>
  <c r="DS1237" i="5"/>
  <c r="EC813" i="5"/>
  <c r="EC754" i="5" s="1"/>
  <c r="IN818" i="5"/>
  <c r="DJ1233" i="5"/>
  <c r="DJ716" i="5"/>
  <c r="DJ552" i="5"/>
  <c r="JE901" i="5"/>
  <c r="AH1222" i="2" s="1"/>
  <c r="DH1253" i="5"/>
  <c r="DH739" i="5"/>
  <c r="IV757" i="5"/>
  <c r="AE1063" i="2" s="1"/>
  <c r="HD813" i="5"/>
  <c r="HD754" i="5" s="1"/>
  <c r="CQ621" i="5"/>
  <c r="CQ1251" i="5"/>
  <c r="IR850" i="5"/>
  <c r="AK1136" i="2"/>
  <c r="IP794" i="5"/>
  <c r="AC1100" i="2" s="1"/>
  <c r="IL947" i="5"/>
  <c r="AH1880" i="2"/>
  <c r="IJ768" i="5"/>
  <c r="AA1074" i="2" s="1"/>
  <c r="AA477" i="2" s="1"/>
  <c r="EC553" i="5"/>
  <c r="EC552" i="5" s="1"/>
  <c r="CE576" i="5"/>
  <c r="CE1238" i="5" s="1"/>
  <c r="CN907" i="5"/>
  <c r="CN1086" i="5" s="1"/>
  <c r="IJ617" i="5"/>
  <c r="AA821" i="2" s="1"/>
  <c r="AA955" i="2" s="1"/>
  <c r="AA1049" i="2" s="1"/>
  <c r="H72" i="7"/>
  <c r="DB739" i="5"/>
  <c r="DB1253" i="5"/>
  <c r="CY717" i="5"/>
  <c r="CY1237" i="5"/>
  <c r="IJ616" i="5"/>
  <c r="AA820" i="2" s="1"/>
  <c r="D63" i="7"/>
  <c r="E63" i="7" s="1"/>
  <c r="DB1076" i="5"/>
  <c r="CG1240" i="5"/>
  <c r="CG576" i="5"/>
  <c r="CG628" i="5"/>
  <c r="CG721" i="5"/>
  <c r="CG1252" i="5"/>
  <c r="CG728" i="5"/>
  <c r="CL987" i="5"/>
  <c r="CL1095" i="5" s="1"/>
  <c r="DA1087" i="5"/>
  <c r="DA907" i="5"/>
  <c r="DA1086" i="5" s="1"/>
  <c r="IS591" i="5"/>
  <c r="P42" i="7" s="1"/>
  <c r="FI907" i="5"/>
  <c r="FI1086" i="5" s="1"/>
  <c r="FI1251" i="5"/>
  <c r="FI1087" i="5"/>
  <c r="DM1247" i="5"/>
  <c r="DM590" i="5"/>
  <c r="EX1087" i="5"/>
  <c r="EX907" i="5"/>
  <c r="EX1086" i="5" s="1"/>
  <c r="IJ671" i="5"/>
  <c r="AA883" i="2" s="1"/>
  <c r="IX826" i="5"/>
  <c r="JE798" i="5"/>
  <c r="AH1104" i="2" s="1"/>
  <c r="IU947" i="5"/>
  <c r="EZ1253" i="5"/>
  <c r="AB754" i="5"/>
  <c r="IJ680" i="5"/>
  <c r="AA898" i="2" s="1"/>
  <c r="IT947" i="5"/>
  <c r="DB1252" i="5"/>
  <c r="DB728" i="5"/>
  <c r="CY1096" i="5"/>
  <c r="CY987" i="5"/>
  <c r="CY1095" i="5" s="1"/>
  <c r="LB1096" i="5"/>
  <c r="LB987" i="5"/>
  <c r="LB1095" i="5" s="1"/>
  <c r="CE1237" i="5"/>
  <c r="CE717" i="5"/>
  <c r="BQ550" i="5"/>
  <c r="BQ715" i="5"/>
  <c r="BQ654" i="5"/>
  <c r="BQ652" i="5"/>
  <c r="BQ1232" i="5"/>
  <c r="BQ653" i="5"/>
  <c r="DE1252" i="5"/>
  <c r="DE728" i="5"/>
  <c r="DU907" i="5"/>
  <c r="DU1086" i="5" s="1"/>
  <c r="DU1087" i="5"/>
  <c r="FK1253" i="5"/>
  <c r="FK1097" i="5"/>
  <c r="BH1241" i="5"/>
  <c r="BH723" i="5"/>
  <c r="IM799" i="5"/>
  <c r="AB1105" i="2" s="1"/>
  <c r="AB572" i="2" s="1"/>
  <c r="CI1097" i="5"/>
  <c r="IB1019" i="5"/>
  <c r="DH590" i="5"/>
  <c r="DH1242" i="5" s="1"/>
  <c r="CT1251" i="5"/>
  <c r="CT621" i="5"/>
  <c r="CZ987" i="5"/>
  <c r="CZ1095" i="5" s="1"/>
  <c r="CU1233" i="5"/>
  <c r="JE768" i="5"/>
  <c r="AH1074" i="2" s="1"/>
  <c r="AH476" i="2" s="1"/>
  <c r="EJ590" i="5"/>
  <c r="EJ1242" i="5" s="1"/>
  <c r="AJ754" i="5"/>
  <c r="AJ932" i="5" s="1"/>
  <c r="AD1687" i="2"/>
  <c r="IJ810" i="5"/>
  <c r="AA1116" i="2" s="1"/>
  <c r="I83" i="7"/>
  <c r="K83" i="7" s="1"/>
  <c r="IM636" i="5"/>
  <c r="FK1251" i="5"/>
  <c r="FK1087" i="5"/>
  <c r="FK907" i="5"/>
  <c r="CH1087" i="5"/>
  <c r="CH907" i="5"/>
  <c r="CH1086" i="5" s="1"/>
  <c r="G46" i="7"/>
  <c r="H46" i="7" s="1"/>
  <c r="IM595" i="5"/>
  <c r="CW1252" i="5"/>
  <c r="CW728" i="5"/>
  <c r="CO728" i="5"/>
  <c r="CO1252" i="5"/>
  <c r="JB1093" i="5"/>
  <c r="BB658" i="5"/>
  <c r="BB1241" i="5"/>
  <c r="BB723" i="5"/>
  <c r="CF1081" i="5"/>
  <c r="IB826" i="5"/>
  <c r="CL1087" i="5"/>
  <c r="CL907" i="5"/>
  <c r="CL1086" i="5" s="1"/>
  <c r="Y658" i="5"/>
  <c r="Y1241" i="5"/>
  <c r="Y723" i="5"/>
  <c r="CU1251" i="5"/>
  <c r="CU621" i="5"/>
  <c r="EL1087" i="5"/>
  <c r="EL907" i="5"/>
  <c r="EL1086" i="5" s="1"/>
  <c r="DQ1247" i="5"/>
  <c r="DQ590" i="5"/>
  <c r="JE985" i="5"/>
  <c r="AH1311" i="2" s="1"/>
  <c r="G22" i="7"/>
  <c r="H22" i="7" s="1"/>
  <c r="AI1413" i="2"/>
  <c r="AI1502" i="2" s="1"/>
  <c r="JE995" i="5"/>
  <c r="AH1321" i="2" s="1"/>
  <c r="JH801" i="5"/>
  <c r="AI1107" i="2" s="1"/>
  <c r="JE885" i="5"/>
  <c r="AH1206" i="2" s="1"/>
  <c r="AH666" i="2" s="1"/>
  <c r="IS600" i="5"/>
  <c r="P51" i="7" s="1"/>
  <c r="JE779" i="5"/>
  <c r="AH1085" i="2" s="1"/>
  <c r="CP621" i="5"/>
  <c r="CP1249" i="5" s="1"/>
  <c r="IP761" i="5"/>
  <c r="AC1067" i="2" s="1"/>
  <c r="IN850" i="5"/>
  <c r="IP815" i="5"/>
  <c r="AC1121" i="2" s="1"/>
  <c r="AC1406" i="2" s="1"/>
  <c r="IV806" i="5"/>
  <c r="AE1112" i="2" s="1"/>
  <c r="IM562" i="5"/>
  <c r="IF912" i="5"/>
  <c r="IF1088" i="5" s="1"/>
  <c r="DG907" i="5"/>
  <c r="DG1088" i="5"/>
  <c r="IM870" i="5"/>
  <c r="AB1189" i="2" s="1"/>
  <c r="IG922" i="5"/>
  <c r="Z1243" i="2" s="1"/>
  <c r="IJ636" i="5"/>
  <c r="AA843" i="2" s="1"/>
  <c r="D83" i="7"/>
  <c r="E83" i="7" s="1"/>
  <c r="EC1251" i="5"/>
  <c r="EC621" i="5"/>
  <c r="EC1249" i="5" s="1"/>
  <c r="EX606" i="5"/>
  <c r="EX1247" i="5" s="1"/>
  <c r="CI1237" i="5"/>
  <c r="CI717" i="5"/>
  <c r="DR1253" i="5"/>
  <c r="DR739" i="5"/>
  <c r="CM907" i="5"/>
  <c r="CM1086" i="5" s="1"/>
  <c r="N86" i="7"/>
  <c r="IS639" i="5"/>
  <c r="DL1095" i="5"/>
  <c r="CX716" i="5"/>
  <c r="CX1233" i="5"/>
  <c r="CX552" i="5"/>
  <c r="DB717" i="5"/>
  <c r="DB1237" i="5"/>
  <c r="IL1027" i="5"/>
  <c r="IL814" i="5"/>
  <c r="DU813" i="5"/>
  <c r="DU1078" i="5" s="1"/>
  <c r="BR1241" i="5"/>
  <c r="BR723" i="5"/>
  <c r="BR658" i="5"/>
  <c r="IS622" i="5"/>
  <c r="P69" i="7" s="1"/>
  <c r="O139" i="7"/>
  <c r="IS697" i="5"/>
  <c r="CX1087" i="5"/>
  <c r="CX907" i="5"/>
  <c r="CX1086" i="5" s="1"/>
  <c r="EC590" i="5"/>
  <c r="EC1242" i="5" s="1"/>
  <c r="ED590" i="5"/>
  <c r="JE787" i="5"/>
  <c r="AH1093" i="2" s="1"/>
  <c r="IG635" i="5"/>
  <c r="IG728" i="5" s="1"/>
  <c r="JH952" i="5"/>
  <c r="AI1273" i="2" s="1"/>
  <c r="JE767" i="5"/>
  <c r="AH1073" i="2" s="1"/>
  <c r="DI739" i="5"/>
  <c r="IW803" i="5"/>
  <c r="IM815" i="5"/>
  <c r="IX850" i="5"/>
  <c r="IB993" i="5"/>
  <c r="X1695" i="2" s="1"/>
  <c r="IJ559" i="5"/>
  <c r="AA752" i="2" s="1"/>
  <c r="AF1690" i="2"/>
  <c r="AF1689" i="2" s="1"/>
  <c r="AF1747" i="2"/>
  <c r="AF1746" i="2" s="1"/>
  <c r="CI1087" i="5"/>
  <c r="CI907" i="5"/>
  <c r="CI1086" i="5" s="1"/>
  <c r="BX1078" i="5"/>
  <c r="BX754" i="5"/>
  <c r="BX932" i="5" s="1"/>
  <c r="DO1251" i="5"/>
  <c r="DO621" i="5"/>
  <c r="DT1239" i="5"/>
  <c r="DT576" i="5"/>
  <c r="DT720" i="5"/>
  <c r="CM590" i="5"/>
  <c r="BV654" i="5"/>
  <c r="BV1232" i="5"/>
  <c r="BV715" i="5"/>
  <c r="BV652" i="5"/>
  <c r="BV653" i="5"/>
  <c r="BV658" i="5"/>
  <c r="CL716" i="5"/>
  <c r="CL1233" i="5"/>
  <c r="CL713" i="5"/>
  <c r="D12" i="7"/>
  <c r="E12" i="7" s="1"/>
  <c r="IJ557" i="5"/>
  <c r="AA750" i="2" s="1"/>
  <c r="DB1183" i="5"/>
  <c r="IG1183" i="5" s="1"/>
  <c r="IG1187" i="5"/>
  <c r="BE1241" i="5"/>
  <c r="BE723" i="5"/>
  <c r="BE658" i="5"/>
  <c r="BE657" i="5"/>
  <c r="IF685" i="5"/>
  <c r="C129" i="7" s="1"/>
  <c r="CZ683" i="5"/>
  <c r="CZ1255" i="5" s="1"/>
  <c r="G723" i="5"/>
  <c r="G1241" i="5"/>
  <c r="AR1241" i="5"/>
  <c r="AR723" i="5"/>
  <c r="AR658" i="5"/>
  <c r="JE820" i="5"/>
  <c r="AH1126" i="2" s="1"/>
  <c r="AH1410" i="2" s="1"/>
  <c r="AH1499" i="2" s="1"/>
  <c r="IX993" i="5"/>
  <c r="AF1694" i="2" s="1"/>
  <c r="AF1693" i="2" s="1"/>
  <c r="DT1251" i="5"/>
  <c r="DT621" i="5"/>
  <c r="FM1242" i="5"/>
  <c r="EV907" i="5"/>
  <c r="EV1086" i="5" s="1"/>
  <c r="AL658" i="5"/>
  <c r="AL1241" i="5"/>
  <c r="AL723" i="5"/>
  <c r="CQ716" i="5"/>
  <c r="CQ1233" i="5"/>
  <c r="CQ1082" i="5"/>
  <c r="IE850" i="5"/>
  <c r="IE1082" i="5" s="1"/>
  <c r="JH761" i="5"/>
  <c r="AI1067" i="2" s="1"/>
  <c r="JH770" i="5"/>
  <c r="AI1076" i="2" s="1"/>
  <c r="AI488" i="2" s="1"/>
  <c r="JD814" i="5"/>
  <c r="II614" i="5"/>
  <c r="IC850" i="5"/>
  <c r="JB908" i="5"/>
  <c r="AG1229" i="2" s="1"/>
  <c r="AG1438" i="2" s="1"/>
  <c r="JH828" i="5"/>
  <c r="AI1134" i="2" s="1"/>
  <c r="JE786" i="5"/>
  <c r="AH1092" i="2" s="1"/>
  <c r="JE770" i="5"/>
  <c r="AH1076" i="2" s="1"/>
  <c r="IJ767" i="5"/>
  <c r="AA1073" i="2" s="1"/>
  <c r="DL590" i="5"/>
  <c r="DL724" i="5" s="1"/>
  <c r="IB1058" i="5"/>
  <c r="IJ572" i="5"/>
  <c r="AA765" i="2" s="1"/>
  <c r="E14" i="7"/>
  <c r="EA590" i="5"/>
  <c r="EA1242" i="5" s="1"/>
  <c r="IJ903" i="5"/>
  <c r="AA1224" i="2" s="1"/>
  <c r="BD1078" i="5"/>
  <c r="BD754" i="5"/>
  <c r="BD932" i="5" s="1"/>
  <c r="CZ1239" i="5"/>
  <c r="CZ576" i="5"/>
  <c r="CZ720" i="5"/>
  <c r="D42" i="7"/>
  <c r="E42" i="7" s="1"/>
  <c r="IJ591" i="5"/>
  <c r="AA789" i="2" s="1"/>
  <c r="BS550" i="5"/>
  <c r="BS654" i="5"/>
  <c r="AD1232" i="5"/>
  <c r="AD654" i="5"/>
  <c r="AD715" i="5"/>
  <c r="AD652" i="5"/>
  <c r="AD653" i="5"/>
  <c r="D18" i="7"/>
  <c r="E18" i="7" s="1"/>
  <c r="IJ563" i="5"/>
  <c r="AA756" i="2" s="1"/>
  <c r="FP1251" i="5"/>
  <c r="FP907" i="5"/>
  <c r="FP1086" i="5" s="1"/>
  <c r="FP1087" i="5"/>
  <c r="ET1233" i="5"/>
  <c r="ET552" i="5"/>
  <c r="DA1237" i="5"/>
  <c r="DA717" i="5"/>
  <c r="EL621" i="5"/>
  <c r="EL1249" i="5" s="1"/>
  <c r="D46" i="7"/>
  <c r="E46" i="7" s="1"/>
  <c r="IJ595" i="5"/>
  <c r="AA793" i="2" s="1"/>
  <c r="FF813" i="5"/>
  <c r="FF754" i="5" s="1"/>
  <c r="IU814" i="5"/>
  <c r="IF1027" i="5"/>
  <c r="CW1019" i="5"/>
  <c r="AJ723" i="5"/>
  <c r="AJ657" i="5"/>
  <c r="AJ1241" i="5"/>
  <c r="AJ658" i="5"/>
  <c r="JG1009" i="5"/>
  <c r="JG1008" i="5" s="1"/>
  <c r="AI1739" i="2"/>
  <c r="AI1738" i="2" s="1"/>
  <c r="GR906" i="5"/>
  <c r="BC550" i="5"/>
  <c r="BC652" i="5"/>
  <c r="BC654" i="5"/>
  <c r="BC1232" i="5"/>
  <c r="BC715" i="5"/>
  <c r="BC658" i="5"/>
  <c r="BC653" i="5"/>
  <c r="IJ820" i="5"/>
  <c r="E11" i="7"/>
  <c r="FT1077" i="5"/>
  <c r="FT1237" i="5"/>
  <c r="FC1097" i="5"/>
  <c r="FC1253" i="5"/>
  <c r="DD1237" i="5"/>
  <c r="DD717" i="5"/>
  <c r="DD552" i="5"/>
  <c r="EH907" i="5"/>
  <c r="EH1086" i="5" s="1"/>
  <c r="JF755" i="5"/>
  <c r="JH756" i="5"/>
  <c r="AI1062" i="2" s="1"/>
  <c r="CE1253" i="5"/>
  <c r="CE739" i="5"/>
  <c r="ER1239" i="5"/>
  <c r="ER576" i="5"/>
  <c r="ER1238" i="5" s="1"/>
  <c r="CG739" i="5"/>
  <c r="CG1253" i="5"/>
  <c r="AM657" i="5"/>
  <c r="AM714" i="5"/>
  <c r="EJ1087" i="5"/>
  <c r="EJ907" i="5"/>
  <c r="EJ1086" i="5" s="1"/>
  <c r="N105" i="7"/>
  <c r="IS660" i="5"/>
  <c r="DI1252" i="5"/>
  <c r="DI728" i="5"/>
  <c r="D54" i="7"/>
  <c r="E54" i="7" s="1"/>
  <c r="IJ605" i="5"/>
  <c r="AA807" i="2" s="1"/>
  <c r="CI628" i="5"/>
  <c r="CI1240" i="5"/>
  <c r="CI721" i="5"/>
  <c r="CI576" i="5"/>
  <c r="CI719" i="5" s="1"/>
  <c r="AD658" i="5"/>
  <c r="AD723" i="5"/>
  <c r="AD1241" i="5"/>
  <c r="DN1251" i="5"/>
  <c r="DN621" i="5"/>
  <c r="DD1247" i="5"/>
  <c r="DD590" i="5"/>
  <c r="IH606" i="5"/>
  <c r="O11" i="7"/>
  <c r="IS556" i="5"/>
  <c r="DB988" i="5"/>
  <c r="IF993" i="5"/>
  <c r="Z1694" i="2" s="1"/>
  <c r="Z1693" i="2" s="1"/>
  <c r="Z1815" i="2" s="1"/>
  <c r="AZ1241" i="5"/>
  <c r="AZ658" i="5"/>
  <c r="AZ723" i="5"/>
  <c r="CA924" i="5"/>
  <c r="CA906" i="5"/>
  <c r="CA1085" i="5" s="1"/>
  <c r="CA925" i="5"/>
  <c r="CA1091" i="5" s="1"/>
  <c r="CA1075" i="5"/>
  <c r="CA905" i="5"/>
  <c r="CA1084" i="5" s="1"/>
  <c r="DH1076" i="5"/>
  <c r="FC1251" i="5"/>
  <c r="FC907" i="5"/>
  <c r="FC1086" i="5" s="1"/>
  <c r="FC1087" i="5"/>
  <c r="CJ1237" i="5"/>
  <c r="CJ717" i="5"/>
  <c r="IG1178" i="5"/>
  <c r="DB1173" i="5"/>
  <c r="EH813" i="5"/>
  <c r="EH754" i="5" s="1"/>
  <c r="IO814" i="5"/>
  <c r="EK1097" i="5"/>
  <c r="EK1095" i="5"/>
  <c r="N62" i="7"/>
  <c r="IS615" i="5"/>
  <c r="EU1087" i="5"/>
  <c r="EU907" i="5"/>
  <c r="EU1086" i="5" s="1"/>
  <c r="IR908" i="5"/>
  <c r="DS1253" i="5"/>
  <c r="DS739" i="5"/>
  <c r="CK717" i="5"/>
  <c r="CK552" i="5"/>
  <c r="CK1237" i="5"/>
  <c r="DS720" i="5"/>
  <c r="DS1239" i="5"/>
  <c r="DS576" i="5"/>
  <c r="AG1376" i="2"/>
  <c r="IO908" i="5"/>
  <c r="G117" i="7"/>
  <c r="H117" i="7" s="1"/>
  <c r="IM673" i="5"/>
  <c r="JD1088" i="5"/>
  <c r="JE789" i="5"/>
  <c r="AH1095" i="2" s="1"/>
  <c r="DX576" i="5"/>
  <c r="DX1238" i="5" s="1"/>
  <c r="DX1239" i="5"/>
  <c r="JE763" i="5"/>
  <c r="AH1069" i="2" s="1"/>
  <c r="CN1252" i="5"/>
  <c r="CN728" i="5"/>
  <c r="CW1251" i="5"/>
  <c r="CW621" i="5"/>
  <c r="I52" i="7"/>
  <c r="K52" i="7" s="1"/>
  <c r="IM601" i="5"/>
  <c r="DN1253" i="5"/>
  <c r="DN739" i="5"/>
  <c r="CU1237" i="5"/>
  <c r="CU717" i="5"/>
  <c r="CU552" i="5"/>
  <c r="IW818" i="5"/>
  <c r="FL813" i="5"/>
  <c r="FL754" i="5" s="1"/>
  <c r="IJ579" i="5"/>
  <c r="AA775" i="2" s="1"/>
  <c r="AA1591" i="2" s="1"/>
  <c r="D31" i="7"/>
  <c r="E31" i="7" s="1"/>
  <c r="IR1027" i="5"/>
  <c r="ES1019" i="5"/>
  <c r="BP924" i="5"/>
  <c r="BP906" i="5"/>
  <c r="BP1085" i="5" s="1"/>
  <c r="BP1075" i="5"/>
  <c r="BP905" i="5"/>
  <c r="BP1084" i="5" s="1"/>
  <c r="BP925" i="5"/>
  <c r="BP1091" i="5" s="1"/>
  <c r="CC652" i="5"/>
  <c r="CC654" i="5"/>
  <c r="CC550" i="5"/>
  <c r="CC1232" i="5"/>
  <c r="CC653" i="5"/>
  <c r="CC658" i="5"/>
  <c r="CC715" i="5"/>
  <c r="IQ888" i="5"/>
  <c r="IQ889" i="5"/>
  <c r="DR813" i="5"/>
  <c r="DR754" i="5" s="1"/>
  <c r="IK814" i="5"/>
  <c r="EA1097" i="5"/>
  <c r="EA1095" i="5"/>
  <c r="IN1019" i="5"/>
  <c r="CS1251" i="5"/>
  <c r="CS621" i="5"/>
  <c r="EN669" i="5"/>
  <c r="IQ670" i="5"/>
  <c r="DC719" i="5"/>
  <c r="DC1238" i="5"/>
  <c r="EO1253" i="5"/>
  <c r="GI993" i="5"/>
  <c r="JC994" i="5"/>
  <c r="AG1720" i="2" s="1"/>
  <c r="DD1239" i="5"/>
  <c r="DD720" i="5"/>
  <c r="DD576" i="5"/>
  <c r="IH577" i="5"/>
  <c r="FE1077" i="5"/>
  <c r="IU803" i="5"/>
  <c r="IG793" i="5"/>
  <c r="Z1099" i="2" s="1"/>
  <c r="JB1097" i="5"/>
  <c r="AG1344" i="2"/>
  <c r="BW1092" i="5"/>
  <c r="G73" i="7"/>
  <c r="H73" i="7" s="1"/>
  <c r="IM626" i="5"/>
  <c r="CK1092" i="5"/>
  <c r="IC947" i="5"/>
  <c r="IT818" i="5"/>
  <c r="EY813" i="5"/>
  <c r="EY754" i="5" s="1"/>
  <c r="DG720" i="5"/>
  <c r="DG1239" i="5"/>
  <c r="AU550" i="5"/>
  <c r="AU652" i="5"/>
  <c r="AU658" i="5"/>
  <c r="AU654" i="5"/>
  <c r="AU653" i="5"/>
  <c r="AU1232" i="5"/>
  <c r="AU715" i="5"/>
  <c r="IQ818" i="5"/>
  <c r="DO1097" i="5"/>
  <c r="D69" i="7"/>
  <c r="E69" i="7" s="1"/>
  <c r="IJ622" i="5"/>
  <c r="AA826" i="2" s="1"/>
  <c r="AB391" i="2" s="1"/>
  <c r="BW1241" i="5"/>
  <c r="BW723" i="5"/>
  <c r="BW658" i="5"/>
  <c r="ES1237" i="5"/>
  <c r="IR570" i="5"/>
  <c r="O24" i="7" s="1"/>
  <c r="EW1077" i="5"/>
  <c r="DB1087" i="5"/>
  <c r="DB907" i="5"/>
  <c r="DB1086" i="5" s="1"/>
  <c r="EE1238" i="5"/>
  <c r="II850" i="5"/>
  <c r="DI1082" i="5"/>
  <c r="BO1078" i="5"/>
  <c r="BO754" i="5"/>
  <c r="BO932" i="5" s="1"/>
  <c r="N120" i="7"/>
  <c r="IS676" i="5"/>
  <c r="DU1253" i="5"/>
  <c r="CY1087" i="5"/>
  <c r="CY907" i="5"/>
  <c r="CY1086" i="5" s="1"/>
  <c r="IF908" i="5"/>
  <c r="IF1087" i="5" s="1"/>
  <c r="KY588" i="5"/>
  <c r="KY724" i="5"/>
  <c r="KY653" i="5"/>
  <c r="KY652" i="5"/>
  <c r="KY654" i="5"/>
  <c r="DW1248" i="5"/>
  <c r="DW590" i="5"/>
  <c r="G13" i="7"/>
  <c r="H13" i="7" s="1"/>
  <c r="IM558" i="5"/>
  <c r="FF1076" i="5"/>
  <c r="FF1233" i="5"/>
  <c r="IR803" i="5"/>
  <c r="JB1076" i="5"/>
  <c r="AG1061" i="2"/>
  <c r="IY948" i="5"/>
  <c r="IY1093" i="5" s="1"/>
  <c r="AE1687" i="2"/>
  <c r="AE1685" i="2" s="1"/>
  <c r="IY817" i="5"/>
  <c r="EM1088" i="5"/>
  <c r="IQ912" i="5"/>
  <c r="FT1251" i="5"/>
  <c r="IX908" i="5"/>
  <c r="FT907" i="5"/>
  <c r="FT1087" i="5"/>
  <c r="N85" i="7"/>
  <c r="IS638" i="5"/>
  <c r="CP728" i="5"/>
  <c r="CP1252" i="5"/>
  <c r="BT1241" i="5"/>
  <c r="BT723" i="5"/>
  <c r="BT658" i="5"/>
  <c r="CE1088" i="5"/>
  <c r="IB912" i="5"/>
  <c r="CE907" i="5"/>
  <c r="AG1692" i="2"/>
  <c r="JH833" i="5"/>
  <c r="AI1139" i="2" s="1"/>
  <c r="JE794" i="5"/>
  <c r="AH1100" i="2" s="1"/>
  <c r="AH561" i="2" s="1"/>
  <c r="IP756" i="5"/>
  <c r="AC1062" i="2" s="1"/>
  <c r="DA1253" i="5"/>
  <c r="DA739" i="5"/>
  <c r="CW1255" i="5"/>
  <c r="JH772" i="5"/>
  <c r="AI1078" i="2" s="1"/>
  <c r="IG771" i="5"/>
  <c r="Z1077" i="2" s="1"/>
  <c r="JE761" i="5"/>
  <c r="AH1067" i="2" s="1"/>
  <c r="AG1639" i="2" s="1"/>
  <c r="F714" i="5"/>
  <c r="F657" i="5"/>
  <c r="FO1096" i="5"/>
  <c r="BC723" i="5"/>
  <c r="BC1241" i="5"/>
  <c r="CI716" i="5"/>
  <c r="CI552" i="5"/>
  <c r="CI1233" i="5"/>
  <c r="AZ657" i="5"/>
  <c r="IR818" i="5"/>
  <c r="DN1027" i="5"/>
  <c r="DN1019" i="5" s="1"/>
  <c r="II1028" i="5"/>
  <c r="IJ697" i="5"/>
  <c r="AA917" i="2" s="1"/>
  <c r="D139" i="7"/>
  <c r="E139" i="7" s="1"/>
  <c r="IH696" i="5"/>
  <c r="IN888" i="5"/>
  <c r="IJ682" i="5"/>
  <c r="IH743" i="5"/>
  <c r="D126" i="7"/>
  <c r="IH1207" i="5"/>
  <c r="IF614" i="5"/>
  <c r="C61" i="7" s="1"/>
  <c r="C62" i="7"/>
  <c r="E62" i="7" s="1"/>
  <c r="DE1237" i="5"/>
  <c r="DE717" i="5"/>
  <c r="EY907" i="5"/>
  <c r="EY1086" i="5" s="1"/>
  <c r="IT908" i="5"/>
  <c r="EY1087" i="5"/>
  <c r="EY1251" i="5"/>
  <c r="CN552" i="5"/>
  <c r="CN716" i="5"/>
  <c r="CN1233" i="5"/>
  <c r="CN713" i="5"/>
  <c r="EF1253" i="5"/>
  <c r="EF667" i="5"/>
  <c r="II696" i="5"/>
  <c r="DI695" i="5"/>
  <c r="Z1046" i="2"/>
  <c r="Z1047" i="2" s="1"/>
  <c r="IE570" i="5"/>
  <c r="IE717" i="5" s="1"/>
  <c r="EB1076" i="5"/>
  <c r="CE1076" i="5"/>
  <c r="IB755" i="5"/>
  <c r="ER1237" i="5"/>
  <c r="IQ570" i="5"/>
  <c r="BO714" i="5"/>
  <c r="BO657" i="5"/>
  <c r="FX1086" i="5"/>
  <c r="IZ907" i="5"/>
  <c r="EI1096" i="5"/>
  <c r="EI1095" i="5"/>
  <c r="EV669" i="5"/>
  <c r="IR670" i="5"/>
  <c r="O115" i="7" s="1"/>
  <c r="EZ1096" i="5"/>
  <c r="EZ1095" i="5"/>
  <c r="DF1088" i="5"/>
  <c r="DF907" i="5"/>
  <c r="DF1086" i="5" s="1"/>
  <c r="IH733" i="5"/>
  <c r="IH660" i="5"/>
  <c r="D106" i="7"/>
  <c r="IJ661" i="5"/>
  <c r="AS654" i="5"/>
  <c r="AS715" i="5"/>
  <c r="AS652" i="5"/>
  <c r="AS550" i="5"/>
  <c r="AS658" i="5"/>
  <c r="AS1232" i="5"/>
  <c r="AS653" i="5"/>
  <c r="AC723" i="5"/>
  <c r="AC1241" i="5"/>
  <c r="AC658" i="5"/>
  <c r="AC657" i="5"/>
  <c r="CE1095" i="5"/>
  <c r="FU1019" i="5"/>
  <c r="IX1019" i="5" s="1"/>
  <c r="IX1027" i="5"/>
  <c r="FS1077" i="5"/>
  <c r="FS1237" i="5"/>
  <c r="IX803" i="5"/>
  <c r="EP1087" i="5"/>
  <c r="EP907" i="5"/>
  <c r="EP1086" i="5" s="1"/>
  <c r="IV762" i="5"/>
  <c r="AE1068" i="2" s="1"/>
  <c r="CZ1087" i="5"/>
  <c r="CZ907" i="5"/>
  <c r="CZ1086" i="5" s="1"/>
  <c r="IS573" i="5"/>
  <c r="CQ1237" i="5"/>
  <c r="CQ552" i="5"/>
  <c r="CQ717" i="5"/>
  <c r="DO717" i="5"/>
  <c r="DO1237" i="5"/>
  <c r="I723" i="5"/>
  <c r="I658" i="5"/>
  <c r="I1241" i="5"/>
  <c r="IQ850" i="5"/>
  <c r="BJ550" i="5"/>
  <c r="BJ657" i="5" s="1"/>
  <c r="FB1076" i="5"/>
  <c r="FB1233" i="5"/>
  <c r="IQ814" i="5"/>
  <c r="AI1420" i="2"/>
  <c r="AI1509" i="2" s="1"/>
  <c r="D92" i="7"/>
  <c r="E92" i="7" s="1"/>
  <c r="IH635" i="5"/>
  <c r="DF1252" i="5"/>
  <c r="DF728" i="5"/>
  <c r="FT813" i="5"/>
  <c r="FT754" i="5" s="1"/>
  <c r="IX814" i="5"/>
  <c r="IY814" i="5" s="1"/>
  <c r="AF1120" i="2" s="1"/>
  <c r="EM1248" i="5"/>
  <c r="IQ614" i="5"/>
  <c r="AZ1095" i="5"/>
  <c r="CR739" i="5"/>
  <c r="CR1253" i="5"/>
  <c r="AQ1241" i="5"/>
  <c r="AQ723" i="5"/>
  <c r="AQ658" i="5"/>
  <c r="BJ715" i="5"/>
  <c r="BI1095" i="5"/>
  <c r="CR720" i="5"/>
  <c r="CR576" i="5"/>
  <c r="CR1239" i="5"/>
  <c r="CN1077" i="5"/>
  <c r="IC803" i="5"/>
  <c r="DL1251" i="5"/>
  <c r="DL621" i="5"/>
  <c r="II628" i="5"/>
  <c r="F75" i="7" s="1"/>
  <c r="CT1027" i="5"/>
  <c r="CT1019" i="5" s="1"/>
  <c r="IE1028" i="5"/>
  <c r="EQ1248" i="5"/>
  <c r="EQ590" i="5"/>
  <c r="EM1252" i="5"/>
  <c r="IQ635" i="5"/>
  <c r="N82" i="7" s="1"/>
  <c r="N653" i="5"/>
  <c r="N654" i="5"/>
  <c r="N652" i="5"/>
  <c r="N715" i="5"/>
  <c r="N1232" i="5"/>
  <c r="N658" i="5"/>
  <c r="N550" i="5"/>
  <c r="N714" i="5" s="1"/>
  <c r="DZ1240" i="5"/>
  <c r="DZ628" i="5"/>
  <c r="DC1248" i="5"/>
  <c r="DC590" i="5"/>
  <c r="N83" i="7"/>
  <c r="IS636" i="5"/>
  <c r="EV606" i="5"/>
  <c r="IR608" i="5"/>
  <c r="O57" i="7" s="1"/>
  <c r="BK653" i="5"/>
  <c r="BK550" i="5"/>
  <c r="BK658" i="5"/>
  <c r="BK654" i="5"/>
  <c r="BK1232" i="5"/>
  <c r="BK652" i="5"/>
  <c r="BK715" i="5"/>
  <c r="IQ755" i="5"/>
  <c r="EM1076" i="5"/>
  <c r="IJ573" i="5"/>
  <c r="AA766" i="2" s="1"/>
  <c r="AA1583" i="2" s="1"/>
  <c r="D27" i="7"/>
  <c r="E27" i="7" s="1"/>
  <c r="BO665" i="5"/>
  <c r="BO737" i="5" s="1"/>
  <c r="BO731" i="5"/>
  <c r="DS1234" i="5"/>
  <c r="DS553" i="5"/>
  <c r="CE552" i="5"/>
  <c r="CE1233" i="5"/>
  <c r="CE716" i="5"/>
  <c r="IP817" i="5"/>
  <c r="AC1123" i="2" s="1"/>
  <c r="IF814" i="5"/>
  <c r="CX813" i="5"/>
  <c r="IG1035" i="5"/>
  <c r="Z1360" i="2" s="1"/>
  <c r="Y1661" i="2" s="1"/>
  <c r="IO993" i="5"/>
  <c r="EI1087" i="5"/>
  <c r="EI907" i="5"/>
  <c r="EI1086" i="5" s="1"/>
  <c r="IF1079" i="5"/>
  <c r="IG815" i="5"/>
  <c r="I54" i="7"/>
  <c r="K54" i="7" s="1"/>
  <c r="IM605" i="5"/>
  <c r="Z1690" i="2"/>
  <c r="IG1003" i="5"/>
  <c r="Z1329" i="2" s="1"/>
  <c r="IY756" i="5"/>
  <c r="AF1062" i="2" s="1"/>
  <c r="AI1272" i="2"/>
  <c r="AO1272" i="2"/>
  <c r="JZ951" i="5" s="1"/>
  <c r="G120" i="7"/>
  <c r="IM676" i="5"/>
  <c r="IK670" i="5"/>
  <c r="EJ1239" i="5"/>
  <c r="EJ576" i="5"/>
  <c r="JD850" i="5"/>
  <c r="JD1082" i="5" s="1"/>
  <c r="BU1092" i="5"/>
  <c r="IM757" i="5"/>
  <c r="AB1063" i="2" s="1"/>
  <c r="O16" i="7"/>
  <c r="IS561" i="5"/>
  <c r="I18" i="7"/>
  <c r="K18" i="7" s="1"/>
  <c r="IM563" i="5"/>
  <c r="IE912" i="5"/>
  <c r="CR1088" i="5"/>
  <c r="DF1237" i="5"/>
  <c r="DF717" i="5"/>
  <c r="FU1251" i="5"/>
  <c r="FU1249" i="5" s="1"/>
  <c r="FU1087" i="5"/>
  <c r="FU907" i="5"/>
  <c r="FU1086" i="5" s="1"/>
  <c r="IN1027" i="5"/>
  <c r="E714" i="5"/>
  <c r="E657" i="5"/>
  <c r="IU1027" i="5"/>
  <c r="FE1019" i="5"/>
  <c r="EC1096" i="5"/>
  <c r="EC1095" i="5"/>
  <c r="IN988" i="5"/>
  <c r="IL582" i="5"/>
  <c r="I34" i="7"/>
  <c r="K34" i="7" s="1"/>
  <c r="EY1237" i="5"/>
  <c r="EY1232" i="5" s="1"/>
  <c r="IT803" i="5"/>
  <c r="EY1077" i="5"/>
  <c r="EE1077" i="5"/>
  <c r="G25" i="7"/>
  <c r="H25" i="7" s="1"/>
  <c r="IK570" i="5"/>
  <c r="AB1046" i="2"/>
  <c r="AB1047" i="2" s="1"/>
  <c r="BX654" i="5"/>
  <c r="BX653" i="5"/>
  <c r="BX1232" i="5"/>
  <c r="BX658" i="5"/>
  <c r="BX715" i="5"/>
  <c r="BX550" i="5"/>
  <c r="BX652" i="5"/>
  <c r="DA1097" i="5"/>
  <c r="DA987" i="5"/>
  <c r="DA1095" i="5" s="1"/>
  <c r="CV1251" i="5"/>
  <c r="CV621" i="5"/>
  <c r="IS903" i="5"/>
  <c r="AD1224" i="2" s="1"/>
  <c r="I16" i="7"/>
  <c r="K16" i="7" s="1"/>
  <c r="IM561" i="5"/>
  <c r="IS562" i="5"/>
  <c r="N17" i="7"/>
  <c r="EE621" i="5"/>
  <c r="EE1251" i="5"/>
  <c r="AY652" i="5"/>
  <c r="AY653" i="5"/>
  <c r="AY1232" i="5"/>
  <c r="AY715" i="5"/>
  <c r="AY550" i="5"/>
  <c r="AY654" i="5"/>
  <c r="AY658" i="5"/>
  <c r="CM628" i="5"/>
  <c r="CM721" i="5"/>
  <c r="CM576" i="5"/>
  <c r="CM1240" i="5"/>
  <c r="CF1233" i="5"/>
  <c r="CF716" i="5"/>
  <c r="CF552" i="5"/>
  <c r="FG1088" i="5"/>
  <c r="FG1250" i="5"/>
  <c r="IU912" i="5"/>
  <c r="CP552" i="5"/>
  <c r="CP716" i="5"/>
  <c r="CP1233" i="5"/>
  <c r="IK660" i="5"/>
  <c r="IM660" i="5" s="1"/>
  <c r="IM732" i="5" s="1"/>
  <c r="IM661" i="5"/>
  <c r="IM733" i="5" s="1"/>
  <c r="G106" i="7"/>
  <c r="IK733" i="5"/>
  <c r="AB1044" i="2"/>
  <c r="AB1045" i="2" s="1"/>
  <c r="AC1044" i="2" s="1"/>
  <c r="AC1045" i="2" s="1"/>
  <c r="IS583" i="5"/>
  <c r="N34" i="7"/>
  <c r="C86" i="7"/>
  <c r="E86" i="7" s="1"/>
  <c r="IF635" i="5"/>
  <c r="CU728" i="5"/>
  <c r="CU1252" i="5"/>
  <c r="IO891" i="5"/>
  <c r="IO892" i="5" s="1"/>
  <c r="DN813" i="5"/>
  <c r="DN754" i="5" s="1"/>
  <c r="II814" i="5"/>
  <c r="CL621" i="5"/>
  <c r="CL1251" i="5"/>
  <c r="EZ1251" i="5"/>
  <c r="EZ1087" i="5"/>
  <c r="EZ907" i="5"/>
  <c r="EZ1086" i="5" s="1"/>
  <c r="ES1092" i="5"/>
  <c r="IR947" i="5"/>
  <c r="DI590" i="5"/>
  <c r="DI724" i="5" s="1"/>
  <c r="CY1253" i="5"/>
  <c r="CY739" i="5"/>
  <c r="ED1237" i="5"/>
  <c r="ED552" i="5"/>
  <c r="JE876" i="5"/>
  <c r="AH1196" i="2" s="1"/>
  <c r="AG1656" i="2" s="1"/>
  <c r="CX1252" i="5"/>
  <c r="CX728" i="5"/>
  <c r="IG608" i="5"/>
  <c r="EG1077" i="5"/>
  <c r="IO803" i="5"/>
  <c r="IJ1035" i="5"/>
  <c r="AA1360" i="2" s="1"/>
  <c r="IF1028" i="5"/>
  <c r="EM1254" i="5"/>
  <c r="EM667" i="5"/>
  <c r="IV817" i="5"/>
  <c r="IS616" i="5"/>
  <c r="N63" i="7"/>
  <c r="CV1097" i="5"/>
  <c r="CV987" i="5"/>
  <c r="CV1095" i="5" s="1"/>
  <c r="CT1087" i="5"/>
  <c r="CT907" i="5"/>
  <c r="CT1086" i="5" s="1"/>
  <c r="DS1247" i="5"/>
  <c r="DS590" i="5"/>
  <c r="EM1240" i="5"/>
  <c r="IQ582" i="5"/>
  <c r="N33" i="7" s="1"/>
  <c r="EM628" i="5"/>
  <c r="HC906" i="5"/>
  <c r="JH885" i="5"/>
  <c r="AI1206" i="2" s="1"/>
  <c r="JD1019" i="5"/>
  <c r="HC813" i="5"/>
  <c r="HC754" i="5" s="1"/>
  <c r="JC947" i="5"/>
  <c r="JC1092" i="5" s="1"/>
  <c r="IM798" i="5"/>
  <c r="AB1104" i="2" s="1"/>
  <c r="AB569" i="2" s="1"/>
  <c r="N65" i="7"/>
  <c r="IS618" i="5"/>
  <c r="P65" i="7" s="1"/>
  <c r="F69" i="7"/>
  <c r="EF1088" i="5"/>
  <c r="IN912" i="5"/>
  <c r="CH1082" i="5"/>
  <c r="IB850" i="5"/>
  <c r="DG717" i="5"/>
  <c r="DG1237" i="5"/>
  <c r="IP994" i="5"/>
  <c r="AC1320" i="2" s="1"/>
  <c r="CU1253" i="5"/>
  <c r="CU739" i="5"/>
  <c r="IR599" i="5"/>
  <c r="O50" i="7" s="1"/>
  <c r="DQ1097" i="5"/>
  <c r="DQ1095" i="5"/>
  <c r="IE826" i="5"/>
  <c r="IE1081" i="5" s="1"/>
  <c r="AQ924" i="5"/>
  <c r="AQ1075" i="5"/>
  <c r="AQ906" i="5"/>
  <c r="AQ1085" i="5" s="1"/>
  <c r="AQ905" i="5"/>
  <c r="AQ1084" i="5" s="1"/>
  <c r="AQ925" i="5"/>
  <c r="AQ1091" i="5" s="1"/>
  <c r="EU1256" i="5"/>
  <c r="EU681" i="5"/>
  <c r="IR695" i="5"/>
  <c r="IM617" i="5"/>
  <c r="EF1087" i="5"/>
  <c r="EF907" i="5"/>
  <c r="IN908" i="5"/>
  <c r="DK1077" i="5"/>
  <c r="CY1248" i="5"/>
  <c r="CY590" i="5"/>
  <c r="CU1087" i="5"/>
  <c r="CU907" i="5"/>
  <c r="CU1086" i="5" s="1"/>
  <c r="IY876" i="5"/>
  <c r="AF1196" i="2" s="1"/>
  <c r="AF1656" i="2" s="1"/>
  <c r="CA1232" i="5"/>
  <c r="CA715" i="5"/>
  <c r="CA550" i="5"/>
  <c r="CA714" i="5" s="1"/>
  <c r="JG869" i="5"/>
  <c r="IR560" i="5"/>
  <c r="O15" i="7" s="1"/>
  <c r="JG908" i="5"/>
  <c r="JG907" i="5" s="1"/>
  <c r="JG1057" i="5" s="1"/>
  <c r="JG1066" i="5" s="1"/>
  <c r="ET1248" i="5"/>
  <c r="IR614" i="5"/>
  <c r="O61" i="7" s="1"/>
  <c r="ET590" i="5"/>
  <c r="DF720" i="5"/>
  <c r="DF1239" i="5"/>
  <c r="IQ560" i="5"/>
  <c r="N15" i="7" s="1"/>
  <c r="DL1088" i="5"/>
  <c r="DL907" i="5"/>
  <c r="CM1237" i="5"/>
  <c r="CM717" i="5"/>
  <c r="CM552" i="5"/>
  <c r="N18" i="7"/>
  <c r="IS563" i="5"/>
  <c r="CH1096" i="5"/>
  <c r="CH987" i="5"/>
  <c r="CH1095" i="5" s="1"/>
  <c r="IS671" i="5"/>
  <c r="DI1019" i="5"/>
  <c r="FK1082" i="5"/>
  <c r="FD1096" i="5"/>
  <c r="BS906" i="5"/>
  <c r="BS1085" i="5" s="1"/>
  <c r="BS925" i="5"/>
  <c r="BS1091" i="5" s="1"/>
  <c r="BS905" i="5"/>
  <c r="BS1084" i="5" s="1"/>
  <c r="BS1075" i="5"/>
  <c r="BS924" i="5"/>
  <c r="EF813" i="5"/>
  <c r="EF754" i="5" s="1"/>
  <c r="IN814" i="5"/>
  <c r="LB906" i="5"/>
  <c r="LB1085" i="5" s="1"/>
  <c r="LB925" i="5"/>
  <c r="LB1091" i="5" s="1"/>
  <c r="DI1077" i="5"/>
  <c r="II803" i="5"/>
  <c r="IF755" i="5"/>
  <c r="IF1076" i="5" s="1"/>
  <c r="CY1076" i="5"/>
  <c r="CU987" i="5"/>
  <c r="CU1095" i="5" s="1"/>
  <c r="CU1097" i="5"/>
  <c r="IS572" i="5"/>
  <c r="P26" i="7" s="1"/>
  <c r="N26" i="7"/>
  <c r="IX1028" i="5"/>
  <c r="CQ683" i="5"/>
  <c r="IE685" i="5"/>
  <c r="IG685" i="5"/>
  <c r="FH1097" i="5"/>
  <c r="FH1253" i="5"/>
  <c r="CG1096" i="5"/>
  <c r="CG987" i="5"/>
  <c r="CG1095" i="5" s="1"/>
  <c r="EV1096" i="5"/>
  <c r="EV1095" i="5"/>
  <c r="IR988" i="5"/>
  <c r="JH799" i="5"/>
  <c r="AI1105" i="2" s="1"/>
  <c r="AU1241" i="5"/>
  <c r="AU723" i="5"/>
  <c r="CO1088" i="5"/>
  <c r="CO907" i="5"/>
  <c r="CO1086" i="5" s="1"/>
  <c r="F140" i="7"/>
  <c r="IJ698" i="5"/>
  <c r="AA918" i="2" s="1"/>
  <c r="EG1087" i="5"/>
  <c r="EG907" i="5"/>
  <c r="EG1086" i="5" s="1"/>
  <c r="G84" i="7"/>
  <c r="H84" i="7" s="1"/>
  <c r="IM637" i="5"/>
  <c r="IT850" i="5"/>
  <c r="EY1082" i="5"/>
  <c r="AP1095" i="5"/>
  <c r="CF813" i="5"/>
  <c r="IB814" i="5"/>
  <c r="BS1241" i="5"/>
  <c r="BS723" i="5"/>
  <c r="IE887" i="5"/>
  <c r="IE889" i="5" s="1"/>
  <c r="IE890" i="5"/>
  <c r="CF1087" i="5"/>
  <c r="CF907" i="5"/>
  <c r="CF1086" i="5" s="1"/>
  <c r="IB908" i="5"/>
  <c r="IS869" i="5"/>
  <c r="II912" i="5"/>
  <c r="ID819" i="5"/>
  <c r="AV1075" i="5"/>
  <c r="AV906" i="5"/>
  <c r="AV1085" i="5" s="1"/>
  <c r="AV924" i="5"/>
  <c r="AV1090" i="5" s="1"/>
  <c r="AV905" i="5"/>
  <c r="AV1084" i="5" s="1"/>
  <c r="AV925" i="5"/>
  <c r="AV1091" i="5" s="1"/>
  <c r="FC1233" i="5"/>
  <c r="FC1076" i="5"/>
  <c r="CB1241" i="5"/>
  <c r="CB723" i="5"/>
  <c r="GY906" i="5"/>
  <c r="JE771" i="5"/>
  <c r="AH1077" i="2" s="1"/>
  <c r="AG1671" i="2" s="1"/>
  <c r="JE832" i="5"/>
  <c r="AH1138" i="2" s="1"/>
  <c r="EJ1256" i="5"/>
  <c r="EJ681" i="5"/>
  <c r="CG717" i="5"/>
  <c r="CG1237" i="5"/>
  <c r="I43" i="7"/>
  <c r="K43" i="7" s="1"/>
  <c r="IM592" i="5"/>
  <c r="N84" i="7"/>
  <c r="IS637" i="5"/>
  <c r="P84" i="7" s="1"/>
  <c r="BY653" i="5"/>
  <c r="BY715" i="5"/>
  <c r="BY1232" i="5"/>
  <c r="BY658" i="5"/>
  <c r="BY550" i="5"/>
  <c r="BY652" i="5"/>
  <c r="IW993" i="5"/>
  <c r="G69" i="7"/>
  <c r="IM622" i="5"/>
  <c r="EL1097" i="5"/>
  <c r="EL1095" i="5"/>
  <c r="IK635" i="5"/>
  <c r="EG1233" i="5"/>
  <c r="EG552" i="5"/>
  <c r="FR1237" i="5"/>
  <c r="FR1077" i="5"/>
  <c r="EN1027" i="5"/>
  <c r="IQ1028" i="5"/>
  <c r="FV1097" i="5"/>
  <c r="FV1253" i="5"/>
  <c r="JH919" i="5"/>
  <c r="AI1240" i="2" s="1"/>
  <c r="GS906" i="5"/>
  <c r="ID802" i="5"/>
  <c r="Y1108" i="2" s="1"/>
  <c r="DF576" i="5"/>
  <c r="DF1238" i="5" s="1"/>
  <c r="JH791" i="5"/>
  <c r="AI1097" i="2" s="1"/>
  <c r="AI480" i="2" s="1"/>
  <c r="W714" i="5"/>
  <c r="W657" i="5"/>
  <c r="DY1248" i="5"/>
  <c r="DY590" i="5"/>
  <c r="CF1237" i="5"/>
  <c r="CF717" i="5"/>
  <c r="DV1096" i="5"/>
  <c r="DV1095" i="5"/>
  <c r="IP769" i="5"/>
  <c r="AC1075" i="2" s="1"/>
  <c r="CX1253" i="5"/>
  <c r="CX739" i="5"/>
  <c r="IK582" i="5"/>
  <c r="G34" i="7"/>
  <c r="H34" i="7" s="1"/>
  <c r="IM583" i="5"/>
  <c r="DO681" i="5"/>
  <c r="DO1256" i="5"/>
  <c r="EH1247" i="5"/>
  <c r="EH590" i="5"/>
  <c r="EH1242" i="5" s="1"/>
  <c r="L1232" i="5"/>
  <c r="L654" i="5"/>
  <c r="L715" i="5"/>
  <c r="L652" i="5"/>
  <c r="L550" i="5"/>
  <c r="L658" i="5"/>
  <c r="L653" i="5"/>
  <c r="AE1086" i="5"/>
  <c r="CR1087" i="5"/>
  <c r="IE908" i="5"/>
  <c r="IE1087" i="5" s="1"/>
  <c r="CR907" i="5"/>
  <c r="CR1086" i="5" s="1"/>
  <c r="GX813" i="5"/>
  <c r="GX754" i="5" s="1"/>
  <c r="IJ566" i="5"/>
  <c r="AA759" i="2" s="1"/>
  <c r="IY1035" i="5"/>
  <c r="AF1360" i="2" s="1"/>
  <c r="IF599" i="5"/>
  <c r="C51" i="7"/>
  <c r="AA1790" i="2"/>
  <c r="AA1824" i="2" s="1"/>
  <c r="JF826" i="5"/>
  <c r="IS801" i="5"/>
  <c r="AD1107" i="2" s="1"/>
  <c r="JE955" i="5"/>
  <c r="AH1276" i="2" s="1"/>
  <c r="CK1253" i="5"/>
  <c r="CK739" i="5"/>
  <c r="EI1256" i="5"/>
  <c r="EI681" i="5"/>
  <c r="DP721" i="5"/>
  <c r="DP1240" i="5"/>
  <c r="DP628" i="5"/>
  <c r="BB1078" i="5"/>
  <c r="BB754" i="5"/>
  <c r="BB932" i="5" s="1"/>
  <c r="JE799" i="5"/>
  <c r="AH1105" i="2" s="1"/>
  <c r="CD654" i="5"/>
  <c r="CD715" i="5"/>
  <c r="CD653" i="5"/>
  <c r="CD550" i="5"/>
  <c r="CD652" i="5"/>
  <c r="CD658" i="5"/>
  <c r="CD1232" i="5"/>
  <c r="IY1000" i="5"/>
  <c r="AF1326" i="2" s="1"/>
  <c r="CX1097" i="5"/>
  <c r="CX987" i="5"/>
  <c r="CX1095" i="5" s="1"/>
  <c r="N25" i="7"/>
  <c r="IS571" i="5"/>
  <c r="G51" i="7"/>
  <c r="H51" i="7" s="1"/>
  <c r="IM600" i="5"/>
  <c r="IM699" i="5"/>
  <c r="IM1213" i="5" s="1"/>
  <c r="G141" i="7"/>
  <c r="IK1213" i="5"/>
  <c r="CV1252" i="5"/>
  <c r="CV728" i="5"/>
  <c r="DX813" i="5"/>
  <c r="DX754" i="5" s="1"/>
  <c r="IL818" i="5"/>
  <c r="DP1076" i="5"/>
  <c r="DE1233" i="5"/>
  <c r="DE552" i="5"/>
  <c r="DE716" i="5"/>
  <c r="EH1234" i="5"/>
  <c r="EH553" i="5"/>
  <c r="IG817" i="5"/>
  <c r="IE1080" i="5"/>
  <c r="FB1251" i="5"/>
  <c r="FB907" i="5"/>
  <c r="FB1086" i="5" s="1"/>
  <c r="FB1087" i="5"/>
  <c r="DC1237" i="5"/>
  <c r="DC717" i="5"/>
  <c r="IG599" i="5"/>
  <c r="JH787" i="5"/>
  <c r="AI1093" i="2" s="1"/>
  <c r="JD818" i="5"/>
  <c r="JC818" i="5"/>
  <c r="IR912" i="5"/>
  <c r="ES1088" i="5"/>
  <c r="ES907" i="5"/>
  <c r="JE835" i="5"/>
  <c r="AH1141" i="2" s="1"/>
  <c r="JH839" i="5"/>
  <c r="AI1145" i="2" s="1"/>
  <c r="DS1096" i="5"/>
  <c r="DS1095" i="5"/>
  <c r="Z1691" i="2"/>
  <c r="IJ1003" i="5"/>
  <c r="AA1329" i="2" s="1"/>
  <c r="DU1096" i="5"/>
  <c r="IL988" i="5"/>
  <c r="AH1078" i="5"/>
  <c r="AH754" i="5"/>
  <c r="AH932" i="5" s="1"/>
  <c r="N22" i="7"/>
  <c r="IS567" i="5"/>
  <c r="DU1248" i="5"/>
  <c r="IL614" i="5"/>
  <c r="I61" i="7" s="1"/>
  <c r="K61" i="7" s="1"/>
  <c r="EX1233" i="5"/>
  <c r="EX552" i="5"/>
  <c r="D129" i="7"/>
  <c r="IM565" i="5"/>
  <c r="G20" i="7"/>
  <c r="H20" i="7" s="1"/>
  <c r="CS1096" i="5"/>
  <c r="CS987" i="5"/>
  <c r="CS1095" i="5" s="1"/>
  <c r="FH1251" i="5"/>
  <c r="FH1249" i="5" s="1"/>
  <c r="FH907" i="5"/>
  <c r="FH1086" i="5" s="1"/>
  <c r="FH1087" i="5"/>
  <c r="K654" i="5"/>
  <c r="K652" i="5"/>
  <c r="K715" i="5"/>
  <c r="K1232" i="5"/>
  <c r="K658" i="5"/>
  <c r="K653" i="5"/>
  <c r="K550" i="5"/>
  <c r="D20" i="7"/>
  <c r="IJ565" i="5"/>
  <c r="AA758" i="2" s="1"/>
  <c r="AA1581" i="2" s="1"/>
  <c r="IS851" i="5"/>
  <c r="AD1157" i="2" s="1"/>
  <c r="BN658" i="5"/>
  <c r="BN1241" i="5"/>
  <c r="BN723" i="5"/>
  <c r="FD1087" i="5"/>
  <c r="FD1251" i="5"/>
  <c r="IC818" i="5"/>
  <c r="CQ1019" i="5"/>
  <c r="AX905" i="5"/>
  <c r="AX1084" i="5" s="1"/>
  <c r="AX924" i="5"/>
  <c r="AX1075" i="5"/>
  <c r="AX925" i="5"/>
  <c r="AX1091" i="5" s="1"/>
  <c r="AX906" i="5"/>
  <c r="AX1085" i="5" s="1"/>
  <c r="H17" i="7"/>
  <c r="DV1256" i="5"/>
  <c r="DV681" i="5"/>
  <c r="FB1027" i="5"/>
  <c r="IT1028" i="5"/>
  <c r="DT1088" i="5"/>
  <c r="DT907" i="5"/>
  <c r="DT1086" i="5" s="1"/>
  <c r="AA1046" i="2"/>
  <c r="D25" i="7"/>
  <c r="E25" i="7" s="1"/>
  <c r="IH570" i="5"/>
  <c r="IJ571" i="5"/>
  <c r="AA764" i="2" s="1"/>
  <c r="IL891" i="5"/>
  <c r="JH835" i="5"/>
  <c r="AI1141" i="2" s="1"/>
  <c r="JH820" i="5"/>
  <c r="AI1126" i="2" s="1"/>
  <c r="AI1410" i="2" s="1"/>
  <c r="AI1499" i="2" s="1"/>
  <c r="JE773" i="5"/>
  <c r="AH1079" i="2" s="1"/>
  <c r="JD826" i="5"/>
  <c r="JD1081" i="5" s="1"/>
  <c r="ID801" i="5"/>
  <c r="Y1107" i="2" s="1"/>
  <c r="DE907" i="5"/>
  <c r="DE1086" i="5" s="1"/>
  <c r="DE1088" i="5"/>
  <c r="DK1081" i="5"/>
  <c r="II826" i="5"/>
  <c r="DS1252" i="5"/>
  <c r="DS728" i="5"/>
  <c r="EQ1087" i="5"/>
  <c r="EQ907" i="5"/>
  <c r="EQ1086" i="5" s="1"/>
  <c r="G14" i="7"/>
  <c r="H14" i="7" s="1"/>
  <c r="IM559" i="5"/>
  <c r="JB1088" i="5"/>
  <c r="AG1233" i="2"/>
  <c r="G89" i="7"/>
  <c r="H89" i="7" s="1"/>
  <c r="IM643" i="5"/>
  <c r="IS566" i="5"/>
  <c r="P21" i="7" s="1"/>
  <c r="O21" i="7"/>
  <c r="CL717" i="5"/>
  <c r="CL1237" i="5"/>
  <c r="CL552" i="5"/>
  <c r="FB1237" i="5"/>
  <c r="FB1077" i="5"/>
  <c r="BD658" i="5"/>
  <c r="BD723" i="5"/>
  <c r="BD1241" i="5"/>
  <c r="KZ588" i="5"/>
  <c r="KZ724" i="5"/>
  <c r="IK803" i="5"/>
  <c r="DO1077" i="5"/>
  <c r="N90" i="7"/>
  <c r="IS644" i="5"/>
  <c r="EM1097" i="5"/>
  <c r="EM1095" i="5"/>
  <c r="BO1241" i="5"/>
  <c r="BO723" i="5"/>
  <c r="CH621" i="5"/>
  <c r="CH1251" i="5"/>
  <c r="FD1253" i="5"/>
  <c r="FD1097" i="5"/>
  <c r="CC1241" i="5"/>
  <c r="CC723" i="5"/>
  <c r="IC912" i="5"/>
  <c r="FU1077" i="5"/>
  <c r="FU1237" i="5"/>
  <c r="IV1035" i="5"/>
  <c r="AE1360" i="2" s="1"/>
  <c r="BK1241" i="5"/>
  <c r="BK723" i="5"/>
  <c r="F33" i="7"/>
  <c r="II721" i="5"/>
  <c r="JH829" i="5"/>
  <c r="AI1135" i="2" s="1"/>
  <c r="IE553" i="5"/>
  <c r="IE716" i="5" s="1"/>
  <c r="FG1251" i="5"/>
  <c r="FG907" i="5"/>
  <c r="FG1087" i="5"/>
  <c r="IU908" i="5"/>
  <c r="N130" i="7"/>
  <c r="IS686" i="5"/>
  <c r="P130" i="7" s="1"/>
  <c r="CZ1253" i="5"/>
  <c r="CZ739" i="5"/>
  <c r="DM1252" i="5"/>
  <c r="DM728" i="5"/>
  <c r="BV714" i="5"/>
  <c r="BV657" i="5"/>
  <c r="DY552" i="5"/>
  <c r="DY1233" i="5"/>
  <c r="FO1087" i="5"/>
  <c r="FO1251" i="5"/>
  <c r="FO1249" i="5" s="1"/>
  <c r="FO1241" i="5" s="1"/>
  <c r="IW908" i="5"/>
  <c r="EW1237" i="5"/>
  <c r="EW552" i="5"/>
  <c r="EW1253" i="5"/>
  <c r="FJ1251" i="5"/>
  <c r="FJ1249" i="5" s="1"/>
  <c r="FJ1087" i="5"/>
  <c r="FV1251" i="5"/>
  <c r="FV907" i="5"/>
  <c r="FV1086" i="5" s="1"/>
  <c r="FV1087" i="5"/>
  <c r="N89" i="7"/>
  <c r="IS643" i="5"/>
  <c r="ER1233" i="5"/>
  <c r="ER552" i="5"/>
  <c r="IU818" i="5"/>
  <c r="IH755" i="5"/>
  <c r="DF1076" i="5"/>
  <c r="IM1029" i="5"/>
  <c r="AB1354" i="2" s="1"/>
  <c r="AB1470" i="2" s="1"/>
  <c r="IS661" i="5"/>
  <c r="EB1077" i="5"/>
  <c r="IN803" i="5"/>
  <c r="N13" i="7"/>
  <c r="IS558" i="5"/>
  <c r="BZ550" i="5"/>
  <c r="BZ1232" i="5"/>
  <c r="BZ653" i="5"/>
  <c r="BZ654" i="5"/>
  <c r="BZ715" i="5"/>
  <c r="BZ652" i="5"/>
  <c r="BZ658" i="5"/>
  <c r="JH767" i="5"/>
  <c r="AI1073" i="2" s="1"/>
  <c r="AI472" i="2" s="1"/>
  <c r="JG818" i="5"/>
  <c r="JH1028" i="5"/>
  <c r="AI1353" i="2" s="1"/>
  <c r="EM1087" i="5"/>
  <c r="IQ908" i="5"/>
  <c r="EM907" i="5"/>
  <c r="S1241" i="5"/>
  <c r="S658" i="5"/>
  <c r="S723" i="5"/>
  <c r="FL1092" i="5"/>
  <c r="DV1082" i="5"/>
  <c r="IL850" i="5"/>
  <c r="EL1077" i="5"/>
  <c r="IT993" i="5"/>
  <c r="IY877" i="5"/>
  <c r="AF1198" i="2" s="1"/>
  <c r="DV1251" i="5"/>
  <c r="DV621" i="5"/>
  <c r="DV1249" i="5" s="1"/>
  <c r="DX552" i="5"/>
  <c r="FA1077" i="5"/>
  <c r="FA1237" i="5"/>
  <c r="CO1233" i="5"/>
  <c r="CO716" i="5"/>
  <c r="AD1686" i="2"/>
  <c r="IS948" i="5"/>
  <c r="AD1269" i="2" s="1"/>
  <c r="DE1019" i="5"/>
  <c r="IB891" i="5"/>
  <c r="IB894" i="5" s="1"/>
  <c r="JE853" i="5"/>
  <c r="AH1159" i="2" s="1"/>
  <c r="DP1233" i="5"/>
  <c r="DP552" i="5"/>
  <c r="DP716" i="5"/>
  <c r="F16" i="7"/>
  <c r="H16" i="7" s="1"/>
  <c r="IJ561" i="5"/>
  <c r="AA754" i="2" s="1"/>
  <c r="CS1253" i="5"/>
  <c r="IG669" i="5"/>
  <c r="IG739" i="5" s="1"/>
  <c r="CS739" i="5"/>
  <c r="C20" i="7"/>
  <c r="IF553" i="5"/>
  <c r="DO1076" i="5"/>
  <c r="IK755" i="5"/>
  <c r="EF1076" i="5"/>
  <c r="AV1095" i="5"/>
  <c r="JC869" i="5"/>
  <c r="JC1058" i="5" s="1"/>
  <c r="GI850" i="5"/>
  <c r="JC850" i="5" s="1"/>
  <c r="EU1233" i="5"/>
  <c r="EU552" i="5"/>
  <c r="JE912" i="5"/>
  <c r="AH1233" i="2" s="1"/>
  <c r="JC1088" i="5"/>
  <c r="GL813" i="5"/>
  <c r="GL1238" i="5" s="1"/>
  <c r="JC814" i="5"/>
  <c r="JH877" i="5"/>
  <c r="AI1198" i="2" s="1"/>
  <c r="AI1652" i="2"/>
  <c r="JH1011" i="5"/>
  <c r="AI1337" i="2" s="1"/>
  <c r="AH1740" i="2"/>
  <c r="AH1738" i="2" s="1"/>
  <c r="EK1081" i="5"/>
  <c r="IO826" i="5"/>
  <c r="AI1651" i="2"/>
  <c r="JE817" i="5"/>
  <c r="AH1123" i="2" s="1"/>
  <c r="JC1080" i="5"/>
  <c r="JC755" i="5"/>
  <c r="JH851" i="5"/>
  <c r="AI1157" i="2" s="1"/>
  <c r="AG1092" i="5"/>
  <c r="CU1076" i="5"/>
  <c r="IR635" i="5"/>
  <c r="G31" i="7"/>
  <c r="H31" i="7" s="1"/>
  <c r="IM579" i="5"/>
  <c r="IK577" i="5"/>
  <c r="JH819" i="5"/>
  <c r="AI1125" i="2" s="1"/>
  <c r="AI1409" i="2" s="1"/>
  <c r="JF818" i="5"/>
  <c r="IG839" i="5"/>
  <c r="Z1145" i="2" s="1"/>
  <c r="O20" i="7"/>
  <c r="IS565" i="5"/>
  <c r="IP771" i="5"/>
  <c r="AC1077" i="2" s="1"/>
  <c r="DA1233" i="5"/>
  <c r="DA716" i="5"/>
  <c r="DA552" i="5"/>
  <c r="DL1076" i="5"/>
  <c r="DA1251" i="5"/>
  <c r="DA621" i="5"/>
  <c r="II887" i="5"/>
  <c r="JG947" i="5"/>
  <c r="AI1686" i="2"/>
  <c r="D13" i="7"/>
  <c r="E13" i="7" s="1"/>
  <c r="IJ558" i="5"/>
  <c r="AA751" i="2" s="1"/>
  <c r="F94" i="7"/>
  <c r="H94" i="7" s="1"/>
  <c r="IJ649" i="5"/>
  <c r="AA859" i="2" s="1"/>
  <c r="BH714" i="5"/>
  <c r="BH657" i="5"/>
  <c r="CR1076" i="5"/>
  <c r="IE755" i="5"/>
  <c r="EB1233" i="5"/>
  <c r="EB552" i="5"/>
  <c r="AI1747" i="2"/>
  <c r="AI1690" i="2"/>
  <c r="J658" i="5"/>
  <c r="J657" i="5"/>
  <c r="J1241" i="5"/>
  <c r="J723" i="5"/>
  <c r="AD761" i="2"/>
  <c r="HF906" i="5"/>
  <c r="JE756" i="5"/>
  <c r="AH1062" i="2" s="1"/>
  <c r="JH1003" i="5"/>
  <c r="AI1329" i="2" s="1"/>
  <c r="AI1745" i="2" s="1"/>
  <c r="JH853" i="5"/>
  <c r="AI1159" i="2" s="1"/>
  <c r="IZ1067" i="5"/>
  <c r="IL599" i="5"/>
  <c r="I50" i="7" s="1"/>
  <c r="K50" i="7" s="1"/>
  <c r="DX590" i="5"/>
  <c r="AG714" i="5"/>
  <c r="AG657" i="5"/>
  <c r="DG1238" i="5"/>
  <c r="DG719" i="5"/>
  <c r="DP1239" i="5"/>
  <c r="DP720" i="5"/>
  <c r="DP576" i="5"/>
  <c r="EX1076" i="5"/>
  <c r="IR755" i="5"/>
  <c r="DQ1081" i="5"/>
  <c r="IK826" i="5"/>
  <c r="IS694" i="5"/>
  <c r="N136" i="7"/>
  <c r="EH1251" i="5"/>
  <c r="EH621" i="5"/>
  <c r="DJ728" i="5"/>
  <c r="II635" i="5"/>
  <c r="DJ1252" i="5"/>
  <c r="EZ1076" i="5"/>
  <c r="EZ1233" i="5"/>
  <c r="IT755" i="5"/>
  <c r="EU606" i="5"/>
  <c r="IR612" i="5"/>
  <c r="IS612" i="5" s="1"/>
  <c r="II890" i="5"/>
  <c r="JD947" i="5"/>
  <c r="JD1092" i="5" s="1"/>
  <c r="AH1375" i="2"/>
  <c r="HA906" i="5"/>
  <c r="JG826" i="5"/>
  <c r="JE870" i="5"/>
  <c r="AH1189" i="2" s="1"/>
  <c r="AG1657" i="2" s="1"/>
  <c r="N31" i="7"/>
  <c r="IS579" i="5"/>
  <c r="CA658" i="5"/>
  <c r="CA1241" i="5"/>
  <c r="CA723" i="5"/>
  <c r="EQ1255" i="5"/>
  <c r="IQ683" i="5"/>
  <c r="I105" i="7"/>
  <c r="K105" i="7" s="1"/>
  <c r="CJ1233" i="5"/>
  <c r="CJ716" i="5"/>
  <c r="CJ552" i="5"/>
  <c r="EI1076" i="5"/>
  <c r="GP906" i="5"/>
  <c r="JH903" i="5"/>
  <c r="AI1224" i="2" s="1"/>
  <c r="EM576" i="5"/>
  <c r="EM1239" i="5"/>
  <c r="IQ577" i="5"/>
  <c r="BH665" i="5"/>
  <c r="BH737" i="5" s="1"/>
  <c r="BH731" i="5"/>
  <c r="ED1076" i="5"/>
  <c r="IN755" i="5"/>
  <c r="AD657" i="5"/>
  <c r="AD714" i="5"/>
  <c r="GI907" i="5"/>
  <c r="JC908" i="5"/>
  <c r="BE1095" i="5"/>
  <c r="CQ728" i="5"/>
  <c r="CQ1252" i="5"/>
  <c r="CV1239" i="5"/>
  <c r="CV720" i="5"/>
  <c r="CV576" i="5"/>
  <c r="JH817" i="5"/>
  <c r="AI1123" i="2" s="1"/>
  <c r="DJ1076" i="5"/>
  <c r="II755" i="5"/>
  <c r="AB1241" i="5"/>
  <c r="AB723" i="5"/>
  <c r="AB658" i="5"/>
  <c r="AB657" i="5"/>
  <c r="AN658" i="5"/>
  <c r="AN1241" i="5"/>
  <c r="AN723" i="5"/>
  <c r="JD1080" i="5"/>
  <c r="GI1250" i="5"/>
  <c r="GI1249" i="5" s="1"/>
  <c r="Q652" i="5"/>
  <c r="Q1232" i="5"/>
  <c r="Q653" i="5"/>
  <c r="Q550" i="5"/>
  <c r="Q715" i="5"/>
  <c r="Q654" i="5"/>
  <c r="Q658" i="5"/>
  <c r="N30" i="7"/>
  <c r="IS578" i="5"/>
  <c r="IX755" i="5"/>
  <c r="FR1233" i="5"/>
  <c r="FR1076" i="5"/>
  <c r="G11" i="7"/>
  <c r="H11" i="7" s="1"/>
  <c r="IM556" i="5"/>
  <c r="FN1081" i="5"/>
  <c r="FN1237" i="5"/>
  <c r="FN1232" i="5" s="1"/>
  <c r="IW826" i="5"/>
  <c r="IY793" i="5"/>
  <c r="AF1099" i="2" s="1"/>
  <c r="F120" i="7"/>
  <c r="II670" i="5"/>
  <c r="IJ676" i="5"/>
  <c r="IJ756" i="5"/>
  <c r="AA1062" i="2" s="1"/>
  <c r="JH792" i="5"/>
  <c r="AI1098" i="2" s="1"/>
  <c r="JE793" i="5"/>
  <c r="AH1099" i="2" s="1"/>
  <c r="AH1690" i="2"/>
  <c r="AH1747" i="2"/>
  <c r="GO993" i="5"/>
  <c r="JD994" i="5"/>
  <c r="AH1719" i="2" s="1"/>
  <c r="JF1009" i="5"/>
  <c r="AH1720" i="2" s="1"/>
  <c r="JE961" i="5"/>
  <c r="AH1282" i="2" s="1"/>
  <c r="AG1703" i="2"/>
  <c r="AG1707" i="2" s="1"/>
  <c r="GO907" i="5"/>
  <c r="JD908" i="5"/>
  <c r="JD1087" i="5" s="1"/>
  <c r="BM1092" i="5"/>
  <c r="I42" i="7"/>
  <c r="K42" i="7" s="1"/>
  <c r="IM591" i="5"/>
  <c r="EO1233" i="5"/>
  <c r="EO552" i="5"/>
  <c r="IB887" i="5"/>
  <c r="IB889" i="5" s="1"/>
  <c r="FU1076" i="5"/>
  <c r="FU1233" i="5"/>
  <c r="EO1239" i="5"/>
  <c r="EO576" i="5"/>
  <c r="EO1238" i="5" s="1"/>
  <c r="JG814" i="5"/>
  <c r="CP1076" i="5"/>
  <c r="IC755" i="5"/>
  <c r="DR606" i="5"/>
  <c r="IK608" i="5"/>
  <c r="DW1076" i="5"/>
  <c r="IL755" i="5"/>
  <c r="ES621" i="5"/>
  <c r="ES1251" i="5"/>
  <c r="ET1081" i="5"/>
  <c r="IR826" i="5"/>
  <c r="FS1233" i="5"/>
  <c r="FS1076" i="5"/>
  <c r="JE815" i="5"/>
  <c r="AH1121" i="2" s="1"/>
  <c r="AH1406" i="2" s="1"/>
  <c r="JC1079" i="5"/>
  <c r="JC1019" i="5"/>
  <c r="EH1252" i="5"/>
  <c r="EB1247" i="5"/>
  <c r="EB590" i="5"/>
  <c r="FG1076" i="5"/>
  <c r="IU755" i="5"/>
  <c r="FG1233" i="5"/>
  <c r="DU1239" i="5"/>
  <c r="IL577" i="5"/>
  <c r="DU576" i="5"/>
  <c r="DR1234" i="5"/>
  <c r="DR553" i="5"/>
  <c r="IK555" i="5"/>
  <c r="DG1251" i="5"/>
  <c r="DG621" i="5"/>
  <c r="O94" i="7"/>
  <c r="IS649" i="5"/>
  <c r="HB906" i="5"/>
  <c r="JE967" i="5"/>
  <c r="AH1288" i="2" s="1"/>
  <c r="JE1021" i="5"/>
  <c r="AH1346" i="2" s="1"/>
  <c r="JC826" i="5"/>
  <c r="JE757" i="5"/>
  <c r="AH1063" i="2" s="1"/>
  <c r="AH440" i="2" s="1"/>
  <c r="AH441" i="2" s="1"/>
  <c r="DZ1088" i="5"/>
  <c r="DZ907" i="5"/>
  <c r="DZ1086" i="5" s="1"/>
  <c r="IL912" i="5"/>
  <c r="IE560" i="5"/>
  <c r="IG560" i="5"/>
  <c r="I12" i="7"/>
  <c r="K12" i="7" s="1"/>
  <c r="IM557" i="5"/>
  <c r="IV756" i="5"/>
  <c r="AE1062" i="2" s="1"/>
  <c r="I30" i="7"/>
  <c r="K30" i="7" s="1"/>
  <c r="IM578" i="5"/>
  <c r="CL1081" i="5"/>
  <c r="IC826" i="5"/>
  <c r="DJ683" i="5"/>
  <c r="DJ1255" i="5" s="1"/>
  <c r="II685" i="5"/>
  <c r="N46" i="7"/>
  <c r="IS595" i="5"/>
  <c r="AH1651" i="2"/>
  <c r="JH769" i="5"/>
  <c r="AI1075" i="2" s="1"/>
  <c r="AI484" i="2" s="1"/>
  <c r="JH870" i="5"/>
  <c r="AI1189" i="2" s="1"/>
  <c r="JF869" i="5"/>
  <c r="JC948" i="5"/>
  <c r="JE839" i="5"/>
  <c r="AH1145" i="2" s="1"/>
  <c r="JH955" i="5"/>
  <c r="AI1276" i="2" s="1"/>
  <c r="AH1703" i="2"/>
  <c r="AH1707" i="2" s="1"/>
  <c r="JH876" i="5"/>
  <c r="AI1196" i="2" s="1"/>
  <c r="AI1656" i="2" s="1"/>
  <c r="JE827" i="5"/>
  <c r="AH1133" i="2" s="1"/>
  <c r="JE851" i="5"/>
  <c r="AH1157" i="2" s="1"/>
  <c r="G53" i="7"/>
  <c r="H53" i="7" s="1"/>
  <c r="IK599" i="5"/>
  <c r="IM603" i="5"/>
  <c r="IR613" i="5"/>
  <c r="ES606" i="5"/>
  <c r="CR1233" i="5"/>
  <c r="CR716" i="5"/>
  <c r="CR552" i="5"/>
  <c r="EN606" i="5"/>
  <c r="IQ608" i="5"/>
  <c r="DZ606" i="5"/>
  <c r="IL608" i="5"/>
  <c r="I57" i="7" s="1"/>
  <c r="I92" i="7"/>
  <c r="K92" i="7" s="1"/>
  <c r="IM646" i="5"/>
  <c r="IL635" i="5"/>
  <c r="AQ657" i="5"/>
  <c r="AQ714" i="5"/>
  <c r="FA1076" i="5"/>
  <c r="FA1233" i="5"/>
  <c r="DA1239" i="5"/>
  <c r="DA720" i="5"/>
  <c r="DA576" i="5"/>
  <c r="IG756" i="5"/>
  <c r="Z1062" i="2" s="1"/>
  <c r="DZ1081" i="5"/>
  <c r="IL826" i="5"/>
  <c r="DF1251" i="5"/>
  <c r="DF621" i="5"/>
  <c r="IH582" i="5"/>
  <c r="D34" i="7"/>
  <c r="E34" i="7" s="1"/>
  <c r="IJ583" i="5"/>
  <c r="AA780" i="2" s="1"/>
  <c r="G47" i="7"/>
  <c r="H47" i="7" s="1"/>
  <c r="IM596" i="5"/>
  <c r="JF947" i="5"/>
  <c r="JH948" i="5"/>
  <c r="AI1269" i="2" s="1"/>
  <c r="AH1687" i="2"/>
  <c r="IH599" i="5"/>
  <c r="D53" i="7"/>
  <c r="E53" i="7" s="1"/>
  <c r="IJ603" i="5"/>
  <c r="AA805" i="2" s="1"/>
  <c r="ES1255" i="5"/>
  <c r="CW1081" i="5"/>
  <c r="IF826" i="5"/>
  <c r="JH762" i="5"/>
  <c r="AI1068" i="2" s="1"/>
  <c r="AI459" i="2" s="1"/>
  <c r="GK906" i="5"/>
  <c r="GJ906" i="5"/>
  <c r="I25" i="7"/>
  <c r="K25" i="7" s="1"/>
  <c r="IM571" i="5"/>
  <c r="EN553" i="5"/>
  <c r="EN1234" i="5"/>
  <c r="IQ555" i="5"/>
  <c r="EG1251" i="5"/>
  <c r="EG621" i="5"/>
  <c r="BG723" i="5"/>
  <c r="BG1241" i="5"/>
  <c r="BG658" i="5"/>
  <c r="IG577" i="5"/>
  <c r="CS1076" i="5"/>
  <c r="FT1233" i="5"/>
  <c r="FT1076" i="5"/>
  <c r="IG553" i="5"/>
  <c r="DF1081" i="5"/>
  <c r="IH826" i="5"/>
  <c r="IF628" i="5"/>
  <c r="CX621" i="5"/>
  <c r="IG628" i="5"/>
  <c r="IG621" i="5" s="1"/>
  <c r="CX1251" i="5"/>
  <c r="DE1240" i="5"/>
  <c r="DE721" i="5"/>
  <c r="DE628" i="5"/>
  <c r="DE576" i="5"/>
  <c r="DU1251" i="5"/>
  <c r="DU621" i="5"/>
  <c r="IM771" i="5"/>
  <c r="AB1077" i="2" s="1"/>
  <c r="FE1081" i="5"/>
  <c r="FE1237" i="5"/>
  <c r="IU826" i="5"/>
  <c r="IV793" i="5"/>
  <c r="AE1099" i="2" s="1"/>
  <c r="JH779" i="5"/>
  <c r="AI1085" i="2" s="1"/>
  <c r="GL906" i="5"/>
  <c r="JE1003" i="5"/>
  <c r="AH1329" i="2" s="1"/>
  <c r="DV1237" i="5"/>
  <c r="DV552" i="5"/>
  <c r="IL570" i="5"/>
  <c r="DK739" i="5"/>
  <c r="DK1253" i="5"/>
  <c r="DN606" i="5"/>
  <c r="II608" i="5"/>
  <c r="DZ1234" i="5"/>
  <c r="IL555" i="5"/>
  <c r="DZ553" i="5"/>
  <c r="EG1253" i="5"/>
  <c r="EG1076" i="5"/>
  <c r="IO755" i="5"/>
  <c r="IF577" i="5"/>
  <c r="C30" i="7"/>
  <c r="CT552" i="5"/>
  <c r="CT716" i="5"/>
  <c r="CT1233" i="5"/>
  <c r="GT906" i="5"/>
  <c r="JF908" i="5"/>
  <c r="JD755" i="5"/>
  <c r="GO906" i="5"/>
  <c r="DN1234" i="5"/>
  <c r="DN553" i="5"/>
  <c r="II555" i="5"/>
  <c r="F92" i="7"/>
  <c r="H92" i="7" s="1"/>
  <c r="IJ646" i="5"/>
  <c r="AA855" i="2" s="1"/>
  <c r="DM739" i="5"/>
  <c r="DM1253" i="5"/>
  <c r="DM1076" i="5"/>
  <c r="Z1790" i="2"/>
  <c r="U1668" i="2"/>
  <c r="AM378" i="2"/>
  <c r="J91" i="7"/>
  <c r="K91" i="7" s="1"/>
  <c r="AM382" i="2"/>
  <c r="IU699" i="5"/>
  <c r="R141" i="7" s="1"/>
  <c r="V1467" i="2"/>
  <c r="V1556" i="2" s="1"/>
  <c r="X594" i="2"/>
  <c r="AD1628" i="2"/>
  <c r="IU578" i="5"/>
  <c r="R30" i="7" s="1"/>
  <c r="V1156" i="2"/>
  <c r="V665" i="2"/>
  <c r="V666" i="2"/>
  <c r="Z1780" i="2"/>
  <c r="IN553" i="5"/>
  <c r="J8" i="7" s="1"/>
  <c r="Y1592" i="2"/>
  <c r="W1680" i="2"/>
  <c r="Y1619" i="2"/>
  <c r="J84" i="7"/>
  <c r="K84" i="7" s="1"/>
  <c r="Q57" i="7"/>
  <c r="IT607" i="5"/>
  <c r="Q56" i="7" s="1"/>
  <c r="AK394" i="2"/>
  <c r="Y1589" i="2"/>
  <c r="Y1588" i="2" s="1"/>
  <c r="IU606" i="5"/>
  <c r="R55" i="7" s="1"/>
  <c r="Y382" i="2"/>
  <c r="IO651" i="5"/>
  <c r="L96" i="7" s="1"/>
  <c r="Q1034" i="2"/>
  <c r="IT577" i="5"/>
  <c r="IU577" i="5" s="1"/>
  <c r="J93" i="7"/>
  <c r="K93" i="7" s="1"/>
  <c r="AL1288" i="2"/>
  <c r="W666" i="2"/>
  <c r="JN561" i="5"/>
  <c r="JL561" i="5" s="1"/>
  <c r="JM561" i="5" s="1"/>
  <c r="J57" i="7"/>
  <c r="X668" i="2"/>
  <c r="Q128" i="7"/>
  <c r="W486" i="2"/>
  <c r="U1680" i="2"/>
  <c r="U306" i="2"/>
  <c r="P32" i="19"/>
  <c r="R32" i="19" s="1"/>
  <c r="P16" i="19"/>
  <c r="R16" i="19" s="1"/>
  <c r="P33" i="19"/>
  <c r="R33" i="19" s="1"/>
  <c r="P75" i="19"/>
  <c r="R75" i="19" s="1"/>
  <c r="P99" i="19"/>
  <c r="R99" i="19" s="1"/>
  <c r="Q111" i="19"/>
  <c r="P12" i="19"/>
  <c r="R12" i="19" s="1"/>
  <c r="P15" i="19"/>
  <c r="R15" i="19" s="1"/>
  <c r="P13" i="19"/>
  <c r="R13" i="19" s="1"/>
  <c r="P36" i="19"/>
  <c r="R36" i="19" s="1"/>
  <c r="P100" i="19"/>
  <c r="R100" i="19" s="1"/>
  <c r="P82" i="19"/>
  <c r="R82" i="19" s="1"/>
  <c r="P98" i="19"/>
  <c r="R98" i="19" s="1"/>
  <c r="P17" i="19"/>
  <c r="R17" i="19" s="1"/>
  <c r="P73" i="19"/>
  <c r="R73" i="19" s="1"/>
  <c r="P29" i="19"/>
  <c r="R29" i="19" s="1"/>
  <c r="P81" i="19"/>
  <c r="R81" i="19" s="1"/>
  <c r="Z96" i="19"/>
  <c r="X96" i="19"/>
  <c r="AA96" i="19" s="1"/>
  <c r="X671" i="2"/>
  <c r="AM1470" i="2"/>
  <c r="AM1559" i="2" s="1"/>
  <c r="P108" i="19"/>
  <c r="R108" i="19" s="1"/>
  <c r="P96" i="19"/>
  <c r="R96" i="19" s="1"/>
  <c r="Q96" i="19"/>
  <c r="AD1597" i="2"/>
  <c r="X520" i="2"/>
  <c r="V367" i="2"/>
  <c r="V373" i="2" s="1"/>
  <c r="W667" i="2"/>
  <c r="Y373" i="2"/>
  <c r="Y372" i="2" s="1"/>
  <c r="X100" i="19"/>
  <c r="AA100" i="19" s="1"/>
  <c r="X13" i="19"/>
  <c r="AA13" i="19" s="1"/>
  <c r="X98" i="19"/>
  <c r="AA98" i="19" s="1"/>
  <c r="X15" i="19"/>
  <c r="AA15" i="19" s="1"/>
  <c r="X75" i="19"/>
  <c r="AA75" i="19" s="1"/>
  <c r="Z111" i="19"/>
  <c r="X12" i="19"/>
  <c r="AA12" i="19" s="1"/>
  <c r="X16" i="19"/>
  <c r="AA16" i="19" s="1"/>
  <c r="X99" i="19"/>
  <c r="AA99" i="19" s="1"/>
  <c r="X17" i="19"/>
  <c r="AA17" i="19" s="1"/>
  <c r="X73" i="19"/>
  <c r="AA73" i="19" s="1"/>
  <c r="X23" i="19"/>
  <c r="AA23" i="19" s="1"/>
  <c r="X82" i="19"/>
  <c r="AA82" i="19" s="1"/>
  <c r="AK1353" i="2"/>
  <c r="Q106" i="19"/>
  <c r="P106" i="19"/>
  <c r="R106" i="19" s="1"/>
  <c r="Z32" i="19"/>
  <c r="AL1428" i="2"/>
  <c r="AL1517" i="2" s="1"/>
  <c r="AF32" i="19"/>
  <c r="AR96" i="19"/>
  <c r="AL1470" i="2"/>
  <c r="AL1559" i="2" s="1"/>
  <c r="AF103" i="19"/>
  <c r="AF1528" i="2"/>
  <c r="Z950" i="2"/>
  <c r="Y1842" i="2" s="1"/>
  <c r="AM1288" i="2"/>
  <c r="JV783" i="5"/>
  <c r="AN1288" i="2"/>
  <c r="AF77" i="19"/>
  <c r="AF93" i="19"/>
  <c r="Z482" i="2"/>
  <c r="AF355" i="2"/>
  <c r="AG637" i="2" s="1"/>
  <c r="X108" i="19"/>
  <c r="AA108" i="19" s="1"/>
  <c r="AI96" i="19"/>
  <c r="Q103" i="19"/>
  <c r="P103" i="19"/>
  <c r="R103" i="19" s="1"/>
  <c r="IX698" i="5"/>
  <c r="V1404" i="2"/>
  <c r="V1493" i="2" s="1"/>
  <c r="Y1705" i="2"/>
  <c r="AK1978" i="2"/>
  <c r="AK1976" i="2" s="1"/>
  <c r="V1497" i="2"/>
  <c r="IU637" i="5"/>
  <c r="R84" i="7" s="1"/>
  <c r="X672" i="2"/>
  <c r="JE660" i="5"/>
  <c r="JC732" i="5" s="1"/>
  <c r="IW607" i="5"/>
  <c r="IX607" i="5" s="1"/>
  <c r="AC1603" i="2"/>
  <c r="AC1630" i="2" s="1"/>
  <c r="X712" i="2"/>
  <c r="X1790" i="2"/>
  <c r="X1802" i="2" s="1"/>
  <c r="X1808" i="2" s="1"/>
  <c r="W668" i="2"/>
  <c r="X373" i="2"/>
  <c r="X372" i="2" s="1"/>
  <c r="AI382" i="2"/>
  <c r="AI390" i="2"/>
  <c r="V1499" i="2"/>
  <c r="AC445" i="2"/>
  <c r="IU642" i="5"/>
  <c r="R88" i="7" s="1"/>
  <c r="J95" i="7"/>
  <c r="K95" i="7" s="1"/>
  <c r="HE906" i="5"/>
  <c r="HD906" i="5"/>
  <c r="GU906" i="5"/>
  <c r="AM1353" i="2"/>
  <c r="AA1705" i="2"/>
  <c r="AA1813" i="2" s="1"/>
  <c r="W582" i="2"/>
  <c r="X604" i="2"/>
  <c r="X570" i="2"/>
  <c r="U1017" i="2"/>
  <c r="X538" i="2"/>
  <c r="AF307" i="2"/>
  <c r="Z325" i="2"/>
  <c r="V1016" i="2"/>
  <c r="IS703" i="5"/>
  <c r="AL1353" i="2"/>
  <c r="AD925" i="2"/>
  <c r="IS704" i="5" s="1"/>
  <c r="T1034" i="2"/>
  <c r="M1034" i="2"/>
  <c r="W690" i="2"/>
  <c r="AE1864" i="2"/>
  <c r="X325" i="2"/>
  <c r="AE1865" i="2"/>
  <c r="X457" i="2"/>
  <c r="S1034" i="2"/>
  <c r="JA626" i="5"/>
  <c r="JN628" i="5"/>
  <c r="JM628" i="5" s="1"/>
  <c r="AK359" i="2"/>
  <c r="JB697" i="5"/>
  <c r="IZ697" i="5" s="1"/>
  <c r="AG915" i="2"/>
  <c r="AG983" i="2" s="1"/>
  <c r="JO813" i="5"/>
  <c r="W695" i="2"/>
  <c r="AD381" i="2"/>
  <c r="AE381" i="2" s="1"/>
  <c r="AF381" i="2" s="1"/>
  <c r="AG381" i="2" s="1"/>
  <c r="AH381" i="2" s="1"/>
  <c r="AI381" i="2" s="1"/>
  <c r="AD378" i="2"/>
  <c r="AE1862" i="2"/>
  <c r="AE1861" i="2"/>
  <c r="AK381" i="2"/>
  <c r="AL381" i="2" s="1"/>
  <c r="AM381" i="2" s="1"/>
  <c r="AN381" i="2" s="1"/>
  <c r="AO381" i="2" s="1"/>
  <c r="AK390" i="2"/>
  <c r="AE1866" i="2"/>
  <c r="AE1863" i="2"/>
  <c r="AK382" i="2"/>
  <c r="W388" i="2"/>
  <c r="V395" i="2"/>
  <c r="V1017" i="2"/>
  <c r="W642" i="2"/>
  <c r="AL1949" i="2"/>
  <c r="JI576" i="5"/>
  <c r="JJ670" i="5"/>
  <c r="AC315" i="2"/>
  <c r="IU582" i="5"/>
  <c r="R33" i="7" s="1"/>
  <c r="AH925" i="2"/>
  <c r="JE704" i="5" s="1"/>
  <c r="V1228" i="2"/>
  <c r="JJ582" i="5"/>
  <c r="AH951" i="2"/>
  <c r="AH999" i="2" s="1"/>
  <c r="J140" i="7"/>
  <c r="K140" i="7" s="1"/>
  <c r="AA1811" i="2"/>
  <c r="JC576" i="5"/>
  <c r="IX600" i="5"/>
  <c r="IU573" i="5"/>
  <c r="R27" i="7" s="1"/>
  <c r="IW669" i="5"/>
  <c r="IX669" i="5" s="1"/>
  <c r="IU626" i="5"/>
  <c r="R73" i="7" s="1"/>
  <c r="JD582" i="5"/>
  <c r="JD721" i="5" s="1"/>
  <c r="IV1210" i="5"/>
  <c r="IV1216" i="5" s="1"/>
  <c r="IV1219" i="5" s="1"/>
  <c r="JL614" i="5"/>
  <c r="IO566" i="5"/>
  <c r="L21" i="7" s="1"/>
  <c r="JA628" i="5"/>
  <c r="IU595" i="5"/>
  <c r="R46" i="7" s="1"/>
  <c r="IN669" i="5"/>
  <c r="J114" i="7" s="1"/>
  <c r="JM615" i="5"/>
  <c r="IO626" i="5"/>
  <c r="L73" i="7" s="1"/>
  <c r="J20" i="7"/>
  <c r="K20" i="7" s="1"/>
  <c r="JG600" i="5"/>
  <c r="JB696" i="5"/>
  <c r="AJ917" i="2"/>
  <c r="JK697" i="5" s="1"/>
  <c r="JI697" i="5" s="1"/>
  <c r="JI696" i="5" s="1"/>
  <c r="JM626" i="5"/>
  <c r="AG977" i="2"/>
  <c r="AG1027" i="2" s="1"/>
  <c r="AG882" i="2"/>
  <c r="JB670" i="5" s="1"/>
  <c r="JA670" i="5" s="1"/>
  <c r="JH703" i="5"/>
  <c r="JN597" i="5"/>
  <c r="JL597" i="5" s="1"/>
  <c r="JM597" i="5" s="1"/>
  <c r="JN555" i="5"/>
  <c r="JL555" i="5" s="1"/>
  <c r="AK317" i="2"/>
  <c r="Y1846" i="2"/>
  <c r="Z1005" i="2"/>
  <c r="Z395" i="2" s="1"/>
  <c r="W441" i="2"/>
  <c r="IO644" i="5"/>
  <c r="L90" i="7" s="1"/>
  <c r="J90" i="7"/>
  <c r="K1034" i="2"/>
  <c r="X441" i="2"/>
  <c r="R429" i="2"/>
  <c r="AK443" i="2"/>
  <c r="X600" i="2"/>
  <c r="AD1854" i="2"/>
  <c r="AD1859" i="2" s="1"/>
  <c r="X546" i="2"/>
  <c r="JN704" i="5"/>
  <c r="S1659" i="2"/>
  <c r="AE395" i="2"/>
  <c r="J33" i="7"/>
  <c r="W674" i="2"/>
  <c r="JG699" i="5"/>
  <c r="AK389" i="2"/>
  <c r="AM639" i="2"/>
  <c r="AK688" i="2"/>
  <c r="AL688" i="2" s="1"/>
  <c r="IU610" i="5"/>
  <c r="R59" i="7" s="1"/>
  <c r="W372" i="2"/>
  <c r="Q59" i="7"/>
  <c r="JI614" i="5"/>
  <c r="JN556" i="5"/>
  <c r="JL556" i="5" s="1"/>
  <c r="ID621" i="5"/>
  <c r="ID726" i="5" s="1"/>
  <c r="IU570" i="5"/>
  <c r="R24" i="7" s="1"/>
  <c r="IU600" i="5"/>
  <c r="IT599" i="5"/>
  <c r="AH914" i="2"/>
  <c r="JE694" i="5" s="1"/>
  <c r="JC694" i="5" s="1"/>
  <c r="AI760" i="2"/>
  <c r="AJ760" i="2" s="1"/>
  <c r="Z381" i="2"/>
  <c r="X562" i="2"/>
  <c r="AK378" i="2"/>
  <c r="JV818" i="5"/>
  <c r="AC358" i="2"/>
  <c r="AL1978" i="2"/>
  <c r="AL1976" i="2" s="1"/>
  <c r="JD567" i="5"/>
  <c r="X478" i="2"/>
  <c r="IO605" i="5"/>
  <c r="L54" i="7" s="1"/>
  <c r="JX813" i="5"/>
  <c r="V1680" i="2"/>
  <c r="JK614" i="5"/>
  <c r="U1016" i="2"/>
  <c r="X690" i="2"/>
  <c r="Z999" i="2"/>
  <c r="W1017" i="2"/>
  <c r="W325" i="2"/>
  <c r="JK597" i="5"/>
  <c r="JI597" i="5" s="1"/>
  <c r="JJ597" i="5" s="1"/>
  <c r="Y1757" i="2"/>
  <c r="Z311" i="2"/>
  <c r="Z313" i="2" s="1"/>
  <c r="JM684" i="5"/>
  <c r="X516" i="2"/>
  <c r="X582" i="2"/>
  <c r="ID577" i="5"/>
  <c r="ID720" i="5" s="1"/>
  <c r="V388" i="2"/>
  <c r="IN635" i="5"/>
  <c r="J82" i="7" s="1"/>
  <c r="JU813" i="5"/>
  <c r="JM578" i="5"/>
  <c r="U1025" i="2"/>
  <c r="U1034" i="2" s="1"/>
  <c r="AC871" i="2"/>
  <c r="AC968" i="2" s="1"/>
  <c r="AC1014" i="2" s="1"/>
  <c r="X590" i="2"/>
  <c r="AC870" i="2"/>
  <c r="AC967" i="2" s="1"/>
  <c r="AC1013" i="2" s="1"/>
  <c r="X482" i="2"/>
  <c r="U1015" i="2"/>
  <c r="AJ859" i="2"/>
  <c r="JB698" i="5"/>
  <c r="IZ698" i="5" s="1"/>
  <c r="JA698" i="5" s="1"/>
  <c r="AC869" i="2"/>
  <c r="AC966" i="2" s="1"/>
  <c r="AC1012" i="2" s="1"/>
  <c r="X461" i="2"/>
  <c r="AI1730" i="2"/>
  <c r="W596" i="2"/>
  <c r="X596" i="2" s="1"/>
  <c r="AH394" i="2"/>
  <c r="AD1864" i="2"/>
  <c r="AC944" i="2"/>
  <c r="AE1837" i="2" s="1"/>
  <c r="IP550" i="5"/>
  <c r="M5" i="7" s="1"/>
  <c r="X608" i="2"/>
  <c r="JR813" i="5"/>
  <c r="V1654" i="2"/>
  <c r="AB944" i="2"/>
  <c r="AB868" i="2"/>
  <c r="AB965" i="2" s="1"/>
  <c r="AB1011" i="2" s="1"/>
  <c r="AB869" i="2"/>
  <c r="AB966" i="2" s="1"/>
  <c r="AB1012" i="2" s="1"/>
  <c r="AB871" i="2"/>
  <c r="AB968" i="2" s="1"/>
  <c r="AB1014" i="2" s="1"/>
  <c r="AB870" i="2"/>
  <c r="AB967" i="2" s="1"/>
  <c r="AB1013" i="2" s="1"/>
  <c r="V687" i="2"/>
  <c r="AF1864" i="2"/>
  <c r="X474" i="2"/>
  <c r="Y325" i="2"/>
  <c r="V1668" i="2"/>
  <c r="AF1850" i="2"/>
  <c r="AF1865" i="2" s="1"/>
  <c r="X980" i="2"/>
  <c r="X1029" i="2" s="1"/>
  <c r="U1018" i="2"/>
  <c r="X879" i="2"/>
  <c r="X920" i="2" s="1"/>
  <c r="X1334" i="2" s="1"/>
  <c r="X1314" i="2" s="1"/>
  <c r="X1468" i="2" s="1"/>
  <c r="X1557" i="2" s="1"/>
  <c r="W608" i="2"/>
  <c r="G6" i="8"/>
  <c r="H6" i="8" s="1"/>
  <c r="AB1603" i="2"/>
  <c r="AB1630" i="2" s="1"/>
  <c r="X586" i="2"/>
  <c r="W1431" i="2"/>
  <c r="W1520" i="2" s="1"/>
  <c r="W665" i="2"/>
  <c r="N1034" i="2"/>
  <c r="J75" i="7"/>
  <c r="IN621" i="5"/>
  <c r="J68" i="7" s="1"/>
  <c r="IU698" i="5"/>
  <c r="R140" i="7" s="1"/>
  <c r="AO1346" i="2"/>
  <c r="JZ1021" i="5" s="1"/>
  <c r="JJ562" i="5"/>
  <c r="W395" i="2"/>
  <c r="X682" i="2"/>
  <c r="IU614" i="5"/>
  <c r="R61" i="7" s="1"/>
  <c r="IO582" i="5"/>
  <c r="L34" i="7"/>
  <c r="AC307" i="2"/>
  <c r="V642" i="2"/>
  <c r="IU563" i="5"/>
  <c r="R18" i="7" s="1"/>
  <c r="AL337" i="2"/>
  <c r="AG925" i="2"/>
  <c r="JB704" i="5" s="1"/>
  <c r="AA482" i="2"/>
  <c r="X578" i="2"/>
  <c r="JY962" i="5"/>
  <c r="IU645" i="5"/>
  <c r="R91" i="7" s="1"/>
  <c r="IT628" i="5"/>
  <c r="Q75" i="7" s="1"/>
  <c r="Q33" i="7"/>
  <c r="Z1854" i="2"/>
  <c r="Z1859" i="2" s="1"/>
  <c r="W546" i="2"/>
  <c r="JC649" i="5"/>
  <c r="JD649" i="5" s="1"/>
  <c r="W391" i="2"/>
  <c r="AN1428" i="2"/>
  <c r="AN1517" i="2" s="1"/>
  <c r="Z357" i="2"/>
  <c r="AG926" i="2"/>
  <c r="JP1011" i="5"/>
  <c r="JP1009" i="5" s="1"/>
  <c r="AL1750" i="2" s="1"/>
  <c r="JA578" i="5"/>
  <c r="X465" i="2"/>
  <c r="AC1599" i="2"/>
  <c r="V695" i="2"/>
  <c r="W360" i="2"/>
  <c r="W1228" i="2"/>
  <c r="IO599" i="5"/>
  <c r="L50" i="7" s="1"/>
  <c r="Y975" i="2"/>
  <c r="Y920" i="2"/>
  <c r="W687" i="2"/>
  <c r="R1018" i="2"/>
  <c r="W570" i="2"/>
  <c r="X542" i="2"/>
  <c r="IO610" i="5"/>
  <c r="L59" i="7" s="1"/>
  <c r="AN398" i="2"/>
  <c r="AO398" i="2" s="1"/>
  <c r="J48" i="7"/>
  <c r="K48" i="7" s="1"/>
  <c r="IO597" i="5"/>
  <c r="L48" i="7" s="1"/>
  <c r="W1396" i="2"/>
  <c r="W1485" i="2" s="1"/>
  <c r="IU661" i="5"/>
  <c r="IT660" i="5"/>
  <c r="Q105" i="7" s="1"/>
  <c r="Q106" i="7"/>
  <c r="IU565" i="5"/>
  <c r="R20" i="7" s="1"/>
  <c r="Q20" i="7"/>
  <c r="JX766" i="5"/>
  <c r="AO1071" i="2"/>
  <c r="JZ765" i="5" s="1"/>
  <c r="AF314" i="2"/>
  <c r="AE315" i="2" s="1"/>
  <c r="V1489" i="2"/>
  <c r="JN697" i="5"/>
  <c r="IU567" i="5"/>
  <c r="R22" i="7" s="1"/>
  <c r="IU622" i="5"/>
  <c r="R69" i="7" s="1"/>
  <c r="Y381" i="2"/>
  <c r="AD315" i="2"/>
  <c r="V920" i="2"/>
  <c r="V1334" i="2" s="1"/>
  <c r="V975" i="2"/>
  <c r="X1422" i="2"/>
  <c r="X1511" i="2" s="1"/>
  <c r="X647" i="2"/>
  <c r="W379" i="2"/>
  <c r="IW660" i="5"/>
  <c r="IX660" i="5" s="1"/>
  <c r="IX661" i="5"/>
  <c r="IO693" i="5"/>
  <c r="L135" i="7" s="1"/>
  <c r="J135" i="7"/>
  <c r="K135" i="7" s="1"/>
  <c r="V360" i="2"/>
  <c r="JH670" i="5"/>
  <c r="JG670" i="5" s="1"/>
  <c r="JD600" i="5"/>
  <c r="AM353" i="2"/>
  <c r="AN353" i="2" s="1"/>
  <c r="AI394" i="2"/>
  <c r="JJ684" i="5"/>
  <c r="Z1007" i="2"/>
  <c r="V1485" i="2"/>
  <c r="AM1949" i="2"/>
  <c r="IO699" i="5"/>
  <c r="IO1213" i="5" s="1"/>
  <c r="IU694" i="5"/>
  <c r="R136" i="7" s="1"/>
  <c r="Q136" i="7"/>
  <c r="W920" i="2"/>
  <c r="W1334" i="2" s="1"/>
  <c r="W1314" i="2" s="1"/>
  <c r="W975" i="2"/>
  <c r="L1016" i="2"/>
  <c r="AF1034" i="2"/>
  <c r="JH628" i="5"/>
  <c r="JG628" i="5" s="1"/>
  <c r="AM1704" i="2"/>
  <c r="AB1864" i="2"/>
  <c r="JM616" i="5"/>
  <c r="AN1145" i="2"/>
  <c r="JW839" i="5" s="1"/>
  <c r="JJ586" i="5"/>
  <c r="IN1213" i="5"/>
  <c r="JA661" i="5"/>
  <c r="JA733" i="5" s="1"/>
  <c r="JR955" i="5"/>
  <c r="AB1854" i="2"/>
  <c r="AB1859" i="2" s="1"/>
  <c r="W520" i="2"/>
  <c r="Z1705" i="2"/>
  <c r="Z1813" i="2" s="1"/>
  <c r="L10" i="7"/>
  <c r="IO553" i="5"/>
  <c r="L8" i="7" s="1"/>
  <c r="AH917" i="2"/>
  <c r="JE697" i="5" s="1"/>
  <c r="X554" i="2"/>
  <c r="AC1034" i="2"/>
  <c r="ID573" i="5"/>
  <c r="Y1583" i="2"/>
  <c r="Y1582" i="2" s="1"/>
  <c r="JD628" i="5"/>
  <c r="X490" i="2"/>
  <c r="ID670" i="5"/>
  <c r="Z881" i="2"/>
  <c r="Z879" i="2" s="1"/>
  <c r="AL397" i="2"/>
  <c r="AN1353" i="2"/>
  <c r="Y1625" i="2"/>
  <c r="ID635" i="5"/>
  <c r="ID728" i="5" s="1"/>
  <c r="JV766" i="5"/>
  <c r="JY836" i="5"/>
  <c r="JJ615" i="5"/>
  <c r="X512" i="2"/>
  <c r="AC1767" i="2"/>
  <c r="AC435" i="2"/>
  <c r="JJ626" i="5"/>
  <c r="U655" i="2"/>
  <c r="T1650" i="2" s="1"/>
  <c r="IO559" i="5"/>
  <c r="L14" i="7" s="1"/>
  <c r="Q66" i="7"/>
  <c r="IU619" i="5"/>
  <c r="R66" i="7" s="1"/>
  <c r="AJ881" i="2"/>
  <c r="JK669" i="5" s="1"/>
  <c r="JJ669" i="5" s="1"/>
  <c r="AE333" i="2"/>
  <c r="AE615" i="2"/>
  <c r="AB1034" i="2"/>
  <c r="AB482" i="2"/>
  <c r="AM1166" i="2"/>
  <c r="JT860" i="5" s="1"/>
  <c r="AM1145" i="2"/>
  <c r="JT839" i="5" s="1"/>
  <c r="AN1276" i="2"/>
  <c r="JW955" i="5" s="1"/>
  <c r="JR956" i="5"/>
  <c r="JS956" i="5" s="1"/>
  <c r="Z949" i="2"/>
  <c r="ID576" i="5"/>
  <c r="ID719" i="5" s="1"/>
  <c r="AB1599" i="2"/>
  <c r="IP1216" i="5"/>
  <c r="IP1219" i="5" s="1"/>
  <c r="IO606" i="5"/>
  <c r="L55" i="7" s="1"/>
  <c r="J55" i="7"/>
  <c r="IN590" i="5"/>
  <c r="JG586" i="5"/>
  <c r="JB591" i="5"/>
  <c r="IZ591" i="5" s="1"/>
  <c r="JA591" i="5" s="1"/>
  <c r="AH789" i="2"/>
  <c r="Q1016" i="2"/>
  <c r="JA600" i="5"/>
  <c r="JB610" i="5"/>
  <c r="AH816" i="2"/>
  <c r="IU639" i="5"/>
  <c r="R86" i="7" s="1"/>
  <c r="Q86" i="7"/>
  <c r="JJ616" i="5"/>
  <c r="AN1166" i="2"/>
  <c r="JW860" i="5" s="1"/>
  <c r="IU597" i="5"/>
  <c r="R48" i="7" s="1"/>
  <c r="JO962" i="5"/>
  <c r="JP962" i="5" s="1"/>
  <c r="J139" i="7"/>
  <c r="K139" i="7" s="1"/>
  <c r="IN696" i="5"/>
  <c r="AK1166" i="2"/>
  <c r="JN860" i="5" s="1"/>
  <c r="Q92" i="7"/>
  <c r="IU646" i="5"/>
  <c r="R92" i="7" s="1"/>
  <c r="Z411" i="2"/>
  <c r="Z719" i="2"/>
  <c r="AL1145" i="2"/>
  <c r="AL1166" i="2"/>
  <c r="JQ860" i="5" s="1"/>
  <c r="AM625" i="2"/>
  <c r="AL344" i="2"/>
  <c r="AM343" i="2"/>
  <c r="AB630" i="2"/>
  <c r="AJ1738" i="2"/>
  <c r="JY818" i="5"/>
  <c r="AN1561" i="2"/>
  <c r="AG364" i="2"/>
  <c r="IT635" i="5"/>
  <c r="IU635" i="5" s="1"/>
  <c r="R82" i="7" s="1"/>
  <c r="AM386" i="2"/>
  <c r="AM685" i="2"/>
  <c r="IO697" i="5"/>
  <c r="AN1503" i="2"/>
  <c r="AB348" i="2"/>
  <c r="R1034" i="2"/>
  <c r="AG365" i="2"/>
  <c r="AE435" i="2"/>
  <c r="AE436" i="2" s="1"/>
  <c r="AF699" i="2"/>
  <c r="AF399" i="2"/>
  <c r="JR962" i="5"/>
  <c r="JS962" i="5" s="1"/>
  <c r="IW635" i="5"/>
  <c r="IX635" i="5" s="1"/>
  <c r="AJ1704" i="2"/>
  <c r="V1422" i="2"/>
  <c r="V1511" i="2" s="1"/>
  <c r="V649" i="2"/>
  <c r="V647" i="2"/>
  <c r="AD337" i="2"/>
  <c r="AD329" i="2" s="1"/>
  <c r="AK1203" i="2"/>
  <c r="AM321" i="2"/>
  <c r="T1659" i="2"/>
  <c r="JM962" i="5"/>
  <c r="JF576" i="5"/>
  <c r="W538" i="2"/>
  <c r="P1018" i="2"/>
  <c r="Y1576" i="2"/>
  <c r="AK1949" i="2"/>
  <c r="AM1465" i="2"/>
  <c r="AM1554" i="2" s="1"/>
  <c r="JL576" i="5"/>
  <c r="W1378" i="2"/>
  <c r="W1386" i="2" s="1"/>
  <c r="V1018" i="2"/>
  <c r="Y1790" i="2"/>
  <c r="Y1802" i="2" s="1"/>
  <c r="Y1808" i="2" s="1"/>
  <c r="JF649" i="5"/>
  <c r="JG649" i="5" s="1"/>
  <c r="J136" i="7"/>
  <c r="K136" i="7" s="1"/>
  <c r="IO694" i="5"/>
  <c r="L136" i="7" s="1"/>
  <c r="IN682" i="5"/>
  <c r="AB1703" i="2"/>
  <c r="IN1208" i="5"/>
  <c r="IO1208" i="5" s="1"/>
  <c r="AK1730" i="2"/>
  <c r="JM961" i="5"/>
  <c r="JM599" i="5"/>
  <c r="AN1496" i="2"/>
  <c r="AD482" i="2"/>
  <c r="AL1408" i="2"/>
  <c r="AL1497" i="2" s="1"/>
  <c r="AO1739" i="2"/>
  <c r="AO1738" i="2" s="1"/>
  <c r="W671" i="2"/>
  <c r="W672" i="2"/>
  <c r="X673" i="2"/>
  <c r="W1429" i="2"/>
  <c r="W1518" i="2" s="1"/>
  <c r="X674" i="2"/>
  <c r="JG582" i="5"/>
  <c r="AL320" i="2"/>
  <c r="M28" i="7"/>
  <c r="IP719" i="5"/>
  <c r="Z382" i="2"/>
  <c r="AE1034" i="2"/>
  <c r="JU836" i="5"/>
  <c r="JV836" i="5" s="1"/>
  <c r="JA646" i="5"/>
  <c r="AA437" i="2"/>
  <c r="AB1146" i="2" s="1"/>
  <c r="IN607" i="5"/>
  <c r="J56" i="7" s="1"/>
  <c r="AD1855" i="2"/>
  <c r="AD1865" i="2"/>
  <c r="R139" i="7"/>
  <c r="P429" i="2"/>
  <c r="Q429" i="2"/>
  <c r="IX696" i="5"/>
  <c r="IW695" i="5"/>
  <c r="IX695" i="5" s="1"/>
  <c r="JG599" i="5"/>
  <c r="AL314" i="2"/>
  <c r="AK315" i="2" s="1"/>
  <c r="X1499" i="2"/>
  <c r="X1408" i="2"/>
  <c r="AO1166" i="2"/>
  <c r="JZ860" i="5" s="1"/>
  <c r="JI560" i="5"/>
  <c r="JJ560" i="5" s="1"/>
  <c r="M1016" i="2"/>
  <c r="L26" i="7"/>
  <c r="IO570" i="5"/>
  <c r="AO310" i="2"/>
  <c r="AM355" i="2"/>
  <c r="AM637" i="2"/>
  <c r="ID681" i="5"/>
  <c r="ID742" i="5" s="1"/>
  <c r="Z404" i="2"/>
  <c r="Z980" i="2"/>
  <c r="Z712" i="2"/>
  <c r="AN1273" i="2"/>
  <c r="AN357" i="2"/>
  <c r="AN639" i="2"/>
  <c r="IX599" i="5"/>
  <c r="JI558" i="5"/>
  <c r="JI553" i="5" s="1"/>
  <c r="AC314" i="2"/>
  <c r="AB315" i="2" s="1"/>
  <c r="AB1865" i="2"/>
  <c r="AB1855" i="2"/>
  <c r="X1696" i="2"/>
  <c r="X486" i="2"/>
  <c r="AE622" i="2"/>
  <c r="AE340" i="2"/>
  <c r="AD347" i="2"/>
  <c r="AD629" i="2"/>
  <c r="IT669" i="5"/>
  <c r="Q114" i="7" s="1"/>
  <c r="Q115" i="7"/>
  <c r="Y655" i="2"/>
  <c r="Y1650" i="2" s="1"/>
  <c r="V655" i="2"/>
  <c r="W655" i="2"/>
  <c r="X655" i="2"/>
  <c r="X1438" i="2"/>
  <c r="JU841" i="5"/>
  <c r="JV841" i="5" s="1"/>
  <c r="X1837" i="2"/>
  <c r="Y993" i="2"/>
  <c r="X494" i="2"/>
  <c r="AJ746" i="2"/>
  <c r="X649" i="2"/>
  <c r="W1156" i="2"/>
  <c r="W649" i="2"/>
  <c r="W1422" i="2"/>
  <c r="W648" i="2"/>
  <c r="W647" i="2"/>
  <c r="AE1764" i="2"/>
  <c r="AE1755" i="2"/>
  <c r="JU844" i="5"/>
  <c r="JV844" i="5" s="1"/>
  <c r="Z927" i="2"/>
  <c r="Z987" i="2" s="1"/>
  <c r="L57" i="7"/>
  <c r="JN823" i="5"/>
  <c r="AJ1412" i="2"/>
  <c r="JO956" i="5"/>
  <c r="JP956" i="5" s="1"/>
  <c r="AO633" i="2"/>
  <c r="AO351" i="2"/>
  <c r="AP633" i="2" s="1"/>
  <c r="Z436" i="2"/>
  <c r="JX844" i="5"/>
  <c r="JY844" i="5" s="1"/>
  <c r="X558" i="2"/>
  <c r="AM337" i="2"/>
  <c r="AM619" i="2"/>
  <c r="AM500" i="2" s="1"/>
  <c r="AN333" i="2"/>
  <c r="Z818" i="2"/>
  <c r="Z955" i="2"/>
  <c r="Z1049" i="2" s="1"/>
  <c r="ID617" i="5"/>
  <c r="X1858" i="2"/>
  <c r="Y1029" i="2"/>
  <c r="X382" i="2"/>
  <c r="W381" i="2"/>
  <c r="X383" i="2"/>
  <c r="W382" i="2"/>
  <c r="W383" i="2"/>
  <c r="AL347" i="2"/>
  <c r="AM340" i="2"/>
  <c r="AL341" i="2"/>
  <c r="AL624" i="2" s="1"/>
  <c r="AM622" i="2"/>
  <c r="Y1851" i="2"/>
  <c r="Z1020" i="2"/>
  <c r="AE625" i="2"/>
  <c r="AE343" i="2"/>
  <c r="AA435" i="2"/>
  <c r="AA1767" i="2"/>
  <c r="JM956" i="5"/>
  <c r="AL367" i="2"/>
  <c r="AM627" i="2"/>
  <c r="AM345" i="2"/>
  <c r="AD436" i="2"/>
  <c r="JY795" i="5"/>
  <c r="Q135" i="7"/>
  <c r="IT682" i="5"/>
  <c r="AD1703" i="2"/>
  <c r="JV795" i="5"/>
  <c r="W1437" i="2"/>
  <c r="W1526" i="2" s="1"/>
  <c r="W1527" i="2"/>
  <c r="AF435" i="2"/>
  <c r="AG434" i="2"/>
  <c r="AN400" i="2"/>
  <c r="X1464" i="2"/>
  <c r="X1268" i="2"/>
  <c r="X1688" i="2"/>
  <c r="Z946" i="2"/>
  <c r="Z745" i="2"/>
  <c r="Z366" i="2"/>
  <c r="ID553" i="5"/>
  <c r="ID716" i="5" s="1"/>
  <c r="W542" i="2"/>
  <c r="AC329" i="2"/>
  <c r="AC348" i="2"/>
  <c r="AC630" i="2"/>
  <c r="AH308" i="2"/>
  <c r="AH311" i="2"/>
  <c r="AH313" i="2" s="1"/>
  <c r="AI309" i="2"/>
  <c r="AG764" i="2"/>
  <c r="AG314" i="2"/>
  <c r="AF315" i="2" s="1"/>
  <c r="AG821" i="2"/>
  <c r="AK1946" i="2"/>
  <c r="AK1432" i="2"/>
  <c r="AK1521" i="2" s="1"/>
  <c r="AG825" i="2"/>
  <c r="AG958" i="2" s="1"/>
  <c r="AG1005" i="2" s="1"/>
  <c r="X391" i="2"/>
  <c r="AC321" i="2"/>
  <c r="X1486" i="2"/>
  <c r="X1396" i="2"/>
  <c r="Y1852" i="2"/>
  <c r="Z1021" i="2"/>
  <c r="IO577" i="5"/>
  <c r="J29" i="7"/>
  <c r="IN576" i="5"/>
  <c r="IW682" i="5"/>
  <c r="IX682" i="5" s="1"/>
  <c r="AD344" i="2"/>
  <c r="AL1946" i="2"/>
  <c r="AL1432" i="2"/>
  <c r="AL1521" i="2" s="1"/>
  <c r="AO387" i="2"/>
  <c r="AO686" i="2"/>
  <c r="L1034" i="2"/>
  <c r="Z338" i="2"/>
  <c r="AA338" i="2" s="1"/>
  <c r="AB338" i="2" s="1"/>
  <c r="AC338" i="2" s="1"/>
  <c r="AD338" i="2" s="1"/>
  <c r="AE338" i="2" s="1"/>
  <c r="AF338" i="2" s="1"/>
  <c r="AG338" i="2" s="1"/>
  <c r="AH338" i="2" s="1"/>
  <c r="AI338" i="2" s="1"/>
  <c r="Z329" i="2"/>
  <c r="JF661" i="5"/>
  <c r="JF660" i="5" s="1"/>
  <c r="AG400" i="2"/>
  <c r="AG700" i="2"/>
  <c r="AC1820" i="2"/>
  <c r="AB1819" i="2"/>
  <c r="V1060" i="2"/>
  <c r="V1378" i="2"/>
  <c r="V1386" i="2" s="1"/>
  <c r="U1636" i="2"/>
  <c r="V1636" i="2"/>
  <c r="V648" i="2"/>
  <c r="N1018" i="2"/>
  <c r="AK1740" i="2"/>
  <c r="JM955" i="5"/>
  <c r="AN372" i="2"/>
  <c r="AM367" i="2"/>
  <c r="X1378" i="2"/>
  <c r="X1386" i="2" s="1"/>
  <c r="X648" i="2"/>
  <c r="X1060" i="2"/>
  <c r="X1058" i="2"/>
  <c r="X1428" i="2"/>
  <c r="X1156" i="2"/>
  <c r="X1380" i="2"/>
  <c r="X1388" i="2" s="1"/>
  <c r="W1688" i="2"/>
  <c r="W1268" i="2"/>
  <c r="W1464" i="2"/>
  <c r="AG930" i="2"/>
  <c r="AG989" i="2" s="1"/>
  <c r="AG1033" i="2" s="1"/>
  <c r="Z307" i="2"/>
  <c r="V1015" i="2"/>
  <c r="AK1470" i="2"/>
  <c r="AK1559" i="2" s="1"/>
  <c r="AE482" i="2"/>
  <c r="R1016" i="2"/>
  <c r="AA348" i="2"/>
  <c r="AH389" i="2"/>
  <c r="AI389" i="2" s="1"/>
  <c r="AF395" i="2"/>
  <c r="AC350" i="2"/>
  <c r="W1499" i="2"/>
  <c r="W1408" i="2"/>
  <c r="V1388" i="2"/>
  <c r="V1390" i="2"/>
  <c r="V1479" i="2" s="1"/>
  <c r="V1566" i="2" s="1"/>
  <c r="AD623" i="2"/>
  <c r="AK621" i="2"/>
  <c r="AK329" i="2"/>
  <c r="AK348" i="2"/>
  <c r="ID695" i="5"/>
  <c r="Z983" i="2"/>
  <c r="JN560" i="5"/>
  <c r="AJ1946" i="2"/>
  <c r="AJ1432" i="2"/>
  <c r="AJ1521" i="2" s="1"/>
  <c r="AM1428" i="2"/>
  <c r="AM1517" i="2" s="1"/>
  <c r="AF627" i="2"/>
  <c r="AF345" i="2"/>
  <c r="IP659" i="5"/>
  <c r="M104" i="7" s="1"/>
  <c r="G105" i="8"/>
  <c r="H105" i="8" s="1"/>
  <c r="AC965" i="2"/>
  <c r="AC1011" i="2" s="1"/>
  <c r="AL1420" i="2"/>
  <c r="AL1509" i="2" s="1"/>
  <c r="AM1155" i="2"/>
  <c r="AK342" i="2"/>
  <c r="AA630" i="2"/>
  <c r="Y695" i="2"/>
  <c r="W1016" i="2"/>
  <c r="W1015" i="2"/>
  <c r="JM829" i="5"/>
  <c r="JN582" i="5"/>
  <c r="JM582" i="5" s="1"/>
  <c r="AI855" i="2"/>
  <c r="Q139" i="7"/>
  <c r="IT696" i="5"/>
  <c r="AL1704" i="2"/>
  <c r="AD341" i="2"/>
  <c r="JN563" i="5"/>
  <c r="AM324" i="2"/>
  <c r="JG626" i="5"/>
  <c r="AG394" i="2"/>
  <c r="AO399" i="2"/>
  <c r="AO699" i="2"/>
  <c r="JJ578" i="5"/>
  <c r="IU670" i="5"/>
  <c r="R115" i="7" s="1"/>
  <c r="O1018" i="2"/>
  <c r="JC733" i="5"/>
  <c r="JC661" i="5"/>
  <c r="JC660" i="5" s="1"/>
  <c r="AK1704" i="2"/>
  <c r="AM309" i="2"/>
  <c r="AL308" i="2"/>
  <c r="JO953" i="5"/>
  <c r="JP953" i="5" s="1"/>
  <c r="AD626" i="2"/>
  <c r="Y379" i="2"/>
  <c r="Y391" i="2"/>
  <c r="Y383" i="2"/>
  <c r="JH660" i="5"/>
  <c r="AI969" i="2"/>
  <c r="AI1020" i="2" s="1"/>
  <c r="Y482" i="2"/>
  <c r="JC684" i="5"/>
  <c r="JD684" i="5" s="1"/>
  <c r="IX617" i="5"/>
  <c r="IW619" i="5"/>
  <c r="IX619" i="5" s="1"/>
  <c r="IW614" i="5"/>
  <c r="IX614" i="5" s="1"/>
  <c r="W1380" i="2"/>
  <c r="W1388" i="2" s="1"/>
  <c r="W1428" i="2"/>
  <c r="W1517" i="2" s="1"/>
  <c r="IZ684" i="5"/>
  <c r="JA684" i="5" s="1"/>
  <c r="JD626" i="5"/>
  <c r="O1017" i="2"/>
  <c r="Y687" i="2"/>
  <c r="AO1428" i="2"/>
  <c r="JJ600" i="5"/>
  <c r="AC482" i="2"/>
  <c r="JM953" i="5"/>
  <c r="AK314" i="2"/>
  <c r="ID570" i="5"/>
  <c r="ID717" i="5" s="1"/>
  <c r="Z947" i="2"/>
  <c r="JH615" i="5"/>
  <c r="AJ872" i="2"/>
  <c r="JK661" i="5"/>
  <c r="AJ970" i="2"/>
  <c r="AJ1021" i="2" s="1"/>
  <c r="W562" i="2"/>
  <c r="AL1465" i="2"/>
  <c r="AL1554" i="2" s="1"/>
  <c r="AJ1465" i="2"/>
  <c r="AJ1554" i="2" s="1"/>
  <c r="JY978" i="5"/>
  <c r="AK1886" i="2"/>
  <c r="JY1037" i="5"/>
  <c r="AN1465" i="2"/>
  <c r="AN1554" i="2" s="1"/>
  <c r="JU1037" i="5"/>
  <c r="JV1037" i="5" s="1"/>
  <c r="AI1742" i="2"/>
  <c r="JS1009" i="5"/>
  <c r="JM1008" i="5"/>
  <c r="AK1739" i="2"/>
  <c r="JU1008" i="5"/>
  <c r="JR1008" i="5"/>
  <c r="JF698" i="5"/>
  <c r="JG698" i="5" s="1"/>
  <c r="JL698" i="5"/>
  <c r="JM698" i="5" s="1"/>
  <c r="JM600" i="5"/>
  <c r="JH697" i="5"/>
  <c r="AI916" i="2"/>
  <c r="JJ599" i="5"/>
  <c r="JC698" i="5"/>
  <c r="JD698" i="5" s="1"/>
  <c r="JC646" i="5"/>
  <c r="JD646" i="5" s="1"/>
  <c r="AJ1405" i="2"/>
  <c r="AJ1494" i="2" s="1"/>
  <c r="JK703" i="5"/>
  <c r="AJ925" i="2"/>
  <c r="JK704" i="5" s="1"/>
  <c r="JK628" i="5"/>
  <c r="JJ628" i="5" s="1"/>
  <c r="JS818" i="5"/>
  <c r="AG951" i="2"/>
  <c r="AG999" i="2" s="1"/>
  <c r="AC642" i="2"/>
  <c r="AC360" i="2"/>
  <c r="S1017" i="2"/>
  <c r="T1017" i="2"/>
  <c r="R1017" i="2"/>
  <c r="W498" i="2"/>
  <c r="X498" i="2"/>
  <c r="L1017" i="2"/>
  <c r="M1017" i="2"/>
  <c r="V490" i="2"/>
  <c r="W490" i="2"/>
  <c r="AC640" i="2"/>
  <c r="V482" i="2"/>
  <c r="W482" i="2"/>
  <c r="T1015" i="2"/>
  <c r="S1015" i="2"/>
  <c r="AC383" i="2"/>
  <c r="AC378" i="2"/>
  <c r="AC391" i="2"/>
  <c r="Z383" i="2"/>
  <c r="Z379" i="2"/>
  <c r="Z391" i="2"/>
  <c r="N1017" i="2"/>
  <c r="K1017" i="2"/>
  <c r="AK581" i="2"/>
  <c r="AL581" i="2" s="1"/>
  <c r="X695" i="2"/>
  <c r="X395" i="2"/>
  <c r="Y388" i="2"/>
  <c r="AM661" i="2"/>
  <c r="AM689" i="2"/>
  <c r="AM681" i="2"/>
  <c r="AM667" i="2"/>
  <c r="Y307" i="2"/>
  <c r="W512" i="2"/>
  <c r="W574" i="2"/>
  <c r="V574" i="2"/>
  <c r="AG378" i="2"/>
  <c r="AG793" i="2" s="1"/>
  <c r="AG382" i="2"/>
  <c r="AG809" i="2" s="1"/>
  <c r="Q1015" i="2"/>
  <c r="Y360" i="2"/>
  <c r="Y642" i="2"/>
  <c r="W590" i="2"/>
  <c r="V604" i="2"/>
  <c r="W604" i="2"/>
  <c r="AE749" i="2"/>
  <c r="AF320" i="2"/>
  <c r="P1016" i="2"/>
  <c r="M1018" i="2"/>
  <c r="AG753" i="2"/>
  <c r="JB560" i="5" s="1"/>
  <c r="AH324" i="2"/>
  <c r="V474" i="2"/>
  <c r="W474" i="2"/>
  <c r="AH378" i="2"/>
  <c r="AH382" i="2"/>
  <c r="AH390" i="2"/>
  <c r="AH826" i="2" s="1"/>
  <c r="W516" i="2"/>
  <c r="V516" i="2"/>
  <c r="AH318" i="2"/>
  <c r="W594" i="2"/>
  <c r="V594" i="2"/>
  <c r="AF378" i="2"/>
  <c r="AF391" i="2"/>
  <c r="AF382" i="2"/>
  <c r="V586" i="2"/>
  <c r="W586" i="2"/>
  <c r="AO303" i="2"/>
  <c r="AE641" i="2"/>
  <c r="AE378" i="2"/>
  <c r="AE359" i="2"/>
  <c r="AE382" i="2"/>
  <c r="AC377" i="2"/>
  <c r="K1016" i="2"/>
  <c r="AK1097" i="2"/>
  <c r="JN791" i="5" s="1"/>
  <c r="AL481" i="2"/>
  <c r="V600" i="2"/>
  <c r="W600" i="2"/>
  <c r="AK577" i="2"/>
  <c r="AL577" i="2" s="1"/>
  <c r="AL382" i="2"/>
  <c r="AL390" i="2"/>
  <c r="AL378" i="2"/>
  <c r="W478" i="2"/>
  <c r="V478" i="2"/>
  <c r="AK569" i="2"/>
  <c r="AL569" i="2" s="1"/>
  <c r="AB360" i="2"/>
  <c r="AB642" i="2"/>
  <c r="P1015" i="2"/>
  <c r="AI596" i="2"/>
  <c r="W1018" i="2"/>
  <c r="JM639" i="5"/>
  <c r="T1018" i="2"/>
  <c r="S1018" i="2"/>
  <c r="AM1432" i="2"/>
  <c r="AM1521" i="2" s="1"/>
  <c r="AM1946" i="2"/>
  <c r="P1034" i="2"/>
  <c r="V558" i="2"/>
  <c r="W558" i="2"/>
  <c r="S429" i="2"/>
  <c r="T429" i="2"/>
  <c r="V494" i="2"/>
  <c r="W494" i="2"/>
  <c r="O1016" i="2"/>
  <c r="O1015" i="2"/>
  <c r="AC1867" i="2"/>
  <c r="AC1864" i="2"/>
  <c r="AC1866" i="2"/>
  <c r="AC1865" i="2"/>
  <c r="AC1863" i="2"/>
  <c r="AC1862" i="2"/>
  <c r="AC1861" i="2"/>
  <c r="R1015" i="2"/>
  <c r="W554" i="2"/>
  <c r="V554" i="2"/>
  <c r="Q1017" i="2"/>
  <c r="W457" i="2"/>
  <c r="N1016" i="2"/>
  <c r="O1034" i="2"/>
  <c r="M1015" i="2"/>
  <c r="N1015" i="2"/>
  <c r="V461" i="2"/>
  <c r="W461" i="2"/>
  <c r="AK553" i="2"/>
  <c r="P1017" i="2"/>
  <c r="Y395" i="2"/>
  <c r="T1016" i="2"/>
  <c r="S1016" i="2"/>
  <c r="AN1492" i="2"/>
  <c r="AN1514" i="2"/>
  <c r="AN564" i="2"/>
  <c r="AN1531" i="2"/>
  <c r="AN676" i="2"/>
  <c r="AN1222" i="2" s="1"/>
  <c r="AN1529" i="2"/>
  <c r="AN1528" i="2"/>
  <c r="AN1385" i="2"/>
  <c r="AN1555" i="2"/>
  <c r="AN1515" i="2"/>
  <c r="AN1476" i="2"/>
  <c r="AN1564" i="2"/>
  <c r="AN1512" i="2"/>
  <c r="AN1487" i="2"/>
  <c r="AN673" i="2"/>
  <c r="AN1499" i="2"/>
  <c r="AN1562" i="2"/>
  <c r="AN463" i="2"/>
  <c r="AN1560" i="2"/>
  <c r="AN1498" i="2"/>
  <c r="X642" i="2"/>
  <c r="X360" i="2"/>
  <c r="X687" i="2"/>
  <c r="X388" i="2"/>
  <c r="Q1018" i="2"/>
  <c r="W578" i="2"/>
  <c r="V578" i="2"/>
  <c r="AK1428" i="2"/>
  <c r="AJ1428" i="2"/>
  <c r="JD599" i="5"/>
  <c r="V1527" i="2"/>
  <c r="V1437" i="2"/>
  <c r="X1469" i="2"/>
  <c r="JG578" i="5"/>
  <c r="AJ1498" i="2"/>
  <c r="AJ1408" i="2"/>
  <c r="AJ1497" i="2" s="1"/>
  <c r="JN577" i="5"/>
  <c r="JM577" i="5" s="1"/>
  <c r="AM1496" i="2"/>
  <c r="AM1405" i="2"/>
  <c r="AK1408" i="2"/>
  <c r="AK1497" i="2" s="1"/>
  <c r="AK1498" i="2"/>
  <c r="AI772" i="2"/>
  <c r="AI950" i="2"/>
  <c r="AI998" i="2" s="1"/>
  <c r="JH577" i="5"/>
  <c r="JG577" i="5" s="1"/>
  <c r="AJ1470" i="2"/>
  <c r="AJ1559" i="2" s="1"/>
  <c r="IX577" i="5"/>
  <c r="IW576" i="5"/>
  <c r="JN670" i="5"/>
  <c r="JM670" i="5" s="1"/>
  <c r="AJ772" i="2"/>
  <c r="JK577" i="5"/>
  <c r="JJ577" i="5" s="1"/>
  <c r="AJ950" i="2"/>
  <c r="AJ998" i="2" s="1"/>
  <c r="JH669" i="5"/>
  <c r="JG669" i="5" s="1"/>
  <c r="AI976" i="2"/>
  <c r="AI1026" i="2" s="1"/>
  <c r="AK1496" i="2"/>
  <c r="AK1405" i="2"/>
  <c r="AH773" i="2"/>
  <c r="JE578" i="5"/>
  <c r="JD578" i="5" s="1"/>
  <c r="AO1408" i="2"/>
  <c r="L116" i="7"/>
  <c r="IO670" i="5"/>
  <c r="AL394" i="2"/>
  <c r="AL1405" i="2"/>
  <c r="AL1495" i="2"/>
  <c r="AH881" i="2"/>
  <c r="JE670" i="5"/>
  <c r="JD670" i="5" s="1"/>
  <c r="AM1408" i="2"/>
  <c r="AM1497" i="2" s="1"/>
  <c r="AM1498" i="2"/>
  <c r="AM394" i="2"/>
  <c r="AN1405" i="2"/>
  <c r="AN1495" i="2"/>
  <c r="IX628" i="5"/>
  <c r="IW621" i="5"/>
  <c r="AO112" i="19" l="1"/>
  <c r="BO17" i="19"/>
  <c r="KC818" i="5"/>
  <c r="BL14" i="19"/>
  <c r="BM14" i="19" s="1"/>
  <c r="T76" i="21"/>
  <c r="U34" i="21"/>
  <c r="Q100" i="21"/>
  <c r="R100" i="21" s="1"/>
  <c r="Q115" i="21"/>
  <c r="R115" i="21" s="1"/>
  <c r="AI676" i="2"/>
  <c r="AI677" i="2" s="1"/>
  <c r="JW1028" i="5"/>
  <c r="JV1028" i="5" s="1"/>
  <c r="JV1027" i="5" s="1"/>
  <c r="JV1019" i="5" s="1"/>
  <c r="W98" i="21"/>
  <c r="JT967" i="5"/>
  <c r="JQ1028" i="5"/>
  <c r="JP1028" i="5" s="1"/>
  <c r="JQ967" i="5"/>
  <c r="BG10" i="19"/>
  <c r="BI10" i="19" s="1"/>
  <c r="Q98" i="21"/>
  <c r="R98" i="21" s="1"/>
  <c r="JZ967" i="5"/>
  <c r="JW967" i="5"/>
  <c r="Q85" i="21"/>
  <c r="R85" i="21" s="1"/>
  <c r="T98" i="21"/>
  <c r="U98" i="21" s="1"/>
  <c r="JT1028" i="5"/>
  <c r="JS1028" i="5" s="1"/>
  <c r="AK1233" i="2"/>
  <c r="AL1159" i="2"/>
  <c r="AZ1161" i="2" s="1"/>
  <c r="AZ1162" i="2" s="1"/>
  <c r="AM1213" i="2"/>
  <c r="AH93" i="19"/>
  <c r="AH77" i="19"/>
  <c r="AH11" i="19"/>
  <c r="AH94" i="19"/>
  <c r="AH76" i="19"/>
  <c r="JS952" i="5"/>
  <c r="V64" i="21"/>
  <c r="V21" i="21"/>
  <c r="U92" i="21"/>
  <c r="W115" i="21"/>
  <c r="W100" i="21"/>
  <c r="W64" i="21"/>
  <c r="W21" i="21"/>
  <c r="W65" i="21" s="1"/>
  <c r="Q76" i="21"/>
  <c r="R76" i="21" s="1"/>
  <c r="JT849" i="5"/>
  <c r="V32" i="21"/>
  <c r="JW901" i="5"/>
  <c r="JU901" i="5" s="1"/>
  <c r="W95" i="21"/>
  <c r="W76" i="21"/>
  <c r="Q33" i="21"/>
  <c r="R33" i="21" s="1"/>
  <c r="JQ908" i="5"/>
  <c r="V76" i="21"/>
  <c r="JW952" i="5"/>
  <c r="W121" i="21"/>
  <c r="U76" i="21"/>
  <c r="V115" i="21"/>
  <c r="V100" i="21"/>
  <c r="U118" i="21"/>
  <c r="U115" i="21"/>
  <c r="U100" i="21"/>
  <c r="U64" i="21"/>
  <c r="U20" i="21"/>
  <c r="T21" i="21"/>
  <c r="T65" i="21" s="1"/>
  <c r="Q64" i="21"/>
  <c r="R64" i="21" s="1"/>
  <c r="X21" i="19"/>
  <c r="AA21" i="19" s="1"/>
  <c r="Y21" i="19"/>
  <c r="JT908" i="5"/>
  <c r="V98" i="21"/>
  <c r="Q21" i="21"/>
  <c r="R21" i="21" s="1"/>
  <c r="AL1230" i="5"/>
  <c r="AR1220" i="5"/>
  <c r="AM1230" i="5"/>
  <c r="AS1220" i="5"/>
  <c r="AH1230" i="5"/>
  <c r="AN1220" i="5"/>
  <c r="AI1230" i="5"/>
  <c r="AO1220" i="5"/>
  <c r="JZ813" i="5"/>
  <c r="JY813" i="5" s="1"/>
  <c r="AZ103" i="19"/>
  <c r="BH93" i="19"/>
  <c r="BK93" i="19" s="1"/>
  <c r="BI93" i="19"/>
  <c r="AX28" i="19"/>
  <c r="AZ28" i="19" s="1"/>
  <c r="AZ21" i="19"/>
  <c r="AQ103" i="19"/>
  <c r="AO28" i="19"/>
  <c r="AQ28" i="19" s="1"/>
  <c r="AQ21" i="19"/>
  <c r="AP93" i="19"/>
  <c r="AS93" i="19" s="1"/>
  <c r="AQ93" i="19"/>
  <c r="AG75" i="19"/>
  <c r="AJ75" i="19" s="1"/>
  <c r="AH75" i="19"/>
  <c r="AH103" i="19"/>
  <c r="AI56" i="19"/>
  <c r="AH56" i="19"/>
  <c r="AG32" i="19"/>
  <c r="AJ32" i="19" s="1"/>
  <c r="AH32" i="19"/>
  <c r="AI14" i="19"/>
  <c r="AH14" i="19"/>
  <c r="AI21" i="19"/>
  <c r="AH21" i="19"/>
  <c r="Z76" i="19"/>
  <c r="Y76" i="19"/>
  <c r="AV93" i="19"/>
  <c r="AW93" i="19" s="1"/>
  <c r="AD75" i="19"/>
  <c r="AE75" i="19" s="1"/>
  <c r="BE93" i="19"/>
  <c r="BF93" i="19" s="1"/>
  <c r="JM951" i="5"/>
  <c r="AT1272" i="2" s="1"/>
  <c r="AU1272" i="2"/>
  <c r="JN882" i="5"/>
  <c r="W43" i="19"/>
  <c r="Y43" i="19" s="1"/>
  <c r="AL720" i="2"/>
  <c r="AM720" i="2" s="1"/>
  <c r="JN1028" i="5"/>
  <c r="JM1028" i="5" s="1"/>
  <c r="W102" i="19"/>
  <c r="JN908" i="5"/>
  <c r="W62" i="19"/>
  <c r="Y62" i="19" s="1"/>
  <c r="BF103" i="19"/>
  <c r="JN967" i="5"/>
  <c r="W74" i="19"/>
  <c r="Y74" i="19" s="1"/>
  <c r="W27" i="19"/>
  <c r="Y27" i="19" s="1"/>
  <c r="AC662" i="2"/>
  <c r="AK1095" i="2"/>
  <c r="AA662" i="2"/>
  <c r="AL553" i="2"/>
  <c r="AI602" i="2"/>
  <c r="AI603" i="2"/>
  <c r="AH552" i="2"/>
  <c r="AH553" i="2"/>
  <c r="AH554" i="2" s="1"/>
  <c r="AI588" i="2"/>
  <c r="AI589" i="2"/>
  <c r="AH661" i="2"/>
  <c r="AH660" i="2"/>
  <c r="AH662" i="2"/>
  <c r="AI688" i="2"/>
  <c r="AI689" i="2"/>
  <c r="AI690" i="2"/>
  <c r="AJ689" i="2"/>
  <c r="AJ690" i="2"/>
  <c r="AI564" i="2"/>
  <c r="AI565" i="2"/>
  <c r="AI668" i="2"/>
  <c r="AJ667" i="2"/>
  <c r="AJ668" i="2"/>
  <c r="AE660" i="2"/>
  <c r="AE662" i="2"/>
  <c r="AH548" i="2"/>
  <c r="AH549" i="2"/>
  <c r="AH550" i="2" s="1"/>
  <c r="AI463" i="2"/>
  <c r="AI464" i="2"/>
  <c r="AI493" i="2"/>
  <c r="AI492" i="2"/>
  <c r="AI456" i="2"/>
  <c r="AI455" i="2"/>
  <c r="AI598" i="2"/>
  <c r="AI599" i="2"/>
  <c r="AI519" i="2"/>
  <c r="AI518" i="2"/>
  <c r="AI557" i="2"/>
  <c r="AI556" i="2"/>
  <c r="AI593" i="2"/>
  <c r="AI592" i="2"/>
  <c r="AD662" i="2"/>
  <c r="AH588" i="2"/>
  <c r="AH589" i="2"/>
  <c r="AH590" i="2" s="1"/>
  <c r="AI661" i="2"/>
  <c r="AI662" i="2"/>
  <c r="AI660" i="2"/>
  <c r="AJ661" i="2"/>
  <c r="AJ662" i="2"/>
  <c r="AH496" i="2"/>
  <c r="AH497" i="2"/>
  <c r="AH498" i="2" s="1"/>
  <c r="AH568" i="2"/>
  <c r="AH569" i="2"/>
  <c r="AH570" i="2" s="1"/>
  <c r="AH565" i="2"/>
  <c r="AH566" i="2" s="1"/>
  <c r="AH564" i="2"/>
  <c r="AH577" i="2"/>
  <c r="AH578" i="2" s="1"/>
  <c r="AH576" i="2"/>
  <c r="AH592" i="2"/>
  <c r="AH593" i="2"/>
  <c r="AH594" i="2" s="1"/>
  <c r="AH581" i="2"/>
  <c r="AH582" i="2" s="1"/>
  <c r="AH580" i="2"/>
  <c r="AG1644" i="2"/>
  <c r="AH598" i="2"/>
  <c r="AH599" i="2"/>
  <c r="AH600" i="2" s="1"/>
  <c r="AH572" i="2"/>
  <c r="AH573" i="2"/>
  <c r="AH574" i="2" s="1"/>
  <c r="AI573" i="2"/>
  <c r="AI572" i="2"/>
  <c r="AF660" i="2"/>
  <c r="AF662" i="2"/>
  <c r="AH682" i="2"/>
  <c r="AH681" i="2"/>
  <c r="AH680" i="2"/>
  <c r="AH679" i="2"/>
  <c r="AG662" i="2"/>
  <c r="AH1432" i="2"/>
  <c r="AH1521" i="2" s="1"/>
  <c r="AH676" i="2"/>
  <c r="AH677" i="2" s="1"/>
  <c r="AI549" i="2"/>
  <c r="AI548" i="2"/>
  <c r="AG661" i="2"/>
  <c r="AI580" i="2"/>
  <c r="AI581" i="2"/>
  <c r="AI552" i="2"/>
  <c r="AI553" i="2"/>
  <c r="AP1274" i="2"/>
  <c r="AP1273" i="2" s="1"/>
  <c r="AI576" i="2"/>
  <c r="AI577" i="2"/>
  <c r="Z662" i="2"/>
  <c r="AI568" i="2"/>
  <c r="AI569" i="2"/>
  <c r="AJ674" i="2"/>
  <c r="AJ673" i="2"/>
  <c r="AH493" i="2"/>
  <c r="AH494" i="2" s="1"/>
  <c r="AH492" i="2"/>
  <c r="AJ545" i="2"/>
  <c r="AK545" i="2" s="1"/>
  <c r="AL545" i="2" s="1"/>
  <c r="AH557" i="2"/>
  <c r="AH558" i="2" s="1"/>
  <c r="AH556" i="2"/>
  <c r="AI680" i="2"/>
  <c r="AI682" i="2"/>
  <c r="AI681" i="2"/>
  <c r="AI679" i="2"/>
  <c r="AJ682" i="2"/>
  <c r="AJ681" i="2"/>
  <c r="AI496" i="2"/>
  <c r="AI497" i="2"/>
  <c r="AJ498" i="2" s="1"/>
  <c r="AB1424" i="2"/>
  <c r="AB1513" i="2" s="1"/>
  <c r="AB662" i="2"/>
  <c r="AL507" i="2"/>
  <c r="AK1119" i="2"/>
  <c r="AG1370" i="2"/>
  <c r="AG1479" i="2" s="1"/>
  <c r="AG1566" i="2" s="1"/>
  <c r="AL1140" i="2"/>
  <c r="AM1140" i="2" s="1"/>
  <c r="JT834" i="5" s="1"/>
  <c r="IV1093" i="5"/>
  <c r="AE1269" i="2"/>
  <c r="AE1464" i="2" s="1"/>
  <c r="IJ1093" i="5"/>
  <c r="AA1269" i="2"/>
  <c r="AA1464" i="2" s="1"/>
  <c r="AA1463" i="2" s="1"/>
  <c r="AA1552" i="2" s="1"/>
  <c r="IP1093" i="5"/>
  <c r="AC1269" i="2"/>
  <c r="AC1688" i="2" s="1"/>
  <c r="IM1093" i="5"/>
  <c r="AB1269" i="2"/>
  <c r="AB1688" i="2" s="1"/>
  <c r="AG1366" i="2"/>
  <c r="AG1369" i="2"/>
  <c r="AG1478" i="2" s="1"/>
  <c r="AG1565" i="2" s="1"/>
  <c r="AF1269" i="2"/>
  <c r="AF1464" i="2" s="1"/>
  <c r="AC1466" i="2"/>
  <c r="AC1555" i="2" s="1"/>
  <c r="AB1466" i="2"/>
  <c r="AB1555" i="2" s="1"/>
  <c r="AI1370" i="2"/>
  <c r="AI1479" i="2" s="1"/>
  <c r="AI1566" i="2" s="1"/>
  <c r="AE557" i="2"/>
  <c r="AQ1101" i="2"/>
  <c r="KF795" i="5" s="1"/>
  <c r="KD795" i="5" s="1"/>
  <c r="KE795" i="5" s="1"/>
  <c r="AF556" i="2"/>
  <c r="AL1128" i="2"/>
  <c r="JQ892" i="5"/>
  <c r="AL1316" i="2"/>
  <c r="JQ990" i="5" s="1"/>
  <c r="AP532" i="2"/>
  <c r="KC790" i="5"/>
  <c r="KA790" i="5" s="1"/>
  <c r="KB790" i="5" s="1"/>
  <c r="AJ1375" i="2"/>
  <c r="AJ1723" i="2"/>
  <c r="AP1438" i="2"/>
  <c r="AP1527" i="2" s="1"/>
  <c r="KC908" i="5"/>
  <c r="KB908" i="5" s="1"/>
  <c r="AK1725" i="2"/>
  <c r="JN950" i="5"/>
  <c r="AJ1700" i="2"/>
  <c r="AJ1708" i="2" s="1"/>
  <c r="AL598" i="2"/>
  <c r="JQ839" i="5"/>
  <c r="AJ1374" i="2"/>
  <c r="JT831" i="5"/>
  <c r="JR831" i="5" s="1"/>
  <c r="JS831" i="5" s="1"/>
  <c r="AN1137" i="2"/>
  <c r="KB948" i="5"/>
  <c r="KB947" i="5" s="1"/>
  <c r="AK1700" i="2"/>
  <c r="AK1708" i="2" s="1"/>
  <c r="Q43" i="19"/>
  <c r="AK598" i="2"/>
  <c r="JN839" i="5"/>
  <c r="AQ1438" i="2"/>
  <c r="AQ1527" i="2" s="1"/>
  <c r="KF908" i="5"/>
  <c r="KE908" i="5" s="1"/>
  <c r="AX62" i="19"/>
  <c r="JW908" i="5"/>
  <c r="AM1318" i="2"/>
  <c r="JT992" i="5" s="1"/>
  <c r="JQ992" i="5"/>
  <c r="JO992" i="5" s="1"/>
  <c r="AP1166" i="2"/>
  <c r="KC860" i="5" s="1"/>
  <c r="KB860" i="5" s="1"/>
  <c r="KC840" i="5"/>
  <c r="AJ1727" i="2"/>
  <c r="JN992" i="5"/>
  <c r="JM992" i="5" s="1"/>
  <c r="JQ951" i="5"/>
  <c r="JO951" i="5" s="1"/>
  <c r="JP951" i="5" s="1"/>
  <c r="AQ1088" i="2"/>
  <c r="KF782" i="5" s="1"/>
  <c r="KD782" i="5" s="1"/>
  <c r="KE782" i="5" s="1"/>
  <c r="KC782" i="5"/>
  <c r="KA782" i="5" s="1"/>
  <c r="KB782" i="5" s="1"/>
  <c r="BG102" i="19"/>
  <c r="JZ1028" i="5"/>
  <c r="AL1728" i="2"/>
  <c r="JO961" i="5"/>
  <c r="JP961" i="5" s="1"/>
  <c r="JZ956" i="5"/>
  <c r="JX956" i="5" s="1"/>
  <c r="JY956" i="5" s="1"/>
  <c r="AL1148" i="2"/>
  <c r="JQ842" i="5" s="1"/>
  <c r="JO842" i="5" s="1"/>
  <c r="JP842" i="5" s="1"/>
  <c r="JN842" i="5"/>
  <c r="JM842" i="5" s="1"/>
  <c r="AM1135" i="2"/>
  <c r="JT829" i="5" s="1"/>
  <c r="JQ829" i="5"/>
  <c r="JO829" i="5" s="1"/>
  <c r="JP829" i="5" s="1"/>
  <c r="AO1273" i="2"/>
  <c r="JZ952" i="5" s="1"/>
  <c r="JZ953" i="5"/>
  <c r="JX953" i="5" s="1"/>
  <c r="JY953" i="5" s="1"/>
  <c r="JN830" i="5"/>
  <c r="JM830" i="5" s="1"/>
  <c r="O31" i="19"/>
  <c r="N31" i="19" s="1"/>
  <c r="BG62" i="19"/>
  <c r="JZ908" i="5"/>
  <c r="JY908" i="5" s="1"/>
  <c r="AK1374" i="2"/>
  <c r="Z72" i="19"/>
  <c r="AJ1725" i="2"/>
  <c r="O72" i="19"/>
  <c r="AF1721" i="2"/>
  <c r="AF1715" i="2" s="1"/>
  <c r="AE1721" i="2"/>
  <c r="AE1715" i="2" s="1"/>
  <c r="AQ500" i="2"/>
  <c r="JN565" i="5"/>
  <c r="JL565" i="5" s="1"/>
  <c r="JM565" i="5" s="1"/>
  <c r="AK634" i="2"/>
  <c r="AM350" i="2"/>
  <c r="AN350" i="2" s="1"/>
  <c r="AL389" i="2"/>
  <c r="AL329" i="2"/>
  <c r="AL630" i="2"/>
  <c r="AJ607" i="2"/>
  <c r="AK607" i="2" s="1"/>
  <c r="AL607" i="2" s="1"/>
  <c r="AM607" i="2" s="1"/>
  <c r="AN607" i="2" s="1"/>
  <c r="AO607" i="2" s="1"/>
  <c r="AP607" i="2" s="1"/>
  <c r="AQ607" i="2" s="1"/>
  <c r="AR607" i="2" s="1"/>
  <c r="AS607" i="2" s="1"/>
  <c r="AT607" i="2" s="1"/>
  <c r="AJ596" i="2"/>
  <c r="AK596" i="2" s="1"/>
  <c r="AL596" i="2" s="1"/>
  <c r="AM596" i="2" s="1"/>
  <c r="AN596" i="2" s="1"/>
  <c r="JN608" i="5"/>
  <c r="JL608" i="5" s="1"/>
  <c r="JM608" i="5" s="1"/>
  <c r="AL641" i="2"/>
  <c r="AK565" i="2"/>
  <c r="AL565" i="2" s="1"/>
  <c r="AM565" i="2" s="1"/>
  <c r="AN565" i="2" s="1"/>
  <c r="AO565" i="2" s="1"/>
  <c r="AP565" i="2" s="1"/>
  <c r="AQ565" i="2" s="1"/>
  <c r="AR565" i="2" s="1"/>
  <c r="AS565" i="2" s="1"/>
  <c r="AT565" i="2" s="1"/>
  <c r="JN851" i="5"/>
  <c r="AJ647" i="2"/>
  <c r="AP1119" i="2"/>
  <c r="BL10" i="19" s="1"/>
  <c r="AH445" i="2"/>
  <c r="AG445" i="2"/>
  <c r="AI445" i="2"/>
  <c r="AI439" i="2"/>
  <c r="AI440" i="2"/>
  <c r="AJ441" i="2" s="1"/>
  <c r="AF440" i="2"/>
  <c r="AG441" i="2" s="1"/>
  <c r="AF439" i="2"/>
  <c r="AK448" i="2"/>
  <c r="AK1064" i="2" s="1"/>
  <c r="JN758" i="5" s="1"/>
  <c r="JM758" i="5" s="1"/>
  <c r="AK452" i="2"/>
  <c r="AM688" i="2"/>
  <c r="AN688" i="2" s="1"/>
  <c r="AF1646" i="2"/>
  <c r="AF649" i="2"/>
  <c r="AF654" i="2" s="1"/>
  <c r="AF647" i="2"/>
  <c r="AI649" i="2"/>
  <c r="AI654" i="2" s="1"/>
  <c r="AG1646" i="2"/>
  <c r="AG1678" i="2" s="1"/>
  <c r="AH649" i="2"/>
  <c r="AH654" i="2" s="1"/>
  <c r="AG649" i="2"/>
  <c r="AG654" i="2" s="1"/>
  <c r="AQ1096" i="2"/>
  <c r="Y437" i="2"/>
  <c r="Z1146" i="2" s="1"/>
  <c r="Z533" i="2"/>
  <c r="Z534" i="2" s="1"/>
  <c r="Z532" i="2"/>
  <c r="AE532" i="2"/>
  <c r="AE533" i="2"/>
  <c r="AC437" i="2"/>
  <c r="AD1146" i="2" s="1"/>
  <c r="AD532" i="2"/>
  <c r="AD533" i="2"/>
  <c r="Z526" i="2"/>
  <c r="Z527" i="2"/>
  <c r="Y544" i="2"/>
  <c r="Y526" i="2"/>
  <c r="Y527" i="2"/>
  <c r="Y528" i="2" s="1"/>
  <c r="AD544" i="2"/>
  <c r="AD527" i="2"/>
  <c r="AD526" i="2"/>
  <c r="AA544" i="2"/>
  <c r="AA527" i="2"/>
  <c r="AA526" i="2"/>
  <c r="AE545" i="2"/>
  <c r="AF544" i="2"/>
  <c r="AF528" i="2"/>
  <c r="AH544" i="2"/>
  <c r="AI544" i="2"/>
  <c r="AC544" i="2"/>
  <c r="AC526" i="2"/>
  <c r="AC527" i="2"/>
  <c r="AB545" i="2"/>
  <c r="AB527" i="2"/>
  <c r="AB526" i="2"/>
  <c r="AO1438" i="2"/>
  <c r="AO1527" i="2" s="1"/>
  <c r="DU754" i="5"/>
  <c r="DU932" i="5" s="1"/>
  <c r="GT754" i="5"/>
  <c r="GT932" i="5" s="1"/>
  <c r="DL754" i="5"/>
  <c r="EM754" i="5"/>
  <c r="EW754" i="5"/>
  <c r="ER754" i="5"/>
  <c r="FH1232" i="5"/>
  <c r="DS754" i="5"/>
  <c r="DW754" i="5"/>
  <c r="EL754" i="5"/>
  <c r="GL754" i="5"/>
  <c r="DQ754" i="5"/>
  <c r="GR754" i="5"/>
  <c r="GR905" i="5" s="1"/>
  <c r="GR924" i="5" s="1"/>
  <c r="GR1041" i="5" s="1"/>
  <c r="DT754" i="5"/>
  <c r="EA754" i="5"/>
  <c r="GO754" i="5"/>
  <c r="GO905" i="5" s="1"/>
  <c r="ED754" i="5"/>
  <c r="FE1232" i="5"/>
  <c r="EU754" i="5"/>
  <c r="DP754" i="5"/>
  <c r="EG754" i="5"/>
  <c r="FS754" i="5"/>
  <c r="FS932" i="5" s="1"/>
  <c r="GK754" i="5"/>
  <c r="GK905" i="5" s="1"/>
  <c r="GK924" i="5" s="1"/>
  <c r="GK1041" i="5" s="1"/>
  <c r="GJ754" i="5"/>
  <c r="FR754" i="5"/>
  <c r="FR932" i="5" s="1"/>
  <c r="FM754" i="5"/>
  <c r="FQ754" i="5"/>
  <c r="FQ932" i="5" s="1"/>
  <c r="EV754" i="5"/>
  <c r="FN754" i="5"/>
  <c r="FN932" i="5" s="1"/>
  <c r="EJ754" i="5"/>
  <c r="DI932" i="5"/>
  <c r="EK754" i="5"/>
  <c r="ES754" i="5"/>
  <c r="DK754" i="5"/>
  <c r="FU754" i="5"/>
  <c r="DF754" i="5"/>
  <c r="DH754" i="5"/>
  <c r="DO754" i="5"/>
  <c r="EE754" i="5"/>
  <c r="EE1075" i="5" s="1"/>
  <c r="EI754" i="5"/>
  <c r="EB754" i="5"/>
  <c r="EB932" i="5" s="1"/>
  <c r="DZ754" i="5"/>
  <c r="DV754" i="5"/>
  <c r="EO754" i="5"/>
  <c r="DJ754" i="5"/>
  <c r="FK754" i="5"/>
  <c r="DM754" i="5"/>
  <c r="FC754" i="5"/>
  <c r="FH754" i="5"/>
  <c r="EX754" i="5"/>
  <c r="ET754" i="5"/>
  <c r="ET932" i="5" s="1"/>
  <c r="GV754" i="5"/>
  <c r="GV932" i="5" s="1"/>
  <c r="FG754" i="5"/>
  <c r="AG1715" i="2"/>
  <c r="AB598" i="2"/>
  <c r="AH1745" i="2"/>
  <c r="JF850" i="5"/>
  <c r="JF906" i="5" s="1"/>
  <c r="JF1058" i="5"/>
  <c r="AB1188" i="2"/>
  <c r="AB1428" i="2" s="1"/>
  <c r="AB1517" i="2" s="1"/>
  <c r="IM1058" i="5"/>
  <c r="IM1067" i="5" s="1"/>
  <c r="AF1188" i="2"/>
  <c r="AF1428" i="2" s="1"/>
  <c r="AF1517" i="2" s="1"/>
  <c r="IY1058" i="5"/>
  <c r="IY1067" i="5" s="1"/>
  <c r="JG1058" i="5"/>
  <c r="JG1067" i="5" s="1"/>
  <c r="AG1380" i="2"/>
  <c r="AG1388" i="2" s="1"/>
  <c r="AC1188" i="2"/>
  <c r="AC1428" i="2" s="1"/>
  <c r="AC1517" i="2" s="1"/>
  <c r="IP1058" i="5"/>
  <c r="IP1067" i="5" s="1"/>
  <c r="AE1188" i="2"/>
  <c r="AE1428" i="2" s="1"/>
  <c r="AE1517" i="2" s="1"/>
  <c r="IV1058" i="5"/>
  <c r="IV1067" i="5" s="1"/>
  <c r="Z1188" i="2"/>
  <c r="Z1428" i="2" s="1"/>
  <c r="Z1517" i="2" s="1"/>
  <c r="IG1058" i="5"/>
  <c r="IG1067" i="5" s="1"/>
  <c r="AA1188" i="2"/>
  <c r="AA1428" i="2" s="1"/>
  <c r="AA1517" i="2" s="1"/>
  <c r="IJ1058" i="5"/>
  <c r="IJ1067" i="5" s="1"/>
  <c r="AD1188" i="2"/>
  <c r="AD1428" i="2" s="1"/>
  <c r="AD1517" i="2" s="1"/>
  <c r="IS1058" i="5"/>
  <c r="IS1067" i="5" s="1"/>
  <c r="AH488" i="2"/>
  <c r="AH469" i="2"/>
  <c r="AH468" i="2"/>
  <c r="AA468" i="2"/>
  <c r="AF488" i="2"/>
  <c r="AF468" i="2"/>
  <c r="AF469" i="2"/>
  <c r="Z488" i="2"/>
  <c r="Z468" i="2"/>
  <c r="Y488" i="2"/>
  <c r="Y468" i="2"/>
  <c r="AD489" i="2"/>
  <c r="AD468" i="2"/>
  <c r="AC488" i="2"/>
  <c r="AC468" i="2"/>
  <c r="AE488" i="2"/>
  <c r="AE468" i="2"/>
  <c r="AE469" i="2"/>
  <c r="AI468" i="2"/>
  <c r="AB489" i="2"/>
  <c r="AB468" i="2"/>
  <c r="AO1664" i="2"/>
  <c r="AJ1903" i="2"/>
  <c r="AG776" i="2" s="1"/>
  <c r="AG773" i="2" s="1"/>
  <c r="AG950" i="2" s="1"/>
  <c r="AG998" i="2" s="1"/>
  <c r="AK1664" i="2"/>
  <c r="JP869" i="5"/>
  <c r="AP1664" i="2"/>
  <c r="JY869" i="5"/>
  <c r="AN1664" i="2"/>
  <c r="AM1664" i="2"/>
  <c r="JS869" i="5"/>
  <c r="AP1428" i="2"/>
  <c r="AP1517" i="2" s="1"/>
  <c r="JM869" i="5"/>
  <c r="BG74" i="19"/>
  <c r="JV869" i="5"/>
  <c r="AJ1664" i="2"/>
  <c r="AL1664" i="2"/>
  <c r="AE1466" i="2"/>
  <c r="AE1555" i="2" s="1"/>
  <c r="AD1466" i="2"/>
  <c r="AD1555" i="2" s="1"/>
  <c r="AF1466" i="2"/>
  <c r="AF1555" i="2" s="1"/>
  <c r="AH1466" i="2"/>
  <c r="AH1555" i="2" s="1"/>
  <c r="AF594" i="2"/>
  <c r="AC584" i="2"/>
  <c r="AD586" i="2"/>
  <c r="AC1402" i="2"/>
  <c r="AC1491" i="2" s="1"/>
  <c r="AH1664" i="2"/>
  <c r="AG1718" i="2"/>
  <c r="AG1664" i="2"/>
  <c r="AI1664" i="2"/>
  <c r="AE592" i="2"/>
  <c r="AN1729" i="2"/>
  <c r="AF676" i="2"/>
  <c r="AF677" i="2" s="1"/>
  <c r="AF1946" i="2"/>
  <c r="Z537" i="2"/>
  <c r="AA538" i="2" s="1"/>
  <c r="Y541" i="2"/>
  <c r="Y542" i="2" s="1"/>
  <c r="Z548" i="2"/>
  <c r="AH1729" i="2"/>
  <c r="AE1689" i="2"/>
  <c r="AE1814" i="2" s="1"/>
  <c r="AH1718" i="2"/>
  <c r="JH994" i="5"/>
  <c r="AI1320" i="2" s="1"/>
  <c r="AI1719" i="2"/>
  <c r="AI1718" i="2" s="1"/>
  <c r="AI1729" i="2"/>
  <c r="AE578" i="2"/>
  <c r="AD576" i="2"/>
  <c r="AI1749" i="2"/>
  <c r="AF1749" i="2"/>
  <c r="AE1749" i="2"/>
  <c r="AH1749" i="2"/>
  <c r="JS1008" i="5"/>
  <c r="JY1008" i="5"/>
  <c r="AO1750" i="2"/>
  <c r="AE1644" i="2"/>
  <c r="Y1692" i="2"/>
  <c r="AN657" i="5"/>
  <c r="AN730" i="5" s="1"/>
  <c r="AE924" i="5"/>
  <c r="AE1041" i="5" s="1"/>
  <c r="AE1098" i="5" s="1"/>
  <c r="EN1078" i="5"/>
  <c r="AF598" i="2"/>
  <c r="CB906" i="5"/>
  <c r="CB1085" i="5" s="1"/>
  <c r="CZ932" i="5"/>
  <c r="FF932" i="5"/>
  <c r="AF1644" i="2"/>
  <c r="AF560" i="2"/>
  <c r="BA905" i="5"/>
  <c r="BA1084" i="5" s="1"/>
  <c r="AE1075" i="5"/>
  <c r="AE925" i="5"/>
  <c r="AE1091" i="5" s="1"/>
  <c r="AE905" i="5"/>
  <c r="AE1084" i="5" s="1"/>
  <c r="AG562" i="2"/>
  <c r="AD536" i="2"/>
  <c r="AE538" i="2"/>
  <c r="AD538" i="2"/>
  <c r="AE536" i="2"/>
  <c r="EZ932" i="5"/>
  <c r="FE932" i="5"/>
  <c r="Y673" i="2"/>
  <c r="AE906" i="5"/>
  <c r="AE1085" i="5" s="1"/>
  <c r="Y1429" i="2"/>
  <c r="Y1518" i="2" s="1"/>
  <c r="Y674" i="2"/>
  <c r="Y671" i="2"/>
  <c r="AE1399" i="2"/>
  <c r="AE1488" i="2" s="1"/>
  <c r="FA932" i="5"/>
  <c r="FD1249" i="5"/>
  <c r="FD1241" i="5" s="1"/>
  <c r="DQ726" i="5"/>
  <c r="FS1238" i="5"/>
  <c r="EN1075" i="5"/>
  <c r="EN932" i="5"/>
  <c r="Z905" i="5"/>
  <c r="Z1084" i="5" s="1"/>
  <c r="Z932" i="5"/>
  <c r="BK925" i="5"/>
  <c r="BK1091" i="5" s="1"/>
  <c r="BK932" i="5"/>
  <c r="BC925" i="5"/>
  <c r="BC1091" i="5" s="1"/>
  <c r="BC932" i="5"/>
  <c r="EY932" i="5"/>
  <c r="BA924" i="5"/>
  <c r="BA1090" i="5" s="1"/>
  <c r="BJ925" i="5"/>
  <c r="BJ1091" i="5" s="1"/>
  <c r="BJ932" i="5"/>
  <c r="BQ925" i="5"/>
  <c r="BQ1091" i="5" s="1"/>
  <c r="BQ932" i="5"/>
  <c r="AW905" i="5"/>
  <c r="AW1084" i="5" s="1"/>
  <c r="AW932" i="5"/>
  <c r="EQ1075" i="5"/>
  <c r="EQ932" i="5"/>
  <c r="DY932" i="5"/>
  <c r="Z553" i="2"/>
  <c r="Z554" i="2" s="1"/>
  <c r="N905" i="5"/>
  <c r="N1084" i="5" s="1"/>
  <c r="N932" i="5"/>
  <c r="GT1254" i="5"/>
  <c r="BA906" i="5"/>
  <c r="BA1085" i="5" s="1"/>
  <c r="BV924" i="5"/>
  <c r="BV1041" i="5" s="1"/>
  <c r="BV1098" i="5" s="1"/>
  <c r="BV932" i="5"/>
  <c r="BM731" i="5"/>
  <c r="FA1078" i="5"/>
  <c r="Z540" i="2"/>
  <c r="AZ924" i="5"/>
  <c r="AZ1090" i="5" s="1"/>
  <c r="AZ932" i="5"/>
  <c r="CM932" i="5"/>
  <c r="AR906" i="5"/>
  <c r="AR1085" i="5" s="1"/>
  <c r="AR932" i="5"/>
  <c r="Y905" i="5"/>
  <c r="Y1084" i="5" s="1"/>
  <c r="Y932" i="5"/>
  <c r="DQ1238" i="5"/>
  <c r="AG1914" i="2"/>
  <c r="FA1238" i="5"/>
  <c r="X925" i="5"/>
  <c r="X1091" i="5" s="1"/>
  <c r="X932" i="5"/>
  <c r="K906" i="5"/>
  <c r="K1085" i="5" s="1"/>
  <c r="K932" i="5"/>
  <c r="DG1075" i="5"/>
  <c r="DG932" i="5"/>
  <c r="BN925" i="5"/>
  <c r="BN1091" i="5" s="1"/>
  <c r="BN932" i="5"/>
  <c r="FD1075" i="5"/>
  <c r="FD932" i="5"/>
  <c r="BL925" i="5"/>
  <c r="BL1091" i="5" s="1"/>
  <c r="BL932" i="5"/>
  <c r="BA1075" i="5"/>
  <c r="BA932" i="5"/>
  <c r="FP906" i="5"/>
  <c r="FP925" i="5" s="1"/>
  <c r="FP1091" i="5" s="1"/>
  <c r="FP932" i="5"/>
  <c r="AU924" i="5"/>
  <c r="AU1090" i="5" s="1"/>
  <c r="AU932" i="5"/>
  <c r="AY924" i="5"/>
  <c r="AY1090" i="5" s="1"/>
  <c r="AY932" i="5"/>
  <c r="DQ550" i="5"/>
  <c r="DQ714" i="5" s="1"/>
  <c r="FV1075" i="5"/>
  <c r="FV932" i="5"/>
  <c r="BM925" i="5"/>
  <c r="BM1091" i="5" s="1"/>
  <c r="BM932" i="5"/>
  <c r="P1075" i="5"/>
  <c r="P932" i="5"/>
  <c r="FO932" i="5"/>
  <c r="Z1656" i="2"/>
  <c r="AN906" i="5"/>
  <c r="AN1085" i="5" s="1"/>
  <c r="AN932" i="5"/>
  <c r="AA905" i="5"/>
  <c r="AA1084" i="5" s="1"/>
  <c r="AA932" i="5"/>
  <c r="L905" i="5"/>
  <c r="L1084" i="5" s="1"/>
  <c r="L932" i="5"/>
  <c r="FI906" i="5"/>
  <c r="FI1085" i="5" s="1"/>
  <c r="FI932" i="5"/>
  <c r="AT924" i="5"/>
  <c r="AT1041" i="5" s="1"/>
  <c r="AT1098" i="5" s="1"/>
  <c r="AT932" i="5"/>
  <c r="O925" i="5"/>
  <c r="O1091" i="5" s="1"/>
  <c r="O932" i="5"/>
  <c r="AP906" i="5"/>
  <c r="AP1085" i="5" s="1"/>
  <c r="AP932" i="5"/>
  <c r="AD925" i="5"/>
  <c r="AD1091" i="5" s="1"/>
  <c r="AD932" i="5"/>
  <c r="BY1075" i="5"/>
  <c r="BY932" i="5"/>
  <c r="S906" i="5"/>
  <c r="S1085" i="5" s="1"/>
  <c r="S932" i="5"/>
  <c r="DC1075" i="5"/>
  <c r="DC932" i="5"/>
  <c r="AL924" i="5"/>
  <c r="AL1041" i="5" s="1"/>
  <c r="AL1098" i="5" s="1"/>
  <c r="AL932" i="5"/>
  <c r="BR906" i="5"/>
  <c r="BR1085" i="5" s="1"/>
  <c r="BR932" i="5"/>
  <c r="AO1075" i="5"/>
  <c r="AO932" i="5"/>
  <c r="BF924" i="5"/>
  <c r="BF1041" i="5" s="1"/>
  <c r="BF1098" i="5" s="1"/>
  <c r="BF932" i="5"/>
  <c r="CD906" i="5"/>
  <c r="CD1085" i="5" s="1"/>
  <c r="CD932" i="5"/>
  <c r="BW925" i="5"/>
  <c r="BW1091" i="5" s="1"/>
  <c r="BW932" i="5"/>
  <c r="BU905" i="5"/>
  <c r="BU1084" i="5" s="1"/>
  <c r="BU932" i="5"/>
  <c r="CB925" i="5"/>
  <c r="CB1091" i="5" s="1"/>
  <c r="CB932" i="5"/>
  <c r="AM905" i="5"/>
  <c r="AM1084" i="5" s="1"/>
  <c r="AM932" i="5"/>
  <c r="T924" i="5"/>
  <c r="T1090" i="5" s="1"/>
  <c r="T932" i="5"/>
  <c r="AB905" i="5"/>
  <c r="AB1084" i="5" s="1"/>
  <c r="AB932" i="5"/>
  <c r="DE932" i="5"/>
  <c r="BE924" i="5"/>
  <c r="BE1090" i="5" s="1"/>
  <c r="BE932" i="5"/>
  <c r="FJ932" i="5"/>
  <c r="DD932" i="5"/>
  <c r="BG906" i="5"/>
  <c r="BG1085" i="5" s="1"/>
  <c r="BG932" i="5"/>
  <c r="BF32" i="19"/>
  <c r="Z28" i="19"/>
  <c r="Z21" i="19"/>
  <c r="AW21" i="19"/>
  <c r="BA21" i="19"/>
  <c r="AY21" i="19"/>
  <c r="BB21" i="19" s="1"/>
  <c r="AR21" i="19"/>
  <c r="AA561" i="2"/>
  <c r="JX782" i="5"/>
  <c r="JY782" i="5" s="1"/>
  <c r="AP21" i="19"/>
  <c r="AS21" i="19" s="1"/>
  <c r="JX790" i="5"/>
  <c r="JY790" i="5" s="1"/>
  <c r="AB585" i="2"/>
  <c r="AC586" i="2" s="1"/>
  <c r="AB1402" i="2"/>
  <c r="AB1491" i="2" s="1"/>
  <c r="AN21" i="19"/>
  <c r="JX765" i="5"/>
  <c r="JY765" i="5" s="1"/>
  <c r="BF14" i="19"/>
  <c r="JS860" i="5"/>
  <c r="AE21" i="19"/>
  <c r="BE28" i="19"/>
  <c r="JP860" i="5"/>
  <c r="AV10" i="19"/>
  <c r="BE10" i="19"/>
  <c r="AG21" i="19"/>
  <c r="AJ21" i="19" s="1"/>
  <c r="AF28" i="19"/>
  <c r="BF11" i="19"/>
  <c r="JU1027" i="5"/>
  <c r="JM860" i="5"/>
  <c r="AO62" i="19"/>
  <c r="AQ62" i="19" s="1"/>
  <c r="BJ93" i="19"/>
  <c r="AV28" i="19"/>
  <c r="AO1352" i="2"/>
  <c r="BE62" i="19"/>
  <c r="AR93" i="19"/>
  <c r="AE32" i="19"/>
  <c r="AJ480" i="2"/>
  <c r="BF21" i="19"/>
  <c r="AV102" i="19"/>
  <c r="Y1418" i="2"/>
  <c r="Y1507" i="2" s="1"/>
  <c r="Y602" i="2"/>
  <c r="CF726" i="5"/>
  <c r="CQ754" i="5"/>
  <c r="AB581" i="2"/>
  <c r="AB582" i="2" s="1"/>
  <c r="AA1418" i="2"/>
  <c r="AA1507" i="2" s="1"/>
  <c r="AA602" i="2"/>
  <c r="DT588" i="5"/>
  <c r="DT1241" i="5" s="1"/>
  <c r="AF557" i="2"/>
  <c r="AG558" i="2" s="1"/>
  <c r="CB905" i="5"/>
  <c r="CB1084" i="5" s="1"/>
  <c r="CB924" i="5"/>
  <c r="CB1090" i="5" s="1"/>
  <c r="IG695" i="5"/>
  <c r="IG745" i="5" s="1"/>
  <c r="GS925" i="5"/>
  <c r="CF724" i="5"/>
  <c r="AC536" i="2"/>
  <c r="GV925" i="5"/>
  <c r="AW77" i="19"/>
  <c r="JS968" i="5"/>
  <c r="JS967" i="5" s="1"/>
  <c r="AM75" i="19"/>
  <c r="AN75" i="19" s="1"/>
  <c r="AC538" i="2"/>
  <c r="GL1256" i="5"/>
  <c r="FK1078" i="5"/>
  <c r="CM1078" i="5"/>
  <c r="AG516" i="2"/>
  <c r="BE77" i="19"/>
  <c r="BF77" i="19" s="1"/>
  <c r="BJ11" i="19"/>
  <c r="AE14" i="19"/>
  <c r="V103" i="19"/>
  <c r="AN11" i="19"/>
  <c r="BA32" i="19"/>
  <c r="AW32" i="19"/>
  <c r="AN14" i="19"/>
  <c r="BA93" i="19"/>
  <c r="BJ32" i="19"/>
  <c r="AY14" i="19"/>
  <c r="BB14" i="19" s="1"/>
  <c r="AW14" i="19"/>
  <c r="BA103" i="19"/>
  <c r="AW103" i="19"/>
  <c r="AY11" i="19"/>
  <c r="BB11" i="19" s="1"/>
  <c r="AW11" i="19"/>
  <c r="AR32" i="19"/>
  <c r="AN32" i="19"/>
  <c r="Q40" i="19"/>
  <c r="N40" i="19"/>
  <c r="Q56" i="19"/>
  <c r="N56" i="19"/>
  <c r="AE103" i="19"/>
  <c r="Q76" i="19"/>
  <c r="N76" i="19"/>
  <c r="AN103" i="19"/>
  <c r="AE11" i="19"/>
  <c r="AR76" i="19"/>
  <c r="AN76" i="19"/>
  <c r="AP56" i="19"/>
  <c r="AS56" i="19" s="1"/>
  <c r="P925" i="5"/>
  <c r="P1091" i="5" s="1"/>
  <c r="P905" i="5"/>
  <c r="P1084" i="5" s="1"/>
  <c r="P906" i="5"/>
  <c r="P1085" i="5" s="1"/>
  <c r="P924" i="5"/>
  <c r="P1041" i="5" s="1"/>
  <c r="P1098" i="5" s="1"/>
  <c r="AI76" i="19"/>
  <c r="AE76" i="19"/>
  <c r="GU1256" i="5"/>
  <c r="AI75" i="19"/>
  <c r="JY976" i="5"/>
  <c r="IT894" i="5"/>
  <c r="EP1233" i="5"/>
  <c r="GJ1256" i="5"/>
  <c r="HE925" i="5"/>
  <c r="Y664" i="5"/>
  <c r="Y736" i="5" s="1"/>
  <c r="GK1256" i="5"/>
  <c r="DT1242" i="5"/>
  <c r="BI664" i="5"/>
  <c r="BI736" i="5" s="1"/>
  <c r="DT550" i="5"/>
  <c r="DT714" i="5" s="1"/>
  <c r="GW1256" i="5"/>
  <c r="Y537" i="2"/>
  <c r="Y538" i="2" s="1"/>
  <c r="AH1686" i="2"/>
  <c r="AH1685" i="2" s="1"/>
  <c r="X905" i="5"/>
  <c r="X1084" i="5" s="1"/>
  <c r="AM1075" i="5"/>
  <c r="AM925" i="5"/>
  <c r="AM1091" i="5" s="1"/>
  <c r="AM906" i="5"/>
  <c r="AM1085" i="5" s="1"/>
  <c r="AM924" i="5"/>
  <c r="AM1041" i="5" s="1"/>
  <c r="AM1098" i="5" s="1"/>
  <c r="DA724" i="5"/>
  <c r="DF1232" i="5"/>
  <c r="EP588" i="5"/>
  <c r="EP1241" i="5" s="1"/>
  <c r="E905" i="5"/>
  <c r="E1084" i="5" s="1"/>
  <c r="X657" i="5"/>
  <c r="X664" i="5" s="1"/>
  <c r="X736" i="5" s="1"/>
  <c r="GT925" i="5"/>
  <c r="BU714" i="5"/>
  <c r="HC925" i="5"/>
  <c r="K1075" i="5"/>
  <c r="E925" i="5"/>
  <c r="E1091" i="5" s="1"/>
  <c r="M1090" i="5"/>
  <c r="CR726" i="5"/>
  <c r="FI1078" i="5"/>
  <c r="K905" i="5"/>
  <c r="K1084" i="5" s="1"/>
  <c r="V21" i="19"/>
  <c r="GY1256" i="5"/>
  <c r="CG754" i="5"/>
  <c r="DE1078" i="5"/>
  <c r="HE1256" i="5"/>
  <c r="FP1232" i="5"/>
  <c r="CX1242" i="5"/>
  <c r="E924" i="5"/>
  <c r="E1041" i="5" s="1"/>
  <c r="E1098" i="5" s="1"/>
  <c r="LA925" i="5"/>
  <c r="LA1091" i="5" s="1"/>
  <c r="HD925" i="5"/>
  <c r="CT1242" i="5"/>
  <c r="AV731" i="5"/>
  <c r="GN925" i="5"/>
  <c r="GQ1256" i="5"/>
  <c r="GZ1256" i="5"/>
  <c r="S714" i="5"/>
  <c r="DT1232" i="5"/>
  <c r="GP1256" i="5"/>
  <c r="CT719" i="5"/>
  <c r="GS1256" i="5"/>
  <c r="LA905" i="5"/>
  <c r="LA1084" i="5" s="1"/>
  <c r="LA1075" i="5"/>
  <c r="V80" i="19"/>
  <c r="V78" i="19"/>
  <c r="KZ924" i="5"/>
  <c r="KZ1041" i="5" s="1"/>
  <c r="KZ1098" i="5" s="1"/>
  <c r="HA1256" i="5"/>
  <c r="HC1256" i="5"/>
  <c r="DI1078" i="5"/>
  <c r="HF925" i="5"/>
  <c r="FV1078" i="5"/>
  <c r="GY925" i="5"/>
  <c r="FK1249" i="5"/>
  <c r="FK1241" i="5" s="1"/>
  <c r="H731" i="5"/>
  <c r="BU1075" i="5"/>
  <c r="Q52" i="19"/>
  <c r="N52" i="19"/>
  <c r="GW925" i="5"/>
  <c r="AI94" i="19"/>
  <c r="AE94" i="19"/>
  <c r="GQ925" i="5"/>
  <c r="JA933" i="5"/>
  <c r="JA1060" i="5" s="1"/>
  <c r="JA1069" i="5" s="1"/>
  <c r="CB657" i="5"/>
  <c r="CB730" i="5" s="1"/>
  <c r="HA925" i="5"/>
  <c r="X56" i="19"/>
  <c r="AA56" i="19" s="1"/>
  <c r="DO550" i="5"/>
  <c r="DO714" i="5" s="1"/>
  <c r="IS988" i="5"/>
  <c r="AD1314" i="2" s="1"/>
  <c r="AD1468" i="2" s="1"/>
  <c r="GU925" i="5"/>
  <c r="CU724" i="5"/>
  <c r="II988" i="5"/>
  <c r="IJ988" i="5" s="1"/>
  <c r="IJ1096" i="5" s="1"/>
  <c r="Y515" i="2"/>
  <c r="Y516" i="2" s="1"/>
  <c r="BU925" i="5"/>
  <c r="BU1091" i="5" s="1"/>
  <c r="Y924" i="5"/>
  <c r="Y1090" i="5" s="1"/>
  <c r="AY1075" i="5"/>
  <c r="CB665" i="5"/>
  <c r="CB737" i="5" s="1"/>
  <c r="DQ715" i="5"/>
  <c r="P135" i="7"/>
  <c r="AH665" i="5"/>
  <c r="AH737" i="5" s="1"/>
  <c r="CV654" i="5"/>
  <c r="BU924" i="5"/>
  <c r="BU1090" i="5" s="1"/>
  <c r="FE1238" i="5"/>
  <c r="HF1256" i="5"/>
  <c r="AY906" i="5"/>
  <c r="AY1085" i="5" s="1"/>
  <c r="DO1232" i="5"/>
  <c r="DA754" i="5"/>
  <c r="FE1078" i="5"/>
  <c r="DC1249" i="5"/>
  <c r="GR1256" i="5"/>
  <c r="GM925" i="5"/>
  <c r="DQ1232" i="5"/>
  <c r="AY925" i="5"/>
  <c r="AY1091" i="5" s="1"/>
  <c r="Q11" i="19"/>
  <c r="N11" i="19"/>
  <c r="KZ905" i="5"/>
  <c r="KZ1084" i="5" s="1"/>
  <c r="X41" i="19"/>
  <c r="AA41" i="19" s="1"/>
  <c r="AY905" i="5"/>
  <c r="AY1084" i="5" s="1"/>
  <c r="EM590" i="5"/>
  <c r="EM1242" i="5" s="1"/>
  <c r="DQ652" i="5"/>
  <c r="Z14" i="19"/>
  <c r="V14" i="19"/>
  <c r="Z11" i="19"/>
  <c r="V11" i="19"/>
  <c r="GM1256" i="5"/>
  <c r="FH1241" i="5"/>
  <c r="HB1256" i="5"/>
  <c r="GR925" i="5"/>
  <c r="GJ1247" i="5"/>
  <c r="BA665" i="5"/>
  <c r="BA737" i="5" s="1"/>
  <c r="BW924" i="5"/>
  <c r="BW1090" i="5" s="1"/>
  <c r="BU906" i="5"/>
  <c r="BU1085" i="5" s="1"/>
  <c r="E72" i="19"/>
  <c r="G72" i="19" s="1"/>
  <c r="AD1658" i="2"/>
  <c r="AF1638" i="2"/>
  <c r="AG600" i="2"/>
  <c r="AB556" i="2"/>
  <c r="AG1949" i="2"/>
  <c r="AG94" i="19"/>
  <c r="AJ94" i="19" s="1"/>
  <c r="E43" i="19"/>
  <c r="G43" i="19" s="1"/>
  <c r="AG1641" i="2"/>
  <c r="BH11" i="19"/>
  <c r="BK11" i="19" s="1"/>
  <c r="AF1637" i="2"/>
  <c r="JY1027" i="5"/>
  <c r="JY1019" i="5" s="1"/>
  <c r="E23" i="19"/>
  <c r="G23" i="19" s="1"/>
  <c r="E39" i="19"/>
  <c r="G39" i="19" s="1"/>
  <c r="AG1637" i="2"/>
  <c r="AI1416" i="2"/>
  <c r="AI1505" i="2" s="1"/>
  <c r="AG1675" i="2"/>
  <c r="D102" i="19"/>
  <c r="F102" i="19" s="1"/>
  <c r="AI1418" i="2"/>
  <c r="AI1507" i="2" s="1"/>
  <c r="AD1904" i="2"/>
  <c r="D71" i="19"/>
  <c r="F71" i="19" s="1"/>
  <c r="AA1639" i="2"/>
  <c r="E96" i="19"/>
  <c r="G96" i="19" s="1"/>
  <c r="D8" i="19"/>
  <c r="F8" i="19" s="1"/>
  <c r="AI1399" i="2"/>
  <c r="AI1488" i="2" s="1"/>
  <c r="D101" i="19"/>
  <c r="F101" i="19" s="1"/>
  <c r="AF1661" i="2"/>
  <c r="P11" i="19"/>
  <c r="R11" i="19" s="1"/>
  <c r="BH32" i="19"/>
  <c r="BK32" i="19" s="1"/>
  <c r="P56" i="19"/>
  <c r="R56" i="19" s="1"/>
  <c r="AY103" i="19"/>
  <c r="BB103" i="19" s="1"/>
  <c r="AY32" i="19"/>
  <c r="BB32" i="19" s="1"/>
  <c r="AG14" i="19"/>
  <c r="AJ14" i="19" s="1"/>
  <c r="BA11" i="19"/>
  <c r="BA14" i="19"/>
  <c r="AR56" i="19"/>
  <c r="AG56" i="19"/>
  <c r="AJ56" i="19" s="1"/>
  <c r="Z56" i="19"/>
  <c r="O62" i="19"/>
  <c r="N62" i="19" s="1"/>
  <c r="AX102" i="19"/>
  <c r="AZ102" i="19" s="1"/>
  <c r="U102" i="19"/>
  <c r="AM102" i="19"/>
  <c r="JO1027" i="5"/>
  <c r="U10" i="19"/>
  <c r="U93" i="19"/>
  <c r="V93" i="19" s="1"/>
  <c r="AM10" i="19"/>
  <c r="AD93" i="19"/>
  <c r="AE93" i="19" s="1"/>
  <c r="AM77" i="19"/>
  <c r="AN77" i="19" s="1"/>
  <c r="U76" i="19"/>
  <c r="V76" i="19" s="1"/>
  <c r="AD10" i="19"/>
  <c r="AP32" i="19"/>
  <c r="AS32" i="19" s="1"/>
  <c r="AC514" i="2"/>
  <c r="X1650" i="2"/>
  <c r="AA1422" i="2"/>
  <c r="AA1511" i="2" s="1"/>
  <c r="AG1654" i="2"/>
  <c r="Y1640" i="2"/>
  <c r="AA1657" i="2"/>
  <c r="AB1657" i="2"/>
  <c r="Z1644" i="2"/>
  <c r="AM1644" i="2"/>
  <c r="AA1658" i="2"/>
  <c r="AD1657" i="2"/>
  <c r="AG76" i="19"/>
  <c r="AJ76" i="19" s="1"/>
  <c r="JM968" i="5"/>
  <c r="U75" i="19"/>
  <c r="V75" i="19" s="1"/>
  <c r="AA79" i="19"/>
  <c r="AQ1269" i="2"/>
  <c r="KF948" i="5" s="1"/>
  <c r="AH540" i="2"/>
  <c r="AH541" i="2"/>
  <c r="AE1639" i="2"/>
  <c r="AD1637" i="2"/>
  <c r="AC558" i="2"/>
  <c r="AB516" i="2"/>
  <c r="AI540" i="2"/>
  <c r="AI541" i="2"/>
  <c r="AC1644" i="2"/>
  <c r="AE1675" i="2"/>
  <c r="AD463" i="2"/>
  <c r="Y1657" i="2"/>
  <c r="AB552" i="2"/>
  <c r="X1660" i="2"/>
  <c r="AB1656" i="2"/>
  <c r="AA1638" i="2"/>
  <c r="Z1657" i="2"/>
  <c r="AA514" i="2"/>
  <c r="AG1405" i="2"/>
  <c r="AG1494" i="2" s="1"/>
  <c r="AF1653" i="2"/>
  <c r="X1654" i="2"/>
  <c r="W1650" i="2"/>
  <c r="Y518" i="2"/>
  <c r="X1675" i="2"/>
  <c r="Y1675" i="2"/>
  <c r="AD455" i="2"/>
  <c r="AC1639" i="2"/>
  <c r="AA1472" i="2"/>
  <c r="AA1661" i="2"/>
  <c r="AP1269" i="2"/>
  <c r="AC1472" i="2"/>
  <c r="AC1661" i="2"/>
  <c r="AD599" i="2"/>
  <c r="AD1644" i="2"/>
  <c r="AC459" i="2"/>
  <c r="AB1640" i="2"/>
  <c r="AD459" i="2"/>
  <c r="AC1640" i="2"/>
  <c r="AD1675" i="2"/>
  <c r="Y440" i="2"/>
  <c r="Y441" i="2" s="1"/>
  <c r="X1638" i="2"/>
  <c r="AD1424" i="2"/>
  <c r="AD1513" i="2" s="1"/>
  <c r="AG674" i="2"/>
  <c r="AF1654" i="2"/>
  <c r="AE1676" i="2"/>
  <c r="AE1680" i="2" s="1"/>
  <c r="AE1642" i="2"/>
  <c r="AL1644" i="2"/>
  <c r="Z456" i="2"/>
  <c r="Y1639" i="2"/>
  <c r="AH671" i="2"/>
  <c r="AH1654" i="2"/>
  <c r="AC1424" i="2"/>
  <c r="AC1513" i="2" s="1"/>
  <c r="Y519" i="2"/>
  <c r="Y520" i="2" s="1"/>
  <c r="Z1429" i="2"/>
  <c r="Z1518" i="2" s="1"/>
  <c r="Z1654" i="2"/>
  <c r="AH1676" i="2"/>
  <c r="AH1680" i="2" s="1"/>
  <c r="AH1642" i="2"/>
  <c r="AG1642" i="2"/>
  <c r="AG1676" i="2"/>
  <c r="AG1680" i="2" s="1"/>
  <c r="AJ1644" i="2"/>
  <c r="AB541" i="2"/>
  <c r="AC542" i="2" s="1"/>
  <c r="AA1407" i="2"/>
  <c r="AA1496" i="2" s="1"/>
  <c r="AD1407" i="2"/>
  <c r="AD1496" i="2" s="1"/>
  <c r="AC1660" i="2"/>
  <c r="AD1905" i="2"/>
  <c r="AD1671" i="2"/>
  <c r="AD1641" i="2"/>
  <c r="AA518" i="2"/>
  <c r="AA1675" i="2"/>
  <c r="D57" i="19"/>
  <c r="F57" i="19" s="1"/>
  <c r="AF1424" i="2"/>
  <c r="AF1513" i="2" s="1"/>
  <c r="AE1653" i="2"/>
  <c r="AB609" i="2"/>
  <c r="AC1676" i="2"/>
  <c r="AC1642" i="2"/>
  <c r="AD512" i="2"/>
  <c r="Z1424" i="2"/>
  <c r="Z1513" i="2" s="1"/>
  <c r="AB1639" i="2"/>
  <c r="Z1658" i="2"/>
  <c r="AA439" i="2"/>
  <c r="Z1638" i="2"/>
  <c r="Y1422" i="2"/>
  <c r="Y1511" i="2" s="1"/>
  <c r="AB1644" i="2"/>
  <c r="AH1638" i="2"/>
  <c r="AB1397" i="2"/>
  <c r="AB1486" i="2" s="1"/>
  <c r="AA1637" i="2"/>
  <c r="AH1952" i="2"/>
  <c r="AH1658" i="2"/>
  <c r="AX74" i="19"/>
  <c r="AZ74" i="19" s="1"/>
  <c r="AG1638" i="2"/>
  <c r="AH1641" i="2"/>
  <c r="AH1671" i="2"/>
  <c r="JM824" i="5"/>
  <c r="AJ1660" i="2"/>
  <c r="AH459" i="2"/>
  <c r="AG1640" i="2"/>
  <c r="AG1658" i="2"/>
  <c r="AF680" i="2"/>
  <c r="AF1658" i="2"/>
  <c r="AB519" i="2"/>
  <c r="AB1675" i="2"/>
  <c r="AE1978" i="2"/>
  <c r="AE1656" i="2"/>
  <c r="AI1660" i="2"/>
  <c r="O10" i="19"/>
  <c r="AI1441" i="2"/>
  <c r="AI1530" i="2" s="1"/>
  <c r="D9" i="19"/>
  <c r="F9" i="19" s="1"/>
  <c r="AE1638" i="2"/>
  <c r="AB661" i="2"/>
  <c r="Y1664" i="2"/>
  <c r="AF74" i="19"/>
  <c r="AA1397" i="2"/>
  <c r="AA1486" i="2" s="1"/>
  <c r="Z1637" i="2"/>
  <c r="AI1407" i="2"/>
  <c r="AI1496" i="2" s="1"/>
  <c r="AH1660" i="2"/>
  <c r="AF459" i="2"/>
  <c r="AE1640" i="2"/>
  <c r="AC439" i="2"/>
  <c r="AB1638" i="2"/>
  <c r="AA460" i="2"/>
  <c r="Z1640" i="2"/>
  <c r="AA599" i="2"/>
  <c r="AB600" i="2" s="1"/>
  <c r="AA1644" i="2"/>
  <c r="AB680" i="2"/>
  <c r="AB1658" i="2"/>
  <c r="AD1472" i="2"/>
  <c r="AD1561" i="2" s="1"/>
  <c r="AD1661" i="2"/>
  <c r="Y1656" i="2"/>
  <c r="X1656" i="2"/>
  <c r="AE1400" i="2"/>
  <c r="AE1489" i="2" s="1"/>
  <c r="AE1641" i="2"/>
  <c r="AE1671" i="2"/>
  <c r="AB1472" i="2"/>
  <c r="AB1661" i="2"/>
  <c r="Y1671" i="2"/>
  <c r="Y1641" i="2"/>
  <c r="X1671" i="2"/>
  <c r="X1641" i="2"/>
  <c r="AE456" i="2"/>
  <c r="AD1639" i="2"/>
  <c r="AD1950" i="2"/>
  <c r="AD1656" i="2"/>
  <c r="AI1644" i="2"/>
  <c r="AB1400" i="2"/>
  <c r="AB1671" i="2"/>
  <c r="AB1641" i="2"/>
  <c r="AF1639" i="2"/>
  <c r="AH1407" i="2"/>
  <c r="AH1496" i="2" s="1"/>
  <c r="AG1660" i="2"/>
  <c r="AO74" i="19"/>
  <c r="AQ74" i="19" s="1"/>
  <c r="AC1400" i="2"/>
  <c r="AC1489" i="2" s="1"/>
  <c r="AC1671" i="2"/>
  <c r="AC1641" i="2"/>
  <c r="AH1675" i="2"/>
  <c r="AG1879" i="2"/>
  <c r="AB1401" i="2"/>
  <c r="AB1490" i="2" s="1"/>
  <c r="AB1642" i="2"/>
  <c r="AB1676" i="2"/>
  <c r="AE1939" i="2"/>
  <c r="AE1654" i="2"/>
  <c r="AB1654" i="2"/>
  <c r="AF519" i="2"/>
  <c r="AG520" i="2" s="1"/>
  <c r="AF1675" i="2"/>
  <c r="AD1951" i="2"/>
  <c r="AC1657" i="2"/>
  <c r="Y607" i="2"/>
  <c r="Y608" i="2" s="1"/>
  <c r="Y1642" i="2"/>
  <c r="Y1676" i="2"/>
  <c r="X1676" i="2"/>
  <c r="X1642" i="2"/>
  <c r="AF1951" i="2"/>
  <c r="AE1657" i="2"/>
  <c r="Z1400" i="2"/>
  <c r="Z1489" i="2" s="1"/>
  <c r="Z1641" i="2"/>
  <c r="Z1671" i="2"/>
  <c r="AH1639" i="2"/>
  <c r="AI1902" i="2"/>
  <c r="AH1637" i="2"/>
  <c r="AH1657" i="2"/>
  <c r="AI1657" i="2"/>
  <c r="AC1397" i="2"/>
  <c r="AC1486" i="2" s="1"/>
  <c r="AB1637" i="2"/>
  <c r="AE679" i="2"/>
  <c r="AE1658" i="2"/>
  <c r="JU839" i="5"/>
  <c r="AG1441" i="2"/>
  <c r="AG1530" i="2" s="1"/>
  <c r="AA1400" i="2"/>
  <c r="AA1489" i="2" s="1"/>
  <c r="AA1641" i="2"/>
  <c r="AA1671" i="2"/>
  <c r="AD607" i="2"/>
  <c r="AD1676" i="2"/>
  <c r="AD1642" i="2"/>
  <c r="AH1885" i="2"/>
  <c r="AE752" i="2" s="1"/>
  <c r="IV559" i="5" s="1"/>
  <c r="IT559" i="5" s="1"/>
  <c r="Q14" i="7" s="1"/>
  <c r="AH1441" i="2"/>
  <c r="AH1530" i="2" s="1"/>
  <c r="AI1646" i="2"/>
  <c r="AH1646" i="2"/>
  <c r="AD671" i="2"/>
  <c r="AD1654" i="2"/>
  <c r="AK1644" i="2"/>
  <c r="AE1472" i="2"/>
  <c r="AE1561" i="2" s="1"/>
  <c r="AE1661" i="2"/>
  <c r="AF1397" i="2"/>
  <c r="AF1486" i="2" s="1"/>
  <c r="AE1637" i="2"/>
  <c r="AC1656" i="2"/>
  <c r="Z593" i="2"/>
  <c r="Z594" i="2" s="1"/>
  <c r="Z1675" i="2"/>
  <c r="AB459" i="2"/>
  <c r="AA1640" i="2"/>
  <c r="AA1429" i="2"/>
  <c r="AA1518" i="2" s="1"/>
  <c r="AA1654" i="2"/>
  <c r="Z609" i="2"/>
  <c r="AA1642" i="2"/>
  <c r="AA1676" i="2"/>
  <c r="AC1422" i="2"/>
  <c r="AC1511" i="2" s="1"/>
  <c r="Z439" i="2"/>
  <c r="Y1638" i="2"/>
  <c r="Y1644" i="2"/>
  <c r="X1644" i="2"/>
  <c r="AD440" i="2"/>
  <c r="AC1638" i="2"/>
  <c r="AF1905" i="2"/>
  <c r="AF1641" i="2"/>
  <c r="AF1671" i="2"/>
  <c r="AE460" i="2"/>
  <c r="AF460" i="2" s="1"/>
  <c r="AG460" i="2" s="1"/>
  <c r="AH460" i="2" s="1"/>
  <c r="AI460" i="2" s="1"/>
  <c r="AJ460" i="2" s="1"/>
  <c r="AD1640" i="2"/>
  <c r="AC679" i="2"/>
  <c r="AC1658" i="2"/>
  <c r="AF1642" i="2"/>
  <c r="AF1676" i="2"/>
  <c r="AF1680" i="2" s="1"/>
  <c r="AB1422" i="2"/>
  <c r="AB1511" i="2" s="1"/>
  <c r="AB1407" i="2"/>
  <c r="AB1496" i="2" s="1"/>
  <c r="Z647" i="2"/>
  <c r="AD1638" i="2"/>
  <c r="AC519" i="2"/>
  <c r="AC1675" i="2"/>
  <c r="AH1640" i="2"/>
  <c r="Y661" i="2"/>
  <c r="AH1644" i="2"/>
  <c r="Z1472" i="2"/>
  <c r="Z1661" i="2"/>
  <c r="Z1642" i="2"/>
  <c r="Z1676" i="2"/>
  <c r="Z1639" i="2"/>
  <c r="Y1397" i="2"/>
  <c r="Y1486" i="2" s="1"/>
  <c r="X1637" i="2"/>
  <c r="AH1950" i="2"/>
  <c r="AH1656" i="2"/>
  <c r="AD1397" i="2"/>
  <c r="AD1486" i="2" s="1"/>
  <c r="AC1637" i="2"/>
  <c r="X1441" i="2"/>
  <c r="X1530" i="2" s="1"/>
  <c r="Z1397" i="2"/>
  <c r="Z1486" i="2" s="1"/>
  <c r="Y1637" i="2"/>
  <c r="AE493" i="2"/>
  <c r="AE494" i="2" s="1"/>
  <c r="AC1407" i="2"/>
  <c r="AC1496" i="2" s="1"/>
  <c r="AB1660" i="2"/>
  <c r="AE465" i="2"/>
  <c r="AF580" i="2"/>
  <c r="Y1658" i="2"/>
  <c r="X1658" i="2"/>
  <c r="AE1646" i="2"/>
  <c r="AC1429" i="2"/>
  <c r="AC1518" i="2" s="1"/>
  <c r="AC1654" i="2"/>
  <c r="D97" i="19"/>
  <c r="F97" i="19" s="1"/>
  <c r="AA1656" i="2"/>
  <c r="Y1654" i="2"/>
  <c r="JO967" i="5"/>
  <c r="JO908" i="5"/>
  <c r="AP76" i="19"/>
  <c r="AS76" i="19" s="1"/>
  <c r="X76" i="19"/>
  <c r="AA76" i="19" s="1"/>
  <c r="JR967" i="5"/>
  <c r="P76" i="19"/>
  <c r="R76" i="19" s="1"/>
  <c r="HC932" i="5"/>
  <c r="HC1238" i="5"/>
  <c r="HC1257" i="5" s="1"/>
  <c r="BY925" i="5"/>
  <c r="BY1091" i="5" s="1"/>
  <c r="CP588" i="5"/>
  <c r="CP723" i="5" s="1"/>
  <c r="CZ726" i="5"/>
  <c r="AE1431" i="2"/>
  <c r="AE1520" i="2" s="1"/>
  <c r="U657" i="5"/>
  <c r="U730" i="5" s="1"/>
  <c r="LA906" i="5"/>
  <c r="LA1085" i="5" s="1"/>
  <c r="CV715" i="5"/>
  <c r="IJ614" i="5"/>
  <c r="IG818" i="5"/>
  <c r="Z1124" i="2" s="1"/>
  <c r="FC1078" i="5"/>
  <c r="CI754" i="5"/>
  <c r="AZ925" i="5"/>
  <c r="AZ1091" i="5" s="1"/>
  <c r="FU1238" i="5"/>
  <c r="HF932" i="5"/>
  <c r="HF1238" i="5"/>
  <c r="HF1257" i="5" s="1"/>
  <c r="HB932" i="5"/>
  <c r="HB1238" i="5"/>
  <c r="HB1257" i="5" s="1"/>
  <c r="HD1256" i="5"/>
  <c r="FI1238" i="5"/>
  <c r="AE1942" i="2"/>
  <c r="FR1238" i="5"/>
  <c r="GX1256" i="5"/>
  <c r="GL925" i="5"/>
  <c r="BG924" i="5"/>
  <c r="BG1041" i="5" s="1"/>
  <c r="BG1098" i="5" s="1"/>
  <c r="DN1238" i="5"/>
  <c r="GZ925" i="5"/>
  <c r="GX932" i="5"/>
  <c r="GX1238" i="5"/>
  <c r="GX1257" i="5" s="1"/>
  <c r="Y906" i="5"/>
  <c r="Y1085" i="5" s="1"/>
  <c r="FH1254" i="5"/>
  <c r="FH1256" i="5" s="1"/>
  <c r="V665" i="5"/>
  <c r="V737" i="5" s="1"/>
  <c r="GQ932" i="5"/>
  <c r="GQ1238" i="5"/>
  <c r="GQ1257" i="5" s="1"/>
  <c r="GP925" i="5"/>
  <c r="FV1238" i="5"/>
  <c r="AE665" i="2"/>
  <c r="JD907" i="5"/>
  <c r="JD1057" i="5" s="1"/>
  <c r="JD1066" i="5" s="1"/>
  <c r="GY1238" i="5"/>
  <c r="GY1257" i="5" s="1"/>
  <c r="CU754" i="5"/>
  <c r="IJ660" i="5"/>
  <c r="IJ732" i="5" s="1"/>
  <c r="AE477" i="2"/>
  <c r="AF477" i="2" s="1"/>
  <c r="AG477" i="2" s="1"/>
  <c r="AH477" i="2" s="1"/>
  <c r="AI477" i="2" s="1"/>
  <c r="AJ477" i="2" s="1"/>
  <c r="AK477" i="2" s="1"/>
  <c r="AL477" i="2" s="1"/>
  <c r="AL1074" i="2" s="1"/>
  <c r="JQ768" i="5" s="1"/>
  <c r="HB925" i="5"/>
  <c r="BY906" i="5"/>
  <c r="BY1085" i="5" s="1"/>
  <c r="GN905" i="5"/>
  <c r="GN924" i="5" s="1"/>
  <c r="GN1041" i="5" s="1"/>
  <c r="GN1238" i="5"/>
  <c r="IZ933" i="5"/>
  <c r="IZ1060" i="5" s="1"/>
  <c r="IZ932" i="5"/>
  <c r="GS905" i="5"/>
  <c r="GS924" i="5" s="1"/>
  <c r="GS1041" i="5" s="1"/>
  <c r="GS1238" i="5"/>
  <c r="GS1257" i="5" s="1"/>
  <c r="BW1075" i="5"/>
  <c r="GV1257" i="5"/>
  <c r="CO1232" i="5"/>
  <c r="GJ925" i="5"/>
  <c r="DY1078" i="5"/>
  <c r="KZ925" i="5"/>
  <c r="KZ1091" i="5" s="1"/>
  <c r="CO1238" i="5"/>
  <c r="FI1249" i="5"/>
  <c r="FI1241" i="5" s="1"/>
  <c r="AD497" i="2"/>
  <c r="AD498" i="2" s="1"/>
  <c r="CH754" i="5"/>
  <c r="HA905" i="5"/>
  <c r="HA924" i="5" s="1"/>
  <c r="HA1041" i="5" s="1"/>
  <c r="HA1238" i="5"/>
  <c r="HA1257" i="5" s="1"/>
  <c r="GM905" i="5"/>
  <c r="GM924" i="5" s="1"/>
  <c r="GM1041" i="5" s="1"/>
  <c r="GM1238" i="5"/>
  <c r="GP905" i="5"/>
  <c r="GP924" i="5" s="1"/>
  <c r="GP1041" i="5" s="1"/>
  <c r="GP1238" i="5"/>
  <c r="GP1257" i="5" s="1"/>
  <c r="GZ932" i="5"/>
  <c r="GZ1238" i="5"/>
  <c r="GZ1257" i="5" s="1"/>
  <c r="AA519" i="2"/>
  <c r="GU905" i="5"/>
  <c r="GU924" i="5" s="1"/>
  <c r="GU1041" i="5" s="1"/>
  <c r="GU1238" i="5"/>
  <c r="GU1257" i="5" s="1"/>
  <c r="GR1257" i="5"/>
  <c r="AD510" i="2"/>
  <c r="AF545" i="2"/>
  <c r="AG546" i="2" s="1"/>
  <c r="GV1256" i="5"/>
  <c r="BI731" i="5"/>
  <c r="GN1256" i="5"/>
  <c r="II732" i="5"/>
  <c r="CO550" i="5"/>
  <c r="CO714" i="5" s="1"/>
  <c r="GK925" i="5"/>
  <c r="CU653" i="5"/>
  <c r="JC907" i="5"/>
  <c r="JC1059" i="5" s="1"/>
  <c r="KZ1075" i="5"/>
  <c r="CU588" i="5"/>
  <c r="CU723" i="5" s="1"/>
  <c r="HD932" i="5"/>
  <c r="HD1238" i="5"/>
  <c r="HD1257" i="5" s="1"/>
  <c r="HE932" i="5"/>
  <c r="HE1238" i="5"/>
  <c r="HE1257" i="5" s="1"/>
  <c r="FG1254" i="5"/>
  <c r="FG1256" i="5" s="1"/>
  <c r="DM1095" i="5"/>
  <c r="AB549" i="2"/>
  <c r="AC550" i="2" s="1"/>
  <c r="GI932" i="5"/>
  <c r="GI1238" i="5"/>
  <c r="AI657" i="5"/>
  <c r="AI664" i="5" s="1"/>
  <c r="GW932" i="5"/>
  <c r="GW1238" i="5"/>
  <c r="GW1257" i="5" s="1"/>
  <c r="Y925" i="5"/>
  <c r="Y1091" i="5" s="1"/>
  <c r="AF536" i="2"/>
  <c r="BW905" i="5"/>
  <c r="BW1084" i="5" s="1"/>
  <c r="AT665" i="5"/>
  <c r="AT737" i="5" s="1"/>
  <c r="FR1241" i="5"/>
  <c r="FT1249" i="5"/>
  <c r="FT1241" i="5" s="1"/>
  <c r="CO654" i="5"/>
  <c r="BW906" i="5"/>
  <c r="BW1085" i="5" s="1"/>
  <c r="GX925" i="5"/>
  <c r="Y1075" i="5"/>
  <c r="JA932" i="5"/>
  <c r="AF541" i="2"/>
  <c r="AF542" i="2" s="1"/>
  <c r="AG1708" i="2"/>
  <c r="AB1418" i="2"/>
  <c r="AB1507" i="2" s="1"/>
  <c r="AB544" i="2"/>
  <c r="AH562" i="2"/>
  <c r="AA1432" i="2"/>
  <c r="AA1521" i="2" s="1"/>
  <c r="AC673" i="2"/>
  <c r="AD561" i="2"/>
  <c r="AD1398" i="2"/>
  <c r="AD1487" i="2" s="1"/>
  <c r="AC540" i="2"/>
  <c r="AC545" i="2"/>
  <c r="AD1417" i="2"/>
  <c r="AD1506" i="2" s="1"/>
  <c r="AC674" i="2"/>
  <c r="JR908" i="5"/>
  <c r="Y460" i="2"/>
  <c r="Y461" i="2" s="1"/>
  <c r="AA564" i="2"/>
  <c r="AC1692" i="2"/>
  <c r="AE1908" i="2"/>
  <c r="AE589" i="2"/>
  <c r="AE590" i="2" s="1"/>
  <c r="AE588" i="2"/>
  <c r="Z496" i="2"/>
  <c r="AC460" i="2"/>
  <c r="AI1908" i="2"/>
  <c r="AG690" i="2"/>
  <c r="P52" i="19"/>
  <c r="R52" i="19" s="1"/>
  <c r="AI77" i="19"/>
  <c r="AG77" i="19"/>
  <c r="AJ77" i="19" s="1"/>
  <c r="AP77" i="19"/>
  <c r="AS77" i="19" s="1"/>
  <c r="AR77" i="19"/>
  <c r="BA77" i="19"/>
  <c r="AY77" i="19"/>
  <c r="BB77" i="19" s="1"/>
  <c r="AX73" i="19"/>
  <c r="AZ73" i="19" s="1"/>
  <c r="AS73" i="19"/>
  <c r="AX29" i="19"/>
  <c r="AZ29" i="19" s="1"/>
  <c r="AS29" i="19"/>
  <c r="AX100" i="19"/>
  <c r="AZ100" i="19" s="1"/>
  <c r="AS100" i="19"/>
  <c r="AX98" i="19"/>
  <c r="AZ98" i="19" s="1"/>
  <c r="AS98" i="19"/>
  <c r="AX82" i="19"/>
  <c r="AS82" i="19"/>
  <c r="AX99" i="19"/>
  <c r="AZ99" i="19" s="1"/>
  <c r="AS99" i="19"/>
  <c r="Z39" i="19"/>
  <c r="X39" i="19"/>
  <c r="AA39" i="19" s="1"/>
  <c r="Q93" i="19"/>
  <c r="P14" i="19"/>
  <c r="R14" i="19" s="1"/>
  <c r="AD588" i="2"/>
  <c r="AF473" i="2"/>
  <c r="AE572" i="2"/>
  <c r="Z472" i="2"/>
  <c r="Y439" i="2"/>
  <c r="AD1432" i="2"/>
  <c r="AD1521" i="2" s="1"/>
  <c r="AE463" i="2"/>
  <c r="AD572" i="2"/>
  <c r="AB679" i="2"/>
  <c r="AD1416" i="2"/>
  <c r="AD1505" i="2" s="1"/>
  <c r="AC676" i="2"/>
  <c r="AC677" i="2" s="1"/>
  <c r="AE564" i="2"/>
  <c r="AD1908" i="2"/>
  <c r="Z585" i="2"/>
  <c r="AK1094" i="2"/>
  <c r="AC548" i="2"/>
  <c r="AG538" i="2"/>
  <c r="AB649" i="2"/>
  <c r="AB654" i="2" s="1"/>
  <c r="AG1415" i="2"/>
  <c r="AG1504" i="2" s="1"/>
  <c r="AD1400" i="2"/>
  <c r="AD1489" i="2" s="1"/>
  <c r="AA1401" i="2"/>
  <c r="AA1490" i="2" s="1"/>
  <c r="Z498" i="2"/>
  <c r="AC607" i="2"/>
  <c r="D19" i="19"/>
  <c r="F19" i="19" s="1"/>
  <c r="AB676" i="2"/>
  <c r="AB677" i="2" s="1"/>
  <c r="AE1692" i="2"/>
  <c r="Y564" i="2"/>
  <c r="AB1411" i="2"/>
  <c r="AB1500" i="2" s="1"/>
  <c r="Y649" i="2"/>
  <c r="Y654" i="2" s="1"/>
  <c r="Z492" i="2"/>
  <c r="AB602" i="2"/>
  <c r="AE554" i="2"/>
  <c r="Y496" i="2"/>
  <c r="AB647" i="2"/>
  <c r="Z676" i="2"/>
  <c r="Z677" i="2" s="1"/>
  <c r="AC689" i="2"/>
  <c r="AC647" i="2"/>
  <c r="AE540" i="2"/>
  <c r="AC518" i="2"/>
  <c r="AA672" i="2"/>
  <c r="AF493" i="2"/>
  <c r="Y545" i="2"/>
  <c r="Y546" i="2" s="1"/>
  <c r="AF1400" i="2"/>
  <c r="AF1489" i="2" s="1"/>
  <c r="AD541" i="2"/>
  <c r="AE542" i="2" s="1"/>
  <c r="Y668" i="2"/>
  <c r="AI1469" i="2"/>
  <c r="AI1913" i="2" s="1"/>
  <c r="AF1925" i="2"/>
  <c r="Y1431" i="2"/>
  <c r="Y1520" i="2" s="1"/>
  <c r="Y573" i="2"/>
  <c r="Y574" i="2" s="1"/>
  <c r="AG550" i="2"/>
  <c r="AI1890" i="2"/>
  <c r="AE1398" i="2"/>
  <c r="AE1487" i="2" s="1"/>
  <c r="Y666" i="2"/>
  <c r="AD484" i="2"/>
  <c r="AD519" i="2"/>
  <c r="AA607" i="2"/>
  <c r="AB666" i="2"/>
  <c r="AB592" i="2"/>
  <c r="AF1422" i="2"/>
  <c r="AF1511" i="2" s="1"/>
  <c r="X1228" i="2"/>
  <c r="X1254" i="2" s="1"/>
  <c r="AF585" i="2"/>
  <c r="AG586" i="2" s="1"/>
  <c r="AA577" i="2"/>
  <c r="AA578" i="2" s="1"/>
  <c r="AD552" i="2"/>
  <c r="AF977" i="2"/>
  <c r="AF1027" i="2" s="1"/>
  <c r="Y665" i="2"/>
  <c r="AC1401" i="2"/>
  <c r="AC1490" i="2" s="1"/>
  <c r="AB561" i="2"/>
  <c r="AD439" i="2"/>
  <c r="AD676" i="2"/>
  <c r="AD677" i="2" s="1"/>
  <c r="AF688" i="2"/>
  <c r="AC493" i="2"/>
  <c r="AD518" i="2"/>
  <c r="AC553" i="2"/>
  <c r="AD554" i="2" s="1"/>
  <c r="AF584" i="2"/>
  <c r="AE1909" i="2"/>
  <c r="Y552" i="2"/>
  <c r="AA802" i="2"/>
  <c r="AA1608" i="2" s="1"/>
  <c r="DC1078" i="5"/>
  <c r="JB1087" i="5"/>
  <c r="AC602" i="2"/>
  <c r="BY905" i="5"/>
  <c r="BY1084" i="5" s="1"/>
  <c r="ID1093" i="5"/>
  <c r="IS1080" i="5"/>
  <c r="AA496" i="2"/>
  <c r="T906" i="5"/>
  <c r="T1085" i="5" s="1"/>
  <c r="AD514" i="2"/>
  <c r="AA545" i="2"/>
  <c r="BY924" i="5"/>
  <c r="BY1041" i="5" s="1"/>
  <c r="BY1098" i="5" s="1"/>
  <c r="T925" i="5"/>
  <c r="T1091" i="5" s="1"/>
  <c r="AE544" i="2"/>
  <c r="BJ906" i="5"/>
  <c r="BJ1085" i="5" s="1"/>
  <c r="AE1411" i="2"/>
  <c r="AE1500" i="2" s="1"/>
  <c r="T1075" i="5"/>
  <c r="Z661" i="2"/>
  <c r="DB719" i="5"/>
  <c r="DT652" i="5"/>
  <c r="T905" i="5"/>
  <c r="T1084" i="5" s="1"/>
  <c r="CH719" i="5"/>
  <c r="H140" i="7"/>
  <c r="E1075" i="5"/>
  <c r="V657" i="5"/>
  <c r="O906" i="5"/>
  <c r="O1085" i="5" s="1"/>
  <c r="Y1424" i="2"/>
  <c r="Y1513" i="2" s="1"/>
  <c r="AO657" i="5"/>
  <c r="AO664" i="5" s="1"/>
  <c r="AO736" i="5" s="1"/>
  <c r="EQ1078" i="5"/>
  <c r="AA714" i="5"/>
  <c r="AA549" i="2"/>
  <c r="AA550" i="2" s="1"/>
  <c r="CF588" i="5"/>
  <c r="CF658" i="5" s="1"/>
  <c r="CS754" i="5"/>
  <c r="Z484" i="2"/>
  <c r="X665" i="5"/>
  <c r="X737" i="5" s="1"/>
  <c r="IQ813" i="5"/>
  <c r="AE552" i="2"/>
  <c r="DP667" i="5"/>
  <c r="DP738" i="5" s="1"/>
  <c r="Z510" i="2"/>
  <c r="AF510" i="2"/>
  <c r="AG512" i="2"/>
  <c r="EE550" i="5"/>
  <c r="FA1249" i="5"/>
  <c r="FA1241" i="5" s="1"/>
  <c r="FS1254" i="5"/>
  <c r="FS1256" i="5" s="1"/>
  <c r="AE574" i="2"/>
  <c r="D7" i="19"/>
  <c r="F7" i="19" s="1"/>
  <c r="DK654" i="5"/>
  <c r="T665" i="5"/>
  <c r="T737" i="5" s="1"/>
  <c r="DH588" i="5"/>
  <c r="DH658" i="5" s="1"/>
  <c r="O1075" i="5"/>
  <c r="K925" i="5"/>
  <c r="K1091" i="5" s="1"/>
  <c r="K924" i="5"/>
  <c r="AA585" i="2"/>
  <c r="AR925" i="5"/>
  <c r="AR1091" i="5" s="1"/>
  <c r="IJ560" i="5"/>
  <c r="AA753" i="2" s="1"/>
  <c r="AF1909" i="2"/>
  <c r="AE581" i="2"/>
  <c r="AF582" i="2" s="1"/>
  <c r="AL657" i="5"/>
  <c r="AA731" i="5"/>
  <c r="EV552" i="5"/>
  <c r="EV1232" i="5" s="1"/>
  <c r="IE720" i="5"/>
  <c r="DK652" i="5"/>
  <c r="AG594" i="2"/>
  <c r="DK588" i="5"/>
  <c r="DK723" i="5" s="1"/>
  <c r="Y459" i="2"/>
  <c r="AC516" i="2"/>
  <c r="AR924" i="5"/>
  <c r="AR1090" i="5" s="1"/>
  <c r="EC1233" i="5"/>
  <c r="AF979" i="2"/>
  <c r="AB464" i="2"/>
  <c r="AB465" i="2" s="1"/>
  <c r="IX680" i="5"/>
  <c r="DK724" i="5"/>
  <c r="FB1249" i="5"/>
  <c r="FB1241" i="5" s="1"/>
  <c r="BR924" i="5"/>
  <c r="BR1041" i="5" s="1"/>
  <c r="BR1098" i="5" s="1"/>
  <c r="AR905" i="5"/>
  <c r="AR1084" i="5" s="1"/>
  <c r="BG1075" i="5"/>
  <c r="AA557" i="2"/>
  <c r="AA589" i="2"/>
  <c r="AA511" i="2"/>
  <c r="AA512" i="2" s="1"/>
  <c r="AA541" i="2"/>
  <c r="IG814" i="5"/>
  <c r="Z1120" i="2" s="1"/>
  <c r="DK653" i="5"/>
  <c r="CJ726" i="5"/>
  <c r="BR905" i="5"/>
  <c r="BR1084" i="5" s="1"/>
  <c r="AC589" i="2"/>
  <c r="AD590" i="2" s="1"/>
  <c r="CR588" i="5"/>
  <c r="CR723" i="5" s="1"/>
  <c r="AR1075" i="5"/>
  <c r="BL905" i="5"/>
  <c r="BL1084" i="5" s="1"/>
  <c r="DB1249" i="5"/>
  <c r="Y598" i="2"/>
  <c r="AE1408" i="2"/>
  <c r="AE1497" i="2" s="1"/>
  <c r="AD488" i="2"/>
  <c r="FC1249" i="5"/>
  <c r="FC1241" i="5" s="1"/>
  <c r="BR925" i="5"/>
  <c r="BR1091" i="5" s="1"/>
  <c r="AC1416" i="2"/>
  <c r="AC1505" i="2" s="1"/>
  <c r="CO1251" i="5"/>
  <c r="BL1075" i="5"/>
  <c r="AA584" i="2"/>
  <c r="AF573" i="2"/>
  <c r="AF574" i="2" s="1"/>
  <c r="IJ947" i="5"/>
  <c r="AA1268" i="2" s="1"/>
  <c r="BR1075" i="5"/>
  <c r="Z584" i="2"/>
  <c r="AF1411" i="2"/>
  <c r="AF1500" i="2" s="1"/>
  <c r="AE556" i="2"/>
  <c r="AA572" i="2"/>
  <c r="Y560" i="2"/>
  <c r="BM1075" i="5"/>
  <c r="Z489" i="2"/>
  <c r="DH726" i="5"/>
  <c r="CR754" i="5"/>
  <c r="AF592" i="2"/>
  <c r="AD460" i="2"/>
  <c r="AF1473" i="2"/>
  <c r="AF1562" i="2" s="1"/>
  <c r="BM906" i="5"/>
  <c r="BM1085" i="5" s="1"/>
  <c r="CZ1232" i="5"/>
  <c r="AD549" i="2"/>
  <c r="AD550" i="2" s="1"/>
  <c r="DG906" i="5"/>
  <c r="DG1085" i="5" s="1"/>
  <c r="ED588" i="5"/>
  <c r="ED1241" i="5" s="1"/>
  <c r="BF1075" i="5"/>
  <c r="X11" i="19"/>
  <c r="AA11" i="19" s="1"/>
  <c r="DB588" i="5"/>
  <c r="DB1241" i="5" s="1"/>
  <c r="F731" i="5"/>
  <c r="DB724" i="5"/>
  <c r="KY905" i="5"/>
  <c r="KY1084" i="5" s="1"/>
  <c r="AB514" i="2"/>
  <c r="BM924" i="5"/>
  <c r="BM1090" i="5" s="1"/>
  <c r="AA661" i="2"/>
  <c r="AB511" i="2"/>
  <c r="AC512" i="2" s="1"/>
  <c r="AD545" i="2"/>
  <c r="DK715" i="5"/>
  <c r="BW657" i="5"/>
  <c r="BW664" i="5" s="1"/>
  <c r="KY1075" i="5"/>
  <c r="O665" i="5"/>
  <c r="O737" i="5" s="1"/>
  <c r="AA588" i="2"/>
  <c r="Y588" i="2"/>
  <c r="Z674" i="2"/>
  <c r="Z576" i="2"/>
  <c r="FV1249" i="5"/>
  <c r="FV1241" i="5" s="1"/>
  <c r="DK550" i="5"/>
  <c r="DK714" i="5" s="1"/>
  <c r="DT654" i="5"/>
  <c r="AG1892" i="2"/>
  <c r="AE1402" i="2"/>
  <c r="AE1491" i="2" s="1"/>
  <c r="AE474" i="2"/>
  <c r="AF569" i="2"/>
  <c r="AG570" i="2" s="1"/>
  <c r="AA574" i="2"/>
  <c r="AA498" i="2"/>
  <c r="AH584" i="2"/>
  <c r="DP1254" i="5"/>
  <c r="X924" i="5"/>
  <c r="X1041" i="5" s="1"/>
  <c r="X1098" i="5" s="1"/>
  <c r="IS814" i="5"/>
  <c r="AD1120" i="2" s="1"/>
  <c r="DR1238" i="5"/>
  <c r="IM696" i="5"/>
  <c r="IM705" i="5" s="1"/>
  <c r="Z681" i="2"/>
  <c r="AA1424" i="2"/>
  <c r="AA1513" i="2" s="1"/>
  <c r="AI1904" i="2"/>
  <c r="Z494" i="2"/>
  <c r="AR657" i="5"/>
  <c r="IS890" i="5"/>
  <c r="BD657" i="5"/>
  <c r="DS742" i="5"/>
  <c r="AB473" i="2"/>
  <c r="Z1422" i="2"/>
  <c r="Z1511" i="2" s="1"/>
  <c r="Y511" i="2"/>
  <c r="Y510" i="2"/>
  <c r="AL1152" i="2"/>
  <c r="JQ846" i="5" s="1"/>
  <c r="IK1067" i="5"/>
  <c r="EI654" i="5"/>
  <c r="AN905" i="5"/>
  <c r="AN1084" i="5" s="1"/>
  <c r="AF1125" i="2"/>
  <c r="AF1409" i="2" s="1"/>
  <c r="AF1498" i="2" s="1"/>
  <c r="KY924" i="5"/>
  <c r="KY1090" i="5" s="1"/>
  <c r="CX719" i="5"/>
  <c r="EI652" i="5"/>
  <c r="AN1075" i="5"/>
  <c r="O138" i="7"/>
  <c r="KY925" i="5"/>
  <c r="KY1091" i="5" s="1"/>
  <c r="AB1433" i="2"/>
  <c r="AB1522" i="2" s="1"/>
  <c r="AZ905" i="5"/>
  <c r="AZ1084" i="5" s="1"/>
  <c r="AZ1075" i="5"/>
  <c r="AE1905" i="2"/>
  <c r="JE1027" i="5"/>
  <c r="AH1352" i="2" s="1"/>
  <c r="X906" i="5"/>
  <c r="X1085" i="5" s="1"/>
  <c r="EK550" i="5"/>
  <c r="DR1254" i="5"/>
  <c r="P64" i="7"/>
  <c r="Y485" i="2"/>
  <c r="Z486" i="2" s="1"/>
  <c r="AE489" i="2"/>
  <c r="AF489" i="2" s="1"/>
  <c r="AG489" i="2" s="1"/>
  <c r="AH489" i="2" s="1"/>
  <c r="AI489" i="2" s="1"/>
  <c r="AJ489" i="2" s="1"/>
  <c r="AZ906" i="5"/>
  <c r="AZ1085" i="5" s="1"/>
  <c r="R665" i="5"/>
  <c r="R737" i="5" s="1"/>
  <c r="EI550" i="5"/>
  <c r="AA924" i="5"/>
  <c r="AA1090" i="5" s="1"/>
  <c r="DR667" i="5"/>
  <c r="DR738" i="5" s="1"/>
  <c r="Z557" i="2"/>
  <c r="DF654" i="5"/>
  <c r="Z572" i="2"/>
  <c r="AG610" i="2"/>
  <c r="AE1950" i="2"/>
  <c r="CC925" i="5"/>
  <c r="CC1091" i="5" s="1"/>
  <c r="CC906" i="5"/>
  <c r="CC1085" i="5" s="1"/>
  <c r="CC905" i="5"/>
  <c r="CC1084" i="5" s="1"/>
  <c r="CC1075" i="5"/>
  <c r="CC924" i="5"/>
  <c r="AA925" i="5"/>
  <c r="AA1091" i="5" s="1"/>
  <c r="AF1910" i="2"/>
  <c r="Z565" i="2"/>
  <c r="AA566" i="2" s="1"/>
  <c r="AA1075" i="5"/>
  <c r="I657" i="5"/>
  <c r="I730" i="5" s="1"/>
  <c r="AE568" i="2"/>
  <c r="DB754" i="5"/>
  <c r="AD565" i="2"/>
  <c r="AE566" i="2" s="1"/>
  <c r="AC593" i="2"/>
  <c r="AC594" i="2" s="1"/>
  <c r="CG1242" i="5"/>
  <c r="FQ1254" i="5"/>
  <c r="FQ1256" i="5" s="1"/>
  <c r="G657" i="5"/>
  <c r="G664" i="5" s="1"/>
  <c r="G667" i="5" s="1"/>
  <c r="G738" i="5" s="1"/>
  <c r="Y589" i="2"/>
  <c r="Y590" i="2" s="1"/>
  <c r="ET667" i="5"/>
  <c r="FG1078" i="5"/>
  <c r="Z515" i="2"/>
  <c r="AA516" i="2" s="1"/>
  <c r="AC496" i="2"/>
  <c r="CF1238" i="5"/>
  <c r="X1075" i="5"/>
  <c r="AK1151" i="2"/>
  <c r="AN924" i="5"/>
  <c r="AN1090" i="5" s="1"/>
  <c r="AD1902" i="2"/>
  <c r="EP1078" i="5"/>
  <c r="EH1254" i="5"/>
  <c r="AA906" i="5"/>
  <c r="AA1085" i="5" s="1"/>
  <c r="FQ1078" i="5"/>
  <c r="FC1232" i="5"/>
  <c r="AU905" i="5"/>
  <c r="AU1084" i="5" s="1"/>
  <c r="BE906" i="5"/>
  <c r="BE1085" i="5" s="1"/>
  <c r="IF669" i="5"/>
  <c r="IF739" i="5" s="1"/>
  <c r="CR724" i="5"/>
  <c r="AA649" i="2"/>
  <c r="AA654" i="2" s="1"/>
  <c r="AB682" i="2"/>
  <c r="AB460" i="2"/>
  <c r="AC672" i="2"/>
  <c r="BG905" i="5"/>
  <c r="BG1084" i="5" s="1"/>
  <c r="AF602" i="2"/>
  <c r="BL924" i="5"/>
  <c r="BL1090" i="5" s="1"/>
  <c r="AE676" i="2"/>
  <c r="AE677" i="2" s="1"/>
  <c r="EK653" i="5"/>
  <c r="AN925" i="5"/>
  <c r="AN1091" i="5" s="1"/>
  <c r="IJ814" i="5"/>
  <c r="AA1120" i="2" s="1"/>
  <c r="DS667" i="5"/>
  <c r="DS738" i="5" s="1"/>
  <c r="Z664" i="5"/>
  <c r="Z736" i="5" s="1"/>
  <c r="DT653" i="5"/>
  <c r="BG925" i="5"/>
  <c r="BG1091" i="5" s="1"/>
  <c r="BM905" i="5"/>
  <c r="BM1084" i="5" s="1"/>
  <c r="FM1238" i="5"/>
  <c r="Z649" i="2"/>
  <c r="Z654" i="2" s="1"/>
  <c r="BL906" i="5"/>
  <c r="BL1085" i="5" s="1"/>
  <c r="AE1432" i="2"/>
  <c r="AE1521" i="2" s="1"/>
  <c r="AE584" i="2"/>
  <c r="AF514" i="2"/>
  <c r="AB1502" i="2"/>
  <c r="FN1249" i="5"/>
  <c r="FN1241" i="5" s="1"/>
  <c r="CO754" i="5"/>
  <c r="IJ686" i="5"/>
  <c r="AA905" i="2" s="1"/>
  <c r="IH683" i="5"/>
  <c r="D127" i="7" s="1"/>
  <c r="DN1195" i="5"/>
  <c r="IJ1195" i="5" s="1"/>
  <c r="IL669" i="5"/>
  <c r="I114" i="7" s="1"/>
  <c r="K114" i="7" s="1"/>
  <c r="FQ1249" i="5"/>
  <c r="FQ1241" i="5" s="1"/>
  <c r="E57" i="7"/>
  <c r="AB518" i="2"/>
  <c r="AC556" i="2"/>
  <c r="IE590" i="5"/>
  <c r="IE724" i="5" s="1"/>
  <c r="AA1411" i="2"/>
  <c r="AA1500" i="2" s="1"/>
  <c r="AW906" i="5"/>
  <c r="AW1085" i="5" s="1"/>
  <c r="AE472" i="2"/>
  <c r="Y676" i="2"/>
  <c r="Y677" i="2" s="1"/>
  <c r="O905" i="5"/>
  <c r="O1084" i="5" s="1"/>
  <c r="IR683" i="5"/>
  <c r="O127" i="7" s="1"/>
  <c r="AC671" i="2"/>
  <c r="AC510" i="2"/>
  <c r="Y492" i="2"/>
  <c r="AA485" i="2"/>
  <c r="AA486" i="2" s="1"/>
  <c r="O924" i="5"/>
  <c r="O1041" i="5" s="1"/>
  <c r="O1098" i="5" s="1"/>
  <c r="AB689" i="2"/>
  <c r="IJ1213" i="5"/>
  <c r="AT664" i="5"/>
  <c r="AT736" i="5" s="1"/>
  <c r="IP1028" i="5"/>
  <c r="AC1353" i="2" s="1"/>
  <c r="AB493" i="2"/>
  <c r="AF603" i="2"/>
  <c r="AG604" i="2" s="1"/>
  <c r="IM818" i="5"/>
  <c r="AB1124" i="2" s="1"/>
  <c r="CJ754" i="5"/>
  <c r="IV850" i="5"/>
  <c r="AE1156" i="2" s="1"/>
  <c r="AB690" i="2"/>
  <c r="CP754" i="5"/>
  <c r="AH1433" i="2"/>
  <c r="AH1522" i="2" s="1"/>
  <c r="AF518" i="2"/>
  <c r="FO1232" i="5"/>
  <c r="AC473" i="2"/>
  <c r="AA674" i="2"/>
  <c r="ID850" i="5"/>
  <c r="ID1082" i="5" s="1"/>
  <c r="ID1080" i="5"/>
  <c r="IX813" i="5"/>
  <c r="P54" i="7"/>
  <c r="AF577" i="2"/>
  <c r="AG578" i="2" s="1"/>
  <c r="EK652" i="5"/>
  <c r="AE496" i="2"/>
  <c r="AE497" i="2"/>
  <c r="CI1242" i="5"/>
  <c r="ID814" i="5"/>
  <c r="Y1120" i="2" s="1"/>
  <c r="IJ1079" i="5"/>
  <c r="ID1058" i="5"/>
  <c r="ID1067" i="5" s="1"/>
  <c r="AB673" i="2"/>
  <c r="AM731" i="5"/>
  <c r="AA493" i="2"/>
  <c r="AA494" i="2" s="1"/>
  <c r="DI1249" i="5"/>
  <c r="AB674" i="2"/>
  <c r="BF925" i="5"/>
  <c r="BF1091" i="5" s="1"/>
  <c r="CE719" i="5"/>
  <c r="L906" i="5"/>
  <c r="L1085" i="5" s="1"/>
  <c r="L925" i="5"/>
  <c r="L1091" i="5" s="1"/>
  <c r="L1075" i="5"/>
  <c r="AB536" i="2"/>
  <c r="AF566" i="2"/>
  <c r="BP665" i="5"/>
  <c r="BP737" i="5" s="1"/>
  <c r="BP731" i="5"/>
  <c r="EZ1232" i="5"/>
  <c r="L924" i="5"/>
  <c r="L1041" i="5" s="1"/>
  <c r="L1098" i="5" s="1"/>
  <c r="AE511" i="2"/>
  <c r="AE512" i="2" s="1"/>
  <c r="BF906" i="5"/>
  <c r="BF1085" i="5" s="1"/>
  <c r="AU1075" i="5"/>
  <c r="EK588" i="5"/>
  <c r="EK1241" i="5" s="1"/>
  <c r="EK1257" i="5" s="1"/>
  <c r="Y489" i="2"/>
  <c r="Y490" i="2" s="1"/>
  <c r="T116" i="7"/>
  <c r="AE549" i="2"/>
  <c r="AF550" i="2" s="1"/>
  <c r="IR576" i="5"/>
  <c r="O28" i="7" s="1"/>
  <c r="AU925" i="5"/>
  <c r="AU1091" i="5" s="1"/>
  <c r="CP726" i="5"/>
  <c r="EK1242" i="5"/>
  <c r="AC577" i="2"/>
  <c r="AD578" i="2" s="1"/>
  <c r="AD456" i="2"/>
  <c r="FQ1232" i="5"/>
  <c r="AD802" i="2"/>
  <c r="AD1608" i="2" s="1"/>
  <c r="BN924" i="5"/>
  <c r="BN1090" i="5" s="1"/>
  <c r="EV621" i="5"/>
  <c r="EV1249" i="5" s="1"/>
  <c r="AX665" i="5"/>
  <c r="AX737" i="5" s="1"/>
  <c r="AU906" i="5"/>
  <c r="AU1085" i="5" s="1"/>
  <c r="AE603" i="2"/>
  <c r="IN891" i="5"/>
  <c r="IN894" i="5" s="1"/>
  <c r="Y647" i="2"/>
  <c r="BN905" i="5"/>
  <c r="BN1084" i="5" s="1"/>
  <c r="EK654" i="5"/>
  <c r="AD665" i="2"/>
  <c r="BN906" i="5"/>
  <c r="BN1085" i="5" s="1"/>
  <c r="AD803" i="2"/>
  <c r="DL588" i="5"/>
  <c r="DL723" i="5" s="1"/>
  <c r="AE1910" i="2"/>
  <c r="JB1056" i="5"/>
  <c r="JB1065" i="5" s="1"/>
  <c r="EQ667" i="5"/>
  <c r="AE1418" i="2"/>
  <c r="AE1507" i="2" s="1"/>
  <c r="AD1431" i="2"/>
  <c r="AD1520" i="2" s="1"/>
  <c r="AB485" i="2"/>
  <c r="BQ731" i="5"/>
  <c r="EO667" i="5"/>
  <c r="IM1208" i="5"/>
  <c r="IM1210" i="5" s="1"/>
  <c r="AF1470" i="2"/>
  <c r="AF1559" i="2" s="1"/>
  <c r="AB488" i="2"/>
  <c r="CI653" i="5"/>
  <c r="BL665" i="5"/>
  <c r="BL737" i="5" s="1"/>
  <c r="IS1079" i="5"/>
  <c r="AA671" i="2"/>
  <c r="IY947" i="5"/>
  <c r="AA569" i="2"/>
  <c r="AB570" i="2" s="1"/>
  <c r="AW1075" i="5"/>
  <c r="BN1075" i="5"/>
  <c r="EV1251" i="5"/>
  <c r="CW754" i="5"/>
  <c r="EF588" i="5"/>
  <c r="EF1241" i="5" s="1"/>
  <c r="CY754" i="5"/>
  <c r="EZ1249" i="5"/>
  <c r="EZ1241" i="5" s="1"/>
  <c r="Y1400" i="2"/>
  <c r="Y1489" i="2" s="1"/>
  <c r="AW925" i="5"/>
  <c r="AW1091" i="5" s="1"/>
  <c r="AE1746" i="2"/>
  <c r="AE515" i="2"/>
  <c r="AE516" i="2" s="1"/>
  <c r="IS613" i="5"/>
  <c r="AD811" i="2" s="1"/>
  <c r="IF717" i="5"/>
  <c r="DM719" i="5"/>
  <c r="AC603" i="2"/>
  <c r="AC604" i="2" s="1"/>
  <c r="AF548" i="2"/>
  <c r="ID818" i="5"/>
  <c r="Y1124" i="2" s="1"/>
  <c r="EK667" i="5"/>
  <c r="IM1079" i="5"/>
  <c r="EE1254" i="5"/>
  <c r="DH724" i="5"/>
  <c r="FP1238" i="5"/>
  <c r="AO925" i="5"/>
  <c r="AO1091" i="5" s="1"/>
  <c r="FP1075" i="5"/>
  <c r="AF668" i="2"/>
  <c r="AE671" i="2"/>
  <c r="Z603" i="2"/>
  <c r="Z604" i="2" s="1"/>
  <c r="IH890" i="5"/>
  <c r="IH891" i="5" s="1"/>
  <c r="IH892" i="5" s="1"/>
  <c r="Y548" i="2"/>
  <c r="Y549" i="2"/>
  <c r="AA690" i="2"/>
  <c r="Z1075" i="5"/>
  <c r="AO924" i="5"/>
  <c r="AO1041" i="5" s="1"/>
  <c r="AO1098" i="5" s="1"/>
  <c r="FP905" i="5"/>
  <c r="FP924" i="5" s="1"/>
  <c r="BC905" i="5"/>
  <c r="BC1084" i="5" s="1"/>
  <c r="CQ724" i="5"/>
  <c r="P141" i="7"/>
  <c r="AA609" i="2"/>
  <c r="EW590" i="5"/>
  <c r="EW654" i="5" s="1"/>
  <c r="ID886" i="5"/>
  <c r="CQ588" i="5"/>
  <c r="CQ1241" i="5" s="1"/>
  <c r="IV1079" i="5"/>
  <c r="IG590" i="5"/>
  <c r="IG724" i="5" s="1"/>
  <c r="AA673" i="2"/>
  <c r="Z906" i="5"/>
  <c r="Z1085" i="5" s="1"/>
  <c r="DO653" i="5"/>
  <c r="BC906" i="5"/>
  <c r="BC1085" i="5" s="1"/>
  <c r="AB589" i="2"/>
  <c r="AE667" i="2"/>
  <c r="IS1213" i="5"/>
  <c r="BF730" i="5"/>
  <c r="BF664" i="5"/>
  <c r="FP1078" i="5"/>
  <c r="AE1429" i="2"/>
  <c r="AE1518" i="2" s="1"/>
  <c r="Y1401" i="2"/>
  <c r="Y1490" i="2" s="1"/>
  <c r="CH715" i="5"/>
  <c r="BC1075" i="5"/>
  <c r="IJ886" i="5"/>
  <c r="BF905" i="5"/>
  <c r="BF1084" i="5" s="1"/>
  <c r="X609" i="2"/>
  <c r="CH654" i="5"/>
  <c r="IQ1056" i="5"/>
  <c r="IQ1065" i="5" s="1"/>
  <c r="BC924" i="5"/>
  <c r="BC1041" i="5" s="1"/>
  <c r="BC1098" i="5" s="1"/>
  <c r="AF665" i="2"/>
  <c r="AB671" i="2"/>
  <c r="FN1254" i="5"/>
  <c r="FN1256" i="5" s="1"/>
  <c r="DG905" i="5"/>
  <c r="DG1084" i="5" s="1"/>
  <c r="CY1238" i="5"/>
  <c r="JC813" i="5"/>
  <c r="CH550" i="5"/>
  <c r="CH714" i="5" s="1"/>
  <c r="IM947" i="5"/>
  <c r="IM1092" i="5" s="1"/>
  <c r="AF1942" i="2"/>
  <c r="AD1906" i="2"/>
  <c r="AB672" i="2"/>
  <c r="AD603" i="2"/>
  <c r="JB826" i="5"/>
  <c r="JB1081" i="5" s="1"/>
  <c r="CH652" i="5"/>
  <c r="CQ654" i="5"/>
  <c r="AP924" i="5"/>
  <c r="AP1090" i="5" s="1"/>
  <c r="FL1232" i="5"/>
  <c r="AF667" i="2"/>
  <c r="Y592" i="2"/>
  <c r="IC887" i="5"/>
  <c r="IC888" i="5" s="1"/>
  <c r="FK1254" i="5"/>
  <c r="AP925" i="5"/>
  <c r="AP1091" i="5" s="1"/>
  <c r="BK924" i="5"/>
  <c r="BK1090" i="5" s="1"/>
  <c r="AF1431" i="2"/>
  <c r="AF1520" i="2" s="1"/>
  <c r="AB594" i="2"/>
  <c r="Z1418" i="2"/>
  <c r="Z1507" i="2" s="1"/>
  <c r="AD602" i="2"/>
  <c r="AO906" i="5"/>
  <c r="AO1085" i="5" s="1"/>
  <c r="IJ912" i="5"/>
  <c r="IJ1088" i="5" s="1"/>
  <c r="IY818" i="5"/>
  <c r="AF1124" i="2" s="1"/>
  <c r="Z671" i="2"/>
  <c r="IH1027" i="5"/>
  <c r="AG668" i="2"/>
  <c r="FJ1078" i="5"/>
  <c r="EJ1095" i="5"/>
  <c r="IS1028" i="5"/>
  <c r="AD1353" i="2" s="1"/>
  <c r="CE1242" i="5"/>
  <c r="AP905" i="5"/>
  <c r="AP1084" i="5" s="1"/>
  <c r="Z589" i="2"/>
  <c r="AD476" i="2"/>
  <c r="AE1952" i="2"/>
  <c r="AF666" i="2"/>
  <c r="AC1411" i="2"/>
  <c r="AC1500" i="2" s="1"/>
  <c r="FP1254" i="5"/>
  <c r="FP1256" i="5" s="1"/>
  <c r="DG1078" i="5"/>
  <c r="H657" i="5"/>
  <c r="H714" i="5"/>
  <c r="JA1081" i="5"/>
  <c r="AE668" i="2"/>
  <c r="FJ1238" i="5"/>
  <c r="BL714" i="5"/>
  <c r="DU667" i="5"/>
  <c r="AP1075" i="5"/>
  <c r="Z673" i="2"/>
  <c r="CY715" i="5"/>
  <c r="AB665" i="2"/>
  <c r="AD1401" i="2"/>
  <c r="AD1490" i="2" s="1"/>
  <c r="AA553" i="2"/>
  <c r="AB554" i="2" s="1"/>
  <c r="BE1075" i="5"/>
  <c r="AA440" i="2"/>
  <c r="AA441" i="2" s="1"/>
  <c r="AD593" i="2"/>
  <c r="AE594" i="2" s="1"/>
  <c r="Y599" i="2"/>
  <c r="Y600" i="2" s="1"/>
  <c r="F29" i="7"/>
  <c r="ID890" i="5"/>
  <c r="EN906" i="5"/>
  <c r="EN925" i="5" s="1"/>
  <c r="CK1242" i="5"/>
  <c r="CX654" i="5"/>
  <c r="IP818" i="5"/>
  <c r="AC1124" i="2" s="1"/>
  <c r="AA592" i="2"/>
  <c r="Z1416" i="2"/>
  <c r="Z1505" i="2" s="1"/>
  <c r="AF1398" i="2"/>
  <c r="AF1487" i="2" s="1"/>
  <c r="FR1254" i="5"/>
  <c r="FR1256" i="5" s="1"/>
  <c r="Z455" i="2"/>
  <c r="AF497" i="2"/>
  <c r="AG498" i="2" s="1"/>
  <c r="AC649" i="2"/>
  <c r="AC654" i="2" s="1"/>
  <c r="AD1910" i="2"/>
  <c r="AC609" i="2"/>
  <c r="DO1238" i="5"/>
  <c r="DO719" i="5"/>
  <c r="AB497" i="2"/>
  <c r="AB498" i="2" s="1"/>
  <c r="BE925" i="5"/>
  <c r="BE1091" i="5" s="1"/>
  <c r="IY1028" i="5"/>
  <c r="AF1353" i="2" s="1"/>
  <c r="AA598" i="2"/>
  <c r="Z925" i="5"/>
  <c r="Z1091" i="5" s="1"/>
  <c r="AC568" i="2"/>
  <c r="Z672" i="2"/>
  <c r="CN754" i="5"/>
  <c r="IR813" i="5"/>
  <c r="BE905" i="5"/>
  <c r="BE1084" i="5" s="1"/>
  <c r="AE672" i="2"/>
  <c r="AA386" i="2"/>
  <c r="Z1408" i="2"/>
  <c r="Z1497" i="2" s="1"/>
  <c r="Y464" i="2"/>
  <c r="Y465" i="2" s="1"/>
  <c r="AW924" i="5"/>
  <c r="AW1090" i="5" s="1"/>
  <c r="FD1078" i="5"/>
  <c r="FD1238" i="5"/>
  <c r="BG657" i="5"/>
  <c r="IL705" i="5"/>
  <c r="AE731" i="5"/>
  <c r="S924" i="5"/>
  <c r="S1041" i="5" s="1"/>
  <c r="S1098" i="5" s="1"/>
  <c r="EP1254" i="5"/>
  <c r="IP887" i="5"/>
  <c r="BJ905" i="5"/>
  <c r="BJ1084" i="5" s="1"/>
  <c r="DD1078" i="5"/>
  <c r="JG993" i="5"/>
  <c r="AI1694" i="2" s="1"/>
  <c r="JG1056" i="5"/>
  <c r="JG1065" i="5" s="1"/>
  <c r="S1075" i="5"/>
  <c r="CD924" i="5"/>
  <c r="CD1041" i="5" s="1"/>
  <c r="CD1098" i="5" s="1"/>
  <c r="BK906" i="5"/>
  <c r="BK1085" i="5" s="1"/>
  <c r="AF665" i="5"/>
  <c r="AF737" i="5" s="1"/>
  <c r="IH813" i="5"/>
  <c r="S925" i="5"/>
  <c r="S1091" i="5" s="1"/>
  <c r="AB588" i="2"/>
  <c r="IM803" i="5"/>
  <c r="AB1109" i="2" s="1"/>
  <c r="AS1403" i="2" s="1"/>
  <c r="AS1492" i="2" s="1"/>
  <c r="BV905" i="5"/>
  <c r="BV1084" i="5" s="1"/>
  <c r="S905" i="5"/>
  <c r="S1084" i="5" s="1"/>
  <c r="II720" i="5"/>
  <c r="CD1075" i="5"/>
  <c r="DL1242" i="5"/>
  <c r="AT925" i="5"/>
  <c r="AT1091" i="5" s="1"/>
  <c r="BQ924" i="5"/>
  <c r="BQ1041" i="5" s="1"/>
  <c r="BQ1098" i="5" s="1"/>
  <c r="AF1977" i="2"/>
  <c r="EE654" i="5"/>
  <c r="AE598" i="2"/>
  <c r="AE599" i="2"/>
  <c r="AF600" i="2" s="1"/>
  <c r="FD1232" i="5"/>
  <c r="CD925" i="5"/>
  <c r="CD1091" i="5" s="1"/>
  <c r="CJ588" i="5"/>
  <c r="CJ658" i="5" s="1"/>
  <c r="EI588" i="5"/>
  <c r="BQ905" i="5"/>
  <c r="BQ1084" i="5" s="1"/>
  <c r="BV1075" i="5"/>
  <c r="JA1059" i="5"/>
  <c r="JA1068" i="5" s="1"/>
  <c r="CD905" i="5"/>
  <c r="CD1084" i="5" s="1"/>
  <c r="JB907" i="5"/>
  <c r="AT906" i="5"/>
  <c r="AT1085" i="5" s="1"/>
  <c r="FF1241" i="5"/>
  <c r="AW714" i="5"/>
  <c r="BQ906" i="5"/>
  <c r="BQ1085" i="5" s="1"/>
  <c r="BV906" i="5"/>
  <c r="BV1085" i="5" s="1"/>
  <c r="H141" i="7"/>
  <c r="DZ667" i="5"/>
  <c r="EZ1078" i="5"/>
  <c r="DD726" i="5"/>
  <c r="P657" i="5"/>
  <c r="P664" i="5" s="1"/>
  <c r="CT588" i="5"/>
  <c r="CT1241" i="5" s="1"/>
  <c r="IM889" i="5"/>
  <c r="AW730" i="5"/>
  <c r="EE652" i="5"/>
  <c r="DT667" i="5"/>
  <c r="DT738" i="5" s="1"/>
  <c r="DT1254" i="5"/>
  <c r="DT742" i="5"/>
  <c r="AK665" i="5"/>
  <c r="AK737" i="5" s="1"/>
  <c r="Y681" i="2"/>
  <c r="Y680" i="2"/>
  <c r="Y1433" i="2"/>
  <c r="Y1522" i="2" s="1"/>
  <c r="Y679" i="2"/>
  <c r="AX657" i="5"/>
  <c r="AX714" i="5"/>
  <c r="FJ1241" i="5"/>
  <c r="I138" i="7"/>
  <c r="CJ1242" i="5"/>
  <c r="BM714" i="5"/>
  <c r="U731" i="5"/>
  <c r="FO1238" i="5"/>
  <c r="CZ653" i="5"/>
  <c r="AD905" i="5"/>
  <c r="AD1084" i="5" s="1"/>
  <c r="EQ906" i="5"/>
  <c r="EQ1085" i="5" s="1"/>
  <c r="EA1233" i="5"/>
  <c r="IS803" i="5"/>
  <c r="IS1077" i="5" s="1"/>
  <c r="FA1254" i="5"/>
  <c r="FA1256" i="5" s="1"/>
  <c r="BQ1075" i="5"/>
  <c r="AE680" i="2"/>
  <c r="DM726" i="5"/>
  <c r="DM1249" i="5"/>
  <c r="IL683" i="5"/>
  <c r="I127" i="7" s="1"/>
  <c r="K127" i="7" s="1"/>
  <c r="BK1075" i="5"/>
  <c r="EZ1238" i="5"/>
  <c r="JA1066" i="5"/>
  <c r="FO1078" i="5"/>
  <c r="H1090" i="5"/>
  <c r="FN1238" i="5"/>
  <c r="IM1080" i="5"/>
  <c r="CZ654" i="5"/>
  <c r="AD924" i="5"/>
  <c r="AD1041" i="5" s="1"/>
  <c r="AD1098" i="5" s="1"/>
  <c r="FF1232" i="5"/>
  <c r="BK905" i="5"/>
  <c r="BK1084" i="5" s="1"/>
  <c r="E15" i="7"/>
  <c r="AW731" i="5"/>
  <c r="AE1433" i="2"/>
  <c r="AE1522" i="2" s="1"/>
  <c r="E126" i="7"/>
  <c r="IL695" i="5"/>
  <c r="IM695" i="5" s="1"/>
  <c r="IM1212" i="5" s="1"/>
  <c r="IM1214" i="5" s="1"/>
  <c r="AD906" i="5"/>
  <c r="AD1085" i="5" s="1"/>
  <c r="IY803" i="5"/>
  <c r="AF1109" i="2" s="1"/>
  <c r="AL906" i="5"/>
  <c r="AL1085" i="5" s="1"/>
  <c r="F61" i="7"/>
  <c r="H61" i="7" s="1"/>
  <c r="JE994" i="5"/>
  <c r="AH1320" i="2" s="1"/>
  <c r="IG886" i="5"/>
  <c r="II1027" i="5"/>
  <c r="DC906" i="5"/>
  <c r="DC925" i="5" s="1"/>
  <c r="DC1091" i="5" s="1"/>
  <c r="CZ652" i="5"/>
  <c r="AD1075" i="5"/>
  <c r="BS731" i="5"/>
  <c r="BR657" i="5"/>
  <c r="BR730" i="5" s="1"/>
  <c r="T714" i="5"/>
  <c r="Z569" i="2"/>
  <c r="Y557" i="2"/>
  <c r="Y558" i="2" s="1"/>
  <c r="FE1241" i="5"/>
  <c r="ID988" i="5"/>
  <c r="ID1096" i="5" s="1"/>
  <c r="AF564" i="2"/>
  <c r="IM850" i="5"/>
  <c r="IM1082" i="5" s="1"/>
  <c r="CZ724" i="5"/>
  <c r="CE754" i="5"/>
  <c r="DD588" i="5"/>
  <c r="DD723" i="5" s="1"/>
  <c r="Z581" i="2"/>
  <c r="AA582" i="2" s="1"/>
  <c r="IP947" i="5"/>
  <c r="AC1268" i="2" s="1"/>
  <c r="CH724" i="5"/>
  <c r="CY550" i="5"/>
  <c r="CY714" i="5" s="1"/>
  <c r="EE653" i="5"/>
  <c r="CZ588" i="5"/>
  <c r="CZ1241" i="5" s="1"/>
  <c r="AB1075" i="5"/>
  <c r="AE455" i="2"/>
  <c r="AA580" i="2"/>
  <c r="FF1254" i="5"/>
  <c r="FF1256" i="5" s="1"/>
  <c r="CN588" i="5"/>
  <c r="CN658" i="5" s="1"/>
  <c r="FM1232" i="5"/>
  <c r="G138" i="7"/>
  <c r="IK705" i="5"/>
  <c r="Y682" i="2"/>
  <c r="EJ550" i="5"/>
  <c r="E61" i="7"/>
  <c r="EO590" i="5"/>
  <c r="EO1242" i="5" s="1"/>
  <c r="AB607" i="2"/>
  <c r="AC573" i="2"/>
  <c r="AD574" i="2" s="1"/>
  <c r="AA689" i="2"/>
  <c r="AP686" i="2"/>
  <c r="AR500" i="2"/>
  <c r="AS620" i="2"/>
  <c r="AP1277" i="2"/>
  <c r="AO1276" i="2"/>
  <c r="JZ955" i="5" s="1"/>
  <c r="AD492" i="2"/>
  <c r="AP1353" i="2"/>
  <c r="BL102" i="19" s="1"/>
  <c r="BM102" i="19" s="1"/>
  <c r="AP1470" i="2"/>
  <c r="AP1559" i="2" s="1"/>
  <c r="AP1408" i="2"/>
  <c r="AP1499" i="2"/>
  <c r="AB1408" i="2"/>
  <c r="AB1497" i="2" s="1"/>
  <c r="JX841" i="5"/>
  <c r="JY841" i="5" s="1"/>
  <c r="AP1147" i="2"/>
  <c r="KC841" i="5" s="1"/>
  <c r="KA841" i="5" s="1"/>
  <c r="KB841" i="5" s="1"/>
  <c r="AD1411" i="2"/>
  <c r="AD1500" i="2" s="1"/>
  <c r="AD598" i="2"/>
  <c r="AB1693" i="2"/>
  <c r="AB1815" i="2" s="1"/>
  <c r="AB1810" i="2" s="1"/>
  <c r="Y472" i="2"/>
  <c r="AE690" i="2"/>
  <c r="AD668" i="2"/>
  <c r="Z667" i="2"/>
  <c r="AF553" i="2"/>
  <c r="AF554" i="2" s="1"/>
  <c r="AY93" i="19"/>
  <c r="BB93" i="19" s="1"/>
  <c r="BG28" i="19"/>
  <c r="BI28" i="19" s="1"/>
  <c r="BJ21" i="19"/>
  <c r="BH21" i="19"/>
  <c r="BK21" i="19" s="1"/>
  <c r="AF690" i="2"/>
  <c r="AB576" i="2"/>
  <c r="E77" i="19"/>
  <c r="G77" i="19" s="1"/>
  <c r="AA320" i="2"/>
  <c r="AB445" i="2" s="1"/>
  <c r="Z668" i="2"/>
  <c r="AA667" i="2"/>
  <c r="Z665" i="2"/>
  <c r="AA1579" i="2"/>
  <c r="AC565" i="2"/>
  <c r="AX56" i="19"/>
  <c r="AZ56" i="19" s="1"/>
  <c r="AC1431" i="2"/>
  <c r="AC1520" i="2" s="1"/>
  <c r="Z1431" i="2"/>
  <c r="Z1520" i="2" s="1"/>
  <c r="AC580" i="2"/>
  <c r="Y477" i="2"/>
  <c r="Y478" i="2" s="1"/>
  <c r="AC668" i="2"/>
  <c r="AD667" i="2"/>
  <c r="AA459" i="2"/>
  <c r="AC667" i="2"/>
  <c r="AI560" i="2"/>
  <c r="AI561" i="2"/>
  <c r="AJ562" i="2" s="1"/>
  <c r="P93" i="19"/>
  <c r="R93" i="19" s="1"/>
  <c r="BJ14" i="19"/>
  <c r="BH14" i="19"/>
  <c r="BK14" i="19" s="1"/>
  <c r="AO102" i="19"/>
  <c r="AQ102" i="19" s="1"/>
  <c r="BH103" i="19"/>
  <c r="BK103" i="19" s="1"/>
  <c r="BJ103" i="19"/>
  <c r="DG652" i="5"/>
  <c r="DG550" i="5"/>
  <c r="DG714" i="5" s="1"/>
  <c r="DG1232" i="5"/>
  <c r="AB924" i="5"/>
  <c r="AB1041" i="5" s="1"/>
  <c r="AB1098" i="5" s="1"/>
  <c r="BT1041" i="5"/>
  <c r="BT1098" i="5" s="1"/>
  <c r="IO907" i="5"/>
  <c r="IO1059" i="5" s="1"/>
  <c r="IP850" i="5"/>
  <c r="IP1082" i="5" s="1"/>
  <c r="F15" i="7"/>
  <c r="AD557" i="2"/>
  <c r="AD556" i="2"/>
  <c r="JV860" i="5"/>
  <c r="AD901" i="2"/>
  <c r="AD981" i="2" s="1"/>
  <c r="AD1030" i="2" s="1"/>
  <c r="Z518" i="2"/>
  <c r="Z519" i="2"/>
  <c r="JY860" i="5"/>
  <c r="P126" i="7"/>
  <c r="IJ803" i="5"/>
  <c r="AA1109" i="2" s="1"/>
  <c r="AR1403" i="2" s="1"/>
  <c r="AR1492" i="2" s="1"/>
  <c r="AL925" i="5"/>
  <c r="AL1091" i="5" s="1"/>
  <c r="AF689" i="2"/>
  <c r="AC665" i="2"/>
  <c r="AL1075" i="5"/>
  <c r="BF731" i="5"/>
  <c r="BF665" i="5"/>
  <c r="BF737" i="5" s="1"/>
  <c r="AB1121" i="2"/>
  <c r="AB1406" i="2" s="1"/>
  <c r="AB1495" i="2" s="1"/>
  <c r="AL905" i="5"/>
  <c r="AL1084" i="5" s="1"/>
  <c r="AE518" i="2"/>
  <c r="AE519" i="2"/>
  <c r="DI552" i="5"/>
  <c r="DI653" i="5" s="1"/>
  <c r="FJ1095" i="5"/>
  <c r="FJ1254" i="5"/>
  <c r="FJ1256" i="5" s="1"/>
  <c r="Y1687" i="2"/>
  <c r="Y1685" i="2" s="1"/>
  <c r="IE1093" i="5"/>
  <c r="IZ1057" i="5"/>
  <c r="IZ1066" i="5" s="1"/>
  <c r="DI716" i="5"/>
  <c r="CE621" i="5"/>
  <c r="CE726" i="5" s="1"/>
  <c r="LB657" i="5"/>
  <c r="LB730" i="5" s="1"/>
  <c r="CR1092" i="5"/>
  <c r="IE947" i="5"/>
  <c r="IE1092" i="5" s="1"/>
  <c r="BV925" i="5"/>
  <c r="BV1091" i="5" s="1"/>
  <c r="AB565" i="2"/>
  <c r="AB566" i="2" s="1"/>
  <c r="R924" i="5"/>
  <c r="R1075" i="5"/>
  <c r="R925" i="5"/>
  <c r="R1091" i="5" s="1"/>
  <c r="R906" i="5"/>
  <c r="R1085" i="5" s="1"/>
  <c r="R905" i="5"/>
  <c r="R1084" i="5" s="1"/>
  <c r="IZ1059" i="5"/>
  <c r="IZ1068" i="5" s="1"/>
  <c r="AI674" i="2"/>
  <c r="AI673" i="2"/>
  <c r="DU652" i="5"/>
  <c r="EA1254" i="5"/>
  <c r="Z544" i="2"/>
  <c r="Z545" i="2"/>
  <c r="DU654" i="5"/>
  <c r="DR1249" i="5"/>
  <c r="EG667" i="5"/>
  <c r="IB1067" i="5"/>
  <c r="AD789" i="2"/>
  <c r="AD1604" i="2" s="1"/>
  <c r="AO905" i="5"/>
  <c r="AO1084" i="5" s="1"/>
  <c r="BP664" i="5"/>
  <c r="BP730" i="5"/>
  <c r="AO1560" i="2"/>
  <c r="AO698" i="2"/>
  <c r="IP888" i="5"/>
  <c r="IO889" i="5"/>
  <c r="IP889" i="5" s="1"/>
  <c r="DW654" i="5"/>
  <c r="AB925" i="5"/>
  <c r="AB1091" i="5" s="1"/>
  <c r="IK891" i="5"/>
  <c r="IK892" i="5" s="1"/>
  <c r="O102" i="19"/>
  <c r="N102" i="19" s="1"/>
  <c r="AH609" i="2"/>
  <c r="AD102" i="19"/>
  <c r="AG1475" i="2"/>
  <c r="AG1564" i="2" s="1"/>
  <c r="AH1939" i="2"/>
  <c r="AF1908" i="2"/>
  <c r="AG682" i="2"/>
  <c r="AF1708" i="2"/>
  <c r="JR1027" i="5"/>
  <c r="AB478" i="2"/>
  <c r="AF1692" i="2"/>
  <c r="AD672" i="2"/>
  <c r="AF538" i="2"/>
  <c r="AI1400" i="2"/>
  <c r="AI1489" i="2" s="1"/>
  <c r="AI1905" i="2"/>
  <c r="E108" i="19"/>
  <c r="G108" i="19" s="1"/>
  <c r="AF1416" i="2"/>
  <c r="AF1505" i="2" s="1"/>
  <c r="AF589" i="2"/>
  <c r="AG590" i="2" s="1"/>
  <c r="AC440" i="2"/>
  <c r="AD1939" i="2"/>
  <c r="AD1429" i="2"/>
  <c r="AD1518" i="2" s="1"/>
  <c r="AH603" i="2"/>
  <c r="AA666" i="2"/>
  <c r="AE673" i="2"/>
  <c r="AD673" i="2"/>
  <c r="AG1421" i="2"/>
  <c r="AG1510" i="2" s="1"/>
  <c r="AD674" i="2"/>
  <c r="AC680" i="2"/>
  <c r="D38" i="19"/>
  <c r="F38" i="19" s="1"/>
  <c r="AJ1651" i="2"/>
  <c r="AB476" i="2"/>
  <c r="AE674" i="2"/>
  <c r="AB668" i="2"/>
  <c r="P21" i="19"/>
  <c r="R21" i="19" s="1"/>
  <c r="O28" i="19"/>
  <c r="N28" i="19" s="1"/>
  <c r="AE576" i="2"/>
  <c r="AC681" i="2"/>
  <c r="AC1433" i="2"/>
  <c r="AC1522" i="2" s="1"/>
  <c r="AA668" i="2"/>
  <c r="Y594" i="2"/>
  <c r="AH1418" i="2"/>
  <c r="AH1507" i="2" s="1"/>
  <c r="JP976" i="5"/>
  <c r="AD77" i="19"/>
  <c r="AE77" i="19" s="1"/>
  <c r="AC682" i="2"/>
  <c r="AG1373" i="2"/>
  <c r="AI1401" i="2"/>
  <c r="AI1490" i="2" s="1"/>
  <c r="AH1910" i="2"/>
  <c r="AD682" i="2"/>
  <c r="AB667" i="2"/>
  <c r="AA1431" i="2"/>
  <c r="AA1520" i="2" s="1"/>
  <c r="AD661" i="2"/>
  <c r="AB604" i="2"/>
  <c r="AA665" i="2"/>
  <c r="AF682" i="2"/>
  <c r="X93" i="19"/>
  <c r="AA93" i="19" s="1"/>
  <c r="Z93" i="19"/>
  <c r="AH1399" i="2"/>
  <c r="AH1488" i="2" s="1"/>
  <c r="AC1398" i="2"/>
  <c r="AC1487" i="2" s="1"/>
  <c r="AI1906" i="2"/>
  <c r="AM94" i="19"/>
  <c r="AN94" i="19" s="1"/>
  <c r="AM93" i="19"/>
  <c r="AN93" i="19" s="1"/>
  <c r="Z474" i="2"/>
  <c r="AG93" i="19"/>
  <c r="AJ93" i="19" s="1"/>
  <c r="AI93" i="19"/>
  <c r="AC661" i="2"/>
  <c r="AD1501" i="2"/>
  <c r="AH674" i="2"/>
  <c r="AH1429" i="2"/>
  <c r="AH1518" i="2" s="1"/>
  <c r="JP1008" i="5"/>
  <c r="AH672" i="2"/>
  <c r="AH673" i="2"/>
  <c r="DG588" i="5"/>
  <c r="DG658" i="5" s="1"/>
  <c r="CN724" i="5"/>
  <c r="C138" i="7"/>
  <c r="DF1242" i="5"/>
  <c r="DM552" i="5"/>
  <c r="DM715" i="5" s="1"/>
  <c r="LB714" i="5"/>
  <c r="D115" i="7"/>
  <c r="E115" i="7" s="1"/>
  <c r="DC905" i="5"/>
  <c r="DC924" i="5" s="1"/>
  <c r="DO652" i="5"/>
  <c r="AG681" i="2"/>
  <c r="DL552" i="5"/>
  <c r="DL550" i="5" s="1"/>
  <c r="AD918" i="2"/>
  <c r="D63" i="19"/>
  <c r="F63" i="19" s="1"/>
  <c r="FI1232" i="5"/>
  <c r="J1075" i="5"/>
  <c r="J906" i="5"/>
  <c r="J1085" i="5" s="1"/>
  <c r="J925" i="5"/>
  <c r="J1091" i="5" s="1"/>
  <c r="J905" i="5"/>
  <c r="J1084" i="5" s="1"/>
  <c r="J924" i="5"/>
  <c r="CK754" i="5"/>
  <c r="CK932" i="5" s="1"/>
  <c r="CK1078" i="5"/>
  <c r="CY1249" i="5"/>
  <c r="CY726" i="5"/>
  <c r="IF695" i="5"/>
  <c r="IF745" i="5" s="1"/>
  <c r="DF724" i="5"/>
  <c r="DM1233" i="5"/>
  <c r="AF679" i="2"/>
  <c r="EI653" i="5"/>
  <c r="CL754" i="5"/>
  <c r="AB538" i="2"/>
  <c r="FG1232" i="5"/>
  <c r="JG813" i="5"/>
  <c r="N906" i="5"/>
  <c r="N1085" i="5" s="1"/>
  <c r="DP1242" i="5"/>
  <c r="CK987" i="5"/>
  <c r="CK1095" i="5" s="1"/>
  <c r="IW850" i="5"/>
  <c r="IY850" i="5" s="1"/>
  <c r="IY1082" i="5" s="1"/>
  <c r="II813" i="5"/>
  <c r="AF1952" i="2"/>
  <c r="DL1233" i="5"/>
  <c r="EL1242" i="5"/>
  <c r="AF1433" i="2"/>
  <c r="AF1522" i="2" s="1"/>
  <c r="FJ1232" i="5"/>
  <c r="BH1075" i="5"/>
  <c r="BH925" i="5"/>
  <c r="BH1091" i="5" s="1"/>
  <c r="BH905" i="5"/>
  <c r="BH1084" i="5" s="1"/>
  <c r="BH924" i="5"/>
  <c r="BH906" i="5"/>
  <c r="BH1085" i="5" s="1"/>
  <c r="BI905" i="5"/>
  <c r="BI1084" i="5" s="1"/>
  <c r="BI906" i="5"/>
  <c r="BI1085" i="5" s="1"/>
  <c r="BI1075" i="5"/>
  <c r="BI925" i="5"/>
  <c r="BI1091" i="5" s="1"/>
  <c r="BI924" i="5"/>
  <c r="DH1238" i="5"/>
  <c r="DH719" i="5"/>
  <c r="DF719" i="5"/>
  <c r="JH818" i="5"/>
  <c r="AI1124" i="2" s="1"/>
  <c r="AI610" i="2"/>
  <c r="CK1096" i="5"/>
  <c r="AF1929" i="2"/>
  <c r="AF681" i="2"/>
  <c r="DH1232" i="5"/>
  <c r="DH550" i="5"/>
  <c r="DH714" i="5" s="1"/>
  <c r="DH715" i="5"/>
  <c r="DI719" i="5"/>
  <c r="DI1238" i="5"/>
  <c r="FL1019" i="5"/>
  <c r="IW1027" i="5"/>
  <c r="IY1027" i="5" s="1"/>
  <c r="AF1352" i="2" s="1"/>
  <c r="DG1242" i="5"/>
  <c r="DW550" i="5"/>
  <c r="IH889" i="5"/>
  <c r="CV652" i="5"/>
  <c r="CT754" i="5"/>
  <c r="DL1238" i="5"/>
  <c r="ID947" i="5"/>
  <c r="ID1092" i="5" s="1"/>
  <c r="FI1254" i="5"/>
  <c r="FI1256" i="5" s="1"/>
  <c r="BJ1075" i="5"/>
  <c r="BJ924" i="5"/>
  <c r="EL1233" i="5"/>
  <c r="EL552" i="5"/>
  <c r="EL653" i="5" s="1"/>
  <c r="CL1242" i="5"/>
  <c r="AA536" i="2"/>
  <c r="FS1232" i="5"/>
  <c r="O664" i="5"/>
  <c r="O736" i="5" s="1"/>
  <c r="EP1242" i="5"/>
  <c r="P124" i="7"/>
  <c r="AI905" i="5"/>
  <c r="AI1084" i="5" s="1"/>
  <c r="AI924" i="5"/>
  <c r="AI906" i="5"/>
  <c r="AI1085" i="5" s="1"/>
  <c r="AI1075" i="5"/>
  <c r="Z561" i="2"/>
  <c r="IE813" i="5"/>
  <c r="IE1078" i="5" s="1"/>
  <c r="JD813" i="5"/>
  <c r="JD1078" i="5" s="1"/>
  <c r="DJ1249" i="5"/>
  <c r="G906" i="5"/>
  <c r="G1085" i="5" s="1"/>
  <c r="G1075" i="5"/>
  <c r="G905" i="5"/>
  <c r="G1084" i="5" s="1"/>
  <c r="DO654" i="5"/>
  <c r="DG653" i="5"/>
  <c r="CN1251" i="5"/>
  <c r="FI1075" i="5"/>
  <c r="CV653" i="5"/>
  <c r="JA1086" i="5"/>
  <c r="CG1232" i="5"/>
  <c r="DF653" i="5"/>
  <c r="CH653" i="5"/>
  <c r="DD1095" i="5"/>
  <c r="ID803" i="5"/>
  <c r="Y1109" i="2" s="1"/>
  <c r="AP1403" i="2" s="1"/>
  <c r="AP1492" i="2" s="1"/>
  <c r="JD1097" i="5"/>
  <c r="DG715" i="5"/>
  <c r="EF552" i="5"/>
  <c r="EF550" i="5" s="1"/>
  <c r="FI905" i="5"/>
  <c r="FI1084" i="5" s="1"/>
  <c r="DO724" i="5"/>
  <c r="G731" i="5"/>
  <c r="E106" i="7"/>
  <c r="DF550" i="5"/>
  <c r="DF714" i="5" s="1"/>
  <c r="CW715" i="5"/>
  <c r="IC813" i="5"/>
  <c r="AE1977" i="2"/>
  <c r="AE1951" i="2"/>
  <c r="DG716" i="5"/>
  <c r="DG1233" i="5"/>
  <c r="EJ654" i="5"/>
  <c r="AA463" i="2"/>
  <c r="N925" i="5"/>
  <c r="N1091" i="5" s="1"/>
  <c r="N1075" i="5"/>
  <c r="Y1380" i="2"/>
  <c r="Y1388" i="2" s="1"/>
  <c r="AG905" i="5"/>
  <c r="AG1084" i="5" s="1"/>
  <c r="AG924" i="5"/>
  <c r="AG1075" i="5"/>
  <c r="AG906" i="5"/>
  <c r="AG1085" i="5" s="1"/>
  <c r="AG925" i="5"/>
  <c r="AG1091" i="5" s="1"/>
  <c r="DG654" i="5"/>
  <c r="DJ1238" i="5"/>
  <c r="IJ1028" i="5"/>
  <c r="AA1353" i="2" s="1"/>
  <c r="DJ588" i="5"/>
  <c r="DJ1241" i="5" s="1"/>
  <c r="AK905" i="5"/>
  <c r="AK1084" i="5" s="1"/>
  <c r="AK906" i="5"/>
  <c r="AK1085" i="5" s="1"/>
  <c r="AK924" i="5"/>
  <c r="AK1075" i="5"/>
  <c r="AK925" i="5"/>
  <c r="AK1091" i="5" s="1"/>
  <c r="U906" i="5"/>
  <c r="U1085" i="5" s="1"/>
  <c r="U924" i="5"/>
  <c r="U1075" i="5"/>
  <c r="U905" i="5"/>
  <c r="U1084" i="5" s="1"/>
  <c r="U925" i="5"/>
  <c r="U1091" i="5" s="1"/>
  <c r="V906" i="5"/>
  <c r="V1085" i="5" s="1"/>
  <c r="V924" i="5"/>
  <c r="V925" i="5"/>
  <c r="V1091" i="5" s="1"/>
  <c r="V1075" i="5"/>
  <c r="V905" i="5"/>
  <c r="V1084" i="5" s="1"/>
  <c r="C105" i="7"/>
  <c r="IF732" i="5"/>
  <c r="FB1238" i="5"/>
  <c r="FB1078" i="5"/>
  <c r="EJ1238" i="5"/>
  <c r="AD805" i="2"/>
  <c r="AD1610" i="2" s="1"/>
  <c r="ES552" i="5"/>
  <c r="FU1241" i="5"/>
  <c r="AD857" i="2"/>
  <c r="JH755" i="5"/>
  <c r="AI1061" i="2" s="1"/>
  <c r="FP1249" i="5"/>
  <c r="FP1241" i="5" s="1"/>
  <c r="FM1241" i="5"/>
  <c r="G924" i="5"/>
  <c r="G925" i="5"/>
  <c r="G1091" i="5" s="1"/>
  <c r="Q905" i="5"/>
  <c r="Q1084" i="5" s="1"/>
  <c r="Q906" i="5"/>
  <c r="Q1085" i="5" s="1"/>
  <c r="Q1075" i="5"/>
  <c r="Q925" i="5"/>
  <c r="Q1091" i="5" s="1"/>
  <c r="Q924" i="5"/>
  <c r="AC1075" i="5"/>
  <c r="AC906" i="5"/>
  <c r="AC1085" i="5" s="1"/>
  <c r="AC925" i="5"/>
  <c r="AC1091" i="5" s="1"/>
  <c r="AC905" i="5"/>
  <c r="AC1084" i="5" s="1"/>
  <c r="AC924" i="5"/>
  <c r="Z731" i="5"/>
  <c r="Z665" i="5"/>
  <c r="Z737" i="5" s="1"/>
  <c r="IF947" i="5"/>
  <c r="Z1686" i="2"/>
  <c r="Z1685" i="2" s="1"/>
  <c r="IG948" i="5"/>
  <c r="Z1269" i="2" s="1"/>
  <c r="IF1093" i="5"/>
  <c r="I924" i="5"/>
  <c r="I1075" i="5"/>
  <c r="I925" i="5"/>
  <c r="I1091" i="5" s="1"/>
  <c r="I906" i="5"/>
  <c r="I1085" i="5" s="1"/>
  <c r="I905" i="5"/>
  <c r="I1084" i="5" s="1"/>
  <c r="CV754" i="5"/>
  <c r="N924" i="5"/>
  <c r="N1041" i="5" s="1"/>
  <c r="N1098" i="5" s="1"/>
  <c r="IG803" i="5"/>
  <c r="Z1109" i="2" s="1"/>
  <c r="AQ1403" i="2" s="1"/>
  <c r="AQ1492" i="2" s="1"/>
  <c r="IH553" i="5"/>
  <c r="D8" i="7" s="1"/>
  <c r="IR553" i="5"/>
  <c r="O8" i="7" s="1"/>
  <c r="IK907" i="5"/>
  <c r="IE746" i="5"/>
  <c r="Z924" i="5"/>
  <c r="Z1041" i="5" s="1"/>
  <c r="Z1098" i="5" s="1"/>
  <c r="FH1078" i="5"/>
  <c r="ER588" i="5"/>
  <c r="ER658" i="5" s="1"/>
  <c r="ER665" i="5" s="1"/>
  <c r="DF652" i="5"/>
  <c r="AI925" i="5"/>
  <c r="AI1091" i="5" s="1"/>
  <c r="E51" i="7"/>
  <c r="DU653" i="5"/>
  <c r="FB932" i="5"/>
  <c r="IJ818" i="5"/>
  <c r="AA1124" i="2" s="1"/>
  <c r="BT657" i="5"/>
  <c r="AD472" i="2"/>
  <c r="AE459" i="2"/>
  <c r="AH667" i="2"/>
  <c r="X14" i="19"/>
  <c r="AA14" i="19" s="1"/>
  <c r="AD584" i="2"/>
  <c r="AH1408" i="2"/>
  <c r="AH1497" i="2" s="1"/>
  <c r="AK1317" i="2"/>
  <c r="AG1976" i="2"/>
  <c r="AD887" i="2" s="1"/>
  <c r="AR11" i="19"/>
  <c r="AP11" i="19"/>
  <c r="AS11" i="19" s="1"/>
  <c r="AG1396" i="2"/>
  <c r="AG1485" i="2" s="1"/>
  <c r="AR14" i="19"/>
  <c r="AP14" i="19"/>
  <c r="AS14" i="19" s="1"/>
  <c r="AL1242" i="2"/>
  <c r="IX675" i="5"/>
  <c r="R119" i="7" s="1"/>
  <c r="AC690" i="2"/>
  <c r="AH1373" i="2"/>
  <c r="Q14" i="19"/>
  <c r="AI11" i="19"/>
  <c r="AG11" i="19"/>
  <c r="AJ11" i="19" s="1"/>
  <c r="AH668" i="2"/>
  <c r="AI667" i="2"/>
  <c r="IW559" i="5"/>
  <c r="IX559" i="5" s="1"/>
  <c r="AI584" i="2"/>
  <c r="Q21" i="19"/>
  <c r="AD690" i="2"/>
  <c r="AL1136" i="2"/>
  <c r="AF1701" i="2"/>
  <c r="AF1705" i="2" s="1"/>
  <c r="AK1187" i="2"/>
  <c r="AJ1427" i="2"/>
  <c r="AJ1516" i="2" s="1"/>
  <c r="Z477" i="2"/>
  <c r="Z682" i="2"/>
  <c r="AI1942" i="2"/>
  <c r="D44" i="19"/>
  <c r="AI1417" i="2"/>
  <c r="AI1506" i="2" s="1"/>
  <c r="D20" i="19"/>
  <c r="F103" i="19"/>
  <c r="E103" i="19"/>
  <c r="G103" i="19" s="1"/>
  <c r="D27" i="19"/>
  <c r="AI424" i="2"/>
  <c r="D25" i="19"/>
  <c r="F74" i="19"/>
  <c r="E74" i="19"/>
  <c r="G74" i="19" s="1"/>
  <c r="AA476" i="2"/>
  <c r="D22" i="19"/>
  <c r="F106" i="19"/>
  <c r="E106" i="19"/>
  <c r="G106" i="19" s="1"/>
  <c r="AI1946" i="2"/>
  <c r="D56" i="19"/>
  <c r="AI1432" i="2"/>
  <c r="AI1521" i="2" s="1"/>
  <c r="Z1433" i="2"/>
  <c r="Z1522" i="2" s="1"/>
  <c r="AI1397" i="2"/>
  <c r="AI1486" i="2" s="1"/>
  <c r="D6" i="19"/>
  <c r="AJ1652" i="2"/>
  <c r="AG566" i="2"/>
  <c r="Q39" i="19"/>
  <c r="P77" i="19"/>
  <c r="R77" i="19" s="1"/>
  <c r="AH1746" i="2"/>
  <c r="AD516" i="2"/>
  <c r="AC1521" i="2"/>
  <c r="Z690" i="2"/>
  <c r="AH1417" i="2"/>
  <c r="AH1506" i="2" s="1"/>
  <c r="AF661" i="2"/>
  <c r="AL1130" i="2"/>
  <c r="JQ824" i="5" s="1"/>
  <c r="AK1413" i="2"/>
  <c r="AK1502" i="2" s="1"/>
  <c r="Z1689" i="2"/>
  <c r="Z1814" i="2" s="1"/>
  <c r="Z1810" i="2" s="1"/>
  <c r="AD832" i="2"/>
  <c r="AH1946" i="2"/>
  <c r="Y455" i="2"/>
  <c r="AH1689" i="2"/>
  <c r="AA818" i="2"/>
  <c r="AA385" i="2" s="1"/>
  <c r="Z689" i="2"/>
  <c r="Z1802" i="2"/>
  <c r="Z1808" i="2" s="1"/>
  <c r="AG1701" i="2"/>
  <c r="AG1705" i="2" s="1"/>
  <c r="Z679" i="2"/>
  <c r="Z680" i="2"/>
  <c r="Y456" i="2"/>
  <c r="AD569" i="2"/>
  <c r="AD570" i="2" s="1"/>
  <c r="CO724" i="5"/>
  <c r="AB573" i="2"/>
  <c r="AB574" i="2" s="1"/>
  <c r="AF464" i="2"/>
  <c r="AF465" i="2" s="1"/>
  <c r="IU887" i="5"/>
  <c r="IU889" i="5" s="1"/>
  <c r="IV889" i="5" s="1"/>
  <c r="IV886" i="5"/>
  <c r="ER667" i="5"/>
  <c r="ER1254" i="5"/>
  <c r="F906" i="5"/>
  <c r="F1085" i="5" s="1"/>
  <c r="F905" i="5"/>
  <c r="F1084" i="5" s="1"/>
  <c r="F925" i="5"/>
  <c r="F1091" i="5" s="1"/>
  <c r="F1075" i="5"/>
  <c r="F924" i="5"/>
  <c r="DC716" i="5"/>
  <c r="DC1233" i="5"/>
  <c r="AA489" i="2"/>
  <c r="AA488" i="2"/>
  <c r="AI1411" i="2"/>
  <c r="AI1500" i="2" s="1"/>
  <c r="CO652" i="5"/>
  <c r="K57" i="7"/>
  <c r="CO1242" i="5"/>
  <c r="IQ681" i="5"/>
  <c r="N125" i="7" s="1"/>
  <c r="CG653" i="5"/>
  <c r="IV814" i="5"/>
  <c r="AE1120" i="2" s="1"/>
  <c r="AI665" i="5"/>
  <c r="AI737" i="5" s="1"/>
  <c r="IU890" i="5"/>
  <c r="IS696" i="5"/>
  <c r="AD1749" i="2"/>
  <c r="AD1692" i="2"/>
  <c r="CO653" i="5"/>
  <c r="CI1238" i="5"/>
  <c r="AV1041" i="5"/>
  <c r="AV1098" i="5" s="1"/>
  <c r="CG652" i="5"/>
  <c r="IB1056" i="5"/>
  <c r="IB1065" i="5" s="1"/>
  <c r="IS818" i="5"/>
  <c r="AD1124" i="2" s="1"/>
  <c r="AH464" i="2"/>
  <c r="AH465" i="2" s="1"/>
  <c r="DX1254" i="5"/>
  <c r="DX667" i="5"/>
  <c r="IM1028" i="5"/>
  <c r="AB1353" i="2" s="1"/>
  <c r="N138" i="7"/>
  <c r="IQ705" i="5"/>
  <c r="BB714" i="5"/>
  <c r="BB657" i="5"/>
  <c r="AI1910" i="2"/>
  <c r="AS925" i="5"/>
  <c r="AS1091" i="5" s="1"/>
  <c r="AS906" i="5"/>
  <c r="AS1085" i="5" s="1"/>
  <c r="AS924" i="5"/>
  <c r="AS1075" i="5"/>
  <c r="AS905" i="5"/>
  <c r="AS1084" i="5" s="1"/>
  <c r="DY1254" i="5"/>
  <c r="DY667" i="5"/>
  <c r="CG654" i="5"/>
  <c r="IM814" i="5"/>
  <c r="AB1120" i="2" s="1"/>
  <c r="ID993" i="5"/>
  <c r="Y1319" i="2" s="1"/>
  <c r="Y1696" i="2" s="1"/>
  <c r="IM560" i="5"/>
  <c r="Y688" i="2"/>
  <c r="Y689" i="2"/>
  <c r="CW719" i="5"/>
  <c r="CW1238" i="5"/>
  <c r="CW550" i="5"/>
  <c r="CW714" i="5" s="1"/>
  <c r="AT905" i="5"/>
  <c r="AT1084" i="5" s="1"/>
  <c r="AT1075" i="5"/>
  <c r="Y1501" i="2"/>
  <c r="Y1411" i="2"/>
  <c r="Y1500" i="2" s="1"/>
  <c r="AE714" i="5"/>
  <c r="AE657" i="5"/>
  <c r="X405" i="2"/>
  <c r="X714" i="2" s="1"/>
  <c r="CS1242" i="5"/>
  <c r="CS724" i="5"/>
  <c r="IG850" i="5"/>
  <c r="IG1082" i="5" s="1"/>
  <c r="EC588" i="5"/>
  <c r="EC1241" i="5" s="1"/>
  <c r="CG550" i="5"/>
  <c r="CG714" i="5" s="1"/>
  <c r="DE1242" i="5"/>
  <c r="AC598" i="2"/>
  <c r="AC599" i="2"/>
  <c r="DQ742" i="5"/>
  <c r="DQ1254" i="5"/>
  <c r="DQ667" i="5"/>
  <c r="DQ738" i="5" s="1"/>
  <c r="AE485" i="2"/>
  <c r="AE484" i="2"/>
  <c r="DW1254" i="5"/>
  <c r="DW667" i="5"/>
  <c r="BZ905" i="5"/>
  <c r="BZ1084" i="5" s="1"/>
  <c r="BZ906" i="5"/>
  <c r="BZ1085" i="5" s="1"/>
  <c r="BZ1075" i="5"/>
  <c r="BZ924" i="5"/>
  <c r="BZ925" i="5"/>
  <c r="BZ1091" i="5" s="1"/>
  <c r="W924" i="5"/>
  <c r="W905" i="5"/>
  <c r="W1084" i="5" s="1"/>
  <c r="W906" i="5"/>
  <c r="W1085" i="5" s="1"/>
  <c r="W1075" i="5"/>
  <c r="W925" i="5"/>
  <c r="W1091" i="5" s="1"/>
  <c r="H120" i="7"/>
  <c r="AD1402" i="2"/>
  <c r="AD1491" i="2" s="1"/>
  <c r="IM1087" i="5"/>
  <c r="AD688" i="2"/>
  <c r="AE689" i="2"/>
  <c r="AE1929" i="2"/>
  <c r="AE661" i="2"/>
  <c r="AE1424" i="2"/>
  <c r="AE1513" i="2" s="1"/>
  <c r="AH714" i="5"/>
  <c r="AH657" i="5"/>
  <c r="ED1242" i="5"/>
  <c r="IP912" i="5"/>
  <c r="AC1233" i="2" s="1"/>
  <c r="AV730" i="5"/>
  <c r="AV664" i="5"/>
  <c r="AA339" i="2"/>
  <c r="AA621" i="2"/>
  <c r="AF455" i="2"/>
  <c r="AF456" i="2"/>
  <c r="CK1251" i="5"/>
  <c r="CK621" i="5"/>
  <c r="AD689" i="2"/>
  <c r="AC688" i="2"/>
  <c r="EB1254" i="5"/>
  <c r="EB667" i="5"/>
  <c r="FE1096" i="5"/>
  <c r="IU988" i="5"/>
  <c r="R714" i="5"/>
  <c r="R657" i="5"/>
  <c r="AC463" i="2"/>
  <c r="AC464" i="2"/>
  <c r="CP719" i="5"/>
  <c r="CP1238" i="5"/>
  <c r="DS1249" i="5"/>
  <c r="DS726" i="5"/>
  <c r="IR891" i="5"/>
  <c r="IR892" i="5" s="1"/>
  <c r="AK657" i="5"/>
  <c r="AK714" i="5"/>
  <c r="CA657" i="5"/>
  <c r="CA730" i="5" s="1"/>
  <c r="CK1238" i="5"/>
  <c r="CK719" i="5"/>
  <c r="Z459" i="2"/>
  <c r="Z460" i="2"/>
  <c r="AE560" i="2"/>
  <c r="AE561" i="2"/>
  <c r="CW724" i="5"/>
  <c r="CW652" i="5"/>
  <c r="CW654" i="5"/>
  <c r="CW1242" i="5"/>
  <c r="CW653" i="5"/>
  <c r="IR887" i="5"/>
  <c r="IR889" i="5" s="1"/>
  <c r="IS889" i="5" s="1"/>
  <c r="IS886" i="5"/>
  <c r="AD1694" i="2"/>
  <c r="IS993" i="5"/>
  <c r="AD1319" i="2" s="1"/>
  <c r="AD1696" i="2" s="1"/>
  <c r="IP1019" i="5"/>
  <c r="IP1097" i="5" s="1"/>
  <c r="Y576" i="2"/>
  <c r="Y577" i="2"/>
  <c r="EX1254" i="5"/>
  <c r="EX667" i="5"/>
  <c r="CS719" i="5"/>
  <c r="CS1238" i="5"/>
  <c r="BA714" i="5"/>
  <c r="BA657" i="5"/>
  <c r="AF714" i="5"/>
  <c r="AF657" i="5"/>
  <c r="AE586" i="2"/>
  <c r="AF674" i="2"/>
  <c r="DW652" i="5"/>
  <c r="AB906" i="5"/>
  <c r="AB1085" i="5" s="1"/>
  <c r="DJ1242" i="5"/>
  <c r="FV1232" i="5"/>
  <c r="Y569" i="2"/>
  <c r="Y568" i="2"/>
  <c r="LA665" i="5"/>
  <c r="LA737" i="5" s="1"/>
  <c r="LA731" i="5"/>
  <c r="T730" i="5"/>
  <c r="T664" i="5"/>
  <c r="AA455" i="2"/>
  <c r="AA456" i="2"/>
  <c r="AN1730" i="2"/>
  <c r="FS1249" i="5"/>
  <c r="FS1241" i="5" s="1"/>
  <c r="LB723" i="5"/>
  <c r="LB658" i="5"/>
  <c r="AB455" i="2"/>
  <c r="AB456" i="2"/>
  <c r="ES1254" i="5"/>
  <c r="ES667" i="5"/>
  <c r="EW667" i="5"/>
  <c r="JF813" i="5"/>
  <c r="II717" i="5"/>
  <c r="F24" i="7"/>
  <c r="Z464" i="2"/>
  <c r="Z463" i="2"/>
  <c r="CS1232" i="5"/>
  <c r="CS653" i="5"/>
  <c r="CS654" i="5"/>
  <c r="CS550" i="5"/>
  <c r="CS714" i="5" s="1"/>
  <c r="CS715" i="5"/>
  <c r="CS652" i="5"/>
  <c r="EL588" i="5"/>
  <c r="FA1232" i="5"/>
  <c r="ID908" i="5"/>
  <c r="ID1087" i="5" s="1"/>
  <c r="H106" i="7"/>
  <c r="AC489" i="2"/>
  <c r="IF891" i="5"/>
  <c r="IF892" i="5" s="1"/>
  <c r="IO1027" i="5"/>
  <c r="IP1027" i="5" s="1"/>
  <c r="AC1352" i="2" s="1"/>
  <c r="AW736" i="5"/>
  <c r="AW667" i="5"/>
  <c r="BN657" i="5"/>
  <c r="BN714" i="5"/>
  <c r="AP665" i="5"/>
  <c r="AP737" i="5" s="1"/>
  <c r="AP731" i="5"/>
  <c r="FV906" i="5"/>
  <c r="FV1085" i="5" s="1"/>
  <c r="DT726" i="5"/>
  <c r="DT1249" i="5"/>
  <c r="AA977" i="2"/>
  <c r="AA1027" i="2" s="1"/>
  <c r="AA1593" i="2"/>
  <c r="AB1749" i="2"/>
  <c r="AB1692" i="2"/>
  <c r="EZ1254" i="5"/>
  <c r="EZ1256" i="5" s="1"/>
  <c r="EY1249" i="5"/>
  <c r="EY1241" i="5" s="1"/>
  <c r="G15" i="7"/>
  <c r="IP1079" i="5"/>
  <c r="CU1249" i="5"/>
  <c r="CU726" i="5"/>
  <c r="AF1090" i="5"/>
  <c r="AF1041" i="5"/>
  <c r="AF1098" i="5" s="1"/>
  <c r="W665" i="5"/>
  <c r="W737" i="5" s="1"/>
  <c r="W731" i="5"/>
  <c r="EX590" i="5"/>
  <c r="EX652" i="5" s="1"/>
  <c r="EQ552" i="5"/>
  <c r="EQ654" i="5" s="1"/>
  <c r="EQ1233" i="5"/>
  <c r="DQ1242" i="5"/>
  <c r="DQ724" i="5"/>
  <c r="AL665" i="5"/>
  <c r="AL737" i="5" s="1"/>
  <c r="AL731" i="5"/>
  <c r="AJ906" i="5"/>
  <c r="AJ1085" i="5" s="1"/>
  <c r="AJ924" i="5"/>
  <c r="IK1208" i="5"/>
  <c r="JF1056" i="5"/>
  <c r="JF1065" i="5" s="1"/>
  <c r="IP908" i="5"/>
  <c r="AC1229" i="2" s="1"/>
  <c r="AC1438" i="2" s="1"/>
  <c r="DO726" i="5"/>
  <c r="DO1249" i="5"/>
  <c r="AC455" i="2"/>
  <c r="AC456" i="2"/>
  <c r="AC457" i="2" s="1"/>
  <c r="DB1232" i="5"/>
  <c r="DB550" i="5"/>
  <c r="DB714" i="5" s="1"/>
  <c r="DB715" i="5"/>
  <c r="AC570" i="2"/>
  <c r="DV588" i="5"/>
  <c r="DV1241" i="5" s="1"/>
  <c r="AB568" i="2"/>
  <c r="IX988" i="5"/>
  <c r="FT1096" i="5"/>
  <c r="BX1075" i="5"/>
  <c r="BX925" i="5"/>
  <c r="BX1091" i="5" s="1"/>
  <c r="BX906" i="5"/>
  <c r="BX1085" i="5" s="1"/>
  <c r="BX905" i="5"/>
  <c r="BX1084" i="5" s="1"/>
  <c r="BX924" i="5"/>
  <c r="CZ1078" i="5"/>
  <c r="DJ1232" i="5"/>
  <c r="DJ550" i="5"/>
  <c r="DJ714" i="5" s="1"/>
  <c r="DJ715" i="5"/>
  <c r="BE731" i="5"/>
  <c r="BE665" i="5"/>
  <c r="BE737" i="5" s="1"/>
  <c r="BQ657" i="5"/>
  <c r="BQ714" i="5"/>
  <c r="AC477" i="2"/>
  <c r="AC476" i="2"/>
  <c r="AA1828" i="2"/>
  <c r="DO1096" i="5"/>
  <c r="DO1095" i="5"/>
  <c r="IK988" i="5"/>
  <c r="IM988" i="5" s="1"/>
  <c r="IM1096" i="5" s="1"/>
  <c r="EJ588" i="5"/>
  <c r="EJ1241" i="5" s="1"/>
  <c r="IE1027" i="5"/>
  <c r="IG1027" i="5" s="1"/>
  <c r="Z1352" i="2" s="1"/>
  <c r="ID912" i="5"/>
  <c r="ID1088" i="5" s="1"/>
  <c r="BS714" i="5"/>
  <c r="BS657" i="5"/>
  <c r="AH518" i="2"/>
  <c r="AH519" i="2"/>
  <c r="DM588" i="5"/>
  <c r="DM724" i="5"/>
  <c r="DM1242" i="5"/>
  <c r="IF887" i="5"/>
  <c r="IF888" i="5" s="1"/>
  <c r="DG1086" i="5"/>
  <c r="AP730" i="5"/>
  <c r="AP664" i="5"/>
  <c r="CM724" i="5"/>
  <c r="CM1242" i="5"/>
  <c r="BB731" i="5"/>
  <c r="BB665" i="5"/>
  <c r="BB737" i="5" s="1"/>
  <c r="DJ652" i="5"/>
  <c r="P86" i="7"/>
  <c r="AD846" i="2"/>
  <c r="BJ714" i="5"/>
  <c r="JG850" i="5"/>
  <c r="JG906" i="5" s="1"/>
  <c r="BJ665" i="5"/>
  <c r="BJ737" i="5" s="1"/>
  <c r="CI550" i="5"/>
  <c r="CI714" i="5" s="1"/>
  <c r="IV1028" i="5"/>
  <c r="AE1353" i="2" s="1"/>
  <c r="IS947" i="5"/>
  <c r="AD1268" i="2" s="1"/>
  <c r="EQ905" i="5"/>
  <c r="EQ924" i="5" s="1"/>
  <c r="EQ1090" i="5" s="1"/>
  <c r="AR731" i="5"/>
  <c r="AR665" i="5"/>
  <c r="AR737" i="5" s="1"/>
  <c r="EC1078" i="5"/>
  <c r="EC932" i="5"/>
  <c r="AB681" i="2"/>
  <c r="AE1422" i="2"/>
  <c r="AE647" i="2"/>
  <c r="AE1925" i="2"/>
  <c r="P92" i="7"/>
  <c r="AD855" i="2"/>
  <c r="DP1019" i="5"/>
  <c r="IK1027" i="5"/>
  <c r="IM1027" i="5" s="1"/>
  <c r="AB1352" i="2" s="1"/>
  <c r="AO731" i="5"/>
  <c r="AO665" i="5"/>
  <c r="AO737" i="5" s="1"/>
  <c r="IO894" i="5"/>
  <c r="IW907" i="5"/>
  <c r="IW1057" i="5" s="1"/>
  <c r="IW1055" i="5" s="1"/>
  <c r="IW1063" i="5" s="1"/>
  <c r="AG1464" i="2"/>
  <c r="AG1688" i="2"/>
  <c r="EL667" i="5"/>
  <c r="CU715" i="5"/>
  <c r="FD905" i="5"/>
  <c r="FD1084" i="5" s="1"/>
  <c r="JE818" i="5"/>
  <c r="AH1124" i="2" s="1"/>
  <c r="AJ905" i="5"/>
  <c r="AJ1084" i="5" s="1"/>
  <c r="DJ724" i="5"/>
  <c r="AH1431" i="2"/>
  <c r="AH1520" i="2" s="1"/>
  <c r="AH665" i="2"/>
  <c r="IC894" i="5"/>
  <c r="ID894" i="5" s="1"/>
  <c r="ID1019" i="5"/>
  <c r="CQ1249" i="5"/>
  <c r="CQ726" i="5"/>
  <c r="CU550" i="5"/>
  <c r="CU714" i="5" s="1"/>
  <c r="LB1041" i="5"/>
  <c r="LB1098" i="5" s="1"/>
  <c r="AD1685" i="2"/>
  <c r="EJ653" i="5"/>
  <c r="FD906" i="5"/>
  <c r="DB654" i="5"/>
  <c r="AJ925" i="5"/>
  <c r="AJ1091" i="5" s="1"/>
  <c r="IV803" i="5"/>
  <c r="AE1109" i="2" s="1"/>
  <c r="CV1242" i="5"/>
  <c r="CV724" i="5"/>
  <c r="EC667" i="5"/>
  <c r="BD1075" i="5"/>
  <c r="BD906" i="5"/>
  <c r="BD1085" i="5" s="1"/>
  <c r="BD905" i="5"/>
  <c r="BD1084" i="5" s="1"/>
  <c r="BD925" i="5"/>
  <c r="BD1091" i="5" s="1"/>
  <c r="BD924" i="5"/>
  <c r="BU664" i="5"/>
  <c r="BU730" i="5"/>
  <c r="AF1902" i="2"/>
  <c r="FV905" i="5"/>
  <c r="FV924" i="5" s="1"/>
  <c r="BR731" i="5"/>
  <c r="BR665" i="5"/>
  <c r="BR737" i="5" s="1"/>
  <c r="CX550" i="5"/>
  <c r="CX714" i="5" s="1"/>
  <c r="CU1232" i="5"/>
  <c r="DY1075" i="5"/>
  <c r="DY905" i="5"/>
  <c r="DY906" i="5"/>
  <c r="P665" i="5"/>
  <c r="P737" i="5" s="1"/>
  <c r="P731" i="5"/>
  <c r="AI666" i="2"/>
  <c r="CU654" i="5"/>
  <c r="EJ652" i="5"/>
  <c r="DB652" i="5"/>
  <c r="AD826" i="2"/>
  <c r="AD1620" i="2" s="1"/>
  <c r="AH1978" i="2"/>
  <c r="IF683" i="5"/>
  <c r="C127" i="7" s="1"/>
  <c r="FK1086" i="5"/>
  <c r="DH654" i="5"/>
  <c r="DH653" i="5"/>
  <c r="DH652" i="5"/>
  <c r="CG1251" i="5"/>
  <c r="CG621" i="5"/>
  <c r="AF1904" i="2"/>
  <c r="AF1399" i="2"/>
  <c r="AF1488" i="2" s="1"/>
  <c r="M731" i="5"/>
  <c r="M665" i="5"/>
  <c r="M737" i="5" s="1"/>
  <c r="DJ654" i="5"/>
  <c r="IM993" i="5"/>
  <c r="AB1319" i="2" s="1"/>
  <c r="AB1696" i="2" s="1"/>
  <c r="AA1695" i="2"/>
  <c r="AA1693" i="2" s="1"/>
  <c r="AA1815" i="2" s="1"/>
  <c r="AA1810" i="2" s="1"/>
  <c r="E129" i="7"/>
  <c r="CU652" i="5"/>
  <c r="CX653" i="5"/>
  <c r="ED667" i="5"/>
  <c r="AA1604" i="2"/>
  <c r="AB367" i="2"/>
  <c r="AB372" i="2" s="1"/>
  <c r="AA363" i="2"/>
  <c r="AA646" i="2"/>
  <c r="AA364" i="2"/>
  <c r="AA365" i="2"/>
  <c r="AA367" i="2"/>
  <c r="AA372" i="2" s="1"/>
  <c r="Y731" i="5"/>
  <c r="Y665" i="5"/>
  <c r="Y737" i="5" s="1"/>
  <c r="CG719" i="5"/>
  <c r="CG1238" i="5"/>
  <c r="AE440" i="2"/>
  <c r="AE439" i="2"/>
  <c r="M657" i="5"/>
  <c r="M714" i="5"/>
  <c r="Z1411" i="2"/>
  <c r="Z1500" i="2" s="1"/>
  <c r="AA682" i="2"/>
  <c r="AH472" i="2"/>
  <c r="AH473" i="2"/>
  <c r="AI473" i="2" s="1"/>
  <c r="AJ473" i="2" s="1"/>
  <c r="JH947" i="5"/>
  <c r="AI1268" i="2" s="1"/>
  <c r="DO588" i="5"/>
  <c r="DO658" i="5" s="1"/>
  <c r="DO731" i="5" s="1"/>
  <c r="DQ654" i="5"/>
  <c r="ET550" i="5"/>
  <c r="ET1232" i="5"/>
  <c r="BV731" i="5"/>
  <c r="BV665" i="5"/>
  <c r="BV737" i="5" s="1"/>
  <c r="CX715" i="5"/>
  <c r="CX1232" i="5"/>
  <c r="CX652" i="5"/>
  <c r="AA1802" i="2"/>
  <c r="DT1238" i="5"/>
  <c r="DT719" i="5"/>
  <c r="IP1080" i="5"/>
  <c r="AA979" i="2"/>
  <c r="AA1613" i="2"/>
  <c r="JE814" i="5"/>
  <c r="AH1120" i="2" s="1"/>
  <c r="DQ653" i="5"/>
  <c r="DQ588" i="5"/>
  <c r="DQ658" i="5" s="1"/>
  <c r="DQ731" i="5" s="1"/>
  <c r="IL888" i="5"/>
  <c r="IM888" i="5" s="1"/>
  <c r="IM887" i="5"/>
  <c r="CP724" i="5"/>
  <c r="CP1242" i="5"/>
  <c r="E665" i="5"/>
  <c r="E737" i="5" s="1"/>
  <c r="E731" i="5"/>
  <c r="DB653" i="5"/>
  <c r="AC561" i="2"/>
  <c r="AC560" i="2"/>
  <c r="EJ1097" i="5"/>
  <c r="BE664" i="5"/>
  <c r="BE730" i="5"/>
  <c r="AA1433" i="2"/>
  <c r="AA1522" i="2" s="1"/>
  <c r="AA679" i="2"/>
  <c r="AA680" i="2"/>
  <c r="AA681" i="2"/>
  <c r="EA588" i="5"/>
  <c r="EA658" i="5" s="1"/>
  <c r="EA665" i="5" s="1"/>
  <c r="AJ1075" i="5"/>
  <c r="AA472" i="2"/>
  <c r="AA473" i="2"/>
  <c r="AA474" i="2" s="1"/>
  <c r="CT1249" i="5"/>
  <c r="CT726" i="5"/>
  <c r="K90" i="7"/>
  <c r="IS560" i="5"/>
  <c r="P15" i="7" s="1"/>
  <c r="FR1232" i="5"/>
  <c r="DJ653" i="5"/>
  <c r="CZ1238" i="5"/>
  <c r="CZ719" i="5"/>
  <c r="CZ550" i="5"/>
  <c r="CZ714" i="5" s="1"/>
  <c r="AD917" i="2"/>
  <c r="P139" i="7"/>
  <c r="IV947" i="5"/>
  <c r="AE1268" i="2" s="1"/>
  <c r="IY912" i="5"/>
  <c r="BU665" i="5"/>
  <c r="BU737" i="5" s="1"/>
  <c r="BU731" i="5"/>
  <c r="LA714" i="5"/>
  <c r="LA657" i="5"/>
  <c r="BZ731" i="5"/>
  <c r="BZ665" i="5"/>
  <c r="BZ737" i="5" s="1"/>
  <c r="IE888" i="5"/>
  <c r="D138" i="7"/>
  <c r="IJ696" i="5"/>
  <c r="IH695" i="5"/>
  <c r="IH746" i="5"/>
  <c r="BB905" i="5"/>
  <c r="BB1084" i="5" s="1"/>
  <c r="BB906" i="5"/>
  <c r="BB1085" i="5" s="1"/>
  <c r="BB1075" i="5"/>
  <c r="BB925" i="5"/>
  <c r="BB1091" i="5" s="1"/>
  <c r="BB924" i="5"/>
  <c r="BL664" i="5"/>
  <c r="BL730" i="5"/>
  <c r="BN731" i="5"/>
  <c r="BN665" i="5"/>
  <c r="BN737" i="5" s="1"/>
  <c r="EF1078" i="5"/>
  <c r="IN813" i="5"/>
  <c r="F28" i="7"/>
  <c r="II719" i="5"/>
  <c r="E730" i="5"/>
  <c r="E664" i="5"/>
  <c r="DS719" i="5"/>
  <c r="DS1238" i="5"/>
  <c r="AD649" i="2"/>
  <c r="AD654" i="2" s="1"/>
  <c r="AD647" i="2"/>
  <c r="AE649" i="2"/>
  <c r="AE654" i="2" s="1"/>
  <c r="AD1422" i="2"/>
  <c r="DE1232" i="5"/>
  <c r="DE715" i="5"/>
  <c r="DE653" i="5"/>
  <c r="DE652" i="5"/>
  <c r="DE654" i="5"/>
  <c r="P18" i="7"/>
  <c r="AD756" i="2"/>
  <c r="FB1232" i="5"/>
  <c r="FO1095" i="5"/>
  <c r="FO1254" i="5"/>
  <c r="FO1256" i="5" s="1"/>
  <c r="FF906" i="5"/>
  <c r="FF905" i="5"/>
  <c r="FF1075" i="5"/>
  <c r="BZ714" i="5"/>
  <c r="BZ657" i="5"/>
  <c r="AX1041" i="5"/>
  <c r="AX1098" i="5" s="1"/>
  <c r="AX1090" i="5"/>
  <c r="DW653" i="5"/>
  <c r="AA1498" i="2"/>
  <c r="DS1242" i="5"/>
  <c r="DS724" i="5"/>
  <c r="DS588" i="5"/>
  <c r="EE1249" i="5"/>
  <c r="EE588" i="5"/>
  <c r="IS912" i="5"/>
  <c r="AG1469" i="2"/>
  <c r="AG1890" i="2"/>
  <c r="P62" i="7"/>
  <c r="AD819" i="2"/>
  <c r="IP814" i="5"/>
  <c r="AC1120" i="2" s="1"/>
  <c r="CA1090" i="5"/>
  <c r="CA1041" i="5"/>
  <c r="CA1098" i="5" s="1"/>
  <c r="Y1125" i="2"/>
  <c r="Y1409" i="2" s="1"/>
  <c r="ID1079" i="5"/>
  <c r="P63" i="7"/>
  <c r="AD820" i="2"/>
  <c r="DZ621" i="5"/>
  <c r="DZ1249" i="5" s="1"/>
  <c r="DZ1251" i="5"/>
  <c r="AC665" i="5"/>
  <c r="AC737" i="5" s="1"/>
  <c r="AC731" i="5"/>
  <c r="LA1090" i="5"/>
  <c r="LA1041" i="5"/>
  <c r="LA1098" i="5" s="1"/>
  <c r="BX714" i="5"/>
  <c r="BX657" i="5"/>
  <c r="AU714" i="5"/>
  <c r="AU657" i="5"/>
  <c r="CH588" i="5"/>
  <c r="CH1249" i="5"/>
  <c r="CH726" i="5"/>
  <c r="IE891" i="5"/>
  <c r="IG890" i="5"/>
  <c r="IG908" i="5"/>
  <c r="IG1087" i="5" s="1"/>
  <c r="BY731" i="5"/>
  <c r="BY665" i="5"/>
  <c r="BY737" i="5" s="1"/>
  <c r="FT1086" i="5"/>
  <c r="IX907" i="5"/>
  <c r="AA915" i="2"/>
  <c r="AA983" i="2" s="1"/>
  <c r="AA1612" i="2"/>
  <c r="AB440" i="2"/>
  <c r="AB439" i="2"/>
  <c r="IY908" i="5"/>
  <c r="DP621" i="5"/>
  <c r="DP1251" i="5"/>
  <c r="EG550" i="5"/>
  <c r="EG654" i="5"/>
  <c r="EG653" i="5"/>
  <c r="EG1232" i="5"/>
  <c r="EG652" i="5"/>
  <c r="IE552" i="5"/>
  <c r="Z1040" i="2" s="1"/>
  <c r="IS582" i="5"/>
  <c r="IS721" i="5" s="1"/>
  <c r="CN1249" i="5"/>
  <c r="CN726" i="5"/>
  <c r="P13" i="7"/>
  <c r="AD751" i="2"/>
  <c r="AA948" i="2"/>
  <c r="AA1047" i="2" s="1"/>
  <c r="AA921" i="2"/>
  <c r="IJ701" i="5" s="1"/>
  <c r="AA763" i="2"/>
  <c r="L665" i="5"/>
  <c r="L737" i="5" s="1"/>
  <c r="L731" i="5"/>
  <c r="DY1242" i="5"/>
  <c r="DY588" i="5"/>
  <c r="DY1241" i="5" s="1"/>
  <c r="IQ1067" i="5"/>
  <c r="EF1086" i="5"/>
  <c r="IN907" i="5"/>
  <c r="II621" i="5"/>
  <c r="G105" i="7"/>
  <c r="H105" i="7" s="1"/>
  <c r="IK732" i="5"/>
  <c r="IG1028" i="5"/>
  <c r="Z1353" i="2" s="1"/>
  <c r="CR1238" i="5"/>
  <c r="CR719" i="5"/>
  <c r="IV912" i="5"/>
  <c r="F730" i="5"/>
  <c r="F664" i="5"/>
  <c r="BP1041" i="5"/>
  <c r="BP1098" i="5" s="1"/>
  <c r="BP1090" i="5"/>
  <c r="IO813" i="5"/>
  <c r="EH932" i="5"/>
  <c r="EH1078" i="5"/>
  <c r="AB378" i="2"/>
  <c r="AA660" i="2"/>
  <c r="AA378" i="2"/>
  <c r="AA377" i="2"/>
  <c r="AA1605" i="2"/>
  <c r="G137" i="7"/>
  <c r="IK681" i="5"/>
  <c r="IK1212" i="5"/>
  <c r="IK1214" i="5" s="1"/>
  <c r="EH1233" i="5"/>
  <c r="EH552" i="5"/>
  <c r="DX1232" i="5"/>
  <c r="DX550" i="5"/>
  <c r="AA390" i="2"/>
  <c r="AA389" i="2"/>
  <c r="AA1620" i="2"/>
  <c r="AB390" i="2"/>
  <c r="KZ723" i="5"/>
  <c r="KZ658" i="5"/>
  <c r="CM1075" i="5"/>
  <c r="CM906" i="5"/>
  <c r="CM905" i="5"/>
  <c r="EW1232" i="5"/>
  <c r="EW550" i="5"/>
  <c r="FO1075" i="5"/>
  <c r="FO906" i="5"/>
  <c r="FO905" i="5"/>
  <c r="AQ1041" i="5"/>
  <c r="AQ1098" i="5" s="1"/>
  <c r="AQ1090" i="5"/>
  <c r="AE1123" i="2"/>
  <c r="IV1080" i="5"/>
  <c r="CX1078" i="5"/>
  <c r="IF813" i="5"/>
  <c r="CX754" i="5"/>
  <c r="CX932" i="5" s="1"/>
  <c r="AA1749" i="2"/>
  <c r="AA1692" i="2"/>
  <c r="N731" i="5"/>
  <c r="N665" i="5"/>
  <c r="N737" i="5" s="1"/>
  <c r="IJ850" i="5"/>
  <c r="AD731" i="5"/>
  <c r="AD665" i="5"/>
  <c r="AD737" i="5" s="1"/>
  <c r="DC550" i="5"/>
  <c r="DC1232" i="5"/>
  <c r="DC715" i="5"/>
  <c r="DC654" i="5"/>
  <c r="DC653" i="5"/>
  <c r="DC652" i="5"/>
  <c r="D82" i="7"/>
  <c r="IH728" i="5"/>
  <c r="IS850" i="5"/>
  <c r="IV908" i="5"/>
  <c r="AB379" i="2"/>
  <c r="BD665" i="5"/>
  <c r="BD737" i="5" s="1"/>
  <c r="BD731" i="5"/>
  <c r="IJ570" i="5"/>
  <c r="IJ717" i="5" s="1"/>
  <c r="D24" i="7"/>
  <c r="E24" i="7" s="1"/>
  <c r="IH717" i="5"/>
  <c r="EI1254" i="5"/>
  <c r="EI667" i="5"/>
  <c r="AF1472" i="2"/>
  <c r="AF1561" i="2" s="1"/>
  <c r="IY676" i="5"/>
  <c r="AF978" i="2"/>
  <c r="AF1028" i="2" s="1"/>
  <c r="L714" i="5"/>
  <c r="L657" i="5"/>
  <c r="CF1078" i="5"/>
  <c r="CF754" i="5"/>
  <c r="CF932" i="5" s="1"/>
  <c r="IB813" i="5"/>
  <c r="P17" i="7"/>
  <c r="AD755" i="2"/>
  <c r="EY905" i="5"/>
  <c r="EY1075" i="5"/>
  <c r="EY906" i="5"/>
  <c r="FE1253" i="5"/>
  <c r="FE1097" i="5"/>
  <c r="IU1019" i="5"/>
  <c r="CT1097" i="5"/>
  <c r="CT987" i="5"/>
  <c r="CT1095" i="5" s="1"/>
  <c r="AS731" i="5"/>
  <c r="AS665" i="5"/>
  <c r="AS737" i="5" s="1"/>
  <c r="DN1097" i="5"/>
  <c r="DN1095" i="5"/>
  <c r="CO1249" i="5"/>
  <c r="CO588" i="5"/>
  <c r="CO726" i="5"/>
  <c r="Z1401" i="2"/>
  <c r="Z1490" i="2" s="1"/>
  <c r="Z607" i="2"/>
  <c r="Y609" i="2"/>
  <c r="AZ731" i="5"/>
  <c r="AZ665" i="5"/>
  <c r="AZ737" i="5" s="1"/>
  <c r="CI1251" i="5"/>
  <c r="CI621" i="5"/>
  <c r="AA1126" i="2"/>
  <c r="AA1410" i="2" s="1"/>
  <c r="AA1499" i="2" s="1"/>
  <c r="IJ1080" i="5"/>
  <c r="AJ731" i="5"/>
  <c r="AJ665" i="5"/>
  <c r="AJ737" i="5" s="1"/>
  <c r="P27" i="7"/>
  <c r="AD766" i="2"/>
  <c r="AD1583" i="2" s="1"/>
  <c r="AG648" i="2"/>
  <c r="AG1875" i="2"/>
  <c r="AG1901" i="2"/>
  <c r="AD1695" i="2"/>
  <c r="IV993" i="5"/>
  <c r="AE1319" i="2" s="1"/>
  <c r="AE1696" i="2" s="1"/>
  <c r="Y1407" i="2"/>
  <c r="IH1019" i="5"/>
  <c r="DE1097" i="5"/>
  <c r="II1019" i="5"/>
  <c r="DI1097" i="5"/>
  <c r="ED654" i="5"/>
  <c r="ED550" i="5"/>
  <c r="ED1232" i="5"/>
  <c r="ED652" i="5"/>
  <c r="ED653" i="5"/>
  <c r="CE1086" i="5"/>
  <c r="IB907" i="5"/>
  <c r="IB1059" i="5" s="1"/>
  <c r="S731" i="5"/>
  <c r="S665" i="5"/>
  <c r="S737" i="5" s="1"/>
  <c r="Z1123" i="2"/>
  <c r="IG1080" i="5"/>
  <c r="BS1041" i="5"/>
  <c r="BS1098" i="5" s="1"/>
  <c r="BS1090" i="5"/>
  <c r="O137" i="7"/>
  <c r="IS695" i="5"/>
  <c r="CF1232" i="5"/>
  <c r="CF652" i="5"/>
  <c r="CF653" i="5"/>
  <c r="CF654" i="5"/>
  <c r="CF715" i="5"/>
  <c r="CF550" i="5"/>
  <c r="BK731" i="5"/>
  <c r="BK665" i="5"/>
  <c r="BK737" i="5" s="1"/>
  <c r="N61" i="7"/>
  <c r="IS614" i="5"/>
  <c r="DW1242" i="5"/>
  <c r="DW588" i="5"/>
  <c r="AD1613" i="2"/>
  <c r="AD1611" i="2" s="1"/>
  <c r="AD979" i="2"/>
  <c r="IG1173" i="5"/>
  <c r="DB1195" i="5"/>
  <c r="DD1196" i="5" s="1"/>
  <c r="AJ664" i="5"/>
  <c r="AJ730" i="5"/>
  <c r="AI1909" i="2"/>
  <c r="AH1726" i="2"/>
  <c r="FU1232" i="5"/>
  <c r="EN905" i="5"/>
  <c r="EN1084" i="5" s="1"/>
  <c r="ER654" i="5"/>
  <c r="ER652" i="5"/>
  <c r="ER653" i="5"/>
  <c r="ER1232" i="5"/>
  <c r="ER550" i="5"/>
  <c r="BV730" i="5"/>
  <c r="BV664" i="5"/>
  <c r="P90" i="7"/>
  <c r="AD853" i="2"/>
  <c r="CL653" i="5"/>
  <c r="CL550" i="5"/>
  <c r="CL1232" i="5"/>
  <c r="CL715" i="5"/>
  <c r="CL652" i="5"/>
  <c r="CL654" i="5"/>
  <c r="K657" i="5"/>
  <c r="K714" i="5"/>
  <c r="ES1086" i="5"/>
  <c r="IR907" i="5"/>
  <c r="EU1254" i="5"/>
  <c r="EU667" i="5"/>
  <c r="IR681" i="5"/>
  <c r="O125" i="7" s="1"/>
  <c r="G115" i="7"/>
  <c r="IK669" i="5"/>
  <c r="IM670" i="5"/>
  <c r="CE715" i="5"/>
  <c r="CE654" i="5"/>
  <c r="CE653" i="5"/>
  <c r="CE1232" i="5"/>
  <c r="CE550" i="5"/>
  <c r="CE652" i="5"/>
  <c r="BK714" i="5"/>
  <c r="BK657" i="5"/>
  <c r="EV1253" i="5"/>
  <c r="IR669" i="5"/>
  <c r="O114" i="7" s="1"/>
  <c r="EV667" i="5"/>
  <c r="II695" i="5"/>
  <c r="DI1256" i="5"/>
  <c r="AD1408" i="2"/>
  <c r="AD1498" i="2"/>
  <c r="IS670" i="5"/>
  <c r="P115" i="7" s="1"/>
  <c r="N115" i="7"/>
  <c r="ES1097" i="5"/>
  <c r="IR1019" i="5"/>
  <c r="AH1398" i="2"/>
  <c r="AH1487" i="2" s="1"/>
  <c r="AI1903" i="2"/>
  <c r="CK654" i="5"/>
  <c r="CK550" i="5"/>
  <c r="CK652" i="5"/>
  <c r="CK1232" i="5"/>
  <c r="CK715" i="5"/>
  <c r="CK653" i="5"/>
  <c r="DB1096" i="5"/>
  <c r="IF988" i="5"/>
  <c r="DB987" i="5"/>
  <c r="DB1095" i="5" s="1"/>
  <c r="IK721" i="5"/>
  <c r="IK628" i="5"/>
  <c r="IM582" i="5"/>
  <c r="IM721" i="5" s="1"/>
  <c r="G33" i="7"/>
  <c r="H33" i="7" s="1"/>
  <c r="EG1096" i="5"/>
  <c r="IO988" i="5"/>
  <c r="IP988" i="5" s="1"/>
  <c r="AZ664" i="5"/>
  <c r="AZ730" i="5"/>
  <c r="CY724" i="5"/>
  <c r="CY1242" i="5"/>
  <c r="CY588" i="5"/>
  <c r="CY654" i="5"/>
  <c r="CY653" i="5"/>
  <c r="CY652" i="5"/>
  <c r="FL1238" i="5"/>
  <c r="FL932" i="5"/>
  <c r="IW813" i="5"/>
  <c r="FL1078" i="5"/>
  <c r="ET1242" i="5"/>
  <c r="ET652" i="5"/>
  <c r="ET654" i="5"/>
  <c r="ET588" i="5"/>
  <c r="ET653" i="5"/>
  <c r="P16" i="7"/>
  <c r="AD754" i="2"/>
  <c r="DR1078" i="5"/>
  <c r="DR932" i="5"/>
  <c r="IK813" i="5"/>
  <c r="IF907" i="5"/>
  <c r="IF1086" i="5" s="1"/>
  <c r="EM621" i="5"/>
  <c r="IQ628" i="5"/>
  <c r="N75" i="7" s="1"/>
  <c r="EM1251" i="5"/>
  <c r="FV1095" i="5"/>
  <c r="FV1254" i="5"/>
  <c r="FV1256" i="5" s="1"/>
  <c r="Z1121" i="2"/>
  <c r="Z1406" i="2" s="1"/>
  <c r="IG1079" i="5"/>
  <c r="AH455" i="2"/>
  <c r="AH456" i="2"/>
  <c r="AH457" i="2" s="1"/>
  <c r="AF1123" i="2"/>
  <c r="IY1080" i="5"/>
  <c r="EM1086" i="5"/>
  <c r="IQ907" i="5"/>
  <c r="EN1019" i="5"/>
  <c r="IQ1027" i="5"/>
  <c r="IS1027" i="5" s="1"/>
  <c r="AD1352" i="2" s="1"/>
  <c r="AD1433" i="2"/>
  <c r="AD1522" i="2" s="1"/>
  <c r="AD680" i="2"/>
  <c r="AD1952" i="2"/>
  <c r="AD679" i="2"/>
  <c r="AE681" i="2"/>
  <c r="AD681" i="2"/>
  <c r="AQ731" i="5"/>
  <c r="AQ665" i="5"/>
  <c r="AQ737" i="5" s="1"/>
  <c r="EA654" i="5"/>
  <c r="EA550" i="5"/>
  <c r="EA653" i="5"/>
  <c r="EA1232" i="5"/>
  <c r="EA652" i="5"/>
  <c r="P11" i="7"/>
  <c r="AD749" i="2"/>
  <c r="N657" i="5"/>
  <c r="N730" i="5" s="1"/>
  <c r="IS908" i="5"/>
  <c r="AE1495" i="2"/>
  <c r="P89" i="7"/>
  <c r="AD852" i="2"/>
  <c r="AD1595" i="2" s="1"/>
  <c r="K731" i="5"/>
  <c r="K665" i="5"/>
  <c r="K737" i="5" s="1"/>
  <c r="EX1232" i="5"/>
  <c r="EX550" i="5"/>
  <c r="DE906" i="5"/>
  <c r="DE905" i="5"/>
  <c r="DE1075" i="5"/>
  <c r="Y585" i="2"/>
  <c r="Y584" i="2"/>
  <c r="Y1402" i="2"/>
  <c r="CM550" i="5"/>
  <c r="CM653" i="5"/>
  <c r="CM652" i="5"/>
  <c r="CM715" i="5"/>
  <c r="CM1232" i="5"/>
  <c r="CM654" i="5"/>
  <c r="CV726" i="5"/>
  <c r="CV588" i="5"/>
  <c r="CV1249" i="5"/>
  <c r="I33" i="7"/>
  <c r="K33" i="7" s="1"/>
  <c r="IL628" i="5"/>
  <c r="IH907" i="5"/>
  <c r="IH1059" i="5" s="1"/>
  <c r="DL1249" i="5"/>
  <c r="DL726" i="5"/>
  <c r="IJ577" i="5"/>
  <c r="IJ720" i="5" s="1"/>
  <c r="D29" i="7"/>
  <c r="IH720" i="5"/>
  <c r="IH578" i="5"/>
  <c r="CS726" i="5"/>
  <c r="CS1249" i="5"/>
  <c r="CS588" i="5"/>
  <c r="CC731" i="5"/>
  <c r="CC665" i="5"/>
  <c r="CC737" i="5" s="1"/>
  <c r="IQ892" i="5"/>
  <c r="P105" i="7"/>
  <c r="IS732" i="5"/>
  <c r="DD1232" i="5"/>
  <c r="DD654" i="5"/>
  <c r="DD550" i="5"/>
  <c r="DD652" i="5"/>
  <c r="DD715" i="5"/>
  <c r="DD653" i="5"/>
  <c r="AD765" i="2"/>
  <c r="IT907" i="5"/>
  <c r="EQ1242" i="5"/>
  <c r="EQ588" i="5"/>
  <c r="CI1232" i="5"/>
  <c r="CI715" i="5"/>
  <c r="EC653" i="5"/>
  <c r="EC1232" i="5"/>
  <c r="EC654" i="5"/>
  <c r="EC652" i="5"/>
  <c r="EC550" i="5"/>
  <c r="IL892" i="5"/>
  <c r="IL894" i="5"/>
  <c r="AC485" i="2"/>
  <c r="AC484" i="2"/>
  <c r="BX731" i="5"/>
  <c r="BX665" i="5"/>
  <c r="BX737" i="5" s="1"/>
  <c r="W730" i="5"/>
  <c r="W664" i="5"/>
  <c r="IM619" i="5"/>
  <c r="Y580" i="2"/>
  <c r="Y581" i="2"/>
  <c r="DX1078" i="5"/>
  <c r="IL813" i="5"/>
  <c r="DX932" i="5"/>
  <c r="CL1249" i="5"/>
  <c r="CL726" i="5"/>
  <c r="CP550" i="5"/>
  <c r="CP653" i="5"/>
  <c r="CP652" i="5"/>
  <c r="CP654" i="5"/>
  <c r="CP1232" i="5"/>
  <c r="CP715" i="5"/>
  <c r="F138" i="7"/>
  <c r="II746" i="5"/>
  <c r="CL588" i="5"/>
  <c r="CL658" i="5" s="1"/>
  <c r="EN1253" i="5"/>
  <c r="EN667" i="5"/>
  <c r="IQ669" i="5"/>
  <c r="FT1232" i="5"/>
  <c r="IE907" i="5"/>
  <c r="IE1086" i="5" s="1"/>
  <c r="IN987" i="5"/>
  <c r="FJ906" i="5"/>
  <c r="FJ905" i="5"/>
  <c r="FJ1075" i="5"/>
  <c r="P106" i="7"/>
  <c r="AD873" i="2"/>
  <c r="IS733" i="5"/>
  <c r="FB1019" i="5"/>
  <c r="IT1027" i="5"/>
  <c r="CQ1097" i="5"/>
  <c r="CQ987" i="5"/>
  <c r="IE1019" i="5"/>
  <c r="IG993" i="5"/>
  <c r="Z1319" i="2" s="1"/>
  <c r="Z1696" i="2" s="1"/>
  <c r="AD580" i="2"/>
  <c r="AD581" i="2"/>
  <c r="DO742" i="5"/>
  <c r="DO1254" i="5"/>
  <c r="DO667" i="5"/>
  <c r="DO738" i="5" s="1"/>
  <c r="G82" i="7"/>
  <c r="IK728" i="5"/>
  <c r="DD906" i="5"/>
  <c r="DD1075" i="5"/>
  <c r="DD905" i="5"/>
  <c r="AD883" i="2"/>
  <c r="P116" i="7"/>
  <c r="DN1078" i="5"/>
  <c r="DN932" i="5"/>
  <c r="FG1249" i="5"/>
  <c r="FG1241" i="5" s="1"/>
  <c r="EV1247" i="5"/>
  <c r="EV590" i="5"/>
  <c r="FU1097" i="5"/>
  <c r="FU1253" i="5"/>
  <c r="BT665" i="5"/>
  <c r="BT737" i="5" s="1"/>
  <c r="BT731" i="5"/>
  <c r="AD894" i="2"/>
  <c r="P120" i="7"/>
  <c r="DD719" i="5"/>
  <c r="DD1238" i="5"/>
  <c r="EP1232" i="5"/>
  <c r="EP550" i="5"/>
  <c r="EP653" i="5"/>
  <c r="EP652" i="5"/>
  <c r="EP654" i="5"/>
  <c r="IC907" i="5"/>
  <c r="D55" i="7"/>
  <c r="E55" i="7" s="1"/>
  <c r="IH607" i="5"/>
  <c r="D56" i="7" s="1"/>
  <c r="E56" i="7" s="1"/>
  <c r="AH925" i="5"/>
  <c r="AH1091" i="5" s="1"/>
  <c r="AH905" i="5"/>
  <c r="AH1084" i="5" s="1"/>
  <c r="AH1075" i="5"/>
  <c r="AH924" i="5"/>
  <c r="AH906" i="5"/>
  <c r="AH1085" i="5" s="1"/>
  <c r="AE1695" i="2"/>
  <c r="AE1693" i="2" s="1"/>
  <c r="AE1815" i="2" s="1"/>
  <c r="IY993" i="5"/>
  <c r="AF1319" i="2" s="1"/>
  <c r="AF1696" i="2" s="1"/>
  <c r="AH1905" i="2"/>
  <c r="AH1400" i="2"/>
  <c r="AH1489" i="2" s="1"/>
  <c r="AH560" i="2"/>
  <c r="IM686" i="5"/>
  <c r="BY657" i="5"/>
  <c r="BY714" i="5"/>
  <c r="CN653" i="5"/>
  <c r="CN715" i="5"/>
  <c r="CN652" i="5"/>
  <c r="CN550" i="5"/>
  <c r="CN1232" i="5"/>
  <c r="CN654" i="5"/>
  <c r="DY550" i="5"/>
  <c r="DY653" i="5"/>
  <c r="DY654" i="5"/>
  <c r="DY652" i="5"/>
  <c r="DY1232" i="5"/>
  <c r="AA379" i="2"/>
  <c r="DI1242" i="5"/>
  <c r="EJ1254" i="5"/>
  <c r="EJ667" i="5"/>
  <c r="AI1431" i="2"/>
  <c r="AI1520" i="2" s="1"/>
  <c r="AI665" i="2"/>
  <c r="CM1238" i="5"/>
  <c r="CM719" i="5"/>
  <c r="P83" i="7"/>
  <c r="AD843" i="2"/>
  <c r="FT1078" i="5"/>
  <c r="FT1238" i="5"/>
  <c r="CQ715" i="5"/>
  <c r="CQ1232" i="5"/>
  <c r="CQ652" i="5"/>
  <c r="CQ550" i="5"/>
  <c r="CQ714" i="5" s="1"/>
  <c r="CQ653" i="5"/>
  <c r="DD1242" i="5"/>
  <c r="DD724" i="5"/>
  <c r="CW1097" i="5"/>
  <c r="IF1019" i="5"/>
  <c r="CW987" i="5"/>
  <c r="C82" i="7"/>
  <c r="IF728" i="5"/>
  <c r="AD845" i="2"/>
  <c r="P85" i="7"/>
  <c r="AY657" i="5"/>
  <c r="AY714" i="5"/>
  <c r="FG1086" i="5"/>
  <c r="IU907" i="5"/>
  <c r="DU1095" i="5"/>
  <c r="IL987" i="5"/>
  <c r="EY1096" i="5"/>
  <c r="IT988" i="5"/>
  <c r="AD764" i="2"/>
  <c r="P25" i="7"/>
  <c r="IS1093" i="5"/>
  <c r="AC1495" i="2"/>
  <c r="JH814" i="5"/>
  <c r="AI1120" i="2" s="1"/>
  <c r="DI588" i="5"/>
  <c r="E20" i="7"/>
  <c r="DV1254" i="5"/>
  <c r="DV667" i="5"/>
  <c r="CD665" i="5"/>
  <c r="CD737" i="5" s="1"/>
  <c r="CD731" i="5"/>
  <c r="DL1086" i="5"/>
  <c r="II907" i="5"/>
  <c r="AF1950" i="2"/>
  <c r="AF1978" i="2"/>
  <c r="IP803" i="5"/>
  <c r="DS1233" i="5"/>
  <c r="DS552" i="5"/>
  <c r="DS716" i="5"/>
  <c r="IB987" i="5"/>
  <c r="IJ733" i="5"/>
  <c r="AA873" i="2"/>
  <c r="BO664" i="5"/>
  <c r="BO730" i="5"/>
  <c r="AA901" i="2"/>
  <c r="IJ1207" i="5"/>
  <c r="IJ743" i="5"/>
  <c r="KY723" i="5"/>
  <c r="KY657" i="5"/>
  <c r="KY658" i="5"/>
  <c r="CC657" i="5"/>
  <c r="CC714" i="5"/>
  <c r="FD1095" i="5"/>
  <c r="FD1254" i="5"/>
  <c r="FD1256" i="5" s="1"/>
  <c r="CW1249" i="5"/>
  <c r="CW726" i="5"/>
  <c r="CW588" i="5"/>
  <c r="I665" i="5"/>
  <c r="I737" i="5" s="1"/>
  <c r="I731" i="5"/>
  <c r="CI652" i="5"/>
  <c r="AF673" i="2"/>
  <c r="AF1429" i="2"/>
  <c r="AF1518" i="2" s="1"/>
  <c r="AF672" i="2"/>
  <c r="AF1939" i="2"/>
  <c r="AF671" i="2"/>
  <c r="AG673" i="2"/>
  <c r="AD760" i="2"/>
  <c r="P22" i="7"/>
  <c r="CM1251" i="5"/>
  <c r="CM621" i="5"/>
  <c r="DC588" i="5"/>
  <c r="DC1242" i="5"/>
  <c r="DC724" i="5"/>
  <c r="IM614" i="5"/>
  <c r="BW731" i="5"/>
  <c r="BW665" i="5"/>
  <c r="BW737" i="5" s="1"/>
  <c r="EY1238" i="5"/>
  <c r="EY1078" i="5"/>
  <c r="IT813" i="5"/>
  <c r="BC714" i="5"/>
  <c r="BC657" i="5"/>
  <c r="IG683" i="5"/>
  <c r="CQ1255" i="5"/>
  <c r="IE683" i="5"/>
  <c r="FM1096" i="5"/>
  <c r="IW988" i="5"/>
  <c r="AA664" i="5"/>
  <c r="AA730" i="5"/>
  <c r="BO905" i="5"/>
  <c r="BO1084" i="5" s="1"/>
  <c r="BO906" i="5"/>
  <c r="BO1085" i="5" s="1"/>
  <c r="BO924" i="5"/>
  <c r="BO925" i="5"/>
  <c r="BO1091" i="5" s="1"/>
  <c r="BO1075" i="5"/>
  <c r="P34" i="7"/>
  <c r="AD780" i="2"/>
  <c r="AD1590" i="2" s="1"/>
  <c r="Z1749" i="2"/>
  <c r="Z1692" i="2"/>
  <c r="CZ1075" i="5"/>
  <c r="CZ905" i="5"/>
  <c r="CZ906" i="5"/>
  <c r="CI654" i="5"/>
  <c r="AS657" i="5"/>
  <c r="AS714" i="5"/>
  <c r="AA391" i="2"/>
  <c r="BC731" i="5"/>
  <c r="BC665" i="5"/>
  <c r="BC737" i="5" s="1"/>
  <c r="AE682" i="2"/>
  <c r="IS599" i="5"/>
  <c r="CD714" i="5"/>
  <c r="CD657" i="5"/>
  <c r="C50" i="7"/>
  <c r="IF590" i="5"/>
  <c r="H69" i="7"/>
  <c r="D114" i="7"/>
  <c r="IH739" i="5"/>
  <c r="AY731" i="5"/>
  <c r="AY665" i="5"/>
  <c r="AY737" i="5" s="1"/>
  <c r="G24" i="7"/>
  <c r="IK717" i="5"/>
  <c r="IE1088" i="5"/>
  <c r="IG912" i="5"/>
  <c r="AC1694" i="2"/>
  <c r="AC1693" i="2" s="1"/>
  <c r="AC1815" i="2" s="1"/>
  <c r="AC1810" i="2" s="1"/>
  <c r="IP993" i="5"/>
  <c r="AC1319" i="2" s="1"/>
  <c r="AC1696" i="2" s="1"/>
  <c r="KZ657" i="5"/>
  <c r="AC664" i="5"/>
  <c r="AC730" i="5"/>
  <c r="IH732" i="5"/>
  <c r="D105" i="7"/>
  <c r="IS570" i="5"/>
  <c r="N24" i="7"/>
  <c r="AU731" i="5"/>
  <c r="AU665" i="5"/>
  <c r="AU737" i="5" s="1"/>
  <c r="IV818" i="5"/>
  <c r="AE1124" i="2" s="1"/>
  <c r="JC993" i="5"/>
  <c r="AG1695" i="2" s="1"/>
  <c r="AG1693" i="2" s="1"/>
  <c r="DN726" i="5"/>
  <c r="DN1249" i="5"/>
  <c r="AM664" i="5"/>
  <c r="AM730" i="5"/>
  <c r="FC1254" i="5"/>
  <c r="FC1256" i="5" s="1"/>
  <c r="FC1095" i="5"/>
  <c r="FF1238" i="5"/>
  <c r="FF1078" i="5"/>
  <c r="IU813" i="5"/>
  <c r="IG826" i="5"/>
  <c r="IF1056" i="5"/>
  <c r="IF1081" i="5"/>
  <c r="DP1232" i="5"/>
  <c r="DP715" i="5"/>
  <c r="DP652" i="5"/>
  <c r="DP653" i="5"/>
  <c r="DP550" i="5"/>
  <c r="DP654" i="5"/>
  <c r="IU1056" i="5"/>
  <c r="J664" i="5"/>
  <c r="J730" i="5"/>
  <c r="AH1925" i="2"/>
  <c r="AH647" i="2"/>
  <c r="AH1422" i="2"/>
  <c r="AH1908" i="2"/>
  <c r="AH1416" i="2"/>
  <c r="JH826" i="5"/>
  <c r="AI1132" i="2" s="1"/>
  <c r="DU1238" i="5"/>
  <c r="DU550" i="5"/>
  <c r="AA327" i="2"/>
  <c r="AA326" i="2"/>
  <c r="AA1580" i="2"/>
  <c r="AA324" i="2"/>
  <c r="AA306" i="2"/>
  <c r="Y1688" i="2"/>
  <c r="Y1464" i="2"/>
  <c r="JE947" i="5"/>
  <c r="AH1268" i="2" s="1"/>
  <c r="EG1249" i="5"/>
  <c r="EG588" i="5"/>
  <c r="AA352" i="2"/>
  <c r="AA635" i="2"/>
  <c r="AA634" i="2"/>
  <c r="AA350" i="2"/>
  <c r="AA632" i="2"/>
  <c r="AA353" i="2"/>
  <c r="JD1056" i="5"/>
  <c r="JD1076" i="5"/>
  <c r="IG552" i="5"/>
  <c r="IG716" i="5"/>
  <c r="CA731" i="5"/>
  <c r="CA665" i="5"/>
  <c r="CA737" i="5" s="1"/>
  <c r="CT715" i="5"/>
  <c r="CT1232" i="5"/>
  <c r="CT652" i="5"/>
  <c r="CT654" i="5"/>
  <c r="CT653" i="5"/>
  <c r="CT550" i="5"/>
  <c r="AQ730" i="5"/>
  <c r="AQ664" i="5"/>
  <c r="J731" i="5"/>
  <c r="J665" i="5"/>
  <c r="J737" i="5" s="1"/>
  <c r="DZ1233" i="5"/>
  <c r="DZ552" i="5"/>
  <c r="AI1950" i="2"/>
  <c r="DG1249" i="5"/>
  <c r="DG726" i="5"/>
  <c r="IL576" i="5"/>
  <c r="I28" i="7" s="1"/>
  <c r="I29" i="7"/>
  <c r="K29" i="7" s="1"/>
  <c r="IX1056" i="5"/>
  <c r="IY755" i="5"/>
  <c r="EH1249" i="5"/>
  <c r="EH588" i="5"/>
  <c r="IT1056" i="5"/>
  <c r="IV755" i="5"/>
  <c r="AI1952" i="2"/>
  <c r="AI1433" i="2"/>
  <c r="AI1522" i="2" s="1"/>
  <c r="JD906" i="5"/>
  <c r="JD1085" i="5" s="1"/>
  <c r="GO925" i="5"/>
  <c r="G50" i="7"/>
  <c r="H50" i="7" s="1"/>
  <c r="IM599" i="5"/>
  <c r="G29" i="7"/>
  <c r="IK720" i="5"/>
  <c r="IK576" i="5"/>
  <c r="IM577" i="5"/>
  <c r="IM720" i="5" s="1"/>
  <c r="F82" i="7"/>
  <c r="II728" i="5"/>
  <c r="IJ635" i="5"/>
  <c r="IJ728" i="5" s="1"/>
  <c r="AI672" i="2"/>
  <c r="AI1939" i="2"/>
  <c r="AI1429" i="2"/>
  <c r="AI1518" i="2" s="1"/>
  <c r="AI671" i="2"/>
  <c r="IL553" i="5"/>
  <c r="I10" i="7"/>
  <c r="K10" i="7" s="1"/>
  <c r="IM635" i="5"/>
  <c r="IM728" i="5" s="1"/>
  <c r="I82" i="7"/>
  <c r="K82" i="7" s="1"/>
  <c r="Q731" i="5"/>
  <c r="Q665" i="5"/>
  <c r="Q737" i="5" s="1"/>
  <c r="AI1498" i="2"/>
  <c r="AI1408" i="2"/>
  <c r="AI1497" i="2" s="1"/>
  <c r="AI1741" i="2"/>
  <c r="AI1376" i="2"/>
  <c r="AI1373" i="2" s="1"/>
  <c r="C8" i="7"/>
  <c r="IF716" i="5"/>
  <c r="IF552" i="5"/>
  <c r="IB892" i="5"/>
  <c r="ID892" i="5" s="1"/>
  <c r="ID891" i="5"/>
  <c r="JE826" i="5"/>
  <c r="AH1132" i="2" s="1"/>
  <c r="JC1081" i="5"/>
  <c r="II1056" i="5"/>
  <c r="IJ755" i="5"/>
  <c r="IS555" i="5"/>
  <c r="N10" i="7"/>
  <c r="IV826" i="5"/>
  <c r="II891" i="5"/>
  <c r="II894" i="5" s="1"/>
  <c r="AF1906" i="2"/>
  <c r="AF607" i="2"/>
  <c r="AF1401" i="2"/>
  <c r="AE609" i="2"/>
  <c r="AF610" i="2"/>
  <c r="AF424" i="2"/>
  <c r="AH1704" i="2"/>
  <c r="JF907" i="5"/>
  <c r="JH908" i="5"/>
  <c r="AI1229" i="2" s="1"/>
  <c r="F57" i="7"/>
  <c r="IJ608" i="5"/>
  <c r="AA810" i="2" s="1"/>
  <c r="AE1906" i="2"/>
  <c r="AE424" i="2"/>
  <c r="AE1401" i="2"/>
  <c r="AE1490" i="2" s="1"/>
  <c r="AE607" i="2"/>
  <c r="AE610" i="2"/>
  <c r="AD609" i="2"/>
  <c r="DE1238" i="5"/>
  <c r="DE550" i="5"/>
  <c r="DE719" i="5"/>
  <c r="AG1527" i="2"/>
  <c r="AI1704" i="2"/>
  <c r="BJ664" i="5"/>
  <c r="BJ730" i="5"/>
  <c r="IS826" i="5"/>
  <c r="JF1008" i="5"/>
  <c r="JH1009" i="5"/>
  <c r="AI1335" i="2" s="1"/>
  <c r="S664" i="5"/>
  <c r="S730" i="5"/>
  <c r="IW1056" i="5"/>
  <c r="IY826" i="5"/>
  <c r="EB1232" i="5"/>
  <c r="EB654" i="5"/>
  <c r="EB652" i="5"/>
  <c r="EB550" i="5"/>
  <c r="EB653" i="5"/>
  <c r="II888" i="5"/>
  <c r="IJ887" i="5"/>
  <c r="AH1424" i="2"/>
  <c r="AH1513" i="2" s="1"/>
  <c r="FE1075" i="5"/>
  <c r="FE905" i="5"/>
  <c r="FE906" i="5"/>
  <c r="DR590" i="5"/>
  <c r="DR1247" i="5"/>
  <c r="IK606" i="5"/>
  <c r="IK590" i="5" s="1"/>
  <c r="DN1247" i="5"/>
  <c r="DN590" i="5"/>
  <c r="II606" i="5"/>
  <c r="DE1251" i="5"/>
  <c r="DE621" i="5"/>
  <c r="Q657" i="5"/>
  <c r="Q714" i="5"/>
  <c r="AC1499" i="2"/>
  <c r="AC1408" i="2"/>
  <c r="II889" i="5"/>
  <c r="AI1422" i="2"/>
  <c r="AI1925" i="2"/>
  <c r="AI647" i="2"/>
  <c r="IJ826" i="5"/>
  <c r="IH1056" i="5"/>
  <c r="IM755" i="5"/>
  <c r="IK1056" i="5"/>
  <c r="DP719" i="5"/>
  <c r="DP1238" i="5"/>
  <c r="DZ1247" i="5"/>
  <c r="DZ590" i="5"/>
  <c r="IL606" i="5"/>
  <c r="F129" i="7"/>
  <c r="H129" i="7" s="1"/>
  <c r="II683" i="5"/>
  <c r="IJ685" i="5"/>
  <c r="EB1242" i="5"/>
  <c r="EB588" i="5"/>
  <c r="EB1241" i="5" s="1"/>
  <c r="JD993" i="5"/>
  <c r="AD774" i="2"/>
  <c r="P30" i="7"/>
  <c r="AN665" i="5"/>
  <c r="AN737" i="5" s="1"/>
  <c r="AN731" i="5"/>
  <c r="JE908" i="5"/>
  <c r="AH1229" i="2" s="1"/>
  <c r="AH1438" i="2" s="1"/>
  <c r="JC1087" i="5"/>
  <c r="P31" i="7"/>
  <c r="AD775" i="2"/>
  <c r="AD1591" i="2" s="1"/>
  <c r="AD914" i="2"/>
  <c r="P136" i="7"/>
  <c r="IS1208" i="5"/>
  <c r="IS1210" i="5" s="1"/>
  <c r="AG664" i="5"/>
  <c r="AG730" i="5"/>
  <c r="IE1056" i="5"/>
  <c r="IG755" i="5"/>
  <c r="IE1076" i="5"/>
  <c r="IL907" i="5"/>
  <c r="GI906" i="5"/>
  <c r="IR1056" i="5"/>
  <c r="IS755" i="5"/>
  <c r="AH1397" i="2"/>
  <c r="AH1902" i="2"/>
  <c r="FA906" i="5"/>
  <c r="FA1075" i="5"/>
  <c r="FA905" i="5"/>
  <c r="DI905" i="5"/>
  <c r="DI906" i="5"/>
  <c r="DI1075" i="5"/>
  <c r="N57" i="7"/>
  <c r="IS608" i="5"/>
  <c r="JC1093" i="5"/>
  <c r="AG1687" i="2"/>
  <c r="AG1685" i="2" s="1"/>
  <c r="JE948" i="5"/>
  <c r="AH1269" i="2" s="1"/>
  <c r="AH1495" i="2"/>
  <c r="ES1249" i="5"/>
  <c r="AB730" i="5"/>
  <c r="AB664" i="5"/>
  <c r="CJ654" i="5"/>
  <c r="CJ550" i="5"/>
  <c r="CJ715" i="5"/>
  <c r="CJ652" i="5"/>
  <c r="CJ1232" i="5"/>
  <c r="CJ653" i="5"/>
  <c r="DA588" i="5"/>
  <c r="DA658" i="5" s="1"/>
  <c r="DA1249" i="5"/>
  <c r="DA726" i="5"/>
  <c r="IG576" i="5"/>
  <c r="IG719" i="5" s="1"/>
  <c r="IG720" i="5"/>
  <c r="DA1238" i="5"/>
  <c r="DA719" i="5"/>
  <c r="F115" i="7"/>
  <c r="II669" i="5"/>
  <c r="IS635" i="5"/>
  <c r="O82" i="7"/>
  <c r="DF588" i="5"/>
  <c r="DF726" i="5"/>
  <c r="DF1249" i="5"/>
  <c r="G57" i="7"/>
  <c r="IM608" i="5"/>
  <c r="DA1232" i="5"/>
  <c r="DA550" i="5"/>
  <c r="DA653" i="5"/>
  <c r="DA654" i="5"/>
  <c r="DA652" i="5"/>
  <c r="DA715" i="5"/>
  <c r="IC1056" i="5"/>
  <c r="ID755" i="5"/>
  <c r="AD793" i="2"/>
  <c r="P46" i="7"/>
  <c r="Z598" i="2"/>
  <c r="Z599" i="2"/>
  <c r="C29" i="7"/>
  <c r="IF576" i="5"/>
  <c r="IF720" i="5"/>
  <c r="IM570" i="5"/>
  <c r="IM717" i="5" s="1"/>
  <c r="I24" i="7"/>
  <c r="K24" i="7" s="1"/>
  <c r="AA1610" i="2"/>
  <c r="EN1247" i="5"/>
  <c r="EN590" i="5"/>
  <c r="IQ606" i="5"/>
  <c r="ID826" i="5"/>
  <c r="O75" i="7"/>
  <c r="AB731" i="5"/>
  <c r="AB665" i="5"/>
  <c r="AB737" i="5" s="1"/>
  <c r="CV1238" i="5"/>
  <c r="CV719" i="5"/>
  <c r="CV550" i="5"/>
  <c r="N29" i="7"/>
  <c r="IS577" i="5"/>
  <c r="AH1977" i="2"/>
  <c r="AH1951" i="2"/>
  <c r="IM826" i="5"/>
  <c r="DX588" i="5"/>
  <c r="DX653" i="5"/>
  <c r="DX1242" i="5"/>
  <c r="DX652" i="5"/>
  <c r="DX654" i="5"/>
  <c r="JE755" i="5"/>
  <c r="AH1061" i="2" s="1"/>
  <c r="AH739" i="2" s="1"/>
  <c r="JC1076" i="5"/>
  <c r="JC1056" i="5"/>
  <c r="BM730" i="5"/>
  <c r="BM664" i="5"/>
  <c r="AA842" i="2"/>
  <c r="DV654" i="5"/>
  <c r="DV653" i="5"/>
  <c r="DV550" i="5"/>
  <c r="DV652" i="5"/>
  <c r="DV1232" i="5"/>
  <c r="CR654" i="5"/>
  <c r="CR1232" i="5"/>
  <c r="CR550" i="5"/>
  <c r="CR652" i="5"/>
  <c r="CR715" i="5"/>
  <c r="CR653" i="5"/>
  <c r="IM912" i="5"/>
  <c r="IL1056" i="5"/>
  <c r="EU1232" i="5"/>
  <c r="EU550" i="5"/>
  <c r="IP755" i="5"/>
  <c r="IN1056" i="5"/>
  <c r="DU1249" i="5"/>
  <c r="DU588" i="5"/>
  <c r="EN1233" i="5"/>
  <c r="EN552" i="5"/>
  <c r="IQ553" i="5"/>
  <c r="IP826" i="5"/>
  <c r="IO1056" i="5"/>
  <c r="D50" i="7"/>
  <c r="IJ599" i="5"/>
  <c r="IH590" i="5"/>
  <c r="AA779" i="2"/>
  <c r="AA1590" i="2"/>
  <c r="JH869" i="5"/>
  <c r="P94" i="7"/>
  <c r="AD859" i="2"/>
  <c r="JE1019" i="5"/>
  <c r="AH1344" i="2" s="1"/>
  <c r="AH1668" i="2" s="1"/>
  <c r="JC1097" i="5"/>
  <c r="IB888" i="5"/>
  <c r="EM1238" i="5"/>
  <c r="EM550" i="5"/>
  <c r="IQ576" i="5"/>
  <c r="BH664" i="5"/>
  <c r="BH730" i="5"/>
  <c r="C75" i="7"/>
  <c r="IF621" i="5"/>
  <c r="DR1233" i="5"/>
  <c r="DR716" i="5"/>
  <c r="DR552" i="5"/>
  <c r="AI1692" i="2"/>
  <c r="AH1692" i="2"/>
  <c r="IG726" i="5"/>
  <c r="BG665" i="5"/>
  <c r="BG737" i="5" s="1"/>
  <c r="BG731" i="5"/>
  <c r="AI1977" i="2"/>
  <c r="AI1951" i="2"/>
  <c r="P20" i="7"/>
  <c r="AD758" i="2"/>
  <c r="JE850" i="5"/>
  <c r="JC1082" i="5"/>
  <c r="IJ555" i="5"/>
  <c r="II553" i="5"/>
  <c r="F10" i="7"/>
  <c r="DN716" i="5"/>
  <c r="DN552" i="5"/>
  <c r="DN1233" i="5"/>
  <c r="CX726" i="5"/>
  <c r="CX588" i="5"/>
  <c r="CX1249" i="5"/>
  <c r="AI1688" i="2"/>
  <c r="AI1464" i="2"/>
  <c r="IH628" i="5"/>
  <c r="D33" i="7"/>
  <c r="E33" i="7" s="1"/>
  <c r="IH721" i="5"/>
  <c r="IH576" i="5"/>
  <c r="IJ582" i="5"/>
  <c r="IJ721" i="5" s="1"/>
  <c r="ES590" i="5"/>
  <c r="IR606" i="5"/>
  <c r="O55" i="7" s="1"/>
  <c r="ES1247" i="5"/>
  <c r="AE1902" i="2"/>
  <c r="AE1397" i="2"/>
  <c r="AH439" i="2"/>
  <c r="G10" i="7"/>
  <c r="IM555" i="5"/>
  <c r="IM553" i="5" s="1"/>
  <c r="IK553" i="5"/>
  <c r="EO1232" i="5"/>
  <c r="EO550" i="5"/>
  <c r="AH1906" i="2"/>
  <c r="AG609" i="2"/>
  <c r="AH1401" i="2"/>
  <c r="AH1490" i="2" s="1"/>
  <c r="AA894" i="2"/>
  <c r="IJ670" i="5"/>
  <c r="IJ669" i="5" s="1"/>
  <c r="IJ739" i="5" s="1"/>
  <c r="GI1244" i="5"/>
  <c r="GI1242" i="5" s="1"/>
  <c r="GI1241" i="5" s="1"/>
  <c r="AD730" i="5"/>
  <c r="AD664" i="5"/>
  <c r="N127" i="7"/>
  <c r="AC1703" i="2"/>
  <c r="AC1707" i="2" s="1"/>
  <c r="EU590" i="5"/>
  <c r="EU652" i="5" s="1"/>
  <c r="EU1247" i="5"/>
  <c r="EZ1075" i="5"/>
  <c r="EZ905" i="5"/>
  <c r="EZ906" i="5"/>
  <c r="AI1424" i="2"/>
  <c r="AI1513" i="2" s="1"/>
  <c r="AI1929" i="2"/>
  <c r="JE869" i="5"/>
  <c r="O74" i="19"/>
  <c r="N74" i="19" s="1"/>
  <c r="JP968" i="5"/>
  <c r="JP967" i="5" s="1"/>
  <c r="P39" i="19"/>
  <c r="R39" i="19" s="1"/>
  <c r="AJ1730" i="2"/>
  <c r="AF39" i="19"/>
  <c r="IN552" i="5"/>
  <c r="J7" i="7" s="1"/>
  <c r="V1226" i="2"/>
  <c r="V1227" i="2" s="1"/>
  <c r="V1381" i="2"/>
  <c r="V1389" i="2" s="1"/>
  <c r="V1478" i="2" s="1"/>
  <c r="IT576" i="5"/>
  <c r="Q28" i="7" s="1"/>
  <c r="Q29" i="7"/>
  <c r="AF1855" i="2"/>
  <c r="V1395" i="2"/>
  <c r="V1484" i="2" s="1"/>
  <c r="AL1730" i="2"/>
  <c r="AK1269" i="2"/>
  <c r="AK1352" i="2"/>
  <c r="JJ614" i="5"/>
  <c r="AN1438" i="2"/>
  <c r="AN1527" i="2" s="1"/>
  <c r="AK352" i="2"/>
  <c r="AC1629" i="2"/>
  <c r="JS976" i="5"/>
  <c r="P43" i="19"/>
  <c r="R43" i="19" s="1"/>
  <c r="Z998" i="2"/>
  <c r="AF102" i="19"/>
  <c r="AK1438" i="2"/>
  <c r="AK1527" i="2" s="1"/>
  <c r="AJ1438" i="2"/>
  <c r="AJ1527" i="2" s="1"/>
  <c r="AG355" i="2"/>
  <c r="AH355" i="2" s="1"/>
  <c r="AM1438" i="2"/>
  <c r="AM1527" i="2" s="1"/>
  <c r="AP103" i="19"/>
  <c r="AS103" i="19" s="1"/>
  <c r="AR103" i="19"/>
  <c r="AM1352" i="2"/>
  <c r="JD660" i="5"/>
  <c r="JD732" i="5" s="1"/>
  <c r="AR23" i="19"/>
  <c r="AP23" i="19"/>
  <c r="AS23" i="19" s="1"/>
  <c r="AL1438" i="2"/>
  <c r="AL1527" i="2" s="1"/>
  <c r="AF62" i="19"/>
  <c r="AI32" i="19"/>
  <c r="X103" i="19"/>
  <c r="AA103" i="19" s="1"/>
  <c r="Z103" i="19"/>
  <c r="AI103" i="19"/>
  <c r="AG103" i="19"/>
  <c r="AJ103" i="19" s="1"/>
  <c r="AJ916" i="2"/>
  <c r="JK696" i="5" s="1"/>
  <c r="JJ696" i="5" s="1"/>
  <c r="AL348" i="2"/>
  <c r="AA1816" i="2"/>
  <c r="AG881" i="2"/>
  <c r="JB669" i="5" s="1"/>
  <c r="JA669" i="5" s="1"/>
  <c r="JA739" i="5" s="1"/>
  <c r="X654" i="2"/>
  <c r="JV878" i="5"/>
  <c r="Z695" i="2"/>
  <c r="JB695" i="5"/>
  <c r="IZ695" i="5" s="1"/>
  <c r="JA695" i="5" s="1"/>
  <c r="AL1352" i="2"/>
  <c r="JM555" i="5"/>
  <c r="AL359" i="2"/>
  <c r="AM359" i="2" s="1"/>
  <c r="U1666" i="2"/>
  <c r="U1670" i="2" s="1"/>
  <c r="IU628" i="5"/>
  <c r="R75" i="7" s="1"/>
  <c r="JD694" i="5"/>
  <c r="JG661" i="5"/>
  <c r="IP714" i="5"/>
  <c r="JK649" i="5"/>
  <c r="JI649" i="5" s="1"/>
  <c r="JJ649" i="5" s="1"/>
  <c r="IO635" i="5"/>
  <c r="L82" i="7" s="1"/>
  <c r="Q50" i="7"/>
  <c r="IT590" i="5"/>
  <c r="JJ558" i="5"/>
  <c r="JH567" i="5"/>
  <c r="JF567" i="5" s="1"/>
  <c r="JG567" i="5" s="1"/>
  <c r="JM556" i="5"/>
  <c r="AI914" i="2"/>
  <c r="JH694" i="5" s="1"/>
  <c r="U1650" i="2"/>
  <c r="R51" i="7"/>
  <c r="IU599" i="5"/>
  <c r="Z314" i="2"/>
  <c r="Y315" i="2" s="1"/>
  <c r="AC993" i="2"/>
  <c r="IU607" i="5"/>
  <c r="R56" i="7" s="1"/>
  <c r="IT621" i="5"/>
  <c r="Q68" i="7" s="1"/>
  <c r="AD630" i="2"/>
  <c r="AL1739" i="2"/>
  <c r="AL1738" i="2" s="1"/>
  <c r="AN598" i="2"/>
  <c r="AN635" i="2"/>
  <c r="X975" i="2"/>
  <c r="X991" i="2" s="1"/>
  <c r="JN696" i="5"/>
  <c r="AC1837" i="2"/>
  <c r="AB993" i="2"/>
  <c r="L33" i="7"/>
  <c r="IO628" i="5"/>
  <c r="AB1629" i="2"/>
  <c r="IO607" i="5"/>
  <c r="L56" i="7" s="1"/>
  <c r="IU696" i="5"/>
  <c r="R138" i="7" s="1"/>
  <c r="Z358" i="2"/>
  <c r="IZ696" i="5"/>
  <c r="JA696" i="5" s="1"/>
  <c r="V1421" i="2"/>
  <c r="V1510" i="2" s="1"/>
  <c r="W1392" i="2"/>
  <c r="JS955" i="5"/>
  <c r="AG395" i="2"/>
  <c r="Z640" i="2"/>
  <c r="AH916" i="2"/>
  <c r="AH926" i="2" s="1"/>
  <c r="W1143" i="2"/>
  <c r="V1669" i="2"/>
  <c r="W1313" i="2"/>
  <c r="W1468" i="2"/>
  <c r="W1557" i="2" s="1"/>
  <c r="Y991" i="2"/>
  <c r="X1859" i="2" s="1"/>
  <c r="Y1025" i="2"/>
  <c r="Y1034" i="2" s="1"/>
  <c r="X1856" i="2"/>
  <c r="W991" i="2"/>
  <c r="W1025" i="2"/>
  <c r="W1034" i="2" s="1"/>
  <c r="Q82" i="7"/>
  <c r="Z1816" i="2"/>
  <c r="Z1817" i="2"/>
  <c r="AN1352" i="2"/>
  <c r="JY766" i="5"/>
  <c r="Z976" i="2"/>
  <c r="ID669" i="5"/>
  <c r="ID739" i="5" s="1"/>
  <c r="V1025" i="2"/>
  <c r="V1034" i="2" s="1"/>
  <c r="V991" i="2"/>
  <c r="AJ976" i="2"/>
  <c r="AJ1026" i="2" s="1"/>
  <c r="Y1575" i="2"/>
  <c r="AC436" i="2"/>
  <c r="L141" i="7"/>
  <c r="R106" i="7"/>
  <c r="IU660" i="5"/>
  <c r="R105" i="7" s="1"/>
  <c r="IW590" i="5"/>
  <c r="IX590" i="5" s="1"/>
  <c r="AO1145" i="2"/>
  <c r="JZ839" i="5" s="1"/>
  <c r="V1245" i="2"/>
  <c r="V1246" i="2" s="1"/>
  <c r="AN397" i="2"/>
  <c r="JD661" i="5"/>
  <c r="JD733" i="5" s="1"/>
  <c r="IO590" i="5"/>
  <c r="L41" i="7" s="1"/>
  <c r="L139" i="7"/>
  <c r="IO696" i="5"/>
  <c r="Y1586" i="2"/>
  <c r="Y1585" i="2" s="1"/>
  <c r="Y1584" i="2" s="1"/>
  <c r="Y1627" i="2"/>
  <c r="AN343" i="2"/>
  <c r="AN625" i="2"/>
  <c r="AM626" i="2"/>
  <c r="AM344" i="2"/>
  <c r="AN321" i="2"/>
  <c r="JE610" i="5"/>
  <c r="AI816" i="2"/>
  <c r="AI1703" i="2"/>
  <c r="AI1726" i="2"/>
  <c r="AD348" i="2"/>
  <c r="J41" i="7"/>
  <c r="IN588" i="5"/>
  <c r="IZ610" i="5"/>
  <c r="JA610" i="5" s="1"/>
  <c r="JU956" i="5"/>
  <c r="JV956" i="5" s="1"/>
  <c r="JU955" i="5"/>
  <c r="JV955" i="5" s="1"/>
  <c r="AL1203" i="2"/>
  <c r="AM710" i="2"/>
  <c r="AD437" i="2"/>
  <c r="AE1146" i="2" s="1"/>
  <c r="AF615" i="2"/>
  <c r="AF333" i="2"/>
  <c r="AE337" i="2"/>
  <c r="AE329" i="2" s="1"/>
  <c r="J126" i="7"/>
  <c r="K126" i="7" s="1"/>
  <c r="IN1207" i="5"/>
  <c r="IN1210" i="5" s="1"/>
  <c r="IO682" i="5"/>
  <c r="AM320" i="2"/>
  <c r="JN649" i="5"/>
  <c r="JL649" i="5" s="1"/>
  <c r="JM649" i="5" s="1"/>
  <c r="JG660" i="5"/>
  <c r="JB621" i="5"/>
  <c r="JA621" i="5" s="1"/>
  <c r="JA726" i="5" s="1"/>
  <c r="IN705" i="5"/>
  <c r="J138" i="7"/>
  <c r="IN695" i="5"/>
  <c r="AG699" i="2"/>
  <c r="AG399" i="2"/>
  <c r="AB1707" i="2"/>
  <c r="AC1702" i="2"/>
  <c r="AB1701" i="2"/>
  <c r="JR839" i="5"/>
  <c r="JS839" i="5" s="1"/>
  <c r="AM598" i="2"/>
  <c r="AH364" i="2"/>
  <c r="JE591" i="5"/>
  <c r="JC591" i="5" s="1"/>
  <c r="JD591" i="5" s="1"/>
  <c r="AH365" i="2"/>
  <c r="AI789" i="2"/>
  <c r="AN685" i="2"/>
  <c r="AN386" i="2"/>
  <c r="AM549" i="2"/>
  <c r="AL1094" i="2"/>
  <c r="Y1841" i="2"/>
  <c r="Z997" i="2"/>
  <c r="JU953" i="5"/>
  <c r="JV953" i="5" s="1"/>
  <c r="AE629" i="2"/>
  <c r="AE347" i="2"/>
  <c r="AE341" i="2"/>
  <c r="AF622" i="2"/>
  <c r="AF340" i="2"/>
  <c r="AE623" i="2"/>
  <c r="W1553" i="2"/>
  <c r="W1463" i="2"/>
  <c r="W1552" i="2" s="1"/>
  <c r="AG955" i="2"/>
  <c r="AG1002" i="2" s="1"/>
  <c r="JB617" i="5"/>
  <c r="JA617" i="5" s="1"/>
  <c r="AG818" i="2"/>
  <c r="W1381" i="2"/>
  <c r="W1245" i="2"/>
  <c r="AN367" i="2"/>
  <c r="AO372" i="2"/>
  <c r="AO367" i="2" s="1"/>
  <c r="AN355" i="2"/>
  <c r="AN637" i="2"/>
  <c r="AJ914" i="2"/>
  <c r="JK567" i="5"/>
  <c r="Q138" i="7"/>
  <c r="IT695" i="5"/>
  <c r="AN324" i="2"/>
  <c r="JN693" i="5"/>
  <c r="JN661" i="5"/>
  <c r="ID552" i="5"/>
  <c r="ID715" i="5" s="1"/>
  <c r="Z743" i="2"/>
  <c r="Z945" i="2"/>
  <c r="AD1707" i="2"/>
  <c r="AE1702" i="2"/>
  <c r="JF615" i="5"/>
  <c r="JF614" i="5" s="1"/>
  <c r="JN562" i="5"/>
  <c r="AK339" i="2"/>
  <c r="W1226" i="2"/>
  <c r="W1227" i="2" s="1"/>
  <c r="AH434" i="2"/>
  <c r="AG435" i="2"/>
  <c r="AM329" i="2"/>
  <c r="AL684" i="2"/>
  <c r="AC1819" i="2"/>
  <c r="AD1820" i="2"/>
  <c r="AO353" i="2"/>
  <c r="AP635" i="2" s="1"/>
  <c r="AO635" i="2"/>
  <c r="AL342" i="2"/>
  <c r="AN340" i="2"/>
  <c r="AM623" i="2"/>
  <c r="AN622" i="2"/>
  <c r="AM347" i="2"/>
  <c r="AM341" i="2"/>
  <c r="AM629" i="2"/>
  <c r="AF343" i="2"/>
  <c r="AF625" i="2"/>
  <c r="AE626" i="2"/>
  <c r="AE344" i="2"/>
  <c r="IU669" i="5"/>
  <c r="R114" i="7" s="1"/>
  <c r="AF436" i="2"/>
  <c r="JM846" i="5"/>
  <c r="Y1840" i="2"/>
  <c r="Z996" i="2"/>
  <c r="L29" i="7"/>
  <c r="IO581" i="5"/>
  <c r="L32" i="7" s="1"/>
  <c r="IO576" i="5"/>
  <c r="L28" i="7" s="1"/>
  <c r="AO400" i="2"/>
  <c r="AO700" i="2"/>
  <c r="JM823" i="5"/>
  <c r="AK1412" i="2"/>
  <c r="AL1129" i="2"/>
  <c r="JQ823" i="5" s="1"/>
  <c r="JN617" i="5"/>
  <c r="JM617" i="5" s="1"/>
  <c r="AK684" i="2"/>
  <c r="L24" i="7"/>
  <c r="IO552" i="5"/>
  <c r="ID667" i="5"/>
  <c r="ID738" i="5" s="1"/>
  <c r="Z975" i="2"/>
  <c r="AA436" i="2"/>
  <c r="X1226" i="2"/>
  <c r="X1227" i="2" s="1"/>
  <c r="X1527" i="2"/>
  <c r="AM308" i="2"/>
  <c r="AN309" i="2"/>
  <c r="AM311" i="2"/>
  <c r="AM313" i="2" s="1"/>
  <c r="X1553" i="2"/>
  <c r="X1463" i="2"/>
  <c r="X1552" i="2" s="1"/>
  <c r="JL560" i="5"/>
  <c r="JM560" i="5" s="1"/>
  <c r="JN701" i="5"/>
  <c r="JN571" i="5"/>
  <c r="JM571" i="5" s="1"/>
  <c r="AH400" i="2"/>
  <c r="AG852" i="2"/>
  <c r="AH700" i="2"/>
  <c r="ID614" i="5"/>
  <c r="Z788" i="2"/>
  <c r="Z787" i="2" s="1"/>
  <c r="Y1617" i="2"/>
  <c r="Y1603" i="2" s="1"/>
  <c r="Z385" i="2"/>
  <c r="Z684" i="2"/>
  <c r="AO357" i="2"/>
  <c r="AP639" i="2" s="1"/>
  <c r="AO639" i="2"/>
  <c r="JI661" i="5"/>
  <c r="JI660" i="5" s="1"/>
  <c r="JL563" i="5"/>
  <c r="JM563" i="5" s="1"/>
  <c r="AI308" i="2"/>
  <c r="AI311" i="2"/>
  <c r="AI313" i="2" s="1"/>
  <c r="V1666" i="2"/>
  <c r="JO849" i="5"/>
  <c r="JP849" i="5" s="1"/>
  <c r="AH764" i="2"/>
  <c r="AH314" i="2"/>
  <c r="AG315" i="2" s="1"/>
  <c r="AH821" i="2"/>
  <c r="Y1858" i="2"/>
  <c r="Z1029" i="2"/>
  <c r="AC633" i="2"/>
  <c r="AD350" i="2"/>
  <c r="V1650" i="2"/>
  <c r="AG345" i="2"/>
  <c r="AG627" i="2"/>
  <c r="JB571" i="5"/>
  <c r="JA571" i="5" s="1"/>
  <c r="AG948" i="2"/>
  <c r="AG921" i="2"/>
  <c r="JB701" i="5" s="1"/>
  <c r="X1485" i="2"/>
  <c r="X1392" i="2"/>
  <c r="W1497" i="2"/>
  <c r="W1404" i="2"/>
  <c r="JK553" i="5"/>
  <c r="JJ553" i="5" s="1"/>
  <c r="AJ946" i="2"/>
  <c r="AJ995" i="2" s="1"/>
  <c r="AJ969" i="2"/>
  <c r="AJ1020" i="2" s="1"/>
  <c r="JK660" i="5"/>
  <c r="JH646" i="5"/>
  <c r="AJ855" i="2"/>
  <c r="X1497" i="2"/>
  <c r="X1404" i="2"/>
  <c r="X1493" i="2" s="1"/>
  <c r="Q126" i="7"/>
  <c r="IU682" i="5"/>
  <c r="R126" i="7" s="1"/>
  <c r="AK1738" i="2"/>
  <c r="JM921" i="5"/>
  <c r="J28" i="7"/>
  <c r="W1511" i="2"/>
  <c r="W1421" i="2"/>
  <c r="W1510" i="2" s="1"/>
  <c r="JO952" i="5"/>
  <c r="AM1703" i="2"/>
  <c r="X1421" i="2"/>
  <c r="X1510" i="2" s="1"/>
  <c r="X1517" i="2"/>
  <c r="AN345" i="2"/>
  <c r="AN627" i="2"/>
  <c r="AN1155" i="2"/>
  <c r="AM1420" i="2"/>
  <c r="AM1509" i="2" s="1"/>
  <c r="Y1839" i="2"/>
  <c r="Z995" i="2"/>
  <c r="AO333" i="2"/>
  <c r="AO619" i="2" s="1"/>
  <c r="AN619" i="2"/>
  <c r="AN500" i="2" s="1"/>
  <c r="AN337" i="2"/>
  <c r="X1313" i="2"/>
  <c r="AO1499" i="2"/>
  <c r="AJ1728" i="2"/>
  <c r="AJ1501" i="2"/>
  <c r="AJ1411" i="2"/>
  <c r="W654" i="2"/>
  <c r="JM974" i="5"/>
  <c r="AK1885" i="2"/>
  <c r="JY974" i="5"/>
  <c r="AJ1885" i="2"/>
  <c r="AG752" i="2" s="1"/>
  <c r="JB559" i="5" s="1"/>
  <c r="JX967" i="5"/>
  <c r="JU974" i="5"/>
  <c r="JV974" i="5" s="1"/>
  <c r="JJ697" i="5"/>
  <c r="JA697" i="5"/>
  <c r="JC697" i="5"/>
  <c r="JC696" i="5" s="1"/>
  <c r="JF697" i="5"/>
  <c r="JF696" i="5" s="1"/>
  <c r="AI984" i="2"/>
  <c r="AI1031" i="2" s="1"/>
  <c r="JH696" i="5"/>
  <c r="AI915" i="2"/>
  <c r="AI926" i="2"/>
  <c r="JL697" i="5"/>
  <c r="JL696" i="5" s="1"/>
  <c r="JB595" i="5"/>
  <c r="AH793" i="2"/>
  <c r="X1143" i="2"/>
  <c r="Y596" i="2"/>
  <c r="AM377" i="2"/>
  <c r="AN377" i="2" s="1"/>
  <c r="AO377" i="2" s="1"/>
  <c r="AL1097" i="2"/>
  <c r="JQ791" i="5" s="1"/>
  <c r="AM481" i="2"/>
  <c r="AF641" i="2"/>
  <c r="AF359" i="2"/>
  <c r="AK480" i="2"/>
  <c r="AI318" i="2"/>
  <c r="AN1432" i="2"/>
  <c r="AN1521" i="2" s="1"/>
  <c r="AH809" i="2"/>
  <c r="JB607" i="5"/>
  <c r="AD377" i="2"/>
  <c r="JE622" i="5"/>
  <c r="AI826" i="2"/>
  <c r="AH825" i="2"/>
  <c r="AO422" i="2"/>
  <c r="AO1531" i="2"/>
  <c r="AO1555" i="2"/>
  <c r="AO564" i="2"/>
  <c r="AO1512" i="2"/>
  <c r="AO1528" i="2"/>
  <c r="AO676" i="2"/>
  <c r="AO1222" i="2" s="1"/>
  <c r="AO1385" i="2"/>
  <c r="AO1514" i="2"/>
  <c r="AO1492" i="2"/>
  <c r="AO1529" i="2"/>
  <c r="AO1564" i="2"/>
  <c r="AO1515" i="2"/>
  <c r="AO1487" i="2"/>
  <c r="AO1495" i="2"/>
  <c r="AO1503" i="2"/>
  <c r="AO1496" i="2"/>
  <c r="AO463" i="2"/>
  <c r="AO1562" i="2"/>
  <c r="AO1554" i="2"/>
  <c r="AO1498" i="2"/>
  <c r="AO1559" i="2"/>
  <c r="AO1517" i="2"/>
  <c r="AO1494" i="2"/>
  <c r="AO1561" i="2"/>
  <c r="AF749" i="2"/>
  <c r="AG320" i="2"/>
  <c r="IV556" i="5"/>
  <c r="AE748" i="2"/>
  <c r="AO397" i="2"/>
  <c r="AN689" i="2"/>
  <c r="AN661" i="2"/>
  <c r="AN681" i="2"/>
  <c r="AN667" i="2"/>
  <c r="AI324" i="2"/>
  <c r="AI753" i="2" s="1"/>
  <c r="AH753" i="2"/>
  <c r="IZ560" i="5"/>
  <c r="JA560" i="5" s="1"/>
  <c r="AK1517" i="2"/>
  <c r="AJ1517" i="2"/>
  <c r="AL1494" i="2"/>
  <c r="JK576" i="5"/>
  <c r="JJ576" i="5" s="1"/>
  <c r="AJ949" i="2"/>
  <c r="AJ997" i="2" s="1"/>
  <c r="IO669" i="5"/>
  <c r="L114" i="7" s="1"/>
  <c r="L115" i="7"/>
  <c r="JN669" i="5"/>
  <c r="JM669" i="5" s="1"/>
  <c r="AG695" i="2"/>
  <c r="IX621" i="5"/>
  <c r="IX576" i="5"/>
  <c r="JE669" i="5"/>
  <c r="AH976" i="2"/>
  <c r="AH1026" i="2" s="1"/>
  <c r="IU576" i="5"/>
  <c r="R28" i="7" s="1"/>
  <c r="R29" i="7"/>
  <c r="V1526" i="2"/>
  <c r="JN576" i="5"/>
  <c r="JM576" i="5" s="1"/>
  <c r="JH576" i="5"/>
  <c r="JG576" i="5" s="1"/>
  <c r="AI949" i="2"/>
  <c r="AI997" i="2" s="1"/>
  <c r="X1467" i="2"/>
  <c r="X1558" i="2"/>
  <c r="AM1494" i="2"/>
  <c r="AN1494" i="2"/>
  <c r="AO1497" i="2"/>
  <c r="AH950" i="2"/>
  <c r="AH998" i="2" s="1"/>
  <c r="AH772" i="2"/>
  <c r="JE577" i="5"/>
  <c r="AK1494" i="2"/>
  <c r="AJ1914" i="2"/>
  <c r="AJ1877" i="2"/>
  <c r="BM10" i="19" l="1"/>
  <c r="AF457" i="2"/>
  <c r="JW1027" i="5"/>
  <c r="AN1213" i="2"/>
  <c r="W31" i="19"/>
  <c r="Y31" i="19" s="1"/>
  <c r="JT1027" i="5"/>
  <c r="T85" i="21"/>
  <c r="U85" i="21" s="1"/>
  <c r="AE457" i="2"/>
  <c r="JQ1027" i="5"/>
  <c r="AA457" i="2"/>
  <c r="AH102" i="19"/>
  <c r="AH62" i="19"/>
  <c r="AH74" i="19"/>
  <c r="AI118" i="19"/>
  <c r="AI114" i="19"/>
  <c r="AD457" i="2"/>
  <c r="AI457" i="2"/>
  <c r="AJ457" i="2"/>
  <c r="AB457" i="2"/>
  <c r="AG457" i="2"/>
  <c r="AH39" i="19"/>
  <c r="JZ901" i="5"/>
  <c r="AM1727" i="2"/>
  <c r="T22" i="21"/>
  <c r="T66" i="21" s="1"/>
  <c r="U66" i="21" s="1"/>
  <c r="W22" i="21"/>
  <c r="W66" i="21" s="1"/>
  <c r="U21" i="21"/>
  <c r="U65" i="21"/>
  <c r="JQ882" i="5"/>
  <c r="JO882" i="5" s="1"/>
  <c r="V92" i="21"/>
  <c r="Q62" i="21"/>
  <c r="R62" i="21" s="1"/>
  <c r="V22" i="21"/>
  <c r="V66" i="21" s="1"/>
  <c r="V65" i="21"/>
  <c r="JW849" i="5"/>
  <c r="W32" i="21"/>
  <c r="Q22" i="21"/>
  <c r="R22" i="21" s="1"/>
  <c r="Q65" i="21"/>
  <c r="R65" i="21" s="1"/>
  <c r="JN845" i="5"/>
  <c r="JM845" i="5" s="1"/>
  <c r="Q31" i="21"/>
  <c r="R31" i="21" s="1"/>
  <c r="AW28" i="19"/>
  <c r="AL719" i="2"/>
  <c r="AL718" i="2" s="1"/>
  <c r="JQ950" i="5" s="1"/>
  <c r="AY28" i="19"/>
  <c r="BB28" i="19" s="1"/>
  <c r="BA28" i="19"/>
  <c r="AW82" i="19"/>
  <c r="AZ82" i="19"/>
  <c r="AN28" i="19"/>
  <c r="BF102" i="19"/>
  <c r="BI102" i="19"/>
  <c r="AP28" i="19"/>
  <c r="AS28" i="19" s="1"/>
  <c r="AR28" i="19"/>
  <c r="AY62" i="19"/>
  <c r="BB62" i="19" s="1"/>
  <c r="AZ62" i="19"/>
  <c r="BJ74" i="19"/>
  <c r="BI74" i="19"/>
  <c r="BJ62" i="19"/>
  <c r="BI62" i="19"/>
  <c r="AG28" i="19"/>
  <c r="AJ28" i="19" s="1"/>
  <c r="AH28" i="19"/>
  <c r="Z102" i="19"/>
  <c r="Y102" i="19"/>
  <c r="AV101" i="19"/>
  <c r="AJ1724" i="2"/>
  <c r="AS1272" i="2"/>
  <c r="KL951" i="5" s="1"/>
  <c r="KO951" i="5"/>
  <c r="JN1027" i="5"/>
  <c r="W101" i="19"/>
  <c r="JN813" i="5"/>
  <c r="JM813" i="5" s="1"/>
  <c r="W10" i="19"/>
  <c r="JN948" i="5"/>
  <c r="W71" i="19"/>
  <c r="Y71" i="19" s="1"/>
  <c r="KC953" i="5"/>
  <c r="KA953" i="5" s="1"/>
  <c r="KB953" i="5" s="1"/>
  <c r="AI648" i="2"/>
  <c r="AI739" i="2"/>
  <c r="AJ739" i="2"/>
  <c r="AR1101" i="2"/>
  <c r="KI795" i="5" s="1"/>
  <c r="KG795" i="5" s="1"/>
  <c r="KH795" i="5" s="1"/>
  <c r="AK1877" i="2"/>
  <c r="AI582" i="2"/>
  <c r="AJ582" i="2"/>
  <c r="AI594" i="2"/>
  <c r="AJ594" i="2"/>
  <c r="AK1914" i="2"/>
  <c r="AI550" i="2"/>
  <c r="AJ550" i="2"/>
  <c r="AI558" i="2"/>
  <c r="AJ558" i="2"/>
  <c r="AI542" i="2"/>
  <c r="AJ542" i="2"/>
  <c r="AI600" i="2"/>
  <c r="AJ600" i="2"/>
  <c r="AJ1667" i="2"/>
  <c r="AI554" i="2"/>
  <c r="AJ554" i="2"/>
  <c r="AI566" i="2"/>
  <c r="AJ566" i="2"/>
  <c r="AI520" i="2"/>
  <c r="AJ520" i="2"/>
  <c r="AI590" i="2"/>
  <c r="AJ590" i="2"/>
  <c r="AI494" i="2"/>
  <c r="AJ494" i="2"/>
  <c r="AI570" i="2"/>
  <c r="AJ570" i="2"/>
  <c r="AM507" i="2"/>
  <c r="AI465" i="2"/>
  <c r="AJ465" i="2"/>
  <c r="AI578" i="2"/>
  <c r="AJ578" i="2"/>
  <c r="AI574" i="2"/>
  <c r="AJ574" i="2"/>
  <c r="AI498" i="2"/>
  <c r="AI604" i="2"/>
  <c r="AJ604" i="2"/>
  <c r="JQ834" i="5"/>
  <c r="JO834" i="5" s="1"/>
  <c r="JP834" i="5" s="1"/>
  <c r="AK603" i="2"/>
  <c r="AK593" i="2"/>
  <c r="AK561" i="2"/>
  <c r="AK541" i="2"/>
  <c r="JQ822" i="5"/>
  <c r="JP822" i="5" s="1"/>
  <c r="AL1119" i="2"/>
  <c r="IY1092" i="5"/>
  <c r="AF1268" i="2"/>
  <c r="AH1370" i="2"/>
  <c r="AH1479" i="2" s="1"/>
  <c r="AH1566" i="2" s="1"/>
  <c r="BH102" i="19"/>
  <c r="BK102" i="19" s="1"/>
  <c r="AP1727" i="2"/>
  <c r="BH62" i="19"/>
  <c r="BK62" i="19" s="1"/>
  <c r="AJ1419" i="2"/>
  <c r="AJ1508" i="2" s="1"/>
  <c r="AQ1274" i="2"/>
  <c r="AQ1273" i="2" s="1"/>
  <c r="JT892" i="5"/>
  <c r="O23" i="19"/>
  <c r="N23" i="19" s="1"/>
  <c r="BJ102" i="19"/>
  <c r="AR1088" i="2"/>
  <c r="AS1088" i="2" s="1"/>
  <c r="AT1088" i="2" s="1"/>
  <c r="AV1088" i="2" s="1"/>
  <c r="AU1088" i="2" s="1"/>
  <c r="AM1316" i="2"/>
  <c r="JT990" i="5" s="1"/>
  <c r="AQ1277" i="2"/>
  <c r="KF956" i="5" s="1"/>
  <c r="KD956" i="5" s="1"/>
  <c r="KE956" i="5" s="1"/>
  <c r="AM1128" i="2"/>
  <c r="AN1128" i="2" s="1"/>
  <c r="AL634" i="2"/>
  <c r="P31" i="19"/>
  <c r="R31" i="19" s="1"/>
  <c r="AP1673" i="2"/>
  <c r="AP1679" i="2" s="1"/>
  <c r="Q31" i="19"/>
  <c r="BA62" i="19"/>
  <c r="AE1678" i="2"/>
  <c r="AM1242" i="2"/>
  <c r="JT921" i="5" s="1"/>
  <c r="JQ921" i="5"/>
  <c r="JO921" i="5" s="1"/>
  <c r="JP921" i="5" s="1"/>
  <c r="AL548" i="2"/>
  <c r="JQ788" i="5"/>
  <c r="JO788" i="5" s="1"/>
  <c r="AL1698" i="2"/>
  <c r="AJ514" i="2"/>
  <c r="JM950" i="5"/>
  <c r="AK1723" i="2" s="1"/>
  <c r="AL1269" i="2"/>
  <c r="AK548" i="2"/>
  <c r="JN788" i="5"/>
  <c r="JN868" i="5"/>
  <c r="AM1148" i="2"/>
  <c r="JT842" i="5" s="1"/>
  <c r="JR842" i="5" s="1"/>
  <c r="JS842" i="5" s="1"/>
  <c r="AJ584" i="2"/>
  <c r="AP1352" i="2"/>
  <c r="KC1028" i="5"/>
  <c r="AF1678" i="2"/>
  <c r="JW831" i="5"/>
  <c r="JU831" i="5" s="1"/>
  <c r="JV831" i="5" s="1"/>
  <c r="AO1137" i="2"/>
  <c r="AN1140" i="2"/>
  <c r="JW834" i="5" s="1"/>
  <c r="AP1268" i="2"/>
  <c r="KC948" i="5"/>
  <c r="BG101" i="19"/>
  <c r="JZ1027" i="5"/>
  <c r="X72" i="19"/>
  <c r="AA72" i="19" s="1"/>
  <c r="KC952" i="5"/>
  <c r="AH1678" i="2"/>
  <c r="JQ830" i="5"/>
  <c r="JO830" i="5" s="1"/>
  <c r="JP830" i="5" s="1"/>
  <c r="AJ536" i="2"/>
  <c r="BF62" i="19"/>
  <c r="JK1058" i="5"/>
  <c r="AP1276" i="2"/>
  <c r="KC955" i="5" s="1"/>
  <c r="KA955" i="5" s="1"/>
  <c r="KB955" i="5" s="1"/>
  <c r="KC956" i="5"/>
  <c r="KA956" i="5" s="1"/>
  <c r="KB956" i="5" s="1"/>
  <c r="AL1317" i="2"/>
  <c r="JQ991" i="5" s="1"/>
  <c r="JN991" i="5"/>
  <c r="JM990" i="5" s="1"/>
  <c r="AN1318" i="2"/>
  <c r="JW992" i="5" s="1"/>
  <c r="JX952" i="5"/>
  <c r="JY952" i="5" s="1"/>
  <c r="AN1135" i="2"/>
  <c r="JW829" i="5" s="1"/>
  <c r="AQ532" i="2"/>
  <c r="KF790" i="5"/>
  <c r="KD790" i="5" s="1"/>
  <c r="KE790" i="5" s="1"/>
  <c r="AP1667" i="2"/>
  <c r="KC813" i="5"/>
  <c r="KB813" i="5" s="1"/>
  <c r="AL1725" i="2"/>
  <c r="AF72" i="19"/>
  <c r="AL1374" i="2"/>
  <c r="AL1700" i="2"/>
  <c r="AL1708" i="2" s="1"/>
  <c r="N72" i="19"/>
  <c r="P72" i="19"/>
  <c r="R72" i="19" s="1"/>
  <c r="Q72" i="19"/>
  <c r="AN720" i="2"/>
  <c r="AM719" i="2"/>
  <c r="AM718" i="2" s="1"/>
  <c r="JT950" i="5" s="1"/>
  <c r="AL352" i="2"/>
  <c r="AN632" i="2"/>
  <c r="AO632" i="2"/>
  <c r="AO350" i="2"/>
  <c r="AP632" i="2" s="1"/>
  <c r="AE738" i="2"/>
  <c r="AF738" i="2"/>
  <c r="AH1721" i="2"/>
  <c r="AH1715" i="2" s="1"/>
  <c r="AO1667" i="2"/>
  <c r="AL339" i="2"/>
  <c r="AL621" i="2"/>
  <c r="AK672" i="2"/>
  <c r="AL672" i="2" s="1"/>
  <c r="AM672" i="2" s="1"/>
  <c r="AN672" i="2" s="1"/>
  <c r="AO672" i="2" s="1"/>
  <c r="AP672" i="2" s="1"/>
  <c r="AQ672" i="2" s="1"/>
  <c r="AR672" i="2" s="1"/>
  <c r="AS672" i="2" s="1"/>
  <c r="AT672" i="2" s="1"/>
  <c r="AK599" i="2"/>
  <c r="AL599" i="2" s="1"/>
  <c r="AM599" i="2" s="1"/>
  <c r="AN599" i="2" s="1"/>
  <c r="AO599" i="2" s="1"/>
  <c r="AP599" i="2" s="1"/>
  <c r="AQ599" i="2" s="1"/>
  <c r="AR599" i="2" s="1"/>
  <c r="AS599" i="2" s="1"/>
  <c r="AT599" i="2" s="1"/>
  <c r="JN573" i="5"/>
  <c r="JL573" i="5" s="1"/>
  <c r="JM573" i="5" s="1"/>
  <c r="AK680" i="2"/>
  <c r="AL680" i="2" s="1"/>
  <c r="AM680" i="2" s="1"/>
  <c r="AN680" i="2" s="1"/>
  <c r="AO680" i="2" s="1"/>
  <c r="AP680" i="2" s="1"/>
  <c r="AQ680" i="2" s="1"/>
  <c r="AR680" i="2" s="1"/>
  <c r="AS680" i="2" s="1"/>
  <c r="AT680" i="2" s="1"/>
  <c r="AM389" i="2"/>
  <c r="AN389" i="2" s="1"/>
  <c r="AK666" i="2"/>
  <c r="AL666" i="2" s="1"/>
  <c r="AM666" i="2" s="1"/>
  <c r="AN666" i="2" s="1"/>
  <c r="AO666" i="2" s="1"/>
  <c r="AP666" i="2" s="1"/>
  <c r="AQ666" i="2" s="1"/>
  <c r="AR666" i="2" s="1"/>
  <c r="AS666" i="2" s="1"/>
  <c r="AT666" i="2" s="1"/>
  <c r="AJ1380" i="2"/>
  <c r="AJ1388" i="2" s="1"/>
  <c r="T61" i="21"/>
  <c r="AK647" i="2"/>
  <c r="AK444" i="2"/>
  <c r="AI441" i="2"/>
  <c r="AR1096" i="2"/>
  <c r="AF441" i="2"/>
  <c r="AL452" i="2"/>
  <c r="AK451" i="2"/>
  <c r="AK1065" i="2"/>
  <c r="JN759" i="5" s="1"/>
  <c r="JM759" i="5" s="1"/>
  <c r="AL448" i="2"/>
  <c r="AK447" i="2"/>
  <c r="AC546" i="2"/>
  <c r="AA528" i="2"/>
  <c r="AD528" i="2"/>
  <c r="AE534" i="2"/>
  <c r="AC528" i="2"/>
  <c r="Z437" i="2"/>
  <c r="AA1146" i="2" s="1"/>
  <c r="AA533" i="2"/>
  <c r="AA532" i="2"/>
  <c r="AE528" i="2"/>
  <c r="AB437" i="2"/>
  <c r="AC1146" i="2" s="1"/>
  <c r="AC533" i="2"/>
  <c r="AC534" i="2" s="1"/>
  <c r="AC532" i="2"/>
  <c r="AE437" i="2"/>
  <c r="AF534" i="2"/>
  <c r="AF532" i="2"/>
  <c r="AO527" i="2"/>
  <c r="AE546" i="2"/>
  <c r="AB528" i="2"/>
  <c r="AB546" i="2"/>
  <c r="AG528" i="2"/>
  <c r="Z528" i="2"/>
  <c r="AB1380" i="2"/>
  <c r="AB1388" i="2" s="1"/>
  <c r="AF1380" i="2"/>
  <c r="AF1388" i="2" s="1"/>
  <c r="Z1380" i="2"/>
  <c r="Z1388" i="2" s="1"/>
  <c r="AE1380" i="2"/>
  <c r="AE1388" i="2" s="1"/>
  <c r="AC1380" i="2"/>
  <c r="AC1388" i="2" s="1"/>
  <c r="AH1188" i="2"/>
  <c r="AH1380" i="2" s="1"/>
  <c r="AH1388" i="2" s="1"/>
  <c r="JE1058" i="5"/>
  <c r="JE1067" i="5" s="1"/>
  <c r="AF470" i="2"/>
  <c r="AA1380" i="2"/>
  <c r="AA1388" i="2" s="1"/>
  <c r="AI1188" i="2"/>
  <c r="JH1058" i="5"/>
  <c r="JH1067" i="5" s="1"/>
  <c r="AG470" i="2"/>
  <c r="AD1380" i="2"/>
  <c r="AD1388" i="2" s="1"/>
  <c r="AD490" i="2"/>
  <c r="AG772" i="2"/>
  <c r="JB576" i="5" s="1"/>
  <c r="JA576" i="5" s="1"/>
  <c r="JA719" i="5" s="1"/>
  <c r="AH470" i="2"/>
  <c r="AI469" i="2"/>
  <c r="JB577" i="5"/>
  <c r="JA577" i="5" s="1"/>
  <c r="JA720" i="5" s="1"/>
  <c r="BH74" i="19"/>
  <c r="BK74" i="19" s="1"/>
  <c r="AV56" i="19"/>
  <c r="AW56" i="19" s="1"/>
  <c r="AF1463" i="2"/>
  <c r="AF1552" i="2" s="1"/>
  <c r="Z542" i="2"/>
  <c r="AE1090" i="5"/>
  <c r="AN664" i="5"/>
  <c r="AN736" i="5" s="1"/>
  <c r="AI1721" i="2"/>
  <c r="AI1715" i="2" s="1"/>
  <c r="AE1810" i="2"/>
  <c r="JX955" i="5"/>
  <c r="JY955" i="5" s="1"/>
  <c r="AO1729" i="2"/>
  <c r="JP952" i="5"/>
  <c r="AL1727" i="2" s="1"/>
  <c r="AL1726" i="2" s="1"/>
  <c r="AK1728" i="2"/>
  <c r="AT1090" i="5"/>
  <c r="GO932" i="5"/>
  <c r="AY1041" i="5"/>
  <c r="AY1098" i="5" s="1"/>
  <c r="BF1090" i="5"/>
  <c r="BV1090" i="5"/>
  <c r="BA1041" i="5"/>
  <c r="BA1098" i="5" s="1"/>
  <c r="DT658" i="5"/>
  <c r="DT665" i="5" s="1"/>
  <c r="DT737" i="5" s="1"/>
  <c r="DT723" i="5"/>
  <c r="EB906" i="5"/>
  <c r="EB925" i="5" s="1"/>
  <c r="EB1091" i="5" s="1"/>
  <c r="EB1075" i="5"/>
  <c r="CB1041" i="5"/>
  <c r="CB1098" i="5" s="1"/>
  <c r="FS906" i="5"/>
  <c r="FS1085" i="5" s="1"/>
  <c r="AU1041" i="5"/>
  <c r="AU1098" i="5" s="1"/>
  <c r="FS905" i="5"/>
  <c r="FS1084" i="5" s="1"/>
  <c r="DK1241" i="5"/>
  <c r="AZ1041" i="5"/>
  <c r="AZ1098" i="5" s="1"/>
  <c r="T1041" i="5"/>
  <c r="T1098" i="5" s="1"/>
  <c r="ET905" i="5"/>
  <c r="ET1084" i="5" s="1"/>
  <c r="ET1075" i="5"/>
  <c r="ET906" i="5"/>
  <c r="ET925" i="5" s="1"/>
  <c r="ET1091" i="5" s="1"/>
  <c r="GT1257" i="5"/>
  <c r="GT1256" i="5"/>
  <c r="CQ906" i="5"/>
  <c r="CQ932" i="5"/>
  <c r="AL1090" i="5"/>
  <c r="DK1075" i="5"/>
  <c r="DK932" i="5"/>
  <c r="GY905" i="5"/>
  <c r="GY924" i="5" s="1"/>
  <c r="GY1041" i="5" s="1"/>
  <c r="GY932" i="5"/>
  <c r="BE1041" i="5"/>
  <c r="BE1098" i="5" s="1"/>
  <c r="FP1085" i="5"/>
  <c r="V28" i="19"/>
  <c r="FM906" i="5"/>
  <c r="FM1085" i="5" s="1"/>
  <c r="FM932" i="5"/>
  <c r="CL905" i="5"/>
  <c r="CL1084" i="5" s="1"/>
  <c r="CL932" i="5"/>
  <c r="DW905" i="5"/>
  <c r="DW1084" i="5" s="1"/>
  <c r="DW932" i="5"/>
  <c r="DH1075" i="5"/>
  <c r="DH932" i="5"/>
  <c r="CQ905" i="5"/>
  <c r="CQ1084" i="5" s="1"/>
  <c r="EM905" i="5"/>
  <c r="EM924" i="5" s="1"/>
  <c r="EM1041" i="5" s="1"/>
  <c r="EM1098" i="5" s="1"/>
  <c r="EM932" i="5"/>
  <c r="EW906" i="5"/>
  <c r="EW1085" i="5" s="1"/>
  <c r="EW932" i="5"/>
  <c r="CG905" i="5"/>
  <c r="CG924" i="5" s="1"/>
  <c r="CG1041" i="5" s="1"/>
  <c r="CG1098" i="5" s="1"/>
  <c r="CG932" i="5"/>
  <c r="CJ1075" i="5"/>
  <c r="CJ932" i="5"/>
  <c r="X28" i="19"/>
  <c r="AA28" i="19" s="1"/>
  <c r="DS906" i="5"/>
  <c r="DS925" i="5" s="1"/>
  <c r="DS1091" i="5" s="1"/>
  <c r="DS932" i="5"/>
  <c r="DJ1075" i="5"/>
  <c r="DJ932" i="5"/>
  <c r="DP1075" i="5"/>
  <c r="DP932" i="5"/>
  <c r="EJ1075" i="5"/>
  <c r="EJ932" i="5"/>
  <c r="DV1075" i="5"/>
  <c r="DV932" i="5"/>
  <c r="EF1075" i="5"/>
  <c r="EF932" i="5"/>
  <c r="ES1075" i="5"/>
  <c r="ES932" i="5"/>
  <c r="CN905" i="5"/>
  <c r="CN924" i="5" s="1"/>
  <c r="CN1041" i="5" s="1"/>
  <c r="CN1098" i="5" s="1"/>
  <c r="CN932" i="5"/>
  <c r="ED1075" i="5"/>
  <c r="ED932" i="5"/>
  <c r="CU1075" i="5"/>
  <c r="CU932" i="5"/>
  <c r="CP1075" i="5"/>
  <c r="CP932" i="5"/>
  <c r="DQ905" i="5"/>
  <c r="DQ1084" i="5" s="1"/>
  <c r="DQ932" i="5"/>
  <c r="FI925" i="5"/>
  <c r="FI1091" i="5" s="1"/>
  <c r="EG905" i="5"/>
  <c r="EG924" i="5" s="1"/>
  <c r="EG932" i="5"/>
  <c r="FU905" i="5"/>
  <c r="FU1084" i="5" s="1"/>
  <c r="FU932" i="5"/>
  <c r="FH1075" i="5"/>
  <c r="FH932" i="5"/>
  <c r="CE1075" i="5"/>
  <c r="CE932" i="5"/>
  <c r="FT905" i="5"/>
  <c r="FT1084" i="5" s="1"/>
  <c r="FT932" i="5"/>
  <c r="CW1075" i="5"/>
  <c r="CW932" i="5"/>
  <c r="FG1075" i="5"/>
  <c r="FG932" i="5"/>
  <c r="EA1075" i="5"/>
  <c r="EA932" i="5"/>
  <c r="EX905" i="5"/>
  <c r="EX924" i="5" s="1"/>
  <c r="EX932" i="5"/>
  <c r="EI905" i="5"/>
  <c r="EI1084" i="5" s="1"/>
  <c r="EI932" i="5"/>
  <c r="EB905" i="5"/>
  <c r="EB1084" i="5" s="1"/>
  <c r="DZ905" i="5"/>
  <c r="DZ1084" i="5" s="1"/>
  <c r="DZ932" i="5"/>
  <c r="CH906" i="5"/>
  <c r="CH1085" i="5" s="1"/>
  <c r="CH932" i="5"/>
  <c r="DB906" i="5"/>
  <c r="DB1085" i="5" s="1"/>
  <c r="DB932" i="5"/>
  <c r="CR1075" i="5"/>
  <c r="CR932" i="5"/>
  <c r="EV906" i="5"/>
  <c r="EV1085" i="5" s="1"/>
  <c r="EV932" i="5"/>
  <c r="EP1075" i="5"/>
  <c r="EP932" i="5"/>
  <c r="FC906" i="5"/>
  <c r="FC1085" i="5" s="1"/>
  <c r="FC932" i="5"/>
  <c r="GJ905" i="5"/>
  <c r="GJ924" i="5" s="1"/>
  <c r="GJ1041" i="5" s="1"/>
  <c r="GJ932" i="5"/>
  <c r="EE905" i="5"/>
  <c r="EE1084" i="5" s="1"/>
  <c r="EE932" i="5"/>
  <c r="CV906" i="5"/>
  <c r="CV925" i="5" s="1"/>
  <c r="CV1091" i="5" s="1"/>
  <c r="CV932" i="5"/>
  <c r="EK1075" i="5"/>
  <c r="EK932" i="5"/>
  <c r="DL1075" i="5"/>
  <c r="DL932" i="5"/>
  <c r="EO905" i="5"/>
  <c r="EO1084" i="5" s="1"/>
  <c r="EO932" i="5"/>
  <c r="CQ1075" i="5"/>
  <c r="DM906" i="5"/>
  <c r="DM925" i="5" s="1"/>
  <c r="DM1091" i="5" s="1"/>
  <c r="DM932" i="5"/>
  <c r="ER1075" i="5"/>
  <c r="ER932" i="5"/>
  <c r="FK906" i="5"/>
  <c r="FK1085" i="5" s="1"/>
  <c r="FK932" i="5"/>
  <c r="EU906" i="5"/>
  <c r="EU1085" i="5" s="1"/>
  <c r="EU932" i="5"/>
  <c r="DT906" i="5"/>
  <c r="DT925" i="5" s="1"/>
  <c r="DT1091" i="5" s="1"/>
  <c r="DT932" i="5"/>
  <c r="DO905" i="5"/>
  <c r="DO1084" i="5" s="1"/>
  <c r="DO932" i="5"/>
  <c r="CY1075" i="5"/>
  <c r="CY932" i="5"/>
  <c r="CT906" i="5"/>
  <c r="CT925" i="5" s="1"/>
  <c r="CT1091" i="5" s="1"/>
  <c r="CT932" i="5"/>
  <c r="CO1075" i="5"/>
  <c r="CO932" i="5"/>
  <c r="DF906" i="5"/>
  <c r="DF925" i="5" s="1"/>
  <c r="DF1091" i="5" s="1"/>
  <c r="DF932" i="5"/>
  <c r="CS906" i="5"/>
  <c r="CS925" i="5" s="1"/>
  <c r="CS1091" i="5" s="1"/>
  <c r="CS932" i="5"/>
  <c r="EL905" i="5"/>
  <c r="EL924" i="5" s="1"/>
  <c r="EL932" i="5"/>
  <c r="CI1075" i="5"/>
  <c r="CI932" i="5"/>
  <c r="DA1075" i="5"/>
  <c r="DA932" i="5"/>
  <c r="Y1415" i="2"/>
  <c r="Y1504" i="2" s="1"/>
  <c r="AC582" i="2"/>
  <c r="AA1415" i="2"/>
  <c r="AA1504" i="2" s="1"/>
  <c r="AF558" i="2"/>
  <c r="AB562" i="2"/>
  <c r="AA562" i="2"/>
  <c r="BF28" i="19"/>
  <c r="BF10" i="19"/>
  <c r="AN1644" i="2"/>
  <c r="AE28" i="19"/>
  <c r="JU1019" i="5"/>
  <c r="BG97" i="19"/>
  <c r="AI28" i="19"/>
  <c r="BE74" i="19"/>
  <c r="BF74" i="19" s="1"/>
  <c r="AE102" i="19"/>
  <c r="EE906" i="5"/>
  <c r="EE925" i="5" s="1"/>
  <c r="EE1091" i="5" s="1"/>
  <c r="GR932" i="5"/>
  <c r="AR1041" i="5"/>
  <c r="AR1098" i="5" s="1"/>
  <c r="EU905" i="5"/>
  <c r="EU1084" i="5" s="1"/>
  <c r="EP657" i="5"/>
  <c r="EP664" i="5" s="1"/>
  <c r="EP700" i="5" s="1"/>
  <c r="EU1075" i="5"/>
  <c r="EI1075" i="5"/>
  <c r="EI906" i="5"/>
  <c r="EI1085" i="5" s="1"/>
  <c r="ED658" i="5"/>
  <c r="ED665" i="5" s="1"/>
  <c r="EP658" i="5"/>
  <c r="EP665" i="5" s="1"/>
  <c r="EA905" i="5"/>
  <c r="EA1084" i="5" s="1"/>
  <c r="P1090" i="5"/>
  <c r="EA906" i="5"/>
  <c r="EA1085" i="5" s="1"/>
  <c r="FU906" i="5"/>
  <c r="FU925" i="5" s="1"/>
  <c r="FU1091" i="5" s="1"/>
  <c r="FU1075" i="5"/>
  <c r="DA905" i="5"/>
  <c r="DA1084" i="5" s="1"/>
  <c r="U664" i="5"/>
  <c r="U667" i="5" s="1"/>
  <c r="X730" i="5"/>
  <c r="GV905" i="5"/>
  <c r="GV924" i="5" s="1"/>
  <c r="GV1041" i="5" s="1"/>
  <c r="FS1075" i="5"/>
  <c r="DT657" i="5"/>
  <c r="DT664" i="5" s="1"/>
  <c r="BA74" i="19"/>
  <c r="BA102" i="19"/>
  <c r="AW102" i="19"/>
  <c r="BA98" i="19"/>
  <c r="AW98" i="19"/>
  <c r="BA73" i="19"/>
  <c r="AW73" i="19"/>
  <c r="BA99" i="19"/>
  <c r="AW99" i="19"/>
  <c r="BA100" i="19"/>
  <c r="AW100" i="19"/>
  <c r="BA29" i="19"/>
  <c r="AW29" i="19"/>
  <c r="AR74" i="19"/>
  <c r="AN102" i="19"/>
  <c r="V102" i="19"/>
  <c r="KZ1090" i="5"/>
  <c r="EM588" i="5"/>
  <c r="EM1241" i="5" s="1"/>
  <c r="EM1257" i="5" s="1"/>
  <c r="HC905" i="5"/>
  <c r="HC924" i="5" s="1"/>
  <c r="HC1041" i="5" s="1"/>
  <c r="CB664" i="5"/>
  <c r="CB736" i="5" s="1"/>
  <c r="BI667" i="5"/>
  <c r="BI738" i="5" s="1"/>
  <c r="GK932" i="5"/>
  <c r="Y667" i="5"/>
  <c r="Y681" i="5" s="1"/>
  <c r="EK906" i="5"/>
  <c r="EK1085" i="5" s="1"/>
  <c r="EK905" i="5"/>
  <c r="EK1084" i="5" s="1"/>
  <c r="BU1041" i="5"/>
  <c r="BU1098" i="5" s="1"/>
  <c r="ED657" i="5"/>
  <c r="ED664" i="5" s="1"/>
  <c r="ED700" i="5" s="1"/>
  <c r="HF905" i="5"/>
  <c r="HF924" i="5" s="1"/>
  <c r="HF1041" i="5" s="1"/>
  <c r="HA932" i="5"/>
  <c r="C114" i="7"/>
  <c r="E114" i="7" s="1"/>
  <c r="AB1464" i="2"/>
  <c r="AB1553" i="2" s="1"/>
  <c r="HD905" i="5"/>
  <c r="HD924" i="5" s="1"/>
  <c r="HD1041" i="5" s="1"/>
  <c r="DP906" i="5"/>
  <c r="DP1085" i="5" s="1"/>
  <c r="FC1075" i="5"/>
  <c r="DP905" i="5"/>
  <c r="DP1084" i="5" s="1"/>
  <c r="FC905" i="5"/>
  <c r="FC1084" i="5" s="1"/>
  <c r="Z538" i="2"/>
  <c r="EW1075" i="5"/>
  <c r="EM654" i="5"/>
  <c r="GP932" i="5"/>
  <c r="GM932" i="5"/>
  <c r="AM1090" i="5"/>
  <c r="CO657" i="5"/>
  <c r="CO730" i="5" s="1"/>
  <c r="EM652" i="5"/>
  <c r="GX905" i="5"/>
  <c r="GX924" i="5" s="1"/>
  <c r="GX1041" i="5" s="1"/>
  <c r="DG723" i="5"/>
  <c r="EM653" i="5"/>
  <c r="DZ1075" i="5"/>
  <c r="FR906" i="5"/>
  <c r="FR925" i="5" s="1"/>
  <c r="FR1091" i="5" s="1"/>
  <c r="CG906" i="5"/>
  <c r="CG925" i="5" s="1"/>
  <c r="CG1091" i="5" s="1"/>
  <c r="CG1075" i="5"/>
  <c r="CH1075" i="5"/>
  <c r="CR658" i="5"/>
  <c r="CR665" i="5" s="1"/>
  <c r="CR737" i="5" s="1"/>
  <c r="DA906" i="5"/>
  <c r="DA925" i="5" s="1"/>
  <c r="DA1091" i="5" s="1"/>
  <c r="X667" i="5"/>
  <c r="X681" i="5" s="1"/>
  <c r="CQ723" i="5"/>
  <c r="EW905" i="5"/>
  <c r="EW1084" i="5" s="1"/>
  <c r="E1090" i="5"/>
  <c r="HE905" i="5"/>
  <c r="HE924" i="5" s="1"/>
  <c r="HE1041" i="5" s="1"/>
  <c r="CQ658" i="5"/>
  <c r="CQ731" i="5" s="1"/>
  <c r="CP658" i="5"/>
  <c r="CP731" i="5" s="1"/>
  <c r="CP1241" i="5"/>
  <c r="DZ906" i="5"/>
  <c r="DZ1085" i="5" s="1"/>
  <c r="AA1647" i="2"/>
  <c r="DM652" i="5"/>
  <c r="DV905" i="5"/>
  <c r="DV924" i="5" s="1"/>
  <c r="DV1090" i="5" s="1"/>
  <c r="DJ906" i="5"/>
  <c r="DJ925" i="5" s="1"/>
  <c r="DJ1091" i="5" s="1"/>
  <c r="DJ905" i="5"/>
  <c r="DJ924" i="5" s="1"/>
  <c r="EL1075" i="5"/>
  <c r="Y1156" i="2"/>
  <c r="CS905" i="5"/>
  <c r="CS1084" i="5" s="1"/>
  <c r="EL906" i="5"/>
  <c r="EL925" i="5" s="1"/>
  <c r="EL1091" i="5" s="1"/>
  <c r="DH1241" i="5"/>
  <c r="IS1096" i="5"/>
  <c r="CH905" i="5"/>
  <c r="CH924" i="5" s="1"/>
  <c r="CH1041" i="5" s="1"/>
  <c r="CH1098" i="5" s="1"/>
  <c r="Z41" i="19"/>
  <c r="AA1041" i="5"/>
  <c r="AA1098" i="5" s="1"/>
  <c r="DS905" i="5"/>
  <c r="DS1084" i="5" s="1"/>
  <c r="FH1257" i="5"/>
  <c r="GW905" i="5"/>
  <c r="GW924" i="5" s="1"/>
  <c r="GW1041" i="5" s="1"/>
  <c r="X1090" i="5"/>
  <c r="FK1257" i="5"/>
  <c r="BR664" i="5"/>
  <c r="BR667" i="5" s="1"/>
  <c r="FK1075" i="5"/>
  <c r="DS1075" i="5"/>
  <c r="CO906" i="5"/>
  <c r="CO1085" i="5" s="1"/>
  <c r="EP906" i="5"/>
  <c r="EP1085" i="5" s="1"/>
  <c r="CO905" i="5"/>
  <c r="CO1084" i="5" s="1"/>
  <c r="Y1041" i="5"/>
  <c r="Y1098" i="5" s="1"/>
  <c r="DW1075" i="5"/>
  <c r="CF1241" i="5"/>
  <c r="HB905" i="5"/>
  <c r="HB924" i="5" s="1"/>
  <c r="HB1041" i="5" s="1"/>
  <c r="AG74" i="19"/>
  <c r="AJ74" i="19" s="1"/>
  <c r="BW1041" i="5"/>
  <c r="BW1098" i="5" s="1"/>
  <c r="DW906" i="5"/>
  <c r="DW1085" i="5" s="1"/>
  <c r="BY1090" i="5"/>
  <c r="JE907" i="5"/>
  <c r="AH1228" i="2" s="1"/>
  <c r="AH1883" i="2" s="1"/>
  <c r="FG905" i="5"/>
  <c r="FG924" i="5" s="1"/>
  <c r="JD1059" i="5"/>
  <c r="JD1068" i="5" s="1"/>
  <c r="IH754" i="5"/>
  <c r="IH932" i="5" s="1"/>
  <c r="IH942" i="5" s="1"/>
  <c r="FK1256" i="5"/>
  <c r="Z74" i="19"/>
  <c r="FQ1257" i="5"/>
  <c r="GN932" i="5"/>
  <c r="G730" i="5"/>
  <c r="P10" i="19"/>
  <c r="R10" i="19" s="1"/>
  <c r="N10" i="19"/>
  <c r="E127" i="7"/>
  <c r="CF723" i="5"/>
  <c r="GS932" i="5"/>
  <c r="EV905" i="5"/>
  <c r="EV1084" i="5" s="1"/>
  <c r="IS813" i="5"/>
  <c r="AD1119" i="2" s="1"/>
  <c r="X43" i="19"/>
  <c r="AA43" i="19" s="1"/>
  <c r="EP905" i="5"/>
  <c r="EP1084" i="5" s="1"/>
  <c r="GK1247" i="5"/>
  <c r="ER657" i="5"/>
  <c r="ER664" i="5" s="1"/>
  <c r="ER700" i="5" s="1"/>
  <c r="FK905" i="5"/>
  <c r="FK1084" i="5" s="1"/>
  <c r="AE1976" i="2"/>
  <c r="AG542" i="2"/>
  <c r="AD608" i="2"/>
  <c r="X1647" i="2"/>
  <c r="AB520" i="2"/>
  <c r="AF1647" i="2"/>
  <c r="AO1344" i="2"/>
  <c r="E101" i="19"/>
  <c r="G101" i="19" s="1"/>
  <c r="E102" i="19"/>
  <c r="G102" i="19" s="1"/>
  <c r="E8" i="19"/>
  <c r="G8" i="19" s="1"/>
  <c r="AY102" i="19"/>
  <c r="BB102" i="19" s="1"/>
  <c r="AB461" i="2"/>
  <c r="AG1668" i="2"/>
  <c r="E71" i="19"/>
  <c r="G71" i="19" s="1"/>
  <c r="D5" i="19"/>
  <c r="F5" i="19" s="1"/>
  <c r="AB1396" i="2"/>
  <c r="AB1485" i="2" s="1"/>
  <c r="D70" i="19"/>
  <c r="F70" i="19" s="1"/>
  <c r="AK1688" i="2"/>
  <c r="O71" i="19"/>
  <c r="N71" i="19" s="1"/>
  <c r="JS1027" i="5"/>
  <c r="AM62" i="19"/>
  <c r="AN62" i="19" s="1"/>
  <c r="U72" i="19"/>
  <c r="V72" i="19" s="1"/>
  <c r="AD62" i="19"/>
  <c r="AE62" i="19" s="1"/>
  <c r="AD101" i="19"/>
  <c r="JO1019" i="5"/>
  <c r="AD74" i="19"/>
  <c r="AE74" i="19" s="1"/>
  <c r="U62" i="19"/>
  <c r="V62" i="19" s="1"/>
  <c r="AM74" i="19"/>
  <c r="AN74" i="19" s="1"/>
  <c r="U74" i="19"/>
  <c r="V74" i="19" s="1"/>
  <c r="U56" i="19"/>
  <c r="V56" i="19" s="1"/>
  <c r="O101" i="19"/>
  <c r="AM101" i="19"/>
  <c r="AX101" i="19"/>
  <c r="AZ101" i="19" s="1"/>
  <c r="AO101" i="19"/>
  <c r="AQ101" i="19" s="1"/>
  <c r="AF101" i="19"/>
  <c r="AC520" i="2"/>
  <c r="AD441" i="2"/>
  <c r="AG39" i="19"/>
  <c r="AJ39" i="19" s="1"/>
  <c r="AF41" i="19"/>
  <c r="O38" i="19"/>
  <c r="N38" i="19" s="1"/>
  <c r="AQ1268" i="2"/>
  <c r="AQ1464" i="2"/>
  <c r="AI74" i="19"/>
  <c r="JP908" i="5"/>
  <c r="AH1949" i="2"/>
  <c r="Z441" i="2"/>
  <c r="AG1404" i="2"/>
  <c r="AG1493" i="2" s="1"/>
  <c r="O25" i="19"/>
  <c r="N25" i="19" s="1"/>
  <c r="Z1660" i="2"/>
  <c r="AA594" i="2"/>
  <c r="AH1405" i="2"/>
  <c r="AH1494" i="2" s="1"/>
  <c r="AC1647" i="2"/>
  <c r="AI1654" i="2"/>
  <c r="E9" i="19"/>
  <c r="G9" i="19" s="1"/>
  <c r="AD520" i="2"/>
  <c r="AD1949" i="2"/>
  <c r="AI1405" i="2"/>
  <c r="AI1494" i="2" s="1"/>
  <c r="E97" i="19"/>
  <c r="G97" i="19" s="1"/>
  <c r="AP1464" i="2"/>
  <c r="AP1553" i="2" s="1"/>
  <c r="AI1658" i="2"/>
  <c r="JV839" i="5"/>
  <c r="E57" i="19"/>
  <c r="G57" i="19" s="1"/>
  <c r="Q10" i="19"/>
  <c r="IU559" i="5"/>
  <c r="R14" i="7" s="1"/>
  <c r="JS908" i="5"/>
  <c r="AP74" i="19"/>
  <c r="AS74" i="19" s="1"/>
  <c r="S14" i="7"/>
  <c r="AY74" i="19"/>
  <c r="BB74" i="19" s="1"/>
  <c r="AH648" i="2"/>
  <c r="AH1636" i="2"/>
  <c r="AI1640" i="2"/>
  <c r="AE498" i="2"/>
  <c r="AB1489" i="2"/>
  <c r="AE1677" i="2"/>
  <c r="AM1130" i="2"/>
  <c r="AK1660" i="2"/>
  <c r="AG1474" i="2"/>
  <c r="AG1563" i="2" s="1"/>
  <c r="AC1680" i="2"/>
  <c r="AC1677" i="2"/>
  <c r="W1666" i="2"/>
  <c r="AE1879" i="2"/>
  <c r="AH1643" i="2"/>
  <c r="AB542" i="2"/>
  <c r="Y1677" i="2"/>
  <c r="Y1680" i="2"/>
  <c r="W1669" i="2"/>
  <c r="AK460" i="2"/>
  <c r="AL460" i="2" s="1"/>
  <c r="AL1068" i="2" s="1"/>
  <c r="JQ762" i="5" s="1"/>
  <c r="AG1647" i="2"/>
  <c r="AE1647" i="2"/>
  <c r="AH1677" i="2"/>
  <c r="Y1647" i="2"/>
  <c r="AA1660" i="2"/>
  <c r="AD1647" i="2"/>
  <c r="AM477" i="2"/>
  <c r="AN477" i="2" s="1"/>
  <c r="AG1677" i="2"/>
  <c r="AF1949" i="2"/>
  <c r="AA1680" i="2"/>
  <c r="AA1677" i="2"/>
  <c r="AD1680" i="2"/>
  <c r="AD1677" i="2"/>
  <c r="AD1405" i="2"/>
  <c r="AD1494" i="2" s="1"/>
  <c r="AC1441" i="2"/>
  <c r="AC1530" i="2" s="1"/>
  <c r="AF1407" i="2"/>
  <c r="AF1405" i="2" s="1"/>
  <c r="AE1660" i="2"/>
  <c r="AF1660" i="2"/>
  <c r="AE1407" i="2"/>
  <c r="AE1496" i="2" s="1"/>
  <c r="AD1660" i="2"/>
  <c r="AE478" i="2"/>
  <c r="Z1407" i="2"/>
  <c r="Z1496" i="2" s="1"/>
  <c r="Y1660" i="2"/>
  <c r="JX839" i="5"/>
  <c r="AE608" i="2"/>
  <c r="AH1907" i="2"/>
  <c r="AB1647" i="2"/>
  <c r="X1677" i="2"/>
  <c r="X1680" i="2"/>
  <c r="AG1437" i="2"/>
  <c r="AG1526" i="2" s="1"/>
  <c r="AK1074" i="2"/>
  <c r="JN768" i="5" s="1"/>
  <c r="Z1680" i="2"/>
  <c r="Z1677" i="2"/>
  <c r="AF1677" i="2"/>
  <c r="AB1680" i="2"/>
  <c r="AB1677" i="2"/>
  <c r="Z1647" i="2"/>
  <c r="AC1405" i="2"/>
  <c r="AC1494" i="2" s="1"/>
  <c r="X1437" i="2"/>
  <c r="X1526" i="2" s="1"/>
  <c r="AA1405" i="2"/>
  <c r="AA1494" i="2" s="1"/>
  <c r="X1381" i="2"/>
  <c r="X1389" i="2" s="1"/>
  <c r="AF494" i="2"/>
  <c r="CU1241" i="5"/>
  <c r="AI730" i="5"/>
  <c r="IS683" i="5"/>
  <c r="P127" i="7" s="1"/>
  <c r="JD1086" i="5"/>
  <c r="FR1075" i="5"/>
  <c r="BG1090" i="5"/>
  <c r="EF657" i="5"/>
  <c r="EF664" i="5" s="1"/>
  <c r="EF700" i="5" s="1"/>
  <c r="JD754" i="5"/>
  <c r="JD1075" i="5" s="1"/>
  <c r="FR905" i="5"/>
  <c r="FR1084" i="5" s="1"/>
  <c r="AN1041" i="5"/>
  <c r="AN1098" i="5" s="1"/>
  <c r="AB1415" i="2"/>
  <c r="AB1504" i="2" s="1"/>
  <c r="JC754" i="5"/>
  <c r="GZ905" i="5"/>
  <c r="GZ924" i="5" s="1"/>
  <c r="GZ1041" i="5" s="1"/>
  <c r="GJ1244" i="5"/>
  <c r="GJ1242" i="5" s="1"/>
  <c r="GJ1250" i="5"/>
  <c r="GJ1249" i="5" s="1"/>
  <c r="GI905" i="5"/>
  <c r="GI924" i="5" s="1"/>
  <c r="CU906" i="5"/>
  <c r="CU925" i="5" s="1"/>
  <c r="CU1091" i="5" s="1"/>
  <c r="AG1132" i="2"/>
  <c r="AG1643" i="2" s="1"/>
  <c r="CI906" i="5"/>
  <c r="CI1085" i="5" s="1"/>
  <c r="CU658" i="5"/>
  <c r="CU731" i="5" s="1"/>
  <c r="GT905" i="5"/>
  <c r="GT924" i="5" s="1"/>
  <c r="GT1041" i="5" s="1"/>
  <c r="GU932" i="5"/>
  <c r="AT667" i="5"/>
  <c r="AT738" i="5" s="1"/>
  <c r="GQ905" i="5"/>
  <c r="GQ924" i="5" s="1"/>
  <c r="GQ1041" i="5" s="1"/>
  <c r="CI905" i="5"/>
  <c r="CI1084" i="5" s="1"/>
  <c r="CU905" i="5"/>
  <c r="CU1084" i="5" s="1"/>
  <c r="L1090" i="5"/>
  <c r="AF546" i="2"/>
  <c r="DH906" i="5"/>
  <c r="DH905" i="5"/>
  <c r="DH924" i="5" s="1"/>
  <c r="DV906" i="5"/>
  <c r="DV925" i="5" s="1"/>
  <c r="DV1091" i="5" s="1"/>
  <c r="DO1075" i="5"/>
  <c r="JC1086" i="5"/>
  <c r="EV550" i="5"/>
  <c r="AO730" i="5"/>
  <c r="JB1086" i="5"/>
  <c r="JB933" i="5"/>
  <c r="JB932" i="5"/>
  <c r="DO906" i="5"/>
  <c r="DO925" i="5" s="1"/>
  <c r="DM1075" i="5"/>
  <c r="AO667" i="5"/>
  <c r="AO681" i="5" s="1"/>
  <c r="CR1241" i="5"/>
  <c r="DD658" i="5"/>
  <c r="DD731" i="5" s="1"/>
  <c r="DB1075" i="5"/>
  <c r="AD1415" i="2"/>
  <c r="AD1504" i="2" s="1"/>
  <c r="AA1607" i="2"/>
  <c r="AG494" i="2"/>
  <c r="AD461" i="2"/>
  <c r="AD1607" i="2"/>
  <c r="X1253" i="2"/>
  <c r="X1264" i="2" s="1"/>
  <c r="X1550" i="2" s="1"/>
  <c r="Z52" i="19"/>
  <c r="X52" i="19"/>
  <c r="AA52" i="19" s="1"/>
  <c r="X1245" i="2"/>
  <c r="X1246" i="2" s="1"/>
  <c r="AF52" i="19"/>
  <c r="O57" i="19"/>
  <c r="N57" i="19" s="1"/>
  <c r="AY73" i="19"/>
  <c r="BB73" i="19" s="1"/>
  <c r="AY29" i="19"/>
  <c r="BB29" i="19" s="1"/>
  <c r="AY100" i="19"/>
  <c r="BB100" i="19" s="1"/>
  <c r="E7" i="19"/>
  <c r="G7" i="19" s="1"/>
  <c r="AY82" i="19"/>
  <c r="BB82" i="19" s="1"/>
  <c r="BA82" i="19"/>
  <c r="AY99" i="19"/>
  <c r="BB99" i="19" s="1"/>
  <c r="AY98" i="19"/>
  <c r="BB98" i="19" s="1"/>
  <c r="P102" i="19"/>
  <c r="R102" i="19" s="1"/>
  <c r="AA801" i="2"/>
  <c r="AF586" i="2"/>
  <c r="AI1558" i="2"/>
  <c r="AB578" i="2"/>
  <c r="Z546" i="2"/>
  <c r="AC494" i="2"/>
  <c r="AA590" i="2"/>
  <c r="AD542" i="2"/>
  <c r="AA558" i="2"/>
  <c r="AA542" i="2"/>
  <c r="AA1396" i="2"/>
  <c r="AA1485" i="2" s="1"/>
  <c r="E19" i="19"/>
  <c r="G19" i="19" s="1"/>
  <c r="AA586" i="2"/>
  <c r="AC554" i="2"/>
  <c r="AL1151" i="2"/>
  <c r="AC608" i="2"/>
  <c r="AF1408" i="2"/>
  <c r="AF1497" i="2" s="1"/>
  <c r="AE461" i="2"/>
  <c r="AG574" i="2"/>
  <c r="AB558" i="2"/>
  <c r="Z574" i="2"/>
  <c r="AD494" i="2"/>
  <c r="CS1075" i="5"/>
  <c r="DH723" i="5"/>
  <c r="KY1041" i="5"/>
  <c r="KY1098" i="5" s="1"/>
  <c r="DB658" i="5"/>
  <c r="DB731" i="5" s="1"/>
  <c r="AM1152" i="2"/>
  <c r="AK1419" i="2"/>
  <c r="AK1508" i="2" s="1"/>
  <c r="I664" i="5"/>
  <c r="I736" i="5" s="1"/>
  <c r="DB723" i="5"/>
  <c r="AE490" i="2"/>
  <c r="AB494" i="2"/>
  <c r="CP906" i="5"/>
  <c r="CP925" i="5" s="1"/>
  <c r="CP1091" i="5" s="1"/>
  <c r="EM1075" i="5"/>
  <c r="EK657" i="5"/>
  <c r="EK664" i="5" s="1"/>
  <c r="EK700" i="5" s="1"/>
  <c r="CP905" i="5"/>
  <c r="CP1084" i="5" s="1"/>
  <c r="EO1075" i="5"/>
  <c r="DM653" i="5"/>
  <c r="Z566" i="2"/>
  <c r="EM906" i="5"/>
  <c r="EM1085" i="5" s="1"/>
  <c r="AB550" i="2"/>
  <c r="EJ905" i="5"/>
  <c r="EJ1084" i="5" s="1"/>
  <c r="V730" i="5"/>
  <c r="V664" i="5"/>
  <c r="BL1041" i="5"/>
  <c r="BL1098" i="5" s="1"/>
  <c r="FM905" i="5"/>
  <c r="FM1084" i="5" s="1"/>
  <c r="CJ1241" i="5"/>
  <c r="DI658" i="5"/>
  <c r="DI731" i="5" s="1"/>
  <c r="FM1075" i="5"/>
  <c r="CJ723" i="5"/>
  <c r="CT905" i="5"/>
  <c r="CT924" i="5" s="1"/>
  <c r="DG925" i="5"/>
  <c r="DG1091" i="5" s="1"/>
  <c r="O1090" i="5"/>
  <c r="IH1208" i="5"/>
  <c r="IH1210" i="5" s="1"/>
  <c r="FG906" i="5"/>
  <c r="DK906" i="5"/>
  <c r="DK1085" i="5" s="1"/>
  <c r="Y486" i="2"/>
  <c r="IJ1027" i="5"/>
  <c r="AA1352" i="2" s="1"/>
  <c r="EO906" i="5"/>
  <c r="EO925" i="5" s="1"/>
  <c r="EO1091" i="5" s="1"/>
  <c r="IJ1092" i="5"/>
  <c r="DK658" i="5"/>
  <c r="DK731" i="5" s="1"/>
  <c r="DK905" i="5"/>
  <c r="DK1084" i="5" s="1"/>
  <c r="EX906" i="5"/>
  <c r="EX1085" i="5" s="1"/>
  <c r="DK657" i="5"/>
  <c r="DK664" i="5" s="1"/>
  <c r="EX1075" i="5"/>
  <c r="IM683" i="5"/>
  <c r="EJ906" i="5"/>
  <c r="EJ925" i="5" s="1"/>
  <c r="EJ1091" i="5" s="1"/>
  <c r="BQ1090" i="5"/>
  <c r="Y1421" i="2"/>
  <c r="Y1510" i="2" s="1"/>
  <c r="AB512" i="2"/>
  <c r="DM654" i="5"/>
  <c r="C137" i="7"/>
  <c r="AC1415" i="2"/>
  <c r="AC1504" i="2" s="1"/>
  <c r="BM1041" i="5"/>
  <c r="BM1098" i="5" s="1"/>
  <c r="BW730" i="5"/>
  <c r="AA1233" i="2"/>
  <c r="AF570" i="2"/>
  <c r="DV658" i="5"/>
  <c r="DV665" i="5" s="1"/>
  <c r="IC889" i="5"/>
  <c r="ID889" i="5" s="1"/>
  <c r="IF754" i="5"/>
  <c r="IF932" i="5" s="1"/>
  <c r="IR552" i="5"/>
  <c r="O7" i="7" s="1"/>
  <c r="DF905" i="5"/>
  <c r="DF1075" i="5"/>
  <c r="CW906" i="5"/>
  <c r="CW925" i="5" s="1"/>
  <c r="FQ906" i="5"/>
  <c r="AD566" i="2"/>
  <c r="DM1232" i="5"/>
  <c r="AB608" i="2"/>
  <c r="DI654" i="5"/>
  <c r="AD546" i="2"/>
  <c r="EV1075" i="5"/>
  <c r="AC474" i="2"/>
  <c r="ED906" i="5"/>
  <c r="ED1085" i="5" s="1"/>
  <c r="CW905" i="5"/>
  <c r="CW924" i="5" s="1"/>
  <c r="FN1075" i="5"/>
  <c r="FQ1075" i="5"/>
  <c r="BR1090" i="5"/>
  <c r="K1090" i="5"/>
  <c r="K1041" i="5"/>
  <c r="K1098" i="5" s="1"/>
  <c r="IW754" i="5"/>
  <c r="IW933" i="5" s="1"/>
  <c r="FN905" i="5"/>
  <c r="FN924" i="5" s="1"/>
  <c r="AB590" i="2"/>
  <c r="FN906" i="5"/>
  <c r="FN1085" i="5" s="1"/>
  <c r="ES906" i="5"/>
  <c r="ES1085" i="5" s="1"/>
  <c r="FQ905" i="5"/>
  <c r="FQ924" i="5" s="1"/>
  <c r="DI550" i="5"/>
  <c r="DI714" i="5" s="1"/>
  <c r="AL730" i="5"/>
  <c r="AL664" i="5"/>
  <c r="ES905" i="5"/>
  <c r="ES1084" i="5" s="1"/>
  <c r="CR906" i="5"/>
  <c r="CR925" i="5" s="1"/>
  <c r="CR1091" i="5" s="1"/>
  <c r="H29" i="7"/>
  <c r="DS1196" i="5"/>
  <c r="DI1232" i="5"/>
  <c r="IG887" i="5"/>
  <c r="AC461" i="2"/>
  <c r="ID887" i="5"/>
  <c r="CR905" i="5"/>
  <c r="CR924" i="5" s="1"/>
  <c r="DM905" i="5"/>
  <c r="DM1084" i="5" s="1"/>
  <c r="EN1085" i="5"/>
  <c r="EV654" i="5"/>
  <c r="DR1196" i="5"/>
  <c r="Z1090" i="5"/>
  <c r="AB586" i="2"/>
  <c r="AE550" i="2"/>
  <c r="AA1688" i="2"/>
  <c r="EP1257" i="5"/>
  <c r="DI715" i="5"/>
  <c r="IE588" i="5"/>
  <c r="IE723" i="5" s="1"/>
  <c r="DO1196" i="5"/>
  <c r="ID888" i="5"/>
  <c r="ED1257" i="5"/>
  <c r="CN906" i="5"/>
  <c r="CN925" i="5" s="1"/>
  <c r="CN1091" i="5" s="1"/>
  <c r="Y512" i="2"/>
  <c r="Z512" i="2"/>
  <c r="DQ1075" i="5"/>
  <c r="IU754" i="5"/>
  <c r="FH905" i="5"/>
  <c r="FH924" i="5" s="1"/>
  <c r="S1090" i="5"/>
  <c r="AD474" i="2"/>
  <c r="EI657" i="5"/>
  <c r="EI664" i="5" s="1"/>
  <c r="EI700" i="5" s="1"/>
  <c r="DB905" i="5"/>
  <c r="DB1084" i="5" s="1"/>
  <c r="Z516" i="2"/>
  <c r="EW653" i="5"/>
  <c r="AD1109" i="2"/>
  <c r="DC1085" i="5"/>
  <c r="Z590" i="2"/>
  <c r="EW1242" i="5"/>
  <c r="DQ906" i="5"/>
  <c r="DQ925" i="5" s="1"/>
  <c r="DQ1091" i="5" s="1"/>
  <c r="ES550" i="5"/>
  <c r="CJ905" i="5"/>
  <c r="CJ924" i="5" s="1"/>
  <c r="AB1090" i="5"/>
  <c r="DI652" i="5"/>
  <c r="CJ906" i="5"/>
  <c r="CJ925" i="5" s="1"/>
  <c r="CJ1091" i="5" s="1"/>
  <c r="FH906" i="5"/>
  <c r="FH1085" i="5" s="1"/>
  <c r="G681" i="5"/>
  <c r="G1254" i="5" s="1"/>
  <c r="G1257" i="5" s="1"/>
  <c r="G736" i="5"/>
  <c r="AD604" i="2"/>
  <c r="EQ925" i="5"/>
  <c r="EQ1091" i="5" s="1"/>
  <c r="EW652" i="5"/>
  <c r="EW588" i="5"/>
  <c r="EW657" i="5" s="1"/>
  <c r="EW664" i="5" s="1"/>
  <c r="EW700" i="5" s="1"/>
  <c r="EO588" i="5"/>
  <c r="FP1257" i="5"/>
  <c r="IY813" i="5"/>
  <c r="AF1119" i="2" s="1"/>
  <c r="AF1667" i="2" s="1"/>
  <c r="DQ1196" i="5"/>
  <c r="Z667" i="5"/>
  <c r="Z681" i="5" s="1"/>
  <c r="AR664" i="5"/>
  <c r="AR730" i="5"/>
  <c r="CN1241" i="5"/>
  <c r="AA570" i="2"/>
  <c r="AF604" i="2"/>
  <c r="AE1415" i="2"/>
  <c r="AE1504" i="2" s="1"/>
  <c r="AC578" i="2"/>
  <c r="IV1082" i="5"/>
  <c r="CN723" i="5"/>
  <c r="DP1196" i="5"/>
  <c r="DT1196" i="5"/>
  <c r="EO652" i="5"/>
  <c r="AF578" i="2"/>
  <c r="DN1196" i="5"/>
  <c r="IJ1196" i="5" s="1"/>
  <c r="AB1421" i="2"/>
  <c r="AB1510" i="2" s="1"/>
  <c r="IQ754" i="5"/>
  <c r="IQ932" i="5" s="1"/>
  <c r="IQ940" i="5" s="1"/>
  <c r="AB486" i="2"/>
  <c r="BD730" i="5"/>
  <c r="BD664" i="5"/>
  <c r="EO653" i="5"/>
  <c r="AO1090" i="5"/>
  <c r="AD1090" i="5"/>
  <c r="EO654" i="5"/>
  <c r="ED905" i="5"/>
  <c r="ED924" i="5" s="1"/>
  <c r="DL1241" i="5"/>
  <c r="CT1075" i="5"/>
  <c r="E138" i="7"/>
  <c r="DG924" i="5"/>
  <c r="DG1090" i="5" s="1"/>
  <c r="IQ749" i="5"/>
  <c r="IP1092" i="5"/>
  <c r="AE1949" i="2"/>
  <c r="AA604" i="2"/>
  <c r="CC1041" i="5"/>
  <c r="CC1098" i="5" s="1"/>
  <c r="CC1090" i="5"/>
  <c r="BC1090" i="5"/>
  <c r="Z558" i="2"/>
  <c r="AF512" i="2"/>
  <c r="AF516" i="2"/>
  <c r="IP891" i="5"/>
  <c r="JB1057" i="5"/>
  <c r="JB1066" i="5" s="1"/>
  <c r="FR1257" i="5"/>
  <c r="IH716" i="5"/>
  <c r="FA1257" i="5"/>
  <c r="IN892" i="5"/>
  <c r="IP892" i="5" s="1"/>
  <c r="IZ1055" i="5"/>
  <c r="IZ1063" i="5" s="1"/>
  <c r="IH552" i="5"/>
  <c r="IH654" i="5" s="1"/>
  <c r="D99" i="7" s="1"/>
  <c r="EK658" i="5"/>
  <c r="EK665" i="5" s="1"/>
  <c r="AE604" i="2"/>
  <c r="AC590" i="2"/>
  <c r="DL905" i="5"/>
  <c r="DL924" i="5" s="1"/>
  <c r="CZ658" i="5"/>
  <c r="CZ731" i="5" s="1"/>
  <c r="IQ667" i="5"/>
  <c r="N112" i="7" s="1"/>
  <c r="ER906" i="5"/>
  <c r="ER905" i="5"/>
  <c r="JH993" i="5"/>
  <c r="AI1319" i="2" s="1"/>
  <c r="IR754" i="5"/>
  <c r="IR621" i="5"/>
  <c r="O68" i="7" s="1"/>
  <c r="IG1077" i="5"/>
  <c r="CY905" i="5"/>
  <c r="CY924" i="5" s="1"/>
  <c r="BN1041" i="5"/>
  <c r="BN1098" i="5" s="1"/>
  <c r="CZ723" i="5"/>
  <c r="Y1268" i="2"/>
  <c r="CN1075" i="5"/>
  <c r="JG988" i="5"/>
  <c r="JG987" i="5" s="1"/>
  <c r="CY906" i="5"/>
  <c r="CY925" i="5" s="1"/>
  <c r="CY1091" i="5" s="1"/>
  <c r="Z490" i="2"/>
  <c r="IJ890" i="5"/>
  <c r="IG588" i="5"/>
  <c r="IG723" i="5" s="1"/>
  <c r="IJ813" i="5"/>
  <c r="IJ1078" i="5" s="1"/>
  <c r="AF498" i="2"/>
  <c r="AC1156" i="2"/>
  <c r="AC1464" i="2"/>
  <c r="AC1463" i="2" s="1"/>
  <c r="AC1552" i="2" s="1"/>
  <c r="IH894" i="5"/>
  <c r="IJ894" i="5" s="1"/>
  <c r="N664" i="5"/>
  <c r="N736" i="5" s="1"/>
  <c r="IP907" i="5"/>
  <c r="AC1228" i="2" s="1"/>
  <c r="IM1216" i="5"/>
  <c r="IM1219" i="5" s="1"/>
  <c r="BF736" i="5"/>
  <c r="BF667" i="5"/>
  <c r="AG1228" i="2"/>
  <c r="AG1253" i="2" s="1"/>
  <c r="IK1059" i="5"/>
  <c r="IK1068" i="5" s="1"/>
  <c r="AA554" i="2"/>
  <c r="JC1078" i="5"/>
  <c r="AD753" i="2"/>
  <c r="FS1257" i="5"/>
  <c r="AW1041" i="5"/>
  <c r="AW1098" i="5" s="1"/>
  <c r="FJ1257" i="5"/>
  <c r="Y550" i="2"/>
  <c r="Z550" i="2"/>
  <c r="K138" i="7"/>
  <c r="AA1314" i="2"/>
  <c r="AA1468" i="2" s="1"/>
  <c r="AA1557" i="2" s="1"/>
  <c r="AD594" i="2"/>
  <c r="FP1084" i="5"/>
  <c r="AP1041" i="5"/>
  <c r="AP1098" i="5" s="1"/>
  <c r="FN1257" i="5"/>
  <c r="DD1241" i="5"/>
  <c r="BK1041" i="5"/>
  <c r="BK1098" i="5" s="1"/>
  <c r="BG730" i="5"/>
  <c r="BG664" i="5"/>
  <c r="O667" i="5"/>
  <c r="O738" i="5" s="1"/>
  <c r="AB1268" i="2"/>
  <c r="H138" i="7"/>
  <c r="DJ658" i="5"/>
  <c r="DJ731" i="5" s="1"/>
  <c r="IE550" i="5"/>
  <c r="CD1090" i="5"/>
  <c r="AF1156" i="2"/>
  <c r="AE1645" i="2" s="1"/>
  <c r="AA1553" i="2"/>
  <c r="DG1241" i="5"/>
  <c r="ID813" i="5"/>
  <c r="Y1119" i="2" s="1"/>
  <c r="DJ723" i="5"/>
  <c r="CE1249" i="5"/>
  <c r="H730" i="5"/>
  <c r="H664" i="5"/>
  <c r="IG907" i="5"/>
  <c r="IG1086" i="5" s="1"/>
  <c r="AF1976" i="2"/>
  <c r="CE588" i="5"/>
  <c r="CE658" i="5" s="1"/>
  <c r="CE665" i="5" s="1"/>
  <c r="CE737" i="5" s="1"/>
  <c r="AC498" i="2"/>
  <c r="IC987" i="5"/>
  <c r="ID987" i="5" s="1"/>
  <c r="ID1095" i="5" s="1"/>
  <c r="DG657" i="5"/>
  <c r="DG730" i="5" s="1"/>
  <c r="IM892" i="5"/>
  <c r="Z1415" i="2"/>
  <c r="Z1504" i="2" s="1"/>
  <c r="IM891" i="5"/>
  <c r="IK894" i="5"/>
  <c r="IK1057" i="5" s="1"/>
  <c r="EI658" i="5"/>
  <c r="EI665" i="5" s="1"/>
  <c r="Z1229" i="2"/>
  <c r="Z1438" i="2" s="1"/>
  <c r="Z1527" i="2" s="1"/>
  <c r="IY1077" i="5"/>
  <c r="IO754" i="5"/>
  <c r="IO932" i="5" s="1"/>
  <c r="JA1061" i="5"/>
  <c r="P730" i="5"/>
  <c r="CE905" i="5"/>
  <c r="CE924" i="5" s="1"/>
  <c r="JG1059" i="5"/>
  <c r="JG1068" i="5" s="1"/>
  <c r="IB754" i="5"/>
  <c r="IB933" i="5" s="1"/>
  <c r="IB1060" i="5" s="1"/>
  <c r="IB1069" i="5" s="1"/>
  <c r="JG754" i="5"/>
  <c r="JG933" i="5" s="1"/>
  <c r="JG1060" i="5" s="1"/>
  <c r="EI1241" i="5"/>
  <c r="EI1257" i="5" s="1"/>
  <c r="EG906" i="5"/>
  <c r="EG925" i="5" s="1"/>
  <c r="CV1075" i="5"/>
  <c r="AE600" i="2"/>
  <c r="CT658" i="5"/>
  <c r="CT665" i="5" s="1"/>
  <c r="CT737" i="5" s="1"/>
  <c r="JH850" i="5"/>
  <c r="EG1075" i="5"/>
  <c r="E105" i="7"/>
  <c r="AX664" i="5"/>
  <c r="AX730" i="5"/>
  <c r="JB1059" i="5"/>
  <c r="JB1068" i="5" s="1"/>
  <c r="FF1257" i="5"/>
  <c r="N1090" i="5"/>
  <c r="IR894" i="5"/>
  <c r="IS894" i="5" s="1"/>
  <c r="CE906" i="5"/>
  <c r="CE925" i="5" s="1"/>
  <c r="CV905" i="5"/>
  <c r="CV1084" i="5" s="1"/>
  <c r="CU657" i="5"/>
  <c r="CU730" i="5" s="1"/>
  <c r="IE754" i="5"/>
  <c r="IE932" i="5" s="1"/>
  <c r="IE943" i="5" s="1"/>
  <c r="FT906" i="5"/>
  <c r="FT925" i="5" s="1"/>
  <c r="FT1091" i="5" s="1"/>
  <c r="EQ653" i="5"/>
  <c r="I137" i="7"/>
  <c r="CT723" i="5"/>
  <c r="FT1075" i="5"/>
  <c r="IL681" i="5"/>
  <c r="IL667" i="5" s="1"/>
  <c r="I112" i="7" s="1"/>
  <c r="Y1314" i="2"/>
  <c r="Y1468" i="2" s="1"/>
  <c r="Y1557" i="2" s="1"/>
  <c r="AB1156" i="2"/>
  <c r="IL1212" i="5"/>
  <c r="IL1214" i="5" s="1"/>
  <c r="IX754" i="5"/>
  <c r="IM1077" i="5"/>
  <c r="IZ1061" i="5"/>
  <c r="AK1198" i="2"/>
  <c r="AC566" i="2"/>
  <c r="AQ1147" i="2"/>
  <c r="AP1145" i="2"/>
  <c r="AP1497" i="2"/>
  <c r="AS500" i="2"/>
  <c r="AT620" i="2"/>
  <c r="AT500" i="2" s="1"/>
  <c r="AG554" i="2"/>
  <c r="AE1688" i="2"/>
  <c r="Z478" i="2"/>
  <c r="AB321" i="2"/>
  <c r="BG56" i="19"/>
  <c r="BI56" i="19" s="1"/>
  <c r="BH28" i="19"/>
  <c r="BK28" i="19" s="1"/>
  <c r="BJ28" i="19"/>
  <c r="AD364" i="2"/>
  <c r="AD367" i="2"/>
  <c r="AD816" i="2" s="1"/>
  <c r="AD365" i="2" s="1"/>
  <c r="BA56" i="19"/>
  <c r="AY56" i="19"/>
  <c r="BB56" i="19" s="1"/>
  <c r="BJ10" i="19"/>
  <c r="BH10" i="19"/>
  <c r="BK10" i="19" s="1"/>
  <c r="JE813" i="5"/>
  <c r="AH1119" i="2" s="1"/>
  <c r="IS892" i="5"/>
  <c r="DV657" i="5"/>
  <c r="DV664" i="5" s="1"/>
  <c r="DV700" i="5" s="1"/>
  <c r="IE654" i="5"/>
  <c r="AB1405" i="2"/>
  <c r="AB1494" i="2" s="1"/>
  <c r="IG888" i="5"/>
  <c r="X102" i="19"/>
  <c r="AA102" i="19" s="1"/>
  <c r="DL658" i="5"/>
  <c r="DL731" i="5" s="1"/>
  <c r="AA546" i="2"/>
  <c r="Y1229" i="2"/>
  <c r="Y1438" i="2" s="1"/>
  <c r="Y1527" i="2" s="1"/>
  <c r="DL653" i="5"/>
  <c r="BP667" i="5"/>
  <c r="BP736" i="5"/>
  <c r="ES1232" i="5"/>
  <c r="DM550" i="5"/>
  <c r="DM714" i="5" s="1"/>
  <c r="LB664" i="5"/>
  <c r="LB667" i="5" s="1"/>
  <c r="DL652" i="5"/>
  <c r="IE652" i="5"/>
  <c r="EF652" i="5"/>
  <c r="ES654" i="5"/>
  <c r="DL715" i="5"/>
  <c r="Z520" i="2"/>
  <c r="AA520" i="2"/>
  <c r="CZ657" i="5"/>
  <c r="CZ664" i="5" s="1"/>
  <c r="DL654" i="5"/>
  <c r="IJ1077" i="5"/>
  <c r="AK1206" i="2"/>
  <c r="DL1232" i="5"/>
  <c r="Q102" i="19"/>
  <c r="AD558" i="2"/>
  <c r="AE558" i="2"/>
  <c r="FI1257" i="5"/>
  <c r="R1090" i="5"/>
  <c r="R1041" i="5"/>
  <c r="R1098" i="5" s="1"/>
  <c r="AE520" i="2"/>
  <c r="AF520" i="2"/>
  <c r="EZ1257" i="5"/>
  <c r="IE653" i="5"/>
  <c r="IS891" i="5"/>
  <c r="H15" i="7"/>
  <c r="O42" i="19"/>
  <c r="N42" i="19" s="1"/>
  <c r="U101" i="19"/>
  <c r="JR1019" i="5"/>
  <c r="AF1553" i="2"/>
  <c r="AF590" i="2"/>
  <c r="Z562" i="2"/>
  <c r="AF1415" i="2"/>
  <c r="AF1504" i="2" s="1"/>
  <c r="AC1396" i="2"/>
  <c r="AC1485" i="2" s="1"/>
  <c r="AC1421" i="2"/>
  <c r="AC1510" i="2" s="1"/>
  <c r="E38" i="19"/>
  <c r="G38" i="19" s="1"/>
  <c r="AH604" i="2"/>
  <c r="JP878" i="5"/>
  <c r="AD39" i="19"/>
  <c r="AE39" i="19" s="1"/>
  <c r="Q28" i="19"/>
  <c r="P28" i="19"/>
  <c r="R28" i="19" s="1"/>
  <c r="JS901" i="5"/>
  <c r="AM56" i="19"/>
  <c r="AN56" i="19" s="1"/>
  <c r="JP901" i="5"/>
  <c r="AD56" i="19"/>
  <c r="AE56" i="19" s="1"/>
  <c r="JS878" i="5"/>
  <c r="AM39" i="19"/>
  <c r="AN39" i="19" s="1"/>
  <c r="JP1027" i="5"/>
  <c r="DL906" i="5"/>
  <c r="DL925" i="5" s="1"/>
  <c r="DL1091" i="5" s="1"/>
  <c r="CL1075" i="5"/>
  <c r="Z1156" i="2"/>
  <c r="FI924" i="5"/>
  <c r="FI1090" i="5" s="1"/>
  <c r="FB905" i="5"/>
  <c r="FB1084" i="5" s="1"/>
  <c r="DT1075" i="5"/>
  <c r="IC754" i="5"/>
  <c r="IC933" i="5" s="1"/>
  <c r="IC1060" i="5" s="1"/>
  <c r="IF1092" i="5"/>
  <c r="IG947" i="5"/>
  <c r="AI1041" i="5"/>
  <c r="AI1098" i="5" s="1"/>
  <c r="AI1090" i="5"/>
  <c r="CL906" i="5"/>
  <c r="CL1085" i="5" s="1"/>
  <c r="FB906" i="5"/>
  <c r="FB1085" i="5" s="1"/>
  <c r="AK1041" i="5"/>
  <c r="AK1098" i="5" s="1"/>
  <c r="AK1090" i="5"/>
  <c r="AG1090" i="5"/>
  <c r="AG1041" i="5"/>
  <c r="AG1098" i="5" s="1"/>
  <c r="IJ907" i="5"/>
  <c r="AA1228" i="2" s="1"/>
  <c r="EC657" i="5"/>
  <c r="EC664" i="5" s="1"/>
  <c r="EC700" i="5" s="1"/>
  <c r="FB1075" i="5"/>
  <c r="AI1378" i="2"/>
  <c r="AI1386" i="2" s="1"/>
  <c r="IV988" i="5"/>
  <c r="IV1096" i="5" s="1"/>
  <c r="AC1090" i="5"/>
  <c r="AC1041" i="5"/>
  <c r="AC1098" i="5" s="1"/>
  <c r="V1041" i="5"/>
  <c r="V1098" i="5" s="1"/>
  <c r="V1090" i="5"/>
  <c r="ER1241" i="5"/>
  <c r="ER1257" i="5" s="1"/>
  <c r="AD916" i="2"/>
  <c r="AD915" i="2" s="1"/>
  <c r="AF1688" i="2"/>
  <c r="II754" i="5"/>
  <c r="G1090" i="5"/>
  <c r="G1041" i="5"/>
  <c r="G1098" i="5" s="1"/>
  <c r="BJ1041" i="5"/>
  <c r="BJ1098" i="5" s="1"/>
  <c r="BJ1090" i="5"/>
  <c r="IG813" i="5"/>
  <c r="Z1119" i="2" s="1"/>
  <c r="DI1241" i="5"/>
  <c r="DI723" i="5"/>
  <c r="IE1059" i="5"/>
  <c r="IE1068" i="5" s="1"/>
  <c r="EC1257" i="5"/>
  <c r="FD1257" i="5"/>
  <c r="DQ665" i="5"/>
  <c r="DQ737" i="5" s="1"/>
  <c r="DC1084" i="5"/>
  <c r="EF906" i="5"/>
  <c r="EF925" i="5" s="1"/>
  <c r="EF1091" i="5" s="1"/>
  <c r="IT754" i="5"/>
  <c r="DT905" i="5"/>
  <c r="DT924" i="5" s="1"/>
  <c r="AI1875" i="2"/>
  <c r="AI1874" i="2" s="1"/>
  <c r="EF654" i="5"/>
  <c r="FG1257" i="5"/>
  <c r="DH657" i="5"/>
  <c r="CK906" i="5"/>
  <c r="CK1075" i="5"/>
  <c r="CK905" i="5"/>
  <c r="IN754" i="5"/>
  <c r="EF905" i="5"/>
  <c r="EF1084" i="5" s="1"/>
  <c r="E63" i="19"/>
  <c r="G63" i="19" s="1"/>
  <c r="AI1901" i="2"/>
  <c r="EF658" i="5"/>
  <c r="EF665" i="5" s="1"/>
  <c r="EC658" i="5"/>
  <c r="EC665" i="5" s="1"/>
  <c r="J1041" i="5"/>
  <c r="J1098" i="5" s="1"/>
  <c r="J1090" i="5"/>
  <c r="I1090" i="5"/>
  <c r="I1041" i="5"/>
  <c r="I1098" i="5" s="1"/>
  <c r="EL1232" i="5"/>
  <c r="EL652" i="5"/>
  <c r="EL550" i="5"/>
  <c r="EL657" i="5" s="1"/>
  <c r="EL664" i="5" s="1"/>
  <c r="EL700" i="5" s="1"/>
  <c r="EL654" i="5"/>
  <c r="CX657" i="5"/>
  <c r="CX664" i="5" s="1"/>
  <c r="EF653" i="5"/>
  <c r="Q1041" i="5"/>
  <c r="Q1098" i="5" s="1"/>
  <c r="Q1090" i="5"/>
  <c r="BI1090" i="5"/>
  <c r="BI1041" i="5"/>
  <c r="BI1098" i="5" s="1"/>
  <c r="FL1253" i="5"/>
  <c r="FL1097" i="5"/>
  <c r="IW1019" i="5"/>
  <c r="EX653" i="5"/>
  <c r="BH1090" i="5"/>
  <c r="BH1041" i="5"/>
  <c r="BH1098" i="5" s="1"/>
  <c r="U1090" i="5"/>
  <c r="U1041" i="5"/>
  <c r="U1098" i="5" s="1"/>
  <c r="IG1093" i="5"/>
  <c r="EF1232" i="5"/>
  <c r="EF1257" i="5" s="1"/>
  <c r="ID1077" i="5"/>
  <c r="IK754" i="5"/>
  <c r="IK932" i="5" s="1"/>
  <c r="IP1088" i="5"/>
  <c r="BT730" i="5"/>
  <c r="BT664" i="5"/>
  <c r="AK1427" i="2"/>
  <c r="AK1516" i="2" s="1"/>
  <c r="AL1187" i="2"/>
  <c r="AK1375" i="2"/>
  <c r="AI1415" i="2"/>
  <c r="AI1504" i="2" s="1"/>
  <c r="AM1136" i="2"/>
  <c r="Z1421" i="2"/>
  <c r="Z1510" i="2" s="1"/>
  <c r="AD1693" i="2"/>
  <c r="AD1815" i="2" s="1"/>
  <c r="AD1810" i="2" s="1"/>
  <c r="AI1396" i="2"/>
  <c r="AI1485" i="2" s="1"/>
  <c r="AA1617" i="2"/>
  <c r="AA478" i="2"/>
  <c r="F27" i="19"/>
  <c r="E27" i="19"/>
  <c r="G27" i="19" s="1"/>
  <c r="AA684" i="2"/>
  <c r="F25" i="19"/>
  <c r="E25" i="19"/>
  <c r="G25" i="19" s="1"/>
  <c r="AK1652" i="2"/>
  <c r="AK1651" i="2"/>
  <c r="AA1611" i="2"/>
  <c r="F56" i="19"/>
  <c r="E56" i="19"/>
  <c r="G56" i="19" s="1"/>
  <c r="F20" i="19"/>
  <c r="E20" i="19"/>
  <c r="G20" i="19" s="1"/>
  <c r="F44" i="19"/>
  <c r="E44" i="19"/>
  <c r="G44" i="19" s="1"/>
  <c r="AI1438" i="2"/>
  <c r="AI1437" i="2" s="1"/>
  <c r="AI1526" i="2" s="1"/>
  <c r="D62" i="19"/>
  <c r="F22" i="19"/>
  <c r="E22" i="19"/>
  <c r="G22" i="19" s="1"/>
  <c r="F6" i="19"/>
  <c r="E6" i="19"/>
  <c r="G6" i="19" s="1"/>
  <c r="AI1907" i="2"/>
  <c r="D18" i="19"/>
  <c r="JM849" i="5"/>
  <c r="U23" i="19"/>
  <c r="V23" i="19" s="1"/>
  <c r="X74" i="19"/>
  <c r="AA74" i="19" s="1"/>
  <c r="AK464" i="2"/>
  <c r="AL464" i="2" s="1"/>
  <c r="AE570" i="2"/>
  <c r="JM967" i="5"/>
  <c r="AG465" i="2"/>
  <c r="AC574" i="2"/>
  <c r="JM901" i="5"/>
  <c r="AK1440" i="2"/>
  <c r="AK1529" i="2" s="1"/>
  <c r="JM1027" i="5"/>
  <c r="P74" i="19"/>
  <c r="R74" i="19" s="1"/>
  <c r="JP824" i="5"/>
  <c r="AL1413" i="2"/>
  <c r="AL1502" i="2" s="1"/>
  <c r="AC490" i="2"/>
  <c r="AD779" i="2"/>
  <c r="AD951" i="2" s="1"/>
  <c r="AD999" i="2" s="1"/>
  <c r="AD1396" i="2"/>
  <c r="AD1485" i="2" s="1"/>
  <c r="P33" i="7"/>
  <c r="Y457" i="2"/>
  <c r="Z457" i="2"/>
  <c r="EQ652" i="5"/>
  <c r="DQ723" i="5"/>
  <c r="CK726" i="5"/>
  <c r="CK1249" i="5"/>
  <c r="CK588" i="5"/>
  <c r="CK657" i="5" s="1"/>
  <c r="P138" i="7"/>
  <c r="IS705" i="5"/>
  <c r="AB490" i="2"/>
  <c r="AA490" i="2"/>
  <c r="AE664" i="5"/>
  <c r="AE730" i="5"/>
  <c r="AS1090" i="5"/>
  <c r="AS1041" i="5"/>
  <c r="AS1098" i="5" s="1"/>
  <c r="Z578" i="2"/>
  <c r="Y578" i="2"/>
  <c r="EA1241" i="5"/>
  <c r="EA1257" i="5" s="1"/>
  <c r="X406" i="2"/>
  <c r="DQ1241" i="5"/>
  <c r="DQ1257" i="5" s="1"/>
  <c r="DO657" i="5"/>
  <c r="DO664" i="5" s="1"/>
  <c r="AK664" i="5"/>
  <c r="AK730" i="5"/>
  <c r="BB664" i="5"/>
  <c r="BB730" i="5"/>
  <c r="IU891" i="5"/>
  <c r="IV890" i="5"/>
  <c r="AF485" i="2"/>
  <c r="AG485" i="2" s="1"/>
  <c r="AH485" i="2" s="1"/>
  <c r="AI485" i="2" s="1"/>
  <c r="AJ485" i="2" s="1"/>
  <c r="AE486" i="2"/>
  <c r="Z570" i="2"/>
  <c r="Y570" i="2"/>
  <c r="H24" i="7"/>
  <c r="Y713" i="2"/>
  <c r="Y1233" i="2"/>
  <c r="AA1817" i="2"/>
  <c r="Y405" i="2"/>
  <c r="Z405" i="2" s="1"/>
  <c r="AA1408" i="2"/>
  <c r="AA1497" i="2" s="1"/>
  <c r="EL1241" i="5"/>
  <c r="EL658" i="5"/>
  <c r="EL665" i="5" s="1"/>
  <c r="LB665" i="5"/>
  <c r="LB737" i="5" s="1"/>
  <c r="LB731" i="5"/>
  <c r="BZ1090" i="5"/>
  <c r="BZ1041" i="5"/>
  <c r="BZ1098" i="5" s="1"/>
  <c r="JF754" i="5"/>
  <c r="JF905" i="5" s="1"/>
  <c r="FV1084" i="5"/>
  <c r="DQ657" i="5"/>
  <c r="DQ664" i="5" s="1"/>
  <c r="AH730" i="5"/>
  <c r="AH664" i="5"/>
  <c r="F1041" i="5"/>
  <c r="F1098" i="5" s="1"/>
  <c r="F1090" i="5"/>
  <c r="IB1057" i="5"/>
  <c r="IB1066" i="5" s="1"/>
  <c r="E50" i="7"/>
  <c r="IR888" i="5"/>
  <c r="IS887" i="5"/>
  <c r="AD600" i="2"/>
  <c r="AC600" i="2"/>
  <c r="IL754" i="5"/>
  <c r="EN924" i="5"/>
  <c r="EN1090" i="5" s="1"/>
  <c r="IV1077" i="5"/>
  <c r="AV736" i="5"/>
  <c r="AV667" i="5"/>
  <c r="IV887" i="5"/>
  <c r="IU888" i="5"/>
  <c r="AJ1433" i="2"/>
  <c r="AJ1522" i="2" s="1"/>
  <c r="IT1059" i="5"/>
  <c r="IT1068" i="5" s="1"/>
  <c r="AE390" i="2"/>
  <c r="DO1241" i="5"/>
  <c r="DO1257" i="5" s="1"/>
  <c r="AD465" i="2"/>
  <c r="AC465" i="2"/>
  <c r="AC1344" i="2"/>
  <c r="AC1370" i="2" s="1"/>
  <c r="AD389" i="2"/>
  <c r="DO723" i="5"/>
  <c r="DO665" i="5"/>
  <c r="DO737" i="5" s="1"/>
  <c r="AD390" i="2"/>
  <c r="AF664" i="5"/>
  <c r="AF730" i="5"/>
  <c r="AJ1952" i="2"/>
  <c r="FD924" i="5"/>
  <c r="FD1041" i="5" s="1"/>
  <c r="FD1098" i="5" s="1"/>
  <c r="DB657" i="5"/>
  <c r="DB664" i="5" s="1"/>
  <c r="DB667" i="5" s="1"/>
  <c r="T667" i="5"/>
  <c r="T736" i="5"/>
  <c r="AK1224" i="2"/>
  <c r="CA664" i="5"/>
  <c r="CA667" i="5" s="1"/>
  <c r="IE715" i="5"/>
  <c r="JH813" i="5"/>
  <c r="AI1119" i="2" s="1"/>
  <c r="BA664" i="5"/>
  <c r="BA730" i="5"/>
  <c r="AE562" i="2"/>
  <c r="AF562" i="2"/>
  <c r="R664" i="5"/>
  <c r="R730" i="5"/>
  <c r="H115" i="7"/>
  <c r="IF894" i="5"/>
  <c r="W1090" i="5"/>
  <c r="W1041" i="5"/>
  <c r="W1098" i="5" s="1"/>
  <c r="AA465" i="2"/>
  <c r="Z465" i="2"/>
  <c r="Z461" i="2"/>
  <c r="AA461" i="2"/>
  <c r="LA664" i="5"/>
  <c r="LA730" i="5"/>
  <c r="IY1088" i="5"/>
  <c r="AF1233" i="2"/>
  <c r="BN664" i="5"/>
  <c r="BN730" i="5"/>
  <c r="DV1257" i="5"/>
  <c r="II1057" i="5"/>
  <c r="EQ1084" i="5"/>
  <c r="DP1097" i="5"/>
  <c r="DP1095" i="5"/>
  <c r="IK1019" i="5"/>
  <c r="IM1019" i="5" s="1"/>
  <c r="AW681" i="5"/>
  <c r="AW738" i="5"/>
  <c r="IO1057" i="5"/>
  <c r="IO1055" i="5" s="1"/>
  <c r="AC1527" i="2"/>
  <c r="FV1257" i="5"/>
  <c r="O44" i="19"/>
  <c r="N44" i="19" s="1"/>
  <c r="EJ657" i="5"/>
  <c r="EJ664" i="5" s="1"/>
  <c r="EJ700" i="5" s="1"/>
  <c r="IV1092" i="5"/>
  <c r="M664" i="5"/>
  <c r="M730" i="5"/>
  <c r="IK1210" i="5"/>
  <c r="IK1216" i="5" s="1"/>
  <c r="IL1208" i="5"/>
  <c r="IL1210" i="5" s="1"/>
  <c r="CG726" i="5"/>
  <c r="CG1249" i="5"/>
  <c r="CG588" i="5"/>
  <c r="AP736" i="5"/>
  <c r="AP667" i="5"/>
  <c r="FV925" i="5"/>
  <c r="FV1091" i="5" s="1"/>
  <c r="DU1075" i="5"/>
  <c r="DU906" i="5"/>
  <c r="DU905" i="5"/>
  <c r="DY924" i="5"/>
  <c r="DY1084" i="5"/>
  <c r="K28" i="7"/>
  <c r="EA657" i="5"/>
  <c r="EA664" i="5" s="1"/>
  <c r="EA700" i="5" s="1"/>
  <c r="IF889" i="5"/>
  <c r="AD478" i="2"/>
  <c r="AC478" i="2"/>
  <c r="AJ1090" i="5"/>
  <c r="AJ1041" i="5"/>
  <c r="AJ1098" i="5" s="1"/>
  <c r="JH1056" i="5"/>
  <c r="DE1196" i="5"/>
  <c r="DT1257" i="5"/>
  <c r="IS1092" i="5"/>
  <c r="IP894" i="5"/>
  <c r="BQ730" i="5"/>
  <c r="BQ664" i="5"/>
  <c r="JH906" i="5"/>
  <c r="FT1095" i="5"/>
  <c r="FT1254" i="5"/>
  <c r="AE441" i="2"/>
  <c r="AH1976" i="2"/>
  <c r="IP1087" i="5"/>
  <c r="IM813" i="5"/>
  <c r="IM1078" i="5" s="1"/>
  <c r="BE667" i="5"/>
  <c r="BE736" i="5"/>
  <c r="AE1511" i="2"/>
  <c r="AE1421" i="2"/>
  <c r="AE1510" i="2" s="1"/>
  <c r="DM658" i="5"/>
  <c r="DM723" i="5"/>
  <c r="DM1241" i="5"/>
  <c r="EQ1041" i="5"/>
  <c r="EQ1098" i="5" s="1"/>
  <c r="AA1421" i="2"/>
  <c r="AA1510" i="2" s="1"/>
  <c r="AB1314" i="2"/>
  <c r="AB1468" i="2" s="1"/>
  <c r="AB1557" i="2" s="1"/>
  <c r="AE391" i="2"/>
  <c r="AD391" i="2"/>
  <c r="BU736" i="5"/>
  <c r="BU667" i="5"/>
  <c r="FD1085" i="5"/>
  <c r="FD925" i="5"/>
  <c r="FD1091" i="5" s="1"/>
  <c r="EC906" i="5"/>
  <c r="EC905" i="5"/>
  <c r="EC1075" i="5"/>
  <c r="AB474" i="2"/>
  <c r="AK473" i="2"/>
  <c r="EJ658" i="5"/>
  <c r="EJ665" i="5" s="1"/>
  <c r="AD562" i="2"/>
  <c r="AC562" i="2"/>
  <c r="IW1059" i="5"/>
  <c r="IW1068" i="5" s="1"/>
  <c r="BS730" i="5"/>
  <c r="BS664" i="5"/>
  <c r="DJ657" i="5"/>
  <c r="IW1066" i="5"/>
  <c r="IT1057" i="5"/>
  <c r="IT1055" i="5" s="1"/>
  <c r="IS681" i="5"/>
  <c r="IS743" i="5" s="1"/>
  <c r="EQ550" i="5"/>
  <c r="EQ657" i="5" s="1"/>
  <c r="EQ664" i="5" s="1"/>
  <c r="EQ700" i="5" s="1"/>
  <c r="EQ1232" i="5"/>
  <c r="IT749" i="5"/>
  <c r="BD1090" i="5"/>
  <c r="BD1041" i="5"/>
  <c r="BD1098" i="5" s="1"/>
  <c r="P667" i="5"/>
  <c r="P736" i="5"/>
  <c r="EX1242" i="5"/>
  <c r="EX654" i="5"/>
  <c r="EX588" i="5"/>
  <c r="Y1344" i="2"/>
  <c r="ID1097" i="5"/>
  <c r="IR748" i="5"/>
  <c r="BX1090" i="5"/>
  <c r="BX1041" i="5"/>
  <c r="BX1098" i="5" s="1"/>
  <c r="DY925" i="5"/>
  <c r="DY1091" i="5" s="1"/>
  <c r="DY1085" i="5"/>
  <c r="IR667" i="5"/>
  <c r="O112" i="7" s="1"/>
  <c r="AH520" i="2"/>
  <c r="IV907" i="5"/>
  <c r="AE1228" i="2" s="1"/>
  <c r="E29" i="7"/>
  <c r="AF1421" i="2"/>
  <c r="AF1510" i="2" s="1"/>
  <c r="AG1553" i="2"/>
  <c r="AG1463" i="2"/>
  <c r="AG1552" i="2" s="1"/>
  <c r="AG1912" i="2"/>
  <c r="AC1314" i="2"/>
  <c r="IP1096" i="5"/>
  <c r="IB1068" i="5"/>
  <c r="CL731" i="5"/>
  <c r="CL665" i="5"/>
  <c r="CL737" i="5" s="1"/>
  <c r="EQ1241" i="5"/>
  <c r="EQ658" i="5"/>
  <c r="EQ665" i="5" s="1"/>
  <c r="AD842" i="2"/>
  <c r="AD1625" i="2" s="1"/>
  <c r="AD763" i="2"/>
  <c r="AD1582" i="2" s="1"/>
  <c r="IS717" i="5"/>
  <c r="P24" i="7"/>
  <c r="IH1068" i="5"/>
  <c r="AB441" i="2"/>
  <c r="AC441" i="2"/>
  <c r="BL736" i="5"/>
  <c r="BL667" i="5"/>
  <c r="AD582" i="2"/>
  <c r="AE582" i="2"/>
  <c r="EV653" i="5"/>
  <c r="AA716" i="2"/>
  <c r="AA408" i="2"/>
  <c r="AA981" i="2"/>
  <c r="AA1030" i="2" s="1"/>
  <c r="AA900" i="2"/>
  <c r="EY1095" i="5"/>
  <c r="EY1254" i="5"/>
  <c r="EY1256" i="5" s="1"/>
  <c r="CK714" i="5"/>
  <c r="IR1059" i="5"/>
  <c r="IR1068" i="5" s="1"/>
  <c r="DI1095" i="5"/>
  <c r="II987" i="5"/>
  <c r="AC667" i="5"/>
  <c r="AC736" i="5"/>
  <c r="AA667" i="5"/>
  <c r="AA736" i="5"/>
  <c r="CP714" i="5"/>
  <c r="CP657" i="5"/>
  <c r="CV723" i="5"/>
  <c r="CV1241" i="5"/>
  <c r="CV658" i="5"/>
  <c r="DR1075" i="5"/>
  <c r="DR905" i="5"/>
  <c r="DR906" i="5"/>
  <c r="BX664" i="5"/>
  <c r="BX730" i="5"/>
  <c r="AG1558" i="2"/>
  <c r="AG1913" i="2"/>
  <c r="AG1467" i="2"/>
  <c r="AG1556" i="2" s="1"/>
  <c r="FF1085" i="5"/>
  <c r="FF925" i="5"/>
  <c r="FF1091" i="5" s="1"/>
  <c r="FJ925" i="5"/>
  <c r="FJ1091" i="5" s="1"/>
  <c r="FJ1085" i="5"/>
  <c r="IV1088" i="5"/>
  <c r="AE1233" i="2"/>
  <c r="IF1097" i="5"/>
  <c r="FP1090" i="5"/>
  <c r="FP1041" i="5"/>
  <c r="FP1098" i="5" s="1"/>
  <c r="CE714" i="5"/>
  <c r="DE1085" i="5"/>
  <c r="DE925" i="5"/>
  <c r="DE1091" i="5" s="1"/>
  <c r="AA947" i="2"/>
  <c r="AA357" i="2"/>
  <c r="AA639" i="2"/>
  <c r="AA1582" i="2"/>
  <c r="EV652" i="5"/>
  <c r="KZ730" i="5"/>
  <c r="KZ664" i="5"/>
  <c r="IY988" i="5"/>
  <c r="AF1314" i="2" s="1"/>
  <c r="DC658" i="5"/>
  <c r="DC1241" i="5"/>
  <c r="DC723" i="5"/>
  <c r="BO667" i="5"/>
  <c r="BO736" i="5"/>
  <c r="DY657" i="5"/>
  <c r="DY664" i="5" s="1"/>
  <c r="DY700" i="5" s="1"/>
  <c r="DN1075" i="5"/>
  <c r="DN906" i="5"/>
  <c r="DN905" i="5"/>
  <c r="IE1097" i="5"/>
  <c r="IG1019" i="5"/>
  <c r="AC486" i="2"/>
  <c r="AD486" i="2"/>
  <c r="CS1241" i="5"/>
  <c r="CS658" i="5"/>
  <c r="CS723" i="5"/>
  <c r="CS657" i="5"/>
  <c r="P61" i="7"/>
  <c r="AD818" i="2"/>
  <c r="AE1229" i="2"/>
  <c r="AE1438" i="2" s="1"/>
  <c r="IV1087" i="5"/>
  <c r="II1059" i="5"/>
  <c r="II1068" i="5" s="1"/>
  <c r="CM1084" i="5"/>
  <c r="CM924" i="5"/>
  <c r="AI736" i="5"/>
  <c r="AI667" i="5"/>
  <c r="KY664" i="5"/>
  <c r="KY730" i="5"/>
  <c r="AA608" i="2"/>
  <c r="Z608" i="2"/>
  <c r="EE657" i="5"/>
  <c r="EE664" i="5" s="1"/>
  <c r="EE700" i="5" s="1"/>
  <c r="EE658" i="5"/>
  <c r="EE665" i="5" s="1"/>
  <c r="EE1241" i="5"/>
  <c r="EE1257" i="5" s="1"/>
  <c r="FJ1084" i="5"/>
  <c r="FJ924" i="5"/>
  <c r="FO1085" i="5"/>
  <c r="FO925" i="5"/>
  <c r="FO1091" i="5" s="1"/>
  <c r="CH1241" i="5"/>
  <c r="CH723" i="5"/>
  <c r="CH657" i="5"/>
  <c r="CH658" i="5"/>
  <c r="Y586" i="2"/>
  <c r="Z586" i="2"/>
  <c r="CO723" i="5"/>
  <c r="CO1241" i="5"/>
  <c r="CO658" i="5"/>
  <c r="CZ1084" i="5"/>
  <c r="CZ924" i="5"/>
  <c r="DY658" i="5"/>
  <c r="DY665" i="5" s="1"/>
  <c r="IJ1082" i="5"/>
  <c r="AA1156" i="2"/>
  <c r="BB1090" i="5"/>
  <c r="BB1041" i="5"/>
  <c r="BB1098" i="5" s="1"/>
  <c r="IS628" i="5"/>
  <c r="AD834" i="2" s="1"/>
  <c r="GL905" i="5"/>
  <c r="GL924" i="5" s="1"/>
  <c r="GL1041" i="5" s="1"/>
  <c r="IG1088" i="5"/>
  <c r="Z1233" i="2"/>
  <c r="CM588" i="5"/>
  <c r="CM726" i="5"/>
  <c r="CM1249" i="5"/>
  <c r="IU748" i="5"/>
  <c r="IU1059" i="5"/>
  <c r="IU1068" i="5" s="1"/>
  <c r="AD977" i="2"/>
  <c r="AD1027" i="2" s="1"/>
  <c r="AD1593" i="2"/>
  <c r="AD882" i="2"/>
  <c r="AD881" i="2" s="1"/>
  <c r="AD976" i="2" s="1"/>
  <c r="IT1019" i="5"/>
  <c r="IV1019" i="5" s="1"/>
  <c r="IV1027" i="5"/>
  <c r="AE1352" i="2" s="1"/>
  <c r="N114" i="7"/>
  <c r="IS669" i="5"/>
  <c r="D30" i="7"/>
  <c r="E30" i="7" s="1"/>
  <c r="IJ578" i="5"/>
  <c r="AA774" i="2" s="1"/>
  <c r="AA773" i="2" s="1"/>
  <c r="EG1095" i="5"/>
  <c r="IO987" i="5"/>
  <c r="IP987" i="5" s="1"/>
  <c r="DE1095" i="5"/>
  <c r="IH987" i="5"/>
  <c r="IF1078" i="5"/>
  <c r="KZ665" i="5"/>
  <c r="KZ737" i="5" s="1"/>
  <c r="KZ731" i="5"/>
  <c r="II726" i="5"/>
  <c r="F68" i="7"/>
  <c r="IX1057" i="5"/>
  <c r="IX1059" i="5"/>
  <c r="IX748" i="5"/>
  <c r="IY907" i="5"/>
  <c r="E667" i="5"/>
  <c r="E736" i="5"/>
  <c r="IK749" i="5"/>
  <c r="AS730" i="5"/>
  <c r="AS664" i="5"/>
  <c r="EV1242" i="5"/>
  <c r="EV588" i="5"/>
  <c r="GL932" i="5"/>
  <c r="Z1396" i="2"/>
  <c r="AD1594" i="2"/>
  <c r="AD978" i="2"/>
  <c r="AD1028" i="2" s="1"/>
  <c r="IQ1059" i="5"/>
  <c r="EJ1257" i="5"/>
  <c r="IT987" i="5"/>
  <c r="FB1097" i="5"/>
  <c r="FB1253" i="5"/>
  <c r="DX906" i="5"/>
  <c r="DX905" i="5"/>
  <c r="DX1075" i="5"/>
  <c r="ET1241" i="5"/>
  <c r="ET1257" i="5" s="1"/>
  <c r="ET658" i="5"/>
  <c r="ET665" i="5" s="1"/>
  <c r="ET657" i="5"/>
  <c r="ET664" i="5" s="1"/>
  <c r="ET700" i="5" s="1"/>
  <c r="G114" i="7"/>
  <c r="IK739" i="5"/>
  <c r="IM669" i="5"/>
  <c r="IM739" i="5" s="1"/>
  <c r="IK667" i="5"/>
  <c r="E82" i="7"/>
  <c r="IN1057" i="5"/>
  <c r="IN1059" i="5"/>
  <c r="IN1068" i="5" s="1"/>
  <c r="DL714" i="5"/>
  <c r="DL657" i="5"/>
  <c r="IE892" i="5"/>
  <c r="IG892" i="5" s="1"/>
  <c r="IG891" i="5"/>
  <c r="IC1059" i="5"/>
  <c r="IC1068" i="5" s="1"/>
  <c r="Y1491" i="2"/>
  <c r="Y1396" i="2"/>
  <c r="DS658" i="5"/>
  <c r="DS1241" i="5"/>
  <c r="DS723" i="5"/>
  <c r="AM736" i="5"/>
  <c r="AM667" i="5"/>
  <c r="IR987" i="5"/>
  <c r="ES1095" i="5"/>
  <c r="CX906" i="5"/>
  <c r="CX1075" i="5"/>
  <c r="CX905" i="5"/>
  <c r="H82" i="7"/>
  <c r="DS654" i="5"/>
  <c r="DS1232" i="5"/>
  <c r="DS715" i="5"/>
  <c r="DS653" i="5"/>
  <c r="DS550" i="5"/>
  <c r="DS652" i="5"/>
  <c r="CN731" i="5"/>
  <c r="CN665" i="5"/>
  <c r="CN737" i="5" s="1"/>
  <c r="DD924" i="5"/>
  <c r="DD1084" i="5"/>
  <c r="Z1495" i="2"/>
  <c r="IJ1019" i="5"/>
  <c r="DC1041" i="5"/>
  <c r="DC1098" i="5" s="1"/>
  <c r="DC1090" i="5"/>
  <c r="AD1464" i="2"/>
  <c r="AD1688" i="2"/>
  <c r="DD657" i="5"/>
  <c r="DD714" i="5"/>
  <c r="L664" i="5"/>
  <c r="L730" i="5"/>
  <c r="AD1579" i="2"/>
  <c r="AD443" i="2"/>
  <c r="AU730" i="5"/>
  <c r="AU664" i="5"/>
  <c r="AD1511" i="2"/>
  <c r="AD1421" i="2"/>
  <c r="AD1510" i="2" s="1"/>
  <c r="AA872" i="2"/>
  <c r="AA970" i="2"/>
  <c r="AZ667" i="5"/>
  <c r="AZ736" i="5"/>
  <c r="IQ1057" i="5"/>
  <c r="AY730" i="5"/>
  <c r="AY664" i="5"/>
  <c r="CN714" i="5"/>
  <c r="CN657" i="5"/>
  <c r="AH1090" i="5"/>
  <c r="AH1041" i="5"/>
  <c r="AH1098" i="5" s="1"/>
  <c r="FU1095" i="5"/>
  <c r="FU1254" i="5"/>
  <c r="FU1256" i="5" s="1"/>
  <c r="IX987" i="5"/>
  <c r="CL723" i="5"/>
  <c r="CL1241" i="5"/>
  <c r="CI1249" i="5"/>
  <c r="CI726" i="5"/>
  <c r="CI588" i="5"/>
  <c r="FE1095" i="5"/>
  <c r="FE1254" i="5"/>
  <c r="IU987" i="5"/>
  <c r="EH905" i="5"/>
  <c r="EH906" i="5"/>
  <c r="EH1075" i="5"/>
  <c r="EH652" i="5"/>
  <c r="EH1232" i="5"/>
  <c r="EH653" i="5"/>
  <c r="EH550" i="5"/>
  <c r="EH657" i="5" s="1"/>
  <c r="EH664" i="5" s="1"/>
  <c r="EH700" i="5" s="1"/>
  <c r="EH654" i="5"/>
  <c r="IY1087" i="5"/>
  <c r="AF1229" i="2"/>
  <c r="AF1438" i="2" s="1"/>
  <c r="IF1096" i="5"/>
  <c r="IG988" i="5"/>
  <c r="CW1241" i="5"/>
  <c r="CW658" i="5"/>
  <c r="CW723" i="5"/>
  <c r="CW657" i="5"/>
  <c r="CZ925" i="5"/>
  <c r="CZ1091" i="5" s="1"/>
  <c r="CZ1085" i="5"/>
  <c r="DY1257" i="5"/>
  <c r="DE1084" i="5"/>
  <c r="DE924" i="5"/>
  <c r="FM1095" i="5"/>
  <c r="FM1254" i="5"/>
  <c r="CM925" i="5"/>
  <c r="CM1091" i="5" s="1"/>
  <c r="CM1085" i="5"/>
  <c r="BO1090" i="5"/>
  <c r="BO1041" i="5"/>
  <c r="BO1098" i="5" s="1"/>
  <c r="DD925" i="5"/>
  <c r="DD1091" i="5" s="1"/>
  <c r="DD1085" i="5"/>
  <c r="Z582" i="2"/>
  <c r="Y582" i="2"/>
  <c r="CL657" i="5"/>
  <c r="CL714" i="5"/>
  <c r="CF905" i="5"/>
  <c r="CF906" i="5"/>
  <c r="CF1075" i="5"/>
  <c r="IP813" i="5"/>
  <c r="BV736" i="5"/>
  <c r="BV667" i="5"/>
  <c r="AD801" i="2"/>
  <c r="P50" i="7"/>
  <c r="Y1496" i="2"/>
  <c r="Y1405" i="2"/>
  <c r="BY730" i="5"/>
  <c r="BY664" i="5"/>
  <c r="W736" i="5"/>
  <c r="W667" i="5"/>
  <c r="EN1097" i="5"/>
  <c r="IQ1019" i="5"/>
  <c r="DW1241" i="5"/>
  <c r="DW1257" i="5" s="1"/>
  <c r="DW658" i="5"/>
  <c r="DW665" i="5" s="1"/>
  <c r="EY1084" i="5"/>
  <c r="EY924" i="5"/>
  <c r="FO1084" i="5"/>
  <c r="FO924" i="5"/>
  <c r="BK730" i="5"/>
  <c r="BK664" i="5"/>
  <c r="IK1206" i="5"/>
  <c r="IK742" i="5"/>
  <c r="AB1038" i="2"/>
  <c r="AB1039" i="2" s="1"/>
  <c r="G125" i="7"/>
  <c r="CY723" i="5"/>
  <c r="CY1241" i="5"/>
  <c r="CY658" i="5"/>
  <c r="CY657" i="5"/>
  <c r="IS1212" i="5"/>
  <c r="IS1214" i="5" s="1"/>
  <c r="IS1216" i="5" s="1"/>
  <c r="IS1219" i="5" s="1"/>
  <c r="P137" i="7"/>
  <c r="IS1082" i="5"/>
  <c r="AD1156" i="2"/>
  <c r="CQ657" i="5"/>
  <c r="CQ730" i="5" s="1"/>
  <c r="AI1058" i="2"/>
  <c r="JC988" i="5"/>
  <c r="JC1096" i="5" s="1"/>
  <c r="IF724" i="5"/>
  <c r="C41" i="7"/>
  <c r="BC664" i="5"/>
  <c r="BC730" i="5"/>
  <c r="CC730" i="5"/>
  <c r="CC664" i="5"/>
  <c r="AE1553" i="2"/>
  <c r="AE1463" i="2"/>
  <c r="AE1552" i="2" s="1"/>
  <c r="AD872" i="2"/>
  <c r="AD970" i="2"/>
  <c r="CM714" i="5"/>
  <c r="AD1497" i="2"/>
  <c r="AJ736" i="5"/>
  <c r="AJ667" i="5"/>
  <c r="CF657" i="5"/>
  <c r="CF714" i="5"/>
  <c r="ID907" i="5"/>
  <c r="DP1249" i="5"/>
  <c r="DP726" i="5"/>
  <c r="DP588" i="5"/>
  <c r="DP657" i="5" s="1"/>
  <c r="FO1257" i="5"/>
  <c r="IP1077" i="5"/>
  <c r="AC1109" i="2"/>
  <c r="AT1403" i="2" s="1"/>
  <c r="AT1492" i="2" s="1"/>
  <c r="IJ746" i="5"/>
  <c r="IJ705" i="5"/>
  <c r="CW1095" i="5"/>
  <c r="IF987" i="5"/>
  <c r="IX676" i="5"/>
  <c r="T120" i="7"/>
  <c r="FV1090" i="5"/>
  <c r="FV1041" i="5"/>
  <c r="FV1098" i="5" s="1"/>
  <c r="IL621" i="5"/>
  <c r="I68" i="7" s="1"/>
  <c r="K68" i="7" s="1"/>
  <c r="I75" i="7"/>
  <c r="K75" i="7" s="1"/>
  <c r="DC714" i="5"/>
  <c r="DC657" i="5"/>
  <c r="K730" i="5"/>
  <c r="K664" i="5"/>
  <c r="AD1580" i="2"/>
  <c r="AD326" i="2"/>
  <c r="AD1233" i="2"/>
  <c r="IS1088" i="5"/>
  <c r="IF1059" i="5"/>
  <c r="IF1068" i="5" s="1"/>
  <c r="AD1229" i="2"/>
  <c r="AD1438" i="2" s="1"/>
  <c r="IS1087" i="5"/>
  <c r="IM628" i="5"/>
  <c r="G75" i="7"/>
  <c r="H75" i="7" s="1"/>
  <c r="IK621" i="5"/>
  <c r="IK588" i="5" s="1"/>
  <c r="IG1195" i="5"/>
  <c r="IG1201" i="5" s="1"/>
  <c r="DM1196" i="5"/>
  <c r="DB1201" i="5"/>
  <c r="DG1196" i="5"/>
  <c r="DK1196" i="5"/>
  <c r="DI1196" i="5"/>
  <c r="DJ1196" i="5"/>
  <c r="DH1196" i="5"/>
  <c r="DL1196" i="5"/>
  <c r="DF1196" i="5"/>
  <c r="DB1196" i="5"/>
  <c r="IG1227" i="5" s="1"/>
  <c r="DC1196" i="5"/>
  <c r="BZ664" i="5"/>
  <c r="BZ730" i="5"/>
  <c r="FC1257" i="5"/>
  <c r="AD1892" i="2"/>
  <c r="EM1249" i="5"/>
  <c r="IQ621" i="5"/>
  <c r="N68" i="7" s="1"/>
  <c r="AD339" i="2"/>
  <c r="AD621" i="2"/>
  <c r="IS907" i="5"/>
  <c r="AD948" i="2"/>
  <c r="AD921" i="2"/>
  <c r="IS701" i="5" s="1"/>
  <c r="FF924" i="5"/>
  <c r="FF1084" i="5"/>
  <c r="CQ1095" i="5"/>
  <c r="IE987" i="5"/>
  <c r="E8" i="7"/>
  <c r="CD730" i="5"/>
  <c r="CD664" i="5"/>
  <c r="IV813" i="5"/>
  <c r="KY731" i="5"/>
  <c r="KY665" i="5"/>
  <c r="KY737" i="5" s="1"/>
  <c r="IE894" i="5"/>
  <c r="IE1057" i="5" s="1"/>
  <c r="FL906" i="5"/>
  <c r="FL905" i="5"/>
  <c r="FL1075" i="5"/>
  <c r="II681" i="5"/>
  <c r="II667" i="5" s="1"/>
  <c r="II1212" i="5"/>
  <c r="II1214" i="5" s="1"/>
  <c r="II745" i="5"/>
  <c r="F137" i="7"/>
  <c r="H137" i="7" s="1"/>
  <c r="BW667" i="5"/>
  <c r="BW736" i="5"/>
  <c r="DH731" i="5"/>
  <c r="DH665" i="5"/>
  <c r="DH737" i="5" s="1"/>
  <c r="EY1085" i="5"/>
  <c r="EY925" i="5"/>
  <c r="EY1091" i="5" s="1"/>
  <c r="F736" i="5"/>
  <c r="F667" i="5"/>
  <c r="Y1498" i="2"/>
  <c r="Y1408" i="2"/>
  <c r="Y1497" i="2" s="1"/>
  <c r="DW657" i="5"/>
  <c r="DW664" i="5" s="1"/>
  <c r="DW700" i="5" s="1"/>
  <c r="IJ695" i="5"/>
  <c r="IH1212" i="5"/>
  <c r="IH1214" i="5" s="1"/>
  <c r="IH745" i="5"/>
  <c r="D137" i="7"/>
  <c r="IH681" i="5"/>
  <c r="AD1557" i="2"/>
  <c r="IK724" i="5"/>
  <c r="G41" i="7"/>
  <c r="IV1081" i="5"/>
  <c r="AE1132" i="2"/>
  <c r="AF1132" i="2"/>
  <c r="IY1081" i="5"/>
  <c r="AD1061" i="2"/>
  <c r="IS1076" i="5"/>
  <c r="EN652" i="5"/>
  <c r="EN654" i="5"/>
  <c r="EN653" i="5"/>
  <c r="EN1232" i="5"/>
  <c r="EN550" i="5"/>
  <c r="IQ552" i="5"/>
  <c r="IK1065" i="5"/>
  <c r="IM1056" i="5"/>
  <c r="IM1088" i="5"/>
  <c r="AB1233" i="2"/>
  <c r="DE1249" i="5"/>
  <c r="DE726" i="5"/>
  <c r="DE588" i="5"/>
  <c r="DE657" i="5" s="1"/>
  <c r="IU1065" i="5"/>
  <c r="JC1067" i="5"/>
  <c r="IN1065" i="5"/>
  <c r="IP1056" i="5"/>
  <c r="CV657" i="5"/>
  <c r="CV714" i="5"/>
  <c r="CJ731" i="5"/>
  <c r="CJ665" i="5"/>
  <c r="CJ737" i="5" s="1"/>
  <c r="F127" i="7"/>
  <c r="H127" i="7" s="1"/>
  <c r="IJ683" i="5"/>
  <c r="AA902" i="2" s="1"/>
  <c r="AA1585" i="2" s="1"/>
  <c r="JH1008" i="5"/>
  <c r="AI1334" i="2" s="1"/>
  <c r="JF988" i="5"/>
  <c r="IY1076" i="5"/>
  <c r="AF1061" i="2"/>
  <c r="AQ736" i="5"/>
  <c r="AQ667" i="5"/>
  <c r="AK589" i="2"/>
  <c r="AE1486" i="2"/>
  <c r="AE1396" i="2"/>
  <c r="AE1485" i="2" s="1"/>
  <c r="EZ1084" i="5"/>
  <c r="EZ924" i="5"/>
  <c r="N55" i="7"/>
  <c r="IS606" i="5"/>
  <c r="IW1065" i="5"/>
  <c r="IY1056" i="5"/>
  <c r="AA951" i="2"/>
  <c r="EB657" i="5"/>
  <c r="EB664" i="5" s="1"/>
  <c r="EB700" i="5" s="1"/>
  <c r="D28" i="7"/>
  <c r="IH719" i="5"/>
  <c r="IJ576" i="5"/>
  <c r="IJ719" i="5" s="1"/>
  <c r="DN550" i="5"/>
  <c r="DN1232" i="5"/>
  <c r="DN715" i="5"/>
  <c r="DN652" i="5"/>
  <c r="DN653" i="5"/>
  <c r="DN654" i="5"/>
  <c r="IP1076" i="5"/>
  <c r="AC1061" i="2"/>
  <c r="JC1065" i="5"/>
  <c r="JE1056" i="5"/>
  <c r="FA924" i="5"/>
  <c r="FA1084" i="5"/>
  <c r="IL1059" i="5"/>
  <c r="IN749" i="5"/>
  <c r="IM907" i="5"/>
  <c r="IL1057" i="5"/>
  <c r="II607" i="5"/>
  <c r="IJ606" i="5"/>
  <c r="AA808" i="2" s="1"/>
  <c r="AA380" i="2" s="1"/>
  <c r="F55" i="7"/>
  <c r="II590" i="5"/>
  <c r="EB1257" i="5"/>
  <c r="IS1081" i="5"/>
  <c r="AD1132" i="2"/>
  <c r="AA1061" i="2"/>
  <c r="IJ1076" i="5"/>
  <c r="IX1065" i="5"/>
  <c r="AH1511" i="2"/>
  <c r="IF726" i="5"/>
  <c r="C68" i="7"/>
  <c r="IF588" i="5"/>
  <c r="AJ1422" i="2"/>
  <c r="AJ1511" i="2" s="1"/>
  <c r="AJ1925" i="2"/>
  <c r="IS553" i="5"/>
  <c r="N8" i="7"/>
  <c r="DF1241" i="5"/>
  <c r="DF723" i="5"/>
  <c r="DF658" i="5"/>
  <c r="DF657" i="5"/>
  <c r="IT1065" i="5"/>
  <c r="IV1056" i="5"/>
  <c r="GI925" i="5"/>
  <c r="JC906" i="5"/>
  <c r="AD736" i="5"/>
  <c r="AD667" i="5"/>
  <c r="I55" i="7"/>
  <c r="K55" i="7" s="1"/>
  <c r="IL607" i="5"/>
  <c r="I56" i="7" s="1"/>
  <c r="K56" i="7" s="1"/>
  <c r="IL590" i="5"/>
  <c r="IM590" i="5" s="1"/>
  <c r="IM724" i="5" s="1"/>
  <c r="DN724" i="5"/>
  <c r="DN1242" i="5"/>
  <c r="DN588" i="5"/>
  <c r="DN658" i="5" s="1"/>
  <c r="II1065" i="5"/>
  <c r="IL552" i="5"/>
  <c r="I8" i="7"/>
  <c r="K8" i="7" s="1"/>
  <c r="EG1241" i="5"/>
  <c r="EG1257" i="5" s="1"/>
  <c r="EG657" i="5"/>
  <c r="EG664" i="5" s="1"/>
  <c r="EG700" i="5" s="1"/>
  <c r="EG658" i="5"/>
  <c r="EG665" i="5" s="1"/>
  <c r="AH1702" i="2"/>
  <c r="AH1708" i="2"/>
  <c r="IO1068" i="5"/>
  <c r="AB1061" i="2"/>
  <c r="IM1076" i="5"/>
  <c r="FE924" i="5"/>
  <c r="FE1084" i="5"/>
  <c r="JC1068" i="5"/>
  <c r="BH667" i="5"/>
  <c r="BH736" i="5"/>
  <c r="IO1065" i="5"/>
  <c r="EU654" i="5"/>
  <c r="AH1901" i="2"/>
  <c r="AH1875" i="2"/>
  <c r="AH1874" i="2" s="1"/>
  <c r="AH1058" i="2"/>
  <c r="AH1378" i="2"/>
  <c r="AH1386" i="2" s="1"/>
  <c r="IG1076" i="5"/>
  <c r="Z1061" i="2"/>
  <c r="DZ1242" i="5"/>
  <c r="DZ588" i="5"/>
  <c r="DZ1241" i="5" s="1"/>
  <c r="AI1949" i="2"/>
  <c r="CT714" i="5"/>
  <c r="CT657" i="5"/>
  <c r="IF1065" i="5"/>
  <c r="IM576" i="5"/>
  <c r="IM719" i="5" s="1"/>
  <c r="G28" i="7"/>
  <c r="H28" i="7" s="1"/>
  <c r="IK719" i="5"/>
  <c r="IJ1208" i="5"/>
  <c r="AA904" i="2"/>
  <c r="JD1065" i="5"/>
  <c r="D75" i="7"/>
  <c r="E75" i="7" s="1"/>
  <c r="IJ628" i="5"/>
  <c r="IH621" i="5"/>
  <c r="IZ1069" i="5"/>
  <c r="JB1060" i="5"/>
  <c r="JB1069" i="5" s="1"/>
  <c r="FA1085" i="5"/>
  <c r="FA925" i="5"/>
  <c r="FA1091" i="5" s="1"/>
  <c r="IE1065" i="5"/>
  <c r="IG1056" i="5"/>
  <c r="AH1527" i="2"/>
  <c r="AH1437" i="2"/>
  <c r="AH1526" i="2" s="1"/>
  <c r="IH1065" i="5"/>
  <c r="IJ1056" i="5"/>
  <c r="AC1497" i="2"/>
  <c r="BJ736" i="5"/>
  <c r="BJ667" i="5"/>
  <c r="AA384" i="2"/>
  <c r="AA1615" i="2"/>
  <c r="AA669" i="2"/>
  <c r="DR724" i="5"/>
  <c r="DR588" i="5"/>
  <c r="DR658" i="5" s="1"/>
  <c r="DR1242" i="5"/>
  <c r="IG652" i="5"/>
  <c r="IG715" i="5"/>
  <c r="IG654" i="5"/>
  <c r="IG653" i="5"/>
  <c r="IG550" i="5"/>
  <c r="D41" i="7"/>
  <c r="IH724" i="5"/>
  <c r="S736" i="5"/>
  <c r="S667" i="5"/>
  <c r="AH1505" i="2"/>
  <c r="AH1415" i="2"/>
  <c r="AH1504" i="2" s="1"/>
  <c r="AI1463" i="2"/>
  <c r="AI1552" i="2" s="1"/>
  <c r="AI1553" i="2"/>
  <c r="EU653" i="5"/>
  <c r="IS728" i="5"/>
  <c r="P82" i="7"/>
  <c r="CJ714" i="5"/>
  <c r="CJ657" i="5"/>
  <c r="AH1688" i="2"/>
  <c r="AH1464" i="2"/>
  <c r="AH1892" i="2"/>
  <c r="AA1132" i="2"/>
  <c r="IJ1081" i="5"/>
  <c r="H57" i="7"/>
  <c r="DP714" i="5"/>
  <c r="IG1081" i="5"/>
  <c r="Z1132" i="2"/>
  <c r="CX1241" i="5"/>
  <c r="CX723" i="5"/>
  <c r="CX658" i="5"/>
  <c r="DU658" i="5"/>
  <c r="DU665" i="5" s="1"/>
  <c r="DU1241" i="5"/>
  <c r="DU1257" i="5" s="1"/>
  <c r="AA1625" i="2"/>
  <c r="AA961" i="2"/>
  <c r="IJ888" i="5"/>
  <c r="EN1242" i="5"/>
  <c r="EN588" i="5"/>
  <c r="EN658" i="5" s="1"/>
  <c r="IQ590" i="5"/>
  <c r="FE925" i="5"/>
  <c r="FE1085" i="5"/>
  <c r="DG665" i="5"/>
  <c r="DG737" i="5" s="1"/>
  <c r="DG731" i="5"/>
  <c r="C7" i="7"/>
  <c r="IF654" i="5"/>
  <c r="C99" i="7" s="1"/>
  <c r="IF715" i="5"/>
  <c r="IF653" i="5"/>
  <c r="C98" i="7" s="1"/>
  <c r="IF550" i="5"/>
  <c r="IF652" i="5"/>
  <c r="C97" i="7" s="1"/>
  <c r="IL1065" i="5"/>
  <c r="DA731" i="5"/>
  <c r="DA665" i="5"/>
  <c r="DA737" i="5" s="1"/>
  <c r="AF1490" i="2"/>
  <c r="AF1396" i="2"/>
  <c r="AH1890" i="2"/>
  <c r="AH1469" i="2"/>
  <c r="IF719" i="5"/>
  <c r="C28" i="7"/>
  <c r="DA723" i="5"/>
  <c r="DA1241" i="5"/>
  <c r="JH907" i="5"/>
  <c r="AI1228" i="2" s="1"/>
  <c r="JF1057" i="5"/>
  <c r="AF608" i="2"/>
  <c r="AG608" i="2"/>
  <c r="J667" i="5"/>
  <c r="J736" i="5"/>
  <c r="DE714" i="5"/>
  <c r="IS720" i="5"/>
  <c r="AD773" i="2"/>
  <c r="P29" i="7"/>
  <c r="P10" i="7"/>
  <c r="AD748" i="2"/>
  <c r="IK552" i="5"/>
  <c r="IK716" i="5"/>
  <c r="G8" i="7"/>
  <c r="P57" i="7"/>
  <c r="AD810" i="2"/>
  <c r="AD1615" i="2" s="1"/>
  <c r="ES653" i="5"/>
  <c r="Y1553" i="2"/>
  <c r="Y1463" i="2"/>
  <c r="Y1552" i="2" s="1"/>
  <c r="JF1059" i="5"/>
  <c r="AI1511" i="2"/>
  <c r="AD634" i="2"/>
  <c r="AD632" i="2"/>
  <c r="AD352" i="2"/>
  <c r="AD1581" i="2"/>
  <c r="IM716" i="5"/>
  <c r="IM552" i="5"/>
  <c r="H10" i="7"/>
  <c r="N28" i="7"/>
  <c r="IS576" i="5"/>
  <c r="IP1081" i="5"/>
  <c r="AC1132" i="2"/>
  <c r="II739" i="5"/>
  <c r="F114" i="7"/>
  <c r="AD410" i="2"/>
  <c r="AD1627" i="2"/>
  <c r="AD718" i="2"/>
  <c r="AD1704" i="2"/>
  <c r="ES652" i="5"/>
  <c r="EN1091" i="5"/>
  <c r="AB353" i="2"/>
  <c r="AB635" i="2"/>
  <c r="ID1081" i="5"/>
  <c r="Y1132" i="2"/>
  <c r="X1643" i="2" s="1"/>
  <c r="JF1067" i="5"/>
  <c r="EH1241" i="5"/>
  <c r="EH658" i="5"/>
  <c r="EH665" i="5" s="1"/>
  <c r="ID1076" i="5"/>
  <c r="Y1061" i="2"/>
  <c r="IJ889" i="5"/>
  <c r="IC1065" i="5"/>
  <c r="ID1056" i="5"/>
  <c r="EU1242" i="5"/>
  <c r="EU588" i="5"/>
  <c r="EU657" i="5" s="1"/>
  <c r="EU664" i="5" s="1"/>
  <c r="EU700" i="5" s="1"/>
  <c r="AG667" i="5"/>
  <c r="AG736" i="5"/>
  <c r="AA1594" i="2"/>
  <c r="AA1592" i="2" s="1"/>
  <c r="AA978" i="2"/>
  <c r="AA1028" i="2" s="1"/>
  <c r="AA882" i="2"/>
  <c r="AA881" i="2" s="1"/>
  <c r="II716" i="5"/>
  <c r="F8" i="7"/>
  <c r="II552" i="5"/>
  <c r="DR654" i="5"/>
  <c r="DR653" i="5"/>
  <c r="DR550" i="5"/>
  <c r="DR1232" i="5"/>
  <c r="DR715" i="5"/>
  <c r="DR652" i="5"/>
  <c r="CR714" i="5"/>
  <c r="CR657" i="5"/>
  <c r="DX1241" i="5"/>
  <c r="DX1257" i="5" s="1"/>
  <c r="DX658" i="5"/>
  <c r="DX665" i="5" s="1"/>
  <c r="DX657" i="5"/>
  <c r="DX664" i="5" s="1"/>
  <c r="DX700" i="5" s="1"/>
  <c r="Z600" i="2"/>
  <c r="AA600" i="2"/>
  <c r="AB736" i="5"/>
  <c r="AB667" i="5"/>
  <c r="DI1085" i="5"/>
  <c r="DI925" i="5"/>
  <c r="AB307" i="2"/>
  <c r="AA307" i="2"/>
  <c r="AD660" i="2"/>
  <c r="AD1605" i="2"/>
  <c r="AE1061" i="2"/>
  <c r="IV1076" i="5"/>
  <c r="IJ553" i="5"/>
  <c r="AA748" i="2"/>
  <c r="DA714" i="5"/>
  <c r="DA657" i="5"/>
  <c r="DI1084" i="5"/>
  <c r="DI924" i="5"/>
  <c r="AH1694" i="2"/>
  <c r="AH1693" i="2" s="1"/>
  <c r="JE993" i="5"/>
  <c r="AH1319" i="2" s="1"/>
  <c r="AH1696" i="2" s="1"/>
  <c r="Q730" i="5"/>
  <c r="Q664" i="5"/>
  <c r="IJ891" i="5"/>
  <c r="II892" i="5"/>
  <c r="IJ892" i="5" s="1"/>
  <c r="JC891" i="5"/>
  <c r="JE891" i="5" s="1"/>
  <c r="AH1212" i="2" s="1"/>
  <c r="AB351" i="2"/>
  <c r="AB633" i="2"/>
  <c r="AA351" i="2"/>
  <c r="AA633" i="2"/>
  <c r="AA325" i="2"/>
  <c r="AB325" i="2"/>
  <c r="EZ925" i="5"/>
  <c r="EZ1085" i="5"/>
  <c r="IK607" i="5"/>
  <c r="IM606" i="5"/>
  <c r="G55" i="7"/>
  <c r="CF665" i="5"/>
  <c r="CF737" i="5" s="1"/>
  <c r="CF731" i="5"/>
  <c r="IR590" i="5"/>
  <c r="O41" i="7" s="1"/>
  <c r="ES1242" i="5"/>
  <c r="ES588" i="5"/>
  <c r="IR1065" i="5"/>
  <c r="IS1056" i="5"/>
  <c r="EB658" i="5"/>
  <c r="EB665" i="5" s="1"/>
  <c r="AH1486" i="2"/>
  <c r="AH1396" i="2"/>
  <c r="AI1702" i="2"/>
  <c r="AI1706" i="2" s="1"/>
  <c r="AI1708" i="2"/>
  <c r="BM736" i="5"/>
  <c r="BM667" i="5"/>
  <c r="IM1081" i="5"/>
  <c r="AB1132" i="2"/>
  <c r="JD988" i="5"/>
  <c r="GO924" i="5"/>
  <c r="DZ652" i="5"/>
  <c r="DZ654" i="5"/>
  <c r="DZ1232" i="5"/>
  <c r="DZ653" i="5"/>
  <c r="DZ550" i="5"/>
  <c r="DU657" i="5"/>
  <c r="DU664" i="5" s="1"/>
  <c r="DU700" i="5" s="1"/>
  <c r="O27" i="19"/>
  <c r="N27" i="19" s="1"/>
  <c r="Q74" i="19"/>
  <c r="AK1464" i="2"/>
  <c r="AK1463" i="2" s="1"/>
  <c r="AK1552" i="2" s="1"/>
  <c r="AK1268" i="2"/>
  <c r="IN652" i="5"/>
  <c r="J97" i="7" s="1"/>
  <c r="IN550" i="5"/>
  <c r="IN657" i="5" s="1"/>
  <c r="V1383" i="2"/>
  <c r="AJ1429" i="2"/>
  <c r="AJ1518" i="2" s="1"/>
  <c r="AJ1939" i="2"/>
  <c r="AC1040" i="2"/>
  <c r="AC1041" i="2" s="1"/>
  <c r="JY878" i="5"/>
  <c r="AI39" i="19"/>
  <c r="AK1344" i="2"/>
  <c r="AJ1431" i="2"/>
  <c r="AJ1520" i="2" s="1"/>
  <c r="AJ1424" i="2"/>
  <c r="AJ1513" i="2" s="1"/>
  <c r="AJ984" i="2"/>
  <c r="AJ1031" i="2" s="1"/>
  <c r="AJ926" i="2"/>
  <c r="AL1344" i="2"/>
  <c r="AG976" i="2"/>
  <c r="AG1026" i="2" s="1"/>
  <c r="AM1344" i="2"/>
  <c r="Q62" i="19"/>
  <c r="P62" i="19"/>
  <c r="R62" i="19" s="1"/>
  <c r="X62" i="19"/>
  <c r="AA62" i="19" s="1"/>
  <c r="Z62" i="19"/>
  <c r="Z43" i="19"/>
  <c r="AH637" i="2"/>
  <c r="AL326" i="2"/>
  <c r="AR102" i="19"/>
  <c r="AP102" i="19"/>
  <c r="AS102" i="19" s="1"/>
  <c r="AR39" i="19"/>
  <c r="AP39" i="19"/>
  <c r="AS39" i="19" s="1"/>
  <c r="AF43" i="19"/>
  <c r="AI62" i="19"/>
  <c r="AG62" i="19"/>
  <c r="AJ62" i="19" s="1"/>
  <c r="AP62" i="19"/>
  <c r="AS62" i="19" s="1"/>
  <c r="AR62" i="19"/>
  <c r="AI102" i="19"/>
  <c r="AG102" i="19"/>
  <c r="AJ102" i="19" s="1"/>
  <c r="AJ1464" i="2"/>
  <c r="AJ1553" i="2" s="1"/>
  <c r="AJ915" i="2"/>
  <c r="JK695" i="5" s="1"/>
  <c r="JI695" i="5" s="1"/>
  <c r="JJ695" i="5" s="1"/>
  <c r="AM641" i="2"/>
  <c r="V1670" i="2"/>
  <c r="AH915" i="2"/>
  <c r="AH983" i="2" s="1"/>
  <c r="JE696" i="5"/>
  <c r="JD696" i="5" s="1"/>
  <c r="AH984" i="2"/>
  <c r="AH1031" i="2" s="1"/>
  <c r="V1436" i="2"/>
  <c r="V1525" i="2" s="1"/>
  <c r="IU621" i="5"/>
  <c r="R68" i="7" s="1"/>
  <c r="JD697" i="5"/>
  <c r="V1366" i="2"/>
  <c r="U1665" i="2" s="1"/>
  <c r="JP992" i="5"/>
  <c r="JG615" i="5"/>
  <c r="JG697" i="5"/>
  <c r="Q41" i="7"/>
  <c r="IT588" i="5"/>
  <c r="Y1599" i="2"/>
  <c r="R50" i="7"/>
  <c r="IU590" i="5"/>
  <c r="R41" i="7" s="1"/>
  <c r="JF694" i="5"/>
  <c r="JG694" i="5" s="1"/>
  <c r="JN695" i="5"/>
  <c r="V1435" i="2"/>
  <c r="V1524" i="2" s="1"/>
  <c r="AN1344" i="2"/>
  <c r="AO598" i="2"/>
  <c r="W1467" i="2"/>
  <c r="W1556" i="2" s="1"/>
  <c r="AK326" i="2"/>
  <c r="AO596" i="2"/>
  <c r="AP596" i="2" s="1"/>
  <c r="AQ596" i="2" s="1"/>
  <c r="AR596" i="2" s="1"/>
  <c r="AS596" i="2" s="1"/>
  <c r="AT596" i="2" s="1"/>
  <c r="JN558" i="5"/>
  <c r="JL558" i="5" s="1"/>
  <c r="AM348" i="2"/>
  <c r="L75" i="7"/>
  <c r="IO621" i="5"/>
  <c r="IW588" i="5"/>
  <c r="IX588" i="5" s="1"/>
  <c r="X1025" i="2"/>
  <c r="X1034" i="2" s="1"/>
  <c r="Y1857" i="2"/>
  <c r="Z1026" i="2"/>
  <c r="AO685" i="2"/>
  <c r="AO386" i="2"/>
  <c r="AM630" i="2"/>
  <c r="JM697" i="5"/>
  <c r="AN549" i="2"/>
  <c r="AM1094" i="2"/>
  <c r="JT788" i="5" s="1"/>
  <c r="AI637" i="2"/>
  <c r="AI355" i="2"/>
  <c r="AJ637" i="2" s="1"/>
  <c r="JH591" i="5"/>
  <c r="JF591" i="5" s="1"/>
  <c r="JG591" i="5" s="1"/>
  <c r="AI365" i="2"/>
  <c r="AI364" i="2"/>
  <c r="AJ789" i="2"/>
  <c r="AF337" i="2"/>
  <c r="AF329" i="2" s="1"/>
  <c r="AG333" i="2"/>
  <c r="AG615" i="2"/>
  <c r="AO688" i="2"/>
  <c r="AP688" i="2" s="1"/>
  <c r="AQ688" i="2" s="1"/>
  <c r="AR688" i="2" s="1"/>
  <c r="AS688" i="2" s="1"/>
  <c r="AT688" i="2" s="1"/>
  <c r="X1395" i="2"/>
  <c r="X1436" i="2" s="1"/>
  <c r="AJ1702" i="2"/>
  <c r="L126" i="7"/>
  <c r="IO1207" i="5"/>
  <c r="IO1210" i="5" s="1"/>
  <c r="JM839" i="5"/>
  <c r="JO839" i="5"/>
  <c r="JP839" i="5" s="1"/>
  <c r="AB1812" i="2"/>
  <c r="AB1705" i="2"/>
  <c r="AB1813" i="2" s="1"/>
  <c r="AB1817" i="2" s="1"/>
  <c r="AL443" i="2"/>
  <c r="AL317" i="2"/>
  <c r="L138" i="7"/>
  <c r="IO705" i="5"/>
  <c r="AH699" i="2"/>
  <c r="AH399" i="2"/>
  <c r="J39" i="7"/>
  <c r="IN658" i="5"/>
  <c r="IO695" i="5"/>
  <c r="IN1212" i="5"/>
  <c r="IN1214" i="5" s="1"/>
  <c r="IN1216" i="5" s="1"/>
  <c r="J137" i="7"/>
  <c r="AO343" i="2"/>
  <c r="AP625" i="2" s="1"/>
  <c r="AO625" i="2"/>
  <c r="AN344" i="2"/>
  <c r="AN626" i="2"/>
  <c r="AC1701" i="2"/>
  <c r="AC1706" i="2"/>
  <c r="AN320" i="2"/>
  <c r="JH610" i="5"/>
  <c r="AJ816" i="2"/>
  <c r="AO321" i="2"/>
  <c r="AP445" i="2" s="1"/>
  <c r="AM1203" i="2"/>
  <c r="AN710" i="2"/>
  <c r="JC610" i="5"/>
  <c r="JD610" i="5" s="1"/>
  <c r="AI764" i="2"/>
  <c r="AI821" i="2"/>
  <c r="AI314" i="2"/>
  <c r="AH315" i="2" s="1"/>
  <c r="AM314" i="2"/>
  <c r="AL315" i="2" s="1"/>
  <c r="AM339" i="2"/>
  <c r="AM621" i="2"/>
  <c r="V1647" i="2"/>
  <c r="W1647" i="2"/>
  <c r="ID590" i="5"/>
  <c r="ID724" i="5" s="1"/>
  <c r="Z786" i="2"/>
  <c r="Z868" i="2" s="1"/>
  <c r="Z954" i="2"/>
  <c r="JB643" i="5"/>
  <c r="AG842" i="2"/>
  <c r="AI1699" i="2"/>
  <c r="AI1722" i="2"/>
  <c r="AO500" i="2"/>
  <c r="AO337" i="2"/>
  <c r="AD1819" i="2"/>
  <c r="AE1820" i="2"/>
  <c r="W1383" i="2"/>
  <c r="W1389" i="2"/>
  <c r="JE571" i="5"/>
  <c r="JD571" i="5" s="1"/>
  <c r="AH921" i="2"/>
  <c r="JE701" i="5" s="1"/>
  <c r="AH948" i="2"/>
  <c r="AL385" i="2"/>
  <c r="Z864" i="2"/>
  <c r="ID654" i="5" s="1"/>
  <c r="AN308" i="2"/>
  <c r="AO309" i="2"/>
  <c r="AN311" i="2"/>
  <c r="AN313" i="2" s="1"/>
  <c r="JI567" i="5"/>
  <c r="JJ567" i="5" s="1"/>
  <c r="JR992" i="5"/>
  <c r="JS992" i="5" s="1"/>
  <c r="JN567" i="5"/>
  <c r="AI434" i="2"/>
  <c r="AH435" i="2"/>
  <c r="JO846" i="5"/>
  <c r="JP846" i="5" s="1"/>
  <c r="AN347" i="2"/>
  <c r="AO622" i="2"/>
  <c r="AO340" i="2"/>
  <c r="AP622" i="2" s="1"/>
  <c r="AN629" i="2"/>
  <c r="AN623" i="2"/>
  <c r="AN341" i="2"/>
  <c r="AJ1698" i="2"/>
  <c r="JE617" i="5"/>
  <c r="JD617" i="5" s="1"/>
  <c r="AH955" i="2"/>
  <c r="AH1002" i="2" s="1"/>
  <c r="AH818" i="2"/>
  <c r="JN614" i="5"/>
  <c r="JM614" i="5" s="1"/>
  <c r="AK385" i="2"/>
  <c r="AJ1726" i="2"/>
  <c r="AJ1703" i="2"/>
  <c r="JL562" i="5"/>
  <c r="JM562" i="5" s="1"/>
  <c r="Z862" i="2"/>
  <c r="JB614" i="5"/>
  <c r="JA614" i="5" s="1"/>
  <c r="AG385" i="2"/>
  <c r="AG684" i="2"/>
  <c r="AL1412" i="2"/>
  <c r="JP823" i="5"/>
  <c r="AM1129" i="2"/>
  <c r="JT823" i="5" s="1"/>
  <c r="AJ1500" i="2"/>
  <c r="AJ1404" i="2"/>
  <c r="AJ1493" i="2" s="1"/>
  <c r="AK1501" i="2"/>
  <c r="AK1411" i="2"/>
  <c r="AG436" i="2"/>
  <c r="AO355" i="2"/>
  <c r="AP637" i="2" s="1"/>
  <c r="AO637" i="2"/>
  <c r="L7" i="7"/>
  <c r="IO652" i="5"/>
  <c r="L97" i="7" s="1"/>
  <c r="IO550" i="5"/>
  <c r="JL693" i="5"/>
  <c r="JM693" i="5" s="1"/>
  <c r="W1246" i="2"/>
  <c r="W1366" i="2"/>
  <c r="JF646" i="5"/>
  <c r="JG646" i="5" s="1"/>
  <c r="AO324" i="2"/>
  <c r="JM952" i="5"/>
  <c r="AK1727" i="2" s="1"/>
  <c r="Z940" i="2"/>
  <c r="Z1041" i="2"/>
  <c r="Z994" i="2"/>
  <c r="Y1838" i="2"/>
  <c r="JK694" i="5"/>
  <c r="AJ901" i="2"/>
  <c r="AF347" i="2"/>
  <c r="AF341" i="2"/>
  <c r="AF623" i="2"/>
  <c r="AG622" i="2"/>
  <c r="AF629" i="2"/>
  <c r="AG340" i="2"/>
  <c r="JL661" i="5"/>
  <c r="JL660" i="5" s="1"/>
  <c r="AH852" i="2"/>
  <c r="AI400" i="2"/>
  <c r="AI700" i="2"/>
  <c r="AK1703" i="2"/>
  <c r="AL1702" i="2" s="1"/>
  <c r="AJ1699" i="2"/>
  <c r="Z944" i="2"/>
  <c r="ID550" i="5"/>
  <c r="ID714" i="5" s="1"/>
  <c r="Z1025" i="2"/>
  <c r="Y1856" i="2"/>
  <c r="AO345" i="2"/>
  <c r="AP627" i="2" s="1"/>
  <c r="AO627" i="2"/>
  <c r="JR834" i="5"/>
  <c r="JS834" i="5" s="1"/>
  <c r="AE624" i="2"/>
  <c r="AE342" i="2"/>
  <c r="AE630" i="2"/>
  <c r="AE348" i="2"/>
  <c r="JN553" i="5"/>
  <c r="AN329" i="2"/>
  <c r="AD633" i="2"/>
  <c r="AE350" i="2"/>
  <c r="JJ661" i="5"/>
  <c r="W1493" i="2"/>
  <c r="W1395" i="2"/>
  <c r="JR829" i="5"/>
  <c r="JS829" i="5" s="1"/>
  <c r="AG343" i="2"/>
  <c r="AF344" i="2"/>
  <c r="AF626" i="2"/>
  <c r="AG625" i="2"/>
  <c r="AO1155" i="2"/>
  <c r="AN1420" i="2"/>
  <c r="AN1509" i="2" s="1"/>
  <c r="JU952" i="5"/>
  <c r="AM342" i="2"/>
  <c r="AM624" i="2"/>
  <c r="JN660" i="5"/>
  <c r="AE1706" i="2"/>
  <c r="AE1701" i="2"/>
  <c r="X1382" i="2"/>
  <c r="X1542" i="2"/>
  <c r="AJ842" i="2"/>
  <c r="JK646" i="5"/>
  <c r="JJ660" i="5"/>
  <c r="JR849" i="5"/>
  <c r="JS849" i="5" s="1"/>
  <c r="AH627" i="2"/>
  <c r="AH345" i="2"/>
  <c r="Z687" i="2"/>
  <c r="Z388" i="2"/>
  <c r="IU695" i="5"/>
  <c r="R137" i="7" s="1"/>
  <c r="Q137" i="7"/>
  <c r="AH752" i="2"/>
  <c r="JE559" i="5" s="1"/>
  <c r="JM908" i="5"/>
  <c r="AJ1688" i="2"/>
  <c r="JY967" i="5"/>
  <c r="IZ559" i="5"/>
  <c r="JA559" i="5" s="1"/>
  <c r="JV967" i="5"/>
  <c r="JU967" i="5"/>
  <c r="JU908" i="5"/>
  <c r="JG696" i="5"/>
  <c r="JH695" i="5"/>
  <c r="AI983" i="2"/>
  <c r="JM696" i="5"/>
  <c r="IZ595" i="5"/>
  <c r="JA595" i="5" s="1"/>
  <c r="AO667" i="2"/>
  <c r="AO673" i="2"/>
  <c r="AO689" i="2"/>
  <c r="AO681" i="2"/>
  <c r="AO661" i="2"/>
  <c r="JE621" i="5"/>
  <c r="AH958" i="2"/>
  <c r="AH1005" i="2" s="1"/>
  <c r="Y1143" i="2"/>
  <c r="Z596" i="2"/>
  <c r="AJ826" i="2"/>
  <c r="AI825" i="2"/>
  <c r="JH622" i="5"/>
  <c r="AK1107" i="2"/>
  <c r="AJ1402" i="2"/>
  <c r="AJ1491" i="2" s="1"/>
  <c r="AN359" i="2"/>
  <c r="AK1104" i="2"/>
  <c r="AK1106" i="2"/>
  <c r="JE560" i="5"/>
  <c r="IV555" i="5"/>
  <c r="AE746" i="2"/>
  <c r="AE317" i="2"/>
  <c r="AK1098" i="2"/>
  <c r="AK1105" i="2"/>
  <c r="AI809" i="2"/>
  <c r="JE607" i="5"/>
  <c r="JO791" i="5"/>
  <c r="AL480" i="2"/>
  <c r="AK1091" i="2"/>
  <c r="AM1097" i="2"/>
  <c r="JT791" i="5" s="1"/>
  <c r="AN481" i="2"/>
  <c r="AG749" i="2"/>
  <c r="AH320" i="2"/>
  <c r="JM791" i="5"/>
  <c r="IY556" i="5"/>
  <c r="AF748" i="2"/>
  <c r="AK1093" i="2"/>
  <c r="AK1084" i="2"/>
  <c r="JC622" i="5"/>
  <c r="JC621" i="5" s="1"/>
  <c r="AK1108" i="2"/>
  <c r="JV901" i="5"/>
  <c r="JH560" i="5"/>
  <c r="S11" i="7"/>
  <c r="IU556" i="5"/>
  <c r="R11" i="7" s="1"/>
  <c r="JO768" i="5"/>
  <c r="AL476" i="2"/>
  <c r="AO1432" i="2"/>
  <c r="AO1521" i="2" s="1"/>
  <c r="AE377" i="2"/>
  <c r="AG641" i="2"/>
  <c r="AG359" i="2"/>
  <c r="AI793" i="2"/>
  <c r="JE595" i="5"/>
  <c r="JE576" i="5"/>
  <c r="AH949" i="2"/>
  <c r="AH997" i="2" s="1"/>
  <c r="X1556" i="2"/>
  <c r="JC739" i="5"/>
  <c r="JD669" i="5"/>
  <c r="JD739" i="5" s="1"/>
  <c r="JC720" i="5"/>
  <c r="JD577" i="5"/>
  <c r="JD720" i="5" s="1"/>
  <c r="AJ1370" i="2"/>
  <c r="AJ1479" i="2" s="1"/>
  <c r="AJ1566" i="2" s="1"/>
  <c r="BL101" i="19" l="1"/>
  <c r="BM101" i="19" s="1"/>
  <c r="BL97" i="19"/>
  <c r="BM97" i="19" s="1"/>
  <c r="AN1370" i="2"/>
  <c r="AN1479" i="2" s="1"/>
  <c r="AN1566" i="2" s="1"/>
  <c r="AI738" i="2"/>
  <c r="W70" i="19"/>
  <c r="Y70" i="19" s="1"/>
  <c r="Z31" i="19"/>
  <c r="AM1370" i="2"/>
  <c r="AM1479" i="2" s="1"/>
  <c r="AM1566" i="2" s="1"/>
  <c r="AO1213" i="2"/>
  <c r="AL1370" i="2"/>
  <c r="AL1479" i="2" s="1"/>
  <c r="AL1566" i="2" s="1"/>
  <c r="JQ948" i="5"/>
  <c r="AH41" i="19"/>
  <c r="AH43" i="19"/>
  <c r="AH52" i="19"/>
  <c r="AH72" i="19"/>
  <c r="T31" i="21"/>
  <c r="U31" i="21" s="1"/>
  <c r="AF114" i="19"/>
  <c r="AF116" i="19" s="1"/>
  <c r="U22" i="21"/>
  <c r="AK1133" i="2"/>
  <c r="Q82" i="21"/>
  <c r="R82" i="21" s="1"/>
  <c r="Q96" i="21"/>
  <c r="R96" i="21" s="1"/>
  <c r="AM1159" i="2"/>
  <c r="BA1161" i="2" s="1"/>
  <c r="BA1162" i="2" s="1"/>
  <c r="T62" i="21"/>
  <c r="W92" i="21"/>
  <c r="JT882" i="5"/>
  <c r="JR882" i="5" s="1"/>
  <c r="V85" i="21"/>
  <c r="JQ851" i="5"/>
  <c r="Q66" i="21"/>
  <c r="R66" i="21" s="1"/>
  <c r="AA739" i="2"/>
  <c r="AT1673" i="2"/>
  <c r="AT1679" i="2" s="1"/>
  <c r="BF97" i="19"/>
  <c r="BI97" i="19"/>
  <c r="BF101" i="19"/>
  <c r="BI101" i="19"/>
  <c r="AG101" i="19"/>
  <c r="AJ101" i="19" s="1"/>
  <c r="AH101" i="19"/>
  <c r="X10" i="19"/>
  <c r="AA10" i="19" s="1"/>
  <c r="Y10" i="19"/>
  <c r="Z101" i="19"/>
  <c r="Y101" i="19"/>
  <c r="AV1272" i="2"/>
  <c r="AS1101" i="2"/>
  <c r="AS1274" i="2" s="1"/>
  <c r="AR1274" i="2"/>
  <c r="KI953" i="5" s="1"/>
  <c r="KG953" i="5" s="1"/>
  <c r="KH953" i="5" s="1"/>
  <c r="AK1370" i="2"/>
  <c r="AK1479" i="2" s="1"/>
  <c r="AK1566" i="2" s="1"/>
  <c r="W97" i="19"/>
  <c r="W57" i="19"/>
  <c r="Y57" i="19" s="1"/>
  <c r="W44" i="19"/>
  <c r="Y44" i="19" s="1"/>
  <c r="W38" i="19"/>
  <c r="Y38" i="19" s="1"/>
  <c r="AK1204" i="2"/>
  <c r="JN883" i="5" s="1"/>
  <c r="AI1156" i="2"/>
  <c r="AE739" i="2"/>
  <c r="AD739" i="2"/>
  <c r="AF648" i="2"/>
  <c r="AF739" i="2"/>
  <c r="AG739" i="2"/>
  <c r="AC739" i="2"/>
  <c r="AB739" i="2"/>
  <c r="AL603" i="2"/>
  <c r="AK1141" i="2"/>
  <c r="AL589" i="2"/>
  <c r="Z10" i="19"/>
  <c r="AJ469" i="2"/>
  <c r="AK469" i="2" s="1"/>
  <c r="AL469" i="2" s="1"/>
  <c r="AM469" i="2" s="1"/>
  <c r="AN469" i="2" s="1"/>
  <c r="AO469" i="2" s="1"/>
  <c r="AP469" i="2" s="1"/>
  <c r="AQ469" i="2" s="1"/>
  <c r="AR469" i="2" s="1"/>
  <c r="AS469" i="2" s="1"/>
  <c r="AT469" i="2" s="1"/>
  <c r="AN507" i="2"/>
  <c r="V10" i="19"/>
  <c r="KF841" i="5"/>
  <c r="KD841" i="5" s="1"/>
  <c r="KE841" i="5" s="1"/>
  <c r="AQ1145" i="2"/>
  <c r="AK1149" i="2"/>
  <c r="JN919" i="5"/>
  <c r="AL593" i="2"/>
  <c r="AL561" i="2"/>
  <c r="JW822" i="5"/>
  <c r="JV822" i="5" s="1"/>
  <c r="AN1119" i="2"/>
  <c r="JQ813" i="5"/>
  <c r="JP813" i="5" s="1"/>
  <c r="AL1914" i="2"/>
  <c r="AF10" i="19"/>
  <c r="AK1667" i="2"/>
  <c r="AQ1276" i="2"/>
  <c r="KF955" i="5" s="1"/>
  <c r="KD955" i="5" s="1"/>
  <c r="KE955" i="5" s="1"/>
  <c r="JT822" i="5"/>
  <c r="JS822" i="5" s="1"/>
  <c r="AM1119" i="2"/>
  <c r="JN947" i="5"/>
  <c r="AL1686" i="2" s="1"/>
  <c r="AQ1673" i="2"/>
  <c r="AQ1679" i="2" s="1"/>
  <c r="AN1316" i="2"/>
  <c r="JW990" i="5" s="1"/>
  <c r="JZ1019" i="5"/>
  <c r="AO1370" i="2"/>
  <c r="AO1479" i="2" s="1"/>
  <c r="AO1566" i="2" s="1"/>
  <c r="AR1277" i="2"/>
  <c r="AR1276" i="2" s="1"/>
  <c r="KI955" i="5" s="1"/>
  <c r="KG955" i="5" s="1"/>
  <c r="KH955" i="5" s="1"/>
  <c r="KF953" i="5"/>
  <c r="KD953" i="5" s="1"/>
  <c r="KE953" i="5" s="1"/>
  <c r="P23" i="19"/>
  <c r="R23" i="19" s="1"/>
  <c r="KI782" i="5"/>
  <c r="KG782" i="5" s="1"/>
  <c r="KH782" i="5" s="1"/>
  <c r="KF947" i="5"/>
  <c r="Q23" i="19"/>
  <c r="JW892" i="5"/>
  <c r="KC947" i="5"/>
  <c r="AO1135" i="2"/>
  <c r="JZ829" i="5" s="1"/>
  <c r="JX829" i="5" s="1"/>
  <c r="JY829" i="5" s="1"/>
  <c r="AR1673" i="2"/>
  <c r="AR1679" i="2" s="1"/>
  <c r="AO1318" i="2"/>
  <c r="JZ992" i="5" s="1"/>
  <c r="JX992" i="5" s="1"/>
  <c r="JY992" i="5" s="1"/>
  <c r="AN1242" i="2"/>
  <c r="JW921" i="5" s="1"/>
  <c r="AL1688" i="2"/>
  <c r="AO1140" i="2"/>
  <c r="JZ834" i="5" s="1"/>
  <c r="JX834" i="5" s="1"/>
  <c r="JY834" i="5" s="1"/>
  <c r="JZ831" i="5"/>
  <c r="JX831" i="5" s="1"/>
  <c r="JY831" i="5" s="1"/>
  <c r="AP1137" i="2"/>
  <c r="JN1019" i="5"/>
  <c r="AK568" i="2"/>
  <c r="JN798" i="5"/>
  <c r="AP1155" i="2"/>
  <c r="KC849" i="5" s="1"/>
  <c r="KA849" i="5" s="1"/>
  <c r="KB849" i="5" s="1"/>
  <c r="JZ849" i="5"/>
  <c r="AM1151" i="2"/>
  <c r="JT846" i="5"/>
  <c r="JR846" i="5" s="1"/>
  <c r="JS846" i="5" s="1"/>
  <c r="AK544" i="2"/>
  <c r="JN787" i="5"/>
  <c r="JW1019" i="5"/>
  <c r="AK576" i="2"/>
  <c r="JN800" i="5"/>
  <c r="AK665" i="2"/>
  <c r="JN885" i="5"/>
  <c r="AK660" i="2"/>
  <c r="JN853" i="5"/>
  <c r="AP1344" i="2"/>
  <c r="KC1027" i="5"/>
  <c r="AP1729" i="2"/>
  <c r="X31" i="19"/>
  <c r="AA31" i="19" s="1"/>
  <c r="AS1727" i="2"/>
  <c r="AQ1728" i="2"/>
  <c r="KA952" i="5"/>
  <c r="AK514" i="2"/>
  <c r="JN778" i="5"/>
  <c r="AN1136" i="2"/>
  <c r="JW830" i="5" s="1"/>
  <c r="JU830" i="5" s="1"/>
  <c r="JV830" i="5" s="1"/>
  <c r="JT830" i="5"/>
  <c r="JR830" i="5" s="1"/>
  <c r="JS830" i="5" s="1"/>
  <c r="AK580" i="2"/>
  <c r="JN801" i="5"/>
  <c r="AT1277" i="2"/>
  <c r="KO782" i="5"/>
  <c r="KM782" i="5" s="1"/>
  <c r="KN782" i="5" s="1"/>
  <c r="AS1096" i="2"/>
  <c r="KI790" i="5"/>
  <c r="KG790" i="5" s="1"/>
  <c r="KH790" i="5" s="1"/>
  <c r="AL1464" i="2"/>
  <c r="AL1463" i="2" s="1"/>
  <c r="AL1552" i="2" s="1"/>
  <c r="BH101" i="19"/>
  <c r="BK101" i="19" s="1"/>
  <c r="AK679" i="2"/>
  <c r="JN903" i="5"/>
  <c r="AF71" i="19"/>
  <c r="AM1317" i="2"/>
  <c r="JT991" i="5" s="1"/>
  <c r="AL1375" i="2"/>
  <c r="AN1148" i="2"/>
  <c r="JN877" i="5"/>
  <c r="AK536" i="2"/>
  <c r="JN785" i="5"/>
  <c r="AO1644" i="2"/>
  <c r="KC839" i="5"/>
  <c r="KA839" i="5" s="1"/>
  <c r="KB839" i="5" s="1"/>
  <c r="AL1419" i="2"/>
  <c r="AL1508" i="2" s="1"/>
  <c r="JQ845" i="5"/>
  <c r="JO845" i="5" s="1"/>
  <c r="KF952" i="5"/>
  <c r="AF31" i="19"/>
  <c r="JQ868" i="5"/>
  <c r="JO868" i="5" s="1"/>
  <c r="JP868" i="5" s="1"/>
  <c r="BJ101" i="19"/>
  <c r="AL1660" i="2"/>
  <c r="JT824" i="5"/>
  <c r="JS824" i="5" s="1"/>
  <c r="AS1277" i="2"/>
  <c r="KL782" i="5"/>
  <c r="KJ782" i="5" s="1"/>
  <c r="KK782" i="5" s="1"/>
  <c r="AL1268" i="2"/>
  <c r="JT1019" i="5"/>
  <c r="AK584" i="2"/>
  <c r="JN802" i="5"/>
  <c r="AK572" i="2"/>
  <c r="JN799" i="5"/>
  <c r="AK1698" i="2"/>
  <c r="AK556" i="2"/>
  <c r="JN792" i="5"/>
  <c r="JQ1019" i="5"/>
  <c r="AM634" i="2"/>
  <c r="AM352" i="2"/>
  <c r="AM1725" i="2"/>
  <c r="AO72" i="19"/>
  <c r="AQ72" i="19" s="1"/>
  <c r="AM1374" i="2"/>
  <c r="AM1700" i="2"/>
  <c r="AM1708" i="2" s="1"/>
  <c r="AM1269" i="2"/>
  <c r="JP950" i="5"/>
  <c r="AM1699" i="2"/>
  <c r="AM1707" i="2" s="1"/>
  <c r="JO950" i="5"/>
  <c r="AG72" i="19"/>
  <c r="AJ72" i="19" s="1"/>
  <c r="AI72" i="19"/>
  <c r="AO720" i="2"/>
  <c r="AN719" i="2"/>
  <c r="AN718" i="2" s="1"/>
  <c r="JW950" i="5" s="1"/>
  <c r="AM326" i="2"/>
  <c r="AP527" i="2"/>
  <c r="AP1087" i="2" s="1"/>
  <c r="AO1087" i="2"/>
  <c r="AH738" i="2"/>
  <c r="AK497" i="2"/>
  <c r="AN395" i="2"/>
  <c r="AN695" i="2"/>
  <c r="AO389" i="2"/>
  <c r="AK1380" i="2"/>
  <c r="AK1388" i="2" s="1"/>
  <c r="AK671" i="2"/>
  <c r="V61" i="21"/>
  <c r="AL647" i="2"/>
  <c r="AL444" i="2"/>
  <c r="AR532" i="2"/>
  <c r="AM448" i="2"/>
  <c r="AL1064" i="2"/>
  <c r="JQ758" i="5" s="1"/>
  <c r="AL447" i="2"/>
  <c r="AM452" i="2"/>
  <c r="AL1065" i="2"/>
  <c r="JQ759" i="5" s="1"/>
  <c r="AL451" i="2"/>
  <c r="AF437" i="2"/>
  <c r="AG532" i="2"/>
  <c r="AG534" i="2"/>
  <c r="AA534" i="2"/>
  <c r="AB534" i="2"/>
  <c r="AD534" i="2"/>
  <c r="D32" i="19"/>
  <c r="F32" i="19" s="1"/>
  <c r="EB1085" i="5"/>
  <c r="AH1156" i="2"/>
  <c r="AH1879" i="2" s="1"/>
  <c r="AH1888" i="2" s="1"/>
  <c r="AH1428" i="2"/>
  <c r="AH1517" i="2" s="1"/>
  <c r="AI1380" i="2"/>
  <c r="AI1388" i="2" s="1"/>
  <c r="AI1428" i="2"/>
  <c r="AI1517" i="2" s="1"/>
  <c r="JH1065" i="5"/>
  <c r="AM464" i="2"/>
  <c r="AN464" i="2" s="1"/>
  <c r="AO464" i="2" s="1"/>
  <c r="AP464" i="2" s="1"/>
  <c r="AQ464" i="2" s="1"/>
  <c r="AR464" i="2" s="1"/>
  <c r="AS464" i="2" s="1"/>
  <c r="AT464" i="2" s="1"/>
  <c r="AG949" i="2"/>
  <c r="AG997" i="2" s="1"/>
  <c r="AN667" i="5"/>
  <c r="AN681" i="5" s="1"/>
  <c r="AL1703" i="2"/>
  <c r="AM1702" i="2" s="1"/>
  <c r="AM1701" i="2" s="1"/>
  <c r="AM1728" i="2"/>
  <c r="AM1726" i="2" s="1"/>
  <c r="AO1727" i="2"/>
  <c r="AN1728" i="2"/>
  <c r="EE1085" i="5"/>
  <c r="DM1085" i="5"/>
  <c r="DT731" i="5"/>
  <c r="DZ924" i="5"/>
  <c r="DZ1090" i="5" s="1"/>
  <c r="FS925" i="5"/>
  <c r="FS1091" i="5" s="1"/>
  <c r="CG1084" i="5"/>
  <c r="EL1084" i="5"/>
  <c r="EO924" i="5"/>
  <c r="EO1041" i="5" s="1"/>
  <c r="EO1098" i="5" s="1"/>
  <c r="FS924" i="5"/>
  <c r="FS1041" i="5" s="1"/>
  <c r="FS1098" i="5" s="1"/>
  <c r="CT1085" i="5"/>
  <c r="EI924" i="5"/>
  <c r="EI1090" i="5" s="1"/>
  <c r="ET924" i="5"/>
  <c r="ET1090" i="5" s="1"/>
  <c r="DB925" i="5"/>
  <c r="DB1091" i="5" s="1"/>
  <c r="DO924" i="5"/>
  <c r="DO1090" i="5" s="1"/>
  <c r="EG1084" i="5"/>
  <c r="EW925" i="5"/>
  <c r="EW1091" i="5" s="1"/>
  <c r="FT924" i="5"/>
  <c r="FT1090" i="5" s="1"/>
  <c r="DF1085" i="5"/>
  <c r="CS1085" i="5"/>
  <c r="CQ924" i="5"/>
  <c r="CQ1090" i="5" s="1"/>
  <c r="IH906" i="5"/>
  <c r="ET1085" i="5"/>
  <c r="EV925" i="5"/>
  <c r="EV1091" i="5" s="1"/>
  <c r="EM1090" i="5"/>
  <c r="CN1090" i="5"/>
  <c r="EM1084" i="5"/>
  <c r="DT1085" i="5"/>
  <c r="CV1085" i="5"/>
  <c r="EU924" i="5"/>
  <c r="EU1041" i="5" s="1"/>
  <c r="EU1098" i="5" s="1"/>
  <c r="CG1090" i="5"/>
  <c r="FM925" i="5"/>
  <c r="FM1091" i="5" s="1"/>
  <c r="CN1084" i="5"/>
  <c r="DQ924" i="5"/>
  <c r="DQ1041" i="5" s="1"/>
  <c r="DQ1098" i="5" s="1"/>
  <c r="EE924" i="5"/>
  <c r="EE1041" i="5" s="1"/>
  <c r="EE1098" i="5" s="1"/>
  <c r="EX1084" i="5"/>
  <c r="DS1085" i="5"/>
  <c r="FU924" i="5"/>
  <c r="FU1041" i="5" s="1"/>
  <c r="FU1098" i="5" s="1"/>
  <c r="DW924" i="5"/>
  <c r="DW1041" i="5" s="1"/>
  <c r="DW1098" i="5" s="1"/>
  <c r="EB924" i="5"/>
  <c r="EB1041" i="5" s="1"/>
  <c r="EB1098" i="5" s="1"/>
  <c r="EA924" i="5"/>
  <c r="EA1090" i="5" s="1"/>
  <c r="EU925" i="5"/>
  <c r="EU1091" i="5" s="1"/>
  <c r="FC925" i="5"/>
  <c r="FC1091" i="5" s="1"/>
  <c r="CQ1085" i="5"/>
  <c r="CQ925" i="5"/>
  <c r="CQ1091" i="5" s="1"/>
  <c r="CL924" i="5"/>
  <c r="CL1041" i="5" s="1"/>
  <c r="CL1098" i="5" s="1"/>
  <c r="CH925" i="5"/>
  <c r="CH1091" i="5" s="1"/>
  <c r="FK925" i="5"/>
  <c r="FK1091" i="5" s="1"/>
  <c r="AJ1430" i="2"/>
  <c r="AJ1519" i="2" s="1"/>
  <c r="AJ1880" i="2"/>
  <c r="JM788" i="5"/>
  <c r="AV97" i="19"/>
  <c r="AV74" i="19"/>
  <c r="AW74" i="19" s="1"/>
  <c r="AE101" i="19"/>
  <c r="AK476" i="2"/>
  <c r="DA924" i="5"/>
  <c r="DA1041" i="5" s="1"/>
  <c r="DA1098" i="5" s="1"/>
  <c r="CR731" i="5"/>
  <c r="CB667" i="5"/>
  <c r="CB738" i="5" s="1"/>
  <c r="Y738" i="5"/>
  <c r="EM657" i="5"/>
  <c r="EM664" i="5" s="1"/>
  <c r="EK924" i="5"/>
  <c r="EK1041" i="5" s="1"/>
  <c r="EK1098" i="5" s="1"/>
  <c r="FU1085" i="5"/>
  <c r="EI925" i="5"/>
  <c r="EI1091" i="5" s="1"/>
  <c r="EM658" i="5"/>
  <c r="EM665" i="5" s="1"/>
  <c r="DB665" i="5"/>
  <c r="DB737" i="5" s="1"/>
  <c r="BI681" i="5"/>
  <c r="BI1254" i="5" s="1"/>
  <c r="BI1257" i="5" s="1"/>
  <c r="FC924" i="5"/>
  <c r="FC1090" i="5" s="1"/>
  <c r="IQ905" i="5"/>
  <c r="ES924" i="5"/>
  <c r="ES1041" i="5" s="1"/>
  <c r="CH1084" i="5"/>
  <c r="EK925" i="5"/>
  <c r="EK1091" i="5" s="1"/>
  <c r="IB932" i="5"/>
  <c r="IB940" i="5" s="1"/>
  <c r="EA925" i="5"/>
  <c r="EA1091" i="5" s="1"/>
  <c r="EP924" i="5"/>
  <c r="EP1041" i="5" s="1"/>
  <c r="EP1098" i="5" s="1"/>
  <c r="DD665" i="5"/>
  <c r="DD737" i="5" s="1"/>
  <c r="JE754" i="5"/>
  <c r="JE924" i="5" s="1"/>
  <c r="IJ754" i="5"/>
  <c r="AA1060" i="2" s="1"/>
  <c r="AA1258" i="2" s="1"/>
  <c r="IS754" i="5"/>
  <c r="AD1060" i="2" s="1"/>
  <c r="BR736" i="5"/>
  <c r="DT730" i="5"/>
  <c r="DP925" i="5"/>
  <c r="DP1091" i="5" s="1"/>
  <c r="JV908" i="5"/>
  <c r="AV62" i="19"/>
  <c r="AW62" i="19" s="1"/>
  <c r="U736" i="5"/>
  <c r="AY101" i="19"/>
  <c r="BB101" i="19" s="1"/>
  <c r="AW101" i="19"/>
  <c r="V101" i="19"/>
  <c r="AR101" i="19"/>
  <c r="AN101" i="19"/>
  <c r="P101" i="19"/>
  <c r="R101" i="19" s="1"/>
  <c r="N101" i="19"/>
  <c r="CO925" i="5"/>
  <c r="CO1091" i="5" s="1"/>
  <c r="IH933" i="5"/>
  <c r="IH1060" i="5" s="1"/>
  <c r="IH1061" i="5" s="1"/>
  <c r="AB1463" i="2"/>
  <c r="AB1552" i="2" s="1"/>
  <c r="JE1059" i="5"/>
  <c r="JE1068" i="5" s="1"/>
  <c r="CG1085" i="5"/>
  <c r="DP924" i="5"/>
  <c r="DP1090" i="5" s="1"/>
  <c r="FR1085" i="5"/>
  <c r="DH1085" i="5"/>
  <c r="DV1041" i="5"/>
  <c r="DV1098" i="5" s="1"/>
  <c r="EW924" i="5"/>
  <c r="EW1041" i="5" s="1"/>
  <c r="EW1098" i="5" s="1"/>
  <c r="DH925" i="5"/>
  <c r="DH1091" i="5" s="1"/>
  <c r="DV1084" i="5"/>
  <c r="CI924" i="5"/>
  <c r="CI1090" i="5" s="1"/>
  <c r="CH1090" i="5"/>
  <c r="DA1085" i="5"/>
  <c r="CP665" i="5"/>
  <c r="CP737" i="5" s="1"/>
  <c r="AT681" i="5"/>
  <c r="AT1254" i="5" s="1"/>
  <c r="AT1257" i="5" s="1"/>
  <c r="AD902" i="2"/>
  <c r="AD1585" i="2" s="1"/>
  <c r="AD1584" i="2" s="1"/>
  <c r="CO664" i="5"/>
  <c r="CO667" i="5" s="1"/>
  <c r="X738" i="5"/>
  <c r="CQ665" i="5"/>
  <c r="CQ737" i="5" s="1"/>
  <c r="CP1085" i="5"/>
  <c r="DJ1085" i="5"/>
  <c r="CV924" i="5"/>
  <c r="CV1041" i="5" s="1"/>
  <c r="CV1098" i="5" s="1"/>
  <c r="EL1085" i="5"/>
  <c r="DJ1084" i="5"/>
  <c r="DS924" i="5"/>
  <c r="CT1084" i="5"/>
  <c r="CR1085" i="5"/>
  <c r="CS924" i="5"/>
  <c r="CS1041" i="5" s="1"/>
  <c r="CS1098" i="5" s="1"/>
  <c r="FK924" i="5"/>
  <c r="FK1041" i="5" s="1"/>
  <c r="FK1098" i="5" s="1"/>
  <c r="DZ925" i="5"/>
  <c r="DZ1091" i="5" s="1"/>
  <c r="EP925" i="5"/>
  <c r="EP1091" i="5" s="1"/>
  <c r="ED925" i="5"/>
  <c r="ED1091" i="5" s="1"/>
  <c r="CO924" i="5"/>
  <c r="CO1041" i="5" s="1"/>
  <c r="CO1098" i="5" s="1"/>
  <c r="IE657" i="5"/>
  <c r="IE730" i="5" s="1"/>
  <c r="IR905" i="5"/>
  <c r="CP924" i="5"/>
  <c r="CP1041" i="5" s="1"/>
  <c r="CP1098" i="5" s="1"/>
  <c r="DO1085" i="5"/>
  <c r="FG1084" i="5"/>
  <c r="CU665" i="5"/>
  <c r="CU737" i="5" s="1"/>
  <c r="ED1084" i="5"/>
  <c r="CJ1085" i="5"/>
  <c r="JD905" i="5"/>
  <c r="JD1084" i="5" s="1"/>
  <c r="DW925" i="5"/>
  <c r="DW1091" i="5" s="1"/>
  <c r="IS1078" i="5"/>
  <c r="DK924" i="5"/>
  <c r="DK1041" i="5" s="1"/>
  <c r="DK1098" i="5" s="1"/>
  <c r="FH925" i="5"/>
  <c r="FH1091" i="5" s="1"/>
  <c r="Z71" i="19"/>
  <c r="IW932" i="5"/>
  <c r="IW941" i="5" s="1"/>
  <c r="EV924" i="5"/>
  <c r="EV1090" i="5" s="1"/>
  <c r="FR924" i="5"/>
  <c r="FR1041" i="5" s="1"/>
  <c r="FR1098" i="5" s="1"/>
  <c r="CI925" i="5"/>
  <c r="CI1091" i="5" s="1"/>
  <c r="CW1084" i="5"/>
  <c r="FN1084" i="5"/>
  <c r="GJ1241" i="5"/>
  <c r="GJ1257" i="5" s="1"/>
  <c r="D7" i="7"/>
  <c r="E7" i="7" s="1"/>
  <c r="X42" i="19"/>
  <c r="AA42" i="19" s="1"/>
  <c r="IF933" i="5"/>
  <c r="IF1060" i="5" s="1"/>
  <c r="AO738" i="5"/>
  <c r="DK665" i="5"/>
  <c r="DK737" i="5" s="1"/>
  <c r="IF1075" i="5"/>
  <c r="E137" i="7"/>
  <c r="Z1405" i="2"/>
  <c r="Z1404" i="2" s="1"/>
  <c r="Z1493" i="2" s="1"/>
  <c r="AJ1646" i="2"/>
  <c r="AO1469" i="2"/>
  <c r="AO1558" i="2" s="1"/>
  <c r="AD97" i="19"/>
  <c r="AD1404" i="2"/>
  <c r="AD1395" i="2" s="1"/>
  <c r="E5" i="19"/>
  <c r="G5" i="19" s="1"/>
  <c r="E70" i="19"/>
  <c r="G70" i="19" s="1"/>
  <c r="AM460" i="2"/>
  <c r="AM1068" i="2" s="1"/>
  <c r="JT762" i="5" s="1"/>
  <c r="D85" i="19"/>
  <c r="E85" i="19" s="1"/>
  <c r="G85" i="19" s="1"/>
  <c r="AK1068" i="2"/>
  <c r="JN762" i="5" s="1"/>
  <c r="AI1404" i="2"/>
  <c r="AI1395" i="2" s="1"/>
  <c r="AI1484" i="2" s="1"/>
  <c r="Q101" i="19"/>
  <c r="JS1019" i="5"/>
  <c r="X101" i="19"/>
  <c r="AA101" i="19" s="1"/>
  <c r="O63" i="19"/>
  <c r="O70" i="19"/>
  <c r="N70" i="19" s="1"/>
  <c r="U39" i="19"/>
  <c r="U43" i="19"/>
  <c r="V43" i="19" s="1"/>
  <c r="AI101" i="19"/>
  <c r="BA101" i="19"/>
  <c r="U97" i="19"/>
  <c r="AP101" i="19"/>
  <c r="AS101" i="19" s="1"/>
  <c r="AM97" i="19"/>
  <c r="AC1437" i="2"/>
  <c r="AC1526" i="2" s="1"/>
  <c r="AC1404" i="2"/>
  <c r="AC1493" i="2" s="1"/>
  <c r="AA1643" i="2"/>
  <c r="AI41" i="19"/>
  <c r="AG41" i="19"/>
  <c r="AJ41" i="19" s="1"/>
  <c r="AQ1463" i="2"/>
  <c r="AQ1552" i="2" s="1"/>
  <c r="AQ1553" i="2"/>
  <c r="JM892" i="5"/>
  <c r="U52" i="19"/>
  <c r="V52" i="19" s="1"/>
  <c r="AB1643" i="2"/>
  <c r="AK489" i="2"/>
  <c r="Z1636" i="2"/>
  <c r="AM1074" i="2"/>
  <c r="JT768" i="5" s="1"/>
  <c r="AH1404" i="2"/>
  <c r="AH1493" i="2" s="1"/>
  <c r="AP1463" i="2"/>
  <c r="AP1552" i="2" s="1"/>
  <c r="AG1395" i="2"/>
  <c r="AG1444" i="2" s="1"/>
  <c r="AG1445" i="2" s="1"/>
  <c r="AG1534" i="2" s="1"/>
  <c r="AJ1658" i="2"/>
  <c r="AJ476" i="2"/>
  <c r="O24" i="19"/>
  <c r="N24" i="19" s="1"/>
  <c r="AF1907" i="2"/>
  <c r="AE1643" i="2"/>
  <c r="AC1890" i="2"/>
  <c r="D61" i="19"/>
  <c r="E61" i="19" s="1"/>
  <c r="G61" i="19" s="1"/>
  <c r="AC1879" i="2"/>
  <c r="AN1130" i="2"/>
  <c r="Y1667" i="2"/>
  <c r="X1667" i="2"/>
  <c r="Y1636" i="2"/>
  <c r="X1636" i="2"/>
  <c r="AF1496" i="2"/>
  <c r="AG1874" i="2"/>
  <c r="AF1879" i="2"/>
  <c r="AF1645" i="2"/>
  <c r="AJ1654" i="2"/>
  <c r="AG1907" i="2"/>
  <c r="AG1923" i="2" s="1"/>
  <c r="AF1643" i="2"/>
  <c r="AG1636" i="2"/>
  <c r="O97" i="19"/>
  <c r="AJ1668" i="2"/>
  <c r="AI1668" i="2"/>
  <c r="D10" i="19"/>
  <c r="D4" i="19" s="1"/>
  <c r="AI1667" i="2"/>
  <c r="AD1441" i="2"/>
  <c r="AD1530" i="2" s="1"/>
  <c r="AE1636" i="2"/>
  <c r="AM1413" i="2"/>
  <c r="AM1502" i="2" s="1"/>
  <c r="AF97" i="19"/>
  <c r="AL1668" i="2"/>
  <c r="AA1636" i="2"/>
  <c r="AS1673" i="2"/>
  <c r="AS1679" i="2" s="1"/>
  <c r="X1668" i="2"/>
  <c r="AH1877" i="2"/>
  <c r="AH1667" i="2"/>
  <c r="AG1667" i="2"/>
  <c r="Z1441" i="2"/>
  <c r="Z1530" i="2" s="1"/>
  <c r="AF1441" i="2"/>
  <c r="AF1530" i="2" s="1"/>
  <c r="AF1662" i="2"/>
  <c r="AF1663" i="2" s="1"/>
  <c r="AM1668" i="2"/>
  <c r="AL459" i="2"/>
  <c r="AD1907" i="2"/>
  <c r="AC1643" i="2"/>
  <c r="AC1636" i="2"/>
  <c r="AK1646" i="2"/>
  <c r="AE1907" i="2"/>
  <c r="AD1643" i="2"/>
  <c r="AG1378" i="2"/>
  <c r="AG1386" i="2" s="1"/>
  <c r="AG1962" i="2"/>
  <c r="AG1961" i="2" s="1"/>
  <c r="AG1969" i="2" s="1"/>
  <c r="AK1668" i="2"/>
  <c r="AF1636" i="2"/>
  <c r="Y1441" i="2"/>
  <c r="Y1530" i="2" s="1"/>
  <c r="Y1643" i="2"/>
  <c r="X1262" i="2"/>
  <c r="X1548" i="2" s="1"/>
  <c r="Z1643" i="2"/>
  <c r="AD1636" i="2"/>
  <c r="AP598" i="2"/>
  <c r="AE1441" i="2"/>
  <c r="AE1530" i="2" s="1"/>
  <c r="AE1662" i="2"/>
  <c r="AE1663" i="2" s="1"/>
  <c r="AA1441" i="2"/>
  <c r="AA1437" i="2" s="1"/>
  <c r="AA1526" i="2" s="1"/>
  <c r="AX97" i="19"/>
  <c r="AZ97" i="19" s="1"/>
  <c r="AN1668" i="2"/>
  <c r="AB1636" i="2"/>
  <c r="AB1441" i="2"/>
  <c r="AB1530" i="2" s="1"/>
  <c r="AE1405" i="2"/>
  <c r="AE1494" i="2" s="1"/>
  <c r="IX933" i="5"/>
  <c r="IY1047" i="5" s="1"/>
  <c r="IY1051" i="5" s="1"/>
  <c r="IX932" i="5"/>
  <c r="IX944" i="5" s="1"/>
  <c r="IY1048" i="5" s="1"/>
  <c r="IY1052" i="5" s="1"/>
  <c r="EJ1085" i="5"/>
  <c r="JC987" i="5"/>
  <c r="JC1095" i="5" s="1"/>
  <c r="GI1254" i="5"/>
  <c r="JD987" i="5"/>
  <c r="JD1095" i="5" s="1"/>
  <c r="GO1254" i="5"/>
  <c r="JC933" i="5"/>
  <c r="JC1060" i="5" s="1"/>
  <c r="JC932" i="5"/>
  <c r="JB1046" i="5" s="1"/>
  <c r="JB1050" i="5" s="1"/>
  <c r="JC924" i="5"/>
  <c r="IO905" i="5"/>
  <c r="EJ924" i="5"/>
  <c r="EJ1041" i="5" s="1"/>
  <c r="EJ1098" i="5" s="1"/>
  <c r="JC1075" i="5"/>
  <c r="DH1084" i="5"/>
  <c r="IC905" i="5"/>
  <c r="AN1152" i="2"/>
  <c r="W1670" i="2"/>
  <c r="I667" i="5"/>
  <c r="I738" i="5" s="1"/>
  <c r="FM924" i="5"/>
  <c r="FM1090" i="5" s="1"/>
  <c r="JD933" i="5"/>
  <c r="JD1060" i="5" s="1"/>
  <c r="JD1069" i="5" s="1"/>
  <c r="JD932" i="5"/>
  <c r="CU924" i="5"/>
  <c r="DV1085" i="5"/>
  <c r="CW1085" i="5"/>
  <c r="JD924" i="5"/>
  <c r="JD925" i="5" s="1"/>
  <c r="IR550" i="5"/>
  <c r="O5" i="7" s="1"/>
  <c r="IH1216" i="5"/>
  <c r="EX925" i="5"/>
  <c r="EX1091" i="5" s="1"/>
  <c r="DI665" i="5"/>
  <c r="DI737" i="5" s="1"/>
  <c r="DK730" i="5"/>
  <c r="EV657" i="5"/>
  <c r="EV664" i="5" s="1"/>
  <c r="EV700" i="5" s="1"/>
  <c r="CU1085" i="5"/>
  <c r="FH1084" i="5"/>
  <c r="GL1247" i="5"/>
  <c r="X1263" i="2"/>
  <c r="X1549" i="2" s="1"/>
  <c r="GK1244" i="5"/>
  <c r="GK1242" i="5" s="1"/>
  <c r="GK1250" i="5"/>
  <c r="GK1249" i="5" s="1"/>
  <c r="IU906" i="5"/>
  <c r="CN1085" i="5"/>
  <c r="X1261" i="2"/>
  <c r="X1547" i="2" s="1"/>
  <c r="FG925" i="5"/>
  <c r="FG1091" i="5" s="1"/>
  <c r="X1366" i="2"/>
  <c r="X1251" i="2"/>
  <c r="X1249" i="2"/>
  <c r="X1250" i="2"/>
  <c r="X1248" i="2"/>
  <c r="O50" i="19"/>
  <c r="N50" i="19" s="1"/>
  <c r="AI52" i="19"/>
  <c r="AG52" i="19"/>
  <c r="AJ52" i="19" s="1"/>
  <c r="AO52" i="19"/>
  <c r="AQ52" i="19" s="1"/>
  <c r="BG100" i="19"/>
  <c r="BG29" i="19"/>
  <c r="BG73" i="19"/>
  <c r="BG82" i="19"/>
  <c r="BG98" i="19"/>
  <c r="BG99" i="19"/>
  <c r="Q57" i="19"/>
  <c r="AG1258" i="2"/>
  <c r="AG1259" i="2" s="1"/>
  <c r="AG1261" i="2"/>
  <c r="AB1392" i="2"/>
  <c r="JJ1058" i="5"/>
  <c r="FG1085" i="5"/>
  <c r="CE731" i="5"/>
  <c r="CE1241" i="5"/>
  <c r="CE723" i="5"/>
  <c r="IQ906" i="5"/>
  <c r="AI1696" i="2"/>
  <c r="IE906" i="5"/>
  <c r="IE1085" i="5" s="1"/>
  <c r="IR1057" i="5"/>
  <c r="IR1055" i="5" s="1"/>
  <c r="IR1063" i="5" s="1"/>
  <c r="EO1085" i="5"/>
  <c r="N667" i="5"/>
  <c r="N738" i="5" s="1"/>
  <c r="DK925" i="5"/>
  <c r="DK1091" i="5" s="1"/>
  <c r="IX906" i="5"/>
  <c r="CR1084" i="5"/>
  <c r="JB1055" i="5"/>
  <c r="JB1063" i="5" s="1"/>
  <c r="AG1379" i="2"/>
  <c r="AG1387" i="2" s="1"/>
  <c r="EM925" i="5"/>
  <c r="EM1091" i="5" s="1"/>
  <c r="V736" i="5"/>
  <c r="V667" i="5"/>
  <c r="AG1381" i="2"/>
  <c r="AG1389" i="2" s="1"/>
  <c r="AG1883" i="2"/>
  <c r="CU664" i="5"/>
  <c r="CU667" i="5" s="1"/>
  <c r="IY1078" i="5"/>
  <c r="IC1057" i="5"/>
  <c r="IC1066" i="5" s="1"/>
  <c r="IE658" i="5"/>
  <c r="IE665" i="5" s="1"/>
  <c r="IE737" i="5" s="1"/>
  <c r="FQ1084" i="5"/>
  <c r="DF924" i="5"/>
  <c r="IH924" i="5" s="1"/>
  <c r="IH930" i="5" s="1"/>
  <c r="DF1084" i="5"/>
  <c r="DB924" i="5"/>
  <c r="DB1090" i="5" s="1"/>
  <c r="IU933" i="5"/>
  <c r="IV1047" i="5" s="1"/>
  <c r="IV1051" i="5" s="1"/>
  <c r="IT905" i="5"/>
  <c r="G742" i="5"/>
  <c r="DI657" i="5"/>
  <c r="DI730" i="5" s="1"/>
  <c r="IX905" i="5"/>
  <c r="FN925" i="5"/>
  <c r="FN1091" i="5" s="1"/>
  <c r="IR906" i="5"/>
  <c r="DL1084" i="5"/>
  <c r="G700" i="5"/>
  <c r="IU932" i="5"/>
  <c r="FQ925" i="5"/>
  <c r="FQ1091" i="5" s="1"/>
  <c r="EW1241" i="5"/>
  <c r="EW1257" i="5" s="1"/>
  <c r="EW658" i="5"/>
  <c r="EW665" i="5" s="1"/>
  <c r="IH905" i="5"/>
  <c r="ES925" i="5"/>
  <c r="ES1091" i="5" s="1"/>
  <c r="FQ1085" i="5"/>
  <c r="IH652" i="5"/>
  <c r="D97" i="7" s="1"/>
  <c r="E97" i="7" s="1"/>
  <c r="CY1084" i="5"/>
  <c r="IH715" i="5"/>
  <c r="IP1086" i="5"/>
  <c r="IQ654" i="5"/>
  <c r="N99" i="7" s="1"/>
  <c r="IW905" i="5"/>
  <c r="IU905" i="5"/>
  <c r="AA1040" i="2"/>
  <c r="Z1228" i="2"/>
  <c r="DM924" i="5"/>
  <c r="DM1041" i="5" s="1"/>
  <c r="DM1098" i="5" s="1"/>
  <c r="IW906" i="5"/>
  <c r="IB906" i="5"/>
  <c r="DQ730" i="5"/>
  <c r="IH653" i="5"/>
  <c r="D98" i="7" s="1"/>
  <c r="E98" i="7" s="1"/>
  <c r="IS742" i="5"/>
  <c r="IH550" i="5"/>
  <c r="D5" i="7" s="1"/>
  <c r="CE1085" i="5"/>
  <c r="AL736" i="5"/>
  <c r="AL667" i="5"/>
  <c r="IB905" i="5"/>
  <c r="ES657" i="5"/>
  <c r="ES664" i="5" s="1"/>
  <c r="DQ1085" i="5"/>
  <c r="CA736" i="5"/>
  <c r="IH1057" i="5"/>
  <c r="IH1066" i="5" s="1"/>
  <c r="CJ1084" i="5"/>
  <c r="IM894" i="5"/>
  <c r="IR944" i="5"/>
  <c r="IR932" i="5"/>
  <c r="IR942" i="5" s="1"/>
  <c r="EO1241" i="5"/>
  <c r="EO1257" i="5" s="1"/>
  <c r="EO658" i="5"/>
  <c r="EO665" i="5" s="1"/>
  <c r="IQ944" i="5"/>
  <c r="II905" i="5"/>
  <c r="BD736" i="5"/>
  <c r="BD667" i="5"/>
  <c r="EO657" i="5"/>
  <c r="EO664" i="5" s="1"/>
  <c r="EO700" i="5" s="1"/>
  <c r="IQ933" i="5"/>
  <c r="IQ1060" i="5" s="1"/>
  <c r="IQ1069" i="5" s="1"/>
  <c r="AC1553" i="2"/>
  <c r="IK906" i="5"/>
  <c r="FI1041" i="5"/>
  <c r="FI1098" i="5" s="1"/>
  <c r="IF906" i="5"/>
  <c r="IF1085" i="5" s="1"/>
  <c r="DG1041" i="5"/>
  <c r="DG1098" i="5" s="1"/>
  <c r="Z738" i="5"/>
  <c r="AR667" i="5"/>
  <c r="AR736" i="5"/>
  <c r="IR933" i="5"/>
  <c r="IR1060" i="5" s="1"/>
  <c r="IN905" i="5"/>
  <c r="DG664" i="5"/>
  <c r="DG736" i="5" s="1"/>
  <c r="IG658" i="5"/>
  <c r="IG731" i="5" s="1"/>
  <c r="IE1075" i="5"/>
  <c r="CY1085" i="5"/>
  <c r="CZ730" i="5"/>
  <c r="O681" i="5"/>
  <c r="O1254" i="5" s="1"/>
  <c r="O1257" i="5" s="1"/>
  <c r="IE933" i="5"/>
  <c r="IE1060" i="5" s="1"/>
  <c r="IE1061" i="5" s="1"/>
  <c r="ER924" i="5"/>
  <c r="ER1084" i="5"/>
  <c r="AA1119" i="2"/>
  <c r="Z1667" i="2" s="1"/>
  <c r="CZ665" i="5"/>
  <c r="CZ737" i="5" s="1"/>
  <c r="CE1084" i="5"/>
  <c r="CE657" i="5"/>
  <c r="CE730" i="5" s="1"/>
  <c r="ER1085" i="5"/>
  <c r="ER925" i="5"/>
  <c r="ER1091" i="5" s="1"/>
  <c r="IK1055" i="5"/>
  <c r="IK1063" i="5" s="1"/>
  <c r="IK1066" i="5"/>
  <c r="AK1424" i="2"/>
  <c r="AK1513" i="2" s="1"/>
  <c r="IP754" i="5"/>
  <c r="AC1060" i="2" s="1"/>
  <c r="AC1253" i="2" s="1"/>
  <c r="AC1258" i="2" s="1"/>
  <c r="AC1455" i="2" s="1"/>
  <c r="AC1544" i="2" s="1"/>
  <c r="DB736" i="5"/>
  <c r="IO944" i="5"/>
  <c r="AE1314" i="2"/>
  <c r="AE1892" i="2" s="1"/>
  <c r="IO933" i="5"/>
  <c r="IO1060" i="5" s="1"/>
  <c r="IY754" i="5"/>
  <c r="FB924" i="5"/>
  <c r="FB1041" i="5" s="1"/>
  <c r="FB1098" i="5" s="1"/>
  <c r="BG736" i="5"/>
  <c r="BG667" i="5"/>
  <c r="H114" i="7"/>
  <c r="IL1216" i="5"/>
  <c r="IN1218" i="5" s="1"/>
  <c r="IV1059" i="5"/>
  <c r="IV1068" i="5" s="1"/>
  <c r="ID1078" i="5"/>
  <c r="H667" i="5"/>
  <c r="H736" i="5"/>
  <c r="IE714" i="5"/>
  <c r="EG1085" i="5"/>
  <c r="EF924" i="5"/>
  <c r="EF1041" i="5" s="1"/>
  <c r="EF1098" i="5" s="1"/>
  <c r="DJ665" i="5"/>
  <c r="DJ737" i="5" s="1"/>
  <c r="IC932" i="5"/>
  <c r="IC943" i="5" s="1"/>
  <c r="JF924" i="5"/>
  <c r="JF930" i="5" s="1"/>
  <c r="Y1313" i="2"/>
  <c r="ID754" i="5"/>
  <c r="ID1075" i="5" s="1"/>
  <c r="BF681" i="5"/>
  <c r="BF738" i="5"/>
  <c r="IY1019" i="5"/>
  <c r="AF1344" i="2" s="1"/>
  <c r="AF1370" i="2" s="1"/>
  <c r="AF1479" i="2" s="1"/>
  <c r="AF1566" i="2" s="1"/>
  <c r="IO906" i="5"/>
  <c r="I125" i="7"/>
  <c r="IQ653" i="5"/>
  <c r="N98" i="7" s="1"/>
  <c r="IL1206" i="5"/>
  <c r="IN933" i="5"/>
  <c r="IN1060" i="5" s="1"/>
  <c r="IN1069" i="5" s="1"/>
  <c r="IM681" i="5"/>
  <c r="IM742" i="5" s="1"/>
  <c r="IK905" i="5"/>
  <c r="IG754" i="5"/>
  <c r="IG1075" i="5" s="1"/>
  <c r="JG905" i="5"/>
  <c r="JH905" i="5" s="1"/>
  <c r="IN944" i="5"/>
  <c r="IN906" i="5"/>
  <c r="JG932" i="5"/>
  <c r="JG942" i="5" s="1"/>
  <c r="JG924" i="5"/>
  <c r="JG927" i="5" s="1"/>
  <c r="K137" i="7"/>
  <c r="IN932" i="5"/>
  <c r="IN943" i="5" s="1"/>
  <c r="FT1085" i="5"/>
  <c r="AX736" i="5"/>
  <c r="AX667" i="5"/>
  <c r="CT731" i="5"/>
  <c r="EF1085" i="5"/>
  <c r="II932" i="5"/>
  <c r="II943" i="5" s="1"/>
  <c r="IE905" i="5"/>
  <c r="IE1084" i="5" s="1"/>
  <c r="P57" i="19"/>
  <c r="R57" i="19" s="1"/>
  <c r="AL1240" i="2"/>
  <c r="AL1206" i="2"/>
  <c r="AR1147" i="2"/>
  <c r="KI841" i="5" s="1"/>
  <c r="KG841" i="5" s="1"/>
  <c r="KH841" i="5" s="1"/>
  <c r="AP685" i="2"/>
  <c r="AB1404" i="2"/>
  <c r="AB1493" i="2" s="1"/>
  <c r="AD327" i="2"/>
  <c r="AH1914" i="2"/>
  <c r="AH1923" i="2" s="1"/>
  <c r="AD306" i="2"/>
  <c r="AD307" i="2" s="1"/>
  <c r="AO43" i="19"/>
  <c r="AQ43" i="19" s="1"/>
  <c r="BH56" i="19"/>
  <c r="BK56" i="19" s="1"/>
  <c r="BJ56" i="19"/>
  <c r="AO97" i="19"/>
  <c r="AQ97" i="19" s="1"/>
  <c r="BH97" i="19"/>
  <c r="BK97" i="19" s="1"/>
  <c r="BJ97" i="19"/>
  <c r="FD1090" i="5"/>
  <c r="BP681" i="5"/>
  <c r="BP738" i="5"/>
  <c r="EQ1257" i="5"/>
  <c r="DL665" i="5"/>
  <c r="DL737" i="5" s="1"/>
  <c r="DL1085" i="5"/>
  <c r="JF933" i="5"/>
  <c r="JF1060" i="5" s="1"/>
  <c r="JF1069" i="5" s="1"/>
  <c r="JH754" i="5"/>
  <c r="AI1060" i="2" s="1"/>
  <c r="IG1078" i="5"/>
  <c r="IK933" i="5"/>
  <c r="IK1060" i="5" s="1"/>
  <c r="IK1061" i="5" s="1"/>
  <c r="DM657" i="5"/>
  <c r="DM664" i="5" s="1"/>
  <c r="IJ1086" i="5"/>
  <c r="CX730" i="5"/>
  <c r="JF932" i="5"/>
  <c r="IM754" i="5"/>
  <c r="AB1060" i="2" s="1"/>
  <c r="EL1257" i="5"/>
  <c r="Z42" i="19"/>
  <c r="LB736" i="5"/>
  <c r="II933" i="5"/>
  <c r="II1060" i="5" s="1"/>
  <c r="AN1469" i="2"/>
  <c r="AN1558" i="2" s="1"/>
  <c r="Q42" i="19"/>
  <c r="P42" i="19"/>
  <c r="R42" i="19" s="1"/>
  <c r="AI1527" i="2"/>
  <c r="AI1748" i="2"/>
  <c r="AI1746" i="2" s="1"/>
  <c r="AI1691" i="2"/>
  <c r="AI1689" i="2" s="1"/>
  <c r="JP882" i="5"/>
  <c r="AD43" i="19"/>
  <c r="AE43" i="19" s="1"/>
  <c r="JP1019" i="5"/>
  <c r="IL932" i="5"/>
  <c r="IL942" i="5" s="1"/>
  <c r="AD984" i="2"/>
  <c r="AD1031" i="2" s="1"/>
  <c r="IT933" i="5"/>
  <c r="IT1060" i="5" s="1"/>
  <c r="IT1061" i="5" s="1"/>
  <c r="IT932" i="5"/>
  <c r="IT940" i="5" s="1"/>
  <c r="IE941" i="5"/>
  <c r="E28" i="7"/>
  <c r="BT736" i="5"/>
  <c r="BT667" i="5"/>
  <c r="IG1092" i="5"/>
  <c r="Z1268" i="2"/>
  <c r="IC906" i="5"/>
  <c r="IV754" i="5"/>
  <c r="AE1060" i="2" s="1"/>
  <c r="AE1253" i="2" s="1"/>
  <c r="E99" i="7"/>
  <c r="IQ942" i="5"/>
  <c r="EN1041" i="5"/>
  <c r="EN1098" i="5" s="1"/>
  <c r="DS1257" i="5"/>
  <c r="IQ943" i="5"/>
  <c r="DT1084" i="5"/>
  <c r="CK924" i="5"/>
  <c r="CK1084" i="5"/>
  <c r="IS621" i="5"/>
  <c r="AD825" i="2" s="1"/>
  <c r="AD958" i="2" s="1"/>
  <c r="JC905" i="5"/>
  <c r="IQ941" i="5"/>
  <c r="AG1911" i="2"/>
  <c r="CK925" i="5"/>
  <c r="CK1091" i="5" s="1"/>
  <c r="CK1085" i="5"/>
  <c r="FB925" i="5"/>
  <c r="FB1091" i="5" s="1"/>
  <c r="FL1095" i="5"/>
  <c r="FL1254" i="5"/>
  <c r="IL933" i="5"/>
  <c r="IL1060" i="5" s="1"/>
  <c r="IW987" i="5"/>
  <c r="IY987" i="5" s="1"/>
  <c r="IT906" i="5"/>
  <c r="DH730" i="5"/>
  <c r="DH664" i="5"/>
  <c r="Z1464" i="2"/>
  <c r="Z1688" i="2"/>
  <c r="AM1187" i="2"/>
  <c r="CL925" i="5"/>
  <c r="CL1091" i="5" s="1"/>
  <c r="IQ652" i="5"/>
  <c r="N97" i="7" s="1"/>
  <c r="AL1427" i="2"/>
  <c r="AL1516" i="2" s="1"/>
  <c r="DB730" i="5"/>
  <c r="AC1469" i="2"/>
  <c r="AC1558" i="2" s="1"/>
  <c r="AG1843" i="2"/>
  <c r="F18" i="19"/>
  <c r="E18" i="19"/>
  <c r="G18" i="19" s="1"/>
  <c r="JM882" i="5"/>
  <c r="JM868" i="5"/>
  <c r="U31" i="19"/>
  <c r="V31" i="19" s="1"/>
  <c r="AI1978" i="2"/>
  <c r="AI1976" i="2" s="1"/>
  <c r="D93" i="19"/>
  <c r="AL1651" i="2"/>
  <c r="AL1652" i="2"/>
  <c r="JO892" i="5"/>
  <c r="AA1404" i="2"/>
  <c r="AA1493" i="2" s="1"/>
  <c r="F62" i="19"/>
  <c r="E62" i="19"/>
  <c r="G62" i="19" s="1"/>
  <c r="AK1952" i="2"/>
  <c r="AL1224" i="2"/>
  <c r="U71" i="19"/>
  <c r="V71" i="19" s="1"/>
  <c r="JM878" i="5"/>
  <c r="JM1019" i="5"/>
  <c r="Q27" i="19"/>
  <c r="Q38" i="19"/>
  <c r="Q44" i="19"/>
  <c r="AK1433" i="2"/>
  <c r="AK1522" i="2" s="1"/>
  <c r="BA736" i="5"/>
  <c r="BA667" i="5"/>
  <c r="AI1914" i="2"/>
  <c r="AI1923" i="2" s="1"/>
  <c r="AI1877" i="2"/>
  <c r="P125" i="7"/>
  <c r="T681" i="5"/>
  <c r="T738" i="5"/>
  <c r="AE667" i="5"/>
  <c r="AE736" i="5"/>
  <c r="AH736" i="5"/>
  <c r="AH667" i="5"/>
  <c r="Y714" i="2"/>
  <c r="IV888" i="5"/>
  <c r="Z713" i="2"/>
  <c r="GI1041" i="5"/>
  <c r="Y406" i="2"/>
  <c r="AV681" i="5"/>
  <c r="AV738" i="5"/>
  <c r="AK485" i="2"/>
  <c r="IT1066" i="5"/>
  <c r="EN657" i="5"/>
  <c r="EN664" i="5" s="1"/>
  <c r="EN700" i="5" s="1"/>
  <c r="DO730" i="5"/>
  <c r="CK723" i="5"/>
  <c r="CK1241" i="5"/>
  <c r="CK658" i="5"/>
  <c r="AF736" i="5"/>
  <c r="AF667" i="5"/>
  <c r="IU894" i="5"/>
  <c r="IV891" i="5"/>
  <c r="IU892" i="5"/>
  <c r="IV892" i="5" s="1"/>
  <c r="FU1257" i="5"/>
  <c r="IS888" i="5"/>
  <c r="R736" i="5"/>
  <c r="R667" i="5"/>
  <c r="BB736" i="5"/>
  <c r="BB667" i="5"/>
  <c r="IS1206" i="5"/>
  <c r="IJ590" i="5"/>
  <c r="IJ724" i="5" s="1"/>
  <c r="IR654" i="5"/>
  <c r="O99" i="7" s="1"/>
  <c r="AK667" i="5"/>
  <c r="AK736" i="5"/>
  <c r="BQ736" i="5"/>
  <c r="BQ667" i="5"/>
  <c r="Z742" i="5"/>
  <c r="Z1254" i="5"/>
  <c r="Z1257" i="5" s="1"/>
  <c r="Z700" i="5"/>
  <c r="M667" i="5"/>
  <c r="M736" i="5"/>
  <c r="DU925" i="5"/>
  <c r="DU1091" i="5" s="1"/>
  <c r="DU1085" i="5"/>
  <c r="II1066" i="5"/>
  <c r="II1055" i="5"/>
  <c r="II1063" i="5" s="1"/>
  <c r="IV1086" i="5"/>
  <c r="IK987" i="5"/>
  <c r="IM987" i="5" s="1"/>
  <c r="AB1313" i="2" s="1"/>
  <c r="EC1084" i="5"/>
  <c r="EC924" i="5"/>
  <c r="BN667" i="5"/>
  <c r="BN736" i="5"/>
  <c r="DY1041" i="5"/>
  <c r="DY1098" i="5" s="1"/>
  <c r="DY1090" i="5"/>
  <c r="DU924" i="5"/>
  <c r="DU1084" i="5"/>
  <c r="EC925" i="5"/>
  <c r="EC1091" i="5" s="1"/>
  <c r="EC1085" i="5"/>
  <c r="BE738" i="5"/>
  <c r="BE681" i="5"/>
  <c r="BR681" i="5"/>
  <c r="BR738" i="5"/>
  <c r="IO1066" i="5"/>
  <c r="DM731" i="5"/>
  <c r="DM665" i="5"/>
  <c r="DM737" i="5" s="1"/>
  <c r="BU738" i="5"/>
  <c r="BU681" i="5"/>
  <c r="AP738" i="5"/>
  <c r="AP681" i="5"/>
  <c r="P681" i="5"/>
  <c r="P738" i="5"/>
  <c r="AK1073" i="2"/>
  <c r="JN767" i="5" s="1"/>
  <c r="AL473" i="2"/>
  <c r="CQ664" i="5"/>
  <c r="CQ736" i="5" s="1"/>
  <c r="LA667" i="5"/>
  <c r="LA736" i="5"/>
  <c r="IG889" i="5"/>
  <c r="IF1057" i="5"/>
  <c r="IF1066" i="5" s="1"/>
  <c r="EH1257" i="5"/>
  <c r="IR652" i="5"/>
  <c r="O97" i="7" s="1"/>
  <c r="DJ730" i="5"/>
  <c r="DJ664" i="5"/>
  <c r="Y1469" i="2"/>
  <c r="BS667" i="5"/>
  <c r="BS736" i="5"/>
  <c r="FT1256" i="5"/>
  <c r="FT1257" i="5"/>
  <c r="CG658" i="5"/>
  <c r="CG723" i="5"/>
  <c r="CG1241" i="5"/>
  <c r="CG657" i="5"/>
  <c r="AB1119" i="2"/>
  <c r="EX1241" i="5"/>
  <c r="EX1257" i="5" s="1"/>
  <c r="EX657" i="5"/>
  <c r="EX664" i="5" s="1"/>
  <c r="EX700" i="5" s="1"/>
  <c r="EX658" i="5"/>
  <c r="EX665" i="5" s="1"/>
  <c r="AW742" i="5"/>
  <c r="AW700" i="5"/>
  <c r="AW1254" i="5"/>
  <c r="AW1257" i="5" s="1"/>
  <c r="AJ472" i="2"/>
  <c r="IS667" i="5"/>
  <c r="P112" i="7" s="1"/>
  <c r="IM1097" i="5"/>
  <c r="AB1344" i="2"/>
  <c r="AB1370" i="2" s="1"/>
  <c r="AD983" i="2"/>
  <c r="AD900" i="2"/>
  <c r="IP1095" i="5"/>
  <c r="AC1313" i="2"/>
  <c r="AC1369" i="2" s="1"/>
  <c r="AC1478" i="2" s="1"/>
  <c r="AC1565" i="2" s="1"/>
  <c r="AC1119" i="2"/>
  <c r="IP1078" i="5"/>
  <c r="CM1241" i="5"/>
  <c r="CM723" i="5"/>
  <c r="CM658" i="5"/>
  <c r="LB738" i="5"/>
  <c r="LB681" i="5"/>
  <c r="FF1090" i="5"/>
  <c r="FF1041" i="5"/>
  <c r="FF1098" i="5" s="1"/>
  <c r="AF1494" i="2"/>
  <c r="AF1404" i="2"/>
  <c r="AF1493" i="2" s="1"/>
  <c r="CY665" i="5"/>
  <c r="CY737" i="5" s="1"/>
  <c r="CY731" i="5"/>
  <c r="CL730" i="5"/>
  <c r="CL664" i="5"/>
  <c r="AF1527" i="2"/>
  <c r="IQ1055" i="5"/>
  <c r="IQ1063" i="5" s="1"/>
  <c r="IQ1066" i="5"/>
  <c r="DD1090" i="5"/>
  <c r="DD1041" i="5"/>
  <c r="DD1098" i="5" s="1"/>
  <c r="CX925" i="5"/>
  <c r="CX1091" i="5" s="1"/>
  <c r="CX1085" i="5"/>
  <c r="AE1344" i="2"/>
  <c r="AE1370" i="2" s="1"/>
  <c r="AE1479" i="2" s="1"/>
  <c r="AE1566" i="2" s="1"/>
  <c r="IV1097" i="5"/>
  <c r="AE1527" i="2"/>
  <c r="BO681" i="5"/>
  <c r="BO738" i="5"/>
  <c r="W738" i="5"/>
  <c r="W681" i="5"/>
  <c r="Z1485" i="2"/>
  <c r="AA1392" i="2"/>
  <c r="Z1392" i="2"/>
  <c r="AG1857" i="2"/>
  <c r="AG1866" i="2" s="1"/>
  <c r="AD1026" i="2"/>
  <c r="AC738" i="5"/>
  <c r="AC681" i="5"/>
  <c r="Y1485" i="2"/>
  <c r="Y1392" i="2"/>
  <c r="AD947" i="2"/>
  <c r="AD357" i="2"/>
  <c r="AD639" i="2"/>
  <c r="AY667" i="5"/>
  <c r="AY736" i="5"/>
  <c r="FJ1090" i="5"/>
  <c r="FJ1041" i="5"/>
  <c r="FJ1098" i="5" s="1"/>
  <c r="AA1614" i="2"/>
  <c r="AA1603" i="2" s="1"/>
  <c r="IG894" i="5"/>
  <c r="IM621" i="5"/>
  <c r="IM726" i="5" s="1"/>
  <c r="G68" i="7"/>
  <c r="H68" i="7" s="1"/>
  <c r="IK726" i="5"/>
  <c r="DH1041" i="5"/>
  <c r="DH1098" i="5" s="1"/>
  <c r="DH1090" i="5"/>
  <c r="L667" i="5"/>
  <c r="L736" i="5"/>
  <c r="Z714" i="2"/>
  <c r="AA405" i="2"/>
  <c r="AA713" i="2"/>
  <c r="Z406" i="2"/>
  <c r="IX1055" i="5"/>
  <c r="IX1063" i="5" s="1"/>
  <c r="IX1066" i="5"/>
  <c r="IY1057" i="5"/>
  <c r="AD1592" i="2"/>
  <c r="AD385" i="2"/>
  <c r="AD684" i="2"/>
  <c r="AD1617" i="2"/>
  <c r="BX736" i="5"/>
  <c r="BX667" i="5"/>
  <c r="EY1041" i="5"/>
  <c r="EY1098" i="5" s="1"/>
  <c r="EY1090" i="5"/>
  <c r="CE1091" i="5"/>
  <c r="IX1068" i="5"/>
  <c r="IY1059" i="5"/>
  <c r="IY1068" i="5" s="1"/>
  <c r="CY730" i="5"/>
  <c r="CY664" i="5"/>
  <c r="IJ1212" i="5"/>
  <c r="IJ1214" i="5" s="1"/>
  <c r="IJ745" i="5"/>
  <c r="DC731" i="5"/>
  <c r="DC665" i="5"/>
  <c r="DC737" i="5" s="1"/>
  <c r="CW665" i="5"/>
  <c r="CW737" i="5" s="1"/>
  <c r="CW731" i="5"/>
  <c r="AA950" i="2"/>
  <c r="AA1589" i="2"/>
  <c r="AA1588" i="2" s="1"/>
  <c r="BC736" i="5"/>
  <c r="BC667" i="5"/>
  <c r="IS1019" i="5"/>
  <c r="IK738" i="5"/>
  <c r="IM667" i="5"/>
  <c r="IM738" i="5" s="1"/>
  <c r="G112" i="7"/>
  <c r="EY1257" i="5"/>
  <c r="AZ738" i="5"/>
  <c r="AZ681" i="5"/>
  <c r="DD730" i="5"/>
  <c r="DD664" i="5"/>
  <c r="EV1241" i="5"/>
  <c r="EV1257" i="5" s="1"/>
  <c r="EV658" i="5"/>
  <c r="EV665" i="5" s="1"/>
  <c r="CZ1041" i="5"/>
  <c r="CZ1098" i="5" s="1"/>
  <c r="CZ1090" i="5"/>
  <c r="CS730" i="5"/>
  <c r="CS664" i="5"/>
  <c r="IY1096" i="5"/>
  <c r="AU736" i="5"/>
  <c r="AU667" i="5"/>
  <c r="CM1090" i="5"/>
  <c r="CM1041" i="5"/>
  <c r="CM1098" i="5" s="1"/>
  <c r="IP1059" i="5"/>
  <c r="IP1068" i="5" s="1"/>
  <c r="AB358" i="2"/>
  <c r="AA640" i="2"/>
  <c r="AB640" i="2"/>
  <c r="AA358" i="2"/>
  <c r="AA1840" i="2"/>
  <c r="AA996" i="2"/>
  <c r="DC730" i="5"/>
  <c r="DC664" i="5"/>
  <c r="IH941" i="5"/>
  <c r="BZ667" i="5"/>
  <c r="BZ736" i="5"/>
  <c r="AD1021" i="2"/>
  <c r="AG1852" i="2"/>
  <c r="Y1404" i="2"/>
  <c r="Y1493" i="2" s="1"/>
  <c r="Y1494" i="2"/>
  <c r="AA1852" i="2"/>
  <c r="AA1021" i="2"/>
  <c r="AE1736" i="2"/>
  <c r="AE1734" i="2" s="1"/>
  <c r="IY997" i="5"/>
  <c r="AF1323" i="2" s="1"/>
  <c r="IN1066" i="5"/>
  <c r="IN1055" i="5"/>
  <c r="IN1063" i="5" s="1"/>
  <c r="K736" i="5"/>
  <c r="K667" i="5"/>
  <c r="CF664" i="5"/>
  <c r="CF730" i="5"/>
  <c r="BW681" i="5"/>
  <c r="BW738" i="5"/>
  <c r="P75" i="7"/>
  <c r="IG1059" i="5"/>
  <c r="IG1068" i="5" s="1"/>
  <c r="IH943" i="5"/>
  <c r="CE1090" i="5"/>
  <c r="CE1041" i="5"/>
  <c r="AD1527" i="2"/>
  <c r="AD1626" i="2"/>
  <c r="AD969" i="2"/>
  <c r="AA969" i="2"/>
  <c r="AA1626" i="2"/>
  <c r="AD1463" i="2"/>
  <c r="AD1552" i="2" s="1"/>
  <c r="AD1553" i="2"/>
  <c r="AD1912" i="2"/>
  <c r="DX1084" i="5"/>
  <c r="DX924" i="5"/>
  <c r="IL905" i="5"/>
  <c r="AS736" i="5"/>
  <c r="AS667" i="5"/>
  <c r="CO665" i="5"/>
  <c r="CO737" i="5" s="1"/>
  <c r="CO731" i="5"/>
  <c r="CS665" i="5"/>
  <c r="CS737" i="5" s="1"/>
  <c r="CS731" i="5"/>
  <c r="IB1061" i="5"/>
  <c r="CP664" i="5"/>
  <c r="CP730" i="5"/>
  <c r="FM1256" i="5"/>
  <c r="FM1257" i="5"/>
  <c r="ID1086" i="5"/>
  <c r="Y1228" i="2"/>
  <c r="AA1381" i="2"/>
  <c r="AA1389" i="2" s="1"/>
  <c r="JB1061" i="5"/>
  <c r="AJ738" i="5"/>
  <c r="AJ681" i="5"/>
  <c r="CM657" i="5"/>
  <c r="DZ658" i="5"/>
  <c r="DZ665" i="5" s="1"/>
  <c r="IH940" i="5"/>
  <c r="II1206" i="5"/>
  <c r="II1215" i="5" s="1"/>
  <c r="II742" i="5"/>
  <c r="F125" i="7"/>
  <c r="H125" i="7" s="1"/>
  <c r="CJ1041" i="5"/>
  <c r="CJ1098" i="5" s="1"/>
  <c r="CJ1090" i="5"/>
  <c r="AD1879" i="2"/>
  <c r="DQ736" i="5"/>
  <c r="DQ700" i="5"/>
  <c r="IL906" i="5"/>
  <c r="DX1085" i="5"/>
  <c r="DX925" i="5"/>
  <c r="DX1091" i="5" s="1"/>
  <c r="CK730" i="5"/>
  <c r="CK664" i="5"/>
  <c r="BL681" i="5"/>
  <c r="BL738" i="5"/>
  <c r="ID1059" i="5"/>
  <c r="ID1068" i="5" s="1"/>
  <c r="FE1256" i="5"/>
  <c r="FE1257" i="5"/>
  <c r="DN1085" i="5"/>
  <c r="DN925" i="5"/>
  <c r="DN1091" i="5" s="1"/>
  <c r="CF925" i="5"/>
  <c r="CF1091" i="5" s="1"/>
  <c r="CF1085" i="5"/>
  <c r="IS739" i="5"/>
  <c r="P114" i="7"/>
  <c r="CX1084" i="5"/>
  <c r="CX924" i="5"/>
  <c r="BY736" i="5"/>
  <c r="BY667" i="5"/>
  <c r="DZ657" i="5"/>
  <c r="DZ664" i="5" s="1"/>
  <c r="DZ700" i="5" s="1"/>
  <c r="DT1041" i="5"/>
  <c r="DT1098" i="5" s="1"/>
  <c r="DT1090" i="5"/>
  <c r="DS657" i="5"/>
  <c r="DS714" i="5"/>
  <c r="DO736" i="5"/>
  <c r="DO700" i="5"/>
  <c r="CY1041" i="5"/>
  <c r="CY1098" i="5" s="1"/>
  <c r="CY1090" i="5"/>
  <c r="AO700" i="5"/>
  <c r="AO742" i="5"/>
  <c r="AO1254" i="5"/>
  <c r="AO1257" i="5" s="1"/>
  <c r="DR925" i="5"/>
  <c r="DR1091" i="5" s="1"/>
  <c r="DR1085" i="5"/>
  <c r="IG1097" i="5"/>
  <c r="Z1344" i="2"/>
  <c r="Y1668" i="2" s="1"/>
  <c r="Z1314" i="2"/>
  <c r="Z1468" i="2" s="1"/>
  <c r="IG1096" i="5"/>
  <c r="E41" i="7"/>
  <c r="IQ1068" i="5"/>
  <c r="IS1059" i="5"/>
  <c r="IS1068" i="5" s="1"/>
  <c r="EN1095" i="5"/>
  <c r="IQ987" i="5"/>
  <c r="IS987" i="5" s="1"/>
  <c r="AA772" i="2"/>
  <c r="AA949" i="2" s="1"/>
  <c r="AA1841" i="2" s="1"/>
  <c r="IF905" i="5"/>
  <c r="IF1084" i="5" s="1"/>
  <c r="IV1078" i="5"/>
  <c r="AE1119" i="2"/>
  <c r="AE1667" i="2" s="1"/>
  <c r="CT1041" i="5"/>
  <c r="CT1098" i="5" s="1"/>
  <c r="CT1090" i="5"/>
  <c r="FH1090" i="5"/>
  <c r="FH1041" i="5"/>
  <c r="FH1098" i="5" s="1"/>
  <c r="Y700" i="5"/>
  <c r="Y1254" i="5"/>
  <c r="Y1257" i="5" s="1"/>
  <c r="Y742" i="5"/>
  <c r="AM681" i="5"/>
  <c r="AM738" i="5"/>
  <c r="DR924" i="5"/>
  <c r="DR1084" i="5"/>
  <c r="IE942" i="5"/>
  <c r="DN1084" i="5"/>
  <c r="DN924" i="5"/>
  <c r="CN664" i="5"/>
  <c r="CN730" i="5"/>
  <c r="IF1095" i="5"/>
  <c r="AA712" i="2"/>
  <c r="AA404" i="2"/>
  <c r="AA980" i="2"/>
  <c r="DZ1257" i="5"/>
  <c r="FL924" i="5"/>
  <c r="FL1084" i="5"/>
  <c r="CD736" i="5"/>
  <c r="CD667" i="5"/>
  <c r="CZ667" i="5"/>
  <c r="CZ736" i="5"/>
  <c r="BK736" i="5"/>
  <c r="BK667" i="5"/>
  <c r="EH1085" i="5"/>
  <c r="EH925" i="5"/>
  <c r="EH1091" i="5" s="1"/>
  <c r="DT736" i="5"/>
  <c r="DT700" i="5"/>
  <c r="FB1254" i="5"/>
  <c r="FB1095" i="5"/>
  <c r="IJ987" i="5"/>
  <c r="KZ736" i="5"/>
  <c r="KZ667" i="5"/>
  <c r="DB681" i="5"/>
  <c r="DB738" i="5"/>
  <c r="AC1468" i="2"/>
  <c r="AC1557" i="2" s="1"/>
  <c r="AC1892" i="2"/>
  <c r="E738" i="5"/>
  <c r="E681" i="5"/>
  <c r="CI657" i="5"/>
  <c r="CI1241" i="5"/>
  <c r="CI723" i="5"/>
  <c r="CI658" i="5"/>
  <c r="IP1057" i="5"/>
  <c r="IP1066" i="5" s="1"/>
  <c r="IE1095" i="5"/>
  <c r="IG987" i="5"/>
  <c r="IJ681" i="5"/>
  <c r="AA1038" i="2"/>
  <c r="D125" i="7"/>
  <c r="IH1206" i="5"/>
  <c r="IH1215" i="5" s="1"/>
  <c r="IH742" i="5"/>
  <c r="IH667" i="5"/>
  <c r="IJ667" i="5" s="1"/>
  <c r="IJ738" i="5" s="1"/>
  <c r="DE1041" i="5"/>
  <c r="DE1098" i="5" s="1"/>
  <c r="DE1090" i="5"/>
  <c r="AD961" i="2"/>
  <c r="AD1007" i="2" s="1"/>
  <c r="IE940" i="5"/>
  <c r="AA788" i="2"/>
  <c r="AA954" i="2" s="1"/>
  <c r="F681" i="5"/>
  <c r="F738" i="5"/>
  <c r="FL1085" i="5"/>
  <c r="FL925" i="5"/>
  <c r="FL1091" i="5" s="1"/>
  <c r="CC736" i="5"/>
  <c r="CC667" i="5"/>
  <c r="BV738" i="5"/>
  <c r="BV681" i="5"/>
  <c r="CW730" i="5"/>
  <c r="CW664" i="5"/>
  <c r="EH924" i="5"/>
  <c r="EH1084" i="5"/>
  <c r="DL730" i="5"/>
  <c r="DL664" i="5"/>
  <c r="CH731" i="5"/>
  <c r="CH665" i="5"/>
  <c r="CH737" i="5" s="1"/>
  <c r="KY667" i="5"/>
  <c r="KY736" i="5"/>
  <c r="CV665" i="5"/>
  <c r="CV737" i="5" s="1"/>
  <c r="CV731" i="5"/>
  <c r="IJ1059" i="5"/>
  <c r="IJ1068" i="5" s="1"/>
  <c r="DS731" i="5"/>
  <c r="DS665" i="5"/>
  <c r="DS737" i="5" s="1"/>
  <c r="IE1066" i="5"/>
  <c r="EL1090" i="5"/>
  <c r="EL1041" i="5"/>
  <c r="EL1098" i="5" s="1"/>
  <c r="AF1228" i="2"/>
  <c r="AE1659" i="2" s="1"/>
  <c r="IY1086" i="5"/>
  <c r="IQ550" i="5"/>
  <c r="CF1084" i="5"/>
  <c r="CF924" i="5"/>
  <c r="AA738" i="5"/>
  <c r="AA681" i="5"/>
  <c r="IC1061" i="5"/>
  <c r="II906" i="5"/>
  <c r="IS1086" i="5"/>
  <c r="AD1228" i="2"/>
  <c r="DP1241" i="5"/>
  <c r="DP1257" i="5" s="1"/>
  <c r="DP723" i="5"/>
  <c r="DP658" i="5"/>
  <c r="FO1041" i="5"/>
  <c r="FO1098" i="5" s="1"/>
  <c r="FO1090" i="5"/>
  <c r="IV987" i="5"/>
  <c r="AA1344" i="2"/>
  <c r="IJ1097" i="5"/>
  <c r="CH730" i="5"/>
  <c r="CH664" i="5"/>
  <c r="AI681" i="5"/>
  <c r="AI738" i="5"/>
  <c r="EN665" i="5"/>
  <c r="DL1090" i="5"/>
  <c r="DL1041" i="5"/>
  <c r="DL1098" i="5" s="1"/>
  <c r="C39" i="7"/>
  <c r="IF723" i="5"/>
  <c r="GO1041" i="5"/>
  <c r="IJ552" i="5"/>
  <c r="IJ716" i="5"/>
  <c r="II654" i="5"/>
  <c r="F99" i="7" s="1"/>
  <c r="F7" i="7"/>
  <c r="II652" i="5"/>
  <c r="F97" i="7" s="1"/>
  <c r="II715" i="5"/>
  <c r="II550" i="5"/>
  <c r="II653" i="5"/>
  <c r="F98" i="7" s="1"/>
  <c r="AA1847" i="2"/>
  <c r="AA1007" i="2"/>
  <c r="IV1065" i="5"/>
  <c r="DN731" i="5"/>
  <c r="DN665" i="5"/>
  <c r="DN737" i="5" s="1"/>
  <c r="CR664" i="5"/>
  <c r="CR730" i="5"/>
  <c r="H8" i="7"/>
  <c r="AD693" i="2"/>
  <c r="AD1622" i="2"/>
  <c r="AD1619" i="2" s="1"/>
  <c r="AD394" i="2"/>
  <c r="EX1090" i="5"/>
  <c r="EX1041" i="5"/>
  <c r="EX1098" i="5" s="1"/>
  <c r="JF1068" i="5"/>
  <c r="JH1059" i="5"/>
  <c r="JH1068" i="5" s="1"/>
  <c r="IF657" i="5"/>
  <c r="C5" i="7"/>
  <c r="IF714" i="5"/>
  <c r="X1254" i="5"/>
  <c r="X1257" i="5" s="1"/>
  <c r="X700" i="5"/>
  <c r="X742" i="5"/>
  <c r="BH738" i="5"/>
  <c r="BH681" i="5"/>
  <c r="DE658" i="5"/>
  <c r="DE1241" i="5"/>
  <c r="DE723" i="5"/>
  <c r="AD1901" i="2"/>
  <c r="AD1875" i="2"/>
  <c r="AD1874" i="2" s="1"/>
  <c r="AD648" i="2"/>
  <c r="AD1058" i="2"/>
  <c r="AD1378" i="2"/>
  <c r="IR588" i="5"/>
  <c r="O39" i="7" s="1"/>
  <c r="ES1241" i="5"/>
  <c r="ES1257" i="5" s="1"/>
  <c r="ES658" i="5"/>
  <c r="IF658" i="5"/>
  <c r="JD1096" i="5"/>
  <c r="JE988" i="5"/>
  <c r="Q667" i="5"/>
  <c r="Q736" i="5"/>
  <c r="DE730" i="5"/>
  <c r="DE664" i="5"/>
  <c r="S681" i="5"/>
  <c r="S738" i="5"/>
  <c r="IH726" i="5"/>
  <c r="D68" i="7"/>
  <c r="E68" i="7" s="1"/>
  <c r="ED1041" i="5"/>
  <c r="ED1090" i="5"/>
  <c r="IK943" i="5"/>
  <c r="IK941" i="5"/>
  <c r="IK942" i="5"/>
  <c r="IK940" i="5"/>
  <c r="IL1068" i="5"/>
  <c r="IM1059" i="5"/>
  <c r="IM1068" i="5" s="1"/>
  <c r="DJ1041" i="5"/>
  <c r="DJ1098" i="5" s="1"/>
  <c r="DJ1090" i="5"/>
  <c r="G39" i="7"/>
  <c r="IK723" i="5"/>
  <c r="CA738" i="5"/>
  <c r="CA681" i="5"/>
  <c r="DF664" i="5"/>
  <c r="DF730" i="5"/>
  <c r="AH1485" i="2"/>
  <c r="DF665" i="5"/>
  <c r="DF737" i="5" s="1"/>
  <c r="DF731" i="5"/>
  <c r="IM1065" i="5"/>
  <c r="AB738" i="5"/>
  <c r="AB681" i="5"/>
  <c r="AD1702" i="2"/>
  <c r="AD1708" i="2"/>
  <c r="IK653" i="5"/>
  <c r="IK654" i="5"/>
  <c r="IK658" i="5"/>
  <c r="IK652" i="5"/>
  <c r="IK715" i="5"/>
  <c r="G7" i="7"/>
  <c r="AB1040" i="2"/>
  <c r="AB1041" i="2" s="1"/>
  <c r="IK550" i="5"/>
  <c r="IH588" i="5"/>
  <c r="IG1065" i="5"/>
  <c r="P55" i="7"/>
  <c r="AD808" i="2"/>
  <c r="AA976" i="2"/>
  <c r="AA879" i="2"/>
  <c r="AA975" i="2" s="1"/>
  <c r="U681" i="5"/>
  <c r="U738" i="5"/>
  <c r="JH1057" i="5"/>
  <c r="JH1066" i="5" s="1"/>
  <c r="JF1066" i="5"/>
  <c r="AH1463" i="2"/>
  <c r="AH1552" i="2" s="1"/>
  <c r="AH1553" i="2"/>
  <c r="DO1091" i="5"/>
  <c r="CV730" i="5"/>
  <c r="CV664" i="5"/>
  <c r="CX736" i="5"/>
  <c r="CX667" i="5"/>
  <c r="AA834" i="2"/>
  <c r="IJ621" i="5"/>
  <c r="IJ726" i="5" s="1"/>
  <c r="IT1063" i="5"/>
  <c r="IF943" i="5"/>
  <c r="IF942" i="5"/>
  <c r="IF941" i="5"/>
  <c r="IF940" i="5"/>
  <c r="IG1046" i="5"/>
  <c r="IG1050" i="5" s="1"/>
  <c r="AC1883" i="2"/>
  <c r="AC1381" i="2"/>
  <c r="AC1389" i="2" s="1"/>
  <c r="AG1058" i="2"/>
  <c r="AF1058" i="2"/>
  <c r="AF1378" i="2"/>
  <c r="AF1386" i="2" s="1"/>
  <c r="AF1875" i="2"/>
  <c r="AF1874" i="2" s="1"/>
  <c r="AF1901" i="2"/>
  <c r="IC1069" i="5"/>
  <c r="ID1060" i="5"/>
  <c r="ID1069" i="5" s="1"/>
  <c r="P38" i="19"/>
  <c r="R38" i="19" s="1"/>
  <c r="BM738" i="5"/>
  <c r="BM681" i="5"/>
  <c r="IR653" i="5"/>
  <c r="O98" i="7" s="1"/>
  <c r="AI1883" i="2"/>
  <c r="AI1962" i="2"/>
  <c r="AI1961" i="2" s="1"/>
  <c r="AI1969" i="2" s="1"/>
  <c r="AI1379" i="2"/>
  <c r="AI1387" i="2" s="1"/>
  <c r="DP730" i="5"/>
  <c r="DP664" i="5"/>
  <c r="AF1914" i="2"/>
  <c r="AF1877" i="2"/>
  <c r="IU924" i="5"/>
  <c r="FE1041" i="5"/>
  <c r="FE1090" i="5"/>
  <c r="DN1241" i="5"/>
  <c r="DN723" i="5"/>
  <c r="AD738" i="5"/>
  <c r="AD681" i="5"/>
  <c r="N7" i="7"/>
  <c r="IS552" i="5"/>
  <c r="FA1090" i="5"/>
  <c r="FA1041" i="5"/>
  <c r="FA1098" i="5" s="1"/>
  <c r="CJ730" i="5"/>
  <c r="CJ664" i="5"/>
  <c r="IG657" i="5"/>
  <c r="IG714" i="5"/>
  <c r="AA1586" i="2"/>
  <c r="AA1584" i="2" s="1"/>
  <c r="AA926" i="2"/>
  <c r="AA410" i="2"/>
  <c r="AA718" i="2"/>
  <c r="AA982" i="2"/>
  <c r="IS716" i="5"/>
  <c r="P8" i="7"/>
  <c r="AD746" i="2"/>
  <c r="F41" i="7"/>
  <c r="H41" i="7" s="1"/>
  <c r="II724" i="5"/>
  <c r="II588" i="5"/>
  <c r="EG1041" i="5"/>
  <c r="EG1090" i="5"/>
  <c r="JG1069" i="5"/>
  <c r="JG1061" i="5"/>
  <c r="J738" i="5"/>
  <c r="J681" i="5"/>
  <c r="AF1485" i="2"/>
  <c r="DR1241" i="5"/>
  <c r="DR1257" i="5" s="1"/>
  <c r="DR723" i="5"/>
  <c r="IJ1222" i="5"/>
  <c r="II1208" i="5"/>
  <c r="II1210" i="5" s="1"/>
  <c r="AB648" i="2"/>
  <c r="AB1378" i="2"/>
  <c r="AB1058" i="2"/>
  <c r="FG1090" i="5"/>
  <c r="FG1041" i="5"/>
  <c r="FG1098" i="5" s="1"/>
  <c r="H55" i="7"/>
  <c r="IP1065" i="5"/>
  <c r="IM607" i="5"/>
  <c r="G56" i="7"/>
  <c r="P28" i="7"/>
  <c r="IS719" i="5"/>
  <c r="AD772" i="2"/>
  <c r="AD949" i="2" s="1"/>
  <c r="AD1578" i="2"/>
  <c r="AD1576" i="2" s="1"/>
  <c r="AD1575" i="2" s="1"/>
  <c r="AD317" i="2"/>
  <c r="FE1091" i="5"/>
  <c r="AA687" i="2"/>
  <c r="AA388" i="2"/>
  <c r="JE1065" i="5"/>
  <c r="JF987" i="5"/>
  <c r="JH988" i="5"/>
  <c r="AI1314" i="2" s="1"/>
  <c r="FN1041" i="5"/>
  <c r="FN1098" i="5" s="1"/>
  <c r="FN1090" i="5"/>
  <c r="ID1065" i="5"/>
  <c r="IO1063" i="5"/>
  <c r="IS1065" i="5"/>
  <c r="EZ1091" i="5"/>
  <c r="DR714" i="5"/>
  <c r="DR657" i="5"/>
  <c r="AD950" i="2"/>
  <c r="AD1589" i="2"/>
  <c r="AD1588" i="2" s="1"/>
  <c r="FQ1041" i="5"/>
  <c r="FQ1090" i="5"/>
  <c r="AE1883" i="2"/>
  <c r="AE1379" i="2"/>
  <c r="AE1387" i="2" s="1"/>
  <c r="AE1962" i="2"/>
  <c r="AE1961" i="2" s="1"/>
  <c r="AE1969" i="2" s="1"/>
  <c r="AE1381" i="2"/>
  <c r="AE1389" i="2" s="1"/>
  <c r="DK667" i="5"/>
  <c r="DK736" i="5"/>
  <c r="IJ1065" i="5"/>
  <c r="CX731" i="5"/>
  <c r="CX665" i="5"/>
  <c r="CX737" i="5" s="1"/>
  <c r="DI1090" i="5"/>
  <c r="DI1041" i="5"/>
  <c r="DR665" i="5"/>
  <c r="DR737" i="5" s="1"/>
  <c r="DR731" i="5"/>
  <c r="N41" i="7"/>
  <c r="IS590" i="5"/>
  <c r="AI1701" i="2"/>
  <c r="IW1060" i="5"/>
  <c r="AE1901" i="2"/>
  <c r="AE1875" i="2"/>
  <c r="AE1874" i="2" s="1"/>
  <c r="AE1058" i="2"/>
  <c r="AE648" i="2"/>
  <c r="AE1378" i="2"/>
  <c r="AE1386" i="2" s="1"/>
  <c r="AG738" i="5"/>
  <c r="AG681" i="5"/>
  <c r="AC353" i="2"/>
  <c r="AC635" i="2"/>
  <c r="CR1090" i="5"/>
  <c r="CR1041" i="5"/>
  <c r="CR1098" i="5" s="1"/>
  <c r="CW1091" i="5"/>
  <c r="Z1058" i="2"/>
  <c r="Z1378" i="2"/>
  <c r="Z648" i="2"/>
  <c r="CW1041" i="5"/>
  <c r="CW1090" i="5"/>
  <c r="DN657" i="5"/>
  <c r="DN714" i="5"/>
  <c r="Y648" i="2"/>
  <c r="Y1378" i="2"/>
  <c r="Y1058" i="2"/>
  <c r="EZ1041" i="5"/>
  <c r="EZ1098" i="5" s="1"/>
  <c r="EZ1090" i="5"/>
  <c r="JE906" i="5"/>
  <c r="JC1085" i="5"/>
  <c r="AD1877" i="2"/>
  <c r="AD1914" i="2"/>
  <c r="DI1091" i="5"/>
  <c r="EG1091" i="5"/>
  <c r="AG1452" i="2"/>
  <c r="AG1541" i="2" s="1"/>
  <c r="AG1568" i="2" s="1"/>
  <c r="AG1254" i="2"/>
  <c r="AG1265" i="2"/>
  <c r="AG1264" i="2"/>
  <c r="AG1263" i="2"/>
  <c r="AG1255" i="2"/>
  <c r="AG1256" i="2"/>
  <c r="AG1262" i="2"/>
  <c r="F56" i="7"/>
  <c r="IJ607" i="5"/>
  <c r="AA809" i="2" s="1"/>
  <c r="EN1241" i="5"/>
  <c r="EN1257" i="5" s="1"/>
  <c r="IQ588" i="5"/>
  <c r="IL588" i="5"/>
  <c r="I39" i="7" s="1"/>
  <c r="K39" i="7" s="1"/>
  <c r="I41" i="7"/>
  <c r="K41" i="7" s="1"/>
  <c r="F112" i="7"/>
  <c r="II738" i="5"/>
  <c r="IM715" i="5"/>
  <c r="IM550" i="5"/>
  <c r="IM714" i="5" s="1"/>
  <c r="AH1913" i="2"/>
  <c r="AH1558" i="2"/>
  <c r="BJ738" i="5"/>
  <c r="BJ681" i="5"/>
  <c r="CT730" i="5"/>
  <c r="CT664" i="5"/>
  <c r="Q25" i="19"/>
  <c r="P25" i="19"/>
  <c r="R25" i="19" s="1"/>
  <c r="IL1055" i="5"/>
  <c r="IL1066" i="5"/>
  <c r="IM1057" i="5"/>
  <c r="AA999" i="2"/>
  <c r="AA1843" i="2"/>
  <c r="I7" i="7"/>
  <c r="K7" i="7" s="1"/>
  <c r="IL550" i="5"/>
  <c r="IL653" i="5"/>
  <c r="I98" i="7" s="1"/>
  <c r="K98" i="7" s="1"/>
  <c r="IL654" i="5"/>
  <c r="I99" i="7" s="1"/>
  <c r="K99" i="7" s="1"/>
  <c r="IL652" i="5"/>
  <c r="I97" i="7" s="1"/>
  <c r="K97" i="7" s="1"/>
  <c r="AQ681" i="5"/>
  <c r="AQ738" i="5"/>
  <c r="DA730" i="5"/>
  <c r="DA664" i="5"/>
  <c r="AC1875" i="2"/>
  <c r="AC1874" i="2" s="1"/>
  <c r="AC1378" i="2"/>
  <c r="AC1058" i="2"/>
  <c r="AC648" i="2"/>
  <c r="AK1553" i="2"/>
  <c r="AA1578" i="2"/>
  <c r="AA1576" i="2" s="1"/>
  <c r="AA1575" i="2" s="1"/>
  <c r="AA746" i="2"/>
  <c r="AA317" i="2"/>
  <c r="AA318" i="2"/>
  <c r="IO940" i="5"/>
  <c r="IO942" i="5"/>
  <c r="IP1046" i="5"/>
  <c r="IP1050" i="5" s="1"/>
  <c r="IO943" i="5"/>
  <c r="IO941" i="5"/>
  <c r="EU1241" i="5"/>
  <c r="EU1257" i="5" s="1"/>
  <c r="EU658" i="5"/>
  <c r="EU665" i="5" s="1"/>
  <c r="AH1701" i="2"/>
  <c r="AH1705" i="2" s="1"/>
  <c r="AH1706" i="2"/>
  <c r="AK1422" i="2"/>
  <c r="AK1511" i="2" s="1"/>
  <c r="AK1925" i="2"/>
  <c r="AA648" i="2"/>
  <c r="AA1378" i="2"/>
  <c r="AA1058" i="2"/>
  <c r="AB1228" i="2"/>
  <c r="IM1086" i="5"/>
  <c r="IY1065" i="5"/>
  <c r="J5" i="7"/>
  <c r="AL1198" i="2"/>
  <c r="AK1429" i="2"/>
  <c r="AK1518" i="2" s="1"/>
  <c r="AK1939" i="2"/>
  <c r="X71" i="19"/>
  <c r="AA71" i="19" s="1"/>
  <c r="AJ1879" i="2"/>
  <c r="AK1890" i="2"/>
  <c r="AK1469" i="2"/>
  <c r="AK1558" i="2" s="1"/>
  <c r="P44" i="19"/>
  <c r="R44" i="19" s="1"/>
  <c r="AJ1441" i="2"/>
  <c r="AJ1530" i="2" s="1"/>
  <c r="AK1431" i="2"/>
  <c r="AK1520" i="2" s="1"/>
  <c r="AJ1421" i="2"/>
  <c r="AJ1510" i="2" s="1"/>
  <c r="AM1469" i="2"/>
  <c r="AM1913" i="2" s="1"/>
  <c r="AK1156" i="2"/>
  <c r="AJ1463" i="2"/>
  <c r="AJ1552" i="2" s="1"/>
  <c r="AK1211" i="2"/>
  <c r="AJ1942" i="2"/>
  <c r="AL1469" i="2"/>
  <c r="AL1913" i="2" s="1"/>
  <c r="JM991" i="5"/>
  <c r="P27" i="19"/>
  <c r="R27" i="19" s="1"/>
  <c r="AJ983" i="2"/>
  <c r="AG43" i="19"/>
  <c r="AJ43" i="19" s="1"/>
  <c r="AI43" i="19"/>
  <c r="JO881" i="5"/>
  <c r="AJ1707" i="2"/>
  <c r="JM661" i="5"/>
  <c r="P71" i="19"/>
  <c r="R71" i="19" s="1"/>
  <c r="Q71" i="19"/>
  <c r="V1445" i="2"/>
  <c r="V1534" i="2" s="1"/>
  <c r="JE695" i="5"/>
  <c r="JC695" i="5" s="1"/>
  <c r="JD695" i="5" s="1"/>
  <c r="JD622" i="5"/>
  <c r="V1444" i="2"/>
  <c r="IU588" i="5"/>
  <c r="R39" i="7" s="1"/>
  <c r="Q39" i="7"/>
  <c r="AJ1722" i="2"/>
  <c r="JL553" i="5"/>
  <c r="JM553" i="5" s="1"/>
  <c r="JM558" i="5"/>
  <c r="L68" i="7"/>
  <c r="IO588" i="5"/>
  <c r="IO657" i="5" s="1"/>
  <c r="JM948" i="5"/>
  <c r="JY839" i="5"/>
  <c r="Z869" i="2"/>
  <c r="Z966" i="2" s="1"/>
  <c r="Z1012" i="2" s="1"/>
  <c r="Z866" i="2"/>
  <c r="ID657" i="5" s="1"/>
  <c r="ID730" i="5" s="1"/>
  <c r="AJ1687" i="2"/>
  <c r="Z870" i="2"/>
  <c r="Z967" i="2" s="1"/>
  <c r="Z1013" i="2" s="1"/>
  <c r="Z871" i="2"/>
  <c r="Z968" i="2" s="1"/>
  <c r="Z1014" i="2" s="1"/>
  <c r="AK1726" i="2"/>
  <c r="JM660" i="5"/>
  <c r="J103" i="7"/>
  <c r="IN665" i="5"/>
  <c r="J110" i="7" s="1"/>
  <c r="AN1203" i="2"/>
  <c r="AO710" i="2"/>
  <c r="AO1203" i="2" s="1"/>
  <c r="AO320" i="2"/>
  <c r="X1435" i="2"/>
  <c r="X1524" i="2" s="1"/>
  <c r="X1484" i="2"/>
  <c r="AC1705" i="2"/>
  <c r="AC1813" i="2" s="1"/>
  <c r="AC1817" i="2" s="1"/>
  <c r="AC1812" i="2"/>
  <c r="AH333" i="2"/>
  <c r="AH615" i="2"/>
  <c r="AG619" i="2"/>
  <c r="AG337" i="2"/>
  <c r="IO1212" i="5"/>
  <c r="IO1214" i="5" s="1"/>
  <c r="IO1216" i="5" s="1"/>
  <c r="L137" i="7"/>
  <c r="JR788" i="5"/>
  <c r="AM548" i="2"/>
  <c r="AO549" i="2"/>
  <c r="AN1094" i="2"/>
  <c r="JW788" i="5" s="1"/>
  <c r="JP788" i="5"/>
  <c r="AB1816" i="2"/>
  <c r="AI399" i="2"/>
  <c r="AI699" i="2"/>
  <c r="JK610" i="5"/>
  <c r="V1665" i="2"/>
  <c r="AM443" i="2"/>
  <c r="JK591" i="5"/>
  <c r="JF610" i="5"/>
  <c r="JG610" i="5" s="1"/>
  <c r="AO626" i="2"/>
  <c r="AO344" i="2"/>
  <c r="AH684" i="2"/>
  <c r="JE614" i="5"/>
  <c r="JD614" i="5" s="1"/>
  <c r="AH385" i="2"/>
  <c r="AE1812" i="2"/>
  <c r="AE1705" i="2"/>
  <c r="AE1813" i="2" s="1"/>
  <c r="AE1817" i="2" s="1"/>
  <c r="JU992" i="5"/>
  <c r="JV992" i="5" s="1"/>
  <c r="AM1412" i="2"/>
  <c r="AN1129" i="2"/>
  <c r="JW823" i="5" s="1"/>
  <c r="JS823" i="5"/>
  <c r="AJ981" i="2"/>
  <c r="AJ1030" i="2" s="1"/>
  <c r="JK682" i="5"/>
  <c r="AJ900" i="2"/>
  <c r="AO329" i="2"/>
  <c r="AN314" i="2"/>
  <c r="AM315" i="2" s="1"/>
  <c r="AJ1706" i="2"/>
  <c r="AJ1697" i="2"/>
  <c r="AJ1686" i="2"/>
  <c r="J102" i="7"/>
  <c r="AC1036" i="2"/>
  <c r="AC1037" i="2" s="1"/>
  <c r="IN664" i="5"/>
  <c r="JN646" i="5"/>
  <c r="W1435" i="2"/>
  <c r="W1436" i="2"/>
  <c r="W1484" i="2"/>
  <c r="AG347" i="2"/>
  <c r="AG623" i="2"/>
  <c r="AG341" i="2"/>
  <c r="AH622" i="2"/>
  <c r="AH340" i="2"/>
  <c r="AG629" i="2"/>
  <c r="JL567" i="5"/>
  <c r="JM567" i="5" s="1"/>
  <c r="JU849" i="5"/>
  <c r="JV849" i="5" s="1"/>
  <c r="AO1420" i="2"/>
  <c r="AO1509" i="2" s="1"/>
  <c r="Z360" i="2"/>
  <c r="Z642" i="2"/>
  <c r="AF350" i="2"/>
  <c r="AE633" i="2"/>
  <c r="AJ434" i="2"/>
  <c r="AI435" i="2"/>
  <c r="AI921" i="2"/>
  <c r="JH701" i="5" s="1"/>
  <c r="JH571" i="5"/>
  <c r="JG571" i="5" s="1"/>
  <c r="AI948" i="2"/>
  <c r="AE1819" i="2"/>
  <c r="AF1820" i="2"/>
  <c r="AF1819" i="2" s="1"/>
  <c r="JK635" i="5"/>
  <c r="AJ961" i="2"/>
  <c r="AJ1007" i="2" s="1"/>
  <c r="AK1500" i="2"/>
  <c r="AK1404" i="2"/>
  <c r="AK1493" i="2" s="1"/>
  <c r="JU834" i="5"/>
  <c r="JV834" i="5" s="1"/>
  <c r="JI694" i="5"/>
  <c r="JI682" i="5" s="1"/>
  <c r="AJ1701" i="2"/>
  <c r="AK1702" i="2"/>
  <c r="AK1701" i="2" s="1"/>
  <c r="AI852" i="2"/>
  <c r="AI752" i="2"/>
  <c r="JH559" i="5" s="1"/>
  <c r="JV952" i="5"/>
  <c r="JN694" i="5"/>
  <c r="AK410" i="2"/>
  <c r="Z965" i="2"/>
  <c r="Z1011" i="2" s="1"/>
  <c r="ID659" i="5"/>
  <c r="AO341" i="2"/>
  <c r="AO347" i="2"/>
  <c r="AO629" i="2"/>
  <c r="AO623" i="2"/>
  <c r="JO991" i="5"/>
  <c r="JO990" i="5" s="1"/>
  <c r="JP990" i="5" s="1"/>
  <c r="AO308" i="2"/>
  <c r="AO311" i="2"/>
  <c r="AO313" i="2" s="1"/>
  <c r="X1525" i="2"/>
  <c r="X1445" i="2"/>
  <c r="X1534" i="2" s="1"/>
  <c r="AI1707" i="2"/>
  <c r="AI1697" i="2"/>
  <c r="JI646" i="5"/>
  <c r="JI635" i="5" s="1"/>
  <c r="X1390" i="2"/>
  <c r="X1479" i="2" s="1"/>
  <c r="X1566" i="2" s="1"/>
  <c r="X1383" i="2"/>
  <c r="AH436" i="2"/>
  <c r="Z1001" i="2"/>
  <c r="Y1845" i="2"/>
  <c r="AH343" i="2"/>
  <c r="AH625" i="2"/>
  <c r="AG344" i="2"/>
  <c r="AG626" i="2"/>
  <c r="AF624" i="2"/>
  <c r="AF342" i="2"/>
  <c r="AF348" i="2"/>
  <c r="AF630" i="2"/>
  <c r="JU829" i="5"/>
  <c r="JV829" i="5" s="1"/>
  <c r="IZ643" i="5"/>
  <c r="IZ635" i="5" s="1"/>
  <c r="AL1501" i="2"/>
  <c r="AL1411" i="2"/>
  <c r="AL1404" i="2" s="1"/>
  <c r="AI345" i="2"/>
  <c r="AJ627" i="2" s="1"/>
  <c r="AI627" i="2"/>
  <c r="Z993" i="2"/>
  <c r="Y1837" i="2"/>
  <c r="JE643" i="5"/>
  <c r="AH842" i="2"/>
  <c r="L5" i="7"/>
  <c r="JH617" i="5"/>
  <c r="JG617" i="5" s="1"/>
  <c r="AI955" i="2"/>
  <c r="AI1002" i="2" s="1"/>
  <c r="AI818" i="2"/>
  <c r="ID652" i="5"/>
  <c r="Z863" i="2"/>
  <c r="ID653" i="5" s="1"/>
  <c r="AL1706" i="2"/>
  <c r="ID588" i="5"/>
  <c r="ID723" i="5" s="1"/>
  <c r="Z953" i="2"/>
  <c r="Z867" i="2"/>
  <c r="AO1128" i="2"/>
  <c r="JZ822" i="5" s="1"/>
  <c r="JR921" i="5"/>
  <c r="JS921" i="5" s="1"/>
  <c r="AN624" i="2"/>
  <c r="AN342" i="2"/>
  <c r="JB635" i="5"/>
  <c r="AG961" i="2"/>
  <c r="AG1007" i="2" s="1"/>
  <c r="AI1687" i="2"/>
  <c r="AI1685" i="2" s="1"/>
  <c r="JC559" i="5"/>
  <c r="JD559" i="5" s="1"/>
  <c r="JL695" i="5"/>
  <c r="JM695" i="5" s="1"/>
  <c r="JF695" i="5"/>
  <c r="JG695" i="5" s="1"/>
  <c r="JX901" i="5"/>
  <c r="AM581" i="2"/>
  <c r="AL1107" i="2"/>
  <c r="JF622" i="5"/>
  <c r="JF621" i="5" s="1"/>
  <c r="AI958" i="2"/>
  <c r="AI1005" i="2" s="1"/>
  <c r="JH621" i="5"/>
  <c r="JK622" i="5"/>
  <c r="AJ825" i="2"/>
  <c r="AN1097" i="2"/>
  <c r="JW791" i="5" s="1"/>
  <c r="AO481" i="2"/>
  <c r="JP791" i="5"/>
  <c r="AM545" i="2"/>
  <c r="AL1093" i="2"/>
  <c r="AM480" i="2"/>
  <c r="JR791" i="5"/>
  <c r="AK1402" i="2"/>
  <c r="AK1491" i="2" s="1"/>
  <c r="AM585" i="2"/>
  <c r="AN585" i="2" s="1"/>
  <c r="AO585" i="2" s="1"/>
  <c r="AP585" i="2" s="1"/>
  <c r="AL1108" i="2"/>
  <c r="AM537" i="2"/>
  <c r="AL1091" i="2"/>
  <c r="AA596" i="2"/>
  <c r="Z1143" i="2"/>
  <c r="AJ809" i="2"/>
  <c r="JH607" i="5"/>
  <c r="AO359" i="2"/>
  <c r="JC726" i="5"/>
  <c r="JD621" i="5"/>
  <c r="JD726" i="5" s="1"/>
  <c r="JC560" i="5"/>
  <c r="JD560" i="5" s="1"/>
  <c r="IY555" i="5"/>
  <c r="AF746" i="2"/>
  <c r="AF317" i="2"/>
  <c r="JC595" i="5"/>
  <c r="JH595" i="5"/>
  <c r="AJ793" i="2"/>
  <c r="IV553" i="5"/>
  <c r="AE366" i="2"/>
  <c r="AE745" i="2"/>
  <c r="AE946" i="2"/>
  <c r="S10" i="7"/>
  <c r="IT555" i="5"/>
  <c r="JF560" i="5"/>
  <c r="JG560" i="5" s="1"/>
  <c r="AG766" i="2"/>
  <c r="AG810" i="2" s="1"/>
  <c r="AH641" i="2"/>
  <c r="AH359" i="2"/>
  <c r="AO477" i="2"/>
  <c r="AN1074" i="2"/>
  <c r="JW768" i="5" s="1"/>
  <c r="AH395" i="2"/>
  <c r="AH695" i="2"/>
  <c r="AF377" i="2"/>
  <c r="IX556" i="5"/>
  <c r="T11" i="7"/>
  <c r="AL1105" i="2"/>
  <c r="AM573" i="2"/>
  <c r="AL1106" i="2"/>
  <c r="AM577" i="2"/>
  <c r="JP768" i="5"/>
  <c r="AH749" i="2"/>
  <c r="AI320" i="2"/>
  <c r="AI749" i="2" s="1"/>
  <c r="AM557" i="2"/>
  <c r="AL1098" i="2"/>
  <c r="AM515" i="2"/>
  <c r="AL1084" i="2"/>
  <c r="JB556" i="5"/>
  <c r="AG748" i="2"/>
  <c r="AL1104" i="2"/>
  <c r="AM569" i="2"/>
  <c r="JC719" i="5"/>
  <c r="JD576" i="5"/>
  <c r="JD719" i="5" s="1"/>
  <c r="AJ1890" i="2"/>
  <c r="AJ1469" i="2"/>
  <c r="Q29" i="21" l="1"/>
  <c r="R29" i="21" s="1"/>
  <c r="AP1213" i="2"/>
  <c r="AQ1213" i="2" s="1"/>
  <c r="AR1213" i="2" s="1"/>
  <c r="AS1213" i="2" s="1"/>
  <c r="AT1213" i="2" s="1"/>
  <c r="AT1651" i="2" s="1"/>
  <c r="AF70" i="19"/>
  <c r="JT868" i="5"/>
  <c r="JR868" i="5" s="1"/>
  <c r="JS868" i="5" s="1"/>
  <c r="AI1381" i="2"/>
  <c r="AI1389" i="2" s="1"/>
  <c r="JZ882" i="5"/>
  <c r="JX882" i="5" s="1"/>
  <c r="JT948" i="5"/>
  <c r="AT1101" i="2"/>
  <c r="AV1101" i="2" s="1"/>
  <c r="AU1101" i="2" s="1"/>
  <c r="AH97" i="19"/>
  <c r="AH10" i="19"/>
  <c r="Q86" i="21"/>
  <c r="R86" i="21" s="1"/>
  <c r="AL1233" i="2"/>
  <c r="T82" i="21"/>
  <c r="T86" i="21" s="1"/>
  <c r="U86" i="21" s="1"/>
  <c r="Q91" i="21"/>
  <c r="R91" i="21" s="1"/>
  <c r="JN760" i="5"/>
  <c r="JM760" i="5" s="1"/>
  <c r="T96" i="21"/>
  <c r="U96" i="21" s="1"/>
  <c r="U62" i="21"/>
  <c r="V62" i="21"/>
  <c r="AN1159" i="2"/>
  <c r="BB1161" i="2" s="1"/>
  <c r="BB1162" i="2" s="1"/>
  <c r="AK592" i="2"/>
  <c r="JW882" i="5"/>
  <c r="JU882" i="5" s="1"/>
  <c r="W85" i="21"/>
  <c r="AK1228" i="2"/>
  <c r="Q101" i="21"/>
  <c r="R101" i="21" s="1"/>
  <c r="JT845" i="5"/>
  <c r="JR845" i="5" s="1"/>
  <c r="V31" i="21"/>
  <c r="U61" i="21"/>
  <c r="X62" i="21"/>
  <c r="AK1138" i="2"/>
  <c r="Q18" i="21"/>
  <c r="R18" i="21" s="1"/>
  <c r="AL1133" i="2"/>
  <c r="KL795" i="5"/>
  <c r="KJ795" i="5" s="1"/>
  <c r="KK795" i="5" s="1"/>
  <c r="AK1139" i="2"/>
  <c r="AR1273" i="2"/>
  <c r="KI952" i="5" s="1"/>
  <c r="KG952" i="5" s="1"/>
  <c r="KH952" i="5" s="1"/>
  <c r="AV1277" i="2"/>
  <c r="AU1277" i="2" s="1"/>
  <c r="BF99" i="19"/>
  <c r="BI99" i="19"/>
  <c r="BF82" i="19"/>
  <c r="BI82" i="19"/>
  <c r="BF98" i="19"/>
  <c r="BI98" i="19"/>
  <c r="BF73" i="19"/>
  <c r="BI73" i="19"/>
  <c r="BF29" i="19"/>
  <c r="BI29" i="19"/>
  <c r="BF100" i="19"/>
  <c r="BI100" i="19"/>
  <c r="AE31" i="19"/>
  <c r="AH31" i="19"/>
  <c r="AI71" i="19"/>
  <c r="AH71" i="19"/>
  <c r="X97" i="19"/>
  <c r="AA97" i="19" s="1"/>
  <c r="Y97" i="19"/>
  <c r="AI1879" i="2"/>
  <c r="AI1887" i="2" s="1"/>
  <c r="D24" i="19"/>
  <c r="F24" i="19" s="1"/>
  <c r="JN843" i="5"/>
  <c r="W22" i="19"/>
  <c r="Y22" i="19" s="1"/>
  <c r="JN850" i="5"/>
  <c r="W24" i="19"/>
  <c r="Y24" i="19" s="1"/>
  <c r="JN890" i="5"/>
  <c r="W50" i="19"/>
  <c r="Y50" i="19" s="1"/>
  <c r="JN912" i="5"/>
  <c r="W63" i="19"/>
  <c r="Y63" i="19" s="1"/>
  <c r="AP1135" i="2"/>
  <c r="KC829" i="5" s="1"/>
  <c r="KA829" i="5" s="1"/>
  <c r="KB829" i="5" s="1"/>
  <c r="AK1076" i="2"/>
  <c r="AQ1729" i="2"/>
  <c r="JN835" i="5"/>
  <c r="JM835" i="5" s="1"/>
  <c r="AL1141" i="2"/>
  <c r="JQ835" i="5" s="1"/>
  <c r="JZ781" i="5"/>
  <c r="AO507" i="2"/>
  <c r="AP1318" i="2"/>
  <c r="KC992" i="5" s="1"/>
  <c r="KA992" i="5" s="1"/>
  <c r="KB992" i="5" s="1"/>
  <c r="AB1369" i="2"/>
  <c r="AB1478" i="2" s="1"/>
  <c r="AB1565" i="2" s="1"/>
  <c r="AK602" i="2"/>
  <c r="AO1242" i="2"/>
  <c r="JZ921" i="5" s="1"/>
  <c r="JX921" i="5" s="1"/>
  <c r="JY921" i="5" s="1"/>
  <c r="AM593" i="2"/>
  <c r="AO1316" i="2"/>
  <c r="JZ990" i="5" s="1"/>
  <c r="JQ919" i="5"/>
  <c r="JO919" i="5" s="1"/>
  <c r="AL519" i="2"/>
  <c r="AL497" i="2"/>
  <c r="AF1313" i="2"/>
  <c r="AF1369" i="2" s="1"/>
  <c r="AF1478" i="2" s="1"/>
  <c r="AF1565" i="2" s="1"/>
  <c r="KI956" i="5"/>
  <c r="KG956" i="5" s="1"/>
  <c r="KH956" i="5" s="1"/>
  <c r="AH1314" i="2"/>
  <c r="AH1468" i="2" s="1"/>
  <c r="JT813" i="5"/>
  <c r="JS813" i="5" s="1"/>
  <c r="AO10" i="19"/>
  <c r="AQ10" i="19" s="1"/>
  <c r="AM1667" i="2"/>
  <c r="AM1914" i="2"/>
  <c r="AL1667" i="2"/>
  <c r="AG10" i="19"/>
  <c r="AJ10" i="19" s="1"/>
  <c r="AI10" i="19"/>
  <c r="AE10" i="19"/>
  <c r="AL1553" i="2"/>
  <c r="JC1090" i="5"/>
  <c r="JC1041" i="5"/>
  <c r="JC1098" i="5" s="1"/>
  <c r="JW813" i="5"/>
  <c r="JV813" i="5" s="1"/>
  <c r="AX10" i="19"/>
  <c r="AZ10" i="19" s="1"/>
  <c r="AN1667" i="2"/>
  <c r="JQ947" i="5"/>
  <c r="AM1687" i="2" s="1"/>
  <c r="AO1668" i="2"/>
  <c r="AP1370" i="2"/>
  <c r="AP1479" i="2" s="1"/>
  <c r="AP1566" i="2" s="1"/>
  <c r="JZ892" i="5"/>
  <c r="AP1140" i="2"/>
  <c r="AQ1140" i="2" s="1"/>
  <c r="AI31" i="19"/>
  <c r="AM1375" i="2"/>
  <c r="AN1317" i="2"/>
  <c r="JW991" i="5" s="1"/>
  <c r="AL584" i="2"/>
  <c r="JQ802" i="5"/>
  <c r="JO802" i="5" s="1"/>
  <c r="AL665" i="2"/>
  <c r="JQ885" i="5"/>
  <c r="AS532" i="2"/>
  <c r="KL790" i="5"/>
  <c r="KJ790" i="5" s="1"/>
  <c r="KK790" i="5" s="1"/>
  <c r="AT1276" i="2"/>
  <c r="KO956" i="5"/>
  <c r="KM956" i="5" s="1"/>
  <c r="KN956" i="5" s="1"/>
  <c r="AS1276" i="2"/>
  <c r="KL955" i="5" s="1"/>
  <c r="KJ955" i="5" s="1"/>
  <c r="KK955" i="5" s="1"/>
  <c r="KL956" i="5"/>
  <c r="KJ956" i="5" s="1"/>
  <c r="KK956" i="5" s="1"/>
  <c r="AL556" i="2"/>
  <c r="JQ792" i="5"/>
  <c r="JO792" i="5" s="1"/>
  <c r="AL580" i="2"/>
  <c r="JQ801" i="5"/>
  <c r="JO801" i="5" s="1"/>
  <c r="AL568" i="2"/>
  <c r="JQ798" i="5"/>
  <c r="JO798" i="5" s="1"/>
  <c r="AL544" i="2"/>
  <c r="JQ787" i="5"/>
  <c r="JO787" i="5" s="1"/>
  <c r="AG71" i="19"/>
  <c r="AJ71" i="19" s="1"/>
  <c r="AL514" i="2"/>
  <c r="JQ778" i="5"/>
  <c r="JO778" i="5" s="1"/>
  <c r="AQ1155" i="2"/>
  <c r="KF849" i="5" s="1"/>
  <c r="KD849" i="5" s="1"/>
  <c r="KE849" i="5" s="1"/>
  <c r="AT1096" i="2"/>
  <c r="AV1096" i="2" s="1"/>
  <c r="AU1096" i="2" s="1"/>
  <c r="AO1148" i="2"/>
  <c r="JW842" i="5"/>
  <c r="JU842" i="5" s="1"/>
  <c r="JV842" i="5" s="1"/>
  <c r="AO1136" i="2"/>
  <c r="JZ830" i="5" s="1"/>
  <c r="JX830" i="5" s="1"/>
  <c r="JY830" i="5" s="1"/>
  <c r="AP1420" i="2"/>
  <c r="AP1509" i="2" s="1"/>
  <c r="AL572" i="2"/>
  <c r="JQ799" i="5"/>
  <c r="JO799" i="5" s="1"/>
  <c r="AK552" i="2"/>
  <c r="JN789" i="5"/>
  <c r="AM1419" i="2"/>
  <c r="AM1508" i="2" s="1"/>
  <c r="AG31" i="19"/>
  <c r="AJ31" i="19" s="1"/>
  <c r="KB952" i="5"/>
  <c r="AQ1727" i="2"/>
  <c r="AQ1726" i="2" s="1"/>
  <c r="AO1728" i="2"/>
  <c r="AO1726" i="2" s="1"/>
  <c r="AN1151" i="2"/>
  <c r="JW846" i="5"/>
  <c r="JU846" i="5" s="1"/>
  <c r="JV846" i="5" s="1"/>
  <c r="AP1644" i="2"/>
  <c r="KF839" i="5"/>
  <c r="KD839" i="5" s="1"/>
  <c r="KE839" i="5" s="1"/>
  <c r="AS1273" i="2"/>
  <c r="KL953" i="5"/>
  <c r="KJ953" i="5" s="1"/>
  <c r="KK953" i="5" s="1"/>
  <c r="AL576" i="2"/>
  <c r="JQ800" i="5"/>
  <c r="JO800" i="5" s="1"/>
  <c r="AL536" i="2"/>
  <c r="JQ785" i="5"/>
  <c r="JO785" i="5" s="1"/>
  <c r="KC1019" i="5"/>
  <c r="AP1469" i="2"/>
  <c r="AP1558" i="2" s="1"/>
  <c r="AP1668" i="2"/>
  <c r="W61" i="21"/>
  <c r="JT851" i="5"/>
  <c r="AQ1137" i="2"/>
  <c r="KC831" i="5"/>
  <c r="KA831" i="5" s="1"/>
  <c r="KB831" i="5" s="1"/>
  <c r="AM1660" i="2"/>
  <c r="JW824" i="5"/>
  <c r="JV824" i="5" s="1"/>
  <c r="AT1728" i="2"/>
  <c r="KD952" i="5"/>
  <c r="AL1204" i="2"/>
  <c r="JQ883" i="5" s="1"/>
  <c r="JQ877" i="5"/>
  <c r="AL679" i="2"/>
  <c r="JQ903" i="5"/>
  <c r="AO719" i="2"/>
  <c r="AO718" i="2" s="1"/>
  <c r="JZ950" i="5" s="1"/>
  <c r="AP1723" i="2" s="1"/>
  <c r="AP1722" i="2" s="1"/>
  <c r="AP720" i="2"/>
  <c r="AN1725" i="2"/>
  <c r="AX72" i="19"/>
  <c r="AZ72" i="19" s="1"/>
  <c r="AN1269" i="2"/>
  <c r="AN1374" i="2"/>
  <c r="AK1724" i="2"/>
  <c r="AK1722" i="2" s="1"/>
  <c r="AM1698" i="2"/>
  <c r="AM1697" i="2" s="1"/>
  <c r="AM1705" i="2" s="1"/>
  <c r="AK1699" i="2"/>
  <c r="AD72" i="19"/>
  <c r="AE72" i="19" s="1"/>
  <c r="JO948" i="5"/>
  <c r="AL1723" i="2"/>
  <c r="AL1699" i="2"/>
  <c r="AL1697" i="2" s="1"/>
  <c r="JP948" i="5"/>
  <c r="JP947" i="5" s="1"/>
  <c r="AL1687" i="2" s="1"/>
  <c r="AL1685" i="2" s="1"/>
  <c r="AM1268" i="2"/>
  <c r="AM1688" i="2"/>
  <c r="AM1464" i="2"/>
  <c r="AO71" i="19"/>
  <c r="AQ71" i="19" s="1"/>
  <c r="JS950" i="5"/>
  <c r="JR950" i="5"/>
  <c r="AR72" i="19"/>
  <c r="AP72" i="19"/>
  <c r="AS72" i="19" s="1"/>
  <c r="O20" i="19"/>
  <c r="N20" i="19" s="1"/>
  <c r="AJ1417" i="2"/>
  <c r="AJ1506" i="2" s="1"/>
  <c r="AJ1909" i="2"/>
  <c r="AK1079" i="2"/>
  <c r="AO526" i="2"/>
  <c r="AN1673" i="2"/>
  <c r="AN1679" i="2" s="1"/>
  <c r="AQ527" i="2"/>
  <c r="AQ1087" i="2" s="1"/>
  <c r="AO395" i="2"/>
  <c r="AO695" i="2"/>
  <c r="AL1380" i="2"/>
  <c r="AL1388" i="2" s="1"/>
  <c r="AL671" i="2"/>
  <c r="AM444" i="2"/>
  <c r="JQ760" i="5"/>
  <c r="JO760" i="5" s="1"/>
  <c r="AN452" i="2"/>
  <c r="AM1065" i="2"/>
  <c r="JT759" i="5" s="1"/>
  <c r="AM451" i="2"/>
  <c r="AM1064" i="2"/>
  <c r="JT758" i="5" s="1"/>
  <c r="AN448" i="2"/>
  <c r="AM447" i="2"/>
  <c r="AG437" i="2"/>
  <c r="AH532" i="2"/>
  <c r="AI1421" i="2"/>
  <c r="AI1510" i="2" s="1"/>
  <c r="AH1421" i="2"/>
  <c r="AH1510" i="2" s="1"/>
  <c r="AH1381" i="2"/>
  <c r="AH1389" i="2" s="1"/>
  <c r="E32" i="19"/>
  <c r="G32" i="19" s="1"/>
  <c r="AN738" i="5"/>
  <c r="JL1058" i="5"/>
  <c r="JN1058" i="5"/>
  <c r="AF1668" i="2"/>
  <c r="AL1701" i="2"/>
  <c r="CQ1041" i="5"/>
  <c r="CQ1098" i="5" s="1"/>
  <c r="AN1727" i="2"/>
  <c r="AN1726" i="2" s="1"/>
  <c r="EO1090" i="5"/>
  <c r="FS1090" i="5"/>
  <c r="FU1090" i="5"/>
  <c r="DZ1041" i="5"/>
  <c r="DZ1098" i="5" s="1"/>
  <c r="FT1041" i="5"/>
  <c r="FT1098" i="5" s="1"/>
  <c r="IS905" i="5"/>
  <c r="IS1084" i="5" s="1"/>
  <c r="EI1041" i="5"/>
  <c r="EI1098" i="5" s="1"/>
  <c r="BI742" i="5"/>
  <c r="BI700" i="5"/>
  <c r="IJ906" i="5"/>
  <c r="IJ1085" i="5" s="1"/>
  <c r="DW1090" i="5"/>
  <c r="CB681" i="5"/>
  <c r="CB700" i="5" s="1"/>
  <c r="DO1041" i="5"/>
  <c r="DO1098" i="5" s="1"/>
  <c r="ET1041" i="5"/>
  <c r="ET1098" i="5" s="1"/>
  <c r="CL1090" i="5"/>
  <c r="EE1090" i="5"/>
  <c r="EU1090" i="5"/>
  <c r="DQ1090" i="5"/>
  <c r="EB1090" i="5"/>
  <c r="EA1041" i="5"/>
  <c r="EA1098" i="5" s="1"/>
  <c r="FC1041" i="5"/>
  <c r="FC1098" i="5" s="1"/>
  <c r="JE933" i="5"/>
  <c r="IX943" i="5"/>
  <c r="IS1075" i="5"/>
  <c r="IE925" i="5"/>
  <c r="IE1091" i="5" s="1"/>
  <c r="IY1046" i="5"/>
  <c r="IY1050" i="5" s="1"/>
  <c r="JE932" i="5"/>
  <c r="EK1090" i="5"/>
  <c r="AH1060" i="2"/>
  <c r="AH1253" i="2" s="1"/>
  <c r="EP1090" i="5"/>
  <c r="DA1090" i="5"/>
  <c r="AI1226" i="2"/>
  <c r="AI1227" i="2" s="1"/>
  <c r="AI1253" i="2"/>
  <c r="AI1258" i="2" s="1"/>
  <c r="AE1452" i="2"/>
  <c r="AE1541" i="2" s="1"/>
  <c r="JO762" i="5"/>
  <c r="JP762" i="5" s="1"/>
  <c r="AA1253" i="2"/>
  <c r="AA1263" i="2" s="1"/>
  <c r="AA1549" i="2" s="1"/>
  <c r="JM768" i="5"/>
  <c r="AL1095" i="2"/>
  <c r="AM459" i="2"/>
  <c r="JR768" i="5"/>
  <c r="JS768" i="5" s="1"/>
  <c r="IB941" i="5"/>
  <c r="ES1090" i="5"/>
  <c r="EW1090" i="5"/>
  <c r="IQ924" i="5"/>
  <c r="IQ929" i="5" s="1"/>
  <c r="IB943" i="5"/>
  <c r="IB942" i="5"/>
  <c r="IJ1075" i="5"/>
  <c r="IH1069" i="5"/>
  <c r="IH925" i="5"/>
  <c r="DP1041" i="5"/>
  <c r="DP1098" i="5" s="1"/>
  <c r="CO736" i="5"/>
  <c r="JY901" i="5"/>
  <c r="BE56" i="19"/>
  <c r="BF56" i="19" s="1"/>
  <c r="IB924" i="5"/>
  <c r="IB930" i="5" s="1"/>
  <c r="V97" i="19"/>
  <c r="BJ73" i="19"/>
  <c r="BJ29" i="19"/>
  <c r="BH100" i="19"/>
  <c r="BK100" i="19" s="1"/>
  <c r="BA97" i="19"/>
  <c r="AW97" i="19"/>
  <c r="AR97" i="19"/>
  <c r="AN97" i="19"/>
  <c r="Q97" i="19"/>
  <c r="N97" i="19"/>
  <c r="CO1090" i="5"/>
  <c r="CI1041" i="5"/>
  <c r="CI1098" i="5" s="1"/>
  <c r="AT700" i="5"/>
  <c r="AD903" i="2"/>
  <c r="AD926" i="2" s="1"/>
  <c r="AT742" i="5"/>
  <c r="JP892" i="5"/>
  <c r="AD52" i="19"/>
  <c r="AE52" i="19" s="1"/>
  <c r="CS1090" i="5"/>
  <c r="IE924" i="5"/>
  <c r="IE1090" i="5" s="1"/>
  <c r="FR1090" i="5"/>
  <c r="CV1090" i="5"/>
  <c r="IS1057" i="5"/>
  <c r="IS1066" i="5" s="1"/>
  <c r="IK924" i="5"/>
  <c r="IK930" i="5" s="1"/>
  <c r="CP1090" i="5"/>
  <c r="IJ905" i="5"/>
  <c r="AA1226" i="2" s="1"/>
  <c r="IM743" i="5"/>
  <c r="IG1047" i="5"/>
  <c r="IG1051" i="5" s="1"/>
  <c r="IE664" i="5"/>
  <c r="IE736" i="5" s="1"/>
  <c r="IY906" i="5"/>
  <c r="AF1227" i="2" s="1"/>
  <c r="JC925" i="5"/>
  <c r="JC1091" i="5" s="1"/>
  <c r="Z1036" i="2"/>
  <c r="ID1057" i="5"/>
  <c r="ID1066" i="5" s="1"/>
  <c r="FK1090" i="5"/>
  <c r="IC924" i="5"/>
  <c r="IC928" i="5" s="1"/>
  <c r="IP905" i="5"/>
  <c r="IP1084" i="5" s="1"/>
  <c r="DS1090" i="5"/>
  <c r="DS1041" i="5"/>
  <c r="DS1098" i="5" s="1"/>
  <c r="IO924" i="5"/>
  <c r="IO928" i="5" s="1"/>
  <c r="JB1047" i="5"/>
  <c r="JB1051" i="5" s="1"/>
  <c r="Z1060" i="2"/>
  <c r="Z1254" i="2" s="1"/>
  <c r="CU736" i="5"/>
  <c r="IS550" i="5"/>
  <c r="P5" i="7" s="1"/>
  <c r="JD1090" i="5"/>
  <c r="IE731" i="5"/>
  <c r="IM1206" i="5"/>
  <c r="AL1640" i="2"/>
  <c r="I681" i="5"/>
  <c r="I1254" i="5" s="1"/>
  <c r="I1257" i="5" s="1"/>
  <c r="JD1061" i="5"/>
  <c r="IV1046" i="5"/>
  <c r="IV1050" i="5" s="1"/>
  <c r="AG1970" i="2"/>
  <c r="AG1971" i="2" s="1"/>
  <c r="Z70" i="19"/>
  <c r="P63" i="19"/>
  <c r="R63" i="19" s="1"/>
  <c r="N63" i="19"/>
  <c r="AM553" i="2"/>
  <c r="IW942" i="5"/>
  <c r="AD1493" i="2"/>
  <c r="ID905" i="5"/>
  <c r="ID1084" i="5" s="1"/>
  <c r="IW943" i="5"/>
  <c r="JD1041" i="5"/>
  <c r="JD1098" i="5" s="1"/>
  <c r="IR1066" i="5"/>
  <c r="FM1041" i="5"/>
  <c r="FM1098" i="5" s="1"/>
  <c r="V39" i="19"/>
  <c r="X57" i="19"/>
  <c r="AA57" i="19" s="1"/>
  <c r="IX941" i="5"/>
  <c r="IY941" i="5" s="1"/>
  <c r="IX940" i="5"/>
  <c r="IW940" i="5"/>
  <c r="EV1041" i="5"/>
  <c r="EV1098" i="5" s="1"/>
  <c r="IG665" i="5"/>
  <c r="IG737" i="5" s="1"/>
  <c r="JE1046" i="5"/>
  <c r="JE1050" i="5" s="1"/>
  <c r="GK1241" i="5"/>
  <c r="GK1257" i="5" s="1"/>
  <c r="N681" i="5"/>
  <c r="N700" i="5" s="1"/>
  <c r="DK1090" i="5"/>
  <c r="IV906" i="5"/>
  <c r="IV1085" i="5" s="1"/>
  <c r="IX942" i="5"/>
  <c r="IR924" i="5"/>
  <c r="JE905" i="5"/>
  <c r="IU925" i="5"/>
  <c r="EF1090" i="5"/>
  <c r="IW944" i="5"/>
  <c r="IY944" i="5" s="1"/>
  <c r="Z1494" i="2"/>
  <c r="IX924" i="5"/>
  <c r="IX928" i="5" s="1"/>
  <c r="IW924" i="5"/>
  <c r="IW930" i="5" s="1"/>
  <c r="AI97" i="19"/>
  <c r="AE97" i="19"/>
  <c r="X44" i="19"/>
  <c r="AA44" i="19" s="1"/>
  <c r="AN460" i="2"/>
  <c r="AO460" i="2" s="1"/>
  <c r="AO1068" i="2" s="1"/>
  <c r="JZ762" i="5" s="1"/>
  <c r="AE1668" i="2"/>
  <c r="AK459" i="2"/>
  <c r="JM919" i="5"/>
  <c r="AO1152" i="2"/>
  <c r="AO1130" i="2"/>
  <c r="BG43" i="19"/>
  <c r="BI43" i="19" s="1"/>
  <c r="AX43" i="19"/>
  <c r="AZ43" i="19" s="1"/>
  <c r="F85" i="19"/>
  <c r="AJ1418" i="2"/>
  <c r="AJ1507" i="2" s="1"/>
  <c r="AK456" i="2"/>
  <c r="AG1894" i="2"/>
  <c r="AK1640" i="2"/>
  <c r="AI1493" i="2"/>
  <c r="AJ1640" i="2"/>
  <c r="AE1404" i="2"/>
  <c r="AE1493" i="2" s="1"/>
  <c r="AG1484" i="2"/>
  <c r="D84" i="19"/>
  <c r="F84" i="19" s="1"/>
  <c r="AN1413" i="2"/>
  <c r="AN1502" i="2" s="1"/>
  <c r="AC1395" i="2"/>
  <c r="AC1484" i="2" s="1"/>
  <c r="Q63" i="19"/>
  <c r="O22" i="19"/>
  <c r="AJ1910" i="2"/>
  <c r="U42" i="19"/>
  <c r="V42" i="19" s="1"/>
  <c r="U57" i="19"/>
  <c r="V57" i="19" s="1"/>
  <c r="U27" i="19"/>
  <c r="V27" i="19" s="1"/>
  <c r="U70" i="19"/>
  <c r="V70" i="19" s="1"/>
  <c r="AB1667" i="2"/>
  <c r="AD1667" i="2"/>
  <c r="Y1437" i="2"/>
  <c r="Y1526" i="2" s="1"/>
  <c r="AL489" i="2"/>
  <c r="AL1076" i="2" s="1"/>
  <c r="F61" i="19"/>
  <c r="BH73" i="19"/>
  <c r="BK73" i="19" s="1"/>
  <c r="Z97" i="19"/>
  <c r="AG1436" i="2"/>
  <c r="AG1525" i="2" s="1"/>
  <c r="AA1530" i="2"/>
  <c r="AD1437" i="2"/>
  <c r="AD1526" i="2" s="1"/>
  <c r="AM476" i="2"/>
  <c r="AG1533" i="2"/>
  <c r="Z1437" i="2"/>
  <c r="Z1526" i="2" s="1"/>
  <c r="AG1435" i="2"/>
  <c r="AG1524" i="2" s="1"/>
  <c r="AH1395" i="2"/>
  <c r="P97" i="19"/>
  <c r="R97" i="19" s="1"/>
  <c r="AM1240" i="2"/>
  <c r="AK1658" i="2"/>
  <c r="AL1431" i="2"/>
  <c r="AL1520" i="2" s="1"/>
  <c r="E10" i="19"/>
  <c r="G10" i="19" s="1"/>
  <c r="F10" i="19"/>
  <c r="AG97" i="19"/>
  <c r="AJ97" i="19" s="1"/>
  <c r="AY97" i="19"/>
  <c r="BB97" i="19" s="1"/>
  <c r="AB1437" i="2"/>
  <c r="AB1526" i="2" s="1"/>
  <c r="AA1469" i="2"/>
  <c r="AA1558" i="2" s="1"/>
  <c r="AA1668" i="2"/>
  <c r="AF1659" i="2"/>
  <c r="Z1381" i="2"/>
  <c r="Z1389" i="2" s="1"/>
  <c r="AD1883" i="2"/>
  <c r="AD1887" i="2" s="1"/>
  <c r="AA1254" i="2"/>
  <c r="AA1667" i="2"/>
  <c r="AC1877" i="2"/>
  <c r="AC1894" i="2" s="1"/>
  <c r="AC1667" i="2"/>
  <c r="AQ598" i="2"/>
  <c r="X1669" i="2"/>
  <c r="O51" i="19"/>
  <c r="AI1653" i="2"/>
  <c r="AK1654" i="2"/>
  <c r="AE1437" i="2"/>
  <c r="AE1526" i="2" s="1"/>
  <c r="Y1381" i="2"/>
  <c r="Y1389" i="2" s="1"/>
  <c r="O61" i="19"/>
  <c r="AF1437" i="2"/>
  <c r="AF1526" i="2" s="1"/>
  <c r="AB1469" i="2"/>
  <c r="AB1558" i="2" s="1"/>
  <c r="AB1668" i="2"/>
  <c r="AB1669" i="2" s="1"/>
  <c r="AI1675" i="2"/>
  <c r="W1665" i="2"/>
  <c r="AL1646" i="2"/>
  <c r="AO25" i="19"/>
  <c r="AQ25" i="19" s="1"/>
  <c r="Z1469" i="2"/>
  <c r="Z1558" i="2" s="1"/>
  <c r="Z1668" i="2"/>
  <c r="AB1381" i="2"/>
  <c r="AB1389" i="2" s="1"/>
  <c r="IR940" i="5"/>
  <c r="IR941" i="5"/>
  <c r="IY905" i="5"/>
  <c r="IY1084" i="5" s="1"/>
  <c r="IU1060" i="5"/>
  <c r="IU1069" i="5" s="1"/>
  <c r="IY1075" i="5"/>
  <c r="IY933" i="5"/>
  <c r="IY932" i="5"/>
  <c r="GI1256" i="5"/>
  <c r="GI1257" i="5"/>
  <c r="GL1244" i="5"/>
  <c r="GL1242" i="5" s="1"/>
  <c r="GL1250" i="5"/>
  <c r="GL1249" i="5" s="1"/>
  <c r="EJ1090" i="5"/>
  <c r="GO1256" i="5"/>
  <c r="GO1257" i="5"/>
  <c r="CU1090" i="5"/>
  <c r="GM1247" i="5"/>
  <c r="DB1041" i="5"/>
  <c r="DB1098" i="5" s="1"/>
  <c r="IS906" i="5"/>
  <c r="AD1227" i="2" s="1"/>
  <c r="CU1041" i="5"/>
  <c r="CU1098" i="5" s="1"/>
  <c r="AJ1929" i="2"/>
  <c r="AG813" i="2" s="1"/>
  <c r="JE987" i="5"/>
  <c r="AH1313" i="2" s="1"/>
  <c r="AH1369" i="2" s="1"/>
  <c r="AH1478" i="2" s="1"/>
  <c r="BH29" i="19"/>
  <c r="BK29" i="19" s="1"/>
  <c r="BJ100" i="19"/>
  <c r="AX52" i="19"/>
  <c r="AZ52" i="19" s="1"/>
  <c r="AR52" i="19"/>
  <c r="AP52" i="19"/>
  <c r="AS52" i="19" s="1"/>
  <c r="Q50" i="19"/>
  <c r="P50" i="19"/>
  <c r="R50" i="19" s="1"/>
  <c r="BH82" i="19"/>
  <c r="BK82" i="19" s="1"/>
  <c r="BJ82" i="19"/>
  <c r="BH99" i="19"/>
  <c r="BK99" i="19" s="1"/>
  <c r="BJ99" i="19"/>
  <c r="BH98" i="19"/>
  <c r="BK98" i="19" s="1"/>
  <c r="BJ98" i="19"/>
  <c r="Z27" i="19"/>
  <c r="X27" i="19"/>
  <c r="AA27" i="19" s="1"/>
  <c r="Z38" i="19"/>
  <c r="X38" i="19"/>
  <c r="AA38" i="19" s="1"/>
  <c r="AM1206" i="2"/>
  <c r="AG1889" i="2"/>
  <c r="IV905" i="5"/>
  <c r="AE1226" i="2" s="1"/>
  <c r="JC890" i="5"/>
  <c r="JE890" i="5" s="1"/>
  <c r="AH1211" i="2" s="1"/>
  <c r="DI664" i="5"/>
  <c r="DI736" i="5" s="1"/>
  <c r="DM1090" i="5"/>
  <c r="AG1888" i="2"/>
  <c r="IH1055" i="5"/>
  <c r="IH1063" i="5" s="1"/>
  <c r="IG906" i="5"/>
  <c r="IG1085" i="5" s="1"/>
  <c r="JG934" i="5"/>
  <c r="IQ1061" i="5"/>
  <c r="ID906" i="5"/>
  <c r="Y1227" i="2" s="1"/>
  <c r="IJ1057" i="5"/>
  <c r="IJ1055" i="5" s="1"/>
  <c r="IJ1063" i="5" s="1"/>
  <c r="AG1887" i="2"/>
  <c r="V681" i="5"/>
  <c r="V738" i="5"/>
  <c r="IU944" i="5"/>
  <c r="IU942" i="5"/>
  <c r="JF927" i="5"/>
  <c r="JH927" i="5" s="1"/>
  <c r="IQ665" i="5"/>
  <c r="N110" i="7" s="1"/>
  <c r="IH657" i="5"/>
  <c r="AA1036" i="2" s="1"/>
  <c r="JC1084" i="5"/>
  <c r="IU940" i="5"/>
  <c r="IX925" i="5"/>
  <c r="IU941" i="5"/>
  <c r="IE1069" i="5"/>
  <c r="IU943" i="5"/>
  <c r="IH714" i="5"/>
  <c r="IR925" i="5"/>
  <c r="AL738" i="5"/>
  <c r="AL681" i="5"/>
  <c r="DF1041" i="5"/>
  <c r="DF1098" i="5" s="1"/>
  <c r="DF1090" i="5"/>
  <c r="IQ925" i="5"/>
  <c r="DG667" i="5"/>
  <c r="DG681" i="5" s="1"/>
  <c r="IK1069" i="5"/>
  <c r="AR738" i="5"/>
  <c r="AR681" i="5"/>
  <c r="II940" i="5"/>
  <c r="IN1061" i="5"/>
  <c r="IX1060" i="5"/>
  <c r="IY1060" i="5" s="1"/>
  <c r="IP1075" i="5"/>
  <c r="ID1046" i="5"/>
  <c r="ID1050" i="5" s="1"/>
  <c r="IM1060" i="5"/>
  <c r="IM1069" i="5" s="1"/>
  <c r="IQ658" i="5"/>
  <c r="N103" i="7" s="1"/>
  <c r="IM906" i="5"/>
  <c r="AB1227" i="2" s="1"/>
  <c r="IM905" i="5"/>
  <c r="AB1226" i="2" s="1"/>
  <c r="BD681" i="5"/>
  <c r="BD738" i="5"/>
  <c r="IR943" i="5"/>
  <c r="IY1097" i="5"/>
  <c r="Y1060" i="2"/>
  <c r="Y1253" i="2" s="1"/>
  <c r="Y1262" i="2" s="1"/>
  <c r="Y1548" i="2" s="1"/>
  <c r="ER1041" i="5"/>
  <c r="ER1098" i="5" s="1"/>
  <c r="ER1090" i="5"/>
  <c r="O742" i="5"/>
  <c r="JG941" i="5"/>
  <c r="O700" i="5"/>
  <c r="IT924" i="5"/>
  <c r="IT929" i="5" s="1"/>
  <c r="JF928" i="5"/>
  <c r="II941" i="5"/>
  <c r="CE664" i="5"/>
  <c r="CE736" i="5" s="1"/>
  <c r="ID1047" i="5"/>
  <c r="ID1051" i="5" s="1"/>
  <c r="II942" i="5"/>
  <c r="IJ1046" i="5"/>
  <c r="IJ1050" i="5" s="1"/>
  <c r="JE1047" i="5"/>
  <c r="JE1051" i="5" s="1"/>
  <c r="JG943" i="5"/>
  <c r="IP1047" i="5"/>
  <c r="IP1051" i="5" s="1"/>
  <c r="JH924" i="5"/>
  <c r="IS738" i="5"/>
  <c r="JG935" i="5"/>
  <c r="IC941" i="5"/>
  <c r="JH1060" i="5"/>
  <c r="JH1069" i="5" s="1"/>
  <c r="JG940" i="5"/>
  <c r="JF929" i="5"/>
  <c r="IC942" i="5"/>
  <c r="IP906" i="5"/>
  <c r="IP1085" i="5" s="1"/>
  <c r="JH933" i="5"/>
  <c r="IV1075" i="5"/>
  <c r="AL1211" i="2"/>
  <c r="IS1046" i="5"/>
  <c r="IS1050" i="5" s="1"/>
  <c r="JG925" i="5"/>
  <c r="IT943" i="5"/>
  <c r="FB1090" i="5"/>
  <c r="AE1468" i="2"/>
  <c r="AE1557" i="2" s="1"/>
  <c r="H738" i="5"/>
  <c r="H681" i="5"/>
  <c r="JG929" i="5"/>
  <c r="JG930" i="5"/>
  <c r="JH930" i="5" s="1"/>
  <c r="IT944" i="5"/>
  <c r="JF925" i="5"/>
  <c r="BF700" i="5"/>
  <c r="BF1254" i="5"/>
  <c r="BF1257" i="5" s="1"/>
  <c r="BF742" i="5"/>
  <c r="JF1061" i="5"/>
  <c r="JG944" i="5"/>
  <c r="JG928" i="5"/>
  <c r="AF1060" i="2"/>
  <c r="AF1253" i="2" s="1"/>
  <c r="IC940" i="5"/>
  <c r="BG681" i="5"/>
  <c r="BG738" i="5"/>
  <c r="DM730" i="5"/>
  <c r="IN940" i="5"/>
  <c r="IN942" i="5"/>
  <c r="IN941" i="5"/>
  <c r="IS1047" i="5"/>
  <c r="IS1051" i="5" s="1"/>
  <c r="IC925" i="5"/>
  <c r="IM1046" i="5"/>
  <c r="IM1050" i="5" s="1"/>
  <c r="IL943" i="5"/>
  <c r="IT925" i="5"/>
  <c r="IL940" i="5"/>
  <c r="AX681" i="5"/>
  <c r="AX738" i="5"/>
  <c r="IL941" i="5"/>
  <c r="JG1041" i="5"/>
  <c r="IM1047" i="5"/>
  <c r="IM1051" i="5" s="1"/>
  <c r="IO1053" i="5"/>
  <c r="IO1062" i="5"/>
  <c r="JF935" i="5"/>
  <c r="AF44" i="19"/>
  <c r="AO1094" i="2"/>
  <c r="JZ788" i="5" s="1"/>
  <c r="AP549" i="2"/>
  <c r="AQ585" i="2"/>
  <c r="AP1108" i="2"/>
  <c r="KC802" i="5" s="1"/>
  <c r="AB1395" i="2"/>
  <c r="AB1484" i="2" s="1"/>
  <c r="AS1147" i="2"/>
  <c r="KL841" i="5" s="1"/>
  <c r="KJ841" i="5" s="1"/>
  <c r="KK841" i="5" s="1"/>
  <c r="AR1145" i="2"/>
  <c r="AO1074" i="2"/>
  <c r="JZ768" i="5" s="1"/>
  <c r="AP477" i="2"/>
  <c r="AO1097" i="2"/>
  <c r="JZ791" i="5" s="1"/>
  <c r="AP481" i="2"/>
  <c r="JY822" i="5"/>
  <c r="AP1128" i="2"/>
  <c r="AE307" i="2"/>
  <c r="AI1245" i="2"/>
  <c r="AO31" i="19"/>
  <c r="AQ31" i="19" s="1"/>
  <c r="AP97" i="19"/>
  <c r="AS97" i="19" s="1"/>
  <c r="IT1069" i="5"/>
  <c r="IG1057" i="5"/>
  <c r="IG1055" i="5" s="1"/>
  <c r="IG1063" i="5" s="1"/>
  <c r="IM1075" i="5"/>
  <c r="JF940" i="5"/>
  <c r="JF943" i="5"/>
  <c r="JF942" i="5"/>
  <c r="JH942" i="5" s="1"/>
  <c r="IS726" i="5"/>
  <c r="IG905" i="5"/>
  <c r="IG1084" i="5" s="1"/>
  <c r="IT941" i="5"/>
  <c r="IT942" i="5"/>
  <c r="JF934" i="5"/>
  <c r="JF944" i="5"/>
  <c r="JE1048" i="5" s="1"/>
  <c r="JE1052" i="5" s="1"/>
  <c r="IQ657" i="5"/>
  <c r="N102" i="7" s="1"/>
  <c r="JH932" i="5"/>
  <c r="N5" i="7"/>
  <c r="IF925" i="5"/>
  <c r="IF1091" i="5" s="1"/>
  <c r="BP700" i="5"/>
  <c r="BP1254" i="5"/>
  <c r="BP1257" i="5" s="1"/>
  <c r="BP742" i="5"/>
  <c r="IJ1047" i="5"/>
  <c r="IJ1051" i="5" s="1"/>
  <c r="IS654" i="5"/>
  <c r="P99" i="7" s="1"/>
  <c r="JF941" i="5"/>
  <c r="AK1942" i="2"/>
  <c r="AK1212" i="2"/>
  <c r="JS882" i="5"/>
  <c r="AM43" i="19"/>
  <c r="AN43" i="19" s="1"/>
  <c r="JP881" i="5"/>
  <c r="AD42" i="19"/>
  <c r="AE42" i="19" s="1"/>
  <c r="JP845" i="5"/>
  <c r="AD23" i="19"/>
  <c r="AE23" i="19" s="1"/>
  <c r="IM1095" i="5"/>
  <c r="CK1041" i="5"/>
  <c r="CK1098" i="5" s="1"/>
  <c r="CK1090" i="5"/>
  <c r="CQ667" i="5"/>
  <c r="CQ681" i="5" s="1"/>
  <c r="Z1553" i="2"/>
  <c r="Z1463" i="2"/>
  <c r="Z1552" i="2" s="1"/>
  <c r="FL1256" i="5"/>
  <c r="FL1257" i="5"/>
  <c r="AN1187" i="2"/>
  <c r="IN925" i="5"/>
  <c r="BT681" i="5"/>
  <c r="BT738" i="5"/>
  <c r="DH667" i="5"/>
  <c r="DH736" i="5"/>
  <c r="AM1427" i="2"/>
  <c r="AM1516" i="2" s="1"/>
  <c r="P68" i="7"/>
  <c r="Z57" i="19"/>
  <c r="JR892" i="5"/>
  <c r="AM1652" i="2"/>
  <c r="AM1651" i="2"/>
  <c r="F93" i="19"/>
  <c r="E93" i="19"/>
  <c r="G93" i="19" s="1"/>
  <c r="AA1395" i="2"/>
  <c r="AA1435" i="2" s="1"/>
  <c r="JM881" i="5"/>
  <c r="F4" i="19"/>
  <c r="E4" i="19"/>
  <c r="G4" i="19" s="1"/>
  <c r="JM851" i="5"/>
  <c r="U25" i="19"/>
  <c r="V25" i="19" s="1"/>
  <c r="AM1224" i="2"/>
  <c r="AL1433" i="2"/>
  <c r="AL1522" i="2" s="1"/>
  <c r="AF57" i="19"/>
  <c r="AL1952" i="2"/>
  <c r="JM947" i="5"/>
  <c r="Q24" i="19"/>
  <c r="X70" i="19"/>
  <c r="AA70" i="19" s="1"/>
  <c r="AI1970" i="2"/>
  <c r="AC1467" i="2"/>
  <c r="AC1556" i="2" s="1"/>
  <c r="IV894" i="5"/>
  <c r="IU1057" i="5"/>
  <c r="AF738" i="5"/>
  <c r="AF681" i="5"/>
  <c r="AH681" i="5"/>
  <c r="AH738" i="5"/>
  <c r="CK731" i="5"/>
  <c r="CK665" i="5"/>
  <c r="CK737" i="5" s="1"/>
  <c r="H56" i="7"/>
  <c r="AK738" i="5"/>
  <c r="AK681" i="5"/>
  <c r="AE681" i="5"/>
  <c r="AE738" i="5"/>
  <c r="T1254" i="5"/>
  <c r="T1257" i="5" s="1"/>
  <c r="T742" i="5"/>
  <c r="T700" i="5"/>
  <c r="AJ484" i="2"/>
  <c r="BB681" i="5"/>
  <c r="BB738" i="5"/>
  <c r="AL485" i="2"/>
  <c r="AK1075" i="2"/>
  <c r="JN769" i="5" s="1"/>
  <c r="IR1062" i="5"/>
  <c r="R738" i="5"/>
  <c r="R681" i="5"/>
  <c r="AV742" i="5"/>
  <c r="AV700" i="5"/>
  <c r="AV1254" i="5"/>
  <c r="AV1257" i="5" s="1"/>
  <c r="IL658" i="5"/>
  <c r="I103" i="7" s="1"/>
  <c r="K103" i="7" s="1"/>
  <c r="IB925" i="5"/>
  <c r="BA681" i="5"/>
  <c r="BA738" i="5"/>
  <c r="II925" i="5"/>
  <c r="IR657" i="5"/>
  <c r="O102" i="7" s="1"/>
  <c r="LA738" i="5"/>
  <c r="LA681" i="5"/>
  <c r="Y1558" i="2"/>
  <c r="Y1467" i="2"/>
  <c r="Y1556" i="2" s="1"/>
  <c r="BR742" i="5"/>
  <c r="BR1254" i="5"/>
  <c r="BR1257" i="5" s="1"/>
  <c r="BR700" i="5"/>
  <c r="BS738" i="5"/>
  <c r="BS681" i="5"/>
  <c r="Y1395" i="2"/>
  <c r="Y1436" i="2" s="1"/>
  <c r="BE1254" i="5"/>
  <c r="BE1257" i="5" s="1"/>
  <c r="BE700" i="5"/>
  <c r="BE742" i="5"/>
  <c r="AK1085" i="2"/>
  <c r="EC1090" i="5"/>
  <c r="EC1041" i="5"/>
  <c r="EC1098" i="5" s="1"/>
  <c r="AD879" i="2"/>
  <c r="AD975" i="2" s="1"/>
  <c r="AD980" i="2"/>
  <c r="DJ736" i="5"/>
  <c r="DJ667" i="5"/>
  <c r="IY1095" i="5"/>
  <c r="AP700" i="5"/>
  <c r="AP742" i="5"/>
  <c r="AP1254" i="5"/>
  <c r="AP1257" i="5" s="1"/>
  <c r="M738" i="5"/>
  <c r="M681" i="5"/>
  <c r="AL1073" i="2"/>
  <c r="JQ767" i="5" s="1"/>
  <c r="AM473" i="2"/>
  <c r="ID1061" i="5"/>
  <c r="AK472" i="2"/>
  <c r="IS652" i="5"/>
  <c r="P97" i="7" s="1"/>
  <c r="IK925" i="5"/>
  <c r="DU1041" i="5"/>
  <c r="DU1098" i="5" s="1"/>
  <c r="DU1090" i="5"/>
  <c r="IS653" i="5"/>
  <c r="P98" i="7" s="1"/>
  <c r="BU1254" i="5"/>
  <c r="BU1257" i="5" s="1"/>
  <c r="BU742" i="5"/>
  <c r="BU700" i="5"/>
  <c r="CG665" i="5"/>
  <c r="CG737" i="5" s="1"/>
  <c r="CG731" i="5"/>
  <c r="IN924" i="5"/>
  <c r="IN930" i="5" s="1"/>
  <c r="P1254" i="5"/>
  <c r="P1257" i="5" s="1"/>
  <c r="P742" i="5"/>
  <c r="P700" i="5"/>
  <c r="BQ681" i="5"/>
  <c r="BQ738" i="5"/>
  <c r="CG664" i="5"/>
  <c r="CG730" i="5"/>
  <c r="BN738" i="5"/>
  <c r="BN681" i="5"/>
  <c r="CP736" i="5"/>
  <c r="CP667" i="5"/>
  <c r="W1254" i="5"/>
  <c r="W1257" i="5" s="1"/>
  <c r="W742" i="5"/>
  <c r="W700" i="5"/>
  <c r="IP1055" i="5"/>
  <c r="IP1063" i="5" s="1"/>
  <c r="CD738" i="5"/>
  <c r="CD681" i="5"/>
  <c r="AF1376" i="2"/>
  <c r="AF1373" i="2" s="1"/>
  <c r="AF1737" i="2"/>
  <c r="CS736" i="5"/>
  <c r="CS667" i="5"/>
  <c r="BC738" i="5"/>
  <c r="BC681" i="5"/>
  <c r="CI731" i="5"/>
  <c r="CI665" i="5"/>
  <c r="CI737" i="5" s="1"/>
  <c r="AF1469" i="2"/>
  <c r="AF1890" i="2"/>
  <c r="BZ738" i="5"/>
  <c r="BZ681" i="5"/>
  <c r="DL667" i="5"/>
  <c r="DL736" i="5"/>
  <c r="L738" i="5"/>
  <c r="L681" i="5"/>
  <c r="IO925" i="5"/>
  <c r="AE1313" i="2"/>
  <c r="AE1369" i="2" s="1"/>
  <c r="AE1478" i="2" s="1"/>
  <c r="IV1095" i="5"/>
  <c r="AF1883" i="2"/>
  <c r="AF1888" i="2" s="1"/>
  <c r="AF1962" i="2"/>
  <c r="AF1961" i="2" s="1"/>
  <c r="AF1969" i="2" s="1"/>
  <c r="AF1379" i="2"/>
  <c r="AF1387" i="2" s="1"/>
  <c r="AF1381" i="2"/>
  <c r="AF1389" i="2" s="1"/>
  <c r="D112" i="7"/>
  <c r="IH738" i="5"/>
  <c r="DS730" i="5"/>
  <c r="DS664" i="5"/>
  <c r="CE1098" i="5"/>
  <c r="BX681" i="5"/>
  <c r="BX738" i="5"/>
  <c r="AC742" i="5"/>
  <c r="AC700" i="5"/>
  <c r="AC1254" i="5"/>
  <c r="AC1257" i="5" s="1"/>
  <c r="BO700" i="5"/>
  <c r="BO742" i="5"/>
  <c r="BO1254" i="5"/>
  <c r="BO1257" i="5" s="1"/>
  <c r="AA1020" i="2"/>
  <c r="AA1851" i="2"/>
  <c r="IW925" i="5"/>
  <c r="IS1097" i="5"/>
  <c r="AD1344" i="2"/>
  <c r="AE1890" i="2"/>
  <c r="AE1469" i="2"/>
  <c r="CZ738" i="5"/>
  <c r="CZ681" i="5"/>
  <c r="Z1557" i="2"/>
  <c r="CM730" i="5"/>
  <c r="CM664" i="5"/>
  <c r="CN736" i="5"/>
  <c r="CN667" i="5"/>
  <c r="F1254" i="5"/>
  <c r="F1257" i="5" s="1"/>
  <c r="F742" i="5"/>
  <c r="F700" i="5"/>
  <c r="DC667" i="5"/>
  <c r="DC736" i="5"/>
  <c r="AG1847" i="2"/>
  <c r="AF1395" i="2"/>
  <c r="AF1484" i="2" s="1"/>
  <c r="DM736" i="5"/>
  <c r="DM667" i="5"/>
  <c r="FL1090" i="5"/>
  <c r="FL1041" i="5"/>
  <c r="FL1098" i="5" s="1"/>
  <c r="AM700" i="5"/>
  <c r="AM1254" i="5"/>
  <c r="AM1257" i="5" s="1"/>
  <c r="AM742" i="5"/>
  <c r="AJ1254" i="5"/>
  <c r="AJ1257" i="5" s="1"/>
  <c r="AJ700" i="5"/>
  <c r="AJ742" i="5"/>
  <c r="AA1842" i="2"/>
  <c r="AA998" i="2"/>
  <c r="LB700" i="5"/>
  <c r="LB742" i="5"/>
  <c r="DN1041" i="5"/>
  <c r="DN1098" i="5" s="1"/>
  <c r="DN1090" i="5"/>
  <c r="AD1599" i="2"/>
  <c r="KY738" i="5"/>
  <c r="KY681" i="5"/>
  <c r="CI730" i="5"/>
  <c r="CI664" i="5"/>
  <c r="CF1041" i="5"/>
  <c r="CF1098" i="5" s="1"/>
  <c r="CF1090" i="5"/>
  <c r="II924" i="5"/>
  <c r="II929" i="5" s="1"/>
  <c r="DP731" i="5"/>
  <c r="DP665" i="5"/>
  <c r="DP737" i="5" s="1"/>
  <c r="DB700" i="5"/>
  <c r="DB1254" i="5"/>
  <c r="DB1257" i="5" s="1"/>
  <c r="DB742" i="5"/>
  <c r="AS681" i="5"/>
  <c r="AS738" i="5"/>
  <c r="AY738" i="5"/>
  <c r="AY681" i="5"/>
  <c r="AA1254" i="5"/>
  <c r="AA1257" i="5" s="1"/>
  <c r="AA700" i="5"/>
  <c r="AA742" i="5"/>
  <c r="AD358" i="2"/>
  <c r="AE357" i="2"/>
  <c r="AD640" i="2"/>
  <c r="EH1041" i="5"/>
  <c r="EH1098" i="5" s="1"/>
  <c r="EH1090" i="5"/>
  <c r="KZ681" i="5"/>
  <c r="KZ738" i="5"/>
  <c r="CM731" i="5"/>
  <c r="CM665" i="5"/>
  <c r="CM737" i="5" s="1"/>
  <c r="E700" i="5"/>
  <c r="E742" i="5"/>
  <c r="E1254" i="5"/>
  <c r="E1257" i="5" s="1"/>
  <c r="DR1090" i="5"/>
  <c r="DR1041" i="5"/>
  <c r="DR1098" i="5" s="1"/>
  <c r="CW667" i="5"/>
  <c r="CW736" i="5"/>
  <c r="IJ1206" i="5"/>
  <c r="IJ742" i="5"/>
  <c r="AA1039" i="2"/>
  <c r="AA1858" i="2"/>
  <c r="AA1867" i="2" s="1"/>
  <c r="AA1029" i="2"/>
  <c r="CH736" i="5"/>
  <c r="CH667" i="5"/>
  <c r="AA714" i="2"/>
  <c r="AA406" i="2"/>
  <c r="AB405" i="2"/>
  <c r="AB713" i="2"/>
  <c r="H112" i="7"/>
  <c r="BK738" i="5"/>
  <c r="BK681" i="5"/>
  <c r="AD1381" i="2"/>
  <c r="AD1389" i="2" s="1"/>
  <c r="DX1090" i="5"/>
  <c r="DX1041" i="5"/>
  <c r="DX1098" i="5" s="1"/>
  <c r="IL924" i="5"/>
  <c r="DD736" i="5"/>
  <c r="DD667" i="5"/>
  <c r="AI700" i="5"/>
  <c r="AI742" i="5"/>
  <c r="AI1254" i="5"/>
  <c r="AI1257" i="5" s="1"/>
  <c r="AA997" i="2"/>
  <c r="IH929" i="5"/>
  <c r="BV1254" i="5"/>
  <c r="BV1257" i="5" s="1"/>
  <c r="BV700" i="5"/>
  <c r="BV742" i="5"/>
  <c r="BL700" i="5"/>
  <c r="BL1254" i="5"/>
  <c r="BL1257" i="5" s="1"/>
  <c r="BL742" i="5"/>
  <c r="BW1254" i="5"/>
  <c r="BW1257" i="5" s="1"/>
  <c r="BW700" i="5"/>
  <c r="BW742" i="5"/>
  <c r="IL925" i="5"/>
  <c r="AG1851" i="2"/>
  <c r="AD1020" i="2"/>
  <c r="AF1892" i="2"/>
  <c r="AF1468" i="2"/>
  <c r="AD1484" i="2"/>
  <c r="AD1436" i="2"/>
  <c r="AD1435" i="2"/>
  <c r="AL1429" i="2"/>
  <c r="AL1518" i="2" s="1"/>
  <c r="IH928" i="5"/>
  <c r="IJ1095" i="5"/>
  <c r="AA1313" i="2"/>
  <c r="CK736" i="5"/>
  <c r="CK667" i="5"/>
  <c r="AZ1254" i="5"/>
  <c r="AZ1257" i="5" s="1"/>
  <c r="AZ742" i="5"/>
  <c r="AZ700" i="5"/>
  <c r="IY1066" i="5"/>
  <c r="IY1055" i="5"/>
  <c r="IY1063" i="5" s="1"/>
  <c r="Z1395" i="2"/>
  <c r="CX1041" i="5"/>
  <c r="CX1098" i="5" s="1"/>
  <c r="CX1090" i="5"/>
  <c r="AU681" i="5"/>
  <c r="AU738" i="5"/>
  <c r="AD996" i="2"/>
  <c r="AG1840" i="2"/>
  <c r="AD1923" i="2"/>
  <c r="IF924" i="5"/>
  <c r="IH927" i="5"/>
  <c r="AD1253" i="2"/>
  <c r="AD1258" i="2" s="1"/>
  <c r="AD1455" i="2" s="1"/>
  <c r="AD1544" i="2" s="1"/>
  <c r="CC738" i="5"/>
  <c r="CC681" i="5"/>
  <c r="Z1313" i="2"/>
  <c r="IG1095" i="5"/>
  <c r="BY681" i="5"/>
  <c r="BY738" i="5"/>
  <c r="CF667" i="5"/>
  <c r="CF736" i="5"/>
  <c r="CY736" i="5"/>
  <c r="CY667" i="5"/>
  <c r="AD1313" i="2"/>
  <c r="IS1095" i="5"/>
  <c r="IR1053" i="5"/>
  <c r="FB1256" i="5"/>
  <c r="FB1257" i="5"/>
  <c r="AE1914" i="2"/>
  <c r="AE1923" i="2" s="1"/>
  <c r="AE1970" i="2" s="1"/>
  <c r="AE1877" i="2"/>
  <c r="K738" i="5"/>
  <c r="K681" i="5"/>
  <c r="CL667" i="5"/>
  <c r="CL736" i="5"/>
  <c r="U1254" i="5"/>
  <c r="U1257" i="5" s="1"/>
  <c r="U742" i="5"/>
  <c r="U700" i="5"/>
  <c r="DN664" i="5"/>
  <c r="DN730" i="5"/>
  <c r="IW1069" i="5"/>
  <c r="IW1061" i="5"/>
  <c r="AI1892" i="2"/>
  <c r="AI1468" i="2"/>
  <c r="II1216" i="5"/>
  <c r="IK1218" i="5" s="1"/>
  <c r="IJ1210" i="5"/>
  <c r="IJ1216" i="5" s="1"/>
  <c r="EG1098" i="5"/>
  <c r="IH723" i="5"/>
  <c r="D39" i="7"/>
  <c r="E39" i="7" s="1"/>
  <c r="IH658" i="5"/>
  <c r="ES700" i="5"/>
  <c r="IR700" i="5" s="1"/>
  <c r="O142" i="7" s="1"/>
  <c r="IR664" i="5"/>
  <c r="O109" i="7" s="1"/>
  <c r="AA319" i="2"/>
  <c r="AB319" i="2"/>
  <c r="AG1458" i="2"/>
  <c r="AG1547" i="2"/>
  <c r="IJ588" i="5"/>
  <c r="IJ723" i="5" s="1"/>
  <c r="DI1098" i="5"/>
  <c r="JF1041" i="5"/>
  <c r="JH987" i="5"/>
  <c r="AI1313" i="2" s="1"/>
  <c r="AA1622" i="2"/>
  <c r="AA1619" i="2" s="1"/>
  <c r="AA1630" i="2" s="1"/>
  <c r="AA693" i="2"/>
  <c r="AA394" i="2"/>
  <c r="AA825" i="2"/>
  <c r="AH1894" i="2"/>
  <c r="C103" i="7"/>
  <c r="IF665" i="5"/>
  <c r="IF731" i="5"/>
  <c r="DE665" i="5"/>
  <c r="DE737" i="5" s="1"/>
  <c r="DE731" i="5"/>
  <c r="AQ700" i="5"/>
  <c r="AQ742" i="5"/>
  <c r="AQ1254" i="5"/>
  <c r="AQ1257" i="5" s="1"/>
  <c r="CT736" i="5"/>
  <c r="CT667" i="5"/>
  <c r="AG1459" i="2"/>
  <c r="AG1548" i="2"/>
  <c r="CW1098" i="5"/>
  <c r="IQ664" i="5"/>
  <c r="EM700" i="5"/>
  <c r="IQ700" i="5" s="1"/>
  <c r="CX738" i="5"/>
  <c r="CX681" i="5"/>
  <c r="IK714" i="5"/>
  <c r="IK657" i="5"/>
  <c r="G5" i="7"/>
  <c r="IG730" i="5"/>
  <c r="IG664" i="5"/>
  <c r="AG1461" i="2"/>
  <c r="AG1550" i="2"/>
  <c r="IL657" i="5"/>
  <c r="I5" i="7"/>
  <c r="K5" i="7" s="1"/>
  <c r="AG1455" i="2"/>
  <c r="AG1544" i="2" s="1"/>
  <c r="JE925" i="5"/>
  <c r="IK731" i="5"/>
  <c r="IK665" i="5"/>
  <c r="G103" i="7"/>
  <c r="IM588" i="5"/>
  <c r="IM723" i="5" s="1"/>
  <c r="AA1386" i="2"/>
  <c r="AG1551" i="2"/>
  <c r="AG1462" i="2"/>
  <c r="AC1262" i="2"/>
  <c r="AC1452" i="2"/>
  <c r="AC1541" i="2" s="1"/>
  <c r="AC1263" i="2"/>
  <c r="AC1254" i="2"/>
  <c r="AC1264" i="2"/>
  <c r="AC1261" i="2"/>
  <c r="FQ1098" i="5"/>
  <c r="J700" i="5"/>
  <c r="J1254" i="5"/>
  <c r="J1257" i="5" s="1"/>
  <c r="J742" i="5"/>
  <c r="F39" i="7"/>
  <c r="H39" i="7" s="1"/>
  <c r="II723" i="5"/>
  <c r="BM1254" i="5"/>
  <c r="BM1257" i="5" s="1"/>
  <c r="BM742" i="5"/>
  <c r="BM700" i="5"/>
  <c r="AH1889" i="2"/>
  <c r="G99" i="7"/>
  <c r="H99" i="7" s="1"/>
  <c r="IM654" i="5"/>
  <c r="DP700" i="5"/>
  <c r="DP736" i="5"/>
  <c r="ES665" i="5"/>
  <c r="IR665" i="5" s="1"/>
  <c r="O110" i="7" s="1"/>
  <c r="IR658" i="5"/>
  <c r="O103" i="7" s="1"/>
  <c r="AG1549" i="2"/>
  <c r="AG1460" i="2"/>
  <c r="IO1069" i="5"/>
  <c r="IO1061" i="5"/>
  <c r="Y1386" i="2"/>
  <c r="AD353" i="2"/>
  <c r="AD635" i="2"/>
  <c r="G97" i="7"/>
  <c r="H97" i="7" s="1"/>
  <c r="IM652" i="5"/>
  <c r="BJ1254" i="5"/>
  <c r="BJ1257" i="5" s="1"/>
  <c r="BJ742" i="5"/>
  <c r="BJ700" i="5"/>
  <c r="N39" i="7"/>
  <c r="IS588" i="5"/>
  <c r="AG742" i="5"/>
  <c r="AG700" i="5"/>
  <c r="AG1254" i="5"/>
  <c r="AG1257" i="5" s="1"/>
  <c r="CJ667" i="5"/>
  <c r="CJ736" i="5"/>
  <c r="AH1887" i="2"/>
  <c r="BH700" i="5"/>
  <c r="BH742" i="5"/>
  <c r="BH1254" i="5"/>
  <c r="BH1257" i="5" s="1"/>
  <c r="IR1069" i="5"/>
  <c r="IR1061" i="5"/>
  <c r="IS1060" i="5"/>
  <c r="AG1382" i="2"/>
  <c r="AG1542" i="2"/>
  <c r="AG1453" i="2"/>
  <c r="G98" i="7"/>
  <c r="H98" i="7" s="1"/>
  <c r="IM653" i="5"/>
  <c r="Q738" i="5"/>
  <c r="Q681" i="5"/>
  <c r="CR736" i="5"/>
  <c r="CR667" i="5"/>
  <c r="AD946" i="2"/>
  <c r="AD366" i="2"/>
  <c r="F5" i="7"/>
  <c r="II657" i="5"/>
  <c r="II714" i="5"/>
  <c r="P7" i="7"/>
  <c r="IS715" i="5"/>
  <c r="AD745" i="2"/>
  <c r="AA1025" i="2"/>
  <c r="AA1856" i="2"/>
  <c r="AF25" i="19"/>
  <c r="AL1925" i="2"/>
  <c r="AL1422" i="2"/>
  <c r="AL1511" i="2" s="1"/>
  <c r="AC1888" i="2"/>
  <c r="IL1069" i="5"/>
  <c r="IL1061" i="5"/>
  <c r="AA1857" i="2"/>
  <c r="AA1866" i="2" s="1"/>
  <c r="AA1026" i="2"/>
  <c r="AD1706" i="2"/>
  <c r="AD1701" i="2"/>
  <c r="Z25" i="19"/>
  <c r="X25" i="19"/>
  <c r="AA25" i="19" s="1"/>
  <c r="AA381" i="2"/>
  <c r="AB382" i="2"/>
  <c r="AA382" i="2"/>
  <c r="AB383" i="2"/>
  <c r="AA383" i="2"/>
  <c r="AD1254" i="5"/>
  <c r="AD1257" i="5" s="1"/>
  <c r="AD742" i="5"/>
  <c r="AD700" i="5"/>
  <c r="AA1599" i="2"/>
  <c r="AC1386" i="2"/>
  <c r="AI1705" i="2"/>
  <c r="DR730" i="5"/>
  <c r="DR664" i="5"/>
  <c r="E5" i="7"/>
  <c r="Z1386" i="2"/>
  <c r="AE1888" i="2"/>
  <c r="II1069" i="5"/>
  <c r="IJ1060" i="5"/>
  <c r="II1061" i="5"/>
  <c r="DK738" i="5"/>
  <c r="DK681" i="5"/>
  <c r="CO738" i="5"/>
  <c r="CO681" i="5"/>
  <c r="AD1614" i="2"/>
  <c r="AD1603" i="2" s="1"/>
  <c r="AD1630" i="2" s="1"/>
  <c r="AD380" i="2"/>
  <c r="AB1254" i="5"/>
  <c r="AB1257" i="5" s="1"/>
  <c r="AB700" i="5"/>
  <c r="AB742" i="5"/>
  <c r="DF736" i="5"/>
  <c r="DF667" i="5"/>
  <c r="S742" i="5"/>
  <c r="S700" i="5"/>
  <c r="S1254" i="5"/>
  <c r="S1257" i="5" s="1"/>
  <c r="AD1386" i="2"/>
  <c r="C102" i="7"/>
  <c r="IF730" i="5"/>
  <c r="IF664" i="5"/>
  <c r="H7" i="7"/>
  <c r="AA366" i="2"/>
  <c r="AA946" i="2"/>
  <c r="AA745" i="2"/>
  <c r="AB1386" i="2"/>
  <c r="ES1098" i="5"/>
  <c r="II658" i="5"/>
  <c r="AB1253" i="2"/>
  <c r="AB1258" i="2"/>
  <c r="AB1254" i="2"/>
  <c r="AG1842" i="2"/>
  <c r="AD998" i="2"/>
  <c r="AA1001" i="2"/>
  <c r="AA1845" i="2"/>
  <c r="AA1862" i="2" s="1"/>
  <c r="CA742" i="5"/>
  <c r="CA700" i="5"/>
  <c r="CA1254" i="5"/>
  <c r="CA1257" i="5" s="1"/>
  <c r="IM1066" i="5"/>
  <c r="IM1055" i="5"/>
  <c r="IM1063" i="5" s="1"/>
  <c r="IP1060" i="5"/>
  <c r="AG1846" i="2"/>
  <c r="AG1863" i="2" s="1"/>
  <c r="AD1005" i="2"/>
  <c r="AG1841" i="2"/>
  <c r="AD997" i="2"/>
  <c r="FE1098" i="5"/>
  <c r="IU1041" i="5"/>
  <c r="AF1923" i="2"/>
  <c r="AN700" i="5"/>
  <c r="AN742" i="5"/>
  <c r="AN1254" i="5"/>
  <c r="AN1257" i="5" s="1"/>
  <c r="IF1069" i="5"/>
  <c r="IG1060" i="5"/>
  <c r="IF1061" i="5"/>
  <c r="CU738" i="5"/>
  <c r="CU681" i="5"/>
  <c r="P41" i="7"/>
  <c r="IS724" i="5"/>
  <c r="AD788" i="2"/>
  <c r="AD954" i="2" s="1"/>
  <c r="IU928" i="5"/>
  <c r="IU927" i="5"/>
  <c r="IU930" i="5"/>
  <c r="IU929" i="5"/>
  <c r="JD1091" i="5"/>
  <c r="O19" i="19"/>
  <c r="N19" i="19" s="1"/>
  <c r="AJ1908" i="2"/>
  <c r="AJ1416" i="2"/>
  <c r="AJ1505" i="2" s="1"/>
  <c r="DE736" i="5"/>
  <c r="DE667" i="5"/>
  <c r="IJ715" i="5"/>
  <c r="IJ653" i="5"/>
  <c r="AA863" i="2" s="1"/>
  <c r="IJ654" i="5"/>
  <c r="IJ652" i="5"/>
  <c r="IJ550" i="5"/>
  <c r="JC1069" i="5"/>
  <c r="JE1060" i="5"/>
  <c r="JC1061" i="5"/>
  <c r="GN1247" i="5"/>
  <c r="CV736" i="5"/>
  <c r="CV667" i="5"/>
  <c r="ED1098" i="5"/>
  <c r="AF38" i="19"/>
  <c r="DA736" i="5"/>
  <c r="DA667" i="5"/>
  <c r="IL1063" i="5"/>
  <c r="IL1062" i="5" s="1"/>
  <c r="IL1053" i="5"/>
  <c r="AM1198" i="2"/>
  <c r="AL1939" i="2"/>
  <c r="P24" i="19"/>
  <c r="R24" i="19" s="1"/>
  <c r="AK1913" i="2"/>
  <c r="AJ1381" i="2"/>
  <c r="AJ1389" i="2" s="1"/>
  <c r="AJ1883" i="2"/>
  <c r="AJ1437" i="2"/>
  <c r="AJ1526" i="2" s="1"/>
  <c r="AK1421" i="2"/>
  <c r="AK1510" i="2" s="1"/>
  <c r="AK1879" i="2"/>
  <c r="AM1558" i="2"/>
  <c r="AK1441" i="2"/>
  <c r="AK1437" i="2" s="1"/>
  <c r="AK1526" i="2" s="1"/>
  <c r="AL1558" i="2"/>
  <c r="Z44" i="19"/>
  <c r="Z876" i="2"/>
  <c r="Z973" i="2" s="1"/>
  <c r="AR43" i="19"/>
  <c r="AP43" i="19"/>
  <c r="AS43" i="19" s="1"/>
  <c r="AG70" i="19"/>
  <c r="AJ70" i="19" s="1"/>
  <c r="AI70" i="19"/>
  <c r="Q70" i="19"/>
  <c r="P70" i="19"/>
  <c r="R70" i="19" s="1"/>
  <c r="JG621" i="5"/>
  <c r="JJ646" i="5"/>
  <c r="X1015" i="2"/>
  <c r="X1444" i="2"/>
  <c r="X1533" i="2" s="1"/>
  <c r="JP991" i="5"/>
  <c r="V1533" i="2"/>
  <c r="V1474" i="2"/>
  <c r="V1563" i="2" s="1"/>
  <c r="Z963" i="2"/>
  <c r="Z1009" i="2" s="1"/>
  <c r="AC1816" i="2"/>
  <c r="JG622" i="5"/>
  <c r="L39" i="7"/>
  <c r="IO658" i="5"/>
  <c r="AJ1685" i="2"/>
  <c r="JJ635" i="5"/>
  <c r="X1016" i="2"/>
  <c r="JA643" i="5"/>
  <c r="X1018" i="2"/>
  <c r="AH619" i="2"/>
  <c r="AH337" i="2"/>
  <c r="AI615" i="2"/>
  <c r="AI333" i="2"/>
  <c r="AJ615" i="2" s="1"/>
  <c r="AK615" i="2" s="1"/>
  <c r="AL615" i="2" s="1"/>
  <c r="JN610" i="5"/>
  <c r="JL610" i="5" s="1"/>
  <c r="JM610" i="5" s="1"/>
  <c r="AO443" i="2"/>
  <c r="JS788" i="5"/>
  <c r="AG329" i="2"/>
  <c r="AG755" i="2"/>
  <c r="AG339" i="2" s="1"/>
  <c r="JI591" i="5"/>
  <c r="JJ591" i="5" s="1"/>
  <c r="AM317" i="2"/>
  <c r="JI610" i="5"/>
  <c r="JJ610" i="5" s="1"/>
  <c r="JA635" i="5"/>
  <c r="JA728" i="5" s="1"/>
  <c r="AJ1705" i="2"/>
  <c r="JJ682" i="5"/>
  <c r="AK327" i="2"/>
  <c r="AK306" i="2"/>
  <c r="AK307" i="2" s="1"/>
  <c r="AK365" i="2"/>
  <c r="AK366" i="2"/>
  <c r="AK364" i="2"/>
  <c r="JN591" i="5"/>
  <c r="AN548" i="2"/>
  <c r="AN443" i="2"/>
  <c r="W1525" i="2"/>
  <c r="W1445" i="2"/>
  <c r="W1534" i="2" s="1"/>
  <c r="AO1129" i="2"/>
  <c r="JV823" i="5"/>
  <c r="AN1412" i="2"/>
  <c r="JC643" i="5"/>
  <c r="JC635" i="5" s="1"/>
  <c r="AO642" i="2"/>
  <c r="AO314" i="2"/>
  <c r="AN315" i="2" s="1"/>
  <c r="JJ694" i="5"/>
  <c r="AJ879" i="2"/>
  <c r="JK681" i="5"/>
  <c r="AJ980" i="2"/>
  <c r="AJ1029" i="2" s="1"/>
  <c r="JU921" i="5"/>
  <c r="JV921" i="5" s="1"/>
  <c r="AH626" i="2"/>
  <c r="AI625" i="2"/>
  <c r="AI343" i="2"/>
  <c r="AJ625" i="2" s="1"/>
  <c r="AH344" i="2"/>
  <c r="IN667" i="5"/>
  <c r="IN703" i="5" s="1"/>
  <c r="J109" i="7"/>
  <c r="JE635" i="5"/>
  <c r="JC728" i="5" s="1"/>
  <c r="AH961" i="2"/>
  <c r="AH1007" i="2" s="1"/>
  <c r="AJ752" i="2"/>
  <c r="JR991" i="5"/>
  <c r="JR990" i="5" s="1"/>
  <c r="JS990" i="5" s="1"/>
  <c r="JN682" i="5"/>
  <c r="AH341" i="2"/>
  <c r="AH347" i="2"/>
  <c r="AI622" i="2"/>
  <c r="AH629" i="2"/>
  <c r="AI340" i="2"/>
  <c r="AJ622" i="2" s="1"/>
  <c r="AH623" i="2"/>
  <c r="AL1500" i="2"/>
  <c r="AL1493" i="2"/>
  <c r="AF633" i="2"/>
  <c r="AG350" i="2"/>
  <c r="JN635" i="5"/>
  <c r="JX849" i="5"/>
  <c r="JY849" i="5" s="1"/>
  <c r="AO342" i="2"/>
  <c r="AO624" i="2"/>
  <c r="AM1411" i="2"/>
  <c r="AM1501" i="2"/>
  <c r="AE1816" i="2"/>
  <c r="JL694" i="5"/>
  <c r="JL682" i="5" s="1"/>
  <c r="AG342" i="2"/>
  <c r="AG912" i="2" s="1"/>
  <c r="AG624" i="2"/>
  <c r="AG630" i="2"/>
  <c r="AG348" i="2"/>
  <c r="AN642" i="2"/>
  <c r="AN360" i="2"/>
  <c r="W1524" i="2"/>
  <c r="W1444" i="2"/>
  <c r="JH643" i="5"/>
  <c r="AI842" i="2"/>
  <c r="AM385" i="2"/>
  <c r="AM684" i="2"/>
  <c r="L102" i="7"/>
  <c r="IO664" i="5"/>
  <c r="AL410" i="2"/>
  <c r="Z877" i="2"/>
  <c r="ID658" i="5"/>
  <c r="ID731" i="5" s="1"/>
  <c r="Z964" i="2"/>
  <c r="AK1706" i="2"/>
  <c r="AK434" i="2"/>
  <c r="AJ435" i="2"/>
  <c r="AI385" i="2"/>
  <c r="JH614" i="5"/>
  <c r="JG614" i="5" s="1"/>
  <c r="AI684" i="2"/>
  <c r="JL646" i="5"/>
  <c r="JL635" i="5" s="1"/>
  <c r="Y1844" i="2"/>
  <c r="Z1000" i="2"/>
  <c r="Z939" i="2"/>
  <c r="JF559" i="5"/>
  <c r="JG559" i="5" s="1"/>
  <c r="JM785" i="5"/>
  <c r="AM1093" i="2"/>
  <c r="JT787" i="5" s="1"/>
  <c r="AN545" i="2"/>
  <c r="JM799" i="5"/>
  <c r="JM903" i="5"/>
  <c r="JJ1067" i="5"/>
  <c r="AN480" i="2"/>
  <c r="JU791" i="5"/>
  <c r="AM1107" i="2"/>
  <c r="JT801" i="5" s="1"/>
  <c r="AN581" i="2"/>
  <c r="AN573" i="2"/>
  <c r="AM1105" i="2"/>
  <c r="JT799" i="5" s="1"/>
  <c r="AG377" i="2"/>
  <c r="IT553" i="5"/>
  <c r="Q10" i="7"/>
  <c r="AE995" i="2"/>
  <c r="AI1839" i="2"/>
  <c r="AI1861" i="2" s="1"/>
  <c r="IV552" i="5"/>
  <c r="AE743" i="2"/>
  <c r="AE945" i="2"/>
  <c r="AM1098" i="2"/>
  <c r="AN557" i="2"/>
  <c r="IU555" i="5"/>
  <c r="JM853" i="5"/>
  <c r="JM802" i="5"/>
  <c r="AM1106" i="2"/>
  <c r="JT800" i="5" s="1"/>
  <c r="AN577" i="2"/>
  <c r="JB608" i="5"/>
  <c r="AG808" i="2"/>
  <c r="JF595" i="5"/>
  <c r="JI622" i="5"/>
  <c r="JI621" i="5" s="1"/>
  <c r="JE556" i="5"/>
  <c r="AH748" i="2"/>
  <c r="JB573" i="5"/>
  <c r="AG765" i="2"/>
  <c r="T10" i="7"/>
  <c r="IW555" i="5"/>
  <c r="IW553" i="5" s="1"/>
  <c r="IW552" i="5" s="1"/>
  <c r="JM800" i="5"/>
  <c r="IZ556" i="5"/>
  <c r="JA556" i="5" s="1"/>
  <c r="JN622" i="5"/>
  <c r="JH556" i="5"/>
  <c r="AI748" i="2"/>
  <c r="AM1084" i="2"/>
  <c r="JT778" i="5" s="1"/>
  <c r="AN515" i="2"/>
  <c r="JM778" i="5"/>
  <c r="JM792" i="5"/>
  <c r="JD595" i="5"/>
  <c r="AM1091" i="2"/>
  <c r="JT785" i="5" s="1"/>
  <c r="AN537" i="2"/>
  <c r="AI695" i="2"/>
  <c r="AI395" i="2"/>
  <c r="AL1402" i="2"/>
  <c r="AL1491" i="2" s="1"/>
  <c r="IY553" i="5"/>
  <c r="AF946" i="2"/>
  <c r="AF995" i="2" s="1"/>
  <c r="AF745" i="2"/>
  <c r="AF366" i="2"/>
  <c r="AA1143" i="2"/>
  <c r="AB596" i="2"/>
  <c r="JM787" i="5"/>
  <c r="JB555" i="5"/>
  <c r="AG317" i="2"/>
  <c r="S8" i="7"/>
  <c r="IV716" i="5"/>
  <c r="JK595" i="5"/>
  <c r="AN476" i="2"/>
  <c r="JU768" i="5"/>
  <c r="JK607" i="5"/>
  <c r="AJ808" i="2"/>
  <c r="JK606" i="5" s="1"/>
  <c r="JS791" i="5"/>
  <c r="AM1108" i="2"/>
  <c r="JT802" i="5" s="1"/>
  <c r="AM1104" i="2"/>
  <c r="JT798" i="5" s="1"/>
  <c r="AN569" i="2"/>
  <c r="AI641" i="2"/>
  <c r="AH766" i="2"/>
  <c r="JE573" i="5" s="1"/>
  <c r="AI359" i="2"/>
  <c r="AJ641" i="2" s="1"/>
  <c r="JK621" i="5"/>
  <c r="AJ958" i="2"/>
  <c r="AJ1005" i="2" s="1"/>
  <c r="AJ695" i="2" s="1"/>
  <c r="JI1067" i="5"/>
  <c r="JM798" i="5"/>
  <c r="JM801" i="5"/>
  <c r="AJ1558" i="2"/>
  <c r="AJ1913" i="2"/>
  <c r="AH70" i="19" l="1"/>
  <c r="AT1274" i="2"/>
  <c r="AV1274" i="2" s="1"/>
  <c r="AU1274" i="2" s="1"/>
  <c r="AI1894" i="2"/>
  <c r="KO795" i="5"/>
  <c r="KM795" i="5" s="1"/>
  <c r="KN795" i="5" s="1"/>
  <c r="AV1213" i="2"/>
  <c r="AU1213" i="2" s="1"/>
  <c r="AT1652" i="2"/>
  <c r="T91" i="21"/>
  <c r="T87" i="21" s="1"/>
  <c r="T60" i="21" s="1"/>
  <c r="JN833" i="5"/>
  <c r="JW948" i="5"/>
  <c r="JW868" i="5"/>
  <c r="JU868" i="5" s="1"/>
  <c r="JV868" i="5" s="1"/>
  <c r="T101" i="21"/>
  <c r="T97" i="21" s="1"/>
  <c r="U97" i="21" s="1"/>
  <c r="JQ912" i="5"/>
  <c r="JO912" i="5" s="1"/>
  <c r="AH25" i="19"/>
  <c r="AH57" i="19"/>
  <c r="AH44" i="19"/>
  <c r="AH38" i="19"/>
  <c r="AI1889" i="2"/>
  <c r="AI1888" i="2"/>
  <c r="U82" i="21"/>
  <c r="Q87" i="21"/>
  <c r="R87" i="21" s="1"/>
  <c r="Y64" i="21" s="1"/>
  <c r="AM1233" i="2"/>
  <c r="V82" i="21"/>
  <c r="V86" i="21" s="1"/>
  <c r="V96" i="21"/>
  <c r="AO1159" i="2"/>
  <c r="BC1161" i="2" s="1"/>
  <c r="BC1162" i="2" s="1"/>
  <c r="W62" i="21"/>
  <c r="AK1909" i="2"/>
  <c r="AK1417" i="2"/>
  <c r="AK1506" i="2" s="1"/>
  <c r="Q97" i="21"/>
  <c r="R97" i="21" s="1"/>
  <c r="JQ890" i="5"/>
  <c r="JW845" i="5"/>
  <c r="JU845" i="5" s="1"/>
  <c r="JV845" i="5" s="1"/>
  <c r="W31" i="21"/>
  <c r="AL1138" i="2"/>
  <c r="T18" i="21"/>
  <c r="W20" i="19"/>
  <c r="X20" i="19" s="1"/>
  <c r="AA20" i="19" s="1"/>
  <c r="Q19" i="21"/>
  <c r="R19" i="21" s="1"/>
  <c r="AR1729" i="2"/>
  <c r="KO955" i="5"/>
  <c r="KM955" i="5" s="1"/>
  <c r="KN955" i="5" s="1"/>
  <c r="AV1276" i="2"/>
  <c r="AU1276" i="2" s="1"/>
  <c r="AM52" i="19"/>
  <c r="AN52" i="19" s="1"/>
  <c r="D66" i="19"/>
  <c r="D67" i="19" s="1"/>
  <c r="E67" i="19" s="1"/>
  <c r="G67" i="19" s="1"/>
  <c r="D59" i="19"/>
  <c r="D60" i="19" s="1"/>
  <c r="E24" i="19"/>
  <c r="G24" i="19" s="1"/>
  <c r="AL1139" i="2"/>
  <c r="W19" i="19"/>
  <c r="Y19" i="19" s="1"/>
  <c r="AQ1135" i="2"/>
  <c r="AR1135" i="2" s="1"/>
  <c r="AL592" i="2"/>
  <c r="JN891" i="5"/>
  <c r="W51" i="19"/>
  <c r="Y51" i="19" s="1"/>
  <c r="JN907" i="5"/>
  <c r="W61" i="19"/>
  <c r="AK518" i="2"/>
  <c r="AK1090" i="2"/>
  <c r="AN593" i="2"/>
  <c r="AQ1318" i="2"/>
  <c r="AR1318" i="2" s="1"/>
  <c r="AP507" i="2"/>
  <c r="AL1079" i="2"/>
  <c r="AN1375" i="2"/>
  <c r="AO1317" i="2"/>
  <c r="AP1317" i="2" s="1"/>
  <c r="KC991" i="5" s="1"/>
  <c r="AP1242" i="2"/>
  <c r="AQ1242" i="2" s="1"/>
  <c r="AM497" i="2"/>
  <c r="AM1141" i="2"/>
  <c r="JT835" i="5" s="1"/>
  <c r="KC834" i="5"/>
  <c r="KA834" i="5" s="1"/>
  <c r="KB834" i="5" s="1"/>
  <c r="AF1669" i="2"/>
  <c r="AD1369" i="2"/>
  <c r="AD1478" i="2" s="1"/>
  <c r="AD1565" i="2" s="1"/>
  <c r="AP1316" i="2"/>
  <c r="KC990" i="5" s="1"/>
  <c r="JT919" i="5"/>
  <c r="JT903" i="5"/>
  <c r="JR903" i="5" s="1"/>
  <c r="JT885" i="5"/>
  <c r="JR885" i="5" s="1"/>
  <c r="AK455" i="2"/>
  <c r="AH1912" i="2"/>
  <c r="AH1911" i="2" s="1"/>
  <c r="AH1557" i="2"/>
  <c r="AH1467" i="2"/>
  <c r="AH1556" i="2" s="1"/>
  <c r="AI1248" i="2"/>
  <c r="AI1447" i="2" s="1"/>
  <c r="AI1536" i="2" s="1"/>
  <c r="AI1366" i="2"/>
  <c r="AY10" i="19"/>
  <c r="BB10" i="19" s="1"/>
  <c r="BA10" i="19"/>
  <c r="AW10" i="19"/>
  <c r="AN10" i="19"/>
  <c r="AR10" i="19"/>
  <c r="AP10" i="19"/>
  <c r="AS10" i="19" s="1"/>
  <c r="AE1565" i="2"/>
  <c r="JT947" i="5"/>
  <c r="AD1370" i="2"/>
  <c r="AI1369" i="2"/>
  <c r="AI1478" i="2" s="1"/>
  <c r="AI1565" i="2" s="1"/>
  <c r="AH1368" i="2"/>
  <c r="JT792" i="5"/>
  <c r="JR792" i="5" s="1"/>
  <c r="AP1136" i="2"/>
  <c r="AQ1136" i="2" s="1"/>
  <c r="AP1130" i="2"/>
  <c r="AP1413" i="2" s="1"/>
  <c r="AP1502" i="2" s="1"/>
  <c r="JZ824" i="5"/>
  <c r="JY824" i="5" s="1"/>
  <c r="AQ1644" i="2"/>
  <c r="KI839" i="5"/>
  <c r="KG839" i="5" s="1"/>
  <c r="KH839" i="5" s="1"/>
  <c r="AP1152" i="2"/>
  <c r="AQ1152" i="2" s="1"/>
  <c r="JZ846" i="5"/>
  <c r="JX846" i="5" s="1"/>
  <c r="JY846" i="5" s="1"/>
  <c r="AP1129" i="2"/>
  <c r="KC823" i="5" s="1"/>
  <c r="JZ823" i="5"/>
  <c r="JY823" i="5" s="1"/>
  <c r="JW851" i="5"/>
  <c r="AO1269" i="2"/>
  <c r="AO1374" i="2"/>
  <c r="AK468" i="2"/>
  <c r="JN770" i="5"/>
  <c r="AO1725" i="2"/>
  <c r="JZ842" i="5"/>
  <c r="JX842" i="5" s="1"/>
  <c r="JY842" i="5" s="1"/>
  <c r="AP1148" i="2"/>
  <c r="AT532" i="2"/>
  <c r="KO790" i="5"/>
  <c r="KM790" i="5" s="1"/>
  <c r="KN790" i="5" s="1"/>
  <c r="AR1140" i="2"/>
  <c r="KF834" i="5"/>
  <c r="KD834" i="5" s="1"/>
  <c r="KE834" i="5" s="1"/>
  <c r="AK588" i="2"/>
  <c r="JN827" i="5"/>
  <c r="AR1155" i="2"/>
  <c r="KI849" i="5" s="1"/>
  <c r="KG849" i="5" s="1"/>
  <c r="KH849" i="5" s="1"/>
  <c r="AL552" i="2"/>
  <c r="JQ789" i="5"/>
  <c r="JO789" i="5" s="1"/>
  <c r="AQ1128" i="2"/>
  <c r="KC822" i="5"/>
  <c r="KB822" i="5" s="1"/>
  <c r="AR1137" i="2"/>
  <c r="KF831" i="5"/>
  <c r="KD831" i="5" s="1"/>
  <c r="KE831" i="5" s="1"/>
  <c r="JN773" i="5"/>
  <c r="BG72" i="19"/>
  <c r="JN779" i="5"/>
  <c r="AN1419" i="2"/>
  <c r="AN1508" i="2" s="1"/>
  <c r="AQ1420" i="2"/>
  <c r="AQ1509" i="2" s="1"/>
  <c r="AR1727" i="2"/>
  <c r="AP1728" i="2"/>
  <c r="AP1726" i="2" s="1"/>
  <c r="KE952" i="5"/>
  <c r="AS1728" i="2" s="1"/>
  <c r="AS1726" i="2" s="1"/>
  <c r="AT1727" i="2"/>
  <c r="AT1726" i="2" s="1"/>
  <c r="AR1728" i="2"/>
  <c r="AM1380" i="2"/>
  <c r="AM1388" i="2" s="1"/>
  <c r="AM1204" i="2"/>
  <c r="JT883" i="5" s="1"/>
  <c r="JT877" i="5"/>
  <c r="KL952" i="5"/>
  <c r="KJ952" i="5" s="1"/>
  <c r="KK952" i="5" s="1"/>
  <c r="AS1729" i="2"/>
  <c r="AP526" i="2"/>
  <c r="KC781" i="5"/>
  <c r="P20" i="19"/>
  <c r="R20" i="19" s="1"/>
  <c r="Q20" i="19"/>
  <c r="AQ720" i="2"/>
  <c r="AP719" i="2"/>
  <c r="AK496" i="2"/>
  <c r="AO70" i="19"/>
  <c r="AQ70" i="19" s="1"/>
  <c r="AK1697" i="2"/>
  <c r="AK1705" i="2" s="1"/>
  <c r="AK1707" i="2"/>
  <c r="AL1707" i="2"/>
  <c r="AL1705" i="2"/>
  <c r="JX950" i="5"/>
  <c r="JY950" i="5"/>
  <c r="AL1724" i="2"/>
  <c r="AL1722" i="2" s="1"/>
  <c r="AM72" i="19"/>
  <c r="AN72" i="19" s="1"/>
  <c r="JR948" i="5"/>
  <c r="AM1706" i="2"/>
  <c r="AM1723" i="2"/>
  <c r="JS948" i="5"/>
  <c r="JS947" i="5" s="1"/>
  <c r="AX71" i="19"/>
  <c r="AZ71" i="19" s="1"/>
  <c r="AN1268" i="2"/>
  <c r="AN1464" i="2"/>
  <c r="AR71" i="19"/>
  <c r="AP71" i="19"/>
  <c r="AS71" i="19" s="1"/>
  <c r="BA72" i="19"/>
  <c r="AY72" i="19"/>
  <c r="BB72" i="19" s="1"/>
  <c r="JU950" i="5"/>
  <c r="JV950" i="5"/>
  <c r="JO947" i="5"/>
  <c r="AD71" i="19"/>
  <c r="AE71" i="19" s="1"/>
  <c r="AM1463" i="2"/>
  <c r="AM1552" i="2" s="1"/>
  <c r="AM1553" i="2"/>
  <c r="AR527" i="2"/>
  <c r="AR1087" i="2" s="1"/>
  <c r="AO1673" i="2"/>
  <c r="AO1679" i="2" s="1"/>
  <c r="JP760" i="5"/>
  <c r="AN444" i="2"/>
  <c r="AM1066" i="2"/>
  <c r="JT760" i="5" s="1"/>
  <c r="AI1435" i="2"/>
  <c r="AI1524" i="2" s="1"/>
  <c r="AN447" i="2"/>
  <c r="AO448" i="2"/>
  <c r="AN1064" i="2"/>
  <c r="JW758" i="5" s="1"/>
  <c r="AN1065" i="2"/>
  <c r="JW759" i="5" s="1"/>
  <c r="AN451" i="2"/>
  <c r="AO452" i="2"/>
  <c r="AI1436" i="2"/>
  <c r="AI1525" i="2" s="1"/>
  <c r="AH1435" i="2"/>
  <c r="AH1524" i="2" s="1"/>
  <c r="JH1061" i="5"/>
  <c r="JQ1058" i="5"/>
  <c r="CB742" i="5"/>
  <c r="CB1254" i="5"/>
  <c r="CB1257" i="5" s="1"/>
  <c r="AE1669" i="2"/>
  <c r="IX1041" i="5"/>
  <c r="AG1669" i="2"/>
  <c r="AH1669" i="2"/>
  <c r="AA1227" i="2"/>
  <c r="AD1226" i="2"/>
  <c r="IY943" i="5"/>
  <c r="IQ927" i="5"/>
  <c r="AH1226" i="2"/>
  <c r="AH1227" i="2" s="1"/>
  <c r="IS1055" i="5"/>
  <c r="IS1063" i="5" s="1"/>
  <c r="AH1245" i="2"/>
  <c r="AA1262" i="2"/>
  <c r="AA1548" i="2" s="1"/>
  <c r="AE1264" i="2"/>
  <c r="AE1461" i="2" s="1"/>
  <c r="IS924" i="5"/>
  <c r="AD1245" i="2" s="1"/>
  <c r="AD1265" i="2" s="1"/>
  <c r="AA1264" i="2"/>
  <c r="AA1550" i="2" s="1"/>
  <c r="IQ930" i="5"/>
  <c r="AA1261" i="2"/>
  <c r="AA1547" i="2" s="1"/>
  <c r="AF1261" i="2"/>
  <c r="AF1547" i="2" s="1"/>
  <c r="IV1060" i="5"/>
  <c r="IV1061" i="5" s="1"/>
  <c r="AE1254" i="2"/>
  <c r="AE1542" i="2" s="1"/>
  <c r="AE1258" i="2"/>
  <c r="AE1262" i="2"/>
  <c r="AE1459" i="2" s="1"/>
  <c r="AE1265" i="2"/>
  <c r="AE1462" i="2" s="1"/>
  <c r="AE1261" i="2"/>
  <c r="AE1547" i="2" s="1"/>
  <c r="AE1263" i="2"/>
  <c r="AE1549" i="2" s="1"/>
  <c r="AE1971" i="2"/>
  <c r="JM767" i="5"/>
  <c r="JM762" i="5"/>
  <c r="JM789" i="5"/>
  <c r="JR762" i="5"/>
  <c r="JS762" i="5" s="1"/>
  <c r="JX788" i="5"/>
  <c r="JU788" i="5"/>
  <c r="JV788" i="5" s="1"/>
  <c r="AN553" i="2"/>
  <c r="AI1639" i="2"/>
  <c r="AK1418" i="2"/>
  <c r="AK1507" i="2" s="1"/>
  <c r="O7" i="19"/>
  <c r="N7" i="19" s="1"/>
  <c r="AO476" i="2"/>
  <c r="AJ1675" i="2"/>
  <c r="IB929" i="5"/>
  <c r="IJ925" i="5"/>
  <c r="AA1246" i="2" s="1"/>
  <c r="IQ928" i="5"/>
  <c r="IB928" i="5"/>
  <c r="IB927" i="5"/>
  <c r="IO930" i="5"/>
  <c r="IY925" i="5"/>
  <c r="IY1091" i="5" s="1"/>
  <c r="JY882" i="5"/>
  <c r="BE43" i="19"/>
  <c r="BF43" i="19" s="1"/>
  <c r="IJ1084" i="5"/>
  <c r="IE667" i="5"/>
  <c r="IE738" i="5" s="1"/>
  <c r="IE927" i="5"/>
  <c r="IG924" i="5"/>
  <c r="Z1245" i="2" s="1"/>
  <c r="IE929" i="5"/>
  <c r="JV882" i="5"/>
  <c r="AV43" i="19"/>
  <c r="AW43" i="19" s="1"/>
  <c r="BA43" i="19"/>
  <c r="BH43" i="19"/>
  <c r="BK43" i="19" s="1"/>
  <c r="AP31" i="19"/>
  <c r="AS31" i="19" s="1"/>
  <c r="AN31" i="19"/>
  <c r="IO929" i="5"/>
  <c r="IW929" i="5"/>
  <c r="IE930" i="5"/>
  <c r="IW927" i="5"/>
  <c r="IE928" i="5"/>
  <c r="IW1041" i="5"/>
  <c r="IX927" i="5"/>
  <c r="IY1085" i="5"/>
  <c r="IR1041" i="5"/>
  <c r="IW928" i="5"/>
  <c r="IY928" i="5" s="1"/>
  <c r="IK929" i="5"/>
  <c r="IK928" i="5"/>
  <c r="IK927" i="5"/>
  <c r="AP460" i="2"/>
  <c r="AQ460" i="2" s="1"/>
  <c r="IC927" i="5"/>
  <c r="AM1095" i="2"/>
  <c r="IC929" i="5"/>
  <c r="I700" i="5"/>
  <c r="IC930" i="5"/>
  <c r="I742" i="5"/>
  <c r="IM924" i="5"/>
  <c r="IM1090" i="5" s="1"/>
  <c r="ID924" i="5"/>
  <c r="ID1090" i="5" s="1"/>
  <c r="AC1226" i="2"/>
  <c r="Z1253" i="2"/>
  <c r="Z1262" i="2" s="1"/>
  <c r="Z1548" i="2" s="1"/>
  <c r="N742" i="5"/>
  <c r="N1254" i="5"/>
  <c r="N1257" i="5" s="1"/>
  <c r="IS714" i="5"/>
  <c r="IO927" i="5"/>
  <c r="AE1227" i="2"/>
  <c r="IX930" i="5"/>
  <c r="IY930" i="5" s="1"/>
  <c r="IY942" i="5"/>
  <c r="IU1061" i="5"/>
  <c r="IV1084" i="5"/>
  <c r="IR930" i="5"/>
  <c r="IR928" i="5"/>
  <c r="IR927" i="5"/>
  <c r="AF1226" i="2"/>
  <c r="IX929" i="5"/>
  <c r="IY924" i="5"/>
  <c r="IY1090" i="5" s="1"/>
  <c r="IV925" i="5"/>
  <c r="IV1091" i="5" s="1"/>
  <c r="IR929" i="5"/>
  <c r="IY940" i="5"/>
  <c r="X63" i="19"/>
  <c r="AA63" i="19" s="1"/>
  <c r="JE1041" i="5"/>
  <c r="P61" i="19"/>
  <c r="R61" i="19" s="1"/>
  <c r="N61" i="19"/>
  <c r="IV1048" i="5"/>
  <c r="IV1052" i="5" s="1"/>
  <c r="AO1413" i="2"/>
  <c r="AO1502" i="2" s="1"/>
  <c r="IJ1066" i="5"/>
  <c r="AN1068" i="2"/>
  <c r="JW762" i="5" s="1"/>
  <c r="Y1226" i="2"/>
  <c r="Q22" i="19"/>
  <c r="N22" i="19"/>
  <c r="Q51" i="19"/>
  <c r="N51" i="19"/>
  <c r="Z50" i="19"/>
  <c r="AM603" i="2"/>
  <c r="AK1067" i="2"/>
  <c r="JN761" i="5" s="1"/>
  <c r="AO1151" i="2"/>
  <c r="AC1887" i="2"/>
  <c r="AL456" i="2"/>
  <c r="JP919" i="5"/>
  <c r="AY43" i="19"/>
  <c r="BB43" i="19" s="1"/>
  <c r="BJ43" i="19"/>
  <c r="X24" i="19"/>
  <c r="AA24" i="19" s="1"/>
  <c r="AB1467" i="2"/>
  <c r="AB1556" i="2" s="1"/>
  <c r="AN1660" i="2"/>
  <c r="AD1888" i="2"/>
  <c r="AH1484" i="2"/>
  <c r="AK1070" i="2"/>
  <c r="AE1395" i="2"/>
  <c r="AE1484" i="2" s="1"/>
  <c r="AH1436" i="2"/>
  <c r="AH1525" i="2" s="1"/>
  <c r="AL1149" i="2"/>
  <c r="AC1889" i="2"/>
  <c r="AC1435" i="2"/>
  <c r="AC1444" i="2" s="1"/>
  <c r="AC1533" i="2" s="1"/>
  <c r="AC1436" i="2"/>
  <c r="AC1525" i="2" s="1"/>
  <c r="E84" i="19"/>
  <c r="G84" i="19" s="1"/>
  <c r="D83" i="19"/>
  <c r="F83" i="19" s="1"/>
  <c r="P22" i="19"/>
  <c r="R22" i="19" s="1"/>
  <c r="X50" i="19"/>
  <c r="AA50" i="19" s="1"/>
  <c r="F66" i="19"/>
  <c r="F67" i="19" s="1"/>
  <c r="AJ1904" i="2"/>
  <c r="AK1910" i="2"/>
  <c r="AK1132" i="2"/>
  <c r="O18" i="19"/>
  <c r="AK488" i="2"/>
  <c r="U38" i="19"/>
  <c r="V38" i="19" s="1"/>
  <c r="U44" i="19"/>
  <c r="V44" i="19" s="1"/>
  <c r="AJ1399" i="2"/>
  <c r="AJ1488" i="2" s="1"/>
  <c r="Z1467" i="2"/>
  <c r="Z1556" i="2" s="1"/>
  <c r="AA1467" i="2"/>
  <c r="AA1556" i="2" s="1"/>
  <c r="AN1240" i="2"/>
  <c r="AA1666" i="2"/>
  <c r="Z1669" i="2"/>
  <c r="AA1669" i="2"/>
  <c r="AL1658" i="2"/>
  <c r="AO44" i="19"/>
  <c r="AQ44" i="19" s="1"/>
  <c r="Z24" i="19"/>
  <c r="P51" i="19"/>
  <c r="R51" i="19" s="1"/>
  <c r="AN1206" i="2"/>
  <c r="AL1654" i="2"/>
  <c r="Z63" i="19"/>
  <c r="Q61" i="19"/>
  <c r="AO459" i="2"/>
  <c r="AR598" i="2"/>
  <c r="AF63" i="19"/>
  <c r="AX25" i="19"/>
  <c r="AZ25" i="19" s="1"/>
  <c r="AM1646" i="2"/>
  <c r="O54" i="19"/>
  <c r="AI1662" i="2"/>
  <c r="AI1663" i="2" s="1"/>
  <c r="AI1645" i="2"/>
  <c r="AA1542" i="2"/>
  <c r="AD1668" i="2"/>
  <c r="AD1669" i="2" s="1"/>
  <c r="AC1668" i="2"/>
  <c r="AC1669" i="2" s="1"/>
  <c r="AB1666" i="2"/>
  <c r="AB1670" i="2" s="1"/>
  <c r="AA1382" i="2"/>
  <c r="AA1390" i="2" s="1"/>
  <c r="AA1479" i="2" s="1"/>
  <c r="AA1566" i="2" s="1"/>
  <c r="Z1666" i="2"/>
  <c r="Y1669" i="2"/>
  <c r="AI1659" i="2"/>
  <c r="AJ1653" i="2"/>
  <c r="AD1889" i="2"/>
  <c r="AI1643" i="2"/>
  <c r="IS1085" i="5"/>
  <c r="JH928" i="5"/>
  <c r="IT928" i="5"/>
  <c r="IX1069" i="5"/>
  <c r="AM1431" i="2"/>
  <c r="AM1520" i="2" s="1"/>
  <c r="IT1041" i="5"/>
  <c r="IV1041" i="5" s="1"/>
  <c r="AM1211" i="2"/>
  <c r="IV924" i="5"/>
  <c r="AE1245" i="2" s="1"/>
  <c r="AE1366" i="2" s="1"/>
  <c r="IT927" i="5"/>
  <c r="GL1241" i="5"/>
  <c r="GL1257" i="5" s="1"/>
  <c r="GM1244" i="5"/>
  <c r="GM1242" i="5" s="1"/>
  <c r="GM1250" i="5"/>
  <c r="GM1249" i="5" s="1"/>
  <c r="Z1227" i="2"/>
  <c r="DI667" i="5"/>
  <c r="DI681" i="5" s="1"/>
  <c r="DI700" i="5" s="1"/>
  <c r="IX1061" i="5"/>
  <c r="JH934" i="5"/>
  <c r="IS925" i="5"/>
  <c r="IS1091" i="5" s="1"/>
  <c r="IE1041" i="5"/>
  <c r="IE1098" i="5" s="1"/>
  <c r="AM665" i="2"/>
  <c r="AL1228" i="2"/>
  <c r="AL1441" i="2"/>
  <c r="AL1942" i="2"/>
  <c r="AF50" i="19"/>
  <c r="KC892" i="5"/>
  <c r="BG52" i="19"/>
  <c r="BI52" i="19" s="1"/>
  <c r="AY52" i="19"/>
  <c r="BB52" i="19" s="1"/>
  <c r="BA52" i="19"/>
  <c r="AI38" i="19"/>
  <c r="AG38" i="19"/>
  <c r="AJ38" i="19" s="1"/>
  <c r="AI1254" i="2"/>
  <c r="AI1453" i="2" s="1"/>
  <c r="AI1261" i="2"/>
  <c r="AI1547" i="2" s="1"/>
  <c r="E1212" i="2"/>
  <c r="DG738" i="5"/>
  <c r="ID925" i="5"/>
  <c r="ID1091" i="5" s="1"/>
  <c r="V700" i="5"/>
  <c r="V742" i="5"/>
  <c r="V1254" i="5"/>
  <c r="V1257" i="5" s="1"/>
  <c r="Y1254" i="2"/>
  <c r="AI1263" i="2"/>
  <c r="AI1549" i="2" s="1"/>
  <c r="AI1971" i="2"/>
  <c r="JH940" i="5"/>
  <c r="Z1226" i="2"/>
  <c r="AI1368" i="2"/>
  <c r="AI1250" i="2"/>
  <c r="AI1449" i="2" s="1"/>
  <c r="AI1538" i="2" s="1"/>
  <c r="AI1452" i="2"/>
  <c r="AI1541" i="2" s="1"/>
  <c r="AI1265" i="2"/>
  <c r="AI1551" i="2" s="1"/>
  <c r="AI1256" i="2"/>
  <c r="JH925" i="5"/>
  <c r="AI1251" i="2"/>
  <c r="IH664" i="5"/>
  <c r="IH736" i="5" s="1"/>
  <c r="IH730" i="5"/>
  <c r="D102" i="7"/>
  <c r="E102" i="7" s="1"/>
  <c r="ID1085" i="5"/>
  <c r="JH941" i="5"/>
  <c r="AI1262" i="2"/>
  <c r="AI1459" i="2" s="1"/>
  <c r="IQ1041" i="5"/>
  <c r="JH943" i="5"/>
  <c r="CE667" i="5"/>
  <c r="CE681" i="5" s="1"/>
  <c r="AL700" i="5"/>
  <c r="AL742" i="5"/>
  <c r="AL1254" i="5"/>
  <c r="AL1257" i="5" s="1"/>
  <c r="IH1041" i="5"/>
  <c r="IM1061" i="5"/>
  <c r="IM1085" i="5"/>
  <c r="AI1249" i="2"/>
  <c r="AI1448" i="2" s="1"/>
  <c r="AI1537" i="2" s="1"/>
  <c r="AR742" i="5"/>
  <c r="AR700" i="5"/>
  <c r="AR1254" i="5"/>
  <c r="AR1257" i="5" s="1"/>
  <c r="IM1084" i="5"/>
  <c r="BD742" i="5"/>
  <c r="BD700" i="5"/>
  <c r="BD1254" i="5"/>
  <c r="BD1257" i="5" s="1"/>
  <c r="IT930" i="5"/>
  <c r="JH935" i="5"/>
  <c r="JH929" i="5"/>
  <c r="BG742" i="5"/>
  <c r="BG1254" i="5"/>
  <c r="BG1257" i="5" s="1"/>
  <c r="BG700" i="5"/>
  <c r="H1254" i="5"/>
  <c r="H1257" i="5" s="1"/>
  <c r="H700" i="5"/>
  <c r="H742" i="5"/>
  <c r="IM1053" i="5"/>
  <c r="IM1062" i="5"/>
  <c r="IM658" i="5"/>
  <c r="IM731" i="5" s="1"/>
  <c r="IP1053" i="5"/>
  <c r="IP1062" i="5"/>
  <c r="IG1066" i="5"/>
  <c r="AL1212" i="2"/>
  <c r="CQ738" i="5"/>
  <c r="AE1912" i="2"/>
  <c r="AC1227" i="2"/>
  <c r="AB1435" i="2"/>
  <c r="AB1524" i="2" s="1"/>
  <c r="AX700" i="5"/>
  <c r="AX742" i="5"/>
  <c r="AX1254" i="5"/>
  <c r="AX1257" i="5" s="1"/>
  <c r="IG925" i="5"/>
  <c r="IG1091" i="5" s="1"/>
  <c r="AO548" i="2"/>
  <c r="AI1255" i="2"/>
  <c r="AI1259" i="2"/>
  <c r="AI1456" i="2" s="1"/>
  <c r="AI1545" i="2" s="1"/>
  <c r="AI44" i="19"/>
  <c r="AG44" i="19"/>
  <c r="AJ44" i="19" s="1"/>
  <c r="AO38" i="19"/>
  <c r="AQ38" i="19" s="1"/>
  <c r="AP584" i="2"/>
  <c r="AP1402" i="2"/>
  <c r="AP1491" i="2" s="1"/>
  <c r="AR585" i="2"/>
  <c r="AQ1108" i="2"/>
  <c r="KF802" i="5" s="1"/>
  <c r="KD802" i="5" s="1"/>
  <c r="KE802" i="5" s="1"/>
  <c r="AO480" i="2"/>
  <c r="AB1436" i="2"/>
  <c r="AB1525" i="2" s="1"/>
  <c r="AI1246" i="2"/>
  <c r="AQ481" i="2"/>
  <c r="AP1097" i="2"/>
  <c r="AP1074" i="2"/>
  <c r="AQ477" i="2"/>
  <c r="AT1147" i="2"/>
  <c r="AV1147" i="2" s="1"/>
  <c r="AU1147" i="2" s="1"/>
  <c r="AS1145" i="2"/>
  <c r="AQ549" i="2"/>
  <c r="AP1094" i="2"/>
  <c r="AR31" i="19"/>
  <c r="AX31" i="19"/>
  <c r="AO57" i="19"/>
  <c r="AQ57" i="19" s="1"/>
  <c r="IB1041" i="5"/>
  <c r="JH944" i="5"/>
  <c r="II927" i="5"/>
  <c r="IC1041" i="5"/>
  <c r="IN1041" i="5"/>
  <c r="JS845" i="5"/>
  <c r="AM23" i="19"/>
  <c r="AN23" i="19" s="1"/>
  <c r="AN1427" i="2"/>
  <c r="AN1516" i="2" s="1"/>
  <c r="AO1187" i="2"/>
  <c r="JP903" i="5"/>
  <c r="AD57" i="19"/>
  <c r="AE57" i="19" s="1"/>
  <c r="JS892" i="5"/>
  <c r="JP885" i="5"/>
  <c r="AD44" i="19"/>
  <c r="AE44" i="19" s="1"/>
  <c r="DH738" i="5"/>
  <c r="DH681" i="5"/>
  <c r="BT700" i="5"/>
  <c r="BT742" i="5"/>
  <c r="BT1254" i="5"/>
  <c r="BT1257" i="5" s="1"/>
  <c r="IJ924" i="5"/>
  <c r="AA1245" i="2" s="1"/>
  <c r="AA1436" i="2"/>
  <c r="AA1525" i="2" s="1"/>
  <c r="AJ1907" i="2"/>
  <c r="AA1484" i="2"/>
  <c r="AM679" i="2"/>
  <c r="AM1952" i="2"/>
  <c r="AM1433" i="2"/>
  <c r="AM1522" i="2" s="1"/>
  <c r="AN1224" i="2"/>
  <c r="AN1652" i="2"/>
  <c r="AN1651" i="2"/>
  <c r="JU892" i="5"/>
  <c r="AI57" i="19"/>
  <c r="AG57" i="19"/>
  <c r="AJ57" i="19" s="1"/>
  <c r="JM877" i="5"/>
  <c r="JM1058" i="5" s="1"/>
  <c r="AK1686" i="2"/>
  <c r="JM885" i="5"/>
  <c r="Y1484" i="2"/>
  <c r="Y1435" i="2"/>
  <c r="Y1524" i="2" s="1"/>
  <c r="IL665" i="5"/>
  <c r="I110" i="7" s="1"/>
  <c r="K110" i="7" s="1"/>
  <c r="AE1254" i="5"/>
  <c r="AE1257" i="5" s="1"/>
  <c r="AE742" i="5"/>
  <c r="AE700" i="5"/>
  <c r="AK742" i="5"/>
  <c r="AK1254" i="5"/>
  <c r="AK1257" i="5" s="1"/>
  <c r="AK700" i="5"/>
  <c r="R1254" i="5"/>
  <c r="R1257" i="5" s="1"/>
  <c r="R742" i="5"/>
  <c r="R700" i="5"/>
  <c r="AK484" i="2"/>
  <c r="IS657" i="5"/>
  <c r="IS730" i="5" s="1"/>
  <c r="II928" i="5"/>
  <c r="BA700" i="5"/>
  <c r="BA1254" i="5"/>
  <c r="BA1257" i="5" s="1"/>
  <c r="BA742" i="5"/>
  <c r="AM485" i="2"/>
  <c r="AL1075" i="2"/>
  <c r="JQ769" i="5" s="1"/>
  <c r="II930" i="5"/>
  <c r="AE1894" i="2"/>
  <c r="AH700" i="5"/>
  <c r="AH1254" i="5"/>
  <c r="AH1257" i="5" s="1"/>
  <c r="AH742" i="5"/>
  <c r="BB700" i="5"/>
  <c r="BB1254" i="5"/>
  <c r="BB1257" i="5" s="1"/>
  <c r="BB742" i="5"/>
  <c r="AF1254" i="5"/>
  <c r="AF1257" i="5" s="1"/>
  <c r="AF742" i="5"/>
  <c r="AF700" i="5"/>
  <c r="IN928" i="5"/>
  <c r="IV1057" i="5"/>
  <c r="IU1055" i="5"/>
  <c r="IU1066" i="5"/>
  <c r="AF1970" i="2"/>
  <c r="Y1263" i="2"/>
  <c r="Y1549" i="2" s="1"/>
  <c r="AD1025" i="2"/>
  <c r="AG1856" i="2"/>
  <c r="Y1261" i="2"/>
  <c r="Y1547" i="2" s="1"/>
  <c r="CG667" i="5"/>
  <c r="CG736" i="5"/>
  <c r="Y1264" i="2"/>
  <c r="Y1550" i="2" s="1"/>
  <c r="IN929" i="5"/>
  <c r="DJ738" i="5"/>
  <c r="DJ681" i="5"/>
  <c r="BQ700" i="5"/>
  <c r="BQ1254" i="5"/>
  <c r="BQ1257" i="5" s="1"/>
  <c r="BQ742" i="5"/>
  <c r="IP924" i="5"/>
  <c r="AC1245" i="2" s="1"/>
  <c r="AL1085" i="2"/>
  <c r="AL1090" i="2" s="1"/>
  <c r="AM519" i="2"/>
  <c r="AE1889" i="2"/>
  <c r="IN927" i="5"/>
  <c r="AF1435" i="2"/>
  <c r="AF1524" i="2" s="1"/>
  <c r="AF1894" i="2"/>
  <c r="AE1887" i="2"/>
  <c r="AF1436" i="2"/>
  <c r="AF1525" i="2" s="1"/>
  <c r="M1254" i="5"/>
  <c r="M1257" i="5" s="1"/>
  <c r="M742" i="5"/>
  <c r="M700" i="5"/>
  <c r="LA742" i="5"/>
  <c r="LA700" i="5"/>
  <c r="BS742" i="5"/>
  <c r="BS700" i="5"/>
  <c r="BS1254" i="5"/>
  <c r="BS1257" i="5" s="1"/>
  <c r="AD1029" i="2"/>
  <c r="AG1858" i="2"/>
  <c r="AG1867" i="2" s="1"/>
  <c r="AN473" i="2"/>
  <c r="AM1073" i="2"/>
  <c r="JT767" i="5" s="1"/>
  <c r="AF1887" i="2"/>
  <c r="BN700" i="5"/>
  <c r="BN1254" i="5"/>
  <c r="BN1257" i="5" s="1"/>
  <c r="BN742" i="5"/>
  <c r="AF1444" i="2"/>
  <c r="AF1533" i="2" s="1"/>
  <c r="AF1889" i="2"/>
  <c r="IL1041" i="5"/>
  <c r="AL472" i="2"/>
  <c r="IF1041" i="5"/>
  <c r="IF1098" i="5" s="1"/>
  <c r="DL738" i="5"/>
  <c r="DL681" i="5"/>
  <c r="IF930" i="5"/>
  <c r="CN738" i="5"/>
  <c r="CN681" i="5"/>
  <c r="BZ700" i="5"/>
  <c r="BZ1254" i="5"/>
  <c r="BZ1257" i="5" s="1"/>
  <c r="BZ742" i="5"/>
  <c r="CY681" i="5"/>
  <c r="CY738" i="5"/>
  <c r="AD1524" i="2"/>
  <c r="AD1444" i="2"/>
  <c r="AD1533" i="2" s="1"/>
  <c r="L742" i="5"/>
  <c r="L1254" i="5"/>
  <c r="L1257" i="5" s="1"/>
  <c r="L700" i="5"/>
  <c r="IP925" i="5"/>
  <c r="AC1246" i="2" s="1"/>
  <c r="AU700" i="5"/>
  <c r="AU1254" i="5"/>
  <c r="AU1257" i="5" s="1"/>
  <c r="AU742" i="5"/>
  <c r="AB714" i="2"/>
  <c r="AB406" i="2"/>
  <c r="AC713" i="2"/>
  <c r="AC405" i="2"/>
  <c r="AD1445" i="2"/>
  <c r="AD1534" i="2" s="1"/>
  <c r="AD1525" i="2"/>
  <c r="CM667" i="5"/>
  <c r="CM736" i="5"/>
  <c r="BX700" i="5"/>
  <c r="BX742" i="5"/>
  <c r="BX1254" i="5"/>
  <c r="BX1257" i="5" s="1"/>
  <c r="Y1525" i="2"/>
  <c r="Y1445" i="2"/>
  <c r="Y1534" i="2" s="1"/>
  <c r="IK1041" i="5"/>
  <c r="Z1484" i="2"/>
  <c r="Z1436" i="2"/>
  <c r="Z1435" i="2"/>
  <c r="CH738" i="5"/>
  <c r="CH681" i="5"/>
  <c r="CK681" i="5"/>
  <c r="CK738" i="5"/>
  <c r="AJ1415" i="2"/>
  <c r="AJ1504" i="2" s="1"/>
  <c r="II1041" i="5"/>
  <c r="CF681" i="5"/>
  <c r="CF738" i="5"/>
  <c r="AF1557" i="2"/>
  <c r="AF1467" i="2"/>
  <c r="AF1556" i="2" s="1"/>
  <c r="AF1912" i="2"/>
  <c r="CP681" i="5"/>
  <c r="CP738" i="5"/>
  <c r="AD1262" i="2"/>
  <c r="AD1254" i="2"/>
  <c r="AD1263" i="2"/>
  <c r="AD1452" i="2"/>
  <c r="AD1541" i="2" s="1"/>
  <c r="AD1264" i="2"/>
  <c r="AD1261" i="2"/>
  <c r="KZ742" i="5"/>
  <c r="KZ700" i="5"/>
  <c r="AE640" i="2"/>
  <c r="AF357" i="2"/>
  <c r="DS736" i="5"/>
  <c r="DS700" i="5"/>
  <c r="AF1558" i="2"/>
  <c r="AF1913" i="2"/>
  <c r="AS700" i="5"/>
  <c r="AS1254" i="5"/>
  <c r="AS1257" i="5" s="1"/>
  <c r="AS742" i="5"/>
  <c r="BK1254" i="5"/>
  <c r="BK1257" i="5" s="1"/>
  <c r="BK700" i="5"/>
  <c r="BK742" i="5"/>
  <c r="CL681" i="5"/>
  <c r="CL738" i="5"/>
  <c r="DD681" i="5"/>
  <c r="DD738" i="5"/>
  <c r="AA1444" i="2"/>
  <c r="AA1524" i="2"/>
  <c r="CZ700" i="5"/>
  <c r="CZ1254" i="5"/>
  <c r="CZ1257" i="5" s="1"/>
  <c r="CZ742" i="5"/>
  <c r="DC738" i="5"/>
  <c r="DC681" i="5"/>
  <c r="IQ1053" i="5"/>
  <c r="K700" i="5"/>
  <c r="K742" i="5"/>
  <c r="K1254" i="5"/>
  <c r="K1257" i="5" s="1"/>
  <c r="CD742" i="5"/>
  <c r="CD700" i="5"/>
  <c r="CD1254" i="5"/>
  <c r="CD1257" i="5" s="1"/>
  <c r="IF927" i="5"/>
  <c r="AA1629" i="2"/>
  <c r="BY742" i="5"/>
  <c r="BY700" i="5"/>
  <c r="BY1254" i="5"/>
  <c r="BY1257" i="5" s="1"/>
  <c r="IL927" i="5"/>
  <c r="IL928" i="5"/>
  <c r="IL929" i="5"/>
  <c r="IL930" i="5"/>
  <c r="CI736" i="5"/>
  <c r="CI667" i="5"/>
  <c r="AE1913" i="2"/>
  <c r="AE1558" i="2"/>
  <c r="AE1467" i="2"/>
  <c r="AE1556" i="2" s="1"/>
  <c r="BC742" i="5"/>
  <c r="BC1254" i="5"/>
  <c r="BC1257" i="5" s="1"/>
  <c r="BC700" i="5"/>
  <c r="IF928" i="5"/>
  <c r="DM681" i="5"/>
  <c r="DM738" i="5"/>
  <c r="IF929" i="5"/>
  <c r="IS658" i="5"/>
  <c r="P103" i="7" s="1"/>
  <c r="AD1469" i="2"/>
  <c r="AD1890" i="2"/>
  <c r="AD1894" i="2" s="1"/>
  <c r="CS738" i="5"/>
  <c r="CS681" i="5"/>
  <c r="IO1041" i="5"/>
  <c r="CW681" i="5"/>
  <c r="CW738" i="5"/>
  <c r="IF1090" i="5"/>
  <c r="CC1254" i="5"/>
  <c r="CC1257" i="5" s="1"/>
  <c r="CC742" i="5"/>
  <c r="CC700" i="5"/>
  <c r="IM925" i="5"/>
  <c r="AD1629" i="2"/>
  <c r="IJ658" i="5"/>
  <c r="IJ731" i="5" s="1"/>
  <c r="AY742" i="5"/>
  <c r="AY700" i="5"/>
  <c r="AY1254" i="5"/>
  <c r="AY1257" i="5" s="1"/>
  <c r="KY700" i="5"/>
  <c r="KY742" i="5"/>
  <c r="IJ657" i="5"/>
  <c r="IJ714" i="5"/>
  <c r="IM657" i="5"/>
  <c r="IM730" i="5" s="1"/>
  <c r="G102" i="7"/>
  <c r="AB1036" i="2"/>
  <c r="AB1037" i="2" s="1"/>
  <c r="IK664" i="5"/>
  <c r="IK730" i="5"/>
  <c r="Q1254" i="5"/>
  <c r="Q1257" i="5" s="1"/>
  <c r="Q742" i="5"/>
  <c r="Q700" i="5"/>
  <c r="C110" i="7"/>
  <c r="IF737" i="5"/>
  <c r="AC1549" i="2"/>
  <c r="AC1460" i="2"/>
  <c r="AB1382" i="2"/>
  <c r="AB1542" i="2"/>
  <c r="AB1453" i="2"/>
  <c r="N142" i="7"/>
  <c r="IS700" i="5"/>
  <c r="P142" i="7" s="1"/>
  <c r="AA958" i="2"/>
  <c r="AA786" i="2"/>
  <c r="AA953" i="2" s="1"/>
  <c r="D103" i="7"/>
  <c r="E103" i="7" s="1"/>
  <c r="IH665" i="5"/>
  <c r="IH731" i="5"/>
  <c r="DN736" i="5"/>
  <c r="DN667" i="5"/>
  <c r="CR681" i="5"/>
  <c r="CR738" i="5"/>
  <c r="AE635" i="2"/>
  <c r="AE353" i="2"/>
  <c r="CJ738" i="5"/>
  <c r="CJ681" i="5"/>
  <c r="IG1069" i="5"/>
  <c r="IG1061" i="5"/>
  <c r="AB1452" i="2"/>
  <c r="AB1541" i="2" s="1"/>
  <c r="AB1263" i="2"/>
  <c r="AB1262" i="2"/>
  <c r="AB1261" i="2"/>
  <c r="AB1264" i="2"/>
  <c r="AA945" i="2"/>
  <c r="AA743" i="2"/>
  <c r="AA864" i="2"/>
  <c r="AA862" i="2"/>
  <c r="DG700" i="5"/>
  <c r="DG742" i="5"/>
  <c r="DG1254" i="5"/>
  <c r="DG1257" i="5" s="1"/>
  <c r="AH1264" i="2"/>
  <c r="AH1262" i="2"/>
  <c r="AC1548" i="2"/>
  <c r="AC1459" i="2"/>
  <c r="CV681" i="5"/>
  <c r="CV738" i="5"/>
  <c r="AA995" i="2"/>
  <c r="AA1839" i="2"/>
  <c r="AA1861" i="2" s="1"/>
  <c r="DF738" i="5"/>
  <c r="DF681" i="5"/>
  <c r="II664" i="5"/>
  <c r="F102" i="7"/>
  <c r="II730" i="5"/>
  <c r="IJ1069" i="5"/>
  <c r="IJ1061" i="5"/>
  <c r="CX742" i="5"/>
  <c r="CX1254" i="5"/>
  <c r="CX1257" i="5" s="1"/>
  <c r="CX700" i="5"/>
  <c r="IY1069" i="5"/>
  <c r="IY1061" i="5"/>
  <c r="AM589" i="2"/>
  <c r="I102" i="7"/>
  <c r="K102" i="7" s="1"/>
  <c r="IL664" i="5"/>
  <c r="AK1908" i="2"/>
  <c r="AK1416" i="2"/>
  <c r="AK1505" i="2" s="1"/>
  <c r="AM1422" i="2"/>
  <c r="AM1511" i="2" s="1"/>
  <c r="AM647" i="2"/>
  <c r="AM1925" i="2"/>
  <c r="AD786" i="2"/>
  <c r="AD953" i="2" s="1"/>
  <c r="IS723" i="5"/>
  <c r="P39" i="7"/>
  <c r="IJ1219" i="5"/>
  <c r="IJ1223" i="5"/>
  <c r="IJ1224" i="5" s="1"/>
  <c r="IF736" i="5"/>
  <c r="IF667" i="5"/>
  <c r="C109" i="7"/>
  <c r="IP1069" i="5"/>
  <c r="IP1061" i="5"/>
  <c r="H5" i="7"/>
  <c r="AM1429" i="2"/>
  <c r="AM1518" i="2" s="1"/>
  <c r="AN1198" i="2"/>
  <c r="Z1542" i="2"/>
  <c r="Z1382" i="2"/>
  <c r="JO851" i="5"/>
  <c r="AG1390" i="2"/>
  <c r="AG1383" i="2"/>
  <c r="JH1041" i="5"/>
  <c r="AD743" i="2"/>
  <c r="AD945" i="2"/>
  <c r="AD862" i="2"/>
  <c r="AD863" i="2" s="1"/>
  <c r="AD864" i="2"/>
  <c r="AC1550" i="2"/>
  <c r="AC1461" i="2"/>
  <c r="AC1382" i="2"/>
  <c r="AC1453" i="2"/>
  <c r="AC1542" i="2"/>
  <c r="AI25" i="19"/>
  <c r="AG25" i="19"/>
  <c r="AJ25" i="19" s="1"/>
  <c r="IS1069" i="5"/>
  <c r="IS1061" i="5"/>
  <c r="F103" i="7"/>
  <c r="H103" i="7" s="1"/>
  <c r="II665" i="5"/>
  <c r="II731" i="5"/>
  <c r="AG1839" i="2"/>
  <c r="AG1861" i="2" s="1"/>
  <c r="AD995" i="2"/>
  <c r="CT738" i="5"/>
  <c r="CT681" i="5"/>
  <c r="IG736" i="5"/>
  <c r="IG667" i="5"/>
  <c r="DR736" i="5"/>
  <c r="DR700" i="5"/>
  <c r="JC886" i="5"/>
  <c r="JE886" i="5" s="1"/>
  <c r="AH1207" i="2" s="1"/>
  <c r="Q19" i="19"/>
  <c r="P19" i="19"/>
  <c r="R19" i="19" s="1"/>
  <c r="AG1845" i="2"/>
  <c r="AG1862" i="2" s="1"/>
  <c r="AD1001" i="2"/>
  <c r="CO1254" i="5"/>
  <c r="CO1257" i="5" s="1"/>
  <c r="CO700" i="5"/>
  <c r="CO742" i="5"/>
  <c r="AI1912" i="2"/>
  <c r="AI1911" i="2" s="1"/>
  <c r="AI1557" i="2"/>
  <c r="AI1467" i="2"/>
  <c r="AI1556" i="2" s="1"/>
  <c r="AC1547" i="2"/>
  <c r="AC1458" i="2"/>
  <c r="DE738" i="5"/>
  <c r="DE681" i="5"/>
  <c r="AM671" i="2"/>
  <c r="DK1254" i="5"/>
  <c r="DK1257" i="5" s="1"/>
  <c r="DK700" i="5"/>
  <c r="DK742" i="5"/>
  <c r="IS665" i="5"/>
  <c r="AD1812" i="2"/>
  <c r="AD1705" i="2"/>
  <c r="AD1813" i="2" s="1"/>
  <c r="AD1817" i="2" s="1"/>
  <c r="CQ1254" i="5"/>
  <c r="CQ1257" i="5" s="1"/>
  <c r="CQ742" i="5"/>
  <c r="CQ700" i="5"/>
  <c r="IS664" i="5"/>
  <c r="N109" i="7"/>
  <c r="AM1939" i="2"/>
  <c r="DA738" i="5"/>
  <c r="DA681" i="5"/>
  <c r="JE1069" i="5"/>
  <c r="JE1061" i="5"/>
  <c r="CU1254" i="5"/>
  <c r="CU1257" i="5" s="1"/>
  <c r="CU700" i="5"/>
  <c r="CU742" i="5"/>
  <c r="G110" i="7"/>
  <c r="IK737" i="5"/>
  <c r="AK1381" i="2"/>
  <c r="AK1389" i="2" s="1"/>
  <c r="AK1883" i="2"/>
  <c r="AK1929" i="2"/>
  <c r="AK1215" i="2"/>
  <c r="AK1530" i="2"/>
  <c r="E1213" i="2"/>
  <c r="AJ1379" i="2"/>
  <c r="AJ1387" i="2" s="1"/>
  <c r="AJ1962" i="2"/>
  <c r="AJ1961" i="2" s="1"/>
  <c r="AJ1969" i="2" s="1"/>
  <c r="JD643" i="5"/>
  <c r="Z1037" i="2"/>
  <c r="Y1849" i="2"/>
  <c r="Z920" i="2"/>
  <c r="Y1628" i="2" s="1"/>
  <c r="Y1630" i="2" s="1"/>
  <c r="Y1629" i="2" s="1"/>
  <c r="ID664" i="5"/>
  <c r="ID736" i="5" s="1"/>
  <c r="X1474" i="2"/>
  <c r="X1563" i="2" s="1"/>
  <c r="JM646" i="5"/>
  <c r="JD635" i="5"/>
  <c r="JD728" i="5" s="1"/>
  <c r="IO665" i="5"/>
  <c r="L110" i="7" s="1"/>
  <c r="L103" i="7"/>
  <c r="JS991" i="5"/>
  <c r="JK559" i="5"/>
  <c r="JI559" i="5" s="1"/>
  <c r="JJ559" i="5" s="1"/>
  <c r="AI337" i="2"/>
  <c r="AI619" i="2"/>
  <c r="AM615" i="2"/>
  <c r="AN615" i="2" s="1"/>
  <c r="AO615" i="2" s="1"/>
  <c r="AP615" i="2" s="1"/>
  <c r="AQ615" i="2" s="1"/>
  <c r="AR615" i="2" s="1"/>
  <c r="AS615" i="2" s="1"/>
  <c r="AT615" i="2" s="1"/>
  <c r="JJ621" i="5"/>
  <c r="JM682" i="5"/>
  <c r="AL364" i="2"/>
  <c r="AL366" i="2"/>
  <c r="AL306" i="2"/>
  <c r="AL307" i="2" s="1"/>
  <c r="AL327" i="2"/>
  <c r="AL365" i="2"/>
  <c r="AH329" i="2"/>
  <c r="AH755" i="2"/>
  <c r="JL591" i="5"/>
  <c r="JM591" i="5" s="1"/>
  <c r="L109" i="7"/>
  <c r="IO667" i="5"/>
  <c r="IO703" i="5" s="1"/>
  <c r="AI629" i="2"/>
  <c r="AI347" i="2"/>
  <c r="AI341" i="2"/>
  <c r="AI623" i="2"/>
  <c r="JN681" i="5"/>
  <c r="AN1411" i="2"/>
  <c r="AN1501" i="2"/>
  <c r="JB693" i="5"/>
  <c r="AG901" i="2"/>
  <c r="AG410" i="2"/>
  <c r="AM1500" i="2"/>
  <c r="AM1404" i="2"/>
  <c r="AM1493" i="2" s="1"/>
  <c r="JF643" i="5"/>
  <c r="JF635" i="5" s="1"/>
  <c r="W1474" i="2"/>
  <c r="W1563" i="2" s="1"/>
  <c r="W1533" i="2"/>
  <c r="AM410" i="2"/>
  <c r="AI626" i="2"/>
  <c r="AI344" i="2"/>
  <c r="AO1412" i="2"/>
  <c r="X1017" i="2"/>
  <c r="AL434" i="2"/>
  <c r="AK435" i="2"/>
  <c r="IN681" i="5"/>
  <c r="KW667" i="5"/>
  <c r="J112" i="7"/>
  <c r="K112" i="7" s="1"/>
  <c r="AH632" i="2"/>
  <c r="AH350" i="2"/>
  <c r="AG633" i="2"/>
  <c r="AJ975" i="2"/>
  <c r="AJ1025" i="2" s="1"/>
  <c r="JK667" i="5"/>
  <c r="AO360" i="2"/>
  <c r="JU991" i="5"/>
  <c r="JU990" i="5" s="1"/>
  <c r="JV990" i="5" s="1"/>
  <c r="AH756" i="2"/>
  <c r="JE563" i="5" s="1"/>
  <c r="Y1850" i="2"/>
  <c r="Z1010" i="2"/>
  <c r="JM694" i="5"/>
  <c r="AH342" i="2"/>
  <c r="AH912" i="2" s="1"/>
  <c r="AH624" i="2"/>
  <c r="AH348" i="2"/>
  <c r="AH630" i="2"/>
  <c r="Z991" i="2"/>
  <c r="Y1859" i="2" s="1"/>
  <c r="Z1023" i="2"/>
  <c r="Z1034" i="2" s="1"/>
  <c r="Y1854" i="2"/>
  <c r="AI961" i="2"/>
  <c r="AI1007" i="2" s="1"/>
  <c r="JH635" i="5"/>
  <c r="JM635" i="5"/>
  <c r="Z974" i="2"/>
  <c r="ID665" i="5"/>
  <c r="ID737" i="5" s="1"/>
  <c r="JN559" i="5"/>
  <c r="JK1067" i="5"/>
  <c r="JN621" i="5"/>
  <c r="AK695" i="2"/>
  <c r="JL622" i="5"/>
  <c r="JL621" i="5" s="1"/>
  <c r="AM556" i="2"/>
  <c r="AO569" i="2"/>
  <c r="AN1104" i="2"/>
  <c r="JW798" i="5" s="1"/>
  <c r="JI595" i="5"/>
  <c r="JJ595" i="5" s="1"/>
  <c r="JP792" i="5"/>
  <c r="JR798" i="5"/>
  <c r="AM568" i="2"/>
  <c r="AO515" i="2"/>
  <c r="AN1084" i="2"/>
  <c r="JW778" i="5" s="1"/>
  <c r="T8" i="7"/>
  <c r="IY716" i="5"/>
  <c r="IX553" i="5"/>
  <c r="AL695" i="2"/>
  <c r="JB572" i="5"/>
  <c r="JA572" i="5" s="1"/>
  <c r="AH765" i="2"/>
  <c r="AG763" i="2"/>
  <c r="JN595" i="5"/>
  <c r="AM514" i="2"/>
  <c r="JR778" i="5"/>
  <c r="JE555" i="5"/>
  <c r="AH317" i="2"/>
  <c r="AO581" i="2"/>
  <c r="AN1107" i="2"/>
  <c r="JW801" i="5" s="1"/>
  <c r="JH555" i="5"/>
  <c r="AI317" i="2"/>
  <c r="AH810" i="2"/>
  <c r="JR801" i="5"/>
  <c r="AM580" i="2"/>
  <c r="IW652" i="5"/>
  <c r="IX652" i="5" s="1"/>
  <c r="IW653" i="5"/>
  <c r="IX653" i="5" s="1"/>
  <c r="IW654" i="5"/>
  <c r="IX654" i="5" s="1"/>
  <c r="IW550" i="5"/>
  <c r="IW657" i="5" s="1"/>
  <c r="IW658" i="5"/>
  <c r="JG595" i="5"/>
  <c r="AJ788" i="2"/>
  <c r="IZ573" i="5"/>
  <c r="JA573" i="5" s="1"/>
  <c r="AO537" i="2"/>
  <c r="AN1091" i="2"/>
  <c r="JW785" i="5" s="1"/>
  <c r="JC556" i="5"/>
  <c r="JD556" i="5" s="1"/>
  <c r="JP802" i="5"/>
  <c r="JP787" i="5"/>
  <c r="AB1143" i="2"/>
  <c r="AC596" i="2"/>
  <c r="JR785" i="5"/>
  <c r="AM536" i="2"/>
  <c r="JF556" i="5"/>
  <c r="JG556" i="5" s="1"/>
  <c r="JP800" i="5"/>
  <c r="AH377" i="2"/>
  <c r="AO573" i="2"/>
  <c r="AN1105" i="2"/>
  <c r="JW799" i="5" s="1"/>
  <c r="AI766" i="2"/>
  <c r="JP778" i="5"/>
  <c r="JB606" i="5"/>
  <c r="AG380" i="2"/>
  <c r="AG788" i="2"/>
  <c r="JP801" i="5"/>
  <c r="Q8" i="7"/>
  <c r="IT552" i="5"/>
  <c r="AO557" i="2"/>
  <c r="AN1098" i="2"/>
  <c r="JN607" i="5"/>
  <c r="JP798" i="5"/>
  <c r="AM584" i="2"/>
  <c r="AM1402" i="2"/>
  <c r="AM1491" i="2" s="1"/>
  <c r="JR802" i="5"/>
  <c r="IZ608" i="5"/>
  <c r="JA608" i="5" s="1"/>
  <c r="AI1838" i="2"/>
  <c r="AE994" i="2"/>
  <c r="IZ555" i="5"/>
  <c r="JA555" i="5" s="1"/>
  <c r="JP799" i="5"/>
  <c r="AO545" i="2"/>
  <c r="AN1093" i="2"/>
  <c r="JW787" i="5" s="1"/>
  <c r="JO835" i="5"/>
  <c r="JP835" i="5" s="1"/>
  <c r="JV768" i="5"/>
  <c r="IY552" i="5"/>
  <c r="AF743" i="2"/>
  <c r="AF945" i="2"/>
  <c r="AF994" i="2" s="1"/>
  <c r="JP785" i="5"/>
  <c r="JJ622" i="5"/>
  <c r="AO577" i="2"/>
  <c r="AN1106" i="2"/>
  <c r="JW800" i="5" s="1"/>
  <c r="IV550" i="5"/>
  <c r="AE944" i="2"/>
  <c r="JV791" i="5"/>
  <c r="JI606" i="5"/>
  <c r="JI607" i="5" s="1"/>
  <c r="JJ607" i="5" s="1"/>
  <c r="AM544" i="2"/>
  <c r="JR787" i="5"/>
  <c r="IX555" i="5"/>
  <c r="JR799" i="5"/>
  <c r="AM572" i="2"/>
  <c r="JM828" i="5"/>
  <c r="JC573" i="5"/>
  <c r="JD573" i="5" s="1"/>
  <c r="AO1108" i="2"/>
  <c r="JZ802" i="5" s="1"/>
  <c r="AN1108" i="2"/>
  <c r="JW802" i="5" s="1"/>
  <c r="JR800" i="5"/>
  <c r="AM576" i="2"/>
  <c r="R10" i="7"/>
  <c r="IU553" i="5"/>
  <c r="S7" i="7"/>
  <c r="IV715" i="5"/>
  <c r="KO953" i="5" l="1"/>
  <c r="KM953" i="5" s="1"/>
  <c r="KN953" i="5" s="1"/>
  <c r="T123" i="21"/>
  <c r="AT1273" i="2"/>
  <c r="AV1273" i="2" s="1"/>
  <c r="AU1273" i="2" s="1"/>
  <c r="Y61" i="19"/>
  <c r="V101" i="21"/>
  <c r="V97" i="21" s="1"/>
  <c r="JZ868" i="5"/>
  <c r="JX868" i="5" s="1"/>
  <c r="JY868" i="5" s="1"/>
  <c r="JQ891" i="5"/>
  <c r="Q8" i="21"/>
  <c r="R8" i="21" s="1"/>
  <c r="U101" i="21"/>
  <c r="JQ907" i="5"/>
  <c r="AL1909" i="2"/>
  <c r="Q93" i="21"/>
  <c r="R93" i="21" s="1"/>
  <c r="AH50" i="19"/>
  <c r="AH63" i="19"/>
  <c r="JT912" i="5"/>
  <c r="JR912" i="5" s="1"/>
  <c r="JZ948" i="5"/>
  <c r="Q60" i="21"/>
  <c r="R60" i="21" s="1"/>
  <c r="AN1233" i="2"/>
  <c r="W82" i="21"/>
  <c r="W86" i="21" s="1"/>
  <c r="W96" i="21"/>
  <c r="AP1159" i="2"/>
  <c r="T29" i="21"/>
  <c r="U29" i="21" s="1"/>
  <c r="AF20" i="19"/>
  <c r="JQ833" i="5"/>
  <c r="JO833" i="5" s="1"/>
  <c r="T19" i="21"/>
  <c r="U19" i="21" s="1"/>
  <c r="JT890" i="5"/>
  <c r="JR890" i="5" s="1"/>
  <c r="V91" i="21"/>
  <c r="V87" i="21" s="1"/>
  <c r="V60" i="21" s="1"/>
  <c r="U18" i="21"/>
  <c r="V194" i="21"/>
  <c r="U91" i="21"/>
  <c r="Q194" i="21"/>
  <c r="R194" i="21" s="1"/>
  <c r="Q17" i="21"/>
  <c r="R17" i="21" s="1"/>
  <c r="E66" i="19"/>
  <c r="G66" i="19" s="1"/>
  <c r="KF829" i="5"/>
  <c r="KD829" i="5" s="1"/>
  <c r="KE829" i="5" s="1"/>
  <c r="Y20" i="19"/>
  <c r="Z20" i="19"/>
  <c r="JM773" i="5"/>
  <c r="F59" i="19"/>
  <c r="E59" i="19"/>
  <c r="G59" i="19" s="1"/>
  <c r="AL1417" i="2"/>
  <c r="AL1506" i="2" s="1"/>
  <c r="JT789" i="5"/>
  <c r="BH72" i="19"/>
  <c r="BK72" i="19" s="1"/>
  <c r="BI72" i="19"/>
  <c r="AW31" i="19"/>
  <c r="AZ31" i="19"/>
  <c r="JO1058" i="5"/>
  <c r="JO1067" i="5" s="1"/>
  <c r="AN1141" i="2"/>
  <c r="JW835" i="5" s="1"/>
  <c r="JN826" i="5"/>
  <c r="W18" i="19"/>
  <c r="Y18" i="19" s="1"/>
  <c r="JN764" i="5"/>
  <c r="W7" i="19"/>
  <c r="AO593" i="2"/>
  <c r="JN894" i="5"/>
  <c r="W54" i="19"/>
  <c r="Y54" i="19" s="1"/>
  <c r="KF992" i="5"/>
  <c r="KD992" i="5" s="1"/>
  <c r="KE992" i="5" s="1"/>
  <c r="JQ773" i="5"/>
  <c r="AO553" i="2"/>
  <c r="AL496" i="2"/>
  <c r="AQ507" i="2"/>
  <c r="JZ991" i="5"/>
  <c r="JX991" i="5" s="1"/>
  <c r="JX990" i="5" s="1"/>
  <c r="JY990" i="5" s="1"/>
  <c r="AM1079" i="2"/>
  <c r="AQ1316" i="2"/>
  <c r="AR1316" i="2" s="1"/>
  <c r="AN497" i="2"/>
  <c r="AM1139" i="2"/>
  <c r="AO1375" i="2"/>
  <c r="AM592" i="2"/>
  <c r="KC921" i="5"/>
  <c r="KA921" i="5" s="1"/>
  <c r="KB921" i="5" s="1"/>
  <c r="AI1474" i="2"/>
  <c r="AI1563" i="2" s="1"/>
  <c r="AI1568" i="2" s="1"/>
  <c r="AQ1130" i="2"/>
  <c r="AP1660" i="2" s="1"/>
  <c r="JW919" i="5"/>
  <c r="JW903" i="5"/>
  <c r="JU903" i="5" s="1"/>
  <c r="JW885" i="5"/>
  <c r="JU885" i="5" s="1"/>
  <c r="JN832" i="5"/>
  <c r="JM832" i="5" s="1"/>
  <c r="AL455" i="2"/>
  <c r="AH1248" i="2"/>
  <c r="AH1447" i="2" s="1"/>
  <c r="AH1536" i="2" s="1"/>
  <c r="AH1366" i="2"/>
  <c r="AH1474" i="2" s="1"/>
  <c r="AH1563" i="2" s="1"/>
  <c r="AL1437" i="2"/>
  <c r="AL1526" i="2" s="1"/>
  <c r="AH1565" i="2"/>
  <c r="AQ1129" i="2"/>
  <c r="KF823" i="5" s="1"/>
  <c r="KE823" i="5" s="1"/>
  <c r="KC830" i="5"/>
  <c r="KA830" i="5" s="1"/>
  <c r="KB830" i="5" s="1"/>
  <c r="AH1452" i="2"/>
  <c r="AH1541" i="2" s="1"/>
  <c r="AS1155" i="2"/>
  <c r="KL849" i="5" s="1"/>
  <c r="KJ849" i="5" s="1"/>
  <c r="KK849" i="5" s="1"/>
  <c r="BJ72" i="19"/>
  <c r="AH1254" i="2"/>
  <c r="AH1542" i="2" s="1"/>
  <c r="AH301" i="2" s="1"/>
  <c r="AH1263" i="2"/>
  <c r="AH1460" i="2" s="1"/>
  <c r="AR1420" i="2"/>
  <c r="AR1509" i="2" s="1"/>
  <c r="JW947" i="5"/>
  <c r="AH1265" i="2"/>
  <c r="AH1551" i="2" s="1"/>
  <c r="AI1450" i="2"/>
  <c r="AI1539" i="2" s="1"/>
  <c r="AH1261" i="2"/>
  <c r="AH1458" i="2" s="1"/>
  <c r="AH1255" i="2"/>
  <c r="AH1258" i="2"/>
  <c r="AH1259" i="2" s="1"/>
  <c r="AH1256" i="2"/>
  <c r="JW792" i="5"/>
  <c r="JU792" i="5" s="1"/>
  <c r="AQ1317" i="2"/>
  <c r="KF991" i="5" s="1"/>
  <c r="KD991" i="5" s="1"/>
  <c r="KE991" i="5" s="1"/>
  <c r="AP1375" i="2"/>
  <c r="AQ1151" i="2"/>
  <c r="KF846" i="5"/>
  <c r="KD846" i="5" s="1"/>
  <c r="KE846" i="5" s="1"/>
  <c r="AT1145" i="2"/>
  <c r="KO841" i="5"/>
  <c r="KM841" i="5" s="1"/>
  <c r="KN841" i="5" s="1"/>
  <c r="AP476" i="2"/>
  <c r="KC768" i="5"/>
  <c r="JZ851" i="5"/>
  <c r="AO1419" i="2"/>
  <c r="AO1508" i="2" s="1"/>
  <c r="JZ845" i="5"/>
  <c r="AL588" i="2"/>
  <c r="JQ827" i="5"/>
  <c r="JO827" i="5" s="1"/>
  <c r="JP827" i="5" s="1"/>
  <c r="AP480" i="2"/>
  <c r="KC791" i="5"/>
  <c r="AL602" i="2"/>
  <c r="JQ843" i="5"/>
  <c r="JO843" i="5" s="1"/>
  <c r="AR1726" i="2"/>
  <c r="AR1128" i="2"/>
  <c r="KF822" i="5"/>
  <c r="KE822" i="5" s="1"/>
  <c r="AN1380" i="2"/>
  <c r="AN1388" i="2" s="1"/>
  <c r="AN1204" i="2"/>
  <c r="JW883" i="5" s="1"/>
  <c r="JW877" i="5"/>
  <c r="JW1058" i="5" s="1"/>
  <c r="AP1412" i="2"/>
  <c r="AP1411" i="2" s="1"/>
  <c r="AR1136" i="2"/>
  <c r="KF830" i="5"/>
  <c r="KD830" i="5" s="1"/>
  <c r="KE830" i="5" s="1"/>
  <c r="AO1464" i="2"/>
  <c r="AO1553" i="2" s="1"/>
  <c r="BG71" i="19"/>
  <c r="AR1644" i="2"/>
  <c r="KL839" i="5"/>
  <c r="KJ839" i="5" s="1"/>
  <c r="KK839" i="5" s="1"/>
  <c r="KI831" i="5"/>
  <c r="KG831" i="5" s="1"/>
  <c r="KH831" i="5" s="1"/>
  <c r="AS1137" i="2"/>
  <c r="AS1135" i="2"/>
  <c r="KI829" i="5"/>
  <c r="KG829" i="5" s="1"/>
  <c r="KH829" i="5" s="1"/>
  <c r="AR1242" i="2"/>
  <c r="KF921" i="5"/>
  <c r="KD921" i="5" s="1"/>
  <c r="KE921" i="5" s="1"/>
  <c r="AP1151" i="2"/>
  <c r="KC846" i="5"/>
  <c r="KA846" i="5" s="1"/>
  <c r="KB846" i="5" s="1"/>
  <c r="AO1268" i="2"/>
  <c r="AO1660" i="2"/>
  <c r="KC824" i="5"/>
  <c r="AL468" i="2"/>
  <c r="JQ770" i="5"/>
  <c r="JO770" i="5" s="1"/>
  <c r="AQ1148" i="2"/>
  <c r="KC842" i="5"/>
  <c r="KA842" i="5" s="1"/>
  <c r="KB842" i="5" s="1"/>
  <c r="AL518" i="2"/>
  <c r="JQ779" i="5"/>
  <c r="JO779" i="5" s="1"/>
  <c r="AP548" i="2"/>
  <c r="KC788" i="5"/>
  <c r="KI834" i="5"/>
  <c r="KG834" i="5" s="1"/>
  <c r="KH834" i="5" s="1"/>
  <c r="AS1140" i="2"/>
  <c r="KI992" i="5"/>
  <c r="KG992" i="5" s="1"/>
  <c r="KH992" i="5" s="1"/>
  <c r="AS1318" i="2"/>
  <c r="AQ526" i="2"/>
  <c r="KF781" i="5"/>
  <c r="AQ719" i="2"/>
  <c r="AR720" i="2"/>
  <c r="AM71" i="19"/>
  <c r="AN71" i="19" s="1"/>
  <c r="JR947" i="5"/>
  <c r="AK1687" i="2"/>
  <c r="AK1685" i="2" s="1"/>
  <c r="AD70" i="19"/>
  <c r="AE70" i="19" s="1"/>
  <c r="AM1686" i="2"/>
  <c r="AM1685" i="2" s="1"/>
  <c r="AN1723" i="2"/>
  <c r="JV948" i="5"/>
  <c r="JV947" i="5" s="1"/>
  <c r="AM1724" i="2"/>
  <c r="AM1722" i="2" s="1"/>
  <c r="AV72" i="19"/>
  <c r="AW72" i="19" s="1"/>
  <c r="JU948" i="5"/>
  <c r="AN1553" i="2"/>
  <c r="AN1463" i="2"/>
  <c r="AN1552" i="2" s="1"/>
  <c r="JX948" i="5"/>
  <c r="BE72" i="19"/>
  <c r="BF72" i="19" s="1"/>
  <c r="AN1724" i="2"/>
  <c r="AX70" i="19"/>
  <c r="AZ70" i="19" s="1"/>
  <c r="AR70" i="19"/>
  <c r="AP70" i="19"/>
  <c r="AS70" i="19" s="1"/>
  <c r="AO1723" i="2"/>
  <c r="AO1722" i="2" s="1"/>
  <c r="JY948" i="5"/>
  <c r="JY947" i="5" s="1"/>
  <c r="AY71" i="19"/>
  <c r="BB71" i="19" s="1"/>
  <c r="BA71" i="19"/>
  <c r="AH1444" i="2"/>
  <c r="AH1533" i="2" s="1"/>
  <c r="AS527" i="2"/>
  <c r="AS1087" i="2" s="1"/>
  <c r="JR760" i="5"/>
  <c r="JS760" i="5" s="1"/>
  <c r="AO444" i="2"/>
  <c r="AN1066" i="2"/>
  <c r="AI1444" i="2"/>
  <c r="AI1533" i="2" s="1"/>
  <c r="AO1065" i="2"/>
  <c r="JZ759" i="5" s="1"/>
  <c r="AO451" i="2"/>
  <c r="AO447" i="2"/>
  <c r="AO1064" i="2"/>
  <c r="JZ758" i="5" s="1"/>
  <c r="AI1445" i="2"/>
  <c r="AI1534" i="2" s="1"/>
  <c r="JP877" i="5"/>
  <c r="JP1058" i="5" s="1"/>
  <c r="AD38" i="19"/>
  <c r="AE38" i="19" s="1"/>
  <c r="JR877" i="5"/>
  <c r="JT1058" i="5"/>
  <c r="JT1067" i="5" s="1"/>
  <c r="AR1152" i="2"/>
  <c r="IY1041" i="5"/>
  <c r="IS1041" i="5"/>
  <c r="AD1366" i="2" s="1"/>
  <c r="AD1474" i="2" s="1"/>
  <c r="AD1563" i="2" s="1"/>
  <c r="AD1250" i="2"/>
  <c r="AD1449" i="2" s="1"/>
  <c r="AD1538" i="2" s="1"/>
  <c r="AD1249" i="2"/>
  <c r="AD1448" i="2" s="1"/>
  <c r="AD1537" i="2" s="1"/>
  <c r="AH1246" i="2"/>
  <c r="AF1264" i="2"/>
  <c r="AF1550" i="2" s="1"/>
  <c r="AH1250" i="2"/>
  <c r="AH1449" i="2" s="1"/>
  <c r="AH1538" i="2" s="1"/>
  <c r="AH1251" i="2"/>
  <c r="AF1258" i="2"/>
  <c r="AD1251" i="2"/>
  <c r="AD1248" i="2"/>
  <c r="AD1447" i="2" s="1"/>
  <c r="AD1536" i="2" s="1"/>
  <c r="AH1249" i="2"/>
  <c r="AH1448" i="2" s="1"/>
  <c r="AH1537" i="2" s="1"/>
  <c r="AE1550" i="2"/>
  <c r="AE1551" i="2"/>
  <c r="AF1265" i="2"/>
  <c r="AF1462" i="2" s="1"/>
  <c r="IE681" i="5"/>
  <c r="Z1038" i="2" s="1"/>
  <c r="Z1039" i="2" s="1"/>
  <c r="AF1263" i="2"/>
  <c r="AF1460" i="2" s="1"/>
  <c r="IS1090" i="5"/>
  <c r="AF1262" i="2"/>
  <c r="AF1459" i="2" s="1"/>
  <c r="IV1069" i="5"/>
  <c r="AF1452" i="2"/>
  <c r="AF1541" i="2" s="1"/>
  <c r="AE1548" i="2"/>
  <c r="AE1382" i="2"/>
  <c r="AE1390" i="2" s="1"/>
  <c r="AE1453" i="2"/>
  <c r="JP789" i="5"/>
  <c r="AD1666" i="2"/>
  <c r="AD1670" i="2" s="1"/>
  <c r="AF1254" i="2"/>
  <c r="AE1666" i="2" s="1"/>
  <c r="AE1670" i="2" s="1"/>
  <c r="AE1460" i="2"/>
  <c r="AF1971" i="2"/>
  <c r="IY927" i="5"/>
  <c r="IJ1091" i="5"/>
  <c r="AF1246" i="2"/>
  <c r="AE1259" i="2"/>
  <c r="AE1455" i="2"/>
  <c r="AE1544" i="2" s="1"/>
  <c r="AP1068" i="2"/>
  <c r="AE1458" i="2"/>
  <c r="Y1245" i="2"/>
  <c r="Y1251" i="2" s="1"/>
  <c r="Z1263" i="2"/>
  <c r="Z1549" i="2" s="1"/>
  <c r="JY788" i="5"/>
  <c r="Z1261" i="2"/>
  <c r="Z1547" i="2" s="1"/>
  <c r="Z1264" i="2"/>
  <c r="Z1550" i="2" s="1"/>
  <c r="AN1095" i="2"/>
  <c r="JX768" i="5"/>
  <c r="JY768" i="5" s="1"/>
  <c r="JM769" i="5"/>
  <c r="JO767" i="5"/>
  <c r="JP767" i="5" s="1"/>
  <c r="JM779" i="5"/>
  <c r="JX791" i="5"/>
  <c r="JY791" i="5" s="1"/>
  <c r="JM770" i="5"/>
  <c r="JX762" i="5"/>
  <c r="JY762" i="5" s="1"/>
  <c r="P7" i="19"/>
  <c r="R7" i="19" s="1"/>
  <c r="AN603" i="2"/>
  <c r="Q7" i="19"/>
  <c r="AK1675" i="2"/>
  <c r="AJ1639" i="2"/>
  <c r="AM1640" i="2"/>
  <c r="AK1399" i="2"/>
  <c r="AK1488" i="2" s="1"/>
  <c r="AN584" i="2"/>
  <c r="AO584" i="2"/>
  <c r="IY929" i="5"/>
  <c r="AB1245" i="2"/>
  <c r="AB1248" i="2" s="1"/>
  <c r="AB1447" i="2" s="1"/>
  <c r="AB1536" i="2" s="1"/>
  <c r="AM552" i="2"/>
  <c r="IG1090" i="5"/>
  <c r="AN1640" i="2"/>
  <c r="JV892" i="5"/>
  <c r="AV52" i="19"/>
  <c r="AW52" i="19" s="1"/>
  <c r="AR44" i="19"/>
  <c r="JP890" i="5"/>
  <c r="AD50" i="19"/>
  <c r="AE50" i="19" s="1"/>
  <c r="Y1246" i="2"/>
  <c r="AD1246" i="2"/>
  <c r="AF1245" i="2"/>
  <c r="AN459" i="2"/>
  <c r="AM1149" i="2"/>
  <c r="AE1246" i="2"/>
  <c r="IV1090" i="5"/>
  <c r="Z22" i="19"/>
  <c r="Z51" i="19"/>
  <c r="JU762" i="5"/>
  <c r="P54" i="19"/>
  <c r="R54" i="19" s="1"/>
  <c r="N54" i="19"/>
  <c r="AH1445" i="2"/>
  <c r="AH1534" i="2" s="1"/>
  <c r="DI742" i="5"/>
  <c r="Z61" i="19"/>
  <c r="AG63" i="19"/>
  <c r="AJ63" i="19" s="1"/>
  <c r="Q18" i="19"/>
  <c r="N18" i="19"/>
  <c r="AF22" i="19"/>
  <c r="AL1910" i="2"/>
  <c r="X22" i="19"/>
  <c r="AA22" i="19" s="1"/>
  <c r="AM456" i="2"/>
  <c r="AL1067" i="2"/>
  <c r="JQ761" i="5" s="1"/>
  <c r="JO761" i="5" s="1"/>
  <c r="AE1436" i="2"/>
  <c r="AE1525" i="2" s="1"/>
  <c r="AE1435" i="2"/>
  <c r="AE1524" i="2" s="1"/>
  <c r="AE1444" i="2"/>
  <c r="AE1533" i="2" s="1"/>
  <c r="AK1904" i="2"/>
  <c r="JR919" i="5"/>
  <c r="JS919" i="5" s="1"/>
  <c r="JM843" i="5"/>
  <c r="U22" i="19"/>
  <c r="V22" i="19" s="1"/>
  <c r="AC1524" i="2"/>
  <c r="AL1418" i="2"/>
  <c r="AL1507" i="2" s="1"/>
  <c r="Z1670" i="2"/>
  <c r="AC1445" i="2"/>
  <c r="AC1534" i="2" s="1"/>
  <c r="AA1670" i="2"/>
  <c r="E83" i="19"/>
  <c r="G83" i="19" s="1"/>
  <c r="AK1907" i="2"/>
  <c r="AL1070" i="2"/>
  <c r="AO50" i="19"/>
  <c r="AQ50" i="19" s="1"/>
  <c r="AJ1643" i="2"/>
  <c r="AJ1659" i="2"/>
  <c r="AL1132" i="2"/>
  <c r="P18" i="19"/>
  <c r="R18" i="19" s="1"/>
  <c r="AF61" i="19"/>
  <c r="U63" i="19"/>
  <c r="V63" i="19" s="1"/>
  <c r="U24" i="19"/>
  <c r="V24" i="19" s="1"/>
  <c r="AO1240" i="2"/>
  <c r="AM1942" i="2"/>
  <c r="AP38" i="19"/>
  <c r="AS38" i="19" s="1"/>
  <c r="AL488" i="2"/>
  <c r="JM890" i="5"/>
  <c r="U50" i="19"/>
  <c r="V50" i="19" s="1"/>
  <c r="AO63" i="19"/>
  <c r="AQ63" i="19" s="1"/>
  <c r="AN1431" i="2"/>
  <c r="AN1520" i="2" s="1"/>
  <c r="AM1228" i="2"/>
  <c r="AM1441" i="2"/>
  <c r="AM1437" i="2" s="1"/>
  <c r="AM1526" i="2" s="1"/>
  <c r="AO1206" i="2"/>
  <c r="AN665" i="2"/>
  <c r="AX44" i="19"/>
  <c r="AZ44" i="19" s="1"/>
  <c r="AI1542" i="2"/>
  <c r="AI301" i="2" s="1"/>
  <c r="AP44" i="19"/>
  <c r="AS44" i="19" s="1"/>
  <c r="AN1211" i="2"/>
  <c r="AL1530" i="2"/>
  <c r="AM1658" i="2"/>
  <c r="AM1212" i="2"/>
  <c r="AI63" i="19"/>
  <c r="Q54" i="19"/>
  <c r="X51" i="19"/>
  <c r="AA51" i="19" s="1"/>
  <c r="BA25" i="19"/>
  <c r="AY25" i="19"/>
  <c r="BB25" i="19" s="1"/>
  <c r="X61" i="19"/>
  <c r="AA61" i="19" s="1"/>
  <c r="Y1382" i="2"/>
  <c r="Y1390" i="2" s="1"/>
  <c r="Y1479" i="2" s="1"/>
  <c r="Y1566" i="2" s="1"/>
  <c r="Y1666" i="2"/>
  <c r="Y1670" i="2" s="1"/>
  <c r="X1666" i="2"/>
  <c r="X1670" i="2" s="1"/>
  <c r="KF892" i="5"/>
  <c r="AP1651" i="2"/>
  <c r="AP1652" i="2"/>
  <c r="AC1666" i="2"/>
  <c r="AC1670" i="2" s="1"/>
  <c r="AJ1645" i="2"/>
  <c r="AJ1662" i="2"/>
  <c r="AJ1663" i="2" s="1"/>
  <c r="AM1654" i="2"/>
  <c r="AA1383" i="2"/>
  <c r="AS598" i="2"/>
  <c r="AN1646" i="2"/>
  <c r="BG25" i="19"/>
  <c r="BI25" i="19" s="1"/>
  <c r="GM1241" i="5"/>
  <c r="GM1257" i="5" s="1"/>
  <c r="DI1254" i="5"/>
  <c r="DI1257" i="5" s="1"/>
  <c r="DI738" i="5"/>
  <c r="JC889" i="5"/>
  <c r="JE889" i="5" s="1"/>
  <c r="AH1210" i="2" s="1"/>
  <c r="GN1250" i="5"/>
  <c r="GN1249" i="5" s="1"/>
  <c r="D109" i="7"/>
  <c r="E109" i="7" s="1"/>
  <c r="CE738" i="5"/>
  <c r="BH52" i="19"/>
  <c r="BK52" i="19" s="1"/>
  <c r="BJ52" i="19"/>
  <c r="AI50" i="19"/>
  <c r="AG50" i="19"/>
  <c r="AJ50" i="19" s="1"/>
  <c r="AL1215" i="2"/>
  <c r="AF51" i="19"/>
  <c r="AK1379" i="2"/>
  <c r="AK1387" i="2" s="1"/>
  <c r="Y1542" i="2"/>
  <c r="AI1264" i="2"/>
  <c r="AI1382" i="2"/>
  <c r="AI1390" i="2" s="1"/>
  <c r="IJ1041" i="5"/>
  <c r="IJ1098" i="5" s="1"/>
  <c r="AI1458" i="2"/>
  <c r="AI1548" i="2"/>
  <c r="AI1460" i="2"/>
  <c r="AI1462" i="2"/>
  <c r="AB1445" i="2"/>
  <c r="AB1534" i="2" s="1"/>
  <c r="Z1246" i="2"/>
  <c r="P102" i="7"/>
  <c r="AE1911" i="2"/>
  <c r="AB1444" i="2"/>
  <c r="AB1533" i="2" s="1"/>
  <c r="AI1455" i="2"/>
  <c r="AI1544" i="2" s="1"/>
  <c r="AX57" i="19"/>
  <c r="AZ57" i="19" s="1"/>
  <c r="AX38" i="19"/>
  <c r="AO1104" i="2"/>
  <c r="JZ798" i="5" s="1"/>
  <c r="AP569" i="2"/>
  <c r="AO1105" i="2"/>
  <c r="JZ799" i="5" s="1"/>
  <c r="AP573" i="2"/>
  <c r="AR460" i="2"/>
  <c r="AQ1068" i="2"/>
  <c r="KF762" i="5" s="1"/>
  <c r="KD762" i="5" s="1"/>
  <c r="KE762" i="5" s="1"/>
  <c r="AO1084" i="2"/>
  <c r="JZ778" i="5" s="1"/>
  <c r="AP515" i="2"/>
  <c r="AR549" i="2"/>
  <c r="AQ1094" i="2"/>
  <c r="AO1107" i="2"/>
  <c r="JZ801" i="5" s="1"/>
  <c r="AP581" i="2"/>
  <c r="AR477" i="2"/>
  <c r="AQ1074" i="2"/>
  <c r="AO1106" i="2"/>
  <c r="JZ800" i="5" s="1"/>
  <c r="AP577" i="2"/>
  <c r="AO1091" i="2"/>
  <c r="JZ785" i="5" s="1"/>
  <c r="AP537" i="2"/>
  <c r="AQ584" i="2"/>
  <c r="AQ1402" i="2"/>
  <c r="AQ1491" i="2" s="1"/>
  <c r="AS585" i="2"/>
  <c r="AR1108" i="2"/>
  <c r="AR481" i="2"/>
  <c r="AQ1097" i="2"/>
  <c r="AO1098" i="2"/>
  <c r="AP557" i="2"/>
  <c r="AO1093" i="2"/>
  <c r="JZ787" i="5" s="1"/>
  <c r="AP545" i="2"/>
  <c r="AO1427" i="2"/>
  <c r="AO1516" i="2" s="1"/>
  <c r="BG31" i="19"/>
  <c r="AY31" i="19"/>
  <c r="BB31" i="19" s="1"/>
  <c r="BA31" i="19"/>
  <c r="ID1041" i="5"/>
  <c r="AD25" i="19"/>
  <c r="AE25" i="19" s="1"/>
  <c r="AM57" i="19"/>
  <c r="AN57" i="19" s="1"/>
  <c r="JO907" i="5"/>
  <c r="AD63" i="19"/>
  <c r="AE63" i="19" s="1"/>
  <c r="JS885" i="5"/>
  <c r="AM44" i="19"/>
  <c r="AN44" i="19" s="1"/>
  <c r="IJ1090" i="5"/>
  <c r="AA1445" i="2"/>
  <c r="AA1534" i="2" s="1"/>
  <c r="IM1041" i="5"/>
  <c r="AB1366" i="2" s="1"/>
  <c r="IM665" i="5"/>
  <c r="IM737" i="5" s="1"/>
  <c r="DH1254" i="5"/>
  <c r="DH1257" i="5" s="1"/>
  <c r="DH700" i="5"/>
  <c r="DH742" i="5"/>
  <c r="AF1458" i="2"/>
  <c r="IS731" i="5"/>
  <c r="AN679" i="2"/>
  <c r="Y1444" i="2"/>
  <c r="Y1533" i="2" s="1"/>
  <c r="AO1224" i="2"/>
  <c r="AN1433" i="2"/>
  <c r="AN1522" i="2" s="1"/>
  <c r="AO1652" i="2"/>
  <c r="AO1651" i="2"/>
  <c r="JX892" i="5"/>
  <c r="F60" i="19"/>
  <c r="E60" i="19"/>
  <c r="G60" i="19" s="1"/>
  <c r="AA867" i="2"/>
  <c r="AA964" i="2" s="1"/>
  <c r="AA1850" i="2" s="1"/>
  <c r="AA1865" i="2" s="1"/>
  <c r="AP57" i="19"/>
  <c r="AS57" i="19" s="1"/>
  <c r="AR57" i="19"/>
  <c r="AR38" i="19"/>
  <c r="JM912" i="5"/>
  <c r="JM850" i="5"/>
  <c r="AO1198" i="2"/>
  <c r="JM827" i="5"/>
  <c r="U19" i="19"/>
  <c r="V19" i="19" s="1"/>
  <c r="JM833" i="5"/>
  <c r="U20" i="19"/>
  <c r="V20" i="19" s="1"/>
  <c r="JI1057" i="5"/>
  <c r="JI1066" i="5" s="1"/>
  <c r="JI1059" i="5"/>
  <c r="JI1068" i="5" s="1"/>
  <c r="IP1091" i="5"/>
  <c r="IV1055" i="5"/>
  <c r="IV1063" i="5" s="1"/>
  <c r="IV1066" i="5"/>
  <c r="IJ665" i="5"/>
  <c r="IJ737" i="5" s="1"/>
  <c r="IG1041" i="5"/>
  <c r="Z1366" i="2" s="1"/>
  <c r="AN671" i="2"/>
  <c r="AN1429" i="2"/>
  <c r="AN1518" i="2" s="1"/>
  <c r="IP1090" i="5"/>
  <c r="AL484" i="2"/>
  <c r="AM1075" i="2"/>
  <c r="JT769" i="5" s="1"/>
  <c r="AN485" i="2"/>
  <c r="JP851" i="5"/>
  <c r="IU1063" i="5"/>
  <c r="IT1062" i="5" s="1"/>
  <c r="IS1062" i="5" s="1"/>
  <c r="IT1053" i="5"/>
  <c r="IP1041" i="5"/>
  <c r="CG681" i="5"/>
  <c r="CG738" i="5"/>
  <c r="AM472" i="2"/>
  <c r="AM1085" i="2"/>
  <c r="AN519" i="2"/>
  <c r="AF1445" i="2"/>
  <c r="AF1534" i="2" s="1"/>
  <c r="AO473" i="2"/>
  <c r="AN1073" i="2"/>
  <c r="JW767" i="5" s="1"/>
  <c r="DJ742" i="5"/>
  <c r="DJ700" i="5"/>
  <c r="DJ1254" i="5"/>
  <c r="DJ1257" i="5" s="1"/>
  <c r="AD867" i="2"/>
  <c r="AD964" i="2" s="1"/>
  <c r="DM1254" i="5"/>
  <c r="DM1257" i="5" s="1"/>
  <c r="DM742" i="5"/>
  <c r="DM700" i="5"/>
  <c r="CK742" i="5"/>
  <c r="CK1254" i="5"/>
  <c r="CK1257" i="5" s="1"/>
  <c r="CK700" i="5"/>
  <c r="CM681" i="5"/>
  <c r="CM738" i="5"/>
  <c r="CY700" i="5"/>
  <c r="CY1254" i="5"/>
  <c r="CY1257" i="5" s="1"/>
  <c r="CY742" i="5"/>
  <c r="CW1254" i="5"/>
  <c r="CW1257" i="5" s="1"/>
  <c r="CW742" i="5"/>
  <c r="CW700" i="5"/>
  <c r="CH742" i="5"/>
  <c r="CH700" i="5"/>
  <c r="CH1254" i="5"/>
  <c r="CH1257" i="5" s="1"/>
  <c r="CF1254" i="5"/>
  <c r="CF1257" i="5" s="1"/>
  <c r="CF742" i="5"/>
  <c r="CF700" i="5"/>
  <c r="DD1254" i="5"/>
  <c r="DD1257" i="5" s="1"/>
  <c r="DD742" i="5"/>
  <c r="DD700" i="5"/>
  <c r="CS700" i="5"/>
  <c r="CS742" i="5"/>
  <c r="CS1254" i="5"/>
  <c r="CS1257" i="5" s="1"/>
  <c r="CL1254" i="5"/>
  <c r="CL1257" i="5" s="1"/>
  <c r="CL742" i="5"/>
  <c r="CL700" i="5"/>
  <c r="AD1547" i="2"/>
  <c r="AD1458" i="2"/>
  <c r="Z1524" i="2"/>
  <c r="Z1444" i="2"/>
  <c r="AC714" i="2"/>
  <c r="AC406" i="2"/>
  <c r="H102" i="7"/>
  <c r="AD1461" i="2"/>
  <c r="AD1550" i="2"/>
  <c r="Z1445" i="2"/>
  <c r="Z1534" i="2" s="1"/>
  <c r="Z1525" i="2"/>
  <c r="DT701" i="5"/>
  <c r="CN742" i="5"/>
  <c r="CN1254" i="5"/>
  <c r="CN1257" i="5" s="1"/>
  <c r="CN700" i="5"/>
  <c r="AA1474" i="2"/>
  <c r="AA1563" i="2" s="1"/>
  <c r="AA1533" i="2"/>
  <c r="CE1254" i="5"/>
  <c r="CE1257" i="5" s="1"/>
  <c r="CE700" i="5"/>
  <c r="CE742" i="5"/>
  <c r="AD1558" i="2"/>
  <c r="AD1913" i="2"/>
  <c r="AD1911" i="2" s="1"/>
  <c r="AD1467" i="2"/>
  <c r="AD1556" i="2" s="1"/>
  <c r="AD1460" i="2"/>
  <c r="AD1549" i="2"/>
  <c r="CI738" i="5"/>
  <c r="CI681" i="5"/>
  <c r="AD1459" i="2"/>
  <c r="AD1548" i="2"/>
  <c r="DL1254" i="5"/>
  <c r="DL1257" i="5" s="1"/>
  <c r="DL700" i="5"/>
  <c r="DL742" i="5"/>
  <c r="AD1542" i="2"/>
  <c r="AD1382" i="2"/>
  <c r="AD1453" i="2"/>
  <c r="AB1246" i="2"/>
  <c r="IM1091" i="5"/>
  <c r="DC1254" i="5"/>
  <c r="DC1257" i="5" s="1"/>
  <c r="DC700" i="5"/>
  <c r="DC742" i="5"/>
  <c r="CP742" i="5"/>
  <c r="CP700" i="5"/>
  <c r="CP1254" i="5"/>
  <c r="CP1257" i="5" s="1"/>
  <c r="AF640" i="2"/>
  <c r="AG357" i="2"/>
  <c r="AF1911" i="2"/>
  <c r="CR1254" i="5"/>
  <c r="CR1257" i="5" s="1"/>
  <c r="CR700" i="5"/>
  <c r="CR742" i="5"/>
  <c r="X19" i="19"/>
  <c r="AA19" i="19" s="1"/>
  <c r="Z19" i="19"/>
  <c r="AB1550" i="2"/>
  <c r="AB1461" i="2"/>
  <c r="DA742" i="5"/>
  <c r="DA700" i="5"/>
  <c r="DA1254" i="5"/>
  <c r="DA1257" i="5" s="1"/>
  <c r="II736" i="5"/>
  <c r="F109" i="7"/>
  <c r="I109" i="7"/>
  <c r="K109" i="7" s="1"/>
  <c r="IL700" i="5"/>
  <c r="I142" i="7" s="1"/>
  <c r="Z1390" i="2"/>
  <c r="Z1479" i="2" s="1"/>
  <c r="Z1566" i="2" s="1"/>
  <c r="Z1383" i="2"/>
  <c r="AA1250" i="2"/>
  <c r="AA1249" i="2"/>
  <c r="AA1248" i="2"/>
  <c r="AA1251" i="2"/>
  <c r="IH737" i="5"/>
  <c r="D110" i="7"/>
  <c r="E110" i="7" s="1"/>
  <c r="DE742" i="5"/>
  <c r="DE700" i="5"/>
  <c r="DE1254" i="5"/>
  <c r="DE1257" i="5" s="1"/>
  <c r="AA1000" i="2"/>
  <c r="AA1844" i="2"/>
  <c r="P109" i="7"/>
  <c r="IS736" i="5"/>
  <c r="AD1816" i="2"/>
  <c r="DN738" i="5"/>
  <c r="DN681" i="5"/>
  <c r="IS737" i="5"/>
  <c r="P110" i="7"/>
  <c r="AB1548" i="2"/>
  <c r="AB1459" i="2"/>
  <c r="AA1846" i="2"/>
  <c r="AA1863" i="2" s="1"/>
  <c r="AA1005" i="2"/>
  <c r="AG1844" i="2"/>
  <c r="AD1000" i="2"/>
  <c r="AE1250" i="2"/>
  <c r="AE1449" i="2" s="1"/>
  <c r="AE1538" i="2" s="1"/>
  <c r="AE1249" i="2"/>
  <c r="AE1448" i="2" s="1"/>
  <c r="AE1537" i="2" s="1"/>
  <c r="AE1248" i="2"/>
  <c r="AE1447" i="2" s="1"/>
  <c r="AE1536" i="2" s="1"/>
  <c r="AE1251" i="2"/>
  <c r="AK1415" i="2"/>
  <c r="AK1504" i="2" s="1"/>
  <c r="DF1254" i="5"/>
  <c r="DF1257" i="5" s="1"/>
  <c r="DF700" i="5"/>
  <c r="DF742" i="5"/>
  <c r="AC1390" i="2"/>
  <c r="AC1479" i="2" s="1"/>
  <c r="AC1566" i="2" s="1"/>
  <c r="AC1383" i="2"/>
  <c r="AB1549" i="2"/>
  <c r="AB1460" i="2"/>
  <c r="CV1254" i="5"/>
  <c r="CV1257" i="5" s="1"/>
  <c r="CV742" i="5"/>
  <c r="CV700" i="5"/>
  <c r="IF681" i="5"/>
  <c r="IF738" i="5"/>
  <c r="C112" i="7"/>
  <c r="E112" i="7" s="1"/>
  <c r="AA994" i="2"/>
  <c r="AA1838" i="2"/>
  <c r="AA1041" i="2"/>
  <c r="CT1254" i="5"/>
  <c r="CT1257" i="5" s="1"/>
  <c r="CT742" i="5"/>
  <c r="CT700" i="5"/>
  <c r="AM1133" i="2"/>
  <c r="AN589" i="2"/>
  <c r="IG738" i="5"/>
  <c r="IG681" i="5"/>
  <c r="JR851" i="5"/>
  <c r="AH1548" i="2"/>
  <c r="AH1459" i="2"/>
  <c r="IK700" i="5"/>
  <c r="IK702" i="5" s="1"/>
  <c r="IK736" i="5"/>
  <c r="IK748" i="5" s="1"/>
  <c r="G109" i="7"/>
  <c r="IM664" i="5"/>
  <c r="F110" i="7"/>
  <c r="H110" i="7" s="1"/>
  <c r="II737" i="5"/>
  <c r="AG1838" i="2"/>
  <c r="AD994" i="2"/>
  <c r="AH1461" i="2"/>
  <c r="AH1550" i="2"/>
  <c r="CJ742" i="5"/>
  <c r="CJ1254" i="5"/>
  <c r="CJ1257" i="5" s="1"/>
  <c r="CJ700" i="5"/>
  <c r="AB1458" i="2"/>
  <c r="AB1547" i="2"/>
  <c r="AF19" i="19"/>
  <c r="AL1416" i="2"/>
  <c r="AL1908" i="2"/>
  <c r="AN1422" i="2"/>
  <c r="AN1511" i="2" s="1"/>
  <c r="JU851" i="5"/>
  <c r="AN647" i="2"/>
  <c r="AC1250" i="2"/>
  <c r="AC1449" i="2" s="1"/>
  <c r="AC1538" i="2" s="1"/>
  <c r="AC1249" i="2"/>
  <c r="AC1448" i="2" s="1"/>
  <c r="AC1537" i="2" s="1"/>
  <c r="AC1248" i="2"/>
  <c r="AC1447" i="2" s="1"/>
  <c r="AC1536" i="2" s="1"/>
  <c r="AC1251" i="2"/>
  <c r="AC1450" i="2" s="1"/>
  <c r="AC1539" i="2" s="1"/>
  <c r="AD1462" i="2"/>
  <c r="AD1551" i="2"/>
  <c r="AH1942" i="2"/>
  <c r="E1207" i="2"/>
  <c r="AD870" i="2"/>
  <c r="AD967" i="2" s="1"/>
  <c r="AD1013" i="2" s="1"/>
  <c r="AD1016" i="2" s="1"/>
  <c r="AD869" i="2"/>
  <c r="AD966" i="2" s="1"/>
  <c r="AD1012" i="2" s="1"/>
  <c r="AD1015" i="2" s="1"/>
  <c r="AD868" i="2"/>
  <c r="AD965" i="2" s="1"/>
  <c r="AD1011" i="2" s="1"/>
  <c r="AD871" i="2"/>
  <c r="AD968" i="2" s="1"/>
  <c r="AD1014" i="2" s="1"/>
  <c r="AD866" i="2"/>
  <c r="AD944" i="2"/>
  <c r="AR25" i="19"/>
  <c r="AP25" i="19"/>
  <c r="AS25" i="19" s="1"/>
  <c r="AA868" i="2"/>
  <c r="AA965" i="2" s="1"/>
  <c r="AA1011" i="2" s="1"/>
  <c r="AA866" i="2"/>
  <c r="AA944" i="2"/>
  <c r="AA870" i="2"/>
  <c r="AA967" i="2" s="1"/>
  <c r="AA1013" i="2" s="1"/>
  <c r="AA871" i="2"/>
  <c r="AA968" i="2" s="1"/>
  <c r="AA1014" i="2" s="1"/>
  <c r="AA869" i="2"/>
  <c r="AA966" i="2" s="1"/>
  <c r="AA1012" i="2" s="1"/>
  <c r="Z1250" i="2"/>
  <c r="Z1249" i="2"/>
  <c r="Z1248" i="2"/>
  <c r="Z1251" i="2"/>
  <c r="AF635" i="2"/>
  <c r="AF353" i="2"/>
  <c r="AB1390" i="2"/>
  <c r="AB1479" i="2" s="1"/>
  <c r="AB1566" i="2" s="1"/>
  <c r="AB1383" i="2"/>
  <c r="IV1098" i="5"/>
  <c r="IJ730" i="5"/>
  <c r="IJ664" i="5"/>
  <c r="AK1962" i="2"/>
  <c r="AK1961" i="2" s="1"/>
  <c r="AK1969" i="2" s="1"/>
  <c r="ID700" i="5"/>
  <c r="JJ606" i="5"/>
  <c r="JS903" i="5"/>
  <c r="JG643" i="5"/>
  <c r="AH621" i="2"/>
  <c r="AH339" i="2"/>
  <c r="JE562" i="5"/>
  <c r="AI329" i="2"/>
  <c r="AI755" i="2"/>
  <c r="JV991" i="5"/>
  <c r="AM327" i="2"/>
  <c r="AM365" i="2"/>
  <c r="AM366" i="2"/>
  <c r="AM364" i="2"/>
  <c r="AM306" i="2"/>
  <c r="AM307" i="2" s="1"/>
  <c r="JN667" i="5"/>
  <c r="AI342" i="2"/>
  <c r="AI912" i="2" s="1"/>
  <c r="AI624" i="2"/>
  <c r="AI630" i="2"/>
  <c r="AI348" i="2"/>
  <c r="AO1411" i="2"/>
  <c r="AO1501" i="2"/>
  <c r="IO681" i="5"/>
  <c r="L112" i="7"/>
  <c r="AH901" i="2"/>
  <c r="JE693" i="5"/>
  <c r="AH410" i="2"/>
  <c r="AI756" i="2"/>
  <c r="JH563" i="5" s="1"/>
  <c r="AI632" i="2"/>
  <c r="AI350" i="2"/>
  <c r="AJ632" i="2" s="1"/>
  <c r="Z1024" i="2"/>
  <c r="Y1855" i="2"/>
  <c r="J125" i="7"/>
  <c r="K125" i="7" s="1"/>
  <c r="IN700" i="5"/>
  <c r="J142" i="7" s="1"/>
  <c r="IN1206" i="5"/>
  <c r="AC1038" i="2"/>
  <c r="AC1039" i="2" s="1"/>
  <c r="AO410" i="2"/>
  <c r="AN1500" i="2"/>
  <c r="AN1404" i="2"/>
  <c r="AN1493" i="2" s="1"/>
  <c r="JB682" i="5"/>
  <c r="AG981" i="2"/>
  <c r="AG1030" i="2" s="1"/>
  <c r="AG900" i="2"/>
  <c r="AN410" i="2"/>
  <c r="JG635" i="5"/>
  <c r="IZ693" i="5"/>
  <c r="IZ682" i="5" s="1"/>
  <c r="JC563" i="5"/>
  <c r="JD563" i="5" s="1"/>
  <c r="AM434" i="2"/>
  <c r="AL435" i="2"/>
  <c r="JL559" i="5"/>
  <c r="JM559" i="5" s="1"/>
  <c r="JM621" i="5"/>
  <c r="JR835" i="5"/>
  <c r="JS835" i="5" s="1"/>
  <c r="JS798" i="5"/>
  <c r="AK395" i="2"/>
  <c r="JB570" i="5"/>
  <c r="JA570" i="5" s="1"/>
  <c r="JA717" i="5" s="1"/>
  <c r="AG947" i="2"/>
  <c r="AG996" i="2" s="1"/>
  <c r="AG639" i="2"/>
  <c r="JU802" i="5"/>
  <c r="AN1402" i="2"/>
  <c r="AN1491" i="2" s="1"/>
  <c r="AN572" i="2"/>
  <c r="JU799" i="5"/>
  <c r="AL395" i="2"/>
  <c r="JU778" i="5"/>
  <c r="AN514" i="2"/>
  <c r="IX657" i="5"/>
  <c r="IW664" i="5"/>
  <c r="T7" i="7"/>
  <c r="IY715" i="5"/>
  <c r="IX552" i="5"/>
  <c r="JH573" i="5"/>
  <c r="AI810" i="2"/>
  <c r="AN536" i="2"/>
  <c r="JU785" i="5"/>
  <c r="AL380" i="2"/>
  <c r="AG954" i="2"/>
  <c r="AG1001" i="2" s="1"/>
  <c r="JB590" i="5"/>
  <c r="AG786" i="2"/>
  <c r="JU801" i="5"/>
  <c r="AN580" i="2"/>
  <c r="AC1143" i="2"/>
  <c r="AD596" i="2"/>
  <c r="AJ954" i="2"/>
  <c r="AJ1001" i="2" s="1"/>
  <c r="AJ786" i="2"/>
  <c r="JK590" i="5"/>
  <c r="JN590" i="5"/>
  <c r="JS801" i="5"/>
  <c r="JS787" i="5"/>
  <c r="JE608" i="5"/>
  <c r="AH808" i="2"/>
  <c r="JI590" i="5"/>
  <c r="JI588" i="5" s="1"/>
  <c r="IW665" i="5"/>
  <c r="IX665" i="5" s="1"/>
  <c r="IX658" i="5"/>
  <c r="AN544" i="2"/>
  <c r="JU787" i="5"/>
  <c r="JC555" i="5"/>
  <c r="JS800" i="5"/>
  <c r="JE572" i="5"/>
  <c r="AH763" i="2"/>
  <c r="AI765" i="2"/>
  <c r="AN556" i="2"/>
  <c r="AN576" i="2"/>
  <c r="JU800" i="5"/>
  <c r="Q7" i="7"/>
  <c r="IT654" i="5"/>
  <c r="IT652" i="5"/>
  <c r="IT653" i="5"/>
  <c r="IT550" i="5"/>
  <c r="IT658" i="5"/>
  <c r="AF944" i="2"/>
  <c r="AF993" i="2" s="1"/>
  <c r="IY550" i="5"/>
  <c r="AO1402" i="2"/>
  <c r="AO1491" i="2" s="1"/>
  <c r="JX802" i="5"/>
  <c r="JS802" i="5"/>
  <c r="IZ606" i="5"/>
  <c r="JA606" i="5" s="1"/>
  <c r="JF555" i="5"/>
  <c r="JG555" i="5" s="1"/>
  <c r="JS778" i="5"/>
  <c r="JU798" i="5"/>
  <c r="AN568" i="2"/>
  <c r="JS792" i="5"/>
  <c r="AF360" i="2"/>
  <c r="AF642" i="2"/>
  <c r="JO828" i="5"/>
  <c r="JP828" i="5" s="1"/>
  <c r="AE993" i="2"/>
  <c r="AI1837" i="2"/>
  <c r="JN606" i="5"/>
  <c r="AK380" i="2"/>
  <c r="R8" i="7"/>
  <c r="IU552" i="5"/>
  <c r="JL595" i="5"/>
  <c r="JS799" i="5"/>
  <c r="JS785" i="5"/>
  <c r="JP912" i="5"/>
  <c r="IV714" i="5"/>
  <c r="S5" i="7"/>
  <c r="AE642" i="2"/>
  <c r="AE360" i="2"/>
  <c r="AI377" i="2"/>
  <c r="JM622" i="5"/>
  <c r="AQ1159" i="2" l="1"/>
  <c r="BL27" i="19"/>
  <c r="BM27" i="19" s="1"/>
  <c r="AT1729" i="2"/>
  <c r="KO952" i="5"/>
  <c r="KM952" i="5" s="1"/>
  <c r="KN952" i="5" s="1"/>
  <c r="W101" i="21"/>
  <c r="W97" i="21" s="1"/>
  <c r="JT907" i="5"/>
  <c r="JT891" i="5"/>
  <c r="JQ826" i="5"/>
  <c r="V123" i="21"/>
  <c r="T93" i="21"/>
  <c r="U93" i="21" s="1"/>
  <c r="JR1058" i="5"/>
  <c r="JR1067" i="5" s="1"/>
  <c r="JW912" i="5"/>
  <c r="AH51" i="19"/>
  <c r="AH22" i="19"/>
  <c r="AH20" i="19"/>
  <c r="AH19" i="19"/>
  <c r="AH61" i="19"/>
  <c r="AO1233" i="2"/>
  <c r="JO773" i="5"/>
  <c r="JP773" i="5" s="1"/>
  <c r="Q123" i="21"/>
  <c r="R123" i="21" s="1"/>
  <c r="AG20" i="19"/>
  <c r="AJ20" i="19" s="1"/>
  <c r="AI20" i="19"/>
  <c r="AN592" i="2"/>
  <c r="T17" i="21"/>
  <c r="U17" i="21" s="1"/>
  <c r="U87" i="21"/>
  <c r="JW890" i="5"/>
  <c r="JU890" i="5" s="1"/>
  <c r="W91" i="21"/>
  <c r="W87" i="21" s="1"/>
  <c r="W60" i="21" s="1"/>
  <c r="JT843" i="5"/>
  <c r="JR843" i="5" s="1"/>
  <c r="V29" i="21"/>
  <c r="AM1138" i="2"/>
  <c r="V18" i="21"/>
  <c r="JT833" i="5"/>
  <c r="JR833" i="5" s="1"/>
  <c r="V19" i="21"/>
  <c r="JQ894" i="5"/>
  <c r="JQ764" i="5"/>
  <c r="JO764" i="5" s="1"/>
  <c r="T8" i="21"/>
  <c r="U8" i="21" s="1"/>
  <c r="AN1139" i="2"/>
  <c r="AZ38" i="19"/>
  <c r="BA38" i="19"/>
  <c r="AM496" i="2"/>
  <c r="BF31" i="19"/>
  <c r="BI31" i="19"/>
  <c r="BH71" i="19"/>
  <c r="BK71" i="19" s="1"/>
  <c r="BI71" i="19"/>
  <c r="Z7" i="19"/>
  <c r="Y7" i="19"/>
  <c r="AD51" i="19"/>
  <c r="AE51" i="19" s="1"/>
  <c r="AV57" i="19"/>
  <c r="AW57" i="19" s="1"/>
  <c r="JS877" i="5"/>
  <c r="AD22" i="19"/>
  <c r="AE22" i="19" s="1"/>
  <c r="AM70" i="19"/>
  <c r="AN70" i="19" s="1"/>
  <c r="AV23" i="19"/>
  <c r="AW23" i="19" s="1"/>
  <c r="JL749" i="5"/>
  <c r="KO839" i="5"/>
  <c r="KM839" i="5" s="1"/>
  <c r="KN839" i="5" s="1"/>
  <c r="AV1145" i="2"/>
  <c r="AU1145" i="2" s="1"/>
  <c r="AT1644" i="2" s="1"/>
  <c r="AR1159" i="2"/>
  <c r="AP553" i="2"/>
  <c r="AP1095" i="2" s="1"/>
  <c r="JT827" i="5"/>
  <c r="JR827" i="5" s="1"/>
  <c r="AO1141" i="2"/>
  <c r="JZ835" i="5" s="1"/>
  <c r="JX835" i="5" s="1"/>
  <c r="JY835" i="5" s="1"/>
  <c r="AP593" i="2"/>
  <c r="AP1141" i="2" s="1"/>
  <c r="KC835" i="5" s="1"/>
  <c r="AO1095" i="2"/>
  <c r="JT779" i="5"/>
  <c r="AM1090" i="2"/>
  <c r="AN1079" i="2"/>
  <c r="JT773" i="5"/>
  <c r="JR773" i="5" s="1"/>
  <c r="JS773" i="5" s="1"/>
  <c r="AS1420" i="2"/>
  <c r="AS1509" i="2" s="1"/>
  <c r="AT1155" i="2"/>
  <c r="AN1133" i="2"/>
  <c r="AT598" i="2"/>
  <c r="AS1644" i="2"/>
  <c r="AR507" i="2"/>
  <c r="AO497" i="2"/>
  <c r="AR1317" i="2"/>
  <c r="KI991" i="5" s="1"/>
  <c r="KG991" i="5" s="1"/>
  <c r="KG990" i="5" s="1"/>
  <c r="AQ1413" i="2"/>
  <c r="AQ1502" i="2" s="1"/>
  <c r="KF824" i="5"/>
  <c r="KE824" i="5" s="1"/>
  <c r="AO20" i="19"/>
  <c r="AM1909" i="2"/>
  <c r="AR1130" i="2"/>
  <c r="KI824" i="5" s="1"/>
  <c r="KH824" i="5" s="1"/>
  <c r="KF990" i="5"/>
  <c r="AM1417" i="2"/>
  <c r="AM1506" i="2" s="1"/>
  <c r="AQ1375" i="2"/>
  <c r="AH1665" i="2"/>
  <c r="AG1665" i="2"/>
  <c r="AH1371" i="2"/>
  <c r="AQ1412" i="2"/>
  <c r="AR1129" i="2"/>
  <c r="AS1129" i="2" s="1"/>
  <c r="KL823" i="5" s="1"/>
  <c r="KK823" i="5" s="1"/>
  <c r="AP1501" i="2"/>
  <c r="JZ919" i="5"/>
  <c r="JZ903" i="5"/>
  <c r="JX903" i="5" s="1"/>
  <c r="JZ885" i="5"/>
  <c r="JX885" i="5" s="1"/>
  <c r="AO603" i="2"/>
  <c r="JQ832" i="5"/>
  <c r="JO832" i="5" s="1"/>
  <c r="JP832" i="5" s="1"/>
  <c r="AM455" i="2"/>
  <c r="AG1666" i="2"/>
  <c r="AG1670" i="2" s="1"/>
  <c r="AF1250" i="2"/>
  <c r="AF1449" i="2" s="1"/>
  <c r="AF1538" i="2" s="1"/>
  <c r="AF1366" i="2"/>
  <c r="AF1474" i="2" s="1"/>
  <c r="AF1563" i="2" s="1"/>
  <c r="AF1568" i="2" s="1"/>
  <c r="AH1666" i="2"/>
  <c r="AH1670" i="2" s="1"/>
  <c r="AO1463" i="2"/>
  <c r="AO1552" i="2" s="1"/>
  <c r="AL1505" i="2"/>
  <c r="AL1415" i="2"/>
  <c r="AL1504" i="2" s="1"/>
  <c r="KD990" i="5"/>
  <c r="AH1568" i="2"/>
  <c r="AH1462" i="2"/>
  <c r="AH1547" i="2"/>
  <c r="AH1453" i="2"/>
  <c r="AH1549" i="2"/>
  <c r="AH1382" i="2"/>
  <c r="AH1390" i="2" s="1"/>
  <c r="JZ947" i="5"/>
  <c r="AE1450" i="2"/>
  <c r="AE1539" i="2" s="1"/>
  <c r="AD1450" i="2"/>
  <c r="AD1539" i="2" s="1"/>
  <c r="AD1479" i="2"/>
  <c r="AD1566" i="2" s="1"/>
  <c r="AH1455" i="2"/>
  <c r="AH1544" i="2" s="1"/>
  <c r="AH1450" i="2"/>
  <c r="AH1539" i="2" s="1"/>
  <c r="JZ792" i="5"/>
  <c r="BJ71" i="19"/>
  <c r="KI921" i="5"/>
  <c r="KG921" i="5" s="1"/>
  <c r="KH921" i="5" s="1"/>
  <c r="AS1242" i="2"/>
  <c r="AT1135" i="2"/>
  <c r="KL829" i="5"/>
  <c r="KJ829" i="5" s="1"/>
  <c r="KK829" i="5" s="1"/>
  <c r="KC851" i="5"/>
  <c r="AO1380" i="2"/>
  <c r="AO1388" i="2" s="1"/>
  <c r="AO1204" i="2"/>
  <c r="JZ883" i="5" s="1"/>
  <c r="JZ877" i="5"/>
  <c r="JZ1058" i="5" s="1"/>
  <c r="KB823" i="5"/>
  <c r="AO1640" i="2"/>
  <c r="KC762" i="5"/>
  <c r="BG70" i="19"/>
  <c r="AQ548" i="2"/>
  <c r="KF788" i="5"/>
  <c r="KD788" i="5" s="1"/>
  <c r="KE788" i="5" s="1"/>
  <c r="AT1140" i="2"/>
  <c r="KL834" i="5"/>
  <c r="KJ834" i="5" s="1"/>
  <c r="KK834" i="5" s="1"/>
  <c r="AS1152" i="2"/>
  <c r="KL846" i="5" s="1"/>
  <c r="KJ846" i="5" s="1"/>
  <c r="KK846" i="5" s="1"/>
  <c r="KI846" i="5"/>
  <c r="KG846" i="5" s="1"/>
  <c r="KH846" i="5" s="1"/>
  <c r="AT1318" i="2"/>
  <c r="KL992" i="5"/>
  <c r="KJ992" i="5" s="1"/>
  <c r="KK992" i="5" s="1"/>
  <c r="KD892" i="5"/>
  <c r="KE892" i="5" s="1"/>
  <c r="JW760" i="5"/>
  <c r="JU760" i="5" s="1"/>
  <c r="JV760" i="5" s="1"/>
  <c r="AP1419" i="2"/>
  <c r="AP1508" i="2" s="1"/>
  <c r="KC845" i="5"/>
  <c r="KA845" i="5" s="1"/>
  <c r="KB845" i="5" s="1"/>
  <c r="KA802" i="5"/>
  <c r="KB802" i="5" s="1"/>
  <c r="KI802" i="5"/>
  <c r="KG802" i="5" s="1"/>
  <c r="KH802" i="5" s="1"/>
  <c r="JW789" i="5"/>
  <c r="AT1137" i="2"/>
  <c r="KL831" i="5"/>
  <c r="KJ831" i="5" s="1"/>
  <c r="KK831" i="5" s="1"/>
  <c r="AR1148" i="2"/>
  <c r="KF842" i="5"/>
  <c r="KD842" i="5" s="1"/>
  <c r="KE842" i="5" s="1"/>
  <c r="KI830" i="5"/>
  <c r="KG830" i="5" s="1"/>
  <c r="KH830" i="5" s="1"/>
  <c r="AS1136" i="2"/>
  <c r="KI822" i="5"/>
  <c r="KH822" i="5" s="1"/>
  <c r="AS1128" i="2"/>
  <c r="AQ480" i="2"/>
  <c r="KF791" i="5"/>
  <c r="KD791" i="5" s="1"/>
  <c r="KE791" i="5" s="1"/>
  <c r="KI990" i="5"/>
  <c r="AS1316" i="2"/>
  <c r="AQ476" i="2"/>
  <c r="KF768" i="5"/>
  <c r="KD768" i="5" s="1"/>
  <c r="KE768" i="5" s="1"/>
  <c r="AQ1419" i="2"/>
  <c r="AQ1508" i="2" s="1"/>
  <c r="KF845" i="5"/>
  <c r="KD845" i="5" s="1"/>
  <c r="KE845" i="5" s="1"/>
  <c r="AR526" i="2"/>
  <c r="KI781" i="5"/>
  <c r="KB824" i="5"/>
  <c r="KA991" i="5"/>
  <c r="KA990" i="5" s="1"/>
  <c r="KB990" i="5" s="1"/>
  <c r="AR719" i="2"/>
  <c r="AS720" i="2"/>
  <c r="AV71" i="19"/>
  <c r="AW71" i="19" s="1"/>
  <c r="JU947" i="5"/>
  <c r="AY70" i="19"/>
  <c r="BB70" i="19" s="1"/>
  <c r="BA70" i="19"/>
  <c r="AN1722" i="2"/>
  <c r="BE71" i="19"/>
  <c r="BF71" i="19" s="1"/>
  <c r="JX947" i="5"/>
  <c r="AT527" i="2"/>
  <c r="AT1087" i="2" s="1"/>
  <c r="AV1087" i="2" s="1"/>
  <c r="AU1087" i="2" s="1"/>
  <c r="AP444" i="2"/>
  <c r="AO1066" i="2"/>
  <c r="AP1066" i="2" s="1"/>
  <c r="AQ1066" i="2" s="1"/>
  <c r="AR1066" i="2" s="1"/>
  <c r="AS1066" i="2" s="1"/>
  <c r="AT1066" i="2" s="1"/>
  <c r="AV1066" i="2" s="1"/>
  <c r="AU1066" i="2" s="1"/>
  <c r="AR1151" i="2"/>
  <c r="AM38" i="19"/>
  <c r="AN38" i="19" s="1"/>
  <c r="AP459" i="2"/>
  <c r="IY1098" i="5"/>
  <c r="AD1665" i="2"/>
  <c r="IS1098" i="5"/>
  <c r="AF1259" i="2"/>
  <c r="AF1461" i="2"/>
  <c r="AF1455" i="2"/>
  <c r="AF1544" i="2" s="1"/>
  <c r="IE700" i="5"/>
  <c r="IE748" i="5" s="1"/>
  <c r="IE742" i="5"/>
  <c r="AF1549" i="2"/>
  <c r="JX845" i="5"/>
  <c r="JY845" i="5" s="1"/>
  <c r="AE1383" i="2"/>
  <c r="AF1551" i="2"/>
  <c r="AF1548" i="2"/>
  <c r="AF1453" i="2"/>
  <c r="AF1542" i="2"/>
  <c r="AF1666" i="2"/>
  <c r="AF1670" i="2" s="1"/>
  <c r="AF1382" i="2"/>
  <c r="AF1383" i="2" s="1"/>
  <c r="Y1250" i="2"/>
  <c r="Y1249" i="2"/>
  <c r="Y1248" i="2"/>
  <c r="AN552" i="2"/>
  <c r="AB1251" i="2"/>
  <c r="AB1450" i="2" s="1"/>
  <c r="AB1539" i="2" s="1"/>
  <c r="AB1249" i="2"/>
  <c r="AB1448" i="2" s="1"/>
  <c r="AB1537" i="2" s="1"/>
  <c r="AB1250" i="2"/>
  <c r="AB1449" i="2" s="1"/>
  <c r="AB1538" i="2" s="1"/>
  <c r="JP843" i="5"/>
  <c r="AN1149" i="2"/>
  <c r="JR789" i="5"/>
  <c r="JS789" i="5" s="1"/>
  <c r="JR767" i="5"/>
  <c r="JS767" i="5" s="1"/>
  <c r="JP770" i="5"/>
  <c r="JO769" i="5"/>
  <c r="JP769" i="5" s="1"/>
  <c r="JP779" i="5"/>
  <c r="JM761" i="5"/>
  <c r="AN456" i="2"/>
  <c r="AK1639" i="2"/>
  <c r="AL1675" i="2"/>
  <c r="AO544" i="2"/>
  <c r="AL1399" i="2"/>
  <c r="AL1488" i="2" s="1"/>
  <c r="AO536" i="2"/>
  <c r="AO572" i="2"/>
  <c r="AO568" i="2"/>
  <c r="AO556" i="2"/>
  <c r="AO576" i="2"/>
  <c r="AM1910" i="2"/>
  <c r="JX801" i="5"/>
  <c r="JV885" i="5"/>
  <c r="AV44" i="19"/>
  <c r="AW44" i="19" s="1"/>
  <c r="AF1249" i="2"/>
  <c r="AF1448" i="2" s="1"/>
  <c r="AF1537" i="2" s="1"/>
  <c r="AF1248" i="2"/>
  <c r="AF1447" i="2" s="1"/>
  <c r="AF1536" i="2" s="1"/>
  <c r="JV851" i="5"/>
  <c r="AV25" i="19"/>
  <c r="AW25" i="19" s="1"/>
  <c r="JS890" i="5"/>
  <c r="AM50" i="19"/>
  <c r="AN50" i="19" s="1"/>
  <c r="JY892" i="5"/>
  <c r="BE52" i="19"/>
  <c r="BF52" i="19" s="1"/>
  <c r="AO22" i="19"/>
  <c r="AF1251" i="2"/>
  <c r="JV762" i="5"/>
  <c r="AY57" i="19"/>
  <c r="BB57" i="19" s="1"/>
  <c r="AY44" i="19"/>
  <c r="BB44" i="19" s="1"/>
  <c r="AR63" i="19"/>
  <c r="AM602" i="2"/>
  <c r="AM1418" i="2"/>
  <c r="AM1507" i="2" s="1"/>
  <c r="AM1067" i="2"/>
  <c r="JT761" i="5" s="1"/>
  <c r="AK1643" i="2"/>
  <c r="AE1445" i="2"/>
  <c r="AE1534" i="2" s="1"/>
  <c r="AA1366" i="2"/>
  <c r="Z1665" i="2" s="1"/>
  <c r="AI22" i="19"/>
  <c r="X7" i="19"/>
  <c r="AA7" i="19" s="1"/>
  <c r="AG61" i="19"/>
  <c r="AJ61" i="19" s="1"/>
  <c r="AG22" i="19"/>
  <c r="AJ22" i="19" s="1"/>
  <c r="AL1904" i="2"/>
  <c r="AF7" i="19"/>
  <c r="JU919" i="5"/>
  <c r="JV919" i="5" s="1"/>
  <c r="JU877" i="5"/>
  <c r="AP1206" i="2"/>
  <c r="AX63" i="19"/>
  <c r="AZ63" i="19" s="1"/>
  <c r="AP1240" i="2"/>
  <c r="AF18" i="19"/>
  <c r="AO51" i="19"/>
  <c r="AQ51" i="19" s="1"/>
  <c r="AL1907" i="2"/>
  <c r="BG44" i="19"/>
  <c r="BI44" i="19" s="1"/>
  <c r="AR50" i="19"/>
  <c r="AP50" i="19"/>
  <c r="AS50" i="19" s="1"/>
  <c r="AN1228" i="2"/>
  <c r="AI61" i="19"/>
  <c r="X18" i="19"/>
  <c r="AA18" i="19" s="1"/>
  <c r="Z18" i="19"/>
  <c r="AN1441" i="2"/>
  <c r="AN1530" i="2" s="1"/>
  <c r="AO61" i="19"/>
  <c r="AQ61" i="19" s="1"/>
  <c r="AD61" i="19"/>
  <c r="AE61" i="19" s="1"/>
  <c r="U54" i="19"/>
  <c r="V54" i="19" s="1"/>
  <c r="AM1530" i="2"/>
  <c r="AP63" i="19"/>
  <c r="AS63" i="19" s="1"/>
  <c r="AO1431" i="2"/>
  <c r="AO1520" i="2" s="1"/>
  <c r="AO1211" i="2"/>
  <c r="AO665" i="2"/>
  <c r="JM891" i="5"/>
  <c r="U51" i="19"/>
  <c r="V51" i="19" s="1"/>
  <c r="BA44" i="19"/>
  <c r="AM1215" i="2"/>
  <c r="AN1654" i="2"/>
  <c r="JR891" i="5"/>
  <c r="AX50" i="19"/>
  <c r="AZ50" i="19" s="1"/>
  <c r="AN1212" i="2"/>
  <c r="AL1962" i="2"/>
  <c r="AL1961" i="2" s="1"/>
  <c r="BJ25" i="19"/>
  <c r="BH25" i="19"/>
  <c r="BK25" i="19" s="1"/>
  <c r="AB1474" i="2"/>
  <c r="AB1563" i="2" s="1"/>
  <c r="AH1962" i="2"/>
  <c r="AH1961" i="2" s="1"/>
  <c r="AG1662" i="2"/>
  <c r="AG1663" i="2" s="1"/>
  <c r="AH1662" i="2"/>
  <c r="AH1663" i="2" s="1"/>
  <c r="AH1645" i="2"/>
  <c r="AG1659" i="2"/>
  <c r="AG1645" i="2"/>
  <c r="AH1659" i="2"/>
  <c r="AQ1651" i="2"/>
  <c r="AQ1652" i="2"/>
  <c r="AO1646" i="2"/>
  <c r="AP647" i="2"/>
  <c r="AP1422" i="2"/>
  <c r="AP1511" i="2" s="1"/>
  <c r="AN1658" i="2"/>
  <c r="AK1662" i="2"/>
  <c r="AK1663" i="2" s="1"/>
  <c r="AE1474" i="2"/>
  <c r="AE1563" i="2" s="1"/>
  <c r="AE1568" i="2" s="1"/>
  <c r="AQ459" i="2"/>
  <c r="AP1640" i="2"/>
  <c r="Y1383" i="2"/>
  <c r="AK1659" i="2"/>
  <c r="JC887" i="5"/>
  <c r="JE887" i="5" s="1"/>
  <c r="AH1208" i="2" s="1"/>
  <c r="AH1379" i="2" s="1"/>
  <c r="AH1387" i="2" s="1"/>
  <c r="GN1244" i="5"/>
  <c r="GN1242" i="5" s="1"/>
  <c r="GN1241" i="5" s="1"/>
  <c r="GN1257" i="5" s="1"/>
  <c r="AI51" i="19"/>
  <c r="AG51" i="19"/>
  <c r="AJ51" i="19" s="1"/>
  <c r="Z54" i="19"/>
  <c r="X54" i="19"/>
  <c r="AA54" i="19" s="1"/>
  <c r="AF54" i="19"/>
  <c r="AI1383" i="2"/>
  <c r="AO514" i="2"/>
  <c r="IG1098" i="5"/>
  <c r="IM1098" i="5"/>
  <c r="AO580" i="2"/>
  <c r="AI1461" i="2"/>
  <c r="AI1550" i="2"/>
  <c r="BA57" i="19"/>
  <c r="AY38" i="19"/>
  <c r="BB38" i="19" s="1"/>
  <c r="AR584" i="2"/>
  <c r="AR1402" i="2"/>
  <c r="AR1491" i="2" s="1"/>
  <c r="AQ515" i="2"/>
  <c r="AP1084" i="2"/>
  <c r="AQ537" i="2"/>
  <c r="AP1091" i="2"/>
  <c r="AS549" i="2"/>
  <c r="AR1094" i="2"/>
  <c r="KI788" i="5" s="1"/>
  <c r="KG788" i="5" s="1"/>
  <c r="KH788" i="5" s="1"/>
  <c r="AT585" i="2"/>
  <c r="AT1108" i="2" s="1"/>
  <c r="AS1108" i="2"/>
  <c r="KL802" i="5" s="1"/>
  <c r="Y1474" i="2"/>
  <c r="Y1563" i="2" s="1"/>
  <c r="AP1500" i="2"/>
  <c r="AP1404" i="2"/>
  <c r="AP1493" i="2" s="1"/>
  <c r="AQ545" i="2"/>
  <c r="AP1093" i="2"/>
  <c r="KC787" i="5" s="1"/>
  <c r="AS460" i="2"/>
  <c r="AR1068" i="2"/>
  <c r="AQ557" i="2"/>
  <c r="AP1098" i="2"/>
  <c r="AQ573" i="2"/>
  <c r="AP1105" i="2"/>
  <c r="AS477" i="2"/>
  <c r="AR1074" i="2"/>
  <c r="KI768" i="5" s="1"/>
  <c r="KG768" i="5" s="1"/>
  <c r="KH768" i="5" s="1"/>
  <c r="AQ581" i="2"/>
  <c r="AP1107" i="2"/>
  <c r="AP1104" i="2"/>
  <c r="AQ569" i="2"/>
  <c r="AQ577" i="2"/>
  <c r="AP1106" i="2"/>
  <c r="AS481" i="2"/>
  <c r="AR1097" i="2"/>
  <c r="KI791" i="5" s="1"/>
  <c r="KG791" i="5" s="1"/>
  <c r="KH791" i="5" s="1"/>
  <c r="BG57" i="19"/>
  <c r="BI57" i="19" s="1"/>
  <c r="AP1224" i="2"/>
  <c r="AO1073" i="2"/>
  <c r="JZ767" i="5" s="1"/>
  <c r="AP473" i="2"/>
  <c r="BG38" i="19"/>
  <c r="AP1198" i="2"/>
  <c r="AA1010" i="2"/>
  <c r="BJ31" i="19"/>
  <c r="BH31" i="19"/>
  <c r="BK31" i="19" s="1"/>
  <c r="AM1132" i="2"/>
  <c r="AO19" i="19"/>
  <c r="AQ19" i="19" s="1"/>
  <c r="Y1366" i="2"/>
  <c r="ID1098" i="5"/>
  <c r="AO679" i="2"/>
  <c r="AO1433" i="2"/>
  <c r="AO1522" i="2" s="1"/>
  <c r="AM25" i="19"/>
  <c r="AN25" i="19" s="1"/>
  <c r="JP833" i="5"/>
  <c r="AD20" i="19"/>
  <c r="AE20" i="19" s="1"/>
  <c r="JP907" i="5"/>
  <c r="JR907" i="5"/>
  <c r="AM63" i="19"/>
  <c r="AN63" i="19" s="1"/>
  <c r="AO1429" i="2"/>
  <c r="AO1518" i="2" s="1"/>
  <c r="JY991" i="5"/>
  <c r="AO671" i="2"/>
  <c r="JW1067" i="5"/>
  <c r="JM826" i="5"/>
  <c r="U18" i="19"/>
  <c r="V18" i="19" s="1"/>
  <c r="U61" i="19"/>
  <c r="V61" i="19" s="1"/>
  <c r="JL1059" i="5"/>
  <c r="JM907" i="5"/>
  <c r="JM749" i="5" s="1"/>
  <c r="JJ1057" i="5"/>
  <c r="JJ1066" i="5" s="1"/>
  <c r="JJ1059" i="5"/>
  <c r="JJ1068" i="5" s="1"/>
  <c r="AM484" i="2"/>
  <c r="AN1075" i="2"/>
  <c r="JW769" i="5" s="1"/>
  <c r="AO485" i="2"/>
  <c r="IS1053" i="5"/>
  <c r="IT1052" i="5"/>
  <c r="H109" i="7"/>
  <c r="AN1085" i="2"/>
  <c r="AO519" i="2"/>
  <c r="AM518" i="2"/>
  <c r="CG1254" i="5"/>
  <c r="CG1257" i="5" s="1"/>
  <c r="CG700" i="5"/>
  <c r="CG742" i="5"/>
  <c r="AD877" i="2"/>
  <c r="AD974" i="2" s="1"/>
  <c r="AG1855" i="2" s="1"/>
  <c r="AN472" i="2"/>
  <c r="AC1366" i="2"/>
  <c r="AB1665" i="2" s="1"/>
  <c r="IP1098" i="5"/>
  <c r="IH700" i="5"/>
  <c r="IH748" i="5" s="1"/>
  <c r="Z1533" i="2"/>
  <c r="Z1474" i="2"/>
  <c r="Z1563" i="2" s="1"/>
  <c r="CI1254" i="5"/>
  <c r="CI1257" i="5" s="1"/>
  <c r="CI742" i="5"/>
  <c r="CI700" i="5"/>
  <c r="CM1254" i="5"/>
  <c r="CM1257" i="5" s="1"/>
  <c r="CM700" i="5"/>
  <c r="CM742" i="5"/>
  <c r="AD1390" i="2"/>
  <c r="AD1383" i="2"/>
  <c r="AH357" i="2"/>
  <c r="AH639" i="2"/>
  <c r="AG640" i="2"/>
  <c r="AA695" i="2"/>
  <c r="AA395" i="2"/>
  <c r="AD993" i="2"/>
  <c r="AG1837" i="2"/>
  <c r="AA642" i="2"/>
  <c r="AA360" i="2"/>
  <c r="AA993" i="2"/>
  <c r="AA1837" i="2"/>
  <c r="AG635" i="2"/>
  <c r="AG353" i="2"/>
  <c r="IM736" i="5"/>
  <c r="AD963" i="2"/>
  <c r="AD876" i="2"/>
  <c r="G142" i="7"/>
  <c r="IK701" i="5"/>
  <c r="IM700" i="5"/>
  <c r="IM702" i="5" s="1"/>
  <c r="AO589" i="2"/>
  <c r="AC1018" i="2"/>
  <c r="AA1018" i="2"/>
  <c r="AB1018" i="2"/>
  <c r="Z1018" i="2"/>
  <c r="AD1018" i="2"/>
  <c r="Y1018" i="2"/>
  <c r="AD360" i="2"/>
  <c r="AD642" i="2"/>
  <c r="AO1422" i="2"/>
  <c r="AO1511" i="2" s="1"/>
  <c r="JX851" i="5"/>
  <c r="AO647" i="2"/>
  <c r="AG19" i="19"/>
  <c r="AJ19" i="19" s="1"/>
  <c r="AI19" i="19"/>
  <c r="AC1015" i="2"/>
  <c r="AA1015" i="2"/>
  <c r="AB1015" i="2"/>
  <c r="Y1015" i="2"/>
  <c r="Z1015" i="2"/>
  <c r="C125" i="7"/>
  <c r="E125" i="7" s="1"/>
  <c r="IF700" i="5"/>
  <c r="IF742" i="5"/>
  <c r="DN1254" i="5"/>
  <c r="DN1257" i="5" s="1"/>
  <c r="DN742" i="5"/>
  <c r="DN700" i="5"/>
  <c r="II700" i="5" s="1"/>
  <c r="AC1016" i="2"/>
  <c r="Z1016" i="2"/>
  <c r="Y1016" i="2"/>
  <c r="AA1016" i="2"/>
  <c r="AB1016" i="2"/>
  <c r="AC1207" i="2"/>
  <c r="Y1207" i="2"/>
  <c r="W1207" i="2"/>
  <c r="Z1207" i="2"/>
  <c r="AD1207" i="2"/>
  <c r="X1207" i="2"/>
  <c r="V1207" i="2"/>
  <c r="AA1207" i="2"/>
  <c r="AB1207" i="2"/>
  <c r="JS851" i="5"/>
  <c r="AM1908" i="2"/>
  <c r="AM1416" i="2"/>
  <c r="AM1505" i="2" s="1"/>
  <c r="AM588" i="2"/>
  <c r="IJ736" i="5"/>
  <c r="AA876" i="2"/>
  <c r="AA973" i="2" s="1"/>
  <c r="AA963" i="2"/>
  <c r="AD1010" i="2"/>
  <c r="AG1850" i="2"/>
  <c r="AG1865" i="2" s="1"/>
  <c r="K142" i="7"/>
  <c r="IG700" i="5"/>
  <c r="IG748" i="5" s="1"/>
  <c r="IG742" i="5"/>
  <c r="JS912" i="5"/>
  <c r="JM894" i="5"/>
  <c r="JP891" i="5"/>
  <c r="JC562" i="5"/>
  <c r="JD562" i="5" s="1"/>
  <c r="AN366" i="2"/>
  <c r="AN306" i="2"/>
  <c r="AN307" i="2" s="1"/>
  <c r="AN327" i="2"/>
  <c r="AI339" i="2"/>
  <c r="AI621" i="2"/>
  <c r="JH562" i="5"/>
  <c r="JL1057" i="5"/>
  <c r="L125" i="7"/>
  <c r="IO700" i="5"/>
  <c r="L142" i="7" s="1"/>
  <c r="IO1206" i="5"/>
  <c r="JA693" i="5"/>
  <c r="AG879" i="2"/>
  <c r="AG980" i="2"/>
  <c r="AG1029" i="2" s="1"/>
  <c r="JB681" i="5"/>
  <c r="AM435" i="2"/>
  <c r="AN434" i="2"/>
  <c r="JV903" i="5"/>
  <c r="JO826" i="5"/>
  <c r="JA682" i="5"/>
  <c r="AI901" i="2"/>
  <c r="AI410" i="2"/>
  <c r="JH693" i="5"/>
  <c r="JC693" i="5"/>
  <c r="JC682" i="5" s="1"/>
  <c r="AO1404" i="2"/>
  <c r="AO1493" i="2" s="1"/>
  <c r="AO1500" i="2"/>
  <c r="JE682" i="5"/>
  <c r="AH981" i="2"/>
  <c r="AH1030" i="2" s="1"/>
  <c r="AH900" i="2"/>
  <c r="JF563" i="5"/>
  <c r="JG563" i="5" s="1"/>
  <c r="JV798" i="5"/>
  <c r="AM395" i="2"/>
  <c r="AM695" i="2"/>
  <c r="T5" i="7"/>
  <c r="IY714" i="5"/>
  <c r="IX550" i="5"/>
  <c r="Q98" i="7"/>
  <c r="IU653" i="5"/>
  <c r="R98" i="7" s="1"/>
  <c r="JP1067" i="5"/>
  <c r="JQ1067" i="5"/>
  <c r="JV778" i="5"/>
  <c r="IW667" i="5"/>
  <c r="IX664" i="5"/>
  <c r="JE606" i="5"/>
  <c r="AH380" i="2"/>
  <c r="AH788" i="2"/>
  <c r="JV801" i="5"/>
  <c r="AG953" i="2"/>
  <c r="AG1000" i="2" s="1"/>
  <c r="JB588" i="5"/>
  <c r="JN588" i="5"/>
  <c r="AH947" i="2"/>
  <c r="AH996" i="2" s="1"/>
  <c r="JE570" i="5"/>
  <c r="JC608" i="5"/>
  <c r="JD608" i="5" s="1"/>
  <c r="JV799" i="5"/>
  <c r="JU835" i="5"/>
  <c r="JV835" i="5" s="1"/>
  <c r="JM595" i="5"/>
  <c r="JR828" i="5"/>
  <c r="JS828" i="5" s="1"/>
  <c r="AJ953" i="2"/>
  <c r="AJ1000" i="2" s="1"/>
  <c r="JK588" i="5"/>
  <c r="JJ588" i="5" s="1"/>
  <c r="AM380" i="2"/>
  <c r="JV802" i="5"/>
  <c r="JJ590" i="5"/>
  <c r="JV800" i="5"/>
  <c r="JD555" i="5"/>
  <c r="JV785" i="5"/>
  <c r="IU652" i="5"/>
  <c r="R97" i="7" s="1"/>
  <c r="Q97" i="7"/>
  <c r="JC572" i="5"/>
  <c r="JC570" i="5" s="1"/>
  <c r="JH608" i="5"/>
  <c r="AI808" i="2"/>
  <c r="IZ607" i="5"/>
  <c r="JA607" i="5" s="1"/>
  <c r="IZ590" i="5"/>
  <c r="Q5" i="7"/>
  <c r="IT657" i="5"/>
  <c r="AI763" i="2"/>
  <c r="AJ765" i="2"/>
  <c r="JH572" i="5"/>
  <c r="IU550" i="5"/>
  <c r="R7" i="7"/>
  <c r="IU658" i="5"/>
  <c r="JL606" i="5"/>
  <c r="JL607" i="5" s="1"/>
  <c r="JM607" i="5" s="1"/>
  <c r="JY802" i="5"/>
  <c r="JV792" i="5"/>
  <c r="AD1143" i="2"/>
  <c r="AE596" i="2"/>
  <c r="JF573" i="5"/>
  <c r="JG573" i="5" s="1"/>
  <c r="Q103" i="7"/>
  <c r="IT665" i="5"/>
  <c r="Q110" i="7" s="1"/>
  <c r="Q99" i="7"/>
  <c r="IU654" i="5"/>
  <c r="R99" i="7" s="1"/>
  <c r="JV787" i="5"/>
  <c r="BL38" i="19" l="1"/>
  <c r="BM38" i="19" s="1"/>
  <c r="W29" i="21"/>
  <c r="JW891" i="5"/>
  <c r="JU891" i="5" s="1"/>
  <c r="AX20" i="19"/>
  <c r="AZ20" i="19" s="1"/>
  <c r="JT826" i="5"/>
  <c r="JW907" i="5"/>
  <c r="W123" i="21"/>
  <c r="JU1058" i="5"/>
  <c r="JU1067" i="5" s="1"/>
  <c r="AH7" i="19"/>
  <c r="AH18" i="19"/>
  <c r="AH54" i="19"/>
  <c r="JZ890" i="5"/>
  <c r="JX890" i="5" s="1"/>
  <c r="AN1138" i="2"/>
  <c r="W18" i="21"/>
  <c r="AQ593" i="2"/>
  <c r="V17" i="21"/>
  <c r="JW833" i="5"/>
  <c r="JU833" i="5" s="1"/>
  <c r="W19" i="21"/>
  <c r="AN1417" i="2"/>
  <c r="AN1506" i="2" s="1"/>
  <c r="U123" i="21"/>
  <c r="U60" i="21"/>
  <c r="JT894" i="5"/>
  <c r="JR894" i="5" s="1"/>
  <c r="V93" i="21"/>
  <c r="JS1058" i="5"/>
  <c r="JS1067" i="5" s="1"/>
  <c r="JZ912" i="5"/>
  <c r="BI38" i="19"/>
  <c r="BI37" i="19"/>
  <c r="KO992" i="5"/>
  <c r="KM992" i="5" s="1"/>
  <c r="KN992" i="5" s="1"/>
  <c r="AU1318" i="2"/>
  <c r="AV1318" i="2"/>
  <c r="AT1420" i="2"/>
  <c r="AT1509" i="2" s="1"/>
  <c r="AV1155" i="2"/>
  <c r="AU1155" i="2"/>
  <c r="KO834" i="5"/>
  <c r="KM834" i="5" s="1"/>
  <c r="KN834" i="5" s="1"/>
  <c r="AV1140" i="2"/>
  <c r="AU1140" i="2"/>
  <c r="KO831" i="5"/>
  <c r="KM831" i="5" s="1"/>
  <c r="KN831" i="5" s="1"/>
  <c r="AU1137" i="2"/>
  <c r="AV1137" i="2"/>
  <c r="AO592" i="2"/>
  <c r="JZ789" i="5"/>
  <c r="JX789" i="5" s="1"/>
  <c r="JY789" i="5" s="1"/>
  <c r="JW773" i="5"/>
  <c r="JU773" i="5" s="1"/>
  <c r="JV773" i="5" s="1"/>
  <c r="AQ553" i="2"/>
  <c r="AQ1095" i="2" s="1"/>
  <c r="BJ70" i="19"/>
  <c r="BI70" i="19"/>
  <c r="AP22" i="19"/>
  <c r="AS22" i="19" s="1"/>
  <c r="AQ22" i="19"/>
  <c r="AP20" i="19"/>
  <c r="AS20" i="19" s="1"/>
  <c r="AQ20" i="19"/>
  <c r="JM764" i="5"/>
  <c r="BE70" i="19"/>
  <c r="BF70" i="19" s="1"/>
  <c r="AM22" i="19"/>
  <c r="AN22" i="19" s="1"/>
  <c r="AV70" i="19"/>
  <c r="AW70" i="19" s="1"/>
  <c r="BE25" i="19"/>
  <c r="BF25" i="19" s="1"/>
  <c r="KO829" i="5"/>
  <c r="KM829" i="5" s="1"/>
  <c r="KN829" i="5" s="1"/>
  <c r="AU1135" i="2"/>
  <c r="AV1135" i="2"/>
  <c r="AO1139" i="2"/>
  <c r="KO802" i="5"/>
  <c r="KM802" i="5" s="1"/>
  <c r="KN802" i="5" s="1"/>
  <c r="AV1108" i="2"/>
  <c r="AS1159" i="2"/>
  <c r="AO552" i="2"/>
  <c r="AP497" i="2"/>
  <c r="AQ497" i="2" s="1"/>
  <c r="JW827" i="5"/>
  <c r="JU827" i="5" s="1"/>
  <c r="KO849" i="5"/>
  <c r="KM849" i="5" s="1"/>
  <c r="KN849" i="5" s="1"/>
  <c r="KI823" i="5"/>
  <c r="KH823" i="5" s="1"/>
  <c r="AN496" i="2"/>
  <c r="AO1079" i="2"/>
  <c r="JW779" i="5"/>
  <c r="AN1090" i="2"/>
  <c r="AR1375" i="2"/>
  <c r="AS1317" i="2"/>
  <c r="KL991" i="5" s="1"/>
  <c r="KJ991" i="5" s="1"/>
  <c r="KJ990" i="5" s="1"/>
  <c r="AO1149" i="2"/>
  <c r="AS1130" i="2"/>
  <c r="KL824" i="5" s="1"/>
  <c r="KK824" i="5" s="1"/>
  <c r="AS507" i="2"/>
  <c r="AQ1411" i="2"/>
  <c r="AQ1500" i="2" s="1"/>
  <c r="KH991" i="5"/>
  <c r="AR1413" i="2"/>
  <c r="AR1502" i="2" s="1"/>
  <c r="KE990" i="5"/>
  <c r="AP603" i="2"/>
  <c r="AR20" i="19"/>
  <c r="AQ1660" i="2"/>
  <c r="AQ1501" i="2"/>
  <c r="AR1412" i="2"/>
  <c r="AE1665" i="2"/>
  <c r="AF1665" i="2"/>
  <c r="KC903" i="5"/>
  <c r="JT832" i="5"/>
  <c r="JR832" i="5" s="1"/>
  <c r="JS832" i="5" s="1"/>
  <c r="AH1383" i="2"/>
  <c r="AF1450" i="2"/>
  <c r="AF1539" i="2" s="1"/>
  <c r="AT1152" i="2"/>
  <c r="AT1136" i="2"/>
  <c r="KL830" i="5"/>
  <c r="KJ830" i="5" s="1"/>
  <c r="KK830" i="5" s="1"/>
  <c r="AP1233" i="2"/>
  <c r="KC919" i="5"/>
  <c r="KJ802" i="5"/>
  <c r="KK802" i="5" s="1"/>
  <c r="AP665" i="2"/>
  <c r="KC885" i="5"/>
  <c r="AP568" i="2"/>
  <c r="KC798" i="5"/>
  <c r="JU789" i="5"/>
  <c r="JV789" i="5" s="1"/>
  <c r="AS1151" i="2"/>
  <c r="AR1419" i="2"/>
  <c r="AR1508" i="2" s="1"/>
  <c r="KI845" i="5"/>
  <c r="KG845" i="5" s="1"/>
  <c r="KH845" i="5" s="1"/>
  <c r="AP572" i="2"/>
  <c r="KC799" i="5"/>
  <c r="KF851" i="5"/>
  <c r="AN602" i="2"/>
  <c r="JW843" i="5"/>
  <c r="JU843" i="5" s="1"/>
  <c r="AT1316" i="2"/>
  <c r="KL990" i="5"/>
  <c r="AP556" i="2"/>
  <c r="KC792" i="5"/>
  <c r="BH70" i="19"/>
  <c r="BK70" i="19" s="1"/>
  <c r="KA892" i="5"/>
  <c r="KB892" i="5" s="1"/>
  <c r="KI892" i="5"/>
  <c r="KG892" i="5" s="1"/>
  <c r="KH892" i="5" s="1"/>
  <c r="KI842" i="5"/>
  <c r="KG842" i="5" s="1"/>
  <c r="KH842" i="5" s="1"/>
  <c r="AS1148" i="2"/>
  <c r="AP580" i="2"/>
  <c r="KC801" i="5"/>
  <c r="AP1380" i="2"/>
  <c r="AP1388" i="2" s="1"/>
  <c r="KC877" i="5"/>
  <c r="AO1430" i="2"/>
  <c r="AO1519" i="2" s="1"/>
  <c r="KA851" i="5"/>
  <c r="KH990" i="5"/>
  <c r="AP514" i="2"/>
  <c r="KC778" i="5"/>
  <c r="JZ760" i="5"/>
  <c r="JX760" i="5" s="1"/>
  <c r="JY760" i="5" s="1"/>
  <c r="KA762" i="5"/>
  <c r="KB762" i="5" s="1"/>
  <c r="KI762" i="5"/>
  <c r="KG762" i="5" s="1"/>
  <c r="KH762" i="5" s="1"/>
  <c r="AP536" i="2"/>
  <c r="KC785" i="5"/>
  <c r="AT1242" i="2"/>
  <c r="KL921" i="5"/>
  <c r="KJ921" i="5" s="1"/>
  <c r="KK921" i="5" s="1"/>
  <c r="AT1128" i="2"/>
  <c r="KL822" i="5"/>
  <c r="KK822" i="5" s="1"/>
  <c r="AP576" i="2"/>
  <c r="KC800" i="5"/>
  <c r="AP552" i="2"/>
  <c r="KC789" i="5"/>
  <c r="AS526" i="2"/>
  <c r="KL781" i="5"/>
  <c r="AT526" i="2"/>
  <c r="KO781" i="5"/>
  <c r="KB991" i="5"/>
  <c r="AR480" i="2"/>
  <c r="KA791" i="5"/>
  <c r="KB791" i="5" s="1"/>
  <c r="AR476" i="2"/>
  <c r="KA768" i="5"/>
  <c r="KB768" i="5" s="1"/>
  <c r="AR548" i="2"/>
  <c r="KA788" i="5"/>
  <c r="KB788" i="5" s="1"/>
  <c r="AS719" i="2"/>
  <c r="AT720" i="2"/>
  <c r="AT719" i="2" s="1"/>
  <c r="AQ444" i="2"/>
  <c r="KC760" i="5"/>
  <c r="AP544" i="2"/>
  <c r="AN1067" i="2"/>
  <c r="JW761" i="5" s="1"/>
  <c r="AN455" i="2"/>
  <c r="AF1390" i="2"/>
  <c r="AA1665" i="2"/>
  <c r="AX22" i="19"/>
  <c r="JX883" i="5"/>
  <c r="JY883" i="5" s="1"/>
  <c r="JR761" i="5"/>
  <c r="AN1418" i="2"/>
  <c r="AN1507" i="2" s="1"/>
  <c r="JS843" i="5"/>
  <c r="U7" i="19"/>
  <c r="V7" i="19" s="1"/>
  <c r="JY801" i="5"/>
  <c r="JX798" i="5"/>
  <c r="JY798" i="5" s="1"/>
  <c r="JU767" i="5"/>
  <c r="JV767" i="5" s="1"/>
  <c r="JX785" i="5"/>
  <c r="JY785" i="5" s="1"/>
  <c r="AO456" i="2"/>
  <c r="JX799" i="5"/>
  <c r="JY799" i="5" s="1"/>
  <c r="JR769" i="5"/>
  <c r="JS769" i="5" s="1"/>
  <c r="JR779" i="5"/>
  <c r="JS779" i="5" s="1"/>
  <c r="JX800" i="5"/>
  <c r="JY800" i="5" s="1"/>
  <c r="JX778" i="5"/>
  <c r="JY778" i="5" s="1"/>
  <c r="JX787" i="5"/>
  <c r="JY787" i="5" s="1"/>
  <c r="JX792" i="5"/>
  <c r="JY792" i="5" s="1"/>
  <c r="AR22" i="19"/>
  <c r="AM1675" i="2"/>
  <c r="AO472" i="2"/>
  <c r="AL1639" i="2"/>
  <c r="JV890" i="5"/>
  <c r="AV50" i="19"/>
  <c r="AW50" i="19" s="1"/>
  <c r="JS891" i="5"/>
  <c r="AM51" i="19"/>
  <c r="AN51" i="19" s="1"/>
  <c r="JY885" i="5"/>
  <c r="BE44" i="19"/>
  <c r="BF44" i="19" s="1"/>
  <c r="JY903" i="5"/>
  <c r="BE57" i="19"/>
  <c r="BF57" i="19" s="1"/>
  <c r="AV38" i="19"/>
  <c r="AW38" i="19" s="1"/>
  <c r="BH38" i="19"/>
  <c r="BK38" i="19" s="1"/>
  <c r="BH57" i="19"/>
  <c r="BK57" i="19" s="1"/>
  <c r="BA50" i="19"/>
  <c r="BH44" i="19"/>
  <c r="BK44" i="19" s="1"/>
  <c r="AR61" i="19"/>
  <c r="AP51" i="19"/>
  <c r="AS51" i="19" s="1"/>
  <c r="JP894" i="5"/>
  <c r="AD54" i="19"/>
  <c r="AE54" i="19" s="1"/>
  <c r="JP761" i="5"/>
  <c r="AI7" i="19"/>
  <c r="AG7" i="19"/>
  <c r="AJ7" i="19" s="1"/>
  <c r="JV877" i="5"/>
  <c r="JV1058" i="5" s="1"/>
  <c r="JX919" i="5"/>
  <c r="JY919" i="5" s="1"/>
  <c r="JZ1067" i="5"/>
  <c r="JX877" i="5"/>
  <c r="JU912" i="5"/>
  <c r="BA63" i="19"/>
  <c r="AY63" i="19"/>
  <c r="BB63" i="19" s="1"/>
  <c r="AQ1206" i="2"/>
  <c r="AP1431" i="2"/>
  <c r="AP1520" i="2" s="1"/>
  <c r="AP1211" i="2"/>
  <c r="AQ1240" i="2"/>
  <c r="AO1228" i="2"/>
  <c r="AO1441" i="2"/>
  <c r="AO1530" i="2" s="1"/>
  <c r="BG63" i="19"/>
  <c r="BI63" i="19" s="1"/>
  <c r="AH610" i="2"/>
  <c r="AN1437" i="2"/>
  <c r="AN1526" i="2" s="1"/>
  <c r="AX61" i="19"/>
  <c r="AZ61" i="19" s="1"/>
  <c r="BG50" i="19"/>
  <c r="BI50" i="19" s="1"/>
  <c r="AO1212" i="2"/>
  <c r="AP61" i="19"/>
  <c r="AS61" i="19" s="1"/>
  <c r="BJ44" i="19"/>
  <c r="AO54" i="19"/>
  <c r="AQ54" i="19" s="1"/>
  <c r="AR51" i="19"/>
  <c r="AX51" i="19"/>
  <c r="AZ51" i="19" s="1"/>
  <c r="AI18" i="19"/>
  <c r="AG18" i="19"/>
  <c r="AJ18" i="19" s="1"/>
  <c r="AO18" i="19"/>
  <c r="AQ18" i="19" s="1"/>
  <c r="JS907" i="5"/>
  <c r="AD18" i="19"/>
  <c r="AE18" i="19" s="1"/>
  <c r="AM1962" i="2"/>
  <c r="AM1961" i="2" s="1"/>
  <c r="AL1659" i="2"/>
  <c r="AN1215" i="2"/>
  <c r="AY50" i="19"/>
  <c r="BB50" i="19" s="1"/>
  <c r="AL1662" i="2"/>
  <c r="AL1663" i="2" s="1"/>
  <c r="E1208" i="2"/>
  <c r="AA1208" i="2" s="1"/>
  <c r="AH1653" i="2"/>
  <c r="AG1653" i="2"/>
  <c r="AC1474" i="2"/>
  <c r="AC1563" i="2" s="1"/>
  <c r="AC1665" i="2"/>
  <c r="AP1646" i="2"/>
  <c r="AQ1422" i="2"/>
  <c r="AQ1511" i="2" s="1"/>
  <c r="AQ647" i="2"/>
  <c r="AO1654" i="2"/>
  <c r="AR459" i="2"/>
  <c r="AQ1640" i="2"/>
  <c r="KL892" i="5"/>
  <c r="KJ892" i="5" s="1"/>
  <c r="KK892" i="5" s="1"/>
  <c r="AR1651" i="2"/>
  <c r="AR1652" i="2"/>
  <c r="Y1665" i="2"/>
  <c r="X1665" i="2"/>
  <c r="AO1658" i="2"/>
  <c r="AH1929" i="2"/>
  <c r="AH1969" i="2" s="1"/>
  <c r="AH1970" i="2" s="1"/>
  <c r="AH1971" i="2" s="1"/>
  <c r="AH424" i="2"/>
  <c r="E1209" i="2"/>
  <c r="JC1057" i="5"/>
  <c r="AI54" i="19"/>
  <c r="AG54" i="19"/>
  <c r="AJ54" i="19" s="1"/>
  <c r="BJ38" i="19"/>
  <c r="AS1094" i="2"/>
  <c r="AT549" i="2"/>
  <c r="AT1094" i="2" s="1"/>
  <c r="AT460" i="2"/>
  <c r="AT1068" i="2" s="1"/>
  <c r="AS1068" i="2"/>
  <c r="KL762" i="5" s="1"/>
  <c r="KJ762" i="5" s="1"/>
  <c r="KK762" i="5" s="1"/>
  <c r="AR573" i="2"/>
  <c r="AQ1105" i="2"/>
  <c r="AR557" i="2"/>
  <c r="AQ1098" i="2"/>
  <c r="AO1075" i="2"/>
  <c r="JZ769" i="5" s="1"/>
  <c r="AP485" i="2"/>
  <c r="AQ1107" i="2"/>
  <c r="AR581" i="2"/>
  <c r="AT477" i="2"/>
  <c r="AT1074" i="2" s="1"/>
  <c r="AS1074" i="2"/>
  <c r="AS1097" i="2"/>
  <c r="AT481" i="2"/>
  <c r="AT1097" i="2" s="1"/>
  <c r="AV1097" i="2" s="1"/>
  <c r="AR537" i="2"/>
  <c r="AQ1091" i="2"/>
  <c r="AR545" i="2"/>
  <c r="AQ1093" i="2"/>
  <c r="KF787" i="5" s="1"/>
  <c r="KD787" i="5" s="1"/>
  <c r="KE787" i="5" s="1"/>
  <c r="AR515" i="2"/>
  <c r="AQ1084" i="2"/>
  <c r="AQ1104" i="2"/>
  <c r="AR569" i="2"/>
  <c r="AR577" i="2"/>
  <c r="AQ1106" i="2"/>
  <c r="AT1129" i="2"/>
  <c r="AS1412" i="2"/>
  <c r="AS1501" i="2" s="1"/>
  <c r="AS584" i="2"/>
  <c r="AS1402" i="2"/>
  <c r="AS1491" i="2" s="1"/>
  <c r="AT1402" i="2"/>
  <c r="AT1491" i="2" s="1"/>
  <c r="AT584" i="2"/>
  <c r="AP592" i="2"/>
  <c r="AP1139" i="2"/>
  <c r="AR593" i="2"/>
  <c r="AQ1141" i="2"/>
  <c r="KF835" i="5" s="1"/>
  <c r="KD835" i="5" s="1"/>
  <c r="KE835" i="5" s="1"/>
  <c r="BJ57" i="19"/>
  <c r="AQ473" i="2"/>
  <c r="AP1073" i="2"/>
  <c r="KC767" i="5" s="1"/>
  <c r="AP679" i="2"/>
  <c r="AP1433" i="2"/>
  <c r="AP1522" i="2" s="1"/>
  <c r="AQ1224" i="2"/>
  <c r="AQ1198" i="2"/>
  <c r="AP1429" i="2"/>
  <c r="AP671" i="2"/>
  <c r="AO1133" i="2"/>
  <c r="AP589" i="2"/>
  <c r="AO1085" i="2"/>
  <c r="AP519" i="2"/>
  <c r="AM1907" i="2"/>
  <c r="AX19" i="19"/>
  <c r="AZ19" i="19" s="1"/>
  <c r="AM19" i="19"/>
  <c r="AN19" i="19" s="1"/>
  <c r="AD19" i="19"/>
  <c r="AE19" i="19" s="1"/>
  <c r="JS833" i="5"/>
  <c r="AM20" i="19"/>
  <c r="AN20" i="19" s="1"/>
  <c r="AM61" i="19"/>
  <c r="AN61" i="19" s="1"/>
  <c r="AD1024" i="2"/>
  <c r="JM1057" i="5"/>
  <c r="JM1059" i="5"/>
  <c r="JK1057" i="5"/>
  <c r="JK1066" i="5" s="1"/>
  <c r="JK1059" i="5"/>
  <c r="JK1068" i="5" s="1"/>
  <c r="AN484" i="2"/>
  <c r="IJ700" i="5"/>
  <c r="IJ702" i="5" s="1"/>
  <c r="D142" i="7"/>
  <c r="AM1415" i="2"/>
  <c r="AM1504" i="2" s="1"/>
  <c r="AN518" i="2"/>
  <c r="AI639" i="2"/>
  <c r="AI357" i="2"/>
  <c r="AJ639" i="2" s="1"/>
  <c r="JS827" i="5"/>
  <c r="AA1854" i="2"/>
  <c r="AA991" i="2"/>
  <c r="AA1859" i="2" s="1"/>
  <c r="AA1023" i="2"/>
  <c r="AA1034" i="2" s="1"/>
  <c r="AD973" i="2"/>
  <c r="AD920" i="2"/>
  <c r="AD1009" i="2"/>
  <c r="AD1017" i="2" s="1"/>
  <c r="AG1849" i="2"/>
  <c r="AG1864" i="2" s="1"/>
  <c r="Y1211" i="2"/>
  <c r="AC1211" i="2"/>
  <c r="AD1211" i="2"/>
  <c r="W1211" i="2"/>
  <c r="II748" i="5"/>
  <c r="F142" i="7"/>
  <c r="H142" i="7" s="1"/>
  <c r="JY851" i="5"/>
  <c r="AG758" i="2"/>
  <c r="AH353" i="2"/>
  <c r="AG754" i="2"/>
  <c r="AH635" i="2"/>
  <c r="AR19" i="19"/>
  <c r="AP19" i="19"/>
  <c r="AS19" i="19" s="1"/>
  <c r="AB1211" i="2"/>
  <c r="IF748" i="5"/>
  <c r="C142" i="7"/>
  <c r="Z1211" i="2"/>
  <c r="AA1211" i="2"/>
  <c r="V1211" i="2"/>
  <c r="AN588" i="2"/>
  <c r="AN1416" i="2"/>
  <c r="AN1505" i="2" s="1"/>
  <c r="AA1849" i="2"/>
  <c r="AA1864" i="2" s="1"/>
  <c r="AA1037" i="2"/>
  <c r="AA1009" i="2"/>
  <c r="X1211" i="2"/>
  <c r="AN1132" i="2"/>
  <c r="JM606" i="5"/>
  <c r="AO366" i="2"/>
  <c r="AO306" i="2"/>
  <c r="AO307" i="2" s="1"/>
  <c r="AO327" i="2"/>
  <c r="JR826" i="5"/>
  <c r="JF562" i="5"/>
  <c r="JG562" i="5" s="1"/>
  <c r="JP826" i="5"/>
  <c r="JF693" i="5"/>
  <c r="JF682" i="5" s="1"/>
  <c r="AN435" i="2"/>
  <c r="AO434" i="2"/>
  <c r="JD693" i="5"/>
  <c r="AH980" i="2"/>
  <c r="AH1029" i="2" s="1"/>
  <c r="JE681" i="5"/>
  <c r="JC742" i="5" s="1"/>
  <c r="AH879" i="2"/>
  <c r="JB667" i="5"/>
  <c r="AG975" i="2"/>
  <c r="AG1025" i="2" s="1"/>
  <c r="JL590" i="5"/>
  <c r="JM590" i="5" s="1"/>
  <c r="AI981" i="2"/>
  <c r="AI1030" i="2" s="1"/>
  <c r="JH682" i="5"/>
  <c r="AI900" i="2"/>
  <c r="JD682" i="5"/>
  <c r="AH786" i="2"/>
  <c r="JE590" i="5"/>
  <c r="AH954" i="2"/>
  <c r="AH1001" i="2" s="1"/>
  <c r="JC606" i="5"/>
  <c r="JD606" i="5" s="1"/>
  <c r="IU665" i="5"/>
  <c r="R110" i="7" s="1"/>
  <c r="R103" i="7"/>
  <c r="IU657" i="5"/>
  <c r="R5" i="7"/>
  <c r="AI380" i="2"/>
  <c r="JH606" i="5"/>
  <c r="AI788" i="2"/>
  <c r="AI947" i="2"/>
  <c r="AI996" i="2" s="1"/>
  <c r="JH570" i="5"/>
  <c r="JF608" i="5"/>
  <c r="JG608" i="5" s="1"/>
  <c r="IW681" i="5"/>
  <c r="IX667" i="5"/>
  <c r="JD572" i="5"/>
  <c r="JU828" i="5"/>
  <c r="JV828" i="5" s="1"/>
  <c r="AF596" i="2"/>
  <c r="AG596" i="2" s="1"/>
  <c r="AE1143" i="2"/>
  <c r="JX828" i="5"/>
  <c r="JY828" i="5" s="1"/>
  <c r="JF572" i="5"/>
  <c r="JF570" i="5" s="1"/>
  <c r="AJ763" i="2"/>
  <c r="JK572" i="5"/>
  <c r="Q102" i="7"/>
  <c r="IT664" i="5"/>
  <c r="JD570" i="5"/>
  <c r="JD717" i="5" s="1"/>
  <c r="JC717" i="5"/>
  <c r="JA590" i="5"/>
  <c r="JA724" i="5" s="1"/>
  <c r="IZ588" i="5"/>
  <c r="JA588" i="5" s="1"/>
  <c r="JA723" i="5" s="1"/>
  <c r="AP1228" i="2" l="1"/>
  <c r="BL63" i="19"/>
  <c r="BM63" i="19" s="1"/>
  <c r="KC907" i="5"/>
  <c r="BL61" i="19"/>
  <c r="AY20" i="19"/>
  <c r="BB20" i="19" s="1"/>
  <c r="BA20" i="19"/>
  <c r="JW826" i="5"/>
  <c r="JZ891" i="5"/>
  <c r="JX891" i="5" s="1"/>
  <c r="AO1417" i="2"/>
  <c r="AO1506" i="2" s="1"/>
  <c r="JX1058" i="5"/>
  <c r="JX1067" i="5" s="1"/>
  <c r="JZ843" i="5"/>
  <c r="JX843" i="5" s="1"/>
  <c r="AO1138" i="2"/>
  <c r="JW894" i="5"/>
  <c r="JU894" i="5" s="1"/>
  <c r="W93" i="21"/>
  <c r="W17" i="21"/>
  <c r="KB851" i="5"/>
  <c r="JZ907" i="5"/>
  <c r="KO822" i="5"/>
  <c r="KN822" i="5" s="1"/>
  <c r="AV1128" i="2"/>
  <c r="AU1128" i="2"/>
  <c r="KO921" i="5"/>
  <c r="KM921" i="5" s="1"/>
  <c r="KN921" i="5" s="1"/>
  <c r="AV1242" i="2"/>
  <c r="AU1242" i="2"/>
  <c r="AV1129" i="2"/>
  <c r="AU1129" i="2"/>
  <c r="AV1094" i="2"/>
  <c r="KO830" i="5"/>
  <c r="KM830" i="5" s="1"/>
  <c r="KN830" i="5" s="1"/>
  <c r="AV1136" i="2"/>
  <c r="AU1136" i="2"/>
  <c r="AT1151" i="2"/>
  <c r="AV1151" i="2" s="1"/>
  <c r="AU1152" i="2"/>
  <c r="AU1151" i="2" s="1"/>
  <c r="AV1152" i="2"/>
  <c r="AR553" i="2"/>
  <c r="AS553" i="2" s="1"/>
  <c r="AP1079" i="2"/>
  <c r="KC773" i="5" s="1"/>
  <c r="JZ833" i="5"/>
  <c r="JX833" i="5" s="1"/>
  <c r="KO990" i="5"/>
  <c r="AV1316" i="2"/>
  <c r="AU1316" i="2"/>
  <c r="BG20" i="19"/>
  <c r="BI20" i="19" s="1"/>
  <c r="AO496" i="2"/>
  <c r="JZ773" i="5"/>
  <c r="JX773" i="5" s="1"/>
  <c r="JY773" i="5" s="1"/>
  <c r="AY22" i="19"/>
  <c r="BB22" i="19" s="1"/>
  <c r="AZ22" i="19"/>
  <c r="AV22" i="19"/>
  <c r="AW22" i="19" s="1"/>
  <c r="AM54" i="19"/>
  <c r="AN54" i="19" s="1"/>
  <c r="AD7" i="19"/>
  <c r="AE7" i="19" s="1"/>
  <c r="AO602" i="2"/>
  <c r="KO762" i="5"/>
  <c r="KM762" i="5" s="1"/>
  <c r="KN762" i="5" s="1"/>
  <c r="AV1068" i="2"/>
  <c r="AT1640" i="2"/>
  <c r="AV1074" i="2"/>
  <c r="AO1418" i="2"/>
  <c r="AO1507" i="2" s="1"/>
  <c r="AT1159" i="2"/>
  <c r="AV1159" i="2" s="1"/>
  <c r="AU1159" i="2" s="1"/>
  <c r="JZ827" i="5"/>
  <c r="JX827" i="5" s="1"/>
  <c r="AT1317" i="2"/>
  <c r="KO846" i="5"/>
  <c r="KM846" i="5" s="1"/>
  <c r="KN846" i="5" s="1"/>
  <c r="AS1375" i="2"/>
  <c r="AR1411" i="2"/>
  <c r="AR1500" i="2" s="1"/>
  <c r="AS1413" i="2"/>
  <c r="AS1502" i="2" s="1"/>
  <c r="AR1660" i="2"/>
  <c r="BG22" i="19"/>
  <c r="AT1130" i="2"/>
  <c r="JZ779" i="5"/>
  <c r="AO1090" i="2"/>
  <c r="KK991" i="5"/>
  <c r="AQ1404" i="2"/>
  <c r="AQ1493" i="2" s="1"/>
  <c r="AQ1211" i="2"/>
  <c r="AP1149" i="2"/>
  <c r="KC843" i="5" s="1"/>
  <c r="AQ603" i="2"/>
  <c r="AP1133" i="2"/>
  <c r="AP1138" i="2" s="1"/>
  <c r="AT507" i="2"/>
  <c r="AR1501" i="2"/>
  <c r="KF903" i="5"/>
  <c r="KD903" i="5" s="1"/>
  <c r="KE903" i="5" s="1"/>
  <c r="JW832" i="5"/>
  <c r="JU832" i="5" s="1"/>
  <c r="JV832" i="5" s="1"/>
  <c r="AQ1079" i="2"/>
  <c r="KK990" i="5"/>
  <c r="AT548" i="2"/>
  <c r="KO788" i="5"/>
  <c r="KM788" i="5" s="1"/>
  <c r="KN788" i="5" s="1"/>
  <c r="AQ1380" i="2"/>
  <c r="AQ1388" i="2" s="1"/>
  <c r="KF877" i="5"/>
  <c r="AT1412" i="2"/>
  <c r="AT1501" i="2" s="1"/>
  <c r="KO823" i="5"/>
  <c r="KN823" i="5" s="1"/>
  <c r="AQ580" i="2"/>
  <c r="KF801" i="5"/>
  <c r="KD801" i="5" s="1"/>
  <c r="KE801" i="5" s="1"/>
  <c r="AT476" i="2"/>
  <c r="KO768" i="5"/>
  <c r="KM768" i="5" s="1"/>
  <c r="KN768" i="5" s="1"/>
  <c r="AQ576" i="2"/>
  <c r="KF800" i="5"/>
  <c r="KD800" i="5" s="1"/>
  <c r="KE800" i="5" s="1"/>
  <c r="AQ1233" i="2"/>
  <c r="AQ1441" i="2" s="1"/>
  <c r="AQ1530" i="2" s="1"/>
  <c r="KF919" i="5"/>
  <c r="KD919" i="5" s="1"/>
  <c r="KE919" i="5" s="1"/>
  <c r="AT480" i="2"/>
  <c r="KO791" i="5"/>
  <c r="KM791" i="5" s="1"/>
  <c r="KN791" i="5" s="1"/>
  <c r="AP1212" i="2"/>
  <c r="KC890" i="5"/>
  <c r="AS480" i="2"/>
  <c r="KL791" i="5"/>
  <c r="KJ791" i="5" s="1"/>
  <c r="KK791" i="5" s="1"/>
  <c r="AS1419" i="2"/>
  <c r="AS1508" i="2" s="1"/>
  <c r="KL845" i="5"/>
  <c r="KJ845" i="5" s="1"/>
  <c r="KK845" i="5" s="1"/>
  <c r="AS548" i="2"/>
  <c r="KL788" i="5"/>
  <c r="KJ788" i="5" s="1"/>
  <c r="KK788" i="5" s="1"/>
  <c r="AQ665" i="2"/>
  <c r="KF885" i="5"/>
  <c r="KD885" i="5" s="1"/>
  <c r="KE885" i="5" s="1"/>
  <c r="AQ572" i="2"/>
  <c r="KF799" i="5"/>
  <c r="KD799" i="5" s="1"/>
  <c r="KE799" i="5" s="1"/>
  <c r="AQ568" i="2"/>
  <c r="KF798" i="5"/>
  <c r="KD798" i="5" s="1"/>
  <c r="KE798" i="5" s="1"/>
  <c r="KD851" i="5"/>
  <c r="AP1441" i="2"/>
  <c r="KC912" i="5"/>
  <c r="AQ552" i="2"/>
  <c r="KF789" i="5"/>
  <c r="KD789" i="5" s="1"/>
  <c r="KE789" i="5" s="1"/>
  <c r="AQ514" i="2"/>
  <c r="KF778" i="5"/>
  <c r="KD778" i="5" s="1"/>
  <c r="KE778" i="5" s="1"/>
  <c r="KI851" i="5"/>
  <c r="AP1417" i="2"/>
  <c r="AP1506" i="2" s="1"/>
  <c r="KC833" i="5"/>
  <c r="AQ556" i="2"/>
  <c r="KF792" i="5"/>
  <c r="AQ536" i="2"/>
  <c r="KF785" i="5"/>
  <c r="KD785" i="5" s="1"/>
  <c r="KE785" i="5" s="1"/>
  <c r="AT1148" i="2"/>
  <c r="KL842" i="5"/>
  <c r="KJ842" i="5" s="1"/>
  <c r="KK842" i="5" s="1"/>
  <c r="AS476" i="2"/>
  <c r="KL768" i="5"/>
  <c r="KJ768" i="5" s="1"/>
  <c r="KK768" i="5" s="1"/>
  <c r="AR444" i="2"/>
  <c r="KF760" i="5"/>
  <c r="KD760" i="5" s="1"/>
  <c r="KE760" i="5" s="1"/>
  <c r="AQ544" i="2"/>
  <c r="JU761" i="5"/>
  <c r="JV761" i="5" s="1"/>
  <c r="AM1639" i="2"/>
  <c r="AO1067" i="2"/>
  <c r="JZ761" i="5" s="1"/>
  <c r="AO455" i="2"/>
  <c r="JV1067" i="5"/>
  <c r="JS761" i="5"/>
  <c r="JP764" i="5"/>
  <c r="JV843" i="5"/>
  <c r="BA22" i="19"/>
  <c r="AP456" i="2"/>
  <c r="JX767" i="5"/>
  <c r="JY767" i="5" s="1"/>
  <c r="JU779" i="5"/>
  <c r="JV779" i="5" s="1"/>
  <c r="JU769" i="5"/>
  <c r="JV769" i="5" s="1"/>
  <c r="AN1675" i="2"/>
  <c r="AO484" i="2"/>
  <c r="JV891" i="5"/>
  <c r="AV51" i="19"/>
  <c r="AW51" i="19" s="1"/>
  <c r="BE38" i="19"/>
  <c r="BF38" i="19" s="1"/>
  <c r="JV827" i="5"/>
  <c r="AV19" i="19"/>
  <c r="AW19" i="19" s="1"/>
  <c r="JY890" i="5"/>
  <c r="BE50" i="19"/>
  <c r="BF50" i="19" s="1"/>
  <c r="AR497" i="2"/>
  <c r="JU907" i="5"/>
  <c r="AV63" i="19"/>
  <c r="AW63" i="19" s="1"/>
  <c r="JV833" i="5"/>
  <c r="AV20" i="19"/>
  <c r="AW20" i="19" s="1"/>
  <c r="BA51" i="19"/>
  <c r="BH50" i="19"/>
  <c r="BK50" i="19" s="1"/>
  <c r="AY61" i="19"/>
  <c r="BB61" i="19" s="1"/>
  <c r="BH63" i="19"/>
  <c r="BK63" i="19" s="1"/>
  <c r="AR54" i="19"/>
  <c r="AR18" i="19"/>
  <c r="JV912" i="5"/>
  <c r="AQ1431" i="2"/>
  <c r="AQ1520" i="2" s="1"/>
  <c r="AR1206" i="2"/>
  <c r="JX912" i="5"/>
  <c r="AO1437" i="2"/>
  <c r="AO1526" i="2" s="1"/>
  <c r="AR1240" i="2"/>
  <c r="BG61" i="19"/>
  <c r="BI61" i="19" s="1"/>
  <c r="AO1215" i="2"/>
  <c r="AX54" i="19"/>
  <c r="AZ54" i="19" s="1"/>
  <c r="BJ63" i="19"/>
  <c r="BA61" i="19"/>
  <c r="X1208" i="2"/>
  <c r="X424" i="2" s="1"/>
  <c r="W1208" i="2"/>
  <c r="W1210" i="2" s="1"/>
  <c r="AD1208" i="2"/>
  <c r="AD1209" i="2" s="1"/>
  <c r="Z1208" i="2"/>
  <c r="Z1210" i="2" s="1"/>
  <c r="AB1208" i="2"/>
  <c r="AB424" i="2" s="1"/>
  <c r="AC1208" i="2"/>
  <c r="AC1210" i="2" s="1"/>
  <c r="BJ50" i="19"/>
  <c r="AP54" i="19"/>
  <c r="AS54" i="19" s="1"/>
  <c r="BG51" i="19"/>
  <c r="BI51" i="19" s="1"/>
  <c r="AP18" i="19"/>
  <c r="AS18" i="19" s="1"/>
  <c r="AM1659" i="2"/>
  <c r="BG19" i="19"/>
  <c r="BI19" i="19" s="1"/>
  <c r="AX18" i="19"/>
  <c r="AZ18" i="19" s="1"/>
  <c r="AY51" i="19"/>
  <c r="BB51" i="19" s="1"/>
  <c r="AM1662" i="2"/>
  <c r="AM1663" i="2" s="1"/>
  <c r="Y1208" i="2"/>
  <c r="Y1210" i="2" s="1"/>
  <c r="V1208" i="2"/>
  <c r="V1210" i="2" s="1"/>
  <c r="AT459" i="2"/>
  <c r="AS1640" i="2"/>
  <c r="AQ1646" i="2"/>
  <c r="AR1422" i="2"/>
  <c r="AR1511" i="2" s="1"/>
  <c r="AR647" i="2"/>
  <c r="KO892" i="5"/>
  <c r="KM892" i="5" s="1"/>
  <c r="KN892" i="5" s="1"/>
  <c r="AS1652" i="2"/>
  <c r="AS1651" i="2"/>
  <c r="AP1658" i="2"/>
  <c r="AS459" i="2"/>
  <c r="AR1640" i="2"/>
  <c r="AP1654" i="2"/>
  <c r="JC1055" i="5"/>
  <c r="JC1063" i="5" s="1"/>
  <c r="JE1057" i="5"/>
  <c r="JE1066" i="5" s="1"/>
  <c r="JC1066" i="5"/>
  <c r="AO435" i="2"/>
  <c r="AP434" i="2"/>
  <c r="AS515" i="2"/>
  <c r="AR1084" i="2"/>
  <c r="KI778" i="5" s="1"/>
  <c r="KG778" i="5" s="1"/>
  <c r="KH778" i="5" s="1"/>
  <c r="AQ485" i="2"/>
  <c r="AP1075" i="2"/>
  <c r="AS577" i="2"/>
  <c r="AR1106" i="2"/>
  <c r="KI800" i="5" s="1"/>
  <c r="KG800" i="5" s="1"/>
  <c r="KH800" i="5" s="1"/>
  <c r="AS573" i="2"/>
  <c r="AR1105" i="2"/>
  <c r="KI799" i="5" s="1"/>
  <c r="KG799" i="5" s="1"/>
  <c r="KH799" i="5" s="1"/>
  <c r="AR1107" i="2"/>
  <c r="KI801" i="5" s="1"/>
  <c r="AS581" i="2"/>
  <c r="AS569" i="2"/>
  <c r="AR1104" i="2"/>
  <c r="KI798" i="5" s="1"/>
  <c r="KG798" i="5" s="1"/>
  <c r="KH798" i="5" s="1"/>
  <c r="AS545" i="2"/>
  <c r="AR1093" i="2"/>
  <c r="KI787" i="5" s="1"/>
  <c r="AS557" i="2"/>
  <c r="AR1098" i="2"/>
  <c r="AS537" i="2"/>
  <c r="AR1091" i="2"/>
  <c r="KI785" i="5" s="1"/>
  <c r="KG785" i="5" s="1"/>
  <c r="KH785" i="5" s="1"/>
  <c r="AQ592" i="2"/>
  <c r="AQ1139" i="2"/>
  <c r="AS593" i="2"/>
  <c r="AR1141" i="2"/>
  <c r="AO518" i="2"/>
  <c r="AQ589" i="2"/>
  <c r="AO588" i="2"/>
  <c r="AQ1429" i="2"/>
  <c r="AQ671" i="2"/>
  <c r="AR1198" i="2"/>
  <c r="AQ679" i="2"/>
  <c r="AR1224" i="2"/>
  <c r="AQ1433" i="2"/>
  <c r="AQ1522" i="2" s="1"/>
  <c r="AQ519" i="2"/>
  <c r="AP1085" i="2"/>
  <c r="AP1090" i="2" s="1"/>
  <c r="AP472" i="2"/>
  <c r="AO1132" i="2"/>
  <c r="AP1518" i="2"/>
  <c r="AO1416" i="2"/>
  <c r="AO1505" i="2" s="1"/>
  <c r="AR473" i="2"/>
  <c r="AQ1073" i="2"/>
  <c r="KF767" i="5" s="1"/>
  <c r="AY19" i="19"/>
  <c r="BB19" i="19" s="1"/>
  <c r="BA19" i="19"/>
  <c r="JY877" i="5"/>
  <c r="JY1058" i="5" s="1"/>
  <c r="JS826" i="5"/>
  <c r="AM18" i="19"/>
  <c r="AN18" i="19" s="1"/>
  <c r="JN1057" i="5"/>
  <c r="JN1059" i="5"/>
  <c r="E142" i="7"/>
  <c r="IJ1215" i="5"/>
  <c r="IJ1217" i="5" s="1"/>
  <c r="IJ748" i="5"/>
  <c r="AA920" i="2"/>
  <c r="JB565" i="5"/>
  <c r="AG352" i="2"/>
  <c r="AC1212" i="2"/>
  <c r="AC1213" i="2" s="1"/>
  <c r="X1212" i="2"/>
  <c r="X1213" i="2" s="1"/>
  <c r="Z1212" i="2"/>
  <c r="Z1213" i="2" s="1"/>
  <c r="AC1017" i="2"/>
  <c r="Y1017" i="2"/>
  <c r="AA1017" i="2"/>
  <c r="AB1017" i="2"/>
  <c r="Z1017" i="2"/>
  <c r="Y1212" i="2"/>
  <c r="Y1213" i="2" s="1"/>
  <c r="AD1942" i="2"/>
  <c r="AD1212" i="2"/>
  <c r="AA1212" i="2"/>
  <c r="AA1213" i="2" s="1"/>
  <c r="AN1415" i="2"/>
  <c r="AN1504" i="2" s="1"/>
  <c r="AG634" i="2"/>
  <c r="JB561" i="5"/>
  <c r="AG632" i="2"/>
  <c r="AD1023" i="2"/>
  <c r="AD1034" i="2" s="1"/>
  <c r="AG1854" i="2"/>
  <c r="AG1859" i="2" s="1"/>
  <c r="AB1212" i="2"/>
  <c r="AB1213" i="2" s="1"/>
  <c r="V1212" i="2"/>
  <c r="V1213" i="2" s="1"/>
  <c r="AA1210" i="2"/>
  <c r="AA424" i="2"/>
  <c r="AA1209" i="2"/>
  <c r="AI635" i="2"/>
  <c r="AH758" i="2"/>
  <c r="AI353" i="2"/>
  <c r="AJ635" i="2" s="1"/>
  <c r="AH754" i="2"/>
  <c r="W1212" i="2"/>
  <c r="W1213" i="2" s="1"/>
  <c r="JG682" i="5"/>
  <c r="JU826" i="5"/>
  <c r="JL588" i="5"/>
  <c r="JM588" i="5" s="1"/>
  <c r="JE667" i="5"/>
  <c r="JC738" i="5" s="1"/>
  <c r="AH975" i="2"/>
  <c r="AH1025" i="2" s="1"/>
  <c r="JG693" i="5"/>
  <c r="JH681" i="5"/>
  <c r="AI980" i="2"/>
  <c r="AI1029" i="2" s="1"/>
  <c r="AI879" i="2"/>
  <c r="JC607" i="5"/>
  <c r="JD607" i="5" s="1"/>
  <c r="JC590" i="5"/>
  <c r="JD590" i="5" s="1"/>
  <c r="JD724" i="5" s="1"/>
  <c r="JI572" i="5"/>
  <c r="JI570" i="5" s="1"/>
  <c r="JI552" i="5" s="1"/>
  <c r="JH590" i="5"/>
  <c r="AI954" i="2"/>
  <c r="AI1001" i="2" s="1"/>
  <c r="AI786" i="2"/>
  <c r="JC724" i="5"/>
  <c r="JF606" i="5"/>
  <c r="JG606" i="5" s="1"/>
  <c r="IX681" i="5"/>
  <c r="IW700" i="5"/>
  <c r="IX700" i="5" s="1"/>
  <c r="AH953" i="2"/>
  <c r="AH1000" i="2" s="1"/>
  <c r="JE588" i="5"/>
  <c r="JN572" i="5"/>
  <c r="JG570" i="5"/>
  <c r="IT667" i="5"/>
  <c r="Q109" i="7"/>
  <c r="JS894" i="5"/>
  <c r="AJ745" i="2"/>
  <c r="JK570" i="5"/>
  <c r="AJ947" i="2"/>
  <c r="AJ996" i="2" s="1"/>
  <c r="R102" i="7"/>
  <c r="IU664" i="5"/>
  <c r="JG572" i="5"/>
  <c r="BM61" i="19" l="1"/>
  <c r="BE22" i="19"/>
  <c r="BF22" i="19" s="1"/>
  <c r="JY843" i="5"/>
  <c r="JZ826" i="5"/>
  <c r="JZ894" i="5"/>
  <c r="JX894" i="5" s="1"/>
  <c r="BE20" i="19"/>
  <c r="BF20" i="19" s="1"/>
  <c r="BH20" i="19"/>
  <c r="BK20" i="19" s="1"/>
  <c r="BJ20" i="19"/>
  <c r="AP496" i="2"/>
  <c r="AS1411" i="2"/>
  <c r="AS1500" i="2" s="1"/>
  <c r="JY833" i="5"/>
  <c r="AR1095" i="2"/>
  <c r="KI789" i="5" s="1"/>
  <c r="KG789" i="5" s="1"/>
  <c r="KH789" i="5" s="1"/>
  <c r="KO845" i="5"/>
  <c r="KM845" i="5" s="1"/>
  <c r="KN845" i="5" s="1"/>
  <c r="AU1130" i="2"/>
  <c r="AT1660" i="2" s="1"/>
  <c r="AV1130" i="2"/>
  <c r="KO842" i="5"/>
  <c r="KM842" i="5" s="1"/>
  <c r="KN842" i="5" s="1"/>
  <c r="AU1148" i="2"/>
  <c r="AV1148" i="2"/>
  <c r="AT1419" i="2"/>
  <c r="AT1508" i="2" s="1"/>
  <c r="AT1375" i="2"/>
  <c r="AV1375" i="2" s="1"/>
  <c r="AV1317" i="2"/>
  <c r="AU1317" i="2"/>
  <c r="AU1375" i="2" s="1"/>
  <c r="BJ22" i="19"/>
  <c r="BI22" i="19"/>
  <c r="AR603" i="2"/>
  <c r="AR1149" i="2" s="1"/>
  <c r="KO991" i="5"/>
  <c r="KM991" i="5" s="1"/>
  <c r="KM990" i="5" s="1"/>
  <c r="KN990" i="5" s="1"/>
  <c r="KC827" i="5"/>
  <c r="AR1404" i="2"/>
  <c r="AR1493" i="2" s="1"/>
  <c r="BH22" i="19"/>
  <c r="BK22" i="19" s="1"/>
  <c r="AQ1149" i="2"/>
  <c r="KF843" i="5" s="1"/>
  <c r="KD843" i="5" s="1"/>
  <c r="KE843" i="5" s="1"/>
  <c r="KO824" i="5"/>
  <c r="KN824" i="5" s="1"/>
  <c r="AT1413" i="2"/>
  <c r="AT1502" i="2" s="1"/>
  <c r="AS1660" i="2"/>
  <c r="AP602" i="2"/>
  <c r="AP1418" i="2"/>
  <c r="AP1507" i="2" s="1"/>
  <c r="AQ1133" i="2"/>
  <c r="AQ1138" i="2" s="1"/>
  <c r="KI919" i="5"/>
  <c r="KG919" i="5" s="1"/>
  <c r="KH919" i="5" s="1"/>
  <c r="KI903" i="5"/>
  <c r="KG903" i="5" s="1"/>
  <c r="KH903" i="5" s="1"/>
  <c r="KI885" i="5"/>
  <c r="KG885" i="5" s="1"/>
  <c r="KH885" i="5" s="1"/>
  <c r="KI877" i="5"/>
  <c r="KG877" i="5" s="1"/>
  <c r="KG1058" i="5" s="1"/>
  <c r="JZ832" i="5"/>
  <c r="JX832" i="5" s="1"/>
  <c r="JY832" i="5" s="1"/>
  <c r="KF773" i="5"/>
  <c r="KD773" i="5" s="1"/>
  <c r="KE773" i="5" s="1"/>
  <c r="AQ496" i="2"/>
  <c r="AS497" i="2"/>
  <c r="KI792" i="5"/>
  <c r="KG792" i="5" s="1"/>
  <c r="KH792" i="5" s="1"/>
  <c r="KG801" i="5"/>
  <c r="KH801" i="5" s="1"/>
  <c r="AQ1417" i="2"/>
  <c r="AQ1506" i="2" s="1"/>
  <c r="KF833" i="5"/>
  <c r="KD833" i="5" s="1"/>
  <c r="KE833" i="5" s="1"/>
  <c r="AP484" i="2"/>
  <c r="KC769" i="5"/>
  <c r="KD792" i="5"/>
  <c r="KE792" i="5" s="1"/>
  <c r="AO1675" i="2"/>
  <c r="KC779" i="5"/>
  <c r="KE851" i="5"/>
  <c r="KL851" i="5"/>
  <c r="KG851" i="5"/>
  <c r="KD877" i="5"/>
  <c r="KD1058" i="5" s="1"/>
  <c r="KF1058" i="5"/>
  <c r="KF1067" i="5" s="1"/>
  <c r="KG787" i="5"/>
  <c r="KH787" i="5" s="1"/>
  <c r="AP1215" i="2"/>
  <c r="KC894" i="5" s="1"/>
  <c r="KC891" i="5"/>
  <c r="KA835" i="5"/>
  <c r="KB835" i="5" s="1"/>
  <c r="KI835" i="5"/>
  <c r="AQ1212" i="2"/>
  <c r="KF890" i="5"/>
  <c r="KD890" i="5" s="1"/>
  <c r="KE890" i="5" s="1"/>
  <c r="KD767" i="5"/>
  <c r="KE767" i="5" s="1"/>
  <c r="AP1437" i="2"/>
  <c r="AP1526" i="2" s="1"/>
  <c r="AP1530" i="2"/>
  <c r="AQ1228" i="2"/>
  <c r="KF907" i="5" s="1"/>
  <c r="KF912" i="5"/>
  <c r="KD912" i="5" s="1"/>
  <c r="AR580" i="2"/>
  <c r="KA801" i="5"/>
  <c r="KB801" i="5" s="1"/>
  <c r="AR576" i="2"/>
  <c r="KA800" i="5"/>
  <c r="KB800" i="5" s="1"/>
  <c r="AR536" i="2"/>
  <c r="KA785" i="5"/>
  <c r="KB785" i="5" s="1"/>
  <c r="AR514" i="2"/>
  <c r="KA778" i="5"/>
  <c r="KB778" i="5" s="1"/>
  <c r="AQ1658" i="2"/>
  <c r="KA903" i="5"/>
  <c r="KB903" i="5" s="1"/>
  <c r="KA787" i="5"/>
  <c r="KB787" i="5" s="1"/>
  <c r="AR556" i="2"/>
  <c r="KA792" i="5"/>
  <c r="KB792" i="5" s="1"/>
  <c r="AR1380" i="2"/>
  <c r="AR1388" i="2" s="1"/>
  <c r="AR572" i="2"/>
  <c r="KA799" i="5"/>
  <c r="KB799" i="5" s="1"/>
  <c r="AR1233" i="2"/>
  <c r="KI912" i="5" s="1"/>
  <c r="KG912" i="5" s="1"/>
  <c r="KA919" i="5"/>
  <c r="KB919" i="5" s="1"/>
  <c r="AR1431" i="2"/>
  <c r="AR1520" i="2" s="1"/>
  <c r="KA885" i="5"/>
  <c r="KB885" i="5" s="1"/>
  <c r="AR568" i="2"/>
  <c r="KA789" i="5"/>
  <c r="KB789" i="5" s="1"/>
  <c r="AS444" i="2"/>
  <c r="AR544" i="2"/>
  <c r="AN1639" i="2"/>
  <c r="AQ456" i="2"/>
  <c r="AP455" i="2"/>
  <c r="AP1067" i="2"/>
  <c r="KC761" i="5" s="1"/>
  <c r="JX779" i="5"/>
  <c r="JY779" i="5" s="1"/>
  <c r="JX761" i="5"/>
  <c r="JY761" i="5" s="1"/>
  <c r="JX769" i="5"/>
  <c r="JY769" i="5" s="1"/>
  <c r="AV18" i="19"/>
  <c r="AW18" i="19" s="1"/>
  <c r="JX907" i="5"/>
  <c r="BE63" i="19"/>
  <c r="BF63" i="19" s="1"/>
  <c r="AV61" i="19"/>
  <c r="AW61" i="19" s="1"/>
  <c r="JX826" i="5"/>
  <c r="BE19" i="19"/>
  <c r="BF19" i="19" s="1"/>
  <c r="AR1079" i="2"/>
  <c r="JY891" i="5"/>
  <c r="BE51" i="19"/>
  <c r="BF51" i="19" s="1"/>
  <c r="JV894" i="5"/>
  <c r="AV54" i="19"/>
  <c r="AW54" i="19" s="1"/>
  <c r="JY912" i="5"/>
  <c r="JV907" i="5"/>
  <c r="BH51" i="19"/>
  <c r="BK51" i="19" s="1"/>
  <c r="AY54" i="19"/>
  <c r="BB54" i="19" s="1"/>
  <c r="BH61" i="19"/>
  <c r="BK61" i="19" s="1"/>
  <c r="BA18" i="19"/>
  <c r="BJ19" i="19"/>
  <c r="AR1211" i="2"/>
  <c r="KI890" i="5" s="1"/>
  <c r="KG890" i="5" s="1"/>
  <c r="KH890" i="5" s="1"/>
  <c r="AS1206" i="2"/>
  <c r="AD424" i="2"/>
  <c r="AD1210" i="2"/>
  <c r="AR665" i="2"/>
  <c r="AD610" i="2"/>
  <c r="X1210" i="2"/>
  <c r="W424" i="2"/>
  <c r="X429" i="2" s="1"/>
  <c r="W1209" i="2"/>
  <c r="X1209" i="2"/>
  <c r="AQ1437" i="2"/>
  <c r="AQ1526" i="2" s="1"/>
  <c r="BJ61" i="19"/>
  <c r="AS1240" i="2"/>
  <c r="BA54" i="19"/>
  <c r="AN1659" i="2"/>
  <c r="AN1662" i="2"/>
  <c r="AN1663" i="2" s="1"/>
  <c r="BG54" i="19"/>
  <c r="BI54" i="19" s="1"/>
  <c r="AC424" i="2"/>
  <c r="AC429" i="2" s="1"/>
  <c r="AC1209" i="2"/>
  <c r="AB1209" i="2"/>
  <c r="Z1209" i="2"/>
  <c r="Z1653" i="2" s="1"/>
  <c r="AB1210" i="2"/>
  <c r="Z424" i="2"/>
  <c r="AA429" i="2" s="1"/>
  <c r="Y424" i="2"/>
  <c r="Y429" i="2" s="1"/>
  <c r="BJ51" i="19"/>
  <c r="V1209" i="2"/>
  <c r="Y1209" i="2"/>
  <c r="V424" i="2"/>
  <c r="V429" i="2" s="1"/>
  <c r="BG18" i="19"/>
  <c r="BI18" i="19" s="1"/>
  <c r="AY18" i="19"/>
  <c r="BB18" i="19" s="1"/>
  <c r="BH19" i="19"/>
  <c r="BK19" i="19" s="1"/>
  <c r="AS1404" i="2"/>
  <c r="AS1493" i="2" s="1"/>
  <c r="AB1652" i="2"/>
  <c r="AB1651" i="2"/>
  <c r="AR1646" i="2"/>
  <c r="AS1422" i="2"/>
  <c r="AS1511" i="2" s="1"/>
  <c r="AS647" i="2"/>
  <c r="W1652" i="2"/>
  <c r="W1651" i="2"/>
  <c r="Y1652" i="2"/>
  <c r="Y1651" i="2"/>
  <c r="AQ1654" i="2"/>
  <c r="Z1651" i="2"/>
  <c r="Z1652" i="2"/>
  <c r="X1652" i="2"/>
  <c r="X1651" i="2"/>
  <c r="AA1651" i="2"/>
  <c r="AA1652" i="2"/>
  <c r="AC1652" i="2"/>
  <c r="AC1651" i="2"/>
  <c r="JY827" i="5"/>
  <c r="JY1067" i="5"/>
  <c r="AT545" i="2"/>
  <c r="AT1093" i="2" s="1"/>
  <c r="AS1093" i="2"/>
  <c r="KL787" i="5" s="1"/>
  <c r="AS1091" i="2"/>
  <c r="AT537" i="2"/>
  <c r="AT1091" i="2" s="1"/>
  <c r="AT569" i="2"/>
  <c r="AT1104" i="2" s="1"/>
  <c r="AS1104" i="2"/>
  <c r="AT581" i="2"/>
  <c r="AT1107" i="2" s="1"/>
  <c r="AS1107" i="2"/>
  <c r="AT573" i="2"/>
  <c r="AT1105" i="2" s="1"/>
  <c r="AS1105" i="2"/>
  <c r="AR485" i="2"/>
  <c r="AQ1075" i="2"/>
  <c r="AT577" i="2"/>
  <c r="AT1106" i="2" s="1"/>
  <c r="AS1106" i="2"/>
  <c r="AT515" i="2"/>
  <c r="AT1084" i="2" s="1"/>
  <c r="AS1084" i="2"/>
  <c r="AQ434" i="2"/>
  <c r="AP435" i="2"/>
  <c r="AT557" i="2"/>
  <c r="AT1098" i="2" s="1"/>
  <c r="AS1098" i="2"/>
  <c r="AR592" i="2"/>
  <c r="AR1139" i="2"/>
  <c r="KI833" i="5" s="1"/>
  <c r="KG833" i="5" s="1"/>
  <c r="KH833" i="5" s="1"/>
  <c r="AT593" i="2"/>
  <c r="AT1141" i="2" s="1"/>
  <c r="AS1141" i="2"/>
  <c r="KL835" i="5" s="1"/>
  <c r="KJ835" i="5" s="1"/>
  <c r="KK835" i="5" s="1"/>
  <c r="AO1415" i="2"/>
  <c r="AO1504" i="2" s="1"/>
  <c r="AT553" i="2"/>
  <c r="AT1095" i="2" s="1"/>
  <c r="AS1095" i="2"/>
  <c r="AP518" i="2"/>
  <c r="AS473" i="2"/>
  <c r="AR1073" i="2"/>
  <c r="AR1429" i="2"/>
  <c r="AS1198" i="2"/>
  <c r="AR671" i="2"/>
  <c r="AQ1518" i="2"/>
  <c r="AR519" i="2"/>
  <c r="AQ1085" i="2"/>
  <c r="AQ1090" i="2" s="1"/>
  <c r="AP588" i="2"/>
  <c r="AP1416" i="2"/>
  <c r="AP1132" i="2"/>
  <c r="KC826" i="5" s="1"/>
  <c r="AQ472" i="2"/>
  <c r="AR679" i="2"/>
  <c r="AS1224" i="2"/>
  <c r="AR1433" i="2"/>
  <c r="AR1522" i="2" s="1"/>
  <c r="AR589" i="2"/>
  <c r="JV826" i="5"/>
  <c r="Z1215" i="2"/>
  <c r="Z1379" i="2" s="1"/>
  <c r="Z1387" i="2" s="1"/>
  <c r="V1215" i="2"/>
  <c r="U1662" i="2" s="1"/>
  <c r="U1663" i="2" s="1"/>
  <c r="W1215" i="2"/>
  <c r="W1379" i="2" s="1"/>
  <c r="W1387" i="2" s="1"/>
  <c r="AA610" i="2"/>
  <c r="JJ572" i="5"/>
  <c r="AB1215" i="2"/>
  <c r="AB610" i="2"/>
  <c r="X1215" i="2"/>
  <c r="Y1215" i="2"/>
  <c r="Y610" i="2"/>
  <c r="AB429" i="2"/>
  <c r="AC610" i="2"/>
  <c r="AH751" i="2"/>
  <c r="JE561" i="5"/>
  <c r="JC561" i="5" s="1"/>
  <c r="JD561" i="5" s="1"/>
  <c r="AI758" i="2"/>
  <c r="AI754" i="2"/>
  <c r="AC1215" i="2"/>
  <c r="AC1379" i="2" s="1"/>
  <c r="AC1387" i="2" s="1"/>
  <c r="AH634" i="2"/>
  <c r="AH352" i="2"/>
  <c r="JE565" i="5"/>
  <c r="JC565" i="5" s="1"/>
  <c r="JD565" i="5" s="1"/>
  <c r="IZ561" i="5"/>
  <c r="JA561" i="5" s="1"/>
  <c r="Z610" i="2"/>
  <c r="X610" i="2"/>
  <c r="AA1215" i="2"/>
  <c r="AA1379" i="2" s="1"/>
  <c r="AA1387" i="2" s="1"/>
  <c r="IZ565" i="5"/>
  <c r="JA565" i="5" s="1"/>
  <c r="V610" i="2"/>
  <c r="W610" i="2"/>
  <c r="AD1215" i="2"/>
  <c r="AD1213" i="2"/>
  <c r="JH667" i="5"/>
  <c r="AI975" i="2"/>
  <c r="AI1025" i="2" s="1"/>
  <c r="JI653" i="5"/>
  <c r="JI652" i="5"/>
  <c r="JI550" i="5"/>
  <c r="JI657" i="5" s="1"/>
  <c r="JI664" i="5" s="1"/>
  <c r="JI667" i="5" s="1"/>
  <c r="JI654" i="5"/>
  <c r="JI658" i="5"/>
  <c r="JI665" i="5" s="1"/>
  <c r="JH588" i="5"/>
  <c r="AI953" i="2"/>
  <c r="AI1000" i="2" s="1"/>
  <c r="JC588" i="5"/>
  <c r="JD588" i="5" s="1"/>
  <c r="JD723" i="5" s="1"/>
  <c r="Q112" i="7"/>
  <c r="IT681" i="5"/>
  <c r="JC723" i="5"/>
  <c r="JF607" i="5"/>
  <c r="JG607" i="5" s="1"/>
  <c r="JF590" i="5"/>
  <c r="IU667" i="5"/>
  <c r="R112" i="7" s="1"/>
  <c r="R109" i="7"/>
  <c r="JN570" i="5"/>
  <c r="JJ570" i="5"/>
  <c r="AJ945" i="2"/>
  <c r="AJ994" i="2" s="1"/>
  <c r="AJ642" i="2" s="1"/>
  <c r="JK552" i="5"/>
  <c r="JJ552" i="5" s="1"/>
  <c r="AJ862" i="2"/>
  <c r="AJ867" i="2"/>
  <c r="AJ743" i="2"/>
  <c r="AJ864" i="2"/>
  <c r="JK654" i="5" s="1"/>
  <c r="JL572" i="5"/>
  <c r="JL570" i="5" s="1"/>
  <c r="JL552" i="5" s="1"/>
  <c r="AR552" i="2" l="1"/>
  <c r="KH851" i="5"/>
  <c r="AS603" i="2"/>
  <c r="AT603" i="2" s="1"/>
  <c r="AT1149" i="2" s="1"/>
  <c r="AQ1418" i="2"/>
  <c r="AQ1507" i="2" s="1"/>
  <c r="AQ602" i="2"/>
  <c r="KO851" i="5"/>
  <c r="KM851" i="5" s="1"/>
  <c r="AT1646" i="2"/>
  <c r="AV1091" i="2"/>
  <c r="AV1084" i="2"/>
  <c r="KO787" i="5"/>
  <c r="KM787" i="5" s="1"/>
  <c r="KN787" i="5" s="1"/>
  <c r="AV1093" i="2"/>
  <c r="AV1098" i="2"/>
  <c r="AV1105" i="2"/>
  <c r="AV1104" i="2"/>
  <c r="AV1107" i="2"/>
  <c r="AV1106" i="2"/>
  <c r="KO835" i="5"/>
  <c r="KM835" i="5" s="1"/>
  <c r="KN835" i="5" s="1"/>
  <c r="AV1141" i="2"/>
  <c r="AU1141" i="2" s="1"/>
  <c r="AU1139" i="2" s="1"/>
  <c r="AV1095" i="2"/>
  <c r="AU1095" i="2" s="1"/>
  <c r="KF827" i="5"/>
  <c r="KD827" i="5" s="1"/>
  <c r="KD826" i="5" s="1"/>
  <c r="AT1411" i="2"/>
  <c r="AT1500" i="2" s="1"/>
  <c r="KI773" i="5"/>
  <c r="KG773" i="5" s="1"/>
  <c r="KH773" i="5" s="1"/>
  <c r="AS1079" i="2"/>
  <c r="AS496" i="2" s="1"/>
  <c r="KI1058" i="5"/>
  <c r="KI1067" i="5" s="1"/>
  <c r="KL877" i="5"/>
  <c r="KJ877" i="5" s="1"/>
  <c r="KJ1058" i="5" s="1"/>
  <c r="KC832" i="5"/>
  <c r="AT497" i="2"/>
  <c r="AT1079" i="2" s="1"/>
  <c r="AV1079" i="2" s="1"/>
  <c r="AU1079" i="2" s="1"/>
  <c r="AQ455" i="2"/>
  <c r="KN991" i="5"/>
  <c r="AO1659" i="2"/>
  <c r="AS552" i="2"/>
  <c r="KL789" i="5"/>
  <c r="KJ789" i="5" s="1"/>
  <c r="KK789" i="5" s="1"/>
  <c r="AT572" i="2"/>
  <c r="KO799" i="5"/>
  <c r="KJ851" i="5"/>
  <c r="AR1658" i="2"/>
  <c r="KL903" i="5"/>
  <c r="KJ903" i="5" s="1"/>
  <c r="KK903" i="5" s="1"/>
  <c r="AT552" i="2"/>
  <c r="KO789" i="5"/>
  <c r="KM789" i="5" s="1"/>
  <c r="KN789" i="5" s="1"/>
  <c r="AS580" i="2"/>
  <c r="KL801" i="5"/>
  <c r="KJ801" i="5" s="1"/>
  <c r="KK801" i="5" s="1"/>
  <c r="KA760" i="5"/>
  <c r="KB760" i="5" s="1"/>
  <c r="KI760" i="5"/>
  <c r="KG760" i="5" s="1"/>
  <c r="KH760" i="5" s="1"/>
  <c r="AT580" i="2"/>
  <c r="KO801" i="5"/>
  <c r="KM801" i="5" s="1"/>
  <c r="KN801" i="5" s="1"/>
  <c r="KH877" i="5"/>
  <c r="KG1067" i="5"/>
  <c r="AS568" i="2"/>
  <c r="KL798" i="5"/>
  <c r="KJ798" i="5" s="1"/>
  <c r="KK798" i="5" s="1"/>
  <c r="AS514" i="2"/>
  <c r="KL778" i="5"/>
  <c r="KJ778" i="5" s="1"/>
  <c r="KK778" i="5" s="1"/>
  <c r="AT514" i="2"/>
  <c r="KO778" i="5"/>
  <c r="KM778" i="5" s="1"/>
  <c r="KN778" i="5" s="1"/>
  <c r="KE877" i="5"/>
  <c r="KD1067" i="5"/>
  <c r="AT576" i="2"/>
  <c r="KO800" i="5"/>
  <c r="KM800" i="5" s="1"/>
  <c r="KN800" i="5" s="1"/>
  <c r="KA767" i="5"/>
  <c r="KB767" i="5" s="1"/>
  <c r="KI767" i="5"/>
  <c r="KG767" i="5" s="1"/>
  <c r="KH767" i="5" s="1"/>
  <c r="AQ1215" i="2"/>
  <c r="KF891" i="5"/>
  <c r="KD891" i="5" s="1"/>
  <c r="AP1675" i="2"/>
  <c r="KF779" i="5"/>
  <c r="KD779" i="5" s="1"/>
  <c r="KE779" i="5" s="1"/>
  <c r="AS556" i="2"/>
  <c r="KL792" i="5"/>
  <c r="KJ792" i="5" s="1"/>
  <c r="KK792" i="5" s="1"/>
  <c r="AS665" i="2"/>
  <c r="KL885" i="5"/>
  <c r="KJ885" i="5" s="1"/>
  <c r="KK885" i="5" s="1"/>
  <c r="KE912" i="5"/>
  <c r="KD907" i="5"/>
  <c r="AS576" i="2"/>
  <c r="KL800" i="5"/>
  <c r="KJ800" i="5" s="1"/>
  <c r="KK800" i="5" s="1"/>
  <c r="AQ484" i="2"/>
  <c r="KF769" i="5"/>
  <c r="KD769" i="5" s="1"/>
  <c r="KE769" i="5" s="1"/>
  <c r="AT1240" i="2"/>
  <c r="AV1240" i="2" s="1"/>
  <c r="AU1240" i="2" s="1"/>
  <c r="AU1233" i="2" s="1"/>
  <c r="AU1228" i="2" s="1"/>
  <c r="KL919" i="5"/>
  <c r="AT568" i="2"/>
  <c r="KO798" i="5"/>
  <c r="KM798" i="5" s="1"/>
  <c r="KN798" i="5" s="1"/>
  <c r="AT536" i="2"/>
  <c r="KO785" i="5"/>
  <c r="KM785" i="5" s="1"/>
  <c r="KN785" i="5" s="1"/>
  <c r="KG835" i="5"/>
  <c r="KH835" i="5" s="1"/>
  <c r="AS536" i="2"/>
  <c r="KL785" i="5"/>
  <c r="KJ785" i="5" s="1"/>
  <c r="KK785" i="5" s="1"/>
  <c r="KJ787" i="5"/>
  <c r="KK787" i="5" s="1"/>
  <c r="AT556" i="2"/>
  <c r="KO792" i="5"/>
  <c r="KM792" i="5" s="1"/>
  <c r="KN792" i="5" s="1"/>
  <c r="AS572" i="2"/>
  <c r="KL799" i="5"/>
  <c r="KJ799" i="5" s="1"/>
  <c r="KK799" i="5" s="1"/>
  <c r="KA843" i="5"/>
  <c r="KB843" i="5" s="1"/>
  <c r="KI843" i="5"/>
  <c r="KG843" i="5" s="1"/>
  <c r="KH843" i="5" s="1"/>
  <c r="KH912" i="5"/>
  <c r="KG907" i="5"/>
  <c r="AO1662" i="2"/>
  <c r="AO1663" i="2" s="1"/>
  <c r="AR1228" i="2"/>
  <c r="KI907" i="5" s="1"/>
  <c r="KA912" i="5"/>
  <c r="KA877" i="5"/>
  <c r="KA1058" i="5" s="1"/>
  <c r="KC1058" i="5"/>
  <c r="KC1067" i="5" s="1"/>
  <c r="AR1441" i="2"/>
  <c r="AR1437" i="2" s="1"/>
  <c r="AR1526" i="2" s="1"/>
  <c r="KA798" i="5"/>
  <c r="KB798" i="5" s="1"/>
  <c r="AR1417" i="2"/>
  <c r="AR1506" i="2" s="1"/>
  <c r="KA833" i="5"/>
  <c r="KB833" i="5" s="1"/>
  <c r="AR496" i="2"/>
  <c r="KA773" i="5"/>
  <c r="KB773" i="5" s="1"/>
  <c r="AR1212" i="2"/>
  <c r="KI891" i="5" s="1"/>
  <c r="KG891" i="5" s="1"/>
  <c r="KA890" i="5"/>
  <c r="KB890" i="5" s="1"/>
  <c r="AT444" i="2"/>
  <c r="KO760" i="5" s="1"/>
  <c r="KM760" i="5" s="1"/>
  <c r="KN760" i="5" s="1"/>
  <c r="KL760" i="5"/>
  <c r="KJ760" i="5" s="1"/>
  <c r="KK760" i="5" s="1"/>
  <c r="AT544" i="2"/>
  <c r="AS544" i="2"/>
  <c r="AB469" i="2"/>
  <c r="AB523" i="2"/>
  <c r="AB522" i="2"/>
  <c r="V469" i="2"/>
  <c r="V470" i="2" s="1"/>
  <c r="V523" i="2"/>
  <c r="V524" i="2" s="1"/>
  <c r="V522" i="2"/>
  <c r="Y469" i="2"/>
  <c r="Y523" i="2"/>
  <c r="Y522" i="2"/>
  <c r="AC469" i="2"/>
  <c r="AC523" i="2"/>
  <c r="AC522" i="2"/>
  <c r="X469" i="2"/>
  <c r="X523" i="2"/>
  <c r="X522" i="2"/>
  <c r="AA469" i="2"/>
  <c r="AA523" i="2"/>
  <c r="AA522" i="2"/>
  <c r="AD429" i="2"/>
  <c r="AQ1067" i="2"/>
  <c r="AR456" i="2"/>
  <c r="AR1654" i="2"/>
  <c r="AS1380" i="2"/>
  <c r="AS1388" i="2" s="1"/>
  <c r="AO1639" i="2"/>
  <c r="BE61" i="19"/>
  <c r="BF61" i="19" s="1"/>
  <c r="BE18" i="19"/>
  <c r="BF18" i="19" s="1"/>
  <c r="JY907" i="5"/>
  <c r="AD1379" i="2"/>
  <c r="AD1387" i="2" s="1"/>
  <c r="JY826" i="5"/>
  <c r="BE54" i="19"/>
  <c r="BF54" i="19" s="1"/>
  <c r="AS1431" i="2"/>
  <c r="AS1520" i="2" s="1"/>
  <c r="AT1206" i="2"/>
  <c r="AV1206" i="2" s="1"/>
  <c r="AU1206" i="2" s="1"/>
  <c r="AS1211" i="2"/>
  <c r="BH54" i="19"/>
  <c r="BK54" i="19" s="1"/>
  <c r="BH18" i="19"/>
  <c r="BK18" i="19" s="1"/>
  <c r="V1646" i="2"/>
  <c r="V1678" i="2" s="1"/>
  <c r="X1646" i="2"/>
  <c r="Z1646" i="2"/>
  <c r="Z1678" i="2" s="1"/>
  <c r="W1653" i="2"/>
  <c r="AB1653" i="2"/>
  <c r="W1646" i="2"/>
  <c r="W1678" i="2" s="1"/>
  <c r="BJ54" i="19"/>
  <c r="AA1653" i="2"/>
  <c r="AA1646" i="2"/>
  <c r="AC1646" i="2"/>
  <c r="AC1678" i="2" s="1"/>
  <c r="Z429" i="2"/>
  <c r="AS1233" i="2"/>
  <c r="JY894" i="5"/>
  <c r="BJ18" i="19"/>
  <c r="AB1646" i="2"/>
  <c r="AB1678" i="2" s="1"/>
  <c r="V1653" i="2"/>
  <c r="X1653" i="2"/>
  <c r="U1646" i="2"/>
  <c r="U1678" i="2" s="1"/>
  <c r="AB1379" i="2"/>
  <c r="AB1387" i="2" s="1"/>
  <c r="Y1646" i="2"/>
  <c r="Y1678" i="2" s="1"/>
  <c r="U1653" i="2"/>
  <c r="W429" i="2"/>
  <c r="Y1653" i="2"/>
  <c r="Y1645" i="2"/>
  <c r="Z1645" i="2"/>
  <c r="X1645" i="2"/>
  <c r="X1659" i="2"/>
  <c r="X1662" i="2"/>
  <c r="X1663" i="2" s="1"/>
  <c r="AD1662" i="2"/>
  <c r="AD1663" i="2" s="1"/>
  <c r="Z1662" i="2"/>
  <c r="Z1663" i="2" s="1"/>
  <c r="W1645" i="2"/>
  <c r="AE1651" i="2"/>
  <c r="AD1651" i="2"/>
  <c r="AD1652" i="2"/>
  <c r="AE1652" i="2"/>
  <c r="W1662" i="2"/>
  <c r="W1663" i="2" s="1"/>
  <c r="AD1653" i="2"/>
  <c r="W1659" i="2"/>
  <c r="AC1653" i="2"/>
  <c r="Y1659" i="2"/>
  <c r="AC1659" i="2"/>
  <c r="AD1645" i="2"/>
  <c r="AS1646" i="2"/>
  <c r="AT647" i="2"/>
  <c r="AT1422" i="2"/>
  <c r="AT1511" i="2" s="1"/>
  <c r="Y1662" i="2"/>
  <c r="Y1663" i="2" s="1"/>
  <c r="AC1645" i="2"/>
  <c r="AB1659" i="2"/>
  <c r="AA1659" i="2"/>
  <c r="AB1645" i="2"/>
  <c r="AA1662" i="2"/>
  <c r="AA1663" i="2" s="1"/>
  <c r="AD1659" i="2"/>
  <c r="AC1662" i="2"/>
  <c r="AC1663" i="2" s="1"/>
  <c r="Z1659" i="2"/>
  <c r="AD1646" i="2"/>
  <c r="AD1678" i="2" s="1"/>
  <c r="AB1662" i="2"/>
  <c r="AB1663" i="2" s="1"/>
  <c r="AA1645" i="2"/>
  <c r="AR602" i="2"/>
  <c r="AR1418" i="2"/>
  <c r="AR1507" i="2" s="1"/>
  <c r="AS485" i="2"/>
  <c r="AR1075" i="2"/>
  <c r="KI769" i="5" s="1"/>
  <c r="KG769" i="5" s="1"/>
  <c r="KH769" i="5" s="1"/>
  <c r="AR434" i="2"/>
  <c r="AQ435" i="2"/>
  <c r="AS592" i="2"/>
  <c r="AS1139" i="2"/>
  <c r="AT592" i="2"/>
  <c r="AT1139" i="2"/>
  <c r="AQ588" i="2"/>
  <c r="AQ1416" i="2"/>
  <c r="AQ1132" i="2"/>
  <c r="KF826" i="5" s="1"/>
  <c r="AS679" i="2"/>
  <c r="AT1224" i="2"/>
  <c r="AS1433" i="2"/>
  <c r="AS1522" i="2" s="1"/>
  <c r="AR472" i="2"/>
  <c r="AT473" i="2"/>
  <c r="AT1073" i="2" s="1"/>
  <c r="AS1073" i="2"/>
  <c r="KL767" i="5" s="1"/>
  <c r="KJ767" i="5" s="1"/>
  <c r="KK767" i="5" s="1"/>
  <c r="AS1429" i="2"/>
  <c r="AS671" i="2"/>
  <c r="AT1198" i="2"/>
  <c r="AR1518" i="2"/>
  <c r="AQ518" i="2"/>
  <c r="AP1415" i="2"/>
  <c r="AP1504" i="2" s="1"/>
  <c r="AP1505" i="2"/>
  <c r="AS589" i="2"/>
  <c r="AR1133" i="2"/>
  <c r="AR1138" i="2" s="1"/>
  <c r="AS519" i="2"/>
  <c r="AR1085" i="2"/>
  <c r="V1379" i="2"/>
  <c r="V1387" i="2" s="1"/>
  <c r="V1645" i="2"/>
  <c r="U1645" i="2"/>
  <c r="V1662" i="2"/>
  <c r="V1663" i="2" s="1"/>
  <c r="V1659" i="2"/>
  <c r="U1659" i="2"/>
  <c r="Y1379" i="2"/>
  <c r="Y1387" i="2" s="1"/>
  <c r="AD1962" i="2"/>
  <c r="AD1961" i="2" s="1"/>
  <c r="X1379" i="2"/>
  <c r="X1387" i="2" s="1"/>
  <c r="AD1925" i="2"/>
  <c r="AD1929" i="2"/>
  <c r="AI352" i="2"/>
  <c r="AI634" i="2"/>
  <c r="JH565" i="5"/>
  <c r="JF565" i="5" s="1"/>
  <c r="AI751" i="2"/>
  <c r="JH561" i="5"/>
  <c r="JF561" i="5" s="1"/>
  <c r="JG561" i="5" s="1"/>
  <c r="AH746" i="2"/>
  <c r="AH326" i="2"/>
  <c r="JE558" i="5"/>
  <c r="JC558" i="5" s="1"/>
  <c r="JC553" i="5" s="1"/>
  <c r="JC552" i="5" s="1"/>
  <c r="JC550" i="5" s="1"/>
  <c r="JC657" i="5" s="1"/>
  <c r="JC664" i="5" s="1"/>
  <c r="JC667" i="5" s="1"/>
  <c r="AH306" i="2"/>
  <c r="AH327" i="2"/>
  <c r="JM572" i="5"/>
  <c r="JM570" i="5"/>
  <c r="AJ964" i="2"/>
  <c r="AJ1010" i="2" s="1"/>
  <c r="JK658" i="5"/>
  <c r="JJ658" i="5" s="1"/>
  <c r="AJ877" i="2"/>
  <c r="AJ944" i="2"/>
  <c r="AJ993" i="2" s="1"/>
  <c r="AJ866" i="2"/>
  <c r="AJ870" i="2"/>
  <c r="AJ967" i="2" s="1"/>
  <c r="AJ1013" i="2" s="1"/>
  <c r="AJ869" i="2"/>
  <c r="AJ966" i="2" s="1"/>
  <c r="AJ1012" i="2" s="1"/>
  <c r="JK550" i="5"/>
  <c r="JJ550" i="5" s="1"/>
  <c r="AJ871" i="2"/>
  <c r="AJ968" i="2" s="1"/>
  <c r="AJ1014" i="2" s="1"/>
  <c r="AJ1018" i="2" s="1"/>
  <c r="AJ868" i="2"/>
  <c r="AJ863" i="2"/>
  <c r="JK653" i="5" s="1"/>
  <c r="JJ653" i="5" s="1"/>
  <c r="JK652" i="5"/>
  <c r="JJ652" i="5" s="1"/>
  <c r="IU681" i="5"/>
  <c r="Q125" i="7"/>
  <c r="IT700" i="5"/>
  <c r="Q142" i="7" s="1"/>
  <c r="JN552" i="5"/>
  <c r="JM552" i="5" s="1"/>
  <c r="AK642" i="2"/>
  <c r="JN654" i="5"/>
  <c r="JJ654" i="5"/>
  <c r="JF588" i="5"/>
  <c r="JG588" i="5" s="1"/>
  <c r="JI681" i="5"/>
  <c r="JJ667" i="5"/>
  <c r="JG590" i="5"/>
  <c r="JL653" i="5"/>
  <c r="JL550" i="5"/>
  <c r="JL657" i="5" s="1"/>
  <c r="JL664" i="5" s="1"/>
  <c r="JL667" i="5" s="1"/>
  <c r="JL654" i="5"/>
  <c r="JL652" i="5"/>
  <c r="JL658" i="5"/>
  <c r="JL665" i="5" s="1"/>
  <c r="AS1149" i="2" l="1"/>
  <c r="KL843" i="5" s="1"/>
  <c r="KJ843" i="5" s="1"/>
  <c r="KK843" i="5" s="1"/>
  <c r="KK851" i="5"/>
  <c r="KE1058" i="5"/>
  <c r="KE1067" i="5" s="1"/>
  <c r="KH1058" i="5"/>
  <c r="KH1067" i="5" s="1"/>
  <c r="AT1404" i="2"/>
  <c r="AT1493" i="2" s="1"/>
  <c r="AV1139" i="2"/>
  <c r="KO767" i="5"/>
  <c r="KM767" i="5" s="1"/>
  <c r="KN767" i="5" s="1"/>
  <c r="AV1073" i="2"/>
  <c r="KE827" i="5"/>
  <c r="AV1224" i="2"/>
  <c r="AU1224" i="2" s="1"/>
  <c r="AT1658" i="2" s="1"/>
  <c r="KO877" i="5"/>
  <c r="KO1058" i="5" s="1"/>
  <c r="KO1067" i="5" s="1"/>
  <c r="AV1198" i="2"/>
  <c r="AU1198" i="2" s="1"/>
  <c r="KO843" i="5"/>
  <c r="KM843" i="5" s="1"/>
  <c r="KN843" i="5" s="1"/>
  <c r="KI827" i="5"/>
  <c r="KG827" i="5" s="1"/>
  <c r="KG826" i="5" s="1"/>
  <c r="KL773" i="5"/>
  <c r="KJ773" i="5" s="1"/>
  <c r="KK773" i="5" s="1"/>
  <c r="KI779" i="5"/>
  <c r="KG779" i="5" s="1"/>
  <c r="KH779" i="5" s="1"/>
  <c r="AR1090" i="2"/>
  <c r="KL1058" i="5"/>
  <c r="KL1067" i="5" s="1"/>
  <c r="KF832" i="5"/>
  <c r="KD832" i="5" s="1"/>
  <c r="KE832" i="5" s="1"/>
  <c r="KE826" i="5"/>
  <c r="KO773" i="5"/>
  <c r="KM773" i="5" s="1"/>
  <c r="KN773" i="5" s="1"/>
  <c r="AT496" i="2"/>
  <c r="AR455" i="2"/>
  <c r="KE907" i="5"/>
  <c r="KJ919" i="5"/>
  <c r="KK919" i="5" s="1"/>
  <c r="AP1659" i="2"/>
  <c r="KF894" i="5"/>
  <c r="KD894" i="5" s="1"/>
  <c r="KE894" i="5" s="1"/>
  <c r="AP1662" i="2"/>
  <c r="AP1663" i="2" s="1"/>
  <c r="AP1639" i="2"/>
  <c r="KF761" i="5"/>
  <c r="KD761" i="5" s="1"/>
  <c r="KE761" i="5" s="1"/>
  <c r="AT1431" i="2"/>
  <c r="AT1520" i="2" s="1"/>
  <c r="KO885" i="5"/>
  <c r="KM885" i="5" s="1"/>
  <c r="KN885" i="5" s="1"/>
  <c r="KH891" i="5"/>
  <c r="AT1417" i="2"/>
  <c r="AT1506" i="2" s="1"/>
  <c r="KO833" i="5"/>
  <c r="AR1530" i="2"/>
  <c r="KE891" i="5"/>
  <c r="AT1233" i="2"/>
  <c r="AV1233" i="2" s="1"/>
  <c r="KO919" i="5"/>
  <c r="KM919" i="5" s="1"/>
  <c r="KN919" i="5" s="1"/>
  <c r="AS1228" i="2"/>
  <c r="KL907" i="5" s="1"/>
  <c r="KL912" i="5"/>
  <c r="KJ912" i="5" s="1"/>
  <c r="KM799" i="5"/>
  <c r="KN799" i="5" s="1"/>
  <c r="AA1679" i="2"/>
  <c r="AA1678" i="2"/>
  <c r="KK877" i="5"/>
  <c r="KJ1067" i="5"/>
  <c r="KO903" i="5"/>
  <c r="KM903" i="5" s="1"/>
  <c r="KN903" i="5" s="1"/>
  <c r="AS1212" i="2"/>
  <c r="KL890" i="5"/>
  <c r="KJ890" i="5" s="1"/>
  <c r="KK890" i="5" s="1"/>
  <c r="X1679" i="2"/>
  <c r="X1678" i="2"/>
  <c r="AS1417" i="2"/>
  <c r="AS1506" i="2" s="1"/>
  <c r="KL833" i="5"/>
  <c r="KH907" i="5"/>
  <c r="KN851" i="5"/>
  <c r="AR1215" i="2"/>
  <c r="KI894" i="5" s="1"/>
  <c r="KA891" i="5"/>
  <c r="AR484" i="2"/>
  <c r="KA769" i="5"/>
  <c r="KB769" i="5" s="1"/>
  <c r="KB877" i="5"/>
  <c r="KA1067" i="5"/>
  <c r="AQ1675" i="2"/>
  <c r="KA779" i="5"/>
  <c r="KB779" i="5" s="1"/>
  <c r="KA827" i="5"/>
  <c r="KA826" i="5" s="1"/>
  <c r="KB826" i="5" s="1"/>
  <c r="KB912" i="5"/>
  <c r="KA907" i="5"/>
  <c r="AB470" i="2"/>
  <c r="AC524" i="2"/>
  <c r="AC470" i="2"/>
  <c r="Y524" i="2"/>
  <c r="Y470" i="2"/>
  <c r="Z469" i="2"/>
  <c r="Z470" i="2" s="1"/>
  <c r="Z523" i="2"/>
  <c r="Z524" i="2" s="1"/>
  <c r="Z522" i="2"/>
  <c r="W469" i="2"/>
  <c r="W470" i="2" s="1"/>
  <c r="W523" i="2"/>
  <c r="W524" i="2" s="1"/>
  <c r="W522" i="2"/>
  <c r="AB524" i="2"/>
  <c r="AD469" i="2"/>
  <c r="AD470" i="2" s="1"/>
  <c r="AD522" i="2"/>
  <c r="AD523" i="2"/>
  <c r="AS456" i="2"/>
  <c r="AR1067" i="2"/>
  <c r="KI761" i="5" s="1"/>
  <c r="AT1380" i="2"/>
  <c r="AC1679" i="2"/>
  <c r="AT1211" i="2"/>
  <c r="AV1211" i="2" s="1"/>
  <c r="AU1211" i="2" s="1"/>
  <c r="Z1679" i="2"/>
  <c r="AT665" i="2"/>
  <c r="V1679" i="2"/>
  <c r="W1679" i="2"/>
  <c r="AB1679" i="2"/>
  <c r="AS1441" i="2"/>
  <c r="AS1530" i="2" s="1"/>
  <c r="Y1679" i="2"/>
  <c r="AS1654" i="2"/>
  <c r="AS1658" i="2"/>
  <c r="AD1679" i="2"/>
  <c r="AT602" i="2"/>
  <c r="AT1418" i="2"/>
  <c r="AT1507" i="2" s="1"/>
  <c r="AS434" i="2"/>
  <c r="AR435" i="2"/>
  <c r="AT485" i="2"/>
  <c r="AT1075" i="2" s="1"/>
  <c r="AS1075" i="2"/>
  <c r="AR588" i="2"/>
  <c r="AR1416" i="2"/>
  <c r="AR1132" i="2"/>
  <c r="KI826" i="5" s="1"/>
  <c r="AT679" i="2"/>
  <c r="AT1433" i="2"/>
  <c r="AT1522" i="2" s="1"/>
  <c r="AS472" i="2"/>
  <c r="AT1429" i="2"/>
  <c r="AT671" i="2"/>
  <c r="AT519" i="2"/>
  <c r="AT1085" i="2" s="1"/>
  <c r="AS1085" i="2"/>
  <c r="AT589" i="2"/>
  <c r="AT1133" i="2" s="1"/>
  <c r="AT1138" i="2" s="1"/>
  <c r="AS1133" i="2"/>
  <c r="AS1138" i="2" s="1"/>
  <c r="AQ1415" i="2"/>
  <c r="AQ1504" i="2" s="1"/>
  <c r="AQ1505" i="2"/>
  <c r="AT472" i="2"/>
  <c r="AR518" i="2"/>
  <c r="AS1518" i="2"/>
  <c r="JC658" i="5"/>
  <c r="JC665" i="5" s="1"/>
  <c r="JD558" i="5"/>
  <c r="JC652" i="5"/>
  <c r="AD1969" i="2"/>
  <c r="AD1970" i="2" s="1"/>
  <c r="AD1971" i="2" s="1"/>
  <c r="JC653" i="5"/>
  <c r="JG565" i="5"/>
  <c r="JC654" i="5"/>
  <c r="AI746" i="2"/>
  <c r="AI326" i="2"/>
  <c r="AI327" i="2"/>
  <c r="AI306" i="2"/>
  <c r="AI307" i="2" s="1"/>
  <c r="JH558" i="5"/>
  <c r="JE553" i="5"/>
  <c r="AH946" i="2"/>
  <c r="AH995" i="2" s="1"/>
  <c r="AH366" i="2"/>
  <c r="AH745" i="2"/>
  <c r="JC681" i="5"/>
  <c r="JD667" i="5"/>
  <c r="JD738" i="5" s="1"/>
  <c r="AJ876" i="2"/>
  <c r="AJ963" i="2"/>
  <c r="AJ1009" i="2" s="1"/>
  <c r="JK657" i="5"/>
  <c r="JJ657" i="5" s="1"/>
  <c r="AL642" i="2"/>
  <c r="R125" i="7"/>
  <c r="IU700" i="5"/>
  <c r="R142" i="7" s="1"/>
  <c r="JK659" i="5"/>
  <c r="JI659" i="5" s="1"/>
  <c r="JJ659" i="5" s="1"/>
  <c r="AJ965" i="2"/>
  <c r="AJ1011" i="2" s="1"/>
  <c r="JN550" i="5"/>
  <c r="JM550" i="5" s="1"/>
  <c r="JJ681" i="5"/>
  <c r="JI700" i="5"/>
  <c r="JN658" i="5"/>
  <c r="JM658" i="5" s="1"/>
  <c r="AK360" i="2"/>
  <c r="AJ974" i="2"/>
  <c r="AJ1024" i="2" s="1"/>
  <c r="JK665" i="5"/>
  <c r="JJ665" i="5" s="1"/>
  <c r="JM654" i="5"/>
  <c r="JL681" i="5"/>
  <c r="JM667" i="5"/>
  <c r="JN653" i="5"/>
  <c r="JM653" i="5" s="1"/>
  <c r="JN652" i="5"/>
  <c r="JM652" i="5" s="1"/>
  <c r="AS1418" i="2" l="1"/>
  <c r="AS1507" i="2" s="1"/>
  <c r="AS602" i="2"/>
  <c r="AV1149" i="2"/>
  <c r="AU1149" i="2" s="1"/>
  <c r="AU1156" i="2"/>
  <c r="KK1058" i="5"/>
  <c r="KK1067" i="5" s="1"/>
  <c r="KB1058" i="5"/>
  <c r="KB1067" i="5" s="1"/>
  <c r="KM877" i="5"/>
  <c r="AV1075" i="2"/>
  <c r="AT1388" i="2"/>
  <c r="AV1388" i="2" s="1"/>
  <c r="AU1388" i="2" s="1"/>
  <c r="AV1380" i="2"/>
  <c r="AU1380" i="2" s="1"/>
  <c r="AT1654" i="2"/>
  <c r="AV1133" i="2"/>
  <c r="AT1090" i="2"/>
  <c r="AV1085" i="2"/>
  <c r="AU1085" i="2" s="1"/>
  <c r="AT1675" i="2" s="1"/>
  <c r="KL827" i="5"/>
  <c r="KJ827" i="5" s="1"/>
  <c r="KO827" i="5"/>
  <c r="KM827" i="5" s="1"/>
  <c r="KL779" i="5"/>
  <c r="KJ779" i="5" s="1"/>
  <c r="KK779" i="5" s="1"/>
  <c r="AS1090" i="2"/>
  <c r="AS455" i="2"/>
  <c r="KH827" i="5"/>
  <c r="KA832" i="5"/>
  <c r="KB832" i="5" s="1"/>
  <c r="KI832" i="5"/>
  <c r="KG832" i="5" s="1"/>
  <c r="KH832" i="5" s="1"/>
  <c r="KO779" i="5"/>
  <c r="KM779" i="5" s="1"/>
  <c r="KN779" i="5" s="1"/>
  <c r="KH826" i="5"/>
  <c r="KJ833" i="5"/>
  <c r="AT1212" i="2"/>
  <c r="KO890" i="5"/>
  <c r="KM890" i="5" s="1"/>
  <c r="KN890" i="5" s="1"/>
  <c r="AT484" i="2"/>
  <c r="KO769" i="5"/>
  <c r="KM769" i="5" s="1"/>
  <c r="KN769" i="5" s="1"/>
  <c r="KK912" i="5"/>
  <c r="KJ907" i="5"/>
  <c r="KM833" i="5"/>
  <c r="AS484" i="2"/>
  <c r="KL769" i="5"/>
  <c r="KJ769" i="5" s="1"/>
  <c r="KK769" i="5" s="1"/>
  <c r="AS1215" i="2"/>
  <c r="KL891" i="5"/>
  <c r="KJ891" i="5" s="1"/>
  <c r="AT1441" i="2"/>
  <c r="KO912" i="5"/>
  <c r="AT1228" i="2"/>
  <c r="KG894" i="5"/>
  <c r="KG761" i="5"/>
  <c r="KH761" i="5" s="1"/>
  <c r="KB827" i="5"/>
  <c r="AQ1639" i="2"/>
  <c r="KB907" i="5"/>
  <c r="KB891" i="5"/>
  <c r="AQ1662" i="2"/>
  <c r="AQ1663" i="2" s="1"/>
  <c r="KA894" i="5"/>
  <c r="KB894" i="5" s="1"/>
  <c r="AQ1659" i="2"/>
  <c r="AA470" i="2"/>
  <c r="AA524" i="2"/>
  <c r="X470" i="2"/>
  <c r="AD524" i="2"/>
  <c r="AE524" i="2"/>
  <c r="AE470" i="2"/>
  <c r="X524" i="2"/>
  <c r="AT456" i="2"/>
  <c r="AT1067" i="2" s="1"/>
  <c r="AS1067" i="2"/>
  <c r="AS1437" i="2"/>
  <c r="AS1526" i="2" s="1"/>
  <c r="AS1675" i="2"/>
  <c r="AR1675" i="2"/>
  <c r="AS435" i="2"/>
  <c r="AT434" i="2"/>
  <c r="AT435" i="2" s="1"/>
  <c r="AR1415" i="2"/>
  <c r="AR1504" i="2" s="1"/>
  <c r="AR1505" i="2"/>
  <c r="AS1416" i="2"/>
  <c r="AS588" i="2"/>
  <c r="AS1132" i="2"/>
  <c r="KL826" i="5" s="1"/>
  <c r="AT1518" i="2"/>
  <c r="AT518" i="2"/>
  <c r="AT588" i="2"/>
  <c r="AT1416" i="2"/>
  <c r="AT1132" i="2"/>
  <c r="AS518" i="2"/>
  <c r="JD553" i="5"/>
  <c r="JD716" i="5" s="1"/>
  <c r="JC716" i="5"/>
  <c r="AH862" i="2"/>
  <c r="AH743" i="2"/>
  <c r="JE552" i="5"/>
  <c r="AH945" i="2"/>
  <c r="AH994" i="2" s="1"/>
  <c r="AH867" i="2"/>
  <c r="AH864" i="2"/>
  <c r="JE654" i="5" s="1"/>
  <c r="JD654" i="5" s="1"/>
  <c r="AI366" i="2"/>
  <c r="JH553" i="5"/>
  <c r="AI946" i="2"/>
  <c r="AI995" i="2" s="1"/>
  <c r="AI745" i="2"/>
  <c r="JF558" i="5"/>
  <c r="JF553" i="5" s="1"/>
  <c r="JF552" i="5" s="1"/>
  <c r="AL360" i="2"/>
  <c r="JM681" i="5"/>
  <c r="JL700" i="5"/>
  <c r="JN665" i="5"/>
  <c r="JM665" i="5" s="1"/>
  <c r="AJ920" i="2"/>
  <c r="JK700" i="5" s="1"/>
  <c r="JJ700" i="5" s="1"/>
  <c r="AJ973" i="2"/>
  <c r="AJ1023" i="2" s="1"/>
  <c r="AJ1034" i="2" s="1"/>
  <c r="JK664" i="5"/>
  <c r="JJ664" i="5" s="1"/>
  <c r="JN657" i="5"/>
  <c r="JM657" i="5" s="1"/>
  <c r="JN659" i="5"/>
  <c r="JL659" i="5" s="1"/>
  <c r="JM659" i="5" s="1"/>
  <c r="JC700" i="5"/>
  <c r="JD681" i="5"/>
  <c r="JD742" i="5" s="1"/>
  <c r="KN877" i="5" l="1"/>
  <c r="KM1058" i="5"/>
  <c r="KM1067" i="5" s="1"/>
  <c r="AU1133" i="2"/>
  <c r="AV1138" i="2"/>
  <c r="KK827" i="5"/>
  <c r="KO907" i="5"/>
  <c r="AV1228" i="2"/>
  <c r="KO891" i="5"/>
  <c r="KM891" i="5" s="1"/>
  <c r="AV1212" i="2"/>
  <c r="AU1212" i="2" s="1"/>
  <c r="AT1653" i="2" s="1"/>
  <c r="KJ826" i="5"/>
  <c r="KK826" i="5" s="1"/>
  <c r="KO826" i="5"/>
  <c r="AV1132" i="2"/>
  <c r="KN827" i="5"/>
  <c r="KM826" i="5"/>
  <c r="AV1090" i="2"/>
  <c r="AU1090" i="2" s="1"/>
  <c r="KO761" i="5"/>
  <c r="KM761" i="5" s="1"/>
  <c r="KN761" i="5" s="1"/>
  <c r="AV1067" i="2"/>
  <c r="AU1067" i="2" s="1"/>
  <c r="AT1639" i="2" s="1"/>
  <c r="KK907" i="5"/>
  <c r="KH894" i="5"/>
  <c r="KK833" i="5"/>
  <c r="KN833" i="5"/>
  <c r="AT1215" i="2"/>
  <c r="AR1639" i="2"/>
  <c r="KL761" i="5"/>
  <c r="KL894" i="5"/>
  <c r="KJ894" i="5" s="1"/>
  <c r="KK894" i="5" s="1"/>
  <c r="AR1662" i="2"/>
  <c r="AR1663" i="2" s="1"/>
  <c r="KK891" i="5"/>
  <c r="KM912" i="5"/>
  <c r="KM907" i="5" s="1"/>
  <c r="AT1437" i="2"/>
  <c r="AT1526" i="2" s="1"/>
  <c r="AT1530" i="2"/>
  <c r="KL832" i="5"/>
  <c r="KJ832" i="5" s="1"/>
  <c r="KK832" i="5" s="1"/>
  <c r="AR1659" i="2"/>
  <c r="KA761" i="5"/>
  <c r="KB761" i="5" s="1"/>
  <c r="AS1639" i="2"/>
  <c r="AT455" i="2"/>
  <c r="AT1505" i="2"/>
  <c r="AT1415" i="2"/>
  <c r="AT1504" i="2" s="1"/>
  <c r="AS1505" i="2"/>
  <c r="AS1415" i="2"/>
  <c r="AS1504" i="2" s="1"/>
  <c r="JG558" i="5"/>
  <c r="AH360" i="2"/>
  <c r="AH642" i="2"/>
  <c r="AH964" i="2"/>
  <c r="AH1010" i="2" s="1"/>
  <c r="AH877" i="2"/>
  <c r="JE658" i="5"/>
  <c r="AI867" i="2"/>
  <c r="AI862" i="2"/>
  <c r="AI864" i="2"/>
  <c r="JH654" i="5" s="1"/>
  <c r="AI945" i="2"/>
  <c r="AI994" i="2" s="1"/>
  <c r="AI743" i="2"/>
  <c r="JH552" i="5"/>
  <c r="JG552" i="5" s="1"/>
  <c r="AH863" i="2"/>
  <c r="JE653" i="5" s="1"/>
  <c r="JD653" i="5" s="1"/>
  <c r="JE652" i="5"/>
  <c r="JD652" i="5" s="1"/>
  <c r="JG553" i="5"/>
  <c r="JD552" i="5"/>
  <c r="JD715" i="5" s="1"/>
  <c r="JC715" i="5"/>
  <c r="JF550" i="5"/>
  <c r="JF657" i="5" s="1"/>
  <c r="JF664" i="5" s="1"/>
  <c r="JF667" i="5" s="1"/>
  <c r="JF652" i="5"/>
  <c r="JF653" i="5"/>
  <c r="JF654" i="5"/>
  <c r="JF658" i="5"/>
  <c r="JF665" i="5" s="1"/>
  <c r="AH869" i="2"/>
  <c r="AH966" i="2" s="1"/>
  <c r="AH1012" i="2" s="1"/>
  <c r="AH870" i="2"/>
  <c r="AH967" i="2" s="1"/>
  <c r="AH1013" i="2" s="1"/>
  <c r="AH944" i="2"/>
  <c r="AH993" i="2" s="1"/>
  <c r="AH866" i="2"/>
  <c r="AH871" i="2"/>
  <c r="AH968" i="2" s="1"/>
  <c r="AH1014" i="2" s="1"/>
  <c r="JE550" i="5"/>
  <c r="AH868" i="2"/>
  <c r="JN664" i="5"/>
  <c r="JM664" i="5" s="1"/>
  <c r="AM360" i="2"/>
  <c r="AM642" i="2"/>
  <c r="KN1058" i="5" l="1"/>
  <c r="KN1067" i="5" s="1"/>
  <c r="AU1132" i="2"/>
  <c r="AU1138" i="2"/>
  <c r="KN891" i="5"/>
  <c r="KO894" i="5"/>
  <c r="KM894" i="5" s="1"/>
  <c r="AV1215" i="2"/>
  <c r="AU1215" i="2" s="1"/>
  <c r="KN826" i="5"/>
  <c r="AS1662" i="2"/>
  <c r="AS1663" i="2" s="1"/>
  <c r="AS1659" i="2"/>
  <c r="KO832" i="5"/>
  <c r="KM832" i="5" s="1"/>
  <c r="KN832" i="5" s="1"/>
  <c r="KN912" i="5"/>
  <c r="KJ761" i="5"/>
  <c r="KK761" i="5" s="1"/>
  <c r="KN907" i="5"/>
  <c r="JG654" i="5"/>
  <c r="JG667" i="5"/>
  <c r="JF681" i="5"/>
  <c r="AI870" i="2"/>
  <c r="AI967" i="2" s="1"/>
  <c r="AI1013" i="2" s="1"/>
  <c r="AI944" i="2"/>
  <c r="AI993" i="2" s="1"/>
  <c r="AI866" i="2"/>
  <c r="AI869" i="2"/>
  <c r="AI966" i="2" s="1"/>
  <c r="AI1012" i="2" s="1"/>
  <c r="JH550" i="5"/>
  <c r="JG550" i="5" s="1"/>
  <c r="AI868" i="2"/>
  <c r="AI871" i="2"/>
  <c r="AI968" i="2" s="1"/>
  <c r="AI1014" i="2" s="1"/>
  <c r="AI360" i="2"/>
  <c r="AI642" i="2"/>
  <c r="JC731" i="5"/>
  <c r="JD658" i="5"/>
  <c r="JD731" i="5" s="1"/>
  <c r="AH974" i="2"/>
  <c r="AH1024" i="2" s="1"/>
  <c r="JE665" i="5"/>
  <c r="JH658" i="5"/>
  <c r="JG658" i="5" s="1"/>
  <c r="AI877" i="2"/>
  <c r="AI964" i="2"/>
  <c r="AI1010" i="2" s="1"/>
  <c r="AH965" i="2"/>
  <c r="AH1011" i="2" s="1"/>
  <c r="JE659" i="5"/>
  <c r="JC659" i="5" s="1"/>
  <c r="JD659" i="5" s="1"/>
  <c r="AH963" i="2"/>
  <c r="AH1009" i="2" s="1"/>
  <c r="AH876" i="2"/>
  <c r="JE657" i="5"/>
  <c r="JD550" i="5"/>
  <c r="JD714" i="5" s="1"/>
  <c r="JC714" i="5"/>
  <c r="AI863" i="2"/>
  <c r="JH653" i="5" s="1"/>
  <c r="JG653" i="5" s="1"/>
  <c r="JH652" i="5"/>
  <c r="JG652" i="5" s="1"/>
  <c r="JN700" i="5"/>
  <c r="JM700" i="5" s="1"/>
  <c r="KN894" i="5" l="1"/>
  <c r="AT1662" i="2"/>
  <c r="AT1663" i="2" s="1"/>
  <c r="AT1659" i="2"/>
  <c r="AJ1015" i="2"/>
  <c r="AJ1016" i="2"/>
  <c r="JH665" i="5"/>
  <c r="JG665" i="5" s="1"/>
  <c r="AI974" i="2"/>
  <c r="AI1024" i="2" s="1"/>
  <c r="JH659" i="5"/>
  <c r="JF659" i="5" s="1"/>
  <c r="JG659" i="5" s="1"/>
  <c r="AI965" i="2"/>
  <c r="AI1011" i="2" s="1"/>
  <c r="JD657" i="5"/>
  <c r="JD730" i="5" s="1"/>
  <c r="JC730" i="5"/>
  <c r="AI876" i="2"/>
  <c r="AI963" i="2"/>
  <c r="AI1009" i="2" s="1"/>
  <c r="JH657" i="5"/>
  <c r="JG657" i="5" s="1"/>
  <c r="JD665" i="5"/>
  <c r="JD737" i="5" s="1"/>
  <c r="JC737" i="5"/>
  <c r="AH973" i="2"/>
  <c r="AH1023" i="2" s="1"/>
  <c r="AH1034" i="2" s="1"/>
  <c r="JE664" i="5"/>
  <c r="AH920" i="2"/>
  <c r="JE700" i="5" s="1"/>
  <c r="JD700" i="5" s="1"/>
  <c r="JG681" i="5"/>
  <c r="JF700" i="5"/>
  <c r="AJ1017" i="2" l="1"/>
  <c r="AI920" i="2"/>
  <c r="JH700" i="5" s="1"/>
  <c r="JG700" i="5" s="1"/>
  <c r="JH664" i="5"/>
  <c r="JG664" i="5" s="1"/>
  <c r="AI973" i="2"/>
  <c r="AI1023" i="2" s="1"/>
  <c r="AI1034" i="2" s="1"/>
  <c r="JC736" i="5"/>
  <c r="JD664" i="5"/>
  <c r="JD736" i="5" s="1"/>
  <c r="AI562" i="2" l="1"/>
  <c r="AK1100" i="2" l="1"/>
  <c r="AK560" i="2" l="1"/>
  <c r="JN794" i="5"/>
  <c r="AI1642" i="2"/>
  <c r="AI1676" i="2"/>
  <c r="AL1100" i="2"/>
  <c r="AM561" i="2"/>
  <c r="AK1099" i="2"/>
  <c r="AJ1401" i="2"/>
  <c r="AI609" i="2"/>
  <c r="AJ1906" i="2"/>
  <c r="O9" i="19"/>
  <c r="N9" i="19" s="1"/>
  <c r="Q12" i="21" l="1"/>
  <c r="R12" i="21" s="1"/>
  <c r="JN793" i="5"/>
  <c r="W9" i="19"/>
  <c r="Y9" i="19" s="1"/>
  <c r="AL560" i="2"/>
  <c r="JQ794" i="5"/>
  <c r="JO794" i="5" s="1"/>
  <c r="AJ609" i="2"/>
  <c r="JM794" i="5"/>
  <c r="AL1099" i="2"/>
  <c r="AJ1676" i="2"/>
  <c r="AJ1642" i="2"/>
  <c r="AN561" i="2"/>
  <c r="AM1100" i="2"/>
  <c r="JT794" i="5" s="1"/>
  <c r="JI1056" i="5"/>
  <c r="P9" i="19"/>
  <c r="R9" i="19" s="1"/>
  <c r="Q9" i="19"/>
  <c r="AJ1490" i="2"/>
  <c r="AK1906" i="2"/>
  <c r="AK1401" i="2"/>
  <c r="JQ793" i="5" l="1"/>
  <c r="JO793" i="5" s="1"/>
  <c r="T12" i="21"/>
  <c r="U12" i="21" s="1"/>
  <c r="AK609" i="2"/>
  <c r="AK1642" i="2"/>
  <c r="AK1676" i="2"/>
  <c r="AL1401" i="2"/>
  <c r="AL1490" i="2" s="1"/>
  <c r="AF9" i="19"/>
  <c r="JP794" i="5"/>
  <c r="AL1906" i="2"/>
  <c r="AM1099" i="2"/>
  <c r="U9" i="19"/>
  <c r="V9" i="19" s="1"/>
  <c r="AN1100" i="2"/>
  <c r="JW794" i="5" s="1"/>
  <c r="AO561" i="2"/>
  <c r="AM560" i="2"/>
  <c r="JI754" i="5"/>
  <c r="X9" i="19"/>
  <c r="AA9" i="19" s="1"/>
  <c r="Z9" i="19"/>
  <c r="JM793" i="5"/>
  <c r="AK1490" i="2"/>
  <c r="JI1065" i="5"/>
  <c r="JT793" i="5" l="1"/>
  <c r="JR793" i="5" s="1"/>
  <c r="V12" i="21"/>
  <c r="K4" i="19"/>
  <c r="JK754" i="5"/>
  <c r="AJ1060" i="2" s="1"/>
  <c r="AG9" i="19"/>
  <c r="AJ9" i="19" s="1"/>
  <c r="AH9" i="19"/>
  <c r="AP561" i="2"/>
  <c r="AO9" i="19"/>
  <c r="AL609" i="2"/>
  <c r="AI9" i="19"/>
  <c r="AL1642" i="2"/>
  <c r="AL1676" i="2"/>
  <c r="JR794" i="5"/>
  <c r="JS794" i="5" s="1"/>
  <c r="AM1401" i="2"/>
  <c r="AM1490" i="2" s="1"/>
  <c r="AM1906" i="2"/>
  <c r="AN1099" i="2"/>
  <c r="K66" i="19"/>
  <c r="L4" i="19"/>
  <c r="K59" i="19"/>
  <c r="L59" i="19" s="1"/>
  <c r="AO1100" i="2"/>
  <c r="AN560" i="2"/>
  <c r="JI933" i="5"/>
  <c r="JP793" i="5"/>
  <c r="JH1046" i="5"/>
  <c r="JH1050" i="5" s="1"/>
  <c r="JH1048" i="5"/>
  <c r="JH1052" i="5" s="1"/>
  <c r="AD9" i="19"/>
  <c r="AE9" i="19" s="1"/>
  <c r="W12" i="21" l="1"/>
  <c r="AJ1253" i="2"/>
  <c r="AJ1226" i="2"/>
  <c r="AJ1227" i="2" s="1"/>
  <c r="AJ1245" i="2"/>
  <c r="JH1047" i="5"/>
  <c r="JH1051" i="5" s="1"/>
  <c r="JI1060" i="5"/>
  <c r="JI1069" i="5" s="1"/>
  <c r="JK933" i="5"/>
  <c r="AP9" i="19"/>
  <c r="AS9" i="19" s="1"/>
  <c r="AQ9" i="19"/>
  <c r="AQ561" i="2"/>
  <c r="AP1100" i="2"/>
  <c r="KC794" i="5" s="1"/>
  <c r="JW793" i="5"/>
  <c r="JU793" i="5" s="1"/>
  <c r="AO560" i="2"/>
  <c r="JZ794" i="5"/>
  <c r="AR9" i="19"/>
  <c r="AM1642" i="2"/>
  <c r="AX9" i="19"/>
  <c r="AN1401" i="2"/>
  <c r="AN1490" i="2" s="1"/>
  <c r="AM609" i="2"/>
  <c r="JU794" i="5"/>
  <c r="JV794" i="5" s="1"/>
  <c r="AM1676" i="2"/>
  <c r="AO1099" i="2"/>
  <c r="K67" i="19"/>
  <c r="L67" i="19" s="1"/>
  <c r="L66" i="19"/>
  <c r="L68" i="19" s="1"/>
  <c r="K68" i="19"/>
  <c r="JS793" i="5"/>
  <c r="AM9" i="19"/>
  <c r="AN9" i="19" s="1"/>
  <c r="AJ1249" i="2" l="1"/>
  <c r="AJ1248" i="2"/>
  <c r="AJ1246" i="2"/>
  <c r="AJ1251" i="2"/>
  <c r="AJ1250" i="2"/>
  <c r="AJ1366" i="2"/>
  <c r="AJ1263" i="2"/>
  <c r="AJ1256" i="2"/>
  <c r="AJ1255" i="2"/>
  <c r="AJ1262" i="2"/>
  <c r="AJ1254" i="2"/>
  <c r="AJ1261" i="2"/>
  <c r="AJ1265" i="2"/>
  <c r="AJ1258" i="2"/>
  <c r="AY9" i="19"/>
  <c r="BB9" i="19" s="1"/>
  <c r="AZ9" i="19"/>
  <c r="AV9" i="19"/>
  <c r="AW9" i="19" s="1"/>
  <c r="AP560" i="2"/>
  <c r="AR561" i="2"/>
  <c r="AS561" i="2" s="1"/>
  <c r="AQ1100" i="2"/>
  <c r="KF794" i="5" s="1"/>
  <c r="KD794" i="5" s="1"/>
  <c r="KE794" i="5" s="1"/>
  <c r="AP1099" i="2"/>
  <c r="KC793" i="5" s="1"/>
  <c r="JI1061" i="5"/>
  <c r="AN609" i="2"/>
  <c r="JZ793" i="5"/>
  <c r="BA9" i="19"/>
  <c r="JX794" i="5"/>
  <c r="JY794" i="5" s="1"/>
  <c r="BG9" i="19"/>
  <c r="AN1676" i="2"/>
  <c r="AN1642" i="2"/>
  <c r="AO1401" i="2"/>
  <c r="AO1490" i="2" s="1"/>
  <c r="JV793" i="5"/>
  <c r="AJ1259" i="2" l="1"/>
  <c r="AJ1264" i="2"/>
  <c r="AR1100" i="2"/>
  <c r="KI794" i="5" s="1"/>
  <c r="KG794" i="5" s="1"/>
  <c r="KH794" i="5" s="1"/>
  <c r="AQ560" i="2"/>
  <c r="AQ1099" i="2"/>
  <c r="KF793" i="5" s="1"/>
  <c r="KD793" i="5" s="1"/>
  <c r="KE793" i="5" s="1"/>
  <c r="BH9" i="19"/>
  <c r="BK9" i="19" s="1"/>
  <c r="BI9" i="19"/>
  <c r="AO609" i="2"/>
  <c r="AP1401" i="2"/>
  <c r="AP1490" i="2" s="1"/>
  <c r="AO1676" i="2"/>
  <c r="AO1642" i="2"/>
  <c r="KA794" i="5"/>
  <c r="KB794" i="5" s="1"/>
  <c r="BJ9" i="19"/>
  <c r="JX793" i="5"/>
  <c r="AS1100" i="2"/>
  <c r="KL794" i="5" s="1"/>
  <c r="KJ794" i="5" s="1"/>
  <c r="KK794" i="5" s="1"/>
  <c r="AT561" i="2"/>
  <c r="AT1100" i="2" s="1"/>
  <c r="AP1642" i="2" l="1"/>
  <c r="AQ1401" i="2"/>
  <c r="AQ1490" i="2" s="1"/>
  <c r="AR560" i="2"/>
  <c r="AR1099" i="2"/>
  <c r="KI793" i="5" s="1"/>
  <c r="KG793" i="5" s="1"/>
  <c r="KH793" i="5" s="1"/>
  <c r="AP1676" i="2"/>
  <c r="AP1680" i="2" s="1"/>
  <c r="AP609" i="2"/>
  <c r="JY793" i="5"/>
  <c r="KO794" i="5"/>
  <c r="KM794" i="5" s="1"/>
  <c r="KN794" i="5" s="1"/>
  <c r="AV1100" i="2"/>
  <c r="AU1100" i="2" s="1"/>
  <c r="AU1099" i="2" s="1"/>
  <c r="AT609" i="2" s="1"/>
  <c r="KA793" i="5"/>
  <c r="KB793" i="5" s="1"/>
  <c r="BE9" i="19"/>
  <c r="BF9" i="19" s="1"/>
  <c r="AS560" i="2"/>
  <c r="AS1099" i="2"/>
  <c r="AT1099" i="2"/>
  <c r="AT560" i="2"/>
  <c r="AQ609" i="2" l="1"/>
  <c r="AR1401" i="2"/>
  <c r="AR1490" i="2" s="1"/>
  <c r="AP1677" i="2"/>
  <c r="AQ1642" i="2"/>
  <c r="AQ1676" i="2"/>
  <c r="AQ1680" i="2" s="1"/>
  <c r="KO793" i="5"/>
  <c r="KM793" i="5" s="1"/>
  <c r="KN793" i="5" s="1"/>
  <c r="AT1676" i="2"/>
  <c r="AT1642" i="2"/>
  <c r="AV1099" i="2"/>
  <c r="AR1676" i="2"/>
  <c r="AR1677" i="2" s="1"/>
  <c r="KL793" i="5"/>
  <c r="KJ793" i="5" s="1"/>
  <c r="KK793" i="5" s="1"/>
  <c r="AS1642" i="2"/>
  <c r="AS1676" i="2"/>
  <c r="AR1642" i="2"/>
  <c r="AS1401" i="2"/>
  <c r="AR609" i="2"/>
  <c r="AT1401" i="2"/>
  <c r="AS609" i="2"/>
  <c r="AQ1677" i="2" l="1"/>
  <c r="AT1680" i="2"/>
  <c r="AT1677" i="2"/>
  <c r="AR1680" i="2"/>
  <c r="AS1680" i="2"/>
  <c r="AS1677" i="2"/>
  <c r="AT1490" i="2"/>
  <c r="AS1490" i="2"/>
  <c r="AI1736" i="2" l="1"/>
  <c r="AI1734" i="2" s="1"/>
  <c r="AI1695" i="2" l="1"/>
  <c r="AI1693" i="2" s="1"/>
  <c r="AM489" i="2" l="1"/>
  <c r="AN489" i="2" l="1"/>
  <c r="AM1076" i="2"/>
  <c r="AM468" i="2" l="1"/>
  <c r="JT770" i="5"/>
  <c r="JR770" i="5" s="1"/>
  <c r="AN1076" i="2"/>
  <c r="AO489" i="2"/>
  <c r="AM488" i="2"/>
  <c r="AM1070" i="2"/>
  <c r="JT764" i="5" l="1"/>
  <c r="JR764" i="5" s="1"/>
  <c r="V8" i="21"/>
  <c r="AP489" i="2"/>
  <c r="AN468" i="2"/>
  <c r="JW770" i="5"/>
  <c r="JS770" i="5"/>
  <c r="AO1076" i="2"/>
  <c r="AN1070" i="2"/>
  <c r="AN488" i="2"/>
  <c r="AM1399" i="2"/>
  <c r="AO7" i="19"/>
  <c r="AQ7" i="19" s="1"/>
  <c r="AL1643" i="2"/>
  <c r="AM1904" i="2"/>
  <c r="JW764" i="5" l="1"/>
  <c r="JU764" i="5" s="1"/>
  <c r="W8" i="21"/>
  <c r="AP1076" i="2"/>
  <c r="AP468" i="2" s="1"/>
  <c r="AQ489" i="2"/>
  <c r="AO468" i="2"/>
  <c r="JZ770" i="5"/>
  <c r="JX770" i="5" s="1"/>
  <c r="JY770" i="5" s="1"/>
  <c r="JU770" i="5"/>
  <c r="JV770" i="5" s="1"/>
  <c r="AM1643" i="2"/>
  <c r="AO1070" i="2"/>
  <c r="AO488" i="2"/>
  <c r="AN1399" i="2"/>
  <c r="AN1488" i="2" s="1"/>
  <c r="AX7" i="19"/>
  <c r="AZ7" i="19" s="1"/>
  <c r="AR7" i="19"/>
  <c r="AP7" i="19"/>
  <c r="AS7" i="19" s="1"/>
  <c r="AM1488" i="2"/>
  <c r="JZ764" i="5" l="1"/>
  <c r="JX764" i="5" s="1"/>
  <c r="AR489" i="2"/>
  <c r="AQ1076" i="2"/>
  <c r="AQ488" i="2" s="1"/>
  <c r="AP1070" i="2"/>
  <c r="KC764" i="5" s="1"/>
  <c r="AP488" i="2"/>
  <c r="KC770" i="5"/>
  <c r="AN1643" i="2"/>
  <c r="AO1399" i="2"/>
  <c r="AO1488" i="2" s="1"/>
  <c r="BG7" i="19"/>
  <c r="BI7" i="19" s="1"/>
  <c r="AM7" i="19"/>
  <c r="AN7" i="19" s="1"/>
  <c r="AY7" i="19"/>
  <c r="BB7" i="19" s="1"/>
  <c r="BA7" i="19"/>
  <c r="JS764" i="5"/>
  <c r="KF770" i="5" l="1"/>
  <c r="KD770" i="5" s="1"/>
  <c r="KE770" i="5" s="1"/>
  <c r="AQ468" i="2"/>
  <c r="AQ1070" i="2"/>
  <c r="KF764" i="5" s="1"/>
  <c r="KD764" i="5" s="1"/>
  <c r="KE764" i="5" s="1"/>
  <c r="AP1399" i="2"/>
  <c r="AP1488" i="2" s="1"/>
  <c r="AO1643" i="2"/>
  <c r="AR1076" i="2"/>
  <c r="KI770" i="5" s="1"/>
  <c r="KG770" i="5" s="1"/>
  <c r="KH770" i="5" s="1"/>
  <c r="AS489" i="2"/>
  <c r="KA770" i="5"/>
  <c r="KB770" i="5" s="1"/>
  <c r="JV764" i="5"/>
  <c r="BE7" i="19"/>
  <c r="BF7" i="19" s="1"/>
  <c r="AV7" i="19"/>
  <c r="AW7" i="19" s="1"/>
  <c r="BJ7" i="19"/>
  <c r="BH7" i="19"/>
  <c r="BK7" i="19" s="1"/>
  <c r="JY764" i="5"/>
  <c r="AP1643" i="2" l="1"/>
  <c r="AQ1399" i="2"/>
  <c r="AQ1488" i="2" s="1"/>
  <c r="AT489" i="2"/>
  <c r="AT1076" i="2" s="1"/>
  <c r="AT468" i="2" s="1"/>
  <c r="AS1076" i="2"/>
  <c r="AR1070" i="2"/>
  <c r="AR1399" i="2" s="1"/>
  <c r="AR488" i="2"/>
  <c r="AR468" i="2"/>
  <c r="KA764" i="5"/>
  <c r="KB764" i="5" s="1"/>
  <c r="AV1076" i="2" l="1"/>
  <c r="AV1070" i="2" s="1"/>
  <c r="AS1070" i="2"/>
  <c r="KL764" i="5" s="1"/>
  <c r="KJ764" i="5" s="1"/>
  <c r="KK764" i="5" s="1"/>
  <c r="AS488" i="2"/>
  <c r="AT488" i="2"/>
  <c r="AT1070" i="2"/>
  <c r="KO764" i="5" s="1"/>
  <c r="KM764" i="5" s="1"/>
  <c r="KN764" i="5" s="1"/>
  <c r="KL770" i="5"/>
  <c r="KJ770" i="5" s="1"/>
  <c r="KK770" i="5" s="1"/>
  <c r="AS468" i="2"/>
  <c r="KO770" i="5"/>
  <c r="KM770" i="5" s="1"/>
  <c r="KN770" i="5" s="1"/>
  <c r="KI764" i="5"/>
  <c r="KG764" i="5" s="1"/>
  <c r="KH764" i="5" s="1"/>
  <c r="AQ1643" i="2"/>
  <c r="AR1488" i="2"/>
  <c r="AU1076" i="2" l="1"/>
  <c r="AU1070" i="2" s="1"/>
  <c r="AR1643" i="2"/>
  <c r="AT1399" i="2"/>
  <c r="AS1643" i="2"/>
  <c r="AS1399" i="2"/>
  <c r="AS1488" i="2" s="1"/>
  <c r="AT1643" i="2"/>
  <c r="AT1488" i="2"/>
  <c r="AH542" i="2"/>
  <c r="AK1092" i="2" l="1"/>
  <c r="AJ610" i="2" l="1"/>
  <c r="AK540" i="2"/>
  <c r="JN786" i="5"/>
  <c r="AI1671" i="2"/>
  <c r="AI1641" i="2"/>
  <c r="AJ1905" i="2"/>
  <c r="O8" i="19"/>
  <c r="N8" i="19" s="1"/>
  <c r="AJ1400" i="2"/>
  <c r="AJ424" i="2"/>
  <c r="AJ1489" i="2" l="1"/>
  <c r="P8" i="19"/>
  <c r="R8" i="19" s="1"/>
  <c r="Q8" i="19"/>
  <c r="JM786" i="5"/>
  <c r="AL660" i="2" l="1"/>
  <c r="JQ853" i="5"/>
  <c r="JO853" i="5" s="1"/>
  <c r="AK1653" i="2"/>
  <c r="AL1379" i="2"/>
  <c r="AL1387" i="2" s="1"/>
  <c r="AL1929" i="2"/>
  <c r="AL1969" i="2" s="1"/>
  <c r="AF27" i="19"/>
  <c r="AL1156" i="2"/>
  <c r="AL1424" i="2"/>
  <c r="AH27" i="19" l="1"/>
  <c r="JQ850" i="5"/>
  <c r="JO850" i="5"/>
  <c r="JT853" i="5"/>
  <c r="JR853" i="5" s="1"/>
  <c r="AM660" i="2"/>
  <c r="JP853" i="5"/>
  <c r="JP1057" i="5" s="1"/>
  <c r="JP1066" i="5" s="1"/>
  <c r="JO1057" i="5"/>
  <c r="JO1066" i="5" s="1"/>
  <c r="AD27" i="19"/>
  <c r="AE27" i="19" s="1"/>
  <c r="AI27" i="19"/>
  <c r="AG27" i="19"/>
  <c r="AJ27" i="19" s="1"/>
  <c r="AL1421" i="2"/>
  <c r="AV1468" i="2" s="1"/>
  <c r="AL1513" i="2"/>
  <c r="AM1424" i="2"/>
  <c r="AM1379" i="2"/>
  <c r="AM1387" i="2" s="1"/>
  <c r="AL1653" i="2"/>
  <c r="AO27" i="19"/>
  <c r="AQ27" i="19" s="1"/>
  <c r="AM1156" i="2"/>
  <c r="AM1929" i="2"/>
  <c r="AM1969" i="2" s="1"/>
  <c r="AF24" i="19"/>
  <c r="AK1645" i="2"/>
  <c r="AL1381" i="2"/>
  <c r="AH24" i="19" l="1"/>
  <c r="JT850" i="5"/>
  <c r="AD24" i="19"/>
  <c r="AE24" i="19" s="1"/>
  <c r="JR1057" i="5"/>
  <c r="JR1066" i="5" s="1"/>
  <c r="AI69" i="19"/>
  <c r="JP850" i="5"/>
  <c r="JP749" i="5" s="1"/>
  <c r="JO1059" i="5"/>
  <c r="JO1068" i="5" s="1"/>
  <c r="JO749" i="5"/>
  <c r="JW853" i="5"/>
  <c r="AN660" i="2"/>
  <c r="JQ1057" i="5"/>
  <c r="JQ1066" i="5" s="1"/>
  <c r="AL1389" i="2"/>
  <c r="AX27" i="19"/>
  <c r="AZ27" i="19" s="1"/>
  <c r="AN1379" i="2"/>
  <c r="AN1387" i="2" s="1"/>
  <c r="AM1653" i="2"/>
  <c r="AN1156" i="2"/>
  <c r="AN1424" i="2"/>
  <c r="AM1381" i="2"/>
  <c r="AO24" i="19"/>
  <c r="AQ24" i="19" s="1"/>
  <c r="JT1057" i="5"/>
  <c r="JT1066" i="5" s="1"/>
  <c r="AP27" i="19"/>
  <c r="AS27" i="19" s="1"/>
  <c r="AR27" i="19"/>
  <c r="AL1645" i="2"/>
  <c r="AM1421" i="2"/>
  <c r="AM1513" i="2"/>
  <c r="AI24" i="19"/>
  <c r="AG24" i="19"/>
  <c r="AJ24" i="19" s="1"/>
  <c r="AL1510" i="2"/>
  <c r="AR69" i="19" l="1"/>
  <c r="BO27" i="19"/>
  <c r="JP1059" i="5"/>
  <c r="JQ1059" i="5" s="1"/>
  <c r="JQ1068" i="5" s="1"/>
  <c r="JW850" i="5"/>
  <c r="JZ853" i="5"/>
  <c r="AM1645" i="2"/>
  <c r="AO1379" i="2"/>
  <c r="AO1387" i="2" s="1"/>
  <c r="AN1653" i="2"/>
  <c r="AO1424" i="2"/>
  <c r="BG27" i="19"/>
  <c r="BI27" i="19" s="1"/>
  <c r="AO1156" i="2"/>
  <c r="JR850" i="5"/>
  <c r="AM27" i="19"/>
  <c r="AN27" i="19" s="1"/>
  <c r="AN1421" i="2"/>
  <c r="AN1513" i="2"/>
  <c r="AM1389" i="2"/>
  <c r="AY27" i="19"/>
  <c r="BB27" i="19" s="1"/>
  <c r="BA27" i="19"/>
  <c r="BA69" i="19" s="1"/>
  <c r="JU853" i="5"/>
  <c r="JW1057" i="5"/>
  <c r="JW1066" i="5" s="1"/>
  <c r="AN1381" i="2"/>
  <c r="AX24" i="19"/>
  <c r="AZ24" i="19" s="1"/>
  <c r="JS853" i="5"/>
  <c r="JS1057" i="5" s="1"/>
  <c r="JS1066" i="5" s="1"/>
  <c r="AR24" i="19"/>
  <c r="AP24" i="19"/>
  <c r="AS24" i="19" s="1"/>
  <c r="JT1059" i="5"/>
  <c r="AM1510" i="2"/>
  <c r="JR1059" i="5" l="1"/>
  <c r="JR1068" i="5" s="1"/>
  <c r="JU1057" i="5"/>
  <c r="JU1066" i="5" s="1"/>
  <c r="JP1068" i="5"/>
  <c r="JZ850" i="5"/>
  <c r="JR749" i="5"/>
  <c r="KC853" i="5"/>
  <c r="KA853" i="5" s="1"/>
  <c r="KA1057" i="5" s="1"/>
  <c r="KA1066" i="5" s="1"/>
  <c r="JU850" i="5"/>
  <c r="AV27" i="19"/>
  <c r="AW27" i="19" s="1"/>
  <c r="JS850" i="5"/>
  <c r="AN1645" i="2"/>
  <c r="JT1068" i="5"/>
  <c r="AO1381" i="2"/>
  <c r="BG24" i="19"/>
  <c r="BI24" i="19" s="1"/>
  <c r="BA24" i="19"/>
  <c r="AY24" i="19"/>
  <c r="BB24" i="19" s="1"/>
  <c r="BJ27" i="19"/>
  <c r="BJ69" i="19" s="1"/>
  <c r="BH27" i="19"/>
  <c r="BK27" i="19" s="1"/>
  <c r="AO1421" i="2"/>
  <c r="AO1513" i="2"/>
  <c r="AN1389" i="2"/>
  <c r="JW1059" i="5"/>
  <c r="JX853" i="5"/>
  <c r="JZ1057" i="5"/>
  <c r="JZ1066" i="5" s="1"/>
  <c r="AN1510" i="2"/>
  <c r="AP1424" i="2"/>
  <c r="AO1653" i="2"/>
  <c r="AP1379" i="2"/>
  <c r="AP1387" i="2" s="1"/>
  <c r="AP1156" i="2"/>
  <c r="JV853" i="5"/>
  <c r="JV1057" i="5" s="1"/>
  <c r="JV1066" i="5" s="1"/>
  <c r="AM24" i="19"/>
  <c r="KC850" i="5" l="1"/>
  <c r="BL24" i="19"/>
  <c r="JU1059" i="5"/>
  <c r="JU1068" i="5" s="1"/>
  <c r="JX1057" i="5"/>
  <c r="JX1066" i="5" s="1"/>
  <c r="JS749" i="5"/>
  <c r="JS1059" i="5"/>
  <c r="JS1068" i="5" s="1"/>
  <c r="JU749" i="5"/>
  <c r="KC1057" i="5"/>
  <c r="KC1066" i="5" s="1"/>
  <c r="KF853" i="5"/>
  <c r="KB853" i="5"/>
  <c r="KB1057" i="5" s="1"/>
  <c r="KB1066" i="5" s="1"/>
  <c r="KA850" i="5"/>
  <c r="AO1645" i="2"/>
  <c r="AV24" i="19"/>
  <c r="JV850" i="5"/>
  <c r="JX850" i="5"/>
  <c r="BE27" i="19"/>
  <c r="BF27" i="19" s="1"/>
  <c r="AN24" i="19"/>
  <c r="JY853" i="5"/>
  <c r="JY1057" i="5" s="1"/>
  <c r="JY1066" i="5" s="1"/>
  <c r="JW1068" i="5"/>
  <c r="BJ24" i="19"/>
  <c r="BH24" i="19"/>
  <c r="BK24" i="19" s="1"/>
  <c r="AO1510" i="2"/>
  <c r="AP1421" i="2"/>
  <c r="AP1513" i="2"/>
  <c r="JZ1059" i="5"/>
  <c r="AP1381" i="2"/>
  <c r="AQ1424" i="2"/>
  <c r="AQ1156" i="2"/>
  <c r="KF850" i="5" s="1"/>
  <c r="KF1059" i="5" s="1"/>
  <c r="KF1068" i="5" s="1"/>
  <c r="AP1653" i="2"/>
  <c r="AQ1379" i="2"/>
  <c r="AQ1387" i="2" s="1"/>
  <c r="AO1389" i="2"/>
  <c r="BM24" i="19" l="1"/>
  <c r="JX1059" i="5"/>
  <c r="JX1068" i="5" s="1"/>
  <c r="JV749" i="5"/>
  <c r="JV1059" i="5"/>
  <c r="JV1068" i="5" s="1"/>
  <c r="KA749" i="5"/>
  <c r="KA1059" i="5"/>
  <c r="KA1068" i="5" s="1"/>
  <c r="JX749" i="5"/>
  <c r="KD853" i="5"/>
  <c r="KD1057" i="5" s="1"/>
  <c r="KD1066" i="5" s="1"/>
  <c r="KF1057" i="5"/>
  <c r="KF1066" i="5" s="1"/>
  <c r="KI853" i="5"/>
  <c r="AW24" i="19"/>
  <c r="BE24" i="19"/>
  <c r="BF24" i="19" s="1"/>
  <c r="JY850" i="5"/>
  <c r="AQ1421" i="2"/>
  <c r="AQ1513" i="2"/>
  <c r="AQ1381" i="2"/>
  <c r="AP1510" i="2"/>
  <c r="JZ1068" i="5"/>
  <c r="AR1379" i="2"/>
  <c r="AR1387" i="2" s="1"/>
  <c r="AQ1653" i="2"/>
  <c r="AR1424" i="2"/>
  <c r="AR1156" i="2"/>
  <c r="AP1389" i="2"/>
  <c r="AP1645" i="2"/>
  <c r="JY749" i="5" l="1"/>
  <c r="JY1059" i="5"/>
  <c r="JY1068" i="5" s="1"/>
  <c r="KG853" i="5"/>
  <c r="KG1057" i="5" s="1"/>
  <c r="KG1066" i="5" s="1"/>
  <c r="KI1057" i="5"/>
  <c r="KI1066" i="5" s="1"/>
  <c r="KC1059" i="5"/>
  <c r="KC1068" i="5" s="1"/>
  <c r="KI850" i="5"/>
  <c r="KI1059" i="5" s="1"/>
  <c r="KI1068" i="5" s="1"/>
  <c r="KL853" i="5"/>
  <c r="KE853" i="5"/>
  <c r="KE1057" i="5" s="1"/>
  <c r="KE1066" i="5" s="1"/>
  <c r="KD850" i="5"/>
  <c r="KD1059" i="5" s="1"/>
  <c r="KD1068" i="5" s="1"/>
  <c r="KB850" i="5"/>
  <c r="AQ1645" i="2"/>
  <c r="AQ1389" i="2"/>
  <c r="AR1653" i="2"/>
  <c r="AS1379" i="2"/>
  <c r="AS1387" i="2" s="1"/>
  <c r="AS1156" i="2"/>
  <c r="AS1424" i="2"/>
  <c r="AR1421" i="2"/>
  <c r="AR1513" i="2"/>
  <c r="AR1381" i="2"/>
  <c r="AQ1510" i="2"/>
  <c r="KB749" i="5" l="1"/>
  <c r="KB1059" i="5"/>
  <c r="KB1068" i="5" s="1"/>
  <c r="KE850" i="5"/>
  <c r="KD749" i="5"/>
  <c r="KO853" i="5"/>
  <c r="KM853" i="5" s="1"/>
  <c r="KM1057" i="5" s="1"/>
  <c r="KM1066" i="5" s="1"/>
  <c r="AR1645" i="2"/>
  <c r="KL850" i="5"/>
  <c r="KL1059" i="5" s="1"/>
  <c r="KL1068" i="5" s="1"/>
  <c r="KJ853" i="5"/>
  <c r="KJ1057" i="5" s="1"/>
  <c r="KJ1066" i="5" s="1"/>
  <c r="KL1057" i="5"/>
  <c r="KL1066" i="5" s="1"/>
  <c r="KH853" i="5"/>
  <c r="KH1057" i="5" s="1"/>
  <c r="KH1066" i="5" s="1"/>
  <c r="KG850" i="5"/>
  <c r="KG1059" i="5" s="1"/>
  <c r="KG1068" i="5" s="1"/>
  <c r="AT1424" i="2"/>
  <c r="AT1379" i="2"/>
  <c r="AS1653" i="2"/>
  <c r="AT1156" i="2"/>
  <c r="AR1510" i="2"/>
  <c r="AR1389" i="2"/>
  <c r="AS1421" i="2"/>
  <c r="AS1513" i="2"/>
  <c r="AS1381" i="2"/>
  <c r="KE749" i="5" l="1"/>
  <c r="KE1059" i="5"/>
  <c r="KE1068" i="5" s="1"/>
  <c r="KH850" i="5"/>
  <c r="KG749" i="5"/>
  <c r="AT1387" i="2"/>
  <c r="AV1387" i="2" s="1"/>
  <c r="AU1387" i="2" s="1"/>
  <c r="AV1379" i="2"/>
  <c r="AU1379" i="2" s="1"/>
  <c r="AV1156" i="2"/>
  <c r="AT1645" i="2"/>
  <c r="KO1057" i="5"/>
  <c r="KO1066" i="5" s="1"/>
  <c r="AS1645" i="2"/>
  <c r="KO850" i="5"/>
  <c r="KO1059" i="5" s="1"/>
  <c r="KO1068" i="5" s="1"/>
  <c r="KN853" i="5"/>
  <c r="KN1057" i="5" s="1"/>
  <c r="KN1066" i="5" s="1"/>
  <c r="KM850" i="5"/>
  <c r="KK853" i="5"/>
  <c r="KK1057" i="5" s="1"/>
  <c r="KK1066" i="5" s="1"/>
  <c r="KJ850" i="5"/>
  <c r="KJ1059" i="5" s="1"/>
  <c r="KJ1068" i="5" s="1"/>
  <c r="AS1510" i="2"/>
  <c r="AS1389" i="2"/>
  <c r="AT1421" i="2"/>
  <c r="AT1513" i="2"/>
  <c r="AT1381" i="2"/>
  <c r="AV1381" i="2" s="1"/>
  <c r="AU1381" i="2" s="1"/>
  <c r="KM749" i="5" l="1"/>
  <c r="KM1059" i="5"/>
  <c r="KM1068" i="5" s="1"/>
  <c r="KH749" i="5"/>
  <c r="KH1059" i="5"/>
  <c r="KH1068" i="5" s="1"/>
  <c r="KK850" i="5"/>
  <c r="KJ749" i="5"/>
  <c r="KN850" i="5"/>
  <c r="AT1510" i="2"/>
  <c r="AT1389" i="2"/>
  <c r="AV1389" i="2" s="1"/>
  <c r="AU1389" i="2" s="1"/>
  <c r="KN749" i="5" l="1"/>
  <c r="KN1059" i="5"/>
  <c r="KN1068" i="5" s="1"/>
  <c r="KK749" i="5"/>
  <c r="KK1059" i="5"/>
  <c r="KK1068" i="5" s="1"/>
  <c r="JR883" i="5"/>
  <c r="AM1430" i="2"/>
  <c r="AM1519" i="2" s="1"/>
  <c r="JO883" i="5"/>
  <c r="AL1430" i="2"/>
  <c r="AL1519" i="2" s="1"/>
  <c r="AK1430" i="2"/>
  <c r="AK1519" i="2" s="1"/>
  <c r="AK1880" i="2"/>
  <c r="AN1430" i="2" l="1"/>
  <c r="AN1519" i="2" s="1"/>
  <c r="JU883" i="5"/>
  <c r="JS883" i="5"/>
  <c r="JP883" i="5"/>
  <c r="JM883" i="5"/>
  <c r="JV883" i="5" l="1"/>
  <c r="AH1647" i="2" l="1"/>
  <c r="AI1647" i="2" l="1"/>
  <c r="AH534" i="2" l="1"/>
  <c r="AK533" i="2" l="1"/>
  <c r="AL533" i="2" l="1"/>
  <c r="JN784" i="5"/>
  <c r="JM784" i="5" s="1"/>
  <c r="AM533" i="2" l="1"/>
  <c r="JQ784" i="5"/>
  <c r="AK440" i="2"/>
  <c r="AI1637" i="2"/>
  <c r="AI1638" i="2"/>
  <c r="AK1063" i="2" l="1"/>
  <c r="AK1062" i="2" s="1"/>
  <c r="AK439" i="2"/>
  <c r="AJ1902" i="2"/>
  <c r="AN533" i="2"/>
  <c r="JT784" i="5"/>
  <c r="JN757" i="5"/>
  <c r="AL440" i="2"/>
  <c r="O6" i="19"/>
  <c r="AJ1397" i="2"/>
  <c r="Q7" i="21" l="1"/>
  <c r="R7" i="21" s="1"/>
  <c r="AL1063" i="2"/>
  <c r="JQ757" i="5" s="1"/>
  <c r="JO757" i="5" s="1"/>
  <c r="AL439" i="2"/>
  <c r="AJ1638" i="2"/>
  <c r="AM440" i="2"/>
  <c r="AJ648" i="2"/>
  <c r="JJ1056" i="5"/>
  <c r="AO533" i="2"/>
  <c r="JW784" i="5"/>
  <c r="AJ1901" i="2"/>
  <c r="AJ1923" i="2" s="1"/>
  <c r="AJ1970" i="2" s="1"/>
  <c r="AJ1378" i="2"/>
  <c r="AJ1386" i="2" s="1"/>
  <c r="AJ1875" i="2"/>
  <c r="AJ1874" i="2" s="1"/>
  <c r="AI1636" i="2"/>
  <c r="AJ1058" i="2"/>
  <c r="O5" i="19"/>
  <c r="N6" i="19"/>
  <c r="P6" i="19"/>
  <c r="R6" i="19" s="1"/>
  <c r="Q6" i="19"/>
  <c r="AJ1396" i="2"/>
  <c r="AJ1486" i="2"/>
  <c r="JM757" i="5"/>
  <c r="JN756" i="5" l="1"/>
  <c r="W6" i="19"/>
  <c r="AN440" i="2"/>
  <c r="AK1638" i="2"/>
  <c r="AL1062" i="2"/>
  <c r="AK1902" i="2"/>
  <c r="AM1063" i="2"/>
  <c r="JT757" i="5" s="1"/>
  <c r="AM439" i="2"/>
  <c r="AJ1637" i="2"/>
  <c r="AK1397" i="2"/>
  <c r="AK1486" i="2" s="1"/>
  <c r="AP533" i="2"/>
  <c r="JZ784" i="5"/>
  <c r="AJ1485" i="2"/>
  <c r="AJ1395" i="2"/>
  <c r="AJ1889" i="2"/>
  <c r="AJ1888" i="2"/>
  <c r="AG762" i="2" s="1"/>
  <c r="AJ1887" i="2"/>
  <c r="AG756" i="2" s="1"/>
  <c r="P5" i="19"/>
  <c r="R5" i="19" s="1"/>
  <c r="O4" i="19"/>
  <c r="N5" i="19"/>
  <c r="Q5" i="19"/>
  <c r="JK1056" i="5"/>
  <c r="JK1065" i="5" s="1"/>
  <c r="JJ1065" i="5"/>
  <c r="JP757" i="5"/>
  <c r="JQ756" i="5" l="1"/>
  <c r="JO756" i="5" s="1"/>
  <c r="T7" i="21"/>
  <c r="X6" i="19"/>
  <c r="AA6" i="19" s="1"/>
  <c r="Y6" i="19"/>
  <c r="JM756" i="5"/>
  <c r="AF6" i="19"/>
  <c r="AL1902" i="2"/>
  <c r="AL1397" i="2"/>
  <c r="AL1486" i="2" s="1"/>
  <c r="AK1637" i="2"/>
  <c r="Z6" i="19"/>
  <c r="AO440" i="2"/>
  <c r="AN439" i="2"/>
  <c r="AN1063" i="2"/>
  <c r="JW757" i="5" s="1"/>
  <c r="AL1638" i="2"/>
  <c r="AM1062" i="2"/>
  <c r="AJ1369" i="2"/>
  <c r="AJ1478" i="2" s="1"/>
  <c r="AJ1565" i="2" s="1"/>
  <c r="AQ533" i="2"/>
  <c r="KC784" i="5"/>
  <c r="JB563" i="5"/>
  <c r="AG751" i="2"/>
  <c r="P4" i="19"/>
  <c r="R4" i="19" s="1"/>
  <c r="O59" i="19"/>
  <c r="Q4" i="19"/>
  <c r="Q66" i="19" s="1"/>
  <c r="Q67" i="19" s="1"/>
  <c r="Q68" i="19" s="1"/>
  <c r="Q69" i="19" s="1"/>
  <c r="O66" i="19"/>
  <c r="N4" i="19"/>
  <c r="AJ1971" i="2"/>
  <c r="AJ1452" i="2"/>
  <c r="AJ1541" i="2" s="1"/>
  <c r="AJ1368" i="2"/>
  <c r="AJ1436" i="2"/>
  <c r="AJ1435" i="2"/>
  <c r="AJ1484" i="2"/>
  <c r="U6" i="19"/>
  <c r="V6" i="19" s="1"/>
  <c r="JR757" i="5"/>
  <c r="JS757" i="5" s="1"/>
  <c r="AG6" i="19" l="1"/>
  <c r="AJ6" i="19" s="1"/>
  <c r="JT756" i="5"/>
  <c r="JR756" i="5" s="1"/>
  <c r="V7" i="21"/>
  <c r="U7" i="21"/>
  <c r="AI6" i="19"/>
  <c r="AH6" i="19"/>
  <c r="JP756" i="5"/>
  <c r="AN1062" i="2"/>
  <c r="AM1902" i="2"/>
  <c r="AM1397" i="2"/>
  <c r="AM1486" i="2" s="1"/>
  <c r="AO6" i="19"/>
  <c r="AL1637" i="2"/>
  <c r="AM1638" i="2"/>
  <c r="AO439" i="2"/>
  <c r="AP440" i="2"/>
  <c r="AO1063" i="2"/>
  <c r="JZ757" i="5" s="1"/>
  <c r="AR533" i="2"/>
  <c r="KF784" i="5"/>
  <c r="AJ1448" i="2"/>
  <c r="AJ1537" i="2" s="1"/>
  <c r="AJ1444" i="2"/>
  <c r="AJ1533" i="2" s="1"/>
  <c r="AJ1524" i="2"/>
  <c r="AJ1548" i="2"/>
  <c r="AJ1459" i="2"/>
  <c r="AJ1447" i="2"/>
  <c r="AJ1536" i="2" s="1"/>
  <c r="AJ1525" i="2"/>
  <c r="AJ1445" i="2"/>
  <c r="AJ1534" i="2" s="1"/>
  <c r="AJ1460" i="2"/>
  <c r="AJ1549" i="2"/>
  <c r="O69" i="19"/>
  <c r="AJ1455" i="2"/>
  <c r="AJ1544" i="2" s="1"/>
  <c r="N59" i="19"/>
  <c r="P59" i="19"/>
  <c r="R59" i="19" s="1"/>
  <c r="O60" i="19"/>
  <c r="Q59" i="19"/>
  <c r="AJ1449" i="2"/>
  <c r="AJ1538" i="2" s="1"/>
  <c r="AJ1450" i="2"/>
  <c r="AJ1539" i="2" s="1"/>
  <c r="O83" i="19"/>
  <c r="AI1669" i="2"/>
  <c r="AJ1458" i="2"/>
  <c r="AJ1547" i="2"/>
  <c r="AJ1382" i="2"/>
  <c r="AJ1453" i="2"/>
  <c r="AI1666" i="2"/>
  <c r="AJ1542" i="2"/>
  <c r="AJ301" i="2" s="1"/>
  <c r="JJ1061" i="5"/>
  <c r="JB558" i="5"/>
  <c r="AG326" i="2"/>
  <c r="AG306" i="2"/>
  <c r="AG327" i="2"/>
  <c r="AG746" i="2"/>
  <c r="P66" i="19"/>
  <c r="R66" i="19" s="1"/>
  <c r="O67" i="19"/>
  <c r="O68" i="19"/>
  <c r="N66" i="19"/>
  <c r="AJ1462" i="2"/>
  <c r="AJ1551" i="2"/>
  <c r="IZ563" i="5"/>
  <c r="JA563" i="5" s="1"/>
  <c r="JU757" i="5"/>
  <c r="JV757" i="5" s="1"/>
  <c r="AD6" i="19"/>
  <c r="AE6" i="19" s="1"/>
  <c r="JW756" i="5" l="1"/>
  <c r="JU756" i="5" s="1"/>
  <c r="W7" i="21"/>
  <c r="AN1397" i="2"/>
  <c r="AN1486" i="2" s="1"/>
  <c r="AX6" i="19"/>
  <c r="AZ6" i="19" s="1"/>
  <c r="AM1637" i="2"/>
  <c r="AR6" i="19"/>
  <c r="AQ6" i="19"/>
  <c r="JS756" i="5"/>
  <c r="AO1062" i="2"/>
  <c r="AP6" i="19"/>
  <c r="AS6" i="19" s="1"/>
  <c r="AP439" i="2"/>
  <c r="AN1638" i="2"/>
  <c r="AP1063" i="2"/>
  <c r="KC757" i="5" s="1"/>
  <c r="AQ440" i="2"/>
  <c r="AJ1456" i="2"/>
  <c r="AJ1545" i="2" s="1"/>
  <c r="AJ731" i="2"/>
  <c r="AJ732" i="2" s="1"/>
  <c r="JJ1069" i="5"/>
  <c r="JK1060" i="5"/>
  <c r="JK1069" i="5" s="1"/>
  <c r="AI1670" i="2"/>
  <c r="AS533" i="2"/>
  <c r="KI784" i="5"/>
  <c r="AJ1390" i="2"/>
  <c r="AJ1383" i="2"/>
  <c r="O110" i="19"/>
  <c r="AI1665" i="2"/>
  <c r="AJ1474" i="2"/>
  <c r="AJ1563" i="2" s="1"/>
  <c r="AJ1568" i="2" s="1"/>
  <c r="P69" i="19"/>
  <c r="R69" i="19" s="1"/>
  <c r="N69" i="19"/>
  <c r="N68" i="19"/>
  <c r="P68" i="19"/>
  <c r="R68" i="19" s="1"/>
  <c r="P83" i="19"/>
  <c r="R83" i="19" s="1"/>
  <c r="N83" i="19"/>
  <c r="Q83" i="19"/>
  <c r="AH307" i="2"/>
  <c r="AG307" i="2"/>
  <c r="AJ1461" i="2"/>
  <c r="AJ1550" i="2"/>
  <c r="AJ1892" i="2"/>
  <c r="AJ1894" i="2" s="1"/>
  <c r="AG768" i="2" s="1"/>
  <c r="O84" i="19"/>
  <c r="AJ1468" i="2"/>
  <c r="N67" i="19"/>
  <c r="P67" i="19"/>
  <c r="R67" i="19" s="1"/>
  <c r="AG745" i="2"/>
  <c r="AG366" i="2"/>
  <c r="AG946" i="2"/>
  <c r="AG995" i="2" s="1"/>
  <c r="JB553" i="5"/>
  <c r="IZ558" i="5"/>
  <c r="IZ553" i="5" s="1"/>
  <c r="IZ552" i="5" s="1"/>
  <c r="N60" i="19"/>
  <c r="P60" i="19"/>
  <c r="R60" i="19" s="1"/>
  <c r="Q60" i="19"/>
  <c r="JX757" i="5"/>
  <c r="JY757" i="5" s="1"/>
  <c r="AN1637" i="2"/>
  <c r="AM6" i="19"/>
  <c r="AN6" i="19" s="1"/>
  <c r="JZ756" i="5" l="1"/>
  <c r="JX756" i="5" s="1"/>
  <c r="AO1397" i="2"/>
  <c r="AO1486" i="2" s="1"/>
  <c r="BG6" i="19"/>
  <c r="BI6" i="19" s="1"/>
  <c r="AY6" i="19"/>
  <c r="BB6" i="19" s="1"/>
  <c r="BA6" i="19"/>
  <c r="BA68" i="19" s="1"/>
  <c r="JV756" i="5"/>
  <c r="AQ1063" i="2"/>
  <c r="KF757" i="5" s="1"/>
  <c r="KD757" i="5" s="1"/>
  <c r="KE757" i="5" s="1"/>
  <c r="AR440" i="2"/>
  <c r="AS440" i="2" s="1"/>
  <c r="AP1062" i="2"/>
  <c r="AO1638" i="2"/>
  <c r="AQ439" i="2"/>
  <c r="JK1061" i="5"/>
  <c r="JA558" i="5"/>
  <c r="AT533" i="2"/>
  <c r="KO784" i="5" s="1"/>
  <c r="KL784" i="5"/>
  <c r="AJ1467" i="2"/>
  <c r="AJ1556" i="2" s="1"/>
  <c r="AJ1912" i="2"/>
  <c r="AJ1911" i="2" s="1"/>
  <c r="AJ1557" i="2"/>
  <c r="P110" i="19"/>
  <c r="R110" i="19" s="1"/>
  <c r="Q110" i="19"/>
  <c r="N110" i="19"/>
  <c r="IZ550" i="5"/>
  <c r="IZ657" i="5" s="1"/>
  <c r="IZ664" i="5" s="1"/>
  <c r="IZ667" i="5" s="1"/>
  <c r="IZ658" i="5"/>
  <c r="IZ665" i="5" s="1"/>
  <c r="IZ653" i="5"/>
  <c r="IZ652" i="5"/>
  <c r="IZ654" i="5"/>
  <c r="N84" i="19"/>
  <c r="Q84" i="19"/>
  <c r="P84" i="19"/>
  <c r="R84" i="19" s="1"/>
  <c r="JA553" i="5"/>
  <c r="JA716" i="5" s="1"/>
  <c r="AG945" i="2"/>
  <c r="AG994" i="2" s="1"/>
  <c r="AG743" i="2"/>
  <c r="AG862" i="2"/>
  <c r="AG864" i="2"/>
  <c r="JB654" i="5" s="1"/>
  <c r="JB552" i="5"/>
  <c r="JA552" i="5" s="1"/>
  <c r="JA715" i="5" s="1"/>
  <c r="AG867" i="2"/>
  <c r="AJ1696" i="2"/>
  <c r="AJ1694" i="2"/>
  <c r="O85" i="19"/>
  <c r="AV6" i="19"/>
  <c r="AW6" i="19" s="1"/>
  <c r="KC756" i="5" l="1"/>
  <c r="BL6" i="19"/>
  <c r="BM6" i="19" s="1"/>
  <c r="BH6" i="19"/>
  <c r="BK6" i="19" s="1"/>
  <c r="BJ6" i="19"/>
  <c r="BJ68" i="19" s="1"/>
  <c r="AQ1062" i="2"/>
  <c r="KF756" i="5" s="1"/>
  <c r="KD756" i="5" s="1"/>
  <c r="AR439" i="2"/>
  <c r="JY756" i="5"/>
  <c r="AO1637" i="2"/>
  <c r="AP1397" i="2"/>
  <c r="AP1486" i="2" s="1"/>
  <c r="AR1063" i="2"/>
  <c r="KI757" i="5" s="1"/>
  <c r="KG757" i="5" s="1"/>
  <c r="KH757" i="5" s="1"/>
  <c r="AP1638" i="2"/>
  <c r="KA757" i="5"/>
  <c r="KB757" i="5" s="1"/>
  <c r="JA654" i="5"/>
  <c r="Q85" i="19"/>
  <c r="N85" i="19"/>
  <c r="P85" i="19"/>
  <c r="R85" i="19" s="1"/>
  <c r="AG863" i="2"/>
  <c r="JB653" i="5" s="1"/>
  <c r="JA653" i="5" s="1"/>
  <c r="JB652" i="5"/>
  <c r="JA652" i="5" s="1"/>
  <c r="AG877" i="2"/>
  <c r="AG964" i="2"/>
  <c r="AG1010" i="2" s="1"/>
  <c r="JB658" i="5"/>
  <c r="JA658" i="5" s="1"/>
  <c r="JA731" i="5" s="1"/>
  <c r="AG944" i="2"/>
  <c r="AG993" i="2" s="1"/>
  <c r="AG869" i="2"/>
  <c r="AG966" i="2" s="1"/>
  <c r="AG1012" i="2" s="1"/>
  <c r="AG870" i="2"/>
  <c r="AG967" i="2" s="1"/>
  <c r="AG1013" i="2" s="1"/>
  <c r="JB550" i="5"/>
  <c r="JA550" i="5" s="1"/>
  <c r="JA714" i="5" s="1"/>
  <c r="AG871" i="2"/>
  <c r="AG968" i="2" s="1"/>
  <c r="AG1014" i="2" s="1"/>
  <c r="AG868" i="2"/>
  <c r="AG866" i="2"/>
  <c r="JA667" i="5"/>
  <c r="JA738" i="5" s="1"/>
  <c r="IZ681" i="5"/>
  <c r="AG642" i="2"/>
  <c r="AG360" i="2"/>
  <c r="AS1063" i="2"/>
  <c r="KL757" i="5" s="1"/>
  <c r="KJ757" i="5" s="1"/>
  <c r="KK757" i="5" s="1"/>
  <c r="AS439" i="2"/>
  <c r="AT440" i="2"/>
  <c r="BE6" i="19"/>
  <c r="BF6" i="19" s="1"/>
  <c r="AP1637" i="2" l="1"/>
  <c r="AQ1397" i="2"/>
  <c r="KE756" i="5"/>
  <c r="AQ1638" i="2"/>
  <c r="AR1062" i="2"/>
  <c r="KI756" i="5" s="1"/>
  <c r="KG756" i="5" s="1"/>
  <c r="KA756" i="5"/>
  <c r="KB756" i="5" s="1"/>
  <c r="IZ700" i="5"/>
  <c r="JA681" i="5"/>
  <c r="JA742" i="5" s="1"/>
  <c r="JB657" i="5"/>
  <c r="JA657" i="5" s="1"/>
  <c r="JA730" i="5" s="1"/>
  <c r="AG963" i="2"/>
  <c r="AG1009" i="2" s="1"/>
  <c r="AG876" i="2"/>
  <c r="AF1016" i="2"/>
  <c r="AI1016" i="2"/>
  <c r="AG1016" i="2"/>
  <c r="AH1016" i="2"/>
  <c r="AE1016" i="2"/>
  <c r="JB665" i="5"/>
  <c r="JA665" i="5" s="1"/>
  <c r="JA737" i="5" s="1"/>
  <c r="AG974" i="2"/>
  <c r="AG1024" i="2" s="1"/>
  <c r="JB659" i="5"/>
  <c r="IZ659" i="5" s="1"/>
  <c r="JA659" i="5" s="1"/>
  <c r="AG965" i="2"/>
  <c r="AG1011" i="2" s="1"/>
  <c r="AE1015" i="2"/>
  <c r="AI1015" i="2"/>
  <c r="AF1015" i="2"/>
  <c r="AH1015" i="2"/>
  <c r="AG1015" i="2"/>
  <c r="AH1018" i="2"/>
  <c r="AG1018" i="2"/>
  <c r="AI1018" i="2"/>
  <c r="AR1638" i="2"/>
  <c r="AS1062" i="2"/>
  <c r="AT1063" i="2"/>
  <c r="AT439" i="2"/>
  <c r="AQ1486" i="2"/>
  <c r="AQ1637" i="2"/>
  <c r="AR1397" i="2"/>
  <c r="KO757" i="5" l="1"/>
  <c r="KM757" i="5" s="1"/>
  <c r="KN757" i="5" s="1"/>
  <c r="AV1063" i="2"/>
  <c r="AU1063" i="2" s="1"/>
  <c r="KL756" i="5"/>
  <c r="KJ756" i="5" s="1"/>
  <c r="KH756" i="5"/>
  <c r="JB664" i="5"/>
  <c r="JA664" i="5" s="1"/>
  <c r="JA736" i="5" s="1"/>
  <c r="AG920" i="2"/>
  <c r="JB700" i="5" s="1"/>
  <c r="JA700" i="5" s="1"/>
  <c r="AG973" i="2"/>
  <c r="AG1023" i="2" s="1"/>
  <c r="AG1034" i="2" s="1"/>
  <c r="AE1017" i="2"/>
  <c r="AG1017" i="2"/>
  <c r="AI1017" i="2"/>
  <c r="AH1017" i="2"/>
  <c r="AF1017" i="2"/>
  <c r="AS1638" i="2"/>
  <c r="AT1062" i="2"/>
  <c r="AR1486" i="2"/>
  <c r="AR1637" i="2"/>
  <c r="AS1397" i="2"/>
  <c r="AS1486" i="2" s="1"/>
  <c r="AU1062" i="2" l="1"/>
  <c r="AT1638" i="2"/>
  <c r="KO756" i="5"/>
  <c r="KM756" i="5" s="1"/>
  <c r="AV1062" i="2"/>
  <c r="KK756" i="5"/>
  <c r="AT1397" i="2"/>
  <c r="AS1637" i="2"/>
  <c r="KN756" i="5" l="1"/>
  <c r="AT1637" i="2"/>
  <c r="AT1486" i="2"/>
  <c r="AI1672" i="2" l="1"/>
  <c r="AI1680" i="2" l="1"/>
  <c r="AI1678" i="2"/>
  <c r="AI1677" i="2"/>
  <c r="AJ1376" i="2" l="1"/>
  <c r="AJ1373" i="2" s="1"/>
  <c r="AJ1737" i="2"/>
  <c r="O87" i="19"/>
  <c r="P87" i="19" s="1"/>
  <c r="R87" i="19" s="1"/>
  <c r="AJ1721" i="2"/>
  <c r="AJ1745" i="2"/>
  <c r="AJ1692" i="2"/>
  <c r="AJ1749" i="2"/>
  <c r="AJ1719" i="2"/>
  <c r="AJ1690" i="2" l="1"/>
  <c r="AJ1743" i="2"/>
  <c r="AJ1715" i="2" s="1"/>
  <c r="O91" i="19"/>
  <c r="N91" i="19" s="1"/>
  <c r="N87" i="19"/>
  <c r="AJ1735" i="2"/>
  <c r="O88" i="19"/>
  <c r="P88" i="19" s="1"/>
  <c r="R88" i="19" s="1"/>
  <c r="O89" i="19"/>
  <c r="AJ1747" i="2"/>
  <c r="O92" i="19"/>
  <c r="Q87" i="19"/>
  <c r="Q88" i="19" l="1"/>
  <c r="N88" i="19"/>
  <c r="Q91" i="19"/>
  <c r="P91" i="19"/>
  <c r="R91" i="19" s="1"/>
  <c r="P89" i="19"/>
  <c r="R89" i="19" s="1"/>
  <c r="N89" i="19"/>
  <c r="Q89" i="19"/>
  <c r="Q92" i="19"/>
  <c r="N92" i="19"/>
  <c r="P92" i="19"/>
  <c r="R92" i="19" s="1"/>
  <c r="AL541" i="2" l="1"/>
  <c r="AM541" i="2" l="1"/>
  <c r="AL1092" i="2"/>
  <c r="AN541" i="2" l="1"/>
  <c r="AM1092" i="2"/>
  <c r="JT786" i="5" s="1"/>
  <c r="AL540" i="2"/>
  <c r="JQ786" i="5"/>
  <c r="JO786" i="5" s="1"/>
  <c r="AO541" i="2" l="1"/>
  <c r="AM540" i="2"/>
  <c r="AN1092" i="2"/>
  <c r="AN540" i="2" s="1"/>
  <c r="JP786" i="5"/>
  <c r="JR786" i="5"/>
  <c r="JS786" i="5" s="1"/>
  <c r="JW786" i="5" l="1"/>
  <c r="JU786" i="5" s="1"/>
  <c r="JV786" i="5" s="1"/>
  <c r="AO1092" i="2"/>
  <c r="AO540" i="2" s="1"/>
  <c r="AP541" i="2"/>
  <c r="JZ786" i="5" l="1"/>
  <c r="JX786" i="5" s="1"/>
  <c r="JY786" i="5" s="1"/>
  <c r="AQ541" i="2"/>
  <c r="AP1092" i="2"/>
  <c r="AP540" i="2" s="1"/>
  <c r="KC786" i="5" l="1"/>
  <c r="KA786" i="5" s="1"/>
  <c r="KB786" i="5" s="1"/>
  <c r="AQ1092" i="2"/>
  <c r="KF786" i="5" s="1"/>
  <c r="AR541" i="2"/>
  <c r="AS541" i="2" s="1"/>
  <c r="AQ540" i="2"/>
  <c r="AR1092" i="2" l="1"/>
  <c r="AR540" i="2" s="1"/>
  <c r="AT541" i="2"/>
  <c r="AT1092" i="2" s="1"/>
  <c r="AS1092" i="2"/>
  <c r="KD786" i="5"/>
  <c r="KE786" i="5" s="1"/>
  <c r="KI786" i="5" l="1"/>
  <c r="KG786" i="5" s="1"/>
  <c r="KH786" i="5" s="1"/>
  <c r="AV1092" i="2"/>
  <c r="AU1092" i="2" s="1"/>
  <c r="KO786" i="5"/>
  <c r="AT540" i="2"/>
  <c r="AS540" i="2"/>
  <c r="KL786" i="5"/>
  <c r="KJ786" i="5" l="1"/>
  <c r="KK786" i="5" s="1"/>
  <c r="KM786" i="5"/>
  <c r="KN786" i="5" s="1"/>
  <c r="AL511" i="2" l="1"/>
  <c r="AM511" i="2" s="1"/>
  <c r="AK1083" i="2"/>
  <c r="AK1078" i="2" s="1"/>
  <c r="AK1077" i="2" s="1"/>
  <c r="AL1083" i="2" l="1"/>
  <c r="JQ777" i="5" s="1"/>
  <c r="JO777" i="5" s="1"/>
  <c r="AK492" i="2"/>
  <c r="Q9" i="21"/>
  <c r="R9" i="21" s="1"/>
  <c r="AL1078" i="2"/>
  <c r="AL1077" i="2" s="1"/>
  <c r="JN772" i="5"/>
  <c r="AK510" i="2"/>
  <c r="JN777" i="5"/>
  <c r="AN511" i="2"/>
  <c r="AM1083" i="2"/>
  <c r="AL510" i="2"/>
  <c r="T9" i="21" l="1"/>
  <c r="U9" i="21" s="1"/>
  <c r="Q6" i="21"/>
  <c r="R6" i="21" s="1"/>
  <c r="Y26" i="21" s="1"/>
  <c r="JP777" i="5"/>
  <c r="AF8" i="19"/>
  <c r="AL424" i="2"/>
  <c r="AL610" i="2"/>
  <c r="AL1061" i="2"/>
  <c r="W8" i="19"/>
  <c r="Y8" i="19" s="1"/>
  <c r="AK1061" i="2"/>
  <c r="JQ772" i="5"/>
  <c r="JQ771" i="5"/>
  <c r="JO771" i="5" s="1"/>
  <c r="AL1905" i="2"/>
  <c r="AL1400" i="2"/>
  <c r="AL1396" i="2" s="1"/>
  <c r="AL492" i="2"/>
  <c r="JT777" i="5"/>
  <c r="AM1078" i="2"/>
  <c r="AM510" i="2"/>
  <c r="AN1083" i="2"/>
  <c r="AO511" i="2"/>
  <c r="JM772" i="5"/>
  <c r="JM777" i="5"/>
  <c r="AK1905" i="2"/>
  <c r="AK424" i="2"/>
  <c r="AK610" i="2"/>
  <c r="AK1671" i="2"/>
  <c r="AK1641" i="2"/>
  <c r="AJ1641" i="2"/>
  <c r="JN771" i="5"/>
  <c r="AK1400" i="2"/>
  <c r="AJ1671" i="2"/>
  <c r="T6" i="21" l="1"/>
  <c r="U6" i="21" s="1"/>
  <c r="AG8" i="19"/>
  <c r="AJ8" i="19" s="1"/>
  <c r="JO772" i="5"/>
  <c r="JP772" i="5" s="1"/>
  <c r="Q5" i="21"/>
  <c r="R5" i="21" s="1"/>
  <c r="AF5" i="19"/>
  <c r="AI8" i="19"/>
  <c r="AH8" i="19"/>
  <c r="AL1378" i="2"/>
  <c r="AL1386" i="2" s="1"/>
  <c r="AL1901" i="2"/>
  <c r="AL1923" i="2" s="1"/>
  <c r="AL1970" i="2" s="1"/>
  <c r="AL1060" i="2"/>
  <c r="AL1253" i="2" s="1"/>
  <c r="AL648" i="2"/>
  <c r="JP771" i="5"/>
  <c r="JQ755" i="5"/>
  <c r="AL1489" i="2"/>
  <c r="AL1058" i="2"/>
  <c r="W5" i="19"/>
  <c r="AL1395" i="2"/>
  <c r="AL1485" i="2"/>
  <c r="JO755" i="5"/>
  <c r="AD8" i="19"/>
  <c r="AE8" i="19" s="1"/>
  <c r="Z8" i="19"/>
  <c r="X8" i="19"/>
  <c r="AA8" i="19" s="1"/>
  <c r="AK1636" i="2"/>
  <c r="AJ1636" i="2"/>
  <c r="AK648" i="2"/>
  <c r="JN755" i="5"/>
  <c r="AK1058" i="2"/>
  <c r="AK1378" i="2"/>
  <c r="AK1875" i="2"/>
  <c r="AK1874" i="2" s="1"/>
  <c r="AK1060" i="2"/>
  <c r="AK1901" i="2"/>
  <c r="AK1923" i="2" s="1"/>
  <c r="AK1970" i="2" s="1"/>
  <c r="AO1083" i="2"/>
  <c r="AP511" i="2"/>
  <c r="JT772" i="5"/>
  <c r="AM492" i="2"/>
  <c r="AM1077" i="2"/>
  <c r="AK1396" i="2"/>
  <c r="AK1489" i="2"/>
  <c r="AN510" i="2"/>
  <c r="AN1078" i="2"/>
  <c r="JW777" i="5"/>
  <c r="JR777" i="5"/>
  <c r="JS777" i="5" s="1"/>
  <c r="T5" i="21" l="1"/>
  <c r="U5" i="21" s="1"/>
  <c r="V9" i="21"/>
  <c r="V6" i="21" s="1"/>
  <c r="V5" i="21" s="1"/>
  <c r="AH5" i="19"/>
  <c r="AF4" i="19"/>
  <c r="AG5" i="19"/>
  <c r="AJ5" i="19" s="1"/>
  <c r="AI5" i="19"/>
  <c r="W4" i="19"/>
  <c r="W66" i="19" s="1"/>
  <c r="Y5" i="19"/>
  <c r="AL1245" i="2"/>
  <c r="AL1246" i="2" s="1"/>
  <c r="JQ925" i="5" s="1"/>
  <c r="JQ754" i="5"/>
  <c r="AL1226" i="2"/>
  <c r="JQ905" i="5" s="1"/>
  <c r="AL1254" i="2"/>
  <c r="JQ933" i="5" s="1"/>
  <c r="JP755" i="5"/>
  <c r="JP1056" i="5" s="1"/>
  <c r="JP1065" i="5" s="1"/>
  <c r="AK1395" i="2"/>
  <c r="AK1485" i="2"/>
  <c r="AM1905" i="2"/>
  <c r="AM1061" i="2"/>
  <c r="AO8" i="19"/>
  <c r="AQ8" i="19" s="1"/>
  <c r="JT771" i="5"/>
  <c r="AM1400" i="2"/>
  <c r="AM424" i="2"/>
  <c r="AM610" i="2"/>
  <c r="AL1671" i="2"/>
  <c r="AL1641" i="2"/>
  <c r="JR772" i="5"/>
  <c r="JS772" i="5" s="1"/>
  <c r="AL1265" i="2"/>
  <c r="AL1262" i="2"/>
  <c r="AL1452" i="2"/>
  <c r="AL1541" i="2" s="1"/>
  <c r="AL1261" i="2"/>
  <c r="AL1256" i="2"/>
  <c r="JQ935" i="5" s="1"/>
  <c r="JQ932" i="5"/>
  <c r="AL1255" i="2"/>
  <c r="JQ934" i="5" s="1"/>
  <c r="AL1263" i="2"/>
  <c r="AL1258" i="2"/>
  <c r="AL1368" i="2"/>
  <c r="U8" i="19"/>
  <c r="V8" i="19" s="1"/>
  <c r="X5" i="19"/>
  <c r="AA5" i="19" s="1"/>
  <c r="Z5" i="19"/>
  <c r="JM771" i="5"/>
  <c r="AQ511" i="2"/>
  <c r="AP1083" i="2"/>
  <c r="AO1078" i="2"/>
  <c r="JZ777" i="5"/>
  <c r="AO510" i="2"/>
  <c r="AK1245" i="2"/>
  <c r="AK1313" i="2" s="1"/>
  <c r="JN754" i="5"/>
  <c r="AK1253" i="2"/>
  <c r="AK1226" i="2"/>
  <c r="JU777" i="5"/>
  <c r="JV777" i="5" s="1"/>
  <c r="AN1077" i="2"/>
  <c r="JW772" i="5"/>
  <c r="AN492" i="2"/>
  <c r="JO1056" i="5"/>
  <c r="JO754" i="5"/>
  <c r="JO906" i="5"/>
  <c r="AD5" i="19"/>
  <c r="AE5" i="19" s="1"/>
  <c r="AK1888" i="2"/>
  <c r="AK1889" i="2"/>
  <c r="AK1887" i="2"/>
  <c r="AK1386" i="2"/>
  <c r="AL1971" i="2"/>
  <c r="AL1484" i="2"/>
  <c r="AL1435" i="2"/>
  <c r="AV1395" i="2"/>
  <c r="AL1436" i="2"/>
  <c r="W9" i="21" l="1"/>
  <c r="W6" i="21" s="1"/>
  <c r="W5" i="21" s="1"/>
  <c r="AH4" i="19"/>
  <c r="JO933" i="5"/>
  <c r="JO1060" i="5" s="1"/>
  <c r="JO1061" i="5" s="1"/>
  <c r="AI67" i="19"/>
  <c r="AI4" i="19"/>
  <c r="AI66" i="19" s="1"/>
  <c r="AF66" i="19"/>
  <c r="AF59" i="19"/>
  <c r="AG4" i="19"/>
  <c r="AJ4" i="19" s="1"/>
  <c r="AL1227" i="2"/>
  <c r="JQ906" i="5" s="1"/>
  <c r="JP906" i="5" s="1"/>
  <c r="JQ924" i="5"/>
  <c r="AL1251" i="2"/>
  <c r="JQ930" i="5" s="1"/>
  <c r="AL1248" i="2"/>
  <c r="AL1447" i="2" s="1"/>
  <c r="AL1536" i="2" s="1"/>
  <c r="AL1250" i="2"/>
  <c r="AL1449" i="2" s="1"/>
  <c r="AL1538" i="2" s="1"/>
  <c r="W59" i="19"/>
  <c r="Y59" i="19" s="1"/>
  <c r="W67" i="19"/>
  <c r="Y67" i="19" s="1"/>
  <c r="AL1249" i="2"/>
  <c r="AL1448" i="2" s="1"/>
  <c r="AL1537" i="2" s="1"/>
  <c r="AL1313" i="2"/>
  <c r="Y4" i="19"/>
  <c r="X4" i="19"/>
  <c r="AA4" i="19" s="1"/>
  <c r="AL1453" i="2"/>
  <c r="W83" i="19"/>
  <c r="Y83" i="19" s="1"/>
  <c r="AL1542" i="2"/>
  <c r="AL1382" i="2"/>
  <c r="AL1383" i="2" s="1"/>
  <c r="AM1671" i="2"/>
  <c r="JM755" i="5"/>
  <c r="JM1056" i="5" s="1"/>
  <c r="AM1641" i="2"/>
  <c r="AO492" i="2"/>
  <c r="JZ772" i="5"/>
  <c r="AO1077" i="2"/>
  <c r="AP1078" i="2"/>
  <c r="AP510" i="2"/>
  <c r="KC777" i="5"/>
  <c r="JO1065" i="5"/>
  <c r="JQ1056" i="5"/>
  <c r="AM1489" i="2"/>
  <c r="AM1396" i="2"/>
  <c r="JQ942" i="5"/>
  <c r="AL1549" i="2"/>
  <c r="AL1460" i="2"/>
  <c r="JO924" i="5"/>
  <c r="JO905" i="5"/>
  <c r="JP905" i="5" s="1"/>
  <c r="AD4" i="19"/>
  <c r="JO932" i="5"/>
  <c r="AL1444" i="2"/>
  <c r="AL1524" i="2"/>
  <c r="JT755" i="5"/>
  <c r="AO5" i="19"/>
  <c r="AM1378" i="2"/>
  <c r="AM648" i="2"/>
  <c r="AM1058" i="2"/>
  <c r="AM1060" i="2"/>
  <c r="AM1901" i="2"/>
  <c r="AM1923" i="2" s="1"/>
  <c r="AM1970" i="2" s="1"/>
  <c r="AL1636" i="2"/>
  <c r="JN924" i="5"/>
  <c r="AK1248" i="2"/>
  <c r="AK1366" i="2"/>
  <c r="AK1249" i="2"/>
  <c r="AK1251" i="2"/>
  <c r="AK1246" i="2"/>
  <c r="JN925" i="5" s="1"/>
  <c r="AK1250" i="2"/>
  <c r="JL1056" i="5"/>
  <c r="U5" i="19"/>
  <c r="V5" i="19" s="1"/>
  <c r="AK1435" i="2"/>
  <c r="AK1484" i="2"/>
  <c r="AK1436" i="2"/>
  <c r="JN905" i="5"/>
  <c r="AK1227" i="2"/>
  <c r="JN906" i="5" s="1"/>
  <c r="AK1261" i="2"/>
  <c r="AK1263" i="2"/>
  <c r="AK1258" i="2"/>
  <c r="AK1368" i="2"/>
  <c r="AK1265" i="2"/>
  <c r="AK1256" i="2"/>
  <c r="JN935" i="5" s="1"/>
  <c r="JN932" i="5"/>
  <c r="AK1262" i="2"/>
  <c r="AK1255" i="2"/>
  <c r="JN934" i="5" s="1"/>
  <c r="AK1452" i="2"/>
  <c r="AK1541" i="2" s="1"/>
  <c r="AK1254" i="2"/>
  <c r="JQ944" i="5"/>
  <c r="AL1551" i="2"/>
  <c r="AL1462" i="2"/>
  <c r="JX777" i="5"/>
  <c r="JY777" i="5" s="1"/>
  <c r="AQ1083" i="2"/>
  <c r="AR511" i="2"/>
  <c r="AL1525" i="2"/>
  <c r="AL1445" i="2"/>
  <c r="AL1534" i="2" s="1"/>
  <c r="JR771" i="5"/>
  <c r="AL1259" i="2"/>
  <c r="AL1264" i="2"/>
  <c r="AF69" i="19"/>
  <c r="JQ937" i="5"/>
  <c r="AL1455" i="2"/>
  <c r="AL1544" i="2" s="1"/>
  <c r="JU772" i="5"/>
  <c r="JV772" i="5" s="1"/>
  <c r="AL1548" i="2"/>
  <c r="JQ941" i="5"/>
  <c r="AL1459" i="2"/>
  <c r="Z4" i="19"/>
  <c r="AK1971" i="2"/>
  <c r="JP754" i="5"/>
  <c r="JP933" i="5" s="1"/>
  <c r="AR8" i="19"/>
  <c r="AP8" i="19"/>
  <c r="AS8" i="19" s="1"/>
  <c r="AN1400" i="2"/>
  <c r="JW771" i="5"/>
  <c r="AN1061" i="2"/>
  <c r="AN610" i="2"/>
  <c r="AN424" i="2"/>
  <c r="AX8" i="19"/>
  <c r="AZ8" i="19" s="1"/>
  <c r="AL1547" i="2"/>
  <c r="JQ940" i="5"/>
  <c r="AL1458" i="2"/>
  <c r="AQ5" i="19" l="1"/>
  <c r="AO116" i="19"/>
  <c r="AH59" i="19"/>
  <c r="AH69" i="19"/>
  <c r="AF68" i="19"/>
  <c r="AI68" i="19" s="1"/>
  <c r="Z66" i="19"/>
  <c r="Z115" i="19"/>
  <c r="AL1314" i="2"/>
  <c r="AG66" i="19"/>
  <c r="AJ66" i="19" s="1"/>
  <c r="AF60" i="19"/>
  <c r="AF67" i="19"/>
  <c r="AH66" i="19"/>
  <c r="W60" i="19"/>
  <c r="Y60" i="19" s="1"/>
  <c r="AG59" i="19"/>
  <c r="AJ59" i="19" s="1"/>
  <c r="AI59" i="19"/>
  <c r="JQ927" i="5"/>
  <c r="AL1450" i="2"/>
  <c r="AL1539" i="2" s="1"/>
  <c r="JQ987" i="5"/>
  <c r="AF83" i="19"/>
  <c r="JQ929" i="5"/>
  <c r="AL1369" i="2"/>
  <c r="AL1478" i="2" s="1"/>
  <c r="AL1565" i="2" s="1"/>
  <c r="AL1366" i="2"/>
  <c r="Y66" i="19"/>
  <c r="W68" i="19"/>
  <c r="X68" i="19" s="1"/>
  <c r="AA68" i="19" s="1"/>
  <c r="X66" i="19"/>
  <c r="AA66" i="19" s="1"/>
  <c r="JQ928" i="5"/>
  <c r="AL1390" i="2"/>
  <c r="W69" i="19"/>
  <c r="Y69" i="19" s="1"/>
  <c r="AN1671" i="2"/>
  <c r="AM1636" i="2"/>
  <c r="JS771" i="5"/>
  <c r="AK1444" i="2"/>
  <c r="AK1533" i="2" s="1"/>
  <c r="AK1524" i="2"/>
  <c r="JP932" i="5"/>
  <c r="JP924" i="5"/>
  <c r="AK1453" i="2"/>
  <c r="AK1542" i="2"/>
  <c r="AJ1666" i="2"/>
  <c r="AK1666" i="2"/>
  <c r="AK1382" i="2"/>
  <c r="JN933" i="5"/>
  <c r="JO934" i="5"/>
  <c r="JO943" i="5"/>
  <c r="JO941" i="5"/>
  <c r="JO942" i="5"/>
  <c r="JO940" i="5"/>
  <c r="JO935" i="5"/>
  <c r="JO944" i="5"/>
  <c r="AN1641" i="2"/>
  <c r="AM8" i="19"/>
  <c r="AN8" i="19" s="1"/>
  <c r="JR755" i="5"/>
  <c r="AM1386" i="2"/>
  <c r="AP5" i="19"/>
  <c r="AS5" i="19" s="1"/>
  <c r="AO4" i="19"/>
  <c r="AQ4" i="19" s="1"/>
  <c r="AR5" i="19"/>
  <c r="AR67" i="19" s="1"/>
  <c r="AL1456" i="2"/>
  <c r="AL1545" i="2" s="1"/>
  <c r="JQ938" i="5"/>
  <c r="JM905" i="5"/>
  <c r="U4" i="19"/>
  <c r="JL1060" i="5"/>
  <c r="AK1449" i="2"/>
  <c r="AK1538" i="2" s="1"/>
  <c r="JN929" i="5"/>
  <c r="AK1459" i="2"/>
  <c r="AK1548" i="2"/>
  <c r="JN941" i="5"/>
  <c r="JX772" i="5"/>
  <c r="JY772" i="5" s="1"/>
  <c r="JN928" i="5"/>
  <c r="AK1448" i="2"/>
  <c r="AK1537" i="2" s="1"/>
  <c r="AK1314" i="2"/>
  <c r="JN987" i="5"/>
  <c r="AJ1669" i="2"/>
  <c r="AK1669" i="2"/>
  <c r="AK1369" i="2"/>
  <c r="AK1478" i="2" s="1"/>
  <c r="AK1565" i="2" s="1"/>
  <c r="JO928" i="5"/>
  <c r="JO925" i="5"/>
  <c r="JO987" i="5"/>
  <c r="JO927" i="5"/>
  <c r="JO930" i="5"/>
  <c r="JO929" i="5"/>
  <c r="AK1445" i="2"/>
  <c r="AK1534" i="2" s="1"/>
  <c r="AK1525" i="2"/>
  <c r="AE69" i="19"/>
  <c r="AG69" i="19"/>
  <c r="AJ69" i="19" s="1"/>
  <c r="JT1056" i="5"/>
  <c r="Z59" i="19"/>
  <c r="X59" i="19"/>
  <c r="AA59" i="19" s="1"/>
  <c r="AK1450" i="2"/>
  <c r="AK1539" i="2" s="1"/>
  <c r="JN930" i="5"/>
  <c r="AM1226" i="2"/>
  <c r="JT754" i="5"/>
  <c r="AM1253" i="2"/>
  <c r="AM1254" i="2"/>
  <c r="AM1245" i="2"/>
  <c r="AM1395" i="2"/>
  <c r="AM1485" i="2"/>
  <c r="KA777" i="5"/>
  <c r="KB777" i="5" s="1"/>
  <c r="AP492" i="2"/>
  <c r="AP1077" i="2"/>
  <c r="KC772" i="5"/>
  <c r="AK1474" i="2"/>
  <c r="AK1563" i="2" s="1"/>
  <c r="W110" i="19"/>
  <c r="Y110" i="19" s="1"/>
  <c r="JN1041" i="5"/>
  <c r="AJ1665" i="2"/>
  <c r="AK1551" i="2"/>
  <c r="AK1462" i="2"/>
  <c r="JN944" i="5"/>
  <c r="AD59" i="19"/>
  <c r="AD66" i="19"/>
  <c r="AE4" i="19"/>
  <c r="JO1069" i="5"/>
  <c r="AK1455" i="2"/>
  <c r="AK1544" i="2" s="1"/>
  <c r="AK1264" i="2"/>
  <c r="AK1259" i="2"/>
  <c r="JN937" i="5"/>
  <c r="AR1083" i="2"/>
  <c r="AS511" i="2"/>
  <c r="AN1058" i="2"/>
  <c r="AN648" i="2"/>
  <c r="AN1060" i="2"/>
  <c r="JW755" i="5"/>
  <c r="AN1378" i="2"/>
  <c r="AX5" i="19"/>
  <c r="AK1547" i="2"/>
  <c r="AK1458" i="2"/>
  <c r="JN940" i="5"/>
  <c r="JM906" i="5"/>
  <c r="AL1461" i="2"/>
  <c r="AL1550" i="2"/>
  <c r="JQ943" i="5"/>
  <c r="JQ1065" i="5"/>
  <c r="JN1056" i="5"/>
  <c r="AL1533" i="2"/>
  <c r="AV1444" i="2"/>
  <c r="AO424" i="2"/>
  <c r="JZ771" i="5"/>
  <c r="BG8" i="19"/>
  <c r="BI8" i="19" s="1"/>
  <c r="AO1061" i="2"/>
  <c r="AO1400" i="2"/>
  <c r="AO610" i="2"/>
  <c r="BA8" i="19"/>
  <c r="AY8" i="19"/>
  <c r="BB8" i="19" s="1"/>
  <c r="AK1447" i="2"/>
  <c r="AK1536" i="2" s="1"/>
  <c r="JN927" i="5"/>
  <c r="AK1549" i="2"/>
  <c r="AK1460" i="2"/>
  <c r="JN942" i="5"/>
  <c r="KF777" i="5"/>
  <c r="AQ510" i="2"/>
  <c r="AQ1078" i="2"/>
  <c r="JM754" i="5"/>
  <c r="JU771" i="5"/>
  <c r="AN1396" i="2"/>
  <c r="AN1489" i="2"/>
  <c r="AO1671" i="2" l="1"/>
  <c r="BL8" i="19"/>
  <c r="BM8" i="19" s="1"/>
  <c r="AZ5" i="19"/>
  <c r="AX116" i="19"/>
  <c r="Z67" i="19"/>
  <c r="Z121" i="19"/>
  <c r="AG68" i="19"/>
  <c r="AJ68" i="19" s="1"/>
  <c r="AH60" i="19"/>
  <c r="AH67" i="19"/>
  <c r="AH68" i="19"/>
  <c r="AH83" i="19"/>
  <c r="JR1056" i="5"/>
  <c r="AL1468" i="2"/>
  <c r="AL1467" i="2" s="1"/>
  <c r="AF84" i="19"/>
  <c r="AG84" i="19" s="1"/>
  <c r="AJ84" i="19" s="1"/>
  <c r="AG60" i="19"/>
  <c r="AJ60" i="19" s="1"/>
  <c r="JQ988" i="5"/>
  <c r="AL1319" i="2"/>
  <c r="AG67" i="19"/>
  <c r="AJ67" i="19" s="1"/>
  <c r="JQ1041" i="5"/>
  <c r="AI60" i="19"/>
  <c r="AG83" i="19"/>
  <c r="AJ83" i="19" s="1"/>
  <c r="Y68" i="19"/>
  <c r="AI83" i="19"/>
  <c r="AL1474" i="2"/>
  <c r="AL1563" i="2" s="1"/>
  <c r="AL1568" i="2" s="1"/>
  <c r="AK1665" i="2"/>
  <c r="AF110" i="19"/>
  <c r="Z68" i="19"/>
  <c r="Z69" i="19" s="1"/>
  <c r="W84" i="19"/>
  <c r="Y84" i="19" s="1"/>
  <c r="JO1041" i="5"/>
  <c r="JS755" i="5"/>
  <c r="JV771" i="5"/>
  <c r="AK1568" i="2"/>
  <c r="AM1256" i="2"/>
  <c r="JT935" i="5" s="1"/>
  <c r="AM1255" i="2"/>
  <c r="JT934" i="5" s="1"/>
  <c r="AM1452" i="2"/>
  <c r="AM1541" i="2" s="1"/>
  <c r="AM1265" i="2"/>
  <c r="AM1263" i="2"/>
  <c r="JT932" i="5"/>
  <c r="AM1262" i="2"/>
  <c r="AM1258" i="2"/>
  <c r="AM1261" i="2"/>
  <c r="AM1368" i="2"/>
  <c r="JK1047" i="5"/>
  <c r="JK1051" i="5" s="1"/>
  <c r="JK1048" i="5"/>
  <c r="JK1052" i="5" s="1"/>
  <c r="JK1046" i="5"/>
  <c r="JK1050" i="5" s="1"/>
  <c r="X110" i="19"/>
  <c r="AA110" i="19" s="1"/>
  <c r="Z110" i="19"/>
  <c r="X67" i="19"/>
  <c r="AA67" i="19" s="1"/>
  <c r="AP1061" i="2"/>
  <c r="BL5" i="19" s="1"/>
  <c r="AP424" i="2"/>
  <c r="AP610" i="2"/>
  <c r="AP1400" i="2"/>
  <c r="KC771" i="5"/>
  <c r="AM1971" i="2"/>
  <c r="AK1390" i="2"/>
  <c r="AK1383" i="2"/>
  <c r="JP987" i="5"/>
  <c r="JP988" i="5" s="1"/>
  <c r="JP928" i="5"/>
  <c r="JP925" i="5"/>
  <c r="JP927" i="5"/>
  <c r="JP930" i="5"/>
  <c r="JP929" i="5"/>
  <c r="KI777" i="5"/>
  <c r="AR1078" i="2"/>
  <c r="AR510" i="2"/>
  <c r="X69" i="19"/>
  <c r="AA69" i="19" s="1"/>
  <c r="V69" i="19"/>
  <c r="AK1468" i="2"/>
  <c r="JN988" i="5"/>
  <c r="AK1892" i="2"/>
  <c r="AK1894" i="2" s="1"/>
  <c r="AK1319" i="2"/>
  <c r="AO1396" i="2"/>
  <c r="AO1489" i="2"/>
  <c r="AP4" i="19"/>
  <c r="AS4" i="19" s="1"/>
  <c r="AR4" i="19"/>
  <c r="AR66" i="19" s="1"/>
  <c r="AO59" i="19"/>
  <c r="AQ59" i="19" s="1"/>
  <c r="AO66" i="19"/>
  <c r="AO68" i="19" s="1"/>
  <c r="AJ1670" i="2"/>
  <c r="JX771" i="5"/>
  <c r="AD67" i="19"/>
  <c r="AE67" i="19" s="1"/>
  <c r="AD68" i="19"/>
  <c r="AE66" i="19"/>
  <c r="AE68" i="19" s="1"/>
  <c r="JP941" i="5"/>
  <c r="JP935" i="5"/>
  <c r="JP942" i="5"/>
  <c r="JP943" i="5"/>
  <c r="JP940" i="5"/>
  <c r="JP934" i="5"/>
  <c r="JP944" i="5"/>
  <c r="AM1382" i="2"/>
  <c r="JT933" i="5"/>
  <c r="JT1060" i="5" s="1"/>
  <c r="JT1069" i="5" s="1"/>
  <c r="AM1453" i="2"/>
  <c r="AM1542" i="2"/>
  <c r="AL1666" i="2"/>
  <c r="AT511" i="2"/>
  <c r="AT1083" i="2" s="1"/>
  <c r="AS1083" i="2"/>
  <c r="U66" i="19"/>
  <c r="U59" i="19"/>
  <c r="V4" i="19"/>
  <c r="KA772" i="5"/>
  <c r="KB772" i="5" s="1"/>
  <c r="JT1065" i="5"/>
  <c r="AN1395" i="2"/>
  <c r="AN1485" i="2"/>
  <c r="AO1641" i="2"/>
  <c r="JP1060" i="5"/>
  <c r="JW754" i="5"/>
  <c r="AN1245" i="2"/>
  <c r="AN1254" i="2"/>
  <c r="AN1253" i="2"/>
  <c r="AN1226" i="2"/>
  <c r="Z83" i="19"/>
  <c r="X83" i="19"/>
  <c r="AA83" i="19" s="1"/>
  <c r="JN938" i="5"/>
  <c r="AK1456" i="2"/>
  <c r="AK1545" i="2" s="1"/>
  <c r="Z60" i="19"/>
  <c r="X60" i="19"/>
  <c r="AA60" i="19" s="1"/>
  <c r="AO1060" i="2"/>
  <c r="AO1058" i="2"/>
  <c r="AO648" i="2"/>
  <c r="JZ755" i="5"/>
  <c r="BG5" i="19"/>
  <c r="AO1378" i="2"/>
  <c r="BH8" i="19"/>
  <c r="BK8" i="19" s="1"/>
  <c r="BJ8" i="19"/>
  <c r="JM932" i="5"/>
  <c r="JM933" i="5"/>
  <c r="JM1060" i="5" s="1"/>
  <c r="JM924" i="5"/>
  <c r="AQ1077" i="2"/>
  <c r="AP1671" i="2" s="1"/>
  <c r="AP1678" i="2" s="1"/>
  <c r="KF772" i="5"/>
  <c r="AQ492" i="2"/>
  <c r="AM1436" i="2"/>
  <c r="AM1435" i="2"/>
  <c r="AM1484" i="2"/>
  <c r="JT905" i="5"/>
  <c r="AM1227" i="2"/>
  <c r="JT906" i="5" s="1"/>
  <c r="AK1461" i="2"/>
  <c r="AK1550" i="2"/>
  <c r="JN943" i="5"/>
  <c r="AK1670" i="2"/>
  <c r="AV8" i="19"/>
  <c r="AW8" i="19" s="1"/>
  <c r="JU755" i="5"/>
  <c r="AD60" i="19"/>
  <c r="AE60" i="19" s="1"/>
  <c r="AE59" i="19"/>
  <c r="AY5" i="19"/>
  <c r="BB5" i="19" s="1"/>
  <c r="AX4" i="19"/>
  <c r="AZ4" i="19" s="1"/>
  <c r="BA5" i="19"/>
  <c r="BA67" i="19" s="1"/>
  <c r="AN1386" i="2"/>
  <c r="JW1056" i="5"/>
  <c r="KD777" i="5"/>
  <c r="KE777" i="5" s="1"/>
  <c r="AN1636" i="2"/>
  <c r="AM1251" i="2"/>
  <c r="AM1249" i="2"/>
  <c r="AM1250" i="2"/>
  <c r="AM1248" i="2"/>
  <c r="JT924" i="5"/>
  <c r="AM1313" i="2"/>
  <c r="AM1246" i="2"/>
  <c r="JT925" i="5" s="1"/>
  <c r="JO988" i="5"/>
  <c r="AD83" i="19"/>
  <c r="AE83" i="19" s="1"/>
  <c r="JR754" i="5"/>
  <c r="AM5" i="19"/>
  <c r="AN5" i="19" s="1"/>
  <c r="JR906" i="5"/>
  <c r="BI5" i="19" l="1"/>
  <c r="BG116" i="19"/>
  <c r="BM5" i="19"/>
  <c r="BL4" i="19"/>
  <c r="AL731" i="2"/>
  <c r="AL732" i="2" s="1"/>
  <c r="T36" i="21"/>
  <c r="T58" i="21" s="1"/>
  <c r="AL1320" i="2"/>
  <c r="AH84" i="19"/>
  <c r="AL1329" i="2"/>
  <c r="JQ993" i="5"/>
  <c r="AM1695" i="2" s="1"/>
  <c r="AH110" i="19"/>
  <c r="AL1696" i="2"/>
  <c r="AI84" i="19"/>
  <c r="AL1557" i="2"/>
  <c r="AL1912" i="2"/>
  <c r="AL1911" i="2" s="1"/>
  <c r="Q36" i="21"/>
  <c r="R36" i="21" s="1"/>
  <c r="JU1056" i="5"/>
  <c r="JR933" i="5"/>
  <c r="JR1060" i="5" s="1"/>
  <c r="AF85" i="19"/>
  <c r="JP1041" i="5"/>
  <c r="AI110" i="19"/>
  <c r="JS1056" i="5"/>
  <c r="JS1065" i="5" s="1"/>
  <c r="AV1083" i="2"/>
  <c r="AG110" i="19"/>
  <c r="AJ110" i="19" s="1"/>
  <c r="AQ66" i="19"/>
  <c r="W85" i="19"/>
  <c r="AM1366" i="2"/>
  <c r="JY771" i="5"/>
  <c r="JS754" i="5"/>
  <c r="JV755" i="5"/>
  <c r="AD110" i="19"/>
  <c r="AE110" i="19" s="1"/>
  <c r="AP1641" i="2"/>
  <c r="JS906" i="5"/>
  <c r="JT1061" i="5"/>
  <c r="AM1448" i="2"/>
  <c r="AM1537" i="2" s="1"/>
  <c r="JT928" i="5"/>
  <c r="AP648" i="2"/>
  <c r="AP1378" i="2"/>
  <c r="AP1060" i="2"/>
  <c r="KC755" i="5"/>
  <c r="AN1313" i="2"/>
  <c r="AN1246" i="2"/>
  <c r="JW925" i="5" s="1"/>
  <c r="JW924" i="5"/>
  <c r="AN1251" i="2"/>
  <c r="AN1249" i="2"/>
  <c r="AN1248" i="2"/>
  <c r="AN1250" i="2"/>
  <c r="JM943" i="5"/>
  <c r="JM940" i="5"/>
  <c r="JM934" i="5"/>
  <c r="JM935" i="5"/>
  <c r="JN1046" i="5"/>
  <c r="JN1050" i="5" s="1"/>
  <c r="JM944" i="5"/>
  <c r="JN1048" i="5" s="1"/>
  <c r="JN1052" i="5" s="1"/>
  <c r="JM942" i="5"/>
  <c r="JM941" i="5"/>
  <c r="AO1386" i="2"/>
  <c r="JZ1056" i="5"/>
  <c r="AO67" i="19"/>
  <c r="AQ67" i="19" s="1"/>
  <c r="AP66" i="19"/>
  <c r="AS66" i="19" s="1"/>
  <c r="AM1459" i="2"/>
  <c r="JT941" i="5"/>
  <c r="AM1548" i="2"/>
  <c r="JT942" i="5"/>
  <c r="AM1460" i="2"/>
  <c r="AM1549" i="2"/>
  <c r="U68" i="19"/>
  <c r="U67" i="19"/>
  <c r="V67" i="19" s="1"/>
  <c r="V66" i="19"/>
  <c r="V68" i="19" s="1"/>
  <c r="KG777" i="5"/>
  <c r="KH777" i="5" s="1"/>
  <c r="JW1065" i="5"/>
  <c r="JX755" i="5"/>
  <c r="BE8" i="19"/>
  <c r="BF8" i="19" s="1"/>
  <c r="AM1462" i="2"/>
  <c r="AM1551" i="2"/>
  <c r="JT944" i="5"/>
  <c r="AP1396" i="2"/>
  <c r="AP1489" i="2"/>
  <c r="AN1258" i="2"/>
  <c r="AN1452" i="2"/>
  <c r="AN1541" i="2" s="1"/>
  <c r="AN1263" i="2"/>
  <c r="AN1261" i="2"/>
  <c r="AN1368" i="2"/>
  <c r="AN1256" i="2"/>
  <c r="JW935" i="5" s="1"/>
  <c r="AN1255" i="2"/>
  <c r="JW934" i="5" s="1"/>
  <c r="AN1262" i="2"/>
  <c r="JW932" i="5"/>
  <c r="AN1265" i="2"/>
  <c r="AM1449" i="2"/>
  <c r="AM1538" i="2" s="1"/>
  <c r="JT929" i="5"/>
  <c r="JP1069" i="5"/>
  <c r="JP1061" i="5"/>
  <c r="JQ1060" i="5"/>
  <c r="AT1078" i="2"/>
  <c r="KO777" i="5"/>
  <c r="AT510" i="2"/>
  <c r="JR1065" i="5"/>
  <c r="AX59" i="19"/>
  <c r="AZ59" i="19" s="1"/>
  <c r="AY4" i="19"/>
  <c r="BB4" i="19" s="1"/>
  <c r="AX66" i="19"/>
  <c r="AX68" i="19" s="1"/>
  <c r="AY68" i="19" s="1"/>
  <c r="BA4" i="19"/>
  <c r="BA66" i="19" s="1"/>
  <c r="AD84" i="19"/>
  <c r="AE84" i="19" s="1"/>
  <c r="KF771" i="5"/>
  <c r="AQ610" i="2"/>
  <c r="AQ1400" i="2"/>
  <c r="AQ424" i="2"/>
  <c r="AQ1061" i="2"/>
  <c r="AP1636" i="2" s="1"/>
  <c r="JW905" i="5"/>
  <c r="AN1227" i="2"/>
  <c r="JW906" i="5" s="1"/>
  <c r="AM1447" i="2"/>
  <c r="AM1536" i="2" s="1"/>
  <c r="JT927" i="5"/>
  <c r="AN1382" i="2"/>
  <c r="JW933" i="5"/>
  <c r="JW1060" i="5" s="1"/>
  <c r="JW1069" i="5" s="1"/>
  <c r="AN1453" i="2"/>
  <c r="AN1542" i="2"/>
  <c r="BG4" i="19"/>
  <c r="BI4" i="19" s="1"/>
  <c r="BJ5" i="19"/>
  <c r="BJ67" i="19" s="1"/>
  <c r="BH5" i="19"/>
  <c r="BK5" i="19" s="1"/>
  <c r="U60" i="19"/>
  <c r="V60" i="19" s="1"/>
  <c r="V59" i="19"/>
  <c r="AR1077" i="2"/>
  <c r="AQ1641" i="2" s="1"/>
  <c r="AR492" i="2"/>
  <c r="KI772" i="5"/>
  <c r="U83" i="19"/>
  <c r="V83" i="19" s="1"/>
  <c r="JT940" i="5"/>
  <c r="AM1458" i="2"/>
  <c r="AM1547" i="2"/>
  <c r="AM4" i="19"/>
  <c r="JR932" i="5"/>
  <c r="JR905" i="5"/>
  <c r="JS905" i="5" s="1"/>
  <c r="JR924" i="5"/>
  <c r="AM1314" i="2"/>
  <c r="AO83" i="19"/>
  <c r="AQ83" i="19" s="1"/>
  <c r="AM1369" i="2"/>
  <c r="AM1478" i="2" s="1"/>
  <c r="AM1565" i="2" s="1"/>
  <c r="JT987" i="5"/>
  <c r="AL1669" i="2"/>
  <c r="AL1670" i="2" s="1"/>
  <c r="AO1485" i="2"/>
  <c r="AO1395" i="2"/>
  <c r="JU754" i="5"/>
  <c r="JU906" i="5"/>
  <c r="AV5" i="19"/>
  <c r="AW5" i="19" s="1"/>
  <c r="AK1467" i="2"/>
  <c r="AK1556" i="2" s="1"/>
  <c r="AK1912" i="2"/>
  <c r="AK1911" i="2" s="1"/>
  <c r="AK1557" i="2"/>
  <c r="X84" i="19"/>
  <c r="AA84" i="19" s="1"/>
  <c r="Z84" i="19"/>
  <c r="AM1450" i="2"/>
  <c r="AM1539" i="2" s="1"/>
  <c r="JT930" i="5"/>
  <c r="KL777" i="5"/>
  <c r="AS510" i="2"/>
  <c r="AS1078" i="2"/>
  <c r="AO1636" i="2"/>
  <c r="JL1061" i="5"/>
  <c r="JZ754" i="5"/>
  <c r="AO1253" i="2"/>
  <c r="AO1254" i="2"/>
  <c r="AN1666" i="2" s="1"/>
  <c r="AO1245" i="2"/>
  <c r="AO1226" i="2"/>
  <c r="AM1666" i="2"/>
  <c r="AM1264" i="2"/>
  <c r="AO69" i="19"/>
  <c r="AQ69" i="19" s="1"/>
  <c r="AM1455" i="2"/>
  <c r="AM1544" i="2" s="1"/>
  <c r="JT937" i="5"/>
  <c r="AM1259" i="2"/>
  <c r="AM1444" i="2"/>
  <c r="AM1533" i="2" s="1"/>
  <c r="AM1524" i="2"/>
  <c r="AP59" i="19"/>
  <c r="AS59" i="19" s="1"/>
  <c r="AR59" i="19"/>
  <c r="AO60" i="19"/>
  <c r="AQ60" i="19" s="1"/>
  <c r="AM1445" i="2"/>
  <c r="AM1534" i="2" s="1"/>
  <c r="AM1525" i="2"/>
  <c r="AM1390" i="2"/>
  <c r="AM1383" i="2"/>
  <c r="KD772" i="5"/>
  <c r="KE772" i="5" s="1"/>
  <c r="JM987" i="5"/>
  <c r="JM988" i="5" s="1"/>
  <c r="JM927" i="5"/>
  <c r="JM929" i="5"/>
  <c r="JM925" i="5"/>
  <c r="JM930" i="5"/>
  <c r="JM928" i="5"/>
  <c r="AL1556" i="2"/>
  <c r="AV1467" i="2"/>
  <c r="JN1047" i="5"/>
  <c r="JN1051" i="5" s="1"/>
  <c r="JN1060" i="5"/>
  <c r="AN1436" i="2"/>
  <c r="AN1484" i="2"/>
  <c r="AN1435" i="2"/>
  <c r="JN993" i="5"/>
  <c r="AL1694" i="2" s="1"/>
  <c r="AK731" i="2"/>
  <c r="AK732" i="2" s="1"/>
  <c r="AK1320" i="2"/>
  <c r="AK1329" i="2"/>
  <c r="AK1696" i="2"/>
  <c r="KA771" i="5"/>
  <c r="KA755" i="5" s="1"/>
  <c r="KA1056" i="5" s="1"/>
  <c r="AZ1079" i="2" l="1"/>
  <c r="AZ1080" i="2" s="1"/>
  <c r="AZ1081" i="2" s="1"/>
  <c r="AZ1082" i="2" s="1"/>
  <c r="BM4" i="19"/>
  <c r="BL59" i="19"/>
  <c r="BL66" i="19"/>
  <c r="T183" i="21"/>
  <c r="AL1323" i="2"/>
  <c r="JQ997" i="5" s="1"/>
  <c r="Q58" i="21"/>
  <c r="R58" i="21" s="1"/>
  <c r="AL1721" i="2"/>
  <c r="AL1326" i="2"/>
  <c r="JQ1000" i="5" s="1"/>
  <c r="AF87" i="19"/>
  <c r="AL1331" i="2"/>
  <c r="JQ1005" i="5" s="1"/>
  <c r="JQ994" i="5"/>
  <c r="U36" i="21"/>
  <c r="T185" i="21"/>
  <c r="T186" i="21" s="1"/>
  <c r="AL1749" i="2"/>
  <c r="AL1692" i="2"/>
  <c r="AL1745" i="2"/>
  <c r="JQ1003" i="5"/>
  <c r="AM1691" i="2" s="1"/>
  <c r="AF90" i="19"/>
  <c r="AG90" i="19" s="1"/>
  <c r="AJ90" i="19" s="1"/>
  <c r="AL1330" i="2"/>
  <c r="JQ1004" i="5" s="1"/>
  <c r="AH85" i="19"/>
  <c r="AI85" i="19"/>
  <c r="AG85" i="19"/>
  <c r="AJ85" i="19" s="1"/>
  <c r="JU933" i="5"/>
  <c r="JU1060" i="5" s="1"/>
  <c r="JU1069" i="5" s="1"/>
  <c r="JX1056" i="5"/>
  <c r="U58" i="21"/>
  <c r="U183" i="21"/>
  <c r="JV1056" i="5"/>
  <c r="JV1065" i="5" s="1"/>
  <c r="JS932" i="5"/>
  <c r="JS934" i="5" s="1"/>
  <c r="JS933" i="5"/>
  <c r="JS1060" i="5" s="1"/>
  <c r="JS1069" i="5" s="1"/>
  <c r="AN1366" i="2"/>
  <c r="AQ68" i="19"/>
  <c r="BB68" i="19"/>
  <c r="AZ68" i="19"/>
  <c r="AZ66" i="19"/>
  <c r="Y85" i="19"/>
  <c r="W90" i="19"/>
  <c r="Y90" i="19" s="1"/>
  <c r="W87" i="19"/>
  <c r="Y87" i="19" s="1"/>
  <c r="U110" i="19"/>
  <c r="V110" i="19" s="1"/>
  <c r="AM1669" i="2"/>
  <c r="AM1670" i="2" s="1"/>
  <c r="AO110" i="19"/>
  <c r="JT1041" i="5"/>
  <c r="AL1665" i="2"/>
  <c r="AM1474" i="2"/>
  <c r="AM1563" i="2" s="1"/>
  <c r="AM1568" i="2" s="1"/>
  <c r="JS924" i="5"/>
  <c r="JS928" i="5" s="1"/>
  <c r="JY755" i="5"/>
  <c r="JM1041" i="5"/>
  <c r="AV1078" i="2"/>
  <c r="AU1078" i="2" s="1"/>
  <c r="AU1077" i="2" s="1"/>
  <c r="AU1061" i="2" s="1"/>
  <c r="AU1060" i="2" s="1"/>
  <c r="AP68" i="19"/>
  <c r="AS68" i="19" s="1"/>
  <c r="AR68" i="19"/>
  <c r="AK1331" i="2"/>
  <c r="AK1330" i="2"/>
  <c r="AK1326" i="2"/>
  <c r="AK1323" i="2"/>
  <c r="AQ1671" i="2"/>
  <c r="AQ1678" i="2" s="1"/>
  <c r="KB771" i="5"/>
  <c r="AP1395" i="2"/>
  <c r="AP1485" i="2"/>
  <c r="JW930" i="5"/>
  <c r="AN1450" i="2"/>
  <c r="AN1539" i="2" s="1"/>
  <c r="AN1447" i="2"/>
  <c r="AN1536" i="2" s="1"/>
  <c r="JW927" i="5"/>
  <c r="AM1461" i="2"/>
  <c r="JT943" i="5"/>
  <c r="AM1550" i="2"/>
  <c r="AX69" i="19"/>
  <c r="AZ69" i="19" s="1"/>
  <c r="JW937" i="5"/>
  <c r="AN1455" i="2"/>
  <c r="AN1544" i="2" s="1"/>
  <c r="AN1259" i="2"/>
  <c r="AN1264" i="2"/>
  <c r="AN1448" i="2"/>
  <c r="AN1537" i="2" s="1"/>
  <c r="JW928" i="5"/>
  <c r="AQ1396" i="2"/>
  <c r="AQ1489" i="2"/>
  <c r="AV4" i="19"/>
  <c r="JU905" i="5"/>
  <c r="JV905" i="5" s="1"/>
  <c r="JU924" i="5"/>
  <c r="JU932" i="5"/>
  <c r="JQ1069" i="5"/>
  <c r="JQ1061" i="5"/>
  <c r="U84" i="19"/>
  <c r="V84" i="19" s="1"/>
  <c r="JN1061" i="5"/>
  <c r="KC1056" i="5"/>
  <c r="KB755" i="5"/>
  <c r="KB1056" i="5" s="1"/>
  <c r="AP1258" i="2"/>
  <c r="AP1245" i="2"/>
  <c r="KC754" i="5"/>
  <c r="AP1253" i="2"/>
  <c r="AP1226" i="2"/>
  <c r="AP1254" i="2"/>
  <c r="AO1666" i="2" s="1"/>
  <c r="KA754" i="5"/>
  <c r="KA933" i="5" s="1"/>
  <c r="KA1060" i="5" s="1"/>
  <c r="KA906" i="5"/>
  <c r="AN1390" i="2"/>
  <c r="AN1383" i="2"/>
  <c r="JN1003" i="5"/>
  <c r="AK1745" i="2"/>
  <c r="AK1692" i="2"/>
  <c r="AK1749" i="2"/>
  <c r="JV906" i="5"/>
  <c r="BE5" i="19"/>
  <c r="BF5" i="19" s="1"/>
  <c r="JX906" i="5"/>
  <c r="JX754" i="5"/>
  <c r="JZ1065" i="5"/>
  <c r="AS1077" i="2"/>
  <c r="AR1641" i="2" s="1"/>
  <c r="AS492" i="2"/>
  <c r="KL772" i="5"/>
  <c r="AN1462" i="2"/>
  <c r="JW944" i="5"/>
  <c r="AN1551" i="2"/>
  <c r="JM1061" i="5"/>
  <c r="KJ777" i="5"/>
  <c r="KK777" i="5" s="1"/>
  <c r="AY59" i="19"/>
  <c r="BB59" i="19" s="1"/>
  <c r="BA59" i="19"/>
  <c r="AX60" i="19"/>
  <c r="AZ60" i="19" s="1"/>
  <c r="AM66" i="19"/>
  <c r="AM59" i="19"/>
  <c r="AN4" i="19"/>
  <c r="AO1251" i="2"/>
  <c r="AO1248" i="2"/>
  <c r="AO1313" i="2"/>
  <c r="AO1249" i="2"/>
  <c r="JZ924" i="5"/>
  <c r="AO1246" i="2"/>
  <c r="JZ925" i="5" s="1"/>
  <c r="AO1250" i="2"/>
  <c r="JU1065" i="5"/>
  <c r="AT492" i="2"/>
  <c r="KO772" i="5"/>
  <c r="AT1077" i="2"/>
  <c r="AO1265" i="2"/>
  <c r="AO1262" i="2"/>
  <c r="AO1452" i="2"/>
  <c r="AO1541" i="2" s="1"/>
  <c r="AO1258" i="2"/>
  <c r="AO1256" i="2"/>
  <c r="JZ935" i="5" s="1"/>
  <c r="AO1263" i="2"/>
  <c r="JZ932" i="5"/>
  <c r="AO1368" i="2"/>
  <c r="AO1255" i="2"/>
  <c r="JZ934" i="5" s="1"/>
  <c r="AO1261" i="2"/>
  <c r="AP67" i="19"/>
  <c r="AS67" i="19" s="1"/>
  <c r="AO1436" i="2"/>
  <c r="AO1484" i="2"/>
  <c r="AO1435" i="2"/>
  <c r="KD771" i="5"/>
  <c r="KD755" i="5" s="1"/>
  <c r="KD1056" i="5" s="1"/>
  <c r="X85" i="19"/>
  <c r="AA85" i="19" s="1"/>
  <c r="Z85" i="19"/>
  <c r="JW987" i="5"/>
  <c r="AN1369" i="2"/>
  <c r="AN1478" i="2" s="1"/>
  <c r="AN1565" i="2" s="1"/>
  <c r="AX83" i="19"/>
  <c r="AZ83" i="19" s="1"/>
  <c r="AN1314" i="2"/>
  <c r="JV754" i="5"/>
  <c r="JV933" i="5" s="1"/>
  <c r="JV1060" i="5" s="1"/>
  <c r="AN1444" i="2"/>
  <c r="AN1533" i="2" s="1"/>
  <c r="AN1524" i="2"/>
  <c r="JW1061" i="5"/>
  <c r="KG772" i="5"/>
  <c r="KH772" i="5" s="1"/>
  <c r="AR83" i="19"/>
  <c r="AP83" i="19"/>
  <c r="AS83" i="19" s="1"/>
  <c r="JR930" i="5"/>
  <c r="JR927" i="5"/>
  <c r="JR929" i="5"/>
  <c r="JR928" i="5"/>
  <c r="JR925" i="5"/>
  <c r="JR987" i="5"/>
  <c r="BH4" i="19"/>
  <c r="BK4" i="19" s="1"/>
  <c r="BG66" i="19"/>
  <c r="BG68" i="19" s="1"/>
  <c r="BG59" i="19"/>
  <c r="BI59" i="19" s="1"/>
  <c r="BJ4" i="19"/>
  <c r="BJ66" i="19" s="1"/>
  <c r="JW940" i="5"/>
  <c r="AN1547" i="2"/>
  <c r="AN1458" i="2"/>
  <c r="KM777" i="5"/>
  <c r="KN777" i="5" s="1"/>
  <c r="AR60" i="19"/>
  <c r="AP60" i="19"/>
  <c r="AS60" i="19" s="1"/>
  <c r="AR1061" i="2"/>
  <c r="AQ1636" i="2" s="1"/>
  <c r="AR610" i="2"/>
  <c r="AR1400" i="2"/>
  <c r="AR424" i="2"/>
  <c r="KI771" i="5"/>
  <c r="AN1459" i="2"/>
  <c r="AN1548" i="2"/>
  <c r="JW941" i="5"/>
  <c r="JQ1047" i="5"/>
  <c r="JQ1051" i="5" s="1"/>
  <c r="AN1460" i="2"/>
  <c r="JW942" i="5"/>
  <c r="AN1549" i="2"/>
  <c r="JR934" i="5"/>
  <c r="JR944" i="5"/>
  <c r="JQ1048" i="5" s="1"/>
  <c r="JQ1052" i="5" s="1"/>
  <c r="JR942" i="5"/>
  <c r="JR935" i="5"/>
  <c r="JR941" i="5"/>
  <c r="JR943" i="5"/>
  <c r="JR940" i="5"/>
  <c r="JQ1046" i="5"/>
  <c r="JQ1050" i="5" s="1"/>
  <c r="KF755" i="5"/>
  <c r="AQ1060" i="2"/>
  <c r="AQ1378" i="2"/>
  <c r="AQ648" i="2"/>
  <c r="AO1227" i="2"/>
  <c r="JZ906" i="5" s="1"/>
  <c r="JZ905" i="5"/>
  <c r="AO1382" i="2"/>
  <c r="AO1542" i="2"/>
  <c r="AO1453" i="2"/>
  <c r="JZ933" i="5"/>
  <c r="JZ1060" i="5" s="1"/>
  <c r="JZ1069" i="5" s="1"/>
  <c r="JN994" i="5"/>
  <c r="AK1721" i="2"/>
  <c r="AN1445" i="2"/>
  <c r="AN1534" i="2" s="1"/>
  <c r="AN1525" i="2"/>
  <c r="AY66" i="19"/>
  <c r="AX67" i="19"/>
  <c r="AZ67" i="19" s="1"/>
  <c r="AP1386" i="2"/>
  <c r="AO84" i="19"/>
  <c r="AQ84" i="19" s="1"/>
  <c r="JT988" i="5"/>
  <c r="AM1319" i="2"/>
  <c r="AM1468" i="2"/>
  <c r="JT938" i="5"/>
  <c r="AM1456" i="2"/>
  <c r="AM1545" i="2" s="1"/>
  <c r="AP69" i="19"/>
  <c r="AS69" i="19" s="1"/>
  <c r="AN69" i="19"/>
  <c r="AN1449" i="2"/>
  <c r="AN1538" i="2" s="1"/>
  <c r="JW929" i="5"/>
  <c r="BM66" i="19" l="1"/>
  <c r="BL67" i="19"/>
  <c r="BM67" i="19" s="1"/>
  <c r="BL68" i="19"/>
  <c r="BM68" i="19" s="1"/>
  <c r="BM59" i="19"/>
  <c r="BL60" i="19"/>
  <c r="BM60" i="19" s="1"/>
  <c r="BB66" i="19"/>
  <c r="AI87" i="19"/>
  <c r="AL1321" i="2"/>
  <c r="JQ995" i="5" s="1"/>
  <c r="AG87" i="19"/>
  <c r="AJ87" i="19" s="1"/>
  <c r="AL1324" i="2"/>
  <c r="JQ998" i="5" s="1"/>
  <c r="Q183" i="21"/>
  <c r="R183" i="21" s="1"/>
  <c r="Q185" i="21"/>
  <c r="R185" i="21" s="1"/>
  <c r="AH87" i="19"/>
  <c r="AL1376" i="2"/>
  <c r="AL1373" i="2" s="1"/>
  <c r="AL1737" i="2"/>
  <c r="AL1327" i="2"/>
  <c r="JQ1001" i="5" s="1"/>
  <c r="T187" i="21"/>
  <c r="T188" i="21" s="1"/>
  <c r="T189" i="21" s="1"/>
  <c r="AF91" i="19"/>
  <c r="AH91" i="19" s="1"/>
  <c r="AL1332" i="2"/>
  <c r="JQ1006" i="5" s="1"/>
  <c r="JO1004" i="5"/>
  <c r="AI90" i="19"/>
  <c r="AH90" i="19"/>
  <c r="AM1665" i="2"/>
  <c r="V36" i="21"/>
  <c r="V58" i="21" s="1"/>
  <c r="V185" i="21" s="1"/>
  <c r="V187" i="21" s="1"/>
  <c r="V188" i="21" s="1"/>
  <c r="JX933" i="5"/>
  <c r="JX1060" i="5" s="1"/>
  <c r="JX1069" i="5" s="1"/>
  <c r="AN1474" i="2"/>
  <c r="AN1563" i="2" s="1"/>
  <c r="AN1568" i="2" s="1"/>
  <c r="U186" i="21"/>
  <c r="U185" i="21"/>
  <c r="JS1061" i="5"/>
  <c r="JY1056" i="5"/>
  <c r="JY1065" i="5" s="1"/>
  <c r="JW1041" i="5"/>
  <c r="AX110" i="19"/>
  <c r="AZ110" i="19" s="1"/>
  <c r="BI68" i="19"/>
  <c r="BH68" i="19"/>
  <c r="BK68" i="19" s="1"/>
  <c r="BI66" i="19"/>
  <c r="AP110" i="19"/>
  <c r="AS110" i="19" s="1"/>
  <c r="AQ110" i="19"/>
  <c r="W91" i="19"/>
  <c r="Y91" i="19" s="1"/>
  <c r="W92" i="19"/>
  <c r="Y92" i="19" s="1"/>
  <c r="JS987" i="5"/>
  <c r="JS988" i="5" s="1"/>
  <c r="JS943" i="5"/>
  <c r="AR110" i="19"/>
  <c r="JS940" i="5"/>
  <c r="JS927" i="5"/>
  <c r="JS929" i="5"/>
  <c r="JS941" i="5"/>
  <c r="JS942" i="5"/>
  <c r="JS930" i="5"/>
  <c r="JS944" i="5"/>
  <c r="AN1669" i="2"/>
  <c r="AN1670" i="2" s="1"/>
  <c r="JS925" i="5"/>
  <c r="JS935" i="5"/>
  <c r="JR1041" i="5"/>
  <c r="JY754" i="5"/>
  <c r="AT1641" i="2"/>
  <c r="AT1671" i="2"/>
  <c r="AT1678" i="2" s="1"/>
  <c r="AV1077" i="2"/>
  <c r="AU1226" i="2"/>
  <c r="AU1227" i="2" s="1"/>
  <c r="AU1245" i="2"/>
  <c r="AU1253" i="2"/>
  <c r="AU1258" i="2"/>
  <c r="AU1254" i="2"/>
  <c r="JZ1061" i="5"/>
  <c r="AR1671" i="2"/>
  <c r="AR1678" i="2" s="1"/>
  <c r="KB754" i="5"/>
  <c r="AO1462" i="2"/>
  <c r="JZ944" i="5"/>
  <c r="AO1551" i="2"/>
  <c r="AQ1386" i="2"/>
  <c r="AP1227" i="2"/>
  <c r="KC906" i="5" s="1"/>
  <c r="KB906" i="5" s="1"/>
  <c r="KC905" i="5"/>
  <c r="KD906" i="5"/>
  <c r="KD754" i="5"/>
  <c r="KD933" i="5" s="1"/>
  <c r="KD1060" i="5" s="1"/>
  <c r="Z90" i="19"/>
  <c r="X90" i="19"/>
  <c r="AA90" i="19" s="1"/>
  <c r="JW938" i="5"/>
  <c r="AN1456" i="2"/>
  <c r="AN1545" i="2" s="1"/>
  <c r="AM83" i="19"/>
  <c r="AN83" i="19" s="1"/>
  <c r="JR988" i="5"/>
  <c r="AV59" i="19"/>
  <c r="AV66" i="19"/>
  <c r="AW4" i="19"/>
  <c r="KO771" i="5"/>
  <c r="AT424" i="2"/>
  <c r="AT1400" i="2"/>
  <c r="AT610" i="2"/>
  <c r="AT1061" i="2"/>
  <c r="AO1459" i="2"/>
  <c r="JZ941" i="5"/>
  <c r="AO1548" i="2"/>
  <c r="AY67" i="19"/>
  <c r="BB67" i="19" s="1"/>
  <c r="AP1263" i="2"/>
  <c r="AP1265" i="2"/>
  <c r="AP1255" i="2"/>
  <c r="KC934" i="5" s="1"/>
  <c r="KC932" i="5"/>
  <c r="AP1261" i="2"/>
  <c r="AP1264" i="2"/>
  <c r="AP1452" i="2"/>
  <c r="AP1541" i="2" s="1"/>
  <c r="AP1256" i="2"/>
  <c r="KC935" i="5" s="1"/>
  <c r="AP1368" i="2"/>
  <c r="AP1262" i="2"/>
  <c r="KG771" i="5"/>
  <c r="KG755" i="5" s="1"/>
  <c r="KG1056" i="5" s="1"/>
  <c r="JX1065" i="5"/>
  <c r="AK1376" i="2"/>
  <c r="AK1373" i="2" s="1"/>
  <c r="AK1737" i="2"/>
  <c r="AK1321" i="2"/>
  <c r="JN997" i="5"/>
  <c r="AR1378" i="2"/>
  <c r="AR648" i="2"/>
  <c r="AR1060" i="2"/>
  <c r="KI755" i="5"/>
  <c r="BG83" i="19"/>
  <c r="BI83" i="19" s="1"/>
  <c r="AO1314" i="2"/>
  <c r="JZ987" i="5"/>
  <c r="AO1369" i="2"/>
  <c r="AO1478" i="2" s="1"/>
  <c r="AO1565" i="2" s="1"/>
  <c r="AO1547" i="2"/>
  <c r="AO1458" i="2"/>
  <c r="JZ940" i="5"/>
  <c r="JZ930" i="5"/>
  <c r="AO1450" i="2"/>
  <c r="AO1539" i="2" s="1"/>
  <c r="AL1690" i="2"/>
  <c r="KJ772" i="5"/>
  <c r="KK772" i="5" s="1"/>
  <c r="JV932" i="5"/>
  <c r="JV924" i="5"/>
  <c r="AP1250" i="2"/>
  <c r="AP1249" i="2"/>
  <c r="KC924" i="5"/>
  <c r="AP1248" i="2"/>
  <c r="AP1246" i="2"/>
  <c r="KC925" i="5" s="1"/>
  <c r="AP1251" i="2"/>
  <c r="AP1313" i="2"/>
  <c r="JW943" i="5"/>
  <c r="AN1461" i="2"/>
  <c r="AN1550" i="2"/>
  <c r="JZ928" i="5"/>
  <c r="AO1448" i="2"/>
  <c r="AO1537" i="2" s="1"/>
  <c r="X87" i="19"/>
  <c r="AA87" i="19" s="1"/>
  <c r="Z87" i="19"/>
  <c r="AO1366" i="2"/>
  <c r="AM1467" i="2"/>
  <c r="AM1556" i="2" s="1"/>
  <c r="AM1557" i="2"/>
  <c r="AM1912" i="2"/>
  <c r="AM1911" i="2" s="1"/>
  <c r="BH59" i="19"/>
  <c r="BK59" i="19" s="1"/>
  <c r="BJ59" i="19"/>
  <c r="BG60" i="19"/>
  <c r="BI60" i="19" s="1"/>
  <c r="AX84" i="19"/>
  <c r="AZ84" i="19" s="1"/>
  <c r="JW988" i="5"/>
  <c r="AN1319" i="2"/>
  <c r="AN1468" i="2"/>
  <c r="AO1460" i="2"/>
  <c r="JZ942" i="5"/>
  <c r="AO1549" i="2"/>
  <c r="AM60" i="19"/>
  <c r="AN60" i="19" s="1"/>
  <c r="AN59" i="19"/>
  <c r="AS1061" i="2"/>
  <c r="AR1636" i="2" s="1"/>
  <c r="KL771" i="5"/>
  <c r="AS1641" i="2"/>
  <c r="AS610" i="2"/>
  <c r="AS424" i="2"/>
  <c r="AS1671" i="2"/>
  <c r="AS1678" i="2" s="1"/>
  <c r="AS1400" i="2"/>
  <c r="AP1435" i="2"/>
  <c r="AP1436" i="2"/>
  <c r="AP1484" i="2"/>
  <c r="KF1056" i="5"/>
  <c r="KE755" i="5"/>
  <c r="KE1056" i="5" s="1"/>
  <c r="BA60" i="19"/>
  <c r="AY60" i="19"/>
  <c r="BB60" i="19" s="1"/>
  <c r="KE771" i="5"/>
  <c r="JN1004" i="5"/>
  <c r="BH66" i="19"/>
  <c r="BG67" i="19"/>
  <c r="BI67" i="19" s="1"/>
  <c r="BA83" i="19"/>
  <c r="AY83" i="19"/>
  <c r="BB83" i="19" s="1"/>
  <c r="AM68" i="19"/>
  <c r="AM67" i="19"/>
  <c r="AN67" i="19" s="1"/>
  <c r="AN66" i="19"/>
  <c r="AN68" i="19" s="1"/>
  <c r="KA924" i="5"/>
  <c r="KA905" i="5"/>
  <c r="KA932" i="5"/>
  <c r="KA1069" i="5"/>
  <c r="AP1542" i="2"/>
  <c r="KC933" i="5"/>
  <c r="KC1060" i="5" s="1"/>
  <c r="KC1069" i="5" s="1"/>
  <c r="AP1382" i="2"/>
  <c r="AP1453" i="2"/>
  <c r="JO1005" i="5"/>
  <c r="AF92" i="19"/>
  <c r="AQ1253" i="2"/>
  <c r="KF754" i="5"/>
  <c r="AQ1245" i="2"/>
  <c r="AQ1254" i="2"/>
  <c r="AQ1258" i="2"/>
  <c r="AQ1226" i="2"/>
  <c r="AQ1485" i="2"/>
  <c r="AQ1395" i="2"/>
  <c r="AO1444" i="2"/>
  <c r="AO1533" i="2" s="1"/>
  <c r="AO1524" i="2"/>
  <c r="AO1449" i="2"/>
  <c r="AO1538" i="2" s="1"/>
  <c r="JZ929" i="5"/>
  <c r="AK1324" i="2"/>
  <c r="JN1000" i="5"/>
  <c r="AK1327" i="2"/>
  <c r="JN1001" i="5" s="1"/>
  <c r="KB1065" i="5"/>
  <c r="JN1005" i="5"/>
  <c r="AK1332" i="2"/>
  <c r="JN1006" i="5" s="1"/>
  <c r="AO1264" i="2"/>
  <c r="BG69" i="19"/>
  <c r="BI69" i="19" s="1"/>
  <c r="AO1455" i="2"/>
  <c r="AO1544" i="2" s="1"/>
  <c r="AO1259" i="2"/>
  <c r="JZ937" i="5"/>
  <c r="KA1065" i="5"/>
  <c r="JU928" i="5"/>
  <c r="JU927" i="5"/>
  <c r="JU987" i="5"/>
  <c r="JU929" i="5"/>
  <c r="JU925" i="5"/>
  <c r="JU930" i="5"/>
  <c r="JR1069" i="5"/>
  <c r="JR1061" i="5"/>
  <c r="JX932" i="5"/>
  <c r="JX924" i="5"/>
  <c r="BE4" i="19"/>
  <c r="JX905" i="5"/>
  <c r="JY905" i="5" s="1"/>
  <c r="KM772" i="5"/>
  <c r="KN772" i="5" s="1"/>
  <c r="JU1061" i="5"/>
  <c r="AP1455" i="2"/>
  <c r="AP1544" i="2" s="1"/>
  <c r="KC937" i="5"/>
  <c r="AR1489" i="2"/>
  <c r="AR1396" i="2"/>
  <c r="AO1525" i="2"/>
  <c r="AO1445" i="2"/>
  <c r="AO1534" i="2" s="1"/>
  <c r="KC1065" i="5"/>
  <c r="JZ927" i="5"/>
  <c r="AO1447" i="2"/>
  <c r="AO1536" i="2" s="1"/>
  <c r="AY69" i="19"/>
  <c r="BB69" i="19" s="1"/>
  <c r="AW69" i="19"/>
  <c r="AM1320" i="2"/>
  <c r="AM731" i="2"/>
  <c r="AM732" i="2" s="1"/>
  <c r="AM1329" i="2"/>
  <c r="JT993" i="5"/>
  <c r="AM1696" i="2"/>
  <c r="AO85" i="19"/>
  <c r="AQ85" i="19" s="1"/>
  <c r="AO1390" i="2"/>
  <c r="AO1383" i="2"/>
  <c r="AR84" i="19"/>
  <c r="AP84" i="19"/>
  <c r="AS84" i="19" s="1"/>
  <c r="JY906" i="5"/>
  <c r="JO1000" i="5"/>
  <c r="JO998" i="5" s="1"/>
  <c r="JP1000" i="5"/>
  <c r="JP998" i="5" s="1"/>
  <c r="JU942" i="5"/>
  <c r="JU944" i="5"/>
  <c r="JU941" i="5"/>
  <c r="JU935" i="5"/>
  <c r="JU940" i="5"/>
  <c r="JU943" i="5"/>
  <c r="JU934" i="5"/>
  <c r="BK66" i="19" l="1"/>
  <c r="AP1366" i="2"/>
  <c r="BL83" i="19"/>
  <c r="BM83" i="19" s="1"/>
  <c r="AF88" i="19"/>
  <c r="AH88" i="19" s="1"/>
  <c r="AF89" i="19"/>
  <c r="Q187" i="21"/>
  <c r="R187" i="21" s="1"/>
  <c r="AG91" i="19"/>
  <c r="AJ91" i="19" s="1"/>
  <c r="AI91" i="19"/>
  <c r="AD91" i="19"/>
  <c r="AE91" i="19" s="1"/>
  <c r="JP1004" i="5"/>
  <c r="AH92" i="19"/>
  <c r="V183" i="21"/>
  <c r="JS1041" i="5"/>
  <c r="W36" i="21"/>
  <c r="W58" i="21" s="1"/>
  <c r="W185" i="21" s="1"/>
  <c r="W187" i="21" s="1"/>
  <c r="W188" i="21" s="1"/>
  <c r="U187" i="21"/>
  <c r="V189" i="21"/>
  <c r="V211" i="21"/>
  <c r="V186" i="21" s="1"/>
  <c r="KB932" i="5"/>
  <c r="KB941" i="5" s="1"/>
  <c r="KB933" i="5"/>
  <c r="KB1060" i="5" s="1"/>
  <c r="KB1069" i="5" s="1"/>
  <c r="JY924" i="5"/>
  <c r="JY987" i="5" s="1"/>
  <c r="JY988" i="5" s="1"/>
  <c r="JY933" i="5"/>
  <c r="JY1060" i="5" s="1"/>
  <c r="JY1061" i="5" s="1"/>
  <c r="BA110" i="19"/>
  <c r="AY110" i="19"/>
  <c r="BB110" i="19" s="1"/>
  <c r="JY932" i="5"/>
  <c r="JY941" i="5" s="1"/>
  <c r="AI88" i="19"/>
  <c r="W88" i="19"/>
  <c r="Y88" i="19" s="1"/>
  <c r="W89" i="19"/>
  <c r="Y89" i="19" s="1"/>
  <c r="KE754" i="5"/>
  <c r="JU1041" i="5"/>
  <c r="AM110" i="19"/>
  <c r="AN110" i="19" s="1"/>
  <c r="AD92" i="19"/>
  <c r="AE92" i="19" s="1"/>
  <c r="AU1248" i="2"/>
  <c r="AU1249" i="2"/>
  <c r="AU1246" i="2"/>
  <c r="AU1251" i="2"/>
  <c r="AU1250" i="2"/>
  <c r="AU1255" i="2"/>
  <c r="AU1256" i="2"/>
  <c r="AV1061" i="2"/>
  <c r="AT1636" i="2"/>
  <c r="KB924" i="5"/>
  <c r="KB987" i="5" s="1"/>
  <c r="KB988" i="5" s="1"/>
  <c r="KH771" i="5"/>
  <c r="JP1005" i="5"/>
  <c r="KB905" i="5"/>
  <c r="KA1061" i="5"/>
  <c r="JO1003" i="5"/>
  <c r="KC1061" i="5"/>
  <c r="AQ1436" i="2"/>
  <c r="AQ1435" i="2"/>
  <c r="AQ1484" i="2"/>
  <c r="JX935" i="5"/>
  <c r="JX941" i="5"/>
  <c r="JX942" i="5"/>
  <c r="JX934" i="5"/>
  <c r="JX940" i="5"/>
  <c r="JX943" i="5"/>
  <c r="JX944" i="5"/>
  <c r="AO1474" i="2"/>
  <c r="AO1563" i="2" s="1"/>
  <c r="BG110" i="19"/>
  <c r="BI110" i="19" s="1"/>
  <c r="JZ1041" i="5"/>
  <c r="AN1665" i="2"/>
  <c r="AS1636" i="2"/>
  <c r="AS1060" i="2"/>
  <c r="AS1378" i="2"/>
  <c r="KL755" i="5"/>
  <c r="AS648" i="2"/>
  <c r="KD1065" i="5"/>
  <c r="AD89" i="19"/>
  <c r="JV927" i="5"/>
  <c r="JV987" i="5"/>
  <c r="JV988" i="5" s="1"/>
  <c r="JV925" i="5"/>
  <c r="JV929" i="5"/>
  <c r="JV930" i="5"/>
  <c r="JV928" i="5"/>
  <c r="AO1550" i="2"/>
  <c r="JZ943" i="5"/>
  <c r="AO1461" i="2"/>
  <c r="AQ1250" i="2"/>
  <c r="AQ1249" i="2"/>
  <c r="AQ1246" i="2"/>
  <c r="KF925" i="5" s="1"/>
  <c r="KF924" i="5"/>
  <c r="AQ1313" i="2"/>
  <c r="AQ1366" i="2" s="1"/>
  <c r="AQ1248" i="2"/>
  <c r="AQ1251" i="2"/>
  <c r="AS1396" i="2"/>
  <c r="AS1489" i="2"/>
  <c r="KC942" i="5"/>
  <c r="AP1549" i="2"/>
  <c r="AP1460" i="2"/>
  <c r="AQ1382" i="2"/>
  <c r="AQ1542" i="2"/>
  <c r="AQ1453" i="2"/>
  <c r="KF933" i="5"/>
  <c r="KF1060" i="5" s="1"/>
  <c r="KF1069" i="5" s="1"/>
  <c r="KJ771" i="5"/>
  <c r="KJ755" i="5" s="1"/>
  <c r="KJ1056" i="5" s="1"/>
  <c r="AR1485" i="2"/>
  <c r="AR1395" i="2"/>
  <c r="Z92" i="19"/>
  <c r="X92" i="19"/>
  <c r="AA92" i="19" s="1"/>
  <c r="AT1489" i="2"/>
  <c r="AT1396" i="2"/>
  <c r="AP1390" i="2"/>
  <c r="AP1383" i="2"/>
  <c r="AP85" i="19"/>
  <c r="AS85" i="19" s="1"/>
  <c r="AR85" i="19"/>
  <c r="AP1666" i="2"/>
  <c r="AY84" i="19"/>
  <c r="BB84" i="19" s="1"/>
  <c r="BA84" i="19"/>
  <c r="AP1314" i="2"/>
  <c r="KC987" i="5"/>
  <c r="AP1369" i="2"/>
  <c r="AP1478" i="2" s="1"/>
  <c r="AP1565" i="2" s="1"/>
  <c r="AP1462" i="2"/>
  <c r="KC944" i="5"/>
  <c r="AP1551" i="2"/>
  <c r="BF69" i="19"/>
  <c r="BH69" i="19"/>
  <c r="BK69" i="19" s="1"/>
  <c r="JV1069" i="5"/>
  <c r="JV1061" i="5"/>
  <c r="KD924" i="5"/>
  <c r="KD1069" i="5"/>
  <c r="KD905" i="5"/>
  <c r="KD932" i="5"/>
  <c r="X91" i="19"/>
  <c r="AA91" i="19" s="1"/>
  <c r="Z91" i="19"/>
  <c r="BH60" i="19"/>
  <c r="BK60" i="19" s="1"/>
  <c r="BJ60" i="19"/>
  <c r="AP1450" i="2"/>
  <c r="AP1539" i="2" s="1"/>
  <c r="KC930" i="5"/>
  <c r="AO1669" i="2"/>
  <c r="AO1670" i="2" s="1"/>
  <c r="AP1448" i="2"/>
  <c r="AP1537" i="2" s="1"/>
  <c r="KC928" i="5"/>
  <c r="KC929" i="5"/>
  <c r="AP1449" i="2"/>
  <c r="AP1538" i="2" s="1"/>
  <c r="JV940" i="5"/>
  <c r="JV941" i="5"/>
  <c r="JV943" i="5"/>
  <c r="JV934" i="5"/>
  <c r="JV942" i="5"/>
  <c r="JV935" i="5"/>
  <c r="JV944" i="5"/>
  <c r="BH67" i="19"/>
  <c r="BK67" i="19" s="1"/>
  <c r="AI92" i="19"/>
  <c r="AG92" i="19"/>
  <c r="AJ92" i="19" s="1"/>
  <c r="AT1060" i="2"/>
  <c r="KO755" i="5"/>
  <c r="AT1378" i="2"/>
  <c r="AT648" i="2"/>
  <c r="AV83" i="19"/>
  <c r="AW83" i="19" s="1"/>
  <c r="JU988" i="5"/>
  <c r="KG906" i="5"/>
  <c r="KG754" i="5"/>
  <c r="KG933" i="5" s="1"/>
  <c r="KG1060" i="5" s="1"/>
  <c r="AX85" i="19"/>
  <c r="AZ85" i="19" s="1"/>
  <c r="AN1329" i="2"/>
  <c r="AN1320" i="2"/>
  <c r="AN731" i="2"/>
  <c r="AN732" i="2" s="1"/>
  <c r="JW993" i="5"/>
  <c r="AP1461" i="2"/>
  <c r="KC943" i="5"/>
  <c r="AP1550" i="2"/>
  <c r="AV67" i="19"/>
  <c r="AW67" i="19" s="1"/>
  <c r="AW66" i="19"/>
  <c r="AO1456" i="2"/>
  <c r="AO1545" i="2" s="1"/>
  <c r="JZ938" i="5"/>
  <c r="KF905" i="5"/>
  <c r="AQ1227" i="2"/>
  <c r="KF906" i="5" s="1"/>
  <c r="KE906" i="5" s="1"/>
  <c r="AQ1455" i="2"/>
  <c r="AQ1544" i="2" s="1"/>
  <c r="KF937" i="5"/>
  <c r="JN995" i="5"/>
  <c r="KF932" i="5"/>
  <c r="AQ1256" i="2"/>
  <c r="KF935" i="5" s="1"/>
  <c r="AQ1261" i="2"/>
  <c r="AQ1263" i="2"/>
  <c r="AQ1262" i="2"/>
  <c r="AQ1255" i="2"/>
  <c r="KF934" i="5" s="1"/>
  <c r="AQ1265" i="2"/>
  <c r="AQ1264" i="2"/>
  <c r="AQ1452" i="2"/>
  <c r="AQ1541" i="2" s="1"/>
  <c r="AQ1368" i="2"/>
  <c r="AP1459" i="2"/>
  <c r="KC941" i="5"/>
  <c r="AP1548" i="2"/>
  <c r="KE1065" i="5"/>
  <c r="AM1745" i="2"/>
  <c r="JT1003" i="5"/>
  <c r="AM1749" i="2"/>
  <c r="AM1331" i="2"/>
  <c r="AM1692" i="2"/>
  <c r="AM1330" i="2"/>
  <c r="AO90" i="19"/>
  <c r="AQ90" i="19" s="1"/>
  <c r="KF1065" i="5"/>
  <c r="AP1525" i="2"/>
  <c r="AP1445" i="2"/>
  <c r="AP1534" i="2" s="1"/>
  <c r="KC927" i="5"/>
  <c r="AP1447" i="2"/>
  <c r="AP1536" i="2" s="1"/>
  <c r="AO1319" i="2"/>
  <c r="AO1468" i="2"/>
  <c r="BG84" i="19"/>
  <c r="BI84" i="19" s="1"/>
  <c r="JZ988" i="5"/>
  <c r="AP1458" i="2"/>
  <c r="KC940" i="5"/>
  <c r="AP1547" i="2"/>
  <c r="AV60" i="19"/>
  <c r="AW60" i="19" s="1"/>
  <c r="AW59" i="19"/>
  <c r="KI1056" i="5"/>
  <c r="KH755" i="5"/>
  <c r="KH1056" i="5" s="1"/>
  <c r="BE59" i="19"/>
  <c r="BE66" i="19"/>
  <c r="BF4" i="19"/>
  <c r="AR1226" i="2"/>
  <c r="KI754" i="5"/>
  <c r="AR1253" i="2"/>
  <c r="AR1254" i="2"/>
  <c r="AQ1666" i="2" s="1"/>
  <c r="AR1258" i="2"/>
  <c r="AR1245" i="2"/>
  <c r="JX987" i="5"/>
  <c r="JX929" i="5"/>
  <c r="JX928" i="5"/>
  <c r="JX927" i="5"/>
  <c r="JX930" i="5"/>
  <c r="JX925" i="5"/>
  <c r="AR1386" i="2"/>
  <c r="JX1061" i="5"/>
  <c r="AN1557" i="2"/>
  <c r="AN1467" i="2"/>
  <c r="AN1556" i="2" s="1"/>
  <c r="JM1000" i="5"/>
  <c r="JM998" i="5" s="1"/>
  <c r="KM771" i="5"/>
  <c r="KM755" i="5" s="1"/>
  <c r="KM1056" i="5" s="1"/>
  <c r="JN998" i="5"/>
  <c r="KA935" i="5"/>
  <c r="KA943" i="5"/>
  <c r="KA934" i="5"/>
  <c r="KA944" i="5"/>
  <c r="KA941" i="5"/>
  <c r="KA940" i="5"/>
  <c r="KA942" i="5"/>
  <c r="AO87" i="19"/>
  <c r="AQ87" i="19" s="1"/>
  <c r="AM1326" i="2"/>
  <c r="JT994" i="5"/>
  <c r="AM1721" i="2"/>
  <c r="AM1323" i="2"/>
  <c r="KA927" i="5"/>
  <c r="KA928" i="5"/>
  <c r="KA925" i="5"/>
  <c r="KA930" i="5"/>
  <c r="KA929" i="5"/>
  <c r="KA987" i="5"/>
  <c r="KA988" i="5" s="1"/>
  <c r="AP1444" i="2"/>
  <c r="AP1533" i="2" s="1"/>
  <c r="AP1524" i="2"/>
  <c r="BH83" i="19"/>
  <c r="BK83" i="19" s="1"/>
  <c r="BJ83" i="19"/>
  <c r="AM84" i="19"/>
  <c r="AN84" i="19" s="1"/>
  <c r="BL110" i="19" l="1"/>
  <c r="BM110" i="19" s="1"/>
  <c r="AO1665" i="2"/>
  <c r="BL84" i="19"/>
  <c r="BM84" i="19" s="1"/>
  <c r="AP1474" i="2"/>
  <c r="AP1563" i="2" s="1"/>
  <c r="AG88" i="19"/>
  <c r="AJ88" i="19" s="1"/>
  <c r="KC1041" i="5"/>
  <c r="AI89" i="19"/>
  <c r="AH89" i="19"/>
  <c r="AG89" i="19"/>
  <c r="AJ89" i="19" s="1"/>
  <c r="Q188" i="21"/>
  <c r="Q193" i="21" s="1"/>
  <c r="R193" i="21" s="1"/>
  <c r="AE89" i="19"/>
  <c r="W183" i="21"/>
  <c r="KB944" i="5"/>
  <c r="KB943" i="5"/>
  <c r="KB940" i="5"/>
  <c r="KB935" i="5"/>
  <c r="JY928" i="5"/>
  <c r="JY930" i="5"/>
  <c r="JY927" i="5"/>
  <c r="JY929" i="5"/>
  <c r="JY925" i="5"/>
  <c r="W189" i="21"/>
  <c r="W211" i="21"/>
  <c r="W186" i="21" s="1"/>
  <c r="KB942" i="5"/>
  <c r="U188" i="21"/>
  <c r="U189" i="21"/>
  <c r="KB934" i="5"/>
  <c r="KE924" i="5"/>
  <c r="KE929" i="5" s="1"/>
  <c r="KE933" i="5"/>
  <c r="KE1060" i="5" s="1"/>
  <c r="JV1041" i="5"/>
  <c r="JY1069" i="5"/>
  <c r="JY935" i="5"/>
  <c r="JY934" i="5"/>
  <c r="JY944" i="5"/>
  <c r="JY942" i="5"/>
  <c r="JY940" i="5"/>
  <c r="JY943" i="5"/>
  <c r="AV110" i="19"/>
  <c r="AW110" i="19" s="1"/>
  <c r="AD90" i="19"/>
  <c r="AE90" i="19" s="1"/>
  <c r="JX1041" i="5"/>
  <c r="JY1041" i="5" s="1"/>
  <c r="U92" i="19"/>
  <c r="V92" i="19" s="1"/>
  <c r="JM1004" i="5"/>
  <c r="KB929" i="5"/>
  <c r="KB930" i="5"/>
  <c r="KB925" i="5"/>
  <c r="KB1061" i="5"/>
  <c r="AV1378" i="2"/>
  <c r="AU1378" i="2" s="1"/>
  <c r="AV1060" i="2"/>
  <c r="KB928" i="5"/>
  <c r="KB927" i="5"/>
  <c r="JM1005" i="5"/>
  <c r="AK1748" i="2"/>
  <c r="KN771" i="5"/>
  <c r="JP1003" i="5"/>
  <c r="JP997" i="5" s="1"/>
  <c r="AK1744" i="2"/>
  <c r="JO997" i="5"/>
  <c r="AK1736" i="2" s="1"/>
  <c r="AK1691" i="2"/>
  <c r="AM1690" i="2"/>
  <c r="AM1689" i="2" s="1"/>
  <c r="KE932" i="5"/>
  <c r="KE941" i="5" s="1"/>
  <c r="AQ1474" i="2"/>
  <c r="AQ1563" i="2" s="1"/>
  <c r="KF1041" i="5"/>
  <c r="AP1665" i="2"/>
  <c r="AQ1461" i="2"/>
  <c r="AQ1550" i="2"/>
  <c r="KF943" i="5"/>
  <c r="AX87" i="19"/>
  <c r="AZ87" i="19" s="1"/>
  <c r="AN1323" i="2"/>
  <c r="JW994" i="5"/>
  <c r="AN1721" i="2"/>
  <c r="AN1326" i="2"/>
  <c r="AR87" i="19"/>
  <c r="AP87" i="19"/>
  <c r="AS87" i="19" s="1"/>
  <c r="AP1319" i="2"/>
  <c r="AP1468" i="2"/>
  <c r="KC988" i="5"/>
  <c r="BH110" i="19"/>
  <c r="BK110" i="19" s="1"/>
  <c r="BJ110" i="19"/>
  <c r="AQ1390" i="2"/>
  <c r="AQ1383" i="2"/>
  <c r="AQ1314" i="2"/>
  <c r="KF987" i="5"/>
  <c r="AQ1369" i="2"/>
  <c r="AQ1478" i="2" s="1"/>
  <c r="AQ1565" i="2" s="1"/>
  <c r="AV84" i="19"/>
  <c r="AW84" i="19" s="1"/>
  <c r="KF944" i="5"/>
  <c r="AQ1551" i="2"/>
  <c r="AQ1462" i="2"/>
  <c r="KF928" i="5"/>
  <c r="AQ1448" i="2"/>
  <c r="AQ1537" i="2" s="1"/>
  <c r="KI924" i="5"/>
  <c r="AR1251" i="2"/>
  <c r="AR1248" i="2"/>
  <c r="AR1249" i="2"/>
  <c r="AR1250" i="2"/>
  <c r="AR1313" i="2"/>
  <c r="AQ1669" i="2" s="1"/>
  <c r="AQ1670" i="2" s="1"/>
  <c r="AR1246" i="2"/>
  <c r="KI925" i="5" s="1"/>
  <c r="AR1455" i="2"/>
  <c r="AR1544" i="2" s="1"/>
  <c r="KI937" i="5"/>
  <c r="AP1669" i="2"/>
  <c r="AP1670" i="2" s="1"/>
  <c r="AS1386" i="2"/>
  <c r="KF941" i="5"/>
  <c r="AQ1459" i="2"/>
  <c r="AQ1548" i="2"/>
  <c r="KG905" i="5"/>
  <c r="KG924" i="5"/>
  <c r="KG1069" i="5"/>
  <c r="KG932" i="5"/>
  <c r="KO754" i="5"/>
  <c r="AT1258" i="2"/>
  <c r="AT1245" i="2"/>
  <c r="AT1253" i="2"/>
  <c r="AT1226" i="2"/>
  <c r="AT1254" i="2"/>
  <c r="AR1227" i="2"/>
  <c r="KI906" i="5" s="1"/>
  <c r="KH906" i="5" s="1"/>
  <c r="KI905" i="5"/>
  <c r="KK771" i="5"/>
  <c r="AQ1458" i="2"/>
  <c r="AQ1547" i="2"/>
  <c r="KF940" i="5"/>
  <c r="AR1453" i="2"/>
  <c r="AR1542" i="2"/>
  <c r="KI933" i="5"/>
  <c r="KI1060" i="5" s="1"/>
  <c r="KI1069" i="5" s="1"/>
  <c r="AR1382" i="2"/>
  <c r="KM906" i="5"/>
  <c r="KM754" i="5"/>
  <c r="KM933" i="5" s="1"/>
  <c r="KM1060" i="5" s="1"/>
  <c r="BJ84" i="19"/>
  <c r="BH84" i="19"/>
  <c r="BK84" i="19" s="1"/>
  <c r="KO1056" i="5"/>
  <c r="KN755" i="5"/>
  <c r="KN1056" i="5" s="1"/>
  <c r="AO1320" i="2"/>
  <c r="AO731" i="2"/>
  <c r="AO732" i="2" s="1"/>
  <c r="JZ993" i="5"/>
  <c r="AO1329" i="2"/>
  <c r="BG85" i="19"/>
  <c r="BI85" i="19" s="1"/>
  <c r="BE67" i="19"/>
  <c r="BF67" i="19" s="1"/>
  <c r="BF66" i="19"/>
  <c r="JT997" i="5"/>
  <c r="AM1737" i="2"/>
  <c r="AM1321" i="2"/>
  <c r="AM1376" i="2"/>
  <c r="AM1373" i="2" s="1"/>
  <c r="JX988" i="5"/>
  <c r="BE83" i="19"/>
  <c r="BF83" i="19" s="1"/>
  <c r="X89" i="19"/>
  <c r="AA89" i="19" s="1"/>
  <c r="Z89" i="19"/>
  <c r="AR1264" i="2"/>
  <c r="AR1452" i="2"/>
  <c r="AR1541" i="2" s="1"/>
  <c r="KI932" i="5"/>
  <c r="AR1262" i="2"/>
  <c r="AR1256" i="2"/>
  <c r="KI935" i="5" s="1"/>
  <c r="AR1261" i="2"/>
  <c r="AR1265" i="2"/>
  <c r="AR1255" i="2"/>
  <c r="KI934" i="5" s="1"/>
  <c r="AR1263" i="2"/>
  <c r="AR1368" i="2"/>
  <c r="U89" i="19"/>
  <c r="V89" i="19" s="1"/>
  <c r="KE905" i="5"/>
  <c r="AS1485" i="2"/>
  <c r="AS1395" i="2"/>
  <c r="KK755" i="5"/>
  <c r="KK1056" i="5" s="1"/>
  <c r="KL1056" i="5"/>
  <c r="BA85" i="19"/>
  <c r="AY85" i="19"/>
  <c r="BB85" i="19" s="1"/>
  <c r="KJ906" i="5"/>
  <c r="KJ754" i="5"/>
  <c r="KJ933" i="5" s="1"/>
  <c r="KJ1060" i="5" s="1"/>
  <c r="KD940" i="5"/>
  <c r="KD941" i="5"/>
  <c r="KD942" i="5"/>
  <c r="KD943" i="5"/>
  <c r="KD934" i="5"/>
  <c r="KD944" i="5"/>
  <c r="KD935" i="5"/>
  <c r="AT1386" i="2"/>
  <c r="AO1467" i="2"/>
  <c r="AO1556" i="2" s="1"/>
  <c r="AO1557" i="2"/>
  <c r="KI1065" i="5"/>
  <c r="AQ1450" i="2"/>
  <c r="AQ1539" i="2" s="1"/>
  <c r="KF930" i="5"/>
  <c r="AQ1444" i="2"/>
  <c r="AQ1533" i="2" s="1"/>
  <c r="AQ1524" i="2"/>
  <c r="AP90" i="19"/>
  <c r="AS90" i="19" s="1"/>
  <c r="AR90" i="19"/>
  <c r="AO91" i="19"/>
  <c r="AQ91" i="19" s="1"/>
  <c r="JT1004" i="5"/>
  <c r="AN1331" i="2"/>
  <c r="AX90" i="19"/>
  <c r="AZ90" i="19" s="1"/>
  <c r="AN1745" i="2"/>
  <c r="AN1749" i="2"/>
  <c r="AN1330" i="2"/>
  <c r="JW1003" i="5"/>
  <c r="AO92" i="19"/>
  <c r="AQ92" i="19" s="1"/>
  <c r="AM1332" i="2"/>
  <c r="JT1006" i="5" s="1"/>
  <c r="JT1005" i="5"/>
  <c r="AS1254" i="2"/>
  <c r="KL754" i="5"/>
  <c r="AS1245" i="2"/>
  <c r="AS1258" i="2"/>
  <c r="AS1253" i="2"/>
  <c r="AS1226" i="2"/>
  <c r="AQ1460" i="2"/>
  <c r="KF942" i="5"/>
  <c r="AQ1549" i="2"/>
  <c r="KG1065" i="5"/>
  <c r="KF929" i="5"/>
  <c r="AQ1449" i="2"/>
  <c r="AQ1538" i="2" s="1"/>
  <c r="X88" i="19"/>
  <c r="AA88" i="19" s="1"/>
  <c r="Z88" i="19"/>
  <c r="KD928" i="5"/>
  <c r="KD930" i="5"/>
  <c r="KD927" i="5"/>
  <c r="KD925" i="5"/>
  <c r="KD987" i="5"/>
  <c r="KD988" i="5" s="1"/>
  <c r="KD929" i="5"/>
  <c r="KH754" i="5"/>
  <c r="KH933" i="5" s="1"/>
  <c r="KH1060" i="5" s="1"/>
  <c r="AT1395" i="2"/>
  <c r="AT1485" i="2"/>
  <c r="KA1041" i="5"/>
  <c r="BE60" i="19"/>
  <c r="BF60" i="19" s="1"/>
  <c r="BF59" i="19"/>
  <c r="KH1065" i="5"/>
  <c r="U91" i="19"/>
  <c r="V91" i="19" s="1"/>
  <c r="KF1061" i="5"/>
  <c r="AM1324" i="2"/>
  <c r="AM1327" i="2"/>
  <c r="JT1001" i="5" s="1"/>
  <c r="JT1000" i="5"/>
  <c r="AR1484" i="2"/>
  <c r="AR1436" i="2"/>
  <c r="AR1435" i="2"/>
  <c r="KF927" i="5"/>
  <c r="AQ1447" i="2"/>
  <c r="AQ1536" i="2" s="1"/>
  <c r="KD1061" i="5"/>
  <c r="AQ1445" i="2"/>
  <c r="AQ1534" i="2" s="1"/>
  <c r="AQ1525" i="2"/>
  <c r="BL85" i="19" l="1"/>
  <c r="BM85" i="19" s="1"/>
  <c r="KB1041" i="5"/>
  <c r="BE110" i="19"/>
  <c r="BF110" i="19" s="1"/>
  <c r="BL69" i="19"/>
  <c r="BM69" i="19" s="1"/>
  <c r="Q190" i="21"/>
  <c r="Q208" i="21" s="1"/>
  <c r="Q189" i="21"/>
  <c r="R189" i="21" s="1"/>
  <c r="R188" i="21"/>
  <c r="R211" i="21" s="1"/>
  <c r="KE927" i="5"/>
  <c r="KE987" i="5"/>
  <c r="KE988" i="5" s="1"/>
  <c r="KE928" i="5"/>
  <c r="KE925" i="5"/>
  <c r="KE930" i="5"/>
  <c r="AV1386" i="2"/>
  <c r="AU1386" i="2" s="1"/>
  <c r="AV1226" i="2"/>
  <c r="AV1258" i="2"/>
  <c r="AT1666" i="2"/>
  <c r="AV1254" i="2"/>
  <c r="AV1253" i="2"/>
  <c r="AV1245" i="2"/>
  <c r="AL1743" i="2"/>
  <c r="AL1691" i="2"/>
  <c r="AL1689" i="2" s="1"/>
  <c r="AL1747" i="2"/>
  <c r="JO995" i="5"/>
  <c r="KD1041" i="5"/>
  <c r="KE1041" i="5" s="1"/>
  <c r="KE942" i="5"/>
  <c r="KE943" i="5"/>
  <c r="KE940" i="5"/>
  <c r="KE944" i="5"/>
  <c r="KE934" i="5"/>
  <c r="KE935" i="5"/>
  <c r="KI1061" i="5"/>
  <c r="KE1069" i="5"/>
  <c r="KE1061" i="5"/>
  <c r="AR1366" i="2"/>
  <c r="AQ1665" i="2" s="1"/>
  <c r="KH905" i="5"/>
  <c r="AR1448" i="2"/>
  <c r="AR1537" i="2" s="1"/>
  <c r="KI928" i="5"/>
  <c r="JR1000" i="5"/>
  <c r="JR998" i="5" s="1"/>
  <c r="JS1000" i="5"/>
  <c r="JS998" i="5" s="1"/>
  <c r="AS1263" i="2"/>
  <c r="AS1262" i="2"/>
  <c r="KL932" i="5"/>
  <c r="AS1256" i="2"/>
  <c r="KL935" i="5" s="1"/>
  <c r="AS1452" i="2"/>
  <c r="AS1541" i="2" s="1"/>
  <c r="AS1261" i="2"/>
  <c r="AS1264" i="2"/>
  <c r="AS1368" i="2"/>
  <c r="AS1255" i="2"/>
  <c r="KL934" i="5" s="1"/>
  <c r="AS1265" i="2"/>
  <c r="AP1467" i="2"/>
  <c r="AP1556" i="2" s="1"/>
  <c r="AP1557" i="2"/>
  <c r="KO1065" i="5"/>
  <c r="KM924" i="5"/>
  <c r="KM905" i="5"/>
  <c r="KM1069" i="5"/>
  <c r="KM932" i="5"/>
  <c r="AR1548" i="2"/>
  <c r="AR1459" i="2"/>
  <c r="KI941" i="5"/>
  <c r="KL905" i="5"/>
  <c r="AS1227" i="2"/>
  <c r="KL906" i="5" s="1"/>
  <c r="KK906" i="5" s="1"/>
  <c r="AR1550" i="2"/>
  <c r="KI943" i="5"/>
  <c r="AR1461" i="2"/>
  <c r="KJ924" i="5"/>
  <c r="KJ1069" i="5"/>
  <c r="KJ932" i="5"/>
  <c r="KJ905" i="5"/>
  <c r="AR1449" i="2"/>
  <c r="AR1538" i="2" s="1"/>
  <c r="KI929" i="5"/>
  <c r="KN1065" i="5"/>
  <c r="KK754" i="5"/>
  <c r="KK933" i="5" s="1"/>
  <c r="KK1060" i="5" s="1"/>
  <c r="JR1005" i="5"/>
  <c r="AS1435" i="2"/>
  <c r="AS1436" i="2"/>
  <c r="AS1484" i="2"/>
  <c r="JT995" i="5"/>
  <c r="AO88" i="19"/>
  <c r="AQ88" i="19" s="1"/>
  <c r="JW1004" i="5"/>
  <c r="AX91" i="19"/>
  <c r="AZ91" i="19" s="1"/>
  <c r="KN754" i="5"/>
  <c r="KN933" i="5" s="1"/>
  <c r="KN1060" i="5" s="1"/>
  <c r="KH924" i="5"/>
  <c r="KH932" i="5"/>
  <c r="KJ1065" i="5"/>
  <c r="AP1320" i="2"/>
  <c r="KC993" i="5"/>
  <c r="AP731" i="2"/>
  <c r="AP732" i="2" s="1"/>
  <c r="AP1329" i="2"/>
  <c r="AS1250" i="2"/>
  <c r="KL924" i="5"/>
  <c r="AS1251" i="2"/>
  <c r="AS1246" i="2"/>
  <c r="KL925" i="5" s="1"/>
  <c r="AS1248" i="2"/>
  <c r="AS1249" i="2"/>
  <c r="AS1313" i="2"/>
  <c r="AR1669" i="2" s="1"/>
  <c r="KL933" i="5"/>
  <c r="KL1060" i="5" s="1"/>
  <c r="KL1069" i="5" s="1"/>
  <c r="AS1542" i="2"/>
  <c r="AS1453" i="2"/>
  <c r="AS1382" i="2"/>
  <c r="AS1666" i="2"/>
  <c r="AN1324" i="2"/>
  <c r="JW1000" i="5"/>
  <c r="AN1327" i="2"/>
  <c r="JW1001" i="5" s="1"/>
  <c r="KK1065" i="5"/>
  <c r="BE84" i="19"/>
  <c r="BF84" i="19" s="1"/>
  <c r="KO937" i="5"/>
  <c r="AT1455" i="2"/>
  <c r="AT1544" i="2" s="1"/>
  <c r="AT1484" i="2"/>
  <c r="AT1436" i="2"/>
  <c r="AT1435" i="2"/>
  <c r="BA90" i="19"/>
  <c r="AY90" i="19"/>
  <c r="BB90" i="19" s="1"/>
  <c r="AX92" i="19"/>
  <c r="AZ92" i="19" s="1"/>
  <c r="AN1332" i="2"/>
  <c r="JW1006" i="5" s="1"/>
  <c r="JW1005" i="5"/>
  <c r="AR1460" i="2"/>
  <c r="KI942" i="5"/>
  <c r="AR1549" i="2"/>
  <c r="KG944" i="5"/>
  <c r="KG934" i="5"/>
  <c r="KG942" i="5"/>
  <c r="KG940" i="5"/>
  <c r="KG943" i="5"/>
  <c r="KG941" i="5"/>
  <c r="KG935" i="5"/>
  <c r="AQ1468" i="2"/>
  <c r="AQ1319" i="2"/>
  <c r="KF988" i="5"/>
  <c r="AR1525" i="2"/>
  <c r="AR1445" i="2"/>
  <c r="AR1534" i="2" s="1"/>
  <c r="AO1749" i="2"/>
  <c r="BG90" i="19"/>
  <c r="BI90" i="19" s="1"/>
  <c r="AO1331" i="2"/>
  <c r="AO1745" i="2"/>
  <c r="JZ1003" i="5"/>
  <c r="AO1330" i="2"/>
  <c r="KI930" i="5"/>
  <c r="AR1450" i="2"/>
  <c r="AR1539" i="2" s="1"/>
  <c r="AP92" i="19"/>
  <c r="AS92" i="19" s="1"/>
  <c r="AR92" i="19"/>
  <c r="AT1248" i="2"/>
  <c r="AT1250" i="2"/>
  <c r="AT1246" i="2"/>
  <c r="KO924" i="5"/>
  <c r="AT1313" i="2"/>
  <c r="AT1249" i="2"/>
  <c r="AT1251" i="2"/>
  <c r="AR1390" i="2"/>
  <c r="AR1383" i="2"/>
  <c r="KI927" i="5"/>
  <c r="AR1447" i="2"/>
  <c r="AR1536" i="2" s="1"/>
  <c r="AO1721" i="2"/>
  <c r="JZ994" i="5"/>
  <c r="AP1719" i="2" s="1"/>
  <c r="AO1323" i="2"/>
  <c r="AO1326" i="2"/>
  <c r="BG87" i="19"/>
  <c r="BI87" i="19" s="1"/>
  <c r="AS1455" i="2"/>
  <c r="AS1544" i="2" s="1"/>
  <c r="KL937" i="5"/>
  <c r="AJ1691" i="2"/>
  <c r="AJ1689" i="2" s="1"/>
  <c r="U90" i="19"/>
  <c r="V90" i="19" s="1"/>
  <c r="AJ1748" i="2"/>
  <c r="AJ1746" i="2" s="1"/>
  <c r="AJ1744" i="2"/>
  <c r="AJ1742" i="2" s="1"/>
  <c r="JM1003" i="5"/>
  <c r="AT1382" i="2"/>
  <c r="AT1453" i="2"/>
  <c r="KO933" i="5"/>
  <c r="KO1060" i="5" s="1"/>
  <c r="KO1069" i="5" s="1"/>
  <c r="AT1542" i="2"/>
  <c r="AT1227" i="2"/>
  <c r="KO905" i="5"/>
  <c r="KM1065" i="5"/>
  <c r="AL1735" i="2"/>
  <c r="JP995" i="5"/>
  <c r="JP994" i="5" s="1"/>
  <c r="BA87" i="19"/>
  <c r="AY87" i="19"/>
  <c r="BB87" i="19" s="1"/>
  <c r="AR1666" i="2"/>
  <c r="JR1004" i="5"/>
  <c r="AR91" i="19"/>
  <c r="AP91" i="19"/>
  <c r="AS91" i="19" s="1"/>
  <c r="AR1462" i="2"/>
  <c r="AR1551" i="2"/>
  <c r="KI944" i="5"/>
  <c r="KG987" i="5"/>
  <c r="KG988" i="5" s="1"/>
  <c r="KG930" i="5"/>
  <c r="KG929" i="5"/>
  <c r="KG928" i="5"/>
  <c r="KG925" i="5"/>
  <c r="KG927" i="5"/>
  <c r="JT998" i="5"/>
  <c r="AO89" i="19"/>
  <c r="AQ89" i="19" s="1"/>
  <c r="KL1065" i="5"/>
  <c r="AT1368" i="2"/>
  <c r="AT1261" i="2"/>
  <c r="KO932" i="5"/>
  <c r="AT1264" i="2"/>
  <c r="AT1255" i="2"/>
  <c r="AT1262" i="2"/>
  <c r="AT1263" i="2"/>
  <c r="AT1452" i="2"/>
  <c r="AT1541" i="2" s="1"/>
  <c r="AT1265" i="2"/>
  <c r="AT1256" i="2"/>
  <c r="AN1376" i="2"/>
  <c r="AN1373" i="2" s="1"/>
  <c r="AN1321" i="2"/>
  <c r="JW997" i="5"/>
  <c r="AN1737" i="2"/>
  <c r="KG1061" i="5"/>
  <c r="AR1444" i="2"/>
  <c r="AR1533" i="2" s="1"/>
  <c r="AR1524" i="2"/>
  <c r="AR1547" i="2"/>
  <c r="KI940" i="5"/>
  <c r="AR1458" i="2"/>
  <c r="BH85" i="19"/>
  <c r="BK85" i="19" s="1"/>
  <c r="BJ85" i="19"/>
  <c r="AR1314" i="2"/>
  <c r="AR1369" i="2"/>
  <c r="AR1478" i="2" s="1"/>
  <c r="AR1565" i="2" s="1"/>
  <c r="KI987" i="5"/>
  <c r="R190" i="21" l="1"/>
  <c r="BL90" i="19"/>
  <c r="BM90" i="19" s="1"/>
  <c r="BL87" i="19"/>
  <c r="BM87" i="19" s="1"/>
  <c r="Q205" i="21"/>
  <c r="Q68" i="21" s="1"/>
  <c r="R68" i="21" s="1"/>
  <c r="Q206" i="21"/>
  <c r="Q94" i="21" s="1"/>
  <c r="R94" i="21" s="1"/>
  <c r="Q186" i="21"/>
  <c r="R186" i="21" s="1"/>
  <c r="AJ1736" i="2"/>
  <c r="AJ1734" i="2" s="1"/>
  <c r="AV1251" i="2"/>
  <c r="AD88" i="19"/>
  <c r="AE88" i="19" s="1"/>
  <c r="JS1004" i="5"/>
  <c r="AM92" i="19"/>
  <c r="AN92" i="19" s="1"/>
  <c r="AV1382" i="2"/>
  <c r="AU1382" i="2" s="1"/>
  <c r="AV1249" i="2"/>
  <c r="AV1248" i="2"/>
  <c r="AV1250" i="2"/>
  <c r="KO925" i="5"/>
  <c r="AV1246" i="2"/>
  <c r="AV1265" i="2"/>
  <c r="AU1265" i="2" s="1"/>
  <c r="AV1262" i="2"/>
  <c r="AU1262" i="2" s="1"/>
  <c r="KO935" i="5"/>
  <c r="AV1256" i="2"/>
  <c r="KO934" i="5"/>
  <c r="AV1255" i="2"/>
  <c r="AV1261" i="2"/>
  <c r="AU1261" i="2" s="1"/>
  <c r="AV1368" i="2"/>
  <c r="AU1368" i="2" s="1"/>
  <c r="KO906" i="5"/>
  <c r="KN906" i="5" s="1"/>
  <c r="AV1227" i="2"/>
  <c r="AT1366" i="2"/>
  <c r="AV1313" i="2"/>
  <c r="AU1313" i="2" s="1"/>
  <c r="AU1366" i="2" s="1"/>
  <c r="AV1263" i="2"/>
  <c r="AU1263" i="2" s="1"/>
  <c r="AV1264" i="2"/>
  <c r="AU1264" i="2" s="1"/>
  <c r="JO994" i="5"/>
  <c r="KI1041" i="5"/>
  <c r="AR1474" i="2"/>
  <c r="AR1563" i="2" s="1"/>
  <c r="KM1061" i="5"/>
  <c r="KG1041" i="5"/>
  <c r="KN905" i="5"/>
  <c r="KJ1061" i="5"/>
  <c r="KO1061" i="5"/>
  <c r="BG91" i="19"/>
  <c r="BI91" i="19" s="1"/>
  <c r="JZ1004" i="5"/>
  <c r="AS1390" i="2"/>
  <c r="AS1383" i="2"/>
  <c r="BA92" i="19"/>
  <c r="AY92" i="19"/>
  <c r="BB92" i="19" s="1"/>
  <c r="BH90" i="19"/>
  <c r="BK90" i="19" s="1"/>
  <c r="BJ90" i="19"/>
  <c r="JW998" i="5"/>
  <c r="AX89" i="19"/>
  <c r="AZ89" i="19" s="1"/>
  <c r="AT1450" i="2"/>
  <c r="AT1539" i="2" s="1"/>
  <c r="KO930" i="5"/>
  <c r="AT1462" i="2"/>
  <c r="AT1551" i="2"/>
  <c r="KO944" i="5"/>
  <c r="KI988" i="5"/>
  <c r="AR1319" i="2"/>
  <c r="AR1468" i="2"/>
  <c r="AP88" i="19"/>
  <c r="AS88" i="19" s="1"/>
  <c r="AR88" i="19"/>
  <c r="KL928" i="5"/>
  <c r="AS1448" i="2"/>
  <c r="AS1537" i="2" s="1"/>
  <c r="KO928" i="5"/>
  <c r="AT1448" i="2"/>
  <c r="AT1537" i="2" s="1"/>
  <c r="KF993" i="5"/>
  <c r="AQ1329" i="2"/>
  <c r="AQ731" i="2"/>
  <c r="AQ732" i="2" s="1"/>
  <c r="AQ1320" i="2"/>
  <c r="AQ1557" i="2"/>
  <c r="AQ1467" i="2"/>
  <c r="AQ1556" i="2" s="1"/>
  <c r="KL1061" i="5"/>
  <c r="JS1005" i="5"/>
  <c r="AM89" i="19"/>
  <c r="AN89" i="19" s="1"/>
  <c r="JW995" i="5"/>
  <c r="AX88" i="19"/>
  <c r="AZ88" i="19" s="1"/>
  <c r="JV1000" i="5"/>
  <c r="JV998" i="5" s="1"/>
  <c r="JU1000" i="5"/>
  <c r="JU998" i="5" s="1"/>
  <c r="KH1069" i="5"/>
  <c r="KH1061" i="5"/>
  <c r="AP1743" i="2"/>
  <c r="AP1747" i="2"/>
  <c r="KH925" i="5"/>
  <c r="KH930" i="5"/>
  <c r="KH929" i="5"/>
  <c r="KH928" i="5"/>
  <c r="KH987" i="5"/>
  <c r="KH988" i="5" s="1"/>
  <c r="KH927" i="5"/>
  <c r="AT1549" i="2"/>
  <c r="KO942" i="5"/>
  <c r="AT1460" i="2"/>
  <c r="JZ1005" i="5"/>
  <c r="AO1332" i="2"/>
  <c r="JZ1006" i="5" s="1"/>
  <c r="BG92" i="19"/>
  <c r="BI92" i="19" s="1"/>
  <c r="AY91" i="19"/>
  <c r="BB91" i="19" s="1"/>
  <c r="BA91" i="19"/>
  <c r="AT1390" i="2"/>
  <c r="AT1383" i="2"/>
  <c r="AS1369" i="2"/>
  <c r="AS1478" i="2" s="1"/>
  <c r="AS1565" i="2" s="1"/>
  <c r="KL987" i="5"/>
  <c r="AS1314" i="2"/>
  <c r="AS1669" i="2"/>
  <c r="AS1670" i="2" s="1"/>
  <c r="AT1444" i="2"/>
  <c r="AT1533" i="2" s="1"/>
  <c r="AT1524" i="2"/>
  <c r="AT1458" i="2"/>
  <c r="AT1547" i="2"/>
  <c r="KO940" i="5"/>
  <c r="AT1445" i="2"/>
  <c r="AT1534" i="2" s="1"/>
  <c r="AT1525" i="2"/>
  <c r="AS1444" i="2"/>
  <c r="AS1533" i="2" s="1"/>
  <c r="AS1524" i="2"/>
  <c r="AR1670" i="2"/>
  <c r="AP1330" i="2"/>
  <c r="AP1331" i="2"/>
  <c r="AP1745" i="2"/>
  <c r="KC1003" i="5"/>
  <c r="AP1749" i="2"/>
  <c r="KK932" i="5"/>
  <c r="KK924" i="5"/>
  <c r="KM935" i="5"/>
  <c r="KM943" i="5"/>
  <c r="KM941" i="5"/>
  <c r="KM934" i="5"/>
  <c r="KM940" i="5"/>
  <c r="KM944" i="5"/>
  <c r="KM942" i="5"/>
  <c r="JU1005" i="5"/>
  <c r="KN932" i="5"/>
  <c r="KN924" i="5"/>
  <c r="AS1461" i="2"/>
  <c r="KL943" i="5"/>
  <c r="AS1550" i="2"/>
  <c r="KO987" i="5"/>
  <c r="AT1369" i="2"/>
  <c r="AT1314" i="2"/>
  <c r="AS1525" i="2"/>
  <c r="AS1445" i="2"/>
  <c r="AS1534" i="2" s="1"/>
  <c r="AS1450" i="2"/>
  <c r="AS1539" i="2" s="1"/>
  <c r="KL930" i="5"/>
  <c r="JR1003" i="5"/>
  <c r="AM91" i="19"/>
  <c r="AN91" i="19" s="1"/>
  <c r="KL942" i="5"/>
  <c r="AS1460" i="2"/>
  <c r="AS1549" i="2"/>
  <c r="AR89" i="19"/>
  <c r="AP89" i="19"/>
  <c r="AS89" i="19" s="1"/>
  <c r="KH935" i="5"/>
  <c r="KH944" i="5"/>
  <c r="KH942" i="5"/>
  <c r="KH943" i="5"/>
  <c r="KH941" i="5"/>
  <c r="KH940" i="5"/>
  <c r="KH934" i="5"/>
  <c r="KL944" i="5"/>
  <c r="AS1551" i="2"/>
  <c r="AS1462" i="2"/>
  <c r="AT1548" i="2"/>
  <c r="KO941" i="5"/>
  <c r="AT1459" i="2"/>
  <c r="KJ929" i="5"/>
  <c r="KJ928" i="5"/>
  <c r="KJ930" i="5"/>
  <c r="KJ987" i="5"/>
  <c r="KJ988" i="5" s="1"/>
  <c r="KJ927" i="5"/>
  <c r="KJ925" i="5"/>
  <c r="JU1004" i="5"/>
  <c r="AK1743" i="2"/>
  <c r="AK1742" i="2" s="1"/>
  <c r="AK1690" i="2"/>
  <c r="AK1689" i="2" s="1"/>
  <c r="AK1747" i="2"/>
  <c r="AK1746" i="2" s="1"/>
  <c r="JM997" i="5"/>
  <c r="KL927" i="5"/>
  <c r="AS1447" i="2"/>
  <c r="AS1536" i="2" s="1"/>
  <c r="KK905" i="5"/>
  <c r="KO929" i="5"/>
  <c r="AT1449" i="2"/>
  <c r="AT1538" i="2" s="1"/>
  <c r="KL929" i="5"/>
  <c r="AS1449" i="2"/>
  <c r="AS1538" i="2" s="1"/>
  <c r="AT1447" i="2"/>
  <c r="AT1536" i="2" s="1"/>
  <c r="KO927" i="5"/>
  <c r="JZ1000" i="5"/>
  <c r="AO1324" i="2"/>
  <c r="AO1327" i="2"/>
  <c r="JZ1001" i="5" s="1"/>
  <c r="KJ935" i="5"/>
  <c r="KJ934" i="5"/>
  <c r="KJ944" i="5"/>
  <c r="KJ940" i="5"/>
  <c r="KJ943" i="5"/>
  <c r="KJ942" i="5"/>
  <c r="KJ941" i="5"/>
  <c r="AT1461" i="2"/>
  <c r="KO943" i="5"/>
  <c r="AT1550" i="2"/>
  <c r="AS1458" i="2"/>
  <c r="AS1547" i="2"/>
  <c r="KL940" i="5"/>
  <c r="KL941" i="5"/>
  <c r="AS1548" i="2"/>
  <c r="AS1459" i="2"/>
  <c r="AS1366" i="2"/>
  <c r="BJ87" i="19"/>
  <c r="BH87" i="19"/>
  <c r="BK87" i="19" s="1"/>
  <c r="AL1719" i="2"/>
  <c r="JP993" i="5"/>
  <c r="AL1695" i="2" s="1"/>
  <c r="AL1693" i="2" s="1"/>
  <c r="AO1321" i="2"/>
  <c r="JZ997" i="5"/>
  <c r="AO1376" i="2"/>
  <c r="AO1373" i="2" s="1"/>
  <c r="AO1737" i="2"/>
  <c r="AP1326" i="2"/>
  <c r="AP1721" i="2"/>
  <c r="AP1323" i="2"/>
  <c r="KC994" i="5"/>
  <c r="KM927" i="5"/>
  <c r="KM929" i="5"/>
  <c r="KM987" i="5"/>
  <c r="KM988" i="5" s="1"/>
  <c r="KM930" i="5"/>
  <c r="KM925" i="5"/>
  <c r="KM928" i="5"/>
  <c r="U88" i="19"/>
  <c r="V88" i="19" s="1"/>
  <c r="BL92" i="19" l="1"/>
  <c r="BM92" i="19" s="1"/>
  <c r="KC1004" i="5"/>
  <c r="KA1004" i="5" s="1"/>
  <c r="BL91" i="19"/>
  <c r="BM91" i="19" s="1"/>
  <c r="Q207" i="21"/>
  <c r="JR997" i="5"/>
  <c r="JR995" i="5" s="1"/>
  <c r="AK1720" i="2"/>
  <c r="AL1715" i="2" s="1"/>
  <c r="JV1004" i="5"/>
  <c r="AV92" i="19"/>
  <c r="AW92" i="19" s="1"/>
  <c r="AV1366" i="2"/>
  <c r="AT1665" i="2"/>
  <c r="AT1669" i="2"/>
  <c r="AT1670" i="2" s="1"/>
  <c r="KO1041" i="5"/>
  <c r="AV1314" i="2"/>
  <c r="AU1314" i="2" s="1"/>
  <c r="AU1319" i="2" s="1"/>
  <c r="AV1390" i="2"/>
  <c r="AU1390" i="2" s="1"/>
  <c r="KH1041" i="5"/>
  <c r="AD87" i="19"/>
  <c r="AE87" i="19" s="1"/>
  <c r="AT1474" i="2"/>
  <c r="AT1563" i="2" s="1"/>
  <c r="JO993" i="5"/>
  <c r="AT1478" i="2"/>
  <c r="AT1565" i="2" s="1"/>
  <c r="AV1369" i="2"/>
  <c r="AU1369" i="2" s="1"/>
  <c r="JV1005" i="5"/>
  <c r="KM1041" i="5"/>
  <c r="KN935" i="5"/>
  <c r="KN942" i="5"/>
  <c r="KN944" i="5"/>
  <c r="KN940" i="5"/>
  <c r="KN943" i="5"/>
  <c r="KN934" i="5"/>
  <c r="KN941" i="5"/>
  <c r="JX1005" i="5"/>
  <c r="JX1000" i="5"/>
  <c r="JX998" i="5" s="1"/>
  <c r="JY1000" i="5"/>
  <c r="JY998" i="5" s="1"/>
  <c r="AR731" i="2"/>
  <c r="AR732" i="2" s="1"/>
  <c r="KI993" i="5"/>
  <c r="AR1320" i="2"/>
  <c r="AR1329" i="2"/>
  <c r="AL1744" i="2"/>
  <c r="AL1742" i="2" s="1"/>
  <c r="AM90" i="19"/>
  <c r="AN90" i="19" s="1"/>
  <c r="AL1748" i="2"/>
  <c r="AL1746" i="2" s="1"/>
  <c r="JS1003" i="5"/>
  <c r="AP1327" i="2"/>
  <c r="KC1001" i="5" s="1"/>
  <c r="AP1324" i="2"/>
  <c r="KC1000" i="5"/>
  <c r="KK987" i="5"/>
  <c r="KK988" i="5" s="1"/>
  <c r="KK929" i="5"/>
  <c r="KK930" i="5"/>
  <c r="KK927" i="5"/>
  <c r="KK925" i="5"/>
  <c r="KK928" i="5"/>
  <c r="BG89" i="19"/>
  <c r="BI89" i="19" s="1"/>
  <c r="JZ998" i="5"/>
  <c r="KL988" i="5"/>
  <c r="AS1319" i="2"/>
  <c r="AS1468" i="2"/>
  <c r="AP1735" i="2"/>
  <c r="AT1468" i="2"/>
  <c r="AT1319" i="2"/>
  <c r="KO988" i="5"/>
  <c r="U87" i="19"/>
  <c r="V87" i="19" s="1"/>
  <c r="AJ1720" i="2"/>
  <c r="AV89" i="19"/>
  <c r="AW89" i="19" s="1"/>
  <c r="KC997" i="5"/>
  <c r="AP1321" i="2"/>
  <c r="AP1737" i="2"/>
  <c r="AP1376" i="2"/>
  <c r="AP1373" i="2" s="1"/>
  <c r="AQ1331" i="2"/>
  <c r="KF1003" i="5"/>
  <c r="AQ1749" i="2"/>
  <c r="AQ1330" i="2"/>
  <c r="KF1004" i="5" s="1"/>
  <c r="AQ1745" i="2"/>
  <c r="JZ995" i="5"/>
  <c r="BG88" i="19"/>
  <c r="BI88" i="19" s="1"/>
  <c r="AS1747" i="2"/>
  <c r="AQ1748" i="2"/>
  <c r="AS1743" i="2"/>
  <c r="AQ1744" i="2"/>
  <c r="KC1005" i="5"/>
  <c r="AP1332" i="2"/>
  <c r="KC1006" i="5" s="1"/>
  <c r="KJ1041" i="5"/>
  <c r="AR1557" i="2"/>
  <c r="AR1467" i="2"/>
  <c r="AR1556" i="2" s="1"/>
  <c r="AS1719" i="2"/>
  <c r="AQ1720" i="2"/>
  <c r="AQ1721" i="2"/>
  <c r="KF994" i="5"/>
  <c r="AT1720" i="2" s="1"/>
  <c r="AQ1323" i="2"/>
  <c r="AQ1326" i="2"/>
  <c r="AY89" i="19"/>
  <c r="BB89" i="19" s="1"/>
  <c r="BA89" i="19"/>
  <c r="AV91" i="19"/>
  <c r="AW91" i="19" s="1"/>
  <c r="JU1003" i="5"/>
  <c r="KN987" i="5"/>
  <c r="KN988" i="5" s="1"/>
  <c r="KN928" i="5"/>
  <c r="KN927" i="5"/>
  <c r="KN925" i="5"/>
  <c r="KN930" i="5"/>
  <c r="KN929" i="5"/>
  <c r="BA88" i="19"/>
  <c r="AY88" i="19"/>
  <c r="BB88" i="19" s="1"/>
  <c r="JX1004" i="5"/>
  <c r="KL1041" i="5"/>
  <c r="AS1665" i="2"/>
  <c r="AS1474" i="2"/>
  <c r="AS1563" i="2" s="1"/>
  <c r="AR1665" i="2"/>
  <c r="JM995" i="5"/>
  <c r="JM994" i="5" s="1"/>
  <c r="AK1735" i="2"/>
  <c r="AK1734" i="2" s="1"/>
  <c r="KK942" i="5"/>
  <c r="KK935" i="5"/>
  <c r="KK934" i="5"/>
  <c r="KK943" i="5"/>
  <c r="KK941" i="5"/>
  <c r="KK940" i="5"/>
  <c r="KK944" i="5"/>
  <c r="KK1069" i="5"/>
  <c r="KK1061" i="5"/>
  <c r="KN1069" i="5"/>
  <c r="KN1061" i="5"/>
  <c r="BH92" i="19"/>
  <c r="BK92" i="19" s="1"/>
  <c r="BJ92" i="19"/>
  <c r="BJ91" i="19"/>
  <c r="BH91" i="19"/>
  <c r="BK91" i="19" s="1"/>
  <c r="KC995" i="5" l="1"/>
  <c r="BL88" i="19"/>
  <c r="BM88" i="19" s="1"/>
  <c r="KC998" i="5"/>
  <c r="BL89" i="19"/>
  <c r="BM89" i="19" s="1"/>
  <c r="Q102" i="21"/>
  <c r="R102" i="21" s="1"/>
  <c r="AL1736" i="2"/>
  <c r="AL1734" i="2" s="1"/>
  <c r="JU997" i="5"/>
  <c r="AM1736" i="2" s="1"/>
  <c r="BE92" i="19"/>
  <c r="BF92" i="19" s="1"/>
  <c r="AK1695" i="2"/>
  <c r="KN1041" i="5"/>
  <c r="AV1319" i="2"/>
  <c r="AM1694" i="2"/>
  <c r="AM1693" i="2" s="1"/>
  <c r="AD85" i="19"/>
  <c r="AE85" i="19" s="1"/>
  <c r="KK1041" i="5"/>
  <c r="JY1005" i="5"/>
  <c r="BH88" i="19"/>
  <c r="BK88" i="19" s="1"/>
  <c r="BJ88" i="19"/>
  <c r="AS1467" i="2"/>
  <c r="AS1556" i="2" s="1"/>
  <c r="AS1557" i="2"/>
  <c r="AR1331" i="2"/>
  <c r="AR1330" i="2"/>
  <c r="KI1004" i="5" s="1"/>
  <c r="KI1003" i="5"/>
  <c r="AR1745" i="2"/>
  <c r="AR1749" i="2"/>
  <c r="JX1003" i="5"/>
  <c r="BE91" i="19"/>
  <c r="BF91" i="19" s="1"/>
  <c r="AT1744" i="2"/>
  <c r="AU1715" i="2" s="1"/>
  <c r="AT1748" i="2"/>
  <c r="AQ1332" i="2"/>
  <c r="KF1006" i="5" s="1"/>
  <c r="KF1005" i="5"/>
  <c r="AR1326" i="2"/>
  <c r="AR1323" i="2"/>
  <c r="KI994" i="5"/>
  <c r="AR1721" i="2"/>
  <c r="JY1004" i="5"/>
  <c r="BH89" i="19"/>
  <c r="BK89" i="19" s="1"/>
  <c r="BJ89" i="19"/>
  <c r="AM88" i="19"/>
  <c r="AN88" i="19" s="1"/>
  <c r="JR994" i="5"/>
  <c r="AQ1736" i="2"/>
  <c r="AS1735" i="2"/>
  <c r="KA1000" i="5"/>
  <c r="KA998" i="5" s="1"/>
  <c r="KB1000" i="5"/>
  <c r="KB998" i="5" s="1"/>
  <c r="KD1004" i="5"/>
  <c r="KE1004" i="5" s="1"/>
  <c r="KB1004" i="5"/>
  <c r="AJ1718" i="2"/>
  <c r="U85" i="19"/>
  <c r="V85" i="19" s="1"/>
  <c r="AJ1695" i="2"/>
  <c r="AJ1693" i="2" s="1"/>
  <c r="KO993" i="5"/>
  <c r="AT1320" i="2"/>
  <c r="AT731" i="2"/>
  <c r="AT732" i="2" s="1"/>
  <c r="AT1329" i="2"/>
  <c r="AM1747" i="2"/>
  <c r="AM1743" i="2"/>
  <c r="JS997" i="5"/>
  <c r="AS1320" i="2"/>
  <c r="AS1329" i="2"/>
  <c r="AS731" i="2"/>
  <c r="AS732" i="2" s="1"/>
  <c r="KL993" i="5"/>
  <c r="AQ1327" i="2"/>
  <c r="KF1001" i="5" s="1"/>
  <c r="AQ1324" i="2"/>
  <c r="KF998" i="5" s="1"/>
  <c r="KF1000" i="5"/>
  <c r="AQ1376" i="2"/>
  <c r="AQ1373" i="2" s="1"/>
  <c r="AQ1737" i="2"/>
  <c r="KF997" i="5"/>
  <c r="AQ1321" i="2"/>
  <c r="KF995" i="5" s="1"/>
  <c r="BE89" i="19"/>
  <c r="BF89" i="19" s="1"/>
  <c r="KA1005" i="5"/>
  <c r="KB1005" i="5" s="1"/>
  <c r="AM1744" i="2"/>
  <c r="AV90" i="19"/>
  <c r="AW90" i="19" s="1"/>
  <c r="AM1748" i="2"/>
  <c r="JV1003" i="5"/>
  <c r="AK1719" i="2"/>
  <c r="AK1718" i="2" s="1"/>
  <c r="JM993" i="5"/>
  <c r="AK1694" i="2" s="1"/>
  <c r="AT1467" i="2"/>
  <c r="AT1556" i="2" s="1"/>
  <c r="AT1557" i="2"/>
  <c r="AK1693" i="2" l="1"/>
  <c r="JU995" i="5"/>
  <c r="AV1329" i="2"/>
  <c r="AU1329" i="2" s="1"/>
  <c r="AV1320" i="2"/>
  <c r="AU1320" i="2" s="1"/>
  <c r="KA1003" i="5"/>
  <c r="AO1744" i="2" s="1"/>
  <c r="KD1000" i="5"/>
  <c r="KD998" i="5" s="1"/>
  <c r="KE1000" i="5"/>
  <c r="KE998" i="5" s="1"/>
  <c r="BE90" i="19"/>
  <c r="BF90" i="19" s="1"/>
  <c r="AN1748" i="2"/>
  <c r="AN1744" i="2"/>
  <c r="JY1003" i="5"/>
  <c r="KO1003" i="5"/>
  <c r="AT1330" i="2"/>
  <c r="AT1749" i="2"/>
  <c r="AT1745" i="2"/>
  <c r="AT1331" i="2"/>
  <c r="AM1742" i="2"/>
  <c r="KG1004" i="5"/>
  <c r="KH1004" i="5" s="1"/>
  <c r="KD1005" i="5"/>
  <c r="KD1003" i="5" s="1"/>
  <c r="AS1721" i="2"/>
  <c r="KL994" i="5"/>
  <c r="AS1326" i="2"/>
  <c r="AS1323" i="2"/>
  <c r="JS995" i="5"/>
  <c r="JS994" i="5" s="1"/>
  <c r="AM1735" i="2"/>
  <c r="AM1734" i="2" s="1"/>
  <c r="AM1746" i="2"/>
  <c r="AR1737" i="2"/>
  <c r="KI997" i="5"/>
  <c r="AR1321" i="2"/>
  <c r="KI995" i="5" s="1"/>
  <c r="AR1376" i="2"/>
  <c r="AR1373" i="2" s="1"/>
  <c r="AR1324" i="2"/>
  <c r="KI998" i="5" s="1"/>
  <c r="KI1000" i="5"/>
  <c r="AR1327" i="2"/>
  <c r="KI1001" i="5" s="1"/>
  <c r="AS1331" i="2"/>
  <c r="AS1749" i="2"/>
  <c r="AS1745" i="2"/>
  <c r="KL1003" i="5"/>
  <c r="AS1330" i="2"/>
  <c r="KL1004" i="5" s="1"/>
  <c r="AL1720" i="2"/>
  <c r="JR993" i="5"/>
  <c r="AM87" i="19"/>
  <c r="AN87" i="19" s="1"/>
  <c r="JX997" i="5"/>
  <c r="AN1747" i="2"/>
  <c r="AN1743" i="2"/>
  <c r="JV997" i="5"/>
  <c r="AT1721" i="2"/>
  <c r="KO994" i="5"/>
  <c r="AT1323" i="2"/>
  <c r="AT1326" i="2"/>
  <c r="AR1332" i="2"/>
  <c r="KI1006" i="5" s="1"/>
  <c r="KI1005" i="5"/>
  <c r="AT1736" i="2"/>
  <c r="AK1715" i="2"/>
  <c r="JU994" i="5" l="1"/>
  <c r="AV88" i="19"/>
  <c r="AW88" i="19" s="1"/>
  <c r="AM85" i="19"/>
  <c r="AN85" i="19" s="1"/>
  <c r="AV1323" i="2"/>
  <c r="AU1323" i="2" s="1"/>
  <c r="AV1326" i="2"/>
  <c r="AU1326" i="2" s="1"/>
  <c r="AV1331" i="2"/>
  <c r="AU1331" i="2" s="1"/>
  <c r="KO1004" i="5"/>
  <c r="KM1004" i="5" s="1"/>
  <c r="KN1004" i="5" s="1"/>
  <c r="AV1330" i="2"/>
  <c r="AU1330" i="2" s="1"/>
  <c r="AN1746" i="2"/>
  <c r="KA997" i="5"/>
  <c r="KA995" i="5" s="1"/>
  <c r="KA994" i="5" s="1"/>
  <c r="KB1003" i="5"/>
  <c r="AR1747" i="2" s="1"/>
  <c r="AQ1743" i="2"/>
  <c r="AQ1742" i="2" s="1"/>
  <c r="AO1748" i="2"/>
  <c r="AQ1747" i="2"/>
  <c r="AQ1746" i="2" s="1"/>
  <c r="AN1742" i="2"/>
  <c r="KE1005" i="5"/>
  <c r="AT1743" i="2"/>
  <c r="AT1742" i="2" s="1"/>
  <c r="AR1748" i="2"/>
  <c r="AR1744" i="2"/>
  <c r="AT1747" i="2"/>
  <c r="AT1746" i="2" s="1"/>
  <c r="KE1003" i="5"/>
  <c r="KE997" i="5" s="1"/>
  <c r="KG1005" i="5"/>
  <c r="KH1005" i="5" s="1"/>
  <c r="AS1332" i="2"/>
  <c r="KL1006" i="5" s="1"/>
  <c r="KL1005" i="5"/>
  <c r="AM1719" i="2"/>
  <c r="JS993" i="5"/>
  <c r="KH1000" i="5"/>
  <c r="KH998" i="5" s="1"/>
  <c r="KG1000" i="5"/>
  <c r="KG998" i="5" s="1"/>
  <c r="AL1718" i="2"/>
  <c r="AT1327" i="2"/>
  <c r="KO1000" i="5"/>
  <c r="AT1324" i="2"/>
  <c r="AT1376" i="2"/>
  <c r="KO997" i="5"/>
  <c r="AT1737" i="2"/>
  <c r="AT1321" i="2"/>
  <c r="JV995" i="5"/>
  <c r="JV994" i="5" s="1"/>
  <c r="AN1735" i="2"/>
  <c r="AT1332" i="2"/>
  <c r="KO1005" i="5"/>
  <c r="JX995" i="5"/>
  <c r="AN1736" i="2"/>
  <c r="AO1747" i="2"/>
  <c r="AO1743" i="2"/>
  <c r="AO1742" i="2" s="1"/>
  <c r="JY997" i="5"/>
  <c r="KJ1004" i="5"/>
  <c r="AS1321" i="2"/>
  <c r="KL995" i="5" s="1"/>
  <c r="AS1737" i="2"/>
  <c r="KL997" i="5"/>
  <c r="AS1376" i="2"/>
  <c r="AS1373" i="2" s="1"/>
  <c r="AS1324" i="2"/>
  <c r="KL998" i="5" s="1"/>
  <c r="AS1327" i="2"/>
  <c r="KL1001" i="5" s="1"/>
  <c r="KL1000" i="5"/>
  <c r="KD997" i="5"/>
  <c r="JU993" i="5" l="1"/>
  <c r="AV87" i="19"/>
  <c r="AW87" i="19" s="1"/>
  <c r="AM1720" i="2"/>
  <c r="AM1718" i="2" s="1"/>
  <c r="KO998" i="5"/>
  <c r="AV1324" i="2"/>
  <c r="AU1324" i="2" s="1"/>
  <c r="KO1006" i="5"/>
  <c r="AV1332" i="2"/>
  <c r="AU1332" i="2" s="1"/>
  <c r="AT1373" i="2"/>
  <c r="AV1373" i="2" s="1"/>
  <c r="AU1373" i="2" s="1"/>
  <c r="AV1376" i="2"/>
  <c r="AU1376" i="2" s="1"/>
  <c r="KO1001" i="5"/>
  <c r="AV1327" i="2"/>
  <c r="AU1327" i="2" s="1"/>
  <c r="KO995" i="5"/>
  <c r="AV1321" i="2"/>
  <c r="AU1321" i="2" s="1"/>
  <c r="AR1746" i="2"/>
  <c r="KB997" i="5"/>
  <c r="AR1735" i="2" s="1"/>
  <c r="AR1743" i="2"/>
  <c r="AR1742" i="2" s="1"/>
  <c r="AP1744" i="2"/>
  <c r="AP1742" i="2" s="1"/>
  <c r="AP1748" i="2"/>
  <c r="AP1746" i="2" s="1"/>
  <c r="AO1746" i="2"/>
  <c r="AO1736" i="2"/>
  <c r="AQ1735" i="2"/>
  <c r="AQ1734" i="2" s="1"/>
  <c r="KG1003" i="5"/>
  <c r="KH1003" i="5" s="1"/>
  <c r="KH997" i="5" s="1"/>
  <c r="KH995" i="5" s="1"/>
  <c r="KH994" i="5" s="1"/>
  <c r="KH993" i="5" s="1"/>
  <c r="BE88" i="19"/>
  <c r="BF88" i="19" s="1"/>
  <c r="JX994" i="5"/>
  <c r="KK1000" i="5"/>
  <c r="KK998" i="5" s="1"/>
  <c r="KJ1000" i="5"/>
  <c r="KJ998" i="5" s="1"/>
  <c r="AN1734" i="2"/>
  <c r="KD995" i="5"/>
  <c r="KD994" i="5" s="1"/>
  <c r="AT1735" i="2"/>
  <c r="AT1734" i="2" s="1"/>
  <c r="AR1736" i="2"/>
  <c r="KJ1005" i="5"/>
  <c r="KJ1003" i="5" s="1"/>
  <c r="KK1003" i="5" s="1"/>
  <c r="KM1000" i="5"/>
  <c r="KM998" i="5" s="1"/>
  <c r="KN1000" i="5"/>
  <c r="KN998" i="5" s="1"/>
  <c r="KE995" i="5"/>
  <c r="KE994" i="5" s="1"/>
  <c r="AS1736" i="2"/>
  <c r="AS1734" i="2" s="1"/>
  <c r="AO1720" i="2"/>
  <c r="AP1715" i="2" s="1"/>
  <c r="AQ1719" i="2"/>
  <c r="AQ1718" i="2" s="1"/>
  <c r="KA993" i="5"/>
  <c r="AO1735" i="2"/>
  <c r="JY995" i="5"/>
  <c r="JY994" i="5" s="1"/>
  <c r="AS1748" i="2"/>
  <c r="AS1746" i="2" s="1"/>
  <c r="AS1744" i="2"/>
  <c r="AS1742" i="2" s="1"/>
  <c r="AM1715" i="2"/>
  <c r="KM1005" i="5"/>
  <c r="KN1005" i="5" s="1"/>
  <c r="AN1719" i="2"/>
  <c r="JV993" i="5"/>
  <c r="KK1004" i="5"/>
  <c r="AV85" i="19" l="1"/>
  <c r="AW85" i="19" s="1"/>
  <c r="AO1734" i="2"/>
  <c r="AR1734" i="2"/>
  <c r="KB995" i="5"/>
  <c r="KB994" i="5" s="1"/>
  <c r="AR1719" i="2" s="1"/>
  <c r="AR1715" i="2" s="1"/>
  <c r="AP1736" i="2"/>
  <c r="AP1734" i="2" s="1"/>
  <c r="KG997" i="5"/>
  <c r="KG995" i="5" s="1"/>
  <c r="KG994" i="5" s="1"/>
  <c r="KG993" i="5" s="1"/>
  <c r="KM1003" i="5"/>
  <c r="KN1003" i="5" s="1"/>
  <c r="KN997" i="5" s="1"/>
  <c r="KN995" i="5" s="1"/>
  <c r="KN994" i="5" s="1"/>
  <c r="KN993" i="5" s="1"/>
  <c r="AS1720" i="2"/>
  <c r="KE993" i="5"/>
  <c r="KK1005" i="5"/>
  <c r="AN1715" i="2"/>
  <c r="AT1719" i="2"/>
  <c r="AT1718" i="2" s="1"/>
  <c r="AR1720" i="2"/>
  <c r="AS1715" i="2" s="1"/>
  <c r="KD993" i="5"/>
  <c r="KJ997" i="5"/>
  <c r="KJ995" i="5" s="1"/>
  <c r="KJ994" i="5" s="1"/>
  <c r="KJ993" i="5" s="1"/>
  <c r="AO1719" i="2"/>
  <c r="AO1718" i="2" s="1"/>
  <c r="JY993" i="5"/>
  <c r="KK997" i="5"/>
  <c r="KK995" i="5" s="1"/>
  <c r="KK994" i="5" s="1"/>
  <c r="KK993" i="5" s="1"/>
  <c r="JX993" i="5"/>
  <c r="BE87" i="19"/>
  <c r="BF87" i="19" s="1"/>
  <c r="AN1720" i="2"/>
  <c r="AO1715" i="2" l="1"/>
  <c r="AT1715" i="2"/>
  <c r="BE85" i="19"/>
  <c r="BF85" i="19" s="1"/>
  <c r="AP1720" i="2"/>
  <c r="AQ1715" i="2" s="1"/>
  <c r="KB993" i="5"/>
  <c r="KM997" i="5"/>
  <c r="KM995" i="5" s="1"/>
  <c r="KM994" i="5" s="1"/>
  <c r="KM993" i="5" s="1"/>
  <c r="AN1718" i="2"/>
  <c r="AS1718" i="2"/>
  <c r="AR1718" i="2"/>
  <c r="AK503" i="2"/>
  <c r="AK1080" i="2" s="1"/>
  <c r="AK1082" i="2" l="1"/>
  <c r="JN774" i="5"/>
  <c r="JM774" i="5" s="1"/>
  <c r="AP1718" i="2"/>
  <c r="JN776" i="5"/>
  <c r="JM776" i="5" s="1"/>
  <c r="AK506" i="2"/>
  <c r="AJ1672" i="2"/>
  <c r="AK502" i="2"/>
  <c r="AJ1678" i="2" l="1"/>
  <c r="AJ1677" i="2"/>
  <c r="AJ1680" i="2"/>
  <c r="AL503" i="2"/>
  <c r="AL1080" i="2" s="1"/>
  <c r="AL1082" i="2" s="1"/>
  <c r="JQ776" i="5" l="1"/>
  <c r="AL506" i="2"/>
  <c r="AL502" i="2"/>
  <c r="AK1672" i="2"/>
  <c r="JQ774" i="5"/>
  <c r="AM503" i="2"/>
  <c r="AM1080" i="2" l="1"/>
  <c r="AM1082" i="2" s="1"/>
  <c r="AN503" i="2"/>
  <c r="AK1677" i="2"/>
  <c r="AK1678" i="2"/>
  <c r="AK1680" i="2"/>
  <c r="JT776" i="5" l="1"/>
  <c r="AM506" i="2"/>
  <c r="AO503" i="2"/>
  <c r="AN1080" i="2"/>
  <c r="AN1082" i="2" s="1"/>
  <c r="AM502" i="2"/>
  <c r="JT774" i="5"/>
  <c r="AL1672" i="2"/>
  <c r="AM1672" i="2" l="1"/>
  <c r="AM1677" i="2" s="1"/>
  <c r="AN506" i="2"/>
  <c r="JW776" i="5"/>
  <c r="AN502" i="2"/>
  <c r="JW774" i="5"/>
  <c r="AL1677" i="2"/>
  <c r="AL1678" i="2"/>
  <c r="AL1680" i="2"/>
  <c r="AO1080" i="2"/>
  <c r="AO1082" i="2" s="1"/>
  <c r="AP503" i="2"/>
  <c r="AM1680" i="2" l="1"/>
  <c r="AM1678" i="2"/>
  <c r="JZ776" i="5"/>
  <c r="AO506" i="2"/>
  <c r="AQ503" i="2"/>
  <c r="AP1080" i="2"/>
  <c r="AP1082" i="2" s="1"/>
  <c r="JZ774" i="5"/>
  <c r="AO502" i="2"/>
  <c r="AN1672" i="2"/>
  <c r="AO1672" i="2" l="1"/>
  <c r="KC776" i="5"/>
  <c r="AP506" i="2"/>
  <c r="AO1677" i="2"/>
  <c r="AO1680" i="2"/>
  <c r="AO1678" i="2"/>
  <c r="AN1677" i="2"/>
  <c r="AN1680" i="2"/>
  <c r="AN1678" i="2"/>
  <c r="AP502" i="2"/>
  <c r="KC774" i="5"/>
  <c r="AR503" i="2"/>
  <c r="AQ1080" i="2"/>
  <c r="AQ1082" i="2" s="1"/>
  <c r="KF776" i="5" l="1"/>
  <c r="AQ506" i="2"/>
  <c r="KF774" i="5"/>
  <c r="AQ502" i="2"/>
  <c r="AS503" i="2"/>
  <c r="AR1080" i="2"/>
  <c r="AR1082" i="2" s="1"/>
  <c r="KI776" i="5" l="1"/>
  <c r="AR506" i="2"/>
  <c r="AR502" i="2"/>
  <c r="KI774" i="5"/>
  <c r="AT503" i="2"/>
  <c r="AT1080" i="2" s="1"/>
  <c r="AS1080" i="2"/>
  <c r="AS1082" i="2" s="1"/>
  <c r="AT1082" i="2" l="1"/>
  <c r="AV1082" i="2" s="1"/>
  <c r="AU1082" i="2" s="1"/>
  <c r="AV1080" i="2"/>
  <c r="AU1080" i="2" s="1"/>
  <c r="AS506" i="2"/>
  <c r="KL776" i="5"/>
  <c r="KO774" i="5"/>
  <c r="AT502" i="2"/>
  <c r="KL774" i="5"/>
  <c r="AS502" i="2"/>
  <c r="AT506" i="2" l="1"/>
  <c r="KO776" i="5"/>
  <c r="JN1069" i="5"/>
  <c r="JN1066" i="5"/>
  <c r="JN1068" i="5"/>
  <c r="JN1067" i="5"/>
  <c r="JL1064" i="5"/>
  <c r="JL1067" i="5" s="1"/>
  <c r="JN1065" i="5"/>
  <c r="JL1065" i="5" l="1"/>
  <c r="JL1066" i="5"/>
  <c r="JM1064" i="5"/>
  <c r="JL1068" i="5"/>
  <c r="JL1069" i="5"/>
  <c r="JM1065" i="5" l="1"/>
  <c r="JM1066" i="5"/>
  <c r="JM1068" i="5"/>
  <c r="JM1067" i="5"/>
  <c r="JM106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62" authorId="0" shapeId="0" xr:uid="{00000000-0006-0000-0100-000001000000}">
      <text>
        <r>
          <rPr>
            <b/>
            <sz val="9"/>
            <color rgb="FF000000"/>
            <rFont val="Tahoma"/>
            <family val="2"/>
          </rPr>
          <t>Author:</t>
        </r>
        <r>
          <rPr>
            <sz val="9"/>
            <color rgb="FF000000"/>
            <rFont val="Tahoma"/>
            <family val="2"/>
          </rPr>
          <t xml:space="preserve">
Taken from Abel's file as actual in FRW and devided by end period exchange rate of 922.517</t>
        </r>
      </text>
    </comment>
    <comment ref="AD73" authorId="0" shapeId="0" xr:uid="{00000000-0006-0000-0100-000003000000}">
      <text>
        <r>
          <rPr>
            <b/>
            <sz val="9"/>
            <color rgb="FF000000"/>
            <rFont val="Tahoma"/>
            <family val="2"/>
          </rPr>
          <t>Author:</t>
        </r>
        <r>
          <rPr>
            <sz val="9"/>
            <color rgb="FF000000"/>
            <rFont val="Tahoma"/>
            <family val="2"/>
          </rPr>
          <t xml:space="preserve">
Different from actualexisted from Computed from PDT amounted 282.08</t>
        </r>
      </text>
    </comment>
    <comment ref="AO74" authorId="0" shapeId="0" xr:uid="{CC0C90DE-8C3D-453A-9C23-628C586D16DA}">
      <text>
        <r>
          <rPr>
            <b/>
            <sz val="13"/>
            <color indexed="81"/>
            <rFont val="Tahoma"/>
            <family val="2"/>
          </rPr>
          <t xml:space="preserve">ak: </t>
        </r>
        <r>
          <rPr>
            <sz val="13"/>
            <color indexed="81"/>
            <rFont val="Tahoma"/>
            <family val="2"/>
          </rPr>
          <t>where does this comes from, neither in EF_DG MTEF nor in Proj Disb EXTDEBT</t>
        </r>
      </text>
    </comment>
    <comment ref="AE171" authorId="0" shapeId="0" xr:uid="{39C8EC7A-D5D5-4863-AC69-90DFDAFC60B7}">
      <text>
        <r>
          <rPr>
            <b/>
            <sz val="13"/>
            <color indexed="81"/>
            <rFont val="Tahoma"/>
            <family val="2"/>
          </rPr>
          <t>ak:</t>
        </r>
        <r>
          <rPr>
            <sz val="13"/>
            <color indexed="81"/>
            <rFont val="Tahoma"/>
            <family val="2"/>
          </rPr>
          <t xml:space="preserve">
share of 2d sem FY in total FY from Dom Debt
</t>
        </r>
      </text>
    </comment>
    <comment ref="AF171" authorId="0" shapeId="0" xr:uid="{4888234B-71DE-4A20-A060-F42FE586BAE9}">
      <text>
        <r>
          <rPr>
            <b/>
            <sz val="13"/>
            <color indexed="81"/>
            <rFont val="Tahoma"/>
            <family val="2"/>
          </rPr>
          <t>ak:</t>
        </r>
        <r>
          <rPr>
            <sz val="13"/>
            <color indexed="81"/>
            <rFont val="Tahoma"/>
            <family val="2"/>
          </rPr>
          <t xml:space="preserve">
share of 2d sem FY in total FY from Dom Debt
</t>
        </r>
      </text>
    </comment>
    <comment ref="AG171" authorId="0" shapeId="0" xr:uid="{B6058440-F57E-4F4D-8964-043517B11718}">
      <text>
        <r>
          <rPr>
            <b/>
            <sz val="13"/>
            <color indexed="81"/>
            <rFont val="Tahoma"/>
            <family val="2"/>
          </rPr>
          <t>ak:</t>
        </r>
        <r>
          <rPr>
            <sz val="13"/>
            <color indexed="81"/>
            <rFont val="Tahoma"/>
            <family val="2"/>
          </rPr>
          <t xml:space="preserve">
share of 2d sem FY in total FY from Dom Debt
</t>
        </r>
      </text>
    </comment>
    <comment ref="AH171" authorId="0" shapeId="0" xr:uid="{5319C2D8-5EF7-45FA-B3DC-BB71546B63C8}">
      <text>
        <r>
          <rPr>
            <b/>
            <sz val="13"/>
            <color indexed="81"/>
            <rFont val="Tahoma"/>
            <family val="2"/>
          </rPr>
          <t>ak:</t>
        </r>
        <r>
          <rPr>
            <sz val="13"/>
            <color indexed="81"/>
            <rFont val="Tahoma"/>
            <family val="2"/>
          </rPr>
          <t xml:space="preserve">
share of 2d sem FY in total FY from Dom Debt
</t>
        </r>
      </text>
    </comment>
    <comment ref="AI171" authorId="0" shapeId="0" xr:uid="{CDB1B97F-FBC4-4DAE-80DB-1E59B6A62819}">
      <text>
        <r>
          <rPr>
            <b/>
            <sz val="13"/>
            <color indexed="81"/>
            <rFont val="Tahoma"/>
            <family val="2"/>
          </rPr>
          <t>ak:</t>
        </r>
        <r>
          <rPr>
            <sz val="13"/>
            <color indexed="81"/>
            <rFont val="Tahoma"/>
            <family val="2"/>
          </rPr>
          <t xml:space="preserve">
share of 2d sem FY in total FY from Dom Debt
</t>
        </r>
      </text>
    </comment>
    <comment ref="AJ171" authorId="0" shapeId="0" xr:uid="{1CFCC7A2-6B03-4AF6-B65A-EE1885E845B3}">
      <text>
        <r>
          <rPr>
            <b/>
            <sz val="13"/>
            <color indexed="81"/>
            <rFont val="Tahoma"/>
            <family val="2"/>
          </rPr>
          <t>ak:</t>
        </r>
        <r>
          <rPr>
            <sz val="13"/>
            <color indexed="81"/>
            <rFont val="Tahoma"/>
            <family val="2"/>
          </rPr>
          <t xml:space="preserve">
share of 2d sem FY in total FY from Dom Debt
</t>
        </r>
      </text>
    </comment>
    <comment ref="AK171" authorId="0" shapeId="0" xr:uid="{06A41204-235E-4B36-8AEC-40AC90D7F2F6}">
      <text>
        <r>
          <rPr>
            <b/>
            <sz val="13"/>
            <color indexed="81"/>
            <rFont val="Tahoma"/>
            <family val="2"/>
          </rPr>
          <t>ak:</t>
        </r>
        <r>
          <rPr>
            <sz val="13"/>
            <color indexed="81"/>
            <rFont val="Tahoma"/>
            <family val="2"/>
          </rPr>
          <t xml:space="preserve">
share of 2d sem FY in total FY from Dom Debt
</t>
        </r>
      </text>
    </comment>
    <comment ref="AL171" authorId="0" shapeId="0" xr:uid="{8156A77A-92EB-409D-B26B-D8AA9071419C}">
      <text>
        <r>
          <rPr>
            <b/>
            <sz val="13"/>
            <color indexed="81"/>
            <rFont val="Tahoma"/>
            <family val="2"/>
          </rPr>
          <t>ak:</t>
        </r>
        <r>
          <rPr>
            <sz val="13"/>
            <color indexed="81"/>
            <rFont val="Tahoma"/>
            <family val="2"/>
          </rPr>
          <t xml:space="preserve">
share of 2d sem FY in total FY from Dom Debt
</t>
        </r>
      </text>
    </comment>
    <comment ref="AM171" authorId="0" shapeId="0" xr:uid="{1B63631A-D32B-4818-A736-049FB657F987}">
      <text>
        <r>
          <rPr>
            <b/>
            <sz val="13"/>
            <color indexed="81"/>
            <rFont val="Tahoma"/>
            <family val="2"/>
          </rPr>
          <t>ak:</t>
        </r>
        <r>
          <rPr>
            <sz val="13"/>
            <color indexed="81"/>
            <rFont val="Tahoma"/>
            <family val="2"/>
          </rPr>
          <t xml:space="preserve">
share of 2d sem FY in total FY from Dom Debt
</t>
        </r>
      </text>
    </comment>
    <comment ref="AN171" authorId="0" shapeId="0" xr:uid="{EB37C128-9310-480E-B6F8-BF780BCAD2F5}">
      <text>
        <r>
          <rPr>
            <b/>
            <sz val="13"/>
            <color indexed="81"/>
            <rFont val="Tahoma"/>
            <family val="2"/>
          </rPr>
          <t>ak:</t>
        </r>
        <r>
          <rPr>
            <sz val="13"/>
            <color indexed="81"/>
            <rFont val="Tahoma"/>
            <family val="2"/>
          </rPr>
          <t xml:space="preserve">
share of 2d sem FY in total FY from Dom Debt
</t>
        </r>
      </text>
    </comment>
    <comment ref="AO171" authorId="0" shapeId="0" xr:uid="{1528DED1-D3AA-49C8-8C60-E4D512E331F4}">
      <text>
        <r>
          <rPr>
            <b/>
            <sz val="13"/>
            <color indexed="81"/>
            <rFont val="Tahoma"/>
            <family val="2"/>
          </rPr>
          <t>ak:</t>
        </r>
        <r>
          <rPr>
            <sz val="13"/>
            <color indexed="81"/>
            <rFont val="Tahoma"/>
            <family val="2"/>
          </rPr>
          <t xml:space="preserve">
share of 2d sem FY in total FY from Dom Debt
</t>
        </r>
      </text>
    </comment>
    <comment ref="AP171" authorId="0" shapeId="0" xr:uid="{4E0D2A2E-D3A7-4C9D-B46F-A109BFB6F55D}">
      <text>
        <r>
          <rPr>
            <b/>
            <sz val="13"/>
            <color indexed="81"/>
            <rFont val="Tahoma"/>
            <family val="2"/>
          </rPr>
          <t>ak:</t>
        </r>
        <r>
          <rPr>
            <sz val="13"/>
            <color indexed="81"/>
            <rFont val="Tahoma"/>
            <family val="2"/>
          </rPr>
          <t xml:space="preserve">
share of 2d sem FY in total FY from Dom Debt
</t>
        </r>
      </text>
    </comment>
    <comment ref="AQ171" authorId="0" shapeId="0" xr:uid="{B78FC6D6-E607-4876-AEA9-5BFAE03FB2F0}">
      <text>
        <r>
          <rPr>
            <b/>
            <sz val="13"/>
            <color indexed="81"/>
            <rFont val="Tahoma"/>
            <family val="2"/>
          </rPr>
          <t>ak:</t>
        </r>
        <r>
          <rPr>
            <sz val="13"/>
            <color indexed="81"/>
            <rFont val="Tahoma"/>
            <family val="2"/>
          </rPr>
          <t xml:space="preserve">
share of 2d sem FY in total FY from Dom Debt
</t>
        </r>
      </text>
    </comment>
    <comment ref="AR171" authorId="0" shapeId="0" xr:uid="{96F9BDB5-F375-447F-AEE0-5C91B7FD3889}">
      <text>
        <r>
          <rPr>
            <b/>
            <sz val="13"/>
            <color indexed="81"/>
            <rFont val="Tahoma"/>
            <family val="2"/>
          </rPr>
          <t>ak:</t>
        </r>
        <r>
          <rPr>
            <sz val="13"/>
            <color indexed="81"/>
            <rFont val="Tahoma"/>
            <family val="2"/>
          </rPr>
          <t xml:space="preserve">
share of 2d sem FY in total FY from Dom Debt
</t>
        </r>
      </text>
    </comment>
    <comment ref="AS171" authorId="0" shapeId="0" xr:uid="{E9CEB154-55AB-4C0A-962D-C5D0311485EE}">
      <text>
        <r>
          <rPr>
            <b/>
            <sz val="13"/>
            <color indexed="81"/>
            <rFont val="Tahoma"/>
            <family val="2"/>
          </rPr>
          <t>ak:</t>
        </r>
        <r>
          <rPr>
            <sz val="13"/>
            <color indexed="81"/>
            <rFont val="Tahoma"/>
            <family val="2"/>
          </rPr>
          <t xml:space="preserve">
share of 2d sem FY in total FY from Dom Debt
</t>
        </r>
      </text>
    </comment>
    <comment ref="AT171" authorId="0" shapeId="0" xr:uid="{6478B717-499A-4D9C-A5FA-DD0F2AD8F804}">
      <text>
        <r>
          <rPr>
            <b/>
            <sz val="13"/>
            <color indexed="81"/>
            <rFont val="Tahoma"/>
            <family val="2"/>
          </rPr>
          <t>ak:</t>
        </r>
        <r>
          <rPr>
            <sz val="13"/>
            <color indexed="81"/>
            <rFont val="Tahoma"/>
            <family val="2"/>
          </rPr>
          <t xml:space="preserve">
share of 2d sem FY in total FY from Dom Debt
</t>
        </r>
      </text>
    </comment>
    <comment ref="AD175" authorId="0" shapeId="0" xr:uid="{4EAB32EA-8B20-4395-B193-3C3036F080D7}">
      <text>
        <r>
          <rPr>
            <b/>
            <sz val="13"/>
            <color indexed="81"/>
            <rFont val="Tahoma"/>
            <family val="2"/>
          </rPr>
          <t>ak:</t>
        </r>
        <r>
          <rPr>
            <sz val="13"/>
            <color indexed="81"/>
            <rFont val="Tahoma"/>
            <family val="2"/>
          </rPr>
          <t xml:space="preserve">
share of 2d sem FY in total FY from Dom Debt
</t>
        </r>
      </text>
    </comment>
    <comment ref="AE175" authorId="0" shapeId="0" xr:uid="{B5C7BBC5-C55D-4564-91BF-7EDE2F2C516D}">
      <text>
        <r>
          <rPr>
            <b/>
            <sz val="13"/>
            <color indexed="81"/>
            <rFont val="Tahoma"/>
            <family val="2"/>
          </rPr>
          <t>ak:</t>
        </r>
        <r>
          <rPr>
            <sz val="13"/>
            <color indexed="81"/>
            <rFont val="Tahoma"/>
            <family val="2"/>
          </rPr>
          <t xml:space="preserve">
share of 2d sem FY in total FY from Dom Debt
</t>
        </r>
      </text>
    </comment>
    <comment ref="AF175" authorId="0" shapeId="0" xr:uid="{D4949B68-BDF7-4909-BDC7-09F822162F44}">
      <text>
        <r>
          <rPr>
            <b/>
            <sz val="13"/>
            <color indexed="81"/>
            <rFont val="Tahoma"/>
            <family val="2"/>
          </rPr>
          <t>ak:</t>
        </r>
        <r>
          <rPr>
            <sz val="13"/>
            <color indexed="81"/>
            <rFont val="Tahoma"/>
            <family val="2"/>
          </rPr>
          <t xml:space="preserve">
share of 2d sem FY in total FY from Dom Debt
</t>
        </r>
      </text>
    </comment>
    <comment ref="AG175" authorId="0" shapeId="0" xr:uid="{5DDAC808-874D-4647-B6D3-651F6B98A66E}">
      <text>
        <r>
          <rPr>
            <b/>
            <sz val="13"/>
            <color indexed="81"/>
            <rFont val="Tahoma"/>
            <family val="2"/>
          </rPr>
          <t>ak:</t>
        </r>
        <r>
          <rPr>
            <sz val="13"/>
            <color indexed="81"/>
            <rFont val="Tahoma"/>
            <family val="2"/>
          </rPr>
          <t xml:space="preserve">
share of 2d sem FY in total FY from Dom Debt
</t>
        </r>
      </text>
    </comment>
    <comment ref="AH175" authorId="0" shapeId="0" xr:uid="{AADEAB9A-864E-45DD-9F2E-708CA8488C44}">
      <text>
        <r>
          <rPr>
            <b/>
            <sz val="13"/>
            <color indexed="81"/>
            <rFont val="Tahoma"/>
            <family val="2"/>
          </rPr>
          <t>ak:</t>
        </r>
        <r>
          <rPr>
            <sz val="13"/>
            <color indexed="81"/>
            <rFont val="Tahoma"/>
            <family val="2"/>
          </rPr>
          <t xml:space="preserve">
share of 2d sem FY in total FY from Dom Debt
</t>
        </r>
      </text>
    </comment>
    <comment ref="AI175" authorId="0" shapeId="0" xr:uid="{3CD89E18-812F-4494-8D64-87720DC4DB63}">
      <text>
        <r>
          <rPr>
            <b/>
            <sz val="13"/>
            <color indexed="81"/>
            <rFont val="Tahoma"/>
            <family val="2"/>
          </rPr>
          <t>ak:</t>
        </r>
        <r>
          <rPr>
            <sz val="13"/>
            <color indexed="81"/>
            <rFont val="Tahoma"/>
            <family val="2"/>
          </rPr>
          <t xml:space="preserve">
share of 2d sem FY in total FY from Dom Debt
</t>
        </r>
      </text>
    </comment>
    <comment ref="AJ175" authorId="0" shapeId="0" xr:uid="{A64EBFC5-370C-4D9F-BC81-3FC20D6A212A}">
      <text>
        <r>
          <rPr>
            <b/>
            <sz val="13"/>
            <color indexed="81"/>
            <rFont val="Tahoma"/>
            <family val="2"/>
          </rPr>
          <t>ak:</t>
        </r>
        <r>
          <rPr>
            <sz val="13"/>
            <color indexed="81"/>
            <rFont val="Tahoma"/>
            <family val="2"/>
          </rPr>
          <t xml:space="preserve">
share of 2d sem FY in total FY from Dom Debt
</t>
        </r>
      </text>
    </comment>
    <comment ref="AK175" authorId="0" shapeId="0" xr:uid="{3879299E-9241-46D9-BFEF-E167A3CC5099}">
      <text>
        <r>
          <rPr>
            <b/>
            <sz val="13"/>
            <color indexed="81"/>
            <rFont val="Tahoma"/>
            <family val="2"/>
          </rPr>
          <t>ak:</t>
        </r>
        <r>
          <rPr>
            <sz val="13"/>
            <color indexed="81"/>
            <rFont val="Tahoma"/>
            <family val="2"/>
          </rPr>
          <t xml:space="preserve">
share of 2d sem FY in total FY from Dom Debt
</t>
        </r>
      </text>
    </comment>
    <comment ref="AL175" authorId="0" shapeId="0" xr:uid="{BF3C2FED-F1EB-4E72-A85A-FC29143577D2}">
      <text>
        <r>
          <rPr>
            <b/>
            <sz val="13"/>
            <color indexed="81"/>
            <rFont val="Tahoma"/>
            <family val="2"/>
          </rPr>
          <t>ak:</t>
        </r>
        <r>
          <rPr>
            <sz val="13"/>
            <color indexed="81"/>
            <rFont val="Tahoma"/>
            <family val="2"/>
          </rPr>
          <t xml:space="preserve">
share of 2d sem FY in total FY from Dom Debt
</t>
        </r>
      </text>
    </comment>
    <comment ref="AM175" authorId="0" shapeId="0" xr:uid="{495C77B1-C6A3-48EF-AC7B-854D10DED0C5}">
      <text>
        <r>
          <rPr>
            <b/>
            <sz val="13"/>
            <color indexed="81"/>
            <rFont val="Tahoma"/>
            <family val="2"/>
          </rPr>
          <t>ak:</t>
        </r>
        <r>
          <rPr>
            <sz val="13"/>
            <color indexed="81"/>
            <rFont val="Tahoma"/>
            <family val="2"/>
          </rPr>
          <t xml:space="preserve">
share of 2d sem FY in total FY from Dom Debt
</t>
        </r>
      </text>
    </comment>
    <comment ref="AN175" authorId="0" shapeId="0" xr:uid="{C118761E-A4EC-4F71-A2A1-18F6CE1C60BD}">
      <text>
        <r>
          <rPr>
            <b/>
            <sz val="13"/>
            <color indexed="81"/>
            <rFont val="Tahoma"/>
            <family val="2"/>
          </rPr>
          <t>ak:</t>
        </r>
        <r>
          <rPr>
            <sz val="13"/>
            <color indexed="81"/>
            <rFont val="Tahoma"/>
            <family val="2"/>
          </rPr>
          <t xml:space="preserve">
share of 2d sem FY in total FY from Dom Debt
</t>
        </r>
      </text>
    </comment>
    <comment ref="AO175" authorId="0" shapeId="0" xr:uid="{9EC59455-A15C-4B93-9139-F00F41FB1B2A}">
      <text>
        <r>
          <rPr>
            <b/>
            <sz val="13"/>
            <color indexed="81"/>
            <rFont val="Tahoma"/>
            <family val="2"/>
          </rPr>
          <t>ak:</t>
        </r>
        <r>
          <rPr>
            <sz val="13"/>
            <color indexed="81"/>
            <rFont val="Tahoma"/>
            <family val="2"/>
          </rPr>
          <t xml:space="preserve">
share of 2d sem FY in total FY from Dom Debt
</t>
        </r>
      </text>
    </comment>
    <comment ref="AP175" authorId="0" shapeId="0" xr:uid="{6069302F-1B4F-42FA-AA0F-319BB3A6D069}">
      <text>
        <r>
          <rPr>
            <b/>
            <sz val="13"/>
            <color indexed="81"/>
            <rFont val="Tahoma"/>
            <family val="2"/>
          </rPr>
          <t>ak:</t>
        </r>
        <r>
          <rPr>
            <sz val="13"/>
            <color indexed="81"/>
            <rFont val="Tahoma"/>
            <family val="2"/>
          </rPr>
          <t xml:space="preserve">
share of 2d sem FY in total FY from Dom Debt
</t>
        </r>
      </text>
    </comment>
    <comment ref="AQ175" authorId="0" shapeId="0" xr:uid="{8DDDDDF3-FF43-485A-9639-CA56EB3C6DE4}">
      <text>
        <r>
          <rPr>
            <b/>
            <sz val="13"/>
            <color indexed="81"/>
            <rFont val="Tahoma"/>
            <family val="2"/>
          </rPr>
          <t>ak:</t>
        </r>
        <r>
          <rPr>
            <sz val="13"/>
            <color indexed="81"/>
            <rFont val="Tahoma"/>
            <family val="2"/>
          </rPr>
          <t xml:space="preserve">
share of 2d sem FY in total FY from Dom Debt
</t>
        </r>
      </text>
    </comment>
    <comment ref="AR175" authorId="0" shapeId="0" xr:uid="{3BA5B2E8-3C03-4481-A016-235AB6710C8C}">
      <text>
        <r>
          <rPr>
            <b/>
            <sz val="13"/>
            <color indexed="81"/>
            <rFont val="Tahoma"/>
            <family val="2"/>
          </rPr>
          <t>ak:</t>
        </r>
        <r>
          <rPr>
            <sz val="13"/>
            <color indexed="81"/>
            <rFont val="Tahoma"/>
            <family val="2"/>
          </rPr>
          <t xml:space="preserve">
share of 2d sem FY in total FY from Dom Debt
</t>
        </r>
      </text>
    </comment>
    <comment ref="AS175" authorId="0" shapeId="0" xr:uid="{66EC4F76-8DDE-4AA4-BADD-598C585F6080}">
      <text>
        <r>
          <rPr>
            <b/>
            <sz val="13"/>
            <color indexed="81"/>
            <rFont val="Tahoma"/>
            <family val="2"/>
          </rPr>
          <t>ak:</t>
        </r>
        <r>
          <rPr>
            <sz val="13"/>
            <color indexed="81"/>
            <rFont val="Tahoma"/>
            <family val="2"/>
          </rPr>
          <t xml:space="preserve">
share of 2d sem FY in total FY from Dom Debt
</t>
        </r>
      </text>
    </comment>
    <comment ref="AT175" authorId="0" shapeId="0" xr:uid="{DFBDE0EE-9403-4A22-9F89-F816905A5BD2}">
      <text>
        <r>
          <rPr>
            <b/>
            <sz val="13"/>
            <color indexed="81"/>
            <rFont val="Tahoma"/>
            <family val="2"/>
          </rPr>
          <t>ak:</t>
        </r>
        <r>
          <rPr>
            <sz val="13"/>
            <color indexed="81"/>
            <rFont val="Tahoma"/>
            <family val="2"/>
          </rPr>
          <t xml:space="preserve">
share of 2d sem FY in total FY from Dom Debt
</t>
        </r>
      </text>
    </comment>
    <comment ref="AK181" authorId="0" shapeId="0" xr:uid="{8C0A356F-E524-492F-8859-D7F872B64127}">
      <text>
        <r>
          <rPr>
            <b/>
            <sz val="11"/>
            <color indexed="81"/>
            <rFont val="Tahoma"/>
            <family val="2"/>
          </rPr>
          <t>ak: f</t>
        </r>
        <r>
          <rPr>
            <sz val="11"/>
            <color indexed="81"/>
            <rFont val="Tahoma"/>
            <family val="2"/>
          </rPr>
          <t>or now link to Dom Debt projection</t>
        </r>
        <r>
          <rPr>
            <sz val="13"/>
            <color indexed="81"/>
            <rFont val="Tahoma"/>
            <family val="2"/>
          </rPr>
          <t xml:space="preserve">
</t>
        </r>
      </text>
    </comment>
    <comment ref="AL181" authorId="0" shapeId="0" xr:uid="{E94541C9-F6EC-4945-B532-7DD2690D59ED}">
      <text>
        <r>
          <rPr>
            <b/>
            <sz val="11"/>
            <color indexed="81"/>
            <rFont val="Tahoma"/>
            <family val="2"/>
          </rPr>
          <t>ak: f</t>
        </r>
        <r>
          <rPr>
            <sz val="11"/>
            <color indexed="81"/>
            <rFont val="Tahoma"/>
            <family val="2"/>
          </rPr>
          <t>or now link to Dom Debt projection</t>
        </r>
        <r>
          <rPr>
            <sz val="13"/>
            <color indexed="81"/>
            <rFont val="Tahoma"/>
            <family val="2"/>
          </rPr>
          <t xml:space="preserve">
</t>
        </r>
      </text>
    </comment>
    <comment ref="AK183" authorId="0" shapeId="0" xr:uid="{6506F0C1-D220-43B7-B40A-59EF95ECCCBB}">
      <text>
        <r>
          <rPr>
            <b/>
            <sz val="13"/>
            <color indexed="81"/>
            <rFont val="Tahoma"/>
            <family val="2"/>
          </rPr>
          <t>ak:</t>
        </r>
        <r>
          <rPr>
            <sz val="13"/>
            <color indexed="81"/>
            <rFont val="Tahoma"/>
            <family val="2"/>
          </rPr>
          <t xml:space="preserve">
share of 2d sem FY in total FY from Dom Debt
</t>
        </r>
      </text>
    </comment>
    <comment ref="AB227" authorId="0" shapeId="0" xr:uid="{00000000-0006-0000-0100-000004000000}">
      <text>
        <r>
          <rPr>
            <b/>
            <sz val="9"/>
            <color rgb="FF000000"/>
            <rFont val="Tahoma"/>
            <family val="2"/>
          </rPr>
          <t>Author:</t>
        </r>
        <r>
          <rPr>
            <sz val="9"/>
            <color rgb="FF000000"/>
            <rFont val="Tahoma"/>
            <family val="2"/>
          </rPr>
          <t xml:space="preserve">
Goes to BOP - Formula changed because low investment deflator (NISR)</t>
        </r>
      </text>
    </comment>
    <comment ref="Y235" authorId="0" shapeId="0" xr:uid="{00000000-0006-0000-0100-000005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Y236" authorId="0" shapeId="0" xr:uid="{00000000-0006-0000-0100-000006000000}">
      <text>
        <r>
          <rPr>
            <b/>
            <sz val="9"/>
            <color rgb="FF000000"/>
            <rFont val="Tahoma"/>
            <family val="2"/>
          </rPr>
          <t>akouwenaar:</t>
        </r>
        <r>
          <rPr>
            <sz val="9"/>
            <color rgb="FF000000"/>
            <rFont val="Tahoma"/>
            <family val="2"/>
          </rPr>
          <t xml:space="preserve"> fr 2014: distinguish public and private investment for import content investm. Marked down with ratio direct/dir+indir imports
</t>
        </r>
      </text>
    </comment>
    <comment ref="AF259" authorId="0" shapeId="0" xr:uid="{00000000-0006-0000-0100-000007000000}">
      <text>
        <r>
          <rPr>
            <b/>
            <sz val="9"/>
            <color indexed="81"/>
            <rFont val="Tahoma"/>
            <family val="2"/>
          </rPr>
          <t>Author:</t>
        </r>
        <r>
          <rPr>
            <sz val="9"/>
            <color indexed="81"/>
            <rFont val="Tahoma"/>
            <family val="2"/>
          </rPr>
          <t xml:space="preserve">
Different to the last RCF2 figure</t>
        </r>
      </text>
    </comment>
    <comment ref="AG643" authorId="0" shapeId="0" xr:uid="{00000000-0006-0000-0100-000008000000}">
      <text>
        <r>
          <rPr>
            <b/>
            <sz val="9"/>
            <color indexed="81"/>
            <rFont val="Tahoma"/>
            <family val="2"/>
          </rPr>
          <t>Author:</t>
        </r>
        <r>
          <rPr>
            <sz val="9"/>
            <color indexed="81"/>
            <rFont val="Tahoma"/>
            <family val="2"/>
          </rPr>
          <t xml:space="preserve">
Following the new figure provided by IMF by 9th November 2021</t>
        </r>
      </text>
    </comment>
    <comment ref="AJ699" authorId="0" shapeId="0" xr:uid="{7ECEE743-7C1C-4EAD-A1BD-FD6C259422EC}">
      <text>
        <r>
          <rPr>
            <b/>
            <sz val="9"/>
            <color indexed="81"/>
            <rFont val="Tahoma"/>
            <family val="2"/>
          </rPr>
          <t>Author:</t>
        </r>
        <r>
          <rPr>
            <sz val="9"/>
            <color indexed="81"/>
            <rFont val="Tahoma"/>
            <family val="2"/>
          </rPr>
          <t xml:space="preserve">
O/W 51% (5.9ml usd) part of the Capital injection(ie a wash)</t>
        </r>
      </text>
    </comment>
    <comment ref="AK699" authorId="0" shapeId="0" xr:uid="{797C2E24-A9CB-4F0D-8755-1063433C2D50}">
      <text>
        <r>
          <rPr>
            <b/>
            <sz val="9"/>
            <color indexed="81"/>
            <rFont val="Tahoma"/>
            <family val="2"/>
          </rPr>
          <t>Author:</t>
        </r>
        <r>
          <rPr>
            <sz val="9"/>
            <color indexed="81"/>
            <rFont val="Tahoma"/>
            <family val="2"/>
          </rPr>
          <t xml:space="preserve">
Part of EUROBond Capital Injection In BAC
</t>
        </r>
      </text>
    </comment>
    <comment ref="AJ720" authorId="0" shapeId="0" xr:uid="{3F143DDA-FB86-4205-ADB2-4F86D5330422}">
      <text>
        <r>
          <rPr>
            <b/>
            <sz val="9"/>
            <color indexed="81"/>
            <rFont val="Tahoma"/>
            <family val="2"/>
          </rPr>
          <t>Author:</t>
        </r>
        <r>
          <rPr>
            <sz val="9"/>
            <color indexed="81"/>
            <rFont val="Tahoma"/>
            <family val="2"/>
          </rPr>
          <t xml:space="preserve">
grow with GDP
</t>
        </r>
      </text>
    </comment>
    <comment ref="AJ721" authorId="0" shapeId="0" xr:uid="{38D38DD9-3324-4DC4-BEF2-039D2336D084}">
      <text>
        <r>
          <rPr>
            <b/>
            <sz val="9"/>
            <color indexed="81"/>
            <rFont val="Tahoma"/>
            <family val="2"/>
          </rPr>
          <t>Author:</t>
        </r>
        <r>
          <rPr>
            <sz val="9"/>
            <color indexed="81"/>
            <rFont val="Tahoma"/>
            <family val="2"/>
          </rPr>
          <t xml:space="preserve">
grow with disbursement of project.</t>
        </r>
      </text>
    </comment>
    <comment ref="AC774" authorId="0" shapeId="0" xr:uid="{00000000-0006-0000-0100-000009000000}">
      <text>
        <r>
          <rPr>
            <b/>
            <sz val="9"/>
            <color indexed="81"/>
            <rFont val="Tahoma"/>
            <family val="2"/>
          </rPr>
          <t>Author:</t>
        </r>
        <r>
          <rPr>
            <sz val="9"/>
            <color indexed="81"/>
            <rFont val="Tahoma"/>
            <family val="2"/>
          </rPr>
          <t xml:space="preserve">
Keep the formula to get exfin data 2018-2021</t>
        </r>
      </text>
    </comment>
    <comment ref="AC780" authorId="0" shapeId="0" xr:uid="{00000000-0006-0000-0100-00000A000000}">
      <text>
        <r>
          <rPr>
            <b/>
            <sz val="9"/>
            <color indexed="81"/>
            <rFont val="Tahoma"/>
            <family val="2"/>
          </rPr>
          <t>Author:</t>
        </r>
        <r>
          <rPr>
            <sz val="9"/>
            <color indexed="81"/>
            <rFont val="Tahoma"/>
            <family val="2"/>
          </rPr>
          <t xml:space="preserve">
Keep the formula to get exfin data 2018-2021
</t>
        </r>
      </text>
    </comment>
    <comment ref="AE793" authorId="0" shapeId="0" xr:uid="{00000000-0006-0000-0100-00000B000000}">
      <text>
        <r>
          <rPr>
            <b/>
            <sz val="9"/>
            <color indexed="81"/>
            <rFont val="Tahoma"/>
            <family val="2"/>
          </rPr>
          <t>Author:</t>
        </r>
        <r>
          <rPr>
            <sz val="9"/>
            <color indexed="81"/>
            <rFont val="Tahoma"/>
            <family val="2"/>
          </rPr>
          <t xml:space="preserve">
RCF1 Plus additional health related 50 and Other expenditure:4</t>
        </r>
      </text>
    </comment>
    <comment ref="AN793" authorId="0" shapeId="0" xr:uid="{00000000-0006-0000-0100-00000C000000}">
      <text>
        <r>
          <rPr>
            <b/>
            <sz val="9"/>
            <color indexed="81"/>
            <rFont val="Tahoma"/>
            <family val="2"/>
          </rPr>
          <t>Author:</t>
        </r>
        <r>
          <rPr>
            <sz val="9"/>
            <color indexed="81"/>
            <rFont val="Tahoma"/>
            <family val="2"/>
          </rPr>
          <t xml:space="preserve">
RCF1 Plus additional health related 50 and Other expenditure:4</t>
        </r>
      </text>
    </comment>
    <comment ref="AG821" authorId="0" shapeId="0" xr:uid="{00000000-0006-0000-0100-00000D000000}">
      <text>
        <r>
          <rPr>
            <b/>
            <sz val="9"/>
            <color indexed="81"/>
            <rFont val="Tahoma"/>
            <family val="2"/>
          </rPr>
          <t>Author:</t>
        </r>
        <r>
          <rPr>
            <sz val="9"/>
            <color indexed="81"/>
            <rFont val="Tahoma"/>
            <family val="2"/>
          </rPr>
          <t xml:space="preserve">
Need to check for PKO amount in $</t>
        </r>
      </text>
    </comment>
    <comment ref="AH834" authorId="0" shapeId="0" xr:uid="{00000000-0006-0000-0100-00000E000000}">
      <text>
        <r>
          <rPr>
            <b/>
            <sz val="9"/>
            <color indexed="81"/>
            <rFont val="Tahoma"/>
            <family val="2"/>
          </rPr>
          <t>Author:</t>
        </r>
        <r>
          <rPr>
            <sz val="9"/>
            <color indexed="81"/>
            <rFont val="Tahoma"/>
            <family val="2"/>
          </rPr>
          <t xml:space="preserve">
High compared to the previous years and is mainly coming from projects loans.</t>
        </r>
      </text>
    </comment>
    <comment ref="AF851" authorId="0" shapeId="0" xr:uid="{00000000-0006-0000-0100-00000F000000}">
      <text>
        <r>
          <rPr>
            <b/>
            <sz val="9"/>
            <color indexed="81"/>
            <rFont val="Tahoma"/>
            <family val="2"/>
          </rPr>
          <t>Author:</t>
        </r>
        <r>
          <rPr>
            <sz val="9"/>
            <color indexed="81"/>
            <rFont val="Tahoma"/>
            <family val="2"/>
          </rPr>
          <t xml:space="preserve">
Including BRD Recapitalisation and BRD MaryHill</t>
        </r>
      </text>
    </comment>
    <comment ref="AF855" authorId="0" shapeId="0" xr:uid="{00000000-0006-0000-0100-000011000000}">
      <text>
        <r>
          <rPr>
            <b/>
            <sz val="9"/>
            <color indexed="81"/>
            <rFont val="Tahoma"/>
            <family val="2"/>
          </rPr>
          <t>Author:</t>
        </r>
        <r>
          <rPr>
            <sz val="9"/>
            <color indexed="81"/>
            <rFont val="Tahoma"/>
            <family val="2"/>
          </rPr>
          <t xml:space="preserve">
New figure given by Debt (Judith)</t>
        </r>
      </text>
    </comment>
    <comment ref="AF859" authorId="0" shapeId="0" xr:uid="{00000000-0006-0000-0100-000013000000}">
      <text>
        <r>
          <rPr>
            <b/>
            <sz val="9"/>
            <color indexed="81"/>
            <rFont val="Tahoma"/>
            <family val="2"/>
          </rPr>
          <t>Author:</t>
        </r>
        <r>
          <rPr>
            <sz val="9"/>
            <color indexed="81"/>
            <rFont val="Tahoma"/>
            <family val="2"/>
          </rPr>
          <t xml:space="preserve">
13.4 more</t>
        </r>
      </text>
    </comment>
    <comment ref="AE871" authorId="0" shapeId="0" xr:uid="{00000000-0006-0000-0100-000015000000}">
      <text>
        <r>
          <rPr>
            <b/>
            <sz val="9"/>
            <color indexed="81"/>
            <rFont val="Tahoma"/>
            <family val="2"/>
          </rPr>
          <t>Author:</t>
        </r>
        <r>
          <rPr>
            <sz val="9"/>
            <color indexed="81"/>
            <rFont val="Tahoma"/>
            <family val="2"/>
          </rPr>
          <t xml:space="preserve">
18 is additional to Rwandairdue toCOVID-19</t>
        </r>
      </text>
    </comment>
    <comment ref="AN871" authorId="0" shapeId="0" xr:uid="{00000000-0006-0000-0100-000016000000}">
      <text>
        <r>
          <rPr>
            <b/>
            <sz val="9"/>
            <color indexed="81"/>
            <rFont val="Tahoma"/>
            <family val="2"/>
          </rPr>
          <t>Author:</t>
        </r>
        <r>
          <rPr>
            <sz val="9"/>
            <color indexed="81"/>
            <rFont val="Tahoma"/>
            <family val="2"/>
          </rPr>
          <t xml:space="preserve">
18 is additional to Rwandairdue toCOVID-19</t>
        </r>
      </text>
    </comment>
    <comment ref="AE873" authorId="0" shapeId="0" xr:uid="{00000000-0006-0000-0100-000017000000}">
      <text>
        <r>
          <rPr>
            <b/>
            <sz val="9"/>
            <color indexed="81"/>
            <rFont val="Tahoma"/>
            <family val="2"/>
          </rPr>
          <t>Author:</t>
        </r>
        <r>
          <rPr>
            <sz val="9"/>
            <color indexed="81"/>
            <rFont val="Tahoma"/>
            <family val="2"/>
          </rPr>
          <t xml:space="preserve">
Additional 10 of VAT refund from Costing </t>
        </r>
      </text>
    </comment>
    <comment ref="AN873" authorId="0" shapeId="0" xr:uid="{00000000-0006-0000-0100-000018000000}">
      <text>
        <r>
          <rPr>
            <b/>
            <sz val="9"/>
            <color indexed="81"/>
            <rFont val="Tahoma"/>
            <family val="2"/>
          </rPr>
          <t>Author:</t>
        </r>
        <r>
          <rPr>
            <sz val="9"/>
            <color indexed="81"/>
            <rFont val="Tahoma"/>
            <family val="2"/>
          </rPr>
          <t xml:space="preserve">
Additional 10 of VAT refund from Costing </t>
        </r>
      </text>
    </comment>
    <comment ref="AC883" authorId="0" shapeId="0" xr:uid="{00000000-0006-0000-0100-000019000000}">
      <text>
        <r>
          <rPr>
            <b/>
            <sz val="9"/>
            <color indexed="81"/>
            <rFont val="Tahoma"/>
            <family val="2"/>
          </rPr>
          <t>Author:</t>
        </r>
        <r>
          <rPr>
            <sz val="9"/>
            <color indexed="81"/>
            <rFont val="Tahoma"/>
            <family val="2"/>
          </rPr>
          <t xml:space="preserve">
Keep the formula to get exfin data 2018-2021</t>
        </r>
      </text>
    </comment>
    <comment ref="AC894" authorId="0" shapeId="0" xr:uid="{00000000-0006-0000-0100-00001A000000}">
      <text>
        <r>
          <rPr>
            <b/>
            <sz val="9"/>
            <color indexed="81"/>
            <rFont val="Tahoma"/>
            <family val="2"/>
          </rPr>
          <t>Author:</t>
        </r>
        <r>
          <rPr>
            <sz val="9"/>
            <color indexed="81"/>
            <rFont val="Tahoma"/>
            <family val="2"/>
          </rPr>
          <t xml:space="preserve">
Keep the formula to get exfin data 2018-2021
</t>
        </r>
      </text>
    </comment>
    <comment ref="AJ1095" authorId="0" shapeId="0" xr:uid="{E8D286B6-C7E5-41B0-BBBA-1D3F423F326F}">
      <text>
        <r>
          <rPr>
            <b/>
            <sz val="9"/>
            <color indexed="81"/>
            <rFont val="Tahoma"/>
            <family val="2"/>
          </rPr>
          <t>Author:</t>
        </r>
        <r>
          <rPr>
            <sz val="9"/>
            <color indexed="81"/>
            <rFont val="Tahoma"/>
            <family val="2"/>
          </rPr>
          <t xml:space="preserve">
Amount in this category attributed to be from mining and royalties.</t>
        </r>
      </text>
    </comment>
    <comment ref="Z1145" authorId="0" shapeId="0" xr:uid="{00000000-0006-0000-0100-00001B000000}">
      <text>
        <r>
          <rPr>
            <b/>
            <sz val="9"/>
            <color indexed="81"/>
            <rFont val="Tahoma"/>
            <family val="2"/>
          </rPr>
          <t>Author:</t>
        </r>
        <r>
          <rPr>
            <sz val="9"/>
            <color indexed="81"/>
            <rFont val="Tahoma"/>
            <family val="2"/>
          </rPr>
          <t xml:space="preserve">
An of whichh item is higher than the total???!!</t>
        </r>
      </text>
    </comment>
    <comment ref="AG1146" authorId="0" shapeId="0" xr:uid="{00000000-0006-0000-0100-00001C000000}">
      <text>
        <r>
          <rPr>
            <b/>
            <sz val="9"/>
            <color indexed="81"/>
            <rFont val="Tahoma"/>
            <family val="2"/>
          </rPr>
          <t>Author:</t>
        </r>
        <r>
          <rPr>
            <sz val="9"/>
            <color indexed="81"/>
            <rFont val="Tahoma"/>
            <family val="2"/>
          </rPr>
          <t xml:space="preserve">
New PKO Revenues which added around FRW 20 Blns higher</t>
        </r>
      </text>
    </comment>
    <comment ref="AH1146" authorId="0" shapeId="0" xr:uid="{00000000-0006-0000-0100-00001D000000}">
      <text>
        <r>
          <rPr>
            <b/>
            <sz val="9"/>
            <color indexed="81"/>
            <rFont val="Tahoma"/>
            <family val="2"/>
          </rPr>
          <t>Author:</t>
        </r>
        <r>
          <rPr>
            <sz val="9"/>
            <color indexed="81"/>
            <rFont val="Tahoma"/>
            <family val="2"/>
          </rPr>
          <t xml:space="preserve">
Lower than what we had in PCI 6 due to lower depreciation of exchange rate than in PCI 6</t>
        </r>
      </text>
    </comment>
    <comment ref="AD1157" authorId="0" shapeId="0" xr:uid="{00000000-0006-0000-0100-000022000000}">
      <text>
        <r>
          <rPr>
            <b/>
            <sz val="9"/>
            <color indexed="81"/>
            <rFont val="Tahoma"/>
            <family val="2"/>
          </rPr>
          <t>Author:</t>
        </r>
        <r>
          <rPr>
            <sz val="9"/>
            <color indexed="81"/>
            <rFont val="Tahoma"/>
            <family val="2"/>
          </rPr>
          <t xml:space="preserve">
Why this decline?</t>
        </r>
      </text>
    </comment>
    <comment ref="AJ1157" authorId="0" shapeId="0" xr:uid="{E102DC11-3700-4521-873D-A24432503239}">
      <text>
        <r>
          <rPr>
            <b/>
            <sz val="9"/>
            <color indexed="81"/>
            <rFont val="Tahoma"/>
            <family val="2"/>
          </rPr>
          <t>Author:</t>
        </r>
        <r>
          <rPr>
            <sz val="9"/>
            <color indexed="81"/>
            <rFont val="Tahoma"/>
            <family val="2"/>
          </rPr>
          <t xml:space="preserve">
this 26 will be adjusted after getting MINADEF, OTP, NISS numbers.</t>
        </r>
      </text>
    </comment>
    <comment ref="AJ1160" authorId="0" shapeId="0" xr:uid="{059EE7BB-9AC2-4A44-A6F0-C146171AE1B9}">
      <text>
        <r>
          <rPr>
            <b/>
            <sz val="9"/>
            <color indexed="81"/>
            <rFont val="Tahoma"/>
            <family val="2"/>
          </rPr>
          <t xml:space="preserve">Swadiq ISHIMWE: </t>
        </r>
        <r>
          <rPr>
            <sz val="9"/>
            <color indexed="81"/>
            <rFont val="Tahoma"/>
            <family val="2"/>
          </rPr>
          <t>O/W 52 will be allocated to rwandair repayment of non debt liabilities.</t>
        </r>
      </text>
    </comment>
    <comment ref="AG1162" authorId="0" shapeId="0" xr:uid="{00000000-0006-0000-0100-000023000000}">
      <text>
        <r>
          <rPr>
            <b/>
            <sz val="9"/>
            <color indexed="81"/>
            <rFont val="Tahoma"/>
            <family val="2"/>
          </rPr>
          <t>Author:</t>
        </r>
        <r>
          <rPr>
            <sz val="9"/>
            <color indexed="81"/>
            <rFont val="Tahoma"/>
            <family val="2"/>
          </rPr>
          <t xml:space="preserve">
COVID vaccine more than projected and 22 more of other COVID spending higher than 11 projected,therefore 11 maintaiined for other possible COVID spending during January June period</t>
        </r>
      </text>
    </comment>
    <comment ref="AJ1189" authorId="0" shapeId="0" xr:uid="{7E19CD21-9EBD-44F7-B316-9DF4F11931E4}">
      <text>
        <r>
          <rPr>
            <b/>
            <sz val="9"/>
            <color indexed="81"/>
            <rFont val="Tahoma"/>
            <family val="2"/>
          </rPr>
          <t>Author:</t>
        </r>
        <r>
          <rPr>
            <sz val="9"/>
            <color indexed="81"/>
            <rFont val="Tahoma"/>
            <family val="2"/>
          </rPr>
          <t xml:space="preserve">
Include part of the restructured loan of 72mln usd external interest</t>
        </r>
      </text>
    </comment>
    <comment ref="AJ1191" authorId="0" shapeId="0" xr:uid="{BC6548AB-AD2E-4C50-AF21-D7EA1B647419}">
      <text>
        <r>
          <rPr>
            <b/>
            <sz val="9"/>
            <color indexed="81"/>
            <rFont val="Tahoma"/>
            <family val="2"/>
          </rPr>
          <t>Author:</t>
        </r>
        <r>
          <rPr>
            <sz val="9"/>
            <color indexed="81"/>
            <rFont val="Tahoma"/>
            <family val="2"/>
          </rPr>
          <t xml:space="preserve">
Include part of the restructured loan of 72mln usd external interest
</t>
        </r>
      </text>
    </comment>
    <comment ref="AJ1199" authorId="0" shapeId="0" xr:uid="{8AF08858-C9A3-47C2-88BD-9F6CEC42E174}">
      <text>
        <r>
          <rPr>
            <b/>
            <sz val="9"/>
            <color indexed="81"/>
            <rFont val="Tahoma"/>
            <family val="2"/>
          </rPr>
          <t>Author:</t>
        </r>
        <r>
          <rPr>
            <sz val="9"/>
            <color indexed="81"/>
            <rFont val="Tahoma"/>
            <family val="2"/>
          </rPr>
          <t xml:space="preserve">
New caoital injection of 90.5 USD Mln lower than previously capitured due to repayment</t>
        </r>
      </text>
    </comment>
    <comment ref="AK1199" authorId="0" shapeId="0" xr:uid="{5C16E2D0-4683-4C1F-8CF7-178F4A81C5F6}">
      <text>
        <r>
          <rPr>
            <b/>
            <sz val="9"/>
            <color indexed="81"/>
            <rFont val="Tahoma"/>
            <family val="2"/>
          </rPr>
          <t>Author:</t>
        </r>
        <r>
          <rPr>
            <sz val="9"/>
            <color indexed="81"/>
            <rFont val="Tahoma"/>
            <family val="2"/>
          </rPr>
          <t xml:space="preserve">
New capital injection amt tot to 279  USD Mln lower due to repayment same for the next FY's</t>
        </r>
      </text>
    </comment>
    <comment ref="AJ1202" authorId="0" shapeId="0" xr:uid="{3360DB48-2421-40F5-9D1E-EA2F83DDDC89}">
      <text>
        <r>
          <rPr>
            <b/>
            <sz val="9"/>
            <color indexed="81"/>
            <rFont val="Tahoma"/>
            <family val="2"/>
          </rPr>
          <t>Author:</t>
        </r>
        <r>
          <rPr>
            <sz val="9"/>
            <color indexed="81"/>
            <rFont val="Tahoma"/>
            <family val="2"/>
          </rPr>
          <t xml:space="preserve">
Loan Repayment of 147.3 USD Mln </t>
        </r>
      </text>
    </comment>
    <comment ref="AJ1212" authorId="0" shapeId="0" xr:uid="{FBA6BBAF-3DB7-4225-868B-5006703E4897}">
      <text>
        <r>
          <rPr>
            <b/>
            <sz val="9"/>
            <color indexed="81"/>
            <rFont val="Tahoma"/>
            <family val="2"/>
          </rPr>
          <t>Author:</t>
        </r>
        <r>
          <rPr>
            <sz val="9"/>
            <color indexed="81"/>
            <rFont val="Tahoma"/>
            <family val="2"/>
          </rPr>
          <t xml:space="preserve">
5.9 one of Marbug Response which was transferred to dvpt.</t>
        </r>
      </text>
    </comment>
    <comment ref="AG1229" authorId="0" shapeId="0" xr:uid="{00000000-0006-0000-0100-000024000000}">
      <text>
        <r>
          <rPr>
            <b/>
            <sz val="9"/>
            <color indexed="81"/>
            <rFont val="Tahoma"/>
            <family val="2"/>
          </rPr>
          <t>Author:</t>
        </r>
        <r>
          <rPr>
            <sz val="9"/>
            <color indexed="81"/>
            <rFont val="Tahoma"/>
            <family val="2"/>
          </rPr>
          <t xml:space="preserve">
$ 71.52 Mln of vaccine and (125lloans+25grants) of ERF are removed to be reclassified under use of goods and services for vaccine and under domestic financial assest/loan for ERF</t>
        </r>
      </text>
    </comment>
    <comment ref="AI1229" authorId="0" shapeId="0" xr:uid="{00000000-0006-0000-0100-000025000000}">
      <text>
        <r>
          <rPr>
            <b/>
            <sz val="9"/>
            <color indexed="81"/>
            <rFont val="Tahoma"/>
            <family val="2"/>
          </rPr>
          <t>Author:</t>
        </r>
        <r>
          <rPr>
            <sz val="9"/>
            <color indexed="81"/>
            <rFont val="Tahoma"/>
            <family val="2"/>
          </rPr>
          <t xml:space="preserve">
This amount includes $32.5Mln of ERF grant compnent</t>
        </r>
      </text>
    </comment>
    <comment ref="AR1229" authorId="0" shapeId="0" xr:uid="{31E066B8-A8C6-42B4-9B5D-DDE15EF9F92E}">
      <text>
        <r>
          <rPr>
            <b/>
            <sz val="9"/>
            <color indexed="81"/>
            <rFont val="Tahoma"/>
            <family val="2"/>
          </rPr>
          <t>Author:</t>
        </r>
        <r>
          <rPr>
            <sz val="9"/>
            <color indexed="81"/>
            <rFont val="Tahoma"/>
            <family val="2"/>
          </rPr>
          <t xml:space="preserve">
This amount includes $32.5Mln of ERF grant compnent</t>
        </r>
      </text>
    </comment>
    <comment ref="AG1230" authorId="0" shapeId="0" xr:uid="{00000000-0006-0000-0100-000026000000}">
      <text>
        <r>
          <rPr>
            <b/>
            <sz val="9"/>
            <color indexed="81"/>
            <rFont val="Tahoma"/>
            <family val="2"/>
          </rPr>
          <t>Author:</t>
        </r>
        <r>
          <rPr>
            <sz val="9"/>
            <color indexed="81"/>
            <rFont val="Tahoma"/>
            <family val="2"/>
          </rPr>
          <t xml:space="preserve">
Externally financed Social protection</t>
        </r>
      </text>
    </comment>
    <comment ref="AG1233" authorId="0" shapeId="0" xr:uid="{00000000-0006-0000-0100-000027000000}">
      <text>
        <r>
          <rPr>
            <b/>
            <sz val="9"/>
            <color indexed="81"/>
            <rFont val="Tahoma"/>
            <family val="2"/>
          </rPr>
          <t>Author:</t>
        </r>
        <r>
          <rPr>
            <sz val="9"/>
            <color indexed="81"/>
            <rFont val="Tahoma"/>
            <family val="2"/>
          </rPr>
          <t xml:space="preserve">
This amount include 20.9 of the NISS building and exclude 55 of Gako beef and other integrated investment projects</t>
        </r>
      </text>
    </comment>
    <comment ref="D1241" authorId="0" shapeId="0" xr:uid="{00000000-0006-0000-0100-000028000000}">
      <text>
        <r>
          <rPr>
            <b/>
            <sz val="9"/>
            <color indexed="81"/>
            <rFont val="Tahoma"/>
            <family val="2"/>
          </rPr>
          <t>Author:</t>
        </r>
        <r>
          <rPr>
            <sz val="9"/>
            <color indexed="81"/>
            <rFont val="Tahoma"/>
            <family val="2"/>
          </rPr>
          <t xml:space="preserve">
Strategic reserve (purchase)</t>
        </r>
      </text>
    </comment>
    <comment ref="D1271" authorId="0" shapeId="0" xr:uid="{00000000-0006-0000-0100-000029000000}">
      <text>
        <r>
          <rPr>
            <b/>
            <sz val="9"/>
            <color indexed="81"/>
            <rFont val="Tahoma"/>
            <family val="2"/>
          </rPr>
          <t>Author:</t>
        </r>
        <r>
          <rPr>
            <sz val="9"/>
            <color indexed="81"/>
            <rFont val="Tahoma"/>
            <family val="2"/>
          </rPr>
          <t xml:space="preserve">
To be used when cleaning E&amp;O</t>
        </r>
      </text>
    </comment>
    <comment ref="AF1288" authorId="0" shapeId="0" xr:uid="{00000000-0006-0000-0100-00002A000000}">
      <text>
        <r>
          <rPr>
            <b/>
            <sz val="9"/>
            <color indexed="81"/>
            <rFont val="Tahoma"/>
            <family val="2"/>
          </rPr>
          <t>Author:</t>
        </r>
        <r>
          <rPr>
            <sz val="9"/>
            <color indexed="81"/>
            <rFont val="Tahoma"/>
            <family val="2"/>
          </rPr>
          <t xml:space="preserve">
Policy lending</t>
        </r>
      </text>
    </comment>
    <comment ref="AF1289" authorId="0" shapeId="0" xr:uid="{00000000-0006-0000-0100-00002B000000}">
      <text>
        <r>
          <rPr>
            <b/>
            <sz val="9"/>
            <color indexed="81"/>
            <rFont val="Tahoma"/>
            <family val="2"/>
          </rPr>
          <t>Author:</t>
        </r>
        <r>
          <rPr>
            <sz val="9"/>
            <color indexed="81"/>
            <rFont val="Tahoma"/>
            <family val="2"/>
          </rPr>
          <t xml:space="preserve">
The revised figure to replace existed 16.0, added 139 of the recognized debt guarantee </t>
        </r>
      </text>
    </comment>
    <comment ref="AF1300" authorId="0" shapeId="0" xr:uid="{00000000-0006-0000-0100-00002C000000}">
      <text>
        <r>
          <rPr>
            <b/>
            <sz val="9"/>
            <color indexed="81"/>
            <rFont val="Tahoma"/>
            <family val="2"/>
          </rPr>
          <t>Author:</t>
        </r>
        <r>
          <rPr>
            <sz val="9"/>
            <color indexed="81"/>
            <rFont val="Tahoma"/>
            <family val="2"/>
          </rPr>
          <t xml:space="preserve">
BRD Recapitalization</t>
        </r>
      </text>
    </comment>
    <comment ref="AJ1303" authorId="0" shapeId="0" xr:uid="{D4E41E90-3FBF-4A09-B50A-A6432B4B6880}">
      <text>
        <r>
          <rPr>
            <b/>
            <sz val="9"/>
            <color indexed="81"/>
            <rFont val="Tahoma"/>
            <family val="2"/>
          </rPr>
          <t>Author:</t>
        </r>
        <r>
          <rPr>
            <sz val="9"/>
            <color indexed="81"/>
            <rFont val="Tahoma"/>
            <family val="2"/>
          </rPr>
          <t xml:space="preserve">
Minus money paid by Qatar for Euro bond loan repaiement</t>
        </r>
      </text>
    </comment>
    <comment ref="AF1330" authorId="0" shapeId="0" xr:uid="{00000000-0006-0000-0100-00002D000000}">
      <text>
        <r>
          <rPr>
            <b/>
            <sz val="9"/>
            <color indexed="81"/>
            <rFont val="Tahoma"/>
            <family val="2"/>
          </rPr>
          <t>Author:</t>
        </r>
        <r>
          <rPr>
            <sz val="9"/>
            <color indexed="81"/>
            <rFont val="Tahoma"/>
            <family val="2"/>
          </rPr>
          <t xml:space="preserve">
Debt to inform about their issuance plan to Non-Bank</t>
        </r>
      </text>
    </comment>
    <comment ref="AJ1334" authorId="0" shapeId="0" xr:uid="{67589B5D-7DF9-4FB9-A161-5A75A3D7639E}">
      <text>
        <r>
          <rPr>
            <b/>
            <sz val="9"/>
            <color indexed="81"/>
            <rFont val="Tahoma"/>
            <family val="2"/>
          </rPr>
          <t>Author:</t>
        </r>
        <r>
          <rPr>
            <sz val="9"/>
            <color indexed="81"/>
            <rFont val="Tahoma"/>
            <family val="2"/>
          </rPr>
          <t xml:space="preserve">
Include repayment of 72mln loan rdair principal domestic
</t>
        </r>
      </text>
    </comment>
    <comment ref="AG1337" authorId="0" shapeId="0" xr:uid="{00000000-0006-0000-0100-00002E000000}">
      <text>
        <r>
          <rPr>
            <b/>
            <sz val="9"/>
            <color indexed="81"/>
            <rFont val="Tahoma"/>
            <family val="2"/>
          </rPr>
          <t>Author:</t>
        </r>
        <r>
          <rPr>
            <sz val="9"/>
            <color indexed="81"/>
            <rFont val="Tahoma"/>
            <family val="2"/>
          </rPr>
          <t xml:space="preserve">
 7.8 of Marriott &amp; BK 
domestic debt repayment </t>
        </r>
      </text>
    </comment>
    <comment ref="AH1337" authorId="0" shapeId="0" xr:uid="{00000000-0006-0000-0100-00002F000000}">
      <text>
        <r>
          <rPr>
            <b/>
            <sz val="9"/>
            <color indexed="81"/>
            <rFont val="Tahoma"/>
            <family val="2"/>
          </rPr>
          <t>Author:</t>
        </r>
        <r>
          <rPr>
            <sz val="9"/>
            <color indexed="81"/>
            <rFont val="Tahoma"/>
            <family val="2"/>
          </rPr>
          <t xml:space="preserve">
Principal payment for BK &amp; Equity Bank bond</t>
        </r>
      </text>
    </comment>
    <comment ref="AK1338" authorId="0" shapeId="0" xr:uid="{DEC6AE44-063B-46A3-9794-9C42AA1787EB}">
      <text>
        <r>
          <rPr>
            <b/>
            <sz val="9"/>
            <color indexed="81"/>
            <rFont val="Tahoma"/>
            <family val="2"/>
          </rPr>
          <t>Author:</t>
        </r>
        <r>
          <rPr>
            <sz val="9"/>
            <color indexed="81"/>
            <rFont val="Tahoma"/>
            <family val="2"/>
          </rPr>
          <t xml:space="preserve">
Bridge Loan 50 Mln USD from Equity.</t>
        </r>
      </text>
    </comment>
    <comment ref="AG1339" authorId="0" shapeId="0" xr:uid="{00000000-0006-0000-0100-000030000000}">
      <text>
        <r>
          <rPr>
            <b/>
            <sz val="9"/>
            <color indexed="81"/>
            <rFont val="Tahoma"/>
            <family val="2"/>
          </rPr>
          <t>Author:</t>
        </r>
        <r>
          <rPr>
            <sz val="9"/>
            <color indexed="81"/>
            <rFont val="Tahoma"/>
            <family val="2"/>
          </rPr>
          <t xml:space="preserve">
It includes SONARWA</t>
        </r>
      </text>
    </comment>
    <comment ref="AI1339" authorId="0" shapeId="0" xr:uid="{69A960D2-763F-4FCC-A405-94CE398ED3D1}">
      <text>
        <r>
          <rPr>
            <b/>
            <sz val="9"/>
            <color indexed="81"/>
            <rFont val="Tahoma"/>
            <family val="2"/>
          </rPr>
          <t>Author:</t>
        </r>
        <r>
          <rPr>
            <sz val="9"/>
            <color indexed="81"/>
            <rFont val="Tahoma"/>
            <family val="2"/>
          </rPr>
          <t xml:space="preserve">
This category includes SONARWA part under net lending</t>
        </r>
      </text>
    </comment>
    <comment ref="AJ1363" authorId="0" shapeId="0" xr:uid="{B2B34FE7-236A-449D-A3B1-5F09837907D2}">
      <text>
        <r>
          <rPr>
            <b/>
            <sz val="9"/>
            <color indexed="81"/>
            <rFont val="Tahoma"/>
            <family val="2"/>
          </rPr>
          <t>Author:</t>
        </r>
        <r>
          <rPr>
            <sz val="9"/>
            <color indexed="81"/>
            <rFont val="Tahoma"/>
            <family val="2"/>
          </rPr>
          <t xml:space="preserve">
Include part of the restructured loan of 72mln usd external principal</t>
        </r>
      </text>
    </comment>
    <comment ref="AJ1365" authorId="0" shapeId="0" xr:uid="{157B743C-C9E2-44C5-B736-4FEC5A0CE627}">
      <text>
        <r>
          <rPr>
            <b/>
            <sz val="9"/>
            <color indexed="81"/>
            <rFont val="Tahoma"/>
            <family val="2"/>
          </rPr>
          <t>Author:</t>
        </r>
        <r>
          <rPr>
            <sz val="9"/>
            <color indexed="81"/>
            <rFont val="Tahoma"/>
            <family val="2"/>
          </rPr>
          <t xml:space="preserve">
Include part of the restructured loan of 72mln usd external principal
</t>
        </r>
      </text>
    </comment>
    <comment ref="D1646" authorId="0" shapeId="0" xr:uid="{00000000-0006-0000-0100-000031000000}">
      <text>
        <r>
          <rPr>
            <b/>
            <sz val="9"/>
            <color indexed="81"/>
            <rFont val="Tahoma"/>
            <family val="2"/>
          </rPr>
          <t>Author:</t>
        </r>
        <r>
          <rPr>
            <sz val="9"/>
            <color indexed="81"/>
            <rFont val="Tahoma"/>
            <family val="2"/>
          </rPr>
          <t xml:space="preserve">
including compensation of employees transferred to otherlevel of government as grants</t>
        </r>
      </text>
    </comment>
    <comment ref="AE1887" authorId="0" shapeId="0" xr:uid="{00000000-0006-0000-0100-000032000000}">
      <text>
        <r>
          <rPr>
            <b/>
            <sz val="9"/>
            <color indexed="81"/>
            <rFont val="Tahoma"/>
            <family val="2"/>
          </rPr>
          <t>Author:</t>
        </r>
        <r>
          <rPr>
            <sz val="9"/>
            <color indexed="81"/>
            <rFont val="Tahoma"/>
            <family val="2"/>
          </rPr>
          <t xml:space="preserve">
Fiscal in-year has 10 bln error in fiscal balance GFS 204 as it has -741 in stead of -731</t>
        </r>
      </text>
    </comment>
    <comment ref="AE1894" authorId="0" shapeId="0" xr:uid="{00000000-0006-0000-0100-000033000000}">
      <text>
        <r>
          <rPr>
            <b/>
            <sz val="9"/>
            <color indexed="81"/>
            <rFont val="Tahoma"/>
            <family val="2"/>
          </rPr>
          <t>Author:</t>
        </r>
        <r>
          <rPr>
            <sz val="9"/>
            <color indexed="81"/>
            <rFont val="Tahoma"/>
            <family val="2"/>
          </rPr>
          <t xml:space="preserve">
Fiscal inyear has 10 bln error in fiscal balance</t>
        </r>
      </text>
    </comment>
    <comment ref="C1942" authorId="0" shapeId="0" xr:uid="{9FE1951C-4BFC-458F-9C4E-67EFD09AB79B}">
      <text>
        <r>
          <rPr>
            <b/>
            <sz val="9"/>
            <color indexed="81"/>
            <rFont val="Tahoma"/>
            <family val="2"/>
          </rPr>
          <t>Author:</t>
        </r>
        <r>
          <rPr>
            <sz val="9"/>
            <color indexed="81"/>
            <rFont val="Tahoma"/>
            <family val="2"/>
          </rPr>
          <t xml:space="preserve">
Drawn from the project and ministries account balances in BNR.</t>
        </r>
      </text>
    </comment>
    <comment ref="AF1942" authorId="0" shapeId="0" xr:uid="{5580329E-8DFE-4FEC-B466-A51F82C400C8}">
      <text>
        <r>
          <rPr>
            <b/>
            <sz val="13"/>
            <color indexed="81"/>
            <rFont val="Tahoma"/>
            <family val="2"/>
          </rPr>
          <t>Author:</t>
        </r>
        <r>
          <rPr>
            <sz val="13"/>
            <color indexed="81"/>
            <rFont val="Tahoma"/>
            <family val="2"/>
          </rPr>
          <t xml:space="preserve">
this should be zero, but grants don’t add up for EBU+LG;for LG spending does not add up</t>
        </r>
      </text>
    </comment>
    <comment ref="AE1970" authorId="0" shapeId="0" xr:uid="{B9C50328-E64D-4389-9525-FF1E9D1C6F1C}">
      <text>
        <r>
          <rPr>
            <b/>
            <sz val="13"/>
            <color indexed="81"/>
            <rFont val="Tahoma"/>
            <family val="2"/>
          </rPr>
          <t>Author:</t>
        </r>
        <r>
          <rPr>
            <sz val="13"/>
            <color indexed="81"/>
            <rFont val="Tahoma"/>
            <family val="2"/>
          </rPr>
          <t xml:space="preserve">
inconistencies in in-year (sums don’t add up to components)</t>
        </r>
      </text>
    </comment>
    <comment ref="AF1970" authorId="0" shapeId="0" xr:uid="{DB1D5EF1-BB8D-46FF-ABE2-A981AD178BCD}">
      <text>
        <r>
          <rPr>
            <b/>
            <sz val="13"/>
            <color indexed="81"/>
            <rFont val="Tahoma"/>
            <family val="2"/>
          </rPr>
          <t>Author:</t>
        </r>
        <r>
          <rPr>
            <sz val="13"/>
            <color indexed="81"/>
            <rFont val="Tahoma"/>
            <family val="2"/>
          </rPr>
          <t xml:space="preserve">
inconistencies in in-year (sums don’t add up to components)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D165" authorId="0" shapeId="0" xr:uid="{7F778CB5-96A2-4642-9B68-36184EFA46EC}">
      <text>
        <r>
          <rPr>
            <b/>
            <sz val="9"/>
            <color indexed="81"/>
            <rFont val="Tahoma"/>
            <family val="2"/>
          </rPr>
          <t>Author:</t>
        </r>
        <r>
          <rPr>
            <sz val="9"/>
            <color indexed="81"/>
            <rFont val="Tahoma"/>
            <family val="2"/>
          </rPr>
          <t xml:space="preserve">
All with green coulor is picked from Tab-1 in Fiscal source as given</t>
        </r>
      </text>
    </comment>
    <comment ref="ED168" authorId="0" shapeId="0" xr:uid="{00000000-0006-0000-0200-000001000000}">
      <text>
        <r>
          <rPr>
            <b/>
            <sz val="9"/>
            <color indexed="81"/>
            <rFont val="Tahoma"/>
            <family val="2"/>
          </rPr>
          <t>Author:</t>
        </r>
        <r>
          <rPr>
            <sz val="9"/>
            <color indexed="81"/>
            <rFont val="Tahoma"/>
            <family val="2"/>
          </rPr>
          <t xml:space="preserve">
All with green coulor is picked from Tab-1 in Fiscal source as given</t>
        </r>
      </text>
    </comment>
    <comment ref="D257" authorId="0" shapeId="0" xr:uid="{00000000-0006-0000-0200-000002000000}">
      <text>
        <r>
          <rPr>
            <b/>
            <sz val="9"/>
            <color indexed="81"/>
            <rFont val="Tahoma"/>
            <family val="2"/>
          </rPr>
          <t>Author:</t>
        </r>
        <r>
          <rPr>
            <sz val="9"/>
            <color indexed="81"/>
            <rFont val="Tahoma"/>
            <family val="2"/>
          </rPr>
          <t xml:space="preserve">
This item is added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A323" authorId="0" shapeId="0" xr:uid="{00000000-0006-0000-0200-000003000000}">
      <text>
        <r>
          <rPr>
            <b/>
            <sz val="9"/>
            <color indexed="81"/>
            <rFont val="Tahoma"/>
            <family val="2"/>
          </rPr>
          <t>Author:</t>
        </r>
        <r>
          <rPr>
            <sz val="9"/>
            <color indexed="81"/>
            <rFont val="Tahoma"/>
            <family val="2"/>
          </rPr>
          <t xml:space="preserve">
This is a new block added due to new domestic debt interest as recorded in Fiscal source </t>
        </r>
      </text>
    </comment>
    <comment ref="D333" authorId="0" shapeId="0" xr:uid="{00000000-0006-0000-0200-000004000000}">
      <text>
        <r>
          <rPr>
            <b/>
            <sz val="9"/>
            <color indexed="81"/>
            <rFont val="Tahoma"/>
            <family val="2"/>
          </rPr>
          <t>Author:</t>
        </r>
        <r>
          <rPr>
            <sz val="9"/>
            <color indexed="81"/>
            <rFont val="Tahoma"/>
            <family val="2"/>
          </rPr>
          <t xml:space="preserve">
Used for external interest payment when interest due is not available.</t>
        </r>
      </text>
    </comment>
    <comment ref="D343" authorId="0" shapeId="0" xr:uid="{9B7D7781-81CE-4C87-A8B5-AEAFDEFAE30B}">
      <text>
        <r>
          <rPr>
            <b/>
            <sz val="9"/>
            <color indexed="81"/>
            <rFont val="Tahoma"/>
            <family val="2"/>
          </rPr>
          <t>Author:</t>
        </r>
        <r>
          <rPr>
            <sz val="9"/>
            <color indexed="81"/>
            <rFont val="Tahoma"/>
            <family val="2"/>
          </rPr>
          <t xml:space="preserve">
For Projection Purpose.</t>
        </r>
      </text>
    </comment>
    <comment ref="GT437" authorId="0" shapeId="0" xr:uid="{00000000-0006-0000-0200-000005000000}">
      <text>
        <r>
          <rPr>
            <b/>
            <sz val="9"/>
            <color indexed="81"/>
            <rFont val="Tahoma"/>
            <family val="2"/>
          </rPr>
          <t>Author:</t>
        </r>
        <r>
          <rPr>
            <sz val="9"/>
            <color indexed="81"/>
            <rFont val="Tahoma"/>
            <family val="2"/>
          </rPr>
          <t xml:space="preserve">
This amount contain FRW 28 billion from RURA</t>
        </r>
      </text>
    </comment>
    <comment ref="EM626" authorId="0" shapeId="0" xr:uid="{00000000-0006-0000-0200-000006000000}">
      <text>
        <r>
          <rPr>
            <b/>
            <sz val="9"/>
            <color indexed="81"/>
            <rFont val="Tahoma"/>
            <family val="2"/>
          </rPr>
          <t>Author:</t>
        </r>
        <r>
          <rPr>
            <sz val="9"/>
            <color indexed="81"/>
            <rFont val="Tahoma"/>
            <family val="2"/>
          </rPr>
          <t xml:space="preserve">
From this data,This item source is changed due to the fact that the assumption of what is disbursed is spent is no longer valid. Sometimes, what is spent is different to what was disbursed. Therefore, instead of taking this amount in BNR Forex source, it will be taken here from IFMIS Ordonnancement as recorded in OTR account.</t>
        </r>
      </text>
    </comment>
    <comment ref="IZ848" authorId="0" shapeId="0" xr:uid="{00000000-0006-0000-0200-000007000000}">
      <text>
        <r>
          <rPr>
            <b/>
            <sz val="9"/>
            <color indexed="81"/>
            <rFont val="Tahoma"/>
            <family val="2"/>
          </rPr>
          <t>Author:</t>
        </r>
        <r>
          <rPr>
            <sz val="9"/>
            <color indexed="81"/>
            <rFont val="Tahoma"/>
            <family val="2"/>
          </rPr>
          <t xml:space="preserve">
Actual disbursed</t>
        </r>
      </text>
    </comment>
    <comment ref="GI876" authorId="0" shapeId="0" xr:uid="{00000000-0006-0000-0200-000008000000}">
      <text>
        <r>
          <rPr>
            <b/>
            <sz val="9"/>
            <color indexed="81"/>
            <rFont val="Tahoma"/>
            <family val="2"/>
          </rPr>
          <t>Author:</t>
        </r>
        <r>
          <rPr>
            <sz val="9"/>
            <color indexed="81"/>
            <rFont val="Tahoma"/>
            <family val="2"/>
          </rPr>
          <t xml:space="preserve">
Real monthly data to be requested from DMDG</t>
        </r>
      </text>
    </comment>
    <comment ref="GI903" authorId="0" shapeId="0" xr:uid="{00000000-0006-0000-0200-000009000000}">
      <text>
        <r>
          <rPr>
            <b/>
            <sz val="9"/>
            <color indexed="81"/>
            <rFont val="Tahoma"/>
            <family val="2"/>
          </rPr>
          <t>Author:</t>
        </r>
        <r>
          <rPr>
            <sz val="9"/>
            <color indexed="81"/>
            <rFont val="Tahoma"/>
            <family val="2"/>
          </rPr>
          <t xml:space="preserve">
Need to be adjusted as per the IFMIS new data</t>
        </r>
      </text>
    </comment>
    <comment ref="GI912" authorId="0" shapeId="0" xr:uid="{00000000-0006-0000-0200-00000A000000}">
      <text>
        <r>
          <rPr>
            <b/>
            <sz val="9"/>
            <color indexed="81"/>
            <rFont val="Tahoma"/>
            <family val="2"/>
          </rPr>
          <t>Author:</t>
        </r>
        <r>
          <rPr>
            <sz val="9"/>
            <color indexed="81"/>
            <rFont val="Tahoma"/>
            <family val="2"/>
          </rPr>
          <t xml:space="preserve">
Need to be adjusted based on IFMIS new data</t>
        </r>
      </text>
    </comment>
    <comment ref="EY1237" authorId="0" shapeId="0" xr:uid="{00000000-0006-0000-0200-00000B000000}">
      <text>
        <r>
          <rPr>
            <b/>
            <sz val="9"/>
            <color indexed="81"/>
            <rFont val="Tahoma"/>
            <family val="2"/>
          </rPr>
          <t>Author:</t>
        </r>
        <r>
          <rPr>
            <sz val="9"/>
            <color indexed="81"/>
            <rFont val="Tahoma"/>
            <family val="2"/>
          </rPr>
          <t xml:space="preserve">
other revenue and SocSec contributions</t>
        </r>
      </text>
    </comment>
    <comment ref="EZ1237" authorId="0" shapeId="0" xr:uid="{00000000-0006-0000-0200-00000C000000}">
      <text>
        <r>
          <rPr>
            <b/>
            <sz val="9"/>
            <color indexed="81"/>
            <rFont val="Tahoma"/>
            <family val="2"/>
          </rPr>
          <t>Author:</t>
        </r>
        <r>
          <rPr>
            <sz val="9"/>
            <color indexed="81"/>
            <rFont val="Tahoma"/>
            <family val="2"/>
          </rPr>
          <t xml:space="preserve">
other revenue and SocSec contributions</t>
        </r>
      </text>
    </comment>
    <comment ref="FA1237" authorId="0" shapeId="0" xr:uid="{00000000-0006-0000-0200-00000D000000}">
      <text>
        <r>
          <rPr>
            <b/>
            <sz val="9"/>
            <color indexed="81"/>
            <rFont val="Tahoma"/>
            <family val="2"/>
          </rPr>
          <t>Author:</t>
        </r>
        <r>
          <rPr>
            <sz val="9"/>
            <color indexed="81"/>
            <rFont val="Tahoma"/>
            <family val="2"/>
          </rPr>
          <t xml:space="preserve">
other revenue and SocSec contributions</t>
        </r>
      </text>
    </comment>
    <comment ref="FB1237" authorId="0" shapeId="0" xr:uid="{00000000-0006-0000-0200-00000E000000}">
      <text>
        <r>
          <rPr>
            <b/>
            <sz val="9"/>
            <color indexed="81"/>
            <rFont val="Tahoma"/>
            <family val="2"/>
          </rPr>
          <t>Author:</t>
        </r>
        <r>
          <rPr>
            <sz val="9"/>
            <color indexed="81"/>
            <rFont val="Tahoma"/>
            <family val="2"/>
          </rPr>
          <t xml:space="preserve">
other revenue and SocSec contributions</t>
        </r>
      </text>
    </comment>
    <comment ref="FC1237" authorId="0" shapeId="0" xr:uid="{00000000-0006-0000-0200-00000F000000}">
      <text>
        <r>
          <rPr>
            <b/>
            <sz val="9"/>
            <color indexed="81"/>
            <rFont val="Tahoma"/>
            <family val="2"/>
          </rPr>
          <t>Author:</t>
        </r>
        <r>
          <rPr>
            <sz val="9"/>
            <color indexed="81"/>
            <rFont val="Tahoma"/>
            <family val="2"/>
          </rPr>
          <t xml:space="preserve">
other revenue and SocSec contributions</t>
        </r>
      </text>
    </comment>
    <comment ref="FD1237" authorId="0" shapeId="0" xr:uid="{00000000-0006-0000-0200-000010000000}">
      <text>
        <r>
          <rPr>
            <b/>
            <sz val="9"/>
            <color indexed="81"/>
            <rFont val="Tahoma"/>
            <family val="2"/>
          </rPr>
          <t>Author:</t>
        </r>
        <r>
          <rPr>
            <sz val="9"/>
            <color indexed="81"/>
            <rFont val="Tahoma"/>
            <family val="2"/>
          </rPr>
          <t xml:space="preserve">
other revenue and SocSec contributions</t>
        </r>
      </text>
    </comment>
    <comment ref="FE1237" authorId="0" shapeId="0" xr:uid="{00000000-0006-0000-0200-000011000000}">
      <text>
        <r>
          <rPr>
            <b/>
            <sz val="9"/>
            <color indexed="81"/>
            <rFont val="Tahoma"/>
            <family val="2"/>
          </rPr>
          <t>Author:</t>
        </r>
        <r>
          <rPr>
            <sz val="9"/>
            <color indexed="81"/>
            <rFont val="Tahoma"/>
            <family val="2"/>
          </rPr>
          <t xml:space="preserve">
other revenue and SocSec contributions</t>
        </r>
      </text>
    </comment>
    <comment ref="FF1237" authorId="0" shapeId="0" xr:uid="{00000000-0006-0000-0200-000012000000}">
      <text>
        <r>
          <rPr>
            <b/>
            <sz val="9"/>
            <color indexed="81"/>
            <rFont val="Tahoma"/>
            <family val="2"/>
          </rPr>
          <t>Author:</t>
        </r>
        <r>
          <rPr>
            <sz val="9"/>
            <color indexed="81"/>
            <rFont val="Tahoma"/>
            <family val="2"/>
          </rPr>
          <t xml:space="preserve">
other revenue and SocSec contributions</t>
        </r>
      </text>
    </comment>
    <comment ref="FG1237" authorId="0" shapeId="0" xr:uid="{00000000-0006-0000-0200-000013000000}">
      <text>
        <r>
          <rPr>
            <b/>
            <sz val="9"/>
            <color indexed="81"/>
            <rFont val="Tahoma"/>
            <family val="2"/>
          </rPr>
          <t>Author:</t>
        </r>
        <r>
          <rPr>
            <sz val="9"/>
            <color indexed="81"/>
            <rFont val="Tahoma"/>
            <family val="2"/>
          </rPr>
          <t xml:space="preserve">
other revenue and SocSec contributions</t>
        </r>
      </text>
    </comment>
    <comment ref="FH1237" authorId="0" shapeId="0" xr:uid="{00000000-0006-0000-0200-000014000000}">
      <text>
        <r>
          <rPr>
            <b/>
            <sz val="9"/>
            <color indexed="81"/>
            <rFont val="Tahoma"/>
            <family val="2"/>
          </rPr>
          <t>Author:</t>
        </r>
        <r>
          <rPr>
            <sz val="9"/>
            <color indexed="81"/>
            <rFont val="Tahoma"/>
            <family val="2"/>
          </rPr>
          <t xml:space="preserve">
other revenue and SocSec contributions</t>
        </r>
      </text>
    </comment>
    <comment ref="FI1237" authorId="0" shapeId="0" xr:uid="{00000000-0006-0000-0200-000015000000}">
      <text>
        <r>
          <rPr>
            <b/>
            <sz val="9"/>
            <color indexed="81"/>
            <rFont val="Tahoma"/>
            <family val="2"/>
          </rPr>
          <t>Author:</t>
        </r>
        <r>
          <rPr>
            <sz val="9"/>
            <color indexed="81"/>
            <rFont val="Tahoma"/>
            <family val="2"/>
          </rPr>
          <t xml:space="preserve">
other revenue and SocSec contributions</t>
        </r>
      </text>
    </comment>
    <comment ref="FJ1237" authorId="0" shapeId="0" xr:uid="{00000000-0006-0000-0200-000016000000}">
      <text>
        <r>
          <rPr>
            <b/>
            <sz val="9"/>
            <color indexed="81"/>
            <rFont val="Tahoma"/>
            <family val="2"/>
          </rPr>
          <t>Author:</t>
        </r>
        <r>
          <rPr>
            <sz val="9"/>
            <color indexed="81"/>
            <rFont val="Tahoma"/>
            <family val="2"/>
          </rPr>
          <t xml:space="preserve">
other revenue and SocSec contributions</t>
        </r>
      </text>
    </comment>
    <comment ref="FK1237" authorId="0" shapeId="0" xr:uid="{00000000-0006-0000-0200-000017000000}">
      <text>
        <r>
          <rPr>
            <b/>
            <sz val="9"/>
            <color indexed="81"/>
            <rFont val="Tahoma"/>
            <family val="2"/>
          </rPr>
          <t>Author:</t>
        </r>
        <r>
          <rPr>
            <sz val="9"/>
            <color indexed="81"/>
            <rFont val="Tahoma"/>
            <family val="2"/>
          </rPr>
          <t xml:space="preserve">
other revenue and SocSec contributions</t>
        </r>
      </text>
    </comment>
    <comment ref="FL1237" authorId="0" shapeId="0" xr:uid="{00000000-0006-0000-0200-000018000000}">
      <text>
        <r>
          <rPr>
            <b/>
            <sz val="9"/>
            <color indexed="81"/>
            <rFont val="Tahoma"/>
            <family val="2"/>
          </rPr>
          <t>Author:</t>
        </r>
        <r>
          <rPr>
            <sz val="9"/>
            <color indexed="81"/>
            <rFont val="Tahoma"/>
            <family val="2"/>
          </rPr>
          <t xml:space="preserve">
other revenue and SocSec contributions</t>
        </r>
      </text>
    </comment>
    <comment ref="FM1237" authorId="0" shapeId="0" xr:uid="{00000000-0006-0000-0200-000019000000}">
      <text>
        <r>
          <rPr>
            <b/>
            <sz val="9"/>
            <color indexed="81"/>
            <rFont val="Tahoma"/>
            <family val="2"/>
          </rPr>
          <t>Author:</t>
        </r>
        <r>
          <rPr>
            <sz val="9"/>
            <color indexed="81"/>
            <rFont val="Tahoma"/>
            <family val="2"/>
          </rPr>
          <t xml:space="preserve">
other revenue and SocSec contributions</t>
        </r>
      </text>
    </comment>
    <comment ref="FN1237" authorId="0" shapeId="0" xr:uid="{00000000-0006-0000-0200-00001A000000}">
      <text>
        <r>
          <rPr>
            <b/>
            <sz val="9"/>
            <color indexed="81"/>
            <rFont val="Tahoma"/>
            <family val="2"/>
          </rPr>
          <t>Author:</t>
        </r>
        <r>
          <rPr>
            <sz val="9"/>
            <color indexed="81"/>
            <rFont val="Tahoma"/>
            <family val="2"/>
          </rPr>
          <t xml:space="preserve">
other revenue and SocSec contributions</t>
        </r>
      </text>
    </comment>
    <comment ref="FO1237" authorId="0" shapeId="0" xr:uid="{00000000-0006-0000-0200-00001B000000}">
      <text>
        <r>
          <rPr>
            <b/>
            <sz val="9"/>
            <color indexed="81"/>
            <rFont val="Tahoma"/>
            <family val="2"/>
          </rPr>
          <t>Author:</t>
        </r>
        <r>
          <rPr>
            <sz val="9"/>
            <color indexed="81"/>
            <rFont val="Tahoma"/>
            <family val="2"/>
          </rPr>
          <t xml:space="preserve">
other revenue and SocSec contributions</t>
        </r>
      </text>
    </comment>
    <comment ref="FP1237" authorId="0" shapeId="0" xr:uid="{00000000-0006-0000-0200-00001C000000}">
      <text>
        <r>
          <rPr>
            <b/>
            <sz val="9"/>
            <color indexed="81"/>
            <rFont val="Tahoma"/>
            <family val="2"/>
          </rPr>
          <t>Author:</t>
        </r>
        <r>
          <rPr>
            <sz val="9"/>
            <color indexed="81"/>
            <rFont val="Tahoma"/>
            <family val="2"/>
          </rPr>
          <t xml:space="preserve">
other revenue and SocSec contributions</t>
        </r>
      </text>
    </comment>
    <comment ref="EY1247" authorId="0" shapeId="0" xr:uid="{00000000-0006-0000-0200-00001D000000}">
      <text>
        <r>
          <rPr>
            <b/>
            <sz val="9"/>
            <color indexed="81"/>
            <rFont val="Tahoma"/>
            <family val="2"/>
          </rPr>
          <t>Author:</t>
        </r>
        <r>
          <rPr>
            <sz val="9"/>
            <color indexed="81"/>
            <rFont val="Tahoma"/>
            <family val="2"/>
          </rPr>
          <t xml:space="preserve">
subsidies &amp;
social benefits</t>
        </r>
      </text>
    </comment>
    <comment ref="EZ1247" authorId="0" shapeId="0" xr:uid="{00000000-0006-0000-0200-00001E000000}">
      <text>
        <r>
          <rPr>
            <b/>
            <sz val="9"/>
            <color indexed="81"/>
            <rFont val="Tahoma"/>
            <family val="2"/>
          </rPr>
          <t>Author:</t>
        </r>
        <r>
          <rPr>
            <sz val="9"/>
            <color indexed="81"/>
            <rFont val="Tahoma"/>
            <family val="2"/>
          </rPr>
          <t xml:space="preserve">
subsidies &amp;
social benefits</t>
        </r>
      </text>
    </comment>
    <comment ref="FA1247" authorId="0" shapeId="0" xr:uid="{00000000-0006-0000-0200-00001F000000}">
      <text>
        <r>
          <rPr>
            <b/>
            <sz val="9"/>
            <color indexed="81"/>
            <rFont val="Tahoma"/>
            <family val="2"/>
          </rPr>
          <t>Author:</t>
        </r>
        <r>
          <rPr>
            <sz val="9"/>
            <color indexed="81"/>
            <rFont val="Tahoma"/>
            <family val="2"/>
          </rPr>
          <t xml:space="preserve">
subsidies &amp;
social benefits</t>
        </r>
      </text>
    </comment>
    <comment ref="FB1247" authorId="0" shapeId="0" xr:uid="{00000000-0006-0000-0200-000020000000}">
      <text>
        <r>
          <rPr>
            <b/>
            <sz val="9"/>
            <color indexed="81"/>
            <rFont val="Tahoma"/>
            <family val="2"/>
          </rPr>
          <t>Author:</t>
        </r>
        <r>
          <rPr>
            <sz val="9"/>
            <color indexed="81"/>
            <rFont val="Tahoma"/>
            <family val="2"/>
          </rPr>
          <t xml:space="preserve">
subsidies &amp;
social benefits</t>
        </r>
      </text>
    </comment>
    <comment ref="FC1247" authorId="0" shapeId="0" xr:uid="{00000000-0006-0000-0200-000021000000}">
      <text>
        <r>
          <rPr>
            <b/>
            <sz val="9"/>
            <color indexed="81"/>
            <rFont val="Tahoma"/>
            <family val="2"/>
          </rPr>
          <t>Author:</t>
        </r>
        <r>
          <rPr>
            <sz val="9"/>
            <color indexed="81"/>
            <rFont val="Tahoma"/>
            <family val="2"/>
          </rPr>
          <t xml:space="preserve">
subsidies &amp;
social benefits</t>
        </r>
      </text>
    </comment>
    <comment ref="FD1247" authorId="0" shapeId="0" xr:uid="{00000000-0006-0000-0200-000022000000}">
      <text>
        <r>
          <rPr>
            <b/>
            <sz val="9"/>
            <color indexed="81"/>
            <rFont val="Tahoma"/>
            <family val="2"/>
          </rPr>
          <t>Author:</t>
        </r>
        <r>
          <rPr>
            <sz val="9"/>
            <color indexed="81"/>
            <rFont val="Tahoma"/>
            <family val="2"/>
          </rPr>
          <t xml:space="preserve">
subsidies &amp;
social benefits</t>
        </r>
      </text>
    </comment>
    <comment ref="FE1247" authorId="0" shapeId="0" xr:uid="{00000000-0006-0000-0200-000023000000}">
      <text>
        <r>
          <rPr>
            <b/>
            <sz val="9"/>
            <color indexed="81"/>
            <rFont val="Tahoma"/>
            <family val="2"/>
          </rPr>
          <t>Author:</t>
        </r>
        <r>
          <rPr>
            <sz val="9"/>
            <color indexed="81"/>
            <rFont val="Tahoma"/>
            <family val="2"/>
          </rPr>
          <t xml:space="preserve">
subsidies &amp;
social benefits</t>
        </r>
      </text>
    </comment>
    <comment ref="FF1247" authorId="0" shapeId="0" xr:uid="{00000000-0006-0000-0200-000024000000}">
      <text>
        <r>
          <rPr>
            <b/>
            <sz val="9"/>
            <color indexed="81"/>
            <rFont val="Tahoma"/>
            <family val="2"/>
          </rPr>
          <t>Author:</t>
        </r>
        <r>
          <rPr>
            <sz val="9"/>
            <color indexed="81"/>
            <rFont val="Tahoma"/>
            <family val="2"/>
          </rPr>
          <t xml:space="preserve">
subsidies &amp;
social benefits</t>
        </r>
      </text>
    </comment>
    <comment ref="FG1247" authorId="0" shapeId="0" xr:uid="{00000000-0006-0000-0200-000025000000}">
      <text>
        <r>
          <rPr>
            <b/>
            <sz val="9"/>
            <color indexed="81"/>
            <rFont val="Tahoma"/>
            <family val="2"/>
          </rPr>
          <t>Author:</t>
        </r>
        <r>
          <rPr>
            <sz val="9"/>
            <color indexed="81"/>
            <rFont val="Tahoma"/>
            <family val="2"/>
          </rPr>
          <t xml:space="preserve">
subsidies &amp;
social benefits</t>
        </r>
      </text>
    </comment>
    <comment ref="FH1247" authorId="0" shapeId="0" xr:uid="{00000000-0006-0000-0200-000026000000}">
      <text>
        <r>
          <rPr>
            <b/>
            <sz val="9"/>
            <color indexed="81"/>
            <rFont val="Tahoma"/>
            <family val="2"/>
          </rPr>
          <t>Author:</t>
        </r>
        <r>
          <rPr>
            <sz val="9"/>
            <color indexed="81"/>
            <rFont val="Tahoma"/>
            <family val="2"/>
          </rPr>
          <t xml:space="preserve">
subsidies &amp;
social benefits</t>
        </r>
      </text>
    </comment>
    <comment ref="FI1247" authorId="0" shapeId="0" xr:uid="{00000000-0006-0000-0200-000027000000}">
      <text>
        <r>
          <rPr>
            <b/>
            <sz val="9"/>
            <color indexed="81"/>
            <rFont val="Tahoma"/>
            <family val="2"/>
          </rPr>
          <t>Author:</t>
        </r>
        <r>
          <rPr>
            <sz val="9"/>
            <color indexed="81"/>
            <rFont val="Tahoma"/>
            <family val="2"/>
          </rPr>
          <t xml:space="preserve">
subsidies &amp;
social benefits</t>
        </r>
      </text>
    </comment>
    <comment ref="FJ1247" authorId="0" shapeId="0" xr:uid="{00000000-0006-0000-0200-000028000000}">
      <text>
        <r>
          <rPr>
            <b/>
            <sz val="9"/>
            <color indexed="81"/>
            <rFont val="Tahoma"/>
            <family val="2"/>
          </rPr>
          <t>Author:</t>
        </r>
        <r>
          <rPr>
            <sz val="9"/>
            <color indexed="81"/>
            <rFont val="Tahoma"/>
            <family val="2"/>
          </rPr>
          <t xml:space="preserve">
subsidies &amp;
social benefits</t>
        </r>
      </text>
    </comment>
    <comment ref="FK1247" authorId="0" shapeId="0" xr:uid="{00000000-0006-0000-0200-000029000000}">
      <text>
        <r>
          <rPr>
            <b/>
            <sz val="9"/>
            <color indexed="81"/>
            <rFont val="Tahoma"/>
            <family val="2"/>
          </rPr>
          <t>Author:</t>
        </r>
        <r>
          <rPr>
            <sz val="9"/>
            <color indexed="81"/>
            <rFont val="Tahoma"/>
            <family val="2"/>
          </rPr>
          <t xml:space="preserve">
subsidies &amp;
social benefits</t>
        </r>
      </text>
    </comment>
    <comment ref="FL1247" authorId="0" shapeId="0" xr:uid="{00000000-0006-0000-0200-00002A000000}">
      <text>
        <r>
          <rPr>
            <b/>
            <sz val="9"/>
            <color indexed="81"/>
            <rFont val="Tahoma"/>
            <family val="2"/>
          </rPr>
          <t>Author:</t>
        </r>
        <r>
          <rPr>
            <sz val="9"/>
            <color indexed="81"/>
            <rFont val="Tahoma"/>
            <family val="2"/>
          </rPr>
          <t xml:space="preserve">
subsidies &amp;
social benefits</t>
        </r>
      </text>
    </comment>
    <comment ref="FM1247" authorId="0" shapeId="0" xr:uid="{00000000-0006-0000-0200-00002B000000}">
      <text>
        <r>
          <rPr>
            <b/>
            <sz val="9"/>
            <color indexed="81"/>
            <rFont val="Tahoma"/>
            <family val="2"/>
          </rPr>
          <t>Author:</t>
        </r>
        <r>
          <rPr>
            <sz val="9"/>
            <color indexed="81"/>
            <rFont val="Tahoma"/>
            <family val="2"/>
          </rPr>
          <t xml:space="preserve">
subsidies &amp;
social benefits</t>
        </r>
      </text>
    </comment>
    <comment ref="FN1247" authorId="0" shapeId="0" xr:uid="{00000000-0006-0000-0200-00002C000000}">
      <text>
        <r>
          <rPr>
            <b/>
            <sz val="9"/>
            <color indexed="81"/>
            <rFont val="Tahoma"/>
            <family val="2"/>
          </rPr>
          <t>Author:</t>
        </r>
        <r>
          <rPr>
            <sz val="9"/>
            <color indexed="81"/>
            <rFont val="Tahoma"/>
            <family val="2"/>
          </rPr>
          <t xml:space="preserve">
subsidies &amp;
social benefits</t>
        </r>
      </text>
    </comment>
    <comment ref="FO1247" authorId="0" shapeId="0" xr:uid="{00000000-0006-0000-0200-00002D000000}">
      <text>
        <r>
          <rPr>
            <b/>
            <sz val="9"/>
            <color indexed="81"/>
            <rFont val="Tahoma"/>
            <family val="2"/>
          </rPr>
          <t>Author:</t>
        </r>
        <r>
          <rPr>
            <sz val="9"/>
            <color indexed="81"/>
            <rFont val="Tahoma"/>
            <family val="2"/>
          </rPr>
          <t xml:space="preserve">
subsidies &amp;
social benefits</t>
        </r>
      </text>
    </comment>
    <comment ref="FP1247" authorId="0" shapeId="0" xr:uid="{00000000-0006-0000-0200-00002E000000}">
      <text>
        <r>
          <rPr>
            <b/>
            <sz val="9"/>
            <color indexed="81"/>
            <rFont val="Tahoma"/>
            <family val="2"/>
          </rPr>
          <t>Author:</t>
        </r>
        <r>
          <rPr>
            <sz val="9"/>
            <color indexed="81"/>
            <rFont val="Tahoma"/>
            <family val="2"/>
          </rPr>
          <t xml:space="preserve">
subsidies &amp;
social benefits</t>
        </r>
      </text>
    </comment>
    <comment ref="FQ1247" authorId="0" shapeId="0" xr:uid="{00000000-0006-0000-0200-00002F000000}">
      <text>
        <r>
          <rPr>
            <b/>
            <sz val="9"/>
            <color indexed="81"/>
            <rFont val="Tahoma"/>
            <family val="2"/>
          </rPr>
          <t>Author:</t>
        </r>
        <r>
          <rPr>
            <sz val="9"/>
            <color indexed="81"/>
            <rFont val="Tahoma"/>
            <family val="2"/>
          </rPr>
          <t xml:space="preserve">
subsidies &amp;
social benefits</t>
        </r>
      </text>
    </comment>
    <comment ref="FR1247" authorId="0" shapeId="0" xr:uid="{00000000-0006-0000-0200-000030000000}">
      <text>
        <r>
          <rPr>
            <b/>
            <sz val="9"/>
            <color indexed="81"/>
            <rFont val="Tahoma"/>
            <family val="2"/>
          </rPr>
          <t>Author:</t>
        </r>
        <r>
          <rPr>
            <sz val="9"/>
            <color indexed="81"/>
            <rFont val="Tahoma"/>
            <family val="2"/>
          </rPr>
          <t xml:space="preserve">
subsidies &amp;
social benefits</t>
        </r>
      </text>
    </comment>
    <comment ref="FS1247" authorId="0" shapeId="0" xr:uid="{00000000-0006-0000-0200-000031000000}">
      <text>
        <r>
          <rPr>
            <b/>
            <sz val="9"/>
            <color indexed="81"/>
            <rFont val="Tahoma"/>
            <family val="2"/>
          </rPr>
          <t>Author:</t>
        </r>
        <r>
          <rPr>
            <sz val="9"/>
            <color indexed="81"/>
            <rFont val="Tahoma"/>
            <family val="2"/>
          </rPr>
          <t xml:space="preserve">
subsidies &amp;
social benefits</t>
        </r>
      </text>
    </comment>
    <comment ref="FT1247" authorId="0" shapeId="0" xr:uid="{00000000-0006-0000-0200-000032000000}">
      <text>
        <r>
          <rPr>
            <b/>
            <sz val="9"/>
            <color indexed="81"/>
            <rFont val="Tahoma"/>
            <family val="2"/>
          </rPr>
          <t>Author:</t>
        </r>
        <r>
          <rPr>
            <sz val="9"/>
            <color indexed="81"/>
            <rFont val="Tahoma"/>
            <family val="2"/>
          </rPr>
          <t xml:space="preserve">
subsidies &amp;
social benefits</t>
        </r>
      </text>
    </comment>
    <comment ref="FU1247" authorId="0" shapeId="0" xr:uid="{00000000-0006-0000-0200-000033000000}">
      <text>
        <r>
          <rPr>
            <b/>
            <sz val="9"/>
            <color indexed="81"/>
            <rFont val="Tahoma"/>
            <family val="2"/>
          </rPr>
          <t>Author:</t>
        </r>
        <r>
          <rPr>
            <sz val="9"/>
            <color indexed="81"/>
            <rFont val="Tahoma"/>
            <family val="2"/>
          </rPr>
          <t xml:space="preserve">
subsidies &amp;
social benefits</t>
        </r>
      </text>
    </comment>
    <comment ref="FV1247" authorId="0" shapeId="0" xr:uid="{00000000-0006-0000-0200-000034000000}">
      <text>
        <r>
          <rPr>
            <b/>
            <sz val="9"/>
            <color indexed="81"/>
            <rFont val="Tahoma"/>
            <family val="2"/>
          </rPr>
          <t>Author:</t>
        </r>
        <r>
          <rPr>
            <sz val="9"/>
            <color indexed="81"/>
            <rFont val="Tahoma"/>
            <family val="2"/>
          </rPr>
          <t xml:space="preserve">
subsidies &amp;
social benefits</t>
        </r>
      </text>
    </comment>
    <comment ref="EY1248" authorId="0" shapeId="0" xr:uid="{00000000-0006-0000-0200-000035000000}">
      <text>
        <r>
          <rPr>
            <b/>
            <sz val="9"/>
            <color indexed="81"/>
            <rFont val="Tahoma"/>
            <family val="2"/>
          </rPr>
          <t>Author:</t>
        </r>
        <r>
          <rPr>
            <sz val="9"/>
            <color indexed="81"/>
            <rFont val="Tahoma"/>
            <family val="2"/>
          </rPr>
          <t xml:space="preserve">
Other expemse</t>
        </r>
      </text>
    </comment>
    <comment ref="EZ1248" authorId="0" shapeId="0" xr:uid="{00000000-0006-0000-0200-000036000000}">
      <text>
        <r>
          <rPr>
            <b/>
            <sz val="9"/>
            <color indexed="81"/>
            <rFont val="Tahoma"/>
            <family val="2"/>
          </rPr>
          <t>Author:</t>
        </r>
        <r>
          <rPr>
            <sz val="9"/>
            <color indexed="81"/>
            <rFont val="Tahoma"/>
            <family val="2"/>
          </rPr>
          <t xml:space="preserve">
Other expemse</t>
        </r>
      </text>
    </comment>
    <comment ref="FA1248" authorId="0" shapeId="0" xr:uid="{00000000-0006-0000-0200-000037000000}">
      <text>
        <r>
          <rPr>
            <b/>
            <sz val="9"/>
            <color indexed="81"/>
            <rFont val="Tahoma"/>
            <family val="2"/>
          </rPr>
          <t>Author:</t>
        </r>
        <r>
          <rPr>
            <sz val="9"/>
            <color indexed="81"/>
            <rFont val="Tahoma"/>
            <family val="2"/>
          </rPr>
          <t xml:space="preserve">
Other expemse</t>
        </r>
      </text>
    </comment>
    <comment ref="FB1248" authorId="0" shapeId="0" xr:uid="{00000000-0006-0000-0200-000038000000}">
      <text>
        <r>
          <rPr>
            <b/>
            <sz val="9"/>
            <color indexed="81"/>
            <rFont val="Tahoma"/>
            <family val="2"/>
          </rPr>
          <t>Author:</t>
        </r>
        <r>
          <rPr>
            <sz val="9"/>
            <color indexed="81"/>
            <rFont val="Tahoma"/>
            <family val="2"/>
          </rPr>
          <t xml:space="preserve">
Other expemse</t>
        </r>
      </text>
    </comment>
    <comment ref="FC1248" authorId="0" shapeId="0" xr:uid="{00000000-0006-0000-0200-000039000000}">
      <text>
        <r>
          <rPr>
            <b/>
            <sz val="9"/>
            <color indexed="81"/>
            <rFont val="Tahoma"/>
            <family val="2"/>
          </rPr>
          <t>Author:</t>
        </r>
        <r>
          <rPr>
            <sz val="9"/>
            <color indexed="81"/>
            <rFont val="Tahoma"/>
            <family val="2"/>
          </rPr>
          <t xml:space="preserve">
Other expemse</t>
        </r>
      </text>
    </comment>
    <comment ref="FD1248" authorId="0" shapeId="0" xr:uid="{00000000-0006-0000-0200-00003A000000}">
      <text>
        <r>
          <rPr>
            <b/>
            <sz val="9"/>
            <color indexed="81"/>
            <rFont val="Tahoma"/>
            <family val="2"/>
          </rPr>
          <t>Author:</t>
        </r>
        <r>
          <rPr>
            <sz val="9"/>
            <color indexed="81"/>
            <rFont val="Tahoma"/>
            <family val="2"/>
          </rPr>
          <t xml:space="preserve">
Other expemse</t>
        </r>
      </text>
    </comment>
    <comment ref="FE1248" authorId="0" shapeId="0" xr:uid="{00000000-0006-0000-0200-00003B000000}">
      <text>
        <r>
          <rPr>
            <b/>
            <sz val="9"/>
            <color indexed="81"/>
            <rFont val="Tahoma"/>
            <family val="2"/>
          </rPr>
          <t>Author:</t>
        </r>
        <r>
          <rPr>
            <sz val="9"/>
            <color indexed="81"/>
            <rFont val="Tahoma"/>
            <family val="2"/>
          </rPr>
          <t xml:space="preserve">
Other expemse</t>
        </r>
      </text>
    </comment>
    <comment ref="FF1248" authorId="0" shapeId="0" xr:uid="{00000000-0006-0000-0200-00003C000000}">
      <text>
        <r>
          <rPr>
            <b/>
            <sz val="9"/>
            <color indexed="81"/>
            <rFont val="Tahoma"/>
            <family val="2"/>
          </rPr>
          <t>Author:</t>
        </r>
        <r>
          <rPr>
            <sz val="9"/>
            <color indexed="81"/>
            <rFont val="Tahoma"/>
            <family val="2"/>
          </rPr>
          <t xml:space="preserve">
Other expemse</t>
        </r>
      </text>
    </comment>
    <comment ref="FG1248" authorId="0" shapeId="0" xr:uid="{00000000-0006-0000-0200-00003D000000}">
      <text>
        <r>
          <rPr>
            <b/>
            <sz val="9"/>
            <color indexed="81"/>
            <rFont val="Tahoma"/>
            <family val="2"/>
          </rPr>
          <t>Author:</t>
        </r>
        <r>
          <rPr>
            <sz val="9"/>
            <color indexed="81"/>
            <rFont val="Tahoma"/>
            <family val="2"/>
          </rPr>
          <t xml:space="preserve">
Other expemse</t>
        </r>
      </text>
    </comment>
    <comment ref="FH1248" authorId="0" shapeId="0" xr:uid="{00000000-0006-0000-0200-00003E000000}">
      <text>
        <r>
          <rPr>
            <b/>
            <sz val="9"/>
            <color indexed="81"/>
            <rFont val="Tahoma"/>
            <family val="2"/>
          </rPr>
          <t>Author:</t>
        </r>
        <r>
          <rPr>
            <sz val="9"/>
            <color indexed="81"/>
            <rFont val="Tahoma"/>
            <family val="2"/>
          </rPr>
          <t xml:space="preserve">
Other expemse</t>
        </r>
      </text>
    </comment>
    <comment ref="FI1248" authorId="0" shapeId="0" xr:uid="{00000000-0006-0000-0200-00003F000000}">
      <text>
        <r>
          <rPr>
            <b/>
            <sz val="9"/>
            <color indexed="81"/>
            <rFont val="Tahoma"/>
            <family val="2"/>
          </rPr>
          <t>Author:</t>
        </r>
        <r>
          <rPr>
            <sz val="9"/>
            <color indexed="81"/>
            <rFont val="Tahoma"/>
            <family val="2"/>
          </rPr>
          <t xml:space="preserve">
Other expemse</t>
        </r>
      </text>
    </comment>
    <comment ref="FJ1248" authorId="0" shapeId="0" xr:uid="{00000000-0006-0000-0200-000040000000}">
      <text>
        <r>
          <rPr>
            <b/>
            <sz val="9"/>
            <color indexed="81"/>
            <rFont val="Tahoma"/>
            <family val="2"/>
          </rPr>
          <t>Author:</t>
        </r>
        <r>
          <rPr>
            <sz val="9"/>
            <color indexed="81"/>
            <rFont val="Tahoma"/>
            <family val="2"/>
          </rPr>
          <t xml:space="preserve">
Other expemse</t>
        </r>
      </text>
    </comment>
    <comment ref="FK1248" authorId="0" shapeId="0" xr:uid="{00000000-0006-0000-0200-000041000000}">
      <text>
        <r>
          <rPr>
            <b/>
            <sz val="9"/>
            <color indexed="81"/>
            <rFont val="Tahoma"/>
            <family val="2"/>
          </rPr>
          <t>Author:</t>
        </r>
        <r>
          <rPr>
            <sz val="9"/>
            <color indexed="81"/>
            <rFont val="Tahoma"/>
            <family val="2"/>
          </rPr>
          <t xml:space="preserve">
Other expemse</t>
        </r>
      </text>
    </comment>
    <comment ref="FL1248" authorId="0" shapeId="0" xr:uid="{00000000-0006-0000-0200-000042000000}">
      <text>
        <r>
          <rPr>
            <b/>
            <sz val="9"/>
            <color indexed="81"/>
            <rFont val="Tahoma"/>
            <family val="2"/>
          </rPr>
          <t>Author:</t>
        </r>
        <r>
          <rPr>
            <sz val="9"/>
            <color indexed="81"/>
            <rFont val="Tahoma"/>
            <family val="2"/>
          </rPr>
          <t xml:space="preserve">
Other expemse</t>
        </r>
      </text>
    </comment>
    <comment ref="FM1248" authorId="0" shapeId="0" xr:uid="{00000000-0006-0000-0200-000043000000}">
      <text>
        <r>
          <rPr>
            <b/>
            <sz val="9"/>
            <color indexed="81"/>
            <rFont val="Tahoma"/>
            <family val="2"/>
          </rPr>
          <t>Author:</t>
        </r>
        <r>
          <rPr>
            <sz val="9"/>
            <color indexed="81"/>
            <rFont val="Tahoma"/>
            <family val="2"/>
          </rPr>
          <t xml:space="preserve">
Other expemse</t>
        </r>
      </text>
    </comment>
    <comment ref="FN1248" authorId="0" shapeId="0" xr:uid="{00000000-0006-0000-0200-000044000000}">
      <text>
        <r>
          <rPr>
            <b/>
            <sz val="9"/>
            <color indexed="81"/>
            <rFont val="Tahoma"/>
            <family val="2"/>
          </rPr>
          <t>Author:</t>
        </r>
        <r>
          <rPr>
            <sz val="9"/>
            <color indexed="81"/>
            <rFont val="Tahoma"/>
            <family val="2"/>
          </rPr>
          <t xml:space="preserve">
Other expemse</t>
        </r>
      </text>
    </comment>
    <comment ref="FO1248" authorId="0" shapeId="0" xr:uid="{00000000-0006-0000-0200-000045000000}">
      <text>
        <r>
          <rPr>
            <b/>
            <sz val="9"/>
            <color indexed="81"/>
            <rFont val="Tahoma"/>
            <family val="2"/>
          </rPr>
          <t>Author:</t>
        </r>
        <r>
          <rPr>
            <sz val="9"/>
            <color indexed="81"/>
            <rFont val="Tahoma"/>
            <family val="2"/>
          </rPr>
          <t xml:space="preserve">
Other expemse</t>
        </r>
      </text>
    </comment>
    <comment ref="FP1248" authorId="0" shapeId="0" xr:uid="{00000000-0006-0000-0200-000046000000}">
      <text>
        <r>
          <rPr>
            <b/>
            <sz val="9"/>
            <color indexed="81"/>
            <rFont val="Tahoma"/>
            <family val="2"/>
          </rPr>
          <t>Author:</t>
        </r>
        <r>
          <rPr>
            <sz val="9"/>
            <color indexed="81"/>
            <rFont val="Tahoma"/>
            <family val="2"/>
          </rPr>
          <t xml:space="preserve">
Other expemse</t>
        </r>
      </text>
    </comment>
    <comment ref="E1250" authorId="0" shapeId="0" xr:uid="{00000000-0006-0000-0200-000047000000}">
      <text>
        <r>
          <rPr>
            <b/>
            <sz val="9"/>
            <color indexed="81"/>
            <rFont val="Tahoma"/>
            <family val="2"/>
          </rPr>
          <t>Author:</t>
        </r>
        <r>
          <rPr>
            <sz val="9"/>
            <color indexed="81"/>
            <rFont val="Tahoma"/>
            <family val="2"/>
          </rPr>
          <t xml:space="preserve">
corrected AK June 5 2021</t>
        </r>
      </text>
    </comment>
    <comment ref="F1250" authorId="0" shapeId="0" xr:uid="{00000000-0006-0000-0200-000048000000}">
      <text>
        <r>
          <rPr>
            <b/>
            <sz val="9"/>
            <color indexed="81"/>
            <rFont val="Tahoma"/>
            <family val="2"/>
          </rPr>
          <t>Author:</t>
        </r>
        <r>
          <rPr>
            <sz val="9"/>
            <color indexed="81"/>
            <rFont val="Tahoma"/>
            <family val="2"/>
          </rPr>
          <t xml:space="preserve">
corrected AK June 5 2021</t>
        </r>
      </text>
    </comment>
    <comment ref="G1250" authorId="0" shapeId="0" xr:uid="{00000000-0006-0000-0200-000049000000}">
      <text>
        <r>
          <rPr>
            <b/>
            <sz val="9"/>
            <color indexed="81"/>
            <rFont val="Tahoma"/>
            <family val="2"/>
          </rPr>
          <t>Author:</t>
        </r>
        <r>
          <rPr>
            <sz val="9"/>
            <color indexed="81"/>
            <rFont val="Tahoma"/>
            <family val="2"/>
          </rPr>
          <t xml:space="preserve">
corrected AK June 5 2021</t>
        </r>
      </text>
    </comment>
    <comment ref="H1250" authorId="0" shapeId="0" xr:uid="{00000000-0006-0000-0200-00004A000000}">
      <text>
        <r>
          <rPr>
            <b/>
            <sz val="9"/>
            <color indexed="81"/>
            <rFont val="Tahoma"/>
            <family val="2"/>
          </rPr>
          <t>Author:</t>
        </r>
        <r>
          <rPr>
            <sz val="9"/>
            <color indexed="81"/>
            <rFont val="Tahoma"/>
            <family val="2"/>
          </rPr>
          <t xml:space="preserve">
corrected AK June 5 2021</t>
        </r>
      </text>
    </comment>
    <comment ref="I1250" authorId="0" shapeId="0" xr:uid="{00000000-0006-0000-0200-00004B000000}">
      <text>
        <r>
          <rPr>
            <b/>
            <sz val="9"/>
            <color indexed="81"/>
            <rFont val="Tahoma"/>
            <family val="2"/>
          </rPr>
          <t>Author:</t>
        </r>
        <r>
          <rPr>
            <sz val="9"/>
            <color indexed="81"/>
            <rFont val="Tahoma"/>
            <family val="2"/>
          </rPr>
          <t xml:space="preserve">
corrected AK June 5 2021</t>
        </r>
      </text>
    </comment>
    <comment ref="J1250" authorId="0" shapeId="0" xr:uid="{00000000-0006-0000-0200-00004C000000}">
      <text>
        <r>
          <rPr>
            <b/>
            <sz val="9"/>
            <color indexed="81"/>
            <rFont val="Tahoma"/>
            <family val="2"/>
          </rPr>
          <t>Author:</t>
        </r>
        <r>
          <rPr>
            <sz val="9"/>
            <color indexed="81"/>
            <rFont val="Tahoma"/>
            <family val="2"/>
          </rPr>
          <t xml:space="preserve">
corrected AK June 5 2021</t>
        </r>
      </text>
    </comment>
    <comment ref="K1250" authorId="0" shapeId="0" xr:uid="{00000000-0006-0000-0200-00004D000000}">
      <text>
        <r>
          <rPr>
            <b/>
            <sz val="9"/>
            <color indexed="81"/>
            <rFont val="Tahoma"/>
            <family val="2"/>
          </rPr>
          <t>Author:</t>
        </r>
        <r>
          <rPr>
            <sz val="9"/>
            <color indexed="81"/>
            <rFont val="Tahoma"/>
            <family val="2"/>
          </rPr>
          <t xml:space="preserve">
corrected AK June 5 2021</t>
        </r>
      </text>
    </comment>
    <comment ref="L1250" authorId="0" shapeId="0" xr:uid="{00000000-0006-0000-0200-00004E000000}">
      <text>
        <r>
          <rPr>
            <b/>
            <sz val="9"/>
            <color indexed="81"/>
            <rFont val="Tahoma"/>
            <family val="2"/>
          </rPr>
          <t>Author:</t>
        </r>
        <r>
          <rPr>
            <sz val="9"/>
            <color indexed="81"/>
            <rFont val="Tahoma"/>
            <family val="2"/>
          </rPr>
          <t xml:space="preserve">
corrected AK June 5 2021</t>
        </r>
      </text>
    </comment>
    <comment ref="M1250" authorId="0" shapeId="0" xr:uid="{00000000-0006-0000-0200-00004F000000}">
      <text>
        <r>
          <rPr>
            <b/>
            <sz val="9"/>
            <color indexed="81"/>
            <rFont val="Tahoma"/>
            <family val="2"/>
          </rPr>
          <t>Author:</t>
        </r>
        <r>
          <rPr>
            <sz val="9"/>
            <color indexed="81"/>
            <rFont val="Tahoma"/>
            <family val="2"/>
          </rPr>
          <t xml:space="preserve">
corrected AK June 5 2021</t>
        </r>
      </text>
    </comment>
    <comment ref="N1250" authorId="0" shapeId="0" xr:uid="{00000000-0006-0000-0200-000050000000}">
      <text>
        <r>
          <rPr>
            <b/>
            <sz val="9"/>
            <color indexed="81"/>
            <rFont val="Tahoma"/>
            <family val="2"/>
          </rPr>
          <t>Author:</t>
        </r>
        <r>
          <rPr>
            <sz val="9"/>
            <color indexed="81"/>
            <rFont val="Tahoma"/>
            <family val="2"/>
          </rPr>
          <t xml:space="preserve">
corrected AK June 5 2021</t>
        </r>
      </text>
    </comment>
    <comment ref="O1250" authorId="0" shapeId="0" xr:uid="{00000000-0006-0000-0200-000051000000}">
      <text>
        <r>
          <rPr>
            <b/>
            <sz val="9"/>
            <color indexed="81"/>
            <rFont val="Tahoma"/>
            <family val="2"/>
          </rPr>
          <t>Author:</t>
        </r>
        <r>
          <rPr>
            <sz val="9"/>
            <color indexed="81"/>
            <rFont val="Tahoma"/>
            <family val="2"/>
          </rPr>
          <t xml:space="preserve">
corrected AK June 5 2021</t>
        </r>
      </text>
    </comment>
    <comment ref="P1250" authorId="0" shapeId="0" xr:uid="{00000000-0006-0000-0200-000052000000}">
      <text>
        <r>
          <rPr>
            <b/>
            <sz val="9"/>
            <color indexed="81"/>
            <rFont val="Tahoma"/>
            <family val="2"/>
          </rPr>
          <t>Author:</t>
        </r>
        <r>
          <rPr>
            <sz val="9"/>
            <color indexed="81"/>
            <rFont val="Tahoma"/>
            <family val="2"/>
          </rPr>
          <t xml:space="preserve">
corrected AK June 5 2021</t>
        </r>
      </text>
    </comment>
    <comment ref="Q1250" authorId="0" shapeId="0" xr:uid="{00000000-0006-0000-0200-000053000000}">
      <text>
        <r>
          <rPr>
            <b/>
            <sz val="9"/>
            <color indexed="81"/>
            <rFont val="Tahoma"/>
            <family val="2"/>
          </rPr>
          <t>Author:</t>
        </r>
        <r>
          <rPr>
            <sz val="9"/>
            <color indexed="81"/>
            <rFont val="Tahoma"/>
            <family val="2"/>
          </rPr>
          <t xml:space="preserve">
corrected AK June 5 2021</t>
        </r>
      </text>
    </comment>
    <comment ref="R1250" authorId="0" shapeId="0" xr:uid="{00000000-0006-0000-0200-000054000000}">
      <text>
        <r>
          <rPr>
            <b/>
            <sz val="9"/>
            <color indexed="81"/>
            <rFont val="Tahoma"/>
            <family val="2"/>
          </rPr>
          <t>Author:</t>
        </r>
        <r>
          <rPr>
            <sz val="9"/>
            <color indexed="81"/>
            <rFont val="Tahoma"/>
            <family val="2"/>
          </rPr>
          <t xml:space="preserve">
corrected AK June 5 2021</t>
        </r>
      </text>
    </comment>
    <comment ref="S1250" authorId="0" shapeId="0" xr:uid="{00000000-0006-0000-0200-000055000000}">
      <text>
        <r>
          <rPr>
            <b/>
            <sz val="9"/>
            <color indexed="81"/>
            <rFont val="Tahoma"/>
            <family val="2"/>
          </rPr>
          <t>Author:</t>
        </r>
        <r>
          <rPr>
            <sz val="9"/>
            <color indexed="81"/>
            <rFont val="Tahoma"/>
            <family val="2"/>
          </rPr>
          <t xml:space="preserve">
corrected AK June 5 2021</t>
        </r>
      </text>
    </comment>
    <comment ref="T1250" authorId="0" shapeId="0" xr:uid="{00000000-0006-0000-0200-000056000000}">
      <text>
        <r>
          <rPr>
            <b/>
            <sz val="9"/>
            <color indexed="81"/>
            <rFont val="Tahoma"/>
            <family val="2"/>
          </rPr>
          <t>Author:</t>
        </r>
        <r>
          <rPr>
            <sz val="9"/>
            <color indexed="81"/>
            <rFont val="Tahoma"/>
            <family val="2"/>
          </rPr>
          <t xml:space="preserve">
corrected AK June 5 2021</t>
        </r>
      </text>
    </comment>
    <comment ref="U1250" authorId="0" shapeId="0" xr:uid="{00000000-0006-0000-0200-000057000000}">
      <text>
        <r>
          <rPr>
            <b/>
            <sz val="9"/>
            <color indexed="81"/>
            <rFont val="Tahoma"/>
            <family val="2"/>
          </rPr>
          <t>Author:</t>
        </r>
        <r>
          <rPr>
            <sz val="9"/>
            <color indexed="81"/>
            <rFont val="Tahoma"/>
            <family val="2"/>
          </rPr>
          <t xml:space="preserve">
corrected AK June 5 2021</t>
        </r>
      </text>
    </comment>
    <comment ref="V1250" authorId="0" shapeId="0" xr:uid="{00000000-0006-0000-0200-000058000000}">
      <text>
        <r>
          <rPr>
            <b/>
            <sz val="9"/>
            <color indexed="81"/>
            <rFont val="Tahoma"/>
            <family val="2"/>
          </rPr>
          <t>Author:</t>
        </r>
        <r>
          <rPr>
            <sz val="9"/>
            <color indexed="81"/>
            <rFont val="Tahoma"/>
            <family val="2"/>
          </rPr>
          <t xml:space="preserve">
corrected AK June 5 2021</t>
        </r>
      </text>
    </comment>
    <comment ref="W1250" authorId="0" shapeId="0" xr:uid="{00000000-0006-0000-0200-000059000000}">
      <text>
        <r>
          <rPr>
            <b/>
            <sz val="9"/>
            <color indexed="81"/>
            <rFont val="Tahoma"/>
            <family val="2"/>
          </rPr>
          <t>Author:</t>
        </r>
        <r>
          <rPr>
            <sz val="9"/>
            <color indexed="81"/>
            <rFont val="Tahoma"/>
            <family val="2"/>
          </rPr>
          <t xml:space="preserve">
corrected AK June 5 2021</t>
        </r>
      </text>
    </comment>
    <comment ref="X1250" authorId="0" shapeId="0" xr:uid="{00000000-0006-0000-0200-00005A000000}">
      <text>
        <r>
          <rPr>
            <b/>
            <sz val="9"/>
            <color indexed="81"/>
            <rFont val="Tahoma"/>
            <family val="2"/>
          </rPr>
          <t>Author:</t>
        </r>
        <r>
          <rPr>
            <sz val="9"/>
            <color indexed="81"/>
            <rFont val="Tahoma"/>
            <family val="2"/>
          </rPr>
          <t xml:space="preserve">
corrected AK June 5 2021</t>
        </r>
      </text>
    </comment>
    <comment ref="Y1250" authorId="0" shapeId="0" xr:uid="{00000000-0006-0000-0200-00005B000000}">
      <text>
        <r>
          <rPr>
            <b/>
            <sz val="9"/>
            <color indexed="81"/>
            <rFont val="Tahoma"/>
            <family val="2"/>
          </rPr>
          <t>Author:</t>
        </r>
        <r>
          <rPr>
            <sz val="9"/>
            <color indexed="81"/>
            <rFont val="Tahoma"/>
            <family val="2"/>
          </rPr>
          <t xml:space="preserve">
corrected AK June 5 2021</t>
        </r>
      </text>
    </comment>
    <comment ref="Z1250" authorId="0" shapeId="0" xr:uid="{00000000-0006-0000-0200-00005C000000}">
      <text>
        <r>
          <rPr>
            <b/>
            <sz val="9"/>
            <color indexed="81"/>
            <rFont val="Tahoma"/>
            <family val="2"/>
          </rPr>
          <t>Author:</t>
        </r>
        <r>
          <rPr>
            <sz val="9"/>
            <color indexed="81"/>
            <rFont val="Tahoma"/>
            <family val="2"/>
          </rPr>
          <t xml:space="preserve">
corrected AK June 5 2021</t>
        </r>
      </text>
    </comment>
    <comment ref="AA1250" authorId="0" shapeId="0" xr:uid="{00000000-0006-0000-0200-00005D000000}">
      <text>
        <r>
          <rPr>
            <b/>
            <sz val="9"/>
            <color indexed="81"/>
            <rFont val="Tahoma"/>
            <family val="2"/>
          </rPr>
          <t>Author:</t>
        </r>
        <r>
          <rPr>
            <sz val="9"/>
            <color indexed="81"/>
            <rFont val="Tahoma"/>
            <family val="2"/>
          </rPr>
          <t xml:space="preserve">
corrected AK June 5 2021</t>
        </r>
      </text>
    </comment>
    <comment ref="AB1250" authorId="0" shapeId="0" xr:uid="{00000000-0006-0000-0200-00005E000000}">
      <text>
        <r>
          <rPr>
            <b/>
            <sz val="9"/>
            <color indexed="81"/>
            <rFont val="Tahoma"/>
            <family val="2"/>
          </rPr>
          <t>Author:</t>
        </r>
        <r>
          <rPr>
            <sz val="9"/>
            <color indexed="81"/>
            <rFont val="Tahoma"/>
            <family val="2"/>
          </rPr>
          <t xml:space="preserve">
corrected AK June 5 2021</t>
        </r>
      </text>
    </comment>
    <comment ref="AC1250" authorId="0" shapeId="0" xr:uid="{00000000-0006-0000-0200-00005F000000}">
      <text>
        <r>
          <rPr>
            <b/>
            <sz val="9"/>
            <color indexed="81"/>
            <rFont val="Tahoma"/>
            <family val="2"/>
          </rPr>
          <t>Author:</t>
        </r>
        <r>
          <rPr>
            <sz val="9"/>
            <color indexed="81"/>
            <rFont val="Tahoma"/>
            <family val="2"/>
          </rPr>
          <t xml:space="preserve">
corrected AK June 5 2021</t>
        </r>
      </text>
    </comment>
    <comment ref="AD1250" authorId="0" shapeId="0" xr:uid="{00000000-0006-0000-0200-000060000000}">
      <text>
        <r>
          <rPr>
            <b/>
            <sz val="9"/>
            <color indexed="81"/>
            <rFont val="Tahoma"/>
            <family val="2"/>
          </rPr>
          <t>Author:</t>
        </r>
        <r>
          <rPr>
            <sz val="9"/>
            <color indexed="81"/>
            <rFont val="Tahoma"/>
            <family val="2"/>
          </rPr>
          <t xml:space="preserve">
corrected AK June 5 2021</t>
        </r>
      </text>
    </comment>
    <comment ref="AE1250" authorId="0" shapeId="0" xr:uid="{00000000-0006-0000-0200-000061000000}">
      <text>
        <r>
          <rPr>
            <b/>
            <sz val="9"/>
            <color indexed="81"/>
            <rFont val="Tahoma"/>
            <family val="2"/>
          </rPr>
          <t>Author:</t>
        </r>
        <r>
          <rPr>
            <sz val="9"/>
            <color indexed="81"/>
            <rFont val="Tahoma"/>
            <family val="2"/>
          </rPr>
          <t xml:space="preserve">
corrected AK June 5 2021</t>
        </r>
      </text>
    </comment>
    <comment ref="AF1250" authorId="0" shapeId="0" xr:uid="{00000000-0006-0000-0200-000062000000}">
      <text>
        <r>
          <rPr>
            <b/>
            <sz val="9"/>
            <color indexed="81"/>
            <rFont val="Tahoma"/>
            <family val="2"/>
          </rPr>
          <t>Author:</t>
        </r>
        <r>
          <rPr>
            <sz val="9"/>
            <color indexed="81"/>
            <rFont val="Tahoma"/>
            <family val="2"/>
          </rPr>
          <t xml:space="preserve">
corrected AK June 5 2021</t>
        </r>
      </text>
    </comment>
    <comment ref="AG1250" authorId="0" shapeId="0" xr:uid="{00000000-0006-0000-0200-000063000000}">
      <text>
        <r>
          <rPr>
            <b/>
            <sz val="9"/>
            <color indexed="81"/>
            <rFont val="Tahoma"/>
            <family val="2"/>
          </rPr>
          <t>Author:</t>
        </r>
        <r>
          <rPr>
            <sz val="9"/>
            <color indexed="81"/>
            <rFont val="Tahoma"/>
            <family val="2"/>
          </rPr>
          <t xml:space="preserve">
corrected AK June 5 2021</t>
        </r>
      </text>
    </comment>
    <comment ref="AH1250" authorId="0" shapeId="0" xr:uid="{00000000-0006-0000-0200-000064000000}">
      <text>
        <r>
          <rPr>
            <b/>
            <sz val="9"/>
            <color indexed="81"/>
            <rFont val="Tahoma"/>
            <family val="2"/>
          </rPr>
          <t>Author:</t>
        </r>
        <r>
          <rPr>
            <sz val="9"/>
            <color indexed="81"/>
            <rFont val="Tahoma"/>
            <family val="2"/>
          </rPr>
          <t xml:space="preserve">
corrected AK June 5 2021</t>
        </r>
      </text>
    </comment>
    <comment ref="AI1250" authorId="0" shapeId="0" xr:uid="{00000000-0006-0000-0200-000065000000}">
      <text>
        <r>
          <rPr>
            <b/>
            <sz val="9"/>
            <color indexed="81"/>
            <rFont val="Tahoma"/>
            <family val="2"/>
          </rPr>
          <t>Author:</t>
        </r>
        <r>
          <rPr>
            <sz val="9"/>
            <color indexed="81"/>
            <rFont val="Tahoma"/>
            <family val="2"/>
          </rPr>
          <t xml:space="preserve">
corrected AK June 5 2021</t>
        </r>
      </text>
    </comment>
    <comment ref="AJ1250" authorId="0" shapeId="0" xr:uid="{00000000-0006-0000-0200-000066000000}">
      <text>
        <r>
          <rPr>
            <b/>
            <sz val="9"/>
            <color indexed="81"/>
            <rFont val="Tahoma"/>
            <family val="2"/>
          </rPr>
          <t>Author:</t>
        </r>
        <r>
          <rPr>
            <sz val="9"/>
            <color indexed="81"/>
            <rFont val="Tahoma"/>
            <family val="2"/>
          </rPr>
          <t xml:space="preserve">
corrected AK June 5 2021</t>
        </r>
      </text>
    </comment>
    <comment ref="AK1250" authorId="0" shapeId="0" xr:uid="{00000000-0006-0000-0200-000067000000}">
      <text>
        <r>
          <rPr>
            <b/>
            <sz val="9"/>
            <color indexed="81"/>
            <rFont val="Tahoma"/>
            <family val="2"/>
          </rPr>
          <t>Author:</t>
        </r>
        <r>
          <rPr>
            <sz val="9"/>
            <color indexed="81"/>
            <rFont val="Tahoma"/>
            <family val="2"/>
          </rPr>
          <t xml:space="preserve">
corrected AK June 5 2021</t>
        </r>
      </text>
    </comment>
    <comment ref="AL1250" authorId="0" shapeId="0" xr:uid="{00000000-0006-0000-0200-000068000000}">
      <text>
        <r>
          <rPr>
            <b/>
            <sz val="9"/>
            <color indexed="81"/>
            <rFont val="Tahoma"/>
            <family val="2"/>
          </rPr>
          <t>Author:</t>
        </r>
        <r>
          <rPr>
            <sz val="9"/>
            <color indexed="81"/>
            <rFont val="Tahoma"/>
            <family val="2"/>
          </rPr>
          <t xml:space="preserve">
corrected AK June 5 2021</t>
        </r>
      </text>
    </comment>
    <comment ref="AM1250" authorId="0" shapeId="0" xr:uid="{00000000-0006-0000-0200-000069000000}">
      <text>
        <r>
          <rPr>
            <b/>
            <sz val="9"/>
            <color indexed="81"/>
            <rFont val="Tahoma"/>
            <family val="2"/>
          </rPr>
          <t>Author:</t>
        </r>
        <r>
          <rPr>
            <sz val="9"/>
            <color indexed="81"/>
            <rFont val="Tahoma"/>
            <family val="2"/>
          </rPr>
          <t xml:space="preserve">
corrected AK June 5 2021</t>
        </r>
      </text>
    </comment>
    <comment ref="AN1250" authorId="0" shapeId="0" xr:uid="{00000000-0006-0000-0200-00006A000000}">
      <text>
        <r>
          <rPr>
            <b/>
            <sz val="9"/>
            <color indexed="81"/>
            <rFont val="Tahoma"/>
            <family val="2"/>
          </rPr>
          <t>Author:</t>
        </r>
        <r>
          <rPr>
            <sz val="9"/>
            <color indexed="81"/>
            <rFont val="Tahoma"/>
            <family val="2"/>
          </rPr>
          <t xml:space="preserve">
corrected AK June 5 2021</t>
        </r>
      </text>
    </comment>
    <comment ref="AO1250" authorId="0" shapeId="0" xr:uid="{00000000-0006-0000-0200-00006B000000}">
      <text>
        <r>
          <rPr>
            <b/>
            <sz val="9"/>
            <color indexed="81"/>
            <rFont val="Tahoma"/>
            <family val="2"/>
          </rPr>
          <t>Author:</t>
        </r>
        <r>
          <rPr>
            <sz val="9"/>
            <color indexed="81"/>
            <rFont val="Tahoma"/>
            <family val="2"/>
          </rPr>
          <t xml:space="preserve">
corrected AK June 5 2021</t>
        </r>
      </text>
    </comment>
    <comment ref="AP1250" authorId="0" shapeId="0" xr:uid="{00000000-0006-0000-0200-00006C000000}">
      <text>
        <r>
          <rPr>
            <b/>
            <sz val="9"/>
            <color indexed="81"/>
            <rFont val="Tahoma"/>
            <family val="2"/>
          </rPr>
          <t>Author:</t>
        </r>
        <r>
          <rPr>
            <sz val="9"/>
            <color indexed="81"/>
            <rFont val="Tahoma"/>
            <family val="2"/>
          </rPr>
          <t xml:space="preserve">
corrected AK June 5 2021</t>
        </r>
      </text>
    </comment>
    <comment ref="AQ1250" authorId="0" shapeId="0" xr:uid="{00000000-0006-0000-0200-00006D000000}">
      <text>
        <r>
          <rPr>
            <b/>
            <sz val="9"/>
            <color indexed="81"/>
            <rFont val="Tahoma"/>
            <family val="2"/>
          </rPr>
          <t>Author:</t>
        </r>
        <r>
          <rPr>
            <sz val="9"/>
            <color indexed="81"/>
            <rFont val="Tahoma"/>
            <family val="2"/>
          </rPr>
          <t xml:space="preserve">
corrected AK June 5 2021</t>
        </r>
      </text>
    </comment>
    <comment ref="AR1250" authorId="0" shapeId="0" xr:uid="{00000000-0006-0000-0200-00006E000000}">
      <text>
        <r>
          <rPr>
            <b/>
            <sz val="9"/>
            <color indexed="81"/>
            <rFont val="Tahoma"/>
            <family val="2"/>
          </rPr>
          <t>Author:</t>
        </r>
        <r>
          <rPr>
            <sz val="9"/>
            <color indexed="81"/>
            <rFont val="Tahoma"/>
            <family val="2"/>
          </rPr>
          <t xml:space="preserve">
corrected AK June 5 2021</t>
        </r>
      </text>
    </comment>
    <comment ref="AS1250" authorId="0" shapeId="0" xr:uid="{00000000-0006-0000-0200-00006F000000}">
      <text>
        <r>
          <rPr>
            <b/>
            <sz val="9"/>
            <color indexed="81"/>
            <rFont val="Tahoma"/>
            <family val="2"/>
          </rPr>
          <t>Author:</t>
        </r>
        <r>
          <rPr>
            <sz val="9"/>
            <color indexed="81"/>
            <rFont val="Tahoma"/>
            <family val="2"/>
          </rPr>
          <t xml:space="preserve">
corrected AK June 5 2021</t>
        </r>
      </text>
    </comment>
    <comment ref="AT1250" authorId="0" shapeId="0" xr:uid="{00000000-0006-0000-0200-000070000000}">
      <text>
        <r>
          <rPr>
            <b/>
            <sz val="9"/>
            <color indexed="81"/>
            <rFont val="Tahoma"/>
            <family val="2"/>
          </rPr>
          <t>Author:</t>
        </r>
        <r>
          <rPr>
            <sz val="9"/>
            <color indexed="81"/>
            <rFont val="Tahoma"/>
            <family val="2"/>
          </rPr>
          <t xml:space="preserve">
corrected AK June 5 2021</t>
        </r>
      </text>
    </comment>
    <comment ref="AU1250" authorId="0" shapeId="0" xr:uid="{00000000-0006-0000-0200-000071000000}">
      <text>
        <r>
          <rPr>
            <b/>
            <sz val="9"/>
            <color indexed="81"/>
            <rFont val="Tahoma"/>
            <family val="2"/>
          </rPr>
          <t>Author:</t>
        </r>
        <r>
          <rPr>
            <sz val="9"/>
            <color indexed="81"/>
            <rFont val="Tahoma"/>
            <family val="2"/>
          </rPr>
          <t xml:space="preserve">
corrected AK June 5 2021</t>
        </r>
      </text>
    </comment>
    <comment ref="AV1250" authorId="0" shapeId="0" xr:uid="{00000000-0006-0000-0200-000072000000}">
      <text>
        <r>
          <rPr>
            <b/>
            <sz val="9"/>
            <color indexed="81"/>
            <rFont val="Tahoma"/>
            <family val="2"/>
          </rPr>
          <t>Author:</t>
        </r>
        <r>
          <rPr>
            <sz val="9"/>
            <color indexed="81"/>
            <rFont val="Tahoma"/>
            <family val="2"/>
          </rPr>
          <t xml:space="preserve">
corrected AK June 5 2021</t>
        </r>
      </text>
    </comment>
    <comment ref="AW1250" authorId="0" shapeId="0" xr:uid="{00000000-0006-0000-0200-000073000000}">
      <text>
        <r>
          <rPr>
            <b/>
            <sz val="9"/>
            <color indexed="81"/>
            <rFont val="Tahoma"/>
            <family val="2"/>
          </rPr>
          <t>Author:</t>
        </r>
        <r>
          <rPr>
            <sz val="9"/>
            <color indexed="81"/>
            <rFont val="Tahoma"/>
            <family val="2"/>
          </rPr>
          <t xml:space="preserve">
corrected AK June 5 2021</t>
        </r>
      </text>
    </comment>
    <comment ref="AX1250" authorId="0" shapeId="0" xr:uid="{00000000-0006-0000-0200-000074000000}">
      <text>
        <r>
          <rPr>
            <b/>
            <sz val="9"/>
            <color indexed="81"/>
            <rFont val="Tahoma"/>
            <family val="2"/>
          </rPr>
          <t>Author:</t>
        </r>
        <r>
          <rPr>
            <sz val="9"/>
            <color indexed="81"/>
            <rFont val="Tahoma"/>
            <family val="2"/>
          </rPr>
          <t xml:space="preserve">
corrected AK June 5 2021</t>
        </r>
      </text>
    </comment>
    <comment ref="AY1250" authorId="0" shapeId="0" xr:uid="{00000000-0006-0000-0200-000075000000}">
      <text>
        <r>
          <rPr>
            <b/>
            <sz val="9"/>
            <color indexed="81"/>
            <rFont val="Tahoma"/>
            <family val="2"/>
          </rPr>
          <t>Author:</t>
        </r>
        <r>
          <rPr>
            <sz val="9"/>
            <color indexed="81"/>
            <rFont val="Tahoma"/>
            <family val="2"/>
          </rPr>
          <t xml:space="preserve">
corrected AK June 5 2021</t>
        </r>
      </text>
    </comment>
    <comment ref="AZ1250" authorId="0" shapeId="0" xr:uid="{00000000-0006-0000-0200-000076000000}">
      <text>
        <r>
          <rPr>
            <b/>
            <sz val="9"/>
            <color indexed="81"/>
            <rFont val="Tahoma"/>
            <family val="2"/>
          </rPr>
          <t>Author:</t>
        </r>
        <r>
          <rPr>
            <sz val="9"/>
            <color indexed="81"/>
            <rFont val="Tahoma"/>
            <family val="2"/>
          </rPr>
          <t xml:space="preserve">
corrected AK June 5 2021</t>
        </r>
      </text>
    </comment>
    <comment ref="BA1250" authorId="0" shapeId="0" xr:uid="{00000000-0006-0000-0200-000077000000}">
      <text>
        <r>
          <rPr>
            <b/>
            <sz val="9"/>
            <color indexed="81"/>
            <rFont val="Tahoma"/>
            <family val="2"/>
          </rPr>
          <t>Author:</t>
        </r>
        <r>
          <rPr>
            <sz val="9"/>
            <color indexed="81"/>
            <rFont val="Tahoma"/>
            <family val="2"/>
          </rPr>
          <t xml:space="preserve">
corrected AK June 5 2021</t>
        </r>
      </text>
    </comment>
    <comment ref="BB1250" authorId="0" shapeId="0" xr:uid="{00000000-0006-0000-0200-000078000000}">
      <text>
        <r>
          <rPr>
            <b/>
            <sz val="9"/>
            <color indexed="81"/>
            <rFont val="Tahoma"/>
            <family val="2"/>
          </rPr>
          <t>Author:</t>
        </r>
        <r>
          <rPr>
            <sz val="9"/>
            <color indexed="81"/>
            <rFont val="Tahoma"/>
            <family val="2"/>
          </rPr>
          <t xml:space="preserve">
corrected AK June 5 2021</t>
        </r>
      </text>
    </comment>
    <comment ref="BC1250" authorId="0" shapeId="0" xr:uid="{00000000-0006-0000-0200-000079000000}">
      <text>
        <r>
          <rPr>
            <b/>
            <sz val="9"/>
            <color indexed="81"/>
            <rFont val="Tahoma"/>
            <family val="2"/>
          </rPr>
          <t>Author:</t>
        </r>
        <r>
          <rPr>
            <sz val="9"/>
            <color indexed="81"/>
            <rFont val="Tahoma"/>
            <family val="2"/>
          </rPr>
          <t xml:space="preserve">
corrected AK June 5 2021</t>
        </r>
      </text>
    </comment>
    <comment ref="BD1250" authorId="0" shapeId="0" xr:uid="{00000000-0006-0000-0200-00007A000000}">
      <text>
        <r>
          <rPr>
            <b/>
            <sz val="9"/>
            <color indexed="81"/>
            <rFont val="Tahoma"/>
            <family val="2"/>
          </rPr>
          <t>Author:</t>
        </r>
        <r>
          <rPr>
            <sz val="9"/>
            <color indexed="81"/>
            <rFont val="Tahoma"/>
            <family val="2"/>
          </rPr>
          <t xml:space="preserve">
corrected AK June 5 2021</t>
        </r>
      </text>
    </comment>
    <comment ref="BE1250" authorId="0" shapeId="0" xr:uid="{00000000-0006-0000-0200-00007B000000}">
      <text>
        <r>
          <rPr>
            <b/>
            <sz val="9"/>
            <color indexed="81"/>
            <rFont val="Tahoma"/>
            <family val="2"/>
          </rPr>
          <t>Author:</t>
        </r>
        <r>
          <rPr>
            <sz val="9"/>
            <color indexed="81"/>
            <rFont val="Tahoma"/>
            <family val="2"/>
          </rPr>
          <t xml:space="preserve">
corrected AK June 5 2021</t>
        </r>
      </text>
    </comment>
    <comment ref="BF1250" authorId="0" shapeId="0" xr:uid="{00000000-0006-0000-0200-00007C000000}">
      <text>
        <r>
          <rPr>
            <b/>
            <sz val="9"/>
            <color indexed="81"/>
            <rFont val="Tahoma"/>
            <family val="2"/>
          </rPr>
          <t>Author:</t>
        </r>
        <r>
          <rPr>
            <sz val="9"/>
            <color indexed="81"/>
            <rFont val="Tahoma"/>
            <family val="2"/>
          </rPr>
          <t xml:space="preserve">
corrected AK June 5 2021</t>
        </r>
      </text>
    </comment>
    <comment ref="BG1250" authorId="0" shapeId="0" xr:uid="{00000000-0006-0000-0200-00007D000000}">
      <text>
        <r>
          <rPr>
            <b/>
            <sz val="9"/>
            <color indexed="81"/>
            <rFont val="Tahoma"/>
            <family val="2"/>
          </rPr>
          <t>Author:</t>
        </r>
        <r>
          <rPr>
            <sz val="9"/>
            <color indexed="81"/>
            <rFont val="Tahoma"/>
            <family val="2"/>
          </rPr>
          <t xml:space="preserve">
corrected AK June 5 2021</t>
        </r>
      </text>
    </comment>
    <comment ref="BH1250" authorId="0" shapeId="0" xr:uid="{00000000-0006-0000-0200-00007E000000}">
      <text>
        <r>
          <rPr>
            <b/>
            <sz val="9"/>
            <color indexed="81"/>
            <rFont val="Tahoma"/>
            <family val="2"/>
          </rPr>
          <t>Author:</t>
        </r>
        <r>
          <rPr>
            <sz val="9"/>
            <color indexed="81"/>
            <rFont val="Tahoma"/>
            <family val="2"/>
          </rPr>
          <t xml:space="preserve">
corrected AK June 5 2021</t>
        </r>
      </text>
    </comment>
    <comment ref="BI1250" authorId="0" shapeId="0" xr:uid="{00000000-0006-0000-0200-00007F000000}">
      <text>
        <r>
          <rPr>
            <b/>
            <sz val="9"/>
            <color indexed="81"/>
            <rFont val="Tahoma"/>
            <family val="2"/>
          </rPr>
          <t>Author:</t>
        </r>
        <r>
          <rPr>
            <sz val="9"/>
            <color indexed="81"/>
            <rFont val="Tahoma"/>
            <family val="2"/>
          </rPr>
          <t xml:space="preserve">
corrected AK June 5 2021</t>
        </r>
      </text>
    </comment>
    <comment ref="BJ1250" authorId="0" shapeId="0" xr:uid="{00000000-0006-0000-0200-000080000000}">
      <text>
        <r>
          <rPr>
            <b/>
            <sz val="9"/>
            <color indexed="81"/>
            <rFont val="Tahoma"/>
            <family val="2"/>
          </rPr>
          <t>Author:</t>
        </r>
        <r>
          <rPr>
            <sz val="9"/>
            <color indexed="81"/>
            <rFont val="Tahoma"/>
            <family val="2"/>
          </rPr>
          <t xml:space="preserve">
corrected AK June 5 2021</t>
        </r>
      </text>
    </comment>
    <comment ref="BK1250" authorId="0" shapeId="0" xr:uid="{00000000-0006-0000-0200-000081000000}">
      <text>
        <r>
          <rPr>
            <b/>
            <sz val="9"/>
            <color indexed="81"/>
            <rFont val="Tahoma"/>
            <family val="2"/>
          </rPr>
          <t>Author:</t>
        </r>
        <r>
          <rPr>
            <sz val="9"/>
            <color indexed="81"/>
            <rFont val="Tahoma"/>
            <family val="2"/>
          </rPr>
          <t xml:space="preserve">
corrected AK June 5 2021</t>
        </r>
      </text>
    </comment>
    <comment ref="BL1250" authorId="0" shapeId="0" xr:uid="{00000000-0006-0000-0200-000082000000}">
      <text>
        <r>
          <rPr>
            <b/>
            <sz val="9"/>
            <color indexed="81"/>
            <rFont val="Tahoma"/>
            <family val="2"/>
          </rPr>
          <t>Author:</t>
        </r>
        <r>
          <rPr>
            <sz val="9"/>
            <color indexed="81"/>
            <rFont val="Tahoma"/>
            <family val="2"/>
          </rPr>
          <t xml:space="preserve">
corrected AK June 5 2021</t>
        </r>
      </text>
    </comment>
    <comment ref="BM1250" authorId="0" shapeId="0" xr:uid="{00000000-0006-0000-0200-000083000000}">
      <text>
        <r>
          <rPr>
            <b/>
            <sz val="9"/>
            <color indexed="81"/>
            <rFont val="Tahoma"/>
            <family val="2"/>
          </rPr>
          <t>Author:</t>
        </r>
        <r>
          <rPr>
            <sz val="9"/>
            <color indexed="81"/>
            <rFont val="Tahoma"/>
            <family val="2"/>
          </rPr>
          <t xml:space="preserve">
corrected AK June 5 2021</t>
        </r>
      </text>
    </comment>
    <comment ref="BN1250" authorId="0" shapeId="0" xr:uid="{00000000-0006-0000-0200-000084000000}">
      <text>
        <r>
          <rPr>
            <b/>
            <sz val="9"/>
            <color indexed="81"/>
            <rFont val="Tahoma"/>
            <family val="2"/>
          </rPr>
          <t>Author:</t>
        </r>
        <r>
          <rPr>
            <sz val="9"/>
            <color indexed="81"/>
            <rFont val="Tahoma"/>
            <family val="2"/>
          </rPr>
          <t xml:space="preserve">
corrected AK June 5 2021</t>
        </r>
      </text>
    </comment>
    <comment ref="BO1250" authorId="0" shapeId="0" xr:uid="{00000000-0006-0000-0200-000085000000}">
      <text>
        <r>
          <rPr>
            <b/>
            <sz val="9"/>
            <color indexed="81"/>
            <rFont val="Tahoma"/>
            <family val="2"/>
          </rPr>
          <t>Author:</t>
        </r>
        <r>
          <rPr>
            <sz val="9"/>
            <color indexed="81"/>
            <rFont val="Tahoma"/>
            <family val="2"/>
          </rPr>
          <t xml:space="preserve">
corrected AK June 5 2021</t>
        </r>
      </text>
    </comment>
    <comment ref="BP1250" authorId="0" shapeId="0" xr:uid="{00000000-0006-0000-0200-000086000000}">
      <text>
        <r>
          <rPr>
            <b/>
            <sz val="9"/>
            <color indexed="81"/>
            <rFont val="Tahoma"/>
            <family val="2"/>
          </rPr>
          <t>Author:</t>
        </r>
        <r>
          <rPr>
            <sz val="9"/>
            <color indexed="81"/>
            <rFont val="Tahoma"/>
            <family val="2"/>
          </rPr>
          <t xml:space="preserve">
corrected AK June 5 2021</t>
        </r>
      </text>
    </comment>
    <comment ref="BQ1250" authorId="0" shapeId="0" xr:uid="{00000000-0006-0000-0200-000087000000}">
      <text>
        <r>
          <rPr>
            <b/>
            <sz val="9"/>
            <color indexed="81"/>
            <rFont val="Tahoma"/>
            <family val="2"/>
          </rPr>
          <t>Author:</t>
        </r>
        <r>
          <rPr>
            <sz val="9"/>
            <color indexed="81"/>
            <rFont val="Tahoma"/>
            <family val="2"/>
          </rPr>
          <t xml:space="preserve">
corrected AK June 5 2021</t>
        </r>
      </text>
    </comment>
    <comment ref="BR1250" authorId="0" shapeId="0" xr:uid="{00000000-0006-0000-0200-000088000000}">
      <text>
        <r>
          <rPr>
            <b/>
            <sz val="9"/>
            <color indexed="81"/>
            <rFont val="Tahoma"/>
            <family val="2"/>
          </rPr>
          <t>Author:</t>
        </r>
        <r>
          <rPr>
            <sz val="9"/>
            <color indexed="81"/>
            <rFont val="Tahoma"/>
            <family val="2"/>
          </rPr>
          <t xml:space="preserve">
corrected AK June 5 2021</t>
        </r>
      </text>
    </comment>
    <comment ref="BS1250" authorId="0" shapeId="0" xr:uid="{00000000-0006-0000-0200-000089000000}">
      <text>
        <r>
          <rPr>
            <b/>
            <sz val="9"/>
            <color indexed="81"/>
            <rFont val="Tahoma"/>
            <family val="2"/>
          </rPr>
          <t>Author:</t>
        </r>
        <r>
          <rPr>
            <sz val="9"/>
            <color indexed="81"/>
            <rFont val="Tahoma"/>
            <family val="2"/>
          </rPr>
          <t xml:space="preserve">
corrected AK June 5 2021</t>
        </r>
      </text>
    </comment>
    <comment ref="BT1250" authorId="0" shapeId="0" xr:uid="{00000000-0006-0000-0200-00008A000000}">
      <text>
        <r>
          <rPr>
            <b/>
            <sz val="9"/>
            <color indexed="81"/>
            <rFont val="Tahoma"/>
            <family val="2"/>
          </rPr>
          <t>Author:</t>
        </r>
        <r>
          <rPr>
            <sz val="9"/>
            <color indexed="81"/>
            <rFont val="Tahoma"/>
            <family val="2"/>
          </rPr>
          <t xml:space="preserve">
corrected AK June 5 2021</t>
        </r>
      </text>
    </comment>
    <comment ref="BU1250" authorId="0" shapeId="0" xr:uid="{00000000-0006-0000-0200-00008B000000}">
      <text>
        <r>
          <rPr>
            <b/>
            <sz val="9"/>
            <color indexed="81"/>
            <rFont val="Tahoma"/>
            <family val="2"/>
          </rPr>
          <t>Author:</t>
        </r>
        <r>
          <rPr>
            <sz val="9"/>
            <color indexed="81"/>
            <rFont val="Tahoma"/>
            <family val="2"/>
          </rPr>
          <t xml:space="preserve">
corrected AK June 5 2021</t>
        </r>
      </text>
    </comment>
    <comment ref="BV1250" authorId="0" shapeId="0" xr:uid="{00000000-0006-0000-0200-00008C000000}">
      <text>
        <r>
          <rPr>
            <b/>
            <sz val="9"/>
            <color indexed="81"/>
            <rFont val="Tahoma"/>
            <family val="2"/>
          </rPr>
          <t>Author:</t>
        </r>
        <r>
          <rPr>
            <sz val="9"/>
            <color indexed="81"/>
            <rFont val="Tahoma"/>
            <family val="2"/>
          </rPr>
          <t xml:space="preserve">
corrected AK June 5 2021</t>
        </r>
      </text>
    </comment>
    <comment ref="BW1250" authorId="0" shapeId="0" xr:uid="{00000000-0006-0000-0200-00008D000000}">
      <text>
        <r>
          <rPr>
            <b/>
            <sz val="9"/>
            <color indexed="81"/>
            <rFont val="Tahoma"/>
            <family val="2"/>
          </rPr>
          <t>Author:</t>
        </r>
        <r>
          <rPr>
            <sz val="9"/>
            <color indexed="81"/>
            <rFont val="Tahoma"/>
            <family val="2"/>
          </rPr>
          <t xml:space="preserve">
corrected AK June 5 2021</t>
        </r>
      </text>
    </comment>
    <comment ref="BX1250" authorId="0" shapeId="0" xr:uid="{00000000-0006-0000-0200-00008E000000}">
      <text>
        <r>
          <rPr>
            <b/>
            <sz val="9"/>
            <color indexed="81"/>
            <rFont val="Tahoma"/>
            <family val="2"/>
          </rPr>
          <t>Author:</t>
        </r>
        <r>
          <rPr>
            <sz val="9"/>
            <color indexed="81"/>
            <rFont val="Tahoma"/>
            <family val="2"/>
          </rPr>
          <t xml:space="preserve">
corrected AK June 5 2021</t>
        </r>
      </text>
    </comment>
    <comment ref="BY1250" authorId="0" shapeId="0" xr:uid="{00000000-0006-0000-0200-00008F000000}">
      <text>
        <r>
          <rPr>
            <b/>
            <sz val="9"/>
            <color indexed="81"/>
            <rFont val="Tahoma"/>
            <family val="2"/>
          </rPr>
          <t>Author:</t>
        </r>
        <r>
          <rPr>
            <sz val="9"/>
            <color indexed="81"/>
            <rFont val="Tahoma"/>
            <family val="2"/>
          </rPr>
          <t xml:space="preserve">
corrected AK June 5 2021</t>
        </r>
      </text>
    </comment>
    <comment ref="BZ1250" authorId="0" shapeId="0" xr:uid="{00000000-0006-0000-0200-000090000000}">
      <text>
        <r>
          <rPr>
            <b/>
            <sz val="9"/>
            <color indexed="81"/>
            <rFont val="Tahoma"/>
            <family val="2"/>
          </rPr>
          <t>Author:</t>
        </r>
        <r>
          <rPr>
            <sz val="9"/>
            <color indexed="81"/>
            <rFont val="Tahoma"/>
            <family val="2"/>
          </rPr>
          <t xml:space="preserve">
corrected AK June 5 2021</t>
        </r>
      </text>
    </comment>
    <comment ref="CA1250" authorId="0" shapeId="0" xr:uid="{00000000-0006-0000-0200-000091000000}">
      <text>
        <r>
          <rPr>
            <b/>
            <sz val="9"/>
            <color indexed="81"/>
            <rFont val="Tahoma"/>
            <family val="2"/>
          </rPr>
          <t>Author:</t>
        </r>
        <r>
          <rPr>
            <sz val="9"/>
            <color indexed="81"/>
            <rFont val="Tahoma"/>
            <family val="2"/>
          </rPr>
          <t xml:space="preserve">
corrected AK June 5 2021</t>
        </r>
      </text>
    </comment>
    <comment ref="CB1250" authorId="0" shapeId="0" xr:uid="{00000000-0006-0000-0200-000092000000}">
      <text>
        <r>
          <rPr>
            <b/>
            <sz val="9"/>
            <color indexed="81"/>
            <rFont val="Tahoma"/>
            <family val="2"/>
          </rPr>
          <t>Author:</t>
        </r>
        <r>
          <rPr>
            <sz val="9"/>
            <color indexed="81"/>
            <rFont val="Tahoma"/>
            <family val="2"/>
          </rPr>
          <t xml:space="preserve">
corrected AK June 5 2021</t>
        </r>
      </text>
    </comment>
    <comment ref="CC1250" authorId="0" shapeId="0" xr:uid="{00000000-0006-0000-0200-000093000000}">
      <text>
        <r>
          <rPr>
            <b/>
            <sz val="9"/>
            <color indexed="81"/>
            <rFont val="Tahoma"/>
            <family val="2"/>
          </rPr>
          <t>Author:</t>
        </r>
        <r>
          <rPr>
            <sz val="9"/>
            <color indexed="81"/>
            <rFont val="Tahoma"/>
            <family val="2"/>
          </rPr>
          <t xml:space="preserve">
corrected AK June 5 2021</t>
        </r>
      </text>
    </comment>
    <comment ref="CD1250" authorId="0" shapeId="0" xr:uid="{00000000-0006-0000-0200-000094000000}">
      <text>
        <r>
          <rPr>
            <b/>
            <sz val="9"/>
            <color indexed="81"/>
            <rFont val="Tahoma"/>
            <family val="2"/>
          </rPr>
          <t>Author:</t>
        </r>
        <r>
          <rPr>
            <sz val="9"/>
            <color indexed="81"/>
            <rFont val="Tahoma"/>
            <family val="2"/>
          </rPr>
          <t xml:space="preserve">
corrected AK June 5 2021</t>
        </r>
      </text>
    </comment>
    <comment ref="CE1250" authorId="0" shapeId="0" xr:uid="{00000000-0006-0000-0200-000095000000}">
      <text>
        <r>
          <rPr>
            <b/>
            <sz val="9"/>
            <color indexed="81"/>
            <rFont val="Tahoma"/>
            <family val="2"/>
          </rPr>
          <t>Author:</t>
        </r>
        <r>
          <rPr>
            <sz val="9"/>
            <color indexed="81"/>
            <rFont val="Tahoma"/>
            <family val="2"/>
          </rPr>
          <t xml:space="preserve">
corrected AK June 5 2021</t>
        </r>
      </text>
    </comment>
    <comment ref="CF1250" authorId="0" shapeId="0" xr:uid="{00000000-0006-0000-0200-000096000000}">
      <text>
        <r>
          <rPr>
            <b/>
            <sz val="9"/>
            <color indexed="81"/>
            <rFont val="Tahoma"/>
            <family val="2"/>
          </rPr>
          <t>Author:</t>
        </r>
        <r>
          <rPr>
            <sz val="9"/>
            <color indexed="81"/>
            <rFont val="Tahoma"/>
            <family val="2"/>
          </rPr>
          <t xml:space="preserve">
corrected AK June 5 2021</t>
        </r>
      </text>
    </comment>
    <comment ref="CG1250" authorId="0" shapeId="0" xr:uid="{00000000-0006-0000-0200-000097000000}">
      <text>
        <r>
          <rPr>
            <b/>
            <sz val="9"/>
            <color indexed="81"/>
            <rFont val="Tahoma"/>
            <family val="2"/>
          </rPr>
          <t>Author:</t>
        </r>
        <r>
          <rPr>
            <sz val="9"/>
            <color indexed="81"/>
            <rFont val="Tahoma"/>
            <family val="2"/>
          </rPr>
          <t xml:space="preserve">
corrected AK June 5 2021</t>
        </r>
      </text>
    </comment>
    <comment ref="CH1250" authorId="0" shapeId="0" xr:uid="{00000000-0006-0000-0200-000098000000}">
      <text>
        <r>
          <rPr>
            <b/>
            <sz val="9"/>
            <color indexed="81"/>
            <rFont val="Tahoma"/>
            <family val="2"/>
          </rPr>
          <t>Author:</t>
        </r>
        <r>
          <rPr>
            <sz val="9"/>
            <color indexed="81"/>
            <rFont val="Tahoma"/>
            <family val="2"/>
          </rPr>
          <t xml:space="preserve">
corrected AK June 5 2021</t>
        </r>
      </text>
    </comment>
    <comment ref="CI1250" authorId="0" shapeId="0" xr:uid="{00000000-0006-0000-0200-000099000000}">
      <text>
        <r>
          <rPr>
            <b/>
            <sz val="9"/>
            <color indexed="81"/>
            <rFont val="Tahoma"/>
            <family val="2"/>
          </rPr>
          <t>Author:</t>
        </r>
        <r>
          <rPr>
            <sz val="9"/>
            <color indexed="81"/>
            <rFont val="Tahoma"/>
            <family val="2"/>
          </rPr>
          <t xml:space="preserve">
corrected AK June 5 2021</t>
        </r>
      </text>
    </comment>
    <comment ref="CJ1250" authorId="0" shapeId="0" xr:uid="{00000000-0006-0000-0200-00009A000000}">
      <text>
        <r>
          <rPr>
            <b/>
            <sz val="9"/>
            <color indexed="81"/>
            <rFont val="Tahoma"/>
            <family val="2"/>
          </rPr>
          <t>Author:</t>
        </r>
        <r>
          <rPr>
            <sz val="9"/>
            <color indexed="81"/>
            <rFont val="Tahoma"/>
            <family val="2"/>
          </rPr>
          <t xml:space="preserve">
corrected AK June 5 2021</t>
        </r>
      </text>
    </comment>
    <comment ref="CK1250" authorId="0" shapeId="0" xr:uid="{00000000-0006-0000-0200-00009B000000}">
      <text>
        <r>
          <rPr>
            <b/>
            <sz val="9"/>
            <color indexed="81"/>
            <rFont val="Tahoma"/>
            <family val="2"/>
          </rPr>
          <t>Author:</t>
        </r>
        <r>
          <rPr>
            <sz val="9"/>
            <color indexed="81"/>
            <rFont val="Tahoma"/>
            <family val="2"/>
          </rPr>
          <t xml:space="preserve">
corrected AK June 5 2021</t>
        </r>
      </text>
    </comment>
    <comment ref="CL1250" authorId="0" shapeId="0" xr:uid="{00000000-0006-0000-0200-00009C000000}">
      <text>
        <r>
          <rPr>
            <b/>
            <sz val="9"/>
            <color indexed="81"/>
            <rFont val="Tahoma"/>
            <family val="2"/>
          </rPr>
          <t>Author:</t>
        </r>
        <r>
          <rPr>
            <sz val="9"/>
            <color indexed="81"/>
            <rFont val="Tahoma"/>
            <family val="2"/>
          </rPr>
          <t xml:space="preserve">
corrected AK June 5 2021</t>
        </r>
      </text>
    </comment>
    <comment ref="CM1250" authorId="0" shapeId="0" xr:uid="{00000000-0006-0000-0200-00009D000000}">
      <text>
        <r>
          <rPr>
            <b/>
            <sz val="9"/>
            <color indexed="81"/>
            <rFont val="Tahoma"/>
            <family val="2"/>
          </rPr>
          <t>Author:</t>
        </r>
        <r>
          <rPr>
            <sz val="9"/>
            <color indexed="81"/>
            <rFont val="Tahoma"/>
            <family val="2"/>
          </rPr>
          <t xml:space="preserve">
corrected AK June 5 2021</t>
        </r>
      </text>
    </comment>
    <comment ref="CN1250" authorId="0" shapeId="0" xr:uid="{00000000-0006-0000-0200-00009E000000}">
      <text>
        <r>
          <rPr>
            <b/>
            <sz val="9"/>
            <color indexed="81"/>
            <rFont val="Tahoma"/>
            <family val="2"/>
          </rPr>
          <t>Author:</t>
        </r>
        <r>
          <rPr>
            <sz val="9"/>
            <color indexed="81"/>
            <rFont val="Tahoma"/>
            <family val="2"/>
          </rPr>
          <t xml:space="preserve">
corrected AK June 5 2021</t>
        </r>
      </text>
    </comment>
    <comment ref="CO1250" authorId="0" shapeId="0" xr:uid="{00000000-0006-0000-0200-00009F000000}">
      <text>
        <r>
          <rPr>
            <b/>
            <sz val="9"/>
            <color indexed="81"/>
            <rFont val="Tahoma"/>
            <family val="2"/>
          </rPr>
          <t>Author:</t>
        </r>
        <r>
          <rPr>
            <sz val="9"/>
            <color indexed="81"/>
            <rFont val="Tahoma"/>
            <family val="2"/>
          </rPr>
          <t xml:space="preserve">
corrected AK June 5 2021</t>
        </r>
      </text>
    </comment>
    <comment ref="CP1250" authorId="0" shapeId="0" xr:uid="{00000000-0006-0000-0200-0000A0000000}">
      <text>
        <r>
          <rPr>
            <b/>
            <sz val="9"/>
            <color indexed="81"/>
            <rFont val="Tahoma"/>
            <family val="2"/>
          </rPr>
          <t>Author:</t>
        </r>
        <r>
          <rPr>
            <sz val="9"/>
            <color indexed="81"/>
            <rFont val="Tahoma"/>
            <family val="2"/>
          </rPr>
          <t xml:space="preserve">
corrected AK June 5 2021</t>
        </r>
      </text>
    </comment>
    <comment ref="CQ1250" authorId="0" shapeId="0" xr:uid="{00000000-0006-0000-0200-0000A1000000}">
      <text>
        <r>
          <rPr>
            <b/>
            <sz val="9"/>
            <color indexed="81"/>
            <rFont val="Tahoma"/>
            <family val="2"/>
          </rPr>
          <t>Author:</t>
        </r>
        <r>
          <rPr>
            <sz val="9"/>
            <color indexed="81"/>
            <rFont val="Tahoma"/>
            <family val="2"/>
          </rPr>
          <t xml:space="preserve">
corrected AK June 5 2021</t>
        </r>
      </text>
    </comment>
    <comment ref="CR1250" authorId="0" shapeId="0" xr:uid="{00000000-0006-0000-0200-0000A2000000}">
      <text>
        <r>
          <rPr>
            <b/>
            <sz val="9"/>
            <color indexed="81"/>
            <rFont val="Tahoma"/>
            <family val="2"/>
          </rPr>
          <t>Author:</t>
        </r>
        <r>
          <rPr>
            <sz val="9"/>
            <color indexed="81"/>
            <rFont val="Tahoma"/>
            <family val="2"/>
          </rPr>
          <t xml:space="preserve">
corrected AK June 5 2021</t>
        </r>
      </text>
    </comment>
    <comment ref="CS1250" authorId="0" shapeId="0" xr:uid="{00000000-0006-0000-0200-0000A3000000}">
      <text>
        <r>
          <rPr>
            <b/>
            <sz val="9"/>
            <color indexed="81"/>
            <rFont val="Tahoma"/>
            <family val="2"/>
          </rPr>
          <t>Author:</t>
        </r>
        <r>
          <rPr>
            <sz val="9"/>
            <color indexed="81"/>
            <rFont val="Tahoma"/>
            <family val="2"/>
          </rPr>
          <t xml:space="preserve">
corrected AK June 5 2021</t>
        </r>
      </text>
    </comment>
    <comment ref="CT1250" authorId="0" shapeId="0" xr:uid="{00000000-0006-0000-0200-0000A4000000}">
      <text>
        <r>
          <rPr>
            <b/>
            <sz val="9"/>
            <color indexed="81"/>
            <rFont val="Tahoma"/>
            <family val="2"/>
          </rPr>
          <t>Author:</t>
        </r>
        <r>
          <rPr>
            <sz val="9"/>
            <color indexed="81"/>
            <rFont val="Tahoma"/>
            <family val="2"/>
          </rPr>
          <t xml:space="preserve">
corrected AK June 5 2021</t>
        </r>
      </text>
    </comment>
    <comment ref="CU1250" authorId="0" shapeId="0" xr:uid="{00000000-0006-0000-0200-0000A5000000}">
      <text>
        <r>
          <rPr>
            <b/>
            <sz val="9"/>
            <color indexed="81"/>
            <rFont val="Tahoma"/>
            <family val="2"/>
          </rPr>
          <t>Author:</t>
        </r>
        <r>
          <rPr>
            <sz val="9"/>
            <color indexed="81"/>
            <rFont val="Tahoma"/>
            <family val="2"/>
          </rPr>
          <t xml:space="preserve">
corrected AK June 5 2021</t>
        </r>
      </text>
    </comment>
    <comment ref="CV1250" authorId="0" shapeId="0" xr:uid="{00000000-0006-0000-0200-0000A6000000}">
      <text>
        <r>
          <rPr>
            <b/>
            <sz val="9"/>
            <color indexed="81"/>
            <rFont val="Tahoma"/>
            <family val="2"/>
          </rPr>
          <t>Author:</t>
        </r>
        <r>
          <rPr>
            <sz val="9"/>
            <color indexed="81"/>
            <rFont val="Tahoma"/>
            <family val="2"/>
          </rPr>
          <t xml:space="preserve">
corrected AK June 5 2021</t>
        </r>
      </text>
    </comment>
    <comment ref="CW1250" authorId="0" shapeId="0" xr:uid="{00000000-0006-0000-0200-0000A7000000}">
      <text>
        <r>
          <rPr>
            <b/>
            <sz val="9"/>
            <color indexed="81"/>
            <rFont val="Tahoma"/>
            <family val="2"/>
          </rPr>
          <t>Author:</t>
        </r>
        <r>
          <rPr>
            <sz val="9"/>
            <color indexed="81"/>
            <rFont val="Tahoma"/>
            <family val="2"/>
          </rPr>
          <t xml:space="preserve">
corrected AK June 5 2021</t>
        </r>
      </text>
    </comment>
    <comment ref="CX1250" authorId="0" shapeId="0" xr:uid="{00000000-0006-0000-0200-0000A8000000}">
      <text>
        <r>
          <rPr>
            <b/>
            <sz val="9"/>
            <color indexed="81"/>
            <rFont val="Tahoma"/>
            <family val="2"/>
          </rPr>
          <t>Author:</t>
        </r>
        <r>
          <rPr>
            <sz val="9"/>
            <color indexed="81"/>
            <rFont val="Tahoma"/>
            <family val="2"/>
          </rPr>
          <t xml:space="preserve">
corrected AK June 5 2021</t>
        </r>
      </text>
    </comment>
    <comment ref="CY1250" authorId="0" shapeId="0" xr:uid="{00000000-0006-0000-0200-0000A9000000}">
      <text>
        <r>
          <rPr>
            <b/>
            <sz val="9"/>
            <color indexed="81"/>
            <rFont val="Tahoma"/>
            <family val="2"/>
          </rPr>
          <t>Author:</t>
        </r>
        <r>
          <rPr>
            <sz val="9"/>
            <color indexed="81"/>
            <rFont val="Tahoma"/>
            <family val="2"/>
          </rPr>
          <t xml:space="preserve">
corrected AK June 5 2021</t>
        </r>
      </text>
    </comment>
    <comment ref="CZ1250" authorId="0" shapeId="0" xr:uid="{00000000-0006-0000-0200-0000AA000000}">
      <text>
        <r>
          <rPr>
            <b/>
            <sz val="9"/>
            <color indexed="81"/>
            <rFont val="Tahoma"/>
            <family val="2"/>
          </rPr>
          <t>Author:</t>
        </r>
        <r>
          <rPr>
            <sz val="9"/>
            <color indexed="81"/>
            <rFont val="Tahoma"/>
            <family val="2"/>
          </rPr>
          <t xml:space="preserve">
corrected AK June 5 2021</t>
        </r>
      </text>
    </comment>
    <comment ref="DA1250" authorId="0" shapeId="0" xr:uid="{00000000-0006-0000-0200-0000AB000000}">
      <text>
        <r>
          <rPr>
            <b/>
            <sz val="9"/>
            <color indexed="81"/>
            <rFont val="Tahoma"/>
            <family val="2"/>
          </rPr>
          <t>Author:</t>
        </r>
        <r>
          <rPr>
            <sz val="9"/>
            <color indexed="81"/>
            <rFont val="Tahoma"/>
            <family val="2"/>
          </rPr>
          <t xml:space="preserve">
corrected AK June 5 2021</t>
        </r>
      </text>
    </comment>
    <comment ref="DB1250" authorId="0" shapeId="0" xr:uid="{00000000-0006-0000-0200-0000AC000000}">
      <text>
        <r>
          <rPr>
            <b/>
            <sz val="9"/>
            <color indexed="81"/>
            <rFont val="Tahoma"/>
            <family val="2"/>
          </rPr>
          <t>Author:</t>
        </r>
        <r>
          <rPr>
            <sz val="9"/>
            <color indexed="81"/>
            <rFont val="Tahoma"/>
            <family val="2"/>
          </rPr>
          <t xml:space="preserve">
corrected AK June 5 2021</t>
        </r>
      </text>
    </comment>
    <comment ref="DC1250" authorId="0" shapeId="0" xr:uid="{00000000-0006-0000-0200-0000AD000000}">
      <text>
        <r>
          <rPr>
            <b/>
            <sz val="9"/>
            <color indexed="81"/>
            <rFont val="Tahoma"/>
            <family val="2"/>
          </rPr>
          <t>Author:</t>
        </r>
        <r>
          <rPr>
            <sz val="9"/>
            <color indexed="81"/>
            <rFont val="Tahoma"/>
            <family val="2"/>
          </rPr>
          <t xml:space="preserve">
corrected AK June 5 2021</t>
        </r>
      </text>
    </comment>
    <comment ref="DD1250" authorId="0" shapeId="0" xr:uid="{00000000-0006-0000-0200-0000AE000000}">
      <text>
        <r>
          <rPr>
            <b/>
            <sz val="9"/>
            <color indexed="81"/>
            <rFont val="Tahoma"/>
            <family val="2"/>
          </rPr>
          <t>Author:</t>
        </r>
        <r>
          <rPr>
            <sz val="9"/>
            <color indexed="81"/>
            <rFont val="Tahoma"/>
            <family val="2"/>
          </rPr>
          <t xml:space="preserve">
corrected AK June 5 2021</t>
        </r>
      </text>
    </comment>
    <comment ref="DE1250" authorId="0" shapeId="0" xr:uid="{00000000-0006-0000-0200-0000AF000000}">
      <text>
        <r>
          <rPr>
            <b/>
            <sz val="9"/>
            <color indexed="81"/>
            <rFont val="Tahoma"/>
            <family val="2"/>
          </rPr>
          <t>Author:</t>
        </r>
        <r>
          <rPr>
            <sz val="9"/>
            <color indexed="81"/>
            <rFont val="Tahoma"/>
            <family val="2"/>
          </rPr>
          <t xml:space="preserve">
corrected AK June 5 2021</t>
        </r>
      </text>
    </comment>
    <comment ref="DF1250" authorId="0" shapeId="0" xr:uid="{00000000-0006-0000-0200-0000B0000000}">
      <text>
        <r>
          <rPr>
            <b/>
            <sz val="9"/>
            <color indexed="81"/>
            <rFont val="Tahoma"/>
            <family val="2"/>
          </rPr>
          <t>Author:</t>
        </r>
        <r>
          <rPr>
            <sz val="9"/>
            <color indexed="81"/>
            <rFont val="Tahoma"/>
            <family val="2"/>
          </rPr>
          <t xml:space="preserve">
corrected AK June 5 2021</t>
        </r>
      </text>
    </comment>
    <comment ref="DG1250" authorId="0" shapeId="0" xr:uid="{00000000-0006-0000-0200-0000B1000000}">
      <text>
        <r>
          <rPr>
            <b/>
            <sz val="9"/>
            <color indexed="81"/>
            <rFont val="Tahoma"/>
            <family val="2"/>
          </rPr>
          <t>Author:</t>
        </r>
        <r>
          <rPr>
            <sz val="9"/>
            <color indexed="81"/>
            <rFont val="Tahoma"/>
            <family val="2"/>
          </rPr>
          <t xml:space="preserve">
corrected AK June 5 2021</t>
        </r>
      </text>
    </comment>
    <comment ref="DH1250" authorId="0" shapeId="0" xr:uid="{00000000-0006-0000-0200-0000B2000000}">
      <text>
        <r>
          <rPr>
            <b/>
            <sz val="9"/>
            <color indexed="81"/>
            <rFont val="Tahoma"/>
            <family val="2"/>
          </rPr>
          <t>Author:</t>
        </r>
        <r>
          <rPr>
            <sz val="9"/>
            <color indexed="81"/>
            <rFont val="Tahoma"/>
            <family val="2"/>
          </rPr>
          <t xml:space="preserve">
corrected AK June 5 2021</t>
        </r>
      </text>
    </comment>
    <comment ref="DI1250" authorId="0" shapeId="0" xr:uid="{00000000-0006-0000-0200-0000B3000000}">
      <text>
        <r>
          <rPr>
            <b/>
            <sz val="9"/>
            <color indexed="81"/>
            <rFont val="Tahoma"/>
            <family val="2"/>
          </rPr>
          <t>Author:</t>
        </r>
        <r>
          <rPr>
            <sz val="9"/>
            <color indexed="81"/>
            <rFont val="Tahoma"/>
            <family val="2"/>
          </rPr>
          <t xml:space="preserve">
corrected AK June 5 2021</t>
        </r>
      </text>
    </comment>
    <comment ref="DJ1250" authorId="0" shapeId="0" xr:uid="{00000000-0006-0000-0200-0000B4000000}">
      <text>
        <r>
          <rPr>
            <b/>
            <sz val="9"/>
            <color indexed="81"/>
            <rFont val="Tahoma"/>
            <family val="2"/>
          </rPr>
          <t>Author:</t>
        </r>
        <r>
          <rPr>
            <sz val="9"/>
            <color indexed="81"/>
            <rFont val="Tahoma"/>
            <family val="2"/>
          </rPr>
          <t xml:space="preserve">
corrected AK June 5 2021</t>
        </r>
      </text>
    </comment>
    <comment ref="DK1250" authorId="0" shapeId="0" xr:uid="{00000000-0006-0000-0200-0000B5000000}">
      <text>
        <r>
          <rPr>
            <b/>
            <sz val="9"/>
            <color indexed="81"/>
            <rFont val="Tahoma"/>
            <family val="2"/>
          </rPr>
          <t>Author:</t>
        </r>
        <r>
          <rPr>
            <sz val="9"/>
            <color indexed="81"/>
            <rFont val="Tahoma"/>
            <family val="2"/>
          </rPr>
          <t xml:space="preserve">
corrected AK June 5 2021</t>
        </r>
      </text>
    </comment>
    <comment ref="DL1250" authorId="0" shapeId="0" xr:uid="{00000000-0006-0000-0200-0000B6000000}">
      <text>
        <r>
          <rPr>
            <b/>
            <sz val="9"/>
            <color indexed="81"/>
            <rFont val="Tahoma"/>
            <family val="2"/>
          </rPr>
          <t>Author:</t>
        </r>
        <r>
          <rPr>
            <sz val="9"/>
            <color indexed="81"/>
            <rFont val="Tahoma"/>
            <family val="2"/>
          </rPr>
          <t xml:space="preserve">
corrected AK June 5 2021</t>
        </r>
      </text>
    </comment>
    <comment ref="DM1250" authorId="0" shapeId="0" xr:uid="{00000000-0006-0000-0200-0000B7000000}">
      <text>
        <r>
          <rPr>
            <b/>
            <sz val="9"/>
            <color indexed="81"/>
            <rFont val="Tahoma"/>
            <family val="2"/>
          </rPr>
          <t>Author:</t>
        </r>
        <r>
          <rPr>
            <sz val="9"/>
            <color indexed="81"/>
            <rFont val="Tahoma"/>
            <family val="2"/>
          </rPr>
          <t xml:space="preserve">
corrected AK June 5 2021</t>
        </r>
      </text>
    </comment>
    <comment ref="DN1250" authorId="0" shapeId="0" xr:uid="{00000000-0006-0000-0200-0000B8000000}">
      <text>
        <r>
          <rPr>
            <b/>
            <sz val="9"/>
            <color indexed="81"/>
            <rFont val="Tahoma"/>
            <family val="2"/>
          </rPr>
          <t>Author:</t>
        </r>
        <r>
          <rPr>
            <sz val="9"/>
            <color indexed="81"/>
            <rFont val="Tahoma"/>
            <family val="2"/>
          </rPr>
          <t xml:space="preserve">
corrected AK June 5 2021</t>
        </r>
      </text>
    </comment>
    <comment ref="DO1250" authorId="0" shapeId="0" xr:uid="{00000000-0006-0000-0200-0000B9000000}">
      <text>
        <r>
          <rPr>
            <b/>
            <sz val="9"/>
            <color indexed="81"/>
            <rFont val="Tahoma"/>
            <family val="2"/>
          </rPr>
          <t>Author:</t>
        </r>
        <r>
          <rPr>
            <sz val="9"/>
            <color indexed="81"/>
            <rFont val="Tahoma"/>
            <family val="2"/>
          </rPr>
          <t xml:space="preserve">
corrected AK June 5 2021</t>
        </r>
      </text>
    </comment>
    <comment ref="DP1250" authorId="0" shapeId="0" xr:uid="{00000000-0006-0000-0200-0000BA000000}">
      <text>
        <r>
          <rPr>
            <b/>
            <sz val="9"/>
            <color indexed="81"/>
            <rFont val="Tahoma"/>
            <family val="2"/>
          </rPr>
          <t>Author:</t>
        </r>
        <r>
          <rPr>
            <sz val="9"/>
            <color indexed="81"/>
            <rFont val="Tahoma"/>
            <family val="2"/>
          </rPr>
          <t xml:space="preserve">
corrected AK June 5 2021</t>
        </r>
      </text>
    </comment>
    <comment ref="DQ1250" authorId="0" shapeId="0" xr:uid="{00000000-0006-0000-0200-0000BB000000}">
      <text>
        <r>
          <rPr>
            <b/>
            <sz val="9"/>
            <color indexed="81"/>
            <rFont val="Tahoma"/>
            <family val="2"/>
          </rPr>
          <t>Author:</t>
        </r>
        <r>
          <rPr>
            <sz val="9"/>
            <color indexed="81"/>
            <rFont val="Tahoma"/>
            <family val="2"/>
          </rPr>
          <t xml:space="preserve">
corrected AK June 5 2021</t>
        </r>
      </text>
    </comment>
    <comment ref="DR1250" authorId="0" shapeId="0" xr:uid="{00000000-0006-0000-0200-0000BC000000}">
      <text>
        <r>
          <rPr>
            <b/>
            <sz val="9"/>
            <color indexed="81"/>
            <rFont val="Tahoma"/>
            <family val="2"/>
          </rPr>
          <t>Author:</t>
        </r>
        <r>
          <rPr>
            <sz val="9"/>
            <color indexed="81"/>
            <rFont val="Tahoma"/>
            <family val="2"/>
          </rPr>
          <t xml:space="preserve">
corrected AK June 5 2021</t>
        </r>
      </text>
    </comment>
    <comment ref="DS1250" authorId="0" shapeId="0" xr:uid="{00000000-0006-0000-0200-0000BD000000}">
      <text>
        <r>
          <rPr>
            <b/>
            <sz val="9"/>
            <color indexed="81"/>
            <rFont val="Tahoma"/>
            <family val="2"/>
          </rPr>
          <t>Author:</t>
        </r>
        <r>
          <rPr>
            <sz val="9"/>
            <color indexed="81"/>
            <rFont val="Tahoma"/>
            <family val="2"/>
          </rPr>
          <t xml:space="preserve">
corrected AK June 5 2021</t>
        </r>
      </text>
    </comment>
    <comment ref="DT1250" authorId="0" shapeId="0" xr:uid="{00000000-0006-0000-0200-0000BE000000}">
      <text>
        <r>
          <rPr>
            <b/>
            <sz val="9"/>
            <color indexed="81"/>
            <rFont val="Tahoma"/>
            <family val="2"/>
          </rPr>
          <t>Author:</t>
        </r>
        <r>
          <rPr>
            <sz val="9"/>
            <color indexed="81"/>
            <rFont val="Tahoma"/>
            <family val="2"/>
          </rPr>
          <t xml:space="preserve">
corrected AK June 5 2021</t>
        </r>
      </text>
    </comment>
    <comment ref="DU1250" authorId="0" shapeId="0" xr:uid="{00000000-0006-0000-0200-0000BF000000}">
      <text>
        <r>
          <rPr>
            <b/>
            <sz val="9"/>
            <color indexed="81"/>
            <rFont val="Tahoma"/>
            <family val="2"/>
          </rPr>
          <t>Author:</t>
        </r>
        <r>
          <rPr>
            <sz val="9"/>
            <color indexed="81"/>
            <rFont val="Tahoma"/>
            <family val="2"/>
          </rPr>
          <t xml:space="preserve">
corrected AK June 5 2021</t>
        </r>
      </text>
    </comment>
    <comment ref="DV1250" authorId="0" shapeId="0" xr:uid="{00000000-0006-0000-0200-0000C0000000}">
      <text>
        <r>
          <rPr>
            <b/>
            <sz val="9"/>
            <color indexed="81"/>
            <rFont val="Tahoma"/>
            <family val="2"/>
          </rPr>
          <t>Author:</t>
        </r>
        <r>
          <rPr>
            <sz val="9"/>
            <color indexed="81"/>
            <rFont val="Tahoma"/>
            <family val="2"/>
          </rPr>
          <t xml:space="preserve">
corrected AK June 5 2021</t>
        </r>
      </text>
    </comment>
    <comment ref="DW1250" authorId="0" shapeId="0" xr:uid="{00000000-0006-0000-0200-0000C1000000}">
      <text>
        <r>
          <rPr>
            <b/>
            <sz val="9"/>
            <color indexed="81"/>
            <rFont val="Tahoma"/>
            <family val="2"/>
          </rPr>
          <t>Author:</t>
        </r>
        <r>
          <rPr>
            <sz val="9"/>
            <color indexed="81"/>
            <rFont val="Tahoma"/>
            <family val="2"/>
          </rPr>
          <t xml:space="preserve">
corrected AK June 5 2021</t>
        </r>
      </text>
    </comment>
    <comment ref="DX1250" authorId="0" shapeId="0" xr:uid="{00000000-0006-0000-0200-0000C2000000}">
      <text>
        <r>
          <rPr>
            <b/>
            <sz val="9"/>
            <color indexed="81"/>
            <rFont val="Tahoma"/>
            <family val="2"/>
          </rPr>
          <t>Author:</t>
        </r>
        <r>
          <rPr>
            <sz val="9"/>
            <color indexed="81"/>
            <rFont val="Tahoma"/>
            <family val="2"/>
          </rPr>
          <t xml:space="preserve">
corrected AK June 5 2021</t>
        </r>
      </text>
    </comment>
    <comment ref="DY1250" authorId="0" shapeId="0" xr:uid="{00000000-0006-0000-0200-0000C3000000}">
      <text>
        <r>
          <rPr>
            <b/>
            <sz val="9"/>
            <color indexed="81"/>
            <rFont val="Tahoma"/>
            <family val="2"/>
          </rPr>
          <t>Author:</t>
        </r>
        <r>
          <rPr>
            <sz val="9"/>
            <color indexed="81"/>
            <rFont val="Tahoma"/>
            <family val="2"/>
          </rPr>
          <t xml:space="preserve">
corrected AK June 5 2021</t>
        </r>
      </text>
    </comment>
    <comment ref="DZ1250" authorId="0" shapeId="0" xr:uid="{00000000-0006-0000-0200-0000C4000000}">
      <text>
        <r>
          <rPr>
            <b/>
            <sz val="9"/>
            <color indexed="81"/>
            <rFont val="Tahoma"/>
            <family val="2"/>
          </rPr>
          <t>Author:</t>
        </r>
        <r>
          <rPr>
            <sz val="9"/>
            <color indexed="81"/>
            <rFont val="Tahoma"/>
            <family val="2"/>
          </rPr>
          <t xml:space="preserve">
corrected AK June 5 2021</t>
        </r>
      </text>
    </comment>
    <comment ref="EA1250" authorId="0" shapeId="0" xr:uid="{00000000-0006-0000-0200-0000C5000000}">
      <text>
        <r>
          <rPr>
            <b/>
            <sz val="9"/>
            <color indexed="81"/>
            <rFont val="Tahoma"/>
            <family val="2"/>
          </rPr>
          <t>Author:</t>
        </r>
        <r>
          <rPr>
            <sz val="9"/>
            <color indexed="81"/>
            <rFont val="Tahoma"/>
            <family val="2"/>
          </rPr>
          <t xml:space="preserve">
corrected AK June 5 2021</t>
        </r>
      </text>
    </comment>
    <comment ref="EB1250" authorId="0" shapeId="0" xr:uid="{00000000-0006-0000-0200-0000C6000000}">
      <text>
        <r>
          <rPr>
            <b/>
            <sz val="9"/>
            <color indexed="81"/>
            <rFont val="Tahoma"/>
            <family val="2"/>
          </rPr>
          <t>Author:</t>
        </r>
        <r>
          <rPr>
            <sz val="9"/>
            <color indexed="81"/>
            <rFont val="Tahoma"/>
            <family val="2"/>
          </rPr>
          <t xml:space="preserve">
corrected AK June 5 2021</t>
        </r>
      </text>
    </comment>
    <comment ref="EC1250" authorId="0" shapeId="0" xr:uid="{00000000-0006-0000-0200-0000C7000000}">
      <text>
        <r>
          <rPr>
            <b/>
            <sz val="9"/>
            <color indexed="81"/>
            <rFont val="Tahoma"/>
            <family val="2"/>
          </rPr>
          <t>Author:</t>
        </r>
        <r>
          <rPr>
            <sz val="9"/>
            <color indexed="81"/>
            <rFont val="Tahoma"/>
            <family val="2"/>
          </rPr>
          <t xml:space="preserve">
corrected AK June 5 2021</t>
        </r>
      </text>
    </comment>
    <comment ref="ED1250" authorId="0" shapeId="0" xr:uid="{00000000-0006-0000-0200-0000C8000000}">
      <text>
        <r>
          <rPr>
            <b/>
            <sz val="9"/>
            <color indexed="81"/>
            <rFont val="Tahoma"/>
            <family val="2"/>
          </rPr>
          <t>Author:</t>
        </r>
        <r>
          <rPr>
            <sz val="9"/>
            <color indexed="81"/>
            <rFont val="Tahoma"/>
            <family val="2"/>
          </rPr>
          <t xml:space="preserve">
corrected AK June 5 2021</t>
        </r>
      </text>
    </comment>
    <comment ref="EE1250" authorId="0" shapeId="0" xr:uid="{00000000-0006-0000-0200-0000C9000000}">
      <text>
        <r>
          <rPr>
            <b/>
            <sz val="9"/>
            <color indexed="81"/>
            <rFont val="Tahoma"/>
            <family val="2"/>
          </rPr>
          <t>Author:</t>
        </r>
        <r>
          <rPr>
            <sz val="9"/>
            <color indexed="81"/>
            <rFont val="Tahoma"/>
            <family val="2"/>
          </rPr>
          <t xml:space="preserve">
corrected AK June 5 2021</t>
        </r>
      </text>
    </comment>
    <comment ref="EF1250" authorId="0" shapeId="0" xr:uid="{00000000-0006-0000-0200-0000CA000000}">
      <text>
        <r>
          <rPr>
            <b/>
            <sz val="9"/>
            <color indexed="81"/>
            <rFont val="Tahoma"/>
            <family val="2"/>
          </rPr>
          <t>Author:</t>
        </r>
        <r>
          <rPr>
            <sz val="9"/>
            <color indexed="81"/>
            <rFont val="Tahoma"/>
            <family val="2"/>
          </rPr>
          <t xml:space="preserve">
corrected AK June 5 2021</t>
        </r>
      </text>
    </comment>
    <comment ref="EG1250" authorId="0" shapeId="0" xr:uid="{00000000-0006-0000-0200-0000CB000000}">
      <text>
        <r>
          <rPr>
            <b/>
            <sz val="9"/>
            <color indexed="81"/>
            <rFont val="Tahoma"/>
            <family val="2"/>
          </rPr>
          <t>Author:</t>
        </r>
        <r>
          <rPr>
            <sz val="9"/>
            <color indexed="81"/>
            <rFont val="Tahoma"/>
            <family val="2"/>
          </rPr>
          <t xml:space="preserve">
corrected AK June 5 2021</t>
        </r>
      </text>
    </comment>
    <comment ref="EH1250" authorId="0" shapeId="0" xr:uid="{00000000-0006-0000-0200-0000CC000000}">
      <text>
        <r>
          <rPr>
            <b/>
            <sz val="9"/>
            <color indexed="81"/>
            <rFont val="Tahoma"/>
            <family val="2"/>
          </rPr>
          <t>Author:</t>
        </r>
        <r>
          <rPr>
            <sz val="9"/>
            <color indexed="81"/>
            <rFont val="Tahoma"/>
            <family val="2"/>
          </rPr>
          <t xml:space="preserve">
corrected AK June 5 2021</t>
        </r>
      </text>
    </comment>
    <comment ref="EI1250" authorId="0" shapeId="0" xr:uid="{00000000-0006-0000-0200-0000CD000000}">
      <text>
        <r>
          <rPr>
            <b/>
            <sz val="9"/>
            <color indexed="81"/>
            <rFont val="Tahoma"/>
            <family val="2"/>
          </rPr>
          <t>Author:</t>
        </r>
        <r>
          <rPr>
            <sz val="9"/>
            <color indexed="81"/>
            <rFont val="Tahoma"/>
            <family val="2"/>
          </rPr>
          <t xml:space="preserve">
corrected AK June 5 2021</t>
        </r>
      </text>
    </comment>
    <comment ref="EJ1250" authorId="0" shapeId="0" xr:uid="{00000000-0006-0000-0200-0000CE000000}">
      <text>
        <r>
          <rPr>
            <b/>
            <sz val="9"/>
            <color indexed="81"/>
            <rFont val="Tahoma"/>
            <family val="2"/>
          </rPr>
          <t>Author:</t>
        </r>
        <r>
          <rPr>
            <sz val="9"/>
            <color indexed="81"/>
            <rFont val="Tahoma"/>
            <family val="2"/>
          </rPr>
          <t xml:space="preserve">
corrected AK June 5 2021</t>
        </r>
      </text>
    </comment>
    <comment ref="EK1250" authorId="0" shapeId="0" xr:uid="{00000000-0006-0000-0200-0000CF000000}">
      <text>
        <r>
          <rPr>
            <b/>
            <sz val="9"/>
            <color indexed="81"/>
            <rFont val="Tahoma"/>
            <family val="2"/>
          </rPr>
          <t>Author:</t>
        </r>
        <r>
          <rPr>
            <sz val="9"/>
            <color indexed="81"/>
            <rFont val="Tahoma"/>
            <family val="2"/>
          </rPr>
          <t xml:space="preserve">
corrected AK June 5 2021</t>
        </r>
      </text>
    </comment>
    <comment ref="EL1250" authorId="0" shapeId="0" xr:uid="{00000000-0006-0000-0200-0000D0000000}">
      <text>
        <r>
          <rPr>
            <b/>
            <sz val="9"/>
            <color indexed="81"/>
            <rFont val="Tahoma"/>
            <family val="2"/>
          </rPr>
          <t>Author:</t>
        </r>
        <r>
          <rPr>
            <sz val="9"/>
            <color indexed="81"/>
            <rFont val="Tahoma"/>
            <family val="2"/>
          </rPr>
          <t xml:space="preserve">
corrected AK June 5 2021</t>
        </r>
      </text>
    </comment>
    <comment ref="EM1250" authorId="0" shapeId="0" xr:uid="{00000000-0006-0000-0200-0000D1000000}">
      <text>
        <r>
          <rPr>
            <b/>
            <sz val="9"/>
            <color indexed="81"/>
            <rFont val="Tahoma"/>
            <family val="2"/>
          </rPr>
          <t>Author:</t>
        </r>
        <r>
          <rPr>
            <sz val="9"/>
            <color indexed="81"/>
            <rFont val="Tahoma"/>
            <family val="2"/>
          </rPr>
          <t xml:space="preserve">
corrected AK June 5 2021</t>
        </r>
      </text>
    </comment>
    <comment ref="EN1250" authorId="0" shapeId="0" xr:uid="{00000000-0006-0000-0200-0000D2000000}">
      <text>
        <r>
          <rPr>
            <b/>
            <sz val="9"/>
            <color indexed="81"/>
            <rFont val="Tahoma"/>
            <family val="2"/>
          </rPr>
          <t>Author:</t>
        </r>
        <r>
          <rPr>
            <sz val="9"/>
            <color indexed="81"/>
            <rFont val="Tahoma"/>
            <family val="2"/>
          </rPr>
          <t xml:space="preserve">
corrected AK June 5 2021</t>
        </r>
      </text>
    </comment>
    <comment ref="EO1250" authorId="0" shapeId="0" xr:uid="{00000000-0006-0000-0200-0000D3000000}">
      <text>
        <r>
          <rPr>
            <b/>
            <sz val="9"/>
            <color indexed="81"/>
            <rFont val="Tahoma"/>
            <family val="2"/>
          </rPr>
          <t>Author:</t>
        </r>
        <r>
          <rPr>
            <sz val="9"/>
            <color indexed="81"/>
            <rFont val="Tahoma"/>
            <family val="2"/>
          </rPr>
          <t xml:space="preserve">
corrected AK June 5 2021</t>
        </r>
      </text>
    </comment>
    <comment ref="EP1250" authorId="0" shapeId="0" xr:uid="{00000000-0006-0000-0200-0000D4000000}">
      <text>
        <r>
          <rPr>
            <b/>
            <sz val="9"/>
            <color indexed="81"/>
            <rFont val="Tahoma"/>
            <family val="2"/>
          </rPr>
          <t>Author:</t>
        </r>
        <r>
          <rPr>
            <sz val="9"/>
            <color indexed="81"/>
            <rFont val="Tahoma"/>
            <family val="2"/>
          </rPr>
          <t xml:space="preserve">
corrected AK June 5 2021</t>
        </r>
      </text>
    </comment>
    <comment ref="EQ1250" authorId="0" shapeId="0" xr:uid="{00000000-0006-0000-0200-0000D5000000}">
      <text>
        <r>
          <rPr>
            <b/>
            <sz val="9"/>
            <color indexed="81"/>
            <rFont val="Tahoma"/>
            <family val="2"/>
          </rPr>
          <t>Author:</t>
        </r>
        <r>
          <rPr>
            <sz val="9"/>
            <color indexed="81"/>
            <rFont val="Tahoma"/>
            <family val="2"/>
          </rPr>
          <t xml:space="preserve">
corrected AK June 5 2021</t>
        </r>
      </text>
    </comment>
    <comment ref="ER1250" authorId="0" shapeId="0" xr:uid="{00000000-0006-0000-0200-0000D6000000}">
      <text>
        <r>
          <rPr>
            <b/>
            <sz val="9"/>
            <color indexed="81"/>
            <rFont val="Tahoma"/>
            <family val="2"/>
          </rPr>
          <t>Author:</t>
        </r>
        <r>
          <rPr>
            <sz val="9"/>
            <color indexed="81"/>
            <rFont val="Tahoma"/>
            <family val="2"/>
          </rPr>
          <t xml:space="preserve">
corrected AK June 5 2021</t>
        </r>
      </text>
    </comment>
    <comment ref="ES1250" authorId="0" shapeId="0" xr:uid="{00000000-0006-0000-0200-0000D7000000}">
      <text>
        <r>
          <rPr>
            <b/>
            <sz val="9"/>
            <color indexed="81"/>
            <rFont val="Tahoma"/>
            <family val="2"/>
          </rPr>
          <t>Author:</t>
        </r>
        <r>
          <rPr>
            <sz val="9"/>
            <color indexed="81"/>
            <rFont val="Tahoma"/>
            <family val="2"/>
          </rPr>
          <t xml:space="preserve">
corrected AK June 5 2021</t>
        </r>
      </text>
    </comment>
    <comment ref="ET1250" authorId="0" shapeId="0" xr:uid="{00000000-0006-0000-0200-0000D8000000}">
      <text>
        <r>
          <rPr>
            <b/>
            <sz val="9"/>
            <color indexed="81"/>
            <rFont val="Tahoma"/>
            <family val="2"/>
          </rPr>
          <t>Author:</t>
        </r>
        <r>
          <rPr>
            <sz val="9"/>
            <color indexed="81"/>
            <rFont val="Tahoma"/>
            <family val="2"/>
          </rPr>
          <t xml:space="preserve">
corrected AK June 5 2021</t>
        </r>
      </text>
    </comment>
    <comment ref="EU1250" authorId="0" shapeId="0" xr:uid="{00000000-0006-0000-0200-0000D9000000}">
      <text>
        <r>
          <rPr>
            <b/>
            <sz val="9"/>
            <color indexed="81"/>
            <rFont val="Tahoma"/>
            <family val="2"/>
          </rPr>
          <t>Author:</t>
        </r>
        <r>
          <rPr>
            <sz val="9"/>
            <color indexed="81"/>
            <rFont val="Tahoma"/>
            <family val="2"/>
          </rPr>
          <t xml:space="preserve">
corrected AK June 5 2021</t>
        </r>
      </text>
    </comment>
    <comment ref="EV1250" authorId="0" shapeId="0" xr:uid="{00000000-0006-0000-0200-0000DA000000}">
      <text>
        <r>
          <rPr>
            <b/>
            <sz val="9"/>
            <color indexed="81"/>
            <rFont val="Tahoma"/>
            <family val="2"/>
          </rPr>
          <t>Author:</t>
        </r>
        <r>
          <rPr>
            <sz val="9"/>
            <color indexed="81"/>
            <rFont val="Tahoma"/>
            <family val="2"/>
          </rPr>
          <t xml:space="preserve">
corrected AK June 5 2021</t>
        </r>
      </text>
    </comment>
    <comment ref="EW1250" authorId="0" shapeId="0" xr:uid="{00000000-0006-0000-0200-0000DB000000}">
      <text>
        <r>
          <rPr>
            <b/>
            <sz val="9"/>
            <color indexed="81"/>
            <rFont val="Tahoma"/>
            <family val="2"/>
          </rPr>
          <t>Author:</t>
        </r>
        <r>
          <rPr>
            <sz val="9"/>
            <color indexed="81"/>
            <rFont val="Tahoma"/>
            <family val="2"/>
          </rPr>
          <t xml:space="preserve">
corrected AK June 5 2021</t>
        </r>
      </text>
    </comment>
    <comment ref="EX1250" authorId="0" shapeId="0" xr:uid="{00000000-0006-0000-0200-0000DC000000}">
      <text>
        <r>
          <rPr>
            <b/>
            <sz val="9"/>
            <color indexed="81"/>
            <rFont val="Tahoma"/>
            <family val="2"/>
          </rPr>
          <t>Author:</t>
        </r>
        <r>
          <rPr>
            <sz val="9"/>
            <color indexed="81"/>
            <rFont val="Tahoma"/>
            <family val="2"/>
          </rPr>
          <t xml:space="preserve">
corrected AK June 5 2021</t>
        </r>
      </text>
    </comment>
    <comment ref="EY1254" authorId="0" shapeId="0" xr:uid="{00000000-0006-0000-0200-0000D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Z1254" authorId="0" shapeId="0" xr:uid="{00000000-0006-0000-0200-0000D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A1254" authorId="0" shapeId="0" xr:uid="{00000000-0006-0000-0200-0000DF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B1254" authorId="0" shapeId="0" xr:uid="{00000000-0006-0000-0200-0000E0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C1254" authorId="0" shapeId="0" xr:uid="{00000000-0006-0000-0200-0000E1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D1254" authorId="0" shapeId="0" xr:uid="{00000000-0006-0000-0200-0000E2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E1254" authorId="0" shapeId="0" xr:uid="{00000000-0006-0000-0200-0000E3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F1254" authorId="0" shapeId="0" xr:uid="{00000000-0006-0000-0200-0000E4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G1254" authorId="0" shapeId="0" xr:uid="{00000000-0006-0000-0200-0000E5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H1254" authorId="0" shapeId="0" xr:uid="{00000000-0006-0000-0200-0000E6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I1254" authorId="0" shapeId="0" xr:uid="{00000000-0006-0000-0200-0000E7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J1254" authorId="0" shapeId="0" xr:uid="{00000000-0006-0000-0200-0000E8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K1254" authorId="0" shapeId="0" xr:uid="{00000000-0006-0000-0200-0000E9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L1254" authorId="0" shapeId="0" xr:uid="{00000000-0006-0000-0200-0000EA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M1254" authorId="0" shapeId="0" xr:uid="{00000000-0006-0000-0200-0000EB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N1254" authorId="0" shapeId="0" xr:uid="{00000000-0006-0000-0200-0000EC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O1254" authorId="0" shapeId="0" xr:uid="{00000000-0006-0000-0200-0000ED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FP1254" authorId="0" shapeId="0" xr:uid="{00000000-0006-0000-0200-0000EE000000}">
      <text>
        <r>
          <rPr>
            <b/>
            <sz val="9"/>
            <color indexed="81"/>
            <rFont val="Tahoma"/>
            <family val="2"/>
          </rPr>
          <t>Author:</t>
        </r>
        <r>
          <rPr>
            <sz val="9"/>
            <color indexed="81"/>
            <rFont val="Tahoma"/>
            <family val="2"/>
          </rPr>
          <t xml:space="preserve">
-/-net acquisition of fin assets (-=financing)+net incurrence liab (+=financing)+netL (we put above line)-/-foreign financing
</t>
        </r>
      </text>
    </comment>
    <comment ref="EY1255" authorId="0" shapeId="0" xr:uid="{00000000-0006-0000-0200-0000EF000000}">
      <text>
        <r>
          <rPr>
            <b/>
            <sz val="9"/>
            <color indexed="81"/>
            <rFont val="Tahoma"/>
            <family val="2"/>
          </rPr>
          <t>Author:</t>
        </r>
        <r>
          <rPr>
            <sz val="9"/>
            <color indexed="81"/>
            <rFont val="Tahoma"/>
            <family val="2"/>
          </rPr>
          <t xml:space="preserve">
some drawdown of deposits 8 (+) and net repayment of banks (-)</t>
        </r>
      </text>
    </comment>
    <comment ref="EZ1255" authorId="0" shapeId="0" xr:uid="{00000000-0006-0000-0200-0000F0000000}">
      <text>
        <r>
          <rPr>
            <b/>
            <sz val="9"/>
            <color indexed="81"/>
            <rFont val="Tahoma"/>
            <family val="2"/>
          </rPr>
          <t>Author:</t>
        </r>
        <r>
          <rPr>
            <sz val="9"/>
            <color indexed="81"/>
            <rFont val="Tahoma"/>
            <family val="2"/>
          </rPr>
          <t xml:space="preserve">
some drawdown of deposits 8 (+) and net repayment of banks (-)</t>
        </r>
      </text>
    </comment>
    <comment ref="FA1255" authorId="0" shapeId="0" xr:uid="{00000000-0006-0000-0200-0000F1000000}">
      <text>
        <r>
          <rPr>
            <b/>
            <sz val="9"/>
            <color indexed="81"/>
            <rFont val="Tahoma"/>
            <family val="2"/>
          </rPr>
          <t>Author:</t>
        </r>
        <r>
          <rPr>
            <sz val="9"/>
            <color indexed="81"/>
            <rFont val="Tahoma"/>
            <family val="2"/>
          </rPr>
          <t xml:space="preserve">
some drawdown of deposits 8 (+) and net repayment of banks (-)</t>
        </r>
      </text>
    </comment>
    <comment ref="FB1255" authorId="0" shapeId="0" xr:uid="{00000000-0006-0000-0200-0000F2000000}">
      <text>
        <r>
          <rPr>
            <b/>
            <sz val="9"/>
            <color indexed="81"/>
            <rFont val="Tahoma"/>
            <family val="2"/>
          </rPr>
          <t>Author:</t>
        </r>
        <r>
          <rPr>
            <sz val="9"/>
            <color indexed="81"/>
            <rFont val="Tahoma"/>
            <family val="2"/>
          </rPr>
          <t xml:space="preserve">
some drawdown of deposits 8 (+) and net repayment of banks (-)</t>
        </r>
      </text>
    </comment>
    <comment ref="FC1255" authorId="0" shapeId="0" xr:uid="{00000000-0006-0000-0200-0000F3000000}">
      <text>
        <r>
          <rPr>
            <b/>
            <sz val="9"/>
            <color indexed="81"/>
            <rFont val="Tahoma"/>
            <family val="2"/>
          </rPr>
          <t>Author:</t>
        </r>
        <r>
          <rPr>
            <sz val="9"/>
            <color indexed="81"/>
            <rFont val="Tahoma"/>
            <family val="2"/>
          </rPr>
          <t xml:space="preserve">
some drawdown of deposits 8 (+) and net repayment of banks (-)</t>
        </r>
      </text>
    </comment>
    <comment ref="FD1255" authorId="0" shapeId="0" xr:uid="{00000000-0006-0000-0200-0000F4000000}">
      <text>
        <r>
          <rPr>
            <b/>
            <sz val="9"/>
            <color indexed="81"/>
            <rFont val="Tahoma"/>
            <family val="2"/>
          </rPr>
          <t>Author:</t>
        </r>
        <r>
          <rPr>
            <sz val="9"/>
            <color indexed="81"/>
            <rFont val="Tahoma"/>
            <family val="2"/>
          </rPr>
          <t xml:space="preserve">
some drawdown of deposits 8 (+) and net repayment of banks (-)</t>
        </r>
      </text>
    </comment>
    <comment ref="FE1255" authorId="0" shapeId="0" xr:uid="{00000000-0006-0000-0200-0000F5000000}">
      <text>
        <r>
          <rPr>
            <b/>
            <sz val="9"/>
            <color indexed="81"/>
            <rFont val="Tahoma"/>
            <family val="2"/>
          </rPr>
          <t>Author:</t>
        </r>
        <r>
          <rPr>
            <sz val="9"/>
            <color indexed="81"/>
            <rFont val="Tahoma"/>
            <family val="2"/>
          </rPr>
          <t xml:space="preserve">
some drawdown of deposits 8 (+) and net repayment of banks (-)</t>
        </r>
      </text>
    </comment>
    <comment ref="FF1255" authorId="0" shapeId="0" xr:uid="{00000000-0006-0000-0200-0000F6000000}">
      <text>
        <r>
          <rPr>
            <b/>
            <sz val="9"/>
            <color indexed="81"/>
            <rFont val="Tahoma"/>
            <family val="2"/>
          </rPr>
          <t>Author:</t>
        </r>
        <r>
          <rPr>
            <sz val="9"/>
            <color indexed="81"/>
            <rFont val="Tahoma"/>
            <family val="2"/>
          </rPr>
          <t xml:space="preserve">
some drawdown of deposits 8 (+) and net repayment of banks (-)</t>
        </r>
      </text>
    </comment>
    <comment ref="FG1255" authorId="0" shapeId="0" xr:uid="{00000000-0006-0000-0200-0000F7000000}">
      <text>
        <r>
          <rPr>
            <b/>
            <sz val="9"/>
            <color indexed="81"/>
            <rFont val="Tahoma"/>
            <family val="2"/>
          </rPr>
          <t>Author:</t>
        </r>
        <r>
          <rPr>
            <sz val="9"/>
            <color indexed="81"/>
            <rFont val="Tahoma"/>
            <family val="2"/>
          </rPr>
          <t xml:space="preserve">
some drawdown of deposits 8 (+) and net repayment of banks (-)</t>
        </r>
      </text>
    </comment>
    <comment ref="FH1255" authorId="0" shapeId="0" xr:uid="{00000000-0006-0000-0200-0000F8000000}">
      <text>
        <r>
          <rPr>
            <b/>
            <sz val="9"/>
            <color indexed="81"/>
            <rFont val="Tahoma"/>
            <family val="2"/>
          </rPr>
          <t>Author:</t>
        </r>
        <r>
          <rPr>
            <sz val="9"/>
            <color indexed="81"/>
            <rFont val="Tahoma"/>
            <family val="2"/>
          </rPr>
          <t xml:space="preserve">
some drawdown of deposits 8 (+) and net repayment of banks (-)</t>
        </r>
      </text>
    </comment>
    <comment ref="FI1255" authorId="0" shapeId="0" xr:uid="{00000000-0006-0000-0200-0000F9000000}">
      <text>
        <r>
          <rPr>
            <b/>
            <sz val="9"/>
            <color indexed="81"/>
            <rFont val="Tahoma"/>
            <family val="2"/>
          </rPr>
          <t>Author:</t>
        </r>
        <r>
          <rPr>
            <sz val="9"/>
            <color indexed="81"/>
            <rFont val="Tahoma"/>
            <family val="2"/>
          </rPr>
          <t xml:space="preserve">
some drawdown of deposits 8 (+) and net repayment of banks (-)</t>
        </r>
      </text>
    </comment>
    <comment ref="FJ1255" authorId="0" shapeId="0" xr:uid="{00000000-0006-0000-0200-0000FA000000}">
      <text>
        <r>
          <rPr>
            <b/>
            <sz val="9"/>
            <color indexed="81"/>
            <rFont val="Tahoma"/>
            <family val="2"/>
          </rPr>
          <t>Author:</t>
        </r>
        <r>
          <rPr>
            <sz val="9"/>
            <color indexed="81"/>
            <rFont val="Tahoma"/>
            <family val="2"/>
          </rPr>
          <t xml:space="preserve">
some drawdown of deposits 8 (+) and net repayment of banks (-)</t>
        </r>
      </text>
    </comment>
    <comment ref="FK1255" authorId="0" shapeId="0" xr:uid="{00000000-0006-0000-0200-0000FB000000}">
      <text>
        <r>
          <rPr>
            <b/>
            <sz val="9"/>
            <color indexed="81"/>
            <rFont val="Tahoma"/>
            <family val="2"/>
          </rPr>
          <t>Author:</t>
        </r>
        <r>
          <rPr>
            <sz val="9"/>
            <color indexed="81"/>
            <rFont val="Tahoma"/>
            <family val="2"/>
          </rPr>
          <t xml:space="preserve">
some drawdown of deposits 8 (+) and net repayment of banks (-)</t>
        </r>
      </text>
    </comment>
    <comment ref="FL1255" authorId="0" shapeId="0" xr:uid="{00000000-0006-0000-0200-0000FC000000}">
      <text>
        <r>
          <rPr>
            <b/>
            <sz val="9"/>
            <color indexed="81"/>
            <rFont val="Tahoma"/>
            <family val="2"/>
          </rPr>
          <t>Author:</t>
        </r>
        <r>
          <rPr>
            <sz val="9"/>
            <color indexed="81"/>
            <rFont val="Tahoma"/>
            <family val="2"/>
          </rPr>
          <t xml:space="preserve">
some drawdown of deposits 8 (+) and net repayment of banks (-)</t>
        </r>
      </text>
    </comment>
    <comment ref="FM1255" authorId="0" shapeId="0" xr:uid="{00000000-0006-0000-0200-0000FD000000}">
      <text>
        <r>
          <rPr>
            <b/>
            <sz val="9"/>
            <color indexed="81"/>
            <rFont val="Tahoma"/>
            <family val="2"/>
          </rPr>
          <t>Author:</t>
        </r>
        <r>
          <rPr>
            <sz val="9"/>
            <color indexed="81"/>
            <rFont val="Tahoma"/>
            <family val="2"/>
          </rPr>
          <t xml:space="preserve">
some drawdown of deposits 8 (+) and net repayment of banks (-)</t>
        </r>
      </text>
    </comment>
    <comment ref="FN1255" authorId="0" shapeId="0" xr:uid="{00000000-0006-0000-0200-0000FE000000}">
      <text>
        <r>
          <rPr>
            <b/>
            <sz val="9"/>
            <color indexed="81"/>
            <rFont val="Tahoma"/>
            <family val="2"/>
          </rPr>
          <t>Author:</t>
        </r>
        <r>
          <rPr>
            <sz val="9"/>
            <color indexed="81"/>
            <rFont val="Tahoma"/>
            <family val="2"/>
          </rPr>
          <t xml:space="preserve">
some drawdown of deposits 8 (+) and net repayment of banks (-)</t>
        </r>
      </text>
    </comment>
    <comment ref="FO1255" authorId="0" shapeId="0" xr:uid="{00000000-0006-0000-0200-0000FF000000}">
      <text>
        <r>
          <rPr>
            <b/>
            <sz val="9"/>
            <color indexed="81"/>
            <rFont val="Tahoma"/>
            <family val="2"/>
          </rPr>
          <t>Author:</t>
        </r>
        <r>
          <rPr>
            <sz val="9"/>
            <color indexed="81"/>
            <rFont val="Tahoma"/>
            <family val="2"/>
          </rPr>
          <t xml:space="preserve">
some drawdown of deposits 8 (+) and net repayment of banks (-)</t>
        </r>
      </text>
    </comment>
    <comment ref="FP1255" authorId="0" shapeId="0" xr:uid="{00000000-0006-0000-0200-000000010000}">
      <text>
        <r>
          <rPr>
            <b/>
            <sz val="9"/>
            <color indexed="81"/>
            <rFont val="Tahoma"/>
            <family val="2"/>
          </rPr>
          <t>Author:</t>
        </r>
        <r>
          <rPr>
            <sz val="9"/>
            <color indexed="81"/>
            <rFont val="Tahoma"/>
            <family val="2"/>
          </rPr>
          <t xml:space="preserve">
some drawdown of deposits 8 (+) and net repayment of banks (-)</t>
        </r>
      </text>
    </comment>
    <comment ref="EY1256" authorId="0" shapeId="0" xr:uid="{00000000-0006-0000-0200-000001010000}">
      <text>
        <r>
          <rPr>
            <b/>
            <sz val="9"/>
            <color indexed="81"/>
            <rFont val="Tahoma"/>
            <family val="2"/>
          </rPr>
          <t>Author:</t>
        </r>
        <r>
          <rPr>
            <sz val="9"/>
            <color indexed="81"/>
            <rFont val="Tahoma"/>
            <family val="2"/>
          </rPr>
          <t xml:space="preserve">
nonbanks bought securities (=) and accts payable (+)</t>
        </r>
      </text>
    </comment>
    <comment ref="EZ1256" authorId="0" shapeId="0" xr:uid="{00000000-0006-0000-0200-000002010000}">
      <text>
        <r>
          <rPr>
            <b/>
            <sz val="9"/>
            <color indexed="81"/>
            <rFont val="Tahoma"/>
            <family val="2"/>
          </rPr>
          <t>Author:</t>
        </r>
        <r>
          <rPr>
            <sz val="9"/>
            <color indexed="81"/>
            <rFont val="Tahoma"/>
            <family val="2"/>
          </rPr>
          <t xml:space="preserve">
nonbanks bought securities (=) and accts payable (+)</t>
        </r>
      </text>
    </comment>
    <comment ref="FA1256" authorId="0" shapeId="0" xr:uid="{00000000-0006-0000-0200-000003010000}">
      <text>
        <r>
          <rPr>
            <b/>
            <sz val="9"/>
            <color indexed="81"/>
            <rFont val="Tahoma"/>
            <family val="2"/>
          </rPr>
          <t>Author:</t>
        </r>
        <r>
          <rPr>
            <sz val="9"/>
            <color indexed="81"/>
            <rFont val="Tahoma"/>
            <family val="2"/>
          </rPr>
          <t xml:space="preserve">
nonbanks bought securities (=) and accts payable (+)</t>
        </r>
      </text>
    </comment>
    <comment ref="FB1256" authorId="0" shapeId="0" xr:uid="{00000000-0006-0000-0200-000004010000}">
      <text>
        <r>
          <rPr>
            <b/>
            <sz val="9"/>
            <color indexed="81"/>
            <rFont val="Tahoma"/>
            <family val="2"/>
          </rPr>
          <t>Author:</t>
        </r>
        <r>
          <rPr>
            <sz val="9"/>
            <color indexed="81"/>
            <rFont val="Tahoma"/>
            <family val="2"/>
          </rPr>
          <t xml:space="preserve">
nonbanks bought securities (=) and accts payable (+)</t>
        </r>
      </text>
    </comment>
    <comment ref="FC1256" authorId="0" shapeId="0" xr:uid="{00000000-0006-0000-0200-000005010000}">
      <text>
        <r>
          <rPr>
            <b/>
            <sz val="9"/>
            <color indexed="81"/>
            <rFont val="Tahoma"/>
            <family val="2"/>
          </rPr>
          <t>Author:</t>
        </r>
        <r>
          <rPr>
            <sz val="9"/>
            <color indexed="81"/>
            <rFont val="Tahoma"/>
            <family val="2"/>
          </rPr>
          <t xml:space="preserve">
nonbanks bought securities (=) and accts payable (+)</t>
        </r>
      </text>
    </comment>
    <comment ref="FD1256" authorId="0" shapeId="0" xr:uid="{00000000-0006-0000-0200-000006010000}">
      <text>
        <r>
          <rPr>
            <b/>
            <sz val="9"/>
            <color indexed="81"/>
            <rFont val="Tahoma"/>
            <family val="2"/>
          </rPr>
          <t>Author:</t>
        </r>
        <r>
          <rPr>
            <sz val="9"/>
            <color indexed="81"/>
            <rFont val="Tahoma"/>
            <family val="2"/>
          </rPr>
          <t xml:space="preserve">
nonbanks bought securities (=) and accts payable (+)</t>
        </r>
      </text>
    </comment>
    <comment ref="FE1256" authorId="0" shapeId="0" xr:uid="{00000000-0006-0000-0200-000007010000}">
      <text>
        <r>
          <rPr>
            <b/>
            <sz val="9"/>
            <color indexed="81"/>
            <rFont val="Tahoma"/>
            <family val="2"/>
          </rPr>
          <t>Author:</t>
        </r>
        <r>
          <rPr>
            <sz val="9"/>
            <color indexed="81"/>
            <rFont val="Tahoma"/>
            <family val="2"/>
          </rPr>
          <t xml:space="preserve">
nonbanks bought securities (=) and accts payable (+)</t>
        </r>
      </text>
    </comment>
    <comment ref="FF1256" authorId="0" shapeId="0" xr:uid="{00000000-0006-0000-0200-000008010000}">
      <text>
        <r>
          <rPr>
            <b/>
            <sz val="9"/>
            <color indexed="81"/>
            <rFont val="Tahoma"/>
            <family val="2"/>
          </rPr>
          <t>Author:</t>
        </r>
        <r>
          <rPr>
            <sz val="9"/>
            <color indexed="81"/>
            <rFont val="Tahoma"/>
            <family val="2"/>
          </rPr>
          <t xml:space="preserve">
nonbanks bought securities (=) and accts payable (+)</t>
        </r>
      </text>
    </comment>
    <comment ref="FG1256" authorId="0" shapeId="0" xr:uid="{00000000-0006-0000-0200-000009010000}">
      <text>
        <r>
          <rPr>
            <b/>
            <sz val="9"/>
            <color indexed="81"/>
            <rFont val="Tahoma"/>
            <family val="2"/>
          </rPr>
          <t>Author:</t>
        </r>
        <r>
          <rPr>
            <sz val="9"/>
            <color indexed="81"/>
            <rFont val="Tahoma"/>
            <family val="2"/>
          </rPr>
          <t xml:space="preserve">
nonbanks bought securities (=) and accts payable (+)</t>
        </r>
      </text>
    </comment>
    <comment ref="FH1256" authorId="0" shapeId="0" xr:uid="{00000000-0006-0000-0200-00000A010000}">
      <text>
        <r>
          <rPr>
            <b/>
            <sz val="9"/>
            <color indexed="81"/>
            <rFont val="Tahoma"/>
            <family val="2"/>
          </rPr>
          <t>Author:</t>
        </r>
        <r>
          <rPr>
            <sz val="9"/>
            <color indexed="81"/>
            <rFont val="Tahoma"/>
            <family val="2"/>
          </rPr>
          <t xml:space="preserve">
nonbanks bought securities (=) and accts payable (+)</t>
        </r>
      </text>
    </comment>
    <comment ref="FI1256" authorId="0" shapeId="0" xr:uid="{00000000-0006-0000-0200-00000B010000}">
      <text>
        <r>
          <rPr>
            <b/>
            <sz val="9"/>
            <color indexed="81"/>
            <rFont val="Tahoma"/>
            <family val="2"/>
          </rPr>
          <t>Author:</t>
        </r>
        <r>
          <rPr>
            <sz val="9"/>
            <color indexed="81"/>
            <rFont val="Tahoma"/>
            <family val="2"/>
          </rPr>
          <t xml:space="preserve">
nonbanks bought securities (=) and accts payable (+)</t>
        </r>
      </text>
    </comment>
    <comment ref="FJ1256" authorId="0" shapeId="0" xr:uid="{00000000-0006-0000-0200-00000C010000}">
      <text>
        <r>
          <rPr>
            <b/>
            <sz val="9"/>
            <color indexed="81"/>
            <rFont val="Tahoma"/>
            <family val="2"/>
          </rPr>
          <t>Author:</t>
        </r>
        <r>
          <rPr>
            <sz val="9"/>
            <color indexed="81"/>
            <rFont val="Tahoma"/>
            <family val="2"/>
          </rPr>
          <t xml:space="preserve">
nonbanks bought securities (=) and accts payable (+)</t>
        </r>
      </text>
    </comment>
    <comment ref="FK1256" authorId="0" shapeId="0" xr:uid="{00000000-0006-0000-0200-00000D010000}">
      <text>
        <r>
          <rPr>
            <b/>
            <sz val="9"/>
            <color indexed="81"/>
            <rFont val="Tahoma"/>
            <family val="2"/>
          </rPr>
          <t>Author:</t>
        </r>
        <r>
          <rPr>
            <sz val="9"/>
            <color indexed="81"/>
            <rFont val="Tahoma"/>
            <family val="2"/>
          </rPr>
          <t xml:space="preserve">
nonbanks bought securities (=) and accts payable (+)</t>
        </r>
      </text>
    </comment>
    <comment ref="FL1256" authorId="0" shapeId="0" xr:uid="{00000000-0006-0000-0200-00000E010000}">
      <text>
        <r>
          <rPr>
            <b/>
            <sz val="9"/>
            <color indexed="81"/>
            <rFont val="Tahoma"/>
            <family val="2"/>
          </rPr>
          <t>Author:</t>
        </r>
        <r>
          <rPr>
            <sz val="9"/>
            <color indexed="81"/>
            <rFont val="Tahoma"/>
            <family val="2"/>
          </rPr>
          <t xml:space="preserve">
nonbanks bought securities (=) and accts payable (+)</t>
        </r>
      </text>
    </comment>
    <comment ref="FM1256" authorId="0" shapeId="0" xr:uid="{00000000-0006-0000-0200-00000F010000}">
      <text>
        <r>
          <rPr>
            <b/>
            <sz val="9"/>
            <color indexed="81"/>
            <rFont val="Tahoma"/>
            <family val="2"/>
          </rPr>
          <t>Author:</t>
        </r>
        <r>
          <rPr>
            <sz val="9"/>
            <color indexed="81"/>
            <rFont val="Tahoma"/>
            <family val="2"/>
          </rPr>
          <t xml:space="preserve">
nonbanks bought securities (=) and accts payable (+)</t>
        </r>
      </text>
    </comment>
    <comment ref="FN1256" authorId="0" shapeId="0" xr:uid="{00000000-0006-0000-0200-000010010000}">
      <text>
        <r>
          <rPr>
            <b/>
            <sz val="9"/>
            <color indexed="81"/>
            <rFont val="Tahoma"/>
            <family val="2"/>
          </rPr>
          <t>Author:</t>
        </r>
        <r>
          <rPr>
            <sz val="9"/>
            <color indexed="81"/>
            <rFont val="Tahoma"/>
            <family val="2"/>
          </rPr>
          <t xml:space="preserve">
nonbanks bought securities (=) and accts payable (+)</t>
        </r>
      </text>
    </comment>
    <comment ref="FO1256" authorId="0" shapeId="0" xr:uid="{00000000-0006-0000-0200-000011010000}">
      <text>
        <r>
          <rPr>
            <b/>
            <sz val="9"/>
            <color indexed="81"/>
            <rFont val="Tahoma"/>
            <family val="2"/>
          </rPr>
          <t>Author:</t>
        </r>
        <r>
          <rPr>
            <sz val="9"/>
            <color indexed="81"/>
            <rFont val="Tahoma"/>
            <family val="2"/>
          </rPr>
          <t xml:space="preserve">
nonbanks bought securities (=) and accts payable (+)</t>
        </r>
      </text>
    </comment>
    <comment ref="FP1256" authorId="0" shapeId="0" xr:uid="{00000000-0006-0000-0200-000012010000}">
      <text>
        <r>
          <rPr>
            <b/>
            <sz val="9"/>
            <color indexed="81"/>
            <rFont val="Tahoma"/>
            <family val="2"/>
          </rPr>
          <t>Author:</t>
        </r>
        <r>
          <rPr>
            <sz val="9"/>
            <color indexed="81"/>
            <rFont val="Tahoma"/>
            <family val="2"/>
          </rPr>
          <t xml:space="preserve">
nonbanks bought securities (=) and accts payable (+)</t>
        </r>
      </text>
    </comment>
    <comment ref="E1257" authorId="0" shapeId="0" xr:uid="{00000000-0006-0000-0200-000013010000}">
      <text>
        <r>
          <rPr>
            <b/>
            <sz val="9"/>
            <color indexed="81"/>
            <rFont val="Tahoma"/>
            <family val="2"/>
          </rPr>
          <t>Author:</t>
        </r>
        <r>
          <rPr>
            <sz val="9"/>
            <color indexed="81"/>
            <rFont val="Tahoma"/>
            <family val="2"/>
          </rPr>
          <t xml:space="preserve">
check: deficit plus financing is minus E&amp;O or stat discrepancy
</t>
        </r>
      </text>
    </comment>
    <comment ref="F1257" authorId="0" shapeId="0" xr:uid="{00000000-0006-0000-0200-000014010000}">
      <text>
        <r>
          <rPr>
            <b/>
            <sz val="9"/>
            <color indexed="81"/>
            <rFont val="Tahoma"/>
            <family val="2"/>
          </rPr>
          <t>Author:</t>
        </r>
        <r>
          <rPr>
            <sz val="9"/>
            <color indexed="81"/>
            <rFont val="Tahoma"/>
            <family val="2"/>
          </rPr>
          <t xml:space="preserve">
check: deficit plus financing is minus E&amp;O or stat discrepancy
</t>
        </r>
      </text>
    </comment>
    <comment ref="G1257" authorId="0" shapeId="0" xr:uid="{00000000-0006-0000-0200-000015010000}">
      <text>
        <r>
          <rPr>
            <b/>
            <sz val="9"/>
            <color indexed="81"/>
            <rFont val="Tahoma"/>
            <family val="2"/>
          </rPr>
          <t>Author:</t>
        </r>
        <r>
          <rPr>
            <sz val="9"/>
            <color indexed="81"/>
            <rFont val="Tahoma"/>
            <family val="2"/>
          </rPr>
          <t xml:space="preserve">
check: deficit plus financing is minus E&amp;O or stat discrepancy
</t>
        </r>
      </text>
    </comment>
    <comment ref="H1257" authorId="0" shapeId="0" xr:uid="{00000000-0006-0000-0200-000016010000}">
      <text>
        <r>
          <rPr>
            <b/>
            <sz val="9"/>
            <color indexed="81"/>
            <rFont val="Tahoma"/>
            <family val="2"/>
          </rPr>
          <t>Author:</t>
        </r>
        <r>
          <rPr>
            <sz val="9"/>
            <color indexed="81"/>
            <rFont val="Tahoma"/>
            <family val="2"/>
          </rPr>
          <t xml:space="preserve">
check: deficit plus financing is minus E&amp;O or stat discrepancy
</t>
        </r>
      </text>
    </comment>
    <comment ref="I1257" authorId="0" shapeId="0" xr:uid="{00000000-0006-0000-0200-000017010000}">
      <text>
        <r>
          <rPr>
            <b/>
            <sz val="9"/>
            <color indexed="81"/>
            <rFont val="Tahoma"/>
            <family val="2"/>
          </rPr>
          <t>Author:</t>
        </r>
        <r>
          <rPr>
            <sz val="9"/>
            <color indexed="81"/>
            <rFont val="Tahoma"/>
            <family val="2"/>
          </rPr>
          <t xml:space="preserve">
check: deficit plus financing is minus E&amp;O or stat discrepancy
</t>
        </r>
      </text>
    </comment>
    <comment ref="J1257" authorId="0" shapeId="0" xr:uid="{00000000-0006-0000-0200-000018010000}">
      <text>
        <r>
          <rPr>
            <b/>
            <sz val="9"/>
            <color indexed="81"/>
            <rFont val="Tahoma"/>
            <family val="2"/>
          </rPr>
          <t>Author:</t>
        </r>
        <r>
          <rPr>
            <sz val="9"/>
            <color indexed="81"/>
            <rFont val="Tahoma"/>
            <family val="2"/>
          </rPr>
          <t xml:space="preserve">
check: deficit plus financing is minus E&amp;O or stat discrepancy
</t>
        </r>
      </text>
    </comment>
    <comment ref="K1257" authorId="0" shapeId="0" xr:uid="{00000000-0006-0000-0200-000019010000}">
      <text>
        <r>
          <rPr>
            <b/>
            <sz val="9"/>
            <color indexed="81"/>
            <rFont val="Tahoma"/>
            <family val="2"/>
          </rPr>
          <t>Author:</t>
        </r>
        <r>
          <rPr>
            <sz val="9"/>
            <color indexed="81"/>
            <rFont val="Tahoma"/>
            <family val="2"/>
          </rPr>
          <t xml:space="preserve">
check: deficit plus financing is minus E&amp;O or stat discrepancy
</t>
        </r>
      </text>
    </comment>
    <comment ref="L1257" authorId="0" shapeId="0" xr:uid="{00000000-0006-0000-0200-00001A010000}">
      <text>
        <r>
          <rPr>
            <b/>
            <sz val="9"/>
            <color indexed="81"/>
            <rFont val="Tahoma"/>
            <family val="2"/>
          </rPr>
          <t>Author:</t>
        </r>
        <r>
          <rPr>
            <sz val="9"/>
            <color indexed="81"/>
            <rFont val="Tahoma"/>
            <family val="2"/>
          </rPr>
          <t xml:space="preserve">
check: deficit plus financing is minus E&amp;O or stat discrepancy
</t>
        </r>
      </text>
    </comment>
    <comment ref="M1257" authorId="0" shapeId="0" xr:uid="{00000000-0006-0000-0200-00001B010000}">
      <text>
        <r>
          <rPr>
            <b/>
            <sz val="9"/>
            <color indexed="81"/>
            <rFont val="Tahoma"/>
            <family val="2"/>
          </rPr>
          <t>Author:</t>
        </r>
        <r>
          <rPr>
            <sz val="9"/>
            <color indexed="81"/>
            <rFont val="Tahoma"/>
            <family val="2"/>
          </rPr>
          <t xml:space="preserve">
check: deficit plus financing is minus E&amp;O or stat discrepancy
</t>
        </r>
      </text>
    </comment>
    <comment ref="N1257" authorId="0" shapeId="0" xr:uid="{00000000-0006-0000-0200-00001C010000}">
      <text>
        <r>
          <rPr>
            <b/>
            <sz val="9"/>
            <color indexed="81"/>
            <rFont val="Tahoma"/>
            <family val="2"/>
          </rPr>
          <t>Author:</t>
        </r>
        <r>
          <rPr>
            <sz val="9"/>
            <color indexed="81"/>
            <rFont val="Tahoma"/>
            <family val="2"/>
          </rPr>
          <t xml:space="preserve">
check: deficit plus financing is minus E&amp;O or stat discrepancy
</t>
        </r>
      </text>
    </comment>
    <comment ref="O1257" authorId="0" shapeId="0" xr:uid="{00000000-0006-0000-0200-00001D010000}">
      <text>
        <r>
          <rPr>
            <b/>
            <sz val="9"/>
            <color indexed="81"/>
            <rFont val="Tahoma"/>
            <family val="2"/>
          </rPr>
          <t>Author:</t>
        </r>
        <r>
          <rPr>
            <sz val="9"/>
            <color indexed="81"/>
            <rFont val="Tahoma"/>
            <family val="2"/>
          </rPr>
          <t xml:space="preserve">
check: deficit plus financing is minus E&amp;O or stat discrepancy
</t>
        </r>
      </text>
    </comment>
    <comment ref="P1257" authorId="0" shapeId="0" xr:uid="{00000000-0006-0000-0200-00001E010000}">
      <text>
        <r>
          <rPr>
            <b/>
            <sz val="9"/>
            <color indexed="81"/>
            <rFont val="Tahoma"/>
            <family val="2"/>
          </rPr>
          <t>Author:</t>
        </r>
        <r>
          <rPr>
            <sz val="9"/>
            <color indexed="81"/>
            <rFont val="Tahoma"/>
            <family val="2"/>
          </rPr>
          <t xml:space="preserve">
check: deficit plus financing is minus E&amp;O or stat discrepancy
</t>
        </r>
      </text>
    </comment>
    <comment ref="Q1257" authorId="0" shapeId="0" xr:uid="{00000000-0006-0000-0200-00001F010000}">
      <text>
        <r>
          <rPr>
            <b/>
            <sz val="9"/>
            <color indexed="81"/>
            <rFont val="Tahoma"/>
            <family val="2"/>
          </rPr>
          <t>Author:</t>
        </r>
        <r>
          <rPr>
            <sz val="9"/>
            <color indexed="81"/>
            <rFont val="Tahoma"/>
            <family val="2"/>
          </rPr>
          <t xml:space="preserve">
check: deficit plus financing is minus E&amp;O or stat discrepancy
</t>
        </r>
      </text>
    </comment>
    <comment ref="R1257" authorId="0" shapeId="0" xr:uid="{00000000-0006-0000-0200-000020010000}">
      <text>
        <r>
          <rPr>
            <b/>
            <sz val="9"/>
            <color indexed="81"/>
            <rFont val="Tahoma"/>
            <family val="2"/>
          </rPr>
          <t>Author:</t>
        </r>
        <r>
          <rPr>
            <sz val="9"/>
            <color indexed="81"/>
            <rFont val="Tahoma"/>
            <family val="2"/>
          </rPr>
          <t xml:space="preserve">
check: deficit plus financing is minus E&amp;O or stat discrepancy
</t>
        </r>
      </text>
    </comment>
    <comment ref="S1257" authorId="0" shapeId="0" xr:uid="{00000000-0006-0000-0200-000021010000}">
      <text>
        <r>
          <rPr>
            <b/>
            <sz val="9"/>
            <color indexed="81"/>
            <rFont val="Tahoma"/>
            <family val="2"/>
          </rPr>
          <t>Author:</t>
        </r>
        <r>
          <rPr>
            <sz val="9"/>
            <color indexed="81"/>
            <rFont val="Tahoma"/>
            <family val="2"/>
          </rPr>
          <t xml:space="preserve">
check: deficit plus financing is minus E&amp;O or stat discrepancy
</t>
        </r>
      </text>
    </comment>
    <comment ref="T1257" authorId="0" shapeId="0" xr:uid="{00000000-0006-0000-0200-000022010000}">
      <text>
        <r>
          <rPr>
            <b/>
            <sz val="9"/>
            <color indexed="81"/>
            <rFont val="Tahoma"/>
            <family val="2"/>
          </rPr>
          <t>Author:</t>
        </r>
        <r>
          <rPr>
            <sz val="9"/>
            <color indexed="81"/>
            <rFont val="Tahoma"/>
            <family val="2"/>
          </rPr>
          <t xml:space="preserve">
check: deficit plus financing is minus E&amp;O or stat discrepancy
</t>
        </r>
      </text>
    </comment>
    <comment ref="U1257" authorId="0" shapeId="0" xr:uid="{00000000-0006-0000-0200-000023010000}">
      <text>
        <r>
          <rPr>
            <b/>
            <sz val="9"/>
            <color indexed="81"/>
            <rFont val="Tahoma"/>
            <family val="2"/>
          </rPr>
          <t>Author:</t>
        </r>
        <r>
          <rPr>
            <sz val="9"/>
            <color indexed="81"/>
            <rFont val="Tahoma"/>
            <family val="2"/>
          </rPr>
          <t xml:space="preserve">
check: deficit plus financing is minus E&amp;O or stat discrepancy
</t>
        </r>
      </text>
    </comment>
    <comment ref="V1257" authorId="0" shapeId="0" xr:uid="{00000000-0006-0000-0200-000024010000}">
      <text>
        <r>
          <rPr>
            <b/>
            <sz val="9"/>
            <color indexed="81"/>
            <rFont val="Tahoma"/>
            <family val="2"/>
          </rPr>
          <t>Author:</t>
        </r>
        <r>
          <rPr>
            <sz val="9"/>
            <color indexed="81"/>
            <rFont val="Tahoma"/>
            <family val="2"/>
          </rPr>
          <t xml:space="preserve">
check: deficit plus financing is minus E&amp;O or stat discrepancy
</t>
        </r>
      </text>
    </comment>
    <comment ref="W1257" authorId="0" shapeId="0" xr:uid="{00000000-0006-0000-0200-000025010000}">
      <text>
        <r>
          <rPr>
            <b/>
            <sz val="9"/>
            <color indexed="81"/>
            <rFont val="Tahoma"/>
            <family val="2"/>
          </rPr>
          <t>Author:</t>
        </r>
        <r>
          <rPr>
            <sz val="9"/>
            <color indexed="81"/>
            <rFont val="Tahoma"/>
            <family val="2"/>
          </rPr>
          <t xml:space="preserve">
check: deficit plus financing is minus E&amp;O or stat discrepancy
</t>
        </r>
      </text>
    </comment>
    <comment ref="X1257" authorId="0" shapeId="0" xr:uid="{00000000-0006-0000-0200-000026010000}">
      <text>
        <r>
          <rPr>
            <b/>
            <sz val="9"/>
            <color indexed="81"/>
            <rFont val="Tahoma"/>
            <family val="2"/>
          </rPr>
          <t>Author:</t>
        </r>
        <r>
          <rPr>
            <sz val="9"/>
            <color indexed="81"/>
            <rFont val="Tahoma"/>
            <family val="2"/>
          </rPr>
          <t xml:space="preserve">
check: deficit plus financing is minus E&amp;O or stat discrepancy
</t>
        </r>
      </text>
    </comment>
    <comment ref="Y1257" authorId="0" shapeId="0" xr:uid="{00000000-0006-0000-0200-000027010000}">
      <text>
        <r>
          <rPr>
            <b/>
            <sz val="9"/>
            <color indexed="81"/>
            <rFont val="Tahoma"/>
            <family val="2"/>
          </rPr>
          <t>Author:</t>
        </r>
        <r>
          <rPr>
            <sz val="9"/>
            <color indexed="81"/>
            <rFont val="Tahoma"/>
            <family val="2"/>
          </rPr>
          <t xml:space="preserve">
check: deficit plus financing is minus E&amp;O or stat discrepancy
</t>
        </r>
      </text>
    </comment>
    <comment ref="Z1257" authorId="0" shapeId="0" xr:uid="{00000000-0006-0000-0200-000028010000}">
      <text>
        <r>
          <rPr>
            <b/>
            <sz val="9"/>
            <color indexed="81"/>
            <rFont val="Tahoma"/>
            <family val="2"/>
          </rPr>
          <t>Author:</t>
        </r>
        <r>
          <rPr>
            <sz val="9"/>
            <color indexed="81"/>
            <rFont val="Tahoma"/>
            <family val="2"/>
          </rPr>
          <t xml:space="preserve">
check: deficit plus financing is minus E&amp;O or stat discrepancy
</t>
        </r>
      </text>
    </comment>
    <comment ref="AA1257" authorId="0" shapeId="0" xr:uid="{00000000-0006-0000-0200-000029010000}">
      <text>
        <r>
          <rPr>
            <b/>
            <sz val="9"/>
            <color indexed="81"/>
            <rFont val="Tahoma"/>
            <family val="2"/>
          </rPr>
          <t>Author:</t>
        </r>
        <r>
          <rPr>
            <sz val="9"/>
            <color indexed="81"/>
            <rFont val="Tahoma"/>
            <family val="2"/>
          </rPr>
          <t xml:space="preserve">
check: deficit plus financing is minus E&amp;O or stat discrepancy
</t>
        </r>
      </text>
    </comment>
    <comment ref="AB1257" authorId="0" shapeId="0" xr:uid="{00000000-0006-0000-0200-00002A010000}">
      <text>
        <r>
          <rPr>
            <b/>
            <sz val="9"/>
            <color indexed="81"/>
            <rFont val="Tahoma"/>
            <family val="2"/>
          </rPr>
          <t>Author:</t>
        </r>
        <r>
          <rPr>
            <sz val="9"/>
            <color indexed="81"/>
            <rFont val="Tahoma"/>
            <family val="2"/>
          </rPr>
          <t xml:space="preserve">
check: deficit plus financing is minus E&amp;O or stat discrepancy
</t>
        </r>
      </text>
    </comment>
    <comment ref="AC1257" authorId="0" shapeId="0" xr:uid="{00000000-0006-0000-0200-00002B010000}">
      <text>
        <r>
          <rPr>
            <b/>
            <sz val="9"/>
            <color indexed="81"/>
            <rFont val="Tahoma"/>
            <family val="2"/>
          </rPr>
          <t>Author:</t>
        </r>
        <r>
          <rPr>
            <sz val="9"/>
            <color indexed="81"/>
            <rFont val="Tahoma"/>
            <family val="2"/>
          </rPr>
          <t xml:space="preserve">
check: deficit plus financing is minus E&amp;O or stat discrepancy
</t>
        </r>
      </text>
    </comment>
    <comment ref="AD1257" authorId="0" shapeId="0" xr:uid="{00000000-0006-0000-0200-00002C010000}">
      <text>
        <r>
          <rPr>
            <b/>
            <sz val="9"/>
            <color indexed="81"/>
            <rFont val="Tahoma"/>
            <family val="2"/>
          </rPr>
          <t>Author:</t>
        </r>
        <r>
          <rPr>
            <sz val="9"/>
            <color indexed="81"/>
            <rFont val="Tahoma"/>
            <family val="2"/>
          </rPr>
          <t xml:space="preserve">
check: deficit plus financing is minus E&amp;O or stat discrepancy
</t>
        </r>
      </text>
    </comment>
    <comment ref="AE1257" authorId="0" shapeId="0" xr:uid="{00000000-0006-0000-0200-00002D010000}">
      <text>
        <r>
          <rPr>
            <b/>
            <sz val="9"/>
            <color indexed="81"/>
            <rFont val="Tahoma"/>
            <family val="2"/>
          </rPr>
          <t>Author:</t>
        </r>
        <r>
          <rPr>
            <sz val="9"/>
            <color indexed="81"/>
            <rFont val="Tahoma"/>
            <family val="2"/>
          </rPr>
          <t xml:space="preserve">
check: deficit plus financing is minus E&amp;O or stat discrepancy
</t>
        </r>
      </text>
    </comment>
    <comment ref="AF1257" authorId="0" shapeId="0" xr:uid="{00000000-0006-0000-0200-00002E010000}">
      <text>
        <r>
          <rPr>
            <b/>
            <sz val="9"/>
            <color indexed="81"/>
            <rFont val="Tahoma"/>
            <family val="2"/>
          </rPr>
          <t>Author:</t>
        </r>
        <r>
          <rPr>
            <sz val="9"/>
            <color indexed="81"/>
            <rFont val="Tahoma"/>
            <family val="2"/>
          </rPr>
          <t xml:space="preserve">
check: deficit plus financing is minus E&amp;O or stat discrepancy
</t>
        </r>
      </text>
    </comment>
    <comment ref="AG1257" authorId="0" shapeId="0" xr:uid="{00000000-0006-0000-0200-00002F010000}">
      <text>
        <r>
          <rPr>
            <b/>
            <sz val="9"/>
            <color indexed="81"/>
            <rFont val="Tahoma"/>
            <family val="2"/>
          </rPr>
          <t>Author:</t>
        </r>
        <r>
          <rPr>
            <sz val="9"/>
            <color indexed="81"/>
            <rFont val="Tahoma"/>
            <family val="2"/>
          </rPr>
          <t xml:space="preserve">
check: deficit plus financing is minus E&amp;O or stat discrepancy
</t>
        </r>
      </text>
    </comment>
    <comment ref="AH1257" authorId="0" shapeId="0" xr:uid="{00000000-0006-0000-0200-000030010000}">
      <text>
        <r>
          <rPr>
            <b/>
            <sz val="9"/>
            <color indexed="81"/>
            <rFont val="Tahoma"/>
            <family val="2"/>
          </rPr>
          <t>Author:</t>
        </r>
        <r>
          <rPr>
            <sz val="9"/>
            <color indexed="81"/>
            <rFont val="Tahoma"/>
            <family val="2"/>
          </rPr>
          <t xml:space="preserve">
check: deficit plus financing is minus E&amp;O or stat discrepancy
</t>
        </r>
      </text>
    </comment>
    <comment ref="AI1257" authorId="0" shapeId="0" xr:uid="{00000000-0006-0000-0200-000031010000}">
      <text>
        <r>
          <rPr>
            <b/>
            <sz val="9"/>
            <color indexed="81"/>
            <rFont val="Tahoma"/>
            <family val="2"/>
          </rPr>
          <t>Author:</t>
        </r>
        <r>
          <rPr>
            <sz val="9"/>
            <color indexed="81"/>
            <rFont val="Tahoma"/>
            <family val="2"/>
          </rPr>
          <t xml:space="preserve">
check: deficit plus financing is minus E&amp;O or stat discrepancy
</t>
        </r>
      </text>
    </comment>
    <comment ref="AJ1257" authorId="0" shapeId="0" xr:uid="{00000000-0006-0000-0200-000032010000}">
      <text>
        <r>
          <rPr>
            <b/>
            <sz val="9"/>
            <color indexed="81"/>
            <rFont val="Tahoma"/>
            <family val="2"/>
          </rPr>
          <t>Author:</t>
        </r>
        <r>
          <rPr>
            <sz val="9"/>
            <color indexed="81"/>
            <rFont val="Tahoma"/>
            <family val="2"/>
          </rPr>
          <t xml:space="preserve">
check: deficit plus financing is minus E&amp;O or stat discrepancy
</t>
        </r>
      </text>
    </comment>
    <comment ref="AK1257" authorId="0" shapeId="0" xr:uid="{00000000-0006-0000-0200-000033010000}">
      <text>
        <r>
          <rPr>
            <b/>
            <sz val="9"/>
            <color indexed="81"/>
            <rFont val="Tahoma"/>
            <family val="2"/>
          </rPr>
          <t>Author:</t>
        </r>
        <r>
          <rPr>
            <sz val="9"/>
            <color indexed="81"/>
            <rFont val="Tahoma"/>
            <family val="2"/>
          </rPr>
          <t xml:space="preserve">
check: deficit plus financing is minus E&amp;O or stat discrepancy
</t>
        </r>
      </text>
    </comment>
    <comment ref="AL1257" authorId="0" shapeId="0" xr:uid="{00000000-0006-0000-0200-000034010000}">
      <text>
        <r>
          <rPr>
            <b/>
            <sz val="9"/>
            <color indexed="81"/>
            <rFont val="Tahoma"/>
            <family val="2"/>
          </rPr>
          <t>Author:</t>
        </r>
        <r>
          <rPr>
            <sz val="9"/>
            <color indexed="81"/>
            <rFont val="Tahoma"/>
            <family val="2"/>
          </rPr>
          <t xml:space="preserve">
check: deficit plus financing is minus E&amp;O or stat discrepancy
</t>
        </r>
      </text>
    </comment>
    <comment ref="AM1257" authorId="0" shapeId="0" xr:uid="{00000000-0006-0000-0200-000035010000}">
      <text>
        <r>
          <rPr>
            <b/>
            <sz val="9"/>
            <color indexed="81"/>
            <rFont val="Tahoma"/>
            <family val="2"/>
          </rPr>
          <t>Author:</t>
        </r>
        <r>
          <rPr>
            <sz val="9"/>
            <color indexed="81"/>
            <rFont val="Tahoma"/>
            <family val="2"/>
          </rPr>
          <t xml:space="preserve">
check: deficit plus financing is minus E&amp;O or stat discrepancy
</t>
        </r>
      </text>
    </comment>
    <comment ref="AN1257" authorId="0" shapeId="0" xr:uid="{00000000-0006-0000-0200-000036010000}">
      <text>
        <r>
          <rPr>
            <b/>
            <sz val="9"/>
            <color indexed="81"/>
            <rFont val="Tahoma"/>
            <family val="2"/>
          </rPr>
          <t>Author:</t>
        </r>
        <r>
          <rPr>
            <sz val="9"/>
            <color indexed="81"/>
            <rFont val="Tahoma"/>
            <family val="2"/>
          </rPr>
          <t xml:space="preserve">
check: deficit plus financing is minus E&amp;O or stat discrepancy
</t>
        </r>
      </text>
    </comment>
    <comment ref="AO1257" authorId="0" shapeId="0" xr:uid="{00000000-0006-0000-0200-000037010000}">
      <text>
        <r>
          <rPr>
            <b/>
            <sz val="9"/>
            <color indexed="81"/>
            <rFont val="Tahoma"/>
            <family val="2"/>
          </rPr>
          <t>Author:</t>
        </r>
        <r>
          <rPr>
            <sz val="9"/>
            <color indexed="81"/>
            <rFont val="Tahoma"/>
            <family val="2"/>
          </rPr>
          <t xml:space="preserve">
check: deficit plus financing is minus E&amp;O or stat discrepancy
</t>
        </r>
      </text>
    </comment>
    <comment ref="AP1257" authorId="0" shapeId="0" xr:uid="{00000000-0006-0000-0200-000038010000}">
      <text>
        <r>
          <rPr>
            <b/>
            <sz val="9"/>
            <color indexed="81"/>
            <rFont val="Tahoma"/>
            <family val="2"/>
          </rPr>
          <t>Author:</t>
        </r>
        <r>
          <rPr>
            <sz val="9"/>
            <color indexed="81"/>
            <rFont val="Tahoma"/>
            <family val="2"/>
          </rPr>
          <t xml:space="preserve">
check: deficit plus financing is minus E&amp;O or stat discrepancy
</t>
        </r>
      </text>
    </comment>
    <comment ref="AQ1257" authorId="0" shapeId="0" xr:uid="{00000000-0006-0000-0200-000039010000}">
      <text>
        <r>
          <rPr>
            <b/>
            <sz val="9"/>
            <color indexed="81"/>
            <rFont val="Tahoma"/>
            <family val="2"/>
          </rPr>
          <t>Author:</t>
        </r>
        <r>
          <rPr>
            <sz val="9"/>
            <color indexed="81"/>
            <rFont val="Tahoma"/>
            <family val="2"/>
          </rPr>
          <t xml:space="preserve">
check: deficit plus financing is minus E&amp;O or stat discrepancy
</t>
        </r>
      </text>
    </comment>
    <comment ref="AR1257" authorId="0" shapeId="0" xr:uid="{00000000-0006-0000-0200-00003A010000}">
      <text>
        <r>
          <rPr>
            <b/>
            <sz val="9"/>
            <color indexed="81"/>
            <rFont val="Tahoma"/>
            <family val="2"/>
          </rPr>
          <t>Author:</t>
        </r>
        <r>
          <rPr>
            <sz val="9"/>
            <color indexed="81"/>
            <rFont val="Tahoma"/>
            <family val="2"/>
          </rPr>
          <t xml:space="preserve">
check: deficit plus financing is minus E&amp;O or stat discrepancy
</t>
        </r>
      </text>
    </comment>
    <comment ref="AS1257" authorId="0" shapeId="0" xr:uid="{00000000-0006-0000-0200-00003B010000}">
      <text>
        <r>
          <rPr>
            <b/>
            <sz val="9"/>
            <color indexed="81"/>
            <rFont val="Tahoma"/>
            <family val="2"/>
          </rPr>
          <t>Author:</t>
        </r>
        <r>
          <rPr>
            <sz val="9"/>
            <color indexed="81"/>
            <rFont val="Tahoma"/>
            <family val="2"/>
          </rPr>
          <t xml:space="preserve">
check: deficit plus financing is minus E&amp;O or stat discrepancy
</t>
        </r>
      </text>
    </comment>
    <comment ref="AT1257" authorId="0" shapeId="0" xr:uid="{00000000-0006-0000-0200-00003C010000}">
      <text>
        <r>
          <rPr>
            <b/>
            <sz val="9"/>
            <color indexed="81"/>
            <rFont val="Tahoma"/>
            <family val="2"/>
          </rPr>
          <t>Author:</t>
        </r>
        <r>
          <rPr>
            <sz val="9"/>
            <color indexed="81"/>
            <rFont val="Tahoma"/>
            <family val="2"/>
          </rPr>
          <t xml:space="preserve">
check: deficit plus financing is minus E&amp;O or stat discrepancy
</t>
        </r>
      </text>
    </comment>
    <comment ref="AU1257" authorId="0" shapeId="0" xr:uid="{00000000-0006-0000-0200-00003D010000}">
      <text>
        <r>
          <rPr>
            <b/>
            <sz val="9"/>
            <color indexed="81"/>
            <rFont val="Tahoma"/>
            <family val="2"/>
          </rPr>
          <t>Author:</t>
        </r>
        <r>
          <rPr>
            <sz val="9"/>
            <color indexed="81"/>
            <rFont val="Tahoma"/>
            <family val="2"/>
          </rPr>
          <t xml:space="preserve">
check: deficit plus financing is minus E&amp;O or stat discrepancy
</t>
        </r>
      </text>
    </comment>
    <comment ref="AV1257" authorId="0" shapeId="0" xr:uid="{00000000-0006-0000-0200-00003E010000}">
      <text>
        <r>
          <rPr>
            <b/>
            <sz val="9"/>
            <color indexed="81"/>
            <rFont val="Tahoma"/>
            <family val="2"/>
          </rPr>
          <t>Author:</t>
        </r>
        <r>
          <rPr>
            <sz val="9"/>
            <color indexed="81"/>
            <rFont val="Tahoma"/>
            <family val="2"/>
          </rPr>
          <t xml:space="preserve">
check: deficit plus financing is minus E&amp;O or stat discrepancy
</t>
        </r>
      </text>
    </comment>
    <comment ref="AW1257" authorId="0" shapeId="0" xr:uid="{00000000-0006-0000-0200-00003F010000}">
      <text>
        <r>
          <rPr>
            <b/>
            <sz val="9"/>
            <color indexed="81"/>
            <rFont val="Tahoma"/>
            <family val="2"/>
          </rPr>
          <t>Author:</t>
        </r>
        <r>
          <rPr>
            <sz val="9"/>
            <color indexed="81"/>
            <rFont val="Tahoma"/>
            <family val="2"/>
          </rPr>
          <t xml:space="preserve">
check: deficit plus financing is minus E&amp;O or stat discrepancy
</t>
        </r>
      </text>
    </comment>
    <comment ref="AX1257" authorId="0" shapeId="0" xr:uid="{00000000-0006-0000-0200-000040010000}">
      <text>
        <r>
          <rPr>
            <b/>
            <sz val="9"/>
            <color indexed="81"/>
            <rFont val="Tahoma"/>
            <family val="2"/>
          </rPr>
          <t>Author:</t>
        </r>
        <r>
          <rPr>
            <sz val="9"/>
            <color indexed="81"/>
            <rFont val="Tahoma"/>
            <family val="2"/>
          </rPr>
          <t xml:space="preserve">
check: deficit plus financing is minus E&amp;O or stat discrepancy
</t>
        </r>
      </text>
    </comment>
    <comment ref="AY1257" authorId="0" shapeId="0" xr:uid="{00000000-0006-0000-0200-000041010000}">
      <text>
        <r>
          <rPr>
            <b/>
            <sz val="9"/>
            <color indexed="81"/>
            <rFont val="Tahoma"/>
            <family val="2"/>
          </rPr>
          <t>Author:</t>
        </r>
        <r>
          <rPr>
            <sz val="9"/>
            <color indexed="81"/>
            <rFont val="Tahoma"/>
            <family val="2"/>
          </rPr>
          <t xml:space="preserve">
check: deficit plus financing is minus E&amp;O or stat discrepancy
</t>
        </r>
      </text>
    </comment>
    <comment ref="AZ1257" authorId="0" shapeId="0" xr:uid="{00000000-0006-0000-0200-000042010000}">
      <text>
        <r>
          <rPr>
            <b/>
            <sz val="9"/>
            <color indexed="81"/>
            <rFont val="Tahoma"/>
            <family val="2"/>
          </rPr>
          <t>Author:</t>
        </r>
        <r>
          <rPr>
            <sz val="9"/>
            <color indexed="81"/>
            <rFont val="Tahoma"/>
            <family val="2"/>
          </rPr>
          <t xml:space="preserve">
check: deficit plus financing is minus E&amp;O or stat discrepancy
</t>
        </r>
      </text>
    </comment>
    <comment ref="BA1257" authorId="0" shapeId="0" xr:uid="{00000000-0006-0000-0200-000043010000}">
      <text>
        <r>
          <rPr>
            <b/>
            <sz val="9"/>
            <color indexed="81"/>
            <rFont val="Tahoma"/>
            <family val="2"/>
          </rPr>
          <t>Author:</t>
        </r>
        <r>
          <rPr>
            <sz val="9"/>
            <color indexed="81"/>
            <rFont val="Tahoma"/>
            <family val="2"/>
          </rPr>
          <t xml:space="preserve">
check: deficit plus financing is minus E&amp;O or stat discrepancy
</t>
        </r>
      </text>
    </comment>
    <comment ref="BB1257" authorId="0" shapeId="0" xr:uid="{00000000-0006-0000-0200-000044010000}">
      <text>
        <r>
          <rPr>
            <b/>
            <sz val="9"/>
            <color indexed="81"/>
            <rFont val="Tahoma"/>
            <family val="2"/>
          </rPr>
          <t>Author:</t>
        </r>
        <r>
          <rPr>
            <sz val="9"/>
            <color indexed="81"/>
            <rFont val="Tahoma"/>
            <family val="2"/>
          </rPr>
          <t xml:space="preserve">
check: deficit plus financing is minus E&amp;O or stat discrepancy
</t>
        </r>
      </text>
    </comment>
    <comment ref="BC1257" authorId="0" shapeId="0" xr:uid="{00000000-0006-0000-0200-000045010000}">
      <text>
        <r>
          <rPr>
            <b/>
            <sz val="9"/>
            <color indexed="81"/>
            <rFont val="Tahoma"/>
            <family val="2"/>
          </rPr>
          <t>Author:</t>
        </r>
        <r>
          <rPr>
            <sz val="9"/>
            <color indexed="81"/>
            <rFont val="Tahoma"/>
            <family val="2"/>
          </rPr>
          <t xml:space="preserve">
check: deficit plus financing is minus E&amp;O or stat discrepancy
</t>
        </r>
      </text>
    </comment>
    <comment ref="BD1257" authorId="0" shapeId="0" xr:uid="{00000000-0006-0000-0200-000046010000}">
      <text>
        <r>
          <rPr>
            <b/>
            <sz val="9"/>
            <color indexed="81"/>
            <rFont val="Tahoma"/>
            <family val="2"/>
          </rPr>
          <t>Author:</t>
        </r>
        <r>
          <rPr>
            <sz val="9"/>
            <color indexed="81"/>
            <rFont val="Tahoma"/>
            <family val="2"/>
          </rPr>
          <t xml:space="preserve">
check: deficit plus financing is minus E&amp;O or stat discrepancy
</t>
        </r>
      </text>
    </comment>
    <comment ref="BE1257" authorId="0" shapeId="0" xr:uid="{00000000-0006-0000-0200-000047010000}">
      <text>
        <r>
          <rPr>
            <b/>
            <sz val="9"/>
            <color indexed="81"/>
            <rFont val="Tahoma"/>
            <family val="2"/>
          </rPr>
          <t>Author:</t>
        </r>
        <r>
          <rPr>
            <sz val="9"/>
            <color indexed="81"/>
            <rFont val="Tahoma"/>
            <family val="2"/>
          </rPr>
          <t xml:space="preserve">
check: deficit plus financing is minus E&amp;O or stat discrepancy
</t>
        </r>
      </text>
    </comment>
    <comment ref="BF1257" authorId="0" shapeId="0" xr:uid="{00000000-0006-0000-0200-000048010000}">
      <text>
        <r>
          <rPr>
            <b/>
            <sz val="9"/>
            <color indexed="81"/>
            <rFont val="Tahoma"/>
            <family val="2"/>
          </rPr>
          <t>Author:</t>
        </r>
        <r>
          <rPr>
            <sz val="9"/>
            <color indexed="81"/>
            <rFont val="Tahoma"/>
            <family val="2"/>
          </rPr>
          <t xml:space="preserve">
check: deficit plus financing is minus E&amp;O or stat discrepancy
</t>
        </r>
      </text>
    </comment>
    <comment ref="BG1257" authorId="0" shapeId="0" xr:uid="{00000000-0006-0000-0200-000049010000}">
      <text>
        <r>
          <rPr>
            <b/>
            <sz val="9"/>
            <color indexed="81"/>
            <rFont val="Tahoma"/>
            <family val="2"/>
          </rPr>
          <t>Author:</t>
        </r>
        <r>
          <rPr>
            <sz val="9"/>
            <color indexed="81"/>
            <rFont val="Tahoma"/>
            <family val="2"/>
          </rPr>
          <t xml:space="preserve">
check: deficit plus financing is minus E&amp;O or stat discrepancy
</t>
        </r>
      </text>
    </comment>
    <comment ref="BH1257" authorId="0" shapeId="0" xr:uid="{00000000-0006-0000-0200-00004A010000}">
      <text>
        <r>
          <rPr>
            <b/>
            <sz val="9"/>
            <color indexed="81"/>
            <rFont val="Tahoma"/>
            <family val="2"/>
          </rPr>
          <t>Author:</t>
        </r>
        <r>
          <rPr>
            <sz val="9"/>
            <color indexed="81"/>
            <rFont val="Tahoma"/>
            <family val="2"/>
          </rPr>
          <t xml:space="preserve">
check: deficit plus financing is minus E&amp;O or stat discrepancy
</t>
        </r>
      </text>
    </comment>
    <comment ref="BI1257" authorId="0" shapeId="0" xr:uid="{00000000-0006-0000-0200-00004B010000}">
      <text>
        <r>
          <rPr>
            <b/>
            <sz val="9"/>
            <color indexed="81"/>
            <rFont val="Tahoma"/>
            <family val="2"/>
          </rPr>
          <t>Author:</t>
        </r>
        <r>
          <rPr>
            <sz val="9"/>
            <color indexed="81"/>
            <rFont val="Tahoma"/>
            <family val="2"/>
          </rPr>
          <t xml:space="preserve">
check: deficit plus financing is minus E&amp;O or stat discrepancy
</t>
        </r>
      </text>
    </comment>
    <comment ref="BJ1257" authorId="0" shapeId="0" xr:uid="{00000000-0006-0000-0200-00004C010000}">
      <text>
        <r>
          <rPr>
            <b/>
            <sz val="9"/>
            <color indexed="81"/>
            <rFont val="Tahoma"/>
            <family val="2"/>
          </rPr>
          <t>Author:</t>
        </r>
        <r>
          <rPr>
            <sz val="9"/>
            <color indexed="81"/>
            <rFont val="Tahoma"/>
            <family val="2"/>
          </rPr>
          <t xml:space="preserve">
check: deficit plus financing is minus E&amp;O or stat discrepancy
</t>
        </r>
      </text>
    </comment>
    <comment ref="BK1257" authorId="0" shapeId="0" xr:uid="{00000000-0006-0000-0200-00004D010000}">
      <text>
        <r>
          <rPr>
            <b/>
            <sz val="9"/>
            <color indexed="81"/>
            <rFont val="Tahoma"/>
            <family val="2"/>
          </rPr>
          <t>Author:</t>
        </r>
        <r>
          <rPr>
            <sz val="9"/>
            <color indexed="81"/>
            <rFont val="Tahoma"/>
            <family val="2"/>
          </rPr>
          <t xml:space="preserve">
check: deficit plus financing is minus E&amp;O or stat discrepancy
</t>
        </r>
      </text>
    </comment>
    <comment ref="BL1257" authorId="0" shapeId="0" xr:uid="{00000000-0006-0000-0200-00004E010000}">
      <text>
        <r>
          <rPr>
            <b/>
            <sz val="9"/>
            <color indexed="81"/>
            <rFont val="Tahoma"/>
            <family val="2"/>
          </rPr>
          <t>Author:</t>
        </r>
        <r>
          <rPr>
            <sz val="9"/>
            <color indexed="81"/>
            <rFont val="Tahoma"/>
            <family val="2"/>
          </rPr>
          <t xml:space="preserve">
check: deficit plus financing is minus E&amp;O or stat discrepancy
</t>
        </r>
      </text>
    </comment>
    <comment ref="BM1257" authorId="0" shapeId="0" xr:uid="{00000000-0006-0000-0200-00004F010000}">
      <text>
        <r>
          <rPr>
            <b/>
            <sz val="9"/>
            <color indexed="81"/>
            <rFont val="Tahoma"/>
            <family val="2"/>
          </rPr>
          <t>Author:</t>
        </r>
        <r>
          <rPr>
            <sz val="9"/>
            <color indexed="81"/>
            <rFont val="Tahoma"/>
            <family val="2"/>
          </rPr>
          <t xml:space="preserve">
check: deficit plus financing is minus E&amp;O or stat discrepancy
</t>
        </r>
      </text>
    </comment>
    <comment ref="BN1257" authorId="0" shapeId="0" xr:uid="{00000000-0006-0000-0200-000050010000}">
      <text>
        <r>
          <rPr>
            <b/>
            <sz val="9"/>
            <color indexed="81"/>
            <rFont val="Tahoma"/>
            <family val="2"/>
          </rPr>
          <t>Author:</t>
        </r>
        <r>
          <rPr>
            <sz val="9"/>
            <color indexed="81"/>
            <rFont val="Tahoma"/>
            <family val="2"/>
          </rPr>
          <t xml:space="preserve">
check: deficit plus financing is minus E&amp;O or stat discrepancy
</t>
        </r>
      </text>
    </comment>
    <comment ref="BO1257" authorId="0" shapeId="0" xr:uid="{00000000-0006-0000-0200-000051010000}">
      <text>
        <r>
          <rPr>
            <b/>
            <sz val="9"/>
            <color indexed="81"/>
            <rFont val="Tahoma"/>
            <family val="2"/>
          </rPr>
          <t>Author:</t>
        </r>
        <r>
          <rPr>
            <sz val="9"/>
            <color indexed="81"/>
            <rFont val="Tahoma"/>
            <family val="2"/>
          </rPr>
          <t xml:space="preserve">
check: deficit plus financing is minus E&amp;O or stat discrepancy
</t>
        </r>
      </text>
    </comment>
    <comment ref="BP1257" authorId="0" shapeId="0" xr:uid="{00000000-0006-0000-0200-000052010000}">
      <text>
        <r>
          <rPr>
            <b/>
            <sz val="9"/>
            <color indexed="81"/>
            <rFont val="Tahoma"/>
            <family val="2"/>
          </rPr>
          <t>Author:</t>
        </r>
        <r>
          <rPr>
            <sz val="9"/>
            <color indexed="81"/>
            <rFont val="Tahoma"/>
            <family val="2"/>
          </rPr>
          <t xml:space="preserve">
check: deficit plus financing is minus E&amp;O or stat discrepancy
</t>
        </r>
      </text>
    </comment>
    <comment ref="BQ1257" authorId="0" shapeId="0" xr:uid="{00000000-0006-0000-0200-000053010000}">
      <text>
        <r>
          <rPr>
            <b/>
            <sz val="9"/>
            <color indexed="81"/>
            <rFont val="Tahoma"/>
            <family val="2"/>
          </rPr>
          <t>Author:</t>
        </r>
        <r>
          <rPr>
            <sz val="9"/>
            <color indexed="81"/>
            <rFont val="Tahoma"/>
            <family val="2"/>
          </rPr>
          <t xml:space="preserve">
check: deficit plus financing is minus E&amp;O or stat discrepancy
</t>
        </r>
      </text>
    </comment>
    <comment ref="BR1257" authorId="0" shapeId="0" xr:uid="{00000000-0006-0000-0200-000054010000}">
      <text>
        <r>
          <rPr>
            <b/>
            <sz val="9"/>
            <color indexed="81"/>
            <rFont val="Tahoma"/>
            <family val="2"/>
          </rPr>
          <t>Author:</t>
        </r>
        <r>
          <rPr>
            <sz val="9"/>
            <color indexed="81"/>
            <rFont val="Tahoma"/>
            <family val="2"/>
          </rPr>
          <t xml:space="preserve">
check: deficit plus financing is minus E&amp;O or stat discrepancy
</t>
        </r>
      </text>
    </comment>
    <comment ref="BS1257" authorId="0" shapeId="0" xr:uid="{00000000-0006-0000-0200-000055010000}">
      <text>
        <r>
          <rPr>
            <b/>
            <sz val="9"/>
            <color indexed="81"/>
            <rFont val="Tahoma"/>
            <family val="2"/>
          </rPr>
          <t>Author:</t>
        </r>
        <r>
          <rPr>
            <sz val="9"/>
            <color indexed="81"/>
            <rFont val="Tahoma"/>
            <family val="2"/>
          </rPr>
          <t xml:space="preserve">
check: deficit plus financing is minus E&amp;O or stat discrepancy
</t>
        </r>
      </text>
    </comment>
    <comment ref="BT1257" authorId="0" shapeId="0" xr:uid="{00000000-0006-0000-0200-000056010000}">
      <text>
        <r>
          <rPr>
            <b/>
            <sz val="9"/>
            <color indexed="81"/>
            <rFont val="Tahoma"/>
            <family val="2"/>
          </rPr>
          <t>Author:</t>
        </r>
        <r>
          <rPr>
            <sz val="9"/>
            <color indexed="81"/>
            <rFont val="Tahoma"/>
            <family val="2"/>
          </rPr>
          <t xml:space="preserve">
check: deficit plus financing is minus E&amp;O or stat discrepancy
</t>
        </r>
      </text>
    </comment>
    <comment ref="BU1257" authorId="0" shapeId="0" xr:uid="{00000000-0006-0000-0200-000057010000}">
      <text>
        <r>
          <rPr>
            <b/>
            <sz val="9"/>
            <color indexed="81"/>
            <rFont val="Tahoma"/>
            <family val="2"/>
          </rPr>
          <t>Author:</t>
        </r>
        <r>
          <rPr>
            <sz val="9"/>
            <color indexed="81"/>
            <rFont val="Tahoma"/>
            <family val="2"/>
          </rPr>
          <t xml:space="preserve">
check: deficit plus financing is minus E&amp;O or stat discrepancy
</t>
        </r>
      </text>
    </comment>
    <comment ref="BV1257" authorId="0" shapeId="0" xr:uid="{00000000-0006-0000-0200-000058010000}">
      <text>
        <r>
          <rPr>
            <b/>
            <sz val="9"/>
            <color indexed="81"/>
            <rFont val="Tahoma"/>
            <family val="2"/>
          </rPr>
          <t>Author:</t>
        </r>
        <r>
          <rPr>
            <sz val="9"/>
            <color indexed="81"/>
            <rFont val="Tahoma"/>
            <family val="2"/>
          </rPr>
          <t xml:space="preserve">
check: deficit plus financing is minus E&amp;O or stat discrepancy
</t>
        </r>
      </text>
    </comment>
    <comment ref="BW1257" authorId="0" shapeId="0" xr:uid="{00000000-0006-0000-0200-000059010000}">
      <text>
        <r>
          <rPr>
            <b/>
            <sz val="9"/>
            <color indexed="81"/>
            <rFont val="Tahoma"/>
            <family val="2"/>
          </rPr>
          <t>Author:</t>
        </r>
        <r>
          <rPr>
            <sz val="9"/>
            <color indexed="81"/>
            <rFont val="Tahoma"/>
            <family val="2"/>
          </rPr>
          <t xml:space="preserve">
check: deficit plus financing is minus E&amp;O or stat discrepancy
</t>
        </r>
      </text>
    </comment>
    <comment ref="BX1257" authorId="0" shapeId="0" xr:uid="{00000000-0006-0000-0200-00005A010000}">
      <text>
        <r>
          <rPr>
            <b/>
            <sz val="9"/>
            <color indexed="81"/>
            <rFont val="Tahoma"/>
            <family val="2"/>
          </rPr>
          <t>Author:</t>
        </r>
        <r>
          <rPr>
            <sz val="9"/>
            <color indexed="81"/>
            <rFont val="Tahoma"/>
            <family val="2"/>
          </rPr>
          <t xml:space="preserve">
check: deficit plus financing is minus E&amp;O or stat discrepancy
</t>
        </r>
      </text>
    </comment>
    <comment ref="BY1257" authorId="0" shapeId="0" xr:uid="{00000000-0006-0000-0200-00005B010000}">
      <text>
        <r>
          <rPr>
            <b/>
            <sz val="9"/>
            <color indexed="81"/>
            <rFont val="Tahoma"/>
            <family val="2"/>
          </rPr>
          <t>Author:</t>
        </r>
        <r>
          <rPr>
            <sz val="9"/>
            <color indexed="81"/>
            <rFont val="Tahoma"/>
            <family val="2"/>
          </rPr>
          <t xml:space="preserve">
check: deficit plus financing is minus E&amp;O or stat discrepancy
</t>
        </r>
      </text>
    </comment>
    <comment ref="BZ1257" authorId="0" shapeId="0" xr:uid="{00000000-0006-0000-0200-00005C010000}">
      <text>
        <r>
          <rPr>
            <b/>
            <sz val="9"/>
            <color indexed="81"/>
            <rFont val="Tahoma"/>
            <family val="2"/>
          </rPr>
          <t>Author:</t>
        </r>
        <r>
          <rPr>
            <sz val="9"/>
            <color indexed="81"/>
            <rFont val="Tahoma"/>
            <family val="2"/>
          </rPr>
          <t xml:space="preserve">
check: deficit plus financing is minus E&amp;O or stat discrepancy
</t>
        </r>
      </text>
    </comment>
    <comment ref="CA1257" authorId="0" shapeId="0" xr:uid="{00000000-0006-0000-0200-00005D010000}">
      <text>
        <r>
          <rPr>
            <b/>
            <sz val="9"/>
            <color indexed="81"/>
            <rFont val="Tahoma"/>
            <family val="2"/>
          </rPr>
          <t>Author:</t>
        </r>
        <r>
          <rPr>
            <sz val="9"/>
            <color indexed="81"/>
            <rFont val="Tahoma"/>
            <family val="2"/>
          </rPr>
          <t xml:space="preserve">
check: deficit plus financing is minus E&amp;O or stat discrepancy
</t>
        </r>
      </text>
    </comment>
    <comment ref="CB1257" authorId="0" shapeId="0" xr:uid="{00000000-0006-0000-0200-00005E010000}">
      <text>
        <r>
          <rPr>
            <b/>
            <sz val="9"/>
            <color indexed="81"/>
            <rFont val="Tahoma"/>
            <family val="2"/>
          </rPr>
          <t>Author:</t>
        </r>
        <r>
          <rPr>
            <sz val="9"/>
            <color indexed="81"/>
            <rFont val="Tahoma"/>
            <family val="2"/>
          </rPr>
          <t xml:space="preserve">
check: deficit plus financing is minus E&amp;O or stat discrepancy
</t>
        </r>
      </text>
    </comment>
    <comment ref="CC1257" authorId="0" shapeId="0" xr:uid="{00000000-0006-0000-0200-00005F010000}">
      <text>
        <r>
          <rPr>
            <b/>
            <sz val="9"/>
            <color indexed="81"/>
            <rFont val="Tahoma"/>
            <family val="2"/>
          </rPr>
          <t>Author:</t>
        </r>
        <r>
          <rPr>
            <sz val="9"/>
            <color indexed="81"/>
            <rFont val="Tahoma"/>
            <family val="2"/>
          </rPr>
          <t xml:space="preserve">
check: deficit plus financing is minus E&amp;O or stat discrepancy
</t>
        </r>
      </text>
    </comment>
    <comment ref="CD1257" authorId="0" shapeId="0" xr:uid="{00000000-0006-0000-0200-000060010000}">
      <text>
        <r>
          <rPr>
            <b/>
            <sz val="9"/>
            <color indexed="81"/>
            <rFont val="Tahoma"/>
            <family val="2"/>
          </rPr>
          <t>Author:</t>
        </r>
        <r>
          <rPr>
            <sz val="9"/>
            <color indexed="81"/>
            <rFont val="Tahoma"/>
            <family val="2"/>
          </rPr>
          <t xml:space="preserve">
check: deficit plus financing is minus E&amp;O or stat discrepancy
</t>
        </r>
      </text>
    </comment>
    <comment ref="CE1257" authorId="0" shapeId="0" xr:uid="{00000000-0006-0000-0200-000061010000}">
      <text>
        <r>
          <rPr>
            <b/>
            <sz val="9"/>
            <color indexed="81"/>
            <rFont val="Tahoma"/>
            <family val="2"/>
          </rPr>
          <t>Author:</t>
        </r>
        <r>
          <rPr>
            <sz val="9"/>
            <color indexed="81"/>
            <rFont val="Tahoma"/>
            <family val="2"/>
          </rPr>
          <t xml:space="preserve">
check: deficit plus financing is minus E&amp;O or stat discrepancy
</t>
        </r>
      </text>
    </comment>
    <comment ref="CF1257" authorId="0" shapeId="0" xr:uid="{00000000-0006-0000-0200-000062010000}">
      <text>
        <r>
          <rPr>
            <b/>
            <sz val="9"/>
            <color indexed="81"/>
            <rFont val="Tahoma"/>
            <family val="2"/>
          </rPr>
          <t>Author:</t>
        </r>
        <r>
          <rPr>
            <sz val="9"/>
            <color indexed="81"/>
            <rFont val="Tahoma"/>
            <family val="2"/>
          </rPr>
          <t xml:space="preserve">
check: deficit plus financing is minus E&amp;O or stat discrepancy
</t>
        </r>
      </text>
    </comment>
    <comment ref="CG1257" authorId="0" shapeId="0" xr:uid="{00000000-0006-0000-0200-000063010000}">
      <text>
        <r>
          <rPr>
            <b/>
            <sz val="9"/>
            <color indexed="81"/>
            <rFont val="Tahoma"/>
            <family val="2"/>
          </rPr>
          <t>Author:</t>
        </r>
        <r>
          <rPr>
            <sz val="9"/>
            <color indexed="81"/>
            <rFont val="Tahoma"/>
            <family val="2"/>
          </rPr>
          <t xml:space="preserve">
check: deficit plus financing is minus E&amp;O or stat discrepancy
</t>
        </r>
      </text>
    </comment>
    <comment ref="CH1257" authorId="0" shapeId="0" xr:uid="{00000000-0006-0000-0200-000064010000}">
      <text>
        <r>
          <rPr>
            <b/>
            <sz val="9"/>
            <color indexed="81"/>
            <rFont val="Tahoma"/>
            <family val="2"/>
          </rPr>
          <t>Author:</t>
        </r>
        <r>
          <rPr>
            <sz val="9"/>
            <color indexed="81"/>
            <rFont val="Tahoma"/>
            <family val="2"/>
          </rPr>
          <t xml:space="preserve">
check: deficit plus financing is minus E&amp;O or stat discrepancy
</t>
        </r>
      </text>
    </comment>
    <comment ref="CI1257" authorId="0" shapeId="0" xr:uid="{00000000-0006-0000-0200-000065010000}">
      <text>
        <r>
          <rPr>
            <b/>
            <sz val="9"/>
            <color indexed="81"/>
            <rFont val="Tahoma"/>
            <family val="2"/>
          </rPr>
          <t>Author:</t>
        </r>
        <r>
          <rPr>
            <sz val="9"/>
            <color indexed="81"/>
            <rFont val="Tahoma"/>
            <family val="2"/>
          </rPr>
          <t xml:space="preserve">
check: deficit plus financing is minus E&amp;O or stat discrepancy
</t>
        </r>
      </text>
    </comment>
    <comment ref="CJ1257" authorId="0" shapeId="0" xr:uid="{00000000-0006-0000-0200-000066010000}">
      <text>
        <r>
          <rPr>
            <b/>
            <sz val="9"/>
            <color indexed="81"/>
            <rFont val="Tahoma"/>
            <family val="2"/>
          </rPr>
          <t>Author:</t>
        </r>
        <r>
          <rPr>
            <sz val="9"/>
            <color indexed="81"/>
            <rFont val="Tahoma"/>
            <family val="2"/>
          </rPr>
          <t xml:space="preserve">
check: deficit plus financing is minus E&amp;O or stat discrepancy
</t>
        </r>
      </text>
    </comment>
    <comment ref="CK1257" authorId="0" shapeId="0" xr:uid="{00000000-0006-0000-0200-000067010000}">
      <text>
        <r>
          <rPr>
            <b/>
            <sz val="9"/>
            <color indexed="81"/>
            <rFont val="Tahoma"/>
            <family val="2"/>
          </rPr>
          <t>Author:</t>
        </r>
        <r>
          <rPr>
            <sz val="9"/>
            <color indexed="81"/>
            <rFont val="Tahoma"/>
            <family val="2"/>
          </rPr>
          <t xml:space="preserve">
check: deficit plus financing is minus E&amp;O or stat discrepancy
</t>
        </r>
      </text>
    </comment>
    <comment ref="CL1257" authorId="0" shapeId="0" xr:uid="{00000000-0006-0000-0200-000068010000}">
      <text>
        <r>
          <rPr>
            <b/>
            <sz val="9"/>
            <color indexed="81"/>
            <rFont val="Tahoma"/>
            <family val="2"/>
          </rPr>
          <t>Author:</t>
        </r>
        <r>
          <rPr>
            <sz val="9"/>
            <color indexed="81"/>
            <rFont val="Tahoma"/>
            <family val="2"/>
          </rPr>
          <t xml:space="preserve">
check: deficit plus financing is minus E&amp;O or stat discrepancy
</t>
        </r>
      </text>
    </comment>
    <comment ref="CM1257" authorId="0" shapeId="0" xr:uid="{00000000-0006-0000-0200-000069010000}">
      <text>
        <r>
          <rPr>
            <b/>
            <sz val="9"/>
            <color indexed="81"/>
            <rFont val="Tahoma"/>
            <family val="2"/>
          </rPr>
          <t>Author:</t>
        </r>
        <r>
          <rPr>
            <sz val="9"/>
            <color indexed="81"/>
            <rFont val="Tahoma"/>
            <family val="2"/>
          </rPr>
          <t xml:space="preserve">
check: deficit plus financing is minus E&amp;O or stat discrepancy
</t>
        </r>
      </text>
    </comment>
    <comment ref="CN1257" authorId="0" shapeId="0" xr:uid="{00000000-0006-0000-0200-00006A010000}">
      <text>
        <r>
          <rPr>
            <b/>
            <sz val="9"/>
            <color indexed="81"/>
            <rFont val="Tahoma"/>
            <family val="2"/>
          </rPr>
          <t>Author:</t>
        </r>
        <r>
          <rPr>
            <sz val="9"/>
            <color indexed="81"/>
            <rFont val="Tahoma"/>
            <family val="2"/>
          </rPr>
          <t xml:space="preserve">
check: deficit plus financing is minus E&amp;O or stat discrepancy
</t>
        </r>
      </text>
    </comment>
    <comment ref="CO1257" authorId="0" shapeId="0" xr:uid="{00000000-0006-0000-0200-00006B010000}">
      <text>
        <r>
          <rPr>
            <b/>
            <sz val="9"/>
            <color indexed="81"/>
            <rFont val="Tahoma"/>
            <family val="2"/>
          </rPr>
          <t>Author:</t>
        </r>
        <r>
          <rPr>
            <sz val="9"/>
            <color indexed="81"/>
            <rFont val="Tahoma"/>
            <family val="2"/>
          </rPr>
          <t xml:space="preserve">
check: deficit plus financing is minus E&amp;O or stat discrepancy
</t>
        </r>
      </text>
    </comment>
    <comment ref="CP1257" authorId="0" shapeId="0" xr:uid="{00000000-0006-0000-0200-00006C010000}">
      <text>
        <r>
          <rPr>
            <b/>
            <sz val="9"/>
            <color indexed="81"/>
            <rFont val="Tahoma"/>
            <family val="2"/>
          </rPr>
          <t>Author:</t>
        </r>
        <r>
          <rPr>
            <sz val="9"/>
            <color indexed="81"/>
            <rFont val="Tahoma"/>
            <family val="2"/>
          </rPr>
          <t xml:space="preserve">
check: deficit plus financing is minus E&amp;O or stat discrepancy
</t>
        </r>
      </text>
    </comment>
    <comment ref="CQ1257" authorId="0" shapeId="0" xr:uid="{00000000-0006-0000-0200-00006D010000}">
      <text>
        <r>
          <rPr>
            <b/>
            <sz val="9"/>
            <color indexed="81"/>
            <rFont val="Tahoma"/>
            <family val="2"/>
          </rPr>
          <t>Author:</t>
        </r>
        <r>
          <rPr>
            <sz val="9"/>
            <color indexed="81"/>
            <rFont val="Tahoma"/>
            <family val="2"/>
          </rPr>
          <t xml:space="preserve">
check: deficit plus financing is minus E&amp;O or stat discrepancy
</t>
        </r>
      </text>
    </comment>
    <comment ref="CR1257" authorId="0" shapeId="0" xr:uid="{00000000-0006-0000-0200-00006E010000}">
      <text>
        <r>
          <rPr>
            <b/>
            <sz val="9"/>
            <color indexed="81"/>
            <rFont val="Tahoma"/>
            <family val="2"/>
          </rPr>
          <t>Author:</t>
        </r>
        <r>
          <rPr>
            <sz val="9"/>
            <color indexed="81"/>
            <rFont val="Tahoma"/>
            <family val="2"/>
          </rPr>
          <t xml:space="preserve">
check: deficit plus financing is minus E&amp;O or stat discrepancy
</t>
        </r>
      </text>
    </comment>
    <comment ref="CS1257" authorId="0" shapeId="0" xr:uid="{00000000-0006-0000-0200-00006F010000}">
      <text>
        <r>
          <rPr>
            <b/>
            <sz val="9"/>
            <color indexed="81"/>
            <rFont val="Tahoma"/>
            <family val="2"/>
          </rPr>
          <t>Author:</t>
        </r>
        <r>
          <rPr>
            <sz val="9"/>
            <color indexed="81"/>
            <rFont val="Tahoma"/>
            <family val="2"/>
          </rPr>
          <t xml:space="preserve">
check: deficit plus financing is minus E&amp;O or stat discrepancy
</t>
        </r>
      </text>
    </comment>
    <comment ref="CT1257" authorId="0" shapeId="0" xr:uid="{00000000-0006-0000-0200-000070010000}">
      <text>
        <r>
          <rPr>
            <b/>
            <sz val="9"/>
            <color indexed="81"/>
            <rFont val="Tahoma"/>
            <family val="2"/>
          </rPr>
          <t>Author:</t>
        </r>
        <r>
          <rPr>
            <sz val="9"/>
            <color indexed="81"/>
            <rFont val="Tahoma"/>
            <family val="2"/>
          </rPr>
          <t xml:space="preserve">
check: deficit plus financing is minus E&amp;O or stat discrepancy
</t>
        </r>
      </text>
    </comment>
    <comment ref="CU1257" authorId="0" shapeId="0" xr:uid="{00000000-0006-0000-0200-000071010000}">
      <text>
        <r>
          <rPr>
            <b/>
            <sz val="9"/>
            <color indexed="81"/>
            <rFont val="Tahoma"/>
            <family val="2"/>
          </rPr>
          <t>Author:</t>
        </r>
        <r>
          <rPr>
            <sz val="9"/>
            <color indexed="81"/>
            <rFont val="Tahoma"/>
            <family val="2"/>
          </rPr>
          <t xml:space="preserve">
check: deficit plus financing is minus E&amp;O or stat discrepancy
</t>
        </r>
      </text>
    </comment>
    <comment ref="CV1257" authorId="0" shapeId="0" xr:uid="{00000000-0006-0000-0200-000072010000}">
      <text>
        <r>
          <rPr>
            <b/>
            <sz val="9"/>
            <color indexed="81"/>
            <rFont val="Tahoma"/>
            <family val="2"/>
          </rPr>
          <t>Author:</t>
        </r>
        <r>
          <rPr>
            <sz val="9"/>
            <color indexed="81"/>
            <rFont val="Tahoma"/>
            <family val="2"/>
          </rPr>
          <t xml:space="preserve">
check: deficit plus financing is minus E&amp;O or stat discrepancy
</t>
        </r>
      </text>
    </comment>
    <comment ref="CW1257" authorId="0" shapeId="0" xr:uid="{00000000-0006-0000-0200-000073010000}">
      <text>
        <r>
          <rPr>
            <b/>
            <sz val="9"/>
            <color indexed="81"/>
            <rFont val="Tahoma"/>
            <family val="2"/>
          </rPr>
          <t>Author:</t>
        </r>
        <r>
          <rPr>
            <sz val="9"/>
            <color indexed="81"/>
            <rFont val="Tahoma"/>
            <family val="2"/>
          </rPr>
          <t xml:space="preserve">
check: deficit plus financing is minus E&amp;O or stat discrepancy
</t>
        </r>
      </text>
    </comment>
    <comment ref="CX1257" authorId="0" shapeId="0" xr:uid="{00000000-0006-0000-0200-000074010000}">
      <text>
        <r>
          <rPr>
            <b/>
            <sz val="9"/>
            <color indexed="81"/>
            <rFont val="Tahoma"/>
            <family val="2"/>
          </rPr>
          <t>Author:</t>
        </r>
        <r>
          <rPr>
            <sz val="9"/>
            <color indexed="81"/>
            <rFont val="Tahoma"/>
            <family val="2"/>
          </rPr>
          <t xml:space="preserve">
check: deficit plus financing is minus E&amp;O or stat discrepancy
</t>
        </r>
      </text>
    </comment>
    <comment ref="CY1257" authorId="0" shapeId="0" xr:uid="{00000000-0006-0000-0200-000075010000}">
      <text>
        <r>
          <rPr>
            <b/>
            <sz val="9"/>
            <color indexed="81"/>
            <rFont val="Tahoma"/>
            <family val="2"/>
          </rPr>
          <t>Author:</t>
        </r>
        <r>
          <rPr>
            <sz val="9"/>
            <color indexed="81"/>
            <rFont val="Tahoma"/>
            <family val="2"/>
          </rPr>
          <t xml:space="preserve">
check: deficit plus financing is minus E&amp;O or stat discrepancy
</t>
        </r>
      </text>
    </comment>
    <comment ref="CZ1257" authorId="0" shapeId="0" xr:uid="{00000000-0006-0000-0200-000076010000}">
      <text>
        <r>
          <rPr>
            <b/>
            <sz val="9"/>
            <color indexed="81"/>
            <rFont val="Tahoma"/>
            <family val="2"/>
          </rPr>
          <t>Author:</t>
        </r>
        <r>
          <rPr>
            <sz val="9"/>
            <color indexed="81"/>
            <rFont val="Tahoma"/>
            <family val="2"/>
          </rPr>
          <t xml:space="preserve">
check: deficit plus financing is minus E&amp;O or stat discrepancy
</t>
        </r>
      </text>
    </comment>
    <comment ref="DA1257" authorId="0" shapeId="0" xr:uid="{00000000-0006-0000-0200-000077010000}">
      <text>
        <r>
          <rPr>
            <b/>
            <sz val="9"/>
            <color indexed="81"/>
            <rFont val="Tahoma"/>
            <family val="2"/>
          </rPr>
          <t>Author:</t>
        </r>
        <r>
          <rPr>
            <sz val="9"/>
            <color indexed="81"/>
            <rFont val="Tahoma"/>
            <family val="2"/>
          </rPr>
          <t xml:space="preserve">
check: deficit plus financing is minus E&amp;O or stat discrepancy
</t>
        </r>
      </text>
    </comment>
    <comment ref="DB1257" authorId="0" shapeId="0" xr:uid="{00000000-0006-0000-0200-000078010000}">
      <text>
        <r>
          <rPr>
            <b/>
            <sz val="9"/>
            <color indexed="81"/>
            <rFont val="Tahoma"/>
            <family val="2"/>
          </rPr>
          <t>Author:</t>
        </r>
        <r>
          <rPr>
            <sz val="9"/>
            <color indexed="81"/>
            <rFont val="Tahoma"/>
            <family val="2"/>
          </rPr>
          <t xml:space="preserve">
check: deficit plus financing is minus E&amp;O or stat discrepancy
</t>
        </r>
      </text>
    </comment>
    <comment ref="DC1257" authorId="0" shapeId="0" xr:uid="{00000000-0006-0000-0200-000079010000}">
      <text>
        <r>
          <rPr>
            <b/>
            <sz val="9"/>
            <color indexed="81"/>
            <rFont val="Tahoma"/>
            <family val="2"/>
          </rPr>
          <t>Author:</t>
        </r>
        <r>
          <rPr>
            <sz val="9"/>
            <color indexed="81"/>
            <rFont val="Tahoma"/>
            <family val="2"/>
          </rPr>
          <t xml:space="preserve">
check: deficit plus financing is minus E&amp;O or stat discrepancy
</t>
        </r>
      </text>
    </comment>
    <comment ref="DD1257" authorId="0" shapeId="0" xr:uid="{00000000-0006-0000-0200-00007A010000}">
      <text>
        <r>
          <rPr>
            <b/>
            <sz val="9"/>
            <color indexed="81"/>
            <rFont val="Tahoma"/>
            <family val="2"/>
          </rPr>
          <t>Author:</t>
        </r>
        <r>
          <rPr>
            <sz val="9"/>
            <color indexed="81"/>
            <rFont val="Tahoma"/>
            <family val="2"/>
          </rPr>
          <t xml:space="preserve">
check: deficit plus financing is minus E&amp;O or stat discrepancy
</t>
        </r>
      </text>
    </comment>
    <comment ref="DE1257" authorId="0" shapeId="0" xr:uid="{00000000-0006-0000-0200-00007B010000}">
      <text>
        <r>
          <rPr>
            <b/>
            <sz val="9"/>
            <color indexed="81"/>
            <rFont val="Tahoma"/>
            <family val="2"/>
          </rPr>
          <t>Author:</t>
        </r>
        <r>
          <rPr>
            <sz val="9"/>
            <color indexed="81"/>
            <rFont val="Tahoma"/>
            <family val="2"/>
          </rPr>
          <t xml:space="preserve">
check: deficit plus financing is minus E&amp;O or stat discrepancy
</t>
        </r>
      </text>
    </comment>
    <comment ref="DF1257" authorId="0" shapeId="0" xr:uid="{00000000-0006-0000-0200-00007C010000}">
      <text>
        <r>
          <rPr>
            <b/>
            <sz val="9"/>
            <color indexed="81"/>
            <rFont val="Tahoma"/>
            <family val="2"/>
          </rPr>
          <t>Author:</t>
        </r>
        <r>
          <rPr>
            <sz val="9"/>
            <color indexed="81"/>
            <rFont val="Tahoma"/>
            <family val="2"/>
          </rPr>
          <t xml:space="preserve">
check: deficit plus financing is minus E&amp;O or stat discrepancy
</t>
        </r>
      </text>
    </comment>
    <comment ref="DG1257" authorId="0" shapeId="0" xr:uid="{00000000-0006-0000-0200-00007D010000}">
      <text>
        <r>
          <rPr>
            <b/>
            <sz val="9"/>
            <color indexed="81"/>
            <rFont val="Tahoma"/>
            <family val="2"/>
          </rPr>
          <t>Author:</t>
        </r>
        <r>
          <rPr>
            <sz val="9"/>
            <color indexed="81"/>
            <rFont val="Tahoma"/>
            <family val="2"/>
          </rPr>
          <t xml:space="preserve">
check: deficit plus financing is minus E&amp;O or stat discrepancy
</t>
        </r>
      </text>
    </comment>
    <comment ref="DH1257" authorId="0" shapeId="0" xr:uid="{00000000-0006-0000-0200-00007E010000}">
      <text>
        <r>
          <rPr>
            <b/>
            <sz val="9"/>
            <color indexed="81"/>
            <rFont val="Tahoma"/>
            <family val="2"/>
          </rPr>
          <t>Author:</t>
        </r>
        <r>
          <rPr>
            <sz val="9"/>
            <color indexed="81"/>
            <rFont val="Tahoma"/>
            <family val="2"/>
          </rPr>
          <t xml:space="preserve">
check: deficit plus financing is minus E&amp;O or stat discrepancy
</t>
        </r>
      </text>
    </comment>
    <comment ref="DI1257" authorId="0" shapeId="0" xr:uid="{00000000-0006-0000-0200-00007F010000}">
      <text>
        <r>
          <rPr>
            <b/>
            <sz val="9"/>
            <color indexed="81"/>
            <rFont val="Tahoma"/>
            <family val="2"/>
          </rPr>
          <t>Author:</t>
        </r>
        <r>
          <rPr>
            <sz val="9"/>
            <color indexed="81"/>
            <rFont val="Tahoma"/>
            <family val="2"/>
          </rPr>
          <t xml:space="preserve">
check: deficit plus financing is minus E&amp;O or stat discrepancy
</t>
        </r>
      </text>
    </comment>
    <comment ref="DJ1257" authorId="0" shapeId="0" xr:uid="{00000000-0006-0000-0200-000080010000}">
      <text>
        <r>
          <rPr>
            <b/>
            <sz val="9"/>
            <color indexed="81"/>
            <rFont val="Tahoma"/>
            <family val="2"/>
          </rPr>
          <t>Author:</t>
        </r>
        <r>
          <rPr>
            <sz val="9"/>
            <color indexed="81"/>
            <rFont val="Tahoma"/>
            <family val="2"/>
          </rPr>
          <t xml:space="preserve">
check: deficit plus financing is minus E&amp;O or stat discrepancy
</t>
        </r>
      </text>
    </comment>
    <comment ref="DK1257" authorId="0" shapeId="0" xr:uid="{00000000-0006-0000-0200-000081010000}">
      <text>
        <r>
          <rPr>
            <b/>
            <sz val="9"/>
            <color indexed="81"/>
            <rFont val="Tahoma"/>
            <family val="2"/>
          </rPr>
          <t>Author:</t>
        </r>
        <r>
          <rPr>
            <sz val="9"/>
            <color indexed="81"/>
            <rFont val="Tahoma"/>
            <family val="2"/>
          </rPr>
          <t xml:space="preserve">
check: deficit plus financing is minus E&amp;O or stat discrepancy
</t>
        </r>
      </text>
    </comment>
    <comment ref="DL1257" authorId="0" shapeId="0" xr:uid="{00000000-0006-0000-0200-000082010000}">
      <text>
        <r>
          <rPr>
            <b/>
            <sz val="9"/>
            <color indexed="81"/>
            <rFont val="Tahoma"/>
            <family val="2"/>
          </rPr>
          <t>Author:</t>
        </r>
        <r>
          <rPr>
            <sz val="9"/>
            <color indexed="81"/>
            <rFont val="Tahoma"/>
            <family val="2"/>
          </rPr>
          <t xml:space="preserve">
check: deficit plus financing is minus E&amp;O or stat discrepancy
</t>
        </r>
      </text>
    </comment>
    <comment ref="DM1257" authorId="0" shapeId="0" xr:uid="{00000000-0006-0000-0200-000083010000}">
      <text>
        <r>
          <rPr>
            <b/>
            <sz val="9"/>
            <color indexed="81"/>
            <rFont val="Tahoma"/>
            <family val="2"/>
          </rPr>
          <t>Author:</t>
        </r>
        <r>
          <rPr>
            <sz val="9"/>
            <color indexed="81"/>
            <rFont val="Tahoma"/>
            <family val="2"/>
          </rPr>
          <t xml:space="preserve">
check: deficit plus financing is minus E&amp;O or stat discrepancy
</t>
        </r>
      </text>
    </comment>
    <comment ref="DN1257" authorId="0" shapeId="0" xr:uid="{00000000-0006-0000-0200-000084010000}">
      <text>
        <r>
          <rPr>
            <b/>
            <sz val="9"/>
            <color indexed="81"/>
            <rFont val="Tahoma"/>
            <family val="2"/>
          </rPr>
          <t>Author:</t>
        </r>
        <r>
          <rPr>
            <sz val="9"/>
            <color indexed="81"/>
            <rFont val="Tahoma"/>
            <family val="2"/>
          </rPr>
          <t xml:space="preserve">
check: deficit plus financing is minus E&amp;O or stat discrepancy
</t>
        </r>
      </text>
    </comment>
    <comment ref="DO1257" authorId="0" shapeId="0" xr:uid="{00000000-0006-0000-0200-000085010000}">
      <text>
        <r>
          <rPr>
            <b/>
            <sz val="9"/>
            <color indexed="81"/>
            <rFont val="Tahoma"/>
            <family val="2"/>
          </rPr>
          <t>Author:</t>
        </r>
        <r>
          <rPr>
            <sz val="9"/>
            <color indexed="81"/>
            <rFont val="Tahoma"/>
            <family val="2"/>
          </rPr>
          <t xml:space="preserve">
check: deficit plus financing is minus E&amp;O or stat discrepancy
</t>
        </r>
      </text>
    </comment>
    <comment ref="DP1257" authorId="0" shapeId="0" xr:uid="{00000000-0006-0000-0200-000086010000}">
      <text>
        <r>
          <rPr>
            <b/>
            <sz val="9"/>
            <color indexed="81"/>
            <rFont val="Tahoma"/>
            <family val="2"/>
          </rPr>
          <t>Author:</t>
        </r>
        <r>
          <rPr>
            <sz val="9"/>
            <color indexed="81"/>
            <rFont val="Tahoma"/>
            <family val="2"/>
          </rPr>
          <t xml:space="preserve">
check: deficit plus financing is minus E&amp;O or stat discrepancy
</t>
        </r>
      </text>
    </comment>
    <comment ref="DQ1257" authorId="0" shapeId="0" xr:uid="{00000000-0006-0000-0200-000087010000}">
      <text>
        <r>
          <rPr>
            <b/>
            <sz val="9"/>
            <color indexed="81"/>
            <rFont val="Tahoma"/>
            <family val="2"/>
          </rPr>
          <t>Author:</t>
        </r>
        <r>
          <rPr>
            <sz val="9"/>
            <color indexed="81"/>
            <rFont val="Tahoma"/>
            <family val="2"/>
          </rPr>
          <t xml:space="preserve">
check: deficit plus financing is minus E&amp;O or stat discrepancy
</t>
        </r>
      </text>
    </comment>
    <comment ref="DR1257" authorId="0" shapeId="0" xr:uid="{00000000-0006-0000-0200-000088010000}">
      <text>
        <r>
          <rPr>
            <b/>
            <sz val="9"/>
            <color indexed="81"/>
            <rFont val="Tahoma"/>
            <family val="2"/>
          </rPr>
          <t>Author:</t>
        </r>
        <r>
          <rPr>
            <sz val="9"/>
            <color indexed="81"/>
            <rFont val="Tahoma"/>
            <family val="2"/>
          </rPr>
          <t xml:space="preserve">
check: deficit plus financing is minus E&amp;O or stat discrepancy
</t>
        </r>
      </text>
    </comment>
    <comment ref="DS1257" authorId="0" shapeId="0" xr:uid="{00000000-0006-0000-0200-000089010000}">
      <text>
        <r>
          <rPr>
            <b/>
            <sz val="9"/>
            <color indexed="81"/>
            <rFont val="Tahoma"/>
            <family val="2"/>
          </rPr>
          <t>Author:</t>
        </r>
        <r>
          <rPr>
            <sz val="9"/>
            <color indexed="81"/>
            <rFont val="Tahoma"/>
            <family val="2"/>
          </rPr>
          <t xml:space="preserve">
check: deficit plus financing is minus E&amp;O or stat discrepancy
</t>
        </r>
      </text>
    </comment>
    <comment ref="DT1257" authorId="0" shapeId="0" xr:uid="{00000000-0006-0000-0200-00008A010000}">
      <text>
        <r>
          <rPr>
            <b/>
            <sz val="9"/>
            <color indexed="81"/>
            <rFont val="Tahoma"/>
            <family val="2"/>
          </rPr>
          <t>Author:</t>
        </r>
        <r>
          <rPr>
            <sz val="9"/>
            <color indexed="81"/>
            <rFont val="Tahoma"/>
            <family val="2"/>
          </rPr>
          <t xml:space="preserve">
check: deficit plus financing is minus E&amp;O or stat discrepancy
</t>
        </r>
      </text>
    </comment>
    <comment ref="DU1257" authorId="0" shapeId="0" xr:uid="{00000000-0006-0000-0200-00008B010000}">
      <text>
        <r>
          <rPr>
            <b/>
            <sz val="9"/>
            <color indexed="81"/>
            <rFont val="Tahoma"/>
            <family val="2"/>
          </rPr>
          <t>Author:</t>
        </r>
        <r>
          <rPr>
            <sz val="9"/>
            <color indexed="81"/>
            <rFont val="Tahoma"/>
            <family val="2"/>
          </rPr>
          <t xml:space="preserve">
check: deficit plus financing is minus E&amp;O or stat discrepancy
</t>
        </r>
      </text>
    </comment>
    <comment ref="DV1257" authorId="0" shapeId="0" xr:uid="{00000000-0006-0000-0200-00008C010000}">
      <text>
        <r>
          <rPr>
            <b/>
            <sz val="9"/>
            <color indexed="81"/>
            <rFont val="Tahoma"/>
            <family val="2"/>
          </rPr>
          <t>Author:</t>
        </r>
        <r>
          <rPr>
            <sz val="9"/>
            <color indexed="81"/>
            <rFont val="Tahoma"/>
            <family val="2"/>
          </rPr>
          <t xml:space="preserve">
check: deficit plus financing is minus E&amp;O or stat discrepancy
</t>
        </r>
      </text>
    </comment>
    <comment ref="DW1257" authorId="0" shapeId="0" xr:uid="{00000000-0006-0000-0200-00008D010000}">
      <text>
        <r>
          <rPr>
            <b/>
            <sz val="9"/>
            <color indexed="81"/>
            <rFont val="Tahoma"/>
            <family val="2"/>
          </rPr>
          <t>Author:</t>
        </r>
        <r>
          <rPr>
            <sz val="9"/>
            <color indexed="81"/>
            <rFont val="Tahoma"/>
            <family val="2"/>
          </rPr>
          <t xml:space="preserve">
check: deficit plus financing is minus E&amp;O or stat discrepancy
</t>
        </r>
      </text>
    </comment>
    <comment ref="DX1257" authorId="0" shapeId="0" xr:uid="{00000000-0006-0000-0200-00008E010000}">
      <text>
        <r>
          <rPr>
            <b/>
            <sz val="9"/>
            <color indexed="81"/>
            <rFont val="Tahoma"/>
            <family val="2"/>
          </rPr>
          <t>Author:</t>
        </r>
        <r>
          <rPr>
            <sz val="9"/>
            <color indexed="81"/>
            <rFont val="Tahoma"/>
            <family val="2"/>
          </rPr>
          <t xml:space="preserve">
check: deficit plus financing is minus E&amp;O or stat discrepancy
</t>
        </r>
      </text>
    </comment>
    <comment ref="DY1257" authorId="0" shapeId="0" xr:uid="{00000000-0006-0000-0200-00008F010000}">
      <text>
        <r>
          <rPr>
            <b/>
            <sz val="9"/>
            <color indexed="81"/>
            <rFont val="Tahoma"/>
            <family val="2"/>
          </rPr>
          <t>Author:</t>
        </r>
        <r>
          <rPr>
            <sz val="9"/>
            <color indexed="81"/>
            <rFont val="Tahoma"/>
            <family val="2"/>
          </rPr>
          <t xml:space="preserve">
check: deficit plus financing is minus E&amp;O or stat discrepancy
</t>
        </r>
      </text>
    </comment>
    <comment ref="DZ1257" authorId="0" shapeId="0" xr:uid="{00000000-0006-0000-0200-000090010000}">
      <text>
        <r>
          <rPr>
            <b/>
            <sz val="9"/>
            <color indexed="81"/>
            <rFont val="Tahoma"/>
            <family val="2"/>
          </rPr>
          <t>Author:</t>
        </r>
        <r>
          <rPr>
            <sz val="9"/>
            <color indexed="81"/>
            <rFont val="Tahoma"/>
            <family val="2"/>
          </rPr>
          <t xml:space="preserve">
check: deficit plus financing is minus E&amp;O or stat discrepancy
</t>
        </r>
      </text>
    </comment>
    <comment ref="EA1257" authorId="0" shapeId="0" xr:uid="{00000000-0006-0000-0200-000091010000}">
      <text>
        <r>
          <rPr>
            <b/>
            <sz val="9"/>
            <color indexed="81"/>
            <rFont val="Tahoma"/>
            <family val="2"/>
          </rPr>
          <t>Author:</t>
        </r>
        <r>
          <rPr>
            <sz val="9"/>
            <color indexed="81"/>
            <rFont val="Tahoma"/>
            <family val="2"/>
          </rPr>
          <t xml:space="preserve">
check: deficit plus financing is minus E&amp;O or stat discrepancy
</t>
        </r>
      </text>
    </comment>
    <comment ref="EB1257" authorId="0" shapeId="0" xr:uid="{00000000-0006-0000-0200-000092010000}">
      <text>
        <r>
          <rPr>
            <b/>
            <sz val="9"/>
            <color indexed="81"/>
            <rFont val="Tahoma"/>
            <family val="2"/>
          </rPr>
          <t>Author:</t>
        </r>
        <r>
          <rPr>
            <sz val="9"/>
            <color indexed="81"/>
            <rFont val="Tahoma"/>
            <family val="2"/>
          </rPr>
          <t xml:space="preserve">
check: deficit plus financing is minus E&amp;O or stat discrepancy
</t>
        </r>
      </text>
    </comment>
    <comment ref="EC1257" authorId="0" shapeId="0" xr:uid="{00000000-0006-0000-0200-000093010000}">
      <text>
        <r>
          <rPr>
            <b/>
            <sz val="9"/>
            <color indexed="81"/>
            <rFont val="Tahoma"/>
            <family val="2"/>
          </rPr>
          <t>Author:</t>
        </r>
        <r>
          <rPr>
            <sz val="9"/>
            <color indexed="81"/>
            <rFont val="Tahoma"/>
            <family val="2"/>
          </rPr>
          <t xml:space="preserve">
check: deficit plus financing is minus E&amp;O or stat discrepancy
</t>
        </r>
      </text>
    </comment>
    <comment ref="ED1257" authorId="0" shapeId="0" xr:uid="{00000000-0006-0000-0200-000094010000}">
      <text>
        <r>
          <rPr>
            <b/>
            <sz val="9"/>
            <color indexed="81"/>
            <rFont val="Tahoma"/>
            <family val="2"/>
          </rPr>
          <t>Author:</t>
        </r>
        <r>
          <rPr>
            <sz val="9"/>
            <color indexed="81"/>
            <rFont val="Tahoma"/>
            <family val="2"/>
          </rPr>
          <t xml:space="preserve">
check: deficit plus financing is minus E&amp;O or stat discrepancy
</t>
        </r>
      </text>
    </comment>
    <comment ref="EE1257" authorId="0" shapeId="0" xr:uid="{00000000-0006-0000-0200-000095010000}">
      <text>
        <r>
          <rPr>
            <b/>
            <sz val="9"/>
            <color indexed="81"/>
            <rFont val="Tahoma"/>
            <family val="2"/>
          </rPr>
          <t>Author:</t>
        </r>
        <r>
          <rPr>
            <sz val="9"/>
            <color indexed="81"/>
            <rFont val="Tahoma"/>
            <family val="2"/>
          </rPr>
          <t xml:space="preserve">
check: deficit plus financing is minus E&amp;O or stat discrepancy
</t>
        </r>
      </text>
    </comment>
    <comment ref="EF1257" authorId="0" shapeId="0" xr:uid="{00000000-0006-0000-0200-000096010000}">
      <text>
        <r>
          <rPr>
            <b/>
            <sz val="9"/>
            <color indexed="81"/>
            <rFont val="Tahoma"/>
            <family val="2"/>
          </rPr>
          <t>Author:</t>
        </r>
        <r>
          <rPr>
            <sz val="9"/>
            <color indexed="81"/>
            <rFont val="Tahoma"/>
            <family val="2"/>
          </rPr>
          <t xml:space="preserve">
check: deficit plus financing is minus E&amp;O or stat discrepancy
</t>
        </r>
      </text>
    </comment>
    <comment ref="EG1257" authorId="0" shapeId="0" xr:uid="{00000000-0006-0000-0200-000097010000}">
      <text>
        <r>
          <rPr>
            <b/>
            <sz val="9"/>
            <color indexed="81"/>
            <rFont val="Tahoma"/>
            <family val="2"/>
          </rPr>
          <t>Author:</t>
        </r>
        <r>
          <rPr>
            <sz val="9"/>
            <color indexed="81"/>
            <rFont val="Tahoma"/>
            <family val="2"/>
          </rPr>
          <t xml:space="preserve">
check: deficit plus financing is minus E&amp;O or stat discrepancy
</t>
        </r>
      </text>
    </comment>
    <comment ref="EH1257" authorId="0" shapeId="0" xr:uid="{00000000-0006-0000-0200-000098010000}">
      <text>
        <r>
          <rPr>
            <b/>
            <sz val="9"/>
            <color indexed="81"/>
            <rFont val="Tahoma"/>
            <family val="2"/>
          </rPr>
          <t>Author:</t>
        </r>
        <r>
          <rPr>
            <sz val="9"/>
            <color indexed="81"/>
            <rFont val="Tahoma"/>
            <family val="2"/>
          </rPr>
          <t xml:space="preserve">
check: deficit plus financing is minus E&amp;O or stat discrepancy
</t>
        </r>
      </text>
    </comment>
    <comment ref="EI1257" authorId="0" shapeId="0" xr:uid="{00000000-0006-0000-0200-000099010000}">
      <text>
        <r>
          <rPr>
            <b/>
            <sz val="9"/>
            <color indexed="81"/>
            <rFont val="Tahoma"/>
            <family val="2"/>
          </rPr>
          <t>Author:</t>
        </r>
        <r>
          <rPr>
            <sz val="9"/>
            <color indexed="81"/>
            <rFont val="Tahoma"/>
            <family val="2"/>
          </rPr>
          <t xml:space="preserve">
check: deficit plus financing is minus E&amp;O or stat discrepancy
</t>
        </r>
      </text>
    </comment>
    <comment ref="EJ1257" authorId="0" shapeId="0" xr:uid="{00000000-0006-0000-0200-00009A010000}">
      <text>
        <r>
          <rPr>
            <b/>
            <sz val="9"/>
            <color indexed="81"/>
            <rFont val="Tahoma"/>
            <family val="2"/>
          </rPr>
          <t>Author:</t>
        </r>
        <r>
          <rPr>
            <sz val="9"/>
            <color indexed="81"/>
            <rFont val="Tahoma"/>
            <family val="2"/>
          </rPr>
          <t xml:space="preserve">
check: deficit plus financing is minus E&amp;O or stat discrepancy
</t>
        </r>
      </text>
    </comment>
    <comment ref="EK1257" authorId="0" shapeId="0" xr:uid="{00000000-0006-0000-0200-00009B010000}">
      <text>
        <r>
          <rPr>
            <b/>
            <sz val="9"/>
            <color indexed="81"/>
            <rFont val="Tahoma"/>
            <family val="2"/>
          </rPr>
          <t>Author:</t>
        </r>
        <r>
          <rPr>
            <sz val="9"/>
            <color indexed="81"/>
            <rFont val="Tahoma"/>
            <family val="2"/>
          </rPr>
          <t xml:space="preserve">
check: deficit plus financing is minus E&amp;O or stat discrepancy
</t>
        </r>
      </text>
    </comment>
    <comment ref="EL1257" authorId="0" shapeId="0" xr:uid="{00000000-0006-0000-0200-00009C010000}">
      <text>
        <r>
          <rPr>
            <b/>
            <sz val="9"/>
            <color indexed="81"/>
            <rFont val="Tahoma"/>
            <family val="2"/>
          </rPr>
          <t>Author:</t>
        </r>
        <r>
          <rPr>
            <sz val="9"/>
            <color indexed="81"/>
            <rFont val="Tahoma"/>
            <family val="2"/>
          </rPr>
          <t xml:space="preserve">
check: deficit plus financing is minus E&amp;O or stat discrepancy
</t>
        </r>
      </text>
    </comment>
    <comment ref="EM1257" authorId="0" shapeId="0" xr:uid="{00000000-0006-0000-0200-00009D010000}">
      <text>
        <r>
          <rPr>
            <b/>
            <sz val="9"/>
            <color indexed="81"/>
            <rFont val="Tahoma"/>
            <family val="2"/>
          </rPr>
          <t>Author:</t>
        </r>
        <r>
          <rPr>
            <sz val="9"/>
            <color indexed="81"/>
            <rFont val="Tahoma"/>
            <family val="2"/>
          </rPr>
          <t xml:space="preserve">
check: deficit plus financing is minus E&amp;O or stat discrepancy
</t>
        </r>
      </text>
    </comment>
    <comment ref="EN1257" authorId="0" shapeId="0" xr:uid="{00000000-0006-0000-0200-00009E010000}">
      <text>
        <r>
          <rPr>
            <b/>
            <sz val="9"/>
            <color indexed="81"/>
            <rFont val="Tahoma"/>
            <family val="2"/>
          </rPr>
          <t>Author:</t>
        </r>
        <r>
          <rPr>
            <sz val="9"/>
            <color indexed="81"/>
            <rFont val="Tahoma"/>
            <family val="2"/>
          </rPr>
          <t xml:space="preserve">
check: deficit plus financing is minus E&amp;O or stat discrepancy
</t>
        </r>
      </text>
    </comment>
    <comment ref="EO1257" authorId="0" shapeId="0" xr:uid="{00000000-0006-0000-0200-00009F010000}">
      <text>
        <r>
          <rPr>
            <b/>
            <sz val="9"/>
            <color indexed="81"/>
            <rFont val="Tahoma"/>
            <family val="2"/>
          </rPr>
          <t>Author:</t>
        </r>
        <r>
          <rPr>
            <sz val="9"/>
            <color indexed="81"/>
            <rFont val="Tahoma"/>
            <family val="2"/>
          </rPr>
          <t xml:space="preserve">
check: deficit plus financing is minus E&amp;O or stat discrepancy
</t>
        </r>
      </text>
    </comment>
    <comment ref="EP1257" authorId="0" shapeId="0" xr:uid="{00000000-0006-0000-0200-0000A0010000}">
      <text>
        <r>
          <rPr>
            <b/>
            <sz val="9"/>
            <color indexed="81"/>
            <rFont val="Tahoma"/>
            <family val="2"/>
          </rPr>
          <t>Author:</t>
        </r>
        <r>
          <rPr>
            <sz val="9"/>
            <color indexed="81"/>
            <rFont val="Tahoma"/>
            <family val="2"/>
          </rPr>
          <t xml:space="preserve">
check: deficit plus financing is minus E&amp;O or stat discrepancy
</t>
        </r>
      </text>
    </comment>
    <comment ref="EQ1257" authorId="0" shapeId="0" xr:uid="{00000000-0006-0000-0200-0000A1010000}">
      <text>
        <r>
          <rPr>
            <b/>
            <sz val="9"/>
            <color indexed="81"/>
            <rFont val="Tahoma"/>
            <family val="2"/>
          </rPr>
          <t>Author:</t>
        </r>
        <r>
          <rPr>
            <sz val="9"/>
            <color indexed="81"/>
            <rFont val="Tahoma"/>
            <family val="2"/>
          </rPr>
          <t xml:space="preserve">
check: deficit plus financing is minus E&amp;O or stat discrepancy
</t>
        </r>
      </text>
    </comment>
    <comment ref="ER1257" authorId="0" shapeId="0" xr:uid="{00000000-0006-0000-0200-0000A2010000}">
      <text>
        <r>
          <rPr>
            <b/>
            <sz val="9"/>
            <color indexed="81"/>
            <rFont val="Tahoma"/>
            <family val="2"/>
          </rPr>
          <t>Author:</t>
        </r>
        <r>
          <rPr>
            <sz val="9"/>
            <color indexed="81"/>
            <rFont val="Tahoma"/>
            <family val="2"/>
          </rPr>
          <t xml:space="preserve">
check: deficit plus financing is minus E&amp;O or stat discrepancy
</t>
        </r>
      </text>
    </comment>
    <comment ref="ES1257" authorId="0" shapeId="0" xr:uid="{00000000-0006-0000-0200-0000A3010000}">
      <text>
        <r>
          <rPr>
            <b/>
            <sz val="9"/>
            <color indexed="81"/>
            <rFont val="Tahoma"/>
            <family val="2"/>
          </rPr>
          <t>Author:</t>
        </r>
        <r>
          <rPr>
            <sz val="9"/>
            <color indexed="81"/>
            <rFont val="Tahoma"/>
            <family val="2"/>
          </rPr>
          <t xml:space="preserve">
check: deficit plus financing is minus E&amp;O or stat discrepancy
</t>
        </r>
      </text>
    </comment>
    <comment ref="ET1257" authorId="0" shapeId="0" xr:uid="{00000000-0006-0000-0200-0000A4010000}">
      <text>
        <r>
          <rPr>
            <b/>
            <sz val="9"/>
            <color indexed="81"/>
            <rFont val="Tahoma"/>
            <family val="2"/>
          </rPr>
          <t>Author:</t>
        </r>
        <r>
          <rPr>
            <sz val="9"/>
            <color indexed="81"/>
            <rFont val="Tahoma"/>
            <family val="2"/>
          </rPr>
          <t xml:space="preserve">
check: deficit plus financing is minus E&amp;O or stat discrepancy
</t>
        </r>
      </text>
    </comment>
    <comment ref="EU1257" authorId="0" shapeId="0" xr:uid="{00000000-0006-0000-0200-0000A5010000}">
      <text>
        <r>
          <rPr>
            <b/>
            <sz val="9"/>
            <color indexed="81"/>
            <rFont val="Tahoma"/>
            <family val="2"/>
          </rPr>
          <t>Author:</t>
        </r>
        <r>
          <rPr>
            <sz val="9"/>
            <color indexed="81"/>
            <rFont val="Tahoma"/>
            <family val="2"/>
          </rPr>
          <t xml:space="preserve">
check: deficit plus financing is minus E&amp;O or stat discrepancy
</t>
        </r>
      </text>
    </comment>
    <comment ref="EV1257" authorId="0" shapeId="0" xr:uid="{00000000-0006-0000-0200-0000A6010000}">
      <text>
        <r>
          <rPr>
            <b/>
            <sz val="9"/>
            <color indexed="81"/>
            <rFont val="Tahoma"/>
            <family val="2"/>
          </rPr>
          <t>Author:</t>
        </r>
        <r>
          <rPr>
            <sz val="9"/>
            <color indexed="81"/>
            <rFont val="Tahoma"/>
            <family val="2"/>
          </rPr>
          <t xml:space="preserve">
check: deficit plus financing is minus E&amp;O or stat discrepancy
</t>
        </r>
      </text>
    </comment>
    <comment ref="EW1257" authorId="0" shapeId="0" xr:uid="{00000000-0006-0000-0200-0000A7010000}">
      <text>
        <r>
          <rPr>
            <b/>
            <sz val="9"/>
            <color indexed="81"/>
            <rFont val="Tahoma"/>
            <family val="2"/>
          </rPr>
          <t>Author:</t>
        </r>
        <r>
          <rPr>
            <sz val="9"/>
            <color indexed="81"/>
            <rFont val="Tahoma"/>
            <family val="2"/>
          </rPr>
          <t xml:space="preserve">
check: deficit plus financing is minus E&amp;O or stat discrepancy
</t>
        </r>
      </text>
    </comment>
    <comment ref="EX1257" authorId="0" shapeId="0" xr:uid="{00000000-0006-0000-0200-0000A8010000}">
      <text>
        <r>
          <rPr>
            <b/>
            <sz val="9"/>
            <color indexed="81"/>
            <rFont val="Tahoma"/>
            <family val="2"/>
          </rPr>
          <t>Author:</t>
        </r>
        <r>
          <rPr>
            <sz val="9"/>
            <color indexed="81"/>
            <rFont val="Tahoma"/>
            <family val="2"/>
          </rPr>
          <t xml:space="preserve">
check: deficit plus financing is minus E&amp;O or stat discrepancy
</t>
        </r>
      </text>
    </comment>
    <comment ref="EY1257" authorId="0" shapeId="0" xr:uid="{00000000-0006-0000-0200-0000A9010000}">
      <text>
        <r>
          <rPr>
            <b/>
            <sz val="9"/>
            <color indexed="81"/>
            <rFont val="Tahoma"/>
            <family val="2"/>
          </rPr>
          <t>Author:</t>
        </r>
        <r>
          <rPr>
            <sz val="9"/>
            <color indexed="81"/>
            <rFont val="Tahoma"/>
            <family val="2"/>
          </rPr>
          <t xml:space="preserve">
check: deficit plus financing is minus E&amp;O or stat discrepancy
</t>
        </r>
      </text>
    </comment>
    <comment ref="EZ1257" authorId="0" shapeId="0" xr:uid="{00000000-0006-0000-0200-0000AA010000}">
      <text>
        <r>
          <rPr>
            <b/>
            <sz val="9"/>
            <color indexed="81"/>
            <rFont val="Tahoma"/>
            <family val="2"/>
          </rPr>
          <t>Author:</t>
        </r>
        <r>
          <rPr>
            <sz val="9"/>
            <color indexed="81"/>
            <rFont val="Tahoma"/>
            <family val="2"/>
          </rPr>
          <t xml:space="preserve">
check: deficit plus financing is minus E&amp;O or stat discrepancy
</t>
        </r>
      </text>
    </comment>
    <comment ref="FA1257" authorId="0" shapeId="0" xr:uid="{00000000-0006-0000-0200-0000AB010000}">
      <text>
        <r>
          <rPr>
            <b/>
            <sz val="9"/>
            <color indexed="81"/>
            <rFont val="Tahoma"/>
            <family val="2"/>
          </rPr>
          <t>Author:</t>
        </r>
        <r>
          <rPr>
            <sz val="9"/>
            <color indexed="81"/>
            <rFont val="Tahoma"/>
            <family val="2"/>
          </rPr>
          <t xml:space="preserve">
check: deficit plus financing is minus E&amp;O or stat discrepancy
</t>
        </r>
      </text>
    </comment>
    <comment ref="FB1257" authorId="0" shapeId="0" xr:uid="{00000000-0006-0000-0200-0000AC010000}">
      <text>
        <r>
          <rPr>
            <b/>
            <sz val="9"/>
            <color indexed="81"/>
            <rFont val="Tahoma"/>
            <family val="2"/>
          </rPr>
          <t>Author:</t>
        </r>
        <r>
          <rPr>
            <sz val="9"/>
            <color indexed="81"/>
            <rFont val="Tahoma"/>
            <family val="2"/>
          </rPr>
          <t xml:space="preserve">
check: deficit plus financing is minus E&amp;O or stat discrepancy
</t>
        </r>
      </text>
    </comment>
    <comment ref="FC1257" authorId="0" shapeId="0" xr:uid="{00000000-0006-0000-0200-0000AD010000}">
      <text>
        <r>
          <rPr>
            <b/>
            <sz val="9"/>
            <color indexed="81"/>
            <rFont val="Tahoma"/>
            <family val="2"/>
          </rPr>
          <t>Author:</t>
        </r>
        <r>
          <rPr>
            <sz val="9"/>
            <color indexed="81"/>
            <rFont val="Tahoma"/>
            <family val="2"/>
          </rPr>
          <t xml:space="preserve">
check: deficit plus financing is minus E&amp;O or stat discrepancy
</t>
        </r>
      </text>
    </comment>
    <comment ref="FD1257" authorId="0" shapeId="0" xr:uid="{00000000-0006-0000-0200-0000AE010000}">
      <text>
        <r>
          <rPr>
            <b/>
            <sz val="9"/>
            <color indexed="81"/>
            <rFont val="Tahoma"/>
            <family val="2"/>
          </rPr>
          <t>Author:</t>
        </r>
        <r>
          <rPr>
            <sz val="9"/>
            <color indexed="81"/>
            <rFont val="Tahoma"/>
            <family val="2"/>
          </rPr>
          <t xml:space="preserve">
check: deficit plus financing is minus E&amp;O or stat discrepancy
</t>
        </r>
      </text>
    </comment>
    <comment ref="FE1257" authorId="0" shapeId="0" xr:uid="{00000000-0006-0000-0200-0000AF010000}">
      <text>
        <r>
          <rPr>
            <b/>
            <sz val="9"/>
            <color indexed="81"/>
            <rFont val="Tahoma"/>
            <family val="2"/>
          </rPr>
          <t>Author:</t>
        </r>
        <r>
          <rPr>
            <sz val="9"/>
            <color indexed="81"/>
            <rFont val="Tahoma"/>
            <family val="2"/>
          </rPr>
          <t xml:space="preserve">
check: deficit plus financing is minus E&amp;O or stat discrepancy
</t>
        </r>
      </text>
    </comment>
    <comment ref="FF1257" authorId="0" shapeId="0" xr:uid="{00000000-0006-0000-0200-0000B0010000}">
      <text>
        <r>
          <rPr>
            <b/>
            <sz val="9"/>
            <color indexed="81"/>
            <rFont val="Tahoma"/>
            <family val="2"/>
          </rPr>
          <t>Author:</t>
        </r>
        <r>
          <rPr>
            <sz val="9"/>
            <color indexed="81"/>
            <rFont val="Tahoma"/>
            <family val="2"/>
          </rPr>
          <t xml:space="preserve">
check: deficit plus financing is minus E&amp;O or stat discrepancy
</t>
        </r>
      </text>
    </comment>
    <comment ref="FG1257" authorId="0" shapeId="0" xr:uid="{00000000-0006-0000-0200-0000B1010000}">
      <text>
        <r>
          <rPr>
            <b/>
            <sz val="9"/>
            <color indexed="81"/>
            <rFont val="Tahoma"/>
            <family val="2"/>
          </rPr>
          <t>Author:</t>
        </r>
        <r>
          <rPr>
            <sz val="9"/>
            <color indexed="81"/>
            <rFont val="Tahoma"/>
            <family val="2"/>
          </rPr>
          <t xml:space="preserve">
check: deficit plus financing is minus E&amp;O or stat discrepancy
</t>
        </r>
      </text>
    </comment>
    <comment ref="FH1257" authorId="0" shapeId="0" xr:uid="{00000000-0006-0000-0200-0000B2010000}">
      <text>
        <r>
          <rPr>
            <b/>
            <sz val="9"/>
            <color indexed="81"/>
            <rFont val="Tahoma"/>
            <family val="2"/>
          </rPr>
          <t>Author:</t>
        </r>
        <r>
          <rPr>
            <sz val="9"/>
            <color indexed="81"/>
            <rFont val="Tahoma"/>
            <family val="2"/>
          </rPr>
          <t xml:space="preserve">
check: deficit plus financing is minus E&amp;O or stat discrepancy
</t>
        </r>
      </text>
    </comment>
    <comment ref="FI1257" authorId="0" shapeId="0" xr:uid="{00000000-0006-0000-0200-0000B3010000}">
      <text>
        <r>
          <rPr>
            <b/>
            <sz val="9"/>
            <color indexed="81"/>
            <rFont val="Tahoma"/>
            <family val="2"/>
          </rPr>
          <t>Author:</t>
        </r>
        <r>
          <rPr>
            <sz val="9"/>
            <color indexed="81"/>
            <rFont val="Tahoma"/>
            <family val="2"/>
          </rPr>
          <t xml:space="preserve">
check: deficit plus financing is minus E&amp;O or stat discrepancy
</t>
        </r>
      </text>
    </comment>
    <comment ref="FJ1257" authorId="0" shapeId="0" xr:uid="{00000000-0006-0000-0200-0000B4010000}">
      <text>
        <r>
          <rPr>
            <b/>
            <sz val="9"/>
            <color indexed="81"/>
            <rFont val="Tahoma"/>
            <family val="2"/>
          </rPr>
          <t>Author:</t>
        </r>
        <r>
          <rPr>
            <sz val="9"/>
            <color indexed="81"/>
            <rFont val="Tahoma"/>
            <family val="2"/>
          </rPr>
          <t xml:space="preserve">
check: deficit plus financing is minus E&amp;O or stat discrepancy
</t>
        </r>
      </text>
    </comment>
    <comment ref="FK1257" authorId="0" shapeId="0" xr:uid="{00000000-0006-0000-0200-0000B5010000}">
      <text>
        <r>
          <rPr>
            <b/>
            <sz val="9"/>
            <color indexed="81"/>
            <rFont val="Tahoma"/>
            <family val="2"/>
          </rPr>
          <t>Author:</t>
        </r>
        <r>
          <rPr>
            <sz val="9"/>
            <color indexed="81"/>
            <rFont val="Tahoma"/>
            <family val="2"/>
          </rPr>
          <t xml:space="preserve">
check: deficit plus financing is minus E&amp;O or stat discrepancy
</t>
        </r>
      </text>
    </comment>
    <comment ref="FL1257" authorId="0" shapeId="0" xr:uid="{00000000-0006-0000-0200-0000B6010000}">
      <text>
        <r>
          <rPr>
            <b/>
            <sz val="9"/>
            <color indexed="81"/>
            <rFont val="Tahoma"/>
            <family val="2"/>
          </rPr>
          <t>Author:</t>
        </r>
        <r>
          <rPr>
            <sz val="9"/>
            <color indexed="81"/>
            <rFont val="Tahoma"/>
            <family val="2"/>
          </rPr>
          <t xml:space="preserve">
check: deficit plus financing is minus E&amp;O or stat discrepancy
</t>
        </r>
      </text>
    </comment>
    <comment ref="FM1257" authorId="0" shapeId="0" xr:uid="{00000000-0006-0000-0200-0000B7010000}">
      <text>
        <r>
          <rPr>
            <b/>
            <sz val="9"/>
            <color indexed="81"/>
            <rFont val="Tahoma"/>
            <family val="2"/>
          </rPr>
          <t>Author:</t>
        </r>
        <r>
          <rPr>
            <sz val="9"/>
            <color indexed="81"/>
            <rFont val="Tahoma"/>
            <family val="2"/>
          </rPr>
          <t xml:space="preserve">
check: deficit plus financing is minus E&amp;O or stat discrepancy
</t>
        </r>
      </text>
    </comment>
    <comment ref="FN1257" authorId="0" shapeId="0" xr:uid="{00000000-0006-0000-0200-0000B8010000}">
      <text>
        <r>
          <rPr>
            <b/>
            <sz val="9"/>
            <color indexed="81"/>
            <rFont val="Tahoma"/>
            <family val="2"/>
          </rPr>
          <t>Author:</t>
        </r>
        <r>
          <rPr>
            <sz val="9"/>
            <color indexed="81"/>
            <rFont val="Tahoma"/>
            <family val="2"/>
          </rPr>
          <t xml:space="preserve">
check: deficit plus financing is minus E&amp;O or stat discrepancy
</t>
        </r>
      </text>
    </comment>
    <comment ref="FO1257" authorId="0" shapeId="0" xr:uid="{00000000-0006-0000-0200-0000B9010000}">
      <text>
        <r>
          <rPr>
            <b/>
            <sz val="9"/>
            <color indexed="81"/>
            <rFont val="Tahoma"/>
            <family val="2"/>
          </rPr>
          <t>Author:</t>
        </r>
        <r>
          <rPr>
            <sz val="9"/>
            <color indexed="81"/>
            <rFont val="Tahoma"/>
            <family val="2"/>
          </rPr>
          <t xml:space="preserve">
check: deficit plus financing is minus E&amp;O or stat discrepancy
</t>
        </r>
      </text>
    </comment>
    <comment ref="FP1257" authorId="0" shapeId="0" xr:uid="{00000000-0006-0000-0200-0000BA010000}">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5" authorId="0" shapeId="0" xr:uid="{A1418913-2CEA-4AFE-8094-7BDD8F942E62}">
      <text>
        <r>
          <rPr>
            <b/>
            <sz val="9"/>
            <color indexed="81"/>
            <rFont val="Tahoma"/>
            <family val="2"/>
          </rPr>
          <t>Author:</t>
        </r>
        <r>
          <rPr>
            <sz val="9"/>
            <color indexed="81"/>
            <rFont val="Tahoma"/>
            <family val="2"/>
          </rPr>
          <t xml:space="preserve">
includes BK loan for Afrexim refinancing (46+93), Former (30m) loan and loan form BK as part of Recovery fund (taken by UCL through BK) and Frw 1.87 bio for UCL cashflow gap</t>
        </r>
      </text>
    </comment>
    <comment ref="L6" authorId="0" shapeId="0" xr:uid="{A0A63624-3C57-4B28-A86F-1309B1429848}">
      <text>
        <r>
          <rPr>
            <b/>
            <sz val="9"/>
            <color indexed="81"/>
            <rFont val="Tahoma"/>
            <family val="2"/>
          </rPr>
          <t>Author:</t>
        </r>
        <r>
          <rPr>
            <sz val="9"/>
            <color indexed="81"/>
            <rFont val="Tahoma"/>
            <family val="2"/>
          </rPr>
          <t xml:space="preserve">
includes BK loan for Afrexim refinancing (46+93), Former (30m) loan and loan form BK as part of Recovery fund (taken by UCL through BK) and Frw 1.87 bio for UCL cashflow gap</t>
        </r>
      </text>
    </comment>
    <comment ref="D7" authorId="0" shapeId="0" xr:uid="{1F398227-9F15-46AD-8B16-F2BDE184F574}">
      <text>
        <r>
          <rPr>
            <b/>
            <sz val="9"/>
            <color indexed="81"/>
            <rFont val="Tahoma"/>
            <family val="2"/>
          </rPr>
          <t>Author:</t>
        </r>
        <r>
          <rPr>
            <sz val="9"/>
            <color indexed="81"/>
            <rFont val="Tahoma"/>
            <family val="2"/>
          </rPr>
          <t xml:space="preserve">
Aug 20</t>
        </r>
      </text>
    </comment>
    <comment ref="B8" authorId="0" shapeId="0" xr:uid="{D22AC375-C7C4-485C-B9C6-946103BECB32}">
      <text>
        <r>
          <rPr>
            <b/>
            <sz val="9"/>
            <color indexed="81"/>
            <rFont val="Tahoma"/>
            <family val="2"/>
          </rPr>
          <t>Author:</t>
        </r>
        <r>
          <rPr>
            <sz val="9"/>
            <color indexed="81"/>
            <rFont val="Tahoma"/>
            <family val="2"/>
          </rPr>
          <t xml:space="preserve">
Bridge Loan Restructuring. These are only interests because this loan has a grace period of 3 years. it is a syndication arrangement.</t>
        </r>
      </text>
    </comment>
    <comment ref="R9" authorId="0" shapeId="0" xr:uid="{00B2CD53-45B9-47AF-8D25-47BC7B96E24C}">
      <text>
        <r>
          <rPr>
            <b/>
            <sz val="9"/>
            <color indexed="81"/>
            <rFont val="Tahoma"/>
            <family val="2"/>
          </rPr>
          <t>Author:</t>
        </r>
        <r>
          <rPr>
            <sz val="9"/>
            <color indexed="81"/>
            <rFont val="Tahoma"/>
            <family val="2"/>
          </rPr>
          <t xml:space="preserve">
The additional 5Bln is related to the real outstanding of BRD 1.85 and 3.5 that spent (August) by Treasury which was not planned.</t>
        </r>
      </text>
    </comment>
    <comment ref="B26" authorId="0" shapeId="0" xr:uid="{295E1241-390F-4066-9F7B-2A596BC6DB02}">
      <text>
        <r>
          <rPr>
            <b/>
            <sz val="9"/>
            <color indexed="81"/>
            <rFont val="Tahoma"/>
            <family val="2"/>
          </rPr>
          <t>Author:</t>
        </r>
        <r>
          <rPr>
            <sz val="9"/>
            <color indexed="81"/>
            <rFont val="Tahoma"/>
            <family val="2"/>
          </rPr>
          <t xml:space="preserve">
this has been approved after the review of new market operation agreement between BNR and MINECOFIN.</t>
        </r>
      </text>
    </comment>
    <comment ref="J68" authorId="0" shapeId="0" xr:uid="{2D963529-717C-4B51-A94F-4D52BE2E17F9}">
      <text>
        <r>
          <rPr>
            <b/>
            <sz val="9"/>
            <color indexed="81"/>
            <rFont val="Tahoma"/>
            <family val="2"/>
          </rPr>
          <t>Author:</t>
        </r>
        <r>
          <rPr>
            <sz val="9"/>
            <color indexed="81"/>
            <rFont val="Tahoma"/>
            <family val="2"/>
          </rPr>
          <t xml:space="preserve">
Includes actuals Jly-Dec 2022 of 51.3 mln $</t>
        </r>
      </text>
    </comment>
    <comment ref="K68" authorId="0" shapeId="0" xr:uid="{8BA148C1-BDA1-4DF0-AFAB-04B2DC9266A5}">
      <text>
        <r>
          <rPr>
            <b/>
            <sz val="9"/>
            <color indexed="81"/>
            <rFont val="Tahoma"/>
            <family val="2"/>
          </rPr>
          <t>Author:</t>
        </r>
        <r>
          <rPr>
            <sz val="9"/>
            <color indexed="81"/>
            <rFont val="Tahoma"/>
            <family val="2"/>
          </rPr>
          <t xml:space="preserve">
New disbursement plan</t>
        </r>
      </text>
    </comment>
    <comment ref="I72" authorId="0" shapeId="0" xr:uid="{256787E2-F944-43E3-8C74-CB90FA58420B}">
      <text>
        <r>
          <rPr>
            <b/>
            <sz val="9"/>
            <color indexed="81"/>
            <rFont val="Tahoma"/>
            <family val="2"/>
          </rPr>
          <t>Author:</t>
        </r>
        <r>
          <rPr>
            <sz val="9"/>
            <color indexed="81"/>
            <rFont val="Tahoma"/>
            <family val="2"/>
          </rPr>
          <t xml:space="preserve">
Actual including AIIB 6$2Mln and OPEC $12Mln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1" authorId="0" shapeId="0" xr:uid="{E6707630-D1FA-4ED2-9B00-9DB37E5AD24D}">
      <text>
        <r>
          <rPr>
            <b/>
            <sz val="9"/>
            <color indexed="81"/>
            <rFont val="Tahoma"/>
            <family val="2"/>
          </rPr>
          <t>Author:</t>
        </r>
        <r>
          <rPr>
            <sz val="9"/>
            <color indexed="81"/>
            <rFont val="Tahoma"/>
            <family val="2"/>
          </rPr>
          <t xml:space="preserve">
Actual projections Oct,20</t>
        </r>
      </text>
    </comment>
    <comment ref="E72" authorId="0" shapeId="0" xr:uid="{ADCC0C63-D9DE-41A4-A3DA-AC564B9E650E}">
      <text>
        <r>
          <rPr>
            <b/>
            <sz val="9"/>
            <color indexed="81"/>
            <rFont val="Tahoma"/>
            <family val="2"/>
          </rPr>
          <t>Author:</t>
        </r>
        <r>
          <rPr>
            <sz val="9"/>
            <color indexed="81"/>
            <rFont val="Tahoma"/>
            <family val="2"/>
          </rPr>
          <t xml:space="preserve">
including also BAC Accrued interests as of March,21 under pre-financial clause remaining payment before restructuring. To be paid using double counted money under marriot (appeared both in Domestic and External).</t>
        </r>
      </text>
    </comment>
    <comment ref="E73" authorId="0" shapeId="0" xr:uid="{8C959B02-2F26-47B3-AEC2-E8875F209BF2}">
      <text>
        <r>
          <rPr>
            <b/>
            <sz val="9"/>
            <color indexed="81"/>
            <rFont val="Tahoma"/>
            <family val="2"/>
          </rPr>
          <t>Author:</t>
        </r>
        <r>
          <rPr>
            <sz val="9"/>
            <color indexed="81"/>
            <rFont val="Tahoma"/>
            <family val="2"/>
          </rPr>
          <t xml:space="preserve">
got the total estimated amount with no details by bonds. Therefore, the total (from Judith Link) have to be considered by these details are not true.</t>
        </r>
      </text>
    </comment>
  </commentList>
</comments>
</file>

<file path=xl/sharedStrings.xml><?xml version="1.0" encoding="utf-8"?>
<sst xmlns="http://schemas.openxmlformats.org/spreadsheetml/2006/main" count="8418" uniqueCount="4207">
  <si>
    <t>WEO_ALL</t>
  </si>
  <si>
    <t xml:space="preserve">WEO Assumptions </t>
  </si>
  <si>
    <t>EXTFIN_ALL</t>
  </si>
  <si>
    <t xml:space="preserve">External Financing Assumptions </t>
  </si>
  <si>
    <t>EXTDEBT_ALL</t>
  </si>
  <si>
    <t>External debt service</t>
  </si>
  <si>
    <t>Proj. 2015</t>
  </si>
  <si>
    <t>Proj. 2016</t>
  </si>
  <si>
    <t>I. IMPORTED BLOCK (paste values)</t>
  </si>
  <si>
    <t>Sources</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</si>
  <si>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</si>
  <si>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</si>
  <si>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</si>
  <si>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</si>
  <si>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</si>
  <si>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</si>
  <si>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</si>
  <si>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</si>
  <si>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</si>
  <si>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</si>
  <si>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</si>
  <si>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</si>
  <si>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</si>
  <si>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</si>
  <si>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</si>
  <si>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</si>
  <si>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</si>
  <si>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</si>
  <si>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Tea</t>
  </si>
  <si>
    <t>2013 (value)</t>
  </si>
  <si>
    <t>Nominal GDP</t>
  </si>
  <si>
    <t>Deflator</t>
  </si>
  <si>
    <t>2014 (value)</t>
  </si>
  <si>
    <t>2013-2014</t>
  </si>
  <si>
    <t>% change (value)</t>
  </si>
  <si>
    <t>Domestic</t>
  </si>
  <si>
    <t>DMX codes</t>
  </si>
  <si>
    <t>DMX Codes</t>
  </si>
  <si>
    <t xml:space="preserve"> i.        Keep structure of MF  files as Uniform &amp; Small &amp; Self-contained as possible</t>
  </si>
  <si>
    <t>iv.       Keep sector’s source data sheets in separate file, but avoid hotlinks to other files</t>
  </si>
  <si>
    <t>vi.        In-file documentation of all data sources; input of any data only once</t>
  </si>
  <si>
    <t>vii.      Parameters explicit in “sector specific assumptions” and calculation/projection method explained</t>
  </si>
  <si>
    <t>ix.        Common blocks ‘imported’ or ‘exported’ from/to sectors must be safeguarded</t>
  </si>
  <si>
    <t>GAS Jan 2015</t>
  </si>
  <si>
    <t xml:space="preserve">bln US$    </t>
  </si>
  <si>
    <t>Commodity prices indices (except otherwise indicated)</t>
  </si>
  <si>
    <t>2005=100, Kg/Lbs</t>
  </si>
  <si>
    <t>Coffee, other mild (ICO, ex-dock New York)</t>
  </si>
  <si>
    <t>$/MT</t>
  </si>
  <si>
    <t xml:space="preserve">$/MT     </t>
  </si>
  <si>
    <t>Hides</t>
  </si>
  <si>
    <t>$/MT?</t>
  </si>
  <si>
    <t>Gold</t>
  </si>
  <si>
    <t>$/ounce, 30.6 grams/ounce</t>
  </si>
  <si>
    <t>$/ounce</t>
  </si>
  <si>
    <t>Tin</t>
  </si>
  <si>
    <t>U.S. dollars per unit of national currency</t>
  </si>
  <si>
    <t>$/Euro</t>
  </si>
  <si>
    <t xml:space="preserve">in %   </t>
  </si>
  <si>
    <t>U.S. dollar deposits</t>
  </si>
  <si>
    <t>in %</t>
  </si>
  <si>
    <t>Euro</t>
  </si>
  <si>
    <t>GEE_ALL</t>
  </si>
  <si>
    <t>95% of trade reporting country</t>
  </si>
  <si>
    <t>World growth (Rwa export weigthed 2011-13)</t>
  </si>
  <si>
    <t>trading partners 100% of trade reporting country</t>
  </si>
  <si>
    <t>for RER calc</t>
  </si>
  <si>
    <t>Rwanda's import prices (import weighted 2011-13)</t>
  </si>
  <si>
    <t>for PMmanuf or PEmanuf</t>
  </si>
  <si>
    <t>PEnonoil</t>
  </si>
  <si>
    <t>Rwanda's export prices (export weighted 2011-13)</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</si>
  <si>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</si>
  <si>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</si>
  <si>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</si>
  <si>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</si>
  <si>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</si>
  <si>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</si>
  <si>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</si>
  <si>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</si>
  <si>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</si>
  <si>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Wages and salaries</t>
  </si>
  <si>
    <t>Purchases of goods and services</t>
  </si>
  <si>
    <t>Transfers</t>
  </si>
  <si>
    <t>REAL_MF</t>
  </si>
  <si>
    <t xml:space="preserve">    Government consumption</t>
  </si>
  <si>
    <t>GEE assumptions for Rwandan partners</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</si>
  <si>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</si>
  <si>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</si>
  <si>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</si>
  <si>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</si>
  <si>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</si>
  <si>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March 2015 version</t>
  </si>
  <si>
    <t>I.2 Macro-Framework exogenous blocks</t>
  </si>
  <si>
    <t>I. EXOGENOUS BLOCK (paste values)</t>
  </si>
  <si>
    <t>BNR data</t>
  </si>
  <si>
    <t>check</t>
  </si>
  <si>
    <t>Program exchange rate RWF/USD</t>
  </si>
  <si>
    <t xml:space="preserve">   % increase in government unit wage costs</t>
  </si>
  <si>
    <t>Top-up factor imports g&amp;s over imports goods CIF</t>
  </si>
  <si>
    <t xml:space="preserve">  Share of imports in govt consumption (excl. govt wage bill)</t>
  </si>
  <si>
    <t xml:space="preserve">  Share of intermediate imports (excl. energy products) in GDP</t>
  </si>
  <si>
    <t xml:space="preserve">  Share of energy products in GDP</t>
  </si>
  <si>
    <t>REAL_FISC</t>
  </si>
  <si>
    <t>Monetary variables for MF</t>
  </si>
  <si>
    <t>MON_MF</t>
  </si>
  <si>
    <t>FISC_MON</t>
  </si>
  <si>
    <t xml:space="preserve">     Jan-June </t>
  </si>
  <si>
    <t xml:space="preserve">     July-Dec </t>
  </si>
  <si>
    <t>Peace Keeping Operations (in mln USD)</t>
  </si>
  <si>
    <t>Domestic government debt (service) bln RWF</t>
  </si>
  <si>
    <t>Net issuance of T bills (gross -/- in-year rollover of repayment)</t>
  </si>
  <si>
    <t>Peace Keeping Operations (mln USD)</t>
  </si>
  <si>
    <t>FISC_BOP</t>
  </si>
  <si>
    <t>II. Fiscal specific assumptions (elasticities, growth bases,…)</t>
  </si>
  <si>
    <t>Revenue and grants</t>
  </si>
  <si>
    <t/>
  </si>
  <si>
    <t>Total revenue</t>
  </si>
  <si>
    <t>Tax revenue</t>
  </si>
  <si>
    <t>Contingent</t>
  </si>
  <si>
    <t>Direct taxes</t>
  </si>
  <si>
    <t>of which local government taxes</t>
  </si>
  <si>
    <t>Taxes on goods and services</t>
  </si>
  <si>
    <t>of which Taxes on projects expenditures (EWSA&amp;RTDA)</t>
  </si>
  <si>
    <t>Taxes on international trade</t>
  </si>
  <si>
    <t>Non-tax revenue</t>
  </si>
  <si>
    <t>Total Grants</t>
  </si>
  <si>
    <t>Budgetary grants</t>
  </si>
  <si>
    <t>Capital grants</t>
  </si>
  <si>
    <t>Projects</t>
  </si>
  <si>
    <t>Global Fund</t>
  </si>
  <si>
    <t>Total expenditure and net lending</t>
  </si>
  <si>
    <t>Current expenditure</t>
  </si>
  <si>
    <t>Civil</t>
  </si>
  <si>
    <t>Defense</t>
  </si>
  <si>
    <t>Interest payments</t>
  </si>
  <si>
    <t>Domestic Int (paid)</t>
  </si>
  <si>
    <t>of which Interest on overdraft and T/Bills</t>
  </si>
  <si>
    <t>External Int (due)</t>
  </si>
  <si>
    <t>of which external interest on Sovereign Bonds proceeds</t>
  </si>
  <si>
    <t>of which expenditures on local government taxes</t>
  </si>
  <si>
    <t>of which wages and salaries</t>
  </si>
  <si>
    <t>Exceptional social expenditure</t>
  </si>
  <si>
    <t>Assistance to victims of genocide (FARG)</t>
  </si>
  <si>
    <t>Peace keeping operations (incl. CAR&amp;Juba)</t>
  </si>
  <si>
    <t>Capital expenditure</t>
  </si>
  <si>
    <t>Foreign</t>
  </si>
  <si>
    <t>Net lending</t>
  </si>
  <si>
    <t>Additional Expenditure Cimerwa</t>
  </si>
  <si>
    <t>Rwandair (working capital)</t>
  </si>
  <si>
    <t>Rwandair loan (PTA debt service)</t>
  </si>
  <si>
    <t>KCC Loan Repayment</t>
  </si>
  <si>
    <t>Export Promotion</t>
  </si>
  <si>
    <t>Loan</t>
  </si>
  <si>
    <t>Equity</t>
  </si>
  <si>
    <t>Primary deficit (excluding exceptional)</t>
  </si>
  <si>
    <t>Overall deficit (payment order)</t>
  </si>
  <si>
    <t>Including grants</t>
  </si>
  <si>
    <t>Excluding grants</t>
  </si>
  <si>
    <t>Change in arrears (net reduction-)</t>
  </si>
  <si>
    <t>Overall Deficit (cash basis)</t>
  </si>
  <si>
    <t>Financing</t>
  </si>
  <si>
    <t>Foreign financing (net)</t>
  </si>
  <si>
    <t>Drawings</t>
  </si>
  <si>
    <t>Budgetary loan [ AfDB Sector budgetary loan ]</t>
  </si>
  <si>
    <t>Budgetary loan [ WB PRSG loan ]</t>
  </si>
  <si>
    <t>Project loans</t>
  </si>
  <si>
    <t>of which Sovereign Bond proceeds</t>
  </si>
  <si>
    <t>of Which Bugesera airport</t>
  </si>
  <si>
    <t>of Which Additional energy</t>
  </si>
  <si>
    <t>Amortization (due)</t>
  </si>
  <si>
    <t>Domestic financing</t>
  </si>
  <si>
    <t>Non bank T/Bills</t>
  </si>
  <si>
    <t>Non bank T/Bonds</t>
  </si>
  <si>
    <t>2010/11</t>
  </si>
  <si>
    <t>2011/12</t>
  </si>
  <si>
    <t>2012/13</t>
  </si>
  <si>
    <t>2013/14</t>
  </si>
  <si>
    <t>2014/15</t>
  </si>
  <si>
    <t>2015/16</t>
  </si>
  <si>
    <t>2016/17</t>
  </si>
  <si>
    <t>2017/18</t>
  </si>
  <si>
    <t>2018/19</t>
  </si>
  <si>
    <t>2019/20</t>
  </si>
  <si>
    <t>2006/07</t>
  </si>
  <si>
    <t>2007/08</t>
  </si>
  <si>
    <t>2008/09</t>
  </si>
  <si>
    <t>2009/10</t>
  </si>
  <si>
    <t>BOP variables for FISCAL</t>
  </si>
  <si>
    <t xml:space="preserve">  Goods excluding oil—advanced economies</t>
  </si>
  <si>
    <t>Food</t>
  </si>
  <si>
    <t>Agricultural raw materials</t>
  </si>
  <si>
    <t>Metals</t>
  </si>
  <si>
    <t>$cts/lbs, 0.45 Kg/lbs</t>
  </si>
  <si>
    <t>approx. shares</t>
  </si>
  <si>
    <t xml:space="preserve">   share of imports in domestic capital spending</t>
  </si>
  <si>
    <r>
      <rPr>
        <sz val="11"/>
        <rFont val="Calibri"/>
        <family val="2"/>
      </rPr>
      <t xml:space="preserve">In bln  RWF in fiscal year </t>
    </r>
    <r>
      <rPr>
        <sz val="9"/>
        <rFont val="Calibri"/>
        <family val="2"/>
      </rPr>
      <t>(previous year 2d sem, current year 1st sem)</t>
    </r>
  </si>
  <si>
    <t>additional cost PKO deployment (outside budget, estimate)</t>
  </si>
  <si>
    <t xml:space="preserve">    domestic indirect taxes (excl excise fuel)/non agric. GDP</t>
  </si>
  <si>
    <t xml:space="preserve">    direct tax (excl. local govt taxes)/non agric. GDP</t>
  </si>
  <si>
    <t>effective import tax rate (incl. VAT and fuel excise) on imported goods cif</t>
  </si>
  <si>
    <t>effective import tax rate (incl. tariff, VAT) on non fuel goods imports cif</t>
  </si>
  <si>
    <t>effective excise tax rate (incl. any VAT) on energy goods imports cif</t>
  </si>
  <si>
    <t>effective import tax rate (incl. VAT and fuel excise) on imported goods &amp; services</t>
  </si>
  <si>
    <t xml:space="preserve">     effective import tax rate (incl. VAT) on consumption goods&amp; services imports</t>
  </si>
  <si>
    <t>GDP</t>
  </si>
  <si>
    <t>nontax revenue (excl.PKO)/GDP</t>
  </si>
  <si>
    <t>check revenue/GDP</t>
  </si>
  <si>
    <t>Expenditure assumptions/parameters</t>
  </si>
  <si>
    <t>Wages and salaries/GDP</t>
  </si>
  <si>
    <t>Goods and services/GDP</t>
  </si>
  <si>
    <t>Transfers/GDP</t>
  </si>
  <si>
    <t>Capital spending on domestic resources/GDP</t>
  </si>
  <si>
    <t>Non interest current expend/GDP</t>
  </si>
  <si>
    <t>Foreign financed capital spending/GDP</t>
  </si>
  <si>
    <t>Exceptional spending excl PKO/GDP</t>
  </si>
  <si>
    <t xml:space="preserve">     Government investment deflator</t>
  </si>
  <si>
    <r>
      <t xml:space="preserve">Nominal GDP FY </t>
    </r>
    <r>
      <rPr>
        <sz val="11"/>
        <color theme="1"/>
        <rFont val="Calibri"/>
        <family val="2"/>
        <scheme val="minor"/>
      </rPr>
      <t>(simple average) bln RWF</t>
    </r>
  </si>
  <si>
    <t>check capital spending/GDP</t>
  </si>
  <si>
    <t>Primary deficit (incl. exceptional; excl. interest &amp; foreign financed capital spending)</t>
  </si>
  <si>
    <t>Domestic Fiscal Balance ( excl. Demob and PKO; incl. net lending)</t>
  </si>
  <si>
    <t>residual</t>
  </si>
  <si>
    <t>needed?</t>
  </si>
  <si>
    <t>,,</t>
  </si>
  <si>
    <t>Proj.</t>
  </si>
  <si>
    <t>direct tax (incl. local govt taxes)/GDP</t>
  </si>
  <si>
    <t>calc fr REAL</t>
  </si>
  <si>
    <t xml:space="preserve">           volume gasoline for domestic consumption (mln liters)</t>
  </si>
  <si>
    <t xml:space="preserve">           volume diesel for domestic consumption (mln liters)</t>
  </si>
  <si>
    <t>from RRA</t>
  </si>
  <si>
    <t>thru 2014/15</t>
  </si>
  <si>
    <t>imports CIF (excl fuel) from BOP in bln RWF (converted to FY)</t>
  </si>
  <si>
    <t xml:space="preserve">Kg/l 15 degreeC </t>
  </si>
  <si>
    <t>calculated fuel excises in bln RWF</t>
  </si>
  <si>
    <t>imports energy products CIF from BOP in bln RWF (converted to FY)</t>
  </si>
  <si>
    <t xml:space="preserve">                VAT on imports</t>
  </si>
  <si>
    <t xml:space="preserve">   share of VAT in import tax (incl VAT; excl. fuel)</t>
  </si>
  <si>
    <t>Financing gap (if any) assumptions on financing</t>
  </si>
  <si>
    <t xml:space="preserve">share of grants in financing gap </t>
  </si>
  <si>
    <t xml:space="preserve">     elasticity of  spending g&amp;s vis-à-vis GDP</t>
  </si>
  <si>
    <t xml:space="preserve">     nominal GDP FY growth in %</t>
  </si>
  <si>
    <t xml:space="preserve">     Elasticity of transfer spending (excl. wages) vis-à-vis GDP</t>
  </si>
  <si>
    <t xml:space="preserve">      transfers excl. wages $ salaries/GDP</t>
  </si>
  <si>
    <t xml:space="preserve">     growth rate spending transfers excl wages in %</t>
  </si>
  <si>
    <t xml:space="preserve">     growth rate spending goods &amp; services in %</t>
  </si>
  <si>
    <t xml:space="preserve">    growth rate wages and salaries (incl in transfers, GFS2014) in %</t>
  </si>
  <si>
    <t xml:space="preserve">      of which transfers excl. wages-salaries &amp; expend on local govt taxes</t>
  </si>
  <si>
    <t>expenditure on local govt taxes (exogenous)</t>
  </si>
  <si>
    <t xml:space="preserve">     Asssistance to victims pf genocide (FARG)</t>
  </si>
  <si>
    <t xml:space="preserve">                           interest on financing need (not included in DU projection)</t>
  </si>
  <si>
    <t>seek data</t>
  </si>
  <si>
    <t xml:space="preserve">     elasticity of capital spending on dom ress vis-à-vis GDP</t>
  </si>
  <si>
    <t xml:space="preserve">     growth rate capital spending dom ress in %</t>
  </si>
  <si>
    <t>Domestic financing (net)/GDP</t>
  </si>
  <si>
    <t xml:space="preserve">    Domestic debt GDP projection from FISCAL end FY</t>
  </si>
  <si>
    <t xml:space="preserve">    non tax revenue -'nominal buyoancy' assumption</t>
  </si>
  <si>
    <t xml:space="preserve">    indirect taxes -  'buyoancy factor' of indirect taxes/non agric GDP ratio</t>
  </si>
  <si>
    <r>
      <t xml:space="preserve">External information </t>
    </r>
    <r>
      <rPr>
        <sz val="11"/>
        <color theme="1"/>
        <rFont val="Calibri"/>
        <family val="2"/>
        <scheme val="minor"/>
      </rPr>
      <t>(other than External Financing flows via EFU)</t>
    </r>
  </si>
  <si>
    <t>Non tax revenue PKO (net) on Budget FY (bln RWF)</t>
  </si>
  <si>
    <r>
      <t xml:space="preserve">calc fr PSI3d </t>
    </r>
    <r>
      <rPr>
        <sz val="8"/>
        <color indexed="8"/>
        <rFont val="Calibri"/>
        <family val="2"/>
      </rPr>
      <t>≤</t>
    </r>
    <r>
      <rPr>
        <sz val="8"/>
        <color indexed="8"/>
        <rFont val="Calibri"/>
        <family val="2"/>
      </rPr>
      <t xml:space="preserve"> 2017/18</t>
    </r>
  </si>
  <si>
    <t xml:space="preserve">    excise rate on gasoline in RWF/liter</t>
  </si>
  <si>
    <t xml:space="preserve">    excise rate on diesel in RWF/liter</t>
  </si>
  <si>
    <t xml:space="preserve">   share of "exemptions" in domestic fuel consumption</t>
  </si>
  <si>
    <t>hyp:constant&gt;2015/16</t>
  </si>
  <si>
    <t>from REAL</t>
  </si>
  <si>
    <t>$/barrel</t>
  </si>
  <si>
    <t xml:space="preserve">   wages and alaries (incl. in transfers)</t>
  </si>
  <si>
    <t>Wages and salaries (incl. in transfers)/tax revenue</t>
  </si>
  <si>
    <t xml:space="preserve">     tobacco import tax (impact in bln RWF)</t>
  </si>
  <si>
    <t>cp. Bank financing from Mon Survey (June-June change stocks in bln RWF)</t>
  </si>
  <si>
    <t xml:space="preserve">      Bank financing from Fiscal (July-June flow in bln RWF)</t>
  </si>
  <si>
    <t>new deflator</t>
  </si>
  <si>
    <t>&lt;2015 NA</t>
  </si>
  <si>
    <t xml:space="preserve">     Demobilization/reintegration (linked to WB funded project)</t>
  </si>
  <si>
    <t>Rwandair debt service on govt guaranteed loan</t>
  </si>
  <si>
    <t xml:space="preserve">     in percent of GDP</t>
  </si>
  <si>
    <t>Privatization proceeds</t>
  </si>
  <si>
    <t>Export promotion subsidies</t>
  </si>
  <si>
    <t>Rwandair (working capital subsidy), percent of GDP until sale</t>
  </si>
  <si>
    <t xml:space="preserve">    direct taxes - 'buyoancy factor' of direct taxes/non agric GDP ratio</t>
  </si>
  <si>
    <t xml:space="preserve">    local govt taxes/GDP</t>
  </si>
  <si>
    <t xml:space="preserve">    local govt taxes - 'buyoancy factor' of property related taxes/GDP</t>
  </si>
  <si>
    <t>used for proj</t>
  </si>
  <si>
    <t>of which 1% EAC levy on imports(EAC secr/projects)</t>
  </si>
  <si>
    <t xml:space="preserve">    import taxes -  'buyoancy factor' relative to imports cif</t>
  </si>
  <si>
    <t>&lt; 6% budget</t>
  </si>
  <si>
    <t>Demobilisation/Reintegration</t>
  </si>
  <si>
    <t>link to project</t>
  </si>
  <si>
    <t>Global Fund (budget grant for HIV, health etc capital spending)</t>
  </si>
  <si>
    <t>GFS convers</t>
  </si>
  <si>
    <t xml:space="preserve">    Civile service employment growth rate</t>
  </si>
  <si>
    <t xml:space="preserve">          o/w: teachers</t>
  </si>
  <si>
    <t xml:space="preserve">          o/w: health workers</t>
  </si>
  <si>
    <r>
      <t xml:space="preserve">    Average salary increase </t>
    </r>
    <r>
      <rPr>
        <sz val="9"/>
        <color indexed="8"/>
        <rFont val="Calibri"/>
        <family val="2"/>
      </rPr>
      <t>(incl. promotion, glissement,…) in %</t>
    </r>
  </si>
  <si>
    <t xml:space="preserve">   share of import taxes (tariffs, VAT) on consumption goods proxy</t>
  </si>
  <si>
    <t xml:space="preserve">   domestic indirect taxes (excl excise fuel)/GDP</t>
  </si>
  <si>
    <t>for  deflator</t>
  </si>
  <si>
    <t>REAL_FISC Calculated ratios, parameters  Calendar Year</t>
  </si>
  <si>
    <t>Revenue assumptions/parameters Fiscal Year</t>
  </si>
  <si>
    <t>idem CY</t>
  </si>
  <si>
    <r>
      <t>domestic indirect tax rate</t>
    </r>
    <r>
      <rPr>
        <u/>
        <sz val="10"/>
        <color indexed="8"/>
        <rFont val="Calibri"/>
        <family val="2"/>
      </rPr>
      <t xml:space="preserve"> (excl. excise fuel/dom VA excl. govt, export</t>
    </r>
    <r>
      <rPr>
        <u/>
        <sz val="11"/>
        <color indexed="8"/>
        <rFont val="Calibri"/>
        <family val="2"/>
      </rPr>
      <t>s)</t>
    </r>
  </si>
  <si>
    <r>
      <t xml:space="preserve">   domestic indirect taxes</t>
    </r>
    <r>
      <rPr>
        <sz val="8"/>
        <color indexed="8"/>
        <rFont val="Calibri"/>
        <family val="2"/>
      </rPr>
      <t xml:space="preserve"> (excl. excise fuel)</t>
    </r>
    <r>
      <rPr>
        <sz val="11"/>
        <color theme="1"/>
        <rFont val="Calibri"/>
        <family val="2"/>
        <scheme val="minor"/>
      </rPr>
      <t xml:space="preserve">/GDP factorcost </t>
    </r>
    <r>
      <rPr>
        <sz val="8"/>
        <color indexed="8"/>
        <rFont val="Calibri"/>
        <family val="2"/>
      </rPr>
      <t xml:space="preserve"> excl govt</t>
    </r>
  </si>
  <si>
    <t>calc fr REAL CY</t>
  </si>
  <si>
    <r>
      <t xml:space="preserve">     non agricultural GDP FY </t>
    </r>
    <r>
      <rPr>
        <sz val="9"/>
        <color indexed="8"/>
        <rFont val="Calibri"/>
        <family val="2"/>
      </rPr>
      <t>(current prices, simple average CY)</t>
    </r>
    <r>
      <rPr>
        <sz val="11"/>
        <color theme="1"/>
        <rFont val="Calibri"/>
        <family val="2"/>
        <scheme val="minor"/>
      </rPr>
      <t xml:space="preserve"> bln RWF</t>
    </r>
  </si>
  <si>
    <t>FISC_REAL (in bln RWF) Calendar Year basis</t>
  </si>
  <si>
    <t>nonagric GDP</t>
  </si>
  <si>
    <t xml:space="preserve">             o/w: Taxes on domestic goods and services (VAT, excises excl, fuel)</t>
  </si>
  <si>
    <t>used for DEFL</t>
  </si>
  <si>
    <t xml:space="preserve">    international trade indirect taxes (incl excise fuel)/imports of g&amp;s in %</t>
  </si>
  <si>
    <t>av 2007-11</t>
  </si>
  <si>
    <t>prel. proj</t>
  </si>
  <si>
    <t>Wages and salaries (incl. in transfers) GFS 2014</t>
  </si>
  <si>
    <t>pro memoire</t>
  </si>
  <si>
    <t xml:space="preserve">                                 teachers</t>
  </si>
  <si>
    <t xml:space="preserve">                                 health workers</t>
  </si>
  <si>
    <t xml:space="preserve">           Of which: admin  proxied from NISR NA deflators</t>
  </si>
  <si>
    <r>
      <rPr>
        <sz val="8"/>
        <color indexed="8"/>
        <rFont val="Symbol"/>
        <family val="1"/>
        <charset val="2"/>
      </rPr>
      <t>³</t>
    </r>
    <r>
      <rPr>
        <sz val="8"/>
        <color indexed="8"/>
        <rFont val="Calibri"/>
        <family val="2"/>
      </rPr>
      <t xml:space="preserve">  2015/16 on</t>
    </r>
  </si>
  <si>
    <t>dom excise?</t>
  </si>
  <si>
    <t>proj M RWF excl fuel</t>
  </si>
  <si>
    <t>proj~fuel M vol</t>
  </si>
  <si>
    <t xml:space="preserve">    domestic indirect taxes (excl excise fuel)/GDP (excl govt) in  %</t>
  </si>
  <si>
    <t xml:space="preserve">      GDP at factor costs (GDP excl indirect taxes and govt wages)</t>
  </si>
  <si>
    <t xml:space="preserve">     Total Government employment </t>
  </si>
  <si>
    <t xml:space="preserve">     Civil service employment (excl. military)</t>
  </si>
  <si>
    <t>MIFOTRAproj</t>
  </si>
  <si>
    <t>of which: Taxes on project expenditures (EWSA&amp;RTDA)</t>
  </si>
  <si>
    <t>Errors and ommissions ( - financing surplus: spending)</t>
  </si>
  <si>
    <t xml:space="preserve">       of which: local government fees</t>
  </si>
  <si>
    <r>
      <rPr>
        <sz val="8"/>
        <rFont val="Symbol"/>
        <family val="1"/>
        <charset val="2"/>
      </rPr>
      <t>³</t>
    </r>
    <r>
      <rPr>
        <sz val="8"/>
        <rFont val="Calibri"/>
        <family val="2"/>
      </rPr>
      <t>2015 Fiscal</t>
    </r>
  </si>
  <si>
    <r>
      <t xml:space="preserve"> Use (+)  govt deposits at NBR</t>
    </r>
    <r>
      <rPr>
        <b/>
        <sz val="10"/>
        <rFont val="Calibri"/>
        <family val="2"/>
      </rPr>
      <t xml:space="preserve"> (treasury, line ministries) CY, bln RWF</t>
    </r>
  </si>
  <si>
    <t>&lt;2015 Mon</t>
  </si>
  <si>
    <t xml:space="preserve">cp. Net use (+) of govt deposits Mon Survey </t>
  </si>
  <si>
    <t>2015 Fiscal</t>
  </si>
  <si>
    <t>Years</t>
  </si>
  <si>
    <t>Semesters</t>
  </si>
  <si>
    <t>2020/2021</t>
  </si>
  <si>
    <t>Jul-Dec</t>
  </si>
  <si>
    <t>Jan-Jun</t>
  </si>
  <si>
    <t>DMO</t>
  </si>
  <si>
    <t>Billion FRw</t>
  </si>
  <si>
    <t>Abu-Dhabi Fund for Development</t>
  </si>
  <si>
    <t>Agence Francaise de Development</t>
  </si>
  <si>
    <t>Arab Bank for Economic Development in Africa</t>
  </si>
  <si>
    <t>European Investment Bank</t>
  </si>
  <si>
    <t>EXIM - China</t>
  </si>
  <si>
    <t>EXIM - India</t>
  </si>
  <si>
    <t>African Development Fund</t>
  </si>
  <si>
    <t>International Fund for Agriculture Development</t>
  </si>
  <si>
    <t>Koweti Fund for Arab Economic Development</t>
  </si>
  <si>
    <t>Saudi Fund for Development</t>
  </si>
  <si>
    <t>International Development Association (IDA)</t>
  </si>
  <si>
    <t>Nordic Development Fund</t>
  </si>
  <si>
    <t>Nigeria Trust Fund</t>
  </si>
  <si>
    <t>Organization of the Petroleum Exporting Countries (OPEC)</t>
  </si>
  <si>
    <t>TOTAL</t>
  </si>
  <si>
    <t>IDA</t>
  </si>
  <si>
    <t>FAD</t>
  </si>
  <si>
    <t>FSN</t>
  </si>
  <si>
    <t>FIDA</t>
  </si>
  <si>
    <t>BEI/CEE</t>
  </si>
  <si>
    <t>BADEA</t>
  </si>
  <si>
    <t>OPEC</t>
  </si>
  <si>
    <t>FSD</t>
  </si>
  <si>
    <t>FKWD</t>
  </si>
  <si>
    <t>NDF</t>
  </si>
  <si>
    <t>EXIM-INDIA</t>
  </si>
  <si>
    <t>EXIM-CHINA</t>
  </si>
  <si>
    <t>EXIM-KOREA</t>
  </si>
  <si>
    <t>BANQUE DE FRANCE</t>
  </si>
  <si>
    <t>ABU DHABI</t>
  </si>
  <si>
    <t>EURO-BONDS</t>
  </si>
  <si>
    <t>Domestic Principal Repayment</t>
  </si>
  <si>
    <t>Corporate Loans</t>
  </si>
  <si>
    <t>BNR</t>
  </si>
  <si>
    <t>RSSB</t>
  </si>
  <si>
    <t>Old consolidated debt</t>
  </si>
  <si>
    <t>New loan</t>
  </si>
  <si>
    <t>Corporate Bonds</t>
  </si>
  <si>
    <t>BANCOR</t>
  </si>
  <si>
    <t>BCR</t>
  </si>
  <si>
    <t>BK/ONATRACOM</t>
  </si>
  <si>
    <t>SODEPARAL</t>
  </si>
  <si>
    <t>NATIONAL POST OFFICE</t>
  </si>
  <si>
    <t>Domestic Interest Payment</t>
  </si>
  <si>
    <t>Overdraft</t>
  </si>
  <si>
    <t>Treasury Bills</t>
  </si>
  <si>
    <t>Banks</t>
  </si>
  <si>
    <t>Non-Banks</t>
  </si>
  <si>
    <t>Treasury Bonds</t>
  </si>
  <si>
    <t>Domestic Securities Stock</t>
  </si>
  <si>
    <t>PKO</t>
  </si>
  <si>
    <t>Privatization</t>
  </si>
  <si>
    <t>PDT - Non Tax Revenue</t>
  </si>
  <si>
    <t>of which Personnel allowances</t>
  </si>
  <si>
    <t>Amortization&amp;Interest External Debt</t>
  </si>
  <si>
    <t>Interest on Sovereign Bond</t>
  </si>
  <si>
    <t>RRA</t>
  </si>
  <si>
    <t>1. Direct taxes</t>
  </si>
  <si>
    <t>1.1.Tax on income and profit</t>
  </si>
  <si>
    <t>1.1.1. Companies</t>
  </si>
  <si>
    <t>- Large companies</t>
  </si>
  <si>
    <t xml:space="preserve"> Of which :3% WHT</t>
  </si>
  <si>
    <t xml:space="preserve"> Of which :5% WHT</t>
  </si>
  <si>
    <t>WHT 5%  EWSA/RTDA Projects</t>
  </si>
  <si>
    <t>- Arrears</t>
  </si>
  <si>
    <t>1.1.3. Individuals</t>
  </si>
  <si>
    <t>of which PAYE</t>
  </si>
  <si>
    <t>1.1.4. Others</t>
  </si>
  <si>
    <t>WHT 15%  EWSA/RTDA Projects</t>
  </si>
  <si>
    <t>1.2. Property taxes</t>
  </si>
  <si>
    <t>2. Taxes on goods and services</t>
  </si>
  <si>
    <t>2.1. Excise taxes</t>
  </si>
  <si>
    <t>2.1.1. Beer</t>
  </si>
  <si>
    <t>2.1.2. Wines &amp; Liquors</t>
  </si>
  <si>
    <t>of which Excise gazoil for  EWSA/RTDA Projects</t>
  </si>
  <si>
    <t>2.1.4. Cigarettes</t>
  </si>
  <si>
    <t>2.1.5. Lemonade</t>
  </si>
  <si>
    <t>2.1.6. Vehicles</t>
  </si>
  <si>
    <t>2.1.7. Powdered Milk</t>
  </si>
  <si>
    <t>2.2. Value Added Tax</t>
  </si>
  <si>
    <t>of which: on imports</t>
  </si>
  <si>
    <t>of which VAT CUSTOMS for  EWSA/RTDA Projects</t>
  </si>
  <si>
    <t>2.3. Road Fund</t>
  </si>
  <si>
    <t>3. Taxes on international trade</t>
  </si>
  <si>
    <t>3.1. Export tax</t>
  </si>
  <si>
    <t>of which coffee</t>
  </si>
  <si>
    <t>3.2. Import tax</t>
  </si>
  <si>
    <t>of which Import Duty Other for EWSA/RTDA Projects</t>
  </si>
  <si>
    <t>of which surcharge on sugar</t>
  </si>
  <si>
    <t>3.3. Other (including licence fee for private warehouses)</t>
  </si>
  <si>
    <t>Total tax revenue</t>
  </si>
  <si>
    <t>Taxes on EWSA fuel imports for Generators</t>
  </si>
  <si>
    <t>Business Licence</t>
  </si>
  <si>
    <t>Property Tax</t>
  </si>
  <si>
    <t>Rental Income Tax</t>
  </si>
  <si>
    <t>IFMS</t>
  </si>
  <si>
    <t>IFMS - Ordonnancement</t>
  </si>
  <si>
    <t>Wages and Salaries</t>
  </si>
  <si>
    <t>Defence</t>
  </si>
  <si>
    <t>Others</t>
  </si>
  <si>
    <t>Goods And Services</t>
  </si>
  <si>
    <t>Exceptional Expenditures</t>
  </si>
  <si>
    <t>Net Lending</t>
  </si>
  <si>
    <t>Domestic Capital</t>
  </si>
  <si>
    <t>Interest</t>
  </si>
  <si>
    <t>Debt Repayment</t>
  </si>
  <si>
    <t>External Capital</t>
  </si>
  <si>
    <t>Arrears (on "old stock")</t>
  </si>
  <si>
    <t>Debt repayment</t>
  </si>
  <si>
    <t>Development Budget</t>
  </si>
  <si>
    <t>Goods and Services</t>
  </si>
  <si>
    <t>Arrears (on "old stock"; excluded from  this 'float')</t>
  </si>
  <si>
    <t>--</t>
  </si>
  <si>
    <r>
      <t>IFMS - Arrears</t>
    </r>
    <r>
      <rPr>
        <b/>
        <sz val="12"/>
        <color indexed="8"/>
        <rFont val="Cambria"/>
        <family val="1"/>
      </rPr>
      <t xml:space="preserve"> (</t>
    </r>
    <r>
      <rPr>
        <sz val="12"/>
        <color indexed="8"/>
        <rFont val="Cambria"/>
        <family val="1"/>
      </rPr>
      <t xml:space="preserve"> change in arrears incl. payment on "old stock")</t>
    </r>
  </si>
  <si>
    <t>IFMS - Exceptional</t>
  </si>
  <si>
    <t>FARG</t>
  </si>
  <si>
    <t>Demobilisation</t>
  </si>
  <si>
    <t>RTDA</t>
  </si>
  <si>
    <t>EWSA</t>
  </si>
  <si>
    <t>Receipts</t>
  </si>
  <si>
    <t>BNR - Monetary Survey</t>
  </si>
  <si>
    <t>out-m&gt;&gt;</t>
  </si>
  <si>
    <t xml:space="preserve">REVENUE </t>
  </si>
  <si>
    <t xml:space="preserve">Taxes </t>
  </si>
  <si>
    <t xml:space="preserve">Taxes on income, profits, and capital gains </t>
  </si>
  <si>
    <t xml:space="preserve">Payable by individuals </t>
  </si>
  <si>
    <t xml:space="preserve">Payable by corporations and other enterprises </t>
  </si>
  <si>
    <t xml:space="preserve">Unallocable </t>
  </si>
  <si>
    <t xml:space="preserve">Taxes on payroll and workforce </t>
  </si>
  <si>
    <t xml:space="preserve">Taxes on property </t>
  </si>
  <si>
    <t xml:space="preserve">Recurrent taxes on immovable property </t>
  </si>
  <si>
    <t xml:space="preserve">Recurrent taxes on net wealth </t>
  </si>
  <si>
    <t xml:space="preserve">Estate, inheritance, and gift taxes </t>
  </si>
  <si>
    <t xml:space="preserve">Taxes on financial and capital transactions </t>
  </si>
  <si>
    <t xml:space="preserve">Other nonrecurrent taxes on property </t>
  </si>
  <si>
    <t xml:space="preserve">Other recurrent taxes on property </t>
  </si>
  <si>
    <t xml:space="preserve">Taxes on goods and services </t>
  </si>
  <si>
    <t xml:space="preserve">General taxes on goods and services </t>
  </si>
  <si>
    <t xml:space="preserve">Value-added taxes </t>
  </si>
  <si>
    <t xml:space="preserve">Sales taxes </t>
  </si>
  <si>
    <t xml:space="preserve">Turnover &amp; other general taxes on G &amp; S </t>
  </si>
  <si>
    <t xml:space="preserve">Excises </t>
  </si>
  <si>
    <t xml:space="preserve">Profits of fiscal monopolies </t>
  </si>
  <si>
    <t xml:space="preserve">Taxes on specific services </t>
  </si>
  <si>
    <t xml:space="preserve">Taxes on use of goods, permission to use goods </t>
  </si>
  <si>
    <t xml:space="preserve">Motor vehicles taxes </t>
  </si>
  <si>
    <t xml:space="preserve">Other </t>
  </si>
  <si>
    <t xml:space="preserve">Other taxes on goods and services </t>
  </si>
  <si>
    <t xml:space="preserve">Taxes on international trade and transactions </t>
  </si>
  <si>
    <t xml:space="preserve">Customs and other import duties </t>
  </si>
  <si>
    <t xml:space="preserve">Taxes on exports </t>
  </si>
  <si>
    <t xml:space="preserve">Profits of export or import monopolies </t>
  </si>
  <si>
    <t xml:space="preserve">Exchange profits </t>
  </si>
  <si>
    <t xml:space="preserve">Exchange taxes </t>
  </si>
  <si>
    <t xml:space="preserve">Other taxes on international trade and transactions </t>
  </si>
  <si>
    <t xml:space="preserve">Other taxes </t>
  </si>
  <si>
    <t>N/A</t>
  </si>
  <si>
    <t xml:space="preserve">Social contributions </t>
  </si>
  <si>
    <t xml:space="preserve">Social security contributions </t>
  </si>
  <si>
    <t xml:space="preserve">Employee contributions </t>
  </si>
  <si>
    <t xml:space="preserve">Employer contributions </t>
  </si>
  <si>
    <t xml:space="preserve">Self-employed or nonemployed contributions </t>
  </si>
  <si>
    <t xml:space="preserve">Unallocable contributions </t>
  </si>
  <si>
    <t xml:space="preserve">Other social contributions </t>
  </si>
  <si>
    <t xml:space="preserve">Imputed contributions </t>
  </si>
  <si>
    <t xml:space="preserve">Grants </t>
  </si>
  <si>
    <t xml:space="preserve">From foreign governments </t>
  </si>
  <si>
    <t xml:space="preserve">Current </t>
  </si>
  <si>
    <t xml:space="preserve">Capital </t>
  </si>
  <si>
    <t xml:space="preserve">From international organizations </t>
  </si>
  <si>
    <t xml:space="preserve">From other general government units </t>
  </si>
  <si>
    <t xml:space="preserve">Other revenue </t>
  </si>
  <si>
    <t xml:space="preserve">Property income </t>
  </si>
  <si>
    <t xml:space="preserve">Interest </t>
  </si>
  <si>
    <t xml:space="preserve">Dividends </t>
  </si>
  <si>
    <t xml:space="preserve">Withdrawals from income of quasi-corporations </t>
  </si>
  <si>
    <t xml:space="preserve">Property income attrib to insurance policyholders </t>
  </si>
  <si>
    <t xml:space="preserve">Rent </t>
  </si>
  <si>
    <t xml:space="preserve">Sales of goods and services </t>
  </si>
  <si>
    <t xml:space="preserve">Sales of market establishments </t>
  </si>
  <si>
    <t xml:space="preserve">Administrative fees </t>
  </si>
  <si>
    <t xml:space="preserve">Incidental sales by nonmarket establishments </t>
  </si>
  <si>
    <t xml:space="preserve">Imputed sales of goods and services </t>
  </si>
  <si>
    <t xml:space="preserve">Fines, penalties, and forfeits </t>
  </si>
  <si>
    <t xml:space="preserve">Voluntary transfers other than grants </t>
  </si>
  <si>
    <t xml:space="preserve">Miscellaneous and unidentified revenue </t>
  </si>
  <si>
    <t>separate file</t>
  </si>
  <si>
    <t>IFMS - Ordonnancement - GFS 2014 presentation</t>
  </si>
  <si>
    <t xml:space="preserve">Compensation of employees </t>
  </si>
  <si>
    <t xml:space="preserve">Use of goods and services </t>
  </si>
  <si>
    <t xml:space="preserve">Consumption of fixed capital </t>
  </si>
  <si>
    <t>To nonresidents</t>
  </si>
  <si>
    <t>To residents other than general government</t>
  </si>
  <si>
    <t xml:space="preserve">Subsidies </t>
  </si>
  <si>
    <t xml:space="preserve">Social benefits </t>
  </si>
  <si>
    <t xml:space="preserve">Other expense </t>
  </si>
  <si>
    <t>Transactions in nonfinancial assets domestically financed</t>
  </si>
  <si>
    <t xml:space="preserve">Fixed assets </t>
  </si>
  <si>
    <t xml:space="preserve">Inventories </t>
  </si>
  <si>
    <t xml:space="preserve">Valuables </t>
  </si>
  <si>
    <t xml:space="preserve">Nonproduced assets </t>
  </si>
  <si>
    <t>IFMS - Payment - GFS 2014 presentation</t>
  </si>
  <si>
    <t>IFMS - Float/Other accounts payable - GFS 2014 presentation</t>
  </si>
  <si>
    <t>IFMS - Debt - GFS 2014 presentation</t>
  </si>
  <si>
    <t>of which Eurobond</t>
  </si>
  <si>
    <t>Transactions - Net incurrence of liabilities (reimbursements)</t>
  </si>
  <si>
    <t>Transactions - Net incurrence of liabilities: Domestic (reimbursements)</t>
  </si>
  <si>
    <t>Transactions - Net incurrence of liabilities: Foreign (reimbursements)</t>
  </si>
  <si>
    <t>IFMS - Capital - GFS 2014 presentation</t>
  </si>
  <si>
    <t>Transactions - Net acquisition of nonfinancial assets</t>
  </si>
  <si>
    <t>Domestic capital</t>
  </si>
  <si>
    <t>EWSA on Eurobond</t>
  </si>
  <si>
    <t>Transactions - Net acquisition of financial assets</t>
  </si>
  <si>
    <t>Subsidies</t>
  </si>
  <si>
    <t>Recurrent</t>
  </si>
  <si>
    <t>Development</t>
  </si>
  <si>
    <t>Transactions - Net acquisition of financial assets :  Domestic</t>
  </si>
  <si>
    <t>Transactions - Net acquisition of financial assets :  Foreign</t>
  </si>
  <si>
    <t xml:space="preserve">EXPENSE </t>
  </si>
  <si>
    <t>NET OPERATING BALANCE</t>
  </si>
  <si>
    <t>including grants</t>
  </si>
  <si>
    <t>excluding grants</t>
  </si>
  <si>
    <t>Foreign financed</t>
  </si>
  <si>
    <t>Domestically financed</t>
  </si>
  <si>
    <t>Net acquisition of financial assets</t>
  </si>
  <si>
    <t xml:space="preserve">Domestic </t>
  </si>
  <si>
    <t xml:space="preserve">Currency and deposits </t>
  </si>
  <si>
    <t>of which drawdowns</t>
  </si>
  <si>
    <t xml:space="preserve">Securities other than shares </t>
  </si>
  <si>
    <t xml:space="preserve">Loans </t>
  </si>
  <si>
    <t xml:space="preserve">Foreign </t>
  </si>
  <si>
    <t>Net incurrence of liabilities</t>
  </si>
  <si>
    <t>Held by Banks</t>
  </si>
  <si>
    <t>T-bills</t>
  </si>
  <si>
    <t>T-bonds</t>
  </si>
  <si>
    <t>Held by Non-Banks</t>
  </si>
  <si>
    <t>Loans</t>
  </si>
  <si>
    <t xml:space="preserve">Other accounts payable </t>
  </si>
  <si>
    <t>Disbursements</t>
  </si>
  <si>
    <t>Reimbursements</t>
  </si>
  <si>
    <t>Statistical discrepancy</t>
  </si>
  <si>
    <t>of which local government fees</t>
  </si>
  <si>
    <t>of which local government revenue</t>
  </si>
  <si>
    <t>RESOURCES</t>
  </si>
  <si>
    <t>Domestic revenue</t>
  </si>
  <si>
    <t>Sale of Securities, net (Bank &amp; non-bank T-Bills and Bonds)</t>
  </si>
  <si>
    <t>Drawdown on bank deposits</t>
  </si>
  <si>
    <t>Accumulation of arrears</t>
  </si>
  <si>
    <t>Grants</t>
  </si>
  <si>
    <t>Budget Support</t>
  </si>
  <si>
    <t>Project Support</t>
  </si>
  <si>
    <t>Budgetary Loans</t>
  </si>
  <si>
    <t>Net Lending (repayments)</t>
  </si>
  <si>
    <t>Other Receipts (errors and ommissions)</t>
  </si>
  <si>
    <t>TOTAL RESOURCES</t>
  </si>
  <si>
    <t>EXPENDITURES</t>
  </si>
  <si>
    <t>Recurrent Budget</t>
  </si>
  <si>
    <t>Interest on Overdraft and T-Bills</t>
  </si>
  <si>
    <t xml:space="preserve">External </t>
  </si>
  <si>
    <t>Amortization</t>
  </si>
  <si>
    <t>Domestic (non bank)</t>
  </si>
  <si>
    <t>Exceptional expenditure</t>
  </si>
  <si>
    <t>Externally financed</t>
  </si>
  <si>
    <t>Net Lending (lending)</t>
  </si>
  <si>
    <t>Arrears Payment</t>
  </si>
  <si>
    <t>Accumulation of Deposit</t>
  </si>
  <si>
    <t>Other Payments (errors and ommissions)</t>
  </si>
  <si>
    <t>TOTAL EXPENDITURES</t>
  </si>
  <si>
    <t xml:space="preserve">Net issuance of securities to banks </t>
  </si>
  <si>
    <t xml:space="preserve">Net issuance of securities to nonbanks </t>
  </si>
  <si>
    <t>Of which: Global Fund in budget support</t>
  </si>
  <si>
    <t>Sale of Securities, net (non-bank T-Bills and Bonds)</t>
  </si>
  <si>
    <t>Rwandair loan repayment</t>
  </si>
  <si>
    <t>for debt</t>
  </si>
  <si>
    <t>July-Dec</t>
  </si>
  <si>
    <t>Jan-June</t>
  </si>
  <si>
    <t>equals LG rev</t>
  </si>
  <si>
    <r>
      <t xml:space="preserve">In bln  RWF in fiscal year </t>
    </r>
    <r>
      <rPr>
        <sz val="10"/>
        <rFont val="Calibri"/>
        <family val="2"/>
      </rPr>
      <t>(previous year sem II, current year sem I)</t>
    </r>
  </si>
  <si>
    <t>net lending -/- subs</t>
  </si>
  <si>
    <t>use of deposits+</t>
  </si>
  <si>
    <t>nonbank repay, E&amp;O</t>
  </si>
  <si>
    <t>III.1 FISCAL GFS 1986 PRESENTATION - DETAILED TOFE</t>
  </si>
  <si>
    <t>IV.1 FISCAL GFS 1986 PRESENTATION - SUMMARY</t>
  </si>
  <si>
    <t>III. 1FISCAL GFS 1986 PRESENTATION - DETAILED TOFE</t>
  </si>
  <si>
    <t>IV.2 FISCAL GFS 2014 PRESENTATION - SUMMARY</t>
  </si>
  <si>
    <t>REVENUE</t>
  </si>
  <si>
    <t xml:space="preserve">    Contingent</t>
  </si>
  <si>
    <t xml:space="preserve">    Domestically financed</t>
  </si>
  <si>
    <t xml:space="preserve">       Contingent</t>
  </si>
  <si>
    <t xml:space="preserve">    Externally financed</t>
  </si>
  <si>
    <t xml:space="preserve">    Global Fund</t>
  </si>
  <si>
    <t>Domestic debt central government end-period (bln RWF)</t>
  </si>
  <si>
    <t>extrapolate to do projection exercise</t>
  </si>
  <si>
    <t>&lt; 2015/16 CN Aug 2015</t>
  </si>
  <si>
    <t>Of which: Sovereign Bonds proceeds/Energy</t>
  </si>
  <si>
    <t>Of which: Global Fund</t>
  </si>
  <si>
    <t>Of which: counterpart funds for taxes (EWSA&amp;RTDA)</t>
  </si>
  <si>
    <t>Of which: Agaciro Dev.Fund</t>
  </si>
  <si>
    <t>Of which: Bugesera airport</t>
  </si>
  <si>
    <t>Of which: drawdown/accumulation of other deposits</t>
  </si>
  <si>
    <t>BudgetFL_GFS1986</t>
  </si>
  <si>
    <t xml:space="preserve">GFS2014_inyear_SUMMARY below this </t>
  </si>
  <si>
    <t>GFS2014_inyear_DETAILED below this</t>
  </si>
  <si>
    <t>FISC_REAL below this</t>
  </si>
  <si>
    <t>Central Bank NBR</t>
  </si>
  <si>
    <t xml:space="preserve">Consolidated debt </t>
  </si>
  <si>
    <t>overdraft</t>
  </si>
  <si>
    <t>Commercial banks</t>
  </si>
  <si>
    <t xml:space="preserve">T bills </t>
  </si>
  <si>
    <t>T bonds</t>
  </si>
  <si>
    <t>Corporate bonds</t>
  </si>
  <si>
    <t xml:space="preserve">Non banks </t>
  </si>
  <si>
    <t>debt to RSSB</t>
  </si>
  <si>
    <r>
      <t xml:space="preserve">memorandum: </t>
    </r>
    <r>
      <rPr>
        <sz val="12"/>
        <color indexed="8"/>
        <rFont val="Cambria"/>
        <family val="1"/>
      </rPr>
      <t>monetary policy instruments</t>
    </r>
  </si>
  <si>
    <r>
      <t>Central government debt</t>
    </r>
    <r>
      <rPr>
        <b/>
        <sz val="11"/>
        <color indexed="8"/>
        <rFont val="Cambria"/>
        <family val="1"/>
      </rPr>
      <t xml:space="preserve"> (excl. NBR mon.policy instruments)</t>
    </r>
  </si>
  <si>
    <t>domestic arrears</t>
  </si>
  <si>
    <t>Banks holding of securities</t>
  </si>
  <si>
    <t>Central government debt including guarantees</t>
  </si>
  <si>
    <t>Claims on government (monetary survey)</t>
  </si>
  <si>
    <t xml:space="preserve">FISCAL_annual_DOMDEBT below this </t>
  </si>
  <si>
    <t>DOMDEBT_FISCAL</t>
  </si>
  <si>
    <t>II. Fiscal  specific assumptions</t>
  </si>
  <si>
    <t>Net domestic financing Budget (TOFE)</t>
  </si>
  <si>
    <t>Net use of govt deposits  with NBR  (TOFE)</t>
  </si>
  <si>
    <t>Net bank financing (TOFE)</t>
  </si>
  <si>
    <t>Net repayment (-)  of overdraft with NBR</t>
  </si>
  <si>
    <t>Net issuance securities to banks</t>
  </si>
  <si>
    <t>Net nonbank financing  (TOFE)</t>
  </si>
  <si>
    <t>Non Bank Sector Debt Repayment (-) (CHECK which domdebt repaid)</t>
  </si>
  <si>
    <r>
      <t xml:space="preserve">Net  issuance securities non banks </t>
    </r>
    <r>
      <rPr>
        <sz val="12"/>
        <color indexed="8"/>
        <rFont val="Cambria"/>
        <family val="1"/>
      </rPr>
      <t>(CHECK  repayment excl securities)</t>
    </r>
  </si>
  <si>
    <t>NB Net issuance need Finance Law (incl. errors&amp;omissions)</t>
  </si>
  <si>
    <t xml:space="preserve">        Overestimate of use of deposits in Fnance Law</t>
  </si>
  <si>
    <t xml:space="preserve">        Difference TOFE and Finance law net issuance</t>
  </si>
  <si>
    <t xml:space="preserve">        Errors&amp;omisions in Finance Law and PSI 3d review TOFE</t>
  </si>
  <si>
    <r>
      <t>Total net issuance securities (non)banks</t>
    </r>
    <r>
      <rPr>
        <sz val="12"/>
        <color indexed="8"/>
        <rFont val="Cambria"/>
        <family val="1"/>
      </rPr>
      <t xml:space="preserve"> if gap financed domestically</t>
    </r>
  </si>
  <si>
    <t>Memorandum items flows from TOFE/Budget</t>
  </si>
  <si>
    <t>fr 2011 WEO_ALL</t>
  </si>
  <si>
    <t>fr 2011 GEE_ALL</t>
  </si>
  <si>
    <t>fr 2014 EXTFIN_ALL</t>
  </si>
  <si>
    <t>end of GEE_PRINT</t>
  </si>
  <si>
    <t>GEE Rwanda August 26, 2015</t>
  </si>
  <si>
    <r>
      <t xml:space="preserve">WEO-GAS EXTRACT for MUiMF (version August 2015) </t>
    </r>
    <r>
      <rPr>
        <sz val="9"/>
        <rFont val="Calibri"/>
        <family val="2"/>
      </rPr>
      <t>WEO_PRINT below this</t>
    </r>
  </si>
  <si>
    <t>WEO_PRINT</t>
  </si>
  <si>
    <t>end WEO_PRINT</t>
  </si>
  <si>
    <t>end EXTFIN_PRINT</t>
  </si>
  <si>
    <t>end EXTDEBT_PRINT</t>
  </si>
  <si>
    <t>FISCAL_inyear_DOMDEBTproj</t>
  </si>
  <si>
    <t>Total net issuance securities banks &amp; nonbanks</t>
  </si>
  <si>
    <t>Other public sector debt</t>
  </si>
  <si>
    <t xml:space="preserve">Govenment guaranteed domestic debt </t>
  </si>
  <si>
    <t>Source: Fiscal framework, DU</t>
  </si>
  <si>
    <t>Financing gap/errors&amp; omissions in TOFE  (after correction)</t>
  </si>
  <si>
    <t>fr 2011 FISC_MON</t>
  </si>
  <si>
    <t>fr 2011 FISC_BOP</t>
  </si>
  <si>
    <t>FISC_BOP below this</t>
  </si>
  <si>
    <t>FISCAL_inyear_DOMDEBT1415</t>
  </si>
  <si>
    <t xml:space="preserve">fr 2011 REAL_FISC </t>
  </si>
  <si>
    <t>REAL_FISC below this</t>
  </si>
  <si>
    <t xml:space="preserve">    local government (LG) fees </t>
  </si>
  <si>
    <t xml:space="preserve">exog number </t>
  </si>
  <si>
    <r>
      <rPr>
        <sz val="8"/>
        <color indexed="60"/>
        <rFont val="Arial"/>
        <family val="2"/>
      </rPr>
      <t>Ʃ</t>
    </r>
    <r>
      <rPr>
        <sz val="8"/>
        <color indexed="60"/>
        <rFont val="Calibri"/>
        <family val="2"/>
      </rPr>
      <t xml:space="preserve">LG </t>
    </r>
    <r>
      <rPr>
        <sz val="8"/>
        <color indexed="60"/>
        <rFont val="Calibri"/>
        <family val="2"/>
      </rPr>
      <t>dir tax+fees</t>
    </r>
  </si>
  <si>
    <t>calculated interest on financing gap</t>
  </si>
  <si>
    <t>interest rate on loan (implicitly assumed in PSI 3d review fin gap)</t>
  </si>
  <si>
    <t>FISCAL_annual_DOMDEBT</t>
  </si>
  <si>
    <t>FISCAL_inyear_DOMDEBT1415 above this</t>
  </si>
  <si>
    <t>FISCAL_inyear_DOMDEBTproj above this</t>
  </si>
  <si>
    <t>Memorandum</t>
  </si>
  <si>
    <t>Average interest rate on dometic debt (FY average)</t>
  </si>
  <si>
    <t>average outstanding FY</t>
  </si>
  <si>
    <t>fr 2011 FISC_REAL</t>
  </si>
  <si>
    <t>BOP_FISC</t>
  </si>
  <si>
    <t>Volume of petroleum products (tons)</t>
  </si>
  <si>
    <t xml:space="preserve">          Motor Spirits</t>
  </si>
  <si>
    <t xml:space="preserve">          Gas Oils</t>
  </si>
  <si>
    <t xml:space="preserve">          Other carburants</t>
  </si>
  <si>
    <t>o/w: imports of capital goods cif</t>
  </si>
  <si>
    <t xml:space="preserve">           imports of intermediate goods (incl "adjustment") cif</t>
  </si>
  <si>
    <t xml:space="preserve">           imports of energy products cif</t>
  </si>
  <si>
    <t xml:space="preserve">           imports of consumption goods cif</t>
  </si>
  <si>
    <t>fr '1 EXTDEBT_ALL</t>
  </si>
  <si>
    <t>fr'11 DOMDEBT_FISC</t>
  </si>
  <si>
    <t>fr'11 REAL__MF</t>
  </si>
  <si>
    <t>fr'11 BOP_FISC</t>
  </si>
  <si>
    <t>fr'11 MON_MF</t>
  </si>
  <si>
    <t xml:space="preserve">    Central government domestic debt (bln RWF end-CY)</t>
  </si>
  <si>
    <t>projected fr</t>
  </si>
  <si>
    <t>Budget dom fin</t>
  </si>
  <si>
    <t>Mon Survey</t>
  </si>
  <si>
    <t>light color:</t>
  </si>
  <si>
    <t>detect</t>
  </si>
  <si>
    <t>discepancies</t>
  </si>
  <si>
    <t>TOFE~MonSur</t>
  </si>
  <si>
    <t xml:space="preserve">      Net use of govt deposits shown in Fiscal TOFE</t>
  </si>
  <si>
    <t>April 2015 for BFP</t>
  </si>
  <si>
    <t>implied  in TOFE</t>
  </si>
  <si>
    <t>Use (+) govt deposits at NBR (treasury, line ministries) FY in bln RWF</t>
  </si>
  <si>
    <t>before corr E&amp;O</t>
  </si>
  <si>
    <t>est.10/15</t>
  </si>
  <si>
    <t>Assumption on net use of govt deposits in Budget Finance Law</t>
  </si>
  <si>
    <t xml:space="preserve">light color: </t>
  </si>
  <si>
    <t>for BOP</t>
  </si>
  <si>
    <t>FISCAL_OUTPUT above this</t>
  </si>
  <si>
    <t>not used</t>
  </si>
  <si>
    <t>Other unidentified expenditure</t>
  </si>
  <si>
    <t>required grants (to be identified)</t>
  </si>
  <si>
    <r>
      <t>Net issuance T bills/bonds to banks CY</t>
    </r>
    <r>
      <rPr>
        <sz val="8"/>
        <rFont val="Calibri"/>
        <family val="2"/>
      </rPr>
      <t>, bln RWF</t>
    </r>
    <r>
      <rPr>
        <b/>
        <sz val="9"/>
        <rFont val="Calibri"/>
        <family val="2"/>
      </rPr>
      <t xml:space="preserve"> </t>
    </r>
    <r>
      <rPr>
        <sz val="8"/>
        <rFont val="Calibri"/>
        <family val="2"/>
      </rPr>
      <t>(if no change other credit govt)</t>
    </r>
  </si>
  <si>
    <t>Domestic interest</t>
  </si>
  <si>
    <t>FISCAL_DEBT_OUTPUT below this</t>
  </si>
  <si>
    <t>FISCAL_DEBT_OUTPUT above  this</t>
  </si>
  <si>
    <t>est.</t>
  </si>
  <si>
    <t>progr.</t>
  </si>
  <si>
    <t>check E&amp;O</t>
  </si>
  <si>
    <t>Financing requirement/unidentified financing</t>
  </si>
  <si>
    <t xml:space="preserve">    O/w: budget loans (gross)</t>
  </si>
  <si>
    <t>import tax  (incl VAT; excl. fuel)/GDP</t>
  </si>
  <si>
    <t>levy for strategic fuel reserve in RWF per liter</t>
  </si>
  <si>
    <t>required loans (to be identified)</t>
  </si>
  <si>
    <t>excises on fuel/GDP (excl strategic reserve and FER)</t>
  </si>
  <si>
    <t>calculated levy strategic fuel reserve in bln RWF</t>
  </si>
  <si>
    <t xml:space="preserve">     levy for strategic fuel reserve (impact in bln RWF, in TOFE)</t>
  </si>
  <si>
    <t>calculated levy for Road Fund in bln RWF</t>
  </si>
  <si>
    <t xml:space="preserve">    impact increase levy for FER (in RWF bln, in TOFE compared to 2014/15)</t>
  </si>
  <si>
    <t>levy for Road Fund (FER) in RWF per liter</t>
  </si>
  <si>
    <r>
      <t xml:space="preserve">total levies on fuel/GDP </t>
    </r>
    <r>
      <rPr>
        <sz val="9"/>
        <color indexed="8"/>
        <rFont val="Calibri"/>
        <family val="2"/>
      </rPr>
      <t>(calculated, incl strategic reserve and FER)</t>
    </r>
  </si>
  <si>
    <t xml:space="preserve">           volume other carburants for domestic consumption (mln liters)</t>
  </si>
  <si>
    <t xml:space="preserve">    excise rate on other carburants in RWF/liter</t>
  </si>
  <si>
    <t xml:space="preserve">    calculated impact increase in levy Road Fund</t>
  </si>
  <si>
    <t>Budgetary grants  (incl. required grants)</t>
  </si>
  <si>
    <t xml:space="preserve">    O/w: budget loans (gross) (incl. required loans)</t>
  </si>
  <si>
    <t>`</t>
  </si>
  <si>
    <t>errors &amp; omissions</t>
  </si>
  <si>
    <t>Net issuance T bills/bonds to banks and non banks</t>
  </si>
  <si>
    <t>CY net issuance</t>
  </si>
  <si>
    <t xml:space="preserve">     infrastructure levy  1% EAC (impact in RWF bln) from 2015/16 onward</t>
  </si>
  <si>
    <t xml:space="preserve">   of which: project grants through government 'own' accounts</t>
  </si>
  <si>
    <t xml:space="preserve">                          project grants through government 'donor' accounts</t>
  </si>
  <si>
    <t xml:space="preserve">                    project grants through government 'donor' accounts</t>
  </si>
  <si>
    <t>of which: project grants through government 'own' accounts</t>
  </si>
  <si>
    <t xml:space="preserve">                 project grants through government 'donor' accounts</t>
  </si>
  <si>
    <t xml:space="preserve">                        project grants through government 'donor' accounts</t>
  </si>
  <si>
    <t>rev. April 6,2016</t>
  </si>
  <si>
    <t xml:space="preserve">        Semester I</t>
  </si>
  <si>
    <t xml:space="preserve">        Semester II</t>
  </si>
  <si>
    <t xml:space="preserve">  </t>
  </si>
  <si>
    <t>other grants (incl. HIPC grants)</t>
  </si>
  <si>
    <t xml:space="preserve">  PKO disbursements</t>
  </si>
  <si>
    <t>proj fr "FISC"</t>
  </si>
  <si>
    <t xml:space="preserve">       o/w: expected net issuance of govt securities</t>
  </si>
  <si>
    <t>4&amp;5th review</t>
  </si>
  <si>
    <t>proj.</t>
  </si>
  <si>
    <r>
      <t>FISCAL_OUTPUT_progr_act</t>
    </r>
    <r>
      <rPr>
        <sz val="9"/>
        <color indexed="8"/>
        <rFont val="Calibri"/>
        <family val="2"/>
      </rPr>
      <t xml:space="preserve"> above this                                          </t>
    </r>
    <r>
      <rPr>
        <sz val="9"/>
        <color indexed="10"/>
        <rFont val="Calibri"/>
        <family val="2"/>
      </rPr>
      <t xml:space="preserve"> check E&amp;O</t>
    </r>
  </si>
  <si>
    <t>intMF</t>
  </si>
  <si>
    <t>Exchange rate RWF/USD  (period average) CY</t>
  </si>
  <si>
    <t>Exchange rate RWF/USD (end of period) CY</t>
  </si>
  <si>
    <t>Exchange rate RWF/USD (period average) Fiscal Year (FY)</t>
  </si>
  <si>
    <t xml:space="preserve">Gross international reserves NBR end-period in mln USD </t>
  </si>
  <si>
    <t>proj fr BOP</t>
  </si>
  <si>
    <t xml:space="preserve">   idem at end June (from in-year MonSurvey, incl for projection)</t>
  </si>
  <si>
    <t xml:space="preserve">NBR overdraft government </t>
  </si>
  <si>
    <t>not in MS</t>
  </si>
  <si>
    <t>Claims on central government  commercial banks bln RWF</t>
  </si>
  <si>
    <t>NBR monetary policy instruments (debt + if absorption) bln RWF</t>
  </si>
  <si>
    <t xml:space="preserve">fr in-yr 2016 </t>
  </si>
  <si>
    <t>est. to "FISC"</t>
  </si>
  <si>
    <t xml:space="preserve">                level fuel (strategic reserve and Road Fund-FER)</t>
  </si>
  <si>
    <t xml:space="preserve">                excise duty on fuel (excl. strategic reserve)</t>
  </si>
  <si>
    <t>Bugesera airport (govt equity contribution, local spending)</t>
  </si>
  <si>
    <t>V. Domestic debt guarantees (bln RWF)</t>
  </si>
  <si>
    <t>DOMDEBT_FISC version Oct 2016 below this</t>
  </si>
  <si>
    <t>Projected financing need (unidentified budget grants/loans) (- surplus)</t>
  </si>
  <si>
    <t xml:space="preserve">        o/w: use of sovereign bond proceeds (KCC, Energy)</t>
  </si>
  <si>
    <t>GFS 1986 Sum</t>
  </si>
  <si>
    <t>Bugesera govt equity contribution 2016-17</t>
  </si>
  <si>
    <r>
      <t>IV.1 Summary FISCAL Output</t>
    </r>
    <r>
      <rPr>
        <b/>
        <sz val="12"/>
        <rFont val="Calibri"/>
        <family val="2"/>
      </rPr>
      <t xml:space="preserve"> (bln RWF)</t>
    </r>
  </si>
  <si>
    <t>of which tobacco tax</t>
  </si>
  <si>
    <t xml:space="preserve">FY GDP </t>
  </si>
  <si>
    <t>Of which: (incl Transfers Agaciro Fund)</t>
  </si>
  <si>
    <t>June</t>
  </si>
  <si>
    <t xml:space="preserve">                          stock of securities held by nonbanks end FY </t>
  </si>
  <si>
    <t>Fiscal_assumptions below this</t>
  </si>
  <si>
    <t>Fiscal_assumptions above this</t>
  </si>
  <si>
    <r>
      <rPr>
        <sz val="8"/>
        <color indexed="10"/>
        <rFont val="Symbol"/>
        <family val="1"/>
        <charset val="2"/>
      </rPr>
      <t>³</t>
    </r>
    <r>
      <rPr>
        <sz val="8"/>
        <color indexed="10"/>
        <rFont val="Calibri"/>
        <family val="2"/>
      </rPr>
      <t>2018/19 MF projection</t>
    </r>
  </si>
  <si>
    <t xml:space="preserve">  Net foreign assets NBR (mln US$) end-June </t>
  </si>
  <si>
    <t xml:space="preserve">      Of which: PKO revenue</t>
  </si>
  <si>
    <t xml:space="preserve">      Of which: disbursed into government project accounts</t>
  </si>
  <si>
    <t xml:space="preserve">      Of which: via government project grant accounts</t>
  </si>
  <si>
    <t xml:space="preserve">      Of which: PKO expenditure</t>
  </si>
  <si>
    <t xml:space="preserve">    Net non bank financing</t>
  </si>
  <si>
    <t xml:space="preserve">    Net bank financing</t>
  </si>
  <si>
    <t>Net domestic financing</t>
  </si>
  <si>
    <t xml:space="preserve">              project loans (gross)</t>
  </si>
  <si>
    <r>
      <t xml:space="preserve">Net bank financing </t>
    </r>
    <r>
      <rPr>
        <sz val="9"/>
        <color indexed="8"/>
        <rFont val="Calibri"/>
        <family val="2"/>
      </rPr>
      <t>(~ Monetary Survey</t>
    </r>
    <r>
      <rPr>
        <sz val="8"/>
        <color indexed="8"/>
        <rFont val="Calibri"/>
        <family val="2"/>
      </rPr>
      <t>, but sometimes diff.</t>
    </r>
    <r>
      <rPr>
        <sz val="9"/>
        <color indexed="8"/>
        <rFont val="Calibri"/>
        <family val="2"/>
      </rPr>
      <t>)</t>
    </r>
  </si>
  <si>
    <t>Non bank financing (Net)</t>
  </si>
  <si>
    <t>Government Securities (Net)</t>
  </si>
  <si>
    <t>Net bank financing (~ Monetary Survey, but sometimes diff.)</t>
  </si>
  <si>
    <t xml:space="preserve">o/w: bank borrowing/use (+) or built-up (-) other deposits </t>
  </si>
  <si>
    <t>o/w: Sovereign Bonds proceeds/KCC</t>
  </si>
  <si>
    <r>
      <t xml:space="preserve">o/w: Global Fund </t>
    </r>
    <r>
      <rPr>
        <sz val="9"/>
        <color indexed="8"/>
        <rFont val="Calibri"/>
        <family val="2"/>
      </rPr>
      <t>(and Sovereign Bonds proceeds/Energy/Agaciro)</t>
    </r>
  </si>
  <si>
    <t>o/w: Rwandair Loan receipt to Gov't</t>
  </si>
  <si>
    <t>o/w: PKO (CAR&amp;Juba)</t>
  </si>
  <si>
    <t>o/w: Strategic reserves</t>
  </si>
  <si>
    <t>o/w: levy on imports</t>
  </si>
  <si>
    <r>
      <t xml:space="preserve">Change in arrears </t>
    </r>
    <r>
      <rPr>
        <sz val="10"/>
        <color indexed="8"/>
        <rFont val="Calibri"/>
        <family val="2"/>
      </rPr>
      <t>(net reduction-)</t>
    </r>
  </si>
  <si>
    <t>Domestic financing (net)</t>
  </si>
  <si>
    <t>Memorandum items for program monitoring</t>
  </si>
  <si>
    <t xml:space="preserve">                                                                                         (flow Jan--June)</t>
  </si>
  <si>
    <t xml:space="preserve">                                           (flow Jan--June)</t>
  </si>
  <si>
    <t xml:space="preserve">                                                                        (flow Jan--June)</t>
  </si>
  <si>
    <r>
      <t xml:space="preserve">Domestic arrears: unpaid payment orders (&gt; 90 days) </t>
    </r>
    <r>
      <rPr>
        <sz val="10"/>
        <color indexed="56"/>
        <rFont val="Calibri"/>
        <family val="2"/>
      </rPr>
      <t>(stock end-December)</t>
    </r>
  </si>
  <si>
    <t xml:space="preserve">                                                                                                 (stock end-June)</t>
  </si>
  <si>
    <r>
      <rPr>
        <b/>
        <sz val="10"/>
        <color indexed="56"/>
        <rFont val="Calibri"/>
        <family val="2"/>
      </rPr>
      <t>Domestic revenue collection</t>
    </r>
    <r>
      <rPr>
        <sz val="10"/>
        <color indexed="56"/>
        <rFont val="Calibri"/>
        <family val="2"/>
      </rPr>
      <t>, excl. PKO (flow July-December)</t>
    </r>
  </si>
  <si>
    <r>
      <rPr>
        <b/>
        <sz val="10"/>
        <color indexed="56"/>
        <rFont val="Calibri"/>
        <family val="2"/>
      </rPr>
      <t>Net domestic financing</t>
    </r>
    <r>
      <rPr>
        <sz val="10"/>
        <color indexed="56"/>
        <rFont val="Calibri"/>
        <family val="2"/>
      </rPr>
      <t xml:space="preserve"> (flow July-December)</t>
    </r>
  </si>
  <si>
    <r>
      <rPr>
        <b/>
        <sz val="10"/>
        <color indexed="56"/>
        <rFont val="Calibri"/>
        <family val="2"/>
      </rPr>
      <t>Overall fiscal deficit</t>
    </r>
    <r>
      <rPr>
        <sz val="10"/>
        <color indexed="56"/>
        <rFont val="Calibri"/>
        <family val="2"/>
      </rPr>
      <t xml:space="preserve"> payment order, incl. grants (flow July--December)</t>
    </r>
  </si>
  <si>
    <t xml:space="preserve">                                                                                       (flow Jan--June)</t>
  </si>
  <si>
    <r>
      <rPr>
        <b/>
        <sz val="10"/>
        <color indexed="56"/>
        <rFont val="Calibri"/>
        <family val="2"/>
      </rPr>
      <t xml:space="preserve">Total priority spending  </t>
    </r>
    <r>
      <rPr>
        <sz val="10"/>
        <color indexed="56"/>
        <rFont val="Calibri"/>
        <family val="2"/>
      </rPr>
      <t>(flow July-December)</t>
    </r>
  </si>
  <si>
    <t xml:space="preserve">        o/w: net issuance of government securities to non banks</t>
  </si>
  <si>
    <t xml:space="preserve">      O/w: net bank financing</t>
  </si>
  <si>
    <t xml:space="preserve">      O/w: net issuance of government securities to non banks</t>
  </si>
  <si>
    <t>Pro.Act.</t>
  </si>
  <si>
    <t>USED</t>
  </si>
  <si>
    <r>
      <rPr>
        <b/>
        <sz val="10"/>
        <color indexed="8"/>
        <rFont val="Arial"/>
        <family val="2"/>
      </rPr>
      <t>Ʃ</t>
    </r>
    <r>
      <rPr>
        <b/>
        <sz val="10"/>
        <color indexed="8"/>
        <rFont val="Cambria"/>
        <family val="1"/>
      </rPr>
      <t xml:space="preserve"> months</t>
    </r>
  </si>
  <si>
    <t xml:space="preserve">                                      (flow Jan--June)</t>
  </si>
  <si>
    <t xml:space="preserve">      Of which: PKO expenditure, incl. bonuses</t>
  </si>
  <si>
    <r>
      <rPr>
        <b/>
        <sz val="10"/>
        <color indexed="56"/>
        <rFont val="Calibri"/>
        <family val="2"/>
      </rPr>
      <t>PKO disbursements</t>
    </r>
    <r>
      <rPr>
        <sz val="10"/>
        <color indexed="56"/>
        <rFont val="Calibri"/>
        <family val="2"/>
      </rPr>
      <t xml:space="preserve">  (flow July-December)</t>
    </r>
  </si>
  <si>
    <r>
      <rPr>
        <b/>
        <sz val="10"/>
        <color indexed="56"/>
        <rFont val="Calibri"/>
        <family val="2"/>
      </rPr>
      <t>Project grants disbursed</t>
    </r>
    <r>
      <rPr>
        <sz val="10"/>
        <color indexed="56"/>
        <rFont val="Calibri"/>
        <family val="2"/>
      </rPr>
      <t xml:space="preserve"> in govt project accounts (flow July-December)</t>
    </r>
  </si>
  <si>
    <t xml:space="preserve">                                                                                      (flow Jan--June)</t>
  </si>
  <si>
    <r>
      <rPr>
        <b/>
        <sz val="10"/>
        <color indexed="56"/>
        <rFont val="Calibri"/>
        <family val="2"/>
      </rPr>
      <t>PKO spending</t>
    </r>
    <r>
      <rPr>
        <sz val="10"/>
        <color indexed="56"/>
        <rFont val="Calibri"/>
        <family val="2"/>
      </rPr>
      <t xml:space="preserve"> incl. bonuses from 2016/17 (flow July-December) </t>
    </r>
  </si>
  <si>
    <t xml:space="preserve">                                                                              (flow Jan--June)</t>
  </si>
  <si>
    <r>
      <rPr>
        <b/>
        <sz val="10"/>
        <color indexed="56"/>
        <rFont val="Calibri"/>
        <family val="2"/>
      </rPr>
      <t>Capital spending via govt project grant accounts</t>
    </r>
    <r>
      <rPr>
        <sz val="10"/>
        <color indexed="56"/>
        <rFont val="Calibri"/>
        <family val="2"/>
      </rPr>
      <t xml:space="preserve"> (flow July-December)</t>
    </r>
  </si>
  <si>
    <t>exchange rate p.a.</t>
  </si>
  <si>
    <t>FISC_MON_PRINT above this</t>
  </si>
  <si>
    <t>FER</t>
  </si>
  <si>
    <t>Source data to construct TOFE:</t>
  </si>
  <si>
    <t>file name</t>
  </si>
  <si>
    <t>descriptor</t>
  </si>
  <si>
    <t>agency</t>
  </si>
  <si>
    <t>OTR net lending, debt service, expenditure,…</t>
  </si>
  <si>
    <t>OTR revenue collection, budget support received,…</t>
  </si>
  <si>
    <t>Tax Revenue Collection (Central Level)</t>
  </si>
  <si>
    <t>IFMIS</t>
  </si>
  <si>
    <r>
      <t xml:space="preserve">TOC: </t>
    </r>
    <r>
      <rPr>
        <sz val="12"/>
        <color indexed="8"/>
        <rFont val="Calibri"/>
        <family val="2"/>
      </rPr>
      <t>Table of contents and description</t>
    </r>
  </si>
  <si>
    <r>
      <t xml:space="preserve">==&gt; </t>
    </r>
    <r>
      <rPr>
        <sz val="11"/>
        <color theme="1"/>
        <rFont val="Calibri"/>
        <family val="2"/>
        <scheme val="minor"/>
      </rPr>
      <t>Hence the format and number of lines and columns of these blocks need to be strictly preserved, and should only be changed in consultation with the intMF coordinator.</t>
    </r>
  </si>
  <si>
    <t>guidance_FISC below this</t>
  </si>
  <si>
    <t>Guidance for Fiscal intMF file</t>
  </si>
  <si>
    <r>
      <t xml:space="preserve">This Fiscal file has 4 working sheets including this one (see detailed </t>
    </r>
    <r>
      <rPr>
        <b/>
        <sz val="12"/>
        <color indexed="8"/>
        <rFont val="Calibri"/>
        <family val="2"/>
      </rPr>
      <t>Guidance for Fiscal intMF file</t>
    </r>
    <r>
      <rPr>
        <sz val="12"/>
        <color indexed="8"/>
        <rFont val="Calibri"/>
        <family val="2"/>
      </rPr>
      <t xml:space="preserve"> below):</t>
    </r>
  </si>
  <si>
    <r>
      <rPr>
        <b/>
        <sz val="12"/>
        <color indexed="8"/>
        <rFont val="Calibri"/>
        <family val="2"/>
      </rPr>
      <t xml:space="preserve">FISC: </t>
    </r>
    <r>
      <rPr>
        <sz val="12"/>
        <color indexed="8"/>
        <rFont val="Calibri"/>
        <family val="2"/>
      </rPr>
      <t>fiscal annual projection sheet, linked to rest of intMF</t>
    </r>
  </si>
  <si>
    <r>
      <rPr>
        <b/>
        <sz val="12"/>
        <color indexed="8"/>
        <rFont val="Calibri"/>
        <family val="2"/>
      </rPr>
      <t xml:space="preserve">FISCinyear: </t>
    </r>
    <r>
      <rPr>
        <sz val="12"/>
        <color indexed="8"/>
        <rFont val="Calibri"/>
        <family val="2"/>
      </rPr>
      <t>fiscal current year and program year, breakdown by semester and month</t>
    </r>
  </si>
  <si>
    <r>
      <t xml:space="preserve">TOFE AN: </t>
    </r>
    <r>
      <rPr>
        <sz val="12"/>
        <color indexed="8"/>
        <rFont val="Calibri"/>
        <family val="2"/>
      </rPr>
      <t xml:space="preserve">presentation of result in currently used TOFE format </t>
    </r>
  </si>
  <si>
    <t>REAL variables for MF</t>
  </si>
  <si>
    <t xml:space="preserve">III.1 Fiscal working table "TOFE" GFS 1986 annual FY </t>
  </si>
  <si>
    <t>(under development)</t>
  </si>
  <si>
    <t>III.  Fiscal working tables</t>
  </si>
  <si>
    <t>Fiscal variables for Macro-Framework</t>
  </si>
  <si>
    <t>V. SELECTED FISCAL BLOCKS FOR MACRO-FRAMEWORK Calendar Year</t>
  </si>
  <si>
    <r>
      <t xml:space="preserve">FISCAL_OUTPUT_progr_act </t>
    </r>
    <r>
      <rPr>
        <sz val="9"/>
        <color indexed="8"/>
        <rFont val="Calibri"/>
        <family val="2"/>
      </rPr>
      <t>below this</t>
    </r>
  </si>
  <si>
    <t>IV.4 FISCAL GFS 1986 PRESENTATION - Program vs Actual</t>
  </si>
  <si>
    <t>IV.3 Budget/Finance Law Presentation (GFS 1986) - Summary</t>
  </si>
  <si>
    <t>Calculated tax ratios, parameters CY</t>
  </si>
  <si>
    <r>
      <t>IV. Summary FISCAL Output</t>
    </r>
    <r>
      <rPr>
        <b/>
        <sz val="11"/>
        <rFont val="Calibri"/>
        <family val="2"/>
      </rPr>
      <t xml:space="preserve"> (bln RWF)</t>
    </r>
  </si>
  <si>
    <t>III.2 FISCAL GFS 2014 PRESENTATION - detailed TOFE</t>
  </si>
  <si>
    <r>
      <t xml:space="preserve">The import of blocks of variables (Exogenous or Other sector files) under block I. is done via Excel macros, at the top of the FISC sheet: </t>
    </r>
    <r>
      <rPr>
        <b/>
        <sz val="11"/>
        <color indexed="8"/>
        <rFont val="Calibri"/>
        <family val="2"/>
      </rPr>
      <t>Integrate EXOGENOUS</t>
    </r>
    <r>
      <rPr>
        <sz val="11"/>
        <color theme="1"/>
        <rFont val="Calibri"/>
        <family val="2"/>
        <scheme val="minor"/>
      </rPr>
      <t xml:space="preserve"> and </t>
    </r>
    <r>
      <rPr>
        <b/>
        <sz val="11"/>
        <color indexed="8"/>
        <rFont val="Calibri"/>
        <family val="2"/>
      </rPr>
      <t>Integrate MF sector</t>
    </r>
    <r>
      <rPr>
        <sz val="11"/>
        <color theme="1"/>
        <rFont val="Calibri"/>
        <family val="2"/>
        <scheme val="minor"/>
      </rPr>
      <t>s.</t>
    </r>
  </si>
  <si>
    <t>Similarly, the export of variables of the fiscal file, FISC_REAL, FISC_MON and FISC_BOP, under block V. is done  via Excel macros in each of the other sector files.</t>
  </si>
  <si>
    <t>under development</t>
  </si>
  <si>
    <t xml:space="preserve">Structure of the 'FISC' </t>
  </si>
  <si>
    <t>main sheet</t>
  </si>
  <si>
    <t>in-year sheet (monthly)</t>
  </si>
  <si>
    <t>see table "Source data" below</t>
  </si>
  <si>
    <t>Integrated MF: 10 file management Principles</t>
  </si>
  <si>
    <r>
      <t>viii.     Spreadsheet structure:</t>
    </r>
    <r>
      <rPr>
        <b/>
        <i/>
        <sz val="11"/>
        <color indexed="56"/>
        <rFont val="Calibri"/>
        <family val="2"/>
      </rPr>
      <t xml:space="preserve"> </t>
    </r>
    <r>
      <rPr>
        <b/>
        <sz val="11"/>
        <color indexed="56"/>
        <rFont val="Calibri"/>
        <family val="2"/>
      </rPr>
      <t xml:space="preserve">uniform </t>
    </r>
    <r>
      <rPr>
        <b/>
        <i/>
        <sz val="11"/>
        <color indexed="56"/>
        <rFont val="Calibri"/>
        <family val="2"/>
      </rPr>
      <t>year -column</t>
    </r>
    <r>
      <rPr>
        <b/>
        <sz val="11"/>
        <color indexed="56"/>
        <rFont val="Calibri"/>
        <family val="2"/>
      </rPr>
      <t xml:space="preserve">, </t>
    </r>
    <r>
      <rPr>
        <b/>
        <i/>
        <sz val="11"/>
        <color indexed="56"/>
        <rFont val="Calibri"/>
        <family val="2"/>
      </rPr>
      <t>top-down, left-right</t>
    </r>
    <r>
      <rPr>
        <b/>
        <sz val="11"/>
        <color indexed="56"/>
        <rFont val="Calibri"/>
        <family val="2"/>
      </rPr>
      <t xml:space="preserve"> logic, no circularity</t>
    </r>
  </si>
  <si>
    <r>
      <t xml:space="preserve">x.         Translate CY projections to  FY basis with two-year average (and </t>
    </r>
    <r>
      <rPr>
        <b/>
        <i/>
        <sz val="11"/>
        <color indexed="56"/>
        <rFont val="Calibri"/>
        <family val="2"/>
      </rPr>
      <t>vice versa</t>
    </r>
    <r>
      <rPr>
        <b/>
        <sz val="11"/>
        <color indexed="56"/>
        <rFont val="Calibri"/>
        <family val="2"/>
      </rPr>
      <t>), for FISCAL and BOP</t>
    </r>
  </si>
  <si>
    <t>iii.      For common data input, insert well-formatted extract of source file (rather than whole sheet)</t>
  </si>
  <si>
    <r>
      <t>v.        </t>
    </r>
    <r>
      <rPr>
        <b/>
        <i/>
        <sz val="11"/>
        <color indexed="56"/>
        <rFont val="Calibri"/>
        <family val="2"/>
      </rPr>
      <t>In-year</t>
    </r>
    <r>
      <rPr>
        <b/>
        <sz val="11"/>
        <color indexed="56"/>
        <rFont val="Calibri"/>
        <family val="2"/>
      </rPr>
      <t xml:space="preserve"> estimates/updated projections  in separate ”in-year” sheet, with links or copy/paste value to main projection module;</t>
    </r>
  </si>
  <si>
    <t xml:space="preserve"> in-year sheet can have quarters, semesters etc. as needed</t>
  </si>
  <si>
    <t>TABLE of CONTENTS Fiscal file</t>
  </si>
  <si>
    <t>TOC_guidance below this</t>
  </si>
  <si>
    <t>TOC_guidance &amp; guidance_FISC above this</t>
  </si>
  <si>
    <t>ii.       The “main projection module” should be in one work sheet (normally CY, except fiscal)</t>
  </si>
  <si>
    <t>The FY annual projection framework uses intMF aggregates to project revenue (endogenous), and reflects budget or assumptions for spending (largely exogenous).</t>
  </si>
  <si>
    <t>Macros for import and export of blocks of variables (I.)</t>
  </si>
  <si>
    <t>Fiscal Specific Assumptions (II) and Working Module (III)</t>
  </si>
  <si>
    <r>
      <t xml:space="preserve">Closure mechanism: </t>
    </r>
    <r>
      <rPr>
        <sz val="11"/>
        <color theme="1"/>
        <rFont val="Calibri"/>
        <family val="2"/>
        <scheme val="minor"/>
      </rPr>
      <t>net domestic financing ensures fiscal accounts are in balance.</t>
    </r>
  </si>
  <si>
    <t>==&gt;Exchange rate projected by MON affects RWF value of external financing flows.  In turn, projected net domestic financing (NCG) affects monetary projection.</t>
  </si>
  <si>
    <t xml:space="preserve">Key interactions with variables from other sectors </t>
  </si>
  <si>
    <t>==&gt;Domestic debt service projected by DOMDEBT feeds into FISC. In turn, net domestic financing need determines change in government domestic debt.</t>
  </si>
  <si>
    <r>
      <t xml:space="preserve">Total </t>
    </r>
    <r>
      <rPr>
        <sz val="12"/>
        <color indexed="8"/>
        <rFont val="Cambria"/>
        <family val="1"/>
      </rPr>
      <t>(tax revenue, excl. local govt fees)</t>
    </r>
  </si>
  <si>
    <t>Source data for FISCinyear (in-year TOFE)</t>
  </si>
  <si>
    <t>For revenue, five tax categories and 2 non-tax revenues are distinguished with a tax base (projected in intMF) and tax rate and buyoancy parameters (tax policies and admin) for each.</t>
  </si>
  <si>
    <t>and exchange rates (from MON). Net domestic financing (NDF) is the closing variable, while other variables, notably revenue and spending, are adjusted iteratively to ensure NDF is acceptable.</t>
  </si>
  <si>
    <t>data start 2005</t>
  </si>
  <si>
    <t>of which: local government taxes (RRA, at decentralized level)</t>
  </si>
  <si>
    <t>- Small enterprises</t>
  </si>
  <si>
    <t>Net Lending (NOT USED in TOFE, instead: IFMIS_DEBT)</t>
  </si>
  <si>
    <t>DMO_DebDisb</t>
  </si>
  <si>
    <t>I. IMPORTED VALUES FROM FISCAL SOURCE FILES (paste values)</t>
  </si>
  <si>
    <t>External Project Loans Disbursements (bln RWF)</t>
  </si>
  <si>
    <t>External Budget Loans Disbursementsn(bln RWF)</t>
  </si>
  <si>
    <r>
      <t>External Principal Repayment</t>
    </r>
    <r>
      <rPr>
        <b/>
        <sz val="12"/>
        <color indexed="8"/>
        <rFont val="Cambria"/>
        <family val="1"/>
      </rPr>
      <t xml:space="preserve"> (bln RWF)</t>
    </r>
  </si>
  <si>
    <r>
      <t>External Interest Payment</t>
    </r>
    <r>
      <rPr>
        <b/>
        <sz val="12"/>
        <color indexed="8"/>
        <rFont val="Cambria"/>
        <family val="1"/>
      </rPr>
      <t xml:space="preserve"> (bln RWF)</t>
    </r>
  </si>
  <si>
    <r>
      <t>HIPC</t>
    </r>
    <r>
      <rPr>
        <b/>
        <sz val="12"/>
        <color indexed="8"/>
        <rFont val="Cambria"/>
        <family val="1"/>
      </rPr>
      <t xml:space="preserve"> (bln RWF)</t>
    </r>
  </si>
  <si>
    <t>TreBNR_ExtDeb_FISCinyear below this</t>
  </si>
  <si>
    <t>TreBNR_ExtDeb_FISCinyear above this</t>
  </si>
  <si>
    <t>DMO_DebDisb_FISCinyear above this</t>
  </si>
  <si>
    <t>DMO_DebDisb_FISCinyear below this</t>
  </si>
  <si>
    <t>BNR_OTR_RecPyt</t>
  </si>
  <si>
    <t>TreBNR_DomDeb</t>
  </si>
  <si>
    <t>238103  Free Trade Zone Contribution</t>
  </si>
  <si>
    <t>238107  Agaciro Fund</t>
  </si>
  <si>
    <t>238109  Akagera Aviation</t>
  </si>
  <si>
    <t xml:space="preserve">                    Cimerwa</t>
  </si>
  <si>
    <t>238102  Rwandair Aircraft Purchase</t>
  </si>
  <si>
    <t>235101  Savings and fixed term deposits (KCC working capital)</t>
  </si>
  <si>
    <t>238108  Kigali convention Center</t>
  </si>
  <si>
    <t>238104  Strategic Investment Fund</t>
  </si>
  <si>
    <t>total net lending (IFMIS-DEBT)</t>
  </si>
  <si>
    <t>Privatization (net receipts)</t>
  </si>
  <si>
    <t>Privatization receipts ( - receipt)</t>
  </si>
  <si>
    <t>IFMIS_DEBT_FISCinyear below</t>
  </si>
  <si>
    <t>OTR</t>
  </si>
  <si>
    <t>Net Lending Payments</t>
  </si>
  <si>
    <t>accrual/cash</t>
  </si>
  <si>
    <t>accrual</t>
  </si>
  <si>
    <t>used in TOFE</t>
  </si>
  <si>
    <t>Y</t>
  </si>
  <si>
    <t>comment</t>
  </si>
  <si>
    <t>also in BNR_Forex, but not used there</t>
  </si>
  <si>
    <t>projected debt service in DebSer (not used)</t>
  </si>
  <si>
    <t>cash</t>
  </si>
  <si>
    <t xml:space="preserve">   BNR</t>
  </si>
  <si>
    <t xml:space="preserve">   RSSB</t>
  </si>
  <si>
    <t>TreBNR_DomDeb_FISCinyear below this</t>
  </si>
  <si>
    <r>
      <t xml:space="preserve">FISCAL_TOFE_inyear_201418  below this  </t>
    </r>
    <r>
      <rPr>
        <sz val="10"/>
        <color indexed="8"/>
        <rFont val="Cambria"/>
        <family val="1"/>
      </rPr>
      <t>(ensure same format as annual TOFE)</t>
    </r>
  </si>
  <si>
    <t>replaced by EXTDEBT intMF</t>
  </si>
  <si>
    <t>cash  RRA nontax rev</t>
  </si>
  <si>
    <t xml:space="preserve">cash OTR dividends etc </t>
  </si>
  <si>
    <t>cash PKO revenue</t>
  </si>
  <si>
    <t>cash Budget grants</t>
  </si>
  <si>
    <t>N</t>
  </si>
  <si>
    <t>(to allocate proj. amount by Q to months)</t>
  </si>
  <si>
    <t>cash debt service</t>
  </si>
  <si>
    <t>cash project grants via govt acts</t>
  </si>
  <si>
    <t>cash project loans via govt acts</t>
  </si>
  <si>
    <t xml:space="preserve"> (only for PDT; TOFE uses DMO disb)</t>
  </si>
  <si>
    <t>TOFE uses DMO debt service</t>
  </si>
  <si>
    <t xml:space="preserve">accrual </t>
  </si>
  <si>
    <t>non tax revenue at decentralized level</t>
  </si>
  <si>
    <t xml:space="preserve">cash </t>
  </si>
  <si>
    <t>(diff with Ord is change unpaid Pyt Orders)</t>
  </si>
  <si>
    <t>can be part of IFMIS_EXP_Ord</t>
  </si>
  <si>
    <t>in principle all ordonn (Except,netL</t>
  </si>
  <si>
    <t>and priority,…)</t>
  </si>
  <si>
    <t>net lending</t>
  </si>
  <si>
    <t>(in addition repayment old stock unpaid PO)</t>
  </si>
  <si>
    <t>BNR_OTR_RecPyt_FISCinyear above this</t>
  </si>
  <si>
    <t>Other cash, by OTR (dividends, interest,.....)</t>
  </si>
  <si>
    <t xml:space="preserve">   tax revenue cash not used (accrual fr RRA)</t>
  </si>
  <si>
    <t>GPMU</t>
  </si>
  <si>
    <t>Priority spending, exceptional sp, net lending, tax exp ?</t>
  </si>
  <si>
    <t>to include?</t>
  </si>
  <si>
    <t>Centralized level, cash, by RRA, recorded by OTR (fees, permits, rents etc)</t>
  </si>
  <si>
    <r>
      <t xml:space="preserve">OTR - Overdraft </t>
    </r>
    <r>
      <rPr>
        <sz val="12"/>
        <color indexed="8"/>
        <rFont val="Cambria"/>
        <family val="1"/>
      </rPr>
      <t>(used for monitoring domestic debt)</t>
    </r>
  </si>
  <si>
    <t>BNR_Forex_FISCinyear below this</t>
  </si>
  <si>
    <t>BNR_Forex_FISCinyear above this</t>
  </si>
  <si>
    <t>Est.</t>
  </si>
  <si>
    <t>Global Fund (cash, used in TOFE)</t>
  </si>
  <si>
    <t>RRA_tax_FISCinyear below this</t>
  </si>
  <si>
    <r>
      <t>Local Government  (LG) Fees (</t>
    </r>
    <r>
      <rPr>
        <b/>
        <sz val="12"/>
        <color indexed="8"/>
        <rFont val="Cambria"/>
        <family val="1"/>
      </rPr>
      <t>non tax revenue</t>
    </r>
    <r>
      <rPr>
        <sz val="12"/>
        <color indexed="8"/>
        <rFont val="Cambria"/>
        <family val="1"/>
      </rPr>
      <t>, by RRA)</t>
    </r>
  </si>
  <si>
    <t>RRA_taxDECENTR_FISCinyear below this</t>
  </si>
  <si>
    <t>RRA_tax_FISCinyear above this</t>
  </si>
  <si>
    <t>RRA_taxDECENTR_FISCinyear above this</t>
  </si>
  <si>
    <t>check total RRA tax revenue</t>
  </si>
  <si>
    <t>check grand total tax  revenue and Local Govt Fees</t>
  </si>
  <si>
    <t>==&gt; Strategic fuel reserve</t>
  </si>
  <si>
    <r>
      <t xml:space="preserve">Total tax revenue </t>
    </r>
    <r>
      <rPr>
        <b/>
        <sz val="12"/>
        <color indexed="10"/>
        <rFont val="Cambria"/>
        <family val="1"/>
      </rPr>
      <t xml:space="preserve">EXCL. </t>
    </r>
    <r>
      <rPr>
        <b/>
        <sz val="12"/>
        <color indexed="8"/>
        <rFont val="Cambria"/>
        <family val="1"/>
      </rPr>
      <t>taxes on EWSA fuel imports for Generators</t>
    </r>
  </si>
  <si>
    <t>Non Tax Revenue (excl. PKO)  cash OTR</t>
  </si>
  <si>
    <t xml:space="preserve">  Other (incl.  local government fees)</t>
  </si>
  <si>
    <t xml:space="preserve">Arrears (not used) </t>
  </si>
  <si>
    <t>Interest (not used in TOFE, instead TreBNR_DomDeb and _ExtDeb)</t>
  </si>
  <si>
    <t>IFMIS_EXP_Ord_FISCinyear above this</t>
  </si>
  <si>
    <t>IFMIS_EXP_Ord_FISCinyear below this</t>
  </si>
  <si>
    <t>External Capital ( used for GF; could be use of govt project grants)</t>
  </si>
  <si>
    <t>IFMIS_EXP_Pyt_FISCinyear above this</t>
  </si>
  <si>
    <t>IFMIS - Payment</t>
  </si>
  <si>
    <r>
      <t>IFMIS - Float</t>
    </r>
    <r>
      <rPr>
        <sz val="12"/>
        <color indexed="8"/>
        <rFont val="Cambria"/>
        <family val="1"/>
      </rPr>
      <t xml:space="preserve">  (change in unpaid payment orders current FY)</t>
    </r>
  </si>
  <si>
    <t>IFMIS_Ex_FISCinyear below this</t>
  </si>
  <si>
    <t>IFMIS_Ex_FISCinyear above this</t>
  </si>
  <si>
    <t>Privat_Rec_FISCinyear below this</t>
  </si>
  <si>
    <t>Privat_Rec_FISCinyear above this</t>
  </si>
  <si>
    <r>
      <t>IFMS - Tax Expenditures</t>
    </r>
    <r>
      <rPr>
        <b/>
        <sz val="12"/>
        <color indexed="8"/>
        <rFont val="Cambria"/>
        <family val="1"/>
      </rPr>
      <t xml:space="preserve"> </t>
    </r>
    <r>
      <rPr>
        <sz val="12"/>
        <color indexed="8"/>
        <rFont val="Cambria"/>
        <family val="1"/>
      </rPr>
      <t>(used in domestic capital exp)</t>
    </r>
  </si>
  <si>
    <t>IFMIS_TaxExp_FISCinyear below this</t>
  </si>
  <si>
    <t>IFMIS_TaxExp_FISCinyear above this</t>
  </si>
  <si>
    <t>==&gt; Infrastructure development levy</t>
  </si>
  <si>
    <t xml:space="preserve">      o/w PKO allowances (from Treasury)</t>
  </si>
  <si>
    <t>cash receipts OTR used for RRA nontax &amp; OTR-dividends</t>
  </si>
  <si>
    <t>For expenditure, outer years are projected using relationships with GDP, fiscal revenue, or past trends. External financing and debt service are identified flows in forex (from EXTFIN and EXTDEBT)</t>
  </si>
  <si>
    <t>NDF is broken down by nonbank (largely exogenous) and bank financing (NCG, residual); for realization, monetary survey data feed into FISC, while fiscal projection of NCG flows feeds into MON.</t>
  </si>
  <si>
    <t>==&gt;GDP, its composition (non agriculture) and GDP deflator affect tax and expenditure, and ratios. In turn, govt taxes (and effective collection rates) and wage bill affect GDP and its deflator.</t>
  </si>
  <si>
    <t>==&gt;Import values and volumes of goods (of which: fuel, for big projects) projected by BOP affect import &amp; excise tax collection. In turn, projected PKO nontax revenue affects BOP services exports.</t>
  </si>
  <si>
    <r>
      <t xml:space="preserve">2.1.8. </t>
    </r>
    <r>
      <rPr>
        <sz val="12"/>
        <color indexed="8"/>
        <rFont val="Cambria"/>
        <family val="1"/>
      </rPr>
      <t>Air time</t>
    </r>
    <r>
      <rPr>
        <sz val="12"/>
        <color indexed="8"/>
        <rFont val="Cambria"/>
        <family val="1"/>
      </rPr>
      <t>/Mining Royalties</t>
    </r>
  </si>
  <si>
    <t>Mining Royalties</t>
  </si>
  <si>
    <t>BNR_Forex_FISCinyear (PDT)</t>
  </si>
  <si>
    <t>RRA_ Tax_FISCinyear</t>
  </si>
  <si>
    <t>RRA_taxDECENTR_FISCinyear</t>
  </si>
  <si>
    <t>IFMIS_EXP_Ord_FISCinyear</t>
  </si>
  <si>
    <t>IFMIS_EXP_Pyt_FISCinyear</t>
  </si>
  <si>
    <t>IFMIS_Ex_FISCinyear</t>
  </si>
  <si>
    <t>IFMIS_TaxExp_FISCinyear</t>
  </si>
  <si>
    <t>IFMIS_DEBT_FISCinyear</t>
  </si>
  <si>
    <t>Privat_Rec_FISCinyear</t>
  </si>
  <si>
    <t>MonSur_FISCinyear</t>
  </si>
  <si>
    <t>TreBNR_ExtDeb_FISCinyear</t>
  </si>
  <si>
    <t>DMO_DebDisb_FISCinyear</t>
  </si>
  <si>
    <t>TreBNR_DomDeb_FISCinyear</t>
  </si>
  <si>
    <t>MonSur_FISCinyear above this</t>
  </si>
  <si>
    <t>Used</t>
  </si>
  <si>
    <r>
      <t xml:space="preserve">  o/w: PKO allowances</t>
    </r>
    <r>
      <rPr>
        <b/>
        <sz val="10"/>
        <color indexed="10"/>
        <rFont val="Cambria"/>
        <family val="1"/>
      </rPr>
      <t xml:space="preserve"> (from Treasury, outside IFMIS)</t>
    </r>
  </si>
  <si>
    <t>Peace Keeping (via IFMIS,  and outside--via treasury)</t>
  </si>
  <si>
    <t>2.1.3. Petrol</t>
  </si>
  <si>
    <t>Budgetary loans</t>
  </si>
  <si>
    <t xml:space="preserve">   Difference PKO revenue -/- recorded spending  (- advance)</t>
  </si>
  <si>
    <t xml:space="preserve">   Net withdrawal from government project accounts</t>
  </si>
  <si>
    <t>Non Bank Sector Debt Repayment (&gt; 2016/17 from DMO)</t>
  </si>
  <si>
    <t>prov.act.</t>
  </si>
  <si>
    <t>GEE _PRINT above this</t>
  </si>
  <si>
    <t>2020/21</t>
  </si>
  <si>
    <t>EXTFIN_PRINT above this</t>
  </si>
  <si>
    <t>REAL_MF above this</t>
  </si>
  <si>
    <t>BOP_FISC above this</t>
  </si>
  <si>
    <t>FISC_BOP above this</t>
  </si>
  <si>
    <r>
      <t>Fiscal variables to MON and PDT (plan de trésorerie)</t>
    </r>
    <r>
      <rPr>
        <sz val="8"/>
        <rFont val="Calibri"/>
        <family val="2"/>
      </rPr>
      <t xml:space="preserve"> FISC_MON_PRINT below this</t>
    </r>
  </si>
  <si>
    <t>6th review</t>
  </si>
  <si>
    <t>Fiscal accounts: Program versus Projections</t>
  </si>
  <si>
    <t>in % of GDP</t>
  </si>
  <si>
    <t>Direct taxes (excl. local govt taxes)</t>
  </si>
  <si>
    <t>Non-tax revenue (excl. local govt)</t>
  </si>
  <si>
    <t>Transfers (excl. to local govt)</t>
  </si>
  <si>
    <t xml:space="preserve"> excl. local government revenue</t>
  </si>
  <si>
    <t>excl. local government taxes</t>
  </si>
  <si>
    <t>excl. local government fees</t>
  </si>
  <si>
    <t>Current expenditure &amp; net lending</t>
  </si>
  <si>
    <t>Capital spending</t>
  </si>
  <si>
    <t>Deficit payment order (incl grants)</t>
  </si>
  <si>
    <t xml:space="preserve">                                         (excl. grants)</t>
  </si>
  <si>
    <t>Net foreign financing</t>
  </si>
  <si>
    <t xml:space="preserve">             o/w: Taxes on projects expenditures (REG&amp;RTDA)</t>
  </si>
  <si>
    <t>KCC Working capital (interest)</t>
  </si>
  <si>
    <r>
      <rPr>
        <sz val="8"/>
        <rFont val="Calibri"/>
        <family val="2"/>
      </rPr>
      <t xml:space="preserve">FISCAL_TOFE above this      </t>
    </r>
    <r>
      <rPr>
        <sz val="8"/>
        <color indexed="60"/>
        <rFont val="Calibri"/>
        <family val="2"/>
      </rPr>
      <t xml:space="preserve">                                                                          net issuance of Tbills/bonds banks&amp;nonbanks </t>
    </r>
  </si>
  <si>
    <r>
      <rPr>
        <sz val="9"/>
        <rFont val="Calibri"/>
        <family val="2"/>
      </rPr>
      <t xml:space="preserve">FISCAL_TOFE_inyear_201418 above this </t>
    </r>
    <r>
      <rPr>
        <sz val="9"/>
        <color indexed="60"/>
        <rFont val="Calibri"/>
        <family val="2"/>
      </rPr>
      <t xml:space="preserve">      Net issuance securities and use deposits</t>
    </r>
  </si>
  <si>
    <t>Budget</t>
  </si>
  <si>
    <t>calculated levies strategic reserve bln RWF (if tax base includes other fuels) NOT USED</t>
  </si>
  <si>
    <t>2021/22</t>
  </si>
  <si>
    <t>2022/23</t>
  </si>
  <si>
    <t>2023/24</t>
  </si>
  <si>
    <t>2024/25</t>
  </si>
  <si>
    <t>2025/26</t>
  </si>
  <si>
    <t>2005/06</t>
  </si>
  <si>
    <t>2004/05</t>
  </si>
  <si>
    <t>2003/04</t>
  </si>
  <si>
    <t>2002/03</t>
  </si>
  <si>
    <t>2001/02</t>
  </si>
  <si>
    <t>2000/01</t>
  </si>
  <si>
    <t>1999/00</t>
  </si>
  <si>
    <t>1998/99</t>
  </si>
  <si>
    <t>From 1998/99 to 2005/06 is the average of two calendar year based on information source that was in calendar year</t>
  </si>
  <si>
    <r>
      <t xml:space="preserve">   O/w: </t>
    </r>
    <r>
      <rPr>
        <sz val="11"/>
        <color indexed="10"/>
        <rFont val="Calibri"/>
        <family val="2"/>
      </rPr>
      <t>project grants</t>
    </r>
  </si>
  <si>
    <t>7th review</t>
  </si>
  <si>
    <t>1997/98</t>
  </si>
  <si>
    <t xml:space="preserve">              project loans</t>
  </si>
  <si>
    <t>External interest</t>
  </si>
  <si>
    <r>
      <t>Taxes on domestic goods &amp; services</t>
    </r>
    <r>
      <rPr>
        <b/>
        <sz val="9"/>
        <color indexed="8"/>
        <rFont val="Calibri"/>
        <family val="2"/>
      </rPr>
      <t xml:space="preserve"> (incl VAT imports, fuel excises)</t>
    </r>
  </si>
  <si>
    <t>GNI per capita</t>
  </si>
  <si>
    <t xml:space="preserve">              Amortization (due)</t>
  </si>
  <si>
    <t>Marriot Loan(New line  from 04th Oct 2017)</t>
  </si>
  <si>
    <t>238110  Bugesera Airport</t>
  </si>
  <si>
    <t>JICA</t>
  </si>
  <si>
    <t xml:space="preserve">       LODA expenditure on budget grants directly disbursed/ REG&amp;RTDA Tax expenditure</t>
  </si>
  <si>
    <t xml:space="preserve">    o/w prefinancing and soldier/police bonuses (from 2016/17)</t>
  </si>
  <si>
    <t>o/w: Global Fund (and Sovereign Bonds proceeds/Energy/Agaciro)</t>
  </si>
  <si>
    <t>Jan-Dec</t>
  </si>
  <si>
    <t>2015</t>
  </si>
  <si>
    <t>2016</t>
  </si>
  <si>
    <t>Adjusted project Grants(Used in TOFE)</t>
  </si>
  <si>
    <t>GFS 1986</t>
  </si>
  <si>
    <t xml:space="preserve">    o/w prefinancing and soldier/police bonuses</t>
  </si>
  <si>
    <t>Marriott Loan repayment ( from Oct 2017)</t>
  </si>
  <si>
    <t>KCC Loan repayment</t>
  </si>
  <si>
    <t>7th Review May 2017</t>
  </si>
  <si>
    <t>2017</t>
  </si>
  <si>
    <t xml:space="preserve">FISCAL_TOFE above this                                                                                net issuance of Tbills/bonds banks&amp;nonbanks </t>
  </si>
  <si>
    <t xml:space="preserve"> Revised Current Proj.</t>
  </si>
  <si>
    <t xml:space="preserve"> Provisional Actual</t>
  </si>
  <si>
    <r>
      <t xml:space="preserve"> LODA expenditure on budget grants directly disbursed/ R</t>
    </r>
    <r>
      <rPr>
        <b/>
        <i/>
        <sz val="10"/>
        <color indexed="10"/>
        <rFont val="Calibri"/>
        <family val="2"/>
      </rPr>
      <t>EG&amp;RTDA Tax expenditur</t>
    </r>
    <r>
      <rPr>
        <i/>
        <sz val="10"/>
        <color indexed="10"/>
        <rFont val="Calibri"/>
        <family val="2"/>
      </rPr>
      <t>e</t>
    </r>
  </si>
  <si>
    <t xml:space="preserve">     Prices of domestic goods excluding taxes</t>
  </si>
  <si>
    <t xml:space="preserve">    Households and NGOs consumption</t>
  </si>
  <si>
    <t xml:space="preserve">     O/w: Private investment (MF proxy)</t>
  </si>
  <si>
    <t>Imports, cif (mln USD) (in trade statistics, excl. adjustment for planes, CBT, fuel etc.)</t>
  </si>
  <si>
    <t>average Kg/l</t>
  </si>
  <si>
    <t>End-year FY stock domestic govt debt (mid-CY, bln RWF)</t>
  </si>
  <si>
    <t>end DOMDEBT_FISC_PRINT</t>
  </si>
  <si>
    <t>Marriott loan  (from Oct 2017)</t>
  </si>
  <si>
    <t>of Which  Rwanda National Police Non-Tax revenue</t>
  </si>
  <si>
    <t>of Which  RDB Non-Tax revenue</t>
  </si>
  <si>
    <t>of Which  Sweden NEP</t>
  </si>
  <si>
    <t>of Which  RNP expenditures on non-Tax revenue collections</t>
  </si>
  <si>
    <t>of which expenditures  on RDB non Tax revenue collections</t>
  </si>
  <si>
    <t xml:space="preserve"> of Which LODA (Netherlands,Germany,VUP/S.Protection)</t>
  </si>
  <si>
    <t>Excluding PKO Pre-financing</t>
  </si>
  <si>
    <t>of which Strategic reserves accumulation</t>
  </si>
  <si>
    <r>
      <t xml:space="preserve">     </t>
    </r>
    <r>
      <rPr>
        <sz val="10"/>
        <color indexed="17"/>
        <rFont val="Calibri"/>
        <family val="2"/>
      </rPr>
      <t>Of Which LODA (Netherlands,Germany,VUP/S.Protection)</t>
    </r>
  </si>
  <si>
    <t>Marriott Loan repayment</t>
  </si>
  <si>
    <r>
      <t xml:space="preserve"> </t>
    </r>
    <r>
      <rPr>
        <sz val="10"/>
        <color indexed="17"/>
        <rFont val="Calibri"/>
        <family val="2"/>
      </rPr>
      <t>Contingent Budgetary loan [ WB  Social protection]</t>
    </r>
  </si>
  <si>
    <r>
      <rPr>
        <sz val="10"/>
        <color indexed="17"/>
        <rFont val="Calibri"/>
        <family val="2"/>
      </rPr>
      <t>Earmarked   Levies</t>
    </r>
    <r>
      <rPr>
        <sz val="10"/>
        <color indexed="8"/>
        <rFont val="Calibri"/>
        <family val="2"/>
      </rPr>
      <t xml:space="preserve">   </t>
    </r>
  </si>
  <si>
    <t>Stock gross foreign liabilities NBR  end-year (in mln US$)</t>
  </si>
  <si>
    <t>Net foreign assets commercial banks end-period in mln USD</t>
  </si>
  <si>
    <t>Reserve money (bln RWF) (target: av. April-June; realized: daily average)</t>
  </si>
  <si>
    <t xml:space="preserve">                                                      (target: av. Oct-Dec; realized: daily average)</t>
  </si>
  <si>
    <t>Net credit to Govt monetary survey end-period stock (bln RWF)</t>
  </si>
  <si>
    <t>Govt deposits (treasury, line ministries) at NBR  end-period stock (bln RWF)</t>
  </si>
  <si>
    <t xml:space="preserve"> African Union levy</t>
  </si>
  <si>
    <r>
      <t xml:space="preserve"> </t>
    </r>
    <r>
      <rPr>
        <sz val="12"/>
        <color rgb="FF00B050"/>
        <rFont val="Cambria"/>
        <family val="1"/>
        <scheme val="major"/>
      </rPr>
      <t>African Union levy</t>
    </r>
  </si>
  <si>
    <t>2021/2022</t>
  </si>
  <si>
    <t>2022/2023</t>
  </si>
  <si>
    <t>2023/2024</t>
  </si>
  <si>
    <t>2024/2025</t>
  </si>
  <si>
    <t>2025/2026</t>
  </si>
  <si>
    <t>2026/2027</t>
  </si>
  <si>
    <t>2027/2028</t>
  </si>
  <si>
    <t xml:space="preserve"> LODA expenditure on budget grants directly disbursed/ REG&amp;RTDA Tax expenditure</t>
  </si>
  <si>
    <t>FISCAL_TOFE_inyear_201418 above this       Net issuance securities and use deposits</t>
  </si>
  <si>
    <t xml:space="preserve">         African Union levy</t>
  </si>
  <si>
    <t>238111 Marriot Hotel</t>
  </si>
  <si>
    <t xml:space="preserve">      Of which Rwanda National Police Revenue</t>
  </si>
  <si>
    <t xml:space="preserve">     Of which  Rwanda Development Board Revenue</t>
  </si>
  <si>
    <t>Rwanda National Police Revenue</t>
  </si>
  <si>
    <t>Rwanda Development Board Revenue</t>
  </si>
  <si>
    <t>Of which Strategic reserve  Fuel refilling</t>
  </si>
  <si>
    <t>BRD Recapitalisation</t>
  </si>
  <si>
    <t>Budgetary loan [ Priority Skills, , P4R  Agric and Energy ]</t>
  </si>
  <si>
    <t xml:space="preserve"> JICA (Nutrition)</t>
  </si>
  <si>
    <t>of Which  RRA Other  Administrative fee</t>
  </si>
  <si>
    <t>of Which  RMPGP(Mining board)</t>
  </si>
  <si>
    <t>of Which  RCS</t>
  </si>
  <si>
    <t>Of which Strategic reserve Petroleum Levy/Construction</t>
  </si>
  <si>
    <t>of which Strategic reserves fuel sales</t>
  </si>
  <si>
    <t>Of which Strategic reserve fuel  Stock purchase</t>
  </si>
  <si>
    <t>Of which Strategic reserve fuel stock Sales</t>
  </si>
  <si>
    <t>Overall deficit (payment order-5years average)</t>
  </si>
  <si>
    <t>Total</t>
  </si>
  <si>
    <t>Domestic Debt Repayment</t>
  </si>
  <si>
    <t>External Debt Repayment</t>
  </si>
  <si>
    <t>Domestic T-bills</t>
  </si>
  <si>
    <t>Domestic T-bonds</t>
  </si>
  <si>
    <t>Domestic-Overdraft</t>
  </si>
  <si>
    <t>Domestic Corporate Loans</t>
  </si>
  <si>
    <t>External Interest</t>
  </si>
  <si>
    <t xml:space="preserve">    Direct taxes</t>
  </si>
  <si>
    <t xml:space="preserve">    Taxes on goods and services</t>
  </si>
  <si>
    <t xml:space="preserve">    Taxes on international trade</t>
  </si>
  <si>
    <t xml:space="preserve">  Total Grants</t>
  </si>
  <si>
    <t>Budgetary Grants</t>
  </si>
  <si>
    <t>Capital Grants</t>
  </si>
  <si>
    <t>FISC_Rwametric_Mdata below</t>
  </si>
  <si>
    <t>Of Which Global Fund</t>
  </si>
  <si>
    <t xml:space="preserve">       Marriot  Hotel Loan Repayement (princ.)</t>
  </si>
  <si>
    <t>fr IMF website, verified Sept 9,2019</t>
  </si>
  <si>
    <t>Interest due US$ (excl. IMF) in mln US$</t>
  </si>
  <si>
    <t xml:space="preserve">of which Interest on Marriot </t>
  </si>
  <si>
    <t>of which Marriot Debt</t>
  </si>
  <si>
    <t xml:space="preserve">  Repayement of Marriotte Debt</t>
  </si>
  <si>
    <t>Excluding Marriott Net lending</t>
  </si>
  <si>
    <t>Excluding Marriott and PKO</t>
  </si>
  <si>
    <t>Overall deficit Excluding Marriott&amp;PKO(-5years average)</t>
  </si>
  <si>
    <t>Overall deficit Excluding Marriott(-5years average)</t>
  </si>
  <si>
    <t>Of which Marriott Equity Kenya</t>
  </si>
  <si>
    <t xml:space="preserve">Of Which Equity Kenya </t>
  </si>
  <si>
    <t>of Which Equity Kenya</t>
  </si>
  <si>
    <t>Of which Other: (incl Transfers Agaciro Fund)</t>
  </si>
  <si>
    <t>GFS CODE</t>
  </si>
  <si>
    <t xml:space="preserve"> GFS DESCRIPTOR</t>
  </si>
  <si>
    <t>REVENUE [11 + 12 + 13 + 14]</t>
  </si>
  <si>
    <t>Taxes  [111 + 112 + 113 + 114 + 115 + 116]</t>
  </si>
  <si>
    <t>Taxes on income, profits, and capital gains [1111 + 1112 + 1113]</t>
  </si>
  <si>
    <t xml:space="preserve">Taxes on income: Payable by individuals </t>
  </si>
  <si>
    <t xml:space="preserve">Taxes on income: Payable by corporations and other enterprises </t>
  </si>
  <si>
    <t>Taxes on income: Other</t>
  </si>
  <si>
    <t>Taxes on property [1131 + 1132 + 1133 + 1134 + 1135 + 1136]</t>
  </si>
  <si>
    <t xml:space="preserve">Taxes on property:  Recurrent taxes on immovable property </t>
  </si>
  <si>
    <t xml:space="preserve">Taxes on property:  Recurrent taxes on net wealth </t>
  </si>
  <si>
    <t xml:space="preserve">Taxes on property:  Estate, inheritance, and gift taxes </t>
  </si>
  <si>
    <t xml:space="preserve">Taxes on property:  Other nonrecurrent taxes on property </t>
  </si>
  <si>
    <t xml:space="preserve">Taxes on property:  Other recurrent taxes on property </t>
  </si>
  <si>
    <t>Taxes on goods and services:  General taxes on goods and services  [11411 + 11412 + 11413]</t>
  </si>
  <si>
    <t xml:space="preserve">General taxes on goods and services:  Value-added taxes </t>
  </si>
  <si>
    <t xml:space="preserve">General taxes on goods and services:  Sales taxes </t>
  </si>
  <si>
    <t xml:space="preserve">General taxes on goods and services:  Turnover &amp; other general taxes on G &amp; S </t>
  </si>
  <si>
    <t>General taxes on goods and services: Taxes on financial and capital transactions</t>
  </si>
  <si>
    <t xml:space="preserve">Taxes on goods and services:  Excises </t>
  </si>
  <si>
    <t xml:space="preserve">Taxes on goods and services:  Profits of fiscal monopolies </t>
  </si>
  <si>
    <t xml:space="preserve">Taxes on goods and services:  Taxes on specific services </t>
  </si>
  <si>
    <t>Taxes on goods and services and on permission to use goods or perform activities  [11451 + 11452]</t>
  </si>
  <si>
    <t xml:space="preserve">Taxes on use and permission of goods and services:  Motor vehicles taxes </t>
  </si>
  <si>
    <t xml:space="preserve">Taxes on use and permission of goods and services:  Other </t>
  </si>
  <si>
    <t xml:space="preserve">Taxes on goods and services:  Other taxes on goods and services </t>
  </si>
  <si>
    <t>Taxes on international trade and transactions [1151 + 1152 + 1153 + 1154 + 1155 + 1156]</t>
  </si>
  <si>
    <t xml:space="preserve">Taxes on international trade and transactions: Customs and other import duties </t>
  </si>
  <si>
    <t xml:space="preserve">Taxes on international trade and transactions: Taxes on exports </t>
  </si>
  <si>
    <t xml:space="preserve">Taxes on international trade and transactions: Profits of export or import monopolies </t>
  </si>
  <si>
    <t xml:space="preserve">Taxes on international trade and transactions: Exchange profits </t>
  </si>
  <si>
    <t xml:space="preserve">Taxes on international trade and transactions: Exchange taxes </t>
  </si>
  <si>
    <t xml:space="preserve">Taxes on international trade and transactions: Other taxes on international trade and transactions </t>
  </si>
  <si>
    <t>Social contributions [121 + 122]</t>
  </si>
  <si>
    <t>Social security contributions [1211 + 1212 + 1213 + 1214]</t>
  </si>
  <si>
    <t xml:space="preserve">Social security contributions:  Employee contributions </t>
  </si>
  <si>
    <t xml:space="preserve">Social security contributions:  Employer contributions </t>
  </si>
  <si>
    <t xml:space="preserve">Social security contributions:  Self-employed or nonemployed contributions </t>
  </si>
  <si>
    <t xml:space="preserve">Social security contributions:  Unallocable contributions </t>
  </si>
  <si>
    <t>Other social contributions [1221 + 1222 + 1223]</t>
  </si>
  <si>
    <t xml:space="preserve">Other social contributions : Employee contributions </t>
  </si>
  <si>
    <t xml:space="preserve">Other social contributions : Employer contributions </t>
  </si>
  <si>
    <t xml:space="preserve">Other social contributions : Imputed contributions </t>
  </si>
  <si>
    <t>Grants [131 + 132 + 133]</t>
  </si>
  <si>
    <t>Grants from foreign governments [1311 + 1312]</t>
  </si>
  <si>
    <t xml:space="preserve">Grants from foreign governments: Current </t>
  </si>
  <si>
    <t xml:space="preserve">Grants from foreign governments: Capital </t>
  </si>
  <si>
    <t>Grants from international organizations [1321 + 1322]</t>
  </si>
  <si>
    <t xml:space="preserve">Grants from international organizations: Current </t>
  </si>
  <si>
    <t xml:space="preserve">Grants from international organizations: Capital </t>
  </si>
  <si>
    <t>Grants from other general government units [1331 + 1332]</t>
  </si>
  <si>
    <t xml:space="preserve">Grants from other general government units: Current </t>
  </si>
  <si>
    <t xml:space="preserve">Grants from other general government units: Capital </t>
  </si>
  <si>
    <t>Other revenue [141 + 142 + 143 + 144 + 145]</t>
  </si>
  <si>
    <t>Other revenue: Property income [1411 + 1412 + 1413 + 1414 + 1415]</t>
  </si>
  <si>
    <t xml:space="preserve">Other revenue: Property income: Interest </t>
  </si>
  <si>
    <t>Other Revenue: Property income: Interest from nonresidents</t>
  </si>
  <si>
    <t>Other Revenue: Property Income: Interest from residents other than general government</t>
  </si>
  <si>
    <t>Other Revenue: Property Income: Interest from other general government units</t>
  </si>
  <si>
    <t xml:space="preserve">Other revenue: Property income: Dividends </t>
  </si>
  <si>
    <t xml:space="preserve">Other revenue: Property income: Withdrawals from income of quasi-corporations </t>
  </si>
  <si>
    <t xml:space="preserve">Other revenue: Property income: Property income attrib to insurance policyholders </t>
  </si>
  <si>
    <t xml:space="preserve">Other revenue: Property income: Rent </t>
  </si>
  <si>
    <t>Other Revenue: Property income: Reinvested earnings on foreign direct investment</t>
  </si>
  <si>
    <t>Other revenue: Sales of goods and services [1421 + 1422 + 1423 + 1424]</t>
  </si>
  <si>
    <t xml:space="preserve">Other revenue: Sales of goods and services: Sales of market establishments </t>
  </si>
  <si>
    <t xml:space="preserve">Other revenue: Sales of goods and services: Administrative fees </t>
  </si>
  <si>
    <t xml:space="preserve">Other revenue: Sales of goods and services: Incidental sales by nonmarket establishments </t>
  </si>
  <si>
    <t xml:space="preserve">Other revenue: Sales of goods and services: Imputed sales of goods and services </t>
  </si>
  <si>
    <t xml:space="preserve">Other revenue: Fines, penalties, and forfeits </t>
  </si>
  <si>
    <t>Transfers not elsewhere classified [1441 + 1442]</t>
  </si>
  <si>
    <t xml:space="preserve">Transfers: Current </t>
  </si>
  <si>
    <t>Transfers: Current: Subsidies</t>
  </si>
  <si>
    <t>Transfers: Current: Other</t>
  </si>
  <si>
    <t xml:space="preserve">Transfers : Capital </t>
  </si>
  <si>
    <t>Insurance and standardized guarantee schemes</t>
  </si>
  <si>
    <t>Insurance and standardized guarantees: Premiums, fees, and current claims</t>
  </si>
  <si>
    <t>Insurance and standardized guarantees: Premiums</t>
  </si>
  <si>
    <t>Insurance and standardized guarantees: Fees for standardized guarantee schemes</t>
  </si>
  <si>
    <t>Insurance and standardized guarantees: Current claims</t>
  </si>
  <si>
    <t>Insurance and standardized guarantee schemes: Capital claims</t>
  </si>
  <si>
    <t>EXPENSE [21 + 22 + 23 + 24 + 25 + 26 + 27 + 28]</t>
  </si>
  <si>
    <t>Compensation of employees [211 + 212]</t>
  </si>
  <si>
    <t>Compensation of employees: Wages and salaries [2111 + 2112]</t>
  </si>
  <si>
    <t>Compensation of employees: Employers' social contributions [2121 + 2122]</t>
  </si>
  <si>
    <t xml:space="preserve">Compensation of employees: Actual employers' social contributions </t>
  </si>
  <si>
    <t xml:space="preserve">Compensation of employees: Imputed employers' social contributions </t>
  </si>
  <si>
    <t>Interest [241 + 242 + 243]</t>
  </si>
  <si>
    <t xml:space="preserve">Interest : To nonresidents </t>
  </si>
  <si>
    <t xml:space="preserve">Interest : To residents other than general government </t>
  </si>
  <si>
    <t xml:space="preserve">Interest : To other general government units </t>
  </si>
  <si>
    <t>Subsidies [251 + 252]</t>
  </si>
  <si>
    <t>Subsidies: To public corporations [2511 + 2512]</t>
  </si>
  <si>
    <t>Subsidies: To private enterprises [2521 + 2522]</t>
  </si>
  <si>
    <t>Grants [262 + 262 + 263]</t>
  </si>
  <si>
    <t>To foreign governments [2611 + 2612]</t>
  </si>
  <si>
    <t xml:space="preserve">To foreign governments :  Current </t>
  </si>
  <si>
    <t xml:space="preserve">To foreign governments :  Capital </t>
  </si>
  <si>
    <t>To international organizations  [2621 + 2622]</t>
  </si>
  <si>
    <t xml:space="preserve">To international organizations : Current </t>
  </si>
  <si>
    <t xml:space="preserve">To international organizations : Capital </t>
  </si>
  <si>
    <t>To other general government units [2631 + 2632]</t>
  </si>
  <si>
    <t xml:space="preserve">To other general government units: Current </t>
  </si>
  <si>
    <t xml:space="preserve">To other general government units: Capital </t>
  </si>
  <si>
    <t>Social benefits [271 + 272 + 273]</t>
  </si>
  <si>
    <t>Social benefits: Social security benefits [2711 + 2712]</t>
  </si>
  <si>
    <t>Social benefits: Social assistance benefits [2721 + 2722]</t>
  </si>
  <si>
    <t>Social benefits: Employer social benefits [2731 + 2732]</t>
  </si>
  <si>
    <t>Other expense [281 + 282]</t>
  </si>
  <si>
    <t>Other expense:  Property expense other than interest [2811 +2812 +2813+ 2814]</t>
  </si>
  <si>
    <t>Other expense:  Property expense other than interest: Dividends (public corporations only)</t>
  </si>
  <si>
    <t>Other expense:  Property expense other than interest: Withdrawals from income of quasi-corp. (public corp. only)</t>
  </si>
  <si>
    <t>Other expense:  Property expense other than interest: Property expense for investment income disbursements</t>
  </si>
  <si>
    <t>Other expense:  Property expense other than interest: Rent</t>
  </si>
  <si>
    <t>Other expense: Property expense other than interest: Reinvested earnings on FDI</t>
  </si>
  <si>
    <t>Other expense:  Transfers not elsewhere classified [2821 + 2822]</t>
  </si>
  <si>
    <t xml:space="preserve">Other expense:  Transfers not elsewhere classified:  Current </t>
  </si>
  <si>
    <t xml:space="preserve">Other expense:  Transfers not elsewhere classified:  Capital </t>
  </si>
  <si>
    <t>Other Expense: Premiums, fees, and claims related to nonlife insurance and standardized guarantee schemes</t>
  </si>
  <si>
    <t xml:space="preserve">Other Expense: Premiums, fees, and current claims </t>
  </si>
  <si>
    <t>Other Expense: Premiums, fees, and current claims: Premiums</t>
  </si>
  <si>
    <t>Other Expense: Premiums, fees, and current claims: Fees for standardized guarantee schemes</t>
  </si>
  <si>
    <t>Other Expense: Premiums, fees, and current claims: Current claims</t>
  </si>
  <si>
    <t>Other Expense: Premiums, fees, and claims: Capital claims</t>
  </si>
  <si>
    <t>CHANGE IN NET WORTH: TRANSACTIONS [31 + 32 - 33]</t>
  </si>
  <si>
    <t>Transactions - Net acquisition of nonfinancial assets [311 + 312 + 313 + 314]</t>
  </si>
  <si>
    <t>Transactions - Fixed assets [311A - 311B - 311C] OR [3111 + 3112 + 3113 + 3114]</t>
  </si>
  <si>
    <t>311A</t>
  </si>
  <si>
    <t>Transactions - Acquisitions: fixed assets [3111A + 3112A + 3113A]</t>
  </si>
  <si>
    <t>311B</t>
  </si>
  <si>
    <t>Transactions - Disposals: fixed assets [3111B + 3112B + 3113B]</t>
  </si>
  <si>
    <t>311C</t>
  </si>
  <si>
    <t>Transactions - Consumption of fixed capital (CFC): fixed assets [3111C + 3112C + 3113C]</t>
  </si>
  <si>
    <t>Transactions - Fixed assets: Buildings and structures [3111A - 3111B - 3111C]</t>
  </si>
  <si>
    <t>3111A</t>
  </si>
  <si>
    <t xml:space="preserve">Transactions - Acquisitions: buildings and structures </t>
  </si>
  <si>
    <t>3111B</t>
  </si>
  <si>
    <t xml:space="preserve">Transactions - Disposals: buildings and structures </t>
  </si>
  <si>
    <t>3111C</t>
  </si>
  <si>
    <t xml:space="preserve">Transactions - CFC: buildings and structures </t>
  </si>
  <si>
    <t>Transactions - Fixed assets:  Machinery and equipment</t>
  </si>
  <si>
    <t>3112A</t>
  </si>
  <si>
    <t xml:space="preserve">Transactions - Acquisitions: machinery and equipment </t>
  </si>
  <si>
    <t>3112B</t>
  </si>
  <si>
    <t xml:space="preserve">Transactions - Disposals: machinery and equipment </t>
  </si>
  <si>
    <t>3112C</t>
  </si>
  <si>
    <t xml:space="preserve">Transactions - CFC: machinery and equipment </t>
  </si>
  <si>
    <t>Transactions - Fixed assets:  Other fixed assets  [3113A - 3113B - 3113C]</t>
  </si>
  <si>
    <t>3113A</t>
  </si>
  <si>
    <t xml:space="preserve">Transactions - Acquisitions: other fixed assets </t>
  </si>
  <si>
    <t>3113B</t>
  </si>
  <si>
    <t xml:space="preserve">Transactions - Disposals: other fixed assets </t>
  </si>
  <si>
    <t>3113C</t>
  </si>
  <si>
    <t xml:space="preserve">Transactions - CFC: other fixed assets </t>
  </si>
  <si>
    <t>Transactions - Fixed assets:  Weapons systems</t>
  </si>
  <si>
    <t>3114A</t>
  </si>
  <si>
    <t>Transactions - Acquisitions: other fixed assets: Weapons systems</t>
  </si>
  <si>
    <t>3114B</t>
  </si>
  <si>
    <t>Transactions - Disposals: other fixed assets:  Weapons systems</t>
  </si>
  <si>
    <t>3114C</t>
  </si>
  <si>
    <t>Transactions - CFC: other fixed assets:  Weapons systems</t>
  </si>
  <si>
    <t xml:space="preserve">Transactions - Inventories </t>
  </si>
  <si>
    <t>312A</t>
  </si>
  <si>
    <t>Transactions - Acquisition: Inventories</t>
  </si>
  <si>
    <t>312B</t>
  </si>
  <si>
    <t>Transactions - Disposals: Inventories</t>
  </si>
  <si>
    <t>Transactions - Valuables [313A - 313B]</t>
  </si>
  <si>
    <t>313A</t>
  </si>
  <si>
    <t xml:space="preserve">Transactions - Acquisitions: valuables </t>
  </si>
  <si>
    <t>313B</t>
  </si>
  <si>
    <t xml:space="preserve">Transactions - Disposals: valuables </t>
  </si>
  <si>
    <t>Transactions - Nonproduced assets [314A - 314B - 314C]</t>
  </si>
  <si>
    <t>314A</t>
  </si>
  <si>
    <t>Transactions - Acquisitions: nonproduced assets [3141A + 3142A + 3143A + 3144A]</t>
  </si>
  <si>
    <t>314B</t>
  </si>
  <si>
    <t>Transactions - Disposals: nonproduced assets [3141B + 3142B + 3143B + 3144B]</t>
  </si>
  <si>
    <t>Transactions - Nonproduced assets: Land  [3141A -3141B - 3141C]</t>
  </si>
  <si>
    <t>3141A</t>
  </si>
  <si>
    <t xml:space="preserve">Transactions - Acquisitions: land </t>
  </si>
  <si>
    <t>3141B</t>
  </si>
  <si>
    <t xml:space="preserve">Transactions - Disposals: land </t>
  </si>
  <si>
    <t>Transactions - Nonproduced assets: Mineral and energy resources [3142A - 3142B - 3142C]</t>
  </si>
  <si>
    <t>3142A</t>
  </si>
  <si>
    <t>Transactions - Acquisitions: Mineral and energy resources</t>
  </si>
  <si>
    <t>3142B</t>
  </si>
  <si>
    <t xml:space="preserve">Transactions - Disposals: Mineral and energy resources </t>
  </si>
  <si>
    <t>Transactions - Nonproduced assets: Other naturally occurring assets  [3143A - 3143B]</t>
  </si>
  <si>
    <t>3143A</t>
  </si>
  <si>
    <t xml:space="preserve">Transactions - Acquisitions: other naturally occurring assets </t>
  </si>
  <si>
    <t>3143B</t>
  </si>
  <si>
    <t xml:space="preserve">Transactions - Disposals: other naturally occurring assets </t>
  </si>
  <si>
    <t>Transactions - Nonproduced assets: Intangible nonproduced assets  [3144A - 3144B]</t>
  </si>
  <si>
    <t>3144A</t>
  </si>
  <si>
    <t xml:space="preserve">Transactions - Acquisitions: intangible nonproduced assets </t>
  </si>
  <si>
    <t>3144B</t>
  </si>
  <si>
    <t xml:space="preserve">Transactions - Disposals: intangible nonproduced assets </t>
  </si>
  <si>
    <t>Transactions - Net acquisition of financial assets [3202 + 3203 + 3204 + 3205 + 3206 + 3207 + 3208]</t>
  </si>
  <si>
    <t>32A</t>
  </si>
  <si>
    <t xml:space="preserve">Transactions - Disbursements: Net acquisition of financial assets </t>
  </si>
  <si>
    <t>32B</t>
  </si>
  <si>
    <t xml:space="preserve">Transactions - Repayments: Net acquisition of financial assets </t>
  </si>
  <si>
    <t>Transactions - Net acquisition of financial assets :  Monetary gold and SDRs</t>
  </si>
  <si>
    <t xml:space="preserve">Transactions - Net acquisition of financial assets :  Currency and deposits [3212+3222] </t>
  </si>
  <si>
    <t>3202A</t>
  </si>
  <si>
    <t xml:space="preserve">Transactions - Disbursements: Net acquisition of financial assets :  Currency and deposits  </t>
  </si>
  <si>
    <t>3202B</t>
  </si>
  <si>
    <t xml:space="preserve">Transactions - Repayments: Net acquisition of financial assets :  Currency and deposits  </t>
  </si>
  <si>
    <t xml:space="preserve">Transactions - Net acquisition of financial assets :  Debt Securities [3213+3223] </t>
  </si>
  <si>
    <t>3203A</t>
  </si>
  <si>
    <t xml:space="preserve">Transactions - Disbursements: Net acquisition of financial assets :  Debt Securities  </t>
  </si>
  <si>
    <t>3203B</t>
  </si>
  <si>
    <t xml:space="preserve">Transactions - Repayments: Net acquisition of financial assets :  Debt Securities  </t>
  </si>
  <si>
    <t xml:space="preserve">Transactions - Net acquisition of financial assets :  Loans [3214+3224] </t>
  </si>
  <si>
    <t>3204A</t>
  </si>
  <si>
    <t xml:space="preserve">Transactions - Disbursements: Net acquisition of financial assets :  Loans  </t>
  </si>
  <si>
    <t>3204B</t>
  </si>
  <si>
    <t xml:space="preserve">Transactions - Repayments: Net acquisition of financial assets :  Loans  </t>
  </si>
  <si>
    <t xml:space="preserve">Transactions - Net acquisition of financial assets :  Equity and investment fund shares [3215+3225] </t>
  </si>
  <si>
    <t>3205A</t>
  </si>
  <si>
    <t xml:space="preserve">Transactions - Disbursements: Net acquisition of financial assets :  Equity and investment fund shares  </t>
  </si>
  <si>
    <t>3205B</t>
  </si>
  <si>
    <t xml:space="preserve">Transactions - Repayments: Net acquisition of financial assets :  Equity and investment fund shares  </t>
  </si>
  <si>
    <t xml:space="preserve">Transactions - Net acquisition of financial assets :  Insurance, pension, and standardized guarantee schemes  [3216+3226] </t>
  </si>
  <si>
    <t>3206A</t>
  </si>
  <si>
    <t xml:space="preserve">Transactions - Disbursements: Net acquisition of financial assets :  Insurance, pension, and standardized guarantee schemes   </t>
  </si>
  <si>
    <t>3206B</t>
  </si>
  <si>
    <t xml:space="preserve">Transactions - Repayments: Net acquisition of financial assets :  Insurance, pension, and standardized guarantee schemes   </t>
  </si>
  <si>
    <t xml:space="preserve">Transactions - Net acquisition of financial assets :  Financial derivatives and employee stock options [3217+3227] </t>
  </si>
  <si>
    <t>3207A</t>
  </si>
  <si>
    <t>Transactions - Disbursements: Net acquisition of financial assets :  Financial derivatives and employee stock options</t>
  </si>
  <si>
    <t>3207B</t>
  </si>
  <si>
    <t>Transactions - Repayments: Net acquisition of financial assets :  Financial derivatives and employee stock options</t>
  </si>
  <si>
    <t xml:space="preserve">Transactions - Net acquisition of financial assets :  Other accounts receivable [3218+3228] </t>
  </si>
  <si>
    <t>3208A</t>
  </si>
  <si>
    <t xml:space="preserve">Transactions - Disbursements: Net acquisition of financial assets :  Other accounts receivable  </t>
  </si>
  <si>
    <t>3208B</t>
  </si>
  <si>
    <t xml:space="preserve">Transactions - Repayments: Net acquisition of financial assets :  Other accounts receivable  </t>
  </si>
  <si>
    <t>Transactions - Net acquisition of financial assets :  Domestic [3212 + 3213 + 3214 + 3215 + 3216 + 3217 + 3218]</t>
  </si>
  <si>
    <t>321A</t>
  </si>
  <si>
    <t xml:space="preserve">Transactions - Disbursements: Net acquisition of financial assets :  Domestic </t>
  </si>
  <si>
    <t>321B</t>
  </si>
  <si>
    <t xml:space="preserve">Transactions - Repayments: Net acquisition of financial assets :  Domestic </t>
  </si>
  <si>
    <t xml:space="preserve">Transactions - Net acquisition of financial assets :  Domestic - Currency and deposits </t>
  </si>
  <si>
    <t>3212A</t>
  </si>
  <si>
    <t xml:space="preserve">Transactions - Disbursements: Net acquisition of financial assets :  Domestic - Currency and deposits </t>
  </si>
  <si>
    <t>3212B</t>
  </si>
  <si>
    <t xml:space="preserve">Transactions - Repayments: Net acquisition of financial assets :  Domestic - Currency and deposits </t>
  </si>
  <si>
    <t xml:space="preserve">Transactions - Net acquisition of financial assets :  Domestic - Debt Securities </t>
  </si>
  <si>
    <t>3213A</t>
  </si>
  <si>
    <t xml:space="preserve">Transactions - Disbursements: Net acquisition of financial assets :  Domestic - Debt Securities  </t>
  </si>
  <si>
    <t>3213B</t>
  </si>
  <si>
    <t>Transactions - Repayments: Net acquisition of financial assets :  Domestic - Debt Securities</t>
  </si>
  <si>
    <t xml:space="preserve">Transactions - Net acquisition of financial assets :  Domestic - Loans </t>
  </si>
  <si>
    <t>3214A</t>
  </si>
  <si>
    <t xml:space="preserve">Transactions - Disbursements: Net acquisition of financial assets :  Domestic - Loans </t>
  </si>
  <si>
    <t>3214B</t>
  </si>
  <si>
    <t xml:space="preserve">Transactions - Repayments: Net acquisition of financial assets :  Domestic - Loans </t>
  </si>
  <si>
    <t xml:space="preserve">Transactions - Net acquisition of financial assets :  Domestic - Equity and investment fund shares </t>
  </si>
  <si>
    <t>3215A</t>
  </si>
  <si>
    <t xml:space="preserve">Transactions - Disbursements: Net acquisition of financial assets :  Domestic - Equity and investment fund shares </t>
  </si>
  <si>
    <t>3215B</t>
  </si>
  <si>
    <t xml:space="preserve">Transactions - Repayments: Net acquisition of financial assets :  Domestic - Equity and investment fund shares </t>
  </si>
  <si>
    <t xml:space="preserve">Transactions - Net acquisition of financial assets :  Domestic - Insurance, pension, and standardized guarantee schemes  </t>
  </si>
  <si>
    <t>3216A</t>
  </si>
  <si>
    <t xml:space="preserve">Transactions - Disbursements: Net acquisition of financial assets :  Domestic - Insurance, pension, and standardized guarantee schemes  </t>
  </si>
  <si>
    <t>3216B</t>
  </si>
  <si>
    <t xml:space="preserve">Transactions - Repayments: Net acquisition of financial assets :  Domestic - Insurance, pension, and standardized guarantee schemes </t>
  </si>
  <si>
    <t>Transactions - Net acquisition of financial assets :  Domestic - Financial derivatives and employee stock options</t>
  </si>
  <si>
    <t>3217A</t>
  </si>
  <si>
    <t>Transactions - Disbursements: Net acquisition of financial assets :  Domestic - Financial derivatives and employee stock options</t>
  </si>
  <si>
    <t>3217B</t>
  </si>
  <si>
    <t>Transactions - Repayments: Net acquisition of financial assets :  Domestic - Financial derivatives and employee stock options</t>
  </si>
  <si>
    <t xml:space="preserve">Transactions - Net acquisition of financial assets :  Domestic - Other accounts receivable </t>
  </si>
  <si>
    <t>3218A</t>
  </si>
  <si>
    <t xml:space="preserve">Transactions - Disbursements: Net acquisition of financial assets :  Domestic - Other accounts receivable </t>
  </si>
  <si>
    <t>3218B</t>
  </si>
  <si>
    <t xml:space="preserve">Transactions - Repayments: Net acquisition of financial assets :  Domestic - Other accounts receivable </t>
  </si>
  <si>
    <t>Transactions - Net acquisition of financial assets :  Foreign [3222 + 3223 + 3224 + 3225 + 3226 + 3227 + 3228]</t>
  </si>
  <si>
    <t>322A</t>
  </si>
  <si>
    <t xml:space="preserve">Transactions - Disbursements: Net acquisition of financial assets :  Foreign </t>
  </si>
  <si>
    <t>322B</t>
  </si>
  <si>
    <t xml:space="preserve">Transactions - Repayments: Net acquisition of financial assets :  Foreign </t>
  </si>
  <si>
    <t>Transactions - Net acquisition of financial assets :  Foreign - Monetary gold and SDRs</t>
  </si>
  <si>
    <t xml:space="preserve">Transactions - Net acquisition of financial assets :  Foreign - Currency and deposits </t>
  </si>
  <si>
    <t>3222A</t>
  </si>
  <si>
    <t xml:space="preserve">Transactions - Disbursements: Net acquisition of financial assets :  Foreign - Currency and deposits </t>
  </si>
  <si>
    <t>3222B</t>
  </si>
  <si>
    <t xml:space="preserve">Transactions - Repayments: Net acquisition of financial assets :  Foreign - Currency and deposits </t>
  </si>
  <si>
    <t>Transactions - Net acquisition of financial assets :  Foreign - Debt Securities</t>
  </si>
  <si>
    <t>3223A</t>
  </si>
  <si>
    <t xml:space="preserve">Transactions - Disbursements: Net acquisition of financial assets :  Foreign - Debt Securities </t>
  </si>
  <si>
    <t>3223B</t>
  </si>
  <si>
    <t>Transactions - Repayments: Net acquisition of financial assets :  Foreign - Debt Securities</t>
  </si>
  <si>
    <t xml:space="preserve">Transactions - Net acquisition of financial assets :  Foreign - Loans </t>
  </si>
  <si>
    <t>3224A</t>
  </si>
  <si>
    <t xml:space="preserve">Transactions - Disbursements: Net acquisition of financial assets :  Foreign - Loans </t>
  </si>
  <si>
    <t>3224B</t>
  </si>
  <si>
    <t xml:space="preserve">Transactions - Repayments: Net acquisition of financial assets :  Foreign - Loans </t>
  </si>
  <si>
    <t>Transactions - Net acquisition of financial assets :  Foreign - Equity and investment fund shares</t>
  </si>
  <si>
    <t>3225A</t>
  </si>
  <si>
    <t>Transactions - Disbursements: Net acquisition of financial assets :  Foreign - Equity and investment fund shares</t>
  </si>
  <si>
    <t>3225B</t>
  </si>
  <si>
    <t xml:space="preserve">Transactions - Repayments: Net acquisition of financial assets :  Foreign - Equity and investment fund shares </t>
  </si>
  <si>
    <t xml:space="preserve">Transactions - Net acquisition of financial assets :  Foreign - Insurance, pension, and standardized guarantee schemes </t>
  </si>
  <si>
    <t>3226A</t>
  </si>
  <si>
    <t xml:space="preserve">Transactions - Disbursements: Net acquisition of financial assets :  Foreign - Insurance, pension, and standardized guarantee schemes </t>
  </si>
  <si>
    <t>3226B</t>
  </si>
  <si>
    <t xml:space="preserve">Transactions - Repayments: Net acquisition of financial assets :  Foreign - Insurance, pension, and standardized guarantee schemes </t>
  </si>
  <si>
    <t xml:space="preserve">Transactions - Net acquisition of financial assets :  Foreign - Financial derivatives and employee stock options </t>
  </si>
  <si>
    <t>3227A</t>
  </si>
  <si>
    <t>Transactions - Disbursements: Net acquisition of financial assets :  Foreign - Financial derivatives and employee stock options</t>
  </si>
  <si>
    <t>3227B</t>
  </si>
  <si>
    <t>Transactions - Repayments: Net acquisition of financial assets :  Foreign - Financial derivatives and employee stock options</t>
  </si>
  <si>
    <t xml:space="preserve">Transactions - Net acquisition of financial assets :  Foreign - Other accounts receivable </t>
  </si>
  <si>
    <t>3228A</t>
  </si>
  <si>
    <t xml:space="preserve">Transactions - Disbursements: Net acquisition of financial assets :  Foreign - Other accounts receivable </t>
  </si>
  <si>
    <t>3228B</t>
  </si>
  <si>
    <t xml:space="preserve">Transactions - Repayments: Net acquisition of financial assets :  Foreign - Other accounts receivable </t>
  </si>
  <si>
    <t>Transactions - Net incurrence of liabilities [3322 + 3323 + 3324 + 3325 + 3326 + 3327 + 3328]</t>
  </si>
  <si>
    <t>33A</t>
  </si>
  <si>
    <t xml:space="preserve">Transactions - Disbursements: Net incurrence of liabilities </t>
  </si>
  <si>
    <t>33B</t>
  </si>
  <si>
    <t xml:space="preserve">Transactions - Repayments: Net incurrence of liabilities </t>
  </si>
  <si>
    <t>Transactions - Special Drawing Rights (SDRs)</t>
  </si>
  <si>
    <t xml:space="preserve">Transactions - Net incurrence of liabilities: Currency and deposits [3312+3322] </t>
  </si>
  <si>
    <t>3302A</t>
  </si>
  <si>
    <t xml:space="preserve">Transactions - Disbursements: Net incurrence of liabilities: Currency and deposits  </t>
  </si>
  <si>
    <t>3302B</t>
  </si>
  <si>
    <t xml:space="preserve">Transactions - Repayments: Net incurrence of liabilities: Currency and deposits  </t>
  </si>
  <si>
    <t xml:space="preserve">Transactions - Net incurrence of liabilities: Debt Securities [3313+3323] </t>
  </si>
  <si>
    <t>3303A</t>
  </si>
  <si>
    <t xml:space="preserve">Transactions - Disbursements: Net incurrence of liabilities: Debt Securities </t>
  </si>
  <si>
    <t>3303B</t>
  </si>
  <si>
    <t xml:space="preserve">Transactions - Repayments: Net incurrence of liabilities: Debt Securities </t>
  </si>
  <si>
    <t xml:space="preserve">Transactions - Net incurrence of liabilities: Loans [3314+3324] </t>
  </si>
  <si>
    <t>3304A</t>
  </si>
  <si>
    <t xml:space="preserve">Transactions - Disbursements: Net incurrence of liabilities: Loans  </t>
  </si>
  <si>
    <t>3304B</t>
  </si>
  <si>
    <t xml:space="preserve">Transactions - Repayments: Net incurrence of liabilities: Loans  </t>
  </si>
  <si>
    <t xml:space="preserve">Transactions - Net incurrence of liabilities: Equity and investment fund shares [3315+3325] </t>
  </si>
  <si>
    <t>3305A</t>
  </si>
  <si>
    <t xml:space="preserve">Transactions - Disbursements: Net incurrence of liabilities: Equity and investment fund shares  </t>
  </si>
  <si>
    <t>3305B</t>
  </si>
  <si>
    <t xml:space="preserve">Transactions - Repayments: Net incurrence of liabilities: Equity and investment fund shares </t>
  </si>
  <si>
    <t xml:space="preserve">Transactions - Net incurrence of liabilities: Insurance, pension, and standardized guarantee schemes  [3316+3326] </t>
  </si>
  <si>
    <t>3306A</t>
  </si>
  <si>
    <t xml:space="preserve">Transactions - Disbursements: Net incurrence of liabilities: Insurance, pension, and standardized guarantee schemes   </t>
  </si>
  <si>
    <t>3306B</t>
  </si>
  <si>
    <t xml:space="preserve">Transactions - Repayments: Net incurrence of liabilities: Insurance, pension, and standardized guarantee schemes  </t>
  </si>
  <si>
    <t xml:space="preserve">Transactions - Net incurrence of liabilities: Financial derivatives and employee stock options [3317+3327] </t>
  </si>
  <si>
    <t>3307A</t>
  </si>
  <si>
    <t>Transactions - Disbursements: Net incurrence of liabilities: Financial derivatives and employee stock options</t>
  </si>
  <si>
    <t>3307B</t>
  </si>
  <si>
    <t>Transactions - Repayments: Net incurrence of liabilities: Financial derivatives and employee stock options</t>
  </si>
  <si>
    <t xml:space="preserve">Transactions - Net incurrence of liabilities: Other accounts payable [3318+3328] </t>
  </si>
  <si>
    <t>3308A</t>
  </si>
  <si>
    <t xml:space="preserve">Transactions - Disbursements: Net incurrence of liabilities: Other accounts payable  </t>
  </si>
  <si>
    <t>3308B</t>
  </si>
  <si>
    <t xml:space="preserve">Transactions - Repayments: Net incurrence of liabilities: Other accounts payable  </t>
  </si>
  <si>
    <t>Transactions - Net incurrence of liabilities: Domestic [3313 + 3313 + 3314 + 3315 + 3316 + 3317 + 3318]</t>
  </si>
  <si>
    <t>331A</t>
  </si>
  <si>
    <t xml:space="preserve">Transactions - Disbursements: Net incurrence of liabilities: Domestic </t>
  </si>
  <si>
    <t>331B</t>
  </si>
  <si>
    <t xml:space="preserve">Transactions - Repayments: Net incurrence of liabilities: Domestic </t>
  </si>
  <si>
    <t xml:space="preserve">Transactions - Net incurrence of liabilities: Domestic - Currency and deposits </t>
  </si>
  <si>
    <t>3312A</t>
  </si>
  <si>
    <t xml:space="preserve">Transactions - Disbursements: Net incurrence of liabilities: Domestic - Currency and deposits </t>
  </si>
  <si>
    <t>3312B</t>
  </si>
  <si>
    <t xml:space="preserve">Transactions - Repayments: Net incurrence of liabilities: Domestic - Currency and deposits </t>
  </si>
  <si>
    <t>Transactions - Net incurrence of liabilities: Domestic - Debt Securities</t>
  </si>
  <si>
    <t>3313A</t>
  </si>
  <si>
    <t>Transactions - Disbursements: Net incurrence of liabilities: Domestic - Debt Securities</t>
  </si>
  <si>
    <t>3313B</t>
  </si>
  <si>
    <t xml:space="preserve">Transactions - Repayments: Net incurrence of liabilities: Domestic - Debt Securities </t>
  </si>
  <si>
    <t xml:space="preserve">Transactions - Net incurrence of liabilities: Domestic - Loans </t>
  </si>
  <si>
    <t>3314A</t>
  </si>
  <si>
    <t xml:space="preserve">Transactions - Disbursements: Net incurrence of liabilities: Domestic - Loans </t>
  </si>
  <si>
    <t>3314B</t>
  </si>
  <si>
    <t xml:space="preserve">Transactions - Repayments: Net incurrence of liabilities: Domestic - Loans </t>
  </si>
  <si>
    <t xml:space="preserve">Transactions - Net incurrence of liabilities: Domestic - Equity and investment fund shares </t>
  </si>
  <si>
    <t>3315A</t>
  </si>
  <si>
    <t>Transactions - Disbursements: Net incurrence of liabilities: Domestic - Equity and investment fund shares</t>
  </si>
  <si>
    <t>3315B</t>
  </si>
  <si>
    <t>Transactions - Repayments: Net incurrence of liabilities: Domestic - Equity and investment fund shares</t>
  </si>
  <si>
    <t xml:space="preserve">Transactions - Net incurrence of liabilities: Domestic - Insurance, pension, and standardized guarantee schemes </t>
  </si>
  <si>
    <t>3316A</t>
  </si>
  <si>
    <t xml:space="preserve">Transactions - Disbursements: Net incurrence of liabilities: Domestic - Insurance, pension, and standardized guarantee schemes </t>
  </si>
  <si>
    <t>3316B</t>
  </si>
  <si>
    <t xml:space="preserve">Transactions - Repayments: Net incurrence of liabilities: Domestic - Insurance, pension, and standardized guarantee schemes </t>
  </si>
  <si>
    <t>Transactions - Net incurrence of liabilities: Domestic - Financial derivatives and employee stock options</t>
  </si>
  <si>
    <t>3317A</t>
  </si>
  <si>
    <t>Transactions - Disbursements: Net incurrence of liabilities: Domestic - Financial derivatives and employee stock options</t>
  </si>
  <si>
    <t>3317B</t>
  </si>
  <si>
    <t>Transactions - Repayments: Net incurrence of liabilities: Domestic - Financial derivatives and employee stock options</t>
  </si>
  <si>
    <t xml:space="preserve">Transactions - Net incurrence of liabilities: Domestic - Other accounts payable </t>
  </si>
  <si>
    <t>3318A</t>
  </si>
  <si>
    <t xml:space="preserve">Transactions - Disbursements: Net incurrence of liabilities: Domestic - Other accounts payable </t>
  </si>
  <si>
    <t>3318B</t>
  </si>
  <si>
    <t xml:space="preserve">Transactions - Repayments: Net incurrence of liabilities: Domestic - Other accounts payable </t>
  </si>
  <si>
    <t>Transactions - Net incurrence of liabilities: Foreign [3322 + 3323 + 3324 + 3325 + 3326 +3327 +3328]</t>
  </si>
  <si>
    <t>332A</t>
  </si>
  <si>
    <t xml:space="preserve">Transactions - Disbursements: Net incurrence of liabilities: Foreign </t>
  </si>
  <si>
    <t>332B</t>
  </si>
  <si>
    <t xml:space="preserve">Transactions - Repayments: Net incurrence of liabilities: Foreign </t>
  </si>
  <si>
    <t>Transactions - Net incurrence of liabilities: Foreign  - Special Drawing Rights (SDRs)</t>
  </si>
  <si>
    <t xml:space="preserve">Transactions - Net incurrence of liabilities: Foreign  - Currency and deposits </t>
  </si>
  <si>
    <t>3322A</t>
  </si>
  <si>
    <t xml:space="preserve">Transactions - Disbursements: Net incurrence of liabilities: Foreign  - Currency and deposits </t>
  </si>
  <si>
    <t>3322B</t>
  </si>
  <si>
    <t xml:space="preserve">Transactions - Repayments: Net incurrence of liabilities: Foreign  - Currency and deposits </t>
  </si>
  <si>
    <t xml:space="preserve">Transactions - Net incurrence of liabilities: Foreign  - Debt Securities </t>
  </si>
  <si>
    <t>3323A</t>
  </si>
  <si>
    <t xml:space="preserve">Transactions - Disbursements: Net incurrence of liabilities: Foreign  - Debt Securities </t>
  </si>
  <si>
    <t>3323B</t>
  </si>
  <si>
    <t>Transactions - Repayments: Net incurrence of liabilities: Foreign  - Debt Securities</t>
  </si>
  <si>
    <t xml:space="preserve">Transactions - Net incurrence of liabilities: Foreign  - Loans </t>
  </si>
  <si>
    <t>3324A</t>
  </si>
  <si>
    <t xml:space="preserve">Transactions - Disbursements: Net incurrence of liabilities: Foreign  - Loans </t>
  </si>
  <si>
    <t>3324B</t>
  </si>
  <si>
    <t xml:space="preserve">Transactions - Repayments: Net incurrence of liabilities: Foreign  - Loans </t>
  </si>
  <si>
    <t>Transactions - Net incurrence of liabilities: Foreign  - Equity and investment fund shares</t>
  </si>
  <si>
    <t>3325A</t>
  </si>
  <si>
    <t xml:space="preserve">Transactions - Disbursements: Net incurrence of liabilities: Foreign  - Equity and investment fund shares </t>
  </si>
  <si>
    <t>3325B</t>
  </si>
  <si>
    <t xml:space="preserve">Transactions - Repayments: Net incurrence of liabilities: Foreign  - Equity and investment fund shares </t>
  </si>
  <si>
    <t xml:space="preserve">Transactions - Net incurrence of liabilities: Foreign  - Insurance, pension, and standardized guarantee schemes </t>
  </si>
  <si>
    <t>3326A</t>
  </si>
  <si>
    <t xml:space="preserve">Transactions - Disbursements: Net incurrence of liabilities: Foreign  - Insurance, pension, and standardized guarantee schemes </t>
  </si>
  <si>
    <t>3326B</t>
  </si>
  <si>
    <t xml:space="preserve">Transactions - Repayments: Net incurrence of liabilities: Foreign  - Insurance, pension, and standardized guarantee schemes </t>
  </si>
  <si>
    <t>Transactions - Net incurrence of liabilities: Foreign  - Financial derivatives and employee stock options</t>
  </si>
  <si>
    <t>3327A</t>
  </si>
  <si>
    <t>Transactions - Disbursements: Net incurrence of liabilities: Foreign  - Financial derivatives and employee stock options</t>
  </si>
  <si>
    <t>3327B</t>
  </si>
  <si>
    <t>Transactions - Repayments: Net incurrence of liabilities: Foreign  - Financial derivatives and employee stock options</t>
  </si>
  <si>
    <t xml:space="preserve">Transactions - Net incurrence of liabilities: Foreign  - Other accounts payable </t>
  </si>
  <si>
    <t>3328A</t>
  </si>
  <si>
    <t xml:space="preserve">Transactions - Disbursements: Net incurrence of liabilities: Foreign  - Other accounts payable </t>
  </si>
  <si>
    <t>3328B</t>
  </si>
  <si>
    <t xml:space="preserve">Transactions - Repayments: Net incurrence of liabilities: Foreign  - Other accounts payable </t>
  </si>
  <si>
    <t>GB</t>
  </si>
  <si>
    <t>Government Balance per national definition</t>
  </si>
  <si>
    <t>3M1</t>
  </si>
  <si>
    <t>Transactions - Memo Item: Own-account capital formation</t>
  </si>
  <si>
    <t>3M11</t>
  </si>
  <si>
    <t>Transactions - Memo Item: Own-account capital formation: Compensation of employees</t>
  </si>
  <si>
    <t>3M12</t>
  </si>
  <si>
    <t>Transactions - Memo Item: Own-account capital formation: Use of goods and services</t>
  </si>
  <si>
    <t>3M13</t>
  </si>
  <si>
    <t>Transactions - Memo Item: Own-account capital formation: Consumption of fixed capital</t>
  </si>
  <si>
    <t>3M14</t>
  </si>
  <si>
    <t>Transactions - Memo Item: Own-account capital formation: Other taxes minus other subsidies (on production)</t>
  </si>
  <si>
    <t>3M3</t>
  </si>
  <si>
    <t>Transactions - Memo Item: Debt at market value</t>
  </si>
  <si>
    <t>CHANGE IN NET WORTH: HOLDING GAINS [41 + 42 - 43]</t>
  </si>
  <si>
    <t>Holding Gains- Nonfinancial assets [411 + 412 + 413 + 414]</t>
  </si>
  <si>
    <t>Holding Gains- Nonfinancial assets:  Fixed assets [4111 + 4112 + 4113]</t>
  </si>
  <si>
    <t xml:space="preserve">Holding Gains- Nonfinancial assets:  Fixed assets:  Buildings and structures </t>
  </si>
  <si>
    <t xml:space="preserve">Holding Gains- Nonfinancial assets:  Fixed assets:  Machinery and equipment </t>
  </si>
  <si>
    <t xml:space="preserve">Holding Gains- Nonfinancial assets:  Fixed assets:  Other fixed assets </t>
  </si>
  <si>
    <t>Holding Gains - Nonfinancial assets : Fixed assets:  Weapons systems</t>
  </si>
  <si>
    <t xml:space="preserve">Holding Gains- Nonfinancial assets:  Inventories </t>
  </si>
  <si>
    <t xml:space="preserve">Holding Gains- Nonfinancial assets:  Valuables </t>
  </si>
  <si>
    <t>Holding Gains- Nonfinancial assets:  Nonproduced assets [4141 + 4142 + 4143 + 4144]</t>
  </si>
  <si>
    <t xml:space="preserve">Holding Gains- Nonfinancial assets:  Nonproduced assets:  Land </t>
  </si>
  <si>
    <t xml:space="preserve">Holding Gains- Nonfinancial assets:  Nonproduced assets:  Mineral and energy resources </t>
  </si>
  <si>
    <t xml:space="preserve">Holding Gains- Nonfinancial assets:  Nonproduced assets:  Other naturally occurring assets </t>
  </si>
  <si>
    <t xml:space="preserve">Holding Gains- Nonfinancial assets:  Nonproduced assets:  Intangible nonproduced assets </t>
  </si>
  <si>
    <t xml:space="preserve">Holding Gains- Financial assets [421+422+423] </t>
  </si>
  <si>
    <t xml:space="preserve">Holding Gains- Financial assets:  Monetary gold and SDRs </t>
  </si>
  <si>
    <t xml:space="preserve">Holding Gains- Financial assets:  Currency and deposits [4212+4222] </t>
  </si>
  <si>
    <t xml:space="preserve">Holding Gains- Financial assets:  Debt Securities  [4213+4223] </t>
  </si>
  <si>
    <t xml:space="preserve">Holding Gains- Financial assets:  Loans [4214+4224] </t>
  </si>
  <si>
    <t xml:space="preserve">Holding Gains- Financial assets:  Equity and investment fund shares [4215+4225] </t>
  </si>
  <si>
    <t xml:space="preserve">Holding Gains- Financial assets:   Insurance, pension, and standardized guarantee schemes  [4216+4226] </t>
  </si>
  <si>
    <t xml:space="preserve">Holding Gains- Financial assets:  Financial derivatives and employee stock options [4217+4227] </t>
  </si>
  <si>
    <t xml:space="preserve">Holding Gains- Financial assets:  Other accounts receivable [4218+4228] </t>
  </si>
  <si>
    <t>Holding Gains- Financial assets:  Domestic [4212 + 4213 + 4214 + 4215 + 4216 + 4217 + 4218]</t>
  </si>
  <si>
    <t xml:space="preserve">Holding Gains- Financial assets:  Domestic - Currency and deposits </t>
  </si>
  <si>
    <t xml:space="preserve">Holding Gains- Financial assets:  Domestic - Debt Securities  </t>
  </si>
  <si>
    <t xml:space="preserve">Holding Gains- Financial assets:  Domestic - Loans </t>
  </si>
  <si>
    <t xml:space="preserve">Holding Gains- Financial assets:  Domestic - Equity and investment fund shares </t>
  </si>
  <si>
    <t xml:space="preserve">Holding Gains- Financial assets:  Domestic -  Insurance, pension, and standardized guarantee schemes  </t>
  </si>
  <si>
    <t xml:space="preserve">Holding Gains- Financial assets:  Domestic - Financial derivatives and employee stock options </t>
  </si>
  <si>
    <t xml:space="preserve">Holding Gains- Financial assets:  Domestic - Other accounts receivable </t>
  </si>
  <si>
    <t>Holding Gains- Financial assets:  Foreign -  [4222 + 4223 + 4224 + 4225 + 4226 + 4227 + 4228]</t>
  </si>
  <si>
    <t>Holding Gains- Financial assets:  Foreign - Monetary gold and SDRs</t>
  </si>
  <si>
    <t xml:space="preserve">Holding Gains- Financial assets:  Foreign - Currency and deposits </t>
  </si>
  <si>
    <t xml:space="preserve">Holding Gains- Financial assets:  Foreign - Debt Securities </t>
  </si>
  <si>
    <t xml:space="preserve">Holding Gains- Financial assets:  Foreign - Loans </t>
  </si>
  <si>
    <t>Holding Gains- Financial assets:  Foreign - Equity and investment fund shares</t>
  </si>
  <si>
    <t xml:space="preserve">Holding Gains- Financial assets:  Foreign -  Insurance, pension, and standardized guarantee schemes </t>
  </si>
  <si>
    <t>Holding Gains- Financial assets:  Foreign - Financial derivatives and employee stock options</t>
  </si>
  <si>
    <t xml:space="preserve">Holding Gains- Financial assets:  Foreign - Other accounts receivable </t>
  </si>
  <si>
    <t xml:space="preserve">Holding Gains- Liabilities [431+432] </t>
  </si>
  <si>
    <t>Holding Gains- Liabilities :  Special Drawing Rights (SDRs)</t>
  </si>
  <si>
    <t xml:space="preserve">Holding Gains- Liabilities :  Currency and deposits [4312+4322] </t>
  </si>
  <si>
    <t xml:space="preserve">Holding Gains- Liabilities :  Debt Securities  [4313+4323] </t>
  </si>
  <si>
    <t xml:space="preserve">Holding Gains- Liabilities :  Loans [4314+4324] </t>
  </si>
  <si>
    <t xml:space="preserve">Holding Gains- Liabilities :  Equity and investment fund shares [4315+4325] </t>
  </si>
  <si>
    <t xml:space="preserve">Holding Gains- Liabilities :   Insurance, pension, and standardized guarantee schemes  [4316+4326] </t>
  </si>
  <si>
    <t xml:space="preserve">Holding Gains- Liabilities :  Financial derivatives and employee stock options [4317+4327] </t>
  </si>
  <si>
    <t xml:space="preserve">Holding Gains- Liabilities :  Other accounts payable [4318+4328] </t>
  </si>
  <si>
    <t>Holding Gains- Liabilities :  Domestic  [4312 + 4313 + 4314 + 4315 + 4316+ 4317 + 4318]</t>
  </si>
  <si>
    <t xml:space="preserve">Holding Gains- Liabilities :  Domestic  - Currency and deposits </t>
  </si>
  <si>
    <t xml:space="preserve">Holding Gains- Liabilities :  Domestic  - Debt Securities </t>
  </si>
  <si>
    <t xml:space="preserve">Holding Gains- Liabilities :  Domestic  - Loans </t>
  </si>
  <si>
    <t>Holding Gains- Liabilities :  Domestic  - Equity and investment fund shares</t>
  </si>
  <si>
    <t xml:space="preserve">Holding Gains- Liabilities :  Domestic  -  Insurance, pension, and standardized guarantee schemes </t>
  </si>
  <si>
    <t>Holding Gains- Liabilities :  Domestic  - Financial derivatives and employee stock options</t>
  </si>
  <si>
    <t xml:space="preserve">Holding Gains- Liabilities :  Domestic  - Other accounts payable </t>
  </si>
  <si>
    <t>Holding Gains- Liabilities :  Foreign [4322 + 4323 + 4324 + 4325 + 4326 + 4327 + 4328]</t>
  </si>
  <si>
    <t>Holding Gains- Liabilities :  Foreign - Special Drawing Rights (SDRs)</t>
  </si>
  <si>
    <t xml:space="preserve">Holding Gains- Liabilities :  Foreign - Currency and deposits </t>
  </si>
  <si>
    <t xml:space="preserve">Holding Gains- Liabilities :  Foreign - Debt Securities </t>
  </si>
  <si>
    <t xml:space="preserve">Holding Gains- Liabilities :  Foreign - Loans </t>
  </si>
  <si>
    <t>Holding Gains- Liabilities :  Foreign - Equity and investment fund shares</t>
  </si>
  <si>
    <t xml:space="preserve">Holding Gains- Liabilities :  Foreign -  Insurance, pension, and standardized guarantee schemes </t>
  </si>
  <si>
    <t>Holding Gains- Liabilities :  Foreign - Financial derivatives and employee stock options</t>
  </si>
  <si>
    <t xml:space="preserve">Holding Gains- Liabilities :  Foreign - Other accounts payable </t>
  </si>
  <si>
    <t>4M3</t>
  </si>
  <si>
    <t>Holding Gains - Memo Item: Debt at market value</t>
  </si>
  <si>
    <t>CHANGE IN NET WORTH: VOLUME CHANGES [51 + 52 - 53]</t>
  </si>
  <si>
    <t>Volume Changes - Nonfinancial assets [511 + 512 + 513 + 514]</t>
  </si>
  <si>
    <t>Volume Changes - Nonfinancial assets : Fixed assets [5111 + 5112 + 5113]</t>
  </si>
  <si>
    <t xml:space="preserve">Volume Changes - Nonfinancial assets : Fixed assets:   Buildings and structures </t>
  </si>
  <si>
    <t xml:space="preserve">Volume Changes - Nonfinancial assets : Fixed assets:  Machinery and equipment </t>
  </si>
  <si>
    <t xml:space="preserve">Volume Changes - Nonfinancial assets : Fixed assets:  Other fixed assets </t>
  </si>
  <si>
    <t>Volume Changes - Nonfinancial assets : Fixed assets:  Weapons systems</t>
  </si>
  <si>
    <t xml:space="preserve">Volume Changes - Inventories </t>
  </si>
  <si>
    <t xml:space="preserve">Volume Changes - Valuables </t>
  </si>
  <si>
    <t>Volume Changes - Nonfinancial assets : Nonproduced assets [5141 + 5142 + 5143 + 5144]</t>
  </si>
  <si>
    <t xml:space="preserve">Volume Changes - Nonfinancial assets : Nonproduced assets:  Land </t>
  </si>
  <si>
    <t>Volume Changes - Nonfinancial assets : Nonproduced assets:  Mineral and energy resources</t>
  </si>
  <si>
    <t xml:space="preserve">Volume Changes - Nonfinancial assets : Nonproduced assets:  Other naturally occurring assets </t>
  </si>
  <si>
    <t xml:space="preserve">Volume Changes - Nonfinancial assets : Nonproduced assets:  Intangible nonproduced assets </t>
  </si>
  <si>
    <t xml:space="preserve">Volume Changes - Financial assets [521+522+523] </t>
  </si>
  <si>
    <t xml:space="preserve">Volume Changes - Financial assets:  Monetary gold and SDRs </t>
  </si>
  <si>
    <t xml:space="preserve">Volume Changes - Financial assets:  Currency and deposits [5212+5222] </t>
  </si>
  <si>
    <t xml:space="preserve">Volume Changes - Financial assets:  Debt Securities  [5213+5223] </t>
  </si>
  <si>
    <t xml:space="preserve">Volume Changes - Financial assets:  Loans [5214+5224] </t>
  </si>
  <si>
    <t xml:space="preserve">Volume Changes - Financial assets:  Equity and investment fund shares [5215+5225] </t>
  </si>
  <si>
    <t xml:space="preserve">Volume Changes - Financial assets:   Insurance, pension, and standardized guarantee schemes  [5216+5226] </t>
  </si>
  <si>
    <t xml:space="preserve">Volume Changes - Financial assets:  Financial derivatives and employee stock options [5217+5227] </t>
  </si>
  <si>
    <t xml:space="preserve">Volume Changes - Financial assets:  Other accounts receivable [5218+5228] </t>
  </si>
  <si>
    <t>Volume Changes - Financial assets:  Domestic  [5212 + 5213 + 5214 + 5215 + 5216+ 5217 + 5218]</t>
  </si>
  <si>
    <t xml:space="preserve">Volume Changes - Financial assets:  Domestic - Currency and deposits </t>
  </si>
  <si>
    <t xml:space="preserve">Volume Changes - Financial assets:  Domestic - Debt Securities  </t>
  </si>
  <si>
    <t xml:space="preserve">Volume Changes - Financial assets:  Domestic - Loans </t>
  </si>
  <si>
    <t>Volume Changes - Financial assets:  Domestic - Equity and investment fund shares</t>
  </si>
  <si>
    <t xml:space="preserve">Volume Changes - Financial assets:  Domestic -  Insurance, pension, and standardized guarantee schemes </t>
  </si>
  <si>
    <t xml:space="preserve">Volume Changes - Financial assets:  Domestic - Financial derivatives and employee stock options </t>
  </si>
  <si>
    <t xml:space="preserve">Volume Changes - Financial assets:  Domestic - Other accounts receivable </t>
  </si>
  <si>
    <t>Volume Changes - Financial assets:  Foreign  [5222 + 5223 + 5224 + 5225 + 5226+ 5227 + 5228]</t>
  </si>
  <si>
    <t>Volume Changes - Financial assets:  Foreign  - Monetary gold and SDRs</t>
  </si>
  <si>
    <t xml:space="preserve">Volume Changes - Financial assets:  Foreign  - Currency and deposits </t>
  </si>
  <si>
    <t xml:space="preserve">Volume Changes - Financial assets:  Foreign  - Debt Securities </t>
  </si>
  <si>
    <t xml:space="preserve">Volume Changes - Financial assets:  Foreign  - Loans </t>
  </si>
  <si>
    <t>Volume Changes - Financial assets:  Foreign  - Equity and investment fund shares</t>
  </si>
  <si>
    <t xml:space="preserve">Volume Changes - Financial assets:  Foreign  -  Insurance, pension, and standardized guarantee schemes </t>
  </si>
  <si>
    <t>Volume Changes - Financial assets:  Foreign  - Financial derivatives and employee stock options</t>
  </si>
  <si>
    <t xml:space="preserve">Volume Changes - Financial assets:  Foreign  - Other accounts receivable </t>
  </si>
  <si>
    <t xml:space="preserve">Volume Changes - Liabilities [531+532] </t>
  </si>
  <si>
    <t>Volume Changes - Liabilities:  Special Drawing Rights (SDRs)</t>
  </si>
  <si>
    <t xml:space="preserve">Volume Changes - Liabilities:  Currency and deposits [5312+5322] </t>
  </si>
  <si>
    <t xml:space="preserve">Volume Changes - Liabilities:  Debt Securities  [5313+5323] </t>
  </si>
  <si>
    <t xml:space="preserve">Volume Changes - Liabilities:  Loans [5314+5324] </t>
  </si>
  <si>
    <t xml:space="preserve">Volume Changes - Liabilities:  Equity and investment fund shares [5315+5325] </t>
  </si>
  <si>
    <t xml:space="preserve">Volume Changes - Liabilities:   Insurance, pension, and standardized guarantee schemes  [5316+5326] </t>
  </si>
  <si>
    <t xml:space="preserve">Volume Changes - Liabilities:  Financial derivatives and employee stock options [5317+5327] </t>
  </si>
  <si>
    <t xml:space="preserve">Volume Changes - Liabilities:  Other accounts payable [5318+5328] </t>
  </si>
  <si>
    <t>Volume Changes - Liabilities:  Domestic  [5312 + 5313 + 5314 + 5315 + 5316+ 5317 + 5318]</t>
  </si>
  <si>
    <t xml:space="preserve">Volume Changes - Liabilities:  Domestic - Currency and deposits </t>
  </si>
  <si>
    <t xml:space="preserve">Volume Changes - Liabilities:  Domestic - Debt Securities  </t>
  </si>
  <si>
    <t xml:space="preserve">Volume Changes - Liabilities:  Domestic - Loans </t>
  </si>
  <si>
    <t>Volume Changes - Liabilities:  Domestic - Equity and investment fund shares</t>
  </si>
  <si>
    <t xml:space="preserve">Volume Changes - Liabilities:  Domestic -  Insurance, pension, and standardized guarantee schemes  </t>
  </si>
  <si>
    <t>Volume Changes - Liabilities:  Domestic - Financial derivatives and employee stock options</t>
  </si>
  <si>
    <t xml:space="preserve">Volume Changes - Liabilities:  Domestic - Other accounts payable </t>
  </si>
  <si>
    <t>Volume Changes - Liabilities:  Foreign [5322 + 5323 + 5324 + 5325 + 5326+ 5327 + 5328]</t>
  </si>
  <si>
    <t xml:space="preserve">Volume Changes - Liabilities:  Foreign  - Special Drawing Rights (SDRs) </t>
  </si>
  <si>
    <t xml:space="preserve">Volume Changes - Liabilities:  Foreign  - Currency and deposits </t>
  </si>
  <si>
    <t xml:space="preserve">Volume Changes - Liabilities:  Foreign  - Debt Securities  </t>
  </si>
  <si>
    <t xml:space="preserve">Volume Changes - Liabilities:  Foreign  - Loans </t>
  </si>
  <si>
    <t>Volume Changes - Liabilities:  Foreign  - Equity and investment fund shares</t>
  </si>
  <si>
    <t xml:space="preserve">Volume Changes - Liabilities:  Foreign  -  Insurance, pension, and standardized guarantee schemes </t>
  </si>
  <si>
    <t>Volume Changes - Liabilities:  Foreign  - Financial derivatives and employee stock options</t>
  </si>
  <si>
    <t xml:space="preserve">Volume Changes - Liabilities:  Foreign  - Other accounts payable </t>
  </si>
  <si>
    <t>5M3</t>
  </si>
  <si>
    <t>Volume Changes - Memo Item: Debt at market value</t>
  </si>
  <si>
    <t>NET WORTH  [Stocks = 61 + 62 - 63]</t>
  </si>
  <si>
    <t>Stocks -Nonfinancial assets [611 + 612 + 613 +614]</t>
  </si>
  <si>
    <t>Stocks -Nonfinancial assets:  Fixed assets [6111 + 6112 + 6113]</t>
  </si>
  <si>
    <t xml:space="preserve">Stocks -Nonfinancial assets:  Fixed assets : Buildings and structures </t>
  </si>
  <si>
    <t xml:space="preserve">Stocks -Nonfinancial assets:  Fixed assets : Machinery and equipment </t>
  </si>
  <si>
    <t xml:space="preserve">Stocks -Nonfinancial assets:  Fixed assets : Other fixed assets </t>
  </si>
  <si>
    <t>Stocks - Nonfinancial assets : Fixed assets:  Weapons systems</t>
  </si>
  <si>
    <t xml:space="preserve">Stocks -Inventories </t>
  </si>
  <si>
    <t xml:space="preserve">Stocks -Valuables </t>
  </si>
  <si>
    <t>Stocks -Nonfinancial assets:  Nonproduced assets [6141 + 6142 + 6143 + 6144]</t>
  </si>
  <si>
    <t xml:space="preserve">Stocks -Nonfinancial assets:  Nonproduced assets:  Land </t>
  </si>
  <si>
    <t>Stocks -Nonfinancial assets:  Nonproduced assets: Mineral and energy resources</t>
  </si>
  <si>
    <t xml:space="preserve">Stocks -Nonfinancial assets:  Nonproduced assets: Other naturally occurring assets </t>
  </si>
  <si>
    <t xml:space="preserve">Stocks -Nonfinancial assets:  Nonproduced assets: Intangible nonproduced assets </t>
  </si>
  <si>
    <t xml:space="preserve">Stocks -Financial assets [621+622+623] </t>
  </si>
  <si>
    <t xml:space="preserve">Stocks -Financial assets : Monetary gold and SDRs </t>
  </si>
  <si>
    <t xml:space="preserve">Stocks -Financial assets : Currency and deposits [6212+6222] </t>
  </si>
  <si>
    <t xml:space="preserve">Stocks -Financial assets : Debt Securities  [6213+6223] </t>
  </si>
  <si>
    <t xml:space="preserve">Stocks -Financial assets : Loans [6214+6224] </t>
  </si>
  <si>
    <t xml:space="preserve">Stocks -Financial assets : Equity and investment fund shares [6215+6225] </t>
  </si>
  <si>
    <t xml:space="preserve">Stocks -Financial assets :  Insurance, pension, and standardized guarantee schemes  [6216+6226] </t>
  </si>
  <si>
    <t xml:space="preserve">Stocks -Financial assets : Financial derivatives and employee stock options [6217+6227] </t>
  </si>
  <si>
    <t xml:space="preserve">Stocks -Financial assets : Other accounts receivable [6218+6228] </t>
  </si>
  <si>
    <t>Stocks -Financial assets : Domestic [6212 + 6213 + 6214 + 6215 + 6216 + 6217 + 6218]</t>
  </si>
  <si>
    <t xml:space="preserve">Stocks -Financial assets : Domestic - Currency and deposits </t>
  </si>
  <si>
    <t xml:space="preserve">Stocks -Financial assets : Domestic - Debt Securities  </t>
  </si>
  <si>
    <t xml:space="preserve">Stocks -Financial assets : Domestic - Loans </t>
  </si>
  <si>
    <t xml:space="preserve">Stocks -Financial assets : Domestic - Equity and investment fund shares </t>
  </si>
  <si>
    <t xml:space="preserve">Stocks -Financial assets : Domestic -  Insurance, pension, and standardized guarantee schemes </t>
  </si>
  <si>
    <t>Stocks -Financial assets : Domestic - Financial derivatives and employee stock options</t>
  </si>
  <si>
    <t xml:space="preserve">Stocks -Financial assets : Domestic - Other accounts receivable </t>
  </si>
  <si>
    <t>Stocks -Financial assets : Foreign  [6222 + 6223 + 6224 + 6225 + 6226 + 6227 + 6228]</t>
  </si>
  <si>
    <t>Stocks -Financial assets : Foreign  - Monetary gold and SDRs</t>
  </si>
  <si>
    <t xml:space="preserve">Stocks -Financial assets : Foreign  - Currency and deposits </t>
  </si>
  <si>
    <t xml:space="preserve">Stocks -Financial assets : Foreign  - Debt Securities </t>
  </si>
  <si>
    <t xml:space="preserve">Stocks -Financial assets : Foreign  - Loans </t>
  </si>
  <si>
    <t>Stocks -Financial assets : Foreign  - Equity and investment fund shares</t>
  </si>
  <si>
    <t xml:space="preserve">Stocks -Financial assets : Foreign  -  Insurance, pension, and standardized guarantee schemes </t>
  </si>
  <si>
    <t>Stocks -Financial assets : Foreign  - Financial derivatives and employee stock options</t>
  </si>
  <si>
    <t xml:space="preserve">Stocks -Financial assets : Foreign  - Other accounts receivable </t>
  </si>
  <si>
    <t xml:space="preserve">Stocks -Liabilities [631+632] </t>
  </si>
  <si>
    <t>Stocks -Liabilities : Special Drawing Rights (SDRs)</t>
  </si>
  <si>
    <t xml:space="preserve">Stocks -Liabilities : Currency and deposits [6312+6322] </t>
  </si>
  <si>
    <t xml:space="preserve">Stocks -Liabilities : Debt Securities  [6313+6323] </t>
  </si>
  <si>
    <t xml:space="preserve">Stocks -Liabilities : Loans [6314+6324] </t>
  </si>
  <si>
    <t xml:space="preserve">Stocks -Liabilities : Equity and investment fund shares [6315+6325] </t>
  </si>
  <si>
    <t xml:space="preserve">Stocks -Liabilities :  Insurance, pension, and standardized guarantee schemes  [6316+6326] </t>
  </si>
  <si>
    <t xml:space="preserve">Stocks -Liabilities : Financial derivatives and employee stock options [6317+6327] </t>
  </si>
  <si>
    <t xml:space="preserve">Stocks -Liabilities : Other accounts payable [6318+6328] </t>
  </si>
  <si>
    <t>Stocks -Liabilities : Domestic [6312 + 6313 + 6314 + 6315 + 6316 + 6317 + 6318]</t>
  </si>
  <si>
    <t xml:space="preserve">Stocks -Liabilities : Domestic - Currency and deposits </t>
  </si>
  <si>
    <t xml:space="preserve">Stocks -Liabilities : Domestic - Debt Securities </t>
  </si>
  <si>
    <t xml:space="preserve">Stocks -Liabilities : Domestic - Loans </t>
  </si>
  <si>
    <t>Stocks -Liabilities : Domestic - Equity and investment fund shares</t>
  </si>
  <si>
    <t xml:space="preserve">Stocks -Liabilities : Domestic -  Insurance, pension, and standardized guarantee schemes </t>
  </si>
  <si>
    <t>Stocks -Liabilities : Domestic - Financial derivatives and employee stock options</t>
  </si>
  <si>
    <t xml:space="preserve">Stocks -Liabilities : Domestic - Other accounts payable </t>
  </si>
  <si>
    <t>Stocks -Liabilities : Foreign  [6322 + 6323 + 6324 + 6325 + 6326 + 6327 + 6328]</t>
  </si>
  <si>
    <t>Stocks -Liabilities : Foreign - Special Drawing Rights</t>
  </si>
  <si>
    <t xml:space="preserve">Stocks -Liabilities : Foreign - Currency and deposits </t>
  </si>
  <si>
    <t xml:space="preserve">Stocks -Liabilities : Foreign - Debt Securities </t>
  </si>
  <si>
    <t xml:space="preserve">Stocks -Liabilities : Foreign - Loans </t>
  </si>
  <si>
    <t>Stocks -Liabilities : Foreign - Equity and investment fund shares</t>
  </si>
  <si>
    <t xml:space="preserve">Stocks -Liabilities : Foreign -  Insurance, pension, and standardized guarantee schemes </t>
  </si>
  <si>
    <t>Stocks -Liabilities : Foreign - Financial derivatives and employee stock options</t>
  </si>
  <si>
    <t xml:space="preserve">Stocks -Liabilities : Foreign - Other accounts payable </t>
  </si>
  <si>
    <t>6M3</t>
  </si>
  <si>
    <t>Balance Sheet: Memo Items - Debt at market value</t>
  </si>
  <si>
    <t>6M35</t>
  </si>
  <si>
    <t>Balance Sheet: Memo Items - Debt at face value</t>
  </si>
  <si>
    <t>6M4</t>
  </si>
  <si>
    <t xml:space="preserve">Balance Sheet: Memo Items - Debt at nominal value </t>
  </si>
  <si>
    <t>6M5</t>
  </si>
  <si>
    <t>Balance Sheet: Memo Items - Arrears</t>
  </si>
  <si>
    <t>6M6</t>
  </si>
  <si>
    <t>Balance Sheet: Memo Items - Obligations for social security benefits</t>
  </si>
  <si>
    <t>6M7</t>
  </si>
  <si>
    <t>Balance Sheet: Memo Items - Contingent liabilities</t>
  </si>
  <si>
    <t>6M8</t>
  </si>
  <si>
    <t>Balance Sheet: Memo Items - Uncapitalized military weapons, delivery systems</t>
  </si>
  <si>
    <t xml:space="preserve">TOTAL OUTLAYS </t>
  </si>
  <si>
    <t xml:space="preserve">General public services </t>
  </si>
  <si>
    <t>Executive and legislative organs, financial and fiscal affairs, external affairs</t>
  </si>
  <si>
    <t>Foreign economic aid</t>
  </si>
  <si>
    <t>General services</t>
  </si>
  <si>
    <t>Basic research</t>
  </si>
  <si>
    <t>R &amp; D General public services</t>
  </si>
  <si>
    <t>General public services n.e.c.</t>
  </si>
  <si>
    <t>Public debt transactions</t>
  </si>
  <si>
    <t>Transfers of a general character between different levels of government</t>
  </si>
  <si>
    <t xml:space="preserve">Defense </t>
  </si>
  <si>
    <t>Military defense</t>
  </si>
  <si>
    <t>Civil defense</t>
  </si>
  <si>
    <t>Foreign military aid</t>
  </si>
  <si>
    <t>R &amp; D Defense</t>
  </si>
  <si>
    <t>Defense n.e.c.</t>
  </si>
  <si>
    <t xml:space="preserve">Public order and safety </t>
  </si>
  <si>
    <t>Police services</t>
  </si>
  <si>
    <t>Fire protection services</t>
  </si>
  <si>
    <t>Law courts</t>
  </si>
  <si>
    <t>Prisons</t>
  </si>
  <si>
    <t>R &amp; D Public order and safety</t>
  </si>
  <si>
    <t>Public order and safety n.e.c.</t>
  </si>
  <si>
    <t xml:space="preserve">Economic affairs </t>
  </si>
  <si>
    <t>General economic, commercial, and labor affairs</t>
  </si>
  <si>
    <t xml:space="preserve">Agriculture, forestry, fishing, and hunting </t>
  </si>
  <si>
    <t xml:space="preserve">Fuel and energy </t>
  </si>
  <si>
    <t xml:space="preserve">Mining, manufacturing, and construction </t>
  </si>
  <si>
    <t xml:space="preserve">Transport </t>
  </si>
  <si>
    <t xml:space="preserve">Communication </t>
  </si>
  <si>
    <t>Other industries</t>
  </si>
  <si>
    <t>R&amp;D Economic Affairs</t>
  </si>
  <si>
    <t>Economic affairs n.e.c.</t>
  </si>
  <si>
    <t xml:space="preserve">Environmental protection </t>
  </si>
  <si>
    <t>Waste management</t>
  </si>
  <si>
    <t>Waste water management</t>
  </si>
  <si>
    <t>Pollution abatement</t>
  </si>
  <si>
    <t>Protection of biodiversity and landscape</t>
  </si>
  <si>
    <t>R&amp;D Environmental protection</t>
  </si>
  <si>
    <t>Environmental protection n.e.c. (CS)</t>
  </si>
  <si>
    <t xml:space="preserve">Housing and community amenities </t>
  </si>
  <si>
    <t>Housing development</t>
  </si>
  <si>
    <t>Community development</t>
  </si>
  <si>
    <t>Water supply</t>
  </si>
  <si>
    <t>Street lighting</t>
  </si>
  <si>
    <t>R &amp; D Housing and community amenities</t>
  </si>
  <si>
    <t>Housing and community amenities n.e.c.</t>
  </si>
  <si>
    <t xml:space="preserve">Health </t>
  </si>
  <si>
    <t>Medical products, appliances, and equipment</t>
  </si>
  <si>
    <t>Outpatient services</t>
  </si>
  <si>
    <t>Hospital services</t>
  </si>
  <si>
    <t>Public health services</t>
  </si>
  <si>
    <t>R &amp; D Health</t>
  </si>
  <si>
    <t>Health n.e.c.</t>
  </si>
  <si>
    <t xml:space="preserve">Recreation, culture and religion </t>
  </si>
  <si>
    <t>Recreational and sporting services</t>
  </si>
  <si>
    <t>Cultural services</t>
  </si>
  <si>
    <t>Broadcasting and publishing services</t>
  </si>
  <si>
    <t>Religious and other community services</t>
  </si>
  <si>
    <t>R &amp; D Recreation, culture, and religion</t>
  </si>
  <si>
    <t>Recreation, culture, and religion n.e.c.</t>
  </si>
  <si>
    <t xml:space="preserve">Education </t>
  </si>
  <si>
    <t xml:space="preserve">Pre-primary and primary education </t>
  </si>
  <si>
    <t xml:space="preserve">Secondary education </t>
  </si>
  <si>
    <t>Postsecondary nontertiary education</t>
  </si>
  <si>
    <t>Tertiary education</t>
  </si>
  <si>
    <t>Education not definable by level</t>
  </si>
  <si>
    <t>Subsidiary services to education</t>
  </si>
  <si>
    <t>R &amp; D Education</t>
  </si>
  <si>
    <t>Education n.e.c.</t>
  </si>
  <si>
    <t xml:space="preserve">Social protection </t>
  </si>
  <si>
    <t>Sickness and disability</t>
  </si>
  <si>
    <t>Old age</t>
  </si>
  <si>
    <t>Survivors</t>
  </si>
  <si>
    <t>Family and children</t>
  </si>
  <si>
    <t>Unemployment</t>
  </si>
  <si>
    <t>Housing</t>
  </si>
  <si>
    <t>Social exclusion n.e.c.</t>
  </si>
  <si>
    <t>R &amp; D Social protection</t>
  </si>
  <si>
    <t>Social protection n.e.c.</t>
  </si>
  <si>
    <t>Net financial worth change due to transactions [=82-83]</t>
  </si>
  <si>
    <t xml:space="preserve">Net acquisition of financial assets [=32] </t>
  </si>
  <si>
    <t>Net acquisition of financial assets : Domestic [=321]</t>
  </si>
  <si>
    <t>Net acquisition of financial assets : Domestic : General government</t>
  </si>
  <si>
    <t>Net acquisition of financial assets : Domestic : General government - Central Government (CG)</t>
  </si>
  <si>
    <t>Net acquisition of financial assets : Domestic : General government - CG: Budgetary</t>
  </si>
  <si>
    <t>Net acquisition of financial assets : Domestic : General government - CG: Extrabudgetary</t>
  </si>
  <si>
    <t>Net acquisition of financial assets : Domestic : General government - Social Security Funds</t>
  </si>
  <si>
    <t>Net acquisition of financial assets : Domestic : General government - State Government</t>
  </si>
  <si>
    <t>Net acquisition of financial assets : Domestic : General government - Local Government</t>
  </si>
  <si>
    <t>Net acquisition of financial assets : Domestic :Central bank</t>
  </si>
  <si>
    <t>Net acquisition of financial assets : Domestic : Deposit taking corporations except central bank</t>
  </si>
  <si>
    <t>Net acquisition of financial assets : Domestic : Other financial corporations</t>
  </si>
  <si>
    <t xml:space="preserve">Net acquisition of financial assets : Domestic :Nonfinancial corporations </t>
  </si>
  <si>
    <t xml:space="preserve">Net acquisition of financial assets : Domestic :Households &amp; nonprofit institutions serving h/holds </t>
  </si>
  <si>
    <t xml:space="preserve">Net acquisition of financial assets : Foreign [=322] </t>
  </si>
  <si>
    <t xml:space="preserve">Net acquisition of financial assets : Foreign : General government </t>
  </si>
  <si>
    <t xml:space="preserve">Net acquisition of financial assets : Foreign : International organizations </t>
  </si>
  <si>
    <t>Net acquisition of financial assets : Foreign : Financial corporations other than internat'l org's</t>
  </si>
  <si>
    <t xml:space="preserve">Net acquisition of financial assets : Foreign : Other nonresidents </t>
  </si>
  <si>
    <t>Net acquisition of Monetary gold and SDRs [=323]</t>
  </si>
  <si>
    <t xml:space="preserve">Net incurrence of liabilities [=33] </t>
  </si>
  <si>
    <t xml:space="preserve">Net incurrence of liabilities : Domestic [=331] </t>
  </si>
  <si>
    <t xml:space="preserve">Net incurrence of liabilities : Domestic : General government </t>
  </si>
  <si>
    <t>Net incurrence of liabilities : Domestic : General government - Central Government (CG)</t>
  </si>
  <si>
    <t>Net incurrence of liabilities : Domestic : General government - CG Budgetary</t>
  </si>
  <si>
    <t>Net incurrence of liabilities : Domestic : General government - CG Extrabudgetary</t>
  </si>
  <si>
    <t>Net incurrence of liabilities : Domestic : General government - Social Security Funds</t>
  </si>
  <si>
    <t>Net incurrence of liabilities : Domestic : General government - State Government</t>
  </si>
  <si>
    <t>Net incurrence of liabilities : Domestic : General government - Local Government</t>
  </si>
  <si>
    <t xml:space="preserve">Net incurrence of liabilities : Domestic : Central bank </t>
  </si>
  <si>
    <t>Net incurrence of liabilities : Domestic : Depository taking corporations except central bank</t>
  </si>
  <si>
    <t>Net incurrence of liabilities : Domestic : Other financial corporations</t>
  </si>
  <si>
    <t xml:space="preserve">Net incurrence of liabilities : Domestic : Nonfinancial corporations </t>
  </si>
  <si>
    <t>Net incurrence of liabilities : Domestic : Households &amp; nonprofit institutions serving h/holds</t>
  </si>
  <si>
    <t xml:space="preserve">Net incurrence of liabities : Foreign [=332] </t>
  </si>
  <si>
    <t xml:space="preserve">Net incurrence of liabities : Foreign : General government </t>
  </si>
  <si>
    <t>Net incurrence of liabities : Foreign : International organizations</t>
  </si>
  <si>
    <t>Net incurrence of liabities : Foreign : Financial corporations other than internat'l org's</t>
  </si>
  <si>
    <t xml:space="preserve">Net incurrence of liabities : Foreign : Other nonresidents </t>
  </si>
  <si>
    <t xml:space="preserve">Stock positions in financial assets [=62] </t>
  </si>
  <si>
    <t>Stock positions in financial assets : Domestic [=621]</t>
  </si>
  <si>
    <t>Stock positions in financial assets : Domestic : General government</t>
  </si>
  <si>
    <t>Stock positions in financial assets : Domestic : General government - Central Government (CG)</t>
  </si>
  <si>
    <t>Stock positions in financial assets : Domestic : General government - CG: Budgetary</t>
  </si>
  <si>
    <t>Stock positions in financial assets : Domestic : General government - CG: Extrabudgetary</t>
  </si>
  <si>
    <t>Stock positions in financial assets : Domestic : General government - Social Security Funds</t>
  </si>
  <si>
    <t>Stock positions in financial assets : Domestic : General government - State Government</t>
  </si>
  <si>
    <t>Stock positions in financial assets : Domestic : General government - Local Government</t>
  </si>
  <si>
    <t>Stock positions in financial assets : Domestic :Central bank</t>
  </si>
  <si>
    <t>Stock positions in financial assets : Domestic :Other depository corporations</t>
  </si>
  <si>
    <t xml:space="preserve">Stock positions in financial assets : Domestic :Financial corporations not elsewhere classified </t>
  </si>
  <si>
    <t xml:space="preserve">Stock positions in financial assets : Domestic :Nonfinancial corporations </t>
  </si>
  <si>
    <t xml:space="preserve">Stock positions in financial assets : Domestic :Households &amp; nonprofit institutions serving h/holds </t>
  </si>
  <si>
    <t xml:space="preserve">Net acquisition of financial assets : Foreign [=622] </t>
  </si>
  <si>
    <t xml:space="preserve">Stock positions in financial assets : Foreign : General government </t>
  </si>
  <si>
    <t xml:space="preserve">Stock positions in financial assets : Foreign : International organizations </t>
  </si>
  <si>
    <t>Stock positions in financial assets : Foreign : Financial corporations other than internat'l org's</t>
  </si>
  <si>
    <t xml:space="preserve">Stock positions in financial assets : Foreign : Other nonresidents </t>
  </si>
  <si>
    <t xml:space="preserve">Stock positions in liabilities [=63] </t>
  </si>
  <si>
    <t xml:space="preserve">Stock positions in liabilities : Domestic [=631] </t>
  </si>
  <si>
    <t xml:space="preserve">Stock positions in  liabilities : Domestic : General government </t>
  </si>
  <si>
    <t>Stock positions in liabilities : Domestic : General government - Central Government (CG)</t>
  </si>
  <si>
    <t>Stock positions in liabilities : Domestic : General government - CG Budgetary</t>
  </si>
  <si>
    <t>Stock positions in liabilities : Domestic : General government - CG Extrabudgetary</t>
  </si>
  <si>
    <t>Stock positions in liabilities : Domestic : General government - Social Security Funds</t>
  </si>
  <si>
    <t>Stock positions in liabilities : Domestic : General government - State Government</t>
  </si>
  <si>
    <t>Stock positions in liabilities : Domestic : General government - Local Government</t>
  </si>
  <si>
    <t xml:space="preserve">Stock positions in liabilities : Domestic : Central bank </t>
  </si>
  <si>
    <t xml:space="preserve">Stock positions in liabilities : Domestic : Other depository corporations </t>
  </si>
  <si>
    <t>Stock positions in liabilities : Domestic : Financial corporations not elsewhere classified</t>
  </si>
  <si>
    <t xml:space="preserve">Stock positions in liabilities : Domestic : Nonfinancial corporations </t>
  </si>
  <si>
    <t>Stock positions in liabilities : Domestic : Households &amp; nonprofit institutions serving h/holds</t>
  </si>
  <si>
    <t xml:space="preserve">Stock positions in liabities : Foreign [=632] </t>
  </si>
  <si>
    <t xml:space="preserve">Stock positions in liabities : Foreign : General government </t>
  </si>
  <si>
    <t>Stock positions in liabities : Foreign : International organizations</t>
  </si>
  <si>
    <t>Stock positions in liabities : Foreign : Financial corporations other than internat'l org's</t>
  </si>
  <si>
    <t xml:space="preserve">Stock positions in liabities : Foreign : Other nonresidents </t>
  </si>
  <si>
    <t>6301N</t>
  </si>
  <si>
    <t xml:space="preserve">Special Drawing Rights </t>
  </si>
  <si>
    <t>6301NA2</t>
  </si>
  <si>
    <t xml:space="preserve">External creditors </t>
  </si>
  <si>
    <t>6301NB3</t>
  </si>
  <si>
    <t xml:space="preserve">Long-term by original maturity, with payment due in more than one year </t>
  </si>
  <si>
    <t>6301NC2</t>
  </si>
  <si>
    <t xml:space="preserve">Foreign currency denominated </t>
  </si>
  <si>
    <t>6301ND2</t>
  </si>
  <si>
    <t xml:space="preserve">Variable rate </t>
  </si>
  <si>
    <t>6302N</t>
  </si>
  <si>
    <t>6302NA1</t>
  </si>
  <si>
    <t xml:space="preserve">Domestic creditors </t>
  </si>
  <si>
    <t>6302NA2</t>
  </si>
  <si>
    <t>6302NB1</t>
  </si>
  <si>
    <t xml:space="preserve">Short-term by original maturity </t>
  </si>
  <si>
    <t>6302NB2</t>
  </si>
  <si>
    <t xml:space="preserve">Long-term by original maturity, with payment due in one year or less </t>
  </si>
  <si>
    <t>6302NB3</t>
  </si>
  <si>
    <t>6302NC1</t>
  </si>
  <si>
    <t xml:space="preserve">Domestic currency denominated </t>
  </si>
  <si>
    <t>6302NC2</t>
  </si>
  <si>
    <t>6302ND1</t>
  </si>
  <si>
    <t xml:space="preserve">Fixed rate </t>
  </si>
  <si>
    <t>6302ND2</t>
  </si>
  <si>
    <t>6303N</t>
  </si>
  <si>
    <t xml:space="preserve">Debt securities at nominal value </t>
  </si>
  <si>
    <t>6303NA1</t>
  </si>
  <si>
    <t>6303NA2</t>
  </si>
  <si>
    <t>6303NB1</t>
  </si>
  <si>
    <t>6303NB1d</t>
  </si>
  <si>
    <t xml:space="preserve">of which: domestic currency denominated </t>
  </si>
  <si>
    <t>6303NB2</t>
  </si>
  <si>
    <t>6303NB2d</t>
  </si>
  <si>
    <t>6303NB3</t>
  </si>
  <si>
    <t>6303NC1</t>
  </si>
  <si>
    <t>6303NC2</t>
  </si>
  <si>
    <t>6303ND1</t>
  </si>
  <si>
    <t>6303ND2</t>
  </si>
  <si>
    <t>6303M</t>
  </si>
  <si>
    <t xml:space="preserve">Debt securities at market value </t>
  </si>
  <si>
    <t>6303MA1</t>
  </si>
  <si>
    <t>6303MA2</t>
  </si>
  <si>
    <t>6303MB1</t>
  </si>
  <si>
    <t>6303MB1d</t>
  </si>
  <si>
    <t>6303MB2</t>
  </si>
  <si>
    <t>6303MB2d</t>
  </si>
  <si>
    <t>6303MB3</t>
  </si>
  <si>
    <t>6303MC1</t>
  </si>
  <si>
    <t>6303MC2</t>
  </si>
  <si>
    <t>6303MD1</t>
  </si>
  <si>
    <t>6303MD2</t>
  </si>
  <si>
    <t>6304N</t>
  </si>
  <si>
    <t>6304NA1</t>
  </si>
  <si>
    <t>6304NA2</t>
  </si>
  <si>
    <t>6304NB1</t>
  </si>
  <si>
    <t>6304NB1d</t>
  </si>
  <si>
    <t>6304NB2</t>
  </si>
  <si>
    <t>6304NB2d</t>
  </si>
  <si>
    <t>6304NB3</t>
  </si>
  <si>
    <t>6304NC1</t>
  </si>
  <si>
    <t>6304NC2</t>
  </si>
  <si>
    <t>6304ND1</t>
  </si>
  <si>
    <t>6304ND2</t>
  </si>
  <si>
    <t>6306N</t>
  </si>
  <si>
    <t xml:space="preserve">Insurance, pension, and standardized guarantee schemes </t>
  </si>
  <si>
    <t>6306NA1</t>
  </si>
  <si>
    <t>6306NA2</t>
  </si>
  <si>
    <t>6306NB1</t>
  </si>
  <si>
    <t>6306NB2</t>
  </si>
  <si>
    <t>6306NB3</t>
  </si>
  <si>
    <t>6306NC1</t>
  </si>
  <si>
    <t>6306NC2</t>
  </si>
  <si>
    <t>6306ND1</t>
  </si>
  <si>
    <t>6306ND2</t>
  </si>
  <si>
    <t>6308N</t>
  </si>
  <si>
    <t>6308NA1</t>
  </si>
  <si>
    <t>6308NA2</t>
  </si>
  <si>
    <t>6308NB1</t>
  </si>
  <si>
    <t>6308NB2</t>
  </si>
  <si>
    <t>6308NB3</t>
  </si>
  <si>
    <t>6308NC1</t>
  </si>
  <si>
    <t>6308NC2</t>
  </si>
  <si>
    <t>6308ND1</t>
  </si>
  <si>
    <t>6308ND2</t>
  </si>
  <si>
    <t>6301F</t>
  </si>
  <si>
    <t>6301FA2</t>
  </si>
  <si>
    <t xml:space="preserve">SDR External creditors </t>
  </si>
  <si>
    <t>6301FB3</t>
  </si>
  <si>
    <t>6301FC2</t>
  </si>
  <si>
    <t xml:space="preserve">SDR Foreign currency denominated </t>
  </si>
  <si>
    <t>6301FD2</t>
  </si>
  <si>
    <t xml:space="preserve">SDR Variable rate </t>
  </si>
  <si>
    <t>6302F</t>
  </si>
  <si>
    <t xml:space="preserve">Debt / Face value / Currency and deposits </t>
  </si>
  <si>
    <t>6302FA1</t>
  </si>
  <si>
    <t xml:space="preserve">Debt / Face value / CURRENCY Domestic creditors </t>
  </si>
  <si>
    <t>6302FA2</t>
  </si>
  <si>
    <t xml:space="preserve">Debt / Face value / CURRENCY External creditors </t>
  </si>
  <si>
    <t>6302FB1</t>
  </si>
  <si>
    <t xml:space="preserve">Debt / Face value / CURRENCY Short-term by original maturity </t>
  </si>
  <si>
    <t>6302FB2</t>
  </si>
  <si>
    <t xml:space="preserve">Debt / Face value / CURRENCY Long-term by original maturity, with payment due in one year or less </t>
  </si>
  <si>
    <t>6302FB3</t>
  </si>
  <si>
    <t xml:space="preserve">Debt / Face value / CURRENCY Long-term by original maturity, with payment due in more than one year </t>
  </si>
  <si>
    <t>6302FC1</t>
  </si>
  <si>
    <t xml:space="preserve">Debt / Face value / CURRENCY Domestic currency denominated </t>
  </si>
  <si>
    <t>6302FC2</t>
  </si>
  <si>
    <t xml:space="preserve">Debt / Face value / CURRENCY Foreign currency denominated </t>
  </si>
  <si>
    <t>6302FD1</t>
  </si>
  <si>
    <t xml:space="preserve">Debt / Face value / CURRENCY Fixed rate </t>
  </si>
  <si>
    <t>6302FD2</t>
  </si>
  <si>
    <t xml:space="preserve">Debt / Face value / CURRENCY Variable rate </t>
  </si>
  <si>
    <t>6303F</t>
  </si>
  <si>
    <t xml:space="preserve">Debt / Face value / Debt securities </t>
  </si>
  <si>
    <t>6303FA1</t>
  </si>
  <si>
    <t xml:space="preserve">Debt / Face value / SECURITIES Domestic creditors </t>
  </si>
  <si>
    <t>6303FA2</t>
  </si>
  <si>
    <t xml:space="preserve">Debt / Face value / SECURITIES External creditors </t>
  </si>
  <si>
    <t>6303FB1</t>
  </si>
  <si>
    <t xml:space="preserve">Debt / Face value / SECURITIES Short-term by original maturity </t>
  </si>
  <si>
    <t>6303FB1d</t>
  </si>
  <si>
    <t xml:space="preserve">Debt / Face value / of which: SECURITIES domestic currency denominated </t>
  </si>
  <si>
    <t>6303FB2</t>
  </si>
  <si>
    <t xml:space="preserve">Debt / Face value / SECURITIES Long-term by original maturity, with payment due in one year or less </t>
  </si>
  <si>
    <t>6303FB2d</t>
  </si>
  <si>
    <t>6303FB3</t>
  </si>
  <si>
    <t xml:space="preserve">Debt / Face value / SECURITIES Long-term by original maturity, with payment due in more than one year </t>
  </si>
  <si>
    <t>6303FC1</t>
  </si>
  <si>
    <t xml:space="preserve">Debt / Face value / SECURITIES Domestic currency denominated </t>
  </si>
  <si>
    <t>6303FC2</t>
  </si>
  <si>
    <t xml:space="preserve">Debt / Face value / SECURITIES Foreign currency denominated </t>
  </si>
  <si>
    <t>6303FD1</t>
  </si>
  <si>
    <t xml:space="preserve">Debt / Face value / SECURITIES Fixed rate </t>
  </si>
  <si>
    <t>6303FD2</t>
  </si>
  <si>
    <t xml:space="preserve">Debt / Face value / SECURITIES Variable rate </t>
  </si>
  <si>
    <t>6304F</t>
  </si>
  <si>
    <t xml:space="preserve">Debt / Face value / Loans </t>
  </si>
  <si>
    <t>6304FA1</t>
  </si>
  <si>
    <t xml:space="preserve">Debt / Face value / LOANS Domestic creditors </t>
  </si>
  <si>
    <t>6304FA2</t>
  </si>
  <si>
    <t xml:space="preserve">Debt / Face value / LOANS External creditors </t>
  </si>
  <si>
    <t>6304FB1</t>
  </si>
  <si>
    <t xml:space="preserve">Debt / Face value / LOANS Short-term by original maturity </t>
  </si>
  <si>
    <t>6304FB1d</t>
  </si>
  <si>
    <t xml:space="preserve">Debt / Face value / of which: LOANS domestic currency denominated </t>
  </si>
  <si>
    <t>6304FB2</t>
  </si>
  <si>
    <t xml:space="preserve">Debt / Face value / LOANS Long-term by original maturity, with payment due in one year or less </t>
  </si>
  <si>
    <t>6304FB2d</t>
  </si>
  <si>
    <t>6304FB3</t>
  </si>
  <si>
    <t xml:space="preserve">Debt / Face value / LOANS Long-term by original maturity, with payment due in more than one year </t>
  </si>
  <si>
    <t>6304FC1</t>
  </si>
  <si>
    <t xml:space="preserve">Debt / Face value / LOANS Domestic currency denominated </t>
  </si>
  <si>
    <t>6304FC2</t>
  </si>
  <si>
    <t xml:space="preserve">Debt / Face value / LOANS Foreign currency denominated </t>
  </si>
  <si>
    <t>6304FD1</t>
  </si>
  <si>
    <t xml:space="preserve">Debt / Face value / LOANS Fixed rate </t>
  </si>
  <si>
    <t>6304FD2</t>
  </si>
  <si>
    <t xml:space="preserve">Debt / Face value / LOANS Variable rate </t>
  </si>
  <si>
    <t>6306F</t>
  </si>
  <si>
    <t xml:space="preserve">Debt / Face value / Insurance, pension, and standardized guarantee schemes </t>
  </si>
  <si>
    <t>6306FA1</t>
  </si>
  <si>
    <t xml:space="preserve">Debt / Face value / IPSG Domestic creditors </t>
  </si>
  <si>
    <t>6306FA2</t>
  </si>
  <si>
    <t xml:space="preserve">Debt / Face value / IPSG External creditors </t>
  </si>
  <si>
    <t>6306FB1</t>
  </si>
  <si>
    <t xml:space="preserve">Debt / Face value / IPSG Short-term by original maturity </t>
  </si>
  <si>
    <t>6306FB2</t>
  </si>
  <si>
    <t xml:space="preserve">Debt / Face value / IPSG Long-term by original maturity, with payment due in one year or less </t>
  </si>
  <si>
    <t>6306FB3</t>
  </si>
  <si>
    <t xml:space="preserve">Debt / Face value / IPSG  Long-term by original maturity, with payment due in more than one year </t>
  </si>
  <si>
    <t>6306FC1</t>
  </si>
  <si>
    <t xml:space="preserve">Debt / Face value / IPSG Domestic currency denominated </t>
  </si>
  <si>
    <t>6306FC2</t>
  </si>
  <si>
    <t xml:space="preserve">Debt / Face value / IPSG Foreign currency denominated </t>
  </si>
  <si>
    <t>6306FD1</t>
  </si>
  <si>
    <t xml:space="preserve">Debt / Face value / IPSG Fixed rate </t>
  </si>
  <si>
    <t>6306FD2</t>
  </si>
  <si>
    <t xml:space="preserve">Debt / Face value / IPSG Variable rate </t>
  </si>
  <si>
    <t>6308F</t>
  </si>
  <si>
    <t xml:space="preserve">Debt / Face value / Other accounts payable </t>
  </si>
  <si>
    <t>6308FA1</t>
  </si>
  <si>
    <t xml:space="preserve">Debt / Face value / accounts payable Domestic creditors </t>
  </si>
  <si>
    <t>6308FA2</t>
  </si>
  <si>
    <t xml:space="preserve">Debt / Face value / accounts payable External creditors </t>
  </si>
  <si>
    <t>6308FB1</t>
  </si>
  <si>
    <t xml:space="preserve">Debt / Face value / accounts payable Short-term by original maturity </t>
  </si>
  <si>
    <t>6308FB2</t>
  </si>
  <si>
    <t xml:space="preserve">Debt / Face value / accounts payable Long-term by original maturity, with payment due in one year or less </t>
  </si>
  <si>
    <t>6308FB3</t>
  </si>
  <si>
    <t xml:space="preserve">Debt / Face value / accounts payable Long-term by original maturity, with payment due in more than one year </t>
  </si>
  <si>
    <t>6308FC1</t>
  </si>
  <si>
    <t xml:space="preserve">Debt / Face value / accounts payable Domestic currency denominated </t>
  </si>
  <si>
    <t>6308FC2</t>
  </si>
  <si>
    <t xml:space="preserve">Debt / Face value / accounts payable Foreign currency denominated </t>
  </si>
  <si>
    <t>6308FD1</t>
  </si>
  <si>
    <t xml:space="preserve">Debt / Face value / accounts payable Fixed rate </t>
  </si>
  <si>
    <t>6308FD2</t>
  </si>
  <si>
    <t xml:space="preserve">Debt / Face value / accounts payable Variable rate </t>
  </si>
  <si>
    <t>CHANGE IN NET WORTH: Other Flows [51 + 52 - 53]</t>
  </si>
  <si>
    <t>Other Flows - Nonfinancial assets [511 + 512 + 513 + 514]</t>
  </si>
  <si>
    <t>Other Flows - Nonfinancial assets : Fixed assets [5111 + 5112 + 5113]</t>
  </si>
  <si>
    <t xml:space="preserve">Other Flows - Nonfinancial assets : Fixed assets:   Buildings and structures </t>
  </si>
  <si>
    <t xml:space="preserve">Other Flows - Nonfinancial assets : Fixed assets:  Machinery and equipment </t>
  </si>
  <si>
    <t xml:space="preserve">Other Flows - Nonfinancial assets : Fixed assets:  Other fixed assets </t>
  </si>
  <si>
    <t>Other Flows - Nonfinancial assets : Fixed assets:  Weapons systems</t>
  </si>
  <si>
    <t xml:space="preserve">Other Flows - Inventories </t>
  </si>
  <si>
    <t xml:space="preserve">Other Flows - Valuables </t>
  </si>
  <si>
    <t>Other Flows - Nonfinancial assets : Nonproduced assets [5141 + 5142 + 5143 + 5144]</t>
  </si>
  <si>
    <t xml:space="preserve">Other Flows - Nonfinancial assets : Nonproduced assets:  Land </t>
  </si>
  <si>
    <t>Other Flows - Nonfinancial assets : Nonproduced assets:  Mineral and energy resources</t>
  </si>
  <si>
    <t xml:space="preserve">Other Flows - Nonfinancial assets : Nonproduced assets:  Other naturally occurring assets </t>
  </si>
  <si>
    <t xml:space="preserve">Other Flows - Nonfinancial assets : Nonproduced assets:  Intangible nonproduced assets </t>
  </si>
  <si>
    <t xml:space="preserve">Other Flows - Financial assets [521+522+523] </t>
  </si>
  <si>
    <t xml:space="preserve">Other Flows - Financial assets:  Monetary gold and SDRs </t>
  </si>
  <si>
    <t xml:space="preserve">Other Flows - Financial assets:  Currency and deposits [5212+5222] </t>
  </si>
  <si>
    <t xml:space="preserve">Other Flows - Financial assets:  Debt Securities  [5213+5223] </t>
  </si>
  <si>
    <t xml:space="preserve">Other Flows - Financial assets:  Loans [5214+5224] </t>
  </si>
  <si>
    <t xml:space="preserve">Other Flows - Financial assets:  Equity and investment fund shares [5215+5225] </t>
  </si>
  <si>
    <t xml:space="preserve">Other Flows - Financial assets:   Insurance, pension, and standardized guarantee schemes  [5216+5226] </t>
  </si>
  <si>
    <t xml:space="preserve">Other Flows - Financial assets:  Financial derivatives and employee stock options [5217+5227] </t>
  </si>
  <si>
    <t xml:space="preserve">Other Flows - Financial assets:  Other accounts receivable [5218+5228] </t>
  </si>
  <si>
    <t>Other Flows - Financial assets:  Domestic  [5212 + 5213 + 5214 + 5215 + 5216+ 5217 + 5218]</t>
  </si>
  <si>
    <t xml:space="preserve">Other Flows - Financial assets:  Domestic - Currency and deposits </t>
  </si>
  <si>
    <t xml:space="preserve">Other Flows - Financial assets:  Domestic - Debt Securities </t>
  </si>
  <si>
    <t xml:space="preserve">Other Flows - Financial assets:  Domestic - Loans </t>
  </si>
  <si>
    <t>Other Flows - Financial assets:  Domestic - Equity and investment fund shares</t>
  </si>
  <si>
    <t xml:space="preserve">Other Flows - Financial assets:  Domestic -  Insurance, pension, and standardized guarantee schemes </t>
  </si>
  <si>
    <t>Other Flows - Financial assets:  Domestic - Financial derivatives and employee stock options</t>
  </si>
  <si>
    <t xml:space="preserve">Other Flows - Financial assets:  Domestic - Other accounts receivable </t>
  </si>
  <si>
    <t>Other Flows - Financial assets:  Foreign  [5222 + 5223 + 5224 + 5225 + 5226+ 5227 + 5228]</t>
  </si>
  <si>
    <t>Other Flows - Financial assets:  Foreign  - Monetary gold and SDRs</t>
  </si>
  <si>
    <t xml:space="preserve">Other Flows - Financial assets:  Foreign  - Currency and deposits </t>
  </si>
  <si>
    <t xml:space="preserve">Other Flows - Financial assets:  Foreign  - Debt Securities </t>
  </si>
  <si>
    <t xml:space="preserve">Other Flows - Financial assets:  Foreign  - Loans </t>
  </si>
  <si>
    <t>Other Flows - Financial assets:  Foreign  - Equity and investment fund shares</t>
  </si>
  <si>
    <t xml:space="preserve">Other Flows - Financial assets:  Foreign  - Insurance, pension, and standardized guarantee schemes </t>
  </si>
  <si>
    <t>Other Flows - Financial assets:  Foreign  - Financial derivatives and employee stock options</t>
  </si>
  <si>
    <t xml:space="preserve">Other Flows - Financial assets:  Foreign  - Other accounts receivable </t>
  </si>
  <si>
    <t xml:space="preserve">Other Flows - Liabilities [531+532] </t>
  </si>
  <si>
    <t>Other Flows - Liabilities:  Special Drawing Rights (SDRs)</t>
  </si>
  <si>
    <t xml:space="preserve">Other Flows - Liabilities:  Currency and deposits [5312+5322] </t>
  </si>
  <si>
    <t xml:space="preserve">Other Flows - Liabilities:  Debt Securities  [5313+5323] </t>
  </si>
  <si>
    <t xml:space="preserve">Other Flows - Liabilities:  Loans [5314+5324] </t>
  </si>
  <si>
    <t xml:space="preserve">Other Flows - Liabilities:  Equity and investment fund shares [5315+5325] </t>
  </si>
  <si>
    <t xml:space="preserve">Other Flows - Liabilities:   Insurance, pension, and standardized guarantee schemes  [5316+5326] </t>
  </si>
  <si>
    <t xml:space="preserve">Other Flows - Liabilities:  Financial derivatives and employee stock options [5317+5327] </t>
  </si>
  <si>
    <t xml:space="preserve">Other Flows - Liabilities:  Other accounts payable [5318+5328] </t>
  </si>
  <si>
    <t>Other Flows - Liabilities:  Domestic  [5312 + 5313 + 5314 + 5315 + 5316+ 5317 + 5318]</t>
  </si>
  <si>
    <t xml:space="preserve">Other Flows - Liabilities:  Domestic - Currency and deposits </t>
  </si>
  <si>
    <t xml:space="preserve">Other Flows - Liabilities:  Domestic - Debt Securities  </t>
  </si>
  <si>
    <t xml:space="preserve">Other Flows - Liabilities:  Domestic - Loans </t>
  </si>
  <si>
    <t>Other Flows - Liabilities:  Domestic - Equity and investment fund shares</t>
  </si>
  <si>
    <t xml:space="preserve">Other Flows - Liabilities:  Domestic - Insurance, pension, and standardized guarantee schemes  </t>
  </si>
  <si>
    <t>Other Flows - Liabilities:  Domestic - Financial derivatives and employee stock options</t>
  </si>
  <si>
    <t xml:space="preserve">Other Flows - Liabilities:  Domestic - Other accounts payable </t>
  </si>
  <si>
    <t>Other Flows - Liabilities:  Foreign [5322 + 5323 + 5324 + 5325 + 5326+ 5327 + 5328]</t>
  </si>
  <si>
    <t>Other Flows - Liabilities:  Foreign  - Special Drawing Rights (SDRs)</t>
  </si>
  <si>
    <t xml:space="preserve">Other Flows - Liabilities:  Foreign  - Currency and deposits </t>
  </si>
  <si>
    <t xml:space="preserve">Other Flows - Liabilities:  Foreign  - Debt Securities </t>
  </si>
  <si>
    <t xml:space="preserve">Other Flows - Liabilities:  Foreign  - Loans </t>
  </si>
  <si>
    <t>Other Flows - Liabilities:  Foreign  - Equity and investment fund shares</t>
  </si>
  <si>
    <t xml:space="preserve">Other Flows - Liabilities:  Foreign  -  Insurance, pension, and standardized guarantee schemes  </t>
  </si>
  <si>
    <t>Other Flows - Liabilities:  Foreign  - Financial derivatives and employee stock options</t>
  </si>
  <si>
    <t xml:space="preserve">Other Flows - Liabilities:  Foreign  - Other accounts payable </t>
  </si>
  <si>
    <t>9M3</t>
  </si>
  <si>
    <t>Other Flows - Memo Item: Debt at market value</t>
  </si>
  <si>
    <t>Excluding Marriott, PKO, Emergencies and COVID-19</t>
  </si>
  <si>
    <t>Excluding Marriott, PKO, Emergencies and COVID-19 (5 YearsAverage)</t>
  </si>
  <si>
    <t>Tax Loss due to COVID-19</t>
  </si>
  <si>
    <t>Memorandum Item</t>
  </si>
  <si>
    <t>Nominal GDP FY</t>
  </si>
  <si>
    <t xml:space="preserve">   Of Which Emergencies</t>
  </si>
  <si>
    <t>Of Which  COVID-19 Expenditure</t>
  </si>
  <si>
    <t>Financing Gap</t>
  </si>
  <si>
    <t>O/w Existing PCI 1st Review</t>
  </si>
  <si>
    <t>Business Support Fund</t>
  </si>
  <si>
    <t>IMF Debt Relief Cconsired as Grants (Mln USD)</t>
  </si>
  <si>
    <t>Non-Tax Loss due to COVID-19</t>
  </si>
  <si>
    <t xml:space="preserve">BRD </t>
  </si>
  <si>
    <t>UCL (BANK OF KIGALI)</t>
  </si>
  <si>
    <t>Of Which World Bank Issuence in London</t>
  </si>
  <si>
    <t>Of Which Afrexim</t>
  </si>
  <si>
    <t>The macros are specified with user-specific file paths (typically of intMF coordinator), which can be changed to the file paths of the Fiscal Economist so (s)he can run the macros.</t>
  </si>
  <si>
    <t>Coporation tax (excl. local govt taxes)/GDP</t>
  </si>
  <si>
    <t xml:space="preserve">   corporation tax (excl. local govt taxes)/non agric. GDP</t>
  </si>
  <si>
    <t xml:space="preserve">    individual taxes - 'buyoancy factor' of direct taxes/non agric GDP ratio</t>
  </si>
  <si>
    <t>other tax (excl. local govt taxes)/non agric. GDP</t>
  </si>
  <si>
    <t xml:space="preserve">    coprporation taxes - 'buyoancy factor' of corporation taxes/non agric GDP ratio</t>
  </si>
  <si>
    <t>Total Consumption</t>
  </si>
  <si>
    <t>Import</t>
  </si>
  <si>
    <t>II. GFS14 Fiscal specific assumptions (elasticities, growth bases,…)</t>
  </si>
  <si>
    <t>Property tax: recurrent net wealth (excl. local govt taxes)/GDP</t>
  </si>
  <si>
    <t>Property tax: Estate, inheritane &amp; gift (excl. local govt taxes)/GDP</t>
  </si>
  <si>
    <t>Property tax: financial and capital transactions (excl. local govt taxes)/GDP</t>
  </si>
  <si>
    <t>Property tax: non-recurrent (excl. local govt taxes)/GDP</t>
  </si>
  <si>
    <t>Property tax: Other recurrent (excl. local govt taxes)/GDP</t>
  </si>
  <si>
    <t>immovable tax (excl. local govt taxes)/non agric. GDP</t>
  </si>
  <si>
    <t>estate,inheritance&amp;gift tax (excl. local govt taxes)/non agric. GDP</t>
  </si>
  <si>
    <t>financial and capital tax (excl. local govt taxes)/non agric. GDP</t>
  </si>
  <si>
    <t>non-recurrent tax (excl. local govt taxes)/non agric. GDP</t>
  </si>
  <si>
    <t>other recurrent tax (excl. local govt taxes)/non agric. GDP</t>
  </si>
  <si>
    <t>G &amp; S taxes: General (excl. local govt taxes)/GDP</t>
  </si>
  <si>
    <t>G &amp; S taxes: Sales (excl. local govt taxes)/GDP</t>
  </si>
  <si>
    <t>general tax (excl. local govt taxes)/non agric. GDP</t>
  </si>
  <si>
    <t>sales tax (excl. local govt taxes)/non agric. GDP</t>
  </si>
  <si>
    <t>turnover&amp; other general tax (excl. local govt taxes)/non agric. GDP</t>
  </si>
  <si>
    <t xml:space="preserve">    general taxes - 'buyoancy factor' of property taxes/non agric GDP ratio</t>
  </si>
  <si>
    <t xml:space="preserve">    immovable taxes - 'buyoancy factor' of immovable taxes/non agric GDP ratio</t>
  </si>
  <si>
    <t xml:space="preserve">    estate taxes - 'buyoancy factor' of estate taxes/non agric GDP ratio</t>
  </si>
  <si>
    <t xml:space="preserve">    financial&amp; capital taxes - 'buyoancy factor' of fiancial&amp; capital taxes/non agric GDP ratio</t>
  </si>
  <si>
    <t xml:space="preserve">   non-current taxes - 'buyoancy factor' of non-current taxes/non agric GDP ratio</t>
  </si>
  <si>
    <t xml:space="preserve">    other recurrent taxes - 'buyoancy factor' of other recurrentt axes/non agric GDP ratio</t>
  </si>
  <si>
    <t xml:space="preserve">    sales taxes - 'buyoancy factor' of sales taxes/non agric GDP ratio</t>
  </si>
  <si>
    <t xml:space="preserve"> turnover&amp; other general taxes - 'buyoancy factor' of turnover taxes/non agric GDP ratio</t>
  </si>
  <si>
    <t>G &amp; S taxes: turnoverand other general  G &amp; S(excl. local govt taxes)/GDP</t>
  </si>
  <si>
    <t>G &amp; S taxes: profit of fiscal monopolies (excl. local govt taxes)/GDP</t>
  </si>
  <si>
    <t>profit of fiscal monopolies tax (excl. local govt taxes)/non agric. GDP</t>
  </si>
  <si>
    <t>profit of fiscal monopolies taxes - 'buyoancy factor' of monopolies taxes/non agric GDP ratio</t>
  </si>
  <si>
    <t>specific services tax (excl. local govt taxes)/non agric. GDP</t>
  </si>
  <si>
    <t>G &amp; S taxes: specific services (excl. local govt taxes)/GDP</t>
  </si>
  <si>
    <t>specific services taxes - 'buyoancy factor' of specific services taxes/non agric GDP ratio</t>
  </si>
  <si>
    <t>G &amp; S taxes: use of goods, permission to use Gds (excl. local govt taxes)/GDP</t>
  </si>
  <si>
    <t>use,permission to use gds tax (excl. local govt taxes)/non agric. GDP</t>
  </si>
  <si>
    <t>use,permission to use Gds taxes - 'buyoancy factor' of use,perms to use Gds taxes/non agric GDP ratio</t>
  </si>
  <si>
    <t>Exports</t>
  </si>
  <si>
    <t>VAT tax (excl. local govt taxes)/total consumption</t>
  </si>
  <si>
    <t>G &amp; S taxes: excises (excl. local govt taxes)/Total Consumption</t>
  </si>
  <si>
    <t xml:space="preserve">    VAT taxes - 'buyoancy factor' of VAT taxes/total consumption ratiio</t>
  </si>
  <si>
    <t>excises tax (excl. local govt taxes)/total consumption</t>
  </si>
  <si>
    <t xml:space="preserve"> excise taxes - 'buyoancy factor' of excise taxes/total consumption ratio</t>
  </si>
  <si>
    <t>G &amp; S taxes: Other (excl. local govt taxes)/GDP</t>
  </si>
  <si>
    <t>G &amp; S taxes: other taxes on googd and services  (excl. local govt taxes)/GDP</t>
  </si>
  <si>
    <t>other gods and services tax (excl. local govt taxes)/non agric. GDP</t>
  </si>
  <si>
    <t>other taxes goods and services - 'buyoancy factor' of other taxes on goods and services/non agric GDP ratio</t>
  </si>
  <si>
    <t>other taxes - 'buyoancy factor' of other taxes/non agric GDP ratio</t>
  </si>
  <si>
    <t>custms&amp; other import duties (excl. local govt taxes)/imports</t>
  </si>
  <si>
    <t>customs&amp;other import duties - 'buyoancy factor' of custom&amp;other imports duties/imports ratio</t>
  </si>
  <si>
    <t>taxes on exports (excl. local govt taxes)/exports</t>
  </si>
  <si>
    <t>taxes on exports - 'buyoancy factor' of taxes on exports/exports</t>
  </si>
  <si>
    <t>International trade: Profits of export or import monopolies (excl. local govt taxes)/GDP</t>
  </si>
  <si>
    <t>profits of export or import monopolies tax (excl. local govt taxes)/non agric. GDP</t>
  </si>
  <si>
    <t>profit of export or import monopolies taxes - 'buyoancy factor' of profit exp. or imp. monopoliestaxes/non agric GDP ratio</t>
  </si>
  <si>
    <t>exchange profits tax (excl. local govt taxes)/non agric. GDP</t>
  </si>
  <si>
    <t>International trade: Exchange profits tax (excl. local govt taxes)/GDP</t>
  </si>
  <si>
    <t>exchange profit taxes - 'buyoancy factor' of exchange profit taxes/non agric GDP ratio</t>
  </si>
  <si>
    <t>International trade: Other taxes on international trade and transactions (excl. local govt taxes)/GDP</t>
  </si>
  <si>
    <t>other taxes int. trade and transactions (excl. local govt taxes)/non agric. GDP</t>
  </si>
  <si>
    <t>other taxes on int. trade &amp; transac - 'buyoancy factor' other taxes on Int trad&amp; transac/non agric GDP ratio</t>
  </si>
  <si>
    <t>Exports (Average CY from Real block)</t>
  </si>
  <si>
    <t>International trade: Exchange  taxes (excl. local govt taxes)/GDP</t>
  </si>
  <si>
    <t>exchange tax (excl. local govt taxes)/non agric. GDP</t>
  </si>
  <si>
    <t>exchange taxes - 'buyoancy factor' of exchange taxes/non agric GDP ratio</t>
  </si>
  <si>
    <t>NA</t>
  </si>
  <si>
    <t>Net acquisition of nonfinancial assets</t>
  </si>
  <si>
    <t>IFMIS_PolLend1</t>
  </si>
  <si>
    <t>RRA GL Codes</t>
  </si>
  <si>
    <t>RRA Description</t>
  </si>
  <si>
    <t>AA010</t>
  </si>
  <si>
    <t>Pay As You Earn (PAYE)-Principal</t>
  </si>
  <si>
    <t>AA020</t>
  </si>
  <si>
    <t>Personal Income Tax (PIT)-Principal</t>
  </si>
  <si>
    <t>AA030</t>
  </si>
  <si>
    <t>Capital Gains Tax - Principal</t>
  </si>
  <si>
    <t>AA060</t>
  </si>
  <si>
    <t>Withholding Tax 15% on Service Fees - Principal</t>
  </si>
  <si>
    <t>AA070</t>
  </si>
  <si>
    <t>Withholding Tax 10% on Service Fees - Principal</t>
  </si>
  <si>
    <t>AA080</t>
  </si>
  <si>
    <t>Withholding Tax - Commissions - Principal</t>
  </si>
  <si>
    <t>AA090</t>
  </si>
  <si>
    <t>Withholding Tax on Lottery &amp; Games - Principal</t>
  </si>
  <si>
    <t>AA120</t>
  </si>
  <si>
    <t>Withholding Tax - Performance Payments-Principal</t>
  </si>
  <si>
    <t>AA140</t>
  </si>
  <si>
    <t>Withholding Tax on Bank Interest-Principal</t>
  </si>
  <si>
    <t>AA160</t>
  </si>
  <si>
    <t>Withholding Tax on Dividends-Principal</t>
  </si>
  <si>
    <t>GG020</t>
  </si>
  <si>
    <t>Rental Income Tax principal</t>
  </si>
  <si>
    <t>-</t>
  </si>
  <si>
    <t>AA040</t>
  </si>
  <si>
    <t>Corporate  Income Tax (CIT) - Principal</t>
  </si>
  <si>
    <t>AA110</t>
  </si>
  <si>
    <t>Withholding Tax -Management Fees - Principal</t>
  </si>
  <si>
    <t>AA150</t>
  </si>
  <si>
    <t>AA170</t>
  </si>
  <si>
    <t>Withholding Tax 3 % Public Supply - Principal</t>
  </si>
  <si>
    <t>AA100</t>
  </si>
  <si>
    <t>Withholding Tax-Treasury bonds - Principal</t>
  </si>
  <si>
    <t>FF060</t>
  </si>
  <si>
    <t>Land Lease Fees principal</t>
  </si>
  <si>
    <t>GG010</t>
  </si>
  <si>
    <t>Fixed asset Tax Principal</t>
  </si>
  <si>
    <t>BB010</t>
  </si>
  <si>
    <t>Motovehicle Registration (Domestic)-Principal</t>
  </si>
  <si>
    <t>CC010</t>
  </si>
  <si>
    <t>Value Added Tax(VAT)- Principal</t>
  </si>
  <si>
    <t>CC020</t>
  </si>
  <si>
    <t>Withholding VAT on Public Institution - Principal</t>
  </si>
  <si>
    <t>CC030</t>
  </si>
  <si>
    <t xml:space="preserve">VAT Collection on Imports </t>
  </si>
  <si>
    <t>DD025</t>
  </si>
  <si>
    <t>Change of ownership</t>
  </si>
  <si>
    <t>FF790</t>
  </si>
  <si>
    <t>Fees Charged for Services related to the documents of Immovable Property</t>
  </si>
  <si>
    <t>FF810</t>
  </si>
  <si>
    <t>Changing Ownership of Immovable Property for any reason</t>
  </si>
  <si>
    <t>WW102</t>
  </si>
  <si>
    <t>Motor vehicle ownership transfer</t>
  </si>
  <si>
    <t>WW103</t>
  </si>
  <si>
    <t>Moto Cycle Ownership transfer</t>
  </si>
  <si>
    <t>CC040</t>
  </si>
  <si>
    <t>Excise duty - Local Mineral water -Principal</t>
  </si>
  <si>
    <t>CC050</t>
  </si>
  <si>
    <t>Excise Duty  on Mineral Water - imports</t>
  </si>
  <si>
    <t>CC060</t>
  </si>
  <si>
    <t>Excise duty - Local Fruit Juice - Principal</t>
  </si>
  <si>
    <t>CC070</t>
  </si>
  <si>
    <t>Excise duty - Local other Juice  - Principal</t>
  </si>
  <si>
    <t>CC080</t>
  </si>
  <si>
    <t>Excise Duty- Local Soft Drink - Principal</t>
  </si>
  <si>
    <t>CC090</t>
  </si>
  <si>
    <t>Excise Duty on Soft Drinks - imports</t>
  </si>
  <si>
    <t>CC100</t>
  </si>
  <si>
    <t>Excise duty- Local Beer Principal</t>
  </si>
  <si>
    <t>CC110</t>
  </si>
  <si>
    <t>Excise Duty on Beer - imports</t>
  </si>
  <si>
    <t>CC120</t>
  </si>
  <si>
    <t>Excise duty - Local Wines &amp;Liquor- Principal</t>
  </si>
  <si>
    <t>CC130</t>
  </si>
  <si>
    <t>Excise Duty on Wines and Liquors - imports</t>
  </si>
  <si>
    <t>CC140</t>
  </si>
  <si>
    <t>Excise duty - Local Cigarettes -Principal</t>
  </si>
  <si>
    <t>CC150</t>
  </si>
  <si>
    <t>Excise Duty on Cigarettes - imports</t>
  </si>
  <si>
    <t>CC160</t>
  </si>
  <si>
    <t>Excise duty - Local Airtime - Principal</t>
  </si>
  <si>
    <t>CC170</t>
  </si>
  <si>
    <t>Excise Duty on Petroleum Products  - imports</t>
  </si>
  <si>
    <t>CC180</t>
  </si>
  <si>
    <t>Excise Duty  on Vehicles - imports</t>
  </si>
  <si>
    <t>CC190</t>
  </si>
  <si>
    <t>Excise Duty  on Milk - imports</t>
  </si>
  <si>
    <t>CC210</t>
  </si>
  <si>
    <t>Excise duty- on Lubricant - Principal</t>
  </si>
  <si>
    <t>CC300</t>
  </si>
  <si>
    <t>Strategic Petroleum Reserve levy</t>
  </si>
  <si>
    <t>CC400</t>
  </si>
  <si>
    <t>Road Fund- Fuel levy (Road Transport fee)</t>
  </si>
  <si>
    <t>WW113</t>
  </si>
  <si>
    <t>Issuance of tax stamps on tobacco , liquors and wines</t>
  </si>
  <si>
    <t>AA050</t>
  </si>
  <si>
    <t>GAMING TAX -Principal</t>
  </si>
  <si>
    <t>GG030</t>
  </si>
  <si>
    <t>Trading License Tax (Patent) principal</t>
  </si>
  <si>
    <t>FF480</t>
  </si>
  <si>
    <t>Mines Exploitation License</t>
  </si>
  <si>
    <t>FF490</t>
  </si>
  <si>
    <t>Mines Selling License</t>
  </si>
  <si>
    <t>FF520</t>
  </si>
  <si>
    <t>Quarry Exploitation License</t>
  </si>
  <si>
    <t>FF530</t>
  </si>
  <si>
    <t>Licenses To Exploit Sub-Soil Assets</t>
  </si>
  <si>
    <t>MM143</t>
  </si>
  <si>
    <t>MM147</t>
  </si>
  <si>
    <t>Forestry and Natural conservation (FNC)</t>
  </si>
  <si>
    <t>MM148</t>
  </si>
  <si>
    <t>Integrated water resources management fees</t>
  </si>
  <si>
    <t>AA180</t>
  </si>
  <si>
    <t>Withholding 5% Tax on imports</t>
  </si>
  <si>
    <t>BB020</t>
  </si>
  <si>
    <t>Moto vehicles Registrations-Customs</t>
  </si>
  <si>
    <t>DD010</t>
  </si>
  <si>
    <t>Import Duty on  Petrol Products</t>
  </si>
  <si>
    <t>DD011</t>
  </si>
  <si>
    <t xml:space="preserve">Import Duty on other Goods </t>
  </si>
  <si>
    <t>DD012</t>
  </si>
  <si>
    <t>Surcharges</t>
  </si>
  <si>
    <t>DD024</t>
  </si>
  <si>
    <t>Customs Duties sur P V</t>
  </si>
  <si>
    <t>DD050</t>
  </si>
  <si>
    <t>Revenues from motovehicle entry card</t>
  </si>
  <si>
    <t>DD070</t>
  </si>
  <si>
    <t>Infrastructure Development Levy</t>
  </si>
  <si>
    <t>DD071</t>
  </si>
  <si>
    <t xml:space="preserve">African Union  Import levy </t>
  </si>
  <si>
    <t>DD021</t>
  </si>
  <si>
    <t>Congolese Trucks carrying sand from Rubavu to DRC</t>
  </si>
  <si>
    <t>DD032</t>
  </si>
  <si>
    <t>Re-exportation</t>
  </si>
  <si>
    <t>DD036</t>
  </si>
  <si>
    <t>Congolese with business in DRC who cross daily to Rubavu</t>
  </si>
  <si>
    <t>DD060</t>
  </si>
  <si>
    <t>Export tax on Hides &amp; Skins</t>
  </si>
  <si>
    <t>AA011</t>
  </si>
  <si>
    <t>Pay As You Earn (PAYE)-Interests</t>
  </si>
  <si>
    <t>AA021</t>
  </si>
  <si>
    <t>Personal Income Tax (PIT)-Interests</t>
  </si>
  <si>
    <t>AA041</t>
  </si>
  <si>
    <t>Corporate  Income Tax (CIT)  - Interests</t>
  </si>
  <si>
    <t>AA051</t>
  </si>
  <si>
    <t>GAMING TAX Interest</t>
  </si>
  <si>
    <t>AA061</t>
  </si>
  <si>
    <t>Withholding Tax 15% on Service Fees - Interest</t>
  </si>
  <si>
    <t>AA071</t>
  </si>
  <si>
    <t>Withholding Tax 10% on Service Fees - Interest</t>
  </si>
  <si>
    <t>AA081</t>
  </si>
  <si>
    <t>Withholding Tax - Commissions - Interest</t>
  </si>
  <si>
    <t>AA091</t>
  </si>
  <si>
    <t>Withholding Tax on Lottery &amp; Games - Interest</t>
  </si>
  <si>
    <t>AA101</t>
  </si>
  <si>
    <t>Withholding Tax-Treasury bonds - Interest</t>
  </si>
  <si>
    <t>AA111</t>
  </si>
  <si>
    <t>Withholding Tax -Management Fees - Interest</t>
  </si>
  <si>
    <t>AA121</t>
  </si>
  <si>
    <t>Withholding Tax - Performance Payments-Interest</t>
  </si>
  <si>
    <t>AA131</t>
  </si>
  <si>
    <t>Withholding Tax on Royalties- Interest</t>
  </si>
  <si>
    <t>AA141</t>
  </si>
  <si>
    <t>Withholding Tax on Bank Interest-Interests</t>
  </si>
  <si>
    <t>AA142</t>
  </si>
  <si>
    <t>Withholding Tax on Bank Interest-Penalties</t>
  </si>
  <si>
    <t>AA151</t>
  </si>
  <si>
    <t>AA161</t>
  </si>
  <si>
    <t>Withholding Tax on Dividends-Interest</t>
  </si>
  <si>
    <t>AA171</t>
  </si>
  <si>
    <t>Withholding Tax 3 % Public Supply - Interest</t>
  </si>
  <si>
    <t>BB011</t>
  </si>
  <si>
    <t>Motovehicle Registration (Domestic)-Interest</t>
  </si>
  <si>
    <t>CC011</t>
  </si>
  <si>
    <t>Value Added Tax(VAT) - Interests</t>
  </si>
  <si>
    <t>CC041</t>
  </si>
  <si>
    <t>Excise duty - Local Mineral water -Interest</t>
  </si>
  <si>
    <t>CC061</t>
  </si>
  <si>
    <t>Excise duty - Local Fruit Juice - Interest</t>
  </si>
  <si>
    <t>CC071</t>
  </si>
  <si>
    <t>Excise duty - Local other Juice  - Interest</t>
  </si>
  <si>
    <t>CC081</t>
  </si>
  <si>
    <t>Excise Duty- Local Soft Drink - Interests</t>
  </si>
  <si>
    <t>CC101</t>
  </si>
  <si>
    <t>Excise duty- Local Beer Interest</t>
  </si>
  <si>
    <t>CC121</t>
  </si>
  <si>
    <t>Excise duty - Local Wines &amp;Liquor- Interst</t>
  </si>
  <si>
    <t>CC141</t>
  </si>
  <si>
    <t>Excise duty - Local Cigarettes -Interest</t>
  </si>
  <si>
    <t>CC161</t>
  </si>
  <si>
    <t>Excise duty - Local Airtime - Interests</t>
  </si>
  <si>
    <t>CC201</t>
  </si>
  <si>
    <t>Royalty Tax on Mining - Interests</t>
  </si>
  <si>
    <t>CC211</t>
  </si>
  <si>
    <t>Excise duty- on Lubricant - Interest</t>
  </si>
  <si>
    <t>FF012</t>
  </si>
  <si>
    <t>Arrears Fees_INTEREST</t>
  </si>
  <si>
    <t>FF022</t>
  </si>
  <si>
    <t xml:space="preserve">Advertising on Billboard _x000D_Interest
</t>
  </si>
  <si>
    <t>FF042</t>
  </si>
  <si>
    <t xml:space="preserve">Communication towers_x000D_ interest
</t>
  </si>
  <si>
    <t>FF062</t>
  </si>
  <si>
    <t>Land Lease Fees interest</t>
  </si>
  <si>
    <t>FF072</t>
  </si>
  <si>
    <t>Market Fee_INTEREST</t>
  </si>
  <si>
    <t>FF782</t>
  </si>
  <si>
    <t>Public Cleaning interest</t>
  </si>
  <si>
    <t>GG012</t>
  </si>
  <si>
    <t>Fixed asset Tax interest</t>
  </si>
  <si>
    <t>GG022</t>
  </si>
  <si>
    <t>Rental Income Tax interest</t>
  </si>
  <si>
    <t>GG032</t>
  </si>
  <si>
    <t>Trading License Tax (Patent) interest</t>
  </si>
  <si>
    <t>AA130</t>
  </si>
  <si>
    <t>Withholding Tax on Royalties- Principal</t>
  </si>
  <si>
    <t>CC200</t>
  </si>
  <si>
    <t>Royalty Tax on Mining - Principal</t>
  </si>
  <si>
    <t>DD022</t>
  </si>
  <si>
    <t>Query</t>
  </si>
  <si>
    <t>DD023</t>
  </si>
  <si>
    <t>Licensing fee for bonded warehouse</t>
  </si>
  <si>
    <t>DD026</t>
  </si>
  <si>
    <t>Change of destination</t>
  </si>
  <si>
    <t>DD027</t>
  </si>
  <si>
    <t>DTDR Spontanee/DDCom Spontanee</t>
  </si>
  <si>
    <t>DD029</t>
  </si>
  <si>
    <t>Archive documents</t>
  </si>
  <si>
    <t>DD030</t>
  </si>
  <si>
    <t>Transhipment</t>
  </si>
  <si>
    <t>DD031</t>
  </si>
  <si>
    <t>Cancellation</t>
  </si>
  <si>
    <t>DD034</t>
  </si>
  <si>
    <t>Licensing fee for clearing agency</t>
  </si>
  <si>
    <t>DD035</t>
  </si>
  <si>
    <t xml:space="preserve">Licensing fee for Transit or Transport </t>
  </si>
  <si>
    <t>DD037</t>
  </si>
  <si>
    <t>Licensing fees</t>
  </si>
  <si>
    <t>DD038</t>
  </si>
  <si>
    <t>Temporary imported foreign vehicles  administrative fees</t>
  </si>
  <si>
    <t>DD039</t>
  </si>
  <si>
    <t>Customs Fees</t>
  </si>
  <si>
    <t>DD080</t>
  </si>
  <si>
    <t>Other Warehousing Fees</t>
  </si>
  <si>
    <t>DD090</t>
  </si>
  <si>
    <t>Quality Inspection Fees</t>
  </si>
  <si>
    <t>DD100</t>
  </si>
  <si>
    <t>Public Auction</t>
  </si>
  <si>
    <t>FF010</t>
  </si>
  <si>
    <t>Arrears Fees_PRINCIPAL</t>
  </si>
  <si>
    <t>FF020</t>
  </si>
  <si>
    <t xml:space="preserve">Advertising on Billboard _x000D_Principal
</t>
  </si>
  <si>
    <t>FF030</t>
  </si>
  <si>
    <t>Boat Number Plate</t>
  </si>
  <si>
    <t>FF040</t>
  </si>
  <si>
    <t xml:space="preserve">Communication towers_x000D_ principal
</t>
  </si>
  <si>
    <t>FF070</t>
  </si>
  <si>
    <t>Market Fee_PRINCIPAL</t>
  </si>
  <si>
    <t>FF080</t>
  </si>
  <si>
    <t>Charged on Official Certificates and Documents to be notified by public notary</t>
  </si>
  <si>
    <t>FF090</t>
  </si>
  <si>
    <t>Authentification of a signature on Documents</t>
  </si>
  <si>
    <t>FF100</t>
  </si>
  <si>
    <t>Civil Status Certificate</t>
  </si>
  <si>
    <t>FF110</t>
  </si>
  <si>
    <t>Notarization for by laws</t>
  </si>
  <si>
    <t>FF120</t>
  </si>
  <si>
    <t>Notarization of any agreements</t>
  </si>
  <si>
    <t>FF121</t>
  </si>
  <si>
    <t>Notification of land related documents by notary</t>
  </si>
  <si>
    <t>FF130</t>
  </si>
  <si>
    <t>Public Auction of Private Immovable Property</t>
  </si>
  <si>
    <t>FF140</t>
  </si>
  <si>
    <t>Marriage Booklet</t>
  </si>
  <si>
    <t>FF150</t>
  </si>
  <si>
    <t>Any Other Certificates whose cost has not been determined</t>
  </si>
  <si>
    <t>FF160</t>
  </si>
  <si>
    <t>Changing names or shares certificates in companies</t>
  </si>
  <si>
    <t>FF170</t>
  </si>
  <si>
    <t>Fee Charged On Civil Marriage Done Outside The Official Business Days</t>
  </si>
  <si>
    <t>FF180</t>
  </si>
  <si>
    <t>Registration Cancellation review or Assignment of Debt Mortgage</t>
  </si>
  <si>
    <t>FF190</t>
  </si>
  <si>
    <t>Authentification of Bank Loan agreement fees(Obtaining Volume Number)</t>
  </si>
  <si>
    <t>FF200</t>
  </si>
  <si>
    <t>Normal Civil mariage fees</t>
  </si>
  <si>
    <t>FF210</t>
  </si>
  <si>
    <t>Copy of Short civil status certificate</t>
  </si>
  <si>
    <t>FF220</t>
  </si>
  <si>
    <t>Short civil status certificate</t>
  </si>
  <si>
    <t>FF230</t>
  </si>
  <si>
    <t>Living or death Certificate</t>
  </si>
  <si>
    <t>FF240</t>
  </si>
  <si>
    <t>Identification Certificate fees</t>
  </si>
  <si>
    <t>FF250</t>
  </si>
  <si>
    <t>Birth Certificate</t>
  </si>
  <si>
    <t>FF260</t>
  </si>
  <si>
    <t>Marriage Certificate</t>
  </si>
  <si>
    <t>FF270</t>
  </si>
  <si>
    <t>Certificate of Celibacy</t>
  </si>
  <si>
    <t>FF280</t>
  </si>
  <si>
    <t>Authentification of Documents</t>
  </si>
  <si>
    <t>FF290</t>
  </si>
  <si>
    <t>Certificate of Divorce</t>
  </si>
  <si>
    <t>FF300</t>
  </si>
  <si>
    <t>Widows Certificate</t>
  </si>
  <si>
    <t>FF310</t>
  </si>
  <si>
    <t>Certificate of Nationality</t>
  </si>
  <si>
    <t>FF320</t>
  </si>
  <si>
    <t>Certificate of Residence</t>
  </si>
  <si>
    <t>FF330</t>
  </si>
  <si>
    <t>Certificate of Cohabitation</t>
  </si>
  <si>
    <t>FF340</t>
  </si>
  <si>
    <t>Out Sourcing Fees</t>
  </si>
  <si>
    <t>FF380</t>
  </si>
  <si>
    <t>Public Cementery</t>
  </si>
  <si>
    <t>FF390</t>
  </si>
  <si>
    <t>Transport of Materials from quarries and forests</t>
  </si>
  <si>
    <t>FF400</t>
  </si>
  <si>
    <t>Other Fees</t>
  </si>
  <si>
    <t>FF460</t>
  </si>
  <si>
    <t>Public Cemetery</t>
  </si>
  <si>
    <t>FF470</t>
  </si>
  <si>
    <t>Transportation of timber permit</t>
  </si>
  <si>
    <t>FF500</t>
  </si>
  <si>
    <t>Animal Vaccination fees</t>
  </si>
  <si>
    <t>FF540</t>
  </si>
  <si>
    <t>A document from a case file</t>
  </si>
  <si>
    <t>FF550</t>
  </si>
  <si>
    <t>Underground Road crossing installation Permit</t>
  </si>
  <si>
    <t>FF570</t>
  </si>
  <si>
    <t>Cadastral plan</t>
  </si>
  <si>
    <t>FF580</t>
  </si>
  <si>
    <t xml:space="preserve">	Sale of Tender Documents</t>
  </si>
  <si>
    <t>FF590</t>
  </si>
  <si>
    <t>Insemination fees</t>
  </si>
  <si>
    <t>FF600</t>
  </si>
  <si>
    <t>Fees on Authorization to adopt a kid</t>
  </si>
  <si>
    <t>FF620</t>
  </si>
  <si>
    <t>Dowry Registration fees</t>
  </si>
  <si>
    <t>FF630</t>
  </si>
  <si>
    <t>FF640</t>
  </si>
  <si>
    <t>Passport request fee</t>
  </si>
  <si>
    <t>FF650</t>
  </si>
  <si>
    <t>ibyangombwa ku abantu bafite Ubumuga</t>
  </si>
  <si>
    <t>FF660</t>
  </si>
  <si>
    <t xml:space="preserve">Affidavit Fees </t>
  </si>
  <si>
    <t>FF680</t>
  </si>
  <si>
    <t>Animal ear tag  fees</t>
  </si>
  <si>
    <t>FF700</t>
  </si>
  <si>
    <t>Admin fines</t>
  </si>
  <si>
    <t>FF710</t>
  </si>
  <si>
    <t>Forests Fees</t>
  </si>
  <si>
    <t>FF720</t>
  </si>
  <si>
    <t>Livestock transportation permit</t>
  </si>
  <si>
    <t>FF800</t>
  </si>
  <si>
    <t>Fees Charged on Authorization to burn Firewood Clay briks and Roof Tiles</t>
  </si>
  <si>
    <t>FF820</t>
  </si>
  <si>
    <t>Advertising on Banners</t>
  </si>
  <si>
    <t>FF830</t>
  </si>
  <si>
    <t>Bicycle Number Plate</t>
  </si>
  <si>
    <t>FF840</t>
  </si>
  <si>
    <t>Printing Form</t>
  </si>
  <si>
    <t>FF850</t>
  </si>
  <si>
    <t>Document Fees</t>
  </si>
  <si>
    <t>FF860</t>
  </si>
  <si>
    <t>Building construction permit(0-100 SQUARE_METER)</t>
  </si>
  <si>
    <t>FF870</t>
  </si>
  <si>
    <t>Building construction permit(100-500_SQUARE_METER)</t>
  </si>
  <si>
    <t>FF880</t>
  </si>
  <si>
    <t>Building construction permit(&gt;500_SQUARE_METER)</t>
  </si>
  <si>
    <t>FF890</t>
  </si>
  <si>
    <t>Building permit and measurement of land plot in imidugudu located in rural areas</t>
  </si>
  <si>
    <t>FF900</t>
  </si>
  <si>
    <t>Changes or requests for a new land lease title</t>
  </si>
  <si>
    <t>FF910</t>
  </si>
  <si>
    <t>Authorization for repair rehabilitation of houses or erection of a fence around a house in Kigali City</t>
  </si>
  <si>
    <t>FF920</t>
  </si>
  <si>
    <t>Authorization for repair rehabilitation of houses or erection of a fence around a house in other areas</t>
  </si>
  <si>
    <t>FF930</t>
  </si>
  <si>
    <t>Request for a map showing the boundaries design and acreage of a land plot</t>
  </si>
  <si>
    <t>FF940</t>
  </si>
  <si>
    <t>Land Sub Division</t>
  </si>
  <si>
    <t>FF950</t>
  </si>
  <si>
    <t>Land merging</t>
  </si>
  <si>
    <t>FF960</t>
  </si>
  <si>
    <t>Change of land use</t>
  </si>
  <si>
    <t>MM101</t>
  </si>
  <si>
    <t>Passport/Travel Document Fees</t>
  </si>
  <si>
    <t>MM102</t>
  </si>
  <si>
    <t>Migration Visas</t>
  </si>
  <si>
    <t>MM103</t>
  </si>
  <si>
    <t>Notary Charges</t>
  </si>
  <si>
    <t>MM106</t>
  </si>
  <si>
    <t>Driving Licenses</t>
  </si>
  <si>
    <t>MM112</t>
  </si>
  <si>
    <t>Collections from Ambassies</t>
  </si>
  <si>
    <t>MM114</t>
  </si>
  <si>
    <t>Sale Of Accreditation Cards</t>
  </si>
  <si>
    <t>MM122</t>
  </si>
  <si>
    <t>Chancellerie Rights Legislation And State Preview</t>
  </si>
  <si>
    <t>MM124</t>
  </si>
  <si>
    <t>Other Administrative  Fees</t>
  </si>
  <si>
    <t>MM128</t>
  </si>
  <si>
    <t>Rwanda Housing Authority Administrative  Fees</t>
  </si>
  <si>
    <t>MM130</t>
  </si>
  <si>
    <t>Other Driving License Fees and Exams</t>
  </si>
  <si>
    <t>MM131</t>
  </si>
  <si>
    <t>Examination Fees - MINEDUC</t>
  </si>
  <si>
    <t>MM135</t>
  </si>
  <si>
    <t>Systematic Land Registration</t>
  </si>
  <si>
    <t>MM136</t>
  </si>
  <si>
    <t>Orthophotos Fees</t>
  </si>
  <si>
    <t>MM137</t>
  </si>
  <si>
    <t>Land Registration Certificate Fees</t>
  </si>
  <si>
    <t>MM138</t>
  </si>
  <si>
    <t>Blood transfusion fees</t>
  </si>
  <si>
    <t>MM140</t>
  </si>
  <si>
    <t>Sanitary photo certificate  -MINAGRI</t>
  </si>
  <si>
    <t>MM141</t>
  </si>
  <si>
    <t>Waste disposal Fees</t>
  </si>
  <si>
    <t>MM149</t>
  </si>
  <si>
    <t>Gacaca/CNLG Fees</t>
  </si>
  <si>
    <t>MM153</t>
  </si>
  <si>
    <t>Application for National ID</t>
  </si>
  <si>
    <t>MM154</t>
  </si>
  <si>
    <t xml:space="preserve">Citizen and children registration </t>
  </si>
  <si>
    <t>MM155</t>
  </si>
  <si>
    <t>Civil Society Organization Registration</t>
  </si>
  <si>
    <t>RR102</t>
  </si>
  <si>
    <t xml:space="preserve">Rental of plates numbers </t>
  </si>
  <si>
    <t>RR106</t>
  </si>
  <si>
    <t>Location fees for Communication Towers</t>
  </si>
  <si>
    <t>WW100</t>
  </si>
  <si>
    <t>Tax clearance certificate</t>
  </si>
  <si>
    <t>WW101</t>
  </si>
  <si>
    <t>Quitus Fiscal</t>
  </si>
  <si>
    <t>WW104</t>
  </si>
  <si>
    <t>Issuance of New Plate for Motor Vehicle  when the other is lost damaged or old</t>
  </si>
  <si>
    <t>WW105</t>
  </si>
  <si>
    <t xml:space="preserve">Issuance of New Plate for Motor cycle &amp; square plate number for Motor vehicles when the other is lost damaged or old </t>
  </si>
  <si>
    <t>WW106</t>
  </si>
  <si>
    <t>Lost of log book</t>
  </si>
  <si>
    <t>WW107</t>
  </si>
  <si>
    <t>Request of hard copies of declaration</t>
  </si>
  <si>
    <t>WW108</t>
  </si>
  <si>
    <t>Tax arrears certificate (for public tender)</t>
  </si>
  <si>
    <t>WW109</t>
  </si>
  <si>
    <t>Duplicate  sticker</t>
  </si>
  <si>
    <t>WW110</t>
  </si>
  <si>
    <t xml:space="preserve">Ownership certificate </t>
  </si>
  <si>
    <t>WW111</t>
  </si>
  <si>
    <t>Application fees for tax advisors</t>
  </si>
  <si>
    <t>WW112</t>
  </si>
  <si>
    <t>Application fees for ICPAR Members</t>
  </si>
  <si>
    <t>WW200</t>
  </si>
  <si>
    <t>Computer processing Fees</t>
  </si>
  <si>
    <t>WW202</t>
  </si>
  <si>
    <t>Certificates of origin</t>
  </si>
  <si>
    <t>WW203</t>
  </si>
  <si>
    <t>VI-BUHITA</t>
  </si>
  <si>
    <t>WW204</t>
  </si>
  <si>
    <t>Exemption form</t>
  </si>
  <si>
    <t>WW205</t>
  </si>
  <si>
    <t>Seales</t>
  </si>
  <si>
    <t>WW206</t>
  </si>
  <si>
    <t>GSP ASP AGOA</t>
  </si>
  <si>
    <t>WW207</t>
  </si>
  <si>
    <t>Application fees</t>
  </si>
  <si>
    <t>WW208</t>
  </si>
  <si>
    <t>Bagdes fee</t>
  </si>
  <si>
    <t>WW209</t>
  </si>
  <si>
    <t>Euro1</t>
  </si>
  <si>
    <t>WW210</t>
  </si>
  <si>
    <t>Empty manifest</t>
  </si>
  <si>
    <t>CC401</t>
  </si>
  <si>
    <t>Road Fund- Road toll</t>
  </si>
  <si>
    <t>DD033</t>
  </si>
  <si>
    <t>Amande</t>
  </si>
  <si>
    <t>FF050</t>
  </si>
  <si>
    <t>kvcs fees_PRINCIPAL</t>
  </si>
  <si>
    <t>FF350</t>
  </si>
  <si>
    <t>Parking Fee</t>
  </si>
  <si>
    <t>FF360</t>
  </si>
  <si>
    <t>Public Parking</t>
  </si>
  <si>
    <t>FF370</t>
  </si>
  <si>
    <t>Boat Parking</t>
  </si>
  <si>
    <t>FF510</t>
  </si>
  <si>
    <t>Proceeds From Rentals</t>
  </si>
  <si>
    <t>FF560</t>
  </si>
  <si>
    <t>District Water Bill</t>
  </si>
  <si>
    <t>FF610</t>
  </si>
  <si>
    <t>Sale Of Flags</t>
  </si>
  <si>
    <t>FF690</t>
  </si>
  <si>
    <t>To whom it may concern</t>
  </si>
  <si>
    <t>FF780</t>
  </si>
  <si>
    <t>Public Cleaning principal</t>
  </si>
  <si>
    <t>MM104</t>
  </si>
  <si>
    <t>MM108</t>
  </si>
  <si>
    <t>General laboratories Test</t>
  </si>
  <si>
    <t>MM109</t>
  </si>
  <si>
    <t>Sale Of Official Gazette</t>
  </si>
  <si>
    <t>MM111</t>
  </si>
  <si>
    <t>MM115</t>
  </si>
  <si>
    <t>Sale of Standards(SS)</t>
  </si>
  <si>
    <t>MM116</t>
  </si>
  <si>
    <t>RBS Laboratory Fees</t>
  </si>
  <si>
    <t>MM117</t>
  </si>
  <si>
    <t>Calibration and Verification Charges</t>
  </si>
  <si>
    <t>MM125</t>
  </si>
  <si>
    <t>Sale Of Geographical Maps</t>
  </si>
  <si>
    <t>MM132</t>
  </si>
  <si>
    <t>Book Sales - MINEDUC</t>
  </si>
  <si>
    <t>MM134</t>
  </si>
  <si>
    <t xml:space="preserve">National Museum Institute Fees </t>
  </si>
  <si>
    <t>MM152</t>
  </si>
  <si>
    <t>East Africa Tourist Visa (EATV)</t>
  </si>
  <si>
    <t>RR101</t>
  </si>
  <si>
    <t>Agricultural revenues</t>
  </si>
  <si>
    <t>RR103</t>
  </si>
  <si>
    <t>Sale Of Used State Objects -Public Auction</t>
  </si>
  <si>
    <t>RR104</t>
  </si>
  <si>
    <t>Hire of Halls and Other GOR Facilities</t>
  </si>
  <si>
    <t>RR105</t>
  </si>
  <si>
    <t>Rent of public administration lands</t>
  </si>
  <si>
    <t>WW201</t>
  </si>
  <si>
    <t>Ventes imprimes</t>
  </si>
  <si>
    <t>AA012</t>
  </si>
  <si>
    <t>Pay As You Earn (PAYE)-Penalties</t>
  </si>
  <si>
    <t>AA022</t>
  </si>
  <si>
    <t>Personal Income Tax (PIT)-Penalties</t>
  </si>
  <si>
    <t>AA032</t>
  </si>
  <si>
    <t>Capital Gains Tax - Penalties</t>
  </si>
  <si>
    <t>AA042</t>
  </si>
  <si>
    <t>Corporate  Income Tax (CIT)- Penalties</t>
  </si>
  <si>
    <t>AA052</t>
  </si>
  <si>
    <t>GAMING TAX PENALTY</t>
  </si>
  <si>
    <t>AA062</t>
  </si>
  <si>
    <t>Withholding Tax 15% on Service Fees - Penalty</t>
  </si>
  <si>
    <t>AA072</t>
  </si>
  <si>
    <t>Withholding Tax 10% on Service Fees - Penalty</t>
  </si>
  <si>
    <t>AA082</t>
  </si>
  <si>
    <t>Withholding Tax - Commissions - Penalty</t>
  </si>
  <si>
    <t>AA092</t>
  </si>
  <si>
    <t>Withholding Tax on Lottery &amp; Games - Penalty</t>
  </si>
  <si>
    <t>AA102</t>
  </si>
  <si>
    <t>Withholding Tax-Treasury bonds - Penalty</t>
  </si>
  <si>
    <t>AA112</t>
  </si>
  <si>
    <t>Withholding Tax -Management Fees - Penalty</t>
  </si>
  <si>
    <t>AA122</t>
  </si>
  <si>
    <t>Withholding Tax - Performance Payments-Penalty</t>
  </si>
  <si>
    <t>AA132</t>
  </si>
  <si>
    <t>Withholding Tax on Royalties- Penalty</t>
  </si>
  <si>
    <t>AA152</t>
  </si>
  <si>
    <t>AA162</t>
  </si>
  <si>
    <t>Withholding Tax on Dividends-Penalty</t>
  </si>
  <si>
    <t>AA172</t>
  </si>
  <si>
    <t>Withholding Tax 3 % Public Supply - Penalty</t>
  </si>
  <si>
    <t>BB012</t>
  </si>
  <si>
    <t>Motovehicle Registration (Domestic)-Penality</t>
  </si>
  <si>
    <t>CC012</t>
  </si>
  <si>
    <t>Value Added Tax(VAT) - Penalty</t>
  </si>
  <si>
    <t>CC022</t>
  </si>
  <si>
    <t>Withholding VAT on Public Institution - Penalties</t>
  </si>
  <si>
    <t>CC042</t>
  </si>
  <si>
    <t>Excise duty - Local Mineral water -Penalty</t>
  </si>
  <si>
    <t>CC062</t>
  </si>
  <si>
    <t>Excise duty - Local Fruit Juice - Penalty</t>
  </si>
  <si>
    <t>CC072</t>
  </si>
  <si>
    <t>Excise duty - Local other Juice  - Penalty</t>
  </si>
  <si>
    <t>CC082</t>
  </si>
  <si>
    <t>Excise Duty- Local Soft Drink - Penalties</t>
  </si>
  <si>
    <t>CC102</t>
  </si>
  <si>
    <t>Excise Duty- Local Beer Penalties</t>
  </si>
  <si>
    <t>CC122</t>
  </si>
  <si>
    <t>Excise duty - Local Wines &amp;Liquor- Penalty</t>
  </si>
  <si>
    <t>CC142</t>
  </si>
  <si>
    <t>Excise duty - Local Cigarettes -Penalty</t>
  </si>
  <si>
    <t>CC162</t>
  </si>
  <si>
    <t>Excise duty - Local Airtime - Penalty</t>
  </si>
  <si>
    <t>CC202</t>
  </si>
  <si>
    <t>Royalty Tax on Mining - Panalties</t>
  </si>
  <si>
    <t>CC212</t>
  </si>
  <si>
    <t>Excise duty- on Lubricant - Penalties</t>
  </si>
  <si>
    <t>DD020</t>
  </si>
  <si>
    <t>Amandes</t>
  </si>
  <si>
    <t>DD028</t>
  </si>
  <si>
    <t>Amende sur PV</t>
  </si>
  <si>
    <t>FF011</t>
  </si>
  <si>
    <t>Arrears Fees_PENALTY</t>
  </si>
  <si>
    <t>FF021</t>
  </si>
  <si>
    <t xml:space="preserve">Advertising on Billboard _x000D_Penalty
</t>
  </si>
  <si>
    <t>FF041</t>
  </si>
  <si>
    <t xml:space="preserve">Communication towers_x000D_ penalty
</t>
  </si>
  <si>
    <t>FF061</t>
  </si>
  <si>
    <t>Land Lease Fees penalty</t>
  </si>
  <si>
    <t>FF071</t>
  </si>
  <si>
    <t>Market Fee_PENALTY</t>
  </si>
  <si>
    <t>FF670</t>
  </si>
  <si>
    <t>Court fees</t>
  </si>
  <si>
    <t>FF781</t>
  </si>
  <si>
    <t>Public Cleaning penality</t>
  </si>
  <si>
    <t>GG011</t>
  </si>
  <si>
    <t>Fixed asset Tax penalty</t>
  </si>
  <si>
    <t>GG021</t>
  </si>
  <si>
    <t>Rental Income Tax penalty</t>
  </si>
  <si>
    <t>GG031</t>
  </si>
  <si>
    <t>Trading License Tax (Patent) penalty</t>
  </si>
  <si>
    <t>JJ102</t>
  </si>
  <si>
    <t>Judicial penalties</t>
  </si>
  <si>
    <t>JJ103</t>
  </si>
  <si>
    <t>Penalties of commercial cases</t>
  </si>
  <si>
    <t>JJ104</t>
  </si>
  <si>
    <t>Other penalties and contraventions</t>
  </si>
  <si>
    <t>MM105</t>
  </si>
  <si>
    <t>MM110</t>
  </si>
  <si>
    <t>Gage and Bank fines</t>
  </si>
  <si>
    <t>MM142</t>
  </si>
  <si>
    <t>Penalties on bounced cheques</t>
  </si>
  <si>
    <r>
      <rPr>
        <sz val="11"/>
        <color rgb="FFFF0000"/>
        <rFont val="Calibri"/>
        <family val="2"/>
        <scheme val="minor"/>
      </rPr>
      <t>domestic indirect tax rate</t>
    </r>
    <r>
      <rPr>
        <sz val="9"/>
        <color rgb="FFFF0000"/>
        <rFont val="Calibri"/>
        <family val="2"/>
      </rPr>
      <t xml:space="preserve"> (excl. excise fuel)</t>
    </r>
    <r>
      <rPr>
        <sz val="10"/>
        <color rgb="FFFF0000"/>
        <rFont val="Calibri"/>
        <family val="2"/>
      </rPr>
      <t xml:space="preserve"> </t>
    </r>
    <r>
      <rPr>
        <sz val="11"/>
        <color rgb="FFFF0000"/>
        <rFont val="Calibri"/>
        <family val="2"/>
        <scheme val="minor"/>
      </rPr>
      <t>on domestic VA excl govt, export</t>
    </r>
    <r>
      <rPr>
        <sz val="10"/>
        <color rgb="FFFF0000"/>
        <rFont val="Calibri"/>
        <family val="2"/>
      </rPr>
      <t>s</t>
    </r>
  </si>
  <si>
    <r>
      <t xml:space="preserve">  </t>
    </r>
    <r>
      <rPr>
        <sz val="11"/>
        <color rgb="FFFF0000"/>
        <rFont val="Calibri"/>
        <family val="2"/>
        <scheme val="minor"/>
      </rPr>
      <t>domestic indirect tax rate</t>
    </r>
    <r>
      <rPr>
        <sz val="12"/>
        <color rgb="FFFF0000"/>
        <rFont val="Calibri"/>
        <family val="2"/>
      </rPr>
      <t xml:space="preserve"> </t>
    </r>
    <r>
      <rPr>
        <sz val="9"/>
        <color rgb="FFFF0000"/>
        <rFont val="Calibri"/>
        <family val="2"/>
      </rPr>
      <t>(excl. excise fuel)</t>
    </r>
    <r>
      <rPr>
        <sz val="12"/>
        <color rgb="FFFF0000"/>
        <rFont val="Calibri"/>
        <family val="2"/>
      </rPr>
      <t xml:space="preserve"> </t>
    </r>
    <r>
      <rPr>
        <sz val="11"/>
        <color rgb="FFFF0000"/>
        <rFont val="Calibri"/>
        <family val="2"/>
        <scheme val="minor"/>
      </rPr>
      <t>on domestic VA excl govt</t>
    </r>
  </si>
  <si>
    <t>Other revenue PKO (net) on Budget FY (bln RWF)</t>
  </si>
  <si>
    <t>From Foreign Governments</t>
  </si>
  <si>
    <t>From International Organizations</t>
  </si>
  <si>
    <t>From General Government Units</t>
  </si>
  <si>
    <t>Property income</t>
  </si>
  <si>
    <t>Sales og goods and services</t>
  </si>
  <si>
    <t>Fines, penalties, and forfeits</t>
  </si>
  <si>
    <t>Voluntary transfers other than grants</t>
  </si>
  <si>
    <r>
      <t>Net lending (+) / borrowing (-) {</t>
    </r>
    <r>
      <rPr>
        <sz val="10"/>
        <rFont val="Cambria"/>
        <family val="1"/>
      </rPr>
      <t>deficit/Surplus}</t>
    </r>
  </si>
  <si>
    <t xml:space="preserve">     o/w: payable by individuals</t>
  </si>
  <si>
    <t>Transactions in financial assets</t>
  </si>
  <si>
    <t>&gt;&gt;Data includes LG revenue and expenditures directly  2018/19</t>
  </si>
  <si>
    <t xml:space="preserve">Net acquisition of nonfinancial assets </t>
  </si>
  <si>
    <t>Net lending (+) / borrowing (-) {deficit/Surplus}</t>
  </si>
  <si>
    <t xml:space="preserve"> Individual tax /GDP</t>
  </si>
  <si>
    <t>individual tax /non agric. GDP</t>
  </si>
  <si>
    <t>Unallocable income tax (excl. local govt taxes)/GDP</t>
  </si>
  <si>
    <t>unallocable tax (excl. local govt taxes)/non agric. GDP</t>
  </si>
  <si>
    <t>unallocable taxes - 'buyoancy factor' of other income taxes/non agric GDP ratio</t>
  </si>
  <si>
    <t>Net wealth tax (excl. local govt taxes)/non agric. GDP</t>
  </si>
  <si>
    <t xml:space="preserve">   Net wealth taxes - 'buyoancy factor' of wealth taxes/non agric GDP ratio</t>
  </si>
  <si>
    <t>motor vehicle taxes (excl. local govt taxes)/import cif</t>
  </si>
  <si>
    <t>motor vehicle taxes - 'buyoancy factor' of motor vehicle/import cif</t>
  </si>
  <si>
    <t>G &amp; S taxes: Motor vehicle taxes (excl. local govt taxes)/GDP</t>
  </si>
  <si>
    <t>International trade:customs&amp;otherimport duties (excl. local govt taxes)/GDP</t>
  </si>
  <si>
    <t>International trade:Taxes on exports (excl. local govt taxes)/GDP</t>
  </si>
  <si>
    <t>Other taxes/GDP</t>
  </si>
  <si>
    <t>othe taxes (excl. local govt taxes)/non agric. GDP</t>
  </si>
  <si>
    <t>other taxes 'buyoancy factor'/non agric GDP ratio</t>
  </si>
  <si>
    <t>of Export Promotion</t>
  </si>
  <si>
    <t>o/w PKO</t>
  </si>
  <si>
    <t>o/w Other (MDAs)</t>
  </si>
  <si>
    <t xml:space="preserve"> O/W to EBUs</t>
  </si>
  <si>
    <t>O/W to LG</t>
  </si>
  <si>
    <t>o/w LG Rental Income tax</t>
  </si>
  <si>
    <t>o/w LG tax on property</t>
  </si>
  <si>
    <t xml:space="preserve"> o/w LG trade licence tax</t>
  </si>
  <si>
    <t>o/w PKO receipt</t>
  </si>
  <si>
    <t>o/w Road toll (RMF)</t>
  </si>
  <si>
    <t>o/w Rwanda National Police</t>
  </si>
  <si>
    <t>Import cif</t>
  </si>
  <si>
    <t>o/w Fuel Levy (RMF)</t>
  </si>
  <si>
    <t>Equity and Investment shares</t>
  </si>
  <si>
    <t>Insurance, pension and standarized guarantee scheme</t>
  </si>
  <si>
    <t>Finacial derivatives and employee stocks</t>
  </si>
  <si>
    <t>Other account receivable</t>
  </si>
  <si>
    <t>o/w Business Support Fund</t>
  </si>
  <si>
    <t>o/w Marriott</t>
  </si>
  <si>
    <t>o/w KCC</t>
  </si>
  <si>
    <t>o/w LG fees</t>
  </si>
  <si>
    <t>o/w Others ( incl. Agencies own Revenue)</t>
  </si>
  <si>
    <t>o/w Infrastrure development levy</t>
  </si>
  <si>
    <t>o/w African Union import levy</t>
  </si>
  <si>
    <t>o/w Strategic petroleum reserve levy</t>
  </si>
  <si>
    <t>Other revenue: Property income/GDP</t>
  </si>
  <si>
    <t>property inome (excl. local govt taxes)/non agric. GDP</t>
  </si>
  <si>
    <t>property income 'buyoancy factor'/non agric GDP ratio</t>
  </si>
  <si>
    <t>Other revenue: sales of G&amp;S (Administrative fees)/GDP</t>
  </si>
  <si>
    <t>sales of G&amp;S (Administrative fees)[(excl. local govt taxes)]/non agric. GDP</t>
  </si>
  <si>
    <t>sales of G&amp;S (Administrative fees)'buyoancy factor'/non agric GDP ratio</t>
  </si>
  <si>
    <t>Other revenue: sales of G&amp;S (Incidental sales by nonmarket establishments)/GDP</t>
  </si>
  <si>
    <t>sales of G&amp;S (incidental sales by nonmarket establishments)[(excl. local govt taxes)]/non agric. GDP</t>
  </si>
  <si>
    <t>sales of G&amp;S (incidental sales by nonmarket establishments)'buyoancy factor'/non agric GDP ratio</t>
  </si>
  <si>
    <t>o/w Local Government (LG) fee</t>
  </si>
  <si>
    <t>Other revenue: Fines, penalties and forfeits/GDP</t>
  </si>
  <si>
    <t>Fines, penalties and forfeits/non agric. GDP</t>
  </si>
  <si>
    <t>fines, penalties and forfeits 'buyoancy factor'/non agric GDP ratio</t>
  </si>
  <si>
    <t>Compensation of employees/GDP</t>
  </si>
  <si>
    <t>Compensation of employees /tax revenue</t>
  </si>
  <si>
    <t xml:space="preserve">   compensation of employees  growth rate in %</t>
  </si>
  <si>
    <t>o/w Equity Kenya (Marriott)</t>
  </si>
  <si>
    <t>Grants/GDP</t>
  </si>
  <si>
    <t xml:space="preserve">     growth rate grants in %</t>
  </si>
  <si>
    <t xml:space="preserve">     Elasticity of grants spending (excl. wages) vis-à-vis GDP</t>
  </si>
  <si>
    <t xml:space="preserve">      Grants/GDP (Proj.)</t>
  </si>
  <si>
    <t>Social benefits</t>
  </si>
  <si>
    <t xml:space="preserve">      Social benefits/GDP</t>
  </si>
  <si>
    <t>Otherexpense/GDP</t>
  </si>
  <si>
    <t xml:space="preserve">  other expense/GDP (Proj.)</t>
  </si>
  <si>
    <t xml:space="preserve">     growth rate other expense in %</t>
  </si>
  <si>
    <t xml:space="preserve">     Elasticity of other expense vis-à-vis GDP</t>
  </si>
  <si>
    <t>Required</t>
  </si>
  <si>
    <t>Current</t>
  </si>
  <si>
    <t>IV.2 FISCAL GFS 2014 PRESENTATION - SUMMARY % GDP</t>
  </si>
  <si>
    <t xml:space="preserve"> VCXXXXXXX </t>
  </si>
  <si>
    <t>Expense assumptions/parameters</t>
  </si>
  <si>
    <t>Govt Expense  in bln RWF</t>
  </si>
  <si>
    <t>Use of goods and services</t>
  </si>
  <si>
    <t>G &amp; S taxes: VAT (excl. local govt taxes)/GDP</t>
  </si>
  <si>
    <t>From RRA Actual data&amp; REFOTO Proj.</t>
  </si>
  <si>
    <t>o/w VAT imports (billion FRW)</t>
  </si>
  <si>
    <r>
      <t>Taxes on international trade (tariffs etc. but</t>
    </r>
    <r>
      <rPr>
        <b/>
        <sz val="11"/>
        <color rgb="FFFF0000"/>
        <rFont val="Calibri"/>
        <family val="2"/>
        <scheme val="minor"/>
      </rPr>
      <t xml:space="preserve"> incl. VAT</t>
    </r>
    <r>
      <rPr>
        <b/>
        <sz val="11"/>
        <color theme="1"/>
        <rFont val="Calibri"/>
        <family val="2"/>
        <scheme val="minor"/>
      </rPr>
      <t>)</t>
    </r>
  </si>
  <si>
    <t>Rent  (mining and royalities)</t>
  </si>
  <si>
    <t>of which infrastructure levy accumulation</t>
  </si>
  <si>
    <t>of which strategic reserves accumulation</t>
  </si>
  <si>
    <t>of which African Union levy accumulation</t>
  </si>
  <si>
    <t>Required Grants</t>
  </si>
  <si>
    <t>o/w CCRT</t>
  </si>
  <si>
    <t>o/w RRA other revenue collection</t>
  </si>
  <si>
    <t>Of which World Bank</t>
  </si>
  <si>
    <t xml:space="preserve"> of which: Covid-19 spending</t>
  </si>
  <si>
    <t xml:space="preserve"> of which: Disaster-management spending</t>
  </si>
  <si>
    <t xml:space="preserve">     growth rate subsidies in %</t>
  </si>
  <si>
    <t>Subsidies/GDP (Proj.)</t>
  </si>
  <si>
    <t xml:space="preserve">     Elasticity of subsidies vis-à-vis GDP</t>
  </si>
  <si>
    <t>Subsidies /GDP</t>
  </si>
  <si>
    <t>of which compensation of employees</t>
  </si>
  <si>
    <t>of which: Covid-19 spending</t>
  </si>
  <si>
    <t>o/w ERF</t>
  </si>
  <si>
    <t>Bank financing Budget Fiscal Year (curr + prev CY) bln RWF</t>
  </si>
  <si>
    <t>Issuance of T bills/bonds to banks Fiscal Year, bln RWF</t>
  </si>
  <si>
    <t>Nonbank financing net issuance Fiscal Year (in bln RWF)</t>
  </si>
  <si>
    <t>Nonbank financing debt repayment Fiscal Year (bln RWF)</t>
  </si>
  <si>
    <r>
      <t xml:space="preserve">Nonbank financing debt repayment </t>
    </r>
    <r>
      <rPr>
        <b/>
        <sz val="10"/>
        <rFont val="Calibri"/>
        <family val="2"/>
      </rPr>
      <t>Calendar Year (bln RWF)</t>
    </r>
    <r>
      <rPr>
        <b/>
        <sz val="11"/>
        <rFont val="Calibri"/>
        <family val="2"/>
      </rPr>
      <t xml:space="preserve">  </t>
    </r>
  </si>
  <si>
    <t>Domestic financing Fiscal Year (in bln RWF)</t>
  </si>
  <si>
    <t xml:space="preserve">Domestic financing Calendar Year (in bln RWF)  </t>
  </si>
  <si>
    <t>Bank financing, Calendar Year, bln RWF</t>
  </si>
  <si>
    <t xml:space="preserve">o/w Bugesera </t>
  </si>
  <si>
    <t>o/w BRD</t>
  </si>
  <si>
    <t>o/w Vaccine</t>
  </si>
  <si>
    <t>o/w vaccine</t>
  </si>
  <si>
    <t>Net lending (+) / borrowing (-) {deficit/Surplus} V86</t>
  </si>
  <si>
    <t xml:space="preserve"> of which: Covid-19 spending (ERF Public Transport)</t>
  </si>
  <si>
    <t>o/w COVID-19 (School construction/social protection)</t>
  </si>
  <si>
    <t>of which Strategic reserves drawdown for fuel storage facilities</t>
  </si>
  <si>
    <t>of which Strategic reserves drawdown for Fuel refilling</t>
  </si>
  <si>
    <t xml:space="preserve">of which Strategic reserves drawdown </t>
  </si>
  <si>
    <t>of which Infrastracture levy on imports accumulation</t>
  </si>
  <si>
    <t xml:space="preserve">of which Infrastracture levy on imports drawdown </t>
  </si>
  <si>
    <t>of which African Union Levy Accumulation</t>
  </si>
  <si>
    <t>of whichAfrican Union Levy Payement</t>
  </si>
  <si>
    <t>Of Which Vaccine</t>
  </si>
  <si>
    <t>o/w guarantee</t>
  </si>
  <si>
    <t>Excluding Marriott, KCC and PKO</t>
  </si>
  <si>
    <t>Excluding Marriott, KCC, PKO, Emergencies and COVID-19</t>
  </si>
  <si>
    <t>o/w Eurobond</t>
  </si>
  <si>
    <t xml:space="preserve">              Of which Euro Bond New</t>
  </si>
  <si>
    <t>Property income from investment income disbursements</t>
  </si>
  <si>
    <t>Transfers not elsewhere classified</t>
  </si>
  <si>
    <t>Premiums, fees, and claims related to nonlife insurance and standardized guarantee schemes</t>
  </si>
  <si>
    <t>o/w BNR</t>
  </si>
  <si>
    <t>o/w Commercial banks</t>
  </si>
  <si>
    <t>Debt Securities</t>
  </si>
  <si>
    <t xml:space="preserve">o/w Banks </t>
  </si>
  <si>
    <t>o/w non-banks</t>
  </si>
  <si>
    <t xml:space="preserve">  Debt securities</t>
  </si>
  <si>
    <t xml:space="preserve">        Disbursements</t>
  </si>
  <si>
    <t xml:space="preserve">        Redemptions</t>
  </si>
  <si>
    <t>Eurobond Investment project</t>
  </si>
  <si>
    <t>o/w New Eurobond (2021)</t>
  </si>
  <si>
    <t>o/w Exist. Eurobond (2013)</t>
  </si>
  <si>
    <t>Overall Deficit(-) {deficit/Surplus} V1986</t>
  </si>
  <si>
    <t>Overall Deficit (-) {deficit/Surplus} V1986</t>
  </si>
  <si>
    <t xml:space="preserve"> of which: Covid-19 spending (Teachers)</t>
  </si>
  <si>
    <t>Excluding COVID-19</t>
  </si>
  <si>
    <t>Excluding ERF &amp;  COVID-19 Vaccine</t>
  </si>
  <si>
    <t>O/w ERF</t>
  </si>
  <si>
    <t>Overall Deficit (-) {deficit/Surplus} V1986 CY</t>
  </si>
  <si>
    <t>Overall Deficit (-) {deficit/Surplus} V1986 CY % GDP</t>
  </si>
  <si>
    <t>Nominal GDP CY (Bln FRW)</t>
  </si>
  <si>
    <t>Required Deficit path CY</t>
  </si>
  <si>
    <t>Eurobond</t>
  </si>
  <si>
    <t>Excluding Eurobond</t>
  </si>
  <si>
    <t>o/w Eurobond Investment project</t>
  </si>
  <si>
    <t>o/w COVID-19 (Vaccine)</t>
  </si>
  <si>
    <t>Extract fiscal response variables (Covid) bln RWF</t>
  </si>
  <si>
    <t>Covid tax relief measures</t>
  </si>
  <si>
    <t>o/w: Covid-related grants</t>
  </si>
  <si>
    <t>o/w: Covid (emergencies, Covid-19 exp)</t>
  </si>
  <si>
    <t>o/w: Covid direct support hholds</t>
  </si>
  <si>
    <t>o/w: Covid direct support other</t>
  </si>
  <si>
    <t>o/w: Covid capital spending</t>
  </si>
  <si>
    <t>o/w: Covid ERF (fund for loans to businesses, via banks)</t>
  </si>
  <si>
    <t>o/w: Covid other</t>
  </si>
  <si>
    <t>Fiscal balance (incl. grants) in % of projected GDP</t>
  </si>
  <si>
    <t>Fiscal balance (excl. grants) in % of projected GDP</t>
  </si>
  <si>
    <t>o/w: Covid-related net borrowing</t>
  </si>
  <si>
    <t>Net domestic financing (incl. domestic arrears)</t>
  </si>
  <si>
    <t>Nominal GDP (FY)</t>
  </si>
  <si>
    <t>check=fin gap(-)</t>
  </si>
  <si>
    <t>FISCAL_PCI4_may2021 below this</t>
  </si>
  <si>
    <t>GFS 2014</t>
  </si>
  <si>
    <r>
      <t xml:space="preserve">Revenue </t>
    </r>
    <r>
      <rPr>
        <sz val="11"/>
        <color theme="1"/>
        <rFont val="Calibri"/>
        <family val="2"/>
        <scheme val="minor"/>
      </rPr>
      <t>(excl. grants, taxes and other revenue)</t>
    </r>
  </si>
  <si>
    <t>Current spending ("expense")</t>
  </si>
  <si>
    <r>
      <t xml:space="preserve">Capital spending </t>
    </r>
    <r>
      <rPr>
        <sz val="11"/>
        <color theme="1"/>
        <rFont val="Calibri"/>
        <family val="2"/>
        <scheme val="minor"/>
      </rPr>
      <t>("next acquisition of non-financial assets")</t>
    </r>
  </si>
  <si>
    <r>
      <t xml:space="preserve">Net lending </t>
    </r>
    <r>
      <rPr>
        <sz val="11"/>
        <color theme="1"/>
        <rFont val="Calibri"/>
        <family val="2"/>
        <scheme val="minor"/>
      </rPr>
      <t>(GFS1986 def. "Loans", "Equity and inv. shares")</t>
    </r>
  </si>
  <si>
    <t>fiscal bal.inc.grants GFS1986</t>
  </si>
  <si>
    <t>PCI4 response May 2021</t>
  </si>
  <si>
    <t>FISCAL_PCI4_may2021 below this (extract fr FISCAL_OUTPUT , FISCAL_TOFE)</t>
  </si>
  <si>
    <t>Interest payments domestic</t>
  </si>
  <si>
    <t>Interest payments foreign</t>
  </si>
  <si>
    <t>from Q2 2019 GFS2014</t>
  </si>
  <si>
    <t>Tax revenue (incl. non-tax revenue)</t>
  </si>
  <si>
    <t xml:space="preserve">Current expenditure </t>
  </si>
  <si>
    <r>
      <t xml:space="preserve">FISCAL_inyear_Rwametric above this </t>
    </r>
    <r>
      <rPr>
        <sz val="9"/>
        <color rgb="FFFF0000"/>
        <rFont val="Cambria"/>
        <family val="1"/>
        <scheme val="major"/>
      </rPr>
      <t xml:space="preserve"> (check: stat discrepancy)</t>
    </r>
  </si>
  <si>
    <t>Revenue in bln RWF (Excluding grants)</t>
  </si>
  <si>
    <t>2026/27</t>
  </si>
  <si>
    <t>Monetary Gold &amp; SDRs</t>
  </si>
  <si>
    <t>AIIB</t>
  </si>
  <si>
    <t>o/w Eurobond (Premium and fees)</t>
  </si>
  <si>
    <t>IMF Debt Relief Considered as Grants (Mln USD)</t>
  </si>
  <si>
    <t>Exchange rate</t>
  </si>
  <si>
    <t>Policy</t>
  </si>
  <si>
    <t>Regular</t>
  </si>
  <si>
    <t>Residual</t>
  </si>
  <si>
    <t>Mthodology/GDP</t>
  </si>
  <si>
    <t xml:space="preserve">o/w SDRs </t>
  </si>
  <si>
    <t>of which Rwandair working capital</t>
  </si>
  <si>
    <t>o/w  Rwandair loan repayment Eurobond</t>
  </si>
  <si>
    <t xml:space="preserve">FISC_MON </t>
  </si>
  <si>
    <t>SRDs Allocaion Interest</t>
  </si>
  <si>
    <t xml:space="preserve">Total COVID-19 </t>
  </si>
  <si>
    <t xml:space="preserve">The Residual </t>
  </si>
  <si>
    <t>3% of GDP assumed to be in this category</t>
  </si>
  <si>
    <t>To Monetary</t>
  </si>
  <si>
    <t>Net credit do the government</t>
  </si>
  <si>
    <t>Currency and deposits</t>
  </si>
  <si>
    <t>BNR claims on central govt.</t>
  </si>
  <si>
    <t>Commercial bank claims on central govt.</t>
  </si>
  <si>
    <t>Currency and deposits , Fiscal Year, bln RWF</t>
  </si>
  <si>
    <t>Use of earmarked levies at NBR (Currency &amp; deposit) FY in bln RWF</t>
  </si>
  <si>
    <t>FISCAL 1986_OUTPUT below this</t>
  </si>
  <si>
    <t>III.2 FISCAL  "TOFE" GFS 2014 PRESENTATION - detailed TOFE</t>
  </si>
  <si>
    <t>IV.2 FISCAL GFS 2014 to OUTPUT &amp;SUMMARY</t>
  </si>
  <si>
    <t>FISCAL2014_OUTPUT</t>
  </si>
  <si>
    <t>FISCAL2014_TOFE</t>
  </si>
  <si>
    <t>FISCAL1986_TOFE  below this;       always ensure same format as TOFE in FISC inyear sheet</t>
  </si>
  <si>
    <t xml:space="preserve">FISCAL1986_TOFE </t>
  </si>
  <si>
    <t>Fiscal2014_TOFE_inyear</t>
  </si>
  <si>
    <t>FISCAL2014_OUTPUT_inyear</t>
  </si>
  <si>
    <t>Domestic (Incl. LG &amp; EBUs)</t>
  </si>
  <si>
    <t>Wages and salaries  (Incl. LG &amp; EBUs)</t>
  </si>
  <si>
    <t>including grants(Excl.  Spending Associated Excluding SDRs)</t>
  </si>
  <si>
    <t>Unallocable</t>
  </si>
  <si>
    <t>Taxes on goods and services…</t>
  </si>
  <si>
    <t>Tax on Income, Profit and Capital gain (Incl. Taxes on payroll)</t>
  </si>
  <si>
    <t xml:space="preserve">              payable by coorporations and other enterprises(Incl. Taxes on payroll)</t>
  </si>
  <si>
    <t>Taxes on international trade (tariffs etc. but incl. VAT)</t>
  </si>
  <si>
    <t xml:space="preserve"> o/w Incidental sales by nonmarket establishments (PKO) </t>
  </si>
  <si>
    <t>Other revenue (Incl. Taxes on property &amp; Other taxes)</t>
  </si>
  <si>
    <r>
      <t>Compensation of employees (</t>
    </r>
    <r>
      <rPr>
        <sz val="11"/>
        <color rgb="FFFF0000"/>
        <rFont val="Calibri"/>
        <family val="2"/>
        <scheme val="minor"/>
      </rPr>
      <t>incl. transfers/ Grants to LG&amp; EBUs</t>
    </r>
    <r>
      <rPr>
        <sz val="11"/>
        <color theme="1"/>
        <rFont val="Calibri"/>
        <family val="2"/>
        <scheme val="minor"/>
      </rPr>
      <t>)</t>
    </r>
  </si>
  <si>
    <t>Transfers (Subsidies, Social benefits excl. grants to LG &amp; EBUs)</t>
  </si>
  <si>
    <t>Other Expense</t>
  </si>
  <si>
    <r>
      <rPr>
        <sz val="11"/>
        <color theme="1"/>
        <rFont val="Calibri"/>
        <family val="2"/>
        <scheme val="minor"/>
      </rPr>
      <t xml:space="preserve">   O/w:</t>
    </r>
    <r>
      <rPr>
        <b/>
        <sz val="11"/>
        <color indexed="8"/>
        <rFont val="Calibri"/>
        <family val="2"/>
      </rPr>
      <t xml:space="preserve"> </t>
    </r>
    <r>
      <rPr>
        <sz val="11"/>
        <color theme="1"/>
        <rFont val="Calibri"/>
        <family val="2"/>
        <scheme val="minor"/>
      </rPr>
      <t>domestic (own ressources incl Grants to  LG &amp; EBUs )</t>
    </r>
  </si>
  <si>
    <t>Capital expenditure (incl Grants to  LG &amp; EBUs)</t>
  </si>
  <si>
    <t>Statistical discrepency</t>
  </si>
  <si>
    <t>Deficit excl. grants (Net lending&amp;borrowing)</t>
  </si>
  <si>
    <t>TOFE GFS2014 extract (GFS1986 &lt;2019)</t>
  </si>
  <si>
    <t>Other expense (incl. Exceptional spending)</t>
  </si>
  <si>
    <t>Foreign financing (net: incl. minus foreign assets)</t>
  </si>
  <si>
    <r>
      <t xml:space="preserve">Total expenditure </t>
    </r>
    <r>
      <rPr>
        <sz val="11"/>
        <color theme="1"/>
        <rFont val="Times New Roman"/>
        <family val="1"/>
      </rPr>
      <t>(incl. net lending, GFS1986)</t>
    </r>
  </si>
  <si>
    <t>PRINCIPAL</t>
  </si>
  <si>
    <t>INTEREST</t>
  </si>
  <si>
    <t>Rwandair (working capital subsidy)</t>
  </si>
  <si>
    <t>YEN Bond</t>
  </si>
  <si>
    <t xml:space="preserve">Rent  </t>
  </si>
  <si>
    <t xml:space="preserve">              Of which Fees Commercial</t>
  </si>
  <si>
    <t>2026/28</t>
  </si>
  <si>
    <t>o/w UK</t>
  </si>
  <si>
    <t>o/w Refugees integration spending</t>
  </si>
  <si>
    <t>o/w Social Protection</t>
  </si>
  <si>
    <t>o/w Fertilizers</t>
  </si>
  <si>
    <t>30% Tbills</t>
  </si>
  <si>
    <t>70% Tbonds</t>
  </si>
  <si>
    <t>&lt;-- By assumption (70%)</t>
  </si>
  <si>
    <t>o/w Budget Loan</t>
  </si>
  <si>
    <t>o/w Project Loan</t>
  </si>
  <si>
    <t>o/w Amortization</t>
  </si>
  <si>
    <t xml:space="preserve">  AFD</t>
  </si>
  <si>
    <t>GEE Rwanda (March 17 version) GEE_PRINT below this</t>
  </si>
  <si>
    <t>Real GDP growth all trading partners (100% of trade of reporting country)</t>
  </si>
  <si>
    <t>Real imports, goods excl. oil all trading partners (100% of trade of reporting country)</t>
  </si>
  <si>
    <t>CPI of advanced economy trading partners in US $ (for RER calc)</t>
  </si>
  <si>
    <t>Export deflator goods (excluding oil) in US $ (PMnonoil)</t>
  </si>
  <si>
    <t>Export unit value for manuf (MUV) world in US $ (for PMmanuf or PEmanuf)</t>
  </si>
  <si>
    <t>Petroleum spot price (APSP) in US $ (in % change) (PMoil)</t>
  </si>
  <si>
    <t>Import deflator  goods (excluding oil) in US  $ (PEnonoil)</t>
  </si>
  <si>
    <t>Nonfuel commodity export price in US $ (PEcommodity-nonoil)</t>
  </si>
  <si>
    <t>Ext Fin (US$ mln, update of Oct2016  budget support EFU) EXTFIN_PRINT below this</t>
  </si>
  <si>
    <t>External debt service (Sept 2015 version) EXTDEBT_PRINT below this</t>
  </si>
  <si>
    <t>REAL variables for MF REAL_MF below this</t>
  </si>
  <si>
    <t>BOP variables for FISCAL (BOP_FISC below this)</t>
  </si>
  <si>
    <t>Monetary variables for MF MON_MF below this</t>
  </si>
  <si>
    <t>O/w IMF RST</t>
  </si>
  <si>
    <t>Coffee abica</t>
  </si>
  <si>
    <t>2027/28</t>
  </si>
  <si>
    <t>.</t>
  </si>
  <si>
    <t>Election</t>
  </si>
  <si>
    <t>o/w Foods (Under Grain Reserve)</t>
  </si>
  <si>
    <t>Flood response</t>
  </si>
  <si>
    <t>PCI/RST Deficit</t>
  </si>
  <si>
    <t>Financing gap</t>
  </si>
  <si>
    <t>01-JUL-18 30-JUN-19</t>
  </si>
  <si>
    <t>01-JUL-19 30-JUN-20</t>
  </si>
  <si>
    <t>01-JUL-20 30-JUN-21 (Act)</t>
  </si>
  <si>
    <t>01-JUL-21 30-JUN-22</t>
  </si>
  <si>
    <t>01-JUL-22 30-JUN-23</t>
  </si>
  <si>
    <t>01-JUL-23 30-JUN-24</t>
  </si>
  <si>
    <t>01-JUL-24 30-JUN-25</t>
  </si>
  <si>
    <t>01-JUL-25 30-JUN-26</t>
  </si>
  <si>
    <t>01-JUL-26 30-JUN-27</t>
  </si>
  <si>
    <t>01-JUL-27 30-JUN-28</t>
  </si>
  <si>
    <t>01-JUL-28 30-JUN-29</t>
  </si>
  <si>
    <t>Assumption (total payment)</t>
  </si>
  <si>
    <t>2.-BK06</t>
  </si>
  <si>
    <t>2.-BNR01</t>
  </si>
  <si>
    <t>2.-TB10Y022015</t>
  </si>
  <si>
    <t>2.-TB10Y022018</t>
  </si>
  <si>
    <t>2.-TB10Y022021</t>
  </si>
  <si>
    <t>2.-TB10Y022022</t>
  </si>
  <si>
    <t>2.-TB10Y042020</t>
  </si>
  <si>
    <t>2.-TB15Y022016</t>
  </si>
  <si>
    <t>2.-TB15Y022020</t>
  </si>
  <si>
    <t>2.-TB15Y032018</t>
  </si>
  <si>
    <t>2.-TB15Y032021</t>
  </si>
  <si>
    <t>2.-TB15Y042022</t>
  </si>
  <si>
    <t>2.-TB20Y012023</t>
  </si>
  <si>
    <t>2.-TB20Y032019</t>
  </si>
  <si>
    <t>2.-TB20Y042021</t>
  </si>
  <si>
    <t>2.-TB20Y062020</t>
  </si>
  <si>
    <t>2.-TB3Y012020</t>
  </si>
  <si>
    <t>2.-TB3Y032020</t>
  </si>
  <si>
    <t>2.-TB3Y032022</t>
  </si>
  <si>
    <t>2.-TB3Y042019</t>
  </si>
  <si>
    <t>2.-TB3Y052021</t>
  </si>
  <si>
    <t>2.-TB5Y012018</t>
  </si>
  <si>
    <t>2.-TB5Y012021</t>
  </si>
  <si>
    <t>2.-TB5Y012022</t>
  </si>
  <si>
    <t>2.-TB5Y022019</t>
  </si>
  <si>
    <t>2.-TB5Y032017</t>
  </si>
  <si>
    <t>2.-TB5Y052020</t>
  </si>
  <si>
    <t>2.-TB7Y012019</t>
  </si>
  <si>
    <t>2.-TB7Y022017</t>
  </si>
  <si>
    <t>2.-TB7Y042017</t>
  </si>
  <si>
    <t>2.-TB7Y052019</t>
  </si>
  <si>
    <t>2.-TB7Y052022</t>
  </si>
  <si>
    <t>2.-TB7Y062021</t>
  </si>
  <si>
    <t>2.-TB7Y072020</t>
  </si>
  <si>
    <t>2.-TB10Y032023</t>
  </si>
  <si>
    <t>2.-TB5Y022023</t>
  </si>
  <si>
    <t>2.-TB3Y042023</t>
  </si>
  <si>
    <t>2.-TB15Y052023</t>
  </si>
  <si>
    <t>2.-TB7Y062023</t>
  </si>
  <si>
    <t>2.-TB20Y012024</t>
  </si>
  <si>
    <t>2.-TB5Y022024</t>
  </si>
  <si>
    <t>2.-TB10Y032024</t>
  </si>
  <si>
    <t>Total T-bonds</t>
  </si>
  <si>
    <t xml:space="preserve"> INTEREST</t>
  </si>
  <si>
    <t>FEES</t>
  </si>
  <si>
    <t>Tbonds New Issuance</t>
  </si>
  <si>
    <t>Tbills  Outstanding + New issuance</t>
  </si>
  <si>
    <t>T-bills Outstanding</t>
  </si>
  <si>
    <t>Tbills from new issuance</t>
  </si>
  <si>
    <t>Overdaft</t>
  </si>
  <si>
    <t xml:space="preserve">   % increase in central govt employment (fr MIFOTRA)</t>
  </si>
  <si>
    <t xml:space="preserve">          teachers (local govt)</t>
  </si>
  <si>
    <t xml:space="preserve">         health workers ( local govt)</t>
  </si>
  <si>
    <r>
      <t>of which: VAT on imports (</t>
    </r>
    <r>
      <rPr>
        <sz val="11"/>
        <color rgb="FFFF0000"/>
        <rFont val="Calibri"/>
        <family val="2"/>
        <scheme val="minor"/>
      </rPr>
      <t>prel. from RRA act., Refoto proj</t>
    </r>
    <r>
      <rPr>
        <sz val="11"/>
        <color theme="1"/>
        <rFont val="Calibri"/>
        <family val="2"/>
        <scheme val="minor"/>
      </rPr>
      <t>)</t>
    </r>
  </si>
  <si>
    <t>Excise on fuel (incl. budget levy, Strategic reserve, RMF)</t>
  </si>
  <si>
    <t>Excises on imports (excl. fuel)</t>
  </si>
  <si>
    <t>Excises on domestic goods</t>
  </si>
  <si>
    <t>Excluding  floods</t>
  </si>
  <si>
    <t>Excluding required grants</t>
  </si>
  <si>
    <t>Grev (Taxes and Other Rev.)</t>
  </si>
  <si>
    <t>Gdem (Salaries, Use of G&amp;S, (CG,LG,EBUS'S),Capital Spending, Other Expense)</t>
  </si>
  <si>
    <t>Other Expenditure (Subsidies, Interest, Social Benefits, Net Lending)</t>
  </si>
  <si>
    <t>Tot Spending (Incl. Net Lending)</t>
  </si>
  <si>
    <t>Deficit ( Excl. Grants) 1986</t>
  </si>
  <si>
    <t>Check</t>
  </si>
  <si>
    <t xml:space="preserve">Nominal GDP </t>
  </si>
  <si>
    <t>Grev in % of GDP</t>
  </si>
  <si>
    <t>Gdem in % of GDP</t>
  </si>
  <si>
    <t>Other Expenditure of %GDP</t>
  </si>
  <si>
    <t>Tot Spending in % of GDP</t>
  </si>
  <si>
    <t>Deficit (Excl. Grants ) % of GDP</t>
  </si>
  <si>
    <t>FISCAL_SAM_NAT_wGFS below this</t>
  </si>
  <si>
    <t>FISCAL_SAM_NAT_wGFS from 2018/19</t>
  </si>
  <si>
    <t xml:space="preserve">Revenues         </t>
  </si>
  <si>
    <t xml:space="preserve">Tax Revenues        </t>
  </si>
  <si>
    <t>1.6.3</t>
  </si>
  <si>
    <t xml:space="preserve">Taxes on Income, Profits or Capital Gains   </t>
  </si>
  <si>
    <t>need split:</t>
  </si>
  <si>
    <t xml:space="preserve">Taxes on Payroll and Workforce     </t>
  </si>
  <si>
    <t>corp/pers.income</t>
  </si>
  <si>
    <t xml:space="preserve">Tax on Property Income      </t>
  </si>
  <si>
    <t xml:space="preserve">Taxes on goods and services     </t>
  </si>
  <si>
    <t xml:space="preserve">Taxes on international trade and transactions    </t>
  </si>
  <si>
    <t xml:space="preserve">Administrative fees, Fines, Penalties and Licenses         </t>
  </si>
  <si>
    <t>1.6.4</t>
  </si>
  <si>
    <t>Property Income</t>
  </si>
  <si>
    <t>Sales of goods and services (incl. PKO)</t>
  </si>
  <si>
    <t>need show PKO</t>
  </si>
  <si>
    <r>
      <t xml:space="preserve">Borrowings </t>
    </r>
    <r>
      <rPr>
        <b/>
        <sz val="9"/>
        <color rgb="FF000000"/>
        <rFont val="Calibri"/>
        <family val="2"/>
      </rPr>
      <t xml:space="preserve"> (not used in SAM-CGE, here fr FISCAL_Output)</t>
    </r>
  </si>
  <si>
    <t>1.6.5</t>
  </si>
  <si>
    <t xml:space="preserve">Domestic borrowings        </t>
  </si>
  <si>
    <t xml:space="preserve">External borrowings        </t>
  </si>
  <si>
    <t xml:space="preserve">Grants         </t>
  </si>
  <si>
    <t>1.6.6</t>
  </si>
  <si>
    <t xml:space="preserve">Capital Receipts        </t>
  </si>
  <si>
    <t>1.6.7</t>
  </si>
  <si>
    <t xml:space="preserve">Disposal of tangible fixed assets     </t>
  </si>
  <si>
    <t xml:space="preserve">Sale of Inventories       </t>
  </si>
  <si>
    <t xml:space="preserve">Sale of Non-Produced Assets      </t>
  </si>
  <si>
    <t xml:space="preserve">Sale of Financial Assets - Domestic    </t>
  </si>
  <si>
    <t xml:space="preserve">Other income        </t>
  </si>
  <si>
    <t>1.6.8</t>
  </si>
  <si>
    <t>Miscellaneous and unidentified Revenue</t>
  </si>
  <si>
    <t>Total Revenue  (excl. borrowing)</t>
  </si>
  <si>
    <t>1.6.27</t>
  </si>
  <si>
    <t xml:space="preserve">Expenditure         </t>
  </si>
  <si>
    <t xml:space="preserve">Compensation of Employees  (incl. in EBU, LG)   </t>
  </si>
  <si>
    <t>1.6.9</t>
  </si>
  <si>
    <t xml:space="preserve">Salaries in cash </t>
  </si>
  <si>
    <t>Social contribution</t>
  </si>
  <si>
    <t>Salaries arrears</t>
  </si>
  <si>
    <t>Use of Goods and Services   (incl. in EBU, LG)</t>
  </si>
  <si>
    <t>1.6.10</t>
  </si>
  <si>
    <t xml:space="preserve">General Services        </t>
  </si>
  <si>
    <t xml:space="preserve">Professional, Research services       </t>
  </si>
  <si>
    <t xml:space="preserve">Transport and travel       </t>
  </si>
  <si>
    <t xml:space="preserve">Maintenance, Repairs and Spare Parts     </t>
  </si>
  <si>
    <t xml:space="preserve">Tools and Small Equipment      </t>
  </si>
  <si>
    <t xml:space="preserve">Training Costs        </t>
  </si>
  <si>
    <t xml:space="preserve">Supplies and services       </t>
  </si>
  <si>
    <t xml:space="preserve">Arrears         </t>
  </si>
  <si>
    <t xml:space="preserve">Other Use of Goods&amp; Services     </t>
  </si>
  <si>
    <t xml:space="preserve">Subsidies         </t>
  </si>
  <si>
    <t>1.6.11</t>
  </si>
  <si>
    <r>
      <t xml:space="preserve">Indirect subsidies on commodities </t>
    </r>
    <r>
      <rPr>
        <sz val="11"/>
        <color rgb="FFFF0000"/>
        <rFont val="Calibri"/>
        <family val="2"/>
      </rPr>
      <t>NEED this info!</t>
    </r>
  </si>
  <si>
    <t>Subsidies to Public and Private Enterprises</t>
  </si>
  <si>
    <r>
      <t xml:space="preserve">Grants </t>
    </r>
    <r>
      <rPr>
        <b/>
        <sz val="9"/>
        <color rgb="FFFF0000"/>
        <rFont val="Calibri"/>
        <family val="2"/>
      </rPr>
      <t>(excl. grants to EBU, LG, under wage, G&amp;S, dev. spending)</t>
    </r>
  </si>
  <si>
    <t>1.6.12</t>
  </si>
  <si>
    <t xml:space="preserve">Grants to Foreign Governments </t>
  </si>
  <si>
    <t>Grants to International Organizations -</t>
  </si>
  <si>
    <r>
      <t xml:space="preserve">Grants to Subsidiary Entity </t>
    </r>
    <r>
      <rPr>
        <sz val="9"/>
        <color rgb="FFFF0000"/>
        <rFont val="Calibri"/>
        <family val="2"/>
      </rPr>
      <t>(reclass. Wages, G&amp;S, NANFA)</t>
    </r>
  </si>
  <si>
    <t xml:space="preserve">Social Assistance        </t>
  </si>
  <si>
    <t>1.6.13</t>
  </si>
  <si>
    <t>Social Assistance Benefits</t>
  </si>
  <si>
    <t>Employer Social Benefits</t>
  </si>
  <si>
    <t xml:space="preserve">Finance cost        </t>
  </si>
  <si>
    <t>1.6.14</t>
  </si>
  <si>
    <t>Interest on domestic debt</t>
  </si>
  <si>
    <t>Interest on foreign debt</t>
  </si>
  <si>
    <r>
      <t xml:space="preserve">Other Expenses  </t>
    </r>
    <r>
      <rPr>
        <b/>
        <sz val="11"/>
        <color rgb="FFFF0000"/>
        <rFont val="Calibri"/>
        <family val="2"/>
      </rPr>
      <t>(decide transfers or G&amp;S)</t>
    </r>
  </si>
  <si>
    <t>1.6.15</t>
  </si>
  <si>
    <t>Miscellaneous expenses</t>
  </si>
  <si>
    <t>Arrears on other expenditures</t>
  </si>
  <si>
    <t xml:space="preserve">Property expenses other than interest </t>
  </si>
  <si>
    <t>Premiums ,Fees and Current claims</t>
  </si>
  <si>
    <r>
      <t xml:space="preserve">Repayment of borrowings </t>
    </r>
    <r>
      <rPr>
        <sz val="11"/>
        <color rgb="FFFF0000"/>
        <rFont val="Calibri"/>
        <family val="2"/>
      </rPr>
      <t>(not used in SAM-CGE)</t>
    </r>
  </si>
  <si>
    <t>1.6.16</t>
  </si>
  <si>
    <t>Repayment of principal – Domestic debt</t>
  </si>
  <si>
    <t>Repayment of principal – Foreign debt</t>
  </si>
  <si>
    <t xml:space="preserve">Acquisition of Assets       </t>
  </si>
  <si>
    <t>1.6.17</t>
  </si>
  <si>
    <t xml:space="preserve">Acquisition of tangible fixed assets  (incl. in EBU, LG)  </t>
  </si>
  <si>
    <t xml:space="preserve">Inventories         </t>
  </si>
  <si>
    <t xml:space="preserve">Valuables         </t>
  </si>
  <si>
    <t xml:space="preserve">Non Produced Assets       </t>
  </si>
  <si>
    <t xml:space="preserve">Investment in Financial Assets – Domestic    </t>
  </si>
  <si>
    <t xml:space="preserve">Investment in Financial Assets – Foreign    </t>
  </si>
  <si>
    <t xml:space="preserve">Arrears on acquisition of fixed assets    </t>
  </si>
  <si>
    <r>
      <t xml:space="preserve">Total Expenditure </t>
    </r>
    <r>
      <rPr>
        <sz val="11"/>
        <color rgb="FFFF0000"/>
        <rFont val="Calibri"/>
        <family val="2"/>
      </rPr>
      <t xml:space="preserve"> (excl. repayment borrowing)</t>
    </r>
  </si>
  <si>
    <t>1.6.28</t>
  </si>
  <si>
    <r>
      <t xml:space="preserve">Net Surplus / (Deficit) </t>
    </r>
    <r>
      <rPr>
        <b/>
        <sz val="8"/>
        <color rgb="FFFF0000"/>
        <rFont val="Calibri"/>
        <family val="2"/>
      </rPr>
      <t>Rev-Exp corr.for netLending, ie GFS1986 def.</t>
    </r>
  </si>
  <si>
    <t>must=l.1121</t>
  </si>
  <si>
    <r>
      <t xml:space="preserve">FISCAL_SAM_NAT_wGFS above this     </t>
    </r>
    <r>
      <rPr>
        <sz val="8"/>
        <color rgb="FFFF0000"/>
        <rFont val="Calibri"/>
        <family val="2"/>
        <scheme val="minor"/>
      </rPr>
      <t>check on deficit excl. grants (GFS1986 def.)</t>
    </r>
  </si>
  <si>
    <t>2028/29</t>
  </si>
  <si>
    <t>2029/30</t>
  </si>
  <si>
    <t>2028/2029</t>
  </si>
  <si>
    <t>2029/2030</t>
  </si>
  <si>
    <t>01/07/2024-31/12/2024</t>
  </si>
  <si>
    <t>01/01/2025-30/06/2025</t>
  </si>
  <si>
    <t>01/07/2025-31/12/2025</t>
  </si>
  <si>
    <t>01/01/2026-30/06/2026</t>
  </si>
  <si>
    <t>01/07/2026-31/12/2026</t>
  </si>
  <si>
    <t>01/01/2027-30/06/2027</t>
  </si>
  <si>
    <t>01/07/2027-31/12/2027</t>
  </si>
  <si>
    <t>01/01/2028-30/06/2028</t>
  </si>
  <si>
    <t>01/07/2028-31/12/2028</t>
  </si>
  <si>
    <t>01/01/2029-30/06/2029</t>
  </si>
  <si>
    <t>01/07/2029-31/12/2029</t>
  </si>
  <si>
    <t>2.-I&amp;M Bank</t>
  </si>
  <si>
    <t>Total Existing T-bonds</t>
  </si>
  <si>
    <t xml:space="preserve">UK Contigent </t>
  </si>
  <si>
    <t>Flood response (GoR)</t>
  </si>
  <si>
    <t>FISC2014_OUTPUT above this</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</si>
  <si>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</si>
  <si>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</si>
  <si>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</si>
  <si>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</si>
  <si>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</si>
  <si>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</si>
  <si>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</si>
  <si>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</si>
  <si>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</si>
  <si>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</si>
  <si>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</si>
  <si>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</si>
  <si>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</si>
  <si>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</si>
  <si>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</si>
  <si>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</si>
  <si>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</si>
  <si>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</si>
  <si>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</si>
  <si>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</si>
  <si>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</si>
  <si>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</si>
  <si>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</si>
  <si>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</si>
  <si>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</si>
  <si>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</si>
  <si>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</si>
  <si>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</si>
  <si>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</si>
  <si>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</si>
  <si>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</si>
  <si>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</si>
  <si>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</si>
  <si>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</si>
  <si>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External debt Services</t>
  </si>
  <si>
    <t>Domestic Debt Services</t>
  </si>
  <si>
    <t>Disbursement</t>
  </si>
  <si>
    <t>EXTFIN_PRINT</t>
  </si>
  <si>
    <t>o/w IMF RST &amp; SCF</t>
  </si>
  <si>
    <t>o/w COVID-19 Vaccine (COVAX,WB,INDIA)</t>
  </si>
  <si>
    <t xml:space="preserve">          Of which Global Fund</t>
  </si>
  <si>
    <t>01/01/2030-30/06/2030</t>
  </si>
  <si>
    <t>01-JUL-29 30-JUN-30</t>
  </si>
  <si>
    <t>2.-BK12</t>
  </si>
  <si>
    <t>2-RSSB</t>
  </si>
  <si>
    <t>2-Equity bank bond</t>
  </si>
  <si>
    <t>2.-TB5Y042024</t>
  </si>
  <si>
    <t>2.-TB15Y052024</t>
  </si>
  <si>
    <t>2.-TB3Y072024</t>
  </si>
  <si>
    <t>2.-TB5Y022025</t>
  </si>
  <si>
    <t>2-BNR</t>
  </si>
  <si>
    <t>2-CSR</t>
  </si>
  <si>
    <t>2-Total Fees on Domestic Debt</t>
  </si>
  <si>
    <t>Gross international reserves NBR end-period in mln USD (for BOP)</t>
  </si>
  <si>
    <t>Payment from KCC+PHL</t>
  </si>
  <si>
    <t>III.2 FISCAL  "TOFE" GFS 2014 PRESENTATION</t>
  </si>
  <si>
    <t> %GDP</t>
  </si>
  <si>
    <t xml:space="preserve">  Deviation</t>
  </si>
  <si>
    <t>O/w PKO</t>
  </si>
  <si>
    <t>O/w  which RwandAir working capital</t>
  </si>
  <si>
    <t>Rwandair Loan Repayment</t>
  </si>
  <si>
    <t>O/w Export Promotion</t>
  </si>
  <si>
    <t>Nominal GDP(billion FRW)</t>
  </si>
  <si>
    <t xml:space="preserve"> of which: Marburg Response</t>
  </si>
  <si>
    <t>O/W Marburg</t>
  </si>
  <si>
    <t>of which: Marburg Response</t>
  </si>
  <si>
    <t xml:space="preserve"> of which: Marburg</t>
  </si>
  <si>
    <t>of which: Marburg</t>
  </si>
  <si>
    <t>o/w PCL</t>
  </si>
  <si>
    <t>o/w KCC in flow and PHL</t>
  </si>
  <si>
    <t>March Proj.</t>
  </si>
  <si>
    <t>Prov. Actual</t>
  </si>
  <si>
    <t xml:space="preserve">  Deviation in % of GDP</t>
  </si>
  <si>
    <t xml:space="preserve">  Dev.</t>
  </si>
  <si>
    <t xml:space="preserve">  Dev. in % of GDP </t>
  </si>
  <si>
    <t>Required Loans</t>
  </si>
  <si>
    <t>Payment</t>
  </si>
  <si>
    <t>Inflow</t>
  </si>
  <si>
    <t>of VAT Refund</t>
  </si>
  <si>
    <t>O/w VAT Refund</t>
  </si>
  <si>
    <t xml:space="preserve"> of which: VAT Refund</t>
  </si>
  <si>
    <t>July Dec. 2026</t>
  </si>
  <si>
    <t>Jan June. 2027</t>
  </si>
  <si>
    <t>July Dec. 2027</t>
  </si>
  <si>
    <t>Jan June. 2028</t>
  </si>
  <si>
    <t>T-Bills</t>
  </si>
  <si>
    <t>T- Bonds</t>
  </si>
  <si>
    <t xml:space="preserve">Bank </t>
  </si>
  <si>
    <t>Non Bank</t>
  </si>
  <si>
    <t>o/w Bugesera</t>
  </si>
  <si>
    <t>o/w Rdair</t>
  </si>
  <si>
    <t>o/w BAC</t>
  </si>
  <si>
    <t>Rwandair Euro Bond Repayment US$</t>
  </si>
  <si>
    <t>Qatar Contribution to Euro bond repayment US$</t>
  </si>
  <si>
    <t>Total Rdair Euro bond Repayment US$</t>
  </si>
  <si>
    <t>Rwandair restructured loan Principal payment external</t>
  </si>
  <si>
    <t>Rwandair restructured loan Interest payment Domestic</t>
  </si>
  <si>
    <t>Rwandair restructured loan Principal payment Domestic</t>
  </si>
  <si>
    <t>o/w Rwandair  loan repayment (short-term Liabilities+bank)</t>
  </si>
  <si>
    <t>2031A1</t>
  </si>
  <si>
    <t>2032A1</t>
  </si>
  <si>
    <t>2033A1</t>
  </si>
  <si>
    <t>2034A1</t>
  </si>
  <si>
    <t>2035A1</t>
  </si>
  <si>
    <t>2030/31</t>
  </si>
  <si>
    <t>2031/32</t>
  </si>
  <si>
    <t>2032/33</t>
  </si>
  <si>
    <t>2033/34</t>
  </si>
  <si>
    <t>2034/35</t>
  </si>
  <si>
    <r>
      <t>Net Investment in nonfinancial assets</t>
    </r>
    <r>
      <rPr>
        <sz val="12"/>
        <rFont val="Cambria"/>
        <family val="1"/>
      </rPr>
      <t xml:space="preserve"> </t>
    </r>
  </si>
  <si>
    <t>Primary  Deficit (-) {deficit/Surplus} V1986</t>
  </si>
  <si>
    <t>Excluding Bugesera</t>
  </si>
  <si>
    <t>Excluding Bugesera, Rwandair</t>
  </si>
  <si>
    <t>Excluding Bugesera &amp; Rwandair</t>
  </si>
  <si>
    <t>Excluding Rwandair &amp;Bugesera</t>
  </si>
  <si>
    <t>Debt Creating Overall Deficit</t>
  </si>
  <si>
    <t>Excluding New Rwandair</t>
  </si>
  <si>
    <t>o/w Existing Rwndair Pofile</t>
  </si>
  <si>
    <t>o/w Excl. Rwandair&amp;Bugesera</t>
  </si>
  <si>
    <t>O/W RSSB Reforms</t>
  </si>
  <si>
    <t>EBUS</t>
  </si>
  <si>
    <t>o/w RSSB Reform</t>
  </si>
  <si>
    <t>LG</t>
  </si>
  <si>
    <t>O/W Deficit Excl. Rwndair and Bugesera</t>
  </si>
  <si>
    <t>O/w Primary Balance</t>
  </si>
  <si>
    <t>October 2024 agreed</t>
  </si>
  <si>
    <t>Mar. 2025</t>
  </si>
  <si>
    <t>O/w  which Existing RwandAir working capital</t>
  </si>
  <si>
    <t>O/w Existing Bugesera (Bridge Loan)</t>
  </si>
  <si>
    <t>O/w additional New Profile</t>
  </si>
  <si>
    <t>O/w  which additional RwandAir working capital</t>
  </si>
  <si>
    <t>July Dec 2024 Proj</t>
  </si>
  <si>
    <t>July Dec 2024 Prov Act.</t>
  </si>
  <si>
    <t>Dev</t>
  </si>
  <si>
    <t>Jan June 2025. Oct. Agreed</t>
  </si>
  <si>
    <t>Jan June 2025. Mar.2025</t>
  </si>
  <si>
    <t>O/W New Bugesera</t>
  </si>
  <si>
    <t>O/W Existing Bugesera (Bridge Loansa</t>
  </si>
  <si>
    <t>01/07/2030-31/12/2030</t>
  </si>
  <si>
    <t>01/01/2031-30/06/2031</t>
  </si>
  <si>
    <t>01-JUL-30 30-JUN-31</t>
  </si>
  <si>
    <t>01/07/2031-31/12/2031</t>
  </si>
  <si>
    <t>01/01/2032-30/06/2032</t>
  </si>
  <si>
    <t>01-JUL-31 30-JUN-32</t>
  </si>
  <si>
    <t>01/07/2032-31/12/2032</t>
  </si>
  <si>
    <t>01/01/2033-30/06/2033</t>
  </si>
  <si>
    <t>01-JUL-32 30-JUN-33</t>
  </si>
  <si>
    <t>01/07/2033-31/12/2033</t>
  </si>
  <si>
    <t>01/01/2034-30/06/2034</t>
  </si>
  <si>
    <t>01-JUL-33 30-JUN-34</t>
  </si>
  <si>
    <t>01/07/2034-31/12/2034</t>
  </si>
  <si>
    <t>01/01/2035-30/06/2035</t>
  </si>
  <si>
    <t>01-JUL-34 30-JUN-35</t>
  </si>
  <si>
    <t>01/07/2035-31/12/2035</t>
  </si>
  <si>
    <t>01/01/2036-30/06/2036</t>
  </si>
  <si>
    <t>01-JUL-35 30-JUN-36</t>
  </si>
  <si>
    <t>2-BRD</t>
  </si>
  <si>
    <t>2.-TB7Y062024</t>
  </si>
  <si>
    <t>2.-TB20Y082024</t>
  </si>
  <si>
    <t>2.-TB10Y082024</t>
  </si>
  <si>
    <t>2.-TB10Y012025</t>
  </si>
  <si>
    <t>O/w Bugesera +Rwandair</t>
  </si>
  <si>
    <t>New Euro Bond</t>
  </si>
  <si>
    <t>Eurobond Fees</t>
  </si>
  <si>
    <t xml:space="preserve">              Of which Bugesera</t>
  </si>
  <si>
    <t xml:space="preserve">              Of which Rwandair</t>
  </si>
  <si>
    <t xml:space="preserve">              Of which Euro bond(2021)</t>
  </si>
  <si>
    <t xml:space="preserve">              Of which Euro bond(2025)</t>
  </si>
  <si>
    <t xml:space="preserve">              Of which Euro Bond  (2025)</t>
  </si>
  <si>
    <t>Naïve extrapolation</t>
  </si>
  <si>
    <t>o/w BIA</t>
  </si>
  <si>
    <t>o/w Rwandair</t>
  </si>
  <si>
    <t>o/w Eurobond interest</t>
  </si>
  <si>
    <t>BUGESERA</t>
  </si>
  <si>
    <t>Rwandair</t>
  </si>
  <si>
    <t>July Dec. 2028</t>
  </si>
  <si>
    <t>Jan June. 2029</t>
  </si>
  <si>
    <t>July Dec. 2029</t>
  </si>
  <si>
    <t>Jan June. 2030</t>
  </si>
  <si>
    <t>Bugesera</t>
  </si>
  <si>
    <t>Other Use of Goods and Services</t>
  </si>
  <si>
    <t>O/W Deviation of New profile to existing</t>
  </si>
  <si>
    <t xml:space="preserve">Banks </t>
  </si>
  <si>
    <t>VAT on Imports</t>
  </si>
  <si>
    <t>VAT on Domestic</t>
  </si>
  <si>
    <t>Excises on Fuel</t>
  </si>
  <si>
    <t>PAYE</t>
  </si>
  <si>
    <t>PIT</t>
  </si>
  <si>
    <t>Non-Bank T-Paper financing Budget FY bln RWF</t>
  </si>
  <si>
    <t>Bank  financing Budget FY bln RWF</t>
  </si>
  <si>
    <t xml:space="preserve">A. Bank  financing Budget CY bln RWF </t>
  </si>
  <si>
    <t>O/W VAT on Fuel</t>
  </si>
  <si>
    <t>Excises on Imports</t>
  </si>
  <si>
    <t>Excises on Domestic (Residuals)</t>
  </si>
  <si>
    <t>Currency and Deposits</t>
  </si>
  <si>
    <t>A1. Currency and deposits , Calendar Year, bln RWF (- build up/ + drawdown)</t>
  </si>
  <si>
    <r>
      <t>A1.1 Use of earmarked levies at BNR</t>
    </r>
    <r>
      <rPr>
        <b/>
        <sz val="10"/>
        <rFont val="Calibri"/>
        <family val="2"/>
      </rPr>
      <t xml:space="preserve"> CY, bln RWF</t>
    </r>
    <r>
      <rPr>
        <b/>
        <sz val="11"/>
        <rFont val="Calibri"/>
        <family val="2"/>
        <scheme val="minor"/>
      </rPr>
      <t>(- build up/ + drawdown)</t>
    </r>
  </si>
  <si>
    <r>
      <t xml:space="preserve">Domestic financing from Fisc_MON in FY                     </t>
    </r>
    <r>
      <rPr>
        <sz val="8"/>
        <color rgb="FFFF0000"/>
        <rFont val="Calibri"/>
        <family val="2"/>
        <scheme val="minor"/>
      </rPr>
      <t>Check</t>
    </r>
  </si>
  <si>
    <t>Loans+Equity (Net Lending GFS1986)     (+ acquistion (Spending))</t>
  </si>
  <si>
    <t>Total Budget Grants (cash, used in TOFE)</t>
  </si>
  <si>
    <t>Foreign Government</t>
  </si>
  <si>
    <t>International Organization</t>
  </si>
  <si>
    <t>PDT/EFU - Budgetary Disbursements</t>
  </si>
  <si>
    <t>EFU</t>
  </si>
  <si>
    <t>Non-RRA Non- Tax Revenue</t>
  </si>
  <si>
    <t>AG Office</t>
  </si>
  <si>
    <t>RRA - Revenue - GFS 2014 presentation</t>
  </si>
  <si>
    <t>o/w Rwanda National Police Revenue</t>
  </si>
  <si>
    <t>o/w PAYE</t>
  </si>
  <si>
    <t>o/w PIT</t>
  </si>
  <si>
    <t>Domestic Finacing</t>
  </si>
  <si>
    <t>Foreign Financing</t>
  </si>
  <si>
    <t>IMF</t>
  </si>
  <si>
    <t>FRANCE</t>
  </si>
  <si>
    <t>CDP ITALY</t>
  </si>
  <si>
    <t>Domestic Interest payments Recent</t>
  </si>
  <si>
    <t>Debt Stock Corporate</t>
  </si>
  <si>
    <t xml:space="preserve">Budget Loans </t>
  </si>
  <si>
    <t>EFU - Project Grants Disbursements and spending</t>
  </si>
  <si>
    <t>DEBT-DG - Project Loans Disbursements and Spending</t>
  </si>
  <si>
    <r>
      <t xml:space="preserve">Total Project Grants </t>
    </r>
    <r>
      <rPr>
        <b/>
        <sz val="12"/>
        <color rgb="FF0070C0"/>
        <rFont val="Cambria"/>
        <family val="1"/>
        <scheme val="major"/>
      </rPr>
      <t>Disbursement</t>
    </r>
  </si>
  <si>
    <t>Direct Payment</t>
  </si>
  <si>
    <t>Drawing from Project A/c</t>
  </si>
  <si>
    <r>
      <t xml:space="preserve">Total Project Grants </t>
    </r>
    <r>
      <rPr>
        <b/>
        <sz val="12"/>
        <color rgb="FFC00000"/>
        <rFont val="Cambria"/>
        <family val="1"/>
        <scheme val="major"/>
      </rPr>
      <t>Spending</t>
    </r>
  </si>
  <si>
    <r>
      <t xml:space="preserve">Project Loans </t>
    </r>
    <r>
      <rPr>
        <b/>
        <sz val="12"/>
        <color rgb="FF00B0F0"/>
        <rFont val="Cambria"/>
        <family val="1"/>
        <scheme val="major"/>
      </rPr>
      <t>Disbursement</t>
    </r>
  </si>
  <si>
    <r>
      <t xml:space="preserve">Project Loans </t>
    </r>
    <r>
      <rPr>
        <b/>
        <sz val="12"/>
        <color rgb="FFC00000"/>
        <rFont val="Cambria"/>
        <family val="1"/>
        <scheme val="major"/>
      </rPr>
      <t>Spending</t>
    </r>
  </si>
  <si>
    <t>Revenue Collections (Decentralized Level --- LG)</t>
  </si>
  <si>
    <t>Excises on Domestic Goods</t>
  </si>
  <si>
    <t>IFMS/ DEBT DG- Policy lending - GFS 2014 presentation</t>
  </si>
  <si>
    <t>O/w RwandAir</t>
  </si>
  <si>
    <t>Accountant General</t>
  </si>
  <si>
    <t>Account Receivables and Payables</t>
  </si>
  <si>
    <t>Account Receivables</t>
  </si>
  <si>
    <t>Account Payables</t>
  </si>
  <si>
    <t>PAYE Tax/GDP</t>
  </si>
  <si>
    <t>PAYE tax /non agric. GDP</t>
  </si>
  <si>
    <t xml:space="preserve">    PAYE taxes - 'buyoancy factor' of direct taxes/non-agric GDP ratio</t>
  </si>
  <si>
    <t>PIT / GDP</t>
  </si>
  <si>
    <t>PIT/ Non- Agriculture GDP</t>
  </si>
  <si>
    <t xml:space="preserve">    PIT - 'buyoancy factor' of direct taxes/non-agric GDP ratio</t>
  </si>
  <si>
    <r>
      <t xml:space="preserve">External information </t>
    </r>
    <r>
      <rPr>
        <sz val="11"/>
        <color rgb="FFFF0000"/>
        <rFont val="Calibri"/>
        <family val="2"/>
        <scheme val="minor"/>
      </rPr>
      <t>(other than External Financing flows via EFU)</t>
    </r>
  </si>
  <si>
    <t>Property tax: Central Govt recurrent immovable property(excl. local govt taxes)/GDP</t>
  </si>
  <si>
    <t>Property tax: Local Govt recurrent immovable property/GDP</t>
  </si>
  <si>
    <t>LG Rental Income tax</t>
  </si>
  <si>
    <t>o/w import of Consumer goods in bln FRW (Converted in FY)</t>
  </si>
  <si>
    <t>Issuance of T bills/bonds to Commercial Banks FY, bln RWF</t>
  </si>
  <si>
    <t>Borrowing from BNR FY, bln RWF</t>
  </si>
  <si>
    <r>
      <t>A3.1. Issuance T bills/bonds to Commercial Banks CY</t>
    </r>
    <r>
      <rPr>
        <sz val="8"/>
        <rFont val="Calibri"/>
        <family val="2"/>
      </rPr>
      <t>,</t>
    </r>
    <r>
      <rPr>
        <sz val="11"/>
        <rFont val="Calibri"/>
        <family val="2"/>
      </rPr>
      <t xml:space="preserve"> bln RWF</t>
    </r>
    <r>
      <rPr>
        <b/>
        <sz val="11"/>
        <rFont val="Calibri"/>
        <family val="2"/>
      </rPr>
      <t xml:space="preserve"> </t>
    </r>
  </si>
  <si>
    <t>Direct borrowing from Commercial Banks FY (Loan)</t>
  </si>
  <si>
    <t>A3.2. Direct Borrowing from Commercial Banks CY</t>
  </si>
  <si>
    <r>
      <t xml:space="preserve">B. Total Nonbank financing </t>
    </r>
    <r>
      <rPr>
        <b/>
        <sz val="10"/>
        <rFont val="Calibri"/>
        <family val="2"/>
      </rPr>
      <t>CY (bln RWF)</t>
    </r>
    <r>
      <rPr>
        <b/>
        <sz val="9"/>
        <rFont val="Calibri"/>
        <family val="2"/>
        <scheme val="minor"/>
      </rPr>
      <t xml:space="preserve"> incl. Policy Lending (loans&amp;equity)</t>
    </r>
  </si>
  <si>
    <r>
      <t>Total Nonbank financing FY (bln RWF)</t>
    </r>
    <r>
      <rPr>
        <b/>
        <sz val="9"/>
        <color rgb="FF586D2D"/>
        <rFont val="Calibri"/>
        <family val="2"/>
        <scheme val="minor"/>
      </rPr>
      <t xml:space="preserve"> incl. Policy Lending</t>
    </r>
  </si>
  <si>
    <r>
      <t>B1. Non-Bank T-Paper financing Budget,</t>
    </r>
    <r>
      <rPr>
        <b/>
        <sz val="9"/>
        <rFont val="Calibri"/>
        <family val="2"/>
        <scheme val="minor"/>
      </rPr>
      <t xml:space="preserve"> CY bln RWF</t>
    </r>
  </si>
  <si>
    <r>
      <t>B2. Direct Borrowing from Non-Bank,</t>
    </r>
    <r>
      <rPr>
        <b/>
        <sz val="9"/>
        <rFont val="Calibri"/>
        <family val="2"/>
        <scheme val="minor"/>
      </rPr>
      <t xml:space="preserve"> CY bln RWF</t>
    </r>
  </si>
  <si>
    <r>
      <t>Direct Borrowing from Non-Bank</t>
    </r>
    <r>
      <rPr>
        <b/>
        <sz val="9"/>
        <color rgb="FF586D2D"/>
        <rFont val="Calibri"/>
        <family val="2"/>
        <scheme val="minor"/>
      </rPr>
      <t>, FY bln RWF</t>
    </r>
  </si>
  <si>
    <t>LG Property Tax</t>
  </si>
  <si>
    <t>EBU's</t>
  </si>
  <si>
    <t>LG's</t>
  </si>
  <si>
    <t>Domestic credit to Central Government (Net)</t>
  </si>
  <si>
    <t>Credit to government( central and commercial banks)</t>
  </si>
  <si>
    <t>O/w Credit from BNR(from Monetary Survey)</t>
  </si>
  <si>
    <t>O/w Credit from Monetary Authorities</t>
  </si>
  <si>
    <t>O/w Credit from Commercial Banks</t>
  </si>
  <si>
    <t>O/W Deposit in Central Bank</t>
  </si>
  <si>
    <t>Excises on Imports(Total)</t>
  </si>
  <si>
    <t>Excises on Imports Non-Fuel</t>
  </si>
  <si>
    <t xml:space="preserve"> excise taxes - 'buyoancy factor' of excise taxes on imports/Consumer goods</t>
  </si>
  <si>
    <t>excises on Fuel/imports of petroleum products for dom. Consumption</t>
  </si>
  <si>
    <t xml:space="preserve"> excise taxes - 'buyoancy factor' of excise taxes on Fuel/imports of petroleum products for dom. Consumption</t>
  </si>
  <si>
    <t>G &amp; S taxes: excises on domestic/consumptions</t>
  </si>
  <si>
    <t>excises on domestic/consumptions</t>
  </si>
  <si>
    <t xml:space="preserve"> excise taxes - 'buyoancy factor' of excises on domestic/consumptions</t>
  </si>
  <si>
    <t>Impact of RSSB Premium increase from 12% in 2023/24</t>
  </si>
  <si>
    <t xml:space="preserve">     growth rate spending goods &amp; services in % (excl. One of Spending)</t>
  </si>
  <si>
    <t>Line Ministry</t>
  </si>
  <si>
    <t>Treasury</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</si>
  <si>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</si>
  <si>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</si>
  <si>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</si>
  <si>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</si>
  <si>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</si>
  <si>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</si>
  <si>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</si>
  <si>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</si>
  <si>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</si>
  <si>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</si>
  <si>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VAT on Imports/ GDP</t>
  </si>
  <si>
    <t xml:space="preserve">    VAT taxes - 'buyoancy factor' of VAT taxes/total consumer gooods</t>
  </si>
  <si>
    <t>Budget loans (excl. commercial)</t>
  </si>
  <si>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</si>
  <si>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</si>
  <si>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</si>
  <si>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</si>
  <si>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</si>
  <si>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</si>
  <si>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</si>
  <si>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</si>
  <si>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Bugesera commercial</t>
  </si>
  <si>
    <t>Rwandair commercial</t>
  </si>
  <si>
    <t xml:space="preserve">            plus: required budget loans (sem.)</t>
  </si>
  <si>
    <t>IV. Budget grants  (in US$ mln) (incl Global Fund)</t>
  </si>
  <si>
    <t xml:space="preserve">       plus: required budget grants (semester)</t>
  </si>
  <si>
    <t xml:space="preserve">  Net foreign assets NBR (mln US$) end-Dec </t>
  </si>
  <si>
    <t xml:space="preserve">       valuation change on foreign liabilties to IMF</t>
  </si>
  <si>
    <t xml:space="preserve"> total repayments on IMF loans to IMF by NBR (all facilities) in mln USD</t>
  </si>
  <si>
    <r>
      <t>PDT - Debt Service</t>
    </r>
    <r>
      <rPr>
        <sz val="12"/>
        <rFont val="Cambria"/>
        <family val="1"/>
      </rPr>
      <t xml:space="preserve"> ( in TOFE)</t>
    </r>
  </si>
  <si>
    <t>Loans (repayment of t-bonds)</t>
  </si>
  <si>
    <t>Domestic Principal Payment</t>
  </si>
  <si>
    <t>Domestic Principal Payment(Bonds &amp;Loans)</t>
  </si>
  <si>
    <t>VAT on Domestic/ GDP</t>
  </si>
  <si>
    <t>VAT on Imports/ consumption</t>
  </si>
  <si>
    <t xml:space="preserve">    VAT taxes - 'buyoancy factor' of VAT taxes/consumption</t>
  </si>
  <si>
    <t xml:space="preserve">excises tax on Imports/Import of Consumer Goods </t>
  </si>
  <si>
    <t>G &amp; S taxes: excises on Fuel/GDP</t>
  </si>
  <si>
    <t>G &amp; S taxes: excises on Imports/GDP</t>
  </si>
  <si>
    <t>Conversion factor M3/MT</t>
  </si>
  <si>
    <t>Consumption in million litters (in Millions Litters)</t>
  </si>
  <si>
    <t>Japanese Yen</t>
  </si>
  <si>
    <t>IV. Domestic government debt (service) bln RWF</t>
  </si>
  <si>
    <t>Principal due existing T-bonds (Dom Debt)  FY</t>
  </si>
  <si>
    <t>set share of 2d sem. FY exogenous</t>
  </si>
  <si>
    <t>Principal due direct bank loans (Dom Debt) FY</t>
  </si>
  <si>
    <t xml:space="preserve">        Semester  I direct bank loans</t>
  </si>
  <si>
    <t xml:space="preserve">        Semester  II direct bank loans</t>
  </si>
  <si>
    <t>Principal due to MonAuth on IMF loans channeled to Budget</t>
  </si>
  <si>
    <t>Interest due on existing and new debt FY (bln RWF)</t>
  </si>
  <si>
    <t>Interest due to MonAuth on IMF loans channeled to Budget</t>
  </si>
  <si>
    <t xml:space="preserve">        Banks direct loans </t>
  </si>
  <si>
    <t xml:space="preserve">        Non-banks T-bonds</t>
  </si>
  <si>
    <t xml:space="preserve">        BNR, RSSB, "corporate bonds" nonbanks (post office, Soderapal)</t>
  </si>
  <si>
    <t>Net  issuance of T bonds</t>
  </si>
  <si>
    <t xml:space="preserve">    O/w: to non banks</t>
  </si>
  <si>
    <t>Domestic debt/GDP (excl. IMF-MonAuth) end-CY/GDP</t>
  </si>
  <si>
    <t xml:space="preserve">        Banks T-bills</t>
  </si>
  <si>
    <t xml:space="preserve">        Banks T-bonds</t>
  </si>
  <si>
    <t xml:space="preserve">        Non-banks T-bills</t>
  </si>
  <si>
    <t>Credit from Commercial Banks</t>
  </si>
  <si>
    <t>O/W Credit from BNR(from Monetary Survey)</t>
  </si>
  <si>
    <t>Credit from Monetary Authorities</t>
  </si>
  <si>
    <t>T-Bonds</t>
  </si>
  <si>
    <t>Held by Non- Banks</t>
  </si>
  <si>
    <t>Stock of Debt Securities</t>
  </si>
  <si>
    <t>Deposit in Central Bank</t>
  </si>
  <si>
    <t>Deposit in Commercial Banks</t>
  </si>
  <si>
    <t>Growth in Project loan disbursement</t>
  </si>
  <si>
    <t>Foreign financed capital spending</t>
  </si>
  <si>
    <t>Gross Financing Need T-Paper</t>
  </si>
  <si>
    <t>Net Fiancing Need of Paper</t>
  </si>
  <si>
    <t>Principal Payment of The bonds Existing stock</t>
  </si>
  <si>
    <t>Gross Issuance</t>
  </si>
  <si>
    <t>Principal due existing bank-held T-bonds (Dom Debt)  FY</t>
  </si>
  <si>
    <t xml:space="preserve">        bank-held T bonds, sem. I</t>
  </si>
  <si>
    <t xml:space="preserve">        bank-held T bonds, sem. II</t>
  </si>
  <si>
    <t>Principal due existing non-bank-held T-bonds (Dom Debt)  FY</t>
  </si>
  <si>
    <t xml:space="preserve">        non-bank-held T bonds, sem. I</t>
  </si>
  <si>
    <t xml:space="preserve">        non-bank-held T bonds, sem. II</t>
  </si>
  <si>
    <t xml:space="preserve">        Semester I   </t>
  </si>
  <si>
    <t xml:space="preserve">        Semester II </t>
  </si>
  <si>
    <t>2030/2031</t>
  </si>
  <si>
    <t>2031/2032</t>
  </si>
  <si>
    <t>2032/2033</t>
  </si>
  <si>
    <t>2033/2034</t>
  </si>
  <si>
    <t>2034/2035</t>
  </si>
  <si>
    <t xml:space="preserve"> of which: Other Subsidies</t>
  </si>
  <si>
    <t xml:space="preserve">    inderect tax on fuel in  % imported energy products</t>
  </si>
  <si>
    <t>Indirect Subsidies (Electricity and Water)</t>
  </si>
  <si>
    <t>To Monetary Authorities(For IMF Loans for Budget)</t>
  </si>
  <si>
    <t>o/w Monetary Authorities(IMF Loans)</t>
  </si>
  <si>
    <t xml:space="preserve">A2. Borrowing from Monetary Authorities/For IMF Loans, bln RWF </t>
  </si>
  <si>
    <t>FISC_REAL above this</t>
  </si>
  <si>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</si>
  <si>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</si>
  <si>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</si>
  <si>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</si>
  <si>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</si>
  <si>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</si>
  <si>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</si>
  <si>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</si>
  <si>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</si>
  <si>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Investment deflator (2017=100)</t>
  </si>
  <si>
    <t>Government investment deflator (2017=100)</t>
  </si>
  <si>
    <t>Total final consumption expenditure (Constant prices, 2017=100)</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</si>
  <si>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</si>
  <si>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</si>
  <si>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</si>
  <si>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</si>
  <si>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</si>
  <si>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</si>
  <si>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</si>
  <si>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</si>
  <si>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Bugesera govt equity contribution 2024/24-29  Domestic Component in Million USD</t>
  </si>
  <si>
    <t>Bugesera govt equity contribution 2024/24-29  Domestic Component in Billion FRW</t>
  </si>
  <si>
    <t>Bugesera govt equity contribution 2024/24-29   External Component</t>
  </si>
  <si>
    <t>KING FAISAL HOSPITAL</t>
  </si>
  <si>
    <t>PHL</t>
  </si>
  <si>
    <t>BELLA FLOWERS</t>
  </si>
  <si>
    <t>NHL</t>
  </si>
  <si>
    <t>EAX</t>
  </si>
  <si>
    <t>VISION GARMENTS</t>
  </si>
  <si>
    <t>NTARE SCHOOL</t>
  </si>
  <si>
    <t>AFRIPRECAST</t>
  </si>
  <si>
    <t>KACYIRU APARTMENT</t>
  </si>
  <si>
    <t>PCL</t>
  </si>
  <si>
    <t>ECOFLEET SOLUTIONS</t>
  </si>
  <si>
    <t>AMC</t>
  </si>
  <si>
    <t>PCI5</t>
  </si>
  <si>
    <t>PCI6</t>
  </si>
  <si>
    <t>DEBT SERVICE PROJECTIONS FOR NET LENDING (2021/22-2023/24)</t>
  </si>
  <si>
    <t>DEBT SERVICE PROJECTIONS FOR NET LENDING (2022/23-2024/25)</t>
  </si>
  <si>
    <t>INSTITUTION</t>
  </si>
  <si>
    <t>2019-20</t>
  </si>
  <si>
    <t>2020-21</t>
  </si>
  <si>
    <t>2021-22</t>
  </si>
  <si>
    <t>2022-23</t>
  </si>
  <si>
    <t>2023-24</t>
  </si>
  <si>
    <t>ORIGINAL BUDGET</t>
  </si>
  <si>
    <t>PROJECTION</t>
  </si>
  <si>
    <t>PAYMENT TO PUBLIC CORPORATIONS (GUARANTEED &amp; NON-GUARANTEED)</t>
  </si>
  <si>
    <t>BENEFICIARY</t>
  </si>
  <si>
    <t>2022-2023</t>
  </si>
  <si>
    <t>2023-2024</t>
  </si>
  <si>
    <t>2024-2025</t>
  </si>
  <si>
    <t>2025-2026</t>
  </si>
  <si>
    <t>2026-2027</t>
  </si>
  <si>
    <t>2027-2028</t>
  </si>
  <si>
    <t>2028-2029</t>
  </si>
  <si>
    <t>2029-2030</t>
  </si>
  <si>
    <t>2030-2031</t>
  </si>
  <si>
    <t>2031-2032</t>
  </si>
  <si>
    <t>2032-2033</t>
  </si>
  <si>
    <t>2033-2034</t>
  </si>
  <si>
    <t>2034-2035</t>
  </si>
  <si>
    <t>UCL (AFREXIM)(RWF)</t>
  </si>
  <si>
    <t>BRD</t>
  </si>
  <si>
    <t xml:space="preserve">UCL </t>
  </si>
  <si>
    <t>SONARWA (RWF)</t>
  </si>
  <si>
    <t>ATL (BAC Bridge Loan)</t>
  </si>
  <si>
    <t>BAC Bridge Loan</t>
  </si>
  <si>
    <t>TOTAL (RWF)</t>
  </si>
  <si>
    <t>BRD-Capital Injection</t>
  </si>
  <si>
    <t>BNR RELATED COSTS(SUBSIDIES TO PUBLIC CORPORATIONS/OPEN MARKET OPERATIONS)</t>
  </si>
  <si>
    <t>NTARE School</t>
  </si>
  <si>
    <t>Bella Flowers</t>
  </si>
  <si>
    <t>NOBILIS HOTEL</t>
  </si>
  <si>
    <t>REFUND MONETARY COSTS (RWF)</t>
  </si>
  <si>
    <t>MARKETING COSTS (RWF)</t>
  </si>
  <si>
    <t>ISSUANCE FEE (Incl.Marketing &amp; Monetary Costs)</t>
  </si>
  <si>
    <t>LISTING FEES (Including Annual Listing Fees for All T-bonds)(RWF)</t>
  </si>
  <si>
    <t>Additional Total</t>
  </si>
  <si>
    <t>CREDITOR</t>
  </si>
  <si>
    <t>LOAN NUMBER</t>
  </si>
  <si>
    <t>NAME OF THE PROJECT</t>
  </si>
  <si>
    <t>UNDISBURSED</t>
  </si>
  <si>
    <t>CURRENCY</t>
  </si>
  <si>
    <t>DATE LIMITE</t>
  </si>
  <si>
    <t>S2</t>
  </si>
  <si>
    <t>S1</t>
  </si>
  <si>
    <t>IDA Scale up</t>
  </si>
  <si>
    <t>ECONOMIC RECOVERY FUND</t>
  </si>
  <si>
    <t>USD</t>
  </si>
  <si>
    <t>Access TO FINANCE FOR RECOVERY</t>
  </si>
  <si>
    <t>GRANT COMPONENT</t>
  </si>
  <si>
    <t>Total CY</t>
  </si>
  <si>
    <t>Total FY</t>
  </si>
  <si>
    <t>ERF FROM OH</t>
  </si>
  <si>
    <r>
      <t xml:space="preserve">          </t>
    </r>
    <r>
      <rPr>
        <sz val="10.5"/>
        <color rgb="FF595959"/>
        <rFont val="Calibri"/>
        <family val="2"/>
      </rPr>
      <t>Asian Infrastructure Investment Bank</t>
    </r>
  </si>
  <si>
    <t>IDA Resources (in US$, Millions)</t>
  </si>
  <si>
    <t>Credit Amount</t>
  </si>
  <si>
    <t>Grant Amount</t>
  </si>
  <si>
    <t>Guarantee Amount</t>
  </si>
  <si>
    <t>Total Amount</t>
  </si>
  <si>
    <t>Rwanda</t>
  </si>
  <si>
    <t>National PBA</t>
  </si>
  <si>
    <t>Scale-up Facility (SUF)</t>
  </si>
  <si>
    <t>Expected Disbursements (in US$, Millions)</t>
  </si>
  <si>
    <t xml:space="preserve">WB Fiscal Year  </t>
  </si>
  <si>
    <t>Annual</t>
  </si>
  <si>
    <t>Cumulative</t>
  </si>
  <si>
    <t>FY 21/22</t>
  </si>
  <si>
    <t>FY 22/23</t>
  </si>
  <si>
    <t>FY 23/24</t>
  </si>
  <si>
    <t>March 2025 agreed</t>
  </si>
  <si>
    <t>O/w Borrowing</t>
  </si>
  <si>
    <t>2034/36</t>
  </si>
  <si>
    <t>2035/36</t>
  </si>
  <si>
    <t>O/W NKIA+Rwandair</t>
  </si>
  <si>
    <t>Non agricultural GDP, current prices (excl. govt &amp; taxes, exports) (Billion RWF)</t>
  </si>
  <si>
    <t>Nominal GDP (Million USD, p.a ER used)</t>
  </si>
  <si>
    <t>Gross National Income (GNI) (incl net factor inc, mln USD, current prices)</t>
  </si>
  <si>
    <t>GFCF (Excl. inventories, constant prices, 2017=100)</t>
  </si>
  <si>
    <t>GFCF (excl big projects/Bugesera, excl inventories, KP, bln RWF)</t>
  </si>
  <si>
    <t>used in BOP</t>
  </si>
  <si>
    <t>GFCF (excl big projects and FDI Bugesera, excl inventories, mln USD, CP)</t>
  </si>
  <si>
    <t>O/W Bugesera</t>
  </si>
  <si>
    <t>O/w Bugesera and Rwandair</t>
  </si>
  <si>
    <t xml:space="preserve"> of which: other Subsidies</t>
  </si>
  <si>
    <t>Oct. 2025 agreed</t>
  </si>
  <si>
    <t>Now</t>
  </si>
  <si>
    <t xml:space="preserve">Table 2.b Resources and Outlays </t>
  </si>
  <si>
    <t>Budgetary Central Government (excl.LG)</t>
  </si>
  <si>
    <t>(billion FRw)</t>
  </si>
  <si>
    <t>Revised Proj</t>
  </si>
  <si>
    <t>Original budget</t>
  </si>
  <si>
    <t>Revised Budget</t>
  </si>
  <si>
    <t>Variance</t>
  </si>
  <si>
    <t>Original Budget</t>
  </si>
  <si>
    <t>Final after IMF_Revised Budget</t>
  </si>
  <si>
    <t>Variance (G-F)</t>
  </si>
  <si>
    <t>Orginal Budget Proj</t>
  </si>
  <si>
    <t>Final Revised Budget</t>
  </si>
  <si>
    <t>Variance (J-I)</t>
  </si>
  <si>
    <t>End year Estimates</t>
  </si>
  <si>
    <t>Oct. Proj.</t>
  </si>
  <si>
    <t>Original Budget Proj</t>
  </si>
  <si>
    <t>Revised Budget Proj</t>
  </si>
  <si>
    <t>Variation (O-N)</t>
  </si>
  <si>
    <t>Proj</t>
  </si>
  <si>
    <t>1. Revenue</t>
  </si>
  <si>
    <t>Tax on Property</t>
  </si>
  <si>
    <t xml:space="preserve">    Of which Strategic petroleum reserve levy </t>
  </si>
  <si>
    <t>of which tax arrears repayment</t>
  </si>
  <si>
    <t xml:space="preserve">    Of which Infrastructure Development Levy</t>
  </si>
  <si>
    <t xml:space="preserve">    Of which African Union  Import levy </t>
  </si>
  <si>
    <t xml:space="preserve">  of which: PKO Receipts</t>
  </si>
  <si>
    <t xml:space="preserve">   of which PKO Operations</t>
  </si>
  <si>
    <t xml:space="preserve">   of which PKO bonus allowances </t>
  </si>
  <si>
    <t>of which Own revenue  from Agencies</t>
  </si>
  <si>
    <t xml:space="preserve"> of which RDB</t>
  </si>
  <si>
    <t xml:space="preserve"> of which RRA IGR</t>
  </si>
  <si>
    <t xml:space="preserve"> of which RMPGB</t>
  </si>
  <si>
    <t xml:space="preserve"> of which RSC</t>
  </si>
  <si>
    <t xml:space="preserve"> of which RFDA</t>
  </si>
  <si>
    <t xml:space="preserve">Fines, penalties, and forfeits  </t>
  </si>
  <si>
    <t xml:space="preserve"> of which RNP</t>
  </si>
  <si>
    <t>Voluntary transfers other than grants ( CCRT)</t>
  </si>
  <si>
    <t xml:space="preserve">   Currency and deposits (Monetary Survey excl.Eurobond)</t>
  </si>
  <si>
    <t>o/w  Bugesera Phase 2 Financing</t>
  </si>
  <si>
    <t>O/w Bridge loan</t>
  </si>
  <si>
    <t>Current (Budget Support)</t>
  </si>
  <si>
    <t>Capital (Project Support)</t>
  </si>
  <si>
    <t>Monetary gold &amp; SDR</t>
  </si>
  <si>
    <t>Debt securities ( Eurobond)</t>
  </si>
  <si>
    <t>Debt securities</t>
  </si>
  <si>
    <t>Current ( Budget Loan)</t>
  </si>
  <si>
    <t>o/w  Bugesera and Rwandair Fin</t>
  </si>
  <si>
    <t>O/w Required Loans</t>
  </si>
  <si>
    <t>Capital (Projects Loan)</t>
  </si>
  <si>
    <t>ERF Loan</t>
  </si>
  <si>
    <r>
      <t xml:space="preserve">   </t>
    </r>
    <r>
      <rPr>
        <sz val="16"/>
        <color indexed="8"/>
        <rFont val="Garamond"/>
        <family val="1"/>
      </rPr>
      <t>Equity and investment fund shares</t>
    </r>
  </si>
  <si>
    <t xml:space="preserve">   Insurance, pensions, and standardized guarantee schemes</t>
  </si>
  <si>
    <t xml:space="preserve">   Financial derivatives and employee stock options</t>
  </si>
  <si>
    <t xml:space="preserve">   Other accounts payable</t>
  </si>
  <si>
    <t>6. Disposal Sales from strategic reserves</t>
  </si>
  <si>
    <t>Total Resources</t>
  </si>
  <si>
    <t>Total Resources (Budget Presentation)</t>
  </si>
  <si>
    <t xml:space="preserve">   Compensation of employees ( BCG)</t>
  </si>
  <si>
    <t xml:space="preserve">   Use of goods and services</t>
  </si>
  <si>
    <t>of which : Allocation for Repayment of Tax Refund</t>
  </si>
  <si>
    <t xml:space="preserve">  of which: PKO Expenses</t>
  </si>
  <si>
    <t>of which MINECOFIN(Fertilizers as Story)/Net Lendings</t>
  </si>
  <si>
    <t>of which MINECOFIN(Buffer/Special Projects)</t>
  </si>
  <si>
    <t xml:space="preserve">   Consumption of fixed capital</t>
  </si>
  <si>
    <t xml:space="preserve">   Interest</t>
  </si>
  <si>
    <t xml:space="preserve">     To nonresidents </t>
  </si>
  <si>
    <t>Eurobond Fees(For Bugesera and Rwandair)</t>
  </si>
  <si>
    <t>Bugesera &amp; Rwandair</t>
  </si>
  <si>
    <t xml:space="preserve">     To residents other than general government </t>
  </si>
  <si>
    <t xml:space="preserve">    Reimbursement</t>
  </si>
  <si>
    <t>Redemption of  Eurobond (2013)</t>
  </si>
  <si>
    <t>o/w bridge loan repayment</t>
  </si>
  <si>
    <t xml:space="preserve">   Subsidies</t>
  </si>
  <si>
    <t xml:space="preserve"> of which: Rwandair working capital</t>
  </si>
  <si>
    <t xml:space="preserve"> of which: Rwandair loan repayment (eurobond)</t>
  </si>
  <si>
    <t xml:space="preserve"> of which Export Promotion</t>
  </si>
  <si>
    <t xml:space="preserve"> of which Other </t>
  </si>
  <si>
    <t xml:space="preserve">   Grants</t>
  </si>
  <si>
    <t xml:space="preserve"> Grants to EBU</t>
  </si>
  <si>
    <t xml:space="preserve"> Of which  Compensation of employees</t>
  </si>
  <si>
    <t>Capital</t>
  </si>
  <si>
    <t>Grants to LG</t>
  </si>
  <si>
    <t xml:space="preserve">   Social benefits</t>
  </si>
  <si>
    <t xml:space="preserve">   Other expense</t>
  </si>
  <si>
    <t>Other Domestically financed (BCG)</t>
  </si>
  <si>
    <t>of which : Allocation for Marburg</t>
  </si>
  <si>
    <t xml:space="preserve">    of which GF</t>
  </si>
  <si>
    <t>of which Infranstructure projects financed by EURO Bond</t>
  </si>
  <si>
    <t>O/w Bugesera</t>
  </si>
  <si>
    <t>O/w Bugesera Construction Phase 2</t>
  </si>
  <si>
    <t>O/w Dom.</t>
  </si>
  <si>
    <t>O/w ext.</t>
  </si>
  <si>
    <t>of which: BRD</t>
  </si>
  <si>
    <t xml:space="preserve">of which:  KCC Interest Payment </t>
  </si>
  <si>
    <t xml:space="preserve">of which:  Prine Cement Liabilities Payment </t>
  </si>
  <si>
    <t>of which ERF</t>
  </si>
  <si>
    <t>Total Spending</t>
  </si>
  <si>
    <t xml:space="preserve"> Revised Budget FY 2021/22 One OFFs</t>
  </si>
  <si>
    <t>Eurobond Proceeds</t>
  </si>
  <si>
    <t>SDR Allocation.</t>
  </si>
  <si>
    <t>Footnote:</t>
  </si>
  <si>
    <t>Projections exclude Local Government taxes and fees as indicated below:</t>
  </si>
  <si>
    <t>LG Taxes (decentralized taxes)</t>
  </si>
  <si>
    <t>LG non tax-revenue (fees)</t>
  </si>
  <si>
    <t>Memorandum Items</t>
  </si>
  <si>
    <t>1.POLICY LENDIG/ GROSS EXPENSES</t>
  </si>
  <si>
    <t>Rwandair  Allocation (Incl.working capital)</t>
  </si>
  <si>
    <t>BRD  Recapitalization</t>
  </si>
  <si>
    <t xml:space="preserve"> Strategic reserve fuel Stock  purchase</t>
  </si>
  <si>
    <t>KCC Interest  repayement</t>
  </si>
  <si>
    <t>ERF (Economic Recovery Fund)</t>
  </si>
  <si>
    <t>Bugesera Air port Company</t>
  </si>
  <si>
    <t>Eurobond  Integrated project</t>
  </si>
  <si>
    <t xml:space="preserve"> Eurobond projects Equity</t>
  </si>
  <si>
    <t xml:space="preserve"> Eurobond projects  (Developpement)</t>
  </si>
  <si>
    <t>Total Project financed by Eurobonds</t>
  </si>
  <si>
    <t>2. RMF Expenses</t>
  </si>
  <si>
    <t xml:space="preserve">           - Road Toll</t>
  </si>
  <si>
    <t xml:space="preserve">           - Fuel levy</t>
  </si>
  <si>
    <t>Compensation of employess</t>
  </si>
  <si>
    <t>Recurrent Non wages</t>
  </si>
  <si>
    <t>Recurrent Non EBUs</t>
  </si>
  <si>
    <t>Recurrent Non LG</t>
  </si>
  <si>
    <t xml:space="preserve"> Domestically Financed  projects</t>
  </si>
  <si>
    <t>of which EBUs</t>
  </si>
  <si>
    <t>of which LG</t>
  </si>
  <si>
    <t>Foreign Finance Capital</t>
  </si>
  <si>
    <t>3.Own revenues</t>
  </si>
  <si>
    <t>Revised Proposed  Ceiling 2022/23</t>
  </si>
  <si>
    <t>Own revenues</t>
  </si>
  <si>
    <t>RNP</t>
  </si>
  <si>
    <t>RDB</t>
  </si>
  <si>
    <t>RMPGB</t>
  </si>
  <si>
    <t>RSC</t>
  </si>
  <si>
    <t>RFDA</t>
  </si>
  <si>
    <t>Total Resources Envelopee</t>
  </si>
  <si>
    <t>Total Resources Envelopee For allocation</t>
  </si>
  <si>
    <t>Total Resources Envelopee Excl. Required Loans and Grants</t>
  </si>
  <si>
    <t>Total Resources Envelopee Excl. Bugesera &amp; Rwandair + Required Financing</t>
  </si>
  <si>
    <t>Budget Buffer  (Keeping Budget ceiling as FY 2024/25)</t>
  </si>
  <si>
    <t>Budget Buffer  (Keeping revised Budget of FY 25/26)</t>
  </si>
  <si>
    <t>Change Vs previous review</t>
  </si>
  <si>
    <t>Summary Table of Allocation for Special Projects</t>
  </si>
  <si>
    <t>In Billions FRW</t>
  </si>
  <si>
    <t>2024/25 Org.</t>
  </si>
  <si>
    <t>2024/25  Rev.</t>
  </si>
  <si>
    <t xml:space="preserve">Use of Goods and Services </t>
  </si>
  <si>
    <t>Summary Table of Allocation for Minecofin Buffer</t>
  </si>
  <si>
    <t>NKIA</t>
  </si>
  <si>
    <t>RwandAir</t>
  </si>
  <si>
    <t>End Year Estimates</t>
  </si>
  <si>
    <t>Oct. Proj</t>
  </si>
  <si>
    <t>O/W Domestic</t>
  </si>
  <si>
    <t>MACEFIELD Ventures Ltd</t>
  </si>
  <si>
    <t>NGALI Holdings Ltd</t>
  </si>
  <si>
    <t>Other revenue</t>
  </si>
  <si>
    <t>Taxes</t>
  </si>
  <si>
    <t xml:space="preserve">2a. Acquisition of financial assets( Domestic exl.Eurodbond) </t>
  </si>
  <si>
    <t>2b. Domestic Financing</t>
  </si>
  <si>
    <t>3. External Grants Support</t>
  </si>
  <si>
    <t>4. Foreign  Incurrence of liabilities</t>
  </si>
  <si>
    <t>5. Expenses</t>
  </si>
  <si>
    <t>6. Capital Spending</t>
  </si>
  <si>
    <t>Inventories  (strategic stock fuel  purchase domestically financed Capital)</t>
  </si>
  <si>
    <t>7. Equity and investment fund shares( BRD &amp; BIA ,Eurobond Projects)</t>
  </si>
  <si>
    <t>8. Policy Lending</t>
  </si>
  <si>
    <t>9.Other accounts payable</t>
  </si>
  <si>
    <t>10. Increase in Deposits ( Infr Levy Dev  and Strat Reserves fuel levy)</t>
  </si>
  <si>
    <t xml:space="preserve">11. Other Spending </t>
  </si>
  <si>
    <t>%0f Old GDP</t>
  </si>
  <si>
    <t>NKIA Fees</t>
  </si>
  <si>
    <t>O/W NKIA Fees</t>
  </si>
  <si>
    <t>ERF Repayment / PPSF Injections</t>
  </si>
  <si>
    <t>Phases</t>
  </si>
  <si>
    <t>Fund Manager</t>
  </si>
  <si>
    <t>ERF 1</t>
  </si>
  <si>
    <t>Yearly Repayments</t>
  </si>
  <si>
    <t>Cumulative Repayment Projections</t>
  </si>
  <si>
    <t>Repaid Amount to MINECOFIN</t>
  </si>
  <si>
    <t>ERF 2 AFIRR</t>
  </si>
  <si>
    <t>BDF</t>
  </si>
  <si>
    <t>TOTAL Yearly Repayments</t>
  </si>
  <si>
    <t>Tootal cumulative Repayment Projections</t>
  </si>
  <si>
    <t>Total Repaid Amoung</t>
  </si>
  <si>
    <t>AVAILABLE BALANCE on ERF ACCOUNT AS OF FEBRUARY 2026</t>
  </si>
  <si>
    <t>FY25/26</t>
  </si>
  <si>
    <t>FY26/27</t>
  </si>
  <si>
    <t>FY27/28</t>
  </si>
  <si>
    <t>FY28/29</t>
  </si>
  <si>
    <t>FY29/30</t>
  </si>
  <si>
    <t>FY30/31</t>
  </si>
  <si>
    <t>FY31/32</t>
  </si>
  <si>
    <t xml:space="preserve">ERF Repayment </t>
  </si>
  <si>
    <t>ERF Injections</t>
  </si>
  <si>
    <t>O/w Capital Injection</t>
  </si>
  <si>
    <t>Repayment from Policy Lending (ERF)</t>
  </si>
  <si>
    <t>PSSF</t>
  </si>
  <si>
    <t>of which PSSF</t>
  </si>
  <si>
    <t>O/w TCC</t>
  </si>
  <si>
    <t>O/W TCC</t>
  </si>
  <si>
    <t>NOW</t>
  </si>
  <si>
    <t>O/w Fertizers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</si>
</sst>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41" formatCode="_-* #,##0_-;\-* #,##0_-;_-* &quot;-&quot;_-;_-@_-"/>
    <numFmt numFmtId="43" formatCode="_-* #,##0.00_-;\-* #,##0.00_-;_-* &quot;-&quot;??_-;_-@_-"/>
    <numFmt numFmtId="164" formatCode="_(* #,##0_);_(* \(#,##0\);_(* &quot;-&quot;_);_(@_)"/>
    <numFmt numFmtId="165" formatCode="_(* #,##0.00_);_(* \(#,##0.00\);_(* &quot;-&quot;??_);_(@_)"/>
    <numFmt numFmtId="166" formatCode="0.0"/>
    <numFmt numFmtId="167" formatCode="#,##0.0"/>
    <numFmt numFmtId="168" formatCode="0.0%"/>
    <numFmt numFmtId="169" formatCode="_(* #,##0.0_);_(* \(#,##0.0\);_(* &quot;-&quot;??_);_(@_)"/>
    <numFmt numFmtId="170" formatCode="_-* #,##0.00\ _€_-;\-* #,##0.00\ _€_-;_-* &quot;-&quot;??\ _€_-;_-@_-"/>
    <numFmt numFmtId="171" formatCode="_(* #,##0.0_);_(* \(#,##0.0\);_(* &quot;-&quot;?_);_(@_)"/>
    <numFmt numFmtId="172" formatCode="[$-409]mmm\-yy;@"/>
    <numFmt numFmtId="173" formatCode="#,##0.000"/>
    <numFmt numFmtId="174" formatCode="_(* #,##0_);_(* \(#,##0\);_(* &quot;-&quot;??_);_(@_)"/>
    <numFmt numFmtId="175" formatCode="#,##0.000000"/>
    <numFmt numFmtId="176" formatCode="#,##0.00000000"/>
    <numFmt numFmtId="177" formatCode="_-* #,##0.0_-;\-* #,##0.0_-;_-* &quot;-&quot;_-;_-@_-"/>
    <numFmt numFmtId="178" formatCode="#,##0.00000"/>
    <numFmt numFmtId="179" formatCode="_-* #,##0.0_-;\-* #,##0.0_-;_-* &quot;-&quot;?_-;_-@_-"/>
    <numFmt numFmtId="180" formatCode="0.000000000000000000%"/>
    <numFmt numFmtId="181" formatCode="#,##0.0000"/>
    <numFmt numFmtId="182" formatCode="_-* #,##0.000000_-;\-* #,##0.000000_-;_-* &quot;-&quot;_-;_-@_-"/>
    <numFmt numFmtId="183" formatCode="_-* #,##0.00_-;\-* #,##0.00_-;_-* &quot;-&quot;_-;_-@_-"/>
    <numFmt numFmtId="184" formatCode="_-* #,##0\ _€_-;\-* #,##0\ _€_-;_-* &quot;-&quot;??\ _€_-;_-@_-"/>
    <numFmt numFmtId="185" formatCode="_-* #,##0.0_-;\-* #,##0.0_-;_-* &quot;-&quot;??_-;_-@_-"/>
    <numFmt numFmtId="186" formatCode="_-* #,##0_-;\-* #,##0_-;_-* &quot;-&quot;??_-;_-@_-"/>
    <numFmt numFmtId="187" formatCode="#,##0.0_);\(#,##0.0\)"/>
    <numFmt numFmtId="188" formatCode="#,##0.000000000"/>
    <numFmt numFmtId="189" formatCode="_(* #,##0.0_);_(* \(#,##0.0\);_(* &quot;-&quot;_);_(@_)"/>
    <numFmt numFmtId="190" formatCode="_(&quot;$&quot;* #,##0.00_);_(&quot;$&quot;* \(#,##0.00\);_(&quot;$&quot;* &quot;-&quot;??_);_(@_)"/>
  </numFmts>
  <fonts count="377">
    <font>
      <sz val="11"/>
      <color theme="1"/>
      <name val="Calibri"/>
      <family val="2"/>
      <scheme val="minor"/>
    </font>
    <font>
      <b/>
      <sz val="11"/>
      <color indexed="8"/>
      <name val="Calibri"/>
      <family val="2"/>
    </font>
    <font>
      <sz val="12"/>
      <color indexed="8"/>
      <name val="Calibri"/>
      <family val="2"/>
    </font>
    <font>
      <sz val="11"/>
      <name val="Calibri"/>
      <family val="2"/>
    </font>
    <font>
      <b/>
      <sz val="11"/>
      <name val="Calibri"/>
      <family val="2"/>
    </font>
    <font>
      <sz val="10"/>
      <color indexed="8"/>
      <name val="Calibri"/>
      <family val="2"/>
    </font>
    <font>
      <sz val="10"/>
      <name val="Arial"/>
      <family val="2"/>
    </font>
    <font>
      <sz val="10"/>
      <name val="Calibri"/>
      <family val="2"/>
    </font>
    <font>
      <b/>
      <sz val="10"/>
      <name val="Calibri"/>
      <family val="2"/>
    </font>
    <font>
      <b/>
      <sz val="10"/>
      <name val="Times New Roman"/>
      <family val="1"/>
    </font>
    <font>
      <sz val="10"/>
      <name val="Times New Roman"/>
      <family val="1"/>
    </font>
    <font>
      <sz val="8"/>
      <name val="Calibri"/>
      <family val="2"/>
    </font>
    <font>
      <sz val="9"/>
      <name val="Arial"/>
      <family val="2"/>
    </font>
    <font>
      <b/>
      <sz val="8"/>
      <name val="Arial"/>
      <family val="2"/>
    </font>
    <font>
      <b/>
      <sz val="9"/>
      <name val="Arial"/>
      <family val="2"/>
    </font>
    <font>
      <b/>
      <sz val="9"/>
      <color indexed="8"/>
      <name val="Calibri"/>
      <family val="2"/>
    </font>
    <font>
      <sz val="9"/>
      <color indexed="8"/>
      <name val="Calibri"/>
      <family val="2"/>
    </font>
    <font>
      <sz val="8"/>
      <color indexed="8"/>
      <name val="Calibri"/>
      <family val="2"/>
    </font>
    <font>
      <u/>
      <sz val="11"/>
      <color indexed="8"/>
      <name val="Calibri"/>
      <family val="2"/>
    </font>
    <font>
      <b/>
      <sz val="8"/>
      <name val="Times New Roman"/>
      <family val="1"/>
    </font>
    <font>
      <sz val="12"/>
      <color indexed="8"/>
      <name val="Cambria"/>
      <family val="1"/>
    </font>
    <font>
      <sz val="9"/>
      <name val="Calibri"/>
      <family val="2"/>
    </font>
    <font>
      <sz val="8"/>
      <name val="Arial"/>
      <family val="2"/>
    </font>
    <font>
      <sz val="9"/>
      <color indexed="10"/>
      <name val="Calibri"/>
      <family val="2"/>
    </font>
    <font>
      <sz val="8"/>
      <color indexed="60"/>
      <name val="Calibri"/>
      <family val="2"/>
    </font>
    <font>
      <u/>
      <sz val="10"/>
      <color indexed="8"/>
      <name val="Calibri"/>
      <family val="2"/>
    </font>
    <font>
      <sz val="8"/>
      <color indexed="8"/>
      <name val="Symbol"/>
      <family val="1"/>
      <charset val="2"/>
    </font>
    <font>
      <sz val="8"/>
      <name val="Symbol"/>
      <family val="1"/>
      <charset val="2"/>
    </font>
    <font>
      <b/>
      <sz val="12"/>
      <color indexed="8"/>
      <name val="Cambria"/>
      <family val="1"/>
    </font>
    <font>
      <sz val="10"/>
      <color indexed="8"/>
      <name val="Arial"/>
      <family val="2"/>
    </font>
    <font>
      <b/>
      <sz val="11"/>
      <color indexed="8"/>
      <name val="Cambria"/>
      <family val="1"/>
    </font>
    <font>
      <b/>
      <sz val="9"/>
      <name val="Calibri"/>
      <family val="2"/>
    </font>
    <font>
      <sz val="8"/>
      <color indexed="60"/>
      <name val="Arial"/>
      <family val="2"/>
    </font>
    <font>
      <b/>
      <sz val="12"/>
      <color indexed="8"/>
      <name val="Calibri"/>
      <family val="2"/>
    </font>
    <font>
      <b/>
      <sz val="12"/>
      <name val="Calibri"/>
      <family val="2"/>
    </font>
    <font>
      <sz val="12"/>
      <name val="Cambria"/>
      <family val="1"/>
    </font>
    <font>
      <sz val="10"/>
      <color indexed="8"/>
      <name val="Cambria"/>
      <family val="1"/>
    </font>
    <font>
      <sz val="10"/>
      <name val="Cambria"/>
      <family val="1"/>
    </font>
    <font>
      <b/>
      <sz val="10"/>
      <color indexed="10"/>
      <name val="Cambria"/>
      <family val="1"/>
    </font>
    <font>
      <b/>
      <sz val="12"/>
      <color indexed="10"/>
      <name val="Cambria"/>
      <family val="1"/>
    </font>
    <font>
      <sz val="13"/>
      <name val="Arial"/>
      <family val="2"/>
    </font>
    <font>
      <sz val="8"/>
      <color indexed="10"/>
      <name val="Symbol"/>
      <family val="1"/>
      <charset val="2"/>
    </font>
    <font>
      <sz val="8"/>
      <color indexed="10"/>
      <name val="Calibri"/>
      <family val="2"/>
    </font>
    <font>
      <sz val="10"/>
      <color indexed="56"/>
      <name val="Calibri"/>
      <family val="2"/>
    </font>
    <font>
      <b/>
      <sz val="10"/>
      <color indexed="56"/>
      <name val="Calibri"/>
      <family val="2"/>
    </font>
    <font>
      <b/>
      <sz val="10"/>
      <color indexed="8"/>
      <name val="Cambria"/>
      <family val="1"/>
    </font>
    <font>
      <b/>
      <sz val="10"/>
      <color indexed="8"/>
      <name val="Arial"/>
      <family val="2"/>
    </font>
    <font>
      <b/>
      <sz val="11"/>
      <color indexed="56"/>
      <name val="Calibri"/>
      <family val="2"/>
    </font>
    <font>
      <b/>
      <i/>
      <sz val="11"/>
      <color indexed="56"/>
      <name val="Calibri"/>
      <family val="2"/>
    </font>
    <font>
      <i/>
      <sz val="10"/>
      <color indexed="10"/>
      <name val="Calibri"/>
      <family val="2"/>
    </font>
    <font>
      <b/>
      <i/>
      <sz val="10"/>
      <color indexed="10"/>
      <name val="Calibri"/>
      <family val="2"/>
    </font>
    <font>
      <sz val="9"/>
      <color indexed="60"/>
      <name val="Calibri"/>
      <family val="2"/>
    </font>
    <font>
      <sz val="9"/>
      <color indexed="81"/>
      <name val="Tahoma"/>
      <family val="2"/>
    </font>
    <font>
      <sz val="11"/>
      <color indexed="10"/>
      <name val="Calibri"/>
      <family val="2"/>
    </font>
    <font>
      <b/>
      <sz val="9"/>
      <color indexed="81"/>
      <name val="Tahoma"/>
      <family val="2"/>
    </font>
    <font>
      <sz val="10"/>
      <color indexed="17"/>
      <name val="Calibri"/>
      <family val="2"/>
    </font>
    <font>
      <sz val="11"/>
      <color theme="1"/>
      <name val="Calibri"/>
      <family val="2"/>
      <scheme val="minor"/>
    </font>
    <font>
      <b/>
      <sz val="11"/>
      <color theme="3"/>
      <name val="Calibri"/>
      <family val="2"/>
      <scheme val="minor"/>
    </font>
    <font>
      <sz val="10"/>
      <color theme="1"/>
      <name val="Cambria"/>
      <family val="2"/>
    </font>
    <font>
      <sz val="12"/>
      <color theme="1"/>
      <name val="Calibri"/>
      <family val="2"/>
      <scheme val="minor"/>
    </font>
    <font>
      <b/>
      <sz val="11"/>
      <color theme="1"/>
      <name val="Calibri"/>
      <family val="2"/>
      <scheme val="minor"/>
    </font>
    <font>
      <sz val="11"/>
      <color rgb="FFFF0000"/>
      <name val="Calibri"/>
      <family val="2"/>
      <scheme val="minor"/>
    </font>
    <font>
      <b/>
      <u/>
      <sz val="11"/>
      <color theme="1"/>
      <name val="Calibri"/>
      <family val="2"/>
      <scheme val="minor"/>
    </font>
    <font>
      <sz val="11"/>
      <name val="Calibri"/>
      <family val="2"/>
      <scheme val="minor"/>
    </font>
    <font>
      <sz val="10"/>
      <color theme="1"/>
      <name val="Calibri"/>
      <family val="2"/>
      <scheme val="minor"/>
    </font>
    <font>
      <b/>
      <sz val="11"/>
      <name val="Calibri"/>
      <family val="2"/>
      <scheme val="minor"/>
    </font>
    <font>
      <b/>
      <sz val="11"/>
      <color rgb="FFFF0000"/>
      <name val="Calibri"/>
      <family val="2"/>
      <scheme val="minor"/>
    </font>
    <font>
      <sz val="10"/>
      <name val="Calibri"/>
      <family val="2"/>
      <scheme val="minor"/>
    </font>
    <font>
      <b/>
      <sz val="14"/>
      <color theme="1"/>
      <name val="Calibri"/>
      <family val="2"/>
      <scheme val="minor"/>
    </font>
    <font>
      <b/>
      <i/>
      <sz val="11"/>
      <color theme="1"/>
      <name val="Calibri"/>
      <family val="2"/>
      <scheme val="minor"/>
    </font>
    <font>
      <b/>
      <sz val="9"/>
      <color theme="1"/>
      <name val="Calibri"/>
      <family val="2"/>
      <scheme val="minor"/>
    </font>
    <font>
      <sz val="9"/>
      <color theme="1"/>
      <name val="Calibri"/>
      <family val="2"/>
      <scheme val="minor"/>
    </font>
    <font>
      <b/>
      <sz val="10"/>
      <color theme="1"/>
      <name val="Calibri"/>
      <family val="2"/>
      <scheme val="minor"/>
    </font>
    <font>
      <b/>
      <sz val="12"/>
      <color theme="1"/>
      <name val="Calibri"/>
      <family val="2"/>
      <scheme val="minor"/>
    </font>
    <font>
      <sz val="8"/>
      <color theme="1"/>
      <name val="Calibri"/>
      <family val="2"/>
      <scheme val="minor"/>
    </font>
    <font>
      <sz val="8"/>
      <color rgb="FFFF0000"/>
      <name val="Calibri"/>
      <family val="2"/>
      <scheme val="minor"/>
    </font>
    <font>
      <sz val="8"/>
      <name val="Calibri"/>
      <family val="2"/>
      <scheme val="minor"/>
    </font>
    <font>
      <i/>
      <sz val="11"/>
      <color theme="1"/>
      <name val="Calibri"/>
      <family val="2"/>
      <scheme val="minor"/>
    </font>
    <font>
      <sz val="12"/>
      <name val="Calibri"/>
      <family val="2"/>
      <scheme val="minor"/>
    </font>
    <font>
      <b/>
      <sz val="10"/>
      <name val="Calibri"/>
      <family val="2"/>
      <scheme val="minor"/>
    </font>
    <font>
      <sz val="12"/>
      <color theme="1"/>
      <name val="Cambria"/>
      <family val="1"/>
      <scheme val="major"/>
    </font>
    <font>
      <b/>
      <sz val="12"/>
      <name val="Calibri"/>
      <family val="2"/>
      <scheme val="minor"/>
    </font>
    <font>
      <b/>
      <sz val="8"/>
      <name val="Calibri"/>
      <family val="2"/>
      <scheme val="minor"/>
    </font>
    <font>
      <b/>
      <sz val="8"/>
      <color theme="1"/>
      <name val="Calibri"/>
      <family val="2"/>
      <scheme val="minor"/>
    </font>
    <font>
      <i/>
      <sz val="10"/>
      <color theme="1"/>
      <name val="Calibri"/>
      <family val="2"/>
      <scheme val="minor"/>
    </font>
    <font>
      <sz val="9"/>
      <name val="Calibri"/>
      <family val="2"/>
      <scheme val="minor"/>
    </font>
    <font>
      <i/>
      <sz val="10"/>
      <color rgb="FFC00000"/>
      <name val="Calibri"/>
      <family val="2"/>
      <scheme val="minor"/>
    </font>
    <font>
      <b/>
      <i/>
      <sz val="10"/>
      <color rgb="FFC00000"/>
      <name val="Calibri"/>
      <family val="2"/>
      <scheme val="minor"/>
    </font>
    <font>
      <sz val="10"/>
      <color rgb="FFC00000"/>
      <name val="Calibri"/>
      <family val="2"/>
      <scheme val="minor"/>
    </font>
    <font>
      <sz val="9"/>
      <color rgb="FFFF0000"/>
      <name val="Calibri"/>
      <family val="2"/>
      <scheme val="minor"/>
    </font>
    <font>
      <i/>
      <sz val="8"/>
      <color rgb="FFC00000"/>
      <name val="Calibri"/>
      <family val="2"/>
      <scheme val="minor"/>
    </font>
    <font>
      <sz val="8"/>
      <color rgb="FFC00000"/>
      <name val="Calibri"/>
      <family val="2"/>
      <scheme val="minor"/>
    </font>
    <font>
      <sz val="9"/>
      <color rgb="FFC00000"/>
      <name val="Calibri"/>
      <family val="2"/>
      <scheme val="minor"/>
    </font>
    <font>
      <b/>
      <sz val="10"/>
      <color rgb="FFFF0000"/>
      <name val="Calibri"/>
      <family val="2"/>
      <scheme val="minor"/>
    </font>
    <font>
      <b/>
      <sz val="8"/>
      <color rgb="FFC00000"/>
      <name val="Calibri"/>
      <family val="2"/>
      <scheme val="minor"/>
    </font>
    <font>
      <b/>
      <sz val="10"/>
      <color rgb="FFC00000"/>
      <name val="Calibri"/>
      <family val="2"/>
      <scheme val="minor"/>
    </font>
    <font>
      <b/>
      <sz val="9"/>
      <color rgb="FFC00000"/>
      <name val="Calibri"/>
      <family val="2"/>
      <scheme val="minor"/>
    </font>
    <font>
      <i/>
      <sz val="9"/>
      <color rgb="FFC00000"/>
      <name val="Calibri"/>
      <family val="2"/>
      <scheme val="minor"/>
    </font>
    <font>
      <u/>
      <sz val="11"/>
      <color theme="1"/>
      <name val="Calibri"/>
      <family val="2"/>
      <scheme val="minor"/>
    </font>
    <font>
      <sz val="10"/>
      <color rgb="FFFF0000"/>
      <name val="Calibri"/>
      <family val="2"/>
      <scheme val="minor"/>
    </font>
    <font>
      <b/>
      <i/>
      <sz val="9"/>
      <color rgb="FFC00000"/>
      <name val="Calibri"/>
      <family val="2"/>
      <scheme val="minor"/>
    </font>
    <font>
      <b/>
      <sz val="11"/>
      <color rgb="FFC00000"/>
      <name val="Calibri"/>
      <family val="2"/>
      <scheme val="minor"/>
    </font>
    <font>
      <i/>
      <sz val="11"/>
      <color rgb="FFC00000"/>
      <name val="Calibri"/>
      <family val="2"/>
      <scheme val="minor"/>
    </font>
    <font>
      <u/>
      <sz val="10"/>
      <name val="Calibri"/>
      <family val="2"/>
      <scheme val="minor"/>
    </font>
    <font>
      <b/>
      <sz val="9"/>
      <color rgb="FF5C732F"/>
      <name val="Calibri"/>
      <family val="2"/>
      <scheme val="minor"/>
    </font>
    <font>
      <b/>
      <sz val="12"/>
      <color rgb="FF586D2D"/>
      <name val="Calibri"/>
      <family val="2"/>
      <scheme val="minor"/>
    </font>
    <font>
      <b/>
      <sz val="12"/>
      <color rgb="FF53672B"/>
      <name val="Calibri"/>
      <family val="2"/>
      <scheme val="minor"/>
    </font>
    <font>
      <b/>
      <i/>
      <sz val="8"/>
      <color rgb="FFC00000"/>
      <name val="Calibri"/>
      <family val="2"/>
      <scheme val="minor"/>
    </font>
    <font>
      <b/>
      <u/>
      <sz val="12"/>
      <color theme="1"/>
      <name val="Cambria"/>
      <family val="1"/>
      <scheme val="major"/>
    </font>
    <font>
      <b/>
      <sz val="12"/>
      <name val="Cambria"/>
      <family val="1"/>
      <scheme val="major"/>
    </font>
    <font>
      <b/>
      <sz val="10"/>
      <color theme="1"/>
      <name val="Cambria"/>
      <family val="1"/>
      <scheme val="major"/>
    </font>
    <font>
      <b/>
      <sz val="12"/>
      <color theme="1"/>
      <name val="Cambria"/>
      <family val="1"/>
      <scheme val="major"/>
    </font>
    <font>
      <sz val="12"/>
      <name val="Cambria"/>
      <family val="1"/>
      <scheme val="major"/>
    </font>
    <font>
      <b/>
      <sz val="12"/>
      <color theme="6" tint="-0.249977111117893"/>
      <name val="Cambria"/>
      <family val="1"/>
      <scheme val="major"/>
    </font>
    <font>
      <b/>
      <u/>
      <sz val="12"/>
      <name val="Cambria"/>
      <family val="1"/>
      <scheme val="major"/>
    </font>
    <font>
      <i/>
      <sz val="12"/>
      <name val="Cambria"/>
      <family val="1"/>
      <scheme val="major"/>
    </font>
    <font>
      <b/>
      <i/>
      <sz val="12"/>
      <color theme="1"/>
      <name val="Cambria"/>
      <family val="1"/>
      <scheme val="major"/>
    </font>
    <font>
      <i/>
      <sz val="12"/>
      <color theme="1"/>
      <name val="Cambria"/>
      <family val="1"/>
      <scheme val="major"/>
    </font>
    <font>
      <sz val="12"/>
      <color rgb="FFC00000"/>
      <name val="Cambria"/>
      <family val="1"/>
      <scheme val="major"/>
    </font>
    <font>
      <b/>
      <u/>
      <sz val="12"/>
      <color indexed="8"/>
      <name val="Cambria"/>
      <family val="1"/>
      <scheme val="major"/>
    </font>
    <font>
      <sz val="12"/>
      <color indexed="8"/>
      <name val="Cambria"/>
      <family val="1"/>
      <scheme val="major"/>
    </font>
    <font>
      <sz val="12"/>
      <color theme="0"/>
      <name val="Cambria"/>
      <family val="1"/>
      <scheme val="major"/>
    </font>
    <font>
      <b/>
      <sz val="8"/>
      <color theme="1"/>
      <name val="Cambria"/>
      <family val="1"/>
      <scheme val="major"/>
    </font>
    <font>
      <sz val="10"/>
      <color theme="1"/>
      <name val="Cambria"/>
      <family val="1"/>
      <scheme val="major"/>
    </font>
    <font>
      <b/>
      <sz val="10"/>
      <name val="Cambria"/>
      <family val="1"/>
      <scheme val="major"/>
    </font>
    <font>
      <sz val="10"/>
      <name val="Cambria"/>
      <family val="1"/>
      <scheme val="major"/>
    </font>
    <font>
      <sz val="10"/>
      <color theme="0"/>
      <name val="Cambria"/>
      <family val="1"/>
      <scheme val="major"/>
    </font>
    <font>
      <u/>
      <sz val="10"/>
      <color theme="1"/>
      <name val="Calibri"/>
      <family val="2"/>
      <scheme val="minor"/>
    </font>
    <font>
      <i/>
      <sz val="10"/>
      <name val="Calibri"/>
      <family val="2"/>
      <scheme val="minor"/>
    </font>
    <font>
      <b/>
      <i/>
      <sz val="12"/>
      <color rgb="FFC00000"/>
      <name val="Cambria"/>
      <family val="1"/>
      <scheme val="major"/>
    </font>
    <font>
      <b/>
      <sz val="11"/>
      <color theme="1"/>
      <name val="Cambria"/>
      <family val="1"/>
      <scheme val="major"/>
    </font>
    <font>
      <u/>
      <sz val="12"/>
      <color theme="1"/>
      <name val="Cambria"/>
      <family val="1"/>
      <scheme val="major"/>
    </font>
    <font>
      <b/>
      <sz val="9"/>
      <name val="Calibri"/>
      <family val="2"/>
      <scheme val="minor"/>
    </font>
    <font>
      <u/>
      <sz val="12"/>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b/>
      <sz val="8"/>
      <color theme="6" tint="-0.249977111117893"/>
      <name val="Calibri"/>
      <family val="2"/>
      <scheme val="minor"/>
    </font>
    <font>
      <b/>
      <sz val="11"/>
      <color rgb="FF586D2D"/>
      <name val="Calibri"/>
      <family val="2"/>
      <scheme val="minor"/>
    </font>
    <font>
      <i/>
      <sz val="9"/>
      <name val="Calibri"/>
      <family val="2"/>
      <scheme val="minor"/>
    </font>
    <font>
      <b/>
      <sz val="8"/>
      <color rgb="FF5C732F"/>
      <name val="Calibri"/>
      <family val="2"/>
      <scheme val="minor"/>
    </font>
    <font>
      <b/>
      <sz val="10"/>
      <color rgb="FFFF0000"/>
      <name val="Cambria"/>
      <family val="1"/>
      <scheme val="major"/>
    </font>
    <font>
      <i/>
      <sz val="9"/>
      <color theme="1"/>
      <name val="Calibri"/>
      <family val="2"/>
      <scheme val="minor"/>
    </font>
    <font>
      <u/>
      <sz val="11"/>
      <color rgb="FFC00000"/>
      <name val="Calibri"/>
      <family val="2"/>
      <scheme val="minor"/>
    </font>
    <font>
      <b/>
      <sz val="10"/>
      <color rgb="FFC00000"/>
      <name val="Cambria"/>
      <family val="1"/>
      <scheme val="major"/>
    </font>
    <font>
      <b/>
      <sz val="8"/>
      <color rgb="FFFF0000"/>
      <name val="Calibri"/>
      <family val="2"/>
      <scheme val="minor"/>
    </font>
    <font>
      <sz val="12"/>
      <color rgb="FFC00000"/>
      <name val="Calibri"/>
      <family val="2"/>
      <scheme val="minor"/>
    </font>
    <font>
      <i/>
      <sz val="12"/>
      <color rgb="FFC00000"/>
      <name val="Calibri"/>
      <family val="2"/>
      <scheme val="minor"/>
    </font>
    <font>
      <b/>
      <sz val="12"/>
      <color rgb="FFFF0000"/>
      <name val="Cambria"/>
      <family val="1"/>
      <scheme val="major"/>
    </font>
    <font>
      <sz val="12"/>
      <color rgb="FFFF0000"/>
      <name val="Cambria"/>
      <family val="1"/>
      <scheme val="major"/>
    </font>
    <font>
      <sz val="13"/>
      <color theme="1"/>
      <name val="Arial"/>
      <family val="2"/>
    </font>
    <font>
      <b/>
      <sz val="13"/>
      <color theme="1"/>
      <name val="Arial"/>
      <family val="2"/>
    </font>
    <font>
      <b/>
      <sz val="13"/>
      <color rgb="FFFF0000"/>
      <name val="Arial"/>
      <family val="2"/>
    </font>
    <font>
      <i/>
      <sz val="13"/>
      <color theme="1"/>
      <name val="Arial"/>
      <family val="2"/>
    </font>
    <font>
      <sz val="13"/>
      <color rgb="FFFF0000"/>
      <name val="Arial"/>
      <family val="2"/>
    </font>
    <font>
      <sz val="14"/>
      <color theme="1"/>
      <name val="Cambria"/>
      <family val="1"/>
      <scheme val="major"/>
    </font>
    <font>
      <b/>
      <u/>
      <sz val="12"/>
      <color rgb="FFFF0000"/>
      <name val="Cambria"/>
      <family val="1"/>
      <scheme val="major"/>
    </font>
    <font>
      <b/>
      <u/>
      <sz val="14"/>
      <color theme="1"/>
      <name val="Cambria"/>
      <family val="1"/>
      <scheme val="major"/>
    </font>
    <font>
      <sz val="8"/>
      <color theme="1"/>
      <name val="Cambria"/>
      <family val="1"/>
      <scheme val="major"/>
    </font>
    <font>
      <sz val="10"/>
      <color rgb="FF002060"/>
      <name val="Calibri"/>
      <family val="2"/>
      <scheme val="minor"/>
    </font>
    <font>
      <b/>
      <sz val="10"/>
      <color rgb="FF002060"/>
      <name val="Calibri"/>
      <family val="2"/>
      <scheme val="minor"/>
    </font>
    <font>
      <b/>
      <i/>
      <sz val="10"/>
      <color rgb="FF002060"/>
      <name val="Calibri"/>
      <family val="2"/>
      <scheme val="minor"/>
    </font>
    <font>
      <b/>
      <i/>
      <sz val="8"/>
      <name val="Calibri"/>
      <family val="2"/>
      <scheme val="minor"/>
    </font>
    <font>
      <sz val="11"/>
      <color rgb="FF3B4A1E"/>
      <name val="Calibri"/>
      <family val="2"/>
      <scheme val="minor"/>
    </font>
    <font>
      <b/>
      <sz val="11"/>
      <color rgb="FF3B4A1E"/>
      <name val="Calibri"/>
      <family val="2"/>
      <scheme val="minor"/>
    </font>
    <font>
      <b/>
      <sz val="9"/>
      <color rgb="FF3B4A1E"/>
      <name val="Calibri"/>
      <family val="2"/>
      <scheme val="minor"/>
    </font>
    <font>
      <sz val="9"/>
      <color rgb="FF3B4A1E"/>
      <name val="Calibri"/>
      <family val="2"/>
      <scheme val="minor"/>
    </font>
    <font>
      <b/>
      <sz val="10"/>
      <color rgb="FF3B4A1E"/>
      <name val="Calibri"/>
      <family val="2"/>
      <scheme val="minor"/>
    </font>
    <font>
      <b/>
      <sz val="14"/>
      <color rgb="FF000000"/>
      <name val="Calibri"/>
      <family val="2"/>
    </font>
    <font>
      <b/>
      <i/>
      <sz val="10"/>
      <color rgb="FF3B4A1E"/>
      <name val="Calibri"/>
      <family val="2"/>
      <scheme val="minor"/>
    </font>
    <font>
      <b/>
      <u/>
      <sz val="8"/>
      <color theme="1"/>
      <name val="Calibri"/>
      <family val="2"/>
      <scheme val="minor"/>
    </font>
    <font>
      <b/>
      <sz val="12"/>
      <color theme="3"/>
      <name val="Calibri"/>
      <family val="2"/>
    </font>
    <font>
      <b/>
      <sz val="11"/>
      <color theme="3"/>
      <name val="Calibri"/>
      <family val="2"/>
    </font>
    <font>
      <sz val="9"/>
      <color theme="1"/>
      <name val="Cambria"/>
      <family val="1"/>
      <scheme val="major"/>
    </font>
    <font>
      <b/>
      <u/>
      <sz val="9"/>
      <color rgb="FF3B4A1E"/>
      <name val="Calibri"/>
      <family val="2"/>
      <scheme val="minor"/>
    </font>
    <font>
      <b/>
      <u/>
      <sz val="11"/>
      <color rgb="FF3B4A1E"/>
      <name val="Calibri"/>
      <family val="2"/>
      <scheme val="minor"/>
    </font>
    <font>
      <sz val="12"/>
      <color theme="8" tint="-0.499984740745262"/>
      <name val="Cambria"/>
      <family val="1"/>
      <scheme val="major"/>
    </font>
    <font>
      <b/>
      <u/>
      <sz val="10"/>
      <color rgb="FF3B4A1E"/>
      <name val="Calibri"/>
      <family val="2"/>
      <scheme val="minor"/>
    </font>
    <font>
      <i/>
      <sz val="12"/>
      <color rgb="FF002060"/>
      <name val="Cambria"/>
      <family val="1"/>
      <scheme val="major"/>
    </font>
    <font>
      <sz val="10"/>
      <color theme="8" tint="-0.499984740745262"/>
      <name val="Cambria"/>
      <family val="1"/>
      <scheme val="major"/>
    </font>
    <font>
      <sz val="9"/>
      <color theme="8" tint="-0.499984740745262"/>
      <name val="Cambria"/>
      <family val="1"/>
      <scheme val="major"/>
    </font>
    <font>
      <i/>
      <sz val="12"/>
      <color rgb="FF0070C0"/>
      <name val="Cambria"/>
      <family val="1"/>
      <scheme val="major"/>
    </font>
    <font>
      <sz val="12"/>
      <color rgb="FF0070C0"/>
      <name val="Cambria"/>
      <family val="1"/>
      <scheme val="major"/>
    </font>
    <font>
      <sz val="10"/>
      <color rgb="FFFF0000"/>
      <name val="Cambria"/>
      <family val="1"/>
      <scheme val="major"/>
    </font>
    <font>
      <sz val="9"/>
      <color rgb="FFFF0000"/>
      <name val="Cambria"/>
      <family val="1"/>
      <scheme val="major"/>
    </font>
    <font>
      <sz val="9"/>
      <color rgb="FF002060"/>
      <name val="Cambria"/>
      <family val="1"/>
      <scheme val="major"/>
    </font>
    <font>
      <sz val="9"/>
      <color rgb="FF0070C0"/>
      <name val="Cambria"/>
      <family val="1"/>
      <scheme val="major"/>
    </font>
    <font>
      <sz val="9"/>
      <color indexed="8"/>
      <name val="Cambria"/>
      <family val="1"/>
      <scheme val="major"/>
    </font>
    <font>
      <sz val="9"/>
      <name val="Cambria"/>
      <family val="1"/>
      <scheme val="major"/>
    </font>
    <font>
      <b/>
      <sz val="8"/>
      <color rgb="FF3B4A1E"/>
      <name val="Calibri"/>
      <family val="2"/>
      <scheme val="minor"/>
    </font>
    <font>
      <b/>
      <sz val="9"/>
      <color theme="1"/>
      <name val="Cambria"/>
      <family val="1"/>
      <scheme val="major"/>
    </font>
    <font>
      <sz val="8"/>
      <color rgb="FFFF0000"/>
      <name val="Cambria"/>
      <family val="1"/>
      <scheme val="major"/>
    </font>
    <font>
      <b/>
      <i/>
      <sz val="10"/>
      <color theme="1"/>
      <name val="Calibri"/>
      <family val="2"/>
      <scheme val="minor"/>
    </font>
    <font>
      <i/>
      <sz val="10"/>
      <color rgb="FFFF0000"/>
      <name val="Calibri"/>
      <family val="2"/>
      <scheme val="minor"/>
    </font>
    <font>
      <b/>
      <i/>
      <sz val="11"/>
      <name val="Calibri"/>
      <family val="2"/>
      <scheme val="minor"/>
    </font>
    <font>
      <sz val="8"/>
      <color rgb="FFC00000"/>
      <name val="Calibri"/>
      <family val="2"/>
    </font>
    <font>
      <sz val="9"/>
      <color rgb="FFC00000"/>
      <name val="Calibri"/>
      <family val="2"/>
    </font>
    <font>
      <b/>
      <sz val="8"/>
      <color rgb="FF000000"/>
      <name val="Calibri"/>
      <family val="2"/>
    </font>
    <font>
      <sz val="10"/>
      <color theme="3" tint="-0.499984740745262"/>
      <name val="Calibri"/>
      <family val="2"/>
      <scheme val="minor"/>
    </font>
    <font>
      <b/>
      <sz val="13"/>
      <color rgb="FF000000"/>
      <name val="Arial"/>
      <family val="2"/>
    </font>
    <font>
      <sz val="11"/>
      <color theme="1"/>
      <name val="Calibri"/>
      <family val="2"/>
    </font>
    <font>
      <sz val="13"/>
      <color rgb="FF000000"/>
      <name val="Arial"/>
      <family val="2"/>
    </font>
    <font>
      <b/>
      <sz val="12"/>
      <color rgb="FFFF0000"/>
      <name val="Cambria"/>
      <family val="1"/>
    </font>
    <font>
      <sz val="10"/>
      <color rgb="FF000000"/>
      <name val="Calibri"/>
      <family val="2"/>
    </font>
    <font>
      <sz val="10"/>
      <color rgb="FF000000"/>
      <name val="Arial"/>
      <family val="2"/>
    </font>
    <font>
      <b/>
      <sz val="8"/>
      <color rgb="FFFF0000"/>
      <name val="Cambria"/>
      <family val="1"/>
      <scheme val="major"/>
    </font>
    <font>
      <sz val="11"/>
      <color theme="1"/>
      <name val="Times New Roman"/>
      <family val="1"/>
    </font>
    <font>
      <sz val="8"/>
      <color rgb="FFFF0000"/>
      <name val="Cambria"/>
      <family val="1"/>
    </font>
    <font>
      <i/>
      <sz val="13"/>
      <color rgb="FFFF0000"/>
      <name val="Arial"/>
      <family val="2"/>
    </font>
    <font>
      <sz val="11"/>
      <color rgb="FFFF0000"/>
      <name val="Arial"/>
      <family val="2"/>
    </font>
    <font>
      <sz val="13"/>
      <color rgb="FF00B050"/>
      <name val="Arial"/>
      <family val="2"/>
    </font>
    <font>
      <b/>
      <sz val="13"/>
      <color rgb="FF00B050"/>
      <name val="Arial"/>
      <family val="2"/>
    </font>
    <font>
      <i/>
      <sz val="10"/>
      <color rgb="FF00B050"/>
      <name val="Calibri"/>
      <family val="2"/>
      <scheme val="minor"/>
    </font>
    <font>
      <sz val="10"/>
      <color rgb="FF00B050"/>
      <name val="Calibri"/>
      <family val="2"/>
      <scheme val="minor"/>
    </font>
    <font>
      <sz val="9"/>
      <color rgb="FF000000"/>
      <name val="Calibri"/>
      <family val="2"/>
    </font>
    <font>
      <sz val="12"/>
      <color rgb="FF00B050"/>
      <name val="Cambria"/>
      <family val="1"/>
      <scheme val="major"/>
    </font>
    <font>
      <sz val="9"/>
      <color rgb="FF000000"/>
      <name val="Cambria"/>
      <family val="1"/>
    </font>
    <font>
      <sz val="12"/>
      <color rgb="FF000000"/>
      <name val="Cambria"/>
      <family val="1"/>
    </font>
    <font>
      <b/>
      <sz val="12"/>
      <color rgb="FF000000"/>
      <name val="Cambria"/>
      <family val="1"/>
    </font>
    <font>
      <b/>
      <u/>
      <sz val="12"/>
      <color rgb="FF000000"/>
      <name val="Cambria"/>
      <family val="1"/>
    </font>
    <font>
      <b/>
      <sz val="12"/>
      <name val="Cambria"/>
      <family val="1"/>
    </font>
    <font>
      <u/>
      <sz val="12"/>
      <color rgb="FF000000"/>
      <name val="Cambria"/>
      <family val="1"/>
    </font>
    <font>
      <sz val="12"/>
      <color rgb="FF00B050"/>
      <name val="Cambria"/>
      <family val="1"/>
    </font>
    <font>
      <sz val="12"/>
      <color rgb="FFFF0000"/>
      <name val="Cambria"/>
      <family val="1"/>
    </font>
    <font>
      <sz val="9"/>
      <color rgb="FF002060"/>
      <name val="Cambria"/>
      <family val="1"/>
    </font>
    <font>
      <i/>
      <sz val="12"/>
      <color rgb="FF002060"/>
      <name val="Cambria"/>
      <family val="1"/>
    </font>
    <font>
      <sz val="10"/>
      <color rgb="FFFF0000"/>
      <name val="Cambria"/>
      <family val="1"/>
    </font>
    <font>
      <b/>
      <sz val="12"/>
      <color rgb="FF00B050"/>
      <name val="Cambria"/>
      <family val="1"/>
    </font>
    <font>
      <b/>
      <sz val="9"/>
      <color rgb="FF000000"/>
      <name val="Tahoma"/>
      <family val="2"/>
    </font>
    <font>
      <sz val="9"/>
      <color rgb="FF000000"/>
      <name val="Tahoma"/>
      <family val="2"/>
    </font>
    <font>
      <b/>
      <sz val="11"/>
      <color theme="1"/>
      <name val="Times New Roman"/>
      <family val="1"/>
    </font>
    <font>
      <b/>
      <sz val="10.5"/>
      <color rgb="FF000000"/>
      <name val="SegoeUI"/>
    </font>
    <font>
      <sz val="10.5"/>
      <color rgb="FF000000"/>
      <name val="SegoeUI"/>
    </font>
    <font>
      <b/>
      <sz val="10"/>
      <color theme="3"/>
      <name val="Calibri"/>
      <family val="2"/>
      <scheme val="minor"/>
    </font>
    <font>
      <b/>
      <sz val="11"/>
      <color rgb="FF000000"/>
      <name val="Calibri"/>
      <family val="2"/>
    </font>
    <font>
      <b/>
      <sz val="9"/>
      <color rgb="FF000000"/>
      <name val="Calibri"/>
      <family val="2"/>
    </font>
    <font>
      <i/>
      <sz val="11"/>
      <color rgb="FF000000"/>
      <name val="Calibri"/>
      <family val="2"/>
    </font>
    <font>
      <b/>
      <sz val="10"/>
      <color rgb="FF000000"/>
      <name val="Calibri"/>
      <family val="2"/>
    </font>
    <font>
      <sz val="10"/>
      <name val="Arial"/>
      <family val="2"/>
    </font>
    <font>
      <i/>
      <sz val="8"/>
      <color theme="1"/>
      <name val="Calibri"/>
      <family val="2"/>
      <scheme val="minor"/>
    </font>
    <font>
      <i/>
      <sz val="11"/>
      <color rgb="FFFF0000"/>
      <name val="Calibri"/>
      <family val="2"/>
    </font>
    <font>
      <sz val="11"/>
      <color rgb="FFFF0000"/>
      <name val="Times New Roman"/>
      <family val="1"/>
    </font>
    <font>
      <b/>
      <i/>
      <sz val="10"/>
      <name val="Cambria"/>
      <family val="1"/>
      <scheme val="major"/>
    </font>
    <font>
      <sz val="12"/>
      <color rgb="FF000000"/>
      <name val="Bookman Old Style"/>
      <family val="1"/>
    </font>
    <font>
      <sz val="7"/>
      <color theme="1"/>
      <name val="Cambria"/>
      <family val="1"/>
      <scheme val="major"/>
    </font>
    <font>
      <sz val="11"/>
      <color rgb="FF000000"/>
      <name val="Bookman Old Style"/>
      <family val="1"/>
    </font>
    <font>
      <b/>
      <sz val="10"/>
      <name val="Bookman Old Style"/>
      <family val="1"/>
    </font>
    <font>
      <b/>
      <sz val="10"/>
      <color theme="1"/>
      <name val="Bookman Old Style"/>
      <family val="1"/>
    </font>
    <font>
      <b/>
      <sz val="10"/>
      <color rgb="FF000000"/>
      <name val="Bookman Old Style"/>
      <family val="1"/>
    </font>
    <font>
      <sz val="10"/>
      <color rgb="FF000000"/>
      <name val="Bookman Old Style"/>
      <family val="1"/>
    </font>
    <font>
      <sz val="10"/>
      <color theme="1"/>
      <name val="Bookman Old Style"/>
      <family val="1"/>
    </font>
    <font>
      <b/>
      <sz val="12"/>
      <color rgb="FFFF0000"/>
      <name val="Calibri"/>
      <family val="2"/>
      <scheme val="minor"/>
    </font>
    <font>
      <sz val="12"/>
      <color rgb="FFFF0000"/>
      <name val="Calibri"/>
      <family val="2"/>
      <scheme val="minor"/>
    </font>
    <font>
      <sz val="9"/>
      <color rgb="FFFF0000"/>
      <name val="Calibri"/>
      <family val="2"/>
    </font>
    <font>
      <sz val="10"/>
      <color rgb="FFFF0000"/>
      <name val="Calibri"/>
      <family val="2"/>
    </font>
    <font>
      <sz val="12"/>
      <color rgb="FFFF0000"/>
      <name val="Calibri"/>
      <family val="2"/>
    </font>
    <font>
      <b/>
      <u/>
      <sz val="10"/>
      <color theme="1"/>
      <name val="Calibri"/>
      <family val="2"/>
      <scheme val="minor"/>
    </font>
    <font>
      <sz val="8"/>
      <color rgb="FF000000"/>
      <name val="Calibri"/>
      <family val="2"/>
    </font>
    <font>
      <u/>
      <sz val="10"/>
      <name val="Cambria"/>
      <family val="1"/>
      <scheme val="major"/>
    </font>
    <font>
      <sz val="9"/>
      <name val="Cambria"/>
      <family val="1"/>
    </font>
    <font>
      <b/>
      <sz val="10"/>
      <color rgb="FFFF0000"/>
      <name val="Cambria"/>
      <family val="1"/>
    </font>
    <font>
      <b/>
      <sz val="10"/>
      <name val="Cambria"/>
      <family val="1"/>
    </font>
    <font>
      <sz val="10"/>
      <color rgb="FF000000"/>
      <name val="Cambria"/>
      <family val="1"/>
    </font>
    <font>
      <sz val="8"/>
      <name val="Cambria"/>
      <family val="1"/>
      <scheme val="major"/>
    </font>
    <font>
      <sz val="10"/>
      <color rgb="FF7030A0"/>
      <name val="Calibri"/>
      <family val="2"/>
      <scheme val="minor"/>
    </font>
    <font>
      <i/>
      <sz val="10"/>
      <color rgb="FF7030A0"/>
      <name val="Calibri"/>
      <family val="2"/>
      <scheme val="minor"/>
    </font>
    <font>
      <sz val="8"/>
      <color rgb="FF7030A0"/>
      <name val="Calibri"/>
      <family val="2"/>
      <scheme val="minor"/>
    </font>
    <font>
      <b/>
      <u/>
      <sz val="10"/>
      <name val="Calibri"/>
      <family val="2"/>
      <scheme val="minor"/>
    </font>
    <font>
      <sz val="11"/>
      <color rgb="FFFF0000"/>
      <name val="Calibri"/>
      <family val="2"/>
    </font>
    <font>
      <sz val="10"/>
      <color theme="1"/>
      <name val="Arial"/>
      <family val="2"/>
    </font>
    <font>
      <b/>
      <sz val="10"/>
      <color rgb="FFFF0000"/>
      <name val="Arial"/>
      <family val="2"/>
    </font>
    <font>
      <b/>
      <sz val="9"/>
      <color rgb="FFFF0000"/>
      <name val="Courier New"/>
      <family val="3"/>
    </font>
    <font>
      <sz val="11"/>
      <color indexed="8"/>
      <name val="Calibri"/>
      <family val="2"/>
    </font>
    <font>
      <sz val="11"/>
      <color indexed="23"/>
      <name val="Calibri"/>
      <family val="2"/>
    </font>
    <font>
      <sz val="11"/>
      <color theme="0" tint="-0.499984740745262"/>
      <name val="Calibri"/>
      <family val="2"/>
      <scheme val="minor"/>
    </font>
    <font>
      <b/>
      <sz val="9"/>
      <color rgb="FFFF0000"/>
      <name val="Calibri"/>
      <family val="2"/>
    </font>
    <font>
      <b/>
      <sz val="11"/>
      <color rgb="FFFF0000"/>
      <name val="Calibri"/>
      <family val="2"/>
    </font>
    <font>
      <b/>
      <sz val="8"/>
      <color rgb="FFFF0000"/>
      <name val="Calibri"/>
      <family val="2"/>
    </font>
    <font>
      <b/>
      <sz val="13"/>
      <color indexed="81"/>
      <name val="Tahoma"/>
      <family val="2"/>
    </font>
    <font>
      <sz val="13"/>
      <color indexed="81"/>
      <name val="Tahoma"/>
      <family val="2"/>
    </font>
    <font>
      <sz val="11"/>
      <color rgb="FF000000"/>
      <name val="Calibri"/>
      <family val="2"/>
      <scheme val="minor"/>
    </font>
    <font>
      <b/>
      <sz val="9"/>
      <color indexed="8"/>
      <name val="Courier New"/>
      <family val="3"/>
    </font>
    <font>
      <b/>
      <sz val="10"/>
      <color indexed="8"/>
      <name val="Courier New"/>
      <family val="3"/>
    </font>
    <font>
      <b/>
      <i/>
      <sz val="10"/>
      <color indexed="10"/>
      <name val="Arial"/>
      <family val="2"/>
    </font>
    <font>
      <b/>
      <sz val="10"/>
      <color indexed="12"/>
      <name val="Arial"/>
      <family val="2"/>
    </font>
    <font>
      <b/>
      <sz val="10"/>
      <color indexed="32"/>
      <name val="Arial"/>
      <family val="2"/>
    </font>
    <font>
      <sz val="10"/>
      <color theme="1"/>
      <name val="Times New Roman"/>
      <family val="1"/>
    </font>
    <font>
      <b/>
      <sz val="10"/>
      <color theme="1"/>
      <name val="Times New Roman"/>
      <family val="1"/>
    </font>
    <font>
      <b/>
      <sz val="10"/>
      <color rgb="FF000000"/>
      <name val="Times New Roman"/>
      <family val="1"/>
    </font>
    <font>
      <b/>
      <i/>
      <sz val="10"/>
      <color rgb="FF000000"/>
      <name val="Times New Roman"/>
      <family val="1"/>
    </font>
    <font>
      <b/>
      <i/>
      <sz val="10"/>
      <name val="Times New Roman"/>
      <family val="1"/>
    </font>
    <font>
      <sz val="10"/>
      <color rgb="FF000000"/>
      <name val="Times New Roman"/>
      <family val="1"/>
    </font>
    <font>
      <i/>
      <sz val="10"/>
      <name val="Times New Roman"/>
      <family val="1"/>
    </font>
    <font>
      <i/>
      <sz val="10"/>
      <color rgb="FF000000"/>
      <name val="Times New Roman"/>
      <family val="1"/>
    </font>
    <font>
      <b/>
      <sz val="10"/>
      <color rgb="FF145DAC"/>
      <name val="Times New Roman"/>
      <family val="1"/>
    </font>
    <font>
      <i/>
      <sz val="10"/>
      <color theme="1"/>
      <name val="Times New Roman"/>
      <family val="1"/>
    </font>
    <font>
      <sz val="10"/>
      <color rgb="FFFF0000"/>
      <name val="Times New Roman"/>
      <family val="1"/>
    </font>
    <font>
      <sz val="10"/>
      <color rgb="FFC00000"/>
      <name val="Cambria"/>
      <family val="1"/>
      <scheme val="major"/>
    </font>
    <font>
      <i/>
      <sz val="11"/>
      <color rgb="FFFF0000"/>
      <name val="Calibri"/>
      <family val="2"/>
      <scheme val="minor"/>
    </font>
    <font>
      <b/>
      <sz val="12"/>
      <color rgb="FF0070C0"/>
      <name val="Cambria"/>
      <family val="1"/>
      <scheme val="major"/>
    </font>
    <font>
      <b/>
      <sz val="12"/>
      <color rgb="FFC00000"/>
      <name val="Cambria"/>
      <family val="1"/>
      <scheme val="major"/>
    </font>
    <font>
      <b/>
      <sz val="12"/>
      <color rgb="FF00B0F0"/>
      <name val="Cambria"/>
      <family val="1"/>
      <scheme val="major"/>
    </font>
    <font>
      <b/>
      <sz val="9"/>
      <color rgb="FF586D2D"/>
      <name val="Calibri"/>
      <family val="2"/>
      <scheme val="minor"/>
    </font>
    <font>
      <sz val="11"/>
      <color rgb="FFC00000"/>
      <name val="Calibri"/>
      <family val="2"/>
      <scheme val="minor"/>
    </font>
    <font>
      <sz val="10"/>
      <color rgb="FFC00000"/>
      <name val="Cambria"/>
      <family val="1"/>
    </font>
    <font>
      <strike/>
      <sz val="8"/>
      <color theme="1"/>
      <name val="Calibri"/>
      <family val="2"/>
      <scheme val="minor"/>
    </font>
    <font>
      <b/>
      <strike/>
      <sz val="11"/>
      <color theme="1"/>
      <name val="Calibri"/>
      <family val="2"/>
      <scheme val="minor"/>
    </font>
    <font>
      <strike/>
      <sz val="8"/>
      <color rgb="FFC00000"/>
      <name val="Calibri"/>
      <family val="2"/>
      <scheme val="minor"/>
    </font>
    <font>
      <strike/>
      <sz val="11"/>
      <name val="Calibri"/>
      <family val="2"/>
      <scheme val="minor"/>
    </font>
    <font>
      <strike/>
      <sz val="10"/>
      <color theme="1"/>
      <name val="Calibri"/>
      <family val="2"/>
      <scheme val="minor"/>
    </font>
    <font>
      <strike/>
      <sz val="11"/>
      <color theme="1"/>
      <name val="Calibri"/>
      <family val="2"/>
    </font>
    <font>
      <i/>
      <sz val="9"/>
      <color rgb="FFFF0000"/>
      <name val="Calibri"/>
      <family val="2"/>
      <scheme val="minor"/>
    </font>
    <font>
      <b/>
      <sz val="11"/>
      <color indexed="81"/>
      <name val="Tahoma"/>
      <family val="2"/>
    </font>
    <font>
      <sz val="11"/>
      <color indexed="81"/>
      <name val="Tahoma"/>
      <family val="2"/>
    </font>
    <font>
      <sz val="9"/>
      <color rgb="FFC00000"/>
      <name val="Arial"/>
      <family val="2"/>
    </font>
    <font>
      <sz val="10"/>
      <color rgb="FFC00000"/>
      <name val="Arial"/>
      <family val="2"/>
    </font>
    <font>
      <b/>
      <sz val="8"/>
      <color rgb="FFC00000"/>
      <name val="Times New Roman"/>
      <family val="1"/>
    </font>
    <font>
      <sz val="10"/>
      <color rgb="FFC00000"/>
      <name val="Times New Roman"/>
      <family val="1"/>
    </font>
    <font>
      <b/>
      <sz val="10"/>
      <color rgb="FFC00000"/>
      <name val="Times New Roman"/>
      <family val="1"/>
    </font>
    <font>
      <sz val="11"/>
      <color theme="1"/>
      <name val="Cambria"/>
      <family val="1"/>
    </font>
    <font>
      <b/>
      <sz val="12"/>
      <color theme="1"/>
      <name val="Cambria"/>
      <family val="1"/>
    </font>
    <font>
      <b/>
      <sz val="11"/>
      <name val="Cambria"/>
      <family val="1"/>
    </font>
    <font>
      <sz val="12"/>
      <color theme="1"/>
      <name val="Cambria"/>
      <family val="1"/>
    </font>
    <font>
      <sz val="11"/>
      <name val="Cambria"/>
      <family val="1"/>
    </font>
    <font>
      <b/>
      <sz val="11"/>
      <color theme="1"/>
      <name val="Cambria"/>
      <family val="1"/>
    </font>
    <font>
      <sz val="10.5"/>
      <color rgb="FF595959"/>
      <name val="Calibri"/>
      <family val="2"/>
    </font>
    <font>
      <sz val="11"/>
      <color rgb="FF767171"/>
      <name val="Calibri"/>
      <family val="2"/>
    </font>
    <font>
      <b/>
      <sz val="11"/>
      <color rgb="FF172D5F"/>
      <name val="Calibri"/>
      <family val="2"/>
    </font>
    <font>
      <sz val="12"/>
      <color rgb="FF000000"/>
      <name val="Arial"/>
      <family val="2"/>
    </font>
    <font>
      <b/>
      <sz val="11"/>
      <color rgb="FF595959"/>
      <name val="Calibri"/>
      <family val="2"/>
    </font>
    <font>
      <sz val="11"/>
      <color rgb="FF000000"/>
      <name val="Calibri"/>
      <family val="2"/>
    </font>
    <font>
      <sz val="8"/>
      <color rgb="FF767171"/>
      <name val="Calibri"/>
      <family val="2"/>
    </font>
    <font>
      <b/>
      <sz val="11"/>
      <color rgb="FF767171"/>
      <name val="Calibri"/>
      <family val="2"/>
    </font>
    <font>
      <b/>
      <sz val="11"/>
      <color rgb="FF7F7F7F"/>
      <name val="Calibri"/>
      <family val="2"/>
    </font>
    <font>
      <b/>
      <sz val="16"/>
      <color theme="1"/>
      <name val="Garamond"/>
      <family val="1"/>
    </font>
    <font>
      <sz val="16"/>
      <color theme="1"/>
      <name val="Garamond"/>
      <family val="1"/>
    </font>
    <font>
      <sz val="16"/>
      <color rgb="FFFF0000"/>
      <name val="Garamond"/>
      <family val="1"/>
    </font>
    <font>
      <b/>
      <sz val="16"/>
      <color rgb="FFFF0000"/>
      <name val="Garamond"/>
      <family val="1"/>
    </font>
    <font>
      <sz val="16"/>
      <name val="Garamond"/>
      <family val="1"/>
    </font>
    <font>
      <b/>
      <sz val="16"/>
      <name val="Garamond"/>
      <family val="1"/>
    </font>
    <font>
      <sz val="16"/>
      <color rgb="FFC00000"/>
      <name val="Garamond"/>
      <family val="1"/>
    </font>
    <font>
      <sz val="16"/>
      <color indexed="8"/>
      <name val="Garamond"/>
      <family val="1"/>
    </font>
    <font>
      <b/>
      <sz val="16"/>
      <color rgb="FFC00000"/>
      <name val="Garamond"/>
      <family val="1"/>
    </font>
    <font>
      <b/>
      <sz val="18"/>
      <color rgb="FFC00000"/>
      <name val="Garamond"/>
      <family val="1"/>
    </font>
    <font>
      <i/>
      <sz val="16"/>
      <color rgb="FFFF0000"/>
      <name val="Garamond"/>
      <family val="1"/>
    </font>
    <font>
      <b/>
      <i/>
      <sz val="16"/>
      <color rgb="FFFF0000"/>
      <name val="Garamond"/>
      <family val="1"/>
    </font>
    <font>
      <b/>
      <sz val="16"/>
      <color theme="8"/>
      <name val="Garamond"/>
      <family val="1"/>
    </font>
    <font>
      <b/>
      <u/>
      <sz val="16"/>
      <name val="Garamond"/>
      <family val="1"/>
    </font>
    <font>
      <b/>
      <u/>
      <sz val="16"/>
      <color rgb="FFFF0000"/>
      <name val="Garamond"/>
      <family val="1"/>
    </font>
    <font>
      <b/>
      <u/>
      <sz val="16"/>
      <color indexed="8"/>
      <name val="Garamond"/>
      <family val="1"/>
    </font>
    <font>
      <b/>
      <i/>
      <sz val="16"/>
      <name val="Garamond"/>
      <family val="1"/>
    </font>
    <font>
      <b/>
      <sz val="18"/>
      <color theme="8"/>
      <name val="Garamond"/>
      <family val="1"/>
    </font>
    <font>
      <sz val="24"/>
      <color theme="1"/>
      <name val="Garamond"/>
      <family val="1"/>
    </font>
    <font>
      <sz val="24"/>
      <color rgb="FFFF0000"/>
      <name val="Garamond"/>
      <family val="1"/>
    </font>
    <font>
      <b/>
      <sz val="24"/>
      <color theme="1"/>
      <name val="Garamond"/>
      <family val="1"/>
    </font>
    <font>
      <b/>
      <sz val="24"/>
      <color rgb="FFFF0000"/>
      <name val="Garamond"/>
      <family val="1"/>
    </font>
    <font>
      <sz val="20"/>
      <color theme="1"/>
      <name val="Garamond"/>
      <family val="1"/>
    </font>
    <font>
      <sz val="20"/>
      <color rgb="FFFF0000"/>
      <name val="Garamond"/>
      <family val="1"/>
    </font>
    <font>
      <sz val="12"/>
      <name val="Cambria"/>
      <family val="1"/>
    </font>
    <font>
      <b/>
      <sz val="12"/>
      <name val="Cambria"/>
      <family val="1"/>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theme="1"/>
      <name val="Calibri"/>
      <family val="3"/>
      <charset val="129"/>
      <scheme val="minor"/>
    </font>
    <font>
      <sz val="11"/>
      <color rgb="FF9C6500"/>
      <name val="Calibri"/>
      <family val="2"/>
      <scheme val="minor"/>
    </font>
    <font>
      <sz val="11"/>
      <color theme="1"/>
      <name val="Arial"/>
      <family val="2"/>
    </font>
    <font>
      <sz val="10"/>
      <name val="Arial"/>
      <family val="2"/>
      <charset val="204"/>
    </font>
    <font>
      <b/>
      <sz val="18"/>
      <color theme="3"/>
      <name val="Cambria"/>
      <family val="2"/>
      <scheme val="major"/>
    </font>
    <font>
      <b/>
      <sz val="12"/>
      <color theme="0"/>
      <name val="Calibri"/>
      <family val="2"/>
      <scheme val="minor"/>
    </font>
  </fonts>
  <fills count="139">
    <fill>
      <patternFill patternType="none"/>
    </fill>
    <fill>
      <patternFill patternType="gray125"/>
    </fill>
    <fill>
      <patternFill patternType="solid">
        <fgColor theme="0" tint="-0.149998474074526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A7B5CD"/>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rgb="FFFF0000"/>
        <bgColor indexed="64"/>
      </patternFill>
    </fill>
    <fill>
      <patternFill patternType="solid">
        <fgColor rgb="FFF6F5F0"/>
        <bgColor indexed="64"/>
      </patternFill>
    </fill>
    <fill>
      <patternFill patternType="solid">
        <fgColor theme="2"/>
        <bgColor indexed="64"/>
      </patternFill>
    </fill>
    <fill>
      <patternFill patternType="solid">
        <fgColor theme="2" tint="-0.249977111117893"/>
        <bgColor indexed="64"/>
      </patternFill>
    </fill>
    <fill>
      <patternFill patternType="solid">
        <fgColor rgb="FFE4E4E4"/>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rgb="FFC3F6BA"/>
        <bgColor indexed="64"/>
      </patternFill>
    </fill>
    <fill>
      <patternFill patternType="solid">
        <fgColor rgb="FFD6D2B8"/>
        <bgColor indexed="64"/>
      </patternFill>
    </fill>
    <fill>
      <patternFill patternType="solid">
        <fgColor rgb="FFCFCAA9"/>
        <bgColor indexed="64"/>
      </patternFill>
    </fill>
    <fill>
      <patternFill patternType="solid">
        <fgColor rgb="FFD0CBAC"/>
        <bgColor indexed="64"/>
      </patternFill>
    </fill>
    <fill>
      <patternFill patternType="solid">
        <fgColor rgb="FFD2CDAE"/>
        <bgColor indexed="64"/>
      </patternFill>
    </fill>
    <fill>
      <patternFill patternType="solid">
        <fgColor rgb="FFB0F5AD"/>
        <bgColor indexed="64"/>
      </patternFill>
    </fill>
    <fill>
      <patternFill patternType="solid">
        <fgColor rgb="FFECF1F8"/>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DDDAC5"/>
        <bgColor indexed="64"/>
      </patternFill>
    </fill>
    <fill>
      <patternFill patternType="solid">
        <fgColor rgb="FFD5CFB9"/>
        <bgColor indexed="64"/>
      </patternFill>
    </fill>
    <fill>
      <patternFill patternType="solid">
        <fgColor rgb="FFEAE8DA"/>
        <bgColor indexed="64"/>
      </patternFill>
    </fill>
    <fill>
      <patternFill patternType="solid">
        <fgColor rgb="FFE4E1CE"/>
        <bgColor indexed="64"/>
      </patternFill>
    </fill>
    <fill>
      <patternFill patternType="solid">
        <fgColor rgb="FFFFFFFF"/>
        <bgColor indexed="64"/>
      </patternFill>
    </fill>
    <fill>
      <patternFill patternType="solid">
        <fgColor theme="9" tint="0.39997558519241921"/>
        <bgColor indexed="64"/>
      </patternFill>
    </fill>
    <fill>
      <patternFill patternType="solid">
        <fgColor rgb="FFDFDCC7"/>
        <bgColor indexed="64"/>
      </patternFill>
    </fill>
    <fill>
      <patternFill patternType="solid">
        <fgColor rgb="FFFFFF75"/>
        <bgColor indexed="64"/>
      </patternFill>
    </fill>
    <fill>
      <patternFill patternType="solid">
        <fgColor rgb="FFF9F8F5"/>
        <bgColor indexed="64"/>
      </patternFill>
    </fill>
    <fill>
      <patternFill patternType="solid">
        <fgColor rgb="FFF8F7F2"/>
        <bgColor indexed="64"/>
      </patternFill>
    </fill>
    <fill>
      <patternFill patternType="solid">
        <fgColor rgb="FFDAD6BC"/>
        <bgColor indexed="64"/>
      </patternFill>
    </fill>
    <fill>
      <patternFill patternType="solid">
        <fgColor rgb="FFDBD7BF"/>
        <bgColor indexed="64"/>
      </patternFill>
    </fill>
    <fill>
      <patternFill patternType="solid">
        <fgColor theme="2" tint="-9.9948118533890809E-2"/>
        <bgColor indexed="64"/>
      </patternFill>
    </fill>
    <fill>
      <patternFill patternType="solid">
        <fgColor rgb="FFF1F0E7"/>
        <bgColor indexed="64"/>
      </patternFill>
    </fill>
    <fill>
      <patternFill patternType="solid">
        <fgColor rgb="FFE5E2D1"/>
        <bgColor indexed="64"/>
      </patternFill>
    </fill>
    <fill>
      <patternFill patternType="solid">
        <fgColor rgb="FFE7E4D5"/>
        <bgColor indexed="64"/>
      </patternFill>
    </fill>
    <fill>
      <patternFill patternType="solid">
        <fgColor rgb="FFA0C1E8"/>
        <bgColor indexed="64"/>
      </patternFill>
    </fill>
    <fill>
      <patternFill patternType="solid">
        <fgColor rgb="FFEDF3E1"/>
        <bgColor indexed="64"/>
      </patternFill>
    </fill>
    <fill>
      <patternFill patternType="solid">
        <fgColor rgb="FFFDE4CF"/>
        <bgColor indexed="64"/>
      </patternFill>
    </fill>
    <fill>
      <patternFill patternType="solid">
        <fgColor rgb="FFFBF9C9"/>
        <bgColor indexed="64"/>
      </patternFill>
    </fill>
    <fill>
      <patternFill patternType="solid">
        <fgColor rgb="FFF0EEE4"/>
        <bgColor indexed="64"/>
      </patternFill>
    </fill>
    <fill>
      <patternFill patternType="solid">
        <fgColor rgb="FFEBEADD"/>
        <bgColor indexed="64"/>
      </patternFill>
    </fill>
    <fill>
      <patternFill patternType="solid">
        <fgColor rgb="FFEEECE2"/>
        <bgColor indexed="64"/>
      </patternFill>
    </fill>
    <fill>
      <patternFill patternType="solid">
        <fgColor rgb="FFFFFFCC"/>
        <bgColor rgb="FF000000"/>
      </patternFill>
    </fill>
    <fill>
      <patternFill patternType="solid">
        <fgColor rgb="FFB2CCEC"/>
        <bgColor indexed="64"/>
      </patternFill>
    </fill>
    <fill>
      <patternFill patternType="solid">
        <fgColor rgb="FFAFCAEB"/>
        <bgColor indexed="64"/>
      </patternFill>
    </fill>
    <fill>
      <patternFill patternType="solid">
        <fgColor rgb="FFFFFF00"/>
        <bgColor rgb="FF000000"/>
      </patternFill>
    </fill>
    <fill>
      <patternFill patternType="solid">
        <fgColor rgb="FFFFC000"/>
        <bgColor rgb="FF000000"/>
      </patternFill>
    </fill>
    <fill>
      <patternFill patternType="solid">
        <fgColor rgb="FFFDE9D9"/>
        <bgColor rgb="FF000000"/>
      </patternFill>
    </fill>
    <fill>
      <patternFill patternType="solid">
        <fgColor rgb="FFCCC0DA"/>
        <bgColor rgb="FF000000"/>
      </patternFill>
    </fill>
    <fill>
      <patternFill patternType="solid">
        <fgColor rgb="FF8DB4E2"/>
        <bgColor rgb="FF000000"/>
      </patternFill>
    </fill>
    <fill>
      <patternFill patternType="solid">
        <fgColor rgb="FFDCE6F1"/>
        <bgColor rgb="FF000000"/>
      </patternFill>
    </fill>
    <fill>
      <patternFill patternType="solid">
        <fgColor rgb="FFEEECE1"/>
        <bgColor rgb="FF000000"/>
      </patternFill>
    </fill>
    <fill>
      <patternFill patternType="solid">
        <fgColor indexed="9"/>
        <bgColor indexed="64"/>
      </patternFill>
    </fill>
    <fill>
      <patternFill patternType="solid">
        <fgColor rgb="FF92D050"/>
        <bgColor rgb="FF000000"/>
      </patternFill>
    </fill>
    <fill>
      <patternFill patternType="solid">
        <fgColor theme="2" tint="-0.499984740745262"/>
        <bgColor indexed="64"/>
      </patternFill>
    </fill>
    <fill>
      <patternFill patternType="solid">
        <fgColor rgb="FFD5DBE7"/>
        <bgColor rgb="FF000000"/>
      </patternFill>
    </fill>
    <fill>
      <patternFill patternType="solid">
        <fgColor rgb="FFD1D8E5"/>
        <bgColor rgb="FF000000"/>
      </patternFill>
    </fill>
    <fill>
      <patternFill patternType="solid">
        <fgColor rgb="FFC00000"/>
        <bgColor indexed="64"/>
      </patternFill>
    </fill>
    <fill>
      <patternFill patternType="solid">
        <fgColor rgb="FFDAE0EA"/>
        <bgColor rgb="FF000000"/>
      </patternFill>
    </fill>
    <fill>
      <patternFill patternType="solid">
        <fgColor rgb="FF00B050"/>
        <bgColor indexed="64"/>
      </patternFill>
    </fill>
    <fill>
      <patternFill patternType="solid">
        <fgColor rgb="FFFEF9F4"/>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BFD1E7"/>
        <bgColor indexed="64"/>
      </patternFill>
    </fill>
    <fill>
      <patternFill patternType="solid">
        <fgColor rgb="FFA9D08E"/>
        <bgColor indexed="64"/>
      </patternFill>
    </fill>
    <fill>
      <patternFill patternType="solid">
        <fgColor rgb="FFC6E0B4"/>
        <bgColor indexed="64"/>
      </patternFill>
    </fill>
    <fill>
      <patternFill patternType="solid">
        <fgColor rgb="FFFFFFC1"/>
        <bgColor indexed="64"/>
      </patternFill>
    </fill>
    <fill>
      <patternFill patternType="solid">
        <fgColor rgb="FFE2EFDA"/>
        <bgColor indexed="64"/>
      </patternFill>
    </fill>
    <fill>
      <patternFill patternType="solid">
        <fgColor theme="9" tint="0.59999389629810485"/>
        <bgColor indexed="64"/>
      </patternFill>
    </fill>
    <fill>
      <patternFill patternType="solid">
        <fgColor theme="0"/>
        <bgColor rgb="FF000000"/>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E285"/>
        <bgColor indexed="64"/>
      </patternFill>
    </fill>
    <fill>
      <patternFill patternType="solid">
        <fgColor rgb="FFE8F3E1"/>
        <bgColor indexed="64"/>
      </patternFill>
    </fill>
    <fill>
      <patternFill patternType="solid">
        <fgColor rgb="FFEAF4E4"/>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C9E8FF"/>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rgb="FFD6CDE1"/>
        <bgColor indexed="64"/>
      </patternFill>
    </fill>
    <fill>
      <patternFill patternType="solid">
        <fgColor rgb="FFB4C6E7"/>
        <bgColor rgb="FF000000"/>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tint="-0.499984740745262"/>
        <bgColor rgb="FF000000"/>
      </patternFill>
    </fill>
    <fill>
      <patternFill patternType="solid">
        <fgColor rgb="FF00B0F0"/>
        <bgColor rgb="FF000000"/>
      </patternFill>
    </fill>
    <fill>
      <patternFill patternType="solid">
        <fgColor theme="5" tint="0.59999389629810485"/>
        <bgColor rgb="FF000000"/>
      </patternFill>
    </fill>
    <fill>
      <patternFill patternType="solid">
        <fgColor rgb="FF70AD47"/>
        <bgColor rgb="FF000000"/>
      </patternFill>
    </fill>
    <fill>
      <patternFill patternType="solid">
        <fgColor rgb="FFFFD966"/>
        <bgColor rgb="FF000000"/>
      </patternFill>
    </fill>
    <fill>
      <patternFill patternType="solid">
        <fgColor rgb="FFC0C0C0"/>
        <bgColor rgb="FF000000"/>
      </patternFill>
    </fill>
    <fill>
      <patternFill patternType="solid">
        <fgColor rgb="FFF7F7F7"/>
        <bgColor indexed="64"/>
      </patternFill>
    </fill>
    <fill>
      <patternFill patternType="gray0625">
        <bgColor rgb="FFFFFFCC"/>
      </patternFill>
    </fill>
    <fill>
      <patternFill patternType="gray0625">
        <fgColor rgb="FF000000"/>
        <b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1"/>
        <bgColor indexed="64"/>
      </patternFill>
    </fill>
  </fills>
  <borders count="216">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mediumDashed">
        <color indexed="64"/>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Dashed">
        <color indexed="64"/>
      </left>
      <right style="thin">
        <color indexed="64"/>
      </right>
      <top/>
      <bottom/>
      <diagonal/>
    </border>
    <border>
      <left style="thin">
        <color indexed="8"/>
      </left>
      <right/>
      <top/>
      <bottom/>
      <diagonal/>
    </border>
    <border>
      <left style="thin">
        <color indexed="64"/>
      </left>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thin">
        <color indexed="64"/>
      </left>
      <right style="thin">
        <color indexed="64"/>
      </right>
      <top style="thin">
        <color indexed="64"/>
      </top>
      <bottom/>
      <diagonal/>
    </border>
    <border>
      <left style="thin">
        <color indexed="64"/>
      </left>
      <right style="mediumDashed">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mediumDashed">
        <color indexed="64"/>
      </right>
      <top/>
      <bottom style="double">
        <color indexed="64"/>
      </bottom>
      <diagonal/>
    </border>
    <border>
      <left style="thin">
        <color indexed="8"/>
      </left>
      <right style="thin">
        <color indexed="64"/>
      </right>
      <top style="thin">
        <color indexed="8"/>
      </top>
      <bottom/>
      <diagonal/>
    </border>
    <border>
      <left/>
      <right style="double">
        <color indexed="64"/>
      </right>
      <top/>
      <bottom style="thin">
        <color indexed="64"/>
      </bottom>
      <diagonal/>
    </border>
    <border>
      <left/>
      <right style="mediumDashed">
        <color indexed="64"/>
      </right>
      <top style="thin">
        <color indexed="64"/>
      </top>
      <bottom/>
      <diagonal/>
    </border>
    <border>
      <left/>
      <right style="mediumDashDot">
        <color indexed="64"/>
      </right>
      <top/>
      <bottom/>
      <diagonal/>
    </border>
    <border>
      <left/>
      <right style="double">
        <color indexed="64"/>
      </right>
      <top style="thin">
        <color indexed="64"/>
      </top>
      <bottom/>
      <diagonal/>
    </border>
    <border>
      <left/>
      <right style="double">
        <color indexed="64"/>
      </right>
      <top/>
      <bottom style="medium">
        <color indexed="64"/>
      </bottom>
      <diagonal/>
    </border>
    <border>
      <left style="thin">
        <color indexed="64"/>
      </left>
      <right style="thin">
        <color indexed="64"/>
      </right>
      <top/>
      <bottom style="dashed">
        <color indexed="64"/>
      </bottom>
      <diagonal/>
    </border>
    <border>
      <left style="thin">
        <color indexed="8"/>
      </left>
      <right style="thin">
        <color indexed="64"/>
      </right>
      <top/>
      <bottom/>
      <diagonal/>
    </border>
    <border>
      <left style="thin">
        <color indexed="64"/>
      </left>
      <right style="thin">
        <color indexed="64"/>
      </right>
      <top style="dashed">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Dashed">
        <color indexed="64"/>
      </left>
      <right/>
      <top style="thin">
        <color indexed="64"/>
      </top>
      <bottom/>
      <diagonal/>
    </border>
    <border>
      <left style="thin">
        <color rgb="FFC00000"/>
      </left>
      <right style="thin">
        <color rgb="FFC00000"/>
      </right>
      <top style="thin">
        <color rgb="FFC00000"/>
      </top>
      <bottom/>
      <diagonal/>
    </border>
    <border>
      <left style="thin">
        <color rgb="FFC00000"/>
      </left>
      <right style="thin">
        <color rgb="FFC00000"/>
      </right>
      <top/>
      <bottom/>
      <diagonal/>
    </border>
    <border>
      <left style="thin">
        <color rgb="FFC00000"/>
      </left>
      <right style="thin">
        <color rgb="FFC00000"/>
      </right>
      <top/>
      <bottom style="thin">
        <color rgb="FFC00000"/>
      </bottom>
      <diagonal/>
    </border>
    <border>
      <left style="medium">
        <color rgb="FF5C732F"/>
      </left>
      <right/>
      <top style="medium">
        <color rgb="FF5C732F"/>
      </top>
      <bottom/>
      <diagonal/>
    </border>
    <border>
      <left/>
      <right/>
      <top style="medium">
        <color rgb="FF5C732F"/>
      </top>
      <bottom/>
      <diagonal/>
    </border>
    <border>
      <left/>
      <right style="medium">
        <color rgb="FF5C732F"/>
      </right>
      <top style="medium">
        <color rgb="FF5C732F"/>
      </top>
      <bottom/>
      <diagonal/>
    </border>
    <border>
      <left style="medium">
        <color rgb="FF5C732F"/>
      </left>
      <right/>
      <top/>
      <bottom/>
      <diagonal/>
    </border>
    <border>
      <left/>
      <right style="medium">
        <color rgb="FF5C732F"/>
      </right>
      <top/>
      <bottom/>
      <diagonal/>
    </border>
    <border>
      <left style="medium">
        <color rgb="FF5C732F"/>
      </left>
      <right/>
      <top/>
      <bottom style="medium">
        <color rgb="FF5C732F"/>
      </bottom>
      <diagonal/>
    </border>
    <border>
      <left/>
      <right/>
      <top/>
      <bottom style="medium">
        <color rgb="FF5C732F"/>
      </bottom>
      <diagonal/>
    </border>
    <border>
      <left/>
      <right style="medium">
        <color rgb="FF5C732F"/>
      </right>
      <top/>
      <bottom style="medium">
        <color rgb="FF5C732F"/>
      </bottom>
      <diagonal/>
    </border>
    <border>
      <left/>
      <right style="thin">
        <color rgb="FF5C732F"/>
      </right>
      <top style="medium">
        <color rgb="FF5C732F"/>
      </top>
      <bottom/>
      <diagonal/>
    </border>
    <border>
      <left/>
      <right style="thin">
        <color rgb="FF5C732F"/>
      </right>
      <top/>
      <bottom/>
      <diagonal/>
    </border>
    <border>
      <left/>
      <right style="thin">
        <color rgb="FF5C732F"/>
      </right>
      <top/>
      <bottom style="medium">
        <color rgb="FF5C732F"/>
      </bottom>
      <diagonal/>
    </border>
    <border>
      <left style="thin">
        <color rgb="FFC00000"/>
      </left>
      <right/>
      <top style="thin">
        <color rgb="FFC00000"/>
      </top>
      <bottom/>
      <diagonal/>
    </border>
    <border>
      <left style="thin">
        <color indexed="64"/>
      </left>
      <right/>
      <top style="thin">
        <color rgb="FFC00000"/>
      </top>
      <bottom/>
      <diagonal/>
    </border>
    <border>
      <left style="thin">
        <color indexed="64"/>
      </left>
      <right style="thin">
        <color rgb="FFC00000"/>
      </right>
      <top style="thin">
        <color rgb="FFC00000"/>
      </top>
      <bottom/>
      <diagonal/>
    </border>
    <border>
      <left style="thin">
        <color rgb="FFC00000"/>
      </left>
      <right/>
      <top/>
      <bottom/>
      <diagonal/>
    </border>
    <border>
      <left style="thin">
        <color indexed="64"/>
      </left>
      <right style="thin">
        <color rgb="FFC00000"/>
      </right>
      <top/>
      <bottom/>
      <diagonal/>
    </border>
    <border>
      <left style="thin">
        <color rgb="FFC00000"/>
      </left>
      <right/>
      <top/>
      <bottom style="thin">
        <color rgb="FFC00000"/>
      </bottom>
      <diagonal/>
    </border>
    <border>
      <left style="thin">
        <color indexed="64"/>
      </left>
      <right style="thin">
        <color rgb="FFC00000"/>
      </right>
      <top/>
      <bottom style="thin">
        <color rgb="FFC00000"/>
      </bottom>
      <diagonal/>
    </border>
    <border>
      <left/>
      <right/>
      <top/>
      <bottom style="thick">
        <color rgb="FFC00000"/>
      </bottom>
      <diagonal/>
    </border>
    <border>
      <left style="thin">
        <color indexed="64"/>
      </left>
      <right style="thin">
        <color indexed="64"/>
      </right>
      <top/>
      <bottom style="thin">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style="medium">
        <color rgb="FFC00000"/>
      </left>
      <right/>
      <top style="medium">
        <color rgb="FFC00000"/>
      </top>
      <bottom/>
      <diagonal/>
    </border>
    <border>
      <left/>
      <right/>
      <top style="medium">
        <color rgb="FFC00000"/>
      </top>
      <bottom/>
      <diagonal/>
    </border>
    <border>
      <left style="medium">
        <color rgb="FFC00000"/>
      </left>
      <right/>
      <top/>
      <bottom/>
      <diagonal/>
    </border>
    <border>
      <left style="medium">
        <color rgb="FFC00000"/>
      </left>
      <right/>
      <top/>
      <bottom style="medium">
        <color rgb="FFC00000"/>
      </bottom>
      <diagonal/>
    </border>
    <border>
      <left/>
      <right/>
      <top/>
      <bottom style="medium">
        <color rgb="FFC0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style="medium">
        <color rgb="FFFF0000"/>
      </left>
      <right/>
      <top/>
      <bottom style="medium">
        <color rgb="FFFF0000"/>
      </bottom>
      <diagonal/>
    </border>
    <border>
      <left/>
      <right/>
      <top/>
      <bottom style="medium">
        <color rgb="FFFF0000"/>
      </bottom>
      <diagonal/>
    </border>
    <border>
      <left/>
      <right style="medium">
        <color rgb="FFC00000"/>
      </right>
      <top style="medium">
        <color rgb="FFC00000"/>
      </top>
      <bottom/>
      <diagonal/>
    </border>
    <border>
      <left/>
      <right style="medium">
        <color rgb="FFC00000"/>
      </right>
      <top/>
      <bottom/>
      <diagonal/>
    </border>
    <border>
      <left/>
      <right style="medium">
        <color rgb="FFC00000"/>
      </right>
      <top/>
      <bottom style="medium">
        <color rgb="FFC00000"/>
      </bottom>
      <diagonal/>
    </border>
    <border>
      <left/>
      <right style="thin">
        <color rgb="FFFF0000"/>
      </right>
      <top style="thin">
        <color rgb="FFFF0000"/>
      </top>
      <bottom style="thin">
        <color rgb="FFFF0000"/>
      </bottom>
      <diagonal/>
    </border>
    <border>
      <left style="thin">
        <color indexed="64"/>
      </left>
      <right style="thin">
        <color indexed="64"/>
      </right>
      <top style="thin">
        <color rgb="FFC00000"/>
      </top>
      <bottom/>
      <diagonal/>
    </border>
    <border>
      <left style="thin">
        <color indexed="64"/>
      </left>
      <right/>
      <top/>
      <bottom style="thin">
        <color rgb="FFC00000"/>
      </bottom>
      <diagonal/>
    </border>
    <border>
      <left style="hair">
        <color indexed="64"/>
      </left>
      <right style="hair">
        <color indexed="64"/>
      </right>
      <top style="hair">
        <color indexed="64"/>
      </top>
      <bottom style="hair">
        <color indexed="64"/>
      </bottom>
      <diagonal/>
    </border>
    <border>
      <left style="mediumDashDot">
        <color auto="1"/>
      </left>
      <right/>
      <top style="mediumDashDot">
        <color auto="1"/>
      </top>
      <bottom style="mediumDashDot">
        <color auto="1"/>
      </bottom>
      <diagonal/>
    </border>
    <border>
      <left/>
      <right/>
      <top style="mediumDashDot">
        <color auto="1"/>
      </top>
      <bottom style="mediumDashDot">
        <color auto="1"/>
      </bottom>
      <diagonal/>
    </border>
    <border>
      <left/>
      <right style="mediumDashed">
        <color indexed="64"/>
      </right>
      <top style="mediumDashed">
        <color indexed="64"/>
      </top>
      <bottom/>
      <diagonal/>
    </border>
    <border>
      <left/>
      <right style="mediumDashed">
        <color indexed="64"/>
      </right>
      <top/>
      <bottom style="mediumDashed">
        <color indexed="64"/>
      </bottom>
      <diagonal/>
    </border>
    <border>
      <left style="dashed">
        <color auto="1"/>
      </left>
      <right/>
      <top style="dashed">
        <color auto="1"/>
      </top>
      <bottom/>
      <diagonal/>
    </border>
    <border>
      <left/>
      <right/>
      <top style="dashed">
        <color auto="1"/>
      </top>
      <bottom/>
      <diagonal/>
    </border>
    <border>
      <left style="dashed">
        <color auto="1"/>
      </left>
      <right/>
      <top/>
      <bottom style="dashed">
        <color auto="1"/>
      </bottom>
      <diagonal/>
    </border>
    <border>
      <left/>
      <right/>
      <top/>
      <bottom style="dashed">
        <color auto="1"/>
      </bottom>
      <diagonal/>
    </border>
    <border>
      <left style="dashDotDot">
        <color auto="1"/>
      </left>
      <right/>
      <top style="dashDotDot">
        <color auto="1"/>
      </top>
      <bottom style="dashDotDot">
        <color auto="1"/>
      </bottom>
      <diagonal/>
    </border>
    <border>
      <left/>
      <right/>
      <top style="dashDotDot">
        <color auto="1"/>
      </top>
      <bottom style="dashDotDot">
        <color auto="1"/>
      </bottom>
      <diagonal/>
    </border>
    <border>
      <left style="dashDotDot">
        <color auto="1"/>
      </left>
      <right/>
      <top style="dashDotDot">
        <color auto="1"/>
      </top>
      <bottom/>
      <diagonal/>
    </border>
    <border>
      <left/>
      <right/>
      <top style="dashDotDot">
        <color auto="1"/>
      </top>
      <bottom/>
      <diagonal/>
    </border>
    <border>
      <left style="dashDotDot">
        <color auto="1"/>
      </left>
      <right/>
      <top/>
      <bottom/>
      <diagonal/>
    </border>
    <border>
      <left style="dashDotDot">
        <color auto="1"/>
      </left>
      <right/>
      <top/>
      <bottom style="dashDotDot">
        <color auto="1"/>
      </bottom>
      <diagonal/>
    </border>
    <border>
      <left/>
      <right/>
      <top/>
      <bottom style="dashDotDot">
        <color auto="1"/>
      </bottom>
      <diagonal/>
    </border>
    <border>
      <left style="dotted">
        <color auto="1"/>
      </left>
      <right/>
      <top style="dotted">
        <color auto="1"/>
      </top>
      <bottom style="dotted">
        <color auto="1"/>
      </bottom>
      <diagonal/>
    </border>
    <border>
      <left style="dash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mediumDashed">
        <color auto="1"/>
      </left>
      <right style="mediumDashed">
        <color auto="1"/>
      </right>
      <top style="mediumDashed">
        <color auto="1"/>
      </top>
      <bottom/>
      <diagonal/>
    </border>
    <border>
      <left style="mediumDashed">
        <color auto="1"/>
      </left>
      <right style="mediumDashed">
        <color auto="1"/>
      </right>
      <top/>
      <bottom style="mediumDashed">
        <color auto="1"/>
      </bottom>
      <diagonal/>
    </border>
    <border>
      <left/>
      <right style="thin">
        <color indexed="64"/>
      </right>
      <top/>
      <bottom style="double">
        <color indexed="64"/>
      </bottom>
      <diagonal/>
    </border>
    <border>
      <left style="medium">
        <color rgb="FF5C732F"/>
      </left>
      <right style="thin">
        <color indexed="64"/>
      </right>
      <top style="medium">
        <color rgb="FF5C732F"/>
      </top>
      <bottom/>
      <diagonal/>
    </border>
    <border>
      <left style="mediumDashed">
        <color indexed="64"/>
      </left>
      <right style="double">
        <color auto="1"/>
      </right>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mediumDashDot">
        <color auto="1"/>
      </left>
      <right/>
      <top/>
      <bottom/>
      <diagonal/>
    </border>
    <border>
      <left style="dotted">
        <color auto="1"/>
      </left>
      <right/>
      <top/>
      <bottom/>
      <diagonal/>
    </border>
    <border>
      <left/>
      <right style="dotted">
        <color auto="1"/>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top style="medium">
        <color indexed="64"/>
      </top>
      <bottom style="medium">
        <color indexed="64"/>
      </bottom>
      <diagonal/>
    </border>
    <border>
      <left style="double">
        <color auto="1"/>
      </left>
      <right style="medium">
        <color indexed="64"/>
      </right>
      <top style="medium">
        <color indexed="64"/>
      </top>
      <bottom style="medium">
        <color indexed="64"/>
      </bottom>
      <diagonal/>
    </border>
    <border>
      <left/>
      <right/>
      <top style="hair">
        <color auto="1"/>
      </top>
      <bottom/>
      <diagonal/>
    </border>
    <border>
      <left/>
      <right/>
      <top/>
      <bottom style="hair">
        <color auto="1"/>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medium">
        <color rgb="FF000000"/>
      </left>
      <right/>
      <top/>
      <bottom/>
      <diagonal/>
    </border>
    <border>
      <left style="mediumDashed">
        <color rgb="FF000000"/>
      </left>
      <right/>
      <top/>
      <bottom style="medium">
        <color rgb="FF000000"/>
      </bottom>
      <diagonal/>
    </border>
    <border>
      <left/>
      <right/>
      <top/>
      <bottom style="medium">
        <color rgb="FF000000"/>
      </bottom>
      <diagonal/>
    </border>
    <border>
      <left style="medium">
        <color rgb="FF000000"/>
      </left>
      <right/>
      <top style="medium">
        <color rgb="FF000000"/>
      </top>
      <bottom/>
      <diagonal/>
    </border>
    <border>
      <left style="mediumDashed">
        <color rgb="FF000000"/>
      </left>
      <right/>
      <top/>
      <bottom style="thin">
        <color rgb="FF000000"/>
      </bottom>
      <diagonal/>
    </border>
    <border>
      <left/>
      <right/>
      <top style="thin">
        <color rgb="FF000000"/>
      </top>
      <bottom style="thin">
        <color indexed="64"/>
      </bottom>
      <diagonal/>
    </border>
    <border>
      <left style="dashed">
        <color indexed="64"/>
      </left>
      <right/>
      <top/>
      <bottom/>
      <diagonal/>
    </border>
    <border>
      <left style="hair">
        <color auto="1"/>
      </left>
      <right/>
      <top style="hair">
        <color auto="1"/>
      </top>
      <bottom/>
      <diagonal/>
    </border>
    <border>
      <left style="hair">
        <color auto="1"/>
      </left>
      <right/>
      <top/>
      <bottom style="hair">
        <color auto="1"/>
      </bottom>
      <diagonal/>
    </border>
    <border>
      <left style="dashed">
        <color indexed="64"/>
      </left>
      <right/>
      <top style="dashed">
        <color indexed="64"/>
      </top>
      <bottom style="thin">
        <color indexed="64"/>
      </bottom>
      <diagonal/>
    </border>
    <border>
      <left style="thin">
        <color auto="1"/>
      </left>
      <right/>
      <top/>
      <bottom/>
      <diagonal/>
    </border>
    <border>
      <left style="thin">
        <color auto="1"/>
      </left>
      <right style="thin">
        <color auto="1"/>
      </right>
      <top/>
      <bottom/>
      <diagonal/>
    </border>
    <border>
      <left style="medium">
        <color rgb="FFC00000"/>
      </left>
      <right style="thin">
        <color indexed="64"/>
      </right>
      <top style="medium">
        <color rgb="FFC00000"/>
      </top>
      <bottom/>
      <diagonal/>
    </border>
    <border>
      <left style="thin">
        <color indexed="64"/>
      </left>
      <right style="medium">
        <color rgb="FFC00000"/>
      </right>
      <top style="medium">
        <color rgb="FFC00000"/>
      </top>
      <bottom/>
      <diagonal/>
    </border>
    <border>
      <left style="medium">
        <color rgb="FFC00000"/>
      </left>
      <right style="thin">
        <color indexed="64"/>
      </right>
      <top/>
      <bottom style="medium">
        <color rgb="FFC00000"/>
      </bottom>
      <diagonal/>
    </border>
    <border>
      <left style="thin">
        <color indexed="64"/>
      </left>
      <right style="medium">
        <color rgb="FFC00000"/>
      </right>
      <top/>
      <bottom style="medium">
        <color rgb="FFC00000"/>
      </bottom>
      <diagonal/>
    </border>
    <border>
      <left/>
      <right/>
      <top style="thin">
        <color auto="1"/>
      </top>
      <bottom/>
      <diagonal/>
    </border>
    <border>
      <left/>
      <right style="mediumDashDot">
        <color auto="1"/>
      </right>
      <top style="thin">
        <color auto="1"/>
      </top>
      <bottom/>
      <diagonal/>
    </border>
    <border>
      <left style="thin">
        <color auto="1"/>
      </left>
      <right/>
      <top style="thin">
        <color auto="1"/>
      </top>
      <bottom/>
      <diagonal/>
    </border>
    <border>
      <left/>
      <right style="mediumDashDot">
        <color auto="1"/>
      </right>
      <top style="thin">
        <color rgb="FFFF0000"/>
      </top>
      <bottom style="thin">
        <color rgb="FFFF000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Dashed">
        <color indexed="64"/>
      </left>
      <right style="thin">
        <color indexed="64"/>
      </right>
      <top style="mediumDashed">
        <color indexed="64"/>
      </top>
      <bottom/>
      <diagonal/>
    </border>
    <border>
      <left style="mediumDashDot">
        <color auto="1"/>
      </left>
      <right style="thin">
        <color indexed="64"/>
      </right>
      <top/>
      <bottom/>
      <diagonal/>
    </border>
    <border>
      <left style="mediumDashed">
        <color indexed="64"/>
      </left>
      <right style="thin">
        <color indexed="64"/>
      </right>
      <top/>
      <bottom style="mediumDashed">
        <color indexed="64"/>
      </bottom>
      <diagonal/>
    </border>
    <border>
      <left/>
      <right style="thin">
        <color indexed="64"/>
      </right>
      <top style="mediumDashed">
        <color auto="1"/>
      </top>
      <bottom style="mediumDashed">
        <color auto="1"/>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rgb="FFD9D9D9"/>
      </left>
      <right style="medium">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right/>
      <top style="medium">
        <color rgb="FFD9D9D9"/>
      </top>
      <bottom/>
      <diagonal/>
    </border>
    <border>
      <left/>
      <right/>
      <top/>
      <bottom style="medium">
        <color rgb="FFD9D9D9"/>
      </bottom>
      <diagonal/>
    </border>
    <border>
      <left style="medium">
        <color rgb="FFD9D9D9"/>
      </left>
      <right style="medium">
        <color rgb="FFD9D9D9"/>
      </right>
      <top/>
      <bottom style="medium">
        <color rgb="FFD9D9D9"/>
      </bottom>
      <diagonal/>
    </border>
    <border>
      <left style="medium">
        <color rgb="FFD9D9D9"/>
      </left>
      <right/>
      <top style="medium">
        <color rgb="FFD9D9D9"/>
      </top>
      <bottom style="medium">
        <color rgb="FFD9D9D9"/>
      </bottom>
      <diagonal/>
    </border>
    <border>
      <left/>
      <right style="medium">
        <color rgb="FFD9D9D9"/>
      </right>
      <top/>
      <bottom style="medium">
        <color rgb="FFD9D9D9"/>
      </bottom>
      <diagonal/>
    </border>
    <border>
      <left/>
      <right/>
      <top/>
      <bottom style="thick">
        <color rgb="FFD9D9D9"/>
      </bottom>
      <diagonal/>
    </border>
    <border>
      <left style="thin">
        <color indexed="64"/>
      </left>
      <right/>
      <top/>
      <bottom style="hair">
        <color indexed="64"/>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style="thick">
        <color auto="1"/>
      </top>
      <bottom style="thin">
        <color auto="1"/>
      </bottom>
      <diagonal/>
    </border>
    <border>
      <left/>
      <right/>
      <top/>
      <bottom style="thick">
        <color auto="1"/>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22">
    <xf numFmtId="0" fontId="0" fillId="0" borderId="0"/>
    <xf numFmtId="165" fontId="5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70" fontId="6" fillId="0" borderId="0" applyFont="0" applyFill="0" applyBorder="0" applyAlignment="0" applyProtection="0"/>
    <xf numFmtId="0" fontId="58" fillId="0" borderId="0"/>
    <xf numFmtId="0" fontId="59" fillId="0" borderId="0"/>
    <xf numFmtId="0" fontId="56" fillId="0" borderId="0"/>
    <xf numFmtId="0" fontId="6" fillId="0" borderId="0"/>
    <xf numFmtId="0" fontId="29" fillId="0" borderId="0">
      <alignment vertical="top"/>
    </xf>
    <xf numFmtId="0" fontId="6" fillId="0" borderId="0"/>
    <xf numFmtId="0" fontId="10" fillId="0" borderId="0" applyFill="0" applyBorder="0" applyProtection="0">
      <alignment horizontal="right"/>
    </xf>
    <xf numFmtId="9" fontId="56" fillId="0" borderId="0" applyFont="0" applyFill="0" applyBorder="0" applyAlignment="0" applyProtection="0"/>
    <xf numFmtId="9" fontId="6" fillId="0" borderId="0" applyFont="0" applyFill="0" applyBorder="0" applyAlignment="0" applyProtection="0"/>
    <xf numFmtId="0" fontId="269" fillId="0" borderId="0"/>
    <xf numFmtId="0" fontId="56" fillId="0" borderId="0"/>
    <xf numFmtId="0" fontId="280" fillId="0" borderId="0"/>
    <xf numFmtId="164" fontId="56" fillId="0" borderId="0" applyFont="0" applyFill="0" applyBorder="0" applyAlignment="0" applyProtection="0"/>
    <xf numFmtId="0" fontId="204" fillId="0" borderId="0">
      <alignment vertical="top"/>
    </xf>
    <xf numFmtId="165" fontId="56" fillId="0" borderId="0" applyFont="0" applyFill="0" applyBorder="0" applyAlignment="0" applyProtection="0"/>
    <xf numFmtId="165" fontId="5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4" fontId="56" fillId="0" borderId="0" applyFont="0" applyFill="0" applyBorder="0" applyAlignment="0" applyProtection="0"/>
    <xf numFmtId="165" fontId="56" fillId="0" borderId="0" applyFont="0" applyFill="0" applyBorder="0" applyAlignment="0" applyProtection="0"/>
    <xf numFmtId="41" fontId="56" fillId="0" borderId="0" applyFont="0" applyFill="0" applyBorder="0" applyAlignment="0" applyProtection="0"/>
    <xf numFmtId="0" fontId="29" fillId="0" borderId="0">
      <alignment vertical="top"/>
    </xf>
    <xf numFmtId="165" fontId="29" fillId="0" borderId="0" applyFont="0" applyFill="0" applyBorder="0" applyAlignment="0" applyProtection="0">
      <alignment vertical="top"/>
    </xf>
    <xf numFmtId="43" fontId="56" fillId="0" borderId="0" applyFont="0" applyFill="0" applyBorder="0" applyAlignment="0" applyProtection="0"/>
    <xf numFmtId="190" fontId="56" fillId="0" borderId="0" applyFont="0" applyFill="0" applyBorder="0" applyAlignment="0" applyProtection="0"/>
    <xf numFmtId="0" fontId="371" fillId="0" borderId="0"/>
    <xf numFmtId="41" fontId="371" fillId="0" borderId="0" applyFont="0" applyFill="0" applyBorder="0" applyAlignment="0" applyProtection="0">
      <alignment vertical="center"/>
    </xf>
    <xf numFmtId="43" fontId="6" fillId="0" borderId="0" applyFont="0" applyFill="0" applyBorder="0" applyAlignment="0" applyProtection="0"/>
    <xf numFmtId="0" fontId="59" fillId="0" borderId="0"/>
    <xf numFmtId="43" fontId="59" fillId="0" borderId="0" applyFont="0" applyFill="0" applyBorder="0" applyAlignment="0" applyProtection="0"/>
    <xf numFmtId="0" fontId="374" fillId="0" borderId="0"/>
    <xf numFmtId="0" fontId="6" fillId="0" borderId="0"/>
    <xf numFmtId="0" fontId="373" fillId="0" borderId="0"/>
    <xf numFmtId="9" fontId="59" fillId="0" borderId="0" applyFont="0" applyFill="0" applyBorder="0" applyAlignment="0" applyProtection="0"/>
    <xf numFmtId="0" fontId="373" fillId="0" borderId="0"/>
    <xf numFmtId="0" fontId="6" fillId="0" borderId="0"/>
    <xf numFmtId="0" fontId="56" fillId="114" borderId="0" applyNumberFormat="0" applyBorder="0" applyAlignment="0" applyProtection="0"/>
    <xf numFmtId="0" fontId="56" fillId="114" borderId="0" applyNumberFormat="0" applyBorder="0" applyAlignment="0" applyProtection="0"/>
    <xf numFmtId="0" fontId="56" fillId="114" borderId="0" applyNumberFormat="0" applyBorder="0" applyAlignment="0" applyProtection="0"/>
    <xf numFmtId="0" fontId="56" fillId="114" borderId="0" applyNumberFormat="0" applyBorder="0" applyAlignment="0" applyProtection="0"/>
    <xf numFmtId="0" fontId="56" fillId="118" borderId="0" applyNumberFormat="0" applyBorder="0" applyAlignment="0" applyProtection="0"/>
    <xf numFmtId="0" fontId="56" fillId="118" borderId="0" applyNumberFormat="0" applyBorder="0" applyAlignment="0" applyProtection="0"/>
    <xf numFmtId="0" fontId="56" fillId="118" borderId="0" applyNumberFormat="0" applyBorder="0" applyAlignment="0" applyProtection="0"/>
    <xf numFmtId="0" fontId="56" fillId="118" borderId="0" applyNumberFormat="0" applyBorder="0" applyAlignment="0" applyProtection="0"/>
    <xf numFmtId="0" fontId="56" fillId="122" borderId="0" applyNumberFormat="0" applyBorder="0" applyAlignment="0" applyProtection="0"/>
    <xf numFmtId="0" fontId="56" fillId="122" borderId="0" applyNumberFormat="0" applyBorder="0" applyAlignment="0" applyProtection="0"/>
    <xf numFmtId="0" fontId="56" fillId="122" borderId="0" applyNumberFormat="0" applyBorder="0" applyAlignment="0" applyProtection="0"/>
    <xf numFmtId="0" fontId="56" fillId="122" borderId="0" applyNumberFormat="0" applyBorder="0" applyAlignment="0" applyProtection="0"/>
    <xf numFmtId="0" fontId="56" fillId="126" borderId="0" applyNumberFormat="0" applyBorder="0" applyAlignment="0" applyProtection="0"/>
    <xf numFmtId="0" fontId="56" fillId="126" borderId="0" applyNumberFormat="0" applyBorder="0" applyAlignment="0" applyProtection="0"/>
    <xf numFmtId="0" fontId="56" fillId="126" borderId="0" applyNumberFormat="0" applyBorder="0" applyAlignment="0" applyProtection="0"/>
    <xf numFmtId="0" fontId="56" fillId="126" borderId="0" applyNumberFormat="0" applyBorder="0" applyAlignment="0" applyProtection="0"/>
    <xf numFmtId="0" fontId="56" fillId="130" borderId="0" applyNumberFormat="0" applyBorder="0" applyAlignment="0" applyProtection="0"/>
    <xf numFmtId="0" fontId="56" fillId="130" borderId="0" applyNumberFormat="0" applyBorder="0" applyAlignment="0" applyProtection="0"/>
    <xf numFmtId="0" fontId="56" fillId="130" borderId="0" applyNumberFormat="0" applyBorder="0" applyAlignment="0" applyProtection="0"/>
    <xf numFmtId="0" fontId="56" fillId="130" borderId="0" applyNumberFormat="0" applyBorder="0" applyAlignment="0" applyProtection="0"/>
    <xf numFmtId="0" fontId="56" fillId="134" borderId="0" applyNumberFormat="0" applyBorder="0" applyAlignment="0" applyProtection="0"/>
    <xf numFmtId="0" fontId="56" fillId="134" borderId="0" applyNumberFormat="0" applyBorder="0" applyAlignment="0" applyProtection="0"/>
    <xf numFmtId="0" fontId="56" fillId="134" borderId="0" applyNumberFormat="0" applyBorder="0" applyAlignment="0" applyProtection="0"/>
    <xf numFmtId="0" fontId="56" fillId="134" borderId="0" applyNumberFormat="0" applyBorder="0" applyAlignment="0" applyProtection="0"/>
    <xf numFmtId="0" fontId="56" fillId="115" borderId="0" applyNumberFormat="0" applyBorder="0" applyAlignment="0" applyProtection="0"/>
    <xf numFmtId="0" fontId="56" fillId="115" borderId="0" applyNumberFormat="0" applyBorder="0" applyAlignment="0" applyProtection="0"/>
    <xf numFmtId="0" fontId="56" fillId="115" borderId="0" applyNumberFormat="0" applyBorder="0" applyAlignment="0" applyProtection="0"/>
    <xf numFmtId="0" fontId="56" fillId="115" borderId="0" applyNumberFormat="0" applyBorder="0" applyAlignment="0" applyProtection="0"/>
    <xf numFmtId="0" fontId="56" fillId="119" borderId="0" applyNumberFormat="0" applyBorder="0" applyAlignment="0" applyProtection="0"/>
    <xf numFmtId="0" fontId="56" fillId="119" borderId="0" applyNumberFormat="0" applyBorder="0" applyAlignment="0" applyProtection="0"/>
    <xf numFmtId="0" fontId="56" fillId="119" borderId="0" applyNumberFormat="0" applyBorder="0" applyAlignment="0" applyProtection="0"/>
    <xf numFmtId="0" fontId="56" fillId="119" borderId="0" applyNumberFormat="0" applyBorder="0" applyAlignment="0" applyProtection="0"/>
    <xf numFmtId="0" fontId="56" fillId="123" borderId="0" applyNumberFormat="0" applyBorder="0" applyAlignment="0" applyProtection="0"/>
    <xf numFmtId="0" fontId="56" fillId="123" borderId="0" applyNumberFormat="0" applyBorder="0" applyAlignment="0" applyProtection="0"/>
    <xf numFmtId="0" fontId="56" fillId="123" borderId="0" applyNumberFormat="0" applyBorder="0" applyAlignment="0" applyProtection="0"/>
    <xf numFmtId="0" fontId="56" fillId="123" borderId="0" applyNumberFormat="0" applyBorder="0" applyAlignment="0" applyProtection="0"/>
    <xf numFmtId="0" fontId="56" fillId="127" borderId="0" applyNumberFormat="0" applyBorder="0" applyAlignment="0" applyProtection="0"/>
    <xf numFmtId="0" fontId="56" fillId="127" borderId="0" applyNumberFormat="0" applyBorder="0" applyAlignment="0" applyProtection="0"/>
    <xf numFmtId="0" fontId="56" fillId="127" borderId="0" applyNumberFormat="0" applyBorder="0" applyAlignment="0" applyProtection="0"/>
    <xf numFmtId="0" fontId="56" fillId="127" borderId="0" applyNumberFormat="0" applyBorder="0" applyAlignment="0" applyProtection="0"/>
    <xf numFmtId="0" fontId="56" fillId="131" borderId="0" applyNumberFormat="0" applyBorder="0" applyAlignment="0" applyProtection="0"/>
    <xf numFmtId="0" fontId="56" fillId="131" borderId="0" applyNumberFormat="0" applyBorder="0" applyAlignment="0" applyProtection="0"/>
    <xf numFmtId="0" fontId="56" fillId="131" borderId="0" applyNumberFormat="0" applyBorder="0" applyAlignment="0" applyProtection="0"/>
    <xf numFmtId="0" fontId="56" fillId="131" borderId="0" applyNumberFormat="0" applyBorder="0" applyAlignment="0" applyProtection="0"/>
    <xf numFmtId="0" fontId="56" fillId="135" borderId="0" applyNumberFormat="0" applyBorder="0" applyAlignment="0" applyProtection="0"/>
    <xf numFmtId="0" fontId="56" fillId="135" borderId="0" applyNumberFormat="0" applyBorder="0" applyAlignment="0" applyProtection="0"/>
    <xf numFmtId="0" fontId="56" fillId="135" borderId="0" applyNumberFormat="0" applyBorder="0" applyAlignment="0" applyProtection="0"/>
    <xf numFmtId="0" fontId="56" fillId="135" borderId="0" applyNumberFormat="0" applyBorder="0" applyAlignment="0" applyProtection="0"/>
    <xf numFmtId="0" fontId="370" fillId="116" borderId="0" applyNumberFormat="0" applyBorder="0" applyAlignment="0" applyProtection="0"/>
    <xf numFmtId="0" fontId="370" fillId="120" borderId="0" applyNumberFormat="0" applyBorder="0" applyAlignment="0" applyProtection="0"/>
    <xf numFmtId="0" fontId="370" fillId="124" borderId="0" applyNumberFormat="0" applyBorder="0" applyAlignment="0" applyProtection="0"/>
    <xf numFmtId="0" fontId="370" fillId="128" borderId="0" applyNumberFormat="0" applyBorder="0" applyAlignment="0" applyProtection="0"/>
    <xf numFmtId="0" fontId="370" fillId="132" borderId="0" applyNumberFormat="0" applyBorder="0" applyAlignment="0" applyProtection="0"/>
    <xf numFmtId="0" fontId="370" fillId="136" borderId="0" applyNumberFormat="0" applyBorder="0" applyAlignment="0" applyProtection="0"/>
    <xf numFmtId="0" fontId="370" fillId="113" borderId="0" applyNumberFormat="0" applyBorder="0" applyAlignment="0" applyProtection="0"/>
    <xf numFmtId="0" fontId="370" fillId="117" borderId="0" applyNumberFormat="0" applyBorder="0" applyAlignment="0" applyProtection="0"/>
    <xf numFmtId="0" fontId="370" fillId="121" borderId="0" applyNumberFormat="0" applyBorder="0" applyAlignment="0" applyProtection="0"/>
    <xf numFmtId="0" fontId="370" fillId="125" borderId="0" applyNumberFormat="0" applyBorder="0" applyAlignment="0" applyProtection="0"/>
    <xf numFmtId="0" fontId="370" fillId="129" borderId="0" applyNumberFormat="0" applyBorder="0" applyAlignment="0" applyProtection="0"/>
    <xf numFmtId="0" fontId="370" fillId="133" borderId="0" applyNumberFormat="0" applyBorder="0" applyAlignment="0" applyProtection="0"/>
    <xf numFmtId="0" fontId="363" fillId="107" borderId="0" applyNumberFormat="0" applyBorder="0" applyAlignment="0" applyProtection="0"/>
    <xf numFmtId="0" fontId="366" fillId="110" borderId="210" applyNumberFormat="0" applyAlignment="0" applyProtection="0"/>
    <xf numFmtId="0" fontId="368" fillId="111" borderId="213" applyNumberFormat="0" applyAlignment="0" applyProtection="0"/>
    <xf numFmtId="43" fontId="6" fillId="0" borderId="0" applyFont="0" applyFill="0" applyBorder="0" applyAlignment="0" applyProtection="0"/>
    <xf numFmtId="190" fontId="6" fillId="0" borderId="0" applyFont="0" applyFill="0" applyBorder="0" applyAlignment="0" applyProtection="0"/>
    <xf numFmtId="0" fontId="369" fillId="0" borderId="0" applyNumberFormat="0" applyFill="0" applyBorder="0" applyAlignment="0" applyProtection="0"/>
    <xf numFmtId="0" fontId="362" fillId="106" borderId="0" applyNumberFormat="0" applyBorder="0" applyAlignment="0" applyProtection="0"/>
    <xf numFmtId="0" fontId="360" fillId="0" borderId="207" applyNumberFormat="0" applyFill="0" applyAlignment="0" applyProtection="0"/>
    <xf numFmtId="0" fontId="361" fillId="0" borderId="208" applyNumberFormat="0" applyFill="0" applyAlignment="0" applyProtection="0"/>
    <xf numFmtId="0" fontId="57" fillId="0" borderId="209" applyNumberFormat="0" applyFill="0" applyAlignment="0" applyProtection="0"/>
    <xf numFmtId="0" fontId="57" fillId="0" borderId="0" applyNumberFormat="0" applyFill="0" applyBorder="0" applyAlignment="0" applyProtection="0"/>
    <xf numFmtId="0" fontId="364" fillId="109" borderId="210" applyNumberFormat="0" applyAlignment="0" applyProtection="0"/>
    <xf numFmtId="0" fontId="367" fillId="0" borderId="212" applyNumberFormat="0" applyFill="0" applyAlignment="0" applyProtection="0"/>
    <xf numFmtId="0" fontId="372" fillId="108" borderId="0" applyNumberFormat="0" applyBorder="0" applyAlignment="0" applyProtection="0"/>
    <xf numFmtId="0" fontId="6" fillId="0" borderId="0"/>
    <xf numFmtId="0" fontId="6" fillId="0" borderId="0"/>
    <xf numFmtId="0" fontId="56" fillId="112" borderId="214" applyNumberFormat="0" applyFont="0" applyAlignment="0" applyProtection="0"/>
    <xf numFmtId="0" fontId="56" fillId="112" borderId="214" applyNumberFormat="0" applyFont="0" applyAlignment="0" applyProtection="0"/>
    <xf numFmtId="0" fontId="56" fillId="112" borderId="214" applyNumberFormat="0" applyFont="0" applyAlignment="0" applyProtection="0"/>
    <xf numFmtId="0" fontId="56" fillId="112" borderId="214" applyNumberFormat="0" applyFont="0" applyAlignment="0" applyProtection="0"/>
    <xf numFmtId="0" fontId="365" fillId="110" borderId="211" applyNumberFormat="0" applyAlignment="0" applyProtection="0"/>
    <xf numFmtId="9" fontId="6" fillId="0" borderId="0" applyFont="0" applyFill="0" applyBorder="0" applyAlignment="0" applyProtection="0"/>
    <xf numFmtId="0" fontId="375" fillId="0" borderId="0" applyNumberFormat="0" applyFill="0" applyBorder="0" applyAlignment="0" applyProtection="0"/>
    <xf numFmtId="0" fontId="60" fillId="0" borderId="215" applyNumberFormat="0" applyFill="0" applyAlignment="0" applyProtection="0"/>
    <xf numFmtId="0" fontId="61" fillId="0" borderId="0" applyNumberFormat="0" applyFill="0" applyBorder="0" applyAlignment="0" applyProtection="0"/>
    <xf numFmtId="0" fontId="6" fillId="0" borderId="0"/>
    <xf numFmtId="0" fontId="373" fillId="0" borderId="0"/>
    <xf numFmtId="0" fontId="373" fillId="0" borderId="0"/>
    <xf numFmtId="0" fontId="373" fillId="0" borderId="0"/>
    <xf numFmtId="0" fontId="59" fillId="0" borderId="0"/>
    <xf numFmtId="0" fontId="373" fillId="0" borderId="0"/>
    <xf numFmtId="0" fontId="56" fillId="0" borderId="0"/>
    <xf numFmtId="0" fontId="56" fillId="0" borderId="0"/>
    <xf numFmtId="0" fontId="56" fillId="0" borderId="0"/>
    <xf numFmtId="0" fontId="56" fillId="0" borderId="0"/>
    <xf numFmtId="0" fontId="56" fillId="0" borderId="0"/>
    <xf numFmtId="0" fontId="373" fillId="0" borderId="0"/>
    <xf numFmtId="0" fontId="56" fillId="114" borderId="0" applyNumberFormat="0" applyBorder="0" applyAlignment="0" applyProtection="0"/>
    <xf numFmtId="0" fontId="56" fillId="114" borderId="0" applyNumberFormat="0" applyBorder="0" applyAlignment="0" applyProtection="0"/>
    <xf numFmtId="0" fontId="56" fillId="114" borderId="0" applyNumberFormat="0" applyBorder="0" applyAlignment="0" applyProtection="0"/>
    <xf numFmtId="0" fontId="56" fillId="114" borderId="0" applyNumberFormat="0" applyBorder="0" applyAlignment="0" applyProtection="0"/>
    <xf numFmtId="0" fontId="56" fillId="118" borderId="0" applyNumberFormat="0" applyBorder="0" applyAlignment="0" applyProtection="0"/>
    <xf numFmtId="0" fontId="56" fillId="118" borderId="0" applyNumberFormat="0" applyBorder="0" applyAlignment="0" applyProtection="0"/>
    <xf numFmtId="0" fontId="56" fillId="118" borderId="0" applyNumberFormat="0" applyBorder="0" applyAlignment="0" applyProtection="0"/>
    <xf numFmtId="0" fontId="56" fillId="118" borderId="0" applyNumberFormat="0" applyBorder="0" applyAlignment="0" applyProtection="0"/>
    <xf numFmtId="0" fontId="56" fillId="122" borderId="0" applyNumberFormat="0" applyBorder="0" applyAlignment="0" applyProtection="0"/>
    <xf numFmtId="0" fontId="56" fillId="122" borderId="0" applyNumberFormat="0" applyBorder="0" applyAlignment="0" applyProtection="0"/>
    <xf numFmtId="0" fontId="56" fillId="122" borderId="0" applyNumberFormat="0" applyBorder="0" applyAlignment="0" applyProtection="0"/>
    <xf numFmtId="0" fontId="56" fillId="122" borderId="0" applyNumberFormat="0" applyBorder="0" applyAlignment="0" applyProtection="0"/>
    <xf numFmtId="0" fontId="56" fillId="126" borderId="0" applyNumberFormat="0" applyBorder="0" applyAlignment="0" applyProtection="0"/>
    <xf numFmtId="0" fontId="56" fillId="126" borderId="0" applyNumberFormat="0" applyBorder="0" applyAlignment="0" applyProtection="0"/>
    <xf numFmtId="0" fontId="56" fillId="126" borderId="0" applyNumberFormat="0" applyBorder="0" applyAlignment="0" applyProtection="0"/>
    <xf numFmtId="0" fontId="56" fillId="126" borderId="0" applyNumberFormat="0" applyBorder="0" applyAlignment="0" applyProtection="0"/>
    <xf numFmtId="0" fontId="56" fillId="130" borderId="0" applyNumberFormat="0" applyBorder="0" applyAlignment="0" applyProtection="0"/>
    <xf numFmtId="0" fontId="56" fillId="130" borderId="0" applyNumberFormat="0" applyBorder="0" applyAlignment="0" applyProtection="0"/>
    <xf numFmtId="0" fontId="56" fillId="130" borderId="0" applyNumberFormat="0" applyBorder="0" applyAlignment="0" applyProtection="0"/>
    <xf numFmtId="0" fontId="56" fillId="130" borderId="0" applyNumberFormat="0" applyBorder="0" applyAlignment="0" applyProtection="0"/>
    <xf numFmtId="0" fontId="56" fillId="134" borderId="0" applyNumberFormat="0" applyBorder="0" applyAlignment="0" applyProtection="0"/>
    <xf numFmtId="0" fontId="56" fillId="134" borderId="0" applyNumberFormat="0" applyBorder="0" applyAlignment="0" applyProtection="0"/>
    <xf numFmtId="0" fontId="56" fillId="134" borderId="0" applyNumberFormat="0" applyBorder="0" applyAlignment="0" applyProtection="0"/>
    <xf numFmtId="0" fontId="56" fillId="134" borderId="0" applyNumberFormat="0" applyBorder="0" applyAlignment="0" applyProtection="0"/>
    <xf numFmtId="0" fontId="56" fillId="115" borderId="0" applyNumberFormat="0" applyBorder="0" applyAlignment="0" applyProtection="0"/>
    <xf numFmtId="0" fontId="56" fillId="115" borderId="0" applyNumberFormat="0" applyBorder="0" applyAlignment="0" applyProtection="0"/>
    <xf numFmtId="0" fontId="56" fillId="115" borderId="0" applyNumberFormat="0" applyBorder="0" applyAlignment="0" applyProtection="0"/>
    <xf numFmtId="0" fontId="56" fillId="115" borderId="0" applyNumberFormat="0" applyBorder="0" applyAlignment="0" applyProtection="0"/>
    <xf numFmtId="0" fontId="56" fillId="119" borderId="0" applyNumberFormat="0" applyBorder="0" applyAlignment="0" applyProtection="0"/>
    <xf numFmtId="0" fontId="56" fillId="119" borderId="0" applyNumberFormat="0" applyBorder="0" applyAlignment="0" applyProtection="0"/>
    <xf numFmtId="0" fontId="56" fillId="119" borderId="0" applyNumberFormat="0" applyBorder="0" applyAlignment="0" applyProtection="0"/>
    <xf numFmtId="0" fontId="56" fillId="119" borderId="0" applyNumberFormat="0" applyBorder="0" applyAlignment="0" applyProtection="0"/>
    <xf numFmtId="0" fontId="56" fillId="123" borderId="0" applyNumberFormat="0" applyBorder="0" applyAlignment="0" applyProtection="0"/>
    <xf numFmtId="0" fontId="56" fillId="123" borderId="0" applyNumberFormat="0" applyBorder="0" applyAlignment="0" applyProtection="0"/>
    <xf numFmtId="0" fontId="56" fillId="123" borderId="0" applyNumberFormat="0" applyBorder="0" applyAlignment="0" applyProtection="0"/>
    <xf numFmtId="0" fontId="56" fillId="123" borderId="0" applyNumberFormat="0" applyBorder="0" applyAlignment="0" applyProtection="0"/>
    <xf numFmtId="0" fontId="56" fillId="127" borderId="0" applyNumberFormat="0" applyBorder="0" applyAlignment="0" applyProtection="0"/>
    <xf numFmtId="0" fontId="56" fillId="127" borderId="0" applyNumberFormat="0" applyBorder="0" applyAlignment="0" applyProtection="0"/>
    <xf numFmtId="0" fontId="56" fillId="127" borderId="0" applyNumberFormat="0" applyBorder="0" applyAlignment="0" applyProtection="0"/>
    <xf numFmtId="0" fontId="56" fillId="127" borderId="0" applyNumberFormat="0" applyBorder="0" applyAlignment="0" applyProtection="0"/>
    <xf numFmtId="0" fontId="56" fillId="131" borderId="0" applyNumberFormat="0" applyBorder="0" applyAlignment="0" applyProtection="0"/>
    <xf numFmtId="0" fontId="56" fillId="131" borderId="0" applyNumberFormat="0" applyBorder="0" applyAlignment="0" applyProtection="0"/>
    <xf numFmtId="0" fontId="56" fillId="131" borderId="0" applyNumberFormat="0" applyBorder="0" applyAlignment="0" applyProtection="0"/>
    <xf numFmtId="0" fontId="56" fillId="131" borderId="0" applyNumberFormat="0" applyBorder="0" applyAlignment="0" applyProtection="0"/>
    <xf numFmtId="0" fontId="56" fillId="135" borderId="0" applyNumberFormat="0" applyBorder="0" applyAlignment="0" applyProtection="0"/>
    <xf numFmtId="0" fontId="56" fillId="135" borderId="0" applyNumberFormat="0" applyBorder="0" applyAlignment="0" applyProtection="0"/>
    <xf numFmtId="0" fontId="56" fillId="135" borderId="0" applyNumberFormat="0" applyBorder="0" applyAlignment="0" applyProtection="0"/>
    <xf numFmtId="0" fontId="56" fillId="135" borderId="0" applyNumberFormat="0" applyBorder="0" applyAlignment="0" applyProtection="0"/>
    <xf numFmtId="0" fontId="56" fillId="112" borderId="214" applyNumberFormat="0" applyFont="0" applyAlignment="0" applyProtection="0"/>
    <xf numFmtId="0" fontId="56" fillId="112" borderId="214" applyNumberFormat="0" applyFont="0" applyAlignment="0" applyProtection="0"/>
    <xf numFmtId="0" fontId="56" fillId="112" borderId="214" applyNumberFormat="0" applyFont="0" applyAlignment="0" applyProtection="0"/>
    <xf numFmtId="0" fontId="56" fillId="112" borderId="214" applyNumberFormat="0" applyFont="0" applyAlignment="0" applyProtection="0"/>
    <xf numFmtId="0" fontId="373" fillId="0" borderId="0"/>
    <xf numFmtId="0" fontId="373" fillId="0" borderId="0"/>
    <xf numFmtId="0" fontId="373" fillId="0" borderId="0"/>
    <xf numFmtId="0" fontId="56" fillId="0" borderId="0"/>
    <xf numFmtId="0" fontId="56" fillId="0" borderId="0"/>
    <xf numFmtId="0" fontId="56" fillId="0" borderId="0"/>
    <xf numFmtId="0" fontId="56" fillId="0" borderId="0"/>
    <xf numFmtId="0" fontId="56" fillId="0" borderId="0"/>
    <xf numFmtId="0" fontId="59" fillId="0" borderId="0"/>
    <xf numFmtId="0" fontId="56" fillId="0" borderId="0"/>
    <xf numFmtId="43" fontId="6" fillId="0" borderId="0" applyFont="0" applyFill="0" applyBorder="0" applyAlignment="0" applyProtection="0"/>
    <xf numFmtId="43" fontId="5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1" fontId="56" fillId="0" borderId="0" applyFont="0" applyFill="0" applyBorder="0" applyAlignment="0" applyProtection="0"/>
    <xf numFmtId="41" fontId="56" fillId="0" borderId="0" applyFont="0" applyFill="0" applyBorder="0" applyAlignment="0" applyProtection="0"/>
    <xf numFmtId="0" fontId="6" fillId="0" borderId="0"/>
    <xf numFmtId="0" fontId="10" fillId="0" borderId="0"/>
    <xf numFmtId="0" fontId="3" fillId="0" borderId="0"/>
    <xf numFmtId="0" fontId="10" fillId="0" borderId="0"/>
    <xf numFmtId="9" fontId="10" fillId="0" borderId="0" applyFont="0" applyFill="0" applyBorder="0" applyAlignment="0" applyProtection="0"/>
  </cellStyleXfs>
  <cellXfs count="3199">
    <xf numFmtId="0" fontId="0" fillId="0" borderId="0" xfId="0"/>
    <xf numFmtId="0" fontId="59" fillId="0" borderId="0" xfId="0" applyFont="1"/>
    <xf numFmtId="0" fontId="0" fillId="0" borderId="0" xfId="0" applyAlignment="1">
      <alignment horizontal="right"/>
    </xf>
    <xf numFmtId="0" fontId="6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60" fillId="0" borderId="0" xfId="0" applyFont="1"/>
    <xf numFmtId="0" fontId="0" fillId="2" borderId="6" xfId="0" applyFill="1" applyBorder="1"/>
    <xf numFmtId="0" fontId="59" fillId="3" borderId="0" xfId="0" applyFont="1" applyFill="1"/>
    <xf numFmtId="0" fontId="63" fillId="3" borderId="0" xfId="0" applyFont="1" applyFill="1"/>
    <xf numFmtId="0" fontId="0" fillId="3" borderId="0" xfId="0" applyFill="1"/>
    <xf numFmtId="0" fontId="64" fillId="0" borderId="0" xfId="0" applyFont="1"/>
    <xf numFmtId="0" fontId="60" fillId="0" borderId="6" xfId="0" applyFont="1" applyBorder="1"/>
    <xf numFmtId="0" fontId="0" fillId="0" borderId="7" xfId="0" applyBorder="1"/>
    <xf numFmtId="0" fontId="0" fillId="4" borderId="0" xfId="0" applyFill="1"/>
    <xf numFmtId="0" fontId="0" fillId="3" borderId="0" xfId="0" applyFill="1" applyAlignment="1">
      <alignment horizontal="right"/>
    </xf>
    <xf numFmtId="0" fontId="65" fillId="3" borderId="8" xfId="0" applyFont="1" applyFill="1" applyBorder="1" applyAlignment="1">
      <alignment horizontal="center" vertical="top" wrapText="1"/>
    </xf>
    <xf numFmtId="0" fontId="0" fillId="3" borderId="9" xfId="0" applyFill="1" applyBorder="1"/>
    <xf numFmtId="0" fontId="0" fillId="3" borderId="10" xfId="0" applyFill="1" applyBorder="1"/>
    <xf numFmtId="0" fontId="66" fillId="3" borderId="11" xfId="0" applyFont="1" applyFill="1" applyBorder="1" applyAlignment="1">
      <alignment horizontal="center"/>
    </xf>
    <xf numFmtId="0" fontId="0" fillId="3" borderId="12" xfId="0" applyFill="1" applyBorder="1"/>
    <xf numFmtId="0" fontId="65" fillId="3" borderId="11" xfId="0" applyFont="1" applyFill="1" applyBorder="1" applyAlignment="1">
      <alignment horizontal="center" vertical="top"/>
    </xf>
    <xf numFmtId="0" fontId="65" fillId="3" borderId="13" xfId="0" applyFont="1" applyFill="1" applyBorder="1" applyAlignment="1">
      <alignment horizontal="center" vertical="top" wrapText="1"/>
    </xf>
    <xf numFmtId="0" fontId="65" fillId="3" borderId="14" xfId="0" applyFont="1" applyFill="1" applyBorder="1" applyAlignment="1">
      <alignment horizontal="center" vertical="top" wrapText="1"/>
    </xf>
    <xf numFmtId="0" fontId="0" fillId="3" borderId="15" xfId="0" applyFill="1" applyBorder="1"/>
    <xf numFmtId="0" fontId="64" fillId="0" borderId="0" xfId="0" applyFont="1" applyAlignment="1">
      <alignment horizontal="fill"/>
    </xf>
    <xf numFmtId="168" fontId="0" fillId="0" borderId="0" xfId="0" applyNumberFormat="1"/>
    <xf numFmtId="0" fontId="65" fillId="0" borderId="6" xfId="0" applyFont="1" applyBorder="1" applyAlignment="1">
      <alignment horizontal="right"/>
    </xf>
    <xf numFmtId="0" fontId="0" fillId="0" borderId="12" xfId="0" applyBorder="1"/>
    <xf numFmtId="0" fontId="0" fillId="0" borderId="10" xfId="0" applyBorder="1"/>
    <xf numFmtId="0" fontId="0" fillId="0" borderId="9" xfId="0" applyBorder="1"/>
    <xf numFmtId="0" fontId="0" fillId="0" borderId="16" xfId="0" applyBorder="1"/>
    <xf numFmtId="0" fontId="0" fillId="0" borderId="17" xfId="0" applyBorder="1"/>
    <xf numFmtId="0" fontId="0" fillId="0" borderId="18" xfId="0" applyBorder="1"/>
    <xf numFmtId="0" fontId="0" fillId="0" borderId="19" xfId="0" applyBorder="1"/>
    <xf numFmtId="0" fontId="66" fillId="4" borderId="11" xfId="0" applyFont="1" applyFill="1" applyBorder="1" applyAlignment="1">
      <alignment horizontal="center"/>
    </xf>
    <xf numFmtId="0" fontId="0" fillId="4" borderId="0" xfId="0" applyFill="1" applyAlignment="1">
      <alignment horizontal="right"/>
    </xf>
    <xf numFmtId="0" fontId="65" fillId="4" borderId="8" xfId="0" applyFont="1" applyFill="1" applyBorder="1" applyAlignment="1">
      <alignment horizontal="center" vertical="top" wrapText="1"/>
    </xf>
    <xf numFmtId="0" fontId="65" fillId="4" borderId="11" xfId="0" applyFont="1" applyFill="1" applyBorder="1" applyAlignment="1">
      <alignment horizontal="center" vertical="top"/>
    </xf>
    <xf numFmtId="0" fontId="65" fillId="4" borderId="13" xfId="0" applyFont="1" applyFill="1" applyBorder="1" applyAlignment="1">
      <alignment horizontal="center" vertical="top" wrapText="1"/>
    </xf>
    <xf numFmtId="0" fontId="65" fillId="4" borderId="14" xfId="0" applyFont="1" applyFill="1" applyBorder="1" applyAlignment="1">
      <alignment horizontal="center" vertical="top" wrapText="1"/>
    </xf>
    <xf numFmtId="0" fontId="0" fillId="4" borderId="12" xfId="0" applyFill="1" applyBorder="1"/>
    <xf numFmtId="0" fontId="0" fillId="4" borderId="10" xfId="0" applyFill="1" applyBorder="1"/>
    <xf numFmtId="0" fontId="0" fillId="4" borderId="9" xfId="0" applyFill="1" applyBorder="1"/>
    <xf numFmtId="0" fontId="0" fillId="4" borderId="15" xfId="0" applyFill="1" applyBorder="1"/>
    <xf numFmtId="0" fontId="67" fillId="5" borderId="0" xfId="0" applyFont="1" applyFill="1"/>
    <xf numFmtId="0" fontId="60" fillId="0" borderId="26" xfId="0" applyFont="1" applyBorder="1"/>
    <xf numFmtId="0" fontId="60" fillId="0" borderId="27" xfId="0" applyFont="1" applyBorder="1" applyAlignment="1">
      <alignment horizontal="right"/>
    </xf>
    <xf numFmtId="0" fontId="60" fillId="0" borderId="28" xfId="0" applyFont="1" applyBorder="1" applyAlignment="1">
      <alignment horizontal="right"/>
    </xf>
    <xf numFmtId="0" fontId="0" fillId="0" borderId="29" xfId="0" applyBorder="1" applyAlignment="1">
      <alignment horizontal="right"/>
    </xf>
    <xf numFmtId="0" fontId="68" fillId="0" borderId="29" xfId="0" applyFont="1" applyBorder="1" applyAlignment="1">
      <alignment horizontal="right"/>
    </xf>
    <xf numFmtId="0" fontId="59" fillId="0" borderId="26" xfId="0" applyFont="1" applyBorder="1"/>
    <xf numFmtId="0" fontId="59" fillId="0" borderId="22" xfId="0" applyFont="1" applyBorder="1"/>
    <xf numFmtId="0" fontId="59" fillId="0" borderId="30" xfId="0" applyFont="1" applyBorder="1"/>
    <xf numFmtId="0" fontId="69" fillId="6" borderId="0" xfId="0" applyFont="1" applyFill="1"/>
    <xf numFmtId="0" fontId="0" fillId="6" borderId="0" xfId="0" applyFill="1"/>
    <xf numFmtId="0" fontId="60" fillId="7" borderId="0" xfId="0" applyFont="1" applyFill="1"/>
    <xf numFmtId="0" fontId="0" fillId="7" borderId="0" xfId="0" applyFill="1"/>
    <xf numFmtId="0" fontId="71" fillId="7" borderId="26" xfId="0" applyFont="1" applyFill="1" applyBorder="1"/>
    <xf numFmtId="0" fontId="0" fillId="9" borderId="7" xfId="0" applyFill="1" applyBorder="1" applyAlignment="1">
      <alignment horizontal="right"/>
    </xf>
    <xf numFmtId="0" fontId="0" fillId="0" borderId="7" xfId="0" applyBorder="1" applyAlignment="1">
      <alignment horizontal="right"/>
    </xf>
    <xf numFmtId="0" fontId="0" fillId="10" borderId="0" xfId="0" applyFill="1"/>
    <xf numFmtId="0" fontId="0" fillId="3" borderId="7" xfId="0" applyFill="1" applyBorder="1"/>
    <xf numFmtId="0" fontId="0" fillId="4" borderId="7" xfId="0" applyFill="1" applyBorder="1"/>
    <xf numFmtId="0" fontId="73" fillId="0" borderId="32" xfId="0" applyFont="1" applyBorder="1"/>
    <xf numFmtId="0" fontId="73" fillId="0" borderId="29" xfId="0" applyFont="1" applyBorder="1"/>
    <xf numFmtId="0" fontId="0" fillId="0" borderId="29" xfId="0" applyBorder="1"/>
    <xf numFmtId="0" fontId="14" fillId="0" borderId="26" xfId="0" applyFont="1" applyBorder="1"/>
    <xf numFmtId="0" fontId="60" fillId="0" borderId="27" xfId="0" applyFont="1" applyBorder="1"/>
    <xf numFmtId="0" fontId="0" fillId="10" borderId="33" xfId="0" applyFill="1" applyBorder="1"/>
    <xf numFmtId="0" fontId="74" fillId="0" borderId="0" xfId="0" applyFont="1" applyAlignment="1">
      <alignment horizontal="fill"/>
    </xf>
    <xf numFmtId="0" fontId="74" fillId="0" borderId="0" xfId="0" applyFont="1"/>
    <xf numFmtId="0" fontId="74" fillId="0" borderId="0" xfId="0" applyFont="1" applyAlignment="1">
      <alignment horizontal="left"/>
    </xf>
    <xf numFmtId="0" fontId="74" fillId="11" borderId="0" xfId="0" applyFont="1" applyFill="1"/>
    <xf numFmtId="0" fontId="75" fillId="0" borderId="0" xfId="0" applyFont="1"/>
    <xf numFmtId="0" fontId="76" fillId="0" borderId="0" xfId="0" applyFont="1"/>
    <xf numFmtId="0" fontId="74" fillId="0" borderId="0" xfId="0" applyFont="1" applyAlignment="1">
      <alignment horizontal="left" shrinkToFit="1"/>
    </xf>
    <xf numFmtId="0" fontId="60" fillId="0" borderId="0" xfId="0" applyFont="1" applyAlignment="1">
      <alignment horizontal="right"/>
    </xf>
    <xf numFmtId="0" fontId="65" fillId="12" borderId="35" xfId="0" applyFont="1" applyFill="1" applyBorder="1"/>
    <xf numFmtId="0" fontId="78" fillId="12" borderId="7" xfId="0" applyFont="1" applyFill="1" applyBorder="1"/>
    <xf numFmtId="0" fontId="78" fillId="12" borderId="0" xfId="0" applyFont="1" applyFill="1"/>
    <xf numFmtId="0" fontId="78" fillId="12" borderId="35" xfId="0" applyFont="1" applyFill="1" applyBorder="1"/>
    <xf numFmtId="0" fontId="79" fillId="12" borderId="35" xfId="0" applyFont="1" applyFill="1" applyBorder="1"/>
    <xf numFmtId="0" fontId="78" fillId="12" borderId="0" xfId="0" applyFont="1" applyFill="1" applyAlignment="1">
      <alignment horizontal="right"/>
    </xf>
    <xf numFmtId="0" fontId="78" fillId="12" borderId="35" xfId="0" applyFont="1" applyFill="1" applyBorder="1" applyAlignment="1">
      <alignment horizontal="right"/>
    </xf>
    <xf numFmtId="0" fontId="63" fillId="12" borderId="35" xfId="0" applyFont="1" applyFill="1" applyBorder="1"/>
    <xf numFmtId="166" fontId="0" fillId="12" borderId="10" xfId="0" applyNumberFormat="1" applyFill="1" applyBorder="1"/>
    <xf numFmtId="166" fontId="0" fillId="12" borderId="7" xfId="0" applyNumberFormat="1" applyFill="1" applyBorder="1"/>
    <xf numFmtId="166" fontId="0" fillId="12" borderId="26" xfId="0" applyNumberFormat="1" applyFill="1" applyBorder="1"/>
    <xf numFmtId="0" fontId="65" fillId="12" borderId="7" xfId="0" applyFont="1" applyFill="1" applyBorder="1"/>
    <xf numFmtId="0" fontId="63" fillId="12" borderId="7" xfId="0" applyFont="1" applyFill="1" applyBorder="1"/>
    <xf numFmtId="0" fontId="78" fillId="12" borderId="7" xfId="0" applyFont="1" applyFill="1" applyBorder="1" applyAlignment="1">
      <alignment horizontal="right"/>
    </xf>
    <xf numFmtId="0" fontId="78" fillId="12" borderId="33" xfId="0" applyFont="1" applyFill="1" applyBorder="1"/>
    <xf numFmtId="0" fontId="80" fillId="0" borderId="0" xfId="0" applyFont="1"/>
    <xf numFmtId="0" fontId="81" fillId="12" borderId="7" xfId="0" applyFont="1" applyFill="1" applyBorder="1"/>
    <xf numFmtId="0" fontId="78" fillId="12" borderId="7" xfId="0" applyFont="1" applyFill="1" applyBorder="1" applyAlignment="1">
      <alignment horizontal="left"/>
    </xf>
    <xf numFmtId="0" fontId="63" fillId="12" borderId="7" xfId="0" applyFont="1" applyFill="1" applyBorder="1" applyAlignment="1">
      <alignment horizontal="left"/>
    </xf>
    <xf numFmtId="166" fontId="67" fillId="12" borderId="7" xfId="0" applyNumberFormat="1" applyFont="1" applyFill="1" applyBorder="1" applyAlignment="1">
      <alignment horizontal="right"/>
    </xf>
    <xf numFmtId="166" fontId="79" fillId="12" borderId="7" xfId="0" applyNumberFormat="1" applyFont="1" applyFill="1" applyBorder="1" applyAlignment="1">
      <alignment horizontal="right"/>
    </xf>
    <xf numFmtId="0" fontId="82" fillId="12" borderId="7" xfId="0" applyFont="1" applyFill="1" applyBorder="1"/>
    <xf numFmtId="49" fontId="83" fillId="0" borderId="0" xfId="0" applyNumberFormat="1" applyFont="1" applyAlignment="1">
      <alignment horizontal="right"/>
    </xf>
    <xf numFmtId="0" fontId="72" fillId="13" borderId="0" xfId="0" applyFont="1" applyFill="1"/>
    <xf numFmtId="167" fontId="64" fillId="13" borderId="0" xfId="0" applyNumberFormat="1" applyFont="1" applyFill="1" applyAlignment="1">
      <alignment horizontal="right"/>
    </xf>
    <xf numFmtId="0" fontId="64" fillId="13" borderId="0" xfId="0" applyFont="1" applyFill="1"/>
    <xf numFmtId="0" fontId="72" fillId="13" borderId="0" xfId="0" applyFont="1" applyFill="1" applyAlignment="1">
      <alignment horizontal="left" indent="1"/>
    </xf>
    <xf numFmtId="0" fontId="64" fillId="13" borderId="0" xfId="0" applyFont="1" applyFill="1" applyAlignment="1">
      <alignment horizontal="left" indent="2"/>
    </xf>
    <xf numFmtId="0" fontId="84" fillId="13" borderId="0" xfId="0" applyFont="1" applyFill="1" applyAlignment="1">
      <alignment horizontal="left" indent="4"/>
    </xf>
    <xf numFmtId="0" fontId="64" fillId="13" borderId="0" xfId="0" applyFont="1" applyFill="1" applyAlignment="1">
      <alignment horizontal="left" indent="3"/>
    </xf>
    <xf numFmtId="0" fontId="64" fillId="13" borderId="0" xfId="0" applyFont="1" applyFill="1" applyAlignment="1">
      <alignment horizontal="left" indent="4"/>
    </xf>
    <xf numFmtId="0" fontId="64" fillId="13" borderId="0" xfId="0" applyFont="1" applyFill="1" applyAlignment="1">
      <alignment horizontal="left" indent="1"/>
    </xf>
    <xf numFmtId="167" fontId="64" fillId="14" borderId="0" xfId="0" applyNumberFormat="1" applyFont="1" applyFill="1"/>
    <xf numFmtId="0" fontId="79" fillId="5" borderId="26" xfId="0" applyFont="1" applyFill="1" applyBorder="1"/>
    <xf numFmtId="0" fontId="67" fillId="5" borderId="26" xfId="0" applyFont="1" applyFill="1" applyBorder="1"/>
    <xf numFmtId="0" fontId="85" fillId="5" borderId="0" xfId="0" applyFont="1" applyFill="1"/>
    <xf numFmtId="0" fontId="76" fillId="5" borderId="26" xfId="0" applyFont="1" applyFill="1" applyBorder="1"/>
    <xf numFmtId="167" fontId="0" fillId="9" borderId="7" xfId="0" applyNumberFormat="1" applyFill="1" applyBorder="1" applyAlignment="1">
      <alignment horizontal="right"/>
    </xf>
    <xf numFmtId="9" fontId="71" fillId="9" borderId="7" xfId="0" applyNumberFormat="1" applyFont="1" applyFill="1" applyBorder="1" applyAlignment="1">
      <alignment horizontal="right"/>
    </xf>
    <xf numFmtId="167" fontId="64" fillId="13" borderId="20" xfId="0" applyNumberFormat="1" applyFont="1" applyFill="1" applyBorder="1" applyAlignment="1">
      <alignment horizontal="right"/>
    </xf>
    <xf numFmtId="49" fontId="82" fillId="0" borderId="6" xfId="0" applyNumberFormat="1" applyFont="1" applyBorder="1" applyAlignment="1">
      <alignment horizontal="right"/>
    </xf>
    <xf numFmtId="0" fontId="71" fillId="0" borderId="0" xfId="0" applyFont="1" applyAlignment="1">
      <alignment horizontal="left"/>
    </xf>
    <xf numFmtId="0" fontId="71" fillId="0" borderId="0" xfId="0" applyFont="1"/>
    <xf numFmtId="167" fontId="74" fillId="13" borderId="0" xfId="0" applyNumberFormat="1" applyFont="1" applyFill="1" applyAlignment="1">
      <alignment horizontal="right"/>
    </xf>
    <xf numFmtId="167" fontId="86" fillId="13" borderId="0" xfId="0" applyNumberFormat="1" applyFont="1" applyFill="1" applyAlignment="1">
      <alignment horizontal="right"/>
    </xf>
    <xf numFmtId="0" fontId="82" fillId="0" borderId="6" xfId="0" applyFont="1" applyBorder="1" applyAlignment="1">
      <alignment horizontal="right"/>
    </xf>
    <xf numFmtId="167" fontId="87" fillId="13" borderId="0" xfId="0" applyNumberFormat="1" applyFont="1" applyFill="1" applyAlignment="1">
      <alignment horizontal="right"/>
    </xf>
    <xf numFmtId="167" fontId="88" fillId="13" borderId="0" xfId="0" applyNumberFormat="1" applyFont="1" applyFill="1" applyAlignment="1">
      <alignment horizontal="right"/>
    </xf>
    <xf numFmtId="0" fontId="89" fillId="0" borderId="0" xfId="0" applyFont="1" applyAlignment="1">
      <alignment horizontal="right"/>
    </xf>
    <xf numFmtId="0" fontId="75" fillId="0" borderId="0" xfId="0" applyFont="1" applyAlignment="1">
      <alignment horizontal="center"/>
    </xf>
    <xf numFmtId="0" fontId="88" fillId="13" borderId="0" xfId="0" applyFont="1" applyFill="1" applyAlignment="1">
      <alignment horizontal="left" indent="2"/>
    </xf>
    <xf numFmtId="9" fontId="90" fillId="9" borderId="7" xfId="0" applyNumberFormat="1" applyFont="1" applyFill="1" applyBorder="1" applyAlignment="1">
      <alignment horizontal="right"/>
    </xf>
    <xf numFmtId="1" fontId="64" fillId="13" borderId="0" xfId="0" applyNumberFormat="1" applyFont="1" applyFill="1" applyAlignment="1">
      <alignment horizontal="right"/>
    </xf>
    <xf numFmtId="1" fontId="64" fillId="13" borderId="20" xfId="0" applyNumberFormat="1" applyFont="1" applyFill="1" applyBorder="1" applyAlignment="1">
      <alignment horizontal="right"/>
    </xf>
    <xf numFmtId="0" fontId="91" fillId="0" borderId="0" xfId="0" applyFont="1"/>
    <xf numFmtId="1" fontId="85" fillId="9" borderId="7" xfId="0" applyNumberFormat="1" applyFont="1" applyFill="1" applyBorder="1" applyAlignment="1">
      <alignment horizontal="right"/>
    </xf>
    <xf numFmtId="1" fontId="85" fillId="13" borderId="0" xfId="0" applyNumberFormat="1" applyFont="1" applyFill="1" applyAlignment="1">
      <alignment horizontal="right"/>
    </xf>
    <xf numFmtId="3" fontId="71" fillId="13" borderId="0" xfId="0" applyNumberFormat="1" applyFont="1" applyFill="1" applyAlignment="1">
      <alignment horizontal="right"/>
    </xf>
    <xf numFmtId="3" fontId="92" fillId="13" borderId="0" xfId="0" applyNumberFormat="1" applyFont="1" applyFill="1" applyAlignment="1">
      <alignment horizontal="right"/>
    </xf>
    <xf numFmtId="1" fontId="88" fillId="13" borderId="0" xfId="0" applyNumberFormat="1" applyFont="1" applyFill="1" applyAlignment="1">
      <alignment horizontal="right"/>
    </xf>
    <xf numFmtId="0" fontId="84" fillId="13" borderId="0" xfId="0" applyFont="1" applyFill="1" applyAlignment="1">
      <alignment horizontal="left" indent="2"/>
    </xf>
    <xf numFmtId="167" fontId="67" fillId="13" borderId="0" xfId="0" applyNumberFormat="1" applyFont="1" applyFill="1" applyAlignment="1">
      <alignment horizontal="right"/>
    </xf>
    <xf numFmtId="167" fontId="93" fillId="13" borderId="0" xfId="0" applyNumberFormat="1" applyFont="1" applyFill="1" applyAlignment="1">
      <alignment horizontal="right"/>
    </xf>
    <xf numFmtId="167" fontId="93" fillId="13" borderId="0" xfId="0" applyNumberFormat="1" applyFont="1" applyFill="1" applyAlignment="1">
      <alignment horizontal="center"/>
    </xf>
    <xf numFmtId="1" fontId="91" fillId="0" borderId="0" xfId="0" applyNumberFormat="1" applyFont="1"/>
    <xf numFmtId="0" fontId="68" fillId="0" borderId="6" xfId="0" applyFont="1" applyBorder="1"/>
    <xf numFmtId="167" fontId="94" fillId="13" borderId="0" xfId="0" applyNumberFormat="1" applyFont="1" applyFill="1" applyAlignment="1">
      <alignment horizontal="right"/>
    </xf>
    <xf numFmtId="167" fontId="94" fillId="13" borderId="0" xfId="0" applyNumberFormat="1" applyFont="1" applyFill="1" applyAlignment="1">
      <alignment horizontal="left"/>
    </xf>
    <xf numFmtId="167" fontId="95" fillId="13" borderId="0" xfId="0" applyNumberFormat="1" applyFont="1" applyFill="1" applyAlignment="1">
      <alignment horizontal="left"/>
    </xf>
    <xf numFmtId="167" fontId="96" fillId="13" borderId="0" xfId="0" applyNumberFormat="1" applyFont="1" applyFill="1" applyAlignment="1">
      <alignment horizontal="left"/>
    </xf>
    <xf numFmtId="167" fontId="94" fillId="13" borderId="0" xfId="0" applyNumberFormat="1" applyFont="1" applyFill="1" applyAlignment="1">
      <alignment horizontal="center"/>
    </xf>
    <xf numFmtId="0" fontId="60" fillId="15" borderId="7" xfId="0" applyFont="1" applyFill="1" applyBorder="1"/>
    <xf numFmtId="0" fontId="0" fillId="15" borderId="7" xfId="0" applyFill="1" applyBorder="1"/>
    <xf numFmtId="1" fontId="71" fillId="15" borderId="7" xfId="0" applyNumberFormat="1" applyFont="1" applyFill="1" applyBorder="1"/>
    <xf numFmtId="1" fontId="86" fillId="15" borderId="7" xfId="0" applyNumberFormat="1" applyFont="1" applyFill="1" applyBorder="1"/>
    <xf numFmtId="0" fontId="71" fillId="15" borderId="7" xfId="0" applyFont="1" applyFill="1" applyBorder="1"/>
    <xf numFmtId="168" fontId="71" fillId="15" borderId="7" xfId="0" applyNumberFormat="1" applyFont="1" applyFill="1" applyBorder="1"/>
    <xf numFmtId="168" fontId="97" fillId="15" borderId="7" xfId="0" applyNumberFormat="1" applyFont="1" applyFill="1" applyBorder="1"/>
    <xf numFmtId="0" fontId="60" fillId="15" borderId="26" xfId="0" applyFont="1" applyFill="1" applyBorder="1"/>
    <xf numFmtId="166" fontId="72" fillId="15" borderId="26" xfId="0" applyNumberFormat="1" applyFont="1" applyFill="1" applyBorder="1"/>
    <xf numFmtId="0" fontId="0" fillId="15" borderId="26" xfId="0" applyFill="1" applyBorder="1"/>
    <xf numFmtId="166" fontId="64" fillId="15" borderId="26" xfId="0" applyNumberFormat="1" applyFont="1" applyFill="1" applyBorder="1"/>
    <xf numFmtId="166" fontId="86" fillId="15" borderId="26" xfId="0" applyNumberFormat="1" applyFont="1" applyFill="1" applyBorder="1"/>
    <xf numFmtId="166" fontId="64" fillId="15" borderId="37" xfId="0" applyNumberFormat="1" applyFont="1" applyFill="1" applyBorder="1"/>
    <xf numFmtId="166" fontId="64" fillId="15" borderId="38" xfId="0" applyNumberFormat="1" applyFont="1" applyFill="1" applyBorder="1"/>
    <xf numFmtId="0" fontId="73" fillId="15" borderId="39" xfId="0" applyFont="1" applyFill="1" applyBorder="1"/>
    <xf numFmtId="0" fontId="0" fillId="15" borderId="39" xfId="0" applyFill="1" applyBorder="1"/>
    <xf numFmtId="0" fontId="98" fillId="15" borderId="7" xfId="0" applyFont="1" applyFill="1" applyBorder="1"/>
    <xf numFmtId="0" fontId="74" fillId="15" borderId="7" xfId="0" applyFont="1" applyFill="1" applyBorder="1" applyAlignment="1">
      <alignment horizontal="right"/>
    </xf>
    <xf numFmtId="2" fontId="85" fillId="15" borderId="7" xfId="0" applyNumberFormat="1" applyFont="1" applyFill="1" applyBorder="1"/>
    <xf numFmtId="10" fontId="71" fillId="15" borderId="7" xfId="0" applyNumberFormat="1" applyFont="1" applyFill="1" applyBorder="1"/>
    <xf numFmtId="166" fontId="74" fillId="15" borderId="7" xfId="0" applyNumberFormat="1" applyFont="1" applyFill="1" applyBorder="1"/>
    <xf numFmtId="166" fontId="99" fillId="15" borderId="7" xfId="0" applyNumberFormat="1" applyFont="1" applyFill="1" applyBorder="1"/>
    <xf numFmtId="166" fontId="100" fillId="15" borderId="7" xfId="0" applyNumberFormat="1" applyFont="1" applyFill="1" applyBorder="1"/>
    <xf numFmtId="0" fontId="100" fillId="15" borderId="7" xfId="0" applyFont="1" applyFill="1" applyBorder="1"/>
    <xf numFmtId="0" fontId="74" fillId="15" borderId="7" xfId="0" applyFont="1" applyFill="1" applyBorder="1"/>
    <xf numFmtId="167" fontId="0" fillId="15" borderId="7" xfId="0" applyNumberFormat="1" applyFill="1" applyBorder="1"/>
    <xf numFmtId="0" fontId="101" fillId="15" borderId="7" xfId="0" applyFont="1" applyFill="1" applyBorder="1"/>
    <xf numFmtId="1" fontId="100" fillId="15" borderId="7" xfId="0" applyNumberFormat="1" applyFont="1" applyFill="1" applyBorder="1"/>
    <xf numFmtId="0" fontId="61" fillId="15" borderId="7" xfId="0" applyFont="1" applyFill="1" applyBorder="1"/>
    <xf numFmtId="168" fontId="92" fillId="15" borderId="7" xfId="0" applyNumberFormat="1" applyFont="1" applyFill="1" applyBorder="1"/>
    <xf numFmtId="0" fontId="74" fillId="15" borderId="7" xfId="0" applyFont="1" applyFill="1" applyBorder="1" applyAlignment="1">
      <alignment horizontal="left"/>
    </xf>
    <xf numFmtId="1" fontId="63" fillId="15" borderId="7" xfId="0" applyNumberFormat="1" applyFont="1" applyFill="1" applyBorder="1"/>
    <xf numFmtId="0" fontId="91" fillId="15" borderId="7" xfId="0" applyFont="1" applyFill="1" applyBorder="1"/>
    <xf numFmtId="1" fontId="85" fillId="15" borderId="7" xfId="0" applyNumberFormat="1" applyFont="1" applyFill="1" applyBorder="1"/>
    <xf numFmtId="168" fontId="89" fillId="15" borderId="7" xfId="0" applyNumberFormat="1" applyFont="1" applyFill="1" applyBorder="1"/>
    <xf numFmtId="166" fontId="63" fillId="15" borderId="7" xfId="0" applyNumberFormat="1" applyFont="1" applyFill="1" applyBorder="1"/>
    <xf numFmtId="1" fontId="92" fillId="15" borderId="7" xfId="0" applyNumberFormat="1" applyFont="1" applyFill="1" applyBorder="1"/>
    <xf numFmtId="1" fontId="97" fillId="15" borderId="7" xfId="0" applyNumberFormat="1" applyFont="1" applyFill="1" applyBorder="1"/>
    <xf numFmtId="9" fontId="85" fillId="15" borderId="7" xfId="0" applyNumberFormat="1" applyFont="1" applyFill="1" applyBorder="1"/>
    <xf numFmtId="168" fontId="97" fillId="15" borderId="26" xfId="0" applyNumberFormat="1" applyFont="1" applyFill="1" applyBorder="1"/>
    <xf numFmtId="168" fontId="97" fillId="15" borderId="40" xfId="0" applyNumberFormat="1" applyFont="1" applyFill="1" applyBorder="1"/>
    <xf numFmtId="9" fontId="71" fillId="15" borderId="7" xfId="0" applyNumberFormat="1" applyFont="1" applyFill="1" applyBorder="1"/>
    <xf numFmtId="168" fontId="97" fillId="15" borderId="10" xfId="0" applyNumberFormat="1" applyFont="1" applyFill="1" applyBorder="1"/>
    <xf numFmtId="9" fontId="97" fillId="15" borderId="10" xfId="0" applyNumberFormat="1" applyFont="1" applyFill="1" applyBorder="1"/>
    <xf numFmtId="9" fontId="97" fillId="15" borderId="7" xfId="0" applyNumberFormat="1" applyFont="1" applyFill="1" applyBorder="1"/>
    <xf numFmtId="1" fontId="71" fillId="15" borderId="10" xfId="0" applyNumberFormat="1" applyFont="1" applyFill="1" applyBorder="1"/>
    <xf numFmtId="166" fontId="92" fillId="15" borderId="7" xfId="0" applyNumberFormat="1" applyFont="1" applyFill="1" applyBorder="1"/>
    <xf numFmtId="0" fontId="73" fillId="15" borderId="7" xfId="0" applyFont="1" applyFill="1" applyBorder="1"/>
    <xf numFmtId="168" fontId="0" fillId="15" borderId="7" xfId="0" applyNumberFormat="1" applyFill="1" applyBorder="1"/>
    <xf numFmtId="0" fontId="0" fillId="15" borderId="29" xfId="0" applyFill="1" applyBorder="1"/>
    <xf numFmtId="168" fontId="97" fillId="15" borderId="29" xfId="0" applyNumberFormat="1" applyFont="1" applyFill="1" applyBorder="1"/>
    <xf numFmtId="0" fontId="0" fillId="15" borderId="31" xfId="0" applyFill="1" applyBorder="1"/>
    <xf numFmtId="168" fontId="97" fillId="15" borderId="31" xfId="0" applyNumberFormat="1" applyFont="1" applyFill="1" applyBorder="1"/>
    <xf numFmtId="168" fontId="97" fillId="15" borderId="41" xfId="0" applyNumberFormat="1" applyFont="1" applyFill="1" applyBorder="1"/>
    <xf numFmtId="168" fontId="86" fillId="15" borderId="7" xfId="0" applyNumberFormat="1" applyFont="1" applyFill="1" applyBorder="1"/>
    <xf numFmtId="166" fontId="71" fillId="15" borderId="7" xfId="0" applyNumberFormat="1" applyFont="1" applyFill="1" applyBorder="1"/>
    <xf numFmtId="166" fontId="86" fillId="15" borderId="7" xfId="0" applyNumberFormat="1" applyFont="1" applyFill="1" applyBorder="1"/>
    <xf numFmtId="166" fontId="97" fillId="15" borderId="7" xfId="0" applyNumberFormat="1" applyFont="1" applyFill="1" applyBorder="1"/>
    <xf numFmtId="0" fontId="102" fillId="15" borderId="7" xfId="0" applyFont="1" applyFill="1" applyBorder="1"/>
    <xf numFmtId="1" fontId="74" fillId="15" borderId="7" xfId="0" applyNumberFormat="1" applyFont="1" applyFill="1" applyBorder="1"/>
    <xf numFmtId="0" fontId="86" fillId="15" borderId="7" xfId="0" applyFont="1" applyFill="1" applyBorder="1"/>
    <xf numFmtId="0" fontId="71" fillId="15" borderId="7" xfId="0" applyFont="1" applyFill="1" applyBorder="1" applyAlignment="1">
      <alignment horizontal="left"/>
    </xf>
    <xf numFmtId="0" fontId="74" fillId="15" borderId="33" xfId="0" applyFont="1" applyFill="1" applyBorder="1" applyAlignment="1">
      <alignment horizontal="right"/>
    </xf>
    <xf numFmtId="0" fontId="0" fillId="15" borderId="33" xfId="0" applyFill="1" applyBorder="1"/>
    <xf numFmtId="168" fontId="71" fillId="15" borderId="33" xfId="0" applyNumberFormat="1" applyFont="1" applyFill="1" applyBorder="1"/>
    <xf numFmtId="166" fontId="99" fillId="15" borderId="33" xfId="0" applyNumberFormat="1" applyFont="1" applyFill="1" applyBorder="1"/>
    <xf numFmtId="0" fontId="61" fillId="15" borderId="33" xfId="0" applyFont="1" applyFill="1" applyBorder="1"/>
    <xf numFmtId="0" fontId="98" fillId="15" borderId="7" xfId="0" applyFont="1" applyFill="1" applyBorder="1" applyAlignment="1">
      <alignment horizontal="left"/>
    </xf>
    <xf numFmtId="3" fontId="71" fillId="15" borderId="7" xfId="0" applyNumberFormat="1" applyFont="1" applyFill="1" applyBorder="1"/>
    <xf numFmtId="0" fontId="0" fillId="15" borderId="7" xfId="0" applyFill="1" applyBorder="1" applyAlignment="1">
      <alignment horizontal="left"/>
    </xf>
    <xf numFmtId="3" fontId="97" fillId="15" borderId="7" xfId="0" applyNumberFormat="1" applyFont="1" applyFill="1" applyBorder="1"/>
    <xf numFmtId="3" fontId="92" fillId="15" borderId="7" xfId="0" applyNumberFormat="1" applyFont="1" applyFill="1" applyBorder="1"/>
    <xf numFmtId="0" fontId="64" fillId="15" borderId="7" xfId="0" applyFont="1" applyFill="1" applyBorder="1" applyAlignment="1">
      <alignment horizontal="left"/>
    </xf>
    <xf numFmtId="0" fontId="71" fillId="15" borderId="33" xfId="0" applyFont="1" applyFill="1" applyBorder="1"/>
    <xf numFmtId="166" fontId="61" fillId="15" borderId="33" xfId="0" applyNumberFormat="1" applyFont="1" applyFill="1" applyBorder="1"/>
    <xf numFmtId="166" fontId="85" fillId="15" borderId="7" xfId="0" applyNumberFormat="1" applyFont="1" applyFill="1" applyBorder="1"/>
    <xf numFmtId="168" fontId="64" fillId="13" borderId="0" xfId="0" applyNumberFormat="1" applyFont="1" applyFill="1" applyAlignment="1">
      <alignment horizontal="right"/>
    </xf>
    <xf numFmtId="0" fontId="0" fillId="15" borderId="0" xfId="0" applyFill="1"/>
    <xf numFmtId="0" fontId="91" fillId="15" borderId="0" xfId="0" applyFont="1" applyFill="1"/>
    <xf numFmtId="0" fontId="91" fillId="15" borderId="7" xfId="0" applyFont="1" applyFill="1" applyBorder="1" applyAlignment="1">
      <alignment horizontal="right"/>
    </xf>
    <xf numFmtId="2" fontId="71" fillId="15" borderId="7" xfId="0" applyNumberFormat="1" applyFont="1" applyFill="1" applyBorder="1"/>
    <xf numFmtId="0" fontId="84" fillId="13" borderId="0" xfId="0" applyFont="1" applyFill="1"/>
    <xf numFmtId="0" fontId="74" fillId="9" borderId="7" xfId="0" applyFont="1" applyFill="1" applyBorder="1"/>
    <xf numFmtId="168" fontId="71" fillId="9" borderId="7" xfId="0" applyNumberFormat="1" applyFont="1" applyFill="1" applyBorder="1" applyAlignment="1">
      <alignment horizontal="right"/>
    </xf>
    <xf numFmtId="0" fontId="74" fillId="15" borderId="62" xfId="0" applyFont="1" applyFill="1" applyBorder="1"/>
    <xf numFmtId="0" fontId="0" fillId="15" borderId="63" xfId="0" applyFill="1" applyBorder="1"/>
    <xf numFmtId="0" fontId="91" fillId="15" borderId="63" xfId="0" applyFont="1" applyFill="1" applyBorder="1"/>
    <xf numFmtId="168" fontId="97" fillId="15" borderId="63" xfId="0" applyNumberFormat="1" applyFont="1" applyFill="1" applyBorder="1"/>
    <xf numFmtId="0" fontId="91" fillId="15" borderId="64" xfId="0" applyFont="1" applyFill="1" applyBorder="1"/>
    <xf numFmtId="0" fontId="71" fillId="9" borderId="7" xfId="0" applyFont="1" applyFill="1" applyBorder="1" applyAlignment="1">
      <alignment horizontal="right"/>
    </xf>
    <xf numFmtId="1" fontId="0" fillId="15" borderId="7" xfId="0" applyNumberFormat="1" applyFill="1" applyBorder="1"/>
    <xf numFmtId="168" fontId="97" fillId="15" borderId="0" xfId="0" applyNumberFormat="1" applyFont="1" applyFill="1"/>
    <xf numFmtId="9" fontId="91" fillId="15" borderId="0" xfId="0" applyNumberFormat="1" applyFont="1" applyFill="1"/>
    <xf numFmtId="0" fontId="74" fillId="15" borderId="7" xfId="0" quotePrefix="1" applyFont="1" applyFill="1" applyBorder="1" applyAlignment="1">
      <alignment horizontal="left"/>
    </xf>
    <xf numFmtId="167" fontId="88" fillId="13" borderId="0" xfId="0" applyNumberFormat="1" applyFont="1" applyFill="1" applyAlignment="1">
      <alignment horizontal="center"/>
    </xf>
    <xf numFmtId="166" fontId="103" fillId="12" borderId="7" xfId="0" applyNumberFormat="1" applyFont="1" applyFill="1" applyBorder="1" applyAlignment="1">
      <alignment horizontal="right"/>
    </xf>
    <xf numFmtId="0" fontId="76" fillId="12" borderId="7" xfId="0" applyFont="1" applyFill="1" applyBorder="1"/>
    <xf numFmtId="0" fontId="65" fillId="12" borderId="39" xfId="0" applyFont="1" applyFill="1" applyBorder="1"/>
    <xf numFmtId="0" fontId="78" fillId="12" borderId="39" xfId="0" applyFont="1" applyFill="1" applyBorder="1"/>
    <xf numFmtId="166" fontId="0" fillId="12" borderId="42" xfId="0" applyNumberFormat="1" applyFill="1" applyBorder="1"/>
    <xf numFmtId="166" fontId="0" fillId="12" borderId="39" xfId="0" applyNumberFormat="1" applyFill="1" applyBorder="1"/>
    <xf numFmtId="166" fontId="0" fillId="12" borderId="32" xfId="0" applyNumberFormat="1" applyFill="1" applyBorder="1"/>
    <xf numFmtId="166" fontId="98" fillId="12" borderId="39" xfId="0" applyNumberFormat="1" applyFont="1" applyFill="1" applyBorder="1"/>
    <xf numFmtId="0" fontId="78" fillId="12" borderId="33" xfId="0" applyFont="1" applyFill="1" applyBorder="1" applyAlignment="1">
      <alignment horizontal="right"/>
    </xf>
    <xf numFmtId="166" fontId="67" fillId="12" borderId="33" xfId="0" applyNumberFormat="1" applyFont="1" applyFill="1" applyBorder="1" applyAlignment="1">
      <alignment horizontal="right"/>
    </xf>
    <xf numFmtId="166" fontId="0" fillId="12" borderId="41" xfId="0" applyNumberFormat="1" applyFill="1" applyBorder="1"/>
    <xf numFmtId="166" fontId="0" fillId="12" borderId="33" xfId="0" applyNumberFormat="1" applyFill="1" applyBorder="1"/>
    <xf numFmtId="166" fontId="104" fillId="12" borderId="33" xfId="0" applyNumberFormat="1" applyFont="1" applyFill="1" applyBorder="1"/>
    <xf numFmtId="166" fontId="104" fillId="12" borderId="36" xfId="0" applyNumberFormat="1" applyFont="1" applyFill="1" applyBorder="1"/>
    <xf numFmtId="166" fontId="71" fillId="12" borderId="7" xfId="0" applyNumberFormat="1" applyFont="1" applyFill="1" applyBorder="1"/>
    <xf numFmtId="167" fontId="85" fillId="12" borderId="7" xfId="0" applyNumberFormat="1" applyFont="1" applyFill="1" applyBorder="1" applyAlignment="1">
      <alignment horizontal="right"/>
    </xf>
    <xf numFmtId="0" fontId="78" fillId="12" borderId="39" xfId="0" applyFont="1" applyFill="1" applyBorder="1" applyAlignment="1">
      <alignment horizontal="right"/>
    </xf>
    <xf numFmtId="0" fontId="105" fillId="12" borderId="33" xfId="0" applyFont="1" applyFill="1" applyBorder="1"/>
    <xf numFmtId="0" fontId="106" fillId="12" borderId="33" xfId="0" applyFont="1" applyFill="1" applyBorder="1"/>
    <xf numFmtId="166" fontId="103" fillId="12" borderId="39" xfId="0" applyNumberFormat="1" applyFont="1" applyFill="1" applyBorder="1" applyAlignment="1">
      <alignment horizontal="right"/>
    </xf>
    <xf numFmtId="166" fontId="107" fillId="15" borderId="7" xfId="0" applyNumberFormat="1" applyFont="1" applyFill="1" applyBorder="1"/>
    <xf numFmtId="166" fontId="107" fillId="15" borderId="10" xfId="0" applyNumberFormat="1" applyFont="1" applyFill="1" applyBorder="1"/>
    <xf numFmtId="1" fontId="87" fillId="12" borderId="7" xfId="0" applyNumberFormat="1" applyFont="1" applyFill="1" applyBorder="1" applyAlignment="1">
      <alignment horizontal="right"/>
    </xf>
    <xf numFmtId="0" fontId="108" fillId="16" borderId="0" xfId="0" applyFont="1" applyFill="1" applyAlignment="1">
      <alignment horizontal="fill" shrinkToFit="1"/>
    </xf>
    <xf numFmtId="0" fontId="108" fillId="17" borderId="0" xfId="0" applyFont="1" applyFill="1" applyAlignment="1">
      <alignment horizontal="fill"/>
    </xf>
    <xf numFmtId="0" fontId="108" fillId="18" borderId="0" xfId="0" applyFont="1" applyFill="1" applyAlignment="1">
      <alignment horizontal="fill"/>
    </xf>
    <xf numFmtId="172" fontId="109" fillId="0" borderId="0" xfId="0" applyNumberFormat="1" applyFont="1"/>
    <xf numFmtId="172" fontId="109" fillId="0" borderId="43" xfId="0" applyNumberFormat="1" applyFont="1" applyBorder="1"/>
    <xf numFmtId="172" fontId="109" fillId="19" borderId="0" xfId="0" applyNumberFormat="1" applyFont="1" applyFill="1"/>
    <xf numFmtId="0" fontId="110" fillId="0" borderId="28" xfId="0" applyFont="1" applyBorder="1" applyAlignment="1">
      <alignment horizontal="center"/>
    </xf>
    <xf numFmtId="0" fontId="111" fillId="0" borderId="28" xfId="0" applyFont="1" applyBorder="1" applyAlignment="1">
      <alignment horizontal="center"/>
    </xf>
    <xf numFmtId="0" fontId="112" fillId="20" borderId="0" xfId="9" applyFont="1" applyFill="1" applyAlignment="1">
      <alignment horizontal="left" indent="1"/>
    </xf>
    <xf numFmtId="167" fontId="80" fillId="0" borderId="0" xfId="0" applyNumberFormat="1" applyFont="1"/>
    <xf numFmtId="167" fontId="80" fillId="0" borderId="43" xfId="0" applyNumberFormat="1" applyFont="1" applyBorder="1"/>
    <xf numFmtId="167" fontId="80" fillId="19" borderId="0" xfId="0" applyNumberFormat="1" applyFont="1" applyFill="1"/>
    <xf numFmtId="49" fontId="110" fillId="0" borderId="0" xfId="0" applyNumberFormat="1" applyFont="1" applyAlignment="1">
      <alignment horizontal="center"/>
    </xf>
    <xf numFmtId="49" fontId="111" fillId="0" borderId="0" xfId="0" applyNumberFormat="1" applyFont="1" applyAlignment="1">
      <alignment horizontal="center"/>
    </xf>
    <xf numFmtId="167" fontId="111" fillId="0" borderId="0" xfId="0" applyNumberFormat="1" applyFont="1" applyAlignment="1">
      <alignment horizontal="center"/>
    </xf>
    <xf numFmtId="167" fontId="111" fillId="0" borderId="43" xfId="0" applyNumberFormat="1" applyFont="1" applyBorder="1" applyAlignment="1">
      <alignment horizontal="center"/>
    </xf>
    <xf numFmtId="0" fontId="111" fillId="0" borderId="27" xfId="0" applyFont="1" applyBorder="1"/>
    <xf numFmtId="167" fontId="80" fillId="0" borderId="28" xfId="0" applyNumberFormat="1" applyFont="1" applyBorder="1"/>
    <xf numFmtId="167" fontId="80" fillId="0" borderId="44" xfId="0" applyNumberFormat="1" applyFont="1" applyBorder="1"/>
    <xf numFmtId="167" fontId="80" fillId="19" borderId="28" xfId="0" applyNumberFormat="1" applyFont="1" applyFill="1" applyBorder="1"/>
    <xf numFmtId="167" fontId="80" fillId="0" borderId="45" xfId="0" applyNumberFormat="1" applyFont="1" applyBorder="1"/>
    <xf numFmtId="0" fontId="113" fillId="0" borderId="0" xfId="0" applyFont="1"/>
    <xf numFmtId="0" fontId="111" fillId="5" borderId="0" xfId="0" applyFont="1" applyFill="1" applyAlignment="1">
      <alignment horizontal="left" indent="1"/>
    </xf>
    <xf numFmtId="167" fontId="80" fillId="5" borderId="0" xfId="0" applyNumberFormat="1" applyFont="1" applyFill="1"/>
    <xf numFmtId="167" fontId="80" fillId="5" borderId="23" xfId="0" applyNumberFormat="1" applyFont="1" applyFill="1" applyBorder="1"/>
    <xf numFmtId="167" fontId="80" fillId="5" borderId="43" xfId="0" applyNumberFormat="1" applyFont="1" applyFill="1" applyBorder="1"/>
    <xf numFmtId="0" fontId="80" fillId="5" borderId="0" xfId="0" applyFont="1" applyFill="1" applyAlignment="1">
      <alignment horizontal="left" indent="2"/>
    </xf>
    <xf numFmtId="0" fontId="80" fillId="5" borderId="0" xfId="0" applyFont="1" applyFill="1" applyAlignment="1">
      <alignment horizontal="left" indent="1"/>
    </xf>
    <xf numFmtId="0" fontId="80" fillId="5" borderId="0" xfId="0" applyFont="1" applyFill="1"/>
    <xf numFmtId="0" fontId="108" fillId="5" borderId="0" xfId="0" applyFont="1" applyFill="1" applyAlignment="1">
      <alignment horizontal="left" indent="1"/>
    </xf>
    <xf numFmtId="0" fontId="80" fillId="5" borderId="0" xfId="0" applyFont="1" applyFill="1" applyAlignment="1">
      <alignment horizontal="left" indent="3"/>
    </xf>
    <xf numFmtId="0" fontId="80" fillId="5" borderId="0" xfId="0" applyFont="1" applyFill="1" applyAlignment="1">
      <alignment horizontal="left" indent="4"/>
    </xf>
    <xf numFmtId="0" fontId="80" fillId="5" borderId="0" xfId="6" applyFont="1" applyFill="1" applyAlignment="1">
      <alignment horizontal="left" indent="2"/>
    </xf>
    <xf numFmtId="0" fontId="114" fillId="5" borderId="0" xfId="10" applyFont="1" applyFill="1"/>
    <xf numFmtId="0" fontId="112" fillId="5" borderId="0" xfId="10" applyFont="1" applyFill="1" applyAlignment="1">
      <alignment horizontal="left" indent="1"/>
    </xf>
    <xf numFmtId="0" fontId="112" fillId="5" borderId="0" xfId="10" applyFont="1" applyFill="1"/>
    <xf numFmtId="0" fontId="115" fillId="5" borderId="0" xfId="10" applyFont="1" applyFill="1" applyAlignment="1">
      <alignment horizontal="left" indent="1"/>
    </xf>
    <xf numFmtId="0" fontId="108" fillId="5" borderId="0" xfId="0" applyFont="1" applyFill="1"/>
    <xf numFmtId="0" fontId="111" fillId="5" borderId="0" xfId="0" applyFont="1" applyFill="1"/>
    <xf numFmtId="0" fontId="116" fillId="5" borderId="0" xfId="0" applyFont="1" applyFill="1" applyAlignment="1">
      <alignment horizontal="left" indent="1"/>
    </xf>
    <xf numFmtId="0" fontId="117" fillId="5" borderId="0" xfId="0" applyFont="1" applyFill="1" applyAlignment="1">
      <alignment horizontal="left" indent="5"/>
    </xf>
    <xf numFmtId="0" fontId="117" fillId="5" borderId="0" xfId="0" applyFont="1" applyFill="1" applyAlignment="1">
      <alignment horizontal="left" indent="3"/>
    </xf>
    <xf numFmtId="167" fontId="118" fillId="5" borderId="0" xfId="0" applyNumberFormat="1" applyFont="1" applyFill="1"/>
    <xf numFmtId="0" fontId="119" fillId="5" borderId="0" xfId="9" applyFont="1" applyFill="1">
      <alignment vertical="top"/>
    </xf>
    <xf numFmtId="0" fontId="120" fillId="5" borderId="0" xfId="9" applyFont="1" applyFill="1" applyAlignment="1">
      <alignment horizontal="left" vertical="top" indent="1"/>
    </xf>
    <xf numFmtId="0" fontId="120" fillId="5" borderId="0" xfId="9" applyFont="1" applyFill="1" applyAlignment="1">
      <alignment horizontal="left" vertical="top" indent="2"/>
    </xf>
    <xf numFmtId="3" fontId="119" fillId="5" borderId="0" xfId="9" applyNumberFormat="1" applyFont="1" applyFill="1">
      <alignment vertical="top"/>
    </xf>
    <xf numFmtId="167" fontId="80" fillId="5" borderId="23" xfId="0" applyNumberFormat="1" applyFont="1" applyFill="1" applyBorder="1" applyAlignment="1">
      <alignment horizontal="right"/>
    </xf>
    <xf numFmtId="167" fontId="80" fillId="5" borderId="0" xfId="0" applyNumberFormat="1" applyFont="1" applyFill="1" applyAlignment="1">
      <alignment horizontal="right"/>
    </xf>
    <xf numFmtId="0" fontId="109" fillId="5" borderId="0" xfId="9" applyFont="1" applyFill="1" applyAlignment="1"/>
    <xf numFmtId="0" fontId="109" fillId="5" borderId="0" xfId="9" applyFont="1" applyFill="1" applyAlignment="1">
      <alignment horizontal="left" indent="1"/>
    </xf>
    <xf numFmtId="0" fontId="112" fillId="5" borderId="0" xfId="9" applyFont="1" applyFill="1" applyAlignment="1">
      <alignment horizontal="left" indent="2"/>
    </xf>
    <xf numFmtId="0" fontId="111" fillId="13" borderId="0" xfId="0" applyFont="1" applyFill="1"/>
    <xf numFmtId="167" fontId="80" fillId="13" borderId="0" xfId="0" applyNumberFormat="1" applyFont="1" applyFill="1" applyAlignment="1">
      <alignment horizontal="right"/>
    </xf>
    <xf numFmtId="167" fontId="80" fillId="13" borderId="23" xfId="0" applyNumberFormat="1" applyFont="1" applyFill="1" applyBorder="1" applyAlignment="1">
      <alignment horizontal="right"/>
    </xf>
    <xf numFmtId="167" fontId="80" fillId="13" borderId="43" xfId="0" applyNumberFormat="1" applyFont="1" applyFill="1" applyBorder="1" applyAlignment="1">
      <alignment horizontal="right"/>
    </xf>
    <xf numFmtId="167" fontId="80" fillId="19" borderId="0" xfId="0" applyNumberFormat="1" applyFont="1" applyFill="1" applyAlignment="1">
      <alignment horizontal="right"/>
    </xf>
    <xf numFmtId="167" fontId="80" fillId="0" borderId="0" xfId="0" applyNumberFormat="1" applyFont="1" applyAlignment="1">
      <alignment horizontal="right"/>
    </xf>
    <xf numFmtId="0" fontId="80" fillId="13" borderId="0" xfId="0" applyFont="1" applyFill="1"/>
    <xf numFmtId="167" fontId="80" fillId="13" borderId="20" xfId="0" applyNumberFormat="1" applyFont="1" applyFill="1" applyBorder="1" applyAlignment="1">
      <alignment horizontal="right"/>
    </xf>
    <xf numFmtId="0" fontId="80" fillId="13" borderId="0" xfId="0" applyFont="1" applyFill="1" applyAlignment="1">
      <alignment horizontal="left" indent="1"/>
    </xf>
    <xf numFmtId="0" fontId="109" fillId="13" borderId="0" xfId="9" applyFont="1" applyFill="1" applyAlignment="1"/>
    <xf numFmtId="0" fontId="112" fillId="13" borderId="0" xfId="9" applyFont="1" applyFill="1" applyAlignment="1">
      <alignment horizontal="left" indent="1"/>
    </xf>
    <xf numFmtId="0" fontId="109" fillId="13" borderId="0" xfId="9" applyFont="1" applyFill="1" applyAlignment="1">
      <alignment horizontal="left" indent="1"/>
    </xf>
    <xf numFmtId="0" fontId="112" fillId="13" borderId="0" xfId="9" applyFont="1" applyFill="1" applyAlignment="1">
      <alignment horizontal="left" indent="2"/>
    </xf>
    <xf numFmtId="0" fontId="112" fillId="13" borderId="0" xfId="9" applyFont="1" applyFill="1" applyAlignment="1">
      <alignment horizontal="left" indent="3"/>
    </xf>
    <xf numFmtId="0" fontId="121" fillId="13" borderId="0" xfId="0" applyFont="1" applyFill="1" applyAlignment="1">
      <alignment horizontal="left"/>
    </xf>
    <xf numFmtId="0" fontId="112" fillId="13" borderId="0" xfId="9" applyFont="1" applyFill="1" applyAlignment="1">
      <alignment horizontal="left" indent="4"/>
    </xf>
    <xf numFmtId="167" fontId="112" fillId="14" borderId="0" xfId="9" applyNumberFormat="1" applyFont="1" applyFill="1" applyAlignment="1"/>
    <xf numFmtId="167" fontId="112" fillId="14" borderId="20" xfId="9" applyNumberFormat="1" applyFont="1" applyFill="1" applyBorder="1" applyAlignment="1"/>
    <xf numFmtId="167" fontId="112" fillId="19" borderId="0" xfId="9" applyNumberFormat="1" applyFont="1" applyFill="1" applyAlignment="1"/>
    <xf numFmtId="167" fontId="112" fillId="0" borderId="0" xfId="9" applyNumberFormat="1" applyFont="1" applyAlignment="1"/>
    <xf numFmtId="0" fontId="80" fillId="0" borderId="46" xfId="0" applyFont="1" applyBorder="1"/>
    <xf numFmtId="167" fontId="80" fillId="19" borderId="46" xfId="0" applyNumberFormat="1" applyFont="1" applyFill="1" applyBorder="1"/>
    <xf numFmtId="167" fontId="80" fillId="0" borderId="46" xfId="0" applyNumberFormat="1" applyFont="1" applyBorder="1"/>
    <xf numFmtId="167" fontId="80" fillId="0" borderId="47" xfId="0" applyNumberFormat="1" applyFont="1" applyBorder="1"/>
    <xf numFmtId="167" fontId="74" fillId="0" borderId="0" xfId="0" applyNumberFormat="1" applyFont="1"/>
    <xf numFmtId="0" fontId="111" fillId="0" borderId="0" xfId="0" applyFont="1"/>
    <xf numFmtId="167" fontId="80" fillId="0" borderId="29" xfId="0" applyNumberFormat="1" applyFont="1" applyBorder="1"/>
    <xf numFmtId="0" fontId="59" fillId="0" borderId="31" xfId="0" applyFont="1" applyBorder="1"/>
    <xf numFmtId="0" fontId="122" fillId="0" borderId="31" xfId="0" applyFont="1" applyBorder="1"/>
    <xf numFmtId="0" fontId="70" fillId="13" borderId="0" xfId="0" applyFont="1" applyFill="1" applyAlignment="1">
      <alignment horizontal="right"/>
    </xf>
    <xf numFmtId="172" fontId="110" fillId="13" borderId="0" xfId="0" applyNumberFormat="1" applyFont="1" applyFill="1"/>
    <xf numFmtId="0" fontId="91" fillId="0" borderId="0" xfId="0" applyFont="1" applyAlignment="1">
      <alignment horizontal="right"/>
    </xf>
    <xf numFmtId="0" fontId="110" fillId="0" borderId="27" xfId="0" applyFont="1" applyBorder="1"/>
    <xf numFmtId="0" fontId="123" fillId="0" borderId="0" xfId="0" applyFont="1"/>
    <xf numFmtId="0" fontId="124" fillId="13" borderId="0" xfId="9" applyFont="1" applyFill="1" applyAlignment="1"/>
    <xf numFmtId="0" fontId="125" fillId="13" borderId="0" xfId="9" applyFont="1" applyFill="1" applyAlignment="1">
      <alignment horizontal="left" indent="1"/>
    </xf>
    <xf numFmtId="0" fontId="124" fillId="13" borderId="0" xfId="9" applyFont="1" applyFill="1" applyAlignment="1">
      <alignment horizontal="left" indent="1"/>
    </xf>
    <xf numFmtId="0" fontId="125" fillId="13" borderId="0" xfId="9" applyFont="1" applyFill="1" applyAlignment="1">
      <alignment horizontal="left" indent="2"/>
    </xf>
    <xf numFmtId="0" fontId="125" fillId="13" borderId="0" xfId="9" applyFont="1" applyFill="1" applyAlignment="1">
      <alignment horizontal="left" indent="3"/>
    </xf>
    <xf numFmtId="0" fontId="123" fillId="13" borderId="0" xfId="0" applyFont="1" applyFill="1" applyAlignment="1">
      <alignment horizontal="left" indent="1"/>
    </xf>
    <xf numFmtId="0" fontId="126" fillId="13" borderId="0" xfId="0" applyFont="1" applyFill="1" applyAlignment="1">
      <alignment horizontal="left"/>
    </xf>
    <xf numFmtId="0" fontId="125" fillId="13" borderId="0" xfId="9" applyFont="1" applyFill="1" applyAlignment="1">
      <alignment horizontal="left" indent="4"/>
    </xf>
    <xf numFmtId="0" fontId="123" fillId="13" borderId="0" xfId="0" applyFont="1" applyFill="1"/>
    <xf numFmtId="49" fontId="83" fillId="0" borderId="28" xfId="0" applyNumberFormat="1" applyFont="1" applyBorder="1" applyAlignment="1">
      <alignment horizontal="right"/>
    </xf>
    <xf numFmtId="172" fontId="110" fillId="0" borderId="28" xfId="0" applyNumberFormat="1" applyFont="1" applyBorder="1"/>
    <xf numFmtId="0" fontId="111" fillId="0" borderId="0" xfId="0" applyFont="1" applyAlignment="1">
      <alignment horizontal="center"/>
    </xf>
    <xf numFmtId="0" fontId="12" fillId="6" borderId="0" xfId="0" applyFont="1" applyFill="1"/>
    <xf numFmtId="0" fontId="14" fillId="6" borderId="0" xfId="0" applyFont="1" applyFill="1"/>
    <xf numFmtId="167" fontId="83" fillId="13" borderId="0" xfId="0" applyNumberFormat="1" applyFont="1" applyFill="1" applyAlignment="1">
      <alignment horizontal="right"/>
    </xf>
    <xf numFmtId="172" fontId="110" fillId="13" borderId="0" xfId="0" applyNumberFormat="1" applyFont="1" applyFill="1" applyAlignment="1">
      <alignment horizontal="right"/>
    </xf>
    <xf numFmtId="0" fontId="111" fillId="0" borderId="31" xfId="0" applyFont="1" applyBorder="1" applyAlignment="1">
      <alignment horizontal="center"/>
    </xf>
    <xf numFmtId="0" fontId="110" fillId="0" borderId="0" xfId="0" applyFont="1" applyAlignment="1">
      <alignment horizontal="center"/>
    </xf>
    <xf numFmtId="167" fontId="111" fillId="0" borderId="29" xfId="0" applyNumberFormat="1" applyFont="1" applyBorder="1" applyAlignment="1">
      <alignment horizontal="center"/>
    </xf>
    <xf numFmtId="167" fontId="80" fillId="19" borderId="48" xfId="0" applyNumberFormat="1" applyFont="1" applyFill="1" applyBorder="1"/>
    <xf numFmtId="167" fontId="72" fillId="13" borderId="0" xfId="0" applyNumberFormat="1" applyFont="1" applyFill="1" applyAlignment="1">
      <alignment horizontal="right"/>
    </xf>
    <xf numFmtId="1" fontId="72" fillId="13" borderId="0" xfId="0" applyNumberFormat="1" applyFont="1" applyFill="1" applyAlignment="1">
      <alignment horizontal="right"/>
    </xf>
    <xf numFmtId="0" fontId="60" fillId="21" borderId="65" xfId="0" applyFont="1" applyFill="1" applyBorder="1"/>
    <xf numFmtId="0" fontId="64" fillId="21" borderId="66" xfId="0" applyFont="1" applyFill="1" applyBorder="1"/>
    <xf numFmtId="49" fontId="70" fillId="21" borderId="66" xfId="0" applyNumberFormat="1" applyFont="1" applyFill="1" applyBorder="1" applyAlignment="1">
      <alignment horizontal="right"/>
    </xf>
    <xf numFmtId="0" fontId="64" fillId="21" borderId="67" xfId="0" applyFont="1" applyFill="1" applyBorder="1"/>
    <xf numFmtId="0" fontId="60" fillId="21" borderId="68" xfId="0" applyFont="1" applyFill="1" applyBorder="1"/>
    <xf numFmtId="0" fontId="64" fillId="21" borderId="0" xfId="0" applyFont="1" applyFill="1"/>
    <xf numFmtId="49" fontId="70" fillId="21" borderId="0" xfId="0" applyNumberFormat="1" applyFont="1" applyFill="1" applyAlignment="1">
      <alignment horizontal="right"/>
    </xf>
    <xf numFmtId="0" fontId="64" fillId="21" borderId="69" xfId="0" applyFont="1" applyFill="1" applyBorder="1"/>
    <xf numFmtId="166" fontId="71" fillId="21" borderId="0" xfId="0" applyNumberFormat="1" applyFont="1" applyFill="1" applyAlignment="1">
      <alignment horizontal="right"/>
    </xf>
    <xf numFmtId="166" fontId="71" fillId="21" borderId="69" xfId="0" applyNumberFormat="1" applyFont="1" applyFill="1" applyBorder="1" applyAlignment="1">
      <alignment horizontal="right"/>
    </xf>
    <xf numFmtId="0" fontId="67" fillId="21" borderId="68" xfId="0" applyFont="1" applyFill="1" applyBorder="1"/>
    <xf numFmtId="166" fontId="70" fillId="21" borderId="0" xfId="0" applyNumberFormat="1" applyFont="1" applyFill="1" applyAlignment="1">
      <alignment horizontal="right"/>
    </xf>
    <xf numFmtId="0" fontId="79" fillId="21" borderId="68" xfId="0" applyFont="1" applyFill="1" applyBorder="1" applyAlignment="1">
      <alignment horizontal="left" indent="1"/>
    </xf>
    <xf numFmtId="0" fontId="67" fillId="21" borderId="68" xfId="0" applyFont="1" applyFill="1" applyBorder="1" applyAlignment="1">
      <alignment horizontal="left" indent="3"/>
    </xf>
    <xf numFmtId="0" fontId="128" fillId="21" borderId="68" xfId="0" applyFont="1" applyFill="1" applyBorder="1" applyAlignment="1">
      <alignment horizontal="left" indent="5"/>
    </xf>
    <xf numFmtId="0" fontId="67" fillId="21" borderId="68" xfId="0" applyFont="1" applyFill="1" applyBorder="1" applyAlignment="1">
      <alignment horizontal="left" indent="4"/>
    </xf>
    <xf numFmtId="166" fontId="89" fillId="21" borderId="0" xfId="0" applyNumberFormat="1" applyFont="1" applyFill="1" applyAlignment="1">
      <alignment horizontal="right"/>
    </xf>
    <xf numFmtId="0" fontId="128" fillId="21" borderId="68" xfId="0" applyFont="1" applyFill="1" applyBorder="1" applyAlignment="1">
      <alignment horizontal="left" indent="4"/>
    </xf>
    <xf numFmtId="0" fontId="67" fillId="21" borderId="68" xfId="0" applyFont="1" applyFill="1" applyBorder="1" applyAlignment="1">
      <alignment horizontal="left" indent="2"/>
    </xf>
    <xf numFmtId="0" fontId="79" fillId="21" borderId="68" xfId="0" applyFont="1" applyFill="1" applyBorder="1"/>
    <xf numFmtId="0" fontId="67" fillId="21" borderId="68" xfId="11" applyFont="1" applyFill="1" applyBorder="1" applyAlignment="1"/>
    <xf numFmtId="0" fontId="79" fillId="21" borderId="68" xfId="0" applyFont="1" applyFill="1" applyBorder="1" applyAlignment="1">
      <alignment horizontal="left"/>
    </xf>
    <xf numFmtId="0" fontId="59" fillId="21" borderId="0" xfId="0" applyFont="1" applyFill="1"/>
    <xf numFmtId="0" fontId="128" fillId="21" borderId="68" xfId="0" applyFont="1" applyFill="1" applyBorder="1" applyAlignment="1">
      <alignment horizontal="left" indent="3"/>
    </xf>
    <xf numFmtId="0" fontId="67" fillId="21" borderId="68" xfId="0" applyFont="1" applyFill="1" applyBorder="1" applyAlignment="1">
      <alignment horizontal="left" indent="1"/>
    </xf>
    <xf numFmtId="0" fontId="88" fillId="21" borderId="68" xfId="0" applyFont="1" applyFill="1" applyBorder="1" applyAlignment="1">
      <alignment horizontal="right"/>
    </xf>
    <xf numFmtId="0" fontId="79" fillId="21" borderId="70" xfId="0" applyFont="1" applyFill="1" applyBorder="1"/>
    <xf numFmtId="0" fontId="64" fillId="21" borderId="71" xfId="0" applyFont="1" applyFill="1" applyBorder="1"/>
    <xf numFmtId="166" fontId="71" fillId="21" borderId="72" xfId="0" applyNumberFormat="1" applyFont="1" applyFill="1" applyBorder="1" applyAlignment="1">
      <alignment horizontal="right"/>
    </xf>
    <xf numFmtId="167" fontId="80" fillId="22" borderId="0" xfId="0" applyNumberFormat="1" applyFont="1" applyFill="1"/>
    <xf numFmtId="0" fontId="109" fillId="23" borderId="0" xfId="9" applyFont="1" applyFill="1" applyAlignment="1"/>
    <xf numFmtId="167" fontId="112" fillId="23" borderId="0" xfId="9" applyNumberFormat="1" applyFont="1" applyFill="1" applyAlignment="1"/>
    <xf numFmtId="167" fontId="112" fillId="23" borderId="20" xfId="9" applyNumberFormat="1" applyFont="1" applyFill="1" applyBorder="1" applyAlignment="1"/>
    <xf numFmtId="167" fontId="109" fillId="23" borderId="0" xfId="9" applyNumberFormat="1" applyFont="1" applyFill="1" applyAlignment="1"/>
    <xf numFmtId="167" fontId="112" fillId="23" borderId="43" xfId="9" applyNumberFormat="1" applyFont="1" applyFill="1" applyBorder="1" applyAlignment="1"/>
    <xf numFmtId="0" fontId="112" fillId="23" borderId="0" xfId="9" applyFont="1" applyFill="1" applyAlignment="1"/>
    <xf numFmtId="0" fontId="112" fillId="23" borderId="0" xfId="9" applyFont="1" applyFill="1" applyAlignment="1">
      <alignment horizontal="left" indent="2"/>
    </xf>
    <xf numFmtId="0" fontId="80" fillId="24" borderId="0" xfId="0" applyFont="1" applyFill="1" applyAlignment="1">
      <alignment horizontal="left" indent="1"/>
    </xf>
    <xf numFmtId="167" fontId="80" fillId="24" borderId="0" xfId="0" applyNumberFormat="1" applyFont="1" applyFill="1"/>
    <xf numFmtId="167" fontId="80" fillId="24" borderId="20" xfId="0" applyNumberFormat="1" applyFont="1" applyFill="1" applyBorder="1"/>
    <xf numFmtId="167" fontId="80" fillId="24" borderId="43" xfId="0" applyNumberFormat="1" applyFont="1" applyFill="1" applyBorder="1"/>
    <xf numFmtId="0" fontId="109" fillId="24" borderId="0" xfId="9" applyFont="1" applyFill="1" applyAlignment="1"/>
    <xf numFmtId="167" fontId="112" fillId="24" borderId="0" xfId="9" applyNumberFormat="1" applyFont="1" applyFill="1" applyAlignment="1"/>
    <xf numFmtId="167" fontId="112" fillId="24" borderId="20" xfId="9" applyNumberFormat="1" applyFont="1" applyFill="1" applyBorder="1" applyAlignment="1"/>
    <xf numFmtId="167" fontId="109" fillId="24" borderId="0" xfId="9" applyNumberFormat="1" applyFont="1" applyFill="1" applyAlignment="1"/>
    <xf numFmtId="167" fontId="112" fillId="24" borderId="43" xfId="9" applyNumberFormat="1" applyFont="1" applyFill="1" applyBorder="1" applyAlignment="1"/>
    <xf numFmtId="0" fontId="112" fillId="24" borderId="0" xfId="9" applyFont="1" applyFill="1" applyAlignment="1"/>
    <xf numFmtId="0" fontId="112" fillId="24" borderId="0" xfId="9" applyFont="1" applyFill="1" applyAlignment="1">
      <alignment horizontal="left" indent="1"/>
    </xf>
    <xf numFmtId="0" fontId="80" fillId="24" borderId="46" xfId="0" applyFont="1" applyFill="1" applyBorder="1"/>
    <xf numFmtId="167" fontId="80" fillId="24" borderId="46" xfId="0" applyNumberFormat="1" applyFont="1" applyFill="1" applyBorder="1"/>
    <xf numFmtId="167" fontId="80" fillId="24" borderId="49" xfId="0" applyNumberFormat="1" applyFont="1" applyFill="1" applyBorder="1"/>
    <xf numFmtId="167" fontId="80" fillId="24" borderId="47" xfId="0" applyNumberFormat="1" applyFont="1" applyFill="1" applyBorder="1"/>
    <xf numFmtId="0" fontId="109" fillId="25" borderId="0" xfId="9" applyFont="1" applyFill="1" applyAlignment="1"/>
    <xf numFmtId="167" fontId="109" fillId="25" borderId="0" xfId="9" applyNumberFormat="1" applyFont="1" applyFill="1" applyAlignment="1"/>
    <xf numFmtId="167" fontId="129" fillId="0" borderId="0" xfId="0" applyNumberFormat="1" applyFont="1" applyAlignment="1">
      <alignment horizontal="right"/>
    </xf>
    <xf numFmtId="172" fontId="110" fillId="0" borderId="0" xfId="0" applyNumberFormat="1" applyFont="1" applyAlignment="1">
      <alignment horizontal="right"/>
    </xf>
    <xf numFmtId="166" fontId="112" fillId="23" borderId="0" xfId="9" applyNumberFormat="1" applyFont="1" applyFill="1" applyAlignment="1"/>
    <xf numFmtId="166" fontId="112" fillId="23" borderId="46" xfId="9" applyNumberFormat="1" applyFont="1" applyFill="1" applyBorder="1" applyAlignment="1"/>
    <xf numFmtId="167" fontId="111" fillId="0" borderId="46" xfId="0" applyNumberFormat="1" applyFont="1" applyBorder="1" applyAlignment="1">
      <alignment horizontal="center"/>
    </xf>
    <xf numFmtId="167" fontId="111" fillId="0" borderId="0" xfId="0" applyNumberFormat="1" applyFont="1" applyAlignment="1">
      <alignment horizontal="right"/>
    </xf>
    <xf numFmtId="1" fontId="111" fillId="0" borderId="0" xfId="0" applyNumberFormat="1" applyFont="1"/>
    <xf numFmtId="0" fontId="111" fillId="0" borderId="0" xfId="0" applyFont="1" applyAlignment="1">
      <alignment horizontal="right"/>
    </xf>
    <xf numFmtId="167" fontId="111" fillId="0" borderId="28" xfId="0" applyNumberFormat="1" applyFont="1" applyBorder="1" applyAlignment="1">
      <alignment horizontal="right"/>
    </xf>
    <xf numFmtId="1" fontId="110" fillId="0" borderId="0" xfId="0" applyNumberFormat="1" applyFont="1"/>
    <xf numFmtId="0" fontId="110" fillId="0" borderId="0" xfId="0" applyFont="1" applyAlignment="1">
      <alignment horizontal="right"/>
    </xf>
    <xf numFmtId="0" fontId="110" fillId="0" borderId="31" xfId="0" applyFont="1" applyBorder="1" applyAlignment="1">
      <alignment horizontal="right"/>
    </xf>
    <xf numFmtId="49" fontId="111" fillId="0" borderId="0" xfId="0" applyNumberFormat="1" applyFont="1" applyAlignment="1">
      <alignment horizontal="right"/>
    </xf>
    <xf numFmtId="0" fontId="110" fillId="0" borderId="28" xfId="0" applyFont="1" applyBorder="1" applyAlignment="1">
      <alignment horizontal="right"/>
    </xf>
    <xf numFmtId="0" fontId="79" fillId="26" borderId="0" xfId="0" applyFont="1" applyFill="1" applyAlignment="1">
      <alignment horizontal="left" indent="1"/>
    </xf>
    <xf numFmtId="0" fontId="67" fillId="26" borderId="0" xfId="0" applyFont="1" applyFill="1" applyAlignment="1">
      <alignment horizontal="left" indent="1"/>
    </xf>
    <xf numFmtId="0" fontId="128" fillId="26" borderId="0" xfId="0" applyFont="1" applyFill="1" applyAlignment="1">
      <alignment horizontal="left" indent="1"/>
    </xf>
    <xf numFmtId="0" fontId="80" fillId="27" borderId="0" xfId="0" applyFont="1" applyFill="1"/>
    <xf numFmtId="167" fontId="80" fillId="27" borderId="0" xfId="0" applyNumberFormat="1" applyFont="1" applyFill="1"/>
    <xf numFmtId="172" fontId="109" fillId="23" borderId="0" xfId="9" applyNumberFormat="1" applyFont="1" applyFill="1" applyAlignment="1"/>
    <xf numFmtId="172" fontId="60" fillId="21" borderId="65" xfId="0" applyNumberFormat="1" applyFont="1" applyFill="1" applyBorder="1"/>
    <xf numFmtId="172" fontId="130" fillId="21" borderId="65" xfId="0" applyNumberFormat="1" applyFont="1" applyFill="1" applyBorder="1"/>
    <xf numFmtId="167" fontId="112" fillId="0" borderId="0" xfId="0" applyNumberFormat="1" applyFont="1"/>
    <xf numFmtId="167" fontId="112" fillId="0" borderId="0" xfId="0" quotePrefix="1" applyNumberFormat="1" applyFont="1" applyAlignment="1">
      <alignment horizontal="right"/>
    </xf>
    <xf numFmtId="166" fontId="70" fillId="21" borderId="71" xfId="0" applyNumberFormat="1" applyFont="1" applyFill="1" applyBorder="1" applyAlignment="1">
      <alignment horizontal="right"/>
    </xf>
    <xf numFmtId="49" fontId="70" fillId="21" borderId="73" xfId="0" applyNumberFormat="1" applyFont="1" applyFill="1" applyBorder="1" applyAlignment="1">
      <alignment horizontal="right"/>
    </xf>
    <xf numFmtId="49" fontId="70" fillId="21" borderId="74" xfId="0" applyNumberFormat="1" applyFont="1" applyFill="1" applyBorder="1" applyAlignment="1">
      <alignment horizontal="right"/>
    </xf>
    <xf numFmtId="166" fontId="70" fillId="21" borderId="74" xfId="0" applyNumberFormat="1" applyFont="1" applyFill="1" applyBorder="1" applyAlignment="1">
      <alignment horizontal="right"/>
    </xf>
    <xf numFmtId="166" fontId="71" fillId="21" borderId="74" xfId="0" applyNumberFormat="1" applyFont="1" applyFill="1" applyBorder="1" applyAlignment="1">
      <alignment horizontal="right"/>
    </xf>
    <xf numFmtId="0" fontId="59" fillId="21" borderId="74" xfId="0" applyFont="1" applyFill="1" applyBorder="1"/>
    <xf numFmtId="166" fontId="89" fillId="21" borderId="74" xfId="0" applyNumberFormat="1" applyFont="1" applyFill="1" applyBorder="1" applyAlignment="1">
      <alignment horizontal="right"/>
    </xf>
    <xf numFmtId="166" fontId="70" fillId="21" borderId="75" xfId="0" applyNumberFormat="1" applyFont="1" applyFill="1" applyBorder="1" applyAlignment="1">
      <alignment horizontal="right"/>
    </xf>
    <xf numFmtId="0" fontId="76" fillId="0" borderId="0" xfId="0" applyFont="1" applyAlignment="1">
      <alignment horizontal="left"/>
    </xf>
    <xf numFmtId="167" fontId="64" fillId="27" borderId="0" xfId="0" applyNumberFormat="1" applyFont="1" applyFill="1"/>
    <xf numFmtId="167" fontId="60" fillId="27" borderId="0" xfId="0" applyNumberFormat="1" applyFont="1" applyFill="1"/>
    <xf numFmtId="1" fontId="70" fillId="27" borderId="0" xfId="0" applyNumberFormat="1" applyFont="1" applyFill="1"/>
    <xf numFmtId="166" fontId="80" fillId="0" borderId="0" xfId="0" applyNumberFormat="1" applyFont="1"/>
    <xf numFmtId="166" fontId="80" fillId="28" borderId="0" xfId="0" applyNumberFormat="1" applyFont="1" applyFill="1"/>
    <xf numFmtId="166" fontId="80" fillId="29" borderId="0" xfId="0" applyNumberFormat="1" applyFont="1" applyFill="1"/>
    <xf numFmtId="166" fontId="112" fillId="29" borderId="0" xfId="0" applyNumberFormat="1" applyFont="1" applyFill="1"/>
    <xf numFmtId="0" fontId="60" fillId="27" borderId="0" xfId="0" applyFont="1" applyFill="1"/>
    <xf numFmtId="172" fontId="130" fillId="27" borderId="0" xfId="0" applyNumberFormat="1" applyFont="1" applyFill="1"/>
    <xf numFmtId="0" fontId="111" fillId="27" borderId="0" xfId="0" applyFont="1" applyFill="1"/>
    <xf numFmtId="0" fontId="117" fillId="27" borderId="0" xfId="0" applyFont="1" applyFill="1"/>
    <xf numFmtId="0" fontId="131" fillId="27" borderId="0" xfId="0" applyFont="1" applyFill="1"/>
    <xf numFmtId="167" fontId="131" fillId="27" borderId="0" xfId="0" applyNumberFormat="1" applyFont="1" applyFill="1"/>
    <xf numFmtId="167" fontId="111" fillId="27" borderId="0" xfId="0" applyNumberFormat="1" applyFont="1" applyFill="1"/>
    <xf numFmtId="167" fontId="0" fillId="27" borderId="0" xfId="0" applyNumberFormat="1" applyFill="1"/>
    <xf numFmtId="167" fontId="98" fillId="27" borderId="0" xfId="0" applyNumberFormat="1" applyFont="1" applyFill="1"/>
    <xf numFmtId="0" fontId="132" fillId="0" borderId="35" xfId="0" applyFont="1" applyBorder="1"/>
    <xf numFmtId="0" fontId="132" fillId="0" borderId="26" xfId="0" applyFont="1" applyBorder="1"/>
    <xf numFmtId="166" fontId="64" fillId="27" borderId="0" xfId="0" applyNumberFormat="1" applyFont="1" applyFill="1"/>
    <xf numFmtId="166" fontId="84" fillId="27" borderId="0" xfId="0" applyNumberFormat="1" applyFont="1" applyFill="1"/>
    <xf numFmtId="167" fontId="77" fillId="27" borderId="0" xfId="0" applyNumberFormat="1" applyFont="1" applyFill="1"/>
    <xf numFmtId="166" fontId="72" fillId="27" borderId="0" xfId="0" applyNumberFormat="1" applyFont="1" applyFill="1"/>
    <xf numFmtId="166" fontId="127" fillId="27" borderId="0" xfId="0" applyNumberFormat="1" applyFont="1" applyFill="1"/>
    <xf numFmtId="0" fontId="73" fillId="0" borderId="0" xfId="0" applyFont="1"/>
    <xf numFmtId="0" fontId="116" fillId="27" borderId="0" xfId="0" applyFont="1" applyFill="1"/>
    <xf numFmtId="167" fontId="111" fillId="13" borderId="0" xfId="0" applyNumberFormat="1" applyFont="1" applyFill="1" applyAlignment="1">
      <alignment horizontal="right"/>
    </xf>
    <xf numFmtId="167" fontId="108" fillId="13" borderId="0" xfId="0" applyNumberFormat="1" applyFont="1" applyFill="1" applyAlignment="1">
      <alignment horizontal="right"/>
    </xf>
    <xf numFmtId="49" fontId="110" fillId="27" borderId="28" xfId="0" applyNumberFormat="1" applyFont="1" applyFill="1" applyBorder="1" applyAlignment="1">
      <alignment horizontal="center"/>
    </xf>
    <xf numFmtId="167" fontId="111" fillId="27" borderId="0" xfId="0" applyNumberFormat="1" applyFont="1" applyFill="1" applyAlignment="1">
      <alignment horizontal="center"/>
    </xf>
    <xf numFmtId="167" fontId="73" fillId="27" borderId="0" xfId="0" applyNumberFormat="1" applyFont="1" applyFill="1"/>
    <xf numFmtId="167" fontId="59" fillId="27" borderId="0" xfId="0" applyNumberFormat="1" applyFont="1" applyFill="1"/>
    <xf numFmtId="167" fontId="133" fillId="27" borderId="0" xfId="0" applyNumberFormat="1" applyFont="1" applyFill="1"/>
    <xf numFmtId="0" fontId="124" fillId="30" borderId="0" xfId="9" applyFont="1" applyFill="1" applyAlignment="1"/>
    <xf numFmtId="167" fontId="112" fillId="30" borderId="0" xfId="9" applyNumberFormat="1" applyFont="1" applyFill="1" applyAlignment="1"/>
    <xf numFmtId="1" fontId="79" fillId="30" borderId="0" xfId="9" applyNumberFormat="1" applyFont="1" applyFill="1" applyAlignment="1"/>
    <xf numFmtId="0" fontId="125" fillId="30" borderId="0" xfId="9" applyFont="1" applyFill="1" applyAlignment="1"/>
    <xf numFmtId="166" fontId="67" fillId="30" borderId="0" xfId="9" applyNumberFormat="1" applyFont="1" applyFill="1" applyAlignment="1"/>
    <xf numFmtId="0" fontId="125" fillId="30" borderId="0" xfId="9" applyFont="1" applyFill="1" applyAlignment="1">
      <alignment horizontal="left" indent="2"/>
    </xf>
    <xf numFmtId="166" fontId="79" fillId="30" borderId="0" xfId="9" applyNumberFormat="1" applyFont="1" applyFill="1" applyAlignment="1"/>
    <xf numFmtId="0" fontId="123" fillId="30" borderId="0" xfId="0" applyFont="1" applyFill="1" applyAlignment="1">
      <alignment horizontal="left" indent="1"/>
    </xf>
    <xf numFmtId="167" fontId="80" fillId="30" borderId="0" xfId="0" applyNumberFormat="1" applyFont="1" applyFill="1"/>
    <xf numFmtId="0" fontId="125" fillId="30" borderId="0" xfId="9" applyFont="1" applyFill="1" applyAlignment="1">
      <alignment horizontal="left" indent="1"/>
    </xf>
    <xf numFmtId="0" fontId="123" fillId="30" borderId="46" xfId="0" applyFont="1" applyFill="1" applyBorder="1"/>
    <xf numFmtId="167" fontId="80" fillId="30" borderId="46" xfId="0" applyNumberFormat="1" applyFont="1" applyFill="1" applyBorder="1"/>
    <xf numFmtId="166" fontId="67" fillId="30" borderId="46" xfId="9" applyNumberFormat="1" applyFont="1" applyFill="1" applyBorder="1" applyAlignment="1"/>
    <xf numFmtId="0" fontId="80" fillId="31" borderId="0" xfId="0" applyFont="1" applyFill="1" applyAlignment="1">
      <alignment horizontal="left" indent="2"/>
    </xf>
    <xf numFmtId="172" fontId="110" fillId="31" borderId="0" xfId="0" applyNumberFormat="1" applyFont="1" applyFill="1" applyAlignment="1">
      <alignment horizontal="right"/>
    </xf>
    <xf numFmtId="167" fontId="80" fillId="31" borderId="0" xfId="0" applyNumberFormat="1" applyFont="1" applyFill="1"/>
    <xf numFmtId="0" fontId="111" fillId="31" borderId="0" xfId="0" applyFont="1" applyFill="1"/>
    <xf numFmtId="167" fontId="80" fillId="31" borderId="20" xfId="0" applyNumberFormat="1" applyFont="1" applyFill="1" applyBorder="1"/>
    <xf numFmtId="167" fontId="80" fillId="31" borderId="43" xfId="0" applyNumberFormat="1" applyFont="1" applyFill="1" applyBorder="1"/>
    <xf numFmtId="0" fontId="111" fillId="31" borderId="0" xfId="0" applyFont="1" applyFill="1" applyAlignment="1">
      <alignment horizontal="left" indent="1"/>
    </xf>
    <xf numFmtId="0" fontId="80" fillId="31" borderId="0" xfId="0" applyFont="1" applyFill="1" applyAlignment="1">
      <alignment horizontal="left" indent="1"/>
    </xf>
    <xf numFmtId="0" fontId="80" fillId="31" borderId="0" xfId="0" applyFont="1" applyFill="1"/>
    <xf numFmtId="167" fontId="80" fillId="32" borderId="0" xfId="0" applyNumberFormat="1" applyFont="1" applyFill="1"/>
    <xf numFmtId="167" fontId="80" fillId="33" borderId="0" xfId="0" applyNumberFormat="1" applyFont="1" applyFill="1"/>
    <xf numFmtId="167" fontId="134" fillId="27" borderId="0" xfId="0" applyNumberFormat="1" applyFont="1" applyFill="1"/>
    <xf numFmtId="167" fontId="135" fillId="27" borderId="0" xfId="0" applyNumberFormat="1" applyFont="1" applyFill="1"/>
    <xf numFmtId="167" fontId="108" fillId="27" borderId="0" xfId="0" applyNumberFormat="1" applyFont="1" applyFill="1"/>
    <xf numFmtId="0" fontId="108" fillId="27" borderId="0" xfId="0" applyFont="1" applyFill="1"/>
    <xf numFmtId="167" fontId="136" fillId="27" borderId="0" xfId="0" applyNumberFormat="1" applyFont="1" applyFill="1"/>
    <xf numFmtId="1" fontId="123" fillId="27" borderId="0" xfId="0" applyNumberFormat="1" applyFont="1" applyFill="1"/>
    <xf numFmtId="0" fontId="123" fillId="27" borderId="0" xfId="0" applyFont="1" applyFill="1" applyAlignment="1">
      <alignment horizontal="right"/>
    </xf>
    <xf numFmtId="168" fontId="59" fillId="27" borderId="0" xfId="0" applyNumberFormat="1" applyFont="1" applyFill="1"/>
    <xf numFmtId="0" fontId="64" fillId="0" borderId="0" xfId="0" applyFont="1" applyAlignment="1">
      <alignment horizontal="right"/>
    </xf>
    <xf numFmtId="0" fontId="74" fillId="0" borderId="0" xfId="0" applyFont="1" applyAlignment="1">
      <alignment horizontal="right"/>
    </xf>
    <xf numFmtId="166" fontId="64" fillId="15" borderId="76" xfId="0" applyNumberFormat="1" applyFont="1" applyFill="1" applyBorder="1"/>
    <xf numFmtId="166" fontId="64" fillId="15" borderId="77" xfId="0" applyNumberFormat="1" applyFont="1" applyFill="1" applyBorder="1"/>
    <xf numFmtId="166" fontId="64" fillId="15" borderId="78" xfId="0" applyNumberFormat="1" applyFont="1" applyFill="1" applyBorder="1"/>
    <xf numFmtId="166" fontId="64" fillId="15" borderId="79" xfId="0" applyNumberFormat="1" applyFont="1" applyFill="1" applyBorder="1"/>
    <xf numFmtId="166" fontId="64" fillId="15" borderId="80" xfId="0" applyNumberFormat="1" applyFont="1" applyFill="1" applyBorder="1"/>
    <xf numFmtId="166" fontId="64" fillId="15" borderId="81" xfId="0" applyNumberFormat="1" applyFont="1" applyFill="1" applyBorder="1"/>
    <xf numFmtId="166" fontId="64" fillId="15" borderId="82" xfId="0" applyNumberFormat="1" applyFont="1" applyFill="1" applyBorder="1"/>
    <xf numFmtId="166" fontId="104" fillId="34" borderId="7" xfId="0" applyNumberFormat="1" applyFont="1" applyFill="1" applyBorder="1"/>
    <xf numFmtId="166" fontId="67" fillId="34" borderId="7" xfId="0" applyNumberFormat="1" applyFont="1" applyFill="1" applyBorder="1" applyAlignment="1">
      <alignment horizontal="right"/>
    </xf>
    <xf numFmtId="166" fontId="103" fillId="34" borderId="7" xfId="0" applyNumberFormat="1" applyFont="1" applyFill="1" applyBorder="1" applyAlignment="1">
      <alignment horizontal="right"/>
    </xf>
    <xf numFmtId="166" fontId="137" fillId="34" borderId="7" xfId="0" applyNumberFormat="1" applyFont="1" applyFill="1" applyBorder="1" applyAlignment="1">
      <alignment horizontal="left"/>
    </xf>
    <xf numFmtId="166" fontId="99" fillId="15" borderId="26" xfId="0" applyNumberFormat="1" applyFont="1" applyFill="1" applyBorder="1"/>
    <xf numFmtId="0" fontId="138" fillId="12" borderId="7" xfId="0" applyFont="1" applyFill="1" applyBorder="1"/>
    <xf numFmtId="0" fontId="138" fillId="12" borderId="33" xfId="0" applyFont="1" applyFill="1" applyBorder="1"/>
    <xf numFmtId="0" fontId="65" fillId="12" borderId="50" xfId="0" applyFont="1" applyFill="1" applyBorder="1"/>
    <xf numFmtId="167" fontId="67" fillId="12" borderId="7" xfId="0" applyNumberFormat="1" applyFont="1" applyFill="1" applyBorder="1"/>
    <xf numFmtId="1" fontId="139" fillId="13" borderId="0" xfId="0" applyNumberFormat="1" applyFont="1" applyFill="1" applyAlignment="1">
      <alignment horizontal="right"/>
    </xf>
    <xf numFmtId="167" fontId="64" fillId="18" borderId="0" xfId="0" applyNumberFormat="1" applyFont="1" applyFill="1" applyAlignment="1">
      <alignment horizontal="right"/>
    </xf>
    <xf numFmtId="167" fontId="64" fillId="18" borderId="20" xfId="0" applyNumberFormat="1" applyFont="1" applyFill="1" applyBorder="1" applyAlignment="1">
      <alignment horizontal="right"/>
    </xf>
    <xf numFmtId="167" fontId="95" fillId="13" borderId="20" xfId="0" applyNumberFormat="1" applyFont="1" applyFill="1" applyBorder="1" applyAlignment="1">
      <alignment horizontal="right"/>
    </xf>
    <xf numFmtId="0" fontId="64" fillId="18" borderId="0" xfId="0" applyFont="1" applyFill="1" applyAlignment="1">
      <alignment horizontal="left" indent="3"/>
    </xf>
    <xf numFmtId="167" fontId="67" fillId="18" borderId="0" xfId="0" applyNumberFormat="1" applyFont="1" applyFill="1" applyAlignment="1">
      <alignment horizontal="right"/>
    </xf>
    <xf numFmtId="0" fontId="108" fillId="13" borderId="0" xfId="0" applyFont="1" applyFill="1"/>
    <xf numFmtId="167" fontId="80" fillId="18" borderId="0" xfId="0" applyNumberFormat="1" applyFont="1" applyFill="1"/>
    <xf numFmtId="167" fontId="112" fillId="18" borderId="0" xfId="0" applyNumberFormat="1" applyFont="1" applyFill="1"/>
    <xf numFmtId="167" fontId="99" fillId="0" borderId="0" xfId="0" applyNumberFormat="1" applyFont="1"/>
    <xf numFmtId="167" fontId="96" fillId="12" borderId="7" xfId="0" applyNumberFormat="1" applyFont="1" applyFill="1" applyBorder="1" applyAlignment="1">
      <alignment horizontal="right"/>
    </xf>
    <xf numFmtId="166" fontId="140" fillId="34" borderId="7" xfId="0" applyNumberFormat="1" applyFont="1" applyFill="1" applyBorder="1" applyAlignment="1">
      <alignment horizontal="center"/>
    </xf>
    <xf numFmtId="0" fontId="76" fillId="0" borderId="0" xfId="0" applyFont="1" applyAlignment="1">
      <alignment horizontal="left" vertical="top"/>
    </xf>
    <xf numFmtId="166" fontId="71" fillId="15" borderId="34" xfId="0" applyNumberFormat="1" applyFont="1" applyFill="1" applyBorder="1"/>
    <xf numFmtId="166" fontId="71" fillId="15" borderId="26" xfId="0" applyNumberFormat="1" applyFont="1" applyFill="1" applyBorder="1"/>
    <xf numFmtId="167" fontId="141" fillId="0" borderId="0" xfId="0" applyNumberFormat="1" applyFont="1" applyAlignment="1">
      <alignment horizontal="center"/>
    </xf>
    <xf numFmtId="0" fontId="82" fillId="35" borderId="7" xfId="0" applyFont="1" applyFill="1" applyBorder="1"/>
    <xf numFmtId="166" fontId="0" fillId="35" borderId="7" xfId="0" applyNumberFormat="1" applyFill="1" applyBorder="1"/>
    <xf numFmtId="166" fontId="71" fillId="35" borderId="7" xfId="0" applyNumberFormat="1" applyFont="1" applyFill="1" applyBorder="1"/>
    <xf numFmtId="166" fontId="63" fillId="35" borderId="7" xfId="0" applyNumberFormat="1" applyFont="1" applyFill="1" applyBorder="1" applyAlignment="1">
      <alignment horizontal="right"/>
    </xf>
    <xf numFmtId="171" fontId="85" fillId="35" borderId="0" xfId="0" applyNumberFormat="1" applyFont="1" applyFill="1" applyAlignment="1">
      <alignment horizontal="right"/>
    </xf>
    <xf numFmtId="166" fontId="85" fillId="35" borderId="0" xfId="0" applyNumberFormat="1" applyFont="1" applyFill="1" applyAlignment="1">
      <alignment horizontal="right"/>
    </xf>
    <xf numFmtId="0" fontId="131" fillId="13" borderId="0" xfId="0" applyFont="1" applyFill="1"/>
    <xf numFmtId="166" fontId="71" fillId="15" borderId="10" xfId="0" applyNumberFormat="1" applyFont="1" applyFill="1" applyBorder="1"/>
    <xf numFmtId="1" fontId="74" fillId="15" borderId="21" xfId="0" applyNumberFormat="1" applyFont="1" applyFill="1" applyBorder="1"/>
    <xf numFmtId="1" fontId="74" fillId="15" borderId="24" xfId="0" applyNumberFormat="1" applyFont="1" applyFill="1" applyBorder="1"/>
    <xf numFmtId="1" fontId="74" fillId="0" borderId="0" xfId="0" applyNumberFormat="1" applyFont="1"/>
    <xf numFmtId="167" fontId="83" fillId="27" borderId="0" xfId="0" applyNumberFormat="1" applyFont="1" applyFill="1"/>
    <xf numFmtId="0" fontId="142" fillId="0" borderId="0" xfId="0" applyFont="1"/>
    <xf numFmtId="0" fontId="72" fillId="32" borderId="0" xfId="0" applyFont="1" applyFill="1"/>
    <xf numFmtId="0" fontId="0" fillId="32" borderId="0" xfId="0" applyFill="1"/>
    <xf numFmtId="0" fontId="59" fillId="32" borderId="0" xfId="0" applyFont="1" applyFill="1"/>
    <xf numFmtId="0" fontId="73" fillId="32" borderId="0" xfId="0" applyFont="1" applyFill="1" applyAlignment="1">
      <alignment horizontal="left"/>
    </xf>
    <xf numFmtId="17" fontId="94" fillId="32" borderId="0" xfId="0" quotePrefix="1" applyNumberFormat="1" applyFont="1" applyFill="1" applyAlignment="1">
      <alignment horizontal="center"/>
    </xf>
    <xf numFmtId="0" fontId="64" fillId="32" borderId="0" xfId="0" applyFont="1" applyFill="1" applyAlignment="1">
      <alignment horizontal="left" indent="1"/>
    </xf>
    <xf numFmtId="17" fontId="96" fillId="32" borderId="0" xfId="0" applyNumberFormat="1" applyFont="1" applyFill="1" applyAlignment="1">
      <alignment horizontal="center"/>
    </xf>
    <xf numFmtId="0" fontId="72" fillId="32" borderId="27" xfId="0" applyFont="1" applyFill="1" applyBorder="1"/>
    <xf numFmtId="0" fontId="83" fillId="32" borderId="0" xfId="0" applyFont="1" applyFill="1" applyAlignment="1">
      <alignment horizontal="right"/>
    </xf>
    <xf numFmtId="49" fontId="83" fillId="32" borderId="0" xfId="0" applyNumberFormat="1" applyFont="1" applyFill="1" applyAlignment="1">
      <alignment horizontal="right"/>
    </xf>
    <xf numFmtId="1" fontId="64" fillId="36" borderId="0" xfId="0" applyNumberFormat="1" applyFont="1" applyFill="1"/>
    <xf numFmtId="0" fontId="74" fillId="0" borderId="83" xfId="0" applyFont="1" applyBorder="1" applyAlignment="1">
      <alignment horizontal="left"/>
    </xf>
    <xf numFmtId="0" fontId="74" fillId="0" borderId="83" xfId="0" applyFont="1" applyBorder="1"/>
    <xf numFmtId="0" fontId="59" fillId="0" borderId="83" xfId="0" applyFont="1" applyBorder="1"/>
    <xf numFmtId="0" fontId="0" fillId="0" borderId="83" xfId="0" applyBorder="1"/>
    <xf numFmtId="167" fontId="71" fillId="14" borderId="0" xfId="0" applyNumberFormat="1" applyFont="1" applyFill="1"/>
    <xf numFmtId="2" fontId="92" fillId="15" borderId="7" xfId="0" applyNumberFormat="1" applyFont="1" applyFill="1" applyBorder="1"/>
    <xf numFmtId="1" fontId="86" fillId="15" borderId="84" xfId="0" applyNumberFormat="1" applyFont="1" applyFill="1" applyBorder="1"/>
    <xf numFmtId="0" fontId="142" fillId="15" borderId="7" xfId="0" applyFont="1" applyFill="1" applyBorder="1"/>
    <xf numFmtId="1" fontId="142" fillId="15" borderId="7" xfId="0" applyNumberFormat="1" applyFont="1" applyFill="1" applyBorder="1"/>
    <xf numFmtId="166" fontId="142" fillId="15" borderId="7" xfId="0" applyNumberFormat="1" applyFont="1" applyFill="1" applyBorder="1"/>
    <xf numFmtId="168" fontId="71" fillId="15" borderId="10" xfId="0" applyNumberFormat="1" applyFont="1" applyFill="1" applyBorder="1"/>
    <xf numFmtId="167" fontId="87" fillId="13" borderId="85" xfId="0" applyNumberFormat="1" applyFont="1" applyFill="1" applyBorder="1" applyAlignment="1">
      <alignment horizontal="right"/>
    </xf>
    <xf numFmtId="167" fontId="64" fillId="37" borderId="0" xfId="0" applyNumberFormat="1" applyFont="1" applyFill="1" applyAlignment="1">
      <alignment horizontal="right"/>
    </xf>
    <xf numFmtId="168" fontId="74" fillId="15" borderId="7" xfId="0" applyNumberFormat="1" applyFont="1" applyFill="1" applyBorder="1"/>
    <xf numFmtId="167" fontId="87" fillId="13" borderId="86" xfId="0" applyNumberFormat="1" applyFont="1" applyFill="1" applyBorder="1" applyAlignment="1">
      <alignment horizontal="right"/>
    </xf>
    <xf numFmtId="3" fontId="87" fillId="13" borderId="0" xfId="0" applyNumberFormat="1" applyFont="1" applyFill="1" applyAlignment="1">
      <alignment horizontal="right"/>
    </xf>
    <xf numFmtId="166" fontId="143" fillId="12" borderId="39" xfId="0" applyNumberFormat="1" applyFont="1" applyFill="1" applyBorder="1"/>
    <xf numFmtId="49" fontId="83" fillId="15" borderId="39" xfId="0" applyNumberFormat="1" applyFont="1" applyFill="1" applyBorder="1" applyAlignment="1">
      <alignment horizontal="right"/>
    </xf>
    <xf numFmtId="167" fontId="111" fillId="5" borderId="23" xfId="0" applyNumberFormat="1" applyFont="1" applyFill="1" applyBorder="1"/>
    <xf numFmtId="167" fontId="111" fillId="5" borderId="0" xfId="0" applyNumberFormat="1" applyFont="1" applyFill="1"/>
    <xf numFmtId="167" fontId="111" fillId="0" borderId="0" xfId="0" applyNumberFormat="1" applyFont="1"/>
    <xf numFmtId="167" fontId="80" fillId="18" borderId="0" xfId="0" applyNumberFormat="1" applyFont="1" applyFill="1" applyAlignment="1">
      <alignment horizontal="right"/>
    </xf>
    <xf numFmtId="167" fontId="80" fillId="37" borderId="0" xfId="0" applyNumberFormat="1" applyFont="1" applyFill="1"/>
    <xf numFmtId="0" fontId="83" fillId="0" borderId="26" xfId="0" applyFont="1" applyBorder="1"/>
    <xf numFmtId="168" fontId="67" fillId="15" borderId="7" xfId="0" applyNumberFormat="1" applyFont="1" applyFill="1" applyBorder="1"/>
    <xf numFmtId="172" fontId="110" fillId="27" borderId="0" xfId="0" applyNumberFormat="1" applyFont="1" applyFill="1"/>
    <xf numFmtId="166" fontId="64" fillId="27" borderId="87" xfId="0" applyNumberFormat="1" applyFont="1" applyFill="1" applyBorder="1"/>
    <xf numFmtId="166" fontId="64" fillId="27" borderId="88" xfId="0" applyNumberFormat="1" applyFont="1" applyFill="1" applyBorder="1"/>
    <xf numFmtId="167" fontId="144" fillId="27" borderId="0" xfId="0" applyNumberFormat="1" applyFont="1" applyFill="1"/>
    <xf numFmtId="167" fontId="145" fillId="27" borderId="0" xfId="0" applyNumberFormat="1" applyFont="1" applyFill="1" applyAlignment="1">
      <alignment horizontal="right"/>
    </xf>
    <xf numFmtId="167" fontId="72" fillId="27" borderId="0" xfId="0" applyNumberFormat="1" applyFont="1" applyFill="1"/>
    <xf numFmtId="167" fontId="127" fillId="27" borderId="0" xfId="0" applyNumberFormat="1" applyFont="1" applyFill="1"/>
    <xf numFmtId="167" fontId="146" fillId="27" borderId="0" xfId="0" applyNumberFormat="1" applyFont="1" applyFill="1" applyAlignment="1">
      <alignment horizontal="left"/>
    </xf>
    <xf numFmtId="167" fontId="118" fillId="27" borderId="0" xfId="0" applyNumberFormat="1" applyFont="1" applyFill="1"/>
    <xf numFmtId="167" fontId="147" fillId="27" borderId="0" xfId="0" applyNumberFormat="1" applyFont="1" applyFill="1"/>
    <xf numFmtId="167" fontId="111" fillId="5" borderId="43" xfId="0" applyNumberFormat="1" applyFont="1" applyFill="1" applyBorder="1"/>
    <xf numFmtId="172" fontId="110" fillId="13" borderId="43" xfId="0" applyNumberFormat="1" applyFont="1" applyFill="1" applyBorder="1" applyAlignment="1">
      <alignment horizontal="right"/>
    </xf>
    <xf numFmtId="172" fontId="109" fillId="23" borderId="43" xfId="9" applyNumberFormat="1" applyFont="1" applyFill="1" applyBorder="1" applyAlignment="1"/>
    <xf numFmtId="167" fontId="80" fillId="0" borderId="51" xfId="0" applyNumberFormat="1" applyFont="1" applyBorder="1"/>
    <xf numFmtId="17" fontId="94" fillId="32" borderId="0" xfId="0" applyNumberFormat="1" applyFont="1" applyFill="1" applyAlignment="1">
      <alignment horizontal="center"/>
    </xf>
    <xf numFmtId="0" fontId="80" fillId="38" borderId="0" xfId="0" applyFont="1" applyFill="1"/>
    <xf numFmtId="166" fontId="80" fillId="38" borderId="0" xfId="0" applyNumberFormat="1" applyFont="1" applyFill="1"/>
    <xf numFmtId="167" fontId="80" fillId="39" borderId="0" xfId="0" applyNumberFormat="1" applyFont="1" applyFill="1" applyAlignment="1">
      <alignment horizontal="right"/>
    </xf>
    <xf numFmtId="167" fontId="129" fillId="39" borderId="0" xfId="0" applyNumberFormat="1" applyFont="1" applyFill="1" applyAlignment="1">
      <alignment horizontal="right"/>
    </xf>
    <xf numFmtId="0" fontId="74" fillId="0" borderId="26" xfId="0" applyFont="1" applyBorder="1"/>
    <xf numFmtId="17" fontId="94" fillId="32" borderId="26" xfId="0" applyNumberFormat="1" applyFont="1" applyFill="1" applyBorder="1" applyAlignment="1">
      <alignment horizontal="center"/>
    </xf>
    <xf numFmtId="17" fontId="94" fillId="32" borderId="10" xfId="0" applyNumberFormat="1" applyFont="1" applyFill="1" applyBorder="1" applyAlignment="1">
      <alignment horizontal="center"/>
    </xf>
    <xf numFmtId="17" fontId="96" fillId="32" borderId="26" xfId="0" applyNumberFormat="1" applyFont="1" applyFill="1" applyBorder="1" applyAlignment="1">
      <alignment horizontal="center"/>
    </xf>
    <xf numFmtId="17" fontId="96" fillId="32" borderId="10" xfId="0" applyNumberFormat="1" applyFont="1" applyFill="1" applyBorder="1" applyAlignment="1">
      <alignment horizontal="center"/>
    </xf>
    <xf numFmtId="49" fontId="83" fillId="32" borderId="26" xfId="0" applyNumberFormat="1" applyFont="1" applyFill="1" applyBorder="1" applyAlignment="1">
      <alignment horizontal="right"/>
    </xf>
    <xf numFmtId="49" fontId="83" fillId="32" borderId="10" xfId="0" applyNumberFormat="1" applyFont="1" applyFill="1" applyBorder="1" applyAlignment="1">
      <alignment horizontal="right"/>
    </xf>
    <xf numFmtId="1" fontId="91" fillId="0" borderId="26" xfId="0" applyNumberFormat="1" applyFont="1" applyBorder="1"/>
    <xf numFmtId="167" fontId="112" fillId="18" borderId="0" xfId="0" quotePrefix="1" applyNumberFormat="1" applyFont="1" applyFill="1" applyAlignment="1">
      <alignment horizontal="right"/>
    </xf>
    <xf numFmtId="167" fontId="92" fillId="12" borderId="7" xfId="0" applyNumberFormat="1" applyFont="1" applyFill="1" applyBorder="1" applyAlignment="1">
      <alignment horizontal="right"/>
    </xf>
    <xf numFmtId="166" fontId="92" fillId="12" borderId="7" xfId="0" applyNumberFormat="1" applyFont="1" applyFill="1" applyBorder="1"/>
    <xf numFmtId="167" fontId="80" fillId="18" borderId="43" xfId="0" applyNumberFormat="1" applyFont="1" applyFill="1" applyBorder="1" applyAlignment="1">
      <alignment horizontal="right"/>
    </xf>
    <xf numFmtId="167" fontId="148" fillId="13" borderId="0" xfId="0" applyNumberFormat="1" applyFont="1" applyFill="1" applyAlignment="1">
      <alignment horizontal="right"/>
    </xf>
    <xf numFmtId="0" fontId="149" fillId="0" borderId="0" xfId="0" applyFont="1"/>
    <xf numFmtId="0" fontId="149" fillId="5" borderId="0" xfId="10" applyFont="1" applyFill="1"/>
    <xf numFmtId="167" fontId="149" fillId="5" borderId="0" xfId="0" applyNumberFormat="1" applyFont="1" applyFill="1"/>
    <xf numFmtId="167" fontId="149" fillId="5" borderId="23" xfId="0" applyNumberFormat="1" applyFont="1" applyFill="1" applyBorder="1"/>
    <xf numFmtId="167" fontId="149" fillId="5" borderId="43" xfId="0" applyNumberFormat="1" applyFont="1" applyFill="1" applyBorder="1"/>
    <xf numFmtId="167" fontId="149" fillId="19" borderId="0" xfId="0" applyNumberFormat="1" applyFont="1" applyFill="1"/>
    <xf numFmtId="167" fontId="149" fillId="0" borderId="0" xfId="0" applyNumberFormat="1" applyFont="1"/>
    <xf numFmtId="167" fontId="149" fillId="0" borderId="43" xfId="0" applyNumberFormat="1" applyFont="1" applyBorder="1"/>
    <xf numFmtId="166" fontId="64" fillId="13" borderId="20" xfId="0" applyNumberFormat="1" applyFont="1" applyFill="1" applyBorder="1" applyAlignment="1">
      <alignment horizontal="right"/>
    </xf>
    <xf numFmtId="166" fontId="64" fillId="18" borderId="20" xfId="0" applyNumberFormat="1" applyFont="1" applyFill="1" applyBorder="1" applyAlignment="1">
      <alignment horizontal="right"/>
    </xf>
    <xf numFmtId="167" fontId="112" fillId="13" borderId="0" xfId="0" applyNumberFormat="1" applyFont="1" applyFill="1" applyAlignment="1">
      <alignment horizontal="right"/>
    </xf>
    <xf numFmtId="168" fontId="85" fillId="15" borderId="7" xfId="0" applyNumberFormat="1" applyFont="1" applyFill="1" applyBorder="1"/>
    <xf numFmtId="0" fontId="64" fillId="18" borderId="0" xfId="0" applyFont="1" applyFill="1" applyAlignment="1">
      <alignment horizontal="left" indent="2"/>
    </xf>
    <xf numFmtId="0" fontId="80" fillId="18" borderId="0" xfId="0" applyFont="1" applyFill="1"/>
    <xf numFmtId="0" fontId="67" fillId="18" borderId="0" xfId="0" applyFont="1" applyFill="1" applyAlignment="1">
      <alignment horizontal="left" indent="2"/>
    </xf>
    <xf numFmtId="0" fontId="118" fillId="38" borderId="0" xfId="0" applyFont="1" applyFill="1"/>
    <xf numFmtId="0" fontId="73" fillId="0" borderId="27" xfId="0" applyFont="1" applyBorder="1"/>
    <xf numFmtId="167" fontId="130" fillId="0" borderId="29" xfId="0" applyNumberFormat="1" applyFont="1" applyBorder="1" applyAlignment="1">
      <alignment horizontal="right"/>
    </xf>
    <xf numFmtId="167" fontId="130" fillId="0" borderId="29" xfId="0" applyNumberFormat="1" applyFont="1" applyBorder="1" applyAlignment="1">
      <alignment horizontal="center"/>
    </xf>
    <xf numFmtId="166" fontId="75" fillId="40" borderId="0" xfId="0" applyNumberFormat="1" applyFont="1" applyFill="1" applyAlignment="1">
      <alignment horizontal="left" indent="1"/>
    </xf>
    <xf numFmtId="0" fontId="73" fillId="41" borderId="0" xfId="0" applyFont="1" applyFill="1"/>
    <xf numFmtId="0" fontId="150" fillId="0" borderId="0" xfId="0" applyFont="1"/>
    <xf numFmtId="0" fontId="151" fillId="0" borderId="0" xfId="0" applyFont="1"/>
    <xf numFmtId="0" fontId="151" fillId="0" borderId="0" xfId="0" applyFont="1" applyAlignment="1">
      <alignment horizontal="left" indent="1"/>
    </xf>
    <xf numFmtId="0" fontId="151" fillId="0" borderId="0" xfId="0" applyFont="1" applyAlignment="1">
      <alignment horizontal="left" indent="2"/>
    </xf>
    <xf numFmtId="0" fontId="153" fillId="0" borderId="0" xfId="0" applyFont="1" applyAlignment="1">
      <alignment horizontal="left" indent="4"/>
    </xf>
    <xf numFmtId="0" fontId="150" fillId="0" borderId="0" xfId="0" applyFont="1" applyAlignment="1">
      <alignment horizontal="left" indent="3"/>
    </xf>
    <xf numFmtId="0" fontId="150" fillId="0" borderId="0" xfId="0" applyFont="1" applyAlignment="1">
      <alignment horizontal="left" indent="2"/>
    </xf>
    <xf numFmtId="0" fontId="150" fillId="0" borderId="0" xfId="0" applyFont="1" applyAlignment="1">
      <alignment horizontal="left" indent="4"/>
    </xf>
    <xf numFmtId="0" fontId="150" fillId="0" borderId="0" xfId="0" applyFont="1" applyAlignment="1">
      <alignment horizontal="left" indent="1"/>
    </xf>
    <xf numFmtId="0" fontId="154" fillId="0" borderId="0" xfId="0" applyFont="1" applyAlignment="1">
      <alignment horizontal="left" indent="3"/>
    </xf>
    <xf numFmtId="167" fontId="80" fillId="0" borderId="10" xfId="0" applyNumberFormat="1" applyFont="1" applyBorder="1"/>
    <xf numFmtId="166" fontId="64" fillId="13" borderId="0" xfId="0" applyNumberFormat="1" applyFont="1" applyFill="1" applyAlignment="1">
      <alignment horizontal="right"/>
    </xf>
    <xf numFmtId="0" fontId="72" fillId="13" borderId="0" xfId="0" applyFont="1" applyFill="1" applyAlignment="1">
      <alignment horizontal="left" indent="2"/>
    </xf>
    <xf numFmtId="0" fontId="72" fillId="13" borderId="0" xfId="0" applyFont="1" applyFill="1" applyAlignment="1">
      <alignment horizontal="left" indent="3"/>
    </xf>
    <xf numFmtId="167" fontId="131" fillId="0" borderId="0" xfId="0" applyNumberFormat="1" applyFont="1"/>
    <xf numFmtId="167" fontId="149" fillId="38" borderId="0" xfId="0" applyNumberFormat="1" applyFont="1" applyFill="1"/>
    <xf numFmtId="0" fontId="70" fillId="13" borderId="52" xfId="0" applyFont="1" applyFill="1" applyBorder="1" applyAlignment="1">
      <alignment horizontal="right"/>
    </xf>
    <xf numFmtId="167" fontId="74" fillId="13" borderId="20" xfId="0" applyNumberFormat="1" applyFont="1" applyFill="1" applyBorder="1" applyAlignment="1">
      <alignment horizontal="right"/>
    </xf>
    <xf numFmtId="167" fontId="131" fillId="13" borderId="0" xfId="0" applyNumberFormat="1" applyFont="1" applyFill="1" applyAlignment="1">
      <alignment horizontal="right"/>
    </xf>
    <xf numFmtId="0" fontId="61" fillId="0" borderId="0" xfId="0" applyFont="1"/>
    <xf numFmtId="167" fontId="97" fillId="18" borderId="0" xfId="0" applyNumberFormat="1" applyFont="1" applyFill="1" applyAlignment="1">
      <alignment horizontal="right"/>
    </xf>
    <xf numFmtId="166" fontId="103" fillId="34" borderId="39" xfId="0" applyNumberFormat="1" applyFont="1" applyFill="1" applyBorder="1" applyAlignment="1">
      <alignment horizontal="right"/>
    </xf>
    <xf numFmtId="167" fontId="158" fillId="27" borderId="0" xfId="0" applyNumberFormat="1" applyFont="1" applyFill="1" applyAlignment="1">
      <alignment horizontal="right"/>
    </xf>
    <xf numFmtId="1" fontId="70" fillId="27" borderId="0" xfId="0" applyNumberFormat="1" applyFont="1" applyFill="1" applyAlignment="1">
      <alignment horizontal="right"/>
    </xf>
    <xf numFmtId="167" fontId="123" fillId="0" borderId="43" xfId="0" applyNumberFormat="1" applyFont="1" applyBorder="1"/>
    <xf numFmtId="0" fontId="75" fillId="13" borderId="0" xfId="0" applyFont="1" applyFill="1"/>
    <xf numFmtId="0" fontId="63" fillId="35" borderId="7" xfId="0" applyFont="1" applyFill="1" applyBorder="1"/>
    <xf numFmtId="0" fontId="72" fillId="0" borderId="0" xfId="0" applyFont="1"/>
    <xf numFmtId="167" fontId="155" fillId="31" borderId="0" xfId="0" applyNumberFormat="1" applyFont="1" applyFill="1"/>
    <xf numFmtId="167" fontId="111" fillId="42" borderId="0" xfId="0" applyNumberFormat="1" applyFont="1" applyFill="1" applyAlignment="1">
      <alignment horizontal="center"/>
    </xf>
    <xf numFmtId="167" fontId="111" fillId="42" borderId="0" xfId="0" applyNumberFormat="1" applyFont="1" applyFill="1" applyAlignment="1">
      <alignment horizontal="right"/>
    </xf>
    <xf numFmtId="167" fontId="80" fillId="42" borderId="0" xfId="0" applyNumberFormat="1" applyFont="1" applyFill="1" applyAlignment="1">
      <alignment horizontal="right"/>
    </xf>
    <xf numFmtId="166" fontId="75" fillId="43" borderId="0" xfId="0" applyNumberFormat="1" applyFont="1" applyFill="1" applyAlignment="1">
      <alignment horizontal="left" indent="1"/>
    </xf>
    <xf numFmtId="166" fontId="75" fillId="32" borderId="0" xfId="0" applyNumberFormat="1" applyFont="1" applyFill="1" applyAlignment="1">
      <alignment horizontal="left" indent="1"/>
    </xf>
    <xf numFmtId="166" fontId="159" fillId="32" borderId="0" xfId="0" applyNumberFormat="1" applyFont="1" applyFill="1" applyAlignment="1">
      <alignment horizontal="left" indent="1"/>
    </xf>
    <xf numFmtId="166" fontId="160" fillId="32" borderId="0" xfId="0" applyNumberFormat="1" applyFont="1" applyFill="1" applyAlignment="1">
      <alignment horizontal="left" indent="1"/>
    </xf>
    <xf numFmtId="166" fontId="161" fillId="32" borderId="0" xfId="0" applyNumberFormat="1" applyFont="1" applyFill="1" applyAlignment="1">
      <alignment horizontal="left" indent="1"/>
    </xf>
    <xf numFmtId="0" fontId="72" fillId="44" borderId="0" xfId="0" applyFont="1" applyFill="1"/>
    <xf numFmtId="0" fontId="72" fillId="44" borderId="0" xfId="0" applyFont="1" applyFill="1" applyAlignment="1">
      <alignment horizontal="left" indent="1"/>
    </xf>
    <xf numFmtId="0" fontId="64" fillId="44" borderId="0" xfId="0" applyFont="1" applyFill="1" applyAlignment="1">
      <alignment horizontal="left" indent="2"/>
    </xf>
    <xf numFmtId="0" fontId="64" fillId="44" borderId="0" xfId="0" applyFont="1" applyFill="1" applyAlignment="1">
      <alignment horizontal="left" indent="1"/>
    </xf>
    <xf numFmtId="0" fontId="71" fillId="44" borderId="0" xfId="0" applyFont="1" applyFill="1" applyAlignment="1">
      <alignment horizontal="left" indent="1"/>
    </xf>
    <xf numFmtId="1" fontId="71" fillId="36" borderId="0" xfId="0" applyNumberFormat="1" applyFont="1" applyFill="1"/>
    <xf numFmtId="0" fontId="72" fillId="33" borderId="0" xfId="0" applyFont="1" applyFill="1"/>
    <xf numFmtId="0" fontId="72" fillId="33" borderId="0" xfId="0" applyFont="1" applyFill="1" applyAlignment="1">
      <alignment horizontal="left" indent="1"/>
    </xf>
    <xf numFmtId="0" fontId="64" fillId="33" borderId="0" xfId="0" applyFont="1" applyFill="1" applyAlignment="1">
      <alignment horizontal="left" indent="2"/>
    </xf>
    <xf numFmtId="0" fontId="64" fillId="33" borderId="0" xfId="0" applyFont="1" applyFill="1" applyAlignment="1">
      <alignment horizontal="left" indent="1"/>
    </xf>
    <xf numFmtId="0" fontId="71" fillId="33" borderId="0" xfId="0" applyFont="1" applyFill="1" applyAlignment="1">
      <alignment horizontal="left" indent="1"/>
    </xf>
    <xf numFmtId="0" fontId="75" fillId="33" borderId="0" xfId="0" applyFont="1" applyFill="1" applyAlignment="1">
      <alignment horizontal="right" indent="1"/>
    </xf>
    <xf numFmtId="168" fontId="64" fillId="45" borderId="0" xfId="0" applyNumberFormat="1" applyFont="1" applyFill="1"/>
    <xf numFmtId="167" fontId="64" fillId="45" borderId="0" xfId="0" applyNumberFormat="1" applyFont="1" applyFill="1"/>
    <xf numFmtId="168" fontId="71" fillId="45" borderId="0" xfId="0" applyNumberFormat="1" applyFont="1" applyFill="1"/>
    <xf numFmtId="168" fontId="75" fillId="45" borderId="0" xfId="0" applyNumberFormat="1" applyFont="1" applyFill="1"/>
    <xf numFmtId="49" fontId="74" fillId="0" borderId="0" xfId="0" applyNumberFormat="1" applyFont="1" applyAlignment="1">
      <alignment horizontal="right"/>
    </xf>
    <xf numFmtId="0" fontId="75" fillId="0" borderId="0" xfId="0" applyFont="1" applyAlignment="1">
      <alignment horizontal="right"/>
    </xf>
    <xf numFmtId="1" fontId="64" fillId="18" borderId="0" xfId="0" applyNumberFormat="1" applyFont="1" applyFill="1"/>
    <xf numFmtId="167" fontId="111" fillId="31" borderId="0" xfId="0" applyNumberFormat="1" applyFont="1" applyFill="1"/>
    <xf numFmtId="167" fontId="45" fillId="0" borderId="0" xfId="0" applyNumberFormat="1" applyFont="1" applyAlignment="1">
      <alignment horizontal="center"/>
    </xf>
    <xf numFmtId="1" fontId="67" fillId="32" borderId="0" xfId="0" applyNumberFormat="1" applyFont="1" applyFill="1"/>
    <xf numFmtId="1" fontId="67" fillId="18" borderId="0" xfId="0" applyNumberFormat="1" applyFont="1" applyFill="1"/>
    <xf numFmtId="166" fontId="162" fillId="32" borderId="0" xfId="0" applyNumberFormat="1" applyFont="1" applyFill="1" applyAlignment="1">
      <alignment horizontal="right"/>
    </xf>
    <xf numFmtId="1" fontId="67" fillId="32" borderId="32" xfId="0" applyNumberFormat="1" applyFont="1" applyFill="1" applyBorder="1"/>
    <xf numFmtId="1" fontId="67" fillId="32" borderId="42" xfId="0" applyNumberFormat="1" applyFont="1" applyFill="1" applyBorder="1"/>
    <xf numFmtId="1" fontId="67" fillId="32" borderId="26" xfId="0" applyNumberFormat="1" applyFont="1" applyFill="1" applyBorder="1"/>
    <xf numFmtId="1" fontId="67" fillId="32" borderId="36" xfId="0" applyNumberFormat="1" applyFont="1" applyFill="1" applyBorder="1"/>
    <xf numFmtId="1" fontId="67" fillId="32" borderId="41" xfId="0" applyNumberFormat="1" applyFont="1" applyFill="1" applyBorder="1"/>
    <xf numFmtId="0" fontId="163" fillId="0" borderId="89" xfId="0" applyFont="1" applyBorder="1"/>
    <xf numFmtId="0" fontId="164" fillId="0" borderId="90" xfId="0" applyFont="1" applyBorder="1"/>
    <xf numFmtId="0" fontId="163" fillId="0" borderId="90" xfId="0" applyFont="1" applyBorder="1"/>
    <xf numFmtId="0" fontId="163" fillId="0" borderId="91" xfId="0" applyFont="1" applyBorder="1"/>
    <xf numFmtId="0" fontId="163" fillId="0" borderId="0" xfId="0" applyFont="1"/>
    <xf numFmtId="0" fontId="165" fillId="0" borderId="91" xfId="0" applyFont="1" applyBorder="1"/>
    <xf numFmtId="0" fontId="165" fillId="0" borderId="0" xfId="0" applyFont="1"/>
    <xf numFmtId="0" fontId="166" fillId="0" borderId="0" xfId="0" applyFont="1"/>
    <xf numFmtId="0" fontId="166" fillId="0" borderId="92" xfId="0" applyFont="1" applyBorder="1"/>
    <xf numFmtId="0" fontId="166" fillId="0" borderId="93" xfId="0" applyFont="1" applyBorder="1"/>
    <xf numFmtId="0" fontId="167" fillId="0" borderId="91" xfId="0" applyFont="1" applyBorder="1"/>
    <xf numFmtId="0" fontId="167" fillId="0" borderId="0" xfId="0" applyFont="1"/>
    <xf numFmtId="0" fontId="164" fillId="0" borderId="91" xfId="0" applyFont="1" applyBorder="1"/>
    <xf numFmtId="3" fontId="167" fillId="0" borderId="0" xfId="0" applyNumberFormat="1" applyFont="1"/>
    <xf numFmtId="0" fontId="168" fillId="0" borderId="0" xfId="0" applyFont="1" applyAlignment="1">
      <alignment horizontal="left" vertical="center"/>
    </xf>
    <xf numFmtId="0" fontId="66" fillId="0" borderId="0" xfId="0" quotePrefix="1" applyFont="1"/>
    <xf numFmtId="0" fontId="166" fillId="0" borderId="0" xfId="0" applyFont="1" applyAlignment="1">
      <alignment horizontal="right"/>
    </xf>
    <xf numFmtId="0" fontId="73" fillId="13" borderId="0" xfId="0" applyFont="1" applyFill="1"/>
    <xf numFmtId="0" fontId="65" fillId="3" borderId="0" xfId="0" applyFont="1" applyFill="1"/>
    <xf numFmtId="0" fontId="0" fillId="41" borderId="0" xfId="0" applyFill="1"/>
    <xf numFmtId="0" fontId="73" fillId="46" borderId="7" xfId="0" applyFont="1" applyFill="1" applyBorder="1"/>
    <xf numFmtId="0" fontId="0" fillId="0" borderId="33" xfId="0" applyBorder="1"/>
    <xf numFmtId="0" fontId="60" fillId="41" borderId="0" xfId="0" applyFont="1" applyFill="1"/>
    <xf numFmtId="0" fontId="73" fillId="0" borderId="39" xfId="0" applyFont="1" applyBorder="1"/>
    <xf numFmtId="0" fontId="0" fillId="9" borderId="7" xfId="0" applyFill="1" applyBorder="1"/>
    <xf numFmtId="0" fontId="63" fillId="0" borderId="7" xfId="0" applyFont="1" applyBorder="1"/>
    <xf numFmtId="0" fontId="59" fillId="47" borderId="33" xfId="0" applyFont="1" applyFill="1" applyBorder="1"/>
    <xf numFmtId="0" fontId="169" fillId="0" borderId="0" xfId="0" applyFont="1"/>
    <xf numFmtId="0" fontId="170" fillId="16" borderId="0" xfId="0" applyFont="1" applyFill="1"/>
    <xf numFmtId="0" fontId="170" fillId="17" borderId="0" xfId="0" applyFont="1" applyFill="1" applyAlignment="1">
      <alignment horizontal="fill"/>
    </xf>
    <xf numFmtId="0" fontId="170" fillId="18" borderId="0" xfId="0" applyFont="1" applyFill="1"/>
    <xf numFmtId="0" fontId="60" fillId="0" borderId="39" xfId="0" applyFont="1" applyBorder="1"/>
    <xf numFmtId="0" fontId="0" fillId="48" borderId="7" xfId="0" applyFill="1" applyBorder="1"/>
    <xf numFmtId="0" fontId="0" fillId="6" borderId="7" xfId="0" applyFill="1" applyBorder="1"/>
    <xf numFmtId="0" fontId="0" fillId="49" borderId="7" xfId="0" applyFill="1" applyBorder="1"/>
    <xf numFmtId="0" fontId="0" fillId="8" borderId="7" xfId="0" applyFill="1" applyBorder="1"/>
    <xf numFmtId="0" fontId="60" fillId="0" borderId="0" xfId="0" applyFont="1" applyAlignment="1">
      <alignment horizontal="center"/>
    </xf>
    <xf numFmtId="0" fontId="60" fillId="0" borderId="0" xfId="0" applyFont="1" applyAlignment="1">
      <alignment horizontal="left"/>
    </xf>
    <xf numFmtId="0" fontId="57" fillId="0" borderId="29" xfId="0" applyFont="1" applyBorder="1"/>
    <xf numFmtId="0" fontId="57" fillId="0" borderId="42" xfId="0" applyFont="1" applyBorder="1"/>
    <xf numFmtId="0" fontId="171" fillId="0" borderId="26" xfId="0" applyFont="1" applyBorder="1" applyAlignment="1">
      <alignment horizontal="left" vertical="center"/>
    </xf>
    <xf numFmtId="0" fontId="57" fillId="0" borderId="0" xfId="0" applyFont="1"/>
    <xf numFmtId="0" fontId="57" fillId="0" borderId="10" xfId="0" applyFont="1" applyBorder="1"/>
    <xf numFmtId="0" fontId="172" fillId="0" borderId="26" xfId="0" applyFont="1" applyBorder="1" applyAlignment="1">
      <alignment horizontal="left" vertical="center"/>
    </xf>
    <xf numFmtId="0" fontId="57" fillId="0" borderId="36" xfId="0" applyFont="1" applyBorder="1"/>
    <xf numFmtId="0" fontId="57" fillId="0" borderId="31" xfId="0" applyFont="1" applyBorder="1"/>
    <xf numFmtId="0" fontId="57" fillId="0" borderId="41" xfId="0" applyFont="1" applyBorder="1"/>
    <xf numFmtId="0" fontId="171" fillId="0" borderId="32" xfId="0" applyFont="1" applyBorder="1" applyAlignment="1">
      <alignment horizontal="left" vertical="center"/>
    </xf>
    <xf numFmtId="0" fontId="169" fillId="0" borderId="91" xfId="0" applyFont="1" applyBorder="1"/>
    <xf numFmtId="0" fontId="0" fillId="0" borderId="0" xfId="0" quotePrefix="1"/>
    <xf numFmtId="167" fontId="117" fillId="0" borderId="0" xfId="0" applyNumberFormat="1" applyFont="1"/>
    <xf numFmtId="167" fontId="117" fillId="13" borderId="0" xfId="0" applyNumberFormat="1" applyFont="1" applyFill="1" applyAlignment="1">
      <alignment horizontal="right"/>
    </xf>
    <xf numFmtId="0" fontId="0" fillId="0" borderId="26" xfId="0" applyBorder="1"/>
    <xf numFmtId="0" fontId="74" fillId="0" borderId="0" xfId="0" applyFont="1" applyAlignment="1">
      <alignment horizontal="center"/>
    </xf>
    <xf numFmtId="0" fontId="83" fillId="16" borderId="0" xfId="0" applyFont="1" applyFill="1" applyAlignment="1">
      <alignment horizontal="left"/>
    </xf>
    <xf numFmtId="0" fontId="83" fillId="17" borderId="0" xfId="0" applyFont="1" applyFill="1"/>
    <xf numFmtId="0" fontId="83" fillId="18" borderId="0" xfId="0" applyFont="1" applyFill="1" applyAlignment="1">
      <alignment horizontal="fill"/>
    </xf>
    <xf numFmtId="166" fontId="80" fillId="31" borderId="0" xfId="0" applyNumberFormat="1" applyFont="1" applyFill="1"/>
    <xf numFmtId="167" fontId="80" fillId="5" borderId="43" xfId="0" applyNumberFormat="1" applyFont="1" applyFill="1" applyBorder="1" applyAlignment="1">
      <alignment horizontal="right"/>
    </xf>
    <xf numFmtId="0" fontId="80" fillId="5" borderId="0" xfId="0" quotePrefix="1" applyFont="1" applyFill="1" applyAlignment="1">
      <alignment horizontal="left" indent="3"/>
    </xf>
    <xf numFmtId="0" fontId="120" fillId="18" borderId="0" xfId="9" applyFont="1" applyFill="1" applyAlignment="1">
      <alignment horizontal="left" vertical="top" indent="1"/>
    </xf>
    <xf numFmtId="172" fontId="173" fillId="5" borderId="29" xfId="0" quotePrefix="1" applyNumberFormat="1" applyFont="1" applyFill="1" applyBorder="1" applyAlignment="1">
      <alignment horizontal="right"/>
    </xf>
    <xf numFmtId="167" fontId="80" fillId="0" borderId="23" xfId="0" applyNumberFormat="1" applyFont="1" applyBorder="1"/>
    <xf numFmtId="3" fontId="119" fillId="0" borderId="0" xfId="9" applyNumberFormat="1" applyFont="1">
      <alignment vertical="top"/>
    </xf>
    <xf numFmtId="167" fontId="118" fillId="0" borderId="0" xfId="0" applyNumberFormat="1" applyFont="1"/>
    <xf numFmtId="0" fontId="108" fillId="0" borderId="0" xfId="0" applyFont="1"/>
    <xf numFmtId="0" fontId="165" fillId="0" borderId="0" xfId="0" applyFont="1" applyAlignment="1">
      <alignment horizontal="right"/>
    </xf>
    <xf numFmtId="0" fontId="167" fillId="0" borderId="0" xfId="0" applyFont="1" applyAlignment="1">
      <alignment horizontal="right"/>
    </xf>
    <xf numFmtId="0" fontId="166" fillId="0" borderId="93" xfId="0" applyFont="1" applyBorder="1" applyAlignment="1">
      <alignment horizontal="right"/>
    </xf>
    <xf numFmtId="0" fontId="0" fillId="0" borderId="90" xfId="0" applyBorder="1"/>
    <xf numFmtId="0" fontId="0" fillId="0" borderId="100" xfId="0" applyBorder="1"/>
    <xf numFmtId="0" fontId="0" fillId="0" borderId="101" xfId="0" applyBorder="1"/>
    <xf numFmtId="0" fontId="0" fillId="0" borderId="102" xfId="0" applyBorder="1"/>
    <xf numFmtId="0" fontId="174" fillId="0" borderId="0" xfId="0" applyFont="1"/>
    <xf numFmtId="0" fontId="175" fillId="0" borderId="0" xfId="0" applyFont="1"/>
    <xf numFmtId="0" fontId="174" fillId="0" borderId="0" xfId="0" applyFont="1" applyAlignment="1">
      <alignment horizontal="right"/>
    </xf>
    <xf numFmtId="0" fontId="167" fillId="0" borderId="0" xfId="0" applyFont="1" applyAlignment="1">
      <alignment horizontal="left"/>
    </xf>
    <xf numFmtId="0" fontId="165" fillId="0" borderId="0" xfId="0" applyFont="1" applyAlignment="1">
      <alignment horizontal="left"/>
    </xf>
    <xf numFmtId="0" fontId="71" fillId="0" borderId="101" xfId="0" applyFont="1" applyBorder="1"/>
    <xf numFmtId="167" fontId="176" fillId="0" borderId="28" xfId="0" applyNumberFormat="1" applyFont="1" applyBorder="1"/>
    <xf numFmtId="167" fontId="176" fillId="0" borderId="0" xfId="0" applyNumberFormat="1" applyFont="1"/>
    <xf numFmtId="0" fontId="176" fillId="0" borderId="0" xfId="0" applyFont="1"/>
    <xf numFmtId="166" fontId="80" fillId="5" borderId="0" xfId="0" applyNumberFormat="1" applyFont="1" applyFill="1"/>
    <xf numFmtId="166" fontId="80" fillId="5" borderId="43" xfId="0" applyNumberFormat="1" applyFont="1" applyFill="1" applyBorder="1"/>
    <xf numFmtId="167" fontId="108" fillId="5" borderId="0" xfId="0" applyNumberFormat="1" applyFont="1" applyFill="1"/>
    <xf numFmtId="166" fontId="111" fillId="5" borderId="0" xfId="0" applyNumberFormat="1" applyFont="1" applyFill="1"/>
    <xf numFmtId="166" fontId="111" fillId="5" borderId="43" xfId="0" applyNumberFormat="1" applyFont="1" applyFill="1" applyBorder="1"/>
    <xf numFmtId="166" fontId="109" fillId="5" borderId="0" xfId="0" applyNumberFormat="1" applyFont="1" applyFill="1"/>
    <xf numFmtId="166" fontId="109" fillId="5" borderId="43" xfId="0" applyNumberFormat="1" applyFont="1" applyFill="1" applyBorder="1"/>
    <xf numFmtId="167" fontId="108" fillId="5" borderId="43" xfId="0" applyNumberFormat="1" applyFont="1" applyFill="1" applyBorder="1"/>
    <xf numFmtId="172" fontId="125" fillId="5" borderId="0" xfId="0" applyNumberFormat="1" applyFont="1" applyFill="1"/>
    <xf numFmtId="0" fontId="80" fillId="0" borderId="0" xfId="0" applyFont="1" applyAlignment="1">
      <alignment horizontal="left" indent="1"/>
    </xf>
    <xf numFmtId="0" fontId="111" fillId="13" borderId="27" xfId="0" applyFont="1" applyFill="1" applyBorder="1"/>
    <xf numFmtId="167" fontId="80" fillId="13" borderId="28" xfId="0" applyNumberFormat="1" applyFont="1" applyFill="1" applyBorder="1"/>
    <xf numFmtId="167" fontId="80" fillId="13" borderId="0" xfId="0" applyNumberFormat="1" applyFont="1" applyFill="1"/>
    <xf numFmtId="167" fontId="80" fillId="13" borderId="43" xfId="0" applyNumberFormat="1" applyFont="1" applyFill="1" applyBorder="1"/>
    <xf numFmtId="167" fontId="131" fillId="5" borderId="0" xfId="0" applyNumberFormat="1" applyFont="1" applyFill="1"/>
    <xf numFmtId="167" fontId="131" fillId="5" borderId="43" xfId="0" applyNumberFormat="1" applyFont="1" applyFill="1" applyBorder="1"/>
    <xf numFmtId="0" fontId="0" fillId="0" borderId="0" xfId="0" applyAlignment="1">
      <alignment horizontal="left"/>
    </xf>
    <xf numFmtId="0" fontId="0" fillId="0" borderId="90" xfId="0" applyBorder="1" applyAlignment="1">
      <alignment horizontal="left"/>
    </xf>
    <xf numFmtId="0" fontId="174" fillId="0" borderId="0" xfId="0" applyFont="1" applyAlignment="1">
      <alignment horizontal="left"/>
    </xf>
    <xf numFmtId="0" fontId="57" fillId="0" borderId="29" xfId="0" applyFont="1" applyBorder="1" applyAlignment="1">
      <alignment horizontal="left"/>
    </xf>
    <xf numFmtId="0" fontId="57" fillId="0" borderId="0" xfId="0" applyFont="1" applyAlignment="1">
      <alignment horizontal="left"/>
    </xf>
    <xf numFmtId="0" fontId="57" fillId="0" borderId="31" xfId="0" applyFont="1" applyBorder="1" applyAlignment="1">
      <alignment horizontal="left"/>
    </xf>
    <xf numFmtId="0" fontId="177" fillId="0" borderId="0" xfId="0" applyFont="1"/>
    <xf numFmtId="17" fontId="173" fillId="5" borderId="0" xfId="6" applyNumberFormat="1" applyFont="1" applyFill="1"/>
    <xf numFmtId="0" fontId="111" fillId="5" borderId="0" xfId="6" applyFont="1" applyFill="1"/>
    <xf numFmtId="167" fontId="117" fillId="0" borderId="0" xfId="0" applyNumberFormat="1" applyFont="1" applyAlignment="1">
      <alignment horizontal="right"/>
    </xf>
    <xf numFmtId="167" fontId="117" fillId="0" borderId="23" xfId="0" applyNumberFormat="1" applyFont="1" applyBorder="1"/>
    <xf numFmtId="167" fontId="178" fillId="0" borderId="0" xfId="0" applyNumberFormat="1" applyFont="1"/>
    <xf numFmtId="0" fontId="111" fillId="0" borderId="0" xfId="0" applyFont="1" applyAlignment="1">
      <alignment horizontal="left" indent="1"/>
    </xf>
    <xf numFmtId="0" fontId="179" fillId="0" borderId="0" xfId="0" applyFont="1"/>
    <xf numFmtId="0" fontId="180" fillId="0" borderId="0" xfId="0" applyFont="1"/>
    <xf numFmtId="0" fontId="148" fillId="5" borderId="0" xfId="0" quotePrefix="1" applyFont="1" applyFill="1" applyAlignment="1">
      <alignment horizontal="left" indent="2"/>
    </xf>
    <xf numFmtId="0" fontId="110" fillId="5" borderId="0" xfId="6" applyFont="1" applyFill="1" applyAlignment="1">
      <alignment horizontal="left" indent="1"/>
    </xf>
    <xf numFmtId="167" fontId="181" fillId="0" borderId="0" xfId="0" applyNumberFormat="1" applyFont="1"/>
    <xf numFmtId="167" fontId="182" fillId="13" borderId="0" xfId="0" applyNumberFormat="1" applyFont="1" applyFill="1" applyAlignment="1">
      <alignment horizontal="right"/>
    </xf>
    <xf numFmtId="167" fontId="183" fillId="0" borderId="0" xfId="0" applyNumberFormat="1" applyFont="1"/>
    <xf numFmtId="0" fontId="120" fillId="0" borderId="0" xfId="9" applyFont="1" applyAlignment="1">
      <alignment horizontal="left" vertical="top" indent="1"/>
    </xf>
    <xf numFmtId="167" fontId="125" fillId="5" borderId="4" xfId="10" applyNumberFormat="1" applyFont="1" applyFill="1" applyBorder="1"/>
    <xf numFmtId="0" fontId="109" fillId="5" borderId="4" xfId="10" applyFont="1" applyFill="1" applyBorder="1"/>
    <xf numFmtId="167" fontId="184" fillId="0" borderId="87" xfId="0" applyNumberFormat="1" applyFont="1" applyBorder="1" applyAlignment="1">
      <alignment horizontal="right"/>
    </xf>
    <xf numFmtId="167" fontId="184" fillId="39" borderId="103" xfId="0" applyNumberFormat="1" applyFont="1" applyFill="1" applyBorder="1" applyAlignment="1">
      <alignment horizontal="right"/>
    </xf>
    <xf numFmtId="167" fontId="185" fillId="0" borderId="0" xfId="0" applyNumberFormat="1" applyFont="1" applyAlignment="1">
      <alignment horizontal="right"/>
    </xf>
    <xf numFmtId="167" fontId="173" fillId="0" borderId="0" xfId="0" applyNumberFormat="1" applyFont="1"/>
    <xf numFmtId="167" fontId="173" fillId="0" borderId="0" xfId="0" applyNumberFormat="1" applyFont="1" applyAlignment="1">
      <alignment horizontal="right"/>
    </xf>
    <xf numFmtId="167" fontId="173" fillId="0" borderId="23" xfId="0" applyNumberFormat="1" applyFont="1" applyBorder="1"/>
    <xf numFmtId="167" fontId="185" fillId="0" borderId="0" xfId="0" applyNumberFormat="1" applyFont="1"/>
    <xf numFmtId="167" fontId="186" fillId="0" borderId="0" xfId="0" applyNumberFormat="1" applyFont="1" applyAlignment="1">
      <alignment horizontal="left"/>
    </xf>
    <xf numFmtId="0" fontId="0" fillId="5" borderId="0" xfId="0" applyFill="1"/>
    <xf numFmtId="172" fontId="71" fillId="5" borderId="0" xfId="0" applyNumberFormat="1" applyFont="1" applyFill="1"/>
    <xf numFmtId="17" fontId="187" fillId="5" borderId="0" xfId="9" applyNumberFormat="1" applyFont="1" applyFill="1">
      <alignment vertical="top"/>
    </xf>
    <xf numFmtId="172" fontId="188" fillId="5" borderId="0" xfId="0" applyNumberFormat="1" applyFont="1" applyFill="1"/>
    <xf numFmtId="17" fontId="173" fillId="5" borderId="0" xfId="0" applyNumberFormat="1" applyFont="1" applyFill="1"/>
    <xf numFmtId="167" fontId="64" fillId="13" borderId="53" xfId="0" applyNumberFormat="1" applyFont="1" applyFill="1" applyBorder="1" applyAlignment="1">
      <alignment horizontal="right"/>
    </xf>
    <xf numFmtId="0" fontId="72" fillId="0" borderId="0" xfId="0" applyFont="1" applyAlignment="1">
      <alignment horizontal="center"/>
    </xf>
    <xf numFmtId="0" fontId="64" fillId="0" borderId="0" xfId="0" applyFont="1" applyAlignment="1">
      <alignment horizontal="left"/>
    </xf>
    <xf numFmtId="0" fontId="189" fillId="0" borderId="0" xfId="0" applyFont="1" applyAlignment="1">
      <alignment horizontal="left"/>
    </xf>
    <xf numFmtId="172" fontId="173" fillId="5" borderId="0" xfId="0" quotePrefix="1" applyNumberFormat="1" applyFont="1" applyFill="1" applyAlignment="1">
      <alignment horizontal="right"/>
    </xf>
    <xf numFmtId="172" fontId="110" fillId="0" borderId="0" xfId="0" applyNumberFormat="1" applyFont="1"/>
    <xf numFmtId="172" fontId="173" fillId="5" borderId="54" xfId="0" quotePrefix="1" applyNumberFormat="1" applyFont="1" applyFill="1" applyBorder="1" applyAlignment="1">
      <alignment horizontal="right"/>
    </xf>
    <xf numFmtId="17" fontId="173" fillId="5" borderId="43" xfId="6" applyNumberFormat="1" applyFont="1" applyFill="1" applyBorder="1"/>
    <xf numFmtId="167" fontId="125" fillId="5" borderId="55" xfId="10" applyNumberFormat="1" applyFont="1" applyFill="1" applyBorder="1"/>
    <xf numFmtId="167" fontId="111" fillId="13" borderId="43" xfId="0" applyNumberFormat="1" applyFont="1" applyFill="1" applyBorder="1" applyAlignment="1">
      <alignment horizontal="right"/>
    </xf>
    <xf numFmtId="172" fontId="60" fillId="21" borderId="0" xfId="0" applyNumberFormat="1" applyFont="1" applyFill="1"/>
    <xf numFmtId="172" fontId="71" fillId="5" borderId="43" xfId="0" applyNumberFormat="1" applyFont="1" applyFill="1" applyBorder="1"/>
    <xf numFmtId="17" fontId="173" fillId="5" borderId="43" xfId="0" applyNumberFormat="1" applyFont="1" applyFill="1" applyBorder="1"/>
    <xf numFmtId="167" fontId="80" fillId="0" borderId="31" xfId="0" applyNumberFormat="1" applyFont="1" applyBorder="1"/>
    <xf numFmtId="167" fontId="80" fillId="13" borderId="51" xfId="0" applyNumberFormat="1" applyFont="1" applyFill="1" applyBorder="1"/>
    <xf numFmtId="167" fontId="80" fillId="13" borderId="31" xfId="0" applyNumberFormat="1" applyFont="1" applyFill="1" applyBorder="1"/>
    <xf numFmtId="167" fontId="80" fillId="20" borderId="0" xfId="0" applyNumberFormat="1" applyFont="1" applyFill="1" applyAlignment="1">
      <alignment horizontal="right"/>
    </xf>
    <xf numFmtId="167" fontId="80" fillId="20" borderId="0" xfId="0" applyNumberFormat="1" applyFont="1" applyFill="1"/>
    <xf numFmtId="167" fontId="117" fillId="20" borderId="0" xfId="0" applyNumberFormat="1" applyFont="1" applyFill="1"/>
    <xf numFmtId="167" fontId="111" fillId="20" borderId="0" xfId="0" applyNumberFormat="1" applyFont="1" applyFill="1"/>
    <xf numFmtId="49" fontId="190" fillId="0" borderId="0" xfId="0" applyNumberFormat="1" applyFont="1" applyAlignment="1">
      <alignment horizontal="right"/>
    </xf>
    <xf numFmtId="167" fontId="190" fillId="0" borderId="0" xfId="0" applyNumberFormat="1" applyFont="1" applyAlignment="1">
      <alignment horizontal="right"/>
    </xf>
    <xf numFmtId="0" fontId="148" fillId="5" borderId="0" xfId="0" applyFont="1" applyFill="1" applyAlignment="1">
      <alignment horizontal="left" indent="1"/>
    </xf>
    <xf numFmtId="167" fontId="149" fillId="29" borderId="0" xfId="0" applyNumberFormat="1" applyFont="1" applyFill="1"/>
    <xf numFmtId="167" fontId="184" fillId="39" borderId="88" xfId="0" applyNumberFormat="1" applyFont="1" applyFill="1" applyBorder="1" applyAlignment="1">
      <alignment horizontal="right"/>
    </xf>
    <xf numFmtId="167" fontId="191" fillId="0" borderId="0" xfId="0" applyNumberFormat="1" applyFont="1" applyAlignment="1">
      <alignment horizontal="right"/>
    </xf>
    <xf numFmtId="0" fontId="149" fillId="38" borderId="0" xfId="0" applyFont="1" applyFill="1"/>
    <xf numFmtId="167" fontId="148" fillId="42" borderId="0" xfId="0" applyNumberFormat="1" applyFont="1" applyFill="1" applyAlignment="1">
      <alignment horizontal="right"/>
    </xf>
    <xf numFmtId="172" fontId="141" fillId="0" borderId="0" xfId="0" applyNumberFormat="1" applyFont="1" applyAlignment="1">
      <alignment horizontal="right"/>
    </xf>
    <xf numFmtId="167" fontId="60" fillId="27" borderId="0" xfId="0" applyNumberFormat="1" applyFont="1" applyFill="1" applyAlignment="1">
      <alignment horizontal="left"/>
    </xf>
    <xf numFmtId="0" fontId="60" fillId="0" borderId="32" xfId="0" applyFont="1" applyBorder="1" applyAlignment="1">
      <alignment horizontal="right"/>
    </xf>
    <xf numFmtId="0" fontId="60" fillId="0" borderId="29" xfId="0" applyFont="1" applyBorder="1" applyAlignment="1">
      <alignment horizontal="right"/>
    </xf>
    <xf numFmtId="0" fontId="60" fillId="0" borderId="36" xfId="0" applyFont="1" applyBorder="1" applyAlignment="1">
      <alignment horizontal="right"/>
    </xf>
    <xf numFmtId="0" fontId="60" fillId="0" borderId="31" xfId="0" applyFont="1" applyBorder="1" applyAlignment="1">
      <alignment horizontal="right"/>
    </xf>
    <xf numFmtId="0" fontId="22" fillId="0" borderId="26" xfId="0" applyFont="1" applyBorder="1" applyAlignment="1">
      <alignment vertical="top"/>
    </xf>
    <xf numFmtId="168" fontId="97" fillId="15" borderId="34" xfId="0" applyNumberFormat="1" applyFont="1" applyFill="1" applyBorder="1"/>
    <xf numFmtId="168" fontId="0" fillId="0" borderId="22" xfId="0" applyNumberFormat="1" applyBorder="1"/>
    <xf numFmtId="0" fontId="60" fillId="0" borderId="31" xfId="0" applyFont="1" applyBorder="1"/>
    <xf numFmtId="0" fontId="64" fillId="0" borderId="31" xfId="0" applyFont="1" applyBorder="1"/>
    <xf numFmtId="0" fontId="74" fillId="0" borderId="31" xfId="0" applyFont="1" applyBorder="1" applyAlignment="1">
      <alignment horizontal="right"/>
    </xf>
    <xf numFmtId="0" fontId="74" fillId="0" borderId="31" xfId="0" applyFont="1" applyBorder="1"/>
    <xf numFmtId="0" fontId="65" fillId="0" borderId="0" xfId="0" applyFont="1"/>
    <xf numFmtId="166" fontId="86" fillId="15" borderId="104" xfId="0" applyNumberFormat="1" applyFont="1" applyFill="1" applyBorder="1"/>
    <xf numFmtId="166" fontId="86" fillId="15" borderId="56" xfId="0" applyNumberFormat="1" applyFont="1" applyFill="1" applyBorder="1"/>
    <xf numFmtId="0" fontId="82" fillId="12" borderId="35" xfId="0" applyFont="1" applyFill="1" applyBorder="1"/>
    <xf numFmtId="0" fontId="82" fillId="12" borderId="57" xfId="0" applyFont="1" applyFill="1" applyBorder="1"/>
    <xf numFmtId="1" fontId="83" fillId="27" borderId="0" xfId="0" applyNumberFormat="1" applyFont="1" applyFill="1"/>
    <xf numFmtId="168" fontId="75" fillId="15" borderId="7" xfId="0" applyNumberFormat="1" applyFont="1" applyFill="1" applyBorder="1"/>
    <xf numFmtId="3" fontId="129" fillId="39" borderId="0" xfId="0" applyNumberFormat="1" applyFont="1" applyFill="1" applyAlignment="1">
      <alignment horizontal="right"/>
    </xf>
    <xf numFmtId="17" fontId="94" fillId="32" borderId="26" xfId="0" quotePrefix="1" applyNumberFormat="1" applyFont="1" applyFill="1" applyBorder="1" applyAlignment="1">
      <alignment horizontal="center"/>
    </xf>
    <xf numFmtId="0" fontId="83" fillId="32" borderId="26" xfId="0" applyFont="1" applyFill="1" applyBorder="1" applyAlignment="1">
      <alignment horizontal="right"/>
    </xf>
    <xf numFmtId="1" fontId="72" fillId="50" borderId="26" xfId="0" applyNumberFormat="1" applyFont="1" applyFill="1" applyBorder="1"/>
    <xf numFmtId="1" fontId="64" fillId="50" borderId="26" xfId="0" applyNumberFormat="1" applyFont="1" applyFill="1" applyBorder="1"/>
    <xf numFmtId="1" fontId="72" fillId="0" borderId="0" xfId="0" applyNumberFormat="1" applyFont="1"/>
    <xf numFmtId="1" fontId="64" fillId="0" borderId="0" xfId="0" applyNumberFormat="1" applyFont="1"/>
    <xf numFmtId="1" fontId="72" fillId="0" borderId="10" xfId="0" applyNumberFormat="1" applyFont="1" applyBorder="1"/>
    <xf numFmtId="1" fontId="64" fillId="0" borderId="10" xfId="0" applyNumberFormat="1" applyFont="1" applyBorder="1"/>
    <xf numFmtId="1" fontId="91" fillId="0" borderId="7" xfId="0" applyNumberFormat="1" applyFont="1" applyBorder="1"/>
    <xf numFmtId="168" fontId="64" fillId="0" borderId="0" xfId="0" applyNumberFormat="1" applyFont="1"/>
    <xf numFmtId="168" fontId="64" fillId="50" borderId="26" xfId="0" applyNumberFormat="1" applyFont="1" applyFill="1" applyBorder="1"/>
    <xf numFmtId="168" fontId="64" fillId="0" borderId="10" xfId="0" applyNumberFormat="1" applyFont="1" applyBorder="1"/>
    <xf numFmtId="1" fontId="72" fillId="51" borderId="0" xfId="0" applyNumberFormat="1" applyFont="1" applyFill="1"/>
    <xf numFmtId="1" fontId="64" fillId="51" borderId="0" xfId="0" applyNumberFormat="1" applyFont="1" applyFill="1"/>
    <xf numFmtId="0" fontId="72" fillId="52" borderId="0" xfId="0" applyFont="1" applyFill="1" applyAlignment="1">
      <alignment horizontal="left" indent="1"/>
    </xf>
    <xf numFmtId="0" fontId="64" fillId="52" borderId="0" xfId="0" applyFont="1" applyFill="1" applyAlignment="1">
      <alignment horizontal="left" indent="1"/>
    </xf>
    <xf numFmtId="2" fontId="89" fillId="15" borderId="7" xfId="0" applyNumberFormat="1" applyFont="1" applyFill="1" applyBorder="1"/>
    <xf numFmtId="167" fontId="99" fillId="13" borderId="0" xfId="0" applyNumberFormat="1" applyFont="1" applyFill="1" applyAlignment="1">
      <alignment horizontal="right"/>
    </xf>
    <xf numFmtId="166" fontId="142" fillId="21" borderId="0" xfId="0" applyNumberFormat="1" applyFont="1" applyFill="1" applyAlignment="1">
      <alignment horizontal="right"/>
    </xf>
    <xf numFmtId="0" fontId="192" fillId="13" borderId="0" xfId="0" applyFont="1" applyFill="1"/>
    <xf numFmtId="167" fontId="99" fillId="18" borderId="0" xfId="0" applyNumberFormat="1" applyFont="1" applyFill="1" applyAlignment="1">
      <alignment horizontal="right"/>
    </xf>
    <xf numFmtId="0" fontId="193" fillId="13" borderId="0" xfId="0" applyFont="1" applyFill="1" applyAlignment="1">
      <alignment horizontal="left" indent="4"/>
    </xf>
    <xf numFmtId="166" fontId="89" fillId="15" borderId="7" xfId="0" applyNumberFormat="1" applyFont="1" applyFill="1" applyBorder="1"/>
    <xf numFmtId="168" fontId="64" fillId="45" borderId="27" xfId="0" applyNumberFormat="1" applyFont="1" applyFill="1" applyBorder="1"/>
    <xf numFmtId="168" fontId="64" fillId="45" borderId="28" xfId="0" applyNumberFormat="1" applyFont="1" applyFill="1" applyBorder="1"/>
    <xf numFmtId="168" fontId="64" fillId="45" borderId="45" xfId="0" applyNumberFormat="1" applyFont="1" applyFill="1" applyBorder="1"/>
    <xf numFmtId="0" fontId="70" fillId="12" borderId="7" xfId="0" applyFont="1" applyFill="1" applyBorder="1" applyAlignment="1">
      <alignment horizontal="right" vertical="top"/>
    </xf>
    <xf numFmtId="0" fontId="78" fillId="12" borderId="7" xfId="0" applyFont="1" applyFill="1" applyBorder="1" applyAlignment="1">
      <alignment vertical="top"/>
    </xf>
    <xf numFmtId="0" fontId="78" fillId="12" borderId="7" xfId="0" applyFont="1" applyFill="1" applyBorder="1" applyAlignment="1">
      <alignment horizontal="right" vertical="top"/>
    </xf>
    <xf numFmtId="166" fontId="70" fillId="12" borderId="7" xfId="0" applyNumberFormat="1" applyFont="1" applyFill="1" applyBorder="1" applyAlignment="1">
      <alignment horizontal="right" vertical="top"/>
    </xf>
    <xf numFmtId="0" fontId="195" fillId="0" borderId="0" xfId="0" applyFont="1" applyAlignment="1">
      <alignment horizontal="right"/>
    </xf>
    <xf numFmtId="0" fontId="196" fillId="0" borderId="0" xfId="0" applyFont="1" applyAlignment="1">
      <alignment horizontal="left"/>
    </xf>
    <xf numFmtId="1" fontId="88" fillId="32" borderId="10" xfId="0" applyNumberFormat="1" applyFont="1" applyFill="1" applyBorder="1"/>
    <xf numFmtId="1" fontId="88" fillId="32" borderId="31" xfId="0" applyNumberFormat="1" applyFont="1" applyFill="1" applyBorder="1"/>
    <xf numFmtId="1" fontId="88" fillId="32" borderId="41" xfId="0" applyNumberFormat="1" applyFont="1" applyFill="1" applyBorder="1"/>
    <xf numFmtId="1" fontId="88" fillId="32" borderId="0" xfId="0" applyNumberFormat="1" applyFont="1" applyFill="1"/>
    <xf numFmtId="1" fontId="67" fillId="32" borderId="29" xfId="0" applyNumberFormat="1" applyFont="1" applyFill="1" applyBorder="1"/>
    <xf numFmtId="1" fontId="67" fillId="32" borderId="31" xfId="0" applyNumberFormat="1" applyFont="1" applyFill="1" applyBorder="1"/>
    <xf numFmtId="49" fontId="111" fillId="0" borderId="0" xfId="0" applyNumberFormat="1" applyFont="1" applyAlignment="1">
      <alignment horizontal="left"/>
    </xf>
    <xf numFmtId="167" fontId="91" fillId="0" borderId="0" xfId="0" applyNumberFormat="1" applyFont="1"/>
    <xf numFmtId="4" fontId="80" fillId="0" borderId="0" xfId="0" applyNumberFormat="1" applyFont="1"/>
    <xf numFmtId="173" fontId="80" fillId="0" borderId="0" xfId="0" applyNumberFormat="1" applyFont="1" applyAlignment="1">
      <alignment horizontal="right"/>
    </xf>
    <xf numFmtId="166" fontId="96" fillId="13" borderId="0" xfId="0" applyNumberFormat="1" applyFont="1" applyFill="1" applyAlignment="1">
      <alignment horizontal="right"/>
    </xf>
    <xf numFmtId="168" fontId="59" fillId="0" borderId="0" xfId="12" applyNumberFormat="1" applyFont="1"/>
    <xf numFmtId="166" fontId="59" fillId="0" borderId="0" xfId="0" applyNumberFormat="1" applyFont="1"/>
    <xf numFmtId="167" fontId="72" fillId="18" borderId="0" xfId="0" applyNumberFormat="1" applyFont="1" applyFill="1" applyAlignment="1">
      <alignment horizontal="right"/>
    </xf>
    <xf numFmtId="167" fontId="112" fillId="0" borderId="0" xfId="0" applyNumberFormat="1" applyFont="1" applyAlignment="1">
      <alignment horizontal="right"/>
    </xf>
    <xf numFmtId="166" fontId="97" fillId="15" borderId="10" xfId="0" applyNumberFormat="1" applyFont="1" applyFill="1" applyBorder="1"/>
    <xf numFmtId="0" fontId="99" fillId="13" borderId="0" xfId="0" applyFont="1" applyFill="1"/>
    <xf numFmtId="0" fontId="61" fillId="28" borderId="0" xfId="0" applyFont="1" applyFill="1"/>
    <xf numFmtId="166" fontId="193" fillId="15" borderId="78" xfId="0" applyNumberFormat="1" applyFont="1" applyFill="1" applyBorder="1"/>
    <xf numFmtId="2" fontId="97" fillId="15" borderId="7" xfId="0" applyNumberFormat="1" applyFont="1" applyFill="1" applyBorder="1"/>
    <xf numFmtId="2" fontId="97" fillId="15" borderId="10" xfId="0" applyNumberFormat="1" applyFont="1" applyFill="1" applyBorder="1"/>
    <xf numFmtId="0" fontId="158" fillId="0" borderId="0" xfId="0" applyFont="1"/>
    <xf numFmtId="2" fontId="83" fillId="0" borderId="0" xfId="0" applyNumberFormat="1" applyFont="1" applyAlignment="1">
      <alignment horizontal="right"/>
    </xf>
    <xf numFmtId="0" fontId="197" fillId="53" borderId="0" xfId="0" applyFont="1" applyFill="1"/>
    <xf numFmtId="0" fontId="71" fillId="9" borderId="58" xfId="0" applyFont="1" applyFill="1" applyBorder="1" applyAlignment="1">
      <alignment horizontal="left"/>
    </xf>
    <xf numFmtId="0" fontId="0" fillId="9" borderId="58" xfId="0" applyFill="1" applyBorder="1" applyAlignment="1">
      <alignment horizontal="right"/>
    </xf>
    <xf numFmtId="1" fontId="74" fillId="18" borderId="10" xfId="0" applyNumberFormat="1" applyFont="1" applyFill="1" applyBorder="1" applyAlignment="1">
      <alignment horizontal="right"/>
    </xf>
    <xf numFmtId="0" fontId="60" fillId="54" borderId="7" xfId="0" applyFont="1" applyFill="1" applyBorder="1"/>
    <xf numFmtId="0" fontId="0" fillId="54" borderId="7" xfId="0" applyFill="1" applyBorder="1" applyAlignment="1">
      <alignment horizontal="right"/>
    </xf>
    <xf numFmtId="0" fontId="60" fillId="54" borderId="7" xfId="0" applyFont="1" applyFill="1" applyBorder="1" applyAlignment="1">
      <alignment horizontal="right"/>
    </xf>
    <xf numFmtId="0" fontId="83" fillId="54" borderId="7" xfId="0" applyFont="1" applyFill="1" applyBorder="1" applyAlignment="1">
      <alignment horizontal="right"/>
    </xf>
    <xf numFmtId="167" fontId="0" fillId="54" borderId="7" xfId="0" applyNumberFormat="1" applyFill="1" applyBorder="1" applyAlignment="1">
      <alignment horizontal="right"/>
    </xf>
    <xf numFmtId="1" fontId="0" fillId="54" borderId="7" xfId="0" applyNumberFormat="1" applyFill="1" applyBorder="1" applyAlignment="1">
      <alignment horizontal="right"/>
    </xf>
    <xf numFmtId="1" fontId="0" fillId="54" borderId="10" xfId="0" applyNumberFormat="1" applyFill="1" applyBorder="1" applyAlignment="1">
      <alignment horizontal="right"/>
    </xf>
    <xf numFmtId="0" fontId="72" fillId="54" borderId="7" xfId="0" applyFont="1" applyFill="1" applyBorder="1"/>
    <xf numFmtId="0" fontId="64" fillId="54" borderId="7" xfId="0" applyFont="1" applyFill="1" applyBorder="1" applyAlignment="1">
      <alignment horizontal="right"/>
    </xf>
    <xf numFmtId="0" fontId="72" fillId="54" borderId="7" xfId="0" applyFont="1" applyFill="1" applyBorder="1" applyAlignment="1">
      <alignment horizontal="right"/>
    </xf>
    <xf numFmtId="167" fontId="64" fillId="54" borderId="7" xfId="0" applyNumberFormat="1" applyFont="1" applyFill="1" applyBorder="1" applyAlignment="1">
      <alignment horizontal="right"/>
    </xf>
    <xf numFmtId="0" fontId="64" fillId="54" borderId="7" xfId="0" applyFont="1" applyFill="1" applyBorder="1"/>
    <xf numFmtId="0" fontId="0" fillId="54" borderId="7" xfId="0" applyFill="1" applyBorder="1"/>
    <xf numFmtId="0" fontId="71" fillId="54" borderId="7" xfId="0" applyFont="1" applyFill="1" applyBorder="1"/>
    <xf numFmtId="0" fontId="91" fillId="54" borderId="7" xfId="0" applyFont="1" applyFill="1" applyBorder="1" applyAlignment="1">
      <alignment horizontal="right"/>
    </xf>
    <xf numFmtId="0" fontId="71" fillId="54" borderId="7" xfId="0" applyFont="1" applyFill="1" applyBorder="1" applyAlignment="1">
      <alignment horizontal="right"/>
    </xf>
    <xf numFmtId="168" fontId="97" fillId="54" borderId="7" xfId="0" applyNumberFormat="1" applyFont="1" applyFill="1" applyBorder="1" applyAlignment="1">
      <alignment horizontal="right"/>
    </xf>
    <xf numFmtId="167" fontId="66" fillId="54" borderId="7" xfId="0" applyNumberFormat="1" applyFont="1" applyFill="1" applyBorder="1" applyAlignment="1">
      <alignment horizontal="right"/>
    </xf>
    <xf numFmtId="9" fontId="71" fillId="54" borderId="7" xfId="0" applyNumberFormat="1" applyFont="1" applyFill="1" applyBorder="1" applyAlignment="1">
      <alignment horizontal="right"/>
    </xf>
    <xf numFmtId="167" fontId="71" fillId="54" borderId="7" xfId="0" applyNumberFormat="1" applyFont="1" applyFill="1" applyBorder="1" applyAlignment="1">
      <alignment horizontal="right"/>
    </xf>
    <xf numFmtId="1" fontId="71" fillId="54" borderId="7" xfId="0" applyNumberFormat="1" applyFont="1" applyFill="1" applyBorder="1" applyAlignment="1">
      <alignment horizontal="right"/>
    </xf>
    <xf numFmtId="167" fontId="93" fillId="54" borderId="7" xfId="0" applyNumberFormat="1" applyFont="1" applyFill="1" applyBorder="1" applyAlignment="1">
      <alignment horizontal="right"/>
    </xf>
    <xf numFmtId="0" fontId="61" fillId="54" borderId="7" xfId="0" applyFont="1" applyFill="1" applyBorder="1"/>
    <xf numFmtId="0" fontId="94" fillId="54" borderId="7" xfId="0" applyFont="1" applyFill="1" applyBorder="1" applyAlignment="1">
      <alignment horizontal="right"/>
    </xf>
    <xf numFmtId="1" fontId="0" fillId="55" borderId="58" xfId="0" applyNumberFormat="1" applyFill="1" applyBorder="1" applyAlignment="1">
      <alignment horizontal="right"/>
    </xf>
    <xf numFmtId="1" fontId="85" fillId="55" borderId="7" xfId="0" applyNumberFormat="1" applyFont="1" applyFill="1" applyBorder="1" applyAlignment="1">
      <alignment horizontal="right"/>
    </xf>
    <xf numFmtId="1" fontId="0" fillId="55" borderId="7" xfId="0" applyNumberFormat="1" applyFill="1" applyBorder="1" applyAlignment="1">
      <alignment horizontal="right"/>
    </xf>
    <xf numFmtId="1" fontId="0" fillId="55" borderId="40" xfId="0" applyNumberFormat="1" applyFill="1" applyBorder="1" applyAlignment="1">
      <alignment horizontal="right"/>
    </xf>
    <xf numFmtId="168" fontId="71" fillId="55" borderId="7" xfId="0" applyNumberFormat="1" applyFont="1" applyFill="1" applyBorder="1" applyAlignment="1">
      <alignment horizontal="right"/>
    </xf>
    <xf numFmtId="0" fontId="83" fillId="55" borderId="7" xfId="0" applyFont="1" applyFill="1" applyBorder="1" applyAlignment="1">
      <alignment horizontal="right"/>
    </xf>
    <xf numFmtId="0" fontId="66" fillId="54" borderId="7" xfId="0" applyFont="1" applyFill="1" applyBorder="1"/>
    <xf numFmtId="168" fontId="64" fillId="18" borderId="0" xfId="0" applyNumberFormat="1" applyFont="1" applyFill="1"/>
    <xf numFmtId="2" fontId="86" fillId="18" borderId="7" xfId="0" applyNumberFormat="1" applyFont="1" applyFill="1" applyBorder="1"/>
    <xf numFmtId="166" fontId="96" fillId="18" borderId="0" xfId="0" applyNumberFormat="1" applyFont="1" applyFill="1" applyAlignment="1">
      <alignment horizontal="right"/>
    </xf>
    <xf numFmtId="2" fontId="92" fillId="18" borderId="7" xfId="0" applyNumberFormat="1" applyFont="1" applyFill="1" applyBorder="1"/>
    <xf numFmtId="167" fontId="64" fillId="2" borderId="0" xfId="0" applyNumberFormat="1" applyFont="1" applyFill="1" applyAlignment="1">
      <alignment horizontal="right"/>
    </xf>
    <xf numFmtId="167" fontId="198" fillId="29" borderId="0" xfId="0" applyNumberFormat="1" applyFont="1" applyFill="1" applyAlignment="1">
      <alignment horizontal="right"/>
    </xf>
    <xf numFmtId="167" fontId="74" fillId="18" borderId="0" xfId="0" applyNumberFormat="1" applyFont="1" applyFill="1" applyAlignment="1">
      <alignment horizontal="right"/>
    </xf>
    <xf numFmtId="167" fontId="92" fillId="13" borderId="0" xfId="0" applyNumberFormat="1" applyFont="1" applyFill="1" applyAlignment="1">
      <alignment horizontal="right"/>
    </xf>
    <xf numFmtId="166" fontId="64" fillId="18" borderId="105" xfId="0" applyNumberFormat="1" applyFont="1" applyFill="1" applyBorder="1"/>
    <xf numFmtId="166" fontId="64" fillId="18" borderId="80" xfId="0" applyNumberFormat="1" applyFont="1" applyFill="1" applyBorder="1"/>
    <xf numFmtId="167" fontId="149" fillId="18" borderId="0" xfId="0" applyNumberFormat="1" applyFont="1" applyFill="1"/>
    <xf numFmtId="166" fontId="0" fillId="0" borderId="0" xfId="0" applyNumberFormat="1"/>
    <xf numFmtId="49" fontId="190" fillId="28" borderId="0" xfId="0" applyNumberFormat="1" applyFont="1" applyFill="1" applyAlignment="1">
      <alignment horizontal="right"/>
    </xf>
    <xf numFmtId="166" fontId="0" fillId="28" borderId="0" xfId="0" applyNumberFormat="1" applyFill="1"/>
    <xf numFmtId="167" fontId="190" fillId="28" borderId="0" xfId="0" applyNumberFormat="1" applyFont="1" applyFill="1" applyAlignment="1">
      <alignment horizontal="right"/>
    </xf>
    <xf numFmtId="167" fontId="80" fillId="28" borderId="0" xfId="0" applyNumberFormat="1" applyFont="1" applyFill="1"/>
    <xf numFmtId="167" fontId="149" fillId="18" borderId="0" xfId="0" applyNumberFormat="1" applyFont="1" applyFill="1" applyAlignment="1">
      <alignment horizontal="right"/>
    </xf>
    <xf numFmtId="0" fontId="149" fillId="5" borderId="0" xfId="10" applyFont="1" applyFill="1" applyAlignment="1">
      <alignment horizontal="left" indent="1"/>
    </xf>
    <xf numFmtId="167" fontId="148" fillId="5" borderId="0" xfId="0" applyNumberFormat="1" applyFont="1" applyFill="1"/>
    <xf numFmtId="166" fontId="103" fillId="0" borderId="39" xfId="0" applyNumberFormat="1" applyFont="1" applyBorder="1" applyAlignment="1">
      <alignment horizontal="right"/>
    </xf>
    <xf numFmtId="166" fontId="103" fillId="0" borderId="7" xfId="0" applyNumberFormat="1" applyFont="1" applyBorder="1" applyAlignment="1">
      <alignment horizontal="right"/>
    </xf>
    <xf numFmtId="166" fontId="67" fillId="0" borderId="10" xfId="0" applyNumberFormat="1" applyFont="1" applyBorder="1"/>
    <xf numFmtId="167" fontId="100" fillId="12" borderId="7" xfId="0" applyNumberFormat="1" applyFont="1" applyFill="1" applyBorder="1" applyAlignment="1">
      <alignment horizontal="right"/>
    </xf>
    <xf numFmtId="166" fontId="67" fillId="0" borderId="33" xfId="0" applyNumberFormat="1" applyFont="1" applyBorder="1" applyAlignment="1">
      <alignment horizontal="right"/>
    </xf>
    <xf numFmtId="166" fontId="67" fillId="0" borderId="7" xfId="0" applyNumberFormat="1" applyFont="1" applyBorder="1" applyAlignment="1">
      <alignment horizontal="right"/>
    </xf>
    <xf numFmtId="0" fontId="78" fillId="0" borderId="39" xfId="0" applyFont="1" applyBorder="1" applyAlignment="1">
      <alignment horizontal="right"/>
    </xf>
    <xf numFmtId="166" fontId="67" fillId="0" borderId="39" xfId="0" applyNumberFormat="1" applyFont="1" applyBorder="1" applyAlignment="1">
      <alignment horizontal="right"/>
    </xf>
    <xf numFmtId="0" fontId="78" fillId="0" borderId="7" xfId="0" applyFont="1" applyBorder="1" applyAlignment="1">
      <alignment horizontal="right"/>
    </xf>
    <xf numFmtId="0" fontId="78" fillId="0" borderId="33" xfId="0" applyFont="1" applyBorder="1" applyAlignment="1">
      <alignment horizontal="right"/>
    </xf>
    <xf numFmtId="0" fontId="78" fillId="0" borderId="7" xfId="0" applyFont="1" applyBorder="1" applyAlignment="1">
      <alignment horizontal="right" vertical="top"/>
    </xf>
    <xf numFmtId="166" fontId="67" fillId="0" borderId="7" xfId="0" applyNumberFormat="1" applyFont="1" applyBorder="1" applyAlignment="1">
      <alignment horizontal="right" vertical="top"/>
    </xf>
    <xf numFmtId="166" fontId="70" fillId="0" borderId="7" xfId="0" applyNumberFormat="1" applyFont="1" applyBorder="1" applyAlignment="1">
      <alignment horizontal="right" vertical="top"/>
    </xf>
    <xf numFmtId="167" fontId="64" fillId="2" borderId="23" xfId="0" applyNumberFormat="1" applyFont="1" applyFill="1" applyBorder="1" applyAlignment="1">
      <alignment horizontal="right"/>
    </xf>
    <xf numFmtId="166" fontId="87" fillId="13" borderId="0" xfId="0" applyNumberFormat="1" applyFont="1" applyFill="1" applyAlignment="1">
      <alignment horizontal="right"/>
    </xf>
    <xf numFmtId="0" fontId="67" fillId="13" borderId="0" xfId="0" applyFont="1" applyFill="1" applyAlignment="1">
      <alignment horizontal="left" indent="3"/>
    </xf>
    <xf numFmtId="166" fontId="97" fillId="18" borderId="10" xfId="0" applyNumberFormat="1" applyFont="1" applyFill="1" applyBorder="1"/>
    <xf numFmtId="167" fontId="67" fillId="18" borderId="7" xfId="0" applyNumberFormat="1" applyFont="1" applyFill="1" applyBorder="1"/>
    <xf numFmtId="0" fontId="200" fillId="0" borderId="0" xfId="0" applyFont="1"/>
    <xf numFmtId="166" fontId="202" fillId="0" borderId="0" xfId="0" applyNumberFormat="1" applyFont="1"/>
    <xf numFmtId="22" fontId="0" fillId="0" borderId="0" xfId="0" applyNumberFormat="1"/>
    <xf numFmtId="0" fontId="203" fillId="0" borderId="0" xfId="0" applyFont="1"/>
    <xf numFmtId="3" fontId="205" fillId="0" borderId="0" xfId="0" applyNumberFormat="1" applyFont="1"/>
    <xf numFmtId="3" fontId="205" fillId="0" borderId="0" xfId="0" applyNumberFormat="1" applyFont="1" applyAlignment="1">
      <alignment wrapText="1"/>
    </xf>
    <xf numFmtId="0" fontId="206" fillId="0" borderId="0" xfId="0" applyFont="1"/>
    <xf numFmtId="166" fontId="207" fillId="0" borderId="0" xfId="0" applyNumberFormat="1" applyFont="1"/>
    <xf numFmtId="166" fontId="191" fillId="0" borderId="0" xfId="0" applyNumberFormat="1" applyFont="1"/>
    <xf numFmtId="1" fontId="207" fillId="0" borderId="0" xfId="0" applyNumberFormat="1" applyFont="1"/>
    <xf numFmtId="1" fontId="191" fillId="0" borderId="0" xfId="0" applyNumberFormat="1" applyFont="1"/>
    <xf numFmtId="166" fontId="85" fillId="18" borderId="7" xfId="0" applyNumberFormat="1" applyFont="1" applyFill="1" applyBorder="1"/>
    <xf numFmtId="167" fontId="80" fillId="29" borderId="0" xfId="0" applyNumberFormat="1" applyFont="1" applyFill="1"/>
    <xf numFmtId="167" fontId="80" fillId="29" borderId="0" xfId="0" applyNumberFormat="1" applyFont="1" applyFill="1" applyAlignment="1">
      <alignment horizontal="right"/>
    </xf>
    <xf numFmtId="0" fontId="70" fillId="13" borderId="29" xfId="0" applyFont="1" applyFill="1" applyBorder="1" applyAlignment="1">
      <alignment horizontal="center"/>
    </xf>
    <xf numFmtId="9" fontId="56" fillId="0" borderId="0" xfId="12" applyFont="1"/>
    <xf numFmtId="166" fontId="64" fillId="18" borderId="82" xfId="0" applyNumberFormat="1" applyFont="1" applyFill="1" applyBorder="1"/>
    <xf numFmtId="0" fontId="199" fillId="0" borderId="0" xfId="0" applyFont="1" applyAlignment="1">
      <alignment horizontal="left" indent="1"/>
    </xf>
    <xf numFmtId="0" fontId="201" fillId="0" borderId="0" xfId="0" applyFont="1" applyAlignment="1">
      <alignment horizontal="left" indent="3"/>
    </xf>
    <xf numFmtId="0" fontId="201" fillId="0" borderId="0" xfId="0" applyFont="1" applyAlignment="1">
      <alignment horizontal="left" indent="2"/>
    </xf>
    <xf numFmtId="0" fontId="208" fillId="0" borderId="0" xfId="0" applyFont="1" applyAlignment="1">
      <alignment horizontal="left" indent="4"/>
    </xf>
    <xf numFmtId="0" fontId="40" fillId="0" borderId="0" xfId="0" applyFont="1" applyAlignment="1">
      <alignment horizontal="left" indent="1"/>
    </xf>
    <xf numFmtId="167" fontId="64" fillId="29" borderId="0" xfId="0" applyNumberFormat="1" applyFont="1" applyFill="1" applyAlignment="1">
      <alignment horizontal="right"/>
    </xf>
    <xf numFmtId="167" fontId="210" fillId="0" borderId="0" xfId="0" applyNumberFormat="1" applyFont="1"/>
    <xf numFmtId="166" fontId="211" fillId="0" borderId="0" xfId="0" applyNumberFormat="1" applyFont="1"/>
    <xf numFmtId="166" fontId="210" fillId="0" borderId="0" xfId="0" applyNumberFormat="1" applyFont="1"/>
    <xf numFmtId="0" fontId="208" fillId="0" borderId="0" xfId="0" applyFont="1" applyAlignment="1">
      <alignment horizontal="left" indent="3"/>
    </xf>
    <xf numFmtId="0" fontId="40" fillId="0" borderId="0" xfId="0" applyFont="1" applyAlignment="1">
      <alignment horizontal="left" indent="4"/>
    </xf>
    <xf numFmtId="0" fontId="152" fillId="0" borderId="0" xfId="0" applyFont="1" applyAlignment="1">
      <alignment horizontal="left" indent="3"/>
    </xf>
    <xf numFmtId="0" fontId="152" fillId="0" borderId="0" xfId="0" applyFont="1" applyAlignment="1">
      <alignment horizontal="left" indent="4"/>
    </xf>
    <xf numFmtId="166" fontId="199" fillId="0" borderId="0" xfId="0" applyNumberFormat="1" applyFont="1"/>
    <xf numFmtId="0" fontId="212" fillId="13" borderId="0" xfId="0" applyFont="1" applyFill="1" applyAlignment="1">
      <alignment horizontal="left" indent="4"/>
    </xf>
    <xf numFmtId="0" fontId="213" fillId="13" borderId="0" xfId="0" applyFont="1" applyFill="1" applyAlignment="1">
      <alignment horizontal="left" indent="3"/>
    </xf>
    <xf numFmtId="0" fontId="209" fillId="0" borderId="0" xfId="0" applyFont="1"/>
    <xf numFmtId="0" fontId="150" fillId="0" borderId="4" xfId="0" applyFont="1" applyBorder="1" applyAlignment="1">
      <alignment horizontal="left" indent="2"/>
    </xf>
    <xf numFmtId="167" fontId="215" fillId="5" borderId="0" xfId="0" applyNumberFormat="1" applyFont="1" applyFill="1"/>
    <xf numFmtId="167" fontId="215" fillId="13" borderId="0" xfId="0" applyNumberFormat="1" applyFont="1" applyFill="1" applyAlignment="1">
      <alignment horizontal="right"/>
    </xf>
    <xf numFmtId="167" fontId="125" fillId="5" borderId="0" xfId="10" applyNumberFormat="1" applyFont="1" applyFill="1"/>
    <xf numFmtId="172" fontId="216" fillId="58" borderId="0" xfId="0" quotePrefix="1" applyNumberFormat="1" applyFont="1" applyFill="1" applyAlignment="1">
      <alignment horizontal="right"/>
    </xf>
    <xf numFmtId="167" fontId="217" fillId="58" borderId="0" xfId="0" applyNumberFormat="1" applyFont="1" applyFill="1"/>
    <xf numFmtId="0" fontId="217" fillId="0" borderId="0" xfId="0" applyFont="1"/>
    <xf numFmtId="167" fontId="217" fillId="0" borderId="0" xfId="0" applyNumberFormat="1" applyFont="1"/>
    <xf numFmtId="167" fontId="218" fillId="58" borderId="0" xfId="0" applyNumberFormat="1" applyFont="1" applyFill="1"/>
    <xf numFmtId="167" fontId="219" fillId="58" borderId="0" xfId="0" applyNumberFormat="1" applyFont="1" applyFill="1"/>
    <xf numFmtId="166" fontId="218" fillId="58" borderId="0" xfId="0" applyNumberFormat="1" applyFont="1" applyFill="1"/>
    <xf numFmtId="166" fontId="217" fillId="58" borderId="0" xfId="0" applyNumberFormat="1" applyFont="1" applyFill="1"/>
    <xf numFmtId="166" fontId="220" fillId="58" borderId="0" xfId="0" applyNumberFormat="1" applyFont="1" applyFill="1"/>
    <xf numFmtId="167" fontId="221" fillId="58" borderId="0" xfId="0" applyNumberFormat="1" applyFont="1" applyFill="1"/>
    <xf numFmtId="167" fontId="222" fillId="58" borderId="0" xfId="0" applyNumberFormat="1" applyFont="1" applyFill="1"/>
    <xf numFmtId="167" fontId="223" fillId="58" borderId="0" xfId="0" applyNumberFormat="1" applyFont="1" applyFill="1"/>
    <xf numFmtId="167" fontId="37" fillId="58" borderId="0" xfId="10" applyNumberFormat="1" applyFont="1" applyFill="1"/>
    <xf numFmtId="167" fontId="218" fillId="0" borderId="0" xfId="0" applyNumberFormat="1" applyFont="1"/>
    <xf numFmtId="167" fontId="224" fillId="0" borderId="0" xfId="0" applyNumberFormat="1" applyFont="1"/>
    <xf numFmtId="167" fontId="225" fillId="0" borderId="0" xfId="0" applyNumberFormat="1" applyFont="1"/>
    <xf numFmtId="167" fontId="217" fillId="58" borderId="0" xfId="0" applyNumberFormat="1" applyFont="1" applyFill="1" applyAlignment="1">
      <alignment horizontal="right"/>
    </xf>
    <xf numFmtId="17" fontId="216" fillId="58" borderId="0" xfId="6" applyNumberFormat="1" applyFont="1" applyFill="1"/>
    <xf numFmtId="167" fontId="226" fillId="0" borderId="0" xfId="0" applyNumberFormat="1" applyFont="1"/>
    <xf numFmtId="0" fontId="215" fillId="13" borderId="0" xfId="0" applyFont="1" applyFill="1"/>
    <xf numFmtId="167" fontId="227" fillId="58" borderId="0" xfId="0" applyNumberFormat="1" applyFont="1" applyFill="1"/>
    <xf numFmtId="4" fontId="217" fillId="0" borderId="0" xfId="0" applyNumberFormat="1" applyFont="1"/>
    <xf numFmtId="165" fontId="64" fillId="15" borderId="82" xfId="0" applyNumberFormat="1" applyFont="1" applyFill="1" applyBorder="1"/>
    <xf numFmtId="0" fontId="119" fillId="0" borderId="0" xfId="9" applyFont="1">
      <alignment vertical="top"/>
    </xf>
    <xf numFmtId="3" fontId="120" fillId="0" borderId="0" xfId="9" applyNumberFormat="1" applyFont="1">
      <alignment vertical="top"/>
    </xf>
    <xf numFmtId="0" fontId="120" fillId="0" borderId="0" xfId="9" applyFont="1">
      <alignment vertical="top"/>
    </xf>
    <xf numFmtId="167" fontId="202" fillId="58" borderId="0" xfId="0" applyNumberFormat="1" applyFont="1" applyFill="1"/>
    <xf numFmtId="0" fontId="230" fillId="0" borderId="6" xfId="0" applyFont="1" applyBorder="1" applyAlignment="1">
      <alignment horizontal="left" indent="1"/>
    </xf>
    <xf numFmtId="0" fontId="230" fillId="0" borderId="6" xfId="0" applyFont="1" applyBorder="1" applyAlignment="1">
      <alignment horizontal="left" indent="2"/>
    </xf>
    <xf numFmtId="0" fontId="206" fillId="0" borderId="6" xfId="0" applyFont="1" applyBorder="1" applyAlignment="1">
      <alignment horizontal="left" indent="2"/>
    </xf>
    <xf numFmtId="0" fontId="230" fillId="0" borderId="6" xfId="0" applyFont="1" applyBorder="1" applyAlignment="1">
      <alignment horizontal="left"/>
    </xf>
    <xf numFmtId="0" fontId="230" fillId="0" borderId="6" xfId="0" applyFont="1" applyBorder="1"/>
    <xf numFmtId="0" fontId="206" fillId="0" borderId="6" xfId="0" applyFont="1" applyBorder="1" applyAlignment="1">
      <alignment horizontal="left" indent="1"/>
    </xf>
    <xf numFmtId="167" fontId="217" fillId="58" borderId="23" xfId="0" applyNumberFormat="1" applyFont="1" applyFill="1" applyBorder="1"/>
    <xf numFmtId="0" fontId="149" fillId="13" borderId="0" xfId="0" applyFont="1" applyFill="1"/>
    <xf numFmtId="167" fontId="59" fillId="0" borderId="0" xfId="0" applyNumberFormat="1" applyFont="1"/>
    <xf numFmtId="168" fontId="64" fillId="29" borderId="0" xfId="0" applyNumberFormat="1" applyFont="1" applyFill="1"/>
    <xf numFmtId="0" fontId="72" fillId="29" borderId="0" xfId="0" applyFont="1" applyFill="1" applyAlignment="1">
      <alignment horizontal="left" indent="1"/>
    </xf>
    <xf numFmtId="10" fontId="64" fillId="17" borderId="0" xfId="0" applyNumberFormat="1" applyFont="1" applyFill="1"/>
    <xf numFmtId="168" fontId="64" fillId="17" borderId="0" xfId="0" applyNumberFormat="1" applyFont="1" applyFill="1"/>
    <xf numFmtId="3" fontId="64" fillId="13" borderId="0" xfId="0" applyNumberFormat="1" applyFont="1" applyFill="1" applyAlignment="1">
      <alignment horizontal="right"/>
    </xf>
    <xf numFmtId="0" fontId="99" fillId="13" borderId="0" xfId="0" applyFont="1" applyFill="1" applyAlignment="1">
      <alignment horizontal="left" indent="3"/>
    </xf>
    <xf numFmtId="167" fontId="149" fillId="0" borderId="0" xfId="0" applyNumberFormat="1" applyFont="1" applyAlignment="1">
      <alignment horizontal="right"/>
    </xf>
    <xf numFmtId="0" fontId="231" fillId="0" borderId="106" xfId="0" applyFont="1" applyBorder="1"/>
    <xf numFmtId="0" fontId="232" fillId="0" borderId="106" xfId="0" applyFont="1" applyBorder="1" applyAlignment="1">
      <alignment horizontal="right"/>
    </xf>
    <xf numFmtId="0" fontId="232" fillId="0" borderId="106" xfId="0" applyFont="1" applyBorder="1"/>
    <xf numFmtId="168" fontId="64" fillId="13" borderId="0" xfId="12" applyNumberFormat="1" applyFont="1" applyFill="1" applyBorder="1" applyAlignment="1">
      <alignment horizontal="right"/>
    </xf>
    <xf numFmtId="0" fontId="233" fillId="13" borderId="0" xfId="0" applyFont="1" applyFill="1"/>
    <xf numFmtId="168" fontId="64" fillId="19" borderId="0" xfId="0" applyNumberFormat="1" applyFont="1" applyFill="1"/>
    <xf numFmtId="0" fontId="234" fillId="59" borderId="26" xfId="0" applyFont="1" applyFill="1" applyBorder="1"/>
    <xf numFmtId="0" fontId="235" fillId="59" borderId="26" xfId="0" applyFont="1" applyFill="1" applyBorder="1"/>
    <xf numFmtId="0" fontId="200" fillId="59" borderId="26" xfId="0" applyFont="1" applyFill="1" applyBorder="1"/>
    <xf numFmtId="0" fontId="214" fillId="59" borderId="26" xfId="0" applyFont="1" applyFill="1" applyBorder="1"/>
    <xf numFmtId="0" fontId="3" fillId="59" borderId="26" xfId="0" applyFont="1" applyFill="1" applyBorder="1"/>
    <xf numFmtId="0" fontId="21" fillId="59" borderId="26" xfId="0" applyFont="1" applyFill="1" applyBorder="1"/>
    <xf numFmtId="0" fontId="214" fillId="59" borderId="26" xfId="0" applyFont="1" applyFill="1" applyBorder="1" applyAlignment="1">
      <alignment horizontal="left"/>
    </xf>
    <xf numFmtId="0" fontId="21" fillId="59" borderId="26" xfId="0" applyFont="1" applyFill="1" applyBorder="1" applyAlignment="1">
      <alignment horizontal="left"/>
    </xf>
    <xf numFmtId="0" fontId="214" fillId="59" borderId="7" xfId="0" applyFont="1" applyFill="1" applyBorder="1" applyAlignment="1">
      <alignment horizontal="left"/>
    </xf>
    <xf numFmtId="0" fontId="200" fillId="59" borderId="7" xfId="0" applyFont="1" applyFill="1" applyBorder="1"/>
    <xf numFmtId="0" fontId="214" fillId="59" borderId="26" xfId="0" applyFont="1" applyFill="1" applyBorder="1" applyAlignment="1">
      <alignment horizontal="right"/>
    </xf>
    <xf numFmtId="0" fontId="214" fillId="59" borderId="7" xfId="0" applyFont="1" applyFill="1" applyBorder="1"/>
    <xf numFmtId="0" fontId="236" fillId="59" borderId="26" xfId="0" applyFont="1" applyFill="1" applyBorder="1"/>
    <xf numFmtId="0" fontId="200" fillId="59" borderId="33" xfId="0" applyFont="1" applyFill="1" applyBorder="1"/>
    <xf numFmtId="0" fontId="214" fillId="59" borderId="33" xfId="0" applyFont="1" applyFill="1" applyBorder="1"/>
    <xf numFmtId="0" fontId="234" fillId="60" borderId="26" xfId="0" applyFont="1" applyFill="1" applyBorder="1"/>
    <xf numFmtId="1" fontId="197" fillId="60" borderId="7" xfId="0" applyNumberFormat="1" applyFont="1" applyFill="1" applyBorder="1"/>
    <xf numFmtId="1" fontId="237" fillId="60" borderId="7" xfId="0" applyNumberFormat="1" applyFont="1" applyFill="1" applyBorder="1"/>
    <xf numFmtId="0" fontId="200" fillId="60" borderId="26" xfId="0" applyFont="1" applyFill="1" applyBorder="1"/>
    <xf numFmtId="174" fontId="200" fillId="60" borderId="7" xfId="1" applyNumberFormat="1" applyFont="1" applyFill="1" applyBorder="1"/>
    <xf numFmtId="174" fontId="203" fillId="60" borderId="7" xfId="1" applyNumberFormat="1" applyFont="1" applyFill="1" applyBorder="1"/>
    <xf numFmtId="166" fontId="200" fillId="60" borderId="26" xfId="0" applyNumberFormat="1" applyFont="1" applyFill="1" applyBorder="1"/>
    <xf numFmtId="0" fontId="197" fillId="60" borderId="26" xfId="0" applyFont="1" applyFill="1" applyBorder="1"/>
    <xf numFmtId="0" fontId="67" fillId="18" borderId="107" xfId="0" applyFont="1" applyFill="1" applyBorder="1" applyAlignment="1">
      <alignment horizontal="left" indent="2"/>
    </xf>
    <xf numFmtId="167" fontId="94" fillId="13" borderId="108" xfId="0" applyNumberFormat="1" applyFont="1" applyFill="1" applyBorder="1" applyAlignment="1">
      <alignment horizontal="right"/>
    </xf>
    <xf numFmtId="0" fontId="64" fillId="0" borderId="108" xfId="0" applyFont="1" applyBorder="1"/>
    <xf numFmtId="167" fontId="64" fillId="13" borderId="108" xfId="0" applyNumberFormat="1" applyFont="1" applyFill="1" applyBorder="1" applyAlignment="1">
      <alignment horizontal="right"/>
    </xf>
    <xf numFmtId="167" fontId="88" fillId="13" borderId="108" xfId="0" applyNumberFormat="1" applyFont="1" applyFill="1" applyBorder="1" applyAlignment="1">
      <alignment horizontal="right"/>
    </xf>
    <xf numFmtId="167" fontId="64" fillId="18" borderId="108" xfId="0" applyNumberFormat="1" applyFont="1" applyFill="1" applyBorder="1" applyAlignment="1">
      <alignment horizontal="right"/>
    </xf>
    <xf numFmtId="0" fontId="13" fillId="61" borderId="0" xfId="0" applyFont="1" applyFill="1" applyAlignment="1">
      <alignment horizontal="right"/>
    </xf>
    <xf numFmtId="0" fontId="13" fillId="61" borderId="20" xfId="0" applyFont="1" applyFill="1" applyBorder="1" applyAlignment="1">
      <alignment horizontal="right"/>
    </xf>
    <xf numFmtId="0" fontId="13" fillId="61" borderId="22" xfId="0" applyFont="1" applyFill="1" applyBorder="1" applyAlignment="1">
      <alignment horizontal="right"/>
    </xf>
    <xf numFmtId="0" fontId="238" fillId="61" borderId="0" xfId="0" applyFont="1" applyFill="1"/>
    <xf numFmtId="0" fontId="12" fillId="61" borderId="0" xfId="0" applyFont="1" applyFill="1"/>
    <xf numFmtId="0" fontId="12" fillId="61" borderId="20" xfId="0" applyFont="1" applyFill="1" applyBorder="1"/>
    <xf numFmtId="168" fontId="238" fillId="61" borderId="0" xfId="0" applyNumberFormat="1" applyFont="1" applyFill="1"/>
    <xf numFmtId="168" fontId="12" fillId="61" borderId="0" xfId="0" applyNumberFormat="1" applyFont="1" applyFill="1"/>
    <xf numFmtId="168" fontId="12" fillId="61" borderId="20" xfId="0" applyNumberFormat="1" applyFont="1" applyFill="1" applyBorder="1"/>
    <xf numFmtId="168" fontId="238" fillId="61" borderId="20" xfId="0" applyNumberFormat="1" applyFont="1" applyFill="1" applyBorder="1"/>
    <xf numFmtId="168" fontId="238" fillId="61" borderId="25" xfId="0" applyNumberFormat="1" applyFont="1" applyFill="1" applyBorder="1"/>
    <xf numFmtId="0" fontId="135" fillId="0" borderId="0" xfId="0" applyFont="1"/>
    <xf numFmtId="1" fontId="142" fillId="36" borderId="0" xfId="0" applyNumberFormat="1" applyFont="1" applyFill="1"/>
    <xf numFmtId="0" fontId="142" fillId="44" borderId="0" xfId="0" applyFont="1" applyFill="1" applyAlignment="1">
      <alignment horizontal="left" indent="2"/>
    </xf>
    <xf numFmtId="167" fontId="142" fillId="14" borderId="0" xfId="0" applyNumberFormat="1" applyFont="1" applyFill="1"/>
    <xf numFmtId="0" fontId="142" fillId="44" borderId="0" xfId="0" applyFont="1" applyFill="1" applyAlignment="1">
      <alignment horizontal="left" indent="3"/>
    </xf>
    <xf numFmtId="1" fontId="95" fillId="36" borderId="0" xfId="0" applyNumberFormat="1" applyFont="1" applyFill="1"/>
    <xf numFmtId="0" fontId="84" fillId="44" borderId="0" xfId="0" applyFont="1" applyFill="1" applyAlignment="1">
      <alignment horizontal="left" indent="1"/>
    </xf>
    <xf numFmtId="0" fontId="84" fillId="44" borderId="111" xfId="0" applyFont="1" applyFill="1" applyBorder="1" applyAlignment="1">
      <alignment horizontal="left" indent="1"/>
    </xf>
    <xf numFmtId="0" fontId="84" fillId="44" borderId="112" xfId="0" applyFont="1" applyFill="1" applyBorder="1" applyAlignment="1">
      <alignment horizontal="left" indent="1"/>
    </xf>
    <xf numFmtId="0" fontId="84" fillId="44" borderId="112" xfId="0" applyFont="1" applyFill="1" applyBorder="1" applyAlignment="1">
      <alignment horizontal="left"/>
    </xf>
    <xf numFmtId="0" fontId="84" fillId="44" borderId="113" xfId="0" applyFont="1" applyFill="1" applyBorder="1" applyAlignment="1">
      <alignment horizontal="left" indent="1"/>
    </xf>
    <xf numFmtId="0" fontId="84" fillId="44" borderId="114" xfId="0" applyFont="1" applyFill="1" applyBorder="1" applyAlignment="1">
      <alignment horizontal="left" indent="1"/>
    </xf>
    <xf numFmtId="0" fontId="84" fillId="44" borderId="114" xfId="0" applyFont="1" applyFill="1" applyBorder="1" applyAlignment="1">
      <alignment horizontal="left"/>
    </xf>
    <xf numFmtId="1" fontId="84" fillId="44" borderId="114" xfId="0" applyNumberFormat="1" applyFont="1" applyFill="1" applyBorder="1" applyAlignment="1">
      <alignment horizontal="left"/>
    </xf>
    <xf numFmtId="1" fontId="64" fillId="36" borderId="31" xfId="0" applyNumberFormat="1" applyFont="1" applyFill="1" applyBorder="1"/>
    <xf numFmtId="1" fontId="142" fillId="36" borderId="32" xfId="0" applyNumberFormat="1" applyFont="1" applyFill="1" applyBorder="1"/>
    <xf numFmtId="1" fontId="142" fillId="36" borderId="36" xfId="0" applyNumberFormat="1" applyFont="1" applyFill="1" applyBorder="1"/>
    <xf numFmtId="1" fontId="142" fillId="36" borderId="27" xfId="0" applyNumberFormat="1" applyFont="1" applyFill="1" applyBorder="1"/>
    <xf numFmtId="0" fontId="84" fillId="33" borderId="0" xfId="0" applyFont="1" applyFill="1" applyAlignment="1">
      <alignment horizontal="left" indent="1"/>
    </xf>
    <xf numFmtId="0" fontId="84" fillId="33" borderId="0" xfId="0" applyFont="1" applyFill="1" applyAlignment="1">
      <alignment horizontal="left" indent="2"/>
    </xf>
    <xf numFmtId="0" fontId="84" fillId="33" borderId="0" xfId="0" applyFont="1" applyFill="1" applyAlignment="1">
      <alignment horizontal="left" indent="3"/>
    </xf>
    <xf numFmtId="168" fontId="64" fillId="45" borderId="32" xfId="0" applyNumberFormat="1" applyFont="1" applyFill="1" applyBorder="1"/>
    <xf numFmtId="168" fontId="64" fillId="45" borderId="36" xfId="0" applyNumberFormat="1" applyFont="1" applyFill="1" applyBorder="1"/>
    <xf numFmtId="0" fontId="74" fillId="0" borderId="116" xfId="0" applyFont="1" applyBorder="1"/>
    <xf numFmtId="167" fontId="64" fillId="14" borderId="116" xfId="0" applyNumberFormat="1" applyFont="1" applyFill="1" applyBorder="1"/>
    <xf numFmtId="168" fontId="64" fillId="45" borderId="116" xfId="0" applyNumberFormat="1" applyFont="1" applyFill="1" applyBorder="1"/>
    <xf numFmtId="0" fontId="84" fillId="33" borderId="115" xfId="0" applyFont="1" applyFill="1" applyBorder="1" applyAlignment="1">
      <alignment horizontal="left" indent="1"/>
    </xf>
    <xf numFmtId="0" fontId="107" fillId="0" borderId="117" xfId="0" applyFont="1" applyBorder="1" applyAlignment="1">
      <alignment horizontal="left"/>
    </xf>
    <xf numFmtId="0" fontId="74" fillId="0" borderId="118" xfId="0" applyFont="1" applyBorder="1"/>
    <xf numFmtId="167" fontId="74" fillId="0" borderId="118" xfId="0" applyNumberFormat="1" applyFont="1" applyBorder="1"/>
    <xf numFmtId="0" fontId="83" fillId="0" borderId="118" xfId="0" applyFont="1" applyBorder="1"/>
    <xf numFmtId="0" fontId="74" fillId="0" borderId="119" xfId="0" applyFont="1" applyBorder="1" applyAlignment="1">
      <alignment horizontal="left"/>
    </xf>
    <xf numFmtId="167" fontId="239" fillId="0" borderId="0" xfId="0" applyNumberFormat="1" applyFont="1"/>
    <xf numFmtId="0" fontId="74" fillId="0" borderId="120" xfId="0" applyFont="1" applyBorder="1" applyAlignment="1">
      <alignment horizontal="left"/>
    </xf>
    <xf numFmtId="0" fontId="74" fillId="0" borderId="121" xfId="0" applyFont="1" applyBorder="1"/>
    <xf numFmtId="167" fontId="74" fillId="0" borderId="121" xfId="0" applyNumberFormat="1" applyFont="1" applyBorder="1"/>
    <xf numFmtId="1" fontId="239" fillId="0" borderId="121" xfId="0" applyNumberFormat="1" applyFont="1" applyBorder="1"/>
    <xf numFmtId="0" fontId="84" fillId="44" borderId="122" xfId="0" applyFont="1" applyFill="1" applyBorder="1" applyAlignment="1">
      <alignment horizontal="left" indent="1"/>
    </xf>
    <xf numFmtId="0" fontId="84" fillId="44" borderId="123" xfId="0" applyFont="1" applyFill="1" applyBorder="1" applyAlignment="1">
      <alignment horizontal="left" indent="1"/>
    </xf>
    <xf numFmtId="0" fontId="84" fillId="44" borderId="124" xfId="0" applyFont="1" applyFill="1" applyBorder="1" applyAlignment="1">
      <alignment horizontal="left" indent="1"/>
    </xf>
    <xf numFmtId="0" fontId="84" fillId="44" borderId="124" xfId="0" applyFont="1" applyFill="1" applyBorder="1" applyAlignment="1">
      <alignment horizontal="left"/>
    </xf>
    <xf numFmtId="166" fontId="84" fillId="44" borderId="124" xfId="0" applyNumberFormat="1" applyFont="1" applyFill="1" applyBorder="1" applyAlignment="1">
      <alignment horizontal="left"/>
    </xf>
    <xf numFmtId="49" fontId="84" fillId="44" borderId="0" xfId="0" applyNumberFormat="1" applyFont="1" applyFill="1" applyAlignment="1">
      <alignment horizontal="left" indent="1"/>
    </xf>
    <xf numFmtId="166" fontId="74" fillId="0" borderId="0" xfId="0" applyNumberFormat="1" applyFont="1"/>
    <xf numFmtId="167" fontId="87" fillId="13" borderId="6" xfId="0" applyNumberFormat="1" applyFont="1" applyFill="1" applyBorder="1" applyAlignment="1">
      <alignment horizontal="right"/>
    </xf>
    <xf numFmtId="0" fontId="99" fillId="13" borderId="0" xfId="0" applyFont="1" applyFill="1" applyAlignment="1">
      <alignment horizontal="left" indent="7"/>
    </xf>
    <xf numFmtId="167" fontId="240" fillId="53" borderId="0" xfId="0" applyNumberFormat="1" applyFont="1" applyFill="1"/>
    <xf numFmtId="167" fontId="240" fillId="53" borderId="31" xfId="0" applyNumberFormat="1" applyFont="1" applyFill="1" applyBorder="1"/>
    <xf numFmtId="167" fontId="240" fillId="53" borderId="0" xfId="0" applyNumberFormat="1" applyFont="1" applyFill="1" applyAlignment="1">
      <alignment horizontal="right"/>
    </xf>
    <xf numFmtId="0" fontId="234" fillId="53" borderId="0" xfId="0" applyFont="1" applyFill="1"/>
    <xf numFmtId="0" fontId="63" fillId="29" borderId="0" xfId="0" applyFont="1" applyFill="1" applyAlignment="1">
      <alignment horizontal="left" wrapText="1" indent="3"/>
    </xf>
    <xf numFmtId="165" fontId="59" fillId="0" borderId="0" xfId="0" applyNumberFormat="1" applyFont="1"/>
    <xf numFmtId="0" fontId="73" fillId="0" borderId="26" xfId="0" applyFont="1" applyBorder="1"/>
    <xf numFmtId="2" fontId="74" fillId="29" borderId="7" xfId="0" applyNumberFormat="1" applyFont="1" applyFill="1" applyBorder="1"/>
    <xf numFmtId="0" fontId="204" fillId="0" borderId="0" xfId="0" applyFont="1" applyAlignment="1">
      <alignment horizontal="left" indent="3"/>
    </xf>
    <xf numFmtId="2" fontId="64" fillId="13" borderId="0" xfId="12" applyNumberFormat="1" applyFont="1" applyFill="1" applyBorder="1" applyAlignment="1">
      <alignment horizontal="right"/>
    </xf>
    <xf numFmtId="167" fontId="87" fillId="13" borderId="101" xfId="0" applyNumberFormat="1" applyFont="1" applyFill="1" applyBorder="1" applyAlignment="1">
      <alignment horizontal="right"/>
    </xf>
    <xf numFmtId="0" fontId="193" fillId="29" borderId="129" xfId="0" applyFont="1" applyFill="1" applyBorder="1" applyAlignment="1">
      <alignment horizontal="left" indent="4"/>
    </xf>
    <xf numFmtId="0" fontId="193" fillId="29" borderId="130" xfId="0" applyFont="1" applyFill="1" applyBorder="1" applyAlignment="1">
      <alignment horizontal="left" indent="4"/>
    </xf>
    <xf numFmtId="167" fontId="99" fillId="29" borderId="129" xfId="0" applyNumberFormat="1" applyFont="1" applyFill="1" applyBorder="1" applyAlignment="1">
      <alignment horizontal="right"/>
    </xf>
    <xf numFmtId="167" fontId="99" fillId="29" borderId="130" xfId="0" applyNumberFormat="1" applyFont="1" applyFill="1" applyBorder="1" applyAlignment="1">
      <alignment horizontal="right"/>
    </xf>
    <xf numFmtId="0" fontId="242" fillId="13" borderId="0" xfId="9" applyFont="1" applyFill="1" applyAlignment="1"/>
    <xf numFmtId="0" fontId="243" fillId="0" borderId="106" xfId="0" applyFont="1" applyBorder="1"/>
    <xf numFmtId="167" fontId="244" fillId="13" borderId="0" xfId="0" applyNumberFormat="1" applyFont="1" applyFill="1" applyAlignment="1">
      <alignment horizontal="right"/>
    </xf>
    <xf numFmtId="0" fontId="37" fillId="62" borderId="0" xfId="9" applyFont="1" applyFill="1" applyAlignment="1">
      <alignment horizontal="left" indent="3"/>
    </xf>
    <xf numFmtId="0" fontId="245" fillId="0" borderId="0" xfId="0" applyFont="1"/>
    <xf numFmtId="172" fontId="246" fillId="0" borderId="0" xfId="0" applyNumberFormat="1" applyFont="1"/>
    <xf numFmtId="0" fontId="248" fillId="0" borderId="0" xfId="0" applyFont="1"/>
    <xf numFmtId="0" fontId="237" fillId="0" borderId="0" xfId="0" applyFont="1"/>
    <xf numFmtId="0" fontId="249" fillId="0" borderId="0" xfId="0" applyFont="1"/>
    <xf numFmtId="0" fontId="249" fillId="0" borderId="0" xfId="0" quotePrefix="1" applyFont="1" applyAlignment="1">
      <alignment horizontal="center" vertical="center"/>
    </xf>
    <xf numFmtId="49" fontId="249" fillId="0" borderId="0" xfId="0" applyNumberFormat="1" applyFont="1"/>
    <xf numFmtId="0" fontId="250" fillId="0" borderId="0" xfId="0" applyFont="1"/>
    <xf numFmtId="0" fontId="251" fillId="47" borderId="94" xfId="0" applyFont="1" applyFill="1" applyBorder="1"/>
    <xf numFmtId="0" fontId="252" fillId="47" borderId="95" xfId="0" applyFont="1" applyFill="1" applyBorder="1"/>
    <xf numFmtId="0" fontId="145" fillId="47" borderId="95" xfId="0" applyFont="1" applyFill="1" applyBorder="1"/>
    <xf numFmtId="0" fontId="252" fillId="47" borderId="97" xfId="0" applyFont="1" applyFill="1" applyBorder="1"/>
    <xf numFmtId="0" fontId="252" fillId="47" borderId="0" xfId="0" applyFont="1" applyFill="1"/>
    <xf numFmtId="168" fontId="61" fillId="47" borderId="0" xfId="0" applyNumberFormat="1" applyFont="1" applyFill="1"/>
    <xf numFmtId="0" fontId="61" fillId="47" borderId="97" xfId="0" applyFont="1" applyFill="1" applyBorder="1"/>
    <xf numFmtId="0" fontId="61" fillId="47" borderId="98" xfId="0" applyFont="1" applyFill="1" applyBorder="1"/>
    <xf numFmtId="0" fontId="75" fillId="47" borderId="99" xfId="0" applyFont="1" applyFill="1" applyBorder="1" applyAlignment="1">
      <alignment horizontal="fill"/>
    </xf>
    <xf numFmtId="2" fontId="61" fillId="47" borderId="99" xfId="0" applyNumberFormat="1" applyFont="1" applyFill="1" applyBorder="1"/>
    <xf numFmtId="0" fontId="125" fillId="30" borderId="0" xfId="9" applyFont="1" applyFill="1" applyAlignment="1">
      <alignment horizontal="left"/>
    </xf>
    <xf numFmtId="166" fontId="67" fillId="30" borderId="0" xfId="9" applyNumberFormat="1" applyFont="1" applyFill="1" applyAlignment="1">
      <alignment horizontal="left" indent="2"/>
    </xf>
    <xf numFmtId="166" fontId="64" fillId="0" borderId="0" xfId="0" applyNumberFormat="1" applyFont="1"/>
    <xf numFmtId="0" fontId="156" fillId="5" borderId="0" xfId="9" applyFont="1" applyFill="1">
      <alignment vertical="top"/>
    </xf>
    <xf numFmtId="0" fontId="149" fillId="5" borderId="0" xfId="0" applyFont="1" applyFill="1" applyAlignment="1">
      <alignment horizontal="left" indent="1"/>
    </xf>
    <xf numFmtId="0" fontId="149" fillId="5" borderId="0" xfId="0" applyFont="1" applyFill="1"/>
    <xf numFmtId="0" fontId="149" fillId="5" borderId="0" xfId="9" applyFont="1" applyFill="1" applyAlignment="1">
      <alignment horizontal="left" indent="1"/>
    </xf>
    <xf numFmtId="0" fontId="149" fillId="5" borderId="0" xfId="9" applyFont="1" applyFill="1" applyAlignment="1">
      <alignment horizontal="left" indent="2"/>
    </xf>
    <xf numFmtId="0" fontId="149" fillId="18" borderId="0" xfId="0" applyFont="1" applyFill="1"/>
    <xf numFmtId="3" fontId="149" fillId="5" borderId="23" xfId="0" applyNumberFormat="1" applyFont="1" applyFill="1" applyBorder="1"/>
    <xf numFmtId="0" fontId="156" fillId="18" borderId="0" xfId="9" applyFont="1" applyFill="1">
      <alignment vertical="top"/>
    </xf>
    <xf numFmtId="167" fontId="149" fillId="18" borderId="23" xfId="0" applyNumberFormat="1" applyFont="1" applyFill="1" applyBorder="1"/>
    <xf numFmtId="167" fontId="149" fillId="18" borderId="43" xfId="0" applyNumberFormat="1" applyFont="1" applyFill="1" applyBorder="1"/>
    <xf numFmtId="0" fontId="149" fillId="18" borderId="0" xfId="0" applyFont="1" applyFill="1" applyAlignment="1">
      <alignment horizontal="left" indent="1"/>
    </xf>
    <xf numFmtId="0" fontId="149" fillId="18" borderId="0" xfId="0" applyFont="1" applyFill="1" applyAlignment="1">
      <alignment horizontal="left" indent="2"/>
    </xf>
    <xf numFmtId="0" fontId="148" fillId="18" borderId="0" xfId="0" applyFont="1" applyFill="1"/>
    <xf numFmtId="0" fontId="157" fillId="5" borderId="0" xfId="0" applyFont="1" applyFill="1"/>
    <xf numFmtId="167" fontId="80" fillId="20" borderId="43" xfId="0" applyNumberFormat="1" applyFont="1" applyFill="1" applyBorder="1"/>
    <xf numFmtId="167" fontId="80" fillId="13" borderId="10" xfId="0" applyNumberFormat="1" applyFont="1" applyFill="1" applyBorder="1" applyAlignment="1">
      <alignment horizontal="right"/>
    </xf>
    <xf numFmtId="172" fontId="110" fillId="13" borderId="10" xfId="0" applyNumberFormat="1" applyFont="1" applyFill="1" applyBorder="1" applyAlignment="1">
      <alignment horizontal="right"/>
    </xf>
    <xf numFmtId="0" fontId="80" fillId="0" borderId="43" xfId="0" applyFont="1" applyBorder="1"/>
    <xf numFmtId="0" fontId="80" fillId="5" borderId="43" xfId="0" applyFont="1" applyFill="1" applyBorder="1" applyAlignment="1">
      <alignment horizontal="left" indent="2"/>
    </xf>
    <xf numFmtId="166" fontId="80" fillId="0" borderId="43" xfId="0" applyNumberFormat="1" applyFont="1" applyBorder="1"/>
    <xf numFmtId="166" fontId="80" fillId="28" borderId="43" xfId="0" applyNumberFormat="1" applyFont="1" applyFill="1" applyBorder="1"/>
    <xf numFmtId="166" fontId="80" fillId="29" borderId="43" xfId="0" applyNumberFormat="1" applyFont="1" applyFill="1" applyBorder="1"/>
    <xf numFmtId="166" fontId="112" fillId="29" borderId="43" xfId="0" applyNumberFormat="1" applyFont="1" applyFill="1" applyBorder="1"/>
    <xf numFmtId="0" fontId="111" fillId="5" borderId="43" xfId="0" applyFont="1" applyFill="1" applyBorder="1" applyAlignment="1">
      <alignment horizontal="left" indent="1"/>
    </xf>
    <xf numFmtId="167" fontId="173" fillId="0" borderId="43" xfId="0" applyNumberFormat="1" applyFont="1" applyBorder="1"/>
    <xf numFmtId="167" fontId="117" fillId="0" borderId="43" xfId="0" applyNumberFormat="1" applyFont="1" applyBorder="1"/>
    <xf numFmtId="172" fontId="125" fillId="5" borderId="43" xfId="0" applyNumberFormat="1" applyFont="1" applyFill="1" applyBorder="1"/>
    <xf numFmtId="167" fontId="80" fillId="13" borderId="44" xfId="0" applyNumberFormat="1" applyFont="1" applyFill="1" applyBorder="1"/>
    <xf numFmtId="172" fontId="110" fillId="13" borderId="43" xfId="0" applyNumberFormat="1" applyFont="1" applyFill="1" applyBorder="1"/>
    <xf numFmtId="172" fontId="110" fillId="0" borderId="44" xfId="0" applyNumberFormat="1" applyFont="1" applyBorder="1"/>
    <xf numFmtId="172" fontId="110" fillId="31" borderId="43" xfId="0" applyNumberFormat="1" applyFont="1" applyFill="1" applyBorder="1" applyAlignment="1">
      <alignment horizontal="right"/>
    </xf>
    <xf numFmtId="167" fontId="112" fillId="14" borderId="43" xfId="9" applyNumberFormat="1" applyFont="1" applyFill="1" applyBorder="1" applyAlignment="1"/>
    <xf numFmtId="172" fontId="109" fillId="18" borderId="0" xfId="0" applyNumberFormat="1" applyFont="1" applyFill="1" applyAlignment="1">
      <alignment horizontal="center" textRotation="90"/>
    </xf>
    <xf numFmtId="172" fontId="109" fillId="0" borderId="10" xfId="0" applyNumberFormat="1" applyFont="1" applyBorder="1"/>
    <xf numFmtId="167" fontId="80" fillId="5" borderId="10" xfId="0" applyNumberFormat="1" applyFont="1" applyFill="1" applyBorder="1"/>
    <xf numFmtId="0" fontId="80" fillId="0" borderId="10" xfId="0" applyFont="1" applyBorder="1"/>
    <xf numFmtId="0" fontId="80" fillId="5" borderId="10" xfId="0" applyFont="1" applyFill="1" applyBorder="1" applyAlignment="1">
      <alignment horizontal="left" indent="2"/>
    </xf>
    <xf numFmtId="167" fontId="111" fillId="5" borderId="10" xfId="0" applyNumberFormat="1" applyFont="1" applyFill="1" applyBorder="1"/>
    <xf numFmtId="166" fontId="80" fillId="0" borderId="10" xfId="0" applyNumberFormat="1" applyFont="1" applyBorder="1"/>
    <xf numFmtId="166" fontId="80" fillId="28" borderId="10" xfId="0" applyNumberFormat="1" applyFont="1" applyFill="1" applyBorder="1"/>
    <xf numFmtId="166" fontId="80" fillId="29" borderId="10" xfId="0" applyNumberFormat="1" applyFont="1" applyFill="1" applyBorder="1"/>
    <xf numFmtId="166" fontId="112" fillId="29" borderId="10" xfId="0" applyNumberFormat="1" applyFont="1" applyFill="1" applyBorder="1"/>
    <xf numFmtId="0" fontId="111" fillId="5" borderId="10" xfId="0" applyFont="1" applyFill="1" applyBorder="1" applyAlignment="1">
      <alignment horizontal="left" indent="1"/>
    </xf>
    <xf numFmtId="167" fontId="149" fillId="5" borderId="10" xfId="0" applyNumberFormat="1" applyFont="1" applyFill="1" applyBorder="1"/>
    <xf numFmtId="167" fontId="173" fillId="0" borderId="10" xfId="0" applyNumberFormat="1" applyFont="1" applyBorder="1"/>
    <xf numFmtId="167" fontId="117" fillId="0" borderId="10" xfId="0" applyNumberFormat="1" applyFont="1" applyBorder="1"/>
    <xf numFmtId="172" fontId="125" fillId="5" borderId="10" xfId="0" applyNumberFormat="1" applyFont="1" applyFill="1" applyBorder="1"/>
    <xf numFmtId="167" fontId="80" fillId="5" borderId="10" xfId="0" applyNumberFormat="1" applyFont="1" applyFill="1" applyBorder="1" applyAlignment="1">
      <alignment horizontal="right"/>
    </xf>
    <xf numFmtId="167" fontId="149" fillId="18" borderId="10" xfId="0" applyNumberFormat="1" applyFont="1" applyFill="1" applyBorder="1"/>
    <xf numFmtId="167" fontId="80" fillId="13" borderId="45" xfId="0" applyNumberFormat="1" applyFont="1" applyFill="1" applyBorder="1"/>
    <xf numFmtId="167" fontId="80" fillId="13" borderId="10" xfId="0" applyNumberFormat="1" applyFont="1" applyFill="1" applyBorder="1"/>
    <xf numFmtId="172" fontId="110" fillId="13" borderId="10" xfId="0" applyNumberFormat="1" applyFont="1" applyFill="1" applyBorder="1"/>
    <xf numFmtId="167" fontId="80" fillId="31" borderId="10" xfId="0" applyNumberFormat="1" applyFont="1" applyFill="1" applyBorder="1"/>
    <xf numFmtId="172" fontId="110" fillId="31" borderId="10" xfId="0" applyNumberFormat="1" applyFont="1" applyFill="1" applyBorder="1" applyAlignment="1">
      <alignment horizontal="right"/>
    </xf>
    <xf numFmtId="172" fontId="109" fillId="23" borderId="10" xfId="9" applyNumberFormat="1" applyFont="1" applyFill="1" applyBorder="1" applyAlignment="1"/>
    <xf numFmtId="167" fontId="112" fillId="23" borderId="10" xfId="9" applyNumberFormat="1" applyFont="1" applyFill="1" applyBorder="1" applyAlignment="1"/>
    <xf numFmtId="167" fontId="112" fillId="24" borderId="10" xfId="9" applyNumberFormat="1" applyFont="1" applyFill="1" applyBorder="1" applyAlignment="1"/>
    <xf numFmtId="167" fontId="80" fillId="24" borderId="10" xfId="0" applyNumberFormat="1" applyFont="1" applyFill="1" applyBorder="1"/>
    <xf numFmtId="167" fontId="80" fillId="24" borderId="131" xfId="0" applyNumberFormat="1" applyFont="1" applyFill="1" applyBorder="1"/>
    <xf numFmtId="172" fontId="60" fillId="21" borderId="132" xfId="0" applyNumberFormat="1" applyFont="1" applyFill="1" applyBorder="1"/>
    <xf numFmtId="167" fontId="80" fillId="27" borderId="10" xfId="0" applyNumberFormat="1" applyFont="1" applyFill="1" applyBorder="1"/>
    <xf numFmtId="172" fontId="110" fillId="27" borderId="10" xfId="0" applyNumberFormat="1" applyFont="1" applyFill="1" applyBorder="1"/>
    <xf numFmtId="172" fontId="130" fillId="27" borderId="10" xfId="0" applyNumberFormat="1" applyFont="1" applyFill="1" applyBorder="1"/>
    <xf numFmtId="167" fontId="111" fillId="27" borderId="10" xfId="0" applyNumberFormat="1" applyFont="1" applyFill="1" applyBorder="1"/>
    <xf numFmtId="167" fontId="131" fillId="27" borderId="10" xfId="0" applyNumberFormat="1" applyFont="1" applyFill="1" applyBorder="1"/>
    <xf numFmtId="1" fontId="123" fillId="27" borderId="10" xfId="0" applyNumberFormat="1" applyFont="1" applyFill="1" applyBorder="1"/>
    <xf numFmtId="167" fontId="80" fillId="0" borderId="41" xfId="0" applyNumberFormat="1" applyFont="1" applyBorder="1"/>
    <xf numFmtId="0" fontId="111" fillId="0" borderId="28" xfId="0" applyFont="1" applyBorder="1"/>
    <xf numFmtId="172" fontId="173" fillId="5" borderId="43" xfId="0" quotePrefix="1" applyNumberFormat="1" applyFont="1" applyFill="1" applyBorder="1" applyAlignment="1">
      <alignment horizontal="right"/>
    </xf>
    <xf numFmtId="167" fontId="111" fillId="0" borderId="43" xfId="0" applyNumberFormat="1" applyFont="1" applyBorder="1"/>
    <xf numFmtId="167" fontId="185" fillId="0" borderId="43" xfId="0" applyNumberFormat="1" applyFont="1" applyBorder="1"/>
    <xf numFmtId="167" fontId="178" fillId="0" borderId="43" xfId="0" applyNumberFormat="1" applyFont="1" applyBorder="1"/>
    <xf numFmtId="167" fontId="217" fillId="58" borderId="133" xfId="0" applyNumberFormat="1" applyFont="1" applyFill="1" applyBorder="1"/>
    <xf numFmtId="172" fontId="188" fillId="5" borderId="43" xfId="0" applyNumberFormat="1" applyFont="1" applyFill="1" applyBorder="1"/>
    <xf numFmtId="17" fontId="187" fillId="5" borderId="43" xfId="9" applyNumberFormat="1" applyFont="1" applyFill="1" applyBorder="1">
      <alignment vertical="top"/>
    </xf>
    <xf numFmtId="167" fontId="218" fillId="58" borderId="43" xfId="0" applyNumberFormat="1" applyFont="1" applyFill="1" applyBorder="1"/>
    <xf numFmtId="167" fontId="183" fillId="0" borderId="43" xfId="0" applyNumberFormat="1" applyFont="1" applyBorder="1"/>
    <xf numFmtId="0" fontId="80" fillId="38" borderId="43" xfId="0" applyFont="1" applyFill="1" applyBorder="1"/>
    <xf numFmtId="172" fontId="110" fillId="0" borderId="43" xfId="0" applyNumberFormat="1" applyFont="1" applyBorder="1" applyAlignment="1">
      <alignment horizontal="right"/>
    </xf>
    <xf numFmtId="167" fontId="80" fillId="27" borderId="43" xfId="0" applyNumberFormat="1" applyFont="1" applyFill="1" applyBorder="1"/>
    <xf numFmtId="172" fontId="110" fillId="27" borderId="43" xfId="0" applyNumberFormat="1" applyFont="1" applyFill="1" applyBorder="1"/>
    <xf numFmtId="167" fontId="111" fillId="27" borderId="43" xfId="0" applyNumberFormat="1" applyFont="1" applyFill="1" applyBorder="1"/>
    <xf numFmtId="167" fontId="131" fillId="27" borderId="43" xfId="0" applyNumberFormat="1" applyFont="1" applyFill="1" applyBorder="1"/>
    <xf numFmtId="1" fontId="123" fillId="27" borderId="43" xfId="0" applyNumberFormat="1" applyFont="1" applyFill="1" applyBorder="1"/>
    <xf numFmtId="0" fontId="10" fillId="63" borderId="0" xfId="0" applyFont="1" applyFill="1"/>
    <xf numFmtId="167" fontId="215" fillId="5" borderId="43" xfId="0" applyNumberFormat="1" applyFont="1" applyFill="1" applyBorder="1"/>
    <xf numFmtId="167" fontId="217" fillId="58" borderId="43" xfId="0" applyNumberFormat="1" applyFont="1" applyFill="1" applyBorder="1"/>
    <xf numFmtId="167" fontId="215" fillId="13" borderId="43" xfId="0" applyNumberFormat="1" applyFont="1" applyFill="1" applyBorder="1" applyAlignment="1">
      <alignment horizontal="right"/>
    </xf>
    <xf numFmtId="167" fontId="149" fillId="29" borderId="43" xfId="0" applyNumberFormat="1" applyFont="1" applyFill="1" applyBorder="1"/>
    <xf numFmtId="167" fontId="149" fillId="38" borderId="43" xfId="0" applyNumberFormat="1" applyFont="1" applyFill="1" applyBorder="1"/>
    <xf numFmtId="0" fontId="149" fillId="38" borderId="43" xfId="0" applyFont="1" applyFill="1" applyBorder="1"/>
    <xf numFmtId="172" fontId="110" fillId="0" borderId="43" xfId="0" applyNumberFormat="1" applyFont="1" applyBorder="1"/>
    <xf numFmtId="0" fontId="123" fillId="0" borderId="43" xfId="0" applyFont="1" applyBorder="1"/>
    <xf numFmtId="167" fontId="148" fillId="5" borderId="43" xfId="0" applyNumberFormat="1" applyFont="1" applyFill="1" applyBorder="1"/>
    <xf numFmtId="172" fontId="216" fillId="58" borderId="43" xfId="0" quotePrefix="1" applyNumberFormat="1" applyFont="1" applyFill="1" applyBorder="1" applyAlignment="1">
      <alignment horizontal="right"/>
    </xf>
    <xf numFmtId="0" fontId="217" fillId="0" borderId="43" xfId="0" applyFont="1" applyBorder="1"/>
    <xf numFmtId="167" fontId="217" fillId="0" borderId="43" xfId="0" applyNumberFormat="1" applyFont="1" applyBorder="1"/>
    <xf numFmtId="167" fontId="219" fillId="58" borderId="43" xfId="0" applyNumberFormat="1" applyFont="1" applyFill="1" applyBorder="1"/>
    <xf numFmtId="166" fontId="218" fillId="58" borderId="43" xfId="0" applyNumberFormat="1" applyFont="1" applyFill="1" applyBorder="1"/>
    <xf numFmtId="166" fontId="217" fillId="58" borderId="43" xfId="0" applyNumberFormat="1" applyFont="1" applyFill="1" applyBorder="1"/>
    <xf numFmtId="166" fontId="220" fillId="58" borderId="43" xfId="0" applyNumberFormat="1" applyFont="1" applyFill="1" applyBorder="1"/>
    <xf numFmtId="167" fontId="221" fillId="58" borderId="43" xfId="0" applyNumberFormat="1" applyFont="1" applyFill="1" applyBorder="1"/>
    <xf numFmtId="167" fontId="222" fillId="58" borderId="43" xfId="0" applyNumberFormat="1" applyFont="1" applyFill="1" applyBorder="1"/>
    <xf numFmtId="167" fontId="223" fillId="58" borderId="43" xfId="0" applyNumberFormat="1" applyFont="1" applyFill="1" applyBorder="1"/>
    <xf numFmtId="167" fontId="37" fillId="58" borderId="43" xfId="10" applyNumberFormat="1" applyFont="1" applyFill="1" applyBorder="1"/>
    <xf numFmtId="167" fontId="218" fillId="0" borderId="43" xfId="0" applyNumberFormat="1" applyFont="1" applyBorder="1"/>
    <xf numFmtId="167" fontId="224" fillId="0" borderId="43" xfId="0" applyNumberFormat="1" applyFont="1" applyBorder="1"/>
    <xf numFmtId="167" fontId="225" fillId="0" borderId="43" xfId="0" applyNumberFormat="1" applyFont="1" applyBorder="1"/>
    <xf numFmtId="167" fontId="217" fillId="58" borderId="43" xfId="0" applyNumberFormat="1" applyFont="1" applyFill="1" applyBorder="1" applyAlignment="1">
      <alignment horizontal="right"/>
    </xf>
    <xf numFmtId="167" fontId="202" fillId="58" borderId="43" xfId="0" applyNumberFormat="1" applyFont="1" applyFill="1" applyBorder="1"/>
    <xf numFmtId="17" fontId="216" fillId="58" borderId="43" xfId="6" applyNumberFormat="1" applyFont="1" applyFill="1" applyBorder="1"/>
    <xf numFmtId="167" fontId="226" fillId="0" borderId="43" xfId="0" applyNumberFormat="1" applyFont="1" applyBorder="1"/>
    <xf numFmtId="0" fontId="112" fillId="0" borderId="0" xfId="0" applyFont="1"/>
    <xf numFmtId="167" fontId="112" fillId="13" borderId="20" xfId="0" applyNumberFormat="1" applyFont="1" applyFill="1" applyBorder="1" applyAlignment="1">
      <alignment horizontal="right"/>
    </xf>
    <xf numFmtId="167" fontId="112" fillId="13" borderId="43" xfId="0" applyNumberFormat="1" applyFont="1" applyFill="1" applyBorder="1" applyAlignment="1">
      <alignment horizontal="right"/>
    </xf>
    <xf numFmtId="167" fontId="112" fillId="13" borderId="10" xfId="0" applyNumberFormat="1" applyFont="1" applyFill="1" applyBorder="1" applyAlignment="1">
      <alignment horizontal="right"/>
    </xf>
    <xf numFmtId="167" fontId="112" fillId="19" borderId="0" xfId="0" applyNumberFormat="1" applyFont="1" applyFill="1" applyAlignment="1">
      <alignment horizontal="right"/>
    </xf>
    <xf numFmtId="167" fontId="109" fillId="0" borderId="0" xfId="0" applyNumberFormat="1" applyFont="1"/>
    <xf numFmtId="0" fontId="109" fillId="0" borderId="0" xfId="0" applyFont="1"/>
    <xf numFmtId="167" fontId="109" fillId="13" borderId="0" xfId="0" applyNumberFormat="1" applyFont="1" applyFill="1" applyAlignment="1">
      <alignment horizontal="right"/>
    </xf>
    <xf numFmtId="167" fontId="109" fillId="13" borderId="20" xfId="0" applyNumberFormat="1" applyFont="1" applyFill="1" applyBorder="1" applyAlignment="1">
      <alignment horizontal="right"/>
    </xf>
    <xf numFmtId="167" fontId="109" fillId="13" borderId="43" xfId="0" applyNumberFormat="1" applyFont="1" applyFill="1" applyBorder="1" applyAlignment="1">
      <alignment horizontal="right"/>
    </xf>
    <xf numFmtId="167" fontId="109" fillId="13" borderId="10" xfId="0" applyNumberFormat="1" applyFont="1" applyFill="1" applyBorder="1" applyAlignment="1">
      <alignment horizontal="right"/>
    </xf>
    <xf numFmtId="0" fontId="124" fillId="0" borderId="0" xfId="0" applyFont="1"/>
    <xf numFmtId="167" fontId="109" fillId="19" borderId="0" xfId="0" applyNumberFormat="1" applyFont="1" applyFill="1" applyAlignment="1">
      <alignment horizontal="right"/>
    </xf>
    <xf numFmtId="167" fontId="109" fillId="0" borderId="0" xfId="0" applyNumberFormat="1" applyFont="1" applyAlignment="1">
      <alignment horizontal="right"/>
    </xf>
    <xf numFmtId="167" fontId="123" fillId="0" borderId="0" xfId="0" applyNumberFormat="1" applyFont="1" applyAlignment="1">
      <alignment wrapText="1"/>
    </xf>
    <xf numFmtId="0" fontId="64" fillId="0" borderId="0" xfId="0" applyFont="1" applyAlignment="1">
      <alignment wrapText="1"/>
    </xf>
    <xf numFmtId="172" fontId="110" fillId="0" borderId="29" xfId="0" applyNumberFormat="1" applyFont="1" applyBorder="1" applyAlignment="1">
      <alignment wrapText="1"/>
    </xf>
    <xf numFmtId="172" fontId="110" fillId="0" borderId="0" xfId="0" applyNumberFormat="1" applyFont="1" applyAlignment="1">
      <alignment wrapText="1"/>
    </xf>
    <xf numFmtId="0" fontId="111" fillId="0" borderId="29" xfId="0" applyFont="1" applyBorder="1"/>
    <xf numFmtId="166" fontId="72" fillId="13" borderId="0" xfId="0" applyNumberFormat="1" applyFont="1" applyFill="1" applyAlignment="1">
      <alignment horizontal="right"/>
    </xf>
    <xf numFmtId="167" fontId="192" fillId="13" borderId="0" xfId="0" applyNumberFormat="1" applyFont="1" applyFill="1" applyAlignment="1">
      <alignment horizontal="right"/>
    </xf>
    <xf numFmtId="166" fontId="192" fillId="13" borderId="0" xfId="0" applyNumberFormat="1" applyFont="1" applyFill="1" applyAlignment="1">
      <alignment horizontal="right"/>
    </xf>
    <xf numFmtId="167" fontId="256" fillId="13" borderId="0" xfId="0" applyNumberFormat="1" applyFont="1" applyFill="1" applyAlignment="1">
      <alignment horizontal="right"/>
    </xf>
    <xf numFmtId="2" fontId="74" fillId="15" borderId="7" xfId="0" applyNumberFormat="1" applyFont="1" applyFill="1" applyBorder="1"/>
    <xf numFmtId="2" fontId="71" fillId="29" borderId="7" xfId="0" applyNumberFormat="1" applyFont="1" applyFill="1" applyBorder="1"/>
    <xf numFmtId="0" fontId="59" fillId="18" borderId="0" xfId="0" applyFont="1" applyFill="1"/>
    <xf numFmtId="0" fontId="183" fillId="13" borderId="0" xfId="9" applyFont="1" applyFill="1" applyAlignment="1">
      <alignment horizontal="left" indent="3"/>
    </xf>
    <xf numFmtId="0" fontId="183" fillId="13" borderId="0" xfId="9" applyFont="1" applyFill="1" applyAlignment="1">
      <alignment horizontal="left" indent="1"/>
    </xf>
    <xf numFmtId="0" fontId="183" fillId="13" borderId="0" xfId="9" applyFont="1" applyFill="1" applyAlignment="1">
      <alignment horizontal="left" indent="4"/>
    </xf>
    <xf numFmtId="0" fontId="183" fillId="13" borderId="0" xfId="9" applyFont="1" applyFill="1" applyAlignment="1">
      <alignment horizontal="left" indent="5"/>
    </xf>
    <xf numFmtId="0" fontId="125" fillId="18" borderId="0" xfId="9" applyFont="1" applyFill="1" applyAlignment="1">
      <alignment horizontal="left" indent="2"/>
    </xf>
    <xf numFmtId="166" fontId="99" fillId="13" borderId="0" xfId="0" applyNumberFormat="1" applyFont="1" applyFill="1" applyAlignment="1">
      <alignment horizontal="right"/>
    </xf>
    <xf numFmtId="166" fontId="99" fillId="18" borderId="0" xfId="0" applyNumberFormat="1" applyFont="1" applyFill="1" applyAlignment="1">
      <alignment horizontal="right"/>
    </xf>
    <xf numFmtId="168" fontId="61" fillId="15" borderId="33" xfId="12" applyNumberFormat="1" applyFont="1" applyFill="1" applyBorder="1"/>
    <xf numFmtId="167" fontId="200" fillId="53" borderId="0" xfId="0" applyNumberFormat="1" applyFont="1" applyFill="1"/>
    <xf numFmtId="167" fontId="240" fillId="53" borderId="36" xfId="0" applyNumberFormat="1" applyFont="1" applyFill="1" applyBorder="1"/>
    <xf numFmtId="166" fontId="97" fillId="29" borderId="7" xfId="0" applyNumberFormat="1" applyFont="1" applyFill="1" applyBorder="1"/>
    <xf numFmtId="168" fontId="92" fillId="29" borderId="7" xfId="0" applyNumberFormat="1" applyFont="1" applyFill="1" applyBorder="1"/>
    <xf numFmtId="167" fontId="72" fillId="65" borderId="0" xfId="0" applyNumberFormat="1" applyFont="1" applyFill="1" applyAlignment="1">
      <alignment horizontal="right"/>
    </xf>
    <xf numFmtId="166" fontId="72" fillId="65" borderId="0" xfId="0" applyNumberFormat="1" applyFont="1" applyFill="1" applyAlignment="1">
      <alignment horizontal="right"/>
    </xf>
    <xf numFmtId="167" fontId="80" fillId="65" borderId="0" xfId="0" applyNumberFormat="1" applyFont="1" applyFill="1" applyAlignment="1">
      <alignment horizontal="right"/>
    </xf>
    <xf numFmtId="167" fontId="64" fillId="65" borderId="0" xfId="0" applyNumberFormat="1" applyFont="1" applyFill="1" applyAlignment="1">
      <alignment horizontal="right"/>
    </xf>
    <xf numFmtId="166" fontId="64" fillId="65" borderId="0" xfId="0" applyNumberFormat="1" applyFont="1" applyFill="1" applyAlignment="1">
      <alignment horizontal="right"/>
    </xf>
    <xf numFmtId="167" fontId="256" fillId="65" borderId="0" xfId="0" applyNumberFormat="1" applyFont="1" applyFill="1" applyAlignment="1">
      <alignment horizontal="right"/>
    </xf>
    <xf numFmtId="0" fontId="123" fillId="30" borderId="0" xfId="0" applyFont="1" applyFill="1"/>
    <xf numFmtId="168" fontId="67" fillId="30" borderId="0" xfId="12" applyNumberFormat="1" applyFont="1" applyFill="1" applyBorder="1" applyAlignment="1" applyProtection="1"/>
    <xf numFmtId="168" fontId="67" fillId="30" borderId="46" xfId="12" applyNumberFormat="1" applyFont="1" applyFill="1" applyBorder="1" applyAlignment="1" applyProtection="1"/>
    <xf numFmtId="168" fontId="74" fillId="15" borderId="7" xfId="12" applyNumberFormat="1" applyFont="1" applyFill="1" applyBorder="1"/>
    <xf numFmtId="167" fontId="71" fillId="9" borderId="7" xfId="0" applyNumberFormat="1" applyFont="1" applyFill="1" applyBorder="1" applyAlignment="1">
      <alignment horizontal="right"/>
    </xf>
    <xf numFmtId="0" fontId="226" fillId="62" borderId="0" xfId="9" applyFont="1" applyFill="1" applyAlignment="1">
      <alignment horizontal="left" indent="5"/>
    </xf>
    <xf numFmtId="0" fontId="226" fillId="62" borderId="0" xfId="9" applyFont="1" applyFill="1" applyAlignment="1">
      <alignment horizontal="left" indent="4"/>
    </xf>
    <xf numFmtId="0" fontId="226" fillId="62" borderId="0" xfId="9" applyFont="1" applyFill="1" applyAlignment="1">
      <alignment horizontal="left" indent="3"/>
    </xf>
    <xf numFmtId="0" fontId="226" fillId="62" borderId="0" xfId="9" applyFont="1" applyFill="1" applyAlignment="1">
      <alignment horizontal="left" indent="1"/>
    </xf>
    <xf numFmtId="0" fontId="37" fillId="56" borderId="0" xfId="9" applyFont="1" applyFill="1" applyAlignment="1">
      <alignment horizontal="left" indent="2"/>
    </xf>
    <xf numFmtId="0" fontId="37" fillId="62" borderId="0" xfId="9" applyFont="1" applyFill="1" applyAlignment="1">
      <alignment horizontal="left" indent="2"/>
    </xf>
    <xf numFmtId="166" fontId="93" fillId="15" borderId="26" xfId="0" applyNumberFormat="1" applyFont="1" applyFill="1" applyBorder="1"/>
    <xf numFmtId="166" fontId="88" fillId="15" borderId="26" xfId="0" applyNumberFormat="1" applyFont="1" applyFill="1" applyBorder="1"/>
    <xf numFmtId="0" fontId="200" fillId="53" borderId="0" xfId="0" applyFont="1" applyFill="1" applyAlignment="1">
      <alignment horizontal="center"/>
    </xf>
    <xf numFmtId="0" fontId="141" fillId="13" borderId="0" xfId="9" applyFont="1" applyFill="1" applyAlignment="1">
      <alignment horizontal="left" indent="1"/>
    </xf>
    <xf numFmtId="167" fontId="99" fillId="65" borderId="0" xfId="0" applyNumberFormat="1" applyFont="1" applyFill="1" applyAlignment="1">
      <alignment horizontal="right"/>
    </xf>
    <xf numFmtId="169" fontId="72" fillId="13" borderId="0" xfId="1" applyNumberFormat="1" applyFont="1" applyFill="1" applyBorder="1" applyAlignment="1">
      <alignment horizontal="right"/>
    </xf>
    <xf numFmtId="4" fontId="64" fillId="13" borderId="0" xfId="0" applyNumberFormat="1" applyFont="1" applyFill="1" applyAlignment="1">
      <alignment horizontal="right"/>
    </xf>
    <xf numFmtId="167" fontId="99" fillId="13" borderId="27" xfId="0" applyNumberFormat="1" applyFont="1" applyFill="1" applyBorder="1" applyAlignment="1">
      <alignment horizontal="right"/>
    </xf>
    <xf numFmtId="0" fontId="257" fillId="0" borderId="0" xfId="0" applyFont="1" applyAlignment="1">
      <alignment horizontal="right"/>
    </xf>
    <xf numFmtId="166" fontId="200" fillId="67" borderId="0" xfId="1" applyNumberFormat="1" applyFont="1" applyFill="1" applyBorder="1" applyAlignment="1">
      <alignment horizontal="right"/>
    </xf>
    <xf numFmtId="1" fontId="200" fillId="67" borderId="0" xfId="1" applyNumberFormat="1" applyFont="1" applyFill="1" applyBorder="1" applyAlignment="1">
      <alignment horizontal="right"/>
    </xf>
    <xf numFmtId="167" fontId="149" fillId="13" borderId="0" xfId="0" applyNumberFormat="1" applyFont="1" applyFill="1" applyAlignment="1">
      <alignment horizontal="right"/>
    </xf>
    <xf numFmtId="167" fontId="149" fillId="13" borderId="43" xfId="0" applyNumberFormat="1" applyFont="1" applyFill="1" applyBorder="1" applyAlignment="1">
      <alignment horizontal="right"/>
    </xf>
    <xf numFmtId="0" fontId="125" fillId="13" borderId="0" xfId="9" applyFont="1" applyFill="1" applyAlignment="1">
      <alignment horizontal="left" indent="7"/>
    </xf>
    <xf numFmtId="167" fontId="192" fillId="17" borderId="0" xfId="0" applyNumberFormat="1" applyFont="1" applyFill="1" applyAlignment="1">
      <alignment horizontal="right"/>
    </xf>
    <xf numFmtId="167" fontId="64" fillId="17" borderId="0" xfId="0" applyNumberFormat="1" applyFont="1" applyFill="1" applyAlignment="1">
      <alignment horizontal="right"/>
    </xf>
    <xf numFmtId="166" fontId="64" fillId="18" borderId="0" xfId="0" applyNumberFormat="1" applyFont="1" applyFill="1" applyAlignment="1">
      <alignment horizontal="right"/>
    </xf>
    <xf numFmtId="0" fontId="258" fillId="13" borderId="0" xfId="9" applyFont="1" applyFill="1" applyAlignment="1">
      <alignment horizontal="left" indent="3"/>
    </xf>
    <xf numFmtId="0" fontId="188" fillId="13" borderId="0" xfId="9" applyFont="1" applyFill="1" applyAlignment="1">
      <alignment horizontal="left" indent="4"/>
    </xf>
    <xf numFmtId="0" fontId="124" fillId="13" borderId="21" xfId="9" applyFont="1" applyFill="1" applyBorder="1" applyAlignment="1"/>
    <xf numFmtId="166" fontId="67" fillId="30" borderId="22" xfId="9" applyNumberFormat="1" applyFont="1" applyFill="1" applyBorder="1" applyAlignment="1"/>
    <xf numFmtId="166" fontId="67" fillId="30" borderId="109" xfId="9" applyNumberFormat="1" applyFont="1" applyFill="1" applyBorder="1" applyAlignment="1"/>
    <xf numFmtId="166" fontId="67" fillId="30" borderId="20" xfId="9" applyNumberFormat="1" applyFont="1" applyFill="1" applyBorder="1" applyAlignment="1"/>
    <xf numFmtId="167" fontId="80" fillId="13" borderId="22" xfId="0" applyNumberFormat="1" applyFont="1" applyFill="1" applyBorder="1" applyAlignment="1">
      <alignment horizontal="right"/>
    </xf>
    <xf numFmtId="167" fontId="72" fillId="13" borderId="22" xfId="0" applyNumberFormat="1" applyFont="1" applyFill="1" applyBorder="1" applyAlignment="1">
      <alignment horizontal="right"/>
    </xf>
    <xf numFmtId="166" fontId="72" fillId="13" borderId="22" xfId="0" applyNumberFormat="1" applyFont="1" applyFill="1" applyBorder="1" applyAlignment="1">
      <alignment horizontal="right"/>
    </xf>
    <xf numFmtId="167" fontId="80" fillId="13" borderId="109" xfId="0" applyNumberFormat="1" applyFont="1" applyFill="1" applyBorder="1" applyAlignment="1">
      <alignment horizontal="right"/>
    </xf>
    <xf numFmtId="0" fontId="123" fillId="13" borderId="23" xfId="0" applyFont="1" applyFill="1" applyBorder="1" applyAlignment="1">
      <alignment horizontal="left" indent="1"/>
    </xf>
    <xf numFmtId="0" fontId="124" fillId="30" borderId="21" xfId="9" applyFont="1" applyFill="1" applyBorder="1" applyAlignment="1"/>
    <xf numFmtId="167" fontId="112" fillId="30" borderId="22" xfId="9" applyNumberFormat="1" applyFont="1" applyFill="1" applyBorder="1" applyAlignment="1"/>
    <xf numFmtId="0" fontId="123" fillId="30" borderId="23" xfId="0" applyFont="1" applyFill="1" applyBorder="1" applyAlignment="1">
      <alignment horizontal="left" indent="1"/>
    </xf>
    <xf numFmtId="0" fontId="125" fillId="29" borderId="0" xfId="9" applyFont="1" applyFill="1" applyAlignment="1">
      <alignment horizontal="left" indent="5"/>
    </xf>
    <xf numFmtId="0" fontId="125" fillId="29" borderId="0" xfId="9" applyFont="1" applyFill="1" applyAlignment="1">
      <alignment horizontal="left" indent="3"/>
    </xf>
    <xf numFmtId="0" fontId="124" fillId="29" borderId="0" xfId="9" applyFont="1" applyFill="1" applyAlignment="1">
      <alignment horizontal="left" indent="1"/>
    </xf>
    <xf numFmtId="0" fontId="125" fillId="29" borderId="0" xfId="9" applyFont="1" applyFill="1" applyAlignment="1">
      <alignment horizontal="left" indent="2"/>
    </xf>
    <xf numFmtId="0" fontId="183" fillId="29" borderId="0" xfId="9" applyFont="1" applyFill="1" applyAlignment="1">
      <alignment horizontal="left" indent="3"/>
    </xf>
    <xf numFmtId="0" fontId="123" fillId="29" borderId="23" xfId="0" applyFont="1" applyFill="1" applyBorder="1" applyAlignment="1">
      <alignment horizontal="left" indent="1"/>
    </xf>
    <xf numFmtId="168" fontId="67" fillId="29" borderId="0" xfId="12" applyNumberFormat="1" applyFont="1" applyFill="1" applyBorder="1" applyAlignment="1" applyProtection="1"/>
    <xf numFmtId="0" fontId="124" fillId="17" borderId="23" xfId="9" applyFont="1" applyFill="1" applyBorder="1" applyAlignment="1"/>
    <xf numFmtId="168" fontId="67" fillId="17" borderId="0" xfId="12" applyNumberFormat="1" applyFont="1" applyFill="1" applyBorder="1" applyAlignment="1" applyProtection="1"/>
    <xf numFmtId="0" fontId="123" fillId="17" borderId="23" xfId="0" applyFont="1" applyFill="1" applyBorder="1" applyAlignment="1">
      <alignment horizontal="left" indent="1"/>
    </xf>
    <xf numFmtId="0" fontId="123" fillId="17" borderId="24" xfId="0" applyFont="1" applyFill="1" applyBorder="1" applyAlignment="1">
      <alignment horizontal="left" indent="1"/>
    </xf>
    <xf numFmtId="168" fontId="67" fillId="17" borderId="25" xfId="12" applyNumberFormat="1" applyFont="1" applyFill="1" applyBorder="1" applyAlignment="1" applyProtection="1"/>
    <xf numFmtId="0" fontId="125" fillId="29" borderId="0" xfId="9" applyFont="1" applyFill="1" applyAlignment="1">
      <alignment horizontal="left" indent="4"/>
    </xf>
    <xf numFmtId="167" fontId="80" fillId="17" borderId="0" xfId="0" applyNumberFormat="1" applyFont="1" applyFill="1" applyAlignment="1">
      <alignment horizontal="right"/>
    </xf>
    <xf numFmtId="166" fontId="64" fillId="17" borderId="0" xfId="0" applyNumberFormat="1" applyFont="1" applyFill="1" applyAlignment="1">
      <alignment horizontal="right"/>
    </xf>
    <xf numFmtId="167" fontId="64" fillId="17" borderId="20" xfId="0" applyNumberFormat="1" applyFont="1" applyFill="1" applyBorder="1" applyAlignment="1">
      <alignment horizontal="right"/>
    </xf>
    <xf numFmtId="167" fontId="80" fillId="17" borderId="25" xfId="0" applyNumberFormat="1" applyFont="1" applyFill="1" applyBorder="1" applyAlignment="1">
      <alignment horizontal="right"/>
    </xf>
    <xf numFmtId="167" fontId="64" fillId="17" borderId="25" xfId="0" applyNumberFormat="1" applyFont="1" applyFill="1" applyBorder="1" applyAlignment="1">
      <alignment horizontal="right"/>
    </xf>
    <xf numFmtId="166" fontId="64" fillId="17" borderId="25" xfId="0" applyNumberFormat="1" applyFont="1" applyFill="1" applyBorder="1" applyAlignment="1">
      <alignment horizontal="right"/>
    </xf>
    <xf numFmtId="0" fontId="124" fillId="18" borderId="23" xfId="9" applyFont="1" applyFill="1" applyBorder="1" applyAlignment="1"/>
    <xf numFmtId="0" fontId="123" fillId="18" borderId="23" xfId="0" applyFont="1" applyFill="1" applyBorder="1" applyAlignment="1">
      <alignment horizontal="left" indent="1"/>
    </xf>
    <xf numFmtId="166" fontId="64" fillId="29" borderId="0" xfId="0" applyNumberFormat="1" applyFont="1" applyFill="1" applyAlignment="1">
      <alignment horizontal="right"/>
    </xf>
    <xf numFmtId="167" fontId="72" fillId="17" borderId="0" xfId="0" applyNumberFormat="1" applyFont="1" applyFill="1"/>
    <xf numFmtId="0" fontId="124" fillId="29" borderId="23" xfId="9" applyFont="1" applyFill="1" applyBorder="1" applyAlignment="1"/>
    <xf numFmtId="166" fontId="99" fillId="13" borderId="134" xfId="0" applyNumberFormat="1" applyFont="1" applyFill="1" applyBorder="1" applyAlignment="1">
      <alignment horizontal="right"/>
    </xf>
    <xf numFmtId="167" fontId="99" fillId="13" borderId="135" xfId="0" applyNumberFormat="1" applyFont="1" applyFill="1" applyBorder="1" applyAlignment="1">
      <alignment horizontal="right"/>
    </xf>
    <xf numFmtId="167" fontId="64" fillId="13" borderId="136" xfId="0" applyNumberFormat="1" applyFont="1" applyFill="1" applyBorder="1" applyAlignment="1">
      <alignment horizontal="right"/>
    </xf>
    <xf numFmtId="166" fontId="99" fillId="13" borderId="137" xfId="0" applyNumberFormat="1" applyFont="1" applyFill="1" applyBorder="1" applyAlignment="1">
      <alignment horizontal="right"/>
    </xf>
    <xf numFmtId="167" fontId="99" fillId="13" borderId="138" xfId="0" applyNumberFormat="1" applyFont="1" applyFill="1" applyBorder="1" applyAlignment="1">
      <alignment horizontal="right"/>
    </xf>
    <xf numFmtId="167" fontId="64" fillId="13" borderId="139" xfId="0" applyNumberFormat="1" applyFont="1" applyFill="1" applyBorder="1" applyAlignment="1">
      <alignment horizontal="right"/>
    </xf>
    <xf numFmtId="167" fontId="64" fillId="13" borderId="122" xfId="0" applyNumberFormat="1" applyFont="1" applyFill="1" applyBorder="1" applyAlignment="1">
      <alignment horizontal="right"/>
    </xf>
    <xf numFmtId="167" fontId="64" fillId="13" borderId="124" xfId="0" applyNumberFormat="1" applyFont="1" applyFill="1" applyBorder="1" applyAlignment="1">
      <alignment horizontal="right"/>
    </xf>
    <xf numFmtId="167" fontId="64" fillId="13" borderId="125" xfId="0" applyNumberFormat="1" applyFont="1" applyFill="1" applyBorder="1" applyAlignment="1">
      <alignment horizontal="right"/>
    </xf>
    <xf numFmtId="0" fontId="125" fillId="29" borderId="23" xfId="9" applyFont="1" applyFill="1" applyBorder="1" applyAlignment="1"/>
    <xf numFmtId="168" fontId="67" fillId="18" borderId="0" xfId="12" applyNumberFormat="1" applyFont="1" applyFill="1" applyBorder="1" applyAlignment="1" applyProtection="1"/>
    <xf numFmtId="166" fontId="99" fillId="30" borderId="0" xfId="9" applyNumberFormat="1" applyFont="1" applyFill="1" applyAlignment="1"/>
    <xf numFmtId="168" fontId="99" fillId="30" borderId="0" xfId="12" applyNumberFormat="1" applyFont="1" applyFill="1" applyBorder="1" applyAlignment="1" applyProtection="1"/>
    <xf numFmtId="0" fontId="183" fillId="30" borderId="0" xfId="9" applyFont="1" applyFill="1" applyAlignment="1">
      <alignment horizontal="left" indent="1"/>
    </xf>
    <xf numFmtId="0" fontId="123" fillId="18" borderId="140" xfId="0" applyFont="1" applyFill="1" applyBorder="1" applyAlignment="1">
      <alignment horizontal="left" indent="1"/>
    </xf>
    <xf numFmtId="0" fontId="37" fillId="57" borderId="0" xfId="9" applyFont="1" applyFill="1" applyAlignment="1">
      <alignment horizontal="left" indent="5"/>
    </xf>
    <xf numFmtId="0" fontId="37" fillId="57" borderId="0" xfId="9" applyFont="1" applyFill="1" applyAlignment="1">
      <alignment horizontal="left" indent="3"/>
    </xf>
    <xf numFmtId="0" fontId="259" fillId="62" borderId="0" xfId="9" applyFont="1" applyFill="1" applyAlignment="1">
      <alignment horizontal="left" indent="4"/>
    </xf>
    <xf numFmtId="0" fontId="260" fillId="62" borderId="0" xfId="9" applyFont="1" applyFill="1" applyAlignment="1">
      <alignment horizontal="left" indent="1"/>
    </xf>
    <xf numFmtId="0" fontId="261" fillId="57" borderId="0" xfId="9" applyFont="1" applyFill="1" applyAlignment="1">
      <alignment horizontal="left" indent="1"/>
    </xf>
    <xf numFmtId="0" fontId="37" fillId="62" borderId="0" xfId="9" applyFont="1" applyFill="1" applyAlignment="1">
      <alignment horizontal="left" indent="1"/>
    </xf>
    <xf numFmtId="0" fontId="37" fillId="62" borderId="0" xfId="9" applyFont="1" applyFill="1" applyAlignment="1">
      <alignment horizontal="left" indent="4"/>
    </xf>
    <xf numFmtId="0" fontId="261" fillId="57" borderId="23" xfId="9" applyFont="1" applyFill="1" applyBorder="1" applyAlignment="1"/>
    <xf numFmtId="0" fontId="262" fillId="57" borderId="23" xfId="0" applyFont="1" applyFill="1" applyBorder="1" applyAlignment="1">
      <alignment horizontal="left" indent="1"/>
    </xf>
    <xf numFmtId="0" fontId="261" fillId="56" borderId="23" xfId="9" applyFont="1" applyFill="1" applyBorder="1" applyAlignment="1"/>
    <xf numFmtId="0" fontId="262" fillId="56" borderId="23" xfId="0" applyFont="1" applyFill="1" applyBorder="1" applyAlignment="1">
      <alignment horizontal="left" indent="1"/>
    </xf>
    <xf numFmtId="167" fontId="237" fillId="64" borderId="0" xfId="0" applyNumberFormat="1" applyFont="1" applyFill="1"/>
    <xf numFmtId="0" fontId="262" fillId="64" borderId="24" xfId="0" applyFont="1" applyFill="1" applyBorder="1" applyAlignment="1">
      <alignment horizontal="left" indent="1"/>
    </xf>
    <xf numFmtId="0" fontId="262" fillId="64" borderId="0" xfId="0" applyFont="1" applyFill="1" applyAlignment="1">
      <alignment horizontal="left" indent="1"/>
    </xf>
    <xf numFmtId="0" fontId="37" fillId="57" borderId="0" xfId="9" applyFont="1" applyFill="1" applyAlignment="1">
      <alignment horizontal="left" indent="2"/>
    </xf>
    <xf numFmtId="0" fontId="226" fillId="57" borderId="0" xfId="9" applyFont="1" applyFill="1" applyAlignment="1">
      <alignment horizontal="left" indent="3"/>
    </xf>
    <xf numFmtId="168" fontId="80" fillId="0" borderId="0" xfId="12" applyNumberFormat="1" applyFont="1" applyBorder="1"/>
    <xf numFmtId="168" fontId="111" fillId="0" borderId="0" xfId="12" applyNumberFormat="1" applyFont="1" applyBorder="1" applyAlignment="1">
      <alignment horizontal="center"/>
    </xf>
    <xf numFmtId="167" fontId="80" fillId="70" borderId="0" xfId="0" applyNumberFormat="1" applyFont="1" applyFill="1"/>
    <xf numFmtId="0" fontId="80" fillId="70" borderId="0" xfId="0" applyFont="1" applyFill="1"/>
    <xf numFmtId="167" fontId="149" fillId="70" borderId="0" xfId="0" applyNumberFormat="1" applyFont="1" applyFill="1"/>
    <xf numFmtId="0" fontId="123" fillId="65" borderId="127" xfId="0" applyFont="1" applyFill="1" applyBorder="1" applyAlignment="1">
      <alignment horizontal="left" indent="1"/>
    </xf>
    <xf numFmtId="167" fontId="80" fillId="65" borderId="127" xfId="0" applyNumberFormat="1" applyFont="1" applyFill="1" applyBorder="1" applyAlignment="1">
      <alignment horizontal="right"/>
    </xf>
    <xf numFmtId="167" fontId="64" fillId="65" borderId="127" xfId="0" applyNumberFormat="1" applyFont="1" applyFill="1" applyBorder="1" applyAlignment="1">
      <alignment horizontal="right"/>
    </xf>
    <xf numFmtId="168" fontId="64" fillId="65" borderId="127" xfId="12" applyNumberFormat="1" applyFont="1" applyFill="1" applyBorder="1" applyAlignment="1">
      <alignment horizontal="right"/>
    </xf>
    <xf numFmtId="168" fontId="80" fillId="65" borderId="0" xfId="12" applyNumberFormat="1" applyFont="1" applyFill="1" applyBorder="1"/>
    <xf numFmtId="0" fontId="37" fillId="57" borderId="0" xfId="9" applyFont="1" applyFill="1" applyAlignment="1">
      <alignment horizontal="left" indent="4"/>
    </xf>
    <xf numFmtId="167" fontId="80" fillId="68" borderId="0" xfId="0" applyNumberFormat="1" applyFont="1" applyFill="1" applyAlignment="1">
      <alignment horizontal="right"/>
    </xf>
    <xf numFmtId="167" fontId="80" fillId="68" borderId="0" xfId="0" applyNumberFormat="1" applyFont="1" applyFill="1"/>
    <xf numFmtId="168" fontId="59" fillId="0" borderId="0" xfId="0" applyNumberFormat="1" applyFont="1"/>
    <xf numFmtId="0" fontId="60" fillId="71" borderId="94" xfId="0" applyFont="1" applyFill="1" applyBorder="1"/>
    <xf numFmtId="0" fontId="0" fillId="71" borderId="95" xfId="0" applyFill="1" applyBorder="1"/>
    <xf numFmtId="0" fontId="59" fillId="71" borderId="95" xfId="0" applyFont="1" applyFill="1" applyBorder="1"/>
    <xf numFmtId="0" fontId="83" fillId="71" borderId="95" xfId="0" applyFont="1" applyFill="1" applyBorder="1" applyAlignment="1">
      <alignment horizontal="right"/>
    </xf>
    <xf numFmtId="0" fontId="60" fillId="71" borderId="97" xfId="0" applyFont="1" applyFill="1" applyBorder="1"/>
    <xf numFmtId="0" fontId="0" fillId="71" borderId="0" xfId="0" applyFill="1"/>
    <xf numFmtId="0" fontId="59" fillId="71" borderId="0" xfId="0" applyFont="1" applyFill="1"/>
    <xf numFmtId="1" fontId="0" fillId="71" borderId="0" xfId="0" applyNumberFormat="1" applyFill="1"/>
    <xf numFmtId="0" fontId="0" fillId="71" borderId="97" xfId="0" applyFill="1" applyBorder="1"/>
    <xf numFmtId="168" fontId="71" fillId="71" borderId="0" xfId="0" applyNumberFormat="1" applyFont="1" applyFill="1"/>
    <xf numFmtId="0" fontId="70" fillId="71" borderId="97" xfId="0" applyFont="1" applyFill="1" applyBorder="1"/>
    <xf numFmtId="1" fontId="71" fillId="71" borderId="0" xfId="0" applyNumberFormat="1" applyFont="1" applyFill="1"/>
    <xf numFmtId="0" fontId="75" fillId="71" borderId="98" xfId="0" applyFont="1" applyFill="1" applyBorder="1" applyAlignment="1">
      <alignment horizontal="right"/>
    </xf>
    <xf numFmtId="0" fontId="0" fillId="71" borderId="99" xfId="0" applyFill="1" applyBorder="1"/>
    <xf numFmtId="0" fontId="59" fillId="71" borderId="99" xfId="0" applyFont="1" applyFill="1" applyBorder="1"/>
    <xf numFmtId="1" fontId="75" fillId="71" borderId="99" xfId="0" applyNumberFormat="1" applyFont="1" applyFill="1" applyBorder="1"/>
    <xf numFmtId="0" fontId="89" fillId="0" borderId="0" xfId="0" applyFont="1" applyAlignment="1">
      <alignment horizontal="center"/>
    </xf>
    <xf numFmtId="1" fontId="61" fillId="71" borderId="0" xfId="0" applyNumberFormat="1" applyFont="1" applyFill="1"/>
    <xf numFmtId="0" fontId="75" fillId="71" borderId="95" xfId="0" applyFont="1" applyFill="1" applyBorder="1"/>
    <xf numFmtId="1" fontId="264" fillId="71" borderId="0" xfId="0" applyNumberFormat="1" applyFont="1" applyFill="1"/>
    <xf numFmtId="1" fontId="265" fillId="71" borderId="0" xfId="0" applyNumberFormat="1" applyFont="1" applyFill="1"/>
    <xf numFmtId="0" fontId="266" fillId="71" borderId="0" xfId="0" applyFont="1" applyFill="1"/>
    <xf numFmtId="0" fontId="241" fillId="0" borderId="6" xfId="0" applyFont="1" applyBorder="1" applyAlignment="1">
      <alignment horizontal="left" indent="2"/>
    </xf>
    <xf numFmtId="0" fontId="183" fillId="0" borderId="0" xfId="0" applyFont="1"/>
    <xf numFmtId="167" fontId="148" fillId="0" borderId="0" xfId="0" applyNumberFormat="1" applyFont="1"/>
    <xf numFmtId="167" fontId="131" fillId="0" borderId="43" xfId="0" applyNumberFormat="1" applyFont="1" applyBorder="1"/>
    <xf numFmtId="0" fontId="149" fillId="5" borderId="0" xfId="0" applyFont="1" applyFill="1" applyAlignment="1">
      <alignment horizontal="left" indent="2"/>
    </xf>
    <xf numFmtId="167" fontId="80" fillId="11" borderId="0" xfId="0" applyNumberFormat="1" applyFont="1" applyFill="1" applyAlignment="1">
      <alignment horizontal="right"/>
    </xf>
    <xf numFmtId="167" fontId="64" fillId="18" borderId="134" xfId="0" applyNumberFormat="1" applyFont="1" applyFill="1" applyBorder="1" applyAlignment="1">
      <alignment horizontal="right"/>
    </xf>
    <xf numFmtId="167" fontId="64" fillId="18" borderId="135" xfId="0" applyNumberFormat="1" applyFont="1" applyFill="1" applyBorder="1" applyAlignment="1">
      <alignment horizontal="right"/>
    </xf>
    <xf numFmtId="167" fontId="64" fillId="18" borderId="136" xfId="0" applyNumberFormat="1" applyFont="1" applyFill="1" applyBorder="1" applyAlignment="1">
      <alignment horizontal="right"/>
    </xf>
    <xf numFmtId="167" fontId="64" fillId="18" borderId="141" xfId="0" applyNumberFormat="1" applyFont="1" applyFill="1" applyBorder="1" applyAlignment="1">
      <alignment horizontal="right"/>
    </xf>
    <xf numFmtId="167" fontId="64" fillId="18" borderId="142" xfId="0" applyNumberFormat="1" applyFont="1" applyFill="1" applyBorder="1" applyAlignment="1">
      <alignment horizontal="right"/>
    </xf>
    <xf numFmtId="167" fontId="64" fillId="18" borderId="137" xfId="0" applyNumberFormat="1" applyFont="1" applyFill="1" applyBorder="1" applyAlignment="1">
      <alignment horizontal="right"/>
    </xf>
    <xf numFmtId="167" fontId="64" fillId="18" borderId="138" xfId="0" applyNumberFormat="1" applyFont="1" applyFill="1" applyBorder="1" applyAlignment="1">
      <alignment horizontal="right"/>
    </xf>
    <xf numFmtId="166" fontId="64" fillId="18" borderId="138" xfId="0" applyNumberFormat="1" applyFont="1" applyFill="1" applyBorder="1" applyAlignment="1">
      <alignment horizontal="right"/>
    </xf>
    <xf numFmtId="166" fontId="64" fillId="18" borderId="139" xfId="0" applyNumberFormat="1" applyFont="1" applyFill="1" applyBorder="1" applyAlignment="1">
      <alignment horizontal="right"/>
    </xf>
    <xf numFmtId="167" fontId="240" fillId="53" borderId="36" xfId="0" applyNumberFormat="1" applyFont="1" applyFill="1" applyBorder="1" applyAlignment="1">
      <alignment horizontal="right"/>
    </xf>
    <xf numFmtId="167" fontId="240" fillId="53" borderId="31" xfId="0" applyNumberFormat="1" applyFont="1" applyFill="1" applyBorder="1" applyAlignment="1">
      <alignment horizontal="right"/>
    </xf>
    <xf numFmtId="0" fontId="141" fillId="29" borderId="0" xfId="9" applyFont="1" applyFill="1" applyAlignment="1">
      <alignment horizontal="left" indent="1"/>
    </xf>
    <xf numFmtId="167" fontId="99" fillId="29" borderId="122" xfId="0" applyNumberFormat="1" applyFont="1" applyFill="1" applyBorder="1" applyAlignment="1">
      <alignment horizontal="right"/>
    </xf>
    <xf numFmtId="167" fontId="99" fillId="29" borderId="125" xfId="0" applyNumberFormat="1" applyFont="1" applyFill="1" applyBorder="1" applyAlignment="1">
      <alignment horizontal="right"/>
    </xf>
    <xf numFmtId="167" fontId="99" fillId="29" borderId="124" xfId="0" applyNumberFormat="1" applyFont="1" applyFill="1" applyBorder="1" applyAlignment="1">
      <alignment horizontal="right"/>
    </xf>
    <xf numFmtId="0" fontId="67" fillId="29" borderId="0" xfId="0" applyFont="1" applyFill="1"/>
    <xf numFmtId="167" fontId="64" fillId="17" borderId="0" xfId="0" applyNumberFormat="1" applyFont="1" applyFill="1"/>
    <xf numFmtId="0" fontId="64" fillId="16" borderId="0" xfId="0" applyFont="1" applyFill="1"/>
    <xf numFmtId="167" fontId="72" fillId="29" borderId="0" xfId="0" applyNumberFormat="1" applyFont="1" applyFill="1" applyAlignment="1">
      <alignment horizontal="right"/>
    </xf>
    <xf numFmtId="166" fontId="72" fillId="29" borderId="0" xfId="0" applyNumberFormat="1" applyFont="1" applyFill="1" applyAlignment="1">
      <alignment horizontal="right"/>
    </xf>
    <xf numFmtId="167" fontId="72" fillId="17" borderId="0" xfId="0" applyNumberFormat="1" applyFont="1" applyFill="1" applyAlignment="1">
      <alignment horizontal="right"/>
    </xf>
    <xf numFmtId="166" fontId="99" fillId="29" borderId="0" xfId="0" applyNumberFormat="1" applyFont="1" applyFill="1" applyAlignment="1">
      <alignment horizontal="right"/>
    </xf>
    <xf numFmtId="167" fontId="64" fillId="16" borderId="0" xfId="0" applyNumberFormat="1" applyFont="1" applyFill="1" applyAlignment="1">
      <alignment horizontal="right"/>
    </xf>
    <xf numFmtId="167" fontId="64" fillId="29" borderId="121" xfId="0" applyNumberFormat="1" applyFont="1" applyFill="1" applyBorder="1" applyAlignment="1">
      <alignment horizontal="right"/>
    </xf>
    <xf numFmtId="0" fontId="148" fillId="29" borderId="0" xfId="9" applyFont="1" applyFill="1" applyAlignment="1">
      <alignment horizontal="left" indent="1"/>
    </xf>
    <xf numFmtId="166" fontId="267" fillId="12" borderId="39" xfId="0" applyNumberFormat="1" applyFont="1" applyFill="1" applyBorder="1" applyAlignment="1">
      <alignment horizontal="right"/>
    </xf>
    <xf numFmtId="166" fontId="62" fillId="12" borderId="39" xfId="0" applyNumberFormat="1" applyFont="1" applyFill="1" applyBorder="1"/>
    <xf numFmtId="0" fontId="124" fillId="19" borderId="23" xfId="9" applyFont="1" applyFill="1" applyBorder="1" applyAlignment="1"/>
    <xf numFmtId="167" fontId="64" fillId="19" borderId="0" xfId="0" applyNumberFormat="1" applyFont="1" applyFill="1" applyAlignment="1">
      <alignment horizontal="right"/>
    </xf>
    <xf numFmtId="0" fontId="123" fillId="19" borderId="23" xfId="0" applyFont="1" applyFill="1" applyBorder="1" applyAlignment="1">
      <alignment horizontal="left" indent="1"/>
    </xf>
    <xf numFmtId="0" fontId="123" fillId="19" borderId="0" xfId="0" applyFont="1" applyFill="1" applyAlignment="1">
      <alignment horizontal="left" indent="1"/>
    </xf>
    <xf numFmtId="168" fontId="67" fillId="19" borderId="0" xfId="12" applyNumberFormat="1" applyFont="1" applyFill="1" applyBorder="1" applyAlignment="1" applyProtection="1"/>
    <xf numFmtId="168" fontId="67" fillId="29" borderId="126" xfId="12" applyNumberFormat="1" applyFont="1" applyFill="1" applyBorder="1" applyAlignment="1" applyProtection="1"/>
    <xf numFmtId="168" fontId="67" fillId="29" borderId="127" xfId="12" applyNumberFormat="1" applyFont="1" applyFill="1" applyBorder="1" applyAlignment="1" applyProtection="1"/>
    <xf numFmtId="168" fontId="67" fillId="29" borderId="128" xfId="12" applyNumberFormat="1" applyFont="1" applyFill="1" applyBorder="1" applyAlignment="1" applyProtection="1"/>
    <xf numFmtId="168" fontId="67" fillId="29" borderId="21" xfId="12" applyNumberFormat="1" applyFont="1" applyFill="1" applyBorder="1" applyAlignment="1" applyProtection="1"/>
    <xf numFmtId="168" fontId="67" fillId="29" borderId="22" xfId="12" applyNumberFormat="1" applyFont="1" applyFill="1" applyBorder="1" applyAlignment="1" applyProtection="1"/>
    <xf numFmtId="168" fontId="67" fillId="29" borderId="109" xfId="12" applyNumberFormat="1" applyFont="1" applyFill="1" applyBorder="1" applyAlignment="1" applyProtection="1"/>
    <xf numFmtId="168" fontId="67" fillId="29" borderId="24" xfId="12" applyNumberFormat="1" applyFont="1" applyFill="1" applyBorder="1" applyAlignment="1" applyProtection="1"/>
    <xf numFmtId="168" fontId="67" fillId="29" borderId="25" xfId="12" applyNumberFormat="1" applyFont="1" applyFill="1" applyBorder="1" applyAlignment="1" applyProtection="1"/>
    <xf numFmtId="168" fontId="67" fillId="29" borderId="110" xfId="12" applyNumberFormat="1" applyFont="1" applyFill="1" applyBorder="1" applyAlignment="1" applyProtection="1"/>
    <xf numFmtId="166" fontId="67" fillId="29" borderId="109" xfId="9" applyNumberFormat="1" applyFont="1" applyFill="1" applyBorder="1" applyAlignment="1"/>
    <xf numFmtId="166" fontId="67" fillId="29" borderId="110" xfId="9" applyNumberFormat="1" applyFont="1" applyFill="1" applyBorder="1" applyAlignment="1"/>
    <xf numFmtId="166" fontId="79" fillId="29" borderId="128" xfId="9" applyNumberFormat="1" applyFont="1" applyFill="1" applyBorder="1" applyAlignment="1"/>
    <xf numFmtId="166" fontId="79" fillId="29" borderId="109" xfId="9" applyNumberFormat="1" applyFont="1" applyFill="1" applyBorder="1" applyAlignment="1"/>
    <xf numFmtId="166" fontId="79" fillId="29" borderId="110" xfId="9" applyNumberFormat="1" applyFont="1" applyFill="1" applyBorder="1" applyAlignment="1"/>
    <xf numFmtId="166" fontId="64" fillId="14" borderId="0" xfId="0" applyNumberFormat="1" applyFont="1" applyFill="1" applyAlignment="1">
      <alignment horizontal="right"/>
    </xf>
    <xf numFmtId="166" fontId="64" fillId="72" borderId="0" xfId="0" applyNumberFormat="1" applyFont="1" applyFill="1" applyAlignment="1">
      <alignment horizontal="right"/>
    </xf>
    <xf numFmtId="166" fontId="64" fillId="28" borderId="0" xfId="0" applyNumberFormat="1" applyFont="1" applyFill="1" applyAlignment="1">
      <alignment horizontal="right"/>
    </xf>
    <xf numFmtId="167" fontId="80" fillId="35" borderId="0" xfId="0" applyNumberFormat="1" applyFont="1" applyFill="1" applyAlignment="1">
      <alignment horizontal="right"/>
    </xf>
    <xf numFmtId="0" fontId="110" fillId="13" borderId="134" xfId="0" applyFont="1" applyFill="1" applyBorder="1"/>
    <xf numFmtId="167" fontId="80" fillId="13" borderId="135" xfId="0" applyNumberFormat="1" applyFont="1" applyFill="1" applyBorder="1" applyAlignment="1">
      <alignment horizontal="right"/>
    </xf>
    <xf numFmtId="167" fontId="80" fillId="0" borderId="135" xfId="0" applyNumberFormat="1" applyFont="1" applyBorder="1"/>
    <xf numFmtId="167" fontId="64" fillId="13" borderId="135" xfId="0" applyNumberFormat="1" applyFont="1" applyFill="1" applyBorder="1" applyAlignment="1">
      <alignment horizontal="right"/>
    </xf>
    <xf numFmtId="167" fontId="64" fillId="65" borderId="135" xfId="0" applyNumberFormat="1" applyFont="1" applyFill="1" applyBorder="1" applyAlignment="1">
      <alignment horizontal="right"/>
    </xf>
    <xf numFmtId="166" fontId="64" fillId="72" borderId="135" xfId="0" applyNumberFormat="1" applyFont="1" applyFill="1" applyBorder="1" applyAlignment="1">
      <alignment horizontal="right"/>
    </xf>
    <xf numFmtId="166" fontId="64" fillId="72" borderId="136" xfId="0" applyNumberFormat="1" applyFont="1" applyFill="1" applyBorder="1" applyAlignment="1">
      <alignment horizontal="right"/>
    </xf>
    <xf numFmtId="0" fontId="110" fillId="13" borderId="141" xfId="0" applyFont="1" applyFill="1" applyBorder="1"/>
    <xf numFmtId="166" fontId="64" fillId="72" borderId="142" xfId="0" applyNumberFormat="1" applyFont="1" applyFill="1" applyBorder="1" applyAlignment="1">
      <alignment horizontal="right"/>
    </xf>
    <xf numFmtId="0" fontId="123" fillId="13" borderId="141" xfId="0" applyFont="1" applyFill="1" applyBorder="1"/>
    <xf numFmtId="0" fontId="123" fillId="13" borderId="137" xfId="0" applyFont="1" applyFill="1" applyBorder="1"/>
    <xf numFmtId="167" fontId="80" fillId="13" borderId="138" xfId="0" applyNumberFormat="1" applyFont="1" applyFill="1" applyBorder="1" applyAlignment="1">
      <alignment horizontal="right"/>
    </xf>
    <xf numFmtId="167" fontId="80" fillId="0" borderId="138" xfId="0" applyNumberFormat="1" applyFont="1" applyBorder="1"/>
    <xf numFmtId="167" fontId="64" fillId="13" borderId="138" xfId="0" applyNumberFormat="1" applyFont="1" applyFill="1" applyBorder="1" applyAlignment="1">
      <alignment horizontal="right"/>
    </xf>
    <xf numFmtId="167" fontId="64" fillId="65" borderId="138" xfId="0" applyNumberFormat="1" applyFont="1" applyFill="1" applyBorder="1" applyAlignment="1">
      <alignment horizontal="right"/>
    </xf>
    <xf numFmtId="166" fontId="64" fillId="72" borderId="138" xfId="0" applyNumberFormat="1" applyFont="1" applyFill="1" applyBorder="1" applyAlignment="1">
      <alignment horizontal="right"/>
    </xf>
    <xf numFmtId="166" fontId="64" fillId="72" borderId="139" xfId="0" applyNumberFormat="1" applyFont="1" applyFill="1" applyBorder="1" applyAlignment="1">
      <alignment horizontal="right"/>
    </xf>
    <xf numFmtId="0" fontId="64" fillId="54" borderId="7" xfId="0" applyFont="1" applyFill="1" applyBorder="1" applyAlignment="1">
      <alignment horizontal="left" indent="2"/>
    </xf>
    <xf numFmtId="0" fontId="64" fillId="54" borderId="7" xfId="0" applyFont="1" applyFill="1" applyBorder="1" applyAlignment="1">
      <alignment horizontal="left" indent="4"/>
    </xf>
    <xf numFmtId="167" fontId="60" fillId="54" borderId="7" xfId="0" applyNumberFormat="1" applyFont="1" applyFill="1" applyBorder="1" applyAlignment="1">
      <alignment horizontal="right"/>
    </xf>
    <xf numFmtId="167" fontId="149" fillId="0" borderId="48" xfId="0" applyNumberFormat="1" applyFont="1" applyBorder="1"/>
    <xf numFmtId="167" fontId="148" fillId="0" borderId="147" xfId="0" applyNumberFormat="1" applyFont="1" applyBorder="1"/>
    <xf numFmtId="167" fontId="148" fillId="0" borderId="48" xfId="0" applyNumberFormat="1" applyFont="1" applyBorder="1"/>
    <xf numFmtId="167" fontId="80" fillId="11" borderId="146" xfId="0" applyNumberFormat="1" applyFont="1" applyFill="1" applyBorder="1" applyAlignment="1">
      <alignment horizontal="right"/>
    </xf>
    <xf numFmtId="167" fontId="80" fillId="13" borderId="59" xfId="0" applyNumberFormat="1" applyFont="1" applyFill="1" applyBorder="1" applyAlignment="1">
      <alignment horizontal="right"/>
    </xf>
    <xf numFmtId="167" fontId="80" fillId="13" borderId="60" xfId="0" applyNumberFormat="1" applyFont="1" applyFill="1" applyBorder="1" applyAlignment="1">
      <alignment horizontal="right"/>
    </xf>
    <xf numFmtId="0" fontId="130" fillId="13" borderId="0" xfId="0" applyFont="1" applyFill="1"/>
    <xf numFmtId="172" fontId="216" fillId="58" borderId="42" xfId="0" quotePrefix="1" applyNumberFormat="1" applyFont="1" applyFill="1" applyBorder="1" applyAlignment="1">
      <alignment horizontal="right"/>
    </xf>
    <xf numFmtId="167" fontId="223" fillId="58" borderId="10" xfId="0" applyNumberFormat="1" applyFont="1" applyFill="1" applyBorder="1"/>
    <xf numFmtId="9" fontId="59" fillId="0" borderId="0" xfId="12" applyFont="1"/>
    <xf numFmtId="168" fontId="0" fillId="0" borderId="0" xfId="12" applyNumberFormat="1" applyFont="1" applyFill="1" applyBorder="1" applyAlignment="1">
      <alignment horizontal="right"/>
    </xf>
    <xf numFmtId="0" fontId="268" fillId="53" borderId="0" xfId="0" applyFont="1" applyFill="1" applyAlignment="1">
      <alignment horizontal="right"/>
    </xf>
    <xf numFmtId="167" fontId="240" fillId="53" borderId="114" xfId="0" applyNumberFormat="1" applyFont="1" applyFill="1" applyBorder="1" applyAlignment="1">
      <alignment horizontal="right"/>
    </xf>
    <xf numFmtId="166" fontId="79" fillId="30" borderId="0" xfId="1" applyNumberFormat="1" applyFont="1" applyFill="1" applyBorder="1" applyAlignment="1" applyProtection="1"/>
    <xf numFmtId="166" fontId="67" fillId="30" borderId="0" xfId="1" applyNumberFormat="1" applyFont="1" applyFill="1" applyBorder="1" applyAlignment="1" applyProtection="1"/>
    <xf numFmtId="166" fontId="79" fillId="29" borderId="126" xfId="1" applyNumberFormat="1" applyFont="1" applyFill="1" applyBorder="1" applyAlignment="1" applyProtection="1"/>
    <xf numFmtId="166" fontId="79" fillId="29" borderId="127" xfId="1" applyNumberFormat="1" applyFont="1" applyFill="1" applyBorder="1" applyAlignment="1" applyProtection="1"/>
    <xf numFmtId="166" fontId="79" fillId="29" borderId="21" xfId="1" applyNumberFormat="1" applyFont="1" applyFill="1" applyBorder="1" applyAlignment="1" applyProtection="1"/>
    <xf numFmtId="166" fontId="79" fillId="29" borderId="22" xfId="1" applyNumberFormat="1" applyFont="1" applyFill="1" applyBorder="1" applyAlignment="1" applyProtection="1"/>
    <xf numFmtId="166" fontId="79" fillId="29" borderId="24" xfId="1" applyNumberFormat="1" applyFont="1" applyFill="1" applyBorder="1" applyAlignment="1" applyProtection="1"/>
    <xf numFmtId="166" fontId="79" fillId="29" borderId="25" xfId="1" applyNumberFormat="1" applyFont="1" applyFill="1" applyBorder="1" applyAlignment="1" applyProtection="1"/>
    <xf numFmtId="166" fontId="67" fillId="29" borderId="21" xfId="1" applyNumberFormat="1" applyFont="1" applyFill="1" applyBorder="1" applyAlignment="1" applyProtection="1"/>
    <xf numFmtId="166" fontId="67" fillId="29" borderId="22" xfId="1" applyNumberFormat="1" applyFont="1" applyFill="1" applyBorder="1" applyAlignment="1" applyProtection="1"/>
    <xf numFmtId="166" fontId="67" fillId="29" borderId="24" xfId="1" applyNumberFormat="1" applyFont="1" applyFill="1" applyBorder="1" applyAlignment="1" applyProtection="1"/>
    <xf numFmtId="166" fontId="67" fillId="29" borderId="25" xfId="1" applyNumberFormat="1" applyFont="1" applyFill="1" applyBorder="1" applyAlignment="1" applyProtection="1"/>
    <xf numFmtId="166" fontId="67" fillId="30" borderId="22" xfId="1" applyNumberFormat="1" applyFont="1" applyFill="1" applyBorder="1" applyAlignment="1" applyProtection="1"/>
    <xf numFmtId="166" fontId="64" fillId="29" borderId="0" xfId="1" applyNumberFormat="1" applyFont="1" applyFill="1" applyBorder="1" applyAlignment="1">
      <alignment horizontal="right"/>
    </xf>
    <xf numFmtId="166" fontId="64" fillId="18" borderId="0" xfId="1" applyNumberFormat="1" applyFont="1" applyFill="1" applyBorder="1" applyAlignment="1">
      <alignment horizontal="right"/>
    </xf>
    <xf numFmtId="166" fontId="64" fillId="19" borderId="0" xfId="1" applyNumberFormat="1" applyFont="1" applyFill="1" applyBorder="1" applyAlignment="1">
      <alignment horizontal="right"/>
    </xf>
    <xf numFmtId="166" fontId="64" fillId="17" borderId="0" xfId="1" applyNumberFormat="1" applyFont="1" applyFill="1" applyBorder="1" applyAlignment="1">
      <alignment horizontal="right"/>
    </xf>
    <xf numFmtId="166" fontId="64" fillId="17" borderId="25" xfId="1" applyNumberFormat="1" applyFont="1" applyFill="1" applyBorder="1" applyAlignment="1">
      <alignment horizontal="right"/>
    </xf>
    <xf numFmtId="166" fontId="64" fillId="65" borderId="127" xfId="1" applyNumberFormat="1" applyFont="1" applyFill="1" applyBorder="1" applyAlignment="1">
      <alignment horizontal="right"/>
    </xf>
    <xf numFmtId="166" fontId="99" fillId="30" borderId="0" xfId="1" applyNumberFormat="1" applyFont="1" applyFill="1" applyBorder="1" applyAlignment="1" applyProtection="1"/>
    <xf numFmtId="166" fontId="67" fillId="30" borderId="46" xfId="1" applyNumberFormat="1" applyFont="1" applyFill="1" applyBorder="1" applyAlignment="1" applyProtection="1"/>
    <xf numFmtId="0" fontId="263" fillId="13" borderId="0" xfId="9" applyFont="1" applyFill="1" applyAlignment="1">
      <alignment horizontal="left" indent="4"/>
    </xf>
    <xf numFmtId="167" fontId="123" fillId="0" borderId="0" xfId="0" applyNumberFormat="1" applyFont="1"/>
    <xf numFmtId="167" fontId="124" fillId="0" borderId="0" xfId="0" applyNumberFormat="1" applyFont="1"/>
    <xf numFmtId="1" fontId="59" fillId="0" borderId="0" xfId="0" applyNumberFormat="1" applyFont="1"/>
    <xf numFmtId="167" fontId="99" fillId="29" borderId="0" xfId="0" applyNumberFormat="1" applyFont="1" applyFill="1" applyAlignment="1">
      <alignment horizontal="right"/>
    </xf>
    <xf numFmtId="166" fontId="123" fillId="0" borderId="0" xfId="0" applyNumberFormat="1" applyFont="1"/>
    <xf numFmtId="167" fontId="183" fillId="18" borderId="0" xfId="0" applyNumberFormat="1" applyFont="1" applyFill="1"/>
    <xf numFmtId="167" fontId="110" fillId="0" borderId="0" xfId="0" applyNumberFormat="1" applyFont="1"/>
    <xf numFmtId="167" fontId="99" fillId="74" borderId="0" xfId="0" applyNumberFormat="1" applyFont="1" applyFill="1" applyAlignment="1">
      <alignment horizontal="right"/>
    </xf>
    <xf numFmtId="0" fontId="0" fillId="18" borderId="7" xfId="0" applyFill="1" applyBorder="1"/>
    <xf numFmtId="168" fontId="71" fillId="18" borderId="7" xfId="0" applyNumberFormat="1" applyFont="1" applyFill="1" applyBorder="1"/>
    <xf numFmtId="166" fontId="92" fillId="18" borderId="7" xfId="0" applyNumberFormat="1" applyFont="1" applyFill="1" applyBorder="1"/>
    <xf numFmtId="166" fontId="139" fillId="18" borderId="7" xfId="0" applyNumberFormat="1" applyFont="1" applyFill="1" applyBorder="1"/>
    <xf numFmtId="166" fontId="139" fillId="18" borderId="0" xfId="0" applyNumberFormat="1" applyFont="1" applyFill="1"/>
    <xf numFmtId="0" fontId="123" fillId="74" borderId="0" xfId="0" applyFont="1" applyFill="1"/>
    <xf numFmtId="167" fontId="80" fillId="74" borderId="0" xfId="0" applyNumberFormat="1" applyFont="1" applyFill="1"/>
    <xf numFmtId="167" fontId="64" fillId="74" borderId="0" xfId="0" applyNumberFormat="1" applyFont="1" applyFill="1" applyAlignment="1">
      <alignment horizontal="right"/>
    </xf>
    <xf numFmtId="166" fontId="64" fillId="74" borderId="143" xfId="0" applyNumberFormat="1" applyFont="1" applyFill="1" applyBorder="1" applyAlignment="1">
      <alignment horizontal="right"/>
    </xf>
    <xf numFmtId="166" fontId="64" fillId="74" borderId="144" xfId="0" applyNumberFormat="1" applyFont="1" applyFill="1" applyBorder="1" applyAlignment="1">
      <alignment horizontal="right"/>
    </xf>
    <xf numFmtId="166" fontId="64" fillId="74" borderId="145" xfId="0" applyNumberFormat="1" applyFont="1" applyFill="1" applyBorder="1" applyAlignment="1">
      <alignment horizontal="right"/>
    </xf>
    <xf numFmtId="166" fontId="64" fillId="74" borderId="0" xfId="0" applyNumberFormat="1" applyFont="1" applyFill="1" applyAlignment="1">
      <alignment horizontal="right"/>
    </xf>
    <xf numFmtId="9" fontId="80" fillId="0" borderId="0" xfId="12" applyFont="1"/>
    <xf numFmtId="9" fontId="183" fillId="0" borderId="0" xfId="12" applyFont="1"/>
    <xf numFmtId="167" fontId="123" fillId="18" borderId="0" xfId="0" applyNumberFormat="1" applyFont="1" applyFill="1"/>
    <xf numFmtId="0" fontId="123" fillId="18" borderId="0" xfId="0" applyFont="1" applyFill="1"/>
    <xf numFmtId="173" fontId="80" fillId="0" borderId="0" xfId="0" applyNumberFormat="1" applyFont="1"/>
    <xf numFmtId="175" fontId="80" fillId="0" borderId="0" xfId="0" applyNumberFormat="1" applyFont="1"/>
    <xf numFmtId="0" fontId="183" fillId="18" borderId="0" xfId="9" applyFont="1" applyFill="1" applyAlignment="1">
      <alignment horizontal="left" indent="1"/>
    </xf>
    <xf numFmtId="0" fontId="271" fillId="0" borderId="0" xfId="0" applyFont="1" applyAlignment="1">
      <alignment vertical="top"/>
    </xf>
    <xf numFmtId="166" fontId="64" fillId="18" borderId="38" xfId="0" applyNumberFormat="1" applyFont="1" applyFill="1" applyBorder="1"/>
    <xf numFmtId="166" fontId="64" fillId="18" borderId="37" xfId="0" applyNumberFormat="1" applyFont="1" applyFill="1" applyBorder="1"/>
    <xf numFmtId="0" fontId="89" fillId="54" borderId="7" xfId="0" applyFont="1" applyFill="1" applyBorder="1"/>
    <xf numFmtId="0" fontId="61" fillId="75" borderId="7" xfId="0" applyFont="1" applyFill="1" applyBorder="1"/>
    <xf numFmtId="0" fontId="66" fillId="75" borderId="7" xfId="0" applyFont="1" applyFill="1" applyBorder="1"/>
    <xf numFmtId="168" fontId="0" fillId="0" borderId="0" xfId="12" applyNumberFormat="1" applyFont="1"/>
    <xf numFmtId="0" fontId="59" fillId="9" borderId="0" xfId="0" applyFont="1" applyFill="1"/>
    <xf numFmtId="0" fontId="123" fillId="9" borderId="0" xfId="0" applyFont="1" applyFill="1"/>
    <xf numFmtId="167" fontId="80" fillId="9" borderId="0" xfId="0" applyNumberFormat="1" applyFont="1" applyFill="1" applyAlignment="1">
      <alignment horizontal="right"/>
    </xf>
    <xf numFmtId="167" fontId="80" fillId="9" borderId="0" xfId="0" applyNumberFormat="1" applyFont="1" applyFill="1"/>
    <xf numFmtId="167" fontId="64" fillId="9" borderId="0" xfId="0" applyNumberFormat="1" applyFont="1" applyFill="1" applyAlignment="1">
      <alignment horizontal="right"/>
    </xf>
    <xf numFmtId="166" fontId="64" fillId="9" borderId="0" xfId="0" applyNumberFormat="1" applyFont="1" applyFill="1" applyAlignment="1">
      <alignment horizontal="right"/>
    </xf>
    <xf numFmtId="0" fontId="80" fillId="9" borderId="0" xfId="0" applyFont="1" applyFill="1"/>
    <xf numFmtId="167" fontId="80" fillId="9" borderId="10" xfId="0" applyNumberFormat="1" applyFont="1" applyFill="1" applyBorder="1"/>
    <xf numFmtId="167" fontId="80" fillId="9" borderId="43" xfId="0" applyNumberFormat="1" applyFont="1" applyFill="1" applyBorder="1"/>
    <xf numFmtId="0" fontId="123" fillId="9" borderId="43" xfId="0" applyFont="1" applyFill="1" applyBorder="1"/>
    <xf numFmtId="0" fontId="149" fillId="9" borderId="0" xfId="0" applyFont="1" applyFill="1"/>
    <xf numFmtId="167" fontId="149" fillId="9" borderId="0" xfId="0" applyNumberFormat="1" applyFont="1" applyFill="1"/>
    <xf numFmtId="176" fontId="80" fillId="9" borderId="0" xfId="0" applyNumberFormat="1" applyFont="1" applyFill="1"/>
    <xf numFmtId="9" fontId="80" fillId="9" borderId="0" xfId="12" applyFont="1" applyFill="1"/>
    <xf numFmtId="168" fontId="80" fillId="9" borderId="0" xfId="12" applyNumberFormat="1" applyFont="1" applyFill="1"/>
    <xf numFmtId="4" fontId="80" fillId="9" borderId="0" xfId="0" applyNumberFormat="1" applyFont="1" applyFill="1"/>
    <xf numFmtId="0" fontId="272" fillId="76" borderId="0" xfId="0" applyFont="1" applyFill="1"/>
    <xf numFmtId="0" fontId="1" fillId="18" borderId="0" xfId="0" applyFont="1" applyFill="1" applyAlignment="1">
      <alignment horizontal="right"/>
    </xf>
    <xf numFmtId="0" fontId="1" fillId="76" borderId="0" xfId="0" applyFont="1" applyFill="1" applyAlignment="1">
      <alignment horizontal="right"/>
    </xf>
    <xf numFmtId="0" fontId="1" fillId="77" borderId="0" xfId="0" applyFont="1" applyFill="1"/>
    <xf numFmtId="0" fontId="272" fillId="77" borderId="0" xfId="0" applyFont="1" applyFill="1"/>
    <xf numFmtId="0" fontId="272" fillId="18" borderId="0" xfId="0" applyFont="1" applyFill="1"/>
    <xf numFmtId="0" fontId="272" fillId="78" borderId="0" xfId="0" applyFont="1" applyFill="1"/>
    <xf numFmtId="3" fontId="272" fillId="78" borderId="0" xfId="0" applyNumberFormat="1" applyFont="1" applyFill="1"/>
    <xf numFmtId="0" fontId="1" fillId="79" borderId="0" xfId="0" applyFont="1" applyFill="1"/>
    <xf numFmtId="0" fontId="60" fillId="5" borderId="0" xfId="0" applyFont="1" applyFill="1"/>
    <xf numFmtId="3" fontId="1" fillId="18" borderId="0" xfId="0" applyNumberFormat="1" applyFont="1" applyFill="1"/>
    <xf numFmtId="3" fontId="1" fillId="79" borderId="0" xfId="0" applyNumberFormat="1" applyFont="1" applyFill="1"/>
    <xf numFmtId="3" fontId="1" fillId="78" borderId="0" xfId="0" applyNumberFormat="1" applyFont="1" applyFill="1"/>
    <xf numFmtId="0" fontId="273" fillId="79" borderId="0" xfId="0" applyFont="1" applyFill="1" applyAlignment="1">
      <alignment horizontal="left" indent="1"/>
    </xf>
    <xf numFmtId="0" fontId="145" fillId="5" borderId="0" xfId="0" applyFont="1" applyFill="1"/>
    <xf numFmtId="3" fontId="273" fillId="18" borderId="0" xfId="0" applyNumberFormat="1" applyFont="1" applyFill="1" applyAlignment="1">
      <alignment horizontal="right"/>
    </xf>
    <xf numFmtId="3" fontId="273" fillId="79" borderId="0" xfId="0" applyNumberFormat="1" applyFont="1" applyFill="1" applyAlignment="1">
      <alignment horizontal="right"/>
    </xf>
    <xf numFmtId="3" fontId="273" fillId="78" borderId="0" xfId="0" applyNumberFormat="1" applyFont="1" applyFill="1" applyAlignment="1">
      <alignment horizontal="right"/>
    </xf>
    <xf numFmtId="0" fontId="274" fillId="5" borderId="0" xfId="0" applyFont="1" applyFill="1"/>
    <xf numFmtId="0" fontId="1" fillId="0" borderId="0" xfId="0" applyFont="1"/>
    <xf numFmtId="3" fontId="1" fillId="0" borderId="0" xfId="0" applyNumberFormat="1" applyFont="1"/>
    <xf numFmtId="0" fontId="273" fillId="0" borderId="0" xfId="0" applyFont="1" applyAlignment="1">
      <alignment horizontal="left" indent="1"/>
    </xf>
    <xf numFmtId="0" fontId="274" fillId="0" borderId="0" xfId="0" applyFont="1"/>
    <xf numFmtId="3" fontId="273" fillId="0" borderId="0" xfId="0" applyNumberFormat="1" applyFont="1" applyAlignment="1">
      <alignment horizontal="right"/>
    </xf>
    <xf numFmtId="3" fontId="273" fillId="18" borderId="0" xfId="0" applyNumberFormat="1" applyFont="1" applyFill="1"/>
    <xf numFmtId="3" fontId="273" fillId="79" borderId="0" xfId="0" applyNumberFormat="1" applyFont="1" applyFill="1"/>
    <xf numFmtId="3" fontId="273" fillId="78" borderId="0" xfId="0" applyNumberFormat="1" applyFont="1" applyFill="1"/>
    <xf numFmtId="3" fontId="274" fillId="5" borderId="0" xfId="0" applyNumberFormat="1" applyFont="1" applyFill="1"/>
    <xf numFmtId="0" fontId="1" fillId="18" borderId="0" xfId="0" applyFont="1" applyFill="1"/>
    <xf numFmtId="0" fontId="60" fillId="18" borderId="0" xfId="0" applyFont="1" applyFill="1"/>
    <xf numFmtId="0" fontId="273" fillId="18" borderId="0" xfId="0" applyFont="1" applyFill="1" applyAlignment="1">
      <alignment horizontal="left" indent="1"/>
    </xf>
    <xf numFmtId="0" fontId="274" fillId="18" borderId="0" xfId="0" applyFont="1" applyFill="1"/>
    <xf numFmtId="0" fontId="1" fillId="79" borderId="31" xfId="0" applyFont="1" applyFill="1" applyBorder="1"/>
    <xf numFmtId="0" fontId="60" fillId="5" borderId="31" xfId="0" applyFont="1" applyFill="1" applyBorder="1"/>
    <xf numFmtId="3" fontId="1" fillId="18" borderId="31" xfId="0" applyNumberFormat="1" applyFont="1" applyFill="1" applyBorder="1"/>
    <xf numFmtId="3" fontId="1" fillId="79" borderId="31" xfId="0" applyNumberFormat="1" applyFont="1" applyFill="1" applyBorder="1"/>
    <xf numFmtId="3" fontId="1" fillId="78" borderId="31" xfId="0" applyNumberFormat="1" applyFont="1" applyFill="1" applyBorder="1"/>
    <xf numFmtId="0" fontId="0" fillId="80" borderId="0" xfId="0" applyFill="1"/>
    <xf numFmtId="3" fontId="272" fillId="18" borderId="0" xfId="0" applyNumberFormat="1" applyFont="1" applyFill="1"/>
    <xf numFmtId="3" fontId="272" fillId="79" borderId="0" xfId="0" applyNumberFormat="1" applyFont="1" applyFill="1"/>
    <xf numFmtId="0" fontId="272" fillId="79" borderId="0" xfId="0" applyFont="1" applyFill="1"/>
    <xf numFmtId="0" fontId="75" fillId="80" borderId="0" xfId="0" applyFont="1" applyFill="1"/>
    <xf numFmtId="3" fontId="1" fillId="77" borderId="0" xfId="0" applyNumberFormat="1" applyFont="1" applyFill="1"/>
    <xf numFmtId="1" fontId="75" fillId="0" borderId="0" xfId="0" applyNumberFormat="1" applyFont="1"/>
    <xf numFmtId="9" fontId="149" fillId="9" borderId="0" xfId="12" applyFont="1" applyFill="1"/>
    <xf numFmtId="167" fontId="93" fillId="5" borderId="7" xfId="0" applyNumberFormat="1" applyFont="1" applyFill="1" applyBorder="1" applyAlignment="1">
      <alignment horizontal="right"/>
    </xf>
    <xf numFmtId="167" fontId="64" fillId="5" borderId="7" xfId="0" applyNumberFormat="1" applyFont="1" applyFill="1" applyBorder="1" applyAlignment="1">
      <alignment horizontal="right"/>
    </xf>
    <xf numFmtId="1" fontId="0" fillId="68" borderId="10" xfId="0" applyNumberFormat="1" applyFill="1" applyBorder="1" applyAlignment="1">
      <alignment horizontal="right"/>
    </xf>
    <xf numFmtId="167" fontId="110" fillId="0" borderId="0" xfId="0" applyNumberFormat="1" applyFont="1" applyAlignment="1">
      <alignment horizontal="center"/>
    </xf>
    <xf numFmtId="169" fontId="192" fillId="17" borderId="0" xfId="0" applyNumberFormat="1" applyFont="1" applyFill="1" applyAlignment="1">
      <alignment horizontal="right"/>
    </xf>
    <xf numFmtId="169" fontId="64" fillId="13" borderId="0" xfId="0" applyNumberFormat="1" applyFont="1" applyFill="1" applyAlignment="1">
      <alignment horizontal="right"/>
    </xf>
    <xf numFmtId="169" fontId="99" fillId="13" borderId="0" xfId="0" applyNumberFormat="1" applyFont="1" applyFill="1" applyAlignment="1">
      <alignment horizontal="right"/>
    </xf>
    <xf numFmtId="0" fontId="200" fillId="56" borderId="0" xfId="0" applyFont="1" applyFill="1"/>
    <xf numFmtId="0" fontId="200" fillId="56" borderId="7" xfId="0" applyFont="1" applyFill="1" applyBorder="1"/>
    <xf numFmtId="177" fontId="59" fillId="0" borderId="0" xfId="17" applyNumberFormat="1" applyFont="1"/>
    <xf numFmtId="0" fontId="80" fillId="20" borderId="0" xfId="0" applyFont="1" applyFill="1"/>
    <xf numFmtId="0" fontId="125" fillId="20" borderId="0" xfId="9" applyFont="1" applyFill="1" applyAlignment="1">
      <alignment horizontal="left" indent="4"/>
    </xf>
    <xf numFmtId="167" fontId="80" fillId="20" borderId="20" xfId="0" applyNumberFormat="1" applyFont="1" applyFill="1" applyBorder="1" applyAlignment="1">
      <alignment horizontal="right"/>
    </xf>
    <xf numFmtId="167" fontId="80" fillId="20" borderId="43" xfId="0" applyNumberFormat="1" applyFont="1" applyFill="1" applyBorder="1" applyAlignment="1">
      <alignment horizontal="right"/>
    </xf>
    <xf numFmtId="167" fontId="80" fillId="20" borderId="10" xfId="0" applyNumberFormat="1" applyFont="1" applyFill="1" applyBorder="1" applyAlignment="1">
      <alignment horizontal="right"/>
    </xf>
    <xf numFmtId="167" fontId="123" fillId="20" borderId="0" xfId="0" applyNumberFormat="1" applyFont="1" applyFill="1"/>
    <xf numFmtId="0" fontId="125" fillId="20" borderId="0" xfId="9" applyFont="1" applyFill="1" applyAlignment="1">
      <alignment horizontal="left" indent="2"/>
    </xf>
    <xf numFmtId="167" fontId="111" fillId="20" borderId="0" xfId="0" applyNumberFormat="1" applyFont="1" applyFill="1" applyAlignment="1">
      <alignment horizontal="center"/>
    </xf>
    <xf numFmtId="168" fontId="80" fillId="0" borderId="0" xfId="12" applyNumberFormat="1" applyFont="1"/>
    <xf numFmtId="0" fontId="281" fillId="18" borderId="0" xfId="0" applyFont="1" applyFill="1" applyAlignment="1">
      <alignment vertical="top"/>
    </xf>
    <xf numFmtId="165" fontId="284" fillId="0" borderId="0" xfId="1" applyFont="1" applyAlignment="1">
      <alignment horizontal="right"/>
    </xf>
    <xf numFmtId="165" fontId="284" fillId="17" borderId="0" xfId="1" applyFont="1" applyFill="1" applyAlignment="1">
      <alignment horizontal="right"/>
    </xf>
    <xf numFmtId="4" fontId="0" fillId="0" borderId="0" xfId="0" applyNumberFormat="1" applyAlignment="1">
      <alignment horizontal="right"/>
    </xf>
    <xf numFmtId="0" fontId="0" fillId="0" borderId="0" xfId="0" applyAlignment="1">
      <alignment wrapText="1"/>
    </xf>
    <xf numFmtId="4" fontId="0" fillId="17" borderId="0" xfId="0" applyNumberFormat="1" applyFill="1" applyAlignment="1">
      <alignment horizontal="right"/>
    </xf>
    <xf numFmtId="0" fontId="183" fillId="13" borderId="0" xfId="9" applyFont="1" applyFill="1" applyAlignment="1">
      <alignment horizontal="left" indent="2"/>
    </xf>
    <xf numFmtId="0" fontId="286" fillId="0" borderId="0" xfId="0" applyFont="1"/>
    <xf numFmtId="0" fontId="288" fillId="20" borderId="151" xfId="0" applyFont="1" applyFill="1" applyBorder="1" applyAlignment="1">
      <alignment horizontal="left" wrapText="1"/>
    </xf>
    <xf numFmtId="169" fontId="9" fillId="82" borderId="151" xfId="19" applyNumberFormat="1" applyFont="1" applyFill="1" applyBorder="1" applyAlignment="1">
      <alignment horizontal="right" wrapText="1"/>
    </xf>
    <xf numFmtId="168" fontId="9" fillId="10" borderId="151" xfId="12" applyNumberFormat="1" applyFont="1" applyFill="1" applyBorder="1" applyAlignment="1">
      <alignment horizontal="right" wrapText="1"/>
    </xf>
    <xf numFmtId="169" fontId="9" fillId="83" borderId="151" xfId="19" applyNumberFormat="1" applyFont="1" applyFill="1" applyBorder="1" applyAlignment="1">
      <alignment horizontal="right" wrapText="1"/>
    </xf>
    <xf numFmtId="168" fontId="9" fillId="73" borderId="151" xfId="12" applyNumberFormat="1" applyFont="1" applyFill="1" applyBorder="1" applyAlignment="1">
      <alignment horizontal="right" wrapText="1"/>
    </xf>
    <xf numFmtId="166" fontId="9" fillId="20" borderId="151" xfId="19" applyNumberFormat="1" applyFont="1" applyFill="1" applyBorder="1" applyAlignment="1">
      <alignment horizontal="right" wrapText="1"/>
    </xf>
    <xf numFmtId="0" fontId="289" fillId="20" borderId="152" xfId="0" applyFont="1" applyFill="1" applyBorder="1" applyAlignment="1">
      <alignment horizontal="left" wrapText="1"/>
    </xf>
    <xf numFmtId="168" fontId="290" fillId="10" borderId="152" xfId="12" applyNumberFormat="1" applyFont="1" applyFill="1" applyBorder="1" applyAlignment="1">
      <alignment horizontal="right" wrapText="1"/>
    </xf>
    <xf numFmtId="169" fontId="290" fillId="83" borderId="152" xfId="19" applyNumberFormat="1" applyFont="1" applyFill="1" applyBorder="1" applyAlignment="1">
      <alignment horizontal="right" wrapText="1"/>
    </xf>
    <xf numFmtId="168" fontId="290" fillId="73" borderId="152" xfId="12" applyNumberFormat="1" applyFont="1" applyFill="1" applyBorder="1" applyAlignment="1">
      <alignment horizontal="right" wrapText="1"/>
    </xf>
    <xf numFmtId="166" fontId="290" fillId="20" borderId="152" xfId="19" applyNumberFormat="1" applyFont="1" applyFill="1" applyBorder="1" applyAlignment="1">
      <alignment horizontal="right" wrapText="1"/>
    </xf>
    <xf numFmtId="0" fontId="291" fillId="20" borderId="0" xfId="0" applyFont="1" applyFill="1" applyAlignment="1">
      <alignment horizontal="left" wrapText="1" indent="1"/>
    </xf>
    <xf numFmtId="168" fontId="10" fillId="10" borderId="0" xfId="12" applyNumberFormat="1" applyFont="1" applyFill="1" applyAlignment="1">
      <alignment horizontal="right" wrapText="1"/>
    </xf>
    <xf numFmtId="169" fontId="292" fillId="83" borderId="0" xfId="19" applyNumberFormat="1" applyFont="1" applyFill="1" applyAlignment="1">
      <alignment horizontal="right" wrapText="1"/>
    </xf>
    <xf numFmtId="168" fontId="10" fillId="73" borderId="0" xfId="12" applyNumberFormat="1" applyFont="1" applyFill="1" applyAlignment="1">
      <alignment horizontal="right" wrapText="1"/>
    </xf>
    <xf numFmtId="166" fontId="10" fillId="20" borderId="0" xfId="19" applyNumberFormat="1" applyFont="1" applyFill="1" applyAlignment="1">
      <alignment horizontal="right" wrapText="1"/>
    </xf>
    <xf numFmtId="169" fontId="9" fillId="82" borderId="0" xfId="19" applyNumberFormat="1" applyFont="1" applyFill="1" applyBorder="1" applyAlignment="1">
      <alignment horizontal="right" wrapText="1"/>
    </xf>
    <xf numFmtId="169" fontId="292" fillId="82" borderId="0" xfId="19" applyNumberFormat="1" applyFont="1" applyFill="1" applyAlignment="1">
      <alignment horizontal="right" wrapText="1"/>
    </xf>
    <xf numFmtId="0" fontId="291" fillId="20" borderId="0" xfId="0" applyFont="1" applyFill="1" applyAlignment="1">
      <alignment horizontal="left" wrapText="1"/>
    </xf>
    <xf numFmtId="169" fontId="10" fillId="82" borderId="0" xfId="19" applyNumberFormat="1" applyFont="1" applyFill="1" applyAlignment="1">
      <alignment horizontal="right" wrapText="1"/>
    </xf>
    <xf numFmtId="169" fontId="10" fillId="83" borderId="0" xfId="19" applyNumberFormat="1" applyFont="1" applyFill="1" applyAlignment="1">
      <alignment horizontal="right" wrapText="1"/>
    </xf>
    <xf numFmtId="0" fontId="291" fillId="20" borderId="150" xfId="0" applyFont="1" applyFill="1" applyBorder="1" applyAlignment="1">
      <alignment horizontal="left" wrapText="1"/>
    </xf>
    <xf numFmtId="169" fontId="10" fillId="82" borderId="150" xfId="19" applyNumberFormat="1" applyFont="1" applyFill="1" applyBorder="1" applyAlignment="1">
      <alignment horizontal="right" wrapText="1"/>
    </xf>
    <xf numFmtId="168" fontId="10" fillId="10" borderId="150" xfId="12" applyNumberFormat="1" applyFont="1" applyFill="1" applyBorder="1" applyAlignment="1">
      <alignment horizontal="right" wrapText="1"/>
    </xf>
    <xf numFmtId="169" fontId="10" fillId="83" borderId="150" xfId="19" applyNumberFormat="1" applyFont="1" applyFill="1" applyBorder="1" applyAlignment="1">
      <alignment horizontal="right" wrapText="1"/>
    </xf>
    <xf numFmtId="168" fontId="10" fillId="73" borderId="150" xfId="12" applyNumberFormat="1" applyFont="1" applyFill="1" applyBorder="1" applyAlignment="1">
      <alignment horizontal="right" wrapText="1"/>
    </xf>
    <xf numFmtId="166" fontId="10" fillId="20" borderId="150" xfId="19" applyNumberFormat="1" applyFont="1" applyFill="1" applyBorder="1" applyAlignment="1">
      <alignment horizontal="right" wrapText="1"/>
    </xf>
    <xf numFmtId="0" fontId="288" fillId="20" borderId="152" xfId="0" applyFont="1" applyFill="1" applyBorder="1" applyAlignment="1">
      <alignment horizontal="left" wrapText="1"/>
    </xf>
    <xf numFmtId="169" fontId="9" fillId="82" borderId="152" xfId="19" applyNumberFormat="1" applyFont="1" applyFill="1" applyBorder="1" applyAlignment="1">
      <alignment horizontal="right" wrapText="1"/>
    </xf>
    <xf numFmtId="168" fontId="9" fillId="10" borderId="152" xfId="12" applyNumberFormat="1" applyFont="1" applyFill="1" applyBorder="1" applyAlignment="1">
      <alignment horizontal="right" wrapText="1"/>
    </xf>
    <xf numFmtId="169" fontId="9" fillId="83" borderId="152" xfId="19" applyNumberFormat="1" applyFont="1" applyFill="1" applyBorder="1" applyAlignment="1">
      <alignment horizontal="right" wrapText="1"/>
    </xf>
    <xf numFmtId="168" fontId="9" fillId="73" borderId="152" xfId="12" applyNumberFormat="1" applyFont="1" applyFill="1" applyBorder="1" applyAlignment="1">
      <alignment horizontal="right" wrapText="1"/>
    </xf>
    <xf numFmtId="166" fontId="9" fillId="20" borderId="152" xfId="19" applyNumberFormat="1" applyFont="1" applyFill="1" applyBorder="1" applyAlignment="1">
      <alignment horizontal="right" wrapText="1"/>
    </xf>
    <xf numFmtId="0" fontId="291" fillId="20" borderId="0" xfId="0" applyFont="1" applyFill="1" applyAlignment="1">
      <alignment horizontal="left" wrapText="1" indent="2"/>
    </xf>
    <xf numFmtId="168" fontId="292" fillId="10" borderId="0" xfId="12" applyNumberFormat="1" applyFont="1" applyFill="1" applyAlignment="1">
      <alignment horizontal="right" wrapText="1"/>
    </xf>
    <xf numFmtId="166" fontId="292" fillId="83" borderId="0" xfId="19" applyNumberFormat="1" applyFont="1" applyFill="1" applyAlignment="1">
      <alignment horizontal="right" wrapText="1"/>
    </xf>
    <xf numFmtId="168" fontId="292" fillId="73" borderId="0" xfId="12" applyNumberFormat="1" applyFont="1" applyFill="1" applyAlignment="1">
      <alignment horizontal="right" wrapText="1"/>
    </xf>
    <xf numFmtId="166" fontId="292" fillId="20" borderId="0" xfId="19" applyNumberFormat="1" applyFont="1" applyFill="1" applyAlignment="1">
      <alignment horizontal="right" wrapText="1"/>
    </xf>
    <xf numFmtId="166" fontId="10" fillId="82" borderId="0" xfId="19" applyNumberFormat="1" applyFont="1" applyFill="1" applyAlignment="1">
      <alignment horizontal="right" wrapText="1"/>
    </xf>
    <xf numFmtId="0" fontId="291" fillId="20" borderId="150" xfId="0" applyFont="1" applyFill="1" applyBorder="1" applyAlignment="1">
      <alignment horizontal="left" wrapText="1" indent="1"/>
    </xf>
    <xf numFmtId="166" fontId="10" fillId="82" borderId="150" xfId="19" applyNumberFormat="1" applyFont="1" applyFill="1" applyBorder="1" applyAlignment="1">
      <alignment horizontal="right" wrapText="1"/>
    </xf>
    <xf numFmtId="166" fontId="10" fillId="83" borderId="150" xfId="19" applyNumberFormat="1" applyFont="1" applyFill="1" applyBorder="1" applyAlignment="1">
      <alignment horizontal="right" wrapText="1"/>
    </xf>
    <xf numFmtId="0" fontId="288" fillId="20" borderId="0" xfId="0" applyFont="1" applyFill="1" applyAlignment="1">
      <alignment horizontal="left" wrapText="1"/>
    </xf>
    <xf numFmtId="166" fontId="10" fillId="20" borderId="0" xfId="19" applyNumberFormat="1" applyFont="1" applyFill="1" applyBorder="1" applyAlignment="1">
      <alignment horizontal="right" wrapText="1"/>
    </xf>
    <xf numFmtId="169" fontId="9" fillId="82" borderId="0" xfId="19" applyNumberFormat="1" applyFont="1" applyFill="1" applyAlignment="1">
      <alignment horizontal="right" wrapText="1"/>
    </xf>
    <xf numFmtId="168" fontId="9" fillId="10" borderId="0" xfId="12" applyNumberFormat="1" applyFont="1" applyFill="1" applyAlignment="1">
      <alignment horizontal="right" wrapText="1"/>
    </xf>
    <xf numFmtId="169" fontId="9" fillId="83" borderId="0" xfId="19" applyNumberFormat="1" applyFont="1" applyFill="1" applyAlignment="1">
      <alignment horizontal="right" wrapText="1"/>
    </xf>
    <xf numFmtId="168" fontId="9" fillId="73" borderId="0" xfId="12" applyNumberFormat="1" applyFont="1" applyFill="1" applyAlignment="1">
      <alignment horizontal="right" wrapText="1"/>
    </xf>
    <xf numFmtId="166" fontId="9" fillId="20" borderId="0" xfId="19" applyNumberFormat="1" applyFont="1" applyFill="1" applyAlignment="1">
      <alignment horizontal="right" wrapText="1"/>
    </xf>
    <xf numFmtId="0" fontId="293" fillId="20" borderId="0" xfId="0" applyFont="1" applyFill="1" applyAlignment="1">
      <alignment horizontal="left" wrapText="1" indent="2"/>
    </xf>
    <xf numFmtId="169" fontId="292" fillId="10" borderId="0" xfId="19" applyNumberFormat="1" applyFont="1" applyFill="1" applyAlignment="1">
      <alignment horizontal="right" wrapText="1"/>
    </xf>
    <xf numFmtId="169" fontId="292" fillId="73" borderId="0" xfId="19" applyNumberFormat="1" applyFont="1" applyFill="1" applyAlignment="1">
      <alignment horizontal="right" wrapText="1"/>
    </xf>
    <xf numFmtId="169" fontId="292" fillId="20" borderId="0" xfId="19" applyNumberFormat="1" applyFont="1" applyFill="1" applyAlignment="1">
      <alignment horizontal="right" wrapText="1"/>
    </xf>
    <xf numFmtId="166" fontId="10" fillId="82" borderId="0" xfId="19" applyNumberFormat="1" applyFont="1" applyFill="1" applyBorder="1" applyAlignment="1">
      <alignment horizontal="right" wrapText="1"/>
    </xf>
    <xf numFmtId="168" fontId="10" fillId="10" borderId="0" xfId="12" applyNumberFormat="1" applyFont="1" applyFill="1" applyBorder="1" applyAlignment="1">
      <alignment horizontal="right" wrapText="1"/>
    </xf>
    <xf numFmtId="166" fontId="10" fillId="83" borderId="0" xfId="19" applyNumberFormat="1" applyFont="1" applyFill="1" applyBorder="1" applyAlignment="1">
      <alignment horizontal="right" wrapText="1"/>
    </xf>
    <xf numFmtId="168" fontId="10" fillId="73" borderId="0" xfId="12" applyNumberFormat="1" applyFont="1" applyFill="1" applyBorder="1" applyAlignment="1">
      <alignment horizontal="right" wrapText="1"/>
    </xf>
    <xf numFmtId="0" fontId="291" fillId="20" borderId="153" xfId="0" applyFont="1" applyFill="1" applyBorder="1" applyAlignment="1">
      <alignment horizontal="left" wrapText="1" indent="1"/>
    </xf>
    <xf numFmtId="169" fontId="10" fillId="83" borderId="0" xfId="19" applyNumberFormat="1" applyFont="1" applyFill="1" applyBorder="1" applyAlignment="1">
      <alignment horizontal="right" wrapText="1"/>
    </xf>
    <xf numFmtId="0" fontId="291" fillId="20" borderId="153" xfId="0" applyFont="1" applyFill="1" applyBorder="1" applyAlignment="1">
      <alignment horizontal="left" wrapText="1" indent="2"/>
    </xf>
    <xf numFmtId="169" fontId="10" fillId="82" borderId="0" xfId="19" applyNumberFormat="1" applyFont="1" applyFill="1" applyBorder="1" applyAlignment="1">
      <alignment horizontal="right" wrapText="1"/>
    </xf>
    <xf numFmtId="169" fontId="10" fillId="82" borderId="152" xfId="19" applyNumberFormat="1" applyFont="1" applyFill="1" applyBorder="1" applyAlignment="1">
      <alignment horizontal="right" wrapText="1"/>
    </xf>
    <xf numFmtId="169" fontId="10" fillId="20" borderId="152" xfId="19" applyNumberFormat="1" applyFont="1" applyFill="1" applyBorder="1" applyAlignment="1">
      <alignment horizontal="right" wrapText="1"/>
    </xf>
    <xf numFmtId="0" fontId="286" fillId="18" borderId="0" xfId="0" applyFont="1" applyFill="1"/>
    <xf numFmtId="0" fontId="288" fillId="18" borderId="157" xfId="0" applyFont="1" applyFill="1" applyBorder="1" applyAlignment="1">
      <alignment horizontal="left" wrapText="1"/>
    </xf>
    <xf numFmtId="0" fontId="288" fillId="18" borderId="0" xfId="0" applyFont="1" applyFill="1" applyAlignment="1">
      <alignment horizontal="left" wrapText="1"/>
    </xf>
    <xf numFmtId="166" fontId="10" fillId="20" borderId="152" xfId="19" applyNumberFormat="1" applyFont="1" applyFill="1" applyBorder="1" applyAlignment="1">
      <alignment horizontal="right" wrapText="1"/>
    </xf>
    <xf numFmtId="166" fontId="10" fillId="83" borderId="0" xfId="19" applyNumberFormat="1" applyFont="1" applyFill="1" applyAlignment="1">
      <alignment horizontal="right" wrapText="1"/>
    </xf>
    <xf numFmtId="0" fontId="294" fillId="20" borderId="0" xfId="0" applyFont="1" applyFill="1" applyAlignment="1">
      <alignment horizontal="left" wrapText="1" indent="1"/>
    </xf>
    <xf numFmtId="0" fontId="288" fillId="20" borderId="150" xfId="0" applyFont="1" applyFill="1" applyBorder="1" applyAlignment="1">
      <alignment horizontal="left" wrapText="1" indent="1"/>
    </xf>
    <xf numFmtId="166" fontId="10" fillId="82" borderId="158" xfId="19" applyNumberFormat="1" applyFont="1" applyFill="1" applyBorder="1" applyAlignment="1">
      <alignment horizontal="right" wrapText="1"/>
    </xf>
    <xf numFmtId="168" fontId="10" fillId="10" borderId="151" xfId="12" applyNumberFormat="1" applyFont="1" applyFill="1" applyBorder="1" applyAlignment="1">
      <alignment horizontal="right" wrapText="1"/>
    </xf>
    <xf numFmtId="166" fontId="10" fillId="83" borderId="151" xfId="19" applyNumberFormat="1" applyFont="1" applyFill="1" applyBorder="1" applyAlignment="1">
      <alignment horizontal="right" wrapText="1"/>
    </xf>
    <xf numFmtId="168" fontId="10" fillId="73" borderId="151" xfId="12" applyNumberFormat="1" applyFont="1" applyFill="1" applyBorder="1" applyAlignment="1">
      <alignment horizontal="right" wrapText="1"/>
    </xf>
    <xf numFmtId="166" fontId="10" fillId="20" borderId="151" xfId="19" applyNumberFormat="1" applyFont="1" applyFill="1" applyBorder="1" applyAlignment="1">
      <alignment horizontal="right" wrapText="1"/>
    </xf>
    <xf numFmtId="0" fontId="286" fillId="20" borderId="0" xfId="0" applyFont="1" applyFill="1"/>
    <xf numFmtId="0" fontId="286" fillId="82" borderId="0" xfId="0" applyFont="1" applyFill="1"/>
    <xf numFmtId="0" fontId="286" fillId="83" borderId="0" xfId="0" applyFont="1" applyFill="1"/>
    <xf numFmtId="166" fontId="286" fillId="20" borderId="0" xfId="0" applyNumberFormat="1" applyFont="1" applyFill="1"/>
    <xf numFmtId="0" fontId="295" fillId="0" borderId="31" xfId="0" applyFont="1" applyBorder="1"/>
    <xf numFmtId="169" fontId="286" fillId="82" borderId="31" xfId="19" applyNumberFormat="1" applyFont="1" applyFill="1" applyBorder="1"/>
    <xf numFmtId="169" fontId="286" fillId="10" borderId="31" xfId="19" applyNumberFormat="1" applyFont="1" applyFill="1" applyBorder="1"/>
    <xf numFmtId="169" fontId="286" fillId="83" borderId="31" xfId="19" applyNumberFormat="1" applyFont="1" applyFill="1" applyBorder="1"/>
    <xf numFmtId="168" fontId="286" fillId="73" borderId="31" xfId="12" applyNumberFormat="1" applyFont="1" applyFill="1" applyBorder="1"/>
    <xf numFmtId="166" fontId="286" fillId="20" borderId="31" xfId="0" applyNumberFormat="1" applyFont="1" applyFill="1" applyBorder="1"/>
    <xf numFmtId="0" fontId="286" fillId="10" borderId="0" xfId="0" applyFont="1" applyFill="1"/>
    <xf numFmtId="0" fontId="286" fillId="73" borderId="0" xfId="0" applyFont="1" applyFill="1"/>
    <xf numFmtId="165" fontId="286" fillId="83" borderId="0" xfId="0" applyNumberFormat="1" applyFont="1" applyFill="1"/>
    <xf numFmtId="0" fontId="0" fillId="18" borderId="7" xfId="0" applyFill="1" applyBorder="1" applyAlignment="1">
      <alignment horizontal="left" indent="3"/>
    </xf>
    <xf numFmtId="0" fontId="200" fillId="56" borderId="7" xfId="0" applyFont="1" applyFill="1" applyBorder="1" applyAlignment="1">
      <alignment horizontal="left" indent="3"/>
    </xf>
    <xf numFmtId="0" fontId="200" fillId="56" borderId="0" xfId="0" applyFont="1" applyFill="1" applyAlignment="1">
      <alignment horizontal="left" indent="4"/>
    </xf>
    <xf numFmtId="165" fontId="286" fillId="73" borderId="0" xfId="0" applyNumberFormat="1" applyFont="1" applyFill="1"/>
    <xf numFmtId="168" fontId="286" fillId="83" borderId="0" xfId="12" applyNumberFormat="1" applyFont="1" applyFill="1"/>
    <xf numFmtId="166" fontId="286" fillId="83" borderId="0" xfId="0" applyNumberFormat="1" applyFont="1" applyFill="1"/>
    <xf numFmtId="0" fontId="286" fillId="0" borderId="31" xfId="0" applyFont="1" applyBorder="1" applyAlignment="1">
      <alignment horizontal="center"/>
    </xf>
    <xf numFmtId="166" fontId="287" fillId="20" borderId="29" xfId="0" applyNumberFormat="1" applyFont="1" applyFill="1" applyBorder="1" applyAlignment="1">
      <alignment horizontal="center" vertical="center"/>
    </xf>
    <xf numFmtId="166" fontId="287" fillId="20" borderId="150" xfId="0" applyNumberFormat="1" applyFont="1" applyFill="1" applyBorder="1" applyAlignment="1">
      <alignment horizontal="center" vertical="center"/>
    </xf>
    <xf numFmtId="9" fontId="74" fillId="15" borderId="7" xfId="12" applyFont="1" applyFill="1" applyBorder="1"/>
    <xf numFmtId="0" fontId="286" fillId="5" borderId="0" xfId="0" applyFont="1" applyFill="1"/>
    <xf numFmtId="0" fontId="287" fillId="5" borderId="150" xfId="0" applyFont="1" applyFill="1" applyBorder="1" applyAlignment="1">
      <alignment horizontal="center" vertical="center"/>
    </xf>
    <xf numFmtId="169" fontId="286" fillId="5" borderId="31" xfId="19" applyNumberFormat="1" applyFont="1" applyFill="1" applyBorder="1"/>
    <xf numFmtId="165" fontId="286" fillId="20" borderId="0" xfId="0" applyNumberFormat="1" applyFont="1" applyFill="1"/>
    <xf numFmtId="168" fontId="286" fillId="20" borderId="0" xfId="12" applyNumberFormat="1" applyFont="1" applyFill="1"/>
    <xf numFmtId="168" fontId="290" fillId="20" borderId="152" xfId="12" applyNumberFormat="1" applyFont="1" applyFill="1" applyBorder="1" applyAlignment="1">
      <alignment horizontal="right" wrapText="1"/>
    </xf>
    <xf numFmtId="168" fontId="10" fillId="20" borderId="0" xfId="12" applyNumberFormat="1" applyFont="1" applyFill="1" applyAlignment="1">
      <alignment horizontal="right" wrapText="1"/>
    </xf>
    <xf numFmtId="168" fontId="10" fillId="20" borderId="150" xfId="12" applyNumberFormat="1" applyFont="1" applyFill="1" applyBorder="1" applyAlignment="1">
      <alignment horizontal="right" wrapText="1"/>
    </xf>
    <xf numFmtId="168" fontId="9" fillId="20" borderId="152" xfId="12" applyNumberFormat="1" applyFont="1" applyFill="1" applyBorder="1" applyAlignment="1">
      <alignment horizontal="right" wrapText="1"/>
    </xf>
    <xf numFmtId="168" fontId="292" fillId="20" borderId="0" xfId="12" applyNumberFormat="1" applyFont="1" applyFill="1" applyAlignment="1">
      <alignment horizontal="right" wrapText="1"/>
    </xf>
    <xf numFmtId="168" fontId="10" fillId="20" borderId="0" xfId="12" applyNumberFormat="1" applyFont="1" applyFill="1" applyBorder="1" applyAlignment="1">
      <alignment horizontal="right" wrapText="1"/>
    </xf>
    <xf numFmtId="168" fontId="9" fillId="20" borderId="0" xfId="12" applyNumberFormat="1" applyFont="1" applyFill="1" applyAlignment="1">
      <alignment horizontal="right" wrapText="1"/>
    </xf>
    <xf numFmtId="168" fontId="10" fillId="20" borderId="152" xfId="12" applyNumberFormat="1" applyFont="1" applyFill="1" applyBorder="1" applyAlignment="1">
      <alignment horizontal="right" wrapText="1"/>
    </xf>
    <xf numFmtId="168" fontId="9" fillId="83" borderId="151" xfId="12" applyNumberFormat="1" applyFont="1" applyFill="1" applyBorder="1" applyAlignment="1">
      <alignment horizontal="right" wrapText="1"/>
    </xf>
    <xf numFmtId="168" fontId="290" fillId="83" borderId="152" xfId="12" applyNumberFormat="1" applyFont="1" applyFill="1" applyBorder="1" applyAlignment="1">
      <alignment horizontal="right" wrapText="1"/>
    </xf>
    <xf numFmtId="168" fontId="10" fillId="83" borderId="0" xfId="12" applyNumberFormat="1" applyFont="1" applyFill="1" applyAlignment="1">
      <alignment horizontal="right" wrapText="1"/>
    </xf>
    <xf numFmtId="168" fontId="10" fillId="83" borderId="150" xfId="12" applyNumberFormat="1" applyFont="1" applyFill="1" applyBorder="1" applyAlignment="1">
      <alignment horizontal="right" wrapText="1"/>
    </xf>
    <xf numFmtId="168" fontId="9" fillId="83" borderId="152" xfId="12" applyNumberFormat="1" applyFont="1" applyFill="1" applyBorder="1" applyAlignment="1">
      <alignment horizontal="right" wrapText="1"/>
    </xf>
    <xf numFmtId="168" fontId="292" fillId="83" borderId="0" xfId="12" applyNumberFormat="1" applyFont="1" applyFill="1" applyAlignment="1">
      <alignment horizontal="right" wrapText="1"/>
    </xf>
    <xf numFmtId="168" fontId="10" fillId="83" borderId="0" xfId="12" applyNumberFormat="1" applyFont="1" applyFill="1" applyBorder="1" applyAlignment="1">
      <alignment horizontal="right" wrapText="1"/>
    </xf>
    <xf numFmtId="168" fontId="9" fillId="83" borderId="0" xfId="12" applyNumberFormat="1" applyFont="1" applyFill="1" applyAlignment="1">
      <alignment horizontal="right" wrapText="1"/>
    </xf>
    <xf numFmtId="168" fontId="286" fillId="73" borderId="0" xfId="0" applyNumberFormat="1" applyFont="1" applyFill="1"/>
    <xf numFmtId="0" fontId="296" fillId="20" borderId="150" xfId="0" applyFont="1" applyFill="1" applyBorder="1" applyAlignment="1">
      <alignment horizontal="left" wrapText="1" indent="1"/>
    </xf>
    <xf numFmtId="0" fontId="296" fillId="20" borderId="0" xfId="0" applyFont="1" applyFill="1" applyAlignment="1">
      <alignment horizontal="left" wrapText="1" indent="3"/>
    </xf>
    <xf numFmtId="177" fontId="286" fillId="83" borderId="0" xfId="17" applyNumberFormat="1" applyFont="1" applyFill="1"/>
    <xf numFmtId="164" fontId="286" fillId="83" borderId="0" xfId="17" applyFont="1" applyFill="1"/>
    <xf numFmtId="168" fontId="10" fillId="83" borderId="151" xfId="12" applyNumberFormat="1" applyFont="1" applyFill="1" applyBorder="1" applyAlignment="1">
      <alignment horizontal="right" wrapText="1"/>
    </xf>
    <xf numFmtId="0" fontId="183" fillId="13" borderId="0" xfId="9" applyFont="1" applyFill="1" applyAlignment="1">
      <alignment horizontal="left" indent="6"/>
    </xf>
    <xf numFmtId="169" fontId="10" fillId="18" borderId="155" xfId="19" applyNumberFormat="1" applyFont="1" applyFill="1" applyBorder="1" applyAlignment="1">
      <alignment horizontal="right" wrapText="1"/>
    </xf>
    <xf numFmtId="169" fontId="10" fillId="18" borderId="155" xfId="19" applyNumberFormat="1" applyFont="1" applyFill="1" applyBorder="1" applyAlignment="1">
      <alignment horizontal="left" wrapText="1"/>
    </xf>
    <xf numFmtId="166" fontId="10" fillId="18" borderId="155" xfId="17" applyNumberFormat="1" applyFont="1" applyFill="1" applyBorder="1" applyAlignment="1">
      <alignment horizontal="left" wrapText="1"/>
    </xf>
    <xf numFmtId="166" fontId="9" fillId="18" borderId="0" xfId="19" applyNumberFormat="1" applyFont="1" applyFill="1" applyAlignment="1">
      <alignment horizontal="right" wrapText="1"/>
    </xf>
    <xf numFmtId="168" fontId="9" fillId="18" borderId="0" xfId="12" applyNumberFormat="1" applyFont="1" applyFill="1" applyAlignment="1">
      <alignment horizontal="right" wrapText="1"/>
    </xf>
    <xf numFmtId="166" fontId="9" fillId="18" borderId="0" xfId="17" applyNumberFormat="1" applyFont="1" applyFill="1" applyAlignment="1">
      <alignment horizontal="right" wrapText="1"/>
    </xf>
    <xf numFmtId="166" fontId="9" fillId="18" borderId="150" xfId="19" applyNumberFormat="1" applyFont="1" applyFill="1" applyBorder="1" applyAlignment="1">
      <alignment horizontal="right" wrapText="1"/>
    </xf>
    <xf numFmtId="168" fontId="9" fillId="18" borderId="150" xfId="12" applyNumberFormat="1" applyFont="1" applyFill="1" applyBorder="1" applyAlignment="1">
      <alignment horizontal="right" wrapText="1"/>
    </xf>
    <xf numFmtId="166" fontId="9" fillId="18" borderId="150" xfId="17" applyNumberFormat="1" applyFont="1" applyFill="1" applyBorder="1" applyAlignment="1">
      <alignment horizontal="right" wrapText="1"/>
    </xf>
    <xf numFmtId="166" fontId="9" fillId="18" borderId="150" xfId="12" applyNumberFormat="1" applyFont="1" applyFill="1" applyBorder="1" applyAlignment="1">
      <alignment horizontal="right" wrapText="1"/>
    </xf>
    <xf numFmtId="0" fontId="61" fillId="18" borderId="7" xfId="0" applyFont="1" applyFill="1" applyBorder="1"/>
    <xf numFmtId="0" fontId="89" fillId="18" borderId="7" xfId="0" applyFont="1" applyFill="1" applyBorder="1"/>
    <xf numFmtId="168" fontId="89" fillId="18" borderId="7" xfId="0" applyNumberFormat="1" applyFont="1" applyFill="1" applyBorder="1"/>
    <xf numFmtId="179" fontId="59" fillId="0" borderId="0" xfId="0" applyNumberFormat="1" applyFont="1"/>
    <xf numFmtId="165" fontId="59" fillId="0" borderId="0" xfId="0" applyNumberFormat="1" applyFont="1"/>
    <xf numFmtId="0" fontId="123" fillId="73" borderId="23" xfId="0" applyFont="1" applyFill="1" applyBorder="1" applyAlignment="1">
      <alignment horizontal="left" indent="1"/>
    </xf>
    <xf numFmtId="167" fontId="80" fillId="73" borderId="0" xfId="0" applyNumberFormat="1" applyFont="1" applyFill="1" applyAlignment="1">
      <alignment horizontal="right"/>
    </xf>
    <xf numFmtId="167" fontId="64" fillId="73" borderId="0" xfId="0" applyNumberFormat="1" applyFont="1" applyFill="1" applyAlignment="1">
      <alignment horizontal="right"/>
    </xf>
    <xf numFmtId="166" fontId="64" fillId="73" borderId="0" xfId="0" applyNumberFormat="1" applyFont="1" applyFill="1" applyAlignment="1">
      <alignment horizontal="right"/>
    </xf>
    <xf numFmtId="166" fontId="64" fillId="73" borderId="0" xfId="1" applyNumberFormat="1" applyFont="1" applyFill="1" applyBorder="1" applyAlignment="1">
      <alignment horizontal="right"/>
    </xf>
    <xf numFmtId="168" fontId="67" fillId="73" borderId="0" xfId="12" applyNumberFormat="1" applyFont="1" applyFill="1" applyBorder="1" applyAlignment="1" applyProtection="1"/>
    <xf numFmtId="166" fontId="287" fillId="20" borderId="29" xfId="0" applyNumberFormat="1" applyFont="1" applyFill="1" applyBorder="1" applyAlignment="1">
      <alignment horizontal="center" vertical="center" wrapText="1"/>
    </xf>
    <xf numFmtId="0" fontId="110" fillId="17" borderId="24" xfId="0" applyFont="1" applyFill="1" applyBorder="1" applyAlignment="1">
      <alignment horizontal="left"/>
    </xf>
    <xf numFmtId="0" fontId="110" fillId="65" borderId="127" xfId="0" applyFont="1" applyFill="1" applyBorder="1" applyAlignment="1">
      <alignment horizontal="left"/>
    </xf>
    <xf numFmtId="167" fontId="125" fillId="20" borderId="0" xfId="0" applyNumberFormat="1" applyFont="1" applyFill="1"/>
    <xf numFmtId="0" fontId="146" fillId="0" borderId="0" xfId="0" applyFont="1"/>
    <xf numFmtId="167" fontId="118" fillId="13" borderId="0" xfId="0" applyNumberFormat="1" applyFont="1" applyFill="1" applyAlignment="1">
      <alignment horizontal="right"/>
    </xf>
    <xf numFmtId="166" fontId="88" fillId="13" borderId="0" xfId="0" applyNumberFormat="1" applyFont="1" applyFill="1" applyAlignment="1">
      <alignment horizontal="right"/>
    </xf>
    <xf numFmtId="0" fontId="291" fillId="20" borderId="0" xfId="0" applyFont="1" applyFill="1" applyAlignment="1">
      <alignment horizontal="left" wrapText="1" indent="3"/>
    </xf>
    <xf numFmtId="0" fontId="291" fillId="20" borderId="0" xfId="0" applyFont="1" applyFill="1" applyAlignment="1">
      <alignment horizontal="left" wrapText="1" indent="4"/>
    </xf>
    <xf numFmtId="0" fontId="291" fillId="20" borderId="0" xfId="0" applyFont="1" applyFill="1" applyAlignment="1">
      <alignment horizontal="left" wrapText="1" indent="5"/>
    </xf>
    <xf numFmtId="165" fontId="286" fillId="0" borderId="0" xfId="0" applyNumberFormat="1" applyFont="1"/>
    <xf numFmtId="168" fontId="286" fillId="83" borderId="31" xfId="12" applyNumberFormat="1" applyFont="1" applyFill="1" applyBorder="1"/>
    <xf numFmtId="168" fontId="9" fillId="20" borderId="151" xfId="12" applyNumberFormat="1" applyFont="1" applyFill="1" applyBorder="1" applyAlignment="1">
      <alignment horizontal="right" wrapText="1"/>
    </xf>
    <xf numFmtId="168" fontId="10" fillId="20" borderId="151" xfId="12" applyNumberFormat="1" applyFont="1" applyFill="1" applyBorder="1" applyAlignment="1">
      <alignment horizontal="right" wrapText="1"/>
    </xf>
    <xf numFmtId="17" fontId="287" fillId="5" borderId="29" xfId="0" applyNumberFormat="1" applyFont="1" applyFill="1" applyBorder="1" applyAlignment="1">
      <alignment horizontal="center" vertical="center" wrapText="1"/>
    </xf>
    <xf numFmtId="0" fontId="287" fillId="5" borderId="29" xfId="0" applyFont="1" applyFill="1" applyBorder="1" applyAlignment="1">
      <alignment horizontal="center" vertical="center"/>
    </xf>
    <xf numFmtId="169" fontId="9" fillId="5" borderId="151" xfId="19" applyNumberFormat="1" applyFont="1" applyFill="1" applyBorder="1" applyAlignment="1">
      <alignment horizontal="right" wrapText="1"/>
    </xf>
    <xf numFmtId="168" fontId="9" fillId="5" borderId="151" xfId="12" applyNumberFormat="1" applyFont="1" applyFill="1" applyBorder="1" applyAlignment="1">
      <alignment horizontal="right" wrapText="1"/>
    </xf>
    <xf numFmtId="168" fontId="290" fillId="5" borderId="152" xfId="12" applyNumberFormat="1" applyFont="1" applyFill="1" applyBorder="1" applyAlignment="1">
      <alignment horizontal="right" wrapText="1"/>
    </xf>
    <xf numFmtId="168" fontId="10" fillId="5" borderId="0" xfId="12" applyNumberFormat="1" applyFont="1" applyFill="1" applyAlignment="1">
      <alignment horizontal="right" wrapText="1"/>
    </xf>
    <xf numFmtId="169" fontId="9" fillId="5" borderId="0" xfId="19" applyNumberFormat="1" applyFont="1" applyFill="1" applyBorder="1" applyAlignment="1">
      <alignment horizontal="right" wrapText="1"/>
    </xf>
    <xf numFmtId="169" fontId="292" fillId="5" borderId="0" xfId="19" applyNumberFormat="1" applyFont="1" applyFill="1" applyAlignment="1">
      <alignment horizontal="right" wrapText="1"/>
    </xf>
    <xf numFmtId="169" fontId="9" fillId="5" borderId="152" xfId="19" applyNumberFormat="1" applyFont="1" applyFill="1" applyBorder="1" applyAlignment="1">
      <alignment horizontal="right" wrapText="1"/>
    </xf>
    <xf numFmtId="168" fontId="9" fillId="5" borderId="152" xfId="12" applyNumberFormat="1" applyFont="1" applyFill="1" applyBorder="1" applyAlignment="1">
      <alignment horizontal="right" wrapText="1"/>
    </xf>
    <xf numFmtId="169" fontId="10" fillId="5" borderId="0" xfId="19" applyNumberFormat="1" applyFont="1" applyFill="1" applyAlignment="1">
      <alignment horizontal="right" wrapText="1"/>
    </xf>
    <xf numFmtId="166" fontId="10" fillId="5" borderId="150" xfId="19" applyNumberFormat="1" applyFont="1" applyFill="1" applyBorder="1" applyAlignment="1">
      <alignment horizontal="right" wrapText="1"/>
    </xf>
    <xf numFmtId="168" fontId="10" fillId="5" borderId="150" xfId="12" applyNumberFormat="1" applyFont="1" applyFill="1" applyBorder="1" applyAlignment="1">
      <alignment horizontal="right" wrapText="1"/>
    </xf>
    <xf numFmtId="169" fontId="10" fillId="5" borderId="150" xfId="19" applyNumberFormat="1" applyFont="1" applyFill="1" applyBorder="1" applyAlignment="1">
      <alignment horizontal="right" wrapText="1"/>
    </xf>
    <xf numFmtId="169" fontId="9" fillId="5" borderId="0" xfId="19" applyNumberFormat="1" applyFont="1" applyFill="1" applyAlignment="1">
      <alignment horizontal="right" wrapText="1"/>
    </xf>
    <xf numFmtId="168" fontId="9" fillId="5" borderId="0" xfId="12" applyNumberFormat="1" applyFont="1" applyFill="1" applyAlignment="1">
      <alignment horizontal="right" wrapText="1"/>
    </xf>
    <xf numFmtId="168" fontId="292" fillId="5" borderId="0" xfId="12" applyNumberFormat="1" applyFont="1" applyFill="1" applyAlignment="1">
      <alignment horizontal="right" wrapText="1"/>
    </xf>
    <xf numFmtId="166" fontId="10" fillId="5" borderId="0" xfId="19" applyNumberFormat="1" applyFont="1" applyFill="1" applyBorder="1" applyAlignment="1">
      <alignment horizontal="right" wrapText="1"/>
    </xf>
    <xf numFmtId="168" fontId="10" fillId="5" borderId="0" xfId="12" applyNumberFormat="1" applyFont="1" applyFill="1" applyBorder="1" applyAlignment="1">
      <alignment horizontal="right" wrapText="1"/>
    </xf>
    <xf numFmtId="169" fontId="10" fillId="5" borderId="0" xfId="19" applyNumberFormat="1" applyFont="1" applyFill="1" applyBorder="1" applyAlignment="1">
      <alignment horizontal="right" wrapText="1"/>
    </xf>
    <xf numFmtId="169" fontId="10" fillId="5" borderId="152" xfId="19" applyNumberFormat="1" applyFont="1" applyFill="1" applyBorder="1" applyAlignment="1">
      <alignment horizontal="right" wrapText="1"/>
    </xf>
    <xf numFmtId="166" fontId="10" fillId="5" borderId="0" xfId="19" applyNumberFormat="1" applyFont="1" applyFill="1" applyAlignment="1">
      <alignment horizontal="right" wrapText="1"/>
    </xf>
    <xf numFmtId="166" fontId="10" fillId="5" borderId="158" xfId="19" applyNumberFormat="1" applyFont="1" applyFill="1" applyBorder="1" applyAlignment="1">
      <alignment horizontal="right" wrapText="1"/>
    </xf>
    <xf numFmtId="168" fontId="10" fillId="5" borderId="151" xfId="12" applyNumberFormat="1" applyFont="1" applyFill="1" applyBorder="1" applyAlignment="1">
      <alignment horizontal="right" wrapText="1"/>
    </xf>
    <xf numFmtId="165" fontId="286" fillId="5" borderId="0" xfId="0" applyNumberFormat="1" applyFont="1" applyFill="1"/>
    <xf numFmtId="0" fontId="287" fillId="20" borderId="29" xfId="0" applyFont="1" applyFill="1" applyBorder="1" applyAlignment="1">
      <alignment horizontal="center" vertical="center" wrapText="1"/>
    </xf>
    <xf numFmtId="0" fontId="287" fillId="20" borderId="150" xfId="0" applyFont="1" applyFill="1" applyBorder="1" applyAlignment="1">
      <alignment horizontal="center" vertical="center"/>
    </xf>
    <xf numFmtId="166" fontId="10" fillId="20" borderId="0" xfId="17" applyNumberFormat="1" applyFont="1" applyFill="1" applyAlignment="1">
      <alignment horizontal="right" wrapText="1"/>
    </xf>
    <xf numFmtId="166" fontId="9" fillId="20" borderId="152" xfId="17" applyNumberFormat="1" applyFont="1" applyFill="1" applyBorder="1" applyAlignment="1">
      <alignment horizontal="right" wrapText="1"/>
    </xf>
    <xf numFmtId="166" fontId="10" fillId="20" borderId="150" xfId="17" applyNumberFormat="1" applyFont="1" applyFill="1" applyBorder="1" applyAlignment="1">
      <alignment horizontal="right" wrapText="1"/>
    </xf>
    <xf numFmtId="166" fontId="9" fillId="20" borderId="0" xfId="17" applyNumberFormat="1" applyFont="1" applyFill="1" applyAlignment="1">
      <alignment horizontal="right" wrapText="1"/>
    </xf>
    <xf numFmtId="166" fontId="10" fillId="20" borderId="152" xfId="17" applyNumberFormat="1" applyFont="1" applyFill="1" applyBorder="1" applyAlignment="1">
      <alignment horizontal="right" wrapText="1"/>
    </xf>
    <xf numFmtId="166" fontId="10" fillId="20" borderId="158" xfId="17" applyNumberFormat="1" applyFont="1" applyFill="1" applyBorder="1" applyAlignment="1">
      <alignment horizontal="right" wrapText="1"/>
    </xf>
    <xf numFmtId="169" fontId="286" fillId="20" borderId="31" xfId="19" applyNumberFormat="1" applyFont="1" applyFill="1" applyBorder="1"/>
    <xf numFmtId="177" fontId="9" fillId="20" borderId="151" xfId="17" applyNumberFormat="1" applyFont="1" applyFill="1" applyBorder="1" applyAlignment="1">
      <alignment horizontal="right" wrapText="1"/>
    </xf>
    <xf numFmtId="177" fontId="290" fillId="20" borderId="152" xfId="17" applyNumberFormat="1" applyFont="1" applyFill="1" applyBorder="1" applyAlignment="1">
      <alignment horizontal="right" wrapText="1"/>
    </xf>
    <xf numFmtId="177" fontId="10" fillId="20" borderId="0" xfId="17" applyNumberFormat="1" applyFont="1" applyFill="1" applyAlignment="1">
      <alignment horizontal="right" wrapText="1"/>
    </xf>
    <xf numFmtId="166" fontId="9" fillId="20" borderId="152" xfId="12" applyNumberFormat="1" applyFont="1" applyFill="1" applyBorder="1" applyAlignment="1">
      <alignment horizontal="right" wrapText="1"/>
    </xf>
    <xf numFmtId="166" fontId="10" fillId="20" borderId="0" xfId="12" applyNumberFormat="1" applyFont="1" applyFill="1" applyAlignment="1">
      <alignment horizontal="right" wrapText="1"/>
    </xf>
    <xf numFmtId="166" fontId="10" fillId="20" borderId="150" xfId="12" applyNumberFormat="1" applyFont="1" applyFill="1" applyBorder="1" applyAlignment="1">
      <alignment horizontal="right" wrapText="1"/>
    </xf>
    <xf numFmtId="166" fontId="9" fillId="20" borderId="0" xfId="12" applyNumberFormat="1" applyFont="1" applyFill="1" applyAlignment="1">
      <alignment horizontal="right" wrapText="1"/>
    </xf>
    <xf numFmtId="166" fontId="292" fillId="20" borderId="0" xfId="12" applyNumberFormat="1" applyFont="1" applyFill="1" applyAlignment="1">
      <alignment horizontal="right" wrapText="1"/>
    </xf>
    <xf numFmtId="166" fontId="10" fillId="20" borderId="0" xfId="12" applyNumberFormat="1" applyFont="1" applyFill="1" applyBorder="1" applyAlignment="1">
      <alignment horizontal="right" wrapText="1"/>
    </xf>
    <xf numFmtId="166" fontId="9" fillId="18" borderId="0" xfId="19" applyNumberFormat="1" applyFont="1" applyFill="1" applyBorder="1" applyAlignment="1">
      <alignment horizontal="right" wrapText="1"/>
    </xf>
    <xf numFmtId="168" fontId="9" fillId="18" borderId="0" xfId="12" applyNumberFormat="1" applyFont="1" applyFill="1" applyBorder="1" applyAlignment="1">
      <alignment horizontal="right" wrapText="1"/>
    </xf>
    <xf numFmtId="166" fontId="9" fillId="18" borderId="0" xfId="12" applyNumberFormat="1" applyFont="1" applyFill="1" applyBorder="1" applyAlignment="1">
      <alignment horizontal="right" wrapText="1"/>
    </xf>
    <xf numFmtId="166" fontId="9" fillId="18" borderId="0" xfId="17" applyNumberFormat="1" applyFont="1" applyFill="1" applyBorder="1" applyAlignment="1">
      <alignment horizontal="right" wrapText="1"/>
    </xf>
    <xf numFmtId="177" fontId="9" fillId="18" borderId="0" xfId="17" applyNumberFormat="1" applyFont="1" applyFill="1" applyBorder="1" applyAlignment="1">
      <alignment horizontal="right" wrapText="1"/>
    </xf>
    <xf numFmtId="0" fontId="183" fillId="29" borderId="0" xfId="9" applyFont="1" applyFill="1" applyAlignment="1">
      <alignment horizontal="left" indent="4"/>
    </xf>
    <xf numFmtId="166" fontId="9" fillId="20" borderId="151" xfId="12" applyNumberFormat="1" applyFont="1" applyFill="1" applyBorder="1" applyAlignment="1">
      <alignment horizontal="right" wrapText="1"/>
    </xf>
    <xf numFmtId="166" fontId="290" fillId="20" borderId="152" xfId="12" applyNumberFormat="1" applyFont="1" applyFill="1" applyBorder="1" applyAlignment="1">
      <alignment horizontal="right" wrapText="1"/>
    </xf>
    <xf numFmtId="166" fontId="10" fillId="20" borderId="151" xfId="12" applyNumberFormat="1" applyFont="1" applyFill="1" applyBorder="1" applyAlignment="1">
      <alignment horizontal="right" wrapText="1"/>
    </xf>
    <xf numFmtId="10" fontId="286" fillId="20" borderId="0" xfId="0" applyNumberFormat="1" applyFont="1" applyFill="1"/>
    <xf numFmtId="1" fontId="0" fillId="54" borderId="10" xfId="0" applyNumberFormat="1" applyFill="1" applyBorder="1" applyAlignment="1">
      <alignment horizontal="center"/>
    </xf>
    <xf numFmtId="167" fontId="63" fillId="7" borderId="0" xfId="0" applyNumberFormat="1" applyFont="1" applyFill="1"/>
    <xf numFmtId="167" fontId="63" fillId="7" borderId="28" xfId="0" applyNumberFormat="1" applyFont="1" applyFill="1" applyBorder="1"/>
    <xf numFmtId="0" fontId="61" fillId="7" borderId="114" xfId="0" applyFont="1" applyFill="1" applyBorder="1"/>
    <xf numFmtId="167" fontId="63" fillId="7" borderId="0" xfId="0" applyNumberFormat="1" applyFont="1" applyFill="1" applyAlignment="1">
      <alignment horizontal="right"/>
    </xf>
    <xf numFmtId="167" fontId="60" fillId="7" borderId="112" xfId="0" applyNumberFormat="1" applyFont="1" applyFill="1" applyBorder="1"/>
    <xf numFmtId="167" fontId="298" fillId="7" borderId="0" xfId="0" applyNumberFormat="1" applyFont="1" applyFill="1"/>
    <xf numFmtId="167" fontId="63" fillId="7" borderId="149" xfId="0" applyNumberFormat="1" applyFont="1" applyFill="1" applyBorder="1" applyAlignment="1">
      <alignment horizontal="right"/>
    </xf>
    <xf numFmtId="167" fontId="63" fillId="7" borderId="144" xfId="0" applyNumberFormat="1" applyFont="1" applyFill="1" applyBorder="1" applyAlignment="1">
      <alignment horizontal="right"/>
    </xf>
    <xf numFmtId="167" fontId="63" fillId="7" borderId="148" xfId="0" applyNumberFormat="1" applyFont="1" applyFill="1" applyBorder="1" applyAlignment="1">
      <alignment horizontal="right"/>
    </xf>
    <xf numFmtId="167" fontId="63" fillId="7" borderId="114" xfId="0" applyNumberFormat="1" applyFont="1" applyFill="1" applyBorder="1"/>
    <xf numFmtId="167" fontId="65" fillId="7" borderId="31" xfId="0" applyNumberFormat="1" applyFont="1" applyFill="1" applyBorder="1"/>
    <xf numFmtId="167" fontId="67" fillId="7" borderId="0" xfId="0" applyNumberFormat="1" applyFont="1" applyFill="1" applyAlignment="1">
      <alignment horizontal="right"/>
    </xf>
    <xf numFmtId="166" fontId="9" fillId="20" borderId="0" xfId="12" applyNumberFormat="1" applyFont="1" applyFill="1" applyBorder="1" applyAlignment="1">
      <alignment horizontal="right" wrapText="1"/>
    </xf>
    <xf numFmtId="180" fontId="286" fillId="20" borderId="0" xfId="0" applyNumberFormat="1" applyFont="1" applyFill="1"/>
    <xf numFmtId="4" fontId="270" fillId="0" borderId="0" xfId="0" applyNumberFormat="1" applyFont="1" applyAlignment="1">
      <alignment horizontal="right"/>
    </xf>
    <xf numFmtId="0" fontId="270" fillId="0" borderId="0" xfId="0" applyFont="1" applyAlignment="1">
      <alignment wrapText="1"/>
    </xf>
    <xf numFmtId="0" fontId="281" fillId="17" borderId="0" xfId="0" applyFont="1" applyFill="1" applyAlignment="1">
      <alignment vertical="top"/>
    </xf>
    <xf numFmtId="4" fontId="282" fillId="18" borderId="0" xfId="0" applyNumberFormat="1" applyFont="1" applyFill="1" applyAlignment="1">
      <alignment vertical="top" wrapText="1"/>
    </xf>
    <xf numFmtId="4" fontId="282" fillId="17" borderId="0" xfId="0" applyNumberFormat="1" applyFont="1" applyFill="1" applyAlignment="1">
      <alignment vertical="top" wrapText="1"/>
    </xf>
    <xf numFmtId="0" fontId="283" fillId="0" borderId="0" xfId="0" applyFont="1" applyAlignment="1">
      <alignment wrapText="1"/>
    </xf>
    <xf numFmtId="4" fontId="270" fillId="17" borderId="0" xfId="0" applyNumberFormat="1" applyFont="1" applyFill="1" applyAlignment="1">
      <alignment horizontal="right"/>
    </xf>
    <xf numFmtId="4" fontId="283" fillId="0" borderId="0" xfId="0" applyNumberFormat="1" applyFont="1" applyAlignment="1">
      <alignment horizontal="right"/>
    </xf>
    <xf numFmtId="4" fontId="283" fillId="17" borderId="0" xfId="0" applyNumberFormat="1" applyFont="1" applyFill="1" applyAlignment="1">
      <alignment horizontal="right"/>
    </xf>
    <xf numFmtId="4" fontId="284" fillId="0" borderId="0" xfId="0" applyNumberFormat="1" applyFont="1" applyAlignment="1">
      <alignment horizontal="left"/>
    </xf>
    <xf numFmtId="4" fontId="284" fillId="0" borderId="0" xfId="0" applyNumberFormat="1" applyFont="1" applyAlignment="1">
      <alignment horizontal="right"/>
    </xf>
    <xf numFmtId="4" fontId="284" fillId="17" borderId="0" xfId="0" applyNumberFormat="1" applyFont="1" applyFill="1" applyAlignment="1">
      <alignment horizontal="right"/>
    </xf>
    <xf numFmtId="178" fontId="284" fillId="0" borderId="0" xfId="0" applyNumberFormat="1" applyFont="1" applyAlignment="1">
      <alignment horizontal="right"/>
    </xf>
    <xf numFmtId="4" fontId="284" fillId="18" borderId="0" xfId="0" applyNumberFormat="1" applyFont="1" applyFill="1" applyAlignment="1">
      <alignment horizontal="left"/>
    </xf>
    <xf numFmtId="4" fontId="0" fillId="18" borderId="0" xfId="0" applyNumberFormat="1" applyFill="1" applyAlignment="1">
      <alignment horizontal="right"/>
    </xf>
    <xf numFmtId="4" fontId="284" fillId="18" borderId="0" xfId="0" applyNumberFormat="1" applyFont="1" applyFill="1" applyAlignment="1">
      <alignment horizontal="right"/>
    </xf>
    <xf numFmtId="0" fontId="285" fillId="0" borderId="0" xfId="0" applyFont="1" applyAlignment="1">
      <alignment wrapText="1"/>
    </xf>
    <xf numFmtId="0" fontId="285" fillId="0" borderId="0" xfId="0" applyFont="1"/>
    <xf numFmtId="0" fontId="270" fillId="0" borderId="0" xfId="0" applyFont="1"/>
    <xf numFmtId="4" fontId="285" fillId="17" borderId="0" xfId="0" applyNumberFormat="1" applyFont="1" applyFill="1" applyAlignment="1">
      <alignment horizontal="right"/>
    </xf>
    <xf numFmtId="4" fontId="285" fillId="0" borderId="0" xfId="0" applyNumberFormat="1" applyFont="1" applyAlignment="1">
      <alignment horizontal="right"/>
    </xf>
    <xf numFmtId="0" fontId="285" fillId="18" borderId="0" xfId="0" applyFont="1" applyFill="1" applyAlignment="1">
      <alignment wrapText="1"/>
    </xf>
    <xf numFmtId="0" fontId="288" fillId="18" borderId="154" xfId="0" applyFont="1" applyFill="1" applyBorder="1" applyAlignment="1">
      <alignment horizontal="left" wrapText="1"/>
    </xf>
    <xf numFmtId="0" fontId="288" fillId="18" borderId="156" xfId="0" applyFont="1" applyFill="1" applyBorder="1" applyAlignment="1">
      <alignment horizontal="left" wrapText="1"/>
    </xf>
    <xf numFmtId="168" fontId="9" fillId="18" borderId="155" xfId="12" applyNumberFormat="1" applyFont="1" applyFill="1" applyBorder="1" applyAlignment="1">
      <alignment horizontal="right" wrapText="1"/>
    </xf>
    <xf numFmtId="168" fontId="10" fillId="18" borderId="155" xfId="12" applyNumberFormat="1" applyFont="1" applyFill="1" applyBorder="1" applyAlignment="1">
      <alignment horizontal="left" wrapText="1"/>
    </xf>
    <xf numFmtId="166" fontId="9" fillId="18" borderId="155" xfId="12" applyNumberFormat="1" applyFont="1" applyFill="1" applyBorder="1" applyAlignment="1">
      <alignment horizontal="right" wrapText="1"/>
    </xf>
    <xf numFmtId="166" fontId="9" fillId="18" borderId="0" xfId="12" applyNumberFormat="1" applyFont="1" applyFill="1" applyAlignment="1">
      <alignment horizontal="right" wrapText="1"/>
    </xf>
    <xf numFmtId="166" fontId="286" fillId="20" borderId="31" xfId="0" applyNumberFormat="1" applyFont="1" applyFill="1" applyBorder="1" applyAlignment="1">
      <alignment horizontal="center"/>
    </xf>
    <xf numFmtId="166" fontId="97" fillId="29" borderId="7" xfId="0" applyNumberFormat="1" applyFont="1" applyFill="1" applyBorder="1" applyAlignment="1">
      <alignment horizontal="center"/>
    </xf>
    <xf numFmtId="166" fontId="286" fillId="0" borderId="0" xfId="0" applyNumberFormat="1" applyFont="1"/>
    <xf numFmtId="0" fontId="0" fillId="17" borderId="7" xfId="0" applyFill="1" applyBorder="1"/>
    <xf numFmtId="166" fontId="71" fillId="17" borderId="7" xfId="0" applyNumberFormat="1" applyFont="1" applyFill="1" applyBorder="1"/>
    <xf numFmtId="174" fontId="286" fillId="9" borderId="7" xfId="1" applyNumberFormat="1" applyFont="1" applyFill="1" applyBorder="1"/>
    <xf numFmtId="0" fontId="288" fillId="5" borderId="157" xfId="0" applyFont="1" applyFill="1" applyBorder="1" applyAlignment="1">
      <alignment horizontal="left" wrapText="1"/>
    </xf>
    <xf numFmtId="166" fontId="9" fillId="5" borderId="150" xfId="19" applyNumberFormat="1" applyFont="1" applyFill="1" applyBorder="1" applyAlignment="1">
      <alignment horizontal="right" wrapText="1"/>
    </xf>
    <xf numFmtId="168" fontId="9" fillId="5" borderId="150" xfId="12" applyNumberFormat="1" applyFont="1" applyFill="1" applyBorder="1" applyAlignment="1">
      <alignment horizontal="right" wrapText="1"/>
    </xf>
    <xf numFmtId="166" fontId="9" fillId="5" borderId="150" xfId="12" applyNumberFormat="1" applyFont="1" applyFill="1" applyBorder="1" applyAlignment="1">
      <alignment horizontal="right" wrapText="1"/>
    </xf>
    <xf numFmtId="166" fontId="9" fillId="5" borderId="0" xfId="19" applyNumberFormat="1" applyFont="1" applyFill="1" applyAlignment="1">
      <alignment horizontal="right" wrapText="1"/>
    </xf>
    <xf numFmtId="181" fontId="80" fillId="0" borderId="0" xfId="0" applyNumberFormat="1" applyFont="1"/>
    <xf numFmtId="0" fontId="234" fillId="69" borderId="0" xfId="0" applyFont="1" applyFill="1"/>
    <xf numFmtId="0" fontId="237" fillId="69" borderId="0" xfId="0" applyFont="1" applyFill="1"/>
    <xf numFmtId="0" fontId="237" fillId="66" borderId="0" xfId="0" applyFont="1" applyFill="1" applyAlignment="1">
      <alignment horizontal="right"/>
    </xf>
    <xf numFmtId="0" fontId="200" fillId="69" borderId="0" xfId="0" applyFont="1" applyFill="1"/>
    <xf numFmtId="166" fontId="237" fillId="69" borderId="0" xfId="0" applyNumberFormat="1" applyFont="1" applyFill="1"/>
    <xf numFmtId="166" fontId="234" fillId="69" borderId="0" xfId="0" applyNumberFormat="1" applyFont="1" applyFill="1"/>
    <xf numFmtId="166" fontId="234" fillId="56" borderId="0" xfId="0" applyNumberFormat="1" applyFont="1" applyFill="1" applyAlignment="1">
      <alignment horizontal="right"/>
    </xf>
    <xf numFmtId="166" fontId="200" fillId="69" borderId="0" xfId="0" applyNumberFormat="1" applyFont="1" applyFill="1"/>
    <xf numFmtId="0" fontId="257" fillId="69" borderId="0" xfId="0" applyFont="1" applyFill="1"/>
    <xf numFmtId="1" fontId="235" fillId="56" borderId="0" xfId="0" applyNumberFormat="1" applyFont="1" applyFill="1" applyAlignment="1">
      <alignment horizontal="right"/>
    </xf>
    <xf numFmtId="0" fontId="149" fillId="13" borderId="0" xfId="9" applyFont="1" applyFill="1" applyAlignment="1">
      <alignment horizontal="left" indent="5"/>
    </xf>
    <xf numFmtId="0" fontId="297" fillId="13" borderId="0" xfId="9" applyFont="1" applyFill="1" applyAlignment="1">
      <alignment horizontal="left" indent="5"/>
    </xf>
    <xf numFmtId="0" fontId="149" fillId="5" borderId="0" xfId="0" applyFont="1" applyFill="1" applyAlignment="1">
      <alignment horizontal="left" indent="3"/>
    </xf>
    <xf numFmtId="167" fontId="80" fillId="20" borderId="23" xfId="0" applyNumberFormat="1" applyFont="1" applyFill="1" applyBorder="1"/>
    <xf numFmtId="167" fontId="80" fillId="20" borderId="10" xfId="0" applyNumberFormat="1" applyFont="1" applyFill="1" applyBorder="1"/>
    <xf numFmtId="0" fontId="112" fillId="20" borderId="0" xfId="9" applyFont="1" applyFill="1" applyAlignment="1">
      <alignment horizontal="left" indent="3"/>
    </xf>
    <xf numFmtId="0" fontId="112" fillId="20" borderId="0" xfId="9" applyFont="1" applyFill="1" applyAlignment="1">
      <alignment horizontal="left" indent="4"/>
    </xf>
    <xf numFmtId="0" fontId="149" fillId="5" borderId="0" xfId="9" applyFont="1" applyFill="1" applyAlignment="1">
      <alignment horizontal="left" indent="4"/>
    </xf>
    <xf numFmtId="0" fontId="112" fillId="20" borderId="0" xfId="9" applyFont="1" applyFill="1" applyAlignment="1">
      <alignment horizontal="left" indent="6"/>
    </xf>
    <xf numFmtId="0" fontId="59" fillId="29" borderId="0" xfId="0" applyFont="1" applyFill="1"/>
    <xf numFmtId="0" fontId="65" fillId="29" borderId="7" xfId="0" applyFont="1" applyFill="1" applyBorder="1"/>
    <xf numFmtId="0" fontId="78" fillId="29" borderId="7" xfId="0" applyFont="1" applyFill="1" applyBorder="1"/>
    <xf numFmtId="0" fontId="78" fillId="29" borderId="7" xfId="0" applyFont="1" applyFill="1" applyBorder="1" applyAlignment="1">
      <alignment horizontal="right"/>
    </xf>
    <xf numFmtId="166" fontId="103" fillId="29" borderId="7" xfId="0" applyNumberFormat="1" applyFont="1" applyFill="1" applyBorder="1" applyAlignment="1">
      <alignment horizontal="right"/>
    </xf>
    <xf numFmtId="166" fontId="267" fillId="29" borderId="7" xfId="0" applyNumberFormat="1" applyFont="1" applyFill="1" applyBorder="1" applyAlignment="1">
      <alignment horizontal="right"/>
    </xf>
    <xf numFmtId="0" fontId="63" fillId="29" borderId="7" xfId="0" applyFont="1" applyFill="1" applyBorder="1"/>
    <xf numFmtId="166" fontId="67" fillId="29" borderId="7" xfId="0" applyNumberFormat="1" applyFont="1" applyFill="1" applyBorder="1" applyAlignment="1">
      <alignment horizontal="right"/>
    </xf>
    <xf numFmtId="0" fontId="63" fillId="29" borderId="33" xfId="0" applyFont="1" applyFill="1" applyBorder="1"/>
    <xf numFmtId="0" fontId="78" fillId="29" borderId="33" xfId="0" applyFont="1" applyFill="1" applyBorder="1"/>
    <xf numFmtId="166" fontId="67" fillId="29" borderId="33" xfId="0" applyNumberFormat="1" applyFont="1" applyFill="1" applyBorder="1" applyAlignment="1">
      <alignment horizontal="right"/>
    </xf>
    <xf numFmtId="166" fontId="252" fillId="0" borderId="0" xfId="0" applyNumberFormat="1" applyFont="1" applyAlignment="1">
      <alignment horizontal="center"/>
    </xf>
    <xf numFmtId="0" fontId="123" fillId="29" borderId="0" xfId="0" applyFont="1" applyFill="1"/>
    <xf numFmtId="166" fontId="67" fillId="29" borderId="0" xfId="9" applyNumberFormat="1" applyFont="1" applyFill="1" applyAlignment="1"/>
    <xf numFmtId="0" fontId="64" fillId="29" borderId="0" xfId="0" applyFont="1" applyFill="1"/>
    <xf numFmtId="0" fontId="112" fillId="5" borderId="0" xfId="10" applyFont="1" applyFill="1" applyAlignment="1">
      <alignment horizontal="left" indent="3"/>
    </xf>
    <xf numFmtId="0" fontId="109" fillId="0" borderId="0" xfId="9" applyFont="1" applyAlignment="1">
      <alignment horizontal="left" indent="1"/>
    </xf>
    <xf numFmtId="0" fontId="149" fillId="5" borderId="0" xfId="9" applyFont="1" applyFill="1" applyAlignment="1">
      <alignment horizontal="left" indent="3"/>
    </xf>
    <xf numFmtId="0" fontId="226" fillId="62" borderId="0" xfId="9" applyFont="1" applyFill="1" applyAlignment="1">
      <alignment horizontal="left" indent="6"/>
    </xf>
    <xf numFmtId="0" fontId="148" fillId="5" borderId="0" xfId="0" applyFont="1" applyFill="1" applyAlignment="1">
      <alignment horizontal="left" indent="2"/>
    </xf>
    <xf numFmtId="0" fontId="115" fillId="0" borderId="0" xfId="10" applyFont="1" applyAlignment="1">
      <alignment horizontal="left" indent="1"/>
    </xf>
    <xf numFmtId="0" fontId="112" fillId="0" borderId="0" xfId="10" applyFont="1"/>
    <xf numFmtId="0" fontId="112" fillId="0" borderId="0" xfId="10" applyFont="1" applyAlignment="1">
      <alignment horizontal="left" indent="1"/>
    </xf>
    <xf numFmtId="0" fontId="149" fillId="0" borderId="0" xfId="10" applyFont="1"/>
    <xf numFmtId="167" fontId="149" fillId="0" borderId="23" xfId="0" applyNumberFormat="1" applyFont="1" applyBorder="1"/>
    <xf numFmtId="167" fontId="149" fillId="0" borderId="10" xfId="0" applyNumberFormat="1" applyFont="1" applyBorder="1"/>
    <xf numFmtId="167" fontId="223" fillId="0" borderId="0" xfId="0" applyNumberFormat="1" applyFont="1"/>
    <xf numFmtId="167" fontId="223" fillId="0" borderId="43" xfId="0" applyNumberFormat="1" applyFont="1" applyBorder="1"/>
    <xf numFmtId="0" fontId="149" fillId="0" borderId="0" xfId="10" applyFont="1" applyAlignment="1">
      <alignment horizontal="left" indent="1"/>
    </xf>
    <xf numFmtId="167" fontId="148" fillId="0" borderId="43" xfId="0" applyNumberFormat="1" applyFont="1" applyBorder="1"/>
    <xf numFmtId="167" fontId="215" fillId="0" borderId="0" xfId="0" applyNumberFormat="1" applyFont="1"/>
    <xf numFmtId="167" fontId="215" fillId="0" borderId="43" xfId="0" applyNumberFormat="1" applyFont="1" applyBorder="1"/>
    <xf numFmtId="167" fontId="222" fillId="0" borderId="0" xfId="0" applyNumberFormat="1" applyFont="1"/>
    <xf numFmtId="167" fontId="222" fillId="0" borderId="43" xfId="0" applyNumberFormat="1" applyFont="1" applyBorder="1"/>
    <xf numFmtId="0" fontId="112" fillId="5" borderId="0" xfId="10" applyFont="1" applyFill="1" applyAlignment="1">
      <alignment horizontal="left" indent="4"/>
    </xf>
    <xf numFmtId="0" fontId="149" fillId="0" borderId="0" xfId="9" applyFont="1" applyAlignment="1">
      <alignment horizontal="left" indent="3"/>
    </xf>
    <xf numFmtId="0" fontId="149" fillId="20" borderId="0" xfId="9" applyFont="1" applyFill="1" applyAlignment="1">
      <alignment horizontal="left" indent="7"/>
    </xf>
    <xf numFmtId="0" fontId="149" fillId="0" borderId="0" xfId="0" applyFont="1" applyAlignment="1">
      <alignment horizontal="left" indent="1"/>
    </xf>
    <xf numFmtId="167" fontId="149" fillId="18" borderId="0" xfId="0" applyNumberFormat="1" applyFont="1" applyFill="1" applyAlignment="1">
      <alignment horizontal="left" indent="2"/>
    </xf>
    <xf numFmtId="0" fontId="114" fillId="0" borderId="0" xfId="9" applyFont="1">
      <alignment vertical="top"/>
    </xf>
    <xf numFmtId="0" fontId="74" fillId="18" borderId="0" xfId="0" applyFont="1" applyFill="1" applyAlignment="1">
      <alignment horizontal="left"/>
    </xf>
    <xf numFmtId="0" fontId="74" fillId="18" borderId="0" xfId="0" applyFont="1" applyFill="1"/>
    <xf numFmtId="0" fontId="98" fillId="18" borderId="7" xfId="0" applyFont="1" applyFill="1" applyBorder="1"/>
    <xf numFmtId="166" fontId="74" fillId="18" borderId="7" xfId="0" applyNumberFormat="1" applyFont="1" applyFill="1" applyBorder="1"/>
    <xf numFmtId="166" fontId="99" fillId="18" borderId="7" xfId="0" applyNumberFormat="1" applyFont="1" applyFill="1" applyBorder="1"/>
    <xf numFmtId="2" fontId="85" fillId="18" borderId="7" xfId="0" applyNumberFormat="1" applyFont="1" applyFill="1" applyBorder="1"/>
    <xf numFmtId="2" fontId="97" fillId="18" borderId="7" xfId="0" applyNumberFormat="1" applyFont="1" applyFill="1" applyBorder="1"/>
    <xf numFmtId="0" fontId="71" fillId="18" borderId="7" xfId="0" applyFont="1" applyFill="1" applyBorder="1"/>
    <xf numFmtId="168" fontId="97" fillId="18" borderId="7" xfId="12" applyNumberFormat="1" applyFont="1" applyFill="1" applyBorder="1"/>
    <xf numFmtId="0" fontId="66" fillId="18" borderId="7" xfId="0" applyFont="1" applyFill="1" applyBorder="1"/>
    <xf numFmtId="9" fontId="71" fillId="15" borderId="7" xfId="12" applyFont="1" applyFill="1" applyBorder="1"/>
    <xf numFmtId="166" fontId="104" fillId="18" borderId="33" xfId="0" applyNumberFormat="1" applyFont="1" applyFill="1" applyBorder="1"/>
    <xf numFmtId="0" fontId="59" fillId="20" borderId="0" xfId="0" applyFont="1" applyFill="1"/>
    <xf numFmtId="0" fontId="78" fillId="20" borderId="7" xfId="0" applyFont="1" applyFill="1" applyBorder="1"/>
    <xf numFmtId="166" fontId="0" fillId="20" borderId="10" xfId="0" applyNumberFormat="1" applyFill="1" applyBorder="1"/>
    <xf numFmtId="166" fontId="0" fillId="20" borderId="7" xfId="0" applyNumberFormat="1" applyFill="1" applyBorder="1"/>
    <xf numFmtId="166" fontId="0" fillId="20" borderId="26" xfId="0" applyNumberFormat="1" applyFill="1" applyBorder="1"/>
    <xf numFmtId="0" fontId="78" fillId="20" borderId="35" xfId="0" applyFont="1" applyFill="1" applyBorder="1" applyAlignment="1">
      <alignment horizontal="right"/>
    </xf>
    <xf numFmtId="167" fontId="67" fillId="20" borderId="7" xfId="0" applyNumberFormat="1" applyFont="1" applyFill="1" applyBorder="1"/>
    <xf numFmtId="177" fontId="111" fillId="5" borderId="0" xfId="17" applyNumberFormat="1" applyFont="1" applyFill="1" applyAlignment="1">
      <alignment horizontal="left" indent="1"/>
    </xf>
    <xf numFmtId="177" fontId="111" fillId="5" borderId="43" xfId="17" applyNumberFormat="1" applyFont="1" applyFill="1" applyBorder="1" applyAlignment="1">
      <alignment horizontal="left" indent="1"/>
    </xf>
    <xf numFmtId="177" fontId="218" fillId="58" borderId="0" xfId="17" applyNumberFormat="1" applyFont="1" applyFill="1" applyAlignment="1">
      <alignment horizontal="left" indent="1"/>
    </xf>
    <xf numFmtId="177" fontId="218" fillId="58" borderId="43" xfId="17" applyNumberFormat="1" applyFont="1" applyFill="1" applyBorder="1" applyAlignment="1">
      <alignment horizontal="left" indent="1"/>
    </xf>
    <xf numFmtId="0" fontId="80" fillId="5" borderId="0" xfId="0" applyFont="1" applyFill="1" applyAlignment="1">
      <alignment horizontal="left" indent="5"/>
    </xf>
    <xf numFmtId="0" fontId="149" fillId="20" borderId="0" xfId="9" applyFont="1" applyFill="1" applyAlignment="1">
      <alignment horizontal="left" indent="8"/>
    </xf>
    <xf numFmtId="0" fontId="144" fillId="13" borderId="0" xfId="9" applyFont="1" applyFill="1" applyAlignment="1"/>
    <xf numFmtId="0" fontId="91" fillId="18" borderId="0" xfId="0" applyFont="1" applyFill="1" applyAlignment="1">
      <alignment horizontal="left"/>
    </xf>
    <xf numFmtId="0" fontId="91" fillId="18" borderId="0" xfId="0" applyFont="1" applyFill="1"/>
    <xf numFmtId="0" fontId="143" fillId="18" borderId="7" xfId="0" applyFont="1" applyFill="1" applyBorder="1"/>
    <xf numFmtId="0" fontId="303" fillId="18" borderId="7" xfId="0" applyFont="1" applyFill="1" applyBorder="1"/>
    <xf numFmtId="166" fontId="91" fillId="18" borderId="7" xfId="0" applyNumberFormat="1" applyFont="1" applyFill="1" applyBorder="1"/>
    <xf numFmtId="0" fontId="146" fillId="18" borderId="0" xfId="0" applyFont="1" applyFill="1"/>
    <xf numFmtId="0" fontId="92" fillId="18" borderId="7" xfId="0" applyFont="1" applyFill="1" applyBorder="1"/>
    <xf numFmtId="168" fontId="97" fillId="18" borderId="0" xfId="0" applyNumberFormat="1" applyFont="1" applyFill="1"/>
    <xf numFmtId="168" fontId="97" fillId="18" borderId="10" xfId="0" applyNumberFormat="1" applyFont="1" applyFill="1" applyBorder="1"/>
    <xf numFmtId="0" fontId="303" fillId="18" borderId="26" xfId="0" applyFont="1" applyFill="1" applyBorder="1"/>
    <xf numFmtId="0" fontId="303" fillId="18" borderId="0" xfId="0" applyFont="1" applyFill="1"/>
    <xf numFmtId="164" fontId="97" fillId="15" borderId="0" xfId="17" applyFont="1" applyFill="1"/>
    <xf numFmtId="182" fontId="97" fillId="15" borderId="0" xfId="17" applyNumberFormat="1" applyFont="1" applyFill="1"/>
    <xf numFmtId="0" fontId="91" fillId="0" borderId="0" xfId="0" applyFont="1" applyAlignment="1">
      <alignment horizontal="left"/>
    </xf>
    <xf numFmtId="168" fontId="92" fillId="18" borderId="7" xfId="0" applyNumberFormat="1" applyFont="1" applyFill="1" applyBorder="1"/>
    <xf numFmtId="166" fontId="97" fillId="18" borderId="7" xfId="0" applyNumberFormat="1" applyFont="1" applyFill="1" applyBorder="1"/>
    <xf numFmtId="0" fontId="304" fillId="62" borderId="0" xfId="9" applyFont="1" applyFill="1" applyAlignment="1">
      <alignment horizontal="left" indent="4"/>
    </xf>
    <xf numFmtId="0" fontId="304" fillId="62" borderId="0" xfId="9" applyFont="1" applyFill="1" applyAlignment="1">
      <alignment horizontal="left" indent="5"/>
    </xf>
    <xf numFmtId="168" fontId="92" fillId="18" borderId="7" xfId="12" applyNumberFormat="1" applyFont="1" applyFill="1" applyBorder="1"/>
    <xf numFmtId="168" fontId="91" fillId="18" borderId="7" xfId="12" applyNumberFormat="1" applyFont="1" applyFill="1" applyBorder="1"/>
    <xf numFmtId="167" fontId="149" fillId="5" borderId="0" xfId="0" applyNumberFormat="1" applyFont="1" applyFill="1" applyAlignment="1">
      <alignment horizontal="left" indent="2"/>
    </xf>
    <xf numFmtId="167" fontId="149" fillId="5" borderId="23" xfId="0" applyNumberFormat="1" applyFont="1" applyFill="1" applyBorder="1" applyAlignment="1">
      <alignment horizontal="left" indent="2"/>
    </xf>
    <xf numFmtId="167" fontId="149" fillId="5" borderId="43" xfId="0" applyNumberFormat="1" applyFont="1" applyFill="1" applyBorder="1" applyAlignment="1">
      <alignment horizontal="left" indent="2"/>
    </xf>
    <xf numFmtId="167" fontId="149" fillId="5" borderId="10" xfId="0" applyNumberFormat="1" applyFont="1" applyFill="1" applyBorder="1" applyAlignment="1">
      <alignment horizontal="left" indent="2"/>
    </xf>
    <xf numFmtId="0" fontId="0" fillId="15" borderId="7" xfId="0" applyFill="1" applyBorder="1" applyAlignment="1">
      <alignment horizontal="left" indent="2"/>
    </xf>
    <xf numFmtId="183" fontId="59" fillId="0" borderId="0" xfId="17" applyNumberFormat="1" applyFont="1"/>
    <xf numFmtId="2" fontId="71" fillId="18" borderId="7" xfId="0" applyNumberFormat="1" applyFont="1" applyFill="1" applyBorder="1"/>
    <xf numFmtId="0" fontId="268" fillId="69" borderId="0" xfId="0" applyFont="1" applyFill="1"/>
    <xf numFmtId="0" fontId="83" fillId="7" borderId="0" xfId="0" applyFont="1" applyFill="1"/>
    <xf numFmtId="0" fontId="70" fillId="7" borderId="0" xfId="0" applyFont="1" applyFill="1"/>
    <xf numFmtId="2" fontId="0" fillId="7" borderId="0" xfId="0" applyNumberFormat="1" applyFill="1"/>
    <xf numFmtId="166" fontId="0" fillId="7" borderId="0" xfId="0" applyNumberFormat="1" applyFill="1"/>
    <xf numFmtId="167" fontId="0" fillId="7" borderId="0" xfId="0" applyNumberFormat="1" applyFill="1"/>
    <xf numFmtId="167" fontId="63" fillId="7" borderId="31" xfId="0" applyNumberFormat="1" applyFont="1" applyFill="1" applyBorder="1"/>
    <xf numFmtId="167" fontId="65" fillId="7" borderId="0" xfId="0" applyNumberFormat="1" applyFont="1" applyFill="1"/>
    <xf numFmtId="0" fontId="91" fillId="7" borderId="0" xfId="0" applyFont="1" applyFill="1" applyAlignment="1">
      <alignment horizontal="right"/>
    </xf>
    <xf numFmtId="167" fontId="63" fillId="7" borderId="27" xfId="0" applyNumberFormat="1" applyFont="1" applyFill="1" applyBorder="1" applyAlignment="1">
      <alignment horizontal="right"/>
    </xf>
    <xf numFmtId="167" fontId="63" fillId="7" borderId="28" xfId="0" applyNumberFormat="1" applyFont="1" applyFill="1" applyBorder="1" applyAlignment="1">
      <alignment horizontal="right"/>
    </xf>
    <xf numFmtId="0" fontId="61" fillId="7" borderId="113" xfId="0" applyFont="1" applyFill="1" applyBorder="1"/>
    <xf numFmtId="167" fontId="63" fillId="7" borderId="27" xfId="0" applyNumberFormat="1" applyFont="1" applyFill="1" applyBorder="1"/>
    <xf numFmtId="167" fontId="60" fillId="7" borderId="0" xfId="0" applyNumberFormat="1" applyFont="1" applyFill="1"/>
    <xf numFmtId="166" fontId="63" fillId="7" borderId="28" xfId="0" applyNumberFormat="1" applyFont="1" applyFill="1" applyBorder="1" applyAlignment="1">
      <alignment horizontal="right"/>
    </xf>
    <xf numFmtId="166" fontId="63" fillId="7" borderId="0" xfId="0" applyNumberFormat="1" applyFont="1" applyFill="1" applyAlignment="1">
      <alignment horizontal="right"/>
    </xf>
    <xf numFmtId="0" fontId="306" fillId="7" borderId="0" xfId="0" applyFont="1" applyFill="1"/>
    <xf numFmtId="0" fontId="307" fillId="7" borderId="0" xfId="0" applyFont="1" applyFill="1" applyAlignment="1">
      <alignment horizontal="right"/>
    </xf>
    <xf numFmtId="167" fontId="308" fillId="7" borderId="0" xfId="0" applyNumberFormat="1" applyFont="1" applyFill="1" applyAlignment="1">
      <alignment horizontal="right"/>
    </xf>
    <xf numFmtId="166" fontId="308" fillId="7" borderId="0" xfId="0" applyNumberFormat="1" applyFont="1" applyFill="1" applyAlignment="1">
      <alignment horizontal="right"/>
    </xf>
    <xf numFmtId="167" fontId="308" fillId="7" borderId="0" xfId="0" applyNumberFormat="1" applyFont="1" applyFill="1"/>
    <xf numFmtId="0" fontId="0" fillId="7" borderId="0" xfId="0" applyFill="1" applyAlignment="1">
      <alignment horizontal="center"/>
    </xf>
    <xf numFmtId="167" fontId="310" fillId="53" borderId="0" xfId="0" applyNumberFormat="1" applyFont="1" applyFill="1"/>
    <xf numFmtId="0" fontId="60" fillId="7" borderId="111" xfId="0" applyFont="1" applyFill="1" applyBorder="1"/>
    <xf numFmtId="2" fontId="0" fillId="7" borderId="112" xfId="0" applyNumberFormat="1" applyFill="1" applyBorder="1"/>
    <xf numFmtId="166" fontId="0" fillId="7" borderId="112" xfId="0" applyNumberFormat="1" applyFill="1" applyBorder="1"/>
    <xf numFmtId="167" fontId="60" fillId="7" borderId="111" xfId="0" applyNumberFormat="1" applyFont="1" applyFill="1" applyBorder="1"/>
    <xf numFmtId="0" fontId="60" fillId="7" borderId="159" xfId="0" applyFont="1" applyFill="1" applyBorder="1"/>
    <xf numFmtId="167" fontId="63" fillId="7" borderId="160" xfId="0" applyNumberFormat="1" applyFont="1" applyFill="1" applyBorder="1"/>
    <xf numFmtId="167" fontId="63" fillId="7" borderId="148" xfId="0" applyNumberFormat="1" applyFont="1" applyFill="1" applyBorder="1"/>
    <xf numFmtId="167" fontId="63" fillId="7" borderId="161" xfId="0" applyNumberFormat="1" applyFont="1" applyFill="1" applyBorder="1" applyAlignment="1">
      <alignment horizontal="right"/>
    </xf>
    <xf numFmtId="167" fontId="63" fillId="7" borderId="161" xfId="0" applyNumberFormat="1" applyFont="1" applyFill="1" applyBorder="1"/>
    <xf numFmtId="167" fontId="63" fillId="7" borderId="149" xfId="0" applyNumberFormat="1" applyFont="1" applyFill="1" applyBorder="1"/>
    <xf numFmtId="0" fontId="60" fillId="7" borderId="113" xfId="0" applyFont="1" applyFill="1" applyBorder="1"/>
    <xf numFmtId="0" fontId="60" fillId="7" borderId="114" xfId="0" applyFont="1" applyFill="1" applyBorder="1"/>
    <xf numFmtId="166" fontId="60" fillId="7" borderId="162" xfId="0" applyNumberFormat="1" applyFont="1" applyFill="1" applyBorder="1"/>
    <xf numFmtId="167" fontId="63" fillId="7" borderId="159" xfId="0" applyNumberFormat="1" applyFont="1" applyFill="1" applyBorder="1"/>
    <xf numFmtId="167" fontId="67" fillId="7" borderId="159" xfId="0" applyNumberFormat="1" applyFont="1" applyFill="1" applyBorder="1" applyAlignment="1">
      <alignment horizontal="right"/>
    </xf>
    <xf numFmtId="167" fontId="298" fillId="7" borderId="0" xfId="0" applyNumberFormat="1" applyFont="1" applyFill="1" applyAlignment="1">
      <alignment horizontal="right"/>
    </xf>
    <xf numFmtId="167" fontId="67" fillId="7" borderId="159" xfId="0" applyNumberFormat="1" applyFont="1" applyFill="1" applyBorder="1"/>
    <xf numFmtId="0" fontId="65" fillId="35" borderId="35" xfId="0" applyFont="1" applyFill="1" applyBorder="1"/>
    <xf numFmtId="0" fontId="79" fillId="35" borderId="7" xfId="0" applyFont="1" applyFill="1" applyBorder="1"/>
    <xf numFmtId="0" fontId="78" fillId="35" borderId="7" xfId="0" applyFont="1" applyFill="1" applyBorder="1"/>
    <xf numFmtId="0" fontId="63" fillId="35" borderId="35" xfId="0" applyFont="1" applyFill="1" applyBorder="1"/>
    <xf numFmtId="1" fontId="0" fillId="35" borderId="7" xfId="0" applyNumberFormat="1" applyFill="1" applyBorder="1"/>
    <xf numFmtId="166" fontId="0" fillId="35" borderId="10" xfId="0" applyNumberFormat="1" applyFill="1" applyBorder="1"/>
    <xf numFmtId="166" fontId="0" fillId="35" borderId="163" xfId="0" applyNumberFormat="1" applyFill="1" applyBorder="1"/>
    <xf numFmtId="1" fontId="0" fillId="35" borderId="27" xfId="0" applyNumberFormat="1" applyFill="1" applyBorder="1"/>
    <xf numFmtId="1" fontId="0" fillId="35" borderId="10" xfId="0" applyNumberFormat="1" applyFill="1" applyBorder="1"/>
    <xf numFmtId="1" fontId="0" fillId="35" borderId="7" xfId="0" applyNumberFormat="1" applyFill="1" applyBorder="1" applyProtection="1">
      <protection locked="0"/>
    </xf>
    <xf numFmtId="0" fontId="85" fillId="35" borderId="35" xfId="0" applyFont="1" applyFill="1" applyBorder="1"/>
    <xf numFmtId="1" fontId="71" fillId="35" borderId="7" xfId="0" applyNumberFormat="1" applyFont="1" applyFill="1" applyBorder="1"/>
    <xf numFmtId="0" fontId="65" fillId="87" borderId="35" xfId="0" applyFont="1" applyFill="1" applyBorder="1"/>
    <xf numFmtId="1" fontId="0" fillId="88" borderId="7" xfId="0" applyNumberFormat="1" applyFill="1" applyBorder="1"/>
    <xf numFmtId="0" fontId="63" fillId="35" borderId="0" xfId="0" applyFont="1" applyFill="1"/>
    <xf numFmtId="166" fontId="0" fillId="35" borderId="164" xfId="0" applyNumberFormat="1" applyFill="1" applyBorder="1"/>
    <xf numFmtId="1" fontId="0" fillId="35" borderId="164" xfId="0" applyNumberFormat="1" applyFill="1" applyBorder="1"/>
    <xf numFmtId="0" fontId="82" fillId="35" borderId="164" xfId="0" applyFont="1" applyFill="1" applyBorder="1"/>
    <xf numFmtId="0" fontId="78" fillId="35" borderId="164" xfId="0" applyFont="1" applyFill="1" applyBorder="1"/>
    <xf numFmtId="1" fontId="0" fillId="88" borderId="164" xfId="0" applyNumberFormat="1" applyFill="1" applyBorder="1"/>
    <xf numFmtId="1" fontId="64" fillId="88" borderId="164" xfId="0" applyNumberFormat="1" applyFont="1" applyFill="1" applyBorder="1"/>
    <xf numFmtId="1" fontId="0" fillId="35" borderId="163" xfId="0" applyNumberFormat="1" applyFill="1" applyBorder="1"/>
    <xf numFmtId="1" fontId="0" fillId="35" borderId="165" xfId="0" applyNumberFormat="1" applyFill="1" applyBorder="1"/>
    <xf numFmtId="1" fontId="0" fillId="35" borderId="166" xfId="0" applyNumberFormat="1" applyFill="1" applyBorder="1"/>
    <xf numFmtId="1" fontId="0" fillId="35" borderId="167" xfId="0" applyNumberFormat="1" applyFill="1" applyBorder="1"/>
    <xf numFmtId="1" fontId="0" fillId="35" borderId="168" xfId="0" applyNumberFormat="1" applyFill="1" applyBorder="1"/>
    <xf numFmtId="166" fontId="102" fillId="35" borderId="89" xfId="0" applyNumberFormat="1" applyFont="1" applyFill="1" applyBorder="1"/>
    <xf numFmtId="166" fontId="102" fillId="35" borderId="90" xfId="0" applyNumberFormat="1" applyFont="1" applyFill="1" applyBorder="1"/>
    <xf numFmtId="166" fontId="102" fillId="35" borderId="100" xfId="0" applyNumberFormat="1" applyFont="1" applyFill="1" applyBorder="1"/>
    <xf numFmtId="166" fontId="102" fillId="35" borderId="92" xfId="0" applyNumberFormat="1" applyFont="1" applyFill="1" applyBorder="1"/>
    <xf numFmtId="166" fontId="102" fillId="35" borderId="93" xfId="0" applyNumberFormat="1" applyFont="1" applyFill="1" applyBorder="1"/>
    <xf numFmtId="166" fontId="102" fillId="35" borderId="102" xfId="0" applyNumberFormat="1" applyFont="1" applyFill="1" applyBorder="1"/>
    <xf numFmtId="2" fontId="102" fillId="35" borderId="89" xfId="0" applyNumberFormat="1" applyFont="1" applyFill="1" applyBorder="1"/>
    <xf numFmtId="2" fontId="102" fillId="35" borderId="90" xfId="0" applyNumberFormat="1" applyFont="1" applyFill="1" applyBorder="1"/>
    <xf numFmtId="2" fontId="102" fillId="35" borderId="100" xfId="0" applyNumberFormat="1" applyFont="1" applyFill="1" applyBorder="1"/>
    <xf numFmtId="2" fontId="102" fillId="35" borderId="92" xfId="0" applyNumberFormat="1" applyFont="1" applyFill="1" applyBorder="1"/>
    <xf numFmtId="2" fontId="102" fillId="35" borderId="93" xfId="0" applyNumberFormat="1" applyFont="1" applyFill="1" applyBorder="1"/>
    <xf numFmtId="2" fontId="102" fillId="35" borderId="102" xfId="0" applyNumberFormat="1" applyFont="1" applyFill="1" applyBorder="1"/>
    <xf numFmtId="0" fontId="78" fillId="35" borderId="0" xfId="0" applyFont="1" applyFill="1"/>
    <xf numFmtId="0" fontId="65" fillId="35" borderId="7" xfId="0" applyFont="1" applyFill="1" applyBorder="1"/>
    <xf numFmtId="0" fontId="76" fillId="35" borderId="7" xfId="0" applyFont="1" applyFill="1" applyBorder="1"/>
    <xf numFmtId="0" fontId="78" fillId="35" borderId="7" xfId="0" applyFont="1" applyFill="1" applyBorder="1" applyAlignment="1">
      <alignment horizontal="right"/>
    </xf>
    <xf numFmtId="1" fontId="63" fillId="35" borderId="7" xfId="0" applyNumberFormat="1" applyFont="1" applyFill="1" applyBorder="1" applyAlignment="1">
      <alignment horizontal="right"/>
    </xf>
    <xf numFmtId="1" fontId="63" fillId="89" borderId="7" xfId="0" applyNumberFormat="1" applyFont="1" applyFill="1" applyBorder="1" applyAlignment="1">
      <alignment horizontal="right"/>
    </xf>
    <xf numFmtId="1" fontId="63" fillId="18" borderId="7" xfId="0" applyNumberFormat="1" applyFont="1" applyFill="1" applyBorder="1" applyAlignment="1">
      <alignment horizontal="right"/>
    </xf>
    <xf numFmtId="0" fontId="63" fillId="35" borderId="163" xfId="0" applyFont="1" applyFill="1" applyBorder="1"/>
    <xf numFmtId="0" fontId="76" fillId="35" borderId="164" xfId="0" applyFont="1" applyFill="1" applyBorder="1"/>
    <xf numFmtId="0" fontId="78" fillId="35" borderId="164" xfId="0" applyFont="1" applyFill="1" applyBorder="1" applyAlignment="1">
      <alignment horizontal="right"/>
    </xf>
    <xf numFmtId="166" fontId="63" fillId="35" borderId="164" xfId="0" applyNumberFormat="1" applyFont="1" applyFill="1" applyBorder="1" applyAlignment="1">
      <alignment horizontal="right"/>
    </xf>
    <xf numFmtId="1" fontId="63" fillId="35" borderId="164" xfId="0" applyNumberFormat="1" applyFont="1" applyFill="1" applyBorder="1" applyAlignment="1">
      <alignment horizontal="right"/>
    </xf>
    <xf numFmtId="1" fontId="63" fillId="35" borderId="163" xfId="0" applyNumberFormat="1" applyFont="1" applyFill="1" applyBorder="1" applyAlignment="1">
      <alignment horizontal="right"/>
    </xf>
    <xf numFmtId="1" fontId="63" fillId="35" borderId="10" xfId="0" applyNumberFormat="1" applyFont="1" applyFill="1" applyBorder="1" applyAlignment="1">
      <alignment horizontal="right"/>
    </xf>
    <xf numFmtId="0" fontId="78" fillId="35" borderId="163" xfId="0" applyFont="1" applyFill="1" applyBorder="1"/>
    <xf numFmtId="0" fontId="67" fillId="35" borderId="163" xfId="0" applyFont="1" applyFill="1" applyBorder="1"/>
    <xf numFmtId="166" fontId="85" fillId="35" borderId="164" xfId="0" applyNumberFormat="1" applyFont="1" applyFill="1" applyBorder="1" applyAlignment="1">
      <alignment horizontal="right"/>
    </xf>
    <xf numFmtId="1" fontId="85" fillId="35" borderId="164" xfId="0" applyNumberFormat="1" applyFont="1" applyFill="1" applyBorder="1" applyAlignment="1">
      <alignment horizontal="right"/>
    </xf>
    <xf numFmtId="0" fontId="78" fillId="35" borderId="10" xfId="0" applyFont="1" applyFill="1" applyBorder="1" applyAlignment="1">
      <alignment horizontal="right"/>
    </xf>
    <xf numFmtId="171" fontId="63" fillId="35" borderId="164" xfId="0" applyNumberFormat="1" applyFont="1" applyFill="1" applyBorder="1" applyAlignment="1">
      <alignment horizontal="right"/>
    </xf>
    <xf numFmtId="0" fontId="67" fillId="35" borderId="0" xfId="0" applyFont="1" applyFill="1"/>
    <xf numFmtId="171" fontId="85" fillId="35" borderId="164" xfId="0" applyNumberFormat="1" applyFont="1" applyFill="1" applyBorder="1" applyAlignment="1">
      <alignment horizontal="right"/>
    </xf>
    <xf numFmtId="1" fontId="78" fillId="35" borderId="164" xfId="0" applyNumberFormat="1" applyFont="1" applyFill="1" applyBorder="1" applyAlignment="1">
      <alignment horizontal="right"/>
    </xf>
    <xf numFmtId="1" fontId="78" fillId="35" borderId="0" xfId="0" applyNumberFormat="1" applyFont="1" applyFill="1" applyAlignment="1">
      <alignment horizontal="right"/>
    </xf>
    <xf numFmtId="0" fontId="76" fillId="35" borderId="164" xfId="0" applyFont="1" applyFill="1" applyBorder="1" applyAlignment="1">
      <alignment horizontal="right"/>
    </xf>
    <xf numFmtId="0" fontId="78" fillId="35" borderId="0" xfId="0" applyFont="1" applyFill="1" applyAlignment="1">
      <alignment horizontal="right"/>
    </xf>
    <xf numFmtId="1" fontId="85" fillId="35" borderId="0" xfId="0" applyNumberFormat="1" applyFont="1" applyFill="1" applyAlignment="1">
      <alignment horizontal="right"/>
    </xf>
    <xf numFmtId="1" fontId="64" fillId="35" borderId="7" xfId="0" applyNumberFormat="1" applyFont="1" applyFill="1" applyBorder="1"/>
    <xf numFmtId="2" fontId="0" fillId="35" borderId="164" xfId="0" applyNumberFormat="1" applyFill="1" applyBorder="1"/>
    <xf numFmtId="0" fontId="76" fillId="35" borderId="0" xfId="0" applyFont="1" applyFill="1" applyAlignment="1">
      <alignment horizontal="right"/>
    </xf>
    <xf numFmtId="0" fontId="64" fillId="17" borderId="0" xfId="0" applyFont="1" applyFill="1"/>
    <xf numFmtId="0" fontId="64" fillId="18" borderId="0" xfId="0" applyFont="1" applyFill="1"/>
    <xf numFmtId="0" fontId="64" fillId="19" borderId="0" xfId="0" applyFont="1" applyFill="1"/>
    <xf numFmtId="177" fontId="91" fillId="18" borderId="7" xfId="17" applyNumberFormat="1" applyFont="1" applyFill="1" applyBorder="1"/>
    <xf numFmtId="0" fontId="92" fillId="18" borderId="164" xfId="0" applyFont="1" applyFill="1" applyBorder="1"/>
    <xf numFmtId="0" fontId="303" fillId="18" borderId="164" xfId="0" applyFont="1" applyFill="1" applyBorder="1"/>
    <xf numFmtId="2" fontId="92" fillId="18" borderId="164" xfId="0" applyNumberFormat="1" applyFont="1" applyFill="1" applyBorder="1"/>
    <xf numFmtId="164" fontId="92" fillId="18" borderId="164" xfId="17" applyFont="1" applyFill="1" applyBorder="1"/>
    <xf numFmtId="177" fontId="92" fillId="18" borderId="164" xfId="17" applyNumberFormat="1" applyFont="1" applyFill="1" applyBorder="1"/>
    <xf numFmtId="0" fontId="60" fillId="7" borderId="163" xfId="0" applyFont="1" applyFill="1" applyBorder="1"/>
    <xf numFmtId="0" fontId="0" fillId="7" borderId="163" xfId="0" applyFill="1" applyBorder="1"/>
    <xf numFmtId="0" fontId="74" fillId="7" borderId="163" xfId="0" applyFont="1" applyFill="1" applyBorder="1" applyAlignment="1">
      <alignment horizontal="left" indent="1"/>
    </xf>
    <xf numFmtId="0" fontId="61" fillId="7" borderId="0" xfId="0" applyFont="1" applyFill="1"/>
    <xf numFmtId="166" fontId="61" fillId="7" borderId="0" xfId="0" applyNumberFormat="1" applyFont="1" applyFill="1"/>
    <xf numFmtId="0" fontId="74" fillId="7" borderId="163" xfId="0" applyFont="1" applyFill="1" applyBorder="1"/>
    <xf numFmtId="167" fontId="63" fillId="7" borderId="163" xfId="0" applyNumberFormat="1" applyFont="1" applyFill="1" applyBorder="1" applyAlignment="1">
      <alignment horizontal="right"/>
    </xf>
    <xf numFmtId="0" fontId="0" fillId="7" borderId="163" xfId="0" applyFill="1" applyBorder="1" applyAlignment="1">
      <alignment horizontal="left" indent="1"/>
    </xf>
    <xf numFmtId="167" fontId="63" fillId="7" borderId="163" xfId="0" applyNumberFormat="1" applyFont="1" applyFill="1" applyBorder="1"/>
    <xf numFmtId="0" fontId="305" fillId="29" borderId="163" xfId="0" applyFont="1" applyFill="1" applyBorder="1" applyAlignment="1">
      <alignment horizontal="left" indent="1"/>
    </xf>
    <xf numFmtId="167" fontId="308" fillId="7" borderId="163" xfId="0" applyNumberFormat="1" applyFont="1" applyFill="1" applyBorder="1"/>
    <xf numFmtId="0" fontId="64" fillId="7" borderId="163" xfId="0" applyFont="1" applyFill="1" applyBorder="1" applyAlignment="1">
      <alignment horizontal="left" indent="1"/>
    </xf>
    <xf numFmtId="0" fontId="61" fillId="7" borderId="163" xfId="0" applyFont="1" applyFill="1" applyBorder="1"/>
    <xf numFmtId="167" fontId="240" fillId="53" borderId="163" xfId="0" applyNumberFormat="1" applyFont="1" applyFill="1" applyBorder="1"/>
    <xf numFmtId="0" fontId="309" fillId="29" borderId="163" xfId="0" applyFont="1" applyFill="1" applyBorder="1" applyAlignment="1">
      <alignment horizontal="left" indent="1"/>
    </xf>
    <xf numFmtId="0" fontId="84" fillId="7" borderId="163" xfId="0" applyFont="1" applyFill="1" applyBorder="1"/>
    <xf numFmtId="0" fontId="84" fillId="7" borderId="163" xfId="0" applyFont="1" applyFill="1" applyBorder="1" applyAlignment="1">
      <alignment horizontal="left" indent="4"/>
    </xf>
    <xf numFmtId="167" fontId="298" fillId="7" borderId="163" xfId="0" applyNumberFormat="1" applyFont="1" applyFill="1" applyBorder="1"/>
    <xf numFmtId="0" fontId="67" fillId="5" borderId="163" xfId="0" applyFont="1" applyFill="1" applyBorder="1"/>
    <xf numFmtId="0" fontId="73" fillId="90" borderId="0" xfId="0" applyFont="1" applyFill="1"/>
    <xf numFmtId="0" fontId="60" fillId="90" borderId="0" xfId="0" applyFont="1" applyFill="1"/>
    <xf numFmtId="0" fontId="0" fillId="90" borderId="0" xfId="0" applyFill="1"/>
    <xf numFmtId="0" fontId="89" fillId="90" borderId="0" xfId="0" applyFont="1" applyFill="1" applyAlignment="1">
      <alignment horizontal="right"/>
    </xf>
    <xf numFmtId="0" fontId="66" fillId="90" borderId="0" xfId="0" applyFont="1" applyFill="1"/>
    <xf numFmtId="0" fontId="64" fillId="90" borderId="0" xfId="0" applyFont="1" applyFill="1"/>
    <xf numFmtId="0" fontId="71" fillId="90" borderId="0" xfId="0" applyFont="1" applyFill="1"/>
    <xf numFmtId="0" fontId="70" fillId="90" borderId="0" xfId="0" applyFont="1" applyFill="1"/>
    <xf numFmtId="0" fontId="132" fillId="90" borderId="0" xfId="0" applyFont="1" applyFill="1"/>
    <xf numFmtId="0" fontId="70" fillId="90" borderId="53" xfId="0" applyFont="1" applyFill="1" applyBorder="1"/>
    <xf numFmtId="166" fontId="60" fillId="90" borderId="0" xfId="0" applyNumberFormat="1" applyFont="1" applyFill="1"/>
    <xf numFmtId="166" fontId="65" fillId="90" borderId="0" xfId="0" applyNumberFormat="1" applyFont="1" applyFill="1"/>
    <xf numFmtId="166" fontId="60" fillId="90" borderId="53" xfId="0" applyNumberFormat="1" applyFont="1" applyFill="1" applyBorder="1"/>
    <xf numFmtId="0" fontId="0" fillId="90" borderId="10" xfId="0" applyFill="1" applyBorder="1"/>
    <xf numFmtId="166" fontId="0" fillId="90" borderId="169" xfId="0" applyNumberFormat="1" applyFill="1" applyBorder="1"/>
    <xf numFmtId="166" fontId="63" fillId="90" borderId="169" xfId="0" applyNumberFormat="1" applyFont="1" applyFill="1" applyBorder="1"/>
    <xf numFmtId="166" fontId="0" fillId="90" borderId="170" xfId="0" applyNumberFormat="1" applyFill="1" applyBorder="1"/>
    <xf numFmtId="0" fontId="0" fillId="90" borderId="41" xfId="0" applyFill="1" applyBorder="1"/>
    <xf numFmtId="166" fontId="71" fillId="90" borderId="0" xfId="0" applyNumberFormat="1" applyFont="1" applyFill="1"/>
    <xf numFmtId="166" fontId="85" fillId="90" borderId="0" xfId="0" applyNumberFormat="1" applyFont="1" applyFill="1"/>
    <xf numFmtId="168" fontId="91" fillId="90" borderId="0" xfId="0" applyNumberFormat="1" applyFont="1" applyFill="1"/>
    <xf numFmtId="168" fontId="91" fillId="90" borderId="53" xfId="0" applyNumberFormat="1" applyFont="1" applyFill="1" applyBorder="1"/>
    <xf numFmtId="166" fontId="0" fillId="90" borderId="171" xfId="0" applyNumberFormat="1" applyFill="1" applyBorder="1"/>
    <xf numFmtId="166" fontId="0" fillId="90" borderId="0" xfId="0" applyNumberFormat="1" applyFill="1"/>
    <xf numFmtId="166" fontId="63" fillId="90" borderId="0" xfId="0" applyNumberFormat="1" applyFont="1" applyFill="1"/>
    <xf numFmtId="166" fontId="0" fillId="90" borderId="53" xfId="0" applyNumberFormat="1" applyFill="1" applyBorder="1"/>
    <xf numFmtId="0" fontId="60" fillId="90" borderId="10" xfId="0" applyFont="1" applyFill="1" applyBorder="1"/>
    <xf numFmtId="166" fontId="71" fillId="90" borderId="36" xfId="0" applyNumberFormat="1" applyFont="1" applyFill="1" applyBorder="1"/>
    <xf numFmtId="166" fontId="71" fillId="90" borderId="31" xfId="0" applyNumberFormat="1" applyFont="1" applyFill="1" applyBorder="1"/>
    <xf numFmtId="166" fontId="60" fillId="90" borderId="169" xfId="0" applyNumberFormat="1" applyFont="1" applyFill="1" applyBorder="1"/>
    <xf numFmtId="166" fontId="60" fillId="90" borderId="170" xfId="0" applyNumberFormat="1" applyFont="1" applyFill="1" applyBorder="1"/>
    <xf numFmtId="9" fontId="89" fillId="90" borderId="0" xfId="0" applyNumberFormat="1" applyFont="1" applyFill="1"/>
    <xf numFmtId="0" fontId="65" fillId="90" borderId="0" xfId="0" applyFont="1" applyFill="1"/>
    <xf numFmtId="166" fontId="0" fillId="90" borderId="87" xfId="0" applyNumberFormat="1" applyFill="1" applyBorder="1"/>
    <xf numFmtId="166" fontId="0" fillId="90" borderId="88" xfId="0" applyNumberFormat="1" applyFill="1" applyBorder="1"/>
    <xf numFmtId="166" fontId="0" fillId="90" borderId="172" xfId="0" applyNumberFormat="1" applyFill="1" applyBorder="1"/>
    <xf numFmtId="0" fontId="0" fillId="90" borderId="169" xfId="0" applyFill="1" applyBorder="1"/>
    <xf numFmtId="0" fontId="0" fillId="90" borderId="171" xfId="0" applyFill="1" applyBorder="1"/>
    <xf numFmtId="0" fontId="60" fillId="90" borderId="36" xfId="0" applyFont="1" applyFill="1" applyBorder="1"/>
    <xf numFmtId="0" fontId="60" fillId="90" borderId="31" xfId="0" applyFont="1" applyFill="1" applyBorder="1"/>
    <xf numFmtId="0" fontId="65" fillId="90" borderId="31" xfId="0" applyFont="1" applyFill="1" applyBorder="1"/>
    <xf numFmtId="0" fontId="194" fillId="90" borderId="31" xfId="0" applyFont="1" applyFill="1" applyBorder="1"/>
    <xf numFmtId="1" fontId="60" fillId="90" borderId="0" xfId="0" applyNumberFormat="1" applyFont="1" applyFill="1"/>
    <xf numFmtId="1" fontId="60" fillId="90" borderId="53" xfId="0" applyNumberFormat="1" applyFont="1" applyFill="1" applyBorder="1"/>
    <xf numFmtId="1" fontId="0" fillId="90" borderId="0" xfId="0" applyNumberFormat="1" applyFill="1"/>
    <xf numFmtId="1" fontId="0" fillId="90" borderId="53" xfId="0" applyNumberFormat="1" applyFill="1" applyBorder="1"/>
    <xf numFmtId="0" fontId="0" fillId="90" borderId="0" xfId="0" applyFill="1" applyAlignment="1">
      <alignment horizontal="left"/>
    </xf>
    <xf numFmtId="1" fontId="64" fillId="90" borderId="0" xfId="0" applyNumberFormat="1" applyFont="1" applyFill="1"/>
    <xf numFmtId="1" fontId="64" fillId="90" borderId="53" xfId="0" applyNumberFormat="1" applyFont="1" applyFill="1" applyBorder="1"/>
    <xf numFmtId="168" fontId="0" fillId="90" borderId="0" xfId="0" applyNumberFormat="1" applyFill="1"/>
    <xf numFmtId="168" fontId="0" fillId="90" borderId="53" xfId="0" applyNumberFormat="1" applyFill="1" applyBorder="1"/>
    <xf numFmtId="166" fontId="0" fillId="90" borderId="173" xfId="0" applyNumberFormat="1" applyFill="1" applyBorder="1"/>
    <xf numFmtId="166" fontId="0" fillId="90" borderId="174" xfId="0" applyNumberFormat="1" applyFill="1" applyBorder="1"/>
    <xf numFmtId="1" fontId="0" fillId="18" borderId="0" xfId="0" applyNumberFormat="1" applyFill="1"/>
    <xf numFmtId="1" fontId="0" fillId="18" borderId="53" xfId="0" applyNumberFormat="1" applyFill="1" applyBorder="1"/>
    <xf numFmtId="166" fontId="74" fillId="90" borderId="0" xfId="0" applyNumberFormat="1" applyFont="1" applyFill="1"/>
    <xf numFmtId="166" fontId="76" fillId="90" borderId="0" xfId="0" applyNumberFormat="1" applyFont="1" applyFill="1"/>
    <xf numFmtId="166" fontId="76" fillId="90" borderId="53" xfId="0" applyNumberFormat="1" applyFont="1" applyFill="1" applyBorder="1"/>
    <xf numFmtId="0" fontId="0" fillId="15" borderId="7" xfId="0" applyFill="1" applyBorder="1" applyAlignment="1">
      <alignment horizontal="left" indent="1"/>
    </xf>
    <xf numFmtId="0" fontId="0" fillId="15" borderId="7" xfId="0" applyFill="1" applyBorder="1" applyAlignment="1">
      <alignment horizontal="left" indent="4"/>
    </xf>
    <xf numFmtId="0" fontId="64" fillId="15" borderId="7" xfId="0" applyFont="1" applyFill="1" applyBorder="1" applyAlignment="1">
      <alignment horizontal="left" indent="2"/>
    </xf>
    <xf numFmtId="0" fontId="64" fillId="15" borderId="7" xfId="0" applyFont="1" applyFill="1" applyBorder="1" applyAlignment="1">
      <alignment horizontal="left" indent="4"/>
    </xf>
    <xf numFmtId="0" fontId="64" fillId="15" borderId="7" xfId="0" applyFont="1" applyFill="1" applyBorder="1" applyAlignment="1">
      <alignment horizontal="left" indent="6"/>
    </xf>
    <xf numFmtId="0" fontId="0" fillId="15" borderId="7" xfId="0" applyFill="1" applyBorder="1" applyAlignment="1">
      <alignment horizontal="left" indent="5"/>
    </xf>
    <xf numFmtId="0" fontId="0" fillId="15" borderId="164" xfId="0" applyFill="1" applyBorder="1" applyAlignment="1">
      <alignment horizontal="left" indent="5"/>
    </xf>
    <xf numFmtId="0" fontId="74" fillId="15" borderId="164" xfId="0" applyFont="1" applyFill="1" applyBorder="1"/>
    <xf numFmtId="0" fontId="0" fillId="15" borderId="164" xfId="0" applyFill="1" applyBorder="1"/>
    <xf numFmtId="166" fontId="99" fillId="15" borderId="164" xfId="0" applyNumberFormat="1" applyFont="1" applyFill="1" applyBorder="1"/>
    <xf numFmtId="166" fontId="99" fillId="15" borderId="163" xfId="0" applyNumberFormat="1" applyFont="1" applyFill="1" applyBorder="1"/>
    <xf numFmtId="1" fontId="74" fillId="15" borderId="0" xfId="0" applyNumberFormat="1" applyFont="1" applyFill="1"/>
    <xf numFmtId="166" fontId="71" fillId="15" borderId="163" xfId="0" applyNumberFormat="1" applyFont="1" applyFill="1" applyBorder="1"/>
    <xf numFmtId="3" fontId="71" fillId="15" borderId="164" xfId="0" applyNumberFormat="1" applyFont="1" applyFill="1" applyBorder="1"/>
    <xf numFmtId="0" fontId="0" fillId="15" borderId="164" xfId="0" applyFill="1" applyBorder="1" applyAlignment="1">
      <alignment horizontal="left" indent="7"/>
    </xf>
    <xf numFmtId="9" fontId="71" fillId="15" borderId="164" xfId="12" applyFont="1" applyFill="1" applyBorder="1"/>
    <xf numFmtId="3" fontId="311" fillId="15" borderId="164" xfId="0" applyNumberFormat="1" applyFont="1" applyFill="1" applyBorder="1"/>
    <xf numFmtId="9" fontId="311" fillId="15" borderId="164" xfId="12" applyFont="1" applyFill="1" applyBorder="1"/>
    <xf numFmtId="0" fontId="0" fillId="15" borderId="164" xfId="0" applyFill="1" applyBorder="1" applyAlignment="1">
      <alignment horizontal="left" indent="4"/>
    </xf>
    <xf numFmtId="0" fontId="0" fillId="15" borderId="164" xfId="0" applyFill="1" applyBorder="1" applyAlignment="1">
      <alignment horizontal="left" indent="2"/>
    </xf>
    <xf numFmtId="0" fontId="74" fillId="0" borderId="0" xfId="0" applyFont="1" applyAlignment="1">
      <alignment horizontal="left" indent="3"/>
    </xf>
    <xf numFmtId="0" fontId="74" fillId="15" borderId="164" xfId="0" applyFont="1" applyFill="1" applyBorder="1" applyAlignment="1">
      <alignment horizontal="left" indent="3"/>
    </xf>
    <xf numFmtId="0" fontId="0" fillId="15" borderId="164" xfId="0" applyFill="1" applyBorder="1" applyAlignment="1">
      <alignment horizontal="left" indent="3"/>
    </xf>
    <xf numFmtId="166" fontId="99" fillId="15" borderId="164" xfId="0" applyNumberFormat="1" applyFont="1" applyFill="1" applyBorder="1" applyAlignment="1">
      <alignment horizontal="left" indent="3"/>
    </xf>
    <xf numFmtId="166" fontId="99" fillId="15" borderId="163" xfId="0" applyNumberFormat="1" applyFont="1" applyFill="1" applyBorder="1" applyAlignment="1">
      <alignment horizontal="left" indent="3"/>
    </xf>
    <xf numFmtId="1" fontId="74" fillId="15" borderId="0" xfId="0" applyNumberFormat="1" applyFont="1" applyFill="1" applyAlignment="1">
      <alignment horizontal="left" indent="3"/>
    </xf>
    <xf numFmtId="166" fontId="71" fillId="15" borderId="10" xfId="0" applyNumberFormat="1" applyFont="1" applyFill="1" applyBorder="1" applyAlignment="1">
      <alignment horizontal="left" indent="3"/>
    </xf>
    <xf numFmtId="166" fontId="71" fillId="15" borderId="163" xfId="0" applyNumberFormat="1" applyFont="1" applyFill="1" applyBorder="1" applyAlignment="1">
      <alignment horizontal="left" indent="3"/>
    </xf>
    <xf numFmtId="3" fontId="71" fillId="15" borderId="164" xfId="0" applyNumberFormat="1" applyFont="1" applyFill="1" applyBorder="1" applyAlignment="1">
      <alignment horizontal="left" indent="3"/>
    </xf>
    <xf numFmtId="0" fontId="59" fillId="0" borderId="0" xfId="0" applyFont="1" applyAlignment="1">
      <alignment horizontal="left" indent="3"/>
    </xf>
    <xf numFmtId="164" fontId="71" fillId="15" borderId="7" xfId="17" applyFont="1" applyFill="1" applyBorder="1"/>
    <xf numFmtId="177" fontId="71" fillId="15" borderId="7" xfId="17" applyNumberFormat="1" applyFont="1" applyFill="1" applyBorder="1"/>
    <xf numFmtId="0" fontId="61" fillId="15" borderId="164" xfId="0" applyFont="1" applyFill="1" applyBorder="1"/>
    <xf numFmtId="164" fontId="311" fillId="15" borderId="164" xfId="17" applyFont="1" applyFill="1" applyBorder="1"/>
    <xf numFmtId="177" fontId="311" fillId="15" borderId="164" xfId="17" applyNumberFormat="1" applyFont="1" applyFill="1" applyBorder="1"/>
    <xf numFmtId="0" fontId="125" fillId="13" borderId="0" xfId="9" applyFont="1" applyFill="1" applyAlignment="1">
      <alignment horizontal="left" indent="6"/>
    </xf>
    <xf numFmtId="166" fontId="79" fillId="90" borderId="0" xfId="0" applyNumberFormat="1" applyFont="1" applyFill="1"/>
    <xf numFmtId="166" fontId="0" fillId="90" borderId="163" xfId="0" applyNumberFormat="1" applyFill="1" applyBorder="1"/>
    <xf numFmtId="166" fontId="85" fillId="90" borderId="169" xfId="0" applyNumberFormat="1" applyFont="1" applyFill="1" applyBorder="1"/>
    <xf numFmtId="0" fontId="226" fillId="62" borderId="0" xfId="9" applyFont="1" applyFill="1" applyAlignment="1">
      <alignment horizontal="left" indent="2"/>
    </xf>
    <xf numFmtId="0" fontId="0" fillId="18" borderId="164" xfId="0" applyFill="1" applyBorder="1" applyAlignment="1">
      <alignment horizontal="left" indent="1"/>
    </xf>
    <xf numFmtId="0" fontId="0" fillId="18" borderId="164" xfId="0" applyFill="1" applyBorder="1" applyAlignment="1">
      <alignment horizontal="left" indent="2"/>
    </xf>
    <xf numFmtId="0" fontId="200" fillId="56" borderId="0" xfId="0" applyFont="1" applyFill="1" applyAlignment="1">
      <alignment horizontal="left" indent="2"/>
    </xf>
    <xf numFmtId="0" fontId="200" fillId="56" borderId="164" xfId="0" applyFont="1" applyFill="1" applyBorder="1" applyAlignment="1">
      <alignment horizontal="left" indent="2"/>
    </xf>
    <xf numFmtId="0" fontId="226" fillId="62" borderId="0" xfId="9" applyFont="1" applyFill="1" applyAlignment="1">
      <alignment horizontal="left" indent="7"/>
    </xf>
    <xf numFmtId="0" fontId="200" fillId="56" borderId="0" xfId="0" applyFont="1" applyFill="1" applyAlignment="1">
      <alignment horizontal="left" indent="5"/>
    </xf>
    <xf numFmtId="0" fontId="0" fillId="18" borderId="164" xfId="0" applyFill="1" applyBorder="1" applyAlignment="1">
      <alignment horizontal="left" indent="5"/>
    </xf>
    <xf numFmtId="0" fontId="200" fillId="56" borderId="164" xfId="0" applyFont="1" applyFill="1" applyBorder="1" applyAlignment="1">
      <alignment horizontal="left" indent="5"/>
    </xf>
    <xf numFmtId="167" fontId="80" fillId="91" borderId="0" xfId="0" applyNumberFormat="1" applyFont="1" applyFill="1"/>
    <xf numFmtId="0" fontId="80" fillId="91" borderId="0" xfId="0" applyFont="1" applyFill="1"/>
    <xf numFmtId="0" fontId="262" fillId="92" borderId="23" xfId="0" applyFont="1" applyFill="1" applyBorder="1" applyAlignment="1">
      <alignment horizontal="left" indent="1"/>
    </xf>
    <xf numFmtId="167" fontId="80" fillId="91" borderId="0" xfId="0" applyNumberFormat="1" applyFont="1" applyFill="1" applyAlignment="1">
      <alignment horizontal="right"/>
    </xf>
    <xf numFmtId="167" fontId="80" fillId="91" borderId="20" xfId="0" applyNumberFormat="1" applyFont="1" applyFill="1" applyBorder="1" applyAlignment="1">
      <alignment horizontal="right"/>
    </xf>
    <xf numFmtId="167" fontId="80" fillId="91" borderId="43" xfId="0" applyNumberFormat="1" applyFont="1" applyFill="1" applyBorder="1" applyAlignment="1">
      <alignment horizontal="right"/>
    </xf>
    <xf numFmtId="167" fontId="80" fillId="91" borderId="10" xfId="0" applyNumberFormat="1" applyFont="1" applyFill="1" applyBorder="1" applyAlignment="1">
      <alignment horizontal="right"/>
    </xf>
    <xf numFmtId="0" fontId="123" fillId="91" borderId="0" xfId="0" applyFont="1" applyFill="1"/>
    <xf numFmtId="167" fontId="123" fillId="91" borderId="0" xfId="0" applyNumberFormat="1" applyFont="1" applyFill="1"/>
    <xf numFmtId="0" fontId="123" fillId="91" borderId="23" xfId="0" applyFont="1" applyFill="1" applyBorder="1" applyAlignment="1">
      <alignment horizontal="left" indent="1"/>
    </xf>
    <xf numFmtId="167" fontId="64" fillId="91" borderId="0" xfId="0" applyNumberFormat="1" applyFont="1" applyFill="1" applyAlignment="1">
      <alignment horizontal="right"/>
    </xf>
    <xf numFmtId="0" fontId="80" fillId="19" borderId="0" xfId="0" applyFont="1" applyFill="1"/>
    <xf numFmtId="167" fontId="80" fillId="19" borderId="20" xfId="0" applyNumberFormat="1" applyFont="1" applyFill="1" applyBorder="1" applyAlignment="1">
      <alignment horizontal="right"/>
    </xf>
    <xf numFmtId="167" fontId="80" fillId="19" borderId="43" xfId="0" applyNumberFormat="1" applyFont="1" applyFill="1" applyBorder="1" applyAlignment="1">
      <alignment horizontal="right"/>
    </xf>
    <xf numFmtId="167" fontId="80" fillId="19" borderId="10" xfId="0" applyNumberFormat="1" applyFont="1" applyFill="1" applyBorder="1" applyAlignment="1">
      <alignment horizontal="right"/>
    </xf>
    <xf numFmtId="0" fontId="123" fillId="19" borderId="0" xfId="0" applyFont="1" applyFill="1"/>
    <xf numFmtId="167" fontId="123" fillId="19" borderId="0" xfId="0" applyNumberFormat="1" applyFont="1" applyFill="1"/>
    <xf numFmtId="0" fontId="74" fillId="20" borderId="0" xfId="0" applyFont="1" applyFill="1" applyAlignment="1">
      <alignment horizontal="left"/>
    </xf>
    <xf numFmtId="0" fontId="74" fillId="20" borderId="0" xfId="0" applyFont="1" applyFill="1"/>
    <xf numFmtId="0" fontId="0" fillId="20" borderId="164" xfId="0" applyFill="1" applyBorder="1" applyAlignment="1">
      <alignment horizontal="right"/>
    </xf>
    <xf numFmtId="167" fontId="0" fillId="20" borderId="164" xfId="0" applyNumberFormat="1" applyFill="1" applyBorder="1" applyAlignment="1">
      <alignment horizontal="right"/>
    </xf>
    <xf numFmtId="0" fontId="61" fillId="20" borderId="164" xfId="0" applyFont="1" applyFill="1" applyBorder="1" applyAlignment="1">
      <alignment horizontal="left" indent="2"/>
    </xf>
    <xf numFmtId="168" fontId="67" fillId="29" borderId="0" xfId="12" applyNumberFormat="1" applyFont="1" applyFill="1" applyAlignment="1"/>
    <xf numFmtId="167" fontId="118" fillId="0" borderId="0" xfId="0" applyNumberFormat="1" applyFont="1" applyAlignment="1">
      <alignment horizontal="left" indent="3"/>
    </xf>
    <xf numFmtId="0" fontId="19" fillId="5" borderId="21" xfId="0" applyFont="1" applyFill="1" applyBorder="1" applyAlignment="1">
      <alignment horizontal="center" vertical="top"/>
    </xf>
    <xf numFmtId="0" fontId="9" fillId="5" borderId="21" xfId="0" applyFont="1" applyFill="1" applyBorder="1" applyAlignment="1">
      <alignment horizontal="center" vertical="top"/>
    </xf>
    <xf numFmtId="0" fontId="9" fillId="5" borderId="22" xfId="0" applyFont="1" applyFill="1" applyBorder="1" applyAlignment="1">
      <alignment horizontal="center" vertical="top"/>
    </xf>
    <xf numFmtId="0" fontId="19" fillId="5" borderId="0" xfId="0" applyFont="1" applyFill="1" applyAlignment="1">
      <alignment horizontal="center" vertical="top"/>
    </xf>
    <xf numFmtId="0" fontId="19" fillId="5" borderId="22" xfId="0" applyFont="1" applyFill="1" applyBorder="1" applyAlignment="1">
      <alignment horizontal="center" vertical="top"/>
    </xf>
    <xf numFmtId="0" fontId="67" fillId="5" borderId="0" xfId="0" applyFont="1" applyFill="1" applyAlignment="1">
      <alignment horizontal="center" vertical="top"/>
    </xf>
    <xf numFmtId="0" fontId="67" fillId="5" borderId="20" xfId="0" applyFont="1" applyFill="1" applyBorder="1" applyAlignment="1">
      <alignment horizontal="center" vertical="top"/>
    </xf>
    <xf numFmtId="0" fontId="10" fillId="5" borderId="23" xfId="0" applyFont="1" applyFill="1" applyBorder="1" applyAlignment="1">
      <alignment horizontal="center" vertical="top"/>
    </xf>
    <xf numFmtId="0" fontId="10" fillId="5" borderId="0" xfId="0" applyFont="1" applyFill="1" applyAlignment="1">
      <alignment horizontal="center" vertical="top"/>
    </xf>
    <xf numFmtId="166" fontId="10" fillId="5" borderId="23" xfId="0" applyNumberFormat="1" applyFont="1" applyFill="1" applyBorder="1" applyAlignment="1">
      <alignment horizontal="center" vertical="top"/>
    </xf>
    <xf numFmtId="166" fontId="10" fillId="5" borderId="0" xfId="0" applyNumberFormat="1" applyFont="1" applyFill="1" applyAlignment="1">
      <alignment horizontal="center" vertical="top"/>
    </xf>
    <xf numFmtId="166" fontId="9" fillId="5" borderId="23" xfId="0" applyNumberFormat="1" applyFont="1" applyFill="1" applyBorder="1" applyAlignment="1">
      <alignment horizontal="center" vertical="top"/>
    </xf>
    <xf numFmtId="166" fontId="9" fillId="5" borderId="0" xfId="0" applyNumberFormat="1" applyFont="1" applyFill="1" applyAlignment="1">
      <alignment horizontal="center" vertical="top"/>
    </xf>
    <xf numFmtId="2" fontId="9" fillId="5" borderId="23" xfId="0" applyNumberFormat="1" applyFont="1" applyFill="1" applyBorder="1" applyAlignment="1">
      <alignment horizontal="center" vertical="top"/>
    </xf>
    <xf numFmtId="2" fontId="9" fillId="5" borderId="0" xfId="0" applyNumberFormat="1" applyFont="1" applyFill="1" applyAlignment="1">
      <alignment horizontal="center" vertical="top"/>
    </xf>
    <xf numFmtId="1" fontId="10" fillId="5" borderId="23" xfId="0" applyNumberFormat="1" applyFont="1" applyFill="1" applyBorder="1" applyAlignment="1">
      <alignment horizontal="center" vertical="top"/>
    </xf>
    <xf numFmtId="1" fontId="10" fillId="5" borderId="0" xfId="0" applyNumberFormat="1" applyFont="1" applyFill="1" applyAlignment="1">
      <alignment horizontal="center" vertical="top"/>
    </xf>
    <xf numFmtId="2" fontId="10" fillId="5" borderId="23" xfId="0" applyNumberFormat="1" applyFont="1" applyFill="1" applyBorder="1" applyAlignment="1">
      <alignment horizontal="center" vertical="top"/>
    </xf>
    <xf numFmtId="2" fontId="10" fillId="5" borderId="0" xfId="0" applyNumberFormat="1" applyFont="1" applyFill="1" applyAlignment="1">
      <alignment horizontal="center" vertical="top"/>
    </xf>
    <xf numFmtId="0" fontId="10" fillId="5" borderId="24" xfId="0" applyFont="1" applyFill="1" applyBorder="1" applyAlignment="1">
      <alignment horizontal="center" vertical="top"/>
    </xf>
    <xf numFmtId="0" fontId="10" fillId="5" borderId="25" xfId="0" applyFont="1" applyFill="1" applyBorder="1" applyAlignment="1">
      <alignment horizontal="center" vertical="top"/>
    </xf>
    <xf numFmtId="0" fontId="74" fillId="0" borderId="0" xfId="0" applyFont="1" applyAlignment="1">
      <alignment horizontal="center" vertical="top" shrinkToFit="1"/>
    </xf>
    <xf numFmtId="0" fontId="74" fillId="0" borderId="0" xfId="0" applyFont="1" applyAlignment="1">
      <alignment horizontal="center" vertical="top"/>
    </xf>
    <xf numFmtId="0" fontId="67" fillId="5" borderId="26" xfId="0" applyFont="1" applyFill="1" applyBorder="1" applyAlignment="1">
      <alignment horizontal="center" vertical="top"/>
    </xf>
    <xf numFmtId="0" fontId="85" fillId="5" borderId="0" xfId="0" applyFont="1" applyFill="1" applyAlignment="1">
      <alignment horizontal="center" vertical="top"/>
    </xf>
    <xf numFmtId="0" fontId="59" fillId="0" borderId="0" xfId="0" applyFont="1" applyAlignment="1">
      <alignment horizontal="center" vertical="top"/>
    </xf>
    <xf numFmtId="0" fontId="314" fillId="61" borderId="0" xfId="0" applyFont="1" applyFill="1"/>
    <xf numFmtId="168" fontId="314" fillId="61" borderId="0" xfId="0" applyNumberFormat="1" applyFont="1" applyFill="1"/>
    <xf numFmtId="168" fontId="315" fillId="61" borderId="25" xfId="0" applyNumberFormat="1" applyFont="1" applyFill="1" applyBorder="1"/>
    <xf numFmtId="0" fontId="316" fillId="5" borderId="22" xfId="0" applyFont="1" applyFill="1" applyBorder="1" applyAlignment="1">
      <alignment horizontal="center" vertical="top"/>
    </xf>
    <xf numFmtId="0" fontId="317" fillId="5" borderId="0" xfId="0" applyFont="1" applyFill="1" applyAlignment="1">
      <alignment horizontal="center" vertical="top"/>
    </xf>
    <xf numFmtId="166" fontId="317" fillId="5" borderId="0" xfId="0" applyNumberFormat="1" applyFont="1" applyFill="1" applyAlignment="1">
      <alignment horizontal="center" vertical="top"/>
    </xf>
    <xf numFmtId="166" fontId="318" fillId="5" borderId="0" xfId="0" applyNumberFormat="1" applyFont="1" applyFill="1" applyAlignment="1">
      <alignment horizontal="center" vertical="top"/>
    </xf>
    <xf numFmtId="2" fontId="318" fillId="5" borderId="0" xfId="0" applyNumberFormat="1" applyFont="1" applyFill="1" applyAlignment="1">
      <alignment horizontal="center" vertical="top"/>
    </xf>
    <xf numFmtId="1" fontId="317" fillId="5" borderId="0" xfId="0" applyNumberFormat="1" applyFont="1" applyFill="1" applyAlignment="1">
      <alignment horizontal="center" vertical="top"/>
    </xf>
    <xf numFmtId="2" fontId="317" fillId="5" borderId="0" xfId="0" applyNumberFormat="1" applyFont="1" applyFill="1" applyAlignment="1">
      <alignment horizontal="center" vertical="top"/>
    </xf>
    <xf numFmtId="0" fontId="317" fillId="5" borderId="25" xfId="0" applyFont="1" applyFill="1" applyBorder="1" applyAlignment="1">
      <alignment horizontal="center" vertical="top"/>
    </xf>
    <xf numFmtId="0" fontId="251" fillId="47" borderId="96" xfId="0" applyFont="1" applyFill="1" applyBorder="1"/>
    <xf numFmtId="0" fontId="60" fillId="93" borderId="163" xfId="0" applyFont="1" applyFill="1" applyBorder="1"/>
    <xf numFmtId="0" fontId="83" fillId="93" borderId="163" xfId="0" applyFont="1" applyFill="1" applyBorder="1"/>
    <xf numFmtId="0" fontId="83" fillId="93" borderId="163" xfId="0" applyFont="1" applyFill="1" applyBorder="1" applyAlignment="1">
      <alignment horizontal="right"/>
    </xf>
    <xf numFmtId="0" fontId="83" fillId="93" borderId="164" xfId="0" applyFont="1" applyFill="1" applyBorder="1" applyAlignment="1">
      <alignment horizontal="right"/>
    </xf>
    <xf numFmtId="0" fontId="83" fillId="10" borderId="10" xfId="0" applyFont="1" applyFill="1" applyBorder="1"/>
    <xf numFmtId="0" fontId="83" fillId="10" borderId="164" xfId="0" applyFont="1" applyFill="1" applyBorder="1"/>
    <xf numFmtId="0" fontId="94" fillId="10" borderId="164" xfId="0" applyFont="1" applyFill="1" applyBorder="1" applyAlignment="1">
      <alignment horizontal="right"/>
    </xf>
    <xf numFmtId="168" fontId="0" fillId="93" borderId="164" xfId="0" applyNumberFormat="1" applyFill="1" applyBorder="1" applyAlignment="1">
      <alignment horizontal="right"/>
    </xf>
    <xf numFmtId="168" fontId="0" fillId="93" borderId="10" xfId="0" applyNumberFormat="1" applyFill="1" applyBorder="1" applyAlignment="1">
      <alignment horizontal="right"/>
    </xf>
    <xf numFmtId="168" fontId="0" fillId="10" borderId="164" xfId="0" applyNumberFormat="1" applyFill="1" applyBorder="1" applyAlignment="1">
      <alignment horizontal="right"/>
    </xf>
    <xf numFmtId="168" fontId="303" fillId="18" borderId="30" xfId="0" applyNumberFormat="1" applyFont="1" applyFill="1" applyBorder="1" applyAlignment="1">
      <alignment horizontal="right"/>
    </xf>
    <xf numFmtId="168" fontId="303" fillId="10" borderId="164" xfId="0" applyNumberFormat="1" applyFont="1" applyFill="1" applyBorder="1" applyAlignment="1">
      <alignment horizontal="right"/>
    </xf>
    <xf numFmtId="168" fontId="63" fillId="93" borderId="164" xfId="0" applyNumberFormat="1" applyFont="1" applyFill="1" applyBorder="1" applyAlignment="1">
      <alignment horizontal="right"/>
    </xf>
    <xf numFmtId="168" fontId="63" fillId="93" borderId="10" xfId="0" applyNumberFormat="1" applyFont="1" applyFill="1" applyBorder="1" applyAlignment="1">
      <alignment horizontal="right"/>
    </xf>
    <xf numFmtId="168" fontId="303" fillId="18" borderId="164" xfId="0" applyNumberFormat="1" applyFont="1" applyFill="1" applyBorder="1" applyAlignment="1">
      <alignment horizontal="right"/>
    </xf>
    <xf numFmtId="168" fontId="71" fillId="93" borderId="163" xfId="0" applyNumberFormat="1" applyFont="1" applyFill="1" applyBorder="1" applyAlignment="1">
      <alignment horizontal="right"/>
    </xf>
    <xf numFmtId="168" fontId="71" fillId="93" borderId="164" xfId="0" applyNumberFormat="1" applyFont="1" applyFill="1" applyBorder="1" applyAlignment="1">
      <alignment horizontal="right"/>
    </xf>
    <xf numFmtId="168" fontId="71" fillId="93" borderId="10" xfId="0" applyNumberFormat="1" applyFont="1" applyFill="1" applyBorder="1" applyAlignment="1">
      <alignment horizontal="right"/>
    </xf>
    <xf numFmtId="168" fontId="71" fillId="10" borderId="10" xfId="0" applyNumberFormat="1" applyFont="1" applyFill="1" applyBorder="1" applyAlignment="1">
      <alignment horizontal="right"/>
    </xf>
    <xf numFmtId="168" fontId="71" fillId="10" borderId="164" xfId="0" applyNumberFormat="1" applyFont="1" applyFill="1" applyBorder="1" applyAlignment="1">
      <alignment horizontal="right"/>
    </xf>
    <xf numFmtId="168" fontId="92" fillId="10" borderId="164" xfId="0" applyNumberFormat="1" applyFont="1" applyFill="1" applyBorder="1" applyAlignment="1">
      <alignment horizontal="right"/>
    </xf>
    <xf numFmtId="3" fontId="71" fillId="93" borderId="163" xfId="0" applyNumberFormat="1" applyFont="1" applyFill="1" applyBorder="1" applyAlignment="1">
      <alignment horizontal="right"/>
    </xf>
    <xf numFmtId="3" fontId="71" fillId="93" borderId="164" xfId="0" applyNumberFormat="1" applyFont="1" applyFill="1" applyBorder="1" applyAlignment="1">
      <alignment horizontal="right"/>
    </xf>
    <xf numFmtId="3" fontId="71" fillId="10" borderId="10" xfId="0" applyNumberFormat="1" applyFont="1" applyFill="1" applyBorder="1" applyAlignment="1">
      <alignment horizontal="right"/>
    </xf>
    <xf numFmtId="3" fontId="71" fillId="10" borderId="164" xfId="0" applyNumberFormat="1" applyFont="1" applyFill="1" applyBorder="1" applyAlignment="1">
      <alignment horizontal="right"/>
    </xf>
    <xf numFmtId="3" fontId="92" fillId="10" borderId="164" xfId="0" applyNumberFormat="1" applyFont="1" applyFill="1" applyBorder="1" applyAlignment="1">
      <alignment horizontal="right"/>
    </xf>
    <xf numFmtId="3" fontId="71" fillId="93" borderId="10" xfId="0" applyNumberFormat="1" applyFont="1" applyFill="1" applyBorder="1" applyAlignment="1">
      <alignment horizontal="right"/>
    </xf>
    <xf numFmtId="3" fontId="0" fillId="93" borderId="163" xfId="0" applyNumberFormat="1" applyFill="1" applyBorder="1" applyAlignment="1">
      <alignment horizontal="right"/>
    </xf>
    <xf numFmtId="1" fontId="0" fillId="93" borderId="163" xfId="0" applyNumberFormat="1" applyFill="1" applyBorder="1" applyAlignment="1">
      <alignment horizontal="right"/>
    </xf>
    <xf numFmtId="174" fontId="0" fillId="93" borderId="164" xfId="1" applyNumberFormat="1" applyFont="1" applyFill="1" applyBorder="1" applyAlignment="1">
      <alignment horizontal="right"/>
    </xf>
    <xf numFmtId="174" fontId="0" fillId="93" borderId="0" xfId="1" applyNumberFormat="1" applyFont="1" applyFill="1" applyBorder="1" applyAlignment="1">
      <alignment horizontal="right"/>
    </xf>
    <xf numFmtId="174" fontId="0" fillId="10" borderId="164" xfId="1" applyNumberFormat="1" applyFont="1" applyFill="1" applyBorder="1" applyAlignment="1">
      <alignment horizontal="right"/>
    </xf>
    <xf numFmtId="164" fontId="303" fillId="18" borderId="164" xfId="17" applyFont="1" applyFill="1" applyBorder="1" applyAlignment="1">
      <alignment horizontal="right"/>
    </xf>
    <xf numFmtId="174" fontId="303" fillId="18" borderId="164" xfId="1" applyNumberFormat="1" applyFont="1" applyFill="1" applyBorder="1" applyAlignment="1">
      <alignment horizontal="right"/>
    </xf>
    <xf numFmtId="3" fontId="63" fillId="93" borderId="163" xfId="0" applyNumberFormat="1" applyFont="1" applyFill="1" applyBorder="1" applyAlignment="1">
      <alignment horizontal="right"/>
    </xf>
    <xf numFmtId="1" fontId="63" fillId="93" borderId="163" xfId="0" applyNumberFormat="1" applyFont="1" applyFill="1" applyBorder="1" applyAlignment="1">
      <alignment horizontal="right"/>
    </xf>
    <xf numFmtId="1" fontId="63" fillId="93" borderId="164" xfId="0" applyNumberFormat="1" applyFont="1" applyFill="1" applyBorder="1" applyAlignment="1">
      <alignment horizontal="right"/>
    </xf>
    <xf numFmtId="1" fontId="63" fillId="93" borderId="10" xfId="0" applyNumberFormat="1" applyFont="1" applyFill="1" applyBorder="1" applyAlignment="1">
      <alignment horizontal="right"/>
    </xf>
    <xf numFmtId="1" fontId="303" fillId="10" borderId="164" xfId="0" applyNumberFormat="1" applyFont="1" applyFill="1" applyBorder="1" applyAlignment="1">
      <alignment horizontal="right"/>
    </xf>
    <xf numFmtId="174" fontId="63" fillId="93" borderId="163" xfId="1" applyNumberFormat="1" applyFont="1" applyFill="1" applyBorder="1" applyAlignment="1">
      <alignment horizontal="right"/>
    </xf>
    <xf numFmtId="168" fontId="0" fillId="93" borderId="163" xfId="0" applyNumberFormat="1" applyFill="1" applyBorder="1" applyAlignment="1">
      <alignment horizontal="right"/>
    </xf>
    <xf numFmtId="168" fontId="0" fillId="10" borderId="10" xfId="0" applyNumberFormat="1" applyFill="1" applyBorder="1" applyAlignment="1">
      <alignment horizontal="right"/>
    </xf>
    <xf numFmtId="168" fontId="0" fillId="93" borderId="164" xfId="0" applyNumberFormat="1" applyFill="1" applyBorder="1"/>
    <xf numFmtId="168" fontId="0" fillId="10" borderId="10" xfId="0" applyNumberFormat="1" applyFill="1" applyBorder="1"/>
    <xf numFmtId="168" fontId="0" fillId="10" borderId="164" xfId="0" applyNumberFormat="1" applyFill="1" applyBorder="1"/>
    <xf numFmtId="1" fontId="0" fillId="93" borderId="164" xfId="0" applyNumberFormat="1" applyFill="1" applyBorder="1"/>
    <xf numFmtId="1" fontId="0" fillId="93" borderId="164" xfId="0" applyNumberFormat="1" applyFill="1" applyBorder="1" applyAlignment="1">
      <alignment horizontal="right"/>
    </xf>
    <xf numFmtId="1" fontId="0" fillId="10" borderId="10" xfId="0" applyNumberFormat="1" applyFill="1" applyBorder="1"/>
    <xf numFmtId="1" fontId="0" fillId="10" borderId="164" xfId="0" applyNumberFormat="1" applyFill="1" applyBorder="1"/>
    <xf numFmtId="3" fontId="0" fillId="93" borderId="164" xfId="0" applyNumberFormat="1" applyFill="1" applyBorder="1" applyAlignment="1">
      <alignment horizontal="right"/>
    </xf>
    <xf numFmtId="3" fontId="0" fillId="10" borderId="10" xfId="0" applyNumberFormat="1" applyFill="1" applyBorder="1" applyAlignment="1">
      <alignment horizontal="right"/>
    </xf>
    <xf numFmtId="3" fontId="0" fillId="10" borderId="164" xfId="0" applyNumberFormat="1" applyFill="1" applyBorder="1" applyAlignment="1">
      <alignment horizontal="right"/>
    </xf>
    <xf numFmtId="3" fontId="303" fillId="10" borderId="164" xfId="0" applyNumberFormat="1" applyFont="1" applyFill="1" applyBorder="1" applyAlignment="1">
      <alignment horizontal="right"/>
    </xf>
    <xf numFmtId="3" fontId="0" fillId="93" borderId="10" xfId="0" applyNumberFormat="1" applyFill="1" applyBorder="1" applyAlignment="1">
      <alignment horizontal="right"/>
    </xf>
    <xf numFmtId="3" fontId="303" fillId="18" borderId="10" xfId="0" applyNumberFormat="1" applyFont="1" applyFill="1" applyBorder="1" applyAlignment="1">
      <alignment horizontal="right"/>
    </xf>
    <xf numFmtId="3" fontId="77" fillId="93" borderId="164" xfId="0" applyNumberFormat="1" applyFont="1" applyFill="1" applyBorder="1" applyAlignment="1">
      <alignment horizontal="right"/>
    </xf>
    <xf numFmtId="168" fontId="71" fillId="93" borderId="164" xfId="0" applyNumberFormat="1" applyFont="1" applyFill="1" applyBorder="1"/>
    <xf numFmtId="168" fontId="71" fillId="10" borderId="164" xfId="0" applyNumberFormat="1" applyFont="1" applyFill="1" applyBorder="1"/>
    <xf numFmtId="168" fontId="71" fillId="93" borderId="163" xfId="0" applyNumberFormat="1" applyFont="1" applyFill="1" applyBorder="1"/>
    <xf numFmtId="168" fontId="71" fillId="93" borderId="36" xfId="0" applyNumberFormat="1" applyFont="1" applyFill="1" applyBorder="1"/>
    <xf numFmtId="168" fontId="71" fillId="93" borderId="36" xfId="0" applyNumberFormat="1" applyFont="1" applyFill="1" applyBorder="1" applyAlignment="1">
      <alignment horizontal="right"/>
    </xf>
    <xf numFmtId="168" fontId="71" fillId="93" borderId="33" xfId="0" applyNumberFormat="1" applyFont="1" applyFill="1" applyBorder="1" applyAlignment="1">
      <alignment horizontal="right"/>
    </xf>
    <xf numFmtId="168" fontId="71" fillId="10" borderId="33" xfId="0" applyNumberFormat="1" applyFont="1" applyFill="1" applyBorder="1"/>
    <xf numFmtId="168" fontId="92" fillId="10" borderId="33" xfId="0" applyNumberFormat="1" applyFont="1" applyFill="1" applyBorder="1" applyAlignment="1">
      <alignment horizontal="right"/>
    </xf>
    <xf numFmtId="0" fontId="94" fillId="0" borderId="26" xfId="0" applyFont="1" applyBorder="1"/>
    <xf numFmtId="0" fontId="91" fillId="0" borderId="26" xfId="0" applyFont="1" applyBorder="1"/>
    <xf numFmtId="0" fontId="91" fillId="0" borderId="0" xfId="0" applyFont="1" applyAlignment="1">
      <alignment vertical="top"/>
    </xf>
    <xf numFmtId="0" fontId="91" fillId="0" borderId="26" xfId="0" applyFont="1" applyBorder="1" applyAlignment="1">
      <alignment vertical="top"/>
    </xf>
    <xf numFmtId="0" fontId="75" fillId="0" borderId="0" xfId="0" applyFont="1" applyAlignment="1">
      <alignment horizontal="left"/>
    </xf>
    <xf numFmtId="0" fontId="124" fillId="30" borderId="10" xfId="9" applyFont="1" applyFill="1" applyBorder="1" applyAlignment="1"/>
    <xf numFmtId="0" fontId="125" fillId="30" borderId="10" xfId="9" applyFont="1" applyFill="1" applyBorder="1" applyAlignment="1"/>
    <xf numFmtId="166" fontId="67" fillId="30" borderId="10" xfId="9" applyNumberFormat="1" applyFont="1" applyFill="1" applyBorder="1" applyAlignment="1">
      <alignment horizontal="left" indent="2"/>
    </xf>
    <xf numFmtId="0" fontId="125" fillId="30" borderId="10" xfId="9" applyFont="1" applyFill="1" applyBorder="1" applyAlignment="1">
      <alignment horizontal="left" indent="2"/>
    </xf>
    <xf numFmtId="0" fontId="125" fillId="30" borderId="10" xfId="9" applyFont="1" applyFill="1" applyBorder="1" applyAlignment="1">
      <alignment horizontal="left"/>
    </xf>
    <xf numFmtId="0" fontId="125" fillId="30" borderId="10" xfId="9" applyFont="1" applyFill="1" applyBorder="1" applyAlignment="1">
      <alignment horizontal="left" indent="1"/>
    </xf>
    <xf numFmtId="0" fontId="183" fillId="30" borderId="10" xfId="9" applyFont="1" applyFill="1" applyBorder="1" applyAlignment="1">
      <alignment horizontal="left" indent="1"/>
    </xf>
    <xf numFmtId="0" fontId="123" fillId="30" borderId="10" xfId="0" applyFont="1" applyFill="1" applyBorder="1" applyAlignment="1">
      <alignment horizontal="left" indent="1"/>
    </xf>
    <xf numFmtId="0" fontId="183" fillId="30" borderId="10" xfId="9" applyFont="1" applyFill="1" applyBorder="1" applyAlignment="1"/>
    <xf numFmtId="0" fontId="124" fillId="30" borderId="175" xfId="9" applyFont="1" applyFill="1" applyBorder="1" applyAlignment="1"/>
    <xf numFmtId="0" fontId="123" fillId="30" borderId="34" xfId="0" applyFont="1" applyFill="1" applyBorder="1" applyAlignment="1">
      <alignment horizontal="left" indent="1"/>
    </xf>
    <xf numFmtId="0" fontId="124" fillId="29" borderId="34" xfId="9" applyFont="1" applyFill="1" applyBorder="1" applyAlignment="1"/>
    <xf numFmtId="0" fontId="123" fillId="29" borderId="34" xfId="0" applyFont="1" applyFill="1" applyBorder="1" applyAlignment="1">
      <alignment horizontal="left" indent="1"/>
    </xf>
    <xf numFmtId="0" fontId="124" fillId="18" borderId="34" xfId="9" applyFont="1" applyFill="1" applyBorder="1" applyAlignment="1"/>
    <xf numFmtId="0" fontId="123" fillId="18" borderId="176" xfId="0" applyFont="1" applyFill="1" applyBorder="1" applyAlignment="1">
      <alignment horizontal="left" indent="1"/>
    </xf>
    <xf numFmtId="0" fontId="110" fillId="19" borderId="10" xfId="0" applyFont="1" applyFill="1" applyBorder="1" applyAlignment="1">
      <alignment horizontal="left" indent="1"/>
    </xf>
    <xf numFmtId="0" fontId="123" fillId="19" borderId="10" xfId="0" applyFont="1" applyFill="1" applyBorder="1" applyAlignment="1">
      <alignment horizontal="left" indent="1"/>
    </xf>
    <xf numFmtId="0" fontId="124" fillId="17" borderId="34" xfId="9" applyFont="1" applyFill="1" applyBorder="1" applyAlignment="1"/>
    <xf numFmtId="0" fontId="123" fillId="73" borderId="34" xfId="0" applyFont="1" applyFill="1" applyBorder="1" applyAlignment="1">
      <alignment horizontal="left" indent="1"/>
    </xf>
    <xf numFmtId="0" fontId="110" fillId="17" borderId="177" xfId="0" applyFont="1" applyFill="1" applyBorder="1" applyAlignment="1">
      <alignment horizontal="left"/>
    </xf>
    <xf numFmtId="0" fontId="110" fillId="65" borderId="178" xfId="0" applyFont="1" applyFill="1" applyBorder="1" applyAlignment="1">
      <alignment horizontal="left"/>
    </xf>
    <xf numFmtId="0" fontId="183" fillId="13" borderId="10" xfId="9" applyFont="1" applyFill="1" applyBorder="1" applyAlignment="1">
      <alignment horizontal="left" indent="5"/>
    </xf>
    <xf numFmtId="0" fontId="123" fillId="30" borderId="131" xfId="0" applyFont="1" applyFill="1" applyBorder="1"/>
    <xf numFmtId="0" fontId="123" fillId="29" borderId="10" xfId="0" applyFont="1" applyFill="1" applyBorder="1"/>
    <xf numFmtId="0" fontId="183" fillId="30" borderId="10" xfId="9" applyFont="1" applyFill="1" applyBorder="1" applyAlignment="1">
      <alignment horizontal="left" indent="3"/>
    </xf>
    <xf numFmtId="0" fontId="183" fillId="30" borderId="10" xfId="9" applyFont="1" applyFill="1" applyBorder="1" applyAlignment="1">
      <alignment horizontal="left" indent="5"/>
    </xf>
    <xf numFmtId="166" fontId="79" fillId="30" borderId="10" xfId="9" applyNumberFormat="1" applyFont="1" applyFill="1" applyBorder="1" applyAlignment="1"/>
    <xf numFmtId="0" fontId="125" fillId="29" borderId="34" xfId="9" applyFont="1" applyFill="1" applyBorder="1" applyAlignment="1"/>
    <xf numFmtId="0" fontId="123" fillId="18" borderId="34" xfId="0" applyFont="1" applyFill="1" applyBorder="1" applyAlignment="1">
      <alignment horizontal="left" indent="1"/>
    </xf>
    <xf numFmtId="0" fontId="124" fillId="19" borderId="34" xfId="9" applyFont="1" applyFill="1" applyBorder="1" applyAlignment="1"/>
    <xf numFmtId="0" fontId="123" fillId="19" borderId="34" xfId="0" applyFont="1" applyFill="1" applyBorder="1" applyAlignment="1">
      <alignment horizontal="left" indent="1"/>
    </xf>
    <xf numFmtId="167" fontId="72" fillId="17" borderId="10" xfId="0" applyNumberFormat="1" applyFont="1" applyFill="1" applyBorder="1"/>
    <xf numFmtId="0" fontId="123" fillId="30" borderId="10" xfId="0" applyFont="1" applyFill="1" applyBorder="1"/>
    <xf numFmtId="168" fontId="71" fillId="15" borderId="7" xfId="12" applyNumberFormat="1" applyFont="1" applyFill="1" applyBorder="1"/>
    <xf numFmtId="0" fontId="59" fillId="0" borderId="0" xfId="0" applyFont="1" applyAlignment="1">
      <alignment horizontal="right"/>
    </xf>
    <xf numFmtId="0" fontId="316" fillId="5" borderId="22" xfId="0" applyFont="1" applyFill="1" applyBorder="1" applyAlignment="1">
      <alignment horizontal="right" vertical="top"/>
    </xf>
    <xf numFmtId="0" fontId="317" fillId="5" borderId="0" xfId="0" applyFont="1" applyFill="1" applyAlignment="1">
      <alignment horizontal="right" vertical="top"/>
    </xf>
    <xf numFmtId="166" fontId="317" fillId="5" borderId="0" xfId="0" applyNumberFormat="1" applyFont="1" applyFill="1" applyAlignment="1">
      <alignment horizontal="right" vertical="top"/>
    </xf>
    <xf numFmtId="166" fontId="318" fillId="5" borderId="0" xfId="0" applyNumberFormat="1" applyFont="1" applyFill="1" applyAlignment="1">
      <alignment horizontal="right" vertical="top"/>
    </xf>
    <xf numFmtId="2" fontId="318" fillId="5" borderId="0" xfId="0" applyNumberFormat="1" applyFont="1" applyFill="1" applyAlignment="1">
      <alignment horizontal="right" vertical="top"/>
    </xf>
    <xf numFmtId="1" fontId="317" fillId="5" borderId="0" xfId="0" applyNumberFormat="1" applyFont="1" applyFill="1" applyAlignment="1">
      <alignment horizontal="right" vertical="top"/>
    </xf>
    <xf numFmtId="2" fontId="317" fillId="5" borderId="0" xfId="0" applyNumberFormat="1" applyFont="1" applyFill="1" applyAlignment="1">
      <alignment horizontal="right" vertical="top"/>
    </xf>
    <xf numFmtId="0" fontId="317" fillId="5" borderId="25" xfId="0" applyFont="1" applyFill="1" applyBorder="1" applyAlignment="1">
      <alignment horizontal="right" vertical="top"/>
    </xf>
    <xf numFmtId="0" fontId="314" fillId="61" borderId="0" xfId="0" applyFont="1" applyFill="1" applyAlignment="1">
      <alignment horizontal="right"/>
    </xf>
    <xf numFmtId="168" fontId="314" fillId="61" borderId="0" xfId="0" applyNumberFormat="1" applyFont="1" applyFill="1" applyAlignment="1">
      <alignment horizontal="right"/>
    </xf>
    <xf numFmtId="168" fontId="315" fillId="61" borderId="25" xfId="0" applyNumberFormat="1" applyFont="1" applyFill="1" applyBorder="1" applyAlignment="1">
      <alignment horizontal="right"/>
    </xf>
    <xf numFmtId="0" fontId="70" fillId="90" borderId="0" xfId="0" applyFont="1" applyFill="1" applyAlignment="1">
      <alignment horizontal="right"/>
    </xf>
    <xf numFmtId="166" fontId="65" fillId="90" borderId="0" xfId="0" applyNumberFormat="1" applyFont="1" applyFill="1" applyAlignment="1">
      <alignment horizontal="right"/>
    </xf>
    <xf numFmtId="166" fontId="79" fillId="90" borderId="0" xfId="0" applyNumberFormat="1" applyFont="1" applyFill="1" applyAlignment="1">
      <alignment horizontal="right"/>
    </xf>
    <xf numFmtId="166" fontId="0" fillId="90" borderId="169" xfId="0" applyNumberFormat="1" applyFill="1" applyBorder="1" applyAlignment="1">
      <alignment horizontal="right"/>
    </xf>
    <xf numFmtId="168" fontId="91" fillId="90" borderId="0" xfId="0" applyNumberFormat="1" applyFont="1" applyFill="1" applyAlignment="1">
      <alignment horizontal="right"/>
    </xf>
    <xf numFmtId="166" fontId="0" fillId="90" borderId="0" xfId="0" applyNumberFormat="1" applyFill="1" applyAlignment="1">
      <alignment horizontal="right"/>
    </xf>
    <xf numFmtId="166" fontId="63" fillId="90" borderId="0" xfId="0" applyNumberFormat="1" applyFont="1" applyFill="1" applyAlignment="1">
      <alignment horizontal="right"/>
    </xf>
    <xf numFmtId="166" fontId="60" fillId="90" borderId="169" xfId="0" applyNumberFormat="1" applyFont="1" applyFill="1" applyBorder="1" applyAlignment="1">
      <alignment horizontal="right"/>
    </xf>
    <xf numFmtId="166" fontId="0" fillId="90" borderId="103" xfId="0" applyNumberFormat="1" applyFill="1" applyBorder="1" applyAlignment="1">
      <alignment horizontal="right"/>
    </xf>
    <xf numFmtId="166" fontId="60" fillId="90" borderId="0" xfId="0" applyNumberFormat="1" applyFont="1" applyFill="1" applyAlignment="1">
      <alignment horizontal="right"/>
    </xf>
    <xf numFmtId="1" fontId="60" fillId="90" borderId="0" xfId="0" applyNumberFormat="1" applyFont="1" applyFill="1" applyAlignment="1">
      <alignment horizontal="right"/>
    </xf>
    <xf numFmtId="1" fontId="0" fillId="90" borderId="0" xfId="0" applyNumberFormat="1" applyFill="1" applyAlignment="1">
      <alignment horizontal="right"/>
    </xf>
    <xf numFmtId="1" fontId="64" fillId="90" borderId="0" xfId="0" applyNumberFormat="1" applyFont="1" applyFill="1" applyAlignment="1">
      <alignment horizontal="right"/>
    </xf>
    <xf numFmtId="168" fontId="0" fillId="90" borderId="0" xfId="0" applyNumberFormat="1" applyFill="1" applyAlignment="1">
      <alignment horizontal="right"/>
    </xf>
    <xf numFmtId="166" fontId="76" fillId="90" borderId="0" xfId="0" applyNumberFormat="1" applyFont="1" applyFill="1" applyAlignment="1">
      <alignment horizontal="right"/>
    </xf>
    <xf numFmtId="1" fontId="237" fillId="60" borderId="7" xfId="0" applyNumberFormat="1" applyFont="1" applyFill="1" applyBorder="1" applyAlignment="1">
      <alignment horizontal="right"/>
    </xf>
    <xf numFmtId="174" fontId="286" fillId="9" borderId="7" xfId="1" applyNumberFormat="1" applyFont="1" applyFill="1" applyBorder="1" applyAlignment="1">
      <alignment horizontal="right"/>
    </xf>
    <xf numFmtId="0" fontId="82" fillId="35" borderId="7" xfId="0" applyFont="1" applyFill="1" applyBorder="1" applyAlignment="1">
      <alignment horizontal="right"/>
    </xf>
    <xf numFmtId="1" fontId="0" fillId="35" borderId="7" xfId="0" applyNumberFormat="1" applyFill="1" applyBorder="1" applyAlignment="1">
      <alignment horizontal="right"/>
    </xf>
    <xf numFmtId="1" fontId="0" fillId="35" borderId="10" xfId="0" applyNumberFormat="1" applyFill="1" applyBorder="1" applyAlignment="1">
      <alignment horizontal="right"/>
    </xf>
    <xf numFmtId="1" fontId="0" fillId="35" borderId="7" xfId="0" applyNumberFormat="1" applyFill="1" applyBorder="1" applyAlignment="1" applyProtection="1">
      <alignment horizontal="right"/>
      <protection locked="0"/>
    </xf>
    <xf numFmtId="1" fontId="71" fillId="35" borderId="7" xfId="0" applyNumberFormat="1" applyFont="1" applyFill="1" applyBorder="1" applyAlignment="1">
      <alignment horizontal="right"/>
    </xf>
    <xf numFmtId="1" fontId="0" fillId="88" borderId="7" xfId="0" applyNumberFormat="1" applyFill="1" applyBorder="1" applyAlignment="1">
      <alignment horizontal="right"/>
    </xf>
    <xf numFmtId="1" fontId="64" fillId="88" borderId="164" xfId="0" applyNumberFormat="1" applyFont="1" applyFill="1" applyBorder="1" applyAlignment="1">
      <alignment horizontal="right"/>
    </xf>
    <xf numFmtId="1" fontId="0" fillId="88" borderId="164" xfId="0" applyNumberFormat="1" applyFill="1" applyBorder="1" applyAlignment="1">
      <alignment horizontal="right"/>
    </xf>
    <xf numFmtId="166" fontId="0" fillId="35" borderId="164" xfId="0" applyNumberFormat="1" applyFill="1" applyBorder="1" applyAlignment="1">
      <alignment horizontal="right"/>
    </xf>
    <xf numFmtId="1" fontId="0" fillId="35" borderId="164" xfId="0" applyNumberFormat="1" applyFill="1" applyBorder="1" applyAlignment="1">
      <alignment horizontal="right"/>
    </xf>
    <xf numFmtId="9" fontId="59" fillId="0" borderId="0" xfId="12" applyFont="1" applyAlignment="1">
      <alignment horizontal="right"/>
    </xf>
    <xf numFmtId="1" fontId="71" fillId="15" borderId="7" xfId="0" applyNumberFormat="1" applyFont="1" applyFill="1" applyBorder="1" applyAlignment="1">
      <alignment horizontal="right"/>
    </xf>
    <xf numFmtId="168" fontId="71" fillId="15" borderId="7" xfId="0" applyNumberFormat="1" applyFont="1" applyFill="1" applyBorder="1" applyAlignment="1">
      <alignment horizontal="right"/>
    </xf>
    <xf numFmtId="168" fontId="75" fillId="15" borderId="7" xfId="0" applyNumberFormat="1" applyFont="1" applyFill="1" applyBorder="1" applyAlignment="1">
      <alignment horizontal="right"/>
    </xf>
    <xf numFmtId="166" fontId="193" fillId="15" borderId="78" xfId="0" applyNumberFormat="1" applyFont="1" applyFill="1" applyBorder="1" applyAlignment="1">
      <alignment horizontal="right"/>
    </xf>
    <xf numFmtId="1" fontId="86" fillId="15" borderId="7" xfId="0" applyNumberFormat="1" applyFont="1" applyFill="1" applyBorder="1" applyAlignment="1">
      <alignment horizontal="right"/>
    </xf>
    <xf numFmtId="1" fontId="86" fillId="15" borderId="84" xfId="0" applyNumberFormat="1" applyFont="1" applyFill="1" applyBorder="1" applyAlignment="1">
      <alignment horizontal="right"/>
    </xf>
    <xf numFmtId="166" fontId="86" fillId="15" borderId="104" xfId="0" applyNumberFormat="1" applyFont="1" applyFill="1" applyBorder="1" applyAlignment="1">
      <alignment horizontal="right"/>
    </xf>
    <xf numFmtId="166" fontId="86" fillId="15" borderId="26" xfId="0" applyNumberFormat="1" applyFont="1" applyFill="1" applyBorder="1" applyAlignment="1">
      <alignment horizontal="right"/>
    </xf>
    <xf numFmtId="166" fontId="64" fillId="15" borderId="37" xfId="0" applyNumberFormat="1" applyFont="1" applyFill="1" applyBorder="1" applyAlignment="1">
      <alignment horizontal="right"/>
    </xf>
    <xf numFmtId="166" fontId="64" fillId="15" borderId="38" xfId="0" applyNumberFormat="1" applyFont="1" applyFill="1" applyBorder="1" applyAlignment="1">
      <alignment horizontal="right"/>
    </xf>
    <xf numFmtId="2" fontId="71" fillId="15" borderId="7" xfId="0" applyNumberFormat="1" applyFont="1" applyFill="1" applyBorder="1" applyAlignment="1">
      <alignment horizontal="right"/>
    </xf>
    <xf numFmtId="10" fontId="71" fillId="15" borderId="7" xfId="0" applyNumberFormat="1" applyFont="1" applyFill="1" applyBorder="1" applyAlignment="1">
      <alignment horizontal="right"/>
    </xf>
    <xf numFmtId="2" fontId="97" fillId="15" borderId="7" xfId="0" applyNumberFormat="1" applyFont="1" applyFill="1" applyBorder="1" applyAlignment="1">
      <alignment horizontal="right"/>
    </xf>
    <xf numFmtId="166" fontId="99" fillId="15" borderId="7" xfId="0" applyNumberFormat="1" applyFont="1" applyFill="1" applyBorder="1" applyAlignment="1">
      <alignment horizontal="right"/>
    </xf>
    <xf numFmtId="168" fontId="97" fillId="15" borderId="7" xfId="0" applyNumberFormat="1" applyFont="1" applyFill="1" applyBorder="1" applyAlignment="1">
      <alignment horizontal="right"/>
    </xf>
    <xf numFmtId="1" fontId="100" fillId="15" borderId="7" xfId="0" applyNumberFormat="1" applyFont="1" applyFill="1" applyBorder="1" applyAlignment="1">
      <alignment horizontal="right"/>
    </xf>
    <xf numFmtId="168" fontId="92" fillId="15" borderId="7" xfId="0" applyNumberFormat="1" applyFont="1" applyFill="1" applyBorder="1" applyAlignment="1">
      <alignment horizontal="right"/>
    </xf>
    <xf numFmtId="1" fontId="63" fillId="15" borderId="7" xfId="0" applyNumberFormat="1" applyFont="1" applyFill="1" applyBorder="1" applyAlignment="1">
      <alignment horizontal="right"/>
    </xf>
    <xf numFmtId="1" fontId="85" fillId="15" borderId="7" xfId="0" applyNumberFormat="1" applyFont="1" applyFill="1" applyBorder="1" applyAlignment="1">
      <alignment horizontal="right"/>
    </xf>
    <xf numFmtId="168" fontId="89" fillId="15" borderId="7" xfId="0" applyNumberFormat="1" applyFont="1" applyFill="1" applyBorder="1" applyAlignment="1">
      <alignment horizontal="right"/>
    </xf>
    <xf numFmtId="1" fontId="92" fillId="15" borderId="7" xfId="0" applyNumberFormat="1" applyFont="1" applyFill="1" applyBorder="1" applyAlignment="1">
      <alignment horizontal="right"/>
    </xf>
    <xf numFmtId="1" fontId="142" fillId="15" borderId="7" xfId="0" applyNumberFormat="1" applyFont="1" applyFill="1" applyBorder="1" applyAlignment="1">
      <alignment horizontal="right"/>
    </xf>
    <xf numFmtId="166" fontId="71" fillId="15" borderId="7" xfId="0" applyNumberFormat="1" applyFont="1" applyFill="1" applyBorder="1" applyAlignment="1">
      <alignment horizontal="right"/>
    </xf>
    <xf numFmtId="166" fontId="142" fillId="15" borderId="7" xfId="0" applyNumberFormat="1" applyFont="1" applyFill="1" applyBorder="1" applyAlignment="1">
      <alignment horizontal="right"/>
    </xf>
    <xf numFmtId="168" fontId="97" fillId="15" borderId="34" xfId="0" applyNumberFormat="1" applyFont="1" applyFill="1" applyBorder="1" applyAlignment="1">
      <alignment horizontal="right"/>
    </xf>
    <xf numFmtId="168" fontId="97" fillId="15" borderId="10" xfId="0" applyNumberFormat="1" applyFont="1" applyFill="1" applyBorder="1" applyAlignment="1">
      <alignment horizontal="right"/>
    </xf>
    <xf numFmtId="2" fontId="97" fillId="15" borderId="10" xfId="0" applyNumberFormat="1" applyFont="1" applyFill="1" applyBorder="1" applyAlignment="1">
      <alignment horizontal="right"/>
    </xf>
    <xf numFmtId="9" fontId="97" fillId="15" borderId="7" xfId="0" applyNumberFormat="1" applyFont="1" applyFill="1" applyBorder="1" applyAlignment="1">
      <alignment horizontal="right"/>
    </xf>
    <xf numFmtId="166" fontId="97" fillId="15" borderId="7" xfId="0" applyNumberFormat="1" applyFont="1" applyFill="1" applyBorder="1" applyAlignment="1">
      <alignment horizontal="right"/>
    </xf>
    <xf numFmtId="2" fontId="92" fillId="18" borderId="7" xfId="0" applyNumberFormat="1" applyFont="1" applyFill="1" applyBorder="1" applyAlignment="1">
      <alignment horizontal="right"/>
    </xf>
    <xf numFmtId="166" fontId="92" fillId="15" borderId="7" xfId="0" applyNumberFormat="1" applyFont="1" applyFill="1" applyBorder="1" applyAlignment="1">
      <alignment horizontal="right"/>
    </xf>
    <xf numFmtId="168" fontId="0" fillId="15" borderId="7" xfId="0" applyNumberFormat="1" applyFill="1" applyBorder="1" applyAlignment="1">
      <alignment horizontal="right"/>
    </xf>
    <xf numFmtId="168" fontId="97" fillId="15" borderId="29" xfId="0" applyNumberFormat="1" applyFont="1" applyFill="1" applyBorder="1" applyAlignment="1">
      <alignment horizontal="right"/>
    </xf>
    <xf numFmtId="168" fontId="97" fillId="15" borderId="41" xfId="0" applyNumberFormat="1" applyFont="1" applyFill="1" applyBorder="1" applyAlignment="1">
      <alignment horizontal="right"/>
    </xf>
    <xf numFmtId="168" fontId="97" fillId="15" borderId="0" xfId="0" applyNumberFormat="1" applyFont="1" applyFill="1" applyAlignment="1">
      <alignment horizontal="right"/>
    </xf>
    <xf numFmtId="168" fontId="86" fillId="15" borderId="7" xfId="0" applyNumberFormat="1" applyFont="1" applyFill="1" applyBorder="1" applyAlignment="1">
      <alignment horizontal="right"/>
    </xf>
    <xf numFmtId="166" fontId="86" fillId="15" borderId="7" xfId="0" applyNumberFormat="1" applyFont="1" applyFill="1" applyBorder="1" applyAlignment="1">
      <alignment horizontal="right"/>
    </xf>
    <xf numFmtId="166" fontId="85" fillId="15" borderId="7" xfId="0" applyNumberFormat="1" applyFont="1" applyFill="1" applyBorder="1" applyAlignment="1">
      <alignment horizontal="right"/>
    </xf>
    <xf numFmtId="2" fontId="86" fillId="18" borderId="7" xfId="0" applyNumberFormat="1" applyFont="1" applyFill="1" applyBorder="1" applyAlignment="1">
      <alignment horizontal="right"/>
    </xf>
    <xf numFmtId="168" fontId="71" fillId="15" borderId="33" xfId="0" applyNumberFormat="1" applyFont="1" applyFill="1" applyBorder="1" applyAlignment="1">
      <alignment horizontal="right"/>
    </xf>
    <xf numFmtId="3" fontId="71" fillId="15" borderId="7" xfId="0" applyNumberFormat="1" applyFont="1" applyFill="1" applyBorder="1" applyAlignment="1">
      <alignment horizontal="right"/>
    </xf>
    <xf numFmtId="166" fontId="74" fillId="15" borderId="7" xfId="0" applyNumberFormat="1" applyFont="1" applyFill="1" applyBorder="1" applyAlignment="1">
      <alignment horizontal="right"/>
    </xf>
    <xf numFmtId="166" fontId="107" fillId="15" borderId="7" xfId="0" applyNumberFormat="1" applyFont="1" applyFill="1" applyBorder="1" applyAlignment="1">
      <alignment horizontal="right"/>
    </xf>
    <xf numFmtId="166" fontId="99" fillId="15" borderId="26" xfId="0" applyNumberFormat="1" applyFont="1" applyFill="1" applyBorder="1" applyAlignment="1">
      <alignment horizontal="right"/>
    </xf>
    <xf numFmtId="0" fontId="0" fillId="15" borderId="33" xfId="0" applyFill="1" applyBorder="1" applyAlignment="1">
      <alignment horizontal="right"/>
    </xf>
    <xf numFmtId="166" fontId="93" fillId="15" borderId="26" xfId="0" applyNumberFormat="1" applyFont="1" applyFill="1" applyBorder="1" applyAlignment="1">
      <alignment horizontal="right"/>
    </xf>
    <xf numFmtId="166" fontId="88" fillId="15" borderId="26" xfId="0" applyNumberFormat="1" applyFont="1" applyFill="1" applyBorder="1" applyAlignment="1">
      <alignment horizontal="right"/>
    </xf>
    <xf numFmtId="166" fontId="64" fillId="18" borderId="37" xfId="0" applyNumberFormat="1" applyFont="1" applyFill="1" applyBorder="1" applyAlignment="1">
      <alignment horizontal="right"/>
    </xf>
    <xf numFmtId="166" fontId="64" fillId="18" borderId="38" xfId="0" applyNumberFormat="1" applyFont="1" applyFill="1" applyBorder="1" applyAlignment="1">
      <alignment horizontal="right"/>
    </xf>
    <xf numFmtId="2" fontId="71" fillId="29" borderId="7" xfId="0" applyNumberFormat="1" applyFont="1" applyFill="1" applyBorder="1" applyAlignment="1">
      <alignment horizontal="right"/>
    </xf>
    <xf numFmtId="168" fontId="97" fillId="18" borderId="7" xfId="12" applyNumberFormat="1" applyFont="1" applyFill="1" applyBorder="1" applyAlignment="1">
      <alignment horizontal="right"/>
    </xf>
    <xf numFmtId="2" fontId="97" fillId="18" borderId="7" xfId="0" applyNumberFormat="1" applyFont="1" applyFill="1" applyBorder="1" applyAlignment="1">
      <alignment horizontal="right"/>
    </xf>
    <xf numFmtId="9" fontId="74" fillId="15" borderId="7" xfId="12" applyFont="1" applyFill="1" applyBorder="1" applyAlignment="1">
      <alignment horizontal="right"/>
    </xf>
    <xf numFmtId="9" fontId="71" fillId="15" borderId="7" xfId="12" applyFont="1" applyFill="1" applyBorder="1" applyAlignment="1">
      <alignment horizontal="right"/>
    </xf>
    <xf numFmtId="168" fontId="74" fillId="15" borderId="7" xfId="12" applyNumberFormat="1" applyFont="1" applyFill="1" applyBorder="1" applyAlignment="1">
      <alignment horizontal="right"/>
    </xf>
    <xf numFmtId="2" fontId="92" fillId="15" borderId="7" xfId="0" applyNumberFormat="1" applyFont="1" applyFill="1" applyBorder="1" applyAlignment="1">
      <alignment horizontal="right"/>
    </xf>
    <xf numFmtId="166" fontId="91" fillId="18" borderId="7" xfId="0" applyNumberFormat="1" applyFont="1" applyFill="1" applyBorder="1" applyAlignment="1">
      <alignment horizontal="right"/>
    </xf>
    <xf numFmtId="168" fontId="91" fillId="18" borderId="7" xfId="12" applyNumberFormat="1" applyFont="1" applyFill="1" applyBorder="1" applyAlignment="1">
      <alignment horizontal="right"/>
    </xf>
    <xf numFmtId="168" fontId="97" fillId="15" borderId="26" xfId="0" applyNumberFormat="1" applyFont="1" applyFill="1" applyBorder="1" applyAlignment="1">
      <alignment horizontal="right"/>
    </xf>
    <xf numFmtId="168" fontId="74" fillId="15" borderId="7" xfId="0" applyNumberFormat="1" applyFont="1" applyFill="1" applyBorder="1" applyAlignment="1">
      <alignment horizontal="right"/>
    </xf>
    <xf numFmtId="168" fontId="97" fillId="18" borderId="0" xfId="0" applyNumberFormat="1" applyFont="1" applyFill="1" applyAlignment="1">
      <alignment horizontal="right"/>
    </xf>
    <xf numFmtId="166" fontId="139" fillId="18" borderId="7" xfId="0" applyNumberFormat="1" applyFont="1" applyFill="1" applyBorder="1" applyAlignment="1">
      <alignment horizontal="right"/>
    </xf>
    <xf numFmtId="166" fontId="97" fillId="18" borderId="7" xfId="0" applyNumberFormat="1" applyFont="1" applyFill="1" applyBorder="1" applyAlignment="1">
      <alignment horizontal="right"/>
    </xf>
    <xf numFmtId="168" fontId="92" fillId="29" borderId="7" xfId="0" applyNumberFormat="1" applyFont="1" applyFill="1" applyBorder="1" applyAlignment="1">
      <alignment horizontal="right"/>
    </xf>
    <xf numFmtId="164" fontId="71" fillId="15" borderId="7" xfId="17" applyFont="1" applyFill="1" applyBorder="1" applyAlignment="1">
      <alignment horizontal="right"/>
    </xf>
    <xf numFmtId="166" fontId="92" fillId="18" borderId="7" xfId="0" applyNumberFormat="1" applyFont="1" applyFill="1" applyBorder="1" applyAlignment="1">
      <alignment horizontal="right"/>
    </xf>
    <xf numFmtId="168" fontId="71" fillId="15" borderId="7" xfId="12" applyNumberFormat="1" applyFont="1" applyFill="1" applyBorder="1" applyAlignment="1">
      <alignment horizontal="right"/>
    </xf>
    <xf numFmtId="166" fontId="99" fillId="15" borderId="163" xfId="0" applyNumberFormat="1" applyFont="1" applyFill="1" applyBorder="1" applyAlignment="1">
      <alignment horizontal="right"/>
    </xf>
    <xf numFmtId="166" fontId="99" fillId="15" borderId="164" xfId="0" applyNumberFormat="1" applyFont="1" applyFill="1" applyBorder="1" applyAlignment="1">
      <alignment horizontal="right"/>
    </xf>
    <xf numFmtId="9" fontId="311" fillId="15" borderId="164" xfId="12" applyFont="1" applyFill="1" applyBorder="1" applyAlignment="1">
      <alignment horizontal="right"/>
    </xf>
    <xf numFmtId="177" fontId="311" fillId="15" borderId="164" xfId="17" applyNumberFormat="1" applyFont="1" applyFill="1" applyBorder="1" applyAlignment="1">
      <alignment horizontal="right"/>
    </xf>
    <xf numFmtId="164" fontId="311" fillId="15" borderId="164" xfId="17" applyFont="1" applyFill="1" applyBorder="1" applyAlignment="1">
      <alignment horizontal="right"/>
    </xf>
    <xf numFmtId="168" fontId="59" fillId="0" borderId="0" xfId="12" applyNumberFormat="1" applyFont="1" applyAlignment="1">
      <alignment horizontal="right"/>
    </xf>
    <xf numFmtId="166" fontId="139" fillId="18" borderId="0" xfId="0" applyNumberFormat="1" applyFont="1" applyFill="1" applyAlignment="1">
      <alignment horizontal="right"/>
    </xf>
    <xf numFmtId="166" fontId="67" fillId="29" borderId="0" xfId="9" applyNumberFormat="1" applyFont="1" applyFill="1" applyAlignment="1">
      <alignment horizontal="right"/>
    </xf>
    <xf numFmtId="167" fontId="149" fillId="9" borderId="0" xfId="0" applyNumberFormat="1" applyFont="1" applyFill="1" applyAlignment="1">
      <alignment horizontal="right"/>
    </xf>
    <xf numFmtId="168" fontId="80" fillId="9" borderId="0" xfId="12" applyNumberFormat="1" applyFont="1" applyFill="1" applyAlignment="1">
      <alignment horizontal="right"/>
    </xf>
    <xf numFmtId="166" fontId="79" fillId="30" borderId="0" xfId="9" applyNumberFormat="1" applyFont="1" applyFill="1" applyAlignment="1">
      <alignment horizontal="right"/>
    </xf>
    <xf numFmtId="166" fontId="67" fillId="30" borderId="0" xfId="9" applyNumberFormat="1" applyFont="1" applyFill="1" applyAlignment="1">
      <alignment horizontal="right"/>
    </xf>
    <xf numFmtId="166" fontId="79" fillId="29" borderId="128" xfId="9" applyNumberFormat="1" applyFont="1" applyFill="1" applyBorder="1" applyAlignment="1">
      <alignment horizontal="right"/>
    </xf>
    <xf numFmtId="166" fontId="79" fillId="29" borderId="109" xfId="9" applyNumberFormat="1" applyFont="1" applyFill="1" applyBorder="1" applyAlignment="1">
      <alignment horizontal="right"/>
    </xf>
    <xf numFmtId="166" fontId="79" fillId="29" borderId="110" xfId="9" applyNumberFormat="1" applyFont="1" applyFill="1" applyBorder="1" applyAlignment="1">
      <alignment horizontal="right"/>
    </xf>
    <xf numFmtId="166" fontId="67" fillId="29" borderId="109" xfId="9" applyNumberFormat="1" applyFont="1" applyFill="1" applyBorder="1" applyAlignment="1">
      <alignment horizontal="right"/>
    </xf>
    <xf numFmtId="166" fontId="67" fillId="29" borderId="110" xfId="9" applyNumberFormat="1" applyFont="1" applyFill="1" applyBorder="1" applyAlignment="1">
      <alignment horizontal="right"/>
    </xf>
    <xf numFmtId="166" fontId="67" fillId="30" borderId="109" xfId="9" applyNumberFormat="1" applyFont="1" applyFill="1" applyBorder="1" applyAlignment="1">
      <alignment horizontal="right"/>
    </xf>
    <xf numFmtId="166" fontId="67" fillId="30" borderId="20" xfId="9" applyNumberFormat="1" applyFont="1" applyFill="1" applyBorder="1" applyAlignment="1">
      <alignment horizontal="right"/>
    </xf>
    <xf numFmtId="166" fontId="99" fillId="30" borderId="0" xfId="9" applyNumberFormat="1" applyFont="1" applyFill="1" applyAlignment="1">
      <alignment horizontal="right"/>
    </xf>
    <xf numFmtId="166" fontId="67" fillId="30" borderId="46" xfId="9" applyNumberFormat="1" applyFont="1" applyFill="1" applyBorder="1" applyAlignment="1">
      <alignment horizontal="right"/>
    </xf>
    <xf numFmtId="168" fontId="67" fillId="30" borderId="0" xfId="12" applyNumberFormat="1" applyFont="1" applyFill="1" applyBorder="1" applyAlignment="1" applyProtection="1">
      <alignment horizontal="right"/>
    </xf>
    <xf numFmtId="168" fontId="67" fillId="29" borderId="128" xfId="12" applyNumberFormat="1" applyFont="1" applyFill="1" applyBorder="1" applyAlignment="1" applyProtection="1">
      <alignment horizontal="right"/>
    </xf>
    <xf numFmtId="168" fontId="67" fillId="29" borderId="109" xfId="12" applyNumberFormat="1" applyFont="1" applyFill="1" applyBorder="1" applyAlignment="1" applyProtection="1">
      <alignment horizontal="right"/>
    </xf>
    <xf numFmtId="168" fontId="67" fillId="29" borderId="110" xfId="12" applyNumberFormat="1" applyFont="1" applyFill="1" applyBorder="1" applyAlignment="1" applyProtection="1">
      <alignment horizontal="right"/>
    </xf>
    <xf numFmtId="168" fontId="67" fillId="29" borderId="22" xfId="12" applyNumberFormat="1" applyFont="1" applyFill="1" applyBorder="1" applyAlignment="1" applyProtection="1">
      <alignment horizontal="right"/>
    </xf>
    <xf numFmtId="168" fontId="67" fillId="29" borderId="25" xfId="12" applyNumberFormat="1" applyFont="1" applyFill="1" applyBorder="1" applyAlignment="1" applyProtection="1">
      <alignment horizontal="right"/>
    </xf>
    <xf numFmtId="168" fontId="67" fillId="29" borderId="127" xfId="12" applyNumberFormat="1" applyFont="1" applyFill="1" applyBorder="1" applyAlignment="1" applyProtection="1">
      <alignment horizontal="right"/>
    </xf>
    <xf numFmtId="166" fontId="67" fillId="30" borderId="22" xfId="9" applyNumberFormat="1" applyFont="1" applyFill="1" applyBorder="1" applyAlignment="1">
      <alignment horizontal="right"/>
    </xf>
    <xf numFmtId="168" fontId="67" fillId="29" borderId="0" xfId="12" applyNumberFormat="1" applyFont="1" applyFill="1" applyBorder="1" applyAlignment="1" applyProtection="1">
      <alignment horizontal="right"/>
    </xf>
    <xf numFmtId="168" fontId="67" fillId="18" borderId="0" xfId="12" applyNumberFormat="1" applyFont="1" applyFill="1" applyBorder="1" applyAlignment="1" applyProtection="1">
      <alignment horizontal="right"/>
    </xf>
    <xf numFmtId="168" fontId="67" fillId="19" borderId="0" xfId="12" applyNumberFormat="1" applyFont="1" applyFill="1" applyBorder="1" applyAlignment="1" applyProtection="1">
      <alignment horizontal="right"/>
    </xf>
    <xf numFmtId="168" fontId="67" fillId="17" borderId="0" xfId="12" applyNumberFormat="1" applyFont="1" applyFill="1" applyBorder="1" applyAlignment="1" applyProtection="1">
      <alignment horizontal="right"/>
    </xf>
    <xf numFmtId="168" fontId="67" fillId="73" borderId="0" xfId="12" applyNumberFormat="1" applyFont="1" applyFill="1" applyBorder="1" applyAlignment="1" applyProtection="1">
      <alignment horizontal="right"/>
    </xf>
    <xf numFmtId="168" fontId="67" fillId="17" borderId="25" xfId="12" applyNumberFormat="1" applyFont="1" applyFill="1" applyBorder="1" applyAlignment="1" applyProtection="1">
      <alignment horizontal="right"/>
    </xf>
    <xf numFmtId="168" fontId="99" fillId="30" borderId="0" xfId="12" applyNumberFormat="1" applyFont="1" applyFill="1" applyBorder="1" applyAlignment="1" applyProtection="1">
      <alignment horizontal="right"/>
    </xf>
    <xf numFmtId="168" fontId="67" fillId="29" borderId="0" xfId="12" applyNumberFormat="1" applyFont="1" applyFill="1" applyAlignment="1">
      <alignment horizontal="right"/>
    </xf>
    <xf numFmtId="0" fontId="82" fillId="12" borderId="57" xfId="0" applyFont="1" applyFill="1" applyBorder="1" applyAlignment="1">
      <alignment horizontal="right"/>
    </xf>
    <xf numFmtId="167" fontId="67" fillId="12" borderId="7" xfId="0" applyNumberFormat="1" applyFont="1" applyFill="1" applyBorder="1" applyAlignment="1">
      <alignment horizontal="right"/>
    </xf>
    <xf numFmtId="166" fontId="104" fillId="12" borderId="33" xfId="0" applyNumberFormat="1" applyFont="1" applyFill="1" applyBorder="1" applyAlignment="1">
      <alignment horizontal="right"/>
    </xf>
    <xf numFmtId="166" fontId="98" fillId="12" borderId="39" xfId="0" applyNumberFormat="1" applyFont="1" applyFill="1" applyBorder="1" applyAlignment="1">
      <alignment horizontal="right"/>
    </xf>
    <xf numFmtId="166" fontId="143" fillId="12" borderId="39" xfId="0" applyNumberFormat="1" applyFont="1" applyFill="1" applyBorder="1" applyAlignment="1">
      <alignment horizontal="right"/>
    </xf>
    <xf numFmtId="166" fontId="92" fillId="12" borderId="7" xfId="0" applyNumberFormat="1" applyFont="1" applyFill="1" applyBorder="1" applyAlignment="1">
      <alignment horizontal="right"/>
    </xf>
    <xf numFmtId="166" fontId="107" fillId="15" borderId="10" xfId="0" applyNumberFormat="1" applyFont="1" applyFill="1" applyBorder="1" applyAlignment="1">
      <alignment horizontal="right"/>
    </xf>
    <xf numFmtId="166" fontId="62" fillId="12" borderId="39" xfId="0" applyNumberFormat="1" applyFont="1" applyFill="1" applyBorder="1" applyAlignment="1">
      <alignment horizontal="right"/>
    </xf>
    <xf numFmtId="167" fontId="67" fillId="20" borderId="7" xfId="0" applyNumberFormat="1" applyFont="1" applyFill="1" applyBorder="1" applyAlignment="1">
      <alignment horizontal="right"/>
    </xf>
    <xf numFmtId="0" fontId="158" fillId="0" borderId="0" xfId="0" applyFont="1" applyAlignment="1">
      <alignment horizontal="right"/>
    </xf>
    <xf numFmtId="0" fontId="82" fillId="12" borderId="7" xfId="0" applyFont="1" applyFill="1" applyBorder="1" applyAlignment="1">
      <alignment horizontal="right"/>
    </xf>
    <xf numFmtId="0" fontId="272" fillId="78" borderId="0" xfId="0" applyFont="1" applyFill="1" applyAlignment="1">
      <alignment horizontal="right"/>
    </xf>
    <xf numFmtId="3" fontId="1" fillId="78" borderId="0" xfId="0" applyNumberFormat="1" applyFont="1" applyFill="1" applyAlignment="1">
      <alignment horizontal="right"/>
    </xf>
    <xf numFmtId="3" fontId="1" fillId="78" borderId="31" xfId="0" applyNumberFormat="1" applyFont="1" applyFill="1" applyBorder="1" applyAlignment="1">
      <alignment horizontal="right"/>
    </xf>
    <xf numFmtId="3" fontId="272" fillId="78" borderId="0" xfId="0" applyNumberFormat="1" applyFont="1" applyFill="1" applyAlignment="1">
      <alignment horizontal="right"/>
    </xf>
    <xf numFmtId="1" fontId="75" fillId="0" borderId="0" xfId="0" applyNumberFormat="1" applyFont="1" applyAlignment="1">
      <alignment horizontal="right"/>
    </xf>
    <xf numFmtId="164" fontId="59" fillId="0" borderId="0" xfId="17" applyFont="1"/>
    <xf numFmtId="167" fontId="80" fillId="0" borderId="179" xfId="0" applyNumberFormat="1" applyFont="1" applyBorder="1"/>
    <xf numFmtId="167" fontId="80" fillId="13" borderId="179" xfId="0" applyNumberFormat="1" applyFont="1" applyFill="1" applyBorder="1"/>
    <xf numFmtId="166" fontId="92" fillId="18" borderId="164" xfId="0" applyNumberFormat="1" applyFont="1" applyFill="1" applyBorder="1"/>
    <xf numFmtId="0" fontId="61" fillId="18" borderId="164" xfId="0" applyFont="1" applyFill="1" applyBorder="1"/>
    <xf numFmtId="168" fontId="71" fillId="15" borderId="164" xfId="0" applyNumberFormat="1" applyFont="1" applyFill="1" applyBorder="1"/>
    <xf numFmtId="166" fontId="71" fillId="15" borderId="164" xfId="0" applyNumberFormat="1" applyFont="1" applyFill="1" applyBorder="1"/>
    <xf numFmtId="166" fontId="89" fillId="15" borderId="164" xfId="0" applyNumberFormat="1" applyFont="1" applyFill="1" applyBorder="1"/>
    <xf numFmtId="166" fontId="92" fillId="15" borderId="164" xfId="0" applyNumberFormat="1" applyFont="1" applyFill="1" applyBorder="1"/>
    <xf numFmtId="166" fontId="92" fillId="18" borderId="164" xfId="0" applyNumberFormat="1" applyFont="1" applyFill="1" applyBorder="1" applyAlignment="1">
      <alignment horizontal="right"/>
    </xf>
    <xf numFmtId="0" fontId="319" fillId="0" borderId="0" xfId="0" applyFont="1"/>
    <xf numFmtId="0" fontId="320" fillId="0" borderId="6" xfId="0" applyFont="1" applyBorder="1" applyAlignment="1">
      <alignment horizontal="center"/>
    </xf>
    <xf numFmtId="0" fontId="35" fillId="0" borderId="0" xfId="0" applyFont="1"/>
    <xf numFmtId="0" fontId="220" fillId="73" borderId="0" xfId="0" applyFont="1" applyFill="1"/>
    <xf numFmtId="0" fontId="220" fillId="94" borderId="0" xfId="0" applyFont="1" applyFill="1"/>
    <xf numFmtId="1" fontId="220" fillId="73" borderId="179" xfId="0" applyNumberFormat="1" applyFont="1" applyFill="1" applyBorder="1" applyAlignment="1">
      <alignment horizontal="center"/>
    </xf>
    <xf numFmtId="1" fontId="220" fillId="94" borderId="179" xfId="0" applyNumberFormat="1" applyFont="1" applyFill="1" applyBorder="1" applyAlignment="1">
      <alignment horizontal="center"/>
    </xf>
    <xf numFmtId="0" fontId="322" fillId="0" borderId="6" xfId="0" applyFont="1" applyBorder="1"/>
    <xf numFmtId="174" fontId="322" fillId="0" borderId="6" xfId="1" applyNumberFormat="1" applyFont="1" applyFill="1" applyBorder="1"/>
    <xf numFmtId="174" fontId="319" fillId="0" borderId="0" xfId="1" applyNumberFormat="1" applyFont="1" applyFill="1"/>
    <xf numFmtId="4" fontId="220" fillId="95" borderId="6" xfId="0" applyNumberFormat="1" applyFont="1" applyFill="1" applyBorder="1"/>
    <xf numFmtId="4" fontId="220" fillId="73" borderId="6" xfId="0" applyNumberFormat="1" applyFont="1" applyFill="1" applyBorder="1"/>
    <xf numFmtId="4" fontId="220" fillId="73" borderId="173" xfId="0" applyNumberFormat="1" applyFont="1" applyFill="1" applyBorder="1"/>
    <xf numFmtId="0" fontId="35" fillId="0" borderId="6" xfId="0" applyFont="1" applyBorder="1"/>
    <xf numFmtId="174" fontId="35" fillId="0" borderId="6" xfId="1" applyNumberFormat="1" applyFont="1" applyFill="1" applyBorder="1"/>
    <xf numFmtId="0" fontId="323" fillId="0" borderId="0" xfId="0" applyFont="1"/>
    <xf numFmtId="0" fontId="322" fillId="96" borderId="6" xfId="0" applyFont="1" applyFill="1" applyBorder="1"/>
    <xf numFmtId="184" fontId="35" fillId="0" borderId="6" xfId="1" applyNumberFormat="1" applyFont="1" applyFill="1" applyBorder="1" applyAlignment="1">
      <alignment horizontal="center"/>
    </xf>
    <xf numFmtId="184" fontId="220" fillId="73" borderId="6" xfId="1" applyNumberFormat="1" applyFont="1" applyFill="1" applyBorder="1" applyAlignment="1">
      <alignment horizontal="center"/>
    </xf>
    <xf numFmtId="184" fontId="220" fillId="73" borderId="173" xfId="1" applyNumberFormat="1" applyFont="1" applyFill="1" applyBorder="1" applyAlignment="1">
      <alignment horizontal="center"/>
    </xf>
    <xf numFmtId="0" fontId="320" fillId="0" borderId="6" xfId="0" applyFont="1" applyBorder="1"/>
    <xf numFmtId="174" fontId="320" fillId="0" borderId="6" xfId="0" applyNumberFormat="1" applyFont="1" applyBorder="1"/>
    <xf numFmtId="0" fontId="320" fillId="0" borderId="179" xfId="0" applyFont="1" applyBorder="1"/>
    <xf numFmtId="174" fontId="320" fillId="0" borderId="179" xfId="0" applyNumberFormat="1" applyFont="1" applyBorder="1"/>
    <xf numFmtId="0" fontId="217" fillId="97" borderId="6" xfId="0" applyFont="1" applyFill="1" applyBorder="1"/>
    <xf numFmtId="0" fontId="217" fillId="98" borderId="6" xfId="0" applyFont="1" applyFill="1" applyBorder="1"/>
    <xf numFmtId="0" fontId="217" fillId="99" borderId="6" xfId="0" applyFont="1" applyFill="1" applyBorder="1"/>
    <xf numFmtId="0" fontId="321" fillId="29" borderId="179" xfId="0" applyFont="1" applyFill="1" applyBorder="1" applyAlignment="1">
      <alignment horizontal="center"/>
    </xf>
    <xf numFmtId="184" fontId="220" fillId="95" borderId="6" xfId="1" applyNumberFormat="1" applyFont="1" applyFill="1" applyBorder="1" applyAlignment="1">
      <alignment horizontal="center"/>
    </xf>
    <xf numFmtId="0" fontId="217" fillId="100" borderId="6" xfId="0" applyFont="1" applyFill="1" applyBorder="1"/>
    <xf numFmtId="184" fontId="35" fillId="100" borderId="6" xfId="1" applyNumberFormat="1" applyFont="1" applyFill="1" applyBorder="1" applyAlignment="1">
      <alignment horizontal="center"/>
    </xf>
    <xf numFmtId="184" fontId="220" fillId="100" borderId="6" xfId="1" applyNumberFormat="1" applyFont="1" applyFill="1" applyBorder="1" applyAlignment="1">
      <alignment horizontal="center"/>
    </xf>
    <xf numFmtId="184" fontId="220" fillId="101" borderId="6" xfId="1" applyNumberFormat="1" applyFont="1" applyFill="1" applyBorder="1" applyAlignment="1">
      <alignment horizontal="center"/>
    </xf>
    <xf numFmtId="0" fontId="321" fillId="0" borderId="179" xfId="0" applyFont="1" applyBorder="1" applyAlignment="1">
      <alignment horizontal="center"/>
    </xf>
    <xf numFmtId="184" fontId="220" fillId="0" borderId="6" xfId="1" applyNumberFormat="1" applyFont="1" applyFill="1" applyBorder="1" applyAlignment="1">
      <alignment horizontal="center"/>
    </xf>
    <xf numFmtId="174" fontId="217" fillId="0" borderId="6" xfId="1" applyNumberFormat="1" applyFont="1" applyFill="1" applyBorder="1"/>
    <xf numFmtId="1" fontId="220" fillId="95" borderId="6" xfId="0" applyNumberFormat="1" applyFont="1" applyFill="1" applyBorder="1" applyAlignment="1">
      <alignment horizontal="left"/>
    </xf>
    <xf numFmtId="0" fontId="217" fillId="0" borderId="6" xfId="0" applyFont="1" applyBorder="1"/>
    <xf numFmtId="184" fontId="35" fillId="0" borderId="0" xfId="0" applyNumberFormat="1" applyFont="1"/>
    <xf numFmtId="0" fontId="35" fillId="0" borderId="6" xfId="0" applyFont="1" applyBorder="1" applyAlignment="1">
      <alignment wrapText="1"/>
    </xf>
    <xf numFmtId="184" fontId="319" fillId="0" borderId="0" xfId="0" applyNumberFormat="1" applyFont="1"/>
    <xf numFmtId="0" fontId="324" fillId="0" borderId="0" xfId="0" applyFont="1"/>
    <xf numFmtId="174" fontId="218" fillId="0" borderId="6" xfId="1" applyNumberFormat="1" applyFont="1" applyFill="1" applyBorder="1"/>
    <xf numFmtId="165" fontId="324" fillId="0" borderId="0" xfId="0" applyNumberFormat="1" applyFont="1"/>
    <xf numFmtId="174" fontId="319" fillId="0" borderId="0" xfId="0" applyNumberFormat="1" applyFont="1"/>
    <xf numFmtId="0" fontId="321" fillId="102" borderId="182" xfId="8" applyFont="1" applyFill="1" applyBorder="1" applyAlignment="1">
      <alignment horizontal="center"/>
    </xf>
    <xf numFmtId="0" fontId="261" fillId="102" borderId="185" xfId="8" applyFont="1" applyFill="1" applyBorder="1" applyAlignment="1">
      <alignment horizontal="center"/>
    </xf>
    <xf numFmtId="0" fontId="261" fillId="102" borderId="186" xfId="8" applyFont="1" applyFill="1" applyBorder="1" applyAlignment="1">
      <alignment horizontal="center"/>
    </xf>
    <xf numFmtId="0" fontId="37" fillId="0" borderId="6" xfId="8" applyFont="1" applyBorder="1"/>
    <xf numFmtId="165" fontId="37" fillId="0" borderId="6" xfId="1" applyFont="1" applyFill="1" applyBorder="1"/>
    <xf numFmtId="0" fontId="323" fillId="0" borderId="6" xfId="8" applyFont="1" applyBorder="1"/>
    <xf numFmtId="165" fontId="261" fillId="0" borderId="6" xfId="2" applyFont="1" applyFill="1" applyBorder="1"/>
    <xf numFmtId="0" fontId="200" fillId="0" borderId="6" xfId="0" applyFont="1" applyBorder="1"/>
    <xf numFmtId="165" fontId="319" fillId="0" borderId="0" xfId="0" applyNumberFormat="1" applyFont="1"/>
    <xf numFmtId="0" fontId="3" fillId="103" borderId="187" xfId="0" applyFont="1" applyFill="1" applyBorder="1" applyAlignment="1">
      <alignment vertical="center" wrapText="1"/>
    </xf>
    <xf numFmtId="0" fontId="3" fillId="103" borderId="188" xfId="0" applyFont="1" applyFill="1" applyBorder="1" applyAlignment="1">
      <alignment horizontal="right" vertical="center" wrapText="1"/>
    </xf>
    <xf numFmtId="165" fontId="0" fillId="0" borderId="0" xfId="0" applyNumberFormat="1"/>
    <xf numFmtId="0" fontId="326" fillId="0" borderId="0" xfId="0" applyFont="1" applyAlignment="1">
      <alignment vertical="center"/>
    </xf>
    <xf numFmtId="0" fontId="328" fillId="103" borderId="191" xfId="0" applyFont="1" applyFill="1" applyBorder="1" applyAlignment="1">
      <alignment horizontal="right" vertical="center" wrapText="1"/>
    </xf>
    <xf numFmtId="0" fontId="329" fillId="103" borderId="193" xfId="0" applyFont="1" applyFill="1" applyBorder="1" applyAlignment="1">
      <alignment horizontal="right" vertical="center" wrapText="1"/>
    </xf>
    <xf numFmtId="0" fontId="234" fillId="103" borderId="191" xfId="0" applyFont="1" applyFill="1" applyBorder="1" applyAlignment="1">
      <alignment vertical="center" wrapText="1"/>
    </xf>
    <xf numFmtId="0" fontId="330" fillId="103" borderId="193" xfId="0" applyFont="1" applyFill="1" applyBorder="1" applyAlignment="1">
      <alignment horizontal="right" vertical="center" wrapText="1"/>
    </xf>
    <xf numFmtId="0" fontId="330" fillId="103" borderId="191" xfId="0" applyFont="1" applyFill="1" applyBorder="1" applyAlignment="1">
      <alignment horizontal="left" vertical="center" wrapText="1" indent="2"/>
    </xf>
    <xf numFmtId="0" fontId="4" fillId="103" borderId="191" xfId="0" applyFont="1" applyFill="1" applyBorder="1" applyAlignment="1">
      <alignment vertical="center" wrapText="1"/>
    </xf>
    <xf numFmtId="0" fontId="234" fillId="103" borderId="193" xfId="0" applyFont="1" applyFill="1" applyBorder="1" applyAlignment="1">
      <alignment horizontal="right" vertical="center" wrapText="1"/>
    </xf>
    <xf numFmtId="0" fontId="0" fillId="103" borderId="0" xfId="0" applyFill="1" applyAlignment="1">
      <alignment vertical="center" wrapText="1"/>
    </xf>
    <xf numFmtId="0" fontId="327" fillId="103" borderId="0" xfId="0" applyFont="1" applyFill="1" applyAlignment="1">
      <alignment vertical="center" wrapText="1"/>
    </xf>
    <xf numFmtId="0" fontId="331" fillId="0" borderId="0" xfId="0" applyFont="1" applyAlignment="1">
      <alignment vertical="center"/>
    </xf>
    <xf numFmtId="0" fontId="332" fillId="103" borderId="194" xfId="0" applyFont="1" applyFill="1" applyBorder="1" applyAlignment="1">
      <alignment vertical="center" wrapText="1"/>
    </xf>
    <xf numFmtId="0" fontId="234" fillId="103" borderId="194" xfId="0" applyFont="1" applyFill="1" applyBorder="1" applyAlignment="1">
      <alignment horizontal="right" vertical="center" wrapText="1"/>
    </xf>
    <xf numFmtId="0" fontId="333" fillId="103" borderId="194" xfId="0" applyFont="1" applyFill="1" applyBorder="1" applyAlignment="1">
      <alignment horizontal="right" vertical="center" wrapText="1"/>
    </xf>
    <xf numFmtId="0" fontId="330" fillId="103" borderId="194" xfId="0" applyFont="1" applyFill="1" applyBorder="1" applyAlignment="1">
      <alignment horizontal="right" vertical="center" wrapText="1"/>
    </xf>
    <xf numFmtId="0" fontId="332" fillId="103" borderId="190" xfId="0" applyFont="1" applyFill="1" applyBorder="1" applyAlignment="1">
      <alignment vertical="center" wrapText="1"/>
    </xf>
    <xf numFmtId="0" fontId="234" fillId="103" borderId="190" xfId="0" applyFont="1" applyFill="1" applyBorder="1" applyAlignment="1">
      <alignment horizontal="right" vertical="center" wrapText="1"/>
    </xf>
    <xf numFmtId="0" fontId="333" fillId="103" borderId="190" xfId="0" applyFont="1" applyFill="1" applyBorder="1" applyAlignment="1">
      <alignment horizontal="right" vertical="center" wrapText="1"/>
    </xf>
    <xf numFmtId="0" fontId="330" fillId="103" borderId="190" xfId="0" applyFont="1" applyFill="1" applyBorder="1" applyAlignment="1">
      <alignment horizontal="right" vertical="center" wrapText="1"/>
    </xf>
    <xf numFmtId="166" fontId="319" fillId="0" borderId="0" xfId="0" applyNumberFormat="1" applyFont="1"/>
    <xf numFmtId="168" fontId="9" fillId="20" borderId="0" xfId="12" applyNumberFormat="1" applyFont="1" applyFill="1" applyBorder="1" applyAlignment="1">
      <alignment horizontal="right" wrapText="1"/>
    </xf>
    <xf numFmtId="177" fontId="286" fillId="20" borderId="0" xfId="17" applyNumberFormat="1" applyFont="1" applyFill="1"/>
    <xf numFmtId="0" fontId="71" fillId="15" borderId="7" xfId="0" applyNumberFormat="1" applyFont="1" applyFill="1" applyBorder="1"/>
    <xf numFmtId="0" fontId="75" fillId="15" borderId="7" xfId="0" applyNumberFormat="1" applyFont="1" applyFill="1" applyBorder="1"/>
    <xf numFmtId="0" fontId="92" fillId="15" borderId="7" xfId="0" applyNumberFormat="1" applyFont="1" applyFill="1" applyBorder="1"/>
    <xf numFmtId="0" fontId="86" fillId="15" borderId="7" xfId="0" applyNumberFormat="1" applyFont="1" applyFill="1" applyBorder="1"/>
    <xf numFmtId="0" fontId="97" fillId="15" borderId="7" xfId="0" applyNumberFormat="1" applyFont="1" applyFill="1" applyBorder="1"/>
    <xf numFmtId="0" fontId="71" fillId="15" borderId="33" xfId="0" applyNumberFormat="1" applyFont="1" applyFill="1" applyBorder="1"/>
    <xf numFmtId="0" fontId="74" fillId="15" borderId="7" xfId="12" applyNumberFormat="1" applyFont="1" applyFill="1" applyBorder="1"/>
    <xf numFmtId="185" fontId="59" fillId="0" borderId="0" xfId="0" applyNumberFormat="1" applyFont="1"/>
    <xf numFmtId="186" fontId="59" fillId="0" borderId="0" xfId="0" applyNumberFormat="1" applyFont="1"/>
    <xf numFmtId="0" fontId="59" fillId="0" borderId="0" xfId="0" applyNumberFormat="1" applyFont="1"/>
    <xf numFmtId="183" fontId="286" fillId="20" borderId="0" xfId="17" applyNumberFormat="1" applyFont="1" applyFill="1"/>
    <xf numFmtId="183" fontId="286" fillId="20" borderId="0" xfId="0" applyNumberFormat="1" applyFont="1" applyFill="1"/>
    <xf numFmtId="166" fontId="286" fillId="5" borderId="0" xfId="0" applyNumberFormat="1" applyFont="1" applyFill="1"/>
    <xf numFmtId="10" fontId="59" fillId="0" borderId="0" xfId="0" applyNumberFormat="1" applyFont="1"/>
    <xf numFmtId="185" fontId="286" fillId="0" borderId="0" xfId="0" applyNumberFormat="1" applyFont="1"/>
    <xf numFmtId="168" fontId="9" fillId="3" borderId="151" xfId="12" applyNumberFormat="1" applyFont="1" applyFill="1" applyBorder="1" applyAlignment="1">
      <alignment horizontal="right" wrapText="1"/>
    </xf>
    <xf numFmtId="168" fontId="290" fillId="3" borderId="152" xfId="12" applyNumberFormat="1" applyFont="1" applyFill="1" applyBorder="1" applyAlignment="1">
      <alignment horizontal="right" wrapText="1"/>
    </xf>
    <xf numFmtId="168" fontId="10" fillId="3" borderId="0" xfId="12" applyNumberFormat="1" applyFont="1" applyFill="1" applyAlignment="1">
      <alignment horizontal="right" wrapText="1"/>
    </xf>
    <xf numFmtId="168" fontId="9" fillId="3" borderId="152" xfId="12" applyNumberFormat="1" applyFont="1" applyFill="1" applyBorder="1" applyAlignment="1">
      <alignment horizontal="right" wrapText="1"/>
    </xf>
    <xf numFmtId="168" fontId="10" fillId="3" borderId="150" xfId="12" applyNumberFormat="1" applyFont="1" applyFill="1" applyBorder="1" applyAlignment="1">
      <alignment horizontal="right" wrapText="1"/>
    </xf>
    <xf numFmtId="168" fontId="9" fillId="3" borderId="0" xfId="12" applyNumberFormat="1" applyFont="1" applyFill="1" applyAlignment="1">
      <alignment horizontal="right" wrapText="1"/>
    </xf>
    <xf numFmtId="168" fontId="10" fillId="3" borderId="0" xfId="12" applyNumberFormat="1" applyFont="1" applyFill="1" applyBorder="1" applyAlignment="1">
      <alignment horizontal="right" wrapText="1"/>
    </xf>
    <xf numFmtId="168" fontId="9" fillId="3" borderId="150" xfId="12" applyNumberFormat="1" applyFont="1" applyFill="1" applyBorder="1" applyAlignment="1">
      <alignment horizontal="right" wrapText="1"/>
    </xf>
    <xf numFmtId="168" fontId="10" fillId="3" borderId="151" xfId="12" applyNumberFormat="1" applyFont="1" applyFill="1" applyBorder="1" applyAlignment="1">
      <alignment horizontal="right" wrapText="1"/>
    </xf>
    <xf numFmtId="168" fontId="286" fillId="3" borderId="31" xfId="12" applyNumberFormat="1" applyFont="1" applyFill="1" applyBorder="1"/>
    <xf numFmtId="0" fontId="286" fillId="3" borderId="0" xfId="0" applyFont="1" applyFill="1"/>
    <xf numFmtId="165" fontId="286" fillId="3" borderId="0" xfId="0" applyNumberFormat="1" applyFont="1" applyFill="1"/>
    <xf numFmtId="0" fontId="287" fillId="3" borderId="169" xfId="0" applyFont="1" applyFill="1" applyBorder="1" applyAlignment="1">
      <alignment horizontal="center" vertical="center" wrapText="1"/>
    </xf>
    <xf numFmtId="0" fontId="287" fillId="3" borderId="150" xfId="0" applyFont="1" applyFill="1" applyBorder="1" applyAlignment="1">
      <alignment horizontal="center" vertical="center" wrapText="1"/>
    </xf>
    <xf numFmtId="168" fontId="286" fillId="3" borderId="0" xfId="0" applyNumberFormat="1" applyFont="1" applyFill="1"/>
    <xf numFmtId="10" fontId="286" fillId="3" borderId="0" xfId="0" applyNumberFormat="1" applyFont="1" applyFill="1"/>
    <xf numFmtId="177" fontId="286" fillId="82" borderId="0" xfId="17" applyNumberFormat="1" applyFont="1" applyFill="1"/>
    <xf numFmtId="177" fontId="286" fillId="10" borderId="0" xfId="17" applyNumberFormat="1" applyFont="1" applyFill="1"/>
    <xf numFmtId="177" fontId="286" fillId="73" borderId="0" xfId="17" applyNumberFormat="1" applyFont="1" applyFill="1"/>
    <xf numFmtId="177" fontId="286" fillId="5" borderId="0" xfId="17" applyNumberFormat="1" applyFont="1" applyFill="1"/>
    <xf numFmtId="177" fontId="286" fillId="3" borderId="0" xfId="17" applyNumberFormat="1" applyFont="1" applyFill="1"/>
    <xf numFmtId="177" fontId="286" fillId="0" borderId="0" xfId="17" applyNumberFormat="1" applyFont="1"/>
    <xf numFmtId="177" fontId="10" fillId="5" borderId="0" xfId="17" applyNumberFormat="1" applyFont="1" applyFill="1" applyBorder="1" applyAlignment="1">
      <alignment horizontal="right" wrapText="1"/>
    </xf>
    <xf numFmtId="168" fontId="64" fillId="19" borderId="0" xfId="12" applyNumberFormat="1" applyFont="1" applyFill="1" applyAlignment="1">
      <alignment horizontal="right"/>
    </xf>
    <xf numFmtId="0" fontId="287" fillId="20" borderId="169" xfId="0" applyFont="1" applyFill="1" applyBorder="1" applyAlignment="1">
      <alignment horizontal="center" vertical="center" wrapText="1"/>
    </xf>
    <xf numFmtId="0" fontId="334" fillId="0" borderId="169" xfId="0" applyFont="1" applyBorder="1" applyAlignment="1">
      <alignment horizontal="center" vertical="center"/>
    </xf>
    <xf numFmtId="0" fontId="335" fillId="0" borderId="0" xfId="0" applyFont="1"/>
    <xf numFmtId="0" fontId="336" fillId="0" borderId="0" xfId="0" applyFont="1"/>
    <xf numFmtId="168" fontId="335" fillId="0" borderId="0" xfId="12" applyNumberFormat="1" applyFont="1"/>
    <xf numFmtId="0" fontId="334" fillId="0" borderId="0" xfId="0" applyFont="1" applyAlignment="1">
      <alignment horizontal="center" vertical="center"/>
    </xf>
    <xf numFmtId="0" fontId="334" fillId="0" borderId="179" xfId="0" applyFont="1" applyBorder="1" applyAlignment="1">
      <alignment horizontal="center" vertical="top"/>
    </xf>
    <xf numFmtId="0" fontId="337" fillId="0" borderId="179" xfId="0" applyFont="1" applyBorder="1" applyAlignment="1">
      <alignment horizontal="center" vertical="top"/>
    </xf>
    <xf numFmtId="187" fontId="334" fillId="0" borderId="31" xfId="0" applyNumberFormat="1" applyFont="1" applyBorder="1" applyAlignment="1">
      <alignment horizontal="center" wrapText="1"/>
    </xf>
    <xf numFmtId="187" fontId="337" fillId="0" borderId="31" xfId="0" applyNumberFormat="1" applyFont="1" applyBorder="1" applyAlignment="1">
      <alignment horizontal="center" wrapText="1"/>
    </xf>
    <xf numFmtId="187" fontId="334" fillId="91" borderId="31" xfId="0" applyNumberFormat="1" applyFont="1" applyFill="1" applyBorder="1" applyAlignment="1">
      <alignment horizontal="center" wrapText="1"/>
    </xf>
    <xf numFmtId="187" fontId="334" fillId="96" borderId="31" xfId="0" applyNumberFormat="1" applyFont="1" applyFill="1" applyBorder="1" applyAlignment="1">
      <alignment horizontal="center" wrapText="1"/>
    </xf>
    <xf numFmtId="187" fontId="334" fillId="11" borderId="31" xfId="0" applyNumberFormat="1" applyFont="1" applyFill="1" applyBorder="1" applyAlignment="1">
      <alignment horizontal="center" wrapText="1"/>
    </xf>
    <xf numFmtId="187" fontId="334" fillId="82" borderId="31" xfId="0" applyNumberFormat="1" applyFont="1" applyFill="1" applyBorder="1" applyAlignment="1">
      <alignment horizontal="center" wrapText="1"/>
    </xf>
    <xf numFmtId="187" fontId="334" fillId="80" borderId="31" xfId="0" applyNumberFormat="1" applyFont="1" applyFill="1" applyBorder="1" applyAlignment="1">
      <alignment horizontal="center" wrapText="1"/>
    </xf>
    <xf numFmtId="187" fontId="334" fillId="73" borderId="31" xfId="0" applyNumberFormat="1" applyFont="1" applyFill="1" applyBorder="1" applyAlignment="1">
      <alignment horizontal="center" wrapText="1"/>
    </xf>
    <xf numFmtId="187" fontId="334" fillId="17" borderId="31" xfId="0" applyNumberFormat="1" applyFont="1" applyFill="1" applyBorder="1" applyAlignment="1">
      <alignment horizontal="center" wrapText="1"/>
    </xf>
    <xf numFmtId="187" fontId="334" fillId="68" borderId="31" xfId="0" applyNumberFormat="1" applyFont="1" applyFill="1" applyBorder="1" applyAlignment="1">
      <alignment horizontal="center" wrapText="1"/>
    </xf>
    <xf numFmtId="177" fontId="335" fillId="0" borderId="0" xfId="25" applyNumberFormat="1" applyFont="1"/>
    <xf numFmtId="0" fontId="334" fillId="82" borderId="171" xfId="0" applyFont="1" applyFill="1" applyBorder="1"/>
    <xf numFmtId="167" fontId="334" fillId="82" borderId="0" xfId="0" applyNumberFormat="1" applyFont="1" applyFill="1" applyAlignment="1">
      <alignment horizontal="right"/>
    </xf>
    <xf numFmtId="0" fontId="335" fillId="82" borderId="0" xfId="0" applyFont="1" applyFill="1"/>
    <xf numFmtId="167" fontId="335" fillId="82" borderId="0" xfId="0" applyNumberFormat="1" applyFont="1" applyFill="1"/>
    <xf numFmtId="168" fontId="335" fillId="82" borderId="0" xfId="12" applyNumberFormat="1" applyFont="1" applyFill="1"/>
    <xf numFmtId="0" fontId="335" fillId="0" borderId="163" xfId="0" applyFont="1" applyBorder="1"/>
    <xf numFmtId="167" fontId="334" fillId="0" borderId="0" xfId="0" applyNumberFormat="1" applyFont="1" applyAlignment="1">
      <alignment horizontal="right"/>
    </xf>
    <xf numFmtId="167" fontId="334" fillId="18" borderId="0" xfId="0" applyNumberFormat="1" applyFont="1" applyFill="1" applyAlignment="1">
      <alignment horizontal="right"/>
    </xf>
    <xf numFmtId="43" fontId="335" fillId="0" borderId="0" xfId="0" applyNumberFormat="1" applyFont="1"/>
    <xf numFmtId="9" fontId="335" fillId="0" borderId="0" xfId="12" applyFont="1"/>
    <xf numFmtId="0" fontId="338" fillId="0" borderId="163" xfId="0" applyFont="1" applyBorder="1" applyAlignment="1">
      <alignment horizontal="left" indent="2"/>
    </xf>
    <xf numFmtId="167" fontId="335" fillId="0" borderId="0" xfId="0" applyNumberFormat="1" applyFont="1" applyAlignment="1">
      <alignment horizontal="right"/>
    </xf>
    <xf numFmtId="166" fontId="335" fillId="0" borderId="0" xfId="0" applyNumberFormat="1" applyFont="1"/>
    <xf numFmtId="167" fontId="337" fillId="82" borderId="0" xfId="0" applyNumberFormat="1" applyFont="1" applyFill="1" applyAlignment="1">
      <alignment horizontal="right"/>
    </xf>
    <xf numFmtId="0" fontId="336" fillId="0" borderId="163" xfId="0" applyFont="1" applyBorder="1" applyAlignment="1">
      <alignment horizontal="left" indent="2"/>
    </xf>
    <xf numFmtId="166" fontId="336" fillId="0" borderId="0" xfId="0" applyNumberFormat="1" applyFont="1"/>
    <xf numFmtId="168" fontId="336" fillId="0" borderId="0" xfId="12" applyNumberFormat="1" applyFont="1"/>
    <xf numFmtId="0" fontId="336" fillId="0" borderId="163" xfId="0" applyFont="1" applyBorder="1" applyAlignment="1">
      <alignment horizontal="left" indent="7"/>
    </xf>
    <xf numFmtId="0" fontId="338" fillId="0" borderId="195" xfId="0" applyFont="1" applyBorder="1" applyAlignment="1">
      <alignment horizontal="left" indent="2"/>
    </xf>
    <xf numFmtId="0" fontId="338" fillId="0" borderId="163" xfId="0" applyFont="1" applyBorder="1" applyAlignment="1">
      <alignment horizontal="left" indent="3"/>
    </xf>
    <xf numFmtId="166" fontId="338" fillId="0" borderId="0" xfId="0" applyNumberFormat="1" applyFont="1"/>
    <xf numFmtId="167" fontId="338" fillId="0" borderId="0" xfId="0" applyNumberFormat="1" applyFont="1" applyAlignment="1">
      <alignment horizontal="right"/>
    </xf>
    <xf numFmtId="0" fontId="334" fillId="0" borderId="163" xfId="0" applyFont="1" applyBorder="1" applyAlignment="1">
      <alignment horizontal="left" indent="9"/>
    </xf>
    <xf numFmtId="177" fontId="338" fillId="0" borderId="0" xfId="25" applyNumberFormat="1" applyFont="1"/>
    <xf numFmtId="167" fontId="335" fillId="0" borderId="0" xfId="0" applyNumberFormat="1" applyFont="1"/>
    <xf numFmtId="0" fontId="335" fillId="80" borderId="163" xfId="26" applyFont="1" applyFill="1" applyBorder="1" applyAlignment="1">
      <alignment horizontal="left" indent="10"/>
    </xf>
    <xf numFmtId="167" fontId="334" fillId="80" borderId="0" xfId="0" applyNumberFormat="1" applyFont="1" applyFill="1" applyAlignment="1">
      <alignment horizontal="right"/>
    </xf>
    <xf numFmtId="166" fontId="336" fillId="80" borderId="0" xfId="0" applyNumberFormat="1" applyFont="1" applyFill="1"/>
    <xf numFmtId="177" fontId="336" fillId="80" borderId="0" xfId="25" applyNumberFormat="1" applyFont="1" applyFill="1"/>
    <xf numFmtId="168" fontId="336" fillId="80" borderId="0" xfId="12" applyNumberFormat="1" applyFont="1" applyFill="1"/>
    <xf numFmtId="0" fontId="335" fillId="0" borderId="163" xfId="26" applyFont="1" applyBorder="1" applyAlignment="1">
      <alignment horizontal="left" indent="9"/>
    </xf>
    <xf numFmtId="0" fontId="334" fillId="0" borderId="163" xfId="0" applyFont="1" applyBorder="1"/>
    <xf numFmtId="166" fontId="335" fillId="18" borderId="0" xfId="0" applyNumberFormat="1" applyFont="1" applyFill="1"/>
    <xf numFmtId="0" fontId="335" fillId="0" borderId="163" xfId="0" applyFont="1" applyBorder="1" applyAlignment="1">
      <alignment horizontal="left" indent="2"/>
    </xf>
    <xf numFmtId="166" fontId="334" fillId="0" borderId="0" xfId="0" applyNumberFormat="1" applyFont="1"/>
    <xf numFmtId="166" fontId="334" fillId="18" borderId="0" xfId="0" applyNumberFormat="1" applyFont="1" applyFill="1"/>
    <xf numFmtId="0" fontId="337" fillId="0" borderId="0" xfId="0" applyFont="1"/>
    <xf numFmtId="166" fontId="337" fillId="0" borderId="0" xfId="0" applyNumberFormat="1" applyFont="1"/>
    <xf numFmtId="0" fontId="340" fillId="0" borderId="163" xfId="0" applyFont="1" applyBorder="1" applyAlignment="1">
      <alignment horizontal="left" indent="6"/>
    </xf>
    <xf numFmtId="0" fontId="334" fillId="0" borderId="0" xfId="0" applyFont="1"/>
    <xf numFmtId="0" fontId="335" fillId="0" borderId="163" xfId="0" applyFont="1" applyBorder="1" applyAlignment="1">
      <alignment horizontal="left" indent="4"/>
    </xf>
    <xf numFmtId="0" fontId="334" fillId="0" borderId="163" xfId="0" applyFont="1" applyBorder="1" applyAlignment="1">
      <alignment horizontal="left" indent="4"/>
    </xf>
    <xf numFmtId="167" fontId="334" fillId="0" borderId="0" xfId="0" applyNumberFormat="1" applyFont="1"/>
    <xf numFmtId="168" fontId="334" fillId="0" borderId="0" xfId="12" applyNumberFormat="1" applyFont="1"/>
    <xf numFmtId="0" fontId="335" fillId="0" borderId="163" xfId="0" applyFont="1" applyBorder="1" applyAlignment="1">
      <alignment horizontal="left" indent="6"/>
    </xf>
    <xf numFmtId="0" fontId="335" fillId="0" borderId="163" xfId="0" applyFont="1" applyBorder="1" applyAlignment="1">
      <alignment wrapText="1"/>
    </xf>
    <xf numFmtId="0" fontId="339" fillId="0" borderId="173" xfId="0" applyFont="1" applyBorder="1" applyAlignment="1">
      <alignment horizontal="left"/>
    </xf>
    <xf numFmtId="167" fontId="334" fillId="0" borderId="179" xfId="0" applyNumberFormat="1" applyFont="1" applyBorder="1" applyAlignment="1">
      <alignment horizontal="right"/>
    </xf>
    <xf numFmtId="0" fontId="339" fillId="6" borderId="173" xfId="0" applyFont="1" applyFill="1" applyBorder="1" applyAlignment="1">
      <alignment horizontal="left"/>
    </xf>
    <xf numFmtId="167" fontId="334" fillId="6" borderId="179" xfId="0" applyNumberFormat="1" applyFont="1" applyFill="1" applyBorder="1" applyAlignment="1">
      <alignment horizontal="right"/>
    </xf>
    <xf numFmtId="0" fontId="339" fillId="0" borderId="163" xfId="0" applyFont="1" applyBorder="1" applyAlignment="1">
      <alignment horizontal="left"/>
    </xf>
    <xf numFmtId="167" fontId="334" fillId="0" borderId="169" xfId="0" applyNumberFormat="1" applyFont="1" applyBorder="1" applyAlignment="1">
      <alignment horizontal="right"/>
    </xf>
    <xf numFmtId="0" fontId="334" fillId="0" borderId="163" xfId="0" applyFont="1" applyBorder="1" applyAlignment="1">
      <alignment horizontal="left" indent="10"/>
    </xf>
    <xf numFmtId="0" fontId="337" fillId="0" borderId="163" xfId="0" applyFont="1" applyBorder="1" applyAlignment="1">
      <alignment horizontal="left" indent="4"/>
    </xf>
    <xf numFmtId="0" fontId="342" fillId="73" borderId="163" xfId="0" applyFont="1" applyFill="1" applyBorder="1" applyAlignment="1">
      <alignment horizontal="left" indent="4"/>
    </xf>
    <xf numFmtId="166" fontId="340" fillId="73" borderId="0" xfId="0" applyNumberFormat="1" applyFont="1" applyFill="1"/>
    <xf numFmtId="167" fontId="342" fillId="73" borderId="0" xfId="0" applyNumberFormat="1" applyFont="1" applyFill="1" applyAlignment="1">
      <alignment horizontal="right"/>
    </xf>
    <xf numFmtId="0" fontId="343" fillId="0" borderId="163" xfId="0" applyFont="1" applyBorder="1" applyAlignment="1">
      <alignment horizontal="left" indent="6"/>
    </xf>
    <xf numFmtId="188" fontId="0" fillId="0" borderId="0" xfId="0" applyNumberFormat="1"/>
    <xf numFmtId="167" fontId="337" fillId="18" borderId="0" xfId="0" applyNumberFormat="1" applyFont="1" applyFill="1" applyAlignment="1">
      <alignment horizontal="right"/>
    </xf>
    <xf numFmtId="0" fontId="335" fillId="0" borderId="163" xfId="0" applyFont="1" applyBorder="1" applyAlignment="1">
      <alignment horizontal="left" indent="10"/>
    </xf>
    <xf numFmtId="0" fontId="335" fillId="0" borderId="163" xfId="0" applyFont="1" applyBorder="1" applyAlignment="1">
      <alignment horizontal="left" indent="8"/>
    </xf>
    <xf numFmtId="167" fontId="336" fillId="0" borderId="0" xfId="0" applyNumberFormat="1" applyFont="1"/>
    <xf numFmtId="167" fontId="340" fillId="73" borderId="0" xfId="0" applyNumberFormat="1" applyFont="1" applyFill="1"/>
    <xf numFmtId="174" fontId="335" fillId="0" borderId="0" xfId="1" applyNumberFormat="1" applyFont="1"/>
    <xf numFmtId="0" fontId="344" fillId="0" borderId="163" xfId="0" applyFont="1" applyBorder="1" applyAlignment="1">
      <alignment horizontal="left" indent="10"/>
    </xf>
    <xf numFmtId="166" fontId="345" fillId="0" borderId="0" xfId="0" applyNumberFormat="1" applyFont="1" applyAlignment="1">
      <alignment horizontal="left" indent="6"/>
    </xf>
    <xf numFmtId="167" fontId="344" fillId="0" borderId="0" xfId="0" applyNumberFormat="1" applyFont="1" applyAlignment="1">
      <alignment horizontal="left" indent="6"/>
    </xf>
    <xf numFmtId="167" fontId="345" fillId="82" borderId="0" xfId="0" applyNumberFormat="1" applyFont="1" applyFill="1" applyAlignment="1">
      <alignment horizontal="left" indent="6"/>
    </xf>
    <xf numFmtId="166" fontId="344" fillId="0" borderId="0" xfId="0" applyNumberFormat="1" applyFont="1"/>
    <xf numFmtId="166" fontId="344" fillId="0" borderId="0" xfId="0" applyNumberFormat="1" applyFont="1" applyAlignment="1">
      <alignment horizontal="left" indent="6"/>
    </xf>
    <xf numFmtId="174" fontId="344" fillId="0" borderId="0" xfId="1" applyNumberFormat="1" applyFont="1" applyAlignment="1">
      <alignment horizontal="left" indent="6"/>
    </xf>
    <xf numFmtId="0" fontId="344" fillId="0" borderId="0" xfId="0" applyFont="1" applyAlignment="1">
      <alignment horizontal="left" indent="6"/>
    </xf>
    <xf numFmtId="167" fontId="344" fillId="0" borderId="0" xfId="0" applyNumberFormat="1" applyFont="1"/>
    <xf numFmtId="167" fontId="336" fillId="18" borderId="0" xfId="0" applyNumberFormat="1" applyFont="1" applyFill="1"/>
    <xf numFmtId="0" fontId="343" fillId="73" borderId="163" xfId="0" applyFont="1" applyFill="1" applyBorder="1" applyAlignment="1">
      <alignment horizontal="left" indent="7"/>
    </xf>
    <xf numFmtId="167" fontId="335" fillId="73" borderId="0" xfId="0" applyNumberFormat="1" applyFont="1" applyFill="1"/>
    <xf numFmtId="167" fontId="337" fillId="73" borderId="0" xfId="0" applyNumberFormat="1" applyFont="1" applyFill="1" applyAlignment="1">
      <alignment horizontal="right"/>
    </xf>
    <xf numFmtId="167" fontId="338" fillId="73" borderId="0" xfId="0" applyNumberFormat="1" applyFont="1" applyFill="1"/>
    <xf numFmtId="0" fontId="335" fillId="0" borderId="163" xfId="0" applyFont="1" applyBorder="1" applyAlignment="1">
      <alignment horizontal="left" indent="5"/>
    </xf>
    <xf numFmtId="0" fontId="335" fillId="0" borderId="163" xfId="0" applyFont="1" applyBorder="1" applyAlignment="1">
      <alignment horizontal="left" indent="7"/>
    </xf>
    <xf numFmtId="0" fontId="346" fillId="0" borderId="163" xfId="0" applyFont="1" applyBorder="1" applyAlignment="1">
      <alignment horizontal="left" indent="6"/>
    </xf>
    <xf numFmtId="0" fontId="342" fillId="0" borderId="163" xfId="0" applyFont="1" applyBorder="1" applyAlignment="1">
      <alignment horizontal="left" indent="8"/>
    </xf>
    <xf numFmtId="0" fontId="342" fillId="0" borderId="163" xfId="0" applyFont="1" applyBorder="1" applyAlignment="1">
      <alignment horizontal="left" indent="11"/>
    </xf>
    <xf numFmtId="0" fontId="337" fillId="18" borderId="196" xfId="0" applyFont="1" applyFill="1" applyBorder="1"/>
    <xf numFmtId="167" fontId="335" fillId="16" borderId="0" xfId="0" applyNumberFormat="1" applyFont="1" applyFill="1"/>
    <xf numFmtId="167" fontId="335" fillId="20" borderId="0" xfId="0" applyNumberFormat="1" applyFont="1" applyFill="1"/>
    <xf numFmtId="0" fontId="334" fillId="0" borderId="179" xfId="0" applyFont="1" applyBorder="1"/>
    <xf numFmtId="167" fontId="334" fillId="20" borderId="179" xfId="0" applyNumberFormat="1" applyFont="1" applyFill="1" applyBorder="1"/>
    <xf numFmtId="0" fontId="347" fillId="0" borderId="0" xfId="0" applyFont="1"/>
    <xf numFmtId="0" fontId="339" fillId="0" borderId="0" xfId="0" applyFont="1"/>
    <xf numFmtId="0" fontId="338" fillId="0" borderId="0" xfId="0" applyFont="1"/>
    <xf numFmtId="49" fontId="339" fillId="0" borderId="31" xfId="5" applyNumberFormat="1" applyFont="1" applyBorder="1" applyAlignment="1">
      <alignment horizontal="center" vertical="center"/>
    </xf>
    <xf numFmtId="167" fontId="338" fillId="0" borderId="0" xfId="0" applyNumberFormat="1" applyFont="1"/>
    <xf numFmtId="0" fontId="339" fillId="0" borderId="179" xfId="0" applyFont="1" applyBorder="1"/>
    <xf numFmtId="166" fontId="339" fillId="0" borderId="179" xfId="0" applyNumberFormat="1" applyFont="1" applyBorder="1"/>
    <xf numFmtId="0" fontId="348" fillId="0" borderId="0" xfId="0" applyFont="1"/>
    <xf numFmtId="0" fontId="338" fillId="0" borderId="0" xfId="0" applyFont="1" applyAlignment="1">
      <alignment horizontal="left" indent="3"/>
    </xf>
    <xf numFmtId="166" fontId="339" fillId="0" borderId="0" xfId="0" applyNumberFormat="1" applyFont="1"/>
    <xf numFmtId="0" fontId="335" fillId="0" borderId="0" xfId="0" applyFont="1" applyAlignment="1">
      <alignment horizontal="left" indent="3"/>
    </xf>
    <xf numFmtId="0" fontId="335" fillId="0" borderId="197" xfId="0" applyFont="1" applyBorder="1" applyAlignment="1">
      <alignment horizontal="left" indent="3"/>
    </xf>
    <xf numFmtId="166" fontId="339" fillId="0" borderId="197" xfId="0" applyNumberFormat="1" applyFont="1" applyBorder="1"/>
    <xf numFmtId="3" fontId="335" fillId="0" borderId="0" xfId="0" applyNumberFormat="1" applyFont="1"/>
    <xf numFmtId="0" fontId="349" fillId="0" borderId="36" xfId="26" applyFont="1" applyBorder="1">
      <alignment vertical="top"/>
    </xf>
    <xf numFmtId="0" fontId="347" fillId="72" borderId="6" xfId="26" applyFont="1" applyFill="1" applyBorder="1" applyAlignment="1">
      <alignment horizontal="left" vertical="center"/>
    </xf>
    <xf numFmtId="0" fontId="337" fillId="20" borderId="6" xfId="26" applyFont="1" applyFill="1" applyBorder="1" applyAlignment="1">
      <alignment horizontal="center" vertical="center" wrapText="1"/>
    </xf>
    <xf numFmtId="0" fontId="339" fillId="72" borderId="0" xfId="26" applyFont="1" applyFill="1" applyAlignment="1">
      <alignment horizontal="center" vertical="center" wrapText="1"/>
    </xf>
    <xf numFmtId="0" fontId="339" fillId="0" borderId="6" xfId="26" applyFont="1" applyBorder="1" applyAlignment="1">
      <alignment horizontal="left" indent="1"/>
    </xf>
    <xf numFmtId="169" fontId="337" fillId="0" borderId="6" xfId="1" applyNumberFormat="1" applyFont="1" applyBorder="1" applyAlignment="1">
      <alignment horizontal="left" indent="1"/>
    </xf>
    <xf numFmtId="169" fontId="339" fillId="0" borderId="6" xfId="1" applyNumberFormat="1" applyFont="1" applyBorder="1" applyAlignment="1">
      <alignment horizontal="left" indent="1"/>
    </xf>
    <xf numFmtId="0" fontId="335" fillId="0" borderId="6" xfId="26" applyFont="1" applyBorder="1" applyAlignment="1">
      <alignment horizontal="left" indent="2"/>
    </xf>
    <xf numFmtId="187" fontId="336" fillId="0" borderId="6" xfId="1" applyNumberFormat="1" applyFont="1" applyBorder="1" applyAlignment="1">
      <alignment horizontal="right"/>
    </xf>
    <xf numFmtId="169" fontId="338" fillId="0" borderId="0" xfId="1" applyNumberFormat="1" applyFont="1" applyBorder="1" applyAlignment="1">
      <alignment horizontal="right"/>
    </xf>
    <xf numFmtId="169" fontId="350" fillId="0" borderId="0" xfId="27" applyNumberFormat="1" applyFont="1" applyFill="1" applyBorder="1" applyAlignment="1"/>
    <xf numFmtId="187" fontId="336" fillId="0" borderId="6" xfId="1" applyNumberFormat="1" applyFont="1" applyBorder="1" applyAlignment="1"/>
    <xf numFmtId="0" fontId="345" fillId="18" borderId="0" xfId="0" applyFont="1" applyFill="1"/>
    <xf numFmtId="0" fontId="337" fillId="18" borderId="0" xfId="0" applyFont="1" applyFill="1"/>
    <xf numFmtId="167" fontId="337" fillId="18" borderId="179" xfId="0" applyNumberFormat="1" applyFont="1" applyFill="1" applyBorder="1"/>
    <xf numFmtId="165" fontId="335" fillId="0" borderId="0" xfId="0" applyNumberFormat="1" applyFont="1"/>
    <xf numFmtId="0" fontId="334" fillId="83" borderId="198" xfId="0" applyFont="1" applyFill="1" applyBorder="1"/>
    <xf numFmtId="0" fontId="334" fillId="83" borderId="1" xfId="0" applyFont="1" applyFill="1" applyBorder="1"/>
    <xf numFmtId="165" fontId="334" fillId="83" borderId="1" xfId="0" applyNumberFormat="1" applyFont="1" applyFill="1" applyBorder="1"/>
    <xf numFmtId="165" fontId="337" fillId="83" borderId="1" xfId="0" applyNumberFormat="1" applyFont="1" applyFill="1" applyBorder="1"/>
    <xf numFmtId="167" fontId="334" fillId="83" borderId="1" xfId="0" applyNumberFormat="1" applyFont="1" applyFill="1" applyBorder="1"/>
    <xf numFmtId="167" fontId="334" fillId="83" borderId="2" xfId="0" applyNumberFormat="1" applyFont="1" applyFill="1" applyBorder="1"/>
    <xf numFmtId="0" fontId="339" fillId="83" borderId="199" xfId="0" applyFont="1" applyFill="1" applyBorder="1"/>
    <xf numFmtId="0" fontId="339" fillId="83" borderId="31" xfId="0" applyFont="1" applyFill="1" applyBorder="1"/>
    <xf numFmtId="165" fontId="339" fillId="83" borderId="31" xfId="0" applyNumberFormat="1" applyFont="1" applyFill="1" applyBorder="1"/>
    <xf numFmtId="167" fontId="339" fillId="83" borderId="31" xfId="0" applyNumberFormat="1" applyFont="1" applyFill="1" applyBorder="1"/>
    <xf numFmtId="167" fontId="339" fillId="83" borderId="200" xfId="0" applyNumberFormat="1" applyFont="1" applyFill="1" applyBorder="1"/>
    <xf numFmtId="0" fontId="342" fillId="83" borderId="201" xfId="0" applyFont="1" applyFill="1" applyBorder="1"/>
    <xf numFmtId="0" fontId="342" fillId="83" borderId="0" xfId="0" applyFont="1" applyFill="1"/>
    <xf numFmtId="165" fontId="342" fillId="83" borderId="0" xfId="0" applyNumberFormat="1" applyFont="1" applyFill="1"/>
    <xf numFmtId="167" fontId="342" fillId="83" borderId="0" xfId="0" applyNumberFormat="1" applyFont="1" applyFill="1"/>
    <xf numFmtId="167" fontId="342" fillId="83" borderId="3" xfId="0" applyNumberFormat="1" applyFont="1" applyFill="1" applyBorder="1"/>
    <xf numFmtId="0" fontId="340" fillId="0" borderId="0" xfId="0" applyFont="1"/>
    <xf numFmtId="0" fontId="334" fillId="83" borderId="201" xfId="0" applyFont="1" applyFill="1" applyBorder="1" applyAlignment="1">
      <alignment wrapText="1"/>
    </xf>
    <xf numFmtId="0" fontId="334" fillId="83" borderId="0" xfId="0" applyFont="1" applyFill="1"/>
    <xf numFmtId="165" fontId="334" fillId="83" borderId="0" xfId="0" applyNumberFormat="1" applyFont="1" applyFill="1"/>
    <xf numFmtId="165" fontId="337" fillId="83" borderId="0" xfId="0" applyNumberFormat="1" applyFont="1" applyFill="1"/>
    <xf numFmtId="167" fontId="334" fillId="83" borderId="0" xfId="0" applyNumberFormat="1" applyFont="1" applyFill="1"/>
    <xf numFmtId="167" fontId="334" fillId="83" borderId="3" xfId="0" applyNumberFormat="1" applyFont="1" applyFill="1" applyBorder="1"/>
    <xf numFmtId="0" fontId="334" fillId="83" borderId="202" xfId="0" applyFont="1" applyFill="1" applyBorder="1"/>
    <xf numFmtId="0" fontId="334" fillId="83" borderId="4" xfId="0" applyFont="1" applyFill="1" applyBorder="1"/>
    <xf numFmtId="165" fontId="334" fillId="83" borderId="4" xfId="0" applyNumberFormat="1" applyFont="1" applyFill="1" applyBorder="1"/>
    <xf numFmtId="165" fontId="337" fillId="83" borderId="4" xfId="0" applyNumberFormat="1" applyFont="1" applyFill="1" applyBorder="1"/>
    <xf numFmtId="167" fontId="334" fillId="83" borderId="4" xfId="0" applyNumberFormat="1" applyFont="1" applyFill="1" applyBorder="1"/>
    <xf numFmtId="167" fontId="334" fillId="83" borderId="5" xfId="0" applyNumberFormat="1" applyFont="1" applyFill="1" applyBorder="1"/>
    <xf numFmtId="165" fontId="336" fillId="0" borderId="0" xfId="0" applyNumberFormat="1" applyFont="1"/>
    <xf numFmtId="167" fontId="351" fillId="0" borderId="0" xfId="0" applyNumberFormat="1" applyFont="1"/>
    <xf numFmtId="0" fontId="352" fillId="0" borderId="203" xfId="0" applyFont="1" applyBorder="1"/>
    <xf numFmtId="0" fontId="353" fillId="0" borderId="203" xfId="0" applyFont="1" applyBorder="1"/>
    <xf numFmtId="0" fontId="354" fillId="0" borderId="203" xfId="0" applyFont="1" applyBorder="1"/>
    <xf numFmtId="0" fontId="354" fillId="0" borderId="0" xfId="0" applyFont="1"/>
    <xf numFmtId="0" fontId="352" fillId="0" borderId="179" xfId="0" applyFont="1" applyBorder="1"/>
    <xf numFmtId="0" fontId="353" fillId="0" borderId="179" xfId="0" applyFont="1" applyBorder="1"/>
    <xf numFmtId="0" fontId="354" fillId="0" borderId="179" xfId="0" applyFont="1" applyBorder="1"/>
    <xf numFmtId="0" fontId="352" fillId="0" borderId="0" xfId="0" applyFont="1"/>
    <xf numFmtId="0" fontId="353" fillId="0" borderId="0" xfId="0" applyFont="1"/>
    <xf numFmtId="167" fontId="352" fillId="0" borderId="0" xfId="0" applyNumberFormat="1" applyFont="1"/>
    <xf numFmtId="167" fontId="352" fillId="0" borderId="169" xfId="0" applyNumberFormat="1" applyFont="1" applyBorder="1"/>
    <xf numFmtId="167" fontId="354" fillId="0" borderId="0" xfId="0" applyNumberFormat="1" applyFont="1"/>
    <xf numFmtId="0" fontId="354" fillId="0" borderId="204" xfId="0" applyFont="1" applyBorder="1"/>
    <xf numFmtId="0" fontId="355" fillId="0" borderId="204" xfId="0" applyFont="1" applyBorder="1"/>
    <xf numFmtId="167" fontId="354" fillId="0" borderId="204" xfId="0" applyNumberFormat="1" applyFont="1" applyBorder="1"/>
    <xf numFmtId="0" fontId="356" fillId="0" borderId="0" xfId="0" applyFont="1"/>
    <xf numFmtId="0" fontId="357" fillId="0" borderId="0" xfId="0" applyFont="1"/>
    <xf numFmtId="167" fontId="356" fillId="0" borderId="0" xfId="0" applyNumberFormat="1" applyFont="1"/>
    <xf numFmtId="0" fontId="183" fillId="29" borderId="0" xfId="9" applyFont="1" applyFill="1" applyAlignment="1">
      <alignment horizontal="left" indent="6"/>
    </xf>
    <xf numFmtId="167" fontId="63" fillId="104" borderId="0" xfId="0" applyNumberFormat="1" applyFont="1" applyFill="1"/>
    <xf numFmtId="0" fontId="352" fillId="0" borderId="179" xfId="0" applyFont="1" applyBorder="1" applyAlignment="1">
      <alignment horizontal="center"/>
    </xf>
    <xf numFmtId="0" fontId="335" fillId="0" borderId="163" xfId="0" applyFont="1" applyBorder="1" applyAlignment="1">
      <alignment horizontal="left" indent="1"/>
    </xf>
    <xf numFmtId="0" fontId="337" fillId="0" borderId="163" xfId="0" applyFont="1" applyBorder="1" applyAlignment="1">
      <alignment horizontal="left" indent="7"/>
    </xf>
    <xf numFmtId="166" fontId="335" fillId="0" borderId="0" xfId="0" applyNumberFormat="1" applyFont="1" applyAlignment="1">
      <alignment horizontal="left" indent="3"/>
    </xf>
    <xf numFmtId="167" fontId="337" fillId="82" borderId="0" xfId="0" applyNumberFormat="1" applyFont="1" applyFill="1" applyAlignment="1">
      <alignment horizontal="left" indent="3"/>
    </xf>
    <xf numFmtId="43" fontId="59" fillId="0" borderId="0" xfId="0" applyNumberFormat="1" applyFont="1"/>
    <xf numFmtId="164" fontId="59" fillId="0" borderId="0" xfId="0" applyNumberFormat="1" applyFont="1"/>
    <xf numFmtId="184" fontId="358" fillId="0" borderId="6" xfId="1" applyNumberFormat="1" applyFont="1" applyFill="1" applyBorder="1" applyAlignment="1">
      <alignment horizontal="center"/>
    </xf>
    <xf numFmtId="184" fontId="359" fillId="73" borderId="173" xfId="1" applyNumberFormat="1" applyFont="1" applyFill="1" applyBorder="1" applyAlignment="1">
      <alignment horizontal="center"/>
    </xf>
    <xf numFmtId="189" fontId="286" fillId="20" borderId="0" xfId="17" applyNumberFormat="1" applyFont="1" applyFill="1"/>
    <xf numFmtId="43" fontId="286" fillId="83" borderId="0" xfId="0" applyNumberFormat="1" applyFont="1" applyFill="1"/>
    <xf numFmtId="3" fontId="59" fillId="0" borderId="0" xfId="0" applyNumberFormat="1" applyFont="1"/>
    <xf numFmtId="0" fontId="59" fillId="0" borderId="0" xfId="0" applyFont="1"/>
    <xf numFmtId="167" fontId="63" fillId="7" borderId="0" xfId="0" applyNumberFormat="1" applyFont="1" applyFill="1" applyAlignment="1">
      <alignment horizontal="right"/>
    </xf>
    <xf numFmtId="167" fontId="63" fillId="7" borderId="0" xfId="0" applyNumberFormat="1" applyFont="1" applyFill="1"/>
    <xf numFmtId="167" fontId="298" fillId="7" borderId="0" xfId="0" applyNumberFormat="1" applyFont="1" applyFill="1"/>
    <xf numFmtId="0" fontId="0" fillId="7" borderId="0" xfId="0" applyFill="1"/>
    <xf numFmtId="167" fontId="67" fillId="7" borderId="0" xfId="0" applyNumberFormat="1" applyFont="1" applyFill="1" applyAlignment="1">
      <alignment horizontal="right"/>
    </xf>
    <xf numFmtId="167" fontId="65" fillId="7" borderId="0" xfId="0" applyNumberFormat="1" applyFont="1" applyFill="1"/>
    <xf numFmtId="167" fontId="60" fillId="7" borderId="0" xfId="0" applyNumberFormat="1" applyFont="1" applyFill="1"/>
    <xf numFmtId="167" fontId="200" fillId="53" borderId="0" xfId="0" applyNumberFormat="1" applyFont="1" applyFill="1"/>
    <xf numFmtId="167" fontId="240" fillId="53" borderId="0" xfId="0" applyNumberFormat="1" applyFont="1" applyFill="1" applyAlignment="1">
      <alignment horizontal="right"/>
    </xf>
    <xf numFmtId="167" fontId="308" fillId="7" borderId="0" xfId="0" applyNumberFormat="1" applyFont="1" applyFill="1"/>
    <xf numFmtId="43" fontId="59" fillId="0" borderId="0" xfId="0" applyNumberFormat="1" applyFont="1"/>
    <xf numFmtId="167" fontId="65" fillId="104" borderId="0" xfId="0" applyNumberFormat="1" applyFont="1" applyFill="1"/>
    <xf numFmtId="0" fontId="70" fillId="7" borderId="0" xfId="0" applyFont="1" applyFill="1"/>
    <xf numFmtId="0" fontId="70" fillId="104" borderId="0" xfId="0" applyFont="1" applyFill="1"/>
    <xf numFmtId="167" fontId="63" fillId="84" borderId="0" xfId="0" applyNumberFormat="1" applyFont="1" applyFill="1"/>
    <xf numFmtId="167" fontId="63" fillId="104" borderId="0" xfId="0" applyNumberFormat="1" applyFont="1" applyFill="1"/>
    <xf numFmtId="167" fontId="63" fillId="85" borderId="0" xfId="0" applyNumberFormat="1" applyFont="1" applyFill="1" applyAlignment="1">
      <alignment horizontal="right"/>
    </xf>
    <xf numFmtId="167" fontId="63" fillId="104" borderId="0" xfId="0" applyNumberFormat="1" applyFont="1" applyFill="1" applyAlignment="1">
      <alignment horizontal="right"/>
    </xf>
    <xf numFmtId="167" fontId="63" fillId="86" borderId="0" xfId="0" applyNumberFormat="1" applyFont="1" applyFill="1" applyAlignment="1">
      <alignment horizontal="right"/>
    </xf>
    <xf numFmtId="167" fontId="61" fillId="104" borderId="0" xfId="0" applyNumberFormat="1" applyFont="1" applyFill="1" applyAlignment="1">
      <alignment horizontal="right"/>
    </xf>
    <xf numFmtId="167" fontId="99" fillId="7" borderId="0" xfId="0" applyNumberFormat="1" applyFont="1" applyFill="1" applyAlignment="1">
      <alignment horizontal="right"/>
    </xf>
    <xf numFmtId="167" fontId="240" fillId="105" borderId="0" xfId="0" applyNumberFormat="1" applyFont="1" applyFill="1" applyAlignment="1">
      <alignment horizontal="right"/>
    </xf>
    <xf numFmtId="167" fontId="0" fillId="85" borderId="0" xfId="0" applyNumberFormat="1" applyFill="1" applyAlignment="1">
      <alignment horizontal="right"/>
    </xf>
    <xf numFmtId="167" fontId="101" fillId="7" borderId="0" xfId="0" applyNumberFormat="1" applyFont="1" applyFill="1"/>
    <xf numFmtId="167" fontId="61" fillId="104" borderId="0" xfId="0" applyNumberFormat="1" applyFont="1" applyFill="1"/>
    <xf numFmtId="167" fontId="298" fillId="104" borderId="0" xfId="0" applyNumberFormat="1" applyFont="1" applyFill="1"/>
    <xf numFmtId="167" fontId="60" fillId="104" borderId="0" xfId="0" applyNumberFormat="1" applyFont="1" applyFill="1"/>
    <xf numFmtId="0" fontId="61" fillId="7" borderId="0" xfId="0" applyFont="1" applyFill="1"/>
    <xf numFmtId="0" fontId="0" fillId="104" borderId="0" xfId="0" applyFill="1"/>
    <xf numFmtId="167" fontId="63" fillId="7" borderId="205" xfId="0" applyNumberFormat="1" applyFont="1" applyFill="1" applyBorder="1"/>
    <xf numFmtId="167" fontId="63" fillId="7" borderId="206" xfId="0" applyNumberFormat="1" applyFont="1" applyFill="1" applyBorder="1"/>
    <xf numFmtId="164" fontId="286" fillId="0" borderId="0" xfId="17" applyFont="1"/>
    <xf numFmtId="164" fontId="286" fillId="0" borderId="0" xfId="0" applyNumberFormat="1" applyFont="1"/>
    <xf numFmtId="43" fontId="286" fillId="0" borderId="0" xfId="0" applyNumberFormat="1" applyFont="1"/>
    <xf numFmtId="0" fontId="0" fillId="19" borderId="164" xfId="0" applyFont="1" applyFill="1" applyBorder="1"/>
    <xf numFmtId="166" fontId="71" fillId="19" borderId="164" xfId="0" applyNumberFormat="1" applyFont="1" applyFill="1" applyBorder="1"/>
    <xf numFmtId="0" fontId="368" fillId="137" borderId="0" xfId="0" applyFont="1" applyFill="1"/>
    <xf numFmtId="41" fontId="0" fillId="0" borderId="1" xfId="216" applyFont="1" applyBorder="1"/>
    <xf numFmtId="41" fontId="0" fillId="0" borderId="0" xfId="216" applyFont="1" applyBorder="1"/>
    <xf numFmtId="41" fontId="0" fillId="0" borderId="3" xfId="216" applyFont="1" applyBorder="1"/>
    <xf numFmtId="41" fontId="0" fillId="0" borderId="4" xfId="216" applyFont="1" applyBorder="1"/>
    <xf numFmtId="41" fontId="0" fillId="0" borderId="5" xfId="216" applyFont="1" applyBorder="1"/>
    <xf numFmtId="41" fontId="0" fillId="0" borderId="2" xfId="216" applyFont="1" applyBorder="1"/>
    <xf numFmtId="41" fontId="0" fillId="0" borderId="0" xfId="216" applyFont="1"/>
    <xf numFmtId="41" fontId="376" fillId="138" borderId="0" xfId="0" applyNumberFormat="1" applyFont="1" applyFill="1"/>
    <xf numFmtId="0" fontId="376" fillId="138" borderId="0" xfId="0" applyFont="1" applyFill="1"/>
    <xf numFmtId="41" fontId="0" fillId="0" borderId="0" xfId="0" applyNumberFormat="1"/>
    <xf numFmtId="3" fontId="60" fillId="0" borderId="0" xfId="0" applyNumberFormat="1" applyFont="1"/>
    <xf numFmtId="43" fontId="0" fillId="0" borderId="0" xfId="0" applyNumberFormat="1"/>
    <xf numFmtId="167" fontId="99" fillId="29" borderId="0" xfId="0" applyNumberFormat="1" applyFont="1" applyFill="1" applyBorder="1" applyAlignment="1">
      <alignment horizontal="right"/>
    </xf>
    <xf numFmtId="43" fontId="146" fillId="0" borderId="0" xfId="0" applyNumberFormat="1" applyFont="1"/>
    <xf numFmtId="0" fontId="340" fillId="0" borderId="163" xfId="0" applyFont="1" applyBorder="1" applyAlignment="1">
      <alignment horizontal="left" indent="2"/>
    </xf>
    <xf numFmtId="167" fontId="342" fillId="0" borderId="0" xfId="0" applyNumberFormat="1" applyFont="1" applyAlignment="1">
      <alignment horizontal="right"/>
    </xf>
    <xf numFmtId="167" fontId="342" fillId="82" borderId="0" xfId="0" applyNumberFormat="1" applyFont="1" applyFill="1" applyAlignment="1">
      <alignment horizontal="right"/>
    </xf>
    <xf numFmtId="0" fontId="340" fillId="0" borderId="163" xfId="0" applyFont="1" applyBorder="1" applyAlignment="1">
      <alignment horizontal="left" indent="7"/>
    </xf>
    <xf numFmtId="167" fontId="340" fillId="0" borderId="0" xfId="0" applyNumberFormat="1" applyFont="1"/>
    <xf numFmtId="166" fontId="340" fillId="0" borderId="0" xfId="0" applyNumberFormat="1" applyFont="1"/>
    <xf numFmtId="10" fontId="286" fillId="83" borderId="0" xfId="0" applyNumberFormat="1" applyFont="1" applyFill="1"/>
    <xf numFmtId="10" fontId="286" fillId="83" borderId="0" xfId="12" applyNumberFormat="1" applyFont="1" applyFill="1"/>
    <xf numFmtId="166" fontId="286" fillId="18" borderId="0" xfId="0" applyNumberFormat="1" applyFont="1" applyFill="1"/>
    <xf numFmtId="10" fontId="9" fillId="5" borderId="0" xfId="12" applyNumberFormat="1" applyFont="1" applyFill="1" applyAlignment="1">
      <alignment horizontal="right" wrapText="1"/>
    </xf>
    <xf numFmtId="0" fontId="66" fillId="3" borderId="59" xfId="0" applyFont="1" applyFill="1" applyBorder="1" applyAlignment="1">
      <alignment horizontal="center"/>
    </xf>
    <xf numFmtId="0" fontId="66" fillId="3" borderId="60" xfId="0" applyFont="1" applyFill="1" applyBorder="1" applyAlignment="1">
      <alignment horizontal="center"/>
    </xf>
    <xf numFmtId="0" fontId="66" fillId="4" borderId="59" xfId="0" applyFont="1" applyFill="1" applyBorder="1" applyAlignment="1">
      <alignment horizontal="center"/>
    </xf>
    <xf numFmtId="0" fontId="66" fillId="4" borderId="60" xfId="0" applyFont="1" applyFill="1" applyBorder="1" applyAlignment="1">
      <alignment horizontal="center"/>
    </xf>
    <xf numFmtId="17" fontId="287" fillId="83" borderId="29" xfId="0" applyNumberFormat="1" applyFont="1" applyFill="1" applyBorder="1" applyAlignment="1">
      <alignment horizontal="center" vertical="center" wrapText="1"/>
    </xf>
    <xf numFmtId="0" fontId="287" fillId="83" borderId="150" xfId="0" applyFont="1" applyFill="1" applyBorder="1" applyAlignment="1">
      <alignment horizontal="center" vertical="center" wrapText="1"/>
    </xf>
    <xf numFmtId="0" fontId="287" fillId="73" borderId="29" xfId="0" applyFont="1" applyFill="1" applyBorder="1" applyAlignment="1">
      <alignment horizontal="center" vertical="center"/>
    </xf>
    <xf numFmtId="0" fontId="287" fillId="73" borderId="150" xfId="0" applyFont="1" applyFill="1" applyBorder="1" applyAlignment="1">
      <alignment horizontal="center" vertical="center"/>
    </xf>
    <xf numFmtId="0" fontId="286" fillId="0" borderId="31" xfId="0" applyFont="1" applyBorder="1" applyAlignment="1">
      <alignment horizontal="center"/>
    </xf>
    <xf numFmtId="0" fontId="9" fillId="81" borderId="29" xfId="18" applyFont="1" applyFill="1" applyBorder="1" applyAlignment="1">
      <alignment horizontal="center" vertical="center"/>
    </xf>
    <xf numFmtId="0" fontId="9" fillId="81" borderId="150" xfId="18" applyFont="1" applyFill="1" applyBorder="1" applyAlignment="1">
      <alignment horizontal="center" vertical="center"/>
    </xf>
    <xf numFmtId="166" fontId="287" fillId="20" borderId="169" xfId="0" applyNumberFormat="1" applyFont="1" applyFill="1" applyBorder="1" applyAlignment="1">
      <alignment horizontal="center" vertical="center" wrapText="1"/>
    </xf>
    <xf numFmtId="166" fontId="287" fillId="20" borderId="150" xfId="0" applyNumberFormat="1" applyFont="1" applyFill="1" applyBorder="1" applyAlignment="1">
      <alignment horizontal="center" vertical="center" wrapText="1"/>
    </xf>
    <xf numFmtId="166" fontId="287" fillId="20" borderId="169" xfId="0" applyNumberFormat="1" applyFont="1" applyFill="1" applyBorder="1" applyAlignment="1">
      <alignment horizontal="center" vertical="center"/>
    </xf>
    <xf numFmtId="166" fontId="287" fillId="20" borderId="150" xfId="0" applyNumberFormat="1" applyFont="1" applyFill="1" applyBorder="1" applyAlignment="1">
      <alignment horizontal="center" vertical="center"/>
    </xf>
    <xf numFmtId="17" fontId="287" fillId="83" borderId="169" xfId="0" applyNumberFormat="1" applyFont="1" applyFill="1" applyBorder="1" applyAlignment="1">
      <alignment horizontal="center" vertical="center" wrapText="1"/>
    </xf>
    <xf numFmtId="0" fontId="287" fillId="73" borderId="169" xfId="0" applyFont="1" applyFill="1" applyBorder="1" applyAlignment="1">
      <alignment horizontal="center" vertical="center"/>
    </xf>
    <xf numFmtId="17" fontId="287" fillId="5" borderId="169" xfId="0" applyNumberFormat="1" applyFont="1" applyFill="1" applyBorder="1" applyAlignment="1">
      <alignment horizontal="center" vertical="center" wrapText="1"/>
    </xf>
    <xf numFmtId="0" fontId="287" fillId="5" borderId="150" xfId="0" applyFont="1" applyFill="1" applyBorder="1" applyAlignment="1">
      <alignment horizontal="center" vertical="center" wrapText="1"/>
    </xf>
    <xf numFmtId="0" fontId="287" fillId="5" borderId="169" xfId="0" applyFont="1" applyFill="1" applyBorder="1" applyAlignment="1">
      <alignment horizontal="center" vertical="center"/>
    </xf>
    <xf numFmtId="0" fontId="287" fillId="5" borderId="150" xfId="0" applyFont="1" applyFill="1" applyBorder="1" applyAlignment="1">
      <alignment horizontal="center" vertical="center"/>
    </xf>
    <xf numFmtId="166" fontId="287" fillId="20" borderId="29" xfId="0" applyNumberFormat="1" applyFont="1" applyFill="1" applyBorder="1" applyAlignment="1">
      <alignment horizontal="center" vertical="center" wrapText="1"/>
    </xf>
    <xf numFmtId="17" fontId="287" fillId="82" borderId="29" xfId="0" applyNumberFormat="1" applyFont="1" applyFill="1" applyBorder="1" applyAlignment="1">
      <alignment horizontal="center" vertical="center" wrapText="1"/>
    </xf>
    <xf numFmtId="0" fontId="287" fillId="82" borderId="150" xfId="0" applyFont="1" applyFill="1" applyBorder="1" applyAlignment="1">
      <alignment horizontal="center" vertical="center" wrapText="1"/>
    </xf>
    <xf numFmtId="0" fontId="287" fillId="10" borderId="29" xfId="0" applyFont="1" applyFill="1" applyBorder="1" applyAlignment="1">
      <alignment horizontal="center" vertical="center"/>
    </xf>
    <xf numFmtId="0" fontId="287" fillId="10" borderId="150" xfId="0" applyFont="1" applyFill="1" applyBorder="1" applyAlignment="1">
      <alignment horizontal="center" vertical="center"/>
    </xf>
    <xf numFmtId="169" fontId="9" fillId="83" borderId="29" xfId="19" applyNumberFormat="1" applyFont="1" applyFill="1" applyBorder="1" applyAlignment="1">
      <alignment horizontal="center" vertical="center" wrapText="1"/>
    </xf>
    <xf numFmtId="169" fontId="9" fillId="83" borderId="150" xfId="19" applyNumberFormat="1" applyFont="1" applyFill="1" applyBorder="1" applyAlignment="1">
      <alignment horizontal="center" vertical="center" wrapText="1"/>
    </xf>
    <xf numFmtId="0" fontId="287" fillId="83" borderId="29" xfId="0" applyFont="1" applyFill="1" applyBorder="1" applyAlignment="1">
      <alignment horizontal="center" vertical="center"/>
    </xf>
    <xf numFmtId="0" fontId="287" fillId="83" borderId="150" xfId="0" applyFont="1" applyFill="1" applyBorder="1" applyAlignment="1">
      <alignment horizontal="center" vertical="center"/>
    </xf>
    <xf numFmtId="0" fontId="286" fillId="20" borderId="31" xfId="0" applyFont="1" applyFill="1" applyBorder="1" applyAlignment="1">
      <alignment horizontal="center"/>
    </xf>
    <xf numFmtId="17" fontId="287" fillId="5" borderId="29" xfId="0" applyNumberFormat="1" applyFont="1" applyFill="1" applyBorder="1" applyAlignment="1">
      <alignment horizontal="center" vertical="center" wrapText="1"/>
    </xf>
    <xf numFmtId="0" fontId="287" fillId="5" borderId="29" xfId="0" applyFont="1" applyFill="1" applyBorder="1" applyAlignment="1">
      <alignment horizontal="center" vertical="center"/>
    </xf>
    <xf numFmtId="166" fontId="287" fillId="20" borderId="29" xfId="0" applyNumberFormat="1" applyFont="1" applyFill="1" applyBorder="1" applyAlignment="1">
      <alignment horizontal="center" vertical="center"/>
    </xf>
    <xf numFmtId="167" fontId="352" fillId="0" borderId="0" xfId="0" applyNumberFormat="1" applyFont="1" applyAlignment="1">
      <alignment horizontal="center"/>
    </xf>
    <xf numFmtId="167" fontId="354" fillId="0" borderId="204" xfId="0" applyNumberFormat="1" applyFont="1" applyBorder="1" applyAlignment="1">
      <alignment horizontal="center"/>
    </xf>
    <xf numFmtId="0" fontId="352" fillId="0" borderId="179" xfId="0" applyFont="1" applyBorder="1" applyAlignment="1">
      <alignment horizontal="center"/>
    </xf>
    <xf numFmtId="0" fontId="334" fillId="0" borderId="179" xfId="0" applyFont="1" applyBorder="1" applyAlignment="1">
      <alignment horizontal="center" vertical="top"/>
    </xf>
    <xf numFmtId="167" fontId="352" fillId="0" borderId="169" xfId="0" applyNumberFormat="1" applyFont="1" applyBorder="1" applyAlignment="1">
      <alignment horizontal="center"/>
    </xf>
    <xf numFmtId="0" fontId="334" fillId="0" borderId="171" xfId="0" applyFont="1" applyBorder="1" applyAlignment="1">
      <alignment horizontal="center" vertical="top"/>
    </xf>
    <xf numFmtId="0" fontId="334" fillId="0" borderId="36" xfId="0" applyFont="1" applyBorder="1" applyAlignment="1">
      <alignment horizontal="center" vertical="top"/>
    </xf>
    <xf numFmtId="0" fontId="334" fillId="18" borderId="179" xfId="0" applyFont="1" applyFill="1" applyBorder="1" applyAlignment="1">
      <alignment horizontal="center" vertical="top"/>
    </xf>
    <xf numFmtId="172" fontId="109" fillId="18" borderId="0" xfId="0" applyNumberFormat="1" applyFont="1" applyFill="1" applyAlignment="1">
      <alignment horizontal="center" textRotation="90"/>
    </xf>
    <xf numFmtId="172" fontId="110" fillId="0" borderId="39" xfId="0" applyNumberFormat="1" applyFont="1" applyBorder="1" applyAlignment="1">
      <alignment wrapText="1"/>
    </xf>
    <xf numFmtId="172" fontId="110" fillId="0" borderId="33" xfId="0" applyNumberFormat="1" applyFont="1" applyBorder="1" applyAlignment="1">
      <alignment wrapText="1"/>
    </xf>
    <xf numFmtId="167" fontId="123" fillId="0" borderId="39" xfId="0" applyNumberFormat="1" applyFont="1" applyBorder="1" applyAlignment="1">
      <alignment wrapText="1"/>
    </xf>
    <xf numFmtId="0" fontId="64" fillId="0" borderId="33" xfId="0" applyFont="1" applyBorder="1" applyAlignment="1">
      <alignment wrapText="1"/>
    </xf>
    <xf numFmtId="0" fontId="35" fillId="56" borderId="31" xfId="0" applyFont="1" applyFill="1" applyBorder="1" applyAlignment="1">
      <alignment horizontal="center"/>
    </xf>
    <xf numFmtId="0" fontId="320" fillId="0" borderId="31" xfId="0" applyFont="1" applyBorder="1" applyAlignment="1">
      <alignment horizontal="center"/>
    </xf>
    <xf numFmtId="0" fontId="320" fillId="0" borderId="0" xfId="0" applyFont="1" applyAlignment="1">
      <alignment horizontal="center"/>
    </xf>
    <xf numFmtId="0" fontId="35" fillId="18" borderId="31" xfId="0" applyFont="1" applyFill="1" applyBorder="1" applyAlignment="1">
      <alignment horizontal="center"/>
    </xf>
    <xf numFmtId="0" fontId="35" fillId="18" borderId="0" xfId="0" applyFont="1" applyFill="1" applyAlignment="1">
      <alignment horizontal="center"/>
    </xf>
    <xf numFmtId="0" fontId="321" fillId="29" borderId="179" xfId="0" applyFont="1" applyFill="1" applyBorder="1" applyAlignment="1">
      <alignment horizontal="center"/>
    </xf>
    <xf numFmtId="4" fontId="220" fillId="95" borderId="180" xfId="0" applyNumberFormat="1" applyFont="1" applyFill="1" applyBorder="1" applyAlignment="1">
      <alignment horizontal="center"/>
    </xf>
    <xf numFmtId="4" fontId="220" fillId="95" borderId="33" xfId="0" applyNumberFormat="1" applyFont="1" applyFill="1" applyBorder="1" applyAlignment="1">
      <alignment horizontal="center"/>
    </xf>
    <xf numFmtId="1" fontId="220" fillId="0" borderId="173" xfId="0" applyNumberFormat="1" applyFont="1" applyBorder="1" applyAlignment="1">
      <alignment horizontal="center"/>
    </xf>
    <xf numFmtId="1" fontId="220" fillId="0" borderId="174" xfId="0" applyNumberFormat="1" applyFont="1" applyBorder="1" applyAlignment="1">
      <alignment horizontal="center"/>
    </xf>
    <xf numFmtId="1" fontId="220" fillId="0" borderId="36" xfId="0" applyNumberFormat="1" applyFont="1" applyBorder="1" applyAlignment="1">
      <alignment horizontal="center"/>
    </xf>
    <xf numFmtId="1" fontId="220" fillId="0" borderId="31" xfId="0" applyNumberFormat="1" applyFont="1" applyBorder="1" applyAlignment="1">
      <alignment horizontal="center"/>
    </xf>
    <xf numFmtId="0" fontId="261" fillId="102" borderId="181" xfId="8" applyFont="1" applyFill="1" applyBorder="1" applyAlignment="1">
      <alignment horizontal="center" vertical="center" wrapText="1"/>
    </xf>
    <xf numFmtId="0" fontId="261" fillId="102" borderId="184" xfId="8" applyFont="1" applyFill="1" applyBorder="1" applyAlignment="1">
      <alignment horizontal="center" vertical="center" wrapText="1"/>
    </xf>
    <xf numFmtId="0" fontId="321" fillId="102" borderId="183" xfId="8" applyFont="1" applyFill="1" applyBorder="1" applyAlignment="1">
      <alignment horizontal="center"/>
    </xf>
    <xf numFmtId="0" fontId="321" fillId="102" borderId="182" xfId="8" applyFont="1" applyFill="1" applyBorder="1" applyAlignment="1">
      <alignment horizontal="center"/>
    </xf>
    <xf numFmtId="0" fontId="330" fillId="103" borderId="192" xfId="0" applyFont="1" applyFill="1" applyBorder="1" applyAlignment="1">
      <alignment horizontal="right" vertical="center" wrapText="1"/>
    </xf>
    <xf numFmtId="0" fontId="330" fillId="103" borderId="188" xfId="0" applyFont="1" applyFill="1" applyBorder="1" applyAlignment="1">
      <alignment horizontal="right" vertical="center" wrapText="1"/>
    </xf>
    <xf numFmtId="0" fontId="234" fillId="103" borderId="192" xfId="0" applyFont="1" applyFill="1" applyBorder="1" applyAlignment="1">
      <alignment horizontal="right" vertical="center" wrapText="1"/>
    </xf>
    <xf numFmtId="0" fontId="234" fillId="103" borderId="188" xfId="0" applyFont="1" applyFill="1" applyBorder="1" applyAlignment="1">
      <alignment horizontal="right" vertical="center" wrapText="1"/>
    </xf>
    <xf numFmtId="0" fontId="234" fillId="103" borderId="189" xfId="0" applyFont="1" applyFill="1" applyBorder="1" applyAlignment="1">
      <alignment horizontal="right" vertical="center" wrapText="1"/>
    </xf>
    <xf numFmtId="0" fontId="3" fillId="103" borderId="189" xfId="0" applyFont="1" applyFill="1" applyBorder="1" applyAlignment="1">
      <alignment horizontal="right" vertical="center" wrapText="1"/>
    </xf>
    <xf numFmtId="0" fontId="327" fillId="103" borderId="190" xfId="0" applyFont="1" applyFill="1" applyBorder="1" applyAlignment="1">
      <alignment vertical="center" wrapText="1"/>
    </xf>
    <xf numFmtId="0" fontId="329" fillId="103" borderId="192" xfId="0" applyFont="1" applyFill="1" applyBorder="1" applyAlignment="1">
      <alignment horizontal="right" vertical="center" wrapText="1"/>
    </xf>
    <xf numFmtId="0" fontId="329" fillId="103" borderId="188" xfId="0" applyFont="1" applyFill="1" applyBorder="1" applyAlignment="1">
      <alignment horizontal="right" vertical="center" wrapText="1"/>
    </xf>
    <xf numFmtId="0" fontId="0" fillId="0" borderId="0" xfId="0" applyAlignment="1">
      <alignment horizontal="left"/>
    </xf>
    <xf numFmtId="0" fontId="60" fillId="0" borderId="0" xfId="0" applyFont="1" applyAlignment="1">
      <alignment horizontal="left"/>
    </xf>
    <xf numFmtId="0" fontId="0" fillId="83" borderId="15" xfId="0" applyFill="1" applyBorder="1" applyAlignment="1">
      <alignment horizontal="left" vertical="center"/>
    </xf>
    <xf numFmtId="0" fontId="0" fillId="83" borderId="12" xfId="0" applyFill="1" applyBorder="1" applyAlignment="1">
      <alignment horizontal="left" vertical="center"/>
    </xf>
    <xf numFmtId="0" fontId="0" fillId="83" borderId="17" xfId="0" applyFill="1" applyBorder="1" applyAlignment="1">
      <alignment horizontal="left" vertical="center"/>
    </xf>
    <xf numFmtId="0" fontId="0" fillId="83" borderId="15" xfId="0" applyFill="1" applyBorder="1" applyAlignment="1">
      <alignment horizontal="center" vertical="center"/>
    </xf>
    <xf numFmtId="0" fontId="0" fillId="83" borderId="12" xfId="0" applyFill="1" applyBorder="1" applyAlignment="1">
      <alignment horizontal="center" vertical="center"/>
    </xf>
    <xf numFmtId="0" fontId="0" fillId="83" borderId="17" xfId="0" applyFill="1" applyBorder="1" applyAlignment="1">
      <alignment horizontal="center" vertical="center"/>
    </xf>
    <xf numFmtId="0" fontId="376" fillId="138" borderId="0" xfId="0" applyFont="1" applyFill="1" applyAlignment="1">
      <alignment horizontal="left"/>
    </xf>
    <xf numFmtId="0" fontId="247" fillId="0" borderId="0" xfId="0" applyFont="1" applyAlignment="1">
      <alignment horizontal="center" wrapText="1"/>
    </xf>
    <xf numFmtId="0" fontId="70" fillId="13" borderId="61" xfId="0" applyFont="1" applyFill="1" applyBorder="1" applyAlignment="1">
      <alignment horizontal="center"/>
    </xf>
    <xf numFmtId="0" fontId="70" fillId="13" borderId="29" xfId="0" applyFont="1" applyFill="1" applyBorder="1" applyAlignment="1">
      <alignment horizontal="center"/>
    </xf>
  </cellXfs>
  <cellStyles count="222">
    <cellStyle name="20% - Accent1 2" xfId="41" xr:uid="{E2E4F4BD-AF43-42B3-946B-A1109AF56567}"/>
    <cellStyle name="20% - Accent1 2 2" xfId="42" xr:uid="{29DA8FF4-92DF-42A6-A23E-393631105301}"/>
    <cellStyle name="20% - Accent1 2 2 2" xfId="43" xr:uid="{62069767-86AF-4548-8BFB-4F0F96EC1509}"/>
    <cellStyle name="20% - Accent1 2 2 2 2" xfId="140" xr:uid="{B4035792-974C-4D66-8744-1915956221E3}"/>
    <cellStyle name="20% - Accent1 2 2 3" xfId="139" xr:uid="{F90604A4-6475-466E-8696-B7E67FAF29BF}"/>
    <cellStyle name="20% - Accent1 2 3" xfId="44" xr:uid="{A27E9A5D-0B9B-43E9-A39C-4AAD2AFD93A9}"/>
    <cellStyle name="20% - Accent1 2 3 2" xfId="141" xr:uid="{BAC6E0FD-9E69-48DE-825A-9D75E2868A83}"/>
    <cellStyle name="20% - Accent1 2 4" xfId="138" xr:uid="{68593117-1FBB-44D9-8E52-2753FE8B1061}"/>
    <cellStyle name="20% - Accent2 2" xfId="45" xr:uid="{FDC69B9C-2C1D-41A2-BC71-62D7FA8C84EB}"/>
    <cellStyle name="20% - Accent2 2 2" xfId="46" xr:uid="{1E132562-FBA0-4DD1-9113-E13C6FD69C80}"/>
    <cellStyle name="20% - Accent2 2 2 2" xfId="47" xr:uid="{8AF22BEB-8CC0-420D-8F7B-5177F28F22E9}"/>
    <cellStyle name="20% - Accent2 2 2 2 2" xfId="144" xr:uid="{F9BD2B71-427B-4B69-9FCB-933512C0523B}"/>
    <cellStyle name="20% - Accent2 2 2 3" xfId="143" xr:uid="{0446F020-C3F5-46EA-87EE-9DFAFB20E913}"/>
    <cellStyle name="20% - Accent2 2 3" xfId="48" xr:uid="{C4B9A4C2-8B61-4C44-9A5F-6D1D5A689DE7}"/>
    <cellStyle name="20% - Accent2 2 3 2" xfId="145" xr:uid="{15091F02-1FC1-4EB3-8CB2-1FF244D5D65B}"/>
    <cellStyle name="20% - Accent2 2 4" xfId="142" xr:uid="{5DB12D85-D301-4060-ACB2-90A8E3ECC293}"/>
    <cellStyle name="20% - Accent3 2" xfId="49" xr:uid="{A5721862-C737-4B8B-915D-EC127CFAC6E6}"/>
    <cellStyle name="20% - Accent3 2 2" xfId="50" xr:uid="{16C81152-C067-4069-8C18-AEE37F38F153}"/>
    <cellStyle name="20% - Accent3 2 2 2" xfId="51" xr:uid="{E51DE78F-F6F0-4DEA-BC64-FE103E47F667}"/>
    <cellStyle name="20% - Accent3 2 2 2 2" xfId="148" xr:uid="{B57DAEB9-38A0-492B-8412-4242738A10F1}"/>
    <cellStyle name="20% - Accent3 2 2 3" xfId="147" xr:uid="{B27E0078-E46A-4665-8694-30D9EC54BD68}"/>
    <cellStyle name="20% - Accent3 2 3" xfId="52" xr:uid="{BDBBFCE6-CABD-491C-B983-83A8E5BF9C95}"/>
    <cellStyle name="20% - Accent3 2 3 2" xfId="149" xr:uid="{F9AC06FD-C6A9-4ECA-A1FE-AD4FAE6FF917}"/>
    <cellStyle name="20% - Accent3 2 4" xfId="146" xr:uid="{AF2A76D6-0701-4D3C-B5EC-36DFAAE40C97}"/>
    <cellStyle name="20% - Accent4 2" xfId="53" xr:uid="{A068B2E0-82BB-413D-8C12-800E541D12B9}"/>
    <cellStyle name="20% - Accent4 2 2" xfId="54" xr:uid="{3CDCD5FF-BC68-412F-BFD3-BD8157DAAC42}"/>
    <cellStyle name="20% - Accent4 2 2 2" xfId="55" xr:uid="{983E0F33-AC97-4E43-8F8B-BA189C89B06F}"/>
    <cellStyle name="20% - Accent4 2 2 2 2" xfId="152" xr:uid="{987C9AA7-63A5-4A43-8C51-0FF6DF60E532}"/>
    <cellStyle name="20% - Accent4 2 2 3" xfId="151" xr:uid="{3A611D28-5AAD-431F-9757-0B3A9D07E004}"/>
    <cellStyle name="20% - Accent4 2 3" xfId="56" xr:uid="{3126AF92-A515-46B7-819D-6E5C5D05C9F8}"/>
    <cellStyle name="20% - Accent4 2 3 2" xfId="153" xr:uid="{33A9C901-1735-40AB-840B-E04729FB21AE}"/>
    <cellStyle name="20% - Accent4 2 4" xfId="150" xr:uid="{E29C2FA4-0608-43E3-A8C3-7D5F54EA09E5}"/>
    <cellStyle name="20% - Accent5 2" xfId="57" xr:uid="{99565482-16ED-47CC-B274-F5736B40A297}"/>
    <cellStyle name="20% - Accent5 2 2" xfId="58" xr:uid="{502E92B9-EF14-4E1E-8DDA-4FC07BEEF567}"/>
    <cellStyle name="20% - Accent5 2 2 2" xfId="59" xr:uid="{B4B15129-F695-4F82-BE02-794D99490EFC}"/>
    <cellStyle name="20% - Accent5 2 2 2 2" xfId="156" xr:uid="{42E03CBA-B38C-4519-8D01-50013541F5D6}"/>
    <cellStyle name="20% - Accent5 2 2 3" xfId="155" xr:uid="{0273430B-4823-4011-B350-91ABFFBD8399}"/>
    <cellStyle name="20% - Accent5 2 3" xfId="60" xr:uid="{9BE135B9-C98B-4C80-B523-1FABD6C34D2F}"/>
    <cellStyle name="20% - Accent5 2 3 2" xfId="157" xr:uid="{9E67FA39-6EEF-4A12-BD05-A26C1B9609F9}"/>
    <cellStyle name="20% - Accent5 2 4" xfId="154" xr:uid="{81D12BB9-2BE5-444D-B72D-7CDE229AD6DB}"/>
    <cellStyle name="20% - Accent6 2" xfId="61" xr:uid="{71DBAAEE-3E7F-4820-8F24-16393E9EB029}"/>
    <cellStyle name="20% - Accent6 2 2" xfId="62" xr:uid="{A6D203F8-0FB7-4804-9987-A21A55E5ED67}"/>
    <cellStyle name="20% - Accent6 2 2 2" xfId="63" xr:uid="{57415637-C499-4174-B5EF-97684A6C48F0}"/>
    <cellStyle name="20% - Accent6 2 2 2 2" xfId="160" xr:uid="{81A5852B-36C1-4665-8D89-0B3C307D3DB0}"/>
    <cellStyle name="20% - Accent6 2 2 3" xfId="159" xr:uid="{3F7037F4-E244-4DDD-BFB7-8C9DAF8B7C35}"/>
    <cellStyle name="20% - Accent6 2 3" xfId="64" xr:uid="{837E7793-1828-4797-807E-868D99D6BBAE}"/>
    <cellStyle name="20% - Accent6 2 3 2" xfId="161" xr:uid="{089303A4-EE8B-4DFF-A40F-6C7416F0AC69}"/>
    <cellStyle name="20% - Accent6 2 4" xfId="158" xr:uid="{8C5B7736-9203-4AAE-A38C-52BC5954EB23}"/>
    <cellStyle name="40% - Accent1 2" xfId="65" xr:uid="{DC38C10B-BB2A-4D52-9416-A65CE6249A14}"/>
    <cellStyle name="40% - Accent1 2 2" xfId="66" xr:uid="{5DA26149-8853-4203-B42C-64F68734EEEF}"/>
    <cellStyle name="40% - Accent1 2 2 2" xfId="67" xr:uid="{40E66B21-DDDE-4593-8EAC-9D5594BFAEEB}"/>
    <cellStyle name="40% - Accent1 2 2 2 2" xfId="164" xr:uid="{43DECE95-400C-499E-9512-8DCB96B87DAF}"/>
    <cellStyle name="40% - Accent1 2 2 3" xfId="163" xr:uid="{B9879404-DC3E-48AD-B3E9-765A2FE1EB5F}"/>
    <cellStyle name="40% - Accent1 2 3" xfId="68" xr:uid="{C92AB391-1DE4-4C80-B682-FF109515781B}"/>
    <cellStyle name="40% - Accent1 2 3 2" xfId="165" xr:uid="{0ABF0900-8B70-4622-A80E-1E6F206DEE18}"/>
    <cellStyle name="40% - Accent1 2 4" xfId="162" xr:uid="{231C5C88-1171-468E-9862-50AAC143F5E7}"/>
    <cellStyle name="40% - Accent2 2" xfId="69" xr:uid="{CFDDB535-22D4-42FA-B1AF-D4FEFC91A3AE}"/>
    <cellStyle name="40% - Accent2 2 2" xfId="70" xr:uid="{B80CD03E-2936-4FFD-930B-75BCD19EF047}"/>
    <cellStyle name="40% - Accent2 2 2 2" xfId="71" xr:uid="{3F576DE2-6414-432C-88FA-FF4EC5D0E67A}"/>
    <cellStyle name="40% - Accent2 2 2 2 2" xfId="168" xr:uid="{3520CA5B-CB84-465C-8923-F0EB06D42D5D}"/>
    <cellStyle name="40% - Accent2 2 2 3" xfId="167" xr:uid="{A18FB6FB-1D59-4CA1-8454-FFC091278B05}"/>
    <cellStyle name="40% - Accent2 2 3" xfId="72" xr:uid="{598881A2-5B7D-4725-A31B-DDCE7202103B}"/>
    <cellStyle name="40% - Accent2 2 3 2" xfId="169" xr:uid="{8CCDB51D-2D0D-4C06-A423-D2C71EE7A75A}"/>
    <cellStyle name="40% - Accent2 2 4" xfId="166" xr:uid="{2BB09BE8-9A82-4A98-9A00-FF906EC7D587}"/>
    <cellStyle name="40% - Accent3 2" xfId="73" xr:uid="{7CEE0631-84A9-4943-8C3E-2304E7A65012}"/>
    <cellStyle name="40% - Accent3 2 2" xfId="74" xr:uid="{42B12FC9-01C6-43BD-AE7F-13A2B29B10A3}"/>
    <cellStyle name="40% - Accent3 2 2 2" xfId="75" xr:uid="{3EE2615A-E50B-4AAE-8CA4-A4B307F4E080}"/>
    <cellStyle name="40% - Accent3 2 2 2 2" xfId="172" xr:uid="{0CF3A969-E53C-4325-B367-6EA147D4C8EB}"/>
    <cellStyle name="40% - Accent3 2 2 3" xfId="171" xr:uid="{D4294FA3-4603-48D2-AA2F-DCA02023E431}"/>
    <cellStyle name="40% - Accent3 2 3" xfId="76" xr:uid="{E5AD44B3-AB2C-4727-8313-AED1B7872ACA}"/>
    <cellStyle name="40% - Accent3 2 3 2" xfId="173" xr:uid="{94DA3DC6-24AC-4265-A958-85E5C43166C4}"/>
    <cellStyle name="40% - Accent3 2 4" xfId="170" xr:uid="{8D1E489D-DE5D-46FB-8AF0-B1C980FAEDB8}"/>
    <cellStyle name="40% - Accent4 2" xfId="77" xr:uid="{C5E4AE8A-E42F-44F3-A5DD-E1BED128E10C}"/>
    <cellStyle name="40% - Accent4 2 2" xfId="78" xr:uid="{D51D0FC0-70CA-4678-9D3A-71065AA69918}"/>
    <cellStyle name="40% - Accent4 2 2 2" xfId="79" xr:uid="{6CC355D2-EC7B-4C51-AFAA-16567BF9C0AE}"/>
    <cellStyle name="40% - Accent4 2 2 2 2" xfId="176" xr:uid="{63C6C6E1-0518-4E40-B8F8-3E2BA6C56B29}"/>
    <cellStyle name="40% - Accent4 2 2 3" xfId="175" xr:uid="{65F05F20-C62B-43AD-B607-83EFB48C0901}"/>
    <cellStyle name="40% - Accent4 2 3" xfId="80" xr:uid="{E1362F70-0CF5-4438-A0A1-167373661299}"/>
    <cellStyle name="40% - Accent4 2 3 2" xfId="177" xr:uid="{95CD39EB-7875-452D-8E8B-C37D33C93068}"/>
    <cellStyle name="40% - Accent4 2 4" xfId="174" xr:uid="{1714139A-34E1-4053-97D1-BBE0877759EB}"/>
    <cellStyle name="40% - Accent5 2" xfId="81" xr:uid="{B751BA91-D989-4581-86D1-FF0C635C59C6}"/>
    <cellStyle name="40% - Accent5 2 2" xfId="82" xr:uid="{5214E8E8-50AC-46A6-8F08-A96DF92B5477}"/>
    <cellStyle name="40% - Accent5 2 2 2" xfId="83" xr:uid="{48DA4678-2474-4A5E-8FD1-877345F7AD27}"/>
    <cellStyle name="40% - Accent5 2 2 2 2" xfId="180" xr:uid="{4C0380C9-FEFD-4683-A4CB-554274EB3742}"/>
    <cellStyle name="40% - Accent5 2 2 3" xfId="179" xr:uid="{6EB96798-7366-4D43-9737-A653035724DB}"/>
    <cellStyle name="40% - Accent5 2 3" xfId="84" xr:uid="{EEEABF87-19C8-44C5-A8E6-D83890CA1CBD}"/>
    <cellStyle name="40% - Accent5 2 3 2" xfId="181" xr:uid="{7D994AB6-879F-4AB8-ACAE-C6E9C357AAC0}"/>
    <cellStyle name="40% - Accent5 2 4" xfId="178" xr:uid="{BABEED15-38A8-4AE6-A90B-C87D750D92FE}"/>
    <cellStyle name="40% - Accent6 2" xfId="85" xr:uid="{21030EB6-FF11-4865-8362-D954A5DAE484}"/>
    <cellStyle name="40% - Accent6 2 2" xfId="86" xr:uid="{FA6DCA88-33AC-40E8-AEAE-103A05F6DABF}"/>
    <cellStyle name="40% - Accent6 2 2 2" xfId="87" xr:uid="{37D678EE-F502-456B-B96A-BC1CD80CD4D2}"/>
    <cellStyle name="40% - Accent6 2 2 2 2" xfId="184" xr:uid="{3F13A59E-BDE3-4D56-9833-FEC073F7EEB9}"/>
    <cellStyle name="40% - Accent6 2 2 3" xfId="183" xr:uid="{52BE7819-C371-4EFA-86A9-C48A3431A0AB}"/>
    <cellStyle name="40% - Accent6 2 3" xfId="88" xr:uid="{88BFB4A2-7022-4DBF-9222-BBDC5E4DFFBC}"/>
    <cellStyle name="40% - Accent6 2 3 2" xfId="185" xr:uid="{69A9A1CD-964D-46CE-92B3-C6C1CE07EEFE}"/>
    <cellStyle name="40% - Accent6 2 4" xfId="182" xr:uid="{EE5F79E9-3B23-480B-A660-79FC2D37CA53}"/>
    <cellStyle name="60% - Accent1 2" xfId="89" xr:uid="{097936E4-9CD4-4589-B76F-BF5C4051AEF3}"/>
    <cellStyle name="60% - Accent2 2" xfId="90" xr:uid="{E4D74A04-4578-4E2A-826F-D60C133B5B38}"/>
    <cellStyle name="60% - Accent3 2" xfId="91" xr:uid="{67617DAF-42E6-47C9-B572-B0AE395D4469}"/>
    <cellStyle name="60% - Accent4 2" xfId="92" xr:uid="{69A1D293-7893-4D28-90B8-2701EB41454B}"/>
    <cellStyle name="60% - Accent5 2" xfId="93" xr:uid="{720DD6DD-871B-4598-8F95-2F73F10D54B9}"/>
    <cellStyle name="60% - Accent6 2" xfId="94" xr:uid="{400E6F87-2D0A-4DF2-B06D-B0B8EB9EFE20}"/>
    <cellStyle name="Accent1 2" xfId="95" xr:uid="{6A3FFD8E-7AF7-4B94-81A6-8A57FBA8FCCD}"/>
    <cellStyle name="Accent2 2" xfId="96" xr:uid="{B4BD81E0-618B-4535-891B-85130E9423E3}"/>
    <cellStyle name="Accent3 2" xfId="97" xr:uid="{E332C6F9-C5C3-4E71-8934-AC63D10AE7E2}"/>
    <cellStyle name="Accent4 2" xfId="98" xr:uid="{710D6B21-1416-4AF8-9DA7-9FAB3FE8980D}"/>
    <cellStyle name="Accent5 2" xfId="99" xr:uid="{A38EC21F-D2C4-420E-A443-001176C8C592}"/>
    <cellStyle name="Accent6 2" xfId="100" xr:uid="{234C7E06-F271-4F8F-A331-C7208F4D8F60}"/>
    <cellStyle name="Bad 2" xfId="101" xr:uid="{67E702AD-3E24-4DD4-A60B-FEF2E9136471}"/>
    <cellStyle name="Calculation 2" xfId="102" xr:uid="{2B4FFAD8-E13C-4E72-9AE0-48076BED020A}"/>
    <cellStyle name="Check Cell 2" xfId="103" xr:uid="{BD80DCD1-B6B0-4237-BF96-402A170B9733}"/>
    <cellStyle name="Comma" xfId="1" builtinId="3"/>
    <cellStyle name="Comma [0]" xfId="17" builtinId="6"/>
    <cellStyle name="Comma [0] 2" xfId="23" xr:uid="{DE7A10AF-4617-470A-861E-350385CD7744}"/>
    <cellStyle name="Comma [0] 2 2" xfId="216" xr:uid="{0E076EA0-950D-4B28-83B9-0653042AD4AC}"/>
    <cellStyle name="Comma [0] 2 3" xfId="31" xr:uid="{FD94548C-CA88-4FE1-B864-BA18BAA00B0C}"/>
    <cellStyle name="Comma [0] 3" xfId="25" xr:uid="{8B4193F1-2825-480F-BF3A-EF4B12BBB556}"/>
    <cellStyle name="Comma [0] 4" xfId="215" xr:uid="{F61A6495-7AB5-4580-9DCC-3DE166C13A9E}"/>
    <cellStyle name="Comma 2" xfId="19" xr:uid="{79A053F6-C9F2-4E58-9266-DCC5433054C4}"/>
    <cellStyle name="Comma 2 2" xfId="2" xr:uid="{00000000-0005-0000-0000-000001000000}"/>
    <cellStyle name="Comma 2 2 2" xfId="21" xr:uid="{27439A10-8E3E-44A8-9DD4-60DE0E5DAA07}"/>
    <cellStyle name="Comma 2 2 2 2" xfId="211" xr:uid="{6E51472E-5EEE-4200-B4C1-9A35605DCFF9}"/>
    <cellStyle name="Comma 2 2 2 3" xfId="203" xr:uid="{052513D9-7707-4847-8591-49F0CD4A27BD}"/>
    <cellStyle name="Comma 2 2 3" xfId="207" xr:uid="{A86B796A-4C99-4502-B29C-B56A0AFF8273}"/>
    <cellStyle name="Comma 2 2 4" xfId="104" xr:uid="{2ABC8F72-E905-49E0-AEBF-51168213847F}"/>
    <cellStyle name="Comma 2 3" xfId="3" xr:uid="{00000000-0005-0000-0000-000002000000}"/>
    <cellStyle name="Comma 2 3 2" xfId="22" xr:uid="{B1312562-8841-45B6-A61D-F45F237ABEC1}"/>
    <cellStyle name="Comma 2 3 2 2" xfId="210" xr:uid="{ECBA6A3E-510E-448A-9361-04F57F380D9C}"/>
    <cellStyle name="Comma 2 3 3" xfId="202" xr:uid="{A244AC21-04A8-45FA-A1FC-95E225BDA46D}"/>
    <cellStyle name="Comma 2 4" xfId="24" xr:uid="{0BBB9F92-BF8F-4B3F-8AAE-75C4F2EC6653}"/>
    <cellStyle name="Comma 2 4 2" xfId="206" xr:uid="{41FCC69A-B64E-4CA7-88DC-E70427A8FE4A}"/>
    <cellStyle name="Comma 2 5" xfId="27" xr:uid="{5A6D2D67-BA2D-4DEE-B251-8B418246B0B1}"/>
    <cellStyle name="Comma 2 6" xfId="32" xr:uid="{6F36987E-21A8-4025-84DF-048ADC7CCDA9}"/>
    <cellStyle name="Comma 3" xfId="20" xr:uid="{A941F27D-519F-4DD0-BA4B-A27D23340842}"/>
    <cellStyle name="Comma 3 2" xfId="204" xr:uid="{834311A0-A2B1-44C2-BD4F-F98DD3542387}"/>
    <cellStyle name="Comma 3 2 2" xfId="212" xr:uid="{7BA6A096-BDBF-436C-A80E-04BB47A0F575}"/>
    <cellStyle name="Comma 3 3" xfId="208" xr:uid="{E1117547-0318-4A5A-B0AF-0E459BA35714}"/>
    <cellStyle name="Comma 3 4" xfId="200" xr:uid="{4C321EEB-3B6A-425E-A1C2-BE8B61EB2FF9}"/>
    <cellStyle name="Comma 4" xfId="4" xr:uid="{00000000-0005-0000-0000-000003000000}"/>
    <cellStyle name="Comma 4 2" xfId="209" xr:uid="{0A4ECBAA-8AB7-451E-B1C5-4581445220D3}"/>
    <cellStyle name="Comma 4 3" xfId="201" xr:uid="{4F4EF4EC-0A1E-4A34-BEC8-607DD089061B}"/>
    <cellStyle name="Comma 5" xfId="205" xr:uid="{002E91CC-50C7-46A6-9A88-D71E980D0C27}"/>
    <cellStyle name="Comma 6" xfId="34" xr:uid="{E020F2F5-717A-4501-8139-2065B57EE443}"/>
    <cellStyle name="Comma 7" xfId="213" xr:uid="{4FD2EB59-7802-49EE-8EA7-4F7BBF906C3B}"/>
    <cellStyle name="Comma 8" xfId="214" xr:uid="{39661895-6005-4584-9B08-7954F8AA84A8}"/>
    <cellStyle name="Comma 9" xfId="28" xr:uid="{0911B196-D00A-43CA-8F31-A796DE356DB6}"/>
    <cellStyle name="Currency 2" xfId="105" xr:uid="{314DB5C1-05A1-4A90-BB2E-A4A55C51DA1D}"/>
    <cellStyle name="Currency 3" xfId="29" xr:uid="{6D9E22F7-F5F7-4FEC-A0AA-F03F0D2400D0}"/>
    <cellStyle name="Explanatory Text 2" xfId="106" xr:uid="{9F2E5EE8-CD59-4247-BD23-A37AFA3A86A9}"/>
    <cellStyle name="Good 2" xfId="107" xr:uid="{35C68432-34ED-4368-84EA-5A55CB93CB09}"/>
    <cellStyle name="Heading 1 2" xfId="108" xr:uid="{AFEBE416-DACA-417D-B0AF-1F6DBF31A94C}"/>
    <cellStyle name="Heading 2 2" xfId="109" xr:uid="{077C1562-FC50-4531-A6DF-ED32E3F1C5EA}"/>
    <cellStyle name="Heading 3 2" xfId="110" xr:uid="{FB702F43-7FCA-4AD3-B0A6-8BFFFF3ABAC2}"/>
    <cellStyle name="Heading 4 2" xfId="111" xr:uid="{4842F32F-0BFC-4CFB-8F07-9B72279EDD8B}"/>
    <cellStyle name="Input 2" xfId="112" xr:uid="{4D0A12DD-0FAD-40CF-814B-EC62EA04FFD0}"/>
    <cellStyle name="Įprastas 2" xfId="35" xr:uid="{C47C0E1A-B8DE-4AE1-B681-B40C4A8EBBD8}"/>
    <cellStyle name="Linked Cell 2" xfId="113" xr:uid="{4CBA39E9-21E1-4C5D-AFF0-2CC336617EA2}"/>
    <cellStyle name="Neutral 2" xfId="114" xr:uid="{2BBA318E-05BC-4416-AB7B-86764A58243F}"/>
    <cellStyle name="Normal" xfId="0" builtinId="0"/>
    <cellStyle name="Normal 10" xfId="36" xr:uid="{37B48AA2-DFCA-49C3-A914-451A0D656998}"/>
    <cellStyle name="Normal 103" xfId="16" xr:uid="{51757AE0-9F2B-43B1-916D-E4DC3DD82014}"/>
    <cellStyle name="Normal 11" xfId="135" xr:uid="{F5C82B42-C37B-4120-A5D1-6D39E85AC0E7}"/>
    <cellStyle name="Normal 11 2" xfId="196" xr:uid="{804F5AA3-85ED-42BB-B518-7A53B92E196C}"/>
    <cellStyle name="Normal 12" xfId="199" xr:uid="{23585364-18F6-46CF-A425-D232482F40AE}"/>
    <cellStyle name="Normal 13" xfId="5" xr:uid="{00000000-0005-0000-0000-000005000000}"/>
    <cellStyle name="Normal 13 2" xfId="33" xr:uid="{798D5244-C2D3-4398-B645-A338ED330A3B}"/>
    <cellStyle name="Normal 14" xfId="6" xr:uid="{00000000-0005-0000-0000-000006000000}"/>
    <cellStyle name="Normal 14 2" xfId="218" xr:uid="{98DB2FC8-95B2-48A6-9C5E-6908B46535E5}"/>
    <cellStyle name="Normal 17" xfId="130" xr:uid="{4EB0A210-76B1-4622-8A2A-5F2B80BF4167}"/>
    <cellStyle name="Normal 194" xfId="7" xr:uid="{00000000-0005-0000-0000-000007000000}"/>
    <cellStyle name="Normal 2" xfId="8" xr:uid="{00000000-0005-0000-0000-000008000000}"/>
    <cellStyle name="Normal 2 10" xfId="217" xr:uid="{0046AB6A-526D-4CBC-9AE5-2E2864E59478}"/>
    <cellStyle name="Normal 2 2" xfId="9" xr:uid="{00000000-0005-0000-0000-000009000000}"/>
    <cellStyle name="Normal 2 2 2" xfId="18" xr:uid="{3A464FC1-102A-4F46-B9D1-DDDCA042C158}"/>
    <cellStyle name="Normal 2 2 3" xfId="116" xr:uid="{07B32451-CB87-488A-99BD-F1394B9BB47A}"/>
    <cellStyle name="Normal 2 3" xfId="15" xr:uid="{00000000-0005-0000-0000-00000A000000}"/>
    <cellStyle name="Normal 2 3 2" xfId="198" xr:uid="{072F8B41-740B-48CD-A388-CBDD8D35AD5D}"/>
    <cellStyle name="Normal 2 4" xfId="115" xr:uid="{358571A0-DAB9-4A18-AAB6-096B34AB167D}"/>
    <cellStyle name="Normal 2 5" xfId="219" xr:uid="{88F08ABA-C1A1-4BF6-BC1D-9402375E95DF}"/>
    <cellStyle name="Normal 2 6" xfId="30" xr:uid="{2C38CA91-8ACD-4550-9253-6D7D5C111C1C}"/>
    <cellStyle name="Normal 3" xfId="14" xr:uid="{00000000-0005-0000-0000-00000B000000}"/>
    <cellStyle name="Normal 3 2" xfId="220" xr:uid="{2B093C46-A99B-47D6-87BD-56F4579F7776}"/>
    <cellStyle name="Normal 3 3" xfId="126" xr:uid="{DAA38413-C581-45AB-9B8B-3C678EB50470}"/>
    <cellStyle name="Normal 4" xfId="10" xr:uid="{00000000-0005-0000-0000-00000C000000}"/>
    <cellStyle name="Normal 4 2" xfId="26" xr:uid="{FF614D41-4086-4968-8B23-7618042368BB}"/>
    <cellStyle name="Normal 4 2 2" xfId="129" xr:uid="{5674B0ED-D62A-4731-B41A-B64F76C74D6B}"/>
    <cellStyle name="Normal 4 2 2 2" xfId="192" xr:uid="{2FF70B99-09CA-40F4-9C62-E2750BD45FF8}"/>
    <cellStyle name="Normal 4 2 3" xfId="191" xr:uid="{258B0A97-8BD9-4765-81D3-CB247C29ACB6}"/>
    <cellStyle name="Normal 4 2 4" xfId="128" xr:uid="{40264CB8-59B5-45E4-BC7E-7FD0C1C21965}"/>
    <cellStyle name="Normal 4 3" xfId="127" xr:uid="{41B8B504-94F2-4091-AE9E-3FE71B026AA2}"/>
    <cellStyle name="Normal 4 3 2" xfId="190" xr:uid="{EE14101C-7414-4F05-80D4-1BBE7EBE4EBF}"/>
    <cellStyle name="Normal 4 4" xfId="131" xr:uid="{5C1E8BD1-786B-4CE2-BB59-EFEDC52292B6}"/>
    <cellStyle name="Normal 4 5" xfId="37" xr:uid="{C27AA4FD-EC44-4A47-A90C-C9DFE77CFE2A}"/>
    <cellStyle name="Normal 5" xfId="40" xr:uid="{C5EF1489-81CA-49C4-8AA9-C5D1B62BE388}"/>
    <cellStyle name="Normal 6" xfId="39" xr:uid="{D2ACF341-4C1F-4F7F-BB11-2ADD826FB1E6}"/>
    <cellStyle name="Normal 6 2" xfId="137" xr:uid="{187AB5DD-CDFF-4D89-B595-5290D2FE3199}"/>
    <cellStyle name="Normal 7" xfId="132" xr:uid="{C91C8606-DEC8-4C3A-B30D-FB030AA44094}"/>
    <cellStyle name="Normal 7 2" xfId="136" xr:uid="{7C7373AC-D78F-4A06-9AE0-2FE5D1F02CA7}"/>
    <cellStyle name="Normal 7 2 2" xfId="197" xr:uid="{7DF53314-2B2B-464B-AFCC-F4D5B0AF18AA}"/>
    <cellStyle name="Normal 7 3" xfId="193" xr:uid="{F501E925-AECA-4ACD-A35E-5F17C0F25D8D}"/>
    <cellStyle name="Normal 8" xfId="133" xr:uid="{37CFDC29-B859-4B6C-8090-9BEFA2B0B229}"/>
    <cellStyle name="Normal 8 2" xfId="194" xr:uid="{773A8E23-AC9C-4E30-A1E7-A264725E3BB3}"/>
    <cellStyle name="Normal 9" xfId="134" xr:uid="{04D42B2B-7C41-4C66-AC72-61359C09DCD1}"/>
    <cellStyle name="Normal 9 2" xfId="195" xr:uid="{EFFB7154-F43C-4480-AE4F-E8C6ED5DB453}"/>
    <cellStyle name="Normal_RwTBOP" xfId="11" xr:uid="{00000000-0005-0000-0000-00000D000000}"/>
    <cellStyle name="Note 2" xfId="117" xr:uid="{3BAA41EF-2DF6-41C7-8F13-99F368BF64BC}"/>
    <cellStyle name="Note 2 2" xfId="118" xr:uid="{D2F4C6A4-6F8A-413A-9173-3DCC36FA4673}"/>
    <cellStyle name="Note 2 2 2" xfId="119" xr:uid="{860C243B-983D-4E56-8DF4-E15110244DE3}"/>
    <cellStyle name="Note 2 2 2 2" xfId="188" xr:uid="{8619D4EF-C5CB-4F85-8861-0ACD32BE481B}"/>
    <cellStyle name="Note 2 2 3" xfId="187" xr:uid="{EB531F8F-A3C8-44AE-88BF-A507F79BC820}"/>
    <cellStyle name="Note 2 3" xfId="120" xr:uid="{F68A67AA-653D-49FA-AD5A-C1466EEBDAC9}"/>
    <cellStyle name="Note 2 3 2" xfId="189" xr:uid="{20E79B01-F9F6-49D8-82DA-61ED4F675AC2}"/>
    <cellStyle name="Note 2 4" xfId="186" xr:uid="{71EB6BE9-0529-48E7-A2C3-BCC1A440CAF9}"/>
    <cellStyle name="Output 2" xfId="121" xr:uid="{EC58E6D6-EABC-49A7-B2E2-CF6461EB52A3}"/>
    <cellStyle name="Percent" xfId="12" builtinId="5"/>
    <cellStyle name="Percent 2" xfId="13" xr:uid="{00000000-0005-0000-0000-00000F000000}"/>
    <cellStyle name="Percent 3" xfId="122" xr:uid="{E35BC53C-7409-4C09-B9D1-3545C323799D}"/>
    <cellStyle name="Percent 4" xfId="38" xr:uid="{122110AD-0867-477F-9418-6ED38B13ED46}"/>
    <cellStyle name="Percent 5" xfId="221" xr:uid="{6B41482B-94BD-49A8-A32E-3FEED46C196A}"/>
    <cellStyle name="Title 2" xfId="123" xr:uid="{CD241AE7-B6AE-4025-B585-E1B7127F844A}"/>
    <cellStyle name="Total 2" xfId="124" xr:uid="{523986C3-30F8-4864-9323-128DD339708F}"/>
    <cellStyle name="Warning Text 2" xfId="125" xr:uid="{C77A3B0C-617B-499F-BA32-2A5D0AC57244}"/>
  </cellStyles>
  <dxfs count="0"/>
  <tableStyles count="1" defaultTableStyle="TableStyleMedium2" defaultPivotStyle="PivotStyleMedium9">
    <tableStyle name="Invisible" pivot="0" table="0" count="0" xr9:uid="{F74E4B02-A5FE-4978-AECC-71BA069002A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38100</xdr:colOff>
          <xdr:row>1</xdr:row>
          <xdr:rowOff>106680</xdr:rowOff>
        </xdr:to>
        <xdr:sp macro="" textlink="">
          <xdr:nvSpPr>
            <xdr:cNvPr id="1171" name="CommandButton1"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38100</xdr:colOff>
          <xdr:row>1</xdr:row>
          <xdr:rowOff>106680</xdr:rowOff>
        </xdr:to>
        <xdr:sp macro="" textlink="">
          <xdr:nvSpPr>
            <xdr:cNvPr id="1180" name="CommandButton2"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209550</xdr:colOff>
          <xdr:row>1</xdr:row>
          <xdr:rowOff>106680</xdr:rowOff>
        </xdr:to>
        <xdr:sp macro="" textlink="">
          <xdr:nvSpPr>
            <xdr:cNvPr id="1181" name="CommandButton3"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361950</xdr:colOff>
          <xdr:row>1</xdr:row>
          <xdr:rowOff>106680</xdr:rowOff>
        </xdr:to>
        <xdr:sp macro="" textlink="">
          <xdr:nvSpPr>
            <xdr:cNvPr id="1184" name="CommandButton4"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35</xdr:col>
          <xdr:colOff>68580</xdr:colOff>
          <xdr:row>1</xdr:row>
          <xdr:rowOff>106680</xdr:rowOff>
        </xdr:to>
        <xdr:sp macro="" textlink="">
          <xdr:nvSpPr>
            <xdr:cNvPr id="1206" name="CommandButton5"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285750</xdr:colOff>
          <xdr:row>0</xdr:row>
          <xdr:rowOff>0</xdr:rowOff>
        </xdr:from>
        <xdr:to>
          <xdr:col>37</xdr:col>
          <xdr:colOff>68580</xdr:colOff>
          <xdr:row>1</xdr:row>
          <xdr:rowOff>106680</xdr:rowOff>
        </xdr:to>
        <xdr:sp macro="" textlink="">
          <xdr:nvSpPr>
            <xdr:cNvPr id="1207" name="CommandButton6"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130</xdr:col>
          <xdr:colOff>0</xdr:colOff>
          <xdr:row>0</xdr:row>
          <xdr:rowOff>87630</xdr:rowOff>
        </xdr:from>
        <xdr:to>
          <xdr:col>133</xdr:col>
          <xdr:colOff>381000</xdr:colOff>
          <xdr:row>2</xdr:row>
          <xdr:rowOff>144780</xdr:rowOff>
        </xdr:to>
        <xdr:sp macro="" textlink="">
          <xdr:nvSpPr>
            <xdr:cNvPr id="3154" name="CommandButton1" hidden="1">
              <a:extLst>
                <a:ext uri="{63B3BB69-23CF-44E3-9099-C40C66FF867C}">
                  <a14:compatExt spid="_x0000_s3154"/>
                </a:ext>
                <a:ext uri="{FF2B5EF4-FFF2-40B4-BE49-F238E27FC236}">
                  <a16:creationId xmlns:a16="http://schemas.microsoft.com/office/drawing/2014/main" id="{00000000-0008-0000-0400-00005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SCAL-new%20info-Req.%20Fin-18032026-PSSF-No%20Req.%20F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x%20Proj/senario%20w&amp;without%20unidentified%20measures%20for%20MTRS_2-18032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FISC"/>
      <sheetName val="For Comparison"/>
      <sheetName val="NCUTI Table"/>
      <sheetName val="FISCinyear"/>
      <sheetName val="NET LENDING"/>
      <sheetName val="ERF Repaym(PSSF Inject)"/>
      <sheetName val="PRINCIPAL DOMDEBT"/>
      <sheetName val="RRA Tax "/>
      <sheetName val="Sheet1"/>
      <sheetName val="Sheet2"/>
      <sheetName val="Sheet4"/>
      <sheetName val="Sheet3"/>
    </sheetNames>
    <sheetDataSet>
      <sheetData sheetId="0" refreshError="1"/>
      <sheetData sheetId="1">
        <row r="1159">
          <cell r="AK1159">
            <v>870.03717424352874</v>
          </cell>
          <cell r="AL1159">
            <v>1035.0512495823102</v>
          </cell>
          <cell r="AM1159">
            <v>1178.2631109638512</v>
          </cell>
          <cell r="AN1159">
            <v>1319.222816254817</v>
          </cell>
          <cell r="AO1159">
            <v>1517.947791950244</v>
          </cell>
          <cell r="AP1159">
            <v>1688.3736227050374</v>
          </cell>
        </row>
        <row r="1170">
          <cell r="AK1170">
            <v>0</v>
          </cell>
          <cell r="AL1170">
            <v>30.42460582</v>
          </cell>
          <cell r="AM1170">
            <v>27.442915266</v>
          </cell>
          <cell r="AN1170">
            <v>17.727794578109428</v>
          </cell>
          <cell r="AO1170">
            <v>12.871650596</v>
          </cell>
        </row>
        <row r="1171">
          <cell r="AK1171">
            <v>0</v>
          </cell>
          <cell r="AL1171">
            <v>0</v>
          </cell>
          <cell r="AM1171">
            <v>0</v>
          </cell>
          <cell r="AN1171">
            <v>0</v>
          </cell>
          <cell r="AO1171">
            <v>0</v>
          </cell>
        </row>
        <row r="1172">
          <cell r="AK1172">
            <v>4.6189169520000002</v>
          </cell>
          <cell r="AL1172">
            <v>4.6189169520000002</v>
          </cell>
          <cell r="AM1172">
            <v>4.6189169520000002</v>
          </cell>
          <cell r="AN1172">
            <v>4.6189169520000002</v>
          </cell>
          <cell r="AO1172">
            <v>4.6189169520000002</v>
          </cell>
        </row>
        <row r="1173">
          <cell r="AK1173">
            <v>0</v>
          </cell>
          <cell r="AL1173">
            <v>0</v>
          </cell>
          <cell r="AM1173">
            <v>0</v>
          </cell>
          <cell r="AN1173">
            <v>0</v>
          </cell>
          <cell r="AO1173">
            <v>0</v>
          </cell>
        </row>
        <row r="1174">
          <cell r="AK1174">
            <v>18.20487701831868</v>
          </cell>
          <cell r="AL1174">
            <v>19.46507597578286</v>
          </cell>
          <cell r="AM1174">
            <v>18.179367800145521</v>
          </cell>
          <cell r="AN1174">
            <v>14.780795661957709</v>
          </cell>
          <cell r="AO1174">
            <v>13.616461256676651</v>
          </cell>
        </row>
        <row r="1175">
          <cell r="AK1175">
            <v>0</v>
          </cell>
          <cell r="AL1175">
            <v>0</v>
          </cell>
          <cell r="AM1175">
            <v>0</v>
          </cell>
          <cell r="AN1175">
            <v>0</v>
          </cell>
          <cell r="AO1175">
            <v>0</v>
          </cell>
        </row>
        <row r="1176">
          <cell r="AK1176">
            <v>0</v>
          </cell>
          <cell r="AL1176">
            <v>0</v>
          </cell>
          <cell r="AM1176">
            <v>0</v>
          </cell>
          <cell r="AN1176">
            <v>0</v>
          </cell>
          <cell r="AO1176">
            <v>0</v>
          </cell>
        </row>
        <row r="1177">
          <cell r="AK1177">
            <v>1.5435359740000001</v>
          </cell>
          <cell r="AL1177">
            <v>3.5</v>
          </cell>
          <cell r="AM1177">
            <v>0.5</v>
          </cell>
          <cell r="AN1177">
            <v>0</v>
          </cell>
          <cell r="AO1177">
            <v>0</v>
          </cell>
        </row>
        <row r="1178">
          <cell r="AK1178">
            <v>7.0459698629999998</v>
          </cell>
          <cell r="AL1178">
            <v>6.3139210459999999</v>
          </cell>
          <cell r="AM1178">
            <v>0</v>
          </cell>
          <cell r="AN1178">
            <v>0</v>
          </cell>
          <cell r="AO1178">
            <v>0</v>
          </cell>
        </row>
        <row r="1179">
          <cell r="AK1179">
            <v>7.575457857</v>
          </cell>
          <cell r="AL1179">
            <v>0</v>
          </cell>
          <cell r="AM1179">
            <v>0</v>
          </cell>
          <cell r="AN1179">
            <v>0</v>
          </cell>
          <cell r="AO1179">
            <v>0</v>
          </cell>
        </row>
        <row r="1180">
          <cell r="AK1180">
            <v>11.2736465</v>
          </cell>
          <cell r="AL1180">
            <v>0</v>
          </cell>
          <cell r="AM1180">
            <v>0</v>
          </cell>
          <cell r="AN1180">
            <v>0</v>
          </cell>
          <cell r="AO1180">
            <v>0</v>
          </cell>
        </row>
        <row r="1181">
          <cell r="AK1181">
            <v>0</v>
          </cell>
          <cell r="AL1181">
            <v>13.361910927</v>
          </cell>
          <cell r="AM1181">
            <v>12.699004762</v>
          </cell>
          <cell r="AN1181">
            <v>20.183943887000002</v>
          </cell>
          <cell r="AO1181">
            <v>21.258663342999998</v>
          </cell>
        </row>
        <row r="1182">
          <cell r="AK1182">
            <v>2.910515572</v>
          </cell>
          <cell r="AL1182">
            <v>3.1149322599999998</v>
          </cell>
          <cell r="AM1182">
            <v>3.1149322599999998</v>
          </cell>
          <cell r="AN1182">
            <v>3.1149322599999998</v>
          </cell>
          <cell r="AO1182">
            <v>3.1149322599999998</v>
          </cell>
        </row>
        <row r="1183">
          <cell r="AK1183">
            <v>4.9072105859999997</v>
          </cell>
          <cell r="AL1183">
            <v>1.2192595479999999</v>
          </cell>
          <cell r="AM1183">
            <v>0</v>
          </cell>
          <cell r="AN1183">
            <v>0</v>
          </cell>
          <cell r="AO1183">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ctober Version 2025"/>
      <sheetName val="without unidentified measures"/>
      <sheetName val="Sheet1"/>
      <sheetName val="March 2026 version"/>
      <sheetName val="Projections (overall)"/>
      <sheetName val="breakdown for endy&amp;20627"/>
    </sheetNames>
    <sheetDataSet>
      <sheetData sheetId="0"/>
      <sheetData sheetId="1"/>
      <sheetData sheetId="2"/>
      <sheetData sheetId="3">
        <row r="26">
          <cell r="I26">
            <v>5236.6446374345378</v>
          </cell>
          <cell r="J26">
            <v>5985.2484233852629</v>
          </cell>
          <cell r="K26">
            <v>6843.1355170881925</v>
          </cell>
        </row>
      </sheetData>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0"/>
  <sheetViews>
    <sheetView topLeftCell="A5" workbookViewId="0">
      <selection activeCell="J66" sqref="J66"/>
    </sheetView>
  </sheetViews>
  <sheetFormatPr defaultRowHeight="14.4"/>
  <cols>
    <col min="1" max="1" width="6.734375" customWidth="1"/>
    <col min="2" max="2" width="7" customWidth="1"/>
    <col min="3" max="3" width="6.1015625" customWidth="1"/>
    <col min="4" max="4" width="46" customWidth="1"/>
    <col min="7" max="7" width="6.47265625" customWidth="1"/>
    <col min="8" max="8" width="8.1015625" style="829" customWidth="1"/>
    <col min="9" max="9" width="15.734375" customWidth="1"/>
    <col min="11" max="11" width="7.7890625" customWidth="1"/>
    <col min="12" max="12" width="9.1015625" style="829"/>
    <col min="14" max="14" width="10.47265625" customWidth="1"/>
    <col min="15" max="15" width="11.62890625" customWidth="1"/>
  </cols>
  <sheetData>
    <row r="1" spans="1:30">
      <c r="A1" s="74" t="s">
        <v>913</v>
      </c>
    </row>
    <row r="2" spans="1:30">
      <c r="C2" s="9" t="s">
        <v>912</v>
      </c>
    </row>
    <row r="3" spans="1:30" ht="15.6">
      <c r="A3" s="1" t="s">
        <v>883</v>
      </c>
    </row>
    <row r="4" spans="1:30" ht="15.6">
      <c r="A4" s="1"/>
    </row>
    <row r="5" spans="1:30" ht="15.6">
      <c r="A5" s="488" t="s">
        <v>879</v>
      </c>
    </row>
    <row r="6" spans="1:30" ht="15.6">
      <c r="A6" s="1" t="s">
        <v>884</v>
      </c>
    </row>
    <row r="7" spans="1:30" ht="15.6">
      <c r="A7" s="1" t="s">
        <v>885</v>
      </c>
    </row>
    <row r="8" spans="1:30" ht="15.6">
      <c r="A8" s="488" t="s">
        <v>886</v>
      </c>
    </row>
    <row r="10" spans="1:30">
      <c r="A10" s="3" t="s">
        <v>902</v>
      </c>
      <c r="B10" s="3"/>
      <c r="D10" s="767" t="s">
        <v>903</v>
      </c>
      <c r="H10" s="768" t="s">
        <v>904</v>
      </c>
    </row>
    <row r="11" spans="1:30" ht="14.7" thickBot="1"/>
    <row r="12" spans="1:30">
      <c r="A12" s="759" t="s">
        <v>9</v>
      </c>
      <c r="B12" s="760" t="s">
        <v>26</v>
      </c>
      <c r="C12" s="761" t="s">
        <v>37</v>
      </c>
      <c r="X12" s="4"/>
      <c r="Y12" s="4"/>
      <c r="Z12" s="4"/>
      <c r="AA12" s="4"/>
      <c r="AB12" s="4"/>
      <c r="AC12" s="4"/>
      <c r="AD12" s="5"/>
    </row>
    <row r="13" spans="1:30">
      <c r="AD13" s="6"/>
    </row>
    <row r="14" spans="1:30">
      <c r="D14" s="762" t="s">
        <v>8</v>
      </c>
      <c r="H14" s="866" t="str">
        <f>+FISCinyear!D4</f>
        <v>I. IMPORTED VALUES FROM FISCAL SOURCE FILES (paste values)</v>
      </c>
      <c r="X14" s="13"/>
      <c r="Y14" s="13"/>
      <c r="Z14" s="13"/>
      <c r="AA14" s="13"/>
      <c r="AB14" s="13"/>
      <c r="AC14" s="13"/>
      <c r="AD14" s="6"/>
    </row>
    <row r="15" spans="1:30" ht="15.9" thickBot="1">
      <c r="D15" s="754" t="s">
        <v>86</v>
      </c>
      <c r="H15" t="s">
        <v>905</v>
      </c>
      <c r="X15" s="13"/>
      <c r="Y15" s="13"/>
      <c r="Z15" s="13"/>
      <c r="AA15" s="13"/>
      <c r="AB15" s="13"/>
      <c r="AC15" s="13"/>
      <c r="AD15" s="6"/>
    </row>
    <row r="16" spans="1:30" ht="14.7" thickBot="1">
      <c r="D16" s="16" t="s">
        <v>0</v>
      </c>
      <c r="X16" s="22" t="s">
        <v>31</v>
      </c>
      <c r="Y16" s="3115" t="s">
        <v>30</v>
      </c>
      <c r="Z16" s="3115"/>
      <c r="AA16" s="3116"/>
      <c r="AB16" s="18"/>
      <c r="AC16" s="18"/>
      <c r="AD16" s="6"/>
    </row>
    <row r="17" spans="4:30" ht="17.25" customHeight="1" thickBot="1">
      <c r="D17" s="763" t="s">
        <v>1</v>
      </c>
      <c r="X17" s="24" t="s">
        <v>33</v>
      </c>
      <c r="Y17" s="25" t="s">
        <v>29</v>
      </c>
      <c r="Z17" s="19" t="s">
        <v>34</v>
      </c>
      <c r="AA17" s="26" t="s">
        <v>32</v>
      </c>
      <c r="AB17" s="24" t="s">
        <v>6</v>
      </c>
      <c r="AC17" s="24" t="s">
        <v>7</v>
      </c>
      <c r="AD17" s="6"/>
    </row>
    <row r="18" spans="4:30">
      <c r="D18" s="16" t="s">
        <v>62</v>
      </c>
      <c r="X18" s="23"/>
      <c r="Y18" s="21"/>
      <c r="Z18" s="65"/>
      <c r="AA18" s="20"/>
      <c r="AB18" s="27"/>
      <c r="AC18" s="27"/>
      <c r="AD18" s="6"/>
    </row>
    <row r="19" spans="4:30">
      <c r="D19" s="764" t="s">
        <v>85</v>
      </c>
      <c r="X19" s="31"/>
      <c r="Y19" s="32"/>
      <c r="Z19" s="16"/>
      <c r="AA19" s="33"/>
      <c r="AB19" s="31"/>
      <c r="AC19" s="31"/>
      <c r="AD19" s="6"/>
    </row>
    <row r="20" spans="4:30" ht="14.7" thickBot="1">
      <c r="D20" s="16" t="s">
        <v>2</v>
      </c>
      <c r="X20" s="35"/>
      <c r="Y20" s="36"/>
      <c r="Z20" s="34"/>
      <c r="AA20" s="37"/>
      <c r="AB20" s="35"/>
      <c r="AC20" s="35"/>
      <c r="AD20" s="6"/>
    </row>
    <row r="21" spans="4:30">
      <c r="D21" s="765" t="s">
        <v>3</v>
      </c>
      <c r="X21" s="13"/>
      <c r="Y21" s="13"/>
      <c r="Z21" s="13"/>
      <c r="AA21" s="13"/>
      <c r="AB21" s="13"/>
      <c r="AC21" s="13"/>
      <c r="AD21" s="6"/>
    </row>
    <row r="22" spans="4:30">
      <c r="D22" s="16" t="s">
        <v>4</v>
      </c>
      <c r="X22" s="13"/>
      <c r="Y22" s="13"/>
      <c r="Z22" s="13"/>
      <c r="AA22" s="13"/>
      <c r="AB22" s="13"/>
      <c r="AC22" s="13"/>
      <c r="AD22" s="6"/>
    </row>
    <row r="23" spans="4:30">
      <c r="D23" s="766" t="s">
        <v>5</v>
      </c>
      <c r="X23" s="17"/>
      <c r="Y23" s="17"/>
      <c r="Z23" s="17"/>
      <c r="AA23" s="17"/>
      <c r="AB23" s="17"/>
      <c r="AC23" s="17"/>
      <c r="AD23" s="6"/>
    </row>
    <row r="24" spans="4:30">
      <c r="D24" s="16" t="s">
        <v>659</v>
      </c>
      <c r="X24" s="17"/>
      <c r="Y24" s="17"/>
      <c r="Z24" s="17"/>
      <c r="AA24" s="17"/>
      <c r="AB24" s="17"/>
      <c r="AC24" s="17"/>
      <c r="AD24" s="6"/>
    </row>
    <row r="25" spans="4:30" ht="15.6">
      <c r="D25" s="751" t="s">
        <v>109</v>
      </c>
      <c r="X25" s="17"/>
      <c r="Y25" s="17"/>
      <c r="Z25" s="17"/>
      <c r="AA25" s="17"/>
      <c r="AB25" s="17"/>
      <c r="AC25" s="17"/>
      <c r="AD25" s="6"/>
    </row>
    <row r="26" spans="4:30">
      <c r="D26" s="752"/>
      <c r="X26" s="17"/>
      <c r="Y26" s="17"/>
      <c r="Z26" s="17"/>
      <c r="AA26" s="17"/>
      <c r="AB26" s="17"/>
      <c r="AC26" s="17"/>
      <c r="AD26" s="6"/>
    </row>
    <row r="27" spans="4:30" ht="14.7" thickBot="1">
      <c r="X27" s="17"/>
      <c r="Y27" s="17"/>
      <c r="Z27" s="17"/>
      <c r="AA27" s="17"/>
      <c r="AB27" s="17"/>
      <c r="AC27" s="17"/>
      <c r="AD27" s="6"/>
    </row>
    <row r="28" spans="4:30" ht="15.9" thickBot="1">
      <c r="D28" s="754" t="s">
        <v>92</v>
      </c>
      <c r="X28" s="38" t="s">
        <v>31</v>
      </c>
      <c r="Y28" s="3117" t="s">
        <v>30</v>
      </c>
      <c r="Z28" s="3117"/>
      <c r="AA28" s="3118"/>
      <c r="AB28" s="39"/>
      <c r="AC28" s="39"/>
      <c r="AD28" s="6"/>
    </row>
    <row r="29" spans="4:30" ht="20.25" customHeight="1" thickBot="1">
      <c r="D29" s="16" t="s">
        <v>887</v>
      </c>
      <c r="X29" s="41" t="s">
        <v>33</v>
      </c>
      <c r="Y29" s="42" t="s">
        <v>29</v>
      </c>
      <c r="Z29" s="40" t="s">
        <v>34</v>
      </c>
      <c r="AA29" s="43" t="s">
        <v>32</v>
      </c>
      <c r="AB29" s="41" t="s">
        <v>6</v>
      </c>
      <c r="AC29" s="41" t="s">
        <v>7</v>
      </c>
      <c r="AD29" s="6"/>
    </row>
    <row r="30" spans="4:30">
      <c r="D30" s="72" t="s">
        <v>83</v>
      </c>
      <c r="X30" s="44"/>
      <c r="Y30" s="45"/>
      <c r="Z30" s="66"/>
      <c r="AA30" s="46"/>
      <c r="AB30" s="47"/>
      <c r="AC30" s="47"/>
      <c r="AD30" s="6"/>
    </row>
    <row r="31" spans="4:30">
      <c r="D31" s="16" t="s">
        <v>187</v>
      </c>
      <c r="X31" s="31"/>
      <c r="Y31" s="32"/>
      <c r="Z31" s="16"/>
      <c r="AA31" s="33"/>
      <c r="AB31" s="31"/>
      <c r="AC31" s="31"/>
      <c r="AD31" s="6"/>
    </row>
    <row r="32" spans="4:30" ht="14.7" thickBot="1">
      <c r="D32" s="755" t="s">
        <v>709</v>
      </c>
      <c r="X32" s="35"/>
      <c r="Y32" s="36"/>
      <c r="Z32" s="34"/>
      <c r="AA32" s="37"/>
      <c r="AB32" s="35"/>
      <c r="AC32" s="35"/>
      <c r="AD32" s="6"/>
    </row>
    <row r="33" spans="4:30">
      <c r="D33" s="756" t="s">
        <v>103</v>
      </c>
      <c r="X33" s="13"/>
      <c r="Y33" s="13"/>
      <c r="Z33" s="13"/>
      <c r="AA33" s="13"/>
      <c r="AB33" s="13"/>
      <c r="AC33" s="13"/>
      <c r="AD33" s="6"/>
    </row>
    <row r="34" spans="4:30">
      <c r="D34" s="691" t="s">
        <v>104</v>
      </c>
      <c r="X34" s="13"/>
      <c r="Y34" s="13"/>
      <c r="Z34" s="13"/>
      <c r="AA34" s="13"/>
      <c r="AB34" s="13"/>
      <c r="AC34" s="13"/>
      <c r="AD34" s="6"/>
    </row>
    <row r="35" spans="4:30">
      <c r="D35" s="16" t="s">
        <v>896</v>
      </c>
      <c r="AD35" s="6"/>
    </row>
    <row r="36" spans="4:30" ht="15.6">
      <c r="D36" s="757" t="s">
        <v>102</v>
      </c>
      <c r="G36" s="488"/>
      <c r="AD36" s="6"/>
    </row>
    <row r="37" spans="4:30" ht="15.6">
      <c r="G37" s="488"/>
      <c r="AD37" s="6"/>
    </row>
    <row r="38" spans="4:30">
      <c r="D38" s="762" t="s">
        <v>660</v>
      </c>
      <c r="AD38" s="6"/>
    </row>
    <row r="39" spans="4:30">
      <c r="D39" s="10"/>
      <c r="AD39" s="6"/>
    </row>
    <row r="40" spans="4:30">
      <c r="H40" s="829" t="str">
        <f>+H10</f>
        <v>in-year sheet (monthly)</v>
      </c>
      <c r="AD40" s="6"/>
    </row>
    <row r="41" spans="4:30" ht="15.9" thickBot="1">
      <c r="D41" s="749" t="s">
        <v>890</v>
      </c>
      <c r="E41" s="11"/>
      <c r="F41" s="11"/>
      <c r="X41" s="7"/>
      <c r="Y41" s="7"/>
      <c r="Z41" s="7"/>
      <c r="AA41" s="7"/>
      <c r="AB41" s="7"/>
      <c r="AC41" s="7"/>
      <c r="AD41" s="8"/>
    </row>
    <row r="42" spans="4:30">
      <c r="D42" s="12" t="str">
        <f>+FISC!D740</f>
        <v xml:space="preserve">III.1 Fiscal working table "TOFE" GFS 1986 annual FY </v>
      </c>
      <c r="E42" s="12"/>
      <c r="F42" s="12"/>
      <c r="H42" s="829" t="str">
        <f>+FISCinyear!D547</f>
        <v>III. 1FISCAL GFS 1986 PRESENTATION - DETAILED TOFE</v>
      </c>
    </row>
    <row r="43" spans="4:30">
      <c r="D43" s="12" t="str">
        <f>+FISC!D1057</f>
        <v>III.2 FISCAL  "TOFE" GFS 2014 PRESENTATION - detailed TOFE</v>
      </c>
      <c r="E43" s="12" t="s">
        <v>889</v>
      </c>
      <c r="F43" s="12"/>
      <c r="H43" s="829" t="str">
        <f>+FISCinyear!D751</f>
        <v>III.2 FISCAL  "TOFE" GFS 2014 PRESENTATION - detailed TOFE</v>
      </c>
    </row>
    <row r="44" spans="4:30">
      <c r="D44" s="12"/>
      <c r="E44" s="12"/>
      <c r="F44" s="12"/>
    </row>
    <row r="45" spans="4:30">
      <c r="D45" s="753" t="s">
        <v>897</v>
      </c>
      <c r="E45" s="750"/>
      <c r="F45" s="750"/>
    </row>
    <row r="46" spans="4:30">
      <c r="D46" s="750" t="str">
        <f>+FISC!D943</f>
        <v>IV.1 FISCAL GFS 1986 PRESENTATION - SUMMARY</v>
      </c>
      <c r="E46" s="750"/>
      <c r="F46" s="750"/>
      <c r="H46" s="829" t="str">
        <f>+FISCinyear!D712</f>
        <v>IV.1 Summary FISCAL Output (bln RWF)</v>
      </c>
    </row>
    <row r="47" spans="4:30">
      <c r="D47" s="750" t="str">
        <f>+FISC!D1393</f>
        <v>IV.2 FISCAL GFS 2014 to OUTPUT &amp;SUMMARY</v>
      </c>
      <c r="E47" s="750"/>
      <c r="F47" s="750"/>
      <c r="H47" s="829" t="str">
        <f>+FISCinyear!D1072</f>
        <v>IV.2 FISCAL GFS 2014 to OUTPUT &amp;SUMMARY</v>
      </c>
    </row>
    <row r="48" spans="4:30">
      <c r="D48" s="750" t="str">
        <f>+FISC!D1571</f>
        <v>IV.3 Budget/Finance Law Presentation (GFS 1986) - Summary</v>
      </c>
      <c r="E48" s="750"/>
      <c r="F48" s="750"/>
      <c r="H48" s="867" t="str">
        <f>+FISCinyear!D1101</f>
        <v>IV.3 Budget/Finance Law Presentation (GFS 1986) - Summary</v>
      </c>
    </row>
    <row r="49" spans="1:8">
      <c r="D49" s="750" t="str">
        <f>+FISC!D1836</f>
        <v>IV.4 FISCAL GFS 1986 PRESENTATION - Program vs Actual</v>
      </c>
      <c r="E49" s="750"/>
      <c r="F49" s="750"/>
    </row>
    <row r="51" spans="1:8">
      <c r="D51" s="15" t="str">
        <f>+FISC!D1633</f>
        <v>V. SELECTED FISCAL BLOCKS FOR MACRO-FRAMEWORK Calendar Year</v>
      </c>
    </row>
    <row r="52" spans="1:8">
      <c r="D52" s="69" t="s">
        <v>891</v>
      </c>
    </row>
    <row r="53" spans="1:8">
      <c r="D53" s="64" t="str">
        <f>+FISC!D1635</f>
        <v>FISC_REAL (in bln RWF) Calendar Year basis</v>
      </c>
    </row>
    <row r="54" spans="1:8">
      <c r="D54" s="64" t="str">
        <f>+FISC!D1684</f>
        <v>FISC_MON</v>
      </c>
    </row>
    <row r="55" spans="1:8">
      <c r="D55" s="64" t="str">
        <f>+FISC!D1763</f>
        <v>FISC_BOP</v>
      </c>
    </row>
    <row r="56" spans="1:8">
      <c r="D56" s="64" t="str">
        <f>+FISC!D1771</f>
        <v>FISCAL_annual_DOMDEBT</v>
      </c>
      <c r="H56" s="829" t="str">
        <f>+FISCinyear!ID1164</f>
        <v>FISCAL_inyear_DOMDEBTproj</v>
      </c>
    </row>
    <row r="57" spans="1:8">
      <c r="D57" s="64">
        <f>+FISC!D1820</f>
        <v>0</v>
      </c>
    </row>
    <row r="60" spans="1:8">
      <c r="A60" s="74" t="s">
        <v>881</v>
      </c>
    </row>
    <row r="61" spans="1:8" ht="18.3">
      <c r="A61" s="745" t="s">
        <v>882</v>
      </c>
    </row>
    <row r="62" spans="1:8">
      <c r="A62" s="9" t="s">
        <v>917</v>
      </c>
    </row>
    <row r="63" spans="1:8">
      <c r="A63" t="s">
        <v>899</v>
      </c>
    </row>
    <row r="64" spans="1:8">
      <c r="A64" t="s">
        <v>900</v>
      </c>
    </row>
    <row r="65" spans="1:14">
      <c r="A65" s="746" t="s">
        <v>880</v>
      </c>
    </row>
    <row r="66" spans="1:14">
      <c r="A66" t="s">
        <v>2326</v>
      </c>
    </row>
    <row r="68" spans="1:14">
      <c r="A68" s="9"/>
    </row>
    <row r="69" spans="1:14">
      <c r="A69" s="9" t="s">
        <v>924</v>
      </c>
    </row>
    <row r="70" spans="1:14" ht="14.7" thickBot="1"/>
    <row r="71" spans="1:14">
      <c r="A71" s="731"/>
      <c r="B71" s="733"/>
      <c r="C71" s="733"/>
      <c r="D71" s="732" t="s">
        <v>871</v>
      </c>
      <c r="E71" s="733"/>
      <c r="F71" s="733"/>
      <c r="G71" s="800"/>
      <c r="H71" s="830"/>
      <c r="I71" s="800"/>
      <c r="J71" s="800"/>
      <c r="K71" s="800"/>
      <c r="L71" s="830"/>
      <c r="M71" s="800"/>
      <c r="N71" s="801"/>
    </row>
    <row r="72" spans="1:14">
      <c r="A72" s="734"/>
      <c r="B72" s="735"/>
      <c r="C72" s="735"/>
      <c r="D72" s="735"/>
      <c r="E72" s="735"/>
      <c r="F72" s="735"/>
      <c r="N72" s="802"/>
    </row>
    <row r="73" spans="1:14">
      <c r="A73" s="804" t="s">
        <v>872</v>
      </c>
      <c r="B73" s="805"/>
      <c r="C73" s="804"/>
      <c r="D73" s="804" t="s">
        <v>873</v>
      </c>
      <c r="E73" s="3"/>
      <c r="F73" s="806" t="s">
        <v>874</v>
      </c>
      <c r="G73" s="806"/>
      <c r="H73" s="831" t="s">
        <v>958</v>
      </c>
      <c r="I73" s="806"/>
      <c r="J73" s="806" t="s">
        <v>960</v>
      </c>
      <c r="K73" s="806"/>
      <c r="L73" s="831" t="s">
        <v>962</v>
      </c>
      <c r="M73" s="806"/>
      <c r="N73" s="806"/>
    </row>
    <row r="74" spans="1:14">
      <c r="A74" s="741" t="str">
        <f>+FISCinyear!A5</f>
        <v>DMO_DebDisb_FISCinyear</v>
      </c>
      <c r="B74" s="742"/>
      <c r="C74" s="742"/>
      <c r="D74" s="742" t="str">
        <f>+FISCinyear!D5</f>
        <v>External Project Loans Disbursements (bln RWF)</v>
      </c>
      <c r="E74" s="742"/>
      <c r="F74" s="798" t="str">
        <f>+FISCinyear!A6</f>
        <v>DMO</v>
      </c>
      <c r="G74" s="798"/>
      <c r="H74" s="807" t="s">
        <v>959</v>
      </c>
      <c r="I74" s="798"/>
      <c r="J74" s="798" t="s">
        <v>961</v>
      </c>
      <c r="K74" s="798"/>
      <c r="L74" s="808" t="s">
        <v>963</v>
      </c>
      <c r="M74" s="797"/>
      <c r="N74" s="809"/>
    </row>
    <row r="75" spans="1:14">
      <c r="A75" s="741"/>
      <c r="B75" s="742"/>
      <c r="C75" s="742"/>
      <c r="D75" s="742" t="str">
        <f>+FISCinyear!D26</f>
        <v>External Budget Loans Disbursementsn(bln RWF)</v>
      </c>
      <c r="E75" s="742"/>
      <c r="F75" s="798"/>
      <c r="G75" s="798"/>
      <c r="H75" s="807"/>
      <c r="I75" s="798"/>
      <c r="J75" s="798"/>
      <c r="K75" s="798"/>
      <c r="L75" s="808"/>
      <c r="M75" s="797"/>
      <c r="N75" s="809"/>
    </row>
    <row r="76" spans="1:14">
      <c r="A76" s="741" t="str">
        <f>+FISCinyear!A36</f>
        <v>TreBNR_ExtDeb_FISCinyear</v>
      </c>
      <c r="B76" s="742"/>
      <c r="C76" s="742"/>
      <c r="D76" s="742" t="str">
        <f>+FISCinyear!D38</f>
        <v>External Principal Repayment (bln RWF)</v>
      </c>
      <c r="E76" s="742"/>
      <c r="F76" s="798" t="str">
        <f>+FISCinyear!A38</f>
        <v>DMO</v>
      </c>
      <c r="G76" s="798"/>
      <c r="H76" s="807" t="s">
        <v>959</v>
      </c>
      <c r="I76" s="798"/>
      <c r="J76" s="798" t="s">
        <v>961</v>
      </c>
      <c r="K76" s="798"/>
      <c r="L76" s="868" t="s">
        <v>964</v>
      </c>
      <c r="M76" s="797"/>
      <c r="N76" s="809"/>
    </row>
    <row r="77" spans="1:14">
      <c r="A77" s="741"/>
      <c r="B77" s="742"/>
      <c r="C77" s="742"/>
      <c r="D77" s="742" t="str">
        <f>+FISCinyear!D55</f>
        <v>External Interest Payment (bln RWF)</v>
      </c>
      <c r="E77" s="742"/>
      <c r="F77" s="798"/>
      <c r="G77" s="798"/>
      <c r="H77" s="807"/>
      <c r="I77" s="798"/>
      <c r="J77" s="798"/>
      <c r="K77" s="798"/>
      <c r="L77" s="808" t="s">
        <v>970</v>
      </c>
      <c r="M77" s="797"/>
      <c r="N77" s="809"/>
    </row>
    <row r="78" spans="1:14">
      <c r="A78" s="741" t="str">
        <f>+FISCinyear!A79</f>
        <v>TreBNR_DomDeb_FISCinyear</v>
      </c>
      <c r="B78" s="742"/>
      <c r="C78" s="742"/>
      <c r="D78" s="742" t="str">
        <f>+FISCinyear!D81</f>
        <v>Debt Stock Corporate</v>
      </c>
      <c r="E78" s="742"/>
      <c r="F78" s="798" t="str">
        <f>+FISCinyear!A81</f>
        <v>DMO</v>
      </c>
      <c r="G78" s="798"/>
      <c r="H78" s="807" t="s">
        <v>965</v>
      </c>
      <c r="I78" s="798"/>
      <c r="J78" s="798" t="s">
        <v>961</v>
      </c>
      <c r="K78" s="798"/>
      <c r="L78" s="808"/>
      <c r="M78" s="797"/>
      <c r="N78" s="809"/>
    </row>
    <row r="79" spans="1:14">
      <c r="A79" s="741"/>
      <c r="B79" s="742"/>
      <c r="C79" s="742"/>
      <c r="D79" s="742" t="str">
        <f>+FISCinyear!D93</f>
        <v>Domestic Principal Repayment</v>
      </c>
      <c r="E79" s="742"/>
      <c r="F79" s="798"/>
      <c r="G79" s="798"/>
      <c r="H79" s="807"/>
      <c r="I79" s="798"/>
      <c r="J79" s="798"/>
      <c r="K79" s="798"/>
      <c r="L79" s="808"/>
      <c r="M79" s="797"/>
      <c r="N79" s="809"/>
    </row>
    <row r="80" spans="1:14">
      <c r="A80" s="741"/>
      <c r="B80" s="742"/>
      <c r="C80" s="742"/>
      <c r="D80" s="742" t="str">
        <f>+FISCinyear!D105</f>
        <v>Domestic Interest Payment</v>
      </c>
      <c r="E80" s="742"/>
      <c r="F80" s="798"/>
      <c r="G80" s="798"/>
      <c r="H80" s="807"/>
      <c r="I80" s="798"/>
      <c r="J80" s="798"/>
      <c r="K80" s="798"/>
      <c r="L80" s="808"/>
      <c r="M80" s="797"/>
      <c r="N80" s="809"/>
    </row>
    <row r="81" spans="1:14">
      <c r="A81" s="741" t="str">
        <f>+FISCinyear!A132</f>
        <v>TreBNR_DomDeb</v>
      </c>
      <c r="B81" s="742"/>
      <c r="C81" s="742"/>
      <c r="D81" s="742" t="str">
        <f>+FISCinyear!D132</f>
        <v>Domestic Interest payments Recent</v>
      </c>
      <c r="E81" s="742"/>
      <c r="F81" s="798" t="str">
        <f>+FISCinyear!A133</f>
        <v>DMO</v>
      </c>
      <c r="G81" s="798"/>
      <c r="H81" s="807" t="s">
        <v>965</v>
      </c>
      <c r="I81" s="798"/>
      <c r="J81" s="798" t="s">
        <v>961</v>
      </c>
      <c r="K81" s="798"/>
      <c r="L81" s="808"/>
      <c r="M81" s="797"/>
      <c r="N81" s="809"/>
    </row>
    <row r="82" spans="1:14">
      <c r="A82" s="741"/>
      <c r="B82" s="742"/>
      <c r="C82" s="742"/>
      <c r="D82" s="742" t="str">
        <f>+FISCinyear!D118</f>
        <v>Domestic Securities Stock</v>
      </c>
      <c r="E82" s="742"/>
      <c r="F82" s="798"/>
      <c r="G82" s="798"/>
      <c r="H82" s="807"/>
      <c r="I82" s="798"/>
      <c r="J82" s="798"/>
      <c r="K82" s="798"/>
      <c r="L82" s="808"/>
      <c r="M82" s="797"/>
      <c r="N82" s="809"/>
    </row>
    <row r="83" spans="1:14">
      <c r="A83" s="741" t="str">
        <f>+FISCinyear!A127</f>
        <v>BNR_OTR_RecPyt</v>
      </c>
      <c r="B83" s="742"/>
      <c r="C83" s="742"/>
      <c r="D83" s="742" t="s">
        <v>876</v>
      </c>
      <c r="E83" s="742"/>
      <c r="F83" s="798" t="str">
        <f>+FISCinyear!A142</f>
        <v>OTR</v>
      </c>
      <c r="G83" s="798"/>
      <c r="H83" s="742" t="s">
        <v>971</v>
      </c>
      <c r="I83" s="798"/>
      <c r="J83" s="798" t="s">
        <v>961</v>
      </c>
      <c r="K83" s="798"/>
      <c r="L83" s="868" t="s">
        <v>1031</v>
      </c>
      <c r="M83" s="797"/>
      <c r="N83" s="809"/>
    </row>
    <row r="84" spans="1:14">
      <c r="A84" s="741"/>
      <c r="B84" s="742"/>
      <c r="C84" s="742"/>
      <c r="D84" s="742" t="s">
        <v>875</v>
      </c>
      <c r="E84" s="742"/>
      <c r="F84" s="798"/>
      <c r="G84" s="798"/>
      <c r="H84" s="742" t="s">
        <v>972</v>
      </c>
      <c r="I84" s="798"/>
      <c r="J84" s="798" t="s">
        <v>961</v>
      </c>
      <c r="K84" s="798"/>
      <c r="L84" s="808" t="s">
        <v>993</v>
      </c>
      <c r="M84" s="797"/>
      <c r="N84" s="809"/>
    </row>
    <row r="85" spans="1:14">
      <c r="A85" s="741"/>
      <c r="B85" s="742"/>
      <c r="C85" s="742"/>
      <c r="D85" s="742"/>
      <c r="E85" s="742"/>
      <c r="F85" s="798"/>
      <c r="G85" s="798"/>
      <c r="H85" s="742"/>
      <c r="I85" s="798"/>
      <c r="J85" s="798"/>
      <c r="K85" s="798"/>
      <c r="L85" s="808"/>
      <c r="M85" s="797"/>
      <c r="N85" s="809"/>
    </row>
    <row r="86" spans="1:14">
      <c r="A86" s="736" t="str">
        <f>+FISCinyear!A151</f>
        <v>BNR_Forex_FISCinyear (PDT)</v>
      </c>
      <c r="B86" s="742"/>
      <c r="C86" s="742"/>
      <c r="D86" s="742" t="str">
        <f>+FISCinyear!D153</f>
        <v>PDT - Non Tax Revenue</v>
      </c>
      <c r="E86" s="742"/>
      <c r="F86" s="798" t="str">
        <f>+FISCinyear!A152</f>
        <v>BNR</v>
      </c>
      <c r="G86" s="798"/>
      <c r="H86" s="742" t="s">
        <v>973</v>
      </c>
      <c r="I86" s="798"/>
      <c r="J86" s="798" t="s">
        <v>961</v>
      </c>
      <c r="K86" s="798"/>
      <c r="L86" s="808"/>
      <c r="M86" s="797"/>
      <c r="N86" s="809"/>
    </row>
    <row r="87" spans="1:14">
      <c r="A87" s="741"/>
      <c r="B87" s="742"/>
      <c r="C87" s="742"/>
      <c r="D87" s="742" t="str">
        <f>+FISCinyear!D157</f>
        <v>PDT/EFU - Budgetary Disbursements</v>
      </c>
      <c r="E87" s="742"/>
      <c r="F87" s="798"/>
      <c r="G87" s="798"/>
      <c r="H87" s="742" t="s">
        <v>974</v>
      </c>
      <c r="I87" s="798"/>
      <c r="J87" s="798" t="s">
        <v>961</v>
      </c>
      <c r="K87" s="798"/>
      <c r="L87" s="807"/>
      <c r="M87" s="798"/>
      <c r="N87" s="802"/>
    </row>
    <row r="88" spans="1:14">
      <c r="A88" s="741"/>
      <c r="B88" s="742"/>
      <c r="C88" s="742"/>
      <c r="D88" s="742" t="str">
        <f>+FISCinyear!D164</f>
        <v>EFU - Project Grants Disbursements and spending</v>
      </c>
      <c r="E88" s="742"/>
      <c r="F88" s="798"/>
      <c r="G88" s="798"/>
      <c r="H88" s="742" t="s">
        <v>978</v>
      </c>
      <c r="I88" s="798"/>
      <c r="J88" s="798" t="s">
        <v>961</v>
      </c>
      <c r="K88" s="807" t="s">
        <v>976</v>
      </c>
      <c r="M88" s="798"/>
      <c r="N88" s="802"/>
    </row>
    <row r="89" spans="1:14">
      <c r="A89" s="741"/>
      <c r="B89" s="742"/>
      <c r="C89" s="742"/>
      <c r="D89" s="742"/>
      <c r="E89" s="742"/>
      <c r="F89" s="798"/>
      <c r="G89" s="798"/>
      <c r="H89" s="742" t="s">
        <v>979</v>
      </c>
      <c r="I89" s="798"/>
      <c r="J89" s="798" t="s">
        <v>975</v>
      </c>
      <c r="K89" s="807" t="s">
        <v>980</v>
      </c>
      <c r="M89" s="798"/>
      <c r="N89" s="802"/>
    </row>
    <row r="90" spans="1:14">
      <c r="A90" s="741"/>
      <c r="B90" s="742"/>
      <c r="C90" s="742"/>
      <c r="D90" s="742" t="str">
        <f>+FISCinyear!D179</f>
        <v>PDT - Debt Service ( in TOFE)</v>
      </c>
      <c r="E90" s="742"/>
      <c r="F90" s="798"/>
      <c r="G90" s="798"/>
      <c r="H90" s="742" t="s">
        <v>977</v>
      </c>
      <c r="I90" s="798"/>
      <c r="J90" s="798" t="s">
        <v>975</v>
      </c>
      <c r="K90" s="798"/>
      <c r="L90" s="807" t="s">
        <v>981</v>
      </c>
      <c r="M90" s="798"/>
      <c r="N90" s="802"/>
    </row>
    <row r="91" spans="1:14">
      <c r="A91" s="741" t="str">
        <f>+FISCinyear!A185</f>
        <v>RRA_ Tax_FISCinyear</v>
      </c>
      <c r="B91" s="742"/>
      <c r="C91" s="742"/>
      <c r="D91" s="742" t="str">
        <f>+FISCinyear!D186</f>
        <v>Tax Revenue Collection (Central Level)</v>
      </c>
      <c r="E91" s="742"/>
      <c r="F91" s="798" t="str">
        <f>+FISCinyear!A186</f>
        <v>RRA</v>
      </c>
      <c r="G91" s="798"/>
      <c r="H91" s="807" t="s">
        <v>982</v>
      </c>
      <c r="I91" s="798"/>
      <c r="J91" s="798" t="s">
        <v>961</v>
      </c>
      <c r="K91" s="798"/>
      <c r="L91" s="807"/>
      <c r="M91" s="798"/>
      <c r="N91" s="802"/>
    </row>
    <row r="92" spans="1:14">
      <c r="A92" s="741"/>
      <c r="B92" s="742"/>
      <c r="C92" s="742"/>
      <c r="D92" s="742" t="str">
        <f>+FISCinyear!D234</f>
        <v>Revenue Collections (Decentralized Level --- LG)</v>
      </c>
      <c r="E92" s="742"/>
      <c r="F92" s="742"/>
      <c r="G92" s="798"/>
      <c r="H92" s="807" t="s">
        <v>982</v>
      </c>
      <c r="I92" s="798"/>
      <c r="J92" s="798" t="s">
        <v>961</v>
      </c>
      <c r="K92" s="798"/>
      <c r="L92" s="807"/>
      <c r="M92" s="798"/>
      <c r="N92" s="802"/>
    </row>
    <row r="93" spans="1:14">
      <c r="B93" s="742"/>
      <c r="C93" s="742"/>
      <c r="D93" s="742" t="s">
        <v>983</v>
      </c>
      <c r="E93" s="742"/>
      <c r="F93" s="742"/>
      <c r="G93" s="798"/>
      <c r="H93" s="807" t="s">
        <v>982</v>
      </c>
      <c r="I93" s="798"/>
      <c r="J93" s="798" t="s">
        <v>961</v>
      </c>
      <c r="K93" s="798"/>
      <c r="L93" s="807"/>
      <c r="M93" s="798"/>
      <c r="N93" s="802"/>
    </row>
    <row r="94" spans="1:14">
      <c r="A94" s="741" t="str">
        <f>+FISCinyear!A245</f>
        <v>IFMIS_EXP_Ord_FISCinyear</v>
      </c>
      <c r="B94" s="742"/>
      <c r="C94" s="742"/>
      <c r="D94" s="835" t="str">
        <f>+FISCinyear!D246</f>
        <v>IFMS - Ordonnancement</v>
      </c>
      <c r="E94" s="742"/>
      <c r="F94" s="798" t="str">
        <f>+FISCinyear!A246</f>
        <v>IFMIS</v>
      </c>
      <c r="G94" s="798"/>
      <c r="H94" s="807" t="s">
        <v>982</v>
      </c>
      <c r="I94" s="798"/>
      <c r="J94" s="798" t="s">
        <v>961</v>
      </c>
      <c r="K94" s="798"/>
      <c r="L94" s="807" t="s">
        <v>987</v>
      </c>
      <c r="M94" s="798"/>
      <c r="N94" s="802"/>
    </row>
    <row r="95" spans="1:14">
      <c r="A95" s="779" t="s">
        <v>996</v>
      </c>
      <c r="B95" s="742"/>
      <c r="C95" s="742"/>
      <c r="D95" s="742" t="s">
        <v>995</v>
      </c>
      <c r="E95" s="742"/>
      <c r="F95" s="798" t="s">
        <v>878</v>
      </c>
      <c r="G95" s="798"/>
      <c r="H95" s="807"/>
      <c r="I95" s="798"/>
      <c r="J95" s="798"/>
      <c r="K95" s="798"/>
      <c r="L95" s="807" t="s">
        <v>988</v>
      </c>
      <c r="M95" s="798"/>
      <c r="N95" s="802"/>
    </row>
    <row r="96" spans="1:14">
      <c r="A96" s="779"/>
      <c r="B96" s="742"/>
      <c r="C96" s="742"/>
      <c r="D96" s="742"/>
      <c r="E96" s="742"/>
      <c r="F96" s="798"/>
      <c r="G96" s="798"/>
      <c r="H96" s="807"/>
      <c r="I96" s="798"/>
      <c r="J96" s="798"/>
      <c r="K96" s="798"/>
      <c r="L96" s="807"/>
      <c r="M96" s="798"/>
      <c r="N96" s="802"/>
    </row>
    <row r="97" spans="1:14">
      <c r="A97" s="741" t="str">
        <f>+FISCinyear!A264</f>
        <v>IFMIS_EXP_Pyt_FISCinyear</v>
      </c>
      <c r="B97" s="742"/>
      <c r="C97" s="742"/>
      <c r="D97" s="742" t="str">
        <f>+FISCinyear!D266</f>
        <v>IFMIS - Payment</v>
      </c>
      <c r="E97" s="742"/>
      <c r="F97" s="798" t="str">
        <f>+FISCinyear!A265</f>
        <v>IFMIS</v>
      </c>
      <c r="G97" s="798"/>
      <c r="H97" s="807" t="s">
        <v>984</v>
      </c>
      <c r="I97" s="798"/>
      <c r="J97" s="798" t="s">
        <v>961</v>
      </c>
      <c r="K97" s="798"/>
      <c r="L97" s="807"/>
      <c r="M97" s="798"/>
      <c r="N97" s="802"/>
    </row>
    <row r="98" spans="1:14">
      <c r="A98" s="743"/>
      <c r="B98" s="742"/>
      <c r="C98" s="742"/>
      <c r="D98" s="744" t="str">
        <f>+FISCinyear!D277</f>
        <v>IFMIS - Float  (change in unpaid payment orders current FY)</v>
      </c>
      <c r="E98" s="742"/>
      <c r="F98" s="798"/>
      <c r="G98" s="798"/>
      <c r="H98" s="807" t="s">
        <v>985</v>
      </c>
      <c r="I98" s="798"/>
      <c r="J98" s="798"/>
      <c r="K98" s="798"/>
      <c r="L98" s="807"/>
      <c r="M98" s="798"/>
      <c r="N98" s="802"/>
    </row>
    <row r="99" spans="1:14">
      <c r="A99" s="741"/>
      <c r="B99" s="742"/>
      <c r="C99" s="742"/>
      <c r="D99" s="744" t="str">
        <f>+FISCinyear!D287</f>
        <v>IFMS - Arrears ( change in arrears incl. payment on "old stock")</v>
      </c>
      <c r="E99" s="742"/>
      <c r="F99" s="798"/>
      <c r="G99" s="798"/>
      <c r="H99" s="807" t="s">
        <v>990</v>
      </c>
      <c r="I99" s="798"/>
      <c r="J99" s="798"/>
      <c r="K99" s="798"/>
      <c r="L99" s="807"/>
      <c r="M99" s="798"/>
      <c r="N99" s="802"/>
    </row>
    <row r="100" spans="1:14">
      <c r="A100" s="741" t="str">
        <f>+FISCinyear!A290</f>
        <v>IFMIS_Ex_FISCinyear</v>
      </c>
      <c r="B100" s="742"/>
      <c r="C100" s="742"/>
      <c r="D100" s="742" t="str">
        <f>+FISCinyear!D292</f>
        <v>IFMS - Exceptional</v>
      </c>
      <c r="E100" s="742"/>
      <c r="F100" s="798" t="str">
        <f>+FISCinyear!A293</f>
        <v>IFMIS</v>
      </c>
      <c r="G100" s="798"/>
      <c r="H100" s="807"/>
      <c r="I100" s="798"/>
      <c r="J100" s="798" t="s">
        <v>961</v>
      </c>
      <c r="K100" s="798"/>
      <c r="L100" s="807" t="s">
        <v>986</v>
      </c>
      <c r="M100" s="798"/>
      <c r="N100" s="802"/>
    </row>
    <row r="101" spans="1:14">
      <c r="A101" s="741" t="str">
        <f>+FISCinyear!A299</f>
        <v>IFMIS_TaxExp_FISCinyear</v>
      </c>
      <c r="B101" s="742"/>
      <c r="C101" s="742"/>
      <c r="D101" s="742" t="str">
        <f>+FISCinyear!D301</f>
        <v>IFMS - Tax Expenditures (used in domestic capital exp)</v>
      </c>
      <c r="E101" s="742"/>
      <c r="F101" s="798" t="str">
        <f>+FISCinyear!A301</f>
        <v>IFMIS</v>
      </c>
      <c r="G101" s="798"/>
      <c r="H101" s="807"/>
      <c r="I101" s="798"/>
      <c r="J101" s="798" t="s">
        <v>961</v>
      </c>
      <c r="K101" s="798"/>
      <c r="L101" s="807" t="str">
        <f>+L100</f>
        <v>can be part of IFMIS_EXP_Ord</v>
      </c>
      <c r="M101" s="798"/>
      <c r="N101" s="802"/>
    </row>
    <row r="102" spans="1:14">
      <c r="A102" s="741"/>
      <c r="B102" s="742"/>
      <c r="C102" s="742"/>
      <c r="D102" s="742"/>
      <c r="E102" s="742"/>
      <c r="F102" s="798"/>
      <c r="G102" s="798"/>
      <c r="H102" s="807"/>
      <c r="I102" s="798"/>
      <c r="J102" s="798"/>
      <c r="K102" s="798"/>
      <c r="L102" s="807"/>
      <c r="M102" s="798"/>
      <c r="N102" s="802"/>
    </row>
    <row r="103" spans="1:14">
      <c r="A103" s="741" t="str">
        <f>+FISCinyear!A305</f>
        <v>Privat_Rec_FISCinyear</v>
      </c>
      <c r="B103" s="742"/>
      <c r="C103" s="742"/>
      <c r="D103" s="742" t="str">
        <f>+FISCinyear!D305</f>
        <v>Privatization</v>
      </c>
      <c r="E103" s="742"/>
      <c r="F103" s="798" t="str">
        <f>+FISCinyear!A306</f>
        <v>GPMU</v>
      </c>
      <c r="G103" s="798"/>
      <c r="H103" s="807"/>
      <c r="I103" s="798"/>
      <c r="J103" s="798" t="s">
        <v>961</v>
      </c>
      <c r="K103" s="798"/>
      <c r="L103" s="807"/>
      <c r="M103" s="798"/>
      <c r="N103" s="802"/>
    </row>
    <row r="104" spans="1:14">
      <c r="A104" s="741" t="str">
        <f>+FISCinyear!A310</f>
        <v>IFMIS_DEBT_FISCinyear</v>
      </c>
      <c r="D104" s="742" t="s">
        <v>989</v>
      </c>
      <c r="F104" s="798" t="str">
        <f>+FISCinyear!A312</f>
        <v>IFMIS</v>
      </c>
      <c r="G104" s="798"/>
      <c r="H104" s="807"/>
      <c r="I104" s="798"/>
      <c r="J104" s="798" t="s">
        <v>961</v>
      </c>
      <c r="K104" s="798"/>
      <c r="L104" s="807" t="str">
        <f>+L100</f>
        <v>can be part of IFMIS_EXP_Ord</v>
      </c>
      <c r="M104" s="798"/>
      <c r="N104" s="802"/>
    </row>
    <row r="105" spans="1:14">
      <c r="G105" s="798"/>
      <c r="H105" s="807"/>
      <c r="I105" s="798"/>
      <c r="J105" s="798"/>
      <c r="K105" s="798"/>
      <c r="L105" s="807"/>
      <c r="M105" s="798"/>
      <c r="N105" s="802"/>
    </row>
    <row r="106" spans="1:14">
      <c r="A106" s="741" t="str">
        <f>+FISCinyear!A335</f>
        <v>MonSur_FISCinyear</v>
      </c>
      <c r="B106" s="742"/>
      <c r="C106" s="742"/>
      <c r="D106" s="742" t="str">
        <f>+FISCinyear!D335</f>
        <v>BNR - Monetary Survey</v>
      </c>
      <c r="E106" s="742"/>
      <c r="F106" s="798" t="str">
        <f>+FISCinyear!A336</f>
        <v>BNR</v>
      </c>
      <c r="G106" s="798"/>
      <c r="H106" s="807"/>
      <c r="I106" s="798"/>
      <c r="J106" s="798"/>
      <c r="K106" s="798"/>
      <c r="L106" s="807"/>
      <c r="M106" s="798"/>
      <c r="N106" s="802"/>
    </row>
    <row r="107" spans="1:14">
      <c r="G107" s="798"/>
      <c r="H107" s="807"/>
      <c r="I107" s="798"/>
      <c r="J107" s="798"/>
      <c r="K107" s="798"/>
      <c r="L107" s="807"/>
      <c r="M107" s="798"/>
      <c r="N107" s="802"/>
    </row>
    <row r="108" spans="1:14">
      <c r="A108" s="743"/>
      <c r="B108" s="742"/>
      <c r="C108" s="742"/>
      <c r="D108" s="758" t="s">
        <v>901</v>
      </c>
      <c r="E108" s="742"/>
      <c r="F108" s="798"/>
      <c r="G108" s="798"/>
      <c r="H108" s="807"/>
      <c r="I108" s="798"/>
      <c r="J108" s="798"/>
      <c r="K108" s="798"/>
      <c r="L108" s="807"/>
      <c r="M108" s="798"/>
      <c r="N108" s="802"/>
    </row>
    <row r="109" spans="1:14">
      <c r="A109" s="741" t="str">
        <f>+FISCinyear!A351</f>
        <v>out-m&gt;&gt;</v>
      </c>
      <c r="B109" s="742"/>
      <c r="C109" s="742"/>
      <c r="D109" s="742" t="str">
        <f>+FISCinyear!D351</f>
        <v xml:space="preserve">REVENUE </v>
      </c>
      <c r="E109" s="742"/>
      <c r="F109" s="798" t="str">
        <f>+FISCinyear!A352</f>
        <v>RRA</v>
      </c>
      <c r="G109" s="798"/>
      <c r="H109" s="807"/>
      <c r="I109" s="798"/>
      <c r="J109" s="798"/>
      <c r="K109" s="798"/>
      <c r="L109" s="807"/>
      <c r="M109" s="798"/>
      <c r="N109" s="802"/>
    </row>
    <row r="110" spans="1:14">
      <c r="B110" s="737"/>
      <c r="C110" s="737"/>
      <c r="D110" s="742" t="str">
        <f>+FISCinyear!D449</f>
        <v>IFMS - Ordonnancement - GFS 2014 presentation</v>
      </c>
      <c r="E110" s="737"/>
      <c r="F110" s="797" t="str">
        <f>+FISCinyear!A450</f>
        <v>IFMIS</v>
      </c>
      <c r="G110" s="798"/>
      <c r="H110" s="807"/>
      <c r="I110" s="798"/>
      <c r="J110" s="798"/>
      <c r="K110" s="798"/>
      <c r="L110" s="807"/>
      <c r="M110" s="798"/>
      <c r="N110" s="802"/>
    </row>
    <row r="111" spans="1:14">
      <c r="A111" s="779" t="str">
        <f>+FISCinyear!A449</f>
        <v>separate file</v>
      </c>
      <c r="B111" s="737"/>
      <c r="C111" s="737"/>
      <c r="D111" s="742"/>
      <c r="E111" s="737"/>
      <c r="F111" s="797"/>
      <c r="G111" s="798"/>
      <c r="H111" s="807"/>
      <c r="I111" s="798"/>
      <c r="J111" s="798"/>
      <c r="K111" s="798"/>
      <c r="L111" s="807"/>
      <c r="M111" s="798"/>
      <c r="N111" s="802"/>
    </row>
    <row r="112" spans="1:14">
      <c r="A112" s="743"/>
      <c r="B112" s="737"/>
      <c r="C112" s="737"/>
      <c r="D112" s="742" t="str">
        <f>+FISCinyear!D480</f>
        <v>IFMS - Payment - GFS 2014 presentation</v>
      </c>
      <c r="E112" s="737"/>
      <c r="F112" s="797"/>
      <c r="G112" s="798"/>
      <c r="H112" s="807"/>
      <c r="I112" s="798"/>
      <c r="J112" s="798"/>
      <c r="K112" s="798"/>
      <c r="L112" s="807"/>
      <c r="M112" s="798"/>
      <c r="N112" s="802"/>
    </row>
    <row r="113" spans="1:14">
      <c r="A113" s="736"/>
      <c r="B113" s="737"/>
      <c r="C113" s="737"/>
      <c r="D113" s="742" t="str">
        <f>+FISCinyear!D498</f>
        <v>IFMS - Float/Other accounts payable - GFS 2014 presentation</v>
      </c>
      <c r="E113" s="737"/>
      <c r="F113" s="797"/>
      <c r="G113" s="798"/>
      <c r="H113" s="807"/>
      <c r="I113" s="798"/>
      <c r="J113" s="798"/>
      <c r="K113" s="798"/>
      <c r="L113" s="807"/>
      <c r="M113" s="798"/>
      <c r="N113" s="802"/>
    </row>
    <row r="114" spans="1:14">
      <c r="A114" s="736"/>
      <c r="B114" s="737"/>
      <c r="C114" s="737"/>
      <c r="D114" s="742" t="str">
        <f>+FISCinyear!D508</f>
        <v>IFMS - Debt - GFS 2014 presentation</v>
      </c>
      <c r="E114" s="737"/>
      <c r="F114" s="797"/>
      <c r="G114" s="798"/>
      <c r="H114" s="807"/>
      <c r="I114" s="798"/>
      <c r="J114" s="798"/>
      <c r="K114" s="798"/>
      <c r="L114" s="807"/>
      <c r="M114" s="798"/>
      <c r="N114" s="802"/>
    </row>
    <row r="115" spans="1:14">
      <c r="A115" s="736"/>
      <c r="B115" s="737"/>
      <c r="C115" s="737"/>
      <c r="D115" s="742" t="str">
        <f>+FISCinyear!D517</f>
        <v>IFMS - Capital - GFS 2014 presentation</v>
      </c>
      <c r="E115" s="737"/>
      <c r="F115" s="797"/>
      <c r="G115" s="798"/>
      <c r="H115" s="807"/>
      <c r="I115" s="798"/>
      <c r="J115" s="798"/>
      <c r="K115" s="798"/>
      <c r="L115" s="807"/>
      <c r="M115" s="798"/>
      <c r="N115" s="802"/>
    </row>
    <row r="116" spans="1:14">
      <c r="A116" s="736"/>
      <c r="B116" s="737"/>
      <c r="C116" s="737"/>
      <c r="D116" s="742" t="str">
        <f>+FISCinyear!D524</f>
        <v>IFMS/ DEBT DG- Policy lending - GFS 2014 presentation</v>
      </c>
      <c r="E116" s="737"/>
      <c r="F116" s="797"/>
      <c r="G116" s="798"/>
      <c r="H116" s="807"/>
      <c r="I116" s="798"/>
      <c r="J116" s="798"/>
      <c r="K116" s="798"/>
      <c r="L116" s="807"/>
      <c r="M116" s="798"/>
      <c r="N116" s="802"/>
    </row>
    <row r="117" spans="1:14" ht="14.7" thickBot="1">
      <c r="A117" s="739"/>
      <c r="B117" s="740"/>
      <c r="C117" s="740"/>
      <c r="D117" s="740"/>
      <c r="E117" s="740"/>
      <c r="F117" s="799"/>
      <c r="G117" s="798"/>
      <c r="H117" s="807"/>
      <c r="I117" s="798"/>
      <c r="J117" s="798"/>
      <c r="K117" s="798"/>
      <c r="L117" s="807"/>
      <c r="M117" s="798"/>
      <c r="N117" s="803"/>
    </row>
    <row r="118" spans="1:14">
      <c r="A118" s="738"/>
      <c r="B118" s="738"/>
      <c r="C118" s="738"/>
      <c r="D118" s="738"/>
      <c r="E118" s="738"/>
      <c r="F118" s="747"/>
    </row>
    <row r="119" spans="1:14">
      <c r="A119" s="9" t="s">
        <v>918</v>
      </c>
      <c r="B119" s="123"/>
      <c r="C119" s="123"/>
      <c r="D119" s="123"/>
      <c r="E119" s="123"/>
      <c r="F119" s="123"/>
    </row>
    <row r="120" spans="1:14">
      <c r="A120" t="s">
        <v>916</v>
      </c>
      <c r="B120" s="123"/>
      <c r="C120" s="123"/>
      <c r="D120" s="123"/>
      <c r="E120" s="123"/>
      <c r="F120" s="123"/>
    </row>
    <row r="121" spans="1:14">
      <c r="A121" t="s">
        <v>925</v>
      </c>
      <c r="B121" s="123"/>
      <c r="C121" s="123"/>
      <c r="D121" s="123"/>
      <c r="E121" s="123"/>
      <c r="F121" s="123"/>
    </row>
    <row r="122" spans="1:14">
      <c r="A122" t="s">
        <v>1032</v>
      </c>
      <c r="B122" s="123"/>
      <c r="C122" s="123"/>
      <c r="D122" s="123"/>
      <c r="E122" s="123"/>
      <c r="F122" s="123"/>
    </row>
    <row r="123" spans="1:14">
      <c r="A123" t="s">
        <v>926</v>
      </c>
      <c r="B123" s="123"/>
      <c r="C123" s="123"/>
      <c r="D123" s="123"/>
      <c r="E123" s="123"/>
      <c r="F123" s="123"/>
    </row>
    <row r="124" spans="1:14">
      <c r="A124" t="s">
        <v>1033</v>
      </c>
      <c r="B124" s="123"/>
      <c r="C124" s="123"/>
      <c r="D124" s="123"/>
      <c r="E124" s="123"/>
      <c r="F124" s="123"/>
    </row>
    <row r="125" spans="1:14">
      <c r="B125" s="123"/>
      <c r="C125" s="123"/>
      <c r="D125" s="123"/>
      <c r="E125" s="123"/>
      <c r="F125" s="123"/>
    </row>
    <row r="126" spans="1:14">
      <c r="A126" s="9" t="s">
        <v>921</v>
      </c>
      <c r="B126" s="123"/>
      <c r="C126" s="123"/>
      <c r="D126" s="123"/>
      <c r="E126" s="123"/>
      <c r="F126" s="123"/>
    </row>
    <row r="127" spans="1:14">
      <c r="A127" s="780" t="s">
        <v>1034</v>
      </c>
      <c r="B127" s="123"/>
      <c r="C127" s="123"/>
      <c r="D127" s="123"/>
      <c r="E127" s="123"/>
      <c r="F127" s="123"/>
    </row>
    <row r="128" spans="1:14">
      <c r="A128" s="780" t="s">
        <v>920</v>
      </c>
      <c r="B128" s="123"/>
      <c r="C128" s="123"/>
      <c r="D128" s="123"/>
      <c r="E128" s="123"/>
      <c r="F128" s="123"/>
    </row>
    <row r="129" spans="1:11">
      <c r="A129" s="780" t="s">
        <v>1035</v>
      </c>
      <c r="B129" s="123"/>
      <c r="C129" s="123"/>
      <c r="D129" s="123"/>
      <c r="E129" s="123"/>
      <c r="F129" s="123"/>
    </row>
    <row r="130" spans="1:11">
      <c r="A130" s="780" t="s">
        <v>922</v>
      </c>
      <c r="B130" s="123"/>
      <c r="C130" s="123"/>
      <c r="D130" s="123"/>
      <c r="E130" s="123"/>
      <c r="F130" s="123"/>
    </row>
    <row r="131" spans="1:11">
      <c r="A131" s="9"/>
      <c r="B131" s="123"/>
      <c r="C131" s="123"/>
      <c r="D131" s="123"/>
      <c r="E131" s="123"/>
      <c r="F131" s="123"/>
    </row>
    <row r="132" spans="1:11">
      <c r="A132" s="9" t="s">
        <v>919</v>
      </c>
      <c r="B132" s="123"/>
      <c r="C132" s="123"/>
      <c r="D132" s="123"/>
      <c r="E132" s="123"/>
      <c r="F132" s="123"/>
    </row>
    <row r="133" spans="1:11">
      <c r="A133" s="9"/>
      <c r="B133" s="123"/>
      <c r="C133" s="123"/>
      <c r="D133" s="123"/>
      <c r="E133" s="123"/>
      <c r="F133" s="123"/>
    </row>
    <row r="134" spans="1:11">
      <c r="A134" s="9"/>
      <c r="B134" s="123"/>
      <c r="C134" s="123"/>
      <c r="D134" s="123"/>
      <c r="E134" s="123"/>
      <c r="F134" s="123"/>
    </row>
    <row r="135" spans="1:11" ht="15.6">
      <c r="B135" s="778" t="s">
        <v>906</v>
      </c>
      <c r="C135" s="769"/>
      <c r="D135" s="769"/>
      <c r="E135" s="769"/>
      <c r="F135" s="769"/>
      <c r="G135" s="769"/>
      <c r="H135" s="832"/>
      <c r="I135" s="769"/>
      <c r="J135" s="769"/>
      <c r="K135" s="770"/>
    </row>
    <row r="136" spans="1:11" ht="15.6">
      <c r="B136" s="771"/>
      <c r="C136" s="772"/>
      <c r="D136" s="772"/>
      <c r="E136" s="772"/>
      <c r="F136" s="772"/>
      <c r="G136" s="772"/>
      <c r="H136" s="833"/>
      <c r="I136" s="772"/>
      <c r="J136" s="772"/>
      <c r="K136" s="773"/>
    </row>
    <row r="137" spans="1:11">
      <c r="B137" s="774" t="s">
        <v>38</v>
      </c>
      <c r="C137" s="772"/>
      <c r="D137" s="772"/>
      <c r="E137" s="772"/>
      <c r="F137" s="772"/>
      <c r="G137" s="772"/>
      <c r="H137" s="833"/>
      <c r="I137" s="772"/>
      <c r="J137" s="772"/>
      <c r="K137" s="773"/>
    </row>
    <row r="138" spans="1:11">
      <c r="B138" s="774" t="s">
        <v>915</v>
      </c>
      <c r="C138" s="772"/>
      <c r="D138" s="772"/>
      <c r="E138" s="772"/>
      <c r="F138" s="772"/>
      <c r="G138" s="772"/>
      <c r="H138" s="833"/>
      <c r="I138" s="772"/>
      <c r="J138" s="772"/>
      <c r="K138" s="773"/>
    </row>
    <row r="139" spans="1:11">
      <c r="B139" s="774" t="s">
        <v>909</v>
      </c>
      <c r="C139" s="772"/>
      <c r="D139" s="772"/>
      <c r="E139" s="772"/>
      <c r="F139" s="772"/>
      <c r="G139" s="772"/>
      <c r="H139" s="833"/>
      <c r="I139" s="772"/>
      <c r="J139" s="772"/>
      <c r="K139" s="773"/>
    </row>
    <row r="140" spans="1:11">
      <c r="B140" s="774" t="s">
        <v>39</v>
      </c>
      <c r="C140" s="772"/>
      <c r="D140" s="772"/>
      <c r="E140" s="772"/>
      <c r="F140" s="772"/>
      <c r="G140" s="772"/>
      <c r="H140" s="833"/>
      <c r="I140" s="772"/>
      <c r="J140" s="772"/>
      <c r="K140" s="773"/>
    </row>
    <row r="141" spans="1:11">
      <c r="B141" s="774" t="s">
        <v>910</v>
      </c>
      <c r="C141" s="772"/>
      <c r="D141" s="772"/>
      <c r="E141" s="772"/>
      <c r="F141" s="772"/>
      <c r="G141" s="772"/>
      <c r="H141" s="833"/>
      <c r="I141" s="772"/>
      <c r="J141" s="772"/>
      <c r="K141" s="773"/>
    </row>
    <row r="142" spans="1:11">
      <c r="B142" s="774"/>
      <c r="C142" s="772" t="s">
        <v>911</v>
      </c>
      <c r="D142" s="772"/>
      <c r="E142" s="772"/>
      <c r="F142" s="772"/>
      <c r="G142" s="772"/>
      <c r="H142" s="833"/>
      <c r="I142" s="772"/>
      <c r="J142" s="772"/>
      <c r="K142" s="773"/>
    </row>
    <row r="143" spans="1:11">
      <c r="B143" s="774" t="s">
        <v>40</v>
      </c>
      <c r="C143" s="772"/>
      <c r="D143" s="772"/>
      <c r="E143" s="772"/>
      <c r="F143" s="772"/>
      <c r="G143" s="772"/>
      <c r="H143" s="833"/>
      <c r="I143" s="772"/>
      <c r="J143" s="772"/>
      <c r="K143" s="773"/>
    </row>
    <row r="144" spans="1:11">
      <c r="B144" s="774" t="s">
        <v>41</v>
      </c>
      <c r="C144" s="772"/>
      <c r="D144" s="772"/>
      <c r="E144" s="772"/>
      <c r="F144" s="772"/>
      <c r="G144" s="772"/>
      <c r="H144" s="833"/>
      <c r="I144" s="772"/>
      <c r="J144" s="772"/>
      <c r="K144" s="773"/>
    </row>
    <row r="145" spans="1:11">
      <c r="B145" s="774" t="s">
        <v>907</v>
      </c>
      <c r="C145" s="772"/>
      <c r="D145" s="772"/>
      <c r="E145" s="772"/>
      <c r="F145" s="772"/>
      <c r="G145" s="772"/>
      <c r="H145" s="833"/>
      <c r="I145" s="772"/>
      <c r="J145" s="772"/>
      <c r="K145" s="773"/>
    </row>
    <row r="146" spans="1:11">
      <c r="B146" s="774" t="s">
        <v>42</v>
      </c>
      <c r="C146" s="772"/>
      <c r="D146" s="772"/>
      <c r="E146" s="772"/>
      <c r="F146" s="772"/>
      <c r="G146" s="772"/>
      <c r="H146" s="833"/>
      <c r="I146" s="772"/>
      <c r="J146" s="772"/>
      <c r="K146" s="773"/>
    </row>
    <row r="147" spans="1:11">
      <c r="B147" s="774" t="s">
        <v>908</v>
      </c>
      <c r="C147" s="772"/>
      <c r="D147" s="772"/>
      <c r="E147" s="772"/>
      <c r="F147" s="772"/>
      <c r="G147" s="772"/>
      <c r="H147" s="833"/>
      <c r="I147" s="772"/>
      <c r="J147" s="772"/>
      <c r="K147" s="773"/>
    </row>
    <row r="148" spans="1:11">
      <c r="B148" s="775"/>
      <c r="C148" s="776"/>
      <c r="D148" s="776"/>
      <c r="E148" s="776"/>
      <c r="F148" s="776"/>
      <c r="G148" s="776"/>
      <c r="H148" s="834"/>
      <c r="I148" s="776"/>
      <c r="J148" s="776"/>
      <c r="K148" s="777"/>
    </row>
    <row r="150" spans="1:11">
      <c r="A150" s="74" t="s">
        <v>914</v>
      </c>
    </row>
  </sheetData>
  <mergeCells count="2">
    <mergeCell ref="Y16:AA16"/>
    <mergeCell ref="Y28:AA28"/>
  </mergeCells>
  <pageMargins left="0.45" right="0" top="0.25" bottom="0.25" header="0.3" footer="0.3"/>
  <pageSetup scale="55"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022"/>
  <sheetViews>
    <sheetView tabSelected="1" topLeftCell="D689" zoomScaleNormal="100" workbookViewId="0">
      <pane xSplit="6570" ySplit="2970" topLeftCell="AI1525" activePane="bottomRight"/>
      <selection activeCell="AL483" sqref="AL483"/>
      <selection pane="topRight" activeCell="AN690" sqref="AN690"/>
      <selection pane="bottomLeft" activeCell="D1079" sqref="A1079:XFD1079"/>
      <selection pane="bottomRight" activeCell="AO1533" sqref="AO1533"/>
    </sheetView>
  </sheetViews>
  <sheetFormatPr defaultColWidth="9.1015625" defaultRowHeight="15.6" outlineLevelCol="1"/>
  <cols>
    <col min="1" max="1" width="9.7890625" style="75" hidden="1" customWidth="1"/>
    <col min="2" max="2" width="66.47265625" style="74" hidden="1" customWidth="1"/>
    <col min="3" max="3" width="37.41796875" style="74" bestFit="1" customWidth="1"/>
    <col min="4" max="4" width="53.26171875" style="1" customWidth="1"/>
    <col min="5" max="5" width="11.1015625" hidden="1" customWidth="1"/>
    <col min="6" max="8" width="5" hidden="1" customWidth="1"/>
    <col min="9" max="9" width="8.47265625" hidden="1" customWidth="1"/>
    <col min="10" max="10" width="9.26171875" hidden="1" customWidth="1" outlineLevel="1"/>
    <col min="11" max="12" width="8.47265625" hidden="1" customWidth="1" outlineLevel="1"/>
    <col min="13" max="13" width="8.734375" hidden="1" customWidth="1" outlineLevel="1"/>
    <col min="14" max="14" width="9.1015625" hidden="1" customWidth="1" outlineLevel="1"/>
    <col min="15" max="15" width="9" hidden="1" customWidth="1" outlineLevel="1"/>
    <col min="16" max="16" width="7" hidden="1" customWidth="1" outlineLevel="1"/>
    <col min="17" max="20" width="11.7890625" hidden="1" customWidth="1" outlineLevel="1"/>
    <col min="21" max="21" width="11.7890625" style="1" hidden="1" customWidth="1" outlineLevel="1"/>
    <col min="22" max="22" width="9.62890625" hidden="1" customWidth="1" collapsed="1"/>
    <col min="23" max="23" width="9.62890625" style="1" hidden="1" customWidth="1"/>
    <col min="24" max="24" width="9.62890625" hidden="1" customWidth="1"/>
    <col min="25" max="25" width="40.83984375" style="1" bestFit="1" customWidth="1"/>
    <col min="26" max="26" width="7.5234375" customWidth="1"/>
    <col min="27" max="27" width="9.05078125" style="1" customWidth="1"/>
    <col min="28" max="28" width="7.7890625" style="1" customWidth="1"/>
    <col min="29" max="29" width="10.83984375" style="1" customWidth="1"/>
    <col min="30" max="30" width="10.47265625" style="1" customWidth="1"/>
    <col min="31" max="31" width="9.734375" style="1" customWidth="1"/>
    <col min="32" max="32" width="9.62890625" style="1" customWidth="1"/>
    <col min="33" max="33" width="11.15625" style="1" customWidth="1"/>
    <col min="34" max="34" width="9.7890625" style="1" customWidth="1"/>
    <col min="35" max="35" width="9.41796875" style="1" customWidth="1"/>
    <col min="36" max="36" width="9.89453125" style="1" customWidth="1"/>
    <col min="37" max="38" width="10.578125" style="1" bestFit="1" customWidth="1"/>
    <col min="39" max="40" width="12.578125" style="1" bestFit="1" customWidth="1"/>
    <col min="41" max="41" width="9" style="1" bestFit="1" customWidth="1"/>
    <col min="42" max="42" width="9.41796875" style="1" customWidth="1"/>
    <col min="43" max="45" width="9" style="1" hidden="1" customWidth="1"/>
    <col min="46" max="46" width="9" style="2564" hidden="1" customWidth="1"/>
    <col min="47" max="47" width="10.20703125" style="1" hidden="1" customWidth="1"/>
    <col min="48" max="48" width="8.734375" style="1" hidden="1" customWidth="1"/>
    <col min="49" max="49" width="12.578125" style="1" bestFit="1" customWidth="1"/>
    <col min="50" max="50" width="17.41796875" style="1" bestFit="1" customWidth="1"/>
    <col min="51" max="51" width="15.20703125" style="1" bestFit="1" customWidth="1"/>
    <col min="52" max="58" width="9.5234375" style="1" bestFit="1" customWidth="1"/>
    <col min="59" max="59" width="10.26171875" style="1" bestFit="1" customWidth="1"/>
    <col min="60" max="60" width="11.26171875" style="1" bestFit="1" customWidth="1"/>
    <col min="61" max="16384" width="9.1015625" style="1"/>
  </cols>
  <sheetData>
    <row r="1" spans="1:46">
      <c r="A1" s="785" t="s">
        <v>9</v>
      </c>
      <c r="B1" s="786" t="s">
        <v>26</v>
      </c>
      <c r="C1" s="787" t="s">
        <v>36</v>
      </c>
    </row>
    <row r="2" spans="1:46">
      <c r="E2" s="895"/>
      <c r="F2" s="896">
        <v>1995</v>
      </c>
      <c r="G2" s="896">
        <v>1996</v>
      </c>
      <c r="H2" s="896">
        <v>1997</v>
      </c>
      <c r="I2" s="896">
        <v>1998</v>
      </c>
      <c r="J2" s="896">
        <v>1999</v>
      </c>
      <c r="K2" s="896">
        <v>2000</v>
      </c>
      <c r="L2" s="896">
        <v>2001</v>
      </c>
      <c r="M2" s="896">
        <v>2002</v>
      </c>
      <c r="N2" s="896">
        <v>2003</v>
      </c>
      <c r="O2" s="896">
        <v>2004</v>
      </c>
      <c r="P2" s="896">
        <v>2005</v>
      </c>
      <c r="Q2" s="896">
        <v>2006</v>
      </c>
      <c r="R2" s="896">
        <v>2007</v>
      </c>
      <c r="S2" s="896">
        <v>2008</v>
      </c>
      <c r="T2" s="896">
        <v>2009</v>
      </c>
      <c r="U2" s="896">
        <v>2010</v>
      </c>
      <c r="V2" s="896">
        <v>2011</v>
      </c>
      <c r="W2" s="896">
        <v>2012</v>
      </c>
      <c r="X2" s="896">
        <v>2013</v>
      </c>
      <c r="Y2" s="896">
        <v>2014</v>
      </c>
      <c r="Z2" s="896">
        <f t="shared" ref="Z2:AF2" si="0">+Y2+1</f>
        <v>2015</v>
      </c>
      <c r="AA2" s="896">
        <f t="shared" si="0"/>
        <v>2016</v>
      </c>
      <c r="AB2" s="896">
        <f t="shared" si="0"/>
        <v>2017</v>
      </c>
      <c r="AC2" s="896">
        <f t="shared" si="0"/>
        <v>2018</v>
      </c>
      <c r="AD2" s="896">
        <f t="shared" si="0"/>
        <v>2019</v>
      </c>
      <c r="AE2" s="896">
        <f t="shared" si="0"/>
        <v>2020</v>
      </c>
      <c r="AF2" s="1">
        <f t="shared" si="0"/>
        <v>2021</v>
      </c>
    </row>
    <row r="3" spans="1:46">
      <c r="D3" s="71" t="s">
        <v>93</v>
      </c>
      <c r="E3" s="897"/>
      <c r="F3" s="898"/>
      <c r="G3" s="898"/>
      <c r="H3" s="898"/>
      <c r="I3" s="898"/>
      <c r="J3" s="898"/>
      <c r="K3" s="898"/>
      <c r="L3" s="898"/>
      <c r="M3" s="898"/>
      <c r="N3" s="898"/>
      <c r="O3" s="898"/>
      <c r="P3" s="898"/>
      <c r="Q3" s="898"/>
      <c r="R3" s="898"/>
      <c r="S3" s="898"/>
      <c r="T3" s="898"/>
      <c r="U3" s="898"/>
      <c r="V3" s="898"/>
      <c r="W3" s="898"/>
      <c r="X3" s="898"/>
      <c r="Y3" s="898"/>
      <c r="Z3" s="898"/>
      <c r="AA3" s="898"/>
      <c r="AB3" s="898"/>
      <c r="AC3" s="898"/>
      <c r="AD3" s="898"/>
      <c r="AE3" s="898"/>
    </row>
    <row r="4" spans="1:46">
      <c r="D4" s="9"/>
      <c r="E4" s="50"/>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row>
    <row r="5" spans="1:46" ht="18.3">
      <c r="A5" s="79"/>
      <c r="D5" s="67" t="s">
        <v>86</v>
      </c>
      <c r="E5" s="68"/>
      <c r="F5" s="68"/>
      <c r="G5" s="68"/>
      <c r="H5" s="68"/>
      <c r="I5" s="52"/>
      <c r="J5" s="53"/>
      <c r="K5" s="52"/>
      <c r="L5" s="53"/>
      <c r="M5" s="52"/>
      <c r="N5" s="53"/>
      <c r="O5" s="52"/>
      <c r="P5" s="53"/>
      <c r="Q5" s="52"/>
      <c r="R5" s="53"/>
      <c r="S5" s="52"/>
      <c r="T5" s="53"/>
      <c r="U5" s="52"/>
      <c r="V5" s="53"/>
      <c r="W5" s="52"/>
      <c r="X5" s="53"/>
      <c r="Y5" s="53"/>
      <c r="Z5" s="53"/>
      <c r="AA5" s="53"/>
      <c r="AB5" s="69"/>
      <c r="AC5" s="69"/>
      <c r="AD5" s="69"/>
      <c r="AE5" s="69"/>
    </row>
    <row r="6" spans="1:46" ht="15.9" thickBot="1">
      <c r="A6" s="79" t="s">
        <v>43</v>
      </c>
      <c r="B6" s="74" t="s">
        <v>87</v>
      </c>
      <c r="D6" s="482" t="s">
        <v>680</v>
      </c>
      <c r="E6" s="9"/>
      <c r="F6" s="9"/>
      <c r="G6" s="9"/>
      <c r="H6" s="9"/>
      <c r="I6" s="2"/>
      <c r="J6" s="2"/>
      <c r="K6" s="2"/>
      <c r="L6" s="2"/>
      <c r="M6" s="2"/>
      <c r="N6" s="2"/>
      <c r="O6" s="2"/>
      <c r="P6" s="2"/>
      <c r="Q6" s="2"/>
      <c r="R6" s="2"/>
      <c r="S6" s="2"/>
      <c r="T6" s="2"/>
      <c r="U6" s="529">
        <v>2010</v>
      </c>
      <c r="V6" s="530" t="s">
        <v>675</v>
      </c>
      <c r="W6" s="530">
        <v>2012</v>
      </c>
      <c r="X6" s="530">
        <v>2013</v>
      </c>
      <c r="Y6" s="530">
        <v>2014</v>
      </c>
      <c r="Z6" s="530">
        <v>2015</v>
      </c>
      <c r="AA6" s="530">
        <v>2016</v>
      </c>
      <c r="AB6" s="530">
        <v>2017</v>
      </c>
      <c r="AC6" s="530">
        <v>2018</v>
      </c>
      <c r="AD6" s="530">
        <v>2019</v>
      </c>
      <c r="AE6" s="530">
        <v>2020</v>
      </c>
      <c r="AF6" s="530">
        <v>2021</v>
      </c>
      <c r="AG6" s="530">
        <v>2022</v>
      </c>
      <c r="AH6" s="530">
        <v>2023</v>
      </c>
      <c r="AI6" s="530">
        <v>2024</v>
      </c>
      <c r="AJ6" s="530">
        <v>2025</v>
      </c>
      <c r="AK6" s="530">
        <v>2026</v>
      </c>
      <c r="AL6" s="530">
        <v>2027</v>
      </c>
    </row>
    <row r="7" spans="1:46">
      <c r="A7" s="79"/>
      <c r="D7" s="114" t="s">
        <v>681</v>
      </c>
      <c r="E7" s="48"/>
      <c r="F7" s="48"/>
      <c r="G7" s="48"/>
      <c r="H7" s="48"/>
      <c r="I7" s="2423" t="s">
        <v>3507</v>
      </c>
      <c r="J7" s="2423" t="s">
        <v>3508</v>
      </c>
      <c r="K7" s="2423" t="s">
        <v>3509</v>
      </c>
      <c r="L7" s="2423" t="s">
        <v>3510</v>
      </c>
      <c r="M7" s="2423" t="s">
        <v>3511</v>
      </c>
      <c r="N7" s="2423" t="s">
        <v>3512</v>
      </c>
      <c r="O7" s="2423" t="s">
        <v>3513</v>
      </c>
      <c r="P7" s="2424" t="s">
        <v>3514</v>
      </c>
      <c r="Q7" s="2425" t="s">
        <v>3515</v>
      </c>
      <c r="R7" s="2425" t="s">
        <v>3516</v>
      </c>
      <c r="S7" s="2425" t="s">
        <v>3517</v>
      </c>
      <c r="T7" s="2425" t="s">
        <v>3518</v>
      </c>
      <c r="U7" s="2426" t="s">
        <v>3519</v>
      </c>
      <c r="V7" s="2423" t="s">
        <v>3520</v>
      </c>
      <c r="W7" s="2427" t="s">
        <v>3521</v>
      </c>
      <c r="X7" s="2427" t="s">
        <v>3522</v>
      </c>
      <c r="Y7" s="2427" t="s">
        <v>3523</v>
      </c>
      <c r="Z7" s="2427" t="s">
        <v>3524</v>
      </c>
      <c r="AA7" s="2427" t="s">
        <v>3525</v>
      </c>
      <c r="AB7" s="2427" t="s">
        <v>3526</v>
      </c>
      <c r="AC7" s="2427" t="s">
        <v>3527</v>
      </c>
      <c r="AD7" s="2427" t="s">
        <v>3528</v>
      </c>
      <c r="AE7" s="2427" t="s">
        <v>3529</v>
      </c>
      <c r="AF7" s="2427" t="s">
        <v>3530</v>
      </c>
      <c r="AG7" s="2427" t="s">
        <v>3531</v>
      </c>
      <c r="AH7" s="2427" t="s">
        <v>3532</v>
      </c>
      <c r="AI7" s="2427" t="s">
        <v>3533</v>
      </c>
      <c r="AJ7" s="2427" t="s">
        <v>3534</v>
      </c>
      <c r="AK7" s="2427" t="s">
        <v>3535</v>
      </c>
      <c r="AL7" s="2427" t="s">
        <v>3536</v>
      </c>
      <c r="AM7" s="2427" t="s">
        <v>3537</v>
      </c>
      <c r="AN7" s="2427" t="s">
        <v>3538</v>
      </c>
      <c r="AO7" s="2452" t="s">
        <v>3539</v>
      </c>
      <c r="AP7" s="2452" t="s">
        <v>3606</v>
      </c>
      <c r="AQ7" s="2452" t="s">
        <v>3607</v>
      </c>
      <c r="AR7" s="2452" t="s">
        <v>3608</v>
      </c>
      <c r="AS7" s="2452" t="s">
        <v>3609</v>
      </c>
      <c r="AT7" s="2565" t="s">
        <v>3610</v>
      </c>
    </row>
    <row r="8" spans="1:46">
      <c r="A8" s="79"/>
      <c r="C8" s="73" t="s">
        <v>27</v>
      </c>
      <c r="D8" s="115"/>
      <c r="E8" s="48"/>
      <c r="F8" s="48" t="s">
        <v>27</v>
      </c>
      <c r="G8" s="48"/>
      <c r="H8" s="48"/>
      <c r="I8" s="2428"/>
      <c r="J8" s="2428"/>
      <c r="K8" s="2428"/>
      <c r="L8" s="2428"/>
      <c r="M8" s="2428"/>
      <c r="N8" s="2428"/>
      <c r="O8" s="2429"/>
      <c r="P8" s="2430"/>
      <c r="Q8" s="2431"/>
      <c r="R8" s="2431"/>
      <c r="S8" s="2431"/>
      <c r="T8" s="2431"/>
      <c r="U8" s="2431"/>
      <c r="V8" s="2430"/>
      <c r="W8" s="2431"/>
      <c r="X8" s="2431"/>
      <c r="Y8" s="2431"/>
      <c r="Z8" s="2431"/>
      <c r="AA8" s="2431"/>
      <c r="AB8" s="2431"/>
      <c r="AC8" s="2431"/>
      <c r="AD8" s="2431"/>
      <c r="AE8" s="2431"/>
      <c r="AF8" s="2431"/>
      <c r="AG8" s="2431"/>
      <c r="AH8" s="2431"/>
      <c r="AI8" s="2431"/>
      <c r="AJ8" s="2431"/>
      <c r="AK8" s="2431"/>
      <c r="AL8" s="2431"/>
      <c r="AM8" s="2431"/>
      <c r="AN8" s="2431"/>
      <c r="AO8" s="2453"/>
      <c r="AP8" s="2453"/>
      <c r="AQ8" s="2453"/>
      <c r="AR8" s="2453"/>
      <c r="AS8" s="2453"/>
      <c r="AT8" s="2566"/>
    </row>
    <row r="9" spans="1:46">
      <c r="A9" s="79"/>
      <c r="C9" s="73" t="s">
        <v>27</v>
      </c>
      <c r="D9" s="114" t="s">
        <v>13</v>
      </c>
      <c r="E9" s="48"/>
      <c r="F9" s="48" t="s">
        <v>27</v>
      </c>
      <c r="G9" s="48"/>
      <c r="H9" s="48"/>
      <c r="I9" s="2428"/>
      <c r="J9" s="2428"/>
      <c r="K9" s="2428"/>
      <c r="L9" s="2428"/>
      <c r="M9" s="2428"/>
      <c r="N9" s="2428"/>
      <c r="O9" s="2429"/>
      <c r="P9" s="2430"/>
      <c r="Q9" s="2431"/>
      <c r="R9" s="2431"/>
      <c r="S9" s="2431"/>
      <c r="T9" s="2431"/>
      <c r="U9" s="2431"/>
      <c r="V9" s="2430"/>
      <c r="W9" s="2431"/>
      <c r="X9" s="2431"/>
      <c r="Y9" s="2431"/>
      <c r="Z9" s="2431"/>
      <c r="AA9" s="2431"/>
      <c r="AB9" s="2431"/>
      <c r="AC9" s="2431"/>
      <c r="AD9" s="2431"/>
      <c r="AE9" s="2431"/>
      <c r="AF9" s="2431"/>
      <c r="AG9" s="2431"/>
      <c r="AH9" s="2431"/>
      <c r="AI9" s="2431"/>
      <c r="AJ9" s="2431"/>
      <c r="AK9" s="2431"/>
      <c r="AL9" s="2431"/>
      <c r="AM9" s="2431"/>
      <c r="AN9" s="2431"/>
      <c r="AO9" s="2453"/>
      <c r="AP9" s="2453" t="s">
        <v>3676</v>
      </c>
      <c r="AQ9" s="2453"/>
      <c r="AR9" s="2453"/>
      <c r="AS9" s="2453"/>
      <c r="AT9" s="2566"/>
    </row>
    <row r="10" spans="1:46">
      <c r="A10" s="79"/>
      <c r="C10" s="73"/>
      <c r="D10" s="115" t="s">
        <v>14</v>
      </c>
      <c r="E10" s="116" t="s">
        <v>10</v>
      </c>
      <c r="F10" s="48"/>
      <c r="G10" s="48"/>
      <c r="H10" s="48"/>
      <c r="I10" s="2428">
        <v>82.840182013268645</v>
      </c>
      <c r="J10" s="2428">
        <v>85.845687043934589</v>
      </c>
      <c r="K10" s="2428">
        <v>89.415484656833002</v>
      </c>
      <c r="L10" s="2428">
        <v>90.824752172854872</v>
      </c>
      <c r="M10" s="2428">
        <v>92.314464748070847</v>
      </c>
      <c r="N10" s="2428">
        <v>94.183171435893172</v>
      </c>
      <c r="O10" s="2429">
        <v>97.24548867584933</v>
      </c>
      <c r="P10" s="2432">
        <v>100</v>
      </c>
      <c r="Q10" s="2433">
        <v>103.08518037214</v>
      </c>
      <c r="R10" s="2433">
        <v>105.9248183004491</v>
      </c>
      <c r="S10" s="2433">
        <v>106.258955039727</v>
      </c>
      <c r="T10" s="2433">
        <v>102.68439089236701</v>
      </c>
      <c r="U10" s="2433">
        <v>105.8752877632627</v>
      </c>
      <c r="V10" s="2432">
        <v>107.7434646082704</v>
      </c>
      <c r="W10" s="2433">
        <v>108.9845713334629</v>
      </c>
      <c r="X10" s="2433">
        <v>110.6098546734796</v>
      </c>
      <c r="Y10" s="2433">
        <v>112.9401631299055</v>
      </c>
      <c r="Z10" s="2433">
        <v>115.642875580693</v>
      </c>
      <c r="AA10" s="2433">
        <v>117.7640362873197</v>
      </c>
      <c r="AB10" s="2433">
        <v>120.81106486053071</v>
      </c>
      <c r="AC10" s="2433">
        <v>123.5723303558007</v>
      </c>
      <c r="AD10" s="2433">
        <v>125.88558380950749</v>
      </c>
      <c r="AE10" s="2433">
        <v>120.9020948736117</v>
      </c>
      <c r="AF10" s="2433">
        <v>128.1374288225924</v>
      </c>
      <c r="AG10" s="2433">
        <v>131.90141112383071</v>
      </c>
      <c r="AH10" s="2433">
        <v>134.23599951330061</v>
      </c>
      <c r="AI10" s="2433">
        <v>136.7041978724337</v>
      </c>
      <c r="AJ10" s="2433">
        <v>138.7378625090208</v>
      </c>
      <c r="AK10" s="2433">
        <v>140.9915167722894</v>
      </c>
      <c r="AL10" s="2433">
        <v>143.5587243310712</v>
      </c>
      <c r="AM10" s="2433">
        <v>146.09794552695899</v>
      </c>
      <c r="AN10" s="2433">
        <v>148.42083434337161</v>
      </c>
      <c r="AO10" s="2454">
        <v>150.71199502155031</v>
      </c>
      <c r="AP10" s="2454">
        <v>153.0385241658642</v>
      </c>
      <c r="AQ10" s="2454">
        <v>155.40096775652702</v>
      </c>
      <c r="AR10" s="2454">
        <v>157.79988020200588</v>
      </c>
      <c r="AS10" s="2454">
        <v>160.23582446912749</v>
      </c>
      <c r="AT10" s="2567">
        <v>162.70937221519299</v>
      </c>
    </row>
    <row r="11" spans="1:46">
      <c r="A11" s="79"/>
      <c r="B11" s="74" t="s">
        <v>44</v>
      </c>
      <c r="C11" s="73" t="s">
        <v>27</v>
      </c>
      <c r="D11" s="115" t="s">
        <v>15</v>
      </c>
      <c r="E11" s="116" t="s">
        <v>10</v>
      </c>
      <c r="F11" s="48" t="s">
        <v>27</v>
      </c>
      <c r="G11" s="48"/>
      <c r="H11" s="48"/>
      <c r="I11" s="2428">
        <v>69.095029681145064</v>
      </c>
      <c r="J11" s="2428">
        <v>71.532268833742492</v>
      </c>
      <c r="K11" s="2428">
        <v>75.581850600115729</v>
      </c>
      <c r="L11" s="2428">
        <v>78.400839348064423</v>
      </c>
      <c r="M11" s="2428">
        <v>81.820541189408374</v>
      </c>
      <c r="N11" s="2428">
        <v>86.800016650804807</v>
      </c>
      <c r="O11" s="2429">
        <v>93.520055875155762</v>
      </c>
      <c r="P11" s="2432">
        <v>100</v>
      </c>
      <c r="Q11" s="2433">
        <v>107.768425207734</v>
      </c>
      <c r="R11" s="2433">
        <v>116.522383148714</v>
      </c>
      <c r="S11" s="2433">
        <v>123.03489758290119</v>
      </c>
      <c r="T11" s="2433">
        <v>126.18867403361941</v>
      </c>
      <c r="U11" s="2433">
        <v>135.2987939052669</v>
      </c>
      <c r="V11" s="2432">
        <v>143.60280111906121</v>
      </c>
      <c r="W11" s="2433">
        <v>151.19984091079399</v>
      </c>
      <c r="X11" s="2433">
        <v>158.67543659158471</v>
      </c>
      <c r="Y11" s="2433">
        <v>166.1632188452605</v>
      </c>
      <c r="Z11" s="2433">
        <v>173.2875080328304</v>
      </c>
      <c r="AA11" s="2433">
        <v>180.87338960567649</v>
      </c>
      <c r="AB11" s="2433">
        <v>189.53470985091209</v>
      </c>
      <c r="AC11" s="2433">
        <v>198.39190626582391</v>
      </c>
      <c r="AD11" s="2433">
        <v>205.82718917538131</v>
      </c>
      <c r="AE11" s="2433">
        <v>202.18643174650629</v>
      </c>
      <c r="AF11" s="2433">
        <v>216.48461893365891</v>
      </c>
      <c r="AG11" s="2433">
        <v>225.71617709310101</v>
      </c>
      <c r="AH11" s="2433">
        <v>236.34659826172501</v>
      </c>
      <c r="AI11" s="2433">
        <v>246.51187108503851</v>
      </c>
      <c r="AJ11" s="2433">
        <v>256.59623661536568</v>
      </c>
      <c r="AK11" s="2433">
        <v>266.8597452000941</v>
      </c>
      <c r="AL11" s="2433">
        <v>277.9967311803145</v>
      </c>
      <c r="AM11" s="2433">
        <v>289.49419442044461</v>
      </c>
      <c r="AN11" s="2433">
        <v>301.27181397746938</v>
      </c>
      <c r="AO11" s="2454">
        <v>313.23889137696767</v>
      </c>
      <c r="AP11" s="2454">
        <v>325.68132337268548</v>
      </c>
      <c r="AQ11" s="2454">
        <v>338.61799193426361</v>
      </c>
      <c r="AR11" s="2454">
        <v>352.06852905833409</v>
      </c>
      <c r="AS11" s="2454">
        <v>366.05334656098859</v>
      </c>
      <c r="AT11" s="2567">
        <v>380.59366705365943</v>
      </c>
    </row>
    <row r="12" spans="1:46">
      <c r="A12" s="79"/>
      <c r="B12" s="74" t="s">
        <v>10</v>
      </c>
      <c r="C12" s="73" t="s">
        <v>27</v>
      </c>
      <c r="D12" s="114" t="s">
        <v>16</v>
      </c>
      <c r="E12" s="116"/>
      <c r="F12" s="48"/>
      <c r="G12" s="48"/>
      <c r="H12" s="48"/>
      <c r="I12" s="2428"/>
      <c r="J12" s="2428"/>
      <c r="K12" s="2428"/>
      <c r="L12" s="2428"/>
      <c r="M12" s="2428"/>
      <c r="N12" s="2428"/>
      <c r="O12" s="2429"/>
      <c r="P12" s="2434"/>
      <c r="Q12" s="2435"/>
      <c r="R12" s="2435"/>
      <c r="S12" s="2435"/>
      <c r="T12" s="2435"/>
      <c r="U12" s="2435"/>
      <c r="V12" s="2434"/>
      <c r="W12" s="2435"/>
      <c r="X12" s="2435"/>
      <c r="Y12" s="2435"/>
      <c r="Z12" s="2435"/>
      <c r="AA12" s="2435"/>
      <c r="AB12" s="2435"/>
      <c r="AC12" s="2435"/>
      <c r="AD12" s="2435"/>
      <c r="AE12" s="2435"/>
      <c r="AF12" s="2435"/>
      <c r="AG12" s="2435"/>
      <c r="AH12" s="2435"/>
      <c r="AI12" s="2435"/>
      <c r="AJ12" s="2435"/>
      <c r="AK12" s="2435"/>
      <c r="AL12" s="2435"/>
      <c r="AM12" s="2435"/>
      <c r="AN12" s="2435"/>
      <c r="AO12" s="2455"/>
      <c r="AP12" s="2455"/>
      <c r="AQ12" s="2455"/>
      <c r="AR12" s="2455"/>
      <c r="AS12" s="2455"/>
      <c r="AT12" s="2568"/>
    </row>
    <row r="13" spans="1:46">
      <c r="A13" s="79"/>
      <c r="B13" s="74" t="s">
        <v>27</v>
      </c>
      <c r="C13" s="73" t="s">
        <v>27</v>
      </c>
      <c r="D13" s="115" t="s">
        <v>14</v>
      </c>
      <c r="E13" s="116" t="s">
        <v>11</v>
      </c>
      <c r="F13" s="48" t="s">
        <v>27</v>
      </c>
      <c r="G13" s="48"/>
      <c r="H13" s="48"/>
      <c r="I13" s="2428">
        <v>88.90489724712782</v>
      </c>
      <c r="J13" s="2428">
        <v>89.723086155917343</v>
      </c>
      <c r="K13" s="2428">
        <v>91.190182422768942</v>
      </c>
      <c r="L13" s="2428">
        <v>92.946420387638966</v>
      </c>
      <c r="M13" s="2428">
        <v>94.398652994785451</v>
      </c>
      <c r="N13" s="2428">
        <v>95.986474300668647</v>
      </c>
      <c r="O13" s="2429">
        <v>97.925387883093535</v>
      </c>
      <c r="P13" s="2432">
        <v>100</v>
      </c>
      <c r="Q13" s="2433">
        <v>102.12321276586449</v>
      </c>
      <c r="R13" s="2433">
        <v>104.4633046298443</v>
      </c>
      <c r="S13" s="2433">
        <v>106.5163016878589</v>
      </c>
      <c r="T13" s="2433">
        <v>107.2953948279123</v>
      </c>
      <c r="U13" s="2433">
        <v>108.3102659105685</v>
      </c>
      <c r="V13" s="2432">
        <v>109.8016379446463</v>
      </c>
      <c r="W13" s="2433">
        <v>111.1903101317543</v>
      </c>
      <c r="X13" s="2433">
        <v>112.6389511729586</v>
      </c>
      <c r="Y13" s="2433">
        <v>114.1932891450427</v>
      </c>
      <c r="Z13" s="2433">
        <v>115.59355204449299</v>
      </c>
      <c r="AA13" s="2433">
        <v>116.7006566897409</v>
      </c>
      <c r="AB13" s="2433">
        <v>118.3796009392934</v>
      </c>
      <c r="AC13" s="2433">
        <v>120.3949763059005</v>
      </c>
      <c r="AD13" s="2433">
        <v>122.1713801426077</v>
      </c>
      <c r="AE13" s="2433">
        <v>124.14610988162001</v>
      </c>
      <c r="AF13" s="2433">
        <v>128.21109836311581</v>
      </c>
      <c r="AG13" s="2433">
        <v>135.55821357513679</v>
      </c>
      <c r="AH13" s="2433">
        <v>141.11884895201479</v>
      </c>
      <c r="AI13" s="2433">
        <v>145.13712095010769</v>
      </c>
      <c r="AJ13" s="2433">
        <v>148.67222459566219</v>
      </c>
      <c r="AK13" s="2433">
        <v>151.669750182412</v>
      </c>
      <c r="AL13" s="2433">
        <v>154.63941334901131</v>
      </c>
      <c r="AM13" s="2433">
        <v>157.6655649733456</v>
      </c>
      <c r="AN13" s="2433">
        <v>160.78311167681699</v>
      </c>
      <c r="AO13" s="2454">
        <v>164.03319505288459</v>
      </c>
      <c r="AP13" s="2454">
        <v>164.03319505288459</v>
      </c>
      <c r="AQ13" s="2454">
        <v>164.03319505288459</v>
      </c>
      <c r="AR13" s="2454">
        <v>164.03319505288459</v>
      </c>
      <c r="AS13" s="2454">
        <v>164.03319505288459</v>
      </c>
      <c r="AT13" s="2567">
        <v>164.03319505288459</v>
      </c>
    </row>
    <row r="14" spans="1:46">
      <c r="A14" s="79"/>
      <c r="B14" s="74" t="s">
        <v>11</v>
      </c>
      <c r="C14" s="73" t="s">
        <v>27</v>
      </c>
      <c r="D14" s="114" t="s">
        <v>17</v>
      </c>
      <c r="E14" s="116"/>
      <c r="F14" s="48"/>
      <c r="G14" s="48"/>
      <c r="H14" s="48"/>
      <c r="I14" s="2428"/>
      <c r="J14" s="2428"/>
      <c r="K14" s="2428"/>
      <c r="L14" s="2428"/>
      <c r="M14" s="2428"/>
      <c r="N14" s="2428"/>
      <c r="O14" s="2429"/>
      <c r="P14" s="2434"/>
      <c r="Q14" s="2435"/>
      <c r="R14" s="2435"/>
      <c r="S14" s="2435"/>
      <c r="T14" s="2435"/>
      <c r="U14" s="2435"/>
      <c r="V14" s="2434"/>
      <c r="W14" s="2435"/>
      <c r="X14" s="2435"/>
      <c r="Y14" s="2435"/>
      <c r="Z14" s="2435"/>
      <c r="AA14" s="2435"/>
      <c r="AB14" s="2435"/>
      <c r="AC14" s="2435"/>
      <c r="AD14" s="2435"/>
      <c r="AE14" s="2435"/>
      <c r="AF14" s="2435"/>
      <c r="AG14" s="2435"/>
      <c r="AH14" s="2435"/>
      <c r="AI14" s="2435"/>
      <c r="AJ14" s="2435"/>
      <c r="AK14" s="2435"/>
      <c r="AL14" s="2435"/>
      <c r="AM14" s="2435"/>
      <c r="AN14" s="2435"/>
      <c r="AO14" s="2455"/>
      <c r="AP14" s="2455"/>
      <c r="AQ14" s="2455"/>
      <c r="AR14" s="2455"/>
      <c r="AS14" s="2455"/>
      <c r="AT14" s="2568"/>
    </row>
    <row r="15" spans="1:46">
      <c r="A15" s="79"/>
      <c r="B15" s="74" t="s">
        <v>27</v>
      </c>
      <c r="C15" s="73" t="s">
        <v>27</v>
      </c>
      <c r="D15" s="115" t="s">
        <v>18</v>
      </c>
      <c r="E15" s="116" t="s">
        <v>11</v>
      </c>
      <c r="F15" s="48" t="s">
        <v>27</v>
      </c>
      <c r="G15" s="48"/>
      <c r="H15" s="48"/>
      <c r="I15" s="2428">
        <v>64.0379947230971</v>
      </c>
      <c r="J15" s="2428">
        <v>67.312292886485096</v>
      </c>
      <c r="K15" s="2428">
        <v>75.730801616760502</v>
      </c>
      <c r="L15" s="2428">
        <v>76.196823869150094</v>
      </c>
      <c r="M15" s="2428">
        <v>79.161753594329753</v>
      </c>
      <c r="N15" s="2428">
        <v>83.686424739564345</v>
      </c>
      <c r="O15" s="2429">
        <v>92.757864413801897</v>
      </c>
      <c r="P15" s="2432">
        <v>100</v>
      </c>
      <c r="Q15" s="2433">
        <v>109.16178226055899</v>
      </c>
      <c r="R15" s="2433">
        <v>117.6444726962856</v>
      </c>
      <c r="S15" s="2433">
        <v>120.81351250156879</v>
      </c>
      <c r="T15" s="2433">
        <v>108.45900222537</v>
      </c>
      <c r="U15" s="2433">
        <v>121.4347407116172</v>
      </c>
      <c r="V15" s="2432">
        <v>129.91514230741501</v>
      </c>
      <c r="W15" s="2433">
        <v>133.79944979239761</v>
      </c>
      <c r="X15" s="2433">
        <v>138.6840126613717</v>
      </c>
      <c r="Y15" s="2433">
        <v>144.34763910428779</v>
      </c>
      <c r="Z15" s="2433">
        <v>148.80374025535539</v>
      </c>
      <c r="AA15" s="2433">
        <v>152.38678988727841</v>
      </c>
      <c r="AB15" s="2433">
        <v>160.66526962957781</v>
      </c>
      <c r="AC15" s="2433">
        <v>167.0573832526382</v>
      </c>
      <c r="AD15" s="2433">
        <v>168.910704177274</v>
      </c>
      <c r="AE15" s="2433">
        <v>154.85254100734559</v>
      </c>
      <c r="AF15" s="2433">
        <v>171.60683349142519</v>
      </c>
      <c r="AG15" s="2433">
        <v>181.47238262912279</v>
      </c>
      <c r="AH15" s="2433">
        <v>183.2458819072356</v>
      </c>
      <c r="AI15" s="2433">
        <v>190.01793236360109</v>
      </c>
      <c r="AJ15" s="2433">
        <v>194.97554328923181</v>
      </c>
      <c r="AK15" s="2433">
        <v>198.88949027711001</v>
      </c>
      <c r="AL15" s="2433">
        <v>205.2513266238827</v>
      </c>
      <c r="AM15" s="2433">
        <v>211.8296774842546</v>
      </c>
      <c r="AN15" s="2433">
        <v>218.31152225268769</v>
      </c>
      <c r="AO15" s="2454">
        <v>224.85571155092441</v>
      </c>
      <c r="AP15" s="2454">
        <v>231.59607195881784</v>
      </c>
      <c r="AQ15" s="2454">
        <v>238.5384839762298</v>
      </c>
      <c r="AR15" s="2454">
        <v>245.68900437912455</v>
      </c>
      <c r="AS15" s="2454">
        <v>253.05387150368838</v>
      </c>
      <c r="AT15" s="2567">
        <v>260.63951068884791</v>
      </c>
    </row>
    <row r="16" spans="1:46">
      <c r="A16" s="79"/>
      <c r="B16" s="74" t="s">
        <v>11</v>
      </c>
      <c r="C16" s="73" t="s">
        <v>27</v>
      </c>
      <c r="D16" s="114" t="s">
        <v>19</v>
      </c>
      <c r="E16" s="116"/>
      <c r="F16" s="48"/>
      <c r="G16" s="48"/>
      <c r="H16" s="48"/>
      <c r="I16" s="2428"/>
      <c r="J16" s="2428"/>
      <c r="K16" s="2428"/>
      <c r="L16" s="2428"/>
      <c r="M16" s="2428"/>
      <c r="N16" s="2428"/>
      <c r="O16" s="2429"/>
      <c r="P16" s="2436"/>
      <c r="Q16" s="2437"/>
      <c r="R16" s="2437"/>
      <c r="S16" s="2437"/>
      <c r="T16" s="2437"/>
      <c r="U16" s="2437"/>
      <c r="V16" s="2436"/>
      <c r="W16" s="2437"/>
      <c r="X16" s="2437"/>
      <c r="Y16" s="2437"/>
      <c r="Z16" s="2437"/>
      <c r="AA16" s="2437"/>
      <c r="AB16" s="2437"/>
      <c r="AC16" s="2437"/>
      <c r="AD16" s="2437"/>
      <c r="AE16" s="2437"/>
      <c r="AF16" s="2437"/>
      <c r="AG16" s="2437"/>
      <c r="AH16" s="2437"/>
      <c r="AI16" s="2437"/>
      <c r="AJ16" s="2437"/>
      <c r="AK16" s="2437"/>
      <c r="AL16" s="2437"/>
      <c r="AM16" s="2437"/>
      <c r="AN16" s="2437"/>
      <c r="AO16" s="2456"/>
      <c r="AP16" s="2456"/>
      <c r="AQ16" s="2456"/>
      <c r="AR16" s="2456"/>
      <c r="AS16" s="2456"/>
      <c r="AT16" s="2569"/>
    </row>
    <row r="17" spans="1:46">
      <c r="A17" s="79"/>
      <c r="C17" s="73"/>
      <c r="D17" s="115" t="s">
        <v>188</v>
      </c>
      <c r="E17" s="116" t="s">
        <v>11</v>
      </c>
      <c r="F17" s="48"/>
      <c r="G17" s="48"/>
      <c r="H17" s="48"/>
      <c r="I17" s="2428">
        <v>92.223931179866895</v>
      </c>
      <c r="J17" s="2428">
        <v>88.431734182910304</v>
      </c>
      <c r="K17" s="2428">
        <v>84.737136036598741</v>
      </c>
      <c r="L17" s="2428">
        <v>81.792165594744944</v>
      </c>
      <c r="M17" s="2428">
        <v>82.306188018493785</v>
      </c>
      <c r="N17" s="2428">
        <v>90.923828117101209</v>
      </c>
      <c r="O17" s="2429">
        <v>98.138380710548745</v>
      </c>
      <c r="P17" s="2432">
        <v>100</v>
      </c>
      <c r="Q17" s="2433">
        <v>102.605414387454</v>
      </c>
      <c r="R17" s="2433">
        <v>110.33946758381531</v>
      </c>
      <c r="S17" s="2433">
        <v>119.4115768920295</v>
      </c>
      <c r="T17" s="2433">
        <v>109.64078639511951</v>
      </c>
      <c r="U17" s="2433">
        <v>112.3901985461428</v>
      </c>
      <c r="V17" s="2432">
        <v>122.26257605638391</v>
      </c>
      <c r="W17" s="2433">
        <v>118.5094829878778</v>
      </c>
      <c r="X17" s="2433">
        <v>117.91082624500881</v>
      </c>
      <c r="Y17" s="2433">
        <v>115.8069088357727</v>
      </c>
      <c r="Z17" s="2433">
        <v>102.6430172553742</v>
      </c>
      <c r="AA17" s="2433">
        <v>100.1748827471018</v>
      </c>
      <c r="AB17" s="2433">
        <v>103.64232356419051</v>
      </c>
      <c r="AC17" s="2433">
        <v>107.8074181807271</v>
      </c>
      <c r="AD17" s="2433">
        <v>104.4474375643322</v>
      </c>
      <c r="AE17" s="2433">
        <v>104.79585412131379</v>
      </c>
      <c r="AF17" s="2433">
        <v>115.75657987165241</v>
      </c>
      <c r="AG17" s="2433">
        <v>119.766562087712</v>
      </c>
      <c r="AH17" s="2433">
        <v>118.2575623053994</v>
      </c>
      <c r="AI17" s="2433">
        <v>118.3464693564059</v>
      </c>
      <c r="AJ17" s="2433">
        <v>121.6085178625916</v>
      </c>
      <c r="AK17" s="2433">
        <v>123.7264703569237</v>
      </c>
      <c r="AL17" s="2433">
        <v>124.2905865576746</v>
      </c>
      <c r="AM17" s="2433">
        <v>125.0662489450181</v>
      </c>
      <c r="AN17" s="2433">
        <v>126.3727257090428</v>
      </c>
      <c r="AO17" s="2454">
        <v>127.80563408344641</v>
      </c>
      <c r="AP17" s="2454">
        <v>129.25478984349368</v>
      </c>
      <c r="AQ17" s="2454">
        <v>130.72037721418113</v>
      </c>
      <c r="AR17" s="2454">
        <v>132.20258250938588</v>
      </c>
      <c r="AS17" s="2454">
        <v>133.70159415555099</v>
      </c>
      <c r="AT17" s="2567">
        <v>135.21760271563932</v>
      </c>
    </row>
    <row r="18" spans="1:46">
      <c r="A18" s="79"/>
      <c r="B18" s="74" t="s">
        <v>11</v>
      </c>
      <c r="C18" s="73" t="s">
        <v>27</v>
      </c>
      <c r="D18" s="115" t="s">
        <v>20</v>
      </c>
      <c r="E18" s="116"/>
      <c r="F18" s="48"/>
      <c r="G18" s="48"/>
      <c r="H18" s="48"/>
      <c r="I18" s="2428">
        <v>93.453907820938539</v>
      </c>
      <c r="J18" s="2428">
        <v>92.440655430574324</v>
      </c>
      <c r="K18" s="2428">
        <v>92.626239100781476</v>
      </c>
      <c r="L18" s="2428">
        <v>89.485821737308243</v>
      </c>
      <c r="M18" s="2428">
        <v>87.727594691434433</v>
      </c>
      <c r="N18" s="2428">
        <v>90.234661185522612</v>
      </c>
      <c r="O18" s="2429">
        <v>96.116998719041717</v>
      </c>
      <c r="P18" s="2432">
        <v>100</v>
      </c>
      <c r="Q18" s="2433">
        <v>102.16283549038209</v>
      </c>
      <c r="R18" s="2433">
        <v>105.5532371514964</v>
      </c>
      <c r="S18" s="2433">
        <v>111.91426943256489</v>
      </c>
      <c r="T18" s="2433">
        <v>109.8602837902086</v>
      </c>
      <c r="U18" s="2433">
        <v>112.1355608258133</v>
      </c>
      <c r="V18" s="2432">
        <v>117.2249549634915</v>
      </c>
      <c r="W18" s="2433">
        <v>120.04563726350371</v>
      </c>
      <c r="X18" s="2433">
        <v>116.59435785728201</v>
      </c>
      <c r="Y18" s="2433">
        <v>115.9610623126148</v>
      </c>
      <c r="Z18" s="2433">
        <v>112.4109783057566</v>
      </c>
      <c r="AA18" s="2433">
        <v>106.7714991747176</v>
      </c>
      <c r="AB18" s="2433">
        <v>106.9084126825402</v>
      </c>
      <c r="AC18" s="2433">
        <v>109.08156112391841</v>
      </c>
      <c r="AD18" s="2433">
        <v>109.5129700946142</v>
      </c>
      <c r="AE18" s="2433">
        <v>106.0368653563977</v>
      </c>
      <c r="AF18" s="2433">
        <v>113.138586716156</v>
      </c>
      <c r="AG18" s="2433">
        <v>124.8450304995656</v>
      </c>
      <c r="AH18" s="2433">
        <v>122.7093826168029</v>
      </c>
      <c r="AI18" s="2433">
        <v>124.2219684628231</v>
      </c>
      <c r="AJ18" s="2433">
        <v>125.1703177441907</v>
      </c>
      <c r="AK18" s="2433">
        <v>125.4743877736616</v>
      </c>
      <c r="AL18" s="2433">
        <v>125.970434597924</v>
      </c>
      <c r="AM18" s="2433">
        <v>127.01744814810201</v>
      </c>
      <c r="AN18" s="2433">
        <v>128.40785143367859</v>
      </c>
      <c r="AO18" s="2454">
        <v>129.89700866802539</v>
      </c>
      <c r="AP18" s="2454">
        <v>131.40343579080852</v>
      </c>
      <c r="AQ18" s="2454">
        <v>132.92733308245485</v>
      </c>
      <c r="AR18" s="2454">
        <v>134.46890314606114</v>
      </c>
      <c r="AS18" s="2454">
        <v>136.02835093433023</v>
      </c>
      <c r="AT18" s="2567">
        <v>137.60588377681958</v>
      </c>
    </row>
    <row r="19" spans="1:46">
      <c r="A19" s="79"/>
      <c r="C19" s="73" t="s">
        <v>27</v>
      </c>
      <c r="D19" s="114" t="s">
        <v>45</v>
      </c>
      <c r="E19" s="116"/>
      <c r="F19" s="48" t="s">
        <v>27</v>
      </c>
      <c r="G19" s="48"/>
      <c r="H19" s="48"/>
      <c r="I19" s="2428"/>
      <c r="J19" s="2428"/>
      <c r="K19" s="2428"/>
      <c r="L19" s="2428"/>
      <c r="M19" s="2428"/>
      <c r="N19" s="2428"/>
      <c r="O19" s="2429"/>
      <c r="P19" s="2432"/>
      <c r="Q19" s="2433"/>
      <c r="R19" s="2433"/>
      <c r="S19" s="2433"/>
      <c r="T19" s="2433"/>
      <c r="U19" s="2433"/>
      <c r="V19" s="2432"/>
      <c r="W19" s="2433"/>
      <c r="X19" s="2433"/>
      <c r="Y19" s="2433"/>
      <c r="Z19" s="2433"/>
      <c r="AA19" s="2433"/>
      <c r="AB19" s="2433"/>
      <c r="AC19" s="2433"/>
      <c r="AD19" s="2433"/>
      <c r="AE19" s="2433"/>
      <c r="AF19" s="2433"/>
      <c r="AG19" s="2433"/>
      <c r="AH19" s="2433"/>
      <c r="AI19" s="2433"/>
      <c r="AJ19" s="2433"/>
      <c r="AK19" s="2433"/>
      <c r="AL19" s="2433"/>
      <c r="AM19" s="2433"/>
      <c r="AN19" s="2433"/>
      <c r="AO19" s="2454"/>
      <c r="AP19" s="2454"/>
      <c r="AQ19" s="2454"/>
      <c r="AR19" s="2454"/>
      <c r="AS19" s="2454"/>
      <c r="AT19" s="2567"/>
    </row>
    <row r="20" spans="1:46">
      <c r="A20" s="79"/>
      <c r="B20" s="74" t="s">
        <v>27</v>
      </c>
      <c r="C20" s="73" t="s">
        <v>27</v>
      </c>
      <c r="D20" s="115" t="s">
        <v>21</v>
      </c>
      <c r="E20" s="116" t="s">
        <v>11</v>
      </c>
      <c r="F20" s="48" t="s">
        <v>27</v>
      </c>
      <c r="G20" s="48"/>
      <c r="H20" s="48"/>
      <c r="I20" s="2428">
        <v>37.295675486647319</v>
      </c>
      <c r="J20" s="2428">
        <v>45.867666628160293</v>
      </c>
      <c r="K20" s="2428">
        <v>73.620515764565752</v>
      </c>
      <c r="L20" s="2428">
        <v>66.356471721530482</v>
      </c>
      <c r="M20" s="2428">
        <v>62.519301467370703</v>
      </c>
      <c r="N20" s="2428">
        <v>77.435056793643056</v>
      </c>
      <c r="O20" s="2429">
        <v>98.084593467079685</v>
      </c>
      <c r="P20" s="2432">
        <v>135.57786771471561</v>
      </c>
      <c r="Q20" s="2433">
        <v>153.20178293209196</v>
      </c>
      <c r="R20" s="2433">
        <v>168.02694598061873</v>
      </c>
      <c r="S20" s="2433">
        <v>232.55689810590994</v>
      </c>
      <c r="T20" s="2433">
        <v>142.77169885458702</v>
      </c>
      <c r="U20" s="2433">
        <v>178.52656275550359</v>
      </c>
      <c r="V20" s="2432">
        <v>231.51176675318189</v>
      </c>
      <c r="W20" s="2433">
        <v>228.12097579449059</v>
      </c>
      <c r="X20" s="2433">
        <v>225.87989261997996</v>
      </c>
      <c r="Y20" s="2433">
        <v>212.32069526033899</v>
      </c>
      <c r="Z20" s="2433">
        <v>118.9821211337963</v>
      </c>
      <c r="AA20" s="2433">
        <v>100</v>
      </c>
      <c r="AB20" s="2433">
        <v>123.30069799332352</v>
      </c>
      <c r="AC20" s="2433">
        <v>156.53475720140057</v>
      </c>
      <c r="AD20" s="2433">
        <v>129.28497919634125</v>
      </c>
      <c r="AE20" s="2433">
        <v>91.704892652902686</v>
      </c>
      <c r="AF20" s="2433">
        <v>183.08872268266387</v>
      </c>
      <c r="AG20" s="2433">
        <v>299.51108413036587</v>
      </c>
      <c r="AH20" s="2433">
        <v>189.5050149300188</v>
      </c>
      <c r="AI20" s="2433">
        <v>179.50369051334349</v>
      </c>
      <c r="AJ20" s="2433">
        <v>165.40211010582755</v>
      </c>
      <c r="AK20" s="2433">
        <v>159.22632879524886</v>
      </c>
      <c r="AL20" s="2433">
        <v>157.85461525911134</v>
      </c>
      <c r="AM20" s="2433">
        <v>156.64238230830935</v>
      </c>
      <c r="AN20" s="2433">
        <v>156.01651215192101</v>
      </c>
      <c r="AO20" s="2454">
        <v>155.71771671246196</v>
      </c>
      <c r="AP20" s="2454">
        <v>155.41949351188592</v>
      </c>
      <c r="AQ20" s="2454">
        <v>155.12184145426804</v>
      </c>
      <c r="AR20" s="2454">
        <v>154.82475944578235</v>
      </c>
      <c r="AS20" s="2454">
        <v>154.52824639469776</v>
      </c>
      <c r="AT20" s="2567">
        <v>154.23230121137397</v>
      </c>
    </row>
    <row r="21" spans="1:46">
      <c r="A21" s="79"/>
      <c r="C21" s="73"/>
      <c r="D21" s="115" t="s">
        <v>22</v>
      </c>
      <c r="E21" s="116" t="s">
        <v>264</v>
      </c>
      <c r="F21" s="48"/>
      <c r="G21" s="48"/>
      <c r="H21" s="48"/>
      <c r="I21" s="2428">
        <v>13.235742442541357</v>
      </c>
      <c r="J21" s="2428">
        <v>18.179252316121879</v>
      </c>
      <c r="K21" s="2428">
        <v>28.471002431143734</v>
      </c>
      <c r="L21" s="2428">
        <v>24.489567028985508</v>
      </c>
      <c r="M21" s="2428">
        <v>25.000525066921806</v>
      </c>
      <c r="N21" s="2428">
        <v>28.908934664972708</v>
      </c>
      <c r="O21" s="2429">
        <v>37.806715958759433</v>
      </c>
      <c r="P21" s="2432">
        <v>53.506304810527631</v>
      </c>
      <c r="Q21" s="2433">
        <v>64.401517804860205</v>
      </c>
      <c r="R21" s="2433">
        <v>71.189201134010929</v>
      </c>
      <c r="S21" s="2433">
        <v>96.76740195694002</v>
      </c>
      <c r="T21" s="2433">
        <v>61.501470695568521</v>
      </c>
      <c r="U21" s="2433">
        <v>79.144482318004066</v>
      </c>
      <c r="V21" s="2432">
        <v>104.06865139751552</v>
      </c>
      <c r="W21" s="2433">
        <v>105.09661699029635</v>
      </c>
      <c r="X21" s="2433">
        <v>104.17181542390783</v>
      </c>
      <c r="Y21" s="2433">
        <v>96.326127627203718</v>
      </c>
      <c r="Z21" s="2433">
        <v>50.911922344563642</v>
      </c>
      <c r="AA21" s="2433">
        <v>43.263857257879003</v>
      </c>
      <c r="AB21" s="2433">
        <v>52.977644966748223</v>
      </c>
      <c r="AC21" s="2433">
        <v>68.532530684693725</v>
      </c>
      <c r="AD21" s="2433">
        <v>61.432334067904719</v>
      </c>
      <c r="AE21" s="2433">
        <v>41.765497534872537</v>
      </c>
      <c r="AF21" s="2433">
        <v>69.249978185059703</v>
      </c>
      <c r="AG21" s="2433">
        <v>96.362059361733273</v>
      </c>
      <c r="AH21" s="2433">
        <v>80.594907475374853</v>
      </c>
      <c r="AI21" s="2433">
        <v>79.170800120772938</v>
      </c>
      <c r="AJ21" s="2433">
        <v>68.919952681396325</v>
      </c>
      <c r="AK21" s="2433">
        <v>65.835401722250012</v>
      </c>
      <c r="AL21" s="2433">
        <v>65.689648638916665</v>
      </c>
      <c r="AM21" s="2433">
        <v>66.267346194416675</v>
      </c>
      <c r="AN21" s="2433">
        <v>66.873275277583332</v>
      </c>
      <c r="AO21" s="2454">
        <v>67.261264305583325</v>
      </c>
      <c r="AP21" s="2454">
        <v>67.651504389557815</v>
      </c>
      <c r="AQ21" s="2454">
        <v>68.044008589806552</v>
      </c>
      <c r="AR21" s="2454">
        <v>68.438790042403227</v>
      </c>
      <c r="AS21" s="2454">
        <v>68.835861959635139</v>
      </c>
      <c r="AT21" s="2567">
        <v>69.23523763044534</v>
      </c>
    </row>
    <row r="22" spans="1:46">
      <c r="A22" s="79"/>
      <c r="B22" s="74" t="s">
        <v>264</v>
      </c>
      <c r="C22" s="73" t="s">
        <v>27</v>
      </c>
      <c r="D22" s="115" t="s">
        <v>189</v>
      </c>
      <c r="E22" s="116" t="s">
        <v>46</v>
      </c>
      <c r="F22" s="48" t="s">
        <v>27</v>
      </c>
      <c r="G22" s="48"/>
      <c r="H22" s="48"/>
      <c r="I22" s="2428">
        <v>66.943225580757399</v>
      </c>
      <c r="J22" s="2428">
        <v>58.788758256335591</v>
      </c>
      <c r="K22" s="2428">
        <v>59.027974556934062</v>
      </c>
      <c r="L22" s="2428">
        <v>59.601899776210267</v>
      </c>
      <c r="M22" s="2428">
        <v>62.708494776321707</v>
      </c>
      <c r="N22" s="2428">
        <v>68.502411364737242</v>
      </c>
      <c r="O22" s="2429">
        <v>75.373825923457119</v>
      </c>
      <c r="P22" s="2432">
        <v>76.309035438994783</v>
      </c>
      <c r="Q22" s="2433">
        <v>82.417949974646433</v>
      </c>
      <c r="R22" s="2433">
        <v>93.91977558730116</v>
      </c>
      <c r="S22" s="2433">
        <v>110.41566041375567</v>
      </c>
      <c r="T22" s="2433">
        <v>92.869151481188723</v>
      </c>
      <c r="U22" s="2433">
        <v>105.39202087205035</v>
      </c>
      <c r="V22" s="2432">
        <v>124.97139464623541</v>
      </c>
      <c r="W22" s="2433">
        <v>120.87320620204956</v>
      </c>
      <c r="X22" s="2433">
        <v>120.48901091684388</v>
      </c>
      <c r="Y22" s="2433">
        <v>118.59389437789241</v>
      </c>
      <c r="Z22" s="2433">
        <v>98.537891530303668</v>
      </c>
      <c r="AA22" s="2433">
        <v>100.00000000000001</v>
      </c>
      <c r="AB22" s="2433">
        <v>103.79615781345687</v>
      </c>
      <c r="AC22" s="2433">
        <v>102.50521953251798</v>
      </c>
      <c r="AD22" s="2433">
        <v>99.369674858156657</v>
      </c>
      <c r="AE22" s="2433">
        <v>101.09557487778936</v>
      </c>
      <c r="AF22" s="2433">
        <v>128.35422614081585</v>
      </c>
      <c r="AG22" s="2433">
        <v>147.40229869192726</v>
      </c>
      <c r="AH22" s="2433">
        <v>137.44595372161757</v>
      </c>
      <c r="AI22" s="2433">
        <v>133.14244447141138</v>
      </c>
      <c r="AJ22" s="2433">
        <v>127.23098068119074</v>
      </c>
      <c r="AK22" s="2433">
        <v>130.17779858633992</v>
      </c>
      <c r="AL22" s="2433">
        <v>131.11407646933094</v>
      </c>
      <c r="AM22" s="2433">
        <v>131.49539314303749</v>
      </c>
      <c r="AN22" s="2433">
        <v>131.49539314303749</v>
      </c>
      <c r="AO22" s="2454">
        <v>131.49539314303749</v>
      </c>
      <c r="AP22" s="2454">
        <v>131.49539314303749</v>
      </c>
      <c r="AQ22" s="2454">
        <v>131.49539314303749</v>
      </c>
      <c r="AR22" s="2454">
        <v>131.49539314303749</v>
      </c>
      <c r="AS22" s="2454">
        <v>131.49539314303749</v>
      </c>
      <c r="AT22" s="2567">
        <v>131.49539314303749</v>
      </c>
    </row>
    <row r="23" spans="1:46">
      <c r="A23" s="79"/>
      <c r="B23" s="784" t="s">
        <v>11</v>
      </c>
      <c r="C23" s="73" t="s">
        <v>27</v>
      </c>
      <c r="D23" s="115" t="s">
        <v>190</v>
      </c>
      <c r="E23" s="116" t="s">
        <v>46</v>
      </c>
      <c r="F23" s="48" t="s">
        <v>27</v>
      </c>
      <c r="G23" s="48"/>
      <c r="H23" s="48"/>
      <c r="I23" s="2428">
        <v>71.344441781553058</v>
      </c>
      <c r="J23" s="2428">
        <v>70.376412307907785</v>
      </c>
      <c r="K23" s="2428">
        <v>72.344672187535821</v>
      </c>
      <c r="L23" s="2428">
        <v>65.034155149925027</v>
      </c>
      <c r="M23" s="2428">
        <v>67.013161221229083</v>
      </c>
      <c r="N23" s="2428">
        <v>77.17254259965982</v>
      </c>
      <c r="O23" s="2429">
        <v>83.251758185170971</v>
      </c>
      <c r="P23" s="2432">
        <v>85.721608337621134</v>
      </c>
      <c r="Q23" s="2433">
        <v>97.793211068984434</v>
      </c>
      <c r="R23" s="2433">
        <v>102.96338472865062</v>
      </c>
      <c r="S23" s="2433">
        <v>109.13066657336225</v>
      </c>
      <c r="T23" s="2433">
        <v>95.102252548605136</v>
      </c>
      <c r="U23" s="2433">
        <v>128.26491065205718</v>
      </c>
      <c r="V23" s="2432">
        <v>161.03366584553314</v>
      </c>
      <c r="W23" s="2433">
        <v>127.86582234603942</v>
      </c>
      <c r="X23" s="2433">
        <v>122.25148374233777</v>
      </c>
      <c r="Y23" s="2433">
        <v>112.901492597131</v>
      </c>
      <c r="Z23" s="2433">
        <v>100.17853531824635</v>
      </c>
      <c r="AA23" s="2433">
        <v>100.00000000000001</v>
      </c>
      <c r="AB23" s="2433">
        <v>105.38353758139085</v>
      </c>
      <c r="AC23" s="2433">
        <v>107.49071019408869</v>
      </c>
      <c r="AD23" s="2433">
        <v>101.66183468748265</v>
      </c>
      <c r="AE23" s="2433">
        <v>98.192673325170361</v>
      </c>
      <c r="AF23" s="2433">
        <v>113.38131749624391</v>
      </c>
      <c r="AG23" s="2433">
        <v>119.89290127160751</v>
      </c>
      <c r="AH23" s="2433">
        <v>101.2364165236681</v>
      </c>
      <c r="AI23" s="2433">
        <v>105.60834715653304</v>
      </c>
      <c r="AJ23" s="2433">
        <v>104.29563671825433</v>
      </c>
      <c r="AK23" s="2433">
        <v>106.30934568755438</v>
      </c>
      <c r="AL23" s="2433">
        <v>106.21924785699292</v>
      </c>
      <c r="AM23" s="2433">
        <v>106.25888105571565</v>
      </c>
      <c r="AN23" s="2433">
        <v>106.25888105571565</v>
      </c>
      <c r="AO23" s="2454">
        <v>106.25888105571565</v>
      </c>
      <c r="AP23" s="2454">
        <v>106.25888105571565</v>
      </c>
      <c r="AQ23" s="2454">
        <v>106.25888105571565</v>
      </c>
      <c r="AR23" s="2454">
        <v>106.25888105571565</v>
      </c>
      <c r="AS23" s="2454">
        <v>106.25888105571565</v>
      </c>
      <c r="AT23" s="2567">
        <v>106.25888105571565</v>
      </c>
    </row>
    <row r="24" spans="1:46">
      <c r="A24" s="79"/>
      <c r="C24" s="73" t="s">
        <v>27</v>
      </c>
      <c r="D24" s="115" t="s">
        <v>191</v>
      </c>
      <c r="E24" s="116" t="s">
        <v>46</v>
      </c>
      <c r="F24" s="48" t="s">
        <v>27</v>
      </c>
      <c r="G24" s="48"/>
      <c r="H24" s="48"/>
      <c r="I24" s="2428">
        <v>41.034974522832385</v>
      </c>
      <c r="J24" s="2428">
        <v>41.389527389192388</v>
      </c>
      <c r="K24" s="2428">
        <v>47.932397783575787</v>
      </c>
      <c r="L24" s="2428">
        <v>41.794200751115149</v>
      </c>
      <c r="M24" s="2428">
        <v>41.329813261364492</v>
      </c>
      <c r="N24" s="2428">
        <v>48.382931427428275</v>
      </c>
      <c r="O24" s="2429">
        <v>67.230659217683552</v>
      </c>
      <c r="P24" s="2432">
        <v>82.840841422498428</v>
      </c>
      <c r="Q24" s="2433">
        <v>130.0954771197346</v>
      </c>
      <c r="R24" s="2433">
        <v>160.66499802201321</v>
      </c>
      <c r="S24" s="2433">
        <v>144.28416991832543</v>
      </c>
      <c r="T24" s="2433">
        <v>121.43662953128006</v>
      </c>
      <c r="U24" s="2433">
        <v>185.83764607204668</v>
      </c>
      <c r="V24" s="2432">
        <v>209.3567181716119</v>
      </c>
      <c r="W24" s="2433">
        <v>172.09755213870946</v>
      </c>
      <c r="X24" s="2433">
        <v>165.41943505741614</v>
      </c>
      <c r="Y24" s="2433">
        <v>145.27295111032899</v>
      </c>
      <c r="Z24" s="2433">
        <v>105.60449725020818</v>
      </c>
      <c r="AA24" s="2433">
        <v>100.00000000000001</v>
      </c>
      <c r="AB24" s="2433">
        <v>122.18869143666286</v>
      </c>
      <c r="AC24" s="2433">
        <v>130.28732318059787</v>
      </c>
      <c r="AD24" s="2433">
        <v>135.32033023870892</v>
      </c>
      <c r="AE24" s="2433">
        <v>140.0100332583313</v>
      </c>
      <c r="AF24" s="2433">
        <v>205.41254004336932</v>
      </c>
      <c r="AG24" s="2433">
        <v>193.89512885526935</v>
      </c>
      <c r="AH24" s="2433">
        <v>188.54756862650402</v>
      </c>
      <c r="AI24" s="2433">
        <v>184.94947980411985</v>
      </c>
      <c r="AJ24" s="2433">
        <v>185.52807987759491</v>
      </c>
      <c r="AK24" s="2433">
        <v>191.16545493744459</v>
      </c>
      <c r="AL24" s="2433">
        <v>190.33941816783218</v>
      </c>
      <c r="AM24" s="2433">
        <v>188.93948073283295</v>
      </c>
      <c r="AN24" s="2433">
        <v>190.34086216002143</v>
      </c>
      <c r="AO24" s="2454">
        <v>191.45268416272424</v>
      </c>
      <c r="AP24" s="2454">
        <v>192.57100055739139</v>
      </c>
      <c r="AQ24" s="2454">
        <v>193.69584927916614</v>
      </c>
      <c r="AR24" s="2454">
        <v>194.82726848477915</v>
      </c>
      <c r="AS24" s="2454">
        <v>195.96529655384273</v>
      </c>
      <c r="AT24" s="2567">
        <v>197.10997209015281</v>
      </c>
    </row>
    <row r="25" spans="1:46">
      <c r="A25" s="79"/>
      <c r="C25" s="73" t="s">
        <v>27</v>
      </c>
      <c r="D25" s="115" t="s">
        <v>47</v>
      </c>
      <c r="E25" s="116" t="s">
        <v>192</v>
      </c>
      <c r="F25" s="48" t="s">
        <v>27</v>
      </c>
      <c r="G25" s="48"/>
      <c r="H25" s="48"/>
      <c r="I25" s="2428">
        <v>135.46926998243302</v>
      </c>
      <c r="J25" s="2428">
        <v>103.88442438358743</v>
      </c>
      <c r="K25" s="2428">
        <v>87.204109887696816</v>
      </c>
      <c r="L25" s="2428">
        <v>62.284132591442379</v>
      </c>
      <c r="M25" s="2428">
        <v>61.462068268084558</v>
      </c>
      <c r="N25" s="2428">
        <v>64.172862052199008</v>
      </c>
      <c r="O25" s="2429">
        <v>80.479524852562903</v>
      </c>
      <c r="P25" s="2432">
        <v>114.85391927818557</v>
      </c>
      <c r="Q25" s="2433">
        <v>114.40885786435787</v>
      </c>
      <c r="R25" s="2433">
        <v>123.61387754093731</v>
      </c>
      <c r="S25" s="2433">
        <v>139.71246561892212</v>
      </c>
      <c r="T25" s="2433">
        <v>143.75475766202396</v>
      </c>
      <c r="U25" s="2433">
        <v>196.04909199918438</v>
      </c>
      <c r="V25" s="2432">
        <v>271.10805783769371</v>
      </c>
      <c r="W25" s="2433">
        <v>186.44158316080055</v>
      </c>
      <c r="X25" s="2433">
        <v>139.48433732511447</v>
      </c>
      <c r="Y25" s="2433">
        <v>200.35589636269529</v>
      </c>
      <c r="Z25" s="2433">
        <v>159.90368585701739</v>
      </c>
      <c r="AA25" s="2433">
        <v>163.83998470732166</v>
      </c>
      <c r="AB25" s="2433">
        <v>150.75595340046428</v>
      </c>
      <c r="AC25" s="2433">
        <v>132.71492668141036</v>
      </c>
      <c r="AD25" s="2433">
        <v>130.55576145774515</v>
      </c>
      <c r="AE25" s="2433">
        <v>150.83195003607503</v>
      </c>
      <c r="AF25" s="2433">
        <v>204.69402922077924</v>
      </c>
      <c r="AG25" s="2433">
        <v>255.46590204059228</v>
      </c>
      <c r="AH25" s="2433">
        <v>205.95975240761655</v>
      </c>
      <c r="AI25" s="2433">
        <v>255.44462944664033</v>
      </c>
      <c r="AJ25" s="2433">
        <v>383.69933985334086</v>
      </c>
      <c r="AK25" s="2433">
        <v>369.88083377750002</v>
      </c>
      <c r="AL25" s="2433">
        <v>320.51626106875005</v>
      </c>
      <c r="AM25" s="2433">
        <v>300.8024436</v>
      </c>
      <c r="AN25" s="2433">
        <v>300.8024436</v>
      </c>
      <c r="AO25" s="2454">
        <v>300.8024436</v>
      </c>
      <c r="AP25" s="2454">
        <v>300.8024436</v>
      </c>
      <c r="AQ25" s="2454">
        <v>300.8024436</v>
      </c>
      <c r="AR25" s="2454">
        <v>300.8024436</v>
      </c>
      <c r="AS25" s="2454">
        <v>300.8024436</v>
      </c>
      <c r="AT25" s="2567">
        <v>300.8024436</v>
      </c>
    </row>
    <row r="26" spans="1:46">
      <c r="A26" s="79"/>
      <c r="B26" s="78" t="s">
        <v>48</v>
      </c>
      <c r="C26" s="73" t="s">
        <v>27</v>
      </c>
      <c r="D26" s="115" t="s">
        <v>28</v>
      </c>
      <c r="E26" s="116" t="s">
        <v>48</v>
      </c>
      <c r="F26" s="48" t="s">
        <v>27</v>
      </c>
      <c r="G26" s="48"/>
      <c r="H26" s="48"/>
      <c r="I26" s="2428">
        <v>238.56254959106445</v>
      </c>
      <c r="J26" s="2428">
        <v>232.35666666666668</v>
      </c>
      <c r="K26" s="2428">
        <v>248.11666666666667</v>
      </c>
      <c r="L26" s="2428">
        <v>198.12333333333333</v>
      </c>
      <c r="M26" s="2428">
        <v>179.18750000000003</v>
      </c>
      <c r="N26" s="2428">
        <v>194.32583333333329</v>
      </c>
      <c r="O26" s="2429">
        <v>198.15083333333331</v>
      </c>
      <c r="P26" s="2432">
        <v>216.37916666666666</v>
      </c>
      <c r="Q26" s="2433">
        <v>241.69999999999996</v>
      </c>
      <c r="R26" s="2433">
        <v>211.9291666666667</v>
      </c>
      <c r="S26" s="2433">
        <v>269.50583333333327</v>
      </c>
      <c r="T26" s="2433">
        <v>313.95666666666665</v>
      </c>
      <c r="U26" s="2433">
        <v>316.73722551602987</v>
      </c>
      <c r="V26" s="2432">
        <v>346.16056135893092</v>
      </c>
      <c r="W26" s="2433">
        <v>348.91512448919838</v>
      </c>
      <c r="X26" s="2433">
        <v>265.60125730388779</v>
      </c>
      <c r="Y26" s="2433">
        <v>237.85755307108354</v>
      </c>
      <c r="Z26" s="2433">
        <v>340.38667780078225</v>
      </c>
      <c r="AA26" s="2433">
        <v>287.42951828847487</v>
      </c>
      <c r="AB26" s="2433">
        <v>362.2014608864726</v>
      </c>
      <c r="AC26" s="2433">
        <v>298.26014594897151</v>
      </c>
      <c r="AD26" s="2433">
        <v>268.27633410535037</v>
      </c>
      <c r="AE26" s="2433">
        <v>253.93311836612119</v>
      </c>
      <c r="AF26" s="2433">
        <v>267.20341444810111</v>
      </c>
      <c r="AG26" s="2433">
        <v>277.94792036669793</v>
      </c>
      <c r="AH26" s="2433">
        <v>290.21567267783348</v>
      </c>
      <c r="AI26" s="2433">
        <v>328.02310780644808</v>
      </c>
      <c r="AJ26" s="2433">
        <v>313.30907401306047</v>
      </c>
      <c r="AK26" s="2433">
        <v>303.76945860000001</v>
      </c>
      <c r="AL26" s="2433">
        <v>303.76945860000001</v>
      </c>
      <c r="AM26" s="2433">
        <v>303.76945860000001</v>
      </c>
      <c r="AN26" s="2433">
        <v>303.76945860000001</v>
      </c>
      <c r="AO26" s="2454">
        <v>303.76945860000001</v>
      </c>
      <c r="AP26" s="2454">
        <v>303.76945860000001</v>
      </c>
      <c r="AQ26" s="2454">
        <v>303.76945860000001</v>
      </c>
      <c r="AR26" s="2454">
        <v>303.76945860000001</v>
      </c>
      <c r="AS26" s="2454">
        <v>303.76945860000001</v>
      </c>
      <c r="AT26" s="2567">
        <v>303.76945860000001</v>
      </c>
    </row>
    <row r="27" spans="1:46">
      <c r="A27" s="79"/>
      <c r="B27" s="74" t="s">
        <v>49</v>
      </c>
      <c r="C27" s="73" t="s">
        <v>27</v>
      </c>
      <c r="D27" s="115" t="s">
        <v>50</v>
      </c>
      <c r="E27" s="116" t="s">
        <v>51</v>
      </c>
      <c r="F27" s="48"/>
      <c r="G27" s="48"/>
      <c r="H27" s="48"/>
      <c r="I27" s="2428">
        <v>75.989121187599579</v>
      </c>
      <c r="J27" s="2428">
        <v>61.65533045416894</v>
      </c>
      <c r="K27" s="2428">
        <v>65.571231632412761</v>
      </c>
      <c r="L27" s="2428">
        <v>70.677707128061812</v>
      </c>
      <c r="M27" s="2428">
        <v>66.826209680508654</v>
      </c>
      <c r="N27" s="2428">
        <v>69.041137524858385</v>
      </c>
      <c r="O27" s="2429">
        <v>67.98362204528226</v>
      </c>
      <c r="P27" s="2432">
        <v>64.937980709311958</v>
      </c>
      <c r="Q27" s="2433">
        <v>68.732838936055302</v>
      </c>
      <c r="R27" s="2433">
        <v>72.750383872033851</v>
      </c>
      <c r="S27" s="2433">
        <v>65.068889825817209</v>
      </c>
      <c r="T27" s="2433">
        <v>40.786567711325446</v>
      </c>
      <c r="U27" s="2433">
        <v>69.473906159398709</v>
      </c>
      <c r="V27" s="2432">
        <v>81.47656060095035</v>
      </c>
      <c r="W27" s="2433">
        <v>81.639780044740647</v>
      </c>
      <c r="X27" s="2433">
        <v>96.339617147678055</v>
      </c>
      <c r="Y27" s="2433">
        <v>106.56916381976055</v>
      </c>
      <c r="Z27" s="2433">
        <v>87.886698373409885</v>
      </c>
      <c r="AA27" s="2433">
        <v>73.277291676710433</v>
      </c>
      <c r="AB27" s="2433">
        <v>69.20390794550616</v>
      </c>
      <c r="AC27" s="2433">
        <v>59.950530316429905</v>
      </c>
      <c r="AD27" s="2433">
        <v>40.80702111671264</v>
      </c>
      <c r="AE27" s="2433">
        <v>33.567213374489363</v>
      </c>
      <c r="AF27" s="2433">
        <v>47.418791932014635</v>
      </c>
      <c r="AG27" s="2433">
        <v>57.556471798398867</v>
      </c>
      <c r="AH27" s="2433">
        <v>58.633973133010869</v>
      </c>
      <c r="AI27" s="2433">
        <v>58.652686283273674</v>
      </c>
      <c r="AJ27" s="2433">
        <v>58.839573078976585</v>
      </c>
      <c r="AK27" s="2433">
        <v>58.919650779999998</v>
      </c>
      <c r="AL27" s="2433">
        <v>58.919650779999998</v>
      </c>
      <c r="AM27" s="2433">
        <v>58.919650779999998</v>
      </c>
      <c r="AN27" s="2433">
        <v>58.919650779999998</v>
      </c>
      <c r="AO27" s="2454">
        <v>58.919650779999998</v>
      </c>
      <c r="AP27" s="2454">
        <v>58.919650779999998</v>
      </c>
      <c r="AQ27" s="2454">
        <v>58.919650779999998</v>
      </c>
      <c r="AR27" s="2454">
        <v>58.919650779999998</v>
      </c>
      <c r="AS27" s="2454">
        <v>58.919650779999998</v>
      </c>
      <c r="AT27" s="2567">
        <v>58.919650779999998</v>
      </c>
    </row>
    <row r="28" spans="1:46">
      <c r="A28" s="79"/>
      <c r="B28" s="74" t="s">
        <v>51</v>
      </c>
      <c r="D28" s="115" t="s">
        <v>52</v>
      </c>
      <c r="E28" s="116" t="s">
        <v>53</v>
      </c>
      <c r="F28" s="48" t="s">
        <v>27</v>
      </c>
      <c r="G28" s="48"/>
      <c r="H28" s="48"/>
      <c r="I28" s="2428">
        <v>294.13892364501964</v>
      </c>
      <c r="J28" s="2428">
        <v>278.87285144999998</v>
      </c>
      <c r="K28" s="2428">
        <v>279.17055316666665</v>
      </c>
      <c r="L28" s="2428">
        <v>271.05059244166671</v>
      </c>
      <c r="M28" s="2428">
        <v>310.03546758333334</v>
      </c>
      <c r="N28" s="2428">
        <v>363.50905736838803</v>
      </c>
      <c r="O28" s="2429">
        <v>409.21152726389431</v>
      </c>
      <c r="P28" s="2438">
        <v>444.88172288359783</v>
      </c>
      <c r="Q28" s="2439">
        <v>604.33585566725594</v>
      </c>
      <c r="R28" s="2439">
        <v>696.66159326217496</v>
      </c>
      <c r="S28" s="2439">
        <v>871.70709605040258</v>
      </c>
      <c r="T28" s="2439">
        <v>972.97946285138062</v>
      </c>
      <c r="U28" s="2439">
        <v>1224.6641359966945</v>
      </c>
      <c r="V28" s="2438">
        <v>1568.583645395466</v>
      </c>
      <c r="W28" s="2439">
        <v>1668.8206960537145</v>
      </c>
      <c r="X28" s="2439">
        <v>1411.0313448276765</v>
      </c>
      <c r="Y28" s="2439">
        <v>1266.1938086012956</v>
      </c>
      <c r="Z28" s="2439">
        <v>1160.114475196968</v>
      </c>
      <c r="AA28" s="2439">
        <v>1248.340391113516</v>
      </c>
      <c r="AB28" s="2439">
        <v>1257.1272101257061</v>
      </c>
      <c r="AC28" s="2439">
        <v>1269.1405271545375</v>
      </c>
      <c r="AD28" s="2439">
        <v>1392.1745391152726</v>
      </c>
      <c r="AE28" s="2439">
        <v>1769.5427511074295</v>
      </c>
      <c r="AF28" s="2439">
        <v>1799.7706380431484</v>
      </c>
      <c r="AG28" s="2439">
        <v>1801.5283570958024</v>
      </c>
      <c r="AH28" s="2439">
        <v>1943.0678661224044</v>
      </c>
      <c r="AI28" s="2439">
        <v>2387.2067896746971</v>
      </c>
      <c r="AJ28" s="2439">
        <v>3247.1110539871229</v>
      </c>
      <c r="AK28" s="2439">
        <v>3555.85</v>
      </c>
      <c r="AL28" s="2439">
        <v>3656.7500000000005</v>
      </c>
      <c r="AM28" s="2439">
        <v>3656.7500000000005</v>
      </c>
      <c r="AN28" s="2439">
        <v>3656.7500000000005</v>
      </c>
      <c r="AO28" s="2457">
        <v>3656.7500000000005</v>
      </c>
      <c r="AP28" s="2457">
        <v>3656.7500000000005</v>
      </c>
      <c r="AQ28" s="2457">
        <v>3656.7500000000005</v>
      </c>
      <c r="AR28" s="2457">
        <v>3656.7500000000005</v>
      </c>
      <c r="AS28" s="2457">
        <v>3656.7500000000005</v>
      </c>
      <c r="AT28" s="2570">
        <v>3656.7500000000005</v>
      </c>
    </row>
    <row r="29" spans="1:46">
      <c r="A29" s="79"/>
      <c r="B29" s="74" t="s">
        <v>54</v>
      </c>
      <c r="C29" s="73" t="s">
        <v>27</v>
      </c>
      <c r="D29" s="115" t="s">
        <v>55</v>
      </c>
      <c r="E29" s="116" t="s">
        <v>48</v>
      </c>
      <c r="F29" s="48"/>
      <c r="G29" s="48"/>
      <c r="H29" s="48"/>
      <c r="I29" s="2428">
        <v>5536.2287691169722</v>
      </c>
      <c r="J29" s="2428">
        <v>5391.3942611819411</v>
      </c>
      <c r="K29" s="2428">
        <v>5435.9025268210053</v>
      </c>
      <c r="L29" s="2428">
        <v>4489.4362446415125</v>
      </c>
      <c r="M29" s="2428">
        <v>4060.9963153794679</v>
      </c>
      <c r="N29" s="2428">
        <v>4889.5855445369843</v>
      </c>
      <c r="O29" s="2429">
        <v>8480.9384979287825</v>
      </c>
      <c r="P29" s="2438">
        <v>7385.247736291486</v>
      </c>
      <c r="Q29" s="2439">
        <v>8754.9030097442501</v>
      </c>
      <c r="R29" s="2439">
        <v>14495.443346852533</v>
      </c>
      <c r="S29" s="2439">
        <v>18466.644467930368</v>
      </c>
      <c r="T29" s="2439">
        <v>13599.284720055242</v>
      </c>
      <c r="U29" s="2439">
        <v>20367.248758795871</v>
      </c>
      <c r="V29" s="2438">
        <v>26051.449644281845</v>
      </c>
      <c r="W29" s="2439">
        <v>21109.356206897763</v>
      </c>
      <c r="X29" s="2439">
        <v>22281.583486848293</v>
      </c>
      <c r="Y29" s="2439">
        <v>21898.873673850303</v>
      </c>
      <c r="Z29" s="2439">
        <v>16066.632439186322</v>
      </c>
      <c r="AA29" s="2439">
        <v>17933.762085137085</v>
      </c>
      <c r="AB29" s="2439">
        <v>20061.168945736656</v>
      </c>
      <c r="AC29" s="2439">
        <v>20145.205894698043</v>
      </c>
      <c r="AD29" s="2439">
        <v>18661.156832298137</v>
      </c>
      <c r="AE29" s="2439">
        <v>17125.459462184779</v>
      </c>
      <c r="AF29" s="2439">
        <v>32387.289099025973</v>
      </c>
      <c r="AG29" s="2439">
        <v>31383.286675457992</v>
      </c>
      <c r="AH29" s="2439">
        <v>25912.245867400718</v>
      </c>
      <c r="AI29" s="2439">
        <v>30059.334260289226</v>
      </c>
      <c r="AJ29" s="2439">
        <v>33265.163916624631</v>
      </c>
      <c r="AK29" s="2439">
        <v>34686.541666666664</v>
      </c>
      <c r="AL29" s="2439">
        <v>34686.541666666664</v>
      </c>
      <c r="AM29" s="2439">
        <v>34686.541666666664</v>
      </c>
      <c r="AN29" s="2439">
        <v>34686.541666666664</v>
      </c>
      <c r="AO29" s="2457">
        <v>34686.541666666664</v>
      </c>
      <c r="AP29" s="2457">
        <v>34686.541666666664</v>
      </c>
      <c r="AQ29" s="2457">
        <v>34686.541666666664</v>
      </c>
      <c r="AR29" s="2457">
        <v>34686.541666666664</v>
      </c>
      <c r="AS29" s="2457">
        <v>34686.541666666664</v>
      </c>
      <c r="AT29" s="2570">
        <v>34686.541666666664</v>
      </c>
    </row>
    <row r="30" spans="1:46" s="2448" customFormat="1">
      <c r="A30" s="2444"/>
      <c r="B30" s="2445"/>
      <c r="C30" s="2445"/>
      <c r="D30" s="2446" t="s">
        <v>3304</v>
      </c>
      <c r="E30" s="2447"/>
      <c r="F30" s="2428"/>
      <c r="G30" s="2428"/>
      <c r="H30" s="2428"/>
      <c r="I30" s="2428">
        <v>135.46926998243302</v>
      </c>
      <c r="J30" s="2428">
        <v>103.88442438358743</v>
      </c>
      <c r="K30" s="2428">
        <v>87.204109887696816</v>
      </c>
      <c r="L30" s="2428">
        <v>62.284132591442379</v>
      </c>
      <c r="M30" s="2428">
        <v>61.462068268084558</v>
      </c>
      <c r="N30" s="2428">
        <v>64.172862052199008</v>
      </c>
      <c r="O30" s="2429">
        <v>80.479524852562903</v>
      </c>
      <c r="P30" s="2430">
        <v>114.85391927818557</v>
      </c>
      <c r="Q30" s="2431">
        <v>114.40885786435787</v>
      </c>
      <c r="R30" s="2431">
        <v>123.61387754093731</v>
      </c>
      <c r="S30" s="2431">
        <v>139.71246561892212</v>
      </c>
      <c r="T30" s="2431">
        <v>143.75475766202396</v>
      </c>
      <c r="U30" s="2431">
        <v>196.04909199918438</v>
      </c>
      <c r="V30" s="2430">
        <v>271.10805783769371</v>
      </c>
      <c r="W30" s="2431">
        <v>186.44158316080055</v>
      </c>
      <c r="X30" s="2431">
        <v>139.48433732511447</v>
      </c>
      <c r="Y30" s="2431">
        <v>200.35589636269529</v>
      </c>
      <c r="Z30" s="2431">
        <v>159.90368585701739</v>
      </c>
      <c r="AA30" s="2431">
        <v>163.83998470732166</v>
      </c>
      <c r="AB30" s="2431">
        <v>150.75595340046428</v>
      </c>
      <c r="AC30" s="2431">
        <v>132.71492668141036</v>
      </c>
      <c r="AD30" s="2431">
        <v>130.55576145774515</v>
      </c>
      <c r="AE30" s="2439">
        <v>150.83195003607503</v>
      </c>
      <c r="AF30" s="2439">
        <v>204.69402922077924</v>
      </c>
      <c r="AG30" s="2439">
        <v>255.46590204059228</v>
      </c>
      <c r="AH30" s="2439">
        <v>216.61128708999999</v>
      </c>
      <c r="AI30" s="2439">
        <v>212.78796198499998</v>
      </c>
      <c r="AJ30" s="2439">
        <v>214.85588720250001</v>
      </c>
      <c r="AK30" s="2439">
        <v>214.85588720250001</v>
      </c>
      <c r="AL30" s="2439">
        <v>214.85588720250001</v>
      </c>
      <c r="AM30" s="2439">
        <v>214.85588720250001</v>
      </c>
      <c r="AN30" s="2439">
        <v>215.85588720250001</v>
      </c>
      <c r="AO30" s="2457">
        <v>216.85588720250001</v>
      </c>
      <c r="AP30" s="2457">
        <v>217.86051992302924</v>
      </c>
      <c r="AQ30" s="2457">
        <v>218.86980682618722</v>
      </c>
      <c r="AR30" s="2457">
        <v>219.88376947350136</v>
      </c>
      <c r="AS30" s="2457">
        <v>220.90242952638758</v>
      </c>
      <c r="AT30" s="2570">
        <v>221.92580874661311</v>
      </c>
    </row>
    <row r="31" spans="1:46">
      <c r="A31" s="79"/>
      <c r="B31" s="74" t="s">
        <v>12</v>
      </c>
      <c r="C31" s="73" t="s">
        <v>27</v>
      </c>
      <c r="D31" s="114" t="s">
        <v>56</v>
      </c>
      <c r="E31" s="116" t="s">
        <v>12</v>
      </c>
      <c r="F31" s="48" t="s">
        <v>27</v>
      </c>
      <c r="G31" s="48"/>
      <c r="H31" s="48"/>
      <c r="I31" s="2428"/>
      <c r="J31" s="2428"/>
      <c r="K31" s="2428"/>
      <c r="L31" s="2428"/>
      <c r="M31" s="2428"/>
      <c r="N31" s="2428"/>
      <c r="O31" s="2429"/>
      <c r="P31" s="2430"/>
      <c r="Q31" s="2431"/>
      <c r="R31" s="2431"/>
      <c r="S31" s="2431"/>
      <c r="T31" s="2431"/>
      <c r="U31" s="2431"/>
      <c r="V31" s="2430"/>
      <c r="W31" s="2431"/>
      <c r="X31" s="2431"/>
      <c r="Y31" s="2431"/>
      <c r="Z31" s="2431"/>
      <c r="AA31" s="2431"/>
      <c r="AB31" s="2431"/>
      <c r="AC31" s="2431"/>
      <c r="AD31" s="2431"/>
      <c r="AE31" s="2431"/>
      <c r="AF31" s="2431"/>
      <c r="AG31" s="2431"/>
      <c r="AH31" s="2431"/>
      <c r="AI31" s="2431"/>
      <c r="AJ31" s="2431"/>
      <c r="AK31" s="2439"/>
      <c r="AL31" s="2439"/>
      <c r="AM31" s="2439"/>
      <c r="AN31" s="2439"/>
      <c r="AO31" s="2457"/>
      <c r="AP31" s="2457"/>
      <c r="AQ31" s="2457"/>
      <c r="AR31" s="2457"/>
      <c r="AS31" s="2457"/>
      <c r="AT31" s="2570"/>
    </row>
    <row r="32" spans="1:46">
      <c r="A32" s="79"/>
      <c r="B32" s="74" t="s">
        <v>57</v>
      </c>
      <c r="C32" s="73" t="s">
        <v>27</v>
      </c>
      <c r="D32" s="115" t="s">
        <v>23</v>
      </c>
      <c r="E32" s="116" t="s">
        <v>57</v>
      </c>
      <c r="F32" s="48"/>
      <c r="G32" s="48"/>
      <c r="H32" s="48"/>
      <c r="I32" s="2428">
        <v>1.1140033333333335</v>
      </c>
      <c r="J32" s="2428">
        <v>1.0668346106248665</v>
      </c>
      <c r="K32" s="2428">
        <v>0.92402059789625823</v>
      </c>
      <c r="L32" s="2428">
        <v>0.89563563533889168</v>
      </c>
      <c r="M32" s="2428">
        <v>0.94490556324111663</v>
      </c>
      <c r="N32" s="2428">
        <v>1.1308771550912999</v>
      </c>
      <c r="O32" s="2429">
        <v>1.2433377024123249</v>
      </c>
      <c r="P32" s="2440">
        <v>1.2447779287439666</v>
      </c>
      <c r="Q32" s="2441">
        <v>1.2556653507492419</v>
      </c>
      <c r="R32" s="2441">
        <v>1.3706395810053833</v>
      </c>
      <c r="S32" s="2441">
        <v>1.4705943366362251</v>
      </c>
      <c r="T32" s="2441">
        <v>1.3932679345473418</v>
      </c>
      <c r="U32" s="2441">
        <v>1.3267994282891082</v>
      </c>
      <c r="V32" s="2440">
        <v>1.3917103069886416</v>
      </c>
      <c r="W32" s="2441">
        <v>1.2856022599648</v>
      </c>
      <c r="X32" s="2441">
        <v>1.32813739491185</v>
      </c>
      <c r="Y32" s="2441">
        <v>1.3288431678587085</v>
      </c>
      <c r="Z32" s="2441">
        <v>1.1096252266453417</v>
      </c>
      <c r="AA32" s="2441">
        <v>1.1065976691605584</v>
      </c>
      <c r="AB32" s="2441">
        <v>1.1292825294502833</v>
      </c>
      <c r="AC32" s="2441">
        <v>1.1814900408217499</v>
      </c>
      <c r="AD32" s="2441">
        <v>1.119598059398325</v>
      </c>
      <c r="AE32" s="2441">
        <v>1.1412818593544169</v>
      </c>
      <c r="AF32" s="2441">
        <v>1.1835265952224086</v>
      </c>
      <c r="AG32" s="2441">
        <v>1.0538770743806252</v>
      </c>
      <c r="AH32" s="2441">
        <v>1.0815804937547</v>
      </c>
      <c r="AI32" s="2441">
        <v>1.0820545773731083</v>
      </c>
      <c r="AJ32" s="2441">
        <v>1.0407408824411959</v>
      </c>
      <c r="AK32" s="2441">
        <v>1.0397243705792003</v>
      </c>
      <c r="AL32" s="2441">
        <v>1.038829888209001</v>
      </c>
      <c r="AM32" s="2441">
        <v>1.038271555058021</v>
      </c>
      <c r="AN32" s="2441">
        <v>1.0386572894917723</v>
      </c>
      <c r="AO32" s="2458">
        <v>1.0386572894917723</v>
      </c>
      <c r="AP32" s="2458">
        <v>1.0386572894917723</v>
      </c>
      <c r="AQ32" s="2458">
        <v>1.0386572894917723</v>
      </c>
      <c r="AR32" s="2458">
        <v>1.0386572894917723</v>
      </c>
      <c r="AS32" s="2458">
        <v>1.0386572894917723</v>
      </c>
      <c r="AT32" s="2571">
        <v>1.0386572894917723</v>
      </c>
    </row>
    <row r="33" spans="1:46">
      <c r="A33" s="79"/>
      <c r="D33" s="115" t="s">
        <v>24</v>
      </c>
      <c r="E33" s="116"/>
      <c r="F33" s="48"/>
      <c r="G33" s="48"/>
      <c r="H33" s="48"/>
      <c r="I33" s="2428">
        <v>0.73736539531868983</v>
      </c>
      <c r="J33" s="2428">
        <v>0.73142902340939997</v>
      </c>
      <c r="K33" s="2428">
        <v>0.75843424653848501</v>
      </c>
      <c r="L33" s="2428">
        <v>0.78557813982701796</v>
      </c>
      <c r="M33" s="2428">
        <v>0.77258083183389947</v>
      </c>
      <c r="N33" s="2428">
        <v>0.71415878826019885</v>
      </c>
      <c r="O33" s="2429">
        <v>0.67532006880543083</v>
      </c>
      <c r="P33" s="2440">
        <v>0.67724988631803573</v>
      </c>
      <c r="Q33" s="2441">
        <v>0.67977254509406648</v>
      </c>
      <c r="R33" s="2441">
        <v>0.65345154753525347</v>
      </c>
      <c r="S33" s="2441">
        <v>0.6331839078629129</v>
      </c>
      <c r="T33" s="2441">
        <v>0.64915198555482023</v>
      </c>
      <c r="U33" s="2441">
        <v>0.65556366034077229</v>
      </c>
      <c r="V33" s="2440">
        <v>0.63348904868052303</v>
      </c>
      <c r="W33" s="2441">
        <v>0.65289773216159575</v>
      </c>
      <c r="X33" s="2441">
        <v>0.65806623172956091</v>
      </c>
      <c r="Y33" s="2441">
        <v>0.65833272156990119</v>
      </c>
      <c r="Z33" s="2441">
        <v>0.71476398364791871</v>
      </c>
      <c r="AA33" s="2441">
        <v>0.71950348987376644</v>
      </c>
      <c r="AB33" s="2441">
        <v>0.72134724287066632</v>
      </c>
      <c r="AC33" s="2441">
        <v>0.7064121937249993</v>
      </c>
      <c r="AD33" s="2441">
        <v>0.72377806256013322</v>
      </c>
      <c r="AE33" s="2441">
        <v>0.71804460571725814</v>
      </c>
      <c r="AF33" s="2441">
        <v>0.70202932649103122</v>
      </c>
      <c r="AG33" s="2441">
        <v>0.74784196744479881</v>
      </c>
      <c r="AH33" s="2441">
        <v>0.7496331484220784</v>
      </c>
      <c r="AI33" s="2441">
        <v>0.7532900606867684</v>
      </c>
      <c r="AJ33" s="2441">
        <v>0.74030905236807454</v>
      </c>
      <c r="AK33" s="2441">
        <v>0.72819470464862601</v>
      </c>
      <c r="AL33" s="2441">
        <v>0.72685171262689174</v>
      </c>
      <c r="AM33" s="2441">
        <v>0.72507481507053539</v>
      </c>
      <c r="AN33" s="2441">
        <v>0.72402742023039712</v>
      </c>
      <c r="AO33" s="2458">
        <v>0.72255406916432519</v>
      </c>
      <c r="AP33" s="2458">
        <v>0.72108371627664158</v>
      </c>
      <c r="AQ33" s="2458">
        <v>0.71961635546623859</v>
      </c>
      <c r="AR33" s="2458">
        <v>0.71815198064442376</v>
      </c>
      <c r="AS33" s="2458">
        <v>0.71669058573489475</v>
      </c>
      <c r="AT33" s="2571">
        <v>0.7152321646737142</v>
      </c>
    </row>
    <row r="34" spans="1:46" customFormat="1" ht="14.4">
      <c r="A34" s="79"/>
      <c r="B34" s="74"/>
      <c r="C34" s="74"/>
      <c r="D34" s="114" t="s">
        <v>25</v>
      </c>
      <c r="E34" s="116"/>
      <c r="F34" s="48"/>
      <c r="G34" s="48"/>
      <c r="H34" s="48"/>
      <c r="I34" s="2428"/>
      <c r="J34" s="2428"/>
      <c r="K34" s="2428"/>
      <c r="L34" s="2428"/>
      <c r="M34" s="2428"/>
      <c r="N34" s="2428" t="s">
        <v>3540</v>
      </c>
      <c r="O34" s="2429"/>
      <c r="P34" s="2440"/>
      <c r="Q34" s="2441"/>
      <c r="R34" s="2441"/>
      <c r="S34" s="2441"/>
      <c r="T34" s="2441"/>
      <c r="U34" s="2441"/>
      <c r="V34" s="2440"/>
      <c r="W34" s="2441"/>
      <c r="X34" s="2441"/>
      <c r="Y34" s="2441"/>
      <c r="Z34" s="2441"/>
      <c r="AA34" s="2441"/>
      <c r="AB34" s="2441"/>
      <c r="AC34" s="2441"/>
      <c r="AD34" s="2441"/>
      <c r="AE34" s="2441"/>
      <c r="AF34" s="2441"/>
      <c r="AG34" s="2441"/>
      <c r="AH34" s="2441"/>
      <c r="AI34" s="2441"/>
      <c r="AJ34" s="2441"/>
      <c r="AK34" s="2441"/>
      <c r="AL34" s="2441"/>
      <c r="AM34" s="2441"/>
      <c r="AN34" s="2441"/>
      <c r="AO34" s="2458"/>
      <c r="AP34" s="2458"/>
      <c r="AQ34" s="2458"/>
      <c r="AR34" s="2458"/>
      <c r="AS34" s="2458"/>
      <c r="AT34" s="2571"/>
    </row>
    <row r="35" spans="1:46" customFormat="1" ht="14.4">
      <c r="A35" s="79"/>
      <c r="B35" s="74" t="s">
        <v>58</v>
      </c>
      <c r="C35" s="74"/>
      <c r="D35" s="115" t="s">
        <v>59</v>
      </c>
      <c r="E35" s="116" t="s">
        <v>60</v>
      </c>
      <c r="F35" s="48"/>
      <c r="G35" s="48"/>
      <c r="H35" s="48"/>
      <c r="I35" s="2428">
        <v>5.5382750000000005</v>
      </c>
      <c r="J35" s="2428">
        <v>5.529099999999997</v>
      </c>
      <c r="K35" s="2428">
        <v>6.6493916666666664</v>
      </c>
      <c r="L35" s="2428">
        <v>3.7277333333333331</v>
      </c>
      <c r="M35" s="2428">
        <v>1.8819999999999988</v>
      </c>
      <c r="N35" s="2428">
        <v>1.2300666666666658</v>
      </c>
      <c r="O35" s="2429">
        <v>1.7917416666666668</v>
      </c>
      <c r="P35" s="2440">
        <v>3.7651416666666666</v>
      </c>
      <c r="Q35" s="2441">
        <v>5.2734500000000004</v>
      </c>
      <c r="R35" s="2441">
        <v>5.2515333333333345</v>
      </c>
      <c r="S35" s="2441">
        <v>3.0447750000000013</v>
      </c>
      <c r="T35" s="2441">
        <v>1.1212166666666659</v>
      </c>
      <c r="U35" s="2441">
        <v>0.51829999999999998</v>
      </c>
      <c r="V35" s="2440">
        <v>0.5071</v>
      </c>
      <c r="W35" s="2441">
        <v>0.68678333333333352</v>
      </c>
      <c r="X35" s="2441">
        <v>5.8333333333333327E-2</v>
      </c>
      <c r="Y35" s="2441">
        <v>3.2499999999999994E-2</v>
      </c>
      <c r="Z35" s="2441">
        <v>5.3333333333333427E-2</v>
      </c>
      <c r="AA35" s="2441">
        <v>0.31916666666666677</v>
      </c>
      <c r="AB35" s="2441">
        <v>0.94666666666666832</v>
      </c>
      <c r="AC35" s="2441">
        <v>1.9733333333333352</v>
      </c>
      <c r="AD35" s="2441">
        <v>2.1041666666666679</v>
      </c>
      <c r="AE35" s="2441">
        <v>0.36999999999999983</v>
      </c>
      <c r="AF35" s="2441">
        <v>4.4166666666666674E-2</v>
      </c>
      <c r="AG35" s="2441">
        <v>2.0825000000000009</v>
      </c>
      <c r="AH35" s="2441">
        <v>5.2758333333333347</v>
      </c>
      <c r="AI35" s="2441">
        <v>5.1791666666666671</v>
      </c>
      <c r="AJ35" s="2441">
        <v>4.1117666666666679</v>
      </c>
      <c r="AK35" s="2441">
        <v>3.4451000000000001</v>
      </c>
      <c r="AL35" s="2441">
        <v>3.1638500000000001</v>
      </c>
      <c r="AM35" s="2441">
        <v>2.9138500000000001</v>
      </c>
      <c r="AN35" s="2441">
        <v>2.7576000000000001</v>
      </c>
      <c r="AO35" s="2458">
        <v>2.7576000000000001</v>
      </c>
      <c r="AP35" s="2458">
        <v>2.7576000000000001</v>
      </c>
      <c r="AQ35" s="2458">
        <v>2.7576000000000001</v>
      </c>
      <c r="AR35" s="2458">
        <v>2.7576000000000001</v>
      </c>
      <c r="AS35" s="2458">
        <v>2.7576000000000001</v>
      </c>
      <c r="AT35" s="2571">
        <v>2.7576000000000001</v>
      </c>
    </row>
    <row r="36" spans="1:46">
      <c r="A36" s="79"/>
      <c r="D36" s="115" t="s">
        <v>61</v>
      </c>
      <c r="E36" s="116"/>
      <c r="F36" s="48"/>
      <c r="G36" s="48"/>
      <c r="H36" s="48"/>
      <c r="I36" s="2428"/>
      <c r="J36" s="2428">
        <v>2.9628982083333333</v>
      </c>
      <c r="K36" s="2428">
        <v>4.4050100000000008</v>
      </c>
      <c r="L36" s="2428">
        <v>4.2604924999999998</v>
      </c>
      <c r="M36" s="2428">
        <v>3.3165191666666667</v>
      </c>
      <c r="N36" s="2428">
        <v>2.3315675000000002</v>
      </c>
      <c r="O36" s="2429">
        <v>2.1055275</v>
      </c>
      <c r="P36" s="2440">
        <v>2.1844708333333331</v>
      </c>
      <c r="Q36" s="2441">
        <v>3.0797033333333332</v>
      </c>
      <c r="R36" s="2441">
        <v>4.2777666666666665</v>
      </c>
      <c r="S36" s="2441">
        <v>4.6319137500000007</v>
      </c>
      <c r="T36" s="2441">
        <v>1.2278224999999998</v>
      </c>
      <c r="U36" s="2441">
        <v>0.81095833333333334</v>
      </c>
      <c r="V36" s="2440">
        <v>1.3906000000000001</v>
      </c>
      <c r="W36" s="2441">
        <v>0.57315833333333333</v>
      </c>
      <c r="X36" s="2441">
        <v>4.3454364681487306E-2</v>
      </c>
      <c r="Y36" s="2441">
        <v>3.0560716236888108E-2</v>
      </c>
      <c r="Z36" s="2441">
        <v>-0.22710749999999999</v>
      </c>
      <c r="AA36" s="2441">
        <v>-0.64580727855477849</v>
      </c>
      <c r="AB36" s="2441">
        <v>-0.81080730769230769</v>
      </c>
      <c r="AC36" s="2441">
        <v>-0.7388754778554778</v>
      </c>
      <c r="AD36" s="2441">
        <v>-0.66347125874125878</v>
      </c>
      <c r="AE36" s="2441">
        <v>-0.67019108391608373</v>
      </c>
      <c r="AF36" s="2441">
        <v>-0.71129334644522157</v>
      </c>
      <c r="AG36" s="2441">
        <v>0.15758305288461563</v>
      </c>
      <c r="AH36" s="2441">
        <v>3.1443640196820093</v>
      </c>
      <c r="AI36" s="2441">
        <v>3.2963491370042992</v>
      </c>
      <c r="AJ36" s="2441">
        <v>2.4701625731561037</v>
      </c>
      <c r="AK36" s="2441">
        <v>2.4576291057379729</v>
      </c>
      <c r="AL36" s="2441">
        <v>2.4485165123853174</v>
      </c>
      <c r="AM36" s="2441">
        <v>2.4207603423345923</v>
      </c>
      <c r="AN36" s="2441">
        <v>2.6810557376046833</v>
      </c>
      <c r="AO36" s="2458">
        <v>2.6810557376046833</v>
      </c>
      <c r="AP36" s="2458">
        <v>2.6810557376046833</v>
      </c>
      <c r="AQ36" s="2458">
        <v>2.6810557376046833</v>
      </c>
      <c r="AR36" s="2458">
        <v>2.6810557376046833</v>
      </c>
      <c r="AS36" s="2458">
        <v>2.6810557376046833</v>
      </c>
      <c r="AT36" s="2571">
        <v>2.6810557376046833</v>
      </c>
    </row>
    <row r="37" spans="1:46">
      <c r="A37" s="79"/>
      <c r="D37" s="2292" t="s">
        <v>3824</v>
      </c>
      <c r="E37" s="116"/>
      <c r="F37" s="48"/>
      <c r="G37" s="48"/>
      <c r="H37" s="48"/>
      <c r="I37" s="2428"/>
      <c r="J37" s="2428"/>
      <c r="K37" s="2428"/>
      <c r="L37" s="2428"/>
      <c r="M37" s="2428"/>
      <c r="N37" s="2428"/>
      <c r="O37" s="2429"/>
      <c r="P37" s="2440"/>
      <c r="Q37" s="2441"/>
      <c r="R37" s="2441"/>
      <c r="S37" s="2441"/>
      <c r="T37" s="2441"/>
      <c r="U37" s="2441"/>
      <c r="V37" s="2440"/>
      <c r="W37" s="2441"/>
      <c r="X37" s="2441">
        <v>7.2229238599941736E-2</v>
      </c>
      <c r="Y37" s="2441">
        <v>2.289100840032577E-2</v>
      </c>
      <c r="Z37" s="2441">
        <v>-1.4050501855600538E-2</v>
      </c>
      <c r="AA37" s="2441">
        <v>-0.24693851981351983</v>
      </c>
      <c r="AB37" s="2441">
        <v>-0.19099056490384619</v>
      </c>
      <c r="AC37" s="2441">
        <v>-0.18183466091200468</v>
      </c>
      <c r="AD37" s="2441">
        <v>-0.17692508741258739</v>
      </c>
      <c r="AE37" s="2441">
        <v>-0.13195402097902095</v>
      </c>
      <c r="AF37" s="2441">
        <v>-0.11303235540501166</v>
      </c>
      <c r="AG37" s="2441">
        <v>-0.13547502731643354</v>
      </c>
      <c r="AH37" s="2441">
        <v>-0.18246153846153845</v>
      </c>
      <c r="AI37" s="2441">
        <v>9.6435897435897498E-3</v>
      </c>
      <c r="AJ37" s="2441">
        <v>0.55547686766735693</v>
      </c>
      <c r="AK37" s="2441">
        <v>0.91333701690821267</v>
      </c>
      <c r="AL37" s="2441">
        <v>1.2672737318840583</v>
      </c>
      <c r="AM37" s="2441">
        <v>1.3999999999999995</v>
      </c>
      <c r="AN37" s="2441">
        <v>1.3999999999999995</v>
      </c>
      <c r="AO37" s="2458">
        <v>1.3999999999999995</v>
      </c>
      <c r="AP37" s="2458">
        <v>1.3999999999999995</v>
      </c>
      <c r="AQ37" s="2458">
        <v>1.3999999999999995</v>
      </c>
      <c r="AR37" s="2458">
        <v>1.3999999999999995</v>
      </c>
      <c r="AS37" s="2458">
        <v>1.3999999999999995</v>
      </c>
      <c r="AT37" s="2571">
        <v>1.3999999999999995</v>
      </c>
    </row>
    <row r="38" spans="1:46" ht="15.9" thickBot="1">
      <c r="A38" s="79"/>
      <c r="D38" s="117" t="s">
        <v>682</v>
      </c>
      <c r="E38" s="116"/>
      <c r="F38" s="48"/>
      <c r="G38" s="48"/>
      <c r="H38" s="48"/>
      <c r="I38" s="2428"/>
      <c r="J38" s="2428"/>
      <c r="K38" s="2428"/>
      <c r="L38" s="2428"/>
      <c r="M38" s="2428"/>
      <c r="N38" s="2428"/>
      <c r="O38" s="2429"/>
      <c r="P38" s="2442"/>
      <c r="Q38" s="2443"/>
      <c r="R38" s="2443"/>
      <c r="S38" s="2443"/>
      <c r="T38" s="2443"/>
      <c r="U38" s="2431"/>
      <c r="V38" s="2442"/>
      <c r="W38" s="2443"/>
      <c r="X38" s="2443">
        <v>7.2229238599941736E-2</v>
      </c>
      <c r="Y38" s="2443">
        <v>2.289100840032577E-2</v>
      </c>
      <c r="Z38" s="2443"/>
      <c r="AA38" s="2443"/>
      <c r="AB38" s="2443"/>
      <c r="AC38" s="2443"/>
      <c r="AD38" s="2443"/>
      <c r="AE38" s="2443"/>
      <c r="AF38" s="2443"/>
      <c r="AG38" s="2443"/>
      <c r="AH38" s="2443"/>
      <c r="AI38" s="2443"/>
      <c r="AJ38" s="2443"/>
      <c r="AK38" s="2443"/>
      <c r="AL38" s="2443"/>
      <c r="AM38" s="2443"/>
      <c r="AN38" s="2443"/>
      <c r="AO38" s="2459"/>
      <c r="AP38" s="2459">
        <v>1.4999999999999998</v>
      </c>
      <c r="AQ38" s="2459">
        <v>1.4999999999999998</v>
      </c>
      <c r="AR38" s="2459">
        <v>1.4999999999999998</v>
      </c>
      <c r="AS38" s="2459">
        <v>1.4999999999999998</v>
      </c>
      <c r="AT38" s="2572">
        <v>1.4999999999999998</v>
      </c>
    </row>
    <row r="39" spans="1:46">
      <c r="A39" s="79"/>
      <c r="D39" s="631" t="s">
        <v>682</v>
      </c>
      <c r="E39" s="1"/>
      <c r="F39" s="1"/>
      <c r="G39" s="1"/>
      <c r="H39" s="1"/>
      <c r="Y39"/>
      <c r="AA39"/>
      <c r="AB39" s="55"/>
      <c r="AC39" s="55"/>
      <c r="AD39" s="55"/>
      <c r="AE39" s="56"/>
      <c r="AF39" s="56"/>
      <c r="AG39" s="56"/>
      <c r="AH39" s="56"/>
      <c r="AI39" s="56"/>
      <c r="AJ39" s="56"/>
      <c r="AK39" s="56"/>
    </row>
    <row r="40" spans="1:46">
      <c r="A40" s="79"/>
      <c r="D40" s="54"/>
      <c r="E40" s="1"/>
      <c r="F40" s="1"/>
      <c r="G40" s="1"/>
      <c r="H40" s="1"/>
      <c r="Y40"/>
      <c r="AA40"/>
    </row>
    <row r="41" spans="1:46" customFormat="1" ht="14.7" thickBot="1">
      <c r="A41" s="79"/>
      <c r="B41" s="74" t="s">
        <v>927</v>
      </c>
      <c r="C41" s="74"/>
      <c r="D41" s="70" t="s">
        <v>3289</v>
      </c>
      <c r="E41" s="9"/>
      <c r="F41" s="9"/>
      <c r="G41" s="9"/>
      <c r="H41" s="9"/>
      <c r="U41" s="529">
        <v>2010</v>
      </c>
      <c r="V41" s="530" t="s">
        <v>676</v>
      </c>
      <c r="W41" s="530">
        <v>2012</v>
      </c>
      <c r="X41" s="530">
        <v>2013</v>
      </c>
      <c r="Y41" s="530">
        <v>2014</v>
      </c>
      <c r="Z41" s="530">
        <v>2015</v>
      </c>
      <c r="AA41" s="530">
        <v>2016</v>
      </c>
      <c r="AB41" s="530">
        <v>2017</v>
      </c>
      <c r="AC41" s="530">
        <v>2018</v>
      </c>
      <c r="AD41" s="530">
        <v>2019</v>
      </c>
      <c r="AE41" s="530">
        <v>2020</v>
      </c>
      <c r="AF41" s="530">
        <v>2021</v>
      </c>
      <c r="AG41" s="530"/>
      <c r="AH41" s="530"/>
      <c r="AI41" s="530"/>
      <c r="AJ41" s="530"/>
      <c r="AK41" s="530"/>
      <c r="AT41" s="2"/>
    </row>
    <row r="42" spans="1:46" customFormat="1" ht="14.4">
      <c r="A42" s="79"/>
      <c r="B42" s="74"/>
      <c r="C42" s="74"/>
      <c r="D42" s="368" t="s">
        <v>679</v>
      </c>
      <c r="E42" s="57"/>
      <c r="F42" s="57"/>
      <c r="G42" s="57"/>
      <c r="H42" s="57"/>
      <c r="I42" s="1157">
        <v>1998</v>
      </c>
      <c r="J42" s="1157">
        <v>1999</v>
      </c>
      <c r="K42" s="1157">
        <v>2000</v>
      </c>
      <c r="L42" s="1157">
        <v>2001</v>
      </c>
      <c r="M42" s="1157">
        <v>2002</v>
      </c>
      <c r="N42" s="1157">
        <v>2003</v>
      </c>
      <c r="O42" s="1157">
        <v>2004</v>
      </c>
      <c r="P42" s="1157">
        <v>2005</v>
      </c>
      <c r="Q42" s="1157">
        <v>2006</v>
      </c>
      <c r="R42" s="1157">
        <v>2007</v>
      </c>
      <c r="S42" s="1157">
        <v>2008</v>
      </c>
      <c r="T42" s="1157">
        <v>2009</v>
      </c>
      <c r="U42" s="1158">
        <v>2010</v>
      </c>
      <c r="V42" s="1159">
        <v>2011</v>
      </c>
      <c r="W42" s="1159">
        <v>2012</v>
      </c>
      <c r="X42" s="1159">
        <v>2013</v>
      </c>
      <c r="Y42" s="1159">
        <v>2014</v>
      </c>
      <c r="Z42" s="1159">
        <v>2015</v>
      </c>
      <c r="AA42" s="1159">
        <v>2016</v>
      </c>
      <c r="AB42" s="1159">
        <v>2017</v>
      </c>
      <c r="AC42" s="1159">
        <v>2018</v>
      </c>
      <c r="AD42" s="1159">
        <v>2019</v>
      </c>
      <c r="AE42" s="1159">
        <v>2020</v>
      </c>
      <c r="AF42" s="1159">
        <v>2021</v>
      </c>
      <c r="AG42" s="1159">
        <v>2022</v>
      </c>
      <c r="AH42" s="1159">
        <v>2023</v>
      </c>
      <c r="AI42" s="1159">
        <v>2024</v>
      </c>
      <c r="AJ42" s="1159">
        <v>2025</v>
      </c>
      <c r="AK42" s="1159">
        <v>2026</v>
      </c>
      <c r="AL42" s="1159">
        <v>2027</v>
      </c>
      <c r="AM42" s="1159">
        <v>2028</v>
      </c>
      <c r="AN42" s="1159">
        <v>2029</v>
      </c>
      <c r="AO42" s="1159">
        <v>2030</v>
      </c>
      <c r="AP42" s="1159">
        <v>2031</v>
      </c>
      <c r="AQ42" s="1159">
        <v>2032</v>
      </c>
      <c r="AR42" s="1159">
        <v>2033</v>
      </c>
      <c r="AS42" s="1159">
        <v>2034</v>
      </c>
      <c r="AT42" s="1159">
        <v>2035</v>
      </c>
    </row>
    <row r="43" spans="1:46" customFormat="1" ht="14.4">
      <c r="A43" s="79"/>
      <c r="B43" s="74" t="s">
        <v>63</v>
      </c>
      <c r="C43" s="73" t="s">
        <v>27</v>
      </c>
      <c r="D43" s="369" t="s">
        <v>64</v>
      </c>
      <c r="E43" s="58"/>
      <c r="F43" s="58"/>
      <c r="G43" s="58"/>
      <c r="H43" s="58"/>
      <c r="I43" s="1160"/>
      <c r="J43" s="1160"/>
      <c r="K43" s="1160"/>
      <c r="L43" s="1160"/>
      <c r="M43" s="1160"/>
      <c r="N43" s="1160"/>
      <c r="O43" s="1160"/>
      <c r="P43" s="1161"/>
      <c r="Q43" s="1161"/>
      <c r="R43" s="1161"/>
      <c r="S43" s="1161"/>
      <c r="T43" s="1161"/>
      <c r="U43" s="1162"/>
      <c r="V43" s="1161"/>
      <c r="W43" s="1161"/>
      <c r="X43" s="1161"/>
      <c r="Y43" s="1161"/>
      <c r="Z43" s="1161"/>
      <c r="AA43" s="1161"/>
      <c r="AB43" s="1161"/>
      <c r="AC43" s="1161"/>
      <c r="AD43" s="1161"/>
      <c r="AE43" s="1161"/>
      <c r="AF43" s="1161"/>
      <c r="AG43" s="1161"/>
      <c r="AH43" s="1161"/>
      <c r="AI43" s="1161"/>
      <c r="AJ43" s="1161"/>
      <c r="AK43" s="1161"/>
      <c r="AL43" s="1161"/>
      <c r="AM43" s="1161"/>
      <c r="AN43" s="1161"/>
      <c r="AO43" s="2449"/>
      <c r="AP43" s="2449" t="s">
        <v>3676</v>
      </c>
      <c r="AQ43" s="2449"/>
      <c r="AR43" s="2449"/>
      <c r="AS43" s="2449"/>
      <c r="AT43" s="2573"/>
    </row>
    <row r="44" spans="1:46" customFormat="1" ht="14.4">
      <c r="A44" s="79"/>
      <c r="B44" s="74" t="s">
        <v>65</v>
      </c>
      <c r="C44" s="73" t="s">
        <v>27</v>
      </c>
      <c r="D44" s="368" t="s">
        <v>3290</v>
      </c>
      <c r="E44" s="58"/>
      <c r="F44" s="58"/>
      <c r="G44" s="58"/>
      <c r="H44" s="58"/>
      <c r="I44" s="1163">
        <v>5.5662594527080077E-2</v>
      </c>
      <c r="J44" s="1164">
        <v>3.9399476736078416E-2</v>
      </c>
      <c r="K44" s="1163">
        <v>5.2226454387225771E-2</v>
      </c>
      <c r="L44" s="1164">
        <v>1.620987732043731E-2</v>
      </c>
      <c r="M44" s="1164">
        <v>1.5664084638357129E-2</v>
      </c>
      <c r="N44" s="1164">
        <v>1.9683864985775911E-2</v>
      </c>
      <c r="O44" s="1164">
        <v>4.1857983870495351E-2</v>
      </c>
      <c r="P44" s="1164">
        <v>3.6010007062723191E-2</v>
      </c>
      <c r="Q44" s="1164">
        <v>4.2618908862118721E-2</v>
      </c>
      <c r="R44" s="1164">
        <v>4.2757562179423086E-2</v>
      </c>
      <c r="S44" s="1164">
        <v>9.0013019803705085E-3</v>
      </c>
      <c r="T44" s="1164">
        <v>-3.2522123115501782E-2</v>
      </c>
      <c r="U44" s="1165">
        <v>7.048769768307106E-2</v>
      </c>
      <c r="V44" s="1164">
        <v>6.2772291933425983E-2</v>
      </c>
      <c r="W44" s="1164">
        <v>4.9419806734594916E-2</v>
      </c>
      <c r="X44" s="1164">
        <v>6.9220084818548938E-2</v>
      </c>
      <c r="Y44" s="1164">
        <v>5.64689012963073E-2</v>
      </c>
      <c r="Z44" s="1164">
        <v>5.4436813496934987E-2</v>
      </c>
      <c r="AA44" s="1164">
        <v>2.0364278180235357E-2</v>
      </c>
      <c r="AB44" s="1164">
        <v>2.9433839954212341E-2</v>
      </c>
      <c r="AC44" s="1164">
        <v>3.867602059384645E-2</v>
      </c>
      <c r="AD44" s="1164">
        <v>3.5056437369674169E-2</v>
      </c>
      <c r="AE44" s="1164">
        <v>-1.505061918688406E-2</v>
      </c>
      <c r="AF44" s="1164">
        <v>3.9507876094746569E-2</v>
      </c>
      <c r="AG44" s="1164">
        <v>6.6385421354376251E-2</v>
      </c>
      <c r="AH44" s="1164">
        <v>5.4739224194540193E-2</v>
      </c>
      <c r="AI44" s="1164">
        <v>4.187766658922519E-2</v>
      </c>
      <c r="AJ44" s="1164">
        <v>4.2212348809224594E-2</v>
      </c>
      <c r="AK44" s="1164">
        <v>5.5124885058402899E-2</v>
      </c>
      <c r="AL44" s="1164">
        <v>4.6655784301934039E-2</v>
      </c>
      <c r="AM44" s="1164">
        <v>4.5829615316073283E-2</v>
      </c>
      <c r="AN44" s="1164">
        <v>4.4928418938757604E-2</v>
      </c>
      <c r="AO44" s="2450">
        <v>4.4277426037686765E-2</v>
      </c>
      <c r="AP44" s="2450">
        <v>4.4277426037686765E-2</v>
      </c>
      <c r="AQ44" s="2450">
        <v>4.4277426037686765E-2</v>
      </c>
      <c r="AR44" s="2450">
        <v>4.4277426037686765E-2</v>
      </c>
      <c r="AS44" s="2450">
        <v>4.4277426037686765E-2</v>
      </c>
      <c r="AT44" s="2574">
        <v>4.4277426037686765E-2</v>
      </c>
    </row>
    <row r="45" spans="1:46" customFormat="1" ht="14.4">
      <c r="A45" s="79"/>
      <c r="B45" s="74"/>
      <c r="C45" s="74"/>
      <c r="D45" s="368" t="s">
        <v>3291</v>
      </c>
      <c r="E45" s="57" t="s">
        <v>27</v>
      </c>
      <c r="F45" s="57"/>
      <c r="G45" s="57"/>
      <c r="H45" s="57"/>
      <c r="I45" s="1163">
        <v>9.701312141382612E-2</v>
      </c>
      <c r="J45" s="1164">
        <v>1.8581033212383576E-2</v>
      </c>
      <c r="K45" s="1163">
        <v>1.906232225392682E-2</v>
      </c>
      <c r="L45" s="1164">
        <v>-8.5845805893771679E-2</v>
      </c>
      <c r="M45" s="1164">
        <v>0.23921615251136188</v>
      </c>
      <c r="N45" s="1164">
        <v>0.57930428865145189</v>
      </c>
      <c r="O45" s="1164">
        <v>7.9260737430366865E-2</v>
      </c>
      <c r="P45" s="1164">
        <v>5.6652781613462565E-2</v>
      </c>
      <c r="Q45" s="1164">
        <v>2.208995812177041E-2</v>
      </c>
      <c r="R45" s="1164">
        <v>0.38398225737629871</v>
      </c>
      <c r="S45" s="1164">
        <v>0.12072368066150849</v>
      </c>
      <c r="T45" s="1164">
        <v>-7.7815609079072617E-2</v>
      </c>
      <c r="U45" s="1165">
        <v>0.2738801376083535</v>
      </c>
      <c r="V45" s="1164">
        <v>3.8191724555643736E-2</v>
      </c>
      <c r="W45" s="1164">
        <v>-3.3395141419333779E-2</v>
      </c>
      <c r="X45" s="1164">
        <v>0.14167024333044881</v>
      </c>
      <c r="Y45" s="1164">
        <v>8.206916071600219E-2</v>
      </c>
      <c r="Z45" s="1164">
        <v>-8.6629723430699135E-2</v>
      </c>
      <c r="AA45" s="1164">
        <v>7.8174212532877971E-2</v>
      </c>
      <c r="AB45" s="1164">
        <v>5.1336413533217662E-2</v>
      </c>
      <c r="AC45" s="1164">
        <v>7.815118160761729E-2</v>
      </c>
      <c r="AD45" s="1164">
        <v>-8.7632894935860281E-2</v>
      </c>
      <c r="AE45" s="1164">
        <v>4.8468313644489829E-2</v>
      </c>
      <c r="AF45" s="1164">
        <v>0.22752077995591102</v>
      </c>
      <c r="AG45" s="1164">
        <v>0.1977050911939002</v>
      </c>
      <c r="AH45" s="1164">
        <v>2.2319353715062849E-2</v>
      </c>
      <c r="AI45" s="1164">
        <v>4.5659245500305749E-2</v>
      </c>
      <c r="AJ45" s="1164">
        <v>2.1190704926033609E-2</v>
      </c>
      <c r="AK45" s="1164">
        <v>4.4336071932993895E-2</v>
      </c>
      <c r="AL45" s="1164">
        <v>5.4228406936851672E-2</v>
      </c>
      <c r="AM45" s="1164">
        <v>5.3630869082058358E-2</v>
      </c>
      <c r="AN45" s="1164">
        <v>4.9445392559987811E-2</v>
      </c>
      <c r="AO45" s="2450">
        <v>5.192903375373796E-2</v>
      </c>
      <c r="AP45" s="2450">
        <v>5.192903375373796E-2</v>
      </c>
      <c r="AQ45" s="2450">
        <v>5.192903375373796E-2</v>
      </c>
      <c r="AR45" s="2450">
        <v>5.192903375373796E-2</v>
      </c>
      <c r="AS45" s="2450">
        <v>5.192903375373796E-2</v>
      </c>
      <c r="AT45" s="2574">
        <v>5.192903375373796E-2</v>
      </c>
    </row>
    <row r="46" spans="1:46" customFormat="1" ht="14.4">
      <c r="A46" s="79"/>
      <c r="B46" s="74" t="s">
        <v>66</v>
      </c>
      <c r="C46" s="73" t="s">
        <v>27</v>
      </c>
      <c r="D46" s="369" t="s">
        <v>67</v>
      </c>
      <c r="E46" s="58"/>
      <c r="F46" s="58"/>
      <c r="G46" s="58"/>
      <c r="H46" s="58"/>
      <c r="I46" s="1163"/>
      <c r="J46" s="1164"/>
      <c r="K46" s="1163"/>
      <c r="L46" s="1164"/>
      <c r="M46" s="1164"/>
      <c r="N46" s="1164"/>
      <c r="O46" s="1164"/>
      <c r="P46" s="1164"/>
      <c r="Q46" s="1164"/>
      <c r="R46" s="1164"/>
      <c r="S46" s="1164"/>
      <c r="T46" s="1164"/>
      <c r="U46" s="1165"/>
      <c r="V46" s="1164"/>
      <c r="W46" s="1164"/>
      <c r="X46" s="1164"/>
      <c r="Y46" s="1164"/>
      <c r="Z46" s="1164"/>
      <c r="AA46" s="1164"/>
      <c r="AB46" s="1164"/>
      <c r="AC46" s="1164"/>
      <c r="AD46" s="1164"/>
      <c r="AE46" s="1164"/>
      <c r="AF46" s="1164"/>
      <c r="AG46" s="1164"/>
      <c r="AH46" s="1164"/>
      <c r="AI46" s="1164"/>
      <c r="AJ46" s="1164"/>
      <c r="AK46" s="1164"/>
      <c r="AL46" s="1164"/>
      <c r="AM46" s="1164"/>
      <c r="AN46" s="1164"/>
      <c r="AO46" s="2450"/>
      <c r="AP46" s="2450"/>
      <c r="AQ46" s="2450"/>
      <c r="AR46" s="2450"/>
      <c r="AS46" s="2450"/>
      <c r="AT46" s="2574"/>
    </row>
    <row r="47" spans="1:46" customFormat="1" ht="14.4">
      <c r="A47" s="79"/>
      <c r="B47" s="76" t="s">
        <v>88</v>
      </c>
      <c r="C47" s="73" t="s">
        <v>27</v>
      </c>
      <c r="D47" s="368" t="s">
        <v>3292</v>
      </c>
      <c r="E47" s="58"/>
      <c r="F47" s="58"/>
      <c r="G47" s="58"/>
      <c r="H47" s="58"/>
      <c r="I47" s="1163">
        <v>8.7722450567612659E-2</v>
      </c>
      <c r="J47" s="1164">
        <v>-2.6684113480907535E-2</v>
      </c>
      <c r="K47" s="1163">
        <v>-5.2905164954176229E-2</v>
      </c>
      <c r="L47" s="1164">
        <v>-2.1668204674478959E-2</v>
      </c>
      <c r="M47" s="1164">
        <v>4.6524999134261717E-2</v>
      </c>
      <c r="N47" s="1164">
        <v>0.14470823361438279</v>
      </c>
      <c r="O47" s="1164">
        <v>9.0094837138598477E-2</v>
      </c>
      <c r="P47" s="1164">
        <v>2.7136698804940618E-2</v>
      </c>
      <c r="Q47" s="1164">
        <v>2.7027357585439341E-2</v>
      </c>
      <c r="R47" s="1164">
        <v>8.0185260461275429E-2</v>
      </c>
      <c r="S47" s="1164">
        <v>8.8240063803895999E-2</v>
      </c>
      <c r="T47" s="1164">
        <v>-3.6442371628312091E-2</v>
      </c>
      <c r="U47" s="1165">
        <v>1.8316928169724241E-2</v>
      </c>
      <c r="V47" s="1164">
        <v>8.6194169023176406E-2</v>
      </c>
      <c r="W47" s="1164">
        <v>-2.5466487253470418E-2</v>
      </c>
      <c r="X47" s="1164">
        <v>1.8358634196806261E-2</v>
      </c>
      <c r="Y47" s="1164">
        <v>6.0752593141253433E-3</v>
      </c>
      <c r="Z47" s="1164">
        <v>-0.110397053087869</v>
      </c>
      <c r="AA47" s="1164">
        <v>5.4802301803503761E-3</v>
      </c>
      <c r="AB47" s="1164">
        <v>2.5762876682807551E-2</v>
      </c>
      <c r="AC47" s="1164">
        <v>4.4624546541821249E-2</v>
      </c>
      <c r="AD47" s="1164">
        <v>-2.1377758896670648E-2</v>
      </c>
      <c r="AE47" s="1164">
        <v>1.9460060603073381E-2</v>
      </c>
      <c r="AF47" s="1164">
        <v>5.5102953412846309E-2</v>
      </c>
      <c r="AG47" s="1164">
        <v>-2.327772574522656E-2</v>
      </c>
      <c r="AH47" s="1164">
        <v>5.0346387834879575E-2</v>
      </c>
      <c r="AI47" s="1164">
        <v>1.8459366736452119E-2</v>
      </c>
      <c r="AJ47" s="1164">
        <v>5.321936933608673E-2</v>
      </c>
      <c r="AK47" s="1164">
        <v>4.6408109256826868E-2</v>
      </c>
      <c r="AL47" s="1164">
        <v>2.126614205147467E-2</v>
      </c>
      <c r="AM47" s="1164">
        <v>2.2181573641233441E-2</v>
      </c>
      <c r="AN47" s="1164">
        <v>2.1415244893654428E-2</v>
      </c>
      <c r="AO47" s="2450">
        <v>2.209785797054948E-2</v>
      </c>
      <c r="AP47" s="2450">
        <v>2.209785797054948E-2</v>
      </c>
      <c r="AQ47" s="2450">
        <v>2.209785797054948E-2</v>
      </c>
      <c r="AR47" s="2450">
        <v>2.209785797054948E-2</v>
      </c>
      <c r="AS47" s="2450">
        <v>2.209785797054948E-2</v>
      </c>
      <c r="AT47" s="2574">
        <v>2.209785797054948E-2</v>
      </c>
    </row>
    <row r="48" spans="1:46" customFormat="1" ht="14.4">
      <c r="A48" s="79"/>
      <c r="B48" s="74" t="s">
        <v>68</v>
      </c>
      <c r="C48" s="73" t="s">
        <v>27</v>
      </c>
      <c r="D48" s="368" t="s">
        <v>3293</v>
      </c>
      <c r="E48" s="58"/>
      <c r="F48" s="58"/>
      <c r="G48" s="58"/>
      <c r="H48" s="58"/>
      <c r="I48" s="1163">
        <v>0.10668205367780006</v>
      </c>
      <c r="J48" s="1164">
        <v>-1.2882429933648541E-2</v>
      </c>
      <c r="K48" s="1163">
        <v>-9.1886614670256741E-3</v>
      </c>
      <c r="L48" s="1164">
        <v>-4.3840346001838892E-2</v>
      </c>
      <c r="M48" s="1164">
        <v>-1.734630395569919E-2</v>
      </c>
      <c r="N48" s="1164">
        <v>7.5891074734558236E-2</v>
      </c>
      <c r="O48" s="1164">
        <v>9.1082765238957364E-2</v>
      </c>
      <c r="P48" s="1164">
        <v>6.5825139416756787E-2</v>
      </c>
      <c r="Q48" s="1164">
        <v>8.0932028513562654E-2</v>
      </c>
      <c r="R48" s="1164">
        <v>0.10048696276264049</v>
      </c>
      <c r="S48" s="1164">
        <v>0.15294098658187</v>
      </c>
      <c r="T48" s="1164">
        <v>-4.512131702623777E-2</v>
      </c>
      <c r="U48" s="1165">
        <v>0.1047095223308394</v>
      </c>
      <c r="V48" s="1164">
        <v>0.10696770411836849</v>
      </c>
      <c r="W48" s="1164">
        <v>-8.0371465521709082E-3</v>
      </c>
      <c r="X48" s="1164">
        <v>-1.422190342429872E-2</v>
      </c>
      <c r="Y48" s="1164">
        <v>-2.6639854830039299E-2</v>
      </c>
      <c r="Z48" s="1164">
        <v>-8.8824598096444038E-2</v>
      </c>
      <c r="AA48" s="1164">
        <v>-4.3123808627384304E-2</v>
      </c>
      <c r="AB48" s="1164">
        <v>3.8433326485043252E-2</v>
      </c>
      <c r="AC48" s="1164">
        <v>1.7415782581038829E-2</v>
      </c>
      <c r="AD48" s="1164">
        <v>-7.6161991042712641E-3</v>
      </c>
      <c r="AE48" s="1164">
        <v>3.04100721187314E-2</v>
      </c>
      <c r="AF48" s="1164">
        <v>0.11561703406915351</v>
      </c>
      <c r="AG48" s="1164">
        <v>6.4305772847722251E-2</v>
      </c>
      <c r="AH48" s="1164">
        <v>-3.3671800627555468E-2</v>
      </c>
      <c r="AI48" s="1164">
        <v>7.3504192744489379E-3</v>
      </c>
      <c r="AJ48" s="1164">
        <v>5.9749152817702052E-3</v>
      </c>
      <c r="AK48" s="1164">
        <v>9.0014501767502145E-3</v>
      </c>
      <c r="AL48" s="1164">
        <v>4.1566629730445731E-3</v>
      </c>
      <c r="AM48" s="1164">
        <v>2.9777823489225007E-3</v>
      </c>
      <c r="AN48" s="1164">
        <v>9.7840826944669453E-3</v>
      </c>
      <c r="AO48" s="2450">
        <v>1.3401640619982912E-2</v>
      </c>
      <c r="AP48" s="2450">
        <v>1.3401640619982912E-2</v>
      </c>
      <c r="AQ48" s="2450">
        <v>1.3401640619982912E-2</v>
      </c>
      <c r="AR48" s="2450">
        <v>1.3401640619982912E-2</v>
      </c>
      <c r="AS48" s="2450">
        <v>1.3401640619982912E-2</v>
      </c>
      <c r="AT48" s="2574">
        <v>1.3401640619982912E-2</v>
      </c>
    </row>
    <row r="49" spans="1:49" customFormat="1" ht="14.4">
      <c r="A49" s="79"/>
      <c r="B49" s="76" t="s">
        <v>89</v>
      </c>
      <c r="C49" s="73" t="s">
        <v>27</v>
      </c>
      <c r="D49" s="368" t="s">
        <v>3294</v>
      </c>
      <c r="E49" s="58" t="s">
        <v>27</v>
      </c>
      <c r="F49" s="58"/>
      <c r="G49" s="58"/>
      <c r="H49" s="58"/>
      <c r="I49" s="1163">
        <v>4.2071411795534808E-2</v>
      </c>
      <c r="J49" s="1164">
        <v>2.3385106829805283E-2</v>
      </c>
      <c r="K49" s="1163">
        <v>2.0075979485728573E-3</v>
      </c>
      <c r="L49" s="1164">
        <v>-3.3904187344326042E-2</v>
      </c>
      <c r="M49" s="1164">
        <v>-1.964810750730105E-2</v>
      </c>
      <c r="N49" s="1164">
        <v>2.8577855153858037E-2</v>
      </c>
      <c r="O49" s="1164">
        <v>6.5189334743829874E-2</v>
      </c>
      <c r="P49" s="1164">
        <v>4.0398694639942209E-2</v>
      </c>
      <c r="Q49" s="1164">
        <v>2.1628354903820934E-2</v>
      </c>
      <c r="R49" s="1164">
        <v>3.3186252562787302E-2</v>
      </c>
      <c r="S49" s="1164">
        <v>6.0263734706106173E-2</v>
      </c>
      <c r="T49" s="1164">
        <v>-1.8353206010015957E-2</v>
      </c>
      <c r="U49" s="1165">
        <v>2.0710642254935522E-2</v>
      </c>
      <c r="V49" s="1164">
        <v>4.5386085379140795E-2</v>
      </c>
      <c r="W49" s="1164">
        <v>2.4062131658661598E-2</v>
      </c>
      <c r="X49" s="1164">
        <v>-2.8749727894284417E-2</v>
      </c>
      <c r="Y49" s="1164">
        <v>-5.4316139846354748E-3</v>
      </c>
      <c r="Z49" s="1164">
        <v>-3.0614448816342073E-2</v>
      </c>
      <c r="AA49" s="1164">
        <v>-5.0168401841496978E-2</v>
      </c>
      <c r="AB49" s="1164">
        <v>1.2823038814745588E-3</v>
      </c>
      <c r="AC49" s="1164">
        <v>2.0327197709232397E-2</v>
      </c>
      <c r="AD49" s="1164">
        <v>3.9549211273728572E-3</v>
      </c>
      <c r="AE49" s="1164">
        <v>-3.174148902375043E-2</v>
      </c>
      <c r="AF49" s="1164">
        <v>6.6974078646034038E-2</v>
      </c>
      <c r="AG49" s="1164">
        <v>0.10346994887587664</v>
      </c>
      <c r="AH49" s="1164">
        <v>-1.7106390812809551E-2</v>
      </c>
      <c r="AI49" s="1164">
        <v>1.232657041999557E-2</v>
      </c>
      <c r="AJ49" s="1164">
        <v>7.6343121357911672E-3</v>
      </c>
      <c r="AK49" s="1164">
        <v>2.4292502803446715E-3</v>
      </c>
      <c r="AL49" s="1164">
        <v>3.9533711466055756E-3</v>
      </c>
      <c r="AM49" s="1164">
        <v>8.3115816304031604E-3</v>
      </c>
      <c r="AN49" s="1164">
        <v>1.0946553452682938E-2</v>
      </c>
      <c r="AO49" s="2450">
        <v>1.1597088633758044E-2</v>
      </c>
      <c r="AP49" s="2450">
        <v>1.1597088633758044E-2</v>
      </c>
      <c r="AQ49" s="2450">
        <v>1.1597088633758044E-2</v>
      </c>
      <c r="AR49" s="2450">
        <v>1.1597088633758044E-2</v>
      </c>
      <c r="AS49" s="2450">
        <v>1.1597088633758044E-2</v>
      </c>
      <c r="AT49" s="2574">
        <v>1.1597088633758044E-2</v>
      </c>
    </row>
    <row r="50" spans="1:49" customFormat="1" ht="14.4">
      <c r="A50" s="79"/>
      <c r="B50" s="76" t="s">
        <v>90</v>
      </c>
      <c r="C50" s="73" t="s">
        <v>27</v>
      </c>
      <c r="D50" s="368" t="s">
        <v>3295</v>
      </c>
      <c r="E50" s="57"/>
      <c r="F50" s="57"/>
      <c r="G50" s="57"/>
      <c r="H50" s="57"/>
      <c r="I50" s="1163">
        <v>0.31653192372789202</v>
      </c>
      <c r="J50" s="1164">
        <v>9.1839443367436359E-3</v>
      </c>
      <c r="K50" s="1163">
        <v>0.56612614952787899</v>
      </c>
      <c r="L50" s="1164">
        <v>-0.1398417710014675</v>
      </c>
      <c r="M50" s="1164">
        <v>2.0864314886887766E-2</v>
      </c>
      <c r="N50" s="1164">
        <v>0.15633310050844165</v>
      </c>
      <c r="O50" s="1164">
        <v>0.30778655100589558</v>
      </c>
      <c r="P50" s="1164">
        <v>0.41525925893414611</v>
      </c>
      <c r="Q50" s="1164">
        <v>0.20362484445363693</v>
      </c>
      <c r="R50" s="1164">
        <v>0.10539632543626908</v>
      </c>
      <c r="S50" s="1164">
        <v>0.35929888825103001</v>
      </c>
      <c r="T50" s="1164">
        <v>-0.3644401993665623</v>
      </c>
      <c r="U50" s="1165">
        <v>0.2868713775930371</v>
      </c>
      <c r="V50" s="1164">
        <v>0.31491985732328959</v>
      </c>
      <c r="W50" s="1164">
        <v>9.8777641391187641E-3</v>
      </c>
      <c r="X50" s="1164">
        <v>-8.799536967720966E-3</v>
      </c>
      <c r="Y50" s="1164">
        <v>-7.5314880179226454E-2</v>
      </c>
      <c r="Z50" s="1164">
        <v>-0.47146300179739115</v>
      </c>
      <c r="AA50" s="1164">
        <v>-0.15022149497565174</v>
      </c>
      <c r="AB50" s="1164">
        <v>0.22452431023357705</v>
      </c>
      <c r="AC50" s="1164">
        <v>0.29361225338930469</v>
      </c>
      <c r="AD50" s="1164">
        <v>-0.10360330409299749</v>
      </c>
      <c r="AE50" s="1164">
        <v>-0.32013819483552891</v>
      </c>
      <c r="AF50" s="1164">
        <v>0.65806664046654073</v>
      </c>
      <c r="AG50" s="1164">
        <v>0.39151032082957182</v>
      </c>
      <c r="AH50" s="1164">
        <v>-0.16362406522644093</v>
      </c>
      <c r="AI50" s="1164">
        <v>-1.7669942173915147E-2</v>
      </c>
      <c r="AJ50" s="1164">
        <v>-0.12947762841526447</v>
      </c>
      <c r="AK50" s="1164">
        <v>-4.4755558283761425E-2</v>
      </c>
      <c r="AL50" s="1164">
        <v>-2.2139013284715346E-3</v>
      </c>
      <c r="AM50" s="1164">
        <v>8.7943468639252627E-3</v>
      </c>
      <c r="AN50" s="1164">
        <v>9.1437052781466223E-3</v>
      </c>
      <c r="AO50" s="2450">
        <v>5.8018547228245445E-3</v>
      </c>
      <c r="AP50" s="2450">
        <v>5.8018547228245445E-3</v>
      </c>
      <c r="AQ50" s="2450">
        <v>5.8018547228245445E-3</v>
      </c>
      <c r="AR50" s="2450">
        <v>5.8018547228245445E-3</v>
      </c>
      <c r="AS50" s="2450">
        <v>5.8018547228245445E-3</v>
      </c>
      <c r="AT50" s="2574">
        <v>5.8018547228245445E-3</v>
      </c>
    </row>
    <row r="51" spans="1:49" customFormat="1" ht="14.4">
      <c r="A51" s="79"/>
      <c r="B51" s="74" t="s">
        <v>69</v>
      </c>
      <c r="C51" s="73" t="s">
        <v>27</v>
      </c>
      <c r="D51" s="369" t="s">
        <v>70</v>
      </c>
      <c r="E51" s="58"/>
      <c r="F51" s="58"/>
      <c r="G51" s="58"/>
      <c r="H51" s="58"/>
      <c r="I51" s="1163"/>
      <c r="J51" s="1164"/>
      <c r="K51" s="1163"/>
      <c r="L51" s="1164"/>
      <c r="M51" s="1164"/>
      <c r="N51" s="1164"/>
      <c r="O51" s="1164"/>
      <c r="P51" s="1164"/>
      <c r="Q51" s="1164"/>
      <c r="R51" s="1164"/>
      <c r="S51" s="1164"/>
      <c r="T51" s="1164"/>
      <c r="U51" s="1165"/>
      <c r="V51" s="1164"/>
      <c r="W51" s="1164"/>
      <c r="X51" s="1164"/>
      <c r="Y51" s="1164"/>
      <c r="Z51" s="1164"/>
      <c r="AA51" s="1164"/>
      <c r="AB51" s="1164"/>
      <c r="AC51" s="1164"/>
      <c r="AD51" s="1164"/>
      <c r="AE51" s="1164"/>
      <c r="AF51" s="1164"/>
      <c r="AG51" s="1164"/>
      <c r="AH51" s="1164"/>
      <c r="AI51" s="1164"/>
      <c r="AJ51" s="1164"/>
      <c r="AK51" s="1164"/>
      <c r="AL51" s="1164"/>
      <c r="AM51" s="1164"/>
      <c r="AN51" s="1164"/>
      <c r="AO51" s="2450"/>
      <c r="AP51" s="2450"/>
      <c r="AQ51" s="2450"/>
      <c r="AR51" s="2450"/>
      <c r="AS51" s="2450"/>
      <c r="AT51" s="2574"/>
    </row>
    <row r="52" spans="1:49" customFormat="1" ht="14.4">
      <c r="A52" s="79"/>
      <c r="B52" s="74" t="s">
        <v>71</v>
      </c>
      <c r="C52" s="73" t="s">
        <v>27</v>
      </c>
      <c r="D52" s="368" t="s">
        <v>3296</v>
      </c>
      <c r="E52" s="58"/>
      <c r="F52" s="58"/>
      <c r="G52" s="58"/>
      <c r="H52" s="58"/>
      <c r="I52" s="1163">
        <v>9.5644908060171507E-2</v>
      </c>
      <c r="J52" s="1164">
        <v>1.4867551367259757E-2</v>
      </c>
      <c r="K52" s="1163">
        <v>0.1677004984317243</v>
      </c>
      <c r="L52" s="1164">
        <v>0.2814450828287644</v>
      </c>
      <c r="M52" s="1164">
        <v>-2.992676210682069E-2</v>
      </c>
      <c r="N52" s="1164">
        <v>-0.1608113989816119</v>
      </c>
      <c r="O52" s="1164">
        <v>0.26047510738953589</v>
      </c>
      <c r="P52" s="1164">
        <v>0.2633506379614346</v>
      </c>
      <c r="Q52" s="1164">
        <v>7.9260207372493327E-2</v>
      </c>
      <c r="R52" s="1164">
        <v>0.14956216321245661</v>
      </c>
      <c r="S52" s="1164">
        <v>0.10302796460127761</v>
      </c>
      <c r="T52" s="1164">
        <v>-0.1035588423959104</v>
      </c>
      <c r="U52" s="1165">
        <v>7.3790748657841465E-2</v>
      </c>
      <c r="V52" s="1164">
        <v>0.10249942929870841</v>
      </c>
      <c r="W52" s="1164">
        <v>5.7974983191756133E-2</v>
      </c>
      <c r="X52" s="1164">
        <v>-8.6536969831120057E-3</v>
      </c>
      <c r="Y52" s="1164">
        <v>1.0291948870385582E-2</v>
      </c>
      <c r="Z52" s="1164">
        <v>2.9282240040394282E-3</v>
      </c>
      <c r="AA52" s="1164">
        <v>-1.020016589661888E-2</v>
      </c>
      <c r="AB52" s="1164">
        <v>-4.7735400739966537E-2</v>
      </c>
      <c r="AC52" s="1164">
        <v>9.6919130099502288E-2</v>
      </c>
      <c r="AD52" s="1164">
        <v>2.3705902789216183E-2</v>
      </c>
      <c r="AE52" s="1164">
        <v>-9.3380983476663584E-2</v>
      </c>
      <c r="AF52" s="1164">
        <v>9.9601523236858558E-2</v>
      </c>
      <c r="AG52" s="1164">
        <v>7.5964048135276019E-2</v>
      </c>
      <c r="AH52" s="1164">
        <v>-3.9130779611891339E-4</v>
      </c>
      <c r="AI52" s="1164">
        <v>-4.2906880925613119E-3</v>
      </c>
      <c r="AJ52" s="1164">
        <v>3.4238062854376791E-2</v>
      </c>
      <c r="AK52" s="1164">
        <v>2.1008649747217542E-2</v>
      </c>
      <c r="AL52" s="1164">
        <v>1.3916042387775759E-2</v>
      </c>
      <c r="AM52" s="1164">
        <v>1.2904430346300231E-2</v>
      </c>
      <c r="AN52" s="1164">
        <v>1.329306169505589E-2</v>
      </c>
      <c r="AO52" s="2450">
        <v>1.2543229905331701E-2</v>
      </c>
      <c r="AP52" s="2450">
        <v>1.2543229905331701E-2</v>
      </c>
      <c r="AQ52" s="2450">
        <v>1.2543229905331701E-2</v>
      </c>
      <c r="AR52" s="2450">
        <v>1.2543229905331701E-2</v>
      </c>
      <c r="AS52" s="2450">
        <v>1.2543229905331701E-2</v>
      </c>
      <c r="AT52" s="2574">
        <v>1.2543229905331701E-2</v>
      </c>
    </row>
    <row r="53" spans="1:49" customFormat="1" ht="14.4">
      <c r="A53" s="79"/>
      <c r="B53" s="74"/>
      <c r="C53" s="74"/>
      <c r="D53" s="368" t="s">
        <v>3297</v>
      </c>
      <c r="E53" s="58"/>
      <c r="F53" s="58"/>
      <c r="G53" s="58"/>
      <c r="H53" s="58"/>
      <c r="I53" s="1163">
        <v>0.188425287693753</v>
      </c>
      <c r="J53" s="1164">
        <v>-7.9222005360023565E-2</v>
      </c>
      <c r="K53" s="1163">
        <v>1.7600557718783959E-2</v>
      </c>
      <c r="L53" s="1164">
        <v>-0.1213728071203697</v>
      </c>
      <c r="M53" s="1164">
        <v>5.4699883764101676E-2</v>
      </c>
      <c r="N53" s="1164">
        <v>0.14864407330779519</v>
      </c>
      <c r="O53" s="1164">
        <v>0.17356314383112839</v>
      </c>
      <c r="P53" s="1164">
        <v>8.9210662420568895E-2</v>
      </c>
      <c r="Q53" s="1164">
        <v>0.29764766850332142</v>
      </c>
      <c r="R53" s="1164">
        <v>0.23549387322063189</v>
      </c>
      <c r="S53" s="1164">
        <v>5.7574621192277096E-2</v>
      </c>
      <c r="T53" s="1164">
        <v>-6.7659558550446336E-2</v>
      </c>
      <c r="U53" s="1165">
        <v>0.26308793995049012</v>
      </c>
      <c r="V53" s="1164">
        <v>0.21977189409117528</v>
      </c>
      <c r="W53" s="1164">
        <v>-4.7826659507405764E-2</v>
      </c>
      <c r="X53" s="1164">
        <v>-0.1161196408863079</v>
      </c>
      <c r="Y53" s="1164">
        <v>-5.3095693968122963E-2</v>
      </c>
      <c r="Z53" s="1164">
        <v>-0.1328959436679247</v>
      </c>
      <c r="AA53" s="1164">
        <v>1.242873822356293E-2</v>
      </c>
      <c r="AB53" s="1164">
        <v>6.3778156732459734E-2</v>
      </c>
      <c r="AC53" s="1164">
        <v>4.5575817666468031E-3</v>
      </c>
      <c r="AD53" s="1164">
        <v>3.3117442922995878E-2</v>
      </c>
      <c r="AE53" s="1164">
        <v>0.1136533056906686</v>
      </c>
      <c r="AF53" s="1164">
        <v>0.20311665558853981</v>
      </c>
      <c r="AG53" s="1164">
        <v>4.1108552526338132E-2</v>
      </c>
      <c r="AH53" s="1164">
        <v>3.4251008737773175E-2</v>
      </c>
      <c r="AI53" s="1164">
        <v>0.11600537233818389</v>
      </c>
      <c r="AJ53" s="1164">
        <v>0.21471265661756159</v>
      </c>
      <c r="AK53" s="1164">
        <v>6.2954791201384669E-2</v>
      </c>
      <c r="AL53" s="1164">
        <v>1.004665870005742E-2</v>
      </c>
      <c r="AM53" s="1164">
        <v>-2.52031709493799E-3</v>
      </c>
      <c r="AN53" s="1164">
        <v>2.975443885522158E-4</v>
      </c>
      <c r="AO53" s="2450">
        <v>2.2416632448068682E-4</v>
      </c>
      <c r="AP53" s="2450">
        <v>2.2416632448068682E-4</v>
      </c>
      <c r="AQ53" s="2450">
        <v>2.2416632448068682E-4</v>
      </c>
      <c r="AR53" s="2450">
        <v>2.2416632448068682E-4</v>
      </c>
      <c r="AS53" s="2450">
        <v>2.2416632448068682E-4</v>
      </c>
      <c r="AT53" s="2574">
        <v>2.2416632448068682E-4</v>
      </c>
    </row>
    <row r="54" spans="1:49" customFormat="1" ht="14.7" thickBot="1">
      <c r="A54" s="79"/>
      <c r="B54" s="74"/>
      <c r="C54" s="74"/>
      <c r="D54" s="368" t="s">
        <v>678</v>
      </c>
      <c r="E54" s="58"/>
      <c r="F54" s="58"/>
      <c r="G54" s="58"/>
      <c r="H54" s="58"/>
      <c r="I54" s="1163"/>
      <c r="J54" s="1163"/>
      <c r="K54" s="1163"/>
      <c r="L54" s="1163"/>
      <c r="M54" s="1163"/>
      <c r="N54" s="1163"/>
      <c r="O54" s="1163"/>
      <c r="P54" s="1163"/>
      <c r="Q54" s="1163"/>
      <c r="R54" s="1163"/>
      <c r="S54" s="1163"/>
      <c r="T54" s="1163"/>
      <c r="U54" s="1166"/>
      <c r="V54" s="1167"/>
      <c r="W54" s="1167"/>
      <c r="X54" s="1167"/>
      <c r="Y54" s="1167"/>
      <c r="Z54" s="1167"/>
      <c r="AA54" s="1167"/>
      <c r="AB54" s="1167"/>
      <c r="AC54" s="1167"/>
      <c r="AD54" s="1167"/>
      <c r="AE54" s="1167"/>
      <c r="AF54" s="1167"/>
      <c r="AG54" s="1167"/>
      <c r="AH54" s="1167"/>
      <c r="AI54" s="1167"/>
      <c r="AJ54" s="1167"/>
      <c r="AK54" s="1167"/>
      <c r="AL54" s="1167"/>
      <c r="AM54" s="1167"/>
      <c r="AN54" s="1167"/>
      <c r="AO54" s="2451"/>
      <c r="AP54" s="2451"/>
      <c r="AQ54" s="2451"/>
      <c r="AR54" s="2451"/>
      <c r="AS54" s="2451"/>
      <c r="AT54" s="2575"/>
    </row>
    <row r="55" spans="1:49" customFormat="1" ht="21" customHeight="1">
      <c r="A55" s="79"/>
      <c r="B55" s="74"/>
      <c r="C55" s="74"/>
      <c r="D55" s="899" t="s">
        <v>1061</v>
      </c>
      <c r="P55" s="29"/>
      <c r="Q55" s="29"/>
      <c r="R55" s="29"/>
      <c r="S55" s="29"/>
      <c r="T55" s="29"/>
      <c r="U55" s="29"/>
      <c r="V55" s="29"/>
      <c r="W55" s="29"/>
      <c r="X55" s="29"/>
      <c r="Y55" s="29"/>
      <c r="Z55" s="29"/>
      <c r="AA55" s="29"/>
      <c r="AB55" s="29"/>
      <c r="AC55" s="29"/>
      <c r="AD55" s="29"/>
      <c r="AE55" s="901"/>
      <c r="AT55" s="2"/>
    </row>
    <row r="56" spans="1:49">
      <c r="A56" s="79"/>
      <c r="D56" s="610" t="s">
        <v>3298</v>
      </c>
      <c r="E56" s="9"/>
      <c r="F56" s="9"/>
      <c r="G56" s="9"/>
      <c r="H56" s="9"/>
      <c r="I56" s="2"/>
      <c r="J56" s="2"/>
      <c r="K56" s="2"/>
      <c r="L56" s="2"/>
      <c r="M56" s="2"/>
      <c r="N56" s="2"/>
      <c r="O56" s="2"/>
      <c r="P56" s="2"/>
      <c r="Q56" s="2"/>
      <c r="R56" s="2"/>
      <c r="S56" s="2"/>
      <c r="T56" s="2"/>
      <c r="U56" s="529">
        <v>2010</v>
      </c>
      <c r="V56" s="530">
        <v>2011</v>
      </c>
      <c r="W56" s="530">
        <v>2012</v>
      </c>
      <c r="X56" s="530">
        <v>2013</v>
      </c>
      <c r="Y56" s="530" t="s">
        <v>677</v>
      </c>
      <c r="Z56" s="530">
        <v>2015</v>
      </c>
      <c r="AA56" s="530">
        <v>2016</v>
      </c>
      <c r="AB56" s="530">
        <v>2017</v>
      </c>
      <c r="AC56" s="14">
        <v>2018</v>
      </c>
      <c r="AD56" s="14">
        <v>2019</v>
      </c>
      <c r="AE56" s="14">
        <v>2020</v>
      </c>
      <c r="AF56" s="530">
        <v>2021</v>
      </c>
      <c r="AG56" s="530">
        <v>2022</v>
      </c>
      <c r="AH56" s="530">
        <v>2023</v>
      </c>
      <c r="AI56" s="530">
        <v>2024</v>
      </c>
      <c r="AJ56" s="530">
        <v>2025</v>
      </c>
      <c r="AK56" s="530">
        <v>2026</v>
      </c>
      <c r="AL56" s="530">
        <v>2027</v>
      </c>
      <c r="AM56" s="530">
        <v>2028</v>
      </c>
      <c r="AN56" s="530">
        <v>2029</v>
      </c>
      <c r="AO56" s="530">
        <v>2030</v>
      </c>
      <c r="AP56" s="530">
        <v>2031</v>
      </c>
      <c r="AQ56" s="530">
        <v>2032</v>
      </c>
      <c r="AR56" s="530">
        <v>2033</v>
      </c>
      <c r="AS56" s="530">
        <v>2034</v>
      </c>
      <c r="AT56" s="530">
        <v>2035</v>
      </c>
    </row>
    <row r="57" spans="1:49">
      <c r="A57" s="79"/>
      <c r="B57" s="784" t="s">
        <v>91</v>
      </c>
      <c r="D57" s="59" t="s">
        <v>3544</v>
      </c>
      <c r="E57" s="59"/>
      <c r="F57" s="59"/>
      <c r="G57" s="59"/>
      <c r="H57" s="59"/>
      <c r="I57" s="2158">
        <v>1998</v>
      </c>
      <c r="J57" s="2158">
        <v>1999</v>
      </c>
      <c r="K57" s="2158">
        <v>2000</v>
      </c>
      <c r="L57" s="2158">
        <v>2001</v>
      </c>
      <c r="M57" s="2158">
        <v>2002</v>
      </c>
      <c r="N57" s="2158">
        <v>2003</v>
      </c>
      <c r="O57" s="2158">
        <v>2004</v>
      </c>
      <c r="P57" s="2158">
        <v>2005</v>
      </c>
      <c r="Q57" s="2158">
        <v>2006</v>
      </c>
      <c r="R57" s="2158">
        <v>2007</v>
      </c>
      <c r="S57" s="2158">
        <v>2008</v>
      </c>
      <c r="T57" s="2158">
        <v>2009</v>
      </c>
      <c r="U57" s="2158">
        <v>2010</v>
      </c>
      <c r="V57" s="2158">
        <v>2011</v>
      </c>
      <c r="W57" s="2158">
        <v>2012</v>
      </c>
      <c r="X57" s="2158">
        <v>2013</v>
      </c>
      <c r="Y57" s="2158">
        <v>2014</v>
      </c>
      <c r="Z57" s="2158">
        <v>2015</v>
      </c>
      <c r="AA57" s="2158">
        <v>2016</v>
      </c>
      <c r="AB57" s="2158">
        <v>2017</v>
      </c>
      <c r="AC57" s="2158">
        <v>2018</v>
      </c>
      <c r="AD57" s="2158">
        <v>2019</v>
      </c>
      <c r="AE57" s="2159">
        <v>2020</v>
      </c>
      <c r="AF57" s="2159">
        <v>2021</v>
      </c>
      <c r="AG57" s="2159">
        <v>2022</v>
      </c>
      <c r="AH57" s="2159">
        <v>2023</v>
      </c>
      <c r="AI57" s="2159">
        <v>2024</v>
      </c>
      <c r="AJ57" s="3066">
        <v>2025</v>
      </c>
      <c r="AK57" s="3066">
        <v>2026</v>
      </c>
      <c r="AL57" s="3066">
        <v>2027</v>
      </c>
      <c r="AM57" s="3066">
        <v>2028</v>
      </c>
      <c r="AN57" s="3066">
        <v>2029</v>
      </c>
      <c r="AO57" s="3066">
        <v>2030</v>
      </c>
      <c r="AP57" s="3067">
        <v>2031</v>
      </c>
      <c r="AQ57" s="3067">
        <v>2032</v>
      </c>
      <c r="AR57" s="3067">
        <v>2033</v>
      </c>
      <c r="AS57" s="3067">
        <v>2034</v>
      </c>
      <c r="AT57" s="3067">
        <v>2035</v>
      </c>
    </row>
    <row r="58" spans="1:49">
      <c r="A58" s="79"/>
      <c r="D58" s="2274" t="s">
        <v>3802</v>
      </c>
      <c r="E58" s="59"/>
      <c r="F58" s="59"/>
      <c r="G58" s="59"/>
      <c r="H58" s="59"/>
      <c r="I58" s="2160">
        <v>49.14</v>
      </c>
      <c r="J58" s="2160">
        <v>34.4</v>
      </c>
      <c r="K58" s="2160">
        <v>31.16</v>
      </c>
      <c r="L58" s="2160">
        <v>44.26</v>
      </c>
      <c r="M58" s="2160">
        <v>33.17</v>
      </c>
      <c r="N58" s="2160">
        <v>29.373014416758831</v>
      </c>
      <c r="O58" s="2160">
        <v>47.857085863704235</v>
      </c>
      <c r="P58" s="2160">
        <v>59.1</v>
      </c>
      <c r="Q58" s="2160">
        <v>53.239639639639641</v>
      </c>
      <c r="R58" s="2160">
        <v>88.66384859846525</v>
      </c>
      <c r="S58" s="2160">
        <v>106.4</v>
      </c>
      <c r="T58" s="2160">
        <v>88.8</v>
      </c>
      <c r="U58" s="2160">
        <v>61.713554450000004</v>
      </c>
      <c r="V58" s="2161">
        <v>98.139999999999986</v>
      </c>
      <c r="W58" s="2161">
        <v>96.902381599999998</v>
      </c>
      <c r="X58" s="2161">
        <v>523.63</v>
      </c>
      <c r="Y58" s="2161">
        <v>153.47291621700001</v>
      </c>
      <c r="Z58" s="2162">
        <v>139.994</v>
      </c>
      <c r="AA58" s="2163">
        <v>171.95044235404123</v>
      </c>
      <c r="AB58" s="2163">
        <v>189.824337335</v>
      </c>
      <c r="AC58" s="1991">
        <v>204.910263929</v>
      </c>
      <c r="AD58" s="1991">
        <v>316.33289424084347</v>
      </c>
      <c r="AE58" s="2164">
        <v>425.04532305078999</v>
      </c>
      <c r="AF58" s="2164">
        <v>364.64251143299987</v>
      </c>
      <c r="AG58" s="2164">
        <v>377.63994049899998</v>
      </c>
      <c r="AH58" s="2164">
        <v>411.18697621000001</v>
      </c>
      <c r="AI58" s="2164">
        <v>555.77324822800006</v>
      </c>
      <c r="AJ58" s="3059">
        <v>534.91538335899986</v>
      </c>
      <c r="AK58" s="3059">
        <v>527.19131884605235</v>
      </c>
      <c r="AL58" s="3059">
        <v>541.00037694175364</v>
      </c>
      <c r="AM58" s="3059">
        <v>546.54147310159215</v>
      </c>
      <c r="AN58" s="3059">
        <v>549.64113757711925</v>
      </c>
      <c r="AO58" s="3059">
        <v>615.91591406907855</v>
      </c>
      <c r="AP58" s="3065">
        <v>652.80401882009619</v>
      </c>
      <c r="AQ58" s="3065">
        <v>280.23629859856021</v>
      </c>
      <c r="AR58" s="3065">
        <v>280.23629859856021</v>
      </c>
      <c r="AS58" s="3065">
        <v>280.23629859856021</v>
      </c>
      <c r="AT58" s="3065">
        <v>280.23629859856021</v>
      </c>
    </row>
    <row r="59" spans="1:49">
      <c r="A59" s="79"/>
      <c r="D59" s="2275" t="s">
        <v>780</v>
      </c>
      <c r="E59" s="59"/>
      <c r="F59" s="59"/>
      <c r="G59" s="59"/>
      <c r="H59" s="59"/>
      <c r="I59" s="59"/>
      <c r="J59" s="59"/>
      <c r="K59" s="59"/>
      <c r="L59" s="59"/>
      <c r="M59" s="59"/>
      <c r="N59" s="59"/>
      <c r="O59" s="59"/>
      <c r="P59" s="59"/>
      <c r="Q59" s="59"/>
      <c r="R59" s="59"/>
      <c r="S59" s="59"/>
      <c r="T59" s="59"/>
      <c r="U59" s="59"/>
      <c r="V59" s="59"/>
      <c r="W59" s="59"/>
      <c r="X59" s="59"/>
      <c r="Y59" s="2165"/>
      <c r="Z59" s="2166">
        <v>65.081999999999994</v>
      </c>
      <c r="AA59" s="2167">
        <v>86.498429746041211</v>
      </c>
      <c r="AB59" s="2167">
        <v>109.587681769</v>
      </c>
      <c r="AC59" s="2167">
        <v>120.77545997</v>
      </c>
      <c r="AD59" s="1992">
        <v>167.89027127700001</v>
      </c>
      <c r="AE59" s="1991">
        <v>163.87630605079002</v>
      </c>
      <c r="AF59" s="1991">
        <v>142.07597618199998</v>
      </c>
      <c r="AG59" s="1991">
        <v>180.73451071899996</v>
      </c>
      <c r="AH59" s="1991">
        <v>199.92798899699997</v>
      </c>
      <c r="AI59" s="1991">
        <v>289.47324822800005</v>
      </c>
      <c r="AJ59" s="3055">
        <v>253.97983877399997</v>
      </c>
      <c r="AK59" s="3068">
        <v>259.32491265024782</v>
      </c>
      <c r="AL59" s="3068">
        <v>271.36991695604837</v>
      </c>
      <c r="AM59" s="3068">
        <v>270.21298190212622</v>
      </c>
      <c r="AN59" s="3068">
        <v>289.51495117055396</v>
      </c>
      <c r="AO59" s="3068">
        <v>316.02139628072314</v>
      </c>
      <c r="AP59" s="3069">
        <v>282.31508082775576</v>
      </c>
      <c r="AQ59" s="3069">
        <v>153.53715026180282</v>
      </c>
      <c r="AR59" s="3069">
        <v>153.53715026180282</v>
      </c>
      <c r="AS59" s="3069">
        <v>153.53715026180282</v>
      </c>
      <c r="AT59" s="3069">
        <v>153.53715026180282</v>
      </c>
    </row>
    <row r="60" spans="1:49">
      <c r="A60" s="79"/>
      <c r="D60" s="2276" t="s">
        <v>3596</v>
      </c>
      <c r="E60" s="59"/>
      <c r="F60" s="59"/>
      <c r="G60" s="59"/>
      <c r="H60" s="59"/>
      <c r="I60" s="59"/>
      <c r="J60" s="59"/>
      <c r="K60" s="59"/>
      <c r="L60" s="59"/>
      <c r="M60" s="59"/>
      <c r="N60" s="59"/>
      <c r="O60" s="59"/>
      <c r="P60" s="59"/>
      <c r="Q60" s="59"/>
      <c r="R60" s="59"/>
      <c r="S60" s="59"/>
      <c r="T60" s="59"/>
      <c r="U60" s="59"/>
      <c r="V60" s="59"/>
      <c r="W60" s="59"/>
      <c r="X60" s="59"/>
      <c r="Y60" s="2165"/>
      <c r="Z60" s="2168"/>
      <c r="AA60" s="1993"/>
      <c r="AB60" s="1993"/>
      <c r="AC60" s="1993"/>
      <c r="AD60" s="1993">
        <v>0</v>
      </c>
      <c r="AE60" s="2277">
        <v>0</v>
      </c>
      <c r="AF60" s="2277">
        <v>0</v>
      </c>
      <c r="AG60" s="2278">
        <v>14.5046751997487</v>
      </c>
      <c r="AH60" s="2277">
        <v>0</v>
      </c>
      <c r="AI60" s="2277">
        <v>0</v>
      </c>
      <c r="AJ60" s="3081">
        <v>0</v>
      </c>
      <c r="AK60" s="3057">
        <v>0</v>
      </c>
      <c r="AL60" s="3057">
        <v>0</v>
      </c>
      <c r="AM60" s="3057">
        <v>0</v>
      </c>
      <c r="AN60" s="3057">
        <v>0</v>
      </c>
      <c r="AO60" s="3057">
        <v>0</v>
      </c>
      <c r="AP60" s="3082">
        <v>0</v>
      </c>
      <c r="AQ60" s="3082">
        <v>0</v>
      </c>
      <c r="AR60" s="3082">
        <v>0</v>
      </c>
      <c r="AS60" s="3082">
        <v>0</v>
      </c>
      <c r="AT60" s="3082">
        <v>0</v>
      </c>
      <c r="AV60" s="1114"/>
      <c r="AW60" s="1114"/>
    </row>
    <row r="61" spans="1:49">
      <c r="A61" s="79"/>
      <c r="D61" s="2279"/>
      <c r="E61" s="59"/>
      <c r="F61" s="59"/>
      <c r="G61" s="59"/>
      <c r="H61" s="59"/>
      <c r="I61" s="59"/>
      <c r="J61" s="59"/>
      <c r="K61" s="59"/>
      <c r="L61" s="59"/>
      <c r="M61" s="59"/>
      <c r="N61" s="59"/>
      <c r="O61" s="59"/>
      <c r="P61" s="59"/>
      <c r="Q61" s="59"/>
      <c r="R61" s="59"/>
      <c r="S61" s="59"/>
      <c r="T61" s="59"/>
      <c r="U61" s="59"/>
      <c r="V61" s="59"/>
      <c r="W61" s="59"/>
      <c r="X61" s="59"/>
      <c r="Y61" s="2165"/>
      <c r="Z61" s="2280"/>
      <c r="AA61" s="1994"/>
      <c r="AB61" s="1994"/>
      <c r="AC61" s="1994"/>
      <c r="AD61" s="1630"/>
      <c r="AE61" s="1630"/>
      <c r="AF61" s="1630"/>
      <c r="AG61" s="1630"/>
      <c r="AH61" s="1630"/>
      <c r="AI61" s="1630"/>
      <c r="AJ61" s="3054"/>
      <c r="AK61" s="3054"/>
      <c r="AL61" s="3054"/>
      <c r="AM61" s="3054"/>
      <c r="AN61" s="3054"/>
      <c r="AO61" s="3054"/>
      <c r="AP61" s="3071"/>
      <c r="AQ61" s="3069"/>
      <c r="AR61" s="3069"/>
      <c r="AS61" s="3069"/>
      <c r="AT61" s="3069"/>
    </row>
    <row r="62" spans="1:49">
      <c r="A62" s="79"/>
      <c r="D62" s="2275" t="s">
        <v>781</v>
      </c>
      <c r="E62" s="59"/>
      <c r="F62" s="59"/>
      <c r="G62" s="59"/>
      <c r="H62" s="59"/>
      <c r="I62" s="59"/>
      <c r="J62" s="59"/>
      <c r="K62" s="59"/>
      <c r="L62" s="59"/>
      <c r="M62" s="59"/>
      <c r="N62" s="59"/>
      <c r="O62" s="59"/>
      <c r="P62" s="59"/>
      <c r="Q62" s="59"/>
      <c r="R62" s="59"/>
      <c r="S62" s="59"/>
      <c r="T62" s="59"/>
      <c r="U62" s="59"/>
      <c r="V62" s="59"/>
      <c r="W62" s="59"/>
      <c r="X62" s="59"/>
      <c r="Y62" s="59"/>
      <c r="Z62" s="2169">
        <v>74.912000000000006</v>
      </c>
      <c r="AA62" s="1992">
        <v>85.452012608000004</v>
      </c>
      <c r="AB62" s="1992">
        <v>80.236655565999982</v>
      </c>
      <c r="AC62" s="1992">
        <v>84.134803958999981</v>
      </c>
      <c r="AD62" s="1992">
        <v>148.44262296384346</v>
      </c>
      <c r="AE62" s="1991">
        <v>261.169017</v>
      </c>
      <c r="AF62" s="1991">
        <v>222.56653525099986</v>
      </c>
      <c r="AG62" s="1991">
        <v>196.90542977999999</v>
      </c>
      <c r="AH62" s="1991">
        <v>211.25898721300001</v>
      </c>
      <c r="AI62" s="1991">
        <v>266.3</v>
      </c>
      <c r="AJ62" s="3068">
        <v>280.93554458499995</v>
      </c>
      <c r="AK62" s="3068">
        <v>267.86640619580447</v>
      </c>
      <c r="AL62" s="3068">
        <v>269.63045998570527</v>
      </c>
      <c r="AM62" s="3068">
        <v>276.32849119946593</v>
      </c>
      <c r="AN62" s="3068">
        <v>260.12618640656524</v>
      </c>
      <c r="AO62" s="3068">
        <v>299.89451778835542</v>
      </c>
      <c r="AP62" s="3069">
        <v>370.48893799234037</v>
      </c>
      <c r="AQ62" s="3069">
        <v>126.69914833675736</v>
      </c>
      <c r="AR62" s="3069">
        <v>126.69914833675736</v>
      </c>
      <c r="AS62" s="3069">
        <v>126.69914833675736</v>
      </c>
      <c r="AT62" s="3069">
        <v>126.69914833675736</v>
      </c>
    </row>
    <row r="63" spans="1:49">
      <c r="A63" s="79"/>
      <c r="D63" s="2276" t="s">
        <v>3596</v>
      </c>
      <c r="E63" s="59"/>
      <c r="F63" s="59"/>
      <c r="G63" s="59"/>
      <c r="H63" s="59"/>
      <c r="I63" s="59"/>
      <c r="J63" s="59"/>
      <c r="K63" s="59"/>
      <c r="L63" s="59"/>
      <c r="M63" s="59"/>
      <c r="N63" s="59"/>
      <c r="O63" s="59"/>
      <c r="P63" s="59"/>
      <c r="Q63" s="59"/>
      <c r="R63" s="59"/>
      <c r="S63" s="59"/>
      <c r="T63" s="59"/>
      <c r="U63" s="59"/>
      <c r="V63" s="59"/>
      <c r="W63" s="59"/>
      <c r="X63" s="59"/>
      <c r="Y63" s="59"/>
      <c r="Z63" s="2168"/>
      <c r="AA63" s="1993"/>
      <c r="AB63" s="1993"/>
      <c r="AC63" s="1993"/>
      <c r="AD63" s="1993">
        <v>0</v>
      </c>
      <c r="AE63" s="2277">
        <v>0</v>
      </c>
      <c r="AF63" s="2278">
        <v>11.223390284000001</v>
      </c>
      <c r="AG63" s="2278">
        <v>0</v>
      </c>
      <c r="AH63" s="2277">
        <v>0</v>
      </c>
      <c r="AI63" s="2277">
        <v>0</v>
      </c>
      <c r="AJ63" s="3057">
        <v>0</v>
      </c>
      <c r="AK63" s="3057">
        <v>0</v>
      </c>
      <c r="AL63" s="3057">
        <v>0</v>
      </c>
      <c r="AM63" s="3057">
        <v>0</v>
      </c>
      <c r="AN63" s="3057">
        <v>0</v>
      </c>
      <c r="AO63" s="3057">
        <v>0</v>
      </c>
      <c r="AP63" s="3082">
        <v>0</v>
      </c>
      <c r="AQ63" s="3082">
        <v>0</v>
      </c>
      <c r="AR63" s="3082">
        <v>0</v>
      </c>
      <c r="AS63" s="3082">
        <v>0</v>
      </c>
      <c r="AT63" s="3082">
        <v>0</v>
      </c>
    </row>
    <row r="64" spans="1:49">
      <c r="A64" s="79"/>
      <c r="D64" s="2279"/>
      <c r="E64" s="59"/>
      <c r="F64" s="59"/>
      <c r="G64" s="59"/>
      <c r="H64" s="59"/>
      <c r="I64" s="59"/>
      <c r="J64" s="59"/>
      <c r="K64" s="59"/>
      <c r="L64" s="59"/>
      <c r="M64" s="59"/>
      <c r="N64" s="59"/>
      <c r="O64" s="59"/>
      <c r="P64" s="59"/>
      <c r="Q64" s="59"/>
      <c r="R64" s="59"/>
      <c r="S64" s="59"/>
      <c r="T64" s="59"/>
      <c r="U64" s="59"/>
      <c r="V64" s="59"/>
      <c r="W64" s="59"/>
      <c r="X64" s="59"/>
      <c r="Y64" s="59"/>
      <c r="Z64" s="1991"/>
      <c r="AA64" s="1991"/>
      <c r="AB64" s="1991"/>
      <c r="AC64" s="1991"/>
      <c r="AD64" s="1991"/>
      <c r="AE64" s="1991"/>
      <c r="AF64" s="1991"/>
      <c r="AG64" s="1991"/>
      <c r="AH64" s="1991"/>
      <c r="AI64" s="1991"/>
      <c r="AJ64" s="3055"/>
      <c r="AK64" s="3055"/>
      <c r="AL64" s="3055"/>
      <c r="AM64" s="3055"/>
      <c r="AN64" s="3055"/>
      <c r="AO64" s="3055"/>
      <c r="AP64" s="3069"/>
      <c r="AQ64" s="3069"/>
      <c r="AR64" s="3069"/>
      <c r="AS64" s="3069"/>
      <c r="AT64" s="3069"/>
    </row>
    <row r="65" spans="1:49">
      <c r="A65" s="79"/>
      <c r="D65" s="2274" t="s">
        <v>3803</v>
      </c>
      <c r="E65" s="59"/>
      <c r="F65" s="59"/>
      <c r="G65" s="59"/>
      <c r="H65" s="59"/>
      <c r="I65" s="2161">
        <v>37.909999999999997</v>
      </c>
      <c r="J65" s="2161">
        <v>46.57</v>
      </c>
      <c r="K65" s="2161">
        <v>16.12</v>
      </c>
      <c r="L65" s="2161">
        <v>36.83</v>
      </c>
      <c r="M65" s="2161">
        <v>50.73</v>
      </c>
      <c r="N65" s="2161">
        <v>10.54</v>
      </c>
      <c r="O65" s="2161">
        <v>60.75</v>
      </c>
      <c r="P65" s="2161">
        <v>30.877824579999999</v>
      </c>
      <c r="Q65" s="2161">
        <v>14.83270177</v>
      </c>
      <c r="R65" s="2161">
        <v>0</v>
      </c>
      <c r="S65" s="2161">
        <v>5.8000000000000007</v>
      </c>
      <c r="T65" s="2161">
        <v>0</v>
      </c>
      <c r="U65" s="2161">
        <v>0</v>
      </c>
      <c r="V65" s="2161">
        <v>124.06</v>
      </c>
      <c r="W65" s="2161">
        <v>13.42</v>
      </c>
      <c r="X65" s="2161">
        <v>14.201000000000001</v>
      </c>
      <c r="Y65" s="2161">
        <v>154.44183030599999</v>
      </c>
      <c r="Z65" s="2170">
        <v>232.09710524999997</v>
      </c>
      <c r="AA65" s="2164">
        <v>214.76999999999998</v>
      </c>
      <c r="AB65" s="2164">
        <v>216.12709705</v>
      </c>
      <c r="AC65" s="1995">
        <v>293.94076388999997</v>
      </c>
      <c r="AD65" s="1995">
        <v>352.75580508999997</v>
      </c>
      <c r="AE65" s="2170">
        <v>661.13510754540403</v>
      </c>
      <c r="AF65" s="2170">
        <v>801.22137322999993</v>
      </c>
      <c r="AG65" s="2170">
        <v>146.78212608999999</v>
      </c>
      <c r="AH65" s="2170">
        <v>714.51491736799994</v>
      </c>
      <c r="AI65" s="2170">
        <v>916.22348218299339</v>
      </c>
      <c r="AJ65" s="3060">
        <v>184.88626108027739</v>
      </c>
      <c r="AK65" s="3060">
        <v>821.66760734001696</v>
      </c>
      <c r="AL65" s="3060">
        <v>695.16283792688614</v>
      </c>
      <c r="AM65" s="3060">
        <v>485.10814825655439</v>
      </c>
      <c r="AN65" s="3060">
        <v>329.31591308087724</v>
      </c>
      <c r="AO65" s="3060">
        <v>331.44470485542524</v>
      </c>
      <c r="AP65" s="3080">
        <v>413.99842893398255</v>
      </c>
      <c r="AQ65" s="3080">
        <v>396.24322893398255</v>
      </c>
      <c r="AR65" s="3080">
        <v>374.90062893398249</v>
      </c>
      <c r="AS65" s="3080">
        <v>374.90062893398249</v>
      </c>
      <c r="AT65" s="3080">
        <v>374.90062893398249</v>
      </c>
    </row>
    <row r="66" spans="1:49">
      <c r="A66" s="79"/>
      <c r="D66" s="2275" t="s">
        <v>780</v>
      </c>
      <c r="E66" s="59"/>
      <c r="F66" s="59"/>
      <c r="G66" s="59"/>
      <c r="H66" s="59"/>
      <c r="I66" s="59"/>
      <c r="J66" s="59"/>
      <c r="K66" s="59"/>
      <c r="L66" s="59"/>
      <c r="M66" s="59"/>
      <c r="N66" s="59"/>
      <c r="O66" s="59"/>
      <c r="P66" s="59"/>
      <c r="Q66" s="59"/>
      <c r="R66" s="59"/>
      <c r="S66" s="59"/>
      <c r="T66" s="59"/>
      <c r="U66" s="59"/>
      <c r="V66" s="59"/>
      <c r="W66" s="59"/>
      <c r="X66" s="59"/>
      <c r="Y66" s="2165"/>
      <c r="Z66" s="2169">
        <v>66.24091</v>
      </c>
      <c r="AA66" s="2167">
        <v>21.1</v>
      </c>
      <c r="AB66" s="2167">
        <v>31.35</v>
      </c>
      <c r="AC66" s="2167">
        <v>67.840763890000005</v>
      </c>
      <c r="AD66" s="2171">
        <v>70.325946090000002</v>
      </c>
      <c r="AE66" s="1991">
        <v>414.9</v>
      </c>
      <c r="AF66" s="1991">
        <v>105.56034799999999</v>
      </c>
      <c r="AG66" s="1991">
        <v>138.10702508999998</v>
      </c>
      <c r="AH66" s="1991">
        <v>470.85470106000002</v>
      </c>
      <c r="AI66" s="1991">
        <v>371.18527279</v>
      </c>
      <c r="AJ66" s="3055">
        <v>24.569484996999996</v>
      </c>
      <c r="AK66" s="3068">
        <v>490.7448095172503</v>
      </c>
      <c r="AL66" s="3068">
        <v>313.23759022118691</v>
      </c>
      <c r="AM66" s="3068">
        <v>126.38421646871868</v>
      </c>
      <c r="AN66" s="3068">
        <v>35.2074</v>
      </c>
      <c r="AO66" s="3068">
        <v>43.9846</v>
      </c>
      <c r="AP66" s="3069">
        <v>128.88952407855726</v>
      </c>
      <c r="AQ66" s="3069">
        <v>125.36272407855725</v>
      </c>
      <c r="AR66" s="3069">
        <v>104.02012407855725</v>
      </c>
      <c r="AS66" s="3069">
        <v>104.02012407855725</v>
      </c>
      <c r="AT66" s="3069">
        <v>104.02012407855725</v>
      </c>
    </row>
    <row r="67" spans="1:49">
      <c r="A67" s="79"/>
      <c r="D67" s="2281" t="s">
        <v>3795</v>
      </c>
      <c r="E67" s="59"/>
      <c r="F67" s="59"/>
      <c r="G67" s="59"/>
      <c r="H67" s="59"/>
      <c r="I67" s="59"/>
      <c r="J67" s="59"/>
      <c r="K67" s="59"/>
      <c r="L67" s="59"/>
      <c r="M67" s="59"/>
      <c r="N67" s="59"/>
      <c r="O67" s="59"/>
      <c r="P67" s="59"/>
      <c r="Q67" s="59"/>
      <c r="R67" s="59"/>
      <c r="S67" s="59"/>
      <c r="T67" s="59"/>
      <c r="U67" s="59"/>
      <c r="V67" s="59"/>
      <c r="W67" s="59"/>
      <c r="X67" s="59"/>
      <c r="Y67" s="2165"/>
      <c r="Z67" s="2282"/>
      <c r="AA67" s="1994"/>
      <c r="AB67" s="1994"/>
      <c r="AC67" s="1994"/>
      <c r="AD67" s="2172">
        <v>0</v>
      </c>
      <c r="AE67" s="1991">
        <v>0</v>
      </c>
      <c r="AF67" s="1991">
        <v>0</v>
      </c>
      <c r="AG67" s="1991">
        <v>0</v>
      </c>
      <c r="AH67" s="1991">
        <v>0</v>
      </c>
      <c r="AI67" s="1991">
        <v>0</v>
      </c>
      <c r="AJ67" s="3055">
        <v>24.569484996999996</v>
      </c>
      <c r="AK67" s="3055">
        <v>245.2830048554253</v>
      </c>
      <c r="AL67" s="3055">
        <v>205.23270679759543</v>
      </c>
      <c r="AM67" s="3055">
        <v>59.584908739765524</v>
      </c>
      <c r="AN67" s="3055">
        <v>0</v>
      </c>
      <c r="AO67" s="3055">
        <v>10</v>
      </c>
      <c r="AP67" s="3078">
        <v>104.02012407855725</v>
      </c>
      <c r="AQ67" s="3078">
        <v>104.02012407855725</v>
      </c>
      <c r="AR67" s="3078">
        <v>104.02012407855725</v>
      </c>
      <c r="AS67" s="3078">
        <v>104.02012407855725</v>
      </c>
      <c r="AT67" s="3078">
        <v>104.02012407855725</v>
      </c>
    </row>
    <row r="68" spans="1:49">
      <c r="A68" s="79"/>
      <c r="D68" s="2283" t="s">
        <v>3545</v>
      </c>
      <c r="E68" s="2173"/>
      <c r="F68" s="2173"/>
      <c r="G68" s="2173"/>
      <c r="H68" s="2173"/>
      <c r="I68" s="2173"/>
      <c r="J68" s="2173"/>
      <c r="K68" s="2173"/>
      <c r="L68" s="2173"/>
      <c r="M68" s="2173"/>
      <c r="N68" s="2173"/>
      <c r="O68" s="2173"/>
      <c r="P68" s="2173"/>
      <c r="Q68" s="2173"/>
      <c r="R68" s="2173"/>
      <c r="S68" s="2173"/>
      <c r="T68" s="2173"/>
      <c r="U68" s="2173"/>
      <c r="V68" s="2173"/>
      <c r="W68" s="2173"/>
      <c r="X68" s="2173"/>
      <c r="Y68" s="2174"/>
      <c r="Z68" s="2284"/>
      <c r="AA68" s="2175"/>
      <c r="AB68" s="2175"/>
      <c r="AC68" s="2175"/>
      <c r="AD68" s="2176"/>
      <c r="AE68" s="2177"/>
      <c r="AF68" s="2177">
        <v>0</v>
      </c>
      <c r="AG68" s="2177"/>
      <c r="AH68" s="2177">
        <v>98.273850999999993</v>
      </c>
      <c r="AI68" s="2177">
        <v>93.63919512999999</v>
      </c>
      <c r="AJ68" s="3063"/>
      <c r="AK68" s="3055"/>
      <c r="AL68" s="3055"/>
      <c r="AM68" s="3055"/>
      <c r="AN68" s="3055"/>
      <c r="AO68" s="3055"/>
      <c r="AP68" s="3069"/>
      <c r="AQ68" s="3069"/>
      <c r="AR68" s="3069"/>
      <c r="AS68" s="3069"/>
      <c r="AT68" s="3069"/>
    </row>
    <row r="69" spans="1:49">
      <c r="A69" s="79"/>
      <c r="D69" s="2285" t="s">
        <v>3804</v>
      </c>
      <c r="E69" s="59"/>
      <c r="F69" s="59"/>
      <c r="G69" s="59"/>
      <c r="H69" s="59"/>
      <c r="I69" s="59"/>
      <c r="J69" s="59"/>
      <c r="K69" s="59"/>
      <c r="L69" s="59"/>
      <c r="M69" s="59"/>
      <c r="N69" s="59"/>
      <c r="O69" s="59"/>
      <c r="P69" s="59"/>
      <c r="Q69" s="59"/>
      <c r="R69" s="59"/>
      <c r="S69" s="59"/>
      <c r="T69" s="59"/>
      <c r="U69" s="59"/>
      <c r="V69" s="59"/>
      <c r="W69" s="59"/>
      <c r="X69" s="59"/>
      <c r="Y69" s="2165"/>
      <c r="Z69" s="2282"/>
      <c r="AA69" s="1994"/>
      <c r="AB69" s="1994"/>
      <c r="AC69" s="1994"/>
      <c r="AD69" s="2172"/>
      <c r="AE69" s="1991"/>
      <c r="AF69" s="1991"/>
      <c r="AG69" s="1991"/>
      <c r="AH69" s="1991"/>
      <c r="AI69" s="1991"/>
      <c r="AJ69" s="3055"/>
      <c r="AK69" s="3055">
        <v>245.461804661825</v>
      </c>
      <c r="AL69" s="3055">
        <v>108.00488342359148</v>
      </c>
      <c r="AM69" s="3055">
        <v>37.009307728953146</v>
      </c>
      <c r="AN69" s="3055">
        <v>1.1850000000000001</v>
      </c>
      <c r="AO69" s="3055">
        <v>0</v>
      </c>
      <c r="AP69" s="3069"/>
      <c r="AQ69" s="3069"/>
      <c r="AR69" s="3069"/>
      <c r="AS69" s="3069"/>
      <c r="AT69" s="3069"/>
    </row>
    <row r="70" spans="1:49">
      <c r="A70" s="79"/>
      <c r="D70" s="2285" t="s">
        <v>3805</v>
      </c>
      <c r="E70" s="59"/>
      <c r="F70" s="59"/>
      <c r="G70" s="59"/>
      <c r="H70" s="59"/>
      <c r="I70" s="59"/>
      <c r="J70" s="59"/>
      <c r="K70" s="59"/>
      <c r="L70" s="59"/>
      <c r="M70" s="59"/>
      <c r="N70" s="59"/>
      <c r="O70" s="59"/>
      <c r="P70" s="59"/>
      <c r="Q70" s="59"/>
      <c r="R70" s="59"/>
      <c r="S70" s="59"/>
      <c r="T70" s="59"/>
      <c r="U70" s="59"/>
      <c r="V70" s="59"/>
      <c r="W70" s="59"/>
      <c r="X70" s="59"/>
      <c r="Y70" s="2165"/>
      <c r="Z70" s="2282"/>
      <c r="AA70" s="1994"/>
      <c r="AB70" s="1994"/>
      <c r="AC70" s="1994" t="s">
        <v>3306</v>
      </c>
      <c r="AD70" s="2172"/>
      <c r="AE70" s="1991"/>
      <c r="AF70" s="1991"/>
      <c r="AG70" s="1991"/>
      <c r="AH70" s="1991">
        <v>159.68085006000001</v>
      </c>
      <c r="AI70" s="1991"/>
      <c r="AJ70" s="3055"/>
      <c r="AK70" s="3055">
        <v>0</v>
      </c>
      <c r="AL70" s="3055">
        <v>0</v>
      </c>
      <c r="AM70" s="3055">
        <v>29.790000000000006</v>
      </c>
      <c r="AN70" s="3055">
        <v>34.022399999999998</v>
      </c>
      <c r="AO70" s="3055">
        <v>33.9846</v>
      </c>
      <c r="AP70" s="3069">
        <v>24.869399999999999</v>
      </c>
      <c r="AQ70" s="3069">
        <v>21.342599999999997</v>
      </c>
      <c r="AR70" s="3069">
        <v>0</v>
      </c>
      <c r="AS70" s="3069">
        <v>0</v>
      </c>
      <c r="AT70" s="3069">
        <v>0</v>
      </c>
    </row>
    <row r="71" spans="1:49">
      <c r="A71" s="79"/>
      <c r="D71" s="2286" t="s">
        <v>3806</v>
      </c>
      <c r="E71" s="59"/>
      <c r="F71" s="59"/>
      <c r="G71" s="59"/>
      <c r="H71" s="59"/>
      <c r="I71" s="1217"/>
      <c r="J71" s="1217"/>
      <c r="K71" s="1217"/>
      <c r="L71" s="1217"/>
      <c r="M71" s="1217"/>
      <c r="N71" s="1217"/>
      <c r="O71" s="1217"/>
      <c r="P71" s="1217"/>
      <c r="Q71" s="1217"/>
      <c r="R71" s="1217"/>
      <c r="S71" s="1217"/>
      <c r="T71" s="1217"/>
      <c r="U71" s="1217"/>
      <c r="V71" s="1217"/>
      <c r="W71" s="1217"/>
      <c r="X71" s="1217"/>
      <c r="Y71" s="1423"/>
      <c r="Z71" s="2287">
        <v>0</v>
      </c>
      <c r="AA71" s="1214">
        <v>0</v>
      </c>
      <c r="AB71" s="1214">
        <v>0</v>
      </c>
      <c r="AC71" s="1631">
        <v>0</v>
      </c>
      <c r="AD71" s="1631">
        <v>0</v>
      </c>
      <c r="AE71" s="1216"/>
      <c r="AF71" s="1216"/>
      <c r="AG71" s="1216"/>
      <c r="AH71" s="1216"/>
      <c r="AI71" s="1216"/>
      <c r="AJ71" s="3062"/>
      <c r="AK71" s="3062"/>
      <c r="AL71" s="3062"/>
      <c r="AM71" s="3062">
        <v>0</v>
      </c>
      <c r="AN71" s="3062">
        <v>0</v>
      </c>
      <c r="AO71" s="3062">
        <v>0</v>
      </c>
      <c r="AP71" s="3075">
        <v>0</v>
      </c>
      <c r="AQ71" s="3075">
        <v>0</v>
      </c>
      <c r="AR71" s="3075">
        <v>0</v>
      </c>
      <c r="AS71" s="3075">
        <v>0</v>
      </c>
      <c r="AT71" s="3075">
        <v>0</v>
      </c>
    </row>
    <row r="72" spans="1:49">
      <c r="A72" s="79"/>
      <c r="D72" s="2275"/>
      <c r="E72" s="59"/>
      <c r="F72" s="59"/>
      <c r="G72" s="59"/>
      <c r="H72" s="59"/>
      <c r="I72" s="59"/>
      <c r="J72" s="59"/>
      <c r="K72" s="59"/>
      <c r="L72" s="59"/>
      <c r="M72" s="59"/>
      <c r="N72" s="59"/>
      <c r="O72" s="59"/>
      <c r="P72" s="59"/>
      <c r="Q72" s="59"/>
      <c r="R72" s="59"/>
      <c r="S72" s="59"/>
      <c r="T72" s="59"/>
      <c r="U72" s="59"/>
      <c r="V72" s="59"/>
      <c r="W72" s="59"/>
      <c r="X72" s="59"/>
      <c r="Y72" s="2178"/>
      <c r="Z72" s="2282"/>
      <c r="AA72" s="1991"/>
      <c r="AB72" s="1991"/>
      <c r="AC72" s="1991"/>
      <c r="AD72" s="1400"/>
      <c r="AE72" s="1400"/>
      <c r="AF72" s="1400"/>
      <c r="AG72" s="1400"/>
      <c r="AH72" s="1400"/>
      <c r="AI72" s="1400"/>
      <c r="AJ72" s="3055"/>
      <c r="AK72" s="3055"/>
      <c r="AL72" s="3055"/>
      <c r="AM72" s="3055"/>
      <c r="AN72" s="3055"/>
      <c r="AO72" s="3055"/>
      <c r="AP72" s="3069"/>
      <c r="AQ72" s="3069"/>
      <c r="AR72" s="3069"/>
      <c r="AS72" s="3069"/>
      <c r="AT72" s="3069"/>
    </row>
    <row r="73" spans="1:49">
      <c r="A73" s="79"/>
      <c r="D73" s="2275" t="s">
        <v>781</v>
      </c>
      <c r="E73" s="59"/>
      <c r="F73" s="59"/>
      <c r="G73" s="59"/>
      <c r="H73" s="59"/>
      <c r="I73" s="59"/>
      <c r="J73" s="59"/>
      <c r="K73" s="59"/>
      <c r="L73" s="59"/>
      <c r="M73" s="59"/>
      <c r="N73" s="59"/>
      <c r="O73" s="59"/>
      <c r="P73" s="59"/>
      <c r="Q73" s="59"/>
      <c r="R73" s="59"/>
      <c r="S73" s="59"/>
      <c r="T73" s="59"/>
      <c r="U73" s="59"/>
      <c r="V73" s="59"/>
      <c r="W73" s="59"/>
      <c r="X73" s="59"/>
      <c r="Y73" s="2165"/>
      <c r="Z73" s="2169">
        <v>165.85619524999998</v>
      </c>
      <c r="AA73" s="2167">
        <v>193.67</v>
      </c>
      <c r="AB73" s="2167">
        <v>184.77709705000001</v>
      </c>
      <c r="AC73" s="2167">
        <v>226.1</v>
      </c>
      <c r="AD73" s="2171">
        <v>282.42985899999996</v>
      </c>
      <c r="AE73" s="1991">
        <v>246.23510754540402</v>
      </c>
      <c r="AF73" s="1991">
        <v>695.66102522999995</v>
      </c>
      <c r="AG73" s="1991">
        <v>8.6751009999999997</v>
      </c>
      <c r="AH73" s="1991">
        <v>243.66021630799997</v>
      </c>
      <c r="AI73" s="1991">
        <v>545.03820939299339</v>
      </c>
      <c r="AJ73" s="3068">
        <v>160.3167760832774</v>
      </c>
      <c r="AK73" s="3068">
        <v>330.92279782276665</v>
      </c>
      <c r="AL73" s="3068">
        <v>381.92524770569923</v>
      </c>
      <c r="AM73" s="3068">
        <v>358.72393178783568</v>
      </c>
      <c r="AN73" s="3068">
        <v>294.10851308087723</v>
      </c>
      <c r="AO73" s="3068">
        <v>287.46010485542524</v>
      </c>
      <c r="AP73" s="3069">
        <v>285.10890485542529</v>
      </c>
      <c r="AQ73" s="3069">
        <v>270.88050485542527</v>
      </c>
      <c r="AR73" s="3069">
        <v>270.88050485542527</v>
      </c>
      <c r="AS73" s="3069">
        <v>270.88050485542527</v>
      </c>
      <c r="AT73" s="3069">
        <v>270.88050485542527</v>
      </c>
    </row>
    <row r="74" spans="1:49">
      <c r="A74" s="79"/>
      <c r="D74" s="2285" t="s">
        <v>3795</v>
      </c>
      <c r="E74" s="59"/>
      <c r="F74" s="59"/>
      <c r="G74" s="59"/>
      <c r="H74" s="59"/>
      <c r="I74" s="59"/>
      <c r="J74" s="59"/>
      <c r="K74" s="59"/>
      <c r="L74" s="59"/>
      <c r="M74" s="59"/>
      <c r="N74" s="59"/>
      <c r="O74" s="59"/>
      <c r="P74" s="59"/>
      <c r="Q74" s="59"/>
      <c r="R74" s="59"/>
      <c r="S74" s="59"/>
      <c r="T74" s="59"/>
      <c r="U74" s="59"/>
      <c r="V74" s="59"/>
      <c r="W74" s="59"/>
      <c r="X74" s="59"/>
      <c r="Y74" s="59"/>
      <c r="Z74" s="2282"/>
      <c r="AA74" s="1400"/>
      <c r="AB74" s="1400"/>
      <c r="AC74" s="1400"/>
      <c r="AD74" s="1991"/>
      <c r="AE74" s="1991"/>
      <c r="AF74" s="1991">
        <v>45.5334</v>
      </c>
      <c r="AG74" s="1991"/>
      <c r="AH74" s="1991"/>
      <c r="AI74" s="1991"/>
      <c r="AJ74" s="3055">
        <v>160.3167760832774</v>
      </c>
      <c r="AK74" s="3055">
        <v>235</v>
      </c>
      <c r="AL74" s="3055">
        <v>238</v>
      </c>
      <c r="AM74" s="3055">
        <v>334.58490873976552</v>
      </c>
      <c r="AN74" s="3055">
        <v>270.88050485542527</v>
      </c>
      <c r="AO74" s="3077">
        <v>270.88050485542527</v>
      </c>
      <c r="AP74" s="3078">
        <v>270.88050485542527</v>
      </c>
      <c r="AQ74" s="3078">
        <v>270.88050485542527</v>
      </c>
      <c r="AR74" s="3078">
        <v>270.88050485542527</v>
      </c>
      <c r="AS74" s="3078">
        <v>270.88050485542527</v>
      </c>
      <c r="AT74" s="3078">
        <v>270.88050485542527</v>
      </c>
    </row>
    <row r="75" spans="1:49">
      <c r="A75" s="79"/>
      <c r="D75" s="2288" t="s">
        <v>3545</v>
      </c>
      <c r="E75" s="2173"/>
      <c r="F75" s="2173"/>
      <c r="G75" s="2173"/>
      <c r="H75" s="2173"/>
      <c r="I75" s="2173"/>
      <c r="J75" s="2173"/>
      <c r="K75" s="2173"/>
      <c r="L75" s="2173"/>
      <c r="M75" s="2173"/>
      <c r="N75" s="2173"/>
      <c r="O75" s="2173"/>
      <c r="P75" s="2173"/>
      <c r="Q75" s="2173"/>
      <c r="R75" s="2173"/>
      <c r="S75" s="2173"/>
      <c r="T75" s="2173"/>
      <c r="U75" s="2173"/>
      <c r="V75" s="2173"/>
      <c r="W75" s="2173"/>
      <c r="X75" s="2173"/>
      <c r="Y75" s="2173"/>
      <c r="Z75" s="2284"/>
      <c r="AA75" s="2179"/>
      <c r="AB75" s="2179"/>
      <c r="AC75" s="2179"/>
      <c r="AD75" s="2177"/>
      <c r="AE75" s="2177"/>
      <c r="AF75" s="2177"/>
      <c r="AG75" s="2177"/>
      <c r="AH75" s="2177">
        <v>67.091385987999999</v>
      </c>
      <c r="AI75" s="2177">
        <v>115.36865818623295</v>
      </c>
      <c r="AJ75" s="3055"/>
      <c r="AK75" s="3055"/>
      <c r="AL75" s="3055"/>
      <c r="AM75" s="3055"/>
      <c r="AN75" s="3055"/>
      <c r="AO75" s="3055"/>
      <c r="AP75" s="3069"/>
      <c r="AQ75" s="3069"/>
      <c r="AR75" s="3069"/>
      <c r="AS75" s="3069"/>
      <c r="AT75" s="3069"/>
      <c r="AV75" s="1114"/>
      <c r="AW75" s="1114"/>
    </row>
    <row r="76" spans="1:49">
      <c r="A76" s="79"/>
      <c r="D76" s="2285" t="s">
        <v>3804</v>
      </c>
      <c r="E76" s="59"/>
      <c r="F76" s="59"/>
      <c r="G76" s="59"/>
      <c r="H76" s="59"/>
      <c r="I76" s="59"/>
      <c r="J76" s="59"/>
      <c r="K76" s="59"/>
      <c r="L76" s="59"/>
      <c r="M76" s="59"/>
      <c r="N76" s="59"/>
      <c r="O76" s="59"/>
      <c r="P76" s="59"/>
      <c r="Q76" s="59"/>
      <c r="R76" s="59"/>
      <c r="S76" s="59"/>
      <c r="T76" s="59"/>
      <c r="U76" s="59"/>
      <c r="V76" s="59"/>
      <c r="W76" s="59"/>
      <c r="X76" s="59"/>
      <c r="Y76" s="59"/>
      <c r="Z76" s="2282"/>
      <c r="AA76" s="1400"/>
      <c r="AB76" s="1400"/>
      <c r="AC76" s="1400"/>
      <c r="AD76" s="1991">
        <v>0</v>
      </c>
      <c r="AE76" s="1991">
        <v>0</v>
      </c>
      <c r="AF76" s="1991">
        <v>620</v>
      </c>
      <c r="AG76" s="1991">
        <v>0</v>
      </c>
      <c r="AH76" s="1991">
        <v>0</v>
      </c>
      <c r="AI76" s="1991">
        <v>0</v>
      </c>
      <c r="AJ76" s="3083">
        <v>0</v>
      </c>
      <c r="AK76" s="3055">
        <v>95.922797822766668</v>
      </c>
      <c r="AL76" s="3055">
        <v>74.41524770569923</v>
      </c>
      <c r="AM76" s="3055">
        <v>1.4574230480701369</v>
      </c>
      <c r="AN76" s="3055">
        <v>0.57160822545194701</v>
      </c>
      <c r="AO76" s="3055">
        <v>0</v>
      </c>
      <c r="AP76" s="3069"/>
      <c r="AQ76" s="3069"/>
      <c r="AR76" s="3069"/>
      <c r="AS76" s="3069"/>
      <c r="AT76" s="3069"/>
    </row>
    <row r="77" spans="1:49">
      <c r="A77" s="79"/>
      <c r="D77" s="2285" t="s">
        <v>3805</v>
      </c>
      <c r="E77" s="59"/>
      <c r="F77" s="59"/>
      <c r="G77" s="59"/>
      <c r="H77" s="59"/>
      <c r="I77" s="59"/>
      <c r="J77" s="59"/>
      <c r="K77" s="59"/>
      <c r="L77" s="59"/>
      <c r="M77" s="59"/>
      <c r="N77" s="59"/>
      <c r="O77" s="59"/>
      <c r="P77" s="59"/>
      <c r="Q77" s="59"/>
      <c r="R77" s="59"/>
      <c r="S77" s="59"/>
      <c r="T77" s="59"/>
      <c r="U77" s="59"/>
      <c r="V77" s="59"/>
      <c r="W77" s="59"/>
      <c r="X77" s="59"/>
      <c r="Y77" s="59"/>
      <c r="Z77" s="2282"/>
      <c r="AA77" s="1400"/>
      <c r="AB77" s="1400"/>
      <c r="AC77" s="1400"/>
      <c r="AD77" s="1991"/>
      <c r="AE77" s="1991"/>
      <c r="AF77" s="1991"/>
      <c r="AG77" s="1991"/>
      <c r="AH77" s="1991"/>
      <c r="AI77" s="1991"/>
      <c r="AJ77" s="3084">
        <v>0</v>
      </c>
      <c r="AK77" s="3055">
        <v>0</v>
      </c>
      <c r="AL77" s="3055">
        <v>69.509999999999991</v>
      </c>
      <c r="AM77" s="3055">
        <v>22.681600000000003</v>
      </c>
      <c r="AN77" s="3055">
        <v>22.656400000000001</v>
      </c>
      <c r="AO77" s="3055">
        <v>16.579599999999999</v>
      </c>
      <c r="AP77" s="3069">
        <v>14.228400000000001</v>
      </c>
      <c r="AQ77" s="3069">
        <v>0</v>
      </c>
      <c r="AR77" s="3069">
        <v>0</v>
      </c>
      <c r="AS77" s="3069">
        <v>0</v>
      </c>
      <c r="AT77" s="3069">
        <v>0</v>
      </c>
      <c r="AU77" s="1114"/>
    </row>
    <row r="78" spans="1:49">
      <c r="A78" s="79"/>
      <c r="D78" s="2286" t="s">
        <v>3806</v>
      </c>
      <c r="E78" s="59"/>
      <c r="F78" s="59"/>
      <c r="G78" s="59"/>
      <c r="H78" s="59"/>
      <c r="I78" s="1217"/>
      <c r="J78" s="1217"/>
      <c r="K78" s="1217"/>
      <c r="L78" s="1217"/>
      <c r="M78" s="1217"/>
      <c r="N78" s="1217"/>
      <c r="O78" s="1217"/>
      <c r="P78" s="1217"/>
      <c r="Q78" s="1217"/>
      <c r="R78" s="1217"/>
      <c r="S78" s="1217"/>
      <c r="T78" s="1217"/>
      <c r="U78" s="1217"/>
      <c r="V78" s="1217"/>
      <c r="W78" s="1217"/>
      <c r="X78" s="1217"/>
      <c r="Y78" s="1217"/>
      <c r="Z78" s="1401">
        <v>0</v>
      </c>
      <c r="AA78" s="1215">
        <v>0</v>
      </c>
      <c r="AB78" s="1215">
        <v>0</v>
      </c>
      <c r="AC78" s="1559">
        <v>0</v>
      </c>
      <c r="AD78" s="1559">
        <v>0</v>
      </c>
      <c r="AE78" s="1216"/>
      <c r="AF78" s="1216"/>
      <c r="AG78" s="1216"/>
      <c r="AH78" s="1216"/>
      <c r="AI78" s="1216"/>
      <c r="AJ78" s="3062"/>
      <c r="AK78" s="3062">
        <v>0</v>
      </c>
      <c r="AL78" s="3062">
        <v>0</v>
      </c>
      <c r="AM78" s="3062">
        <v>0</v>
      </c>
      <c r="AN78" s="3062">
        <v>0</v>
      </c>
      <c r="AO78" s="3062">
        <v>0</v>
      </c>
      <c r="AP78" s="3075">
        <v>0</v>
      </c>
      <c r="AQ78" s="3075">
        <v>0</v>
      </c>
      <c r="AR78" s="3075">
        <v>0</v>
      </c>
      <c r="AS78" s="3075">
        <v>0</v>
      </c>
      <c r="AT78" s="3075">
        <v>0</v>
      </c>
    </row>
    <row r="79" spans="1:49">
      <c r="A79" s="79"/>
      <c r="D79" s="2275"/>
      <c r="E79" s="59"/>
      <c r="F79" s="59"/>
      <c r="G79" s="59"/>
      <c r="H79" s="59"/>
      <c r="I79" s="59"/>
      <c r="J79" s="59"/>
      <c r="K79" s="59"/>
      <c r="L79" s="59"/>
      <c r="M79" s="59"/>
      <c r="N79" s="59"/>
      <c r="O79" s="59"/>
      <c r="P79" s="59"/>
      <c r="Q79" s="59"/>
      <c r="R79" s="59"/>
      <c r="S79" s="59"/>
      <c r="T79" s="59"/>
      <c r="U79" s="59"/>
      <c r="V79" s="59"/>
      <c r="W79" s="59">
        <v>-0.12935571701668014</v>
      </c>
      <c r="X79" s="59"/>
      <c r="Y79" s="59"/>
      <c r="Z79" s="1996"/>
      <c r="AA79" s="1996"/>
      <c r="AB79" s="1996"/>
      <c r="AC79" s="1996"/>
      <c r="AD79" s="1996"/>
      <c r="AE79" s="1996"/>
      <c r="AF79" s="1996"/>
      <c r="AG79" s="1996"/>
      <c r="AH79" s="1996"/>
      <c r="AI79" s="1996"/>
      <c r="AJ79" s="3056"/>
      <c r="AK79" s="3056"/>
      <c r="AL79" s="3056"/>
      <c r="AM79" s="3056"/>
      <c r="AN79" s="3056"/>
      <c r="AO79" s="3056"/>
      <c r="AP79" s="3079"/>
      <c r="AQ79" s="3079"/>
      <c r="AR79" s="3079"/>
      <c r="AS79" s="3079"/>
      <c r="AT79" s="3079"/>
    </row>
    <row r="80" spans="1:49">
      <c r="A80" s="79"/>
      <c r="D80" s="2274" t="s">
        <v>76</v>
      </c>
      <c r="E80" s="59"/>
      <c r="F80" s="59"/>
      <c r="G80" s="59"/>
      <c r="H80" s="2180"/>
      <c r="I80" s="2181">
        <v>67.290000000000006</v>
      </c>
      <c r="J80" s="2181">
        <v>70.7</v>
      </c>
      <c r="K80" s="2181">
        <v>62.67</v>
      </c>
      <c r="L80" s="2181">
        <v>48.650000000000006</v>
      </c>
      <c r="M80" s="2181">
        <v>41.7</v>
      </c>
      <c r="N80" s="2181">
        <v>41.085039152555076</v>
      </c>
      <c r="O80" s="2181">
        <v>60.560966838432989</v>
      </c>
      <c r="P80" s="2181">
        <v>93.47245323419348</v>
      </c>
      <c r="Q80" s="2181">
        <v>173.4754530955488</v>
      </c>
      <c r="R80" s="2181">
        <v>92.035332679024464</v>
      </c>
      <c r="S80" s="2181">
        <v>210.06</v>
      </c>
      <c r="T80" s="2181">
        <v>200</v>
      </c>
      <c r="U80" s="2182">
        <v>285.63538512376999</v>
      </c>
      <c r="V80" s="2182">
        <v>196.66470376775041</v>
      </c>
      <c r="W80" s="2182">
        <v>171.22500000000005</v>
      </c>
      <c r="X80" s="2182">
        <v>234.51730418943535</v>
      </c>
      <c r="Y80" s="2182">
        <v>337.05042794714655</v>
      </c>
      <c r="Z80" s="2183">
        <v>299.89999999999998</v>
      </c>
      <c r="AA80" s="1995">
        <v>190</v>
      </c>
      <c r="AB80" s="1995">
        <v>189.7065008928451</v>
      </c>
      <c r="AC80" s="1995">
        <v>244.50650089284514</v>
      </c>
      <c r="AD80" s="1995">
        <v>260.22586970684239</v>
      </c>
      <c r="AE80" s="2170">
        <v>284.62491194684236</v>
      </c>
      <c r="AF80" s="2170">
        <v>379.60275521611425</v>
      </c>
      <c r="AG80" s="2170">
        <v>321.80388100000005</v>
      </c>
      <c r="AH80" s="2170">
        <v>397.6</v>
      </c>
      <c r="AI80" s="2170">
        <v>383.04947054244599</v>
      </c>
      <c r="AJ80" s="3060">
        <v>337.29977341227595</v>
      </c>
      <c r="AK80" s="3060">
        <v>337.29977341227595</v>
      </c>
      <c r="AL80" s="3060">
        <v>293.52835108489199</v>
      </c>
      <c r="AM80" s="3060">
        <v>293.52835108489199</v>
      </c>
      <c r="AN80" s="3060">
        <v>293.52835108489199</v>
      </c>
      <c r="AO80" s="3060">
        <v>293.52835108489199</v>
      </c>
      <c r="AP80" s="3080">
        <v>381.07119573965997</v>
      </c>
      <c r="AQ80" s="3080">
        <v>381.07119573965997</v>
      </c>
      <c r="AR80" s="3080">
        <v>381.07119573965997</v>
      </c>
      <c r="AS80" s="3080">
        <v>381.07119573965997</v>
      </c>
      <c r="AT80" s="3080">
        <v>337.29977341227595</v>
      </c>
    </row>
    <row r="81" spans="1:46">
      <c r="A81" s="79"/>
      <c r="D81" s="2275" t="s">
        <v>780</v>
      </c>
      <c r="E81" s="59"/>
      <c r="F81" s="59"/>
      <c r="G81" s="59"/>
      <c r="H81" s="59"/>
      <c r="I81" s="59"/>
      <c r="J81" s="59"/>
      <c r="K81" s="59"/>
      <c r="L81" s="59"/>
      <c r="M81" s="59"/>
      <c r="N81" s="59"/>
      <c r="O81" s="59"/>
      <c r="P81" s="59"/>
      <c r="Q81" s="59"/>
      <c r="R81" s="59"/>
      <c r="S81" s="59"/>
      <c r="T81" s="59"/>
      <c r="U81" s="59"/>
      <c r="V81" s="59"/>
      <c r="W81" s="59"/>
      <c r="X81" s="59"/>
      <c r="Y81" s="2165"/>
      <c r="Z81" s="2169">
        <v>163.69999999999999</v>
      </c>
      <c r="AA81" s="2167">
        <v>101.1</v>
      </c>
      <c r="AB81" s="2167">
        <v>90.2</v>
      </c>
      <c r="AC81" s="2167">
        <v>99.506500892845111</v>
      </c>
      <c r="AD81" s="2171">
        <v>119.40000000000002</v>
      </c>
      <c r="AE81" s="1991">
        <v>140.82586970684235</v>
      </c>
      <c r="AF81" s="1991">
        <v>159.54049176000001</v>
      </c>
      <c r="AG81" s="1991">
        <v>150.04066900000001</v>
      </c>
      <c r="AH81" s="1991">
        <v>204.7</v>
      </c>
      <c r="AI81" s="1991">
        <v>209.3</v>
      </c>
      <c r="AJ81" s="3055">
        <v>146.764175542446</v>
      </c>
      <c r="AK81" s="3068">
        <v>190.53559786982999</v>
      </c>
      <c r="AL81" s="3068">
        <v>146.764175542446</v>
      </c>
      <c r="AM81" s="3068">
        <v>146.764175542446</v>
      </c>
      <c r="AN81" s="3068">
        <v>146.764175542446</v>
      </c>
      <c r="AO81" s="3068">
        <v>146.764175542446</v>
      </c>
      <c r="AP81" s="3069">
        <v>190.53559786982999</v>
      </c>
      <c r="AQ81" s="3069">
        <v>190.53559786982999</v>
      </c>
      <c r="AR81" s="3069">
        <v>190.53559786982999</v>
      </c>
      <c r="AS81" s="3069">
        <v>190.53559786982999</v>
      </c>
      <c r="AT81" s="3069">
        <v>190.53559786982999</v>
      </c>
    </row>
    <row r="82" spans="1:46">
      <c r="A82" s="79"/>
      <c r="D82" s="2275" t="s">
        <v>505</v>
      </c>
      <c r="E82" s="59"/>
      <c r="F82" s="59"/>
      <c r="G82" s="59"/>
      <c r="H82" s="2184"/>
      <c r="I82" s="59"/>
      <c r="J82" s="59"/>
      <c r="K82" s="59"/>
      <c r="L82" s="59"/>
      <c r="M82" s="59"/>
      <c r="N82" s="59"/>
      <c r="O82" s="59"/>
      <c r="P82" s="59"/>
      <c r="Q82" s="59"/>
      <c r="R82" s="59"/>
      <c r="S82" s="59"/>
      <c r="T82" s="59"/>
      <c r="U82" s="59"/>
      <c r="V82" s="59"/>
      <c r="W82" s="59"/>
      <c r="X82" s="59"/>
      <c r="Y82" s="59"/>
      <c r="Z82" s="2185"/>
      <c r="AA82" s="2186"/>
      <c r="AB82" s="2186"/>
      <c r="AC82" s="1997"/>
      <c r="AD82" s="1997">
        <v>0</v>
      </c>
      <c r="AE82" s="1994">
        <v>0</v>
      </c>
      <c r="AF82" s="1994">
        <v>0</v>
      </c>
      <c r="AG82" s="1994">
        <v>0</v>
      </c>
      <c r="AH82" s="1994">
        <v>149.6</v>
      </c>
      <c r="AI82" s="1994">
        <v>135</v>
      </c>
      <c r="AJ82" s="3054">
        <v>96.132087771222999</v>
      </c>
      <c r="AK82" s="3070">
        <v>96.132087771222999</v>
      </c>
      <c r="AL82" s="3070">
        <v>96.132087771222999</v>
      </c>
      <c r="AM82" s="3070">
        <v>96.132087771222999</v>
      </c>
      <c r="AN82" s="3070">
        <v>96.132087771222999</v>
      </c>
      <c r="AO82" s="3070">
        <v>96.132087771222999</v>
      </c>
      <c r="AP82" s="3071">
        <v>96.132087771222999</v>
      </c>
      <c r="AQ82" s="3071">
        <v>96.132087771222999</v>
      </c>
      <c r="AR82" s="3071">
        <v>96.132087771222999</v>
      </c>
      <c r="AS82" s="3071">
        <v>96.132087771222999</v>
      </c>
      <c r="AT82" s="3071">
        <v>96.132087771222999</v>
      </c>
    </row>
    <row r="83" spans="1:46">
      <c r="A83" s="79"/>
      <c r="D83" s="2275" t="s">
        <v>508</v>
      </c>
      <c r="E83" s="59"/>
      <c r="F83" s="59"/>
      <c r="G83" s="59"/>
      <c r="H83" s="2184"/>
      <c r="I83" s="60"/>
      <c r="J83" s="60"/>
      <c r="K83" s="60"/>
      <c r="L83" s="60"/>
      <c r="M83" s="60"/>
      <c r="N83" s="60"/>
      <c r="O83" s="60"/>
      <c r="P83" s="60"/>
      <c r="Q83" s="60"/>
      <c r="R83" s="60"/>
      <c r="S83" s="60"/>
      <c r="T83" s="60"/>
      <c r="U83" s="60"/>
      <c r="V83" s="60"/>
      <c r="W83" s="60"/>
      <c r="X83" s="60"/>
      <c r="Y83" s="2165"/>
      <c r="Z83" s="2187">
        <v>163.69999999999999</v>
      </c>
      <c r="AA83" s="1997">
        <v>101.1</v>
      </c>
      <c r="AB83" s="1997">
        <v>90.2</v>
      </c>
      <c r="AC83" s="1998">
        <v>99.506500892845111</v>
      </c>
      <c r="AD83" s="1998">
        <v>119.40000000000002</v>
      </c>
      <c r="AE83" s="1994">
        <v>140.82586970684235</v>
      </c>
      <c r="AF83" s="1994">
        <v>159.54049176000001</v>
      </c>
      <c r="AG83" s="1994">
        <v>150.04066900000001</v>
      </c>
      <c r="AH83" s="1994">
        <v>55.1</v>
      </c>
      <c r="AI83" s="1994">
        <v>74.3</v>
      </c>
      <c r="AJ83" s="3054">
        <v>50.632087771222999</v>
      </c>
      <c r="AK83" s="3070">
        <v>94.403510098606986</v>
      </c>
      <c r="AL83" s="3070">
        <v>50.632087771222999</v>
      </c>
      <c r="AM83" s="3070">
        <v>50.632087771222999</v>
      </c>
      <c r="AN83" s="3070">
        <v>50.632087771222999</v>
      </c>
      <c r="AO83" s="3070">
        <v>50.632087771222999</v>
      </c>
      <c r="AP83" s="3071">
        <v>94.403510098606986</v>
      </c>
      <c r="AQ83" s="3071">
        <v>94.403510098606986</v>
      </c>
      <c r="AR83" s="3071">
        <v>94.403510098606986</v>
      </c>
      <c r="AS83" s="3071">
        <v>94.403510098606986</v>
      </c>
      <c r="AT83" s="3071">
        <v>94.403510098606986</v>
      </c>
    </row>
    <row r="84" spans="1:46">
      <c r="A84" s="79"/>
      <c r="D84" s="2276" t="s">
        <v>3546</v>
      </c>
      <c r="E84" s="59"/>
      <c r="F84" s="59"/>
      <c r="G84" s="59"/>
      <c r="H84" s="2184"/>
      <c r="I84" s="60"/>
      <c r="J84" s="60"/>
      <c r="K84" s="60"/>
      <c r="L84" s="60"/>
      <c r="M84" s="60"/>
      <c r="N84" s="60"/>
      <c r="O84" s="60"/>
      <c r="P84" s="60"/>
      <c r="Q84" s="60"/>
      <c r="R84" s="60"/>
      <c r="S84" s="60"/>
      <c r="T84" s="60"/>
      <c r="U84" s="60"/>
      <c r="V84" s="60"/>
      <c r="W84" s="60"/>
      <c r="X84" s="60"/>
      <c r="Y84" s="2165"/>
      <c r="Z84" s="1994"/>
      <c r="AA84" s="1994"/>
      <c r="AB84" s="1994"/>
      <c r="AC84" s="1994"/>
      <c r="AD84" s="1994"/>
      <c r="AE84" s="1994"/>
      <c r="AF84" s="1994">
        <v>3.7581959999999999</v>
      </c>
      <c r="AG84" s="1994">
        <v>15</v>
      </c>
      <c r="AH84" s="1994"/>
      <c r="AI84" s="1994"/>
      <c r="AJ84" s="3054"/>
      <c r="AK84" s="3054"/>
      <c r="AL84" s="3054"/>
      <c r="AM84" s="3054"/>
      <c r="AN84" s="3054"/>
      <c r="AO84" s="3054"/>
      <c r="AP84" s="3069"/>
      <c r="AQ84" s="3069"/>
      <c r="AR84" s="3069"/>
      <c r="AS84" s="3069"/>
      <c r="AT84" s="3069"/>
    </row>
    <row r="85" spans="1:46">
      <c r="A85" s="79"/>
      <c r="D85" s="2275"/>
      <c r="E85" s="59"/>
      <c r="F85" s="59"/>
      <c r="G85" s="59"/>
      <c r="H85" s="2184"/>
      <c r="I85" s="60"/>
      <c r="J85" s="60"/>
      <c r="K85" s="60"/>
      <c r="L85" s="60"/>
      <c r="M85" s="60"/>
      <c r="N85" s="60"/>
      <c r="O85" s="60"/>
      <c r="P85" s="60"/>
      <c r="Q85" s="60"/>
      <c r="R85" s="60"/>
      <c r="S85" s="60"/>
      <c r="T85" s="60"/>
      <c r="U85" s="60"/>
      <c r="V85" s="60"/>
      <c r="W85" s="60"/>
      <c r="X85" s="60"/>
      <c r="Y85" s="2165"/>
      <c r="Z85" s="1994"/>
      <c r="AA85" s="1994"/>
      <c r="AB85" s="1994"/>
      <c r="AC85" s="1994"/>
      <c r="AD85" s="1994"/>
      <c r="AE85" s="1994"/>
      <c r="AF85" s="1994"/>
      <c r="AG85" s="1994"/>
      <c r="AH85" s="1994"/>
      <c r="AI85" s="1994"/>
      <c r="AJ85" s="3054"/>
      <c r="AK85" s="3054"/>
      <c r="AL85" s="3054"/>
      <c r="AM85" s="3054"/>
      <c r="AN85" s="3054"/>
      <c r="AO85" s="3054"/>
      <c r="AP85" s="3069"/>
      <c r="AQ85" s="3069"/>
      <c r="AR85" s="3069"/>
      <c r="AS85" s="3069"/>
      <c r="AT85" s="3069"/>
    </row>
    <row r="86" spans="1:46">
      <c r="A86" s="79"/>
      <c r="D86" s="2275" t="s">
        <v>781</v>
      </c>
      <c r="E86" s="59"/>
      <c r="F86" s="59"/>
      <c r="G86" s="59"/>
      <c r="H86" s="59"/>
      <c r="I86" s="59"/>
      <c r="J86" s="59"/>
      <c r="K86" s="59"/>
      <c r="L86" s="59"/>
      <c r="M86" s="59"/>
      <c r="N86" s="59"/>
      <c r="O86" s="59"/>
      <c r="P86" s="59"/>
      <c r="Q86" s="59"/>
      <c r="R86" s="59"/>
      <c r="S86" s="59"/>
      <c r="T86" s="59"/>
      <c r="U86" s="59"/>
      <c r="V86" s="59"/>
      <c r="W86" s="59"/>
      <c r="X86" s="59"/>
      <c r="Y86" s="2165"/>
      <c r="Z86" s="2169">
        <v>136.19999999999999</v>
      </c>
      <c r="AA86" s="2167">
        <v>88.9</v>
      </c>
      <c r="AB86" s="2167">
        <v>99.506500892845111</v>
      </c>
      <c r="AC86" s="2167">
        <v>145.00000000000003</v>
      </c>
      <c r="AD86" s="2171">
        <v>140.82586970684235</v>
      </c>
      <c r="AE86" s="1991">
        <v>143.79904224000001</v>
      </c>
      <c r="AF86" s="1991">
        <v>220.06226345611421</v>
      </c>
      <c r="AG86" s="1991">
        <v>171.76321200000001</v>
      </c>
      <c r="AH86" s="1991">
        <v>192.9</v>
      </c>
      <c r="AI86" s="1991">
        <v>173.74947054244598</v>
      </c>
      <c r="AJ86" s="3068">
        <v>190.53559786982999</v>
      </c>
      <c r="AK86" s="3068">
        <v>146.764175542446</v>
      </c>
      <c r="AL86" s="3068">
        <v>146.764175542446</v>
      </c>
      <c r="AM86" s="3068">
        <v>146.764175542446</v>
      </c>
      <c r="AN86" s="3068">
        <v>146.764175542446</v>
      </c>
      <c r="AO86" s="3068">
        <v>146.764175542446</v>
      </c>
      <c r="AP86" s="3069">
        <v>190.53559786982999</v>
      </c>
      <c r="AQ86" s="3069">
        <v>190.53559786982999</v>
      </c>
      <c r="AR86" s="3069">
        <v>190.53559786982999</v>
      </c>
      <c r="AS86" s="3069">
        <v>190.53559786982999</v>
      </c>
      <c r="AT86" s="3069">
        <v>146.764175542446</v>
      </c>
    </row>
    <row r="87" spans="1:46">
      <c r="A87" s="79"/>
      <c r="D87" s="2275" t="s">
        <v>505</v>
      </c>
      <c r="E87" s="59"/>
      <c r="F87" s="59"/>
      <c r="G87" s="59"/>
      <c r="H87" s="2184"/>
      <c r="I87" s="59"/>
      <c r="J87" s="59"/>
      <c r="K87" s="59"/>
      <c r="L87" s="59"/>
      <c r="M87" s="59"/>
      <c r="N87" s="59"/>
      <c r="O87" s="59"/>
      <c r="P87" s="59"/>
      <c r="Q87" s="59"/>
      <c r="R87" s="59"/>
      <c r="S87" s="59"/>
      <c r="T87" s="59"/>
      <c r="U87" s="59"/>
      <c r="V87" s="59"/>
      <c r="W87" s="59"/>
      <c r="X87" s="59"/>
      <c r="Y87" s="59"/>
      <c r="Z87" s="2185"/>
      <c r="AA87" s="2186"/>
      <c r="AB87" s="2186"/>
      <c r="AC87" s="2186"/>
      <c r="AD87" s="1997">
        <v>0</v>
      </c>
      <c r="AE87" s="1994">
        <v>0</v>
      </c>
      <c r="AF87" s="1994">
        <v>0</v>
      </c>
      <c r="AG87" s="1994">
        <v>82</v>
      </c>
      <c r="AH87" s="1994">
        <v>118.7</v>
      </c>
      <c r="AI87" s="1994">
        <v>109.632087771223</v>
      </c>
      <c r="AJ87" s="3070">
        <v>96.132087771222999</v>
      </c>
      <c r="AK87" s="3070">
        <v>96.132087771222999</v>
      </c>
      <c r="AL87" s="3070">
        <v>96.132087771222999</v>
      </c>
      <c r="AM87" s="3070">
        <v>96.132087771222999</v>
      </c>
      <c r="AN87" s="3070">
        <v>96.132087771222999</v>
      </c>
      <c r="AO87" s="3070">
        <v>96.132087771222999</v>
      </c>
      <c r="AP87" s="3071">
        <v>96.132087771222999</v>
      </c>
      <c r="AQ87" s="3071">
        <v>96.132087771222999</v>
      </c>
      <c r="AR87" s="3071">
        <v>96.132087771222999</v>
      </c>
      <c r="AS87" s="3071">
        <v>96.132087771222999</v>
      </c>
      <c r="AT87" s="3071">
        <v>96.132087771222999</v>
      </c>
    </row>
    <row r="88" spans="1:46">
      <c r="A88" s="79"/>
      <c r="D88" s="2275" t="s">
        <v>508</v>
      </c>
      <c r="E88" s="59"/>
      <c r="F88" s="59"/>
      <c r="G88" s="59"/>
      <c r="H88" s="2184"/>
      <c r="I88" s="59"/>
      <c r="J88" s="59"/>
      <c r="K88" s="59"/>
      <c r="L88" s="59"/>
      <c r="M88" s="59"/>
      <c r="N88" s="59"/>
      <c r="O88" s="59"/>
      <c r="P88" s="59"/>
      <c r="Q88" s="59"/>
      <c r="R88" s="59"/>
      <c r="S88" s="59"/>
      <c r="T88" s="59"/>
      <c r="U88" s="59"/>
      <c r="V88" s="59"/>
      <c r="W88" s="59"/>
      <c r="X88" s="59"/>
      <c r="Y88" s="59"/>
      <c r="Z88" s="2188">
        <v>136.19999999999999</v>
      </c>
      <c r="AA88" s="2189">
        <v>88.9</v>
      </c>
      <c r="AB88" s="2189">
        <v>99.506500892845111</v>
      </c>
      <c r="AC88" s="1998">
        <v>145.00000000000003</v>
      </c>
      <c r="AD88" s="1997">
        <v>140.82586970684235</v>
      </c>
      <c r="AE88" s="1994">
        <v>143.79904224000001</v>
      </c>
      <c r="AF88" s="1994">
        <v>220.06226345611421</v>
      </c>
      <c r="AG88" s="1994">
        <v>89.763211999999996</v>
      </c>
      <c r="AH88" s="1994">
        <v>74.2</v>
      </c>
      <c r="AI88" s="1994">
        <v>64.117382771222992</v>
      </c>
      <c r="AJ88" s="3070">
        <v>94.403510098606986</v>
      </c>
      <c r="AK88" s="3070">
        <v>50.632087771222999</v>
      </c>
      <c r="AL88" s="3070">
        <v>50.632087771222999</v>
      </c>
      <c r="AM88" s="3070">
        <v>50.632087771222999</v>
      </c>
      <c r="AN88" s="3070">
        <v>50.632087771222999</v>
      </c>
      <c r="AO88" s="3070">
        <v>50.632087771222999</v>
      </c>
      <c r="AP88" s="3071">
        <v>94.403510098606986</v>
      </c>
      <c r="AQ88" s="3071">
        <v>94.403510098606986</v>
      </c>
      <c r="AR88" s="3071">
        <v>94.403510098606986</v>
      </c>
      <c r="AS88" s="3071">
        <v>94.403510098606986</v>
      </c>
      <c r="AT88" s="3071">
        <v>94.403510098606986</v>
      </c>
    </row>
    <row r="89" spans="1:46">
      <c r="A89" s="79"/>
      <c r="D89" s="2276" t="s">
        <v>3546</v>
      </c>
      <c r="E89" s="59"/>
      <c r="F89" s="59"/>
      <c r="G89" s="59"/>
      <c r="H89" s="2184"/>
      <c r="I89" s="59"/>
      <c r="J89" s="59"/>
      <c r="K89" s="59"/>
      <c r="L89" s="59"/>
      <c r="M89" s="59"/>
      <c r="N89" s="59"/>
      <c r="O89" s="59"/>
      <c r="P89" s="59"/>
      <c r="Q89" s="59"/>
      <c r="R89" s="59"/>
      <c r="S89" s="59"/>
      <c r="T89" s="59"/>
      <c r="U89" s="59"/>
      <c r="V89" s="59"/>
      <c r="W89" s="59"/>
      <c r="X89" s="59"/>
      <c r="Y89" s="59"/>
      <c r="Z89" s="1991"/>
      <c r="AA89" s="1991"/>
      <c r="AB89" s="1991"/>
      <c r="AC89" s="2186"/>
      <c r="AD89" s="1999"/>
      <c r="AE89" s="1994"/>
      <c r="AF89" s="1994">
        <v>85.021594456114201</v>
      </c>
      <c r="AG89" s="1994"/>
      <c r="AH89" s="1994"/>
      <c r="AI89" s="1994"/>
      <c r="AJ89" s="3055"/>
      <c r="AK89" s="3055"/>
      <c r="AL89" s="3055"/>
      <c r="AM89" s="3055"/>
      <c r="AN89" s="3055"/>
      <c r="AO89" s="3055"/>
      <c r="AP89" s="3069"/>
      <c r="AQ89" s="3069"/>
      <c r="AR89" s="3069"/>
      <c r="AS89" s="3069"/>
      <c r="AT89" s="3069"/>
    </row>
    <row r="90" spans="1:46">
      <c r="A90" s="79"/>
      <c r="D90" s="2275"/>
      <c r="E90" s="59"/>
      <c r="F90" s="59"/>
      <c r="G90" s="59"/>
      <c r="H90" s="2190"/>
      <c r="I90" s="2191"/>
      <c r="J90" s="2191"/>
      <c r="K90" s="2191"/>
      <c r="L90" s="2191"/>
      <c r="M90" s="2191"/>
      <c r="N90" s="2191"/>
      <c r="O90" s="2191"/>
      <c r="P90" s="2191"/>
      <c r="Q90" s="2191"/>
      <c r="R90" s="2191"/>
      <c r="S90" s="2191"/>
      <c r="T90" s="2191"/>
      <c r="U90" s="2191"/>
      <c r="V90" s="2191"/>
      <c r="W90" s="2191"/>
      <c r="X90" s="2191"/>
      <c r="Y90" s="2191"/>
      <c r="Z90" s="2000"/>
      <c r="AA90" s="2000"/>
      <c r="AB90" s="2000"/>
      <c r="AC90" s="2000"/>
      <c r="AD90" s="2000"/>
      <c r="AE90" s="1991"/>
      <c r="AF90" s="1991"/>
      <c r="AG90" s="1991"/>
      <c r="AH90" s="1991"/>
      <c r="AI90" s="1991"/>
      <c r="AJ90" s="3055"/>
      <c r="AK90" s="3055"/>
      <c r="AL90" s="3055"/>
      <c r="AM90" s="3055"/>
      <c r="AN90" s="3055"/>
      <c r="AO90" s="3055"/>
      <c r="AP90" s="3069"/>
      <c r="AQ90" s="3069"/>
      <c r="AR90" s="3069"/>
      <c r="AS90" s="3069"/>
      <c r="AT90" s="3069"/>
    </row>
    <row r="91" spans="1:46">
      <c r="A91" s="79"/>
      <c r="D91" s="2274" t="s">
        <v>3807</v>
      </c>
      <c r="E91" s="59"/>
      <c r="F91" s="59"/>
      <c r="G91" s="59"/>
      <c r="H91" s="59"/>
      <c r="I91" s="2160">
        <v>11.11</v>
      </c>
      <c r="J91" s="2160">
        <v>44.7</v>
      </c>
      <c r="K91" s="2160">
        <v>102.6</v>
      </c>
      <c r="L91" s="2160">
        <v>78.2</v>
      </c>
      <c r="M91" s="2160">
        <v>83.41</v>
      </c>
      <c r="N91" s="2160">
        <v>89.42</v>
      </c>
      <c r="O91" s="2160">
        <v>163.07999999999998</v>
      </c>
      <c r="P91" s="2160">
        <v>200.11795501</v>
      </c>
      <c r="Q91" s="2160">
        <v>128.35198775999999</v>
      </c>
      <c r="R91" s="2160">
        <v>259.27449473672294</v>
      </c>
      <c r="S91" s="2160">
        <v>339.76</v>
      </c>
      <c r="T91" s="2160">
        <v>415.83635679346759</v>
      </c>
      <c r="U91" s="2161">
        <v>402.91773147620796</v>
      </c>
      <c r="V91" s="2161">
        <v>545.72030421138993</v>
      </c>
      <c r="W91" s="2161">
        <v>343.32065754690097</v>
      </c>
      <c r="X91" s="2161">
        <v>468.82099999999997</v>
      </c>
      <c r="Y91" s="2161">
        <v>276.88646037000001</v>
      </c>
      <c r="Z91" s="2192">
        <v>218.97307069166828</v>
      </c>
      <c r="AA91" s="2001">
        <v>234.62480401081805</v>
      </c>
      <c r="AB91" s="2001">
        <v>253.30383447999998</v>
      </c>
      <c r="AC91" s="2001">
        <v>93.558754190000002</v>
      </c>
      <c r="AD91" s="2001">
        <v>166.387925</v>
      </c>
      <c r="AE91" s="2164">
        <v>187.46990300480002</v>
      </c>
      <c r="AF91" s="2164">
        <v>266.45961888871886</v>
      </c>
      <c r="AG91" s="2164">
        <v>411.72971467999992</v>
      </c>
      <c r="AH91" s="2164">
        <v>281.02025793799999</v>
      </c>
      <c r="AI91" s="2164">
        <v>207.12339478124099</v>
      </c>
      <c r="AJ91" s="3059">
        <v>74.479390636406364</v>
      </c>
      <c r="AK91" s="3059">
        <v>77.595211291769061</v>
      </c>
      <c r="AL91" s="3059">
        <v>70.618574708362274</v>
      </c>
      <c r="AM91" s="3059">
        <v>86.041223657796991</v>
      </c>
      <c r="AN91" s="3059">
        <v>67.041223657796991</v>
      </c>
      <c r="AO91" s="3059">
        <v>38.520611828898495</v>
      </c>
      <c r="AP91" s="3065">
        <v>76.041223657796991</v>
      </c>
      <c r="AQ91" s="3065">
        <v>75.791223657796976</v>
      </c>
      <c r="AR91" s="3065">
        <v>75.228723657796991</v>
      </c>
      <c r="AS91" s="3065">
        <v>75.275598657796991</v>
      </c>
      <c r="AT91" s="3065">
        <v>75.584192407796991</v>
      </c>
    </row>
    <row r="92" spans="1:46">
      <c r="A92" s="79"/>
      <c r="D92" s="2275" t="s">
        <v>780</v>
      </c>
      <c r="E92" s="59"/>
      <c r="F92" s="59"/>
      <c r="G92" s="59"/>
      <c r="H92" s="59"/>
      <c r="I92" s="59"/>
      <c r="J92" s="59"/>
      <c r="K92" s="59"/>
      <c r="L92" s="59"/>
      <c r="M92" s="59"/>
      <c r="N92" s="59"/>
      <c r="O92" s="59"/>
      <c r="P92" s="59"/>
      <c r="Q92" s="59"/>
      <c r="R92" s="59"/>
      <c r="S92" s="59"/>
      <c r="T92" s="59"/>
      <c r="U92" s="59"/>
      <c r="V92" s="59"/>
      <c r="W92" s="59"/>
      <c r="X92" s="59"/>
      <c r="Y92" s="2165"/>
      <c r="Z92" s="2169">
        <v>81.353717709999998</v>
      </c>
      <c r="AA92" s="2167">
        <v>122.90516680081805</v>
      </c>
      <c r="AB92" s="2167">
        <v>115.530135</v>
      </c>
      <c r="AC92" s="2167">
        <v>93.558754190000002</v>
      </c>
      <c r="AD92" s="2171">
        <v>65.502488999999997</v>
      </c>
      <c r="AE92" s="1991">
        <v>81.600000000000009</v>
      </c>
      <c r="AF92" s="1991">
        <v>149.20318337</v>
      </c>
      <c r="AG92" s="1991">
        <v>329.21766964999995</v>
      </c>
      <c r="AH92" s="1991">
        <v>198.98325256000001</v>
      </c>
      <c r="AI92" s="1991">
        <v>118.66739314</v>
      </c>
      <c r="AJ92" s="3068">
        <v>43.976099636406367</v>
      </c>
      <c r="AK92" s="3068">
        <v>46.730000000000004</v>
      </c>
      <c r="AL92" s="3068">
        <v>33.097962879463779</v>
      </c>
      <c r="AM92" s="3068">
        <v>48.520611828898495</v>
      </c>
      <c r="AN92" s="3068">
        <v>38.520611828898495</v>
      </c>
      <c r="AO92" s="3068">
        <v>38.520611828898495</v>
      </c>
      <c r="AP92" s="3069">
        <v>47.520611828898495</v>
      </c>
      <c r="AQ92" s="3069">
        <v>47.270611828898488</v>
      </c>
      <c r="AR92" s="3069">
        <v>46.708111828898495</v>
      </c>
      <c r="AS92" s="3069">
        <v>46.754986828898495</v>
      </c>
      <c r="AT92" s="3069">
        <v>47.063580578898495</v>
      </c>
    </row>
    <row r="93" spans="1:46">
      <c r="A93" s="79"/>
      <c r="D93" s="2275" t="s">
        <v>505</v>
      </c>
      <c r="E93" s="59"/>
      <c r="F93" s="59"/>
      <c r="G93" s="59"/>
      <c r="H93" s="2184"/>
      <c r="I93" s="59"/>
      <c r="J93" s="59"/>
      <c r="K93" s="59"/>
      <c r="L93" s="59"/>
      <c r="M93" s="59"/>
      <c r="N93" s="59"/>
      <c r="O93" s="59"/>
      <c r="P93" s="59"/>
      <c r="Q93" s="59"/>
      <c r="R93" s="59"/>
      <c r="S93" s="59"/>
      <c r="T93" s="59"/>
      <c r="U93" s="59"/>
      <c r="V93" s="59"/>
      <c r="W93" s="59"/>
      <c r="X93" s="59"/>
      <c r="Y93" s="59"/>
      <c r="Z93" s="2185"/>
      <c r="AA93" s="2186"/>
      <c r="AB93" s="2186"/>
      <c r="AC93" s="1997">
        <v>8.4</v>
      </c>
      <c r="AD93" s="1997">
        <v>8.4</v>
      </c>
      <c r="AE93" s="1994">
        <v>8.4</v>
      </c>
      <c r="AF93" s="1994">
        <v>4.122541</v>
      </c>
      <c r="AG93" s="1994">
        <v>174.71050403999999</v>
      </c>
      <c r="AH93" s="1994">
        <v>125.79620364</v>
      </c>
      <c r="AI93" s="1994">
        <v>63.498606179999996</v>
      </c>
      <c r="AJ93" s="3072">
        <v>0</v>
      </c>
      <c r="AK93" s="3072">
        <v>0</v>
      </c>
      <c r="AL93" s="3072">
        <v>0</v>
      </c>
      <c r="AM93" s="3072">
        <v>0</v>
      </c>
      <c r="AN93" s="3072">
        <v>0</v>
      </c>
      <c r="AO93" s="3072">
        <v>0</v>
      </c>
      <c r="AP93" s="3073">
        <v>0</v>
      </c>
      <c r="AQ93" s="3073">
        <v>0</v>
      </c>
      <c r="AR93" s="3073">
        <v>0</v>
      </c>
      <c r="AS93" s="3073">
        <v>0</v>
      </c>
      <c r="AT93" s="3073">
        <v>0</v>
      </c>
    </row>
    <row r="94" spans="1:46">
      <c r="A94" s="79"/>
      <c r="D94" s="2275"/>
      <c r="E94" s="59"/>
      <c r="F94" s="59"/>
      <c r="G94" s="59"/>
      <c r="H94" s="59"/>
      <c r="I94" s="59"/>
      <c r="J94" s="59"/>
      <c r="K94" s="59"/>
      <c r="L94" s="59"/>
      <c r="M94" s="59"/>
      <c r="N94" s="59"/>
      <c r="O94" s="59"/>
      <c r="P94" s="59"/>
      <c r="Q94" s="59"/>
      <c r="R94" s="59"/>
      <c r="S94" s="59"/>
      <c r="T94" s="59"/>
      <c r="U94" s="59"/>
      <c r="V94" s="59"/>
      <c r="W94" s="59"/>
      <c r="X94" s="59"/>
      <c r="Y94" s="2165"/>
      <c r="Z94" s="2193"/>
      <c r="AA94" s="1400"/>
      <c r="AB94" s="1400"/>
      <c r="AC94" s="1400"/>
      <c r="AD94" s="1400"/>
      <c r="AE94" s="1400"/>
      <c r="AF94" s="1400"/>
      <c r="AG94" s="1400"/>
      <c r="AH94" s="1400"/>
      <c r="AI94" s="1400"/>
      <c r="AJ94" s="3061"/>
      <c r="AK94" s="3061"/>
      <c r="AL94" s="3061"/>
      <c r="AM94" s="3061"/>
      <c r="AN94" s="3061"/>
      <c r="AO94" s="3061"/>
      <c r="AP94" s="3069"/>
      <c r="AQ94" s="3069"/>
      <c r="AR94" s="3069"/>
      <c r="AS94" s="3069"/>
      <c r="AT94" s="3069"/>
    </row>
    <row r="95" spans="1:46">
      <c r="A95" s="79"/>
      <c r="D95" s="2275" t="s">
        <v>508</v>
      </c>
      <c r="E95" s="59"/>
      <c r="F95" s="59"/>
      <c r="G95" s="59"/>
      <c r="H95" s="2184"/>
      <c r="I95" s="60"/>
      <c r="J95" s="60"/>
      <c r="K95" s="60"/>
      <c r="L95" s="60"/>
      <c r="M95" s="60"/>
      <c r="N95" s="60"/>
      <c r="O95" s="60"/>
      <c r="P95" s="60"/>
      <c r="Q95" s="60"/>
      <c r="R95" s="60"/>
      <c r="S95" s="60"/>
      <c r="T95" s="60"/>
      <c r="U95" s="60"/>
      <c r="V95" s="60"/>
      <c r="W95" s="60"/>
      <c r="X95" s="60"/>
      <c r="Y95" s="2165"/>
      <c r="Z95" s="2187"/>
      <c r="AA95" s="1997"/>
      <c r="AB95" s="1997"/>
      <c r="AC95" s="1998">
        <v>85.158754189999996</v>
      </c>
      <c r="AD95" s="1998">
        <v>57.102488999999998</v>
      </c>
      <c r="AE95" s="1994">
        <v>73.2</v>
      </c>
      <c r="AF95" s="1994">
        <v>145.08064236999999</v>
      </c>
      <c r="AG95" s="1994">
        <v>154.50716560999999</v>
      </c>
      <c r="AH95" s="1994">
        <v>73.187048920000009</v>
      </c>
      <c r="AI95" s="1994">
        <v>55.168786960000006</v>
      </c>
      <c r="AJ95" s="3072">
        <v>43.976099636406367</v>
      </c>
      <c r="AK95" s="3072">
        <v>46.730000000000004</v>
      </c>
      <c r="AL95" s="3072">
        <v>33.097962879463779</v>
      </c>
      <c r="AM95" s="3072">
        <v>48.520611828898495</v>
      </c>
      <c r="AN95" s="3072">
        <v>38.520611828898495</v>
      </c>
      <c r="AO95" s="3072">
        <v>38.520611828898495</v>
      </c>
      <c r="AP95" s="3073">
        <v>47.520611828898495</v>
      </c>
      <c r="AQ95" s="3073">
        <v>47.270611828898488</v>
      </c>
      <c r="AR95" s="3073">
        <v>46.708111828898495</v>
      </c>
      <c r="AS95" s="3073">
        <v>46.754986828898495</v>
      </c>
      <c r="AT95" s="3073">
        <v>47.063580578898495</v>
      </c>
    </row>
    <row r="96" spans="1:46">
      <c r="A96" s="79"/>
      <c r="D96" s="2289" t="s">
        <v>3547</v>
      </c>
      <c r="E96" s="59"/>
      <c r="F96" s="59"/>
      <c r="G96" s="59"/>
      <c r="H96" s="59"/>
      <c r="I96" s="59"/>
      <c r="J96" s="59"/>
      <c r="K96" s="59"/>
      <c r="L96" s="59"/>
      <c r="M96" s="59"/>
      <c r="N96" s="59"/>
      <c r="O96" s="59"/>
      <c r="P96" s="59"/>
      <c r="Q96" s="59"/>
      <c r="R96" s="59"/>
      <c r="S96" s="59"/>
      <c r="T96" s="59"/>
      <c r="U96" s="59"/>
      <c r="V96" s="59"/>
      <c r="W96" s="59"/>
      <c r="X96" s="2158"/>
      <c r="Y96" s="59"/>
      <c r="Z96" s="2194">
        <v>50.381146000000001</v>
      </c>
      <c r="AA96" s="2002">
        <v>38.037735849999997</v>
      </c>
      <c r="AB96" s="2002">
        <v>34.040134999999999</v>
      </c>
      <c r="AC96" s="2002">
        <v>39.15065336</v>
      </c>
      <c r="AD96" s="2002">
        <v>51.633848999999998</v>
      </c>
      <c r="AE96" s="2002">
        <v>32.691671999999997</v>
      </c>
      <c r="AF96" s="2002">
        <v>25.550632710000002</v>
      </c>
      <c r="AG96" s="2002">
        <v>28.095688029999998</v>
      </c>
      <c r="AH96" s="2002">
        <v>33.517831000000001</v>
      </c>
      <c r="AI96" s="2002">
        <v>21.165306620000003</v>
      </c>
      <c r="AJ96" s="3074">
        <v>21.165306620000003</v>
      </c>
      <c r="AK96" s="3058">
        <v>28</v>
      </c>
      <c r="AL96" s="3058">
        <v>14.097962879463779</v>
      </c>
      <c r="AM96" s="3058">
        <v>28.520611828898488</v>
      </c>
      <c r="AN96" s="3058">
        <v>28.520611828898488</v>
      </c>
      <c r="AO96" s="3058">
        <v>28.520611828898488</v>
      </c>
      <c r="AP96" s="3069">
        <v>0</v>
      </c>
      <c r="AQ96" s="3069">
        <v>0</v>
      </c>
      <c r="AR96" s="3069">
        <v>0</v>
      </c>
      <c r="AS96" s="3069">
        <v>0</v>
      </c>
      <c r="AT96" s="3069">
        <v>0</v>
      </c>
    </row>
    <row r="97" spans="1:46">
      <c r="A97" s="79"/>
      <c r="D97" s="2290" t="s">
        <v>3119</v>
      </c>
      <c r="E97" s="59"/>
      <c r="F97" s="59"/>
      <c r="G97" s="59"/>
      <c r="H97" s="59"/>
      <c r="I97" s="59"/>
      <c r="J97" s="59"/>
      <c r="K97" s="59"/>
      <c r="L97" s="59"/>
      <c r="M97" s="59"/>
      <c r="N97" s="59"/>
      <c r="O97" s="59"/>
      <c r="P97" s="59"/>
      <c r="Q97" s="59"/>
      <c r="R97" s="59"/>
      <c r="S97" s="59"/>
      <c r="T97" s="59"/>
      <c r="U97" s="59"/>
      <c r="V97" s="59"/>
      <c r="W97" s="59"/>
      <c r="X97" s="2158"/>
      <c r="Y97" s="59"/>
      <c r="Z97" s="2194"/>
      <c r="AA97" s="2002"/>
      <c r="AB97" s="2002"/>
      <c r="AC97" s="2002"/>
      <c r="AD97" s="2002"/>
      <c r="AE97" s="2002"/>
      <c r="AF97" s="2002">
        <v>76.068161000000003</v>
      </c>
      <c r="AG97" s="2002">
        <v>120.08401958</v>
      </c>
      <c r="AH97" s="2002">
        <v>0.9</v>
      </c>
      <c r="AI97" s="2002">
        <v>8.3199819900000005</v>
      </c>
      <c r="AJ97" s="3058">
        <v>8.3199819900000005</v>
      </c>
      <c r="AK97" s="3058">
        <v>0</v>
      </c>
      <c r="AL97" s="3058">
        <v>0</v>
      </c>
      <c r="AM97" s="3058">
        <v>0</v>
      </c>
      <c r="AN97" s="3058">
        <v>0</v>
      </c>
      <c r="AO97" s="3058">
        <v>0</v>
      </c>
      <c r="AP97" s="3069">
        <v>0</v>
      </c>
      <c r="AQ97" s="3069">
        <v>0</v>
      </c>
      <c r="AR97" s="3069">
        <v>0</v>
      </c>
      <c r="AS97" s="3069">
        <v>0</v>
      </c>
      <c r="AT97" s="3069">
        <v>0</v>
      </c>
    </row>
    <row r="98" spans="1:46">
      <c r="A98" s="79"/>
      <c r="D98" s="2286" t="s">
        <v>3808</v>
      </c>
      <c r="E98" s="59"/>
      <c r="F98" s="59"/>
      <c r="G98" s="59"/>
      <c r="H98" s="59"/>
      <c r="I98" s="1217"/>
      <c r="J98" s="1217"/>
      <c r="K98" s="1217"/>
      <c r="L98" s="1217"/>
      <c r="M98" s="1217"/>
      <c r="N98" s="1217"/>
      <c r="O98" s="1217"/>
      <c r="P98" s="1217"/>
      <c r="Q98" s="1217"/>
      <c r="R98" s="1217"/>
      <c r="S98" s="1217"/>
      <c r="T98" s="1217"/>
      <c r="U98" s="1217"/>
      <c r="V98" s="1217"/>
      <c r="W98" s="1217"/>
      <c r="X98" s="969"/>
      <c r="Y98" s="1217"/>
      <c r="Z98" s="2287">
        <v>0</v>
      </c>
      <c r="AA98" s="1216">
        <v>0</v>
      </c>
      <c r="AB98" s="1216">
        <v>0</v>
      </c>
      <c r="AC98" s="1631">
        <v>0</v>
      </c>
      <c r="AD98" s="1631">
        <v>0</v>
      </c>
      <c r="AE98" s="1216"/>
      <c r="AF98" s="1216"/>
      <c r="AG98" s="1216"/>
      <c r="AH98" s="1216"/>
      <c r="AI98" s="1216"/>
      <c r="AJ98" s="3062">
        <v>0</v>
      </c>
      <c r="AK98" s="3062">
        <v>0</v>
      </c>
      <c r="AL98" s="3062">
        <v>0</v>
      </c>
      <c r="AM98" s="3062">
        <v>0</v>
      </c>
      <c r="AN98" s="3062">
        <v>0</v>
      </c>
      <c r="AO98" s="3062">
        <v>0</v>
      </c>
      <c r="AP98" s="3075">
        <v>0</v>
      </c>
      <c r="AQ98" s="3075">
        <v>0</v>
      </c>
      <c r="AR98" s="3075">
        <v>0</v>
      </c>
      <c r="AS98" s="3075">
        <v>0</v>
      </c>
      <c r="AT98" s="3075">
        <v>0</v>
      </c>
    </row>
    <row r="99" spans="1:46">
      <c r="A99" s="79"/>
      <c r="D99" s="2275"/>
      <c r="E99" s="59"/>
      <c r="F99" s="59"/>
      <c r="G99" s="59"/>
      <c r="H99" s="59"/>
      <c r="I99" s="59"/>
      <c r="J99" s="59"/>
      <c r="K99" s="59"/>
      <c r="L99" s="59"/>
      <c r="M99" s="59"/>
      <c r="N99" s="59"/>
      <c r="O99" s="59"/>
      <c r="P99" s="59"/>
      <c r="Q99" s="59"/>
      <c r="R99" s="59"/>
      <c r="S99" s="59"/>
      <c r="T99" s="59"/>
      <c r="U99" s="59"/>
      <c r="V99" s="59"/>
      <c r="W99" s="59"/>
      <c r="X99" s="2158"/>
      <c r="Y99" s="59"/>
      <c r="Z99" s="2291"/>
      <c r="AA99" s="2195"/>
      <c r="AB99" s="2195"/>
      <c r="AC99" s="2195"/>
      <c r="AD99" s="2195"/>
      <c r="AE99" s="1996"/>
      <c r="AF99" s="1996"/>
      <c r="AG99" s="1996"/>
      <c r="AH99" s="1996"/>
      <c r="AI99" s="1996"/>
      <c r="AJ99" s="3056"/>
      <c r="AK99" s="3056"/>
      <c r="AL99" s="3056"/>
      <c r="AM99" s="3056"/>
      <c r="AN99" s="3056"/>
      <c r="AO99" s="3056"/>
      <c r="AP99" s="3069"/>
      <c r="AQ99" s="3069"/>
      <c r="AR99" s="3069"/>
      <c r="AS99" s="3069"/>
      <c r="AT99" s="3069"/>
    </row>
    <row r="100" spans="1:46">
      <c r="A100" s="79"/>
      <c r="D100" s="2275" t="s">
        <v>781</v>
      </c>
      <c r="E100" s="59"/>
      <c r="F100" s="59"/>
      <c r="G100" s="59"/>
      <c r="H100" s="59"/>
      <c r="I100" s="59"/>
      <c r="J100" s="59"/>
      <c r="K100" s="59"/>
      <c r="L100" s="59"/>
      <c r="M100" s="59"/>
      <c r="N100" s="59"/>
      <c r="O100" s="59"/>
      <c r="P100" s="59"/>
      <c r="Q100" s="59"/>
      <c r="R100" s="59"/>
      <c r="S100" s="59"/>
      <c r="T100" s="59"/>
      <c r="U100" s="59"/>
      <c r="V100" s="59"/>
      <c r="W100" s="59"/>
      <c r="X100" s="59"/>
      <c r="Y100" s="2165"/>
      <c r="Z100" s="2169">
        <v>137.6193529816683</v>
      </c>
      <c r="AA100" s="2167">
        <v>111.71963721</v>
      </c>
      <c r="AB100" s="2167">
        <v>137.77369947999998</v>
      </c>
      <c r="AC100" s="2167">
        <v>0</v>
      </c>
      <c r="AD100" s="2171">
        <v>100.885436</v>
      </c>
      <c r="AE100" s="1991">
        <v>105.86990300479999</v>
      </c>
      <c r="AF100" s="1991">
        <v>117.25643551871889</v>
      </c>
      <c r="AG100" s="1991">
        <v>82.512045029999996</v>
      </c>
      <c r="AH100" s="1991">
        <v>82.037005378000003</v>
      </c>
      <c r="AI100" s="1991">
        <v>88.456001641240988</v>
      </c>
      <c r="AJ100" s="3068">
        <v>30.503291000000001</v>
      </c>
      <c r="AK100" s="3068">
        <v>30.865211291769064</v>
      </c>
      <c r="AL100" s="3068">
        <v>37.520611828898488</v>
      </c>
      <c r="AM100" s="3068">
        <v>37.520611828898488</v>
      </c>
      <c r="AN100" s="3068">
        <v>28.520611828898488</v>
      </c>
      <c r="AO100" s="3068">
        <v>0</v>
      </c>
      <c r="AP100" s="3069">
        <v>28.520611828898488</v>
      </c>
      <c r="AQ100" s="3069">
        <v>28.520611828898488</v>
      </c>
      <c r="AR100" s="3069">
        <v>28.520611828898488</v>
      </c>
      <c r="AS100" s="3069">
        <v>28.520611828898488</v>
      </c>
      <c r="AT100" s="3069">
        <v>28.520611828898488</v>
      </c>
    </row>
    <row r="101" spans="1:46">
      <c r="A101" s="79"/>
      <c r="D101" s="2275" t="s">
        <v>505</v>
      </c>
      <c r="E101" s="59"/>
      <c r="F101" s="59"/>
      <c r="G101" s="59"/>
      <c r="H101" s="2184"/>
      <c r="I101" s="59"/>
      <c r="J101" s="59"/>
      <c r="K101" s="59"/>
      <c r="L101" s="59"/>
      <c r="M101" s="59"/>
      <c r="N101" s="59"/>
      <c r="O101" s="59"/>
      <c r="P101" s="59"/>
      <c r="Q101" s="59"/>
      <c r="R101" s="59"/>
      <c r="S101" s="59"/>
      <c r="T101" s="59"/>
      <c r="U101" s="59"/>
      <c r="V101" s="59"/>
      <c r="W101" s="59"/>
      <c r="X101" s="59"/>
      <c r="Y101" s="59"/>
      <c r="Z101" s="2185"/>
      <c r="AA101" s="2186"/>
      <c r="AB101" s="2186"/>
      <c r="AC101" s="1997"/>
      <c r="AD101" s="1997">
        <v>19.28</v>
      </c>
      <c r="AE101" s="1994">
        <v>5.1026580347999992</v>
      </c>
      <c r="AF101" s="1994">
        <v>35.623042779999999</v>
      </c>
      <c r="AG101" s="1994">
        <v>17.286341010000001</v>
      </c>
      <c r="AH101" s="1994">
        <v>18.557606738</v>
      </c>
      <c r="AI101" s="1994">
        <v>26.102441079999998</v>
      </c>
      <c r="AJ101" s="3076">
        <v>0</v>
      </c>
      <c r="AK101" s="3076">
        <v>0</v>
      </c>
      <c r="AL101" s="3076">
        <v>0</v>
      </c>
      <c r="AM101" s="3076">
        <v>0</v>
      </c>
      <c r="AN101" s="3076">
        <v>0</v>
      </c>
      <c r="AO101" s="3076">
        <v>0</v>
      </c>
      <c r="AP101" s="3073">
        <v>0</v>
      </c>
      <c r="AQ101" s="3073">
        <v>0</v>
      </c>
      <c r="AR101" s="3073">
        <v>0</v>
      </c>
      <c r="AS101" s="3073">
        <v>0</v>
      </c>
      <c r="AT101" s="3073">
        <v>0</v>
      </c>
    </row>
    <row r="102" spans="1:46">
      <c r="A102" s="79"/>
      <c r="D102" s="2275"/>
      <c r="E102" s="59"/>
      <c r="F102" s="59"/>
      <c r="G102" s="59"/>
      <c r="H102" s="59"/>
      <c r="I102" s="59"/>
      <c r="J102" s="59"/>
      <c r="K102" s="59"/>
      <c r="L102" s="59"/>
      <c r="M102" s="59"/>
      <c r="N102" s="59"/>
      <c r="O102" s="59"/>
      <c r="P102" s="59"/>
      <c r="Q102" s="59"/>
      <c r="R102" s="59"/>
      <c r="S102" s="59"/>
      <c r="T102" s="59"/>
      <c r="U102" s="59"/>
      <c r="V102" s="59"/>
      <c r="W102" s="59"/>
      <c r="X102" s="59"/>
      <c r="Y102" s="2178"/>
      <c r="Z102" s="2193"/>
      <c r="AA102" s="1400"/>
      <c r="AB102" s="1400"/>
      <c r="AC102" s="1400"/>
      <c r="AD102" s="1400"/>
      <c r="AE102" s="1400"/>
      <c r="AF102" s="1400"/>
      <c r="AG102" s="1400"/>
      <c r="AH102" s="1400"/>
      <c r="AI102" s="1400"/>
      <c r="AJ102" s="3061"/>
      <c r="AK102" s="3061"/>
      <c r="AL102" s="3061"/>
      <c r="AM102" s="3061"/>
      <c r="AN102" s="3061"/>
      <c r="AO102" s="3061"/>
      <c r="AP102" s="3069"/>
      <c r="AQ102" s="3069"/>
      <c r="AR102" s="3069"/>
      <c r="AS102" s="3069"/>
      <c r="AT102" s="3069"/>
    </row>
    <row r="103" spans="1:46">
      <c r="A103" s="79"/>
      <c r="D103" s="2275" t="s">
        <v>508</v>
      </c>
      <c r="E103" s="59"/>
      <c r="F103" s="59"/>
      <c r="G103" s="59"/>
      <c r="H103" s="2184"/>
      <c r="I103" s="60"/>
      <c r="J103" s="60"/>
      <c r="K103" s="60"/>
      <c r="L103" s="60"/>
      <c r="M103" s="60"/>
      <c r="N103" s="60"/>
      <c r="O103" s="60"/>
      <c r="P103" s="60"/>
      <c r="Q103" s="60"/>
      <c r="R103" s="60"/>
      <c r="S103" s="60"/>
      <c r="T103" s="60"/>
      <c r="U103" s="60"/>
      <c r="V103" s="60"/>
      <c r="W103" s="60"/>
      <c r="X103" s="60"/>
      <c r="Y103" s="2165"/>
      <c r="Z103" s="2187"/>
      <c r="AA103" s="1997"/>
      <c r="AB103" s="1997"/>
      <c r="AC103" s="1998"/>
      <c r="AD103" s="1998">
        <v>81.605435999999997</v>
      </c>
      <c r="AE103" s="1994">
        <v>100.76724496999999</v>
      </c>
      <c r="AF103" s="1994">
        <v>81.633392738718896</v>
      </c>
      <c r="AG103" s="1994">
        <v>65.225704019999995</v>
      </c>
      <c r="AH103" s="1994">
        <v>63.479398639999999</v>
      </c>
      <c r="AI103" s="1994">
        <v>62.35356056124099</v>
      </c>
      <c r="AJ103" s="3070">
        <v>30.503291000000001</v>
      </c>
      <c r="AK103" s="3070">
        <v>30.865211291769064</v>
      </c>
      <c r="AL103" s="3070">
        <v>37.520611828898488</v>
      </c>
      <c r="AM103" s="3070">
        <v>37.520611828898488</v>
      </c>
      <c r="AN103" s="3070">
        <v>28.520611828898488</v>
      </c>
      <c r="AO103" s="3070">
        <v>0</v>
      </c>
      <c r="AP103" s="3073">
        <v>28.520611828898488</v>
      </c>
      <c r="AQ103" s="3073">
        <v>28.520611828898488</v>
      </c>
      <c r="AR103" s="3073">
        <v>28.520611828898488</v>
      </c>
      <c r="AS103" s="3073">
        <v>28.520611828898488</v>
      </c>
      <c r="AT103" s="3073">
        <v>28.520611828898488</v>
      </c>
    </row>
    <row r="104" spans="1:46">
      <c r="A104" s="79"/>
      <c r="D104" s="2289" t="s">
        <v>3547</v>
      </c>
      <c r="E104" s="59"/>
      <c r="F104" s="59"/>
      <c r="G104" s="59"/>
      <c r="H104" s="59"/>
      <c r="I104" s="59"/>
      <c r="J104" s="59"/>
      <c r="K104" s="59"/>
      <c r="L104" s="59"/>
      <c r="M104" s="59"/>
      <c r="N104" s="59"/>
      <c r="O104" s="59"/>
      <c r="P104" s="59"/>
      <c r="Q104" s="59"/>
      <c r="R104" s="59"/>
      <c r="S104" s="59"/>
      <c r="T104" s="59"/>
      <c r="U104" s="59"/>
      <c r="V104" s="59"/>
      <c r="W104" s="59"/>
      <c r="X104" s="2158"/>
      <c r="Y104" s="59"/>
      <c r="Z104" s="2196">
        <v>55.499079000000002</v>
      </c>
      <c r="AA104" s="2002">
        <v>32.02984721</v>
      </c>
      <c r="AB104" s="2002">
        <v>44.102846529999972</v>
      </c>
      <c r="AC104" s="2002">
        <v>34.4</v>
      </c>
      <c r="AD104" s="2002">
        <v>34.505436000000003</v>
      </c>
      <c r="AE104" s="2002">
        <v>47.627397170000002</v>
      </c>
      <c r="AF104" s="2002">
        <v>81.633392738718896</v>
      </c>
      <c r="AG104" s="2002">
        <v>43.086162020000003</v>
      </c>
      <c r="AH104" s="2002">
        <v>48.363949250000005</v>
      </c>
      <c r="AI104" s="2002">
        <v>40.159830098823683</v>
      </c>
      <c r="AJ104" s="3058">
        <v>40.159830098823683</v>
      </c>
      <c r="AK104" s="3058">
        <v>30.865211291769064</v>
      </c>
      <c r="AL104" s="3058">
        <v>28.520611828898488</v>
      </c>
      <c r="AM104" s="3058">
        <v>28.520611828898488</v>
      </c>
      <c r="AN104" s="3058">
        <v>28.520611828898488</v>
      </c>
      <c r="AO104" s="3058">
        <v>0</v>
      </c>
      <c r="AP104" s="3069">
        <v>0</v>
      </c>
      <c r="AQ104" s="3069">
        <v>0</v>
      </c>
      <c r="AR104" s="3069">
        <v>0</v>
      </c>
      <c r="AS104" s="3069">
        <v>0</v>
      </c>
      <c r="AT104" s="3069">
        <v>0</v>
      </c>
    </row>
    <row r="105" spans="1:46">
      <c r="A105" s="79"/>
      <c r="D105" s="2290" t="s">
        <v>3119</v>
      </c>
      <c r="E105" s="59"/>
      <c r="F105" s="59"/>
      <c r="G105" s="59"/>
      <c r="H105" s="59"/>
      <c r="I105" s="59"/>
      <c r="J105" s="59"/>
      <c r="K105" s="59"/>
      <c r="L105" s="59"/>
      <c r="M105" s="59"/>
      <c r="N105" s="59"/>
      <c r="O105" s="59"/>
      <c r="P105" s="59"/>
      <c r="Q105" s="59"/>
      <c r="R105" s="59"/>
      <c r="S105" s="59"/>
      <c r="T105" s="59"/>
      <c r="U105" s="59"/>
      <c r="V105" s="59"/>
      <c r="W105" s="59"/>
      <c r="X105" s="2158"/>
      <c r="Y105" s="59"/>
      <c r="Z105" s="2196"/>
      <c r="AA105" s="2002"/>
      <c r="AB105" s="2002"/>
      <c r="AC105" s="2002"/>
      <c r="AD105" s="2002"/>
      <c r="AE105" s="2002">
        <v>37.737883799999999</v>
      </c>
      <c r="AF105" s="2002">
        <v>0</v>
      </c>
      <c r="AG105" s="2002">
        <v>8.8795419999999989</v>
      </c>
      <c r="AH105" s="2002">
        <v>8.9054483899999983</v>
      </c>
      <c r="AI105" s="2002">
        <v>0</v>
      </c>
      <c r="AJ105" s="3058">
        <v>0</v>
      </c>
      <c r="AK105" s="3058">
        <v>0</v>
      </c>
      <c r="AL105" s="3058">
        <v>0</v>
      </c>
      <c r="AM105" s="3058">
        <v>0</v>
      </c>
      <c r="AN105" s="3058">
        <v>0</v>
      </c>
      <c r="AO105" s="3058">
        <v>0</v>
      </c>
      <c r="AP105" s="3069">
        <v>0</v>
      </c>
      <c r="AQ105" s="3069">
        <v>0</v>
      </c>
      <c r="AR105" s="3069">
        <v>0</v>
      </c>
      <c r="AS105" s="3069">
        <v>0</v>
      </c>
      <c r="AT105" s="3069">
        <v>0</v>
      </c>
    </row>
    <row r="106" spans="1:46">
      <c r="A106" s="79"/>
      <c r="D106" s="2286" t="s">
        <v>3808</v>
      </c>
      <c r="E106" s="59"/>
      <c r="F106" s="59"/>
      <c r="G106" s="59"/>
      <c r="H106" s="59"/>
      <c r="I106" s="1217"/>
      <c r="J106" s="1217"/>
      <c r="K106" s="1217"/>
      <c r="L106" s="1217"/>
      <c r="M106" s="1217"/>
      <c r="N106" s="1217"/>
      <c r="O106" s="1217"/>
      <c r="P106" s="1217"/>
      <c r="Q106" s="1217"/>
      <c r="R106" s="1217"/>
      <c r="S106" s="1217"/>
      <c r="T106" s="1217"/>
      <c r="U106" s="1217"/>
      <c r="V106" s="1217"/>
      <c r="W106" s="1217"/>
      <c r="X106" s="969"/>
      <c r="Y106" s="1217"/>
      <c r="Z106" s="1558">
        <v>0</v>
      </c>
      <c r="AA106" s="1559">
        <v>0</v>
      </c>
      <c r="AB106" s="1559">
        <v>0</v>
      </c>
      <c r="AC106" s="1559">
        <v>0</v>
      </c>
      <c r="AD106" s="1559">
        <v>0</v>
      </c>
      <c r="AE106" s="1216"/>
      <c r="AF106" s="1216"/>
      <c r="AG106" s="1216"/>
      <c r="AH106" s="1216"/>
      <c r="AI106" s="1216"/>
      <c r="AJ106" s="3062">
        <v>0</v>
      </c>
      <c r="AK106" s="3062">
        <v>0</v>
      </c>
      <c r="AL106" s="3062">
        <v>0</v>
      </c>
      <c r="AM106" s="3062">
        <v>0</v>
      </c>
      <c r="AN106" s="3062">
        <v>0</v>
      </c>
      <c r="AO106" s="3062">
        <v>0</v>
      </c>
      <c r="AP106" s="3075">
        <v>0</v>
      </c>
      <c r="AQ106" s="3075">
        <v>0</v>
      </c>
      <c r="AR106" s="3075">
        <v>0</v>
      </c>
      <c r="AS106" s="3075">
        <v>0</v>
      </c>
      <c r="AT106" s="3075">
        <v>0</v>
      </c>
    </row>
    <row r="107" spans="1:46">
      <c r="A107" s="79"/>
      <c r="D107" s="61" t="s">
        <v>683</v>
      </c>
      <c r="E107" s="59"/>
      <c r="F107" s="59"/>
      <c r="G107" s="59"/>
      <c r="H107" s="59"/>
      <c r="I107" s="1217"/>
      <c r="J107" s="1217"/>
      <c r="K107" s="1217"/>
      <c r="L107" s="1217"/>
      <c r="M107" s="1217"/>
      <c r="N107" s="1217"/>
      <c r="O107" s="1217"/>
      <c r="P107" s="1217"/>
      <c r="Q107" s="1217"/>
      <c r="R107" s="1217"/>
      <c r="S107" s="1217"/>
      <c r="T107" s="1217"/>
      <c r="U107" s="1217"/>
      <c r="V107" s="1217"/>
      <c r="W107" s="1217"/>
      <c r="X107" s="1217"/>
      <c r="Y107" s="1217"/>
      <c r="Z107" s="1217"/>
      <c r="AA107" s="1217"/>
      <c r="AB107" s="1217"/>
      <c r="AC107" s="1217"/>
      <c r="AD107" s="1217"/>
      <c r="AE107" s="1217"/>
      <c r="AF107" s="1217"/>
      <c r="AG107" s="1217"/>
      <c r="AH107" s="1217"/>
      <c r="AI107" s="1217"/>
      <c r="AJ107" s="59"/>
      <c r="AK107" s="59"/>
      <c r="AL107" s="59"/>
      <c r="AM107" s="59"/>
      <c r="AN107" s="59"/>
      <c r="AO107" s="59"/>
      <c r="AP107" s="3040"/>
      <c r="AQ107" s="3040"/>
      <c r="AR107" s="3040"/>
      <c r="AS107" s="3040"/>
      <c r="AT107" s="3040"/>
    </row>
    <row r="108" spans="1:46" ht="20.25" customHeight="1">
      <c r="A108" s="79"/>
      <c r="D108" s="2528" t="s">
        <v>1063</v>
      </c>
      <c r="I108" s="2"/>
      <c r="J108" s="2"/>
      <c r="K108" s="2"/>
      <c r="L108" s="2"/>
      <c r="M108" s="2"/>
      <c r="N108" s="2"/>
      <c r="O108" s="2"/>
      <c r="P108" s="2"/>
      <c r="Q108" s="2"/>
      <c r="R108" s="2"/>
      <c r="S108" s="2"/>
      <c r="T108" s="2"/>
      <c r="U108" s="2"/>
      <c r="V108" s="2"/>
      <c r="W108" s="2"/>
      <c r="X108" s="2"/>
      <c r="Y108" s="2"/>
      <c r="Z108" s="2"/>
      <c r="AA108" s="2"/>
      <c r="AB108"/>
      <c r="AC108"/>
      <c r="AD108"/>
      <c r="AE108"/>
      <c r="AF108"/>
      <c r="AH108"/>
      <c r="AI108"/>
    </row>
    <row r="109" spans="1:46">
      <c r="A109" s="79"/>
      <c r="D109" s="49" t="s">
        <v>3299</v>
      </c>
      <c r="I109" s="2"/>
      <c r="J109" s="2"/>
      <c r="K109" s="2"/>
      <c r="L109" s="2"/>
      <c r="M109" s="2"/>
      <c r="N109" s="2"/>
      <c r="O109" s="2"/>
      <c r="P109" s="2"/>
      <c r="Q109" s="2"/>
      <c r="R109" s="2"/>
      <c r="S109" s="2"/>
      <c r="T109" s="2"/>
      <c r="U109" s="529">
        <v>2010</v>
      </c>
      <c r="V109" s="530" t="s">
        <v>718</v>
      </c>
      <c r="W109" s="530">
        <v>2012</v>
      </c>
      <c r="X109" s="530">
        <v>2013</v>
      </c>
      <c r="Y109" s="530">
        <v>2014</v>
      </c>
      <c r="Z109" s="530">
        <v>2015</v>
      </c>
      <c r="AA109" s="530">
        <v>2016</v>
      </c>
      <c r="AB109" s="1429">
        <v>2017</v>
      </c>
      <c r="AC109" s="1429">
        <v>2018</v>
      </c>
      <c r="AD109" s="1429">
        <v>2019</v>
      </c>
      <c r="AE109" s="1429">
        <v>2020</v>
      </c>
      <c r="AF109" s="1429">
        <v>2021</v>
      </c>
      <c r="AG109" s="1429">
        <v>2022</v>
      </c>
      <c r="AH109" s="1429">
        <v>2023</v>
      </c>
      <c r="AI109" s="1429">
        <v>2024</v>
      </c>
      <c r="AJ109" s="1429">
        <v>2025</v>
      </c>
      <c r="AK109" s="1429">
        <v>2026</v>
      </c>
      <c r="AL109" s="1429">
        <v>2027</v>
      </c>
      <c r="AM109" s="1429">
        <v>2028</v>
      </c>
      <c r="AN109" s="1429">
        <v>2029</v>
      </c>
      <c r="AO109" s="1429">
        <v>2030</v>
      </c>
      <c r="AP109" s="1429">
        <v>2031</v>
      </c>
      <c r="AQ109" s="1429">
        <v>2032</v>
      </c>
      <c r="AR109" s="1429">
        <v>2033</v>
      </c>
      <c r="AS109" s="1429">
        <v>2034</v>
      </c>
      <c r="AT109" s="1429">
        <v>2035</v>
      </c>
    </row>
    <row r="110" spans="1:46">
      <c r="A110" s="79"/>
      <c r="D110" s="2045" t="s">
        <v>3796</v>
      </c>
      <c r="E110" s="2045"/>
      <c r="F110" s="2046">
        <v>1995</v>
      </c>
      <c r="G110" s="2046">
        <v>1996</v>
      </c>
      <c r="H110" s="2046">
        <v>1997</v>
      </c>
      <c r="I110" s="2046">
        <v>1998</v>
      </c>
      <c r="J110" s="2046">
        <v>1999</v>
      </c>
      <c r="K110" s="2046">
        <v>2000</v>
      </c>
      <c r="L110" s="2046">
        <v>2001</v>
      </c>
      <c r="M110" s="2046">
        <v>2002</v>
      </c>
      <c r="N110" s="2046">
        <v>2003</v>
      </c>
      <c r="O110" s="2046">
        <v>2004</v>
      </c>
      <c r="P110" s="2046">
        <v>2005</v>
      </c>
      <c r="Q110" s="2046">
        <v>2006</v>
      </c>
      <c r="R110" s="2046">
        <v>2007</v>
      </c>
      <c r="S110" s="2046">
        <v>2008</v>
      </c>
      <c r="T110" s="2046">
        <v>2009</v>
      </c>
      <c r="U110" s="2046">
        <v>2010</v>
      </c>
      <c r="V110" s="2046">
        <v>2011</v>
      </c>
      <c r="W110" s="2046">
        <v>2012</v>
      </c>
      <c r="X110" s="2046">
        <v>2013</v>
      </c>
      <c r="Y110" s="2046">
        <v>2014</v>
      </c>
      <c r="Z110" s="2047">
        <v>2015</v>
      </c>
      <c r="AA110" s="2047">
        <v>2016</v>
      </c>
      <c r="AB110" s="2047">
        <v>2017</v>
      </c>
      <c r="AC110" s="2047">
        <v>2018</v>
      </c>
      <c r="AD110" s="2047">
        <v>2019</v>
      </c>
      <c r="AE110" s="2047">
        <v>2020</v>
      </c>
      <c r="AF110" s="2047">
        <v>2021</v>
      </c>
      <c r="AG110" s="2047">
        <v>2022</v>
      </c>
      <c r="AH110" s="2047">
        <v>2023</v>
      </c>
      <c r="AI110" s="2047">
        <v>2024</v>
      </c>
      <c r="AJ110" s="2047">
        <v>2025</v>
      </c>
      <c r="AK110" s="2047">
        <v>2026</v>
      </c>
      <c r="AL110" s="2047">
        <v>2027</v>
      </c>
      <c r="AM110" s="2047">
        <v>2028</v>
      </c>
      <c r="AN110" s="2047">
        <v>2029</v>
      </c>
      <c r="AO110" s="2047">
        <v>2030</v>
      </c>
      <c r="AP110" s="2047">
        <v>2031</v>
      </c>
      <c r="AQ110" s="2047">
        <v>2032</v>
      </c>
      <c r="AR110" s="2047">
        <v>2033</v>
      </c>
      <c r="AS110" s="2047">
        <v>2034</v>
      </c>
      <c r="AT110" s="2047">
        <v>2035</v>
      </c>
    </row>
    <row r="111" spans="1:46">
      <c r="A111" s="79"/>
      <c r="D111" s="2045" t="s">
        <v>77</v>
      </c>
      <c r="E111" s="2048"/>
      <c r="F111" s="2046"/>
      <c r="G111" s="2046"/>
      <c r="H111" s="2046"/>
      <c r="I111" s="2049">
        <v>20.61</v>
      </c>
      <c r="J111" s="2049">
        <v>24.015999999999998</v>
      </c>
      <c r="K111" s="2049">
        <v>22.995999999999999</v>
      </c>
      <c r="L111" s="2049">
        <v>22.896999999999998</v>
      </c>
      <c r="M111" s="2049">
        <v>30.8</v>
      </c>
      <c r="N111" s="2049">
        <v>32.200000000000003</v>
      </c>
      <c r="O111" s="2049">
        <v>37.299999999999997</v>
      </c>
      <c r="P111" s="2049">
        <v>36.299999999999997</v>
      </c>
      <c r="Q111" s="2049">
        <v>22.9</v>
      </c>
      <c r="R111" s="2049">
        <v>8.3000000000000007</v>
      </c>
      <c r="S111" s="2049">
        <v>7.45</v>
      </c>
      <c r="T111" s="2049">
        <v>7.45</v>
      </c>
      <c r="U111" s="2049">
        <v>9.81</v>
      </c>
      <c r="V111" s="2050">
        <v>14.9946760169026</v>
      </c>
      <c r="W111" s="2050">
        <v>17.337852180040802</v>
      </c>
      <c r="X111" s="2050">
        <v>14.4563127565233</v>
      </c>
      <c r="Y111" s="2050">
        <v>20.777599796844399</v>
      </c>
      <c r="Z111" s="2051">
        <v>21.643828818071594</v>
      </c>
      <c r="AA111" s="2051">
        <v>27.255022288474549</v>
      </c>
      <c r="AB111" s="2051">
        <v>27.93125983254329</v>
      </c>
      <c r="AC111" s="2051">
        <v>30.584356460501134</v>
      </c>
      <c r="AD111" s="2051">
        <v>42.041134992949537</v>
      </c>
      <c r="AE111" s="2051">
        <v>110.55921025047813</v>
      </c>
      <c r="AF111" s="2051">
        <v>517.20801018060513</v>
      </c>
      <c r="AG111" s="2051">
        <v>94.79678047544941</v>
      </c>
      <c r="AH111" s="2051">
        <v>155.57942422934116</v>
      </c>
      <c r="AI111" s="2051">
        <v>118.33918976182902</v>
      </c>
      <c r="AJ111" s="2051">
        <v>160.84963800021998</v>
      </c>
      <c r="AK111" s="2051">
        <v>265.50547275315165</v>
      </c>
      <c r="AL111" s="2051">
        <v>318.12698609707388</v>
      </c>
      <c r="AM111" s="2051">
        <v>356.21446141483779</v>
      </c>
      <c r="AN111" s="2051">
        <v>414.18675386053468</v>
      </c>
      <c r="AO111" s="2051">
        <v>466.74753143648707</v>
      </c>
      <c r="AP111" s="2051">
        <v>1114.7655272702559</v>
      </c>
      <c r="AQ111" s="2051">
        <v>535.80090296252411</v>
      </c>
      <c r="AR111" s="2051">
        <v>558.19772022681911</v>
      </c>
      <c r="AS111" s="2051">
        <v>620.65050829519953</v>
      </c>
      <c r="AT111" s="2051">
        <v>671.2712908133135</v>
      </c>
    </row>
    <row r="112" spans="1:46">
      <c r="A112" s="79"/>
      <c r="D112" s="2048" t="s">
        <v>72</v>
      </c>
      <c r="E112" s="2048"/>
      <c r="F112" s="2046"/>
      <c r="G112" s="2046"/>
      <c r="H112" s="2046"/>
      <c r="I112" s="2049"/>
      <c r="J112" s="2049"/>
      <c r="K112" s="2049"/>
      <c r="L112" s="2049"/>
      <c r="M112" s="2049"/>
      <c r="N112" s="2049"/>
      <c r="O112" s="2049"/>
      <c r="P112" s="2049"/>
      <c r="Q112" s="2049"/>
      <c r="R112" s="2049"/>
      <c r="S112" s="2049"/>
      <c r="T112" s="2049"/>
      <c r="U112" s="2049"/>
      <c r="V112" s="2052"/>
      <c r="W112" s="2052"/>
      <c r="X112" s="2052"/>
      <c r="Y112" s="2052"/>
      <c r="Z112" s="1430">
        <v>4.8517982425348425</v>
      </c>
      <c r="AA112" s="1430">
        <v>5.6771899050611117</v>
      </c>
      <c r="AB112" s="1430">
        <v>6.3085268501358218</v>
      </c>
      <c r="AC112" s="1430">
        <v>6.5639972323022358</v>
      </c>
      <c r="AD112" s="1430">
        <v>7.8831462909904353</v>
      </c>
      <c r="AE112" s="1430">
        <v>33.700800604696191</v>
      </c>
      <c r="AF112" s="1430">
        <v>43.328848745371801</v>
      </c>
      <c r="AG112" s="1430">
        <v>31.838229554479295</v>
      </c>
      <c r="AH112" s="1430">
        <v>32.398282047670612</v>
      </c>
      <c r="AI112" s="1430">
        <v>38.126406776011706</v>
      </c>
      <c r="AJ112" s="1430">
        <v>46.899337887848958</v>
      </c>
      <c r="AK112" s="1430">
        <v>54.42740885690916</v>
      </c>
      <c r="AL112" s="1430">
        <v>66.625707551000005</v>
      </c>
      <c r="AM112" s="1430">
        <v>74.44659512739986</v>
      </c>
      <c r="AN112" s="1430">
        <v>86.820708440037649</v>
      </c>
      <c r="AO112" s="1430">
        <v>102.98662183328952</v>
      </c>
      <c r="AP112" s="1430">
        <v>114.8089352759885</v>
      </c>
      <c r="AQ112" s="1430">
        <v>117.73336260906107</v>
      </c>
      <c r="AR112" s="1430">
        <v>117.44060671192658</v>
      </c>
      <c r="AS112" s="1430">
        <v>125.86874053421479</v>
      </c>
      <c r="AT112" s="1430">
        <v>136.23468851280305</v>
      </c>
    </row>
    <row r="113" spans="1:46">
      <c r="A113" s="79"/>
      <c r="D113" s="2048" t="s">
        <v>3671</v>
      </c>
      <c r="E113" s="2048"/>
      <c r="F113" s="2046"/>
      <c r="G113" s="2046"/>
      <c r="H113" s="2046"/>
      <c r="I113" s="2049"/>
      <c r="J113" s="2049"/>
      <c r="K113" s="2049"/>
      <c r="L113" s="2049"/>
      <c r="M113" s="2049"/>
      <c r="N113" s="2049"/>
      <c r="O113" s="2049"/>
      <c r="P113" s="2049"/>
      <c r="Q113" s="2049"/>
      <c r="R113" s="2049"/>
      <c r="S113" s="2049"/>
      <c r="T113" s="2049"/>
      <c r="U113" s="2049"/>
      <c r="V113" s="2052"/>
      <c r="W113" s="2052"/>
      <c r="X113" s="2052"/>
      <c r="Y113" s="2052"/>
      <c r="Z113" s="1430"/>
      <c r="AA113" s="1430">
        <v>0</v>
      </c>
      <c r="AB113" s="1430">
        <v>0</v>
      </c>
      <c r="AC113" s="1430">
        <v>0</v>
      </c>
      <c r="AD113" s="1430">
        <v>0</v>
      </c>
      <c r="AE113" s="1430">
        <v>10</v>
      </c>
      <c r="AF113" s="1430">
        <v>22.5</v>
      </c>
      <c r="AG113" s="1430">
        <v>0</v>
      </c>
      <c r="AH113" s="1430">
        <v>0</v>
      </c>
      <c r="AI113" s="1430">
        <v>0</v>
      </c>
      <c r="AJ113" s="1430">
        <v>0</v>
      </c>
      <c r="AK113" s="1430">
        <v>0</v>
      </c>
      <c r="AL113" s="1430">
        <v>0</v>
      </c>
      <c r="AM113" s="1430">
        <v>0</v>
      </c>
      <c r="AN113" s="1430">
        <v>0</v>
      </c>
      <c r="AO113" s="1430">
        <v>0</v>
      </c>
      <c r="AP113" s="1430">
        <v>0</v>
      </c>
      <c r="AQ113" s="1430">
        <v>0</v>
      </c>
      <c r="AR113" s="1430">
        <v>0</v>
      </c>
      <c r="AS113" s="1430">
        <v>0</v>
      </c>
      <c r="AT113" s="1430">
        <v>0</v>
      </c>
    </row>
    <row r="114" spans="1:46">
      <c r="A114" s="79"/>
      <c r="D114" s="2048" t="s">
        <v>3672</v>
      </c>
      <c r="E114" s="2048"/>
      <c r="F114" s="2046"/>
      <c r="G114" s="2046"/>
      <c r="H114" s="2046"/>
      <c r="I114" s="2049"/>
      <c r="J114" s="2049"/>
      <c r="K114" s="2049"/>
      <c r="L114" s="2049"/>
      <c r="M114" s="2049"/>
      <c r="N114" s="2049"/>
      <c r="O114" s="2049"/>
      <c r="P114" s="2049"/>
      <c r="Q114" s="2049"/>
      <c r="R114" s="2049"/>
      <c r="S114" s="2049"/>
      <c r="T114" s="2049"/>
      <c r="U114" s="2049"/>
      <c r="V114" s="2052"/>
      <c r="W114" s="2052"/>
      <c r="X114" s="2052"/>
      <c r="Y114" s="2052"/>
      <c r="Z114" s="1430"/>
      <c r="AA114" s="1430">
        <v>0</v>
      </c>
      <c r="AB114" s="1430">
        <v>0</v>
      </c>
      <c r="AC114" s="1430">
        <v>0</v>
      </c>
      <c r="AD114" s="1430">
        <v>0</v>
      </c>
      <c r="AE114" s="1430">
        <v>4.292084796743886</v>
      </c>
      <c r="AF114" s="1430">
        <v>4.639608677369357</v>
      </c>
      <c r="AG114" s="1430">
        <v>5.0152710624258097</v>
      </c>
      <c r="AH114" s="1430">
        <v>0</v>
      </c>
      <c r="AI114" s="1430">
        <v>0</v>
      </c>
      <c r="AJ114" s="1430">
        <v>0</v>
      </c>
      <c r="AK114" s="1430">
        <v>0</v>
      </c>
      <c r="AL114" s="1430">
        <v>0</v>
      </c>
      <c r="AM114" s="1430">
        <v>0</v>
      </c>
      <c r="AN114" s="1430">
        <v>0</v>
      </c>
      <c r="AO114" s="1430">
        <v>0</v>
      </c>
      <c r="AP114" s="1430">
        <v>0</v>
      </c>
      <c r="AQ114" s="1430">
        <v>0</v>
      </c>
      <c r="AR114" s="1430">
        <v>0</v>
      </c>
      <c r="AS114" s="1430">
        <v>0</v>
      </c>
      <c r="AT114" s="1430">
        <v>0</v>
      </c>
    </row>
    <row r="115" spans="1:46">
      <c r="A115" s="79"/>
      <c r="D115" s="2048" t="s">
        <v>3673</v>
      </c>
      <c r="E115" s="2048"/>
      <c r="F115" s="2046"/>
      <c r="G115" s="2046"/>
      <c r="H115" s="2046"/>
      <c r="I115" s="2049"/>
      <c r="J115" s="2049"/>
      <c r="K115" s="2049"/>
      <c r="L115" s="2049"/>
      <c r="M115" s="2049"/>
      <c r="N115" s="2049"/>
      <c r="O115" s="2049"/>
      <c r="P115" s="2049"/>
      <c r="Q115" s="2049"/>
      <c r="R115" s="2049"/>
      <c r="S115" s="2049"/>
      <c r="T115" s="2049"/>
      <c r="U115" s="2049"/>
      <c r="V115" s="2052"/>
      <c r="W115" s="2052"/>
      <c r="X115" s="2052"/>
      <c r="Y115" s="2052"/>
      <c r="Z115" s="1430"/>
      <c r="AA115" s="1430">
        <v>0</v>
      </c>
      <c r="AB115" s="1430">
        <v>0</v>
      </c>
      <c r="AC115" s="1430">
        <v>0</v>
      </c>
      <c r="AD115" s="1430">
        <v>0</v>
      </c>
      <c r="AE115" s="1430">
        <v>0</v>
      </c>
      <c r="AF115" s="1430">
        <v>0</v>
      </c>
      <c r="AG115" s="1430">
        <v>0</v>
      </c>
      <c r="AH115" s="1430">
        <v>0</v>
      </c>
      <c r="AI115" s="1430">
        <v>0</v>
      </c>
      <c r="AJ115" s="1430">
        <v>0</v>
      </c>
      <c r="AK115" s="1430">
        <v>0</v>
      </c>
      <c r="AL115" s="1430">
        <v>0</v>
      </c>
      <c r="AM115" s="1430">
        <v>0</v>
      </c>
      <c r="AN115" s="1430">
        <v>0</v>
      </c>
      <c r="AO115" s="1430">
        <v>0</v>
      </c>
      <c r="AP115" s="1430">
        <v>0</v>
      </c>
      <c r="AQ115" s="1430">
        <v>0</v>
      </c>
      <c r="AR115" s="1430">
        <v>0</v>
      </c>
      <c r="AS115" s="1430">
        <v>0</v>
      </c>
      <c r="AT115" s="1430">
        <v>0</v>
      </c>
    </row>
    <row r="116" spans="1:46">
      <c r="A116" s="79"/>
      <c r="D116" s="2048" t="s">
        <v>3674</v>
      </c>
      <c r="E116" s="2048"/>
      <c r="F116" s="2046"/>
      <c r="G116" s="2046"/>
      <c r="H116" s="2046"/>
      <c r="I116" s="2049"/>
      <c r="J116" s="2049"/>
      <c r="K116" s="2049"/>
      <c r="L116" s="2049"/>
      <c r="M116" s="2049"/>
      <c r="N116" s="2049"/>
      <c r="O116" s="2049"/>
      <c r="P116" s="2049"/>
      <c r="Q116" s="2049"/>
      <c r="R116" s="2049"/>
      <c r="S116" s="2049"/>
      <c r="T116" s="2049"/>
      <c r="U116" s="2049"/>
      <c r="V116" s="2052"/>
      <c r="W116" s="2052"/>
      <c r="X116" s="2052"/>
      <c r="Y116" s="2052"/>
      <c r="Z116" s="1430"/>
      <c r="AA116" s="1430"/>
      <c r="AB116" s="1430"/>
      <c r="AC116" s="1430"/>
      <c r="AD116" s="1430"/>
      <c r="AE116" s="1430"/>
      <c r="AF116" s="1430"/>
      <c r="AG116" s="1430"/>
      <c r="AH116" s="1430"/>
      <c r="AI116" s="1430"/>
      <c r="AJ116" s="1430"/>
      <c r="AK116" s="1430"/>
      <c r="AL116" s="1430"/>
      <c r="AM116" s="1430"/>
      <c r="AN116" s="1430"/>
      <c r="AO116" s="1430"/>
      <c r="AP116" s="1430"/>
      <c r="AQ116" s="1430"/>
      <c r="AR116" s="1430"/>
      <c r="AS116" s="1430"/>
      <c r="AT116" s="1430"/>
    </row>
    <row r="117" spans="1:46">
      <c r="A117" s="79"/>
      <c r="D117" s="2048" t="s">
        <v>73</v>
      </c>
      <c r="E117" s="2048"/>
      <c r="F117" s="2046"/>
      <c r="G117" s="2046"/>
      <c r="H117" s="2046"/>
      <c r="I117" s="2049"/>
      <c r="J117" s="2049"/>
      <c r="K117" s="2049"/>
      <c r="L117" s="2049"/>
      <c r="M117" s="2049"/>
      <c r="N117" s="2049"/>
      <c r="O117" s="2049"/>
      <c r="P117" s="2049"/>
      <c r="Q117" s="2049"/>
      <c r="R117" s="2049"/>
      <c r="S117" s="2049"/>
      <c r="T117" s="2049"/>
      <c r="U117" s="2049"/>
      <c r="V117" s="2052"/>
      <c r="W117" s="2052"/>
      <c r="X117" s="2052"/>
      <c r="Y117" s="2052"/>
      <c r="Z117" s="1430">
        <v>6.3993614412218074</v>
      </c>
      <c r="AA117" s="1430">
        <v>7.8034569389108182</v>
      </c>
      <c r="AB117" s="1430">
        <v>7.4412272151358225</v>
      </c>
      <c r="AC117" s="1430">
        <v>8.8919233337008521</v>
      </c>
      <c r="AD117" s="1430">
        <v>7.8831462909904353</v>
      </c>
      <c r="AE117" s="1430">
        <v>20.90837209019805</v>
      </c>
      <c r="AF117" s="1430">
        <v>43.472386638805105</v>
      </c>
      <c r="AG117" s="1430">
        <v>18.533685195302713</v>
      </c>
      <c r="AH117" s="1430">
        <v>77.484805457670547</v>
      </c>
      <c r="AI117" s="1430">
        <v>16.155277246115581</v>
      </c>
      <c r="AJ117" s="1430">
        <v>17.993610945590966</v>
      </c>
      <c r="AK117" s="1430">
        <v>67.999030192242486</v>
      </c>
      <c r="AL117" s="1430">
        <v>89.119097695000008</v>
      </c>
      <c r="AM117" s="1430">
        <v>100.35223031139986</v>
      </c>
      <c r="AN117" s="1430">
        <v>111.60286626803763</v>
      </c>
      <c r="AO117" s="1430">
        <v>137.57574421628951</v>
      </c>
      <c r="AP117" s="1430">
        <v>125.22976689698849</v>
      </c>
      <c r="AQ117" s="1430">
        <v>144.43038550006108</v>
      </c>
      <c r="AR117" s="1430">
        <v>152.95609016132573</v>
      </c>
      <c r="AS117" s="1430">
        <v>176.888877951095</v>
      </c>
      <c r="AT117" s="1430">
        <v>200.54974676908668</v>
      </c>
    </row>
    <row r="118" spans="1:46">
      <c r="A118" s="79"/>
      <c r="D118" s="2048" t="s">
        <v>3671</v>
      </c>
      <c r="E118" s="2048"/>
      <c r="F118" s="2046"/>
      <c r="G118" s="2046"/>
      <c r="H118" s="2046"/>
      <c r="I118" s="2049"/>
      <c r="J118" s="2049"/>
      <c r="K118" s="2049"/>
      <c r="L118" s="2049"/>
      <c r="M118" s="2049"/>
      <c r="N118" s="2049"/>
      <c r="O118" s="2049"/>
      <c r="P118" s="2049"/>
      <c r="Q118" s="2049"/>
      <c r="R118" s="2049"/>
      <c r="S118" s="2049"/>
      <c r="T118" s="2049"/>
      <c r="U118" s="2049"/>
      <c r="V118" s="2052"/>
      <c r="W118" s="2052"/>
      <c r="X118" s="2052"/>
      <c r="Y118" s="2052"/>
      <c r="Z118" s="1430"/>
      <c r="AA118" s="1430">
        <v>0</v>
      </c>
      <c r="AB118" s="1430">
        <v>0</v>
      </c>
      <c r="AC118" s="1430">
        <v>0</v>
      </c>
      <c r="AD118" s="1430">
        <v>0</v>
      </c>
      <c r="AE118" s="1430">
        <v>10</v>
      </c>
      <c r="AF118" s="1430">
        <v>22.5</v>
      </c>
      <c r="AG118" s="1430">
        <v>0</v>
      </c>
      <c r="AH118" s="1430">
        <v>0</v>
      </c>
      <c r="AI118" s="1430">
        <v>0</v>
      </c>
      <c r="AJ118" s="1430">
        <v>0</v>
      </c>
      <c r="AK118" s="1430">
        <v>0</v>
      </c>
      <c r="AL118" s="1430">
        <v>0</v>
      </c>
      <c r="AM118" s="1430">
        <v>0</v>
      </c>
      <c r="AN118" s="1430">
        <v>0</v>
      </c>
      <c r="AO118" s="1430">
        <v>0</v>
      </c>
      <c r="AP118" s="1430">
        <v>0</v>
      </c>
      <c r="AQ118" s="1430">
        <v>13.906121449999999</v>
      </c>
      <c r="AR118" s="1430">
        <v>23.554722822399096</v>
      </c>
      <c r="AS118" s="1430">
        <v>27.098502076880155</v>
      </c>
      <c r="AT118" s="1430">
        <v>28.198143429283665</v>
      </c>
    </row>
    <row r="119" spans="1:46">
      <c r="A119" s="79"/>
      <c r="D119" s="2048" t="s">
        <v>3672</v>
      </c>
      <c r="E119" s="2048"/>
      <c r="F119" s="2046"/>
      <c r="G119" s="2046"/>
      <c r="H119" s="2046"/>
      <c r="I119" s="2049"/>
      <c r="J119" s="2049"/>
      <c r="K119" s="2049"/>
      <c r="L119" s="2049"/>
      <c r="M119" s="2049"/>
      <c r="N119" s="2049"/>
      <c r="O119" s="2049"/>
      <c r="P119" s="2049"/>
      <c r="Q119" s="2049"/>
      <c r="R119" s="2049"/>
      <c r="S119" s="2049"/>
      <c r="T119" s="2049"/>
      <c r="U119" s="2049"/>
      <c r="V119" s="2052"/>
      <c r="W119" s="2052"/>
      <c r="X119" s="2052"/>
      <c r="Y119" s="2052"/>
      <c r="Z119" s="1430"/>
      <c r="AA119" s="1430">
        <v>0</v>
      </c>
      <c r="AB119" s="1430">
        <v>0</v>
      </c>
      <c r="AC119" s="1430">
        <v>0</v>
      </c>
      <c r="AD119" s="1430">
        <v>0</v>
      </c>
      <c r="AE119" s="1430">
        <v>4.4248711703226062</v>
      </c>
      <c r="AF119" s="1430">
        <v>4.7831465708026588</v>
      </c>
      <c r="AG119" s="1430">
        <v>5.1704310102492377</v>
      </c>
      <c r="AH119" s="1430">
        <v>0</v>
      </c>
      <c r="AI119" s="1430">
        <v>0</v>
      </c>
      <c r="AJ119" s="1430">
        <v>0</v>
      </c>
      <c r="AK119" s="1430">
        <v>0</v>
      </c>
      <c r="AL119" s="1430">
        <v>0</v>
      </c>
      <c r="AM119" s="1430">
        <v>0</v>
      </c>
      <c r="AN119" s="1430">
        <v>0</v>
      </c>
      <c r="AO119" s="1430">
        <v>0</v>
      </c>
      <c r="AP119" s="1430">
        <v>0</v>
      </c>
      <c r="AQ119" s="1430">
        <v>0</v>
      </c>
      <c r="AR119" s="1430">
        <v>2.4754999999999998</v>
      </c>
      <c r="AS119" s="1430">
        <v>6.0990799999999998</v>
      </c>
      <c r="AT119" s="1430">
        <v>8.6830200000000008</v>
      </c>
    </row>
    <row r="120" spans="1:46">
      <c r="A120" s="79"/>
      <c r="D120" s="2048" t="s">
        <v>3673</v>
      </c>
      <c r="E120" s="2048"/>
      <c r="F120" s="2046"/>
      <c r="G120" s="2046"/>
      <c r="H120" s="2046"/>
      <c r="I120" s="2049"/>
      <c r="J120" s="2049"/>
      <c r="K120" s="2049"/>
      <c r="L120" s="2049"/>
      <c r="M120" s="2049"/>
      <c r="N120" s="2049"/>
      <c r="O120" s="2049"/>
      <c r="P120" s="2049"/>
      <c r="Q120" s="2049"/>
      <c r="R120" s="2049"/>
      <c r="S120" s="2049"/>
      <c r="T120" s="2049"/>
      <c r="U120" s="2049"/>
      <c r="V120" s="2052"/>
      <c r="W120" s="2052"/>
      <c r="X120" s="2052"/>
      <c r="Y120" s="2052"/>
      <c r="Z120" s="1430"/>
      <c r="AA120" s="1430">
        <v>0</v>
      </c>
      <c r="AB120" s="1430">
        <v>0</v>
      </c>
      <c r="AC120" s="1430">
        <v>0</v>
      </c>
      <c r="AD120" s="1430">
        <v>0</v>
      </c>
      <c r="AE120" s="1430">
        <v>0</v>
      </c>
      <c r="AF120" s="1430">
        <v>0</v>
      </c>
      <c r="AG120" s="1430">
        <v>0</v>
      </c>
      <c r="AH120" s="1430">
        <v>60.399999999999942</v>
      </c>
      <c r="AI120" s="1430">
        <v>0</v>
      </c>
      <c r="AJ120" s="1430">
        <v>0</v>
      </c>
      <c r="AK120" s="1430">
        <v>0</v>
      </c>
      <c r="AL120" s="1430">
        <v>0</v>
      </c>
      <c r="AM120" s="1430">
        <v>0</v>
      </c>
      <c r="AN120" s="1430">
        <v>0</v>
      </c>
      <c r="AO120" s="1430">
        <v>0</v>
      </c>
      <c r="AP120" s="1430">
        <v>0</v>
      </c>
      <c r="AQ120" s="1430">
        <v>0</v>
      </c>
      <c r="AR120" s="1430">
        <v>0</v>
      </c>
      <c r="AS120" s="1430">
        <v>0</v>
      </c>
      <c r="AT120" s="1430">
        <v>0</v>
      </c>
    </row>
    <row r="121" spans="1:46">
      <c r="A121" s="79"/>
      <c r="D121" s="2048" t="s">
        <v>3674</v>
      </c>
      <c r="E121" s="2048"/>
      <c r="F121" s="2046"/>
      <c r="G121" s="2046"/>
      <c r="H121" s="2046"/>
      <c r="I121" s="2049"/>
      <c r="J121" s="2049"/>
      <c r="K121" s="2049"/>
      <c r="L121" s="2049"/>
      <c r="M121" s="2049"/>
      <c r="N121" s="2049"/>
      <c r="O121" s="2049"/>
      <c r="P121" s="2049"/>
      <c r="Q121" s="2049"/>
      <c r="R121" s="2049"/>
      <c r="S121" s="2049"/>
      <c r="T121" s="2049"/>
      <c r="U121" s="2049"/>
      <c r="V121" s="2052"/>
      <c r="W121" s="2052"/>
      <c r="X121" s="2052"/>
      <c r="Y121" s="2052"/>
      <c r="Z121" s="1430"/>
      <c r="AA121" s="1430"/>
      <c r="AB121" s="1430"/>
      <c r="AC121" s="1430"/>
      <c r="AD121" s="1430"/>
      <c r="AE121" s="1430"/>
      <c r="AF121" s="1430"/>
      <c r="AG121" s="1430"/>
      <c r="AH121" s="1430"/>
      <c r="AI121" s="1430"/>
      <c r="AJ121" s="1430"/>
      <c r="AK121" s="1430"/>
      <c r="AL121" s="1430"/>
      <c r="AM121" s="1430"/>
      <c r="AN121" s="1430"/>
      <c r="AO121" s="1430"/>
      <c r="AP121" s="1430"/>
      <c r="AQ121" s="1430"/>
      <c r="AR121" s="1430"/>
      <c r="AS121" s="1430"/>
      <c r="AT121" s="1430"/>
    </row>
    <row r="122" spans="1:46">
      <c r="A122" s="79"/>
      <c r="D122" s="2048" t="s">
        <v>74</v>
      </c>
      <c r="E122" s="2048"/>
      <c r="F122" s="2046"/>
      <c r="G122" s="2046"/>
      <c r="H122" s="2046"/>
      <c r="I122" s="2049"/>
      <c r="J122" s="2049"/>
      <c r="K122" s="2049"/>
      <c r="L122" s="2049"/>
      <c r="M122" s="2049"/>
      <c r="N122" s="2049"/>
      <c r="O122" s="2049"/>
      <c r="P122" s="2049"/>
      <c r="Q122" s="2049"/>
      <c r="R122" s="2049"/>
      <c r="S122" s="2049"/>
      <c r="T122" s="2049"/>
      <c r="U122" s="2049"/>
      <c r="V122" s="2052"/>
      <c r="W122" s="2052"/>
      <c r="X122" s="2052"/>
      <c r="Y122" s="2052"/>
      <c r="Z122" s="1430">
        <v>5.0235030796304452</v>
      </c>
      <c r="AA122" s="1430">
        <v>7.4221066495608197</v>
      </c>
      <c r="AB122" s="1430">
        <v>6.7388271561358231</v>
      </c>
      <c r="AC122" s="1430">
        <v>6.7975531411912016</v>
      </c>
      <c r="AD122" s="1430">
        <v>13.071989597899977</v>
      </c>
      <c r="AE122" s="1430">
        <v>27.90445396612272</v>
      </c>
      <c r="AF122" s="1430">
        <v>390.40075705478426</v>
      </c>
      <c r="AG122" s="1430">
        <v>28.9195513693337</v>
      </c>
      <c r="AH122" s="1430">
        <v>31.658352865999998</v>
      </c>
      <c r="AI122" s="1430">
        <v>40.963089030850867</v>
      </c>
      <c r="AJ122" s="1430">
        <v>49.712568490242283</v>
      </c>
      <c r="AK122" s="1430">
        <v>61.338703710000004</v>
      </c>
      <c r="AL122" s="1430">
        <v>69.322399845536935</v>
      </c>
      <c r="AM122" s="1430">
        <v>77.836170994019028</v>
      </c>
      <c r="AN122" s="1430">
        <v>92.485534634729703</v>
      </c>
      <c r="AO122" s="1430">
        <v>106.37252068595403</v>
      </c>
      <c r="AP122" s="1430">
        <v>734.9824313991395</v>
      </c>
      <c r="AQ122" s="1430">
        <v>119.26540175850141</v>
      </c>
      <c r="AR122" s="1430">
        <v>121.36568644834333</v>
      </c>
      <c r="AS122" s="1430">
        <v>131.67168963880303</v>
      </c>
      <c r="AT122" s="1430">
        <v>134.27894459080306</v>
      </c>
    </row>
    <row r="123" spans="1:46">
      <c r="A123" s="79"/>
      <c r="D123" s="2048" t="s">
        <v>3671</v>
      </c>
      <c r="E123" s="2048"/>
      <c r="F123" s="2046"/>
      <c r="G123" s="2046"/>
      <c r="H123" s="2046"/>
      <c r="I123" s="2049"/>
      <c r="J123" s="2049"/>
      <c r="K123" s="2049"/>
      <c r="L123" s="2049"/>
      <c r="M123" s="2049"/>
      <c r="N123" s="2049"/>
      <c r="O123" s="2049"/>
      <c r="P123" s="2049"/>
      <c r="Q123" s="2049"/>
      <c r="R123" s="2049"/>
      <c r="S123" s="2049"/>
      <c r="T123" s="2049"/>
      <c r="U123" s="2049"/>
      <c r="V123" s="2052"/>
      <c r="W123" s="2052"/>
      <c r="X123" s="2052"/>
      <c r="Y123" s="2052"/>
      <c r="Z123" s="1430"/>
      <c r="AA123" s="1430">
        <v>0</v>
      </c>
      <c r="AB123" s="1430">
        <v>0</v>
      </c>
      <c r="AC123" s="1430">
        <v>0</v>
      </c>
      <c r="AD123" s="1430">
        <v>0</v>
      </c>
      <c r="AE123" s="1430">
        <v>10</v>
      </c>
      <c r="AF123" s="1430">
        <v>22.5</v>
      </c>
      <c r="AG123" s="1430">
        <v>0</v>
      </c>
      <c r="AH123" s="1430">
        <v>0</v>
      </c>
      <c r="AI123" s="1430">
        <v>0</v>
      </c>
      <c r="AJ123" s="1430">
        <v>0</v>
      </c>
      <c r="AK123" s="1430">
        <v>0</v>
      </c>
      <c r="AL123" s="1430">
        <v>0</v>
      </c>
      <c r="AM123" s="1430">
        <v>0</v>
      </c>
      <c r="AN123" s="1430">
        <v>0</v>
      </c>
      <c r="AO123" s="1430">
        <v>0</v>
      </c>
      <c r="AP123" s="1430">
        <v>0</v>
      </c>
      <c r="AQ123" s="1430">
        <v>0</v>
      </c>
      <c r="AR123" s="1430">
        <v>0</v>
      </c>
      <c r="AS123" s="1430">
        <v>0</v>
      </c>
      <c r="AT123" s="1430">
        <v>0</v>
      </c>
    </row>
    <row r="124" spans="1:46">
      <c r="A124" s="79"/>
      <c r="D124" s="2048" t="s">
        <v>3672</v>
      </c>
      <c r="E124" s="2048"/>
      <c r="F124" s="2046"/>
      <c r="G124" s="2046"/>
      <c r="H124" s="2046"/>
      <c r="I124" s="2049"/>
      <c r="J124" s="2049"/>
      <c r="K124" s="2049"/>
      <c r="L124" s="2049"/>
      <c r="M124" s="2049"/>
      <c r="N124" s="2049"/>
      <c r="O124" s="2049"/>
      <c r="P124" s="2049"/>
      <c r="Q124" s="2049"/>
      <c r="R124" s="2049"/>
      <c r="S124" s="2049"/>
      <c r="T124" s="2049"/>
      <c r="U124" s="2049"/>
      <c r="V124" s="2052"/>
      <c r="W124" s="2052"/>
      <c r="X124" s="2052"/>
      <c r="Y124" s="2052"/>
      <c r="Z124" s="1430"/>
      <c r="AA124" s="1430">
        <v>0</v>
      </c>
      <c r="AB124" s="1430">
        <v>0</v>
      </c>
      <c r="AC124" s="1430">
        <v>0</v>
      </c>
      <c r="AD124" s="1430">
        <v>4.2299221017329645</v>
      </c>
      <c r="AE124" s="1430">
        <v>4.5617656225511194</v>
      </c>
      <c r="AF124" s="1430">
        <v>4.9311251681508574</v>
      </c>
      <c r="AG124" s="1430">
        <v>0</v>
      </c>
      <c r="AH124" s="1430">
        <v>0</v>
      </c>
      <c r="AI124" s="1430">
        <v>0</v>
      </c>
      <c r="AJ124" s="1430">
        <v>0</v>
      </c>
      <c r="AK124" s="1430">
        <v>0</v>
      </c>
      <c r="AL124" s="1430">
        <v>0</v>
      </c>
      <c r="AM124" s="1430">
        <v>0</v>
      </c>
      <c r="AN124" s="1430">
        <v>0</v>
      </c>
      <c r="AO124" s="1430">
        <v>0</v>
      </c>
      <c r="AP124" s="1430">
        <v>0</v>
      </c>
      <c r="AQ124" s="1430">
        <v>0</v>
      </c>
      <c r="AR124" s="1430">
        <v>0</v>
      </c>
      <c r="AS124" s="1430">
        <v>0</v>
      </c>
      <c r="AT124" s="1430">
        <v>0</v>
      </c>
    </row>
    <row r="125" spans="1:46">
      <c r="A125" s="79"/>
      <c r="D125" s="2048" t="s">
        <v>3673</v>
      </c>
      <c r="E125" s="2048"/>
      <c r="F125" s="2046"/>
      <c r="G125" s="2046"/>
      <c r="H125" s="2046"/>
      <c r="I125" s="2049"/>
      <c r="J125" s="2049"/>
      <c r="K125" s="2049"/>
      <c r="L125" s="2049"/>
      <c r="M125" s="2049"/>
      <c r="N125" s="2049"/>
      <c r="O125" s="2049"/>
      <c r="P125" s="2049"/>
      <c r="Q125" s="2049"/>
      <c r="R125" s="2049"/>
      <c r="S125" s="2049"/>
      <c r="T125" s="2049"/>
      <c r="U125" s="2049"/>
      <c r="V125" s="2052"/>
      <c r="W125" s="2052"/>
      <c r="X125" s="2052"/>
      <c r="Y125" s="2052"/>
      <c r="Z125" s="1430"/>
      <c r="AA125" s="1430">
        <v>0</v>
      </c>
      <c r="AB125" s="1430">
        <v>0</v>
      </c>
      <c r="AC125" s="1430">
        <v>0</v>
      </c>
      <c r="AD125" s="1430">
        <v>0</v>
      </c>
      <c r="AE125" s="1430">
        <v>0</v>
      </c>
      <c r="AF125" s="1430">
        <v>339.60000000000008</v>
      </c>
      <c r="AG125" s="1430">
        <v>0</v>
      </c>
      <c r="AH125" s="1430">
        <v>0</v>
      </c>
      <c r="AI125" s="1430">
        <v>0</v>
      </c>
      <c r="AJ125" s="1430">
        <v>0</v>
      </c>
      <c r="AK125" s="1430">
        <v>0</v>
      </c>
      <c r="AL125" s="1430">
        <v>0</v>
      </c>
      <c r="AM125" s="1430">
        <v>0</v>
      </c>
      <c r="AN125" s="1430">
        <v>0</v>
      </c>
      <c r="AO125" s="1430">
        <v>0</v>
      </c>
      <c r="AP125" s="1430">
        <v>0</v>
      </c>
      <c r="AQ125" s="1430">
        <v>0</v>
      </c>
      <c r="AR125" s="1430">
        <v>0</v>
      </c>
      <c r="AS125" s="1430">
        <v>0</v>
      </c>
      <c r="AT125" s="1430">
        <v>0</v>
      </c>
    </row>
    <row r="126" spans="1:46">
      <c r="A126" s="79"/>
      <c r="D126" s="2048" t="s">
        <v>3674</v>
      </c>
      <c r="E126" s="2048"/>
      <c r="F126" s="2046"/>
      <c r="G126" s="2046"/>
      <c r="H126" s="2046"/>
      <c r="I126" s="2049"/>
      <c r="J126" s="2049"/>
      <c r="K126" s="2049"/>
      <c r="L126" s="2049"/>
      <c r="M126" s="2049"/>
      <c r="N126" s="2049"/>
      <c r="O126" s="2049"/>
      <c r="P126" s="2049"/>
      <c r="Q126" s="2049"/>
      <c r="R126" s="2049"/>
      <c r="S126" s="2049"/>
      <c r="T126" s="2049"/>
      <c r="U126" s="2049"/>
      <c r="V126" s="2052"/>
      <c r="W126" s="2052"/>
      <c r="X126" s="2052"/>
      <c r="Y126" s="2052"/>
      <c r="Z126" s="1430"/>
      <c r="AA126" s="1430"/>
      <c r="AB126" s="1430"/>
      <c r="AC126" s="1430"/>
      <c r="AD126" s="1430"/>
      <c r="AE126" s="1430"/>
      <c r="AF126" s="1430"/>
      <c r="AG126" s="1430"/>
      <c r="AH126" s="1430"/>
      <c r="AI126" s="1430"/>
      <c r="AJ126" s="1430"/>
      <c r="AK126" s="1430"/>
      <c r="AL126" s="1430"/>
      <c r="AM126" s="1430"/>
      <c r="AN126" s="1430"/>
      <c r="AO126" s="1430"/>
      <c r="AP126" s="1430"/>
      <c r="AQ126" s="1430"/>
      <c r="AR126" s="1430"/>
      <c r="AS126" s="1430"/>
      <c r="AT126" s="1430"/>
    </row>
    <row r="127" spans="1:46" customFormat="1" ht="14.4">
      <c r="A127" s="79"/>
      <c r="B127" s="74"/>
      <c r="C127" s="74"/>
      <c r="D127" s="2048" t="s">
        <v>75</v>
      </c>
      <c r="E127" s="2048"/>
      <c r="F127" s="2046"/>
      <c r="G127" s="2046"/>
      <c r="H127" s="2046"/>
      <c r="I127" s="2049"/>
      <c r="J127" s="2049"/>
      <c r="K127" s="2049"/>
      <c r="L127" s="2049"/>
      <c r="M127" s="2049"/>
      <c r="N127" s="2049"/>
      <c r="O127" s="2049"/>
      <c r="P127" s="2049"/>
      <c r="Q127" s="2049"/>
      <c r="R127" s="2049"/>
      <c r="S127" s="2049"/>
      <c r="T127" s="2049"/>
      <c r="U127" s="2049"/>
      <c r="V127" s="2052"/>
      <c r="W127" s="2052"/>
      <c r="X127" s="2052"/>
      <c r="Y127" s="2052"/>
      <c r="Z127" s="1430">
        <v>5.3691660546844986</v>
      </c>
      <c r="AA127" s="1430">
        <v>6.3522687949418009</v>
      </c>
      <c r="AB127" s="1430">
        <v>7.4426786111358227</v>
      </c>
      <c r="AC127" s="1430">
        <v>8.330882753306847</v>
      </c>
      <c r="AD127" s="1430">
        <v>13.202852813068692</v>
      </c>
      <c r="AE127" s="1430">
        <v>28.045583589461174</v>
      </c>
      <c r="AF127" s="1430">
        <v>40.00601774164398</v>
      </c>
      <c r="AG127" s="1430">
        <v>15.505314356333699</v>
      </c>
      <c r="AH127" s="1430">
        <v>14.037983857999999</v>
      </c>
      <c r="AI127" s="1430">
        <v>23.094416708850858</v>
      </c>
      <c r="AJ127" s="1430">
        <v>46.244120676537754</v>
      </c>
      <c r="AK127" s="1430">
        <v>81.740329994000007</v>
      </c>
      <c r="AL127" s="1430">
        <v>93.059781005536948</v>
      </c>
      <c r="AM127" s="1430">
        <v>103.57946498201905</v>
      </c>
      <c r="AN127" s="1430">
        <v>123.27764451772971</v>
      </c>
      <c r="AO127" s="1430">
        <v>119.81264470095401</v>
      </c>
      <c r="AP127" s="1430">
        <v>139.74439369813956</v>
      </c>
      <c r="AQ127" s="1430">
        <v>154.37175309490053</v>
      </c>
      <c r="AR127" s="1430">
        <v>166.43533690522347</v>
      </c>
      <c r="AS127" s="1430">
        <v>186.22120017108674</v>
      </c>
      <c r="AT127" s="1430">
        <v>200.20791094062068</v>
      </c>
    </row>
    <row r="128" spans="1:46" customFormat="1" ht="14.4">
      <c r="A128" s="79"/>
      <c r="B128" s="74"/>
      <c r="C128" s="74"/>
      <c r="D128" s="2048" t="s">
        <v>3671</v>
      </c>
      <c r="E128" s="2048"/>
      <c r="F128" s="2046"/>
      <c r="G128" s="2046"/>
      <c r="H128" s="2046"/>
      <c r="I128" s="2049"/>
      <c r="J128" s="2049"/>
      <c r="K128" s="2049"/>
      <c r="L128" s="2049"/>
      <c r="M128" s="2049"/>
      <c r="N128" s="2049"/>
      <c r="O128" s="2049"/>
      <c r="P128" s="2049"/>
      <c r="Q128" s="2049"/>
      <c r="R128" s="2049"/>
      <c r="S128" s="2049"/>
      <c r="T128" s="2049"/>
      <c r="U128" s="2049"/>
      <c r="V128" s="2052"/>
      <c r="W128" s="2052"/>
      <c r="X128" s="2052"/>
      <c r="Y128" s="2052"/>
      <c r="Z128" s="1430"/>
      <c r="AA128" s="1430">
        <v>0</v>
      </c>
      <c r="AB128" s="1430">
        <v>0</v>
      </c>
      <c r="AC128" s="1430">
        <v>0</v>
      </c>
      <c r="AD128" s="1430">
        <v>0</v>
      </c>
      <c r="AE128" s="1430">
        <v>10</v>
      </c>
      <c r="AF128" s="1430">
        <v>22.5</v>
      </c>
      <c r="AG128" s="1430">
        <v>0</v>
      </c>
      <c r="AH128" s="1430">
        <v>0</v>
      </c>
      <c r="AI128" s="1430">
        <v>0</v>
      </c>
      <c r="AJ128" s="1430">
        <v>0</v>
      </c>
      <c r="AK128" s="1430">
        <v>0</v>
      </c>
      <c r="AL128" s="1430">
        <v>0</v>
      </c>
      <c r="AM128" s="1430">
        <v>0</v>
      </c>
      <c r="AN128" s="1430">
        <v>0</v>
      </c>
      <c r="AO128" s="1430">
        <v>0</v>
      </c>
      <c r="AP128" s="1430">
        <v>12.273090249999999</v>
      </c>
      <c r="AQ128" s="1430">
        <v>20.469474272399097</v>
      </c>
      <c r="AR128" s="1430">
        <v>26.489138076880156</v>
      </c>
      <c r="AS128" s="1430">
        <v>27.91436422928366</v>
      </c>
      <c r="AT128" s="1430">
        <v>28.201403616817668</v>
      </c>
    </row>
    <row r="129" spans="1:57" customFormat="1" ht="14.4">
      <c r="A129" s="79"/>
      <c r="B129" s="74"/>
      <c r="C129" s="74"/>
      <c r="D129" s="2048" t="s">
        <v>3672</v>
      </c>
      <c r="E129" s="2048"/>
      <c r="F129" s="2046"/>
      <c r="G129" s="2046"/>
      <c r="H129" s="2046"/>
      <c r="I129" s="2049"/>
      <c r="J129" s="2049"/>
      <c r="K129" s="2049"/>
      <c r="L129" s="2049"/>
      <c r="M129" s="2049"/>
      <c r="N129" s="2049"/>
      <c r="O129" s="2049"/>
      <c r="P129" s="2049"/>
      <c r="Q129" s="2049"/>
      <c r="R129" s="2049"/>
      <c r="S129" s="2049"/>
      <c r="T129" s="2049"/>
      <c r="U129" s="2049"/>
      <c r="V129" s="2052"/>
      <c r="W129" s="2052"/>
      <c r="X129" s="2052"/>
      <c r="Y129" s="2052"/>
      <c r="Z129" s="1430"/>
      <c r="AA129" s="1430">
        <v>0</v>
      </c>
      <c r="AB129" s="1430">
        <v>0</v>
      </c>
      <c r="AC129" s="1430">
        <v>0</v>
      </c>
      <c r="AD129" s="1430">
        <v>4.3607853169016799</v>
      </c>
      <c r="AE129" s="1430">
        <v>4.7028952458895708</v>
      </c>
      <c r="AF129" s="1430">
        <v>5.0836818530107415</v>
      </c>
      <c r="AG129" s="1430">
        <v>0</v>
      </c>
      <c r="AH129" s="1430">
        <v>0</v>
      </c>
      <c r="AI129" s="1430">
        <v>0</v>
      </c>
      <c r="AJ129" s="1430">
        <v>0</v>
      </c>
      <c r="AK129" s="1430">
        <v>0</v>
      </c>
      <c r="AL129" s="1430">
        <v>0</v>
      </c>
      <c r="AM129" s="1430">
        <v>0</v>
      </c>
      <c r="AN129" s="1430">
        <v>0</v>
      </c>
      <c r="AO129" s="1430">
        <v>0</v>
      </c>
      <c r="AP129" s="1430">
        <v>0</v>
      </c>
      <c r="AQ129" s="1430">
        <v>0</v>
      </c>
      <c r="AR129" s="1430">
        <v>3.0752730000000001</v>
      </c>
      <c r="AS129" s="1430">
        <v>7.8002000000000002</v>
      </c>
      <c r="AT129" s="1430">
        <v>10.382250000000001</v>
      </c>
    </row>
    <row r="130" spans="1:57" customFormat="1" ht="14.4">
      <c r="A130" s="79"/>
      <c r="B130" s="74"/>
      <c r="C130" s="74"/>
      <c r="D130" s="2048" t="s">
        <v>3673</v>
      </c>
      <c r="E130" s="2048"/>
      <c r="F130" s="2046"/>
      <c r="G130" s="2046"/>
      <c r="H130" s="2046"/>
      <c r="I130" s="2049"/>
      <c r="J130" s="2049"/>
      <c r="K130" s="2049"/>
      <c r="L130" s="2049"/>
      <c r="M130" s="2049"/>
      <c r="N130" s="2049"/>
      <c r="O130" s="2049"/>
      <c r="P130" s="2049"/>
      <c r="Q130" s="2049"/>
      <c r="R130" s="2049"/>
      <c r="S130" s="2049"/>
      <c r="T130" s="2049"/>
      <c r="U130" s="2049"/>
      <c r="V130" s="2052"/>
      <c r="W130" s="2052"/>
      <c r="X130" s="2052"/>
      <c r="Y130" s="2052"/>
      <c r="Z130" s="1430"/>
      <c r="AA130" s="1430">
        <v>0</v>
      </c>
      <c r="AB130" s="1430">
        <v>0</v>
      </c>
      <c r="AC130" s="1430">
        <v>0</v>
      </c>
      <c r="AD130" s="1430">
        <v>0</v>
      </c>
      <c r="AE130" s="1430">
        <v>0</v>
      </c>
      <c r="AF130" s="1430">
        <v>0</v>
      </c>
      <c r="AG130" s="1430">
        <v>0</v>
      </c>
      <c r="AH130" s="1430">
        <v>0</v>
      </c>
      <c r="AI130" s="1430">
        <v>0</v>
      </c>
      <c r="AJ130" s="1430">
        <v>0</v>
      </c>
      <c r="AK130" s="1430">
        <v>0</v>
      </c>
      <c r="AL130" s="1430">
        <v>0</v>
      </c>
      <c r="AM130" s="1430">
        <v>0</v>
      </c>
      <c r="AN130" s="1430">
        <v>0</v>
      </c>
      <c r="AO130" s="1430">
        <v>0</v>
      </c>
      <c r="AP130" s="1430">
        <v>0</v>
      </c>
      <c r="AQ130" s="1430">
        <v>0</v>
      </c>
      <c r="AR130" s="1430">
        <v>0</v>
      </c>
      <c r="AS130" s="1430">
        <v>0</v>
      </c>
      <c r="AT130" s="1430">
        <v>0</v>
      </c>
    </row>
    <row r="131" spans="1:57" customFormat="1" ht="14.4">
      <c r="A131" s="79"/>
      <c r="B131" s="74"/>
      <c r="C131" s="74"/>
      <c r="D131" s="2048" t="s">
        <v>3674</v>
      </c>
      <c r="E131" s="2048"/>
      <c r="F131" s="2046"/>
      <c r="G131" s="2046"/>
      <c r="H131" s="2046"/>
      <c r="I131" s="2049"/>
      <c r="J131" s="2049"/>
      <c r="K131" s="2049"/>
      <c r="L131" s="2049"/>
      <c r="M131" s="2049"/>
      <c r="N131" s="2049"/>
      <c r="O131" s="2049"/>
      <c r="P131" s="2049"/>
      <c r="Q131" s="2049"/>
      <c r="R131" s="2049"/>
      <c r="S131" s="2049"/>
      <c r="T131" s="2049"/>
      <c r="U131" s="2049"/>
      <c r="V131" s="2052"/>
      <c r="W131" s="2052"/>
      <c r="X131" s="2052"/>
      <c r="Y131" s="2052"/>
      <c r="Z131" s="1430"/>
      <c r="AA131" s="1430"/>
      <c r="AB131" s="1430"/>
      <c r="AC131" s="1430"/>
      <c r="AD131" s="1430"/>
      <c r="AE131" s="1430"/>
      <c r="AF131" s="1430"/>
      <c r="AG131" s="1430"/>
      <c r="AH131" s="1430"/>
      <c r="AI131" s="1430"/>
      <c r="AJ131" s="1430"/>
      <c r="AK131" s="1430"/>
      <c r="AL131" s="1430"/>
      <c r="AM131" s="1430"/>
      <c r="AN131" s="1430"/>
      <c r="AO131" s="1430"/>
      <c r="AP131" s="1430"/>
      <c r="AQ131" s="1430"/>
      <c r="AR131" s="1430"/>
      <c r="AS131" s="1430"/>
      <c r="AT131" s="1430"/>
    </row>
    <row r="132" spans="1:57" customFormat="1" ht="14.4">
      <c r="A132" s="79"/>
      <c r="B132" s="74"/>
      <c r="C132" s="74" t="s">
        <v>27</v>
      </c>
      <c r="D132" s="2157" t="s">
        <v>3797</v>
      </c>
      <c r="E132" s="2053" t="s">
        <v>1202</v>
      </c>
      <c r="F132" s="2046"/>
      <c r="G132" s="2046"/>
      <c r="H132" s="2046"/>
      <c r="I132" s="2049"/>
      <c r="J132" s="2049"/>
      <c r="K132" s="2049"/>
      <c r="L132" s="2049"/>
      <c r="M132" s="2049"/>
      <c r="N132" s="2049"/>
      <c r="O132" s="2049"/>
      <c r="P132" s="2049"/>
      <c r="Q132" s="2049"/>
      <c r="R132" s="2049"/>
      <c r="S132" s="2049"/>
      <c r="T132" s="2049"/>
      <c r="U132" s="2049"/>
      <c r="V132" s="2052"/>
      <c r="W132" s="2052"/>
      <c r="X132" s="2052"/>
      <c r="Y132" s="2052"/>
      <c r="Z132" s="1430">
        <v>2.3359519999999998</v>
      </c>
      <c r="AA132" s="1430">
        <v>1.8429387041158216</v>
      </c>
      <c r="AB132" s="1430">
        <v>1.6055905376766626</v>
      </c>
      <c r="AC132" s="1430">
        <v>1.1169325479489829</v>
      </c>
      <c r="AD132" s="1430">
        <v>7.5440416619844172E-2</v>
      </c>
      <c r="AE132" s="1430">
        <v>22.56338028169014</v>
      </c>
      <c r="AF132" s="1430">
        <v>37.622928722063968</v>
      </c>
      <c r="AG132" s="1430">
        <v>46.699942677515594</v>
      </c>
      <c r="AH132" s="1430">
        <v>46.930666401195914</v>
      </c>
      <c r="AI132" s="1430">
        <v>35.313190971540443</v>
      </c>
      <c r="AJ132" s="1430">
        <v>38.502680257999998</v>
      </c>
      <c r="AK132" s="1430">
        <v>43.960337822999996</v>
      </c>
      <c r="AL132" s="1430">
        <v>43.960337822999996</v>
      </c>
      <c r="AM132" s="1430">
        <v>57.659174832000005</v>
      </c>
      <c r="AN132" s="1430">
        <v>57.659174832000005</v>
      </c>
      <c r="AO132" s="1430">
        <v>35.657643256000007</v>
      </c>
      <c r="AP132" s="1430">
        <v>13.65611168</v>
      </c>
      <c r="AQ132" s="1430">
        <v>0</v>
      </c>
      <c r="AR132" s="1430">
        <v>5.068092482</v>
      </c>
      <c r="AS132" s="1430">
        <v>19.145153947999997</v>
      </c>
      <c r="AT132" s="1430">
        <v>32.938209370000003</v>
      </c>
    </row>
    <row r="133" spans="1:57" customFormat="1" ht="14.4">
      <c r="A133" s="79"/>
      <c r="B133" s="74"/>
      <c r="C133" s="74"/>
      <c r="D133" s="2045" t="s">
        <v>1203</v>
      </c>
      <c r="E133" s="2048"/>
      <c r="F133" s="2046"/>
      <c r="G133" s="2046"/>
      <c r="H133" s="2046"/>
      <c r="I133" s="2049">
        <v>23.61</v>
      </c>
      <c r="J133" s="2049">
        <v>13.299999999999999</v>
      </c>
      <c r="K133" s="2049">
        <v>17.423999999999999</v>
      </c>
      <c r="L133" s="2049">
        <v>13.975000000000001</v>
      </c>
      <c r="M133" s="2049">
        <v>13.2</v>
      </c>
      <c r="N133" s="2049">
        <v>15.355599999999999</v>
      </c>
      <c r="O133" s="2049">
        <v>20.284299999999998</v>
      </c>
      <c r="P133" s="2049">
        <v>17.01617741935484</v>
      </c>
      <c r="Q133" s="2049">
        <v>12.144556469089734</v>
      </c>
      <c r="R133" s="2049">
        <v>6.1791785835762871</v>
      </c>
      <c r="S133" s="2049">
        <v>6.93</v>
      </c>
      <c r="T133" s="2049">
        <v>7.2682661853888897</v>
      </c>
      <c r="U133" s="2049">
        <v>7.83</v>
      </c>
      <c r="V133" s="2050">
        <v>8.1141288803596598</v>
      </c>
      <c r="W133" s="2050">
        <v>9.1999999999999993</v>
      </c>
      <c r="X133" s="2050">
        <v>32.334940488410602</v>
      </c>
      <c r="Y133" s="2050">
        <v>38.952314913680297</v>
      </c>
      <c r="Z133" s="2051">
        <v>42.593214676234005</v>
      </c>
      <c r="AA133" s="2051">
        <v>43.484013155342566</v>
      </c>
      <c r="AB133" s="2051">
        <v>47.003065977766866</v>
      </c>
      <c r="AC133" s="2051">
        <v>72.90926695107062</v>
      </c>
      <c r="AD133" s="2051">
        <v>74.829686698271502</v>
      </c>
      <c r="AE133" s="2051">
        <v>73.562245361468229</v>
      </c>
      <c r="AF133" s="2051">
        <v>68.583448535830087</v>
      </c>
      <c r="AG133" s="2051">
        <v>99.056846849611688</v>
      </c>
      <c r="AH133" s="2051">
        <v>118.73605389166306</v>
      </c>
      <c r="AI133" s="2051">
        <v>165.27685138986197</v>
      </c>
      <c r="AJ133" s="2051">
        <v>167.11060987246239</v>
      </c>
      <c r="AK133" s="2051">
        <v>228.70940373424233</v>
      </c>
      <c r="AL133" s="2051">
        <v>222.44020325701513</v>
      </c>
      <c r="AM133" s="2051">
        <v>229.26786129390675</v>
      </c>
      <c r="AN133" s="2051">
        <v>241.47885395919008</v>
      </c>
      <c r="AO133" s="2051">
        <v>246.84885460220653</v>
      </c>
      <c r="AP133" s="2051">
        <v>255.20876070417944</v>
      </c>
      <c r="AQ133" s="2051">
        <v>223.43758930418568</v>
      </c>
      <c r="AR133" s="2051">
        <v>219.76124516710553</v>
      </c>
      <c r="AS133" s="2051">
        <v>210.95009362460556</v>
      </c>
      <c r="AT133" s="2051">
        <v>201.22764628110556</v>
      </c>
      <c r="AW133" s="1015"/>
      <c r="AX133" s="1015"/>
      <c r="AY133" s="1015"/>
      <c r="AZ133" s="1015"/>
      <c r="BA133" s="1015"/>
      <c r="BB133" s="1015"/>
      <c r="BC133" s="1015"/>
      <c r="BD133" s="1015">
        <v>46.877443891745742</v>
      </c>
      <c r="BE133" s="1015">
        <v>38.721711426306285</v>
      </c>
    </row>
    <row r="134" spans="1:57" customFormat="1" ht="14.4">
      <c r="A134" s="79"/>
      <c r="B134" s="74"/>
      <c r="C134" s="74"/>
      <c r="D134" s="2048" t="s">
        <v>72</v>
      </c>
      <c r="E134" s="2048"/>
      <c r="F134" s="2046"/>
      <c r="G134" s="2046"/>
      <c r="H134" s="2046"/>
      <c r="I134" s="2046"/>
      <c r="J134" s="2046"/>
      <c r="K134" s="2046"/>
      <c r="L134" s="2046"/>
      <c r="M134" s="2046"/>
      <c r="N134" s="2046"/>
      <c r="O134" s="2046"/>
      <c r="P134" s="2046"/>
      <c r="Q134" s="2046"/>
      <c r="R134" s="2046"/>
      <c r="S134" s="2046"/>
      <c r="T134" s="2046"/>
      <c r="U134" s="2046"/>
      <c r="V134" s="2052"/>
      <c r="W134" s="2052"/>
      <c r="X134" s="2052"/>
      <c r="Y134" s="2052"/>
      <c r="Z134" s="1430">
        <v>18.149438683403716</v>
      </c>
      <c r="AA134" s="1430">
        <v>5.1500999282578128</v>
      </c>
      <c r="AB134" s="1430">
        <v>6.8147203896917166</v>
      </c>
      <c r="AC134" s="1430">
        <v>11.78897573558204</v>
      </c>
      <c r="AD134" s="1430">
        <v>18.462677517400873</v>
      </c>
      <c r="AE134" s="1430">
        <v>15.348891100539719</v>
      </c>
      <c r="AF134" s="1430">
        <v>11.122639288074643</v>
      </c>
      <c r="AG134" s="1430">
        <v>34.614224297881094</v>
      </c>
      <c r="AH134" s="1430">
        <v>35.440142143138353</v>
      </c>
      <c r="AI134" s="1430">
        <v>39.810592235093132</v>
      </c>
      <c r="AJ134" s="1430">
        <v>42.241448285909996</v>
      </c>
      <c r="AK134" s="1430">
        <v>43.641309512021927</v>
      </c>
      <c r="AL134" s="1430">
        <v>47.421166988729048</v>
      </c>
      <c r="AM134" s="1430">
        <v>48.585577633777071</v>
      </c>
      <c r="AN134" s="1430">
        <v>49.641676668847929</v>
      </c>
      <c r="AO134" s="1430">
        <v>50.973776171339566</v>
      </c>
      <c r="AP134" s="1430">
        <v>52.79654636352447</v>
      </c>
      <c r="AQ134" s="1430">
        <v>36.893526355347703</v>
      </c>
      <c r="AR134" s="1430">
        <v>36.478890630557636</v>
      </c>
      <c r="AS134" s="1430">
        <v>35.480432507557644</v>
      </c>
      <c r="AT134" s="1430">
        <v>34.469667867557639</v>
      </c>
      <c r="AW134" s="1015"/>
      <c r="AX134" s="1015"/>
      <c r="AY134" s="1015"/>
      <c r="AZ134" s="1015"/>
      <c r="BA134" s="1015"/>
      <c r="BB134" s="1015"/>
      <c r="BC134" s="1015"/>
      <c r="BD134" s="1015">
        <f t="shared" ref="BD134:BE134" si="1">AQ135+AQ136+AQ141+AQ142+AQ147+AQ148+AQ153+AQ154</f>
        <v>63.631101099374995</v>
      </c>
      <c r="BE134" s="1015">
        <f t="shared" si="1"/>
        <v>65.236995673875001</v>
      </c>
    </row>
    <row r="135" spans="1:57" customFormat="1" ht="14.4">
      <c r="A135" s="79"/>
      <c r="B135" s="74"/>
      <c r="C135" s="74"/>
      <c r="D135" s="2048" t="s">
        <v>3671</v>
      </c>
      <c r="E135" s="2048"/>
      <c r="F135" s="2046"/>
      <c r="G135" s="2046"/>
      <c r="H135" s="2046"/>
      <c r="I135" s="2046"/>
      <c r="J135" s="2046"/>
      <c r="K135" s="2046"/>
      <c r="L135" s="2046"/>
      <c r="M135" s="2046"/>
      <c r="N135" s="2046"/>
      <c r="O135" s="2046"/>
      <c r="P135" s="2046"/>
      <c r="Q135" s="2046"/>
      <c r="R135" s="2046"/>
      <c r="S135" s="2046"/>
      <c r="T135" s="2046"/>
      <c r="U135" s="2046"/>
      <c r="V135" s="2052"/>
      <c r="W135" s="2052"/>
      <c r="X135" s="2052"/>
      <c r="Y135" s="2052"/>
      <c r="Z135" s="1430"/>
      <c r="AA135" s="1430">
        <v>0</v>
      </c>
      <c r="AB135" s="1430">
        <v>2.6</v>
      </c>
      <c r="AC135" s="1430">
        <v>2.6</v>
      </c>
      <c r="AD135" s="1430">
        <v>2.9205655555555556</v>
      </c>
      <c r="AE135" s="1430">
        <v>2.711545525</v>
      </c>
      <c r="AF135" s="1430">
        <v>2.1386912513914358</v>
      </c>
      <c r="AG135" s="1430">
        <v>0</v>
      </c>
      <c r="AH135" s="1430">
        <v>0</v>
      </c>
      <c r="AI135" s="1430">
        <v>0</v>
      </c>
      <c r="AJ135" s="1430">
        <v>0</v>
      </c>
      <c r="AK135" s="1430">
        <v>0</v>
      </c>
      <c r="AL135" s="1430">
        <v>0</v>
      </c>
      <c r="AM135" s="1430">
        <v>0</v>
      </c>
      <c r="AN135" s="1430">
        <v>0</v>
      </c>
      <c r="AO135" s="1430">
        <v>0</v>
      </c>
      <c r="AP135" s="1430">
        <v>0</v>
      </c>
      <c r="AQ135" s="1430">
        <v>0</v>
      </c>
      <c r="AR135" s="1430">
        <v>0</v>
      </c>
      <c r="AS135" s="1430">
        <v>0</v>
      </c>
      <c r="AT135" s="1430">
        <v>0</v>
      </c>
    </row>
    <row r="136" spans="1:57" customFormat="1" ht="14.4">
      <c r="A136" s="79"/>
      <c r="B136" s="74"/>
      <c r="C136" s="74"/>
      <c r="D136" s="2048" t="s">
        <v>3672</v>
      </c>
      <c r="E136" s="2048"/>
      <c r="F136" s="2046"/>
      <c r="G136" s="2046"/>
      <c r="H136" s="2046"/>
      <c r="I136" s="2046"/>
      <c r="J136" s="2046"/>
      <c r="K136" s="2046"/>
      <c r="L136" s="2046"/>
      <c r="M136" s="2046"/>
      <c r="N136" s="2046"/>
      <c r="O136" s="2046"/>
      <c r="P136" s="2046"/>
      <c r="Q136" s="2046"/>
      <c r="R136" s="2046"/>
      <c r="S136" s="2046"/>
      <c r="T136" s="2046"/>
      <c r="U136" s="2046"/>
      <c r="V136" s="2052"/>
      <c r="W136" s="2052"/>
      <c r="X136" s="2052"/>
      <c r="Y136" s="2052"/>
      <c r="Z136" s="1430"/>
      <c r="AA136" s="1430">
        <v>0</v>
      </c>
      <c r="AB136" s="1430">
        <v>0</v>
      </c>
      <c r="AC136" s="1430">
        <v>1.985830165392088</v>
      </c>
      <c r="AD136" s="1430">
        <v>1.8671371589293664</v>
      </c>
      <c r="AE136" s="1430">
        <v>1.5288356756546602</v>
      </c>
      <c r="AF136" s="1430">
        <v>0.93065014789240974</v>
      </c>
      <c r="AG136" s="1430">
        <v>0.31512015792037995</v>
      </c>
      <c r="AH136" s="1430">
        <v>0</v>
      </c>
      <c r="AI136" s="1430">
        <v>0</v>
      </c>
      <c r="AJ136" s="1430">
        <v>0</v>
      </c>
      <c r="AK136" s="1430">
        <v>0</v>
      </c>
      <c r="AL136" s="1430">
        <v>0</v>
      </c>
      <c r="AM136" s="1430">
        <v>0</v>
      </c>
      <c r="AN136" s="1430">
        <v>0</v>
      </c>
      <c r="AO136" s="1430">
        <v>0</v>
      </c>
      <c r="AP136" s="1430">
        <v>0</v>
      </c>
      <c r="AQ136" s="1430">
        <v>0</v>
      </c>
      <c r="AR136" s="1430">
        <v>0</v>
      </c>
      <c r="AS136" s="1430">
        <v>0</v>
      </c>
      <c r="AT136" s="1430">
        <v>0</v>
      </c>
    </row>
    <row r="137" spans="1:57" customFormat="1" ht="14.4">
      <c r="A137" s="79"/>
      <c r="B137" s="74"/>
      <c r="C137" s="74"/>
      <c r="D137" s="2048" t="s">
        <v>3675</v>
      </c>
      <c r="E137" s="2048"/>
      <c r="F137" s="2046"/>
      <c r="G137" s="2046"/>
      <c r="H137" s="2046"/>
      <c r="I137" s="2046"/>
      <c r="J137" s="2046"/>
      <c r="K137" s="2046"/>
      <c r="L137" s="2046"/>
      <c r="M137" s="2046"/>
      <c r="N137" s="2046"/>
      <c r="O137" s="2046"/>
      <c r="P137" s="2046"/>
      <c r="Q137" s="2046"/>
      <c r="R137" s="2046"/>
      <c r="S137" s="2046"/>
      <c r="T137" s="2046"/>
      <c r="U137" s="2046"/>
      <c r="V137" s="2052"/>
      <c r="W137" s="2052"/>
      <c r="X137" s="2052"/>
      <c r="Y137" s="2052"/>
      <c r="Z137" s="1430"/>
      <c r="AA137" s="1430">
        <v>0</v>
      </c>
      <c r="AB137" s="1430">
        <v>0</v>
      </c>
      <c r="AC137" s="1430">
        <v>0</v>
      </c>
      <c r="AD137" s="1430">
        <v>6.625</v>
      </c>
      <c r="AE137" s="1430">
        <v>0</v>
      </c>
      <c r="AF137" s="1430">
        <v>0</v>
      </c>
      <c r="AG137" s="1430">
        <v>0</v>
      </c>
      <c r="AH137" s="1430">
        <v>0</v>
      </c>
      <c r="AI137" s="1430">
        <v>0</v>
      </c>
      <c r="AJ137" s="1430">
        <v>0</v>
      </c>
      <c r="AK137" s="1430">
        <v>0</v>
      </c>
      <c r="AL137" s="1430">
        <v>0</v>
      </c>
      <c r="AM137" s="1430">
        <v>0</v>
      </c>
      <c r="AN137" s="1430">
        <v>0</v>
      </c>
      <c r="AO137" s="1430">
        <v>0</v>
      </c>
      <c r="AP137" s="1430">
        <v>0</v>
      </c>
      <c r="AQ137" s="1430">
        <v>0</v>
      </c>
      <c r="AR137" s="1430">
        <v>0</v>
      </c>
      <c r="AS137" s="1430">
        <v>0</v>
      </c>
      <c r="AT137" s="1430">
        <v>0</v>
      </c>
      <c r="AW137" s="1015"/>
    </row>
    <row r="138" spans="1:57" customFormat="1" ht="14.4">
      <c r="A138" s="79"/>
      <c r="B138" s="74"/>
      <c r="C138" s="74"/>
      <c r="D138" s="2048" t="s">
        <v>3156</v>
      </c>
      <c r="E138" s="2048"/>
      <c r="F138" s="2046"/>
      <c r="G138" s="2046"/>
      <c r="H138" s="2046"/>
      <c r="I138" s="2046"/>
      <c r="J138" s="2046"/>
      <c r="K138" s="2046"/>
      <c r="L138" s="2046"/>
      <c r="M138" s="2046"/>
      <c r="N138" s="2046"/>
      <c r="O138" s="2046"/>
      <c r="P138" s="2046"/>
      <c r="Q138" s="2046"/>
      <c r="R138" s="2046"/>
      <c r="S138" s="2046"/>
      <c r="T138" s="2046"/>
      <c r="U138" s="2046"/>
      <c r="V138" s="2052"/>
      <c r="W138" s="2052"/>
      <c r="X138" s="2052"/>
      <c r="Y138" s="2052"/>
      <c r="Z138" s="1430"/>
      <c r="AA138" s="1430">
        <v>0</v>
      </c>
      <c r="AB138" s="1430">
        <v>0</v>
      </c>
      <c r="AC138" s="1430">
        <v>0</v>
      </c>
      <c r="AD138" s="1430">
        <v>0</v>
      </c>
      <c r="AE138" s="1430">
        <v>0</v>
      </c>
      <c r="AF138" s="1430">
        <v>0</v>
      </c>
      <c r="AG138" s="1430">
        <v>17.239444444444445</v>
      </c>
      <c r="AH138" s="1430">
        <v>17.239444444444445</v>
      </c>
      <c r="AI138" s="1430">
        <v>17.0505</v>
      </c>
      <c r="AJ138" s="1430">
        <v>17.050450000000001</v>
      </c>
      <c r="AK138" s="1430">
        <v>17.05</v>
      </c>
      <c r="AL138" s="1430">
        <v>17.05</v>
      </c>
      <c r="AM138" s="1430">
        <v>17.05</v>
      </c>
      <c r="AN138" s="1430">
        <v>17.05</v>
      </c>
      <c r="AO138" s="1430">
        <v>17.05</v>
      </c>
      <c r="AP138" s="1430">
        <v>17.05</v>
      </c>
      <c r="AQ138" s="1430">
        <v>0</v>
      </c>
      <c r="AR138" s="1430">
        <v>0</v>
      </c>
      <c r="AS138" s="1430">
        <v>0</v>
      </c>
      <c r="AT138" s="1430">
        <v>0</v>
      </c>
      <c r="AW138" s="1015"/>
      <c r="AX138" s="1015"/>
      <c r="AY138" s="1015"/>
      <c r="AZ138" s="1015"/>
      <c r="BA138" s="1015"/>
    </row>
    <row r="139" spans="1:57" customFormat="1" ht="14.4">
      <c r="A139" s="79"/>
      <c r="B139" s="74"/>
      <c r="C139" s="74"/>
      <c r="D139" s="2048" t="s">
        <v>3276</v>
      </c>
      <c r="E139" s="2048"/>
      <c r="F139" s="2046"/>
      <c r="G139" s="2046"/>
      <c r="H139" s="2046"/>
      <c r="I139" s="2046"/>
      <c r="J139" s="2046"/>
      <c r="K139" s="2046"/>
      <c r="L139" s="2046"/>
      <c r="M139" s="2046"/>
      <c r="N139" s="2046"/>
      <c r="O139" s="2046"/>
      <c r="P139" s="2046"/>
      <c r="Q139" s="2046"/>
      <c r="R139" s="2046"/>
      <c r="S139" s="2046"/>
      <c r="T139" s="2046"/>
      <c r="U139" s="2046"/>
      <c r="V139" s="2052"/>
      <c r="W139" s="2052"/>
      <c r="X139" s="2052"/>
      <c r="Y139" s="2052"/>
      <c r="Z139" s="1430"/>
      <c r="AA139" s="1430">
        <v>0</v>
      </c>
      <c r="AB139" s="1430">
        <v>0</v>
      </c>
      <c r="AC139" s="1430">
        <v>0</v>
      </c>
      <c r="AD139" s="1430">
        <v>0</v>
      </c>
      <c r="AE139" s="1430">
        <v>0</v>
      </c>
      <c r="AF139" s="1430">
        <v>0</v>
      </c>
      <c r="AG139" s="1430">
        <v>0</v>
      </c>
      <c r="AH139" s="1430">
        <v>0.75</v>
      </c>
      <c r="AI139" s="1430">
        <v>0</v>
      </c>
      <c r="AJ139" s="1430">
        <v>0</v>
      </c>
      <c r="AK139" s="1430">
        <v>0</v>
      </c>
      <c r="AL139" s="1430">
        <v>0</v>
      </c>
      <c r="AM139" s="1430">
        <v>0</v>
      </c>
      <c r="AN139" s="1430">
        <v>0</v>
      </c>
      <c r="AO139" s="1430">
        <v>0</v>
      </c>
      <c r="AP139" s="1430">
        <v>0</v>
      </c>
      <c r="AQ139" s="1430">
        <v>0</v>
      </c>
      <c r="AR139" s="1430">
        <v>0</v>
      </c>
      <c r="AS139" s="1430">
        <v>0</v>
      </c>
      <c r="AT139" s="1430">
        <v>0</v>
      </c>
      <c r="AW139" s="1015"/>
    </row>
    <row r="140" spans="1:57" customFormat="1" ht="14.4">
      <c r="A140" s="79"/>
      <c r="B140" s="74"/>
      <c r="C140" s="74"/>
      <c r="D140" s="2048" t="s">
        <v>73</v>
      </c>
      <c r="E140" s="2048"/>
      <c r="F140" s="2046"/>
      <c r="G140" s="2046"/>
      <c r="H140" s="2046"/>
      <c r="I140" s="2046"/>
      <c r="J140" s="2046"/>
      <c r="K140" s="2046"/>
      <c r="L140" s="2046"/>
      <c r="M140" s="2046"/>
      <c r="N140" s="2046"/>
      <c r="O140" s="2046"/>
      <c r="P140" s="2046"/>
      <c r="Q140" s="2046"/>
      <c r="R140" s="2046"/>
      <c r="S140" s="2046"/>
      <c r="T140" s="2046"/>
      <c r="U140" s="2046"/>
      <c r="V140" s="2048"/>
      <c r="W140" s="2048"/>
      <c r="X140" s="2048"/>
      <c r="Y140" s="2048"/>
      <c r="Z140" s="1430">
        <v>3.0558673162833996</v>
      </c>
      <c r="AA140" s="1430">
        <v>15.74761470302704</v>
      </c>
      <c r="AB140" s="1430">
        <v>16.490348077691717</v>
      </c>
      <c r="AC140" s="1430">
        <v>25.038975735582042</v>
      </c>
      <c r="AD140" s="1430">
        <v>18.430192864623091</v>
      </c>
      <c r="AE140" s="1430">
        <v>22.884719774335245</v>
      </c>
      <c r="AF140" s="1430">
        <v>23.670234638035712</v>
      </c>
      <c r="AG140" s="1430">
        <v>14.380038460198541</v>
      </c>
      <c r="AH140" s="1430">
        <v>15.541379931249462</v>
      </c>
      <c r="AI140" s="1430">
        <v>40.917488091748368</v>
      </c>
      <c r="AJ140" s="1430">
        <v>40.098543127900435</v>
      </c>
      <c r="AK140" s="1430">
        <v>68.269444973021933</v>
      </c>
      <c r="AL140" s="1430">
        <v>54.424473832931781</v>
      </c>
      <c r="AM140" s="1430">
        <v>64.180877526979799</v>
      </c>
      <c r="AN140" s="1430">
        <v>70.009900368050651</v>
      </c>
      <c r="AO140" s="1430">
        <v>71.259410766542288</v>
      </c>
      <c r="AP140" s="1430">
        <v>73.217960523024459</v>
      </c>
      <c r="AQ140" s="1430">
        <v>75.086036111972703</v>
      </c>
      <c r="AR140" s="1430">
        <v>74.26152121243264</v>
      </c>
      <c r="AS140" s="1430">
        <v>70.997673922682637</v>
      </c>
      <c r="AT140" s="1430">
        <v>67.291194161932637</v>
      </c>
    </row>
    <row r="141" spans="1:57" customFormat="1" ht="14.4">
      <c r="A141" s="79"/>
      <c r="B141" s="74"/>
      <c r="C141" s="74"/>
      <c r="D141" s="2048" t="s">
        <v>3671</v>
      </c>
      <c r="E141" s="2048"/>
      <c r="F141" s="2046"/>
      <c r="G141" s="2046"/>
      <c r="H141" s="2046"/>
      <c r="I141" s="2046"/>
      <c r="J141" s="2046"/>
      <c r="K141" s="2046"/>
      <c r="L141" s="2046"/>
      <c r="M141" s="2046"/>
      <c r="N141" s="2046"/>
      <c r="O141" s="2046"/>
      <c r="P141" s="2046"/>
      <c r="Q141" s="2046"/>
      <c r="R141" s="2046"/>
      <c r="S141" s="2046"/>
      <c r="T141" s="2046"/>
      <c r="U141" s="2046"/>
      <c r="V141" s="2048"/>
      <c r="W141" s="2048"/>
      <c r="X141" s="2048"/>
      <c r="Y141" s="2048"/>
      <c r="Z141" s="1430"/>
      <c r="AA141" s="1430">
        <v>0</v>
      </c>
      <c r="AB141" s="1430">
        <v>2.6</v>
      </c>
      <c r="AC141" s="1430">
        <v>2.6</v>
      </c>
      <c r="AD141" s="1430">
        <v>2.8880809027777778</v>
      </c>
      <c r="AE141" s="1430">
        <v>2.6818803</v>
      </c>
      <c r="AF141" s="1430">
        <v>1.5798244947858078</v>
      </c>
      <c r="AG141" s="1430">
        <v>0</v>
      </c>
      <c r="AH141" s="1430">
        <v>0</v>
      </c>
      <c r="AI141" s="1430">
        <v>0</v>
      </c>
      <c r="AJ141" s="1430">
        <v>0</v>
      </c>
      <c r="AK141" s="1430">
        <v>0</v>
      </c>
      <c r="AL141" s="1430">
        <v>11.287598497500001</v>
      </c>
      <c r="AM141" s="1430">
        <v>19.2928147975</v>
      </c>
      <c r="AN141" s="1430">
        <v>21.619427117499999</v>
      </c>
      <c r="AO141" s="1430">
        <v>21.666827117499999</v>
      </c>
      <c r="AP141" s="1430">
        <v>21.666827117499999</v>
      </c>
      <c r="AQ141" s="1430">
        <v>21.342752047624998</v>
      </c>
      <c r="AR141" s="1430">
        <v>20.598660113875003</v>
      </c>
      <c r="AS141" s="1430">
        <v>19.380809006124998</v>
      </c>
      <c r="AT141" s="1430">
        <v>18.054893090375</v>
      </c>
    </row>
    <row r="142" spans="1:57" customFormat="1" ht="14.4">
      <c r="A142" s="79"/>
      <c r="B142" s="74"/>
      <c r="C142" s="74"/>
      <c r="D142" s="2048" t="s">
        <v>3672</v>
      </c>
      <c r="E142" s="2048"/>
      <c r="F142" s="2046"/>
      <c r="G142" s="2046"/>
      <c r="H142" s="2046"/>
      <c r="I142" s="2046"/>
      <c r="J142" s="2046"/>
      <c r="K142" s="2046"/>
      <c r="L142" s="2046"/>
      <c r="M142" s="2046"/>
      <c r="N142" s="2046"/>
      <c r="O142" s="2046"/>
      <c r="P142" s="2046"/>
      <c r="Q142" s="2046"/>
      <c r="R142" s="2046"/>
      <c r="S142" s="2046"/>
      <c r="T142" s="2046"/>
      <c r="U142" s="2046"/>
      <c r="V142" s="2048"/>
      <c r="W142" s="2048"/>
      <c r="X142" s="2048"/>
      <c r="Y142" s="2048"/>
      <c r="Z142" s="1430"/>
      <c r="AA142" s="1430">
        <v>0</v>
      </c>
      <c r="AB142" s="1430">
        <v>0</v>
      </c>
      <c r="AC142" s="1430">
        <v>1.985830165392088</v>
      </c>
      <c r="AD142" s="1430">
        <v>1.8671371589293664</v>
      </c>
      <c r="AE142" s="1430">
        <v>1.3960493020759404</v>
      </c>
      <c r="AF142" s="1430">
        <v>0.78711225445910771</v>
      </c>
      <c r="AG142" s="1430">
        <v>0.15996020912671877</v>
      </c>
      <c r="AH142" s="1430">
        <v>0</v>
      </c>
      <c r="AI142" s="1430">
        <v>0</v>
      </c>
      <c r="AJ142" s="1430">
        <v>0</v>
      </c>
      <c r="AK142" s="1430">
        <v>0</v>
      </c>
      <c r="AL142" s="1430">
        <v>0</v>
      </c>
      <c r="AM142" s="1430">
        <v>1.7804</v>
      </c>
      <c r="AN142" s="1430">
        <v>4.0792640000000002</v>
      </c>
      <c r="AO142" s="1430">
        <v>6.7395379999999996</v>
      </c>
      <c r="AP142" s="1430">
        <v>8.2141780000000004</v>
      </c>
      <c r="AQ142" s="1430">
        <v>10.532895999999999</v>
      </c>
      <c r="AR142" s="1430">
        <v>12.347580000000001</v>
      </c>
      <c r="AS142" s="1430">
        <v>11.805016800000001</v>
      </c>
      <c r="AT142" s="1430">
        <v>11.035688</v>
      </c>
    </row>
    <row r="143" spans="1:57" customFormat="1" ht="14.4">
      <c r="A143" s="79"/>
      <c r="B143" s="74"/>
      <c r="C143" s="74"/>
      <c r="D143" s="2048" t="s">
        <v>3675</v>
      </c>
      <c r="E143" s="2048"/>
      <c r="F143" s="2046"/>
      <c r="G143" s="2046"/>
      <c r="H143" s="2046"/>
      <c r="I143" s="2046"/>
      <c r="J143" s="2046"/>
      <c r="K143" s="2046"/>
      <c r="L143" s="2046"/>
      <c r="M143" s="2046"/>
      <c r="N143" s="2046"/>
      <c r="O143" s="2046"/>
      <c r="P143" s="2046"/>
      <c r="Q143" s="2046"/>
      <c r="R143" s="2046"/>
      <c r="S143" s="2046"/>
      <c r="T143" s="2046"/>
      <c r="U143" s="2046"/>
      <c r="V143" s="2048"/>
      <c r="W143" s="2048"/>
      <c r="X143" s="2048"/>
      <c r="Y143" s="2048"/>
      <c r="Z143" s="1430"/>
      <c r="AA143" s="1430">
        <v>0</v>
      </c>
      <c r="AB143" s="1430">
        <v>0</v>
      </c>
      <c r="AC143" s="1430">
        <v>13.25</v>
      </c>
      <c r="AD143" s="1430">
        <v>6.625</v>
      </c>
      <c r="AE143" s="1430">
        <v>13.25</v>
      </c>
      <c r="AF143" s="1430">
        <v>13.25</v>
      </c>
      <c r="AG143" s="1430">
        <v>2.0229805555555536</v>
      </c>
      <c r="AH143" s="1430">
        <v>2.0229805555555536</v>
      </c>
      <c r="AI143" s="1430">
        <v>0</v>
      </c>
      <c r="AJ143" s="1430">
        <v>0</v>
      </c>
      <c r="AK143" s="1430">
        <v>0</v>
      </c>
      <c r="AL143" s="1430">
        <v>0</v>
      </c>
      <c r="AM143" s="1430">
        <v>0</v>
      </c>
      <c r="AN143" s="1430">
        <v>0</v>
      </c>
      <c r="AO143" s="1430">
        <v>0</v>
      </c>
      <c r="AP143" s="1430">
        <v>0</v>
      </c>
      <c r="AQ143" s="1430">
        <v>0</v>
      </c>
      <c r="AR143" s="1430">
        <v>0</v>
      </c>
      <c r="AS143" s="1430">
        <v>0</v>
      </c>
      <c r="AT143" s="1430">
        <v>0</v>
      </c>
    </row>
    <row r="144" spans="1:57" customFormat="1" ht="14.4">
      <c r="A144" s="79"/>
      <c r="B144" s="74"/>
      <c r="C144" s="74"/>
      <c r="D144" s="2048" t="s">
        <v>3156</v>
      </c>
      <c r="E144" s="2048"/>
      <c r="F144" s="2046"/>
      <c r="G144" s="2046"/>
      <c r="H144" s="2046"/>
      <c r="I144" s="2046"/>
      <c r="J144" s="2046"/>
      <c r="K144" s="2046"/>
      <c r="L144" s="2046"/>
      <c r="M144" s="2046"/>
      <c r="N144" s="2046"/>
      <c r="O144" s="2046"/>
      <c r="P144" s="2046"/>
      <c r="Q144" s="2046"/>
      <c r="R144" s="2046"/>
      <c r="S144" s="2046"/>
      <c r="T144" s="2046"/>
      <c r="U144" s="2046"/>
      <c r="V144" s="2048"/>
      <c r="W144" s="2048"/>
      <c r="X144" s="2048"/>
      <c r="Y144" s="2048"/>
      <c r="Z144" s="1430"/>
      <c r="AA144" s="1430">
        <v>0</v>
      </c>
      <c r="AB144" s="1430">
        <v>0</v>
      </c>
      <c r="AC144" s="1430">
        <v>0</v>
      </c>
      <c r="AD144" s="1430">
        <v>0</v>
      </c>
      <c r="AE144" s="1430">
        <v>0</v>
      </c>
      <c r="AF144" s="1430">
        <v>0</v>
      </c>
      <c r="AG144" s="1430">
        <v>0</v>
      </c>
      <c r="AH144" s="1430">
        <v>0</v>
      </c>
      <c r="AI144" s="1430">
        <v>7.5000000000000002E-4</v>
      </c>
      <c r="AJ144" s="1430">
        <v>6.4999999999999997E-4</v>
      </c>
      <c r="AK144" s="1430">
        <v>0</v>
      </c>
      <c r="AL144" s="1430">
        <v>0</v>
      </c>
      <c r="AM144" s="1430">
        <v>0</v>
      </c>
      <c r="AN144" s="1430">
        <v>0</v>
      </c>
      <c r="AO144" s="1430">
        <v>0</v>
      </c>
      <c r="AP144" s="1430">
        <v>0</v>
      </c>
      <c r="AQ144" s="1430">
        <v>0</v>
      </c>
      <c r="AR144" s="1430">
        <v>0</v>
      </c>
      <c r="AS144" s="1430">
        <v>0</v>
      </c>
      <c r="AT144" s="1430">
        <v>0</v>
      </c>
    </row>
    <row r="145" spans="1:46" customFormat="1" ht="14.4">
      <c r="A145" s="79"/>
      <c r="B145" s="74"/>
      <c r="C145" s="74"/>
      <c r="D145" s="2048" t="s">
        <v>3276</v>
      </c>
      <c r="E145" s="2048"/>
      <c r="F145" s="2046"/>
      <c r="G145" s="2046"/>
      <c r="H145" s="2046"/>
      <c r="I145" s="2046"/>
      <c r="J145" s="2046"/>
      <c r="K145" s="2046"/>
      <c r="L145" s="2046"/>
      <c r="M145" s="2046"/>
      <c r="N145" s="2046"/>
      <c r="O145" s="2046"/>
      <c r="P145" s="2046"/>
      <c r="Q145" s="2046"/>
      <c r="R145" s="2046"/>
      <c r="S145" s="2046"/>
      <c r="T145" s="2046"/>
      <c r="U145" s="2046"/>
      <c r="V145" s="2048"/>
      <c r="W145" s="2048"/>
      <c r="X145" s="2048"/>
      <c r="Y145" s="2048"/>
      <c r="Z145" s="1430"/>
      <c r="AA145" s="1430">
        <v>0</v>
      </c>
      <c r="AB145" s="1430">
        <v>0</v>
      </c>
      <c r="AC145" s="1430">
        <v>0</v>
      </c>
      <c r="AD145" s="1430">
        <v>0</v>
      </c>
      <c r="AE145" s="1430">
        <v>0</v>
      </c>
      <c r="AF145" s="1430">
        <v>0</v>
      </c>
      <c r="AG145" s="1430">
        <v>0</v>
      </c>
      <c r="AH145" s="1430">
        <v>0.75</v>
      </c>
      <c r="AI145" s="1430">
        <v>0</v>
      </c>
      <c r="AJ145" s="1430">
        <v>0</v>
      </c>
      <c r="AK145" s="1430">
        <v>28</v>
      </c>
      <c r="AL145" s="1430">
        <v>0</v>
      </c>
      <c r="AM145" s="1430">
        <v>0</v>
      </c>
      <c r="AN145" s="1430">
        <v>0</v>
      </c>
      <c r="AO145" s="1430">
        <v>0</v>
      </c>
      <c r="AP145" s="1430">
        <v>0</v>
      </c>
      <c r="AQ145" s="1430">
        <v>0</v>
      </c>
      <c r="AR145" s="1430">
        <v>0</v>
      </c>
      <c r="AS145" s="1430">
        <v>0</v>
      </c>
      <c r="AT145" s="1430">
        <v>0</v>
      </c>
    </row>
    <row r="146" spans="1:46" customFormat="1" ht="14.4">
      <c r="A146" s="79"/>
      <c r="B146" s="74"/>
      <c r="C146" s="74"/>
      <c r="D146" s="2048" t="s">
        <v>74</v>
      </c>
      <c r="E146" s="2048"/>
      <c r="F146" s="2046"/>
      <c r="G146" s="2046"/>
      <c r="H146" s="2046"/>
      <c r="I146" s="2046"/>
      <c r="J146" s="2046"/>
      <c r="K146" s="2046"/>
      <c r="L146" s="2046"/>
      <c r="M146" s="2046"/>
      <c r="N146" s="2046"/>
      <c r="O146" s="2046"/>
      <c r="P146" s="2046"/>
      <c r="Q146" s="2046"/>
      <c r="R146" s="2046"/>
      <c r="S146" s="2046"/>
      <c r="T146" s="2046"/>
      <c r="U146" s="2046"/>
      <c r="V146" s="2048"/>
      <c r="W146" s="2048"/>
      <c r="X146" s="2048"/>
      <c r="Y146" s="2048"/>
      <c r="Z146" s="1430">
        <v>18.848985554244805</v>
      </c>
      <c r="AA146" s="1430">
        <v>6.5593611199106849</v>
      </c>
      <c r="AB146" s="1430">
        <v>7.2712633756917189</v>
      </c>
      <c r="AC146" s="1430">
        <v>12.393475305289096</v>
      </c>
      <c r="AD146" s="1430">
        <v>19.087970393485904</v>
      </c>
      <c r="AE146" s="1430">
        <v>17.85482159159676</v>
      </c>
      <c r="AF146" s="1430">
        <v>21.674000574119852</v>
      </c>
      <c r="AG146" s="1430">
        <v>35.031252750210463</v>
      </c>
      <c r="AH146" s="1430">
        <v>39.662094234951368</v>
      </c>
      <c r="AI146" s="1430">
        <v>46.602377199302751</v>
      </c>
      <c r="AJ146" s="1430">
        <v>43.45307591821782</v>
      </c>
      <c r="AK146" s="1430">
        <v>44.072170209358291</v>
      </c>
      <c r="AL146" s="1430">
        <v>47.991764674765207</v>
      </c>
      <c r="AM146" s="1430">
        <v>49.681432121438505</v>
      </c>
      <c r="AN146" s="1430">
        <v>50.757164868384429</v>
      </c>
      <c r="AO146" s="1430">
        <v>52.032758220560979</v>
      </c>
      <c r="AP146" s="1430">
        <v>53.661432118565244</v>
      </c>
      <c r="AQ146" s="1430">
        <v>37.01310637655763</v>
      </c>
      <c r="AR146" s="1430">
        <v>35.990070964557631</v>
      </c>
      <c r="AS146" s="1430">
        <v>34.94658234955763</v>
      </c>
      <c r="AT146" s="1430">
        <v>33.805407148557634</v>
      </c>
    </row>
    <row r="147" spans="1:46" customFormat="1" ht="14.4">
      <c r="A147" s="79"/>
      <c r="B147" s="74"/>
      <c r="C147" s="74"/>
      <c r="D147" s="2048" t="s">
        <v>3671</v>
      </c>
      <c r="E147" s="2048"/>
      <c r="F147" s="2046"/>
      <c r="G147" s="2046"/>
      <c r="H147" s="2046"/>
      <c r="I147" s="2046"/>
      <c r="J147" s="2046"/>
      <c r="K147" s="2046"/>
      <c r="L147" s="2046"/>
      <c r="M147" s="2046"/>
      <c r="N147" s="2046"/>
      <c r="O147" s="2046"/>
      <c r="P147" s="2046"/>
      <c r="Q147" s="2046"/>
      <c r="R147" s="2046"/>
      <c r="S147" s="2046"/>
      <c r="T147" s="2046"/>
      <c r="U147" s="2046"/>
      <c r="V147" s="2048"/>
      <c r="W147" s="2048"/>
      <c r="X147" s="2048"/>
      <c r="Y147" s="2048"/>
      <c r="Z147" s="1430"/>
      <c r="AA147" s="1430">
        <v>0</v>
      </c>
      <c r="AB147" s="1430">
        <v>2.6</v>
      </c>
      <c r="AC147" s="1430">
        <v>2.6</v>
      </c>
      <c r="AD147" s="1430">
        <v>2.9331900000000006</v>
      </c>
      <c r="AE147" s="1430">
        <v>2.6257652015069444</v>
      </c>
      <c r="AF147" s="1430">
        <v>1.0722448214980238</v>
      </c>
      <c r="AG147" s="1430">
        <v>0</v>
      </c>
      <c r="AH147" s="1430">
        <v>0</v>
      </c>
      <c r="AI147" s="1430">
        <v>0</v>
      </c>
      <c r="AJ147" s="1430">
        <v>0</v>
      </c>
      <c r="AK147" s="1430">
        <v>0</v>
      </c>
      <c r="AL147" s="1430">
        <v>0</v>
      </c>
      <c r="AM147" s="1430">
        <v>0</v>
      </c>
      <c r="AN147" s="1430">
        <v>0</v>
      </c>
      <c r="AO147" s="1430">
        <v>0</v>
      </c>
      <c r="AP147" s="1430">
        <v>0</v>
      </c>
      <c r="AQ147" s="1430">
        <v>0</v>
      </c>
      <c r="AR147" s="1430">
        <v>0</v>
      </c>
      <c r="AS147" s="1430">
        <v>0</v>
      </c>
      <c r="AT147" s="1430">
        <v>0</v>
      </c>
    </row>
    <row r="148" spans="1:46" customFormat="1" ht="14.4">
      <c r="A148" s="79"/>
      <c r="B148" s="74"/>
      <c r="C148" s="74"/>
      <c r="D148" s="2048" t="s">
        <v>3672</v>
      </c>
      <c r="E148" s="2048"/>
      <c r="F148" s="2046"/>
      <c r="G148" s="2046"/>
      <c r="H148" s="2046"/>
      <c r="I148" s="2046"/>
      <c r="J148" s="2046"/>
      <c r="K148" s="2046"/>
      <c r="L148" s="2046"/>
      <c r="M148" s="2046"/>
      <c r="N148" s="2046"/>
      <c r="O148" s="2046"/>
      <c r="P148" s="2046"/>
      <c r="Q148" s="2046"/>
      <c r="R148" s="2046"/>
      <c r="S148" s="2046"/>
      <c r="T148" s="2046"/>
      <c r="U148" s="2046"/>
      <c r="V148" s="2048"/>
      <c r="W148" s="2048"/>
      <c r="X148" s="2048"/>
      <c r="Y148" s="2048"/>
      <c r="Z148" s="1430"/>
      <c r="AA148" s="1430">
        <v>0</v>
      </c>
      <c r="AB148" s="1430">
        <v>0</v>
      </c>
      <c r="AC148" s="1430">
        <v>1.9084690307425856</v>
      </c>
      <c r="AD148" s="1430">
        <v>1.8671371589293664</v>
      </c>
      <c r="AE148" s="1430">
        <v>1.2591548498474274</v>
      </c>
      <c r="AF148" s="1430">
        <v>0.63913365711091041</v>
      </c>
      <c r="AG148" s="1430">
        <v>0</v>
      </c>
      <c r="AH148" s="1430">
        <v>0</v>
      </c>
      <c r="AI148" s="1430">
        <v>0</v>
      </c>
      <c r="AJ148" s="1430">
        <v>0</v>
      </c>
      <c r="AK148" s="1430">
        <v>0</v>
      </c>
      <c r="AL148" s="1430">
        <v>0</v>
      </c>
      <c r="AM148" s="1430">
        <v>0</v>
      </c>
      <c r="AN148" s="1430">
        <v>0</v>
      </c>
      <c r="AO148" s="1430">
        <v>0</v>
      </c>
      <c r="AP148" s="1430">
        <v>0</v>
      </c>
      <c r="AQ148" s="1430">
        <v>0</v>
      </c>
      <c r="AR148" s="1430">
        <v>0</v>
      </c>
      <c r="AS148" s="1430">
        <v>0</v>
      </c>
      <c r="AT148" s="1430">
        <v>0</v>
      </c>
    </row>
    <row r="149" spans="1:46" customFormat="1" ht="14.4">
      <c r="A149" s="79"/>
      <c r="B149" s="74"/>
      <c r="C149" s="74"/>
      <c r="D149" s="2048" t="s">
        <v>3675</v>
      </c>
      <c r="E149" s="2048"/>
      <c r="F149" s="2046"/>
      <c r="G149" s="2046"/>
      <c r="H149" s="2046"/>
      <c r="I149" s="2046"/>
      <c r="J149" s="2046"/>
      <c r="K149" s="2046"/>
      <c r="L149" s="2046"/>
      <c r="M149" s="2046"/>
      <c r="N149" s="2046"/>
      <c r="O149" s="2046"/>
      <c r="P149" s="2046"/>
      <c r="Q149" s="2046"/>
      <c r="R149" s="2046"/>
      <c r="S149" s="2046"/>
      <c r="T149" s="2046"/>
      <c r="U149" s="2046"/>
      <c r="V149" s="2048"/>
      <c r="W149" s="2048"/>
      <c r="X149" s="2048"/>
      <c r="Y149" s="2048"/>
      <c r="Z149" s="1430"/>
      <c r="AA149" s="1430">
        <v>0</v>
      </c>
      <c r="AB149" s="1430">
        <v>0</v>
      </c>
      <c r="AC149" s="1430">
        <v>0</v>
      </c>
      <c r="AD149" s="1430">
        <v>6.625</v>
      </c>
      <c r="AE149" s="1430">
        <v>6.625</v>
      </c>
      <c r="AF149" s="1430">
        <v>5.9438283800000002</v>
      </c>
      <c r="AG149" s="1430">
        <v>0</v>
      </c>
      <c r="AH149" s="1430">
        <v>0</v>
      </c>
      <c r="AI149" s="1430">
        <v>0</v>
      </c>
      <c r="AJ149" s="1430">
        <v>0</v>
      </c>
      <c r="AK149" s="1430">
        <v>0</v>
      </c>
      <c r="AL149" s="1430">
        <v>0</v>
      </c>
      <c r="AM149" s="1430">
        <v>0</v>
      </c>
      <c r="AN149" s="1430">
        <v>0</v>
      </c>
      <c r="AO149" s="1430">
        <v>0</v>
      </c>
      <c r="AP149" s="1430">
        <v>0</v>
      </c>
      <c r="AQ149" s="1430">
        <v>0</v>
      </c>
      <c r="AR149" s="1430">
        <v>0</v>
      </c>
      <c r="AS149" s="1430">
        <v>0</v>
      </c>
      <c r="AT149" s="1430">
        <v>0</v>
      </c>
    </row>
    <row r="150" spans="1:46" customFormat="1" ht="14.4">
      <c r="A150" s="79"/>
      <c r="B150" s="74"/>
      <c r="C150" s="74"/>
      <c r="D150" s="2048" t="s">
        <v>3156</v>
      </c>
      <c r="E150" s="2048"/>
      <c r="F150" s="2046"/>
      <c r="G150" s="2046"/>
      <c r="H150" s="2046"/>
      <c r="I150" s="2046"/>
      <c r="J150" s="2046"/>
      <c r="K150" s="2046"/>
      <c r="L150" s="2046"/>
      <c r="M150" s="2046"/>
      <c r="N150" s="2046"/>
      <c r="O150" s="2046"/>
      <c r="P150" s="2046"/>
      <c r="Q150" s="2046"/>
      <c r="R150" s="2046"/>
      <c r="S150" s="2046"/>
      <c r="T150" s="2046"/>
      <c r="U150" s="2046"/>
      <c r="V150" s="2048"/>
      <c r="W150" s="2048"/>
      <c r="X150" s="2048"/>
      <c r="Y150" s="2048"/>
      <c r="Z150" s="1430"/>
      <c r="AA150" s="1430">
        <v>0</v>
      </c>
      <c r="AB150" s="1430">
        <v>0</v>
      </c>
      <c r="AC150" s="1430">
        <v>0</v>
      </c>
      <c r="AD150" s="1430">
        <v>0</v>
      </c>
      <c r="AE150" s="1430">
        <v>0</v>
      </c>
      <c r="AF150" s="1430">
        <v>0</v>
      </c>
      <c r="AG150" s="1430">
        <v>17.239444444444445</v>
      </c>
      <c r="AH150" s="1430">
        <v>17.05</v>
      </c>
      <c r="AI150" s="1430">
        <v>17.05</v>
      </c>
      <c r="AJ150" s="1430">
        <v>17.051400000000001</v>
      </c>
      <c r="AK150" s="1430">
        <v>17.05</v>
      </c>
      <c r="AL150" s="1430">
        <v>17.05</v>
      </c>
      <c r="AM150" s="1430">
        <v>17.05</v>
      </c>
      <c r="AN150" s="1430">
        <v>17.05</v>
      </c>
      <c r="AO150" s="1430">
        <v>17.05</v>
      </c>
      <c r="AP150" s="1430">
        <v>17.05</v>
      </c>
      <c r="AQ150" s="1430">
        <v>0</v>
      </c>
      <c r="AR150" s="1430">
        <v>0</v>
      </c>
      <c r="AS150" s="1430">
        <v>0</v>
      </c>
      <c r="AT150" s="1430">
        <v>0</v>
      </c>
    </row>
    <row r="151" spans="1:46" customFormat="1" ht="14.4">
      <c r="A151" s="79"/>
      <c r="B151" s="74"/>
      <c r="C151" s="74"/>
      <c r="D151" s="2048" t="s">
        <v>3276</v>
      </c>
      <c r="E151" s="2048"/>
      <c r="F151" s="2046"/>
      <c r="G151" s="2046"/>
      <c r="H151" s="2046"/>
      <c r="I151" s="2046"/>
      <c r="J151" s="2046"/>
      <c r="K151" s="2046"/>
      <c r="L151" s="2046"/>
      <c r="M151" s="2046"/>
      <c r="N151" s="2046"/>
      <c r="O151" s="2046"/>
      <c r="P151" s="2046"/>
      <c r="Q151" s="2046"/>
      <c r="R151" s="2046"/>
      <c r="S151" s="2046"/>
      <c r="T151" s="2046"/>
      <c r="U151" s="2046"/>
      <c r="V151" s="2048"/>
      <c r="W151" s="2048"/>
      <c r="X151" s="2048"/>
      <c r="Y151" s="2048"/>
      <c r="Z151" s="1430"/>
      <c r="AA151" s="1430">
        <v>0</v>
      </c>
      <c r="AB151" s="1430">
        <v>0</v>
      </c>
      <c r="AC151" s="1430">
        <v>0</v>
      </c>
      <c r="AD151" s="1430">
        <v>0</v>
      </c>
      <c r="AE151" s="1430">
        <v>0</v>
      </c>
      <c r="AF151" s="1430">
        <v>0</v>
      </c>
      <c r="AG151" s="1430">
        <v>0.75</v>
      </c>
      <c r="AH151" s="1430">
        <v>2.5</v>
      </c>
      <c r="AI151" s="1430">
        <v>1.5</v>
      </c>
      <c r="AJ151" s="1430">
        <v>0</v>
      </c>
      <c r="AK151" s="1430">
        <v>0</v>
      </c>
      <c r="AL151" s="1430">
        <v>0</v>
      </c>
      <c r="AM151" s="1430">
        <v>0</v>
      </c>
      <c r="AN151" s="1430">
        <v>6.5203750680089684E-2</v>
      </c>
      <c r="AO151" s="1430">
        <v>0</v>
      </c>
      <c r="AP151" s="1430">
        <v>0</v>
      </c>
      <c r="AQ151" s="1430">
        <v>0</v>
      </c>
      <c r="AR151" s="1430">
        <v>0</v>
      </c>
      <c r="AS151" s="1430">
        <v>0</v>
      </c>
      <c r="AT151" s="1430">
        <v>0</v>
      </c>
    </row>
    <row r="152" spans="1:46">
      <c r="A152" s="79"/>
      <c r="D152" s="2048" t="s">
        <v>75</v>
      </c>
      <c r="E152" s="2048"/>
      <c r="F152" s="2046"/>
      <c r="G152" s="2046"/>
      <c r="H152" s="2046"/>
      <c r="I152" s="2046"/>
      <c r="J152" s="2046"/>
      <c r="K152" s="2046"/>
      <c r="L152" s="2046"/>
      <c r="M152" s="2046"/>
      <c r="N152" s="2046"/>
      <c r="O152" s="2046"/>
      <c r="P152" s="2046"/>
      <c r="Q152" s="2046"/>
      <c r="R152" s="2046"/>
      <c r="S152" s="2046"/>
      <c r="T152" s="2046"/>
      <c r="U152" s="2046"/>
      <c r="V152" s="2048"/>
      <c r="W152" s="2048"/>
      <c r="X152" s="2048"/>
      <c r="Y152" s="2048"/>
      <c r="Z152" s="1430">
        <v>2.5389231223020881</v>
      </c>
      <c r="AA152" s="1430">
        <v>16.026937404147024</v>
      </c>
      <c r="AB152" s="1430">
        <v>16.426734134691717</v>
      </c>
      <c r="AC152" s="1430">
        <v>23.687840174617438</v>
      </c>
      <c r="AD152" s="1430">
        <v>18.84884592276163</v>
      </c>
      <c r="AE152" s="1430">
        <v>17.473812894996502</v>
      </c>
      <c r="AF152" s="1430">
        <v>12.116574035599882</v>
      </c>
      <c r="AG152" s="1430">
        <v>15.031331341321586</v>
      </c>
      <c r="AH152" s="1430">
        <v>28.092437582323885</v>
      </c>
      <c r="AI152" s="1430">
        <v>37.946393863717731</v>
      </c>
      <c r="AJ152" s="1430">
        <v>41.31754254043414</v>
      </c>
      <c r="AK152" s="1430">
        <v>72.726479039840171</v>
      </c>
      <c r="AL152" s="1430">
        <v>72.602797760589112</v>
      </c>
      <c r="AM152" s="1430">
        <v>66.819974011711366</v>
      </c>
      <c r="AN152" s="1430">
        <v>71.070112053907081</v>
      </c>
      <c r="AO152" s="1430">
        <v>72.582909443763697</v>
      </c>
      <c r="AP152" s="1430">
        <v>75.532821699065266</v>
      </c>
      <c r="AQ152" s="1430">
        <v>74.444920460307642</v>
      </c>
      <c r="AR152" s="1430">
        <v>73.030762359557627</v>
      </c>
      <c r="AS152" s="1430">
        <v>69.525404844807639</v>
      </c>
      <c r="AT152" s="1430">
        <v>65.661377103057646</v>
      </c>
    </row>
    <row r="153" spans="1:46">
      <c r="A153" s="79"/>
      <c r="D153" s="2048" t="s">
        <v>3671</v>
      </c>
      <c r="E153" s="2048"/>
      <c r="F153" s="2046"/>
      <c r="G153" s="2046"/>
      <c r="H153" s="2046"/>
      <c r="I153" s="2046"/>
      <c r="J153" s="2046"/>
      <c r="K153" s="2046"/>
      <c r="L153" s="2046"/>
      <c r="M153" s="2046"/>
      <c r="N153" s="2046"/>
      <c r="O153" s="2046"/>
      <c r="P153" s="2046"/>
      <c r="Q153" s="2046"/>
      <c r="R153" s="2046"/>
      <c r="S153" s="2046"/>
      <c r="T153" s="2046"/>
      <c r="U153" s="2046"/>
      <c r="V153" s="2048"/>
      <c r="W153" s="2048"/>
      <c r="X153" s="2048"/>
      <c r="Y153" s="2048"/>
      <c r="Z153" s="1430"/>
      <c r="AA153" s="1430">
        <v>0</v>
      </c>
      <c r="AB153" s="1430">
        <v>2.6</v>
      </c>
      <c r="AC153" s="1430">
        <v>2.8255823555555559</v>
      </c>
      <c r="AD153" s="1430">
        <v>2.8249287444444442</v>
      </c>
      <c r="AE153" s="1430">
        <v>2.3858861282451387</v>
      </c>
      <c r="AF153" s="1430">
        <v>0.54137224628238845</v>
      </c>
      <c r="AG153" s="1430">
        <v>0</v>
      </c>
      <c r="AH153" s="1430">
        <v>0</v>
      </c>
      <c r="AI153" s="1430">
        <v>0</v>
      </c>
      <c r="AJ153" s="1430">
        <v>0</v>
      </c>
      <c r="AK153" s="1430">
        <v>7.5201996375000002</v>
      </c>
      <c r="AL153" s="1430">
        <v>15.6246159575</v>
      </c>
      <c r="AM153" s="1430">
        <v>20.573187117499998</v>
      </c>
      <c r="AN153" s="1430">
        <v>21.666827117499999</v>
      </c>
      <c r="AO153" s="1430">
        <v>21.666827117499999</v>
      </c>
      <c r="AP153" s="1430">
        <v>21.666827117499999</v>
      </c>
      <c r="AQ153" s="1430">
        <v>20.78241105175</v>
      </c>
      <c r="AR153" s="1430">
        <v>20.216906559999998</v>
      </c>
      <c r="AS153" s="1430">
        <v>18.77569745225</v>
      </c>
      <c r="AT153" s="1430">
        <v>17.291428728500001</v>
      </c>
    </row>
    <row r="154" spans="1:46">
      <c r="A154" s="79"/>
      <c r="D154" s="2048" t="s">
        <v>3672</v>
      </c>
      <c r="E154" s="2048"/>
      <c r="F154" s="2046"/>
      <c r="G154" s="2046"/>
      <c r="H154" s="2046"/>
      <c r="I154" s="2046"/>
      <c r="J154" s="2046"/>
      <c r="K154" s="2046"/>
      <c r="L154" s="2046"/>
      <c r="M154" s="2046"/>
      <c r="N154" s="2046"/>
      <c r="O154" s="2046"/>
      <c r="P154" s="2046"/>
      <c r="Q154" s="2046"/>
      <c r="R154" s="2046"/>
      <c r="S154" s="2046"/>
      <c r="T154" s="2046"/>
      <c r="U154" s="2046"/>
      <c r="V154" s="2048"/>
      <c r="W154" s="2048"/>
      <c r="X154" s="2048"/>
      <c r="Y154" s="2048"/>
      <c r="Z154" s="1430"/>
      <c r="AA154" s="1430">
        <v>0</v>
      </c>
      <c r="AB154" s="1430">
        <v>0</v>
      </c>
      <c r="AC154" s="1430">
        <v>1.9084690307425856</v>
      </c>
      <c r="AD154" s="1430">
        <v>1.7362739437606505</v>
      </c>
      <c r="AE154" s="1430">
        <v>1.1180252265089754</v>
      </c>
      <c r="AF154" s="1430">
        <v>0.48657697225102636</v>
      </c>
      <c r="AG154" s="1430">
        <v>0</v>
      </c>
      <c r="AH154" s="1430">
        <v>0</v>
      </c>
      <c r="AI154" s="1430">
        <v>0</v>
      </c>
      <c r="AJ154" s="1430">
        <v>0</v>
      </c>
      <c r="AK154" s="1430">
        <v>0</v>
      </c>
      <c r="AL154" s="1430">
        <v>0</v>
      </c>
      <c r="AM154" s="1430">
        <v>2.4601549999999999</v>
      </c>
      <c r="AN154" s="1430">
        <v>5.9983259999999996</v>
      </c>
      <c r="AO154" s="1430">
        <v>7.5057999999999998</v>
      </c>
      <c r="AP154" s="1430">
        <v>10.16376</v>
      </c>
      <c r="AQ154" s="1430">
        <v>10.973042</v>
      </c>
      <c r="AR154" s="1430">
        <v>12.073848999999999</v>
      </c>
      <c r="AS154" s="1430">
        <v>11.593008800000002</v>
      </c>
      <c r="AT154" s="1430">
        <v>10.910398000000001</v>
      </c>
    </row>
    <row r="155" spans="1:46">
      <c r="A155" s="79"/>
      <c r="D155" s="2048" t="s">
        <v>3675</v>
      </c>
      <c r="E155" s="2048"/>
      <c r="F155" s="2046"/>
      <c r="G155" s="2046"/>
      <c r="H155" s="2046"/>
      <c r="I155" s="2046"/>
      <c r="J155" s="2046"/>
      <c r="K155" s="2046"/>
      <c r="L155" s="2046"/>
      <c r="M155" s="2046"/>
      <c r="N155" s="2046"/>
      <c r="O155" s="2046"/>
      <c r="P155" s="2046"/>
      <c r="Q155" s="2046"/>
      <c r="R155" s="2046"/>
      <c r="S155" s="2046"/>
      <c r="T155" s="2046"/>
      <c r="U155" s="2046"/>
      <c r="V155" s="2048"/>
      <c r="W155" s="2048"/>
      <c r="X155" s="2048"/>
      <c r="Y155" s="2048"/>
      <c r="Z155" s="1430"/>
      <c r="AA155" s="1430">
        <v>0</v>
      </c>
      <c r="AB155" s="1430">
        <v>0</v>
      </c>
      <c r="AC155" s="1430">
        <v>13.25</v>
      </c>
      <c r="AD155" s="1430">
        <v>6.625</v>
      </c>
      <c r="AE155" s="1430">
        <v>6.625</v>
      </c>
      <c r="AF155" s="1430">
        <v>2.0229805555555536</v>
      </c>
      <c r="AG155" s="1430">
        <v>2.0229805555555536</v>
      </c>
      <c r="AH155" s="1430">
        <v>0</v>
      </c>
      <c r="AI155" s="1430">
        <v>0</v>
      </c>
      <c r="AJ155" s="1430">
        <v>0</v>
      </c>
      <c r="AK155" s="1430">
        <v>0</v>
      </c>
      <c r="AL155" s="1430">
        <v>0</v>
      </c>
      <c r="AM155" s="1430">
        <v>0</v>
      </c>
      <c r="AN155" s="1430">
        <v>0</v>
      </c>
      <c r="AO155" s="1430">
        <v>0</v>
      </c>
      <c r="AP155" s="1430">
        <v>0</v>
      </c>
      <c r="AQ155" s="1430">
        <v>0</v>
      </c>
      <c r="AR155" s="1430">
        <v>0</v>
      </c>
      <c r="AS155" s="1430">
        <v>0</v>
      </c>
      <c r="AT155" s="1430">
        <v>0</v>
      </c>
    </row>
    <row r="156" spans="1:46">
      <c r="A156" s="79"/>
      <c r="D156" s="2048" t="s">
        <v>3156</v>
      </c>
      <c r="E156" s="2048"/>
      <c r="F156" s="2046"/>
      <c r="G156" s="2046"/>
      <c r="H156" s="2046"/>
      <c r="I156" s="2046"/>
      <c r="J156" s="2046"/>
      <c r="K156" s="2046"/>
      <c r="L156" s="2046"/>
      <c r="M156" s="2046"/>
      <c r="N156" s="2046"/>
      <c r="O156" s="2046"/>
      <c r="P156" s="2046"/>
      <c r="Q156" s="2046"/>
      <c r="R156" s="2046"/>
      <c r="S156" s="2046"/>
      <c r="T156" s="2046"/>
      <c r="U156" s="2046"/>
      <c r="V156" s="2048"/>
      <c r="W156" s="2048"/>
      <c r="X156" s="2048"/>
      <c r="Y156" s="2048"/>
      <c r="Z156" s="1430"/>
      <c r="AA156" s="1430">
        <v>0</v>
      </c>
      <c r="AB156" s="1430">
        <v>0</v>
      </c>
      <c r="AC156" s="1430">
        <v>0</v>
      </c>
      <c r="AD156" s="1430">
        <v>0</v>
      </c>
      <c r="AE156" s="1430">
        <v>0</v>
      </c>
      <c r="AF156" s="1430">
        <v>0</v>
      </c>
      <c r="AG156" s="1430">
        <v>0</v>
      </c>
      <c r="AH156" s="1430">
        <v>0</v>
      </c>
      <c r="AI156" s="1430">
        <v>0</v>
      </c>
      <c r="AJ156" s="1430">
        <v>6.8297499991416804E-3</v>
      </c>
      <c r="AK156" s="1430">
        <v>0</v>
      </c>
      <c r="AL156" s="1430">
        <v>0</v>
      </c>
      <c r="AM156" s="1430">
        <v>0</v>
      </c>
      <c r="AN156" s="1430">
        <v>0</v>
      </c>
      <c r="AO156" s="1430">
        <v>0</v>
      </c>
      <c r="AP156" s="1430">
        <v>0</v>
      </c>
      <c r="AQ156" s="1430">
        <v>0</v>
      </c>
      <c r="AR156" s="1430">
        <v>0</v>
      </c>
      <c r="AS156" s="1430">
        <v>0</v>
      </c>
      <c r="AT156" s="1430">
        <v>0</v>
      </c>
    </row>
    <row r="157" spans="1:46">
      <c r="A157" s="79"/>
      <c r="D157" s="2048" t="s">
        <v>3276</v>
      </c>
      <c r="E157" s="2048"/>
      <c r="F157" s="2046"/>
      <c r="G157" s="2046"/>
      <c r="H157" s="2046"/>
      <c r="I157" s="2046"/>
      <c r="J157" s="2046"/>
      <c r="K157" s="2046"/>
      <c r="L157" s="2046"/>
      <c r="M157" s="2046"/>
      <c r="N157" s="2046"/>
      <c r="O157" s="2046"/>
      <c r="P157" s="2046"/>
      <c r="Q157" s="2046"/>
      <c r="R157" s="2046"/>
      <c r="S157" s="2046"/>
      <c r="T157" s="2046"/>
      <c r="U157" s="2046"/>
      <c r="V157" s="2048"/>
      <c r="W157" s="2048"/>
      <c r="X157" s="2048"/>
      <c r="Y157" s="2048"/>
      <c r="Z157" s="1430"/>
      <c r="AA157" s="1430">
        <v>0</v>
      </c>
      <c r="AB157" s="1430">
        <v>0</v>
      </c>
      <c r="AC157" s="1430">
        <v>0</v>
      </c>
      <c r="AD157" s="1430">
        <v>0</v>
      </c>
      <c r="AE157" s="1430">
        <v>0</v>
      </c>
      <c r="AF157" s="1430">
        <v>0</v>
      </c>
      <c r="AG157" s="1430">
        <v>0.75</v>
      </c>
      <c r="AH157" s="1430">
        <v>2.5</v>
      </c>
      <c r="AI157" s="1430">
        <v>1.5</v>
      </c>
      <c r="AJ157" s="1430">
        <v>0</v>
      </c>
      <c r="AK157" s="1430">
        <v>23.262173447981908</v>
      </c>
      <c r="AL157" s="1430">
        <v>12.710277089621192</v>
      </c>
      <c r="AM157" s="1430">
        <v>0.30142304807013687</v>
      </c>
      <c r="AN157" s="1430">
        <v>0</v>
      </c>
      <c r="AO157" s="1430">
        <v>0</v>
      </c>
      <c r="AP157" s="1430">
        <v>0</v>
      </c>
      <c r="AQ157" s="1430">
        <v>0</v>
      </c>
      <c r="AR157" s="1430">
        <v>0</v>
      </c>
      <c r="AS157" s="1430">
        <v>0</v>
      </c>
      <c r="AT157" s="1430">
        <v>0</v>
      </c>
    </row>
    <row r="158" spans="1:46">
      <c r="A158" s="79"/>
      <c r="D158" s="2157" t="s">
        <v>3798</v>
      </c>
      <c r="E158" s="2053" t="s">
        <v>1202</v>
      </c>
      <c r="F158" s="2046"/>
      <c r="G158" s="2046"/>
      <c r="H158" s="2046"/>
      <c r="I158" s="2046"/>
      <c r="J158" s="2046"/>
      <c r="K158" s="2046"/>
      <c r="L158" s="2046"/>
      <c r="M158" s="2046"/>
      <c r="N158" s="2046"/>
      <c r="O158" s="2046"/>
      <c r="P158" s="2046"/>
      <c r="Q158" s="2046"/>
      <c r="R158" s="2046"/>
      <c r="S158" s="2046"/>
      <c r="T158" s="2046"/>
      <c r="U158" s="2046"/>
      <c r="V158" s="2048"/>
      <c r="W158" s="2048"/>
      <c r="X158" s="2048"/>
      <c r="Y158" s="2048"/>
      <c r="Z158" s="1430"/>
      <c r="AA158" s="1430"/>
      <c r="AB158" s="1430"/>
      <c r="AC158" s="1430"/>
      <c r="AD158" s="1430"/>
      <c r="AE158" s="1430"/>
      <c r="AF158" s="1430"/>
      <c r="AG158" s="1430"/>
      <c r="AH158" s="1430"/>
      <c r="AI158" s="1430"/>
      <c r="AJ158" s="1430">
        <v>10.581354877145698</v>
      </c>
      <c r="AK158" s="1430">
        <v>8.0692767562880832</v>
      </c>
      <c r="AL158" s="1430">
        <v>7.4255169070000004</v>
      </c>
      <c r="AM158" s="1430">
        <v>7.4458607840000006</v>
      </c>
      <c r="AN158" s="1430">
        <v>7.4255169070000004</v>
      </c>
      <c r="AO158" s="1430">
        <v>7.4255169070000004</v>
      </c>
      <c r="AP158" s="1430">
        <v>7.4255169070000004</v>
      </c>
      <c r="AQ158" s="1430">
        <v>7.4314014779999997</v>
      </c>
      <c r="AR158" s="1430">
        <v>7.4110971069999998</v>
      </c>
      <c r="AS158" s="1430">
        <v>7.2333320179999996</v>
      </c>
      <c r="AT158" s="1430">
        <v>6.733861836</v>
      </c>
    </row>
    <row r="159" spans="1:46">
      <c r="A159" s="79"/>
      <c r="D159" s="2045" t="s">
        <v>3799</v>
      </c>
      <c r="E159" s="2048"/>
      <c r="F159" s="2046"/>
      <c r="G159" s="2046"/>
      <c r="H159" s="2046"/>
      <c r="I159" s="2046"/>
      <c r="J159" s="2046"/>
      <c r="K159" s="2046"/>
      <c r="L159" s="2046"/>
      <c r="M159" s="2046"/>
      <c r="N159" s="2054">
        <v>1459.0600000000002</v>
      </c>
      <c r="O159" s="2054">
        <v>1671.8300000000002</v>
      </c>
      <c r="P159" s="2054">
        <v>1486.74</v>
      </c>
      <c r="Q159" s="2054">
        <v>479.47999999999996</v>
      </c>
      <c r="R159" s="2054">
        <v>569.77</v>
      </c>
      <c r="S159" s="2054">
        <v>665.65</v>
      </c>
      <c r="T159" s="2054">
        <v>736.52</v>
      </c>
      <c r="U159" s="2054">
        <v>777.3</v>
      </c>
      <c r="V159" s="2054">
        <v>984.74090899769249</v>
      </c>
      <c r="W159" s="2054">
        <v>1062.2469999999998</v>
      </c>
      <c r="X159" s="2054">
        <v>1544.36</v>
      </c>
      <c r="Y159" s="2054">
        <v>1761.0825392678689</v>
      </c>
      <c r="Z159" s="2054">
        <v>2065.06952</v>
      </c>
      <c r="AA159" s="2054">
        <v>2459.3708481448743</v>
      </c>
      <c r="AB159" s="2054">
        <v>3164.359033550003</v>
      </c>
      <c r="AC159" s="2054">
        <v>3593.798101002054</v>
      </c>
      <c r="AD159" s="2054">
        <v>4218.0876605854355</v>
      </c>
      <c r="AE159" s="2054">
        <v>5316.0802803037441</v>
      </c>
      <c r="AF159" s="2054">
        <v>6508.2064574576798</v>
      </c>
      <c r="AG159" s="2054">
        <v>6805.8630940622261</v>
      </c>
      <c r="AH159" s="2054">
        <v>7775.9855634108835</v>
      </c>
      <c r="AI159" s="2054">
        <v>9078.1760471410562</v>
      </c>
      <c r="AJ159" s="2054">
        <v>9648.5813608428743</v>
      </c>
      <c r="AK159" s="2054">
        <v>10894.692269574689</v>
      </c>
      <c r="AL159" s="2054">
        <v>11876.464797651359</v>
      </c>
      <c r="AM159" s="2054">
        <v>12611.208251460732</v>
      </c>
      <c r="AN159" s="2054">
        <v>13032.185485963249</v>
      </c>
      <c r="AO159" s="2054">
        <v>13411.427958081984</v>
      </c>
      <c r="AP159" s="2054">
        <v>13647.384942109362</v>
      </c>
      <c r="AQ159" s="2054">
        <v>13637.697135719471</v>
      </c>
      <c r="AR159" s="2054">
        <v>13584.89610245417</v>
      </c>
      <c r="AS159" s="2054">
        <v>13476.509306639013</v>
      </c>
      <c r="AT159" s="2054">
        <v>13324.025742997097</v>
      </c>
    </row>
    <row r="160" spans="1:46">
      <c r="A160" s="79"/>
      <c r="D160" s="2048" t="s">
        <v>3800</v>
      </c>
      <c r="E160" s="2048"/>
      <c r="F160" s="2046"/>
      <c r="G160" s="2046"/>
      <c r="H160" s="2046"/>
      <c r="I160" s="2046"/>
      <c r="J160" s="2046"/>
      <c r="K160" s="2046"/>
      <c r="L160" s="2046"/>
      <c r="M160" s="2046"/>
      <c r="N160" s="1431">
        <v>1310.4100000000001</v>
      </c>
      <c r="O160" s="1431">
        <v>1518.16</v>
      </c>
      <c r="P160" s="1431">
        <v>1402.81</v>
      </c>
      <c r="Q160" s="1431">
        <v>390.03</v>
      </c>
      <c r="R160" s="1431">
        <v>485.66</v>
      </c>
      <c r="S160" s="1431">
        <v>580.52</v>
      </c>
      <c r="T160" s="1431">
        <v>628.26</v>
      </c>
      <c r="U160" s="1431">
        <v>651.03</v>
      </c>
      <c r="V160" s="1431">
        <v>833.0761018724719</v>
      </c>
      <c r="W160" s="1431">
        <v>890.66999999999985</v>
      </c>
      <c r="X160" s="1431">
        <v>927.73599999999988</v>
      </c>
      <c r="Y160" s="1431">
        <v>1108.5725392678689</v>
      </c>
      <c r="Z160" s="1431">
        <v>1370.1395200000002</v>
      </c>
      <c r="AA160" s="1431">
        <v>1750.0208481448742</v>
      </c>
      <c r="AB160" s="1431">
        <v>2280.0990335500032</v>
      </c>
      <c r="AC160" s="1431">
        <v>2682.1181010020541</v>
      </c>
      <c r="AD160" s="1431">
        <v>3202.167660585435</v>
      </c>
      <c r="AE160" s="1431">
        <v>4185.7402803037439</v>
      </c>
      <c r="AF160" s="1431">
        <v>5014.2346173146798</v>
      </c>
      <c r="AG160" s="1431">
        <v>5343.5434653900274</v>
      </c>
      <c r="AH160" s="1431">
        <v>6403.1615909145048</v>
      </c>
      <c r="AI160" s="1431">
        <v>7742.9254108654677</v>
      </c>
      <c r="AJ160" s="1431">
        <v>8359.001595773454</v>
      </c>
      <c r="AK160" s="1431">
        <v>9663.1459380508204</v>
      </c>
      <c r="AL160" s="1431">
        <v>10717.104735508221</v>
      </c>
      <c r="AM160" s="1431">
        <v>11528.358710836281</v>
      </c>
      <c r="AN160" s="1431">
        <v>12065.372509696734</v>
      </c>
      <c r="AO160" s="1431">
        <v>12569.998691326358</v>
      </c>
      <c r="AP160" s="1431">
        <v>12954.760657534709</v>
      </c>
      <c r="AQ160" s="1431">
        <v>13128.807617066544</v>
      </c>
      <c r="AR160" s="1431">
        <v>13271.396358364669</v>
      </c>
      <c r="AS160" s="1431">
        <v>13366.979066463484</v>
      </c>
      <c r="AT160" s="1431">
        <v>13424.48033719948</v>
      </c>
    </row>
    <row r="161" spans="1:46">
      <c r="A161" s="79"/>
      <c r="D161" s="2048" t="s">
        <v>78</v>
      </c>
      <c r="E161" s="2048"/>
      <c r="F161" s="2046"/>
      <c r="G161" s="2046"/>
      <c r="H161" s="2046"/>
      <c r="I161" s="2046"/>
      <c r="J161" s="2046"/>
      <c r="K161" s="2046"/>
      <c r="L161" s="2046"/>
      <c r="M161" s="2046"/>
      <c r="N161" s="1431">
        <v>148.65</v>
      </c>
      <c r="O161" s="1431">
        <v>153.66999999999999</v>
      </c>
      <c r="P161" s="1431">
        <v>83.93</v>
      </c>
      <c r="Q161" s="1431">
        <v>89.45</v>
      </c>
      <c r="R161" s="1431">
        <v>84.11</v>
      </c>
      <c r="S161" s="1431">
        <v>85.13</v>
      </c>
      <c r="T161" s="1431">
        <v>108.26</v>
      </c>
      <c r="U161" s="1431">
        <v>126.27</v>
      </c>
      <c r="V161" s="1431">
        <v>151.66480712522059</v>
      </c>
      <c r="W161" s="1431">
        <v>171.577</v>
      </c>
      <c r="X161" s="1431">
        <v>216.62399999999997</v>
      </c>
      <c r="Y161" s="1431">
        <v>252.51</v>
      </c>
      <c r="Z161" s="1431">
        <v>294.93</v>
      </c>
      <c r="AA161" s="1431">
        <v>309.35000000000002</v>
      </c>
      <c r="AB161" s="1431">
        <v>354.26</v>
      </c>
      <c r="AC161" s="1431">
        <v>381.68</v>
      </c>
      <c r="AD161" s="1431">
        <v>485.92</v>
      </c>
      <c r="AE161" s="1431">
        <v>640.34</v>
      </c>
      <c r="AF161" s="1431">
        <v>813.40684014299984</v>
      </c>
      <c r="AG161" s="1431">
        <v>781.75462867219778</v>
      </c>
      <c r="AH161" s="1431">
        <v>752.65897249637862</v>
      </c>
      <c r="AI161" s="1431">
        <v>715.08563627558669</v>
      </c>
      <c r="AJ161" s="1431">
        <v>669.4147650694199</v>
      </c>
      <c r="AK161" s="1431">
        <v>611.38133152386763</v>
      </c>
      <c r="AL161" s="1431">
        <v>539.19506214313776</v>
      </c>
      <c r="AM161" s="1431">
        <v>462.68454062444937</v>
      </c>
      <c r="AN161" s="1431">
        <v>346.64797626651534</v>
      </c>
      <c r="AO161" s="1431">
        <v>221.26426675562516</v>
      </c>
      <c r="AP161" s="1431">
        <v>84.732374824652624</v>
      </c>
      <c r="AQ161" s="1431">
        <v>-64.626795374675737</v>
      </c>
      <c r="AR161" s="1431">
        <v>-209.97270903881969</v>
      </c>
      <c r="AS161" s="1431">
        <v>-358.92934664663028</v>
      </c>
      <c r="AT161" s="1431">
        <v>-512.51463397844088</v>
      </c>
    </row>
    <row r="162" spans="1:46">
      <c r="A162" s="79"/>
      <c r="D162" s="2048" t="s">
        <v>79</v>
      </c>
      <c r="E162" s="2048"/>
      <c r="F162" s="2046"/>
      <c r="G162" s="2046"/>
      <c r="H162" s="2046"/>
      <c r="I162" s="2046"/>
      <c r="J162" s="2046"/>
      <c r="K162" s="2046"/>
      <c r="L162" s="2046"/>
      <c r="M162" s="2046"/>
      <c r="N162" s="1431"/>
      <c r="O162" s="1431"/>
      <c r="P162" s="1431"/>
      <c r="Q162" s="1431"/>
      <c r="R162" s="1431"/>
      <c r="S162" s="1431"/>
      <c r="T162" s="1431"/>
      <c r="U162" s="1431"/>
      <c r="V162" s="1431">
        <v>0</v>
      </c>
      <c r="W162" s="1431">
        <v>0</v>
      </c>
      <c r="X162" s="1431">
        <v>400</v>
      </c>
      <c r="Y162" s="1431">
        <v>400</v>
      </c>
      <c r="Z162" s="1431">
        <v>400</v>
      </c>
      <c r="AA162" s="1431">
        <v>400</v>
      </c>
      <c r="AB162" s="1431">
        <v>530</v>
      </c>
      <c r="AC162" s="1431">
        <v>530</v>
      </c>
      <c r="AD162" s="1431">
        <v>530</v>
      </c>
      <c r="AE162" s="1431">
        <v>490</v>
      </c>
      <c r="AF162" s="1431">
        <v>680.56500000000005</v>
      </c>
      <c r="AG162" s="1431">
        <v>680.56500000000005</v>
      </c>
      <c r="AH162" s="1431">
        <v>620.16500000000008</v>
      </c>
      <c r="AI162" s="1431">
        <v>620.16500000000008</v>
      </c>
      <c r="AJ162" s="1431">
        <v>620.16500000000008</v>
      </c>
      <c r="AK162" s="1431">
        <v>620.16500000000008</v>
      </c>
      <c r="AL162" s="1431">
        <v>620.16500000000008</v>
      </c>
      <c r="AM162" s="1431">
        <v>620.16500000000008</v>
      </c>
      <c r="AN162" s="1431">
        <v>620.16500000000008</v>
      </c>
      <c r="AO162" s="1431">
        <v>620.16500000000008</v>
      </c>
      <c r="AP162" s="1431">
        <v>607.89190975000008</v>
      </c>
      <c r="AQ162" s="1431">
        <v>573.51631402760097</v>
      </c>
      <c r="AR162" s="1431">
        <v>523.47245312832172</v>
      </c>
      <c r="AS162" s="1431">
        <v>468.45958682215792</v>
      </c>
      <c r="AT162" s="1431">
        <v>412.06003977605656</v>
      </c>
    </row>
    <row r="163" spans="1:46">
      <c r="A163" s="79"/>
      <c r="D163" s="2045" t="s">
        <v>3801</v>
      </c>
      <c r="E163" s="2048"/>
      <c r="F163" s="2046"/>
      <c r="G163" s="2046"/>
      <c r="H163" s="2046"/>
      <c r="I163" s="2046"/>
      <c r="J163" s="2046"/>
      <c r="K163" s="2046"/>
      <c r="L163" s="2046"/>
      <c r="M163" s="2046"/>
      <c r="N163" s="1431">
        <v>0</v>
      </c>
      <c r="O163" s="1431">
        <v>0</v>
      </c>
      <c r="P163" s="1431">
        <v>0</v>
      </c>
      <c r="Q163" s="1431">
        <v>0</v>
      </c>
      <c r="R163" s="1431">
        <v>0</v>
      </c>
      <c r="S163" s="1431">
        <v>0</v>
      </c>
      <c r="T163" s="1431">
        <v>13</v>
      </c>
      <c r="U163" s="1431">
        <v>23</v>
      </c>
      <c r="V163" s="1431">
        <v>128</v>
      </c>
      <c r="W163" s="1431">
        <v>103.1</v>
      </c>
      <c r="X163" s="1431">
        <v>46.7</v>
      </c>
      <c r="Y163" s="1431">
        <v>75.2</v>
      </c>
      <c r="Z163" s="1431">
        <v>62.957609132009061</v>
      </c>
      <c r="AA163" s="1431">
        <v>353.10748654108153</v>
      </c>
      <c r="AB163" s="1431">
        <v>39.754518411490551</v>
      </c>
      <c r="AC163" s="1431">
        <v>79.745206200200883</v>
      </c>
      <c r="AD163" s="1431">
        <v>22.081738779327818</v>
      </c>
      <c r="AE163" s="1431">
        <v>22.478645709414739</v>
      </c>
      <c r="AF163" s="1431">
        <v>9.096069197545571</v>
      </c>
      <c r="AG163" s="1431">
        <v>108.68462181476009</v>
      </c>
      <c r="AH163" s="1431">
        <v>0</v>
      </c>
      <c r="AI163" s="1431">
        <v>82.88</v>
      </c>
      <c r="AJ163" s="1431">
        <v>117.82</v>
      </c>
      <c r="AK163" s="1431">
        <v>117.82</v>
      </c>
      <c r="AL163" s="1431">
        <v>82.792817910000025</v>
      </c>
      <c r="AM163" s="1431">
        <v>0</v>
      </c>
      <c r="AN163" s="1431">
        <v>0</v>
      </c>
      <c r="AO163" s="1431">
        <v>0</v>
      </c>
      <c r="AP163" s="1431">
        <v>0</v>
      </c>
      <c r="AQ163" s="1431">
        <v>0</v>
      </c>
      <c r="AR163" s="1431">
        <v>0</v>
      </c>
      <c r="AS163" s="1431">
        <v>0</v>
      </c>
      <c r="AT163" s="1431">
        <v>0</v>
      </c>
    </row>
    <row r="164" spans="1:46">
      <c r="A164" s="79"/>
      <c r="D164" s="77" t="s">
        <v>684</v>
      </c>
      <c r="E164" s="74"/>
      <c r="F164" s="74"/>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row>
    <row r="165" spans="1:46">
      <c r="D165"/>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row>
    <row r="166" spans="1:46">
      <c r="D166" s="14" t="s">
        <v>807</v>
      </c>
      <c r="U166"/>
      <c r="V166" s="530" t="s">
        <v>719</v>
      </c>
      <c r="W166" s="74">
        <v>2012</v>
      </c>
      <c r="X166" s="74">
        <v>2013</v>
      </c>
      <c r="Y166" s="74">
        <v>2014</v>
      </c>
      <c r="Z166" s="74">
        <v>2015</v>
      </c>
      <c r="AA166" s="74">
        <v>2016</v>
      </c>
      <c r="AB166" s="74">
        <v>2017</v>
      </c>
      <c r="AC166" s="74">
        <v>2018</v>
      </c>
      <c r="AD166" s="74">
        <v>2019</v>
      </c>
      <c r="AE166" s="74">
        <v>2020</v>
      </c>
      <c r="AF166" s="74">
        <v>2021</v>
      </c>
      <c r="AG166" s="74">
        <v>2022</v>
      </c>
      <c r="AH166" s="74">
        <v>2023</v>
      </c>
      <c r="AI166" s="74">
        <v>2024</v>
      </c>
      <c r="AJ166" s="74">
        <v>2025</v>
      </c>
      <c r="AK166" s="74">
        <v>2026</v>
      </c>
      <c r="AL166" s="74">
        <v>2027</v>
      </c>
      <c r="AM166" s="74">
        <v>2028</v>
      </c>
      <c r="AN166" s="74">
        <v>2029</v>
      </c>
      <c r="AO166" s="74">
        <v>2030</v>
      </c>
      <c r="AP166" s="74">
        <v>2031</v>
      </c>
      <c r="AQ166" s="74">
        <v>2032</v>
      </c>
      <c r="AR166" s="74">
        <v>2033</v>
      </c>
      <c r="AS166" s="74">
        <v>2034</v>
      </c>
      <c r="AT166" s="530">
        <v>2035</v>
      </c>
    </row>
    <row r="167" spans="1:46">
      <c r="D167" s="2293" t="s">
        <v>3825</v>
      </c>
      <c r="E167" s="2293">
        <v>45925</v>
      </c>
      <c r="F167" s="2293"/>
      <c r="G167" s="2293"/>
      <c r="H167" s="2293"/>
      <c r="I167" s="2293"/>
      <c r="J167" s="2293"/>
      <c r="K167" s="2293"/>
      <c r="L167" s="2293"/>
      <c r="M167" s="2293"/>
      <c r="N167" s="2293"/>
      <c r="O167" s="2293"/>
      <c r="P167" s="2293"/>
      <c r="Q167" s="2293"/>
      <c r="R167" s="2293"/>
      <c r="S167" s="2293"/>
      <c r="T167" s="2293"/>
      <c r="U167" s="2293"/>
      <c r="V167" s="2293"/>
      <c r="W167" s="2293"/>
      <c r="X167" s="2293"/>
      <c r="Y167" s="2300">
        <v>2014</v>
      </c>
      <c r="Z167" s="2300">
        <v>2015</v>
      </c>
      <c r="AA167" s="2300">
        <v>2016</v>
      </c>
      <c r="AB167" s="2301">
        <v>2017</v>
      </c>
      <c r="AC167" s="2301">
        <v>2018</v>
      </c>
      <c r="AD167" s="2301">
        <v>2019</v>
      </c>
      <c r="AE167" s="2300">
        <v>2020</v>
      </c>
      <c r="AF167" s="2300">
        <v>2021</v>
      </c>
      <c r="AG167" s="2300">
        <v>2022</v>
      </c>
      <c r="AH167" s="2300">
        <v>2023</v>
      </c>
      <c r="AI167" s="2300">
        <v>2024</v>
      </c>
      <c r="AJ167" s="2302">
        <v>2025</v>
      </c>
      <c r="AK167" s="2300">
        <v>2026</v>
      </c>
      <c r="AL167" s="2300">
        <v>2027</v>
      </c>
      <c r="AM167" s="2300">
        <v>2028</v>
      </c>
      <c r="AN167" s="2300">
        <v>2029</v>
      </c>
      <c r="AO167" s="2300">
        <v>2030</v>
      </c>
      <c r="AP167" s="2300">
        <v>2031</v>
      </c>
      <c r="AQ167" s="2300">
        <v>2032</v>
      </c>
      <c r="AR167" s="2300">
        <v>2033</v>
      </c>
      <c r="AS167" s="2300">
        <v>2034</v>
      </c>
      <c r="AT167" s="2576">
        <v>2035</v>
      </c>
    </row>
    <row r="168" spans="1:46">
      <c r="D168" s="2294" t="s">
        <v>3826</v>
      </c>
      <c r="E168" s="2293"/>
      <c r="F168" s="2293"/>
      <c r="G168" s="2293"/>
      <c r="H168" s="2293"/>
      <c r="I168" s="2293"/>
      <c r="J168" s="2293"/>
      <c r="K168" s="2293"/>
      <c r="L168" s="2293"/>
      <c r="M168" s="2293"/>
      <c r="N168" s="2293"/>
      <c r="O168" s="2293"/>
      <c r="P168" s="2293"/>
      <c r="Q168" s="2293"/>
      <c r="R168" s="2293"/>
      <c r="S168" s="2293"/>
      <c r="T168" s="2293"/>
      <c r="U168" s="2293"/>
      <c r="V168" s="2293"/>
      <c r="W168" s="2293"/>
      <c r="X168" s="2293"/>
      <c r="Y168" s="2300"/>
      <c r="Z168" s="2300"/>
      <c r="AA168" s="2300"/>
      <c r="AB168" s="2301"/>
      <c r="AC168" s="2301"/>
      <c r="AD168" s="2304">
        <v>15</v>
      </c>
      <c r="AE168" s="2304">
        <v>30</v>
      </c>
      <c r="AF168" s="2304">
        <v>30</v>
      </c>
      <c r="AG168" s="2304">
        <v>45</v>
      </c>
      <c r="AH168" s="2304">
        <v>103.55499999999998</v>
      </c>
      <c r="AI168" s="2304">
        <v>65</v>
      </c>
      <c r="AJ168" s="2304">
        <v>65</v>
      </c>
      <c r="AK168" s="2304">
        <v>124.28362</v>
      </c>
      <c r="AL168" s="2304">
        <v>83.847899999999996</v>
      </c>
      <c r="AM168" s="2304">
        <v>158.28469999999999</v>
      </c>
      <c r="AN168" s="2304">
        <v>140</v>
      </c>
      <c r="AO168" s="2304">
        <v>168.97819999999999</v>
      </c>
      <c r="AP168" s="2304">
        <v>148.53049999999999</v>
      </c>
      <c r="AQ168" s="2304">
        <v>149.1927</v>
      </c>
      <c r="AR168" s="2304">
        <v>149.62620000000001</v>
      </c>
      <c r="AS168" s="2304">
        <v>70</v>
      </c>
      <c r="AT168" s="2577">
        <v>135</v>
      </c>
    </row>
    <row r="169" spans="1:46">
      <c r="D169" s="2294" t="s">
        <v>3857</v>
      </c>
      <c r="E169" s="2294"/>
      <c r="F169" s="2294"/>
      <c r="G169" s="2294"/>
      <c r="H169" s="2294"/>
      <c r="I169" s="2294"/>
      <c r="J169" s="2294"/>
      <c r="K169" s="2294"/>
      <c r="L169" s="2294"/>
      <c r="M169" s="2294"/>
      <c r="N169" s="2294"/>
      <c r="O169" s="2294"/>
      <c r="P169" s="2294"/>
      <c r="Q169" s="2294"/>
      <c r="R169" s="2294"/>
      <c r="S169" s="2294"/>
      <c r="T169" s="2294"/>
      <c r="U169" s="2294"/>
      <c r="V169" s="2294"/>
      <c r="W169" s="2294"/>
      <c r="X169" s="2294"/>
      <c r="Y169" s="2294"/>
      <c r="Z169" s="2294"/>
      <c r="AA169" s="2303">
        <v>22.568227527499999</v>
      </c>
      <c r="AB169" s="2304">
        <v>29.625394097637532</v>
      </c>
      <c r="AC169" s="2304">
        <v>26.788916226137534</v>
      </c>
      <c r="AD169" s="2387">
        <v>0</v>
      </c>
      <c r="AE169" s="2387">
        <v>0</v>
      </c>
      <c r="AF169" s="2387">
        <v>0</v>
      </c>
      <c r="AG169" s="2387">
        <v>0</v>
      </c>
      <c r="AH169" s="2387">
        <v>0</v>
      </c>
      <c r="AI169" s="2387">
        <v>0</v>
      </c>
      <c r="AJ169" s="2387">
        <v>12.5518</v>
      </c>
      <c r="AK169" s="2387">
        <v>61.206220000000002</v>
      </c>
      <c r="AL169" s="2387">
        <v>30.642800000000001</v>
      </c>
      <c r="AM169" s="2387">
        <v>73.068399999999997</v>
      </c>
      <c r="AN169" s="2387">
        <v>62.518099999999997</v>
      </c>
      <c r="AO169" s="2387">
        <v>74.705799999999996</v>
      </c>
      <c r="AP169" s="2387">
        <v>68.652299999999997</v>
      </c>
      <c r="AQ169" s="2387">
        <v>21.099499999999999</v>
      </c>
      <c r="AR169" s="2387">
        <v>60.840499999999999</v>
      </c>
      <c r="AS169" s="2387">
        <v>15.0692</v>
      </c>
      <c r="AT169" s="2578">
        <v>38.7654</v>
      </c>
    </row>
    <row r="170" spans="1:46">
      <c r="D170" s="2295" t="s">
        <v>3858</v>
      </c>
      <c r="E170" s="2295"/>
      <c r="F170" s="2295"/>
      <c r="G170" s="2295"/>
      <c r="H170" s="2295"/>
      <c r="I170" s="2295"/>
      <c r="J170" s="2295"/>
      <c r="K170" s="2295"/>
      <c r="L170" s="2295"/>
      <c r="M170" s="2295"/>
      <c r="N170" s="2295"/>
      <c r="O170" s="2295"/>
      <c r="P170" s="2295"/>
      <c r="Q170" s="2295"/>
      <c r="R170" s="2295"/>
      <c r="S170" s="2295"/>
      <c r="T170" s="2295"/>
      <c r="U170" s="2295"/>
      <c r="V170" s="2295"/>
      <c r="W170" s="2295"/>
      <c r="X170" s="2295"/>
      <c r="Y170" s="2295"/>
      <c r="Z170" s="2306"/>
      <c r="AA170" s="2307">
        <v>12.231749656000002</v>
      </c>
      <c r="AB170" s="2308">
        <v>10.3364778715</v>
      </c>
      <c r="AC170" s="2308">
        <v>19.288916226137534</v>
      </c>
      <c r="AD170" s="2308">
        <v>0</v>
      </c>
      <c r="AE170" s="2307">
        <v>0</v>
      </c>
      <c r="AF170" s="2307">
        <v>0</v>
      </c>
      <c r="AG170" s="2307">
        <v>0</v>
      </c>
      <c r="AH170" s="2307">
        <v>0</v>
      </c>
      <c r="AI170" s="2307">
        <v>0</v>
      </c>
      <c r="AJ170" s="2309">
        <v>1.9310461538461501</v>
      </c>
      <c r="AK170" s="2307">
        <v>31.657891748859601</v>
      </c>
      <c r="AL170" s="2307">
        <v>7.8461785518778697</v>
      </c>
      <c r="AM170" s="2307">
        <v>29.213889740954102</v>
      </c>
      <c r="AN170" s="2307">
        <v>13.892911111111101</v>
      </c>
      <c r="AO170" s="2307">
        <v>20.899913413373501</v>
      </c>
      <c r="AP170" s="2307">
        <v>50.163895261579299</v>
      </c>
      <c r="AQ170" s="2307">
        <v>16.8567656034779</v>
      </c>
      <c r="AR170" s="2307">
        <v>60.840499999999999</v>
      </c>
      <c r="AS170" s="2307">
        <v>6.4582285714285703</v>
      </c>
      <c r="AT170" s="2579">
        <v>24.4078444444444</v>
      </c>
    </row>
    <row r="171" spans="1:46">
      <c r="D171" s="2296" t="s">
        <v>3827</v>
      </c>
      <c r="E171" s="2295"/>
      <c r="F171" s="2295"/>
      <c r="G171" s="2295"/>
      <c r="H171" s="2295"/>
      <c r="I171" s="2295"/>
      <c r="J171" s="2295"/>
      <c r="K171" s="2295"/>
      <c r="L171" s="2295"/>
      <c r="M171" s="2295"/>
      <c r="N171" s="2295"/>
      <c r="O171" s="2295"/>
      <c r="P171" s="2295"/>
      <c r="Q171" s="2295"/>
      <c r="R171" s="2295"/>
      <c r="S171" s="2295"/>
      <c r="T171" s="2295"/>
      <c r="U171" s="2295"/>
      <c r="V171" s="2295"/>
      <c r="W171" s="2295"/>
      <c r="X171" s="2295"/>
      <c r="Y171" s="2295"/>
      <c r="Z171" s="2310"/>
      <c r="AA171" s="2311">
        <v>9.572381195500002</v>
      </c>
      <c r="AB171" s="2311">
        <v>2.1779593529999999</v>
      </c>
      <c r="AC171" s="2311">
        <v>11.788916226137534</v>
      </c>
      <c r="AD171" s="2312">
        <v>0</v>
      </c>
      <c r="AE171" s="2313">
        <v>0.5</v>
      </c>
      <c r="AF171" s="2313">
        <v>0.5</v>
      </c>
      <c r="AG171" s="2313">
        <v>0.5</v>
      </c>
      <c r="AH171" s="2313">
        <v>0.5</v>
      </c>
      <c r="AI171" s="2313">
        <v>0.15384615384615385</v>
      </c>
      <c r="AJ171" s="2314">
        <v>0.51723324441306096</v>
      </c>
      <c r="AK171" s="2313">
        <v>0.25605292440240002</v>
      </c>
      <c r="AL171" s="2313">
        <v>0.39981564863818198</v>
      </c>
      <c r="AM171" s="2313">
        <v>0.22222222222222199</v>
      </c>
      <c r="AN171" s="2313">
        <v>0.27976292889405502</v>
      </c>
      <c r="AO171" s="2313">
        <v>0.73069504243236205</v>
      </c>
      <c r="AP171" s="2313">
        <v>0.79891777546756604</v>
      </c>
      <c r="AQ171" s="2313">
        <v>1</v>
      </c>
      <c r="AR171" s="2313">
        <v>0.42857142857142899</v>
      </c>
      <c r="AS171" s="2313">
        <v>0.62962962962962998</v>
      </c>
      <c r="AT171" s="2580">
        <v>0.5</v>
      </c>
    </row>
    <row r="172" spans="1:46">
      <c r="D172" s="2295" t="s">
        <v>3859</v>
      </c>
      <c r="E172" s="2295"/>
      <c r="F172" s="2295"/>
      <c r="G172" s="2295"/>
      <c r="H172" s="2295"/>
      <c r="I172" s="2295"/>
      <c r="J172" s="2295"/>
      <c r="K172" s="2295"/>
      <c r="L172" s="2295"/>
      <c r="M172" s="2295"/>
      <c r="N172" s="2295"/>
      <c r="O172" s="2295"/>
      <c r="P172" s="2295"/>
      <c r="Q172" s="2295"/>
      <c r="R172" s="2295"/>
      <c r="S172" s="2295"/>
      <c r="T172" s="2295"/>
      <c r="U172" s="2295"/>
      <c r="V172" s="2295"/>
      <c r="W172" s="2295"/>
      <c r="X172" s="2295"/>
      <c r="Y172" s="2306"/>
      <c r="Z172" s="2315">
        <v>12.231749656000002</v>
      </c>
      <c r="AA172" s="2316">
        <v>10.3364778715</v>
      </c>
      <c r="AB172" s="2317">
        <v>19.288916226137534</v>
      </c>
      <c r="AC172" s="2317">
        <v>7.5</v>
      </c>
      <c r="AD172" s="2317">
        <v>0</v>
      </c>
      <c r="AE172" s="2316">
        <v>0</v>
      </c>
      <c r="AF172" s="2316">
        <v>0</v>
      </c>
      <c r="AG172" s="2316">
        <v>0</v>
      </c>
      <c r="AH172" s="2316">
        <v>0</v>
      </c>
      <c r="AI172" s="2316">
        <v>10.620753846153846</v>
      </c>
      <c r="AJ172" s="2318">
        <v>29.548328251140401</v>
      </c>
      <c r="AK172" s="2316">
        <v>22.796621448122099</v>
      </c>
      <c r="AL172" s="2316">
        <v>43.854510259045902</v>
      </c>
      <c r="AM172" s="2316">
        <v>48.6251888888889</v>
      </c>
      <c r="AN172" s="2316">
        <v>53.805886586626499</v>
      </c>
      <c r="AO172" s="2316">
        <v>18.488404738420702</v>
      </c>
      <c r="AP172" s="2316">
        <v>4.2427343965220796</v>
      </c>
      <c r="AQ172" s="2316">
        <v>0</v>
      </c>
      <c r="AR172" s="2316">
        <v>8.6109714285714301</v>
      </c>
      <c r="AS172" s="2316">
        <v>14.357555555555599</v>
      </c>
      <c r="AT172" s="2581">
        <v>0</v>
      </c>
    </row>
    <row r="173" spans="1:46">
      <c r="D173" s="2294" t="s">
        <v>3860</v>
      </c>
      <c r="E173" s="2295"/>
      <c r="F173" s="2295"/>
      <c r="G173" s="2295"/>
      <c r="H173" s="2295"/>
      <c r="I173" s="2295"/>
      <c r="J173" s="2295"/>
      <c r="K173" s="2295"/>
      <c r="L173" s="2295"/>
      <c r="M173" s="2295"/>
      <c r="N173" s="2295"/>
      <c r="O173" s="2295"/>
      <c r="P173" s="2295"/>
      <c r="Q173" s="2295"/>
      <c r="R173" s="2295"/>
      <c r="S173" s="2295"/>
      <c r="T173" s="2295"/>
      <c r="U173" s="2295"/>
      <c r="V173" s="2295"/>
      <c r="W173" s="2295"/>
      <c r="X173" s="2295"/>
      <c r="Y173" s="2306"/>
      <c r="Z173" s="2388"/>
      <c r="AA173" s="2316"/>
      <c r="AB173" s="2317"/>
      <c r="AC173" s="2317"/>
      <c r="AD173" s="2317">
        <v>15</v>
      </c>
      <c r="AE173" s="2317">
        <v>30</v>
      </c>
      <c r="AF173" s="2317">
        <v>30</v>
      </c>
      <c r="AG173" s="2317">
        <v>45</v>
      </c>
      <c r="AH173" s="2317">
        <v>103.55499999999998</v>
      </c>
      <c r="AI173" s="2317">
        <v>65</v>
      </c>
      <c r="AJ173" s="2317">
        <v>52.4482</v>
      </c>
      <c r="AK173" s="2317">
        <v>63.077399999999997</v>
      </c>
      <c r="AL173" s="2317">
        <v>53.205100000000002</v>
      </c>
      <c r="AM173" s="2317">
        <v>85.216300000000004</v>
      </c>
      <c r="AN173" s="2317">
        <v>77.481899999999996</v>
      </c>
      <c r="AO173" s="2317">
        <v>94.272400000000005</v>
      </c>
      <c r="AP173" s="2317">
        <v>79.878200000000007</v>
      </c>
      <c r="AQ173" s="2317">
        <v>128.0932</v>
      </c>
      <c r="AR173" s="2317">
        <v>88.785700000000006</v>
      </c>
      <c r="AS173" s="2317">
        <v>54.930799999999998</v>
      </c>
      <c r="AT173" s="2582">
        <v>96.2346</v>
      </c>
    </row>
    <row r="174" spans="1:46">
      <c r="D174" s="2295" t="s">
        <v>3861</v>
      </c>
      <c r="E174" s="2295"/>
      <c r="F174" s="2295"/>
      <c r="G174" s="2295"/>
      <c r="H174" s="2295"/>
      <c r="I174" s="2295"/>
      <c r="J174" s="2295"/>
      <c r="K174" s="2295"/>
      <c r="L174" s="2295"/>
      <c r="M174" s="2295"/>
      <c r="N174" s="2295"/>
      <c r="O174" s="2295"/>
      <c r="P174" s="2295"/>
      <c r="Q174" s="2295"/>
      <c r="R174" s="2295"/>
      <c r="S174" s="2295"/>
      <c r="T174" s="2295"/>
      <c r="U174" s="2295"/>
      <c r="V174" s="2295"/>
      <c r="W174" s="2295"/>
      <c r="X174" s="2295"/>
      <c r="Y174" s="2306"/>
      <c r="Z174" s="2388"/>
      <c r="AA174" s="2316"/>
      <c r="AB174" s="2317"/>
      <c r="AC174" s="2317"/>
      <c r="AD174" s="2308">
        <v>7.5</v>
      </c>
      <c r="AE174" s="2307">
        <v>15</v>
      </c>
      <c r="AF174" s="2307">
        <v>15</v>
      </c>
      <c r="AG174" s="2307">
        <v>22.5</v>
      </c>
      <c r="AH174" s="2307">
        <v>51.777499999999989</v>
      </c>
      <c r="AI174" s="2307">
        <v>32.5</v>
      </c>
      <c r="AJ174" s="2309">
        <v>8.0689538461538497</v>
      </c>
      <c r="AK174" s="2307">
        <v>32.625728251140401</v>
      </c>
      <c r="AL174" s="2307">
        <v>13.6233214481221</v>
      </c>
      <c r="AM174" s="2307">
        <v>34.070810259045899</v>
      </c>
      <c r="AN174" s="2307">
        <v>17.2182</v>
      </c>
      <c r="AO174" s="2307">
        <v>26.373922737871901</v>
      </c>
      <c r="AP174" s="2307">
        <v>58.366604738420698</v>
      </c>
      <c r="AQ174" s="2307">
        <v>102.33593439652201</v>
      </c>
      <c r="AR174" s="2307">
        <v>88.785700000000006</v>
      </c>
      <c r="AS174" s="2307">
        <v>23.541771428571401</v>
      </c>
      <c r="AT174" s="2579">
        <v>60.5921555555556</v>
      </c>
    </row>
    <row r="175" spans="1:46">
      <c r="D175" s="2296" t="s">
        <v>3827</v>
      </c>
      <c r="E175" s="2295"/>
      <c r="F175" s="2295"/>
      <c r="G175" s="2295"/>
      <c r="H175" s="2295"/>
      <c r="I175" s="2295"/>
      <c r="J175" s="2295"/>
      <c r="K175" s="2295"/>
      <c r="L175" s="2295"/>
      <c r="M175" s="2295"/>
      <c r="N175" s="2295"/>
      <c r="O175" s="2295"/>
      <c r="P175" s="2295"/>
      <c r="Q175" s="2295"/>
      <c r="R175" s="2295"/>
      <c r="S175" s="2295"/>
      <c r="T175" s="2295"/>
      <c r="U175" s="2295"/>
      <c r="V175" s="2295"/>
      <c r="W175" s="2295"/>
      <c r="X175" s="2295"/>
      <c r="Y175" s="2306"/>
      <c r="Z175" s="2388"/>
      <c r="AA175" s="2316"/>
      <c r="AB175" s="2317"/>
      <c r="AC175" s="2317"/>
      <c r="AD175" s="2313">
        <v>0.5</v>
      </c>
      <c r="AE175" s="2313">
        <v>0.5</v>
      </c>
      <c r="AF175" s="2313">
        <v>0.5</v>
      </c>
      <c r="AG175" s="2313">
        <v>0.5</v>
      </c>
      <c r="AH175" s="2313">
        <v>0.5</v>
      </c>
      <c r="AI175" s="2313">
        <v>0.15384615384615385</v>
      </c>
      <c r="AJ175" s="2314">
        <v>0.51723324441306096</v>
      </c>
      <c r="AK175" s="2313">
        <v>0.25605292440240002</v>
      </c>
      <c r="AL175" s="2313">
        <v>0.39981564863818198</v>
      </c>
      <c r="AM175" s="2313">
        <v>0.22222222222222199</v>
      </c>
      <c r="AN175" s="2313">
        <v>0.27976292889405502</v>
      </c>
      <c r="AO175" s="2313">
        <v>0.73069504243236205</v>
      </c>
      <c r="AP175" s="2313">
        <v>0.79891777546756604</v>
      </c>
      <c r="AQ175" s="2313">
        <v>1</v>
      </c>
      <c r="AR175" s="2313">
        <v>0.42857142857142899</v>
      </c>
      <c r="AS175" s="2313">
        <v>0.62962962962962998</v>
      </c>
      <c r="AT175" s="2580">
        <v>0.5</v>
      </c>
    </row>
    <row r="176" spans="1:46">
      <c r="D176" s="2295" t="s">
        <v>3862</v>
      </c>
      <c r="E176" s="2295"/>
      <c r="F176" s="2295"/>
      <c r="G176" s="2295"/>
      <c r="H176" s="2295"/>
      <c r="I176" s="2295"/>
      <c r="J176" s="2295"/>
      <c r="K176" s="2295"/>
      <c r="L176" s="2295"/>
      <c r="M176" s="2295"/>
      <c r="N176" s="2295"/>
      <c r="O176" s="2295"/>
      <c r="P176" s="2295"/>
      <c r="Q176" s="2295"/>
      <c r="R176" s="2295"/>
      <c r="S176" s="2295"/>
      <c r="T176" s="2295"/>
      <c r="U176" s="2295"/>
      <c r="V176" s="2295"/>
      <c r="W176" s="2295"/>
      <c r="X176" s="2295"/>
      <c r="Y176" s="2306"/>
      <c r="Z176" s="2388"/>
      <c r="AA176" s="2316"/>
      <c r="AB176" s="2317"/>
      <c r="AC176" s="2317"/>
      <c r="AD176" s="2317">
        <v>15</v>
      </c>
      <c r="AE176" s="2316">
        <v>15</v>
      </c>
      <c r="AF176" s="2316">
        <v>22.5</v>
      </c>
      <c r="AG176" s="2316">
        <v>51.777499999999989</v>
      </c>
      <c r="AH176" s="2316">
        <v>32.5</v>
      </c>
      <c r="AI176" s="2316">
        <v>44.379246153846154</v>
      </c>
      <c r="AJ176" s="2318">
        <v>30.451671748859599</v>
      </c>
      <c r="AK176" s="2316">
        <v>39.581778551877903</v>
      </c>
      <c r="AL176" s="2316">
        <v>51.145489740954098</v>
      </c>
      <c r="AM176" s="2316">
        <v>60.2637</v>
      </c>
      <c r="AN176" s="2316">
        <v>67.898477262128097</v>
      </c>
      <c r="AO176" s="2316">
        <v>21.511595261579298</v>
      </c>
      <c r="AP176" s="2316">
        <v>25.757265603477901</v>
      </c>
      <c r="AQ176" s="2316">
        <v>0</v>
      </c>
      <c r="AR176" s="2316">
        <v>31.3890285714286</v>
      </c>
      <c r="AS176" s="2316">
        <v>35.642444444444401</v>
      </c>
      <c r="AT176" s="2581">
        <v>0</v>
      </c>
    </row>
    <row r="177" spans="4:46">
      <c r="D177" s="2294" t="s">
        <v>3828</v>
      </c>
      <c r="E177" s="2295"/>
      <c r="F177" s="2295"/>
      <c r="G177" s="2295"/>
      <c r="H177" s="2295"/>
      <c r="I177" s="2295"/>
      <c r="J177" s="2295"/>
      <c r="K177" s="2295"/>
      <c r="L177" s="2295"/>
      <c r="M177" s="2295"/>
      <c r="N177" s="2295"/>
      <c r="O177" s="2295"/>
      <c r="P177" s="2295"/>
      <c r="Q177" s="2295"/>
      <c r="R177" s="2295"/>
      <c r="S177" s="2295"/>
      <c r="T177" s="2295"/>
      <c r="U177" s="2295"/>
      <c r="V177" s="2295"/>
      <c r="W177" s="2295"/>
      <c r="X177" s="2295"/>
      <c r="Y177" s="2319"/>
      <c r="Z177" s="2320">
        <v>9.572381195500002</v>
      </c>
      <c r="AA177" s="2321">
        <v>2.1779593529999999</v>
      </c>
      <c r="AB177" s="2321">
        <v>11.788916226137534</v>
      </c>
      <c r="AC177" s="2321">
        <v>0</v>
      </c>
      <c r="AD177" s="2389"/>
      <c r="AE177" s="2322"/>
      <c r="AF177" s="2322">
        <v>14.819514689999998</v>
      </c>
      <c r="AG177" s="2322">
        <v>7.3306508299999997</v>
      </c>
      <c r="AH177" s="2322">
        <v>3.5341850346800001</v>
      </c>
      <c r="AI177" s="2322">
        <v>38.146161841360005</v>
      </c>
      <c r="AJ177" s="2323">
        <v>30.74256080036</v>
      </c>
      <c r="AK177" s="2322">
        <v>76.142594177359996</v>
      </c>
      <c r="AL177" s="2322">
        <v>5.0980660323600002</v>
      </c>
      <c r="AM177" s="2322">
        <v>5.4532643863599999</v>
      </c>
      <c r="AN177" s="2322">
        <v>5.8816372933599999</v>
      </c>
      <c r="AO177" s="2322">
        <v>6.3527746293599998</v>
      </c>
      <c r="AP177" s="2322">
        <v>6.9001107773600001</v>
      </c>
      <c r="AQ177" s="2322">
        <v>7.5246394813600004</v>
      </c>
      <c r="AR177" s="2322">
        <v>8.2510995533599996</v>
      </c>
      <c r="AS177" s="2322">
        <v>9.0757867113599993</v>
      </c>
      <c r="AT177" s="2583">
        <v>2.6425941773599999</v>
      </c>
    </row>
    <row r="178" spans="4:46">
      <c r="D178" s="2295" t="s">
        <v>3829</v>
      </c>
      <c r="E178" s="2324">
        <v>0.5</v>
      </c>
      <c r="F178" s="2295"/>
      <c r="G178" s="2295"/>
      <c r="H178" s="2295"/>
      <c r="I178" s="2295"/>
      <c r="J178" s="2295"/>
      <c r="K178" s="2295"/>
      <c r="L178" s="2295"/>
      <c r="M178" s="2295"/>
      <c r="N178" s="2295"/>
      <c r="O178" s="2295"/>
      <c r="P178" s="2295"/>
      <c r="Q178" s="2295"/>
      <c r="R178" s="2295"/>
      <c r="S178" s="2295"/>
      <c r="T178" s="2295"/>
      <c r="U178" s="2295"/>
      <c r="V178" s="2295"/>
      <c r="W178" s="2295"/>
      <c r="X178" s="2295"/>
      <c r="Y178" s="2294"/>
      <c r="Z178" s="2294"/>
      <c r="AA178" s="2294"/>
      <c r="AB178" s="2325"/>
      <c r="AC178" s="2325"/>
      <c r="AD178" s="2325"/>
      <c r="AE178" s="2316"/>
      <c r="AF178" s="2316">
        <v>7.4097573449999992</v>
      </c>
      <c r="AG178" s="2316">
        <v>3.6653254149999999</v>
      </c>
      <c r="AH178" s="2316">
        <v>1.7670925173400001</v>
      </c>
      <c r="AI178" s="2316">
        <v>19.073080920680002</v>
      </c>
      <c r="AJ178" s="2318">
        <v>15.37128040018</v>
      </c>
      <c r="AK178" s="2316">
        <v>38.071297088679998</v>
      </c>
      <c r="AL178" s="2316">
        <v>2.5490330161800001</v>
      </c>
      <c r="AM178" s="2316">
        <v>2.7266321931799999</v>
      </c>
      <c r="AN178" s="2316">
        <v>2.9408186466799999</v>
      </c>
      <c r="AO178" s="2316">
        <v>3.1763873146799999</v>
      </c>
      <c r="AP178" s="2316">
        <v>3.4500553886800001</v>
      </c>
      <c r="AQ178" s="2316">
        <v>3.7623197406800002</v>
      </c>
      <c r="AR178" s="2316">
        <v>4.1255497766799998</v>
      </c>
      <c r="AS178" s="2316">
        <v>4.5378933556799996</v>
      </c>
      <c r="AT178" s="2581">
        <v>1.32129708868</v>
      </c>
    </row>
    <row r="179" spans="4:46">
      <c r="D179" s="2295" t="s">
        <v>3830</v>
      </c>
      <c r="E179" s="2295"/>
      <c r="F179" s="2295"/>
      <c r="G179" s="2295"/>
      <c r="H179" s="2295"/>
      <c r="I179" s="2295"/>
      <c r="J179" s="2295"/>
      <c r="K179" s="2295"/>
      <c r="L179" s="2295"/>
      <c r="M179" s="2295"/>
      <c r="N179" s="2295"/>
      <c r="O179" s="2295"/>
      <c r="P179" s="2295"/>
      <c r="Q179" s="2295"/>
      <c r="R179" s="2295"/>
      <c r="S179" s="2295"/>
      <c r="T179" s="2295"/>
      <c r="U179" s="2295"/>
      <c r="V179" s="2295"/>
      <c r="W179" s="2295"/>
      <c r="X179" s="2295"/>
      <c r="Y179" s="2294"/>
      <c r="Z179" s="2294"/>
      <c r="AA179" s="2294"/>
      <c r="AB179" s="2325"/>
      <c r="AC179" s="2325"/>
      <c r="AD179" s="2325"/>
      <c r="AE179" s="2316">
        <v>7.4097573449999992</v>
      </c>
      <c r="AF179" s="2316">
        <v>3.6653254149999999</v>
      </c>
      <c r="AG179" s="2316">
        <v>1.7670925173400001</v>
      </c>
      <c r="AH179" s="2316">
        <v>19.073080920680002</v>
      </c>
      <c r="AI179" s="2316">
        <v>15.37128040018</v>
      </c>
      <c r="AJ179" s="2318">
        <v>38.071297088679998</v>
      </c>
      <c r="AK179" s="2316">
        <v>2.5490330161800001</v>
      </c>
      <c r="AL179" s="2316">
        <v>2.7266321931799999</v>
      </c>
      <c r="AM179" s="2316">
        <v>2.9408186466799999</v>
      </c>
      <c r="AN179" s="2316">
        <v>3.1763873146799999</v>
      </c>
      <c r="AO179" s="2316">
        <v>3.4500553886800001</v>
      </c>
      <c r="AP179" s="2316">
        <v>3.7623197406800002</v>
      </c>
      <c r="AQ179" s="2316">
        <v>4.1255497766799998</v>
      </c>
      <c r="AR179" s="2316">
        <v>4.5378933556799996</v>
      </c>
      <c r="AS179" s="2316">
        <v>1.32129708868</v>
      </c>
      <c r="AT179" s="2581">
        <v>0</v>
      </c>
    </row>
    <row r="180" spans="4:46">
      <c r="D180" s="2297" t="s">
        <v>3831</v>
      </c>
      <c r="E180" s="2295"/>
      <c r="F180" s="2295"/>
      <c r="G180" s="2295"/>
      <c r="H180" s="2295"/>
      <c r="I180" s="2295"/>
      <c r="J180" s="2295"/>
      <c r="K180" s="2295"/>
      <c r="L180" s="2295"/>
      <c r="M180" s="2295"/>
      <c r="N180" s="2295"/>
      <c r="O180" s="2295"/>
      <c r="P180" s="2295"/>
      <c r="Q180" s="2295"/>
      <c r="R180" s="2295"/>
      <c r="S180" s="2295"/>
      <c r="T180" s="2295"/>
      <c r="U180" s="2295"/>
      <c r="V180" s="2295"/>
      <c r="W180" s="2295"/>
      <c r="X180" s="2295"/>
      <c r="Y180" s="2294"/>
      <c r="Z180" s="2294"/>
      <c r="AA180" s="2294"/>
      <c r="AB180" s="2325"/>
      <c r="AC180" s="2325"/>
      <c r="AD180" s="2325"/>
      <c r="AE180" s="2326"/>
      <c r="AF180" s="2327"/>
      <c r="AG180" s="2327"/>
      <c r="AH180" s="2327"/>
      <c r="AI180" s="2327"/>
      <c r="AJ180" s="2328"/>
      <c r="AK180" s="2327"/>
      <c r="AL180" s="2327"/>
      <c r="AM180" s="2327"/>
      <c r="AN180" s="2327"/>
      <c r="AO180" s="2327"/>
      <c r="AP180" s="2327"/>
      <c r="AQ180" s="2327"/>
      <c r="AR180" s="2327"/>
      <c r="AS180" s="2327"/>
      <c r="AT180" s="2584"/>
    </row>
    <row r="181" spans="4:46">
      <c r="D181" s="2294" t="s">
        <v>3832</v>
      </c>
      <c r="E181" s="2294"/>
      <c r="F181" s="2294"/>
      <c r="G181" s="2294"/>
      <c r="H181" s="2294"/>
      <c r="I181" s="2294"/>
      <c r="J181" s="2294"/>
      <c r="K181" s="2294"/>
      <c r="L181" s="2294"/>
      <c r="M181" s="2294"/>
      <c r="N181" s="2294"/>
      <c r="O181" s="2294"/>
      <c r="P181" s="2294"/>
      <c r="Q181" s="2294"/>
      <c r="R181" s="2294"/>
      <c r="S181" s="2294"/>
      <c r="T181" s="2294"/>
      <c r="U181" s="2294"/>
      <c r="V181" s="2294"/>
      <c r="W181" s="2294"/>
      <c r="X181" s="2294"/>
      <c r="Y181" s="2294"/>
      <c r="Z181" s="2294"/>
      <c r="AA181" s="2303"/>
      <c r="AB181" s="2304"/>
      <c r="AC181" s="2304">
        <v>25.503919248919999</v>
      </c>
      <c r="AD181" s="2304">
        <v>13.79268583142</v>
      </c>
      <c r="AE181" s="2303">
        <v>0</v>
      </c>
      <c r="AF181" s="2303">
        <v>109.28211356210538</v>
      </c>
      <c r="AG181" s="2303">
        <v>162.77947354099999</v>
      </c>
      <c r="AH181" s="2303">
        <v>229.90237916065232</v>
      </c>
      <c r="AI181" s="2303">
        <v>239.7658934665946</v>
      </c>
      <c r="AJ181" s="2305">
        <v>263.97084936803799</v>
      </c>
      <c r="AK181" s="2303">
        <v>288.84765566700003</v>
      </c>
      <c r="AL181" s="2303">
        <v>332.48941880500001</v>
      </c>
      <c r="AM181" s="2303">
        <v>335.27434038400003</v>
      </c>
      <c r="AN181" s="2303">
        <v>303.02187224199997</v>
      </c>
      <c r="AO181" s="2303">
        <v>290.26096360100001</v>
      </c>
      <c r="AP181" s="2303">
        <v>273.275406148</v>
      </c>
      <c r="AQ181" s="2303">
        <v>254.91146538999999</v>
      </c>
      <c r="AR181" s="2303">
        <v>230.84121771299999</v>
      </c>
      <c r="AS181" s="2303">
        <v>216.208835351</v>
      </c>
      <c r="AT181" s="2585">
        <v>226.61846041416501</v>
      </c>
    </row>
    <row r="182" spans="4:46">
      <c r="D182" s="2295" t="s">
        <v>3863</v>
      </c>
      <c r="E182" s="2295"/>
      <c r="F182" s="2295"/>
      <c r="G182" s="2295"/>
      <c r="H182" s="2295"/>
      <c r="I182" s="2295"/>
      <c r="J182" s="2295"/>
      <c r="K182" s="2295"/>
      <c r="L182" s="2295"/>
      <c r="M182" s="2295"/>
      <c r="N182" s="2295"/>
      <c r="O182" s="2295"/>
      <c r="P182" s="2295"/>
      <c r="Q182" s="2295"/>
      <c r="R182" s="2295"/>
      <c r="S182" s="2295"/>
      <c r="T182" s="2295"/>
      <c r="U182" s="2295"/>
      <c r="V182" s="2295"/>
      <c r="W182" s="2295"/>
      <c r="X182" s="2295"/>
      <c r="Y182" s="2295"/>
      <c r="Z182" s="2306"/>
      <c r="AA182" s="2329"/>
      <c r="AB182" s="2308"/>
      <c r="AC182" s="2308">
        <v>11.711233417499999</v>
      </c>
      <c r="AD182" s="2308">
        <v>13.79268583142</v>
      </c>
      <c r="AE182" s="2307">
        <v>0</v>
      </c>
      <c r="AF182" s="2307">
        <v>0</v>
      </c>
      <c r="AG182" s="2307">
        <v>81.389736770499994</v>
      </c>
      <c r="AH182" s="2307">
        <v>114.95118958032616</v>
      </c>
      <c r="AI182" s="2307">
        <v>119.8829467332973</v>
      </c>
      <c r="AJ182" s="2309">
        <v>137.60987236099999</v>
      </c>
      <c r="AK182" s="2307">
        <v>137.350432709817</v>
      </c>
      <c r="AL182" s="2307">
        <v>157.048802015088</v>
      </c>
      <c r="AM182" s="2307">
        <v>156.616479648309</v>
      </c>
      <c r="AN182" s="2307">
        <v>141.022350110612</v>
      </c>
      <c r="AO182" s="2307">
        <v>132.910304346673</v>
      </c>
      <c r="AP182" s="2307">
        <v>126.262340143693</v>
      </c>
      <c r="AQ182" s="2307">
        <v>117.007168058484</v>
      </c>
      <c r="AR182" s="2307">
        <v>105.88098428695</v>
      </c>
      <c r="AS182" s="2307">
        <v>97.142541918037793</v>
      </c>
      <c r="AT182" s="2579">
        <v>100.695183764202</v>
      </c>
    </row>
    <row r="183" spans="4:46">
      <c r="D183" s="2296" t="s">
        <v>3827</v>
      </c>
      <c r="E183" s="2295"/>
      <c r="F183" s="2295"/>
      <c r="G183" s="2295"/>
      <c r="H183" s="2295"/>
      <c r="I183" s="2295"/>
      <c r="J183" s="2295"/>
      <c r="K183" s="2295"/>
      <c r="L183" s="2295"/>
      <c r="M183" s="2295"/>
      <c r="N183" s="2295"/>
      <c r="O183" s="2295"/>
      <c r="P183" s="2295"/>
      <c r="Q183" s="2295"/>
      <c r="R183" s="2295"/>
      <c r="S183" s="2295"/>
      <c r="T183" s="2295"/>
      <c r="U183" s="2295"/>
      <c r="V183" s="2295"/>
      <c r="W183" s="2295"/>
      <c r="X183" s="2295"/>
      <c r="Y183" s="2294"/>
      <c r="Z183" s="2306"/>
      <c r="AA183" s="2295"/>
      <c r="AB183" s="2317"/>
      <c r="AC183" s="2317"/>
      <c r="AD183" s="2317"/>
      <c r="AE183" s="2316"/>
      <c r="AF183" s="2313">
        <v>0.5</v>
      </c>
      <c r="AG183" s="2313">
        <v>0.5</v>
      </c>
      <c r="AH183" s="2313">
        <v>0.5</v>
      </c>
      <c r="AI183" s="2313">
        <v>0.52130707875678706</v>
      </c>
      <c r="AJ183" s="2314">
        <v>0.47551167549776502</v>
      </c>
      <c r="AK183" s="2313">
        <v>0.47234225552060299</v>
      </c>
      <c r="AL183" s="2313">
        <v>0.46712933494681202</v>
      </c>
      <c r="AM183" s="2313">
        <v>0.465386703168371</v>
      </c>
      <c r="AN183" s="2313">
        <v>0.457899342363427</v>
      </c>
      <c r="AO183" s="2313">
        <v>0.46203330890051503</v>
      </c>
      <c r="AP183" s="2313">
        <v>0.45901100556410701</v>
      </c>
      <c r="AQ183" s="2313">
        <v>0.45867451807757298</v>
      </c>
      <c r="AR183" s="2313">
        <v>0.449299593887241</v>
      </c>
      <c r="AS183" s="2313">
        <v>0.44433795719983299</v>
      </c>
      <c r="AT183" s="2580">
        <v>0</v>
      </c>
    </row>
    <row r="184" spans="4:46">
      <c r="D184" s="2295" t="s">
        <v>3864</v>
      </c>
      <c r="E184" s="2295"/>
      <c r="F184" s="2295"/>
      <c r="G184" s="2295"/>
      <c r="H184" s="2295"/>
      <c r="I184" s="2295"/>
      <c r="J184" s="2295"/>
      <c r="K184" s="2295"/>
      <c r="L184" s="2295"/>
      <c r="M184" s="2295"/>
      <c r="N184" s="2295"/>
      <c r="O184" s="2295"/>
      <c r="P184" s="2295"/>
      <c r="Q184" s="2295"/>
      <c r="R184" s="2295"/>
      <c r="S184" s="2295"/>
      <c r="T184" s="2295"/>
      <c r="U184" s="2295"/>
      <c r="V184" s="2295"/>
      <c r="W184" s="2295"/>
      <c r="X184" s="2295"/>
      <c r="Y184" s="2295"/>
      <c r="Z184" s="2330"/>
      <c r="AA184" s="2316"/>
      <c r="AB184" s="2317"/>
      <c r="AC184" s="2317">
        <v>13.79268583142</v>
      </c>
      <c r="AD184" s="2317">
        <v>0</v>
      </c>
      <c r="AE184" s="2316">
        <v>109.28211356210538</v>
      </c>
      <c r="AF184" s="2316">
        <v>81.389736770499994</v>
      </c>
      <c r="AG184" s="2316">
        <v>114.95118958032616</v>
      </c>
      <c r="AH184" s="2316">
        <v>119.8829467332973</v>
      </c>
      <c r="AI184" s="2316">
        <v>126.36097700703846</v>
      </c>
      <c r="AJ184" s="2318">
        <v>151.497222957183</v>
      </c>
      <c r="AK184" s="2316">
        <v>175.44061678991201</v>
      </c>
      <c r="AL184" s="2316">
        <v>178.657860735691</v>
      </c>
      <c r="AM184" s="2316">
        <v>161.99952213138801</v>
      </c>
      <c r="AN184" s="2316">
        <v>157.35065925432701</v>
      </c>
      <c r="AO184" s="2316">
        <v>147.01306600430701</v>
      </c>
      <c r="AP184" s="2316">
        <v>137.90429733151601</v>
      </c>
      <c r="AQ184" s="2316">
        <v>124.96023342605</v>
      </c>
      <c r="AR184" s="2316">
        <v>119.066293432962</v>
      </c>
      <c r="AS184" s="2316">
        <v>125.923276649964</v>
      </c>
      <c r="AT184" s="2581">
        <v>0</v>
      </c>
    </row>
    <row r="185" spans="4:46">
      <c r="D185" s="2297" t="s">
        <v>3833</v>
      </c>
      <c r="E185" s="2295"/>
      <c r="F185" s="2295"/>
      <c r="G185" s="2295"/>
      <c r="H185" s="2295"/>
      <c r="I185" s="2295"/>
      <c r="J185" s="2295"/>
      <c r="K185" s="2295"/>
      <c r="L185" s="2295"/>
      <c r="M185" s="2295"/>
      <c r="N185" s="2295"/>
      <c r="O185" s="2295"/>
      <c r="P185" s="2295"/>
      <c r="Q185" s="2295"/>
      <c r="R185" s="2295"/>
      <c r="S185" s="2295"/>
      <c r="T185" s="2295"/>
      <c r="U185" s="2295"/>
      <c r="V185" s="2295"/>
      <c r="W185" s="2295"/>
      <c r="X185" s="2295"/>
      <c r="Y185" s="2294"/>
      <c r="Z185" s="2331"/>
      <c r="AA185" s="2332"/>
      <c r="AB185" s="2333"/>
      <c r="AC185" s="2334"/>
      <c r="AD185" s="2333"/>
      <c r="AE185" s="2326"/>
      <c r="AF185" s="2327"/>
      <c r="AG185" s="2327"/>
      <c r="AH185" s="2327"/>
      <c r="AI185" s="2327"/>
      <c r="AJ185" s="2328"/>
      <c r="AK185" s="2327"/>
      <c r="AL185" s="2327"/>
      <c r="AM185" s="2327"/>
      <c r="AN185" s="2327"/>
      <c r="AO185" s="2327"/>
      <c r="AP185" s="2327"/>
      <c r="AQ185" s="2327"/>
      <c r="AR185" s="2327"/>
      <c r="AS185" s="2327"/>
      <c r="AT185" s="2584"/>
    </row>
    <row r="186" spans="4:46">
      <c r="D186" s="2294" t="s">
        <v>1135</v>
      </c>
      <c r="E186" s="2294"/>
      <c r="F186" s="2294"/>
      <c r="G186" s="2294"/>
      <c r="H186" s="2294"/>
      <c r="I186" s="2294"/>
      <c r="J186" s="2294"/>
      <c r="K186" s="2294"/>
      <c r="L186" s="2294"/>
      <c r="M186" s="2294"/>
      <c r="N186" s="2294"/>
      <c r="O186" s="2303"/>
      <c r="P186" s="2303"/>
      <c r="Q186" s="2303"/>
      <c r="R186" s="2303"/>
      <c r="S186" s="2303"/>
      <c r="T186" s="2303"/>
      <c r="U186" s="2303"/>
      <c r="V186" s="2303"/>
      <c r="W186" s="2303"/>
      <c r="X186" s="2303"/>
      <c r="Y186" s="2303"/>
      <c r="Z186" s="2303"/>
      <c r="AA186" s="2303"/>
      <c r="AB186" s="2304"/>
      <c r="AC186" s="2304">
        <v>257.5383498295472</v>
      </c>
      <c r="AD186" s="2335">
        <v>779.36016552099989</v>
      </c>
      <c r="AE186" s="2335">
        <v>1249.250918362</v>
      </c>
      <c r="AF186" s="2335">
        <v>1625.0161012030001</v>
      </c>
      <c r="AG186" s="2335">
        <v>1950.3184183620001</v>
      </c>
      <c r="AH186" s="2335">
        <v>2244.9477383620001</v>
      </c>
      <c r="AI186" s="2335">
        <v>2399.4352383620003</v>
      </c>
      <c r="AJ186" s="2336">
        <v>2573.7744775616402</v>
      </c>
      <c r="AK186" s="2335">
        <v>2634.2171235808901</v>
      </c>
      <c r="AL186" s="2335">
        <v>2642.3051563171298</v>
      </c>
      <c r="AM186" s="2335">
        <v>2946.3087596073901</v>
      </c>
      <c r="AN186" s="2335">
        <v>3371.1237369532801</v>
      </c>
      <c r="AO186" s="2335">
        <v>4425.4824516225999</v>
      </c>
      <c r="AP186" s="2335">
        <v>4418.5823408452297</v>
      </c>
      <c r="AQ186" s="2335">
        <v>4411.0577013638704</v>
      </c>
      <c r="AR186" s="2335">
        <v>4402.8066018105201</v>
      </c>
      <c r="AS186" s="2335">
        <v>4393.7308150991503</v>
      </c>
      <c r="AT186" s="2586">
        <v>4391.0882209217998</v>
      </c>
    </row>
    <row r="187" spans="4:46">
      <c r="D187" s="2295" t="s">
        <v>3840</v>
      </c>
      <c r="E187" s="2295"/>
      <c r="F187" s="2295"/>
      <c r="G187" s="2295"/>
      <c r="H187" s="2295"/>
      <c r="I187" s="2295"/>
      <c r="J187" s="2295"/>
      <c r="K187" s="2295"/>
      <c r="L187" s="2295"/>
      <c r="M187" s="2295"/>
      <c r="N187" s="2295"/>
      <c r="O187" s="2295"/>
      <c r="P187" s="2295"/>
      <c r="Q187" s="2295"/>
      <c r="R187" s="2295"/>
      <c r="S187" s="2295"/>
      <c r="T187" s="2295"/>
      <c r="U187" s="2295"/>
      <c r="V187" s="2295"/>
      <c r="W187" s="2295"/>
      <c r="X187" s="2295"/>
      <c r="Y187" s="2316"/>
      <c r="Z187" s="2316"/>
      <c r="AA187" s="2316"/>
      <c r="AB187" s="2317"/>
      <c r="AC187" s="2317">
        <v>37.525743449000004</v>
      </c>
      <c r="AD187" s="2337">
        <v>296.9461</v>
      </c>
      <c r="AE187" s="2337">
        <v>380.90660000000008</v>
      </c>
      <c r="AF187" s="2337">
        <v>382.43700000000001</v>
      </c>
      <c r="AG187" s="2337">
        <v>354.13</v>
      </c>
      <c r="AH187" s="2337">
        <v>335.56900000000002</v>
      </c>
      <c r="AI187" s="2337">
        <v>336.57740000000001</v>
      </c>
      <c r="AJ187" s="2338">
        <v>405.7079</v>
      </c>
      <c r="AK187" s="2337">
        <v>401.44677298028802</v>
      </c>
      <c r="AL187" s="2337">
        <v>361.98772796565902</v>
      </c>
      <c r="AM187" s="2337">
        <v>413.37970416327101</v>
      </c>
      <c r="AN187" s="2337">
        <v>542.27900848606203</v>
      </c>
      <c r="AO187" s="2337">
        <v>908.34725523813097</v>
      </c>
      <c r="AP187" s="2337">
        <v>908.34725523813097</v>
      </c>
      <c r="AQ187" s="2337">
        <v>908.34725523813097</v>
      </c>
      <c r="AR187" s="2337">
        <v>908.34725523813097</v>
      </c>
      <c r="AS187" s="2337">
        <v>908.34725523813097</v>
      </c>
      <c r="AT187" s="2587">
        <v>908.34725523813097</v>
      </c>
    </row>
    <row r="188" spans="4:46">
      <c r="D188" s="2295" t="s">
        <v>3841</v>
      </c>
      <c r="E188" s="2295"/>
      <c r="F188" s="2295"/>
      <c r="G188" s="2295"/>
      <c r="H188" s="2295"/>
      <c r="I188" s="2295"/>
      <c r="J188" s="2295"/>
      <c r="K188" s="2295"/>
      <c r="L188" s="2295"/>
      <c r="M188" s="2295"/>
      <c r="N188" s="2295"/>
      <c r="O188" s="2295"/>
      <c r="P188" s="2295"/>
      <c r="Q188" s="2295"/>
      <c r="R188" s="2295"/>
      <c r="S188" s="2295"/>
      <c r="T188" s="2295"/>
      <c r="U188" s="2295"/>
      <c r="V188" s="2295"/>
      <c r="W188" s="2295"/>
      <c r="X188" s="2295"/>
      <c r="Y188" s="2316"/>
      <c r="Z188" s="2316"/>
      <c r="AA188" s="2316"/>
      <c r="AB188" s="2317"/>
      <c r="AC188" s="2317"/>
      <c r="AD188" s="2337">
        <v>114.90199999999999</v>
      </c>
      <c r="AE188" s="2337">
        <v>212.21899999999997</v>
      </c>
      <c r="AF188" s="2337">
        <v>333.67632000000003</v>
      </c>
      <c r="AG188" s="2337">
        <v>431.76</v>
      </c>
      <c r="AH188" s="2337">
        <v>492.523685</v>
      </c>
      <c r="AI188" s="2337">
        <v>527.25278500000002</v>
      </c>
      <c r="AJ188" s="2338">
        <v>578.87078499999996</v>
      </c>
      <c r="AK188" s="2337">
        <v>572.79093803895796</v>
      </c>
      <c r="AL188" s="2337">
        <v>516.49011578982697</v>
      </c>
      <c r="AM188" s="2337">
        <v>589.81704288247795</v>
      </c>
      <c r="AN188" s="2337">
        <v>773.73271590557795</v>
      </c>
      <c r="AO188" s="2337">
        <v>1296.0449838228201</v>
      </c>
      <c r="AP188" s="2337">
        <v>1296.0449838228201</v>
      </c>
      <c r="AQ188" s="2337">
        <v>1296.0449838228201</v>
      </c>
      <c r="AR188" s="2337">
        <v>1296.0449838228201</v>
      </c>
      <c r="AS188" s="2337">
        <v>1296.0449838228201</v>
      </c>
      <c r="AT188" s="2587">
        <v>1296.0449838228201</v>
      </c>
    </row>
    <row r="189" spans="4:46">
      <c r="D189" s="2295" t="s">
        <v>3834</v>
      </c>
      <c r="E189" s="2295"/>
      <c r="F189" s="2295"/>
      <c r="G189" s="2295"/>
      <c r="H189" s="2295"/>
      <c r="I189" s="2295"/>
      <c r="J189" s="2295"/>
      <c r="K189" s="2295"/>
      <c r="L189" s="2295"/>
      <c r="M189" s="2295"/>
      <c r="N189" s="2295"/>
      <c r="O189" s="2295"/>
      <c r="P189" s="2295"/>
      <c r="Q189" s="2295"/>
      <c r="R189" s="2295"/>
      <c r="S189" s="2295"/>
      <c r="T189" s="2295"/>
      <c r="U189" s="2295"/>
      <c r="V189" s="2339"/>
      <c r="W189" s="2339"/>
      <c r="X189" s="2339"/>
      <c r="Y189" s="2316"/>
      <c r="Z189" s="2316"/>
      <c r="AA189" s="2316"/>
      <c r="AB189" s="2317"/>
      <c r="AC189" s="2317">
        <v>0</v>
      </c>
      <c r="AD189" s="2337">
        <v>0</v>
      </c>
      <c r="AE189" s="2337">
        <v>200</v>
      </c>
      <c r="AF189" s="2337">
        <v>300</v>
      </c>
      <c r="AG189" s="2337">
        <v>400</v>
      </c>
      <c r="AH189" s="2337">
        <v>400</v>
      </c>
      <c r="AI189" s="2337">
        <v>400</v>
      </c>
      <c r="AJ189" s="2338">
        <v>369.25743919963998</v>
      </c>
      <c r="AK189" s="2337">
        <v>293.11484502228001</v>
      </c>
      <c r="AL189" s="2337">
        <v>288.01677898992</v>
      </c>
      <c r="AM189" s="2337">
        <v>282.56351460356001</v>
      </c>
      <c r="AN189" s="2337">
        <v>276.68187731019998</v>
      </c>
      <c r="AO189" s="2337">
        <v>270.32910268083998</v>
      </c>
      <c r="AP189" s="2337">
        <v>263.42899190347998</v>
      </c>
      <c r="AQ189" s="2337">
        <v>255.90435242212001</v>
      </c>
      <c r="AR189" s="2337">
        <v>247.65325286876001</v>
      </c>
      <c r="AS189" s="2337">
        <v>238.57746615740001</v>
      </c>
      <c r="AT189" s="2587">
        <v>235.93487198003999</v>
      </c>
    </row>
    <row r="190" spans="4:46">
      <c r="D190" s="2295" t="s">
        <v>3842</v>
      </c>
      <c r="E190" s="2295"/>
      <c r="F190" s="2295"/>
      <c r="G190" s="2295"/>
      <c r="H190" s="2295"/>
      <c r="I190" s="2295"/>
      <c r="J190" s="2295"/>
      <c r="K190" s="2295"/>
      <c r="L190" s="2295"/>
      <c r="M190" s="2295"/>
      <c r="N190" s="2295"/>
      <c r="O190" s="2295"/>
      <c r="P190" s="2295"/>
      <c r="Q190" s="2295"/>
      <c r="R190" s="2295"/>
      <c r="S190" s="2295"/>
      <c r="T190" s="2295"/>
      <c r="U190" s="2295"/>
      <c r="V190" s="2339"/>
      <c r="W190" s="2339"/>
      <c r="X190" s="2339"/>
      <c r="Y190" s="2316"/>
      <c r="Z190" s="2316"/>
      <c r="AA190" s="2316"/>
      <c r="AB190" s="2317"/>
      <c r="AC190" s="2317">
        <v>216.29670000000002</v>
      </c>
      <c r="AD190" s="2337">
        <v>127.3325</v>
      </c>
      <c r="AE190" s="2337">
        <v>59.729500000000002</v>
      </c>
      <c r="AF190" s="2337">
        <v>95.461810000000014</v>
      </c>
      <c r="AG190" s="2337">
        <v>66.040000000000006</v>
      </c>
      <c r="AH190" s="2337">
        <v>74.853099999999998</v>
      </c>
      <c r="AI190" s="2337">
        <v>99.80510000000001</v>
      </c>
      <c r="AJ190" s="2338">
        <v>4.7564000000000002</v>
      </c>
      <c r="AK190" s="2337">
        <v>18.071503771076799</v>
      </c>
      <c r="AL190" s="2337">
        <v>27.944669368401499</v>
      </c>
      <c r="AM190" s="2337">
        <v>44.686441284559002</v>
      </c>
      <c r="AN190" s="2337">
        <v>55.369396957607201</v>
      </c>
      <c r="AO190" s="2337">
        <v>70.986792553132702</v>
      </c>
      <c r="AP190" s="2337">
        <v>70.986792553132702</v>
      </c>
      <c r="AQ190" s="2337">
        <v>70.986792553132702</v>
      </c>
      <c r="AR190" s="2337">
        <v>70.986792553132702</v>
      </c>
      <c r="AS190" s="2337">
        <v>70.986792553132702</v>
      </c>
      <c r="AT190" s="2587">
        <v>70.986792553132702</v>
      </c>
    </row>
    <row r="191" spans="4:46">
      <c r="D191" s="2295" t="s">
        <v>3835</v>
      </c>
      <c r="E191" s="2295"/>
      <c r="F191" s="2295"/>
      <c r="G191" s="2295"/>
      <c r="H191" s="2295"/>
      <c r="I191" s="2295"/>
      <c r="J191" s="2295"/>
      <c r="K191" s="2295"/>
      <c r="L191" s="2295"/>
      <c r="M191" s="2295"/>
      <c r="N191" s="2295"/>
      <c r="O191" s="2295"/>
      <c r="P191" s="2295"/>
      <c r="Q191" s="2295"/>
      <c r="R191" s="2295"/>
      <c r="S191" s="2295"/>
      <c r="T191" s="2295"/>
      <c r="U191" s="2295"/>
      <c r="V191" s="2339"/>
      <c r="W191" s="2339"/>
      <c r="X191" s="2339"/>
      <c r="Y191" s="2316"/>
      <c r="Z191" s="2316"/>
      <c r="AA191" s="2316"/>
      <c r="AB191" s="2317"/>
      <c r="AC191" s="2317"/>
      <c r="AD191" s="2337">
        <v>204.3817</v>
      </c>
      <c r="AE191" s="2337">
        <v>362.09539999999998</v>
      </c>
      <c r="AF191" s="2337">
        <v>480.63799999999986</v>
      </c>
      <c r="AG191" s="2337">
        <v>664.08799999999997</v>
      </c>
      <c r="AH191" s="2337">
        <v>907.70153500000004</v>
      </c>
      <c r="AI191" s="2337">
        <v>1001.499535</v>
      </c>
      <c r="AJ191" s="2338">
        <v>1180.881535</v>
      </c>
      <c r="AK191" s="2337">
        <v>1314.49264540628</v>
      </c>
      <c r="AL191" s="2337">
        <v>1413.5654458413201</v>
      </c>
      <c r="AM191" s="2337">
        <v>1581.56163831152</v>
      </c>
      <c r="AN191" s="2337">
        <v>1688.7603199318301</v>
      </c>
      <c r="AO191" s="2337">
        <v>1845.4738989656701</v>
      </c>
      <c r="AP191" s="2337">
        <v>1845.4738989656701</v>
      </c>
      <c r="AQ191" s="2337">
        <v>1845.4738989656701</v>
      </c>
      <c r="AR191" s="2337">
        <v>1845.4738989656701</v>
      </c>
      <c r="AS191" s="2337">
        <v>1845.4738989656701</v>
      </c>
      <c r="AT191" s="2587">
        <v>1845.4738989656701</v>
      </c>
    </row>
    <row r="192" spans="4:46">
      <c r="D192" s="2298" t="s">
        <v>3836</v>
      </c>
      <c r="E192" s="2295"/>
      <c r="F192" s="2295"/>
      <c r="G192" s="2295"/>
      <c r="H192" s="2295"/>
      <c r="I192" s="2295"/>
      <c r="J192" s="2295"/>
      <c r="K192" s="2295"/>
      <c r="L192" s="2295"/>
      <c r="M192" s="2295"/>
      <c r="N192" s="2295"/>
      <c r="O192" s="2295"/>
      <c r="P192" s="2295"/>
      <c r="Q192" s="2295"/>
      <c r="R192" s="2295"/>
      <c r="S192" s="2295"/>
      <c r="T192" s="2295"/>
      <c r="U192" s="2295"/>
      <c r="V192" s="2339"/>
      <c r="W192" s="2339"/>
      <c r="X192" s="2339"/>
      <c r="Y192" s="2316"/>
      <c r="Z192" s="2316"/>
      <c r="AA192" s="2316"/>
      <c r="AB192" s="2317"/>
      <c r="AC192" s="2317">
        <v>3.7159063805471728</v>
      </c>
      <c r="AD192" s="2337">
        <v>35.797865520999999</v>
      </c>
      <c r="AE192" s="2337">
        <v>34.300418362000002</v>
      </c>
      <c r="AF192" s="2337">
        <v>32.802971203000006</v>
      </c>
      <c r="AG192" s="2337">
        <v>34.300418362000002</v>
      </c>
      <c r="AH192" s="2337">
        <v>34.300418362000002</v>
      </c>
      <c r="AI192" s="2337">
        <v>34.300418362000002</v>
      </c>
      <c r="AJ192" s="2338">
        <v>34.300418362000002</v>
      </c>
      <c r="AK192" s="2337">
        <v>34.300418362000002</v>
      </c>
      <c r="AL192" s="2337">
        <v>34.300418362000002</v>
      </c>
      <c r="AM192" s="2337">
        <v>34.300418362000002</v>
      </c>
      <c r="AN192" s="2337">
        <v>34.300418362000002</v>
      </c>
      <c r="AO192" s="2337">
        <v>34.300418362000002</v>
      </c>
      <c r="AP192" s="2337">
        <v>34.300418362000002</v>
      </c>
      <c r="AQ192" s="2337">
        <v>34.300418362000002</v>
      </c>
      <c r="AR192" s="2337">
        <v>34.300418362000002</v>
      </c>
      <c r="AS192" s="2337">
        <v>34.300418362000002</v>
      </c>
      <c r="AT192" s="2587">
        <v>34.300418362000002</v>
      </c>
    </row>
    <row r="193" spans="1:47">
      <c r="D193" s="2295" t="s">
        <v>110</v>
      </c>
      <c r="E193" s="2295"/>
      <c r="F193" s="2295"/>
      <c r="G193" s="2295"/>
      <c r="H193" s="2295"/>
      <c r="I193" s="2295"/>
      <c r="J193" s="2295"/>
      <c r="K193" s="2295"/>
      <c r="L193" s="2295"/>
      <c r="M193" s="2295"/>
      <c r="N193" s="2295"/>
      <c r="O193" s="2295"/>
      <c r="P193" s="2295"/>
      <c r="Q193" s="2295"/>
      <c r="R193" s="2295"/>
      <c r="S193" s="2295"/>
      <c r="T193" s="2295"/>
      <c r="U193" s="2295"/>
      <c r="V193" s="2295"/>
      <c r="W193" s="2295"/>
      <c r="X193" s="2295"/>
      <c r="Y193" s="2294"/>
      <c r="Z193" s="2294"/>
      <c r="AA193" s="2294"/>
      <c r="AB193" s="2317"/>
      <c r="AC193" s="2317">
        <v>49.329000000000065</v>
      </c>
      <c r="AD193" s="2317">
        <v>101.21089999999992</v>
      </c>
      <c r="AE193" s="2337">
        <v>16.357500000000073</v>
      </c>
      <c r="AF193" s="2337">
        <v>37.26270999999997</v>
      </c>
      <c r="AG193" s="2337">
        <v>-57.72881000000001</v>
      </c>
      <c r="AH193" s="2337">
        <v>-9.7479000000000156</v>
      </c>
      <c r="AI193" s="2337">
        <v>25.96040000000005</v>
      </c>
      <c r="AJ193" s="2338">
        <v>-25.918200000000098</v>
      </c>
      <c r="AK193" s="2337">
        <v>9.0539767513643596</v>
      </c>
      <c r="AL193" s="2337">
        <v>-29.585879417303499</v>
      </c>
      <c r="AM193" s="2337">
        <v>68.133748113768803</v>
      </c>
      <c r="AN193" s="2337">
        <v>139.58225999583999</v>
      </c>
      <c r="AO193" s="2337">
        <v>381.68564234759401</v>
      </c>
      <c r="AP193" s="2337">
        <v>0</v>
      </c>
      <c r="AQ193" s="2337">
        <v>0</v>
      </c>
      <c r="AR193" s="2337">
        <v>0</v>
      </c>
      <c r="AS193" s="2337">
        <v>0</v>
      </c>
      <c r="AT193" s="2587">
        <v>0</v>
      </c>
    </row>
    <row r="194" spans="1:47">
      <c r="D194" s="2299" t="s">
        <v>3838</v>
      </c>
      <c r="E194" s="2295"/>
      <c r="F194" s="2295"/>
      <c r="G194" s="2295"/>
      <c r="H194" s="2295"/>
      <c r="I194" s="2295"/>
      <c r="J194" s="2295"/>
      <c r="K194" s="2295"/>
      <c r="L194" s="2295"/>
      <c r="M194" s="2295"/>
      <c r="N194" s="2295"/>
      <c r="O194" s="2295"/>
      <c r="P194" s="2295"/>
      <c r="Q194" s="2295"/>
      <c r="R194" s="2295"/>
      <c r="S194" s="2295"/>
      <c r="T194" s="2295"/>
      <c r="U194" s="2295"/>
      <c r="V194" s="2295"/>
      <c r="W194" s="2295"/>
      <c r="X194" s="2295"/>
      <c r="Y194" s="2294"/>
      <c r="Z194" s="2294"/>
      <c r="AA194" s="2294"/>
      <c r="AB194" s="2317"/>
      <c r="AC194" s="2317">
        <v>7.6193000000000097</v>
      </c>
      <c r="AD194" s="2317">
        <v>53.790799999999976</v>
      </c>
      <c r="AE194" s="2340">
        <v>-67.602999999999994</v>
      </c>
      <c r="AF194" s="2340">
        <v>35.732310000000012</v>
      </c>
      <c r="AG194" s="2340">
        <v>-29.421810000000008</v>
      </c>
      <c r="AH194" s="2340">
        <v>8.8130999999999915</v>
      </c>
      <c r="AI194" s="2340">
        <v>24.952000000000012</v>
      </c>
      <c r="AJ194" s="2341">
        <v>-95.048699999999997</v>
      </c>
      <c r="AK194" s="2340">
        <v>13.315103771076799</v>
      </c>
      <c r="AL194" s="2340">
        <v>9.8731655973247499</v>
      </c>
      <c r="AM194" s="2340">
        <v>16.7417719161575</v>
      </c>
      <c r="AN194" s="2340">
        <v>10.6829556730482</v>
      </c>
      <c r="AO194" s="2340">
        <v>15.6173955955254</v>
      </c>
      <c r="AP194" s="2340">
        <v>0</v>
      </c>
      <c r="AQ194" s="2340">
        <v>0</v>
      </c>
      <c r="AR194" s="2340">
        <v>0</v>
      </c>
      <c r="AS194" s="2340">
        <v>0</v>
      </c>
      <c r="AT194" s="2588">
        <v>0</v>
      </c>
    </row>
    <row r="195" spans="1:47">
      <c r="D195" s="2295" t="s">
        <v>3837</v>
      </c>
      <c r="E195" s="2295"/>
      <c r="F195" s="2295"/>
      <c r="G195" s="2295"/>
      <c r="H195" s="2295"/>
      <c r="I195" s="2295"/>
      <c r="J195" s="2295"/>
      <c r="K195" s="2295"/>
      <c r="L195" s="2295"/>
      <c r="M195" s="2295"/>
      <c r="N195" s="2295"/>
      <c r="O195" s="2295"/>
      <c r="P195" s="2295"/>
      <c r="Q195" s="2295"/>
      <c r="R195" s="2295"/>
      <c r="S195" s="2295"/>
      <c r="T195" s="2295"/>
      <c r="U195" s="2295"/>
      <c r="V195" s="2295"/>
      <c r="W195" s="2295"/>
      <c r="X195" s="2295"/>
      <c r="Y195" s="2294"/>
      <c r="Z195" s="2294"/>
      <c r="AA195" s="2294"/>
      <c r="AB195" s="2317"/>
      <c r="AC195" s="2317">
        <v>40</v>
      </c>
      <c r="AD195" s="2317">
        <v>104.28369999999995</v>
      </c>
      <c r="AE195" s="2337">
        <v>255.03070000000002</v>
      </c>
      <c r="AF195" s="2337">
        <v>239.99991999999997</v>
      </c>
      <c r="AG195" s="2337">
        <v>281.53368</v>
      </c>
      <c r="AH195" s="2337">
        <v>304.37722000000008</v>
      </c>
      <c r="AI195" s="2337">
        <v>128.52710000000002</v>
      </c>
      <c r="AJ195" s="2338">
        <v>231</v>
      </c>
      <c r="AK195" s="2337">
        <v>127.531263445242</v>
      </c>
      <c r="AL195" s="2337">
        <v>42.771978185904103</v>
      </c>
      <c r="AM195" s="2337">
        <v>241.323119562854</v>
      </c>
      <c r="AN195" s="2337">
        <v>291.11435464341099</v>
      </c>
      <c r="AO195" s="2337">
        <v>679.02584695108203</v>
      </c>
      <c r="AP195" s="2337">
        <v>0</v>
      </c>
      <c r="AQ195" s="2337">
        <v>0</v>
      </c>
      <c r="AR195" s="2337">
        <v>0</v>
      </c>
      <c r="AS195" s="2337">
        <v>0</v>
      </c>
      <c r="AT195" s="2587">
        <v>0</v>
      </c>
    </row>
    <row r="196" spans="1:47">
      <c r="D196" s="2299" t="s">
        <v>3838</v>
      </c>
      <c r="E196" s="2295"/>
      <c r="F196" s="2295"/>
      <c r="G196" s="2295"/>
      <c r="H196" s="2295"/>
      <c r="I196" s="2295"/>
      <c r="J196" s="2295"/>
      <c r="K196" s="2295"/>
      <c r="L196" s="2295"/>
      <c r="M196" s="2295"/>
      <c r="N196" s="2295"/>
      <c r="O196" s="2295"/>
      <c r="P196" s="2295"/>
      <c r="Q196" s="2295"/>
      <c r="R196" s="2295"/>
      <c r="S196" s="2295"/>
      <c r="T196" s="2295"/>
      <c r="U196" s="2295"/>
      <c r="V196" s="2295"/>
      <c r="W196" s="2295"/>
      <c r="X196" s="2295"/>
      <c r="Y196" s="2294"/>
      <c r="Z196" s="2294"/>
      <c r="AA196" s="2294"/>
      <c r="AB196" s="2317"/>
      <c r="AC196" s="2317">
        <v>26.713799999999978</v>
      </c>
      <c r="AD196" s="2317">
        <v>61.6267</v>
      </c>
      <c r="AE196" s="2340">
        <v>157.71369999999999</v>
      </c>
      <c r="AF196" s="2340">
        <v>118.54259999999988</v>
      </c>
      <c r="AG196" s="2340">
        <v>183.4500000000001</v>
      </c>
      <c r="AH196" s="2340">
        <v>243.61353500000007</v>
      </c>
      <c r="AI196" s="2340">
        <v>93.798000000000002</v>
      </c>
      <c r="AJ196" s="2341">
        <v>179.38200000000001</v>
      </c>
      <c r="AK196" s="2340">
        <v>133.61111040628299</v>
      </c>
      <c r="AL196" s="2340">
        <v>99.072800435035305</v>
      </c>
      <c r="AM196" s="2340">
        <v>167.996192470202</v>
      </c>
      <c r="AN196" s="2340">
        <v>107.198681620312</v>
      </c>
      <c r="AO196" s="2340">
        <v>156.713579033835</v>
      </c>
      <c r="AP196" s="2340">
        <v>0</v>
      </c>
      <c r="AQ196" s="2340">
        <v>0</v>
      </c>
      <c r="AR196" s="2340">
        <v>0</v>
      </c>
      <c r="AS196" s="2340">
        <v>0</v>
      </c>
      <c r="AT196" s="2588">
        <v>0</v>
      </c>
    </row>
    <row r="197" spans="1:47">
      <c r="D197" s="2295" t="s">
        <v>3839</v>
      </c>
      <c r="E197" s="2295"/>
      <c r="F197" s="2295"/>
      <c r="G197" s="2295"/>
      <c r="H197" s="2295"/>
      <c r="I197" s="2295"/>
      <c r="J197" s="2295"/>
      <c r="K197" s="2295"/>
      <c r="L197" s="2295"/>
      <c r="M197" s="2295"/>
      <c r="N197" s="2295"/>
      <c r="O197" s="2295"/>
      <c r="P197" s="2295"/>
      <c r="Q197" s="2295"/>
      <c r="R197" s="2295"/>
      <c r="S197" s="2295"/>
      <c r="T197" s="2295"/>
      <c r="U197" s="2295"/>
      <c r="V197" s="2295"/>
      <c r="W197" s="2295"/>
      <c r="X197" s="2295"/>
      <c r="Y197" s="2294"/>
      <c r="Z197" s="2294"/>
      <c r="AA197" s="2294"/>
      <c r="AB197" s="2317"/>
      <c r="AC197" s="2317">
        <v>4.6954295333935955E-2</v>
      </c>
      <c r="AD197" s="2317">
        <v>0.10897549433986976</v>
      </c>
      <c r="AE197" s="2342">
        <v>0.1497877536678435</v>
      </c>
      <c r="AF197" s="2342">
        <v>0.16321608497932577</v>
      </c>
      <c r="AG197" s="2342">
        <v>0.1528914831152548</v>
      </c>
      <c r="AH197" s="2342">
        <v>0.13967050033353959</v>
      </c>
      <c r="AI197" s="2342">
        <v>0.13236835070516753</v>
      </c>
      <c r="AJ197" s="2343">
        <v>0.122357381477672</v>
      </c>
      <c r="AK197" s="2342">
        <v>0.109812853323766</v>
      </c>
      <c r="AL197" s="2342">
        <v>0.10311136573448999</v>
      </c>
      <c r="AM197" s="2342">
        <v>0.10373366774654399</v>
      </c>
      <c r="AN197" s="2342">
        <v>0.113930285968559</v>
      </c>
      <c r="AO197" s="2342">
        <v>0.11504180707914</v>
      </c>
      <c r="AP197" s="2342">
        <v>0.113657537128345</v>
      </c>
      <c r="AQ197" s="2342">
        <v>0.10315335133333001</v>
      </c>
      <c r="AR197" s="2342">
        <v>8.4048461168715505E-2</v>
      </c>
      <c r="AS197" s="2342"/>
      <c r="AT197" s="2589"/>
    </row>
    <row r="198" spans="1:47">
      <c r="D198" s="2294" t="s">
        <v>806</v>
      </c>
      <c r="E198" s="2294"/>
      <c r="F198" s="2294"/>
      <c r="G198" s="2294"/>
      <c r="H198" s="2294"/>
      <c r="I198" s="2294"/>
      <c r="J198" s="2294"/>
      <c r="K198" s="2294"/>
      <c r="L198" s="2294"/>
      <c r="M198" s="2294"/>
      <c r="N198" s="2294"/>
      <c r="O198" s="2294"/>
      <c r="P198" s="2294"/>
      <c r="Q198" s="2294"/>
      <c r="R198" s="2294"/>
      <c r="S198" s="2294"/>
      <c r="T198" s="2294"/>
      <c r="U198" s="2294"/>
      <c r="V198" s="2295"/>
      <c r="W198" s="2295"/>
      <c r="X198" s="2295"/>
      <c r="Y198" s="2344"/>
      <c r="Z198" s="2345"/>
      <c r="AA198" s="2345"/>
      <c r="AB198" s="2345"/>
      <c r="AC198" s="2345">
        <v>0</v>
      </c>
      <c r="AD198" s="2317">
        <v>109.83005146299999</v>
      </c>
      <c r="AE198" s="2346">
        <v>79.112596048500009</v>
      </c>
      <c r="AF198" s="2346">
        <v>44.836069906000006</v>
      </c>
      <c r="AG198" s="2346">
        <v>22.950626854500001</v>
      </c>
      <c r="AH198" s="2346">
        <v>0</v>
      </c>
      <c r="AI198" s="2346">
        <v>0</v>
      </c>
      <c r="AJ198" s="2347">
        <v>0</v>
      </c>
      <c r="AK198" s="2337">
        <v>0</v>
      </c>
      <c r="AL198" s="2337">
        <v>0</v>
      </c>
      <c r="AM198" s="2337">
        <v>0</v>
      </c>
      <c r="AN198" s="2337">
        <v>0</v>
      </c>
      <c r="AO198" s="2337">
        <v>0</v>
      </c>
      <c r="AP198" s="2337">
        <v>0</v>
      </c>
      <c r="AQ198" s="2337">
        <v>0</v>
      </c>
      <c r="AR198" s="2337">
        <v>0</v>
      </c>
      <c r="AS198" s="2337">
        <v>0</v>
      </c>
      <c r="AT198" s="2587">
        <v>0</v>
      </c>
    </row>
    <row r="199" spans="1:47">
      <c r="D199" s="2298" t="s">
        <v>1136</v>
      </c>
      <c r="E199" s="2298"/>
      <c r="F199" s="2298"/>
      <c r="G199" s="2298"/>
      <c r="H199" s="2298"/>
      <c r="I199" s="2298"/>
      <c r="J199" s="2298"/>
      <c r="K199" s="2298"/>
      <c r="L199" s="2298"/>
      <c r="M199" s="2298"/>
      <c r="N199" s="2298"/>
      <c r="O199" s="2298"/>
      <c r="P199" s="2298"/>
      <c r="Q199" s="2298"/>
      <c r="R199" s="2298"/>
      <c r="S199" s="2298"/>
      <c r="T199" s="2298"/>
      <c r="U199" s="2298"/>
      <c r="V199" s="2295"/>
      <c r="W199" s="2295"/>
      <c r="X199" s="2295"/>
      <c r="Y199" s="2348"/>
      <c r="Z199" s="2348"/>
      <c r="AA199" s="2348"/>
      <c r="AB199" s="2349"/>
      <c r="AC199" s="2349"/>
      <c r="AD199" s="2349"/>
      <c r="AE199" s="2349"/>
      <c r="AF199" s="2349"/>
      <c r="AG199" s="2349"/>
      <c r="AH199" s="2349"/>
      <c r="AI199" s="2349"/>
      <c r="AJ199" s="2350"/>
      <c r="AK199" s="2349"/>
      <c r="AL199" s="2349"/>
      <c r="AM199" s="2349"/>
      <c r="AN199" s="2349"/>
      <c r="AO199" s="2349"/>
      <c r="AP199" s="2349"/>
      <c r="AQ199" s="2349"/>
      <c r="AR199" s="2349"/>
      <c r="AS199" s="2349"/>
      <c r="AT199" s="2590"/>
    </row>
    <row r="200" spans="1:47">
      <c r="D200" s="14"/>
      <c r="U200"/>
      <c r="W200"/>
      <c r="Y200"/>
      <c r="AA200"/>
      <c r="AB200"/>
      <c r="AC200"/>
      <c r="AD200"/>
      <c r="AE200"/>
    </row>
    <row r="201" spans="1:47">
      <c r="D201" s="14"/>
      <c r="U201"/>
      <c r="W201"/>
      <c r="Y201"/>
      <c r="AA201"/>
      <c r="AB201"/>
      <c r="AC201"/>
      <c r="AD201"/>
      <c r="AE201"/>
      <c r="AK201" s="1628"/>
      <c r="AL201" s="1628"/>
      <c r="AM201" s="1628"/>
      <c r="AN201" s="1628"/>
      <c r="AO201" s="1628"/>
    </row>
    <row r="202" spans="1:47">
      <c r="D202" s="67" t="s">
        <v>92</v>
      </c>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K202" s="1916"/>
      <c r="AL202" s="1916"/>
      <c r="AM202" s="1916"/>
      <c r="AN202" s="1916"/>
      <c r="AO202" s="1916"/>
    </row>
    <row r="203" spans="1:47">
      <c r="AK203" s="2724"/>
      <c r="AL203" s="2724"/>
      <c r="AM203" s="2724"/>
      <c r="AN203" s="2724"/>
      <c r="AO203" s="2724"/>
    </row>
    <row r="204" spans="1:47" customFormat="1" ht="14.4">
      <c r="A204" s="75"/>
      <c r="B204" s="74"/>
      <c r="C204" s="74"/>
      <c r="D204" s="2525" t="s">
        <v>3300</v>
      </c>
      <c r="E204" s="9"/>
      <c r="F204" s="9"/>
      <c r="G204" s="9"/>
      <c r="H204" s="9"/>
      <c r="I204" s="9"/>
      <c r="J204" s="9"/>
      <c r="K204" s="9"/>
      <c r="L204" s="9"/>
      <c r="M204" s="9"/>
      <c r="N204" s="9"/>
      <c r="O204" s="9"/>
      <c r="P204" s="9"/>
      <c r="Q204" s="9"/>
      <c r="R204" s="9"/>
      <c r="S204" s="9"/>
      <c r="T204" s="9"/>
      <c r="U204" s="14">
        <v>2010</v>
      </c>
      <c r="V204" s="530" t="s">
        <v>720</v>
      </c>
      <c r="W204" s="530">
        <v>2012</v>
      </c>
      <c r="X204" s="530">
        <v>2013</v>
      </c>
      <c r="Y204" s="530">
        <v>2014</v>
      </c>
      <c r="Z204" s="530">
        <v>2015</v>
      </c>
      <c r="AA204" s="530">
        <v>2016</v>
      </c>
      <c r="AB204" s="530">
        <v>2017</v>
      </c>
      <c r="AC204" s="530">
        <v>2018</v>
      </c>
      <c r="AD204" s="530">
        <v>2019</v>
      </c>
      <c r="AE204" s="530">
        <v>2020</v>
      </c>
      <c r="AF204" s="530">
        <v>2021</v>
      </c>
      <c r="AG204" s="530">
        <v>2022</v>
      </c>
      <c r="AH204" s="530">
        <v>2023</v>
      </c>
      <c r="AI204" s="530">
        <v>2024</v>
      </c>
      <c r="AJ204" s="530">
        <v>2025</v>
      </c>
      <c r="AK204" s="530">
        <v>2026</v>
      </c>
      <c r="AL204" s="530">
        <v>2027</v>
      </c>
      <c r="AM204" s="530">
        <v>2028</v>
      </c>
      <c r="AN204" s="530">
        <v>2029</v>
      </c>
      <c r="AO204" s="530">
        <v>2030</v>
      </c>
      <c r="AP204" s="530">
        <v>2031</v>
      </c>
      <c r="AQ204" s="530">
        <v>2032</v>
      </c>
      <c r="AR204" s="530">
        <v>2033</v>
      </c>
      <c r="AS204" s="530">
        <v>2034</v>
      </c>
      <c r="AT204" s="530">
        <v>2035</v>
      </c>
    </row>
    <row r="205" spans="1:47" customFormat="1" ht="14.7" thickBot="1">
      <c r="A205" s="75"/>
      <c r="B205" s="74"/>
      <c r="C205" s="74"/>
      <c r="D205" s="1128" t="s">
        <v>83</v>
      </c>
      <c r="E205" s="1129">
        <v>45926.499051851853</v>
      </c>
      <c r="F205" s="1128"/>
      <c r="G205" s="1128"/>
      <c r="H205" s="1128"/>
      <c r="I205" s="2461">
        <v>1998</v>
      </c>
      <c r="J205" s="2461">
        <v>1999</v>
      </c>
      <c r="K205" s="2461">
        <v>2000</v>
      </c>
      <c r="L205" s="2461">
        <v>2001</v>
      </c>
      <c r="M205" s="2461">
        <v>2002</v>
      </c>
      <c r="N205" s="2461">
        <v>2003</v>
      </c>
      <c r="O205" s="2461">
        <v>2004</v>
      </c>
      <c r="P205" s="2462">
        <v>2005</v>
      </c>
      <c r="Q205" s="2461">
        <v>2006</v>
      </c>
      <c r="R205" s="2461">
        <v>2007</v>
      </c>
      <c r="S205" s="2461">
        <v>2008</v>
      </c>
      <c r="T205" s="2461">
        <v>2009</v>
      </c>
      <c r="U205" s="2461">
        <v>2010</v>
      </c>
      <c r="V205" s="2462">
        <v>2011</v>
      </c>
      <c r="W205" s="2463">
        <v>2012</v>
      </c>
      <c r="X205" s="2463">
        <v>2013</v>
      </c>
      <c r="Y205" s="2463">
        <v>2014</v>
      </c>
      <c r="Z205" s="2463">
        <v>2015</v>
      </c>
      <c r="AA205" s="2463">
        <v>2016</v>
      </c>
      <c r="AB205" s="2463">
        <v>2017</v>
      </c>
      <c r="AC205" s="2463">
        <v>2018</v>
      </c>
      <c r="AD205" s="2463">
        <v>2019</v>
      </c>
      <c r="AE205" s="2463">
        <v>2020</v>
      </c>
      <c r="AF205" s="2463">
        <v>2021</v>
      </c>
      <c r="AG205" s="2464">
        <v>2022</v>
      </c>
      <c r="AH205" s="2464">
        <v>2023</v>
      </c>
      <c r="AI205" s="2465">
        <v>2024</v>
      </c>
      <c r="AJ205" s="2466">
        <v>2025</v>
      </c>
      <c r="AK205" s="2466">
        <v>2026</v>
      </c>
      <c r="AL205" s="2466">
        <v>2027</v>
      </c>
      <c r="AM205" s="2466">
        <v>2028</v>
      </c>
      <c r="AN205" s="2466">
        <v>2029</v>
      </c>
      <c r="AO205" s="2467">
        <v>2030</v>
      </c>
      <c r="AP205" s="2467">
        <v>2031</v>
      </c>
      <c r="AQ205" s="2467">
        <v>2032</v>
      </c>
      <c r="AR205" s="2467">
        <v>2033</v>
      </c>
      <c r="AS205" s="2467">
        <v>2034</v>
      </c>
      <c r="AT205" s="2467">
        <v>2035</v>
      </c>
    </row>
    <row r="206" spans="1:47" customFormat="1" ht="14.4">
      <c r="A206" s="75"/>
      <c r="B206" s="74"/>
      <c r="C206" s="74"/>
      <c r="D206" s="1130" t="s">
        <v>3877</v>
      </c>
      <c r="E206" s="1131"/>
      <c r="F206" s="1130"/>
      <c r="G206" s="1130"/>
      <c r="H206" s="1130"/>
      <c r="I206" s="2468"/>
      <c r="J206" s="2468"/>
      <c r="K206" s="2468">
        <v>8.4000000000000005E-2</v>
      </c>
      <c r="L206" s="2468">
        <v>8.5000000000000006E-2</v>
      </c>
      <c r="M206" s="2468">
        <v>0.13200000000000001</v>
      </c>
      <c r="N206" s="2468">
        <v>2.1999999999999999E-2</v>
      </c>
      <c r="O206" s="2468">
        <v>7.3999999999999996E-2</v>
      </c>
      <c r="P206" s="2468">
        <v>9.4E-2</v>
      </c>
      <c r="Q206" s="2468">
        <v>9.1999999999999998E-2</v>
      </c>
      <c r="R206" s="2468">
        <v>7.5999999999999998E-2</v>
      </c>
      <c r="S206" s="2468">
        <v>0.112</v>
      </c>
      <c r="T206" s="2468">
        <v>6.2E-2</v>
      </c>
      <c r="U206" s="2468">
        <v>7.2999999999999995E-2</v>
      </c>
      <c r="V206" s="2468">
        <v>0.08</v>
      </c>
      <c r="W206" s="2468">
        <v>8.638834277784202E-2</v>
      </c>
      <c r="X206" s="2469">
        <v>4.726421119863744E-2</v>
      </c>
      <c r="Y206" s="2469">
        <v>5.6617198617605169E-2</v>
      </c>
      <c r="Z206" s="2469">
        <v>8.8696488696488718E-2</v>
      </c>
      <c r="AA206" s="2469">
        <v>5.6640452416718112E-2</v>
      </c>
      <c r="AB206" s="2469">
        <v>4.7081451747783998E-2</v>
      </c>
      <c r="AC206" s="2469">
        <v>8.0664483667438613E-2</v>
      </c>
      <c r="AD206" s="2469">
        <v>9.2823885891656133E-2</v>
      </c>
      <c r="AE206" s="2469">
        <v>-2.779468452018663E-2</v>
      </c>
      <c r="AF206" s="2469">
        <v>8.4168057874234758E-2</v>
      </c>
      <c r="AG206" s="2469">
        <v>9.8100859745925861E-2</v>
      </c>
      <c r="AH206" s="2468">
        <v>8.5597429155711335E-2</v>
      </c>
      <c r="AI206" s="2470">
        <v>7.2243755383290198E-2</v>
      </c>
      <c r="AJ206" s="2470">
        <v>9.3784516517722682E-2</v>
      </c>
      <c r="AK206" s="2470">
        <v>7.4383411841570712E-2</v>
      </c>
      <c r="AL206" s="2470">
        <v>7.7506625578823637E-2</v>
      </c>
      <c r="AM206" s="2470">
        <v>7.2189522576217996E-2</v>
      </c>
      <c r="AN206" s="2470">
        <v>7.0479459523157234E-2</v>
      </c>
      <c r="AO206" s="2471">
        <v>6.9901501689451473E-2</v>
      </c>
      <c r="AP206" s="2471">
        <v>7.125082386714908E-2</v>
      </c>
      <c r="AQ206" s="2471">
        <v>6.1142546264136795E-2</v>
      </c>
      <c r="AR206" s="2471">
        <v>6.1389656624010427E-2</v>
      </c>
      <c r="AS206" s="2471">
        <v>6.0512069510759166E-2</v>
      </c>
      <c r="AT206" s="2471">
        <v>5.9075436586667134E-2</v>
      </c>
      <c r="AU206" s="1056"/>
    </row>
    <row r="207" spans="1:47" customFormat="1" ht="14.4">
      <c r="A207" s="75"/>
      <c r="B207" s="77"/>
      <c r="C207" s="74"/>
      <c r="D207" s="1130" t="s">
        <v>3878</v>
      </c>
      <c r="E207" s="1131"/>
      <c r="F207" s="1130"/>
      <c r="G207" s="1130"/>
      <c r="H207" s="1130"/>
      <c r="I207" s="2468"/>
      <c r="J207" s="2468"/>
      <c r="K207" s="2468">
        <v>8.4000000000000075E-2</v>
      </c>
      <c r="L207" s="2468">
        <v>8.4999999999999964E-2</v>
      </c>
      <c r="M207" s="2468">
        <v>0.13200000000000012</v>
      </c>
      <c r="N207" s="2468">
        <v>2.200000000000002E-2</v>
      </c>
      <c r="O207" s="2468">
        <v>7.4000000000000066E-2</v>
      </c>
      <c r="P207" s="2468">
        <v>9.4000000000000083E-2</v>
      </c>
      <c r="Q207" s="2468">
        <v>9.2000000000000082E-2</v>
      </c>
      <c r="R207" s="2468">
        <v>7.6000000000000068E-2</v>
      </c>
      <c r="S207" s="2468">
        <v>0.1120000000000001</v>
      </c>
      <c r="T207" s="2468">
        <v>6.2000000000000055E-2</v>
      </c>
      <c r="U207" s="2468">
        <v>7.2999999999999954E-2</v>
      </c>
      <c r="V207" s="2468">
        <v>8.0000000000000071E-2</v>
      </c>
      <c r="W207" s="2468">
        <v>0.13663075416258574</v>
      </c>
      <c r="X207" s="2469">
        <v>7.4536837570012837E-2</v>
      </c>
      <c r="Y207" s="2469">
        <v>0.11226944667201288</v>
      </c>
      <c r="Z207" s="2469">
        <v>9.6070656092285489E-2</v>
      </c>
      <c r="AA207" s="2469">
        <v>0.11297483966452893</v>
      </c>
      <c r="AB207" s="2469">
        <v>0.12603427895981079</v>
      </c>
      <c r="AC207" s="2469">
        <v>9.0408082928749467E-2</v>
      </c>
      <c r="AD207" s="2469">
        <v>0.1385078219013236</v>
      </c>
      <c r="AE207" s="2469">
        <v>4.5661135186555235E-2</v>
      </c>
      <c r="AF207" s="2469">
        <v>0.12453249772566455</v>
      </c>
      <c r="AG207" s="2469">
        <v>0.27316853932584273</v>
      </c>
      <c r="AH207" s="2468">
        <v>0.21265179327873485</v>
      </c>
      <c r="AI207" s="2470">
        <v>0.15957384875123704</v>
      </c>
      <c r="AJ207" s="2470">
        <v>0.174164072698062</v>
      </c>
      <c r="AK207" s="2470">
        <v>0.16245714962147573</v>
      </c>
      <c r="AL207" s="2470">
        <v>0.12233957243252025</v>
      </c>
      <c r="AM207" s="2470">
        <v>0.13008350750236275</v>
      </c>
      <c r="AN207" s="2470">
        <v>0.12663631194209368</v>
      </c>
      <c r="AO207" s="2472">
        <v>0.12319861753298489</v>
      </c>
      <c r="AP207" s="2472">
        <v>0.10722360204924208</v>
      </c>
      <c r="AQ207" s="2472">
        <v>0.11397560896515913</v>
      </c>
      <c r="AR207" s="2472">
        <v>0.11379761293659763</v>
      </c>
      <c r="AS207" s="2472">
        <v>0.1182706548705148</v>
      </c>
      <c r="AT207" s="2472">
        <v>0.12090841716159928</v>
      </c>
      <c r="AU207" s="1056"/>
    </row>
    <row r="208" spans="1:47" customFormat="1" ht="14.4">
      <c r="A208" s="75"/>
      <c r="B208" s="77"/>
      <c r="C208" s="74"/>
      <c r="D208" s="1132" t="s">
        <v>3879</v>
      </c>
      <c r="E208" s="1133"/>
      <c r="F208" s="1132"/>
      <c r="G208" s="1132"/>
      <c r="H208" s="1132"/>
      <c r="I208" s="2473"/>
      <c r="J208" s="2473"/>
      <c r="K208" s="2473"/>
      <c r="L208" s="2473"/>
      <c r="M208" s="2473"/>
      <c r="N208" s="2473"/>
      <c r="O208" s="2473"/>
      <c r="P208" s="2473"/>
      <c r="Q208" s="2473"/>
      <c r="R208" s="2473"/>
      <c r="S208" s="2473"/>
      <c r="T208" s="2473"/>
      <c r="U208" s="2473"/>
      <c r="V208" s="2473"/>
      <c r="W208" s="2473">
        <v>0.11072445470797887</v>
      </c>
      <c r="X208" s="2474">
        <v>2.078805696950381E-2</v>
      </c>
      <c r="Y208" s="2474">
        <v>5.3923678325007218E-2</v>
      </c>
      <c r="Z208" s="2474">
        <v>3.9553106219553991E-2</v>
      </c>
      <c r="AA208" s="2474">
        <v>1.727951944520778E-2</v>
      </c>
      <c r="AB208" s="2474">
        <v>6.6171789919941881E-2</v>
      </c>
      <c r="AC208" s="2474">
        <v>5.2855840179840685E-2</v>
      </c>
      <c r="AD208" s="2474">
        <v>8.7824944582695963E-2</v>
      </c>
      <c r="AE208" s="2474">
        <v>-3.0063437645948543E-3</v>
      </c>
      <c r="AF208" s="2474">
        <v>7.3242438870116056E-2</v>
      </c>
      <c r="AG208" s="2474">
        <v>0.22062793681004411</v>
      </c>
      <c r="AH208" s="2468">
        <v>7.2377765619374701E-2</v>
      </c>
      <c r="AI208" s="2470">
        <v>2.4032895290378775E-2</v>
      </c>
      <c r="AJ208" s="2470">
        <v>9.4497838947243507E-2</v>
      </c>
      <c r="AK208" s="2470">
        <v>0.10975284273004804</v>
      </c>
      <c r="AL208" s="2470">
        <v>7.9847073935870316E-2</v>
      </c>
      <c r="AM208" s="2470">
        <v>9.5360807210410181E-2</v>
      </c>
      <c r="AN208" s="2470">
        <v>9.7674645953657491E-2</v>
      </c>
      <c r="AO208" s="2472">
        <v>9.5803529300473311E-2</v>
      </c>
      <c r="AP208" s="2472">
        <v>8.0218148340723827E-2</v>
      </c>
      <c r="AQ208" s="2472">
        <v>8.1529717441902072E-2</v>
      </c>
      <c r="AR208" s="2472">
        <v>8.1356905763686926E-2</v>
      </c>
      <c r="AS208" s="2472">
        <v>8.5699664922829433E-2</v>
      </c>
      <c r="AT208" s="2472">
        <v>8.8260599186018807E-2</v>
      </c>
      <c r="AU208" s="1056"/>
    </row>
    <row r="209" spans="1:47" customFormat="1" ht="14.4">
      <c r="A209" s="75"/>
      <c r="B209" s="77"/>
      <c r="C209" s="74"/>
      <c r="D209" s="1130" t="s">
        <v>3880</v>
      </c>
      <c r="E209" s="1134" t="s">
        <v>270</v>
      </c>
      <c r="F209" s="1130"/>
      <c r="G209" s="1130"/>
      <c r="H209" s="1130"/>
      <c r="I209" s="2468"/>
      <c r="J209" s="2468"/>
      <c r="K209" s="2468"/>
      <c r="L209" s="2468"/>
      <c r="M209" s="2468"/>
      <c r="N209" s="2468"/>
      <c r="O209" s="2468"/>
      <c r="P209" s="2468"/>
      <c r="Q209" s="2468"/>
      <c r="R209" s="2468"/>
      <c r="S209" s="2468"/>
      <c r="T209" s="2468"/>
      <c r="U209" s="2468"/>
      <c r="V209" s="2468"/>
      <c r="W209" s="2468">
        <v>4.6247193021490274E-2</v>
      </c>
      <c r="X209" s="2469">
        <v>2.6041782083014997E-2</v>
      </c>
      <c r="Y209" s="2469">
        <v>5.2670208403969188E-2</v>
      </c>
      <c r="Z209" s="2469">
        <v>6.7733913651417677E-3</v>
      </c>
      <c r="AA209" s="2469">
        <v>5.3314622887060903E-2</v>
      </c>
      <c r="AB209" s="2469">
        <v>7.5402755994043336E-2</v>
      </c>
      <c r="AC209" s="2469">
        <v>9.016303772882539E-3</v>
      </c>
      <c r="AD209" s="2469">
        <v>4.1803566521052993E-2</v>
      </c>
      <c r="AE209" s="2469">
        <v>7.5555871313549794E-2</v>
      </c>
      <c r="AF209" s="2469">
        <v>3.7230796054417814E-2</v>
      </c>
      <c r="AG209" s="2469">
        <v>0.15942768646991423</v>
      </c>
      <c r="AH209" s="2468">
        <v>0.11703635317360317</v>
      </c>
      <c r="AI209" s="2470">
        <v>8.1446119811375617E-2</v>
      </c>
      <c r="AJ209" s="2470">
        <v>7.3487560818874531E-2</v>
      </c>
      <c r="AK209" s="2470">
        <v>8.1976077449799734E-2</v>
      </c>
      <c r="AL209" s="2470">
        <v>4.1608047495404366E-2</v>
      </c>
      <c r="AM209" s="2470">
        <v>5.3996036807969716E-2</v>
      </c>
      <c r="AN209" s="2470">
        <v>5.2459532893747829E-2</v>
      </c>
      <c r="AO209" s="2475">
        <v>4.9814974331163553E-2</v>
      </c>
      <c r="AP209" s="2475">
        <v>3.3580163842706456E-2</v>
      </c>
      <c r="AQ209" s="2475">
        <v>4.9788845887884348E-2</v>
      </c>
      <c r="AR209" s="2475">
        <v>4.9376735476472033E-2</v>
      </c>
      <c r="AS209" s="2475">
        <v>5.4462921281415611E-2</v>
      </c>
      <c r="AT209" s="2475">
        <v>5.8383924731759906E-2</v>
      </c>
      <c r="AU209" s="1056"/>
    </row>
    <row r="210" spans="1:47" customFormat="1" ht="14.4">
      <c r="A210" s="75"/>
      <c r="B210" s="77"/>
      <c r="C210" s="74"/>
      <c r="D210" s="1131" t="s">
        <v>1130</v>
      </c>
      <c r="E210" s="1134"/>
      <c r="F210" s="1131"/>
      <c r="G210" s="1131"/>
      <c r="H210" s="1131"/>
      <c r="I210" s="2476"/>
      <c r="J210" s="2476"/>
      <c r="K210" s="2476"/>
      <c r="L210" s="2476"/>
      <c r="M210" s="2476"/>
      <c r="N210" s="2476"/>
      <c r="O210" s="2476"/>
      <c r="P210" s="2476"/>
      <c r="Q210" s="2476"/>
      <c r="R210" s="2476"/>
      <c r="S210" s="2476"/>
      <c r="T210" s="2476"/>
      <c r="U210" s="2476"/>
      <c r="V210" s="2476"/>
      <c r="W210" s="2477"/>
      <c r="X210" s="2478"/>
      <c r="Y210" s="2478"/>
      <c r="Z210" s="2478">
        <v>4.573586804713492E-2</v>
      </c>
      <c r="AA210" s="2478">
        <v>5.1797927842019975E-2</v>
      </c>
      <c r="AB210" s="2478">
        <v>6.0347979477530123E-2</v>
      </c>
      <c r="AC210" s="2478">
        <v>3.6365237712856491E-3</v>
      </c>
      <c r="AD210" s="2478">
        <v>2.5726702591016615E-2</v>
      </c>
      <c r="AE210" s="2478">
        <v>9.5292970839577995E-2</v>
      </c>
      <c r="AF210" s="2478">
        <v>-2.5235154003989568E-2</v>
      </c>
      <c r="AG210" s="2478">
        <v>0.13956568092490196</v>
      </c>
      <c r="AH210" s="2477">
        <v>0.16084889384688883</v>
      </c>
      <c r="AI210" s="2479">
        <v>3.5501440443982624E-2</v>
      </c>
      <c r="AJ210" s="2480">
        <v>7.5613901217617352E-2</v>
      </c>
      <c r="AK210" s="2480">
        <v>0.11139667131508157</v>
      </c>
      <c r="AL210" s="2480">
        <v>2.7155742090497315E-2</v>
      </c>
      <c r="AM210" s="2480">
        <v>4.1108279149741023E-2</v>
      </c>
      <c r="AN210" s="2480">
        <v>4.5939124577024426E-2</v>
      </c>
      <c r="AO210" s="2481">
        <v>5.2476901753494509E-2</v>
      </c>
      <c r="AP210" s="2481">
        <v>4.9109549783005857E-2</v>
      </c>
      <c r="AQ210" s="2481">
        <v>5.5384281950340952E-2</v>
      </c>
      <c r="AR210" s="2481">
        <v>5.6527175697114851E-2</v>
      </c>
      <c r="AS210" s="2481">
        <v>4.5553832556961105E-2</v>
      </c>
      <c r="AT210" s="2481">
        <v>3.1727161984330676E-2</v>
      </c>
      <c r="AU210" s="1056"/>
    </row>
    <row r="211" spans="1:47" customFormat="1" ht="14.4">
      <c r="A211" s="75"/>
      <c r="B211" s="77"/>
      <c r="C211" s="74"/>
      <c r="D211" s="1131" t="s">
        <v>3881</v>
      </c>
      <c r="E211" s="1134"/>
      <c r="F211" s="1131"/>
      <c r="G211" s="1131"/>
      <c r="H211" s="1131"/>
      <c r="I211" s="2482"/>
      <c r="J211" s="2482">
        <v>221</v>
      </c>
      <c r="K211" s="2482">
        <v>244</v>
      </c>
      <c r="L211" s="2482">
        <v>269</v>
      </c>
      <c r="M211" s="2482">
        <v>275</v>
      </c>
      <c r="N211" s="2482">
        <v>373</v>
      </c>
      <c r="O211" s="2482">
        <v>452</v>
      </c>
      <c r="P211" s="2482">
        <v>535</v>
      </c>
      <c r="Q211" s="2482">
        <v>468</v>
      </c>
      <c r="R211" s="2482">
        <v>510</v>
      </c>
      <c r="S211" s="2482">
        <v>615</v>
      </c>
      <c r="T211" s="2482">
        <v>725</v>
      </c>
      <c r="U211" s="2482">
        <v>762</v>
      </c>
      <c r="V211" s="2482">
        <v>869</v>
      </c>
      <c r="W211" s="2482">
        <v>1019</v>
      </c>
      <c r="X211" s="2482">
        <v>1123</v>
      </c>
      <c r="Y211" s="2482">
        <v>1227</v>
      </c>
      <c r="Z211" s="2482">
        <v>1316</v>
      </c>
      <c r="AA211" s="2482">
        <v>1540</v>
      </c>
      <c r="AB211" s="2482">
        <v>1816</v>
      </c>
      <c r="AC211" s="2482">
        <v>1790</v>
      </c>
      <c r="AD211" s="2482">
        <v>1915</v>
      </c>
      <c r="AE211" s="2482">
        <v>2249</v>
      </c>
      <c r="AF211" s="2482">
        <v>2226</v>
      </c>
      <c r="AG211" s="2483">
        <v>2845</v>
      </c>
      <c r="AH211" s="2483">
        <v>3715</v>
      </c>
      <c r="AI211" s="2484">
        <v>3791</v>
      </c>
      <c r="AJ211" s="2485">
        <v>4181</v>
      </c>
      <c r="AK211" s="2485">
        <v>4807.9948579772108</v>
      </c>
      <c r="AL211" s="2485">
        <v>5168.1957956995366</v>
      </c>
      <c r="AM211" s="2485">
        <v>5656.6722821509429</v>
      </c>
      <c r="AN211" s="2485">
        <v>6205.0760179303506</v>
      </c>
      <c r="AO211" s="2486">
        <v>6854.8261972959172</v>
      </c>
      <c r="AP211" s="2486">
        <v>7550.5238482855484</v>
      </c>
      <c r="AQ211" s="2486">
        <v>8627.9273503380282</v>
      </c>
      <c r="AR211" s="2486">
        <v>9727.9055154847847</v>
      </c>
      <c r="AS211" s="2486">
        <v>10861.805035479796</v>
      </c>
      <c r="AT211" s="2486">
        <v>11975.009311796393</v>
      </c>
      <c r="AU211" s="1056"/>
    </row>
    <row r="212" spans="1:47" customFormat="1" ht="14.4">
      <c r="A212" s="75"/>
      <c r="B212" s="77"/>
      <c r="C212" s="74"/>
      <c r="D212" s="1131" t="s">
        <v>3993</v>
      </c>
      <c r="E212" s="1134"/>
      <c r="F212" s="1131"/>
      <c r="G212" s="1131"/>
      <c r="H212" s="1131"/>
      <c r="I212" s="2482"/>
      <c r="J212" s="2482">
        <v>350.35</v>
      </c>
      <c r="K212" s="2482">
        <v>400.70000000000005</v>
      </c>
      <c r="L212" s="2482">
        <v>410.54999999999995</v>
      </c>
      <c r="M212" s="2482">
        <v>457</v>
      </c>
      <c r="N212" s="2482">
        <v>522.20000000000005</v>
      </c>
      <c r="O212" s="2482">
        <v>596.25</v>
      </c>
      <c r="P212" s="2482">
        <v>722.75</v>
      </c>
      <c r="Q212" s="2482">
        <v>667.23039963851784</v>
      </c>
      <c r="R212" s="2482">
        <v>876.23426799879485</v>
      </c>
      <c r="S212" s="2482">
        <v>1149.4110678783011</v>
      </c>
      <c r="T212" s="2482">
        <v>1282.4807435485491</v>
      </c>
      <c r="U212" s="2482">
        <v>1445.3532006225523</v>
      </c>
      <c r="V212" s="2482">
        <v>1648.0985892157846</v>
      </c>
      <c r="W212" s="2483">
        <v>1933.5044934230345</v>
      </c>
      <c r="X212" s="2487">
        <v>2081.7719397158853</v>
      </c>
      <c r="Y212" s="2487">
        <v>2337.5601363577443</v>
      </c>
      <c r="Z212" s="2487">
        <v>2522.9163122172358</v>
      </c>
      <c r="AA212" s="2487">
        <v>2757.2891476540717</v>
      </c>
      <c r="AB212" s="2487">
        <v>3063.5866361028156</v>
      </c>
      <c r="AC212" s="2487">
        <v>3581.9117962566706</v>
      </c>
      <c r="AD212" s="2487">
        <v>4296.3230659542751</v>
      </c>
      <c r="AE212" s="2487">
        <v>4300.9989217391976</v>
      </c>
      <c r="AF212" s="2487">
        <v>5365.5614057784151</v>
      </c>
      <c r="AG212" s="2487">
        <v>7057.7870799263565</v>
      </c>
      <c r="AH212" s="2483">
        <v>8386.5660066961609</v>
      </c>
      <c r="AI212" s="2484">
        <v>10247.914629769255</v>
      </c>
      <c r="AJ212" s="2485">
        <v>12947.760583286101</v>
      </c>
      <c r="AK212" s="2485">
        <v>14785.996908027162</v>
      </c>
      <c r="AL212" s="2485">
        <v>16546.550217617227</v>
      </c>
      <c r="AM212" s="2485">
        <v>18795.512828329058</v>
      </c>
      <c r="AN212" s="2485">
        <v>21343.727949824526</v>
      </c>
      <c r="AO212" s="2486">
        <v>24260.406211527312</v>
      </c>
      <c r="AP212" s="2486">
        <v>26820.600403443059</v>
      </c>
      <c r="AQ212" s="2486">
        <v>29989.353669101769</v>
      </c>
      <c r="AR212" s="2486">
        <v>33548.517632945222</v>
      </c>
      <c r="AS212" s="2486">
        <v>37014.323158106243</v>
      </c>
      <c r="AT212" s="2486">
        <v>39943.362395545621</v>
      </c>
      <c r="AU212" s="1056"/>
    </row>
    <row r="213" spans="1:47" customFormat="1" ht="14.4">
      <c r="A213" s="75"/>
      <c r="B213" s="77"/>
      <c r="C213" s="74"/>
      <c r="D213" s="1130" t="s">
        <v>3882</v>
      </c>
      <c r="E213" s="1134"/>
      <c r="F213" s="1130"/>
      <c r="G213" s="1130"/>
      <c r="H213" s="1130"/>
      <c r="I213" s="2488"/>
      <c r="J213" s="2488">
        <v>720</v>
      </c>
      <c r="K213" s="2488">
        <v>806</v>
      </c>
      <c r="L213" s="2488">
        <v>871</v>
      </c>
      <c r="M213" s="2488">
        <v>934</v>
      </c>
      <c r="N213" s="2488">
        <v>1149</v>
      </c>
      <c r="O213" s="2488">
        <v>1372</v>
      </c>
      <c r="P213" s="2488">
        <v>1636</v>
      </c>
      <c r="Q213" s="2488">
        <v>1806</v>
      </c>
      <c r="R213" s="2488">
        <v>2197</v>
      </c>
      <c r="S213" s="2488">
        <v>2799</v>
      </c>
      <c r="T213" s="2488">
        <v>3185</v>
      </c>
      <c r="U213" s="2488">
        <v>3529</v>
      </c>
      <c r="V213" s="2489">
        <v>4084</v>
      </c>
      <c r="W213" s="2490">
        <v>4642</v>
      </c>
      <c r="X213" s="2491">
        <v>4988</v>
      </c>
      <c r="Y213" s="2491">
        <v>5548</v>
      </c>
      <c r="Z213" s="2491">
        <v>6081</v>
      </c>
      <c r="AA213" s="2491">
        <v>6768</v>
      </c>
      <c r="AB213" s="2491">
        <v>7621</v>
      </c>
      <c r="AC213" s="2491">
        <v>8310</v>
      </c>
      <c r="AD213" s="2491">
        <v>9461</v>
      </c>
      <c r="AE213" s="2491">
        <v>9893</v>
      </c>
      <c r="AF213" s="2491">
        <v>11125</v>
      </c>
      <c r="AG213" s="2490">
        <v>14164</v>
      </c>
      <c r="AH213" s="2490">
        <v>17176</v>
      </c>
      <c r="AI213" s="2492">
        <v>19918</v>
      </c>
      <c r="AJ213" s="2492">
        <v>23387</v>
      </c>
      <c r="AK213" s="2492">
        <v>27186.385358197451</v>
      </c>
      <c r="AL213" s="2492">
        <v>30512.356118905056</v>
      </c>
      <c r="AM213" s="2492">
        <v>34481.510425013403</v>
      </c>
      <c r="AN213" s="2492">
        <v>38848.121735429959</v>
      </c>
      <c r="AO213" s="2493">
        <v>43634.156626988035</v>
      </c>
      <c r="AP213" s="2493">
        <v>48312.768072914499</v>
      </c>
      <c r="AQ213" s="2493">
        <v>54332.762572797772</v>
      </c>
      <c r="AR213" s="2493">
        <v>60515.701257833069</v>
      </c>
      <c r="AS213" s="2493">
        <v>67672.932875545419</v>
      </c>
      <c r="AT213" s="2493">
        <v>75855.160074210769</v>
      </c>
      <c r="AU213" s="1056"/>
    </row>
    <row r="214" spans="1:47" customFormat="1" ht="14.4">
      <c r="A214" s="75"/>
      <c r="B214" s="77"/>
      <c r="C214" s="74"/>
      <c r="D214" s="1130" t="s">
        <v>3883</v>
      </c>
      <c r="E214" s="1134"/>
      <c r="F214" s="1130"/>
      <c r="G214" s="1130"/>
      <c r="H214" s="1130"/>
      <c r="I214" s="2488"/>
      <c r="J214" s="2488">
        <v>0</v>
      </c>
      <c r="K214" s="2488">
        <v>0</v>
      </c>
      <c r="L214" s="2488">
        <v>0</v>
      </c>
      <c r="M214" s="2488">
        <v>0</v>
      </c>
      <c r="N214" s="2488">
        <v>0</v>
      </c>
      <c r="O214" s="2488">
        <v>0</v>
      </c>
      <c r="P214" s="2488">
        <v>0</v>
      </c>
      <c r="Q214" s="2488">
        <v>0</v>
      </c>
      <c r="R214" s="2488">
        <v>2031</v>
      </c>
      <c r="S214" s="2488">
        <v>2466</v>
      </c>
      <c r="T214" s="2488">
        <v>3097</v>
      </c>
      <c r="U214" s="2488">
        <v>3373</v>
      </c>
      <c r="V214" s="2488">
        <v>3778</v>
      </c>
      <c r="W214" s="2488">
        <v>4373</v>
      </c>
      <c r="X214" s="2488">
        <v>4846</v>
      </c>
      <c r="Y214" s="2488">
        <v>5296</v>
      </c>
      <c r="Z214" s="2488">
        <v>5771</v>
      </c>
      <c r="AA214" s="2488">
        <v>6443</v>
      </c>
      <c r="AB214" s="2488">
        <v>7237</v>
      </c>
      <c r="AC214" s="2488">
        <v>7982</v>
      </c>
      <c r="AD214" s="2488">
        <v>8784</v>
      </c>
      <c r="AE214" s="2488">
        <v>9640</v>
      </c>
      <c r="AF214" s="2488">
        <v>10499</v>
      </c>
      <c r="AG214" s="2490">
        <v>12359</v>
      </c>
      <c r="AH214" s="2490">
        <v>15800</v>
      </c>
      <c r="AI214" s="2492">
        <v>18547.5</v>
      </c>
      <c r="AJ214" s="2492">
        <v>21652.5</v>
      </c>
      <c r="AK214" s="2492">
        <v>25286.692679098727</v>
      </c>
      <c r="AL214" s="2492">
        <v>28849.370738551253</v>
      </c>
      <c r="AM214" s="2492">
        <v>32496.933271959228</v>
      </c>
      <c r="AN214" s="2492">
        <v>36664.816080221681</v>
      </c>
      <c r="AO214" s="2494">
        <v>41241.139181209001</v>
      </c>
      <c r="AP214" s="2494">
        <v>45973.462349951267</v>
      </c>
      <c r="AQ214" s="2494">
        <v>51553.253914279325</v>
      </c>
      <c r="AR214" s="2494">
        <v>57424.231915315424</v>
      </c>
      <c r="AS214" s="2494">
        <v>64094.31706668924</v>
      </c>
      <c r="AT214" s="2494">
        <v>71764.046474878094</v>
      </c>
      <c r="AU214" s="1056"/>
    </row>
    <row r="215" spans="1:47" customFormat="1" ht="14.4">
      <c r="A215" s="75"/>
      <c r="B215" s="77"/>
      <c r="C215" s="74"/>
      <c r="D215" s="1132" t="s">
        <v>3994</v>
      </c>
      <c r="E215" s="1135"/>
      <c r="F215" s="1132"/>
      <c r="G215" s="1132"/>
      <c r="H215" s="1132"/>
      <c r="I215" s="2495"/>
      <c r="J215" s="2495">
        <v>2156.0635131392978</v>
      </c>
      <c r="K215" s="2495">
        <v>2068.2777135848492</v>
      </c>
      <c r="L215" s="2495">
        <v>1966.175942234607</v>
      </c>
      <c r="M215" s="2495">
        <v>1964.8049923156443</v>
      </c>
      <c r="N215" s="2495">
        <v>2137.0582112881634</v>
      </c>
      <c r="O215" s="2495">
        <v>2375.9675060294071</v>
      </c>
      <c r="P215" s="2495">
        <v>2932.8318365261321</v>
      </c>
      <c r="Q215" s="2495">
        <v>3273.4569046196366</v>
      </c>
      <c r="R215" s="2495">
        <v>4016.7838304796551</v>
      </c>
      <c r="S215" s="2495">
        <v>5118.418019724968</v>
      </c>
      <c r="T215" s="2495">
        <v>5604.6184338802059</v>
      </c>
      <c r="U215" s="2495">
        <v>6051.8143698354552</v>
      </c>
      <c r="V215" s="2496">
        <v>6803.3420316765478</v>
      </c>
      <c r="W215" s="2497">
        <v>7556.6383683258064</v>
      </c>
      <c r="X215" s="2498">
        <v>7713.7261972245014</v>
      </c>
      <c r="Y215" s="2498">
        <v>8129.6786873708161</v>
      </c>
      <c r="Z215" s="2498">
        <v>8451.232732023238</v>
      </c>
      <c r="AA215" s="2498">
        <v>8597.2659723522102</v>
      </c>
      <c r="AB215" s="2498">
        <v>9166.1624501605656</v>
      </c>
      <c r="AC215" s="2498">
        <v>9650.6476676887087</v>
      </c>
      <c r="AD215" s="2498">
        <v>10498.215264290593</v>
      </c>
      <c r="AE215" s="2498">
        <v>10466.654020291418</v>
      </c>
      <c r="AF215" s="2498">
        <v>11233.257287547267</v>
      </c>
      <c r="AG215" s="2490">
        <v>13711.627666555214</v>
      </c>
      <c r="AH215" s="2490">
        <v>14704.044640065282</v>
      </c>
      <c r="AI215" s="2492">
        <v>15058.302060194099</v>
      </c>
      <c r="AJ215" s="2492">
        <v>16481.279063097267</v>
      </c>
      <c r="AK215" s="2492">
        <v>18290.146292099416</v>
      </c>
      <c r="AL215" s="2492">
        <v>19750.560955382563</v>
      </c>
      <c r="AM215" s="2492">
        <v>21633.990390946256</v>
      </c>
      <c r="AN215" s="2492">
        <v>23747.082742946757</v>
      </c>
      <c r="AO215" s="2499">
        <v>26022.137080311419</v>
      </c>
      <c r="AP215" s="2499">
        <v>28109.584732762491</v>
      </c>
      <c r="AQ215" s="2499">
        <v>27999.229405251179</v>
      </c>
      <c r="AR215" s="2499">
        <v>30277.160073430052</v>
      </c>
      <c r="AS215" s="2499">
        <v>32871.90254653788</v>
      </c>
      <c r="AT215" s="2499">
        <v>35773.196361679729</v>
      </c>
      <c r="AU215" s="1056"/>
    </row>
    <row r="216" spans="1:47">
      <c r="A216" s="79"/>
      <c r="D216" s="1130" t="s">
        <v>3995</v>
      </c>
      <c r="E216" s="1135"/>
      <c r="F216" s="1132"/>
      <c r="G216" s="1132"/>
      <c r="H216" s="1132"/>
      <c r="I216" s="2495"/>
      <c r="J216" s="2500">
        <v>2144.6914938712453</v>
      </c>
      <c r="K216" s="2500">
        <v>2048.6737135848493</v>
      </c>
      <c r="L216" s="2500">
        <v>1943.6909422346071</v>
      </c>
      <c r="M216" s="2500">
        <v>1945.7549923156444</v>
      </c>
      <c r="N216" s="2500">
        <v>2106.5256191269441</v>
      </c>
      <c r="O216" s="2500">
        <v>2342.3127341325903</v>
      </c>
      <c r="P216" s="2500">
        <v>2903.6592331324223</v>
      </c>
      <c r="Q216" s="2500">
        <v>3244.0135728033611</v>
      </c>
      <c r="R216" s="2500">
        <v>3999.5656773798996</v>
      </c>
      <c r="S216" s="2500">
        <v>5081.411457407311</v>
      </c>
      <c r="T216" s="2500">
        <v>5567.8254292242309</v>
      </c>
      <c r="U216" s="2500">
        <v>6013.0193628561028</v>
      </c>
      <c r="V216" s="2500">
        <v>6753.2084869666787</v>
      </c>
      <c r="W216" s="2500">
        <v>7437.3513088202735</v>
      </c>
      <c r="X216" s="2500">
        <v>7542.2959152315379</v>
      </c>
      <c r="Y216" s="2500">
        <v>7947.0834105439362</v>
      </c>
      <c r="Z216" s="2500">
        <v>8327.5439528179249</v>
      </c>
      <c r="AA216" s="2500">
        <v>8295.4830372087854</v>
      </c>
      <c r="AB216" s="2488">
        <v>8889.9412534425865</v>
      </c>
      <c r="AC216" s="2488">
        <v>9322.4649197937524</v>
      </c>
      <c r="AD216" s="2488">
        <v>10174.371700817828</v>
      </c>
      <c r="AE216" s="2488">
        <v>10267.182201083155</v>
      </c>
      <c r="AF216" s="2488">
        <v>11052.872095610417</v>
      </c>
      <c r="AG216" s="2490">
        <v>13462.295112843392</v>
      </c>
      <c r="AH216" s="2490">
        <v>14408.425120878685</v>
      </c>
      <c r="AI216" s="2492">
        <v>14656.08332917372</v>
      </c>
      <c r="AJ216" s="2492">
        <v>16081.832590353697</v>
      </c>
      <c r="AK216" s="2492">
        <v>17836.000334406559</v>
      </c>
      <c r="AL216" s="2492">
        <v>19194.948590339984</v>
      </c>
      <c r="AM216" s="2492">
        <v>20985.613858653393</v>
      </c>
      <c r="AN216" s="2492">
        <v>23015.101947808351</v>
      </c>
      <c r="AO216" s="2494">
        <v>25208.665180481614</v>
      </c>
      <c r="AP216" s="2494">
        <v>27215.425594744309</v>
      </c>
      <c r="AQ216" s="2494">
        <v>27035.30940665436</v>
      </c>
      <c r="AR216" s="2494">
        <v>29243.327918879491</v>
      </c>
      <c r="AS216" s="2494">
        <v>31767.421365789567</v>
      </c>
      <c r="AT216" s="2494">
        <v>34594.050335406377</v>
      </c>
      <c r="AU216" s="1056"/>
    </row>
    <row r="217" spans="1:47">
      <c r="A217" s="79"/>
      <c r="D217" s="1130" t="s">
        <v>1108</v>
      </c>
      <c r="E217" s="1135"/>
      <c r="F217" s="1132"/>
      <c r="G217" s="1132"/>
      <c r="H217" s="1132"/>
      <c r="I217" s="2495"/>
      <c r="J217" s="2500" t="e">
        <v>#DIV/0!</v>
      </c>
      <c r="K217" s="2500" t="e">
        <v>#DIV/0!</v>
      </c>
      <c r="L217" s="2500" t="e">
        <v>#DIV/0!</v>
      </c>
      <c r="M217" s="2500" t="e">
        <v>#DIV/0!</v>
      </c>
      <c r="N217" s="2500" t="e">
        <v>#DIV/0!</v>
      </c>
      <c r="O217" s="2500" t="e">
        <v>#DIV/0!</v>
      </c>
      <c r="P217" s="2500" t="e">
        <v>#DIV/0!</v>
      </c>
      <c r="Q217" s="2500" t="e">
        <v>#DIV/0!</v>
      </c>
      <c r="R217" s="2500" t="e">
        <v>#DIV/0!</v>
      </c>
      <c r="S217" s="2500">
        <v>23698.807961916518</v>
      </c>
      <c r="T217" s="2500">
        <v>26702.331532821969</v>
      </c>
      <c r="U217" s="2500">
        <v>54430.047766561875</v>
      </c>
      <c r="V217" s="2500">
        <v>662.07926342810583</v>
      </c>
      <c r="W217" s="2500">
        <v>708.31917226859753</v>
      </c>
      <c r="X217" s="2500">
        <v>704.88746871322792</v>
      </c>
      <c r="Y217" s="2500">
        <v>722.46212823126689</v>
      </c>
      <c r="Z217" s="2500">
        <v>736.95079228477209</v>
      </c>
      <c r="AA217" s="2500">
        <v>721.34635106163353</v>
      </c>
      <c r="AB217" s="2488">
        <v>753.38485198665978</v>
      </c>
      <c r="AC217" s="2488">
        <v>770.45164626394649</v>
      </c>
      <c r="AD217" s="2488">
        <v>820.51384684014738</v>
      </c>
      <c r="AE217" s="2488">
        <v>808.43954339237439</v>
      </c>
      <c r="AF217" s="2488">
        <v>850.22093043157054</v>
      </c>
      <c r="AG217" s="2490">
        <v>1019.3510500701038</v>
      </c>
      <c r="AH217" s="2490">
        <v>1067.317946537207</v>
      </c>
      <c r="AI217" s="2492">
        <v>1062.1457794891598</v>
      </c>
      <c r="AJ217" s="2492">
        <v>1140.1540230942578</v>
      </c>
      <c r="AK217" s="2492">
        <v>1237.0523624506868</v>
      </c>
      <c r="AL217" s="2492">
        <v>1302.4294455788277</v>
      </c>
      <c r="AM217" s="2492">
        <v>1393.1303362702104</v>
      </c>
      <c r="AN217" s="2492">
        <v>1494.9396013824933</v>
      </c>
      <c r="AO217" s="2494">
        <v>1602.3173991124825</v>
      </c>
      <c r="AP217" s="2494">
        <v>1692.9984362167174</v>
      </c>
      <c r="AQ217" s="2494">
        <v>1646.1793856891966</v>
      </c>
      <c r="AR217" s="2494">
        <v>1743.1948576405532</v>
      </c>
      <c r="AS217" s="2494">
        <v>1854.1766554387304</v>
      </c>
      <c r="AT217" s="2494">
        <v>1977.4561148117773</v>
      </c>
      <c r="AU217" s="1056"/>
    </row>
    <row r="218" spans="1:47" customFormat="1" ht="14.4">
      <c r="A218" s="75"/>
      <c r="B218" s="77"/>
      <c r="C218" s="74"/>
      <c r="D218" s="1130" t="s">
        <v>3884</v>
      </c>
      <c r="E218" s="1136" t="s">
        <v>270</v>
      </c>
      <c r="F218" s="1137"/>
      <c r="G218" s="1137"/>
      <c r="H218" s="1137"/>
      <c r="I218" s="2501"/>
      <c r="J218" s="2501">
        <v>-5.9021725104933316E-2</v>
      </c>
      <c r="K218" s="2501">
        <v>0.14119489507326066</v>
      </c>
      <c r="L218" s="2501">
        <v>-0.10155494511280116</v>
      </c>
      <c r="M218" s="2501">
        <v>0.12488994928949569</v>
      </c>
      <c r="N218" s="2501">
        <v>7.5285504912388612E-2</v>
      </c>
      <c r="O218" s="2501">
        <v>0.10245782930883829</v>
      </c>
      <c r="P218" s="2501">
        <v>5.6075951070651664E-2</v>
      </c>
      <c r="Q218" s="2501">
        <v>0.12138244260886166</v>
      </c>
      <c r="R218" s="2501">
        <v>6.5793237144370575E-2</v>
      </c>
      <c r="S218" s="2501">
        <v>0.22322678116126582</v>
      </c>
      <c r="T218" s="2501">
        <v>5.736903261746007E-2</v>
      </c>
      <c r="U218" s="2501">
        <v>2.2675069879221077E-3</v>
      </c>
      <c r="V218" s="2501">
        <v>8.3355391639918092E-2</v>
      </c>
      <c r="W218" s="2468">
        <v>3.8845157048789547E-2</v>
      </c>
      <c r="X218" s="2469">
        <v>3.6000000000000004E-2</v>
      </c>
      <c r="Y218" s="2469">
        <v>2.1000000000000001E-2</v>
      </c>
      <c r="Z218" s="2469">
        <v>4.4999999999999998E-2</v>
      </c>
      <c r="AA218" s="2469">
        <v>7.2834999999999997E-2</v>
      </c>
      <c r="AB218" s="2469">
        <v>6.6540877038754331E-3</v>
      </c>
      <c r="AC218" s="2469">
        <v>1.0999999999999999E-2</v>
      </c>
      <c r="AD218" s="2469">
        <v>6.7309999999999995E-2</v>
      </c>
      <c r="AE218" s="2469">
        <v>3.74308209199119E-2</v>
      </c>
      <c r="AF218" s="2469">
        <v>1.8628873248091482E-2</v>
      </c>
      <c r="AG218" s="2469">
        <v>0.21631732425985128</v>
      </c>
      <c r="AH218" s="2468">
        <v>6.4478216181379056E-2</v>
      </c>
      <c r="AI218" s="2502">
        <v>6.7787993314077033E-2</v>
      </c>
      <c r="AJ218" s="2470">
        <v>8.8999999999999996E-2</v>
      </c>
      <c r="AK218" s="2470">
        <v>7.9000000000000001E-2</v>
      </c>
      <c r="AL218" s="2470">
        <v>0.03</v>
      </c>
      <c r="AM218" s="2470">
        <v>0.05</v>
      </c>
      <c r="AN218" s="2470">
        <v>0.05</v>
      </c>
      <c r="AO218" s="2472">
        <v>0.05</v>
      </c>
      <c r="AP218" s="2472">
        <v>0.05</v>
      </c>
      <c r="AQ218" s="2472">
        <v>0.05</v>
      </c>
      <c r="AR218" s="2472">
        <v>0.05</v>
      </c>
      <c r="AS218" s="2472">
        <v>0.05</v>
      </c>
      <c r="AT218" s="2472">
        <v>0.05</v>
      </c>
      <c r="AU218" s="1056"/>
    </row>
    <row r="219" spans="1:47" customFormat="1" ht="14.4">
      <c r="A219" s="75"/>
      <c r="B219" s="77"/>
      <c r="C219" s="74"/>
      <c r="D219" s="1130" t="s">
        <v>3885</v>
      </c>
      <c r="E219" s="1136" t="s">
        <v>270</v>
      </c>
      <c r="F219" s="1137"/>
      <c r="G219" s="1137"/>
      <c r="H219" s="1137"/>
      <c r="I219" s="2503"/>
      <c r="J219" s="2503">
        <v>-0.10228761707806999</v>
      </c>
      <c r="K219" s="2503">
        <v>2.1214788865460354E-2</v>
      </c>
      <c r="L219" s="2503">
        <v>1.1494230477025358E-2</v>
      </c>
      <c r="M219" s="2503">
        <v>-1.2501792998073302E-2</v>
      </c>
      <c r="N219" s="2503">
        <v>0.11744236377675076</v>
      </c>
      <c r="O219" s="2503">
        <v>0.11937808306006037</v>
      </c>
      <c r="P219" s="2503">
        <v>9.132697764056763E-2</v>
      </c>
      <c r="Q219" s="2503">
        <v>8.8313394380501897E-2</v>
      </c>
      <c r="R219" s="2503">
        <v>9.0809741086125495E-2</v>
      </c>
      <c r="S219" s="2503">
        <v>0.15441509649830398</v>
      </c>
      <c r="T219" s="2503">
        <v>0.10340221174350983</v>
      </c>
      <c r="U219" s="2503">
        <v>2.3073277314962892E-2</v>
      </c>
      <c r="V219" s="2503">
        <v>5.6675699845492297E-2</v>
      </c>
      <c r="W219" s="2468">
        <v>6.2863849450282228E-2</v>
      </c>
      <c r="X219" s="2469">
        <v>4.2000000000000003E-2</v>
      </c>
      <c r="Y219" s="2469">
        <v>1.784010267913394E-2</v>
      </c>
      <c r="Z219" s="2469">
        <v>2.5072988767667947E-2</v>
      </c>
      <c r="AA219" s="2469">
        <v>5.7234630000000002E-2</v>
      </c>
      <c r="AB219" s="2469">
        <v>4.8367798851274957E-2</v>
      </c>
      <c r="AC219" s="2469">
        <v>1.4E-2</v>
      </c>
      <c r="AD219" s="2469">
        <v>2.4299999999999999E-2</v>
      </c>
      <c r="AE219" s="2469">
        <v>7.7156235546899099E-2</v>
      </c>
      <c r="AF219" s="2469">
        <v>8.1775706194855413E-3</v>
      </c>
      <c r="AG219" s="2469">
        <v>0.13892335864190652</v>
      </c>
      <c r="AH219" s="2468">
        <v>0.14030353524911621</v>
      </c>
      <c r="AI219" s="2504">
        <v>4.7622148458877703E-2</v>
      </c>
      <c r="AJ219" s="2505">
        <v>7.0000000000000007E-2</v>
      </c>
      <c r="AK219" s="2505">
        <v>9.3999999999999986E-2</v>
      </c>
      <c r="AL219" s="2505">
        <v>4.3499999999999997E-2</v>
      </c>
      <c r="AM219" s="2505">
        <v>0.05</v>
      </c>
      <c r="AN219" s="2505">
        <v>0.05</v>
      </c>
      <c r="AO219" s="2472">
        <v>0.05</v>
      </c>
      <c r="AP219" s="2472">
        <v>0.05</v>
      </c>
      <c r="AQ219" s="2472">
        <v>0.05</v>
      </c>
      <c r="AR219" s="2472">
        <v>0.05</v>
      </c>
      <c r="AS219" s="2472">
        <v>0.05</v>
      </c>
      <c r="AT219" s="2472">
        <v>0.05</v>
      </c>
      <c r="AU219" s="1056"/>
    </row>
    <row r="220" spans="1:47" customFormat="1" ht="14.4">
      <c r="A220" s="75"/>
      <c r="B220" s="77"/>
      <c r="C220" s="74"/>
      <c r="D220" s="1130" t="s">
        <v>3886</v>
      </c>
      <c r="E220" s="1138"/>
      <c r="F220" s="1130"/>
      <c r="G220" s="1130"/>
      <c r="H220" s="1130"/>
      <c r="I220" s="2506"/>
      <c r="J220" s="2506">
        <v>36</v>
      </c>
      <c r="K220" s="2506">
        <v>35</v>
      </c>
      <c r="L220" s="2506">
        <v>40</v>
      </c>
      <c r="M220" s="2506">
        <v>39</v>
      </c>
      <c r="N220" s="2506">
        <v>45</v>
      </c>
      <c r="O220" s="2506">
        <v>53</v>
      </c>
      <c r="P220" s="2506">
        <v>57</v>
      </c>
      <c r="Q220" s="2506">
        <v>30.771852104276704</v>
      </c>
      <c r="R220" s="2506">
        <v>34.773662551440324</v>
      </c>
      <c r="S220" s="2506">
        <v>39.849088838268791</v>
      </c>
      <c r="T220" s="2506">
        <v>42.68292682926829</v>
      </c>
      <c r="U220" s="2506">
        <v>44.05742821473158</v>
      </c>
      <c r="V220" s="2506">
        <v>47.23025326702902</v>
      </c>
      <c r="W220" s="2507">
        <v>49.414519906323179</v>
      </c>
      <c r="X220" s="2507">
        <v>50.701362065460451</v>
      </c>
      <c r="Y220" s="2507">
        <v>53.371813371813367</v>
      </c>
      <c r="Z220" s="2507">
        <v>53.733321551647961</v>
      </c>
      <c r="AA220" s="2507">
        <v>56.598093326643237</v>
      </c>
      <c r="AB220" s="2507">
        <v>60.86574554748023</v>
      </c>
      <c r="AC220" s="2507">
        <v>61.414529598699289</v>
      </c>
      <c r="AD220" s="2507">
        <v>63.981875972137679</v>
      </c>
      <c r="AE220" s="2507">
        <v>68.816082359488036</v>
      </c>
      <c r="AF220" s="2507">
        <v>71.378159887078141</v>
      </c>
      <c r="AG220" s="2507">
        <v>82.757814782354671</v>
      </c>
      <c r="AH220" s="2507">
        <v>92.443487621097958</v>
      </c>
      <c r="AI220" s="2508">
        <v>100</v>
      </c>
      <c r="AJ220" s="2509">
        <v>104.00942848419982</v>
      </c>
      <c r="AK220" s="2509">
        <v>110.62139673930362</v>
      </c>
      <c r="AL220" s="2509">
        <v>117.16511475403743</v>
      </c>
      <c r="AM220" s="2509">
        <v>124.15011508175778</v>
      </c>
      <c r="AN220" s="2509">
        <v>130.84780738934143</v>
      </c>
      <c r="AO220" s="2499">
        <v>136.88966868313594</v>
      </c>
      <c r="AP220" s="2499">
        <v>140.736559587253</v>
      </c>
      <c r="AQ220" s="2499">
        <v>144.96910999036282</v>
      </c>
      <c r="AR220" s="2499">
        <v>151.551774748188</v>
      </c>
      <c r="AS220" s="2499">
        <v>158.61824902888392</v>
      </c>
      <c r="AT220" s="2499">
        <v>166.22730131415594</v>
      </c>
      <c r="AU220" s="1056"/>
    </row>
    <row r="221" spans="1:47" customFormat="1" ht="14.4">
      <c r="A221" s="75"/>
      <c r="B221" s="77"/>
      <c r="C221" s="74"/>
      <c r="D221" s="1130" t="s">
        <v>3887</v>
      </c>
      <c r="E221" s="1138"/>
      <c r="F221" s="1130"/>
      <c r="G221" s="1130"/>
      <c r="H221" s="1130"/>
      <c r="I221" s="2506"/>
      <c r="J221" s="2506">
        <v>36</v>
      </c>
      <c r="K221" s="2506">
        <v>35</v>
      </c>
      <c r="L221" s="2506">
        <v>40</v>
      </c>
      <c r="M221" s="2506">
        <v>39</v>
      </c>
      <c r="N221" s="2506">
        <v>45</v>
      </c>
      <c r="O221" s="2506">
        <v>53</v>
      </c>
      <c r="P221" s="2506">
        <v>57</v>
      </c>
      <c r="Q221" s="2506">
        <v>30.771852104276704</v>
      </c>
      <c r="R221" s="2506">
        <v>34.773662551440324</v>
      </c>
      <c r="S221" s="2506">
        <v>39.849088838268791</v>
      </c>
      <c r="T221" s="2506">
        <v>42.68292682926829</v>
      </c>
      <c r="U221" s="2506">
        <v>44.05742821473158</v>
      </c>
      <c r="V221" s="2506">
        <v>47.23025326702902</v>
      </c>
      <c r="W221" s="2507">
        <v>49.414519906323179</v>
      </c>
      <c r="X221" s="2507">
        <v>50.701362065460451</v>
      </c>
      <c r="Y221" s="2507">
        <v>53.371813371813367</v>
      </c>
      <c r="Z221" s="2507">
        <v>51.98041343995331</v>
      </c>
      <c r="AA221" s="2507">
        <v>54.849717222265809</v>
      </c>
      <c r="AB221" s="2507">
        <v>59.02760627700966</v>
      </c>
      <c r="AC221" s="2507">
        <v>59.745537290686855</v>
      </c>
      <c r="AD221" s="2507">
        <v>62.593638643126575</v>
      </c>
      <c r="AE221" s="2507">
        <v>67.485772024015361</v>
      </c>
      <c r="AF221" s="2507">
        <v>71.244363762593935</v>
      </c>
      <c r="AG221" s="2507">
        <v>82.718794524983736</v>
      </c>
      <c r="AH221" s="2507">
        <v>92.200894577447244</v>
      </c>
      <c r="AI221" s="2508">
        <v>99.177017250013861</v>
      </c>
      <c r="AJ221" s="2509">
        <v>103.76106069320899</v>
      </c>
      <c r="AK221" s="2509">
        <v>109.7843858510183</v>
      </c>
      <c r="AL221" s="2509">
        <v>116.62265116758408</v>
      </c>
      <c r="AM221" s="2509">
        <v>123.78754217384758</v>
      </c>
      <c r="AN221" s="2509">
        <v>130.55523650662553</v>
      </c>
      <c r="AO221" s="2499">
        <v>136.49323411190423</v>
      </c>
      <c r="AP221" s="2499">
        <v>139.78152923331339</v>
      </c>
      <c r="AQ221" s="2499">
        <v>144.56906272844424</v>
      </c>
      <c r="AR221" s="2499">
        <v>151.08254838837806</v>
      </c>
      <c r="AS221" s="2499">
        <v>158.08745032077701</v>
      </c>
      <c r="AT221" s="2499">
        <v>165.6457911665731</v>
      </c>
      <c r="AU221" s="1056"/>
    </row>
    <row r="222" spans="1:47" customFormat="1" ht="14.4">
      <c r="A222" s="75"/>
      <c r="B222" s="77"/>
      <c r="C222" s="74"/>
      <c r="D222" s="1130" t="s">
        <v>3888</v>
      </c>
      <c r="E222" s="1131" t="s">
        <v>271</v>
      </c>
      <c r="F222" s="1130"/>
      <c r="G222" s="1130"/>
      <c r="H222" s="1130"/>
      <c r="I222" s="2510"/>
      <c r="J222" s="2510">
        <v>2095</v>
      </c>
      <c r="K222" s="2510">
        <v>2323</v>
      </c>
      <c r="L222" s="2510">
        <v>2439</v>
      </c>
      <c r="M222" s="2510">
        <v>2772</v>
      </c>
      <c r="N222" s="2510">
        <v>2704</v>
      </c>
      <c r="O222" s="2510">
        <v>2897</v>
      </c>
      <c r="P222" s="2510">
        <v>3152</v>
      </c>
      <c r="Q222" s="2510">
        <v>4702.4485892157845</v>
      </c>
      <c r="R222" s="2510">
        <v>5062.2031328446628</v>
      </c>
      <c r="S222" s="2510">
        <v>5627.8750878602268</v>
      </c>
      <c r="T222" s="2510">
        <v>5978.8160457877302</v>
      </c>
      <c r="U222" s="2510">
        <v>6417.892860728989</v>
      </c>
      <c r="V222" s="2510">
        <v>6928.2795963450144</v>
      </c>
      <c r="W222" s="2510">
        <v>7526.802188974797</v>
      </c>
      <c r="X222" s="2510">
        <v>7882.5505572848679</v>
      </c>
      <c r="Y222" s="2510">
        <v>8328.8384877999797</v>
      </c>
      <c r="Z222" s="2510">
        <v>9067.5772165880117</v>
      </c>
      <c r="AA222" s="2510">
        <v>9581.1688924590817</v>
      </c>
      <c r="AB222" s="2510">
        <v>10032.264233356764</v>
      </c>
      <c r="AC222" s="2510">
        <v>10841.5116477558</v>
      </c>
      <c r="AD222" s="2510">
        <v>11847.862887840145</v>
      </c>
      <c r="AE222" s="2510">
        <v>11518.555276634201</v>
      </c>
      <c r="AF222" s="2510">
        <v>12488.049703785522</v>
      </c>
      <c r="AG222" s="2510">
        <v>13713.138116276736</v>
      </c>
      <c r="AH222" s="2510">
        <v>14886.947484687218</v>
      </c>
      <c r="AI222" s="2511">
        <v>15959</v>
      </c>
      <c r="AJ222" s="2512">
        <v>17212</v>
      </c>
      <c r="AK222" s="2512">
        <v>19314.244674409627</v>
      </c>
      <c r="AL222" s="2512">
        <v>19940.961433701275</v>
      </c>
      <c r="AM222" s="2512">
        <v>20707.893488751113</v>
      </c>
      <c r="AN222" s="2512">
        <v>21419.782389853837</v>
      </c>
      <c r="AO222" s="2513">
        <v>22059.396461978165</v>
      </c>
      <c r="AP222" s="2513">
        <v>23502.720505484391</v>
      </c>
      <c r="AQ222" s="2513">
        <v>24045.865314395531</v>
      </c>
      <c r="AR222" s="2513">
        <v>24968.846290974423</v>
      </c>
      <c r="AS222" s="2513">
        <v>25366.750150729466</v>
      </c>
      <c r="AT222" s="2513">
        <v>25176.73665620765</v>
      </c>
      <c r="AU222" s="1056"/>
    </row>
    <row r="223" spans="1:47" customFormat="1" ht="14.4">
      <c r="A223" s="75"/>
      <c r="B223" s="77"/>
      <c r="C223" s="74"/>
      <c r="D223" s="1130" t="s">
        <v>84</v>
      </c>
      <c r="E223" s="1131"/>
      <c r="F223" s="1130"/>
      <c r="G223" s="1130"/>
      <c r="H223" s="1130"/>
      <c r="I223" s="2510"/>
      <c r="J223" s="2510">
        <v>266</v>
      </c>
      <c r="K223" s="2510">
        <v>277</v>
      </c>
      <c r="L223" s="2510">
        <v>303</v>
      </c>
      <c r="M223" s="2510">
        <v>345</v>
      </c>
      <c r="N223" s="2510">
        <v>386</v>
      </c>
      <c r="O223" s="2510">
        <v>423</v>
      </c>
      <c r="P223" s="2510">
        <v>463</v>
      </c>
      <c r="Q223" s="2510">
        <v>982.09544130936843</v>
      </c>
      <c r="R223" s="2510">
        <v>1057.2293402952105</v>
      </c>
      <c r="S223" s="2510">
        <v>1175.3686113063561</v>
      </c>
      <c r="T223" s="2510">
        <v>1248.6618134350838</v>
      </c>
      <c r="U223" s="2510">
        <v>1340.3619841349534</v>
      </c>
      <c r="V223" s="2510">
        <v>1446.9550657696557</v>
      </c>
      <c r="W223" s="2510">
        <v>1571.9551159754997</v>
      </c>
      <c r="X223" s="2510">
        <v>1646.2523345717443</v>
      </c>
      <c r="Y223" s="2510">
        <v>1739.458529972889</v>
      </c>
      <c r="Z223" s="2510">
        <v>1893.7423938146401</v>
      </c>
      <c r="AA223" s="2510">
        <v>2001.0048197610204</v>
      </c>
      <c r="AB223" s="2510">
        <v>2095.2150316296816</v>
      </c>
      <c r="AC223" s="2510">
        <v>2264.2244703283463</v>
      </c>
      <c r="AD223" s="2510">
        <v>2474.3985841952003</v>
      </c>
      <c r="AE223" s="2510">
        <v>2405.6234561702981</v>
      </c>
      <c r="AF223" s="2510">
        <v>2608.1001104528568</v>
      </c>
      <c r="AG223" s="2510">
        <v>2863.9569735917262</v>
      </c>
      <c r="AH223" s="2510">
        <v>3109.1043277437493</v>
      </c>
      <c r="AI223" s="2511">
        <v>3333</v>
      </c>
      <c r="AJ223" s="2512">
        <v>3281</v>
      </c>
      <c r="AK223" s="2512">
        <v>3119.9139918649598</v>
      </c>
      <c r="AL223" s="2512">
        <v>3059.9581107162057</v>
      </c>
      <c r="AM223" s="2512">
        <v>2960.1548544561924</v>
      </c>
      <c r="AN223" s="2512">
        <v>2865.9831050890643</v>
      </c>
      <c r="AO223" s="2513">
        <v>7585.3704709038866</v>
      </c>
      <c r="AP223" s="2513">
        <v>7685.384437669084</v>
      </c>
      <c r="AQ223" s="2513">
        <v>7416.1320190622882</v>
      </c>
      <c r="AR223" s="2513">
        <v>8004.9492488094356</v>
      </c>
      <c r="AS223" s="2513">
        <v>9339.6909949043657</v>
      </c>
      <c r="AT223" s="2513">
        <v>11586.636679741687</v>
      </c>
      <c r="AU223" s="1056"/>
    </row>
    <row r="224" spans="1:47" customFormat="1" ht="14.4">
      <c r="A224" s="75"/>
      <c r="B224" s="77"/>
      <c r="C224" s="74"/>
      <c r="D224" s="1130" t="s">
        <v>1131</v>
      </c>
      <c r="E224" s="1139"/>
      <c r="F224" s="1137"/>
      <c r="G224" s="1137"/>
      <c r="H224" s="1137"/>
      <c r="I224" s="2510"/>
      <c r="J224" s="2510">
        <v>1829</v>
      </c>
      <c r="K224" s="2510">
        <v>2046</v>
      </c>
      <c r="L224" s="2510">
        <v>2136</v>
      </c>
      <c r="M224" s="2510">
        <v>2427</v>
      </c>
      <c r="N224" s="2510">
        <v>2318</v>
      </c>
      <c r="O224" s="2510">
        <v>2474</v>
      </c>
      <c r="P224" s="2510">
        <v>2689</v>
      </c>
      <c r="Q224" s="2510">
        <v>3720.3531479064163</v>
      </c>
      <c r="R224" s="2510">
        <v>4004.9737925494528</v>
      </c>
      <c r="S224" s="2510">
        <v>4452.5064765538709</v>
      </c>
      <c r="T224" s="2510">
        <v>4730.1542323526464</v>
      </c>
      <c r="U224" s="2510">
        <v>5077.5308765940354</v>
      </c>
      <c r="V224" s="2510">
        <v>5481.3245305753589</v>
      </c>
      <c r="W224" s="2510">
        <v>5954.8470729992978</v>
      </c>
      <c r="X224" s="2510">
        <v>6236.2982227131242</v>
      </c>
      <c r="Y224" s="2510">
        <v>6589.3799578270909</v>
      </c>
      <c r="Z224" s="2510">
        <v>7173.8348227733713</v>
      </c>
      <c r="AA224" s="2510">
        <v>7580.1640726980622</v>
      </c>
      <c r="AB224" s="2510">
        <v>7937.0492017270817</v>
      </c>
      <c r="AC224" s="2510">
        <v>8577.2871774274536</v>
      </c>
      <c r="AD224" s="2510">
        <v>9373.4643036449452</v>
      </c>
      <c r="AE224" s="2510">
        <v>9112.9318204639021</v>
      </c>
      <c r="AF224" s="2510">
        <v>9879.9495933326652</v>
      </c>
      <c r="AG224" s="2510">
        <v>10849.181142685009</v>
      </c>
      <c r="AH224" s="2510">
        <v>11777.843156943469</v>
      </c>
      <c r="AI224" s="2511">
        <v>12626</v>
      </c>
      <c r="AJ224" s="2512">
        <v>13931</v>
      </c>
      <c r="AK224" s="2512">
        <v>16194.330682544667</v>
      </c>
      <c r="AL224" s="2512">
        <v>16881.003322985071</v>
      </c>
      <c r="AM224" s="2512">
        <v>17747.738634294921</v>
      </c>
      <c r="AN224" s="2512">
        <v>18553.799284764773</v>
      </c>
      <c r="AO224" s="2513">
        <v>14474.025991074279</v>
      </c>
      <c r="AP224" s="2513">
        <v>15817.336067815308</v>
      </c>
      <c r="AQ224" s="2513">
        <v>16629.733295333241</v>
      </c>
      <c r="AR224" s="2513">
        <v>16963.897042164986</v>
      </c>
      <c r="AS224" s="2513">
        <v>16027.059155825098</v>
      </c>
      <c r="AT224" s="2513">
        <v>13590.099976465963</v>
      </c>
      <c r="AU224" s="1056"/>
    </row>
    <row r="225" spans="1:47" customFormat="1" ht="14.4">
      <c r="A225" s="75"/>
      <c r="B225" s="77"/>
      <c r="C225" s="74"/>
      <c r="D225" s="1130" t="s">
        <v>3996</v>
      </c>
      <c r="E225" s="1131"/>
      <c r="F225" s="1130"/>
      <c r="G225" s="1130"/>
      <c r="H225" s="1130"/>
      <c r="I225" s="2514"/>
      <c r="J225" s="2514">
        <v>241</v>
      </c>
      <c r="K225" s="2514">
        <v>282</v>
      </c>
      <c r="L225" s="2514">
        <v>282</v>
      </c>
      <c r="M225" s="2514">
        <v>304</v>
      </c>
      <c r="N225" s="2514">
        <v>334</v>
      </c>
      <c r="O225" s="2514">
        <v>373</v>
      </c>
      <c r="P225" s="2514">
        <v>433</v>
      </c>
      <c r="Q225" s="2514">
        <v>1933.2517823074606</v>
      </c>
      <c r="R225" s="2514">
        <v>2081.1526257656392</v>
      </c>
      <c r="S225" s="2514">
        <v>2313.7094085751582</v>
      </c>
      <c r="T225" s="2514">
        <v>2457.9868460688822</v>
      </c>
      <c r="U225" s="2514">
        <v>2638.4983432071494</v>
      </c>
      <c r="V225" s="2514">
        <v>2848.3264886032734</v>
      </c>
      <c r="W225" s="2514">
        <v>3094.3886936439403</v>
      </c>
      <c r="X225" s="2514">
        <v>3240.6425343910032</v>
      </c>
      <c r="Y225" s="2514">
        <v>3424.1186364092782</v>
      </c>
      <c r="Z225" s="2514">
        <v>3727.8259363389898</v>
      </c>
      <c r="AA225" s="2514">
        <v>3938.9716839040066</v>
      </c>
      <c r="AB225" s="2514">
        <v>4124.4241891756201</v>
      </c>
      <c r="AC225" s="2514">
        <v>4457.1187368209658</v>
      </c>
      <c r="AD225" s="2514">
        <v>4870.8458178531982</v>
      </c>
      <c r="AE225" s="2514">
        <v>4735.462194999498</v>
      </c>
      <c r="AF225" s="2514">
        <v>5134.0368510894668</v>
      </c>
      <c r="AG225" s="2514">
        <v>5637.6902801486094</v>
      </c>
      <c r="AH225" s="2510">
        <v>6120.2620745054728</v>
      </c>
      <c r="AI225" s="2512">
        <v>6561</v>
      </c>
      <c r="AJ225" s="2512">
        <v>7275</v>
      </c>
      <c r="AK225" s="2512">
        <v>9002.0689679195893</v>
      </c>
      <c r="AL225" s="2512">
        <v>9808.0944592451851</v>
      </c>
      <c r="AM225" s="2512">
        <v>10018.992973369288</v>
      </c>
      <c r="AN225" s="2512">
        <v>11132.509272957814</v>
      </c>
      <c r="AO225" s="2515">
        <v>12263.753312688841</v>
      </c>
      <c r="AP225" s="2515">
        <v>12854.662967858985</v>
      </c>
      <c r="AQ225" s="2515">
        <v>13871.609489466744</v>
      </c>
      <c r="AR225" s="2515">
        <v>14951.752022260383</v>
      </c>
      <c r="AS225" s="2515">
        <v>16545.865919786</v>
      </c>
      <c r="AT225" s="2515">
        <v>18670.877388519326</v>
      </c>
      <c r="AU225" s="1056"/>
    </row>
    <row r="226" spans="1:47" customFormat="1" ht="14.4">
      <c r="A226" s="75"/>
      <c r="B226" s="77"/>
      <c r="C226" s="74"/>
      <c r="D226" s="1140" t="s">
        <v>1132</v>
      </c>
      <c r="E226" s="1131"/>
      <c r="F226" s="1130"/>
      <c r="G226" s="1130"/>
      <c r="H226" s="1130"/>
      <c r="I226" s="2516"/>
      <c r="J226" s="2516">
        <v>238.88888888888889</v>
      </c>
      <c r="K226" s="2516">
        <v>282.85714285714289</v>
      </c>
      <c r="L226" s="2516">
        <v>277.5</v>
      </c>
      <c r="M226" s="2516">
        <v>302.56410256410254</v>
      </c>
      <c r="N226" s="2516">
        <v>335.55555555555554</v>
      </c>
      <c r="O226" s="2516">
        <v>371.69811320754718</v>
      </c>
      <c r="P226" s="2516">
        <v>435.08771929824564</v>
      </c>
      <c r="Q226" s="2516">
        <v>1933.2517823074606</v>
      </c>
      <c r="R226" s="2516">
        <v>2081.1526257656392</v>
      </c>
      <c r="S226" s="2516">
        <v>2313.7094085751582</v>
      </c>
      <c r="T226" s="2516">
        <v>2457.9868460688826</v>
      </c>
      <c r="U226" s="2516">
        <v>2638.4983432071499</v>
      </c>
      <c r="V226" s="2516">
        <v>2291.0259989625001</v>
      </c>
      <c r="W226" s="2516">
        <v>2402.0413972601277</v>
      </c>
      <c r="X226" s="2516">
        <v>2380.0660652154716</v>
      </c>
      <c r="Y226" s="2516">
        <v>2419.8049741042369</v>
      </c>
      <c r="Z226" s="2516">
        <v>2734.953368505875</v>
      </c>
      <c r="AA226" s="2516">
        <v>3007.1501487619066</v>
      </c>
      <c r="AB226" s="2516">
        <v>3210.9683538470576</v>
      </c>
      <c r="AC226" s="2516">
        <v>3351.7501615325718</v>
      </c>
      <c r="AD226" s="2516">
        <v>3579.3308451735306</v>
      </c>
      <c r="AE226" s="2516">
        <v>3313.1997827375067</v>
      </c>
      <c r="AF226" s="2516">
        <v>3468.3747237022017</v>
      </c>
      <c r="AG226" s="2516">
        <v>4056.2996512008835</v>
      </c>
      <c r="AH226" s="2516">
        <v>4596.069204968946</v>
      </c>
      <c r="AI226" s="2511">
        <v>5061.8243422075848</v>
      </c>
      <c r="AJ226" s="2512">
        <v>3664.8076288654911</v>
      </c>
      <c r="AK226" s="2512">
        <v>5204.3879638268563</v>
      </c>
      <c r="AL226" s="2512">
        <v>5677.7143990604327</v>
      </c>
      <c r="AM226" s="2512">
        <v>5508.8330783047941</v>
      </c>
      <c r="AN226" s="2512">
        <v>6146.0473094515019</v>
      </c>
      <c r="AO226" s="2513">
        <v>6984.6339017469918</v>
      </c>
      <c r="AP226" s="2513">
        <v>7478.222891675935</v>
      </c>
      <c r="AQ226" s="2513">
        <v>11352.58440714823</v>
      </c>
      <c r="AR226" s="2513">
        <v>12181.074631958765</v>
      </c>
      <c r="AS226" s="2513">
        <v>13218.743643396911</v>
      </c>
      <c r="AT226" s="2513">
        <v>14504.301346782328</v>
      </c>
      <c r="AU226" s="1056"/>
    </row>
    <row r="227" spans="1:47" customFormat="1" ht="14.4">
      <c r="A227" s="75"/>
      <c r="B227" s="77"/>
      <c r="C227" s="74"/>
      <c r="D227" s="1130" t="s">
        <v>3997</v>
      </c>
      <c r="E227" s="1131" t="s">
        <v>3998</v>
      </c>
      <c r="F227" s="1130"/>
      <c r="G227" s="1130"/>
      <c r="H227" s="1130"/>
      <c r="I227" s="2510"/>
      <c r="J227" s="2510">
        <v>238.88888888888889</v>
      </c>
      <c r="K227" s="2510">
        <v>282.85714285714289</v>
      </c>
      <c r="L227" s="2510">
        <v>277.5</v>
      </c>
      <c r="M227" s="2510">
        <v>302.56410256410254</v>
      </c>
      <c r="N227" s="2510">
        <v>335.55555555555554</v>
      </c>
      <c r="O227" s="2510">
        <v>371.69811320754718</v>
      </c>
      <c r="P227" s="2510">
        <v>435.08771929824564</v>
      </c>
      <c r="Q227" s="2510">
        <v>1933.2517823074606</v>
      </c>
      <c r="R227" s="2510">
        <v>2081.1526257656392</v>
      </c>
      <c r="S227" s="2510">
        <v>2313.7094085751582</v>
      </c>
      <c r="T227" s="2510">
        <v>2457.9868460688826</v>
      </c>
      <c r="U227" s="2510">
        <v>2638.4983432071499</v>
      </c>
      <c r="V227" s="2510">
        <v>2848.3264886032734</v>
      </c>
      <c r="W227" s="2510">
        <v>3094.3886936439403</v>
      </c>
      <c r="X227" s="2510">
        <v>3240.6425343910037</v>
      </c>
      <c r="Y227" s="2510">
        <v>3424.1186364092782</v>
      </c>
      <c r="Z227" s="2510">
        <v>3593.6860822800918</v>
      </c>
      <c r="AA227" s="2510">
        <v>3660.2678512300017</v>
      </c>
      <c r="AB227" s="2510">
        <v>4109.5991891756203</v>
      </c>
      <c r="AC227" s="2510">
        <v>4394.9627828209659</v>
      </c>
      <c r="AD227" s="2510">
        <v>4845.3108178531984</v>
      </c>
      <c r="AE227" s="2510">
        <v>4658.2901949994975</v>
      </c>
      <c r="AF227" s="2510">
        <v>5032.7858510894675</v>
      </c>
      <c r="AG227" s="2510">
        <v>5545.0122801486086</v>
      </c>
      <c r="AH227" s="2510">
        <v>5873.1550745054719</v>
      </c>
      <c r="AI227" s="2511">
        <v>6453.1718716082542</v>
      </c>
      <c r="AJ227" s="2512">
        <v>7129.9386927755659</v>
      </c>
      <c r="AK227" s="2512">
        <v>8034.2811159951743</v>
      </c>
      <c r="AL227" s="2512">
        <v>8843.5144631750645</v>
      </c>
      <c r="AM227" s="2512">
        <v>9777.8576517729598</v>
      </c>
      <c r="AN227" s="2512">
        <v>11127.224976881687</v>
      </c>
      <c r="AO227" s="2513">
        <v>12263.753312688841</v>
      </c>
      <c r="AP227" s="2513">
        <v>12854.662967858985</v>
      </c>
      <c r="AQ227" s="2513">
        <v>13871.609489466744</v>
      </c>
      <c r="AR227" s="2513">
        <v>14951.752022260383</v>
      </c>
      <c r="AS227" s="2513">
        <v>16545.865919786</v>
      </c>
      <c r="AT227" s="2513">
        <v>18670.877388519326</v>
      </c>
      <c r="AU227" s="1056"/>
    </row>
    <row r="228" spans="1:47" customFormat="1" ht="14.4">
      <c r="A228" s="75"/>
      <c r="B228" s="77"/>
      <c r="C228" s="74"/>
      <c r="D228" s="1130" t="s">
        <v>3999</v>
      </c>
      <c r="E228" s="1131"/>
      <c r="F228" s="1130"/>
      <c r="G228" s="1130"/>
      <c r="H228" s="1130"/>
      <c r="I228" s="2510"/>
      <c r="J228" s="2510">
        <v>257.52980851386059</v>
      </c>
      <c r="K228" s="2510">
        <v>254.0440367802731</v>
      </c>
      <c r="L228" s="2510">
        <v>250.5689203077398</v>
      </c>
      <c r="M228" s="2510">
        <v>248.2301810420193</v>
      </c>
      <c r="N228" s="2510">
        <v>280.84925143995889</v>
      </c>
      <c r="O228" s="2510">
        <v>341.1556841747763</v>
      </c>
      <c r="P228" s="2510">
        <v>444.58575517022052</v>
      </c>
      <c r="Q228" s="2510">
        <v>1078.2784793257069</v>
      </c>
      <c r="R228" s="2510">
        <v>1323.1307717530383</v>
      </c>
      <c r="S228" s="2510">
        <v>1686.0096710219657</v>
      </c>
      <c r="T228" s="2510">
        <v>1846.164351073804</v>
      </c>
      <c r="U228" s="2510">
        <v>1993.470934857437</v>
      </c>
      <c r="V228" s="2510">
        <v>2241.0245541635618</v>
      </c>
      <c r="W228" s="2510">
        <v>2489.1607759105136</v>
      </c>
      <c r="X228" s="2510">
        <v>2540.905591926396</v>
      </c>
      <c r="Y228" s="2510">
        <v>2677.9205677196474</v>
      </c>
      <c r="Z228" s="2510">
        <v>2683.6685912504959</v>
      </c>
      <c r="AA228" s="2510">
        <v>2631.5685103758506</v>
      </c>
      <c r="AB228" s="2510">
        <v>3008.4860452864687</v>
      </c>
      <c r="AC228" s="2510">
        <v>3134.5973933641149</v>
      </c>
      <c r="AD228" s="2510">
        <v>3439.9889083802509</v>
      </c>
      <c r="AE228" s="2510">
        <v>3391.5353225636891</v>
      </c>
      <c r="AF228" s="2510">
        <v>3627.2666712700839</v>
      </c>
      <c r="AG228" s="2510">
        <v>4442.3689039949795</v>
      </c>
      <c r="AH228" s="2510">
        <v>4647.9620233344667</v>
      </c>
      <c r="AI228" s="2511">
        <v>4878.6932065983128</v>
      </c>
      <c r="AJ228" s="2512">
        <v>5226.0661534248811</v>
      </c>
      <c r="AK228" s="2512">
        <v>5962.694389374089</v>
      </c>
      <c r="AL228" s="2512">
        <v>6695.7761763731269</v>
      </c>
      <c r="AM228" s="2512">
        <v>7608.3803853120644</v>
      </c>
      <c r="AN228" s="2512">
        <v>8893.3454547381079</v>
      </c>
      <c r="AO228" s="2513">
        <v>10002.573343548731</v>
      </c>
      <c r="AP228" s="2513">
        <v>10504.335428748844</v>
      </c>
      <c r="AQ228" s="2513">
        <v>10398.983719079299</v>
      </c>
      <c r="AR228" s="2513">
        <v>11380.828580515732</v>
      </c>
      <c r="AS228" s="2513">
        <v>12799.653334826402</v>
      </c>
      <c r="AT228" s="2513">
        <v>14695.093621614691</v>
      </c>
      <c r="AU228" s="1056"/>
    </row>
    <row r="229" spans="1:47" customFormat="1" ht="14.4">
      <c r="A229" s="75"/>
      <c r="B229" s="77"/>
      <c r="C229" s="74"/>
      <c r="D229" s="1130" t="s">
        <v>3889</v>
      </c>
      <c r="E229" s="1131"/>
      <c r="F229" s="1130"/>
      <c r="G229" s="1130"/>
      <c r="H229" s="1130"/>
      <c r="I229" s="2510"/>
      <c r="J229" s="2510">
        <v>0</v>
      </c>
      <c r="K229" s="2510">
        <v>0</v>
      </c>
      <c r="L229" s="2510">
        <v>0</v>
      </c>
      <c r="M229" s="2510">
        <v>0</v>
      </c>
      <c r="N229" s="2510">
        <v>0</v>
      </c>
      <c r="O229" s="2510">
        <v>0</v>
      </c>
      <c r="P229" s="2510">
        <v>0</v>
      </c>
      <c r="Q229" s="2510">
        <v>0</v>
      </c>
      <c r="R229" s="2510">
        <v>0</v>
      </c>
      <c r="S229" s="2510">
        <v>0</v>
      </c>
      <c r="T229" s="2510">
        <v>0</v>
      </c>
      <c r="U229" s="2510">
        <v>0</v>
      </c>
      <c r="V229" s="2510">
        <v>438.47644795269963</v>
      </c>
      <c r="W229" s="2510">
        <v>556.93188674266094</v>
      </c>
      <c r="X229" s="2510">
        <v>674.75617554322673</v>
      </c>
      <c r="Y229" s="2510">
        <v>785.44948300881458</v>
      </c>
      <c r="Z229" s="2510">
        <v>741.4506621895539</v>
      </c>
      <c r="AA229" s="2510">
        <v>669.9379140644071</v>
      </c>
      <c r="AB229" s="2510">
        <v>668.70733788584971</v>
      </c>
      <c r="AC229" s="2510">
        <v>788.37651785110711</v>
      </c>
      <c r="AD229" s="2510">
        <v>916.92717929570085</v>
      </c>
      <c r="AE229" s="2510">
        <v>1035.4986501955582</v>
      </c>
      <c r="AF229" s="2510">
        <v>1200.4883376789737</v>
      </c>
      <c r="AG229" s="2510">
        <v>1266.9260589839776</v>
      </c>
      <c r="AH229" s="2510">
        <v>1206.2325077359674</v>
      </c>
      <c r="AI229" s="2511">
        <v>1133.398930431187</v>
      </c>
      <c r="AJ229" s="2512">
        <v>2619.6224081892265</v>
      </c>
      <c r="AK229" s="2512">
        <v>2804.9477101212724</v>
      </c>
      <c r="AL229" s="2512">
        <v>3118.0036256624558</v>
      </c>
      <c r="AM229" s="2512">
        <v>3502.8313663264503</v>
      </c>
      <c r="AN229" s="2512">
        <v>3979.4865936383489</v>
      </c>
      <c r="AO229" s="2513">
        <v>4297.2338089307468</v>
      </c>
      <c r="AP229" s="2513">
        <v>4372.5733732206336</v>
      </c>
      <c r="AQ229" s="2513">
        <v>1876.6883094504494</v>
      </c>
      <c r="AR229" s="2513">
        <v>2094.3406830584499</v>
      </c>
      <c r="AS229" s="2513">
        <v>2554.912311867929</v>
      </c>
      <c r="AT229" s="2513">
        <v>3254.860164129072</v>
      </c>
      <c r="AU229" s="1056"/>
    </row>
    <row r="230" spans="1:47" customFormat="1" ht="14.4">
      <c r="A230" s="75"/>
      <c r="B230" s="77"/>
      <c r="C230" s="74"/>
      <c r="D230" s="1130" t="s">
        <v>3890</v>
      </c>
      <c r="E230" s="1131"/>
      <c r="F230" s="1130"/>
      <c r="G230" s="1130"/>
      <c r="H230" s="1130"/>
      <c r="I230" s="2510"/>
      <c r="J230" s="2510">
        <v>257.52980851386059</v>
      </c>
      <c r="K230" s="2510">
        <v>254.0440367802731</v>
      </c>
      <c r="L230" s="2510">
        <v>250.5689203077398</v>
      </c>
      <c r="M230" s="2510">
        <v>248.2301810420193</v>
      </c>
      <c r="N230" s="2510">
        <v>280.84925143995889</v>
      </c>
      <c r="O230" s="2510">
        <v>341.1556841747763</v>
      </c>
      <c r="P230" s="2510">
        <v>444.58575517022052</v>
      </c>
      <c r="Q230" s="2510">
        <v>1078.2784793257069</v>
      </c>
      <c r="R230" s="2510">
        <v>1323.1307717530383</v>
      </c>
      <c r="S230" s="2510">
        <v>1686.0096710219657</v>
      </c>
      <c r="T230" s="2510">
        <v>1846.164351073804</v>
      </c>
      <c r="U230" s="2510">
        <v>1993.470934857437</v>
      </c>
      <c r="V230" s="2510">
        <v>1802.548106210862</v>
      </c>
      <c r="W230" s="2510">
        <v>1932.2288891678529</v>
      </c>
      <c r="X230" s="2510">
        <v>1866.1494163831694</v>
      </c>
      <c r="Y230" s="2510">
        <v>1892.4710847108327</v>
      </c>
      <c r="Z230" s="2510">
        <v>1942.217929060942</v>
      </c>
      <c r="AA230" s="2510">
        <v>1961.6305963114437</v>
      </c>
      <c r="AB230" s="2510">
        <v>2339.7787074006192</v>
      </c>
      <c r="AC230" s="2510">
        <v>2346.2208755130077</v>
      </c>
      <c r="AD230" s="2510">
        <v>2523.0617290845503</v>
      </c>
      <c r="AE230" s="2510">
        <v>2356.0366723681309</v>
      </c>
      <c r="AF230" s="2510">
        <v>2426.7783335911104</v>
      </c>
      <c r="AG230" s="2510">
        <v>3175.4428450110017</v>
      </c>
      <c r="AH230" s="2510">
        <v>3441.7295155984998</v>
      </c>
      <c r="AI230" s="2511">
        <v>3745.2942761671256</v>
      </c>
      <c r="AJ230" s="2512">
        <v>2606.4437452356542</v>
      </c>
      <c r="AK230" s="2512">
        <v>3157.7466792528166</v>
      </c>
      <c r="AL230" s="2512">
        <v>3577.7725507106711</v>
      </c>
      <c r="AM230" s="2512">
        <v>4105.5490189856146</v>
      </c>
      <c r="AN230" s="2512">
        <v>4913.8588610997595</v>
      </c>
      <c r="AO230" s="2513">
        <v>5705.3395346179841</v>
      </c>
      <c r="AP230" s="2513">
        <v>6131.7620555282101</v>
      </c>
      <c r="AQ230" s="2513">
        <v>8522.2954096288486</v>
      </c>
      <c r="AR230" s="2513">
        <v>9286.4878974572821</v>
      </c>
      <c r="AS230" s="2513">
        <v>10244.741022958473</v>
      </c>
      <c r="AT230" s="2513">
        <v>11440.23345748562</v>
      </c>
      <c r="AU230" s="1056"/>
    </row>
    <row r="231" spans="1:47" customFormat="1" ht="14.4">
      <c r="A231" s="75"/>
      <c r="B231" s="77"/>
      <c r="C231" s="74"/>
      <c r="D231" s="1137" t="s">
        <v>3891</v>
      </c>
      <c r="E231" s="1131"/>
      <c r="F231" s="1130"/>
      <c r="G231" s="1130"/>
      <c r="H231" s="1130"/>
      <c r="I231" s="2510"/>
      <c r="J231" s="2510">
        <v>39</v>
      </c>
      <c r="K231" s="2510">
        <v>43</v>
      </c>
      <c r="L231" s="2510">
        <v>63</v>
      </c>
      <c r="M231" s="2510">
        <v>58</v>
      </c>
      <c r="N231" s="2510">
        <v>89</v>
      </c>
      <c r="O231" s="2510">
        <v>143</v>
      </c>
      <c r="P231" s="2510">
        <v>175</v>
      </c>
      <c r="Q231" s="2510">
        <v>513.29280048197609</v>
      </c>
      <c r="R231" s="2510">
        <v>624.42097600160662</v>
      </c>
      <c r="S231" s="2510">
        <v>795.51857616226528</v>
      </c>
      <c r="T231" s="2510">
        <v>905.22567526860132</v>
      </c>
      <c r="U231" s="2510">
        <v>1002.9957325032634</v>
      </c>
      <c r="V231" s="2510">
        <v>1160.7352143789537</v>
      </c>
      <c r="W231" s="2510">
        <v>1319.3273421026208</v>
      </c>
      <c r="X231" s="2510">
        <v>1417.6658299026008</v>
      </c>
      <c r="Y231" s="2510">
        <v>1576.8263881915855</v>
      </c>
      <c r="Z231" s="2510">
        <v>1728.3131338487801</v>
      </c>
      <c r="AA231" s="2510">
        <v>1923.5690330354453</v>
      </c>
      <c r="AB231" s="2510">
        <v>2166.0046691434882</v>
      </c>
      <c r="AC231" s="2510">
        <v>2361.8289988954716</v>
      </c>
      <c r="AD231" s="2510">
        <v>2688.9607892358672</v>
      </c>
      <c r="AE231" s="2510">
        <v>2811.7417913445124</v>
      </c>
      <c r="AF231" s="2510">
        <v>3161.895019580279</v>
      </c>
      <c r="AG231" s="2510">
        <v>4025.6252635806809</v>
      </c>
      <c r="AH231" s="2510">
        <v>4881.6816949492923</v>
      </c>
      <c r="AI231" s="2511">
        <v>5661</v>
      </c>
      <c r="AJ231" s="2512">
        <v>5041</v>
      </c>
      <c r="AK231" s="2512">
        <v>5969.4678644725391</v>
      </c>
      <c r="AL231" s="2512">
        <v>6809.0665553468234</v>
      </c>
      <c r="AM231" s="2512">
        <v>7674.4439242501985</v>
      </c>
      <c r="AN231" s="2512">
        <v>8516.0723521130094</v>
      </c>
      <c r="AO231" s="2513">
        <v>9158.8456421133887</v>
      </c>
      <c r="AP231" s="2513">
        <v>10033.78904873443</v>
      </c>
      <c r="AQ231" s="2513">
        <v>12022.212675085113</v>
      </c>
      <c r="AR231" s="2513">
        <v>13219.812984492932</v>
      </c>
      <c r="AS231" s="2513">
        <v>14552.218123325874</v>
      </c>
      <c r="AT231" s="2513">
        <v>16035.970203544661</v>
      </c>
      <c r="AU231" s="1056"/>
    </row>
    <row r="232" spans="1:47" customFormat="1" ht="14.4">
      <c r="A232" s="75"/>
      <c r="B232" s="77"/>
      <c r="C232" s="74"/>
      <c r="D232" s="1137" t="s">
        <v>3892</v>
      </c>
      <c r="E232" s="1131"/>
      <c r="F232" s="1130"/>
      <c r="G232" s="1130"/>
      <c r="H232" s="1130"/>
      <c r="I232" s="2510"/>
      <c r="J232" s="2510">
        <v>158</v>
      </c>
      <c r="K232" s="2510">
        <v>178</v>
      </c>
      <c r="L232" s="2510">
        <v>191</v>
      </c>
      <c r="M232" s="2510">
        <v>200</v>
      </c>
      <c r="N232" s="2510">
        <v>248</v>
      </c>
      <c r="O232" s="2510">
        <v>317</v>
      </c>
      <c r="P232" s="2510">
        <v>385</v>
      </c>
      <c r="Q232" s="2510">
        <v>781.40917762827598</v>
      </c>
      <c r="R232" s="2510">
        <v>950.58469725876091</v>
      </c>
      <c r="S232" s="2510">
        <v>1211.0544231348529</v>
      </c>
      <c r="T232" s="2510">
        <v>1378.0665729490913</v>
      </c>
      <c r="U232" s="2510">
        <v>1526.9064163068581</v>
      </c>
      <c r="V232" s="2510">
        <v>1767.0404659102319</v>
      </c>
      <c r="W232" s="2510">
        <v>2008.4725374033537</v>
      </c>
      <c r="X232" s="2510">
        <v>2158.177728687619</v>
      </c>
      <c r="Y232" s="2510">
        <v>2400.4751481072399</v>
      </c>
      <c r="Z232" s="2510">
        <v>2631.0903705191286</v>
      </c>
      <c r="AA232" s="2510">
        <v>2928.3373832714128</v>
      </c>
      <c r="AB232" s="2510">
        <v>3297.4082739230848</v>
      </c>
      <c r="AC232" s="2510">
        <v>3595.5206346018676</v>
      </c>
      <c r="AD232" s="2510">
        <v>4093.5283663018377</v>
      </c>
      <c r="AE232" s="2510">
        <v>4280.4435184255444</v>
      </c>
      <c r="AF232" s="2510">
        <v>4813.49784114871</v>
      </c>
      <c r="AG232" s="2510">
        <v>6128.3940154634001</v>
      </c>
      <c r="AH232" s="2510">
        <v>7431.6079927703586</v>
      </c>
      <c r="AI232" s="2512">
        <v>8618</v>
      </c>
      <c r="AJ232" s="2512">
        <v>8213</v>
      </c>
      <c r="AK232" s="2512">
        <v>9984.5196799405167</v>
      </c>
      <c r="AL232" s="2512">
        <v>10836.909782839386</v>
      </c>
      <c r="AM232" s="2512">
        <v>10957.080081156651</v>
      </c>
      <c r="AN232" s="2512">
        <v>11849.256683507638</v>
      </c>
      <c r="AO232" s="2513">
        <v>12266.616156610842</v>
      </c>
      <c r="AP232" s="2513">
        <v>12958.167346382428</v>
      </c>
      <c r="AQ232" s="2513">
        <v>15329.57509651536</v>
      </c>
      <c r="AR232" s="2513">
        <v>16402.341307679864</v>
      </c>
      <c r="AS232" s="2513">
        <v>17424.394543526825</v>
      </c>
      <c r="AT232" s="2513">
        <v>18350.141582225544</v>
      </c>
      <c r="AU232" s="1056"/>
    </row>
    <row r="233" spans="1:47" customFormat="1" ht="14.4">
      <c r="A233" s="75"/>
      <c r="B233" s="77"/>
      <c r="C233" s="74"/>
      <c r="D233" s="1137" t="s">
        <v>99</v>
      </c>
      <c r="E233" s="1131"/>
      <c r="F233" s="1130"/>
      <c r="G233" s="1130"/>
      <c r="H233" s="1130"/>
      <c r="I233" s="2517"/>
      <c r="J233" s="2517"/>
      <c r="K233" s="2517"/>
      <c r="L233" s="2517"/>
      <c r="M233" s="2517"/>
      <c r="N233" s="2517"/>
      <c r="O233" s="2517"/>
      <c r="P233" s="2517"/>
      <c r="Q233" s="2517"/>
      <c r="R233" s="2517"/>
      <c r="S233" s="2517"/>
      <c r="T233" s="2517"/>
      <c r="U233" s="2517"/>
      <c r="V233" s="2517">
        <v>0.25</v>
      </c>
      <c r="W233" s="2477">
        <v>0.25</v>
      </c>
      <c r="X233" s="2477">
        <v>0.25</v>
      </c>
      <c r="Y233" s="2477">
        <v>0.25</v>
      </c>
      <c r="Z233" s="2477">
        <v>0.255</v>
      </c>
      <c r="AA233" s="2477">
        <v>0.26</v>
      </c>
      <c r="AB233" s="2477">
        <v>0.26500000000000001</v>
      </c>
      <c r="AC233" s="2477">
        <v>0.27</v>
      </c>
      <c r="AD233" s="2477">
        <v>0.27500000000000002</v>
      </c>
      <c r="AE233" s="2477">
        <v>0.28000000000000003</v>
      </c>
      <c r="AF233" s="2477">
        <v>0.28500000000000003</v>
      </c>
      <c r="AG233" s="2477">
        <v>0.29000000000000004</v>
      </c>
      <c r="AH233" s="2477">
        <v>0.29500000000000004</v>
      </c>
      <c r="AI233" s="2518">
        <v>0.29500000000000004</v>
      </c>
      <c r="AJ233" s="2518">
        <v>0.29500000000000004</v>
      </c>
      <c r="AK233" s="2518">
        <v>0.29500000000000004</v>
      </c>
      <c r="AL233" s="2518">
        <v>0.29500000000000004</v>
      </c>
      <c r="AM233" s="2518">
        <v>0.29500000000000004</v>
      </c>
      <c r="AN233" s="2518">
        <v>0.29500000000000004</v>
      </c>
      <c r="AO233" s="2481">
        <v>0.29500000000000004</v>
      </c>
      <c r="AP233" s="2481">
        <v>0.29500000000000004</v>
      </c>
      <c r="AQ233" s="2481">
        <v>0.29500000000000004</v>
      </c>
      <c r="AR233" s="2481">
        <v>0.29500000000000004</v>
      </c>
      <c r="AS233" s="2481">
        <v>0.29500000000000004</v>
      </c>
      <c r="AT233" s="2481">
        <v>0.29500000000000004</v>
      </c>
      <c r="AU233" s="1056"/>
    </row>
    <row r="234" spans="1:47" customFormat="1" ht="14.4">
      <c r="A234" s="75"/>
      <c r="B234" s="77"/>
      <c r="C234" s="74"/>
      <c r="D234" s="1137" t="s">
        <v>3893</v>
      </c>
      <c r="E234" s="1131"/>
      <c r="F234" s="1130"/>
      <c r="G234" s="1130"/>
      <c r="H234" s="1130"/>
      <c r="I234" s="2517"/>
      <c r="J234" s="2517"/>
      <c r="K234" s="2517"/>
      <c r="L234" s="2517"/>
      <c r="M234" s="2517"/>
      <c r="N234" s="2517"/>
      <c r="O234" s="2517"/>
      <c r="P234" s="2517"/>
      <c r="Q234" s="2517"/>
      <c r="R234" s="2517"/>
      <c r="S234" s="2517"/>
      <c r="T234" s="2517"/>
      <c r="U234" s="2517"/>
      <c r="V234" s="2517">
        <v>0.10863723736388543</v>
      </c>
      <c r="W234" s="2476">
        <v>0.10195264974609426</v>
      </c>
      <c r="X234" s="2476">
        <v>0.10179556868604205</v>
      </c>
      <c r="Y234" s="2476">
        <v>9.8361661572101605E-2</v>
      </c>
      <c r="Z234" s="2476">
        <v>0.12408187631771549</v>
      </c>
      <c r="AA234" s="2476">
        <v>0.13987627422588872</v>
      </c>
      <c r="AB234" s="2476">
        <v>0.11250490295991991</v>
      </c>
      <c r="AC234" s="2476">
        <v>0.10586985532910853</v>
      </c>
      <c r="AD234" s="2476">
        <v>0.10586985532910853</v>
      </c>
      <c r="AE234" s="2477">
        <v>0.10586985532910853</v>
      </c>
      <c r="AF234" s="2477">
        <v>0.10586985532910853</v>
      </c>
      <c r="AG234" s="2477">
        <v>0.10586985532910853</v>
      </c>
      <c r="AH234" s="2477">
        <v>0.10586985532910853</v>
      </c>
      <c r="AI234" s="2518">
        <v>0.10566572892622152</v>
      </c>
      <c r="AJ234" s="2518">
        <v>0.10566572892622152</v>
      </c>
      <c r="AK234" s="2518">
        <v>0.10566572892622152</v>
      </c>
      <c r="AL234" s="2518">
        <v>0.10566572892622152</v>
      </c>
      <c r="AM234" s="2518">
        <v>0.10566572892622152</v>
      </c>
      <c r="AN234" s="2518">
        <v>0.10566572892622152</v>
      </c>
      <c r="AO234" s="2481">
        <v>0.10566572892622152</v>
      </c>
      <c r="AP234" s="2481">
        <v>0.10566572892622152</v>
      </c>
      <c r="AQ234" s="2481">
        <v>0.10566572892622152</v>
      </c>
      <c r="AR234" s="2481">
        <v>0.10566572892622152</v>
      </c>
      <c r="AS234" s="2481">
        <v>0.10566572892622152</v>
      </c>
      <c r="AT234" s="2481">
        <v>0.10566572892622152</v>
      </c>
      <c r="AU234" s="1056"/>
    </row>
    <row r="235" spans="1:47" customFormat="1" ht="14.4">
      <c r="A235" s="75"/>
      <c r="B235" s="77"/>
      <c r="C235" s="74"/>
      <c r="D235" s="1137" t="s">
        <v>3894</v>
      </c>
      <c r="E235" s="1131"/>
      <c r="F235" s="1130"/>
      <c r="G235" s="1130"/>
      <c r="H235" s="1130"/>
      <c r="I235" s="2517"/>
      <c r="J235" s="2517"/>
      <c r="K235" s="2517"/>
      <c r="L235" s="2517"/>
      <c r="M235" s="2517"/>
      <c r="N235" s="2517"/>
      <c r="O235" s="2517"/>
      <c r="P235" s="2517"/>
      <c r="Q235" s="2517"/>
      <c r="R235" s="2517"/>
      <c r="S235" s="2517"/>
      <c r="T235" s="2517"/>
      <c r="U235" s="2517"/>
      <c r="V235" s="2517">
        <v>0.22693962995736153</v>
      </c>
      <c r="W235" s="2476">
        <v>0.2424462955319808</v>
      </c>
      <c r="X235" s="2476">
        <v>0.24305560649556626</v>
      </c>
      <c r="Y235" s="2476">
        <v>0.29177732779400911</v>
      </c>
      <c r="Z235" s="2476">
        <v>0.29177732779400911</v>
      </c>
      <c r="AA235" s="2476">
        <v>0.29177732779400911</v>
      </c>
      <c r="AB235" s="2476">
        <v>0.29177732779400911</v>
      </c>
      <c r="AC235" s="2476">
        <v>0.29177732779400911</v>
      </c>
      <c r="AD235" s="2476">
        <v>0.29177732779400911</v>
      </c>
      <c r="AE235" s="2477">
        <v>0.29177732779400911</v>
      </c>
      <c r="AF235" s="2477">
        <v>0.29177732779400911</v>
      </c>
      <c r="AG235" s="2477">
        <v>0.29177732779400911</v>
      </c>
      <c r="AH235" s="2477">
        <v>0.29177732779400911</v>
      </c>
      <c r="AI235" s="2518">
        <v>0.49363456393539679</v>
      </c>
      <c r="AJ235" s="2518">
        <v>0.49363456393539679</v>
      </c>
      <c r="AK235" s="2518">
        <v>0.49363456393539679</v>
      </c>
      <c r="AL235" s="2518">
        <v>0.49363456393539679</v>
      </c>
      <c r="AM235" s="2518">
        <v>0.49363456393539679</v>
      </c>
      <c r="AN235" s="2518">
        <v>0.49363456393539679</v>
      </c>
      <c r="AO235" s="2481">
        <v>0.49363456393539679</v>
      </c>
      <c r="AP235" s="2481">
        <v>0.49363456393539679</v>
      </c>
      <c r="AQ235" s="2481">
        <v>0.48351094038799447</v>
      </c>
      <c r="AR235" s="2481">
        <v>0.48351094038799447</v>
      </c>
      <c r="AS235" s="2481">
        <v>0.48351094038799447</v>
      </c>
      <c r="AT235" s="2481">
        <v>0.48351094038799447</v>
      </c>
      <c r="AU235" s="1056"/>
    </row>
    <row r="236" spans="1:47" customFormat="1" ht="14.4">
      <c r="A236" s="75"/>
      <c r="B236" s="77"/>
      <c r="C236" s="74"/>
      <c r="D236" s="1137" t="s">
        <v>3895</v>
      </c>
      <c r="E236" s="1131"/>
      <c r="F236" s="1130"/>
      <c r="G236" s="1130"/>
      <c r="H236" s="1130"/>
      <c r="I236" s="2519"/>
      <c r="J236" s="2519"/>
      <c r="K236" s="2519"/>
      <c r="L236" s="2519"/>
      <c r="M236" s="2519"/>
      <c r="N236" s="2519"/>
      <c r="O236" s="2519"/>
      <c r="P236" s="2519"/>
      <c r="Q236" s="2519"/>
      <c r="R236" s="2519"/>
      <c r="S236" s="2519"/>
      <c r="T236" s="2519"/>
      <c r="U236" s="2519"/>
      <c r="V236" s="2519">
        <v>0.22693962995736153</v>
      </c>
      <c r="W236" s="2476">
        <v>0.2424462955319808</v>
      </c>
      <c r="X236" s="2476">
        <v>0.24305560649556626</v>
      </c>
      <c r="Y236" s="2476">
        <v>0.25994707385284449</v>
      </c>
      <c r="Z236" s="2476">
        <v>0.25994707385284449</v>
      </c>
      <c r="AA236" s="2476">
        <v>0.25994707385284449</v>
      </c>
      <c r="AB236" s="2476">
        <v>0.25994707385284449</v>
      </c>
      <c r="AC236" s="2476">
        <v>0.25994707385284449</v>
      </c>
      <c r="AD236" s="2476">
        <v>0.25994707385284449</v>
      </c>
      <c r="AE236" s="2477">
        <v>0.25994707385284449</v>
      </c>
      <c r="AF236" s="2477">
        <v>0.25994707385284449</v>
      </c>
      <c r="AG236" s="2477">
        <v>0.25994707385284449</v>
      </c>
      <c r="AH236" s="2477">
        <v>0.25994707385284449</v>
      </c>
      <c r="AI236" s="2518">
        <v>0.43978352059698989</v>
      </c>
      <c r="AJ236" s="2518">
        <v>0.43978352059698989</v>
      </c>
      <c r="AK236" s="2518">
        <v>0.43978352059698989</v>
      </c>
      <c r="AL236" s="2518">
        <v>0.43978352059698989</v>
      </c>
      <c r="AM236" s="2518">
        <v>0.43978352059698989</v>
      </c>
      <c r="AN236" s="2518">
        <v>0.43978352059698989</v>
      </c>
      <c r="AO236" s="2481">
        <v>0.43978352059698989</v>
      </c>
      <c r="AP236" s="2481">
        <v>0.43978352059698989</v>
      </c>
      <c r="AQ236" s="2481">
        <v>0.43076429234566782</v>
      </c>
      <c r="AR236" s="2481">
        <v>0.43076429234566782</v>
      </c>
      <c r="AS236" s="2481">
        <v>0.43076429234566782</v>
      </c>
      <c r="AT236" s="2481">
        <v>0.43076429234566782</v>
      </c>
      <c r="AU236" s="1056"/>
    </row>
    <row r="237" spans="1:47" customFormat="1" ht="14.4">
      <c r="A237" s="75"/>
      <c r="B237" s="77"/>
      <c r="C237" s="74"/>
      <c r="D237" s="1137" t="s">
        <v>3896</v>
      </c>
      <c r="E237" s="1131"/>
      <c r="F237" s="1130"/>
      <c r="G237" s="1130"/>
      <c r="H237" s="1130"/>
      <c r="I237" s="2519"/>
      <c r="J237" s="2519"/>
      <c r="K237" s="2519"/>
      <c r="L237" s="2519"/>
      <c r="M237" s="2519"/>
      <c r="N237" s="2519"/>
      <c r="O237" s="2519"/>
      <c r="P237" s="2519"/>
      <c r="Q237" s="2519"/>
      <c r="R237" s="2519"/>
      <c r="S237" s="2519"/>
      <c r="T237" s="2519"/>
      <c r="U237" s="2519"/>
      <c r="V237" s="2519">
        <v>0.25</v>
      </c>
      <c r="W237" s="2476">
        <v>0.25</v>
      </c>
      <c r="X237" s="2477">
        <v>0.25</v>
      </c>
      <c r="Y237" s="2477">
        <v>0.25</v>
      </c>
      <c r="Z237" s="2477">
        <v>0.25</v>
      </c>
      <c r="AA237" s="2477">
        <v>0.25</v>
      </c>
      <c r="AB237" s="2477">
        <v>0.25</v>
      </c>
      <c r="AC237" s="2477">
        <v>0.25</v>
      </c>
      <c r="AD237" s="2477">
        <v>0.25</v>
      </c>
      <c r="AE237" s="2477">
        <v>0.25</v>
      </c>
      <c r="AF237" s="2477">
        <v>0.25</v>
      </c>
      <c r="AG237" s="2477">
        <v>0.28999999999999998</v>
      </c>
      <c r="AH237" s="2477">
        <v>0.28999999999999998</v>
      </c>
      <c r="AI237" s="2518">
        <v>0.28999999999999998</v>
      </c>
      <c r="AJ237" s="2518">
        <v>0.28999999999999998</v>
      </c>
      <c r="AK237" s="2518">
        <v>0.28999999999999998</v>
      </c>
      <c r="AL237" s="2518">
        <v>0.28999999999999998</v>
      </c>
      <c r="AM237" s="2518">
        <v>0.28999999999999998</v>
      </c>
      <c r="AN237" s="2518">
        <v>0.28999999999999998</v>
      </c>
      <c r="AO237" s="2481">
        <v>0.28999999999999998</v>
      </c>
      <c r="AP237" s="2481">
        <v>0.28999999999999998</v>
      </c>
      <c r="AQ237" s="2481">
        <v>0.28999999999999998</v>
      </c>
      <c r="AR237" s="2481">
        <v>0.28999999999999998</v>
      </c>
      <c r="AS237" s="2481">
        <v>0.28999999999999998</v>
      </c>
      <c r="AT237" s="2481">
        <v>0.28999999999999998</v>
      </c>
      <c r="AU237" s="1056"/>
    </row>
    <row r="238" spans="1:47" customFormat="1" ht="14.4">
      <c r="A238" s="75"/>
      <c r="B238" s="77"/>
      <c r="C238" s="74"/>
      <c r="D238" s="1137" t="s">
        <v>101</v>
      </c>
      <c r="E238" s="1131"/>
      <c r="F238" s="1130"/>
      <c r="G238" s="1130"/>
      <c r="H238" s="1130"/>
      <c r="I238" s="2519"/>
      <c r="J238" s="2519"/>
      <c r="K238" s="2519"/>
      <c r="L238" s="2519"/>
      <c r="M238" s="2519"/>
      <c r="N238" s="2519"/>
      <c r="O238" s="2519"/>
      <c r="P238" s="2519"/>
      <c r="Q238" s="2519"/>
      <c r="R238" s="2519"/>
      <c r="S238" s="2519"/>
      <c r="T238" s="2519"/>
      <c r="U238" s="2519"/>
      <c r="V238" s="2519">
        <v>5.0793980348045609E-2</v>
      </c>
      <c r="W238" s="2476">
        <v>4.7845676497678617E-2</v>
      </c>
      <c r="X238" s="2477">
        <v>4.9858907853838987E-2</v>
      </c>
      <c r="Y238" s="2477">
        <v>4.5327271390820163E-2</v>
      </c>
      <c r="Z238" s="2477">
        <v>3.3377324944305814E-2</v>
      </c>
      <c r="AA238" s="2477">
        <v>2.6333557033018838E-2</v>
      </c>
      <c r="AB238" s="2477">
        <v>5.3144799547423682E-2</v>
      </c>
      <c r="AC238" s="2477">
        <v>5.8262223147211932E-2</v>
      </c>
      <c r="AD238" s="2477">
        <v>4.9674481325009817E-2</v>
      </c>
      <c r="AE238" s="2477">
        <v>3.3319329769857971E-2</v>
      </c>
      <c r="AF238" s="2477">
        <v>3.5364765175265003E-2</v>
      </c>
      <c r="AG238" s="2477">
        <v>5.565048539630172E-2</v>
      </c>
      <c r="AH238" s="2477">
        <v>4.6243705726745181E-2</v>
      </c>
      <c r="AI238" s="2518">
        <v>4.624101353918468E-2</v>
      </c>
      <c r="AJ238" s="2518">
        <v>4.624101353918468E-2</v>
      </c>
      <c r="AK238" s="2518">
        <v>4.624101353918468E-2</v>
      </c>
      <c r="AL238" s="2518">
        <v>4.624101353918468E-2</v>
      </c>
      <c r="AM238" s="2518">
        <v>4.624101353918468E-2</v>
      </c>
      <c r="AN238" s="2518">
        <v>4.624101353918468E-2</v>
      </c>
      <c r="AO238" s="2481">
        <v>4.624101353918468E-2</v>
      </c>
      <c r="AP238" s="2481">
        <v>4.624101353918468E-2</v>
      </c>
      <c r="AQ238" s="2481">
        <v>4.624101353918468E-2</v>
      </c>
      <c r="AR238" s="2481">
        <v>4.624101353918468E-2</v>
      </c>
      <c r="AS238" s="2481">
        <v>4.624101353918468E-2</v>
      </c>
      <c r="AT238" s="2481">
        <v>4.624101353918468E-2</v>
      </c>
      <c r="AU238" s="1056"/>
    </row>
    <row r="239" spans="1:47" customFormat="1" ht="14.4">
      <c r="A239" s="75"/>
      <c r="B239" s="77"/>
      <c r="C239" s="74"/>
      <c r="D239" s="1141" t="s">
        <v>100</v>
      </c>
      <c r="E239" s="1142"/>
      <c r="F239" s="1141"/>
      <c r="G239" s="1141"/>
      <c r="H239" s="1141"/>
      <c r="I239" s="2520"/>
      <c r="J239" s="2520"/>
      <c r="K239" s="2520"/>
      <c r="L239" s="2520"/>
      <c r="M239" s="2520"/>
      <c r="N239" s="2520"/>
      <c r="O239" s="2520"/>
      <c r="P239" s="2520"/>
      <c r="Q239" s="2520"/>
      <c r="R239" s="2520"/>
      <c r="S239" s="2520"/>
      <c r="T239" s="2520"/>
      <c r="U239" s="2520"/>
      <c r="V239" s="2520">
        <v>2.5831773674086775E-2</v>
      </c>
      <c r="W239" s="2521">
        <v>2.1661063075535232E-2</v>
      </c>
      <c r="X239" s="2522">
        <v>2.3086288120448821E-2</v>
      </c>
      <c r="Y239" s="2522">
        <v>3.2465358169505069E-2</v>
      </c>
      <c r="Z239" s="2522">
        <v>4.0683823382714174E-2</v>
      </c>
      <c r="AA239" s="2522">
        <v>2.9273564903808856E-2</v>
      </c>
      <c r="AB239" s="2522">
        <v>3.4945886450130262E-2</v>
      </c>
      <c r="AC239" s="2522">
        <v>3.811094249312872E-2</v>
      </c>
      <c r="AD239" s="2522">
        <v>4.6886380014734733E-2</v>
      </c>
      <c r="AE239" s="2522">
        <v>4.4984094546655827E-2</v>
      </c>
      <c r="AF239" s="2522">
        <v>4.6507737761076723E-2</v>
      </c>
      <c r="AG239" s="2522">
        <v>4.3380586047034229E-2</v>
      </c>
      <c r="AH239" s="2522">
        <v>4.7223421635649999E-2</v>
      </c>
      <c r="AI239" s="2523">
        <v>6.4499608335696401E-2</v>
      </c>
      <c r="AJ239" s="2523">
        <v>6.4499608335696401E-2</v>
      </c>
      <c r="AK239" s="2523">
        <v>6.4499608335696401E-2</v>
      </c>
      <c r="AL239" s="2523">
        <v>6.4499608335696401E-2</v>
      </c>
      <c r="AM239" s="2523">
        <v>6.4499608335696401E-2</v>
      </c>
      <c r="AN239" s="2523">
        <v>6.4499608335696401E-2</v>
      </c>
      <c r="AO239" s="2524">
        <v>6.4499608335696401E-2</v>
      </c>
      <c r="AP239" s="2524">
        <v>6.4499608335696401E-2</v>
      </c>
      <c r="AQ239" s="2524">
        <v>6.4482725294420271E-2</v>
      </c>
      <c r="AR239" s="2524">
        <v>6.4482725294420271E-2</v>
      </c>
      <c r="AS239" s="2524">
        <v>6.4482725294420271E-2</v>
      </c>
      <c r="AT239" s="2524">
        <v>6.4482725294420271E-2</v>
      </c>
      <c r="AU239" s="1056"/>
    </row>
    <row r="240" spans="1:47" customFormat="1" ht="14.4">
      <c r="A240" s="75"/>
      <c r="C240" s="74"/>
      <c r="D240" s="2526" t="s">
        <v>1064</v>
      </c>
      <c r="E240" s="69"/>
      <c r="F240" s="69"/>
      <c r="G240" s="69"/>
      <c r="H240" s="69"/>
      <c r="I240" s="69"/>
      <c r="J240" s="69"/>
      <c r="K240" s="69"/>
      <c r="L240" s="69"/>
      <c r="M240" s="69"/>
      <c r="N240" s="69"/>
      <c r="O240" s="69"/>
      <c r="P240" s="69"/>
      <c r="Q240" s="69"/>
      <c r="R240" s="69"/>
      <c r="S240" s="69"/>
      <c r="T240" s="69"/>
      <c r="U240" s="69"/>
      <c r="AT240" s="2"/>
    </row>
    <row r="241" spans="1:50" customFormat="1" ht="14.4">
      <c r="A241" s="75"/>
      <c r="C241" s="74"/>
      <c r="AT241" s="2"/>
    </row>
    <row r="242" spans="1:50" customFormat="1" ht="14.4">
      <c r="A242" s="75"/>
      <c r="C242" s="74"/>
      <c r="D242" s="2525" t="s">
        <v>3301</v>
      </c>
      <c r="E242" s="902"/>
      <c r="F242" s="902">
        <v>1995</v>
      </c>
      <c r="G242" s="902">
        <v>1996</v>
      </c>
      <c r="H242" s="902">
        <v>1997</v>
      </c>
      <c r="I242" s="902">
        <v>1998</v>
      </c>
      <c r="J242" s="902">
        <v>1999</v>
      </c>
      <c r="K242" s="902">
        <v>2000</v>
      </c>
      <c r="L242" s="902">
        <v>2001</v>
      </c>
      <c r="M242" s="902">
        <v>2002</v>
      </c>
      <c r="N242" s="902">
        <v>2003</v>
      </c>
      <c r="O242" s="902">
        <v>2004</v>
      </c>
      <c r="P242" s="902">
        <v>2005</v>
      </c>
      <c r="Q242" s="902">
        <v>2006</v>
      </c>
      <c r="R242" s="902">
        <v>2007</v>
      </c>
      <c r="S242" s="902">
        <v>2008</v>
      </c>
      <c r="T242" s="902">
        <v>2009</v>
      </c>
      <c r="U242" s="903">
        <v>2010</v>
      </c>
      <c r="V242" s="904" t="s">
        <v>721</v>
      </c>
      <c r="W242" s="905">
        <v>2012</v>
      </c>
      <c r="X242" s="905">
        <v>2013</v>
      </c>
      <c r="Y242" s="905">
        <v>2014</v>
      </c>
      <c r="Z242" s="905">
        <v>2015</v>
      </c>
      <c r="AA242" s="905">
        <v>2016</v>
      </c>
      <c r="AB242" s="905">
        <v>2017</v>
      </c>
      <c r="AC242" s="905">
        <v>2018</v>
      </c>
      <c r="AD242" s="905">
        <v>2019</v>
      </c>
      <c r="AE242" s="905">
        <v>2020</v>
      </c>
      <c r="AF242" s="905">
        <v>2021</v>
      </c>
      <c r="AG242" s="905">
        <v>2022</v>
      </c>
      <c r="AH242" s="905">
        <v>2023</v>
      </c>
      <c r="AI242" s="905">
        <v>2024</v>
      </c>
      <c r="AJ242" s="905">
        <v>2025</v>
      </c>
      <c r="AK242" s="905">
        <v>2026</v>
      </c>
      <c r="AL242" s="905">
        <v>2027</v>
      </c>
      <c r="AM242" s="905">
        <v>2028</v>
      </c>
      <c r="AN242" s="905">
        <v>2029</v>
      </c>
      <c r="AO242" s="905">
        <v>2030</v>
      </c>
      <c r="AP242" s="905">
        <v>2031</v>
      </c>
      <c r="AQ242" s="905">
        <v>2032</v>
      </c>
      <c r="AR242" s="905">
        <v>2033</v>
      </c>
      <c r="AS242" s="905">
        <v>2034</v>
      </c>
      <c r="AT242" s="904">
        <v>2035</v>
      </c>
    </row>
    <row r="243" spans="1:50" customFormat="1" ht="14.4">
      <c r="A243" s="75"/>
      <c r="C243" s="74"/>
      <c r="D243" s="1143" t="s">
        <v>709</v>
      </c>
      <c r="E243" s="1143"/>
      <c r="F243" s="1143"/>
      <c r="G243" s="1143"/>
      <c r="H243" s="1143"/>
      <c r="I243" s="1144">
        <v>2018</v>
      </c>
      <c r="J243" s="1144">
        <v>2019</v>
      </c>
      <c r="K243" s="1144">
        <v>2020</v>
      </c>
      <c r="L243" s="1144">
        <v>2021</v>
      </c>
      <c r="M243" s="1144">
        <v>2022</v>
      </c>
      <c r="N243" s="1144">
        <v>2023</v>
      </c>
      <c r="O243" s="1144">
        <v>2024</v>
      </c>
      <c r="P243" s="1144">
        <v>2025</v>
      </c>
      <c r="Q243" s="1144">
        <v>2026</v>
      </c>
      <c r="R243" s="1144">
        <v>2027</v>
      </c>
      <c r="S243" s="1144">
        <v>2028</v>
      </c>
      <c r="T243" s="1144">
        <v>2029</v>
      </c>
      <c r="U243" s="1144">
        <v>2030</v>
      </c>
      <c r="V243" s="1144">
        <v>2031</v>
      </c>
      <c r="W243" s="1144">
        <v>2032</v>
      </c>
      <c r="X243" s="1145">
        <v>2033</v>
      </c>
      <c r="Y243" s="1145">
        <v>2034</v>
      </c>
      <c r="Z243" s="1145">
        <v>2035</v>
      </c>
      <c r="AA243" s="1145">
        <v>2016</v>
      </c>
      <c r="AB243" s="1145">
        <v>2017</v>
      </c>
      <c r="AC243" s="1145">
        <v>2018</v>
      </c>
      <c r="AD243" s="1145">
        <v>2019</v>
      </c>
      <c r="AE243" s="1145">
        <v>2020</v>
      </c>
      <c r="AF243" s="1145">
        <v>2021</v>
      </c>
      <c r="AG243" s="1145">
        <v>2022</v>
      </c>
      <c r="AH243" s="1145">
        <v>2023</v>
      </c>
      <c r="AI243" s="1145">
        <v>2024</v>
      </c>
      <c r="AJ243" s="1145">
        <v>2025</v>
      </c>
      <c r="AK243" s="1145">
        <v>2026</v>
      </c>
      <c r="AL243" s="1145">
        <v>2027</v>
      </c>
      <c r="AM243" s="1145">
        <v>2028</v>
      </c>
      <c r="AN243" s="1145">
        <v>2029</v>
      </c>
      <c r="AO243" s="1145">
        <v>2030</v>
      </c>
      <c r="AP243" s="1145">
        <v>2031</v>
      </c>
      <c r="AQ243" s="1145">
        <v>2032</v>
      </c>
      <c r="AR243" s="1145">
        <v>2033</v>
      </c>
      <c r="AS243" s="1145">
        <v>2034</v>
      </c>
      <c r="AT243" s="2591">
        <v>2035</v>
      </c>
    </row>
    <row r="244" spans="1:50" customFormat="1" ht="14.4">
      <c r="A244" s="75"/>
      <c r="C244" s="74"/>
      <c r="D244" s="1146" t="s">
        <v>1133</v>
      </c>
      <c r="E244" s="1146"/>
      <c r="F244" s="1146"/>
      <c r="G244" s="1146"/>
      <c r="H244" s="1146"/>
      <c r="I244" s="1147">
        <v>2466.2717773100003</v>
      </c>
      <c r="J244" s="1147">
        <v>2659.2781329723011</v>
      </c>
      <c r="K244" s="1147">
        <v>2541.6763749889669</v>
      </c>
      <c r="L244" s="1147">
        <v>2895.0730804107761</v>
      </c>
      <c r="M244" s="1147">
        <v>3612.757414311814</v>
      </c>
      <c r="N244" s="1147">
        <v>3857.3152703487262</v>
      </c>
      <c r="O244" s="1147">
        <v>4102.1873290917329</v>
      </c>
      <c r="P244" s="1147">
        <v>4131.6127591137938</v>
      </c>
      <c r="Q244" s="1147">
        <v>4280.6449158726891</v>
      </c>
      <c r="R244" s="1147">
        <v>4575.2581662285602</v>
      </c>
      <c r="S244" s="1147">
        <v>4822.4194349183517</v>
      </c>
      <c r="T244" s="1147">
        <v>5030.3873295735575</v>
      </c>
      <c r="U244" s="1147">
        <v>5216.0118309478785</v>
      </c>
      <c r="V244" s="1147">
        <v>5483.1259935683647</v>
      </c>
      <c r="W244" s="1147">
        <v>5683.6071346494155</v>
      </c>
      <c r="X244" s="1148">
        <v>5896.0443653157936</v>
      </c>
      <c r="Y244" s="1148">
        <v>6088.9864434147021</v>
      </c>
      <c r="Z244" s="1148">
        <v>6377.1505655881347</v>
      </c>
      <c r="AA244" s="1148">
        <v>2223.2957901254381</v>
      </c>
      <c r="AB244" s="1148">
        <v>2211.8280389140896</v>
      </c>
      <c r="AC244" s="1148">
        <v>2466.2717773100003</v>
      </c>
      <c r="AD244" s="1148">
        <v>2659.2781329723011</v>
      </c>
      <c r="AE244" s="1148">
        <v>2541.6763749889669</v>
      </c>
      <c r="AF244" s="1148">
        <v>2895.0730804107761</v>
      </c>
      <c r="AG244" s="1148">
        <v>3612.757414311814</v>
      </c>
      <c r="AH244" s="1148">
        <v>3857.3152703487262</v>
      </c>
      <c r="AI244" s="2038">
        <v>4102.1873290917338</v>
      </c>
      <c r="AJ244" s="2038">
        <v>4376.0351966846538</v>
      </c>
      <c r="AK244" s="2038">
        <v>4525.7396597486349</v>
      </c>
      <c r="AL244" s="2038">
        <v>4694.3457190177496</v>
      </c>
      <c r="AM244" s="2038">
        <v>4882.6496995924344</v>
      </c>
      <c r="AN244" s="2038">
        <v>5080.965557294192</v>
      </c>
      <c r="AO244" s="2038">
        <v>5315.4457921831581</v>
      </c>
      <c r="AP244" s="2038">
        <v>5485.5747815356244</v>
      </c>
      <c r="AQ244" s="2038">
        <v>5711.3121344451065</v>
      </c>
      <c r="AR244" s="2038">
        <v>5954.6168323454594</v>
      </c>
      <c r="AS244" s="2038">
        <v>6209.1905699858762</v>
      </c>
      <c r="AT244" s="2592">
        <v>6463.7359020551348</v>
      </c>
      <c r="AU244" s="1056"/>
    </row>
    <row r="245" spans="1:50" customFormat="1" ht="14.4">
      <c r="A245" s="75"/>
      <c r="C245" s="74"/>
      <c r="D245" s="1149" t="s">
        <v>714</v>
      </c>
      <c r="E245" s="1146"/>
      <c r="F245" s="1146"/>
      <c r="G245" s="1146"/>
      <c r="H245" s="1146"/>
      <c r="I245" s="1147">
        <v>583.66328862000023</v>
      </c>
      <c r="J245" s="1147">
        <v>692.50290825245929</v>
      </c>
      <c r="K245" s="1147">
        <v>660.03759621833512</v>
      </c>
      <c r="L245" s="1147">
        <v>736.64741839121643</v>
      </c>
      <c r="M245" s="1147">
        <v>735.01219711327371</v>
      </c>
      <c r="N245" s="1147">
        <v>905.86657896759789</v>
      </c>
      <c r="O245" s="1147">
        <v>957.29556174401796</v>
      </c>
      <c r="P245" s="1147">
        <v>951.90970074260645</v>
      </c>
      <c r="Q245" s="1147">
        <v>926.99365752095866</v>
      </c>
      <c r="R245" s="1147">
        <v>996.10780299916314</v>
      </c>
      <c r="S245" s="1147">
        <v>1003.9073507196058</v>
      </c>
      <c r="T245" s="1147">
        <v>992.15202495503445</v>
      </c>
      <c r="U245" s="1147">
        <v>1009.3963102569196</v>
      </c>
      <c r="V245" s="1147">
        <v>1071.5730295863775</v>
      </c>
      <c r="W245" s="1147">
        <v>1103.2816358088821</v>
      </c>
      <c r="X245" s="1148">
        <v>1127.8894735996955</v>
      </c>
      <c r="Y245" s="1148">
        <v>1150.053698669203</v>
      </c>
      <c r="Z245" s="1148">
        <v>1340.291200186502</v>
      </c>
      <c r="AA245" s="1148">
        <v>707.92285204093946</v>
      </c>
      <c r="AB245" s="1148">
        <v>504.12933454341874</v>
      </c>
      <c r="AC245" s="1148">
        <v>583.66328862000023</v>
      </c>
      <c r="AD245" s="1148">
        <v>692.50290825245929</v>
      </c>
      <c r="AE245" s="1148">
        <v>660.03759621833512</v>
      </c>
      <c r="AF245" s="1148">
        <v>736.64741839121643</v>
      </c>
      <c r="AG245" s="1148">
        <v>735.01219711327371</v>
      </c>
      <c r="AH245" s="1148">
        <v>905.86657896759789</v>
      </c>
      <c r="AI245" s="2038">
        <v>957.29556174401796</v>
      </c>
      <c r="AJ245" s="2038">
        <v>1031.7520394479334</v>
      </c>
      <c r="AK245" s="2038">
        <v>1065.635695188</v>
      </c>
      <c r="AL245" s="2038">
        <v>1123.2640610187075</v>
      </c>
      <c r="AM245" s="2038">
        <v>1184.7543012616461</v>
      </c>
      <c r="AN245" s="2038">
        <v>1249.62145984924</v>
      </c>
      <c r="AO245" s="2038">
        <v>1321.9827997621671</v>
      </c>
      <c r="AP245" s="2038">
        <v>1386.8928830138384</v>
      </c>
      <c r="AQ245" s="2038">
        <v>1455.8368611114586</v>
      </c>
      <c r="AR245" s="2038">
        <v>1529.2864444539027</v>
      </c>
      <c r="AS245" s="2038">
        <v>1618.2122792215559</v>
      </c>
      <c r="AT245" s="2592">
        <v>1696.8637002829555</v>
      </c>
      <c r="AU245" s="1056"/>
    </row>
    <row r="246" spans="1:50" customFormat="1" ht="14.4">
      <c r="A246" s="75"/>
      <c r="C246" s="74"/>
      <c r="D246" s="1149" t="s">
        <v>715</v>
      </c>
      <c r="E246" s="1146"/>
      <c r="F246" s="1146"/>
      <c r="G246" s="1146"/>
      <c r="H246" s="1146"/>
      <c r="I246" s="1147">
        <v>630.33869826</v>
      </c>
      <c r="J246" s="1147">
        <v>730.6378808008235</v>
      </c>
      <c r="K246" s="1147">
        <v>761.88800757285867</v>
      </c>
      <c r="L246" s="1147">
        <v>881.12950620895617</v>
      </c>
      <c r="M246" s="1147">
        <v>1044.1650999636963</v>
      </c>
      <c r="N246" s="1147">
        <v>1046.453347897957</v>
      </c>
      <c r="O246" s="1147">
        <v>1116.7703239986474</v>
      </c>
      <c r="P246" s="1147">
        <v>1164.2395485673096</v>
      </c>
      <c r="Q246" s="1147">
        <v>1248.5017987197839</v>
      </c>
      <c r="R246" s="1147">
        <v>1344.3106131870422</v>
      </c>
      <c r="S246" s="1147">
        <v>1456.1267732811209</v>
      </c>
      <c r="T246" s="1147">
        <v>1556.4971610282867</v>
      </c>
      <c r="U246" s="1147">
        <v>1614.0573489727897</v>
      </c>
      <c r="V246" s="1147">
        <v>1691.1492146060114</v>
      </c>
      <c r="W246" s="1147">
        <v>1749.2577274752007</v>
      </c>
      <c r="X246" s="1148">
        <v>1814.0191959383878</v>
      </c>
      <c r="Y246" s="1148">
        <v>1870.0186208932562</v>
      </c>
      <c r="Z246" s="1148">
        <v>1867.9220992152275</v>
      </c>
      <c r="AA246" s="1148">
        <v>565.95643140037657</v>
      </c>
      <c r="AB246" s="1148">
        <v>563.63784518901537</v>
      </c>
      <c r="AC246" s="1148">
        <v>630.33869826</v>
      </c>
      <c r="AD246" s="1148">
        <v>730.6378808008235</v>
      </c>
      <c r="AE246" s="1148">
        <v>761.88800757285867</v>
      </c>
      <c r="AF246" s="1148">
        <v>881.12950620895617</v>
      </c>
      <c r="AG246" s="1148">
        <v>1044.1650999636963</v>
      </c>
      <c r="AH246" s="1148">
        <v>1046.453347897957</v>
      </c>
      <c r="AI246" s="2038">
        <v>1116.7703239986474</v>
      </c>
      <c r="AJ246" s="2038">
        <v>1194.1895247747505</v>
      </c>
      <c r="AK246" s="2038">
        <v>1253.4881783326932</v>
      </c>
      <c r="AL246" s="2038">
        <v>1305.4998123343041</v>
      </c>
      <c r="AM246" s="2038">
        <v>1373.3387635680019</v>
      </c>
      <c r="AN246" s="2038">
        <v>1454.4991247218704</v>
      </c>
      <c r="AO246" s="2038">
        <v>1543.8353731869538</v>
      </c>
      <c r="AP246" s="2038">
        <v>1640.1678633836475</v>
      </c>
      <c r="AQ246" s="2038">
        <v>1737.0034275072016</v>
      </c>
      <c r="AR246" s="2038">
        <v>1842.3347717735624</v>
      </c>
      <c r="AS246" s="2038">
        <v>1946.9708034416672</v>
      </c>
      <c r="AT246" s="2592">
        <v>2061.2795499388326</v>
      </c>
      <c r="AU246" s="1056"/>
    </row>
    <row r="247" spans="1:50" customFormat="1" ht="14.4">
      <c r="A247" s="75"/>
      <c r="C247" s="74"/>
      <c r="D247" s="1149" t="s">
        <v>716</v>
      </c>
      <c r="E247" s="1146"/>
      <c r="F247" s="1146"/>
      <c r="G247" s="1146"/>
      <c r="H247" s="1146"/>
      <c r="I247" s="1147">
        <v>562.26818792999995</v>
      </c>
      <c r="J247" s="1147">
        <v>521.493398091936</v>
      </c>
      <c r="K247" s="1147">
        <v>348.74189688909951</v>
      </c>
      <c r="L247" s="1147">
        <v>397.26150612744345</v>
      </c>
      <c r="M247" s="1147">
        <v>763.05873521715762</v>
      </c>
      <c r="N247" s="1147">
        <v>679.96951332810363</v>
      </c>
      <c r="O247" s="1147">
        <v>740.13166217804962</v>
      </c>
      <c r="P247" s="1147">
        <v>689.73702129558239</v>
      </c>
      <c r="Q247" s="1147">
        <v>706.8694318923425</v>
      </c>
      <c r="R247" s="1147">
        <v>758.89384504093834</v>
      </c>
      <c r="S247" s="1147">
        <v>816.26664159990537</v>
      </c>
      <c r="T247" s="1147">
        <v>874.21296518292775</v>
      </c>
      <c r="U247" s="1147">
        <v>937.26440033436597</v>
      </c>
      <c r="V247" s="1147">
        <v>1011.1637587329708</v>
      </c>
      <c r="W247" s="1147">
        <v>1090.5751799048878</v>
      </c>
      <c r="X247" s="1148">
        <v>1177.8066601747819</v>
      </c>
      <c r="Y247" s="1148">
        <v>1273.4589295503747</v>
      </c>
      <c r="Z247" s="1148">
        <v>1378.427406581962</v>
      </c>
      <c r="AA247" s="1148">
        <v>226.39659381096908</v>
      </c>
      <c r="AB247" s="1148">
        <v>487.13386603290525</v>
      </c>
      <c r="AC247" s="1148">
        <v>562.26818792999995</v>
      </c>
      <c r="AD247" s="1148">
        <v>521.493398091936</v>
      </c>
      <c r="AE247" s="1148">
        <v>348.74189688909951</v>
      </c>
      <c r="AF247" s="1148">
        <v>397.26150612744345</v>
      </c>
      <c r="AG247" s="1148">
        <v>763.05873521715762</v>
      </c>
      <c r="AH247" s="1148">
        <v>679.96951332810363</v>
      </c>
      <c r="AI247" s="2038">
        <v>740.13166217804962</v>
      </c>
      <c r="AJ247" s="2038">
        <v>645.51973122726622</v>
      </c>
      <c r="AK247" s="2038">
        <v>649.54405467577681</v>
      </c>
      <c r="AL247" s="2038">
        <v>666.59108409854719</v>
      </c>
      <c r="AM247" s="2038">
        <v>704.76549526003623</v>
      </c>
      <c r="AN247" s="2038">
        <v>750.60742941562114</v>
      </c>
      <c r="AO247" s="2038">
        <v>799.15926845711476</v>
      </c>
      <c r="AP247" s="2038">
        <v>841.78181246021825</v>
      </c>
      <c r="AQ247" s="2038">
        <v>886.74194171957583</v>
      </c>
      <c r="AR247" s="2038">
        <v>934.33072794716452</v>
      </c>
      <c r="AS247" s="2038">
        <v>983.58654248035828</v>
      </c>
      <c r="AT247" s="2592">
        <v>1033.931497139477</v>
      </c>
      <c r="AU247" s="1056"/>
    </row>
    <row r="248" spans="1:50" customFormat="1" ht="14.4">
      <c r="A248" s="75"/>
      <c r="C248" s="74"/>
      <c r="D248" s="1149" t="s">
        <v>717</v>
      </c>
      <c r="E248" s="1150" t="s">
        <v>1134</v>
      </c>
      <c r="F248" s="1146"/>
      <c r="G248" s="1146"/>
      <c r="H248" s="1146"/>
      <c r="I248" s="1147">
        <v>690.00160249999999</v>
      </c>
      <c r="J248" s="1147">
        <v>714.64394582708269</v>
      </c>
      <c r="K248" s="1147">
        <v>771.00887430867351</v>
      </c>
      <c r="L248" s="1147">
        <v>880.03464968315984</v>
      </c>
      <c r="M248" s="1147">
        <v>1070.5213820176864</v>
      </c>
      <c r="N248" s="1147">
        <v>1225.025830155068</v>
      </c>
      <c r="O248" s="1147">
        <v>1287.9897811710182</v>
      </c>
      <c r="P248" s="1147">
        <v>1325.7264885082959</v>
      </c>
      <c r="Q248" s="1147">
        <v>1398.2800277396038</v>
      </c>
      <c r="R248" s="1147">
        <v>1475.9459050014166</v>
      </c>
      <c r="S248" s="1147">
        <v>1546.1186693177197</v>
      </c>
      <c r="T248" s="1147">
        <v>1607.5251784073084</v>
      </c>
      <c r="U248" s="1147">
        <v>1655.2937713838035</v>
      </c>
      <c r="V248" s="1147">
        <v>1709.2399906430057</v>
      </c>
      <c r="W248" s="1147">
        <v>1740.4925914604446</v>
      </c>
      <c r="X248" s="1148">
        <v>1776.3290356029283</v>
      </c>
      <c r="Y248" s="1148">
        <v>1795.4551943018687</v>
      </c>
      <c r="Z248" s="1148">
        <v>1790.5098596044438</v>
      </c>
      <c r="AA248" s="1148">
        <v>723.01991287315275</v>
      </c>
      <c r="AB248" s="1148">
        <v>656.92699314875006</v>
      </c>
      <c r="AC248" s="1148">
        <v>690.00160249999999</v>
      </c>
      <c r="AD248" s="1148">
        <v>714.64394582708269</v>
      </c>
      <c r="AE248" s="1148">
        <v>771.00887430867351</v>
      </c>
      <c r="AF248" s="1148">
        <v>880.03464968315984</v>
      </c>
      <c r="AG248" s="1148">
        <v>1070.5213820176864</v>
      </c>
      <c r="AH248" s="1148">
        <v>1225.025830155068</v>
      </c>
      <c r="AI248" s="2038">
        <v>1287.9897811710184</v>
      </c>
      <c r="AJ248" s="2038">
        <v>1504.573901234704</v>
      </c>
      <c r="AK248" s="2038">
        <v>1557.0717315521642</v>
      </c>
      <c r="AL248" s="2038">
        <v>1598.9907615661907</v>
      </c>
      <c r="AM248" s="2038">
        <v>1619.7911395027506</v>
      </c>
      <c r="AN248" s="2038">
        <v>1626.2375433074608</v>
      </c>
      <c r="AO248" s="2038">
        <v>1650.468350776923</v>
      </c>
      <c r="AP248" s="2038">
        <v>1616.7322226779211</v>
      </c>
      <c r="AQ248" s="2038">
        <v>1631.7299041068695</v>
      </c>
      <c r="AR248" s="2038">
        <v>1648.6648881708297</v>
      </c>
      <c r="AS248" s="2038">
        <v>1660.4209448422955</v>
      </c>
      <c r="AT248" s="2592">
        <v>1671.66115469387</v>
      </c>
      <c r="AU248" s="1056"/>
    </row>
    <row r="249" spans="1:50" customFormat="1" ht="14.4">
      <c r="A249" s="75"/>
      <c r="C249" s="74"/>
      <c r="D249" s="1146" t="s">
        <v>710</v>
      </c>
      <c r="E249" s="1146">
        <v>0.8</v>
      </c>
      <c r="F249" s="1146"/>
      <c r="G249" s="1146"/>
      <c r="H249" s="1146"/>
      <c r="I249" s="1147">
        <v>725339.51312000002</v>
      </c>
      <c r="J249" s="1147">
        <v>745532.51297000004</v>
      </c>
      <c r="K249" s="1147">
        <v>627416.92625999998</v>
      </c>
      <c r="L249" s="1147">
        <v>633888.96921999997</v>
      </c>
      <c r="M249" s="1147">
        <v>790079.92506000004</v>
      </c>
      <c r="N249" s="1147">
        <v>734498.31530999998</v>
      </c>
      <c r="O249" s="1147">
        <v>848594.80564000004</v>
      </c>
      <c r="P249" s="1147">
        <v>908437.35961333523</v>
      </c>
      <c r="Q249" s="1147">
        <v>974621.82205132314</v>
      </c>
      <c r="R249" s="1147">
        <v>1048674.0260890962</v>
      </c>
      <c r="S249" s="1147">
        <v>1118121.219584988</v>
      </c>
      <c r="T249" s="1147">
        <v>1186645.6964680604</v>
      </c>
      <c r="U249" s="1147">
        <v>1264892.2016526225</v>
      </c>
      <c r="V249" s="1147">
        <v>1356751.9573283847</v>
      </c>
      <c r="W249" s="1147">
        <v>1454863.1321960737</v>
      </c>
      <c r="X249" s="1148">
        <v>1562169.3143603057</v>
      </c>
      <c r="Y249" s="1148">
        <v>1679293.5033176609</v>
      </c>
      <c r="Z249" s="1148">
        <v>1807228.7714733323</v>
      </c>
      <c r="AA249" s="1148">
        <v>267183</v>
      </c>
      <c r="AB249" s="1148">
        <v>662918.34925999993</v>
      </c>
      <c r="AC249" s="1148">
        <v>725339.51312000002</v>
      </c>
      <c r="AD249" s="1148">
        <v>745532.51297000004</v>
      </c>
      <c r="AE249" s="1148">
        <v>627416.92625999998</v>
      </c>
      <c r="AF249" s="1148">
        <v>633888.96921999997</v>
      </c>
      <c r="AG249" s="1148">
        <v>790079.92506000004</v>
      </c>
      <c r="AH249" s="1148">
        <v>734498.31530999998</v>
      </c>
      <c r="AI249" s="2038">
        <v>848594.80564000004</v>
      </c>
      <c r="AJ249" s="2038">
        <v>697221.70880999987</v>
      </c>
      <c r="AK249" s="2038">
        <v>970649.84389184194</v>
      </c>
      <c r="AL249" s="2038">
        <v>1024870.5902561649</v>
      </c>
      <c r="AM249" s="2038">
        <v>1074806.2318786536</v>
      </c>
      <c r="AN249" s="2038">
        <v>1127131.8665893695</v>
      </c>
      <c r="AO249" s="2038">
        <v>1186147.112614712</v>
      </c>
      <c r="AP249" s="2038">
        <v>1234946.3732970429</v>
      </c>
      <c r="AQ249" s="2038">
        <v>1285846.5885911766</v>
      </c>
      <c r="AR249" s="2038">
        <v>1339170.531485806</v>
      </c>
      <c r="AS249" s="2038">
        <v>1393449.3127243211</v>
      </c>
      <c r="AT249" s="2592">
        <v>1447817.1238259831</v>
      </c>
      <c r="AU249" s="1056"/>
    </row>
    <row r="250" spans="1:50" customFormat="1" ht="14.4">
      <c r="A250" s="75"/>
      <c r="C250" s="74"/>
      <c r="D250" s="1146" t="s">
        <v>711</v>
      </c>
      <c r="E250" s="1146"/>
      <c r="F250" s="1146"/>
      <c r="G250" s="1146"/>
      <c r="H250" s="1146"/>
      <c r="I250" s="1147">
        <v>235978.05922999998</v>
      </c>
      <c r="J250" s="1147">
        <v>244454.18565</v>
      </c>
      <c r="K250" s="1147">
        <v>219358.74724</v>
      </c>
      <c r="L250" s="1147">
        <v>243464.97689000005</v>
      </c>
      <c r="M250" s="1147">
        <v>284032.83514000004</v>
      </c>
      <c r="N250" s="1147">
        <v>255846.70896999998</v>
      </c>
      <c r="O250" s="1147">
        <v>315306.20034000004</v>
      </c>
      <c r="P250" s="1147">
        <v>337541.46290178667</v>
      </c>
      <c r="Q250" s="1147">
        <v>362133.14226886543</v>
      </c>
      <c r="R250" s="1147">
        <v>389648.18116230174</v>
      </c>
      <c r="S250" s="1147">
        <v>415452.16977963934</v>
      </c>
      <c r="T250" s="1147">
        <v>440913.31129581045</v>
      </c>
      <c r="U250" s="1147">
        <v>469986.79616238509</v>
      </c>
      <c r="V250" s="1147">
        <v>504118.45750862802</v>
      </c>
      <c r="W250" s="1147">
        <v>540572.9132191994</v>
      </c>
      <c r="X250" s="1148">
        <v>580443.89091824205</v>
      </c>
      <c r="Y250" s="1148">
        <v>623962.87399779994</v>
      </c>
      <c r="Z250" s="1148">
        <v>671498.85114913399</v>
      </c>
      <c r="AA250" s="1148">
        <v>96164.3</v>
      </c>
      <c r="AB250" s="1148">
        <v>212618.04809</v>
      </c>
      <c r="AC250" s="1148">
        <v>235978.05922999998</v>
      </c>
      <c r="AD250" s="1148">
        <v>244454.18565</v>
      </c>
      <c r="AE250" s="1148">
        <v>219358.74724</v>
      </c>
      <c r="AF250" s="1148">
        <v>243464.97689000005</v>
      </c>
      <c r="AG250" s="1148">
        <v>284032.83514000004</v>
      </c>
      <c r="AH250" s="1148">
        <v>255846.70896999998</v>
      </c>
      <c r="AI250" s="2038">
        <v>315306.20034000004</v>
      </c>
      <c r="AJ250" s="2038">
        <v>237252.88623999996</v>
      </c>
      <c r="AK250" s="2038">
        <v>360657.30323122849</v>
      </c>
      <c r="AL250" s="2038">
        <v>380803.71162556205</v>
      </c>
      <c r="AM250" s="2038">
        <v>399357.93481533538</v>
      </c>
      <c r="AN250" s="2038">
        <v>418800.19035515288</v>
      </c>
      <c r="AO250" s="2038">
        <v>440728.05611948209</v>
      </c>
      <c r="AP250" s="2038">
        <v>458860.04250790045</v>
      </c>
      <c r="AQ250" s="2038">
        <v>477772.6653217735</v>
      </c>
      <c r="AR250" s="2038">
        <v>497585.85497307277</v>
      </c>
      <c r="AS250" s="2038">
        <v>517753.8269635386</v>
      </c>
      <c r="AT250" s="2592">
        <v>537954.87913276465</v>
      </c>
      <c r="AU250" s="1056"/>
    </row>
    <row r="251" spans="1:50" customFormat="1" ht="14.4">
      <c r="A251" s="75"/>
      <c r="C251" s="74"/>
      <c r="D251" s="1146" t="s">
        <v>712</v>
      </c>
      <c r="E251" s="1146"/>
      <c r="F251" s="1146"/>
      <c r="G251" s="1146"/>
      <c r="H251" s="1146"/>
      <c r="I251" s="1147">
        <v>258448.87561999998</v>
      </c>
      <c r="J251" s="1147">
        <v>288132.82489000005</v>
      </c>
      <c r="K251" s="1147">
        <v>274121.12283000001</v>
      </c>
      <c r="L251" s="1147">
        <v>275028.38418999995</v>
      </c>
      <c r="M251" s="1147">
        <v>363333.67709999997</v>
      </c>
      <c r="N251" s="1147">
        <v>333014.70965000003</v>
      </c>
      <c r="O251" s="1147">
        <v>379184.60544000001</v>
      </c>
      <c r="P251" s="1147">
        <v>405924.54665350704</v>
      </c>
      <c r="Q251" s="1147">
        <v>435498.29505381658</v>
      </c>
      <c r="R251" s="1147">
        <v>468587.65122639906</v>
      </c>
      <c r="S251" s="1147">
        <v>499619.31261489267</v>
      </c>
      <c r="T251" s="1147">
        <v>530238.66894042876</v>
      </c>
      <c r="U251" s="1147">
        <v>565202.19923577446</v>
      </c>
      <c r="V251" s="1147">
        <v>606248.6503573542</v>
      </c>
      <c r="W251" s="1147">
        <v>650088.47459879774</v>
      </c>
      <c r="X251" s="1148">
        <v>698036.97967423243</v>
      </c>
      <c r="Y251" s="1148">
        <v>750372.54557930527</v>
      </c>
      <c r="Z251" s="1148">
        <v>807538.91503508156</v>
      </c>
      <c r="AA251" s="1148">
        <v>139253.29999999999</v>
      </c>
      <c r="AB251" s="1148">
        <v>248752.63436</v>
      </c>
      <c r="AC251" s="1148">
        <v>258448.87561999998</v>
      </c>
      <c r="AD251" s="1148">
        <v>288132.82489000005</v>
      </c>
      <c r="AE251" s="1148">
        <v>274121.12283000001</v>
      </c>
      <c r="AF251" s="1148">
        <v>275028.38418999995</v>
      </c>
      <c r="AG251" s="1148">
        <v>363333.67709999997</v>
      </c>
      <c r="AH251" s="1148">
        <v>333014.70965000003</v>
      </c>
      <c r="AI251" s="2038">
        <v>379184.60544000001</v>
      </c>
      <c r="AJ251" s="2038">
        <v>334524.59138999996</v>
      </c>
      <c r="AK251" s="2038">
        <v>433723.46334236942</v>
      </c>
      <c r="AL251" s="2038">
        <v>457951.3659646489</v>
      </c>
      <c r="AM251" s="2038">
        <v>480264.519945996</v>
      </c>
      <c r="AN251" s="2038">
        <v>503645.61422127439</v>
      </c>
      <c r="AO251" s="2038">
        <v>530015.88261124759</v>
      </c>
      <c r="AP251" s="2038">
        <v>551821.25813866197</v>
      </c>
      <c r="AQ251" s="2038">
        <v>574565.42051726719</v>
      </c>
      <c r="AR251" s="2038">
        <v>598392.59705973463</v>
      </c>
      <c r="AS251" s="2038">
        <v>622646.43188278424</v>
      </c>
      <c r="AT251" s="2592">
        <v>646940.04865277163</v>
      </c>
      <c r="AU251" s="1056"/>
    </row>
    <row r="252" spans="1:50" customFormat="1" ht="14.4">
      <c r="A252" s="75"/>
      <c r="C252" s="74"/>
      <c r="D252" s="1146" t="s">
        <v>713</v>
      </c>
      <c r="E252" s="1146"/>
      <c r="F252" s="1146"/>
      <c r="G252" s="1146"/>
      <c r="H252" s="1146"/>
      <c r="I252" s="1147">
        <v>230912.57827000003</v>
      </c>
      <c r="J252" s="1147">
        <v>212945.50242999999</v>
      </c>
      <c r="K252" s="1147">
        <v>133937.05619</v>
      </c>
      <c r="L252" s="1147">
        <v>115395.60814</v>
      </c>
      <c r="M252" s="1147">
        <v>142713.41282</v>
      </c>
      <c r="N252" s="1147">
        <v>145636.89669000002</v>
      </c>
      <c r="O252" s="1147">
        <v>154103.99986000001</v>
      </c>
      <c r="P252" s="1147">
        <v>164971.35005804157</v>
      </c>
      <c r="Q252" s="1147">
        <v>176990.38472864113</v>
      </c>
      <c r="R252" s="1147">
        <v>190438.19370039541</v>
      </c>
      <c r="S252" s="1147">
        <v>203049.7371904559</v>
      </c>
      <c r="T252" s="1147">
        <v>215493.71623182113</v>
      </c>
      <c r="U252" s="1147">
        <v>229703.20625446294</v>
      </c>
      <c r="V252" s="1147">
        <v>246384.84946240249</v>
      </c>
      <c r="W252" s="1147">
        <v>264201.74437807658</v>
      </c>
      <c r="X252" s="1148">
        <v>283688.4437678312</v>
      </c>
      <c r="Y252" s="1148">
        <v>304958.08374055562</v>
      </c>
      <c r="Z252" s="1148">
        <v>328191.00528911682</v>
      </c>
      <c r="AA252" s="1148">
        <v>31765.4</v>
      </c>
      <c r="AB252" s="1148">
        <v>201547.66681</v>
      </c>
      <c r="AC252" s="1148">
        <v>230912.57827000003</v>
      </c>
      <c r="AD252" s="1148">
        <v>212945.50242999999</v>
      </c>
      <c r="AE252" s="1148">
        <v>133937.05619</v>
      </c>
      <c r="AF252" s="1148">
        <v>115395.60814</v>
      </c>
      <c r="AG252" s="1148">
        <v>142713.41282</v>
      </c>
      <c r="AH252" s="1148">
        <v>145636.89669000002</v>
      </c>
      <c r="AI252" s="2038">
        <v>154103.99986000001</v>
      </c>
      <c r="AJ252" s="2038">
        <v>125444.23118</v>
      </c>
      <c r="AK252" s="2038">
        <v>176269.07731824403</v>
      </c>
      <c r="AL252" s="2038">
        <v>186115.51266595395</v>
      </c>
      <c r="AM252" s="2038">
        <v>195183.77711732229</v>
      </c>
      <c r="AN252" s="2038">
        <v>204686.0620129423</v>
      </c>
      <c r="AO252" s="2038">
        <v>215403.17388398218</v>
      </c>
      <c r="AP252" s="2038">
        <v>224265.07265048058</v>
      </c>
      <c r="AQ252" s="2038">
        <v>233508.50275213592</v>
      </c>
      <c r="AR252" s="2038">
        <v>243192.07945299862</v>
      </c>
      <c r="AS252" s="2038">
        <v>253049.05387799838</v>
      </c>
      <c r="AT252" s="2592">
        <v>262922.19604044681</v>
      </c>
      <c r="AU252" s="1056"/>
    </row>
    <row r="253" spans="1:50" ht="21.75" customHeight="1">
      <c r="B253" s="1"/>
      <c r="D253" s="2527" t="s">
        <v>1065</v>
      </c>
      <c r="E253" s="2"/>
      <c r="F253" s="2"/>
      <c r="G253" s="2"/>
      <c r="H253" s="2"/>
      <c r="I253" s="2"/>
      <c r="J253" s="2"/>
      <c r="K253" s="2"/>
      <c r="L253" s="2"/>
      <c r="M253" s="2"/>
      <c r="N253" s="2"/>
      <c r="O253" s="2"/>
      <c r="P253" s="2"/>
      <c r="Q253" s="2"/>
      <c r="R253" s="2"/>
      <c r="S253" s="2"/>
      <c r="T253" s="2"/>
      <c r="U253" s="2"/>
      <c r="W253"/>
      <c r="Y253"/>
      <c r="Z253" s="2"/>
      <c r="AA253" s="2"/>
      <c r="AB253" s="2"/>
      <c r="AC253" s="2"/>
      <c r="AD253" s="2"/>
      <c r="AE253" s="1629">
        <v>4.9613060532174291E-2</v>
      </c>
      <c r="AF253" s="1629">
        <v>4.3657812342187574E-2</v>
      </c>
      <c r="AG253" s="1629">
        <v>4.955740107474349E-2</v>
      </c>
      <c r="AH253" s="1629">
        <v>4.8411306042885016E-2</v>
      </c>
      <c r="AI253" s="1629">
        <v>4.2955990220048701E-2</v>
      </c>
      <c r="AJ253" s="1629">
        <v>3.7939735423811793E-2</v>
      </c>
      <c r="AK253" s="2"/>
      <c r="AL253" s="1">
        <v>0</v>
      </c>
    </row>
    <row r="254" spans="1:50">
      <c r="A254" s="79"/>
      <c r="D254" s="906" t="s">
        <v>3302</v>
      </c>
      <c r="E254" s="9"/>
      <c r="F254" s="9"/>
      <c r="G254" s="9"/>
      <c r="H254" s="9"/>
      <c r="I254" s="80">
        <v>1998</v>
      </c>
      <c r="J254" s="80">
        <v>1999</v>
      </c>
      <c r="K254" s="80">
        <v>2000</v>
      </c>
      <c r="L254" s="80">
        <v>2001</v>
      </c>
      <c r="M254" s="80">
        <v>2002</v>
      </c>
      <c r="N254" s="80">
        <v>2003</v>
      </c>
      <c r="O254" s="80">
        <v>2004</v>
      </c>
      <c r="P254" s="80">
        <v>2005</v>
      </c>
      <c r="Q254" s="80">
        <v>2006</v>
      </c>
      <c r="R254" s="530">
        <v>2007</v>
      </c>
      <c r="S254" s="530">
        <v>2008</v>
      </c>
      <c r="T254" s="530">
        <v>2009</v>
      </c>
      <c r="U254" s="529">
        <v>2010</v>
      </c>
      <c r="V254" s="530" t="s">
        <v>722</v>
      </c>
      <c r="W254" s="530">
        <v>2012</v>
      </c>
      <c r="X254" s="530">
        <v>2013</v>
      </c>
      <c r="Y254" s="530">
        <v>2014</v>
      </c>
      <c r="Z254" s="530">
        <v>2015</v>
      </c>
      <c r="AA254" s="530">
        <v>2016</v>
      </c>
      <c r="AB254" s="530">
        <v>2017</v>
      </c>
      <c r="AC254" s="530">
        <v>2018</v>
      </c>
      <c r="AD254" s="530">
        <v>2019</v>
      </c>
      <c r="AE254" s="530">
        <v>2020</v>
      </c>
      <c r="AF254" s="530">
        <v>2021</v>
      </c>
      <c r="AG254" s="530">
        <v>2022</v>
      </c>
      <c r="AH254" s="530">
        <v>2023</v>
      </c>
      <c r="AI254" s="530">
        <v>2024</v>
      </c>
      <c r="AJ254" s="530">
        <v>2025</v>
      </c>
      <c r="AK254" s="530">
        <v>2026</v>
      </c>
      <c r="AL254" s="530">
        <v>2027</v>
      </c>
      <c r="AM254" s="530">
        <v>2028</v>
      </c>
      <c r="AN254" s="530">
        <v>2029</v>
      </c>
      <c r="AO254" s="530">
        <v>2030</v>
      </c>
      <c r="AP254" s="530">
        <v>2031</v>
      </c>
      <c r="AQ254" s="530">
        <v>2032</v>
      </c>
      <c r="AR254" s="530">
        <v>2033</v>
      </c>
      <c r="AS254" s="530">
        <v>2034</v>
      </c>
      <c r="AT254" s="530">
        <v>2035</v>
      </c>
    </row>
    <row r="255" spans="1:50" customFormat="1">
      <c r="A255" s="79"/>
      <c r="B255" s="74"/>
      <c r="C255" s="74"/>
      <c r="D255" s="2197" t="s">
        <v>104</v>
      </c>
      <c r="E255" s="2198" t="s">
        <v>94</v>
      </c>
      <c r="F255" s="2199"/>
      <c r="G255" s="2199"/>
      <c r="H255" s="2199"/>
      <c r="I255" s="563" t="s">
        <v>3104</v>
      </c>
      <c r="J255" s="563">
        <v>1999</v>
      </c>
      <c r="K255" s="563">
        <v>2000</v>
      </c>
      <c r="L255" s="563">
        <v>2001</v>
      </c>
      <c r="M255" s="563">
        <v>2002</v>
      </c>
      <c r="N255" s="563">
        <v>2003</v>
      </c>
      <c r="O255" s="563">
        <v>2004</v>
      </c>
      <c r="P255" s="563">
        <v>2005</v>
      </c>
      <c r="Q255" s="563">
        <v>2006</v>
      </c>
      <c r="R255" s="563">
        <v>2007</v>
      </c>
      <c r="S255" s="563">
        <v>2008</v>
      </c>
      <c r="T255" s="563">
        <v>2009</v>
      </c>
      <c r="U255" s="563">
        <v>2010</v>
      </c>
      <c r="V255" s="563">
        <v>2011</v>
      </c>
      <c r="W255" s="563">
        <v>2012</v>
      </c>
      <c r="X255" s="563">
        <v>2013</v>
      </c>
      <c r="Y255" s="563">
        <v>2014</v>
      </c>
      <c r="Z255" s="563">
        <v>2015</v>
      </c>
      <c r="AA255" s="563">
        <v>2016</v>
      </c>
      <c r="AB255" s="563">
        <v>2017</v>
      </c>
      <c r="AC255" s="563">
        <v>2018</v>
      </c>
      <c r="AD255" s="563">
        <v>2019</v>
      </c>
      <c r="AE255" s="563">
        <v>2020</v>
      </c>
      <c r="AF255" s="563">
        <v>2021</v>
      </c>
      <c r="AG255" s="563">
        <v>2022</v>
      </c>
      <c r="AH255" s="563">
        <v>2023</v>
      </c>
      <c r="AI255" s="563">
        <v>2024</v>
      </c>
      <c r="AJ255" s="563">
        <v>2025</v>
      </c>
      <c r="AK255" s="563">
        <v>2026</v>
      </c>
      <c r="AL255" s="563">
        <v>2027</v>
      </c>
      <c r="AM255" s="563">
        <v>2028</v>
      </c>
      <c r="AN255" s="563">
        <v>2029</v>
      </c>
      <c r="AO255" s="563">
        <v>2030</v>
      </c>
      <c r="AP255" s="563">
        <v>2031</v>
      </c>
      <c r="AQ255" s="563">
        <v>2032</v>
      </c>
      <c r="AR255" s="563">
        <v>2033</v>
      </c>
      <c r="AS255" s="563">
        <v>2034</v>
      </c>
      <c r="AT255" s="2593">
        <v>2035</v>
      </c>
      <c r="AV255" s="957"/>
      <c r="AW255" s="957"/>
      <c r="AX255" s="957"/>
    </row>
    <row r="256" spans="1:50" customFormat="1">
      <c r="A256" s="79"/>
      <c r="B256" s="74"/>
      <c r="C256" s="74"/>
      <c r="D256" s="2200" t="s">
        <v>791</v>
      </c>
      <c r="E256" s="2199"/>
      <c r="F256" s="2199"/>
      <c r="G256" s="2199"/>
      <c r="H256" s="2199"/>
      <c r="I256" s="564">
        <v>312.31409166666703</v>
      </c>
      <c r="J256" s="564">
        <v>333.94192500000003</v>
      </c>
      <c r="K256" s="564">
        <v>389.696216666667</v>
      </c>
      <c r="L256" s="564">
        <v>442.99189166666702</v>
      </c>
      <c r="M256" s="564">
        <v>475.36524166666698</v>
      </c>
      <c r="N256" s="564">
        <v>537.65498475000004</v>
      </c>
      <c r="O256" s="564">
        <v>577.44897458333298</v>
      </c>
      <c r="P256" s="564">
        <v>557.82264077499997</v>
      </c>
      <c r="Q256" s="564">
        <v>551.71033333333298</v>
      </c>
      <c r="R256" s="564">
        <v>546.95500000000004</v>
      </c>
      <c r="S256" s="564">
        <v>546.84865308253995</v>
      </c>
      <c r="T256" s="564">
        <v>568.28132683333297</v>
      </c>
      <c r="U256" s="564">
        <v>583.13090659057195</v>
      </c>
      <c r="V256" s="564">
        <v>600.29320604267491</v>
      </c>
      <c r="W256" s="564">
        <v>614.29431630039051</v>
      </c>
      <c r="X256" s="564">
        <v>646.63949334820143</v>
      </c>
      <c r="Y256" s="2201">
        <v>682.43779531147175</v>
      </c>
      <c r="Z256" s="2201">
        <v>719.54</v>
      </c>
      <c r="AA256" s="2201">
        <v>787.2270116761639</v>
      </c>
      <c r="AB256" s="2201">
        <v>831.42755121763093</v>
      </c>
      <c r="AC256" s="2201">
        <v>861.08210413925633</v>
      </c>
      <c r="AD256" s="2201">
        <v>901.2008004999999</v>
      </c>
      <c r="AE256" s="2201">
        <v>945.1922248333334</v>
      </c>
      <c r="AF256" s="2201">
        <v>990.36278749999985</v>
      </c>
      <c r="AG256" s="2201">
        <v>1032.9918769999999</v>
      </c>
      <c r="AH256" s="2201">
        <v>1168.1139727499999</v>
      </c>
      <c r="AI256" s="2201">
        <v>1322.7254919166669</v>
      </c>
      <c r="AJ256" s="2201">
        <v>1428.4782755016431</v>
      </c>
      <c r="AK256" s="2201">
        <v>1487.8197300000002</v>
      </c>
      <c r="AL256" s="2201">
        <v>1555.5035715000001</v>
      </c>
      <c r="AM256" s="2201">
        <v>1633.2787500750003</v>
      </c>
      <c r="AN256" s="2201">
        <v>1706.5771134930005</v>
      </c>
      <c r="AO256" s="2201">
        <v>1766.1400009835406</v>
      </c>
      <c r="AP256" s="2201">
        <v>1883.9895256243449</v>
      </c>
      <c r="AQ256" s="2201">
        <v>1940.5092113930755</v>
      </c>
      <c r="AR256" s="2201">
        <v>1998.7244877348676</v>
      </c>
      <c r="AS256" s="2201">
        <v>2058.6862223669141</v>
      </c>
      <c r="AT256" s="2594">
        <v>2120.4468090379214</v>
      </c>
      <c r="AU256" s="1056"/>
      <c r="AV256" s="1687"/>
      <c r="AW256" s="1687"/>
      <c r="AX256" s="1687"/>
    </row>
    <row r="257" spans="1:50" customFormat="1">
      <c r="A257" s="79"/>
      <c r="B257" s="74"/>
      <c r="C257" s="74"/>
      <c r="D257" s="2200" t="s">
        <v>792</v>
      </c>
      <c r="E257" s="2199"/>
      <c r="F257" s="2199"/>
      <c r="G257" s="2199"/>
      <c r="H257" s="2199"/>
      <c r="I257" s="2202">
        <v>320.33839999999998</v>
      </c>
      <c r="J257" s="564">
        <v>349.53019999999998</v>
      </c>
      <c r="K257" s="564">
        <v>430.48599999999999</v>
      </c>
      <c r="L257" s="564">
        <v>457.9</v>
      </c>
      <c r="M257" s="564">
        <v>511.85379999999998</v>
      </c>
      <c r="N257" s="564">
        <v>580.28</v>
      </c>
      <c r="O257" s="564">
        <v>566.86</v>
      </c>
      <c r="P257" s="564">
        <v>553.71870000000001</v>
      </c>
      <c r="Q257" s="564">
        <v>548.65</v>
      </c>
      <c r="R257" s="564">
        <v>544.22027800000001</v>
      </c>
      <c r="S257" s="2203">
        <v>558.89750000000004</v>
      </c>
      <c r="T257" s="564">
        <v>571.24</v>
      </c>
      <c r="U257" s="564">
        <v>594.45000000000005</v>
      </c>
      <c r="V257" s="564">
        <v>604.14</v>
      </c>
      <c r="W257" s="564">
        <v>631.41</v>
      </c>
      <c r="X257" s="564">
        <v>670.08</v>
      </c>
      <c r="Y257" s="2201">
        <v>694.37</v>
      </c>
      <c r="Z257" s="2201">
        <v>747.40679999999998</v>
      </c>
      <c r="AA257" s="2201">
        <v>819.78899999999999</v>
      </c>
      <c r="AB257" s="2201">
        <v>844.99699999999996</v>
      </c>
      <c r="AC257" s="2204">
        <v>879.10087399999998</v>
      </c>
      <c r="AD257" s="2204">
        <v>922.51743799999997</v>
      </c>
      <c r="AE257" s="2205">
        <v>972.47503600000005</v>
      </c>
      <c r="AF257" s="2205">
        <v>1009.6</v>
      </c>
      <c r="AG257" s="2205">
        <v>1070.712397</v>
      </c>
      <c r="AH257" s="2205">
        <v>1263.9309539999999</v>
      </c>
      <c r="AI257" s="2205">
        <v>1382.9873419999999</v>
      </c>
      <c r="AJ257" s="2205">
        <v>1458.075</v>
      </c>
      <c r="AK257" s="2205">
        <v>1517.5644600000001</v>
      </c>
      <c r="AL257" s="2205">
        <v>1593.4426830000002</v>
      </c>
      <c r="AM257" s="2205">
        <v>1673.1148171500004</v>
      </c>
      <c r="AN257" s="2205">
        <v>1740.0394098360005</v>
      </c>
      <c r="AO257" s="2205">
        <v>1792.2405921310806</v>
      </c>
      <c r="AP257" s="2205">
        <v>1911.8317353626358</v>
      </c>
      <c r="AQ257" s="2205">
        <v>1969.186687423515</v>
      </c>
      <c r="AR257" s="2205">
        <v>2028.2622880462204</v>
      </c>
      <c r="AS257" s="2205">
        <v>2089.1101566876073</v>
      </c>
      <c r="AT257" s="2595">
        <v>2151.7834613882355</v>
      </c>
      <c r="AU257" s="1056"/>
      <c r="AV257" s="1687"/>
      <c r="AW257" s="1687"/>
      <c r="AX257" s="1687"/>
    </row>
    <row r="258" spans="1:50" customFormat="1">
      <c r="A258" s="79"/>
      <c r="B258" s="74"/>
      <c r="C258" s="74"/>
      <c r="D258" s="2200" t="s">
        <v>96</v>
      </c>
      <c r="E258" s="2199"/>
      <c r="F258" s="2199"/>
      <c r="G258" s="2199"/>
      <c r="H258" s="2199"/>
      <c r="I258" s="2202"/>
      <c r="J258" s="564"/>
      <c r="K258" s="564"/>
      <c r="L258" s="564"/>
      <c r="M258" s="564"/>
      <c r="N258" s="564"/>
      <c r="O258" s="564"/>
      <c r="P258" s="564"/>
      <c r="Q258" s="564"/>
      <c r="R258" s="564"/>
      <c r="S258" s="2203"/>
      <c r="T258" s="564"/>
      <c r="U258" s="564"/>
      <c r="V258" s="564">
        <v>604.14</v>
      </c>
      <c r="W258" s="564">
        <v>604.14</v>
      </c>
      <c r="X258" s="564">
        <v>604.1</v>
      </c>
      <c r="Y258" s="2206">
        <v>670.1</v>
      </c>
      <c r="Z258" s="2206">
        <v>694.37</v>
      </c>
      <c r="AA258" s="2206">
        <v>807.2</v>
      </c>
      <c r="AB258" s="2206">
        <v>844.99699999999996</v>
      </c>
      <c r="AC258" s="2206">
        <v>879.10087399999998</v>
      </c>
      <c r="AD258" s="2206">
        <v>922.51743799999997</v>
      </c>
      <c r="AE258" s="2206">
        <v>937.07716100000005</v>
      </c>
      <c r="AF258" s="2206">
        <v>987.13989600000002</v>
      </c>
      <c r="AG258" s="2206">
        <v>1024.4824060000001</v>
      </c>
      <c r="AH258" s="2206">
        <v>1164.5544950000001</v>
      </c>
      <c r="AI258" s="2206">
        <v>1164.5544950000001</v>
      </c>
      <c r="AJ258" s="2206">
        <v>1164.5544950000001</v>
      </c>
      <c r="AK258" s="2206">
        <v>1164.5544950000001</v>
      </c>
      <c r="AL258" s="2206">
        <v>1164.5544950000001</v>
      </c>
      <c r="AM258" s="2206">
        <v>1164.5544950000001</v>
      </c>
      <c r="AN258" s="2206">
        <v>1164.5544950000001</v>
      </c>
      <c r="AO258" s="2206">
        <v>1164.5544950000001</v>
      </c>
      <c r="AP258" s="2206">
        <v>1164.5544950000001</v>
      </c>
      <c r="AQ258" s="2206">
        <v>1164.5544950000001</v>
      </c>
      <c r="AR258" s="2206">
        <v>1164.5544950000001</v>
      </c>
      <c r="AS258" s="2206">
        <v>1164.5544950000001</v>
      </c>
      <c r="AT258" s="2596">
        <v>1164.5544950000001</v>
      </c>
      <c r="AU258" s="1056"/>
      <c r="AV258" s="1687"/>
      <c r="AW258" s="1687"/>
      <c r="AX258" s="1687"/>
    </row>
    <row r="259" spans="1:50" customFormat="1">
      <c r="A259" s="79"/>
      <c r="B259" s="74"/>
      <c r="C259" s="74"/>
      <c r="D259" s="2207" t="s">
        <v>793</v>
      </c>
      <c r="E259" s="2199"/>
      <c r="F259" s="2199"/>
      <c r="G259" s="2199"/>
      <c r="H259" s="2199"/>
      <c r="I259" s="2202"/>
      <c r="J259" s="564"/>
      <c r="K259" s="564"/>
      <c r="L259" s="564"/>
      <c r="M259" s="564"/>
      <c r="N259" s="564"/>
      <c r="O259" s="564"/>
      <c r="P259" s="564"/>
      <c r="Q259" s="564"/>
      <c r="R259" s="564"/>
      <c r="S259" s="2203"/>
      <c r="T259" s="564"/>
      <c r="U259" s="564"/>
      <c r="V259" s="565">
        <v>595.00815743287831</v>
      </c>
      <c r="W259" s="565">
        <v>604.02286436978932</v>
      </c>
      <c r="X259" s="565">
        <v>629.03578330305425</v>
      </c>
      <c r="Y259" s="2208">
        <v>667.12013173404773</v>
      </c>
      <c r="Z259" s="2208">
        <v>688.8</v>
      </c>
      <c r="AA259" s="2208">
        <v>749.6392051420986</v>
      </c>
      <c r="AB259" s="2208">
        <v>817.95751141666676</v>
      </c>
      <c r="AC259" s="2208">
        <v>846.28291674999991</v>
      </c>
      <c r="AD259" s="2208">
        <v>880.72263841666665</v>
      </c>
      <c r="AE259" s="2208">
        <v>921.71570749999989</v>
      </c>
      <c r="AF259" s="2208">
        <v>969.96516758333337</v>
      </c>
      <c r="AG259" s="2208">
        <v>1008.0094528181818</v>
      </c>
      <c r="AH259" s="2208">
        <v>1081.0623201800001</v>
      </c>
      <c r="AI259" s="2208">
        <v>1256.9432939166666</v>
      </c>
      <c r="AJ259" s="2208">
        <v>1375.6018837091551</v>
      </c>
      <c r="AK259" s="2208">
        <v>1458.1490027508216</v>
      </c>
      <c r="AL259" s="2208">
        <v>1521.6616507500003</v>
      </c>
      <c r="AM259" s="2208">
        <v>1594.3911607875002</v>
      </c>
      <c r="AN259" s="2208">
        <v>1669.9279317840005</v>
      </c>
      <c r="AO259" s="2208">
        <v>1736.3585572382706</v>
      </c>
      <c r="AP259" s="2208">
        <v>1856.5527849599125</v>
      </c>
      <c r="AQ259" s="2208">
        <v>1912.2493685087102</v>
      </c>
      <c r="AR259" s="2208">
        <v>1969.6168495639715</v>
      </c>
      <c r="AS259" s="2208">
        <v>2028.7053550508908</v>
      </c>
      <c r="AT259" s="2597">
        <v>2089.5665157024177</v>
      </c>
      <c r="AU259" s="1056"/>
    </row>
    <row r="260" spans="1:50">
      <c r="D260" s="2209" t="s">
        <v>794</v>
      </c>
      <c r="E260" s="563" t="s">
        <v>795</v>
      </c>
      <c r="F260" s="2199"/>
      <c r="G260" s="2199"/>
      <c r="H260" s="2199"/>
      <c r="I260" s="564">
        <v>1169.4015942600829</v>
      </c>
      <c r="J260" s="564">
        <v>1186.6615942600829</v>
      </c>
      <c r="K260" s="564">
        <v>1200.700194260083</v>
      </c>
      <c r="L260" s="564">
        <v>1198.8781942600831</v>
      </c>
      <c r="M260" s="564">
        <v>1185.6181942600831</v>
      </c>
      <c r="N260" s="564">
        <v>1172.7981942600832</v>
      </c>
      <c r="O260" s="564">
        <v>1208.4931942600831</v>
      </c>
      <c r="P260" s="564">
        <v>1100.5552628315118</v>
      </c>
      <c r="Q260" s="564">
        <v>981.39626283151165</v>
      </c>
      <c r="R260" s="564">
        <v>899.87561632175561</v>
      </c>
      <c r="S260" s="564">
        <v>789.20526816999995</v>
      </c>
      <c r="T260" s="564">
        <v>734.9</v>
      </c>
      <c r="U260" s="564">
        <v>813</v>
      </c>
      <c r="V260" s="564">
        <v>1049.79</v>
      </c>
      <c r="W260" s="564">
        <v>843.45</v>
      </c>
      <c r="X260" s="564">
        <v>1070.3800000000001</v>
      </c>
      <c r="Y260" s="2210">
        <v>950.78992467992578</v>
      </c>
      <c r="Z260" s="2210">
        <v>922.25545713525753</v>
      </c>
      <c r="AA260" s="2210">
        <v>1001.4782706281737</v>
      </c>
      <c r="AB260" s="2210">
        <v>1165.5980080402653</v>
      </c>
      <c r="AC260" s="2210">
        <v>1319.089728493643</v>
      </c>
      <c r="AD260" s="2210">
        <v>1440.415720358448</v>
      </c>
      <c r="AE260" s="2210">
        <v>1722.1086335583839</v>
      </c>
      <c r="AF260" s="2210">
        <v>1888.7181755150552</v>
      </c>
      <c r="AG260" s="2210">
        <v>1746.5639654866159</v>
      </c>
      <c r="AH260" s="2210">
        <v>1853.1125870345604</v>
      </c>
      <c r="AI260" s="2210">
        <v>2412.5872591572861</v>
      </c>
      <c r="AJ260" s="2210">
        <v>2122.6733710252174</v>
      </c>
      <c r="AK260" s="2210">
        <v>2435.8506193340572</v>
      </c>
      <c r="AL260" s="2210">
        <v>2528.4958599924898</v>
      </c>
      <c r="AM260" s="2210">
        <v>2595.4149232964628</v>
      </c>
      <c r="AN260" s="2210">
        <v>2475.2788222552767</v>
      </c>
      <c r="AO260" s="2210">
        <v>2438.8819862947794</v>
      </c>
      <c r="AP260" s="2210">
        <v>3411.2539171201556</v>
      </c>
      <c r="AQ260" s="2210">
        <v>3870.7150310027555</v>
      </c>
      <c r="AR260" s="2210">
        <v>4784.1147938859667</v>
      </c>
      <c r="AS260" s="2210">
        <v>6141.6340993090362</v>
      </c>
      <c r="AT260" s="2598">
        <v>8066.3334916918839</v>
      </c>
      <c r="AU260" s="1056"/>
      <c r="AV260"/>
      <c r="AW260"/>
      <c r="AX260"/>
    </row>
    <row r="261" spans="1:50">
      <c r="D261" s="2209" t="s">
        <v>3560</v>
      </c>
      <c r="E261" s="563">
        <v>0</v>
      </c>
      <c r="F261" s="2199">
        <v>0</v>
      </c>
      <c r="G261" s="2199">
        <v>0</v>
      </c>
      <c r="H261" s="2199">
        <v>0</v>
      </c>
      <c r="I261" s="564">
        <v>0</v>
      </c>
      <c r="J261" s="564">
        <v>0</v>
      </c>
      <c r="K261" s="564">
        <v>0</v>
      </c>
      <c r="L261" s="564">
        <v>0</v>
      </c>
      <c r="M261" s="564">
        <v>0</v>
      </c>
      <c r="N261" s="564">
        <v>0</v>
      </c>
      <c r="O261" s="564">
        <v>0</v>
      </c>
      <c r="P261" s="564">
        <v>0</v>
      </c>
      <c r="Q261" s="564">
        <v>0</v>
      </c>
      <c r="R261" s="564">
        <v>0</v>
      </c>
      <c r="S261" s="564">
        <v>0</v>
      </c>
      <c r="T261" s="564">
        <v>0</v>
      </c>
      <c r="U261" s="564">
        <v>0</v>
      </c>
      <c r="V261" s="564">
        <v>0</v>
      </c>
      <c r="W261" s="564">
        <v>0</v>
      </c>
      <c r="X261" s="564">
        <v>0</v>
      </c>
      <c r="Y261" s="2210"/>
      <c r="Z261" s="2210"/>
      <c r="AA261" s="2210"/>
      <c r="AB261" s="2210"/>
      <c r="AC261" s="2210"/>
      <c r="AD261" s="2210"/>
      <c r="AE261" s="2210"/>
      <c r="AF261" s="2210">
        <v>1868.3072558359484</v>
      </c>
      <c r="AG261" s="2210">
        <v>1726.8925447325325</v>
      </c>
      <c r="AH261" s="2210">
        <v>1834.314846347216</v>
      </c>
      <c r="AI261" s="2210">
        <v>2406.9842956458529</v>
      </c>
      <c r="AJ261" s="2210">
        <v>2117.0704075137842</v>
      </c>
      <c r="AK261" s="2210">
        <v>2430.247655822624</v>
      </c>
      <c r="AL261" s="2210">
        <v>2522.8928964810566</v>
      </c>
      <c r="AM261" s="2210">
        <v>2589.8119597850296</v>
      </c>
      <c r="AN261" s="2210">
        <v>2469.6758587438435</v>
      </c>
      <c r="AO261" s="2210">
        <v>2536.594922047816</v>
      </c>
      <c r="AP261" s="2210">
        <v>3385.8698171894648</v>
      </c>
      <c r="AQ261" s="2210">
        <v>3625.9775924823625</v>
      </c>
      <c r="AR261" s="2210">
        <v>3625.9775924823625</v>
      </c>
      <c r="AS261" s="2210">
        <v>3625.9775924823625</v>
      </c>
      <c r="AT261" s="2598">
        <v>3625.9775924823625</v>
      </c>
      <c r="AU261" s="1056"/>
      <c r="AV261"/>
      <c r="AW261"/>
      <c r="AX261"/>
    </row>
    <row r="262" spans="1:50">
      <c r="D262" s="2211" t="s">
        <v>821</v>
      </c>
      <c r="E262" s="563"/>
      <c r="F262" s="2199"/>
      <c r="G262" s="2199"/>
      <c r="H262" s="2199"/>
      <c r="I262" s="2202"/>
      <c r="J262" s="564"/>
      <c r="K262" s="564"/>
      <c r="L262" s="564"/>
      <c r="M262" s="564"/>
      <c r="N262" s="564"/>
      <c r="O262" s="564"/>
      <c r="P262" s="564"/>
      <c r="Q262" s="564"/>
      <c r="R262" s="564"/>
      <c r="S262" s="2203"/>
      <c r="T262" s="564"/>
      <c r="U262" s="564"/>
      <c r="V262" s="564"/>
      <c r="W262" s="564"/>
      <c r="X262" s="564"/>
      <c r="Y262" s="2201"/>
      <c r="Z262" s="2201"/>
      <c r="AA262" s="2201">
        <v>728.87723538726073</v>
      </c>
      <c r="AB262" s="2262">
        <v>737.93207155862012</v>
      </c>
      <c r="AC262" s="2262">
        <v>749.30837457832922</v>
      </c>
      <c r="AD262" s="2262">
        <v>981.34999999999991</v>
      </c>
      <c r="AE262" s="2201"/>
      <c r="AF262" s="2201"/>
      <c r="AG262" s="2201"/>
      <c r="AH262" s="2201"/>
      <c r="AI262" s="2201"/>
      <c r="AJ262" s="2201"/>
      <c r="AK262" s="2201"/>
      <c r="AL262" s="2201"/>
      <c r="AM262" s="2201"/>
      <c r="AN262" s="2201"/>
      <c r="AO262" s="2201"/>
      <c r="AP262" s="2201"/>
      <c r="AQ262" s="2201"/>
      <c r="AR262" s="2201"/>
      <c r="AS262" s="2201"/>
      <c r="AT262" s="2594"/>
      <c r="AU262" s="1056"/>
    </row>
    <row r="263" spans="1:50">
      <c r="D263" s="2209" t="s">
        <v>3809</v>
      </c>
      <c r="E263" s="2214"/>
      <c r="F263" s="2215"/>
      <c r="G263" s="2215"/>
      <c r="H263" s="2215"/>
      <c r="I263" s="2202"/>
      <c r="J263" s="2212"/>
      <c r="K263" s="2212"/>
      <c r="L263" s="2212"/>
      <c r="M263" s="2212"/>
      <c r="N263" s="2212"/>
      <c r="O263" s="2212"/>
      <c r="P263" s="2212"/>
      <c r="Q263" s="2212"/>
      <c r="R263" s="2212"/>
      <c r="S263" s="2203"/>
      <c r="T263" s="2212"/>
      <c r="U263" s="2212"/>
      <c r="V263" s="2212"/>
      <c r="W263" s="2212">
        <v>719.29000000000008</v>
      </c>
      <c r="X263" s="2212">
        <v>947.31000000000017</v>
      </c>
      <c r="Y263" s="2216">
        <v>843.49842303094897</v>
      </c>
      <c r="Z263" s="2216">
        <v>814.95110828534075</v>
      </c>
      <c r="AA263" s="2216">
        <v>789.40267407796387</v>
      </c>
      <c r="AB263" s="2216">
        <v>862.22281914502435</v>
      </c>
      <c r="AC263" s="2217">
        <v>1012.8881030719722</v>
      </c>
      <c r="AD263" s="2217">
        <v>1102.1798561196049</v>
      </c>
      <c r="AE263" s="2217">
        <v>1190.1749764178503</v>
      </c>
      <c r="AF263" s="2217">
        <v>1179.9149477951</v>
      </c>
      <c r="AG263" s="2217">
        <v>1105.1685712386495</v>
      </c>
      <c r="AH263" s="2217">
        <v>1000.7019248174623</v>
      </c>
      <c r="AI263" s="2217">
        <v>1295.559468086243</v>
      </c>
      <c r="AJ263" s="2217">
        <v>1023.3034564626414</v>
      </c>
      <c r="AK263" s="2217">
        <v>1371.6632200515428</v>
      </c>
      <c r="AL263" s="2217">
        <v>1523.8319585239947</v>
      </c>
      <c r="AM263" s="2217">
        <v>1725.4930805137117</v>
      </c>
      <c r="AN263" s="2217">
        <v>1720.3716673715808</v>
      </c>
      <c r="AO263" s="2217">
        <v>1734.7124699199389</v>
      </c>
      <c r="AP263" s="2217">
        <v>2693.4311744779125</v>
      </c>
      <c r="AQ263" s="2217">
        <v>3217.2180947585302</v>
      </c>
      <c r="AR263" s="2217">
        <v>4129.2846033473379</v>
      </c>
      <c r="AS263" s="2217">
        <v>5504.9565494593235</v>
      </c>
      <c r="AT263" s="2599">
        <v>7461.9544659210651</v>
      </c>
      <c r="AU263" s="1056"/>
    </row>
    <row r="264" spans="1:50">
      <c r="D264" s="2209" t="s">
        <v>1150</v>
      </c>
      <c r="E264" s="2214"/>
      <c r="F264" s="2215"/>
      <c r="G264" s="2215"/>
      <c r="H264" s="2215"/>
      <c r="I264" s="2202"/>
      <c r="J264" s="2212"/>
      <c r="K264" s="2212"/>
      <c r="L264" s="2212"/>
      <c r="M264" s="2212"/>
      <c r="N264" s="2212"/>
      <c r="O264" s="2212"/>
      <c r="P264" s="2212"/>
      <c r="Q264" s="2212"/>
      <c r="R264" s="2212"/>
      <c r="S264" s="2203"/>
      <c r="T264" s="2212"/>
      <c r="U264" s="2212"/>
      <c r="V264" s="2212"/>
      <c r="W264" s="2212"/>
      <c r="X264" s="2212"/>
      <c r="Y264" s="2216">
        <v>107.29150164897678</v>
      </c>
      <c r="Z264" s="2216">
        <v>107.30434884991681</v>
      </c>
      <c r="AA264" s="2216">
        <v>212.07559655020987</v>
      </c>
      <c r="AB264" s="2216">
        <v>291.63215187875431</v>
      </c>
      <c r="AC264" s="2216">
        <v>306.20162542167071</v>
      </c>
      <c r="AD264" s="2216">
        <v>338.23586423884308</v>
      </c>
      <c r="AE264" s="2216">
        <v>531.93365714053346</v>
      </c>
      <c r="AF264" s="2216">
        <v>708.80322771995509</v>
      </c>
      <c r="AG264" s="2216">
        <v>641.39539424796635</v>
      </c>
      <c r="AH264" s="2216">
        <v>852.41066221709809</v>
      </c>
      <c r="AI264" s="2216">
        <v>1117.0277910710431</v>
      </c>
      <c r="AJ264" s="2216">
        <v>1099.369914562576</v>
      </c>
      <c r="AK264" s="2216">
        <v>1064.1873992825144</v>
      </c>
      <c r="AL264" s="2216">
        <v>1004.6639014684953</v>
      </c>
      <c r="AM264" s="2216">
        <v>869.92184278275113</v>
      </c>
      <c r="AN264" s="2216">
        <v>754.90715488369585</v>
      </c>
      <c r="AO264" s="2216">
        <v>704.16951637484044</v>
      </c>
      <c r="AP264" s="2216">
        <v>717.82274264224316</v>
      </c>
      <c r="AQ264" s="2216">
        <v>653.49693624422525</v>
      </c>
      <c r="AR264" s="2216">
        <v>654.83019053862927</v>
      </c>
      <c r="AS264" s="2216">
        <v>636.67754984971293</v>
      </c>
      <c r="AT264" s="2600">
        <v>604.37902577081911</v>
      </c>
      <c r="AU264" s="1056"/>
    </row>
    <row r="265" spans="1:50" ht="15.9" thickBot="1">
      <c r="D265" s="2211" t="s">
        <v>3810</v>
      </c>
      <c r="E265" s="2214"/>
      <c r="F265" s="2215"/>
      <c r="G265" s="2215"/>
      <c r="H265" s="2215"/>
      <c r="I265" s="2202"/>
      <c r="J265" s="2212"/>
      <c r="K265" s="2212"/>
      <c r="L265" s="2212"/>
      <c r="M265" s="2212"/>
      <c r="N265" s="2212"/>
      <c r="O265" s="2212"/>
      <c r="P265" s="2212"/>
      <c r="Q265" s="2212"/>
      <c r="R265" s="2212"/>
      <c r="S265" s="2203"/>
      <c r="T265" s="2212"/>
      <c r="U265" s="2212"/>
      <c r="V265" s="2212"/>
      <c r="W265" s="2212"/>
      <c r="X265" s="2212"/>
      <c r="Y265" s="2213"/>
      <c r="Z265" s="2213"/>
      <c r="AA265" s="2213"/>
      <c r="AB265" s="2213">
        <v>11.743037016486682</v>
      </c>
      <c r="AC265" s="2213">
        <v>-1.0427206202479973</v>
      </c>
      <c r="AD265" s="2213">
        <v>-7.5063553069316287</v>
      </c>
      <c r="AE265" s="2213">
        <v>2.4381026241233452</v>
      </c>
      <c r="AF265" s="2213">
        <v>11.474810384958761</v>
      </c>
      <c r="AG265" s="2213">
        <v>-42.281232101911584</v>
      </c>
      <c r="AH265" s="2213">
        <v>-1.471355307212741</v>
      </c>
      <c r="AI265" s="2213">
        <v>-3.9250249059445697</v>
      </c>
      <c r="AJ265" s="2213">
        <v>18.501717339825177</v>
      </c>
      <c r="AK265" s="2263">
        <v>20.575991557996119</v>
      </c>
      <c r="AL265" s="2212">
        <v>2.397216062884</v>
      </c>
      <c r="AM265" s="2212">
        <v>1.666197776661398</v>
      </c>
      <c r="AN265" s="2212">
        <v>1.0824181097637251</v>
      </c>
      <c r="AO265" s="2212">
        <v>1.3656291749506713</v>
      </c>
      <c r="AP265" s="2212">
        <v>1.5358832028200349</v>
      </c>
      <c r="AQ265" s="2212">
        <v>1.4131373359603601</v>
      </c>
      <c r="AR265" s="2212">
        <v>1.3529316293015172</v>
      </c>
      <c r="AS265" s="2212">
        <v>1.355650251644041</v>
      </c>
      <c r="AT265" s="2601">
        <v>1.3186354265224158</v>
      </c>
      <c r="AU265" s="1056"/>
    </row>
    <row r="266" spans="1:50">
      <c r="D266" s="2211" t="s">
        <v>3783</v>
      </c>
      <c r="E266" s="2214"/>
      <c r="F266" s="2215"/>
      <c r="G266" s="2215"/>
      <c r="H266" s="2215"/>
      <c r="I266" s="2202"/>
      <c r="J266" s="2212"/>
      <c r="K266" s="2212"/>
      <c r="L266" s="2212"/>
      <c r="M266" s="2212"/>
      <c r="N266" s="2212"/>
      <c r="O266" s="2212"/>
      <c r="P266" s="2212"/>
      <c r="Q266" s="2212"/>
      <c r="R266" s="2212"/>
      <c r="S266" s="2203"/>
      <c r="T266" s="2212"/>
      <c r="U266" s="2212"/>
      <c r="V266" s="2212"/>
      <c r="W266" s="2212"/>
      <c r="X266" s="2212"/>
      <c r="Y266" s="2213"/>
      <c r="Z266" s="2213"/>
      <c r="AA266" s="2213"/>
      <c r="AB266" s="2213"/>
      <c r="AC266" s="2213"/>
      <c r="AD266" s="2213"/>
      <c r="AE266" s="2213"/>
      <c r="AF266" s="2213"/>
      <c r="AG266" s="2218"/>
      <c r="AH266" s="2219">
        <v>86.380065853388274</v>
      </c>
      <c r="AI266" s="2220">
        <v>76.058250146778974</v>
      </c>
      <c r="AJ266" s="2205"/>
      <c r="AK266" s="2201"/>
      <c r="AL266" s="2201"/>
      <c r="AM266" s="2201"/>
      <c r="AN266" s="2201"/>
      <c r="AO266" s="2201"/>
      <c r="AP266" s="2201"/>
      <c r="AQ266" s="2201"/>
      <c r="AR266" s="2201"/>
      <c r="AS266" s="2201"/>
      <c r="AT266" s="2594"/>
      <c r="AU266" s="1056"/>
    </row>
    <row r="267" spans="1:50" ht="15.9" thickBot="1">
      <c r="D267" s="2211" t="s">
        <v>3784</v>
      </c>
      <c r="E267" s="563"/>
      <c r="F267" s="2199"/>
      <c r="G267" s="2199"/>
      <c r="H267" s="2199"/>
      <c r="I267" s="2202"/>
      <c r="J267" s="564"/>
      <c r="K267" s="564"/>
      <c r="L267" s="564"/>
      <c r="M267" s="564"/>
      <c r="N267" s="564"/>
      <c r="O267" s="564"/>
      <c r="P267" s="564"/>
      <c r="Q267" s="564"/>
      <c r="R267" s="564"/>
      <c r="S267" s="2203"/>
      <c r="T267" s="564"/>
      <c r="U267" s="564"/>
      <c r="V267" s="564"/>
      <c r="W267" s="564"/>
      <c r="X267" s="564"/>
      <c r="Y267" s="2201"/>
      <c r="Z267" s="2201"/>
      <c r="AA267" s="2201"/>
      <c r="AB267" s="2201"/>
      <c r="AC267" s="2201"/>
      <c r="AD267" s="2201"/>
      <c r="AE267" s="2201"/>
      <c r="AF267" s="2201"/>
      <c r="AG267" s="2218"/>
      <c r="AH267" s="2221">
        <v>43.190032926694137</v>
      </c>
      <c r="AI267" s="2222">
        <v>95.072812683473714</v>
      </c>
      <c r="AJ267" s="2205"/>
      <c r="AK267" s="2201"/>
      <c r="AL267" s="2201"/>
      <c r="AM267" s="2201"/>
      <c r="AN267" s="2201"/>
      <c r="AO267" s="2201"/>
      <c r="AP267" s="2201"/>
      <c r="AQ267" s="2201"/>
      <c r="AR267" s="2201"/>
      <c r="AS267" s="2201"/>
      <c r="AT267" s="2594"/>
      <c r="AU267" s="1056"/>
    </row>
    <row r="268" spans="1:50">
      <c r="D268" s="2211" t="s">
        <v>3785</v>
      </c>
      <c r="E268" s="563"/>
      <c r="F268" s="2199"/>
      <c r="G268" s="2199"/>
      <c r="H268" s="2199"/>
      <c r="I268" s="2202"/>
      <c r="J268" s="564"/>
      <c r="K268" s="564"/>
      <c r="L268" s="564"/>
      <c r="M268" s="564"/>
      <c r="N268" s="564"/>
      <c r="O268" s="564"/>
      <c r="P268" s="564"/>
      <c r="Q268" s="564"/>
      <c r="R268" s="564"/>
      <c r="S268" s="2203"/>
      <c r="T268" s="564"/>
      <c r="U268" s="564"/>
      <c r="V268" s="564"/>
      <c r="W268" s="564"/>
      <c r="X268" s="564"/>
      <c r="Y268" s="2201"/>
      <c r="Z268" s="2201"/>
      <c r="AA268" s="2201"/>
      <c r="AB268" s="2201"/>
      <c r="AC268" s="2201"/>
      <c r="AD268" s="2201"/>
      <c r="AE268" s="2201"/>
      <c r="AF268" s="2201"/>
      <c r="AG268" s="2218"/>
      <c r="AH268" s="2219">
        <v>0</v>
      </c>
      <c r="AI268" s="2220">
        <v>88.291926585437508</v>
      </c>
      <c r="AJ268" s="2205"/>
      <c r="AK268" s="2201"/>
      <c r="AL268" s="2201"/>
      <c r="AM268" s="2201"/>
      <c r="AN268" s="2201"/>
      <c r="AO268" s="2201"/>
      <c r="AP268" s="2201"/>
      <c r="AQ268" s="2201"/>
      <c r="AR268" s="2201"/>
      <c r="AS268" s="2201"/>
      <c r="AT268" s="2594"/>
      <c r="AU268" s="1056"/>
    </row>
    <row r="269" spans="1:50" ht="15.9" thickBot="1">
      <c r="D269" s="2211" t="s">
        <v>3786</v>
      </c>
      <c r="E269" s="563"/>
      <c r="F269" s="2199"/>
      <c r="G269" s="2199"/>
      <c r="H269" s="2199"/>
      <c r="I269" s="2202"/>
      <c r="J269" s="564"/>
      <c r="K269" s="564"/>
      <c r="L269" s="564"/>
      <c r="M269" s="564"/>
      <c r="N269" s="564"/>
      <c r="O269" s="564"/>
      <c r="P269" s="564"/>
      <c r="Q269" s="564"/>
      <c r="R269" s="564"/>
      <c r="S269" s="2203"/>
      <c r="T269" s="564"/>
      <c r="U269" s="564"/>
      <c r="V269" s="564"/>
      <c r="W269" s="564"/>
      <c r="X269" s="564"/>
      <c r="Y269" s="2201"/>
      <c r="Z269" s="2201"/>
      <c r="AA269" s="2201"/>
      <c r="AB269" s="2201"/>
      <c r="AC269" s="2201"/>
      <c r="AD269" s="2201"/>
      <c r="AE269" s="2201"/>
      <c r="AF269" s="2201"/>
      <c r="AG269" s="2218"/>
      <c r="AH269" s="2221">
        <v>77.971607681062494</v>
      </c>
      <c r="AI269" s="2222">
        <v>88.291926585437508</v>
      </c>
      <c r="AJ269" s="2205"/>
      <c r="AK269" s="2201"/>
      <c r="AL269" s="2201"/>
      <c r="AM269" s="2201"/>
      <c r="AN269" s="2201"/>
      <c r="AO269" s="2201"/>
      <c r="AP269" s="2201"/>
      <c r="AQ269" s="2201"/>
      <c r="AR269" s="2201"/>
      <c r="AS269" s="2201"/>
      <c r="AT269" s="2594"/>
      <c r="AU269" s="1056"/>
    </row>
    <row r="270" spans="1:50">
      <c r="D270" s="2211" t="s">
        <v>3787</v>
      </c>
      <c r="E270" s="563"/>
      <c r="F270" s="2199"/>
      <c r="G270" s="2199"/>
      <c r="H270" s="2199"/>
      <c r="I270" s="2202"/>
      <c r="J270" s="564"/>
      <c r="K270" s="564"/>
      <c r="L270" s="564"/>
      <c r="M270" s="564"/>
      <c r="N270" s="564"/>
      <c r="O270" s="564"/>
      <c r="P270" s="564"/>
      <c r="Q270" s="564"/>
      <c r="R270" s="564"/>
      <c r="S270" s="2203"/>
      <c r="T270" s="564"/>
      <c r="U270" s="564"/>
      <c r="V270" s="564"/>
      <c r="W270" s="564"/>
      <c r="X270" s="564"/>
      <c r="Y270" s="2201"/>
      <c r="Z270" s="2201"/>
      <c r="AA270" s="2201"/>
      <c r="AB270" s="2201"/>
      <c r="AC270" s="2201"/>
      <c r="AD270" s="2201"/>
      <c r="AE270" s="2201"/>
      <c r="AF270" s="2201"/>
      <c r="AG270" s="2201"/>
      <c r="AH270" s="2219">
        <v>0</v>
      </c>
      <c r="AI270" s="2220">
        <v>17.658385317087504</v>
      </c>
      <c r="AJ270" s="2205"/>
      <c r="AK270" s="2201"/>
      <c r="AL270" s="2201"/>
      <c r="AM270" s="2201"/>
      <c r="AN270" s="2205"/>
      <c r="AO270" s="2201"/>
      <c r="AP270" s="2201"/>
      <c r="AQ270" s="2201"/>
      <c r="AR270" s="2201"/>
      <c r="AS270" s="2201"/>
      <c r="AT270" s="2594"/>
      <c r="AU270" s="1056"/>
    </row>
    <row r="271" spans="1:50" ht="15.9" thickBot="1">
      <c r="D271" s="2211" t="s">
        <v>3788</v>
      </c>
      <c r="E271" s="563"/>
      <c r="F271" s="2199"/>
      <c r="G271" s="2199"/>
      <c r="H271" s="2199"/>
      <c r="I271" s="2202"/>
      <c r="J271" s="564"/>
      <c r="K271" s="564"/>
      <c r="L271" s="564"/>
      <c r="M271" s="564"/>
      <c r="N271" s="564"/>
      <c r="O271" s="564"/>
      <c r="P271" s="564"/>
      <c r="Q271" s="564"/>
      <c r="R271" s="564"/>
      <c r="S271" s="2203"/>
      <c r="T271" s="564"/>
      <c r="U271" s="564"/>
      <c r="V271" s="564"/>
      <c r="W271" s="564"/>
      <c r="X271" s="564"/>
      <c r="Y271" s="2201"/>
      <c r="Z271" s="2201"/>
      <c r="AA271" s="2201"/>
      <c r="AB271" s="2201"/>
      <c r="AC271" s="2201"/>
      <c r="AD271" s="2201"/>
      <c r="AE271" s="2201"/>
      <c r="AF271" s="2201"/>
      <c r="AG271" s="2201"/>
      <c r="AH271" s="2221">
        <v>15.594321536212501</v>
      </c>
      <c r="AI271" s="2222">
        <v>17.658385317087504</v>
      </c>
      <c r="AJ271" s="2205"/>
      <c r="AK271" s="2201"/>
      <c r="AL271" s="2201"/>
      <c r="AM271" s="2201"/>
      <c r="AN271" s="2205"/>
      <c r="AO271" s="2201"/>
      <c r="AP271" s="2201"/>
      <c r="AQ271" s="2201"/>
      <c r="AR271" s="2201"/>
      <c r="AS271" s="2201"/>
      <c r="AT271" s="2594"/>
      <c r="AU271" s="1056"/>
    </row>
    <row r="272" spans="1:50">
      <c r="D272" s="2211" t="s">
        <v>3789</v>
      </c>
      <c r="E272" s="563"/>
      <c r="F272" s="2199"/>
      <c r="G272" s="2199"/>
      <c r="H272" s="2199"/>
      <c r="I272" s="2202"/>
      <c r="J272" s="564"/>
      <c r="K272" s="564"/>
      <c r="L272" s="564"/>
      <c r="M272" s="564"/>
      <c r="N272" s="564"/>
      <c r="O272" s="564"/>
      <c r="P272" s="564"/>
      <c r="Q272" s="564"/>
      <c r="R272" s="564"/>
      <c r="S272" s="2203"/>
      <c r="T272" s="564"/>
      <c r="U272" s="564"/>
      <c r="V272" s="564"/>
      <c r="W272" s="564"/>
      <c r="X272" s="564"/>
      <c r="Y272" s="2201"/>
      <c r="Z272" s="2201"/>
      <c r="AA272" s="2201"/>
      <c r="AB272" s="2201"/>
      <c r="AC272" s="2201"/>
      <c r="AD272" s="2201"/>
      <c r="AE272" s="2201"/>
      <c r="AF272" s="2201"/>
      <c r="AG272" s="2201"/>
      <c r="AH272" s="2201"/>
      <c r="AI272" s="2201"/>
      <c r="AJ272" s="2201"/>
      <c r="AK272" s="2223">
        <v>0</v>
      </c>
      <c r="AL272" s="2224">
        <v>0</v>
      </c>
      <c r="AM272" s="2225">
        <v>0</v>
      </c>
      <c r="AN272" s="2205"/>
      <c r="AO272" s="2201"/>
      <c r="AP272" s="2201"/>
      <c r="AQ272" s="2201"/>
      <c r="AR272" s="2201"/>
      <c r="AS272" s="2201"/>
      <c r="AT272" s="2594"/>
      <c r="AU272" s="1056"/>
    </row>
    <row r="273" spans="4:47" ht="15.9" thickBot="1">
      <c r="D273" s="2211" t="s">
        <v>3786</v>
      </c>
      <c r="E273" s="563"/>
      <c r="F273" s="2199"/>
      <c r="G273" s="2199"/>
      <c r="H273" s="2199"/>
      <c r="I273" s="2202"/>
      <c r="J273" s="564"/>
      <c r="K273" s="564"/>
      <c r="L273" s="564"/>
      <c r="M273" s="564"/>
      <c r="N273" s="564"/>
      <c r="O273" s="564"/>
      <c r="P273" s="564"/>
      <c r="Q273" s="564"/>
      <c r="R273" s="564"/>
      <c r="S273" s="2203"/>
      <c r="T273" s="564"/>
      <c r="U273" s="564"/>
      <c r="V273" s="564"/>
      <c r="W273" s="564"/>
      <c r="X273" s="564"/>
      <c r="Y273" s="2201"/>
      <c r="Z273" s="2201"/>
      <c r="AA273" s="2201"/>
      <c r="AB273" s="2201"/>
      <c r="AC273" s="2201"/>
      <c r="AD273" s="2201"/>
      <c r="AE273" s="2201"/>
      <c r="AF273" s="2201"/>
      <c r="AG273" s="2201"/>
      <c r="AH273" s="2201"/>
      <c r="AI273" s="2201"/>
      <c r="AJ273" s="2201"/>
      <c r="AK273" s="2226">
        <v>0</v>
      </c>
      <c r="AL273" s="2227">
        <v>0</v>
      </c>
      <c r="AM273" s="2228">
        <v>0</v>
      </c>
      <c r="AN273" s="2205"/>
      <c r="AO273" s="2201"/>
      <c r="AP273" s="2201"/>
      <c r="AQ273" s="2201"/>
      <c r="AR273" s="2201"/>
      <c r="AS273" s="2201"/>
      <c r="AT273" s="2594"/>
      <c r="AU273" s="1056"/>
    </row>
    <row r="274" spans="4:47">
      <c r="D274" s="2211" t="s">
        <v>3790</v>
      </c>
      <c r="E274" s="563"/>
      <c r="F274" s="2199"/>
      <c r="G274" s="2199"/>
      <c r="H274" s="2199"/>
      <c r="I274" s="2202"/>
      <c r="J274" s="564"/>
      <c r="K274" s="564"/>
      <c r="L274" s="564"/>
      <c r="M274" s="564"/>
      <c r="N274" s="564"/>
      <c r="O274" s="564"/>
      <c r="P274" s="564"/>
      <c r="Q274" s="564"/>
      <c r="R274" s="564"/>
      <c r="S274" s="2203"/>
      <c r="T274" s="564"/>
      <c r="U274" s="564"/>
      <c r="V274" s="564"/>
      <c r="W274" s="564"/>
      <c r="X274" s="564"/>
      <c r="Y274" s="2201"/>
      <c r="Z274" s="2201"/>
      <c r="AA274" s="2201"/>
      <c r="AB274" s="2201"/>
      <c r="AC274" s="2201"/>
      <c r="AD274" s="2201"/>
      <c r="AE274" s="2201"/>
      <c r="AF274" s="2201"/>
      <c r="AG274" s="2201"/>
      <c r="AH274" s="2201"/>
      <c r="AI274" s="2201"/>
      <c r="AJ274" s="2201"/>
      <c r="AK274" s="2229">
        <v>0</v>
      </c>
      <c r="AL274" s="2230">
        <v>0</v>
      </c>
      <c r="AM274" s="2231">
        <v>0</v>
      </c>
      <c r="AN274" s="2205"/>
      <c r="AO274" s="2201"/>
      <c r="AP274" s="2201"/>
      <c r="AQ274" s="2201"/>
      <c r="AR274" s="2201"/>
      <c r="AS274" s="2201"/>
      <c r="AT274" s="2594"/>
      <c r="AU274" s="1056"/>
    </row>
    <row r="275" spans="4:47" ht="15.9" thickBot="1">
      <c r="D275" s="2211" t="s">
        <v>3788</v>
      </c>
      <c r="E275" s="563"/>
      <c r="F275" s="2199"/>
      <c r="G275" s="2199"/>
      <c r="H275" s="2199"/>
      <c r="I275" s="2202"/>
      <c r="J275" s="564"/>
      <c r="K275" s="564"/>
      <c r="L275" s="564"/>
      <c r="M275" s="564"/>
      <c r="N275" s="564"/>
      <c r="O275" s="564"/>
      <c r="P275" s="564"/>
      <c r="Q275" s="564"/>
      <c r="R275" s="564"/>
      <c r="S275" s="2203"/>
      <c r="T275" s="564"/>
      <c r="U275" s="564"/>
      <c r="V275" s="564"/>
      <c r="W275" s="564"/>
      <c r="X275" s="564"/>
      <c r="Y275" s="2201"/>
      <c r="Z275" s="2201"/>
      <c r="AA275" s="2201"/>
      <c r="AB275" s="2201"/>
      <c r="AC275" s="2201"/>
      <c r="AD275" s="2201"/>
      <c r="AE275" s="2201"/>
      <c r="AF275" s="2201"/>
      <c r="AG275" s="2201"/>
      <c r="AH275" s="2201"/>
      <c r="AI275" s="2201"/>
      <c r="AJ275" s="2201"/>
      <c r="AK275" s="2232">
        <v>0</v>
      </c>
      <c r="AL275" s="2233">
        <v>0</v>
      </c>
      <c r="AM275" s="2234">
        <v>0</v>
      </c>
      <c r="AN275" s="2205"/>
      <c r="AO275" s="2201"/>
      <c r="AP275" s="2201"/>
      <c r="AQ275" s="2201"/>
      <c r="AR275" s="2201"/>
      <c r="AS275" s="2201"/>
      <c r="AT275" s="2594"/>
      <c r="AU275" s="1056"/>
    </row>
    <row r="276" spans="4:47">
      <c r="D276" s="2235" t="s">
        <v>3811</v>
      </c>
      <c r="E276" s="563"/>
      <c r="F276" s="2199"/>
      <c r="G276" s="2199"/>
      <c r="H276" s="2199"/>
      <c r="I276" s="2202"/>
      <c r="J276" s="564"/>
      <c r="K276" s="564"/>
      <c r="L276" s="564"/>
      <c r="M276" s="564"/>
      <c r="N276" s="564"/>
      <c r="O276" s="564"/>
      <c r="P276" s="564"/>
      <c r="Q276" s="564"/>
      <c r="R276" s="564"/>
      <c r="S276" s="2203"/>
      <c r="T276" s="564"/>
      <c r="U276" s="564"/>
      <c r="V276" s="564"/>
      <c r="W276" s="564"/>
      <c r="X276" s="564"/>
      <c r="Y276" s="2201"/>
      <c r="Z276" s="2201"/>
      <c r="AA276" s="2201"/>
      <c r="AB276" s="2201"/>
      <c r="AC276" s="2201"/>
      <c r="AD276" s="2201"/>
      <c r="AE276" s="2201"/>
      <c r="AF276" s="2201"/>
      <c r="AG276" s="2201"/>
      <c r="AH276" s="2201"/>
      <c r="AI276" s="2201"/>
      <c r="AJ276" s="2201">
        <v>37.8305895736991</v>
      </c>
      <c r="AK276" s="2201">
        <v>46.794548205878414</v>
      </c>
      <c r="AL276" s="2201">
        <v>54.357631041390853</v>
      </c>
      <c r="AM276" s="2201">
        <v>95.382943751898068</v>
      </c>
      <c r="AN276" s="2201">
        <v>105.74002488035862</v>
      </c>
      <c r="AO276" s="2201">
        <v>83.746646282082395</v>
      </c>
      <c r="AP276" s="2201">
        <v>61.712670797474658</v>
      </c>
      <c r="AQ276" s="2201">
        <v>30.919266538326866</v>
      </c>
      <c r="AR276" s="2201">
        <v>0</v>
      </c>
      <c r="AS276" s="2201">
        <v>19.488613744909067</v>
      </c>
      <c r="AT276" s="2594">
        <v>33.597482309764942</v>
      </c>
      <c r="AU276" s="1056"/>
    </row>
    <row r="277" spans="4:47">
      <c r="D277" s="2236" t="s">
        <v>1151</v>
      </c>
      <c r="E277" s="2237" t="s">
        <v>739</v>
      </c>
      <c r="F277" s="2199"/>
      <c r="G277" s="2199"/>
      <c r="H277" s="2199"/>
      <c r="I277" s="2238"/>
      <c r="J277" s="2238"/>
      <c r="K277" s="2238"/>
      <c r="L277" s="2238"/>
      <c r="M277" s="2238"/>
      <c r="N277" s="2238"/>
      <c r="O277" s="2238"/>
      <c r="P277" s="2238"/>
      <c r="Q277" s="2238"/>
      <c r="R277" s="2238"/>
      <c r="S277" s="2238"/>
      <c r="T277" s="2238"/>
      <c r="U277" s="2238"/>
      <c r="V277" s="566">
        <v>177.60783924255963</v>
      </c>
      <c r="W277" s="566">
        <v>156.3168147479451</v>
      </c>
      <c r="X277" s="566">
        <v>163.56255969436484</v>
      </c>
      <c r="Y277" s="2239">
        <v>150.64014862393245</v>
      </c>
      <c r="Z277" s="2239">
        <v>44.821641975962763</v>
      </c>
      <c r="AA277" s="2239">
        <v>97.086741197973708</v>
      </c>
      <c r="AB277" s="2239">
        <v>63.702467062757989</v>
      </c>
      <c r="AC277" s="2239">
        <v>189.79092786186294</v>
      </c>
      <c r="AD277" s="2239">
        <v>131.47865803481906</v>
      </c>
      <c r="AE277" s="2201">
        <v>131.47865803481906</v>
      </c>
      <c r="AF277" s="2201">
        <v>131.47865803481906</v>
      </c>
      <c r="AG277" s="2201">
        <v>131.47865803481906</v>
      </c>
      <c r="AH277" s="2201">
        <v>131.47865803481906</v>
      </c>
      <c r="AI277" s="2201">
        <v>131.47865803481906</v>
      </c>
      <c r="AJ277" s="2201">
        <v>131.47865803481906</v>
      </c>
      <c r="AK277" s="2201">
        <v>131.47865803481906</v>
      </c>
      <c r="AL277" s="2201">
        <v>131.47865803481906</v>
      </c>
      <c r="AM277" s="2201">
        <v>131.47865803481906</v>
      </c>
      <c r="AN277" s="2201">
        <v>131.47865803481906</v>
      </c>
      <c r="AO277" s="2201">
        <v>131.47865803481906</v>
      </c>
      <c r="AP277" s="2201">
        <v>131.47865803481906</v>
      </c>
      <c r="AQ277" s="2201">
        <v>131.47865803481906</v>
      </c>
      <c r="AR277" s="2201">
        <v>131.47865803481906</v>
      </c>
      <c r="AS277" s="2201">
        <v>131.47865803481906</v>
      </c>
      <c r="AT277" s="2594">
        <v>131.47865803481906</v>
      </c>
      <c r="AU277" s="1056"/>
    </row>
    <row r="278" spans="4:47">
      <c r="D278" s="2209" t="s">
        <v>3791</v>
      </c>
      <c r="E278" s="2237"/>
      <c r="F278" s="2199"/>
      <c r="G278" s="2199"/>
      <c r="H278" s="2199"/>
      <c r="I278" s="2238"/>
      <c r="J278" s="2238"/>
      <c r="K278" s="2238"/>
      <c r="L278" s="2238"/>
      <c r="M278" s="2238"/>
      <c r="N278" s="2238"/>
      <c r="O278" s="2238"/>
      <c r="P278" s="2238"/>
      <c r="Q278" s="2238"/>
      <c r="R278" s="2238"/>
      <c r="S278" s="2238"/>
      <c r="T278" s="2238"/>
      <c r="U278" s="2238"/>
      <c r="V278" s="566"/>
      <c r="W278" s="566"/>
      <c r="X278" s="566"/>
      <c r="Y278" s="2240">
        <v>332.09960107723543</v>
      </c>
      <c r="Z278" s="2240">
        <v>229.32625178149306</v>
      </c>
      <c r="AA278" s="2240">
        <v>313.71752179756419</v>
      </c>
      <c r="AB278" s="2240">
        <v>259.7036537909355</v>
      </c>
      <c r="AC278" s="2240">
        <v>369.26663508084647</v>
      </c>
      <c r="AD278" s="2240">
        <v>301.88831773369787</v>
      </c>
      <c r="AE278" s="2240">
        <v>346.85268541234291</v>
      </c>
      <c r="AF278" s="2240">
        <v>339.20283076277673</v>
      </c>
      <c r="AG278" s="2240">
        <v>344.57948609205738</v>
      </c>
      <c r="AH278" s="2241">
        <v>642.41764905535831</v>
      </c>
      <c r="AI278" s="2241">
        <v>888.97025046753436</v>
      </c>
      <c r="AJ278" s="2241">
        <v>1048.9072213591237</v>
      </c>
      <c r="AK278" s="2240">
        <v>1149.1397276466455</v>
      </c>
      <c r="AL278" s="2240">
        <v>1042.131992682351</v>
      </c>
      <c r="AM278" s="2240">
        <v>1042.131992682351</v>
      </c>
      <c r="AN278" s="2240">
        <v>1042.131992682351</v>
      </c>
      <c r="AO278" s="2240">
        <v>1042.131992682351</v>
      </c>
      <c r="AP278" s="2240">
        <v>1042.131992682351</v>
      </c>
      <c r="AQ278" s="2240">
        <v>1042.131992682351</v>
      </c>
      <c r="AR278" s="2240">
        <v>1042.131992682351</v>
      </c>
      <c r="AS278" s="2240">
        <v>1042.131992682351</v>
      </c>
      <c r="AT278" s="2240">
        <v>1042.131992682351</v>
      </c>
      <c r="AU278" s="1056"/>
    </row>
    <row r="279" spans="4:47">
      <c r="D279" s="2209" t="s">
        <v>3792</v>
      </c>
      <c r="E279" s="2237"/>
      <c r="F279" s="2199"/>
      <c r="G279" s="2199"/>
      <c r="H279" s="2199"/>
      <c r="I279" s="2238"/>
      <c r="J279" s="2238"/>
      <c r="K279" s="2238"/>
      <c r="L279" s="2238"/>
      <c r="M279" s="2238"/>
      <c r="N279" s="2238"/>
      <c r="O279" s="2238"/>
      <c r="P279" s="2238"/>
      <c r="Q279" s="2238"/>
      <c r="R279" s="2238"/>
      <c r="S279" s="2238"/>
      <c r="T279" s="2238"/>
      <c r="U279" s="2238"/>
      <c r="V279" s="566"/>
      <c r="W279" s="566"/>
      <c r="X279" s="566"/>
      <c r="Y279" s="2240">
        <v>181.45945245330299</v>
      </c>
      <c r="Z279" s="2240">
        <v>184.50460980553029</v>
      </c>
      <c r="AA279" s="2240">
        <v>216.63078059959048</v>
      </c>
      <c r="AB279" s="2240">
        <v>196.00118672817752</v>
      </c>
      <c r="AC279" s="2240">
        <v>179.47570721898353</v>
      </c>
      <c r="AD279" s="2240">
        <v>170.40965969887881</v>
      </c>
      <c r="AE279" s="2240">
        <v>247.05515022876079</v>
      </c>
      <c r="AF279" s="2240">
        <v>299.44678836622643</v>
      </c>
      <c r="AG279" s="2240">
        <v>269.07336900127785</v>
      </c>
      <c r="AH279" s="2240">
        <v>309.21813013398742</v>
      </c>
      <c r="AI279" s="2240">
        <v>280.39786632835967</v>
      </c>
      <c r="AJ279" s="2240">
        <v>322.52233258855068</v>
      </c>
      <c r="AK279" s="2240">
        <v>322.52233258855068</v>
      </c>
      <c r="AL279" s="2240">
        <v>322.52233258855068</v>
      </c>
      <c r="AM279" s="2240">
        <v>322.52233258855068</v>
      </c>
      <c r="AN279" s="2240">
        <v>322.52233258855068</v>
      </c>
      <c r="AO279" s="2240">
        <v>322.52233258855068</v>
      </c>
      <c r="AP279" s="2240">
        <v>320.43905724049637</v>
      </c>
      <c r="AQ279" s="2240">
        <v>320.43905724049637</v>
      </c>
      <c r="AR279" s="2240">
        <v>320.43905724049637</v>
      </c>
      <c r="AS279" s="2240">
        <v>320.43905724049637</v>
      </c>
      <c r="AT279" s="2240">
        <v>320.43905724049637</v>
      </c>
      <c r="AU279" s="1056"/>
    </row>
    <row r="280" spans="4:47">
      <c r="D280" s="2242" t="s">
        <v>1152</v>
      </c>
      <c r="E280" s="2243"/>
      <c r="F280" s="2215"/>
      <c r="G280" s="2215"/>
      <c r="H280" s="2215"/>
      <c r="I280" s="2244"/>
      <c r="J280" s="2244"/>
      <c r="K280" s="2244"/>
      <c r="L280" s="2244"/>
      <c r="M280" s="2244"/>
      <c r="N280" s="2244"/>
      <c r="O280" s="2244"/>
      <c r="P280" s="2244"/>
      <c r="Q280" s="2244"/>
      <c r="R280" s="2244"/>
      <c r="S280" s="2244"/>
      <c r="T280" s="2244"/>
      <c r="U280" s="2244"/>
      <c r="V280" s="2245"/>
      <c r="W280" s="2245"/>
      <c r="X280" s="2245"/>
      <c r="Y280" s="2246"/>
      <c r="Z280" s="2246"/>
      <c r="AA280" s="2246">
        <v>286</v>
      </c>
      <c r="AB280" s="2247">
        <v>303</v>
      </c>
      <c r="AC280" s="2247">
        <v>364.94705619114501</v>
      </c>
      <c r="AD280" s="2247"/>
      <c r="AE280" s="2213"/>
      <c r="AF280" s="2213"/>
      <c r="AG280" s="2213"/>
      <c r="AH280" s="2213"/>
      <c r="AI280" s="2213"/>
      <c r="AJ280" s="2213"/>
      <c r="AK280" s="2213"/>
      <c r="AL280" s="2213"/>
      <c r="AM280" s="2213"/>
      <c r="AN280" s="2213"/>
      <c r="AO280" s="2213"/>
      <c r="AP280" s="2213"/>
      <c r="AQ280" s="2213"/>
      <c r="AR280" s="2213"/>
      <c r="AS280" s="2213"/>
      <c r="AT280" s="2602"/>
      <c r="AU280" s="1056"/>
    </row>
    <row r="281" spans="4:47">
      <c r="D281" s="2242" t="s">
        <v>1153</v>
      </c>
      <c r="E281" s="2243"/>
      <c r="F281" s="2215"/>
      <c r="G281" s="2215"/>
      <c r="H281" s="2215"/>
      <c r="I281" s="2244"/>
      <c r="J281" s="2244"/>
      <c r="K281" s="2244"/>
      <c r="L281" s="2244"/>
      <c r="M281" s="2244"/>
      <c r="N281" s="2244"/>
      <c r="O281" s="2244"/>
      <c r="P281" s="2244"/>
      <c r="Q281" s="2244"/>
      <c r="R281" s="2244"/>
      <c r="S281" s="2244"/>
      <c r="T281" s="2244"/>
      <c r="U281" s="2244"/>
      <c r="V281" s="2245"/>
      <c r="W281" s="2245"/>
      <c r="X281" s="2245"/>
      <c r="Y281" s="2246"/>
      <c r="Z281" s="2246"/>
      <c r="AA281" s="2246">
        <v>282.89999999999998</v>
      </c>
      <c r="AB281" s="2246">
        <v>306.60000000000002</v>
      </c>
      <c r="AC281" s="2248">
        <v>384.04593899308793</v>
      </c>
      <c r="AD281" s="2248"/>
      <c r="AE281" s="2213"/>
      <c r="AF281" s="2213"/>
      <c r="AG281" s="2213"/>
      <c r="AH281" s="2213"/>
      <c r="AI281" s="2213"/>
      <c r="AJ281" s="2213"/>
      <c r="AK281" s="2213"/>
      <c r="AL281" s="2213"/>
      <c r="AM281" s="2213"/>
      <c r="AN281" s="2213"/>
      <c r="AO281" s="2213"/>
      <c r="AP281" s="2213"/>
      <c r="AQ281" s="2213"/>
      <c r="AR281" s="2213"/>
      <c r="AS281" s="2213"/>
      <c r="AT281" s="2602"/>
      <c r="AU281" s="1056"/>
    </row>
    <row r="282" spans="4:47">
      <c r="D282" s="2249" t="s">
        <v>1154</v>
      </c>
      <c r="E282" s="2244"/>
      <c r="F282" s="2244"/>
      <c r="G282" s="2244"/>
      <c r="H282" s="2244"/>
      <c r="I282" s="2244"/>
      <c r="J282" s="2244"/>
      <c r="K282" s="2244"/>
      <c r="L282" s="2244"/>
      <c r="M282" s="2244"/>
      <c r="N282" s="2244"/>
      <c r="O282" s="2244"/>
      <c r="P282" s="2244"/>
      <c r="Q282" s="2244"/>
      <c r="R282" s="2244"/>
      <c r="S282" s="2244"/>
      <c r="T282" s="2244"/>
      <c r="U282" s="2244"/>
      <c r="V282" s="2245">
        <v>-212.36129999999997</v>
      </c>
      <c r="W282" s="2245">
        <v>-137.10000000000002</v>
      </c>
      <c r="X282" s="2245">
        <v>-187.29999999999998</v>
      </c>
      <c r="Y282" s="2246">
        <v>-21.154050000000012</v>
      </c>
      <c r="Z282" s="2246">
        <v>39.5</v>
      </c>
      <c r="AA282" s="2246">
        <v>24.95483328557242</v>
      </c>
      <c r="AB282" s="2246">
        <v>69.326811193815672</v>
      </c>
      <c r="AC282" s="2246">
        <v>8.5038848876610587</v>
      </c>
      <c r="AD282" s="2246">
        <v>69.937966863994632</v>
      </c>
      <c r="AE282" s="2246">
        <v>164.43522521415065</v>
      </c>
      <c r="AF282" s="2246">
        <v>540.63624196060971</v>
      </c>
      <c r="AG282" s="2246">
        <v>1081.3418178136449</v>
      </c>
      <c r="AH282" s="2246">
        <v>827.97968815852551</v>
      </c>
      <c r="AI282" s="2246">
        <v>755.80273437349877</v>
      </c>
      <c r="AJ282" s="2246">
        <v>1276.6051369526199</v>
      </c>
      <c r="AK282" s="2246">
        <v>1445.6786249376407</v>
      </c>
      <c r="AL282" s="2246">
        <v>1050.3281170395353</v>
      </c>
      <c r="AM282" s="2246">
        <v>516.76513775026217</v>
      </c>
      <c r="AN282" s="2246">
        <v>1007.6621420156814</v>
      </c>
      <c r="AO282" s="2246">
        <v>1150.1316412920894</v>
      </c>
      <c r="AP282" s="2246">
        <v>1603.0796431197373</v>
      </c>
      <c r="AQ282" s="2246">
        <v>1528.0965782705857</v>
      </c>
      <c r="AR282" s="2246">
        <v>1333.2787462981291</v>
      </c>
      <c r="AS282" s="2246">
        <v>1316.6161556143193</v>
      </c>
      <c r="AT282" s="2246">
        <v>2481.3924290967843</v>
      </c>
      <c r="AU282" s="1056"/>
    </row>
    <row r="283" spans="4:47">
      <c r="D283" s="2250" t="s">
        <v>796</v>
      </c>
      <c r="E283" s="2244"/>
      <c r="F283" s="2244"/>
      <c r="G283" s="2244"/>
      <c r="H283" s="2244"/>
      <c r="I283" s="2244"/>
      <c r="J283" s="2244"/>
      <c r="K283" s="2244"/>
      <c r="L283" s="2244"/>
      <c r="M283" s="2244"/>
      <c r="N283" s="2244"/>
      <c r="O283" s="2244"/>
      <c r="P283" s="2244"/>
      <c r="Q283" s="2244"/>
      <c r="R283" s="2244"/>
      <c r="S283" s="2244"/>
      <c r="T283" s="2244"/>
      <c r="U283" s="2244"/>
      <c r="V283" s="2251">
        <v>-48.199999999999982</v>
      </c>
      <c r="W283" s="2251">
        <v>-52.3</v>
      </c>
      <c r="X283" s="2251">
        <v>-164.00000000000006</v>
      </c>
      <c r="Y283" s="2252">
        <v>-18.254796372852411</v>
      </c>
      <c r="Z283" s="2252">
        <v>125</v>
      </c>
      <c r="AA283" s="2252">
        <v>124.30000000000001</v>
      </c>
      <c r="AB283" s="2252">
        <v>141.70573959091658</v>
      </c>
      <c r="AC283" s="2252">
        <v>190.53650127644062</v>
      </c>
      <c r="AD283" s="2252">
        <v>177.69853280575646</v>
      </c>
      <c r="AE283" s="2252"/>
      <c r="AF283" s="2252"/>
      <c r="AG283" s="2252"/>
      <c r="AH283" s="2252"/>
      <c r="AI283" s="2252"/>
      <c r="AJ283" s="2252"/>
      <c r="AK283" s="2252"/>
      <c r="AL283" s="2252"/>
      <c r="AM283" s="2252"/>
      <c r="AN283" s="2252"/>
      <c r="AO283" s="2252"/>
      <c r="AP283" s="2252"/>
      <c r="AQ283" s="2252"/>
      <c r="AR283" s="2252"/>
      <c r="AS283" s="2252"/>
      <c r="AT283" s="2252"/>
      <c r="AU283" s="1056"/>
    </row>
    <row r="284" spans="4:47">
      <c r="D284" s="2242" t="s">
        <v>1155</v>
      </c>
      <c r="E284" s="2244"/>
      <c r="F284" s="2253"/>
      <c r="G284" s="2244"/>
      <c r="H284" s="2244"/>
      <c r="I284" s="2244"/>
      <c r="J284" s="2244"/>
      <c r="K284" s="2244"/>
      <c r="L284" s="2244"/>
      <c r="M284" s="2244"/>
      <c r="N284" s="2244"/>
      <c r="O284" s="2244"/>
      <c r="P284" s="2244"/>
      <c r="Q284" s="2244"/>
      <c r="R284" s="2244"/>
      <c r="S284" s="2244"/>
      <c r="T284" s="2244"/>
      <c r="U284" s="2244"/>
      <c r="V284" s="2254">
        <v>300.36129999999997</v>
      </c>
      <c r="W284" s="2254">
        <v>201.6</v>
      </c>
      <c r="X284" s="2254">
        <v>342.2</v>
      </c>
      <c r="Y284" s="2246">
        <v>205.4</v>
      </c>
      <c r="Z284" s="2246">
        <v>229.9</v>
      </c>
      <c r="AA284" s="2246">
        <v>237.94894853970001</v>
      </c>
      <c r="AB284" s="2246">
        <v>265.3422867006667</v>
      </c>
      <c r="AC284" s="2246">
        <v>317.31929287066669</v>
      </c>
      <c r="AD284" s="2246">
        <v>402.32962967266673</v>
      </c>
      <c r="AE284" s="2246">
        <v>771.69356843133301</v>
      </c>
      <c r="AF284" s="2246">
        <v>658.18528380433315</v>
      </c>
      <c r="AG284" s="2246">
        <v>563.2329518043332</v>
      </c>
      <c r="AH284" s="2246">
        <v>778.64318398299997</v>
      </c>
      <c r="AI284" s="2246">
        <v>1228.686116286</v>
      </c>
      <c r="AJ284" s="2246">
        <v>812.95419358973322</v>
      </c>
      <c r="AK284" s="2246">
        <v>941.99632150325397</v>
      </c>
      <c r="AL284" s="2246">
        <v>1081.4178179165867</v>
      </c>
      <c r="AM284" s="2246">
        <v>1212.2695007127356</v>
      </c>
      <c r="AN284" s="2246">
        <v>1339.2479934879602</v>
      </c>
      <c r="AO284" s="2246">
        <v>1470.7285678801122</v>
      </c>
      <c r="AP284" s="2246">
        <v>1606.7435430005153</v>
      </c>
      <c r="AQ284" s="2246">
        <v>1802.8015336496269</v>
      </c>
      <c r="AR284" s="2246">
        <v>1941.7628682537234</v>
      </c>
      <c r="AS284" s="2246">
        <v>2146.0768664075235</v>
      </c>
      <c r="AT284" s="2246">
        <v>2366.9028795707013</v>
      </c>
      <c r="AU284" s="1056"/>
    </row>
    <row r="285" spans="4:47">
      <c r="D285" s="2255" t="s">
        <v>796</v>
      </c>
      <c r="E285" s="2244"/>
      <c r="F285" s="2253"/>
      <c r="G285" s="2244"/>
      <c r="H285" s="2244"/>
      <c r="I285" s="2244"/>
      <c r="J285" s="2244"/>
      <c r="K285" s="2244"/>
      <c r="L285" s="2244"/>
      <c r="M285" s="2244"/>
      <c r="N285" s="2244"/>
      <c r="O285" s="2244"/>
      <c r="P285" s="2244"/>
      <c r="Q285" s="2244"/>
      <c r="R285" s="2244"/>
      <c r="S285" s="2244"/>
      <c r="T285" s="2244"/>
      <c r="U285" s="2244"/>
      <c r="V285" s="2256">
        <v>174.89999999999998</v>
      </c>
      <c r="W285" s="2256">
        <v>153.9</v>
      </c>
      <c r="X285" s="2256">
        <v>273.20000000000005</v>
      </c>
      <c r="Y285" s="2252">
        <v>185.4</v>
      </c>
      <c r="Z285" s="2252">
        <v>136</v>
      </c>
      <c r="AA285" s="2252">
        <v>168.5</v>
      </c>
      <c r="AB285" s="2252">
        <v>184.93604999999999</v>
      </c>
      <c r="AC285" s="2252">
        <v>203.07276176600001</v>
      </c>
      <c r="AD285" s="2252">
        <v>251.201523522</v>
      </c>
      <c r="AE285" s="2257"/>
      <c r="AF285" s="2257"/>
      <c r="AG285" s="2257"/>
      <c r="AH285" s="2257"/>
      <c r="AI285" s="2257"/>
      <c r="AJ285" s="2257"/>
      <c r="AK285" s="2257"/>
      <c r="AL285" s="2257"/>
      <c r="AM285" s="2257"/>
      <c r="AN285" s="2257"/>
      <c r="AO285" s="2257"/>
      <c r="AP285" s="2257"/>
      <c r="AQ285" s="2257"/>
      <c r="AR285" s="2257"/>
      <c r="AS285" s="2257"/>
      <c r="AT285" s="2257"/>
      <c r="AU285" s="1056"/>
    </row>
    <row r="286" spans="4:47">
      <c r="D286" s="2255" t="s">
        <v>797</v>
      </c>
      <c r="E286" s="2259" t="s">
        <v>798</v>
      </c>
      <c r="F286" s="2260"/>
      <c r="G286" s="2260"/>
      <c r="H286" s="2260"/>
      <c r="I286" s="2260"/>
      <c r="J286" s="2260"/>
      <c r="K286" s="2260"/>
      <c r="L286" s="2260"/>
      <c r="M286" s="2260"/>
      <c r="N286" s="2260"/>
      <c r="O286" s="2260"/>
      <c r="P286" s="2260"/>
      <c r="Q286" s="2260"/>
      <c r="R286" s="2260"/>
      <c r="S286" s="2260"/>
      <c r="T286" s="2260"/>
      <c r="U286" s="2260"/>
      <c r="V286" s="567">
        <v>0</v>
      </c>
      <c r="W286" s="567">
        <v>0</v>
      </c>
      <c r="X286" s="567">
        <v>0</v>
      </c>
      <c r="Y286" s="2261">
        <v>0</v>
      </c>
      <c r="Z286" s="2261">
        <v>0</v>
      </c>
      <c r="AA286" s="2261">
        <v>0</v>
      </c>
      <c r="AB286" s="2261">
        <v>0</v>
      </c>
      <c r="AC286" s="2261">
        <v>0</v>
      </c>
      <c r="AD286" s="2261">
        <v>0</v>
      </c>
      <c r="AE286" s="2257"/>
      <c r="AF286" s="2257"/>
      <c r="AG286" s="2257"/>
      <c r="AH286" s="2257"/>
      <c r="AI286" s="2257"/>
      <c r="AJ286" s="2257"/>
      <c r="AK286" s="2257"/>
      <c r="AL286" s="2257"/>
      <c r="AM286" s="2257"/>
      <c r="AN286" s="2257"/>
      <c r="AO286" s="2257"/>
      <c r="AP286" s="2257"/>
      <c r="AQ286" s="2257"/>
      <c r="AR286" s="2257"/>
      <c r="AS286" s="2257"/>
      <c r="AT286" s="2257"/>
      <c r="AU286" s="1056"/>
    </row>
    <row r="287" spans="4:47">
      <c r="D287" s="2255" t="s">
        <v>799</v>
      </c>
      <c r="E287" s="2259" t="s">
        <v>612</v>
      </c>
      <c r="F287" s="2260"/>
      <c r="G287" s="2260"/>
      <c r="H287" s="2260"/>
      <c r="I287" s="2260"/>
      <c r="J287" s="2260"/>
      <c r="K287" s="2260"/>
      <c r="L287" s="2260"/>
      <c r="M287" s="2260"/>
      <c r="N287" s="2260"/>
      <c r="O287" s="2260"/>
      <c r="P287" s="2260"/>
      <c r="Q287" s="2260"/>
      <c r="R287" s="2260"/>
      <c r="S287" s="2260"/>
      <c r="T287" s="2260"/>
      <c r="U287" s="2260"/>
      <c r="V287" s="567">
        <v>85.7</v>
      </c>
      <c r="W287" s="567">
        <v>67.900000000000006</v>
      </c>
      <c r="X287" s="567">
        <v>155.19999999999999</v>
      </c>
      <c r="Y287" s="2261">
        <v>183.773</v>
      </c>
      <c r="Z287" s="2261">
        <v>265.5</v>
      </c>
      <c r="AA287" s="2261">
        <v>246.97804182527241</v>
      </c>
      <c r="AB287" s="2261">
        <v>342.05975651247417</v>
      </c>
      <c r="AC287" s="2261">
        <v>355.86267094492115</v>
      </c>
      <c r="AD287" s="2261">
        <v>491.84765719687704</v>
      </c>
      <c r="AE287" s="2257"/>
      <c r="AF287" s="2257"/>
      <c r="AG287" s="2257"/>
      <c r="AH287" s="2257"/>
      <c r="AI287" s="2257"/>
      <c r="AJ287" s="2257"/>
      <c r="AK287" s="2257"/>
      <c r="AL287" s="2257"/>
      <c r="AM287" s="2257"/>
      <c r="AN287" s="2257"/>
      <c r="AO287" s="2257"/>
      <c r="AP287" s="2257"/>
      <c r="AQ287" s="2257"/>
      <c r="AR287" s="2257"/>
      <c r="AS287" s="2257"/>
      <c r="AT287" s="2257"/>
      <c r="AU287" s="1056"/>
    </row>
    <row r="288" spans="4:47">
      <c r="D288" s="2255" t="s">
        <v>800</v>
      </c>
      <c r="E288" s="2259" t="s">
        <v>612</v>
      </c>
      <c r="F288" s="2260"/>
      <c r="G288" s="2260"/>
      <c r="H288" s="2260"/>
      <c r="I288" s="2260"/>
      <c r="J288" s="2260"/>
      <c r="K288" s="2260"/>
      <c r="L288" s="2260"/>
      <c r="M288" s="2260"/>
      <c r="N288" s="2260"/>
      <c r="O288" s="2260"/>
      <c r="P288" s="2260"/>
      <c r="Q288" s="2260"/>
      <c r="R288" s="2260"/>
      <c r="S288" s="2260"/>
      <c r="T288" s="2260"/>
      <c r="U288" s="2260"/>
      <c r="V288" s="568">
        <v>-96.114930000000001</v>
      </c>
      <c r="W288" s="568">
        <v>-58.8</v>
      </c>
      <c r="X288" s="568">
        <v>-40.6</v>
      </c>
      <c r="Y288" s="2261">
        <v>-66.2</v>
      </c>
      <c r="Z288" s="2261">
        <v>-39.200000000000003</v>
      </c>
      <c r="AA288" s="2261">
        <v>-42.8</v>
      </c>
      <c r="AB288" s="2261">
        <v>-95.164787118999996</v>
      </c>
      <c r="AC288" s="2261">
        <v>-122.04208282</v>
      </c>
      <c r="AD288" s="2261">
        <v>-63.781639370000001</v>
      </c>
      <c r="AE288" s="2257"/>
      <c r="AF288" s="2257"/>
      <c r="AG288" s="2257"/>
      <c r="AH288" s="2257"/>
      <c r="AI288" s="2257"/>
      <c r="AJ288" s="2257"/>
      <c r="AK288" s="2257"/>
      <c r="AL288" s="2257"/>
      <c r="AM288" s="2257"/>
      <c r="AN288" s="2257"/>
      <c r="AO288" s="2257"/>
      <c r="AP288" s="2257"/>
      <c r="AQ288" s="2257"/>
      <c r="AR288" s="2257"/>
      <c r="AS288" s="2257"/>
      <c r="AT288" s="2257"/>
      <c r="AU288" s="1056"/>
    </row>
    <row r="289" spans="3:47">
      <c r="D289" s="2255"/>
      <c r="E289" s="2264"/>
      <c r="F289" s="2260"/>
      <c r="G289" s="2260"/>
      <c r="H289" s="2260"/>
      <c r="I289" s="2260"/>
      <c r="J289" s="2260"/>
      <c r="K289" s="2260"/>
      <c r="L289" s="2260"/>
      <c r="M289" s="2260"/>
      <c r="N289" s="2260"/>
      <c r="O289" s="2260"/>
      <c r="P289" s="2260"/>
      <c r="Q289" s="2260"/>
      <c r="R289" s="2260"/>
      <c r="S289" s="2260"/>
      <c r="T289" s="2260"/>
      <c r="U289" s="2260"/>
      <c r="V289" s="568"/>
      <c r="W289" s="568"/>
      <c r="X289" s="568"/>
      <c r="Y289" s="2261"/>
      <c r="Z289" s="2261"/>
      <c r="AA289" s="2261"/>
      <c r="AB289" s="2261"/>
      <c r="AC289" s="2258"/>
      <c r="AD289" s="2258"/>
      <c r="AE289" s="2257"/>
      <c r="AF289" s="2257"/>
      <c r="AG289" s="2257"/>
      <c r="AH289" s="2257"/>
      <c r="AI289" s="2257"/>
      <c r="AJ289" s="2257">
        <v>13.798685619163672</v>
      </c>
      <c r="AK289" s="2257">
        <v>14.227027213948494</v>
      </c>
      <c r="AL289" s="2257">
        <v>14.258718191709235</v>
      </c>
      <c r="AM289" s="2257">
        <v>14.295713144457359</v>
      </c>
      <c r="AN289" s="2257">
        <v>14.298527759417594</v>
      </c>
      <c r="AO289" s="2257">
        <v>14.128707772818546</v>
      </c>
      <c r="AP289" s="2257">
        <v>14.159509873168306</v>
      </c>
      <c r="AQ289" s="2257">
        <v>14.194860806605499</v>
      </c>
      <c r="AR289" s="2257">
        <v>14.21082065504047</v>
      </c>
      <c r="AS289" s="2257">
        <v>14.065350097578646</v>
      </c>
      <c r="AT289" s="2257">
        <v>13.584565236146014</v>
      </c>
      <c r="AU289" s="1056"/>
    </row>
    <row r="290" spans="3:47" ht="15.9" thickBot="1">
      <c r="D290" s="74" t="s">
        <v>696</v>
      </c>
      <c r="U290"/>
      <c r="V290" s="530" t="s">
        <v>695</v>
      </c>
      <c r="W290" s="74">
        <v>2012</v>
      </c>
      <c r="X290" s="74">
        <v>2013</v>
      </c>
      <c r="Y290" s="74">
        <v>2014</v>
      </c>
      <c r="Z290" s="74">
        <v>2015</v>
      </c>
      <c r="AA290" s="74">
        <v>2016</v>
      </c>
      <c r="AB290"/>
      <c r="AC290" s="29"/>
      <c r="AD290"/>
      <c r="AE290"/>
      <c r="AU290" s="1056"/>
    </row>
    <row r="291" spans="3:47" ht="15.9" thickBot="1">
      <c r="D291" s="1241" t="s">
        <v>296</v>
      </c>
      <c r="E291" s="1242"/>
      <c r="F291" s="1242"/>
      <c r="G291" s="1242"/>
      <c r="H291" s="1242"/>
      <c r="I291" s="1242"/>
      <c r="J291" s="1243"/>
      <c r="K291" s="1243"/>
      <c r="L291" s="1243"/>
      <c r="M291" s="1243"/>
      <c r="N291" s="1243"/>
      <c r="O291" s="1243"/>
      <c r="P291" s="1243"/>
      <c r="Q291" s="1243"/>
      <c r="R291" s="1243"/>
      <c r="S291" s="1243"/>
      <c r="T291" s="1243"/>
      <c r="U291" s="1243"/>
      <c r="V291" s="1243">
        <v>2011</v>
      </c>
      <c r="W291" s="1243">
        <v>2012</v>
      </c>
      <c r="X291" s="1243">
        <v>2013</v>
      </c>
      <c r="Y291" s="1243">
        <v>2014</v>
      </c>
      <c r="Z291" s="1243">
        <v>2015</v>
      </c>
      <c r="AA291" s="1243">
        <v>2016</v>
      </c>
      <c r="AB291" s="1242">
        <v>2017</v>
      </c>
      <c r="AC291" s="1242">
        <v>2018</v>
      </c>
      <c r="AD291" s="1242">
        <v>2019</v>
      </c>
      <c r="AE291" s="2460">
        <v>2020</v>
      </c>
      <c r="AF291" s="2460">
        <v>2021</v>
      </c>
      <c r="AG291" s="2460">
        <v>2022</v>
      </c>
      <c r="AH291" s="2460">
        <v>2023</v>
      </c>
      <c r="AI291" s="2460">
        <v>2024</v>
      </c>
      <c r="AJ291" s="2460">
        <v>2025</v>
      </c>
      <c r="AK291" s="2460">
        <v>2026</v>
      </c>
      <c r="AL291" s="2460">
        <v>2027</v>
      </c>
      <c r="AM291" s="2460">
        <v>2028</v>
      </c>
      <c r="AN291" s="2460">
        <v>2029</v>
      </c>
      <c r="AO291" s="2460">
        <v>2030</v>
      </c>
      <c r="AP291" s="2460">
        <v>2031</v>
      </c>
      <c r="AQ291" s="2460">
        <v>2032</v>
      </c>
      <c r="AR291" s="2460">
        <v>2033</v>
      </c>
      <c r="AS291" s="2460">
        <v>2034</v>
      </c>
      <c r="AT291" s="2460">
        <v>2035</v>
      </c>
      <c r="AU291" s="1056"/>
    </row>
    <row r="292" spans="3:47" ht="15.9" thickBot="1">
      <c r="D292" s="1244" t="s">
        <v>3018</v>
      </c>
      <c r="E292" s="1245"/>
      <c r="F292" s="1245"/>
      <c r="G292" s="1245"/>
      <c r="H292" s="1245"/>
      <c r="I292" s="1245"/>
      <c r="J292" s="1246"/>
      <c r="K292" s="1246"/>
      <c r="L292" s="1246"/>
      <c r="M292" s="1246"/>
      <c r="N292" s="1246"/>
      <c r="O292" s="1246"/>
      <c r="P292" s="1246"/>
      <c r="Q292" s="1246"/>
      <c r="R292" s="1246"/>
      <c r="S292" s="1246"/>
      <c r="T292" s="1246"/>
      <c r="U292" s="1246"/>
      <c r="V292" s="1246">
        <v>0</v>
      </c>
      <c r="W292" s="1246">
        <v>0</v>
      </c>
      <c r="X292" s="1246">
        <v>0</v>
      </c>
      <c r="Y292" s="1246">
        <v>6.2925737034024404E-2</v>
      </c>
      <c r="Z292" s="1246">
        <v>6.9951068138458208E-2</v>
      </c>
      <c r="AA292" s="1246">
        <v>7.2185669484593221E-2</v>
      </c>
      <c r="AB292" s="1246">
        <v>7.3157236754298721E-2</v>
      </c>
      <c r="AC292" s="1246">
        <v>7.6242164373050786E-2</v>
      </c>
      <c r="AD292" s="1246">
        <v>7.2759476145619353E-2</v>
      </c>
      <c r="AE292" s="1246">
        <v>7.3049127062546071E-2</v>
      </c>
      <c r="AF292" s="1246">
        <v>6.8537001673634926E-2</v>
      </c>
      <c r="AG292" s="1246">
        <v>5.6811653458786561E-2</v>
      </c>
      <c r="AH292" s="1246">
        <v>5.2603011303144376E-2</v>
      </c>
      <c r="AI292" s="1246">
        <v>6.1276059246737277E-2</v>
      </c>
      <c r="AJ292" s="1246">
        <v>7.594020695595112E-2</v>
      </c>
      <c r="AK292" s="1246">
        <v>8.8534947536847666E-2</v>
      </c>
      <c r="AL292" s="1246">
        <v>9.4589948458032327E-2</v>
      </c>
      <c r="AM292" s="1246">
        <v>9.8644732209587388E-2</v>
      </c>
      <c r="AN292" s="1246">
        <v>9.9292594366830522E-2</v>
      </c>
      <c r="AO292" s="1246">
        <v>0.10009394500227017</v>
      </c>
      <c r="AP292" s="1246">
        <v>0.12830239898484491</v>
      </c>
      <c r="AQ292" s="1246">
        <v>0.12814031455186226</v>
      </c>
      <c r="AR292" s="1246">
        <v>0.1265974707623799</v>
      </c>
      <c r="AS292" s="1246">
        <v>0.15080462316096727</v>
      </c>
      <c r="AT292" s="2460">
        <v>0.21552519458758784</v>
      </c>
      <c r="AU292" s="1056"/>
    </row>
    <row r="293" spans="3:47" ht="15.9" thickBot="1">
      <c r="D293" s="1244" t="s">
        <v>3019</v>
      </c>
      <c r="E293" s="1245"/>
      <c r="F293" s="1245"/>
      <c r="G293" s="1245"/>
      <c r="H293" s="1245"/>
      <c r="I293" s="1245"/>
      <c r="J293" s="1246"/>
      <c r="K293" s="1246"/>
      <c r="L293" s="1246"/>
      <c r="M293" s="1246"/>
      <c r="N293" s="1246"/>
      <c r="O293" s="1246"/>
      <c r="P293" s="1246"/>
      <c r="Q293" s="1246"/>
      <c r="R293" s="1246"/>
      <c r="S293" s="1246"/>
      <c r="T293" s="1246"/>
      <c r="U293" s="1246"/>
      <c r="V293" s="1246">
        <v>0</v>
      </c>
      <c r="W293" s="1246">
        <v>0</v>
      </c>
      <c r="X293" s="1246">
        <v>0</v>
      </c>
      <c r="Y293" s="1246">
        <v>5.5171331949935003E-2</v>
      </c>
      <c r="Z293" s="1246">
        <v>6.1634832501711201E-2</v>
      </c>
      <c r="AA293" s="1246">
        <v>6.2225497071655256E-2</v>
      </c>
      <c r="AB293" s="1246">
        <v>5.983269796598905E-2</v>
      </c>
      <c r="AC293" s="1246">
        <v>6.2219230110830984E-2</v>
      </c>
      <c r="AD293" s="1246">
        <v>5.9286690998042638E-2</v>
      </c>
      <c r="AE293" s="1246">
        <v>6.1313481645259779E-2</v>
      </c>
      <c r="AF293" s="1246">
        <v>5.751625946384932E-2</v>
      </c>
      <c r="AG293" s="1246">
        <v>4.7063624955411248E-2</v>
      </c>
      <c r="AH293" s="1246">
        <v>4.2627552219764366E-2</v>
      </c>
      <c r="AI293" s="1246">
        <v>4.7638707658371526E-2</v>
      </c>
      <c r="AJ293" s="1246">
        <v>5.9754251546412639E-2</v>
      </c>
      <c r="AK293" s="1246">
        <v>6.827247859998975E-2</v>
      </c>
      <c r="AL293" s="1246">
        <v>7.2524331578533316E-2</v>
      </c>
      <c r="AM293" s="1246">
        <v>7.5402589434833897E-2</v>
      </c>
      <c r="AN293" s="1246">
        <v>7.6376950334101815E-2</v>
      </c>
      <c r="AO293" s="1246">
        <v>7.7276961114761261E-2</v>
      </c>
      <c r="AP293" s="1246">
        <v>9.9564549960070012E-2</v>
      </c>
      <c r="AQ293" s="1246">
        <v>9.9785766656210223E-2</v>
      </c>
      <c r="AR293" s="1246">
        <v>9.8950388880108556E-2</v>
      </c>
      <c r="AS293" s="1246">
        <v>0.11761827418142315</v>
      </c>
      <c r="AT293" s="2460">
        <v>0.16626412536965357</v>
      </c>
      <c r="AU293" s="1056"/>
    </row>
    <row r="294" spans="3:47" ht="15.9" thickBot="1">
      <c r="D294" s="1247" t="s">
        <v>199</v>
      </c>
      <c r="E294" s="1245"/>
      <c r="F294" s="1245"/>
      <c r="G294" s="1245"/>
      <c r="H294" s="1245"/>
      <c r="I294" s="1245"/>
      <c r="J294" s="1246"/>
      <c r="K294" s="1246"/>
      <c r="L294" s="1246"/>
      <c r="M294" s="1246"/>
      <c r="N294" s="1246"/>
      <c r="O294" s="1246"/>
      <c r="P294" s="1246"/>
      <c r="Q294" s="1246"/>
      <c r="R294" s="1246"/>
      <c r="S294" s="1246"/>
      <c r="T294" s="1246"/>
      <c r="U294" s="1246"/>
      <c r="V294" s="1246">
        <v>8.1022905058313305E-2</v>
      </c>
      <c r="W294" s="1246">
        <v>7.1064382391547526E-2</v>
      </c>
      <c r="X294" s="1246">
        <v>8.6510216053104133E-2</v>
      </c>
      <c r="Y294" s="1246">
        <v>9.9573011422281033E-2</v>
      </c>
      <c r="Z294" s="1246">
        <v>0.10798860501221753</v>
      </c>
      <c r="AA294" s="1246">
        <v>0.11184603502839222</v>
      </c>
      <c r="AB294" s="1246">
        <v>0.1131853373125371</v>
      </c>
      <c r="AC294" s="1246">
        <v>0.11026431814228878</v>
      </c>
      <c r="AD294" s="1246">
        <v>0.1062500586504293</v>
      </c>
      <c r="AE294" s="1246">
        <v>0.11005090544603011</v>
      </c>
      <c r="AF294" s="1246">
        <v>0.10608878526649726</v>
      </c>
      <c r="AG294" s="1246">
        <v>0.1151426986825267</v>
      </c>
      <c r="AH294" s="1246">
        <v>0.12021557020294711</v>
      </c>
      <c r="AI294" s="1246">
        <v>9.9717232152605251E-2</v>
      </c>
      <c r="AJ294" s="1246">
        <v>9.2778629537304633E-2</v>
      </c>
      <c r="AK294" s="1246">
        <v>9.4912171425484096E-2</v>
      </c>
      <c r="AL294" s="1246">
        <v>9.8064284219547132E-2</v>
      </c>
      <c r="AM294" s="1246">
        <v>0.10537554200660491</v>
      </c>
      <c r="AN294" s="1246">
        <v>0.11390191244919215</v>
      </c>
      <c r="AO294" s="1246">
        <v>0.12259337821148281</v>
      </c>
      <c r="AP294" s="1246">
        <v>6.2513067068984532E-2</v>
      </c>
      <c r="AQ294" s="1246">
        <v>6.8647929936590246E-2</v>
      </c>
      <c r="AR294" s="1246">
        <v>7.3848681857159287E-2</v>
      </c>
      <c r="AS294" s="1246">
        <v>8.3062027083316128E-2</v>
      </c>
      <c r="AT294" s="2460">
        <v>9.5889608561306849E-2</v>
      </c>
      <c r="AU294" s="1056"/>
    </row>
    <row r="295" spans="3:47" ht="15.9" thickBot="1">
      <c r="D295" s="1247" t="s">
        <v>200</v>
      </c>
      <c r="E295" s="1245"/>
      <c r="F295" s="1245"/>
      <c r="G295" s="1245"/>
      <c r="H295" s="1245"/>
      <c r="I295" s="1245"/>
      <c r="J295" s="1246"/>
      <c r="K295" s="1246"/>
      <c r="L295" s="1246"/>
      <c r="M295" s="1246"/>
      <c r="N295" s="1246"/>
      <c r="O295" s="1246"/>
      <c r="P295" s="1246"/>
      <c r="Q295" s="1246"/>
      <c r="R295" s="1246"/>
      <c r="S295" s="1246"/>
      <c r="T295" s="1246"/>
      <c r="U295" s="1246"/>
      <c r="V295" s="1246">
        <v>9.9145082538590973E-2</v>
      </c>
      <c r="W295" s="1246">
        <v>8.5040272137804421E-2</v>
      </c>
      <c r="X295" s="1246">
        <v>0.10437120244062663</v>
      </c>
      <c r="Y295" s="1246">
        <v>0.11775172361485951</v>
      </c>
      <c r="Z295" s="1246">
        <v>0.12300039332639771</v>
      </c>
      <c r="AA295" s="1246">
        <v>0.12452647548749225</v>
      </c>
      <c r="AB295" s="1246">
        <v>0.14515414187525363</v>
      </c>
      <c r="AC295" s="1246">
        <v>0.14282629370841157</v>
      </c>
      <c r="AD295" s="1246">
        <v>0.13216880679612633</v>
      </c>
      <c r="AE295" s="1246">
        <v>0.12755227719374709</v>
      </c>
      <c r="AF295" s="1246">
        <v>0.12296155143193223</v>
      </c>
      <c r="AG295" s="1246">
        <v>0.13638162053568184</v>
      </c>
      <c r="AH295" s="1246">
        <v>0.12689834388034094</v>
      </c>
      <c r="AI295" s="1246">
        <v>0.10981223005227694</v>
      </c>
      <c r="AJ295" s="1246">
        <v>0.10709551874154571</v>
      </c>
      <c r="AK295" s="1246">
        <v>0.1096935620977952</v>
      </c>
      <c r="AL295" s="1246">
        <v>0.11392631082862653</v>
      </c>
      <c r="AM295" s="1246">
        <v>0.12343409554076851</v>
      </c>
      <c r="AN295" s="1246">
        <v>0.13459187112717841</v>
      </c>
      <c r="AO295" s="1246">
        <v>0.14618894468563207</v>
      </c>
      <c r="AP295" s="1246">
        <v>7.728684827666181E-2</v>
      </c>
      <c r="AQ295" s="1246">
        <v>8.5755472898052867E-2</v>
      </c>
      <c r="AR295" s="1246">
        <v>9.3259507714377243E-2</v>
      </c>
      <c r="AS295" s="1246">
        <v>0.10634745584238531</v>
      </c>
      <c r="AT295" s="2460">
        <v>0.12438795444746908</v>
      </c>
      <c r="AU295" s="1056"/>
    </row>
    <row r="296" spans="3:47" ht="15.9" thickBot="1">
      <c r="D296" s="1247" t="s">
        <v>201</v>
      </c>
      <c r="E296" s="1245"/>
      <c r="F296" s="1245"/>
      <c r="G296" s="1245"/>
      <c r="H296" s="1245"/>
      <c r="I296" s="1245"/>
      <c r="J296" s="1246"/>
      <c r="K296" s="1246"/>
      <c r="L296" s="1246"/>
      <c r="M296" s="1246"/>
      <c r="N296" s="1246"/>
      <c r="O296" s="1246"/>
      <c r="P296" s="1246"/>
      <c r="Q296" s="1246"/>
      <c r="R296" s="1246"/>
      <c r="S296" s="1246"/>
      <c r="T296" s="1246"/>
      <c r="U296" s="1246"/>
      <c r="V296" s="1246">
        <v>0</v>
      </c>
      <c r="W296" s="1246">
        <v>0</v>
      </c>
      <c r="X296" s="1246">
        <v>0</v>
      </c>
      <c r="Y296" s="1246">
        <v>0</v>
      </c>
      <c r="Z296" s="1246">
        <v>0</v>
      </c>
      <c r="AA296" s="1246">
        <v>0</v>
      </c>
      <c r="AB296" s="1246">
        <v>0</v>
      </c>
      <c r="AC296" s="1246">
        <v>0</v>
      </c>
      <c r="AD296" s="1246">
        <v>0</v>
      </c>
      <c r="AE296" s="1246">
        <v>0</v>
      </c>
      <c r="AF296" s="1246">
        <v>0</v>
      </c>
      <c r="AG296" s="1246">
        <v>3.5824390986191577E-2</v>
      </c>
      <c r="AH296" s="1246">
        <v>8.8988460497587921E-2</v>
      </c>
      <c r="AI296" s="1246">
        <v>5.3860600649779336E-2</v>
      </c>
      <c r="AJ296" s="1246">
        <v>2.162894460480173E-2</v>
      </c>
      <c r="AK296" s="1246">
        <v>2.1265885994137194E-2</v>
      </c>
      <c r="AL296" s="1246">
        <v>2.0257024155484946E-2</v>
      </c>
      <c r="AM296" s="1246">
        <v>1.9739555927402425E-2</v>
      </c>
      <c r="AN296" s="1246">
        <v>1.9565120562818505E-2</v>
      </c>
      <c r="AO296" s="1246">
        <v>1.9866858906000432E-2</v>
      </c>
      <c r="AP296" s="1246">
        <v>0</v>
      </c>
      <c r="AQ296" s="1246">
        <v>0</v>
      </c>
      <c r="AR296" s="1246">
        <v>0</v>
      </c>
      <c r="AS296" s="1246">
        <v>0</v>
      </c>
      <c r="AT296" s="2460">
        <v>0</v>
      </c>
      <c r="AU296" s="1056"/>
    </row>
    <row r="297" spans="3:47" ht="15.9" thickBot="1">
      <c r="D297" s="1247" t="s">
        <v>202</v>
      </c>
      <c r="E297" s="1245"/>
      <c r="F297" s="1245"/>
      <c r="G297" s="1245"/>
      <c r="H297" s="1245"/>
      <c r="I297" s="1245"/>
      <c r="J297" s="1246"/>
      <c r="K297" s="1246"/>
      <c r="L297" s="1246"/>
      <c r="M297" s="1246"/>
      <c r="N297" s="1246"/>
      <c r="O297" s="1246"/>
      <c r="P297" s="1246"/>
      <c r="Q297" s="1246"/>
      <c r="R297" s="1246"/>
      <c r="S297" s="1246"/>
      <c r="T297" s="1246"/>
      <c r="U297" s="1246"/>
      <c r="V297" s="1246">
        <v>7.0330405769461521E-2</v>
      </c>
      <c r="W297" s="1246">
        <v>6.5849412779480809E-2</v>
      </c>
      <c r="X297" s="1246">
        <v>7.9244122746903456E-2</v>
      </c>
      <c r="Y297" s="1246">
        <v>8.9568706263369768E-2</v>
      </c>
      <c r="Z297" s="1246">
        <v>8.4930311600239949E-2</v>
      </c>
      <c r="AA297" s="1246">
        <v>8.1383475941315828E-2</v>
      </c>
      <c r="AB297" s="1246">
        <v>8.1530356162495862E-2</v>
      </c>
      <c r="AC297" s="1246">
        <v>8.1386128255921411E-2</v>
      </c>
      <c r="AD297" s="1246">
        <v>7.5605173074864737E-2</v>
      </c>
      <c r="AE297" s="1246">
        <v>7.8185968523780375E-2</v>
      </c>
      <c r="AF297" s="1246">
        <v>7.8948745094097217E-2</v>
      </c>
      <c r="AG297" s="1246">
        <v>8.363613991602771E-2</v>
      </c>
      <c r="AH297" s="1246">
        <v>8.0247410233357713E-2</v>
      </c>
      <c r="AI297" s="1246">
        <v>6.2582654957726067E-2</v>
      </c>
      <c r="AJ297" s="1246">
        <v>5.960575034640217E-2</v>
      </c>
      <c r="AK297" s="1246">
        <v>5.394481195780991E-2</v>
      </c>
      <c r="AL297" s="1246">
        <v>5.4997683451231481E-2</v>
      </c>
      <c r="AM297" s="1246">
        <v>6.2076525462830497E-2</v>
      </c>
      <c r="AN297" s="1246">
        <v>6.8625997811017803E-2</v>
      </c>
      <c r="AO297" s="1246">
        <v>7.2717077194923985E-2</v>
      </c>
      <c r="AP297" s="1246">
        <v>3.6821944703012074E-2</v>
      </c>
      <c r="AQ297" s="1246">
        <v>3.9837665816566795E-2</v>
      </c>
      <c r="AR297" s="1246">
        <v>4.2212717911834591E-2</v>
      </c>
      <c r="AS297" s="1246">
        <v>4.6601639076747504E-2</v>
      </c>
      <c r="AT297" s="2460">
        <v>5.2927276858716073E-2</v>
      </c>
      <c r="AU297" s="1056"/>
    </row>
    <row r="298" spans="3:47" ht="15.9" thickBot="1">
      <c r="D298" s="1247" t="s">
        <v>203</v>
      </c>
      <c r="E298" s="1245"/>
      <c r="F298" s="1245"/>
      <c r="G298" s="1245"/>
      <c r="H298" s="1245"/>
      <c r="I298" s="1245"/>
      <c r="J298" s="1246"/>
      <c r="K298" s="1246"/>
      <c r="L298" s="1246"/>
      <c r="M298" s="1246"/>
      <c r="N298" s="1246"/>
      <c r="O298" s="1246"/>
      <c r="P298" s="1246"/>
      <c r="Q298" s="1246"/>
      <c r="R298" s="1246"/>
      <c r="S298" s="1246"/>
      <c r="T298" s="1246"/>
      <c r="U298" s="1246"/>
      <c r="V298" s="1246">
        <v>-7.3582553012787189E-5</v>
      </c>
      <c r="W298" s="1246">
        <v>-6.3572006391416741E-5</v>
      </c>
      <c r="X298" s="1246">
        <v>3.1710947838602554E-5</v>
      </c>
      <c r="Y298" s="1246">
        <v>1.0129161959593889E-4</v>
      </c>
      <c r="Z298" s="1246">
        <v>8.7646328050718366E-5</v>
      </c>
      <c r="AA298" s="1246">
        <v>7.2090964555574839E-5</v>
      </c>
      <c r="AB298" s="1246">
        <v>7.1745187276610762E-5</v>
      </c>
      <c r="AC298" s="1246">
        <v>7.0629018252919539E-5</v>
      </c>
      <c r="AD298" s="1246">
        <v>5.9997946029188934E-5</v>
      </c>
      <c r="AE298" s="1246">
        <v>5.5115668927727476E-5</v>
      </c>
      <c r="AF298" s="1246">
        <v>4.6488865956791821E-5</v>
      </c>
      <c r="AG298" s="1246">
        <v>2.9386034441871463E-5</v>
      </c>
      <c r="AH298" s="1246">
        <v>1.9039963622785687E-5</v>
      </c>
      <c r="AI298" s="1246">
        <v>1.6837368027139974E-5</v>
      </c>
      <c r="AJ298" s="1246">
        <v>1.9130720118036837E-5</v>
      </c>
      <c r="AK298" s="1246">
        <v>1.7234598915179083E-5</v>
      </c>
      <c r="AL298" s="1246">
        <v>1.6249916517412992E-5</v>
      </c>
      <c r="AM298" s="1246">
        <v>1.621670860821757E-5</v>
      </c>
      <c r="AN298" s="1246">
        <v>1.5561711021799132E-5</v>
      </c>
      <c r="AO298" s="1246">
        <v>1.4493934104943655E-5</v>
      </c>
      <c r="AP298" s="1246">
        <v>1.7449975282921739E-5</v>
      </c>
      <c r="AQ298" s="1246">
        <v>1.6286206884930417E-5</v>
      </c>
      <c r="AR298" s="1246">
        <v>1.5002477162141742E-5</v>
      </c>
      <c r="AS298" s="1246">
        <v>1.6340979231892434E-5</v>
      </c>
      <c r="AT298" s="2460">
        <v>2.0932164249895838E-5</v>
      </c>
      <c r="AU298" s="1056"/>
    </row>
    <row r="299" spans="3:47" ht="15.9" thickBot="1">
      <c r="D299" s="1248" t="s">
        <v>98</v>
      </c>
      <c r="E299" s="1249"/>
      <c r="F299" s="1249"/>
      <c r="G299" s="1249"/>
      <c r="H299" s="1249"/>
      <c r="I299" s="1249"/>
      <c r="J299" s="1250"/>
      <c r="K299" s="1250"/>
      <c r="L299" s="1250"/>
      <c r="M299" s="1250"/>
      <c r="N299" s="1250"/>
      <c r="O299" s="1250"/>
      <c r="P299" s="1250"/>
      <c r="Q299" s="1250"/>
      <c r="R299" s="1250"/>
      <c r="S299" s="1250"/>
      <c r="T299" s="1250"/>
      <c r="U299" s="1250"/>
      <c r="V299" s="1250">
        <v>1.1520323844554674</v>
      </c>
      <c r="W299" s="1250">
        <v>1.0791953852273644</v>
      </c>
      <c r="X299" s="1250">
        <v>1.0916925199539118</v>
      </c>
      <c r="Y299" s="1250">
        <v>1.1116942018733014</v>
      </c>
      <c r="Z299" s="1250">
        <v>1.2714966303257085</v>
      </c>
      <c r="AA299" s="1250">
        <v>1.3743088966738459</v>
      </c>
      <c r="AB299" s="1250">
        <v>1.3882600621411563</v>
      </c>
      <c r="AC299" s="1250">
        <v>1.3548293856117462</v>
      </c>
      <c r="AD299" s="1250">
        <v>1.4053278939685752</v>
      </c>
      <c r="AE299" s="1250">
        <v>1.4075531393149905</v>
      </c>
      <c r="AF299" s="1250">
        <v>1.3437678476086281</v>
      </c>
      <c r="AG299" s="1250">
        <v>1.3767098624844738</v>
      </c>
      <c r="AH299" s="1250">
        <v>1.4980616801634201</v>
      </c>
      <c r="AI299" s="1250">
        <v>1.5933685175223586</v>
      </c>
      <c r="AJ299" s="1250">
        <v>1.5565382366318081</v>
      </c>
      <c r="AK299" s="1250">
        <v>1.7594309439750135</v>
      </c>
      <c r="AL299" s="1250">
        <v>1.7830620867241513</v>
      </c>
      <c r="AM299" s="1250">
        <v>1.6975103103942333</v>
      </c>
      <c r="AN299" s="1250">
        <v>1.6597487261730623</v>
      </c>
      <c r="AO299" s="1250">
        <v>1.685895293657931</v>
      </c>
      <c r="AP299" s="1250">
        <v>1.6977122629775416</v>
      </c>
      <c r="AQ299" s="1250">
        <v>1.7231915708284922</v>
      </c>
      <c r="AR299" s="1250">
        <v>1.749441531137595</v>
      </c>
      <c r="AS299" s="1250">
        <v>1.7823842407457509</v>
      </c>
      <c r="AT299" s="2460">
        <v>1.811723826587079</v>
      </c>
      <c r="AU299" s="1056"/>
    </row>
    <row r="300" spans="3:47">
      <c r="D300" s="74"/>
      <c r="E300" s="74"/>
      <c r="F300" s="74"/>
      <c r="G300" s="74"/>
      <c r="H300" s="74"/>
      <c r="I300" s="74"/>
      <c r="J300" s="74"/>
      <c r="K300" s="74"/>
      <c r="L300" s="74"/>
      <c r="M300" s="74"/>
      <c r="N300" s="74"/>
      <c r="O300" s="74"/>
      <c r="P300" s="74"/>
      <c r="Q300" s="74"/>
      <c r="R300" s="74"/>
      <c r="S300" s="74"/>
      <c r="T300" s="74"/>
      <c r="U300" s="74"/>
      <c r="V300" s="1628"/>
      <c r="W300" s="1628"/>
      <c r="X300" s="1628"/>
      <c r="Y300" s="1628"/>
      <c r="Z300" s="1628"/>
      <c r="AA300" s="1628"/>
      <c r="AB300" s="1628"/>
      <c r="AC300" s="1628"/>
      <c r="AD300" s="1628"/>
      <c r="AE300" s="1628"/>
      <c r="AF300" s="1628"/>
      <c r="AG300" s="1628"/>
      <c r="AH300" s="1628"/>
      <c r="AI300" s="1628"/>
      <c r="AJ300" s="1628"/>
      <c r="AK300" s="1758"/>
      <c r="AL300" s="1628"/>
      <c r="AM300" s="1628"/>
      <c r="AN300" s="1628"/>
      <c r="AO300" s="1628"/>
      <c r="AP300" s="1628"/>
      <c r="AQ300" s="1628"/>
      <c r="AR300" s="1628"/>
      <c r="AS300" s="1628"/>
      <c r="AT300" s="2603"/>
      <c r="AU300" s="1056"/>
    </row>
    <row r="301" spans="3:47">
      <c r="D301" s="74" t="s">
        <v>818</v>
      </c>
      <c r="E301" s="2"/>
      <c r="F301" s="2"/>
      <c r="G301" s="2"/>
      <c r="H301" s="2"/>
      <c r="I301" s="2"/>
      <c r="J301" s="2"/>
      <c r="K301" s="2"/>
      <c r="L301" s="2"/>
      <c r="M301" s="2"/>
      <c r="N301" s="2"/>
      <c r="O301" s="2"/>
      <c r="P301" s="2"/>
      <c r="Q301" s="2"/>
      <c r="R301" s="2"/>
      <c r="S301" s="2"/>
      <c r="T301" s="2"/>
      <c r="U301" s="2"/>
      <c r="V301" s="2"/>
      <c r="W301" s="2"/>
      <c r="X301" s="2"/>
      <c r="Y301" s="2"/>
      <c r="Z301" s="2"/>
      <c r="AA301" s="2"/>
      <c r="AB301" s="129"/>
      <c r="AC301" s="2"/>
      <c r="AD301" s="130" t="s">
        <v>631</v>
      </c>
      <c r="AE301" s="2"/>
      <c r="AF301" s="1628"/>
      <c r="AG301" s="1628"/>
      <c r="AH301" s="957">
        <f t="shared" ref="AH301:AI301" si="2">AH1542+AH1517</f>
        <v>-9.650577336755338E-2</v>
      </c>
      <c r="AI301" s="957">
        <f t="shared" si="2"/>
        <v>-8.4554882821268482E-2</v>
      </c>
      <c r="AJ301" s="957">
        <f>AJ1542+AJ1517</f>
        <v>-6.036478032018075E-2</v>
      </c>
      <c r="AK301" s="957"/>
      <c r="AL301" s="1628"/>
      <c r="AM301" s="1628"/>
      <c r="AN301" s="1628"/>
      <c r="AO301" s="1628"/>
      <c r="AP301" s="1628"/>
      <c r="AQ301" s="1628"/>
      <c r="AR301" s="1628"/>
      <c r="AS301" s="1628"/>
      <c r="AT301" s="2603"/>
      <c r="AU301" s="1056"/>
    </row>
    <row r="302" spans="3:47" ht="18.3">
      <c r="C302" s="73"/>
      <c r="D302" s="146" t="s">
        <v>113</v>
      </c>
      <c r="E302" s="30"/>
      <c r="F302" s="30"/>
      <c r="G302" s="30"/>
      <c r="H302" s="30"/>
      <c r="I302" s="121" t="s">
        <v>1104</v>
      </c>
      <c r="J302" s="121" t="s">
        <v>1100</v>
      </c>
      <c r="K302" s="121" t="s">
        <v>1099</v>
      </c>
      <c r="L302" s="126" t="s">
        <v>1098</v>
      </c>
      <c r="M302" s="121" t="s">
        <v>1097</v>
      </c>
      <c r="N302" s="126" t="s">
        <v>1096</v>
      </c>
      <c r="O302" s="121" t="s">
        <v>1095</v>
      </c>
      <c r="P302" s="126" t="s">
        <v>1094</v>
      </c>
      <c r="Q302" s="121" t="s">
        <v>1093</v>
      </c>
      <c r="R302" s="126" t="s">
        <v>183</v>
      </c>
      <c r="S302" s="121" t="s">
        <v>184</v>
      </c>
      <c r="T302" s="121" t="s">
        <v>185</v>
      </c>
      <c r="U302" s="126" t="s">
        <v>186</v>
      </c>
      <c r="V302" s="121" t="s">
        <v>173</v>
      </c>
      <c r="W302" s="121" t="s">
        <v>174</v>
      </c>
      <c r="X302" s="121" t="s">
        <v>175</v>
      </c>
      <c r="Y302" s="121" t="s">
        <v>176</v>
      </c>
      <c r="Z302" s="121" t="s">
        <v>177</v>
      </c>
      <c r="AA302" s="121" t="s">
        <v>178</v>
      </c>
      <c r="AB302" s="121" t="s">
        <v>179</v>
      </c>
      <c r="AC302" s="121" t="s">
        <v>180</v>
      </c>
      <c r="AD302" s="121" t="s">
        <v>181</v>
      </c>
      <c r="AE302" s="121" t="s">
        <v>182</v>
      </c>
      <c r="AF302" s="121" t="s">
        <v>1062</v>
      </c>
      <c r="AG302" s="121" t="s">
        <v>1088</v>
      </c>
      <c r="AH302" s="121" t="s">
        <v>1089</v>
      </c>
      <c r="AI302" s="121" t="s">
        <v>1090</v>
      </c>
      <c r="AJ302" s="121" t="s">
        <v>1091</v>
      </c>
      <c r="AK302" s="121" t="s">
        <v>1092</v>
      </c>
      <c r="AL302" s="121" t="s">
        <v>3216</v>
      </c>
      <c r="AM302" s="121" t="s">
        <v>3305</v>
      </c>
      <c r="AN302" s="121" t="s">
        <v>3487</v>
      </c>
      <c r="AO302" s="121" t="s">
        <v>3488</v>
      </c>
      <c r="AP302" s="121" t="s">
        <v>3611</v>
      </c>
      <c r="AQ302" s="121" t="s">
        <v>3612</v>
      </c>
      <c r="AR302" s="121" t="s">
        <v>3613</v>
      </c>
      <c r="AS302" s="121" t="s">
        <v>3614</v>
      </c>
      <c r="AT302" s="121" t="s">
        <v>3615</v>
      </c>
      <c r="AU302" s="121" t="s">
        <v>3990</v>
      </c>
    </row>
    <row r="303" spans="3:47" hidden="1">
      <c r="C303" s="73"/>
      <c r="D303" s="152" t="s">
        <v>216</v>
      </c>
      <c r="E303" s="153"/>
      <c r="F303" s="153"/>
      <c r="G303" s="153"/>
      <c r="H303" s="153"/>
      <c r="I303" s="154"/>
      <c r="J303" s="154"/>
      <c r="K303" s="154">
        <f t="shared" ref="K303:V303" si="3">+(J213+K213)/2</f>
        <v>763</v>
      </c>
      <c r="L303" s="154">
        <f t="shared" si="3"/>
        <v>838.5</v>
      </c>
      <c r="M303" s="154">
        <f t="shared" si="3"/>
        <v>902.5</v>
      </c>
      <c r="N303" s="154">
        <f t="shared" si="3"/>
        <v>1041.5</v>
      </c>
      <c r="O303" s="154">
        <f t="shared" si="3"/>
        <v>1260.5</v>
      </c>
      <c r="P303" s="154">
        <f t="shared" si="3"/>
        <v>1504</v>
      </c>
      <c r="Q303" s="154">
        <f t="shared" si="3"/>
        <v>1721</v>
      </c>
      <c r="R303" s="154">
        <f t="shared" si="3"/>
        <v>2001.5</v>
      </c>
      <c r="S303" s="154">
        <f t="shared" si="3"/>
        <v>2498</v>
      </c>
      <c r="T303" s="154">
        <f t="shared" si="3"/>
        <v>2992</v>
      </c>
      <c r="U303" s="154">
        <f t="shared" si="3"/>
        <v>3357</v>
      </c>
      <c r="V303" s="154">
        <f t="shared" si="3"/>
        <v>3806.5</v>
      </c>
      <c r="W303" s="154">
        <f t="shared" ref="W303:AK303" si="4">W214</f>
        <v>4373</v>
      </c>
      <c r="X303" s="154">
        <f t="shared" si="4"/>
        <v>4846</v>
      </c>
      <c r="Y303" s="154">
        <f t="shared" si="4"/>
        <v>5296</v>
      </c>
      <c r="Z303" s="154">
        <f t="shared" si="4"/>
        <v>5771</v>
      </c>
      <c r="AA303" s="154">
        <f t="shared" si="4"/>
        <v>6443</v>
      </c>
      <c r="AB303" s="154">
        <f t="shared" si="4"/>
        <v>7237</v>
      </c>
      <c r="AC303" s="154">
        <f t="shared" si="4"/>
        <v>7982</v>
      </c>
      <c r="AD303" s="154">
        <f t="shared" si="4"/>
        <v>8784</v>
      </c>
      <c r="AE303" s="154">
        <f t="shared" si="4"/>
        <v>9640</v>
      </c>
      <c r="AF303" s="154">
        <f>AF214</f>
        <v>10499</v>
      </c>
      <c r="AG303" s="154">
        <f>AG214</f>
        <v>12359</v>
      </c>
      <c r="AH303" s="154">
        <f t="shared" si="4"/>
        <v>15800</v>
      </c>
      <c r="AI303" s="154">
        <f t="shared" si="4"/>
        <v>18547.5</v>
      </c>
      <c r="AJ303" s="154"/>
      <c r="AK303" s="154">
        <f t="shared" si="4"/>
        <v>25286.692679098727</v>
      </c>
      <c r="AL303" s="154">
        <f t="shared" ref="AL303:AM303" si="5">AL214</f>
        <v>28849.370738551253</v>
      </c>
      <c r="AM303" s="154">
        <f t="shared" si="5"/>
        <v>32496.933271959228</v>
      </c>
      <c r="AN303" s="154">
        <f>AM303*(1+13%)</f>
        <v>36721.534597313926</v>
      </c>
      <c r="AO303" s="154">
        <f>AN303*(1+13%)</f>
        <v>41495.334094964732</v>
      </c>
      <c r="AP303" s="154"/>
      <c r="AQ303" s="154"/>
      <c r="AR303" s="154"/>
      <c r="AS303" s="154"/>
      <c r="AT303" s="2604"/>
      <c r="AU303" s="1056"/>
    </row>
    <row r="304" spans="3:47" hidden="1">
      <c r="C304" s="73"/>
      <c r="D304" s="156" t="s">
        <v>239</v>
      </c>
      <c r="E304" s="153"/>
      <c r="F304" s="153"/>
      <c r="G304" s="153"/>
      <c r="H304" s="153"/>
      <c r="I304" s="153"/>
      <c r="J304" s="153"/>
      <c r="K304" s="153"/>
      <c r="L304" s="157">
        <f t="shared" ref="L304:V304" si="6">+L303/K303-1</f>
        <v>9.8951507208387968E-2</v>
      </c>
      <c r="M304" s="157">
        <f t="shared" si="6"/>
        <v>7.6326774001192588E-2</v>
      </c>
      <c r="N304" s="157">
        <f t="shared" si="6"/>
        <v>0.15401662049861486</v>
      </c>
      <c r="O304" s="157">
        <f t="shared" si="6"/>
        <v>0.21027364378300528</v>
      </c>
      <c r="P304" s="157">
        <f t="shared" si="6"/>
        <v>0.19317731059103527</v>
      </c>
      <c r="Q304" s="157">
        <f t="shared" si="6"/>
        <v>0.14428191489361697</v>
      </c>
      <c r="R304" s="157">
        <f t="shared" si="6"/>
        <v>0.16298663567693206</v>
      </c>
      <c r="S304" s="157">
        <f t="shared" si="6"/>
        <v>0.24806395203597309</v>
      </c>
      <c r="T304" s="157">
        <f t="shared" si="6"/>
        <v>0.19775820656525211</v>
      </c>
      <c r="U304" s="157">
        <f t="shared" si="6"/>
        <v>0.12199197860962574</v>
      </c>
      <c r="V304" s="157">
        <f t="shared" si="6"/>
        <v>0.13389931486446227</v>
      </c>
      <c r="W304" s="157">
        <f t="shared" ref="W304:AK304" si="7">+W303/V303-1</f>
        <v>0.14882437935110993</v>
      </c>
      <c r="X304" s="157">
        <f t="shared" si="7"/>
        <v>0.10816373199176765</v>
      </c>
      <c r="Y304" s="157">
        <f t="shared" si="7"/>
        <v>9.2860090796533123E-2</v>
      </c>
      <c r="Z304" s="157">
        <f t="shared" si="7"/>
        <v>8.9690332326284095E-2</v>
      </c>
      <c r="AA304" s="157">
        <f t="shared" si="7"/>
        <v>0.11644429041760529</v>
      </c>
      <c r="AB304" s="157">
        <f t="shared" si="7"/>
        <v>0.12323451808163899</v>
      </c>
      <c r="AC304" s="157">
        <f t="shared" si="7"/>
        <v>0.10294320851181427</v>
      </c>
      <c r="AD304" s="157">
        <f t="shared" si="7"/>
        <v>0.10047607116011026</v>
      </c>
      <c r="AE304" s="157">
        <f t="shared" si="7"/>
        <v>9.7449908925318685E-2</v>
      </c>
      <c r="AF304" s="157">
        <f>+AF303/AE303-1</f>
        <v>8.9107883817427291E-2</v>
      </c>
      <c r="AG304" s="157">
        <f>+AG303/AF303-1</f>
        <v>0.17715972949804737</v>
      </c>
      <c r="AH304" s="157">
        <f t="shared" si="7"/>
        <v>0.27842058418965943</v>
      </c>
      <c r="AI304" s="157">
        <f t="shared" si="7"/>
        <v>0.17389240506329107</v>
      </c>
      <c r="AJ304" s="157"/>
      <c r="AK304" s="2813" t="e">
        <f t="shared" si="7"/>
        <v>#DIV/0!</v>
      </c>
      <c r="AL304" s="157">
        <f t="shared" ref="AL304" si="8">+AL303/AK303-1</f>
        <v>0.14089142082219941</v>
      </c>
      <c r="AM304" s="157">
        <f t="shared" ref="AM304" si="9">+AM303/AL303-1</f>
        <v>0.12643473462434152</v>
      </c>
      <c r="AN304" s="157">
        <v>0.12623937883853364</v>
      </c>
      <c r="AO304" s="157">
        <v>0.12623937883853364</v>
      </c>
      <c r="AP304" s="157"/>
      <c r="AQ304" s="157"/>
      <c r="AR304" s="157"/>
      <c r="AS304" s="157"/>
      <c r="AT304" s="2605"/>
      <c r="AU304" s="1056"/>
    </row>
    <row r="305" spans="1:47" hidden="1">
      <c r="C305" s="73"/>
      <c r="D305" s="153" t="s">
        <v>302</v>
      </c>
      <c r="E305" s="153"/>
      <c r="F305" s="153"/>
      <c r="G305" s="153"/>
      <c r="H305" s="153"/>
      <c r="I305" s="153"/>
      <c r="J305" s="153"/>
      <c r="K305" s="153"/>
      <c r="L305" s="153"/>
      <c r="M305" s="153"/>
      <c r="N305" s="153"/>
      <c r="O305" s="153"/>
      <c r="P305" s="153"/>
      <c r="Q305" s="153"/>
      <c r="R305" s="153"/>
      <c r="S305" s="153"/>
      <c r="T305" s="153"/>
      <c r="U305" s="153"/>
      <c r="V305" s="154">
        <f>+V212</f>
        <v>1648.0985892157846</v>
      </c>
      <c r="W305" s="154">
        <f t="shared" ref="W305:AK305" si="10">+(V212+W212)/2</f>
        <v>1790.8015413194096</v>
      </c>
      <c r="X305" s="154">
        <f t="shared" si="10"/>
        <v>2007.6382165694599</v>
      </c>
      <c r="Y305" s="154">
        <f t="shared" si="10"/>
        <v>2209.6660380368148</v>
      </c>
      <c r="Z305" s="154">
        <f t="shared" si="10"/>
        <v>2430.2382242874901</v>
      </c>
      <c r="AA305" s="154">
        <f t="shared" si="10"/>
        <v>2640.1027299356538</v>
      </c>
      <c r="AB305" s="154">
        <f t="shared" si="10"/>
        <v>2910.4378918784437</v>
      </c>
      <c r="AC305" s="154">
        <f t="shared" si="10"/>
        <v>3322.7492161797431</v>
      </c>
      <c r="AD305" s="154">
        <f t="shared" si="10"/>
        <v>3939.1174311054729</v>
      </c>
      <c r="AE305" s="154">
        <f t="shared" si="10"/>
        <v>4298.6609938467363</v>
      </c>
      <c r="AF305" s="154">
        <f>+(AE212+AF212)/2</f>
        <v>4833.2801637588063</v>
      </c>
      <c r="AG305" s="154">
        <f>+(AF212+AG212)/2</f>
        <v>6211.6742428523858</v>
      </c>
      <c r="AH305" s="154">
        <f t="shared" si="10"/>
        <v>7722.1765433112587</v>
      </c>
      <c r="AI305" s="154">
        <f t="shared" si="10"/>
        <v>9317.2403182327071</v>
      </c>
      <c r="AJ305" s="154"/>
      <c r="AK305" s="154">
        <f t="shared" si="10"/>
        <v>13866.878745656632</v>
      </c>
      <c r="AL305" s="154">
        <f t="shared" ref="AL305" si="11">+(AK212+AL212)/2</f>
        <v>15666.273562822194</v>
      </c>
      <c r="AM305" s="154">
        <f t="shared" ref="AM305" si="12">+(AL212+AM212)/2</f>
        <v>17671.031522973142</v>
      </c>
      <c r="AN305" s="154">
        <f t="shared" ref="AN305" si="13">+(AM212+AN212)/2</f>
        <v>20069.620389076794</v>
      </c>
      <c r="AO305" s="154">
        <f t="shared" ref="AO305" si="14">+(AN212+AO212)/2</f>
        <v>22802.067080675919</v>
      </c>
      <c r="AP305" s="154"/>
      <c r="AQ305" s="154"/>
      <c r="AR305" s="154"/>
      <c r="AS305" s="154"/>
      <c r="AT305" s="2604"/>
      <c r="AU305" s="1056"/>
    </row>
    <row r="306" spans="1:47" hidden="1">
      <c r="C306" s="73"/>
      <c r="D306" s="153" t="s">
        <v>320</v>
      </c>
      <c r="E306" s="153"/>
      <c r="F306" s="153"/>
      <c r="G306" s="153"/>
      <c r="H306" s="153"/>
      <c r="J306" s="154">
        <f t="shared" ref="J306:AI306" si="15">+(J$303-J751-J758-(J789+J816))</f>
        <v>-76.579461220000013</v>
      </c>
      <c r="K306" s="154">
        <f t="shared" si="15"/>
        <v>681.30583877999993</v>
      </c>
      <c r="L306" s="154">
        <f t="shared" si="15"/>
        <v>749.6318</v>
      </c>
      <c r="M306" s="154">
        <f t="shared" si="15"/>
        <v>802.91450000000009</v>
      </c>
      <c r="N306" s="154">
        <f t="shared" si="15"/>
        <v>927.25700000000006</v>
      </c>
      <c r="O306" s="154">
        <f t="shared" si="15"/>
        <v>1126.1914000000002</v>
      </c>
      <c r="P306" s="154">
        <f t="shared" si="15"/>
        <v>1349.956242172</v>
      </c>
      <c r="Q306" s="154">
        <f t="shared" si="15"/>
        <v>1543.8183921719999</v>
      </c>
      <c r="R306" s="154">
        <f t="shared" si="15"/>
        <v>1786</v>
      </c>
      <c r="S306" s="154">
        <f t="shared" si="15"/>
        <v>2252.5</v>
      </c>
      <c r="T306" s="154">
        <f t="shared" si="15"/>
        <v>2669.8999999999996</v>
      </c>
      <c r="U306" s="154">
        <f t="shared" si="15"/>
        <v>2971.4124309392264</v>
      </c>
      <c r="V306" s="154">
        <f t="shared" si="15"/>
        <v>3343.3331257182322</v>
      </c>
      <c r="W306" s="154">
        <f t="shared" si="15"/>
        <v>3830.5</v>
      </c>
      <c r="X306" s="154">
        <f t="shared" si="15"/>
        <v>4217.6163900375823</v>
      </c>
      <c r="Y306" s="154">
        <f t="shared" si="15"/>
        <v>4550.444780990656</v>
      </c>
      <c r="Z306" s="154">
        <f t="shared" si="15"/>
        <v>4965.2431980420006</v>
      </c>
      <c r="AA306" s="154">
        <f t="shared" si="15"/>
        <v>5494.3097176671436</v>
      </c>
      <c r="AB306" s="154">
        <f t="shared" si="15"/>
        <v>6168.4486393776806</v>
      </c>
      <c r="AC306" s="154">
        <f t="shared" si="15"/>
        <v>6826.5856071330472</v>
      </c>
      <c r="AD306" s="154">
        <f t="shared" si="15"/>
        <v>7484.111668229978</v>
      </c>
      <c r="AE306" s="154">
        <f t="shared" si="15"/>
        <v>8276.4971303457114</v>
      </c>
      <c r="AF306" s="154">
        <f t="shared" si="15"/>
        <v>9021.0285597398179</v>
      </c>
      <c r="AG306" s="154">
        <f t="shared" si="15"/>
        <v>7426.1966669370231</v>
      </c>
      <c r="AH306" s="154">
        <f t="shared" si="15"/>
        <v>7402.7322425624352</v>
      </c>
      <c r="AI306" s="154">
        <f t="shared" si="15"/>
        <v>8359.0267734317822</v>
      </c>
      <c r="AJ306" s="154"/>
      <c r="AK306" s="154">
        <f>+(AK$303-AK751-AK758-(AK789+AK816))</f>
        <v>25286.692679098727</v>
      </c>
      <c r="AL306" s="154">
        <f>+(AL$303-AL751-AL758-(AL789+AL816))</f>
        <v>28849.370738551253</v>
      </c>
      <c r="AM306" s="154">
        <f>+(AM$303-AM751-AM758-(AM789+AM816))</f>
        <v>32496.933271959228</v>
      </c>
      <c r="AN306" s="154">
        <f>+(AN$303-AN751-AN758-(AN789+AN816))</f>
        <v>36721.534597313926</v>
      </c>
      <c r="AO306" s="154">
        <f>+(AO$303-AO751-AO758-(AO789+AO816))</f>
        <v>41495.334094964732</v>
      </c>
      <c r="AP306" s="154"/>
      <c r="AQ306" s="154"/>
      <c r="AR306" s="154"/>
      <c r="AS306" s="154"/>
      <c r="AT306" s="2604"/>
      <c r="AU306" s="1056"/>
    </row>
    <row r="307" spans="1:47" hidden="1">
      <c r="C307" s="73"/>
      <c r="D307" s="152" t="s">
        <v>256</v>
      </c>
      <c r="E307" s="153"/>
      <c r="F307" s="153"/>
      <c r="G307" s="153"/>
      <c r="H307" s="153"/>
      <c r="I307" s="153"/>
      <c r="J307" s="153"/>
      <c r="K307" s="153"/>
      <c r="L307" s="153"/>
      <c r="M307" s="153"/>
      <c r="N307" s="153"/>
      <c r="O307" s="153"/>
      <c r="P307" s="153"/>
      <c r="Q307" s="153"/>
      <c r="R307" s="153"/>
      <c r="S307" s="153"/>
      <c r="T307" s="153"/>
      <c r="U307" s="153"/>
      <c r="V307" s="153"/>
      <c r="W307" s="153"/>
      <c r="X307" s="153"/>
      <c r="Y307" s="912">
        <f t="shared" ref="Y307:AK307" si="16">+Y306/X306-1</f>
        <v>7.8913860383141188E-2</v>
      </c>
      <c r="Z307" s="912">
        <f t="shared" si="16"/>
        <v>9.1155576435989705E-2</v>
      </c>
      <c r="AA307" s="912">
        <f t="shared" si="16"/>
        <v>0.1065539991744564</v>
      </c>
      <c r="AB307" s="912">
        <f t="shared" si="16"/>
        <v>0.12269765563867274</v>
      </c>
      <c r="AC307" s="912">
        <f t="shared" si="16"/>
        <v>0.10669408245600054</v>
      </c>
      <c r="AD307" s="912">
        <f t="shared" si="16"/>
        <v>9.6318437786803157E-2</v>
      </c>
      <c r="AE307" s="912">
        <f t="shared" si="16"/>
        <v>0.10587568668695924</v>
      </c>
      <c r="AF307" s="912">
        <f>+AF306/AE306-1</f>
        <v>8.9957311368391357E-2</v>
      </c>
      <c r="AG307" s="912">
        <f>+AG306/AF306-1</f>
        <v>-0.17679047153452232</v>
      </c>
      <c r="AH307" s="912">
        <f t="shared" si="16"/>
        <v>-3.1596825975611642E-3</v>
      </c>
      <c r="AI307" s="912">
        <f t="shared" si="16"/>
        <v>0.12918129408640189</v>
      </c>
      <c r="AJ307" s="912"/>
      <c r="AK307" s="2814" t="e">
        <f t="shared" si="16"/>
        <v>#DIV/0!</v>
      </c>
      <c r="AL307" s="912">
        <f t="shared" ref="AL307" si="17">+AL306/AK306-1</f>
        <v>0.14089142082219941</v>
      </c>
      <c r="AM307" s="912">
        <f t="shared" ref="AM307" si="18">+AM306/AL306-1</f>
        <v>0.12643473462434152</v>
      </c>
      <c r="AN307" s="912">
        <f t="shared" ref="AN307" si="19">+AN306/AM306-1</f>
        <v>0.12999999999999989</v>
      </c>
      <c r="AO307" s="912">
        <f t="shared" ref="AO307" si="20">+AO306/AN306-1</f>
        <v>0.12999999999999989</v>
      </c>
      <c r="AP307" s="912"/>
      <c r="AQ307" s="912"/>
      <c r="AR307" s="912"/>
      <c r="AS307" s="912"/>
      <c r="AT307" s="2606"/>
      <c r="AU307" s="1056"/>
    </row>
    <row r="308" spans="1:47" hidden="1">
      <c r="C308" s="74" t="s">
        <v>27</v>
      </c>
      <c r="D308" s="159" t="s">
        <v>111</v>
      </c>
      <c r="E308" s="159"/>
      <c r="F308" s="159"/>
      <c r="G308" s="159"/>
      <c r="H308" s="159"/>
      <c r="I308" s="159"/>
      <c r="J308" s="159"/>
      <c r="K308" s="159"/>
      <c r="L308" s="159"/>
      <c r="M308" s="159"/>
      <c r="N308" s="159"/>
      <c r="O308" s="159"/>
      <c r="P308" s="159"/>
      <c r="Q308" s="159"/>
      <c r="R308" s="159"/>
      <c r="S308" s="159"/>
      <c r="T308" s="159"/>
      <c r="U308" s="159"/>
      <c r="V308" s="159"/>
      <c r="W308" s="159"/>
      <c r="X308" s="159"/>
      <c r="Y308" s="160">
        <v>105.3</v>
      </c>
      <c r="Z308" s="531">
        <v>159.31</v>
      </c>
      <c r="AA308" s="532">
        <v>164.43</v>
      </c>
      <c r="AB308" s="533">
        <f>+AB309+AB310</f>
        <v>175.1</v>
      </c>
      <c r="AC308" s="533">
        <f t="shared" ref="AC308:AK308" si="21">+AC309+AC310</f>
        <v>165.5</v>
      </c>
      <c r="AD308" s="533">
        <f t="shared" si="21"/>
        <v>157.38596526999999</v>
      </c>
      <c r="AE308" s="533">
        <f t="shared" si="21"/>
        <v>138.47062149999999</v>
      </c>
      <c r="AF308" s="533">
        <f>+AF309+AF310</f>
        <v>139.47062149999999</v>
      </c>
      <c r="AG308" s="533">
        <f>+AG309+AG310</f>
        <v>140.47062149999999</v>
      </c>
      <c r="AH308" s="964">
        <f t="shared" si="21"/>
        <v>140.47062149999999</v>
      </c>
      <c r="AI308" s="964">
        <f t="shared" si="21"/>
        <v>140.47062149999999</v>
      </c>
      <c r="AJ308" s="964"/>
      <c r="AK308" s="964">
        <f t="shared" si="21"/>
        <v>0</v>
      </c>
      <c r="AL308" s="964">
        <f t="shared" ref="AL308:AM308" si="22">+AL309+AL310</f>
        <v>0</v>
      </c>
      <c r="AM308" s="964">
        <f t="shared" si="22"/>
        <v>0</v>
      </c>
      <c r="AN308" s="964">
        <f t="shared" ref="AN308:AO308" si="23">+AN309+AN310</f>
        <v>0</v>
      </c>
      <c r="AO308" s="964">
        <f t="shared" si="23"/>
        <v>0</v>
      </c>
      <c r="AP308" s="964"/>
      <c r="AQ308" s="964"/>
      <c r="AR308" s="964"/>
      <c r="AS308" s="964"/>
      <c r="AT308" s="2607"/>
      <c r="AU308" s="1056"/>
    </row>
    <row r="309" spans="1:47" hidden="1">
      <c r="D309" s="161" t="s">
        <v>106</v>
      </c>
      <c r="E309" s="159"/>
      <c r="F309" s="159"/>
      <c r="G309" s="159"/>
      <c r="H309" s="159"/>
      <c r="I309" s="159"/>
      <c r="J309" s="159"/>
      <c r="K309" s="159"/>
      <c r="L309" s="159"/>
      <c r="M309" s="159"/>
      <c r="N309" s="159"/>
      <c r="O309" s="159"/>
      <c r="P309" s="159"/>
      <c r="Q309" s="159"/>
      <c r="R309" s="159"/>
      <c r="S309" s="159"/>
      <c r="T309" s="159"/>
      <c r="U309" s="159"/>
      <c r="V309" s="159"/>
      <c r="W309" s="159"/>
      <c r="X309" s="159"/>
      <c r="Y309" s="162">
        <f>+Y308/2</f>
        <v>52.65</v>
      </c>
      <c r="Z309" s="534">
        <v>83.26</v>
      </c>
      <c r="AA309" s="162">
        <v>84.98</v>
      </c>
      <c r="AB309" s="1013">
        <v>75.599999999999994</v>
      </c>
      <c r="AC309" s="535">
        <v>51.8</v>
      </c>
      <c r="AD309" s="535">
        <v>58.285965269999998</v>
      </c>
      <c r="AE309" s="164">
        <f>34.9+49.59</f>
        <v>84.490000000000009</v>
      </c>
      <c r="AF309" s="164">
        <f>34.9+49.59</f>
        <v>84.490000000000009</v>
      </c>
      <c r="AG309" s="164">
        <f>34.9+49.59</f>
        <v>84.490000000000009</v>
      </c>
      <c r="AH309" s="208">
        <f t="shared" ref="AH309:AK310" si="24">+AG309</f>
        <v>84.490000000000009</v>
      </c>
      <c r="AI309" s="208">
        <f>+AH309</f>
        <v>84.490000000000009</v>
      </c>
      <c r="AJ309" s="155"/>
      <c r="AK309" s="155">
        <f t="shared" si="24"/>
        <v>0</v>
      </c>
      <c r="AL309" s="155">
        <f t="shared" ref="AL309:AL310" si="25">+AK309</f>
        <v>0</v>
      </c>
      <c r="AM309" s="155">
        <f t="shared" ref="AM309:AM310" si="26">+AL309</f>
        <v>0</v>
      </c>
      <c r="AN309" s="155">
        <f t="shared" ref="AN309:AN310" si="27">+AM309</f>
        <v>0</v>
      </c>
      <c r="AO309" s="155">
        <f t="shared" ref="AO309:AO310" si="28">+AN309</f>
        <v>0</v>
      </c>
      <c r="AP309" s="155"/>
      <c r="AQ309" s="155"/>
      <c r="AR309" s="155"/>
      <c r="AS309" s="155"/>
      <c r="AT309" s="2608"/>
      <c r="AU309" s="1056"/>
    </row>
    <row r="310" spans="1:47" hidden="1">
      <c r="C310" s="74" t="s">
        <v>27</v>
      </c>
      <c r="D310" s="161" t="s">
        <v>107</v>
      </c>
      <c r="E310" s="159"/>
      <c r="F310" s="159"/>
      <c r="G310" s="159"/>
      <c r="H310" s="159"/>
      <c r="I310" s="159"/>
      <c r="J310" s="159"/>
      <c r="K310" s="159"/>
      <c r="L310" s="159"/>
      <c r="M310" s="159"/>
      <c r="N310" s="159"/>
      <c r="O310" s="159"/>
      <c r="P310" s="159"/>
      <c r="Q310" s="159"/>
      <c r="R310" s="159"/>
      <c r="S310" s="159"/>
      <c r="T310" s="159"/>
      <c r="U310" s="159"/>
      <c r="V310" s="159"/>
      <c r="W310" s="159"/>
      <c r="X310" s="159"/>
      <c r="Y310" s="162">
        <f>+Y308-Y309</f>
        <v>52.65</v>
      </c>
      <c r="Z310" s="536">
        <f>+Z308-Z309</f>
        <v>76.05</v>
      </c>
      <c r="AA310" s="1012">
        <v>85.8</v>
      </c>
      <c r="AB310" s="1057">
        <f>(39.1+39.1+10+7+4.3)</f>
        <v>99.5</v>
      </c>
      <c r="AC310" s="537">
        <v>113.7</v>
      </c>
      <c r="AD310" s="1101">
        <v>99.1</v>
      </c>
      <c r="AE310" s="1101">
        <v>53.980621499999998</v>
      </c>
      <c r="AF310" s="1101">
        <v>54.980621499999998</v>
      </c>
      <c r="AG310" s="1101">
        <v>55.980621499999998</v>
      </c>
      <c r="AH310" s="593">
        <f t="shared" si="24"/>
        <v>55.980621499999998</v>
      </c>
      <c r="AI310" s="593">
        <f t="shared" si="24"/>
        <v>55.980621499999998</v>
      </c>
      <c r="AJ310" s="593"/>
      <c r="AK310" s="593">
        <f t="shared" si="24"/>
        <v>0</v>
      </c>
      <c r="AL310" s="593">
        <f t="shared" si="25"/>
        <v>0</v>
      </c>
      <c r="AM310" s="593">
        <f t="shared" si="26"/>
        <v>0</v>
      </c>
      <c r="AN310" s="593">
        <f t="shared" si="27"/>
        <v>0</v>
      </c>
      <c r="AO310" s="593">
        <f t="shared" si="28"/>
        <v>0</v>
      </c>
      <c r="AP310" s="593"/>
      <c r="AQ310" s="593"/>
      <c r="AR310" s="593"/>
      <c r="AS310" s="593"/>
      <c r="AT310" s="2609"/>
      <c r="AU310" s="1056"/>
    </row>
    <row r="311" spans="1:47" hidden="1">
      <c r="D311" s="161" t="s">
        <v>195</v>
      </c>
      <c r="E311" s="159"/>
      <c r="F311" s="159"/>
      <c r="G311" s="159"/>
      <c r="H311" s="159"/>
      <c r="I311" s="159"/>
      <c r="J311" s="159"/>
      <c r="K311" s="159"/>
      <c r="L311" s="159"/>
      <c r="M311" s="159"/>
      <c r="N311" s="159"/>
      <c r="O311" s="159"/>
      <c r="P311" s="159"/>
      <c r="Q311" s="159"/>
      <c r="R311" s="159"/>
      <c r="S311" s="159"/>
      <c r="T311" s="159"/>
      <c r="U311" s="159"/>
      <c r="V311" s="159"/>
      <c r="W311" s="159"/>
      <c r="X311" s="159"/>
      <c r="Y311" s="162"/>
      <c r="Z311" s="162">
        <f>+(Y310*Y256+Z309*Z256)/1000</f>
        <v>95.839250323148988</v>
      </c>
      <c r="AA311" s="162">
        <f>+(Z310*Z256+AA309*AA256)/1000</f>
        <v>121.6195684522404</v>
      </c>
      <c r="AB311" s="162">
        <f t="shared" ref="AB311:AI311" si="29">+(AA310+AB309)*AB259/1000</f>
        <v>132.01834234264999</v>
      </c>
      <c r="AC311" s="162">
        <f t="shared" si="29"/>
        <v>128.04260530427499</v>
      </c>
      <c r="AD311" s="163">
        <f t="shared" si="29"/>
        <v>151.47193310323161</v>
      </c>
      <c r="AE311" s="163">
        <f t="shared" si="29"/>
        <v>169.21778673992497</v>
      </c>
      <c r="AF311" s="163">
        <f>+(AE310+AF309)*AF259/1000</f>
        <v>134.31167958861582</v>
      </c>
      <c r="AG311" s="163">
        <f>+(AF310+AG309)*AG259/1000</f>
        <v>140.58770486242673</v>
      </c>
      <c r="AH311" s="907">
        <f t="shared" si="29"/>
        <v>151.85749599591659</v>
      </c>
      <c r="AI311" s="907">
        <f t="shared" si="29"/>
        <v>176.56360568673131</v>
      </c>
      <c r="AJ311" s="907"/>
      <c r="AK311" s="907">
        <f>+(AJ310+AK309)*AK259/1000</f>
        <v>0</v>
      </c>
      <c r="AL311" s="907">
        <f t="shared" ref="AL311:AM311" si="30">+(AK310+AL309)*AL259/1000</f>
        <v>0</v>
      </c>
      <c r="AM311" s="907">
        <f t="shared" si="30"/>
        <v>0</v>
      </c>
      <c r="AN311" s="907">
        <f>+(AM310+AN309)*AN260/1000</f>
        <v>0</v>
      </c>
      <c r="AO311" s="907">
        <f>+(AN310+AO309)*AO260/1000</f>
        <v>0</v>
      </c>
      <c r="AP311" s="907"/>
      <c r="AQ311" s="907"/>
      <c r="AR311" s="907"/>
      <c r="AS311" s="907"/>
      <c r="AT311" s="2610"/>
      <c r="AU311" s="1056"/>
    </row>
    <row r="312" spans="1:47" hidden="1">
      <c r="D312" s="161" t="s">
        <v>196</v>
      </c>
      <c r="E312" s="159"/>
      <c r="F312" s="159"/>
      <c r="G312" s="159"/>
      <c r="H312" s="159"/>
      <c r="I312" s="159"/>
      <c r="J312" s="159"/>
      <c r="K312" s="159"/>
      <c r="L312" s="159"/>
      <c r="M312" s="159"/>
      <c r="N312" s="159"/>
      <c r="O312" s="159"/>
      <c r="P312" s="159"/>
      <c r="Q312" s="159"/>
      <c r="R312" s="159"/>
      <c r="S312" s="159"/>
      <c r="T312" s="159"/>
      <c r="U312" s="159"/>
      <c r="V312" s="159"/>
      <c r="W312" s="159"/>
      <c r="X312" s="159"/>
      <c r="Y312" s="162"/>
      <c r="Z312" s="162">
        <v>26.3</v>
      </c>
      <c r="AA312" s="162">
        <v>0</v>
      </c>
      <c r="AB312" s="155">
        <v>0</v>
      </c>
      <c r="AC312" s="155">
        <f>+AB312</f>
        <v>0</v>
      </c>
      <c r="AD312" s="155">
        <f t="shared" ref="AD312:AK312" si="31">+AC312</f>
        <v>0</v>
      </c>
      <c r="AE312" s="155">
        <f>+AD312</f>
        <v>0</v>
      </c>
      <c r="AF312" s="155">
        <f>+AE312</f>
        <v>0</v>
      </c>
      <c r="AG312" s="155">
        <f>+AF312</f>
        <v>0</v>
      </c>
      <c r="AH312" s="155">
        <f t="shared" si="31"/>
        <v>0</v>
      </c>
      <c r="AI312" s="155">
        <f t="shared" si="31"/>
        <v>0</v>
      </c>
      <c r="AJ312" s="155"/>
      <c r="AK312" s="155">
        <f t="shared" si="31"/>
        <v>0</v>
      </c>
      <c r="AL312" s="155">
        <f t="shared" ref="AL312" si="32">+AK312</f>
        <v>0</v>
      </c>
      <c r="AM312" s="155">
        <f t="shared" ref="AM312" si="33">+AL312</f>
        <v>0</v>
      </c>
      <c r="AN312" s="155">
        <f t="shared" ref="AN312" si="34">+AM312</f>
        <v>0</v>
      </c>
      <c r="AO312" s="155">
        <f t="shared" ref="AO312" si="35">+AN312</f>
        <v>0</v>
      </c>
      <c r="AP312" s="155"/>
      <c r="AQ312" s="155"/>
      <c r="AR312" s="155"/>
      <c r="AS312" s="155"/>
      <c r="AT312" s="2608"/>
      <c r="AU312" s="1056"/>
    </row>
    <row r="313" spans="1:47" hidden="1">
      <c r="D313" s="159" t="s">
        <v>257</v>
      </c>
      <c r="E313" s="159"/>
      <c r="F313" s="159"/>
      <c r="G313" s="159"/>
      <c r="H313" s="159"/>
      <c r="I313" s="159"/>
      <c r="J313" s="159"/>
      <c r="K313" s="159"/>
      <c r="L313" s="159"/>
      <c r="M313" s="159"/>
      <c r="N313" s="159"/>
      <c r="O313" s="159"/>
      <c r="P313" s="159"/>
      <c r="Q313" s="159"/>
      <c r="R313" s="159"/>
      <c r="S313" s="159"/>
      <c r="T313" s="159"/>
      <c r="U313" s="159"/>
      <c r="V313" s="159"/>
      <c r="W313" s="159"/>
      <c r="X313" s="159"/>
      <c r="Y313" s="162"/>
      <c r="Z313" s="162">
        <f t="shared" ref="Z313:AK313" si="36">+Z311-Z312</f>
        <v>69.539250323148991</v>
      </c>
      <c r="AA313" s="162">
        <f t="shared" si="36"/>
        <v>121.6195684522404</v>
      </c>
      <c r="AB313" s="162">
        <f t="shared" si="36"/>
        <v>132.01834234264999</v>
      </c>
      <c r="AC313" s="163">
        <f t="shared" si="36"/>
        <v>128.04260530427499</v>
      </c>
      <c r="AD313" s="163">
        <f t="shared" si="36"/>
        <v>151.47193310323161</v>
      </c>
      <c r="AE313" s="163">
        <f t="shared" si="36"/>
        <v>169.21778673992497</v>
      </c>
      <c r="AF313" s="163">
        <f>+AF311-AF312</f>
        <v>134.31167958861582</v>
      </c>
      <c r="AG313" s="163">
        <f>+AG311-AG312</f>
        <v>140.58770486242673</v>
      </c>
      <c r="AH313" s="908">
        <f t="shared" si="36"/>
        <v>151.85749599591659</v>
      </c>
      <c r="AI313" s="908">
        <f t="shared" si="36"/>
        <v>176.56360568673131</v>
      </c>
      <c r="AJ313" s="163"/>
      <c r="AK313" s="163">
        <f t="shared" si="36"/>
        <v>0</v>
      </c>
      <c r="AL313" s="163">
        <f t="shared" ref="AL313" si="37">+AL311-AL312</f>
        <v>0</v>
      </c>
      <c r="AM313" s="163">
        <f>+AM311-AM312</f>
        <v>0</v>
      </c>
      <c r="AN313" s="163">
        <f t="shared" ref="AN313:AO313" si="38">+AN311-AN312</f>
        <v>0</v>
      </c>
      <c r="AO313" s="163">
        <f t="shared" si="38"/>
        <v>0</v>
      </c>
      <c r="AP313" s="163"/>
      <c r="AQ313" s="163"/>
      <c r="AR313" s="163"/>
      <c r="AS313" s="163"/>
      <c r="AT313" s="2611"/>
      <c r="AU313" s="1056"/>
    </row>
    <row r="314" spans="1:47" hidden="1">
      <c r="D314" s="161" t="str">
        <f>+D309</f>
        <v xml:space="preserve">     Jan-June </v>
      </c>
      <c r="E314" s="159"/>
      <c r="F314" s="159"/>
      <c r="G314" s="159"/>
      <c r="H314" s="159"/>
      <c r="I314" s="159"/>
      <c r="J314" s="159"/>
      <c r="K314" s="159"/>
      <c r="L314" s="159"/>
      <c r="M314" s="159"/>
      <c r="N314" s="159"/>
      <c r="O314" s="159"/>
      <c r="P314" s="159"/>
      <c r="Q314" s="159"/>
      <c r="R314" s="159"/>
      <c r="S314" s="159"/>
      <c r="T314" s="159"/>
      <c r="U314" s="159"/>
      <c r="V314" s="159"/>
      <c r="W314" s="159"/>
      <c r="X314" s="159"/>
      <c r="Y314" s="162"/>
      <c r="Z314" s="164">
        <f>+Z313*0.522</f>
        <v>36.299488668683772</v>
      </c>
      <c r="AA314" s="164">
        <f t="shared" ref="AA314:AI314" si="39">+AA313*0.5</f>
        <v>60.8097842261202</v>
      </c>
      <c r="AB314" s="164">
        <f t="shared" si="39"/>
        <v>66.009171171324994</v>
      </c>
      <c r="AC314" s="164">
        <f t="shared" si="39"/>
        <v>64.021302652137493</v>
      </c>
      <c r="AD314" s="164">
        <f t="shared" si="39"/>
        <v>75.735966551615803</v>
      </c>
      <c r="AE314" s="164">
        <f t="shared" si="39"/>
        <v>84.608893369962487</v>
      </c>
      <c r="AF314" s="164">
        <f>+AF313*0.5</f>
        <v>67.155839794307909</v>
      </c>
      <c r="AG314" s="164">
        <f>+AG313*0.5</f>
        <v>70.293852431213367</v>
      </c>
      <c r="AH314" s="164">
        <f t="shared" si="39"/>
        <v>75.928747997958297</v>
      </c>
      <c r="AI314" s="164">
        <f t="shared" si="39"/>
        <v>88.281802843365654</v>
      </c>
      <c r="AJ314" s="164"/>
      <c r="AK314" s="164">
        <f>+AK313*0.5</f>
        <v>0</v>
      </c>
      <c r="AL314" s="164">
        <f t="shared" ref="AL314:AM314" si="40">+AL313*0.5</f>
        <v>0</v>
      </c>
      <c r="AM314" s="164">
        <f t="shared" si="40"/>
        <v>0</v>
      </c>
      <c r="AN314" s="164">
        <f t="shared" ref="AN314:AO314" si="41">+AN313*0.5</f>
        <v>0</v>
      </c>
      <c r="AO314" s="164">
        <f t="shared" si="41"/>
        <v>0</v>
      </c>
      <c r="AP314" s="164"/>
      <c r="AQ314" s="164"/>
      <c r="AR314" s="164"/>
      <c r="AS314" s="164"/>
      <c r="AT314" s="2612"/>
      <c r="AU314" s="1056"/>
    </row>
    <row r="315" spans="1:47" hidden="1">
      <c r="D315" s="161" t="str">
        <f>+D310</f>
        <v xml:space="preserve">     July-Dec </v>
      </c>
      <c r="E315" s="159"/>
      <c r="F315" s="159"/>
      <c r="G315" s="159"/>
      <c r="H315" s="159"/>
      <c r="I315" s="159"/>
      <c r="J315" s="159"/>
      <c r="K315" s="159"/>
      <c r="L315" s="159"/>
      <c r="M315" s="159"/>
      <c r="N315" s="159"/>
      <c r="O315" s="159"/>
      <c r="P315" s="159"/>
      <c r="Q315" s="159"/>
      <c r="R315" s="159"/>
      <c r="S315" s="159"/>
      <c r="T315" s="159"/>
      <c r="U315" s="159"/>
      <c r="V315" s="159"/>
      <c r="W315" s="159"/>
      <c r="X315" s="159"/>
      <c r="Y315" s="165">
        <f t="shared" ref="Y315:AK315" si="42">+Z313-Z314</f>
        <v>33.239761654465219</v>
      </c>
      <c r="Z315" s="165">
        <f t="shared" si="42"/>
        <v>60.8097842261202</v>
      </c>
      <c r="AA315" s="165">
        <f t="shared" si="42"/>
        <v>66.009171171324994</v>
      </c>
      <c r="AB315" s="165">
        <f t="shared" si="42"/>
        <v>64.021302652137493</v>
      </c>
      <c r="AC315" s="165">
        <f t="shared" si="42"/>
        <v>75.735966551615803</v>
      </c>
      <c r="AD315" s="165">
        <f t="shared" si="42"/>
        <v>84.608893369962487</v>
      </c>
      <c r="AE315" s="165">
        <f t="shared" si="42"/>
        <v>67.155839794307909</v>
      </c>
      <c r="AF315" s="165">
        <f>+AG313-AG314</f>
        <v>70.293852431213367</v>
      </c>
      <c r="AG315" s="165">
        <f>+AH313-AH314</f>
        <v>75.928747997958297</v>
      </c>
      <c r="AH315" s="165">
        <f t="shared" si="42"/>
        <v>88.281802843365654</v>
      </c>
      <c r="AI315" s="165">
        <f>+AJ313-AJ314</f>
        <v>0</v>
      </c>
      <c r="AJ315" s="165"/>
      <c r="AK315" s="165">
        <f t="shared" si="42"/>
        <v>0</v>
      </c>
      <c r="AL315" s="165">
        <f t="shared" ref="AL315" si="43">+AM313-AM314</f>
        <v>0</v>
      </c>
      <c r="AM315" s="165">
        <f t="shared" ref="AM315" si="44">+AN313-AN314</f>
        <v>0</v>
      </c>
      <c r="AN315" s="165">
        <f t="shared" ref="AN315" si="45">+AO313-AO314</f>
        <v>0</v>
      </c>
      <c r="AO315" s="165" t="e">
        <f>+#REF!-#REF!</f>
        <v>#REF!</v>
      </c>
      <c r="AP315" s="165"/>
      <c r="AQ315" s="165"/>
      <c r="AR315" s="165"/>
      <c r="AS315" s="165"/>
      <c r="AT315" s="2613"/>
      <c r="AU315" s="1056"/>
    </row>
    <row r="316" spans="1:47" hidden="1">
      <c r="C316" s="74" t="s">
        <v>27</v>
      </c>
      <c r="D316" s="166" t="s">
        <v>297</v>
      </c>
      <c r="E316" s="167"/>
      <c r="F316" s="167"/>
      <c r="G316" s="167"/>
      <c r="H316" s="167"/>
      <c r="I316" s="167"/>
      <c r="J316" s="167"/>
      <c r="K316" s="167"/>
      <c r="L316" s="167"/>
      <c r="M316" s="167"/>
      <c r="N316" s="167"/>
      <c r="O316" s="167"/>
      <c r="P316" s="167"/>
      <c r="Q316" s="167"/>
      <c r="R316" s="167"/>
      <c r="S316" s="167"/>
      <c r="T316" s="167"/>
      <c r="U316" s="167"/>
      <c r="V316" s="604" t="str">
        <f t="shared" ref="V316:AK316" si="46">+V302</f>
        <v>2010/11</v>
      </c>
      <c r="W316" s="604" t="str">
        <f t="shared" si="46"/>
        <v>2011/12</v>
      </c>
      <c r="X316" s="604" t="str">
        <f t="shared" si="46"/>
        <v>2012/13</v>
      </c>
      <c r="Y316" s="604" t="str">
        <f t="shared" si="46"/>
        <v>2013/14</v>
      </c>
      <c r="Z316" s="604" t="str">
        <f t="shared" si="46"/>
        <v>2014/15</v>
      </c>
      <c r="AA316" s="604" t="str">
        <f t="shared" si="46"/>
        <v>2015/16</v>
      </c>
      <c r="AB316" s="604" t="str">
        <f t="shared" si="46"/>
        <v>2016/17</v>
      </c>
      <c r="AC316" s="604" t="str">
        <f t="shared" si="46"/>
        <v>2017/18</v>
      </c>
      <c r="AD316" s="604" t="str">
        <f t="shared" si="46"/>
        <v>2018/19</v>
      </c>
      <c r="AE316" s="604" t="str">
        <f t="shared" si="46"/>
        <v>2019/20</v>
      </c>
      <c r="AF316" s="604" t="str">
        <f>+AF302</f>
        <v>2020/21</v>
      </c>
      <c r="AG316" s="604" t="str">
        <f>+AG302</f>
        <v>2021/22</v>
      </c>
      <c r="AH316" s="604" t="str">
        <f t="shared" si="46"/>
        <v>2022/23</v>
      </c>
      <c r="AI316" s="604" t="str">
        <f t="shared" si="46"/>
        <v>2023/24</v>
      </c>
      <c r="AJ316" s="604"/>
      <c r="AK316" s="604" t="str">
        <f t="shared" si="46"/>
        <v>2025/26</v>
      </c>
      <c r="AL316" s="604" t="str">
        <f t="shared" ref="AL316:AM316" si="47">+AL302</f>
        <v>2026/27</v>
      </c>
      <c r="AM316" s="604" t="str">
        <f t="shared" si="47"/>
        <v>2027/28</v>
      </c>
      <c r="AN316" s="604" t="str">
        <f t="shared" ref="AN316:AO316" si="48">+AN302</f>
        <v>2028/29</v>
      </c>
      <c r="AO316" s="604" t="str">
        <f t="shared" si="48"/>
        <v>2029/30</v>
      </c>
      <c r="AP316" s="604"/>
      <c r="AQ316" s="604"/>
      <c r="AR316" s="604"/>
      <c r="AS316" s="604"/>
      <c r="AT316" s="604"/>
      <c r="AU316" s="1056"/>
    </row>
    <row r="317" spans="1:47" hidden="1">
      <c r="D317" s="168" t="s">
        <v>224</v>
      </c>
      <c r="E317" s="169" t="s">
        <v>204</v>
      </c>
      <c r="F317" s="153"/>
      <c r="G317" s="153"/>
      <c r="H317" s="153"/>
      <c r="I317" s="153"/>
      <c r="J317" s="153"/>
      <c r="K317" s="153"/>
      <c r="L317" s="153"/>
      <c r="M317" s="153"/>
      <c r="N317" s="153"/>
      <c r="O317" s="153"/>
      <c r="P317" s="153"/>
      <c r="Q317" s="153"/>
      <c r="R317" s="153"/>
      <c r="S317" s="153"/>
      <c r="T317" s="153"/>
      <c r="U317" s="153"/>
      <c r="V317" s="157">
        <f t="shared" ref="V317:AI317" si="49">+V748/V$303</f>
        <v>4.7516224878497305E-2</v>
      </c>
      <c r="W317" s="157">
        <f t="shared" si="49"/>
        <v>5.2252458266636173E-2</v>
      </c>
      <c r="X317" s="157">
        <f t="shared" si="49"/>
        <v>5.8200155517952955E-2</v>
      </c>
      <c r="Y317" s="157">
        <f t="shared" si="49"/>
        <v>5.8736339760574019E-2</v>
      </c>
      <c r="Z317" s="157">
        <f t="shared" si="49"/>
        <v>6.5101368913533186E-2</v>
      </c>
      <c r="AA317" s="157">
        <f t="shared" si="49"/>
        <v>6.3038787007799552E-2</v>
      </c>
      <c r="AB317" s="157">
        <f t="shared" si="49"/>
        <v>6.4720670858026255E-2</v>
      </c>
      <c r="AC317" s="157">
        <f t="shared" si="49"/>
        <v>6.748871227683588E-2</v>
      </c>
      <c r="AD317" s="157">
        <f t="shared" si="49"/>
        <v>7.0250843063290075E-2</v>
      </c>
      <c r="AE317" s="157">
        <f t="shared" si="49"/>
        <v>6.4392723645419814E-2</v>
      </c>
      <c r="AF317" s="157">
        <f t="shared" si="49"/>
        <v>6.197674521271912E-2</v>
      </c>
      <c r="AG317" s="157">
        <f t="shared" si="49"/>
        <v>0.3829009836594458</v>
      </c>
      <c r="AH317" s="157">
        <f t="shared" si="49"/>
        <v>0.37782954953440639</v>
      </c>
      <c r="AI317" s="157">
        <f t="shared" si="49"/>
        <v>0.3739947908698098</v>
      </c>
      <c r="AJ317" s="157"/>
      <c r="AK317" s="157">
        <f>+AK748/AK$303</f>
        <v>0</v>
      </c>
      <c r="AL317" s="157">
        <f>+AL748/AL$303</f>
        <v>0</v>
      </c>
      <c r="AM317" s="157">
        <f>+AM748/AM$303</f>
        <v>0</v>
      </c>
      <c r="AN317" s="157">
        <v>0.26100000000000001</v>
      </c>
      <c r="AO317" s="157">
        <v>0.26100000000000001</v>
      </c>
      <c r="AP317" s="157"/>
      <c r="AQ317" s="157"/>
      <c r="AR317" s="157"/>
      <c r="AS317" s="157"/>
      <c r="AT317" s="2605"/>
      <c r="AU317" s="1056"/>
    </row>
    <row r="318" spans="1:47" hidden="1">
      <c r="D318" s="153" t="s">
        <v>198</v>
      </c>
      <c r="E318" s="176" t="s">
        <v>281</v>
      </c>
      <c r="F318" s="153"/>
      <c r="G318" s="153"/>
      <c r="H318" s="153"/>
      <c r="I318" s="153"/>
      <c r="J318" s="153"/>
      <c r="K318" s="153"/>
      <c r="L318" s="153"/>
      <c r="M318" s="153"/>
      <c r="N318" s="153"/>
      <c r="O318" s="153"/>
      <c r="P318" s="153"/>
      <c r="Q318" s="153"/>
      <c r="R318" s="153"/>
      <c r="S318" s="153"/>
      <c r="T318" s="153"/>
      <c r="U318" s="153"/>
      <c r="V318" s="157">
        <f t="shared" ref="V318:AC318" si="50">+(V748-V749)/V$305</f>
        <v>0.10974495772492815</v>
      </c>
      <c r="W318" s="157">
        <f t="shared" si="50"/>
        <v>0.12759649504860709</v>
      </c>
      <c r="X318" s="157">
        <f t="shared" si="50"/>
        <v>0.14048245909660492</v>
      </c>
      <c r="Y318" s="157">
        <f t="shared" si="50"/>
        <v>0.14077586839700404</v>
      </c>
      <c r="Z318" s="157">
        <f t="shared" si="50"/>
        <v>0.14916233165013262</v>
      </c>
      <c r="AA318" s="157">
        <f t="shared" si="50"/>
        <v>0.14867497232341034</v>
      </c>
      <c r="AB318" s="157">
        <f t="shared" si="50"/>
        <v>0.15493989933208002</v>
      </c>
      <c r="AC318" s="157">
        <f t="shared" si="50"/>
        <v>0.15645592042669468</v>
      </c>
      <c r="AD318" s="157">
        <f t="shared" ref="AD318:AK318" si="51">+AC318*AD319</f>
        <v>0.15221596498313125</v>
      </c>
      <c r="AE318" s="157">
        <f t="shared" si="51"/>
        <v>0.13458935623808466</v>
      </c>
      <c r="AF318" s="157">
        <f>+AE318*AF319</f>
        <v>0.25359326502379914</v>
      </c>
      <c r="AG318" s="157">
        <f>+AF318*AG319</f>
        <v>0.73141369498164144</v>
      </c>
      <c r="AH318" s="157">
        <f t="shared" si="51"/>
        <v>0.74552997929478715</v>
      </c>
      <c r="AI318" s="157">
        <f t="shared" si="51"/>
        <v>0.72092748997805911</v>
      </c>
      <c r="AJ318" s="157"/>
      <c r="AK318" s="157">
        <f t="shared" si="51"/>
        <v>0</v>
      </c>
      <c r="AL318" s="157">
        <f t="shared" ref="AL318" si="52">+AK318*AL319</f>
        <v>0</v>
      </c>
      <c r="AM318" s="157">
        <f t="shared" ref="AM318" si="53">+AL318*AM319</f>
        <v>0</v>
      </c>
      <c r="AN318" s="157">
        <f t="shared" ref="AN318" si="54">+AM318*AN319</f>
        <v>0</v>
      </c>
      <c r="AO318" s="157">
        <f t="shared" ref="AO318" si="55">+AN318*AO319</f>
        <v>0</v>
      </c>
      <c r="AP318" s="157"/>
      <c r="AQ318" s="157"/>
      <c r="AR318" s="157"/>
      <c r="AS318" s="157"/>
      <c r="AT318" s="2605"/>
      <c r="AU318" s="1056"/>
    </row>
    <row r="319" spans="1:47" s="123" customFormat="1" ht="14.4" hidden="1">
      <c r="A319" s="122"/>
      <c r="D319" s="156" t="s">
        <v>278</v>
      </c>
      <c r="E319" s="156"/>
      <c r="F319" s="156"/>
      <c r="G319" s="156"/>
      <c r="H319" s="156"/>
      <c r="I319" s="156"/>
      <c r="J319" s="156"/>
      <c r="K319" s="156"/>
      <c r="L319" s="156"/>
      <c r="M319" s="156"/>
      <c r="N319" s="156"/>
      <c r="O319" s="156"/>
      <c r="P319" s="156"/>
      <c r="Q319" s="156"/>
      <c r="R319" s="156"/>
      <c r="S319" s="156"/>
      <c r="T319" s="156"/>
      <c r="U319" s="156"/>
      <c r="V319" s="157"/>
      <c r="W319" s="157"/>
      <c r="X319" s="157"/>
      <c r="Y319" s="157"/>
      <c r="Z319" s="232">
        <f>+Z318/Y318</f>
        <v>1.0595731594386462</v>
      </c>
      <c r="AA319" s="232">
        <f>+AA318/Z318</f>
        <v>0.99673269168341105</v>
      </c>
      <c r="AB319" s="232">
        <f>+AB318/AA318</f>
        <v>1.0421384104584979</v>
      </c>
      <c r="AC319" s="232">
        <f>+AC318/AB318</f>
        <v>1.0097845751878629</v>
      </c>
      <c r="AD319" s="232">
        <v>0.97289999999999999</v>
      </c>
      <c r="AE319" s="232">
        <v>0.88419999999999999</v>
      </c>
      <c r="AF319" s="232">
        <v>1.8842000000000001</v>
      </c>
      <c r="AG319" s="232">
        <v>2.8841999999999999</v>
      </c>
      <c r="AH319" s="232">
        <v>1.0193000000000001</v>
      </c>
      <c r="AI319" s="232">
        <v>0.96699999999999997</v>
      </c>
      <c r="AJ319" s="232"/>
      <c r="AK319" s="232">
        <v>1.07</v>
      </c>
      <c r="AL319" s="232">
        <v>2.0699999999999998</v>
      </c>
      <c r="AM319" s="232">
        <v>3.07</v>
      </c>
      <c r="AN319" s="232">
        <v>4.07</v>
      </c>
      <c r="AO319" s="232">
        <v>5.07</v>
      </c>
      <c r="AP319" s="232"/>
      <c r="AQ319" s="232"/>
      <c r="AR319" s="232"/>
      <c r="AS319" s="232"/>
      <c r="AT319" s="2614"/>
      <c r="AU319" s="1056"/>
    </row>
    <row r="320" spans="1:47" s="123" customFormat="1" ht="14.4" hidden="1">
      <c r="A320" s="122"/>
      <c r="D320" s="153" t="s">
        <v>279</v>
      </c>
      <c r="E320" s="176" t="s">
        <v>281</v>
      </c>
      <c r="F320" s="156"/>
      <c r="G320" s="156"/>
      <c r="H320" s="156"/>
      <c r="I320" s="156"/>
      <c r="J320" s="156"/>
      <c r="K320" s="156"/>
      <c r="L320" s="156"/>
      <c r="M320" s="156"/>
      <c r="N320" s="156"/>
      <c r="O320" s="156"/>
      <c r="P320" s="156"/>
      <c r="Q320" s="156"/>
      <c r="R320" s="156"/>
      <c r="S320" s="156"/>
      <c r="T320" s="156"/>
      <c r="U320" s="156"/>
      <c r="V320" s="157">
        <f t="shared" ref="V320:AC320" si="56">+V749/V303</f>
        <v>0</v>
      </c>
      <c r="W320" s="157">
        <f t="shared" si="56"/>
        <v>0</v>
      </c>
      <c r="X320" s="157">
        <f t="shared" si="56"/>
        <v>0</v>
      </c>
      <c r="Y320" s="157">
        <f t="shared" si="56"/>
        <v>0</v>
      </c>
      <c r="Z320" s="157">
        <f t="shared" si="56"/>
        <v>2.2872985617743893E-3</v>
      </c>
      <c r="AA320" s="157">
        <f t="shared" si="56"/>
        <v>2.1172907631707397E-3</v>
      </c>
      <c r="AB320" s="171">
        <f t="shared" si="56"/>
        <v>2.4099130882435761E-3</v>
      </c>
      <c r="AC320" s="171">
        <f t="shared" si="56"/>
        <v>2.3591974980235499E-3</v>
      </c>
      <c r="AD320" s="171">
        <f t="shared" ref="AD320:AK320" si="57">+AC320*AD321</f>
        <v>4.7136766010510527E-3</v>
      </c>
      <c r="AE320" s="171">
        <f t="shared" si="57"/>
        <v>3.318428327139941E-3</v>
      </c>
      <c r="AF320" s="171">
        <f>+AE320*AF321</f>
        <v>5.6546018694464597E-3</v>
      </c>
      <c r="AG320" s="171">
        <f>+AF320*AG321</f>
        <v>1.5290043454983228E-2</v>
      </c>
      <c r="AH320" s="171">
        <f t="shared" si="57"/>
        <v>1.3455238240385241E-2</v>
      </c>
      <c r="AI320" s="171">
        <f t="shared" si="57"/>
        <v>1.1840609651539012E-2</v>
      </c>
      <c r="AJ320" s="171"/>
      <c r="AK320" s="171">
        <f t="shared" si="57"/>
        <v>0</v>
      </c>
      <c r="AL320" s="171">
        <f t="shared" ref="AL320" si="58">+AK320*AL321</f>
        <v>0</v>
      </c>
      <c r="AM320" s="171">
        <f t="shared" ref="AM320" si="59">+AL320*AM321</f>
        <v>0</v>
      </c>
      <c r="AN320" s="171">
        <f t="shared" ref="AN320" si="60">+AM320*AN321</f>
        <v>0</v>
      </c>
      <c r="AO320" s="171">
        <f t="shared" ref="AO320" si="61">+AN320*AO321</f>
        <v>0</v>
      </c>
      <c r="AP320" s="171"/>
      <c r="AQ320" s="171"/>
      <c r="AR320" s="171"/>
      <c r="AS320" s="171"/>
      <c r="AT320" s="2615"/>
      <c r="AU320" s="1056"/>
    </row>
    <row r="321" spans="4:47" hidden="1">
      <c r="D321" s="156" t="s">
        <v>280</v>
      </c>
      <c r="E321" s="153"/>
      <c r="F321" s="153"/>
      <c r="G321" s="153"/>
      <c r="H321" s="153"/>
      <c r="I321" s="153"/>
      <c r="J321" s="153"/>
      <c r="K321" s="153"/>
      <c r="L321" s="153"/>
      <c r="M321" s="153"/>
      <c r="N321" s="153"/>
      <c r="O321" s="153"/>
      <c r="P321" s="153"/>
      <c r="Q321" s="153"/>
      <c r="R321" s="153"/>
      <c r="S321" s="153"/>
      <c r="T321" s="153"/>
      <c r="U321" s="153"/>
      <c r="V321" s="172"/>
      <c r="W321" s="153"/>
      <c r="X321" s="153"/>
      <c r="Y321" s="173"/>
      <c r="Z321" s="173"/>
      <c r="AA321" s="173"/>
      <c r="AB321" s="170">
        <f>+AB320/AA320</f>
        <v>1.1382060178804263</v>
      </c>
      <c r="AC321" s="170">
        <f>+AC320/AB320</f>
        <v>0.97895542770092614</v>
      </c>
      <c r="AD321" s="170">
        <v>1.998</v>
      </c>
      <c r="AE321" s="170">
        <v>0.70399999999999996</v>
      </c>
      <c r="AF321" s="170">
        <v>1.704</v>
      </c>
      <c r="AG321" s="170">
        <v>2.7040000000000002</v>
      </c>
      <c r="AH321" s="965">
        <v>0.88</v>
      </c>
      <c r="AI321" s="965">
        <f>+AH321</f>
        <v>0.88</v>
      </c>
      <c r="AJ321" s="965"/>
      <c r="AK321" s="965">
        <f>+AJ321</f>
        <v>0</v>
      </c>
      <c r="AL321" s="965">
        <f t="shared" ref="AL321:AM321" si="62">+AK321</f>
        <v>0</v>
      </c>
      <c r="AM321" s="965">
        <f t="shared" si="62"/>
        <v>0</v>
      </c>
      <c r="AN321" s="965">
        <f t="shared" ref="AN321" si="63">+AM321</f>
        <v>0</v>
      </c>
      <c r="AO321" s="965">
        <f t="shared" ref="AO321" si="64">+AN321</f>
        <v>0</v>
      </c>
      <c r="AP321" s="965"/>
      <c r="AQ321" s="965"/>
      <c r="AR321" s="965"/>
      <c r="AS321" s="965"/>
      <c r="AT321" s="2616"/>
      <c r="AU321" s="1056"/>
    </row>
    <row r="322" spans="4:47" hidden="1">
      <c r="D322" s="156"/>
      <c r="E322" s="153"/>
      <c r="F322" s="153"/>
      <c r="G322" s="153"/>
      <c r="H322" s="153"/>
      <c r="I322" s="153"/>
      <c r="J322" s="153"/>
      <c r="K322" s="153"/>
      <c r="L322" s="153"/>
      <c r="M322" s="153"/>
      <c r="N322" s="153"/>
      <c r="O322" s="153"/>
      <c r="P322" s="153"/>
      <c r="Q322" s="153"/>
      <c r="R322" s="153"/>
      <c r="S322" s="153"/>
      <c r="T322" s="153"/>
      <c r="U322" s="153"/>
      <c r="V322" s="172"/>
      <c r="W322" s="153"/>
      <c r="X322" s="153"/>
      <c r="Y322" s="173"/>
      <c r="Z322" s="173"/>
      <c r="AA322" s="173"/>
      <c r="AB322" s="174"/>
      <c r="AC322" s="175"/>
      <c r="AD322" s="174"/>
      <c r="AE322" s="174"/>
      <c r="AF322" s="174"/>
      <c r="AG322" s="174"/>
      <c r="AH322" s="173"/>
      <c r="AI322" s="173"/>
      <c r="AJ322" s="173"/>
      <c r="AK322" s="173"/>
      <c r="AL322" s="173"/>
      <c r="AM322" s="173"/>
      <c r="AN322" s="173"/>
      <c r="AO322" s="173"/>
      <c r="AP322" s="173"/>
      <c r="AQ322" s="173"/>
      <c r="AR322" s="173"/>
      <c r="AS322" s="173"/>
      <c r="AT322" s="2617"/>
      <c r="AU322" s="1056"/>
    </row>
    <row r="323" spans="4:47" hidden="1">
      <c r="D323" s="168" t="s">
        <v>299</v>
      </c>
      <c r="E323" s="176" t="s">
        <v>301</v>
      </c>
      <c r="F323" s="153"/>
      <c r="G323" s="153"/>
      <c r="H323" s="153"/>
      <c r="I323" s="153"/>
      <c r="J323" s="153"/>
      <c r="K323" s="153"/>
      <c r="L323" s="153"/>
      <c r="M323" s="153"/>
      <c r="N323" s="153"/>
      <c r="O323" s="153"/>
      <c r="P323" s="153"/>
      <c r="Q323" s="153"/>
      <c r="R323" s="153"/>
      <c r="S323" s="153"/>
      <c r="T323" s="153"/>
      <c r="U323" s="153"/>
      <c r="V323" s="157">
        <f>+V292</f>
        <v>0</v>
      </c>
      <c r="W323" s="157">
        <f>+(V292+W292)/2</f>
        <v>0</v>
      </c>
      <c r="X323" s="157">
        <f>+(W292+X292)/2</f>
        <v>0</v>
      </c>
      <c r="Y323" s="157">
        <f>+(X292+Y292)/2</f>
        <v>3.1462868517012202E-2</v>
      </c>
      <c r="Z323" s="158">
        <f>+Y323</f>
        <v>3.1462868517012202E-2</v>
      </c>
      <c r="AA323" s="158">
        <f>+Z323</f>
        <v>3.1462868517012202E-2</v>
      </c>
      <c r="AB323" s="158"/>
      <c r="AC323" s="158"/>
      <c r="AD323" s="158"/>
      <c r="AE323" s="158"/>
      <c r="AF323" s="158"/>
      <c r="AG323" s="158"/>
      <c r="AH323" s="158"/>
      <c r="AI323" s="158"/>
      <c r="AJ323" s="158"/>
      <c r="AK323" s="158"/>
      <c r="AL323" s="158"/>
      <c r="AM323" s="158"/>
      <c r="AN323" s="158"/>
      <c r="AO323" s="158"/>
      <c r="AP323" s="158"/>
      <c r="AQ323" s="158"/>
      <c r="AR323" s="158"/>
      <c r="AS323" s="158"/>
      <c r="AT323" s="2618"/>
      <c r="AU323" s="1056"/>
    </row>
    <row r="324" spans="4:47" hidden="1">
      <c r="D324" s="153" t="s">
        <v>197</v>
      </c>
      <c r="E324" s="176" t="s">
        <v>281</v>
      </c>
      <c r="F324" s="153"/>
      <c r="G324" s="153"/>
      <c r="H324" s="153"/>
      <c r="I324" s="153"/>
      <c r="J324" s="153"/>
      <c r="K324" s="153"/>
      <c r="L324" s="153"/>
      <c r="M324" s="153"/>
      <c r="N324" s="153"/>
      <c r="O324" s="153"/>
      <c r="P324" s="153"/>
      <c r="Q324" s="153"/>
      <c r="R324" s="153"/>
      <c r="S324" s="153"/>
      <c r="T324" s="153"/>
      <c r="U324" s="177"/>
      <c r="V324" s="157">
        <f>+(V751-V754-V755)/V305</f>
        <v>9.1434905510418954E-2</v>
      </c>
      <c r="W324" s="157">
        <f>+(W751-W754-W755)/W305</f>
        <v>9.9335629929621153E-2</v>
      </c>
      <c r="X324" s="157">
        <f>+(X751-X754-X755)/X305</f>
        <v>0.10227068876032901</v>
      </c>
      <c r="Y324" s="157">
        <f>+(Y751-Y754-Y755)/Y305</f>
        <v>0.12062154062988896</v>
      </c>
      <c r="Z324" s="157">
        <f>+(Z751-Z754-Z755)/Z305</f>
        <v>0.11997355162722055</v>
      </c>
      <c r="AA324" s="157">
        <f>+(AA751-AA754-AA755-AA756)/AA305</f>
        <v>0.10782837806719046</v>
      </c>
      <c r="AB324" s="157">
        <f>+(AB751-AB754-AB755-AB756)/AB305</f>
        <v>0.10875158341456177</v>
      </c>
      <c r="AC324" s="655">
        <f>+AB324*AC325</f>
        <v>0.11782146547133622</v>
      </c>
      <c r="AD324" s="158">
        <f t="shared" ref="AD324:AK324" si="65">+AC324*AD325</f>
        <v>0.1257744143906514</v>
      </c>
      <c r="AE324" s="158">
        <f t="shared" si="65"/>
        <v>0.10299666794450443</v>
      </c>
      <c r="AF324" s="158">
        <f>+AE324*AF325</f>
        <v>0.18734063932425912</v>
      </c>
      <c r="AG324" s="158">
        <f>+AF324*AG325</f>
        <v>0.5280945281911541</v>
      </c>
      <c r="AH324" s="158">
        <f t="shared" si="65"/>
        <v>0.61258965270173871</v>
      </c>
      <c r="AI324" s="158">
        <f t="shared" si="65"/>
        <v>0.61167076822268618</v>
      </c>
      <c r="AJ324" s="158"/>
      <c r="AK324" s="158">
        <f t="shared" si="65"/>
        <v>0</v>
      </c>
      <c r="AL324" s="158">
        <f t="shared" ref="AL324" si="66">+AK324*AL325</f>
        <v>0</v>
      </c>
      <c r="AM324" s="158">
        <f t="shared" ref="AM324" si="67">+AL324*AM325</f>
        <v>0</v>
      </c>
      <c r="AN324" s="158">
        <f t="shared" ref="AN324" si="68">+AM324*AN325</f>
        <v>0</v>
      </c>
      <c r="AO324" s="158">
        <f t="shared" ref="AO324" si="69">+AN324*AO325</f>
        <v>0</v>
      </c>
      <c r="AP324" s="158"/>
      <c r="AQ324" s="158"/>
      <c r="AR324" s="158"/>
      <c r="AS324" s="158"/>
      <c r="AT324" s="2618"/>
      <c r="AU324" s="1056"/>
    </row>
    <row r="325" spans="4:47" hidden="1">
      <c r="D325" s="156" t="s">
        <v>255</v>
      </c>
      <c r="E325" s="176" t="s">
        <v>258</v>
      </c>
      <c r="F325" s="153"/>
      <c r="G325" s="153"/>
      <c r="H325" s="153"/>
      <c r="I325" s="153"/>
      <c r="J325" s="153"/>
      <c r="K325" s="153"/>
      <c r="L325" s="153"/>
      <c r="M325" s="153"/>
      <c r="N325" s="153"/>
      <c r="O325" s="153"/>
      <c r="P325" s="153"/>
      <c r="Q325" s="153"/>
      <c r="R325" s="153"/>
      <c r="S325" s="153"/>
      <c r="T325" s="153"/>
      <c r="U325" s="177"/>
      <c r="V325" s="170" t="e">
        <f t="shared" ref="V325:AA325" si="70">+V324/U324</f>
        <v>#DIV/0!</v>
      </c>
      <c r="W325" s="170">
        <f t="shared" si="70"/>
        <v>1.0864081870604867</v>
      </c>
      <c r="X325" s="170">
        <f t="shared" si="70"/>
        <v>1.0295468889942847</v>
      </c>
      <c r="Y325" s="170">
        <f t="shared" si="70"/>
        <v>1.179434128116269</v>
      </c>
      <c r="Z325" s="170">
        <f t="shared" si="70"/>
        <v>0.99462791637973957</v>
      </c>
      <c r="AA325" s="170">
        <f t="shared" si="70"/>
        <v>0.89876790846563137</v>
      </c>
      <c r="AB325" s="170">
        <f>+AB324/AA324</f>
        <v>1.0085618031534893</v>
      </c>
      <c r="AC325" s="930">
        <v>1.0833999999999999</v>
      </c>
      <c r="AD325" s="170">
        <v>1.0674999999999999</v>
      </c>
      <c r="AE325" s="930">
        <v>0.81889999999999996</v>
      </c>
      <c r="AF325" s="930">
        <v>1.8189</v>
      </c>
      <c r="AG325" s="930">
        <v>2.8189000000000002</v>
      </c>
      <c r="AH325" s="965">
        <v>1.1599999999999999</v>
      </c>
      <c r="AI325" s="965">
        <v>0.99850000000000005</v>
      </c>
      <c r="AJ325" s="965"/>
      <c r="AK325" s="965">
        <v>1.1000000000000001</v>
      </c>
      <c r="AL325" s="965">
        <v>2.1</v>
      </c>
      <c r="AM325" s="965">
        <v>3.1</v>
      </c>
      <c r="AN325" s="965">
        <v>4.0999999999999996</v>
      </c>
      <c r="AO325" s="965">
        <v>5.0999999999999996</v>
      </c>
      <c r="AP325" s="965"/>
      <c r="AQ325" s="965"/>
      <c r="AR325" s="965"/>
      <c r="AS325" s="965"/>
      <c r="AT325" s="2616"/>
      <c r="AU325" s="1056"/>
    </row>
    <row r="326" spans="4:47" hidden="1">
      <c r="D326" s="153" t="s">
        <v>294</v>
      </c>
      <c r="E326" s="169" t="s">
        <v>204</v>
      </c>
      <c r="F326" s="153"/>
      <c r="G326" s="153"/>
      <c r="H326" s="153"/>
      <c r="I326" s="153"/>
      <c r="J326" s="153"/>
      <c r="K326" s="153"/>
      <c r="L326" s="153"/>
      <c r="M326" s="153"/>
      <c r="N326" s="153"/>
      <c r="O326" s="153"/>
      <c r="P326" s="153"/>
      <c r="Q326" s="153"/>
      <c r="R326" s="153"/>
      <c r="S326" s="153"/>
      <c r="T326" s="153"/>
      <c r="U326" s="177"/>
      <c r="V326" s="157">
        <f t="shared" ref="V326:AI326" si="71">+(V751-V754-V755)/V$303</f>
        <v>3.9588529824458173E-2</v>
      </c>
      <c r="W326" s="157">
        <f t="shared" si="71"/>
        <v>4.0679258903704558E-2</v>
      </c>
      <c r="X326" s="157">
        <f t="shared" si="71"/>
        <v>4.2369488896020893E-2</v>
      </c>
      <c r="Y326" s="157">
        <f t="shared" si="71"/>
        <v>5.0327288856786903E-2</v>
      </c>
      <c r="Z326" s="157">
        <f t="shared" si="71"/>
        <v>5.0522320406861894E-2</v>
      </c>
      <c r="AA326" s="157">
        <f t="shared" si="71"/>
        <v>5.1317410954636558E-2</v>
      </c>
      <c r="AB326" s="157">
        <f t="shared" si="71"/>
        <v>5.1309018694143969E-2</v>
      </c>
      <c r="AC326" s="157">
        <f t="shared" si="71"/>
        <v>5.3639393065611024E-2</v>
      </c>
      <c r="AD326" s="157">
        <f t="shared" si="71"/>
        <v>5.4819392703526378E-2</v>
      </c>
      <c r="AE326" s="157">
        <f t="shared" si="71"/>
        <v>5.0440008917028524E-2</v>
      </c>
      <c r="AF326" s="157">
        <f t="shared" si="71"/>
        <v>4.7969064993374867E-2</v>
      </c>
      <c r="AG326" s="157">
        <f t="shared" si="71"/>
        <v>0.17752972835662881</v>
      </c>
      <c r="AH326" s="157">
        <f t="shared" si="71"/>
        <v>0.30772352131252695</v>
      </c>
      <c r="AI326" s="157">
        <f t="shared" si="71"/>
        <v>0.31463855901711463</v>
      </c>
      <c r="AJ326" s="157"/>
      <c r="AK326" s="157">
        <f>+(AK751-AK754-AK755)/AK$303</f>
        <v>0</v>
      </c>
      <c r="AL326" s="157">
        <f>+(AL751-AL754-AL755)/AL$303</f>
        <v>0</v>
      </c>
      <c r="AM326" s="157">
        <f>+(AM751-AM754-AM755)/AM$303</f>
        <v>0</v>
      </c>
      <c r="AN326" s="157">
        <v>0.28100000000000003</v>
      </c>
      <c r="AO326" s="157">
        <v>0.28100000000000003</v>
      </c>
      <c r="AP326" s="157"/>
      <c r="AQ326" s="157"/>
      <c r="AR326" s="157"/>
      <c r="AS326" s="157"/>
      <c r="AT326" s="2605"/>
      <c r="AU326" s="1056"/>
    </row>
    <row r="327" spans="4:47" hidden="1">
      <c r="D327" s="153" t="s">
        <v>300</v>
      </c>
      <c r="E327" s="169" t="s">
        <v>295</v>
      </c>
      <c r="F327" s="153"/>
      <c r="G327" s="153"/>
      <c r="H327" s="153"/>
      <c r="I327" s="153"/>
      <c r="J327" s="153"/>
      <c r="K327" s="153"/>
      <c r="L327" s="153"/>
      <c r="M327" s="153"/>
      <c r="N327" s="153"/>
      <c r="O327" s="153"/>
      <c r="P327" s="153"/>
      <c r="Q327" s="153"/>
      <c r="R327" s="153"/>
      <c r="S327" s="153"/>
      <c r="T327" s="153"/>
      <c r="U327" s="177"/>
      <c r="V327" s="157">
        <f>+(V751-V754-V755)/(V$303-V751-V758-(V789+V816))</f>
        <v>4.507290572321513E-2</v>
      </c>
      <c r="W327" s="157">
        <f>+(W751-W754-W755)/(W$303-W751-W758-(W789+W816))</f>
        <v>4.6440516691267468E-2</v>
      </c>
      <c r="X327" s="157">
        <f>+(X751-X754-X755)/(X$303-X751-X758-(X789+X816))</f>
        <v>4.868212853001732E-2</v>
      </c>
      <c r="Y327" s="157">
        <f>+(Y751-Y754-Y755)/(Y$303-Y751-Y758-(Y789+Y816))</f>
        <v>5.8573026289425206E-2</v>
      </c>
      <c r="Z327" s="157">
        <f>+(Z751-Z754-Z755)/(Z$303-Z751-Z758-(Z789+Z816))</f>
        <v>5.8721053418486283E-2</v>
      </c>
      <c r="AA327" s="157">
        <f t="shared" ref="AA327:AH327" si="72">+(AA751-AA754-AA755-AA756)/(AA$303-AA751-AA758-(AA789+AA816))</f>
        <v>5.181324132207752E-2</v>
      </c>
      <c r="AB327" s="157">
        <f t="shared" si="72"/>
        <v>5.1311885317643219E-2</v>
      </c>
      <c r="AC327" s="157">
        <f t="shared" si="72"/>
        <v>5.4264740509462631E-2</v>
      </c>
      <c r="AD327" s="157">
        <f t="shared" si="72"/>
        <v>5.609612140863033E-2</v>
      </c>
      <c r="AE327" s="157">
        <f t="shared" si="72"/>
        <v>5.1592113270855222E-2</v>
      </c>
      <c r="AF327" s="157">
        <f t="shared" si="72"/>
        <v>3.7374175675761658E-2</v>
      </c>
      <c r="AG327" s="157">
        <f t="shared" si="72"/>
        <v>0.44851120649817339</v>
      </c>
      <c r="AH327" s="157">
        <f t="shared" si="72"/>
        <v>0.63902425371677352</v>
      </c>
      <c r="AI327" s="157">
        <f>+(AI751-AI754-AI755)/(AI$303-AI751-AI758-(AI789+AI816))</f>
        <v>0.69813853114075797</v>
      </c>
      <c r="AJ327" s="157"/>
      <c r="AK327" s="157">
        <f>+(AK751-AK754-AK755)/(AK$303-AK751-AK758-(AK789+AK816))</f>
        <v>0</v>
      </c>
      <c r="AL327" s="157">
        <f>+(AL751-AL754-AL755)/(AL$303-AL751-AL758-(AL789+AL816))</f>
        <v>0</v>
      </c>
      <c r="AM327" s="157">
        <f>+(AM751-AM754-AM755)/(AM$303-AM751-AM758-(AM789+AM816))</f>
        <v>0</v>
      </c>
      <c r="AN327" s="157">
        <f>+(AN751-AN754-AN755)/(AN$303-AN751-AN758-(AN789+AN816))</f>
        <v>0</v>
      </c>
      <c r="AO327" s="157">
        <f>+(AO751-AO754-AO755)/(AO$303-AO751-AO758-(AO789+AO816))</f>
        <v>0</v>
      </c>
      <c r="AP327" s="157"/>
      <c r="AQ327" s="157"/>
      <c r="AR327" s="157"/>
      <c r="AS327" s="157"/>
      <c r="AT327" s="2605"/>
      <c r="AU327" s="1056"/>
    </row>
    <row r="328" spans="4:47" hidden="1">
      <c r="D328" s="153"/>
      <c r="E328" s="231" t="s">
        <v>298</v>
      </c>
      <c r="F328" s="178"/>
      <c r="G328" s="178"/>
      <c r="H328" s="178"/>
      <c r="I328" s="178"/>
      <c r="J328" s="178"/>
      <c r="K328" s="178"/>
      <c r="L328" s="178"/>
      <c r="M328" s="178"/>
      <c r="N328" s="178"/>
      <c r="O328" s="178"/>
      <c r="P328" s="178"/>
      <c r="Q328" s="178"/>
      <c r="R328" s="178"/>
      <c r="S328" s="178"/>
      <c r="T328" s="178"/>
      <c r="U328" s="178"/>
      <c r="V328" s="158"/>
      <c r="W328" s="158"/>
      <c r="X328" s="158"/>
      <c r="Y328" s="158"/>
      <c r="Z328" s="179"/>
      <c r="AA328" s="179"/>
      <c r="AB328" s="173"/>
      <c r="AC328" s="180"/>
      <c r="AD328" s="153"/>
      <c r="AE328" s="153"/>
      <c r="AF328" s="153"/>
      <c r="AG328" s="153"/>
      <c r="AH328" s="179"/>
      <c r="AI328" s="179"/>
      <c r="AJ328" s="179"/>
      <c r="AK328" s="179"/>
      <c r="AL328" s="179"/>
      <c r="AM328" s="179"/>
      <c r="AN328" s="179"/>
      <c r="AO328" s="179"/>
      <c r="AP328" s="179"/>
      <c r="AQ328" s="179"/>
      <c r="AR328" s="179"/>
      <c r="AS328" s="179"/>
      <c r="AT328" s="2619"/>
      <c r="AU328" s="1056"/>
    </row>
    <row r="329" spans="4:47" hidden="1">
      <c r="D329" s="168" t="str">
        <f>+D296</f>
        <v>effective excise tax rate (incl. any VAT) on energy goods imports cif</v>
      </c>
      <c r="E329" s="176" t="s">
        <v>225</v>
      </c>
      <c r="F329" s="153"/>
      <c r="G329" s="153"/>
      <c r="H329" s="153"/>
      <c r="I329" s="153"/>
      <c r="J329" s="153"/>
      <c r="K329" s="153"/>
      <c r="L329" s="153"/>
      <c r="M329" s="153"/>
      <c r="N329" s="153"/>
      <c r="O329" s="153"/>
      <c r="P329" s="153"/>
      <c r="Q329" s="153"/>
      <c r="R329" s="153"/>
      <c r="S329" s="153"/>
      <c r="T329" s="153"/>
      <c r="U329" s="153"/>
      <c r="V329" s="157">
        <f>+V296</f>
        <v>0</v>
      </c>
      <c r="W329" s="157">
        <f>+(V296+W296)/2</f>
        <v>0</v>
      </c>
      <c r="X329" s="157">
        <f>+(W296+X296)/2</f>
        <v>0</v>
      </c>
      <c r="Y329" s="157">
        <f>+(X296+Y296)/2</f>
        <v>0</v>
      </c>
      <c r="Z329" s="181">
        <f t="shared" ref="Z329:AK329" si="73">+Z337/Z330</f>
        <v>0.31645083284701286</v>
      </c>
      <c r="AA329" s="158">
        <f t="shared" si="73"/>
        <v>0.28809609159345423</v>
      </c>
      <c r="AB329" s="158">
        <f t="shared" si="73"/>
        <v>0.24097958441907286</v>
      </c>
      <c r="AC329" s="158">
        <f t="shared" si="73"/>
        <v>0.21913678956602223</v>
      </c>
      <c r="AD329" s="158">
        <f t="shared" si="73"/>
        <v>0.21897154268236627</v>
      </c>
      <c r="AE329" s="158">
        <f t="shared" si="73"/>
        <v>0.25897105068829662</v>
      </c>
      <c r="AF329" s="158">
        <f>+AF337/AF330</f>
        <v>0.28446536523697097</v>
      </c>
      <c r="AG329" s="158">
        <f>+AG337/AG330</f>
        <v>0.20300477597478753</v>
      </c>
      <c r="AH329" s="158">
        <f t="shared" si="73"/>
        <v>0.15961024201930862</v>
      </c>
      <c r="AI329" s="158">
        <f t="shared" si="73"/>
        <v>0.14521408065018465</v>
      </c>
      <c r="AJ329" s="181"/>
      <c r="AK329" s="181">
        <f t="shared" si="73"/>
        <v>7.5800714885838213E-2</v>
      </c>
      <c r="AL329" s="181">
        <f t="shared" ref="AL329:AM329" si="74">+AL337/AL330</f>
        <v>8.9118298492198725E-2</v>
      </c>
      <c r="AM329" s="181">
        <f t="shared" si="74"/>
        <v>8.6355573687809939E-2</v>
      </c>
      <c r="AN329" s="181">
        <f>+AN337/AN330</f>
        <v>8.1913879227934597E-2</v>
      </c>
      <c r="AO329" s="181">
        <f t="shared" ref="AO329" si="75">+AO337/AO330</f>
        <v>7.8140348801272672E-2</v>
      </c>
      <c r="AP329" s="181"/>
      <c r="AQ329" s="181"/>
      <c r="AR329" s="181"/>
      <c r="AS329" s="181"/>
      <c r="AT329" s="2620"/>
      <c r="AU329" s="1056"/>
    </row>
    <row r="330" spans="4:47" hidden="1">
      <c r="D330" s="153" t="s">
        <v>233</v>
      </c>
      <c r="E330" s="169"/>
      <c r="F330" s="153"/>
      <c r="G330" s="153"/>
      <c r="H330" s="153"/>
      <c r="I330" s="153"/>
      <c r="J330" s="153"/>
      <c r="K330" s="153"/>
      <c r="L330" s="153"/>
      <c r="M330" s="153"/>
      <c r="N330" s="153"/>
      <c r="O330" s="153"/>
      <c r="P330" s="153"/>
      <c r="Q330" s="153"/>
      <c r="R330" s="153"/>
      <c r="S330" s="153"/>
      <c r="T330" s="153"/>
      <c r="U330" s="153"/>
      <c r="V330" s="157"/>
      <c r="W330" s="154">
        <f t="shared" ref="W330:AK330" si="76">+(V247+W247)*W259/1000/2</f>
        <v>634.74918693678012</v>
      </c>
      <c r="X330" s="154">
        <f t="shared" si="76"/>
        <v>713.44667380246938</v>
      </c>
      <c r="Y330" s="154">
        <f t="shared" si="76"/>
        <v>817.64431156629234</v>
      </c>
      <c r="Z330" s="154">
        <f t="shared" si="76"/>
        <v>913.30965416397669</v>
      </c>
      <c r="AA330" s="154">
        <f t="shared" si="76"/>
        <v>601.51949402375999</v>
      </c>
      <c r="AB330" s="154">
        <f t="shared" si="76"/>
        <v>291.81879962694262</v>
      </c>
      <c r="AC330" s="154">
        <f t="shared" si="76"/>
        <v>444.04551553558412</v>
      </c>
      <c r="AD330" s="154">
        <f t="shared" si="76"/>
        <v>477.24668172793531</v>
      </c>
      <c r="AE330" s="154">
        <f t="shared" si="76"/>
        <v>401.05477030245817</v>
      </c>
      <c r="AF330" s="154">
        <f>+(AE247+AF247)*AF259/1000/2</f>
        <v>361.79865791233902</v>
      </c>
      <c r="AG330" s="154">
        <f>+(AF247+AG247)*AG259/1000/2</f>
        <v>584.80688578581601</v>
      </c>
      <c r="AH330" s="154">
        <f t="shared" si="76"/>
        <v>780.00173322881108</v>
      </c>
      <c r="AI330" s="154">
        <f t="shared" si="76"/>
        <v>892.49332461781717</v>
      </c>
      <c r="AJ330" s="154"/>
      <c r="AK330" s="154">
        <f t="shared" si="76"/>
        <v>944.19798395661292</v>
      </c>
      <c r="AL330" s="154">
        <f t="shared" ref="AL330" si="77">+(AK247+AL247)*AL259/1000/2</f>
        <v>1001.3561839387093</v>
      </c>
      <c r="AM330" s="154">
        <f t="shared" ref="AM330" si="78">+(AL247+AM247)*AM259/1000/2</f>
        <v>1093.2394042085537</v>
      </c>
      <c r="AN330" s="154">
        <f t="shared" ref="AN330" si="79">+(AM247+AN247)*AN259/1000/2</f>
        <v>1215.1839490390264</v>
      </c>
      <c r="AO330" s="154">
        <f t="shared" ref="AO330" si="80">+(AN247+AO247)*AO259/1000/2</f>
        <v>1345.4753337871114</v>
      </c>
      <c r="AP330" s="154"/>
      <c r="AQ330" s="154"/>
      <c r="AR330" s="154"/>
      <c r="AS330" s="154"/>
      <c r="AT330" s="2604"/>
      <c r="AU330" s="1056"/>
    </row>
    <row r="331" spans="4:47" hidden="1">
      <c r="D331" s="153" t="s">
        <v>259</v>
      </c>
      <c r="E331" s="182" t="s">
        <v>231</v>
      </c>
      <c r="F331" s="153"/>
      <c r="G331" s="153"/>
      <c r="H331" s="153"/>
      <c r="I331" s="153"/>
      <c r="J331" s="153"/>
      <c r="K331" s="153"/>
      <c r="L331" s="153"/>
      <c r="M331" s="153"/>
      <c r="N331" s="153"/>
      <c r="O331" s="153"/>
      <c r="P331" s="153"/>
      <c r="Q331" s="153"/>
      <c r="R331" s="153"/>
      <c r="S331" s="153"/>
      <c r="T331" s="153"/>
      <c r="U331" s="153"/>
      <c r="V331" s="157"/>
      <c r="W331" s="183">
        <v>183</v>
      </c>
      <c r="X331" s="183">
        <v>183</v>
      </c>
      <c r="Y331" s="183">
        <v>183</v>
      </c>
      <c r="Z331" s="183">
        <v>183</v>
      </c>
      <c r="AA331" s="183">
        <v>183</v>
      </c>
      <c r="AB331" s="183">
        <v>183</v>
      </c>
      <c r="AC331" s="183">
        <v>183</v>
      </c>
      <c r="AD331" s="183">
        <v>183</v>
      </c>
      <c r="AE331" s="183">
        <v>183</v>
      </c>
      <c r="AF331" s="183">
        <v>184</v>
      </c>
      <c r="AG331" s="183">
        <v>185</v>
      </c>
      <c r="AH331" s="183">
        <v>183</v>
      </c>
      <c r="AI331" s="183">
        <v>183</v>
      </c>
      <c r="AJ331" s="183"/>
      <c r="AK331" s="183">
        <v>183</v>
      </c>
      <c r="AL331" s="183">
        <v>184</v>
      </c>
      <c r="AM331" s="183">
        <v>185</v>
      </c>
      <c r="AN331" s="183">
        <v>186</v>
      </c>
      <c r="AO331" s="183">
        <v>187</v>
      </c>
      <c r="AP331" s="183"/>
      <c r="AQ331" s="183"/>
      <c r="AR331" s="183"/>
      <c r="AS331" s="183"/>
      <c r="AT331" s="2621"/>
      <c r="AU331" s="1056"/>
    </row>
    <row r="332" spans="4:47" hidden="1">
      <c r="D332" s="153" t="s">
        <v>226</v>
      </c>
      <c r="E332" s="184">
        <v>0.76439999999999997</v>
      </c>
      <c r="F332" s="153"/>
      <c r="G332" s="153"/>
      <c r="H332" s="153"/>
      <c r="I332" s="153"/>
      <c r="J332" s="153"/>
      <c r="K332" s="153"/>
      <c r="L332" s="153"/>
      <c r="M332" s="153"/>
      <c r="N332" s="153"/>
      <c r="O332" s="153"/>
      <c r="P332" s="153"/>
      <c r="Q332" s="153"/>
      <c r="R332" s="153"/>
      <c r="S332" s="153"/>
      <c r="T332" s="153"/>
      <c r="U332" s="153"/>
      <c r="V332" s="157"/>
      <c r="W332" s="185">
        <f t="shared" ref="W332:AK332" si="81">+((V250+W250)/2)/$E332/1000</f>
        <v>683.3407710150625</v>
      </c>
      <c r="X332" s="185">
        <f t="shared" si="81"/>
        <v>733.26583211501918</v>
      </c>
      <c r="Y332" s="185">
        <f t="shared" si="81"/>
        <v>787.81185564890234</v>
      </c>
      <c r="Z332" s="185">
        <f t="shared" si="81"/>
        <v>847.37161508826136</v>
      </c>
      <c r="AA332" s="185">
        <f t="shared" si="81"/>
        <v>502.13445260932372</v>
      </c>
      <c r="AB332" s="185">
        <f t="shared" si="81"/>
        <v>201.97694145081107</v>
      </c>
      <c r="AC332" s="185">
        <f t="shared" si="81"/>
        <v>293.43021148613286</v>
      </c>
      <c r="AD332" s="185">
        <f t="shared" si="81"/>
        <v>314.25447728937729</v>
      </c>
      <c r="AE332" s="185">
        <f t="shared" si="81"/>
        <v>303.38365573652538</v>
      </c>
      <c r="AF332" s="185">
        <f>+((AE250+AF250)/2)/$E332/1000</f>
        <v>302.73660657378338</v>
      </c>
      <c r="AG332" s="185">
        <f>+((AF250+AG250)/2)/$E332/1000</f>
        <v>345.04043173076934</v>
      </c>
      <c r="AH332" s="185">
        <f t="shared" si="81"/>
        <v>353.13941922422816</v>
      </c>
      <c r="AI332" s="185">
        <f t="shared" si="81"/>
        <v>373.59557123888021</v>
      </c>
      <c r="AJ332" s="185"/>
      <c r="AK332" s="185">
        <f t="shared" si="81"/>
        <v>391.09771681791506</v>
      </c>
      <c r="AL332" s="185">
        <f t="shared" ref="AL332" si="82">+((AK250+AL250)/2)/$E332/1000</f>
        <v>484.99543096336379</v>
      </c>
      <c r="AM332" s="185">
        <f t="shared" ref="AM332" si="83">+((AL250+AM250)/2)/$E332/1000</f>
        <v>510.30981582999567</v>
      </c>
      <c r="AN332" s="185">
        <f t="shared" ref="AN332" si="84">+((AM250+AN250)/2)/$E332/1000</f>
        <v>535.16360882423351</v>
      </c>
      <c r="AO332" s="185">
        <f t="shared" ref="AO332" si="85">+((AN250+AO250)/2)/$E332/1000</f>
        <v>562.22412773066128</v>
      </c>
      <c r="AP332" s="185"/>
      <c r="AQ332" s="185"/>
      <c r="AR332" s="185"/>
      <c r="AS332" s="185"/>
      <c r="AT332" s="2622"/>
      <c r="AU332" s="1056"/>
    </row>
    <row r="333" spans="4:47" hidden="1">
      <c r="D333" s="153" t="s">
        <v>260</v>
      </c>
      <c r="E333" s="184"/>
      <c r="F333" s="153"/>
      <c r="G333" s="153"/>
      <c r="H333" s="153"/>
      <c r="I333" s="153"/>
      <c r="J333" s="153"/>
      <c r="K333" s="153"/>
      <c r="L333" s="153"/>
      <c r="M333" s="153"/>
      <c r="N333" s="153"/>
      <c r="O333" s="153"/>
      <c r="P333" s="153"/>
      <c r="Q333" s="153"/>
      <c r="R333" s="153"/>
      <c r="S333" s="153"/>
      <c r="T333" s="153"/>
      <c r="U333" s="153"/>
      <c r="V333" s="157"/>
      <c r="W333" s="183">
        <v>150</v>
      </c>
      <c r="X333" s="183">
        <v>150</v>
      </c>
      <c r="Y333" s="183">
        <v>150</v>
      </c>
      <c r="Z333" s="183">
        <v>150</v>
      </c>
      <c r="AA333" s="183">
        <v>150</v>
      </c>
      <c r="AB333" s="183">
        <f t="shared" ref="AB333:AK333" si="86">+AA333</f>
        <v>150</v>
      </c>
      <c r="AC333" s="183">
        <f t="shared" si="86"/>
        <v>150</v>
      </c>
      <c r="AD333" s="183">
        <f t="shared" si="86"/>
        <v>150</v>
      </c>
      <c r="AE333" s="183">
        <f t="shared" si="86"/>
        <v>150</v>
      </c>
      <c r="AF333" s="183">
        <f>+AE333</f>
        <v>150</v>
      </c>
      <c r="AG333" s="183">
        <f>+AF333</f>
        <v>150</v>
      </c>
      <c r="AH333" s="183">
        <f t="shared" si="86"/>
        <v>150</v>
      </c>
      <c r="AI333" s="183">
        <f t="shared" si="86"/>
        <v>150</v>
      </c>
      <c r="AJ333" s="183"/>
      <c r="AK333" s="183">
        <f t="shared" si="86"/>
        <v>0</v>
      </c>
      <c r="AL333" s="183">
        <f t="shared" ref="AL333" si="87">+AK333</f>
        <v>0</v>
      </c>
      <c r="AM333" s="183">
        <f t="shared" ref="AM333" si="88">+AL333</f>
        <v>0</v>
      </c>
      <c r="AN333" s="183">
        <f t="shared" ref="AN333" si="89">+AM333</f>
        <v>0</v>
      </c>
      <c r="AO333" s="183">
        <f t="shared" ref="AO333" si="90">+AN333</f>
        <v>0</v>
      </c>
      <c r="AP333" s="183"/>
      <c r="AQ333" s="183"/>
      <c r="AR333" s="183"/>
      <c r="AS333" s="183"/>
      <c r="AT333" s="2621"/>
      <c r="AU333" s="1056"/>
    </row>
    <row r="334" spans="4:47" hidden="1">
      <c r="D334" s="153" t="s">
        <v>227</v>
      </c>
      <c r="E334" s="184">
        <v>0.87229999999999996</v>
      </c>
      <c r="F334" s="153"/>
      <c r="G334" s="153"/>
      <c r="H334" s="153"/>
      <c r="I334" s="153"/>
      <c r="J334" s="153"/>
      <c r="K334" s="153"/>
      <c r="L334" s="153"/>
      <c r="M334" s="153"/>
      <c r="N334" s="153"/>
      <c r="O334" s="153"/>
      <c r="P334" s="153"/>
      <c r="Q334" s="153"/>
      <c r="R334" s="153"/>
      <c r="S334" s="153"/>
      <c r="T334" s="153"/>
      <c r="U334" s="153"/>
      <c r="V334" s="157"/>
      <c r="W334" s="185">
        <f t="shared" ref="W334:AK334" si="91">+((V251+W251)/2)/$E334/1000</f>
        <v>720.12904101579272</v>
      </c>
      <c r="X334" s="185">
        <f t="shared" si="91"/>
        <v>772.7418630477074</v>
      </c>
      <c r="Y334" s="185">
        <f t="shared" si="91"/>
        <v>830.22442121605957</v>
      </c>
      <c r="Z334" s="185">
        <f t="shared" si="91"/>
        <v>892.99063430837271</v>
      </c>
      <c r="AA334" s="185">
        <f t="shared" si="91"/>
        <v>542.69873612007427</v>
      </c>
      <c r="AB334" s="185">
        <f t="shared" si="91"/>
        <v>222.40395182849934</v>
      </c>
      <c r="AC334" s="185">
        <f t="shared" si="91"/>
        <v>290.72653329129884</v>
      </c>
      <c r="AD334" s="185">
        <f t="shared" si="91"/>
        <v>313.29915196033477</v>
      </c>
      <c r="AE334" s="185">
        <f t="shared" si="91"/>
        <v>322.28244165997938</v>
      </c>
      <c r="AF334" s="185">
        <f>+((AE251+AF251)/2)/$E334/1000</f>
        <v>314.7710117046887</v>
      </c>
      <c r="AG334" s="185">
        <f>+((AF251+AG251)/2)/$E334/1000</f>
        <v>365.90740644846949</v>
      </c>
      <c r="AH334" s="185">
        <f t="shared" si="91"/>
        <v>399.14501132064663</v>
      </c>
      <c r="AI334" s="185">
        <f t="shared" si="91"/>
        <v>408.23072056058703</v>
      </c>
      <c r="AJ334" s="185"/>
      <c r="AK334" s="185">
        <f t="shared" si="91"/>
        <v>440.35770648421953</v>
      </c>
      <c r="AL334" s="185">
        <f t="shared" ref="AL334" si="92">+((AK251+AL251)/2)/$E334/1000</f>
        <v>511.10559974035215</v>
      </c>
      <c r="AM334" s="185">
        <f t="shared" ref="AM334" si="93">+((AL251+AM251)/2)/$E334/1000</f>
        <v>537.78280746913038</v>
      </c>
      <c r="AN334" s="185">
        <f t="shared" ref="AN334" si="94">+((AM251+AN251)/2)/$E334/1000</f>
        <v>563.97462694444016</v>
      </c>
      <c r="AO334" s="185">
        <f t="shared" ref="AO334" si="95">+((AN251+AO251)/2)/$E334/1000</f>
        <v>592.49197342228706</v>
      </c>
      <c r="AP334" s="185"/>
      <c r="AQ334" s="185"/>
      <c r="AR334" s="185"/>
      <c r="AS334" s="185"/>
      <c r="AT334" s="2622"/>
      <c r="AU334" s="1056"/>
    </row>
    <row r="335" spans="4:47" hidden="1">
      <c r="D335" s="153" t="s">
        <v>764</v>
      </c>
      <c r="E335" s="184"/>
      <c r="F335" s="153"/>
      <c r="G335" s="153"/>
      <c r="H335" s="153"/>
      <c r="I335" s="153"/>
      <c r="J335" s="153"/>
      <c r="K335" s="153"/>
      <c r="L335" s="153"/>
      <c r="M335" s="153"/>
      <c r="N335" s="153"/>
      <c r="O335" s="153"/>
      <c r="P335" s="153"/>
      <c r="Q335" s="153"/>
      <c r="R335" s="153"/>
      <c r="S335" s="153"/>
      <c r="T335" s="153"/>
      <c r="U335" s="153"/>
      <c r="V335" s="157"/>
      <c r="W335" s="157"/>
      <c r="X335" s="157"/>
      <c r="Y335" s="186"/>
      <c r="Z335" s="186"/>
      <c r="AA335" s="186"/>
      <c r="AB335" s="173"/>
      <c r="AC335" s="180"/>
      <c r="AD335" s="187"/>
      <c r="AE335" s="153"/>
      <c r="AF335" s="153"/>
      <c r="AG335" s="153"/>
      <c r="AH335" s="186"/>
      <c r="AI335" s="186"/>
      <c r="AJ335" s="186"/>
      <c r="AK335" s="186"/>
      <c r="AL335" s="186"/>
      <c r="AM335" s="186"/>
      <c r="AN335" s="186"/>
      <c r="AO335" s="186"/>
      <c r="AP335" s="186"/>
      <c r="AQ335" s="186"/>
      <c r="AR335" s="186"/>
      <c r="AS335" s="186"/>
      <c r="AT335" s="2623"/>
      <c r="AU335" s="1056"/>
    </row>
    <row r="336" spans="4:47" hidden="1">
      <c r="D336" s="153" t="s">
        <v>763</v>
      </c>
      <c r="E336" s="184">
        <v>0.81299999999999994</v>
      </c>
      <c r="F336" s="153"/>
      <c r="G336" s="153"/>
      <c r="H336" s="153"/>
      <c r="I336" s="153"/>
      <c r="J336" s="153"/>
      <c r="K336" s="153"/>
      <c r="L336" s="153"/>
      <c r="M336" s="153"/>
      <c r="N336" s="153"/>
      <c r="O336" s="153"/>
      <c r="P336" s="153"/>
      <c r="Q336" s="153"/>
      <c r="R336" s="153"/>
      <c r="S336" s="153"/>
      <c r="T336" s="153"/>
      <c r="U336" s="153"/>
      <c r="V336" s="157"/>
      <c r="W336" s="157"/>
      <c r="X336" s="157"/>
      <c r="Y336" s="186"/>
      <c r="Z336" s="185">
        <f t="shared" ref="Z336:AK336" si="96">+((Y252+Z252)/2)/$E336/1000</f>
        <v>389.39058365908517</v>
      </c>
      <c r="AA336" s="185">
        <f t="shared" si="96"/>
        <v>221.37540300683693</v>
      </c>
      <c r="AB336" s="185">
        <f t="shared" si="96"/>
        <v>143.48897097785976</v>
      </c>
      <c r="AC336" s="185">
        <f t="shared" si="96"/>
        <v>265.96571038130384</v>
      </c>
      <c r="AD336" s="185">
        <f t="shared" si="96"/>
        <v>272.97544938499385</v>
      </c>
      <c r="AE336" s="185">
        <f t="shared" si="96"/>
        <v>213.33490690036905</v>
      </c>
      <c r="AF336" s="185">
        <f>+((AE252+AF252)/2)/$E336/1000</f>
        <v>153.34112197416974</v>
      </c>
      <c r="AG336" s="185">
        <f>+((AF252+AG252)/2)/$E336/1000</f>
        <v>158.73863527675277</v>
      </c>
      <c r="AH336" s="185">
        <f t="shared" si="96"/>
        <v>177.33721372078725</v>
      </c>
      <c r="AI336" s="185">
        <f t="shared" si="96"/>
        <v>184.34249480319809</v>
      </c>
      <c r="AJ336" s="185"/>
      <c r="AK336" s="185">
        <f t="shared" si="96"/>
        <v>185.55554028182291</v>
      </c>
      <c r="AL336" s="185">
        <f t="shared" ref="AL336" si="97">+((AK252+AL252)/2)/$E336/1000</f>
        <v>222.86875152779706</v>
      </c>
      <c r="AM336" s="185">
        <f t="shared" ref="AM336" si="98">+((AL252+AM252)/2)/$E336/1000</f>
        <v>234.50140823079724</v>
      </c>
      <c r="AN336" s="185">
        <f t="shared" ref="AN336" si="99">+((AM252+AN252)/2)/$E336/1000</f>
        <v>245.92241028921563</v>
      </c>
      <c r="AO336" s="185">
        <f t="shared" ref="AO336" si="100">+((AN252+AO252)/2)/$E336/1000</f>
        <v>258.3574636512451</v>
      </c>
      <c r="AP336" s="185"/>
      <c r="AQ336" s="185"/>
      <c r="AR336" s="185"/>
      <c r="AS336" s="185"/>
      <c r="AT336" s="2622"/>
      <c r="AU336" s="1056"/>
    </row>
    <row r="337" spans="4:47" hidden="1">
      <c r="D337" s="153" t="s">
        <v>232</v>
      </c>
      <c r="E337" s="184"/>
      <c r="F337" s="153"/>
      <c r="G337" s="153"/>
      <c r="H337" s="153"/>
      <c r="I337" s="153"/>
      <c r="J337" s="153"/>
      <c r="K337" s="153"/>
      <c r="L337" s="153"/>
      <c r="M337" s="153"/>
      <c r="N337" s="153"/>
      <c r="O337" s="153"/>
      <c r="P337" s="153"/>
      <c r="Q337" s="153"/>
      <c r="R337" s="153"/>
      <c r="S337" s="153"/>
      <c r="T337" s="153"/>
      <c r="U337" s="153"/>
      <c r="V337" s="185"/>
      <c r="W337" s="188"/>
      <c r="X337" s="188"/>
      <c r="Y337" s="188"/>
      <c r="Z337" s="188">
        <f>+(Z331*Z332+Z333*Z334+Z335*Z336)/1000</f>
        <v>289.01760070740772</v>
      </c>
      <c r="AA337" s="189">
        <f t="shared" ref="AA337:AK337" si="101">+(AA331*AA332+AA333*AA334+AA335*AA336)/1000</f>
        <v>173.2954152455174</v>
      </c>
      <c r="AB337" s="189">
        <f t="shared" si="101"/>
        <v>70.322373059773327</v>
      </c>
      <c r="AC337" s="189">
        <f t="shared" si="101"/>
        <v>97.30670869565715</v>
      </c>
      <c r="AD337" s="189">
        <f t="shared" si="101"/>
        <v>104.50344213800625</v>
      </c>
      <c r="AE337" s="189">
        <f t="shared" si="101"/>
        <v>103.86157524878105</v>
      </c>
      <c r="AF337" s="189">
        <f>+(AF331*AF332+AF333*AF334+AF335*AF336)/1000</f>
        <v>102.91918736527944</v>
      </c>
      <c r="AG337" s="189">
        <f>+(AG331*AG332+AG333*AG334+AG335*AG336)/1000</f>
        <v>118.71859083746274</v>
      </c>
      <c r="AH337" s="188">
        <f t="shared" si="101"/>
        <v>124.49626541613074</v>
      </c>
      <c r="AI337" s="188">
        <f t="shared" si="101"/>
        <v>129.60259762080312</v>
      </c>
      <c r="AJ337" s="188"/>
      <c r="AK337" s="188">
        <f t="shared" si="101"/>
        <v>71.570882177678456</v>
      </c>
      <c r="AL337" s="188">
        <f t="shared" ref="AL337:AM337" si="102">+(AL331*AL332+AL333*AL334+AL335*AL336)/1000</f>
        <v>89.239159297258936</v>
      </c>
      <c r="AM337" s="188">
        <f t="shared" si="102"/>
        <v>94.407315928549195</v>
      </c>
      <c r="AN337" s="188">
        <f t="shared" ref="AN337:AO337" si="103">+(AN331*AN332+AN333*AN334+AN335*AN336)/1000</f>
        <v>99.540431241307431</v>
      </c>
      <c r="AO337" s="188">
        <f t="shared" si="103"/>
        <v>105.13591188563366</v>
      </c>
      <c r="AP337" s="188"/>
      <c r="AQ337" s="188"/>
      <c r="AR337" s="188"/>
      <c r="AS337" s="188"/>
      <c r="AT337" s="2624"/>
      <c r="AU337" s="1056"/>
    </row>
    <row r="338" spans="4:47" hidden="1">
      <c r="D338" s="153" t="s">
        <v>261</v>
      </c>
      <c r="E338" s="184"/>
      <c r="F338" s="153"/>
      <c r="G338" s="153"/>
      <c r="H338" s="153"/>
      <c r="I338" s="153"/>
      <c r="J338" s="153"/>
      <c r="K338" s="153"/>
      <c r="L338" s="153"/>
      <c r="M338" s="153"/>
      <c r="N338" s="153"/>
      <c r="O338" s="153"/>
      <c r="P338" s="153"/>
      <c r="Q338" s="153"/>
      <c r="R338" s="153"/>
      <c r="S338" s="153"/>
      <c r="T338" s="153"/>
      <c r="U338" s="153"/>
      <c r="V338" s="185"/>
      <c r="W338" s="190"/>
      <c r="X338" s="190"/>
      <c r="Y338" s="190"/>
      <c r="Z338" s="190">
        <f>+(Z337-Z755)/Z337</f>
        <v>0.85791523517430024</v>
      </c>
      <c r="AA338" s="191">
        <f t="shared" ref="AA338:AK338" si="104">+Z338</f>
        <v>0.85791523517430024</v>
      </c>
      <c r="AB338" s="191">
        <f t="shared" si="104"/>
        <v>0.85791523517430024</v>
      </c>
      <c r="AC338" s="191">
        <f t="shared" si="104"/>
        <v>0.85791523517430024</v>
      </c>
      <c r="AD338" s="191">
        <f t="shared" si="104"/>
        <v>0.85791523517430024</v>
      </c>
      <c r="AE338" s="191">
        <f t="shared" si="104"/>
        <v>0.85791523517430024</v>
      </c>
      <c r="AF338" s="191">
        <f>+AE338</f>
        <v>0.85791523517430024</v>
      </c>
      <c r="AG338" s="191">
        <f>+AF338</f>
        <v>0.85791523517430024</v>
      </c>
      <c r="AH338" s="158">
        <f t="shared" si="104"/>
        <v>0.85791523517430024</v>
      </c>
      <c r="AI338" s="158">
        <f t="shared" si="104"/>
        <v>0.85791523517430024</v>
      </c>
      <c r="AJ338" s="158"/>
      <c r="AK338" s="158">
        <f t="shared" si="104"/>
        <v>0</v>
      </c>
      <c r="AL338" s="158">
        <f t="shared" ref="AL338" si="105">+AK338</f>
        <v>0</v>
      </c>
      <c r="AM338" s="158">
        <f t="shared" ref="AM338" si="106">+AL338</f>
        <v>0</v>
      </c>
      <c r="AN338" s="158">
        <f t="shared" ref="AN338" si="107">+AM338</f>
        <v>0</v>
      </c>
      <c r="AO338" s="158">
        <f t="shared" ref="AO338" si="108">+AN338</f>
        <v>0</v>
      </c>
      <c r="AP338" s="158"/>
      <c r="AQ338" s="158"/>
      <c r="AR338" s="158"/>
      <c r="AS338" s="158"/>
      <c r="AT338" s="2618"/>
      <c r="AU338" s="1056"/>
    </row>
    <row r="339" spans="4:47" hidden="1">
      <c r="D339" s="153" t="s">
        <v>756</v>
      </c>
      <c r="E339" s="169" t="s">
        <v>204</v>
      </c>
      <c r="F339" s="153"/>
      <c r="G339" s="153"/>
      <c r="H339" s="153"/>
      <c r="I339" s="153"/>
      <c r="J339" s="153"/>
      <c r="K339" s="153"/>
      <c r="L339" s="153"/>
      <c r="M339" s="153"/>
      <c r="N339" s="153"/>
      <c r="O339" s="153"/>
      <c r="P339" s="153"/>
      <c r="Q339" s="153"/>
      <c r="R339" s="153"/>
      <c r="S339" s="153"/>
      <c r="T339" s="153"/>
      <c r="U339" s="153"/>
      <c r="V339" s="157">
        <f t="shared" ref="V339:AI339" si="109">+V755/V303</f>
        <v>1.1033462744515962E-2</v>
      </c>
      <c r="W339" s="157">
        <f t="shared" si="109"/>
        <v>8.2056271541275996E-3</v>
      </c>
      <c r="X339" s="157">
        <f t="shared" si="109"/>
        <v>6.9970158602971518E-3</v>
      </c>
      <c r="Y339" s="157">
        <f t="shared" si="109"/>
        <v>6.9864573106117826E-3</v>
      </c>
      <c r="Z339" s="157">
        <f t="shared" si="109"/>
        <v>7.1157507931034498E-3</v>
      </c>
      <c r="AA339" s="192">
        <f t="shared" si="109"/>
        <v>1.0947977576129132E-2</v>
      </c>
      <c r="AB339" s="192">
        <f t="shared" si="109"/>
        <v>6.7930288386071572E-3</v>
      </c>
      <c r="AC339" s="192">
        <f t="shared" si="109"/>
        <v>5.689658683251584E-3</v>
      </c>
      <c r="AD339" s="192">
        <f t="shared" si="109"/>
        <v>6.5570683773377081E-3</v>
      </c>
      <c r="AE339" s="192">
        <f t="shared" si="109"/>
        <v>5.418831357265402E-3</v>
      </c>
      <c r="AF339" s="192">
        <f t="shared" si="109"/>
        <v>5.358189875728646E-3</v>
      </c>
      <c r="AG339" s="192">
        <f t="shared" si="109"/>
        <v>1.3648436814935974E-3</v>
      </c>
      <c r="AH339" s="157">
        <f t="shared" si="109"/>
        <v>1.1195583919828378E-3</v>
      </c>
      <c r="AI339" s="157">
        <f t="shared" si="109"/>
        <v>9.9283216626238615E-4</v>
      </c>
      <c r="AJ339" s="157"/>
      <c r="AK339" s="157">
        <f>+AK755/AK303</f>
        <v>0</v>
      </c>
      <c r="AL339" s="157">
        <f>+AL755/AL303</f>
        <v>0</v>
      </c>
      <c r="AM339" s="157">
        <f>+AM755/AM303</f>
        <v>0</v>
      </c>
      <c r="AN339" s="157">
        <v>5.057587735938885E-3</v>
      </c>
      <c r="AO339" s="157">
        <v>5.057587735938885E-3</v>
      </c>
      <c r="AP339" s="157"/>
      <c r="AQ339" s="157"/>
      <c r="AR339" s="157"/>
      <c r="AS339" s="157"/>
      <c r="AT339" s="2605"/>
      <c r="AU339" s="1056"/>
    </row>
    <row r="340" spans="4:47" hidden="1">
      <c r="D340" s="594" t="s">
        <v>754</v>
      </c>
      <c r="E340" s="213"/>
      <c r="F340" s="156"/>
      <c r="G340" s="156"/>
      <c r="H340" s="156"/>
      <c r="I340" s="156"/>
      <c r="J340" s="156"/>
      <c r="K340" s="156"/>
      <c r="L340" s="156"/>
      <c r="M340" s="156"/>
      <c r="N340" s="156"/>
      <c r="O340" s="156"/>
      <c r="P340" s="156"/>
      <c r="Q340" s="156"/>
      <c r="R340" s="156"/>
      <c r="S340" s="156"/>
      <c r="T340" s="156"/>
      <c r="U340" s="156"/>
      <c r="V340" s="193"/>
      <c r="W340" s="154"/>
      <c r="X340" s="154"/>
      <c r="Y340" s="154"/>
      <c r="Z340" s="154"/>
      <c r="AA340" s="595">
        <v>32.700000000000003</v>
      </c>
      <c r="AB340" s="595">
        <f t="shared" ref="AB340:AK340" si="110">+AA340</f>
        <v>32.700000000000003</v>
      </c>
      <c r="AC340" s="595">
        <f t="shared" si="110"/>
        <v>32.700000000000003</v>
      </c>
      <c r="AD340" s="595">
        <f t="shared" si="110"/>
        <v>32.700000000000003</v>
      </c>
      <c r="AE340" s="595">
        <f t="shared" si="110"/>
        <v>32.700000000000003</v>
      </c>
      <c r="AF340" s="595">
        <f>+AE340</f>
        <v>32.700000000000003</v>
      </c>
      <c r="AG340" s="595">
        <f>+AF340</f>
        <v>32.700000000000003</v>
      </c>
      <c r="AH340" s="595">
        <f t="shared" si="110"/>
        <v>32.700000000000003</v>
      </c>
      <c r="AI340" s="595">
        <f t="shared" si="110"/>
        <v>32.700000000000003</v>
      </c>
      <c r="AJ340" s="595"/>
      <c r="AK340" s="595">
        <f t="shared" si="110"/>
        <v>0</v>
      </c>
      <c r="AL340" s="595">
        <f t="shared" ref="AL340" si="111">+AK340</f>
        <v>0</v>
      </c>
      <c r="AM340" s="595">
        <f t="shared" ref="AM340" si="112">+AL340</f>
        <v>0</v>
      </c>
      <c r="AN340" s="595">
        <f t="shared" ref="AN340" si="113">+AM340</f>
        <v>0</v>
      </c>
      <c r="AO340" s="595">
        <f t="shared" ref="AO340" si="114">+AN340</f>
        <v>0</v>
      </c>
      <c r="AP340" s="595"/>
      <c r="AQ340" s="595"/>
      <c r="AR340" s="595"/>
      <c r="AS340" s="595"/>
      <c r="AT340" s="2625"/>
      <c r="AU340" s="1056"/>
    </row>
    <row r="341" spans="4:47" hidden="1">
      <c r="D341" s="594" t="s">
        <v>757</v>
      </c>
      <c r="E341" s="213"/>
      <c r="F341" s="156"/>
      <c r="G341" s="156"/>
      <c r="H341" s="156"/>
      <c r="I341" s="156"/>
      <c r="J341" s="156"/>
      <c r="K341" s="156"/>
      <c r="L341" s="156"/>
      <c r="M341" s="156"/>
      <c r="N341" s="156"/>
      <c r="O341" s="156"/>
      <c r="P341" s="156"/>
      <c r="Q341" s="156"/>
      <c r="R341" s="156"/>
      <c r="S341" s="156"/>
      <c r="T341" s="156"/>
      <c r="U341" s="156"/>
      <c r="V341" s="193"/>
      <c r="W341" s="154"/>
      <c r="X341" s="154"/>
      <c r="Y341" s="154"/>
      <c r="Z341" s="154"/>
      <c r="AA341" s="595">
        <f>+(AA$332+AA$334)*AA340/1000</f>
        <v>34.166045271451317</v>
      </c>
      <c r="AB341" s="595">
        <f t="shared" ref="AB341:AK341" si="115">+(AB332+AB334)*AB340/1000</f>
        <v>13.87725521023345</v>
      </c>
      <c r="AC341" s="595">
        <f t="shared" si="115"/>
        <v>19.101925554222017</v>
      </c>
      <c r="AD341" s="595">
        <f t="shared" si="115"/>
        <v>20.521003676465586</v>
      </c>
      <c r="AE341" s="595">
        <f t="shared" si="115"/>
        <v>20.459281384865704</v>
      </c>
      <c r="AF341" s="595">
        <f>+(AF332+AF334)*AF340/1000</f>
        <v>20.192499117706038</v>
      </c>
      <c r="AG341" s="595">
        <f>+(AG332+AG334)*AG340/1000</f>
        <v>23.247994308461113</v>
      </c>
      <c r="AH341" s="595">
        <f t="shared" si="115"/>
        <v>24.599700878817405</v>
      </c>
      <c r="AI341" s="595">
        <f t="shared" si="115"/>
        <v>25.565719741842582</v>
      </c>
      <c r="AJ341" s="595"/>
      <c r="AK341" s="595">
        <f t="shared" si="115"/>
        <v>0</v>
      </c>
      <c r="AL341" s="595">
        <f t="shared" ref="AL341:AM341" si="116">+(AL332+AL334)*AL340/1000</f>
        <v>0</v>
      </c>
      <c r="AM341" s="595">
        <f t="shared" si="116"/>
        <v>0</v>
      </c>
      <c r="AN341" s="595">
        <f t="shared" ref="AN341:AO341" si="117">+(AN332+AN334)*AN340/1000</f>
        <v>0</v>
      </c>
      <c r="AO341" s="595">
        <f t="shared" si="117"/>
        <v>0</v>
      </c>
      <c r="AP341" s="595"/>
      <c r="AQ341" s="595"/>
      <c r="AR341" s="595"/>
      <c r="AS341" s="595"/>
      <c r="AT341" s="2625"/>
      <c r="AU341" s="1056"/>
    </row>
    <row r="342" spans="4:47" hidden="1">
      <c r="D342" s="156" t="s">
        <v>758</v>
      </c>
      <c r="E342" s="213" t="s">
        <v>318</v>
      </c>
      <c r="F342" s="156"/>
      <c r="G342" s="156"/>
      <c r="H342" s="156"/>
      <c r="I342" s="156"/>
      <c r="J342" s="156"/>
      <c r="K342" s="156"/>
      <c r="L342" s="156"/>
      <c r="M342" s="156"/>
      <c r="N342" s="156"/>
      <c r="O342" s="156"/>
      <c r="P342" s="156"/>
      <c r="Q342" s="156"/>
      <c r="R342" s="156"/>
      <c r="S342" s="156"/>
      <c r="T342" s="156"/>
      <c r="U342" s="156"/>
      <c r="V342" s="193"/>
      <c r="W342" s="154"/>
      <c r="X342" s="154"/>
      <c r="Y342" s="154"/>
      <c r="Z342" s="154"/>
      <c r="AA342" s="207">
        <v>9.6999999999999993</v>
      </c>
      <c r="AB342" s="207">
        <v>9.6999999999999993</v>
      </c>
      <c r="AC342" s="207">
        <v>11.3</v>
      </c>
      <c r="AD342" s="207">
        <v>12.1</v>
      </c>
      <c r="AE342" s="207">
        <f t="shared" ref="AE342:AK342" si="118">+AE341</f>
        <v>20.459281384865704</v>
      </c>
      <c r="AF342" s="207">
        <f>+AF341</f>
        <v>20.192499117706038</v>
      </c>
      <c r="AG342" s="207">
        <f>+AG341</f>
        <v>23.247994308461113</v>
      </c>
      <c r="AH342" s="207">
        <f t="shared" si="118"/>
        <v>24.599700878817405</v>
      </c>
      <c r="AI342" s="207">
        <f t="shared" si="118"/>
        <v>25.565719741842582</v>
      </c>
      <c r="AJ342" s="207"/>
      <c r="AK342" s="207">
        <f t="shared" si="118"/>
        <v>0</v>
      </c>
      <c r="AL342" s="207">
        <f t="shared" ref="AL342:AM342" si="119">+AL341</f>
        <v>0</v>
      </c>
      <c r="AM342" s="207">
        <f t="shared" si="119"/>
        <v>0</v>
      </c>
      <c r="AN342" s="207">
        <f t="shared" ref="AN342:AO342" si="120">+AN341</f>
        <v>0</v>
      </c>
      <c r="AO342" s="207">
        <f t="shared" si="120"/>
        <v>0</v>
      </c>
      <c r="AP342" s="207"/>
      <c r="AQ342" s="207"/>
      <c r="AR342" s="207"/>
      <c r="AS342" s="207"/>
      <c r="AT342" s="2626"/>
      <c r="AU342" s="1056"/>
    </row>
    <row r="343" spans="4:47" hidden="1">
      <c r="D343" s="594" t="s">
        <v>761</v>
      </c>
      <c r="E343" s="213"/>
      <c r="F343" s="156"/>
      <c r="G343" s="156"/>
      <c r="H343" s="156"/>
      <c r="I343" s="156"/>
      <c r="J343" s="156"/>
      <c r="K343" s="156"/>
      <c r="L343" s="156"/>
      <c r="M343" s="156"/>
      <c r="N343" s="156"/>
      <c r="O343" s="156"/>
      <c r="P343" s="156"/>
      <c r="Q343" s="156"/>
      <c r="R343" s="156"/>
      <c r="S343" s="156"/>
      <c r="T343" s="156"/>
      <c r="U343" s="156"/>
      <c r="V343" s="193"/>
      <c r="W343" s="154"/>
      <c r="X343" s="154"/>
      <c r="Y343" s="595">
        <v>62.37</v>
      </c>
      <c r="Z343" s="595">
        <v>62.37</v>
      </c>
      <c r="AA343" s="595">
        <f>83+(115-83)*(4/12)*0</f>
        <v>83</v>
      </c>
      <c r="AB343" s="595">
        <v>115</v>
      </c>
      <c r="AC343" s="595">
        <f t="shared" ref="AC343:AK343" si="121">+AB343</f>
        <v>115</v>
      </c>
      <c r="AD343" s="595">
        <f t="shared" si="121"/>
        <v>115</v>
      </c>
      <c r="AE343" s="595">
        <f t="shared" si="121"/>
        <v>115</v>
      </c>
      <c r="AF343" s="595">
        <f>+AE343</f>
        <v>115</v>
      </c>
      <c r="AG343" s="595">
        <f>+AF343</f>
        <v>115</v>
      </c>
      <c r="AH343" s="595">
        <f t="shared" si="121"/>
        <v>115</v>
      </c>
      <c r="AI343" s="595">
        <f t="shared" si="121"/>
        <v>115</v>
      </c>
      <c r="AJ343" s="595"/>
      <c r="AK343" s="595">
        <f t="shared" si="121"/>
        <v>0</v>
      </c>
      <c r="AL343" s="595">
        <f t="shared" ref="AL343" si="122">+AK343</f>
        <v>0</v>
      </c>
      <c r="AM343" s="595">
        <f t="shared" ref="AM343" si="123">+AL343</f>
        <v>0</v>
      </c>
      <c r="AN343" s="595">
        <f t="shared" ref="AN343" si="124">+AM343</f>
        <v>0</v>
      </c>
      <c r="AO343" s="595">
        <f t="shared" ref="AO343" si="125">+AN343</f>
        <v>0</v>
      </c>
      <c r="AP343" s="595"/>
      <c r="AQ343" s="595"/>
      <c r="AR343" s="595"/>
      <c r="AS343" s="595"/>
      <c r="AT343" s="2625"/>
      <c r="AU343" s="1056"/>
    </row>
    <row r="344" spans="4:47" hidden="1">
      <c r="D344" s="594" t="s">
        <v>759</v>
      </c>
      <c r="E344" s="213"/>
      <c r="F344" s="156"/>
      <c r="G344" s="156"/>
      <c r="H344" s="156"/>
      <c r="I344" s="156"/>
      <c r="J344" s="156"/>
      <c r="K344" s="156"/>
      <c r="L344" s="156"/>
      <c r="M344" s="156"/>
      <c r="N344" s="156"/>
      <c r="O344" s="156"/>
      <c r="P344" s="156"/>
      <c r="Q344" s="156"/>
      <c r="R344" s="156"/>
      <c r="S344" s="156"/>
      <c r="T344" s="156"/>
      <c r="U344" s="156"/>
      <c r="V344" s="193"/>
      <c r="W344" s="154"/>
      <c r="X344" s="154"/>
      <c r="Y344" s="595"/>
      <c r="Z344" s="595">
        <f t="shared" ref="Z344:AK344" si="126">+(Z$332+Z$334+Z$336)*Z343/1000</f>
        <v>132.83268419768521</v>
      </c>
      <c r="AA344" s="595">
        <f t="shared" si="126"/>
        <v>105.0953131141075</v>
      </c>
      <c r="AB344" s="595">
        <f t="shared" si="126"/>
        <v>65.305034389574558</v>
      </c>
      <c r="AC344" s="595">
        <f t="shared" si="126"/>
        <v>97.764082343254572</v>
      </c>
      <c r="AD344" s="595">
        <f t="shared" si="126"/>
        <v>103.56084404299119</v>
      </c>
      <c r="AE344" s="595">
        <f t="shared" si="126"/>
        <v>96.485115494140487</v>
      </c>
      <c r="AF344" s="595">
        <f>+(AF$332+AF$334+AF$336)*AF343/1000</f>
        <v>88.647605129053815</v>
      </c>
      <c r="AG344" s="595">
        <f>+(AG$332+AG$334+AG$336)*AG343/1000</f>
        <v>100.01394444743903</v>
      </c>
      <c r="AH344" s="595">
        <f t="shared" si="126"/>
        <v>106.90648909055115</v>
      </c>
      <c r="AI344" s="595">
        <f t="shared" si="126"/>
        <v>111.10941045930652</v>
      </c>
      <c r="AJ344" s="595"/>
      <c r="AK344" s="595">
        <f t="shared" si="126"/>
        <v>0</v>
      </c>
      <c r="AL344" s="595">
        <f t="shared" ref="AL344:AM344" si="127">+(AL$332+AL$334+AL$336)*AL343/1000</f>
        <v>0</v>
      </c>
      <c r="AM344" s="595">
        <f t="shared" si="127"/>
        <v>0</v>
      </c>
      <c r="AN344" s="595">
        <f t="shared" ref="AN344:AO344" si="128">+(AN$332+AN$334+AN$336)*AN343/1000</f>
        <v>0</v>
      </c>
      <c r="AO344" s="595">
        <f t="shared" si="128"/>
        <v>0</v>
      </c>
      <c r="AP344" s="595"/>
      <c r="AQ344" s="595"/>
      <c r="AR344" s="595"/>
      <c r="AS344" s="595"/>
      <c r="AT344" s="2625"/>
      <c r="AU344" s="1056"/>
    </row>
    <row r="345" spans="4:47" hidden="1">
      <c r="D345" s="156" t="s">
        <v>760</v>
      </c>
      <c r="E345" s="182" t="s">
        <v>315</v>
      </c>
      <c r="F345" s="156"/>
      <c r="G345" s="156"/>
      <c r="H345" s="156"/>
      <c r="I345" s="156"/>
      <c r="J345" s="156"/>
      <c r="K345" s="156"/>
      <c r="L345" s="156"/>
      <c r="M345" s="156"/>
      <c r="N345" s="156"/>
      <c r="O345" s="156"/>
      <c r="P345" s="156"/>
      <c r="Q345" s="156"/>
      <c r="R345" s="156"/>
      <c r="S345" s="156"/>
      <c r="T345" s="156"/>
      <c r="U345" s="156"/>
      <c r="V345" s="193"/>
      <c r="W345" s="154"/>
      <c r="X345" s="154"/>
      <c r="Y345" s="154"/>
      <c r="Z345" s="154"/>
      <c r="AA345" s="207">
        <v>5.3</v>
      </c>
      <c r="AB345" s="207">
        <v>6</v>
      </c>
      <c r="AC345" s="207">
        <v>6.9</v>
      </c>
      <c r="AD345" s="207">
        <f t="shared" ref="AD345:AK345" si="129">+AC345</f>
        <v>6.9</v>
      </c>
      <c r="AE345" s="207">
        <f t="shared" si="129"/>
        <v>6.9</v>
      </c>
      <c r="AF345" s="207">
        <f>+AE345</f>
        <v>6.9</v>
      </c>
      <c r="AG345" s="207">
        <f>+AF345</f>
        <v>6.9</v>
      </c>
      <c r="AH345" s="207">
        <f t="shared" si="129"/>
        <v>6.9</v>
      </c>
      <c r="AI345" s="207">
        <f t="shared" si="129"/>
        <v>6.9</v>
      </c>
      <c r="AJ345" s="207"/>
      <c r="AK345" s="207">
        <f t="shared" si="129"/>
        <v>0</v>
      </c>
      <c r="AL345" s="207">
        <f t="shared" ref="AL345" si="130">+AK345</f>
        <v>0</v>
      </c>
      <c r="AM345" s="207">
        <f t="shared" ref="AM345" si="131">+AL345</f>
        <v>0</v>
      </c>
      <c r="AN345" s="207">
        <f t="shared" ref="AN345" si="132">+AM345</f>
        <v>0</v>
      </c>
      <c r="AO345" s="207">
        <f t="shared" ref="AO345" si="133">+AN345</f>
        <v>0</v>
      </c>
      <c r="AP345" s="207"/>
      <c r="AQ345" s="207"/>
      <c r="AR345" s="207"/>
      <c r="AS345" s="207"/>
      <c r="AT345" s="2626"/>
      <c r="AU345" s="1056"/>
    </row>
    <row r="346" spans="4:47" hidden="1">
      <c r="D346" s="156" t="s">
        <v>765</v>
      </c>
      <c r="E346" s="182"/>
      <c r="F346" s="156"/>
      <c r="G346" s="156"/>
      <c r="H346" s="156"/>
      <c r="I346" s="156"/>
      <c r="J346" s="156"/>
      <c r="K346" s="156"/>
      <c r="L346" s="156"/>
      <c r="M346" s="156"/>
      <c r="N346" s="156"/>
      <c r="O346" s="156"/>
      <c r="P346" s="156"/>
      <c r="Q346" s="156"/>
      <c r="R346" s="156"/>
      <c r="S346" s="156"/>
      <c r="T346" s="156"/>
      <c r="U346" s="156"/>
      <c r="V346" s="193"/>
      <c r="W346" s="154"/>
      <c r="X346" s="154"/>
      <c r="Y346" s="154"/>
      <c r="Z346" s="154"/>
      <c r="AA346" s="207">
        <f>+(AA$332+AA$334+AA$336)*(AA343-Z343)/1000</f>
        <v>26.121883247518529</v>
      </c>
      <c r="AB346" s="207"/>
      <c r="AC346" s="207"/>
      <c r="AD346" s="207"/>
      <c r="AE346" s="207"/>
      <c r="AF346" s="207"/>
      <c r="AG346" s="207"/>
      <c r="AH346" s="154"/>
      <c r="AI346" s="154"/>
      <c r="AJ346" s="154"/>
      <c r="AK346" s="154"/>
      <c r="AL346" s="154"/>
      <c r="AM346" s="154"/>
      <c r="AN346" s="154"/>
      <c r="AO346" s="154"/>
      <c r="AP346" s="154"/>
      <c r="AQ346" s="154"/>
      <c r="AR346" s="154"/>
      <c r="AS346" s="154"/>
      <c r="AT346" s="2604"/>
      <c r="AU346" s="1056"/>
    </row>
    <row r="347" spans="4:47" hidden="1">
      <c r="D347" s="594" t="s">
        <v>1087</v>
      </c>
      <c r="E347" s="213"/>
      <c r="F347" s="156"/>
      <c r="G347" s="156"/>
      <c r="H347" s="156"/>
      <c r="I347" s="156"/>
      <c r="J347" s="156"/>
      <c r="K347" s="156"/>
      <c r="L347" s="156"/>
      <c r="M347" s="156"/>
      <c r="N347" s="156"/>
      <c r="O347" s="156"/>
      <c r="P347" s="156"/>
      <c r="Q347" s="156"/>
      <c r="R347" s="156"/>
      <c r="S347" s="156"/>
      <c r="T347" s="156"/>
      <c r="U347" s="156"/>
      <c r="V347" s="193"/>
      <c r="W347" s="154"/>
      <c r="X347" s="154"/>
      <c r="Y347" s="154"/>
      <c r="Z347" s="154"/>
      <c r="AA347" s="596">
        <f t="shared" ref="AA347:AK347" si="134">+(AA340*AA332+AA340*AA334+AA340*AA336)/1000</f>
        <v>41.405020949774887</v>
      </c>
      <c r="AB347" s="596">
        <f t="shared" si="134"/>
        <v>18.569344561209466</v>
      </c>
      <c r="AC347" s="596">
        <f t="shared" si="134"/>
        <v>27.799004283690657</v>
      </c>
      <c r="AD347" s="596">
        <f t="shared" si="134"/>
        <v>29.447300871354884</v>
      </c>
      <c r="AE347" s="596">
        <f t="shared" si="134"/>
        <v>27.435332840507776</v>
      </c>
      <c r="AF347" s="596">
        <f>+(AF340*AF332+AF340*AF334+AF340*AF336)/1000</f>
        <v>25.206753806261389</v>
      </c>
      <c r="AG347" s="596">
        <f>+(AG340*AG332+AG340*AG334+AG340*AG336)/1000</f>
        <v>28.438747682010931</v>
      </c>
      <c r="AH347" s="596">
        <f t="shared" si="134"/>
        <v>30.398627767487149</v>
      </c>
      <c r="AI347" s="596">
        <f t="shared" si="134"/>
        <v>31.593719321907159</v>
      </c>
      <c r="AJ347" s="596"/>
      <c r="AK347" s="596">
        <f t="shared" si="134"/>
        <v>0</v>
      </c>
      <c r="AL347" s="596">
        <f t="shared" ref="AL347:AM347" si="135">+(AL340*AL332+AL340*AL334+AL340*AL336)/1000</f>
        <v>0</v>
      </c>
      <c r="AM347" s="596">
        <f t="shared" si="135"/>
        <v>0</v>
      </c>
      <c r="AN347" s="596">
        <f t="shared" ref="AN347:AO347" si="136">+(AN340*AN332+AN340*AN334+AN340*AN336)/1000</f>
        <v>0</v>
      </c>
      <c r="AO347" s="596">
        <f t="shared" si="136"/>
        <v>0</v>
      </c>
      <c r="AP347" s="596"/>
      <c r="AQ347" s="596"/>
      <c r="AR347" s="596"/>
      <c r="AS347" s="596"/>
      <c r="AT347" s="2627"/>
      <c r="AU347" s="1056"/>
    </row>
    <row r="348" spans="4:47" hidden="1">
      <c r="D348" s="153" t="s">
        <v>762</v>
      </c>
      <c r="E348" s="169"/>
      <c r="F348" s="153"/>
      <c r="G348" s="153"/>
      <c r="H348" s="153"/>
      <c r="I348" s="153"/>
      <c r="J348" s="153"/>
      <c r="K348" s="153"/>
      <c r="L348" s="153"/>
      <c r="M348" s="153"/>
      <c r="N348" s="153"/>
      <c r="O348" s="153"/>
      <c r="P348" s="153"/>
      <c r="Q348" s="153"/>
      <c r="R348" s="153"/>
      <c r="S348" s="153"/>
      <c r="T348" s="153"/>
      <c r="U348" s="153"/>
      <c r="V348" s="157"/>
      <c r="W348" s="157"/>
      <c r="X348" s="157"/>
      <c r="Y348" s="157"/>
      <c r="Z348" s="157"/>
      <c r="AA348" s="192">
        <f t="shared" ref="AA348:AK348" si="137">+(AA337+AA341+AA344)/AA303</f>
        <v>4.8511062180828221E-2</v>
      </c>
      <c r="AB348" s="192">
        <f t="shared" si="137"/>
        <v>2.0658375384770115E-2</v>
      </c>
      <c r="AC348" s="192">
        <f t="shared" si="137"/>
        <v>2.6831961487488568E-2</v>
      </c>
      <c r="AD348" s="192">
        <f t="shared" si="137"/>
        <v>2.6022915512006261E-2</v>
      </c>
      <c r="AE348" s="192">
        <f t="shared" si="137"/>
        <v>2.2905183830683323E-2</v>
      </c>
      <c r="AF348" s="192">
        <f>+(AF337+AF341+AF344)/AF303</f>
        <v>2.0169472484240336E-2</v>
      </c>
      <c r="AG348" s="192">
        <f>+(AG337+AG341+AG344)/AG303</f>
        <v>1.957929683577659E-2</v>
      </c>
      <c r="AH348" s="900">
        <f t="shared" si="137"/>
        <v>1.6202687049715146E-2</v>
      </c>
      <c r="AI348" s="900">
        <f t="shared" si="137"/>
        <v>1.4356529333977745E-2</v>
      </c>
      <c r="AJ348" s="900"/>
      <c r="AK348" s="900">
        <f t="shared" si="137"/>
        <v>2.83037734851094E-3</v>
      </c>
      <c r="AL348" s="900">
        <f t="shared" ref="AL348:AM348" si="138">+(AL337+AL341+AL344)/AL303</f>
        <v>3.0932792297618176E-3</v>
      </c>
      <c r="AM348" s="900">
        <f t="shared" si="138"/>
        <v>2.9051146192311892E-3</v>
      </c>
      <c r="AN348" s="900">
        <v>1.1061786655228129E-2</v>
      </c>
      <c r="AO348" s="900">
        <v>1.1061786655228129E-2</v>
      </c>
      <c r="AP348" s="900"/>
      <c r="AQ348" s="900"/>
      <c r="AR348" s="900"/>
      <c r="AS348" s="900"/>
      <c r="AT348" s="2628"/>
      <c r="AU348" s="1056"/>
    </row>
    <row r="349" spans="4:47" hidden="1">
      <c r="D349" s="153"/>
      <c r="E349" s="169"/>
      <c r="F349" s="153"/>
      <c r="G349" s="153"/>
      <c r="H349" s="153"/>
      <c r="I349" s="153"/>
      <c r="J349" s="153"/>
      <c r="K349" s="153"/>
      <c r="L349" s="153"/>
      <c r="M349" s="153"/>
      <c r="N349" s="153"/>
      <c r="O349" s="153"/>
      <c r="P349" s="153"/>
      <c r="Q349" s="153"/>
      <c r="R349" s="153"/>
      <c r="S349" s="153"/>
      <c r="T349" s="153"/>
      <c r="U349" s="153"/>
      <c r="V349" s="157"/>
      <c r="W349" s="157"/>
      <c r="X349" s="157"/>
      <c r="Y349" s="157"/>
      <c r="Z349" s="157"/>
      <c r="AA349" s="157"/>
      <c r="AB349" s="597"/>
      <c r="AC349" s="597"/>
      <c r="AD349" s="194"/>
      <c r="AE349" s="194"/>
      <c r="AF349" s="194"/>
      <c r="AG349" s="194"/>
      <c r="AH349" s="157"/>
      <c r="AI349" s="157"/>
      <c r="AJ349" s="157"/>
      <c r="AK349" s="157"/>
      <c r="AL349" s="157"/>
      <c r="AM349" s="157"/>
      <c r="AN349" s="157"/>
      <c r="AO349" s="157"/>
      <c r="AP349" s="157"/>
      <c r="AQ349" s="157"/>
      <c r="AR349" s="157"/>
      <c r="AS349" s="157"/>
      <c r="AT349" s="2605"/>
      <c r="AU349" s="1056"/>
    </row>
    <row r="350" spans="4:47" hidden="1">
      <c r="D350" s="168" t="str">
        <f>+D295</f>
        <v>effective import tax rate (incl. tariff, VAT) on non fuel goods imports cif</v>
      </c>
      <c r="E350" s="176" t="s">
        <v>281</v>
      </c>
      <c r="F350" s="153"/>
      <c r="G350" s="153"/>
      <c r="H350" s="153"/>
      <c r="I350" s="153"/>
      <c r="J350" s="153"/>
      <c r="K350" s="153"/>
      <c r="L350" s="153"/>
      <c r="M350" s="153"/>
      <c r="N350" s="153"/>
      <c r="O350" s="153"/>
      <c r="P350" s="153"/>
      <c r="Q350" s="153"/>
      <c r="R350" s="153"/>
      <c r="S350" s="153"/>
      <c r="T350" s="153"/>
      <c r="U350" s="153"/>
      <c r="V350" s="157">
        <f>+V295</f>
        <v>9.9145082538590973E-2</v>
      </c>
      <c r="W350" s="157">
        <f>+W295</f>
        <v>8.5040272137804421E-2</v>
      </c>
      <c r="X350" s="157">
        <f>+X295</f>
        <v>0.10437120244062663</v>
      </c>
      <c r="Y350" s="157">
        <f>+Y295</f>
        <v>0.11775172361485951</v>
      </c>
      <c r="Z350" s="158">
        <f>+(Z754+Z758)/Z354</f>
        <v>4.829175863618871E-2</v>
      </c>
      <c r="AA350" s="158">
        <f>+(AA754+AA758)/AA354</f>
        <v>7.359727411340336E-2</v>
      </c>
      <c r="AB350" s="158">
        <f>+(AB754+AB758)/AB354</f>
        <v>0.14143737771629417</v>
      </c>
      <c r="AC350" s="194">
        <f t="shared" ref="AC350:AK350" si="139">+AB350*AC351</f>
        <v>0.15246949317816513</v>
      </c>
      <c r="AD350" s="194">
        <f t="shared" si="139"/>
        <v>0.1198410216380378</v>
      </c>
      <c r="AE350" s="194">
        <f t="shared" si="139"/>
        <v>0.1202005447029519</v>
      </c>
      <c r="AF350" s="194">
        <f>+AE350*AF351</f>
        <v>0.24076169104001266</v>
      </c>
      <c r="AG350" s="194">
        <f>+AF350*AG351</f>
        <v>0.72300735819315809</v>
      </c>
      <c r="AH350" s="194">
        <f t="shared" si="139"/>
        <v>0.82422838834020018</v>
      </c>
      <c r="AI350" s="194">
        <f t="shared" si="139"/>
        <v>0.83659181416530315</v>
      </c>
      <c r="AJ350" s="194"/>
      <c r="AK350" s="194">
        <f t="shared" si="139"/>
        <v>0</v>
      </c>
      <c r="AL350" s="194">
        <f t="shared" ref="AL350" si="140">+AK350*AL351</f>
        <v>0</v>
      </c>
      <c r="AM350" s="194">
        <f t="shared" ref="AM350" si="141">+AL350*AM351</f>
        <v>0</v>
      </c>
      <c r="AN350" s="194">
        <f t="shared" ref="AN350" si="142">+AM350*AN351</f>
        <v>0</v>
      </c>
      <c r="AO350" s="194">
        <f t="shared" ref="AO350" si="143">+AN350*AO351</f>
        <v>0</v>
      </c>
      <c r="AP350" s="194"/>
      <c r="AQ350" s="194"/>
      <c r="AR350" s="194"/>
      <c r="AS350" s="194"/>
      <c r="AT350" s="2629"/>
      <c r="AU350" s="1056"/>
    </row>
    <row r="351" spans="4:47" hidden="1">
      <c r="D351" s="156" t="s">
        <v>283</v>
      </c>
      <c r="E351" s="176"/>
      <c r="F351" s="153"/>
      <c r="G351" s="153"/>
      <c r="H351" s="153"/>
      <c r="I351" s="153"/>
      <c r="J351" s="153"/>
      <c r="K351" s="153"/>
      <c r="L351" s="153"/>
      <c r="M351" s="153"/>
      <c r="N351" s="153"/>
      <c r="O351" s="153"/>
      <c r="P351" s="153"/>
      <c r="Q351" s="153"/>
      <c r="R351" s="153"/>
      <c r="S351" s="153"/>
      <c r="T351" s="153"/>
      <c r="U351" s="153"/>
      <c r="V351" s="157"/>
      <c r="W351" s="157"/>
      <c r="X351" s="157"/>
      <c r="Y351" s="157"/>
      <c r="Z351" s="158"/>
      <c r="AA351" s="170">
        <f>+AA350/Z350</f>
        <v>1.5240131275370719</v>
      </c>
      <c r="AB351" s="170">
        <f>+AB350/AA350</f>
        <v>1.9217746773930575</v>
      </c>
      <c r="AC351" s="961">
        <v>1.0780000000000001</v>
      </c>
      <c r="AD351" s="1039">
        <v>0.78600000000000003</v>
      </c>
      <c r="AE351" s="961">
        <v>1.0029999999999999</v>
      </c>
      <c r="AF351" s="961">
        <v>2.0030000000000001</v>
      </c>
      <c r="AG351" s="961">
        <v>3.0030000000000001</v>
      </c>
      <c r="AH351" s="966">
        <v>1.1399999999999999</v>
      </c>
      <c r="AI351" s="966">
        <v>1.0149999999999999</v>
      </c>
      <c r="AJ351" s="966"/>
      <c r="AK351" s="966">
        <f>AJ351</f>
        <v>0</v>
      </c>
      <c r="AL351" s="966">
        <f t="shared" ref="AL351:AM351" si="144">AK351</f>
        <v>0</v>
      </c>
      <c r="AM351" s="966">
        <f t="shared" si="144"/>
        <v>0</v>
      </c>
      <c r="AN351" s="966">
        <f t="shared" ref="AN351" si="145">AM351</f>
        <v>0</v>
      </c>
      <c r="AO351" s="966">
        <f t="shared" ref="AO351" si="146">AN351</f>
        <v>0</v>
      </c>
      <c r="AP351" s="966"/>
      <c r="AQ351" s="966"/>
      <c r="AR351" s="966"/>
      <c r="AS351" s="966"/>
      <c r="AT351" s="2630"/>
      <c r="AU351" s="1056"/>
    </row>
    <row r="352" spans="4:47" hidden="1">
      <c r="D352" s="153" t="s">
        <v>753</v>
      </c>
      <c r="E352" s="169" t="s">
        <v>204</v>
      </c>
      <c r="F352" s="153"/>
      <c r="G352" s="153"/>
      <c r="H352" s="153"/>
      <c r="I352" s="153"/>
      <c r="J352" s="153"/>
      <c r="K352" s="153"/>
      <c r="L352" s="153"/>
      <c r="M352" s="153"/>
      <c r="N352" s="153"/>
      <c r="O352" s="153"/>
      <c r="P352" s="153"/>
      <c r="Q352" s="153"/>
      <c r="R352" s="153"/>
      <c r="S352" s="153"/>
      <c r="T352" s="153"/>
      <c r="U352" s="153"/>
      <c r="V352" s="157">
        <f t="shared" ref="V352:AI352" si="147">+(V758+V754)/V$303</f>
        <v>2.3681887635938523E-2</v>
      </c>
      <c r="W352" s="157">
        <f t="shared" si="147"/>
        <v>2.6235168824399729E-2</v>
      </c>
      <c r="X352" s="157">
        <f t="shared" si="147"/>
        <v>2.6961107699814274E-2</v>
      </c>
      <c r="Y352" s="157">
        <f t="shared" si="147"/>
        <v>2.7647586727114801E-2</v>
      </c>
      <c r="Z352" s="157">
        <f t="shared" si="147"/>
        <v>2.8284091676139315E-2</v>
      </c>
      <c r="AA352" s="192">
        <f t="shared" si="147"/>
        <v>2.9951753350478547E-2</v>
      </c>
      <c r="AB352" s="192">
        <f t="shared" si="147"/>
        <v>2.9746460146580077E-2</v>
      </c>
      <c r="AC352" s="192">
        <f t="shared" si="147"/>
        <v>3.0145858010112436E-2</v>
      </c>
      <c r="AD352" s="192">
        <f t="shared" si="147"/>
        <v>2.9892593679078466E-2</v>
      </c>
      <c r="AE352" s="192">
        <f t="shared" si="147"/>
        <v>2.5835759375040391E-2</v>
      </c>
      <c r="AF352" s="192">
        <f t="shared" si="147"/>
        <v>2.374478790397257E-2</v>
      </c>
      <c r="AG352" s="192">
        <f t="shared" si="147"/>
        <v>0.15766874838679162</v>
      </c>
      <c r="AH352" s="900">
        <f t="shared" si="147"/>
        <v>0.16994782463462441</v>
      </c>
      <c r="AI352" s="900">
        <f t="shared" si="147"/>
        <v>0.18537532189568126</v>
      </c>
      <c r="AJ352" s="157"/>
      <c r="AK352" s="157">
        <f>+(AK758+AK754)/AK$303</f>
        <v>0</v>
      </c>
      <c r="AL352" s="157">
        <f>+(AL758+AL754)/AL$303</f>
        <v>0</v>
      </c>
      <c r="AM352" s="157">
        <f>+(AM758+AM754)/AM$303</f>
        <v>0</v>
      </c>
      <c r="AN352" s="157">
        <v>0.15258534838170604</v>
      </c>
      <c r="AO352" s="157">
        <v>0.15258534838170604</v>
      </c>
      <c r="AP352" s="157"/>
      <c r="AQ352" s="157"/>
      <c r="AR352" s="157"/>
      <c r="AS352" s="157"/>
      <c r="AT352" s="2605"/>
      <c r="AU352" s="1056"/>
    </row>
    <row r="353" spans="4:47" hidden="1">
      <c r="D353" s="153" t="s">
        <v>235</v>
      </c>
      <c r="E353" s="182" t="s">
        <v>262</v>
      </c>
      <c r="F353" s="153"/>
      <c r="G353" s="153"/>
      <c r="H353" s="153"/>
      <c r="I353" s="153"/>
      <c r="J353" s="153"/>
      <c r="K353" s="153"/>
      <c r="L353" s="153"/>
      <c r="M353" s="153"/>
      <c r="N353" s="153"/>
      <c r="O353" s="153"/>
      <c r="P353" s="153"/>
      <c r="Q353" s="153"/>
      <c r="R353" s="153"/>
      <c r="S353" s="153"/>
      <c r="T353" s="153"/>
      <c r="U353" s="153"/>
      <c r="V353" s="193">
        <f t="shared" ref="V353:AA353" si="148">+V754/(V754+V758)</f>
        <v>0.58111757837415745</v>
      </c>
      <c r="W353" s="193">
        <f t="shared" si="148"/>
        <v>0.59991769380967241</v>
      </c>
      <c r="X353" s="193">
        <f t="shared" si="148"/>
        <v>0.58039920613104778</v>
      </c>
      <c r="Y353" s="193">
        <f t="shared" si="148"/>
        <v>0.61846598668639663</v>
      </c>
      <c r="Z353" s="193">
        <f t="shared" si="148"/>
        <v>0.61123704856811145</v>
      </c>
      <c r="AA353" s="193">
        <f t="shared" si="148"/>
        <v>0.56531527673074311</v>
      </c>
      <c r="AB353" s="195">
        <f t="shared" ref="AB353:AK353" si="149">+AA353</f>
        <v>0.56531527673074311</v>
      </c>
      <c r="AC353" s="196">
        <f t="shared" si="149"/>
        <v>0.56531527673074311</v>
      </c>
      <c r="AD353" s="196">
        <f t="shared" si="149"/>
        <v>0.56531527673074311</v>
      </c>
      <c r="AE353" s="196">
        <f t="shared" si="149"/>
        <v>0.56531527673074311</v>
      </c>
      <c r="AF353" s="196">
        <f>+AE353</f>
        <v>0.56531527673074311</v>
      </c>
      <c r="AG353" s="196">
        <f>+AF353</f>
        <v>0.56531527673074311</v>
      </c>
      <c r="AH353" s="196">
        <f t="shared" si="149"/>
        <v>0.56531527673074311</v>
      </c>
      <c r="AI353" s="196">
        <f t="shared" si="149"/>
        <v>0.56531527673074311</v>
      </c>
      <c r="AJ353" s="196"/>
      <c r="AK353" s="196">
        <f t="shared" si="149"/>
        <v>0</v>
      </c>
      <c r="AL353" s="196">
        <f t="shared" ref="AL353" si="150">+AK353</f>
        <v>0</v>
      </c>
      <c r="AM353" s="196">
        <f t="shared" ref="AM353" si="151">+AL353</f>
        <v>0</v>
      </c>
      <c r="AN353" s="196">
        <f t="shared" ref="AN353" si="152">+AM353</f>
        <v>0</v>
      </c>
      <c r="AO353" s="196">
        <f t="shared" ref="AO353" si="153">+AN353</f>
        <v>0</v>
      </c>
      <c r="AP353" s="196"/>
      <c r="AQ353" s="196"/>
      <c r="AR353" s="196"/>
      <c r="AS353" s="196"/>
      <c r="AT353" s="2631"/>
      <c r="AU353" s="1056"/>
    </row>
    <row r="354" spans="4:47" hidden="1">
      <c r="D354" s="153" t="s">
        <v>230</v>
      </c>
      <c r="E354" s="169"/>
      <c r="F354" s="153"/>
      <c r="G354" s="153"/>
      <c r="H354" s="153"/>
      <c r="I354" s="153"/>
      <c r="J354" s="154">
        <f t="shared" ref="J354:V354" si="154">+(I244-I247+J244-J247)*J259/1000/2</f>
        <v>0</v>
      </c>
      <c r="K354" s="154">
        <f t="shared" si="154"/>
        <v>0</v>
      </c>
      <c r="L354" s="154">
        <f t="shared" si="154"/>
        <v>0</v>
      </c>
      <c r="M354" s="154">
        <f t="shared" si="154"/>
        <v>0</v>
      </c>
      <c r="N354" s="154">
        <f t="shared" si="154"/>
        <v>0</v>
      </c>
      <c r="O354" s="154">
        <f t="shared" si="154"/>
        <v>0</v>
      </c>
      <c r="P354" s="154">
        <f t="shared" si="154"/>
        <v>0</v>
      </c>
      <c r="Q354" s="154">
        <f t="shared" si="154"/>
        <v>0</v>
      </c>
      <c r="R354" s="154">
        <f t="shared" si="154"/>
        <v>0</v>
      </c>
      <c r="S354" s="154">
        <f t="shared" si="154"/>
        <v>0</v>
      </c>
      <c r="T354" s="154">
        <f t="shared" si="154"/>
        <v>0</v>
      </c>
      <c r="U354" s="154">
        <f t="shared" si="154"/>
        <v>0</v>
      </c>
      <c r="V354" s="154">
        <f t="shared" si="154"/>
        <v>2603.3718171344167</v>
      </c>
      <c r="W354" s="154">
        <f t="shared" ref="W354:AK354" si="155">+(V244-V247+W244-W247)*W259/1000/2</f>
        <v>2737.7318779427801</v>
      </c>
      <c r="X354" s="154">
        <f t="shared" si="155"/>
        <v>2928.5609020260322</v>
      </c>
      <c r="Y354" s="154">
        <f t="shared" si="155"/>
        <v>3180.083354412162</v>
      </c>
      <c r="Z354" s="154">
        <f t="shared" si="155"/>
        <v>3380.0279317365998</v>
      </c>
      <c r="AA354" s="154">
        <f t="shared" si="155"/>
        <v>2622.0963909584307</v>
      </c>
      <c r="AB354" s="154">
        <f t="shared" si="155"/>
        <v>1522.0526253860223</v>
      </c>
      <c r="AC354" s="154">
        <f t="shared" si="155"/>
        <v>1535.4524631252966</v>
      </c>
      <c r="AD354" s="154">
        <f t="shared" si="155"/>
        <v>1779.8472384321335</v>
      </c>
      <c r="AE354" s="154">
        <f t="shared" si="155"/>
        <v>1995.8459616879588</v>
      </c>
      <c r="AF354" s="154">
        <f>+(AE244-AE247+AF244-AF247)*AF259/1000/2</f>
        <v>2274.9301403953646</v>
      </c>
      <c r="AG354" s="154">
        <f>+(AF244-AF247+AG244-AG247)*AG259/1000/2</f>
        <v>2695.1704422235816</v>
      </c>
      <c r="AH354" s="154">
        <f t="shared" si="155"/>
        <v>3257.8053209673722</v>
      </c>
      <c r="AI354" s="154">
        <f t="shared" si="155"/>
        <v>4109.8283830216642</v>
      </c>
      <c r="AJ354" s="154"/>
      <c r="AK354" s="154">
        <f t="shared" si="155"/>
        <v>5545.8590808536555</v>
      </c>
      <c r="AL354" s="154">
        <f t="shared" ref="AL354" si="156">+(AK244-AK247+AL244-AL247)*AL259/1000/2</f>
        <v>6013.5689848160891</v>
      </c>
      <c r="AM354" s="154">
        <f t="shared" ref="AM354" si="157">+(AL244-AL247+AM244-AM247)*AM259/1000/2</f>
        <v>6541.4990169586772</v>
      </c>
      <c r="AN354" s="154">
        <f>+(AM244-AM247+AN244-AN247)*AW260/1000/2</f>
        <v>0</v>
      </c>
      <c r="AO354" s="154">
        <f>+(AN244-AN247+AO244-AO247)*AX260/1000/2</f>
        <v>0</v>
      </c>
      <c r="AP354" s="154"/>
      <c r="AQ354" s="154"/>
      <c r="AR354" s="154"/>
      <c r="AS354" s="154"/>
      <c r="AT354" s="2604"/>
      <c r="AU354" s="1056"/>
    </row>
    <row r="355" spans="4:47" hidden="1">
      <c r="D355" s="156" t="s">
        <v>772</v>
      </c>
      <c r="E355" s="182" t="s">
        <v>317</v>
      </c>
      <c r="F355" s="156"/>
      <c r="G355" s="156"/>
      <c r="H355" s="156"/>
      <c r="I355" s="156"/>
      <c r="J355" s="156"/>
      <c r="K355" s="156"/>
      <c r="L355" s="156"/>
      <c r="M355" s="156"/>
      <c r="N355" s="156"/>
      <c r="O355" s="156"/>
      <c r="P355" s="156"/>
      <c r="Q355" s="156"/>
      <c r="R355" s="156"/>
      <c r="S355" s="156"/>
      <c r="T355" s="156"/>
      <c r="U355" s="156"/>
      <c r="V355" s="193"/>
      <c r="W355" s="154"/>
      <c r="X355" s="154"/>
      <c r="Y355" s="154"/>
      <c r="Z355" s="154"/>
      <c r="AA355" s="207">
        <v>9.1</v>
      </c>
      <c r="AB355" s="570">
        <v>10.7</v>
      </c>
      <c r="AC355" s="207">
        <v>11.3</v>
      </c>
      <c r="AD355" s="570">
        <f>10.7</f>
        <v>10.7</v>
      </c>
      <c r="AE355" s="207">
        <f t="shared" ref="AE355:AK355" si="158">+AD355</f>
        <v>10.7</v>
      </c>
      <c r="AF355" s="207">
        <f>+AE355</f>
        <v>10.7</v>
      </c>
      <c r="AG355" s="207">
        <f>+AF355</f>
        <v>10.7</v>
      </c>
      <c r="AH355" s="209">
        <f t="shared" si="158"/>
        <v>10.7</v>
      </c>
      <c r="AI355" s="209">
        <f t="shared" si="158"/>
        <v>10.7</v>
      </c>
      <c r="AJ355" s="209"/>
      <c r="AK355" s="209">
        <f t="shared" si="158"/>
        <v>0</v>
      </c>
      <c r="AL355" s="209">
        <f t="shared" ref="AL355" si="159">+AK355</f>
        <v>0</v>
      </c>
      <c r="AM355" s="209">
        <f t="shared" ref="AM355" si="160">+AL355</f>
        <v>0</v>
      </c>
      <c r="AN355" s="209">
        <f t="shared" ref="AN355" si="161">+AM355</f>
        <v>0</v>
      </c>
      <c r="AO355" s="209">
        <f t="shared" ref="AO355" si="162">+AN355</f>
        <v>0</v>
      </c>
      <c r="AP355" s="209"/>
      <c r="AQ355" s="209"/>
      <c r="AR355" s="209"/>
      <c r="AS355" s="209"/>
      <c r="AT355" s="2632"/>
      <c r="AU355" s="1056"/>
    </row>
    <row r="356" spans="4:47" hidden="1">
      <c r="D356" s="156" t="s">
        <v>267</v>
      </c>
      <c r="E356" s="245" t="s">
        <v>316</v>
      </c>
      <c r="F356" s="156"/>
      <c r="G356" s="156"/>
      <c r="H356" s="156"/>
      <c r="I356" s="156"/>
      <c r="J356" s="156"/>
      <c r="K356" s="156"/>
      <c r="L356" s="156"/>
      <c r="M356" s="156"/>
      <c r="N356" s="156"/>
      <c r="O356" s="156"/>
      <c r="P356" s="156"/>
      <c r="Q356" s="156"/>
      <c r="R356" s="156"/>
      <c r="S356" s="156"/>
      <c r="T356" s="156"/>
      <c r="U356" s="156"/>
      <c r="V356" s="193"/>
      <c r="W356" s="154"/>
      <c r="X356" s="154"/>
      <c r="Y356" s="154"/>
      <c r="Z356" s="154"/>
      <c r="AA356" s="154">
        <v>5</v>
      </c>
      <c r="AB356" s="197">
        <v>5.7</v>
      </c>
      <c r="AC356" s="154">
        <v>6.5</v>
      </c>
      <c r="AD356" s="154"/>
      <c r="AE356" s="154"/>
      <c r="AF356" s="154"/>
      <c r="AG356" s="154"/>
      <c r="AH356" s="154"/>
      <c r="AI356" s="154"/>
      <c r="AJ356" s="154"/>
      <c r="AK356" s="154"/>
      <c r="AL356" s="154"/>
      <c r="AM356" s="154"/>
      <c r="AN356" s="154"/>
      <c r="AO356" s="154"/>
      <c r="AP356" s="154"/>
      <c r="AQ356" s="154"/>
      <c r="AR356" s="154"/>
      <c r="AS356" s="154"/>
      <c r="AT356" s="2604"/>
      <c r="AU356" s="1056"/>
    </row>
    <row r="357" spans="4:47" hidden="1">
      <c r="D357" s="168" t="s">
        <v>205</v>
      </c>
      <c r="E357" s="169" t="s">
        <v>204</v>
      </c>
      <c r="F357" s="153"/>
      <c r="G357" s="153"/>
      <c r="H357" s="153"/>
      <c r="I357" s="153"/>
      <c r="J357" s="153"/>
      <c r="K357" s="153"/>
      <c r="L357" s="153"/>
      <c r="M357" s="153"/>
      <c r="N357" s="153"/>
      <c r="O357" s="153"/>
      <c r="P357" s="153"/>
      <c r="Q357" s="153"/>
      <c r="R357" s="153"/>
      <c r="S357" s="153"/>
      <c r="T357" s="153"/>
      <c r="U357" s="153"/>
      <c r="V357" s="157">
        <f t="shared" ref="V357:AD357" si="163">+(V763-V764)/V303</f>
        <v>5.417767697622488E-3</v>
      </c>
      <c r="W357" s="157">
        <f t="shared" si="163"/>
        <v>7.9350560256117083E-3</v>
      </c>
      <c r="X357" s="157">
        <f t="shared" si="163"/>
        <v>4.6636401155592247E-3</v>
      </c>
      <c r="Y357" s="157">
        <f t="shared" si="163"/>
        <v>3.6913126712613282E-3</v>
      </c>
      <c r="Z357" s="157">
        <f t="shared" si="163"/>
        <v>7.3124241899150911E-3</v>
      </c>
      <c r="AA357" s="157">
        <f t="shared" si="163"/>
        <v>6.9408289166368051E-3</v>
      </c>
      <c r="AB357" s="157">
        <f t="shared" si="163"/>
        <v>7.3148265736522359E-3</v>
      </c>
      <c r="AC357" s="157">
        <f t="shared" si="163"/>
        <v>7.3374306517781668E-3</v>
      </c>
      <c r="AD357" s="157">
        <f t="shared" si="163"/>
        <v>1.1428102642884791E-2</v>
      </c>
      <c r="AE357" s="157">
        <f t="shared" ref="AE357:AK357" si="164">+AD357*AE358</f>
        <v>8.4567959557347461E-3</v>
      </c>
      <c r="AF357" s="157">
        <f>+AE357*AF358</f>
        <v>1.4714824962978459E-2</v>
      </c>
      <c r="AG357" s="157">
        <f>+AF357*AG358</f>
        <v>4.0318620398560982E-2</v>
      </c>
      <c r="AH357" s="157">
        <f t="shared" si="164"/>
        <v>5.241420651812928E-2</v>
      </c>
      <c r="AI357" s="157">
        <f t="shared" si="164"/>
        <v>7.3379889125380987E-2</v>
      </c>
      <c r="AJ357" s="157"/>
      <c r="AK357" s="157">
        <f t="shared" si="164"/>
        <v>0</v>
      </c>
      <c r="AL357" s="157">
        <f t="shared" ref="AL357" si="165">+AK357*AL358</f>
        <v>0</v>
      </c>
      <c r="AM357" s="157">
        <f t="shared" ref="AM357" si="166">+AL357*AM358</f>
        <v>0</v>
      </c>
      <c r="AN357" s="157">
        <f t="shared" ref="AN357" si="167">+AM357*AN358</f>
        <v>0</v>
      </c>
      <c r="AO357" s="157">
        <f t="shared" ref="AO357" si="168">+AN357*AO358</f>
        <v>0</v>
      </c>
      <c r="AP357" s="157"/>
      <c r="AQ357" s="157"/>
      <c r="AR357" s="157"/>
      <c r="AS357" s="157"/>
      <c r="AT357" s="2605"/>
      <c r="AU357" s="1056"/>
    </row>
    <row r="358" spans="4:47" hidden="1">
      <c r="D358" s="156" t="s">
        <v>254</v>
      </c>
      <c r="E358" s="169"/>
      <c r="F358" s="153"/>
      <c r="G358" s="153"/>
      <c r="H358" s="153"/>
      <c r="I358" s="153"/>
      <c r="J358" s="153"/>
      <c r="K358" s="153"/>
      <c r="L358" s="153"/>
      <c r="M358" s="153"/>
      <c r="N358" s="153"/>
      <c r="O358" s="153"/>
      <c r="P358" s="153"/>
      <c r="Q358" s="153"/>
      <c r="R358" s="153"/>
      <c r="S358" s="153"/>
      <c r="T358" s="153"/>
      <c r="U358" s="153"/>
      <c r="V358" s="157"/>
      <c r="W358" s="157"/>
      <c r="X358" s="157"/>
      <c r="Y358" s="157"/>
      <c r="Z358" s="227">
        <f>+Z357/Y357</f>
        <v>1.9809820627891765</v>
      </c>
      <c r="AA358" s="227">
        <f>+AA357/Z357</f>
        <v>0.949183025542915</v>
      </c>
      <c r="AB358" s="170">
        <f>+AB357/AA357</f>
        <v>1.0538837164130321</v>
      </c>
      <c r="AC358" s="170">
        <f>+AC357/AB357</f>
        <v>1.0030901728015467</v>
      </c>
      <c r="AD358" s="170">
        <f>+AD357/AC357</f>
        <v>1.5575074144128753</v>
      </c>
      <c r="AE358" s="592">
        <v>0.74</v>
      </c>
      <c r="AF358" s="592">
        <v>1.74</v>
      </c>
      <c r="AG358" s="592">
        <v>2.74</v>
      </c>
      <c r="AH358" s="1007">
        <v>1.3</v>
      </c>
      <c r="AI358" s="1007">
        <v>1.4</v>
      </c>
      <c r="AJ358" s="1007"/>
      <c r="AK358" s="1007">
        <v>1</v>
      </c>
      <c r="AL358" s="1007">
        <v>2</v>
      </c>
      <c r="AM358" s="1007">
        <v>3</v>
      </c>
      <c r="AN358" s="1007">
        <v>4</v>
      </c>
      <c r="AO358" s="1007">
        <v>5</v>
      </c>
      <c r="AP358" s="1007"/>
      <c r="AQ358" s="1007"/>
      <c r="AR358" s="1007"/>
      <c r="AS358" s="1007"/>
      <c r="AT358" s="2633"/>
      <c r="AU358" s="1056"/>
    </row>
    <row r="359" spans="4:47" hidden="1">
      <c r="D359" s="156" t="s">
        <v>697</v>
      </c>
      <c r="E359" s="169" t="s">
        <v>698</v>
      </c>
      <c r="F359" s="153"/>
      <c r="G359" s="153"/>
      <c r="H359" s="153"/>
      <c r="I359" s="153"/>
      <c r="J359" s="153"/>
      <c r="K359" s="153"/>
      <c r="L359" s="153"/>
      <c r="M359" s="153"/>
      <c r="N359" s="153"/>
      <c r="O359" s="153"/>
      <c r="P359" s="153"/>
      <c r="Q359" s="153"/>
      <c r="R359" s="153"/>
      <c r="S359" s="153"/>
      <c r="T359" s="153"/>
      <c r="U359" s="153"/>
      <c r="V359" s="157"/>
      <c r="W359" s="157"/>
      <c r="X359" s="157"/>
      <c r="Y359" s="157"/>
      <c r="Z359" s="227"/>
      <c r="AA359" s="227">
        <v>29.4</v>
      </c>
      <c r="AB359" s="227">
        <v>34.200000000000003</v>
      </c>
      <c r="AC359" s="1052">
        <v>45.9</v>
      </c>
      <c r="AD359" s="1052">
        <v>50.6</v>
      </c>
      <c r="AE359" s="198">
        <f t="shared" ref="AE359:AK359" si="169">+AD359*(1+AE304)</f>
        <v>55.53096539162113</v>
      </c>
      <c r="AF359" s="198">
        <f t="shared" si="169"/>
        <v>60.479212204007283</v>
      </c>
      <c r="AG359" s="198">
        <f t="shared" si="169"/>
        <v>71.193693078324216</v>
      </c>
      <c r="AH359" s="198">
        <f t="shared" si="169"/>
        <v>91.015482695810562</v>
      </c>
      <c r="AI359" s="198">
        <f t="shared" si="169"/>
        <v>106.84238387978141</v>
      </c>
      <c r="AJ359" s="198"/>
      <c r="AK359" s="2815" t="e">
        <f t="shared" si="169"/>
        <v>#DIV/0!</v>
      </c>
      <c r="AL359" s="198" t="e">
        <f t="shared" ref="AL359" si="170">+AK359*(1+AL304)</f>
        <v>#DIV/0!</v>
      </c>
      <c r="AM359" s="198" t="e">
        <f t="shared" ref="AM359" si="171">+AL359*(1+AM304)</f>
        <v>#DIV/0!</v>
      </c>
      <c r="AN359" s="198" t="e">
        <f t="shared" ref="AN359" si="172">+AM359*(1+AN304)</f>
        <v>#DIV/0!</v>
      </c>
      <c r="AO359" s="198" t="e">
        <f t="shared" ref="AO359" si="173">+AN359*(1+AO304)</f>
        <v>#DIV/0!</v>
      </c>
      <c r="AP359" s="198"/>
      <c r="AQ359" s="198"/>
      <c r="AR359" s="198"/>
      <c r="AS359" s="198"/>
      <c r="AT359" s="2634"/>
      <c r="AU359" s="1056"/>
    </row>
    <row r="360" spans="4:47" hidden="1">
      <c r="D360" s="169" t="s">
        <v>206</v>
      </c>
      <c r="E360" s="153"/>
      <c r="F360" s="153"/>
      <c r="G360" s="153"/>
      <c r="H360" s="153"/>
      <c r="I360" s="153"/>
      <c r="J360" s="153"/>
      <c r="K360" s="153"/>
      <c r="L360" s="153"/>
      <c r="M360" s="153"/>
      <c r="N360" s="153"/>
      <c r="O360" s="153"/>
      <c r="P360" s="153"/>
      <c r="Q360" s="153"/>
      <c r="R360" s="153"/>
      <c r="S360" s="153"/>
      <c r="T360" s="153"/>
      <c r="U360" s="153"/>
      <c r="V360" s="157" t="str">
        <f>+IF(ABS(V317+V326+V339+V352+V357+V764/V303-V994)&gt;0.002,"check","")</f>
        <v/>
      </c>
      <c r="W360" s="600">
        <f t="shared" ref="W360:AI360" si="174">+IF(ABS(W317+W326+W339+W352+W357+W764/W303-W994)&gt;0.002,"check",W994)</f>
        <v>0.13530756917447978</v>
      </c>
      <c r="X360" s="600">
        <f t="shared" si="174"/>
        <v>0.15196482946810094</v>
      </c>
      <c r="Y360" s="600">
        <f t="shared" si="174"/>
        <v>0.16277783799843121</v>
      </c>
      <c r="Z360" s="600">
        <f t="shared" si="174"/>
        <v>0.17375789325212265</v>
      </c>
      <c r="AA360" s="600">
        <f t="shared" si="174"/>
        <v>0.1621967578056806</v>
      </c>
      <c r="AB360" s="600">
        <f t="shared" si="174"/>
        <v>0.17763988469606706</v>
      </c>
      <c r="AC360" s="600">
        <f t="shared" si="174"/>
        <v>0.18309994436511351</v>
      </c>
      <c r="AD360" s="600">
        <f t="shared" si="174"/>
        <v>0.17294800046611739</v>
      </c>
      <c r="AE360" s="600">
        <f t="shared" si="174"/>
        <v>0.17115650353912035</v>
      </c>
      <c r="AF360" s="600" t="str">
        <f t="shared" si="174"/>
        <v>check</v>
      </c>
      <c r="AG360" s="600" t="str">
        <f t="shared" si="174"/>
        <v>check</v>
      </c>
      <c r="AH360" s="912" t="str">
        <f t="shared" si="174"/>
        <v>check</v>
      </c>
      <c r="AI360" s="912" t="str">
        <f t="shared" si="174"/>
        <v>check</v>
      </c>
      <c r="AJ360" s="912"/>
      <c r="AK360" s="912">
        <f>+IF(ABS(AK317+AK326+AK339+AK352+AK357+AK764/AK303-AK994)&gt;0.002,"check",AK994)</f>
        <v>0</v>
      </c>
      <c r="AL360" s="912">
        <f>+IF(ABS(AL317+AL326+AL339+AL352+AL357+AL764/AL303-AL994)&gt;0.002,"check",AL994)</f>
        <v>0</v>
      </c>
      <c r="AM360" s="912">
        <f>+IF(ABS(AM317+AM326+AM339+AM352+AM357+AM764/AM303-AM994)&gt;0.002,"check",AM994)</f>
        <v>0</v>
      </c>
      <c r="AN360" s="912" t="str">
        <f>+IF(ABS(AN317+AN326+AN339+AN352+AN357+AN764/AN303-AN994)&gt;0.002,"check",AN994)</f>
        <v>check</v>
      </c>
      <c r="AO360" s="912" t="str">
        <f>+IF(ABS(AO317+AO326+AO339+AO352+AO357+AO764/AO303-AO994)&gt;0.002,"check",AO994)</f>
        <v>check</v>
      </c>
      <c r="AP360" s="912"/>
      <c r="AQ360" s="912"/>
      <c r="AR360" s="912"/>
      <c r="AS360" s="912"/>
      <c r="AT360" s="2606"/>
      <c r="AU360" s="1056"/>
    </row>
    <row r="361" spans="4:47" hidden="1">
      <c r="D361" s="1220" t="s">
        <v>2320</v>
      </c>
      <c r="E361" s="1"/>
      <c r="F361" s="1"/>
      <c r="G361" s="153"/>
      <c r="H361" s="153"/>
      <c r="I361" s="153"/>
      <c r="J361" s="153"/>
      <c r="K361" s="153"/>
      <c r="L361" s="153"/>
      <c r="M361" s="153"/>
      <c r="N361" s="153"/>
      <c r="O361" s="153"/>
      <c r="P361" s="153"/>
      <c r="Q361" s="153"/>
      <c r="R361" s="153"/>
      <c r="S361" s="153"/>
      <c r="T361" s="153"/>
      <c r="U361" s="153"/>
      <c r="V361" s="157"/>
      <c r="W361" s="600"/>
      <c r="X361" s="600"/>
      <c r="Y361" s="600"/>
      <c r="Z361" s="600"/>
      <c r="AA361" s="600"/>
      <c r="AB361" s="600"/>
      <c r="AC361" s="600"/>
      <c r="AD361" s="600"/>
      <c r="AE361" s="1221">
        <v>10.988728999999999</v>
      </c>
      <c r="AF361" s="1221">
        <v>11.988728999999999</v>
      </c>
      <c r="AG361" s="1221">
        <v>12.988728999999999</v>
      </c>
      <c r="AH361" s="912"/>
      <c r="AI361" s="912"/>
      <c r="AJ361" s="912"/>
      <c r="AK361" s="912"/>
      <c r="AL361" s="912"/>
      <c r="AM361" s="912"/>
      <c r="AN361" s="912"/>
      <c r="AO361" s="912"/>
      <c r="AP361" s="912"/>
      <c r="AQ361" s="912"/>
      <c r="AR361" s="912"/>
      <c r="AS361" s="912"/>
      <c r="AT361" s="2606"/>
      <c r="AU361" s="1056"/>
    </row>
    <row r="362" spans="4:47" hidden="1">
      <c r="D362" s="199" t="s">
        <v>207</v>
      </c>
      <c r="E362" s="153"/>
      <c r="F362" s="153"/>
      <c r="G362" s="153"/>
      <c r="H362" s="153"/>
      <c r="I362" s="153"/>
      <c r="J362" s="153"/>
      <c r="K362" s="153"/>
      <c r="L362" s="153"/>
      <c r="M362" s="153"/>
      <c r="N362" s="153"/>
      <c r="O362" s="153"/>
      <c r="P362" s="153"/>
      <c r="Q362" s="153"/>
      <c r="R362" s="153"/>
      <c r="S362" s="153"/>
      <c r="T362" s="153"/>
      <c r="U362" s="153"/>
      <c r="V362" s="200"/>
      <c r="W362" s="200"/>
      <c r="X362" s="200"/>
      <c r="Y362" s="200"/>
      <c r="Z362" s="200"/>
      <c r="AA362" s="200"/>
      <c r="AB362" s="200"/>
      <c r="AC362" s="200"/>
      <c r="AD362" s="200"/>
      <c r="AE362" s="200"/>
      <c r="AF362" s="200"/>
      <c r="AG362" s="200"/>
      <c r="AH362" s="200"/>
      <c r="AI362" s="200"/>
      <c r="AJ362" s="200"/>
      <c r="AK362" s="200"/>
      <c r="AL362" s="200"/>
      <c r="AM362" s="200"/>
      <c r="AN362" s="200"/>
      <c r="AO362" s="200"/>
      <c r="AP362" s="200"/>
      <c r="AQ362" s="200"/>
      <c r="AR362" s="200"/>
      <c r="AS362" s="200"/>
      <c r="AT362" s="2635"/>
      <c r="AU362" s="1056"/>
    </row>
    <row r="363" spans="4:47" hidden="1">
      <c r="D363" s="156" t="s">
        <v>310</v>
      </c>
      <c r="E363" s="176" t="s">
        <v>311</v>
      </c>
      <c r="F363" s="153"/>
      <c r="G363" s="153"/>
      <c r="H363" s="153"/>
      <c r="I363" s="153"/>
      <c r="J363" s="153"/>
      <c r="K363" s="153"/>
      <c r="L363" s="153"/>
      <c r="M363" s="153"/>
      <c r="N363" s="153"/>
      <c r="O363" s="153"/>
      <c r="P363" s="153"/>
      <c r="Q363" s="153"/>
      <c r="R363" s="153"/>
      <c r="S363" s="153"/>
      <c r="T363" s="153"/>
      <c r="U363" s="153"/>
      <c r="V363" s="154">
        <f t="shared" ref="V363:AA363" si="175">+V789+V816</f>
        <v>180.32915428176796</v>
      </c>
      <c r="W363" s="154">
        <f t="shared" si="175"/>
        <v>214</v>
      </c>
      <c r="X363" s="154">
        <f t="shared" si="175"/>
        <v>258.5</v>
      </c>
      <c r="Y363" s="154">
        <f t="shared" si="175"/>
        <v>295.60000000000002</v>
      </c>
      <c r="Z363" s="154">
        <f t="shared" si="175"/>
        <v>309.89999999999998</v>
      </c>
      <c r="AA363" s="154">
        <f t="shared" si="175"/>
        <v>354.53523719200001</v>
      </c>
      <c r="AB363" s="242"/>
      <c r="AC363" s="242"/>
      <c r="AD363" s="242"/>
      <c r="AE363" s="242"/>
      <c r="AF363" s="242"/>
      <c r="AG363" s="242"/>
      <c r="AH363" s="154"/>
      <c r="AI363" s="154"/>
      <c r="AJ363" s="154"/>
      <c r="AK363" s="154"/>
      <c r="AL363" s="154"/>
      <c r="AM363" s="154"/>
      <c r="AN363" s="154"/>
      <c r="AO363" s="154"/>
      <c r="AP363" s="154"/>
      <c r="AQ363" s="154"/>
      <c r="AR363" s="154"/>
      <c r="AS363" s="154"/>
      <c r="AT363" s="2604"/>
      <c r="AU363" s="1056"/>
    </row>
    <row r="364" spans="4:47" hidden="1">
      <c r="D364" s="168" t="s">
        <v>208</v>
      </c>
      <c r="E364" s="169" t="s">
        <v>204</v>
      </c>
      <c r="F364" s="153"/>
      <c r="G364" s="153"/>
      <c r="H364" s="153"/>
      <c r="I364" s="153"/>
      <c r="J364" s="153"/>
      <c r="K364" s="153"/>
      <c r="L364" s="153"/>
      <c r="M364" s="153"/>
      <c r="N364" s="153"/>
      <c r="O364" s="153"/>
      <c r="P364" s="153"/>
      <c r="Q364" s="153"/>
      <c r="R364" s="153"/>
      <c r="S364" s="153"/>
      <c r="T364" s="153"/>
      <c r="U364" s="153"/>
      <c r="V364" s="157">
        <f t="shared" ref="V364:AI364" si="176">+V789/V303</f>
        <v>3.2054934979640091E-2</v>
      </c>
      <c r="W364" s="157">
        <f t="shared" si="176"/>
        <v>3.3112279899382577E-2</v>
      </c>
      <c r="X364" s="157">
        <f t="shared" si="176"/>
        <v>3.4853487412298802E-2</v>
      </c>
      <c r="Y364" s="157">
        <f t="shared" si="176"/>
        <v>3.5474333358006038E-2</v>
      </c>
      <c r="Z364" s="157">
        <f t="shared" si="176"/>
        <v>3.5331831571651359E-2</v>
      </c>
      <c r="AA364" s="157">
        <f t="shared" si="176"/>
        <v>3.7612174017072793E-2</v>
      </c>
      <c r="AB364" s="157">
        <f t="shared" si="176"/>
        <v>4.3953531925797984E-2</v>
      </c>
      <c r="AC364" s="157">
        <f t="shared" si="176"/>
        <v>4.0627720749060389E-2</v>
      </c>
      <c r="AD364" s="157">
        <f t="shared" si="176"/>
        <v>4.1683887118852452E-2</v>
      </c>
      <c r="AE364" s="157">
        <f t="shared" si="176"/>
        <v>4.3913083286673787E-2</v>
      </c>
      <c r="AF364" s="157">
        <f t="shared" si="176"/>
        <v>4.6818402657008998E-2</v>
      </c>
      <c r="AG364" s="157">
        <f t="shared" si="176"/>
        <v>4.5982398727618189E-2</v>
      </c>
      <c r="AH364" s="157">
        <f t="shared" si="176"/>
        <v>3.8719836626576333E-2</v>
      </c>
      <c r="AI364" s="157">
        <f t="shared" si="176"/>
        <v>3.5507563408767956E-2</v>
      </c>
      <c r="AJ364" s="157"/>
      <c r="AK364" s="157">
        <f>+AK789/AK303</f>
        <v>0</v>
      </c>
      <c r="AL364" s="157">
        <f>+AL789/AL303</f>
        <v>0</v>
      </c>
      <c r="AM364" s="157">
        <f>+AM789/AM303</f>
        <v>0</v>
      </c>
      <c r="AN364" s="157">
        <v>3.2030546130764961E-2</v>
      </c>
      <c r="AO364" s="157">
        <v>3.2030546130764961E-2</v>
      </c>
      <c r="AP364" s="157"/>
      <c r="AQ364" s="157"/>
      <c r="AR364" s="157"/>
      <c r="AS364" s="157"/>
      <c r="AT364" s="2605"/>
      <c r="AU364" s="1056"/>
    </row>
    <row r="365" spans="4:47" hidden="1">
      <c r="D365" s="153" t="s">
        <v>265</v>
      </c>
      <c r="E365" s="169"/>
      <c r="F365" s="153"/>
      <c r="G365" s="153"/>
      <c r="H365" s="153"/>
      <c r="I365" s="153"/>
      <c r="J365" s="153"/>
      <c r="K365" s="153"/>
      <c r="L365" s="153"/>
      <c r="M365" s="153"/>
      <c r="N365" s="153"/>
      <c r="O365" s="153"/>
      <c r="P365" s="153"/>
      <c r="Q365" s="153"/>
      <c r="R365" s="153"/>
      <c r="S365" s="153"/>
      <c r="T365" s="153"/>
      <c r="U365" s="153"/>
      <c r="V365" s="157">
        <f t="shared" ref="V365:AI365" si="177">+(V789+V816)/V$303</f>
        <v>4.7374006116318916E-2</v>
      </c>
      <c r="W365" s="157">
        <f t="shared" si="177"/>
        <v>4.8936656757374797E-2</v>
      </c>
      <c r="X365" s="157">
        <f t="shared" si="177"/>
        <v>5.3342963268675193E-2</v>
      </c>
      <c r="Y365" s="157">
        <f t="shared" si="177"/>
        <v>5.5815709969788525E-2</v>
      </c>
      <c r="Z365" s="157">
        <f t="shared" si="177"/>
        <v>5.3699532143475996E-2</v>
      </c>
      <c r="AA365" s="157">
        <f t="shared" si="177"/>
        <v>5.5026422038180971E-2</v>
      </c>
      <c r="AB365" s="157">
        <f t="shared" si="177"/>
        <v>5.9802640672516234E-2</v>
      </c>
      <c r="AC365" s="157">
        <f t="shared" si="177"/>
        <v>5.5277582456879658E-2</v>
      </c>
      <c r="AD365" s="157">
        <f t="shared" si="177"/>
        <v>5.6714589567245663E-2</v>
      </c>
      <c r="AE365" s="157">
        <f t="shared" si="177"/>
        <v>5.9747606746338916E-2</v>
      </c>
      <c r="AF365" s="157">
        <f t="shared" si="177"/>
        <v>6.3700548927103237E-2</v>
      </c>
      <c r="AG365" s="157">
        <f t="shared" si="177"/>
        <v>6.256309215401451E-2</v>
      </c>
      <c r="AH365" s="157">
        <f t="shared" si="177"/>
        <v>5.2681738536661145E-2</v>
      </c>
      <c r="AI365" s="157">
        <f t="shared" si="177"/>
        <v>4.8311158686312645E-2</v>
      </c>
      <c r="AJ365" s="157"/>
      <c r="AK365" s="157">
        <f>+(AK789+AK816)/AK$303</f>
        <v>0</v>
      </c>
      <c r="AL365" s="157">
        <f>+(AL789+AL816)/AL$303</f>
        <v>0</v>
      </c>
      <c r="AM365" s="157">
        <f>+(AM789+AM816)/AM$303</f>
        <v>0</v>
      </c>
      <c r="AN365" s="157">
        <v>4.3580371289304892E-2</v>
      </c>
      <c r="AO365" s="157">
        <v>4.3580371289304892E-2</v>
      </c>
      <c r="AP365" s="157"/>
      <c r="AQ365" s="157"/>
      <c r="AR365" s="157"/>
      <c r="AS365" s="157"/>
      <c r="AT365" s="2605"/>
      <c r="AU365" s="1056"/>
    </row>
    <row r="366" spans="4:47" hidden="1">
      <c r="D366" s="153" t="s">
        <v>266</v>
      </c>
      <c r="E366" s="153"/>
      <c r="F366" s="153"/>
      <c r="G366" s="153"/>
      <c r="H366" s="153"/>
      <c r="I366" s="153"/>
      <c r="J366" s="153"/>
      <c r="K366" s="153"/>
      <c r="L366" s="153"/>
      <c r="M366" s="153"/>
      <c r="N366" s="153"/>
      <c r="O366" s="153"/>
      <c r="P366" s="153"/>
      <c r="Q366" s="153"/>
      <c r="R366" s="153"/>
      <c r="S366" s="153"/>
      <c r="T366" s="153"/>
      <c r="U366" s="153"/>
      <c r="V366" s="157">
        <f t="shared" ref="V366:AK366" si="178">+(V789+V816)/V746</f>
        <v>0.38888495526975647</v>
      </c>
      <c r="W366" s="157">
        <f t="shared" si="178"/>
        <v>0.38420107719928187</v>
      </c>
      <c r="X366" s="157">
        <f t="shared" si="178"/>
        <v>0.39652009449046177</v>
      </c>
      <c r="Y366" s="157">
        <f t="shared" si="178"/>
        <v>0.38842459267771867</v>
      </c>
      <c r="Z366" s="157">
        <f t="shared" si="178"/>
        <v>0.35557062867708988</v>
      </c>
      <c r="AA366" s="157">
        <f t="shared" si="178"/>
        <v>0.3544239658474268</v>
      </c>
      <c r="AB366" s="157">
        <f t="shared" si="178"/>
        <v>0.39197065387537106</v>
      </c>
      <c r="AC366" s="157">
        <f t="shared" si="178"/>
        <v>0.35216811220289118</v>
      </c>
      <c r="AD366" s="157">
        <f t="shared" si="178"/>
        <v>0.35113066768599682</v>
      </c>
      <c r="AE366" s="157">
        <f t="shared" si="178"/>
        <v>0.40898556698029664</v>
      </c>
      <c r="AF366" s="157">
        <f>+(AF789+AF816)/AF746</f>
        <v>0.45811653484970222</v>
      </c>
      <c r="AG366" s="157">
        <f>+(AG789+AG816)/AG746</f>
        <v>8.6957882133758754E-2</v>
      </c>
      <c r="AH366" s="157">
        <f t="shared" si="178"/>
        <v>6.149951042896571E-2</v>
      </c>
      <c r="AI366" s="157">
        <f t="shared" si="178"/>
        <v>5.5212657884912364E-2</v>
      </c>
      <c r="AJ366" s="157"/>
      <c r="AK366" s="2813" t="e">
        <f t="shared" si="178"/>
        <v>#DIV/0!</v>
      </c>
      <c r="AL366" s="157" t="e">
        <f t="shared" ref="AL366:AM366" si="179">+(AL789+AL816)/AL746</f>
        <v>#DIV/0!</v>
      </c>
      <c r="AM366" s="157" t="e">
        <f t="shared" si="179"/>
        <v>#DIV/0!</v>
      </c>
      <c r="AN366" s="157" t="e">
        <f t="shared" ref="AN366:AO366" si="180">+(AN789+AN816)/AN746</f>
        <v>#DIV/0!</v>
      </c>
      <c r="AO366" s="157" t="e">
        <f t="shared" si="180"/>
        <v>#DIV/0!</v>
      </c>
      <c r="AP366" s="157"/>
      <c r="AQ366" s="157"/>
      <c r="AR366" s="157"/>
      <c r="AS366" s="157"/>
      <c r="AT366" s="2605"/>
      <c r="AU366" s="1056"/>
    </row>
    <row r="367" spans="4:47" hidden="1">
      <c r="D367" s="153" t="s">
        <v>244</v>
      </c>
      <c r="E367" s="153"/>
      <c r="F367" s="153"/>
      <c r="G367" s="153"/>
      <c r="H367" s="153"/>
      <c r="I367" s="153"/>
      <c r="J367" s="153"/>
      <c r="K367" s="153"/>
      <c r="L367" s="153"/>
      <c r="M367" s="153"/>
      <c r="N367" s="153"/>
      <c r="O367" s="153"/>
      <c r="P367" s="153"/>
      <c r="Q367" s="153"/>
      <c r="R367" s="153"/>
      <c r="S367" s="153"/>
      <c r="T367" s="153"/>
      <c r="U367" s="153"/>
      <c r="V367" s="157">
        <f t="shared" ref="V367:AA367" si="181">+(V789+V816)/(U789+U816)-1</f>
        <v>0.1414135640785783</v>
      </c>
      <c r="W367" s="157">
        <f t="shared" si="181"/>
        <v>0.18671881345165442</v>
      </c>
      <c r="X367" s="157">
        <f t="shared" si="181"/>
        <v>0.2079439252336448</v>
      </c>
      <c r="Y367" s="157">
        <f t="shared" si="181"/>
        <v>0.1435203094777564</v>
      </c>
      <c r="Z367" s="157">
        <f t="shared" si="181"/>
        <v>4.8376184032476122E-2</v>
      </c>
      <c r="AA367" s="157">
        <f t="shared" si="181"/>
        <v>0.14403109774766065</v>
      </c>
      <c r="AB367" s="157">
        <f>+(AB789)/(AA789)-1</f>
        <v>0.31261022636579594</v>
      </c>
      <c r="AC367" s="157">
        <f>+(AC789)/(AB789)-1</f>
        <v>1.9487324776054304E-2</v>
      </c>
      <c r="AD367" s="157">
        <f>+(AD789)/(AC789)-1</f>
        <v>0.12908426762525638</v>
      </c>
      <c r="AE367" s="181">
        <f t="shared" ref="AE367:AK367" si="182">+(1+AE372)*(1+AE373)-1</f>
        <v>0.15614000000000017</v>
      </c>
      <c r="AF367" s="181">
        <f>+(1+AF372)*(1+AF373)-1</f>
        <v>0.15614000000000017</v>
      </c>
      <c r="AG367" s="181">
        <f>+(1+AG372)*(1+AG373)-1</f>
        <v>0.15614000000000017</v>
      </c>
      <c r="AH367" s="181">
        <f t="shared" si="182"/>
        <v>7.6503999999999905E-2</v>
      </c>
      <c r="AI367" s="181">
        <f t="shared" si="182"/>
        <v>7.6503999999999905E-2</v>
      </c>
      <c r="AJ367" s="181"/>
      <c r="AK367" s="181">
        <f t="shared" si="182"/>
        <v>0</v>
      </c>
      <c r="AL367" s="181">
        <f t="shared" ref="AL367:AM367" si="183">+(1+AL372)*(1+AL373)-1</f>
        <v>0</v>
      </c>
      <c r="AM367" s="181">
        <f t="shared" si="183"/>
        <v>0</v>
      </c>
      <c r="AN367" s="181">
        <f t="shared" ref="AN367:AO367" si="184">+(1+AN372)*(1+AN373)-1</f>
        <v>0</v>
      </c>
      <c r="AO367" s="181">
        <f t="shared" si="184"/>
        <v>0</v>
      </c>
      <c r="AP367" s="181"/>
      <c r="AQ367" s="181"/>
      <c r="AR367" s="181"/>
      <c r="AS367" s="181"/>
      <c r="AT367" s="2620"/>
      <c r="AU367" s="1056"/>
    </row>
    <row r="368" spans="4:47" hidden="1">
      <c r="D368" s="161" t="s">
        <v>321</v>
      </c>
      <c r="E368" s="157"/>
      <c r="F368" s="157"/>
      <c r="G368" s="157"/>
      <c r="H368" s="157"/>
      <c r="I368" s="157"/>
      <c r="J368" s="157"/>
      <c r="K368" s="157"/>
      <c r="L368" s="157"/>
      <c r="M368" s="157"/>
      <c r="N368" s="157"/>
      <c r="O368" s="157"/>
      <c r="P368" s="157"/>
      <c r="Q368" s="157"/>
      <c r="R368" s="157"/>
      <c r="S368" s="157"/>
      <c r="T368" s="157"/>
      <c r="U368" s="157"/>
      <c r="V368" s="157"/>
      <c r="W368" s="157"/>
      <c r="X368" s="157"/>
      <c r="Y368" s="157"/>
      <c r="Z368" s="157"/>
      <c r="AA368" s="157"/>
      <c r="AB368" s="157"/>
      <c r="AC368" s="157"/>
      <c r="AD368" s="181"/>
      <c r="AE368" s="181"/>
      <c r="AF368" s="181"/>
      <c r="AG368" s="181"/>
      <c r="AH368" s="157"/>
      <c r="AI368" s="157"/>
      <c r="AJ368" s="157"/>
      <c r="AK368" s="157"/>
      <c r="AL368" s="157"/>
      <c r="AM368" s="157"/>
      <c r="AN368" s="157"/>
      <c r="AO368" s="157"/>
      <c r="AP368" s="157"/>
      <c r="AQ368" s="157"/>
      <c r="AR368" s="157"/>
      <c r="AS368" s="157"/>
      <c r="AT368" s="2605"/>
      <c r="AU368" s="1056"/>
    </row>
    <row r="369" spans="4:47" hidden="1">
      <c r="D369" s="161" t="s">
        <v>322</v>
      </c>
      <c r="E369" s="236" t="s">
        <v>323</v>
      </c>
      <c r="F369" s="229"/>
      <c r="G369" s="229"/>
      <c r="H369" s="229"/>
      <c r="I369" s="229"/>
      <c r="J369" s="229"/>
      <c r="K369" s="229"/>
      <c r="L369" s="229"/>
      <c r="M369" s="229"/>
      <c r="N369" s="229"/>
      <c r="O369" s="229"/>
      <c r="P369" s="229"/>
      <c r="Q369" s="229"/>
      <c r="R369" s="229"/>
      <c r="S369" s="229"/>
      <c r="T369" s="229"/>
      <c r="U369" s="229"/>
      <c r="V369" s="183">
        <v>88680</v>
      </c>
      <c r="W369" s="183">
        <v>94047</v>
      </c>
      <c r="X369" s="183">
        <v>98116</v>
      </c>
      <c r="Y369" s="183"/>
      <c r="Z369" s="183"/>
      <c r="AA369" s="183"/>
      <c r="AB369" s="183"/>
      <c r="AC369" s="183"/>
      <c r="AD369" s="183"/>
      <c r="AE369" s="183"/>
      <c r="AF369" s="183"/>
      <c r="AG369" s="183"/>
      <c r="AH369" s="183"/>
      <c r="AI369" s="183"/>
      <c r="AJ369" s="183"/>
      <c r="AK369" s="183"/>
      <c r="AL369" s="183"/>
      <c r="AM369" s="183"/>
      <c r="AN369" s="183"/>
      <c r="AO369" s="183"/>
      <c r="AP369" s="183"/>
      <c r="AQ369" s="183"/>
      <c r="AR369" s="183"/>
      <c r="AS369" s="183"/>
      <c r="AT369" s="2621"/>
      <c r="AU369" s="1056"/>
    </row>
    <row r="370" spans="4:47" hidden="1">
      <c r="D370" s="161" t="s">
        <v>290</v>
      </c>
      <c r="E370" s="237"/>
      <c r="F370" s="229"/>
      <c r="G370" s="229"/>
      <c r="H370" s="229"/>
      <c r="I370" s="229"/>
      <c r="J370" s="229"/>
      <c r="K370" s="229"/>
      <c r="L370" s="229"/>
      <c r="M370" s="229"/>
      <c r="N370" s="229"/>
      <c r="O370" s="229"/>
      <c r="P370" s="229"/>
      <c r="Q370" s="229"/>
      <c r="R370" s="229"/>
      <c r="S370" s="229"/>
      <c r="T370" s="229"/>
      <c r="U370" s="229"/>
      <c r="V370" s="183">
        <v>54692</v>
      </c>
      <c r="W370" s="183">
        <v>57220</v>
      </c>
      <c r="X370" s="183">
        <v>60975</v>
      </c>
      <c r="Y370" s="183"/>
      <c r="Z370" s="183"/>
      <c r="AA370" s="183"/>
      <c r="AB370" s="183"/>
      <c r="AC370" s="183"/>
      <c r="AD370" s="183"/>
      <c r="AE370" s="183"/>
      <c r="AF370" s="183"/>
      <c r="AG370" s="183"/>
      <c r="AH370" s="183"/>
      <c r="AI370" s="183"/>
      <c r="AJ370" s="183"/>
      <c r="AK370" s="183"/>
      <c r="AL370" s="183"/>
      <c r="AM370" s="183"/>
      <c r="AN370" s="183"/>
      <c r="AO370" s="183"/>
      <c r="AP370" s="183"/>
      <c r="AQ370" s="183"/>
      <c r="AR370" s="183"/>
      <c r="AS370" s="183"/>
      <c r="AT370" s="2621"/>
      <c r="AU370" s="1056"/>
    </row>
    <row r="371" spans="4:47" hidden="1">
      <c r="D371" s="161" t="s">
        <v>291</v>
      </c>
      <c r="E371" s="238" t="s">
        <v>308</v>
      </c>
      <c r="F371" s="229"/>
      <c r="G371" s="229"/>
      <c r="H371" s="229"/>
      <c r="I371" s="229"/>
      <c r="J371" s="229"/>
      <c r="K371" s="229"/>
      <c r="L371" s="229"/>
      <c r="M371" s="229"/>
      <c r="N371" s="229"/>
      <c r="O371" s="229"/>
      <c r="P371" s="229"/>
      <c r="Q371" s="229"/>
      <c r="R371" s="229"/>
      <c r="S371" s="229"/>
      <c r="T371" s="229"/>
      <c r="U371" s="230"/>
      <c r="V371" s="183">
        <v>15155</v>
      </c>
      <c r="W371" s="183">
        <v>15948</v>
      </c>
      <c r="X371" s="183">
        <v>16053</v>
      </c>
      <c r="Y371" s="183"/>
      <c r="Z371" s="183"/>
      <c r="AA371" s="183"/>
      <c r="AB371" s="183"/>
      <c r="AC371" s="183"/>
      <c r="AD371" s="183"/>
      <c r="AE371" s="183"/>
      <c r="AF371" s="183"/>
      <c r="AG371" s="183"/>
      <c r="AH371" s="183"/>
      <c r="AI371" s="183"/>
      <c r="AJ371" s="183"/>
      <c r="AK371" s="183"/>
      <c r="AL371" s="183"/>
      <c r="AM371" s="183"/>
      <c r="AN371" s="183"/>
      <c r="AO371" s="183"/>
      <c r="AP371" s="183"/>
      <c r="AQ371" s="183"/>
      <c r="AR371" s="183"/>
      <c r="AS371" s="183"/>
      <c r="AT371" s="2621"/>
      <c r="AU371" s="1056"/>
    </row>
    <row r="372" spans="4:47" hidden="1">
      <c r="D372" s="161" t="s">
        <v>289</v>
      </c>
      <c r="E372" s="239">
        <v>5.5E-2</v>
      </c>
      <c r="F372" s="201"/>
      <c r="G372" s="201"/>
      <c r="H372" s="201"/>
      <c r="I372" s="201"/>
      <c r="J372" s="201"/>
      <c r="K372" s="201"/>
      <c r="L372" s="201"/>
      <c r="M372" s="201"/>
      <c r="N372" s="201"/>
      <c r="O372" s="201"/>
      <c r="P372" s="201"/>
      <c r="Q372" s="201"/>
      <c r="R372" s="201"/>
      <c r="S372" s="201"/>
      <c r="T372" s="201"/>
      <c r="U372" s="202"/>
      <c r="V372" s="202">
        <f>+E372</f>
        <v>5.5E-2</v>
      </c>
      <c r="W372" s="202">
        <f t="shared" ref="W372:AB372" si="185">+(1+W367)/(1+W373)-1</f>
        <v>9.5018346567943279E-2</v>
      </c>
      <c r="X372" s="202">
        <f t="shared" si="185"/>
        <v>7.872738308830729E-2</v>
      </c>
      <c r="Y372" s="202">
        <f t="shared" si="185"/>
        <v>0.10539311383996108</v>
      </c>
      <c r="Z372" s="202">
        <f t="shared" si="185"/>
        <v>4.8376184032476122E-2</v>
      </c>
      <c r="AA372" s="202">
        <f t="shared" si="185"/>
        <v>0.1000299016804429</v>
      </c>
      <c r="AB372" s="202">
        <f t="shared" si="185"/>
        <v>0.25010497749123428</v>
      </c>
      <c r="AC372" s="202">
        <v>0.08</v>
      </c>
      <c r="AD372" s="202">
        <v>0.1</v>
      </c>
      <c r="AE372" s="202">
        <v>0.08</v>
      </c>
      <c r="AF372" s="202">
        <v>0.08</v>
      </c>
      <c r="AG372" s="202">
        <v>0.08</v>
      </c>
      <c r="AH372" s="202">
        <v>3.5099999999999999E-2</v>
      </c>
      <c r="AI372" s="202">
        <f t="shared" ref="AI372:AK373" si="186">AH372</f>
        <v>3.5099999999999999E-2</v>
      </c>
      <c r="AJ372" s="202"/>
      <c r="AK372" s="202">
        <f t="shared" si="186"/>
        <v>0</v>
      </c>
      <c r="AL372" s="202">
        <f t="shared" ref="AL372:AL373" si="187">AK372</f>
        <v>0</v>
      </c>
      <c r="AM372" s="202">
        <f t="shared" ref="AM372:AM373" si="188">AL372</f>
        <v>0</v>
      </c>
      <c r="AN372" s="202">
        <f t="shared" ref="AN372:AN373" si="189">AM372</f>
        <v>0</v>
      </c>
      <c r="AO372" s="202">
        <f t="shared" ref="AO372:AO373" si="190">AN372</f>
        <v>0</v>
      </c>
      <c r="AP372" s="202"/>
      <c r="AQ372" s="202"/>
      <c r="AR372" s="202"/>
      <c r="AS372" s="202"/>
      <c r="AT372" s="2636"/>
      <c r="AU372" s="1056"/>
    </row>
    <row r="373" spans="4:47" hidden="1">
      <c r="D373" s="161" t="s">
        <v>292</v>
      </c>
      <c r="E373" s="240" t="s">
        <v>249</v>
      </c>
      <c r="F373" s="203"/>
      <c r="G373" s="203"/>
      <c r="H373" s="203"/>
      <c r="I373" s="203"/>
      <c r="J373" s="203"/>
      <c r="K373" s="203"/>
      <c r="L373" s="203"/>
      <c r="M373" s="203"/>
      <c r="N373" s="203"/>
      <c r="O373" s="203"/>
      <c r="P373" s="203"/>
      <c r="Q373" s="203"/>
      <c r="R373" s="203"/>
      <c r="S373" s="203"/>
      <c r="T373" s="203"/>
      <c r="U373" s="203"/>
      <c r="V373" s="204">
        <f>+(1+V367)/(1+V372)-1</f>
        <v>8.1908591543676135E-2</v>
      </c>
      <c r="W373" s="204">
        <f>+W374*$E374+W375*$E375+W376*$E376</f>
        <v>8.3743315508021401E-2</v>
      </c>
      <c r="X373" s="204">
        <f>+X374*$E374+X375*$E375+X376*$E376</f>
        <v>0.11978609625668449</v>
      </c>
      <c r="Y373" s="204">
        <f>+Y374*$E374+Y375*$E375+Y376*$E376</f>
        <v>3.4491978609625669E-2</v>
      </c>
      <c r="Z373" s="204">
        <v>0</v>
      </c>
      <c r="AA373" s="204">
        <v>0.04</v>
      </c>
      <c r="AB373" s="204">
        <v>0.05</v>
      </c>
      <c r="AC373" s="204">
        <v>0.05</v>
      </c>
      <c r="AD373" s="204">
        <v>0.05</v>
      </c>
      <c r="AE373" s="205">
        <v>7.0499999999999993E-2</v>
      </c>
      <c r="AF373" s="205">
        <v>7.0499999999999993E-2</v>
      </c>
      <c r="AG373" s="205">
        <v>7.0499999999999993E-2</v>
      </c>
      <c r="AH373" s="205">
        <v>0.04</v>
      </c>
      <c r="AI373" s="205">
        <f t="shared" si="186"/>
        <v>0.04</v>
      </c>
      <c r="AJ373" s="205"/>
      <c r="AK373" s="205">
        <f t="shared" si="186"/>
        <v>0</v>
      </c>
      <c r="AL373" s="205">
        <f t="shared" si="187"/>
        <v>0</v>
      </c>
      <c r="AM373" s="205">
        <f t="shared" si="188"/>
        <v>0</v>
      </c>
      <c r="AN373" s="205">
        <f t="shared" si="189"/>
        <v>0</v>
      </c>
      <c r="AO373" s="205">
        <f t="shared" si="190"/>
        <v>0</v>
      </c>
      <c r="AP373" s="205"/>
      <c r="AQ373" s="205"/>
      <c r="AR373" s="205"/>
      <c r="AS373" s="205"/>
      <c r="AT373" s="2637"/>
      <c r="AU373" s="1056"/>
    </row>
    <row r="374" spans="4:47" hidden="1">
      <c r="D374" s="161" t="s">
        <v>314</v>
      </c>
      <c r="E374" s="244">
        <f>115/187</f>
        <v>0.61497326203208558</v>
      </c>
      <c r="F374" s="229"/>
      <c r="G374" s="229"/>
      <c r="H374" s="229"/>
      <c r="I374" s="229"/>
      <c r="J374" s="229"/>
      <c r="K374" s="229"/>
      <c r="L374" s="229"/>
      <c r="M374" s="229"/>
      <c r="N374" s="229"/>
      <c r="O374" s="229"/>
      <c r="P374" s="229"/>
      <c r="Q374" s="229"/>
      <c r="R374" s="229"/>
      <c r="S374" s="229"/>
      <c r="T374" s="229"/>
      <c r="U374" s="229"/>
      <c r="V374" s="243"/>
      <c r="W374" s="243">
        <v>0.06</v>
      </c>
      <c r="X374" s="243">
        <v>0.05</v>
      </c>
      <c r="Y374" s="243">
        <v>0.02</v>
      </c>
      <c r="Z374" s="243"/>
      <c r="AA374" s="243"/>
      <c r="AB374" s="243"/>
      <c r="AC374" s="243"/>
      <c r="AD374" s="243"/>
      <c r="AE374" s="194"/>
      <c r="AF374" s="194"/>
      <c r="AG374" s="194"/>
      <c r="AH374" s="243"/>
      <c r="AI374" s="243"/>
      <c r="AJ374" s="243"/>
      <c r="AK374" s="243"/>
      <c r="AL374" s="243"/>
      <c r="AM374" s="243"/>
      <c r="AN374" s="243"/>
      <c r="AO374" s="243"/>
      <c r="AP374" s="243"/>
      <c r="AQ374" s="243"/>
      <c r="AR374" s="243"/>
      <c r="AS374" s="243"/>
      <c r="AT374" s="2638"/>
      <c r="AU374" s="1056"/>
    </row>
    <row r="375" spans="4:47" hidden="1">
      <c r="D375" s="161" t="s">
        <v>312</v>
      </c>
      <c r="E375" s="244">
        <f>55/187</f>
        <v>0.29411764705882354</v>
      </c>
      <c r="F375" s="229"/>
      <c r="G375" s="229"/>
      <c r="H375" s="229"/>
      <c r="I375" s="229"/>
      <c r="J375" s="229"/>
      <c r="K375" s="229"/>
      <c r="L375" s="229"/>
      <c r="M375" s="229"/>
      <c r="N375" s="229"/>
      <c r="O375" s="229"/>
      <c r="P375" s="229"/>
      <c r="Q375" s="229"/>
      <c r="R375" s="229"/>
      <c r="S375" s="229"/>
      <c r="T375" s="229"/>
      <c r="U375" s="229"/>
      <c r="V375" s="243"/>
      <c r="W375" s="243">
        <v>0.15</v>
      </c>
      <c r="X375" s="243">
        <v>0.27800000000000002</v>
      </c>
      <c r="Y375" s="243">
        <v>0.06</v>
      </c>
      <c r="Z375" s="243"/>
      <c r="AA375" s="243"/>
      <c r="AB375" s="243"/>
      <c r="AC375" s="243"/>
      <c r="AD375" s="243"/>
      <c r="AE375" s="194"/>
      <c r="AF375" s="194"/>
      <c r="AG375" s="194"/>
      <c r="AH375" s="243"/>
      <c r="AI375" s="243"/>
      <c r="AJ375" s="243"/>
      <c r="AK375" s="243"/>
      <c r="AL375" s="243"/>
      <c r="AM375" s="243"/>
      <c r="AN375" s="243"/>
      <c r="AO375" s="243"/>
      <c r="AP375" s="243"/>
      <c r="AQ375" s="243"/>
      <c r="AR375" s="243"/>
      <c r="AS375" s="243"/>
      <c r="AT375" s="2638"/>
      <c r="AU375" s="1056"/>
    </row>
    <row r="376" spans="4:47" hidden="1">
      <c r="D376" s="161" t="s">
        <v>313</v>
      </c>
      <c r="E376" s="244">
        <f>1-E374-E375</f>
        <v>9.0909090909090884E-2</v>
      </c>
      <c r="F376" s="229"/>
      <c r="G376" s="229"/>
      <c r="H376" s="229"/>
      <c r="I376" s="229"/>
      <c r="J376" s="229"/>
      <c r="K376" s="229"/>
      <c r="L376" s="229"/>
      <c r="M376" s="229"/>
      <c r="N376" s="229"/>
      <c r="O376" s="229"/>
      <c r="P376" s="229"/>
      <c r="Q376" s="229"/>
      <c r="R376" s="229"/>
      <c r="S376" s="229"/>
      <c r="T376" s="229"/>
      <c r="U376" s="229"/>
      <c r="V376" s="243"/>
      <c r="W376" s="243">
        <v>0.03</v>
      </c>
      <c r="X376" s="243">
        <v>0.08</v>
      </c>
      <c r="Y376" s="243">
        <v>0.05</v>
      </c>
      <c r="Z376" s="243"/>
      <c r="AA376" s="243"/>
      <c r="AB376" s="243"/>
      <c r="AC376" s="243"/>
      <c r="AD376" s="243"/>
      <c r="AE376" s="194"/>
      <c r="AF376" s="194"/>
      <c r="AG376" s="194"/>
      <c r="AH376" s="243"/>
      <c r="AI376" s="243"/>
      <c r="AJ376" s="243"/>
      <c r="AK376" s="243"/>
      <c r="AL376" s="243"/>
      <c r="AM376" s="243"/>
      <c r="AN376" s="243"/>
      <c r="AO376" s="243"/>
      <c r="AP376" s="243"/>
      <c r="AQ376" s="243"/>
      <c r="AR376" s="243"/>
      <c r="AS376" s="243"/>
      <c r="AT376" s="2638"/>
      <c r="AU376" s="1056"/>
    </row>
    <row r="377" spans="4:47" hidden="1">
      <c r="D377" s="168" t="s">
        <v>209</v>
      </c>
      <c r="E377" s="169" t="s">
        <v>204</v>
      </c>
      <c r="F377" s="153"/>
      <c r="G377" s="153"/>
      <c r="H377" s="153"/>
      <c r="I377" s="153"/>
      <c r="J377" s="153"/>
      <c r="K377" s="153"/>
      <c r="L377" s="153"/>
      <c r="M377" s="153"/>
      <c r="N377" s="153"/>
      <c r="O377" s="153"/>
      <c r="P377" s="153"/>
      <c r="Q377" s="153"/>
      <c r="R377" s="153"/>
      <c r="S377" s="153"/>
      <c r="T377" s="153"/>
      <c r="U377" s="153"/>
      <c r="V377" s="157">
        <f t="shared" ref="V377:AB377" si="191">+V793/V$303</f>
        <v>3.2597730198344936E-2</v>
      </c>
      <c r="W377" s="157">
        <f t="shared" si="191"/>
        <v>3.4187056940315576E-2</v>
      </c>
      <c r="X377" s="157">
        <f t="shared" si="191"/>
        <v>2.5402393726784975E-2</v>
      </c>
      <c r="Y377" s="157">
        <f t="shared" si="191"/>
        <v>2.6910136820241692E-2</v>
      </c>
      <c r="Z377" s="157">
        <f t="shared" si="191"/>
        <v>2.7638190954773871E-2</v>
      </c>
      <c r="AA377" s="157">
        <f t="shared" si="191"/>
        <v>2.803374403383517E-2</v>
      </c>
      <c r="AB377" s="157">
        <f t="shared" si="191"/>
        <v>3.0282143582285478E-2</v>
      </c>
      <c r="AC377" s="206">
        <f t="shared" ref="AC377:AK377" si="192">+AB377*(1+AC379*AC$304)/(1+AC$304)</f>
        <v>3.1554016375565506E-2</v>
      </c>
      <c r="AD377" s="206">
        <f t="shared" si="192"/>
        <v>3.087122970564642E-2</v>
      </c>
      <c r="AE377" s="206">
        <f t="shared" si="192"/>
        <v>3.8511128908377629E-2</v>
      </c>
      <c r="AF377" s="206">
        <f>+AE377*(1+AF379*AF$304)/(1+AF$304)</f>
        <v>5.0443500868202977E-2</v>
      </c>
      <c r="AG377" s="206">
        <f>+AF377*(1+AG379*AG$304)/(1+AG$304)</f>
        <v>8.6784616808030055E-2</v>
      </c>
      <c r="AH377" s="206">
        <f t="shared" si="192"/>
        <v>7.9678077201694716E-2</v>
      </c>
      <c r="AI377" s="206">
        <f t="shared" si="192"/>
        <v>8.7833926902417411E-2</v>
      </c>
      <c r="AJ377" s="206"/>
      <c r="AK377" s="2816" t="e">
        <f t="shared" si="192"/>
        <v>#DIV/0!</v>
      </c>
      <c r="AL377" s="206" t="e">
        <f t="shared" ref="AL377" si="193">+AK377*(1+AL379*AL$304)/(1+AL$304)</f>
        <v>#DIV/0!</v>
      </c>
      <c r="AM377" s="206" t="e">
        <f t="shared" ref="AM377" si="194">+AL377*(1+AM379*AM$304)/(1+AM$304)</f>
        <v>#DIV/0!</v>
      </c>
      <c r="AN377" s="206" t="e">
        <f t="shared" ref="AN377" si="195">+AM377*(1+AN379*AN$304)/(1+AN$304)</f>
        <v>#DIV/0!</v>
      </c>
      <c r="AO377" s="206" t="e">
        <f t="shared" ref="AO377" si="196">+AN377*(1+AO379*AO$304)/(1+AO$304)</f>
        <v>#DIV/0!</v>
      </c>
      <c r="AP377" s="206"/>
      <c r="AQ377" s="206"/>
      <c r="AR377" s="206"/>
      <c r="AS377" s="206"/>
      <c r="AT377" s="2639"/>
      <c r="AU377" s="1056"/>
    </row>
    <row r="378" spans="4:47" hidden="1">
      <c r="D378" s="153" t="s">
        <v>243</v>
      </c>
      <c r="E378" s="153"/>
      <c r="F378" s="153"/>
      <c r="G378" s="153"/>
      <c r="H378" s="153"/>
      <c r="I378" s="153"/>
      <c r="J378" s="153"/>
      <c r="K378" s="153"/>
      <c r="L378" s="153"/>
      <c r="M378" s="153"/>
      <c r="N378" s="153"/>
      <c r="O378" s="153"/>
      <c r="P378" s="153"/>
      <c r="Q378" s="153"/>
      <c r="R378" s="153"/>
      <c r="S378" s="153"/>
      <c r="T378" s="153"/>
      <c r="U378" s="153"/>
      <c r="V378" s="157"/>
      <c r="W378" s="157">
        <f t="shared" ref="W378:AB378" si="197">+W793/V793-1</f>
        <v>0.2048361720992824</v>
      </c>
      <c r="X378" s="157">
        <f t="shared" si="197"/>
        <v>-0.17658862876254189</v>
      </c>
      <c r="Y378" s="157">
        <f t="shared" si="197"/>
        <v>0.15772611372867584</v>
      </c>
      <c r="Z378" s="157">
        <f t="shared" si="197"/>
        <v>0.11917191977080188</v>
      </c>
      <c r="AA378" s="157">
        <f t="shared" si="197"/>
        <v>0.13242265084639504</v>
      </c>
      <c r="AB378" s="158">
        <f t="shared" si="197"/>
        <v>0.21332166378042405</v>
      </c>
      <c r="AC378" s="158">
        <f t="shared" ref="AC378:AO378" si="198">+AC379*AC$304</f>
        <v>0.14926765234213069</v>
      </c>
      <c r="AD378" s="158">
        <f t="shared" si="198"/>
        <v>7.6663242295164122E-2</v>
      </c>
      <c r="AE378" s="158">
        <f>+AE379*AE$304</f>
        <v>0.36904280510018184</v>
      </c>
      <c r="AF378" s="158">
        <f>+AF379*AF$304</f>
        <v>0.42655943983402445</v>
      </c>
      <c r="AG378" s="158">
        <f>+AG379*AG$304</f>
        <v>1.0252233546052001</v>
      </c>
      <c r="AH378" s="158">
        <f t="shared" si="198"/>
        <v>0.17373444453434747</v>
      </c>
      <c r="AI378" s="158">
        <f t="shared" si="198"/>
        <v>0.29405205696202519</v>
      </c>
      <c r="AJ378" s="158"/>
      <c r="AK378" s="2817" t="e">
        <f t="shared" si="198"/>
        <v>#DIV/0!</v>
      </c>
      <c r="AL378" s="158">
        <f t="shared" si="198"/>
        <v>0.16878792214499488</v>
      </c>
      <c r="AM378" s="158">
        <f t="shared" si="198"/>
        <v>0.27790354670430267</v>
      </c>
      <c r="AN378" s="158">
        <f t="shared" si="198"/>
        <v>0.40371353352563061</v>
      </c>
      <c r="AO378" s="158">
        <f t="shared" si="198"/>
        <v>0.52995291236416431</v>
      </c>
      <c r="AP378" s="158"/>
      <c r="AQ378" s="158"/>
      <c r="AR378" s="158"/>
      <c r="AS378" s="158"/>
      <c r="AT378" s="2618"/>
      <c r="AU378" s="1056"/>
    </row>
    <row r="379" spans="4:47" hidden="1">
      <c r="D379" s="153" t="s">
        <v>238</v>
      </c>
      <c r="E379" s="153"/>
      <c r="F379" s="153"/>
      <c r="G379" s="153"/>
      <c r="H379" s="153"/>
      <c r="I379" s="153"/>
      <c r="J379" s="153"/>
      <c r="K379" s="153"/>
      <c r="L379" s="153"/>
      <c r="M379" s="153"/>
      <c r="N379" s="153"/>
      <c r="O379" s="153"/>
      <c r="P379" s="153"/>
      <c r="Q379" s="153"/>
      <c r="R379" s="153"/>
      <c r="S379" s="153"/>
      <c r="T379" s="153"/>
      <c r="U379" s="153"/>
      <c r="V379" s="157"/>
      <c r="W379" s="207">
        <f t="shared" ref="W379:AB379" si="199">+(W793/V793-1)/W$304</f>
        <v>1.3763616753679055</v>
      </c>
      <c r="X379" s="207">
        <f t="shared" si="199"/>
        <v>-1.6326048067200756</v>
      </c>
      <c r="Y379" s="207">
        <f t="shared" si="199"/>
        <v>1.6985349936203644</v>
      </c>
      <c r="Z379" s="207">
        <f t="shared" si="199"/>
        <v>1.3287041833814022</v>
      </c>
      <c r="AA379" s="207">
        <f t="shared" si="199"/>
        <v>1.1372189256466454</v>
      </c>
      <c r="AB379" s="198">
        <f t="shared" si="199"/>
        <v>1.7310220147824587</v>
      </c>
      <c r="AC379" s="198">
        <v>1.45</v>
      </c>
      <c r="AD379" s="198">
        <v>0.76300000000000001</v>
      </c>
      <c r="AE379" s="209">
        <v>3.7869999999999999</v>
      </c>
      <c r="AF379" s="209">
        <v>4.7869999999999999</v>
      </c>
      <c r="AG379" s="209">
        <v>5.7869999999999999</v>
      </c>
      <c r="AH379" s="209">
        <v>0.624</v>
      </c>
      <c r="AI379" s="209">
        <v>1.6910000000000001</v>
      </c>
      <c r="AJ379" s="209"/>
      <c r="AK379" s="209">
        <v>0.19800000000000001</v>
      </c>
      <c r="AL379" s="209">
        <v>1.198</v>
      </c>
      <c r="AM379" s="209">
        <v>2.198</v>
      </c>
      <c r="AN379" s="209">
        <v>3.198</v>
      </c>
      <c r="AO379" s="209">
        <v>4.1980000000000004</v>
      </c>
      <c r="AP379" s="209"/>
      <c r="AQ379" s="209"/>
      <c r="AR379" s="209"/>
      <c r="AS379" s="209"/>
      <c r="AT379" s="2632"/>
      <c r="AU379" s="1056"/>
    </row>
    <row r="380" spans="4:47" hidden="1">
      <c r="D380" s="168" t="s">
        <v>210</v>
      </c>
      <c r="E380" s="153"/>
      <c r="F380" s="153"/>
      <c r="G380" s="153"/>
      <c r="H380" s="153"/>
      <c r="I380" s="153"/>
      <c r="J380" s="153"/>
      <c r="K380" s="153"/>
      <c r="L380" s="153"/>
      <c r="M380" s="153"/>
      <c r="N380" s="153"/>
      <c r="O380" s="153"/>
      <c r="P380" s="153"/>
      <c r="Q380" s="153"/>
      <c r="R380" s="153"/>
      <c r="S380" s="153"/>
      <c r="T380" s="153"/>
      <c r="U380" s="153"/>
      <c r="V380" s="157">
        <f t="shared" ref="V380:AI380" si="200">+V808/V$303</f>
        <v>5.1795891238670691E-2</v>
      </c>
      <c r="W380" s="157">
        <f t="shared" si="200"/>
        <v>5.1589297964783898E-2</v>
      </c>
      <c r="X380" s="157">
        <f t="shared" si="200"/>
        <v>4.7626908790755262E-2</v>
      </c>
      <c r="Y380" s="157">
        <f t="shared" si="200"/>
        <v>5.4149586866314194E-2</v>
      </c>
      <c r="Z380" s="157">
        <f t="shared" si="200"/>
        <v>5.2694507017847864E-2</v>
      </c>
      <c r="AA380" s="157">
        <f t="shared" si="200"/>
        <v>4.6268206059289149E-2</v>
      </c>
      <c r="AB380" s="157">
        <f t="shared" si="200"/>
        <v>4.9869202039494256E-2</v>
      </c>
      <c r="AC380" s="157">
        <f t="shared" si="200"/>
        <v>4.5513459120501122E-2</v>
      </c>
      <c r="AD380" s="157">
        <f t="shared" si="200"/>
        <v>4.6360541589253186E-2</v>
      </c>
      <c r="AE380" s="157">
        <f t="shared" si="200"/>
        <v>4.4020737632825373E-2</v>
      </c>
      <c r="AF380" s="157">
        <f t="shared" si="200"/>
        <v>4.3556967594564795E-2</v>
      </c>
      <c r="AG380" s="157">
        <f t="shared" si="200"/>
        <v>6.0841166121463251E-2</v>
      </c>
      <c r="AH380" s="157">
        <f t="shared" si="200"/>
        <v>5.4365659076689402E-2</v>
      </c>
      <c r="AI380" s="157">
        <f t="shared" si="200"/>
        <v>5.1225501529695801E-2</v>
      </c>
      <c r="AJ380" s="157"/>
      <c r="AK380" s="157">
        <f>+AK808/AK$303</f>
        <v>0</v>
      </c>
      <c r="AL380" s="157">
        <f>+AL808/AL$303</f>
        <v>0</v>
      </c>
      <c r="AM380" s="157">
        <f>+AM808/AM$303</f>
        <v>0</v>
      </c>
      <c r="AN380" s="157">
        <v>5.0977669134097528E-2</v>
      </c>
      <c r="AO380" s="157">
        <v>5.0977669134097528E-2</v>
      </c>
      <c r="AP380" s="157"/>
      <c r="AQ380" s="157"/>
      <c r="AR380" s="157"/>
      <c r="AS380" s="157"/>
      <c r="AT380" s="2605"/>
      <c r="AU380" s="1056"/>
    </row>
    <row r="381" spans="4:47" hidden="1">
      <c r="D381" s="153" t="s">
        <v>241</v>
      </c>
      <c r="E381" s="169" t="s">
        <v>204</v>
      </c>
      <c r="F381" s="153"/>
      <c r="G381" s="153"/>
      <c r="H381" s="153"/>
      <c r="I381" s="153"/>
      <c r="J381" s="153"/>
      <c r="K381" s="153"/>
      <c r="L381" s="153"/>
      <c r="M381" s="153"/>
      <c r="N381" s="153"/>
      <c r="O381" s="153"/>
      <c r="P381" s="153"/>
      <c r="Q381" s="153"/>
      <c r="R381" s="153"/>
      <c r="S381" s="153"/>
      <c r="T381" s="153"/>
      <c r="U381" s="153"/>
      <c r="V381" s="157">
        <f t="shared" ref="V381:AC381" si="201">+V809/V$303</f>
        <v>3.6476820101991866E-2</v>
      </c>
      <c r="W381" s="157">
        <f t="shared" si="201"/>
        <v>3.5764921106791678E-2</v>
      </c>
      <c r="X381" s="157">
        <f t="shared" si="201"/>
        <v>2.9137432934378874E-2</v>
      </c>
      <c r="Y381" s="157">
        <f t="shared" si="201"/>
        <v>3.3808210254531713E-2</v>
      </c>
      <c r="Z381" s="157">
        <f t="shared" si="201"/>
        <v>2.8955120429734891E-2</v>
      </c>
      <c r="AA381" s="157">
        <f t="shared" si="201"/>
        <v>3.1292501403538724E-2</v>
      </c>
      <c r="AB381" s="157">
        <f t="shared" si="201"/>
        <v>2.7403003461102662E-2</v>
      </c>
      <c r="AC381" s="157">
        <f t="shared" si="201"/>
        <v>2.4115528473513722E-2</v>
      </c>
      <c r="AD381" s="206">
        <f t="shared" ref="AD381:AK381" si="202">+AC381*(1+AD383*AD$304)/(1+AD$304)</f>
        <v>2.3730212624099144E-2</v>
      </c>
      <c r="AE381" s="206">
        <f t="shared" si="202"/>
        <v>2.2027624024406934E-2</v>
      </c>
      <c r="AF381" s="206">
        <f>+AE381*(1+AF383*AF$304)/(1+AF$304)</f>
        <v>2.2373654310633945E-2</v>
      </c>
      <c r="AG381" s="206">
        <f>+AF381*(1+AG383*AG$304)/(1+AG$304)</f>
        <v>2.638733474150964E-2</v>
      </c>
      <c r="AH381" s="206">
        <f t="shared" si="202"/>
        <v>2.4088630466939143E-2</v>
      </c>
      <c r="AI381" s="206">
        <f t="shared" si="202"/>
        <v>2.3671136415000817E-2</v>
      </c>
      <c r="AJ381" s="206"/>
      <c r="AK381" s="2816" t="e">
        <f t="shared" si="202"/>
        <v>#DIV/0!</v>
      </c>
      <c r="AL381" s="206" t="e">
        <f t="shared" ref="AL381" si="203">+AK381*(1+AL383*AL$304)/(1+AL$304)</f>
        <v>#DIV/0!</v>
      </c>
      <c r="AM381" s="206" t="e">
        <f t="shared" ref="AM381" si="204">+AL381*(1+AM383*AM$304)/(1+AM$304)</f>
        <v>#DIV/0!</v>
      </c>
      <c r="AN381" s="206" t="e">
        <f t="shared" ref="AN381" si="205">+AM381*(1+AN383*AN$304)/(1+AN$304)</f>
        <v>#DIV/0!</v>
      </c>
      <c r="AO381" s="206" t="e">
        <f t="shared" ref="AO381" si="206">+AN381*(1+AO383*AO$304)/(1+AO$304)</f>
        <v>#DIV/0!</v>
      </c>
      <c r="AP381" s="206"/>
      <c r="AQ381" s="206"/>
      <c r="AR381" s="206"/>
      <c r="AS381" s="206"/>
      <c r="AT381" s="2639"/>
      <c r="AU381" s="1056"/>
    </row>
    <row r="382" spans="4:47" hidden="1">
      <c r="D382" s="153" t="s">
        <v>242</v>
      </c>
      <c r="E382" s="153"/>
      <c r="F382" s="153"/>
      <c r="G382" s="153"/>
      <c r="H382" s="153"/>
      <c r="I382" s="153"/>
      <c r="J382" s="153"/>
      <c r="K382" s="153"/>
      <c r="L382" s="153"/>
      <c r="M382" s="153"/>
      <c r="N382" s="153"/>
      <c r="O382" s="153"/>
      <c r="P382" s="153"/>
      <c r="Q382" s="153"/>
      <c r="R382" s="153"/>
      <c r="S382" s="153"/>
      <c r="T382" s="153"/>
      <c r="U382" s="153"/>
      <c r="V382" s="157"/>
      <c r="W382" s="157">
        <f t="shared" ref="W382:AC382" si="207">+W809/V809-1</f>
        <v>0.12640337557296322</v>
      </c>
      <c r="X382" s="157">
        <f t="shared" si="207"/>
        <v>-9.7186700767263323E-2</v>
      </c>
      <c r="Y382" s="157">
        <f t="shared" si="207"/>
        <v>0.26804731946175586</v>
      </c>
      <c r="Z382" s="157">
        <f t="shared" si="207"/>
        <v>-6.6732176412796496E-2</v>
      </c>
      <c r="AA382" s="157">
        <f t="shared" si="207"/>
        <v>0.20656844131059193</v>
      </c>
      <c r="AB382" s="157">
        <f t="shared" si="207"/>
        <v>-1.6377790011367854E-2</v>
      </c>
      <c r="AC382" s="157">
        <f t="shared" si="207"/>
        <v>-2.9374338937335986E-2</v>
      </c>
      <c r="AD382" s="206">
        <f t="shared" ref="AD382:AK382" si="208">+AD383*AD304</f>
        <v>8.2892758707090952E-2</v>
      </c>
      <c r="AE382" s="206">
        <f t="shared" si="208"/>
        <v>1.8710382513661188E-2</v>
      </c>
      <c r="AF382" s="206">
        <f>+AF383*AF304</f>
        <v>0.10621659751037332</v>
      </c>
      <c r="AG382" s="206">
        <f>+AG383*AG304</f>
        <v>0.38833412705971987</v>
      </c>
      <c r="AH382" s="206">
        <f t="shared" si="208"/>
        <v>0.16705235051379566</v>
      </c>
      <c r="AI382" s="206">
        <f>+AI383*AI304</f>
        <v>0.15354699367088601</v>
      </c>
      <c r="AJ382" s="206"/>
      <c r="AK382" s="2816" t="e">
        <f t="shared" si="208"/>
        <v>#DIV/0!</v>
      </c>
      <c r="AL382" s="206">
        <f t="shared" ref="AL382:AM382" si="209">+AL383*AL304</f>
        <v>0.25360455747995897</v>
      </c>
      <c r="AM382" s="206">
        <f t="shared" si="209"/>
        <v>0.35401725694815622</v>
      </c>
      <c r="AN382" s="206">
        <f t="shared" ref="AN382:AO382" si="210">+AN383*AN304</f>
        <v>0.47970963958642782</v>
      </c>
      <c r="AO382" s="206">
        <f t="shared" si="210"/>
        <v>0.60594901842496152</v>
      </c>
      <c r="AP382" s="206"/>
      <c r="AQ382" s="206"/>
      <c r="AR382" s="206"/>
      <c r="AS382" s="206"/>
      <c r="AT382" s="2639"/>
      <c r="AU382" s="1056"/>
    </row>
    <row r="383" spans="4:47" hidden="1">
      <c r="D383" s="153" t="s">
        <v>240</v>
      </c>
      <c r="E383" s="153"/>
      <c r="F383" s="153"/>
      <c r="G383" s="153"/>
      <c r="H383" s="153"/>
      <c r="I383" s="153"/>
      <c r="J383" s="153"/>
      <c r="K383" s="153"/>
      <c r="L383" s="153"/>
      <c r="M383" s="153"/>
      <c r="N383" s="153"/>
      <c r="O383" s="153"/>
      <c r="P383" s="153"/>
      <c r="Q383" s="153"/>
      <c r="R383" s="153"/>
      <c r="S383" s="153"/>
      <c r="T383" s="153"/>
      <c r="U383" s="153"/>
      <c r="V383" s="207"/>
      <c r="W383" s="207">
        <f t="shared" ref="W383:AC383" si="211">+(W809/V809-1)/W$304</f>
        <v>0.84934589429564789</v>
      </c>
      <c r="X383" s="207">
        <f t="shared" si="211"/>
        <v>-0.8985146774952274</v>
      </c>
      <c r="Y383" s="207">
        <f t="shared" si="211"/>
        <v>2.8865718002481562</v>
      </c>
      <c r="Z383" s="207">
        <f t="shared" si="211"/>
        <v>-0.7440286448045681</v>
      </c>
      <c r="AA383" s="207">
        <f t="shared" si="211"/>
        <v>1.7739679684574789</v>
      </c>
      <c r="AB383" s="207">
        <f t="shared" si="211"/>
        <v>-0.13289937159098625</v>
      </c>
      <c r="AC383" s="207">
        <f t="shared" si="211"/>
        <v>-0.28534508844228268</v>
      </c>
      <c r="AD383" s="209">
        <v>0.82499999999999996</v>
      </c>
      <c r="AE383" s="209">
        <v>0.192</v>
      </c>
      <c r="AF383" s="209">
        <v>1.1919999999999999</v>
      </c>
      <c r="AG383" s="209">
        <v>2.1920000000000002</v>
      </c>
      <c r="AH383" s="209">
        <v>0.6</v>
      </c>
      <c r="AI383" s="209">
        <v>0.88300000000000001</v>
      </c>
      <c r="AJ383" s="209"/>
      <c r="AK383" s="209">
        <v>0.8</v>
      </c>
      <c r="AL383" s="209">
        <v>1.8</v>
      </c>
      <c r="AM383" s="209">
        <v>2.8</v>
      </c>
      <c r="AN383" s="209">
        <v>3.8</v>
      </c>
      <c r="AO383" s="209">
        <v>4.8</v>
      </c>
      <c r="AP383" s="209"/>
      <c r="AQ383" s="209"/>
      <c r="AR383" s="209"/>
      <c r="AS383" s="209"/>
      <c r="AT383" s="2632"/>
      <c r="AU383" s="1056"/>
    </row>
    <row r="384" spans="4:47" hidden="1">
      <c r="D384" s="153" t="s">
        <v>246</v>
      </c>
      <c r="E384" s="184" t="s">
        <v>699</v>
      </c>
      <c r="F384" s="153"/>
      <c r="G384" s="153"/>
      <c r="H384" s="153"/>
      <c r="I384" s="153"/>
      <c r="J384" s="153"/>
      <c r="K384" s="153"/>
      <c r="L384" s="153"/>
      <c r="M384" s="153"/>
      <c r="N384" s="153"/>
      <c r="O384" s="153"/>
      <c r="P384" s="153"/>
      <c r="Q384" s="153"/>
      <c r="R384" s="153"/>
      <c r="S384" s="153"/>
      <c r="T384" s="153"/>
      <c r="U384" s="153"/>
      <c r="V384" s="207"/>
      <c r="W384" s="207"/>
      <c r="X384" s="207"/>
      <c r="Y384" s="207"/>
      <c r="Z384" s="207">
        <v>31</v>
      </c>
      <c r="AA384" s="207">
        <f>+AA810</f>
        <v>40.388465097000008</v>
      </c>
      <c r="AB384" s="227">
        <f>+AB810</f>
        <v>47.887879111819991</v>
      </c>
      <c r="AC384" s="227"/>
      <c r="AD384" s="209"/>
      <c r="AE384" s="209"/>
      <c r="AF384" s="209"/>
      <c r="AG384" s="209"/>
      <c r="AH384" s="207"/>
      <c r="AI384" s="207"/>
      <c r="AJ384" s="207"/>
      <c r="AK384" s="207"/>
      <c r="AL384" s="207"/>
      <c r="AM384" s="207"/>
      <c r="AN384" s="207"/>
      <c r="AO384" s="207"/>
      <c r="AP384" s="207"/>
      <c r="AQ384" s="207"/>
      <c r="AR384" s="207"/>
      <c r="AS384" s="207"/>
      <c r="AT384" s="2626"/>
      <c r="AU384" s="1056"/>
    </row>
    <row r="385" spans="4:47" hidden="1">
      <c r="D385" s="168" t="s">
        <v>214</v>
      </c>
      <c r="E385" s="169" t="s">
        <v>204</v>
      </c>
      <c r="F385" s="153"/>
      <c r="G385" s="153"/>
      <c r="H385" s="153"/>
      <c r="I385" s="153"/>
      <c r="J385" s="153"/>
      <c r="K385" s="153"/>
      <c r="L385" s="153"/>
      <c r="M385" s="153"/>
      <c r="N385" s="153"/>
      <c r="O385" s="153"/>
      <c r="P385" s="153"/>
      <c r="Q385" s="153"/>
      <c r="R385" s="153"/>
      <c r="S385" s="153"/>
      <c r="T385" s="153"/>
      <c r="U385" s="153"/>
      <c r="V385" s="157">
        <f t="shared" ref="V385:AI385" si="212">+(V818-V821)/V$303</f>
        <v>1.7899456193353473E-2</v>
      </c>
      <c r="W385" s="157">
        <f t="shared" si="212"/>
        <v>1.7333638234621539E-2</v>
      </c>
      <c r="X385" s="157">
        <f t="shared" si="212"/>
        <v>6.0255881139083785E-3</v>
      </c>
      <c r="Y385" s="157">
        <f t="shared" si="212"/>
        <v>5.7621177690709985E-3</v>
      </c>
      <c r="Z385" s="157">
        <f t="shared" si="212"/>
        <v>5.4999133599029646E-3</v>
      </c>
      <c r="AA385" s="157">
        <f t="shared" si="212"/>
        <v>4.8665626208288064E-3</v>
      </c>
      <c r="AB385" s="157">
        <f t="shared" si="212"/>
        <v>4.3115131930357873E-3</v>
      </c>
      <c r="AC385" s="157">
        <f t="shared" si="212"/>
        <v>4.5187276354297159E-3</v>
      </c>
      <c r="AD385" s="157">
        <f t="shared" si="212"/>
        <v>2.857100308857012E-3</v>
      </c>
      <c r="AE385" s="157">
        <f t="shared" si="212"/>
        <v>4.7811203319502076E-3</v>
      </c>
      <c r="AF385" s="157">
        <f t="shared" si="212"/>
        <v>4.6738258933014887E-3</v>
      </c>
      <c r="AG385" s="157">
        <f t="shared" si="212"/>
        <v>3.8910915122582737E-3</v>
      </c>
      <c r="AH385" s="157">
        <f t="shared" si="212"/>
        <v>4.0226892295410592E-3</v>
      </c>
      <c r="AI385" s="157">
        <f t="shared" si="212"/>
        <v>3.4267955156624189E-3</v>
      </c>
      <c r="AJ385" s="157"/>
      <c r="AK385" s="157">
        <f>+(AK818-AK821)/AK$303</f>
        <v>0</v>
      </c>
      <c r="AL385" s="157">
        <f>+(AL818-AL821)/AL$303</f>
        <v>0</v>
      </c>
      <c r="AM385" s="157">
        <f>+(AM818-AM821)/AM$303</f>
        <v>0</v>
      </c>
      <c r="AN385" s="157">
        <v>2.3018078703827089E-3</v>
      </c>
      <c r="AO385" s="157">
        <v>2.3018078703827089E-3</v>
      </c>
      <c r="AP385" s="157"/>
      <c r="AQ385" s="157"/>
      <c r="AR385" s="157"/>
      <c r="AS385" s="157"/>
      <c r="AT385" s="2605"/>
      <c r="AU385" s="1056"/>
    </row>
    <row r="386" spans="4:47" hidden="1">
      <c r="D386" s="153" t="s">
        <v>247</v>
      </c>
      <c r="E386" s="153"/>
      <c r="F386" s="153"/>
      <c r="G386" s="153"/>
      <c r="H386" s="153"/>
      <c r="I386" s="153"/>
      <c r="J386" s="153"/>
      <c r="K386" s="153"/>
      <c r="L386" s="153"/>
      <c r="M386" s="153"/>
      <c r="N386" s="153"/>
      <c r="O386" s="153"/>
      <c r="P386" s="153"/>
      <c r="Q386" s="153"/>
      <c r="R386" s="153"/>
      <c r="S386" s="153"/>
      <c r="T386" s="153"/>
      <c r="U386" s="153"/>
      <c r="V386" s="207"/>
      <c r="W386" s="207"/>
      <c r="X386" s="211">
        <f>+X819</f>
        <v>35.5</v>
      </c>
      <c r="Y386" s="211">
        <f>+Y819</f>
        <v>25.258811314000003</v>
      </c>
      <c r="Z386" s="211">
        <f>+Z819</f>
        <v>26.8</v>
      </c>
      <c r="AA386" s="211">
        <f>+AA819</f>
        <v>26.979326674999996</v>
      </c>
      <c r="AB386" s="208">
        <f>28.3*0+27.9</f>
        <v>27.9</v>
      </c>
      <c r="AC386" s="212">
        <f>43.9*0+31.1*0+22.7</f>
        <v>22.7</v>
      </c>
      <c r="AD386" s="212">
        <f>43.8*0+25.4+8.4</f>
        <v>33.799999999999997</v>
      </c>
      <c r="AE386" s="208">
        <f>37.95+0.5</f>
        <v>38.450000000000003</v>
      </c>
      <c r="AF386" s="208">
        <f>37.95+0.5</f>
        <v>38.450000000000003</v>
      </c>
      <c r="AG386" s="208">
        <f>37.95+0.5</f>
        <v>38.450000000000003</v>
      </c>
      <c r="AH386" s="208">
        <v>51.308078391956101</v>
      </c>
      <c r="AI386" s="208">
        <f>+AH386</f>
        <v>51.308078391956101</v>
      </c>
      <c r="AJ386" s="208"/>
      <c r="AK386" s="208">
        <f>+AJ386</f>
        <v>0</v>
      </c>
      <c r="AL386" s="208">
        <f t="shared" ref="AL386:AM386" si="213">+AK386</f>
        <v>0</v>
      </c>
      <c r="AM386" s="208">
        <f t="shared" si="213"/>
        <v>0</v>
      </c>
      <c r="AN386" s="208">
        <f t="shared" ref="AN386" si="214">+AM386</f>
        <v>0</v>
      </c>
      <c r="AO386" s="208">
        <f t="shared" ref="AO386" si="215">+AN386</f>
        <v>0</v>
      </c>
      <c r="AP386" s="208"/>
      <c r="AQ386" s="208"/>
      <c r="AR386" s="208"/>
      <c r="AS386" s="208"/>
      <c r="AT386" s="2640"/>
      <c r="AU386" s="1056"/>
    </row>
    <row r="387" spans="4:47" hidden="1">
      <c r="D387" s="153" t="s">
        <v>272</v>
      </c>
      <c r="E387" s="176" t="s">
        <v>286</v>
      </c>
      <c r="F387" s="153"/>
      <c r="G387" s="153"/>
      <c r="H387" s="153"/>
      <c r="I387" s="153"/>
      <c r="J387" s="153"/>
      <c r="K387" s="153"/>
      <c r="L387" s="153"/>
      <c r="M387" s="153"/>
      <c r="N387" s="153"/>
      <c r="O387" s="153"/>
      <c r="P387" s="153"/>
      <c r="Q387" s="153"/>
      <c r="R387" s="153"/>
      <c r="S387" s="153"/>
      <c r="T387" s="153"/>
      <c r="U387" s="153"/>
      <c r="V387" s="207"/>
      <c r="W387" s="207"/>
      <c r="X387" s="211"/>
      <c r="Y387" s="211"/>
      <c r="Z387" s="227">
        <v>3</v>
      </c>
      <c r="AA387" s="227">
        <v>3</v>
      </c>
      <c r="AB387" s="227">
        <v>3.4</v>
      </c>
      <c r="AC387" s="227">
        <v>3.8</v>
      </c>
      <c r="AD387" s="227">
        <v>6.7</v>
      </c>
      <c r="AE387" s="227">
        <v>7.64</v>
      </c>
      <c r="AF387" s="227">
        <v>8.64</v>
      </c>
      <c r="AG387" s="227">
        <v>9.64</v>
      </c>
      <c r="AH387" s="227">
        <v>12.250411434792628</v>
      </c>
      <c r="AI387" s="227">
        <f>AH387</f>
        <v>12.250411434792628</v>
      </c>
      <c r="AJ387" s="227"/>
      <c r="AK387" s="227">
        <f>AJ387</f>
        <v>0</v>
      </c>
      <c r="AL387" s="227">
        <f t="shared" ref="AL387:AM387" si="216">AK387</f>
        <v>0</v>
      </c>
      <c r="AM387" s="227">
        <f t="shared" si="216"/>
        <v>0</v>
      </c>
      <c r="AN387" s="227">
        <f t="shared" ref="AN387" si="217">AM387</f>
        <v>0</v>
      </c>
      <c r="AO387" s="227">
        <f t="shared" ref="AO387" si="218">AN387</f>
        <v>0</v>
      </c>
      <c r="AP387" s="227"/>
      <c r="AQ387" s="227"/>
      <c r="AR387" s="227"/>
      <c r="AS387" s="227"/>
      <c r="AT387" s="2641"/>
      <c r="AU387" s="1056"/>
    </row>
    <row r="388" spans="4:47" hidden="1">
      <c r="D388" s="213" t="s">
        <v>212</v>
      </c>
      <c r="E388" s="169"/>
      <c r="F388" s="153"/>
      <c r="G388" s="153"/>
      <c r="H388" s="153"/>
      <c r="I388" s="153"/>
      <c r="J388" s="153"/>
      <c r="K388" s="153"/>
      <c r="L388" s="153"/>
      <c r="M388" s="153"/>
      <c r="N388" s="153"/>
      <c r="O388" s="153"/>
      <c r="P388" s="153"/>
      <c r="Q388" s="153"/>
      <c r="R388" s="153"/>
      <c r="S388" s="153"/>
      <c r="T388" s="153"/>
      <c r="U388" s="153"/>
      <c r="V388" s="157">
        <f t="shared" ref="V388:AA388" si="219">+V364+V377+V380+V385</f>
        <v>0.1343480126100092</v>
      </c>
      <c r="W388" s="157">
        <f t="shared" si="219"/>
        <v>0.13622227303910359</v>
      </c>
      <c r="X388" s="157">
        <f t="shared" si="219"/>
        <v>0.11390837804374743</v>
      </c>
      <c r="Y388" s="157">
        <f t="shared" si="219"/>
        <v>0.12229617481363293</v>
      </c>
      <c r="Z388" s="157">
        <f t="shared" si="219"/>
        <v>0.12116444290417605</v>
      </c>
      <c r="AA388" s="157">
        <f t="shared" si="219"/>
        <v>0.11678068673102593</v>
      </c>
      <c r="AB388" s="208"/>
      <c r="AC388" s="210"/>
      <c r="AD388" s="210"/>
      <c r="AE388" s="210"/>
      <c r="AF388" s="210"/>
      <c r="AG388" s="210"/>
      <c r="AH388" s="157"/>
      <c r="AI388" s="157"/>
      <c r="AJ388" s="157"/>
      <c r="AK388" s="157"/>
      <c r="AL388" s="157"/>
      <c r="AM388" s="157"/>
      <c r="AN388" s="157"/>
      <c r="AO388" s="157"/>
      <c r="AP388" s="157"/>
      <c r="AQ388" s="157"/>
      <c r="AR388" s="157"/>
      <c r="AS388" s="157"/>
      <c r="AT388" s="2605"/>
      <c r="AU388" s="1056"/>
    </row>
    <row r="389" spans="4:47" hidden="1">
      <c r="D389" s="168" t="s">
        <v>211</v>
      </c>
      <c r="E389" s="169" t="s">
        <v>204</v>
      </c>
      <c r="F389" s="153"/>
      <c r="G389" s="153"/>
      <c r="H389" s="153"/>
      <c r="I389" s="153"/>
      <c r="J389" s="153"/>
      <c r="K389" s="153"/>
      <c r="L389" s="153"/>
      <c r="M389" s="153"/>
      <c r="N389" s="153"/>
      <c r="O389" s="153"/>
      <c r="P389" s="153"/>
      <c r="Q389" s="153"/>
      <c r="R389" s="153"/>
      <c r="S389" s="153"/>
      <c r="T389" s="153"/>
      <c r="U389" s="153"/>
      <c r="V389" s="157">
        <f t="shared" ref="V389:AG389" si="220">+V826/V$303</f>
        <v>5.7496377249441746E-2</v>
      </c>
      <c r="W389" s="157">
        <f t="shared" si="220"/>
        <v>5.2961353761719641E-2</v>
      </c>
      <c r="X389" s="157">
        <f t="shared" si="220"/>
        <v>4.9401568303755673E-2</v>
      </c>
      <c r="Y389" s="157">
        <f t="shared" si="220"/>
        <v>6.0451876748300604E-2</v>
      </c>
      <c r="Z389" s="157">
        <f t="shared" si="220"/>
        <v>6.7319355397678041E-2</v>
      </c>
      <c r="AA389" s="157">
        <f t="shared" si="220"/>
        <v>6.9358608925190121E-2</v>
      </c>
      <c r="AB389" s="157">
        <f t="shared" si="220"/>
        <v>5.5406535523283125E-2</v>
      </c>
      <c r="AC389" s="157">
        <f t="shared" si="220"/>
        <v>5.8025492969305939E-2</v>
      </c>
      <c r="AD389" s="157">
        <f t="shared" si="220"/>
        <v>7.1004695956056477E-2</v>
      </c>
      <c r="AE389" s="157">
        <f t="shared" si="220"/>
        <v>7.7497754564505597E-2</v>
      </c>
      <c r="AF389" s="157">
        <f t="shared" si="220"/>
        <v>5.1956420385239781E-2</v>
      </c>
      <c r="AG389" s="157">
        <f t="shared" si="220"/>
        <v>4.4137103133314377E-2</v>
      </c>
      <c r="AH389" s="206">
        <f>+AG389*(1+AH391*AH$304)/(1+AH$304)</f>
        <v>4.702082032094225E-2</v>
      </c>
      <c r="AI389" s="206">
        <f>+AH389*(1+AI391*AI$304)/(1+AI$304)</f>
        <v>4.5627751671994538E-2</v>
      </c>
      <c r="AJ389" s="206"/>
      <c r="AK389" s="2816" t="e">
        <f>+AJ389*(1+AK391*AK$304)/(1+AK$304)</f>
        <v>#DIV/0!</v>
      </c>
      <c r="AL389" s="206" t="e">
        <f t="shared" ref="AL389:AM389" si="221">+AK389*(1+AL391*AL$304)/(1+AL$304)</f>
        <v>#DIV/0!</v>
      </c>
      <c r="AM389" s="206" t="e">
        <f t="shared" si="221"/>
        <v>#DIV/0!</v>
      </c>
      <c r="AN389" s="206" t="e">
        <f t="shared" ref="AN389" si="222">+AM389*(1+AN391*AN$304)/(1+AN$304)</f>
        <v>#DIV/0!</v>
      </c>
      <c r="AO389" s="206" t="e">
        <f t="shared" ref="AO389" si="223">+AN389*(1+AO391*AO$304)/(1+AO$304)</f>
        <v>#DIV/0!</v>
      </c>
      <c r="AP389" s="206"/>
      <c r="AQ389" s="206"/>
      <c r="AR389" s="206"/>
      <c r="AS389" s="206"/>
      <c r="AT389" s="2639"/>
      <c r="AU389" s="1056"/>
    </row>
    <row r="390" spans="4:47" hidden="1">
      <c r="D390" s="153" t="s">
        <v>251</v>
      </c>
      <c r="E390" s="153"/>
      <c r="F390" s="153"/>
      <c r="G390" s="153"/>
      <c r="H390" s="153"/>
      <c r="I390" s="153"/>
      <c r="J390" s="153"/>
      <c r="K390" s="153"/>
      <c r="L390" s="153"/>
      <c r="M390" s="153"/>
      <c r="N390" s="153"/>
      <c r="O390" s="153"/>
      <c r="P390" s="153"/>
      <c r="Q390" s="153"/>
      <c r="R390" s="153"/>
      <c r="S390" s="153"/>
      <c r="T390" s="153"/>
      <c r="U390" s="153"/>
      <c r="V390" s="157">
        <f t="shared" ref="V390:AC390" si="224">+V826/U826-1</f>
        <v>0.37388549905838042</v>
      </c>
      <c r="W390" s="157">
        <f t="shared" si="224"/>
        <v>5.8210921723644615E-2</v>
      </c>
      <c r="X390" s="157">
        <f t="shared" si="224"/>
        <v>3.3678756476684057E-2</v>
      </c>
      <c r="Y390" s="157">
        <f t="shared" si="224"/>
        <v>0.33731470032999167</v>
      </c>
      <c r="Z390" s="157">
        <f t="shared" si="224"/>
        <v>0.21348177593757156</v>
      </c>
      <c r="AA390" s="157">
        <f t="shared" si="224"/>
        <v>0.15026387980694977</v>
      </c>
      <c r="AB390" s="611">
        <f t="shared" si="224"/>
        <v>-0.10271364735423083</v>
      </c>
      <c r="AC390" s="611">
        <f t="shared" si="224"/>
        <v>0.15507715446587</v>
      </c>
      <c r="AD390" s="611">
        <f>+AD826/AC826-1</f>
        <v>0.34663171032381923</v>
      </c>
      <c r="AE390" s="611">
        <f>+AE826/AD826-1</f>
        <v>0.19780674423800404</v>
      </c>
      <c r="AF390" s="611">
        <f>+AF826/AE826-1</f>
        <v>-0.26983501167898472</v>
      </c>
      <c r="AG390" s="611">
        <f>+AG826/AF826-1</f>
        <v>0</v>
      </c>
      <c r="AH390" s="206">
        <f>+AH391*AH$304</f>
        <v>0.36194675944655724</v>
      </c>
      <c r="AI390" s="206">
        <f>+AI391*AI$304</f>
        <v>0.13911392405063286</v>
      </c>
      <c r="AJ390" s="206"/>
      <c r="AK390" s="2816" t="e">
        <f>+AK391*AK$304</f>
        <v>#DIV/0!</v>
      </c>
      <c r="AL390" s="206">
        <f t="shared" ref="AL390:AO390" si="225">+AL391*AL$304</f>
        <v>0.18315884706885924</v>
      </c>
      <c r="AM390" s="206">
        <f t="shared" si="225"/>
        <v>0.29079988963598546</v>
      </c>
      <c r="AN390" s="206">
        <f t="shared" si="225"/>
        <v>0.41658995016716099</v>
      </c>
      <c r="AO390" s="206">
        <f t="shared" si="225"/>
        <v>0.54282932900569469</v>
      </c>
      <c r="AP390" s="206"/>
      <c r="AQ390" s="206"/>
      <c r="AR390" s="206"/>
      <c r="AS390" s="206"/>
      <c r="AT390" s="2639"/>
      <c r="AU390" s="1056"/>
    </row>
    <row r="391" spans="4:47" hidden="1">
      <c r="D391" s="153" t="s">
        <v>250</v>
      </c>
      <c r="E391" s="153"/>
      <c r="F391" s="153"/>
      <c r="G391" s="153"/>
      <c r="H391" s="153"/>
      <c r="I391" s="153"/>
      <c r="J391" s="153"/>
      <c r="K391" s="153"/>
      <c r="L391" s="153"/>
      <c r="M391" s="153"/>
      <c r="N391" s="153"/>
      <c r="O391" s="153"/>
      <c r="P391" s="153"/>
      <c r="Q391" s="153"/>
      <c r="R391" s="153"/>
      <c r="S391" s="153"/>
      <c r="T391" s="153"/>
      <c r="U391" s="153"/>
      <c r="V391" s="207"/>
      <c r="W391" s="207">
        <f t="shared" ref="W391:AF391" si="226">+(W826/V826-1)/W$304</f>
        <v>0.39113834693919375</v>
      </c>
      <c r="X391" s="207">
        <f t="shared" si="226"/>
        <v>0.3113682919081171</v>
      </c>
      <c r="Y391" s="207">
        <f t="shared" si="226"/>
        <v>3.6325045284425364</v>
      </c>
      <c r="Z391" s="207">
        <f t="shared" si="226"/>
        <v>2.3802094428744791</v>
      </c>
      <c r="AA391" s="207">
        <f t="shared" si="226"/>
        <v>1.2904357892349807</v>
      </c>
      <c r="AB391" s="207">
        <f t="shared" si="226"/>
        <v>-0.83348114597394107</v>
      </c>
      <c r="AC391" s="207">
        <f t="shared" si="226"/>
        <v>1.5064340494892636</v>
      </c>
      <c r="AD391" s="207">
        <f t="shared" si="226"/>
        <v>3.4498931568637468</v>
      </c>
      <c r="AE391" s="207">
        <f t="shared" si="226"/>
        <v>2.0298299548909218</v>
      </c>
      <c r="AF391" s="207">
        <f t="shared" si="226"/>
        <v>-3.0281833673869794</v>
      </c>
      <c r="AG391" s="207">
        <v>-2.8928036257763021</v>
      </c>
      <c r="AH391" s="1005">
        <v>1.3</v>
      </c>
      <c r="AI391" s="1005">
        <v>0.8</v>
      </c>
      <c r="AJ391" s="1005"/>
      <c r="AK391" s="1005">
        <v>0.3</v>
      </c>
      <c r="AL391" s="1005">
        <v>1.3</v>
      </c>
      <c r="AM391" s="1005">
        <v>2.2999999999999998</v>
      </c>
      <c r="AN391" s="1005">
        <v>3.3</v>
      </c>
      <c r="AO391" s="1005">
        <v>4.3</v>
      </c>
      <c r="AP391" s="1005"/>
      <c r="AQ391" s="1005"/>
      <c r="AR391" s="1005"/>
      <c r="AS391" s="1005"/>
      <c r="AT391" s="2642"/>
      <c r="AU391" s="1056"/>
    </row>
    <row r="392" spans="4:47" hidden="1">
      <c r="D392" s="153" t="s">
        <v>215</v>
      </c>
      <c r="E392" s="156" t="s">
        <v>263</v>
      </c>
      <c r="F392" s="153"/>
      <c r="G392" s="153"/>
      <c r="H392" s="153"/>
      <c r="I392" s="153"/>
      <c r="J392" s="153"/>
      <c r="K392" s="153"/>
      <c r="L392" s="153"/>
      <c r="M392" s="153"/>
      <c r="N392" s="153"/>
      <c r="O392" s="153"/>
      <c r="P392" s="153"/>
      <c r="Q392" s="153"/>
      <c r="R392" s="153"/>
      <c r="S392" s="153"/>
      <c r="T392" s="153"/>
      <c r="U392" s="153"/>
      <c r="V392" s="207">
        <f t="shared" ref="V392:AK392" si="227">+V221</f>
        <v>47.23025326702902</v>
      </c>
      <c r="W392" s="207">
        <f t="shared" si="227"/>
        <v>49.414519906323179</v>
      </c>
      <c r="X392" s="207">
        <f t="shared" si="227"/>
        <v>50.701362065460451</v>
      </c>
      <c r="Y392" s="207">
        <f t="shared" si="227"/>
        <v>53.371813371813367</v>
      </c>
      <c r="Z392" s="207">
        <f t="shared" si="227"/>
        <v>51.98041343995331</v>
      </c>
      <c r="AA392" s="207">
        <f t="shared" si="227"/>
        <v>54.849717222265809</v>
      </c>
      <c r="AB392" s="207">
        <f t="shared" si="227"/>
        <v>59.02760627700966</v>
      </c>
      <c r="AC392" s="207">
        <f t="shared" si="227"/>
        <v>59.745537290686855</v>
      </c>
      <c r="AD392" s="207">
        <f t="shared" si="227"/>
        <v>62.593638643126575</v>
      </c>
      <c r="AE392" s="207">
        <f t="shared" si="227"/>
        <v>67.485772024015361</v>
      </c>
      <c r="AF392" s="207">
        <f>+AF221</f>
        <v>71.244363762593935</v>
      </c>
      <c r="AG392" s="207">
        <f>+AG221</f>
        <v>82.718794524983736</v>
      </c>
      <c r="AH392" s="207">
        <f t="shared" si="227"/>
        <v>92.200894577447244</v>
      </c>
      <c r="AI392" s="207">
        <f t="shared" si="227"/>
        <v>99.177017250013861</v>
      </c>
      <c r="AJ392" s="207"/>
      <c r="AK392" s="207">
        <f t="shared" si="227"/>
        <v>109.7843858510183</v>
      </c>
      <c r="AL392" s="207">
        <f t="shared" ref="AL392:AM392" si="228">+AL221</f>
        <v>116.62265116758408</v>
      </c>
      <c r="AM392" s="207">
        <f t="shared" si="228"/>
        <v>123.78754217384758</v>
      </c>
      <c r="AN392" s="207">
        <f t="shared" ref="AN392:AO392" si="229">+AN221</f>
        <v>130.55523650662553</v>
      </c>
      <c r="AO392" s="207">
        <f t="shared" si="229"/>
        <v>136.49323411190423</v>
      </c>
      <c r="AP392" s="207"/>
      <c r="AQ392" s="207"/>
      <c r="AR392" s="207"/>
      <c r="AS392" s="207"/>
      <c r="AT392" s="2626"/>
      <c r="AU392" s="1056"/>
    </row>
    <row r="393" spans="4:47" hidden="1">
      <c r="D393" s="153" t="s">
        <v>287</v>
      </c>
      <c r="E393" s="156" t="s">
        <v>741</v>
      </c>
      <c r="F393" s="153"/>
      <c r="G393" s="153"/>
      <c r="H393" s="153"/>
      <c r="I393" s="153"/>
      <c r="J393" s="153"/>
      <c r="K393" s="153"/>
      <c r="L393" s="153"/>
      <c r="M393" s="153"/>
      <c r="N393" s="153"/>
      <c r="O393" s="153"/>
      <c r="P393" s="153"/>
      <c r="Q393" s="153"/>
      <c r="R393" s="153"/>
      <c r="S393" s="153"/>
      <c r="T393" s="153"/>
      <c r="U393" s="153"/>
      <c r="V393" s="207"/>
      <c r="W393" s="207"/>
      <c r="X393" s="207"/>
      <c r="Y393" s="207"/>
      <c r="Z393" s="207"/>
      <c r="AA393" s="172">
        <v>70.106999999999999</v>
      </c>
      <c r="AB393" s="172">
        <v>59.3</v>
      </c>
      <c r="AC393" s="172">
        <v>59.3</v>
      </c>
      <c r="AD393" s="207"/>
      <c r="AE393" s="207"/>
      <c r="AF393" s="207"/>
      <c r="AG393" s="207"/>
      <c r="AH393" s="207"/>
      <c r="AI393" s="207"/>
      <c r="AJ393" s="207"/>
      <c r="AK393" s="207"/>
      <c r="AL393" s="207"/>
      <c r="AM393" s="207"/>
      <c r="AN393" s="207"/>
      <c r="AO393" s="207"/>
      <c r="AP393" s="207"/>
      <c r="AQ393" s="207"/>
      <c r="AR393" s="207"/>
      <c r="AS393" s="207"/>
      <c r="AT393" s="2626"/>
      <c r="AU393" s="1056"/>
    </row>
    <row r="394" spans="4:47" hidden="1">
      <c r="D394" s="153" t="s">
        <v>213</v>
      </c>
      <c r="E394" s="169" t="s">
        <v>204</v>
      </c>
      <c r="F394" s="153"/>
      <c r="G394" s="153"/>
      <c r="H394" s="153"/>
      <c r="I394" s="153"/>
      <c r="J394" s="153"/>
      <c r="K394" s="153"/>
      <c r="L394" s="153"/>
      <c r="M394" s="153"/>
      <c r="N394" s="153"/>
      <c r="O394" s="153"/>
      <c r="P394" s="153"/>
      <c r="Q394" s="153"/>
      <c r="R394" s="153"/>
      <c r="S394" s="153"/>
      <c r="T394" s="153"/>
      <c r="U394" s="153"/>
      <c r="V394" s="157">
        <f t="shared" ref="V394:AI394" si="230">+V834/V$303</f>
        <v>5.7725503660843294E-2</v>
      </c>
      <c r="W394" s="157">
        <f t="shared" si="230"/>
        <v>5.7466270294991996E-2</v>
      </c>
      <c r="X394" s="157">
        <f t="shared" si="230"/>
        <v>6.7086256706562111E-2</v>
      </c>
      <c r="Y394" s="157">
        <f t="shared" si="230"/>
        <v>7.3994189594057208E-2</v>
      </c>
      <c r="Z394" s="157">
        <f t="shared" si="230"/>
        <v>6.6071738000346561E-2</v>
      </c>
      <c r="AA394" s="157">
        <f t="shared" si="230"/>
        <v>4.2186561437472139E-2</v>
      </c>
      <c r="AB394" s="157">
        <f t="shared" si="230"/>
        <v>4.7158206923839853E-2</v>
      </c>
      <c r="AC394" s="157">
        <f t="shared" si="230"/>
        <v>4.8491658169150589E-2</v>
      </c>
      <c r="AD394" s="157">
        <f t="shared" si="230"/>
        <v>5.100227643827205E-2</v>
      </c>
      <c r="AE394" s="157">
        <f t="shared" si="230"/>
        <v>5.6811792143943753E-2</v>
      </c>
      <c r="AF394" s="157">
        <f t="shared" si="230"/>
        <v>5.6665253517840006E-2</v>
      </c>
      <c r="AG394" s="157">
        <f t="shared" si="230"/>
        <v>6.3079417517656125E-2</v>
      </c>
      <c r="AH394" s="157">
        <f t="shared" si="230"/>
        <v>5.2910243661719022E-2</v>
      </c>
      <c r="AI394" s="157">
        <f t="shared" si="230"/>
        <v>6.1190705927955232E-2</v>
      </c>
      <c r="AJ394" s="157"/>
      <c r="AK394" s="157">
        <f>+AK834/AK$303</f>
        <v>0</v>
      </c>
      <c r="AL394" s="157">
        <f>+AL834/AL$303</f>
        <v>0</v>
      </c>
      <c r="AM394" s="157">
        <f>+AM834/AM$303</f>
        <v>0</v>
      </c>
      <c r="AN394" s="157">
        <v>5.1726720245220133E-2</v>
      </c>
      <c r="AO394" s="157">
        <v>5.1726720245220133E-2</v>
      </c>
      <c r="AP394" s="157"/>
      <c r="AQ394" s="157"/>
      <c r="AR394" s="157"/>
      <c r="AS394" s="157"/>
      <c r="AT394" s="2605"/>
      <c r="AU394" s="1056"/>
    </row>
    <row r="395" spans="4:47" hidden="1">
      <c r="D395" s="214" t="s">
        <v>217</v>
      </c>
      <c r="E395" s="215"/>
      <c r="F395" s="215"/>
      <c r="G395" s="215"/>
      <c r="H395" s="215"/>
      <c r="I395" s="215"/>
      <c r="J395" s="215"/>
      <c r="K395" s="215"/>
      <c r="L395" s="215"/>
      <c r="M395" s="215"/>
      <c r="N395" s="215"/>
      <c r="O395" s="215"/>
      <c r="P395" s="215"/>
      <c r="Q395" s="215"/>
      <c r="R395" s="215"/>
      <c r="S395" s="215"/>
      <c r="T395" s="215"/>
      <c r="U395" s="215"/>
      <c r="V395" s="216" t="str">
        <f t="shared" ref="V395:AA395" si="231">+IF(ABS(V389+V394-V1005)&gt;0.002,"check","")</f>
        <v/>
      </c>
      <c r="W395" s="216" t="str">
        <f t="shared" si="231"/>
        <v/>
      </c>
      <c r="X395" s="216" t="str">
        <f t="shared" si="231"/>
        <v/>
      </c>
      <c r="Y395" s="216" t="str">
        <f t="shared" si="231"/>
        <v/>
      </c>
      <c r="Z395" s="216" t="str">
        <f t="shared" si="231"/>
        <v/>
      </c>
      <c r="AA395" s="216" t="str">
        <f t="shared" si="231"/>
        <v/>
      </c>
      <c r="AB395" s="217"/>
      <c r="AC395" s="218"/>
      <c r="AD395" s="215"/>
      <c r="AE395" s="216" t="str">
        <f>+IF(ABS(AE389+AE394-AE1005)&gt;0.002,"check","")</f>
        <v/>
      </c>
      <c r="AF395" s="216" t="str">
        <f>+IF(ABS(AF389+AF394-AF1005)&gt;0.002,"check","")</f>
        <v/>
      </c>
      <c r="AG395" s="216" t="str">
        <f>+IF(ABS(AG389+AG394-AG1005)&gt;0.002,"check","")</f>
        <v/>
      </c>
      <c r="AH395" s="216" t="str">
        <f>+IF(ABS(AH389+AH394-AH1005)&gt;0.002,"check","")</f>
        <v/>
      </c>
      <c r="AI395" s="216" t="str">
        <f>+IF(ABS(AI389+AI394-AI1005)&gt;0.002,"check","")</f>
        <v/>
      </c>
      <c r="AJ395" s="216"/>
      <c r="AK395" s="2818" t="e">
        <f>+IF(ABS(AK389+AK394-AK1005)&gt;0.002,"check","")</f>
        <v>#DIV/0!</v>
      </c>
      <c r="AL395" s="216" t="e">
        <f>+IF(ABS(AL389+AL394-AL1005)&gt;0.002,"check","")</f>
        <v>#DIV/0!</v>
      </c>
      <c r="AM395" s="216" t="e">
        <f>+IF(ABS(AM389+AM394-AM1005)&gt;0.002,"check","")</f>
        <v>#DIV/0!</v>
      </c>
      <c r="AN395" s="216" t="e">
        <f>+IF(ABS(AN389+AN394-AN1005)&gt;0.002,"check","")</f>
        <v>#DIV/0!</v>
      </c>
      <c r="AO395" s="216" t="e">
        <f>+IF(ABS(AO389+AO394-AO1005)&gt;0.002,"check","")</f>
        <v>#DIV/0!</v>
      </c>
      <c r="AP395" s="216"/>
      <c r="AQ395" s="216"/>
      <c r="AR395" s="216"/>
      <c r="AS395" s="216"/>
      <c r="AT395" s="2643"/>
      <c r="AU395" s="1056"/>
    </row>
    <row r="396" spans="4:47" hidden="1">
      <c r="D396" s="219" t="s">
        <v>146</v>
      </c>
      <c r="E396" s="153"/>
      <c r="F396" s="153"/>
      <c r="G396" s="153"/>
      <c r="H396" s="153"/>
      <c r="I396" s="153"/>
      <c r="J396" s="153"/>
      <c r="K396" s="153"/>
      <c r="L396" s="153"/>
      <c r="M396" s="153"/>
      <c r="N396" s="153"/>
      <c r="O396" s="153"/>
      <c r="P396" s="153"/>
      <c r="Q396" s="153"/>
      <c r="R396" s="153"/>
      <c r="S396" s="153"/>
      <c r="T396" s="153"/>
      <c r="U396" s="153"/>
      <c r="V396" s="157"/>
      <c r="W396" s="157"/>
      <c r="X396" s="157"/>
      <c r="Y396" s="157"/>
      <c r="Z396" s="157"/>
      <c r="AA396" s="157"/>
      <c r="AB396" s="173"/>
      <c r="AC396" s="180"/>
      <c r="AD396" s="153"/>
      <c r="AE396" s="153"/>
      <c r="AF396" s="153"/>
      <c r="AG396" s="153"/>
      <c r="AH396" s="157"/>
      <c r="AI396" s="157"/>
      <c r="AJ396" s="157"/>
      <c r="AK396" s="157"/>
      <c r="AL396" s="157"/>
      <c r="AM396" s="157"/>
      <c r="AN396" s="157"/>
      <c r="AO396" s="157"/>
      <c r="AP396" s="157"/>
      <c r="AQ396" s="157"/>
      <c r="AR396" s="157"/>
      <c r="AS396" s="157"/>
      <c r="AT396" s="2605"/>
      <c r="AU396" s="1056"/>
    </row>
    <row r="397" spans="4:47" hidden="1">
      <c r="D397" s="153" t="s">
        <v>277</v>
      </c>
      <c r="E397" s="153"/>
      <c r="F397" s="153"/>
      <c r="G397" s="153"/>
      <c r="H397" s="153"/>
      <c r="I397" s="153"/>
      <c r="J397" s="153"/>
      <c r="K397" s="153"/>
      <c r="L397" s="153"/>
      <c r="M397" s="153"/>
      <c r="N397" s="153"/>
      <c r="O397" s="153"/>
      <c r="P397" s="153"/>
      <c r="Q397" s="153"/>
      <c r="R397" s="153"/>
      <c r="S397" s="153"/>
      <c r="T397" s="153"/>
      <c r="U397" s="153"/>
      <c r="V397" s="157"/>
      <c r="W397" s="157"/>
      <c r="X397" s="207">
        <v>27</v>
      </c>
      <c r="Y397" s="207">
        <v>31.426778254999999</v>
      </c>
      <c r="Z397" s="207">
        <v>33.637466740000001</v>
      </c>
      <c r="AA397" s="207">
        <v>33.6</v>
      </c>
      <c r="AB397" s="207">
        <f>73.55</f>
        <v>73.55</v>
      </c>
      <c r="AC397" s="207">
        <f>78.45+8.85</f>
        <v>87.3</v>
      </c>
      <c r="AD397" s="207">
        <f>98+9</f>
        <v>107</v>
      </c>
      <c r="AE397" s="207">
        <f>121.844578902926+18</f>
        <v>139.844578902926</v>
      </c>
      <c r="AF397" s="207">
        <f>121.844578902926+18</f>
        <v>139.844578902926</v>
      </c>
      <c r="AG397" s="207">
        <f>121.844578902926+18</f>
        <v>139.844578902926</v>
      </c>
      <c r="AH397" s="198">
        <f>+AH398*AH$303</f>
        <v>189.6</v>
      </c>
      <c r="AI397" s="198">
        <f>+AI398*AI$303</f>
        <v>222.57</v>
      </c>
      <c r="AJ397" s="198"/>
      <c r="AK397" s="198">
        <f>+AK398*AK$303</f>
        <v>0</v>
      </c>
      <c r="AL397" s="198">
        <f t="shared" ref="AL397:AO397" si="232">+AL398*AL$303</f>
        <v>0</v>
      </c>
      <c r="AM397" s="198">
        <f t="shared" si="232"/>
        <v>0</v>
      </c>
      <c r="AN397" s="198">
        <f t="shared" si="232"/>
        <v>0</v>
      </c>
      <c r="AO397" s="198">
        <f t="shared" si="232"/>
        <v>0</v>
      </c>
      <c r="AP397" s="198"/>
      <c r="AQ397" s="198"/>
      <c r="AR397" s="198"/>
      <c r="AS397" s="198"/>
      <c r="AT397" s="2634"/>
      <c r="AU397" s="1056"/>
    </row>
    <row r="398" spans="4:47" hidden="1">
      <c r="D398" s="156" t="s">
        <v>274</v>
      </c>
      <c r="E398" s="153"/>
      <c r="F398" s="153"/>
      <c r="G398" s="153"/>
      <c r="H398" s="153"/>
      <c r="I398" s="153"/>
      <c r="J398" s="153"/>
      <c r="K398" s="153"/>
      <c r="L398" s="153"/>
      <c r="M398" s="153"/>
      <c r="N398" s="153"/>
      <c r="O398" s="153"/>
      <c r="P398" s="153"/>
      <c r="Q398" s="153"/>
      <c r="R398" s="153"/>
      <c r="S398" s="153"/>
      <c r="T398" s="153"/>
      <c r="U398" s="153"/>
      <c r="V398" s="157"/>
      <c r="W398" s="157"/>
      <c r="X398" s="157">
        <f t="shared" ref="X398:AD398" si="233">+X397/X$303</f>
        <v>5.571605447791993E-3</v>
      </c>
      <c r="Y398" s="157">
        <f t="shared" si="233"/>
        <v>5.9340593381797578E-3</v>
      </c>
      <c r="Z398" s="157">
        <f t="shared" si="233"/>
        <v>5.8287067648587765E-3</v>
      </c>
      <c r="AA398" s="157">
        <f t="shared" si="233"/>
        <v>5.2149619742356051E-3</v>
      </c>
      <c r="AB398" s="157">
        <f t="shared" si="233"/>
        <v>1.0163050987978444E-2</v>
      </c>
      <c r="AC398" s="157">
        <f t="shared" si="233"/>
        <v>1.0937108494111751E-2</v>
      </c>
      <c r="AD398" s="157">
        <f t="shared" si="233"/>
        <v>1.2181238615664846E-2</v>
      </c>
      <c r="AE398" s="181">
        <f t="shared" ref="AE398:AG400" si="234">+AD398</f>
        <v>1.2181238615664846E-2</v>
      </c>
      <c r="AF398" s="181">
        <f t="shared" si="234"/>
        <v>1.2181238615664846E-2</v>
      </c>
      <c r="AG398" s="181">
        <f t="shared" si="234"/>
        <v>1.2181238615664846E-2</v>
      </c>
      <c r="AH398" s="181">
        <v>1.2E-2</v>
      </c>
      <c r="AI398" s="181">
        <f t="shared" ref="AI398:AK400" si="235">+AH398</f>
        <v>1.2E-2</v>
      </c>
      <c r="AJ398" s="181"/>
      <c r="AK398" s="181">
        <f t="shared" si="235"/>
        <v>0</v>
      </c>
      <c r="AL398" s="181">
        <f t="shared" ref="AL398:AL400" si="236">+AK398</f>
        <v>0</v>
      </c>
      <c r="AM398" s="181">
        <f t="shared" ref="AM398:AM400" si="237">+AL398</f>
        <v>0</v>
      </c>
      <c r="AN398" s="181">
        <f t="shared" ref="AN398:AN400" si="238">+AM398</f>
        <v>0</v>
      </c>
      <c r="AO398" s="181">
        <f t="shared" ref="AO398:AO400" si="239">+AN398</f>
        <v>0</v>
      </c>
      <c r="AP398" s="181"/>
      <c r="AQ398" s="181"/>
      <c r="AR398" s="181"/>
      <c r="AS398" s="181"/>
      <c r="AT398" s="2620"/>
      <c r="AU398" s="1056"/>
    </row>
    <row r="399" spans="4:47" hidden="1">
      <c r="D399" s="153" t="s">
        <v>273</v>
      </c>
      <c r="E399" s="153"/>
      <c r="F399" s="153"/>
      <c r="G399" s="153"/>
      <c r="H399" s="153"/>
      <c r="I399" s="153"/>
      <c r="J399" s="153"/>
      <c r="K399" s="153"/>
      <c r="L399" s="153"/>
      <c r="M399" s="153"/>
      <c r="N399" s="153"/>
      <c r="O399" s="153"/>
      <c r="P399" s="153"/>
      <c r="Q399" s="153"/>
      <c r="R399" s="153"/>
      <c r="S399" s="153"/>
      <c r="T399" s="153"/>
      <c r="U399" s="153"/>
      <c r="V399" s="157"/>
      <c r="W399" s="207">
        <v>0</v>
      </c>
      <c r="X399" s="207">
        <v>0</v>
      </c>
      <c r="Y399" s="207">
        <v>0</v>
      </c>
      <c r="Z399" s="207">
        <v>2.8</v>
      </c>
      <c r="AA399" s="207">
        <v>6.8112400538358004</v>
      </c>
      <c r="AB399" s="207">
        <f>0*13.22+7</f>
        <v>7</v>
      </c>
      <c r="AC399" s="207">
        <v>7.99</v>
      </c>
      <c r="AD399" s="227">
        <f>8.65*0</f>
        <v>0</v>
      </c>
      <c r="AE399" s="198">
        <f t="shared" si="234"/>
        <v>0</v>
      </c>
      <c r="AF399" s="198">
        <f t="shared" si="234"/>
        <v>0</v>
      </c>
      <c r="AG399" s="198">
        <f t="shared" si="234"/>
        <v>0</v>
      </c>
      <c r="AH399" s="198">
        <f>+AG399</f>
        <v>0</v>
      </c>
      <c r="AI399" s="198">
        <f t="shared" si="235"/>
        <v>0</v>
      </c>
      <c r="AJ399" s="198"/>
      <c r="AK399" s="198">
        <f t="shared" si="235"/>
        <v>0</v>
      </c>
      <c r="AL399" s="198">
        <f t="shared" si="236"/>
        <v>0</v>
      </c>
      <c r="AM399" s="198">
        <f t="shared" si="237"/>
        <v>0</v>
      </c>
      <c r="AN399" s="198">
        <f t="shared" si="238"/>
        <v>0</v>
      </c>
      <c r="AO399" s="198">
        <f t="shared" si="239"/>
        <v>0</v>
      </c>
      <c r="AP399" s="198"/>
      <c r="AQ399" s="198"/>
      <c r="AR399" s="198"/>
      <c r="AS399" s="198"/>
      <c r="AT399" s="2634"/>
      <c r="AU399" s="1056"/>
    </row>
    <row r="400" spans="4:47" hidden="1">
      <c r="D400" s="153" t="s">
        <v>275</v>
      </c>
      <c r="E400" s="153"/>
      <c r="F400" s="153"/>
      <c r="G400" s="153"/>
      <c r="H400" s="153"/>
      <c r="I400" s="153"/>
      <c r="J400" s="153"/>
      <c r="K400" s="153"/>
      <c r="L400" s="153"/>
      <c r="M400" s="153"/>
      <c r="N400" s="153"/>
      <c r="O400" s="153"/>
      <c r="P400" s="153"/>
      <c r="Q400" s="153"/>
      <c r="R400" s="153"/>
      <c r="S400" s="153"/>
      <c r="T400" s="153"/>
      <c r="U400" s="153"/>
      <c r="V400" s="157"/>
      <c r="W400" s="157"/>
      <c r="X400" s="207">
        <v>-5.0999999999999996</v>
      </c>
      <c r="Y400" s="207">
        <v>0</v>
      </c>
      <c r="Z400" s="207">
        <v>-4.0382462570694404</v>
      </c>
      <c r="AA400" s="207">
        <v>-4</v>
      </c>
      <c r="AB400" s="207">
        <f>-AB401</f>
        <v>-11.551405159833335</v>
      </c>
      <c r="AC400" s="936">
        <v>0</v>
      </c>
      <c r="AD400" s="207">
        <v>0</v>
      </c>
      <c r="AE400" s="198">
        <f t="shared" si="234"/>
        <v>0</v>
      </c>
      <c r="AF400" s="198">
        <f t="shared" si="234"/>
        <v>0</v>
      </c>
      <c r="AG400" s="198">
        <f t="shared" si="234"/>
        <v>0</v>
      </c>
      <c r="AH400" s="198">
        <f>+AG400</f>
        <v>0</v>
      </c>
      <c r="AI400" s="198">
        <f t="shared" si="235"/>
        <v>0</v>
      </c>
      <c r="AJ400" s="198"/>
      <c r="AK400" s="198">
        <f t="shared" si="235"/>
        <v>0</v>
      </c>
      <c r="AL400" s="198">
        <f t="shared" si="236"/>
        <v>0</v>
      </c>
      <c r="AM400" s="198">
        <f t="shared" si="237"/>
        <v>0</v>
      </c>
      <c r="AN400" s="198">
        <f t="shared" si="238"/>
        <v>0</v>
      </c>
      <c r="AO400" s="198">
        <f t="shared" si="239"/>
        <v>0</v>
      </c>
      <c r="AP400" s="198"/>
      <c r="AQ400" s="198"/>
      <c r="AR400" s="198"/>
      <c r="AS400" s="198"/>
      <c r="AT400" s="2634"/>
      <c r="AU400" s="1056"/>
    </row>
    <row r="401" spans="4:47" hidden="1">
      <c r="D401" s="153" t="s">
        <v>811</v>
      </c>
      <c r="E401" s="153"/>
      <c r="F401" s="153"/>
      <c r="G401" s="153"/>
      <c r="H401" s="153"/>
      <c r="I401" s="153"/>
      <c r="J401" s="153"/>
      <c r="K401" s="153"/>
      <c r="L401" s="153"/>
      <c r="M401" s="153"/>
      <c r="N401" s="153"/>
      <c r="O401" s="153"/>
      <c r="P401" s="153"/>
      <c r="Q401" s="153"/>
      <c r="R401" s="153"/>
      <c r="S401" s="153"/>
      <c r="T401" s="153"/>
      <c r="U401" s="153"/>
      <c r="V401" s="157"/>
      <c r="W401" s="157"/>
      <c r="X401" s="207"/>
      <c r="Y401" s="207"/>
      <c r="Z401" s="207"/>
      <c r="AA401" s="207"/>
      <c r="AB401" s="207">
        <f>0*20.5+14*AB259/1000+0.1</f>
        <v>11.551405159833335</v>
      </c>
      <c r="AC401" s="936">
        <f>(25-14)*AC259/1000</f>
        <v>9.3091120842499979</v>
      </c>
      <c r="AD401" s="207"/>
      <c r="AE401" s="198"/>
      <c r="AF401" s="198"/>
      <c r="AG401" s="198"/>
      <c r="AH401" s="207"/>
      <c r="AI401" s="207"/>
      <c r="AJ401" s="207"/>
      <c r="AK401" s="207"/>
      <c r="AL401" s="207"/>
      <c r="AM401" s="207"/>
      <c r="AN401" s="207"/>
      <c r="AO401" s="207"/>
      <c r="AP401" s="207"/>
      <c r="AQ401" s="207"/>
      <c r="AR401" s="207"/>
      <c r="AS401" s="207"/>
      <c r="AT401" s="2626"/>
      <c r="AU401" s="1056"/>
    </row>
    <row r="402" spans="4:47" hidden="1">
      <c r="D402" s="153" t="s">
        <v>276</v>
      </c>
      <c r="E402" s="153"/>
      <c r="F402" s="153"/>
      <c r="G402" s="153"/>
      <c r="H402" s="153"/>
      <c r="I402" s="153"/>
      <c r="J402" s="153"/>
      <c r="K402" s="153"/>
      <c r="L402" s="153"/>
      <c r="M402" s="153"/>
      <c r="N402" s="153"/>
      <c r="O402" s="153"/>
      <c r="P402" s="153"/>
      <c r="Q402" s="153"/>
      <c r="R402" s="153"/>
      <c r="S402" s="153"/>
      <c r="T402" s="153"/>
      <c r="U402" s="153"/>
      <c r="V402" s="157"/>
      <c r="W402" s="157"/>
      <c r="X402" s="157"/>
      <c r="Y402" s="207">
        <v>0</v>
      </c>
      <c r="Z402" s="207">
        <v>29.4</v>
      </c>
      <c r="AA402" s="207">
        <v>29.4</v>
      </c>
      <c r="AB402" s="207">
        <f>0*22+35.3*0+45.3*0+28.6*0+31.25</f>
        <v>31.25</v>
      </c>
      <c r="AC402" s="936">
        <f>39.8*0+44.75*0+30.15+13.61</f>
        <v>43.76</v>
      </c>
      <c r="AD402" s="198">
        <v>49.674370664146352</v>
      </c>
      <c r="AE402" s="198">
        <v>104.3094574815253</v>
      </c>
      <c r="AF402" s="198">
        <v>105.309457481525</v>
      </c>
      <c r="AG402" s="198">
        <v>106.309457481525</v>
      </c>
      <c r="AH402" s="209">
        <v>81.716719257679429</v>
      </c>
      <c r="AI402" s="209">
        <f>+AH402</f>
        <v>81.716719257679429</v>
      </c>
      <c r="AJ402" s="209"/>
      <c r="AK402" s="209">
        <f>+AJ402</f>
        <v>0</v>
      </c>
      <c r="AL402" s="209">
        <f t="shared" ref="AL402:AM402" si="240">+AK402</f>
        <v>0</v>
      </c>
      <c r="AM402" s="209">
        <f t="shared" si="240"/>
        <v>0</v>
      </c>
      <c r="AN402" s="209">
        <f t="shared" ref="AN402" si="241">+AM402</f>
        <v>0</v>
      </c>
      <c r="AO402" s="209">
        <f t="shared" ref="AO402" si="242">+AN402</f>
        <v>0</v>
      </c>
      <c r="AP402" s="209"/>
      <c r="AQ402" s="209"/>
      <c r="AR402" s="209"/>
      <c r="AS402" s="209"/>
      <c r="AT402" s="2632"/>
      <c r="AU402" s="1056"/>
    </row>
    <row r="403" spans="4:47" hidden="1">
      <c r="D403" s="219" t="s">
        <v>170</v>
      </c>
      <c r="E403" s="153"/>
      <c r="F403" s="153"/>
      <c r="G403" s="153"/>
      <c r="H403" s="153"/>
      <c r="I403" s="153"/>
      <c r="J403" s="153"/>
      <c r="K403" s="153"/>
      <c r="L403" s="153"/>
      <c r="M403" s="153"/>
      <c r="N403" s="153"/>
      <c r="O403" s="153"/>
      <c r="P403" s="153"/>
      <c r="Q403" s="153"/>
      <c r="R403" s="153"/>
      <c r="S403" s="153"/>
      <c r="T403" s="153"/>
      <c r="U403" s="153"/>
      <c r="V403" s="157"/>
      <c r="W403" s="157"/>
      <c r="X403" s="157"/>
      <c r="Y403" s="207"/>
      <c r="Z403" s="207"/>
      <c r="AA403" s="207"/>
      <c r="AB403" s="207"/>
      <c r="AC403" s="207"/>
      <c r="AD403" s="153"/>
      <c r="AE403" s="153"/>
      <c r="AF403" s="153"/>
      <c r="AG403" s="153"/>
      <c r="AH403" s="207"/>
      <c r="AI403" s="207"/>
      <c r="AJ403" s="207"/>
      <c r="AK403" s="207"/>
      <c r="AL403" s="207"/>
      <c r="AM403" s="207"/>
      <c r="AN403" s="207"/>
      <c r="AO403" s="207"/>
      <c r="AP403" s="207"/>
      <c r="AQ403" s="207"/>
      <c r="AR403" s="207"/>
      <c r="AS403" s="207"/>
      <c r="AT403" s="2626"/>
      <c r="AU403" s="1056"/>
    </row>
    <row r="404" spans="4:47" hidden="1">
      <c r="D404" s="221" t="s">
        <v>252</v>
      </c>
      <c r="E404" s="176" t="s">
        <v>724</v>
      </c>
      <c r="F404" s="153"/>
      <c r="G404" s="153"/>
      <c r="H404" s="153"/>
      <c r="I404" s="153"/>
      <c r="J404" s="153"/>
      <c r="K404" s="153"/>
      <c r="L404" s="153"/>
      <c r="M404" s="153"/>
      <c r="N404" s="153"/>
      <c r="O404" s="153"/>
      <c r="P404" s="153"/>
      <c r="Q404" s="153"/>
      <c r="R404" s="153"/>
      <c r="S404" s="153"/>
      <c r="T404" s="153"/>
      <c r="U404" s="157"/>
      <c r="V404" s="157">
        <f t="shared" ref="V404:AC404" si="243">+V900/V303</f>
        <v>1.5232733482201496E-2</v>
      </c>
      <c r="W404" s="157">
        <f t="shared" si="243"/>
        <v>-8.7354219071575576E-3</v>
      </c>
      <c r="X404" s="157">
        <f t="shared" si="243"/>
        <v>-2.476209852365133E-2</v>
      </c>
      <c r="Y404" s="157">
        <f t="shared" si="243"/>
        <v>2.2634474429974998E-2</v>
      </c>
      <c r="Z404" s="157">
        <f t="shared" si="243"/>
        <v>1.611505804886501E-3</v>
      </c>
      <c r="AA404" s="157">
        <f t="shared" si="243"/>
        <v>7.7296449198813308E-3</v>
      </c>
      <c r="AB404" s="157">
        <f t="shared" si="243"/>
        <v>3.3938467223135001E-3</v>
      </c>
      <c r="AC404" s="157">
        <f t="shared" si="243"/>
        <v>5.3818134218173485E-3</v>
      </c>
      <c r="AD404" s="153"/>
      <c r="AE404" s="153"/>
      <c r="AF404" s="153"/>
      <c r="AG404" s="153"/>
      <c r="AH404" s="157"/>
      <c r="AI404" s="157"/>
      <c r="AJ404" s="157"/>
      <c r="AK404" s="157"/>
      <c r="AL404" s="157"/>
      <c r="AM404" s="157"/>
      <c r="AN404" s="157"/>
      <c r="AO404" s="157"/>
      <c r="AP404" s="157"/>
      <c r="AQ404" s="157"/>
      <c r="AR404" s="157"/>
      <c r="AS404" s="157"/>
      <c r="AT404" s="2605"/>
      <c r="AU404" s="1056"/>
    </row>
    <row r="405" spans="4:47" hidden="1">
      <c r="D405" s="221" t="s">
        <v>723</v>
      </c>
      <c r="E405" s="176" t="s">
        <v>725</v>
      </c>
      <c r="F405" s="153"/>
      <c r="G405" s="153"/>
      <c r="H405" s="153"/>
      <c r="I405" s="153"/>
      <c r="J405" s="153"/>
      <c r="K405" s="153"/>
      <c r="L405" s="153"/>
      <c r="M405" s="153"/>
      <c r="N405" s="153"/>
      <c r="O405" s="153"/>
      <c r="P405" s="153"/>
      <c r="Q405" s="153"/>
      <c r="R405" s="153"/>
      <c r="S405" s="153"/>
      <c r="T405" s="153"/>
      <c r="U405" s="153"/>
      <c r="V405" s="157"/>
      <c r="W405" s="222"/>
      <c r="X405" s="220">
        <f>+FISCinyear!CJ1195</f>
        <v>316.52938726960036</v>
      </c>
      <c r="Y405" s="220">
        <f>+X405+Y900</f>
        <v>436.40156385074795</v>
      </c>
      <c r="Z405" s="220">
        <f>+Y405+Z900</f>
        <v>445.70156385074796</v>
      </c>
      <c r="AA405" s="220">
        <f>+Z405+AA900</f>
        <v>495.50366606954339</v>
      </c>
      <c r="AB405" s="223">
        <f>+AA405+AB900</f>
        <v>520.06493479892617</v>
      </c>
      <c r="AC405" s="223">
        <f>+AB405+AC900</f>
        <v>563.02256953187225</v>
      </c>
      <c r="AD405" s="153"/>
      <c r="AE405" s="153"/>
      <c r="AF405" s="153"/>
      <c r="AG405" s="153"/>
      <c r="AH405" s="220"/>
      <c r="AI405" s="220"/>
      <c r="AJ405" s="220"/>
      <c r="AK405" s="220"/>
      <c r="AL405" s="220"/>
      <c r="AM405" s="220"/>
      <c r="AN405" s="220"/>
      <c r="AO405" s="220"/>
      <c r="AP405" s="220"/>
      <c r="AQ405" s="220"/>
      <c r="AR405" s="220"/>
      <c r="AS405" s="220"/>
      <c r="AT405" s="2644"/>
      <c r="AU405" s="1056"/>
    </row>
    <row r="406" spans="4:47" hidden="1">
      <c r="D406" s="221" t="s">
        <v>253</v>
      </c>
      <c r="E406" s="153"/>
      <c r="F406" s="153"/>
      <c r="G406" s="153"/>
      <c r="H406" s="153"/>
      <c r="I406" s="153"/>
      <c r="J406" s="153"/>
      <c r="K406" s="153"/>
      <c r="L406" s="153"/>
      <c r="M406" s="153"/>
      <c r="N406" s="153"/>
      <c r="O406" s="153"/>
      <c r="P406" s="153"/>
      <c r="Q406" s="153"/>
      <c r="R406" s="153"/>
      <c r="S406" s="153"/>
      <c r="T406" s="153"/>
      <c r="U406" s="153"/>
      <c r="V406" s="157"/>
      <c r="W406" s="157"/>
      <c r="X406" s="157">
        <f t="shared" ref="X406:AC406" si="244">+X405/X303</f>
        <v>6.531766142583581E-2</v>
      </c>
      <c r="Y406" s="157">
        <f t="shared" si="244"/>
        <v>8.2402107977860267E-2</v>
      </c>
      <c r="Z406" s="157">
        <f t="shared" si="244"/>
        <v>7.7231253483061507E-2</v>
      </c>
      <c r="AA406" s="157">
        <f t="shared" si="244"/>
        <v>7.6905737400208507E-2</v>
      </c>
      <c r="AB406" s="181">
        <f t="shared" si="244"/>
        <v>7.1861950366025454E-2</v>
      </c>
      <c r="AC406" s="181">
        <f t="shared" si="244"/>
        <v>7.0536528380339802E-2</v>
      </c>
      <c r="AD406" s="153"/>
      <c r="AE406" s="153"/>
      <c r="AF406" s="153"/>
      <c r="AG406" s="153"/>
      <c r="AH406" s="157"/>
      <c r="AI406" s="157"/>
      <c r="AJ406" s="157"/>
      <c r="AK406" s="157"/>
      <c r="AL406" s="157"/>
      <c r="AM406" s="157"/>
      <c r="AN406" s="157"/>
      <c r="AO406" s="157"/>
      <c r="AP406" s="157"/>
      <c r="AQ406" s="157"/>
      <c r="AR406" s="157"/>
      <c r="AS406" s="157"/>
      <c r="AT406" s="2605"/>
      <c r="AU406" s="1056"/>
    </row>
    <row r="407" spans="4:47" hidden="1">
      <c r="D407" s="224" t="s">
        <v>268</v>
      </c>
      <c r="E407" s="176" t="s">
        <v>728</v>
      </c>
      <c r="F407" s="153"/>
      <c r="G407" s="153"/>
      <c r="H407" s="153"/>
      <c r="I407" s="153"/>
      <c r="J407" s="153"/>
      <c r="K407" s="153"/>
      <c r="L407" s="153"/>
      <c r="M407" s="153"/>
      <c r="N407" s="153"/>
      <c r="O407" s="153"/>
      <c r="P407" s="153"/>
      <c r="Q407" s="153"/>
      <c r="R407" s="153"/>
      <c r="S407" s="153"/>
      <c r="T407" s="153"/>
      <c r="U407" s="153"/>
      <c r="V407" s="541" t="s">
        <v>727</v>
      </c>
      <c r="W407" s="539">
        <f>+W281-V281</f>
        <v>0</v>
      </c>
      <c r="X407" s="539">
        <f>+X281-W281</f>
        <v>0</v>
      </c>
      <c r="Y407" s="539">
        <f>+Y281-X281</f>
        <v>0</v>
      </c>
      <c r="Z407" s="539">
        <f>+Z281-Y281</f>
        <v>0</v>
      </c>
      <c r="AA407" s="539">
        <f>+AA281-Z281</f>
        <v>282.89999999999998</v>
      </c>
      <c r="AB407" s="181"/>
      <c r="AC407" s="181"/>
      <c r="AD407" s="153"/>
      <c r="AE407" s="153"/>
      <c r="AF407" s="153"/>
      <c r="AG407" s="153"/>
      <c r="AH407" s="539"/>
      <c r="AI407" s="539"/>
      <c r="AJ407" s="539"/>
      <c r="AK407" s="539"/>
      <c r="AL407" s="539"/>
      <c r="AM407" s="539"/>
      <c r="AN407" s="539"/>
      <c r="AO407" s="539"/>
      <c r="AP407" s="539"/>
      <c r="AQ407" s="539"/>
      <c r="AR407" s="539"/>
      <c r="AS407" s="539"/>
      <c r="AT407" s="539"/>
      <c r="AU407" s="1056"/>
    </row>
    <row r="408" spans="4:47" hidden="1">
      <c r="D408" s="224" t="s">
        <v>269</v>
      </c>
      <c r="E408" s="176" t="s">
        <v>729</v>
      </c>
      <c r="F408" s="153"/>
      <c r="G408" s="153"/>
      <c r="H408" s="153"/>
      <c r="I408" s="153"/>
      <c r="J408" s="153"/>
      <c r="K408" s="153"/>
      <c r="L408" s="153"/>
      <c r="M408" s="153"/>
      <c r="N408" s="153"/>
      <c r="O408" s="153"/>
      <c r="P408" s="153"/>
      <c r="Q408" s="153"/>
      <c r="R408" s="153"/>
      <c r="S408" s="153"/>
      <c r="T408" s="153"/>
      <c r="U408" s="153"/>
      <c r="V408" s="157"/>
      <c r="W408" s="172">
        <f t="shared" ref="W408:AC408" si="245">+W901</f>
        <v>-15.4</v>
      </c>
      <c r="X408" s="172">
        <f t="shared" si="245"/>
        <v>-144.29712944561436</v>
      </c>
      <c r="Y408" s="172">
        <f t="shared" si="245"/>
        <v>150.64964507114763</v>
      </c>
      <c r="Z408" s="172">
        <f t="shared" si="245"/>
        <v>0</v>
      </c>
      <c r="AA408" s="172">
        <f t="shared" si="245"/>
        <v>2.084742819304978</v>
      </c>
      <c r="AB408" s="172">
        <f t="shared" si="245"/>
        <v>16.564485398969001</v>
      </c>
      <c r="AC408" s="172">
        <f t="shared" si="245"/>
        <v>48.83076168552401</v>
      </c>
      <c r="AD408" s="153"/>
      <c r="AE408" s="153"/>
      <c r="AF408" s="153"/>
      <c r="AG408" s="153"/>
      <c r="AH408" s="172"/>
      <c r="AI408" s="172"/>
      <c r="AJ408" s="172"/>
      <c r="AK408" s="172"/>
      <c r="AL408" s="172"/>
      <c r="AM408" s="172"/>
      <c r="AN408" s="172"/>
      <c r="AO408" s="172"/>
      <c r="AP408" s="172"/>
      <c r="AQ408" s="172"/>
      <c r="AR408" s="172"/>
      <c r="AS408" s="172"/>
      <c r="AT408" s="2645"/>
      <c r="AU408" s="1056"/>
    </row>
    <row r="409" spans="4:47" hidden="1">
      <c r="D409" s="224" t="s">
        <v>330</v>
      </c>
      <c r="E409" s="176" t="s">
        <v>730</v>
      </c>
      <c r="F409" s="153"/>
      <c r="G409" s="153"/>
      <c r="H409" s="153"/>
      <c r="I409" s="153"/>
      <c r="J409" s="153"/>
      <c r="K409" s="153"/>
      <c r="L409" s="153"/>
      <c r="M409" s="153"/>
      <c r="N409" s="153"/>
      <c r="O409" s="153"/>
      <c r="P409" s="153"/>
      <c r="Q409" s="153"/>
      <c r="R409" s="153"/>
      <c r="S409" s="153"/>
      <c r="T409" s="153"/>
      <c r="U409" s="153"/>
      <c r="V409" s="541" t="s">
        <v>726</v>
      </c>
      <c r="W409" s="539">
        <f>-(W283-V283)</f>
        <v>4.1000000000000156</v>
      </c>
      <c r="X409" s="539">
        <f>-(X283-W283)</f>
        <v>111.70000000000006</v>
      </c>
      <c r="Y409" s="539">
        <f>-(Y283-X283)</f>
        <v>-145.74520362714765</v>
      </c>
      <c r="Z409" s="539">
        <f>-(Z283-Y283)</f>
        <v>-143.25479637285241</v>
      </c>
      <c r="AA409" s="539">
        <f>-(AA283-Z283)</f>
        <v>0.69999999999998863</v>
      </c>
      <c r="AB409" s="181"/>
      <c r="AC409" s="181"/>
      <c r="AD409" s="153"/>
      <c r="AE409" s="153"/>
      <c r="AF409" s="153"/>
      <c r="AG409" s="153"/>
      <c r="AH409" s="539"/>
      <c r="AI409" s="539"/>
      <c r="AJ409" s="539"/>
      <c r="AK409" s="539"/>
      <c r="AL409" s="539"/>
      <c r="AM409" s="539"/>
      <c r="AN409" s="539"/>
      <c r="AO409" s="539"/>
      <c r="AP409" s="539"/>
      <c r="AQ409" s="539"/>
      <c r="AR409" s="539"/>
      <c r="AS409" s="539"/>
      <c r="AT409" s="539"/>
      <c r="AU409" s="1056"/>
    </row>
    <row r="410" spans="4:47" hidden="1">
      <c r="D410" s="224" t="s">
        <v>731</v>
      </c>
      <c r="E410" s="153"/>
      <c r="F410" s="153"/>
      <c r="G410" s="153"/>
      <c r="H410" s="153"/>
      <c r="I410" s="153"/>
      <c r="J410" s="153"/>
      <c r="K410" s="153"/>
      <c r="L410" s="153"/>
      <c r="M410" s="153"/>
      <c r="N410" s="153"/>
      <c r="O410" s="153"/>
      <c r="P410" s="153"/>
      <c r="Q410" s="153"/>
      <c r="R410" s="153"/>
      <c r="S410" s="153"/>
      <c r="T410" s="153"/>
      <c r="U410" s="153"/>
      <c r="V410" s="157"/>
      <c r="W410" s="172">
        <f>+W904+W905+W906+W909</f>
        <v>0</v>
      </c>
      <c r="X410" s="172">
        <f>+X904+X905+X912+X906+X909</f>
        <v>-141.30000000000001</v>
      </c>
      <c r="Y410" s="172">
        <f>+Y904+Y905+Y912+Y906+Y909</f>
        <v>72.073477222999998</v>
      </c>
      <c r="Z410" s="172">
        <f>+Z904+Z905+Z912+Z906+Z909</f>
        <v>54.3</v>
      </c>
      <c r="AA410" s="267">
        <f t="shared" ref="AA410:AK410" si="246">+SUM(AA904:AA914)</f>
        <v>12.067335386</v>
      </c>
      <c r="AB410" s="267">
        <f t="shared" si="246"/>
        <v>-1.6612621749999974</v>
      </c>
      <c r="AC410" s="267">
        <f t="shared" si="246"/>
        <v>-12.313759441000009</v>
      </c>
      <c r="AD410" s="267">
        <f t="shared" si="246"/>
        <v>-23.998066952000002</v>
      </c>
      <c r="AE410" s="267">
        <f t="shared" si="246"/>
        <v>-12.764345525976657</v>
      </c>
      <c r="AF410" s="267">
        <f>+SUM(AF904:AF914)</f>
        <v>-46.763258612229748</v>
      </c>
      <c r="AG410" s="267">
        <f>+SUM(AG904:AG914)</f>
        <v>20.362304118326986</v>
      </c>
      <c r="AH410" s="267">
        <f t="shared" si="246"/>
        <v>-52.958574296896778</v>
      </c>
      <c r="AI410" s="267">
        <f t="shared" si="246"/>
        <v>-49.735267643790557</v>
      </c>
      <c r="AJ410" s="267"/>
      <c r="AK410" s="267">
        <f t="shared" si="246"/>
        <v>0</v>
      </c>
      <c r="AL410" s="267">
        <f t="shared" ref="AL410:AM410" si="247">+SUM(AL904:AL914)</f>
        <v>0</v>
      </c>
      <c r="AM410" s="267">
        <f t="shared" si="247"/>
        <v>0</v>
      </c>
      <c r="AN410" s="267">
        <f t="shared" ref="AN410:AO410" si="248">+SUM(AN904:AN914)</f>
        <v>0</v>
      </c>
      <c r="AO410" s="267">
        <f t="shared" si="248"/>
        <v>0</v>
      </c>
      <c r="AP410" s="267"/>
      <c r="AQ410" s="267"/>
      <c r="AR410" s="267"/>
      <c r="AS410" s="267"/>
      <c r="AT410" s="2646"/>
      <c r="AU410" s="1056"/>
    </row>
    <row r="411" spans="4:47" hidden="1">
      <c r="D411" s="153" t="s">
        <v>737</v>
      </c>
      <c r="E411" s="153"/>
      <c r="F411" s="153"/>
      <c r="G411" s="153"/>
      <c r="H411" s="153"/>
      <c r="I411" s="153"/>
      <c r="J411" s="153"/>
      <c r="K411" s="153"/>
      <c r="L411" s="153"/>
      <c r="M411" s="153"/>
      <c r="N411" s="153"/>
      <c r="O411" s="153"/>
      <c r="P411" s="153"/>
      <c r="Q411" s="153"/>
      <c r="R411" s="153"/>
      <c r="S411" s="153"/>
      <c r="T411" s="153"/>
      <c r="U411" s="153"/>
      <c r="V411" s="153"/>
      <c r="W411" s="153"/>
      <c r="X411" s="153"/>
      <c r="Y411" s="173"/>
      <c r="Z411" s="172">
        <f>+Z410</f>
        <v>54.3</v>
      </c>
      <c r="AA411" s="208">
        <v>64</v>
      </c>
      <c r="AB411" s="208"/>
      <c r="AC411" s="208"/>
      <c r="AD411" s="153"/>
      <c r="AE411" s="153"/>
      <c r="AF411" s="153"/>
      <c r="AG411" s="153"/>
      <c r="AH411" s="172"/>
      <c r="AI411" s="172"/>
      <c r="AJ411" s="172"/>
      <c r="AK411" s="172"/>
      <c r="AL411" s="172"/>
      <c r="AM411" s="172"/>
      <c r="AN411" s="172"/>
      <c r="AO411" s="172"/>
      <c r="AP411" s="172"/>
      <c r="AQ411" s="172"/>
      <c r="AR411" s="172"/>
      <c r="AS411" s="172"/>
      <c r="AT411" s="2645"/>
      <c r="AU411" s="1056"/>
    </row>
    <row r="412" spans="4:47" hidden="1">
      <c r="D412" s="153" t="s">
        <v>607</v>
      </c>
      <c r="E412" s="176" t="s">
        <v>733</v>
      </c>
      <c r="F412" s="153"/>
      <c r="G412" s="153"/>
      <c r="H412" s="153"/>
      <c r="I412" s="153"/>
      <c r="J412" s="153"/>
      <c r="K412" s="153"/>
      <c r="L412" s="153"/>
      <c r="M412" s="153"/>
      <c r="N412" s="153"/>
      <c r="O412" s="153"/>
      <c r="P412" s="153"/>
      <c r="Q412" s="153"/>
      <c r="R412" s="153"/>
      <c r="S412" s="153"/>
      <c r="T412" s="153"/>
      <c r="U412" s="153"/>
      <c r="V412" s="153"/>
      <c r="W412" s="153"/>
      <c r="X412" s="153"/>
      <c r="Y412" s="173"/>
      <c r="Z412" s="542"/>
      <c r="AA412" s="571">
        <v>30</v>
      </c>
      <c r="AB412" s="560"/>
      <c r="AC412" s="561"/>
      <c r="AD412" s="153"/>
      <c r="AE412" s="153"/>
      <c r="AF412" s="153"/>
      <c r="AG412" s="153"/>
      <c r="AH412" s="542"/>
      <c r="AI412" s="542"/>
      <c r="AJ412" s="542"/>
      <c r="AK412" s="542"/>
      <c r="AL412" s="542"/>
      <c r="AM412" s="542"/>
      <c r="AN412" s="542"/>
      <c r="AO412" s="542"/>
      <c r="AP412" s="542"/>
      <c r="AQ412" s="542"/>
      <c r="AR412" s="542"/>
      <c r="AS412" s="542"/>
      <c r="AT412" s="2647"/>
      <c r="AU412" s="1056"/>
    </row>
    <row r="413" spans="4:47" ht="15.9" hidden="1" thickBot="1">
      <c r="D413" s="153" t="s">
        <v>608</v>
      </c>
      <c r="E413" s="176" t="s">
        <v>732</v>
      </c>
      <c r="F413" s="153"/>
      <c r="G413" s="153"/>
      <c r="H413" s="153"/>
      <c r="I413" s="153"/>
      <c r="J413" s="153"/>
      <c r="K413" s="153"/>
      <c r="L413" s="153"/>
      <c r="M413" s="153"/>
      <c r="N413" s="153"/>
      <c r="O413" s="153"/>
      <c r="P413" s="153"/>
      <c r="Q413" s="153"/>
      <c r="R413" s="153"/>
      <c r="S413" s="153"/>
      <c r="T413" s="153"/>
      <c r="U413" s="153"/>
      <c r="V413" s="153"/>
      <c r="W413" s="153"/>
      <c r="X413" s="153"/>
      <c r="Y413" s="173"/>
      <c r="Z413" s="542"/>
      <c r="AA413" s="572">
        <v>30</v>
      </c>
      <c r="AB413" s="560"/>
      <c r="AC413" s="561"/>
      <c r="AD413" s="153"/>
      <c r="AE413" s="153"/>
      <c r="AF413" s="153"/>
      <c r="AG413" s="153"/>
      <c r="AH413" s="542"/>
      <c r="AI413" s="542"/>
      <c r="AU413" s="1056"/>
    </row>
    <row r="414" spans="4:47" hidden="1">
      <c r="D414" s="153"/>
      <c r="E414" s="176" t="s">
        <v>735</v>
      </c>
      <c r="F414" s="153"/>
      <c r="G414" s="153"/>
      <c r="H414" s="153"/>
      <c r="I414" s="153"/>
      <c r="J414" s="153"/>
      <c r="K414" s="153"/>
      <c r="L414" s="153"/>
      <c r="M414" s="153"/>
      <c r="N414" s="153"/>
      <c r="O414" s="153"/>
      <c r="P414" s="153"/>
      <c r="Q414" s="153"/>
      <c r="R414" s="153"/>
      <c r="S414" s="153"/>
      <c r="T414" s="153"/>
      <c r="U414" s="153"/>
      <c r="V414" s="153"/>
      <c r="W414" s="153"/>
      <c r="X414" s="153"/>
      <c r="Y414" s="173"/>
      <c r="Z414" s="173"/>
      <c r="AA414" s="173"/>
      <c r="AB414" s="173"/>
      <c r="AC414" s="180"/>
      <c r="AD414" s="153"/>
      <c r="AE414" s="153"/>
      <c r="AF414" s="153"/>
      <c r="AG414" s="153"/>
      <c r="AH414" s="173"/>
      <c r="AI414" s="173"/>
      <c r="AJ414" s="173"/>
      <c r="AK414" s="173"/>
      <c r="AL414" s="173"/>
      <c r="AM414" s="173"/>
      <c r="AN414" s="173"/>
      <c r="AO414" s="173"/>
      <c r="AP414" s="173"/>
      <c r="AQ414" s="173"/>
      <c r="AR414" s="173"/>
      <c r="AS414" s="173"/>
      <c r="AT414" s="2617"/>
      <c r="AU414" s="1056"/>
    </row>
    <row r="415" spans="4:47" hidden="1">
      <c r="D415" s="168" t="s">
        <v>236</v>
      </c>
      <c r="E415" s="153"/>
      <c r="F415" s="153"/>
      <c r="G415" s="153"/>
      <c r="H415" s="153"/>
      <c r="I415" s="153"/>
      <c r="J415" s="153"/>
      <c r="K415" s="153"/>
      <c r="L415" s="153"/>
      <c r="M415" s="153"/>
      <c r="N415" s="153"/>
      <c r="O415" s="153"/>
      <c r="P415" s="153"/>
      <c r="Q415" s="153"/>
      <c r="R415" s="153"/>
      <c r="S415" s="153"/>
      <c r="T415" s="153"/>
      <c r="U415" s="153"/>
      <c r="V415" s="153"/>
      <c r="W415" s="153"/>
      <c r="X415" s="153"/>
      <c r="Y415" s="173"/>
      <c r="Z415" s="173"/>
      <c r="AA415" s="173"/>
      <c r="AB415" s="173"/>
      <c r="AC415" s="180"/>
      <c r="AD415" s="153"/>
      <c r="AE415" s="153"/>
      <c r="AF415" s="153"/>
      <c r="AG415" s="153"/>
      <c r="AH415" s="173"/>
      <c r="AI415" s="173"/>
      <c r="AJ415" s="173"/>
      <c r="AK415" s="173"/>
      <c r="AL415" s="173"/>
      <c r="AM415" s="173"/>
      <c r="AN415" s="173"/>
      <c r="AO415" s="173"/>
      <c r="AP415" s="173"/>
      <c r="AQ415" s="173"/>
      <c r="AR415" s="173"/>
      <c r="AS415" s="173"/>
      <c r="AT415" s="2617"/>
      <c r="AU415" s="1056"/>
    </row>
    <row r="416" spans="4:47" hidden="1">
      <c r="D416" s="156" t="s">
        <v>237</v>
      </c>
      <c r="E416" s="153"/>
      <c r="F416" s="153"/>
      <c r="G416" s="153"/>
      <c r="H416" s="153"/>
      <c r="I416" s="153"/>
      <c r="J416" s="153"/>
      <c r="K416" s="153"/>
      <c r="L416" s="153"/>
      <c r="M416" s="153"/>
      <c r="N416" s="153"/>
      <c r="O416" s="153"/>
      <c r="P416" s="153"/>
      <c r="Q416" s="153"/>
      <c r="R416" s="153"/>
      <c r="S416" s="153"/>
      <c r="T416" s="153"/>
      <c r="U416" s="153"/>
      <c r="V416" s="153"/>
      <c r="W416" s="153"/>
      <c r="X416" s="153"/>
      <c r="Y416" s="173"/>
      <c r="Z416" s="173"/>
      <c r="AA416" s="173"/>
      <c r="AB416" s="173"/>
      <c r="AC416" s="196"/>
      <c r="AD416" s="153"/>
      <c r="AE416" s="153"/>
      <c r="AF416" s="153"/>
      <c r="AG416" s="153"/>
      <c r="AH416" s="173"/>
      <c r="AI416" s="173"/>
      <c r="AJ416" s="173"/>
      <c r="AK416" s="173"/>
      <c r="AL416" s="173"/>
      <c r="AM416" s="173"/>
      <c r="AN416" s="173"/>
      <c r="AO416" s="173"/>
      <c r="AP416" s="173"/>
      <c r="AQ416" s="173"/>
      <c r="AR416" s="173"/>
      <c r="AS416" s="173"/>
      <c r="AT416" s="2617"/>
      <c r="AU416" s="1056"/>
    </row>
    <row r="417" spans="3:49" hidden="1">
      <c r="D417" s="156" t="s">
        <v>701</v>
      </c>
      <c r="E417" s="153"/>
      <c r="F417" s="153"/>
      <c r="G417" s="153"/>
      <c r="H417" s="153"/>
      <c r="I417" s="153"/>
      <c r="J417" s="153"/>
      <c r="K417" s="153"/>
      <c r="L417" s="153"/>
      <c r="M417" s="153"/>
      <c r="N417" s="153"/>
      <c r="O417" s="153"/>
      <c r="P417" s="153"/>
      <c r="Q417" s="153"/>
      <c r="R417" s="153"/>
      <c r="S417" s="153"/>
      <c r="T417" s="153"/>
      <c r="U417" s="153"/>
      <c r="V417" s="153"/>
      <c r="W417" s="153"/>
      <c r="X417" s="153"/>
      <c r="Y417" s="173"/>
      <c r="Z417" s="173"/>
      <c r="AA417" s="173"/>
      <c r="AB417" s="173"/>
      <c r="AC417" s="196">
        <v>0.06</v>
      </c>
      <c r="AD417" s="196">
        <v>0.06</v>
      </c>
      <c r="AE417" s="196">
        <v>0.06</v>
      </c>
      <c r="AF417" s="196">
        <v>1.06</v>
      </c>
      <c r="AG417" s="196">
        <v>2.06</v>
      </c>
      <c r="AH417" s="196">
        <v>0.06</v>
      </c>
      <c r="AI417" s="196">
        <v>0.06</v>
      </c>
      <c r="AJ417" s="196"/>
      <c r="AK417" s="196">
        <v>0.06</v>
      </c>
      <c r="AL417" s="196">
        <v>1.06</v>
      </c>
      <c r="AM417" s="196">
        <v>2.06</v>
      </c>
      <c r="AN417" s="196">
        <v>3.06</v>
      </c>
      <c r="AO417" s="196">
        <v>4.0599999999999996</v>
      </c>
      <c r="AP417" s="196"/>
      <c r="AQ417" s="196"/>
      <c r="AR417" s="196"/>
      <c r="AS417" s="196"/>
      <c r="AT417" s="2631"/>
      <c r="AU417" s="1056"/>
    </row>
    <row r="418" spans="3:49" hidden="1">
      <c r="D418" s="225" t="s">
        <v>700</v>
      </c>
      <c r="E418" s="215"/>
      <c r="F418" s="215"/>
      <c r="G418" s="215"/>
      <c r="H418" s="215"/>
      <c r="I418" s="215"/>
      <c r="J418" s="215"/>
      <c r="K418" s="215"/>
      <c r="L418" s="215"/>
      <c r="M418" s="215"/>
      <c r="N418" s="215"/>
      <c r="O418" s="215"/>
      <c r="P418" s="215"/>
      <c r="Q418" s="215"/>
      <c r="R418" s="215"/>
      <c r="S418" s="215"/>
      <c r="T418" s="215"/>
      <c r="U418" s="215"/>
      <c r="V418" s="215"/>
      <c r="W418" s="215"/>
      <c r="X418" s="215"/>
      <c r="Y418" s="215"/>
      <c r="Z418" s="215"/>
      <c r="AA418" s="1399"/>
      <c r="AB418" s="1399"/>
      <c r="AC418" s="1399"/>
      <c r="AD418" s="1399"/>
      <c r="AE418" s="1399"/>
      <c r="AF418" s="215"/>
      <c r="AG418" s="215"/>
      <c r="AH418" s="215"/>
      <c r="AI418" s="215"/>
      <c r="AJ418" s="215"/>
      <c r="AK418" s="215"/>
      <c r="AL418" s="215"/>
      <c r="AM418" s="215"/>
      <c r="AN418" s="215"/>
      <c r="AO418" s="215"/>
      <c r="AP418" s="215"/>
      <c r="AQ418" s="215"/>
      <c r="AR418" s="215"/>
      <c r="AS418" s="215"/>
      <c r="AT418" s="2648"/>
      <c r="AU418" s="1056"/>
    </row>
    <row r="419" spans="3:49">
      <c r="D419" s="74" t="s">
        <v>819</v>
      </c>
      <c r="E419" s="1"/>
      <c r="F419" s="1"/>
      <c r="G419" s="1"/>
      <c r="H419" s="1"/>
      <c r="I419" s="1"/>
      <c r="J419" s="1"/>
      <c r="K419" s="1"/>
      <c r="L419" s="1"/>
      <c r="M419" s="1"/>
      <c r="N419" s="1"/>
      <c r="O419" s="1"/>
      <c r="P419" s="1"/>
      <c r="Q419" s="1"/>
      <c r="R419" s="1"/>
      <c r="S419" s="1"/>
      <c r="T419" s="1"/>
      <c r="V419" s="1"/>
      <c r="W419" s="1">
        <f t="shared" ref="W419:AC419" si="249">W421/V421-1</f>
        <v>0.15749073583906825</v>
      </c>
      <c r="X419" s="1">
        <f t="shared" si="249"/>
        <v>0.10816373199176765</v>
      </c>
      <c r="Y419" s="1">
        <f t="shared" si="249"/>
        <v>9.2860090796533123E-2</v>
      </c>
      <c r="Z419" s="1">
        <f t="shared" si="249"/>
        <v>8.9690332326284095E-2</v>
      </c>
      <c r="AA419" s="1">
        <f t="shared" si="249"/>
        <v>0.11644429041760529</v>
      </c>
      <c r="AB419" s="1">
        <f t="shared" si="249"/>
        <v>0.12323451808163899</v>
      </c>
      <c r="AC419" s="1">
        <f t="shared" si="249"/>
        <v>0.10294320851181427</v>
      </c>
      <c r="AG419" s="958"/>
      <c r="AH419" s="957"/>
      <c r="AI419" s="957"/>
      <c r="AJ419" s="957"/>
      <c r="AK419" s="957"/>
      <c r="AL419" s="957"/>
      <c r="AU419" s="1056"/>
    </row>
    <row r="420" spans="3:49" ht="18.3">
      <c r="C420" s="73"/>
      <c r="D420" s="146" t="s">
        <v>2334</v>
      </c>
      <c r="E420" s="30"/>
      <c r="F420" s="30"/>
      <c r="G420" s="30"/>
      <c r="H420" s="30"/>
      <c r="I420" s="121" t="s">
        <v>1104</v>
      </c>
      <c r="J420" s="121" t="s">
        <v>1100</v>
      </c>
      <c r="K420" s="121" t="s">
        <v>1099</v>
      </c>
      <c r="L420" s="126" t="s">
        <v>1098</v>
      </c>
      <c r="M420" s="121" t="s">
        <v>1097</v>
      </c>
      <c r="N420" s="126" t="s">
        <v>1096</v>
      </c>
      <c r="O420" s="121" t="s">
        <v>1095</v>
      </c>
      <c r="P420" s="126" t="s">
        <v>1094</v>
      </c>
      <c r="Q420" s="121" t="s">
        <v>1093</v>
      </c>
      <c r="R420" s="126" t="s">
        <v>183</v>
      </c>
      <c r="S420" s="121" t="s">
        <v>184</v>
      </c>
      <c r="T420" s="121" t="s">
        <v>185</v>
      </c>
      <c r="U420" s="126" t="s">
        <v>186</v>
      </c>
      <c r="V420" s="121" t="s">
        <v>173</v>
      </c>
      <c r="W420" s="121" t="s">
        <v>174</v>
      </c>
      <c r="X420" s="121" t="s">
        <v>175</v>
      </c>
      <c r="Y420" s="121" t="s">
        <v>176</v>
      </c>
      <c r="Z420" s="121" t="s">
        <v>177</v>
      </c>
      <c r="AA420" s="121" t="s">
        <v>178</v>
      </c>
      <c r="AB420" s="121" t="s">
        <v>179</v>
      </c>
      <c r="AC420" s="121" t="s">
        <v>180</v>
      </c>
      <c r="AD420" s="121" t="s">
        <v>181</v>
      </c>
      <c r="AE420" s="121" t="s">
        <v>182</v>
      </c>
      <c r="AF420" s="121" t="s">
        <v>1062</v>
      </c>
      <c r="AG420" s="121" t="s">
        <v>1088</v>
      </c>
      <c r="AH420" s="121" t="s">
        <v>1089</v>
      </c>
      <c r="AI420" s="121" t="s">
        <v>1090</v>
      </c>
      <c r="AJ420" s="121" t="s">
        <v>1091</v>
      </c>
      <c r="AK420" s="121" t="s">
        <v>1092</v>
      </c>
      <c r="AL420" s="121" t="s">
        <v>3216</v>
      </c>
      <c r="AM420" s="121" t="s">
        <v>3305</v>
      </c>
      <c r="AN420" s="121" t="s">
        <v>3487</v>
      </c>
      <c r="AO420" s="121" t="s">
        <v>3488</v>
      </c>
      <c r="AP420" s="121" t="s">
        <v>3611</v>
      </c>
      <c r="AQ420" s="121" t="s">
        <v>3612</v>
      </c>
      <c r="AR420" s="121" t="s">
        <v>3613</v>
      </c>
      <c r="AS420" s="121" t="s">
        <v>3614</v>
      </c>
      <c r="AT420" s="121" t="s">
        <v>3615</v>
      </c>
      <c r="AU420" s="121" t="s">
        <v>3991</v>
      </c>
    </row>
    <row r="421" spans="3:49">
      <c r="C421" s="73"/>
      <c r="D421" s="152" t="s">
        <v>216</v>
      </c>
      <c r="E421" s="153"/>
      <c r="F421" s="153"/>
      <c r="G421" s="153"/>
      <c r="H421" s="153"/>
      <c r="I421" s="154"/>
      <c r="J421" s="154"/>
      <c r="K421" s="154">
        <f t="shared" ref="K421:Q421" si="250">+(J213+K213)/2</f>
        <v>763</v>
      </c>
      <c r="L421" s="154">
        <f t="shared" si="250"/>
        <v>838.5</v>
      </c>
      <c r="M421" s="154">
        <f t="shared" si="250"/>
        <v>902.5</v>
      </c>
      <c r="N421" s="154">
        <f t="shared" si="250"/>
        <v>1041.5</v>
      </c>
      <c r="O421" s="154">
        <f t="shared" si="250"/>
        <v>1260.5</v>
      </c>
      <c r="P421" s="154">
        <f t="shared" si="250"/>
        <v>1504</v>
      </c>
      <c r="Q421" s="154">
        <f t="shared" si="250"/>
        <v>1721</v>
      </c>
      <c r="R421" s="154">
        <f t="shared" ref="R421:AF421" si="251">R214</f>
        <v>2031</v>
      </c>
      <c r="S421" s="154">
        <f t="shared" si="251"/>
        <v>2466</v>
      </c>
      <c r="T421" s="154">
        <f t="shared" si="251"/>
        <v>3097</v>
      </c>
      <c r="U421" s="154">
        <f t="shared" si="251"/>
        <v>3373</v>
      </c>
      <c r="V421" s="154">
        <f t="shared" si="251"/>
        <v>3778</v>
      </c>
      <c r="W421" s="154">
        <f t="shared" si="251"/>
        <v>4373</v>
      </c>
      <c r="X421" s="154">
        <f t="shared" si="251"/>
        <v>4846</v>
      </c>
      <c r="Y421" s="154">
        <f t="shared" si="251"/>
        <v>5296</v>
      </c>
      <c r="Z421" s="154">
        <f t="shared" si="251"/>
        <v>5771</v>
      </c>
      <c r="AA421" s="154">
        <f t="shared" si="251"/>
        <v>6443</v>
      </c>
      <c r="AB421" s="154">
        <f t="shared" si="251"/>
        <v>7237</v>
      </c>
      <c r="AC421" s="154">
        <f t="shared" si="251"/>
        <v>7982</v>
      </c>
      <c r="AD421" s="154">
        <f t="shared" si="251"/>
        <v>8784</v>
      </c>
      <c r="AE421" s="154">
        <f t="shared" si="251"/>
        <v>9640</v>
      </c>
      <c r="AF421" s="154">
        <f t="shared" si="251"/>
        <v>10499</v>
      </c>
      <c r="AG421" s="207">
        <f t="shared" ref="AG421:AR421" si="252">AG214</f>
        <v>12359</v>
      </c>
      <c r="AH421" s="207">
        <f t="shared" si="252"/>
        <v>15800</v>
      </c>
      <c r="AI421" s="207">
        <f t="shared" si="252"/>
        <v>18547.5</v>
      </c>
      <c r="AJ421" s="154">
        <f>AJ214</f>
        <v>21652.5</v>
      </c>
      <c r="AK421" s="154">
        <f t="shared" si="252"/>
        <v>25286.692679098727</v>
      </c>
      <c r="AL421" s="154">
        <f t="shared" si="252"/>
        <v>28849.370738551253</v>
      </c>
      <c r="AM421" s="154">
        <f t="shared" si="252"/>
        <v>32496.933271959228</v>
      </c>
      <c r="AN421" s="154">
        <f t="shared" si="252"/>
        <v>36664.816080221681</v>
      </c>
      <c r="AO421" s="154">
        <f>AO214</f>
        <v>41241.139181209001</v>
      </c>
      <c r="AP421" s="154">
        <f t="shared" si="252"/>
        <v>45973.462349951267</v>
      </c>
      <c r="AQ421" s="154">
        <f t="shared" si="252"/>
        <v>51553.253914279325</v>
      </c>
      <c r="AR421" s="154">
        <f t="shared" si="252"/>
        <v>57424.231915315424</v>
      </c>
      <c r="AS421" s="154">
        <f>AS214</f>
        <v>64094.31706668924</v>
      </c>
      <c r="AT421" s="2604">
        <v>82270.010091690798</v>
      </c>
      <c r="AV421" s="1">
        <v>21512</v>
      </c>
    </row>
    <row r="422" spans="3:49">
      <c r="C422" s="73"/>
      <c r="D422" s="156" t="s">
        <v>239</v>
      </c>
      <c r="E422" s="153"/>
      <c r="F422" s="153"/>
      <c r="G422" s="153"/>
      <c r="H422" s="153"/>
      <c r="I422" s="153"/>
      <c r="J422" s="153"/>
      <c r="K422" s="153"/>
      <c r="L422" s="157">
        <f t="shared" ref="L422:V422" si="253">+L421/K421-1</f>
        <v>9.8951507208387968E-2</v>
      </c>
      <c r="M422" s="157">
        <f t="shared" si="253"/>
        <v>7.6326774001192588E-2</v>
      </c>
      <c r="N422" s="157">
        <f t="shared" si="253"/>
        <v>0.15401662049861486</v>
      </c>
      <c r="O422" s="157">
        <f t="shared" si="253"/>
        <v>0.21027364378300528</v>
      </c>
      <c r="P422" s="157">
        <f t="shared" si="253"/>
        <v>0.19317731059103527</v>
      </c>
      <c r="Q422" s="157">
        <f t="shared" si="253"/>
        <v>0.14428191489361697</v>
      </c>
      <c r="R422" s="157">
        <f t="shared" si="253"/>
        <v>0.18012783265543297</v>
      </c>
      <c r="S422" s="157">
        <f t="shared" si="253"/>
        <v>0.21418020679468253</v>
      </c>
      <c r="T422" s="157">
        <f t="shared" si="253"/>
        <v>0.25587996755879971</v>
      </c>
      <c r="U422" s="157">
        <f>+U421/T421-1</f>
        <v>8.9118501775912184E-2</v>
      </c>
      <c r="V422" s="157">
        <f t="shared" si="253"/>
        <v>0.12007115327601547</v>
      </c>
      <c r="W422" s="157">
        <f>+W421/V421-1</f>
        <v>0.15749073583906825</v>
      </c>
      <c r="X422" s="157">
        <f t="shared" ref="X422:AE422" si="254">+X421/W421-1</f>
        <v>0.10816373199176765</v>
      </c>
      <c r="Y422" s="157">
        <f t="shared" si="254"/>
        <v>9.2860090796533123E-2</v>
      </c>
      <c r="Z422" s="157">
        <f t="shared" si="254"/>
        <v>8.9690332326284095E-2</v>
      </c>
      <c r="AA422" s="157">
        <f t="shared" si="254"/>
        <v>0.11644429041760529</v>
      </c>
      <c r="AB422" s="157">
        <f t="shared" si="254"/>
        <v>0.12323451808163899</v>
      </c>
      <c r="AC422" s="157">
        <f t="shared" si="254"/>
        <v>0.10294320851181427</v>
      </c>
      <c r="AD422" s="157">
        <f t="shared" si="254"/>
        <v>0.10047607116011026</v>
      </c>
      <c r="AE422" s="157">
        <f t="shared" si="254"/>
        <v>9.7449908925318685E-2</v>
      </c>
      <c r="AF422" s="157">
        <f t="shared" ref="AF422:AM422" si="255">+AF421/AE421-1</f>
        <v>8.9107883817427291E-2</v>
      </c>
      <c r="AG422" s="157">
        <f t="shared" si="255"/>
        <v>0.17715972949804737</v>
      </c>
      <c r="AH422" s="157">
        <f t="shared" si="255"/>
        <v>0.27842058418965943</v>
      </c>
      <c r="AI422" s="157">
        <f>+AI421/AH421-1</f>
        <v>0.17389240506329107</v>
      </c>
      <c r="AJ422" s="157">
        <f t="shared" si="255"/>
        <v>0.16740800646987464</v>
      </c>
      <c r="AK422" s="157">
        <f t="shared" si="255"/>
        <v>0.16784171246270541</v>
      </c>
      <c r="AL422" s="157">
        <f t="shared" si="255"/>
        <v>0.14089142082219941</v>
      </c>
      <c r="AM422" s="157">
        <f t="shared" si="255"/>
        <v>0.12643473462434152</v>
      </c>
      <c r="AN422" s="157">
        <f>+AN421/AM421-1</f>
        <v>0.12825465016598381</v>
      </c>
      <c r="AO422" s="157">
        <f t="shared" ref="AO422" si="256">+AO421/AN421-1</f>
        <v>0.12481511133110401</v>
      </c>
      <c r="AP422" s="157">
        <f t="shared" ref="AP422" si="257">+AP421/AO421-1</f>
        <v>0.11474763458761328</v>
      </c>
      <c r="AQ422" s="157">
        <f t="shared" ref="AQ422" si="258">+AQ421/AP421-1</f>
        <v>0.12136983553369407</v>
      </c>
      <c r="AR422" s="157">
        <f t="shared" ref="AR422" si="259">+AR421/AQ421-1</f>
        <v>0.11388181259708885</v>
      </c>
      <c r="AS422" s="157">
        <f t="shared" ref="AS422" si="260">+AS421/AR421-1</f>
        <v>0.11615453840480283</v>
      </c>
      <c r="AT422" s="157">
        <f t="shared" ref="AT422" si="261">+AT421/AS421-1</f>
        <v>0.28357729447510938</v>
      </c>
      <c r="AV422" s="1656"/>
    </row>
    <row r="423" spans="3:49">
      <c r="C423" s="73"/>
      <c r="D423" s="153" t="s">
        <v>302</v>
      </c>
      <c r="E423" s="153"/>
      <c r="F423" s="153"/>
      <c r="G423" s="153"/>
      <c r="H423" s="153"/>
      <c r="I423" s="153"/>
      <c r="J423" s="153"/>
      <c r="K423" s="154">
        <f t="shared" ref="K423:V423" si="262">+(J212+K212)/2</f>
        <v>375.52500000000003</v>
      </c>
      <c r="L423" s="154">
        <f t="shared" si="262"/>
        <v>405.625</v>
      </c>
      <c r="M423" s="154">
        <f t="shared" si="262"/>
        <v>433.77499999999998</v>
      </c>
      <c r="N423" s="154">
        <f t="shared" si="262"/>
        <v>489.6</v>
      </c>
      <c r="O423" s="154">
        <f t="shared" si="262"/>
        <v>559.22500000000002</v>
      </c>
      <c r="P423" s="154">
        <f t="shared" si="262"/>
        <v>659.5</v>
      </c>
      <c r="Q423" s="154">
        <f t="shared" si="262"/>
        <v>694.99019981925892</v>
      </c>
      <c r="R423" s="154">
        <f t="shared" si="262"/>
        <v>771.73233381865634</v>
      </c>
      <c r="S423" s="154">
        <f t="shared" si="262"/>
        <v>1012.822667938548</v>
      </c>
      <c r="T423" s="154">
        <f t="shared" si="262"/>
        <v>1215.945905713425</v>
      </c>
      <c r="U423" s="154">
        <f t="shared" si="262"/>
        <v>1363.9169720855507</v>
      </c>
      <c r="V423" s="154">
        <f t="shared" si="262"/>
        <v>1546.7258949191685</v>
      </c>
      <c r="W423" s="154">
        <f t="shared" ref="W423:AL423" si="263">+(V212+W212)/2</f>
        <v>1790.8015413194096</v>
      </c>
      <c r="X423" s="154">
        <f t="shared" si="263"/>
        <v>2007.6382165694599</v>
      </c>
      <c r="Y423" s="154">
        <f t="shared" si="263"/>
        <v>2209.6660380368148</v>
      </c>
      <c r="Z423" s="154">
        <f t="shared" si="263"/>
        <v>2430.2382242874901</v>
      </c>
      <c r="AA423" s="154">
        <f t="shared" si="263"/>
        <v>2640.1027299356538</v>
      </c>
      <c r="AB423" s="154">
        <f t="shared" si="263"/>
        <v>2910.4378918784437</v>
      </c>
      <c r="AC423" s="154">
        <f t="shared" si="263"/>
        <v>3322.7492161797431</v>
      </c>
      <c r="AD423" s="154">
        <f t="shared" si="263"/>
        <v>3939.1174311054729</v>
      </c>
      <c r="AE423" s="154">
        <f t="shared" si="263"/>
        <v>4298.6609938467363</v>
      </c>
      <c r="AF423" s="154">
        <f t="shared" si="263"/>
        <v>4833.2801637588063</v>
      </c>
      <c r="AG423" s="154">
        <f t="shared" si="263"/>
        <v>6211.6742428523858</v>
      </c>
      <c r="AH423" s="154">
        <f>+(AG212+AH212)/2</f>
        <v>7722.1765433112587</v>
      </c>
      <c r="AI423" s="154">
        <f t="shared" si="263"/>
        <v>9317.2403182327071</v>
      </c>
      <c r="AJ423" s="154">
        <f t="shared" si="263"/>
        <v>11597.837606527679</v>
      </c>
      <c r="AK423" s="154">
        <f t="shared" si="263"/>
        <v>13866.878745656632</v>
      </c>
      <c r="AL423" s="154">
        <f t="shared" si="263"/>
        <v>15666.273562822194</v>
      </c>
      <c r="AM423" s="154">
        <f>+(AL212+AM212)/2</f>
        <v>17671.031522973142</v>
      </c>
      <c r="AN423" s="154">
        <f t="shared" ref="AN423:AO423" si="264">+(AM212+AN212)/2</f>
        <v>20069.620389076794</v>
      </c>
      <c r="AO423" s="154">
        <f t="shared" si="264"/>
        <v>22802.067080675919</v>
      </c>
      <c r="AP423" s="154">
        <f t="shared" ref="AP423" si="265">+(AO212+AP212)/2</f>
        <v>25540.503307485185</v>
      </c>
      <c r="AQ423" s="154">
        <f t="shared" ref="AQ423" si="266">+(AP212+AQ212)/2</f>
        <v>28404.977036272416</v>
      </c>
      <c r="AR423" s="154">
        <f t="shared" ref="AR423" si="267">+(AQ212+AR212)/2</f>
        <v>31768.935651023494</v>
      </c>
      <c r="AS423" s="154">
        <f t="shared" ref="AS423" si="268">+(AR212+AS212)/2</f>
        <v>35281.420395525733</v>
      </c>
      <c r="AT423" s="2604">
        <f t="shared" ref="AT423" si="269">+(AS212+AT212)/2</f>
        <v>38478.842776825928</v>
      </c>
      <c r="AU423" s="1219"/>
      <c r="AV423" s="1219"/>
      <c r="AW423" s="1219"/>
    </row>
    <row r="424" spans="3:49">
      <c r="C424" s="73"/>
      <c r="D424" s="153" t="s">
        <v>320</v>
      </c>
      <c r="E424" s="153"/>
      <c r="F424" s="153"/>
      <c r="G424" s="153"/>
      <c r="H424" s="154">
        <f t="shared" ref="H424:M424" si="270">+(H$421-H751-H758-(H789+H816))</f>
        <v>0</v>
      </c>
      <c r="I424" s="154">
        <f t="shared" si="270"/>
        <v>0</v>
      </c>
      <c r="J424" s="154">
        <f t="shared" si="270"/>
        <v>-76.579461220000013</v>
      </c>
      <c r="K424" s="154">
        <f t="shared" si="270"/>
        <v>681.30583877999993</v>
      </c>
      <c r="L424" s="154">
        <f t="shared" si="270"/>
        <v>749.6318</v>
      </c>
      <c r="M424" s="154">
        <f t="shared" si="270"/>
        <v>802.91450000000009</v>
      </c>
      <c r="N424" s="154">
        <f t="shared" ref="N424:AT424" si="271">+(N$421-N1077-N1099-(N1157+N1208+1183))</f>
        <v>-141.5</v>
      </c>
      <c r="O424" s="154">
        <f t="shared" si="271"/>
        <v>77.5</v>
      </c>
      <c r="P424" s="154">
        <f t="shared" si="271"/>
        <v>321</v>
      </c>
      <c r="Q424" s="154">
        <f t="shared" si="271"/>
        <v>538</v>
      </c>
      <c r="R424" s="154">
        <f t="shared" si="271"/>
        <v>848</v>
      </c>
      <c r="S424" s="154">
        <f t="shared" si="271"/>
        <v>1283</v>
      </c>
      <c r="T424" s="154">
        <f t="shared" si="271"/>
        <v>1914</v>
      </c>
      <c r="U424" s="154">
        <f t="shared" si="271"/>
        <v>2190</v>
      </c>
      <c r="V424" s="154">
        <f t="shared" si="271"/>
        <v>2408.6811658227316</v>
      </c>
      <c r="W424" s="154">
        <f t="shared" si="271"/>
        <v>2969.2532043471069</v>
      </c>
      <c r="X424" s="154">
        <f t="shared" si="271"/>
        <v>3398.4089031573626</v>
      </c>
      <c r="Y424" s="154">
        <f t="shared" si="271"/>
        <v>3484.3147781106841</v>
      </c>
      <c r="Z424" s="154">
        <f t="shared" si="271"/>
        <v>3899.1557450260279</v>
      </c>
      <c r="AA424" s="154">
        <f t="shared" si="271"/>
        <v>4436.905162016863</v>
      </c>
      <c r="AB424" s="154">
        <f t="shared" si="271"/>
        <v>5189.5052979771381</v>
      </c>
      <c r="AC424" s="154">
        <f t="shared" si="271"/>
        <v>5840.5345451534649</v>
      </c>
      <c r="AD424" s="154">
        <f t="shared" si="271"/>
        <v>6550.9762386966613</v>
      </c>
      <c r="AE424" s="154">
        <f t="shared" si="271"/>
        <v>7343.7931659075402</v>
      </c>
      <c r="AF424" s="154">
        <f t="shared" si="271"/>
        <v>8095.6215574949401</v>
      </c>
      <c r="AG424" s="154">
        <f t="shared" si="271"/>
        <v>9827.1013829584481</v>
      </c>
      <c r="AH424" s="154">
        <f t="shared" si="271"/>
        <v>12969.902595121386</v>
      </c>
      <c r="AI424" s="154">
        <f t="shared" si="271"/>
        <v>15470.891479826132</v>
      </c>
      <c r="AJ424" s="154">
        <f t="shared" si="271"/>
        <v>18186.134280366525</v>
      </c>
      <c r="AK424" s="154">
        <f t="shared" si="271"/>
        <v>21211.769334773839</v>
      </c>
      <c r="AL424" s="154">
        <f t="shared" si="271"/>
        <v>24251.800439797738</v>
      </c>
      <c r="AM424" s="154">
        <f t="shared" si="271"/>
        <v>27406.896116863121</v>
      </c>
      <c r="AN424" s="154">
        <f t="shared" si="271"/>
        <v>31042.056128161916</v>
      </c>
      <c r="AO424" s="154">
        <f t="shared" si="271"/>
        <v>34993.440341611335</v>
      </c>
      <c r="AP424" s="154">
        <f t="shared" si="271"/>
        <v>39134.108815188803</v>
      </c>
      <c r="AQ424" s="154">
        <f t="shared" si="271"/>
        <v>44167.150890367979</v>
      </c>
      <c r="AR424" s="154">
        <f t="shared" si="271"/>
        <v>49358.478665235205</v>
      </c>
      <c r="AS424" s="154">
        <f t="shared" si="271"/>
        <v>55216.531304977172</v>
      </c>
      <c r="AT424" s="2604">
        <f t="shared" si="271"/>
        <v>71503.877631240961</v>
      </c>
    </row>
    <row r="425" spans="3:49">
      <c r="C425" s="73"/>
      <c r="D425" s="153" t="s">
        <v>2332</v>
      </c>
      <c r="E425" s="153"/>
      <c r="F425" s="153"/>
      <c r="G425" s="153"/>
      <c r="H425" s="153"/>
      <c r="I425" s="153"/>
      <c r="J425" s="154">
        <f t="shared" ref="J425:S425" si="272">J223+J224</f>
        <v>2095</v>
      </c>
      <c r="K425" s="154">
        <f t="shared" si="272"/>
        <v>2323</v>
      </c>
      <c r="L425" s="154">
        <f t="shared" si="272"/>
        <v>2439</v>
      </c>
      <c r="M425" s="154">
        <f t="shared" si="272"/>
        <v>2772</v>
      </c>
      <c r="N425" s="154">
        <f t="shared" si="272"/>
        <v>2704</v>
      </c>
      <c r="O425" s="154">
        <f t="shared" si="272"/>
        <v>2897</v>
      </c>
      <c r="P425" s="154">
        <f t="shared" si="272"/>
        <v>3152</v>
      </c>
      <c r="Q425" s="154">
        <f t="shared" si="272"/>
        <v>4702.4485892157845</v>
      </c>
      <c r="R425" s="154">
        <f t="shared" si="272"/>
        <v>5062.2031328446628</v>
      </c>
      <c r="S425" s="154">
        <f t="shared" si="272"/>
        <v>5627.8750878602268</v>
      </c>
      <c r="T425" s="154">
        <f>T223+T224</f>
        <v>5978.8160457877302</v>
      </c>
      <c r="U425" s="154">
        <f t="shared" ref="U425:AJ425" si="273">U223+U224</f>
        <v>6417.892860728989</v>
      </c>
      <c r="V425" s="154">
        <f t="shared" si="273"/>
        <v>6928.2795963450144</v>
      </c>
      <c r="W425" s="154">
        <f t="shared" si="273"/>
        <v>7526.8021889747979</v>
      </c>
      <c r="X425" s="154">
        <f t="shared" si="273"/>
        <v>7882.5505572848688</v>
      </c>
      <c r="Y425" s="154">
        <f t="shared" si="273"/>
        <v>8328.8384877999797</v>
      </c>
      <c r="Z425" s="154">
        <f t="shared" si="273"/>
        <v>9067.5772165880117</v>
      </c>
      <c r="AA425" s="154">
        <f t="shared" si="273"/>
        <v>9581.1688924590817</v>
      </c>
      <c r="AB425" s="154">
        <f t="shared" si="273"/>
        <v>10032.264233356764</v>
      </c>
      <c r="AC425" s="154">
        <f t="shared" si="273"/>
        <v>10841.5116477558</v>
      </c>
      <c r="AD425" s="154">
        <f t="shared" si="273"/>
        <v>11847.862887840145</v>
      </c>
      <c r="AE425" s="154">
        <f>AE223+AE224</f>
        <v>11518.555276634201</v>
      </c>
      <c r="AF425" s="154">
        <f t="shared" si="273"/>
        <v>12488.049703785522</v>
      </c>
      <c r="AG425" s="154">
        <f t="shared" si="273"/>
        <v>13713.138116276736</v>
      </c>
      <c r="AH425" s="154">
        <f t="shared" si="273"/>
        <v>14886.947484687218</v>
      </c>
      <c r="AI425" s="154">
        <f>AI223+AI224</f>
        <v>15959</v>
      </c>
      <c r="AJ425" s="154">
        <f t="shared" si="273"/>
        <v>17212</v>
      </c>
      <c r="AK425" s="154">
        <f>AK223+AK224</f>
        <v>19314.244674409627</v>
      </c>
      <c r="AL425" s="154">
        <f>AL223+AL224</f>
        <v>19940.961433701275</v>
      </c>
      <c r="AM425" s="154">
        <f>AM223+AM224</f>
        <v>20707.893488751113</v>
      </c>
      <c r="AN425" s="154">
        <f t="shared" ref="AN425:AT425" si="274">AN223+AN224</f>
        <v>21419.782389853837</v>
      </c>
      <c r="AO425" s="154">
        <f>AN425*(1+8%)</f>
        <v>23133.364981042145</v>
      </c>
      <c r="AP425" s="154">
        <f t="shared" si="274"/>
        <v>23502.720505484391</v>
      </c>
      <c r="AQ425" s="154">
        <f t="shared" si="274"/>
        <v>24045.865314395531</v>
      </c>
      <c r="AR425" s="154">
        <f t="shared" si="274"/>
        <v>24968.846290974423</v>
      </c>
      <c r="AS425" s="154">
        <f t="shared" si="274"/>
        <v>25366.750150729466</v>
      </c>
      <c r="AT425" s="2604">
        <f t="shared" si="274"/>
        <v>25176.73665620765</v>
      </c>
    </row>
    <row r="426" spans="3:49">
      <c r="C426" s="73"/>
      <c r="D426" s="153" t="s">
        <v>230</v>
      </c>
      <c r="E426" s="153"/>
      <c r="F426" s="153"/>
      <c r="G426" s="153"/>
      <c r="H426" s="153"/>
      <c r="I426" s="153"/>
      <c r="J426" s="154">
        <f>J354</f>
        <v>0</v>
      </c>
      <c r="K426" s="154">
        <f>K354</f>
        <v>0</v>
      </c>
      <c r="L426" s="154">
        <f>L354</f>
        <v>0</v>
      </c>
      <c r="M426" s="154">
        <f>M354</f>
        <v>0</v>
      </c>
      <c r="N426" s="154">
        <f>+(M244-M247+N244-N247)*N259/1000/2</f>
        <v>0</v>
      </c>
      <c r="O426" s="154">
        <f>+(N244-N247+O244-O247)*O259/1000/2</f>
        <v>0</v>
      </c>
      <c r="P426" s="154">
        <f>+(O244-O247+P244-P247)*P259/1000/2</f>
        <v>0</v>
      </c>
      <c r="Q426" s="154">
        <f t="shared" ref="Q426:AL426" si="275">+(P244-P247+Q244-Q247)*Q259/1000/2</f>
        <v>0</v>
      </c>
      <c r="R426" s="154">
        <f t="shared" si="275"/>
        <v>0</v>
      </c>
      <c r="S426" s="154">
        <f t="shared" si="275"/>
        <v>0</v>
      </c>
      <c r="T426" s="154">
        <f t="shared" si="275"/>
        <v>0</v>
      </c>
      <c r="U426" s="154">
        <f t="shared" si="275"/>
        <v>0</v>
      </c>
      <c r="V426" s="154">
        <f t="shared" si="275"/>
        <v>2603.3718171344167</v>
      </c>
      <c r="W426" s="154">
        <f t="shared" si="275"/>
        <v>2737.7318779427801</v>
      </c>
      <c r="X426" s="154">
        <f t="shared" si="275"/>
        <v>2928.5609020260322</v>
      </c>
      <c r="Y426" s="154">
        <f t="shared" si="275"/>
        <v>3180.083354412162</v>
      </c>
      <c r="Z426" s="154">
        <f t="shared" si="275"/>
        <v>3380.0279317365998</v>
      </c>
      <c r="AA426" s="154">
        <f t="shared" si="275"/>
        <v>2622.0963909584307</v>
      </c>
      <c r="AB426" s="154">
        <f t="shared" si="275"/>
        <v>1522.0526253860223</v>
      </c>
      <c r="AC426" s="154">
        <f t="shared" si="275"/>
        <v>1535.4524631252966</v>
      </c>
      <c r="AD426" s="154">
        <f t="shared" si="275"/>
        <v>1779.8472384321335</v>
      </c>
      <c r="AE426" s="154">
        <f t="shared" si="275"/>
        <v>1995.8459616879588</v>
      </c>
      <c r="AF426" s="154">
        <f t="shared" si="275"/>
        <v>2274.9301403953646</v>
      </c>
      <c r="AG426" s="154">
        <f t="shared" si="275"/>
        <v>2695.1704422235816</v>
      </c>
      <c r="AH426" s="154">
        <f t="shared" si="275"/>
        <v>3257.8053209673722</v>
      </c>
      <c r="AI426" s="154">
        <f t="shared" si="275"/>
        <v>4109.8283830216642</v>
      </c>
      <c r="AJ426" s="154">
        <f>+(AI244-AI247+AJ244-AJ247)*AJ259/1000/2</f>
        <v>4878.2771050154097</v>
      </c>
      <c r="AK426" s="154">
        <f>+(AJ244-AJ247+AK244-AK247)*AK259/1000/2</f>
        <v>5545.8590808536555</v>
      </c>
      <c r="AL426" s="154">
        <f t="shared" si="275"/>
        <v>6013.5689848160891</v>
      </c>
      <c r="AM426" s="154">
        <f>+(AL244-AL247+AM244-AM247)*AM259/1000/2</f>
        <v>6541.4990169586772</v>
      </c>
      <c r="AN426" s="154">
        <f t="shared" ref="AN426:AO426" si="276">+(AM244-AM247+AN244-AN247)*AN259/1000/2</f>
        <v>7104.0757604730725</v>
      </c>
      <c r="AO426" s="154">
        <f t="shared" si="276"/>
        <v>7680.4735718299244</v>
      </c>
      <c r="AP426" s="154">
        <f t="shared" ref="AP426" si="277">+(AO244-AO247+AP244-AP247)*AP259/1000/2</f>
        <v>8503.0855464073575</v>
      </c>
      <c r="AQ426" s="154">
        <f t="shared" ref="AQ426" si="278">+(AP244-AP247+AQ244-AQ247)*AQ259/1000/2</f>
        <v>9052.9357384824889</v>
      </c>
      <c r="AR426" s="154">
        <f t="shared" ref="AR426" si="279">+(AQ244-AQ247+AR244-AR247)*AR259/1000/2</f>
        <v>9695.2974221755285</v>
      </c>
      <c r="AS426" s="154">
        <f t="shared" ref="AS426" si="280">+(AR244-AR247+AS244-AS247)*AS259/1000/2</f>
        <v>10392.946088928173</v>
      </c>
      <c r="AT426" s="2604">
        <f t="shared" ref="AT426" si="281">+(AS244-AS247+AT244-AT247)*AT259/1000/2</f>
        <v>11132.592335760239</v>
      </c>
    </row>
    <row r="427" spans="3:49">
      <c r="C427" s="73"/>
      <c r="D427" s="153" t="s">
        <v>3751</v>
      </c>
      <c r="E427" s="153"/>
      <c r="F427" s="153"/>
      <c r="G427" s="153"/>
      <c r="H427" s="153"/>
      <c r="I427" s="153"/>
      <c r="J427" s="154"/>
      <c r="K427" s="154"/>
      <c r="L427" s="154"/>
      <c r="M427" s="154"/>
      <c r="N427" s="154"/>
      <c r="O427" s="154"/>
      <c r="P427" s="154"/>
      <c r="Q427" s="154"/>
      <c r="R427" s="154"/>
      <c r="S427" s="154"/>
      <c r="T427" s="154"/>
      <c r="U427" s="154"/>
      <c r="V427" s="154"/>
      <c r="W427" s="154"/>
      <c r="X427" s="154"/>
      <c r="Y427" s="154"/>
      <c r="Z427" s="154"/>
      <c r="AA427" s="154"/>
      <c r="AB427" s="154"/>
      <c r="AC427" s="154"/>
      <c r="AD427" s="154"/>
      <c r="AE427" s="154"/>
      <c r="AF427" s="154"/>
      <c r="AG427" s="154"/>
      <c r="AH427" s="154"/>
      <c r="AI427" s="154">
        <f>((AI248+AH248)/2)*AI259/1000</f>
        <v>1579.3590600821083</v>
      </c>
      <c r="AJ427" s="154">
        <f t="shared" ref="AJ427:AT427" si="282">((AJ248+AI248)/2)*AJ259/1000</f>
        <v>1920.7279309475434</v>
      </c>
      <c r="AK427" s="154">
        <f t="shared" si="282"/>
        <v>2232.1677631122898</v>
      </c>
      <c r="AL427" s="154">
        <f t="shared" si="282"/>
        <v>2401.2296315743183</v>
      </c>
      <c r="AM427" s="154">
        <f t="shared" si="282"/>
        <v>2565.9987057835529</v>
      </c>
      <c r="AN427" s="154">
        <f t="shared" si="282"/>
        <v>2710.3169823983999</v>
      </c>
      <c r="AO427" s="154">
        <f t="shared" si="282"/>
        <v>2844.7681593732491</v>
      </c>
      <c r="AP427" s="154">
        <f t="shared" si="282"/>
        <v>3032.8651618351064</v>
      </c>
      <c r="AQ427" s="154">
        <f t="shared" si="282"/>
        <v>3105.9348252843383</v>
      </c>
      <c r="AR427" s="154">
        <f t="shared" si="282"/>
        <v>3230.5604280460307</v>
      </c>
      <c r="AS427" s="154">
        <f t="shared" si="282"/>
        <v>3356.5800748783827</v>
      </c>
      <c r="AT427" s="2604">
        <f t="shared" si="282"/>
        <v>3481.3035913810913</v>
      </c>
    </row>
    <row r="428" spans="3:49">
      <c r="C428" s="73"/>
      <c r="D428" s="153" t="s">
        <v>2392</v>
      </c>
      <c r="E428" s="153"/>
      <c r="F428" s="153"/>
      <c r="G428" s="153"/>
      <c r="H428" s="153"/>
      <c r="I428" s="153"/>
      <c r="J428" s="154"/>
      <c r="K428" s="154"/>
      <c r="L428" s="154"/>
      <c r="M428" s="154">
        <f>(L231+M231)/2</f>
        <v>60.5</v>
      </c>
      <c r="N428" s="154">
        <f t="shared" ref="N428:AM428" si="283">(M231+N231)/2</f>
        <v>73.5</v>
      </c>
      <c r="O428" s="154">
        <f t="shared" si="283"/>
        <v>116</v>
      </c>
      <c r="P428" s="154">
        <f t="shared" si="283"/>
        <v>159</v>
      </c>
      <c r="Q428" s="154">
        <f t="shared" si="283"/>
        <v>344.14640024098804</v>
      </c>
      <c r="R428" s="154">
        <f t="shared" si="283"/>
        <v>568.85688824179135</v>
      </c>
      <c r="S428" s="154">
        <f t="shared" si="283"/>
        <v>709.96977608193595</v>
      </c>
      <c r="T428" s="154">
        <f t="shared" si="283"/>
        <v>850.3721257154333</v>
      </c>
      <c r="U428" s="154">
        <f t="shared" si="283"/>
        <v>954.11070388593237</v>
      </c>
      <c r="V428" s="154">
        <f t="shared" si="283"/>
        <v>1081.8654734411086</v>
      </c>
      <c r="W428" s="154">
        <f t="shared" si="283"/>
        <v>1240.0312782407873</v>
      </c>
      <c r="X428" s="154">
        <f t="shared" si="283"/>
        <v>1368.4965860026109</v>
      </c>
      <c r="Y428" s="154">
        <f t="shared" si="283"/>
        <v>1497.2461090470931</v>
      </c>
      <c r="Z428" s="154">
        <f t="shared" si="283"/>
        <v>1652.5697610201828</v>
      </c>
      <c r="AA428" s="154">
        <f t="shared" si="283"/>
        <v>1825.9410834421128</v>
      </c>
      <c r="AB428" s="154">
        <f t="shared" si="283"/>
        <v>2044.7868510894668</v>
      </c>
      <c r="AC428" s="154">
        <f t="shared" si="283"/>
        <v>2263.9168340194801</v>
      </c>
      <c r="AD428" s="154">
        <f t="shared" si="283"/>
        <v>2525.3948940656692</v>
      </c>
      <c r="AE428" s="154">
        <f t="shared" si="283"/>
        <v>2750.3512902901898</v>
      </c>
      <c r="AF428" s="154">
        <f t="shared" si="283"/>
        <v>2986.8184054623957</v>
      </c>
      <c r="AG428" s="154">
        <f t="shared" si="283"/>
        <v>3593.7601415804802</v>
      </c>
      <c r="AH428" s="154">
        <f t="shared" si="283"/>
        <v>4453.6534792649863</v>
      </c>
      <c r="AI428" s="154">
        <f t="shared" si="283"/>
        <v>5271.3408474746466</v>
      </c>
      <c r="AJ428" s="154">
        <f t="shared" si="283"/>
        <v>5351</v>
      </c>
      <c r="AK428" s="154">
        <f t="shared" si="283"/>
        <v>5505.2339322362695</v>
      </c>
      <c r="AL428" s="154">
        <f t="shared" si="283"/>
        <v>6389.2672099096817</v>
      </c>
      <c r="AM428" s="154">
        <f t="shared" si="283"/>
        <v>7241.755239798511</v>
      </c>
      <c r="AN428" s="154">
        <f t="shared" ref="AN428" si="284">(AM231+AN231)/2</f>
        <v>8095.2581381816035</v>
      </c>
      <c r="AO428" s="154">
        <f>(AN231+AO231)/2</f>
        <v>8837.4589971131991</v>
      </c>
      <c r="AP428" s="154">
        <f t="shared" ref="AP428:AT428" si="285">(AO231+AP231)/2</f>
        <v>9596.3173454239095</v>
      </c>
      <c r="AQ428" s="154">
        <f t="shared" si="285"/>
        <v>11028.000861909772</v>
      </c>
      <c r="AR428" s="154">
        <f t="shared" si="285"/>
        <v>12621.012829789022</v>
      </c>
      <c r="AS428" s="154">
        <f t="shared" si="285"/>
        <v>13886.015553909403</v>
      </c>
      <c r="AT428" s="2604">
        <f t="shared" si="285"/>
        <v>15294.094163435268</v>
      </c>
    </row>
    <row r="429" spans="3:49">
      <c r="C429" s="73"/>
      <c r="D429" s="2113" t="s">
        <v>3747</v>
      </c>
      <c r="E429" s="1912"/>
      <c r="F429" s="153"/>
      <c r="G429" s="153"/>
      <c r="H429" s="153"/>
      <c r="I429" s="153"/>
      <c r="J429" s="153"/>
      <c r="K429" s="153"/>
      <c r="L429" s="153"/>
      <c r="M429" s="153"/>
      <c r="N429" s="153"/>
      <c r="O429" s="912">
        <f t="shared" ref="O429:X429" si="286">+O424/N424-1</f>
        <v>-1.547703180212014</v>
      </c>
      <c r="P429" s="912">
        <f t="shared" si="286"/>
        <v>3.1419354838709674</v>
      </c>
      <c r="Q429" s="912">
        <f t="shared" si="286"/>
        <v>0.67601246105919</v>
      </c>
      <c r="R429" s="912">
        <f t="shared" si="286"/>
        <v>0.57620817843866168</v>
      </c>
      <c r="S429" s="912">
        <f t="shared" si="286"/>
        <v>0.51297169811320753</v>
      </c>
      <c r="T429" s="912">
        <f t="shared" si="286"/>
        <v>0.49181605611847234</v>
      </c>
      <c r="U429" s="912">
        <f t="shared" si="286"/>
        <v>0.14420062695924774</v>
      </c>
      <c r="V429" s="912">
        <f t="shared" si="286"/>
        <v>9.9854413617685767E-2</v>
      </c>
      <c r="W429" s="912">
        <f t="shared" si="286"/>
        <v>0.23272986332871537</v>
      </c>
      <c r="X429" s="912">
        <f t="shared" si="286"/>
        <v>0.14453321063422764</v>
      </c>
      <c r="Y429" s="912">
        <f t="shared" ref="Y429:AD429" si="287">+Y424/X424-1</f>
        <v>2.527826327005811E-2</v>
      </c>
      <c r="Z429" s="912">
        <f t="shared" si="287"/>
        <v>0.1190595549866722</v>
      </c>
      <c r="AA429" s="912">
        <f t="shared" si="287"/>
        <v>0.13791432098520739</v>
      </c>
      <c r="AB429" s="912">
        <f t="shared" si="287"/>
        <v>0.16962276823112643</v>
      </c>
      <c r="AC429" s="912">
        <f t="shared" si="287"/>
        <v>0.12545111909416429</v>
      </c>
      <c r="AD429" s="912">
        <f t="shared" si="287"/>
        <v>0.12163984101981362</v>
      </c>
      <c r="AE429" s="912"/>
      <c r="AF429" s="912"/>
      <c r="AG429" s="912"/>
      <c r="AH429" s="912"/>
      <c r="AI429" s="912"/>
      <c r="AJ429" s="912"/>
      <c r="AK429" s="912"/>
      <c r="AL429" s="912"/>
      <c r="AM429" s="912"/>
      <c r="AN429" s="912"/>
      <c r="AO429" s="912"/>
      <c r="AP429" s="912"/>
      <c r="AQ429" s="912"/>
      <c r="AR429" s="912"/>
      <c r="AS429" s="912"/>
      <c r="AT429" s="2606"/>
    </row>
    <row r="430" spans="3:49">
      <c r="C430" s="74" t="s">
        <v>27</v>
      </c>
      <c r="D430" s="159" t="s">
        <v>111</v>
      </c>
      <c r="E430" s="159"/>
      <c r="F430" s="159"/>
      <c r="G430" s="159"/>
      <c r="H430" s="159"/>
      <c r="I430" s="159"/>
      <c r="J430" s="159"/>
      <c r="K430" s="159"/>
      <c r="L430" s="159"/>
      <c r="M430" s="159"/>
      <c r="N430" s="159"/>
      <c r="O430" s="159"/>
      <c r="P430" s="159"/>
      <c r="Q430" s="159"/>
      <c r="R430" s="159"/>
      <c r="S430" s="159"/>
      <c r="T430" s="159"/>
      <c r="U430" s="159"/>
      <c r="V430" s="159"/>
      <c r="W430" s="159"/>
      <c r="X430" s="159"/>
      <c r="Y430" s="160">
        <v>105.3</v>
      </c>
      <c r="Z430" s="160">
        <v>159.31</v>
      </c>
      <c r="AA430" s="160">
        <v>164.43</v>
      </c>
      <c r="AB430" s="160">
        <f t="shared" ref="AB430:AK430" si="288">AB431+AB432</f>
        <v>175.1</v>
      </c>
      <c r="AC430" s="160">
        <f t="shared" si="288"/>
        <v>165.5</v>
      </c>
      <c r="AD430" s="160">
        <f t="shared" si="288"/>
        <v>157.38596526999999</v>
      </c>
      <c r="AE430" s="160">
        <f t="shared" si="288"/>
        <v>211.45</v>
      </c>
      <c r="AF430" s="1421">
        <f t="shared" si="288"/>
        <v>173.64198012</v>
      </c>
      <c r="AG430" s="1421">
        <f t="shared" si="288"/>
        <v>171.106168</v>
      </c>
      <c r="AH430" s="1421">
        <f>AH431+AH432</f>
        <v>188.92539241999998</v>
      </c>
      <c r="AI430" s="1421">
        <f t="shared" si="288"/>
        <v>152</v>
      </c>
      <c r="AJ430" s="1421">
        <f t="shared" si="288"/>
        <v>141.89079649999999</v>
      </c>
      <c r="AK430" s="1421">
        <f t="shared" si="288"/>
        <v>138.94388049999998</v>
      </c>
      <c r="AL430" s="1421">
        <f>AL431+AL432</f>
        <v>146.106168</v>
      </c>
      <c r="AM430" s="1421">
        <f>AM431+AM432</f>
        <v>146.106168</v>
      </c>
      <c r="AN430" s="1421">
        <f t="shared" ref="AN430:AO430" si="289">AN431+AN432</f>
        <v>146.106168</v>
      </c>
      <c r="AO430" s="1421">
        <f t="shared" si="289"/>
        <v>146.106168</v>
      </c>
      <c r="AP430" s="1421">
        <f t="shared" ref="AP430:AT430" si="290">AP431+AP432</f>
        <v>146.106168</v>
      </c>
      <c r="AQ430" s="1421">
        <f t="shared" si="290"/>
        <v>146.106168</v>
      </c>
      <c r="AR430" s="1421">
        <f t="shared" si="290"/>
        <v>146.106168</v>
      </c>
      <c r="AS430" s="1421">
        <f t="shared" si="290"/>
        <v>146.106168</v>
      </c>
      <c r="AT430" s="2649">
        <f t="shared" si="290"/>
        <v>146.106168</v>
      </c>
    </row>
    <row r="431" spans="3:49">
      <c r="D431" s="161" t="s">
        <v>106</v>
      </c>
      <c r="E431" s="159"/>
      <c r="F431" s="159"/>
      <c r="G431" s="159"/>
      <c r="H431" s="159"/>
      <c r="I431" s="159"/>
      <c r="J431" s="159"/>
      <c r="K431" s="159"/>
      <c r="L431" s="159"/>
      <c r="M431" s="159"/>
      <c r="N431" s="159"/>
      <c r="O431" s="159"/>
      <c r="P431" s="159"/>
      <c r="Q431" s="159"/>
      <c r="R431" s="159"/>
      <c r="S431" s="159"/>
      <c r="T431" s="159"/>
      <c r="U431" s="159"/>
      <c r="V431" s="159"/>
      <c r="W431" s="159"/>
      <c r="X431" s="159"/>
      <c r="Y431" s="162">
        <f>+Y308/2</f>
        <v>52.65</v>
      </c>
      <c r="Z431" s="534">
        <v>83.26</v>
      </c>
      <c r="AA431" s="162">
        <v>84.98</v>
      </c>
      <c r="AB431" s="1013">
        <v>75.599999999999994</v>
      </c>
      <c r="AC431" s="535">
        <v>51.8</v>
      </c>
      <c r="AD431" s="535">
        <v>58.285965269999998</v>
      </c>
      <c r="AE431" s="164">
        <f>34.9+49.59</f>
        <v>84.490000000000009</v>
      </c>
      <c r="AF431" s="208">
        <v>88.088896120000001</v>
      </c>
      <c r="AG431" s="208">
        <v>85.553083999999998</v>
      </c>
      <c r="AH431" s="208">
        <v>85.553083999999998</v>
      </c>
      <c r="AI431" s="208">
        <v>76</v>
      </c>
      <c r="AJ431" s="208">
        <v>76</v>
      </c>
      <c r="AK431" s="208">
        <v>65.890796499999993</v>
      </c>
      <c r="AL431" s="208">
        <v>73.053083999999998</v>
      </c>
      <c r="AM431" s="208">
        <v>73.053083999999998</v>
      </c>
      <c r="AN431" s="208">
        <v>73.053083999999998</v>
      </c>
      <c r="AO431" s="208">
        <v>73.053083999999998</v>
      </c>
      <c r="AP431" s="208">
        <v>73.053083999999998</v>
      </c>
      <c r="AQ431" s="208">
        <v>73.053083999999998</v>
      </c>
      <c r="AR431" s="208">
        <v>73.053083999999998</v>
      </c>
      <c r="AS431" s="208">
        <v>73.053083999999998</v>
      </c>
      <c r="AT431" s="208">
        <v>73.053083999999998</v>
      </c>
    </row>
    <row r="432" spans="3:49">
      <c r="C432" s="74" t="s">
        <v>27</v>
      </c>
      <c r="D432" s="161" t="s">
        <v>107</v>
      </c>
      <c r="E432" s="159"/>
      <c r="F432" s="159"/>
      <c r="G432" s="159"/>
      <c r="H432" s="159"/>
      <c r="I432" s="159"/>
      <c r="J432" s="159"/>
      <c r="K432" s="159"/>
      <c r="L432" s="159"/>
      <c r="M432" s="159"/>
      <c r="N432" s="159"/>
      <c r="O432" s="159"/>
      <c r="P432" s="159"/>
      <c r="Q432" s="159"/>
      <c r="R432" s="159"/>
      <c r="S432" s="159"/>
      <c r="T432" s="159"/>
      <c r="U432" s="159"/>
      <c r="V432" s="159"/>
      <c r="W432" s="159"/>
      <c r="X432" s="159"/>
      <c r="Y432" s="162">
        <f>Y430-Y431</f>
        <v>52.65</v>
      </c>
      <c r="Z432" s="162">
        <f>Z430-Z431</f>
        <v>76.05</v>
      </c>
      <c r="AA432" s="1012">
        <v>85.8</v>
      </c>
      <c r="AB432" s="1057">
        <f>(39.1+39.1+10+7+4.3)</f>
        <v>99.5</v>
      </c>
      <c r="AC432" s="537">
        <v>113.7</v>
      </c>
      <c r="AD432" s="1101">
        <v>99.1</v>
      </c>
      <c r="AE432" s="1101">
        <v>126.96</v>
      </c>
      <c r="AF432" s="593">
        <v>85.553083999999998</v>
      </c>
      <c r="AG432" s="208">
        <v>85.553083999999998</v>
      </c>
      <c r="AH432" s="208">
        <v>103.37230842</v>
      </c>
      <c r="AI432" s="208">
        <v>76</v>
      </c>
      <c r="AJ432" s="208">
        <v>65.890796499999993</v>
      </c>
      <c r="AK432" s="208">
        <v>73.053083999999998</v>
      </c>
      <c r="AL432" s="208">
        <v>73.053083999999998</v>
      </c>
      <c r="AM432" s="208">
        <v>73.053083999999998</v>
      </c>
      <c r="AN432" s="208">
        <v>73.053083999999998</v>
      </c>
      <c r="AO432" s="208">
        <v>73.053083999999998</v>
      </c>
      <c r="AP432" s="208">
        <v>73.053083999999998</v>
      </c>
      <c r="AQ432" s="208">
        <v>73.053083999999998</v>
      </c>
      <c r="AR432" s="208">
        <v>73.053083999999998</v>
      </c>
      <c r="AS432" s="208">
        <v>73.053083999999998</v>
      </c>
      <c r="AT432" s="208">
        <v>73.053083999999998</v>
      </c>
    </row>
    <row r="433" spans="1:57">
      <c r="D433" s="161" t="s">
        <v>195</v>
      </c>
      <c r="E433" s="159"/>
      <c r="F433" s="159"/>
      <c r="G433" s="159"/>
      <c r="H433" s="159"/>
      <c r="I433" s="159"/>
      <c r="J433" s="159"/>
      <c r="K433" s="159"/>
      <c r="L433" s="159"/>
      <c r="M433" s="159"/>
      <c r="N433" s="159"/>
      <c r="O433" s="159"/>
      <c r="P433" s="159"/>
      <c r="Q433" s="159"/>
      <c r="R433" s="159"/>
      <c r="S433" s="159"/>
      <c r="T433" s="159"/>
      <c r="U433" s="159"/>
      <c r="V433" s="159"/>
      <c r="W433" s="159"/>
      <c r="X433" s="159"/>
      <c r="Y433" s="162"/>
      <c r="Z433" s="162">
        <f>+(Y432*Y256+Z431*Z256)/1000</f>
        <v>95.839250323148988</v>
      </c>
      <c r="AA433" s="162">
        <f>+(Z432*Z256+AA431*AA256)/1000</f>
        <v>121.6195684522404</v>
      </c>
      <c r="AB433" s="162">
        <f>+(AA432+AB431)*AB259/1000</f>
        <v>132.01834234264999</v>
      </c>
      <c r="AC433" s="162">
        <f t="shared" ref="AC433:AL433" si="291">+(AB432+AC431)*AC259/1000</f>
        <v>128.04260530427499</v>
      </c>
      <c r="AD433" s="1422">
        <f t="shared" si="291"/>
        <v>151.47193310323161</v>
      </c>
      <c r="AE433" s="1422">
        <f t="shared" si="291"/>
        <v>169.21778673992497</v>
      </c>
      <c r="AF433" s="1422">
        <f t="shared" si="291"/>
        <v>208.58993856364663</v>
      </c>
      <c r="AG433" s="1422">
        <f t="shared" si="291"/>
        <v>172.4766347794959</v>
      </c>
      <c r="AH433" s="1422">
        <f t="shared" si="291"/>
        <v>184.97643097518889</v>
      </c>
      <c r="AI433" s="1422">
        <f t="shared" si="291"/>
        <v>225.460820182871</v>
      </c>
      <c r="AJ433" s="1422">
        <f>+(AI432+AJ431)*AJ259/1000</f>
        <v>209.09148632379157</v>
      </c>
      <c r="AK433" s="1422">
        <f t="shared" si="291"/>
        <v>192.15719841386465</v>
      </c>
      <c r="AL433" s="1422">
        <f t="shared" si="291"/>
        <v>222.32415278363686</v>
      </c>
      <c r="AM433" s="1422">
        <f>+(AL432+AM431)*AM259/1000</f>
        <v>232.9503827957335</v>
      </c>
      <c r="AN433" s="1422">
        <f t="shared" ref="AN433:AO433" si="292">+(AM432+AN431)*AN259/1000</f>
        <v>243.98677094912571</v>
      </c>
      <c r="AO433" s="1422">
        <f t="shared" si="292"/>
        <v>253.69269507209239</v>
      </c>
      <c r="AP433" s="1422">
        <f t="shared" ref="AP433" si="293">+(AO432+AP431)*AP259/1000</f>
        <v>271.2538131002209</v>
      </c>
      <c r="AQ433" s="1422">
        <f t="shared" ref="AQ433" si="294">+(AP432+AQ431)*AQ259/1000</f>
        <v>279.39142749322752</v>
      </c>
      <c r="AR433" s="1422">
        <f t="shared" ref="AR433" si="295">+(AQ432+AR431)*AR259/1000</f>
        <v>287.77317031802437</v>
      </c>
      <c r="AS433" s="1422">
        <f t="shared" ref="AS433" si="296">+(AR432+AS431)*AS259/1000</f>
        <v>296.40636542756511</v>
      </c>
      <c r="AT433" s="2650">
        <f t="shared" ref="AT433" si="297">+(AS432+AT431)*AT259/1000</f>
        <v>305.29855639039209</v>
      </c>
    </row>
    <row r="434" spans="1:57">
      <c r="D434" s="161" t="s">
        <v>196</v>
      </c>
      <c r="E434" s="159"/>
      <c r="F434" s="159"/>
      <c r="G434" s="159"/>
      <c r="H434" s="159"/>
      <c r="I434" s="159"/>
      <c r="J434" s="159"/>
      <c r="K434" s="159"/>
      <c r="L434" s="159"/>
      <c r="M434" s="159"/>
      <c r="N434" s="159"/>
      <c r="O434" s="159"/>
      <c r="P434" s="159"/>
      <c r="Q434" s="159"/>
      <c r="R434" s="159"/>
      <c r="S434" s="159"/>
      <c r="T434" s="159"/>
      <c r="U434" s="159"/>
      <c r="V434" s="159"/>
      <c r="W434" s="159"/>
      <c r="X434" s="159"/>
      <c r="Y434" s="162"/>
      <c r="Z434" s="162">
        <v>26.3</v>
      </c>
      <c r="AA434" s="162">
        <v>0</v>
      </c>
      <c r="AB434" s="155">
        <v>0</v>
      </c>
      <c r="AC434" s="155">
        <f>AB434</f>
        <v>0</v>
      </c>
      <c r="AD434" s="155">
        <f t="shared" ref="AD434:AM434" si="298">AC434</f>
        <v>0</v>
      </c>
      <c r="AE434" s="155">
        <f t="shared" si="298"/>
        <v>0</v>
      </c>
      <c r="AF434" s="155">
        <f t="shared" si="298"/>
        <v>0</v>
      </c>
      <c r="AG434" s="155">
        <f t="shared" si="298"/>
        <v>0</v>
      </c>
      <c r="AH434" s="155">
        <f t="shared" si="298"/>
        <v>0</v>
      </c>
      <c r="AI434" s="155">
        <f t="shared" si="298"/>
        <v>0</v>
      </c>
      <c r="AJ434" s="155">
        <f t="shared" si="298"/>
        <v>0</v>
      </c>
      <c r="AK434" s="155">
        <f t="shared" si="298"/>
        <v>0</v>
      </c>
      <c r="AL434" s="155">
        <f t="shared" si="298"/>
        <v>0</v>
      </c>
      <c r="AM434" s="155">
        <f t="shared" si="298"/>
        <v>0</v>
      </c>
      <c r="AN434" s="155">
        <f t="shared" ref="AN434" si="299">AM434</f>
        <v>0</v>
      </c>
      <c r="AO434" s="155">
        <f t="shared" ref="AO434" si="300">AN434</f>
        <v>0</v>
      </c>
      <c r="AP434" s="155">
        <f t="shared" ref="AP434" si="301">AO434</f>
        <v>0</v>
      </c>
      <c r="AQ434" s="155">
        <f t="shared" ref="AQ434" si="302">AP434</f>
        <v>0</v>
      </c>
      <c r="AR434" s="155">
        <f t="shared" ref="AR434" si="303">AQ434</f>
        <v>0</v>
      </c>
      <c r="AS434" s="155">
        <f t="shared" ref="AS434" si="304">AR434</f>
        <v>0</v>
      </c>
      <c r="AT434" s="2608">
        <f t="shared" ref="AT434" si="305">AS434</f>
        <v>0</v>
      </c>
    </row>
    <row r="435" spans="1:57">
      <c r="D435" s="159" t="s">
        <v>3020</v>
      </c>
      <c r="E435" s="159"/>
      <c r="F435" s="159"/>
      <c r="G435" s="159"/>
      <c r="H435" s="159"/>
      <c r="I435" s="159"/>
      <c r="J435" s="159"/>
      <c r="K435" s="159"/>
      <c r="L435" s="159"/>
      <c r="M435" s="159"/>
      <c r="N435" s="159"/>
      <c r="O435" s="159"/>
      <c r="P435" s="159"/>
      <c r="Q435" s="159"/>
      <c r="R435" s="159"/>
      <c r="S435" s="159"/>
      <c r="T435" s="159"/>
      <c r="U435" s="159"/>
      <c r="V435" s="159"/>
      <c r="W435" s="159"/>
      <c r="X435" s="159"/>
      <c r="Y435" s="162"/>
      <c r="Z435" s="162">
        <f>Z433-Z434</f>
        <v>69.539250323148991</v>
      </c>
      <c r="AA435" s="162">
        <f t="shared" ref="AA435:AK435" si="306">AA433-AA434</f>
        <v>121.6195684522404</v>
      </c>
      <c r="AB435" s="162">
        <f t="shared" si="306"/>
        <v>132.01834234264999</v>
      </c>
      <c r="AC435" s="1422">
        <f t="shared" si="306"/>
        <v>128.04260530427499</v>
      </c>
      <c r="AD435" s="1422">
        <f t="shared" si="306"/>
        <v>151.47193310323161</v>
      </c>
      <c r="AE435" s="1422">
        <f t="shared" si="306"/>
        <v>169.21778673992497</v>
      </c>
      <c r="AF435" s="1422">
        <f t="shared" si="306"/>
        <v>208.58993856364663</v>
      </c>
      <c r="AG435" s="1422">
        <f t="shared" si="306"/>
        <v>172.4766347794959</v>
      </c>
      <c r="AH435" s="1422">
        <f t="shared" si="306"/>
        <v>184.97643097518889</v>
      </c>
      <c r="AI435" s="1422">
        <f t="shared" si="306"/>
        <v>225.460820182871</v>
      </c>
      <c r="AJ435" s="1422">
        <f>AJ433-AJ434</f>
        <v>209.09148632379157</v>
      </c>
      <c r="AK435" s="1422">
        <f t="shared" si="306"/>
        <v>192.15719841386465</v>
      </c>
      <c r="AL435" s="1422">
        <f>AL433-AL434</f>
        <v>222.32415278363686</v>
      </c>
      <c r="AM435" s="1422">
        <f>AM433-AM434</f>
        <v>232.9503827957335</v>
      </c>
      <c r="AN435" s="1422">
        <f t="shared" ref="AN435:AO435" si="307">AN433-AN434</f>
        <v>243.98677094912571</v>
      </c>
      <c r="AO435" s="1422">
        <f t="shared" si="307"/>
        <v>253.69269507209239</v>
      </c>
      <c r="AP435" s="1422">
        <f t="shared" ref="AP435:AT435" si="308">AP433-AP434</f>
        <v>271.2538131002209</v>
      </c>
      <c r="AQ435" s="1422">
        <f t="shared" si="308"/>
        <v>279.39142749322752</v>
      </c>
      <c r="AR435" s="1422">
        <f t="shared" si="308"/>
        <v>287.77317031802437</v>
      </c>
      <c r="AS435" s="1422">
        <f t="shared" si="308"/>
        <v>296.40636542756511</v>
      </c>
      <c r="AT435" s="2650">
        <f t="shared" si="308"/>
        <v>305.29855639039209</v>
      </c>
      <c r="AX435" s="2724"/>
    </row>
    <row r="436" spans="1:57">
      <c r="D436" s="161" t="str">
        <f>+D431</f>
        <v xml:space="preserve">     Jan-June </v>
      </c>
      <c r="E436" s="159"/>
      <c r="F436" s="159"/>
      <c r="G436" s="159"/>
      <c r="H436" s="159"/>
      <c r="I436" s="159"/>
      <c r="J436" s="159"/>
      <c r="K436" s="159"/>
      <c r="L436" s="159"/>
      <c r="M436" s="159"/>
      <c r="N436" s="159"/>
      <c r="O436" s="159"/>
      <c r="P436" s="159"/>
      <c r="Q436" s="159"/>
      <c r="R436" s="159"/>
      <c r="S436" s="159"/>
      <c r="T436" s="159"/>
      <c r="U436" s="159"/>
      <c r="V436" s="159"/>
      <c r="W436" s="159"/>
      <c r="X436" s="159"/>
      <c r="Y436" s="162"/>
      <c r="Z436" s="164">
        <f>+Z435*0.522</f>
        <v>36.299488668683772</v>
      </c>
      <c r="AA436" s="164">
        <f t="shared" ref="AA436:AG436" si="309">+AA435*0.5</f>
        <v>60.8097842261202</v>
      </c>
      <c r="AB436" s="164">
        <f t="shared" si="309"/>
        <v>66.009171171324994</v>
      </c>
      <c r="AC436" s="164">
        <f t="shared" si="309"/>
        <v>64.021302652137493</v>
      </c>
      <c r="AD436" s="164">
        <f t="shared" si="309"/>
        <v>75.735966551615803</v>
      </c>
      <c r="AE436" s="164">
        <f t="shared" si="309"/>
        <v>84.608893369962487</v>
      </c>
      <c r="AF436" s="164">
        <f t="shared" si="309"/>
        <v>104.29496928182331</v>
      </c>
      <c r="AG436" s="164">
        <f t="shared" si="309"/>
        <v>86.238317389747948</v>
      </c>
      <c r="AH436" s="164">
        <f>+AH435*0.5</f>
        <v>92.488215487594445</v>
      </c>
      <c r="AI436" s="164">
        <f>AI431*AI259/1000</f>
        <v>95.527690337666655</v>
      </c>
      <c r="AJ436" s="1683">
        <f t="shared" ref="AJ436:AO436" si="310">AJ431*AJ259/1000</f>
        <v>104.54574316189579</v>
      </c>
      <c r="AK436" s="1683">
        <f>AK431*AK259/1000</f>
        <v>96.078599206932324</v>
      </c>
      <c r="AL436" s="1683">
        <f t="shared" si="310"/>
        <v>111.16207639181843</v>
      </c>
      <c r="AM436" s="1683">
        <f t="shared" si="310"/>
        <v>116.47519139786675</v>
      </c>
      <c r="AN436" s="1683">
        <f t="shared" si="310"/>
        <v>121.99338547456286</v>
      </c>
      <c r="AO436" s="1683">
        <f t="shared" si="310"/>
        <v>126.8463475360462</v>
      </c>
      <c r="AP436" s="1683">
        <f>AP431*AP259/1000</f>
        <v>135.62690655011045</v>
      </c>
      <c r="AQ436" s="1683">
        <f t="shared" ref="AQ436:AT436" si="311">AQ431*AQ259/1000</f>
        <v>139.69571374661376</v>
      </c>
      <c r="AR436" s="1683">
        <f t="shared" si="311"/>
        <v>143.88658515901218</v>
      </c>
      <c r="AS436" s="1683">
        <f t="shared" si="311"/>
        <v>148.20318271378255</v>
      </c>
      <c r="AT436" s="2651">
        <f t="shared" si="311"/>
        <v>152.64927819519605</v>
      </c>
      <c r="AX436" s="3047"/>
    </row>
    <row r="437" spans="1:57">
      <c r="D437" s="161" t="str">
        <f>+D432</f>
        <v xml:space="preserve">     July-Dec </v>
      </c>
      <c r="E437" s="159"/>
      <c r="F437" s="159"/>
      <c r="G437" s="159"/>
      <c r="H437" s="159"/>
      <c r="I437" s="159"/>
      <c r="J437" s="159"/>
      <c r="K437" s="159"/>
      <c r="L437" s="159"/>
      <c r="M437" s="159"/>
      <c r="N437" s="159"/>
      <c r="O437" s="159"/>
      <c r="P437" s="159"/>
      <c r="Q437" s="159"/>
      <c r="R437" s="159"/>
      <c r="S437" s="159"/>
      <c r="T437" s="159"/>
      <c r="U437" s="159"/>
      <c r="V437" s="159"/>
      <c r="W437" s="159"/>
      <c r="X437" s="159"/>
      <c r="Y437" s="165">
        <f>Z435-Z436</f>
        <v>33.239761654465219</v>
      </c>
      <c r="Z437" s="165">
        <f t="shared" ref="Z437:AG437" si="312">AA435-AA436</f>
        <v>60.8097842261202</v>
      </c>
      <c r="AA437" s="165">
        <f t="shared" si="312"/>
        <v>66.009171171324994</v>
      </c>
      <c r="AB437" s="165">
        <f t="shared" si="312"/>
        <v>64.021302652137493</v>
      </c>
      <c r="AC437" s="165">
        <f t="shared" si="312"/>
        <v>75.735966551615803</v>
      </c>
      <c r="AD437" s="165">
        <f t="shared" si="312"/>
        <v>84.608893369962487</v>
      </c>
      <c r="AE437" s="165">
        <f t="shared" si="312"/>
        <v>104.29496928182331</v>
      </c>
      <c r="AF437" s="165">
        <f t="shared" si="312"/>
        <v>86.238317389747948</v>
      </c>
      <c r="AG437" s="165">
        <f t="shared" si="312"/>
        <v>92.488215487594445</v>
      </c>
      <c r="AH437" s="1682">
        <f>AH432*AI259/1000</f>
        <v>129.93312984520435</v>
      </c>
      <c r="AI437" s="1682">
        <f t="shared" ref="AI437:AO437" si="313">AI432*AJ259/1000</f>
        <v>104.54574316189579</v>
      </c>
      <c r="AJ437" s="1682">
        <f t="shared" si="313"/>
        <v>96.078599206932324</v>
      </c>
      <c r="AK437" s="1682">
        <f t="shared" si="313"/>
        <v>111.16207639181843</v>
      </c>
      <c r="AL437" s="1682">
        <f>AL432*AM259/1000</f>
        <v>116.47519139786675</v>
      </c>
      <c r="AM437" s="1682">
        <f t="shared" si="313"/>
        <v>121.99338547456286</v>
      </c>
      <c r="AN437" s="1682">
        <f t="shared" si="313"/>
        <v>126.8463475360462</v>
      </c>
      <c r="AO437" s="1682">
        <f t="shared" si="313"/>
        <v>135.62690655011045</v>
      </c>
      <c r="AP437" s="1682">
        <f t="shared" ref="AP437" si="314">AP432*AQ259/1000</f>
        <v>139.69571374661376</v>
      </c>
      <c r="AQ437" s="1682">
        <f t="shared" ref="AQ437" si="315">AQ432*AR259/1000</f>
        <v>143.88658515901218</v>
      </c>
      <c r="AR437" s="1682">
        <f t="shared" ref="AR437" si="316">AR432*AS259/1000</f>
        <v>148.20318271378255</v>
      </c>
      <c r="AS437" s="1682">
        <f t="shared" ref="AS437" si="317">AS432*AT259/1000</f>
        <v>152.64927819519605</v>
      </c>
      <c r="AT437" s="2652">
        <f t="shared" ref="AT437" si="318">AT432*AU259/1000</f>
        <v>0</v>
      </c>
      <c r="AX437" s="3046"/>
    </row>
    <row r="438" spans="1:57">
      <c r="C438" s="74" t="s">
        <v>27</v>
      </c>
      <c r="D438" s="166" t="s">
        <v>297</v>
      </c>
      <c r="E438" s="167"/>
      <c r="F438" s="167"/>
      <c r="G438" s="167"/>
      <c r="H438" s="167"/>
      <c r="I438" s="167"/>
      <c r="J438" s="167"/>
      <c r="K438" s="167"/>
      <c r="L438" s="167"/>
      <c r="M438" s="167"/>
      <c r="N438" s="167"/>
      <c r="O438" s="167"/>
      <c r="P438" s="167"/>
      <c r="Q438" s="167"/>
      <c r="R438" s="167"/>
      <c r="S438" s="167"/>
      <c r="T438" s="167"/>
      <c r="U438" s="167"/>
      <c r="V438" s="604" t="str">
        <f t="shared" ref="V438:AT438" si="319">+V302</f>
        <v>2010/11</v>
      </c>
      <c r="W438" s="604" t="str">
        <f t="shared" si="319"/>
        <v>2011/12</v>
      </c>
      <c r="X438" s="604" t="str">
        <f t="shared" si="319"/>
        <v>2012/13</v>
      </c>
      <c r="Y438" s="604" t="str">
        <f t="shared" si="319"/>
        <v>2013/14</v>
      </c>
      <c r="Z438" s="604" t="str">
        <f t="shared" si="319"/>
        <v>2014/15</v>
      </c>
      <c r="AA438" s="604" t="str">
        <f t="shared" si="319"/>
        <v>2015/16</v>
      </c>
      <c r="AB438" s="604" t="str">
        <f t="shared" si="319"/>
        <v>2016/17</v>
      </c>
      <c r="AC438" s="604" t="str">
        <f t="shared" si="319"/>
        <v>2017/18</v>
      </c>
      <c r="AD438" s="604" t="str">
        <f t="shared" si="319"/>
        <v>2018/19</v>
      </c>
      <c r="AE438" s="604" t="str">
        <f t="shared" si="319"/>
        <v>2019/20</v>
      </c>
      <c r="AF438" s="604" t="str">
        <f t="shared" si="319"/>
        <v>2020/21</v>
      </c>
      <c r="AG438" s="604" t="str">
        <f t="shared" si="319"/>
        <v>2021/22</v>
      </c>
      <c r="AH438" s="604" t="str">
        <f t="shared" si="319"/>
        <v>2022/23</v>
      </c>
      <c r="AI438" s="604" t="str">
        <f t="shared" si="319"/>
        <v>2023/24</v>
      </c>
      <c r="AJ438" s="604" t="str">
        <f t="shared" si="319"/>
        <v>2024/25</v>
      </c>
      <c r="AK438" s="604" t="str">
        <f t="shared" si="319"/>
        <v>2025/26</v>
      </c>
      <c r="AL438" s="604" t="str">
        <f t="shared" si="319"/>
        <v>2026/27</v>
      </c>
      <c r="AM438" s="604" t="str">
        <f t="shared" si="319"/>
        <v>2027/28</v>
      </c>
      <c r="AN438" s="604" t="str">
        <f t="shared" si="319"/>
        <v>2028/29</v>
      </c>
      <c r="AO438" s="604" t="str">
        <f t="shared" si="319"/>
        <v>2029/30</v>
      </c>
      <c r="AP438" s="604" t="str">
        <f t="shared" si="319"/>
        <v>2030/31</v>
      </c>
      <c r="AQ438" s="604" t="str">
        <f t="shared" si="319"/>
        <v>2031/32</v>
      </c>
      <c r="AR438" s="604" t="str">
        <f t="shared" si="319"/>
        <v>2032/33</v>
      </c>
      <c r="AS438" s="604" t="str">
        <f t="shared" si="319"/>
        <v>2033/34</v>
      </c>
      <c r="AT438" s="604" t="str">
        <f t="shared" si="319"/>
        <v>2034/35</v>
      </c>
    </row>
    <row r="439" spans="1:57">
      <c r="D439" s="168" t="s">
        <v>3034</v>
      </c>
      <c r="E439" s="169" t="s">
        <v>204</v>
      </c>
      <c r="F439" s="153"/>
      <c r="G439" s="153"/>
      <c r="H439" s="153"/>
      <c r="I439" s="153"/>
      <c r="J439" s="153"/>
      <c r="K439" s="153"/>
      <c r="L439" s="153"/>
      <c r="M439" s="153"/>
      <c r="N439" s="153"/>
      <c r="O439" s="153"/>
      <c r="P439" s="153"/>
      <c r="Q439" s="153"/>
      <c r="R439" s="153"/>
      <c r="S439" s="153"/>
      <c r="T439" s="153"/>
      <c r="U439" s="153"/>
      <c r="V439" s="157">
        <f t="shared" ref="V439:AI439" si="320">+V1063/V$421</f>
        <v>4.7882477501323455E-2</v>
      </c>
      <c r="W439" s="157">
        <f t="shared" si="320"/>
        <v>5.2252458266636173E-2</v>
      </c>
      <c r="X439" s="157">
        <f t="shared" si="320"/>
        <v>5.8200155517952955E-2</v>
      </c>
      <c r="Y439" s="157">
        <f t="shared" si="320"/>
        <v>4.4269773450151061E-2</v>
      </c>
      <c r="Z439" s="157">
        <f t="shared" si="320"/>
        <v>4.620473277560215E-2</v>
      </c>
      <c r="AA439" s="157">
        <f t="shared" si="320"/>
        <v>5.0756030767980735E-2</v>
      </c>
      <c r="AB439" s="157">
        <f t="shared" si="320"/>
        <v>4.7200965487248579E-2</v>
      </c>
      <c r="AC439" s="157">
        <f t="shared" si="320"/>
        <v>4.676936929748423E-2</v>
      </c>
      <c r="AD439" s="157">
        <f t="shared" si="320"/>
        <v>3.6532470308758884E-2</v>
      </c>
      <c r="AE439" s="157">
        <f t="shared" si="320"/>
        <v>5.2045640946485207E-2</v>
      </c>
      <c r="AF439" s="157">
        <f t="shared" si="320"/>
        <v>5.2669159225913816E-2</v>
      </c>
      <c r="AG439" s="157">
        <f t="shared" si="320"/>
        <v>5.2846096626871585E-2</v>
      </c>
      <c r="AH439" s="157">
        <f t="shared" si="320"/>
        <v>4.7218571196145878E-2</v>
      </c>
      <c r="AI439" s="157">
        <f t="shared" si="320"/>
        <v>4.4040531236715433E-2</v>
      </c>
      <c r="AJ439" s="157">
        <f t="shared" ref="AJ439" si="321">+AJ1063/AJ$421</f>
        <v>4.3639277792757981E-2</v>
      </c>
      <c r="AK439" s="157">
        <f t="shared" ref="AK439:AT439" si="322">AK440*(AK$423/AK$421)</f>
        <v>3.095664559934121E-2</v>
      </c>
      <c r="AL439" s="157">
        <f t="shared" si="322"/>
        <v>3.1338889094301201E-2</v>
      </c>
      <c r="AM439" s="157">
        <f t="shared" si="322"/>
        <v>3.2187184443993488E-2</v>
      </c>
      <c r="AN439" s="157">
        <f t="shared" si="322"/>
        <v>3.2534553795068928E-2</v>
      </c>
      <c r="AO439" s="157">
        <f t="shared" si="322"/>
        <v>3.2961063472028394E-2</v>
      </c>
      <c r="AP439" s="157">
        <f t="shared" si="322"/>
        <v>3.3297510309278633E-2</v>
      </c>
      <c r="AQ439" s="157">
        <f t="shared" si="322"/>
        <v>3.367295811179169E-2</v>
      </c>
      <c r="AR439" s="157">
        <f t="shared" si="322"/>
        <v>3.4245067329066063E-2</v>
      </c>
      <c r="AS439" s="157">
        <f t="shared" si="322"/>
        <v>3.4496548986471143E-2</v>
      </c>
      <c r="AT439" s="2605">
        <f t="shared" si="322"/>
        <v>3.4364570656776346E-2</v>
      </c>
    </row>
    <row r="440" spans="1:57">
      <c r="D440" s="153" t="s">
        <v>3035</v>
      </c>
      <c r="E440" s="176" t="s">
        <v>281</v>
      </c>
      <c r="F440" s="153"/>
      <c r="G440" s="153"/>
      <c r="H440" s="153"/>
      <c r="I440" s="153"/>
      <c r="J440" s="153"/>
      <c r="K440" s="153"/>
      <c r="L440" s="153"/>
      <c r="M440" s="153"/>
      <c r="N440" s="153"/>
      <c r="O440" s="153"/>
      <c r="P440" s="153"/>
      <c r="Q440" s="153"/>
      <c r="R440" s="153"/>
      <c r="S440" s="153"/>
      <c r="T440" s="153"/>
      <c r="U440" s="153"/>
      <c r="V440" s="157">
        <f t="shared" ref="V440:AI440" si="323">V1063/V423</f>
        <v>0.11695672814054348</v>
      </c>
      <c r="W440" s="157">
        <f t="shared" si="323"/>
        <v>0.12759649504860707</v>
      </c>
      <c r="X440" s="157">
        <f t="shared" si="323"/>
        <v>0.14048245909660492</v>
      </c>
      <c r="Y440" s="157">
        <f t="shared" si="323"/>
        <v>0.1061032373925158</v>
      </c>
      <c r="Z440" s="157">
        <f t="shared" si="323"/>
        <v>0.10972073033135553</v>
      </c>
      <c r="AA440" s="157">
        <f t="shared" si="323"/>
        <v>0.12386681113960678</v>
      </c>
      <c r="AB440" s="157">
        <f t="shared" si="323"/>
        <v>0.11736838232639558</v>
      </c>
      <c r="AC440" s="157">
        <f t="shared" si="323"/>
        <v>0.11235067152065348</v>
      </c>
      <c r="AD440" s="157">
        <f t="shared" si="323"/>
        <v>8.1465258349020686E-2</v>
      </c>
      <c r="AE440" s="157">
        <f t="shared" si="323"/>
        <v>0.11671540962227495</v>
      </c>
      <c r="AF440" s="157">
        <f t="shared" si="323"/>
        <v>0.11440956948020695</v>
      </c>
      <c r="AG440" s="157">
        <f t="shared" si="323"/>
        <v>0.10514474563166928</v>
      </c>
      <c r="AH440" s="157">
        <f t="shared" si="323"/>
        <v>9.6611806362458308E-2</v>
      </c>
      <c r="AI440" s="157">
        <f t="shared" si="323"/>
        <v>8.7669924270872293E-2</v>
      </c>
      <c r="AJ440" s="157">
        <f t="shared" ref="AJ440" si="324">AJ1063/AJ423</f>
        <v>8.1472037673287381E-2</v>
      </c>
      <c r="AK440" s="157">
        <f t="shared" ref="AK440:AM440" si="325">AJ440*AK441</f>
        <v>5.6450423920487526E-2</v>
      </c>
      <c r="AL440" s="157">
        <f t="shared" si="325"/>
        <v>5.7710420183226141E-2</v>
      </c>
      <c r="AM440" s="157">
        <f t="shared" si="325"/>
        <v>5.919206152333964E-2</v>
      </c>
      <c r="AN440" s="157">
        <f t="shared" ref="AN440" si="326">AM440*AN441</f>
        <v>5.9436771001285131E-2</v>
      </c>
      <c r="AO440" s="157">
        <f t="shared" ref="AO440" si="327">AN440*AO441</f>
        <v>5.9615288447361761E-2</v>
      </c>
      <c r="AP440" s="157">
        <f t="shared" ref="AP440" si="328">AO440*AP441</f>
        <v>5.9936243938548447E-2</v>
      </c>
      <c r="AQ440" s="157">
        <f t="shared" ref="AQ440" si="329">AP440*AQ441</f>
        <v>6.1114309557980813E-2</v>
      </c>
      <c r="AR440" s="157">
        <f t="shared" ref="AR440" si="330">AQ440*AR441</f>
        <v>6.1899986510770201E-2</v>
      </c>
      <c r="AS440" s="157">
        <f t="shared" ref="AS440" si="331">AR440*AS441</f>
        <v>6.2668473198030719E-2</v>
      </c>
      <c r="AT440" s="2605">
        <f t="shared" ref="AT440" si="332">AS440*AT441</f>
        <v>7.3473456338772503E-2</v>
      </c>
      <c r="AV440" s="2155"/>
    </row>
    <row r="441" spans="1:57" s="123" customFormat="1" ht="15.75" customHeight="1">
      <c r="A441" s="122"/>
      <c r="D441" s="156" t="s">
        <v>2329</v>
      </c>
      <c r="E441" s="156"/>
      <c r="F441" s="156"/>
      <c r="G441" s="156"/>
      <c r="H441" s="156"/>
      <c r="I441" s="156"/>
      <c r="J441" s="156"/>
      <c r="K441" s="156"/>
      <c r="L441" s="156"/>
      <c r="M441" s="156"/>
      <c r="N441" s="156"/>
      <c r="O441" s="156"/>
      <c r="P441" s="156"/>
      <c r="Q441" s="156"/>
      <c r="R441" s="156"/>
      <c r="S441" s="156"/>
      <c r="T441" s="156"/>
      <c r="U441" s="156"/>
      <c r="V441" s="232"/>
      <c r="W441" s="232">
        <f t="shared" ref="W441:AE441" si="333">+W440/V440</f>
        <v>1.0909718241713986</v>
      </c>
      <c r="X441" s="232">
        <f t="shared" si="333"/>
        <v>1.1009899530789544</v>
      </c>
      <c r="Y441" s="232">
        <f t="shared" si="333"/>
        <v>0.7552774778775212</v>
      </c>
      <c r="Z441" s="232">
        <f t="shared" si="333"/>
        <v>1.0340940863609775</v>
      </c>
      <c r="AA441" s="232">
        <f t="shared" si="333"/>
        <v>1.1289280591327657</v>
      </c>
      <c r="AB441" s="232">
        <f t="shared" si="333"/>
        <v>0.94753696528211262</v>
      </c>
      <c r="AC441" s="232">
        <f t="shared" si="333"/>
        <v>0.95724818979111337</v>
      </c>
      <c r="AD441" s="232">
        <f t="shared" si="333"/>
        <v>0.72509809907139622</v>
      </c>
      <c r="AE441" s="232">
        <f t="shared" si="333"/>
        <v>1.432701644696595</v>
      </c>
      <c r="AF441" s="232">
        <f>+AF440/AE440</f>
        <v>0.98024390995558885</v>
      </c>
      <c r="AG441" s="232">
        <f t="shared" ref="AG441" si="334">+AG440/AF440</f>
        <v>0.91902055142213879</v>
      </c>
      <c r="AH441" s="232">
        <f>+AH440/AG440</f>
        <v>0.91884578522732308</v>
      </c>
      <c r="AI441" s="232">
        <f>+AI440/AH440</f>
        <v>0.90744524475571053</v>
      </c>
      <c r="AJ441" s="232">
        <f>+AJ440/AI440</f>
        <v>0.92930430077211645</v>
      </c>
      <c r="AK441" s="1390">
        <v>0.69288096299813295</v>
      </c>
      <c r="AL441" s="1390">
        <v>1.0223204039089833</v>
      </c>
      <c r="AM441" s="1390">
        <v>1.0256737229673498</v>
      </c>
      <c r="AN441" s="1390">
        <v>1.0041341604202956</v>
      </c>
      <c r="AO441" s="1390">
        <v>1.0030034849314537</v>
      </c>
      <c r="AP441" s="1390">
        <v>1.0053837782143766</v>
      </c>
      <c r="AQ441" s="1390">
        <v>1.0196553127459942</v>
      </c>
      <c r="AR441" s="1390">
        <v>1.0128558591019341</v>
      </c>
      <c r="AS441" s="1390">
        <v>1.0124149734204999</v>
      </c>
      <c r="AT441" s="1390">
        <v>1.1724149734205001</v>
      </c>
    </row>
    <row r="442" spans="1:57" s="123" customFormat="1" ht="15.75" customHeight="1">
      <c r="A442" s="122"/>
      <c r="D442" s="156"/>
      <c r="E442" s="156"/>
      <c r="F442" s="156"/>
      <c r="G442" s="156"/>
      <c r="H442" s="156"/>
      <c r="I442" s="156"/>
      <c r="J442" s="156"/>
      <c r="K442" s="156"/>
      <c r="L442" s="156"/>
      <c r="M442" s="156"/>
      <c r="N442" s="156"/>
      <c r="O442" s="156"/>
      <c r="P442" s="156"/>
      <c r="Q442" s="156"/>
      <c r="R442" s="156"/>
      <c r="S442" s="156"/>
      <c r="T442" s="156"/>
      <c r="U442" s="156"/>
      <c r="V442" s="157"/>
      <c r="W442" s="157"/>
      <c r="X442" s="157"/>
      <c r="Y442" s="157"/>
      <c r="Z442" s="232"/>
      <c r="AA442" s="232"/>
      <c r="AB442" s="232"/>
      <c r="AC442" s="232"/>
      <c r="AD442" s="232"/>
      <c r="AE442" s="232"/>
      <c r="AF442" s="232"/>
      <c r="AG442" s="232"/>
      <c r="AH442" s="232"/>
      <c r="AI442" s="232"/>
      <c r="AJ442" s="232"/>
      <c r="AK442" s="232"/>
      <c r="AL442" s="232"/>
      <c r="AM442" s="232"/>
      <c r="AN442" s="232"/>
      <c r="AO442" s="232"/>
      <c r="AP442" s="232"/>
      <c r="AQ442" s="232"/>
      <c r="AR442" s="232"/>
      <c r="AS442" s="232"/>
      <c r="AT442" s="2614"/>
    </row>
    <row r="443" spans="1:57" s="123" customFormat="1" ht="15.75" customHeight="1">
      <c r="A443" s="122"/>
      <c r="D443" s="153" t="s">
        <v>279</v>
      </c>
      <c r="E443" s="176" t="s">
        <v>281</v>
      </c>
      <c r="F443" s="156"/>
      <c r="G443" s="156"/>
      <c r="H443" s="156"/>
      <c r="I443" s="156"/>
      <c r="J443" s="156"/>
      <c r="K443" s="156"/>
      <c r="L443" s="156"/>
      <c r="M443" s="156"/>
      <c r="N443" s="156"/>
      <c r="O443" s="156"/>
      <c r="P443" s="156"/>
      <c r="Q443" s="156"/>
      <c r="R443" s="156"/>
      <c r="S443" s="156"/>
      <c r="T443" s="156"/>
      <c r="U443" s="156"/>
      <c r="V443" s="157">
        <f t="shared" ref="V443:AD443" si="335">+V749/V421</f>
        <v>0</v>
      </c>
      <c r="W443" s="157">
        <f t="shared" si="335"/>
        <v>0</v>
      </c>
      <c r="X443" s="157">
        <f t="shared" si="335"/>
        <v>0</v>
      </c>
      <c r="Y443" s="157">
        <f t="shared" si="335"/>
        <v>0</v>
      </c>
      <c r="Z443" s="157">
        <f t="shared" si="335"/>
        <v>2.2872985617743893E-3</v>
      </c>
      <c r="AA443" s="157">
        <f t="shared" si="335"/>
        <v>2.1172907631707397E-3</v>
      </c>
      <c r="AB443" s="157">
        <f t="shared" si="335"/>
        <v>2.4099130882435761E-3</v>
      </c>
      <c r="AC443" s="171">
        <f t="shared" si="335"/>
        <v>2.3591974980235499E-3</v>
      </c>
      <c r="AD443" s="171">
        <f t="shared" si="335"/>
        <v>2.2050087862021863E-3</v>
      </c>
      <c r="AE443" s="171">
        <f t="shared" ref="AE443:AJ443" si="336">AE1066/$AF$421</f>
        <v>0</v>
      </c>
      <c r="AF443" s="171">
        <f t="shared" si="336"/>
        <v>0</v>
      </c>
      <c r="AG443" s="171">
        <f t="shared" si="336"/>
        <v>1.13971851119185E-3</v>
      </c>
      <c r="AH443" s="171">
        <f t="shared" si="336"/>
        <v>1.2617128509381846E-3</v>
      </c>
      <c r="AI443" s="171">
        <f t="shared" si="336"/>
        <v>2.7599566825411942E-3</v>
      </c>
      <c r="AJ443" s="171">
        <f t="shared" si="336"/>
        <v>1.6738541890867914E-3</v>
      </c>
      <c r="AK443" s="171">
        <f t="shared" ref="AK443:AT443" si="337">+AK749/AK421</f>
        <v>0</v>
      </c>
      <c r="AL443" s="171">
        <f t="shared" si="337"/>
        <v>0</v>
      </c>
      <c r="AM443" s="171">
        <f t="shared" si="337"/>
        <v>0</v>
      </c>
      <c r="AN443" s="171">
        <f t="shared" si="337"/>
        <v>0</v>
      </c>
      <c r="AO443" s="171">
        <f t="shared" si="337"/>
        <v>0</v>
      </c>
      <c r="AP443" s="171">
        <f t="shared" si="337"/>
        <v>0</v>
      </c>
      <c r="AQ443" s="171">
        <f t="shared" si="337"/>
        <v>0</v>
      </c>
      <c r="AR443" s="171">
        <f t="shared" si="337"/>
        <v>0</v>
      </c>
      <c r="AS443" s="171">
        <f t="shared" si="337"/>
        <v>0</v>
      </c>
      <c r="AT443" s="2615">
        <f t="shared" si="337"/>
        <v>0</v>
      </c>
    </row>
    <row r="444" spans="1:57" s="123" customFormat="1" ht="15.75" customHeight="1">
      <c r="A444" s="122"/>
      <c r="D444" s="2154" t="s">
        <v>3035</v>
      </c>
      <c r="E444" s="176"/>
      <c r="F444" s="156"/>
      <c r="G444" s="156"/>
      <c r="H444" s="156"/>
      <c r="I444" s="156"/>
      <c r="J444" s="156"/>
      <c r="K444" s="156"/>
      <c r="L444" s="156"/>
      <c r="M444" s="156"/>
      <c r="N444" s="156"/>
      <c r="O444" s="156"/>
      <c r="P444" s="156"/>
      <c r="Q444" s="156"/>
      <c r="R444" s="156"/>
      <c r="S444" s="156"/>
      <c r="T444" s="156"/>
      <c r="U444" s="156"/>
      <c r="V444" s="157"/>
      <c r="W444" s="157"/>
      <c r="X444" s="157"/>
      <c r="Y444" s="157"/>
      <c r="Z444" s="157"/>
      <c r="AA444" s="157"/>
      <c r="AB444" s="157"/>
      <c r="AC444" s="171"/>
      <c r="AD444" s="171"/>
      <c r="AE444" s="171">
        <f t="shared" ref="AE444:AJ444" si="338">AE1066/$AE$423</f>
        <v>0</v>
      </c>
      <c r="AF444" s="171">
        <f t="shared" si="338"/>
        <v>0</v>
      </c>
      <c r="AG444" s="171">
        <f t="shared" si="338"/>
        <v>2.783635338104511E-3</v>
      </c>
      <c r="AH444" s="171">
        <f t="shared" si="338"/>
        <v>3.0815929055493917E-3</v>
      </c>
      <c r="AI444" s="171">
        <f t="shared" si="338"/>
        <v>6.7408863484416312E-3</v>
      </c>
      <c r="AJ444" s="171">
        <f t="shared" si="338"/>
        <v>4.0882021532700555E-3</v>
      </c>
      <c r="AK444" s="171">
        <f t="shared" ref="AK444:AT444" si="339">AK445*AJ444</f>
        <v>1.8099561580124175E-3</v>
      </c>
      <c r="AL444" s="171">
        <f t="shared" si="339"/>
        <v>1.6945705049215586E-3</v>
      </c>
      <c r="AM444" s="171">
        <f t="shared" si="339"/>
        <v>1.7060090107212861E-3</v>
      </c>
      <c r="AN444" s="171">
        <f t="shared" si="339"/>
        <v>1.6866368529056053E-3</v>
      </c>
      <c r="AO444" s="171">
        <f t="shared" si="339"/>
        <v>1.6420824732963173E-3</v>
      </c>
      <c r="AP444" s="171">
        <f t="shared" si="339"/>
        <v>0</v>
      </c>
      <c r="AQ444" s="171">
        <f t="shared" si="339"/>
        <v>0</v>
      </c>
      <c r="AR444" s="171">
        <f t="shared" si="339"/>
        <v>0</v>
      </c>
      <c r="AS444" s="171">
        <f t="shared" si="339"/>
        <v>0</v>
      </c>
      <c r="AT444" s="2615">
        <f t="shared" si="339"/>
        <v>0</v>
      </c>
    </row>
    <row r="445" spans="1:57">
      <c r="D445" s="156" t="s">
        <v>280</v>
      </c>
      <c r="E445" s="153"/>
      <c r="F445" s="153"/>
      <c r="G445" s="153"/>
      <c r="H445" s="153"/>
      <c r="I445" s="153"/>
      <c r="J445" s="153"/>
      <c r="K445" s="153"/>
      <c r="L445" s="153"/>
      <c r="M445" s="153"/>
      <c r="N445" s="153"/>
      <c r="O445" s="153"/>
      <c r="P445" s="153"/>
      <c r="Q445" s="153"/>
      <c r="R445" s="153"/>
      <c r="S445" s="153"/>
      <c r="T445" s="153"/>
      <c r="U445" s="153"/>
      <c r="V445" s="172"/>
      <c r="W445" s="153"/>
      <c r="X445" s="153"/>
      <c r="Y445" s="173"/>
      <c r="Z445" s="173"/>
      <c r="AA445" s="173"/>
      <c r="AB445" s="170">
        <f>+AB320/AA320</f>
        <v>1.1382060178804263</v>
      </c>
      <c r="AC445" s="170">
        <f>+AC320/AB320</f>
        <v>0.97895542770092614</v>
      </c>
      <c r="AD445" s="170">
        <v>1.998</v>
      </c>
      <c r="AE445" s="965" t="e">
        <f t="shared" ref="AE445:AH445" si="340">+AE444/AD444</f>
        <v>#DIV/0!</v>
      </c>
      <c r="AF445" s="965" t="e">
        <f t="shared" si="340"/>
        <v>#DIV/0!</v>
      </c>
      <c r="AG445" s="965" t="e">
        <f t="shared" si="340"/>
        <v>#DIV/0!</v>
      </c>
      <c r="AH445" s="965">
        <f t="shared" si="340"/>
        <v>1.1070390087976725</v>
      </c>
      <c r="AI445" s="965">
        <f>+AI444/AH444</f>
        <v>2.1874681552850519</v>
      </c>
      <c r="AJ445" s="965">
        <f>+AJ444/AI444</f>
        <v>0.60647842760546955</v>
      </c>
      <c r="AK445" s="965">
        <v>0.44272667792728321</v>
      </c>
      <c r="AL445" s="965">
        <v>0.9362494762207012</v>
      </c>
      <c r="AM445" s="965">
        <v>1.006750091404581</v>
      </c>
      <c r="AN445" s="965">
        <v>0.98864475058810475</v>
      </c>
      <c r="AO445" s="965">
        <v>0.97358389298055881</v>
      </c>
      <c r="AP445" s="965">
        <f>+AO321</f>
        <v>0</v>
      </c>
      <c r="AQ445" s="965">
        <f>+AP321</f>
        <v>0</v>
      </c>
      <c r="AR445" s="965">
        <f>+AQ321</f>
        <v>0</v>
      </c>
      <c r="AS445" s="965">
        <f>+AR321</f>
        <v>0</v>
      </c>
      <c r="AT445" s="2616">
        <f>+AS321</f>
        <v>0</v>
      </c>
    </row>
    <row r="446" spans="1:57">
      <c r="D446" s="156"/>
      <c r="E446" s="153"/>
      <c r="F446" s="153"/>
      <c r="G446" s="153"/>
      <c r="H446" s="153"/>
      <c r="I446" s="153"/>
      <c r="J446" s="153"/>
      <c r="K446" s="153"/>
      <c r="L446" s="153"/>
      <c r="M446" s="153"/>
      <c r="N446" s="153"/>
      <c r="O446" s="153"/>
      <c r="P446" s="153"/>
      <c r="Q446" s="153"/>
      <c r="R446" s="153"/>
      <c r="S446" s="153"/>
      <c r="T446" s="153"/>
      <c r="U446" s="153"/>
      <c r="V446" s="172"/>
      <c r="W446" s="153"/>
      <c r="X446" s="153"/>
      <c r="Y446" s="173"/>
      <c r="Z446" s="173"/>
      <c r="AA446" s="173"/>
      <c r="AB446" s="170"/>
      <c r="AC446" s="170"/>
      <c r="AD446" s="170"/>
      <c r="AE446" s="170"/>
      <c r="AF446" s="965"/>
      <c r="AG446" s="965"/>
      <c r="AH446" s="965"/>
      <c r="AI446" s="965"/>
      <c r="AJ446" s="965"/>
      <c r="AK446" s="965"/>
      <c r="AL446" s="965"/>
      <c r="AM446" s="965"/>
      <c r="AN446" s="965"/>
      <c r="AO446" s="965"/>
      <c r="AP446" s="965"/>
      <c r="AQ446" s="965"/>
      <c r="AR446" s="965"/>
      <c r="AS446" s="965"/>
      <c r="AT446" s="2616"/>
    </row>
    <row r="447" spans="1:57" s="1391" customFormat="1">
      <c r="A447" s="2104"/>
      <c r="B447" s="2105"/>
      <c r="C447" s="2105"/>
      <c r="D447" s="2106" t="s">
        <v>3741</v>
      </c>
      <c r="E447" s="1662"/>
      <c r="F447" s="1662"/>
      <c r="G447" s="1662"/>
      <c r="H447" s="1662"/>
      <c r="I447" s="1662"/>
      <c r="J447" s="1662"/>
      <c r="K447" s="1662"/>
      <c r="L447" s="1662"/>
      <c r="M447" s="1662"/>
      <c r="N447" s="1662"/>
      <c r="O447" s="1662"/>
      <c r="P447" s="1662"/>
      <c r="Q447" s="1662"/>
      <c r="R447" s="1662"/>
      <c r="S447" s="1662"/>
      <c r="T447" s="1662"/>
      <c r="U447" s="1662"/>
      <c r="V447" s="2107"/>
      <c r="W447" s="1662"/>
      <c r="X447" s="1662"/>
      <c r="Y447" s="2108"/>
      <c r="Z447" s="2108"/>
      <c r="AA447" s="2108"/>
      <c r="AB447" s="2109"/>
      <c r="AC447" s="2109"/>
      <c r="AD447" s="2112">
        <f t="shared" ref="AD447:AI447" si="341">AD1064/AD$421</f>
        <v>0</v>
      </c>
      <c r="AE447" s="2112">
        <f t="shared" si="341"/>
        <v>0</v>
      </c>
      <c r="AF447" s="2112">
        <f t="shared" si="341"/>
        <v>0</v>
      </c>
      <c r="AG447" s="2112">
        <f t="shared" si="341"/>
        <v>0</v>
      </c>
      <c r="AH447" s="2112">
        <f t="shared" si="341"/>
        <v>3.272654888479979E-2</v>
      </c>
      <c r="AI447" s="2112">
        <f t="shared" si="341"/>
        <v>3.0753179584256645E-2</v>
      </c>
      <c r="AJ447" s="2112">
        <f t="shared" ref="AJ447" si="342">AJ1064/AJ$421</f>
        <v>2.9541398154162339E-2</v>
      </c>
      <c r="AK447" s="2112">
        <f t="shared" ref="AK447:AO447" si="343">AK448*(AK$423/AK$421)</f>
        <v>2.7220197183635188E-2</v>
      </c>
      <c r="AL447" s="2112">
        <f t="shared" si="343"/>
        <v>2.5606931851962597E-2</v>
      </c>
      <c r="AM447" s="2112">
        <f t="shared" si="343"/>
        <v>2.435966507644375E-2</v>
      </c>
      <c r="AN447" s="2112">
        <f t="shared" si="343"/>
        <v>2.3295124849030648E-2</v>
      </c>
      <c r="AO447" s="2112">
        <f t="shared" si="343"/>
        <v>2.2353347333417765E-2</v>
      </c>
      <c r="AP447" s="2112">
        <f>AP1064*(AP$423/AP$421)</f>
        <v>0</v>
      </c>
      <c r="AQ447" s="2112">
        <f>AQ1064*(AQ$423/AQ$421)</f>
        <v>0</v>
      </c>
      <c r="AR447" s="2112">
        <f>AR1064*(AR$423/AR$421)</f>
        <v>0</v>
      </c>
      <c r="AS447" s="2112">
        <f>AS1064*(AS$423/AS$421)</f>
        <v>0</v>
      </c>
      <c r="AT447" s="2654">
        <f>AT1064*(AT$423/AT$421)</f>
        <v>0</v>
      </c>
      <c r="AU447" s="1"/>
      <c r="AV447" s="1"/>
      <c r="AW447" s="1"/>
      <c r="AX447" s="1"/>
      <c r="AY447" s="1"/>
      <c r="AZ447" s="1"/>
      <c r="BA447" s="1"/>
      <c r="BB447" s="1"/>
      <c r="BC447" s="1"/>
      <c r="BD447" s="1"/>
      <c r="BE447" s="1"/>
    </row>
    <row r="448" spans="1:57" s="1391" customFormat="1">
      <c r="A448" s="2104"/>
      <c r="B448" s="2105"/>
      <c r="C448" s="2105"/>
      <c r="D448" s="2111" t="s">
        <v>3742</v>
      </c>
      <c r="E448" s="1662"/>
      <c r="F448" s="1662"/>
      <c r="G448" s="1662"/>
      <c r="H448" s="1662"/>
      <c r="I448" s="1662"/>
      <c r="J448" s="1662"/>
      <c r="K448" s="1662"/>
      <c r="L448" s="1662"/>
      <c r="M448" s="1662"/>
      <c r="N448" s="1662"/>
      <c r="O448" s="1662"/>
      <c r="P448" s="1662"/>
      <c r="Q448" s="1662"/>
      <c r="R448" s="1662"/>
      <c r="S448" s="1662"/>
      <c r="T448" s="1662"/>
      <c r="U448" s="1662"/>
      <c r="V448" s="2107"/>
      <c r="W448" s="1662"/>
      <c r="X448" s="1662"/>
      <c r="Y448" s="2108"/>
      <c r="Z448" s="2108"/>
      <c r="AA448" s="2108"/>
      <c r="AB448" s="2109"/>
      <c r="AC448" s="2109"/>
      <c r="AD448" s="2109"/>
      <c r="AE448" s="2112">
        <f t="shared" ref="AE448:AJ448" si="344">AE1064/AE423</f>
        <v>0</v>
      </c>
      <c r="AF448" s="2112">
        <f t="shared" si="344"/>
        <v>0</v>
      </c>
      <c r="AG448" s="2112">
        <f t="shared" si="344"/>
        <v>0</v>
      </c>
      <c r="AH448" s="2112">
        <f t="shared" si="344"/>
        <v>6.6960327762477415E-2</v>
      </c>
      <c r="AI448" s="2112">
        <f t="shared" si="344"/>
        <v>6.1219264380549164E-2</v>
      </c>
      <c r="AJ448" s="2112">
        <f t="shared" si="344"/>
        <v>5.5152102075733914E-2</v>
      </c>
      <c r="AK448" s="2112">
        <f t="shared" ref="AK448:AO448" si="345">AK449*AJ448</f>
        <v>4.9636891868160525E-2</v>
      </c>
      <c r="AL448" s="2112">
        <f t="shared" si="345"/>
        <v>4.7155047274752497E-2</v>
      </c>
      <c r="AM448" s="2112">
        <f t="shared" si="345"/>
        <v>4.4797294911014869E-2</v>
      </c>
      <c r="AN448" s="2112">
        <f t="shared" si="345"/>
        <v>4.2557430165464122E-2</v>
      </c>
      <c r="AO448" s="2112">
        <f t="shared" si="345"/>
        <v>4.0429558657190917E-2</v>
      </c>
      <c r="AP448" s="2110"/>
      <c r="AQ448" s="2110"/>
      <c r="AR448" s="2110"/>
      <c r="AS448" s="2110"/>
      <c r="AT448" s="2655"/>
      <c r="AU448" s="1"/>
      <c r="AV448" s="1"/>
      <c r="AW448" s="1"/>
      <c r="AX448" s="1"/>
      <c r="AY448" s="1"/>
      <c r="AZ448" s="1"/>
      <c r="BA448" s="1"/>
      <c r="BB448" s="1"/>
      <c r="BC448" s="1"/>
      <c r="BD448" s="1"/>
      <c r="BE448" s="1"/>
    </row>
    <row r="449" spans="1:57" s="1391" customFormat="1">
      <c r="A449" s="2104"/>
      <c r="B449" s="2105"/>
      <c r="C449" s="2105"/>
      <c r="D449" s="2111" t="s">
        <v>3743</v>
      </c>
      <c r="E449" s="1662"/>
      <c r="F449" s="1662"/>
      <c r="G449" s="1662"/>
      <c r="H449" s="1662"/>
      <c r="I449" s="1662"/>
      <c r="J449" s="1662"/>
      <c r="K449" s="1662"/>
      <c r="L449" s="1662"/>
      <c r="M449" s="1662"/>
      <c r="N449" s="1662"/>
      <c r="O449" s="1662"/>
      <c r="P449" s="1662"/>
      <c r="Q449" s="1662"/>
      <c r="R449" s="1662"/>
      <c r="S449" s="1662"/>
      <c r="T449" s="1662"/>
      <c r="U449" s="1662"/>
      <c r="V449" s="2107"/>
      <c r="W449" s="1662"/>
      <c r="X449" s="1662"/>
      <c r="Y449" s="2108"/>
      <c r="Z449" s="2108"/>
      <c r="AA449" s="2108"/>
      <c r="AB449" s="2109"/>
      <c r="AC449" s="2109"/>
      <c r="AD449" s="2109"/>
      <c r="AE449" s="2109"/>
      <c r="AF449" s="2110" t="e">
        <f t="shared" ref="AF449" si="346">+AF448/AE448</f>
        <v>#DIV/0!</v>
      </c>
      <c r="AG449" s="2110" t="e">
        <f t="shared" ref="AG449" si="347">+AG448/AF448</f>
        <v>#DIV/0!</v>
      </c>
      <c r="AH449" s="2110" t="e">
        <f t="shared" ref="AH449" si="348">+AH448/AG448</f>
        <v>#DIV/0!</v>
      </c>
      <c r="AI449" s="2110">
        <f t="shared" ref="AI449:AJ449" si="349">+AI448/AH448</f>
        <v>0.91426171923331934</v>
      </c>
      <c r="AJ449" s="2110">
        <f t="shared" si="349"/>
        <v>0.90089455719198519</v>
      </c>
      <c r="AK449" s="2110">
        <v>0.9</v>
      </c>
      <c r="AL449" s="2110">
        <v>0.95</v>
      </c>
      <c r="AM449" s="2110">
        <v>0.95</v>
      </c>
      <c r="AN449" s="2110">
        <v>0.95</v>
      </c>
      <c r="AO449" s="2110">
        <v>0.95</v>
      </c>
      <c r="AP449" s="2110"/>
      <c r="AQ449" s="2110"/>
      <c r="AR449" s="2110"/>
      <c r="AS449" s="2110"/>
      <c r="AT449" s="2655"/>
      <c r="AU449" s="1"/>
      <c r="AV449" s="1"/>
      <c r="AW449" s="1"/>
      <c r="AX449" s="1"/>
      <c r="AY449" s="1"/>
      <c r="AZ449" s="1"/>
      <c r="BA449" s="1"/>
      <c r="BB449" s="1"/>
      <c r="BC449" s="1"/>
      <c r="BD449" s="1"/>
      <c r="BE449" s="1"/>
    </row>
    <row r="450" spans="1:57">
      <c r="D450" s="156"/>
      <c r="E450" s="153"/>
      <c r="F450" s="153"/>
      <c r="G450" s="153"/>
      <c r="H450" s="153"/>
      <c r="I450" s="153"/>
      <c r="J450" s="153"/>
      <c r="K450" s="153"/>
      <c r="L450" s="153"/>
      <c r="M450" s="153"/>
      <c r="N450" s="153"/>
      <c r="O450" s="153"/>
      <c r="P450" s="153"/>
      <c r="Q450" s="153"/>
      <c r="R450" s="153"/>
      <c r="S450" s="153"/>
      <c r="T450" s="153"/>
      <c r="U450" s="153"/>
      <c r="V450" s="172"/>
      <c r="W450" s="153"/>
      <c r="X450" s="153"/>
      <c r="Y450" s="173"/>
      <c r="Z450" s="173"/>
      <c r="AA450" s="173"/>
      <c r="AB450" s="170"/>
      <c r="AC450" s="170"/>
      <c r="AD450" s="170"/>
      <c r="AE450" s="170"/>
      <c r="AF450" s="965"/>
      <c r="AG450" s="965"/>
      <c r="AH450" s="965"/>
      <c r="AI450" s="965"/>
      <c r="AJ450" s="965"/>
      <c r="AK450" s="965"/>
      <c r="AL450" s="965"/>
      <c r="AM450" s="965"/>
      <c r="AN450" s="965"/>
      <c r="AO450" s="965"/>
      <c r="AP450" s="965"/>
      <c r="AQ450" s="965"/>
      <c r="AR450" s="965"/>
      <c r="AS450" s="965"/>
      <c r="AT450" s="2616"/>
    </row>
    <row r="451" spans="1:57" s="1391" customFormat="1">
      <c r="A451" s="2104"/>
      <c r="B451" s="2105"/>
      <c r="C451" s="2105"/>
      <c r="D451" s="2106" t="s">
        <v>3744</v>
      </c>
      <c r="E451" s="1662"/>
      <c r="F451" s="1662"/>
      <c r="G451" s="1662"/>
      <c r="H451" s="1662"/>
      <c r="I451" s="1662"/>
      <c r="J451" s="1662"/>
      <c r="K451" s="1662"/>
      <c r="L451" s="1662"/>
      <c r="M451" s="1662"/>
      <c r="N451" s="1662"/>
      <c r="O451" s="1662"/>
      <c r="P451" s="1662"/>
      <c r="Q451" s="1662"/>
      <c r="R451" s="1662"/>
      <c r="S451" s="1662"/>
      <c r="T451" s="1662"/>
      <c r="U451" s="1662"/>
      <c r="V451" s="2107"/>
      <c r="W451" s="1662"/>
      <c r="X451" s="1662"/>
      <c r="Y451" s="2108"/>
      <c r="Z451" s="2108"/>
      <c r="AA451" s="2108"/>
      <c r="AB451" s="2109"/>
      <c r="AC451" s="2109"/>
      <c r="AD451" s="2109"/>
      <c r="AE451" s="2148">
        <f t="shared" ref="AE451:AJ451" si="350">AE1065/AE$421</f>
        <v>0</v>
      </c>
      <c r="AF451" s="2148">
        <f t="shared" si="350"/>
        <v>0</v>
      </c>
      <c r="AG451" s="2148">
        <f t="shared" si="350"/>
        <v>0</v>
      </c>
      <c r="AH451" s="2148">
        <f t="shared" si="350"/>
        <v>7.438721135943669E-4</v>
      </c>
      <c r="AI451" s="2148">
        <f t="shared" si="350"/>
        <v>7.7194467297368925E-4</v>
      </c>
      <c r="AJ451" s="2148">
        <f t="shared" si="350"/>
        <v>8.5882301288396266E-4</v>
      </c>
      <c r="AK451" s="2148">
        <f t="shared" ref="AK451:AO451" si="351">AK452*(AK$423/AK$421)</f>
        <v>8.7926823663788268E-4</v>
      </c>
      <c r="AL451" s="2148">
        <f t="shared" si="351"/>
        <v>8.7069100558663742E-4</v>
      </c>
      <c r="AM451" s="2148">
        <f t="shared" si="351"/>
        <v>8.718749900583707E-4</v>
      </c>
      <c r="AN451" s="2148">
        <f t="shared" si="351"/>
        <v>8.7765603649010303E-4</v>
      </c>
      <c r="AO451" s="2148">
        <f t="shared" si="351"/>
        <v>8.8649902636965875E-4</v>
      </c>
      <c r="AP451" s="2110"/>
      <c r="AQ451" s="2110"/>
      <c r="AR451" s="2110"/>
      <c r="AS451" s="2110"/>
      <c r="AT451" s="2655"/>
      <c r="AU451" s="1"/>
      <c r="AV451" s="1"/>
      <c r="AW451" s="1"/>
      <c r="AX451" s="1"/>
      <c r="AY451" s="1"/>
      <c r="AZ451" s="1"/>
      <c r="BA451" s="1"/>
      <c r="BB451" s="1"/>
      <c r="BC451" s="1"/>
      <c r="BD451" s="1"/>
      <c r="BE451" s="1"/>
    </row>
    <row r="452" spans="1:57" s="1391" customFormat="1">
      <c r="A452" s="2104"/>
      <c r="B452" s="2105"/>
      <c r="C452" s="2105"/>
      <c r="D452" s="2111" t="s">
        <v>3745</v>
      </c>
      <c r="E452" s="1662"/>
      <c r="F452" s="1662"/>
      <c r="G452" s="1662"/>
      <c r="H452" s="1662"/>
      <c r="I452" s="1662"/>
      <c r="J452" s="1662"/>
      <c r="K452" s="1662"/>
      <c r="L452" s="1662"/>
      <c r="M452" s="1662"/>
      <c r="N452" s="1662"/>
      <c r="O452" s="1662"/>
      <c r="P452" s="1662"/>
      <c r="Q452" s="1662"/>
      <c r="R452" s="1662"/>
      <c r="S452" s="1662"/>
      <c r="T452" s="1662"/>
      <c r="U452" s="1662"/>
      <c r="V452" s="2107"/>
      <c r="W452" s="1662"/>
      <c r="X452" s="1662"/>
      <c r="Y452" s="2108"/>
      <c r="Z452" s="2108"/>
      <c r="AA452" s="2108"/>
      <c r="AB452" s="2109"/>
      <c r="AC452" s="2109"/>
      <c r="AD452" s="2109"/>
      <c r="AE452" s="2148">
        <f t="shared" ref="AE452:AJ452" si="352">AE1065/AE423</f>
        <v>0</v>
      </c>
      <c r="AF452" s="2148">
        <f t="shared" si="352"/>
        <v>0</v>
      </c>
      <c r="AG452" s="2148">
        <f t="shared" si="352"/>
        <v>0</v>
      </c>
      <c r="AH452" s="2148">
        <f t="shared" si="352"/>
        <v>1.5220034570397494E-3</v>
      </c>
      <c r="AI452" s="2148">
        <f t="shared" si="352"/>
        <v>1.5366828946079252E-3</v>
      </c>
      <c r="AJ452" s="2148">
        <f t="shared" si="352"/>
        <v>1.6033734836917958E-3</v>
      </c>
      <c r="AK452" s="2148">
        <f t="shared" ref="AK452:AO452" si="353">AK453*AJ452</f>
        <v>1.6033734836917958E-3</v>
      </c>
      <c r="AL452" s="2148">
        <f t="shared" si="353"/>
        <v>1.6033734836917958E-3</v>
      </c>
      <c r="AM452" s="2148">
        <f t="shared" si="353"/>
        <v>1.6033734836917958E-3</v>
      </c>
      <c r="AN452" s="2148">
        <f t="shared" si="353"/>
        <v>1.6033734836917958E-3</v>
      </c>
      <c r="AO452" s="2148">
        <f t="shared" si="353"/>
        <v>1.6033734836917958E-3</v>
      </c>
      <c r="AP452" s="2110"/>
      <c r="AQ452" s="2110"/>
      <c r="AR452" s="2110"/>
      <c r="AS452" s="2110"/>
      <c r="AT452" s="2655"/>
      <c r="AU452" s="1"/>
      <c r="AV452" s="1"/>
      <c r="AW452" s="1"/>
      <c r="AX452" s="1"/>
      <c r="AY452" s="1"/>
      <c r="AZ452" s="1"/>
      <c r="BA452" s="1"/>
      <c r="BB452" s="1"/>
      <c r="BC452" s="1"/>
      <c r="BD452" s="1"/>
      <c r="BE452" s="1"/>
    </row>
    <row r="453" spans="1:57" s="1391" customFormat="1">
      <c r="A453" s="2104"/>
      <c r="B453" s="2105"/>
      <c r="C453" s="2105"/>
      <c r="D453" s="2111" t="s">
        <v>3746</v>
      </c>
      <c r="E453" s="1662"/>
      <c r="F453" s="1662"/>
      <c r="G453" s="1662"/>
      <c r="H453" s="1662"/>
      <c r="I453" s="1662"/>
      <c r="J453" s="1662"/>
      <c r="K453" s="1662"/>
      <c r="L453" s="1662"/>
      <c r="M453" s="1662"/>
      <c r="N453" s="1662"/>
      <c r="O453" s="1662"/>
      <c r="P453" s="1662"/>
      <c r="Q453" s="1662"/>
      <c r="R453" s="1662"/>
      <c r="S453" s="1662"/>
      <c r="T453" s="1662"/>
      <c r="U453" s="1662"/>
      <c r="V453" s="2107"/>
      <c r="W453" s="1662"/>
      <c r="X453" s="1662"/>
      <c r="Y453" s="2108"/>
      <c r="Z453" s="2108"/>
      <c r="AA453" s="2108"/>
      <c r="AB453" s="2109"/>
      <c r="AC453" s="2109"/>
      <c r="AD453" s="2109"/>
      <c r="AE453" s="2109"/>
      <c r="AF453" s="2110" t="e">
        <f t="shared" ref="AF453" si="354">+AF452/AE452</f>
        <v>#DIV/0!</v>
      </c>
      <c r="AG453" s="2110" t="e">
        <f t="shared" ref="AG453" si="355">+AG452/AF452</f>
        <v>#DIV/0!</v>
      </c>
      <c r="AH453" s="2110" t="e">
        <f t="shared" ref="AH453" si="356">+AH452/AG452</f>
        <v>#DIV/0!</v>
      </c>
      <c r="AI453" s="2110">
        <f t="shared" ref="AI453:AJ453" si="357">+AI452/AH452</f>
        <v>1.0096448122376325</v>
      </c>
      <c r="AJ453" s="2110">
        <f t="shared" si="357"/>
        <v>1.0433990573578202</v>
      </c>
      <c r="AK453" s="2110">
        <v>1</v>
      </c>
      <c r="AL453" s="2110">
        <v>1</v>
      </c>
      <c r="AM453" s="2110">
        <v>1</v>
      </c>
      <c r="AN453" s="2110">
        <v>1</v>
      </c>
      <c r="AO453" s="2110">
        <v>1</v>
      </c>
      <c r="AP453" s="2110"/>
      <c r="AQ453" s="2110"/>
      <c r="AR453" s="2110"/>
      <c r="AS453" s="2110"/>
      <c r="AT453" s="2655"/>
      <c r="AU453" s="1"/>
      <c r="AV453" s="1"/>
      <c r="AW453" s="1"/>
      <c r="AX453" s="1"/>
      <c r="AY453" s="1"/>
      <c r="AZ453" s="1"/>
      <c r="BA453" s="1"/>
      <c r="BB453" s="1"/>
      <c r="BC453" s="1"/>
      <c r="BD453" s="1"/>
      <c r="BE453" s="1"/>
    </row>
    <row r="454" spans="1:57">
      <c r="D454" s="156"/>
      <c r="E454" s="153"/>
      <c r="F454" s="153"/>
      <c r="G454" s="153"/>
      <c r="H454" s="153"/>
      <c r="I454" s="153"/>
      <c r="J454" s="153"/>
      <c r="K454" s="153"/>
      <c r="L454" s="153"/>
      <c r="M454" s="153"/>
      <c r="N454" s="153"/>
      <c r="O454" s="153"/>
      <c r="P454" s="153"/>
      <c r="Q454" s="153"/>
      <c r="R454" s="153"/>
      <c r="S454" s="153"/>
      <c r="T454" s="153"/>
      <c r="U454" s="153"/>
      <c r="V454" s="172"/>
      <c r="W454" s="153"/>
      <c r="X454" s="153"/>
      <c r="Y454" s="173"/>
      <c r="Z454" s="173"/>
      <c r="AA454" s="173"/>
      <c r="AB454" s="170"/>
      <c r="AC454" s="170"/>
      <c r="AD454" s="170"/>
      <c r="AE454" s="170"/>
      <c r="AF454" s="965"/>
      <c r="AG454" s="965"/>
      <c r="AH454" s="965"/>
      <c r="AI454" s="965"/>
      <c r="AJ454" s="965"/>
      <c r="AK454" s="965"/>
      <c r="AL454" s="965"/>
      <c r="AM454" s="965"/>
      <c r="AN454" s="965"/>
      <c r="AO454" s="965"/>
      <c r="AP454" s="965"/>
      <c r="AQ454" s="965"/>
      <c r="AR454" s="965"/>
      <c r="AS454" s="965"/>
      <c r="AT454" s="2616"/>
    </row>
    <row r="455" spans="1:57">
      <c r="D455" s="168" t="s">
        <v>2327</v>
      </c>
      <c r="E455" s="153"/>
      <c r="F455" s="153"/>
      <c r="G455" s="153"/>
      <c r="H455" s="153"/>
      <c r="I455" s="153"/>
      <c r="J455" s="153"/>
      <c r="K455" s="153"/>
      <c r="L455" s="153"/>
      <c r="M455" s="153"/>
      <c r="N455" s="153"/>
      <c r="O455" s="153"/>
      <c r="P455" s="153"/>
      <c r="Q455" s="153"/>
      <c r="R455" s="153"/>
      <c r="S455" s="153"/>
      <c r="T455" s="153"/>
      <c r="U455" s="153"/>
      <c r="V455" s="1389">
        <f t="shared" ref="V455:AH455" si="358">V1067/V421</f>
        <v>0</v>
      </c>
      <c r="W455" s="1389">
        <f t="shared" si="358"/>
        <v>0</v>
      </c>
      <c r="X455" s="1389">
        <f t="shared" si="358"/>
        <v>0</v>
      </c>
      <c r="Y455" s="1389">
        <f t="shared" si="358"/>
        <v>9.7680924913141984E-3</v>
      </c>
      <c r="Z455" s="1389">
        <f t="shared" si="358"/>
        <v>1.1289541302720498E-2</v>
      </c>
      <c r="AA455" s="1389">
        <f t="shared" si="358"/>
        <v>1.1906550501168189E-2</v>
      </c>
      <c r="AB455" s="1389">
        <f t="shared" si="358"/>
        <v>1.098790721110674E-2</v>
      </c>
      <c r="AC455" s="1389">
        <f t="shared" si="358"/>
        <v>1.2291827673571253E-2</v>
      </c>
      <c r="AD455" s="1389">
        <f t="shared" si="358"/>
        <v>1.9489621260878127E-2</v>
      </c>
      <c r="AE455" s="1389">
        <f t="shared" si="358"/>
        <v>1.426927118423304E-2</v>
      </c>
      <c r="AF455" s="1389">
        <f t="shared" si="358"/>
        <v>1.3870275379384686E-2</v>
      </c>
      <c r="AG455" s="1389">
        <f t="shared" si="358"/>
        <v>1.5662862562473057E-2</v>
      </c>
      <c r="AH455" s="1389">
        <f t="shared" si="358"/>
        <v>1.7233087629548546E-2</v>
      </c>
      <c r="AI455" s="1389">
        <f t="shared" ref="AI455:AJ455" si="359">AI1067/AI421</f>
        <v>1.9253924947784221E-2</v>
      </c>
      <c r="AJ455" s="1389">
        <f t="shared" si="359"/>
        <v>1.8831089313705116E-2</v>
      </c>
      <c r="AK455" s="1873">
        <f>AK456*(AK$423/AK$421)</f>
        <v>3.0956948876326548E-2</v>
      </c>
      <c r="AL455" s="1873">
        <f t="shared" ref="AL455:AT455" si="360">AL456*(AL$423/AL$421)</f>
        <v>3.3639734666587054E-2</v>
      </c>
      <c r="AM455" s="1873">
        <f t="shared" si="360"/>
        <v>3.4899196377871568E-2</v>
      </c>
      <c r="AN455" s="1873">
        <f t="shared" si="360"/>
        <v>3.5634413852815051E-2</v>
      </c>
      <c r="AO455" s="1873">
        <f t="shared" si="360"/>
        <v>3.6020273527559848E-2</v>
      </c>
      <c r="AP455" s="1873">
        <f t="shared" si="360"/>
        <v>3.7190784430977071E-2</v>
      </c>
      <c r="AQ455" s="1873">
        <f t="shared" si="360"/>
        <v>3.8747437080371254E-2</v>
      </c>
      <c r="AR455" s="1873">
        <f t="shared" si="360"/>
        <v>4.0612515177373326E-2</v>
      </c>
      <c r="AS455" s="1873">
        <f t="shared" si="360"/>
        <v>4.1922007741448226E-2</v>
      </c>
      <c r="AT455" s="2656">
        <f t="shared" si="360"/>
        <v>4.535084110959501E-2</v>
      </c>
    </row>
    <row r="456" spans="1:57">
      <c r="D456" s="153" t="s">
        <v>2328</v>
      </c>
      <c r="E456" s="153"/>
      <c r="F456" s="153"/>
      <c r="G456" s="153"/>
      <c r="H456" s="153"/>
      <c r="I456" s="153"/>
      <c r="J456" s="153"/>
      <c r="K456" s="153"/>
      <c r="L456" s="153"/>
      <c r="M456" s="153"/>
      <c r="N456" s="153"/>
      <c r="O456" s="153"/>
      <c r="P456" s="153"/>
      <c r="Q456" s="153"/>
      <c r="R456" s="153"/>
      <c r="S456" s="153"/>
      <c r="T456" s="153"/>
      <c r="U456" s="153"/>
      <c r="V456" s="1389">
        <f t="shared" ref="V456:AH456" si="361">V1067/V423</f>
        <v>0</v>
      </c>
      <c r="W456" s="1389">
        <f t="shared" si="361"/>
        <v>0</v>
      </c>
      <c r="X456" s="1389">
        <f t="shared" si="361"/>
        <v>0</v>
      </c>
      <c r="Y456" s="1389">
        <f t="shared" si="361"/>
        <v>2.3411600189122382E-2</v>
      </c>
      <c r="Z456" s="1389">
        <f t="shared" si="361"/>
        <v>2.6808870919270304E-2</v>
      </c>
      <c r="AA456" s="1389">
        <f t="shared" si="361"/>
        <v>2.90571666053678E-2</v>
      </c>
      <c r="AB456" s="1389">
        <f t="shared" si="361"/>
        <v>2.7322171934566285E-2</v>
      </c>
      <c r="AC456" s="1389">
        <f t="shared" si="361"/>
        <v>2.9527768154362668E-2</v>
      </c>
      <c r="AD456" s="1389">
        <f t="shared" si="361"/>
        <v>4.3460708178864528E-2</v>
      </c>
      <c r="AE456" s="1389">
        <f t="shared" si="361"/>
        <v>3.1999679531116543E-2</v>
      </c>
      <c r="AF456" s="1389">
        <f t="shared" si="361"/>
        <v>3.0129439278129722E-2</v>
      </c>
      <c r="AG456" s="1389">
        <f t="shared" si="361"/>
        <v>3.1163469113395469E-2</v>
      </c>
      <c r="AH456" s="1389">
        <f t="shared" si="361"/>
        <v>3.5259849735332853E-2</v>
      </c>
      <c r="AI456" s="1389">
        <f t="shared" ref="AI456:AJ456" si="362">AI1067/AI423</f>
        <v>3.8328105830886715E-2</v>
      </c>
      <c r="AJ456" s="1389">
        <f t="shared" si="362"/>
        <v>3.5156567560103553E-2</v>
      </c>
      <c r="AK456" s="2114">
        <f t="shared" ref="AK456:AM456" si="363">AJ456*AK457</f>
        <v>5.6450976955677745E-2</v>
      </c>
      <c r="AL456" s="2114">
        <f t="shared" si="363"/>
        <v>6.1947416726204359E-2</v>
      </c>
      <c r="AM456" s="2114">
        <f t="shared" si="363"/>
        <v>6.4179437089583027E-2</v>
      </c>
      <c r="AN456" s="2114">
        <f t="shared" ref="AN456" si="364">AM456*AN457</f>
        <v>6.5099847665831614E-2</v>
      </c>
      <c r="AO456" s="2114">
        <f t="shared" ref="AO456" si="365">AN456*AO457</f>
        <v>6.514835293832838E-2</v>
      </c>
      <c r="AP456" s="2114">
        <f t="shared" ref="AP456" si="366">AO456*AP457</f>
        <v>6.6944222172066137E-2</v>
      </c>
      <c r="AQ456" s="2114">
        <f t="shared" ref="AQ456" si="367">AP456*AQ457</f>
        <v>7.0324170999367955E-2</v>
      </c>
      <c r="AR456" s="2114">
        <f t="shared" ref="AR456" si="368">AQ456*AR457</f>
        <v>7.3409525450520374E-2</v>
      </c>
      <c r="AS456" s="2114">
        <f t="shared" ref="AS456" si="369">AR456*AS457</f>
        <v>7.6158001183913068E-2</v>
      </c>
      <c r="AT456" s="2657">
        <f t="shared" ref="AT456" si="370">AS456*AT457</f>
        <v>9.6962743328655121E-2</v>
      </c>
    </row>
    <row r="457" spans="1:57">
      <c r="D457" s="156" t="s">
        <v>2331</v>
      </c>
      <c r="E457" s="153"/>
      <c r="F457" s="153"/>
      <c r="G457" s="153"/>
      <c r="H457" s="153"/>
      <c r="I457" s="153"/>
      <c r="J457" s="153"/>
      <c r="K457" s="153"/>
      <c r="L457" s="153"/>
      <c r="M457" s="153"/>
      <c r="N457" s="153"/>
      <c r="O457" s="153"/>
      <c r="P457" s="153"/>
      <c r="Q457" s="153"/>
      <c r="R457" s="153"/>
      <c r="S457" s="153"/>
      <c r="T457" s="153"/>
      <c r="U457" s="153"/>
      <c r="V457" s="232" t="e">
        <f t="shared" ref="V457:AH457" si="371">+V456/U456</f>
        <v>#DIV/0!</v>
      </c>
      <c r="W457" s="232" t="e">
        <f t="shared" si="371"/>
        <v>#DIV/0!</v>
      </c>
      <c r="X457" s="232" t="e">
        <f t="shared" si="371"/>
        <v>#DIV/0!</v>
      </c>
      <c r="Y457" s="232" t="e">
        <f t="shared" si="371"/>
        <v>#DIV/0!</v>
      </c>
      <c r="Z457" s="232">
        <f t="shared" si="371"/>
        <v>1.1451105735064782</v>
      </c>
      <c r="AA457" s="232">
        <f t="shared" si="371"/>
        <v>1.0838638707638155</v>
      </c>
      <c r="AB457" s="232">
        <f t="shared" si="371"/>
        <v>0.94029030103434086</v>
      </c>
      <c r="AC457" s="232">
        <f t="shared" si="371"/>
        <v>1.0807255083921787</v>
      </c>
      <c r="AD457" s="232">
        <f t="shared" si="371"/>
        <v>1.4718588940303399</v>
      </c>
      <c r="AE457" s="232">
        <f t="shared" si="371"/>
        <v>0.73628987819113301</v>
      </c>
      <c r="AF457" s="232">
        <f t="shared" si="371"/>
        <v>0.94155440678184932</v>
      </c>
      <c r="AG457" s="232">
        <f t="shared" si="371"/>
        <v>1.0343195844343618</v>
      </c>
      <c r="AH457" s="232">
        <f t="shared" si="371"/>
        <v>1.1314481583238296</v>
      </c>
      <c r="AI457" s="232">
        <f t="shared" ref="AI457" si="372">+AI456/AH456</f>
        <v>1.0870184109854346</v>
      </c>
      <c r="AJ457" s="232">
        <f t="shared" ref="AJ457" si="373">+AJ456/AI456</f>
        <v>0.9172529348364673</v>
      </c>
      <c r="AK457" s="1390">
        <v>1.6057021738305179</v>
      </c>
      <c r="AL457" s="1390">
        <v>1.0973666013759535</v>
      </c>
      <c r="AM457" s="1390">
        <v>1.0360308868607673</v>
      </c>
      <c r="AN457" s="1390">
        <v>1.0143412067476356</v>
      </c>
      <c r="AO457" s="1390">
        <v>1.0007450904147388</v>
      </c>
      <c r="AP457" s="1390">
        <v>1.0275658424617087</v>
      </c>
      <c r="AQ457" s="1390">
        <v>1.050489029786833</v>
      </c>
      <c r="AR457" s="1390">
        <v>1.043873314214826</v>
      </c>
      <c r="AS457" s="1390">
        <v>1.0374403146802145</v>
      </c>
      <c r="AT457" s="1390">
        <v>1.2731786788167001</v>
      </c>
    </row>
    <row r="458" spans="1:57">
      <c r="D458" s="156"/>
      <c r="E458" s="153"/>
      <c r="F458" s="153"/>
      <c r="G458" s="153"/>
      <c r="H458" s="153"/>
      <c r="I458" s="153"/>
      <c r="J458" s="153"/>
      <c r="K458" s="153"/>
      <c r="L458" s="153"/>
      <c r="M458" s="153"/>
      <c r="N458" s="153"/>
      <c r="O458" s="153"/>
      <c r="P458" s="153"/>
      <c r="Q458" s="153"/>
      <c r="R458" s="153"/>
      <c r="S458" s="153"/>
      <c r="T458" s="153"/>
      <c r="U458" s="153"/>
      <c r="V458" s="172"/>
      <c r="W458" s="172"/>
      <c r="X458" s="172"/>
      <c r="Y458" s="172"/>
      <c r="Z458" s="172"/>
      <c r="AA458" s="172"/>
      <c r="AB458" s="172"/>
      <c r="AC458" s="172"/>
      <c r="AD458" s="172"/>
      <c r="AE458" s="172"/>
      <c r="AF458" s="172"/>
      <c r="AG458" s="172"/>
      <c r="AH458" s="172"/>
      <c r="AI458" s="172"/>
      <c r="AJ458" s="172"/>
      <c r="AK458" s="172"/>
      <c r="AL458" s="172"/>
      <c r="AM458" s="172"/>
      <c r="AN458" s="172"/>
      <c r="AO458" s="172"/>
      <c r="AP458" s="172"/>
      <c r="AQ458" s="172"/>
      <c r="AR458" s="172"/>
      <c r="AS458" s="172"/>
      <c r="AT458" s="2645"/>
    </row>
    <row r="459" spans="1:57">
      <c r="D459" s="168" t="s">
        <v>3036</v>
      </c>
      <c r="E459" s="153"/>
      <c r="F459" s="153"/>
      <c r="G459" s="153"/>
      <c r="H459" s="153"/>
      <c r="I459" s="153"/>
      <c r="J459" s="153"/>
      <c r="K459" s="153"/>
      <c r="L459" s="153"/>
      <c r="M459" s="153"/>
      <c r="N459" s="153"/>
      <c r="O459" s="153"/>
      <c r="P459" s="153"/>
      <c r="Q459" s="153"/>
      <c r="R459" s="153"/>
      <c r="S459" s="153"/>
      <c r="T459" s="153"/>
      <c r="U459" s="153"/>
      <c r="V459" s="172">
        <f t="shared" ref="V459:AT459" si="374">V1068/V421</f>
        <v>0</v>
      </c>
      <c r="W459" s="172">
        <f t="shared" si="374"/>
        <v>0</v>
      </c>
      <c r="X459" s="172">
        <f t="shared" si="374"/>
        <v>0</v>
      </c>
      <c r="Y459" s="172">
        <f t="shared" si="374"/>
        <v>3.2108058987915405E-4</v>
      </c>
      <c r="Z459" s="172">
        <f t="shared" si="374"/>
        <v>4.8154712008317455E-4</v>
      </c>
      <c r="AA459" s="172">
        <f t="shared" si="374"/>
        <v>5.0474215688159363E-4</v>
      </c>
      <c r="AB459" s="172">
        <f t="shared" si="374"/>
        <v>0</v>
      </c>
      <c r="AC459" s="172">
        <f t="shared" si="374"/>
        <v>0</v>
      </c>
      <c r="AD459" s="172">
        <f t="shared" si="374"/>
        <v>1.1757263248691779E-2</v>
      </c>
      <c r="AE459" s="172">
        <f t="shared" si="374"/>
        <v>3.5927570643153529E-5</v>
      </c>
      <c r="AF459" s="172">
        <f t="shared" si="374"/>
        <v>3.7671050951982541E-4</v>
      </c>
      <c r="AG459" s="172">
        <f t="shared" si="374"/>
        <v>5.5462573543854578E-4</v>
      </c>
      <c r="AH459" s="1873">
        <f t="shared" si="374"/>
        <v>2.7885543588651677E-4</v>
      </c>
      <c r="AI459" s="1873">
        <f t="shared" ref="AI459:AJ459" si="375">AI1068/AI421</f>
        <v>2.4897817641191536E-4</v>
      </c>
      <c r="AJ459" s="1873">
        <f t="shared" si="375"/>
        <v>2.2061191128045263E-4</v>
      </c>
      <c r="AK459" s="1873">
        <f t="shared" si="374"/>
        <v>0</v>
      </c>
      <c r="AL459" s="1873">
        <f t="shared" si="374"/>
        <v>0</v>
      </c>
      <c r="AM459" s="1873">
        <f t="shared" si="374"/>
        <v>0</v>
      </c>
      <c r="AN459" s="1873">
        <f t="shared" si="374"/>
        <v>0</v>
      </c>
      <c r="AO459" s="1873">
        <f t="shared" si="374"/>
        <v>0</v>
      </c>
      <c r="AP459" s="1873">
        <f t="shared" si="374"/>
        <v>0</v>
      </c>
      <c r="AQ459" s="1873">
        <f t="shared" si="374"/>
        <v>0</v>
      </c>
      <c r="AR459" s="1873">
        <f t="shared" si="374"/>
        <v>0</v>
      </c>
      <c r="AS459" s="172">
        <f t="shared" si="374"/>
        <v>0</v>
      </c>
      <c r="AT459" s="2645">
        <f t="shared" si="374"/>
        <v>0</v>
      </c>
    </row>
    <row r="460" spans="1:57">
      <c r="D460" s="153" t="s">
        <v>3037</v>
      </c>
      <c r="E460" s="153"/>
      <c r="F460" s="153"/>
      <c r="G460" s="153"/>
      <c r="H460" s="153"/>
      <c r="I460" s="153"/>
      <c r="J460" s="153"/>
      <c r="K460" s="153"/>
      <c r="L460" s="153"/>
      <c r="M460" s="153"/>
      <c r="N460" s="153"/>
      <c r="O460" s="153"/>
      <c r="P460" s="153"/>
      <c r="Q460" s="153"/>
      <c r="R460" s="153"/>
      <c r="S460" s="153"/>
      <c r="T460" s="153"/>
      <c r="U460" s="153"/>
      <c r="V460" s="172">
        <f t="shared" ref="V460:AE460" si="376">V1068/V423</f>
        <v>0</v>
      </c>
      <c r="W460" s="172">
        <f t="shared" si="376"/>
        <v>0</v>
      </c>
      <c r="X460" s="172">
        <f t="shared" si="376"/>
        <v>0</v>
      </c>
      <c r="Y460" s="172">
        <f t="shared" si="376"/>
        <v>7.6954742242894044E-4</v>
      </c>
      <c r="Z460" s="172">
        <f t="shared" si="376"/>
        <v>1.1435127643977226E-3</v>
      </c>
      <c r="AA460" s="172">
        <f t="shared" si="376"/>
        <v>1.2317905965982502E-3</v>
      </c>
      <c r="AB460" s="172">
        <f t="shared" si="376"/>
        <v>0</v>
      </c>
      <c r="AC460" s="172">
        <f t="shared" si="376"/>
        <v>0</v>
      </c>
      <c r="AD460" s="172">
        <f t="shared" si="376"/>
        <v>2.6218004967555712E-2</v>
      </c>
      <c r="AE460" s="172">
        <f t="shared" si="376"/>
        <v>8.0569689374381128E-5</v>
      </c>
      <c r="AF460" s="172">
        <f>AE460*AF461</f>
        <v>8.0569689374381138E-6</v>
      </c>
      <c r="AG460" s="172">
        <f t="shared" ref="AG460:AM460" si="377">AF460*AG461</f>
        <v>8.0569689374381138E-6</v>
      </c>
      <c r="AH460" s="1873">
        <f t="shared" si="377"/>
        <v>0</v>
      </c>
      <c r="AI460" s="1873">
        <f t="shared" ref="AI460" si="378">AH460*AI461</f>
        <v>0</v>
      </c>
      <c r="AJ460" s="1873">
        <f t="shared" ref="AJ460" si="379">AI460*AJ461</f>
        <v>0</v>
      </c>
      <c r="AK460" s="1873">
        <f t="shared" si="377"/>
        <v>0</v>
      </c>
      <c r="AL460" s="1873">
        <f t="shared" si="377"/>
        <v>0</v>
      </c>
      <c r="AM460" s="1873">
        <f t="shared" si="377"/>
        <v>0</v>
      </c>
      <c r="AN460" s="1873">
        <f t="shared" ref="AN460" si="380">AM460*AN461</f>
        <v>0</v>
      </c>
      <c r="AO460" s="1873">
        <f t="shared" ref="AO460" si="381">AN460*AO461</f>
        <v>0</v>
      </c>
      <c r="AP460" s="1873">
        <f t="shared" ref="AP460" si="382">AO460*AP461</f>
        <v>0</v>
      </c>
      <c r="AQ460" s="1873">
        <f t="shared" ref="AQ460" si="383">AP460*AQ461</f>
        <v>0</v>
      </c>
      <c r="AR460" s="1873">
        <f t="shared" ref="AR460" si="384">AQ460*AR461</f>
        <v>0</v>
      </c>
      <c r="AS460" s="172">
        <f t="shared" ref="AS460" si="385">AR460*AS461</f>
        <v>0</v>
      </c>
      <c r="AT460" s="2645">
        <f t="shared" ref="AT460" si="386">AS460*AT461</f>
        <v>0</v>
      </c>
    </row>
    <row r="461" spans="1:57">
      <c r="D461" s="156" t="s">
        <v>3038</v>
      </c>
      <c r="E461" s="153"/>
      <c r="F461" s="153"/>
      <c r="G461" s="153"/>
      <c r="H461" s="153"/>
      <c r="I461" s="153"/>
      <c r="J461" s="153"/>
      <c r="K461" s="153"/>
      <c r="L461" s="153"/>
      <c r="M461" s="153"/>
      <c r="N461" s="153"/>
      <c r="O461" s="153"/>
      <c r="P461" s="153"/>
      <c r="Q461" s="153"/>
      <c r="R461" s="153"/>
      <c r="S461" s="153"/>
      <c r="T461" s="153"/>
      <c r="U461" s="153"/>
      <c r="V461" s="232" t="e">
        <f t="shared" ref="V461:AE461" si="387">+V460/U460</f>
        <v>#DIV/0!</v>
      </c>
      <c r="W461" s="232" t="e">
        <f t="shared" si="387"/>
        <v>#DIV/0!</v>
      </c>
      <c r="X461" s="232" t="e">
        <f t="shared" si="387"/>
        <v>#DIV/0!</v>
      </c>
      <c r="Y461" s="232" t="e">
        <f t="shared" si="387"/>
        <v>#DIV/0!</v>
      </c>
      <c r="Z461" s="232">
        <f t="shared" si="387"/>
        <v>1.4859549016335167</v>
      </c>
      <c r="AA461" s="232">
        <f t="shared" si="387"/>
        <v>1.0771988166192641</v>
      </c>
      <c r="AB461" s="232">
        <f t="shared" si="387"/>
        <v>0</v>
      </c>
      <c r="AC461" s="232" t="e">
        <f t="shared" si="387"/>
        <v>#DIV/0!</v>
      </c>
      <c r="AD461" s="232" t="e">
        <f t="shared" si="387"/>
        <v>#DIV/0!</v>
      </c>
      <c r="AE461" s="232">
        <f t="shared" si="387"/>
        <v>3.0730671336009203E-3</v>
      </c>
      <c r="AF461" s="1390">
        <v>0.1</v>
      </c>
      <c r="AG461" s="1390">
        <v>1</v>
      </c>
      <c r="AH461" s="1390">
        <v>0</v>
      </c>
      <c r="AI461" s="1390">
        <v>0</v>
      </c>
      <c r="AJ461" s="1390">
        <v>0</v>
      </c>
      <c r="AK461" s="1390">
        <v>0</v>
      </c>
      <c r="AL461" s="1390">
        <v>1</v>
      </c>
      <c r="AM461" s="1390">
        <v>1</v>
      </c>
      <c r="AN461" s="1390">
        <v>1</v>
      </c>
      <c r="AO461" s="1390">
        <v>1</v>
      </c>
      <c r="AP461" s="1390">
        <v>1</v>
      </c>
      <c r="AQ461" s="1390">
        <v>1</v>
      </c>
      <c r="AR461" s="1390">
        <v>1</v>
      </c>
      <c r="AS461" s="1390">
        <v>1</v>
      </c>
      <c r="AT461" s="2653">
        <v>1</v>
      </c>
    </row>
    <row r="462" spans="1:57">
      <c r="D462" s="156"/>
      <c r="E462" s="153"/>
      <c r="F462" s="153"/>
      <c r="G462" s="153"/>
      <c r="H462" s="153"/>
      <c r="I462" s="153"/>
      <c r="J462" s="153"/>
      <c r="K462" s="153"/>
      <c r="L462" s="153"/>
      <c r="M462" s="153"/>
      <c r="N462" s="153"/>
      <c r="O462" s="153"/>
      <c r="P462" s="153"/>
      <c r="Q462" s="153"/>
      <c r="R462" s="153"/>
      <c r="S462" s="153"/>
      <c r="T462" s="153"/>
      <c r="U462" s="153"/>
      <c r="V462" s="172"/>
      <c r="W462" s="172"/>
      <c r="X462" s="172"/>
      <c r="Y462" s="172"/>
      <c r="Z462" s="172"/>
      <c r="AA462" s="172"/>
      <c r="AB462" s="172"/>
      <c r="AC462" s="172"/>
      <c r="AD462" s="172"/>
      <c r="AE462" s="172"/>
      <c r="AF462" s="172"/>
      <c r="AG462" s="172"/>
      <c r="AH462" s="172"/>
      <c r="AI462" s="172"/>
      <c r="AJ462" s="172"/>
      <c r="AK462" s="172"/>
      <c r="AL462" s="172"/>
      <c r="AM462" s="172"/>
      <c r="AN462" s="172"/>
      <c r="AO462" s="172"/>
      <c r="AP462" s="172"/>
      <c r="AQ462" s="172"/>
      <c r="AR462" s="172"/>
      <c r="AS462" s="172"/>
      <c r="AT462" s="2645"/>
    </row>
    <row r="463" spans="1:57">
      <c r="D463" s="168" t="s">
        <v>3748</v>
      </c>
      <c r="E463" s="153"/>
      <c r="F463" s="153"/>
      <c r="G463" s="153"/>
      <c r="H463" s="153"/>
      <c r="I463" s="153"/>
      <c r="J463" s="153"/>
      <c r="K463" s="153"/>
      <c r="L463" s="153"/>
      <c r="M463" s="153"/>
      <c r="N463" s="153"/>
      <c r="O463" s="153"/>
      <c r="P463" s="153"/>
      <c r="Q463" s="153"/>
      <c r="R463" s="153"/>
      <c r="S463" s="153"/>
      <c r="T463" s="153"/>
      <c r="U463" s="153"/>
      <c r="V463" s="172">
        <f t="shared" ref="V463:AT463" si="388">V1071/V421</f>
        <v>0</v>
      </c>
      <c r="W463" s="172">
        <f t="shared" si="388"/>
        <v>0</v>
      </c>
      <c r="X463" s="172">
        <f t="shared" si="388"/>
        <v>0</v>
      </c>
      <c r="Y463" s="172">
        <f t="shared" si="388"/>
        <v>2.8323262839879151E-7</v>
      </c>
      <c r="Z463" s="172">
        <f t="shared" si="388"/>
        <v>1.277401755328366E-4</v>
      </c>
      <c r="AA463" s="172">
        <f t="shared" si="388"/>
        <v>6.7964538102317069E-7</v>
      </c>
      <c r="AB463" s="172">
        <f t="shared" si="388"/>
        <v>0</v>
      </c>
      <c r="AC463" s="172">
        <f t="shared" si="388"/>
        <v>0</v>
      </c>
      <c r="AD463" s="172">
        <f t="shared" si="388"/>
        <v>2.2050087862021863E-3</v>
      </c>
      <c r="AE463" s="172">
        <f t="shared" si="388"/>
        <v>4.0080179105309607E-4</v>
      </c>
      <c r="AF463" s="172">
        <f t="shared" si="388"/>
        <v>1.7723783306981618E-3</v>
      </c>
      <c r="AG463" s="172">
        <f t="shared" si="388"/>
        <v>1.3084510870623285E-3</v>
      </c>
      <c r="AH463" s="172">
        <f t="shared" si="388"/>
        <v>1.0903033405832528E-4</v>
      </c>
      <c r="AI463" s="172">
        <f t="shared" ref="AI463:AJ463" si="389">AI1071/AI421</f>
        <v>1.3170393256233994E-3</v>
      </c>
      <c r="AJ463" s="172">
        <f t="shared" si="389"/>
        <v>1.6862180483187723E-3</v>
      </c>
      <c r="AK463" s="1873">
        <f t="shared" si="388"/>
        <v>2.0020263045957636E-3</v>
      </c>
      <c r="AL463" s="1873">
        <f t="shared" si="388"/>
        <v>2.1695584850584086E-3</v>
      </c>
      <c r="AM463" s="1873">
        <f t="shared" si="388"/>
        <v>1.8547450341049566E-3</v>
      </c>
      <c r="AN463" s="1873">
        <f t="shared" si="388"/>
        <v>1.8504679774553993E-3</v>
      </c>
      <c r="AO463" s="1873">
        <f t="shared" si="388"/>
        <v>1.828771270606462E-3</v>
      </c>
      <c r="AP463" s="1873">
        <f t="shared" si="388"/>
        <v>1.8045774086000122E-3</v>
      </c>
      <c r="AQ463" s="1873">
        <f t="shared" si="388"/>
        <v>1.7701877530130593E-3</v>
      </c>
      <c r="AR463" s="1873">
        <f t="shared" si="388"/>
        <v>1.7481266919820921E-3</v>
      </c>
      <c r="AS463" s="172">
        <f t="shared" si="388"/>
        <v>1.7228253749956054E-3</v>
      </c>
      <c r="AT463" s="2645">
        <f t="shared" si="388"/>
        <v>1.4764267961518661E-3</v>
      </c>
    </row>
    <row r="464" spans="1:57">
      <c r="D464" s="153" t="s">
        <v>2340</v>
      </c>
      <c r="E464" s="153"/>
      <c r="F464" s="153"/>
      <c r="G464" s="153"/>
      <c r="H464" s="153"/>
      <c r="I464" s="153"/>
      <c r="J464" s="153"/>
      <c r="K464" s="153"/>
      <c r="L464" s="153"/>
      <c r="M464" s="153"/>
      <c r="N464" s="153"/>
      <c r="O464" s="153"/>
      <c r="P464" s="153"/>
      <c r="Q464" s="153"/>
      <c r="R464" s="153"/>
      <c r="S464" s="153"/>
      <c r="T464" s="153"/>
      <c r="U464" s="153"/>
      <c r="V464" s="172">
        <f t="shared" ref="V464:AH464" si="390">V1071/V423</f>
        <v>0</v>
      </c>
      <c r="W464" s="172">
        <f t="shared" si="390"/>
        <v>0</v>
      </c>
      <c r="X464" s="172">
        <f t="shared" si="390"/>
        <v>0</v>
      </c>
      <c r="Y464" s="172">
        <f t="shared" si="390"/>
        <v>6.7883561324618979E-7</v>
      </c>
      <c r="Z464" s="172">
        <f t="shared" si="390"/>
        <v>3.0334003705177206E-4</v>
      </c>
      <c r="AA464" s="172">
        <f t="shared" si="390"/>
        <v>1.6586306056503399E-6</v>
      </c>
      <c r="AB464" s="172">
        <f t="shared" si="390"/>
        <v>0</v>
      </c>
      <c r="AC464" s="172">
        <f t="shared" si="390"/>
        <v>0</v>
      </c>
      <c r="AD464" s="172">
        <f t="shared" si="390"/>
        <v>4.9170397980657183E-3</v>
      </c>
      <c r="AE464" s="172">
        <f t="shared" si="390"/>
        <v>8.9882157985533915E-4</v>
      </c>
      <c r="AF464" s="172">
        <f t="shared" si="390"/>
        <v>3.8500147857202923E-3</v>
      </c>
      <c r="AG464" s="172">
        <f t="shared" si="390"/>
        <v>2.6033475602187353E-3</v>
      </c>
      <c r="AH464" s="172">
        <f t="shared" si="390"/>
        <v>2.230820894160569E-4</v>
      </c>
      <c r="AI464" s="172">
        <f>AI1071/AI423</f>
        <v>2.6217834957200565E-3</v>
      </c>
      <c r="AJ464" s="172">
        <f>AJ1071/AJ423</f>
        <v>3.1480727295812982E-3</v>
      </c>
      <c r="AK464" s="1873">
        <f t="shared" ref="AK464:AM464" si="391">AJ464*AK465</f>
        <v>3.2524145205140831E-3</v>
      </c>
      <c r="AL464" s="1873">
        <f t="shared" si="391"/>
        <v>3.9094022536579282E-3</v>
      </c>
      <c r="AM464" s="1873">
        <f t="shared" si="391"/>
        <v>4.1830604114139833E-3</v>
      </c>
      <c r="AN464" s="1873">
        <f t="shared" ref="AN464" si="392">AM464*AN465</f>
        <v>4.1830604114139833E-3</v>
      </c>
      <c r="AO464" s="1873">
        <f>AN464*AO465</f>
        <v>4.1830604114139833E-3</v>
      </c>
      <c r="AP464" s="1873">
        <f t="shared" ref="AP464" si="393">AO464*AP465</f>
        <v>4.1830604114139833E-3</v>
      </c>
      <c r="AQ464" s="1873">
        <f t="shared" ref="AQ464" si="394">AP464*AQ465</f>
        <v>4.1830604114139833E-3</v>
      </c>
      <c r="AR464" s="1873">
        <f t="shared" ref="AR464" si="395">AQ464*AR465</f>
        <v>4.1830604114139833E-3</v>
      </c>
      <c r="AS464" s="172">
        <f t="shared" ref="AS464" si="396">AR464*AS465</f>
        <v>4.1830604114139833E-3</v>
      </c>
      <c r="AT464" s="2645">
        <f t="shared" ref="AT464" si="397">AS464*AT465</f>
        <v>4.1830604114139833E-3</v>
      </c>
    </row>
    <row r="465" spans="4:46">
      <c r="D465" s="156" t="s">
        <v>2351</v>
      </c>
      <c r="E465" s="153"/>
      <c r="F465" s="153"/>
      <c r="G465" s="153"/>
      <c r="H465" s="153"/>
      <c r="I465" s="153"/>
      <c r="J465" s="153"/>
      <c r="K465" s="153"/>
      <c r="L465" s="153"/>
      <c r="M465" s="153"/>
      <c r="N465" s="153"/>
      <c r="O465" s="153"/>
      <c r="P465" s="153"/>
      <c r="Q465" s="153"/>
      <c r="R465" s="153"/>
      <c r="S465" s="153"/>
      <c r="T465" s="153"/>
      <c r="U465" s="153"/>
      <c r="V465" s="232" t="e">
        <f>+V464/U464</f>
        <v>#DIV/0!</v>
      </c>
      <c r="W465" s="232" t="e">
        <f>+W464/V464</f>
        <v>#DIV/0!</v>
      </c>
      <c r="X465" s="232" t="e">
        <f>+X464/W464</f>
        <v>#DIV/0!</v>
      </c>
      <c r="Y465" s="232" t="e">
        <f>+Y464/X464</f>
        <v>#DIV/0!</v>
      </c>
      <c r="Z465" s="232">
        <f t="shared" ref="Z465:AE465" si="398">+Z464/Y464</f>
        <v>446.85345190008661</v>
      </c>
      <c r="AA465" s="232">
        <f t="shared" si="398"/>
        <v>5.4678921443108274E-3</v>
      </c>
      <c r="AB465" s="232">
        <f t="shared" si="398"/>
        <v>0</v>
      </c>
      <c r="AC465" s="232" t="e">
        <f>+AC464/AB464</f>
        <v>#DIV/0!</v>
      </c>
      <c r="AD465" s="232" t="e">
        <f>+AD464/AC464</f>
        <v>#DIV/0!</v>
      </c>
      <c r="AE465" s="232">
        <f t="shared" si="398"/>
        <v>0.18279729609040801</v>
      </c>
      <c r="AF465" s="232">
        <f t="shared" ref="AF465" si="399">+AF464/AE464</f>
        <v>4.2834027041717588</v>
      </c>
      <c r="AG465" s="232">
        <f t="shared" ref="AG465:AH465" si="400">+AG464/AF464</f>
        <v>0.67619157460759716</v>
      </c>
      <c r="AH465" s="232">
        <f t="shared" si="400"/>
        <v>8.5690475150123013E-2</v>
      </c>
      <c r="AI465" s="232">
        <f>+AI464/AH464</f>
        <v>11.752550384402786</v>
      </c>
      <c r="AJ465" s="232">
        <f t="shared" ref="AJ465" si="401">+AJ464/AI464</f>
        <v>1.2007371069046644</v>
      </c>
      <c r="AK465" s="1390">
        <v>1.0331446570316889</v>
      </c>
      <c r="AL465" s="1390">
        <v>1.202</v>
      </c>
      <c r="AM465" s="1390">
        <v>1.07</v>
      </c>
      <c r="AN465" s="1390">
        <v>1</v>
      </c>
      <c r="AO465" s="1390">
        <v>1</v>
      </c>
      <c r="AP465" s="1390">
        <v>1</v>
      </c>
      <c r="AQ465" s="1390">
        <v>1</v>
      </c>
      <c r="AR465" s="1390">
        <v>1</v>
      </c>
      <c r="AS465" s="1390">
        <v>1</v>
      </c>
      <c r="AT465" s="2653">
        <v>1</v>
      </c>
    </row>
    <row r="466" spans="4:46">
      <c r="D466" s="156"/>
      <c r="E466" s="153"/>
      <c r="F466" s="153"/>
      <c r="G466" s="153"/>
      <c r="H466" s="153"/>
      <c r="I466" s="153"/>
      <c r="J466" s="153"/>
      <c r="K466" s="153"/>
      <c r="L466" s="153"/>
      <c r="M466" s="153"/>
      <c r="N466" s="153"/>
      <c r="O466" s="153"/>
      <c r="P466" s="153"/>
      <c r="Q466" s="153"/>
      <c r="R466" s="153"/>
      <c r="S466" s="153"/>
      <c r="T466" s="153"/>
      <c r="U466" s="153"/>
      <c r="V466" s="172"/>
      <c r="W466" s="172"/>
      <c r="X466" s="172"/>
      <c r="Y466" s="172"/>
      <c r="Z466" s="172"/>
      <c r="AA466" s="172"/>
      <c r="AB466" s="172"/>
      <c r="AC466" s="172"/>
      <c r="AD466" s="172"/>
      <c r="AE466" s="172"/>
      <c r="AF466" s="172"/>
      <c r="AG466" s="172"/>
      <c r="AH466" s="172"/>
      <c r="AI466" s="172"/>
      <c r="AJ466" s="172"/>
      <c r="AK466" s="172"/>
      <c r="AL466" s="172"/>
      <c r="AM466" s="172"/>
      <c r="AN466" s="172"/>
      <c r="AO466" s="172"/>
      <c r="AP466" s="172"/>
      <c r="AQ466" s="172"/>
      <c r="AR466" s="172"/>
      <c r="AS466" s="172"/>
      <c r="AT466" s="2645"/>
    </row>
    <row r="467" spans="4:46">
      <c r="D467" s="156"/>
      <c r="E467" s="153"/>
      <c r="F467" s="153"/>
      <c r="G467" s="153"/>
      <c r="H467" s="153"/>
      <c r="I467" s="153"/>
      <c r="J467" s="153"/>
      <c r="K467" s="153"/>
      <c r="L467" s="153"/>
      <c r="M467" s="153"/>
      <c r="N467" s="153"/>
      <c r="O467" s="153"/>
      <c r="P467" s="153"/>
      <c r="Q467" s="153"/>
      <c r="R467" s="153"/>
      <c r="S467" s="153"/>
      <c r="T467" s="153"/>
      <c r="U467" s="153"/>
      <c r="V467" s="172"/>
      <c r="W467" s="172"/>
      <c r="X467" s="172"/>
      <c r="Y467" s="172"/>
      <c r="Z467" s="172"/>
      <c r="AA467" s="172"/>
      <c r="AB467" s="172"/>
      <c r="AC467" s="172"/>
      <c r="AD467" s="172"/>
      <c r="AE467" s="172"/>
      <c r="AF467" s="172"/>
      <c r="AG467" s="172"/>
      <c r="AH467" s="172"/>
      <c r="AI467" s="172"/>
      <c r="AJ467" s="172"/>
      <c r="AK467" s="172"/>
      <c r="AL467" s="172"/>
      <c r="AM467" s="172"/>
      <c r="AN467" s="172"/>
      <c r="AO467" s="172"/>
      <c r="AP467" s="172"/>
      <c r="AQ467" s="172"/>
      <c r="AR467" s="172"/>
      <c r="AS467" s="172"/>
      <c r="AT467" s="2645"/>
    </row>
    <row r="468" spans="4:46">
      <c r="D468" s="168" t="s">
        <v>3749</v>
      </c>
      <c r="E468" s="153"/>
      <c r="F468" s="153"/>
      <c r="G468" s="153"/>
      <c r="H468" s="153"/>
      <c r="I468" s="153"/>
      <c r="J468" s="153"/>
      <c r="K468" s="153"/>
      <c r="L468" s="153"/>
      <c r="M468" s="153"/>
      <c r="N468" s="153"/>
      <c r="O468" s="153"/>
      <c r="P468" s="153"/>
      <c r="Q468" s="153"/>
      <c r="R468" s="153"/>
      <c r="S468" s="153"/>
      <c r="T468" s="153"/>
      <c r="U468" s="153"/>
      <c r="V468" s="172">
        <f t="shared" ref="V468:AT468" si="402">V1076/V426</f>
        <v>0</v>
      </c>
      <c r="W468" s="172">
        <f t="shared" si="402"/>
        <v>0</v>
      </c>
      <c r="X468" s="172">
        <f t="shared" si="402"/>
        <v>0</v>
      </c>
      <c r="Y468" s="172">
        <f t="shared" si="402"/>
        <v>3.2893800992627191E-4</v>
      </c>
      <c r="Z468" s="172">
        <f t="shared" si="402"/>
        <v>2.1812787464782848E-4</v>
      </c>
      <c r="AA468" s="172">
        <f t="shared" si="402"/>
        <v>3.0307008447081328E-4</v>
      </c>
      <c r="AB468" s="172">
        <f t="shared" si="402"/>
        <v>4.0063382628365089E-4</v>
      </c>
      <c r="AC468" s="172">
        <f t="shared" si="402"/>
        <v>3.233727507167823E-5</v>
      </c>
      <c r="AD468" s="172">
        <f t="shared" si="402"/>
        <v>2.0245849880769985E-6</v>
      </c>
      <c r="AE468" s="172">
        <f t="shared" si="402"/>
        <v>3.903852240886595E-4</v>
      </c>
      <c r="AF468" s="172">
        <f t="shared" si="402"/>
        <v>3.6725300722994343E-4</v>
      </c>
      <c r="AG468" s="172">
        <f t="shared" si="402"/>
        <v>3.4727555920775641E-4</v>
      </c>
      <c r="AH468" s="172">
        <f t="shared" si="402"/>
        <v>0</v>
      </c>
      <c r="AI468" s="172">
        <f t="shared" si="402"/>
        <v>1.4778808500971617E-3</v>
      </c>
      <c r="AJ468" s="172">
        <f t="shared" ref="AJ468" si="403">AJ1076/AJ426</f>
        <v>1.9412330657198461E-3</v>
      </c>
      <c r="AK468" s="1873">
        <f t="shared" si="402"/>
        <v>2.078883237719922E-3</v>
      </c>
      <c r="AL468" s="1873">
        <f t="shared" si="402"/>
        <v>2.3160747668444772E-3</v>
      </c>
      <c r="AM468" s="1873">
        <f t="shared" si="402"/>
        <v>2.4509423531410284E-3</v>
      </c>
      <c r="AN468" s="1873">
        <f t="shared" si="402"/>
        <v>2.6027610789520683E-3</v>
      </c>
      <c r="AO468" s="1873">
        <f t="shared" si="402"/>
        <v>2.7351991316052417E-3</v>
      </c>
      <c r="AP468" s="1873">
        <f t="shared" si="402"/>
        <v>2.7672961124676717E-3</v>
      </c>
      <c r="AQ468" s="1873">
        <f t="shared" si="402"/>
        <v>3.1533014488757021E-3</v>
      </c>
      <c r="AR468" s="1873">
        <f t="shared" si="402"/>
        <v>3.5574405347256781E-3</v>
      </c>
      <c r="AS468" s="172">
        <f t="shared" si="402"/>
        <v>3.9403654368862281E-3</v>
      </c>
      <c r="AT468" s="2645">
        <f t="shared" si="402"/>
        <v>4.0470245754656575E-3</v>
      </c>
    </row>
    <row r="469" spans="4:46">
      <c r="D469" s="153" t="s">
        <v>2340</v>
      </c>
      <c r="E469" s="153"/>
      <c r="F469" s="153"/>
      <c r="G469" s="153"/>
      <c r="H469" s="153"/>
      <c r="I469" s="153"/>
      <c r="J469" s="153"/>
      <c r="K469" s="153"/>
      <c r="L469" s="153"/>
      <c r="M469" s="153"/>
      <c r="N469" s="153"/>
      <c r="O469" s="153"/>
      <c r="P469" s="153"/>
      <c r="Q469" s="153"/>
      <c r="R469" s="153"/>
      <c r="S469" s="153"/>
      <c r="T469" s="153"/>
      <c r="U469" s="153"/>
      <c r="V469" s="172">
        <f t="shared" ref="V469:AH469" si="404">V1076/V429</f>
        <v>0</v>
      </c>
      <c r="W469" s="172">
        <f t="shared" si="404"/>
        <v>0</v>
      </c>
      <c r="X469" s="172">
        <f t="shared" si="404"/>
        <v>0</v>
      </c>
      <c r="Y469" s="172">
        <f t="shared" si="404"/>
        <v>41.381414491360154</v>
      </c>
      <c r="Z469" s="172">
        <f t="shared" si="404"/>
        <v>6.1925169221616247</v>
      </c>
      <c r="AA469" s="172">
        <f t="shared" si="404"/>
        <v>5.7621207792019149</v>
      </c>
      <c r="AB469" s="172">
        <f t="shared" si="404"/>
        <v>3.5949523373099885</v>
      </c>
      <c r="AC469" s="172">
        <f t="shared" si="404"/>
        <v>0.39579040042121316</v>
      </c>
      <c r="AD469" s="172">
        <f t="shared" si="404"/>
        <v>2.9623945327362296E-2</v>
      </c>
      <c r="AE469" s="172" t="e">
        <f t="shared" si="404"/>
        <v>#DIV/0!</v>
      </c>
      <c r="AF469" s="172" t="e">
        <f t="shared" si="404"/>
        <v>#DIV/0!</v>
      </c>
      <c r="AG469" s="172" t="e">
        <f t="shared" si="404"/>
        <v>#DIV/0!</v>
      </c>
      <c r="AH469" s="172" t="e">
        <f t="shared" si="404"/>
        <v>#DIV/0!</v>
      </c>
      <c r="AI469" s="172" t="e">
        <f t="shared" ref="AI469:AJ469" si="405">AH469*AI470</f>
        <v>#DIV/0!</v>
      </c>
      <c r="AJ469" s="172" t="e">
        <f t="shared" si="405"/>
        <v>#DIV/0!</v>
      </c>
      <c r="AK469" s="2819" t="e">
        <f t="shared" ref="AK469" si="406">AJ469*AK470</f>
        <v>#DIV/0!</v>
      </c>
      <c r="AL469" s="1873" t="e">
        <f t="shared" ref="AL469" si="407">AK469*AL470</f>
        <v>#DIV/0!</v>
      </c>
      <c r="AM469" s="1873" t="e">
        <f>AL469*AM470</f>
        <v>#DIV/0!</v>
      </c>
      <c r="AN469" s="1873" t="e">
        <f t="shared" ref="AN469" si="408">AM469*AN470</f>
        <v>#DIV/0!</v>
      </c>
      <c r="AO469" s="1873" t="e">
        <f>AN469*AO470</f>
        <v>#DIV/0!</v>
      </c>
      <c r="AP469" s="1873" t="e">
        <f t="shared" ref="AP469" si="409">AO469*AP470</f>
        <v>#DIV/0!</v>
      </c>
      <c r="AQ469" s="1873" t="e">
        <f t="shared" ref="AQ469" si="410">AP469*AQ470</f>
        <v>#DIV/0!</v>
      </c>
      <c r="AR469" s="1873" t="e">
        <f t="shared" ref="AR469" si="411">AQ469*AR470</f>
        <v>#DIV/0!</v>
      </c>
      <c r="AS469" s="172" t="e">
        <f t="shared" ref="AS469" si="412">AR469*AS470</f>
        <v>#DIV/0!</v>
      </c>
      <c r="AT469" s="2645" t="e">
        <f t="shared" ref="AT469" si="413">AS469*AT470</f>
        <v>#DIV/0!</v>
      </c>
    </row>
    <row r="470" spans="4:46">
      <c r="D470" s="156" t="s">
        <v>2351</v>
      </c>
      <c r="E470" s="153"/>
      <c r="F470" s="153"/>
      <c r="G470" s="153"/>
      <c r="H470" s="153"/>
      <c r="I470" s="153"/>
      <c r="J470" s="153"/>
      <c r="K470" s="153"/>
      <c r="L470" s="153"/>
      <c r="M470" s="153"/>
      <c r="N470" s="153"/>
      <c r="O470" s="153"/>
      <c r="P470" s="153"/>
      <c r="Q470" s="153"/>
      <c r="R470" s="153"/>
      <c r="S470" s="153"/>
      <c r="T470" s="153"/>
      <c r="U470" s="153"/>
      <c r="V470" s="232" t="e">
        <f>+V469/U469</f>
        <v>#DIV/0!</v>
      </c>
      <c r="W470" s="232" t="e">
        <f>+W469/V469</f>
        <v>#DIV/0!</v>
      </c>
      <c r="X470" s="232" t="e">
        <f>+X469/W469</f>
        <v>#DIV/0!</v>
      </c>
      <c r="Y470" s="232" t="e">
        <f>+Y469/X469</f>
        <v>#DIV/0!</v>
      </c>
      <c r="Z470" s="232">
        <f t="shared" ref="Z470" si="414">+Z469/Y469</f>
        <v>0.14964488281217486</v>
      </c>
      <c r="AA470" s="232">
        <f t="shared" ref="AA470" si="415">+AA469/Z469</f>
        <v>0.93049738121515357</v>
      </c>
      <c r="AB470" s="232">
        <f t="shared" ref="AB470" si="416">+AB469/AA469</f>
        <v>0.62389395763549216</v>
      </c>
      <c r="AC470" s="232">
        <f>+AC469/AB469</f>
        <v>0.11009614684276262</v>
      </c>
      <c r="AD470" s="232">
        <f>+AD469/AC469</f>
        <v>7.4847558949978368E-2</v>
      </c>
      <c r="AE470" s="232" t="e">
        <f t="shared" ref="AE470" si="417">+AE469/AD469</f>
        <v>#DIV/0!</v>
      </c>
      <c r="AF470" s="232" t="e">
        <f t="shared" ref="AF470" si="418">+AF469/AE469</f>
        <v>#DIV/0!</v>
      </c>
      <c r="AG470" s="232" t="e">
        <f t="shared" ref="AG470" si="419">+AG469/AF469</f>
        <v>#DIV/0!</v>
      </c>
      <c r="AH470" s="232" t="e">
        <f t="shared" ref="AH470" si="420">+AH469/AG469</f>
        <v>#DIV/0!</v>
      </c>
      <c r="AI470" s="232">
        <v>1.6968676767101698</v>
      </c>
      <c r="AJ470" s="232">
        <v>2.6968676767101698</v>
      </c>
      <c r="AK470" s="1390">
        <v>1.0331446570316889</v>
      </c>
      <c r="AL470" s="1390">
        <v>1.202</v>
      </c>
      <c r="AM470" s="1390">
        <v>1.07</v>
      </c>
      <c r="AN470" s="1390">
        <v>1</v>
      </c>
      <c r="AO470" s="1390">
        <v>1</v>
      </c>
      <c r="AP470" s="1390">
        <v>1</v>
      </c>
      <c r="AQ470" s="1390">
        <v>1</v>
      </c>
      <c r="AR470" s="1390">
        <v>1</v>
      </c>
      <c r="AS470" s="1390">
        <v>1</v>
      </c>
      <c r="AT470" s="2653">
        <v>1</v>
      </c>
    </row>
    <row r="471" spans="4:46">
      <c r="D471" s="156"/>
      <c r="E471" s="153"/>
      <c r="F471" s="153"/>
      <c r="G471" s="153"/>
      <c r="H471" s="153"/>
      <c r="I471" s="153"/>
      <c r="J471" s="153"/>
      <c r="K471" s="153"/>
      <c r="L471" s="153"/>
      <c r="M471" s="153"/>
      <c r="N471" s="153"/>
      <c r="O471" s="153"/>
      <c r="P471" s="153"/>
      <c r="Q471" s="153"/>
      <c r="R471" s="153"/>
      <c r="S471" s="153"/>
      <c r="T471" s="153"/>
      <c r="U471" s="153"/>
      <c r="V471" s="172"/>
      <c r="W471" s="172"/>
      <c r="X471" s="172"/>
      <c r="Y471" s="172"/>
      <c r="Z471" s="172"/>
      <c r="AA471" s="172"/>
      <c r="AB471" s="172"/>
      <c r="AC471" s="172"/>
      <c r="AD471" s="172"/>
      <c r="AE471" s="172"/>
      <c r="AF471" s="172"/>
      <c r="AG471" s="172"/>
      <c r="AH471" s="172"/>
      <c r="AI471" s="172"/>
      <c r="AJ471" s="172"/>
      <c r="AK471" s="172"/>
      <c r="AL471" s="172"/>
      <c r="AM471" s="172"/>
      <c r="AN471" s="172"/>
      <c r="AO471" s="172"/>
      <c r="AP471" s="172"/>
      <c r="AQ471" s="172"/>
      <c r="AR471" s="172"/>
      <c r="AS471" s="172"/>
      <c r="AT471" s="2645"/>
    </row>
    <row r="472" spans="4:46">
      <c r="D472" s="168" t="s">
        <v>2335</v>
      </c>
      <c r="E472" s="153"/>
      <c r="F472" s="153"/>
      <c r="G472" s="153"/>
      <c r="H472" s="153"/>
      <c r="I472" s="153"/>
      <c r="J472" s="153"/>
      <c r="K472" s="153"/>
      <c r="L472" s="153"/>
      <c r="M472" s="153"/>
      <c r="N472" s="153"/>
      <c r="O472" s="153"/>
      <c r="P472" s="153"/>
      <c r="Q472" s="153"/>
      <c r="R472" s="153"/>
      <c r="S472" s="153"/>
      <c r="T472" s="153"/>
      <c r="U472" s="153"/>
      <c r="V472" s="172">
        <f t="shared" ref="V472:AT472" si="421">V1073/V421</f>
        <v>0</v>
      </c>
      <c r="W472" s="172">
        <f t="shared" si="421"/>
        <v>0</v>
      </c>
      <c r="X472" s="172">
        <f t="shared" si="421"/>
        <v>0</v>
      </c>
      <c r="Y472" s="172">
        <f t="shared" si="421"/>
        <v>0</v>
      </c>
      <c r="Z472" s="172">
        <f t="shared" si="421"/>
        <v>0</v>
      </c>
      <c r="AA472" s="172">
        <f t="shared" si="421"/>
        <v>0</v>
      </c>
      <c r="AB472" s="172">
        <f t="shared" si="421"/>
        <v>0</v>
      </c>
      <c r="AC472" s="172">
        <f t="shared" si="421"/>
        <v>0</v>
      </c>
      <c r="AD472" s="172">
        <f t="shared" si="421"/>
        <v>0</v>
      </c>
      <c r="AE472" s="172">
        <f t="shared" si="421"/>
        <v>0</v>
      </c>
      <c r="AF472" s="172">
        <f t="shared" si="421"/>
        <v>0</v>
      </c>
      <c r="AG472" s="172">
        <f t="shared" si="421"/>
        <v>0</v>
      </c>
      <c r="AH472" s="172">
        <f t="shared" si="421"/>
        <v>0</v>
      </c>
      <c r="AI472" s="172">
        <f t="shared" si="421"/>
        <v>0</v>
      </c>
      <c r="AJ472" s="1873">
        <f t="shared" si="421"/>
        <v>0</v>
      </c>
      <c r="AK472" s="1873">
        <f t="shared" si="421"/>
        <v>0</v>
      </c>
      <c r="AL472" s="1873">
        <f t="shared" si="421"/>
        <v>0</v>
      </c>
      <c r="AM472" s="1873">
        <f t="shared" si="421"/>
        <v>0</v>
      </c>
      <c r="AN472" s="1873">
        <f t="shared" si="421"/>
        <v>0</v>
      </c>
      <c r="AO472" s="1873">
        <f t="shared" si="421"/>
        <v>0</v>
      </c>
      <c r="AP472" s="1873">
        <f t="shared" si="421"/>
        <v>0</v>
      </c>
      <c r="AQ472" s="1873">
        <f t="shared" si="421"/>
        <v>0</v>
      </c>
      <c r="AR472" s="1873">
        <f t="shared" si="421"/>
        <v>0</v>
      </c>
      <c r="AS472" s="172">
        <f t="shared" si="421"/>
        <v>0</v>
      </c>
      <c r="AT472" s="2645">
        <f t="shared" si="421"/>
        <v>0</v>
      </c>
    </row>
    <row r="473" spans="4:46">
      <c r="D473" s="153" t="s">
        <v>3039</v>
      </c>
      <c r="E473" s="153"/>
      <c r="F473" s="153"/>
      <c r="G473" s="153"/>
      <c r="H473" s="153"/>
      <c r="I473" s="153"/>
      <c r="J473" s="153"/>
      <c r="K473" s="153"/>
      <c r="L473" s="153"/>
      <c r="M473" s="153"/>
      <c r="N473" s="153"/>
      <c r="O473" s="153"/>
      <c r="P473" s="153"/>
      <c r="Q473" s="153"/>
      <c r="R473" s="153"/>
      <c r="S473" s="153"/>
      <c r="T473" s="153"/>
      <c r="U473" s="153"/>
      <c r="V473" s="172">
        <f t="shared" ref="V473:AH473" si="422">V1073/V423</f>
        <v>0</v>
      </c>
      <c r="W473" s="172">
        <f t="shared" si="422"/>
        <v>0</v>
      </c>
      <c r="X473" s="172">
        <f t="shared" si="422"/>
        <v>0</v>
      </c>
      <c r="Y473" s="172">
        <f t="shared" si="422"/>
        <v>0</v>
      </c>
      <c r="Z473" s="172">
        <f t="shared" si="422"/>
        <v>0</v>
      </c>
      <c r="AA473" s="172">
        <f t="shared" si="422"/>
        <v>0</v>
      </c>
      <c r="AB473" s="172">
        <f t="shared" si="422"/>
        <v>0</v>
      </c>
      <c r="AC473" s="172">
        <f t="shared" si="422"/>
        <v>0</v>
      </c>
      <c r="AD473" s="172">
        <f t="shared" si="422"/>
        <v>0</v>
      </c>
      <c r="AE473" s="172">
        <f t="shared" si="422"/>
        <v>0</v>
      </c>
      <c r="AF473" s="172">
        <f t="shared" si="422"/>
        <v>0</v>
      </c>
      <c r="AG473" s="172">
        <f t="shared" si="422"/>
        <v>0</v>
      </c>
      <c r="AH473" s="172">
        <f t="shared" si="422"/>
        <v>0</v>
      </c>
      <c r="AI473" s="172">
        <f t="shared" ref="AI473:AM473" si="423">AH473*AI474</f>
        <v>0</v>
      </c>
      <c r="AJ473" s="1873">
        <f t="shared" si="423"/>
        <v>0</v>
      </c>
      <c r="AK473" s="1873">
        <f t="shared" si="423"/>
        <v>0</v>
      </c>
      <c r="AL473" s="1873">
        <f t="shared" si="423"/>
        <v>0</v>
      </c>
      <c r="AM473" s="1873">
        <f t="shared" si="423"/>
        <v>0</v>
      </c>
      <c r="AN473" s="1873">
        <f t="shared" ref="AN473" si="424">AM473*AN474</f>
        <v>0</v>
      </c>
      <c r="AO473" s="1873">
        <f t="shared" ref="AO473" si="425">AN473*AO474</f>
        <v>0</v>
      </c>
      <c r="AP473" s="1873">
        <f t="shared" ref="AP473" si="426">AO473*AP474</f>
        <v>0</v>
      </c>
      <c r="AQ473" s="1873">
        <f t="shared" ref="AQ473" si="427">AP473*AQ474</f>
        <v>0</v>
      </c>
      <c r="AR473" s="1873">
        <f t="shared" ref="AR473" si="428">AQ473*AR474</f>
        <v>0</v>
      </c>
      <c r="AS473" s="172">
        <f t="shared" ref="AS473" si="429">AR473*AS474</f>
        <v>0</v>
      </c>
      <c r="AT473" s="2645">
        <f t="shared" ref="AT473" si="430">AS473*AT474</f>
        <v>0</v>
      </c>
    </row>
    <row r="474" spans="4:46">
      <c r="D474" s="156" t="s">
        <v>3040</v>
      </c>
      <c r="E474" s="153"/>
      <c r="F474" s="153"/>
      <c r="G474" s="153"/>
      <c r="H474" s="153"/>
      <c r="I474" s="153"/>
      <c r="J474" s="153"/>
      <c r="K474" s="153"/>
      <c r="L474" s="153"/>
      <c r="M474" s="153"/>
      <c r="N474" s="153"/>
      <c r="O474" s="153"/>
      <c r="P474" s="153"/>
      <c r="Q474" s="153"/>
      <c r="R474" s="153"/>
      <c r="S474" s="153"/>
      <c r="T474" s="153"/>
      <c r="U474" s="153"/>
      <c r="V474" s="232" t="e">
        <f t="shared" ref="V474:AE474" si="431">+V473/U473</f>
        <v>#DIV/0!</v>
      </c>
      <c r="W474" s="232" t="e">
        <f t="shared" si="431"/>
        <v>#DIV/0!</v>
      </c>
      <c r="X474" s="232" t="e">
        <f t="shared" si="431"/>
        <v>#DIV/0!</v>
      </c>
      <c r="Y474" s="232" t="e">
        <f t="shared" si="431"/>
        <v>#DIV/0!</v>
      </c>
      <c r="Z474" s="232" t="e">
        <f t="shared" si="431"/>
        <v>#DIV/0!</v>
      </c>
      <c r="AA474" s="232" t="e">
        <f t="shared" si="431"/>
        <v>#DIV/0!</v>
      </c>
      <c r="AB474" s="232" t="e">
        <f t="shared" si="431"/>
        <v>#DIV/0!</v>
      </c>
      <c r="AC474" s="232" t="e">
        <f t="shared" si="431"/>
        <v>#DIV/0!</v>
      </c>
      <c r="AD474" s="232" t="e">
        <f t="shared" si="431"/>
        <v>#DIV/0!</v>
      </c>
      <c r="AE474" s="232" t="e">
        <f t="shared" si="431"/>
        <v>#DIV/0!</v>
      </c>
      <c r="AF474" s="1390">
        <v>1</v>
      </c>
      <c r="AG474" s="1390">
        <v>1</v>
      </c>
      <c r="AH474" s="1390">
        <v>1</v>
      </c>
      <c r="AI474" s="1390">
        <v>1</v>
      </c>
      <c r="AJ474" s="1390">
        <v>1</v>
      </c>
      <c r="AK474" s="1390">
        <v>1</v>
      </c>
      <c r="AL474" s="1390">
        <v>1</v>
      </c>
      <c r="AM474" s="1390">
        <v>1</v>
      </c>
      <c r="AN474" s="1390">
        <v>1</v>
      </c>
      <c r="AO474" s="1390">
        <v>1</v>
      </c>
      <c r="AP474" s="1390">
        <v>1</v>
      </c>
      <c r="AQ474" s="1390">
        <v>1</v>
      </c>
      <c r="AR474" s="1390">
        <v>1</v>
      </c>
      <c r="AS474" s="1390">
        <v>1</v>
      </c>
      <c r="AT474" s="2653">
        <v>1</v>
      </c>
    </row>
    <row r="475" spans="4:46">
      <c r="D475" s="156"/>
      <c r="E475" s="153"/>
      <c r="F475" s="153"/>
      <c r="G475" s="153"/>
      <c r="H475" s="153"/>
      <c r="I475" s="153"/>
      <c r="J475" s="153"/>
      <c r="K475" s="153"/>
      <c r="L475" s="153"/>
      <c r="M475" s="153"/>
      <c r="N475" s="153"/>
      <c r="O475" s="153"/>
      <c r="P475" s="153"/>
      <c r="Q475" s="153"/>
      <c r="R475" s="153"/>
      <c r="S475" s="153"/>
      <c r="T475" s="153"/>
      <c r="U475" s="153"/>
      <c r="V475" s="172"/>
      <c r="W475" s="172"/>
      <c r="X475" s="172"/>
      <c r="Y475" s="172"/>
      <c r="Z475" s="172"/>
      <c r="AA475" s="172"/>
      <c r="AB475" s="172"/>
      <c r="AC475" s="172"/>
      <c r="AD475" s="172"/>
      <c r="AE475" s="172"/>
      <c r="AF475" s="172"/>
      <c r="AG475" s="172"/>
      <c r="AH475" s="172"/>
      <c r="AI475" s="172"/>
      <c r="AJ475" s="172"/>
      <c r="AK475" s="172"/>
      <c r="AL475" s="172"/>
      <c r="AM475" s="172"/>
      <c r="AN475" s="172"/>
      <c r="AO475" s="172"/>
      <c r="AP475" s="172"/>
      <c r="AQ475" s="172"/>
      <c r="AR475" s="172"/>
      <c r="AS475" s="172"/>
      <c r="AT475" s="2645"/>
    </row>
    <row r="476" spans="4:46">
      <c r="D476" s="168" t="s">
        <v>2336</v>
      </c>
      <c r="E476" s="153"/>
      <c r="F476" s="153"/>
      <c r="G476" s="153"/>
      <c r="H476" s="153"/>
      <c r="I476" s="153"/>
      <c r="J476" s="153"/>
      <c r="K476" s="153"/>
      <c r="L476" s="153"/>
      <c r="M476" s="153"/>
      <c r="N476" s="153"/>
      <c r="O476" s="153"/>
      <c r="P476" s="153"/>
      <c r="Q476" s="153"/>
      <c r="R476" s="153"/>
      <c r="S476" s="153"/>
      <c r="T476" s="153"/>
      <c r="U476" s="153"/>
      <c r="V476" s="172">
        <f t="shared" ref="V476:AT476" si="432">V1074/V421</f>
        <v>0</v>
      </c>
      <c r="W476" s="172">
        <f t="shared" si="432"/>
        <v>0</v>
      </c>
      <c r="X476" s="172">
        <f t="shared" si="432"/>
        <v>0</v>
      </c>
      <c r="Y476" s="172">
        <f t="shared" si="432"/>
        <v>0</v>
      </c>
      <c r="Z476" s="172">
        <f t="shared" si="432"/>
        <v>0</v>
      </c>
      <c r="AA476" s="172">
        <f t="shared" si="432"/>
        <v>0</v>
      </c>
      <c r="AB476" s="172">
        <f t="shared" si="432"/>
        <v>0</v>
      </c>
      <c r="AC476" s="172">
        <f t="shared" si="432"/>
        <v>0</v>
      </c>
      <c r="AD476" s="172">
        <f t="shared" si="432"/>
        <v>0</v>
      </c>
      <c r="AE476" s="172">
        <f t="shared" si="432"/>
        <v>0</v>
      </c>
      <c r="AF476" s="172">
        <f t="shared" si="432"/>
        <v>0</v>
      </c>
      <c r="AG476" s="172">
        <f t="shared" si="432"/>
        <v>0</v>
      </c>
      <c r="AH476" s="172">
        <f t="shared" si="432"/>
        <v>0</v>
      </c>
      <c r="AI476" s="172">
        <f t="shared" si="432"/>
        <v>0</v>
      </c>
      <c r="AJ476" s="1873">
        <f t="shared" si="432"/>
        <v>0</v>
      </c>
      <c r="AK476" s="1873">
        <f t="shared" si="432"/>
        <v>0</v>
      </c>
      <c r="AL476" s="1873">
        <f t="shared" si="432"/>
        <v>0</v>
      </c>
      <c r="AM476" s="1873">
        <f t="shared" si="432"/>
        <v>0</v>
      </c>
      <c r="AN476" s="1873">
        <f t="shared" si="432"/>
        <v>0</v>
      </c>
      <c r="AO476" s="1873">
        <f t="shared" si="432"/>
        <v>0</v>
      </c>
      <c r="AP476" s="1873">
        <f t="shared" si="432"/>
        <v>0</v>
      </c>
      <c r="AQ476" s="1873">
        <f t="shared" si="432"/>
        <v>0</v>
      </c>
      <c r="AR476" s="1873">
        <f t="shared" si="432"/>
        <v>0</v>
      </c>
      <c r="AS476" s="172">
        <f t="shared" si="432"/>
        <v>0</v>
      </c>
      <c r="AT476" s="2645">
        <f t="shared" si="432"/>
        <v>0</v>
      </c>
    </row>
    <row r="477" spans="4:46">
      <c r="D477" s="153" t="s">
        <v>2341</v>
      </c>
      <c r="E477" s="153"/>
      <c r="F477" s="153"/>
      <c r="G477" s="153"/>
      <c r="H477" s="153"/>
      <c r="I477" s="153"/>
      <c r="J477" s="153"/>
      <c r="K477" s="153"/>
      <c r="L477" s="153"/>
      <c r="M477" s="153"/>
      <c r="N477" s="153"/>
      <c r="O477" s="153"/>
      <c r="P477" s="153"/>
      <c r="Q477" s="153"/>
      <c r="R477" s="153"/>
      <c r="S477" s="153"/>
      <c r="T477" s="153"/>
      <c r="U477" s="153"/>
      <c r="V477" s="172">
        <f t="shared" ref="V477:AE477" si="433">V1074/V423</f>
        <v>0</v>
      </c>
      <c r="W477" s="172">
        <f t="shared" si="433"/>
        <v>0</v>
      </c>
      <c r="X477" s="172">
        <f t="shared" si="433"/>
        <v>0</v>
      </c>
      <c r="Y477" s="172">
        <f t="shared" si="433"/>
        <v>0</v>
      </c>
      <c r="Z477" s="172">
        <f t="shared" si="433"/>
        <v>0</v>
      </c>
      <c r="AA477" s="172">
        <f t="shared" si="433"/>
        <v>0</v>
      </c>
      <c r="AB477" s="172">
        <f t="shared" si="433"/>
        <v>0</v>
      </c>
      <c r="AC477" s="172">
        <f t="shared" si="433"/>
        <v>0</v>
      </c>
      <c r="AD477" s="172">
        <f t="shared" si="433"/>
        <v>0</v>
      </c>
      <c r="AE477" s="172">
        <f t="shared" si="433"/>
        <v>0</v>
      </c>
      <c r="AF477" s="172">
        <f t="shared" ref="AF477:AM477" si="434">AE477*AF478</f>
        <v>0</v>
      </c>
      <c r="AG477" s="172">
        <f t="shared" si="434"/>
        <v>0</v>
      </c>
      <c r="AH477" s="172">
        <f t="shared" si="434"/>
        <v>0</v>
      </c>
      <c r="AI477" s="172">
        <f t="shared" si="434"/>
        <v>0</v>
      </c>
      <c r="AJ477" s="1873">
        <f t="shared" si="434"/>
        <v>0</v>
      </c>
      <c r="AK477" s="1873">
        <f t="shared" si="434"/>
        <v>0</v>
      </c>
      <c r="AL477" s="1873">
        <f t="shared" si="434"/>
        <v>0</v>
      </c>
      <c r="AM477" s="1873">
        <f t="shared" si="434"/>
        <v>0</v>
      </c>
      <c r="AN477" s="1873">
        <f t="shared" ref="AN477" si="435">AM477*AN478</f>
        <v>0</v>
      </c>
      <c r="AO477" s="1873">
        <f t="shared" ref="AO477" si="436">AN477*AO478</f>
        <v>0</v>
      </c>
      <c r="AP477" s="1873">
        <f t="shared" ref="AP477" si="437">AO477*AP478</f>
        <v>0</v>
      </c>
      <c r="AQ477" s="1873">
        <f t="shared" ref="AQ477" si="438">AP477*AQ478</f>
        <v>0</v>
      </c>
      <c r="AR477" s="1873">
        <f t="shared" ref="AR477" si="439">AQ477*AR478</f>
        <v>0</v>
      </c>
      <c r="AS477" s="172">
        <f t="shared" ref="AS477" si="440">AR477*AS478</f>
        <v>0</v>
      </c>
      <c r="AT477" s="2645">
        <f t="shared" ref="AT477" si="441">AS477*AT478</f>
        <v>0</v>
      </c>
    </row>
    <row r="478" spans="4:46">
      <c r="D478" s="156" t="s">
        <v>2352</v>
      </c>
      <c r="E478" s="153"/>
      <c r="F478" s="153"/>
      <c r="G478" s="153"/>
      <c r="H478" s="153"/>
      <c r="I478" s="153"/>
      <c r="J478" s="153"/>
      <c r="K478" s="153"/>
      <c r="L478" s="153"/>
      <c r="M478" s="153"/>
      <c r="N478" s="153"/>
      <c r="O478" s="153"/>
      <c r="P478" s="153"/>
      <c r="Q478" s="153"/>
      <c r="R478" s="153"/>
      <c r="S478" s="153"/>
      <c r="T478" s="153"/>
      <c r="U478" s="153"/>
      <c r="V478" s="232" t="e">
        <f t="shared" ref="V478:AE478" si="442">+V477/U477</f>
        <v>#DIV/0!</v>
      </c>
      <c r="W478" s="232" t="e">
        <f t="shared" si="442"/>
        <v>#DIV/0!</v>
      </c>
      <c r="X478" s="232" t="e">
        <f t="shared" si="442"/>
        <v>#DIV/0!</v>
      </c>
      <c r="Y478" s="232" t="e">
        <f t="shared" si="442"/>
        <v>#DIV/0!</v>
      </c>
      <c r="Z478" s="232" t="e">
        <f t="shared" si="442"/>
        <v>#DIV/0!</v>
      </c>
      <c r="AA478" s="232" t="e">
        <f t="shared" si="442"/>
        <v>#DIV/0!</v>
      </c>
      <c r="AB478" s="232" t="e">
        <f t="shared" si="442"/>
        <v>#DIV/0!</v>
      </c>
      <c r="AC478" s="232" t="e">
        <f t="shared" si="442"/>
        <v>#DIV/0!</v>
      </c>
      <c r="AD478" s="232" t="e">
        <f t="shared" si="442"/>
        <v>#DIV/0!</v>
      </c>
      <c r="AE478" s="232" t="e">
        <f t="shared" si="442"/>
        <v>#DIV/0!</v>
      </c>
      <c r="AF478" s="1390">
        <v>1</v>
      </c>
      <c r="AG478" s="1390">
        <v>1</v>
      </c>
      <c r="AH478" s="1390">
        <v>1</v>
      </c>
      <c r="AI478" s="1390">
        <v>1</v>
      </c>
      <c r="AJ478" s="1390">
        <v>1</v>
      </c>
      <c r="AK478" s="1390">
        <v>1</v>
      </c>
      <c r="AL478" s="1390">
        <v>1</v>
      </c>
      <c r="AM478" s="1390">
        <v>1</v>
      </c>
      <c r="AN478" s="1390">
        <v>1</v>
      </c>
      <c r="AO478" s="1390">
        <v>1</v>
      </c>
      <c r="AP478" s="1390">
        <v>1</v>
      </c>
      <c r="AQ478" s="1390">
        <v>1</v>
      </c>
      <c r="AR478" s="1390">
        <v>1</v>
      </c>
      <c r="AS478" s="1390">
        <v>1</v>
      </c>
      <c r="AT478" s="2653">
        <v>1</v>
      </c>
    </row>
    <row r="479" spans="4:46">
      <c r="D479" s="156"/>
      <c r="E479" s="153"/>
      <c r="F479" s="153"/>
      <c r="G479" s="153"/>
      <c r="H479" s="153"/>
      <c r="I479" s="153"/>
      <c r="J479" s="153"/>
      <c r="K479" s="153"/>
      <c r="L479" s="153"/>
      <c r="M479" s="153"/>
      <c r="N479" s="153"/>
      <c r="O479" s="153"/>
      <c r="P479" s="153"/>
      <c r="Q479" s="153"/>
      <c r="R479" s="153"/>
      <c r="S479" s="153"/>
      <c r="T479" s="153"/>
      <c r="U479" s="153"/>
      <c r="V479" s="172"/>
      <c r="W479" s="172"/>
      <c r="X479" s="172"/>
      <c r="Y479" s="172"/>
      <c r="Z479" s="172"/>
      <c r="AA479" s="172"/>
      <c r="AB479" s="172"/>
      <c r="AC479" s="172"/>
      <c r="AD479" s="172"/>
      <c r="AE479" s="172"/>
      <c r="AF479" s="172"/>
      <c r="AG479" s="172"/>
      <c r="AH479" s="172"/>
      <c r="AI479" s="172"/>
      <c r="AJ479" s="172"/>
      <c r="AK479" s="172"/>
      <c r="AL479" s="172"/>
      <c r="AM479" s="172"/>
      <c r="AN479" s="172"/>
      <c r="AO479" s="172"/>
      <c r="AP479" s="172"/>
      <c r="AQ479" s="172"/>
      <c r="AR479" s="172"/>
      <c r="AS479" s="172"/>
      <c r="AT479" s="2645"/>
    </row>
    <row r="480" spans="4:46">
      <c r="D480" s="168" t="s">
        <v>2337</v>
      </c>
      <c r="E480" s="153"/>
      <c r="F480" s="153"/>
      <c r="G480" s="153"/>
      <c r="H480" s="153"/>
      <c r="I480" s="153"/>
      <c r="J480" s="153"/>
      <c r="K480" s="153"/>
      <c r="L480" s="153"/>
      <c r="M480" s="153"/>
      <c r="N480" s="153"/>
      <c r="O480" s="153"/>
      <c r="P480" s="153"/>
      <c r="Q480" s="153"/>
      <c r="R480" s="153"/>
      <c r="S480" s="153"/>
      <c r="T480" s="153"/>
      <c r="U480" s="153"/>
      <c r="V480" s="172">
        <f t="shared" ref="V480:AT480" si="443">V1097/V421</f>
        <v>0</v>
      </c>
      <c r="W480" s="172">
        <f t="shared" si="443"/>
        <v>0</v>
      </c>
      <c r="X480" s="172">
        <f t="shared" si="443"/>
        <v>0</v>
      </c>
      <c r="Y480" s="172">
        <f t="shared" si="443"/>
        <v>0</v>
      </c>
      <c r="Z480" s="172">
        <f t="shared" si="443"/>
        <v>0</v>
      </c>
      <c r="AA480" s="172">
        <f t="shared" si="443"/>
        <v>0</v>
      </c>
      <c r="AB480" s="172">
        <f t="shared" si="443"/>
        <v>0</v>
      </c>
      <c r="AC480" s="172">
        <f t="shared" si="443"/>
        <v>0</v>
      </c>
      <c r="AD480" s="172">
        <f t="shared" si="443"/>
        <v>0</v>
      </c>
      <c r="AE480" s="172">
        <f t="shared" si="443"/>
        <v>0</v>
      </c>
      <c r="AF480" s="172">
        <f t="shared" si="443"/>
        <v>0</v>
      </c>
      <c r="AG480" s="172">
        <f t="shared" si="443"/>
        <v>0</v>
      </c>
      <c r="AH480" s="172">
        <f t="shared" si="443"/>
        <v>0</v>
      </c>
      <c r="AI480" s="172">
        <f t="shared" si="443"/>
        <v>8.344479685609437E-6</v>
      </c>
      <c r="AJ480" s="1873">
        <f t="shared" si="443"/>
        <v>8.1041567024592995E-6</v>
      </c>
      <c r="AK480" s="1873">
        <f t="shared" si="443"/>
        <v>0</v>
      </c>
      <c r="AL480" s="1873">
        <f t="shared" si="443"/>
        <v>0</v>
      </c>
      <c r="AM480" s="1873">
        <f t="shared" si="443"/>
        <v>0</v>
      </c>
      <c r="AN480" s="1873">
        <f t="shared" si="443"/>
        <v>0</v>
      </c>
      <c r="AO480" s="1873">
        <f t="shared" si="443"/>
        <v>0</v>
      </c>
      <c r="AP480" s="1873">
        <f t="shared" si="443"/>
        <v>0</v>
      </c>
      <c r="AQ480" s="1873">
        <f t="shared" si="443"/>
        <v>0</v>
      </c>
      <c r="AR480" s="1873">
        <f t="shared" si="443"/>
        <v>0</v>
      </c>
      <c r="AS480" s="172">
        <f t="shared" si="443"/>
        <v>0</v>
      </c>
      <c r="AT480" s="2645">
        <f t="shared" si="443"/>
        <v>0</v>
      </c>
    </row>
    <row r="481" spans="4:46">
      <c r="D481" s="153" t="s">
        <v>2342</v>
      </c>
      <c r="E481" s="153"/>
      <c r="F481" s="153"/>
      <c r="G481" s="153"/>
      <c r="H481" s="153"/>
      <c r="I481" s="153"/>
      <c r="J481" s="153"/>
      <c r="K481" s="153"/>
      <c r="L481" s="153"/>
      <c r="M481" s="153"/>
      <c r="N481" s="153"/>
      <c r="O481" s="153"/>
      <c r="P481" s="153"/>
      <c r="Q481" s="153"/>
      <c r="R481" s="153"/>
      <c r="S481" s="153"/>
      <c r="T481" s="153"/>
      <c r="U481" s="153"/>
      <c r="V481" s="172">
        <f t="shared" ref="V481:AE481" si="444">V1097/V423</f>
        <v>0</v>
      </c>
      <c r="W481" s="172">
        <f t="shared" si="444"/>
        <v>0</v>
      </c>
      <c r="X481" s="172">
        <f t="shared" si="444"/>
        <v>0</v>
      </c>
      <c r="Y481" s="172">
        <f t="shared" si="444"/>
        <v>0</v>
      </c>
      <c r="Z481" s="172">
        <f t="shared" si="444"/>
        <v>0</v>
      </c>
      <c r="AA481" s="172">
        <f t="shared" si="444"/>
        <v>0</v>
      </c>
      <c r="AB481" s="172">
        <f t="shared" si="444"/>
        <v>0</v>
      </c>
      <c r="AC481" s="172">
        <f t="shared" si="444"/>
        <v>0</v>
      </c>
      <c r="AD481" s="172">
        <f t="shared" si="444"/>
        <v>0</v>
      </c>
      <c r="AE481" s="172">
        <f t="shared" si="444"/>
        <v>0</v>
      </c>
      <c r="AF481" s="172">
        <f t="shared" ref="AF481:AM481" si="445">AE481*AF482</f>
        <v>0</v>
      </c>
      <c r="AG481" s="172">
        <f t="shared" si="445"/>
        <v>0</v>
      </c>
      <c r="AH481" s="172">
        <f t="shared" si="445"/>
        <v>0</v>
      </c>
      <c r="AI481" s="172">
        <f t="shared" si="445"/>
        <v>0</v>
      </c>
      <c r="AJ481" s="1873">
        <f t="shared" si="445"/>
        <v>0</v>
      </c>
      <c r="AK481" s="1873">
        <f t="shared" si="445"/>
        <v>0</v>
      </c>
      <c r="AL481" s="1873">
        <f t="shared" si="445"/>
        <v>0</v>
      </c>
      <c r="AM481" s="1873">
        <f t="shared" si="445"/>
        <v>0</v>
      </c>
      <c r="AN481" s="1873">
        <f t="shared" ref="AN481" si="446">AM481*AN482</f>
        <v>0</v>
      </c>
      <c r="AO481" s="1873">
        <f t="shared" ref="AO481" si="447">AN481*AO482</f>
        <v>0</v>
      </c>
      <c r="AP481" s="1873">
        <f t="shared" ref="AP481" si="448">AO481*AP482</f>
        <v>0</v>
      </c>
      <c r="AQ481" s="1873">
        <f t="shared" ref="AQ481" si="449">AP481*AQ482</f>
        <v>0</v>
      </c>
      <c r="AR481" s="1873">
        <f t="shared" ref="AR481" si="450">AQ481*AR482</f>
        <v>0</v>
      </c>
      <c r="AS481" s="172">
        <f t="shared" ref="AS481" si="451">AR481*AS482</f>
        <v>0</v>
      </c>
      <c r="AT481" s="2645">
        <f t="shared" ref="AT481" si="452">AS481*AT482</f>
        <v>0</v>
      </c>
    </row>
    <row r="482" spans="4:46">
      <c r="D482" s="156" t="s">
        <v>2353</v>
      </c>
      <c r="E482" s="153"/>
      <c r="F482" s="153"/>
      <c r="G482" s="153"/>
      <c r="H482" s="153"/>
      <c r="I482" s="153"/>
      <c r="J482" s="153"/>
      <c r="K482" s="153"/>
      <c r="L482" s="153"/>
      <c r="M482" s="153"/>
      <c r="N482" s="153"/>
      <c r="O482" s="153"/>
      <c r="P482" s="153"/>
      <c r="Q482" s="153"/>
      <c r="R482" s="153"/>
      <c r="S482" s="153"/>
      <c r="T482" s="153"/>
      <c r="U482" s="153"/>
      <c r="V482" s="232" t="e">
        <f t="shared" ref="V482:AE482" si="453">+V481/U481</f>
        <v>#DIV/0!</v>
      </c>
      <c r="W482" s="232" t="e">
        <f t="shared" si="453"/>
        <v>#DIV/0!</v>
      </c>
      <c r="X482" s="232" t="e">
        <f t="shared" si="453"/>
        <v>#DIV/0!</v>
      </c>
      <c r="Y482" s="232" t="e">
        <f t="shared" si="453"/>
        <v>#DIV/0!</v>
      </c>
      <c r="Z482" s="232" t="e">
        <f t="shared" si="453"/>
        <v>#DIV/0!</v>
      </c>
      <c r="AA482" s="232" t="e">
        <f t="shared" si="453"/>
        <v>#DIV/0!</v>
      </c>
      <c r="AB482" s="232" t="e">
        <f t="shared" si="453"/>
        <v>#DIV/0!</v>
      </c>
      <c r="AC482" s="232" t="e">
        <f t="shared" si="453"/>
        <v>#DIV/0!</v>
      </c>
      <c r="AD482" s="232" t="e">
        <f t="shared" si="453"/>
        <v>#DIV/0!</v>
      </c>
      <c r="AE482" s="232" t="e">
        <f t="shared" si="453"/>
        <v>#DIV/0!</v>
      </c>
      <c r="AF482" s="1390">
        <v>1</v>
      </c>
      <c r="AG482" s="1390">
        <v>1</v>
      </c>
      <c r="AH482" s="1390">
        <v>1</v>
      </c>
      <c r="AI482" s="1390">
        <v>1</v>
      </c>
      <c r="AJ482" s="1390">
        <v>1</v>
      </c>
      <c r="AK482" s="1390">
        <v>1</v>
      </c>
      <c r="AL482" s="1390">
        <v>1</v>
      </c>
      <c r="AM482" s="1390">
        <v>1</v>
      </c>
      <c r="AN482" s="1390">
        <v>1</v>
      </c>
      <c r="AO482" s="1390">
        <v>1</v>
      </c>
      <c r="AP482" s="1390">
        <v>1</v>
      </c>
      <c r="AQ482" s="1390">
        <v>1</v>
      </c>
      <c r="AR482" s="1390">
        <v>1</v>
      </c>
      <c r="AS482" s="1390">
        <v>1</v>
      </c>
      <c r="AT482" s="2653">
        <v>1</v>
      </c>
    </row>
    <row r="483" spans="4:46">
      <c r="D483" s="156"/>
      <c r="E483" s="153"/>
      <c r="F483" s="153"/>
      <c r="G483" s="153"/>
      <c r="H483" s="153"/>
      <c r="I483" s="153"/>
      <c r="J483" s="153"/>
      <c r="K483" s="153"/>
      <c r="L483" s="153"/>
      <c r="M483" s="153"/>
      <c r="N483" s="153"/>
      <c r="O483" s="153"/>
      <c r="P483" s="153"/>
      <c r="Q483" s="153"/>
      <c r="R483" s="153"/>
      <c r="S483" s="153"/>
      <c r="T483" s="153"/>
      <c r="U483" s="153"/>
      <c r="V483" s="172"/>
      <c r="W483" s="172"/>
      <c r="X483" s="172"/>
      <c r="Y483" s="172"/>
      <c r="Z483" s="172"/>
      <c r="AA483" s="172"/>
      <c r="AB483" s="172"/>
      <c r="AC483" s="172"/>
      <c r="AD483" s="172"/>
      <c r="AE483" s="172"/>
      <c r="AF483" s="172"/>
      <c r="AG483" s="172"/>
      <c r="AH483" s="172"/>
      <c r="AI483" s="172"/>
      <c r="AJ483" s="172"/>
      <c r="AK483" s="172"/>
      <c r="AL483" s="172"/>
      <c r="AM483" s="172"/>
      <c r="AN483" s="172"/>
      <c r="AO483" s="172"/>
      <c r="AP483" s="172"/>
      <c r="AQ483" s="172"/>
      <c r="AR483" s="172"/>
      <c r="AS483" s="172"/>
      <c r="AT483" s="2645"/>
    </row>
    <row r="484" spans="4:46">
      <c r="D484" s="168" t="s">
        <v>2338</v>
      </c>
      <c r="E484" s="153"/>
      <c r="F484" s="153"/>
      <c r="G484" s="153"/>
      <c r="H484" s="153"/>
      <c r="I484" s="153"/>
      <c r="J484" s="153"/>
      <c r="K484" s="153"/>
      <c r="L484" s="153"/>
      <c r="M484" s="153"/>
      <c r="N484" s="153"/>
      <c r="O484" s="153"/>
      <c r="P484" s="153"/>
      <c r="Q484" s="153"/>
      <c r="R484" s="153"/>
      <c r="S484" s="153"/>
      <c r="T484" s="153"/>
      <c r="U484" s="153"/>
      <c r="V484" s="172">
        <f t="shared" ref="V484:AT484" si="454">V1075/V421</f>
        <v>0</v>
      </c>
      <c r="W484" s="172">
        <f t="shared" si="454"/>
        <v>0</v>
      </c>
      <c r="X484" s="172">
        <f t="shared" si="454"/>
        <v>0</v>
      </c>
      <c r="Y484" s="172">
        <f t="shared" si="454"/>
        <v>0</v>
      </c>
      <c r="Z484" s="172">
        <f t="shared" si="454"/>
        <v>0</v>
      </c>
      <c r="AA484" s="172">
        <f t="shared" si="454"/>
        <v>0</v>
      </c>
      <c r="AB484" s="172">
        <f t="shared" si="454"/>
        <v>0</v>
      </c>
      <c r="AC484" s="172">
        <f t="shared" si="454"/>
        <v>0</v>
      </c>
      <c r="AD484" s="172">
        <f t="shared" si="454"/>
        <v>0</v>
      </c>
      <c r="AE484" s="172">
        <f t="shared" si="454"/>
        <v>0</v>
      </c>
      <c r="AF484" s="172">
        <f t="shared" si="454"/>
        <v>0</v>
      </c>
      <c r="AG484" s="172">
        <f t="shared" si="454"/>
        <v>0</v>
      </c>
      <c r="AH484" s="172">
        <f t="shared" si="454"/>
        <v>0</v>
      </c>
      <c r="AI484" s="172">
        <f t="shared" si="454"/>
        <v>0</v>
      </c>
      <c r="AJ484" s="1873">
        <f t="shared" si="454"/>
        <v>0</v>
      </c>
      <c r="AK484" s="1873">
        <f t="shared" si="454"/>
        <v>0</v>
      </c>
      <c r="AL484" s="1873">
        <f t="shared" si="454"/>
        <v>0</v>
      </c>
      <c r="AM484" s="1873">
        <f t="shared" si="454"/>
        <v>0</v>
      </c>
      <c r="AN484" s="1873">
        <f t="shared" si="454"/>
        <v>0</v>
      </c>
      <c r="AO484" s="1873">
        <f t="shared" si="454"/>
        <v>0</v>
      </c>
      <c r="AP484" s="1873">
        <f t="shared" si="454"/>
        <v>0</v>
      </c>
      <c r="AQ484" s="1873">
        <f t="shared" si="454"/>
        <v>0</v>
      </c>
      <c r="AR484" s="1873">
        <f t="shared" si="454"/>
        <v>0</v>
      </c>
      <c r="AS484" s="172">
        <f t="shared" si="454"/>
        <v>0</v>
      </c>
      <c r="AT484" s="2645">
        <f t="shared" si="454"/>
        <v>0</v>
      </c>
    </row>
    <row r="485" spans="4:46">
      <c r="D485" s="153" t="s">
        <v>2343</v>
      </c>
      <c r="E485" s="153"/>
      <c r="F485" s="153"/>
      <c r="G485" s="153"/>
      <c r="H485" s="153"/>
      <c r="I485" s="153"/>
      <c r="J485" s="153"/>
      <c r="K485" s="153"/>
      <c r="L485" s="153"/>
      <c r="M485" s="153"/>
      <c r="N485" s="153"/>
      <c r="O485" s="153"/>
      <c r="P485" s="153"/>
      <c r="Q485" s="153"/>
      <c r="R485" s="153"/>
      <c r="S485" s="153"/>
      <c r="T485" s="153"/>
      <c r="U485" s="153"/>
      <c r="V485" s="172">
        <f t="shared" ref="V485:AE485" si="455">V1075/V423</f>
        <v>0</v>
      </c>
      <c r="W485" s="172">
        <f t="shared" si="455"/>
        <v>0</v>
      </c>
      <c r="X485" s="172">
        <f t="shared" si="455"/>
        <v>0</v>
      </c>
      <c r="Y485" s="172">
        <f t="shared" si="455"/>
        <v>0</v>
      </c>
      <c r="Z485" s="172">
        <f t="shared" si="455"/>
        <v>0</v>
      </c>
      <c r="AA485" s="172">
        <f t="shared" si="455"/>
        <v>0</v>
      </c>
      <c r="AB485" s="172">
        <f t="shared" si="455"/>
        <v>0</v>
      </c>
      <c r="AC485" s="172">
        <f t="shared" si="455"/>
        <v>0</v>
      </c>
      <c r="AD485" s="172">
        <f t="shared" si="455"/>
        <v>0</v>
      </c>
      <c r="AE485" s="172">
        <f t="shared" si="455"/>
        <v>0</v>
      </c>
      <c r="AF485" s="172">
        <f t="shared" ref="AF485:AM485" si="456">AE485*AF486</f>
        <v>0</v>
      </c>
      <c r="AG485" s="172">
        <f t="shared" si="456"/>
        <v>0</v>
      </c>
      <c r="AH485" s="172">
        <f t="shared" si="456"/>
        <v>0</v>
      </c>
      <c r="AI485" s="172">
        <f t="shared" si="456"/>
        <v>0</v>
      </c>
      <c r="AJ485" s="1873">
        <f t="shared" si="456"/>
        <v>0</v>
      </c>
      <c r="AK485" s="1873">
        <f t="shared" si="456"/>
        <v>0</v>
      </c>
      <c r="AL485" s="1873">
        <f t="shared" si="456"/>
        <v>0</v>
      </c>
      <c r="AM485" s="1873">
        <f t="shared" si="456"/>
        <v>0</v>
      </c>
      <c r="AN485" s="1873">
        <f t="shared" ref="AN485" si="457">AM485*AN486</f>
        <v>0</v>
      </c>
      <c r="AO485" s="1873">
        <f t="shared" ref="AO485" si="458">AN485*AO486</f>
        <v>0</v>
      </c>
      <c r="AP485" s="1873">
        <f t="shared" ref="AP485" si="459">AO485*AP486</f>
        <v>0</v>
      </c>
      <c r="AQ485" s="1873">
        <f t="shared" ref="AQ485" si="460">AP485*AQ486</f>
        <v>0</v>
      </c>
      <c r="AR485" s="1873">
        <f t="shared" ref="AR485" si="461">AQ485*AR486</f>
        <v>0</v>
      </c>
      <c r="AS485" s="172">
        <f t="shared" ref="AS485" si="462">AR485*AS486</f>
        <v>0</v>
      </c>
      <c r="AT485" s="2645">
        <f t="shared" ref="AT485" si="463">AS485*AT486</f>
        <v>0</v>
      </c>
    </row>
    <row r="486" spans="4:46">
      <c r="D486" s="156" t="s">
        <v>2354</v>
      </c>
      <c r="E486" s="153"/>
      <c r="F486" s="153"/>
      <c r="G486" s="153"/>
      <c r="H486" s="153"/>
      <c r="I486" s="153"/>
      <c r="J486" s="153"/>
      <c r="K486" s="153"/>
      <c r="L486" s="153"/>
      <c r="M486" s="153"/>
      <c r="N486" s="153"/>
      <c r="O486" s="153"/>
      <c r="P486" s="153"/>
      <c r="Q486" s="153"/>
      <c r="R486" s="153"/>
      <c r="S486" s="153"/>
      <c r="T486" s="153"/>
      <c r="U486" s="153"/>
      <c r="V486" s="232" t="e">
        <f t="shared" ref="V486:AE486" si="464">+V485/U485</f>
        <v>#DIV/0!</v>
      </c>
      <c r="W486" s="232" t="e">
        <f t="shared" si="464"/>
        <v>#DIV/0!</v>
      </c>
      <c r="X486" s="232" t="e">
        <f t="shared" si="464"/>
        <v>#DIV/0!</v>
      </c>
      <c r="Y486" s="232" t="e">
        <f t="shared" si="464"/>
        <v>#DIV/0!</v>
      </c>
      <c r="Z486" s="232" t="e">
        <f t="shared" si="464"/>
        <v>#DIV/0!</v>
      </c>
      <c r="AA486" s="232" t="e">
        <f t="shared" si="464"/>
        <v>#DIV/0!</v>
      </c>
      <c r="AB486" s="232" t="e">
        <f t="shared" si="464"/>
        <v>#DIV/0!</v>
      </c>
      <c r="AC486" s="232" t="e">
        <f t="shared" si="464"/>
        <v>#DIV/0!</v>
      </c>
      <c r="AD486" s="232" t="e">
        <f t="shared" si="464"/>
        <v>#DIV/0!</v>
      </c>
      <c r="AE486" s="232" t="e">
        <f t="shared" si="464"/>
        <v>#DIV/0!</v>
      </c>
      <c r="AF486" s="1390">
        <v>1</v>
      </c>
      <c r="AG486" s="1390">
        <v>1</v>
      </c>
      <c r="AH486" s="1390">
        <v>1</v>
      </c>
      <c r="AI486" s="1390">
        <v>1</v>
      </c>
      <c r="AJ486" s="1390">
        <v>1</v>
      </c>
      <c r="AK486" s="1390">
        <v>1</v>
      </c>
      <c r="AL486" s="1390">
        <v>1</v>
      </c>
      <c r="AM486" s="1390">
        <v>1</v>
      </c>
      <c r="AN486" s="1390">
        <v>1</v>
      </c>
      <c r="AO486" s="1390">
        <v>1</v>
      </c>
      <c r="AP486" s="1390">
        <v>1</v>
      </c>
      <c r="AQ486" s="1390">
        <v>1</v>
      </c>
      <c r="AR486" s="1390">
        <v>1</v>
      </c>
      <c r="AS486" s="1390">
        <v>1</v>
      </c>
      <c r="AT486" s="2653">
        <v>1</v>
      </c>
    </row>
    <row r="487" spans="4:46">
      <c r="D487" s="156"/>
      <c r="E487" s="153"/>
      <c r="F487" s="153"/>
      <c r="G487" s="153"/>
      <c r="H487" s="153"/>
      <c r="I487" s="153"/>
      <c r="J487" s="153"/>
      <c r="K487" s="153"/>
      <c r="L487" s="153"/>
      <c r="M487" s="153"/>
      <c r="N487" s="153"/>
      <c r="O487" s="153"/>
      <c r="P487" s="153"/>
      <c r="Q487" s="153"/>
      <c r="R487" s="153"/>
      <c r="S487" s="153"/>
      <c r="T487" s="153"/>
      <c r="U487" s="153"/>
      <c r="V487" s="172"/>
      <c r="W487" s="172"/>
      <c r="X487" s="172"/>
      <c r="Y487" s="172"/>
      <c r="Z487" s="172"/>
      <c r="AA487" s="172"/>
      <c r="AB487" s="172"/>
      <c r="AC487" s="172"/>
      <c r="AD487" s="172"/>
      <c r="AE487" s="172"/>
      <c r="AF487" s="172"/>
      <c r="AG487" s="172"/>
      <c r="AH487" s="172"/>
      <c r="AI487" s="172"/>
      <c r="AJ487" s="172"/>
      <c r="AK487" s="172"/>
      <c r="AL487" s="172"/>
      <c r="AM487" s="172"/>
      <c r="AN487" s="172"/>
      <c r="AO487" s="172"/>
      <c r="AP487" s="172"/>
      <c r="AQ487" s="172"/>
      <c r="AR487" s="172"/>
      <c r="AS487" s="172"/>
      <c r="AT487" s="2645"/>
    </row>
    <row r="488" spans="4:46">
      <c r="D488" s="168" t="s">
        <v>2339</v>
      </c>
      <c r="E488" s="153"/>
      <c r="F488" s="153"/>
      <c r="G488" s="153"/>
      <c r="H488" s="153"/>
      <c r="I488" s="153"/>
      <c r="J488" s="153"/>
      <c r="K488" s="153"/>
      <c r="L488" s="153"/>
      <c r="M488" s="153"/>
      <c r="N488" s="153"/>
      <c r="O488" s="153"/>
      <c r="P488" s="153"/>
      <c r="Q488" s="153"/>
      <c r="R488" s="153"/>
      <c r="S488" s="153"/>
      <c r="T488" s="153"/>
      <c r="U488" s="153"/>
      <c r="V488" s="172">
        <f t="shared" ref="V488:AT488" si="465">V1076/V421</f>
        <v>0</v>
      </c>
      <c r="W488" s="172">
        <f t="shared" si="465"/>
        <v>0</v>
      </c>
      <c r="X488" s="172">
        <f t="shared" si="465"/>
        <v>0</v>
      </c>
      <c r="Y488" s="172">
        <f t="shared" si="465"/>
        <v>1.9751704871601202E-4</v>
      </c>
      <c r="Z488" s="172">
        <f t="shared" si="465"/>
        <v>1.2775572846993589E-4</v>
      </c>
      <c r="AA488" s="172">
        <f t="shared" si="465"/>
        <v>1.2333989984454234E-4</v>
      </c>
      <c r="AB488" s="172">
        <f t="shared" si="465"/>
        <v>8.4259467612750924E-5</v>
      </c>
      <c r="AC488" s="172">
        <f t="shared" si="465"/>
        <v>6.2205397969892988E-6</v>
      </c>
      <c r="AD488" s="172">
        <f t="shared" si="465"/>
        <v>4.1022905282331512E-7</v>
      </c>
      <c r="AE488" s="172">
        <f t="shared" si="465"/>
        <v>8.0824561514522824E-5</v>
      </c>
      <c r="AF488" s="172">
        <f t="shared" si="465"/>
        <v>7.9576620182706444E-5</v>
      </c>
      <c r="AG488" s="172">
        <f t="shared" si="465"/>
        <v>7.5731598226669669E-5</v>
      </c>
      <c r="AH488" s="172">
        <f t="shared" si="465"/>
        <v>0</v>
      </c>
      <c r="AI488" s="172">
        <f t="shared" si="465"/>
        <v>3.2747468200315405E-4</v>
      </c>
      <c r="AJ488" s="172">
        <f t="shared" ref="AJ488" si="466">AJ1076/AJ421</f>
        <v>4.3735701743447637E-4</v>
      </c>
      <c r="AK488" s="1873">
        <f t="shared" si="465"/>
        <v>4.5593916247786676E-4</v>
      </c>
      <c r="AL488" s="1873">
        <f t="shared" si="465"/>
        <v>4.8277917430619591E-4</v>
      </c>
      <c r="AM488" s="1873">
        <f t="shared" si="465"/>
        <v>4.9336461565524861E-4</v>
      </c>
      <c r="AN488" s="1873">
        <f t="shared" si="465"/>
        <v>5.0430395861880283E-4</v>
      </c>
      <c r="AO488" s="1873">
        <f t="shared" si="465"/>
        <v>5.0938516881604654E-4</v>
      </c>
      <c r="AP488" s="1873">
        <f t="shared" si="465"/>
        <v>5.1182909386806436E-4</v>
      </c>
      <c r="AQ488" s="1873">
        <f t="shared" si="465"/>
        <v>5.5373101042664838E-4</v>
      </c>
      <c r="AR488" s="1873">
        <f t="shared" si="465"/>
        <v>6.0062525689037153E-4</v>
      </c>
      <c r="AS488" s="172">
        <f t="shared" si="465"/>
        <v>6.3893348787263753E-4</v>
      </c>
      <c r="AT488" s="2645">
        <f t="shared" si="465"/>
        <v>5.4763424389093053E-4</v>
      </c>
    </row>
    <row r="489" spans="4:46">
      <c r="D489" s="153" t="s">
        <v>2344</v>
      </c>
      <c r="E489" s="153"/>
      <c r="F489" s="153"/>
      <c r="G489" s="153"/>
      <c r="H489" s="153"/>
      <c r="I489" s="153"/>
      <c r="J489" s="153"/>
      <c r="K489" s="153"/>
      <c r="L489" s="153"/>
      <c r="M489" s="153"/>
      <c r="N489" s="153"/>
      <c r="O489" s="153"/>
      <c r="P489" s="153"/>
      <c r="Q489" s="153"/>
      <c r="R489" s="153"/>
      <c r="S489" s="153"/>
      <c r="T489" s="153"/>
      <c r="U489" s="153"/>
      <c r="V489" s="172">
        <f t="shared" ref="V489:AE489" si="467">V1076/V423</f>
        <v>0</v>
      </c>
      <c r="W489" s="172">
        <f t="shared" si="467"/>
        <v>0</v>
      </c>
      <c r="X489" s="172">
        <f t="shared" si="467"/>
        <v>0</v>
      </c>
      <c r="Y489" s="172">
        <f t="shared" si="467"/>
        <v>4.7339746006566972E-4</v>
      </c>
      <c r="Z489" s="172">
        <f t="shared" si="467"/>
        <v>3.0337697005657094E-4</v>
      </c>
      <c r="AA489" s="172">
        <f t="shared" si="467"/>
        <v>3.0100305025545528E-4</v>
      </c>
      <c r="AB489" s="172">
        <f t="shared" si="467"/>
        <v>2.0951684583789997E-4</v>
      </c>
      <c r="AC489" s="172">
        <f t="shared" si="467"/>
        <v>1.4943152621266817E-5</v>
      </c>
      <c r="AD489" s="172">
        <f t="shared" si="467"/>
        <v>9.1478664016084641E-7</v>
      </c>
      <c r="AE489" s="172">
        <f t="shared" si="467"/>
        <v>1.8125383092905037E-4</v>
      </c>
      <c r="AF489" s="172">
        <f t="shared" ref="AF489:AL489" si="468">AE489*AF490</f>
        <v>1.8125383092905037E-4</v>
      </c>
      <c r="AG489" s="172">
        <f t="shared" si="468"/>
        <v>1.8669144585692189E-4</v>
      </c>
      <c r="AH489" s="172">
        <f t="shared" si="468"/>
        <v>1.8669144585692189E-4</v>
      </c>
      <c r="AI489" s="172">
        <f t="shared" si="468"/>
        <v>9.8715309035754496E-4</v>
      </c>
      <c r="AJ489" s="172">
        <f t="shared" si="468"/>
        <v>6.2068417554144066E-3</v>
      </c>
      <c r="AK489" s="1873">
        <f t="shared" si="468"/>
        <v>8.3141950639430227E-4</v>
      </c>
      <c r="AL489" s="1873">
        <f t="shared" si="468"/>
        <v>8.8903562985543022E-4</v>
      </c>
      <c r="AM489" s="1873">
        <f>AL489*AM490</f>
        <v>9.0729491217595359E-4</v>
      </c>
      <c r="AN489" s="1873">
        <f t="shared" ref="AN489" si="469">AM489*AN490</f>
        <v>9.2130351909145824E-4</v>
      </c>
      <c r="AO489" s="1873">
        <f t="shared" ref="AO489" si="470">AN489*AO490</f>
        <v>9.2130351909145824E-4</v>
      </c>
      <c r="AP489" s="1873">
        <f t="shared" ref="AP489" si="471">AO489*AP490</f>
        <v>9.2130351909145824E-4</v>
      </c>
      <c r="AQ489" s="1873">
        <f t="shared" ref="AQ489" si="472">AP489*AQ490</f>
        <v>1.0049870958980937E-3</v>
      </c>
      <c r="AR489" s="1873">
        <f t="shared" ref="AR489" si="473">AQ489*AR490</f>
        <v>1.0856657089409738E-3</v>
      </c>
      <c r="AS489" s="172">
        <f t="shared" ref="AS489" si="474">AR489*AS490</f>
        <v>1.1607244010342584E-3</v>
      </c>
      <c r="AT489" s="2645">
        <f t="shared" ref="AT489" si="475">AS489*AT490</f>
        <v>1.1708739535845976E-3</v>
      </c>
    </row>
    <row r="490" spans="4:46">
      <c r="D490" s="156" t="s">
        <v>2355</v>
      </c>
      <c r="E490" s="153"/>
      <c r="F490" s="153"/>
      <c r="G490" s="153"/>
      <c r="H490" s="153"/>
      <c r="I490" s="153"/>
      <c r="J490" s="153"/>
      <c r="K490" s="153"/>
      <c r="L490" s="153"/>
      <c r="M490" s="153"/>
      <c r="N490" s="153"/>
      <c r="O490" s="153"/>
      <c r="P490" s="153"/>
      <c r="Q490" s="153"/>
      <c r="R490" s="153"/>
      <c r="S490" s="153"/>
      <c r="T490" s="153"/>
      <c r="U490" s="153"/>
      <c r="V490" s="232" t="e">
        <f t="shared" ref="V490:AE490" si="476">+V489/U489</f>
        <v>#DIV/0!</v>
      </c>
      <c r="W490" s="232" t="e">
        <f t="shared" si="476"/>
        <v>#DIV/0!</v>
      </c>
      <c r="X490" s="232" t="e">
        <f t="shared" si="476"/>
        <v>#DIV/0!</v>
      </c>
      <c r="Y490" s="232" t="e">
        <f t="shared" si="476"/>
        <v>#DIV/0!</v>
      </c>
      <c r="Z490" s="232">
        <f t="shared" si="476"/>
        <v>0.64085043889860849</v>
      </c>
      <c r="AA490" s="232">
        <f t="shared" si="476"/>
        <v>0.99217501644678896</v>
      </c>
      <c r="AB490" s="232">
        <f t="shared" si="476"/>
        <v>0.69606220156269916</v>
      </c>
      <c r="AC490" s="232">
        <f t="shared" si="476"/>
        <v>7.1321962496648642E-2</v>
      </c>
      <c r="AD490" s="232">
        <f t="shared" si="476"/>
        <v>6.1217780701706755E-2</v>
      </c>
      <c r="AE490" s="232">
        <f t="shared" si="476"/>
        <v>198.13782030876689</v>
      </c>
      <c r="AF490" s="1390">
        <v>1</v>
      </c>
      <c r="AG490" s="1390">
        <v>1.03</v>
      </c>
      <c r="AH490" s="1390">
        <v>1</v>
      </c>
      <c r="AI490" s="1390">
        <v>5.287618218534166</v>
      </c>
      <c r="AJ490" s="1390">
        <v>6.2876182185341696</v>
      </c>
      <c r="AK490" s="1390">
        <v>0.13395210304323146</v>
      </c>
      <c r="AL490" s="1390">
        <v>1.0692984985533927</v>
      </c>
      <c r="AM490" s="1390">
        <v>1.0205383020740042</v>
      </c>
      <c r="AN490" s="1390">
        <v>1.0154399707608941</v>
      </c>
      <c r="AO490" s="1390">
        <v>1</v>
      </c>
      <c r="AP490" s="1390">
        <v>1</v>
      </c>
      <c r="AQ490" s="1390">
        <v>1.090831712972463</v>
      </c>
      <c r="AR490" s="1390">
        <v>1.0802782576733314</v>
      </c>
      <c r="AS490" s="1390">
        <v>1.0691360991464873</v>
      </c>
      <c r="AT490" s="1390">
        <v>1.0087441536865214</v>
      </c>
    </row>
    <row r="491" spans="4:46">
      <c r="D491" s="156"/>
      <c r="E491" s="153"/>
      <c r="F491" s="153"/>
      <c r="G491" s="153"/>
      <c r="H491" s="153"/>
      <c r="I491" s="153"/>
      <c r="J491" s="153"/>
      <c r="K491" s="153"/>
      <c r="L491" s="153"/>
      <c r="M491" s="153"/>
      <c r="N491" s="153"/>
      <c r="O491" s="153"/>
      <c r="P491" s="153"/>
      <c r="Q491" s="153"/>
      <c r="R491" s="153"/>
      <c r="S491" s="153"/>
      <c r="T491" s="153"/>
      <c r="U491" s="153"/>
      <c r="V491" s="172"/>
      <c r="W491" s="172"/>
      <c r="X491" s="172"/>
      <c r="Y491" s="172"/>
      <c r="Z491" s="172"/>
      <c r="AA491" s="172"/>
      <c r="AB491" s="172"/>
      <c r="AC491" s="172"/>
      <c r="AD491" s="172"/>
      <c r="AE491" s="172"/>
      <c r="AF491" s="172"/>
      <c r="AG491" s="172"/>
      <c r="AH491" s="172"/>
      <c r="AI491" s="172"/>
      <c r="AJ491" s="172"/>
      <c r="AK491" s="172"/>
      <c r="AL491" s="172"/>
      <c r="AM491" s="172"/>
      <c r="AN491" s="172"/>
      <c r="AO491" s="172"/>
      <c r="AP491" s="172"/>
      <c r="AQ491" s="172"/>
      <c r="AR491" s="172"/>
      <c r="AS491" s="172"/>
      <c r="AT491" s="2645"/>
    </row>
    <row r="492" spans="4:46">
      <c r="D492" s="168" t="s">
        <v>2345</v>
      </c>
      <c r="E492" s="153"/>
      <c r="F492" s="153"/>
      <c r="G492" s="153"/>
      <c r="H492" s="153"/>
      <c r="I492" s="153"/>
      <c r="J492" s="153"/>
      <c r="K492" s="153"/>
      <c r="L492" s="153"/>
      <c r="M492" s="153"/>
      <c r="N492" s="153"/>
      <c r="O492" s="153"/>
      <c r="P492" s="153"/>
      <c r="Q492" s="153"/>
      <c r="R492" s="153"/>
      <c r="S492" s="153"/>
      <c r="T492" s="153"/>
      <c r="U492" s="153"/>
      <c r="V492" s="172">
        <f t="shared" ref="V492:AT492" si="477">V1078/V421</f>
        <v>0</v>
      </c>
      <c r="W492" s="172">
        <f t="shared" si="477"/>
        <v>0</v>
      </c>
      <c r="X492" s="172">
        <f t="shared" si="477"/>
        <v>0</v>
      </c>
      <c r="Y492" s="172">
        <f t="shared" si="477"/>
        <v>4.8551764426019647E-2</v>
      </c>
      <c r="Z492" s="172">
        <f t="shared" si="477"/>
        <v>7.3221314178270658E-2</v>
      </c>
      <c r="AA492" s="172">
        <f t="shared" si="477"/>
        <v>4.8602518103377665E-2</v>
      </c>
      <c r="AB492" s="172">
        <f t="shared" si="477"/>
        <v>5.091210437739295E-2</v>
      </c>
      <c r="AC492" s="172">
        <f t="shared" si="477"/>
        <v>5.3527398671236938E-2</v>
      </c>
      <c r="AD492" s="172">
        <f t="shared" si="477"/>
        <v>5.220738807953975E-2</v>
      </c>
      <c r="AE492" s="172">
        <f t="shared" si="477"/>
        <v>5.0208633296547629E-2</v>
      </c>
      <c r="AF492" s="172">
        <f t="shared" si="477"/>
        <v>5.0007804484240366E-2</v>
      </c>
      <c r="AG492" s="172">
        <f t="shared" si="477"/>
        <v>4.8015029042624786E-2</v>
      </c>
      <c r="AH492" s="172">
        <f t="shared" ref="AH492:AJ492" si="478">AH1078/AH421</f>
        <v>4.3667448539708081E-2</v>
      </c>
      <c r="AI492" s="172">
        <f t="shared" si="478"/>
        <v>4.2750563762522641E-2</v>
      </c>
      <c r="AJ492" s="172">
        <f t="shared" si="478"/>
        <v>4.4501520952937079E-2</v>
      </c>
      <c r="AK492" s="1873">
        <f t="shared" si="477"/>
        <v>5.0873458286842983E-2</v>
      </c>
      <c r="AL492" s="1873">
        <f t="shared" si="477"/>
        <v>5.4370835052835305E-2</v>
      </c>
      <c r="AM492" s="1873">
        <f t="shared" si="477"/>
        <v>5.5991849078556186E-2</v>
      </c>
      <c r="AN492" s="1873">
        <f t="shared" si="477"/>
        <v>5.6799769857261304E-2</v>
      </c>
      <c r="AO492" s="1873">
        <f t="shared" si="477"/>
        <v>5.7835345032765821E-2</v>
      </c>
      <c r="AP492" s="1873">
        <f t="shared" si="477"/>
        <v>5.8873720584219143E-2</v>
      </c>
      <c r="AQ492" s="1873">
        <f t="shared" si="477"/>
        <v>5.7692257190023029E-2</v>
      </c>
      <c r="AR492" s="1873">
        <f t="shared" si="477"/>
        <v>5.7763770472279909E-2</v>
      </c>
      <c r="AS492" s="172">
        <f t="shared" si="477"/>
        <v>5.6469846812892542E-2</v>
      </c>
      <c r="AT492" s="2645">
        <f t="shared" si="477"/>
        <v>5.5630257163580867E-2</v>
      </c>
    </row>
    <row r="493" spans="4:46">
      <c r="D493" s="153" t="s">
        <v>2347</v>
      </c>
      <c r="E493" s="153"/>
      <c r="F493" s="153"/>
      <c r="G493" s="153"/>
      <c r="H493" s="153"/>
      <c r="I493" s="153"/>
      <c r="J493" s="153"/>
      <c r="K493" s="153"/>
      <c r="L493" s="153"/>
      <c r="M493" s="153"/>
      <c r="N493" s="153"/>
      <c r="O493" s="153"/>
      <c r="P493" s="153"/>
      <c r="Q493" s="153"/>
      <c r="R493" s="153"/>
      <c r="S493" s="153"/>
      <c r="T493" s="153"/>
      <c r="U493" s="153"/>
      <c r="V493" s="172">
        <f t="shared" ref="V493:AG493" si="479">V1078/V423</f>
        <v>0</v>
      </c>
      <c r="W493" s="172">
        <f t="shared" si="479"/>
        <v>0</v>
      </c>
      <c r="X493" s="172">
        <f t="shared" si="479"/>
        <v>0</v>
      </c>
      <c r="Y493" s="172">
        <f t="shared" si="479"/>
        <v>0.1163660661719941</v>
      </c>
      <c r="Z493" s="172">
        <f t="shared" si="479"/>
        <v>0.17387604223313885</v>
      </c>
      <c r="AA493" s="172">
        <f t="shared" si="479"/>
        <v>0.11861130273051704</v>
      </c>
      <c r="AB493" s="172">
        <f t="shared" si="479"/>
        <v>0.12659637933087403</v>
      </c>
      <c r="AC493" s="172">
        <f t="shared" si="479"/>
        <v>0.1285849964581561</v>
      </c>
      <c r="AD493" s="172">
        <f t="shared" si="479"/>
        <v>0.11641940229285794</v>
      </c>
      <c r="AE493" s="172">
        <f t="shared" si="479"/>
        <v>0.11259581196832011</v>
      </c>
      <c r="AF493" s="172">
        <f t="shared" si="479"/>
        <v>0.10862849276085129</v>
      </c>
      <c r="AG493" s="172">
        <f t="shared" si="479"/>
        <v>9.5532656855054868E-2</v>
      </c>
      <c r="AH493" s="172">
        <f t="shared" ref="AH493:AJ493" si="480">AH1078/AH423</f>
        <v>8.934601314249932E-2</v>
      </c>
      <c r="AI493" s="172">
        <f t="shared" si="480"/>
        <v>8.5102031750082505E-2</v>
      </c>
      <c r="AJ493" s="172">
        <f t="shared" si="480"/>
        <v>8.308179637651926E-2</v>
      </c>
      <c r="AK493" s="1873">
        <f t="shared" ref="AK493:AM493" si="481">AJ493*AK494</f>
        <v>8.308179637651926E-2</v>
      </c>
      <c r="AL493" s="1873">
        <f t="shared" si="481"/>
        <v>8.308179637651926E-2</v>
      </c>
      <c r="AM493" s="1873">
        <f t="shared" si="481"/>
        <v>8.308179637651926E-2</v>
      </c>
      <c r="AN493" s="1873">
        <f t="shared" ref="AN493" si="482">AM493*AN494</f>
        <v>8.308179637651926E-2</v>
      </c>
      <c r="AO493" s="1873">
        <f t="shared" ref="AO493" si="483">AN493*AO494</f>
        <v>8.308179637651926E-2</v>
      </c>
      <c r="AP493" s="1873">
        <f t="shared" ref="AP493" si="484">AO493*AP494</f>
        <v>8.308179637651926E-2</v>
      </c>
      <c r="AQ493" s="1873">
        <f t="shared" ref="AQ493" si="485">AP493*AQ494</f>
        <v>8.308179637651926E-2</v>
      </c>
      <c r="AR493" s="1873">
        <f t="shared" ref="AR493" si="486">AQ493*AR494</f>
        <v>8.308179637651926E-2</v>
      </c>
      <c r="AS493" s="172">
        <f t="shared" ref="AS493" si="487">AR493*AS494</f>
        <v>8.308179637651926E-2</v>
      </c>
      <c r="AT493" s="2645">
        <f t="shared" ref="AT493" si="488">AS493*AT494</f>
        <v>8.308179637651926E-2</v>
      </c>
    </row>
    <row r="494" spans="4:46">
      <c r="D494" s="156" t="s">
        <v>2350</v>
      </c>
      <c r="E494" s="153"/>
      <c r="F494" s="153"/>
      <c r="G494" s="153"/>
      <c r="H494" s="153"/>
      <c r="I494" s="153"/>
      <c r="J494" s="153"/>
      <c r="K494" s="153"/>
      <c r="L494" s="153"/>
      <c r="M494" s="153"/>
      <c r="N494" s="153"/>
      <c r="O494" s="153"/>
      <c r="P494" s="153"/>
      <c r="Q494" s="153"/>
      <c r="R494" s="153"/>
      <c r="S494" s="153"/>
      <c r="T494" s="153"/>
      <c r="U494" s="153"/>
      <c r="V494" s="232" t="e">
        <f t="shared" ref="V494:AG494" si="489">+V493/U493</f>
        <v>#DIV/0!</v>
      </c>
      <c r="W494" s="232" t="e">
        <f t="shared" si="489"/>
        <v>#DIV/0!</v>
      </c>
      <c r="X494" s="232" t="e">
        <f t="shared" si="489"/>
        <v>#DIV/0!</v>
      </c>
      <c r="Y494" s="232" t="e">
        <f t="shared" si="489"/>
        <v>#DIV/0!</v>
      </c>
      <c r="Z494" s="232">
        <f t="shared" si="489"/>
        <v>1.4942160369685653</v>
      </c>
      <c r="AA494" s="232">
        <f t="shared" si="489"/>
        <v>0.68216012515099123</v>
      </c>
      <c r="AB494" s="232">
        <f t="shared" si="489"/>
        <v>1.0673213801428263</v>
      </c>
      <c r="AC494" s="232">
        <f t="shared" si="489"/>
        <v>1.0157083254496924</v>
      </c>
      <c r="AD494" s="232">
        <f t="shared" si="489"/>
        <v>0.90538869619009499</v>
      </c>
      <c r="AE494" s="232">
        <f t="shared" si="489"/>
        <v>0.96715676039188536</v>
      </c>
      <c r="AF494" s="232">
        <f t="shared" si="489"/>
        <v>0.96476494873019736</v>
      </c>
      <c r="AG494" s="232">
        <f t="shared" si="489"/>
        <v>0.8794438220308618</v>
      </c>
      <c r="AH494" s="232">
        <f t="shared" ref="AH494" si="490">+AH493/AG493</f>
        <v>0.9352405353706208</v>
      </c>
      <c r="AI494" s="232">
        <f t="shared" ref="AI494" si="491">+AI493/AH493</f>
        <v>0.95249948774269289</v>
      </c>
      <c r="AJ494" s="232">
        <f t="shared" ref="AJ494" si="492">+AJ493/AI493</f>
        <v>0.97626102065934184</v>
      </c>
      <c r="AK494" s="1390">
        <v>1</v>
      </c>
      <c r="AL494" s="1390">
        <v>1</v>
      </c>
      <c r="AM494" s="1390">
        <v>1</v>
      </c>
      <c r="AN494" s="1390">
        <v>1</v>
      </c>
      <c r="AO494" s="1390">
        <v>1</v>
      </c>
      <c r="AP494" s="1390">
        <v>1</v>
      </c>
      <c r="AQ494" s="1390">
        <v>1</v>
      </c>
      <c r="AR494" s="1390">
        <v>1</v>
      </c>
      <c r="AS494" s="1390">
        <v>1</v>
      </c>
      <c r="AT494" s="2653">
        <v>1</v>
      </c>
    </row>
    <row r="495" spans="4:46">
      <c r="D495" s="156"/>
      <c r="E495" s="153"/>
      <c r="F495" s="153"/>
      <c r="G495" s="153"/>
      <c r="H495" s="153"/>
      <c r="I495" s="153"/>
      <c r="J495" s="153"/>
      <c r="K495" s="153"/>
      <c r="L495" s="153"/>
      <c r="M495" s="153"/>
      <c r="N495" s="153"/>
      <c r="O495" s="153"/>
      <c r="P495" s="153"/>
      <c r="Q495" s="153"/>
      <c r="R495" s="153"/>
      <c r="S495" s="153"/>
      <c r="T495" s="153"/>
      <c r="U495" s="153"/>
      <c r="V495" s="172"/>
      <c r="W495" s="172"/>
      <c r="X495" s="172"/>
      <c r="Y495" s="172"/>
      <c r="Z495" s="172"/>
      <c r="AA495" s="172"/>
      <c r="AB495" s="172"/>
      <c r="AC495" s="172"/>
      <c r="AD495" s="172"/>
      <c r="AE495" s="172"/>
      <c r="AF495" s="172"/>
      <c r="AG495" s="172"/>
      <c r="AH495" s="172"/>
      <c r="AI495" s="172"/>
      <c r="AJ495" s="172"/>
      <c r="AK495" s="172"/>
      <c r="AL495" s="172"/>
      <c r="AM495" s="172"/>
      <c r="AN495" s="172"/>
      <c r="AO495" s="172"/>
      <c r="AP495" s="172"/>
      <c r="AQ495" s="172"/>
      <c r="AR495" s="172"/>
      <c r="AS495" s="172"/>
      <c r="AT495" s="2645"/>
    </row>
    <row r="496" spans="4:46">
      <c r="D496" s="168" t="s">
        <v>3108</v>
      </c>
      <c r="E496" s="153"/>
      <c r="F496" s="153"/>
      <c r="G496" s="153"/>
      <c r="H496" s="153"/>
      <c r="I496" s="153"/>
      <c r="J496" s="153"/>
      <c r="K496" s="153"/>
      <c r="L496" s="153"/>
      <c r="M496" s="153"/>
      <c r="N496" s="153"/>
      <c r="O496" s="153"/>
      <c r="P496" s="153"/>
      <c r="Q496" s="153"/>
      <c r="R496" s="153"/>
      <c r="S496" s="153"/>
      <c r="T496" s="153"/>
      <c r="U496" s="153"/>
      <c r="V496" s="1413">
        <f t="shared" ref="V496:AT496" si="493">V1079/V421</f>
        <v>0</v>
      </c>
      <c r="W496" s="1413">
        <f t="shared" si="493"/>
        <v>0</v>
      </c>
      <c r="X496" s="1413">
        <f t="shared" si="493"/>
        <v>0</v>
      </c>
      <c r="Y496" s="1413">
        <f t="shared" si="493"/>
        <v>4.8551534437160128E-2</v>
      </c>
      <c r="Z496" s="1413">
        <f t="shared" si="493"/>
        <v>4.8691014380315374E-2</v>
      </c>
      <c r="AA496" s="1413">
        <f t="shared" si="493"/>
        <v>4.8602472740246913E-2</v>
      </c>
      <c r="AB496" s="1413">
        <f t="shared" si="493"/>
        <v>5.091210437739295E-2</v>
      </c>
      <c r="AC496" s="1413">
        <f t="shared" si="493"/>
        <v>5.3527398671236938E-2</v>
      </c>
      <c r="AD496" s="1413">
        <f t="shared" si="493"/>
        <v>5.220738807953975E-2</v>
      </c>
      <c r="AE496" s="1413">
        <f t="shared" si="493"/>
        <v>5.0208633296547629E-2</v>
      </c>
      <c r="AF496" s="1413">
        <f t="shared" si="493"/>
        <v>5.0007804484240366E-2</v>
      </c>
      <c r="AG496" s="1413">
        <f t="shared" si="493"/>
        <v>4.8015029042624786E-2</v>
      </c>
      <c r="AH496" s="1413">
        <f t="shared" ref="AH496:AJ496" si="494">AH1079/AH421</f>
        <v>4.3652521308238899E-2</v>
      </c>
      <c r="AI496" s="1413">
        <f t="shared" si="494"/>
        <v>4.2742208499712615E-2</v>
      </c>
      <c r="AJ496" s="1413">
        <f t="shared" si="494"/>
        <v>4.4493416796234621E-2</v>
      </c>
      <c r="AK496" s="1413">
        <f t="shared" si="493"/>
        <v>5.0873458286842983E-2</v>
      </c>
      <c r="AL496" s="1413">
        <f t="shared" si="493"/>
        <v>5.4370835052835305E-2</v>
      </c>
      <c r="AM496" s="1413">
        <f t="shared" si="493"/>
        <v>5.5991849078556186E-2</v>
      </c>
      <c r="AN496" s="1413">
        <f t="shared" si="493"/>
        <v>5.6799769857261304E-2</v>
      </c>
      <c r="AO496" s="1413">
        <f t="shared" si="493"/>
        <v>5.7835345032765821E-2</v>
      </c>
      <c r="AP496" s="1413">
        <f t="shared" si="493"/>
        <v>5.8873720584219143E-2</v>
      </c>
      <c r="AQ496" s="1413">
        <f t="shared" si="493"/>
        <v>5.7692257190023029E-2</v>
      </c>
      <c r="AR496" s="1413">
        <f t="shared" si="493"/>
        <v>5.7763770472279909E-2</v>
      </c>
      <c r="AS496" s="1413">
        <f t="shared" si="493"/>
        <v>5.6469846812892542E-2</v>
      </c>
      <c r="AT496" s="2658">
        <f t="shared" si="493"/>
        <v>5.5630257163580867E-2</v>
      </c>
    </row>
    <row r="497" spans="1:92">
      <c r="D497" s="153" t="s">
        <v>2369</v>
      </c>
      <c r="E497" s="153"/>
      <c r="F497" s="153"/>
      <c r="G497" s="153"/>
      <c r="H497" s="153"/>
      <c r="I497" s="153"/>
      <c r="J497" s="153"/>
      <c r="K497" s="153"/>
      <c r="L497" s="153"/>
      <c r="M497" s="153"/>
      <c r="N497" s="153"/>
      <c r="O497" s="153"/>
      <c r="P497" s="153"/>
      <c r="Q497" s="153"/>
      <c r="R497" s="153"/>
      <c r="S497" s="153"/>
      <c r="T497" s="153"/>
      <c r="U497" s="153"/>
      <c r="V497" s="1413">
        <f t="shared" ref="V497:AG497" si="495">V1079/V425</f>
        <v>0</v>
      </c>
      <c r="W497" s="1413">
        <f t="shared" si="495"/>
        <v>0</v>
      </c>
      <c r="X497" s="1413">
        <f t="shared" si="495"/>
        <v>0</v>
      </c>
      <c r="Y497" s="1413">
        <f t="shared" si="495"/>
        <v>3.0872123016413462E-2</v>
      </c>
      <c r="Z497" s="1413">
        <f t="shared" si="495"/>
        <v>3.0989076494959737E-2</v>
      </c>
      <c r="AA497" s="1413">
        <f t="shared" si="495"/>
        <v>3.2683458081181949E-2</v>
      </c>
      <c r="AB497" s="1413">
        <f t="shared" si="495"/>
        <v>3.6726594396717785E-2</v>
      </c>
      <c r="AC497" s="1413">
        <f t="shared" si="495"/>
        <v>3.9409236467707477E-2</v>
      </c>
      <c r="AD497" s="1413">
        <f t="shared" si="495"/>
        <v>3.8706533088034213E-2</v>
      </c>
      <c r="AE497" s="1413">
        <f t="shared" si="495"/>
        <v>4.2020133024890119E-2</v>
      </c>
      <c r="AF497" s="1413">
        <f t="shared" si="495"/>
        <v>4.2042749006747294E-2</v>
      </c>
      <c r="AG497" s="1413">
        <f t="shared" si="495"/>
        <v>4.3273664926735164E-2</v>
      </c>
      <c r="AH497" s="1413">
        <f t="shared" ref="AH497:AI497" si="496">AH1079/AH425</f>
        <v>4.6329836078189517E-2</v>
      </c>
      <c r="AI497" s="1413">
        <f t="shared" si="496"/>
        <v>4.967486134146374E-2</v>
      </c>
      <c r="AJ497" s="1413">
        <f>AJ1079/AJ425</f>
        <v>5.5972211665144669E-2</v>
      </c>
      <c r="AK497" s="1413">
        <f t="shared" ref="AK497:AM497" si="497">AJ497*AK498</f>
        <v>6.660480525685733E-2</v>
      </c>
      <c r="AL497" s="1413">
        <f>AK497*AL498</f>
        <v>7.8660418807736485E-2</v>
      </c>
      <c r="AM497" s="1413">
        <f t="shared" si="497"/>
        <v>8.7868106153234302E-2</v>
      </c>
      <c r="AN497" s="1413">
        <f t="shared" ref="AN497" si="498">AM497*AN498</f>
        <v>9.7225689659754547E-2</v>
      </c>
      <c r="AO497" s="1413">
        <f t="shared" ref="AO497" si="499">AN497*AO498</f>
        <v>0.10310629327139453</v>
      </c>
      <c r="AP497" s="1413">
        <f t="shared" ref="AP497" si="500">AO497*AP498</f>
        <v>0.1151623607168606</v>
      </c>
      <c r="AQ497" s="1413">
        <f t="shared" ref="AQ497" si="501">AP497*AQ498</f>
        <v>0.12368960504925504</v>
      </c>
      <c r="AR497" s="1413">
        <f t="shared" ref="AR497" si="502">AQ497*AR498</f>
        <v>0.13284715333852942</v>
      </c>
      <c r="AS497" s="1413">
        <f t="shared" ref="AS497" si="503">AR497*AS498</f>
        <v>0.14268269466235994</v>
      </c>
      <c r="AT497" s="2658">
        <f t="shared" ref="AT497" si="504">AS497*AT498</f>
        <v>0.18178296420011633</v>
      </c>
    </row>
    <row r="498" spans="1:92">
      <c r="D498" s="156" t="s">
        <v>2371</v>
      </c>
      <c r="E498" s="153"/>
      <c r="F498" s="153"/>
      <c r="G498" s="153"/>
      <c r="H498" s="153"/>
      <c r="I498" s="153"/>
      <c r="J498" s="153"/>
      <c r="K498" s="153"/>
      <c r="L498" s="153"/>
      <c r="M498" s="153"/>
      <c r="N498" s="153"/>
      <c r="O498" s="153"/>
      <c r="P498" s="153"/>
      <c r="Q498" s="153"/>
      <c r="R498" s="153"/>
      <c r="S498" s="153"/>
      <c r="T498" s="153"/>
      <c r="U498" s="153"/>
      <c r="V498" s="232" t="e">
        <f t="shared" ref="V498:AG498" si="505">+V497/U497</f>
        <v>#DIV/0!</v>
      </c>
      <c r="W498" s="232" t="e">
        <f t="shared" si="505"/>
        <v>#DIV/0!</v>
      </c>
      <c r="X498" s="232" t="e">
        <f t="shared" si="505"/>
        <v>#DIV/0!</v>
      </c>
      <c r="Y498" s="232" t="e">
        <f t="shared" si="505"/>
        <v>#DIV/0!</v>
      </c>
      <c r="Z498" s="232">
        <f t="shared" si="505"/>
        <v>1.0037883199183968</v>
      </c>
      <c r="AA498" s="232">
        <f t="shared" si="505"/>
        <v>1.0546767370269261</v>
      </c>
      <c r="AB498" s="232">
        <f t="shared" si="505"/>
        <v>1.1237058913868034</v>
      </c>
      <c r="AC498" s="232">
        <f t="shared" si="505"/>
        <v>1.0730435836770489</v>
      </c>
      <c r="AD498" s="232">
        <f t="shared" si="505"/>
        <v>0.98216906891233302</v>
      </c>
      <c r="AE498" s="232">
        <f t="shared" si="505"/>
        <v>1.0856082855397937</v>
      </c>
      <c r="AF498" s="232">
        <f t="shared" si="505"/>
        <v>1.0005382177596578</v>
      </c>
      <c r="AG498" s="232">
        <f t="shared" si="505"/>
        <v>1.0292777220583347</v>
      </c>
      <c r="AH498" s="232">
        <f t="shared" ref="AH498" si="506">+AH497/AG497</f>
        <v>1.0706242735998586</v>
      </c>
      <c r="AI498" s="232">
        <f t="shared" ref="AI498" si="507">+AI497/AH497</f>
        <v>1.072200239552519</v>
      </c>
      <c r="AJ498" s="232">
        <f>+AJ497/AI497</f>
        <v>1.1267713719499508</v>
      </c>
      <c r="AK498" s="1390">
        <v>1.1899620057060181</v>
      </c>
      <c r="AL498" s="1390">
        <v>1.1810021589941961</v>
      </c>
      <c r="AM498" s="1390">
        <v>1.1170561698635681</v>
      </c>
      <c r="AN498" s="1390">
        <v>1.1064957914331446</v>
      </c>
      <c r="AO498" s="1390">
        <v>1.0604840514088345</v>
      </c>
      <c r="AP498" s="1390">
        <v>1.1169285313529049</v>
      </c>
      <c r="AQ498" s="1390">
        <v>1.0740454110120199</v>
      </c>
      <c r="AR498" s="1390">
        <v>1.0740365230014901</v>
      </c>
      <c r="AS498" s="1390">
        <v>1.0740365230014901</v>
      </c>
      <c r="AT498" s="1390">
        <v>1.2740365230014901</v>
      </c>
    </row>
    <row r="499" spans="1:92">
      <c r="D499" s="156" t="s">
        <v>3110</v>
      </c>
      <c r="E499" s="176" t="s">
        <v>3109</v>
      </c>
      <c r="F499" s="153"/>
      <c r="G499" s="153"/>
      <c r="H499" s="153"/>
      <c r="I499" s="153"/>
      <c r="J499" s="153"/>
      <c r="K499" s="153"/>
      <c r="L499" s="153"/>
      <c r="M499" s="153"/>
      <c r="N499" s="153"/>
      <c r="O499" s="153"/>
      <c r="P499" s="232">
        <v>25.958434333500005</v>
      </c>
      <c r="Q499" s="232">
        <v>27.541747262799998</v>
      </c>
      <c r="R499" s="232">
        <v>33.640732064700003</v>
      </c>
      <c r="S499" s="232">
        <v>41.80451915171016</v>
      </c>
      <c r="T499" s="232">
        <v>56.942232134760914</v>
      </c>
      <c r="U499" s="232">
        <v>51.707134696499999</v>
      </c>
      <c r="V499" s="232">
        <v>52.384905286200002</v>
      </c>
      <c r="W499" s="232">
        <v>68.826393269100009</v>
      </c>
      <c r="X499" s="232">
        <v>75.831203879100002</v>
      </c>
      <c r="Y499" s="232">
        <v>90.556791256799997</v>
      </c>
      <c r="Z499" s="232">
        <v>99.770691104999983</v>
      </c>
      <c r="AA499" s="232">
        <v>109.0940597974967</v>
      </c>
      <c r="AB499" s="232">
        <v>124.06875504760001</v>
      </c>
      <c r="AC499" s="232">
        <v>130.79726678519998</v>
      </c>
      <c r="AD499" s="232">
        <v>150.84872275807999</v>
      </c>
      <c r="AE499" s="232">
        <v>149.61858961419998</v>
      </c>
      <c r="AF499" s="232">
        <v>163.81196480119999</v>
      </c>
      <c r="AG499" s="232">
        <v>184.96896510985832</v>
      </c>
      <c r="AH499" s="592">
        <v>220.75580991684987</v>
      </c>
      <c r="AI499" s="592">
        <v>250.106498034688</v>
      </c>
      <c r="AJ499" s="592">
        <v>284.01479453761317</v>
      </c>
      <c r="AK499" s="592">
        <v>332.60088186264056</v>
      </c>
      <c r="AL499" s="592">
        <v>377.60088186264056</v>
      </c>
      <c r="AM499" s="592">
        <v>0</v>
      </c>
      <c r="AN499" s="592">
        <v>0</v>
      </c>
      <c r="AO499" s="592">
        <v>0</v>
      </c>
      <c r="AP499" s="592">
        <v>1</v>
      </c>
      <c r="AQ499" s="592">
        <v>2</v>
      </c>
      <c r="AR499" s="592">
        <v>3</v>
      </c>
      <c r="AS499" s="592">
        <v>4</v>
      </c>
      <c r="AT499" s="2659">
        <v>5</v>
      </c>
    </row>
    <row r="500" spans="1:92">
      <c r="D500" s="156" t="s">
        <v>804</v>
      </c>
      <c r="E500" s="153"/>
      <c r="F500" s="153"/>
      <c r="G500" s="153"/>
      <c r="H500" s="153"/>
      <c r="I500" s="153"/>
      <c r="J500" s="153"/>
      <c r="K500" s="153"/>
      <c r="L500" s="153"/>
      <c r="M500" s="153"/>
      <c r="N500" s="153"/>
      <c r="O500" s="153"/>
      <c r="P500" s="153">
        <v>7.6334944059999996</v>
      </c>
      <c r="Q500" s="153">
        <v>8.8330258990000008</v>
      </c>
      <c r="R500" s="153">
        <v>8.7751200350000005</v>
      </c>
      <c r="S500" s="153">
        <v>5.3642594690000003</v>
      </c>
      <c r="T500" s="153">
        <v>15.577398727799999</v>
      </c>
      <c r="U500" s="153">
        <v>24.572148364299998</v>
      </c>
      <c r="V500" s="232">
        <v>49.961983223600001</v>
      </c>
      <c r="W500" s="232">
        <v>43.035833838799988</v>
      </c>
      <c r="X500" s="232">
        <v>40.547804104199997</v>
      </c>
      <c r="Y500" s="232">
        <v>43.976230896800004</v>
      </c>
      <c r="Z500" s="232">
        <v>47.3288579349</v>
      </c>
      <c r="AA500" s="232">
        <v>50.127208389000003</v>
      </c>
      <c r="AB500" s="232">
        <v>49.161149705</v>
      </c>
      <c r="AC500" s="232">
        <v>52.827136257400326</v>
      </c>
      <c r="AD500" s="232">
        <v>57.800472857066289</v>
      </c>
      <c r="AE500" s="232">
        <v>54.344695545999997</v>
      </c>
      <c r="AF500" s="232">
        <v>58.580782839555837</v>
      </c>
      <c r="AG500" s="232">
        <v>67.249351283942914</v>
      </c>
      <c r="AH500" s="592">
        <v>81.702529438082891</v>
      </c>
      <c r="AI500" s="592">
        <v>83.207012060862795</v>
      </c>
      <c r="AJ500" s="592">
        <v>86.027738296946566</v>
      </c>
      <c r="AK500" s="592">
        <v>88.562752641968373</v>
      </c>
      <c r="AL500" s="592">
        <v>94.435611875135379</v>
      </c>
      <c r="AM500" s="592">
        <f>+AM619*(1-AM620)</f>
        <v>88.270840393193509</v>
      </c>
      <c r="AN500" s="592">
        <f t="shared" ref="AN500" si="508">+AN619*(1-AN620)</f>
        <v>93.070303210622455</v>
      </c>
      <c r="AO500" s="592">
        <f>+AO619*(1-AO620)</f>
        <v>98.302077613067482</v>
      </c>
      <c r="AP500" s="592">
        <f t="shared" ref="AP500:AT500" si="509">+AP619*(1-AP620)</f>
        <v>0</v>
      </c>
      <c r="AQ500" s="592">
        <f t="shared" si="509"/>
        <v>0</v>
      </c>
      <c r="AR500" s="592">
        <f t="shared" si="509"/>
        <v>0</v>
      </c>
      <c r="AS500" s="592">
        <f t="shared" si="509"/>
        <v>0</v>
      </c>
      <c r="AT500" s="2659">
        <f t="shared" si="509"/>
        <v>0</v>
      </c>
    </row>
    <row r="501" spans="1:92">
      <c r="D501" s="156"/>
      <c r="E501" s="153"/>
      <c r="F501" s="153"/>
      <c r="G501" s="153"/>
      <c r="H501" s="153"/>
      <c r="I501" s="153"/>
      <c r="J501" s="153"/>
      <c r="K501" s="153"/>
      <c r="L501" s="153"/>
      <c r="M501" s="153"/>
      <c r="N501" s="153"/>
      <c r="O501" s="153"/>
      <c r="P501" s="153"/>
      <c r="Q501" s="153"/>
      <c r="R501" s="153"/>
      <c r="S501" s="153"/>
      <c r="T501" s="153"/>
      <c r="U501" s="153"/>
      <c r="V501" s="232"/>
      <c r="W501" s="232"/>
      <c r="X501" s="232"/>
      <c r="Y501" s="232"/>
      <c r="Z501" s="232"/>
      <c r="AA501" s="232"/>
      <c r="AB501" s="232"/>
      <c r="AC501" s="232"/>
      <c r="AD501" s="232"/>
      <c r="AE501" s="232"/>
      <c r="AF501" s="232"/>
      <c r="AG501" s="232"/>
      <c r="AH501" s="592"/>
      <c r="AI501" s="592"/>
      <c r="AJ501" s="592"/>
      <c r="AK501" s="592"/>
      <c r="AL501" s="592"/>
      <c r="AM501" s="592"/>
      <c r="AN501" s="592"/>
      <c r="AO501" s="592"/>
      <c r="AP501" s="592"/>
      <c r="AQ501" s="592"/>
      <c r="AR501" s="592"/>
      <c r="AS501" s="592"/>
      <c r="AT501" s="2659"/>
    </row>
    <row r="502" spans="1:92" s="1391" customFormat="1">
      <c r="A502" s="2104"/>
      <c r="B502" s="2105"/>
      <c r="C502" s="2105"/>
      <c r="D502" s="2111" t="s">
        <v>3793</v>
      </c>
      <c r="E502" s="1662"/>
      <c r="F502" s="1662"/>
      <c r="G502" s="1662"/>
      <c r="H502" s="1662"/>
      <c r="I502" s="1662"/>
      <c r="J502" s="1662"/>
      <c r="K502" s="1662"/>
      <c r="L502" s="1662"/>
      <c r="M502" s="1662"/>
      <c r="N502" s="1662"/>
      <c r="O502" s="1662"/>
      <c r="P502" s="1662"/>
      <c r="Q502" s="1662"/>
      <c r="R502" s="1662"/>
      <c r="S502" s="1662"/>
      <c r="T502" s="1662"/>
      <c r="U502" s="1662"/>
      <c r="V502" s="2156"/>
      <c r="W502" s="2156"/>
      <c r="X502" s="2156"/>
      <c r="Y502" s="2156"/>
      <c r="Z502" s="2156"/>
      <c r="AA502" s="2156"/>
      <c r="AB502" s="2156"/>
      <c r="AC502" s="2156"/>
      <c r="AD502" s="2156"/>
      <c r="AE502" s="2156"/>
      <c r="AF502" s="1007">
        <f t="shared" ref="AF502:AO502" si="510">AF1080/AF421</f>
        <v>0</v>
      </c>
      <c r="AG502" s="1007">
        <f t="shared" si="510"/>
        <v>0</v>
      </c>
      <c r="AH502" s="1007">
        <f t="shared" si="510"/>
        <v>1.3789649926464557E-2</v>
      </c>
      <c r="AI502" s="1007">
        <f t="shared" si="510"/>
        <v>1.2887691956166585E-2</v>
      </c>
      <c r="AJ502" s="1007">
        <f t="shared" ref="AJ502" si="511">AJ1080/AJ421</f>
        <v>1.370723334830851E-2</v>
      </c>
      <c r="AK502" s="1007">
        <f t="shared" si="510"/>
        <v>1.4449187841648923E-2</v>
      </c>
      <c r="AL502" s="1007">
        <f t="shared" si="510"/>
        <v>1.511048394035351E-2</v>
      </c>
      <c r="AM502" s="1007">
        <f t="shared" si="510"/>
        <v>1.6067732421650965E-2</v>
      </c>
      <c r="AN502" s="1007">
        <f t="shared" si="510"/>
        <v>1.7015806602487197E-2</v>
      </c>
      <c r="AO502" s="1007">
        <f t="shared" si="510"/>
        <v>1.7985240187304956E-2</v>
      </c>
      <c r="AP502" s="1007">
        <f t="shared" ref="AP502:AT502" si="512">AP1080/AP421</f>
        <v>1.7542634561299394E-2</v>
      </c>
      <c r="AQ502" s="1007">
        <f t="shared" si="512"/>
        <v>1.6339264075269911E-2</v>
      </c>
      <c r="AR502" s="1007">
        <f t="shared" si="512"/>
        <v>1.5486715351532867E-2</v>
      </c>
      <c r="AS502" s="1007">
        <f t="shared" si="512"/>
        <v>1.464299277867327E-2</v>
      </c>
      <c r="AT502" s="1007">
        <f t="shared" si="512"/>
        <v>1.2025789849759445E-2</v>
      </c>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row>
    <row r="503" spans="1:92" s="1391" customFormat="1">
      <c r="A503" s="2104"/>
      <c r="B503" s="2105"/>
      <c r="C503" s="2105"/>
      <c r="D503" s="2111" t="s">
        <v>3817</v>
      </c>
      <c r="E503" s="1662"/>
      <c r="F503" s="1662"/>
      <c r="G503" s="1662"/>
      <c r="H503" s="1662"/>
      <c r="I503" s="1662"/>
      <c r="J503" s="1662"/>
      <c r="K503" s="1662"/>
      <c r="L503" s="1662"/>
      <c r="M503" s="1662"/>
      <c r="N503" s="1662"/>
      <c r="O503" s="1662"/>
      <c r="P503" s="1662"/>
      <c r="Q503" s="1662"/>
      <c r="R503" s="1662"/>
      <c r="S503" s="1662"/>
      <c r="T503" s="1662"/>
      <c r="U503" s="1662"/>
      <c r="V503" s="2156"/>
      <c r="W503" s="2156"/>
      <c r="X503" s="2156"/>
      <c r="Y503" s="2156"/>
      <c r="Z503" s="2156"/>
      <c r="AA503" s="2156"/>
      <c r="AB503" s="2156"/>
      <c r="AC503" s="2156"/>
      <c r="AD503" s="2156"/>
      <c r="AE503" s="2156"/>
      <c r="AF503" s="1007">
        <f>AF1080/(((AE247+AE248+AF247+AF248)/2)*AF259/1000)</f>
        <v>0</v>
      </c>
      <c r="AG503" s="1007">
        <f>AG1080/(((AF247+AF248+AG247+AG248)/2)*AG259/1000)</f>
        <v>0</v>
      </c>
      <c r="AH503" s="1007">
        <f>AH1080/(((AG247+AG248+AH247+AH248)/2)*AH259/1000)</f>
        <v>0.1078160562872971</v>
      </c>
      <c r="AI503" s="2148">
        <f>AI1080/(((AH247+AH248+AI247+AI248)/2)*AI259/1000)</f>
        <v>9.6702565265044227E-2</v>
      </c>
      <c r="AJ503" s="2148">
        <f>AJ1080/(((AI247+AI248+AJ247+AJ248)/2)*AJ259/1000)</f>
        <v>0.1032771620535811</v>
      </c>
      <c r="AK503" s="2148">
        <f>AJ503*AK504</f>
        <v>0.11502836937197973</v>
      </c>
      <c r="AL503" s="2148">
        <f t="shared" ref="AL503:AM503" si="513">AK503*AL504</f>
        <v>0.12811666681460487</v>
      </c>
      <c r="AM503" s="2148">
        <f t="shared" si="513"/>
        <v>0.14269419279173759</v>
      </c>
      <c r="AN503" s="2148">
        <f>AM503*AN504</f>
        <v>0.15893039651078728</v>
      </c>
      <c r="AO503" s="2148">
        <f t="shared" ref="AO503" si="514">AN503*AO504</f>
        <v>0.177014007654407</v>
      </c>
      <c r="AP503" s="2148">
        <f t="shared" ref="AP503" si="515">AO503*AP504</f>
        <v>0.177014007654407</v>
      </c>
      <c r="AQ503" s="2148">
        <f t="shared" ref="AQ503" si="516">AP503*AQ504</f>
        <v>0.177014007654407</v>
      </c>
      <c r="AR503" s="2148">
        <f t="shared" ref="AR503" si="517">AQ503*AR504</f>
        <v>0.177014007654407</v>
      </c>
      <c r="AS503" s="2148">
        <f t="shared" ref="AS503" si="518">AR503*AS504</f>
        <v>0.177014007654407</v>
      </c>
      <c r="AT503" s="2148">
        <f t="shared" ref="AT503" si="519">AS503*AT504</f>
        <v>0.177014007654407</v>
      </c>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row>
    <row r="504" spans="1:92" s="1391" customFormat="1">
      <c r="A504" s="2104"/>
      <c r="B504" s="2105"/>
      <c r="C504" s="2105"/>
      <c r="D504" s="2111" t="s">
        <v>3818</v>
      </c>
      <c r="E504" s="1662"/>
      <c r="F504" s="1662"/>
      <c r="G504" s="1662"/>
      <c r="H504" s="1662"/>
      <c r="I504" s="1662"/>
      <c r="J504" s="1662"/>
      <c r="K504" s="1662"/>
      <c r="L504" s="1662"/>
      <c r="M504" s="1662"/>
      <c r="N504" s="1662"/>
      <c r="O504" s="1662"/>
      <c r="P504" s="1662"/>
      <c r="Q504" s="1662"/>
      <c r="R504" s="1662"/>
      <c r="S504" s="1662"/>
      <c r="T504" s="1662"/>
      <c r="U504" s="1662"/>
      <c r="V504" s="2156"/>
      <c r="W504" s="2156"/>
      <c r="X504" s="2156"/>
      <c r="Y504" s="2156"/>
      <c r="Z504" s="2156"/>
      <c r="AA504" s="2156"/>
      <c r="AB504" s="2156"/>
      <c r="AC504" s="2156"/>
      <c r="AD504" s="2156"/>
      <c r="AE504" s="2156"/>
      <c r="AF504" s="2156"/>
      <c r="AG504" s="2156"/>
      <c r="AH504" s="1007" t="e">
        <f>AH503/AG503</f>
        <v>#DIV/0!</v>
      </c>
      <c r="AI504" s="1007">
        <f>AI503/AH503</f>
        <v>0.89692174426563342</v>
      </c>
      <c r="AJ504" s="1007">
        <f>AJ503/AI503</f>
        <v>1.0679878219416112</v>
      </c>
      <c r="AK504" s="1007">
        <v>1.1137832129072447</v>
      </c>
      <c r="AL504" s="1007">
        <v>1.1137832129072447</v>
      </c>
      <c r="AM504" s="1007">
        <v>1.1137832129072447</v>
      </c>
      <c r="AN504" s="1007">
        <v>1.1137832129072447</v>
      </c>
      <c r="AO504" s="1007">
        <v>1.1137832129072447</v>
      </c>
      <c r="AP504" s="1007">
        <v>1</v>
      </c>
      <c r="AQ504" s="1007">
        <v>1</v>
      </c>
      <c r="AR504" s="1007">
        <v>1</v>
      </c>
      <c r="AS504" s="1007">
        <v>1</v>
      </c>
      <c r="AT504" s="1007">
        <v>1</v>
      </c>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row>
    <row r="505" spans="1:92">
      <c r="D505" s="156"/>
      <c r="E505" s="153"/>
      <c r="F505" s="153"/>
      <c r="G505" s="153"/>
      <c r="H505" s="153"/>
      <c r="I505" s="153"/>
      <c r="J505" s="153"/>
      <c r="K505" s="153"/>
      <c r="L505" s="153"/>
      <c r="M505" s="153"/>
      <c r="N505" s="153"/>
      <c r="O505" s="153"/>
      <c r="P505" s="153"/>
      <c r="Q505" s="153"/>
      <c r="R505" s="153"/>
      <c r="S505" s="153"/>
      <c r="T505" s="153"/>
      <c r="U505" s="153"/>
      <c r="V505" s="232"/>
      <c r="W505" s="232"/>
      <c r="X505" s="232"/>
      <c r="Y505" s="232"/>
      <c r="Z505" s="232"/>
      <c r="AA505" s="232"/>
      <c r="AB505" s="232"/>
      <c r="AC505" s="232"/>
      <c r="AD505" s="232"/>
      <c r="AE505" s="232"/>
      <c r="AF505" s="232"/>
      <c r="AG505" s="232"/>
      <c r="AH505" s="592"/>
      <c r="AI505" s="592"/>
      <c r="AJ505" s="592"/>
      <c r="AK505" s="592"/>
      <c r="AL505" s="592"/>
      <c r="AM505" s="592"/>
      <c r="AN505" s="592"/>
      <c r="AO505" s="592"/>
      <c r="AP505" s="592"/>
      <c r="AQ505" s="592"/>
      <c r="AR505" s="592"/>
      <c r="AS505" s="592"/>
      <c r="AT505" s="2659"/>
    </row>
    <row r="506" spans="1:92" s="1391" customFormat="1">
      <c r="A506" s="2104"/>
      <c r="B506" s="2105"/>
      <c r="C506" s="2105"/>
      <c r="D506" s="2111" t="s">
        <v>3816</v>
      </c>
      <c r="E506" s="1662"/>
      <c r="F506" s="1662"/>
      <c r="G506" s="1662"/>
      <c r="H506" s="1662"/>
      <c r="I506" s="1662"/>
      <c r="J506" s="1662"/>
      <c r="K506" s="1662"/>
      <c r="L506" s="1662"/>
      <c r="M506" s="1662"/>
      <c r="N506" s="1662"/>
      <c r="O506" s="1662"/>
      <c r="P506" s="1662"/>
      <c r="Q506" s="1662"/>
      <c r="R506" s="1662"/>
      <c r="S506" s="1662"/>
      <c r="T506" s="1662"/>
      <c r="U506" s="1662"/>
      <c r="V506" s="2156"/>
      <c r="W506" s="2156"/>
      <c r="X506" s="2156"/>
      <c r="Y506" s="2156"/>
      <c r="Z506" s="2156"/>
      <c r="AA506" s="2156"/>
      <c r="AB506" s="2156"/>
      <c r="AC506" s="2156"/>
      <c r="AD506" s="2156"/>
      <c r="AE506" s="2156"/>
      <c r="AF506" s="1007">
        <f t="shared" ref="AF506:AO506" si="520">AF1082/AF421</f>
        <v>0</v>
      </c>
      <c r="AG506" s="1007">
        <f t="shared" si="520"/>
        <v>0</v>
      </c>
      <c r="AH506" s="1007">
        <f t="shared" si="520"/>
        <v>2.2943224939931135E-2</v>
      </c>
      <c r="AI506" s="1007">
        <f t="shared" si="520"/>
        <v>2.3792722020823297E-2</v>
      </c>
      <c r="AJ506" s="1007">
        <f t="shared" ref="AJ506" si="521">AJ1082/AJ421</f>
        <v>3.0786183447926111E-2</v>
      </c>
      <c r="AK506" s="1007">
        <f t="shared" si="520"/>
        <v>3.6424270445194064E-2</v>
      </c>
      <c r="AL506" s="1007">
        <f t="shared" si="520"/>
        <v>3.9260351112481794E-2</v>
      </c>
      <c r="AM506" s="1007">
        <f t="shared" si="520"/>
        <v>3.9924116656905227E-2</v>
      </c>
      <c r="AN506" s="1007">
        <f t="shared" si="520"/>
        <v>3.9783963254774103E-2</v>
      </c>
      <c r="AO506" s="1007">
        <f t="shared" si="520"/>
        <v>3.9850104845460858E-2</v>
      </c>
      <c r="AP506" s="1007">
        <f t="shared" ref="AP506:AT506" si="522">AP1082/AP421</f>
        <v>4.1331086022919745E-2</v>
      </c>
      <c r="AQ506" s="1007">
        <f t="shared" si="522"/>
        <v>4.1352993114753121E-2</v>
      </c>
      <c r="AR506" s="1007">
        <f t="shared" si="522"/>
        <v>4.2277055120747045E-2</v>
      </c>
      <c r="AS506" s="1007">
        <f t="shared" si="522"/>
        <v>4.182685403421927E-2</v>
      </c>
      <c r="AT506" s="1007">
        <f t="shared" si="522"/>
        <v>4.3604467313821421E-2</v>
      </c>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row>
    <row r="507" spans="1:92" s="1391" customFormat="1">
      <c r="A507" s="2104"/>
      <c r="B507" s="2105"/>
      <c r="C507" s="2105"/>
      <c r="D507" s="2111" t="s">
        <v>3816</v>
      </c>
      <c r="E507" s="1662"/>
      <c r="F507" s="1662"/>
      <c r="G507" s="1662"/>
      <c r="H507" s="1662"/>
      <c r="I507" s="1662"/>
      <c r="J507" s="1662"/>
      <c r="K507" s="1662"/>
      <c r="L507" s="1662"/>
      <c r="M507" s="1662"/>
      <c r="N507" s="1662"/>
      <c r="O507" s="1662"/>
      <c r="P507" s="1662"/>
      <c r="Q507" s="1662"/>
      <c r="R507" s="1662"/>
      <c r="S507" s="1662"/>
      <c r="T507" s="1662"/>
      <c r="U507" s="1662"/>
      <c r="V507" s="2156"/>
      <c r="W507" s="2156"/>
      <c r="X507" s="2156"/>
      <c r="Y507" s="2156"/>
      <c r="Z507" s="2156"/>
      <c r="AA507" s="2156"/>
      <c r="AB507" s="2156"/>
      <c r="AC507" s="2156"/>
      <c r="AD507" s="2156"/>
      <c r="AE507" s="2156"/>
      <c r="AF507" s="1007">
        <f>AF1082/AF425</f>
        <v>0</v>
      </c>
      <c r="AG507" s="1007">
        <f>AG1082/AG425</f>
        <v>0</v>
      </c>
      <c r="AH507" s="1007">
        <f>AH1082/AH425</f>
        <v>2.4350388447583637E-2</v>
      </c>
      <c r="AI507" s="2148">
        <f>AI1082/AI425</f>
        <v>2.7651827287500475E-2</v>
      </c>
      <c r="AJ507" s="2148">
        <f>AJ1082/AJ425</f>
        <v>3.8728668202778302E-2</v>
      </c>
      <c r="AK507" s="2148">
        <f t="shared" ref="AK507:AO507" si="523">AJ507*AK508</f>
        <v>4.7972859762785897E-2</v>
      </c>
      <c r="AL507" s="2148">
        <f t="shared" si="523"/>
        <v>5.6618641240770172E-2</v>
      </c>
      <c r="AM507" s="2148">
        <f t="shared" si="523"/>
        <v>6.0768681234906231E-2</v>
      </c>
      <c r="AN507" s="2148">
        <f t="shared" si="523"/>
        <v>6.4817674780527912E-2</v>
      </c>
      <c r="AO507" s="2148">
        <f t="shared" si="523"/>
        <v>6.5030170623832165E-2</v>
      </c>
      <c r="AP507" s="2148">
        <f t="shared" ref="AP507" si="524">AO507*AP508</f>
        <v>6.55478815486574E-2</v>
      </c>
      <c r="AQ507" s="2148">
        <f t="shared" ref="AQ507" si="525">AP507*AQ508</f>
        <v>6.7550812181079348E-2</v>
      </c>
      <c r="AR507" s="2148">
        <f t="shared" ref="AR507" si="526">AQ507*AR508</f>
        <v>7.0585135701825952E-2</v>
      </c>
      <c r="AS507" s="2148">
        <f t="shared" ref="AS507" si="527">AR507*AS508</f>
        <v>7.3956706634813282E-2</v>
      </c>
      <c r="AT507" s="2148">
        <f t="shared" ref="AT507" si="528">AS507*AT508</f>
        <v>7.4943602936113268E-2</v>
      </c>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row>
    <row r="508" spans="1:92" s="1391" customFormat="1">
      <c r="A508" s="2104"/>
      <c r="B508" s="2105"/>
      <c r="C508" s="2105"/>
      <c r="D508" s="2111" t="s">
        <v>3794</v>
      </c>
      <c r="E508" s="1662"/>
      <c r="F508" s="1662"/>
      <c r="G508" s="1662"/>
      <c r="H508" s="1662"/>
      <c r="I508" s="1662"/>
      <c r="J508" s="1662"/>
      <c r="K508" s="1662"/>
      <c r="L508" s="1662"/>
      <c r="M508" s="1662"/>
      <c r="N508" s="1662"/>
      <c r="O508" s="1662"/>
      <c r="P508" s="1662"/>
      <c r="Q508" s="1662"/>
      <c r="R508" s="1662"/>
      <c r="S508" s="1662"/>
      <c r="T508" s="1662"/>
      <c r="U508" s="1662"/>
      <c r="V508" s="2156"/>
      <c r="W508" s="2156"/>
      <c r="X508" s="2156"/>
      <c r="Y508" s="2156"/>
      <c r="Z508" s="2156"/>
      <c r="AA508" s="2156"/>
      <c r="AB508" s="2156"/>
      <c r="AC508" s="2156"/>
      <c r="AD508" s="2156"/>
      <c r="AE508" s="2156"/>
      <c r="AF508" s="1007" t="e">
        <f t="shared" ref="AF508:AH508" si="529">AF507/AE507</f>
        <v>#DIV/0!</v>
      </c>
      <c r="AG508" s="1007" t="e">
        <f t="shared" si="529"/>
        <v>#DIV/0!</v>
      </c>
      <c r="AH508" s="1007" t="e">
        <f t="shared" si="529"/>
        <v>#DIV/0!</v>
      </c>
      <c r="AI508" s="1007">
        <f>AI507/AH507</f>
        <v>1.1355805410260078</v>
      </c>
      <c r="AJ508" s="1007">
        <f>AJ507/AI507</f>
        <v>1.4005826016526914</v>
      </c>
      <c r="AK508" s="1007">
        <v>1.2386911812099037</v>
      </c>
      <c r="AL508" s="1007">
        <v>1.1802223490685266</v>
      </c>
      <c r="AM508" s="1007">
        <v>1.0732981206046266</v>
      </c>
      <c r="AN508" s="1007">
        <v>1.0666296102423216</v>
      </c>
      <c r="AO508" s="1007">
        <v>1.0032783626383353</v>
      </c>
      <c r="AP508" s="1007">
        <v>1.0079610882127303</v>
      </c>
      <c r="AQ508" s="1007">
        <v>1.0305567561468045</v>
      </c>
      <c r="AR508" s="1007">
        <v>1.0449191271396217</v>
      </c>
      <c r="AS508" s="1007">
        <v>1.047766018999098</v>
      </c>
      <c r="AT508" s="1007">
        <v>1.0133442434933335</v>
      </c>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row>
    <row r="509" spans="1:92">
      <c r="D509" s="156"/>
      <c r="E509" s="153"/>
      <c r="F509" s="153"/>
      <c r="G509" s="153"/>
      <c r="H509" s="153"/>
      <c r="I509" s="153"/>
      <c r="J509" s="153"/>
      <c r="K509" s="153"/>
      <c r="L509" s="153"/>
      <c r="M509" s="153"/>
      <c r="N509" s="153"/>
      <c r="O509" s="153"/>
      <c r="P509" s="153"/>
      <c r="Q509" s="153"/>
      <c r="R509" s="153"/>
      <c r="S509" s="153"/>
      <c r="T509" s="153"/>
      <c r="U509" s="153"/>
      <c r="V509" s="232"/>
      <c r="W509" s="232"/>
      <c r="X509" s="232"/>
      <c r="Y509" s="232"/>
      <c r="Z509" s="232"/>
      <c r="AA509" s="232"/>
      <c r="AB509" s="232"/>
      <c r="AC509" s="232"/>
      <c r="AD509" s="232"/>
      <c r="AE509" s="232"/>
      <c r="AF509" s="232"/>
      <c r="AG509" s="232"/>
      <c r="AH509" s="592"/>
      <c r="AI509" s="592"/>
      <c r="AJ509" s="592"/>
      <c r="AK509" s="592"/>
      <c r="AL509" s="592"/>
      <c r="AM509" s="592"/>
      <c r="AN509" s="592"/>
      <c r="AO509" s="592"/>
      <c r="AP509" s="592"/>
      <c r="AQ509" s="592"/>
      <c r="AR509" s="592"/>
      <c r="AS509" s="592"/>
      <c r="AT509" s="2659"/>
    </row>
    <row r="510" spans="1:92">
      <c r="D510" s="168" t="s">
        <v>2346</v>
      </c>
      <c r="E510" s="153"/>
      <c r="F510" s="153"/>
      <c r="G510" s="153"/>
      <c r="H510" s="153"/>
      <c r="I510" s="153"/>
      <c r="J510" s="153"/>
      <c r="K510" s="153"/>
      <c r="L510" s="153"/>
      <c r="M510" s="153"/>
      <c r="N510" s="153"/>
      <c r="O510" s="153"/>
      <c r="P510" s="153"/>
      <c r="Q510" s="153"/>
      <c r="R510" s="153"/>
      <c r="S510" s="153"/>
      <c r="T510" s="153"/>
      <c r="U510" s="153"/>
      <c r="V510" s="1413">
        <f t="shared" ref="V510:AT510" si="530">V1083/V421</f>
        <v>0</v>
      </c>
      <c r="W510" s="1413">
        <f t="shared" si="530"/>
        <v>0</v>
      </c>
      <c r="X510" s="1413">
        <f t="shared" si="530"/>
        <v>0</v>
      </c>
      <c r="Y510" s="1413">
        <f t="shared" si="530"/>
        <v>2.299888595166163E-7</v>
      </c>
      <c r="Z510" s="1413">
        <f t="shared" si="530"/>
        <v>4.5106394039161324E-8</v>
      </c>
      <c r="AA510" s="1413">
        <f t="shared" si="530"/>
        <v>4.5363130755384038E-8</v>
      </c>
      <c r="AB510" s="1413">
        <f t="shared" si="530"/>
        <v>0</v>
      </c>
      <c r="AC510" s="1413">
        <f t="shared" si="530"/>
        <v>0</v>
      </c>
      <c r="AD510" s="1413">
        <f t="shared" si="530"/>
        <v>0</v>
      </c>
      <c r="AE510" s="1413">
        <f t="shared" si="530"/>
        <v>0</v>
      </c>
      <c r="AF510" s="1413">
        <f t="shared" si="530"/>
        <v>0</v>
      </c>
      <c r="AG510" s="1413">
        <f t="shared" si="530"/>
        <v>0</v>
      </c>
      <c r="AH510" s="1413">
        <f t="shared" si="530"/>
        <v>0</v>
      </c>
      <c r="AI510" s="1413">
        <f t="shared" si="530"/>
        <v>0</v>
      </c>
      <c r="AJ510" s="1413">
        <f t="shared" si="530"/>
        <v>0</v>
      </c>
      <c r="AK510" s="1413">
        <f t="shared" si="530"/>
        <v>0</v>
      </c>
      <c r="AL510" s="1413">
        <f t="shared" si="530"/>
        <v>0</v>
      </c>
      <c r="AM510" s="1413">
        <f t="shared" si="530"/>
        <v>0</v>
      </c>
      <c r="AN510" s="1413">
        <f t="shared" si="530"/>
        <v>0</v>
      </c>
      <c r="AO510" s="1413">
        <f t="shared" si="530"/>
        <v>0</v>
      </c>
      <c r="AP510" s="1413">
        <f t="shared" si="530"/>
        <v>0</v>
      </c>
      <c r="AQ510" s="1413">
        <f t="shared" si="530"/>
        <v>0</v>
      </c>
      <c r="AR510" s="1413">
        <f t="shared" si="530"/>
        <v>0</v>
      </c>
      <c r="AS510" s="1413">
        <f t="shared" si="530"/>
        <v>0</v>
      </c>
      <c r="AT510" s="2658">
        <f t="shared" si="530"/>
        <v>0</v>
      </c>
    </row>
    <row r="511" spans="1:92">
      <c r="D511" s="153" t="s">
        <v>2348</v>
      </c>
      <c r="E511" s="153"/>
      <c r="F511" s="153"/>
      <c r="G511" s="153"/>
      <c r="H511" s="153"/>
      <c r="I511" s="153"/>
      <c r="J511" s="153"/>
      <c r="K511" s="153"/>
      <c r="L511" s="153"/>
      <c r="M511" s="153"/>
      <c r="N511" s="153"/>
      <c r="O511" s="153"/>
      <c r="P511" s="153"/>
      <c r="Q511" s="153"/>
      <c r="R511" s="153"/>
      <c r="S511" s="153"/>
      <c r="T511" s="153"/>
      <c r="U511" s="153"/>
      <c r="V511" s="1413">
        <f t="shared" ref="V511:AG511" si="531">V1083/V423</f>
        <v>0</v>
      </c>
      <c r="W511" s="1413">
        <f t="shared" si="531"/>
        <v>0</v>
      </c>
      <c r="X511" s="1413">
        <f t="shared" si="531"/>
        <v>0</v>
      </c>
      <c r="Y511" s="1413">
        <f t="shared" si="531"/>
        <v>5.5122402165449157E-7</v>
      </c>
      <c r="Z511" s="1413">
        <f t="shared" si="531"/>
        <v>1.0711254452279828E-7</v>
      </c>
      <c r="AA511" s="1413">
        <f t="shared" si="531"/>
        <v>1.107057873706539E-7</v>
      </c>
      <c r="AB511" s="1413">
        <f t="shared" si="531"/>
        <v>0</v>
      </c>
      <c r="AC511" s="1413">
        <f t="shared" si="531"/>
        <v>0</v>
      </c>
      <c r="AD511" s="1413">
        <f t="shared" si="531"/>
        <v>0</v>
      </c>
      <c r="AE511" s="1413">
        <f t="shared" si="531"/>
        <v>0</v>
      </c>
      <c r="AF511" s="1413">
        <f t="shared" si="531"/>
        <v>0</v>
      </c>
      <c r="AG511" s="1413">
        <f t="shared" si="531"/>
        <v>0</v>
      </c>
      <c r="AH511" s="1413">
        <f t="shared" ref="AH511:AM511" si="532">AG511*AH512</f>
        <v>0</v>
      </c>
      <c r="AI511" s="1413">
        <f t="shared" si="532"/>
        <v>0</v>
      </c>
      <c r="AJ511" s="1413">
        <f t="shared" si="532"/>
        <v>0</v>
      </c>
      <c r="AK511" s="1413">
        <f t="shared" si="532"/>
        <v>0</v>
      </c>
      <c r="AL511" s="1413">
        <f t="shared" si="532"/>
        <v>0</v>
      </c>
      <c r="AM511" s="1413">
        <f t="shared" si="532"/>
        <v>0</v>
      </c>
      <c r="AN511" s="1413">
        <f t="shared" ref="AN511" si="533">AM511*AN512</f>
        <v>0</v>
      </c>
      <c r="AO511" s="1413">
        <f t="shared" ref="AO511" si="534">AN511*AO512</f>
        <v>0</v>
      </c>
      <c r="AP511" s="1413">
        <f t="shared" ref="AP511" si="535">AO511*AP512</f>
        <v>0</v>
      </c>
      <c r="AQ511" s="1413">
        <f t="shared" ref="AQ511" si="536">AP511*AQ512</f>
        <v>0</v>
      </c>
      <c r="AR511" s="1413">
        <f t="shared" ref="AR511" si="537">AQ511*AR512</f>
        <v>0</v>
      </c>
      <c r="AS511" s="1413">
        <f t="shared" ref="AS511" si="538">AR511*AS512</f>
        <v>0</v>
      </c>
      <c r="AT511" s="2658">
        <f t="shared" ref="AT511" si="539">AS511*AT512</f>
        <v>0</v>
      </c>
    </row>
    <row r="512" spans="1:92">
      <c r="D512" s="156" t="s">
        <v>2356</v>
      </c>
      <c r="E512" s="153"/>
      <c r="F512" s="153"/>
      <c r="G512" s="153"/>
      <c r="H512" s="153"/>
      <c r="I512" s="153"/>
      <c r="J512" s="153"/>
      <c r="K512" s="153"/>
      <c r="L512" s="153"/>
      <c r="M512" s="153"/>
      <c r="N512" s="153"/>
      <c r="O512" s="153"/>
      <c r="P512" s="153"/>
      <c r="Q512" s="153"/>
      <c r="R512" s="153"/>
      <c r="S512" s="153"/>
      <c r="T512" s="153"/>
      <c r="U512" s="153"/>
      <c r="V512" s="232" t="e">
        <f t="shared" ref="V512:AG512" si="540">+V511/U511</f>
        <v>#DIV/0!</v>
      </c>
      <c r="W512" s="232" t="e">
        <f t="shared" si="540"/>
        <v>#DIV/0!</v>
      </c>
      <c r="X512" s="232" t="e">
        <f t="shared" si="540"/>
        <v>#DIV/0!</v>
      </c>
      <c r="Y512" s="232" t="e">
        <f t="shared" si="540"/>
        <v>#DIV/0!</v>
      </c>
      <c r="Z512" s="232">
        <f t="shared" si="540"/>
        <v>0.19431762825085416</v>
      </c>
      <c r="AA512" s="232">
        <f t="shared" si="540"/>
        <v>1.0335464241267354</v>
      </c>
      <c r="AB512" s="232">
        <f t="shared" si="540"/>
        <v>0</v>
      </c>
      <c r="AC512" s="232" t="e">
        <f t="shared" si="540"/>
        <v>#DIV/0!</v>
      </c>
      <c r="AD512" s="232" t="e">
        <f t="shared" si="540"/>
        <v>#DIV/0!</v>
      </c>
      <c r="AE512" s="232" t="e">
        <f t="shared" si="540"/>
        <v>#DIV/0!</v>
      </c>
      <c r="AF512" s="232" t="e">
        <f t="shared" si="540"/>
        <v>#DIV/0!</v>
      </c>
      <c r="AG512" s="232" t="e">
        <f t="shared" si="540"/>
        <v>#DIV/0!</v>
      </c>
      <c r="AH512" s="1390">
        <v>1</v>
      </c>
      <c r="AI512" s="1390">
        <v>1</v>
      </c>
      <c r="AJ512" s="1390">
        <v>1</v>
      </c>
      <c r="AK512" s="1390">
        <v>1</v>
      </c>
      <c r="AL512" s="1390">
        <v>1</v>
      </c>
      <c r="AM512" s="1390">
        <v>1</v>
      </c>
      <c r="AN512" s="1390">
        <v>1</v>
      </c>
      <c r="AO512" s="1390">
        <v>1</v>
      </c>
      <c r="AP512" s="1390">
        <v>1</v>
      </c>
      <c r="AQ512" s="1390">
        <v>1</v>
      </c>
      <c r="AR512" s="1390">
        <v>1</v>
      </c>
      <c r="AS512" s="1390">
        <v>1</v>
      </c>
      <c r="AT512" s="2653">
        <v>1</v>
      </c>
    </row>
    <row r="513" spans="1:251">
      <c r="D513" s="156"/>
      <c r="E513" s="153"/>
      <c r="F513" s="153"/>
      <c r="G513" s="153"/>
      <c r="H513" s="153"/>
      <c r="I513" s="153"/>
      <c r="J513" s="153"/>
      <c r="K513" s="153"/>
      <c r="L513" s="153"/>
      <c r="M513" s="153"/>
      <c r="N513" s="153"/>
      <c r="O513" s="153"/>
      <c r="P513" s="153"/>
      <c r="Q513" s="153"/>
      <c r="R513" s="153"/>
      <c r="S513" s="153"/>
      <c r="T513" s="153"/>
      <c r="U513" s="153"/>
      <c r="V513" s="172"/>
      <c r="W513" s="172"/>
      <c r="X513" s="172"/>
      <c r="Y513" s="172"/>
      <c r="Z513" s="172"/>
      <c r="AA513" s="172"/>
      <c r="AB513" s="172"/>
      <c r="AC513" s="172"/>
      <c r="AD513" s="172"/>
      <c r="AE513" s="172"/>
      <c r="AF513" s="172"/>
      <c r="AG513" s="172"/>
      <c r="AH513" s="172"/>
      <c r="AI513" s="172"/>
      <c r="AJ513" s="172"/>
      <c r="AK513" s="172"/>
      <c r="AL513" s="172"/>
      <c r="AM513" s="172"/>
      <c r="AN513" s="172"/>
      <c r="AO513" s="172"/>
      <c r="AP513" s="172"/>
      <c r="AQ513" s="172"/>
      <c r="AR513" s="172"/>
      <c r="AS513" s="172"/>
      <c r="AT513" s="2645"/>
    </row>
    <row r="514" spans="1:251">
      <c r="D514" s="168" t="s">
        <v>2358</v>
      </c>
      <c r="E514" s="153"/>
      <c r="F514" s="153"/>
      <c r="G514" s="153"/>
      <c r="H514" s="153"/>
      <c r="I514" s="153"/>
      <c r="J514" s="153"/>
      <c r="K514" s="153"/>
      <c r="L514" s="153"/>
      <c r="M514" s="153"/>
      <c r="N514" s="153"/>
      <c r="O514" s="153"/>
      <c r="P514" s="153"/>
      <c r="Q514" s="153"/>
      <c r="R514" s="153"/>
      <c r="S514" s="153"/>
      <c r="T514" s="153"/>
      <c r="U514" s="153"/>
      <c r="V514" s="172">
        <f t="shared" ref="V514:AT514" si="541">V1084/V421</f>
        <v>0</v>
      </c>
      <c r="W514" s="172">
        <f t="shared" si="541"/>
        <v>0</v>
      </c>
      <c r="X514" s="172">
        <f t="shared" si="541"/>
        <v>0</v>
      </c>
      <c r="Y514" s="172">
        <f t="shared" si="541"/>
        <v>0</v>
      </c>
      <c r="Z514" s="172">
        <f t="shared" si="541"/>
        <v>0</v>
      </c>
      <c r="AA514" s="172">
        <f t="shared" si="541"/>
        <v>0</v>
      </c>
      <c r="AB514" s="172">
        <f t="shared" si="541"/>
        <v>0</v>
      </c>
      <c r="AC514" s="172">
        <f t="shared" si="541"/>
        <v>0</v>
      </c>
      <c r="AD514" s="172">
        <f t="shared" si="541"/>
        <v>0</v>
      </c>
      <c r="AE514" s="172">
        <f t="shared" si="541"/>
        <v>0</v>
      </c>
      <c r="AF514" s="172">
        <f t="shared" si="541"/>
        <v>0</v>
      </c>
      <c r="AG514" s="172">
        <f t="shared" si="541"/>
        <v>0</v>
      </c>
      <c r="AH514" s="172">
        <f t="shared" si="541"/>
        <v>0</v>
      </c>
      <c r="AI514" s="172">
        <f t="shared" si="541"/>
        <v>0</v>
      </c>
      <c r="AJ514" s="172">
        <f t="shared" si="541"/>
        <v>0</v>
      </c>
      <c r="AK514" s="172">
        <f t="shared" si="541"/>
        <v>0</v>
      </c>
      <c r="AL514" s="172">
        <f t="shared" si="541"/>
        <v>0</v>
      </c>
      <c r="AM514" s="172">
        <f t="shared" si="541"/>
        <v>0</v>
      </c>
      <c r="AN514" s="172">
        <f t="shared" si="541"/>
        <v>0</v>
      </c>
      <c r="AO514" s="172">
        <f t="shared" si="541"/>
        <v>0</v>
      </c>
      <c r="AP514" s="172">
        <f t="shared" si="541"/>
        <v>0</v>
      </c>
      <c r="AQ514" s="172">
        <f t="shared" si="541"/>
        <v>0</v>
      </c>
      <c r="AR514" s="172">
        <f t="shared" si="541"/>
        <v>0</v>
      </c>
      <c r="AS514" s="172">
        <f t="shared" si="541"/>
        <v>0</v>
      </c>
      <c r="AT514" s="2645">
        <f t="shared" si="541"/>
        <v>0</v>
      </c>
    </row>
    <row r="515" spans="1:251">
      <c r="D515" s="153" t="s">
        <v>2349</v>
      </c>
      <c r="E515" s="153"/>
      <c r="F515" s="153"/>
      <c r="G515" s="153"/>
      <c r="H515" s="153"/>
      <c r="I515" s="153"/>
      <c r="J515" s="153"/>
      <c r="K515" s="153"/>
      <c r="L515" s="153"/>
      <c r="M515" s="153"/>
      <c r="N515" s="153"/>
      <c r="O515" s="153"/>
      <c r="P515" s="153"/>
      <c r="Q515" s="153"/>
      <c r="R515" s="153"/>
      <c r="S515" s="153"/>
      <c r="T515" s="153"/>
      <c r="U515" s="153"/>
      <c r="V515" s="172">
        <f t="shared" ref="V515:AG515" si="542">V1084/V423</f>
        <v>0</v>
      </c>
      <c r="W515" s="172">
        <f t="shared" si="542"/>
        <v>0</v>
      </c>
      <c r="X515" s="172">
        <f t="shared" si="542"/>
        <v>0</v>
      </c>
      <c r="Y515" s="172">
        <f t="shared" si="542"/>
        <v>0</v>
      </c>
      <c r="Z515" s="172">
        <f t="shared" si="542"/>
        <v>0</v>
      </c>
      <c r="AA515" s="172">
        <f t="shared" si="542"/>
        <v>0</v>
      </c>
      <c r="AB515" s="172">
        <f t="shared" si="542"/>
        <v>0</v>
      </c>
      <c r="AC515" s="172">
        <f t="shared" si="542"/>
        <v>0</v>
      </c>
      <c r="AD515" s="172">
        <f t="shared" si="542"/>
        <v>0</v>
      </c>
      <c r="AE515" s="172">
        <f t="shared" si="542"/>
        <v>0</v>
      </c>
      <c r="AF515" s="172">
        <f t="shared" si="542"/>
        <v>0</v>
      </c>
      <c r="AG515" s="172">
        <f t="shared" si="542"/>
        <v>0</v>
      </c>
      <c r="AH515" s="172">
        <f t="shared" ref="AH515:AM515" si="543">AG515*AH516</f>
        <v>0</v>
      </c>
      <c r="AI515" s="172">
        <f t="shared" si="543"/>
        <v>0</v>
      </c>
      <c r="AJ515" s="172">
        <f t="shared" si="543"/>
        <v>0</v>
      </c>
      <c r="AK515" s="172">
        <f t="shared" si="543"/>
        <v>0</v>
      </c>
      <c r="AL515" s="172">
        <f t="shared" si="543"/>
        <v>0</v>
      </c>
      <c r="AM515" s="172">
        <f t="shared" si="543"/>
        <v>0</v>
      </c>
      <c r="AN515" s="172">
        <f t="shared" ref="AN515" si="544">AM515*AN516</f>
        <v>0</v>
      </c>
      <c r="AO515" s="172">
        <f t="shared" ref="AO515" si="545">AN515*AO516</f>
        <v>0</v>
      </c>
      <c r="AP515" s="172">
        <f t="shared" ref="AP515" si="546">AO515*AP516</f>
        <v>0</v>
      </c>
      <c r="AQ515" s="172">
        <f t="shared" ref="AQ515" si="547">AP515*AQ516</f>
        <v>0</v>
      </c>
      <c r="AR515" s="172">
        <f t="shared" ref="AR515" si="548">AQ515*AR516</f>
        <v>0</v>
      </c>
      <c r="AS515" s="172">
        <f t="shared" ref="AS515" si="549">AR515*AS516</f>
        <v>0</v>
      </c>
      <c r="AT515" s="2645">
        <f t="shared" ref="AT515" si="550">AS515*AT516</f>
        <v>0</v>
      </c>
    </row>
    <row r="516" spans="1:251">
      <c r="D516" s="156" t="s">
        <v>2357</v>
      </c>
      <c r="E516" s="153"/>
      <c r="F516" s="153"/>
      <c r="G516" s="153"/>
      <c r="H516" s="153"/>
      <c r="I516" s="153"/>
      <c r="J516" s="153"/>
      <c r="K516" s="153"/>
      <c r="L516" s="153"/>
      <c r="M516" s="153"/>
      <c r="N516" s="153"/>
      <c r="O516" s="153"/>
      <c r="P516" s="153"/>
      <c r="Q516" s="153"/>
      <c r="R516" s="153"/>
      <c r="S516" s="153"/>
      <c r="T516" s="153"/>
      <c r="U516" s="153"/>
      <c r="V516" s="232" t="e">
        <f t="shared" ref="V516:AE516" si="551">+V515/U515</f>
        <v>#DIV/0!</v>
      </c>
      <c r="W516" s="232" t="e">
        <f t="shared" si="551"/>
        <v>#DIV/0!</v>
      </c>
      <c r="X516" s="232" t="e">
        <f t="shared" si="551"/>
        <v>#DIV/0!</v>
      </c>
      <c r="Y516" s="232" t="e">
        <f t="shared" si="551"/>
        <v>#DIV/0!</v>
      </c>
      <c r="Z516" s="232" t="e">
        <f t="shared" si="551"/>
        <v>#DIV/0!</v>
      </c>
      <c r="AA516" s="232" t="e">
        <f t="shared" si="551"/>
        <v>#DIV/0!</v>
      </c>
      <c r="AB516" s="232" t="e">
        <f t="shared" si="551"/>
        <v>#DIV/0!</v>
      </c>
      <c r="AC516" s="232" t="e">
        <f t="shared" si="551"/>
        <v>#DIV/0!</v>
      </c>
      <c r="AD516" s="232" t="e">
        <f t="shared" si="551"/>
        <v>#DIV/0!</v>
      </c>
      <c r="AE516" s="232" t="e">
        <f t="shared" si="551"/>
        <v>#DIV/0!</v>
      </c>
      <c r="AF516" s="232" t="e">
        <f>+AF515/AE515</f>
        <v>#DIV/0!</v>
      </c>
      <c r="AG516" s="232" t="e">
        <f>+AG515/AF515</f>
        <v>#DIV/0!</v>
      </c>
      <c r="AH516" s="1390">
        <v>1</v>
      </c>
      <c r="AI516" s="1390">
        <v>1</v>
      </c>
      <c r="AJ516" s="1390">
        <v>1</v>
      </c>
      <c r="AK516" s="1390">
        <v>1</v>
      </c>
      <c r="AL516" s="1390">
        <v>1</v>
      </c>
      <c r="AM516" s="1390">
        <v>1</v>
      </c>
      <c r="AN516" s="1390">
        <v>1</v>
      </c>
      <c r="AO516" s="1390">
        <v>1</v>
      </c>
      <c r="AP516" s="1390">
        <v>1</v>
      </c>
      <c r="AQ516" s="1390">
        <v>1</v>
      </c>
      <c r="AR516" s="1390">
        <v>1</v>
      </c>
      <c r="AS516" s="1390">
        <v>1</v>
      </c>
      <c r="AT516" s="2653">
        <v>1</v>
      </c>
    </row>
    <row r="517" spans="1:251">
      <c r="D517" s="156"/>
      <c r="E517" s="153"/>
      <c r="F517" s="153"/>
      <c r="G517" s="153"/>
      <c r="H517" s="153"/>
      <c r="I517" s="153"/>
      <c r="J517" s="153"/>
      <c r="K517" s="153"/>
      <c r="L517" s="153"/>
      <c r="M517" s="153"/>
      <c r="N517" s="153"/>
      <c r="O517" s="153"/>
      <c r="P517" s="153"/>
      <c r="Q517" s="153"/>
      <c r="R517" s="153"/>
      <c r="S517" s="153"/>
      <c r="T517" s="153"/>
      <c r="U517" s="153"/>
      <c r="V517" s="172"/>
      <c r="W517" s="172"/>
      <c r="X517" s="172"/>
      <c r="Y517" s="172"/>
      <c r="Z517" s="172"/>
      <c r="AA517" s="172"/>
      <c r="AB517" s="172"/>
      <c r="AC517" s="172"/>
      <c r="AD517" s="172"/>
      <c r="AE517" s="172"/>
      <c r="AF517" s="172"/>
      <c r="AG517" s="172"/>
      <c r="AH517" s="172"/>
      <c r="AI517" s="172"/>
      <c r="AJ517" s="172"/>
      <c r="AK517" s="172"/>
      <c r="AL517" s="172"/>
      <c r="AM517" s="172"/>
      <c r="AN517" s="172"/>
      <c r="AO517" s="172"/>
      <c r="AP517" s="172"/>
      <c r="AQ517" s="172"/>
      <c r="AR517" s="172"/>
      <c r="AS517" s="172"/>
      <c r="AT517" s="2645"/>
    </row>
    <row r="518" spans="1:251">
      <c r="D518" s="168" t="s">
        <v>2370</v>
      </c>
      <c r="E518" s="153"/>
      <c r="F518" s="153"/>
      <c r="G518" s="153"/>
      <c r="H518" s="153"/>
      <c r="I518" s="153"/>
      <c r="J518" s="153"/>
      <c r="K518" s="153"/>
      <c r="L518" s="153"/>
      <c r="M518" s="153"/>
      <c r="N518" s="153"/>
      <c r="O518" s="153"/>
      <c r="P518" s="153"/>
      <c r="Q518" s="153"/>
      <c r="R518" s="153"/>
      <c r="S518" s="153"/>
      <c r="T518" s="153"/>
      <c r="U518" s="153"/>
      <c r="V518" s="172">
        <f t="shared" ref="V518:AT518" si="552">V1085/V425</f>
        <v>0</v>
      </c>
      <c r="W518" s="172">
        <f t="shared" si="552"/>
        <v>0</v>
      </c>
      <c r="X518" s="172">
        <f t="shared" si="552"/>
        <v>0</v>
      </c>
      <c r="Y518" s="172">
        <f t="shared" si="552"/>
        <v>1.5099188448330508E-2</v>
      </c>
      <c r="Z518" s="172">
        <f t="shared" si="552"/>
        <v>1.5110923537914827E-2</v>
      </c>
      <c r="AA518" s="172">
        <f t="shared" si="552"/>
        <v>1.7421309380679231E-2</v>
      </c>
      <c r="AB518" s="172">
        <f t="shared" si="552"/>
        <v>1.6105612704875479E-2</v>
      </c>
      <c r="AC518" s="172">
        <f t="shared" si="552"/>
        <v>1.6407902997540694E-2</v>
      </c>
      <c r="AD518" s="172">
        <f t="shared" si="552"/>
        <v>1.8144879499799E-2</v>
      </c>
      <c r="AE518" s="172">
        <f t="shared" si="552"/>
        <v>1.851862785337666E-2</v>
      </c>
      <c r="AF518" s="172">
        <f t="shared" si="552"/>
        <v>1.9480603169737206E-2</v>
      </c>
      <c r="AG518" s="172">
        <f t="shared" si="552"/>
        <v>1.8871246851118174E-2</v>
      </c>
      <c r="AH518" s="172">
        <f t="shared" si="552"/>
        <v>2.216371675865789E-2</v>
      </c>
      <c r="AI518" s="172">
        <f t="shared" ref="AI518:AJ518" si="553">AI1085/AI425</f>
        <v>2.3718719787017298E-2</v>
      </c>
      <c r="AJ518" s="172">
        <f t="shared" si="553"/>
        <v>2.4947505270508933E-2</v>
      </c>
      <c r="AK518" s="172">
        <f t="shared" si="552"/>
        <v>2.7799624048990987E-2</v>
      </c>
      <c r="AL518" s="172">
        <f t="shared" si="552"/>
        <v>3.1209815796493918E-2</v>
      </c>
      <c r="AM518" s="172">
        <f t="shared" si="552"/>
        <v>3.4017267514092529E-2</v>
      </c>
      <c r="AN518" s="172">
        <f t="shared" si="552"/>
        <v>3.719174864440862E-2</v>
      </c>
      <c r="AO518" s="172">
        <f t="shared" si="552"/>
        <v>3.9877186558208953E-2</v>
      </c>
      <c r="AP518" s="172">
        <f t="shared" si="552"/>
        <v>4.2291593496096277E-2</v>
      </c>
      <c r="AQ518" s="172">
        <f t="shared" si="552"/>
        <v>4.3856600212433407E-2</v>
      </c>
      <c r="AR518" s="172">
        <f t="shared" si="552"/>
        <v>4.5900721115185651E-2</v>
      </c>
      <c r="AS518" s="172">
        <f t="shared" si="552"/>
        <v>5.4466217807152391E-2</v>
      </c>
      <c r="AT518" s="2645">
        <f t="shared" si="552"/>
        <v>7.4405862580198198E-2</v>
      </c>
    </row>
    <row r="519" spans="1:251">
      <c r="D519" s="153" t="s">
        <v>2372</v>
      </c>
      <c r="E519" s="153"/>
      <c r="F519" s="153"/>
      <c r="G519" s="153"/>
      <c r="H519" s="153"/>
      <c r="I519" s="153"/>
      <c r="J519" s="153"/>
      <c r="K519" s="153"/>
      <c r="L519" s="153"/>
      <c r="M519" s="153"/>
      <c r="N519" s="153"/>
      <c r="O519" s="153"/>
      <c r="P519" s="153"/>
      <c r="Q519" s="153"/>
      <c r="R519" s="153"/>
      <c r="S519" s="153"/>
      <c r="T519" s="153"/>
      <c r="U519" s="153"/>
      <c r="V519" s="172">
        <f t="shared" ref="V519:AH519" si="554">V1085/V425</f>
        <v>0</v>
      </c>
      <c r="W519" s="172">
        <f t="shared" si="554"/>
        <v>0</v>
      </c>
      <c r="X519" s="172">
        <f t="shared" si="554"/>
        <v>0</v>
      </c>
      <c r="Y519" s="172">
        <f t="shared" si="554"/>
        <v>1.5099188448330508E-2</v>
      </c>
      <c r="Z519" s="172">
        <f t="shared" si="554"/>
        <v>1.5110923537914827E-2</v>
      </c>
      <c r="AA519" s="1413">
        <f t="shared" si="554"/>
        <v>1.7421309380679231E-2</v>
      </c>
      <c r="AB519" s="1413">
        <f t="shared" si="554"/>
        <v>1.6105612704875479E-2</v>
      </c>
      <c r="AC519" s="1413">
        <f t="shared" si="554"/>
        <v>1.6407902997540694E-2</v>
      </c>
      <c r="AD519" s="1413">
        <f t="shared" si="554"/>
        <v>1.8144879499799E-2</v>
      </c>
      <c r="AE519" s="1413">
        <f t="shared" si="554"/>
        <v>1.851862785337666E-2</v>
      </c>
      <c r="AF519" s="1413">
        <f t="shared" si="554"/>
        <v>1.9480603169737206E-2</v>
      </c>
      <c r="AG519" s="1413">
        <f t="shared" si="554"/>
        <v>1.8871246851118174E-2</v>
      </c>
      <c r="AH519" s="1413">
        <f t="shared" si="554"/>
        <v>2.216371675865789E-2</v>
      </c>
      <c r="AI519" s="1413">
        <f t="shared" ref="AI519:AJ519" si="555">AI1085/AI425</f>
        <v>2.3718719787017298E-2</v>
      </c>
      <c r="AJ519" s="1413">
        <f t="shared" si="555"/>
        <v>2.4947505270508933E-2</v>
      </c>
      <c r="AK519" s="1413">
        <f t="shared" ref="AK519:AM519" si="556">AJ519*AK520</f>
        <v>2.7799624048990987E-2</v>
      </c>
      <c r="AL519" s="1413">
        <f t="shared" si="556"/>
        <v>3.1209815796493918E-2</v>
      </c>
      <c r="AM519" s="1413">
        <f t="shared" si="556"/>
        <v>3.4017267514092529E-2</v>
      </c>
      <c r="AN519" s="1413">
        <f t="shared" ref="AN519" si="557">AM519*AN520</f>
        <v>3.719174864440862E-2</v>
      </c>
      <c r="AO519" s="1413">
        <f t="shared" ref="AO519" si="558">AN519*AO520</f>
        <v>3.9877186558208953E-2</v>
      </c>
      <c r="AP519" s="1413">
        <f t="shared" ref="AP519" si="559">AO519*AP520</f>
        <v>4.2291593496096277E-2</v>
      </c>
      <c r="AQ519" s="1413">
        <f t="shared" ref="AQ519" si="560">AP519*AQ520</f>
        <v>4.3856600212433407E-2</v>
      </c>
      <c r="AR519" s="1413">
        <f t="shared" ref="AR519" si="561">AQ519*AR520</f>
        <v>4.5900721115185651E-2</v>
      </c>
      <c r="AS519" s="1413">
        <f t="shared" ref="AS519" si="562">AR519*AS520</f>
        <v>5.4466217807152391E-2</v>
      </c>
      <c r="AT519" s="2658">
        <f t="shared" ref="AT519" si="563">AS519*AT520</f>
        <v>7.4405862580198198E-2</v>
      </c>
    </row>
    <row r="520" spans="1:251">
      <c r="D520" s="156" t="s">
        <v>2373</v>
      </c>
      <c r="E520" s="153"/>
      <c r="F520" s="153"/>
      <c r="G520" s="153"/>
      <c r="H520" s="153"/>
      <c r="I520" s="153"/>
      <c r="J520" s="153"/>
      <c r="K520" s="153"/>
      <c r="L520" s="153"/>
      <c r="M520" s="153"/>
      <c r="N520" s="153"/>
      <c r="O520" s="153"/>
      <c r="P520" s="153"/>
      <c r="Q520" s="153"/>
      <c r="R520" s="153"/>
      <c r="S520" s="153"/>
      <c r="T520" s="153"/>
      <c r="U520" s="153"/>
      <c r="V520" s="232" t="e">
        <f t="shared" ref="V520:AH520" si="564">+V519/U519</f>
        <v>#DIV/0!</v>
      </c>
      <c r="W520" s="232" t="e">
        <f t="shared" si="564"/>
        <v>#DIV/0!</v>
      </c>
      <c r="X520" s="232" t="e">
        <f t="shared" si="564"/>
        <v>#DIV/0!</v>
      </c>
      <c r="Y520" s="232" t="e">
        <f t="shared" si="564"/>
        <v>#DIV/0!</v>
      </c>
      <c r="Z520" s="232">
        <f t="shared" si="564"/>
        <v>1.000777200021344</v>
      </c>
      <c r="AA520" s="232">
        <f t="shared" si="564"/>
        <v>1.1528950786474046</v>
      </c>
      <c r="AB520" s="232">
        <f t="shared" si="564"/>
        <v>0.9244777388970028</v>
      </c>
      <c r="AC520" s="232">
        <f t="shared" si="564"/>
        <v>1.0187692513289921</v>
      </c>
      <c r="AD520" s="232">
        <f t="shared" si="564"/>
        <v>1.1058621874177739</v>
      </c>
      <c r="AE520" s="232">
        <f t="shared" si="564"/>
        <v>1.0205980069243117</v>
      </c>
      <c r="AF520" s="232">
        <f t="shared" si="564"/>
        <v>1.0519463603878805</v>
      </c>
      <c r="AG520" s="232">
        <f t="shared" si="564"/>
        <v>0.96871984335856409</v>
      </c>
      <c r="AH520" s="232">
        <f t="shared" si="564"/>
        <v>1.1744701838471594</v>
      </c>
      <c r="AI520" s="232">
        <f t="shared" ref="AI520" si="565">+AI519/AH519</f>
        <v>1.0701598493290603</v>
      </c>
      <c r="AJ520" s="232">
        <f t="shared" ref="AJ520" si="566">+AJ519/AI519</f>
        <v>1.0518065685890949</v>
      </c>
      <c r="AK520" s="1390">
        <v>1.1143248091364717</v>
      </c>
      <c r="AL520" s="1390">
        <v>1.1226704268191967</v>
      </c>
      <c r="AM520" s="1390">
        <v>1.0899541264807464</v>
      </c>
      <c r="AN520" s="1390">
        <v>1.0933196979740063</v>
      </c>
      <c r="AO520" s="1390">
        <v>1.0722052071139725</v>
      </c>
      <c r="AP520" s="1390">
        <v>1.0605460702289766</v>
      </c>
      <c r="AQ520" s="1390">
        <v>1.0370051489424628</v>
      </c>
      <c r="AR520" s="1390">
        <v>1.0466091966283499</v>
      </c>
      <c r="AS520" s="1390">
        <v>1.1866091966283501</v>
      </c>
      <c r="AT520" s="1390">
        <v>1.3660919662835</v>
      </c>
    </row>
    <row r="521" spans="1:251">
      <c r="D521" s="156"/>
      <c r="E521" s="153"/>
      <c r="F521" s="153"/>
      <c r="G521" s="153"/>
      <c r="H521" s="153"/>
      <c r="I521" s="153"/>
      <c r="J521" s="153"/>
      <c r="K521" s="153"/>
      <c r="L521" s="153"/>
      <c r="M521" s="153"/>
      <c r="N521" s="153"/>
      <c r="O521" s="153"/>
      <c r="P521" s="153"/>
      <c r="Q521" s="153"/>
      <c r="R521" s="153"/>
      <c r="S521" s="153"/>
      <c r="T521" s="153"/>
      <c r="U521" s="153"/>
      <c r="V521" s="232"/>
      <c r="W521" s="232"/>
      <c r="X521" s="232"/>
      <c r="Y521" s="232"/>
      <c r="Z521" s="232"/>
      <c r="AA521" s="232"/>
      <c r="AB521" s="232"/>
      <c r="AC521" s="232"/>
      <c r="AD521" s="232"/>
      <c r="AE521" s="232"/>
      <c r="AF521" s="232"/>
      <c r="AG521" s="232"/>
      <c r="AH521" s="232"/>
      <c r="AI521" s="232"/>
      <c r="AJ521" s="1390"/>
      <c r="AK521" s="1390"/>
      <c r="AL521" s="1390"/>
      <c r="AM521" s="1390"/>
      <c r="AN521" s="1390"/>
      <c r="AO521" s="1390"/>
      <c r="AP521" s="1390"/>
      <c r="AQ521" s="1390"/>
      <c r="AR521" s="1390"/>
      <c r="AS521" s="1390"/>
      <c r="AT521" s="2653"/>
    </row>
    <row r="522" spans="1:251" s="2135" customFormat="1">
      <c r="A522" s="2130"/>
      <c r="B522" s="2131"/>
      <c r="C522" s="2131"/>
      <c r="D522" s="2132" t="s">
        <v>3821</v>
      </c>
      <c r="E522" s="2133"/>
      <c r="F522" s="2133"/>
      <c r="G522" s="2133"/>
      <c r="H522" s="2133"/>
      <c r="I522" s="2133"/>
      <c r="J522" s="2133"/>
      <c r="K522" s="2133"/>
      <c r="L522" s="2133"/>
      <c r="M522" s="2133"/>
      <c r="N522" s="2133"/>
      <c r="O522" s="2133"/>
      <c r="P522" s="2133"/>
      <c r="Q522" s="2133"/>
      <c r="R522" s="2133"/>
      <c r="S522" s="2133"/>
      <c r="T522" s="2133"/>
      <c r="U522" s="2133"/>
      <c r="V522" s="2134">
        <f t="shared" ref="V522:AD522" si="567">V1089/V429</f>
        <v>0</v>
      </c>
      <c r="W522" s="2134">
        <f t="shared" si="567"/>
        <v>0</v>
      </c>
      <c r="X522" s="2134">
        <f t="shared" si="567"/>
        <v>0</v>
      </c>
      <c r="Y522" s="2134">
        <f t="shared" si="567"/>
        <v>0</v>
      </c>
      <c r="Z522" s="2134">
        <f t="shared" si="567"/>
        <v>0</v>
      </c>
      <c r="AA522" s="2134">
        <f t="shared" si="567"/>
        <v>0</v>
      </c>
      <c r="AB522" s="2134">
        <f t="shared" si="567"/>
        <v>0</v>
      </c>
      <c r="AC522" s="2134">
        <f t="shared" si="567"/>
        <v>0</v>
      </c>
      <c r="AD522" s="2134">
        <f t="shared" si="567"/>
        <v>0</v>
      </c>
      <c r="AE522" s="2149">
        <f t="shared" ref="AE522:AJ522" si="568">AE1086/AE248</f>
        <v>0</v>
      </c>
      <c r="AF522" s="2149">
        <f t="shared" si="568"/>
        <v>0</v>
      </c>
      <c r="AG522" s="2149">
        <f t="shared" si="568"/>
        <v>0</v>
      </c>
      <c r="AH522" s="2149">
        <f t="shared" si="568"/>
        <v>4.6101859254214957E-2</v>
      </c>
      <c r="AI522" s="2149">
        <f t="shared" si="568"/>
        <v>6.5907259469723464E-2</v>
      </c>
      <c r="AJ522" s="2149">
        <f t="shared" si="568"/>
        <v>1.3671785538164257E-2</v>
      </c>
      <c r="AK522" s="2149">
        <f>AK1089/AK291</f>
        <v>4.0031586732922418E-2</v>
      </c>
      <c r="AL522" s="2149">
        <f t="shared" ref="AL522:AT522" si="569">AL1089/AL291</f>
        <v>4.2082706316694973E-2</v>
      </c>
      <c r="AM522" s="2149">
        <f t="shared" si="569"/>
        <v>4.9799852967844012E-2</v>
      </c>
      <c r="AN522" s="2149">
        <f t="shared" si="569"/>
        <v>5.5320008472859401E-2</v>
      </c>
      <c r="AO522" s="2149">
        <f t="shared" si="569"/>
        <v>5.2521773155226451E-2</v>
      </c>
      <c r="AP522" s="2149">
        <f t="shared" si="569"/>
        <v>5.2495913099512403E-2</v>
      </c>
      <c r="AQ522" s="2149">
        <f t="shared" si="569"/>
        <v>5.2470078496609097E-2</v>
      </c>
      <c r="AR522" s="2149">
        <f t="shared" si="569"/>
        <v>5.2444269308957056E-2</v>
      </c>
      <c r="AS522" s="2149">
        <f t="shared" si="569"/>
        <v>5.2418485499070647E-2</v>
      </c>
      <c r="AT522" s="2149">
        <f t="shared" si="569"/>
        <v>5.2392727029537935E-2</v>
      </c>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c r="ES522" s="1"/>
      <c r="ET522" s="1"/>
      <c r="EU522" s="1"/>
      <c r="EV522" s="1"/>
      <c r="EW522" s="1"/>
      <c r="EX522" s="1"/>
      <c r="EY522" s="1"/>
      <c r="EZ522" s="1"/>
      <c r="FA522" s="1"/>
      <c r="FB522" s="1"/>
      <c r="FC522" s="1"/>
      <c r="FD522" s="1"/>
      <c r="FE522" s="1"/>
      <c r="FF522" s="1"/>
      <c r="FG522" s="1"/>
      <c r="FH522" s="1"/>
      <c r="FI522" s="1"/>
      <c r="FJ522" s="1"/>
      <c r="FK522" s="1"/>
      <c r="FL522" s="1"/>
      <c r="FM522" s="1"/>
      <c r="FN522" s="1"/>
      <c r="FO522" s="1"/>
      <c r="FP522" s="1"/>
      <c r="FQ522" s="1"/>
      <c r="FR522" s="1"/>
      <c r="FS522" s="1"/>
      <c r="FT522" s="1"/>
      <c r="FU522" s="1"/>
      <c r="FV522" s="1"/>
      <c r="FW522" s="1"/>
      <c r="FX522" s="1"/>
      <c r="FY522" s="1"/>
      <c r="FZ522" s="1"/>
      <c r="GA522" s="1"/>
      <c r="GB522" s="1"/>
      <c r="GC522" s="1"/>
      <c r="GD522" s="1"/>
      <c r="GE522" s="1"/>
      <c r="GF522" s="1"/>
      <c r="GG522" s="1"/>
      <c r="GH522" s="1"/>
      <c r="GI522" s="1"/>
      <c r="GJ522" s="1"/>
      <c r="GK522" s="1"/>
      <c r="GL522" s="1"/>
      <c r="GM522" s="1"/>
      <c r="GN522" s="1"/>
      <c r="GO522" s="1"/>
      <c r="GP522" s="1"/>
      <c r="GQ522" s="1"/>
      <c r="GR522" s="1"/>
      <c r="GS522" s="1"/>
      <c r="GT522" s="1"/>
      <c r="GU522" s="1"/>
      <c r="GV522" s="1"/>
      <c r="GW522" s="1"/>
      <c r="GX522" s="1"/>
      <c r="GY522" s="1"/>
      <c r="GZ522" s="1"/>
      <c r="HA522" s="1"/>
      <c r="HB522" s="1"/>
      <c r="HC522" s="1"/>
      <c r="HD522" s="1"/>
      <c r="HE522" s="1"/>
      <c r="HF522" s="1"/>
      <c r="HG522" s="1"/>
      <c r="HH522" s="1"/>
      <c r="HI522" s="1"/>
      <c r="HJ522" s="1"/>
      <c r="HK522" s="1"/>
      <c r="HL522" s="1"/>
      <c r="HM522" s="1"/>
      <c r="HN522" s="1"/>
      <c r="HO522" s="1"/>
      <c r="HP522" s="1"/>
      <c r="HQ522" s="1"/>
      <c r="HR522" s="1"/>
      <c r="HS522" s="1"/>
      <c r="HT522" s="1"/>
      <c r="HU522" s="1"/>
      <c r="HV522" s="1"/>
      <c r="HW522" s="1"/>
      <c r="HX522" s="1"/>
      <c r="HY522" s="1"/>
      <c r="HZ522" s="1"/>
      <c r="IA522" s="1"/>
      <c r="IB522" s="1"/>
      <c r="IC522" s="1"/>
      <c r="ID522" s="1"/>
      <c r="IE522" s="1"/>
      <c r="IF522" s="1"/>
      <c r="IG522" s="1"/>
      <c r="IH522" s="1"/>
      <c r="II522" s="1"/>
      <c r="IJ522" s="1"/>
      <c r="IK522" s="1"/>
      <c r="IL522" s="1"/>
      <c r="IM522" s="1"/>
      <c r="IN522" s="1"/>
      <c r="IO522" s="1"/>
      <c r="IP522" s="1"/>
      <c r="IQ522" s="1"/>
    </row>
    <row r="523" spans="1:251" s="2135" customFormat="1">
      <c r="A523" s="2130"/>
      <c r="B523" s="2131"/>
      <c r="C523" s="2131"/>
      <c r="D523" s="2133" t="s">
        <v>3819</v>
      </c>
      <c r="E523" s="2133"/>
      <c r="F523" s="2133"/>
      <c r="G523" s="2133"/>
      <c r="H523" s="2133"/>
      <c r="I523" s="2133"/>
      <c r="J523" s="2133"/>
      <c r="K523" s="2133"/>
      <c r="L523" s="2133"/>
      <c r="M523" s="2133"/>
      <c r="N523" s="2133"/>
      <c r="O523" s="2133"/>
      <c r="P523" s="2133"/>
      <c r="Q523" s="2133"/>
      <c r="R523" s="2133"/>
      <c r="S523" s="2133"/>
      <c r="T523" s="2133"/>
      <c r="U523" s="2133"/>
      <c r="V523" s="2134">
        <f t="shared" ref="V523:AD523" si="570">V1089/V429</f>
        <v>0</v>
      </c>
      <c r="W523" s="2134">
        <f t="shared" si="570"/>
        <v>0</v>
      </c>
      <c r="X523" s="2134">
        <f t="shared" si="570"/>
        <v>0</v>
      </c>
      <c r="Y523" s="2134">
        <f t="shared" si="570"/>
        <v>0</v>
      </c>
      <c r="Z523" s="2134">
        <f t="shared" si="570"/>
        <v>0</v>
      </c>
      <c r="AA523" s="2134">
        <f t="shared" si="570"/>
        <v>0</v>
      </c>
      <c r="AB523" s="2134">
        <f t="shared" si="570"/>
        <v>0</v>
      </c>
      <c r="AC523" s="2134">
        <f t="shared" si="570"/>
        <v>0</v>
      </c>
      <c r="AD523" s="2134">
        <f t="shared" si="570"/>
        <v>0</v>
      </c>
      <c r="AE523" s="2149">
        <f>AE1086/AE248</f>
        <v>0</v>
      </c>
      <c r="AF523" s="2149">
        <f>AF1086/AF248</f>
        <v>0</v>
      </c>
      <c r="AG523" s="2149">
        <f>AG1086/AG248</f>
        <v>0</v>
      </c>
      <c r="AH523" s="2149">
        <f>(AH1086)/(((AG248+AH248)/2)*AH259/1000)</f>
        <v>4.5515227987395469E-2</v>
      </c>
      <c r="AI523" s="2149">
        <f>(AI1086)/(((AH248+AI248)/2)*AI259/1000)</f>
        <v>5.3748307682217285E-2</v>
      </c>
      <c r="AJ523" s="2149">
        <f>(AJ1086)/(((AI248+AJ248)/2)*AJ259/1000)</f>
        <v>1.0709591594189084E-2</v>
      </c>
      <c r="AK523" s="2149">
        <f t="shared" ref="AK523:AT523" si="571">AJ523*AK524</f>
        <v>1.0709591594189084E-2</v>
      </c>
      <c r="AL523" s="2149">
        <f t="shared" si="571"/>
        <v>1.0709591594189084E-2</v>
      </c>
      <c r="AM523" s="2149">
        <f t="shared" si="571"/>
        <v>1.0709591594189084E-2</v>
      </c>
      <c r="AN523" s="2149">
        <f t="shared" si="571"/>
        <v>1.0709591594189084E-2</v>
      </c>
      <c r="AO523" s="2149">
        <f t="shared" si="571"/>
        <v>1.0709591594189084E-2</v>
      </c>
      <c r="AP523" s="2149">
        <f t="shared" si="571"/>
        <v>1.0923783426072866E-2</v>
      </c>
      <c r="AQ523" s="2149">
        <f t="shared" si="571"/>
        <v>1.1797686100158696E-2</v>
      </c>
      <c r="AR523" s="2149">
        <f t="shared" si="571"/>
        <v>1.2741500988171391E-2</v>
      </c>
      <c r="AS523" s="2149">
        <f t="shared" si="571"/>
        <v>1.3760821067225103E-2</v>
      </c>
      <c r="AT523" s="2661">
        <f t="shared" si="571"/>
        <v>1.4861686752603112E-2</v>
      </c>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c r="ES523" s="1"/>
      <c r="ET523" s="1"/>
      <c r="EU523" s="1"/>
      <c r="EV523" s="1"/>
      <c r="EW523" s="1"/>
      <c r="EX523" s="1"/>
      <c r="EY523" s="1"/>
      <c r="EZ523" s="1"/>
      <c r="FA523" s="1"/>
      <c r="FB523" s="1"/>
      <c r="FC523" s="1"/>
      <c r="FD523" s="1"/>
      <c r="FE523" s="1"/>
      <c r="FF523" s="1"/>
      <c r="FG523" s="1"/>
      <c r="FH523" s="1"/>
      <c r="FI523" s="1"/>
      <c r="FJ523" s="1"/>
      <c r="FK523" s="1"/>
      <c r="FL523" s="1"/>
      <c r="FM523" s="1"/>
      <c r="FN523" s="1"/>
      <c r="FO523" s="1"/>
      <c r="FP523" s="1"/>
      <c r="FQ523" s="1"/>
      <c r="FR523" s="1"/>
      <c r="FS523" s="1"/>
      <c r="FT523" s="1"/>
      <c r="FU523" s="1"/>
      <c r="FV523" s="1"/>
      <c r="FW523" s="1"/>
      <c r="FX523" s="1"/>
      <c r="FY523" s="1"/>
      <c r="FZ523" s="1"/>
      <c r="GA523" s="1"/>
      <c r="GB523" s="1"/>
      <c r="GC523" s="1"/>
      <c r="GD523" s="1"/>
      <c r="GE523" s="1"/>
      <c r="GF523" s="1"/>
      <c r="GG523" s="1"/>
      <c r="GH523" s="1"/>
      <c r="GI523" s="1"/>
      <c r="GJ523" s="1"/>
      <c r="GK523" s="1"/>
      <c r="GL523" s="1"/>
      <c r="GM523" s="1"/>
      <c r="GN523" s="1"/>
      <c r="GO523" s="1"/>
      <c r="GP523" s="1"/>
      <c r="GQ523" s="1"/>
      <c r="GR523" s="1"/>
      <c r="GS523" s="1"/>
      <c r="GT523" s="1"/>
      <c r="GU523" s="1"/>
      <c r="GV523" s="1"/>
      <c r="GW523" s="1"/>
      <c r="GX523" s="1"/>
      <c r="GY523" s="1"/>
      <c r="GZ523" s="1"/>
      <c r="HA523" s="1"/>
      <c r="HB523" s="1"/>
      <c r="HC523" s="1"/>
      <c r="HD523" s="1"/>
      <c r="HE523" s="1"/>
      <c r="HF523" s="1"/>
      <c r="HG523" s="1"/>
      <c r="HH523" s="1"/>
      <c r="HI523" s="1"/>
      <c r="HJ523" s="1"/>
      <c r="HK523" s="1"/>
      <c r="HL523" s="1"/>
      <c r="HM523" s="1"/>
      <c r="HN523" s="1"/>
      <c r="HO523" s="1"/>
      <c r="HP523" s="1"/>
      <c r="HQ523" s="1"/>
      <c r="HR523" s="1"/>
      <c r="HS523" s="1"/>
      <c r="HT523" s="1"/>
      <c r="HU523" s="1"/>
      <c r="HV523" s="1"/>
      <c r="HW523" s="1"/>
      <c r="HX523" s="1"/>
      <c r="HY523" s="1"/>
      <c r="HZ523" s="1"/>
      <c r="IA523" s="1"/>
      <c r="IB523" s="1"/>
      <c r="IC523" s="1"/>
      <c r="ID523" s="1"/>
      <c r="IE523" s="1"/>
      <c r="IF523" s="1"/>
      <c r="IG523" s="1"/>
      <c r="IH523" s="1"/>
      <c r="II523" s="1"/>
      <c r="IJ523" s="1"/>
      <c r="IK523" s="1"/>
      <c r="IL523" s="1"/>
      <c r="IM523" s="1"/>
      <c r="IN523" s="1"/>
      <c r="IO523" s="1"/>
      <c r="IP523" s="1"/>
      <c r="IQ523" s="1"/>
    </row>
    <row r="524" spans="1:251" s="2135" customFormat="1">
      <c r="A524" s="2130"/>
      <c r="B524" s="2131"/>
      <c r="C524" s="2131"/>
      <c r="D524" s="2136" t="s">
        <v>3773</v>
      </c>
      <c r="E524" s="2133"/>
      <c r="F524" s="2133"/>
      <c r="G524" s="2133"/>
      <c r="H524" s="2133"/>
      <c r="I524" s="2133"/>
      <c r="J524" s="2133"/>
      <c r="K524" s="2133"/>
      <c r="L524" s="2133"/>
      <c r="M524" s="2133"/>
      <c r="N524" s="2133"/>
      <c r="O524" s="2133"/>
      <c r="P524" s="2133"/>
      <c r="Q524" s="2133"/>
      <c r="R524" s="2133"/>
      <c r="S524" s="2133"/>
      <c r="T524" s="2133"/>
      <c r="U524" s="2133"/>
      <c r="V524" s="1007" t="e">
        <f t="shared" ref="V524" si="572">+V523/U523</f>
        <v>#DIV/0!</v>
      </c>
      <c r="W524" s="1007" t="e">
        <f t="shared" ref="W524" si="573">+W523/V523</f>
        <v>#DIV/0!</v>
      </c>
      <c r="X524" s="1007" t="e">
        <f t="shared" ref="X524" si="574">+X523/W523</f>
        <v>#DIV/0!</v>
      </c>
      <c r="Y524" s="1007" t="e">
        <f t="shared" ref="Y524" si="575">+Y523/X523</f>
        <v>#DIV/0!</v>
      </c>
      <c r="Z524" s="1007" t="e">
        <f t="shared" ref="Z524" si="576">+Z523/Y523</f>
        <v>#DIV/0!</v>
      </c>
      <c r="AA524" s="1007" t="e">
        <f t="shared" ref="AA524" si="577">+AA523/Z523</f>
        <v>#DIV/0!</v>
      </c>
      <c r="AB524" s="1007" t="e">
        <f t="shared" ref="AB524" si="578">+AB523/AA523</f>
        <v>#DIV/0!</v>
      </c>
      <c r="AC524" s="1007" t="e">
        <f t="shared" ref="AC524" si="579">+AC523/AB523</f>
        <v>#DIV/0!</v>
      </c>
      <c r="AD524" s="1007" t="e">
        <f t="shared" ref="AD524" si="580">+AD523/AC523</f>
        <v>#DIV/0!</v>
      </c>
      <c r="AE524" s="1007" t="e">
        <f t="shared" ref="AE524" si="581">+AE523/AD523</f>
        <v>#DIV/0!</v>
      </c>
      <c r="AF524" s="1007" t="e">
        <f>+AF523/AE523</f>
        <v>#DIV/0!</v>
      </c>
      <c r="AG524" s="1007" t="e">
        <f t="shared" ref="AG524:AH524" si="582">+AG523/AF523</f>
        <v>#DIV/0!</v>
      </c>
      <c r="AH524" s="1007" t="e">
        <f t="shared" si="582"/>
        <v>#DIV/0!</v>
      </c>
      <c r="AI524" s="1007">
        <f>+AI523/AH523</f>
        <v>1.1808862672752469</v>
      </c>
      <c r="AJ524" s="1007">
        <f>+AJ523/AI523</f>
        <v>0.19925448922985103</v>
      </c>
      <c r="AK524" s="1007">
        <v>1</v>
      </c>
      <c r="AL524" s="1007">
        <v>1</v>
      </c>
      <c r="AM524" s="1007">
        <v>1</v>
      </c>
      <c r="AN524" s="1007">
        <v>1</v>
      </c>
      <c r="AO524" s="1007">
        <v>1</v>
      </c>
      <c r="AP524" s="1007">
        <v>1.02</v>
      </c>
      <c r="AQ524" s="1007">
        <v>1.08</v>
      </c>
      <c r="AR524" s="1007">
        <v>1.08</v>
      </c>
      <c r="AS524" s="1007">
        <v>1.08</v>
      </c>
      <c r="AT524" s="1007">
        <v>1.08</v>
      </c>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c r="EO524" s="1"/>
      <c r="EP524" s="1"/>
      <c r="EQ524" s="1"/>
      <c r="ER524" s="1"/>
      <c r="ES524" s="1"/>
      <c r="ET524" s="1"/>
      <c r="EU524" s="1"/>
      <c r="EV524" s="1"/>
      <c r="EW524" s="1"/>
      <c r="EX524" s="1"/>
      <c r="EY524" s="1"/>
      <c r="EZ524" s="1"/>
      <c r="FA524" s="1"/>
      <c r="FB524" s="1"/>
      <c r="FC524" s="1"/>
      <c r="FD524" s="1"/>
      <c r="FE524" s="1"/>
      <c r="FF524" s="1"/>
      <c r="FG524" s="1"/>
      <c r="FH524" s="1"/>
      <c r="FI524" s="1"/>
      <c r="FJ524" s="1"/>
      <c r="FK524" s="1"/>
      <c r="FL524" s="1"/>
      <c r="FM524" s="1"/>
      <c r="FN524" s="1"/>
      <c r="FO524" s="1"/>
      <c r="FP524" s="1"/>
      <c r="FQ524" s="1"/>
      <c r="FR524" s="1"/>
      <c r="FS524" s="1"/>
      <c r="FT524" s="1"/>
      <c r="FU524" s="1"/>
      <c r="FV524" s="1"/>
      <c r="FW524" s="1"/>
      <c r="FX524" s="1"/>
      <c r="FY524" s="1"/>
      <c r="FZ524" s="1"/>
      <c r="GA524" s="1"/>
      <c r="GB524" s="1"/>
      <c r="GC524" s="1"/>
      <c r="GD524" s="1"/>
      <c r="GE524" s="1"/>
      <c r="GF524" s="1"/>
      <c r="GG524" s="1"/>
      <c r="GH524" s="1"/>
      <c r="GI524" s="1"/>
      <c r="GJ524" s="1"/>
      <c r="GK524" s="1"/>
      <c r="GL524" s="1"/>
      <c r="GM524" s="1"/>
      <c r="GN524" s="1"/>
      <c r="GO524" s="1"/>
      <c r="GP524" s="1"/>
      <c r="GQ524" s="1"/>
      <c r="GR524" s="1"/>
      <c r="GS524" s="1"/>
      <c r="GT524" s="1"/>
      <c r="GU524" s="1"/>
      <c r="GV524" s="1"/>
      <c r="GW524" s="1"/>
      <c r="GX524" s="1"/>
      <c r="GY524" s="1"/>
      <c r="GZ524" s="1"/>
      <c r="HA524" s="1"/>
      <c r="HB524" s="1"/>
      <c r="HC524" s="1"/>
      <c r="HD524" s="1"/>
      <c r="HE524" s="1"/>
      <c r="HF524" s="1"/>
      <c r="HG524" s="1"/>
      <c r="HH524" s="1"/>
      <c r="HI524" s="1"/>
      <c r="HJ524" s="1"/>
      <c r="HK524" s="1"/>
      <c r="HL524" s="1"/>
      <c r="HM524" s="1"/>
      <c r="HN524" s="1"/>
      <c r="HO524" s="1"/>
      <c r="HP524" s="1"/>
      <c r="HQ524" s="1"/>
      <c r="HR524" s="1"/>
      <c r="HS524" s="1"/>
      <c r="HT524" s="1"/>
      <c r="HU524" s="1"/>
      <c r="HV524" s="1"/>
      <c r="HW524" s="1"/>
      <c r="HX524" s="1"/>
      <c r="HY524" s="1"/>
      <c r="HZ524" s="1"/>
      <c r="IA524" s="1"/>
      <c r="IB524" s="1"/>
      <c r="IC524" s="1"/>
      <c r="ID524" s="1"/>
      <c r="IE524" s="1"/>
      <c r="IF524" s="1"/>
      <c r="IG524" s="1"/>
      <c r="IH524" s="1"/>
      <c r="II524" s="1"/>
      <c r="IJ524" s="1"/>
      <c r="IK524" s="1"/>
      <c r="IL524" s="1"/>
      <c r="IM524" s="1"/>
      <c r="IN524" s="1"/>
      <c r="IO524" s="1"/>
      <c r="IP524" s="1"/>
      <c r="IQ524" s="1"/>
    </row>
    <row r="525" spans="1:251" s="2135" customFormat="1">
      <c r="A525" s="2130"/>
      <c r="B525" s="2131"/>
      <c r="C525" s="2131"/>
      <c r="D525" s="2136"/>
      <c r="E525" s="2133"/>
      <c r="F525" s="2133"/>
      <c r="G525" s="2133"/>
      <c r="H525" s="2133"/>
      <c r="I525" s="2133"/>
      <c r="J525" s="2133"/>
      <c r="K525" s="2133"/>
      <c r="L525" s="2133"/>
      <c r="M525" s="2133"/>
      <c r="N525" s="2133"/>
      <c r="O525" s="2133"/>
      <c r="P525" s="2133"/>
      <c r="Q525" s="2133"/>
      <c r="R525" s="2133"/>
      <c r="S525" s="2133"/>
      <c r="T525" s="2133"/>
      <c r="U525" s="2133"/>
      <c r="V525" s="1007"/>
      <c r="W525" s="1007"/>
      <c r="X525" s="1007"/>
      <c r="Y525" s="1007"/>
      <c r="Z525" s="1007"/>
      <c r="AA525" s="1007"/>
      <c r="AB525" s="1007"/>
      <c r="AC525" s="1007"/>
      <c r="AD525" s="1007"/>
      <c r="AE525" s="1007"/>
      <c r="AF525" s="1007"/>
      <c r="AG525" s="1007"/>
      <c r="AH525" s="1007"/>
      <c r="AI525" s="1007"/>
      <c r="AJ525" s="1007"/>
      <c r="AK525" s="1007"/>
      <c r="AL525" s="1007"/>
      <c r="AM525" s="1007"/>
      <c r="AN525" s="1007"/>
      <c r="AO525" s="1007"/>
      <c r="AP525" s="1007"/>
      <c r="AQ525" s="1007"/>
      <c r="AR525" s="1007"/>
      <c r="AS525" s="1007"/>
      <c r="AT525" s="2633"/>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c r="EO525" s="1"/>
      <c r="EP525" s="1"/>
      <c r="EQ525" s="1"/>
      <c r="ER525" s="1"/>
      <c r="ES525" s="1"/>
      <c r="ET525" s="1"/>
      <c r="EU525" s="1"/>
      <c r="EV525" s="1"/>
      <c r="EW525" s="1"/>
      <c r="EX525" s="1"/>
      <c r="EY525" s="1"/>
      <c r="EZ525" s="1"/>
      <c r="FA525" s="1"/>
      <c r="FB525" s="1"/>
      <c r="FC525" s="1"/>
      <c r="FD525" s="1"/>
      <c r="FE525" s="1"/>
      <c r="FF525" s="1"/>
      <c r="FG525" s="1"/>
      <c r="FH525" s="1"/>
      <c r="FI525" s="1"/>
      <c r="FJ525" s="1"/>
      <c r="FK525" s="1"/>
      <c r="FL525" s="1"/>
      <c r="FM525" s="1"/>
      <c r="FN525" s="1"/>
      <c r="FO525" s="1"/>
      <c r="FP525" s="1"/>
      <c r="FQ525" s="1"/>
      <c r="FR525" s="1"/>
      <c r="FS525" s="1"/>
      <c r="FT525" s="1"/>
      <c r="FU525" s="1"/>
      <c r="FV525" s="1"/>
      <c r="FW525" s="1"/>
      <c r="FX525" s="1"/>
      <c r="FY525" s="1"/>
      <c r="FZ525" s="1"/>
      <c r="GA525" s="1"/>
      <c r="GB525" s="1"/>
      <c r="GC525" s="1"/>
      <c r="GD525" s="1"/>
      <c r="GE525" s="1"/>
      <c r="GF525" s="1"/>
      <c r="GG525" s="1"/>
      <c r="GH525" s="1"/>
      <c r="GI525" s="1"/>
      <c r="GJ525" s="1"/>
      <c r="GK525" s="1"/>
      <c r="GL525" s="1"/>
      <c r="GM525" s="1"/>
      <c r="GN525" s="1"/>
      <c r="GO525" s="1"/>
      <c r="GP525" s="1"/>
      <c r="GQ525" s="1"/>
      <c r="GR525" s="1"/>
      <c r="GS525" s="1"/>
      <c r="GT525" s="1"/>
      <c r="GU525" s="1"/>
      <c r="GV525" s="1"/>
      <c r="GW525" s="1"/>
      <c r="GX525" s="1"/>
      <c r="GY525" s="1"/>
      <c r="GZ525" s="1"/>
      <c r="HA525" s="1"/>
      <c r="HB525" s="1"/>
      <c r="HC525" s="1"/>
      <c r="HD525" s="1"/>
      <c r="HE525" s="1"/>
      <c r="HF525" s="1"/>
      <c r="HG525" s="1"/>
      <c r="HH525" s="1"/>
      <c r="HI525" s="1"/>
      <c r="HJ525" s="1"/>
      <c r="HK525" s="1"/>
      <c r="HL525" s="1"/>
      <c r="HM525" s="1"/>
      <c r="HN525" s="1"/>
      <c r="HO525" s="1"/>
      <c r="HP525" s="1"/>
      <c r="HQ525" s="1"/>
      <c r="HR525" s="1"/>
      <c r="HS525" s="1"/>
      <c r="HT525" s="1"/>
      <c r="HU525" s="1"/>
      <c r="HV525" s="1"/>
      <c r="HW525" s="1"/>
      <c r="HX525" s="1"/>
      <c r="HY525" s="1"/>
      <c r="HZ525" s="1"/>
      <c r="IA525" s="1"/>
      <c r="IB525" s="1"/>
      <c r="IC525" s="1"/>
      <c r="ID525" s="1"/>
      <c r="IE525" s="1"/>
      <c r="IF525" s="1"/>
      <c r="IG525" s="1"/>
      <c r="IH525" s="1"/>
      <c r="II525" s="1"/>
      <c r="IJ525" s="1"/>
      <c r="IK525" s="1"/>
      <c r="IL525" s="1"/>
      <c r="IM525" s="1"/>
      <c r="IN525" s="1"/>
      <c r="IO525" s="1"/>
      <c r="IP525" s="1"/>
      <c r="IQ525" s="1"/>
    </row>
    <row r="526" spans="1:251" s="2135" customFormat="1">
      <c r="A526" s="2130"/>
      <c r="B526" s="2131"/>
      <c r="C526" s="2131"/>
      <c r="D526" s="2132" t="s">
        <v>3820</v>
      </c>
      <c r="E526" s="2133"/>
      <c r="F526" s="2133"/>
      <c r="G526" s="2133"/>
      <c r="H526" s="2133"/>
      <c r="I526" s="2133"/>
      <c r="J526" s="2133"/>
      <c r="K526" s="2133"/>
      <c r="L526" s="2133"/>
      <c r="M526" s="2133"/>
      <c r="N526" s="2133"/>
      <c r="O526" s="2133"/>
      <c r="P526" s="2133"/>
      <c r="Q526" s="2133"/>
      <c r="R526" s="2133"/>
      <c r="S526" s="2133"/>
      <c r="T526" s="2133"/>
      <c r="U526" s="2133"/>
      <c r="V526" s="2134" t="e">
        <f t="shared" ref="V526:AD526" si="583">V1093/V433</f>
        <v>#DIV/0!</v>
      </c>
      <c r="W526" s="2134" t="e">
        <f t="shared" si="583"/>
        <v>#DIV/0!</v>
      </c>
      <c r="X526" s="2134" t="e">
        <f t="shared" si="583"/>
        <v>#DIV/0!</v>
      </c>
      <c r="Y526" s="2134" t="e">
        <f t="shared" si="583"/>
        <v>#DIV/0!</v>
      </c>
      <c r="Z526" s="2134">
        <f t="shared" si="583"/>
        <v>4.742205437412763E-2</v>
      </c>
      <c r="AA526" s="2134">
        <f t="shared" si="583"/>
        <v>0.30181364300751823</v>
      </c>
      <c r="AB526" s="2134">
        <f t="shared" si="583"/>
        <v>0</v>
      </c>
      <c r="AC526" s="2134">
        <f t="shared" si="583"/>
        <v>0</v>
      </c>
      <c r="AD526" s="2134">
        <f t="shared" si="583"/>
        <v>1.6259744954343985E-2</v>
      </c>
      <c r="AE526" s="2134">
        <f t="shared" ref="AE526:AT526" si="584">AE1087/(AE250+AE251)</f>
        <v>0</v>
      </c>
      <c r="AF526" s="2134">
        <f t="shared" si="584"/>
        <v>0</v>
      </c>
      <c r="AG526" s="2134">
        <f t="shared" si="584"/>
        <v>0</v>
      </c>
      <c r="AH526" s="2134">
        <f t="shared" si="584"/>
        <v>2.3867993593203345E-4</v>
      </c>
      <c r="AI526" s="2134">
        <f t="shared" si="584"/>
        <v>2.2195627151879019E-4</v>
      </c>
      <c r="AJ526" s="2134">
        <f t="shared" ref="AJ526" si="585">AJ1087/(AJ250+AJ251)</f>
        <v>1.6265035526841904E-4</v>
      </c>
      <c r="AK526" s="2134">
        <f t="shared" si="584"/>
        <v>1.2630734848622112E-4</v>
      </c>
      <c r="AL526" s="2134">
        <f t="shared" si="584"/>
        <v>1.4300245066255335E-4</v>
      </c>
      <c r="AM526" s="2134">
        <f t="shared" si="584"/>
        <v>1.4347578509864436E-4</v>
      </c>
      <c r="AN526" s="2134">
        <f t="shared" si="584"/>
        <v>1.4347846076145188E-4</v>
      </c>
      <c r="AO526" s="2134">
        <f t="shared" si="584"/>
        <v>1.4753090675873181E-4</v>
      </c>
      <c r="AP526" s="2134">
        <f t="shared" si="584"/>
        <v>1.5127152606636318E-4</v>
      </c>
      <c r="AQ526" s="2134">
        <f t="shared" si="584"/>
        <v>1.6336744019332803E-4</v>
      </c>
      <c r="AR526" s="2134">
        <f t="shared" si="584"/>
        <v>1.7641580676632887E-4</v>
      </c>
      <c r="AS526" s="2134">
        <f t="shared" si="584"/>
        <v>1.9061322823271104E-4</v>
      </c>
      <c r="AT526" s="2660">
        <f t="shared" si="584"/>
        <v>2.0600938339027929E-4</v>
      </c>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c r="EO526" s="1"/>
      <c r="EP526" s="1"/>
      <c r="EQ526" s="1"/>
      <c r="ER526" s="1"/>
      <c r="ES526" s="1"/>
      <c r="ET526" s="1"/>
      <c r="EU526" s="1"/>
      <c r="EV526" s="1"/>
      <c r="EW526" s="1"/>
      <c r="EX526" s="1"/>
      <c r="EY526" s="1"/>
      <c r="EZ526" s="1"/>
      <c r="FA526" s="1"/>
      <c r="FB526" s="1"/>
      <c r="FC526" s="1"/>
      <c r="FD526" s="1"/>
      <c r="FE526" s="1"/>
      <c r="FF526" s="1"/>
      <c r="FG526" s="1"/>
      <c r="FH526" s="1"/>
      <c r="FI526" s="1"/>
      <c r="FJ526" s="1"/>
      <c r="FK526" s="1"/>
      <c r="FL526" s="1"/>
      <c r="FM526" s="1"/>
      <c r="FN526" s="1"/>
      <c r="FO526" s="1"/>
      <c r="FP526" s="1"/>
      <c r="FQ526" s="1"/>
      <c r="FR526" s="1"/>
      <c r="FS526" s="1"/>
      <c r="FT526" s="1"/>
      <c r="FU526" s="1"/>
      <c r="FV526" s="1"/>
      <c r="FW526" s="1"/>
      <c r="FX526" s="1"/>
      <c r="FY526" s="1"/>
      <c r="FZ526" s="1"/>
      <c r="GA526" s="1"/>
      <c r="GB526" s="1"/>
      <c r="GC526" s="1"/>
      <c r="GD526" s="1"/>
      <c r="GE526" s="1"/>
      <c r="GF526" s="1"/>
      <c r="GG526" s="1"/>
      <c r="GH526" s="1"/>
      <c r="GI526" s="1"/>
      <c r="GJ526" s="1"/>
      <c r="GK526" s="1"/>
      <c r="GL526" s="1"/>
      <c r="GM526" s="1"/>
      <c r="GN526" s="1"/>
      <c r="GO526" s="1"/>
      <c r="GP526" s="1"/>
      <c r="GQ526" s="1"/>
      <c r="GR526" s="1"/>
      <c r="GS526" s="1"/>
      <c r="GT526" s="1"/>
      <c r="GU526" s="1"/>
      <c r="GV526" s="1"/>
      <c r="GW526" s="1"/>
      <c r="GX526" s="1"/>
      <c r="GY526" s="1"/>
      <c r="GZ526" s="1"/>
      <c r="HA526" s="1"/>
      <c r="HB526" s="1"/>
      <c r="HC526" s="1"/>
      <c r="HD526" s="1"/>
      <c r="HE526" s="1"/>
      <c r="HF526" s="1"/>
      <c r="HG526" s="1"/>
      <c r="HH526" s="1"/>
      <c r="HI526" s="1"/>
      <c r="HJ526" s="1"/>
      <c r="HK526" s="1"/>
      <c r="HL526" s="1"/>
      <c r="HM526" s="1"/>
      <c r="HN526" s="1"/>
      <c r="HO526" s="1"/>
      <c r="HP526" s="1"/>
      <c r="HQ526" s="1"/>
      <c r="HR526" s="1"/>
      <c r="HS526" s="1"/>
      <c r="HT526" s="1"/>
      <c r="HU526" s="1"/>
      <c r="HV526" s="1"/>
      <c r="HW526" s="1"/>
      <c r="HX526" s="1"/>
      <c r="HY526" s="1"/>
      <c r="HZ526" s="1"/>
      <c r="IA526" s="1"/>
      <c r="IB526" s="1"/>
      <c r="IC526" s="1"/>
      <c r="ID526" s="1"/>
      <c r="IE526" s="1"/>
      <c r="IF526" s="1"/>
      <c r="IG526" s="1"/>
      <c r="IH526" s="1"/>
      <c r="II526" s="1"/>
      <c r="IJ526" s="1"/>
      <c r="IK526" s="1"/>
      <c r="IL526" s="1"/>
      <c r="IM526" s="1"/>
      <c r="IN526" s="1"/>
      <c r="IO526" s="1"/>
      <c r="IP526" s="1"/>
      <c r="IQ526" s="1"/>
    </row>
    <row r="527" spans="1:251" s="2135" customFormat="1">
      <c r="A527" s="2130"/>
      <c r="B527" s="2131"/>
      <c r="C527" s="2131"/>
      <c r="D527" s="2133" t="s">
        <v>3774</v>
      </c>
      <c r="E527" s="2133"/>
      <c r="F527" s="2133"/>
      <c r="G527" s="2133"/>
      <c r="H527" s="2133"/>
      <c r="I527" s="2133"/>
      <c r="J527" s="2133"/>
      <c r="K527" s="2133"/>
      <c r="L527" s="2133"/>
      <c r="M527" s="2133"/>
      <c r="N527" s="2133"/>
      <c r="O527" s="2133"/>
      <c r="P527" s="2133"/>
      <c r="Q527" s="2133"/>
      <c r="R527" s="2133"/>
      <c r="S527" s="2133"/>
      <c r="T527" s="2133"/>
      <c r="U527" s="2133"/>
      <c r="V527" s="2134" t="e">
        <f t="shared" ref="V527:AD527" si="586">V1093/V433</f>
        <v>#DIV/0!</v>
      </c>
      <c r="W527" s="2134" t="e">
        <f t="shared" si="586"/>
        <v>#DIV/0!</v>
      </c>
      <c r="X527" s="2134" t="e">
        <f t="shared" si="586"/>
        <v>#DIV/0!</v>
      </c>
      <c r="Y527" s="2134" t="e">
        <f t="shared" si="586"/>
        <v>#DIV/0!</v>
      </c>
      <c r="Z527" s="2134">
        <f t="shared" si="586"/>
        <v>4.742205437412763E-2</v>
      </c>
      <c r="AA527" s="2134">
        <f t="shared" si="586"/>
        <v>0.30181364300751823</v>
      </c>
      <c r="AB527" s="2134">
        <f t="shared" si="586"/>
        <v>0</v>
      </c>
      <c r="AC527" s="2134">
        <f t="shared" si="586"/>
        <v>0</v>
      </c>
      <c r="AD527" s="2134">
        <f t="shared" si="586"/>
        <v>1.6259744954343985E-2</v>
      </c>
      <c r="AE527" s="2134">
        <f>AE1087/(AE250+AE251)</f>
        <v>0</v>
      </c>
      <c r="AF527" s="2268">
        <f>AF1087/AF530*1000</f>
        <v>0</v>
      </c>
      <c r="AG527" s="2268">
        <f>AG1087/AG530*1000</f>
        <v>0</v>
      </c>
      <c r="AH527" s="2268">
        <f>AH1087/AH530*1000</f>
        <v>204.64586172901534</v>
      </c>
      <c r="AI527" s="2268">
        <f>AI1087/AI530*1000</f>
        <v>216.202423982814</v>
      </c>
      <c r="AJ527" s="2268">
        <f>AJ1087/AJ530*1000</f>
        <v>132.19920293431085</v>
      </c>
      <c r="AK527" s="2134">
        <f t="shared" ref="AK527:AN527" si="587">AJ527*AK528</f>
        <v>132.19920293431085</v>
      </c>
      <c r="AL527" s="2134">
        <f t="shared" si="587"/>
        <v>132.19920293431085</v>
      </c>
      <c r="AM527" s="2134">
        <f t="shared" si="587"/>
        <v>132.19920293431085</v>
      </c>
      <c r="AN527" s="2134">
        <f t="shared" si="587"/>
        <v>132.19920293431085</v>
      </c>
      <c r="AO527" s="2134">
        <f t="shared" ref="AO527" si="588">AN527*AO528</f>
        <v>136.16517902234017</v>
      </c>
      <c r="AP527" s="2134">
        <f t="shared" ref="AP527" si="589">AO527*AP528</f>
        <v>138.88848260278698</v>
      </c>
      <c r="AQ527" s="2134">
        <f t="shared" ref="AQ527" si="590">AP527*AQ528</f>
        <v>149.99956121100996</v>
      </c>
      <c r="AR527" s="2134">
        <f t="shared" ref="AR527" si="591">AQ527*AR528</f>
        <v>161.99952610789077</v>
      </c>
      <c r="AS527" s="2134">
        <f t="shared" ref="AS527" si="592">AR527*AS528</f>
        <v>174.95948819652205</v>
      </c>
      <c r="AT527" s="2660">
        <f t="shared" ref="AT527" si="593">AS527*AT528</f>
        <v>188.95624725224383</v>
      </c>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c r="ES527" s="1"/>
      <c r="ET527" s="1"/>
      <c r="EU527" s="1"/>
      <c r="EV527" s="1"/>
      <c r="EW527" s="1"/>
      <c r="EX527" s="1"/>
      <c r="EY527" s="1"/>
      <c r="EZ527" s="1"/>
      <c r="FA527" s="1"/>
      <c r="FB527" s="1"/>
      <c r="FC527" s="1"/>
      <c r="FD527" s="1"/>
      <c r="FE527" s="1"/>
      <c r="FF527" s="1"/>
      <c r="FG527" s="1"/>
      <c r="FH527" s="1"/>
      <c r="FI527" s="1"/>
      <c r="FJ527" s="1"/>
      <c r="FK527" s="1"/>
      <c r="FL527" s="1"/>
      <c r="FM527" s="1"/>
      <c r="FN527" s="1"/>
      <c r="FO527" s="1"/>
      <c r="FP527" s="1"/>
      <c r="FQ527" s="1"/>
      <c r="FR527" s="1"/>
      <c r="FS527" s="1"/>
      <c r="FT527" s="1"/>
      <c r="FU527" s="1"/>
      <c r="FV527" s="1"/>
      <c r="FW527" s="1"/>
      <c r="FX527" s="1"/>
      <c r="FY527" s="1"/>
      <c r="FZ527" s="1"/>
      <c r="GA527" s="1"/>
      <c r="GB527" s="1"/>
      <c r="GC527" s="1"/>
      <c r="GD527" s="1"/>
      <c r="GE527" s="1"/>
      <c r="GF527" s="1"/>
      <c r="GG527" s="1"/>
      <c r="GH527" s="1"/>
      <c r="GI527" s="1"/>
      <c r="GJ527" s="1"/>
      <c r="GK527" s="1"/>
      <c r="GL527" s="1"/>
      <c r="GM527" s="1"/>
      <c r="GN527" s="1"/>
      <c r="GO527" s="1"/>
      <c r="GP527" s="1"/>
      <c r="GQ527" s="1"/>
      <c r="GR527" s="1"/>
      <c r="GS527" s="1"/>
      <c r="GT527" s="1"/>
      <c r="GU527" s="1"/>
      <c r="GV527" s="1"/>
      <c r="GW527" s="1"/>
      <c r="GX527" s="1"/>
      <c r="GY527" s="1"/>
      <c r="GZ527" s="1"/>
      <c r="HA527" s="1"/>
      <c r="HB527" s="1"/>
      <c r="HC527" s="1"/>
      <c r="HD527" s="1"/>
      <c r="HE527" s="1"/>
      <c r="HF527" s="1"/>
      <c r="HG527" s="1"/>
      <c r="HH527" s="1"/>
      <c r="HI527" s="1"/>
      <c r="HJ527" s="1"/>
      <c r="HK527" s="1"/>
      <c r="HL527" s="1"/>
      <c r="HM527" s="1"/>
      <c r="HN527" s="1"/>
      <c r="HO527" s="1"/>
      <c r="HP527" s="1"/>
      <c r="HQ527" s="1"/>
      <c r="HR527" s="1"/>
      <c r="HS527" s="1"/>
      <c r="HT527" s="1"/>
      <c r="HU527" s="1"/>
      <c r="HV527" s="1"/>
      <c r="HW527" s="1"/>
      <c r="HX527" s="1"/>
      <c r="HY527" s="1"/>
      <c r="HZ527" s="1"/>
      <c r="IA527" s="1"/>
      <c r="IB527" s="1"/>
      <c r="IC527" s="1"/>
      <c r="ID527" s="1"/>
      <c r="IE527" s="1"/>
      <c r="IF527" s="1"/>
      <c r="IG527" s="1"/>
      <c r="IH527" s="1"/>
      <c r="II527" s="1"/>
      <c r="IJ527" s="1"/>
      <c r="IK527" s="1"/>
      <c r="IL527" s="1"/>
      <c r="IM527" s="1"/>
      <c r="IN527" s="1"/>
      <c r="IO527" s="1"/>
      <c r="IP527" s="1"/>
      <c r="IQ527" s="1"/>
    </row>
    <row r="528" spans="1:251" s="2135" customFormat="1">
      <c r="A528" s="2130"/>
      <c r="B528" s="2131"/>
      <c r="C528" s="2131"/>
      <c r="D528" s="2136" t="s">
        <v>3775</v>
      </c>
      <c r="E528" s="2133"/>
      <c r="F528" s="2133"/>
      <c r="G528" s="2133"/>
      <c r="H528" s="2133"/>
      <c r="I528" s="2133"/>
      <c r="J528" s="2133"/>
      <c r="K528" s="2133"/>
      <c r="L528" s="2133"/>
      <c r="M528" s="2133"/>
      <c r="N528" s="2133"/>
      <c r="O528" s="2133"/>
      <c r="P528" s="2133"/>
      <c r="Q528" s="2133"/>
      <c r="R528" s="2133"/>
      <c r="S528" s="2133"/>
      <c r="T528" s="2133"/>
      <c r="U528" s="2133"/>
      <c r="V528" s="1007" t="e">
        <f t="shared" ref="V528" si="594">+V527/U527</f>
        <v>#DIV/0!</v>
      </c>
      <c r="W528" s="1007" t="e">
        <f t="shared" ref="W528" si="595">+W527/V527</f>
        <v>#DIV/0!</v>
      </c>
      <c r="X528" s="1007" t="e">
        <f t="shared" ref="X528" si="596">+X527/W527</f>
        <v>#DIV/0!</v>
      </c>
      <c r="Y528" s="1007" t="e">
        <f t="shared" ref="Y528" si="597">+Y527/X527</f>
        <v>#DIV/0!</v>
      </c>
      <c r="Z528" s="1007" t="e">
        <f t="shared" ref="Z528" si="598">+Z527/Y527</f>
        <v>#DIV/0!</v>
      </c>
      <c r="AA528" s="1007">
        <f t="shared" ref="AA528" si="599">+AA527/Z527</f>
        <v>6.3644151859473368</v>
      </c>
      <c r="AB528" s="1007">
        <f t="shared" ref="AB528" si="600">+AB527/AA527</f>
        <v>0</v>
      </c>
      <c r="AC528" s="1007" t="e">
        <f t="shared" ref="AC528" si="601">+AC527/AB527</f>
        <v>#DIV/0!</v>
      </c>
      <c r="AD528" s="1007" t="e">
        <f t="shared" ref="AD528" si="602">+AD527/AC527</f>
        <v>#DIV/0!</v>
      </c>
      <c r="AE528" s="1007">
        <f t="shared" ref="AE528" si="603">+AE527/AD527</f>
        <v>0</v>
      </c>
      <c r="AF528" s="1007" t="e">
        <f t="shared" ref="AF528" si="604">+AF527/AE527</f>
        <v>#DIV/0!</v>
      </c>
      <c r="AG528" s="1007" t="e">
        <f t="shared" ref="AG528" si="605">+AG527/AF527</f>
        <v>#DIV/0!</v>
      </c>
      <c r="AH528" s="1007" t="e">
        <f>+AH527/AG527</f>
        <v>#DIV/0!</v>
      </c>
      <c r="AI528" s="1007">
        <f>AI527/AH527</f>
        <v>1.0564710283225831</v>
      </c>
      <c r="AJ528" s="1007">
        <f>AJ527/AI527</f>
        <v>0.61146031806201862</v>
      </c>
      <c r="AK528" s="1007">
        <v>1</v>
      </c>
      <c r="AL528" s="1007">
        <v>1</v>
      </c>
      <c r="AM528" s="1007">
        <v>1</v>
      </c>
      <c r="AN528" s="1007">
        <v>1</v>
      </c>
      <c r="AO528" s="1007">
        <v>1.03</v>
      </c>
      <c r="AP528" s="1007">
        <v>1.02</v>
      </c>
      <c r="AQ528" s="1007">
        <v>1.08</v>
      </c>
      <c r="AR528" s="1007">
        <v>1.08</v>
      </c>
      <c r="AS528" s="1007">
        <v>1.08</v>
      </c>
      <c r="AT528" s="1007">
        <v>1.08</v>
      </c>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c r="EO528" s="1"/>
      <c r="EP528" s="1"/>
      <c r="EQ528" s="1"/>
      <c r="ER528" s="1"/>
      <c r="ES528" s="1"/>
      <c r="ET528" s="1"/>
      <c r="EU528" s="1"/>
      <c r="EV528" s="1"/>
      <c r="EW528" s="1"/>
      <c r="EX528" s="1"/>
      <c r="EY528" s="1"/>
      <c r="EZ528" s="1"/>
      <c r="FA528" s="1"/>
      <c r="FB528" s="1"/>
      <c r="FC528" s="1"/>
      <c r="FD528" s="1"/>
      <c r="FE528" s="1"/>
      <c r="FF528" s="1"/>
      <c r="FG528" s="1"/>
      <c r="FH528" s="1"/>
      <c r="FI528" s="1"/>
      <c r="FJ528" s="1"/>
      <c r="FK528" s="1"/>
      <c r="FL528" s="1"/>
      <c r="FM528" s="1"/>
      <c r="FN528" s="1"/>
      <c r="FO528" s="1"/>
      <c r="FP528" s="1"/>
      <c r="FQ528" s="1"/>
      <c r="FR528" s="1"/>
      <c r="FS528" s="1"/>
      <c r="FT528" s="1"/>
      <c r="FU528" s="1"/>
      <c r="FV528" s="1"/>
      <c r="FW528" s="1"/>
      <c r="FX528" s="1"/>
      <c r="FY528" s="1"/>
      <c r="FZ528" s="1"/>
      <c r="GA528" s="1"/>
      <c r="GB528" s="1"/>
      <c r="GC528" s="1"/>
      <c r="GD528" s="1"/>
      <c r="GE528" s="1"/>
      <c r="GF528" s="1"/>
      <c r="GG528" s="1"/>
      <c r="GH528" s="1"/>
      <c r="GI528" s="1"/>
      <c r="GJ528" s="1"/>
      <c r="GK528" s="1"/>
      <c r="GL528" s="1"/>
      <c r="GM528" s="1"/>
      <c r="GN528" s="1"/>
      <c r="GO528" s="1"/>
      <c r="GP528" s="1"/>
      <c r="GQ528" s="1"/>
      <c r="GR528" s="1"/>
      <c r="GS528" s="1"/>
      <c r="GT528" s="1"/>
      <c r="GU528" s="1"/>
      <c r="GV528" s="1"/>
      <c r="GW528" s="1"/>
      <c r="GX528" s="1"/>
      <c r="GY528" s="1"/>
      <c r="GZ528" s="1"/>
      <c r="HA528" s="1"/>
      <c r="HB528" s="1"/>
      <c r="HC528" s="1"/>
      <c r="HD528" s="1"/>
      <c r="HE528" s="1"/>
      <c r="HF528" s="1"/>
      <c r="HG528" s="1"/>
      <c r="HH528" s="1"/>
      <c r="HI528" s="1"/>
      <c r="HJ528" s="1"/>
      <c r="HK528" s="1"/>
      <c r="HL528" s="1"/>
      <c r="HM528" s="1"/>
      <c r="HN528" s="1"/>
      <c r="HO528" s="1"/>
      <c r="HP528" s="1"/>
      <c r="HQ528" s="1"/>
      <c r="HR528" s="1"/>
      <c r="HS528" s="1"/>
      <c r="HT528" s="1"/>
      <c r="HU528" s="1"/>
      <c r="HV528" s="1"/>
      <c r="HW528" s="1"/>
      <c r="HX528" s="1"/>
      <c r="HY528" s="1"/>
      <c r="HZ528" s="1"/>
      <c r="IA528" s="1"/>
      <c r="IB528" s="1"/>
      <c r="IC528" s="1"/>
      <c r="ID528" s="1"/>
      <c r="IE528" s="1"/>
      <c r="IF528" s="1"/>
      <c r="IG528" s="1"/>
      <c r="IH528" s="1"/>
      <c r="II528" s="1"/>
      <c r="IJ528" s="1"/>
      <c r="IK528" s="1"/>
      <c r="IL528" s="1"/>
      <c r="IM528" s="1"/>
      <c r="IN528" s="1"/>
      <c r="IO528" s="1"/>
      <c r="IP528" s="1"/>
      <c r="IQ528" s="1"/>
    </row>
    <row r="529" spans="1:251" s="2135" customFormat="1">
      <c r="A529" s="2130"/>
      <c r="B529" s="2131"/>
      <c r="C529" s="2131"/>
      <c r="D529" s="2269" t="s">
        <v>3822</v>
      </c>
      <c r="E529" s="2270"/>
      <c r="F529" s="2270"/>
      <c r="G529" s="2270"/>
      <c r="H529" s="2270"/>
      <c r="I529" s="2270"/>
      <c r="J529" s="2270"/>
      <c r="K529" s="2270"/>
      <c r="L529" s="2270"/>
      <c r="M529" s="2270"/>
      <c r="N529" s="2270"/>
      <c r="O529" s="2270"/>
      <c r="P529" s="2270"/>
      <c r="Q529" s="2270"/>
      <c r="R529" s="2270"/>
      <c r="S529" s="2270"/>
      <c r="T529" s="2270"/>
      <c r="U529" s="2270"/>
      <c r="V529" s="2271"/>
      <c r="W529" s="2271"/>
      <c r="X529" s="2271"/>
      <c r="Y529" s="2271"/>
      <c r="Z529" s="2271"/>
      <c r="AA529" s="2271"/>
      <c r="AB529" s="2271"/>
      <c r="AC529" s="2271"/>
      <c r="AD529" s="2271"/>
      <c r="AE529" s="2271"/>
      <c r="AF529" s="2273">
        <f t="shared" ref="AF529:AH529" si="606">1/0.9</f>
        <v>1.1111111111111112</v>
      </c>
      <c r="AG529" s="2273">
        <f t="shared" si="606"/>
        <v>1.1111111111111112</v>
      </c>
      <c r="AH529" s="2273">
        <f t="shared" si="606"/>
        <v>1.1111111111111112</v>
      </c>
      <c r="AI529" s="2273">
        <f>1/0.9</f>
        <v>1.1111111111111112</v>
      </c>
      <c r="AJ529" s="2273">
        <f t="shared" ref="AJ529:AT529" si="607">1/0.9</f>
        <v>1.1111111111111112</v>
      </c>
      <c r="AK529" s="2273">
        <f t="shared" si="607"/>
        <v>1.1111111111111112</v>
      </c>
      <c r="AL529" s="2273">
        <f t="shared" si="607"/>
        <v>1.1111111111111112</v>
      </c>
      <c r="AM529" s="2273">
        <f t="shared" si="607"/>
        <v>1.1111111111111112</v>
      </c>
      <c r="AN529" s="2273">
        <f t="shared" si="607"/>
        <v>1.1111111111111112</v>
      </c>
      <c r="AO529" s="2273">
        <f t="shared" si="607"/>
        <v>1.1111111111111112</v>
      </c>
      <c r="AP529" s="2273">
        <f t="shared" si="607"/>
        <v>1.1111111111111112</v>
      </c>
      <c r="AQ529" s="2273">
        <f t="shared" si="607"/>
        <v>1.1111111111111112</v>
      </c>
      <c r="AR529" s="2273">
        <f t="shared" si="607"/>
        <v>1.1111111111111112</v>
      </c>
      <c r="AS529" s="2273">
        <f t="shared" si="607"/>
        <v>1.1111111111111112</v>
      </c>
      <c r="AT529" s="2273">
        <f t="shared" si="607"/>
        <v>1.1111111111111112</v>
      </c>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c r="ES529" s="1"/>
      <c r="ET529" s="1"/>
      <c r="EU529" s="1"/>
      <c r="EV529" s="1"/>
      <c r="EW529" s="1"/>
      <c r="EX529" s="1"/>
      <c r="EY529" s="1"/>
      <c r="EZ529" s="1"/>
      <c r="FA529" s="1"/>
      <c r="FB529" s="1"/>
      <c r="FC529" s="1"/>
      <c r="FD529" s="1"/>
      <c r="FE529" s="1"/>
      <c r="FF529" s="1"/>
      <c r="FG529" s="1"/>
      <c r="FH529" s="1"/>
      <c r="FI529" s="1"/>
      <c r="FJ529" s="1"/>
      <c r="FK529" s="1"/>
      <c r="FL529" s="1"/>
      <c r="FM529" s="1"/>
      <c r="FN529" s="1"/>
      <c r="FO529" s="1"/>
      <c r="FP529" s="1"/>
      <c r="FQ529" s="1"/>
      <c r="FR529" s="1"/>
      <c r="FS529" s="1"/>
      <c r="FT529" s="1"/>
      <c r="FU529" s="1"/>
      <c r="FV529" s="1"/>
      <c r="FW529" s="1"/>
      <c r="FX529" s="1"/>
      <c r="FY529" s="1"/>
      <c r="FZ529" s="1"/>
      <c r="GA529" s="1"/>
      <c r="GB529" s="1"/>
      <c r="GC529" s="1"/>
      <c r="GD529" s="1"/>
      <c r="GE529" s="1"/>
      <c r="GF529" s="1"/>
      <c r="GG529" s="1"/>
      <c r="GH529" s="1"/>
      <c r="GI529" s="1"/>
      <c r="GJ529" s="1"/>
      <c r="GK529" s="1"/>
      <c r="GL529" s="1"/>
      <c r="GM529" s="1"/>
      <c r="GN529" s="1"/>
      <c r="GO529" s="1"/>
      <c r="GP529" s="1"/>
      <c r="GQ529" s="1"/>
      <c r="GR529" s="1"/>
      <c r="GS529" s="1"/>
      <c r="GT529" s="1"/>
      <c r="GU529" s="1"/>
      <c r="GV529" s="1"/>
      <c r="GW529" s="1"/>
      <c r="GX529" s="1"/>
      <c r="GY529" s="1"/>
      <c r="GZ529" s="1"/>
      <c r="HA529" s="1"/>
      <c r="HB529" s="1"/>
      <c r="HC529" s="1"/>
      <c r="HD529" s="1"/>
      <c r="HE529" s="1"/>
      <c r="HF529" s="1"/>
      <c r="HG529" s="1"/>
      <c r="HH529" s="1"/>
      <c r="HI529" s="1"/>
      <c r="HJ529" s="1"/>
      <c r="HK529" s="1"/>
      <c r="HL529" s="1"/>
      <c r="HM529" s="1"/>
      <c r="HN529" s="1"/>
      <c r="HO529" s="1"/>
      <c r="HP529" s="1"/>
      <c r="HQ529" s="1"/>
      <c r="HR529" s="1"/>
      <c r="HS529" s="1"/>
      <c r="HT529" s="1"/>
      <c r="HU529" s="1"/>
      <c r="HV529" s="1"/>
      <c r="HW529" s="1"/>
      <c r="HX529" s="1"/>
      <c r="HY529" s="1"/>
      <c r="HZ529" s="1"/>
      <c r="IA529" s="1"/>
      <c r="IB529" s="1"/>
      <c r="IC529" s="1"/>
      <c r="ID529" s="1"/>
      <c r="IE529" s="1"/>
      <c r="IF529" s="1"/>
      <c r="IG529" s="1"/>
      <c r="IH529" s="1"/>
      <c r="II529" s="1"/>
      <c r="IJ529" s="1"/>
      <c r="IK529" s="1"/>
      <c r="IL529" s="1"/>
      <c r="IM529" s="1"/>
      <c r="IN529" s="1"/>
      <c r="IO529" s="1"/>
      <c r="IP529" s="1"/>
      <c r="IQ529" s="1"/>
    </row>
    <row r="530" spans="1:251" s="2135" customFormat="1">
      <c r="A530" s="2130"/>
      <c r="B530" s="2131"/>
      <c r="C530" s="2131"/>
      <c r="D530" s="2269" t="s">
        <v>3823</v>
      </c>
      <c r="E530" s="2270"/>
      <c r="F530" s="2270"/>
      <c r="G530" s="2270"/>
      <c r="H530" s="2270"/>
      <c r="I530" s="2270"/>
      <c r="J530" s="2270"/>
      <c r="K530" s="2270"/>
      <c r="L530" s="2270"/>
      <c r="M530" s="2270"/>
      <c r="N530" s="2270"/>
      <c r="O530" s="2270"/>
      <c r="P530" s="2270"/>
      <c r="Q530" s="2270"/>
      <c r="R530" s="2270"/>
      <c r="S530" s="2270"/>
      <c r="T530" s="2270"/>
      <c r="U530" s="2270"/>
      <c r="V530" s="2271"/>
      <c r="W530" s="2271"/>
      <c r="X530" s="2271"/>
      <c r="Y530" s="2271"/>
      <c r="Z530" s="2271"/>
      <c r="AA530" s="2271"/>
      <c r="AB530" s="2271"/>
      <c r="AC530" s="2271"/>
      <c r="AD530" s="2271"/>
      <c r="AE530" s="2271"/>
      <c r="AF530" s="2272">
        <f t="shared" ref="AF530:AH530" si="608">((AF250+AF251+AE250+AE251)/2*AF529*1000)/1000000</f>
        <v>562.20735063888878</v>
      </c>
      <c r="AG530" s="2272">
        <f t="shared" si="608"/>
        <v>647.69992962222216</v>
      </c>
      <c r="AH530" s="2272">
        <f t="shared" si="608"/>
        <v>686.79329492222223</v>
      </c>
      <c r="AI530" s="2272">
        <f>((AI250+AI251+AH250+AH251)/2*AI529*1000)/1000000</f>
        <v>712.97345800000016</v>
      </c>
      <c r="AJ530" s="2272">
        <f t="shared" ref="AJ530:AO530" si="609">((AJ250+AJ251+AI250+AI251)/2*AJ529*1000)/1000000</f>
        <v>703.48237967222212</v>
      </c>
      <c r="AK530" s="2272">
        <f t="shared" si="609"/>
        <v>758.9768023353322</v>
      </c>
      <c r="AL530" s="2272">
        <f t="shared" si="609"/>
        <v>907.29769120211608</v>
      </c>
      <c r="AM530" s="2272">
        <f t="shared" si="609"/>
        <v>954.65418463974572</v>
      </c>
      <c r="AN530" s="2272">
        <f t="shared" si="609"/>
        <v>1001.1490329654216</v>
      </c>
      <c r="AO530" s="2272">
        <f t="shared" si="609"/>
        <v>1051.7720796150873</v>
      </c>
      <c r="AP530" s="2272">
        <f t="shared" ref="AP530" si="610">((AP250+AP251+AO250+AO251)/2*AP529*1000)/1000000</f>
        <v>1100.7917996540514</v>
      </c>
      <c r="AQ530" s="2272">
        <f t="shared" ref="AQ530" si="611">((AQ250+AQ251+AP250+AP251)/2*AQ529*1000)/1000000</f>
        <v>1146.1218813808905</v>
      </c>
      <c r="AR530" s="2272">
        <f t="shared" ref="AR530" si="612">((AR250+AR251+AQ250+AQ251)/2*AR529*1000)/1000000</f>
        <v>1193.5091877065822</v>
      </c>
      <c r="AS530" s="2272">
        <f t="shared" ref="AS530" si="613">((AS250+AS251+AR250+AR251)/2*AS529*1000)/1000000</f>
        <v>1242.4326171550724</v>
      </c>
      <c r="AT530" s="2272">
        <f t="shared" ref="AT530" si="614">((AT250+AT251+AS250+AS251)/2*AT529*1000)/1000000</f>
        <v>1291.8306592399219</v>
      </c>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c r="ES530" s="1"/>
      <c r="ET530" s="1"/>
      <c r="EU530" s="1"/>
      <c r="EV530" s="1"/>
      <c r="EW530" s="1"/>
      <c r="EX530" s="1"/>
      <c r="EY530" s="1"/>
      <c r="EZ530" s="1"/>
      <c r="FA530" s="1"/>
      <c r="FB530" s="1"/>
      <c r="FC530" s="1"/>
      <c r="FD530" s="1"/>
      <c r="FE530" s="1"/>
      <c r="FF530" s="1"/>
      <c r="FG530" s="1"/>
      <c r="FH530" s="1"/>
      <c r="FI530" s="1"/>
      <c r="FJ530" s="1"/>
      <c r="FK530" s="1"/>
      <c r="FL530" s="1"/>
      <c r="FM530" s="1"/>
      <c r="FN530" s="1"/>
      <c r="FO530" s="1"/>
      <c r="FP530" s="1"/>
      <c r="FQ530" s="1"/>
      <c r="FR530" s="1"/>
      <c r="FS530" s="1"/>
      <c r="FT530" s="1"/>
      <c r="FU530" s="1"/>
      <c r="FV530" s="1"/>
      <c r="FW530" s="1"/>
      <c r="FX530" s="1"/>
      <c r="FY530" s="1"/>
      <c r="FZ530" s="1"/>
      <c r="GA530" s="1"/>
      <c r="GB530" s="1"/>
      <c r="GC530" s="1"/>
      <c r="GD530" s="1"/>
      <c r="GE530" s="1"/>
      <c r="GF530" s="1"/>
      <c r="GG530" s="1"/>
      <c r="GH530" s="1"/>
      <c r="GI530" s="1"/>
      <c r="GJ530" s="1"/>
      <c r="GK530" s="1"/>
      <c r="GL530" s="1"/>
      <c r="GM530" s="1"/>
      <c r="GN530" s="1"/>
      <c r="GO530" s="1"/>
      <c r="GP530" s="1"/>
      <c r="GQ530" s="1"/>
      <c r="GR530" s="1"/>
      <c r="GS530" s="1"/>
      <c r="GT530" s="1"/>
      <c r="GU530" s="1"/>
      <c r="GV530" s="1"/>
      <c r="GW530" s="1"/>
      <c r="GX530" s="1"/>
      <c r="GY530" s="1"/>
      <c r="GZ530" s="1"/>
      <c r="HA530" s="1"/>
      <c r="HB530" s="1"/>
      <c r="HC530" s="1"/>
      <c r="HD530" s="1"/>
      <c r="HE530" s="1"/>
      <c r="HF530" s="1"/>
      <c r="HG530" s="1"/>
      <c r="HH530" s="1"/>
      <c r="HI530" s="1"/>
      <c r="HJ530" s="1"/>
      <c r="HK530" s="1"/>
      <c r="HL530" s="1"/>
      <c r="HM530" s="1"/>
      <c r="HN530" s="1"/>
      <c r="HO530" s="1"/>
      <c r="HP530" s="1"/>
      <c r="HQ530" s="1"/>
      <c r="HR530" s="1"/>
      <c r="HS530" s="1"/>
      <c r="HT530" s="1"/>
      <c r="HU530" s="1"/>
      <c r="HV530" s="1"/>
      <c r="HW530" s="1"/>
      <c r="HX530" s="1"/>
      <c r="HY530" s="1"/>
      <c r="HZ530" s="1"/>
      <c r="IA530" s="1"/>
      <c r="IB530" s="1"/>
      <c r="IC530" s="1"/>
      <c r="ID530" s="1"/>
      <c r="IE530" s="1"/>
      <c r="IF530" s="1"/>
      <c r="IG530" s="1"/>
      <c r="IH530" s="1"/>
      <c r="II530" s="1"/>
      <c r="IJ530" s="1"/>
      <c r="IK530" s="1"/>
      <c r="IL530" s="1"/>
      <c r="IM530" s="1"/>
      <c r="IN530" s="1"/>
      <c r="IO530" s="1"/>
      <c r="IP530" s="1"/>
      <c r="IQ530" s="1"/>
    </row>
    <row r="531" spans="1:251" s="2135" customFormat="1">
      <c r="A531" s="2130"/>
      <c r="B531" s="2131"/>
      <c r="C531" s="2131"/>
      <c r="D531" s="2136"/>
      <c r="E531" s="2133"/>
      <c r="F531" s="2133"/>
      <c r="G531" s="2133"/>
      <c r="H531" s="2133"/>
      <c r="I531" s="2133"/>
      <c r="J531" s="2133"/>
      <c r="K531" s="2133"/>
      <c r="L531" s="2133"/>
      <c r="M531" s="2133"/>
      <c r="N531" s="2133"/>
      <c r="O531" s="2133"/>
      <c r="P531" s="2133"/>
      <c r="Q531" s="2133"/>
      <c r="R531" s="2133"/>
      <c r="S531" s="2133"/>
      <c r="T531" s="2133"/>
      <c r="U531" s="2133"/>
      <c r="V531" s="1007"/>
      <c r="W531" s="1007"/>
      <c r="X531" s="1007"/>
      <c r="Y531" s="1007"/>
      <c r="Z531" s="1007"/>
      <c r="AA531" s="1007"/>
      <c r="AB531" s="1007"/>
      <c r="AC531" s="1007"/>
      <c r="AD531" s="1007"/>
      <c r="AE531" s="1007"/>
      <c r="AF531" s="1007"/>
      <c r="AG531" s="1007"/>
      <c r="AH531" s="1007"/>
      <c r="AI531" s="1007"/>
      <c r="AJ531" s="1007"/>
      <c r="AK531" s="1007"/>
      <c r="AL531" s="1007"/>
      <c r="AM531" s="1007"/>
      <c r="AN531" s="1007"/>
      <c r="AO531" s="1007"/>
      <c r="AP531" s="1007"/>
      <c r="AQ531" s="1007"/>
      <c r="AR531" s="1007"/>
      <c r="AS531" s="1007"/>
      <c r="AT531" s="2633"/>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c r="ES531" s="1"/>
      <c r="ET531" s="1"/>
      <c r="EU531" s="1"/>
      <c r="EV531" s="1"/>
      <c r="EW531" s="1"/>
      <c r="EX531" s="1"/>
      <c r="EY531" s="1"/>
      <c r="EZ531" s="1"/>
      <c r="FA531" s="1"/>
      <c r="FB531" s="1"/>
      <c r="FC531" s="1"/>
      <c r="FD531" s="1"/>
      <c r="FE531" s="1"/>
      <c r="FF531" s="1"/>
      <c r="FG531" s="1"/>
      <c r="FH531" s="1"/>
      <c r="FI531" s="1"/>
      <c r="FJ531" s="1"/>
      <c r="FK531" s="1"/>
      <c r="FL531" s="1"/>
      <c r="FM531" s="1"/>
      <c r="FN531" s="1"/>
      <c r="FO531" s="1"/>
      <c r="FP531" s="1"/>
      <c r="FQ531" s="1"/>
      <c r="FR531" s="1"/>
      <c r="FS531" s="1"/>
      <c r="FT531" s="1"/>
      <c r="FU531" s="1"/>
      <c r="FV531" s="1"/>
      <c r="FW531" s="1"/>
      <c r="FX531" s="1"/>
      <c r="FY531" s="1"/>
      <c r="FZ531" s="1"/>
      <c r="GA531" s="1"/>
      <c r="GB531" s="1"/>
      <c r="GC531" s="1"/>
      <c r="GD531" s="1"/>
      <c r="GE531" s="1"/>
      <c r="GF531" s="1"/>
      <c r="GG531" s="1"/>
      <c r="GH531" s="1"/>
      <c r="GI531" s="1"/>
      <c r="GJ531" s="1"/>
      <c r="GK531" s="1"/>
      <c r="GL531" s="1"/>
      <c r="GM531" s="1"/>
      <c r="GN531" s="1"/>
      <c r="GO531" s="1"/>
      <c r="GP531" s="1"/>
      <c r="GQ531" s="1"/>
      <c r="GR531" s="1"/>
      <c r="GS531" s="1"/>
      <c r="GT531" s="1"/>
      <c r="GU531" s="1"/>
      <c r="GV531" s="1"/>
      <c r="GW531" s="1"/>
      <c r="GX531" s="1"/>
      <c r="GY531" s="1"/>
      <c r="GZ531" s="1"/>
      <c r="HA531" s="1"/>
      <c r="HB531" s="1"/>
      <c r="HC531" s="1"/>
      <c r="HD531" s="1"/>
      <c r="HE531" s="1"/>
      <c r="HF531" s="1"/>
      <c r="HG531" s="1"/>
      <c r="HH531" s="1"/>
      <c r="HI531" s="1"/>
      <c r="HJ531" s="1"/>
      <c r="HK531" s="1"/>
      <c r="HL531" s="1"/>
      <c r="HM531" s="1"/>
      <c r="HN531" s="1"/>
      <c r="HO531" s="1"/>
      <c r="HP531" s="1"/>
      <c r="HQ531" s="1"/>
      <c r="HR531" s="1"/>
      <c r="HS531" s="1"/>
      <c r="HT531" s="1"/>
      <c r="HU531" s="1"/>
      <c r="HV531" s="1"/>
      <c r="HW531" s="1"/>
      <c r="HX531" s="1"/>
      <c r="HY531" s="1"/>
      <c r="HZ531" s="1"/>
      <c r="IA531" s="1"/>
      <c r="IB531" s="1"/>
      <c r="IC531" s="1"/>
      <c r="ID531" s="1"/>
      <c r="IE531" s="1"/>
      <c r="IF531" s="1"/>
      <c r="IG531" s="1"/>
      <c r="IH531" s="1"/>
      <c r="II531" s="1"/>
      <c r="IJ531" s="1"/>
      <c r="IK531" s="1"/>
      <c r="IL531" s="1"/>
      <c r="IM531" s="1"/>
      <c r="IN531" s="1"/>
      <c r="IO531" s="1"/>
      <c r="IP531" s="1"/>
      <c r="IQ531" s="1"/>
    </row>
    <row r="532" spans="1:251" s="2135" customFormat="1">
      <c r="A532" s="2130"/>
      <c r="B532" s="2131"/>
      <c r="C532" s="2131"/>
      <c r="D532" s="2132" t="s">
        <v>3776</v>
      </c>
      <c r="E532" s="2133"/>
      <c r="F532" s="2133"/>
      <c r="G532" s="2133"/>
      <c r="H532" s="2133"/>
      <c r="I532" s="2133"/>
      <c r="J532" s="2133"/>
      <c r="K532" s="2133"/>
      <c r="L532" s="2133"/>
      <c r="M532" s="2133"/>
      <c r="N532" s="2133"/>
      <c r="O532" s="2133"/>
      <c r="P532" s="2133"/>
      <c r="Q532" s="2133"/>
      <c r="R532" s="2133"/>
      <c r="S532" s="2133"/>
      <c r="T532" s="2133"/>
      <c r="U532" s="2133"/>
      <c r="V532" s="2134" t="e">
        <f t="shared" ref="V532:AT532" si="615">V1096/V436</f>
        <v>#DIV/0!</v>
      </c>
      <c r="W532" s="2134" t="e">
        <f t="shared" si="615"/>
        <v>#DIV/0!</v>
      </c>
      <c r="X532" s="2134" t="e">
        <f t="shared" si="615"/>
        <v>#DIV/0!</v>
      </c>
      <c r="Y532" s="2134" t="e">
        <f t="shared" si="615"/>
        <v>#DIV/0!</v>
      </c>
      <c r="Z532" s="2134">
        <f t="shared" si="615"/>
        <v>0</v>
      </c>
      <c r="AA532" s="2134">
        <f t="shared" si="615"/>
        <v>0</v>
      </c>
      <c r="AB532" s="2134">
        <f t="shared" si="615"/>
        <v>0</v>
      </c>
      <c r="AC532" s="2134">
        <f t="shared" si="615"/>
        <v>0</v>
      </c>
      <c r="AD532" s="2134">
        <f t="shared" si="615"/>
        <v>0</v>
      </c>
      <c r="AE532" s="2134">
        <f t="shared" si="615"/>
        <v>0</v>
      </c>
      <c r="AF532" s="2134">
        <f t="shared" si="615"/>
        <v>0</v>
      </c>
      <c r="AG532" s="2134">
        <f t="shared" si="615"/>
        <v>8.4211678101071039E-2</v>
      </c>
      <c r="AH532" s="2134">
        <f t="shared" si="615"/>
        <v>8.0010193298545904E-2</v>
      </c>
      <c r="AI532" s="2134">
        <f t="shared" si="615"/>
        <v>0.13531192889003885</v>
      </c>
      <c r="AJ532" s="2134">
        <f t="shared" ref="AJ532" si="616">AJ1096/AJ436</f>
        <v>0.16524734052987095</v>
      </c>
      <c r="AK532" s="2134">
        <f t="shared" si="615"/>
        <v>0.21074894375769895</v>
      </c>
      <c r="AL532" s="2134">
        <f t="shared" si="615"/>
        <v>0.20263936789285358</v>
      </c>
      <c r="AM532" s="2134">
        <f t="shared" si="615"/>
        <v>0.22871681636516</v>
      </c>
      <c r="AN532" s="2134">
        <f t="shared" si="615"/>
        <v>0.24386450883924005</v>
      </c>
      <c r="AO532" s="2134">
        <f t="shared" si="615"/>
        <v>0.25905262340644131</v>
      </c>
      <c r="AP532" s="2134">
        <f t="shared" si="615"/>
        <v>0.23081605900225893</v>
      </c>
      <c r="AQ532" s="2134">
        <f t="shared" si="615"/>
        <v>0.22965896892043136</v>
      </c>
      <c r="AR532" s="2134">
        <f t="shared" si="615"/>
        <v>0.22026807285809372</v>
      </c>
      <c r="AS532" s="2134">
        <f t="shared" si="615"/>
        <v>0.21516405126037697</v>
      </c>
      <c r="AT532" s="2660">
        <f t="shared" si="615"/>
        <v>0.20826046076740595</v>
      </c>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c r="ES532" s="1"/>
      <c r="ET532" s="1"/>
      <c r="EU532" s="1"/>
      <c r="EV532" s="1"/>
      <c r="EW532" s="1"/>
      <c r="EX532" s="1"/>
      <c r="EY532" s="1"/>
      <c r="EZ532" s="1"/>
      <c r="FA532" s="1"/>
      <c r="FB532" s="1"/>
      <c r="FC532" s="1"/>
      <c r="FD532" s="1"/>
      <c r="FE532" s="1"/>
      <c r="FF532" s="1"/>
      <c r="FG532" s="1"/>
      <c r="FH532" s="1"/>
      <c r="FI532" s="1"/>
      <c r="FJ532" s="1"/>
      <c r="FK532" s="1"/>
      <c r="FL532" s="1"/>
      <c r="FM532" s="1"/>
      <c r="FN532" s="1"/>
      <c r="FO532" s="1"/>
      <c r="FP532" s="1"/>
      <c r="FQ532" s="1"/>
      <c r="FR532" s="1"/>
      <c r="FS532" s="1"/>
      <c r="FT532" s="1"/>
      <c r="FU532" s="1"/>
      <c r="FV532" s="1"/>
      <c r="FW532" s="1"/>
      <c r="FX532" s="1"/>
      <c r="FY532" s="1"/>
      <c r="FZ532" s="1"/>
      <c r="GA532" s="1"/>
      <c r="GB532" s="1"/>
      <c r="GC532" s="1"/>
      <c r="GD532" s="1"/>
      <c r="GE532" s="1"/>
      <c r="GF532" s="1"/>
      <c r="GG532" s="1"/>
      <c r="GH532" s="1"/>
      <c r="GI532" s="1"/>
      <c r="GJ532" s="1"/>
      <c r="GK532" s="1"/>
      <c r="GL532" s="1"/>
      <c r="GM532" s="1"/>
      <c r="GN532" s="1"/>
      <c r="GO532" s="1"/>
      <c r="GP532" s="1"/>
      <c r="GQ532" s="1"/>
      <c r="GR532" s="1"/>
      <c r="GS532" s="1"/>
      <c r="GT532" s="1"/>
      <c r="GU532" s="1"/>
      <c r="GV532" s="1"/>
      <c r="GW532" s="1"/>
      <c r="GX532" s="1"/>
      <c r="GY532" s="1"/>
      <c r="GZ532" s="1"/>
      <c r="HA532" s="1"/>
      <c r="HB532" s="1"/>
      <c r="HC532" s="1"/>
      <c r="HD532" s="1"/>
      <c r="HE532" s="1"/>
      <c r="HF532" s="1"/>
      <c r="HG532" s="1"/>
      <c r="HH532" s="1"/>
      <c r="HI532" s="1"/>
      <c r="HJ532" s="1"/>
      <c r="HK532" s="1"/>
      <c r="HL532" s="1"/>
      <c r="HM532" s="1"/>
      <c r="HN532" s="1"/>
      <c r="HO532" s="1"/>
      <c r="HP532" s="1"/>
      <c r="HQ532" s="1"/>
      <c r="HR532" s="1"/>
      <c r="HS532" s="1"/>
      <c r="HT532" s="1"/>
      <c r="HU532" s="1"/>
      <c r="HV532" s="1"/>
      <c r="HW532" s="1"/>
      <c r="HX532" s="1"/>
      <c r="HY532" s="1"/>
      <c r="HZ532" s="1"/>
      <c r="IA532" s="1"/>
      <c r="IB532" s="1"/>
      <c r="IC532" s="1"/>
      <c r="ID532" s="1"/>
      <c r="IE532" s="1"/>
      <c r="IF532" s="1"/>
      <c r="IG532" s="1"/>
      <c r="IH532" s="1"/>
      <c r="II532" s="1"/>
      <c r="IJ532" s="1"/>
      <c r="IK532" s="1"/>
      <c r="IL532" s="1"/>
      <c r="IM532" s="1"/>
      <c r="IN532" s="1"/>
      <c r="IO532" s="1"/>
      <c r="IP532" s="1"/>
      <c r="IQ532" s="1"/>
    </row>
    <row r="533" spans="1:251" s="2135" customFormat="1">
      <c r="A533" s="2130"/>
      <c r="B533" s="2131"/>
      <c r="C533" s="2131"/>
      <c r="D533" s="2133" t="s">
        <v>3777</v>
      </c>
      <c r="E533" s="2133"/>
      <c r="F533" s="2133"/>
      <c r="G533" s="2133"/>
      <c r="H533" s="2133"/>
      <c r="I533" s="2133"/>
      <c r="J533" s="2133"/>
      <c r="K533" s="2133"/>
      <c r="L533" s="2133"/>
      <c r="M533" s="2133"/>
      <c r="N533" s="2133"/>
      <c r="O533" s="2133"/>
      <c r="P533" s="2133"/>
      <c r="Q533" s="2133"/>
      <c r="R533" s="2133"/>
      <c r="S533" s="2133"/>
      <c r="T533" s="2133"/>
      <c r="U533" s="2133"/>
      <c r="V533" s="2134" t="e">
        <f t="shared" ref="V533:AE533" si="617">V1096/V436</f>
        <v>#DIV/0!</v>
      </c>
      <c r="W533" s="2134" t="e">
        <f t="shared" si="617"/>
        <v>#DIV/0!</v>
      </c>
      <c r="X533" s="2134" t="e">
        <f t="shared" si="617"/>
        <v>#DIV/0!</v>
      </c>
      <c r="Y533" s="2134" t="e">
        <f t="shared" si="617"/>
        <v>#DIV/0!</v>
      </c>
      <c r="Z533" s="2134">
        <f t="shared" si="617"/>
        <v>0</v>
      </c>
      <c r="AA533" s="2134">
        <f t="shared" si="617"/>
        <v>0</v>
      </c>
      <c r="AB533" s="2134">
        <f t="shared" si="617"/>
        <v>0</v>
      </c>
      <c r="AC533" s="2134">
        <f t="shared" si="617"/>
        <v>0</v>
      </c>
      <c r="AD533" s="2134">
        <f t="shared" si="617"/>
        <v>0</v>
      </c>
      <c r="AE533" s="2134">
        <f t="shared" si="617"/>
        <v>0</v>
      </c>
      <c r="AF533" s="2134">
        <f>AF1090/AF425</f>
        <v>0</v>
      </c>
      <c r="AG533" s="2134">
        <f>AG1090/AG425</f>
        <v>0</v>
      </c>
      <c r="AH533" s="2149">
        <f>AH1090/AH425</f>
        <v>8.9289435268509049E-3</v>
      </c>
      <c r="AI533" s="2149">
        <f>AI1090/AI425</f>
        <v>8.7406844115551947E-3</v>
      </c>
      <c r="AJ533" s="2149">
        <f>AJ1090/AJ425</f>
        <v>1.1462145910469429E-2</v>
      </c>
      <c r="AK533" s="2149">
        <f t="shared" ref="AK533" si="618">AJ533*AK534</f>
        <v>1.5996401787226042E-2</v>
      </c>
      <c r="AL533" s="2149">
        <f t="shared" ref="AL533" si="619">AK533*AL534</f>
        <v>1.7706699580808026E-2</v>
      </c>
      <c r="AM533" s="2149">
        <f t="shared" ref="AM533" si="620">AL533*AM534</f>
        <v>2.0859706756535E-2</v>
      </c>
      <c r="AN533" s="2149">
        <f t="shared" ref="AN533" si="621">AM533*AN534</f>
        <v>2.2075844921872558E-2</v>
      </c>
      <c r="AO533" s="2149">
        <f t="shared" ref="AO533" si="622">AN533*AO534</f>
        <v>2.3926726945366406E-2</v>
      </c>
      <c r="AP533" s="2134">
        <f t="shared" ref="AP533" si="623">AO533*AP534</f>
        <v>2.454741778067154E-2</v>
      </c>
      <c r="AQ533" s="2134">
        <f t="shared" ref="AQ533" si="624">AP533*AQ534</f>
        <v>2.5354641003324588E-2</v>
      </c>
      <c r="AR533" s="2134">
        <f t="shared" ref="AR533" si="625">AQ533*AR534</f>
        <v>2.6254298167873297E-2</v>
      </c>
      <c r="AS533" s="2134">
        <f t="shared" ref="AS533" si="626">AR533*AS534</f>
        <v>2.7182191268077808E-2</v>
      </c>
      <c r="AT533" s="2660">
        <f t="shared" ref="AT533" si="627">AS533*AT534</f>
        <v>2.7277109899423595E-2</v>
      </c>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c r="ES533" s="1"/>
      <c r="ET533" s="1"/>
      <c r="EU533" s="1"/>
      <c r="EV533" s="1"/>
      <c r="EW533" s="1"/>
      <c r="EX533" s="1"/>
      <c r="EY533" s="1"/>
      <c r="EZ533" s="1"/>
      <c r="FA533" s="1"/>
      <c r="FB533" s="1"/>
      <c r="FC533" s="1"/>
      <c r="FD533" s="1"/>
      <c r="FE533" s="1"/>
      <c r="FF533" s="1"/>
      <c r="FG533" s="1"/>
      <c r="FH533" s="1"/>
      <c r="FI533" s="1"/>
      <c r="FJ533" s="1"/>
      <c r="FK533" s="1"/>
      <c r="FL533" s="1"/>
      <c r="FM533" s="1"/>
      <c r="FN533" s="1"/>
      <c r="FO533" s="1"/>
      <c r="FP533" s="1"/>
      <c r="FQ533" s="1"/>
      <c r="FR533" s="1"/>
      <c r="FS533" s="1"/>
      <c r="FT533" s="1"/>
      <c r="FU533" s="1"/>
      <c r="FV533" s="1"/>
      <c r="FW533" s="1"/>
      <c r="FX533" s="1"/>
      <c r="FY533" s="1"/>
      <c r="FZ533" s="1"/>
      <c r="GA533" s="1"/>
      <c r="GB533" s="1"/>
      <c r="GC533" s="1"/>
      <c r="GD533" s="1"/>
      <c r="GE533" s="1"/>
      <c r="GF533" s="1"/>
      <c r="GG533" s="1"/>
      <c r="GH533" s="1"/>
      <c r="GI533" s="1"/>
      <c r="GJ533" s="1"/>
      <c r="GK533" s="1"/>
      <c r="GL533" s="1"/>
      <c r="GM533" s="1"/>
      <c r="GN533" s="1"/>
      <c r="GO533" s="1"/>
      <c r="GP533" s="1"/>
      <c r="GQ533" s="1"/>
      <c r="GR533" s="1"/>
      <c r="GS533" s="1"/>
      <c r="GT533" s="1"/>
      <c r="GU533" s="1"/>
      <c r="GV533" s="1"/>
      <c r="GW533" s="1"/>
      <c r="GX533" s="1"/>
      <c r="GY533" s="1"/>
      <c r="GZ533" s="1"/>
      <c r="HA533" s="1"/>
      <c r="HB533" s="1"/>
      <c r="HC533" s="1"/>
      <c r="HD533" s="1"/>
      <c r="HE533" s="1"/>
      <c r="HF533" s="1"/>
      <c r="HG533" s="1"/>
      <c r="HH533" s="1"/>
      <c r="HI533" s="1"/>
      <c r="HJ533" s="1"/>
      <c r="HK533" s="1"/>
      <c r="HL533" s="1"/>
      <c r="HM533" s="1"/>
      <c r="HN533" s="1"/>
      <c r="HO533" s="1"/>
      <c r="HP533" s="1"/>
      <c r="HQ533" s="1"/>
      <c r="HR533" s="1"/>
      <c r="HS533" s="1"/>
      <c r="HT533" s="1"/>
      <c r="HU533" s="1"/>
      <c r="HV533" s="1"/>
      <c r="HW533" s="1"/>
      <c r="HX533" s="1"/>
      <c r="HY533" s="1"/>
      <c r="HZ533" s="1"/>
      <c r="IA533" s="1"/>
      <c r="IB533" s="1"/>
      <c r="IC533" s="1"/>
      <c r="ID533" s="1"/>
      <c r="IE533" s="1"/>
      <c r="IF533" s="1"/>
      <c r="IG533" s="1"/>
      <c r="IH533" s="1"/>
      <c r="II533" s="1"/>
      <c r="IJ533" s="1"/>
      <c r="IK533" s="1"/>
      <c r="IL533" s="1"/>
      <c r="IM533" s="1"/>
      <c r="IN533" s="1"/>
      <c r="IO533" s="1"/>
      <c r="IP533" s="1"/>
      <c r="IQ533" s="1"/>
    </row>
    <row r="534" spans="1:251" s="2135" customFormat="1">
      <c r="A534" s="2130"/>
      <c r="B534" s="2131"/>
      <c r="C534" s="2131"/>
      <c r="D534" s="2136" t="s">
        <v>3778</v>
      </c>
      <c r="E534" s="2133"/>
      <c r="F534" s="2133"/>
      <c r="G534" s="2133"/>
      <c r="H534" s="2133"/>
      <c r="I534" s="2133"/>
      <c r="J534" s="2133"/>
      <c r="K534" s="2133"/>
      <c r="L534" s="2133"/>
      <c r="M534" s="2133"/>
      <c r="N534" s="2133"/>
      <c r="O534" s="2133"/>
      <c r="P534" s="2133"/>
      <c r="Q534" s="2133"/>
      <c r="R534" s="2133"/>
      <c r="S534" s="2133"/>
      <c r="T534" s="2133"/>
      <c r="U534" s="2133"/>
      <c r="V534" s="1007" t="e">
        <f t="shared" ref="V534" si="628">+V533/U533</f>
        <v>#DIV/0!</v>
      </c>
      <c r="W534" s="1007" t="e">
        <f t="shared" ref="W534" si="629">+W533/V533</f>
        <v>#DIV/0!</v>
      </c>
      <c r="X534" s="1007" t="e">
        <f t="shared" ref="X534" si="630">+X533/W533</f>
        <v>#DIV/0!</v>
      </c>
      <c r="Y534" s="1007" t="e">
        <f t="shared" ref="Y534" si="631">+Y533/X533</f>
        <v>#DIV/0!</v>
      </c>
      <c r="Z534" s="1007" t="e">
        <f t="shared" ref="Z534" si="632">+Z533/Y533</f>
        <v>#DIV/0!</v>
      </c>
      <c r="AA534" s="1007" t="e">
        <f t="shared" ref="AA534" si="633">+AA533/Z533</f>
        <v>#DIV/0!</v>
      </c>
      <c r="AB534" s="1007" t="e">
        <f t="shared" ref="AB534" si="634">+AB533/AA533</f>
        <v>#DIV/0!</v>
      </c>
      <c r="AC534" s="1007" t="e">
        <f t="shared" ref="AC534" si="635">+AC533/AB533</f>
        <v>#DIV/0!</v>
      </c>
      <c r="AD534" s="1007" t="e">
        <f t="shared" ref="AD534" si="636">+AD533/AC533</f>
        <v>#DIV/0!</v>
      </c>
      <c r="AE534" s="1007" t="e">
        <f t="shared" ref="AE534" si="637">+AE533/AD533</f>
        <v>#DIV/0!</v>
      </c>
      <c r="AF534" s="1007" t="e">
        <f t="shared" ref="AF534" si="638">+AF533/AE533</f>
        <v>#DIV/0!</v>
      </c>
      <c r="AG534" s="1007" t="e">
        <f t="shared" ref="AG534" si="639">+AG533/AF533</f>
        <v>#DIV/0!</v>
      </c>
      <c r="AH534" s="1007" t="e">
        <f t="shared" ref="AH534" si="640">+AH533/AG533</f>
        <v>#DIV/0!</v>
      </c>
      <c r="AI534" s="1007">
        <f>AI527/AH527</f>
        <v>1.0564710283225831</v>
      </c>
      <c r="AJ534" s="1007">
        <f>AJ527/AI527</f>
        <v>0.61146031806201862</v>
      </c>
      <c r="AK534" s="1007">
        <v>1.3955852518519296</v>
      </c>
      <c r="AL534" s="1007">
        <v>1.1069176566287393</v>
      </c>
      <c r="AM534" s="1007">
        <v>1.1780685983481902</v>
      </c>
      <c r="AN534" s="1007">
        <v>1.0583008275011614</v>
      </c>
      <c r="AO534" s="1007">
        <v>1.0838419562215718</v>
      </c>
      <c r="AP534" s="1007">
        <v>1.0259413181218811</v>
      </c>
      <c r="AQ534" s="1007">
        <v>1.032884241832094</v>
      </c>
      <c r="AR534" s="1007">
        <v>1.0354829383871278</v>
      </c>
      <c r="AS534" s="1007">
        <v>1.0353425216043273</v>
      </c>
      <c r="AT534" s="2633">
        <v>1.0034919418530197</v>
      </c>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c r="ES534" s="1"/>
      <c r="ET534" s="1"/>
      <c r="EU534" s="1"/>
      <c r="EV534" s="1"/>
      <c r="EW534" s="1"/>
      <c r="EX534" s="1"/>
      <c r="EY534" s="1"/>
      <c r="EZ534" s="1"/>
      <c r="FA534" s="1"/>
      <c r="FB534" s="1"/>
      <c r="FC534" s="1"/>
      <c r="FD534" s="1"/>
      <c r="FE534" s="1"/>
      <c r="FF534" s="1"/>
      <c r="FG534" s="1"/>
      <c r="FH534" s="1"/>
      <c r="FI534" s="1"/>
      <c r="FJ534" s="1"/>
      <c r="FK534" s="1"/>
      <c r="FL534" s="1"/>
      <c r="FM534" s="1"/>
      <c r="FN534" s="1"/>
      <c r="FO534" s="1"/>
      <c r="FP534" s="1"/>
      <c r="FQ534" s="1"/>
      <c r="FR534" s="1"/>
      <c r="FS534" s="1"/>
      <c r="FT534" s="1"/>
      <c r="FU534" s="1"/>
      <c r="FV534" s="1"/>
      <c r="FW534" s="1"/>
      <c r="FX534" s="1"/>
      <c r="FY534" s="1"/>
      <c r="FZ534" s="1"/>
      <c r="GA534" s="1"/>
      <c r="GB534" s="1"/>
      <c r="GC534" s="1"/>
      <c r="GD534" s="1"/>
      <c r="GE534" s="1"/>
      <c r="GF534" s="1"/>
      <c r="GG534" s="1"/>
      <c r="GH534" s="1"/>
      <c r="GI534" s="1"/>
      <c r="GJ534" s="1"/>
      <c r="GK534" s="1"/>
      <c r="GL534" s="1"/>
      <c r="GM534" s="1"/>
      <c r="GN534" s="1"/>
      <c r="GO534" s="1"/>
      <c r="GP534" s="1"/>
      <c r="GQ534" s="1"/>
      <c r="GR534" s="1"/>
      <c r="GS534" s="1"/>
      <c r="GT534" s="1"/>
      <c r="GU534" s="1"/>
      <c r="GV534" s="1"/>
      <c r="GW534" s="1"/>
      <c r="GX534" s="1"/>
      <c r="GY534" s="1"/>
      <c r="GZ534" s="1"/>
      <c r="HA534" s="1"/>
      <c r="HB534" s="1"/>
      <c r="HC534" s="1"/>
      <c r="HD534" s="1"/>
      <c r="HE534" s="1"/>
      <c r="HF534" s="1"/>
      <c r="HG534" s="1"/>
      <c r="HH534" s="1"/>
      <c r="HI534" s="1"/>
      <c r="HJ534" s="1"/>
      <c r="HK534" s="1"/>
      <c r="HL534" s="1"/>
      <c r="HM534" s="1"/>
      <c r="HN534" s="1"/>
      <c r="HO534" s="1"/>
      <c r="HP534" s="1"/>
      <c r="HQ534" s="1"/>
      <c r="HR534" s="1"/>
      <c r="HS534" s="1"/>
      <c r="HT534" s="1"/>
      <c r="HU534" s="1"/>
      <c r="HV534" s="1"/>
      <c r="HW534" s="1"/>
      <c r="HX534" s="1"/>
      <c r="HY534" s="1"/>
      <c r="HZ534" s="1"/>
      <c r="IA534" s="1"/>
      <c r="IB534" s="1"/>
      <c r="IC534" s="1"/>
      <c r="ID534" s="1"/>
      <c r="IE534" s="1"/>
      <c r="IF534" s="1"/>
      <c r="IG534" s="1"/>
      <c r="IH534" s="1"/>
      <c r="II534" s="1"/>
      <c r="IJ534" s="1"/>
      <c r="IK534" s="1"/>
      <c r="IL534" s="1"/>
      <c r="IM534" s="1"/>
      <c r="IN534" s="1"/>
      <c r="IO534" s="1"/>
      <c r="IP534" s="1"/>
      <c r="IQ534" s="1"/>
    </row>
    <row r="535" spans="1:251">
      <c r="D535" s="156"/>
      <c r="E535" s="153"/>
      <c r="F535" s="153"/>
      <c r="G535" s="153"/>
      <c r="H535" s="153"/>
      <c r="I535" s="153"/>
      <c r="J535" s="153"/>
      <c r="K535" s="153"/>
      <c r="L535" s="153"/>
      <c r="M535" s="153"/>
      <c r="N535" s="153"/>
      <c r="O535" s="153"/>
      <c r="P535" s="153"/>
      <c r="Q535" s="153"/>
      <c r="R535" s="153"/>
      <c r="S535" s="153"/>
      <c r="T535" s="153"/>
      <c r="U535" s="153"/>
      <c r="V535" s="172"/>
      <c r="W535" s="172"/>
      <c r="X535" s="172"/>
      <c r="Y535" s="172"/>
      <c r="Z535" s="172"/>
      <c r="AA535" s="172"/>
      <c r="AB535" s="172"/>
      <c r="AC535" s="172"/>
      <c r="AD535" s="172"/>
      <c r="AE535" s="172"/>
      <c r="AF535" s="172"/>
      <c r="AG535" s="172"/>
      <c r="AH535" s="172"/>
      <c r="AI535" s="172"/>
      <c r="AJ535" s="172"/>
      <c r="AK535" s="172"/>
      <c r="AL535" s="172"/>
      <c r="AM535" s="172"/>
      <c r="AN535" s="172"/>
      <c r="AO535" s="172"/>
      <c r="AP535" s="172"/>
      <c r="AQ535" s="172"/>
      <c r="AR535" s="172"/>
      <c r="AS535" s="172"/>
      <c r="AT535" s="2645"/>
    </row>
    <row r="536" spans="1:251">
      <c r="D536" s="168" t="s">
        <v>2359</v>
      </c>
      <c r="E536" s="153"/>
      <c r="F536" s="153"/>
      <c r="G536" s="153"/>
      <c r="H536" s="153"/>
      <c r="I536" s="153"/>
      <c r="J536" s="153"/>
      <c r="K536" s="153"/>
      <c r="L536" s="153"/>
      <c r="M536" s="153"/>
      <c r="N536" s="153"/>
      <c r="O536" s="153"/>
      <c r="P536" s="153"/>
      <c r="Q536" s="153"/>
      <c r="R536" s="153"/>
      <c r="S536" s="153"/>
      <c r="T536" s="153"/>
      <c r="U536" s="153"/>
      <c r="V536" s="172">
        <f t="shared" ref="V536:AT536" si="641">V1091/V421</f>
        <v>0</v>
      </c>
      <c r="W536" s="172">
        <f t="shared" si="641"/>
        <v>0</v>
      </c>
      <c r="X536" s="172">
        <f t="shared" si="641"/>
        <v>0</v>
      </c>
      <c r="Y536" s="172">
        <f t="shared" si="641"/>
        <v>0</v>
      </c>
      <c r="Z536" s="172">
        <f t="shared" si="641"/>
        <v>0</v>
      </c>
      <c r="AA536" s="172">
        <f t="shared" si="641"/>
        <v>0</v>
      </c>
      <c r="AB536" s="172">
        <f t="shared" si="641"/>
        <v>0</v>
      </c>
      <c r="AC536" s="172">
        <f t="shared" si="641"/>
        <v>0</v>
      </c>
      <c r="AD536" s="172">
        <f t="shared" si="641"/>
        <v>0</v>
      </c>
      <c r="AE536" s="172">
        <f t="shared" si="641"/>
        <v>0</v>
      </c>
      <c r="AF536" s="172">
        <f t="shared" si="641"/>
        <v>0</v>
      </c>
      <c r="AG536" s="172">
        <f t="shared" si="641"/>
        <v>0</v>
      </c>
      <c r="AH536" s="172">
        <f t="shared" si="641"/>
        <v>0</v>
      </c>
      <c r="AI536" s="172">
        <f t="shared" si="641"/>
        <v>0</v>
      </c>
      <c r="AJ536" s="172">
        <f t="shared" si="641"/>
        <v>0</v>
      </c>
      <c r="AK536" s="172">
        <f t="shared" si="641"/>
        <v>0</v>
      </c>
      <c r="AL536" s="172">
        <f t="shared" si="641"/>
        <v>0</v>
      </c>
      <c r="AM536" s="172">
        <f t="shared" si="641"/>
        <v>0</v>
      </c>
      <c r="AN536" s="172">
        <f t="shared" si="641"/>
        <v>0</v>
      </c>
      <c r="AO536" s="172">
        <f t="shared" si="641"/>
        <v>0</v>
      </c>
      <c r="AP536" s="172">
        <f t="shared" si="641"/>
        <v>0</v>
      </c>
      <c r="AQ536" s="172">
        <f t="shared" si="641"/>
        <v>0</v>
      </c>
      <c r="AR536" s="172">
        <f t="shared" si="641"/>
        <v>0</v>
      </c>
      <c r="AS536" s="172">
        <f t="shared" si="641"/>
        <v>0</v>
      </c>
      <c r="AT536" s="2645">
        <f t="shared" si="641"/>
        <v>0</v>
      </c>
    </row>
    <row r="537" spans="1:251">
      <c r="D537" s="153" t="s">
        <v>2360</v>
      </c>
      <c r="E537" s="153"/>
      <c r="F537" s="153"/>
      <c r="G537" s="153"/>
      <c r="H537" s="153"/>
      <c r="I537" s="153"/>
      <c r="J537" s="153"/>
      <c r="K537" s="153"/>
      <c r="L537" s="153"/>
      <c r="M537" s="153"/>
      <c r="N537" s="153"/>
      <c r="O537" s="153"/>
      <c r="P537" s="153"/>
      <c r="Q537" s="153"/>
      <c r="R537" s="153"/>
      <c r="S537" s="153"/>
      <c r="T537" s="153"/>
      <c r="U537" s="153"/>
      <c r="V537" s="172">
        <f t="shared" ref="V537:AG537" si="642">V1091/V423</f>
        <v>0</v>
      </c>
      <c r="W537" s="172">
        <f t="shared" si="642"/>
        <v>0</v>
      </c>
      <c r="X537" s="172">
        <f t="shared" si="642"/>
        <v>0</v>
      </c>
      <c r="Y537" s="172">
        <f t="shared" si="642"/>
        <v>0</v>
      </c>
      <c r="Z537" s="172">
        <f t="shared" si="642"/>
        <v>0</v>
      </c>
      <c r="AA537" s="172">
        <f t="shared" si="642"/>
        <v>0</v>
      </c>
      <c r="AB537" s="172">
        <f t="shared" si="642"/>
        <v>0</v>
      </c>
      <c r="AC537" s="172">
        <f t="shared" si="642"/>
        <v>0</v>
      </c>
      <c r="AD537" s="172">
        <f t="shared" si="642"/>
        <v>0</v>
      </c>
      <c r="AE537" s="172">
        <f t="shared" si="642"/>
        <v>0</v>
      </c>
      <c r="AF537" s="172">
        <f t="shared" si="642"/>
        <v>0</v>
      </c>
      <c r="AG537" s="172">
        <f t="shared" si="642"/>
        <v>0</v>
      </c>
      <c r="AH537" s="172">
        <f t="shared" ref="AH537:AM537" si="643">AG537*AH538</f>
        <v>0</v>
      </c>
      <c r="AI537" s="172">
        <f t="shared" si="643"/>
        <v>0</v>
      </c>
      <c r="AJ537" s="172">
        <f t="shared" si="643"/>
        <v>0</v>
      </c>
      <c r="AK537" s="172">
        <f t="shared" si="643"/>
        <v>0</v>
      </c>
      <c r="AL537" s="172">
        <f t="shared" si="643"/>
        <v>0</v>
      </c>
      <c r="AM537" s="172">
        <f t="shared" si="643"/>
        <v>0</v>
      </c>
      <c r="AN537" s="172">
        <f t="shared" ref="AN537" si="644">AM537*AN538</f>
        <v>0</v>
      </c>
      <c r="AO537" s="172">
        <f t="shared" ref="AO537" si="645">AN537*AO538</f>
        <v>0</v>
      </c>
      <c r="AP537" s="172">
        <f t="shared" ref="AP537" si="646">AO537*AP538</f>
        <v>0</v>
      </c>
      <c r="AQ537" s="172">
        <f t="shared" ref="AQ537" si="647">AP537*AQ538</f>
        <v>0</v>
      </c>
      <c r="AR537" s="172">
        <f t="shared" ref="AR537" si="648">AQ537*AR538</f>
        <v>0</v>
      </c>
      <c r="AS537" s="172">
        <f t="shared" ref="AS537" si="649">AR537*AS538</f>
        <v>0</v>
      </c>
      <c r="AT537" s="2645">
        <f t="shared" ref="AT537" si="650">AS537*AT538</f>
        <v>0</v>
      </c>
    </row>
    <row r="538" spans="1:251">
      <c r="D538" s="156" t="s">
        <v>2361</v>
      </c>
      <c r="E538" s="153"/>
      <c r="F538" s="153"/>
      <c r="G538" s="153"/>
      <c r="H538" s="153"/>
      <c r="I538" s="153"/>
      <c r="J538" s="153"/>
      <c r="K538" s="153"/>
      <c r="L538" s="153"/>
      <c r="M538" s="153"/>
      <c r="N538" s="153"/>
      <c r="O538" s="153"/>
      <c r="P538" s="153"/>
      <c r="Q538" s="153"/>
      <c r="R538" s="153"/>
      <c r="S538" s="153"/>
      <c r="T538" s="153"/>
      <c r="U538" s="153"/>
      <c r="V538" s="232" t="e">
        <f t="shared" ref="V538:AE538" si="651">+V537/U537</f>
        <v>#DIV/0!</v>
      </c>
      <c r="W538" s="232" t="e">
        <f t="shared" si="651"/>
        <v>#DIV/0!</v>
      </c>
      <c r="X538" s="232" t="e">
        <f t="shared" si="651"/>
        <v>#DIV/0!</v>
      </c>
      <c r="Y538" s="232" t="e">
        <f t="shared" si="651"/>
        <v>#DIV/0!</v>
      </c>
      <c r="Z538" s="232" t="e">
        <f t="shared" si="651"/>
        <v>#DIV/0!</v>
      </c>
      <c r="AA538" s="232" t="e">
        <f t="shared" si="651"/>
        <v>#DIV/0!</v>
      </c>
      <c r="AB538" s="232" t="e">
        <f t="shared" si="651"/>
        <v>#DIV/0!</v>
      </c>
      <c r="AC538" s="232" t="e">
        <f t="shared" si="651"/>
        <v>#DIV/0!</v>
      </c>
      <c r="AD538" s="232" t="e">
        <f t="shared" si="651"/>
        <v>#DIV/0!</v>
      </c>
      <c r="AE538" s="232" t="e">
        <f t="shared" si="651"/>
        <v>#DIV/0!</v>
      </c>
      <c r="AF538" s="232" t="e">
        <f>+AF537/AE537</f>
        <v>#DIV/0!</v>
      </c>
      <c r="AG538" s="232" t="e">
        <f>+AG537/AF537</f>
        <v>#DIV/0!</v>
      </c>
      <c r="AH538" s="1390">
        <v>1</v>
      </c>
      <c r="AI538" s="1390">
        <v>1</v>
      </c>
      <c r="AJ538" s="1390">
        <v>1</v>
      </c>
      <c r="AK538" s="1390">
        <v>1</v>
      </c>
      <c r="AL538" s="1390">
        <v>1</v>
      </c>
      <c r="AM538" s="1390">
        <v>1</v>
      </c>
      <c r="AN538" s="1390">
        <v>1</v>
      </c>
      <c r="AO538" s="1390">
        <v>1</v>
      </c>
      <c r="AP538" s="1390">
        <v>1</v>
      </c>
      <c r="AQ538" s="1390">
        <v>1</v>
      </c>
      <c r="AR538" s="1390">
        <v>1</v>
      </c>
      <c r="AS538" s="1390">
        <v>1</v>
      </c>
      <c r="AT538" s="2653">
        <v>1</v>
      </c>
    </row>
    <row r="539" spans="1:251">
      <c r="D539" s="156"/>
      <c r="E539" s="153"/>
      <c r="F539" s="153"/>
      <c r="G539" s="153"/>
      <c r="H539" s="153"/>
      <c r="I539" s="153"/>
      <c r="J539" s="153"/>
      <c r="K539" s="153"/>
      <c r="L539" s="153"/>
      <c r="M539" s="153"/>
      <c r="N539" s="153"/>
      <c r="O539" s="153"/>
      <c r="P539" s="153"/>
      <c r="Q539" s="153"/>
      <c r="R539" s="153"/>
      <c r="S539" s="153"/>
      <c r="T539" s="153"/>
      <c r="U539" s="153"/>
      <c r="V539" s="172"/>
      <c r="W539" s="172"/>
      <c r="X539" s="172"/>
      <c r="Y539" s="172"/>
      <c r="Z539" s="172"/>
      <c r="AA539" s="172"/>
      <c r="AB539" s="172"/>
      <c r="AC539" s="172"/>
      <c r="AD539" s="172"/>
      <c r="AE539" s="172"/>
      <c r="AF539" s="172"/>
      <c r="AG539" s="172"/>
      <c r="AH539" s="172"/>
      <c r="AI539" s="172"/>
      <c r="AJ539" s="172"/>
      <c r="AK539" s="172"/>
      <c r="AL539" s="172"/>
      <c r="AM539" s="172"/>
      <c r="AN539" s="172"/>
      <c r="AO539" s="172"/>
      <c r="AP539" s="172"/>
      <c r="AQ539" s="172"/>
      <c r="AR539" s="172"/>
      <c r="AS539" s="172"/>
      <c r="AT539" s="2645"/>
    </row>
    <row r="540" spans="1:251">
      <c r="D540" s="168" t="s">
        <v>2363</v>
      </c>
      <c r="E540" s="153"/>
      <c r="F540" s="153"/>
      <c r="G540" s="153"/>
      <c r="H540" s="153"/>
      <c r="I540" s="153"/>
      <c r="J540" s="153"/>
      <c r="K540" s="153"/>
      <c r="L540" s="153"/>
      <c r="M540" s="153"/>
      <c r="N540" s="153"/>
      <c r="O540" s="153"/>
      <c r="P540" s="153"/>
      <c r="Q540" s="153"/>
      <c r="R540" s="153"/>
      <c r="S540" s="153"/>
      <c r="T540" s="153"/>
      <c r="U540" s="153"/>
      <c r="V540" s="172">
        <f t="shared" ref="V540:AT540" si="652">V1092/V421</f>
        <v>0</v>
      </c>
      <c r="W540" s="172">
        <f t="shared" si="652"/>
        <v>0</v>
      </c>
      <c r="X540" s="172">
        <f t="shared" si="652"/>
        <v>0</v>
      </c>
      <c r="Y540" s="172">
        <f t="shared" si="652"/>
        <v>0</v>
      </c>
      <c r="Z540" s="172">
        <f t="shared" si="652"/>
        <v>0</v>
      </c>
      <c r="AA540" s="172">
        <f t="shared" si="652"/>
        <v>0</v>
      </c>
      <c r="AB540" s="172">
        <f t="shared" si="652"/>
        <v>0</v>
      </c>
      <c r="AC540" s="172">
        <f t="shared" si="652"/>
        <v>0</v>
      </c>
      <c r="AD540" s="172">
        <f t="shared" si="652"/>
        <v>0</v>
      </c>
      <c r="AE540" s="172">
        <f t="shared" si="652"/>
        <v>1.1768426950207468E-4</v>
      </c>
      <c r="AF540" s="172">
        <f t="shared" si="652"/>
        <v>6.6774132515619539E-5</v>
      </c>
      <c r="AG540" s="172">
        <f t="shared" si="652"/>
        <v>1.3667067360288989E-4</v>
      </c>
      <c r="AH540" s="172">
        <f t="shared" si="652"/>
        <v>0</v>
      </c>
      <c r="AI540" s="172">
        <f t="shared" si="652"/>
        <v>2.144994298962124E-4</v>
      </c>
      <c r="AJ540" s="172">
        <f t="shared" ref="AJ540" si="653">AJ1092/AJ421</f>
        <v>3.3691916291421313E-4</v>
      </c>
      <c r="AK540" s="172">
        <f t="shared" si="652"/>
        <v>1.8940538958289157E-4</v>
      </c>
      <c r="AL540" s="172">
        <f t="shared" si="652"/>
        <v>2.4592724689526558E-4</v>
      </c>
      <c r="AM540" s="172">
        <f t="shared" si="652"/>
        <v>2.6325614096394512E-4</v>
      </c>
      <c r="AN540" s="172">
        <f t="shared" si="652"/>
        <v>2.7554371451021494E-4</v>
      </c>
      <c r="AO540" s="172">
        <f t="shared" si="652"/>
        <v>3.1679048822746812E-4</v>
      </c>
      <c r="AP540" s="172">
        <f t="shared" si="652"/>
        <v>3.323829871062162E-4</v>
      </c>
      <c r="AQ540" s="172">
        <f t="shared" si="652"/>
        <v>3.4685330025598646E-4</v>
      </c>
      <c r="AR540" s="172">
        <f t="shared" si="652"/>
        <v>3.5874356638103134E-4</v>
      </c>
      <c r="AS540" s="172">
        <f t="shared" si="652"/>
        <v>3.6525705121191336E-4</v>
      </c>
      <c r="AT540" s="2645">
        <f t="shared" si="652"/>
        <v>3.158455675793586E-4</v>
      </c>
    </row>
    <row r="541" spans="1:251">
      <c r="D541" s="153" t="s">
        <v>2362</v>
      </c>
      <c r="E541" s="153"/>
      <c r="F541" s="153"/>
      <c r="G541" s="153"/>
      <c r="H541" s="153"/>
      <c r="I541" s="153"/>
      <c r="J541" s="153"/>
      <c r="K541" s="153"/>
      <c r="L541" s="153"/>
      <c r="M541" s="153"/>
      <c r="N541" s="153"/>
      <c r="O541" s="153"/>
      <c r="P541" s="153"/>
      <c r="Q541" s="153"/>
      <c r="R541" s="153"/>
      <c r="S541" s="153"/>
      <c r="T541" s="153"/>
      <c r="U541" s="153"/>
      <c r="V541" s="172">
        <f t="shared" ref="V541:AI541" si="654">V1092/V423</f>
        <v>0</v>
      </c>
      <c r="W541" s="172">
        <f t="shared" si="654"/>
        <v>0</v>
      </c>
      <c r="X541" s="172">
        <f t="shared" si="654"/>
        <v>0</v>
      </c>
      <c r="Y541" s="172">
        <f t="shared" si="654"/>
        <v>0</v>
      </c>
      <c r="Z541" s="172">
        <f t="shared" si="654"/>
        <v>0</v>
      </c>
      <c r="AA541" s="172">
        <f t="shared" si="654"/>
        <v>0</v>
      </c>
      <c r="AB541" s="172">
        <f t="shared" si="654"/>
        <v>0</v>
      </c>
      <c r="AC541" s="172">
        <f t="shared" si="654"/>
        <v>0</v>
      </c>
      <c r="AD541" s="172">
        <f t="shared" si="654"/>
        <v>0</v>
      </c>
      <c r="AE541" s="172">
        <f t="shared" si="654"/>
        <v>2.6391389309925385E-4</v>
      </c>
      <c r="AF541" s="172">
        <f t="shared" si="654"/>
        <v>1.4504882678604731E-4</v>
      </c>
      <c r="AG541" s="172">
        <f t="shared" si="654"/>
        <v>2.7192553714511589E-4</v>
      </c>
      <c r="AH541" s="172">
        <f t="shared" si="654"/>
        <v>0</v>
      </c>
      <c r="AI541" s="172">
        <f t="shared" si="654"/>
        <v>4.2699641096674291E-4</v>
      </c>
      <c r="AJ541" s="172">
        <f t="shared" ref="AJ541" si="655">AJ1092/AJ423</f>
        <v>6.2900882237685684E-4</v>
      </c>
      <c r="AK541" s="172">
        <f t="shared" ref="AK541:AM541" si="656">AJ541*AK542</f>
        <v>3.4538672804416699E-4</v>
      </c>
      <c r="AL541" s="172">
        <f t="shared" si="656"/>
        <v>4.5287389448053571E-4</v>
      </c>
      <c r="AM541" s="172">
        <f t="shared" si="656"/>
        <v>4.8412664734466158E-4</v>
      </c>
      <c r="AN541" s="172">
        <f t="shared" ref="AN541" si="657">AM541*AN542</f>
        <v>5.0338568536536577E-4</v>
      </c>
      <c r="AO541" s="172">
        <f t="shared" ref="AO541" si="658">AN541*AO542</f>
        <v>5.7296562500441892E-4</v>
      </c>
      <c r="AP541" s="172">
        <f t="shared" ref="AP541" si="659">AO541*AP542</f>
        <v>5.9829661771048997E-4</v>
      </c>
      <c r="AQ541" s="172">
        <f t="shared" ref="AQ541" si="660">AP541*AQ542</f>
        <v>6.2951701162329869E-4</v>
      </c>
      <c r="AR541" s="172">
        <f t="shared" ref="AR541" si="661">AQ541*AR542</f>
        <v>6.4845023391043352E-4</v>
      </c>
      <c r="AS541" s="172">
        <f t="shared" ref="AS541" si="662">AR541*AS542</f>
        <v>6.6354758365083318E-4</v>
      </c>
      <c r="AT541" s="2645">
        <f t="shared" ref="AT541" si="663">AS541*AT542</f>
        <v>6.7529624481895811E-4</v>
      </c>
    </row>
    <row r="542" spans="1:251">
      <c r="D542" s="156" t="s">
        <v>2364</v>
      </c>
      <c r="E542" s="153"/>
      <c r="F542" s="153"/>
      <c r="G542" s="153"/>
      <c r="H542" s="153"/>
      <c r="I542" s="153"/>
      <c r="J542" s="153"/>
      <c r="K542" s="153"/>
      <c r="L542" s="153"/>
      <c r="M542" s="153"/>
      <c r="N542" s="153"/>
      <c r="O542" s="153"/>
      <c r="P542" s="153"/>
      <c r="Q542" s="153"/>
      <c r="R542" s="153"/>
      <c r="S542" s="153"/>
      <c r="T542" s="153"/>
      <c r="U542" s="153"/>
      <c r="V542" s="232" t="e">
        <f t="shared" ref="V542:AE542" si="664">+V541/U541</f>
        <v>#DIV/0!</v>
      </c>
      <c r="W542" s="232" t="e">
        <f t="shared" si="664"/>
        <v>#DIV/0!</v>
      </c>
      <c r="X542" s="232" t="e">
        <f t="shared" si="664"/>
        <v>#DIV/0!</v>
      </c>
      <c r="Y542" s="232" t="e">
        <f t="shared" si="664"/>
        <v>#DIV/0!</v>
      </c>
      <c r="Z542" s="232" t="e">
        <f t="shared" si="664"/>
        <v>#DIV/0!</v>
      </c>
      <c r="AA542" s="232" t="e">
        <f t="shared" si="664"/>
        <v>#DIV/0!</v>
      </c>
      <c r="AB542" s="232" t="e">
        <f t="shared" si="664"/>
        <v>#DIV/0!</v>
      </c>
      <c r="AC542" s="232" t="e">
        <f t="shared" si="664"/>
        <v>#DIV/0!</v>
      </c>
      <c r="AD542" s="232" t="e">
        <f t="shared" si="664"/>
        <v>#DIV/0!</v>
      </c>
      <c r="AE542" s="232" t="e">
        <f t="shared" si="664"/>
        <v>#DIV/0!</v>
      </c>
      <c r="AF542" s="232">
        <f>+AF541/AE541</f>
        <v>0.54960663526530129</v>
      </c>
      <c r="AG542" s="232">
        <f>+AG541/AF541</f>
        <v>1.8747172463946689</v>
      </c>
      <c r="AH542" s="232">
        <f t="shared" ref="AH542" si="665">+AH541/AG541</f>
        <v>0</v>
      </c>
      <c r="AI542" s="156" t="e">
        <f>+AI541/AH541</f>
        <v>#DIV/0!</v>
      </c>
      <c r="AJ542" s="232">
        <f>+AJ541/AI541</f>
        <v>1.4731009587475148</v>
      </c>
      <c r="AK542" s="1390">
        <v>0.54909679444406279</v>
      </c>
      <c r="AL542" s="1390">
        <v>1.3112081551165555</v>
      </c>
      <c r="AM542" s="1390">
        <v>1.0690098352875341</v>
      </c>
      <c r="AN542" s="1390">
        <v>1.0397809914540672</v>
      </c>
      <c r="AO542" s="1390">
        <v>1.1382239139131476</v>
      </c>
      <c r="AP542" s="1390">
        <v>1.0442103183866844</v>
      </c>
      <c r="AQ542" s="1390">
        <v>1.0521821333910932</v>
      </c>
      <c r="AR542" s="1390">
        <v>1.0300757913409089</v>
      </c>
      <c r="AS542" s="1390">
        <v>1.023282202628498</v>
      </c>
      <c r="AT542" s="1390">
        <v>1.0177058306858475</v>
      </c>
    </row>
    <row r="543" spans="1:251">
      <c r="D543" s="156"/>
      <c r="E543" s="153"/>
      <c r="F543" s="153"/>
      <c r="G543" s="153"/>
      <c r="H543" s="153"/>
      <c r="I543" s="153"/>
      <c r="J543" s="153"/>
      <c r="K543" s="153"/>
      <c r="L543" s="153"/>
      <c r="M543" s="153"/>
      <c r="N543" s="153"/>
      <c r="O543" s="153"/>
      <c r="P543" s="153"/>
      <c r="Q543" s="153"/>
      <c r="R543" s="153"/>
      <c r="S543" s="153"/>
      <c r="T543" s="153"/>
      <c r="U543" s="153"/>
      <c r="V543" s="172"/>
      <c r="W543" s="172"/>
      <c r="X543" s="172"/>
      <c r="Y543" s="172"/>
      <c r="Z543" s="172"/>
      <c r="AA543" s="172"/>
      <c r="AB543" s="172"/>
      <c r="AC543" s="172"/>
      <c r="AD543" s="172"/>
      <c r="AE543" s="172"/>
      <c r="AF543" s="172"/>
      <c r="AG543" s="172"/>
      <c r="AH543" s="172"/>
      <c r="AI543" s="172"/>
      <c r="AJ543" s="172"/>
      <c r="AK543" s="172"/>
      <c r="AL543" s="172"/>
      <c r="AM543" s="172"/>
      <c r="AN543" s="172"/>
      <c r="AO543" s="172"/>
      <c r="AP543" s="172"/>
      <c r="AQ543" s="172"/>
      <c r="AR543" s="172"/>
      <c r="AS543" s="172"/>
      <c r="AT543" s="2645"/>
    </row>
    <row r="544" spans="1:251">
      <c r="D544" s="168" t="s">
        <v>2365</v>
      </c>
      <c r="E544" s="153"/>
      <c r="F544" s="153"/>
      <c r="G544" s="153"/>
      <c r="H544" s="153"/>
      <c r="I544" s="153"/>
      <c r="J544" s="153"/>
      <c r="K544" s="153"/>
      <c r="L544" s="153"/>
      <c r="M544" s="153"/>
      <c r="N544" s="153"/>
      <c r="O544" s="153"/>
      <c r="P544" s="153"/>
      <c r="Q544" s="153"/>
      <c r="R544" s="153"/>
      <c r="S544" s="153"/>
      <c r="T544" s="153"/>
      <c r="U544" s="153"/>
      <c r="V544" s="172">
        <f t="shared" ref="V544:AT544" si="666">V1093/V421</f>
        <v>0</v>
      </c>
      <c r="W544" s="172">
        <f t="shared" si="666"/>
        <v>0</v>
      </c>
      <c r="X544" s="172">
        <f t="shared" si="666"/>
        <v>0</v>
      </c>
      <c r="Y544" s="172">
        <f t="shared" si="666"/>
        <v>0</v>
      </c>
      <c r="Z544" s="172">
        <f t="shared" si="666"/>
        <v>7.8754013862415533E-4</v>
      </c>
      <c r="AA544" s="172">
        <f t="shared" si="666"/>
        <v>5.6971046120709162E-3</v>
      </c>
      <c r="AB544" s="172">
        <f t="shared" si="666"/>
        <v>0</v>
      </c>
      <c r="AC544" s="172">
        <f t="shared" si="666"/>
        <v>0</v>
      </c>
      <c r="AD544" s="172">
        <f t="shared" si="666"/>
        <v>2.8038422131147539E-4</v>
      </c>
      <c r="AE544" s="172">
        <f t="shared" si="666"/>
        <v>1.4268950485294958E-3</v>
      </c>
      <c r="AF544" s="172">
        <f t="shared" si="666"/>
        <v>6.6125140303140368E-4</v>
      </c>
      <c r="AG544" s="172">
        <f t="shared" si="666"/>
        <v>5.8219979641186597E-4</v>
      </c>
      <c r="AH544" s="172">
        <f t="shared" si="666"/>
        <v>0</v>
      </c>
      <c r="AI544" s="172">
        <f t="shared" si="666"/>
        <v>0</v>
      </c>
      <c r="AJ544" s="172">
        <f t="shared" ref="AJ544" si="667">AJ1093/AJ421</f>
        <v>0</v>
      </c>
      <c r="AK544" s="172">
        <f t="shared" si="666"/>
        <v>0</v>
      </c>
      <c r="AL544" s="172">
        <f t="shared" si="666"/>
        <v>0</v>
      </c>
      <c r="AM544" s="172">
        <f t="shared" si="666"/>
        <v>0</v>
      </c>
      <c r="AN544" s="172">
        <f t="shared" si="666"/>
        <v>0</v>
      </c>
      <c r="AO544" s="172">
        <f t="shared" si="666"/>
        <v>0</v>
      </c>
      <c r="AP544" s="172">
        <f t="shared" si="666"/>
        <v>0</v>
      </c>
      <c r="AQ544" s="172">
        <f t="shared" si="666"/>
        <v>0</v>
      </c>
      <c r="AR544" s="172">
        <f t="shared" si="666"/>
        <v>0</v>
      </c>
      <c r="AS544" s="172">
        <f t="shared" si="666"/>
        <v>0</v>
      </c>
      <c r="AT544" s="2645">
        <f t="shared" si="666"/>
        <v>0</v>
      </c>
    </row>
    <row r="545" spans="4:46">
      <c r="D545" s="153" t="s">
        <v>2366</v>
      </c>
      <c r="E545" s="153"/>
      <c r="F545" s="153"/>
      <c r="G545" s="153"/>
      <c r="H545" s="153"/>
      <c r="I545" s="153"/>
      <c r="J545" s="153"/>
      <c r="K545" s="153"/>
      <c r="L545" s="153"/>
      <c r="M545" s="153"/>
      <c r="N545" s="153"/>
      <c r="O545" s="153"/>
      <c r="P545" s="153"/>
      <c r="Q545" s="153"/>
      <c r="R545" s="153"/>
      <c r="S545" s="153"/>
      <c r="T545" s="153"/>
      <c r="U545" s="153"/>
      <c r="V545" s="172">
        <f t="shared" ref="V545:AG545" si="668">V1093/V423</f>
        <v>0</v>
      </c>
      <c r="W545" s="172">
        <f t="shared" si="668"/>
        <v>0</v>
      </c>
      <c r="X545" s="172">
        <f t="shared" si="668"/>
        <v>0</v>
      </c>
      <c r="Y545" s="172">
        <f t="shared" si="668"/>
        <v>0</v>
      </c>
      <c r="Z545" s="172">
        <f t="shared" si="668"/>
        <v>1.870143467656343E-3</v>
      </c>
      <c r="AA545" s="172">
        <f t="shared" si="668"/>
        <v>1.3903415423712524E-2</v>
      </c>
      <c r="AB545" s="172">
        <f t="shared" si="668"/>
        <v>0</v>
      </c>
      <c r="AC545" s="172">
        <f t="shared" si="668"/>
        <v>0</v>
      </c>
      <c r="AD545" s="172">
        <f t="shared" si="668"/>
        <v>6.2524030904780969E-4</v>
      </c>
      <c r="AE545" s="172">
        <f t="shared" si="668"/>
        <v>3.1998960344893778E-3</v>
      </c>
      <c r="AF545" s="172">
        <f t="shared" si="668"/>
        <v>1.43639065918074E-3</v>
      </c>
      <c r="AG545" s="172">
        <f t="shared" si="668"/>
        <v>1.1583684209025967E-3</v>
      </c>
      <c r="AH545" s="172">
        <f t="shared" ref="AH545:AM545" si="669">AG545*AH546</f>
        <v>1.1583684209025967E-3</v>
      </c>
      <c r="AI545" s="172">
        <f t="shared" si="669"/>
        <v>0</v>
      </c>
      <c r="AJ545" s="172">
        <f t="shared" si="669"/>
        <v>0</v>
      </c>
      <c r="AK545" s="172">
        <f t="shared" si="669"/>
        <v>0</v>
      </c>
      <c r="AL545" s="172">
        <f t="shared" si="669"/>
        <v>0</v>
      </c>
      <c r="AM545" s="172">
        <f t="shared" si="669"/>
        <v>0</v>
      </c>
      <c r="AN545" s="172">
        <f t="shared" ref="AN545" si="670">AM545*AN546</f>
        <v>0</v>
      </c>
      <c r="AO545" s="172">
        <f t="shared" ref="AO545" si="671">AN545*AO546</f>
        <v>0</v>
      </c>
      <c r="AP545" s="172">
        <f t="shared" ref="AP545" si="672">AO545*AP546</f>
        <v>0</v>
      </c>
      <c r="AQ545" s="172">
        <f t="shared" ref="AQ545" si="673">AP545*AQ546</f>
        <v>0</v>
      </c>
      <c r="AR545" s="172">
        <f t="shared" ref="AR545" si="674">AQ545*AR546</f>
        <v>0</v>
      </c>
      <c r="AS545" s="172">
        <f t="shared" ref="AS545" si="675">AR545*AS546</f>
        <v>0</v>
      </c>
      <c r="AT545" s="2645">
        <f t="shared" ref="AT545" si="676">AS545*AT546</f>
        <v>0</v>
      </c>
    </row>
    <row r="546" spans="4:46">
      <c r="D546" s="156" t="s">
        <v>2367</v>
      </c>
      <c r="E546" s="153"/>
      <c r="F546" s="153"/>
      <c r="G546" s="153"/>
      <c r="H546" s="153"/>
      <c r="I546" s="153"/>
      <c r="J546" s="153"/>
      <c r="K546" s="153"/>
      <c r="L546" s="153"/>
      <c r="M546" s="153"/>
      <c r="N546" s="153"/>
      <c r="O546" s="153"/>
      <c r="P546" s="153"/>
      <c r="Q546" s="153"/>
      <c r="R546" s="153"/>
      <c r="S546" s="153"/>
      <c r="T546" s="153"/>
      <c r="U546" s="153"/>
      <c r="V546" s="232" t="e">
        <f t="shared" ref="V546:AG546" si="677">+V545/U545</f>
        <v>#DIV/0!</v>
      </c>
      <c r="W546" s="232" t="e">
        <f t="shared" si="677"/>
        <v>#DIV/0!</v>
      </c>
      <c r="X546" s="232" t="e">
        <f t="shared" si="677"/>
        <v>#DIV/0!</v>
      </c>
      <c r="Y546" s="232" t="e">
        <f t="shared" si="677"/>
        <v>#DIV/0!</v>
      </c>
      <c r="Z546" s="232" t="e">
        <f t="shared" si="677"/>
        <v>#DIV/0!</v>
      </c>
      <c r="AA546" s="232">
        <f t="shared" si="677"/>
        <v>7.4344111369895236</v>
      </c>
      <c r="AB546" s="232">
        <f t="shared" si="677"/>
        <v>0</v>
      </c>
      <c r="AC546" s="232" t="e">
        <f t="shared" si="677"/>
        <v>#DIV/0!</v>
      </c>
      <c r="AD546" s="232" t="e">
        <f t="shared" si="677"/>
        <v>#DIV/0!</v>
      </c>
      <c r="AE546" s="232">
        <f t="shared" si="677"/>
        <v>5.1178658640268413</v>
      </c>
      <c r="AF546" s="232">
        <f t="shared" si="677"/>
        <v>0.44888666497252355</v>
      </c>
      <c r="AG546" s="232">
        <f t="shared" si="677"/>
        <v>0.80644385529719609</v>
      </c>
      <c r="AH546" s="232">
        <v>1</v>
      </c>
      <c r="AI546" s="232">
        <v>0</v>
      </c>
      <c r="AJ546" s="232">
        <v>1</v>
      </c>
      <c r="AK546" s="1390">
        <v>0.98534874954952401</v>
      </c>
      <c r="AL546" s="1390">
        <v>0.70016995042295271</v>
      </c>
      <c r="AM546" s="1390">
        <v>1.0026969591066064</v>
      </c>
      <c r="AN546" s="1390">
        <v>1.0060148996636191</v>
      </c>
      <c r="AO546" s="1390">
        <v>0.8584625066337831</v>
      </c>
      <c r="AP546" s="1390">
        <v>1.0577165687284604</v>
      </c>
      <c r="AQ546" s="1390">
        <v>1.0521821333910932</v>
      </c>
      <c r="AR546" s="1390">
        <v>1.0300757913409089</v>
      </c>
      <c r="AS546" s="1390">
        <v>1.023282202628498</v>
      </c>
      <c r="AT546" s="1390">
        <v>1.0177058306858475</v>
      </c>
    </row>
    <row r="547" spans="4:46">
      <c r="D547" s="156"/>
      <c r="E547" s="153"/>
      <c r="F547" s="153"/>
      <c r="G547" s="153"/>
      <c r="H547" s="153"/>
      <c r="I547" s="153"/>
      <c r="J547" s="153"/>
      <c r="K547" s="153"/>
      <c r="L547" s="153"/>
      <c r="M547" s="153"/>
      <c r="N547" s="153"/>
      <c r="O547" s="153"/>
      <c r="P547" s="153"/>
      <c r="Q547" s="153"/>
      <c r="R547" s="153"/>
      <c r="S547" s="153"/>
      <c r="T547" s="153"/>
      <c r="U547" s="153"/>
      <c r="V547" s="172"/>
      <c r="W547" s="172"/>
      <c r="X547" s="172"/>
      <c r="Y547" s="172"/>
      <c r="Z547" s="172"/>
      <c r="AA547" s="172"/>
      <c r="AB547" s="172"/>
      <c r="AC547" s="172"/>
      <c r="AD547" s="172"/>
      <c r="AE547" s="172"/>
      <c r="AF547" s="172"/>
      <c r="AG547" s="172"/>
      <c r="AH547" s="172"/>
      <c r="AI547" s="172"/>
      <c r="AJ547" s="172"/>
      <c r="AK547" s="172"/>
      <c r="AL547" s="172"/>
      <c r="AM547" s="172"/>
      <c r="AN547" s="172"/>
      <c r="AO547" s="172"/>
      <c r="AP547" s="172"/>
      <c r="AQ547" s="172"/>
      <c r="AR547" s="172"/>
      <c r="AS547" s="172"/>
      <c r="AT547" s="2645"/>
    </row>
    <row r="548" spans="4:46">
      <c r="D548" s="168" t="s">
        <v>3043</v>
      </c>
      <c r="E548" s="153"/>
      <c r="F548" s="153"/>
      <c r="G548" s="153"/>
      <c r="H548" s="153"/>
      <c r="I548" s="153"/>
      <c r="J548" s="153"/>
      <c r="K548" s="153"/>
      <c r="L548" s="153"/>
      <c r="M548" s="153"/>
      <c r="N548" s="153"/>
      <c r="O548" s="153"/>
      <c r="P548" s="153"/>
      <c r="Q548" s="153"/>
      <c r="R548" s="153"/>
      <c r="S548" s="153"/>
      <c r="T548" s="153"/>
      <c r="U548" s="153"/>
      <c r="V548" s="172">
        <f t="shared" ref="V548:AT548" si="678">V1094/V421</f>
        <v>0</v>
      </c>
      <c r="W548" s="172">
        <f t="shared" si="678"/>
        <v>0</v>
      </c>
      <c r="X548" s="172">
        <f t="shared" si="678"/>
        <v>0</v>
      </c>
      <c r="Y548" s="172">
        <f t="shared" si="678"/>
        <v>0</v>
      </c>
      <c r="Z548" s="172">
        <f t="shared" si="678"/>
        <v>9.876971062207589E-9</v>
      </c>
      <c r="AA548" s="172">
        <f t="shared" si="678"/>
        <v>9.8712332785181619E-9</v>
      </c>
      <c r="AB548" s="172">
        <f t="shared" si="678"/>
        <v>0</v>
      </c>
      <c r="AC548" s="172">
        <f t="shared" si="678"/>
        <v>0</v>
      </c>
      <c r="AD548" s="172">
        <f t="shared" si="678"/>
        <v>2.8038422131147539E-4</v>
      </c>
      <c r="AE548" s="172">
        <f t="shared" si="678"/>
        <v>0</v>
      </c>
      <c r="AF548" s="172">
        <f t="shared" si="678"/>
        <v>0</v>
      </c>
      <c r="AG548" s="172">
        <f t="shared" si="678"/>
        <v>0</v>
      </c>
      <c r="AH548" s="172">
        <f t="shared" ref="AH548:AJ548" si="679">AH1094/AH421</f>
        <v>0</v>
      </c>
      <c r="AI548" s="172">
        <f t="shared" si="679"/>
        <v>0</v>
      </c>
      <c r="AJ548" s="172">
        <f t="shared" si="679"/>
        <v>0</v>
      </c>
      <c r="AK548" s="172">
        <f t="shared" si="678"/>
        <v>0</v>
      </c>
      <c r="AL548" s="172">
        <f t="shared" si="678"/>
        <v>0</v>
      </c>
      <c r="AM548" s="172">
        <f t="shared" si="678"/>
        <v>0</v>
      </c>
      <c r="AN548" s="172">
        <f t="shared" si="678"/>
        <v>0</v>
      </c>
      <c r="AO548" s="172">
        <f t="shared" si="678"/>
        <v>0</v>
      </c>
      <c r="AP548" s="172">
        <f t="shared" si="678"/>
        <v>0</v>
      </c>
      <c r="AQ548" s="172">
        <f t="shared" si="678"/>
        <v>0</v>
      </c>
      <c r="AR548" s="172">
        <f t="shared" si="678"/>
        <v>0</v>
      </c>
      <c r="AS548" s="172">
        <f t="shared" si="678"/>
        <v>0</v>
      </c>
      <c r="AT548" s="2645">
        <f t="shared" si="678"/>
        <v>0</v>
      </c>
    </row>
    <row r="549" spans="4:46">
      <c r="D549" s="153" t="s">
        <v>3041</v>
      </c>
      <c r="E549" s="153"/>
      <c r="F549" s="153"/>
      <c r="G549" s="153"/>
      <c r="H549" s="153"/>
      <c r="I549" s="153"/>
      <c r="J549" s="153"/>
      <c r="K549" s="153"/>
      <c r="L549" s="153"/>
      <c r="M549" s="153"/>
      <c r="N549" s="153"/>
      <c r="O549" s="153"/>
      <c r="P549" s="153"/>
      <c r="Q549" s="153"/>
      <c r="R549" s="153"/>
      <c r="S549" s="153"/>
      <c r="T549" s="153"/>
      <c r="U549" s="153"/>
      <c r="V549" s="172">
        <f t="shared" ref="V549:AG549" si="680">V1094/V426</f>
        <v>0</v>
      </c>
      <c r="W549" s="172">
        <f t="shared" si="680"/>
        <v>0</v>
      </c>
      <c r="X549" s="172">
        <f t="shared" si="680"/>
        <v>0</v>
      </c>
      <c r="Y549" s="172">
        <f t="shared" si="680"/>
        <v>0</v>
      </c>
      <c r="Z549" s="172">
        <f t="shared" si="680"/>
        <v>1.6863765966192589E-8</v>
      </c>
      <c r="AA549" s="172">
        <f t="shared" si="680"/>
        <v>2.4255536994292292E-8</v>
      </c>
      <c r="AB549" s="172">
        <f t="shared" si="680"/>
        <v>0</v>
      </c>
      <c r="AC549" s="172">
        <f t="shared" si="680"/>
        <v>0</v>
      </c>
      <c r="AD549" s="172">
        <f t="shared" si="680"/>
        <v>1.383767632872562E-3</v>
      </c>
      <c r="AE549" s="172">
        <f t="shared" si="680"/>
        <v>0</v>
      </c>
      <c r="AF549" s="172">
        <f t="shared" si="680"/>
        <v>0</v>
      </c>
      <c r="AG549" s="172">
        <f t="shared" si="680"/>
        <v>0</v>
      </c>
      <c r="AH549" s="172">
        <f t="shared" ref="AH549:AJ549" si="681">AH1094/AH426</f>
        <v>0</v>
      </c>
      <c r="AI549" s="172">
        <f t="shared" si="681"/>
        <v>0</v>
      </c>
      <c r="AJ549" s="172">
        <f t="shared" si="681"/>
        <v>0</v>
      </c>
      <c r="AK549" s="172">
        <f t="shared" ref="AK549:AM549" si="682">AJ549*AK550</f>
        <v>0</v>
      </c>
      <c r="AL549" s="172">
        <f t="shared" si="682"/>
        <v>0</v>
      </c>
      <c r="AM549" s="172">
        <f t="shared" si="682"/>
        <v>0</v>
      </c>
      <c r="AN549" s="172">
        <f t="shared" ref="AN549" si="683">AM549*AN550</f>
        <v>0</v>
      </c>
      <c r="AO549" s="172">
        <f t="shared" ref="AO549" si="684">AN549*AO550</f>
        <v>0</v>
      </c>
      <c r="AP549" s="172">
        <f t="shared" ref="AP549" si="685">AO549*AP550</f>
        <v>0</v>
      </c>
      <c r="AQ549" s="172">
        <f t="shared" ref="AQ549" si="686">AP549*AQ550</f>
        <v>0</v>
      </c>
      <c r="AR549" s="172">
        <f t="shared" ref="AR549" si="687">AQ549*AR550</f>
        <v>0</v>
      </c>
      <c r="AS549" s="172">
        <f t="shared" ref="AS549:AT549" si="688">AR549*AS550</f>
        <v>0</v>
      </c>
      <c r="AT549" s="2645">
        <f t="shared" si="688"/>
        <v>0</v>
      </c>
    </row>
    <row r="550" spans="4:46">
      <c r="D550" s="156" t="s">
        <v>3042</v>
      </c>
      <c r="E550" s="153"/>
      <c r="F550" s="153"/>
      <c r="G550" s="153"/>
      <c r="H550" s="153"/>
      <c r="I550" s="153"/>
      <c r="J550" s="153"/>
      <c r="K550" s="153"/>
      <c r="L550" s="153"/>
      <c r="M550" s="153"/>
      <c r="N550" s="153"/>
      <c r="O550" s="153"/>
      <c r="P550" s="153"/>
      <c r="Q550" s="153"/>
      <c r="R550" s="153"/>
      <c r="S550" s="153"/>
      <c r="T550" s="153"/>
      <c r="U550" s="153"/>
      <c r="V550" s="232" t="e">
        <f t="shared" ref="V550:AG550" si="689">+V549/U549</f>
        <v>#DIV/0!</v>
      </c>
      <c r="W550" s="232" t="e">
        <f t="shared" si="689"/>
        <v>#DIV/0!</v>
      </c>
      <c r="X550" s="232" t="e">
        <f t="shared" si="689"/>
        <v>#DIV/0!</v>
      </c>
      <c r="Y550" s="232" t="e">
        <f t="shared" si="689"/>
        <v>#DIV/0!</v>
      </c>
      <c r="Z550" s="232" t="e">
        <f t="shared" si="689"/>
        <v>#DIV/0!</v>
      </c>
      <c r="AA550" s="232">
        <f t="shared" si="689"/>
        <v>1.4383226761399712</v>
      </c>
      <c r="AB550" s="232">
        <f t="shared" si="689"/>
        <v>0</v>
      </c>
      <c r="AC550" s="232" t="e">
        <f t="shared" si="689"/>
        <v>#DIV/0!</v>
      </c>
      <c r="AD550" s="232" t="e">
        <f t="shared" si="689"/>
        <v>#DIV/0!</v>
      </c>
      <c r="AE550" s="232">
        <f t="shared" si="689"/>
        <v>0</v>
      </c>
      <c r="AF550" s="232" t="e">
        <f t="shared" si="689"/>
        <v>#DIV/0!</v>
      </c>
      <c r="AG550" s="232" t="e">
        <f t="shared" si="689"/>
        <v>#DIV/0!</v>
      </c>
      <c r="AH550" s="232" t="e">
        <f t="shared" ref="AH550" si="690">+AH549/AG549</f>
        <v>#DIV/0!</v>
      </c>
      <c r="AI550" s="232" t="e">
        <f t="shared" ref="AI550" si="691">+AI549/AH549</f>
        <v>#DIV/0!</v>
      </c>
      <c r="AJ550" s="232" t="e">
        <f t="shared" ref="AJ550" si="692">+AJ549/AI549</f>
        <v>#DIV/0!</v>
      </c>
      <c r="AK550" s="1390">
        <v>1</v>
      </c>
      <c r="AL550" s="1390">
        <v>1</v>
      </c>
      <c r="AM550" s="1390">
        <v>1</v>
      </c>
      <c r="AN550" s="1390">
        <v>1</v>
      </c>
      <c r="AO550" s="1390">
        <v>1</v>
      </c>
      <c r="AP550" s="1390">
        <v>1</v>
      </c>
      <c r="AQ550" s="1390">
        <v>1</v>
      </c>
      <c r="AR550" s="1390">
        <v>1</v>
      </c>
      <c r="AS550" s="1390">
        <v>1</v>
      </c>
      <c r="AT550" s="2653">
        <v>1</v>
      </c>
    </row>
    <row r="551" spans="4:46">
      <c r="D551" s="156"/>
      <c r="E551" s="153"/>
      <c r="F551" s="153"/>
      <c r="G551" s="153"/>
      <c r="H551" s="153"/>
      <c r="I551" s="153"/>
      <c r="J551" s="153"/>
      <c r="K551" s="153"/>
      <c r="L551" s="153"/>
      <c r="M551" s="153"/>
      <c r="N551" s="153"/>
      <c r="O551" s="153"/>
      <c r="P551" s="153"/>
      <c r="Q551" s="153"/>
      <c r="R551" s="153"/>
      <c r="S551" s="153"/>
      <c r="T551" s="153"/>
      <c r="U551" s="153"/>
      <c r="V551" s="172"/>
      <c r="W551" s="172"/>
      <c r="X551" s="172"/>
      <c r="Y551" s="172"/>
      <c r="Z551" s="172"/>
      <c r="AA551" s="172"/>
      <c r="AB551" s="172"/>
      <c r="AC551" s="172"/>
      <c r="AD551" s="172"/>
      <c r="AE551" s="172"/>
      <c r="AF551" s="172"/>
      <c r="AG551" s="172"/>
      <c r="AH551" s="172"/>
      <c r="AI551" s="172"/>
      <c r="AJ551" s="172"/>
      <c r="AK551" s="172"/>
      <c r="AL551" s="172"/>
      <c r="AM551" s="172"/>
      <c r="AN551" s="172"/>
      <c r="AO551" s="172"/>
      <c r="AP551" s="172"/>
      <c r="AQ551" s="172"/>
      <c r="AR551" s="172"/>
      <c r="AS551" s="172"/>
      <c r="AT551" s="2645"/>
    </row>
    <row r="552" spans="4:46">
      <c r="D552" s="168" t="s">
        <v>2374</v>
      </c>
      <c r="E552" s="153"/>
      <c r="F552" s="153"/>
      <c r="G552" s="153"/>
      <c r="H552" s="153"/>
      <c r="I552" s="153"/>
      <c r="J552" s="153"/>
      <c r="K552" s="153"/>
      <c r="L552" s="153"/>
      <c r="M552" s="153"/>
      <c r="N552" s="153"/>
      <c r="O552" s="153"/>
      <c r="P552" s="153"/>
      <c r="Q552" s="153"/>
      <c r="R552" s="153"/>
      <c r="S552" s="153"/>
      <c r="T552" s="153"/>
      <c r="U552" s="153"/>
      <c r="V552" s="172">
        <f t="shared" ref="V552:AT552" si="693">V1095/V421</f>
        <v>0</v>
      </c>
      <c r="W552" s="172">
        <f t="shared" si="693"/>
        <v>0</v>
      </c>
      <c r="X552" s="172">
        <f t="shared" si="693"/>
        <v>0</v>
      </c>
      <c r="Y552" s="172">
        <f t="shared" si="693"/>
        <v>0</v>
      </c>
      <c r="Z552" s="172">
        <f t="shared" si="693"/>
        <v>7.875302616530929E-4</v>
      </c>
      <c r="AA552" s="172">
        <f t="shared" si="693"/>
        <v>5.6970947408376375E-3</v>
      </c>
      <c r="AB552" s="172">
        <f t="shared" si="693"/>
        <v>0</v>
      </c>
      <c r="AC552" s="172">
        <f t="shared" si="693"/>
        <v>0</v>
      </c>
      <c r="AD552" s="172">
        <f t="shared" si="693"/>
        <v>0</v>
      </c>
      <c r="AE552" s="172">
        <f t="shared" si="693"/>
        <v>1.4544684208324006E-3</v>
      </c>
      <c r="AF552" s="172">
        <f t="shared" si="693"/>
        <v>6.6136512382131639E-4</v>
      </c>
      <c r="AG552" s="172">
        <f t="shared" si="693"/>
        <v>5.8761011602908415E-4</v>
      </c>
      <c r="AH552" s="172">
        <f t="shared" ref="AH552:AJ552" si="694">AH1095/AH421</f>
        <v>0</v>
      </c>
      <c r="AI552" s="172">
        <f t="shared" si="694"/>
        <v>6.9691527386440228E-4</v>
      </c>
      <c r="AJ552" s="172">
        <f t="shared" si="694"/>
        <v>7.97871193683049E-4</v>
      </c>
      <c r="AK552" s="172">
        <f t="shared" si="693"/>
        <v>1.3906369736969466E-3</v>
      </c>
      <c r="AL552" s="172">
        <f t="shared" si="693"/>
        <v>1.5563688535075726E-3</v>
      </c>
      <c r="AM552" s="172">
        <f t="shared" si="693"/>
        <v>1.5897769338279843E-3</v>
      </c>
      <c r="AN552" s="172">
        <f t="shared" si="693"/>
        <v>1.6271303754652523E-3</v>
      </c>
      <c r="AO552" s="172">
        <f t="shared" si="693"/>
        <v>1.6609605496252316E-3</v>
      </c>
      <c r="AP552" s="172">
        <f t="shared" si="693"/>
        <v>1.6689294960063705E-3</v>
      </c>
      <c r="AQ552" s="172">
        <f t="shared" si="693"/>
        <v>1.7633486986927049E-3</v>
      </c>
      <c r="AR552" s="172">
        <f t="shared" si="693"/>
        <v>1.8465865102358107E-3</v>
      </c>
      <c r="AS552" s="172">
        <f t="shared" si="693"/>
        <v>1.9036070859906639E-3</v>
      </c>
      <c r="AT552" s="2645">
        <f t="shared" si="693"/>
        <v>1.6666586377498747E-3</v>
      </c>
    </row>
    <row r="553" spans="4:46">
      <c r="D553" s="153" t="s">
        <v>2330</v>
      </c>
      <c r="E553" s="153"/>
      <c r="F553" s="153"/>
      <c r="G553" s="153"/>
      <c r="H553" s="153"/>
      <c r="I553" s="153"/>
      <c r="J553" s="153"/>
      <c r="K553" s="153"/>
      <c r="L553" s="153"/>
      <c r="M553" s="153"/>
      <c r="N553" s="153"/>
      <c r="O553" s="153"/>
      <c r="P553" s="153"/>
      <c r="Q553" s="153"/>
      <c r="R553" s="153"/>
      <c r="S553" s="153"/>
      <c r="T553" s="153"/>
      <c r="U553" s="153"/>
      <c r="V553" s="172">
        <f t="shared" ref="V553:AG553" si="695">V1095/V423</f>
        <v>0</v>
      </c>
      <c r="W553" s="172">
        <f t="shared" si="695"/>
        <v>0</v>
      </c>
      <c r="X553" s="172">
        <f t="shared" si="695"/>
        <v>0</v>
      </c>
      <c r="Y553" s="172">
        <f t="shared" si="695"/>
        <v>0</v>
      </c>
      <c r="Z553" s="172">
        <f t="shared" si="695"/>
        <v>1.8701200131655729E-3</v>
      </c>
      <c r="AA553" s="172">
        <f t="shared" si="695"/>
        <v>1.3903391333605995E-2</v>
      </c>
      <c r="AB553" s="172">
        <f t="shared" si="695"/>
        <v>0</v>
      </c>
      <c r="AC553" s="172">
        <f t="shared" si="695"/>
        <v>0</v>
      </c>
      <c r="AD553" s="172">
        <f t="shared" si="695"/>
        <v>0</v>
      </c>
      <c r="AE553" s="172">
        <f t="shared" si="695"/>
        <v>3.2617309429365635E-3</v>
      </c>
      <c r="AF553" s="172">
        <f t="shared" si="695"/>
        <v>1.4366376869823243E-3</v>
      </c>
      <c r="AG553" s="172">
        <f t="shared" si="695"/>
        <v>1.1691330131099458E-3</v>
      </c>
      <c r="AH553" s="172">
        <f t="shared" ref="AH553:AJ553" si="696">AH1095/AH423</f>
        <v>0</v>
      </c>
      <c r="AI553" s="172">
        <f t="shared" si="696"/>
        <v>1.3873245296362399E-3</v>
      </c>
      <c r="AJ553" s="172">
        <f t="shared" si="696"/>
        <v>1.4895799206137116E-3</v>
      </c>
      <c r="AK553" s="172">
        <f t="shared" ref="AK553:AM553" si="697">AJ553*AK554</f>
        <v>2.5358705752785795E-3</v>
      </c>
      <c r="AL553" s="172">
        <f t="shared" si="697"/>
        <v>2.8660460881601885E-3</v>
      </c>
      <c r="AM553" s="172">
        <f t="shared" si="697"/>
        <v>2.9235913516844712E-3</v>
      </c>
      <c r="AN553" s="172">
        <f t="shared" ref="AN553" si="698">AM553*AN554</f>
        <v>2.9725742090989209E-3</v>
      </c>
      <c r="AO553" s="172">
        <f t="shared" ref="AO553" si="699">AN553*AO554</f>
        <v>3.0041094502192404E-3</v>
      </c>
      <c r="AP553" s="172">
        <f t="shared" ref="AP553" si="700">AO553*AP554</f>
        <v>3.0041094502192404E-3</v>
      </c>
      <c r="AQ553" s="172">
        <f t="shared" ref="AQ553" si="701">AP553*AQ554</f>
        <v>3.2003674245902041E-3</v>
      </c>
      <c r="AR553" s="172">
        <f t="shared" ref="AR553" si="702">AQ553*AR554</f>
        <v>3.3378144354690694E-3</v>
      </c>
      <c r="AS553" s="172">
        <f t="shared" ref="AS553" si="703">AR553*AS554</f>
        <v>3.4582053322137481E-3</v>
      </c>
      <c r="AT553" s="2645">
        <f t="shared" ref="AT553" si="704">AS553*AT554</f>
        <v>3.5634133734828597E-3</v>
      </c>
    </row>
    <row r="554" spans="4:46">
      <c r="D554" s="156" t="s">
        <v>2378</v>
      </c>
      <c r="E554" s="153"/>
      <c r="F554" s="153"/>
      <c r="G554" s="153"/>
      <c r="H554" s="153"/>
      <c r="I554" s="153"/>
      <c r="J554" s="153"/>
      <c r="K554" s="153"/>
      <c r="L554" s="153"/>
      <c r="M554" s="153"/>
      <c r="N554" s="153"/>
      <c r="O554" s="153"/>
      <c r="P554" s="153"/>
      <c r="Q554" s="153"/>
      <c r="R554" s="153"/>
      <c r="S554" s="153"/>
      <c r="T554" s="153"/>
      <c r="U554" s="153"/>
      <c r="V554" s="232" t="e">
        <f t="shared" ref="V554:AG554" si="705">+V553/U553</f>
        <v>#DIV/0!</v>
      </c>
      <c r="W554" s="232" t="e">
        <f t="shared" si="705"/>
        <v>#DIV/0!</v>
      </c>
      <c r="X554" s="232" t="e">
        <f t="shared" si="705"/>
        <v>#DIV/0!</v>
      </c>
      <c r="Y554" s="232" t="e">
        <f t="shared" si="705"/>
        <v>#DIV/0!</v>
      </c>
      <c r="Z554" s="232" t="e">
        <f t="shared" si="705"/>
        <v>#DIV/0!</v>
      </c>
      <c r="AA554" s="232">
        <f t="shared" si="705"/>
        <v>7.4344914955867294</v>
      </c>
      <c r="AB554" s="232">
        <f t="shared" si="705"/>
        <v>0</v>
      </c>
      <c r="AC554" s="232" t="e">
        <f t="shared" si="705"/>
        <v>#DIV/0!</v>
      </c>
      <c r="AD554" s="232" t="e">
        <f t="shared" si="705"/>
        <v>#DIV/0!</v>
      </c>
      <c r="AE554" s="232" t="e">
        <f t="shared" si="705"/>
        <v>#DIV/0!</v>
      </c>
      <c r="AF554" s="232">
        <f t="shared" si="705"/>
        <v>0.4404525425659136</v>
      </c>
      <c r="AG554" s="232">
        <f t="shared" si="705"/>
        <v>0.8137980951660293</v>
      </c>
      <c r="AH554" s="232">
        <f t="shared" ref="AH554" si="706">+AH553/AG553</f>
        <v>0</v>
      </c>
      <c r="AI554" s="232" t="e">
        <f t="shared" ref="AI554" si="707">+AI553/AH553</f>
        <v>#DIV/0!</v>
      </c>
      <c r="AJ554" s="232">
        <f t="shared" ref="AJ554" si="708">+AJ553/AI553</f>
        <v>1.0737069004353894</v>
      </c>
      <c r="AK554" s="1390">
        <v>1.7024065242728252</v>
      </c>
      <c r="AL554" s="1390">
        <v>1.1302020363737757</v>
      </c>
      <c r="AM554" s="1390">
        <v>1.0200782756990565</v>
      </c>
      <c r="AN554" s="1390">
        <v>1.0167543447500718</v>
      </c>
      <c r="AO554" s="1390">
        <v>1.0106087313224315</v>
      </c>
      <c r="AP554" s="1390">
        <v>1</v>
      </c>
      <c r="AQ554" s="1390">
        <v>1.0653298348888856</v>
      </c>
      <c r="AR554" s="1390">
        <v>1.042947259687367</v>
      </c>
      <c r="AS554" s="1390">
        <v>1.0360687806563937</v>
      </c>
      <c r="AT554" s="2653">
        <v>1.0304227283120182</v>
      </c>
    </row>
    <row r="555" spans="4:46">
      <c r="D555" s="156"/>
      <c r="E555" s="153"/>
      <c r="F555" s="153"/>
      <c r="G555" s="153"/>
      <c r="H555" s="153"/>
      <c r="I555" s="153"/>
      <c r="J555" s="153"/>
      <c r="K555" s="153"/>
      <c r="L555" s="153"/>
      <c r="M555" s="153"/>
      <c r="N555" s="153"/>
      <c r="O555" s="153"/>
      <c r="P555" s="153"/>
      <c r="Q555" s="153"/>
      <c r="R555" s="153"/>
      <c r="S555" s="153"/>
      <c r="T555" s="153"/>
      <c r="U555" s="153"/>
      <c r="V555" s="172"/>
      <c r="W555" s="172"/>
      <c r="X555" s="172"/>
      <c r="Y555" s="172"/>
      <c r="Z555" s="172"/>
      <c r="AA555" s="172"/>
      <c r="AB555" s="172"/>
      <c r="AC555" s="172"/>
      <c r="AD555" s="172"/>
      <c r="AE555" s="172"/>
      <c r="AF555" s="172"/>
      <c r="AG555" s="172"/>
      <c r="AH555" s="172"/>
      <c r="AI555" s="172"/>
      <c r="AJ555" s="172"/>
      <c r="AK555" s="172"/>
      <c r="AL555" s="172"/>
      <c r="AM555" s="172"/>
      <c r="AN555" s="172"/>
      <c r="AO555" s="172"/>
      <c r="AP555" s="172"/>
      <c r="AQ555" s="172"/>
      <c r="AR555" s="172"/>
      <c r="AS555" s="172"/>
      <c r="AT555" s="2645"/>
    </row>
    <row r="556" spans="4:46">
      <c r="D556" s="168" t="s">
        <v>2375</v>
      </c>
      <c r="E556" s="153"/>
      <c r="F556" s="153"/>
      <c r="G556" s="153"/>
      <c r="H556" s="153"/>
      <c r="I556" s="153"/>
      <c r="J556" s="153"/>
      <c r="K556" s="153"/>
      <c r="L556" s="153"/>
      <c r="M556" s="153"/>
      <c r="N556" s="153"/>
      <c r="O556" s="153"/>
      <c r="P556" s="153"/>
      <c r="Q556" s="153"/>
      <c r="R556" s="153"/>
      <c r="S556" s="153"/>
      <c r="T556" s="153"/>
      <c r="U556" s="153"/>
      <c r="V556" s="172">
        <f t="shared" ref="V556:AT556" si="709">V1098/V421</f>
        <v>0</v>
      </c>
      <c r="W556" s="172">
        <f t="shared" si="709"/>
        <v>0</v>
      </c>
      <c r="X556" s="172">
        <f t="shared" si="709"/>
        <v>0</v>
      </c>
      <c r="Y556" s="172">
        <f t="shared" si="709"/>
        <v>0</v>
      </c>
      <c r="Z556" s="172">
        <f t="shared" si="709"/>
        <v>0</v>
      </c>
      <c r="AA556" s="172">
        <f t="shared" si="709"/>
        <v>0</v>
      </c>
      <c r="AB556" s="172">
        <f t="shared" si="709"/>
        <v>0</v>
      </c>
      <c r="AC556" s="172">
        <f t="shared" si="709"/>
        <v>0</v>
      </c>
      <c r="AD556" s="172">
        <f t="shared" si="709"/>
        <v>0</v>
      </c>
      <c r="AE556" s="172">
        <f t="shared" si="709"/>
        <v>0</v>
      </c>
      <c r="AF556" s="172">
        <f t="shared" si="709"/>
        <v>0</v>
      </c>
      <c r="AG556" s="172">
        <f t="shared" si="709"/>
        <v>9.7122854146775624E-4</v>
      </c>
      <c r="AH556" s="172">
        <f t="shared" ref="AH556:AJ556" si="710">AH1098/AH421</f>
        <v>0</v>
      </c>
      <c r="AI556" s="172">
        <f t="shared" si="710"/>
        <v>7.6244078716508691E-5</v>
      </c>
      <c r="AJ556" s="172">
        <f t="shared" si="710"/>
        <v>7.9843871192702913E-5</v>
      </c>
      <c r="AK556" s="172">
        <f t="shared" si="709"/>
        <v>0</v>
      </c>
      <c r="AL556" s="172">
        <f t="shared" si="709"/>
        <v>0</v>
      </c>
      <c r="AM556" s="172">
        <f t="shared" si="709"/>
        <v>0</v>
      </c>
      <c r="AN556" s="172">
        <f t="shared" si="709"/>
        <v>0</v>
      </c>
      <c r="AO556" s="172">
        <f t="shared" si="709"/>
        <v>0</v>
      </c>
      <c r="AP556" s="172">
        <f t="shared" si="709"/>
        <v>0</v>
      </c>
      <c r="AQ556" s="172">
        <f t="shared" si="709"/>
        <v>0</v>
      </c>
      <c r="AR556" s="172">
        <f t="shared" si="709"/>
        <v>0</v>
      </c>
      <c r="AS556" s="172">
        <f t="shared" si="709"/>
        <v>0</v>
      </c>
      <c r="AT556" s="2645">
        <f t="shared" si="709"/>
        <v>0</v>
      </c>
    </row>
    <row r="557" spans="4:46">
      <c r="D557" s="153" t="s">
        <v>2376</v>
      </c>
      <c r="E557" s="153"/>
      <c r="F557" s="153"/>
      <c r="G557" s="153"/>
      <c r="H557" s="153"/>
      <c r="I557" s="153"/>
      <c r="J557" s="153"/>
      <c r="K557" s="153"/>
      <c r="L557" s="153"/>
      <c r="M557" s="153"/>
      <c r="N557" s="153"/>
      <c r="O557" s="153"/>
      <c r="P557" s="153"/>
      <c r="Q557" s="153"/>
      <c r="R557" s="153"/>
      <c r="S557" s="153"/>
      <c r="T557" s="153"/>
      <c r="U557" s="153"/>
      <c r="V557" s="172">
        <f t="shared" ref="V557:AG557" si="711">V1098/V423</f>
        <v>0</v>
      </c>
      <c r="W557" s="172">
        <f t="shared" si="711"/>
        <v>0</v>
      </c>
      <c r="X557" s="172">
        <f t="shared" si="711"/>
        <v>0</v>
      </c>
      <c r="Y557" s="172">
        <f t="shared" si="711"/>
        <v>0</v>
      </c>
      <c r="Z557" s="172">
        <f t="shared" si="711"/>
        <v>0</v>
      </c>
      <c r="AA557" s="172">
        <f t="shared" si="711"/>
        <v>0</v>
      </c>
      <c r="AB557" s="172">
        <f t="shared" si="711"/>
        <v>0</v>
      </c>
      <c r="AC557" s="172">
        <f t="shared" si="711"/>
        <v>0</v>
      </c>
      <c r="AD557" s="172">
        <f t="shared" si="711"/>
        <v>0</v>
      </c>
      <c r="AE557" s="172">
        <f t="shared" si="711"/>
        <v>0</v>
      </c>
      <c r="AF557" s="172">
        <f t="shared" si="711"/>
        <v>0</v>
      </c>
      <c r="AG557" s="172">
        <f t="shared" si="711"/>
        <v>1.9323958525049858E-3</v>
      </c>
      <c r="AH557" s="172">
        <f t="shared" ref="AH557:AJ557" si="712">AH1098/AH423</f>
        <v>0</v>
      </c>
      <c r="AI557" s="172">
        <f t="shared" si="712"/>
        <v>1.5177638460469358E-4</v>
      </c>
      <c r="AJ557" s="172">
        <f t="shared" si="712"/>
        <v>1.490639444741801E-4</v>
      </c>
      <c r="AK557" s="172">
        <f t="shared" ref="AK557:AM557" si="713">AJ557*AK558</f>
        <v>1.5385920627256978E-4</v>
      </c>
      <c r="AL557" s="172">
        <f t="shared" si="713"/>
        <v>1.5064786019860737E-4</v>
      </c>
      <c r="AM557" s="172">
        <f t="shared" si="713"/>
        <v>1.5064786019860737E-4</v>
      </c>
      <c r="AN557" s="172">
        <f t="shared" ref="AN557" si="714">AM557*AN558</f>
        <v>1.5064786019860737E-4</v>
      </c>
      <c r="AO557" s="172">
        <f t="shared" ref="AO557" si="715">AN557*AO558</f>
        <v>1.5064786019860737E-4</v>
      </c>
      <c r="AP557" s="172">
        <f t="shared" ref="AP557" si="716">AO557*AP558</f>
        <v>1.5064786019860737E-4</v>
      </c>
      <c r="AQ557" s="172">
        <f t="shared" ref="AQ557" si="717">AP557*AQ558</f>
        <v>1.5064786019860737E-4</v>
      </c>
      <c r="AR557" s="172">
        <f t="shared" ref="AR557" si="718">AQ557*AR558</f>
        <v>1.5064786019860737E-4</v>
      </c>
      <c r="AS557" s="172">
        <f t="shared" ref="AS557" si="719">AR557*AS558</f>
        <v>1.5064786019860737E-4</v>
      </c>
      <c r="AT557" s="2645">
        <f t="shared" ref="AT557" si="720">AS557*AT558</f>
        <v>1.5064786019860737E-4</v>
      </c>
    </row>
    <row r="558" spans="4:46">
      <c r="D558" s="156" t="s">
        <v>2377</v>
      </c>
      <c r="E558" s="153"/>
      <c r="F558" s="153"/>
      <c r="G558" s="153"/>
      <c r="H558" s="153"/>
      <c r="I558" s="153"/>
      <c r="J558" s="153"/>
      <c r="K558" s="153"/>
      <c r="L558" s="153"/>
      <c r="M558" s="153"/>
      <c r="N558" s="153"/>
      <c r="O558" s="153"/>
      <c r="P558" s="153"/>
      <c r="Q558" s="153"/>
      <c r="R558" s="153"/>
      <c r="S558" s="153"/>
      <c r="T558" s="153"/>
      <c r="U558" s="153"/>
      <c r="V558" s="232" t="e">
        <f t="shared" ref="V558:AE558" si="721">+V557/U557</f>
        <v>#DIV/0!</v>
      </c>
      <c r="W558" s="232" t="e">
        <f t="shared" si="721"/>
        <v>#DIV/0!</v>
      </c>
      <c r="X558" s="232" t="e">
        <f t="shared" si="721"/>
        <v>#DIV/0!</v>
      </c>
      <c r="Y558" s="232" t="e">
        <f t="shared" si="721"/>
        <v>#DIV/0!</v>
      </c>
      <c r="Z558" s="232" t="e">
        <f t="shared" si="721"/>
        <v>#DIV/0!</v>
      </c>
      <c r="AA558" s="232" t="e">
        <f t="shared" si="721"/>
        <v>#DIV/0!</v>
      </c>
      <c r="AB558" s="232" t="e">
        <f t="shared" si="721"/>
        <v>#DIV/0!</v>
      </c>
      <c r="AC558" s="232" t="e">
        <f t="shared" si="721"/>
        <v>#DIV/0!</v>
      </c>
      <c r="AD558" s="232" t="e">
        <f t="shared" si="721"/>
        <v>#DIV/0!</v>
      </c>
      <c r="AE558" s="232" t="e">
        <f t="shared" si="721"/>
        <v>#DIV/0!</v>
      </c>
      <c r="AF558" s="232" t="e">
        <f>+AF557/AE557</f>
        <v>#DIV/0!</v>
      </c>
      <c r="AG558" s="232" t="e">
        <f>+AG557/AF557</f>
        <v>#DIV/0!</v>
      </c>
      <c r="AH558" s="232">
        <f t="shared" ref="AH558:AJ558" si="722">+AH557/AG557</f>
        <v>0</v>
      </c>
      <c r="AI558" s="232" t="e">
        <f t="shared" si="722"/>
        <v>#DIV/0!</v>
      </c>
      <c r="AJ558" s="232">
        <f t="shared" si="722"/>
        <v>0.98212870771972782</v>
      </c>
      <c r="AK558" s="1390">
        <v>1.0321691594523736</v>
      </c>
      <c r="AL558" s="1390">
        <v>0.97912802131402299</v>
      </c>
      <c r="AM558" s="1390">
        <v>1</v>
      </c>
      <c r="AN558" s="1390">
        <v>1</v>
      </c>
      <c r="AO558" s="1390">
        <v>1</v>
      </c>
      <c r="AP558" s="1390">
        <v>1</v>
      </c>
      <c r="AQ558" s="1390">
        <v>1</v>
      </c>
      <c r="AR558" s="1390">
        <v>1</v>
      </c>
      <c r="AS558" s="1390">
        <v>1</v>
      </c>
      <c r="AT558" s="2653">
        <v>1</v>
      </c>
    </row>
    <row r="559" spans="4:46">
      <c r="D559" s="156"/>
      <c r="E559" s="153"/>
      <c r="F559" s="153"/>
      <c r="G559" s="153"/>
      <c r="H559" s="153"/>
      <c r="I559" s="153"/>
      <c r="J559" s="153"/>
      <c r="K559" s="153"/>
      <c r="L559" s="153"/>
      <c r="M559" s="153"/>
      <c r="N559" s="153"/>
      <c r="O559" s="153"/>
      <c r="P559" s="153"/>
      <c r="Q559" s="153"/>
      <c r="R559" s="153"/>
      <c r="S559" s="153"/>
      <c r="T559" s="153"/>
      <c r="U559" s="153"/>
      <c r="V559" s="172"/>
      <c r="W559" s="172"/>
      <c r="X559" s="172"/>
      <c r="Y559" s="172"/>
      <c r="Z559" s="172"/>
      <c r="AA559" s="172"/>
      <c r="AB559" s="172"/>
      <c r="AC559" s="172"/>
      <c r="AD559" s="172"/>
      <c r="AE559" s="172"/>
      <c r="AF559" s="172"/>
      <c r="AG559" s="172"/>
      <c r="AH559" s="172"/>
      <c r="AI559" s="172"/>
      <c r="AJ559" s="172"/>
      <c r="AK559" s="172"/>
      <c r="AL559" s="172"/>
      <c r="AM559" s="172"/>
      <c r="AN559" s="172"/>
      <c r="AO559" s="172"/>
      <c r="AP559" s="172"/>
      <c r="AQ559" s="172"/>
      <c r="AR559" s="172"/>
      <c r="AS559" s="172"/>
      <c r="AT559" s="2645"/>
    </row>
    <row r="560" spans="4:46">
      <c r="D560" s="168" t="s">
        <v>3044</v>
      </c>
      <c r="E560" s="153"/>
      <c r="F560" s="153"/>
      <c r="G560" s="153"/>
      <c r="H560" s="153"/>
      <c r="I560" s="153"/>
      <c r="J560" s="153"/>
      <c r="K560" s="153"/>
      <c r="L560" s="153"/>
      <c r="M560" s="153"/>
      <c r="N560" s="153"/>
      <c r="O560" s="153"/>
      <c r="P560" s="153"/>
      <c r="Q560" s="153"/>
      <c r="R560" s="153"/>
      <c r="S560" s="153"/>
      <c r="T560" s="153"/>
      <c r="U560" s="153"/>
      <c r="V560" s="172">
        <f t="shared" ref="V560:AT560" si="723">V1100/V421</f>
        <v>0</v>
      </c>
      <c r="W560" s="172">
        <f t="shared" si="723"/>
        <v>0</v>
      </c>
      <c r="X560" s="172">
        <f t="shared" si="723"/>
        <v>0</v>
      </c>
      <c r="Y560" s="172">
        <f t="shared" si="723"/>
        <v>1.0149864608950152E-2</v>
      </c>
      <c r="Z560" s="172">
        <f t="shared" si="723"/>
        <v>1.1011600862415524E-2</v>
      </c>
      <c r="AA560" s="172">
        <f t="shared" si="723"/>
        <v>1.1632065541127947E-2</v>
      </c>
      <c r="AB560" s="172">
        <f t="shared" si="723"/>
        <v>1.1128825990088126E-2</v>
      </c>
      <c r="AC560" s="172">
        <f t="shared" si="723"/>
        <v>1.036646608372176E-2</v>
      </c>
      <c r="AD560" s="172">
        <f t="shared" si="723"/>
        <v>1.2721467297814208E-2</v>
      </c>
      <c r="AE560" s="172">
        <f t="shared" si="723"/>
        <v>1.2155189449935684E-2</v>
      </c>
      <c r="AF560" s="172">
        <f t="shared" si="723"/>
        <v>1.1782509887624365E-2</v>
      </c>
      <c r="AG560" s="172">
        <f t="shared" si="723"/>
        <v>1.0762218876381126E-2</v>
      </c>
      <c r="AH560" s="172">
        <f t="shared" si="723"/>
        <v>1.3392351580906747E-2</v>
      </c>
      <c r="AI560" s="1413">
        <f t="shared" si="723"/>
        <v>1.0485248759476205E-2</v>
      </c>
      <c r="AJ560" s="1413">
        <f t="shared" ref="AJ560" si="724">AJ1100/AJ421</f>
        <v>1.0527136098638956E-2</v>
      </c>
      <c r="AK560" s="1413">
        <f t="shared" si="723"/>
        <v>1.0901009458045563E-2</v>
      </c>
      <c r="AL560" s="1413">
        <f t="shared" si="723"/>
        <v>1.1256472227988248E-2</v>
      </c>
      <c r="AM560" s="1413">
        <f t="shared" si="723"/>
        <v>1.1366905542451814E-2</v>
      </c>
      <c r="AN560" s="1413">
        <f t="shared" si="723"/>
        <v>1.1477083393860547E-2</v>
      </c>
      <c r="AO560" s="1413">
        <f t="shared" si="723"/>
        <v>1.1565787644984797E-2</v>
      </c>
      <c r="AP560" s="172">
        <f t="shared" si="723"/>
        <v>1.1709581319567451E-2</v>
      </c>
      <c r="AQ560" s="172">
        <f t="shared" si="723"/>
        <v>1.1406396031311085E-2</v>
      </c>
      <c r="AR560" s="172">
        <f t="shared" si="723"/>
        <v>1.1248969791881112E-2</v>
      </c>
      <c r="AS560" s="172">
        <f t="shared" si="723"/>
        <v>1.1081477712488064E-2</v>
      </c>
      <c r="AT560" s="2645">
        <f t="shared" si="723"/>
        <v>1.1154464145473721E-2</v>
      </c>
    </row>
    <row r="561" spans="4:46">
      <c r="D561" s="153" t="s">
        <v>2379</v>
      </c>
      <c r="E561" s="153"/>
      <c r="F561" s="153"/>
      <c r="G561" s="153"/>
      <c r="H561" s="153"/>
      <c r="I561" s="153"/>
      <c r="J561" s="153"/>
      <c r="K561" s="153"/>
      <c r="L561" s="153"/>
      <c r="M561" s="153"/>
      <c r="N561" s="153"/>
      <c r="O561" s="153"/>
      <c r="P561" s="153"/>
      <c r="Q561" s="153"/>
      <c r="R561" s="153"/>
      <c r="S561" s="153"/>
      <c r="T561" s="153"/>
      <c r="U561" s="153"/>
      <c r="V561" s="172">
        <f t="shared" ref="V561:AI561" si="725">V1100/V426</f>
        <v>0</v>
      </c>
      <c r="W561" s="172">
        <f t="shared" si="725"/>
        <v>0</v>
      </c>
      <c r="X561" s="172">
        <f t="shared" si="725"/>
        <v>0</v>
      </c>
      <c r="Y561" s="172">
        <f t="shared" si="725"/>
        <v>1.6903230820796006E-2</v>
      </c>
      <c r="Z561" s="172">
        <f t="shared" si="725"/>
        <v>1.8801012849722267E-2</v>
      </c>
      <c r="AA561" s="172">
        <f t="shared" si="725"/>
        <v>2.8582243787801127E-2</v>
      </c>
      <c r="AB561" s="172">
        <f t="shared" si="725"/>
        <v>5.2914933654045919E-2</v>
      </c>
      <c r="AC561" s="172">
        <f t="shared" si="725"/>
        <v>5.3889738866839072E-2</v>
      </c>
      <c r="AD561" s="172">
        <f t="shared" si="725"/>
        <v>6.2783685212466009E-2</v>
      </c>
      <c r="AE561" s="172">
        <f t="shared" si="725"/>
        <v>5.8709954849561638E-2</v>
      </c>
      <c r="AF561" s="172">
        <f t="shared" si="725"/>
        <v>5.4377305532850057E-2</v>
      </c>
      <c r="AG561" s="172">
        <f t="shared" si="725"/>
        <v>4.9351336379103952E-2</v>
      </c>
      <c r="AH561" s="172">
        <f t="shared" si="725"/>
        <v>6.4951442499177447E-2</v>
      </c>
      <c r="AI561" s="1413">
        <f t="shared" si="725"/>
        <v>4.7319530949222068E-2</v>
      </c>
      <c r="AJ561" s="1413">
        <f t="shared" ref="AJ561" si="726">AJ1100/AJ426</f>
        <v>4.6725269899373617E-2</v>
      </c>
      <c r="AK561" s="1413">
        <f t="shared" ref="AK561:AM561" si="727">AJ561*AK562</f>
        <v>4.9703837050096261E-2</v>
      </c>
      <c r="AL561" s="1413">
        <f t="shared" si="727"/>
        <v>5.4001565681443736E-2</v>
      </c>
      <c r="AM561" s="1413">
        <f t="shared" si="727"/>
        <v>5.6468642732206586E-2</v>
      </c>
      <c r="AN561" s="1413">
        <f t="shared" ref="AN561" si="728">AM561*AN562</f>
        <v>5.923432772417974E-2</v>
      </c>
      <c r="AO561" s="1413">
        <f t="shared" ref="AO561" si="729">AN561*AO562</f>
        <v>6.2103756174175642E-2</v>
      </c>
      <c r="AP561" s="1413">
        <f t="shared" ref="AP561" si="730">AO561*AP562</f>
        <v>6.3309958836798588E-2</v>
      </c>
      <c r="AQ561" s="1413">
        <f t="shared" ref="AQ561" si="731">AP561*AQ562</f>
        <v>6.4955374459288812E-2</v>
      </c>
      <c r="AR561" s="1413">
        <f t="shared" ref="AR561" si="732">AQ561*AR562</f>
        <v>6.6626470752705461E-2</v>
      </c>
      <c r="AS561" s="1413">
        <f t="shared" ref="AS561" si="733">AR561*AS562</f>
        <v>6.8340559067107551E-2</v>
      </c>
      <c r="AT561" s="1413">
        <f t="shared" ref="AT561" si="734">AS561*AT562</f>
        <v>8.2431643065537477E-2</v>
      </c>
    </row>
    <row r="562" spans="4:46">
      <c r="D562" s="156" t="s">
        <v>2380</v>
      </c>
      <c r="E562" s="153"/>
      <c r="F562" s="153"/>
      <c r="G562" s="153"/>
      <c r="H562" s="153"/>
      <c r="I562" s="153"/>
      <c r="J562" s="153"/>
      <c r="K562" s="153"/>
      <c r="L562" s="153"/>
      <c r="M562" s="153"/>
      <c r="N562" s="153"/>
      <c r="O562" s="153"/>
      <c r="P562" s="153"/>
      <c r="Q562" s="153"/>
      <c r="R562" s="153"/>
      <c r="S562" s="153"/>
      <c r="T562" s="153"/>
      <c r="U562" s="153"/>
      <c r="V562" s="232" t="e">
        <f t="shared" ref="V562:AF562" si="735">+V561/U561</f>
        <v>#DIV/0!</v>
      </c>
      <c r="W562" s="232" t="e">
        <f t="shared" si="735"/>
        <v>#DIV/0!</v>
      </c>
      <c r="X562" s="232" t="e">
        <f t="shared" si="735"/>
        <v>#DIV/0!</v>
      </c>
      <c r="Y562" s="232" t="e">
        <f t="shared" si="735"/>
        <v>#DIV/0!</v>
      </c>
      <c r="Z562" s="232">
        <f t="shared" si="735"/>
        <v>1.1122733310008064</v>
      </c>
      <c r="AA562" s="232">
        <f t="shared" si="735"/>
        <v>1.5202502129146382</v>
      </c>
      <c r="AB562" s="232">
        <f t="shared" si="735"/>
        <v>1.8513218922522088</v>
      </c>
      <c r="AC562" s="232">
        <f t="shared" si="735"/>
        <v>1.0184221191538547</v>
      </c>
      <c r="AD562" s="232">
        <f t="shared" si="735"/>
        <v>1.1650397001849235</v>
      </c>
      <c r="AE562" s="232">
        <f t="shared" si="735"/>
        <v>0.93511482562518466</v>
      </c>
      <c r="AF562" s="232">
        <f t="shared" si="735"/>
        <v>0.92620247575026138</v>
      </c>
      <c r="AG562" s="232">
        <f t="shared" ref="AG562" si="736">+AG561/AF561</f>
        <v>0.90757230236960074</v>
      </c>
      <c r="AH562" s="232">
        <f t="shared" ref="AH562" si="737">+AH561/AG561</f>
        <v>1.3161030128999465</v>
      </c>
      <c r="AI562" s="232">
        <f t="shared" ref="AI562:AJ562" si="738">+AI561/AH561</f>
        <v>0.72853702902474149</v>
      </c>
      <c r="AJ562" s="232">
        <f t="shared" si="738"/>
        <v>0.98744152704120958</v>
      </c>
      <c r="AK562" s="1390">
        <v>1.0637463872790294</v>
      </c>
      <c r="AL562" s="1390">
        <v>1.0864667375079275</v>
      </c>
      <c r="AM562" s="1390">
        <v>1.0456852874473341</v>
      </c>
      <c r="AN562" s="1390">
        <v>1.0489773590820832</v>
      </c>
      <c r="AO562" s="1390">
        <v>1.0484419855891196</v>
      </c>
      <c r="AP562" s="1390">
        <v>1.0194223785633842</v>
      </c>
      <c r="AQ562" s="1390">
        <v>1.0259898387666275</v>
      </c>
      <c r="AR562" s="1390">
        <v>1.0257268364215808</v>
      </c>
      <c r="AS562" s="1390">
        <v>1.0257268364215808</v>
      </c>
      <c r="AT562" s="1390">
        <v>1.2061891823944999</v>
      </c>
    </row>
    <row r="563" spans="4:46">
      <c r="D563" s="156"/>
      <c r="E563" s="153"/>
      <c r="F563" s="153"/>
      <c r="G563" s="153"/>
      <c r="H563" s="153"/>
      <c r="I563" s="153"/>
      <c r="J563" s="153"/>
      <c r="K563" s="153"/>
      <c r="L563" s="153"/>
      <c r="M563" s="153"/>
      <c r="N563" s="153"/>
      <c r="O563" s="153"/>
      <c r="P563" s="153"/>
      <c r="Q563" s="153"/>
      <c r="R563" s="153"/>
      <c r="S563" s="153"/>
      <c r="T563" s="153"/>
      <c r="U563" s="153"/>
      <c r="V563" s="172"/>
      <c r="W563" s="172"/>
      <c r="X563" s="172"/>
      <c r="Y563" s="172"/>
      <c r="Z563" s="172"/>
      <c r="AA563" s="172"/>
      <c r="AB563" s="172"/>
      <c r="AC563" s="172"/>
      <c r="AD563" s="172"/>
      <c r="AE563" s="172"/>
      <c r="AF563" s="172"/>
      <c r="AG563" s="172"/>
      <c r="AH563" s="172"/>
      <c r="AI563" s="172"/>
      <c r="AJ563" s="172"/>
      <c r="AK563" s="172"/>
      <c r="AL563" s="172"/>
      <c r="AM563" s="172"/>
      <c r="AN563" s="172"/>
      <c r="AO563" s="172"/>
      <c r="AP563" s="172"/>
      <c r="AQ563" s="172"/>
      <c r="AR563" s="172"/>
      <c r="AS563" s="172"/>
      <c r="AT563" s="2645"/>
    </row>
    <row r="564" spans="4:46">
      <c r="D564" s="168" t="s">
        <v>3045</v>
      </c>
      <c r="E564" s="153"/>
      <c r="F564" s="153"/>
      <c r="G564" s="153"/>
      <c r="H564" s="153"/>
      <c r="I564" s="153"/>
      <c r="J564" s="153"/>
      <c r="K564" s="153"/>
      <c r="L564" s="153"/>
      <c r="M564" s="153"/>
      <c r="N564" s="153"/>
      <c r="O564" s="153"/>
      <c r="P564" s="153"/>
      <c r="Q564" s="153"/>
      <c r="R564" s="153"/>
      <c r="S564" s="153"/>
      <c r="T564" s="153"/>
      <c r="U564" s="153"/>
      <c r="V564" s="172">
        <f t="shared" ref="V564:AT564" si="739">V1103/V421</f>
        <v>0</v>
      </c>
      <c r="W564" s="172">
        <f t="shared" si="739"/>
        <v>0</v>
      </c>
      <c r="X564" s="172">
        <f t="shared" si="739"/>
        <v>0</v>
      </c>
      <c r="Y564" s="172">
        <f t="shared" si="739"/>
        <v>0</v>
      </c>
      <c r="Z564" s="172">
        <f t="shared" si="739"/>
        <v>0</v>
      </c>
      <c r="AA564" s="172">
        <f t="shared" si="739"/>
        <v>0</v>
      </c>
      <c r="AB564" s="172">
        <f t="shared" si="739"/>
        <v>0</v>
      </c>
      <c r="AC564" s="172">
        <f t="shared" si="739"/>
        <v>0</v>
      </c>
      <c r="AD564" s="172">
        <f t="shared" si="739"/>
        <v>0</v>
      </c>
      <c r="AE564" s="172">
        <f t="shared" si="739"/>
        <v>1.0939608298755188E-5</v>
      </c>
      <c r="AF564" s="172">
        <f t="shared" si="739"/>
        <v>3.6392585715730688E-6</v>
      </c>
      <c r="AG564" s="172">
        <f t="shared" si="739"/>
        <v>1.0701135276845504E-6</v>
      </c>
      <c r="AH564" s="172">
        <f t="shared" ref="AH564:AJ564" si="740">AH1103/AH421</f>
        <v>0</v>
      </c>
      <c r="AI564" s="172">
        <f t="shared" si="740"/>
        <v>6.0218029865017723E-7</v>
      </c>
      <c r="AJ564" s="172">
        <f t="shared" si="740"/>
        <v>6.6805674162336915E-4</v>
      </c>
      <c r="AK564" s="172">
        <f t="shared" si="739"/>
        <v>0</v>
      </c>
      <c r="AL564" s="172">
        <f t="shared" si="739"/>
        <v>0</v>
      </c>
      <c r="AM564" s="172">
        <f t="shared" si="739"/>
        <v>0</v>
      </c>
      <c r="AN564" s="172">
        <f t="shared" si="739"/>
        <v>0</v>
      </c>
      <c r="AO564" s="172">
        <f t="shared" si="739"/>
        <v>0</v>
      </c>
      <c r="AP564" s="172">
        <f t="shared" si="739"/>
        <v>0</v>
      </c>
      <c r="AQ564" s="172">
        <f t="shared" si="739"/>
        <v>0</v>
      </c>
      <c r="AR564" s="172">
        <f t="shared" si="739"/>
        <v>0</v>
      </c>
      <c r="AS564" s="172">
        <f t="shared" si="739"/>
        <v>0</v>
      </c>
      <c r="AT564" s="2645">
        <f t="shared" si="739"/>
        <v>0</v>
      </c>
    </row>
    <row r="565" spans="4:46">
      <c r="D565" s="153" t="s">
        <v>2381</v>
      </c>
      <c r="E565" s="153"/>
      <c r="F565" s="153"/>
      <c r="G565" s="153"/>
      <c r="H565" s="153"/>
      <c r="I565" s="153"/>
      <c r="J565" s="153"/>
      <c r="K565" s="153"/>
      <c r="L565" s="153"/>
      <c r="M565" s="153"/>
      <c r="N565" s="153"/>
      <c r="O565" s="153"/>
      <c r="P565" s="153"/>
      <c r="Q565" s="153"/>
      <c r="R565" s="153"/>
      <c r="S565" s="153"/>
      <c r="T565" s="153"/>
      <c r="U565" s="153"/>
      <c r="V565" s="172">
        <f t="shared" ref="V565:AG565" si="741">V1103/V428</f>
        <v>0</v>
      </c>
      <c r="W565" s="172">
        <f t="shared" si="741"/>
        <v>0</v>
      </c>
      <c r="X565" s="172">
        <f t="shared" si="741"/>
        <v>0</v>
      </c>
      <c r="Y565" s="172">
        <f t="shared" si="741"/>
        <v>0</v>
      </c>
      <c r="Z565" s="172">
        <f t="shared" si="741"/>
        <v>0</v>
      </c>
      <c r="AA565" s="172">
        <f t="shared" si="741"/>
        <v>0</v>
      </c>
      <c r="AB565" s="172">
        <f t="shared" si="741"/>
        <v>0</v>
      </c>
      <c r="AC565" s="172">
        <f t="shared" si="741"/>
        <v>0</v>
      </c>
      <c r="AD565" s="172">
        <f t="shared" si="741"/>
        <v>0</v>
      </c>
      <c r="AE565" s="172">
        <f t="shared" si="741"/>
        <v>3.8343401576484849E-5</v>
      </c>
      <c r="AF565" s="172">
        <f t="shared" si="741"/>
        <v>1.2792399990929646E-5</v>
      </c>
      <c r="AG565" s="172">
        <f t="shared" si="741"/>
        <v>3.6801379523445249E-6</v>
      </c>
      <c r="AH565" s="172">
        <f t="shared" ref="AH565:AJ565" si="742">AH1103/AH428</f>
        <v>0</v>
      </c>
      <c r="AI565" s="172">
        <f t="shared" si="742"/>
        <v>2.1188041927823526E-6</v>
      </c>
      <c r="AJ565" s="172">
        <f t="shared" si="742"/>
        <v>2.7032514666417494E-3</v>
      </c>
      <c r="AK565" s="172">
        <f t="shared" ref="AK565:AM565" si="743">AJ565*AK566</f>
        <v>2.7032514666417494E-3</v>
      </c>
      <c r="AL565" s="172">
        <f t="shared" si="743"/>
        <v>2.7032514666417494E-3</v>
      </c>
      <c r="AM565" s="172">
        <f t="shared" si="743"/>
        <v>2.7032514666417494E-3</v>
      </c>
      <c r="AN565" s="172">
        <f t="shared" ref="AN565" si="744">AM565*AN566</f>
        <v>2.7032514666417494E-3</v>
      </c>
      <c r="AO565" s="172">
        <f t="shared" ref="AO565" si="745">AN565*AO566</f>
        <v>2.7032514666417494E-3</v>
      </c>
      <c r="AP565" s="172">
        <f t="shared" ref="AP565" si="746">AO565*AP566</f>
        <v>2.7032514666417494E-3</v>
      </c>
      <c r="AQ565" s="172">
        <f t="shared" ref="AQ565" si="747">AP565*AQ566</f>
        <v>2.7032514666417494E-3</v>
      </c>
      <c r="AR565" s="172">
        <f t="shared" ref="AR565" si="748">AQ565*AR566</f>
        <v>2.7032514666417494E-3</v>
      </c>
      <c r="AS565" s="172">
        <f t="shared" ref="AS565" si="749">AR565*AS566</f>
        <v>2.7032514666417494E-3</v>
      </c>
      <c r="AT565" s="2645">
        <f t="shared" ref="AT565" si="750">AS565*AT566</f>
        <v>2.7032514666417494E-3</v>
      </c>
    </row>
    <row r="566" spans="4:46">
      <c r="D566" s="156" t="s">
        <v>2382</v>
      </c>
      <c r="E566" s="153"/>
      <c r="F566" s="153"/>
      <c r="G566" s="153"/>
      <c r="H566" s="153"/>
      <c r="I566" s="153"/>
      <c r="J566" s="153"/>
      <c r="K566" s="153"/>
      <c r="L566" s="153"/>
      <c r="M566" s="153"/>
      <c r="N566" s="153"/>
      <c r="O566" s="153"/>
      <c r="P566" s="153"/>
      <c r="Q566" s="153"/>
      <c r="R566" s="153"/>
      <c r="S566" s="153"/>
      <c r="T566" s="153"/>
      <c r="U566" s="153"/>
      <c r="V566" s="232" t="e">
        <f t="shared" ref="V566:AE566" si="751">+V565/U565</f>
        <v>#DIV/0!</v>
      </c>
      <c r="W566" s="232" t="e">
        <f t="shared" si="751"/>
        <v>#DIV/0!</v>
      </c>
      <c r="X566" s="232" t="e">
        <f t="shared" si="751"/>
        <v>#DIV/0!</v>
      </c>
      <c r="Y566" s="232" t="e">
        <f t="shared" si="751"/>
        <v>#DIV/0!</v>
      </c>
      <c r="Z566" s="232" t="e">
        <f t="shared" si="751"/>
        <v>#DIV/0!</v>
      </c>
      <c r="AA566" s="232" t="e">
        <f t="shared" si="751"/>
        <v>#DIV/0!</v>
      </c>
      <c r="AB566" s="232" t="e">
        <f t="shared" si="751"/>
        <v>#DIV/0!</v>
      </c>
      <c r="AC566" s="232" t="e">
        <f t="shared" si="751"/>
        <v>#DIV/0!</v>
      </c>
      <c r="AD566" s="232" t="e">
        <f t="shared" si="751"/>
        <v>#DIV/0!</v>
      </c>
      <c r="AE566" s="232" t="e">
        <f t="shared" si="751"/>
        <v>#DIV/0!</v>
      </c>
      <c r="AF566" s="232">
        <f>+AF565/AE565</f>
        <v>0.33362715525935338</v>
      </c>
      <c r="AG566" s="232">
        <f>+AG565/AF565</f>
        <v>0.28768158867404858</v>
      </c>
      <c r="AH566" s="232">
        <f t="shared" ref="AH566:AJ566" si="752">+AH565/AG565</f>
        <v>0</v>
      </c>
      <c r="AI566" s="232" t="e">
        <f t="shared" si="752"/>
        <v>#DIV/0!</v>
      </c>
      <c r="AJ566" s="232">
        <f t="shared" si="752"/>
        <v>1275.8382656832096</v>
      </c>
      <c r="AK566" s="1390">
        <v>1</v>
      </c>
      <c r="AL566" s="1390">
        <v>1</v>
      </c>
      <c r="AM566" s="1390">
        <v>1</v>
      </c>
      <c r="AN566" s="1390">
        <v>1</v>
      </c>
      <c r="AO566" s="1390">
        <v>1</v>
      </c>
      <c r="AP566" s="1390">
        <v>1</v>
      </c>
      <c r="AQ566" s="1390">
        <v>1</v>
      </c>
      <c r="AR566" s="1390">
        <v>1</v>
      </c>
      <c r="AS566" s="1390">
        <v>1</v>
      </c>
      <c r="AT566" s="2653">
        <v>1</v>
      </c>
    </row>
    <row r="567" spans="4:46">
      <c r="D567" s="156"/>
      <c r="E567" s="153"/>
      <c r="F567" s="153"/>
      <c r="G567" s="153"/>
      <c r="H567" s="153"/>
      <c r="I567" s="153"/>
      <c r="J567" s="153"/>
      <c r="K567" s="153"/>
      <c r="L567" s="153"/>
      <c r="M567" s="153"/>
      <c r="N567" s="153"/>
      <c r="O567" s="153"/>
      <c r="P567" s="153"/>
      <c r="Q567" s="153"/>
      <c r="R567" s="153"/>
      <c r="S567" s="153"/>
      <c r="T567" s="153"/>
      <c r="U567" s="153"/>
      <c r="V567" s="172"/>
      <c r="W567" s="172"/>
      <c r="X567" s="172"/>
      <c r="Y567" s="172"/>
      <c r="Z567" s="172"/>
      <c r="AA567" s="172"/>
      <c r="AB567" s="172"/>
      <c r="AC567" s="172"/>
      <c r="AD567" s="172"/>
      <c r="AE567" s="172"/>
      <c r="AF567" s="172"/>
      <c r="AG567" s="172"/>
      <c r="AH567" s="172"/>
      <c r="AI567" s="172"/>
      <c r="AJ567" s="172"/>
      <c r="AK567" s="172"/>
      <c r="AL567" s="172"/>
      <c r="AM567" s="172"/>
      <c r="AN567" s="172"/>
      <c r="AO567" s="172"/>
      <c r="AP567" s="172"/>
      <c r="AQ567" s="172"/>
      <c r="AR567" s="172"/>
      <c r="AS567" s="172"/>
      <c r="AT567" s="2645"/>
    </row>
    <row r="568" spans="4:46">
      <c r="D568" s="168" t="s">
        <v>2383</v>
      </c>
      <c r="E568" s="153"/>
      <c r="F568" s="153"/>
      <c r="G568" s="153"/>
      <c r="H568" s="153"/>
      <c r="I568" s="153"/>
      <c r="J568" s="153"/>
      <c r="K568" s="153"/>
      <c r="L568" s="153"/>
      <c r="M568" s="153"/>
      <c r="N568" s="153"/>
      <c r="O568" s="153"/>
      <c r="P568" s="153"/>
      <c r="Q568" s="153"/>
      <c r="R568" s="153"/>
      <c r="S568" s="153"/>
      <c r="T568" s="153"/>
      <c r="U568" s="153"/>
      <c r="V568" s="172">
        <f t="shared" ref="V568:AT568" si="753">V1104/V421</f>
        <v>0</v>
      </c>
      <c r="W568" s="172">
        <f t="shared" si="753"/>
        <v>0</v>
      </c>
      <c r="X568" s="172">
        <f t="shared" si="753"/>
        <v>0</v>
      </c>
      <c r="Y568" s="172">
        <f t="shared" si="753"/>
        <v>0</v>
      </c>
      <c r="Z568" s="172">
        <f t="shared" si="753"/>
        <v>0</v>
      </c>
      <c r="AA568" s="172">
        <f t="shared" si="753"/>
        <v>0</v>
      </c>
      <c r="AB568" s="172">
        <f t="shared" si="753"/>
        <v>0</v>
      </c>
      <c r="AC568" s="172">
        <f t="shared" si="753"/>
        <v>0</v>
      </c>
      <c r="AD568" s="172">
        <f t="shared" si="753"/>
        <v>0</v>
      </c>
      <c r="AE568" s="172">
        <f t="shared" si="753"/>
        <v>0</v>
      </c>
      <c r="AF568" s="172">
        <f t="shared" si="753"/>
        <v>0</v>
      </c>
      <c r="AG568" s="172">
        <f t="shared" si="753"/>
        <v>0</v>
      </c>
      <c r="AH568" s="172">
        <f t="shared" ref="AH568:AJ568" si="754">AH1104/AH421</f>
        <v>0</v>
      </c>
      <c r="AI568" s="172">
        <f t="shared" si="754"/>
        <v>0</v>
      </c>
      <c r="AJ568" s="172">
        <f t="shared" si="754"/>
        <v>0</v>
      </c>
      <c r="AK568" s="172">
        <f t="shared" si="753"/>
        <v>0</v>
      </c>
      <c r="AL568" s="172">
        <f t="shared" si="753"/>
        <v>0</v>
      </c>
      <c r="AM568" s="172">
        <f t="shared" si="753"/>
        <v>0</v>
      </c>
      <c r="AN568" s="172">
        <f t="shared" si="753"/>
        <v>0</v>
      </c>
      <c r="AO568" s="172">
        <f t="shared" si="753"/>
        <v>0</v>
      </c>
      <c r="AP568" s="172">
        <f t="shared" si="753"/>
        <v>0</v>
      </c>
      <c r="AQ568" s="172">
        <f t="shared" si="753"/>
        <v>0</v>
      </c>
      <c r="AR568" s="172">
        <f t="shared" si="753"/>
        <v>0</v>
      </c>
      <c r="AS568" s="172">
        <f t="shared" si="753"/>
        <v>0</v>
      </c>
      <c r="AT568" s="2645">
        <f t="shared" si="753"/>
        <v>0</v>
      </c>
    </row>
    <row r="569" spans="4:46">
      <c r="D569" s="153" t="s">
        <v>2384</v>
      </c>
      <c r="E569" s="153"/>
      <c r="F569" s="153"/>
      <c r="G569" s="153"/>
      <c r="H569" s="153"/>
      <c r="I569" s="153"/>
      <c r="J569" s="153"/>
      <c r="K569" s="153"/>
      <c r="L569" s="153"/>
      <c r="M569" s="153"/>
      <c r="N569" s="153"/>
      <c r="O569" s="153"/>
      <c r="P569" s="153"/>
      <c r="Q569" s="153"/>
      <c r="R569" s="153"/>
      <c r="S569" s="153"/>
      <c r="T569" s="153"/>
      <c r="U569" s="153"/>
      <c r="V569" s="172">
        <f t="shared" ref="V569:AG569" si="755">V1104/V423</f>
        <v>0</v>
      </c>
      <c r="W569" s="172">
        <f t="shared" si="755"/>
        <v>0</v>
      </c>
      <c r="X569" s="172">
        <f t="shared" si="755"/>
        <v>0</v>
      </c>
      <c r="Y569" s="172">
        <f t="shared" si="755"/>
        <v>0</v>
      </c>
      <c r="Z569" s="172">
        <f t="shared" si="755"/>
        <v>0</v>
      </c>
      <c r="AA569" s="172">
        <f t="shared" si="755"/>
        <v>0</v>
      </c>
      <c r="AB569" s="172">
        <f t="shared" si="755"/>
        <v>0</v>
      </c>
      <c r="AC569" s="172">
        <f t="shared" si="755"/>
        <v>0</v>
      </c>
      <c r="AD569" s="172">
        <f t="shared" si="755"/>
        <v>0</v>
      </c>
      <c r="AE569" s="172">
        <f t="shared" si="755"/>
        <v>0</v>
      </c>
      <c r="AF569" s="172">
        <f t="shared" si="755"/>
        <v>0</v>
      </c>
      <c r="AG569" s="172">
        <f t="shared" si="755"/>
        <v>0</v>
      </c>
      <c r="AH569" s="172">
        <f t="shared" ref="AH569:AJ569" si="756">AH1104/AH423</f>
        <v>0</v>
      </c>
      <c r="AI569" s="172">
        <f t="shared" si="756"/>
        <v>0</v>
      </c>
      <c r="AJ569" s="172">
        <f t="shared" si="756"/>
        <v>0</v>
      </c>
      <c r="AK569" s="172">
        <f t="shared" ref="AK569:AM569" si="757">AJ569*AK570</f>
        <v>0</v>
      </c>
      <c r="AL569" s="172">
        <f t="shared" si="757"/>
        <v>0</v>
      </c>
      <c r="AM569" s="172">
        <f t="shared" si="757"/>
        <v>0</v>
      </c>
      <c r="AN569" s="172">
        <f t="shared" ref="AN569" si="758">AM569*AN570</f>
        <v>0</v>
      </c>
      <c r="AO569" s="172">
        <f t="shared" ref="AO569" si="759">AN569*AO570</f>
        <v>0</v>
      </c>
      <c r="AP569" s="172">
        <f t="shared" ref="AP569" si="760">AO569*AP570</f>
        <v>0</v>
      </c>
      <c r="AQ569" s="172">
        <f t="shared" ref="AQ569" si="761">AP569*AQ570</f>
        <v>0</v>
      </c>
      <c r="AR569" s="172">
        <f t="shared" ref="AR569" si="762">AQ569*AR570</f>
        <v>0</v>
      </c>
      <c r="AS569" s="172">
        <f t="shared" ref="AS569" si="763">AR569*AS570</f>
        <v>0</v>
      </c>
      <c r="AT569" s="2645">
        <f t="shared" ref="AT569" si="764">AS569*AT570</f>
        <v>0</v>
      </c>
    </row>
    <row r="570" spans="4:46">
      <c r="D570" s="156" t="s">
        <v>2385</v>
      </c>
      <c r="E570" s="153"/>
      <c r="F570" s="153"/>
      <c r="G570" s="153"/>
      <c r="H570" s="153"/>
      <c r="I570" s="153"/>
      <c r="J570" s="153"/>
      <c r="K570" s="153"/>
      <c r="L570" s="153"/>
      <c r="M570" s="153"/>
      <c r="N570" s="153"/>
      <c r="O570" s="153"/>
      <c r="P570" s="153"/>
      <c r="Q570" s="153"/>
      <c r="R570" s="153"/>
      <c r="S570" s="153"/>
      <c r="T570" s="153"/>
      <c r="U570" s="153"/>
      <c r="V570" s="232" t="e">
        <f t="shared" ref="V570:AE570" si="765">+V569/U569</f>
        <v>#DIV/0!</v>
      </c>
      <c r="W570" s="232" t="e">
        <f t="shared" si="765"/>
        <v>#DIV/0!</v>
      </c>
      <c r="X570" s="232" t="e">
        <f t="shared" si="765"/>
        <v>#DIV/0!</v>
      </c>
      <c r="Y570" s="232" t="e">
        <f t="shared" si="765"/>
        <v>#DIV/0!</v>
      </c>
      <c r="Z570" s="232" t="e">
        <f t="shared" si="765"/>
        <v>#DIV/0!</v>
      </c>
      <c r="AA570" s="232" t="e">
        <f t="shared" si="765"/>
        <v>#DIV/0!</v>
      </c>
      <c r="AB570" s="232" t="e">
        <f t="shared" si="765"/>
        <v>#DIV/0!</v>
      </c>
      <c r="AC570" s="232" t="e">
        <f t="shared" si="765"/>
        <v>#DIV/0!</v>
      </c>
      <c r="AD570" s="232" t="e">
        <f t="shared" si="765"/>
        <v>#DIV/0!</v>
      </c>
      <c r="AE570" s="232" t="e">
        <f t="shared" si="765"/>
        <v>#DIV/0!</v>
      </c>
      <c r="AF570" s="232" t="e">
        <f>+AF569/AE569</f>
        <v>#DIV/0!</v>
      </c>
      <c r="AG570" s="232" t="e">
        <f>+AG569/AF569</f>
        <v>#DIV/0!</v>
      </c>
      <c r="AH570" s="232" t="e">
        <f t="shared" ref="AH570:AJ570" si="766">+AH569/AG569</f>
        <v>#DIV/0!</v>
      </c>
      <c r="AI570" s="232" t="e">
        <f t="shared" si="766"/>
        <v>#DIV/0!</v>
      </c>
      <c r="AJ570" s="232" t="e">
        <f t="shared" si="766"/>
        <v>#DIV/0!</v>
      </c>
      <c r="AK570" s="1390">
        <v>1</v>
      </c>
      <c r="AL570" s="1390">
        <v>1</v>
      </c>
      <c r="AM570" s="1390">
        <v>1</v>
      </c>
      <c r="AN570" s="1390">
        <v>1</v>
      </c>
      <c r="AO570" s="1390">
        <v>1</v>
      </c>
      <c r="AP570" s="1390">
        <v>1</v>
      </c>
      <c r="AQ570" s="1390">
        <v>1</v>
      </c>
      <c r="AR570" s="1390">
        <v>1</v>
      </c>
      <c r="AS570" s="1390">
        <v>1</v>
      </c>
      <c r="AT570" s="2653">
        <v>1</v>
      </c>
    </row>
    <row r="571" spans="4:46">
      <c r="D571" s="156"/>
      <c r="E571" s="153"/>
      <c r="F571" s="153"/>
      <c r="G571" s="153"/>
      <c r="H571" s="153"/>
      <c r="I571" s="153"/>
      <c r="J571" s="153"/>
      <c r="K571" s="153"/>
      <c r="L571" s="153"/>
      <c r="M571" s="153"/>
      <c r="N571" s="153"/>
      <c r="O571" s="153"/>
      <c r="P571" s="153"/>
      <c r="Q571" s="153"/>
      <c r="R571" s="153"/>
      <c r="S571" s="153"/>
      <c r="T571" s="153"/>
      <c r="U571" s="153"/>
      <c r="V571" s="172"/>
      <c r="W571" s="172"/>
      <c r="X571" s="172"/>
      <c r="Y571" s="172"/>
      <c r="Z571" s="172"/>
      <c r="AA571" s="172"/>
      <c r="AB571" s="172"/>
      <c r="AC571" s="172"/>
      <c r="AD571" s="172"/>
      <c r="AE571" s="172"/>
      <c r="AF571" s="172"/>
      <c r="AG571" s="172"/>
      <c r="AH571" s="172"/>
      <c r="AI571" s="172"/>
      <c r="AJ571" s="172"/>
      <c r="AK571" s="172"/>
      <c r="AL571" s="172"/>
      <c r="AM571" s="172"/>
      <c r="AN571" s="172"/>
      <c r="AO571" s="172"/>
      <c r="AP571" s="172"/>
      <c r="AQ571" s="172"/>
      <c r="AR571" s="172"/>
      <c r="AS571" s="172"/>
      <c r="AT571" s="2645"/>
    </row>
    <row r="572" spans="4:46">
      <c r="D572" s="168" t="s">
        <v>2387</v>
      </c>
      <c r="E572" s="153"/>
      <c r="F572" s="153"/>
      <c r="G572" s="153"/>
      <c r="H572" s="153"/>
      <c r="I572" s="153"/>
      <c r="J572" s="153"/>
      <c r="K572" s="153"/>
      <c r="L572" s="153"/>
      <c r="M572" s="153"/>
      <c r="N572" s="153"/>
      <c r="O572" s="153"/>
      <c r="P572" s="153"/>
      <c r="Q572" s="153"/>
      <c r="R572" s="153"/>
      <c r="S572" s="153"/>
      <c r="T572" s="153"/>
      <c r="U572" s="153"/>
      <c r="V572" s="172">
        <f t="shared" ref="V572:AT572" si="767">V1105/V421</f>
        <v>0</v>
      </c>
      <c r="W572" s="172">
        <f t="shared" si="767"/>
        <v>0</v>
      </c>
      <c r="X572" s="172">
        <f t="shared" si="767"/>
        <v>0</v>
      </c>
      <c r="Y572" s="172">
        <f t="shared" si="767"/>
        <v>0</v>
      </c>
      <c r="Z572" s="172">
        <f t="shared" si="767"/>
        <v>0</v>
      </c>
      <c r="AA572" s="172">
        <f t="shared" si="767"/>
        <v>0</v>
      </c>
      <c r="AB572" s="172">
        <f t="shared" si="767"/>
        <v>0</v>
      </c>
      <c r="AC572" s="172">
        <f t="shared" si="767"/>
        <v>0</v>
      </c>
      <c r="AD572" s="172">
        <f t="shared" si="767"/>
        <v>0</v>
      </c>
      <c r="AE572" s="172">
        <f t="shared" si="767"/>
        <v>0</v>
      </c>
      <c r="AF572" s="172">
        <f t="shared" si="767"/>
        <v>0</v>
      </c>
      <c r="AG572" s="172">
        <f t="shared" si="767"/>
        <v>0</v>
      </c>
      <c r="AH572" s="172">
        <f t="shared" ref="AH572:AJ572" si="768">AH1105/AH421</f>
        <v>0</v>
      </c>
      <c r="AI572" s="172">
        <f t="shared" si="768"/>
        <v>0</v>
      </c>
      <c r="AJ572" s="172">
        <f t="shared" si="768"/>
        <v>0</v>
      </c>
      <c r="AK572" s="172">
        <f t="shared" si="767"/>
        <v>0</v>
      </c>
      <c r="AL572" s="172">
        <f t="shared" si="767"/>
        <v>0</v>
      </c>
      <c r="AM572" s="172">
        <f t="shared" si="767"/>
        <v>0</v>
      </c>
      <c r="AN572" s="172">
        <f t="shared" si="767"/>
        <v>0</v>
      </c>
      <c r="AO572" s="172">
        <f t="shared" si="767"/>
        <v>0</v>
      </c>
      <c r="AP572" s="172">
        <f t="shared" si="767"/>
        <v>0</v>
      </c>
      <c r="AQ572" s="172">
        <f t="shared" si="767"/>
        <v>0</v>
      </c>
      <c r="AR572" s="172">
        <f t="shared" si="767"/>
        <v>0</v>
      </c>
      <c r="AS572" s="172">
        <f t="shared" si="767"/>
        <v>0</v>
      </c>
      <c r="AT572" s="2645">
        <f t="shared" si="767"/>
        <v>0</v>
      </c>
    </row>
    <row r="573" spans="4:46">
      <c r="D573" s="153" t="s">
        <v>2386</v>
      </c>
      <c r="E573" s="153"/>
      <c r="F573" s="153"/>
      <c r="G573" s="153"/>
      <c r="H573" s="153"/>
      <c r="I573" s="153"/>
      <c r="J573" s="153"/>
      <c r="K573" s="153"/>
      <c r="L573" s="153"/>
      <c r="M573" s="153"/>
      <c r="N573" s="153"/>
      <c r="O573" s="153"/>
      <c r="P573" s="153"/>
      <c r="Q573" s="153"/>
      <c r="R573" s="153"/>
      <c r="S573" s="153"/>
      <c r="T573" s="153"/>
      <c r="U573" s="153"/>
      <c r="V573" s="172">
        <f t="shared" ref="V573:AG573" si="769">V1105/V423</f>
        <v>0</v>
      </c>
      <c r="W573" s="172">
        <f t="shared" si="769"/>
        <v>0</v>
      </c>
      <c r="X573" s="172">
        <f t="shared" si="769"/>
        <v>0</v>
      </c>
      <c r="Y573" s="172">
        <f t="shared" si="769"/>
        <v>0</v>
      </c>
      <c r="Z573" s="172">
        <f t="shared" si="769"/>
        <v>0</v>
      </c>
      <c r="AA573" s="172">
        <f t="shared" si="769"/>
        <v>0</v>
      </c>
      <c r="AB573" s="172">
        <f t="shared" si="769"/>
        <v>0</v>
      </c>
      <c r="AC573" s="172">
        <f t="shared" si="769"/>
        <v>0</v>
      </c>
      <c r="AD573" s="172">
        <f t="shared" si="769"/>
        <v>0</v>
      </c>
      <c r="AE573" s="172">
        <f t="shared" si="769"/>
        <v>0</v>
      </c>
      <c r="AF573" s="172">
        <f t="shared" si="769"/>
        <v>0</v>
      </c>
      <c r="AG573" s="172">
        <f t="shared" si="769"/>
        <v>0</v>
      </c>
      <c r="AH573" s="172">
        <f t="shared" ref="AH573:AJ573" si="770">AH1105/AH423</f>
        <v>0</v>
      </c>
      <c r="AI573" s="172">
        <f t="shared" si="770"/>
        <v>0</v>
      </c>
      <c r="AJ573" s="172">
        <f t="shared" si="770"/>
        <v>0</v>
      </c>
      <c r="AK573" s="172">
        <f t="shared" ref="AK573:AM573" si="771">AJ573*AK574</f>
        <v>0</v>
      </c>
      <c r="AL573" s="172">
        <f t="shared" si="771"/>
        <v>0</v>
      </c>
      <c r="AM573" s="172">
        <f t="shared" si="771"/>
        <v>0</v>
      </c>
      <c r="AN573" s="172">
        <f t="shared" ref="AN573" si="772">AM573*AN574</f>
        <v>0</v>
      </c>
      <c r="AO573" s="172">
        <f t="shared" ref="AO573" si="773">AN573*AO574</f>
        <v>0</v>
      </c>
      <c r="AP573" s="172">
        <f t="shared" ref="AP573" si="774">AO573*AP574</f>
        <v>0</v>
      </c>
      <c r="AQ573" s="172">
        <f t="shared" ref="AQ573" si="775">AP573*AQ574</f>
        <v>0</v>
      </c>
      <c r="AR573" s="172">
        <f t="shared" ref="AR573" si="776">AQ573*AR574</f>
        <v>0</v>
      </c>
      <c r="AS573" s="172">
        <f t="shared" ref="AS573" si="777">AR573*AS574</f>
        <v>0</v>
      </c>
      <c r="AT573" s="2645">
        <f t="shared" ref="AT573" si="778">AS573*AT574</f>
        <v>0</v>
      </c>
    </row>
    <row r="574" spans="4:46">
      <c r="D574" s="156" t="s">
        <v>2388</v>
      </c>
      <c r="E574" s="153"/>
      <c r="F574" s="153"/>
      <c r="G574" s="153"/>
      <c r="H574" s="153"/>
      <c r="I574" s="153"/>
      <c r="J574" s="153"/>
      <c r="K574" s="153"/>
      <c r="L574" s="153"/>
      <c r="M574" s="153"/>
      <c r="N574" s="153"/>
      <c r="O574" s="153"/>
      <c r="P574" s="153"/>
      <c r="Q574" s="153"/>
      <c r="R574" s="153"/>
      <c r="S574" s="153"/>
      <c r="T574" s="153"/>
      <c r="U574" s="153"/>
      <c r="V574" s="232" t="e">
        <f t="shared" ref="V574:AE574" si="779">+V573/U573</f>
        <v>#DIV/0!</v>
      </c>
      <c r="W574" s="232" t="e">
        <f t="shared" si="779"/>
        <v>#DIV/0!</v>
      </c>
      <c r="X574" s="232" t="e">
        <f t="shared" si="779"/>
        <v>#DIV/0!</v>
      </c>
      <c r="Y574" s="232" t="e">
        <f t="shared" si="779"/>
        <v>#DIV/0!</v>
      </c>
      <c r="Z574" s="232" t="e">
        <f t="shared" si="779"/>
        <v>#DIV/0!</v>
      </c>
      <c r="AA574" s="232" t="e">
        <f t="shared" si="779"/>
        <v>#DIV/0!</v>
      </c>
      <c r="AB574" s="232" t="e">
        <f t="shared" si="779"/>
        <v>#DIV/0!</v>
      </c>
      <c r="AC574" s="232" t="e">
        <f t="shared" si="779"/>
        <v>#DIV/0!</v>
      </c>
      <c r="AD574" s="232" t="e">
        <f t="shared" si="779"/>
        <v>#DIV/0!</v>
      </c>
      <c r="AE574" s="232" t="e">
        <f t="shared" si="779"/>
        <v>#DIV/0!</v>
      </c>
      <c r="AF574" s="232" t="e">
        <f>+AF573/AE573</f>
        <v>#DIV/0!</v>
      </c>
      <c r="AG574" s="232" t="e">
        <f>+AG573/AF573</f>
        <v>#DIV/0!</v>
      </c>
      <c r="AH574" s="232" t="e">
        <f t="shared" ref="AH574:AJ574" si="780">+AH573/AG573</f>
        <v>#DIV/0!</v>
      </c>
      <c r="AI574" s="232" t="e">
        <f t="shared" si="780"/>
        <v>#DIV/0!</v>
      </c>
      <c r="AJ574" s="232" t="e">
        <f t="shared" si="780"/>
        <v>#DIV/0!</v>
      </c>
      <c r="AK574" s="1390">
        <v>1</v>
      </c>
      <c r="AL574" s="1390">
        <v>1</v>
      </c>
      <c r="AM574" s="1390">
        <v>1</v>
      </c>
      <c r="AN574" s="1390">
        <v>1</v>
      </c>
      <c r="AO574" s="1390">
        <v>1</v>
      </c>
      <c r="AP574" s="1390">
        <v>1</v>
      </c>
      <c r="AQ574" s="1390">
        <v>1</v>
      </c>
      <c r="AR574" s="1390">
        <v>1</v>
      </c>
      <c r="AS574" s="1390">
        <v>1</v>
      </c>
      <c r="AT574" s="2653">
        <v>1</v>
      </c>
    </row>
    <row r="575" spans="4:46">
      <c r="D575" s="156"/>
      <c r="E575" s="153"/>
      <c r="F575" s="153"/>
      <c r="G575" s="153"/>
      <c r="H575" s="153"/>
      <c r="I575" s="153"/>
      <c r="J575" s="153"/>
      <c r="K575" s="153"/>
      <c r="L575" s="153"/>
      <c r="M575" s="153"/>
      <c r="N575" s="153"/>
      <c r="O575" s="153"/>
      <c r="P575" s="153"/>
      <c r="Q575" s="153"/>
      <c r="R575" s="153"/>
      <c r="S575" s="153"/>
      <c r="T575" s="153"/>
      <c r="U575" s="153"/>
      <c r="V575" s="172"/>
      <c r="W575" s="172"/>
      <c r="X575" s="172"/>
      <c r="Y575" s="172"/>
      <c r="Z575" s="172"/>
      <c r="AA575" s="172"/>
      <c r="AB575" s="172"/>
      <c r="AC575" s="172"/>
      <c r="AD575" s="172"/>
      <c r="AE575" s="172"/>
      <c r="AF575" s="172"/>
      <c r="AG575" s="172"/>
      <c r="AH575" s="172"/>
      <c r="AI575" s="172"/>
      <c r="AJ575" s="172"/>
      <c r="AK575" s="172"/>
      <c r="AL575" s="172"/>
      <c r="AM575" s="172"/>
      <c r="AN575" s="172"/>
      <c r="AO575" s="172"/>
      <c r="AP575" s="172"/>
      <c r="AQ575" s="172"/>
      <c r="AR575" s="172"/>
      <c r="AS575" s="172"/>
      <c r="AT575" s="2645"/>
    </row>
    <row r="576" spans="4:46">
      <c r="D576" s="168" t="s">
        <v>2393</v>
      </c>
      <c r="E576" s="153"/>
      <c r="F576" s="153"/>
      <c r="G576" s="153"/>
      <c r="H576" s="153"/>
      <c r="I576" s="153"/>
      <c r="J576" s="153"/>
      <c r="K576" s="153"/>
      <c r="L576" s="153"/>
      <c r="M576" s="153"/>
      <c r="N576" s="153"/>
      <c r="O576" s="153"/>
      <c r="P576" s="153"/>
      <c r="Q576" s="153"/>
      <c r="R576" s="153"/>
      <c r="S576" s="153"/>
      <c r="T576" s="153"/>
      <c r="U576" s="153"/>
      <c r="V576" s="172">
        <f t="shared" ref="V576:AT576" si="781">V1106/V421</f>
        <v>0</v>
      </c>
      <c r="W576" s="172">
        <f t="shared" si="781"/>
        <v>0</v>
      </c>
      <c r="X576" s="172">
        <f t="shared" si="781"/>
        <v>0</v>
      </c>
      <c r="Y576" s="172">
        <f t="shared" si="781"/>
        <v>0</v>
      </c>
      <c r="Z576" s="172">
        <f t="shared" si="781"/>
        <v>0</v>
      </c>
      <c r="AA576" s="172">
        <f t="shared" si="781"/>
        <v>0</v>
      </c>
      <c r="AB576" s="172">
        <f t="shared" si="781"/>
        <v>0</v>
      </c>
      <c r="AC576" s="172">
        <f t="shared" si="781"/>
        <v>0</v>
      </c>
      <c r="AD576" s="172">
        <f t="shared" si="781"/>
        <v>0</v>
      </c>
      <c r="AE576" s="172">
        <f t="shared" si="781"/>
        <v>0</v>
      </c>
      <c r="AF576" s="172">
        <f t="shared" si="781"/>
        <v>0</v>
      </c>
      <c r="AG576" s="172">
        <f t="shared" si="781"/>
        <v>0</v>
      </c>
      <c r="AH576" s="172">
        <f t="shared" ref="AH576:AJ576" si="782">AH1106/AH421</f>
        <v>0</v>
      </c>
      <c r="AI576" s="172">
        <f t="shared" si="782"/>
        <v>0</v>
      </c>
      <c r="AJ576" s="172">
        <f t="shared" si="782"/>
        <v>0</v>
      </c>
      <c r="AK576" s="172">
        <f t="shared" si="781"/>
        <v>0</v>
      </c>
      <c r="AL576" s="172">
        <f t="shared" si="781"/>
        <v>0</v>
      </c>
      <c r="AM576" s="172">
        <f t="shared" si="781"/>
        <v>0</v>
      </c>
      <c r="AN576" s="172">
        <f t="shared" si="781"/>
        <v>0</v>
      </c>
      <c r="AO576" s="172">
        <f t="shared" si="781"/>
        <v>0</v>
      </c>
      <c r="AP576" s="172">
        <f t="shared" si="781"/>
        <v>0</v>
      </c>
      <c r="AQ576" s="172">
        <f t="shared" si="781"/>
        <v>0</v>
      </c>
      <c r="AR576" s="172">
        <f t="shared" si="781"/>
        <v>0</v>
      </c>
      <c r="AS576" s="172">
        <f t="shared" si="781"/>
        <v>0</v>
      </c>
      <c r="AT576" s="2645">
        <f t="shared" si="781"/>
        <v>0</v>
      </c>
    </row>
    <row r="577" spans="4:46">
      <c r="D577" s="153" t="s">
        <v>2394</v>
      </c>
      <c r="E577" s="153"/>
      <c r="F577" s="153"/>
      <c r="G577" s="153"/>
      <c r="H577" s="153"/>
      <c r="I577" s="153"/>
      <c r="J577" s="153"/>
      <c r="K577" s="153"/>
      <c r="L577" s="153"/>
      <c r="M577" s="153"/>
      <c r="N577" s="153"/>
      <c r="O577" s="153"/>
      <c r="P577" s="153"/>
      <c r="Q577" s="153"/>
      <c r="R577" s="153"/>
      <c r="S577" s="153"/>
      <c r="T577" s="153"/>
      <c r="U577" s="153"/>
      <c r="V577" s="172">
        <f t="shared" ref="V577:AG577" si="783">V1106/V423</f>
        <v>0</v>
      </c>
      <c r="W577" s="172">
        <f t="shared" si="783"/>
        <v>0</v>
      </c>
      <c r="X577" s="172">
        <f t="shared" si="783"/>
        <v>0</v>
      </c>
      <c r="Y577" s="172">
        <f t="shared" si="783"/>
        <v>0</v>
      </c>
      <c r="Z577" s="172">
        <f t="shared" si="783"/>
        <v>0</v>
      </c>
      <c r="AA577" s="172">
        <f t="shared" si="783"/>
        <v>0</v>
      </c>
      <c r="AB577" s="172">
        <f t="shared" si="783"/>
        <v>0</v>
      </c>
      <c r="AC577" s="172">
        <f t="shared" si="783"/>
        <v>0</v>
      </c>
      <c r="AD577" s="172">
        <f t="shared" si="783"/>
        <v>0</v>
      </c>
      <c r="AE577" s="172">
        <f t="shared" si="783"/>
        <v>0</v>
      </c>
      <c r="AF577" s="172">
        <f t="shared" si="783"/>
        <v>0</v>
      </c>
      <c r="AG577" s="172">
        <f t="shared" si="783"/>
        <v>0</v>
      </c>
      <c r="AH577" s="172">
        <f t="shared" ref="AH577:AJ577" si="784">AH1106/AH423</f>
        <v>0</v>
      </c>
      <c r="AI577" s="172">
        <f t="shared" si="784"/>
        <v>0</v>
      </c>
      <c r="AJ577" s="172">
        <f t="shared" si="784"/>
        <v>0</v>
      </c>
      <c r="AK577" s="172">
        <f t="shared" ref="AK577:AM577" si="785">AJ577*AK578</f>
        <v>0</v>
      </c>
      <c r="AL577" s="172">
        <f t="shared" si="785"/>
        <v>0</v>
      </c>
      <c r="AM577" s="172">
        <f t="shared" si="785"/>
        <v>0</v>
      </c>
      <c r="AN577" s="172">
        <f t="shared" ref="AN577" si="786">AM577*AN578</f>
        <v>0</v>
      </c>
      <c r="AO577" s="172">
        <f t="shared" ref="AO577" si="787">AN577*AO578</f>
        <v>0</v>
      </c>
      <c r="AP577" s="172">
        <f t="shared" ref="AP577" si="788">AO577*AP578</f>
        <v>0</v>
      </c>
      <c r="AQ577" s="172">
        <f t="shared" ref="AQ577" si="789">AP577*AQ578</f>
        <v>0</v>
      </c>
      <c r="AR577" s="172">
        <f t="shared" ref="AR577" si="790">AQ577*AR578</f>
        <v>0</v>
      </c>
      <c r="AS577" s="172">
        <f t="shared" ref="AS577" si="791">AR577*AS578</f>
        <v>0</v>
      </c>
      <c r="AT577" s="2645">
        <f t="shared" ref="AT577" si="792">AS577*AT578</f>
        <v>0</v>
      </c>
    </row>
    <row r="578" spans="4:46">
      <c r="D578" s="156" t="s">
        <v>2395</v>
      </c>
      <c r="E578" s="153"/>
      <c r="F578" s="153"/>
      <c r="G578" s="153"/>
      <c r="H578" s="153"/>
      <c r="I578" s="153"/>
      <c r="J578" s="153"/>
      <c r="K578" s="153"/>
      <c r="L578" s="153"/>
      <c r="M578" s="153"/>
      <c r="N578" s="153"/>
      <c r="O578" s="153"/>
      <c r="P578" s="153"/>
      <c r="Q578" s="153"/>
      <c r="R578" s="153"/>
      <c r="S578" s="153"/>
      <c r="T578" s="153"/>
      <c r="U578" s="153"/>
      <c r="V578" s="232" t="e">
        <f t="shared" ref="V578:AE578" si="793">+V577/U577</f>
        <v>#DIV/0!</v>
      </c>
      <c r="W578" s="232" t="e">
        <f t="shared" si="793"/>
        <v>#DIV/0!</v>
      </c>
      <c r="X578" s="232" t="e">
        <f t="shared" si="793"/>
        <v>#DIV/0!</v>
      </c>
      <c r="Y578" s="232" t="e">
        <f t="shared" si="793"/>
        <v>#DIV/0!</v>
      </c>
      <c r="Z578" s="232" t="e">
        <f t="shared" si="793"/>
        <v>#DIV/0!</v>
      </c>
      <c r="AA578" s="232" t="e">
        <f t="shared" si="793"/>
        <v>#DIV/0!</v>
      </c>
      <c r="AB578" s="232" t="e">
        <f t="shared" si="793"/>
        <v>#DIV/0!</v>
      </c>
      <c r="AC578" s="232" t="e">
        <f t="shared" si="793"/>
        <v>#DIV/0!</v>
      </c>
      <c r="AD578" s="232" t="e">
        <f t="shared" si="793"/>
        <v>#DIV/0!</v>
      </c>
      <c r="AE578" s="232" t="e">
        <f t="shared" si="793"/>
        <v>#DIV/0!</v>
      </c>
      <c r="AF578" s="232" t="e">
        <f>+AF577/AE577</f>
        <v>#DIV/0!</v>
      </c>
      <c r="AG578" s="232" t="e">
        <f>+AG577/AF577</f>
        <v>#DIV/0!</v>
      </c>
      <c r="AH578" s="232" t="e">
        <f t="shared" ref="AH578:AJ578" si="794">+AH577/AG577</f>
        <v>#DIV/0!</v>
      </c>
      <c r="AI578" s="232" t="e">
        <f t="shared" si="794"/>
        <v>#DIV/0!</v>
      </c>
      <c r="AJ578" s="232" t="e">
        <f t="shared" si="794"/>
        <v>#DIV/0!</v>
      </c>
      <c r="AK578" s="1390">
        <v>1</v>
      </c>
      <c r="AL578" s="1390">
        <v>1</v>
      </c>
      <c r="AM578" s="1390">
        <v>1</v>
      </c>
      <c r="AN578" s="1390">
        <v>1</v>
      </c>
      <c r="AO578" s="1390">
        <v>1</v>
      </c>
      <c r="AP578" s="1390">
        <v>1</v>
      </c>
      <c r="AQ578" s="1390">
        <v>1</v>
      </c>
      <c r="AR578" s="1390">
        <v>1</v>
      </c>
      <c r="AS578" s="1390">
        <v>1</v>
      </c>
      <c r="AT578" s="2653">
        <v>1</v>
      </c>
    </row>
    <row r="579" spans="4:46">
      <c r="D579" s="156"/>
      <c r="E579" s="153"/>
      <c r="F579" s="153"/>
      <c r="G579" s="153"/>
      <c r="H579" s="153"/>
      <c r="I579" s="153"/>
      <c r="J579" s="153"/>
      <c r="K579" s="153"/>
      <c r="L579" s="153"/>
      <c r="M579" s="153"/>
      <c r="N579" s="153"/>
      <c r="O579" s="153"/>
      <c r="P579" s="153"/>
      <c r="Q579" s="153"/>
      <c r="R579" s="153"/>
      <c r="S579" s="153"/>
      <c r="T579" s="153"/>
      <c r="U579" s="153"/>
      <c r="V579" s="172"/>
      <c r="W579" s="172"/>
      <c r="X579" s="172"/>
      <c r="Y579" s="172"/>
      <c r="Z579" s="172"/>
      <c r="AA579" s="172"/>
      <c r="AB579" s="172"/>
      <c r="AC579" s="172"/>
      <c r="AD579" s="172"/>
      <c r="AE579" s="172"/>
      <c r="AF579" s="172"/>
      <c r="AG579" s="172"/>
      <c r="AH579" s="172"/>
      <c r="AI579" s="172"/>
      <c r="AJ579" s="172"/>
      <c r="AK579" s="172"/>
      <c r="AL579" s="172"/>
      <c r="AM579" s="172"/>
      <c r="AN579" s="172"/>
      <c r="AO579" s="172"/>
      <c r="AP579" s="172"/>
      <c r="AQ579" s="172"/>
      <c r="AR579" s="172"/>
      <c r="AS579" s="172"/>
      <c r="AT579" s="2645"/>
    </row>
    <row r="580" spans="4:46">
      <c r="D580" s="168" t="s">
        <v>2389</v>
      </c>
      <c r="E580" s="153"/>
      <c r="F580" s="153"/>
      <c r="G580" s="153"/>
      <c r="H580" s="153"/>
      <c r="I580" s="153"/>
      <c r="J580" s="153"/>
      <c r="K580" s="153"/>
      <c r="L580" s="153"/>
      <c r="M580" s="153"/>
      <c r="N580" s="153"/>
      <c r="O580" s="153"/>
      <c r="P580" s="153"/>
      <c r="Q580" s="153"/>
      <c r="R580" s="153"/>
      <c r="S580" s="153"/>
      <c r="T580" s="153"/>
      <c r="U580" s="153"/>
      <c r="V580" s="172">
        <f t="shared" ref="V580:AT580" si="795">V1107/V421</f>
        <v>0</v>
      </c>
      <c r="W580" s="172">
        <f t="shared" si="795"/>
        <v>0</v>
      </c>
      <c r="X580" s="172">
        <f t="shared" si="795"/>
        <v>0</v>
      </c>
      <c r="Y580" s="172">
        <f t="shared" si="795"/>
        <v>4.5670588217522654E-4</v>
      </c>
      <c r="Z580" s="172">
        <f t="shared" si="795"/>
        <v>1.2760403881476349E-4</v>
      </c>
      <c r="AA580" s="172">
        <f t="shared" si="795"/>
        <v>1.3452610289938199E-4</v>
      </c>
      <c r="AB580" s="172">
        <f t="shared" si="795"/>
        <v>0</v>
      </c>
      <c r="AC580" s="172">
        <f t="shared" si="795"/>
        <v>9.9960931060652918E-5</v>
      </c>
      <c r="AD580" s="172">
        <f t="shared" si="795"/>
        <v>0</v>
      </c>
      <c r="AE580" s="172">
        <f t="shared" si="795"/>
        <v>0</v>
      </c>
      <c r="AF580" s="172">
        <f t="shared" si="795"/>
        <v>0</v>
      </c>
      <c r="AG580" s="172">
        <f t="shared" si="795"/>
        <v>0</v>
      </c>
      <c r="AH580" s="172">
        <f t="shared" ref="AH580:AJ580" si="796">AH1107/AH421</f>
        <v>0</v>
      </c>
      <c r="AI580" s="172">
        <f t="shared" si="796"/>
        <v>0</v>
      </c>
      <c r="AJ580" s="172">
        <f t="shared" si="796"/>
        <v>0</v>
      </c>
      <c r="AK580" s="172">
        <f t="shared" si="795"/>
        <v>0</v>
      </c>
      <c r="AL580" s="172">
        <f t="shared" si="795"/>
        <v>0</v>
      </c>
      <c r="AM580" s="172">
        <f t="shared" si="795"/>
        <v>0</v>
      </c>
      <c r="AN580" s="172">
        <f t="shared" si="795"/>
        <v>0</v>
      </c>
      <c r="AO580" s="172">
        <f t="shared" si="795"/>
        <v>0</v>
      </c>
      <c r="AP580" s="172">
        <f t="shared" si="795"/>
        <v>0</v>
      </c>
      <c r="AQ580" s="172">
        <f t="shared" si="795"/>
        <v>0</v>
      </c>
      <c r="AR580" s="172">
        <f t="shared" si="795"/>
        <v>0</v>
      </c>
      <c r="AS580" s="172">
        <f t="shared" si="795"/>
        <v>0</v>
      </c>
      <c r="AT580" s="2645">
        <f t="shared" si="795"/>
        <v>0</v>
      </c>
    </row>
    <row r="581" spans="4:46">
      <c r="D581" s="153" t="s">
        <v>2390</v>
      </c>
      <c r="E581" s="153"/>
      <c r="F581" s="153"/>
      <c r="G581" s="153"/>
      <c r="H581" s="153"/>
      <c r="I581" s="153"/>
      <c r="J581" s="153"/>
      <c r="K581" s="153"/>
      <c r="L581" s="153"/>
      <c r="M581" s="153"/>
      <c r="N581" s="153"/>
      <c r="O581" s="153"/>
      <c r="P581" s="153"/>
      <c r="Q581" s="153"/>
      <c r="R581" s="153"/>
      <c r="S581" s="153"/>
      <c r="T581" s="153"/>
      <c r="U581" s="153"/>
      <c r="V581" s="172">
        <f t="shared" ref="V581:AG581" si="797">V1107/V423</f>
        <v>0</v>
      </c>
      <c r="W581" s="172">
        <f t="shared" si="797"/>
        <v>0</v>
      </c>
      <c r="X581" s="172">
        <f t="shared" si="797"/>
        <v>0</v>
      </c>
      <c r="Y581" s="172">
        <f t="shared" si="797"/>
        <v>1.0946062936048539E-3</v>
      </c>
      <c r="Z581" s="172">
        <f t="shared" si="797"/>
        <v>3.0301675804473964E-4</v>
      </c>
      <c r="AA581" s="172">
        <f t="shared" si="797"/>
        <v>3.2830225549664244E-4</v>
      </c>
      <c r="AB581" s="172">
        <f t="shared" si="797"/>
        <v>0</v>
      </c>
      <c r="AC581" s="172">
        <f t="shared" si="797"/>
        <v>2.4012891127651387E-4</v>
      </c>
      <c r="AD581" s="172">
        <f t="shared" si="797"/>
        <v>0</v>
      </c>
      <c r="AE581" s="172">
        <f t="shared" si="797"/>
        <v>0</v>
      </c>
      <c r="AF581" s="172">
        <f t="shared" si="797"/>
        <v>0</v>
      </c>
      <c r="AG581" s="172">
        <f t="shared" si="797"/>
        <v>0</v>
      </c>
      <c r="AH581" s="172">
        <f t="shared" ref="AH581:AJ581" si="798">AH1107/AH423</f>
        <v>0</v>
      </c>
      <c r="AI581" s="172">
        <f t="shared" si="798"/>
        <v>0</v>
      </c>
      <c r="AJ581" s="172">
        <f t="shared" si="798"/>
        <v>0</v>
      </c>
      <c r="AK581" s="172">
        <f t="shared" ref="AK581:AM581" si="799">AJ581*AK582</f>
        <v>0</v>
      </c>
      <c r="AL581" s="172">
        <f t="shared" si="799"/>
        <v>0</v>
      </c>
      <c r="AM581" s="172">
        <f t="shared" si="799"/>
        <v>0</v>
      </c>
      <c r="AN581" s="172">
        <f t="shared" ref="AN581" si="800">AM581*AN582</f>
        <v>0</v>
      </c>
      <c r="AO581" s="172">
        <f t="shared" ref="AO581" si="801">AN581*AO582</f>
        <v>0</v>
      </c>
      <c r="AP581" s="172">
        <f t="shared" ref="AP581" si="802">AO581*AP582</f>
        <v>0</v>
      </c>
      <c r="AQ581" s="172">
        <f t="shared" ref="AQ581" si="803">AP581*AQ582</f>
        <v>0</v>
      </c>
      <c r="AR581" s="172">
        <f t="shared" ref="AR581" si="804">AQ581*AR582</f>
        <v>0</v>
      </c>
      <c r="AS581" s="172">
        <f t="shared" ref="AS581" si="805">AR581*AS582</f>
        <v>0</v>
      </c>
      <c r="AT581" s="2645">
        <f t="shared" ref="AT581" si="806">AS581*AT582</f>
        <v>0</v>
      </c>
    </row>
    <row r="582" spans="4:46">
      <c r="D582" s="156" t="s">
        <v>2391</v>
      </c>
      <c r="E582" s="153"/>
      <c r="F582" s="153"/>
      <c r="G582" s="153"/>
      <c r="H582" s="153"/>
      <c r="I582" s="153"/>
      <c r="J582" s="153"/>
      <c r="K582" s="153"/>
      <c r="L582" s="153"/>
      <c r="M582" s="153"/>
      <c r="N582" s="153"/>
      <c r="O582" s="153"/>
      <c r="P582" s="153"/>
      <c r="Q582" s="153"/>
      <c r="R582" s="153"/>
      <c r="S582" s="153"/>
      <c r="T582" s="153"/>
      <c r="U582" s="153"/>
      <c r="V582" s="232" t="e">
        <f t="shared" ref="V582:AG582" si="807">+V581/U581</f>
        <v>#DIV/0!</v>
      </c>
      <c r="W582" s="232" t="e">
        <f t="shared" si="807"/>
        <v>#DIV/0!</v>
      </c>
      <c r="X582" s="232" t="e">
        <f t="shared" si="807"/>
        <v>#DIV/0!</v>
      </c>
      <c r="Y582" s="232" t="e">
        <f t="shared" si="807"/>
        <v>#DIV/0!</v>
      </c>
      <c r="Z582" s="232">
        <f t="shared" si="807"/>
        <v>0.27682716590895723</v>
      </c>
      <c r="AA582" s="232">
        <f t="shared" si="807"/>
        <v>1.0834458714925908</v>
      </c>
      <c r="AB582" s="232">
        <f t="shared" si="807"/>
        <v>0</v>
      </c>
      <c r="AC582" s="232" t="e">
        <f t="shared" si="807"/>
        <v>#DIV/0!</v>
      </c>
      <c r="AD582" s="232">
        <f t="shared" si="807"/>
        <v>0</v>
      </c>
      <c r="AE582" s="232" t="e">
        <f t="shared" si="807"/>
        <v>#DIV/0!</v>
      </c>
      <c r="AF582" s="232" t="e">
        <f t="shared" si="807"/>
        <v>#DIV/0!</v>
      </c>
      <c r="AG582" s="232" t="e">
        <f t="shared" si="807"/>
        <v>#DIV/0!</v>
      </c>
      <c r="AH582" s="232" t="e">
        <f t="shared" ref="AH582" si="808">+AH581/AG581</f>
        <v>#DIV/0!</v>
      </c>
      <c r="AI582" s="232" t="e">
        <f t="shared" ref="AI582" si="809">+AI581/AH581</f>
        <v>#DIV/0!</v>
      </c>
      <c r="AJ582" s="232" t="e">
        <f t="shared" ref="AJ582" si="810">+AJ581/AI581</f>
        <v>#DIV/0!</v>
      </c>
      <c r="AK582" s="1390">
        <v>1</v>
      </c>
      <c r="AL582" s="1390">
        <v>1</v>
      </c>
      <c r="AM582" s="1390">
        <v>1</v>
      </c>
      <c r="AN582" s="1390">
        <v>1</v>
      </c>
      <c r="AO582" s="1390">
        <v>1</v>
      </c>
      <c r="AP582" s="1390">
        <v>1</v>
      </c>
      <c r="AQ582" s="1390">
        <v>1</v>
      </c>
      <c r="AR582" s="1390">
        <v>1</v>
      </c>
      <c r="AS582" s="1390">
        <v>1</v>
      </c>
      <c r="AT582" s="2653">
        <v>1</v>
      </c>
    </row>
    <row r="583" spans="4:46">
      <c r="D583" s="156"/>
      <c r="E583" s="153"/>
      <c r="F583" s="153"/>
      <c r="G583" s="153"/>
      <c r="H583" s="153"/>
      <c r="I583" s="153"/>
      <c r="J583" s="153"/>
      <c r="K583" s="153"/>
      <c r="L583" s="153"/>
      <c r="M583" s="153"/>
      <c r="N583" s="153"/>
      <c r="O583" s="153"/>
      <c r="P583" s="153"/>
      <c r="Q583" s="153"/>
      <c r="R583" s="153"/>
      <c r="S583" s="153"/>
      <c r="T583" s="153"/>
      <c r="U583" s="153"/>
      <c r="V583" s="232"/>
      <c r="W583" s="232"/>
      <c r="X583" s="232"/>
      <c r="Y583" s="232"/>
      <c r="Z583" s="232"/>
      <c r="AA583" s="232"/>
      <c r="AB583" s="232"/>
      <c r="AC583" s="232"/>
      <c r="AD583" s="232"/>
      <c r="AE583" s="232"/>
      <c r="AF583" s="232"/>
      <c r="AG583" s="232"/>
      <c r="AH583" s="232"/>
      <c r="AI583" s="232"/>
      <c r="AJ583" s="232"/>
      <c r="AK583" s="232"/>
      <c r="AL583" s="232"/>
      <c r="AM583" s="232"/>
      <c r="AN583" s="232"/>
      <c r="AO583" s="232"/>
      <c r="AP583" s="232"/>
      <c r="AQ583" s="232"/>
      <c r="AR583" s="232"/>
      <c r="AS583" s="232"/>
      <c r="AT583" s="2614"/>
    </row>
    <row r="584" spans="4:46">
      <c r="D584" s="168" t="s">
        <v>3046</v>
      </c>
      <c r="E584" s="153"/>
      <c r="F584" s="153"/>
      <c r="G584" s="153"/>
      <c r="H584" s="153"/>
      <c r="I584" s="153"/>
      <c r="J584" s="153"/>
      <c r="K584" s="153"/>
      <c r="L584" s="153"/>
      <c r="M584" s="153"/>
      <c r="N584" s="153"/>
      <c r="O584" s="153"/>
      <c r="P584" s="153"/>
      <c r="Q584" s="153"/>
      <c r="R584" s="153"/>
      <c r="S584" s="153"/>
      <c r="T584" s="153"/>
      <c r="U584" s="153"/>
      <c r="V584" s="172">
        <f t="shared" ref="V584:AT584" si="811">V1108/V421</f>
        <v>0</v>
      </c>
      <c r="W584" s="172">
        <f t="shared" si="811"/>
        <v>0</v>
      </c>
      <c r="X584" s="172">
        <f t="shared" si="811"/>
        <v>0</v>
      </c>
      <c r="Y584" s="172">
        <f t="shared" si="811"/>
        <v>0</v>
      </c>
      <c r="Z584" s="172">
        <f t="shared" si="811"/>
        <v>0</v>
      </c>
      <c r="AA584" s="172">
        <f t="shared" si="811"/>
        <v>0</v>
      </c>
      <c r="AB584" s="172">
        <f t="shared" si="811"/>
        <v>2.7651487495439627E-3</v>
      </c>
      <c r="AC584" s="172">
        <f t="shared" si="811"/>
        <v>4.8686770419220588E-3</v>
      </c>
      <c r="AD584" s="172">
        <f t="shared" si="811"/>
        <v>0</v>
      </c>
      <c r="AE584" s="172">
        <f t="shared" si="811"/>
        <v>0</v>
      </c>
      <c r="AF584" s="172">
        <f t="shared" si="811"/>
        <v>0</v>
      </c>
      <c r="AG584" s="172">
        <f t="shared" si="811"/>
        <v>0</v>
      </c>
      <c r="AH584" s="172">
        <f t="shared" si="811"/>
        <v>0</v>
      </c>
      <c r="AI584" s="172">
        <f t="shared" si="811"/>
        <v>0</v>
      </c>
      <c r="AJ584" s="172">
        <f t="shared" si="811"/>
        <v>0</v>
      </c>
      <c r="AK584" s="172">
        <f t="shared" si="811"/>
        <v>0</v>
      </c>
      <c r="AL584" s="172">
        <f t="shared" si="811"/>
        <v>0</v>
      </c>
      <c r="AM584" s="172">
        <f t="shared" si="811"/>
        <v>0</v>
      </c>
      <c r="AN584" s="172">
        <f t="shared" si="811"/>
        <v>0</v>
      </c>
      <c r="AO584" s="172">
        <f t="shared" si="811"/>
        <v>0</v>
      </c>
      <c r="AP584" s="172">
        <f t="shared" si="811"/>
        <v>0</v>
      </c>
      <c r="AQ584" s="172">
        <f t="shared" si="811"/>
        <v>0</v>
      </c>
      <c r="AR584" s="172">
        <f t="shared" si="811"/>
        <v>0</v>
      </c>
      <c r="AS584" s="172">
        <f t="shared" si="811"/>
        <v>0</v>
      </c>
      <c r="AT584" s="2645">
        <f t="shared" si="811"/>
        <v>0</v>
      </c>
    </row>
    <row r="585" spans="4:46">
      <c r="D585" s="153" t="s">
        <v>3047</v>
      </c>
      <c r="E585" s="153"/>
      <c r="F585" s="153"/>
      <c r="G585" s="153"/>
      <c r="H585" s="153"/>
      <c r="I585" s="153"/>
      <c r="J585" s="153"/>
      <c r="K585" s="153"/>
      <c r="L585" s="153"/>
      <c r="M585" s="153"/>
      <c r="N585" s="153"/>
      <c r="O585" s="153"/>
      <c r="P585" s="153"/>
      <c r="Q585" s="153"/>
      <c r="R585" s="153"/>
      <c r="S585" s="153"/>
      <c r="T585" s="153"/>
      <c r="U585" s="153"/>
      <c r="V585" s="172">
        <f t="shared" ref="V585:AG585" si="812">V1108/V423</f>
        <v>0</v>
      </c>
      <c r="W585" s="172">
        <f t="shared" si="812"/>
        <v>0</v>
      </c>
      <c r="X585" s="172">
        <f t="shared" si="812"/>
        <v>0</v>
      </c>
      <c r="Y585" s="172">
        <f t="shared" si="812"/>
        <v>0</v>
      </c>
      <c r="Z585" s="172">
        <f t="shared" si="812"/>
        <v>0</v>
      </c>
      <c r="AA585" s="172">
        <f t="shared" si="812"/>
        <v>0</v>
      </c>
      <c r="AB585" s="172">
        <f t="shared" si="812"/>
        <v>6.8757287541820686E-3</v>
      </c>
      <c r="AC585" s="172">
        <f t="shared" si="812"/>
        <v>1.1695670548769955E-2</v>
      </c>
      <c r="AD585" s="172">
        <f t="shared" si="812"/>
        <v>0</v>
      </c>
      <c r="AE585" s="172">
        <f t="shared" si="812"/>
        <v>0</v>
      </c>
      <c r="AF585" s="172">
        <f t="shared" si="812"/>
        <v>0</v>
      </c>
      <c r="AG585" s="172">
        <f t="shared" si="812"/>
        <v>0</v>
      </c>
      <c r="AH585" s="172">
        <f t="shared" ref="AH585:AM585" si="813">AG585*AH586</f>
        <v>0</v>
      </c>
      <c r="AI585" s="172">
        <f t="shared" si="813"/>
        <v>0</v>
      </c>
      <c r="AJ585" s="172">
        <f t="shared" si="813"/>
        <v>0</v>
      </c>
      <c r="AK585" s="172">
        <f t="shared" si="813"/>
        <v>0</v>
      </c>
      <c r="AL585" s="172">
        <f t="shared" si="813"/>
        <v>0</v>
      </c>
      <c r="AM585" s="172">
        <f t="shared" si="813"/>
        <v>0</v>
      </c>
      <c r="AN585" s="172">
        <f t="shared" ref="AN585" si="814">AM585*AN586</f>
        <v>0</v>
      </c>
      <c r="AO585" s="172">
        <f t="shared" ref="AO585" si="815">AN585*AO586</f>
        <v>0</v>
      </c>
      <c r="AP585" s="172">
        <f t="shared" ref="AP585" si="816">AO585*AP586</f>
        <v>0</v>
      </c>
      <c r="AQ585" s="172">
        <f t="shared" ref="AQ585" si="817">AP585*AQ586</f>
        <v>0</v>
      </c>
      <c r="AR585" s="172">
        <f t="shared" ref="AR585" si="818">AQ585*AR586</f>
        <v>0</v>
      </c>
      <c r="AS585" s="172">
        <f t="shared" ref="AS585" si="819">AR585*AS586</f>
        <v>0</v>
      </c>
      <c r="AT585" s="2645">
        <f t="shared" ref="AT585" si="820">AS585*AT586</f>
        <v>0</v>
      </c>
    </row>
    <row r="586" spans="4:46">
      <c r="D586" s="156" t="s">
        <v>3048</v>
      </c>
      <c r="E586" s="153"/>
      <c r="F586" s="153"/>
      <c r="G586" s="153"/>
      <c r="H586" s="153"/>
      <c r="I586" s="153"/>
      <c r="J586" s="153"/>
      <c r="K586" s="153"/>
      <c r="L586" s="153"/>
      <c r="M586" s="153"/>
      <c r="N586" s="153"/>
      <c r="O586" s="153"/>
      <c r="P586" s="153"/>
      <c r="Q586" s="153"/>
      <c r="R586" s="153"/>
      <c r="S586" s="153"/>
      <c r="T586" s="153"/>
      <c r="U586" s="153"/>
      <c r="V586" s="172" t="e">
        <f t="shared" ref="V586:AB586" si="821">V585/U585</f>
        <v>#DIV/0!</v>
      </c>
      <c r="W586" s="172" t="e">
        <f t="shared" si="821"/>
        <v>#DIV/0!</v>
      </c>
      <c r="X586" s="172" t="e">
        <f t="shared" si="821"/>
        <v>#DIV/0!</v>
      </c>
      <c r="Y586" s="172" t="e">
        <f t="shared" si="821"/>
        <v>#DIV/0!</v>
      </c>
      <c r="Z586" s="172" t="e">
        <f t="shared" si="821"/>
        <v>#DIV/0!</v>
      </c>
      <c r="AA586" s="172" t="e">
        <f t="shared" si="821"/>
        <v>#DIV/0!</v>
      </c>
      <c r="AB586" s="172" t="e">
        <f t="shared" si="821"/>
        <v>#DIV/0!</v>
      </c>
      <c r="AC586" s="172">
        <f>AC585/AB585</f>
        <v>1.7010081355603539</v>
      </c>
      <c r="AD586" s="172">
        <f>AD585/AC585</f>
        <v>0</v>
      </c>
      <c r="AE586" s="172" t="e">
        <f>AE585/AD585</f>
        <v>#DIV/0!</v>
      </c>
      <c r="AF586" s="172" t="e">
        <f>AF585/AE585</f>
        <v>#DIV/0!</v>
      </c>
      <c r="AG586" s="172" t="e">
        <f>AG585/AF585</f>
        <v>#DIV/0!</v>
      </c>
      <c r="AH586" s="1390">
        <v>1</v>
      </c>
      <c r="AI586" s="1390">
        <v>1</v>
      </c>
      <c r="AJ586" s="1390">
        <v>1</v>
      </c>
      <c r="AK586" s="1390">
        <v>1</v>
      </c>
      <c r="AL586" s="1390">
        <v>1</v>
      </c>
      <c r="AM586" s="1390">
        <v>1</v>
      </c>
      <c r="AN586" s="1390">
        <v>1</v>
      </c>
      <c r="AO586" s="1390">
        <v>1</v>
      </c>
      <c r="AP586" s="1390">
        <v>1</v>
      </c>
      <c r="AQ586" s="1390">
        <v>1</v>
      </c>
      <c r="AR586" s="1390">
        <v>1</v>
      </c>
      <c r="AS586" s="1390">
        <v>1</v>
      </c>
      <c r="AT586" s="2653">
        <v>1</v>
      </c>
    </row>
    <row r="587" spans="4:46">
      <c r="D587" s="156"/>
      <c r="E587" s="153"/>
      <c r="F587" s="153"/>
      <c r="G587" s="153"/>
      <c r="H587" s="153"/>
      <c r="I587" s="153"/>
      <c r="J587" s="153"/>
      <c r="K587" s="153"/>
      <c r="L587" s="153"/>
      <c r="M587" s="153"/>
      <c r="N587" s="153"/>
      <c r="O587" s="153"/>
      <c r="P587" s="153"/>
      <c r="Q587" s="153"/>
      <c r="R587" s="153"/>
      <c r="S587" s="153"/>
      <c r="T587" s="153"/>
      <c r="U587" s="153"/>
      <c r="V587" s="172"/>
      <c r="W587" s="172"/>
      <c r="X587" s="172"/>
      <c r="Y587" s="172"/>
      <c r="Z587" s="172"/>
      <c r="AA587" s="172"/>
      <c r="AB587" s="172"/>
      <c r="AC587" s="172"/>
      <c r="AD587" s="172"/>
      <c r="AE587" s="172"/>
      <c r="AF587" s="172"/>
      <c r="AG587" s="172"/>
      <c r="AH587" s="1390"/>
      <c r="AI587" s="1390"/>
      <c r="AJ587" s="1390"/>
      <c r="AK587" s="1390"/>
      <c r="AL587" s="1390"/>
      <c r="AM587" s="1390"/>
      <c r="AN587" s="1390"/>
      <c r="AO587" s="1390"/>
      <c r="AP587" s="1390"/>
      <c r="AQ587" s="1390"/>
      <c r="AR587" s="1390"/>
      <c r="AS587" s="1390"/>
      <c r="AT587" s="2653"/>
    </row>
    <row r="588" spans="4:46">
      <c r="D588" s="168" t="s">
        <v>3074</v>
      </c>
      <c r="E588" s="153"/>
      <c r="F588" s="153"/>
      <c r="G588" s="153"/>
      <c r="H588" s="153"/>
      <c r="I588" s="153"/>
      <c r="J588" s="153"/>
      <c r="K588" s="153"/>
      <c r="L588" s="153"/>
      <c r="M588" s="153"/>
      <c r="N588" s="153"/>
      <c r="O588" s="153"/>
      <c r="P588" s="153"/>
      <c r="Q588" s="153"/>
      <c r="R588" s="153"/>
      <c r="S588" s="153"/>
      <c r="T588" s="153"/>
      <c r="U588" s="153"/>
      <c r="V588" s="172">
        <f t="shared" ref="V588:AT588" si="822">V1133/V421</f>
        <v>0</v>
      </c>
      <c r="W588" s="172">
        <f t="shared" si="822"/>
        <v>0</v>
      </c>
      <c r="X588" s="172">
        <f t="shared" si="822"/>
        <v>0</v>
      </c>
      <c r="Y588" s="172">
        <f t="shared" si="822"/>
        <v>1.277267387839879E-3</v>
      </c>
      <c r="Z588" s="172">
        <f t="shared" si="822"/>
        <v>1.6811521024085946E-3</v>
      </c>
      <c r="AA588" s="172">
        <f t="shared" si="822"/>
        <v>7.6051528790935902E-4</v>
      </c>
      <c r="AB588" s="172">
        <f t="shared" si="822"/>
        <v>1.0462531261623642E-3</v>
      </c>
      <c r="AC588" s="172">
        <f t="shared" si="822"/>
        <v>1.2080857459550631E-3</v>
      </c>
      <c r="AD588" s="172">
        <f t="shared" si="822"/>
        <v>5.3928008219489981E-4</v>
      </c>
      <c r="AE588" s="172">
        <f t="shared" si="822"/>
        <v>2.1086762335622406E-3</v>
      </c>
      <c r="AF588" s="172">
        <f t="shared" si="822"/>
        <v>1.8653596235154832E-3</v>
      </c>
      <c r="AG588" s="172">
        <f t="shared" si="822"/>
        <v>1.0801394629616472E-3</v>
      </c>
      <c r="AH588" s="172">
        <f t="shared" ref="AH588:AJ588" si="823">AH1133/AH421</f>
        <v>9.259632661584279E-4</v>
      </c>
      <c r="AI588" s="172">
        <f t="shared" si="823"/>
        <v>1.3196639846307628E-3</v>
      </c>
      <c r="AJ588" s="172">
        <f t="shared" si="823"/>
        <v>5.930312220297887E-4</v>
      </c>
      <c r="AK588" s="172">
        <f t="shared" si="822"/>
        <v>1.7557431871760656E-3</v>
      </c>
      <c r="AL588" s="172">
        <f t="shared" si="822"/>
        <v>1.0217274204872356E-3</v>
      </c>
      <c r="AM588" s="172">
        <f t="shared" si="822"/>
        <v>9.8391658083453329E-4</v>
      </c>
      <c r="AN588" s="172">
        <f t="shared" si="822"/>
        <v>9.8543864736516272E-4</v>
      </c>
      <c r="AO588" s="172">
        <f t="shared" si="822"/>
        <v>9.8794809096930782E-4</v>
      </c>
      <c r="AP588" s="172">
        <f t="shared" si="822"/>
        <v>1.0185410030326028E-3</v>
      </c>
      <c r="AQ588" s="172">
        <f t="shared" si="822"/>
        <v>1.0459040663411447E-3</v>
      </c>
      <c r="AR588" s="172">
        <f t="shared" si="822"/>
        <v>1.0629378668912774E-3</v>
      </c>
      <c r="AS588" s="172">
        <f t="shared" si="822"/>
        <v>1.063408441837458E-3</v>
      </c>
      <c r="AT588" s="2645">
        <f t="shared" si="822"/>
        <v>9.0355380447636777E-4</v>
      </c>
    </row>
    <row r="589" spans="4:46">
      <c r="D589" s="153" t="s">
        <v>3075</v>
      </c>
      <c r="E589" s="153"/>
      <c r="F589" s="153"/>
      <c r="G589" s="153"/>
      <c r="H589" s="153"/>
      <c r="I589" s="153"/>
      <c r="J589" s="153"/>
      <c r="K589" s="153"/>
      <c r="L589" s="153"/>
      <c r="M589" s="153"/>
      <c r="N589" s="153"/>
      <c r="O589" s="153"/>
      <c r="P589" s="153"/>
      <c r="Q589" s="153"/>
      <c r="R589" s="153"/>
      <c r="S589" s="153"/>
      <c r="T589" s="153"/>
      <c r="U589" s="153"/>
      <c r="V589" s="172">
        <f t="shared" ref="V589:AG589" si="824">V1133/V423</f>
        <v>0</v>
      </c>
      <c r="W589" s="172">
        <f t="shared" si="824"/>
        <v>0</v>
      </c>
      <c r="X589" s="172">
        <f t="shared" si="824"/>
        <v>0</v>
      </c>
      <c r="Y589" s="172">
        <f t="shared" si="824"/>
        <v>3.0612807408715303E-3</v>
      </c>
      <c r="Z589" s="172">
        <f t="shared" si="824"/>
        <v>3.9921719138643133E-3</v>
      </c>
      <c r="AA589" s="172">
        <f t="shared" si="824"/>
        <v>1.8559883842548151E-3</v>
      </c>
      <c r="AB589" s="172">
        <f t="shared" si="824"/>
        <v>2.6015789222528676E-3</v>
      </c>
      <c r="AC589" s="172">
        <f t="shared" si="824"/>
        <v>2.9020969675526915E-3</v>
      </c>
      <c r="AD589" s="172">
        <f t="shared" si="824"/>
        <v>1.2025628392273138E-3</v>
      </c>
      <c r="AE589" s="172">
        <f t="shared" si="824"/>
        <v>4.7288304243199774E-3</v>
      </c>
      <c r="AF589" s="172">
        <f t="shared" si="824"/>
        <v>4.0519916130949893E-3</v>
      </c>
      <c r="AG589" s="172">
        <f t="shared" si="824"/>
        <v>2.1490894565348241E-3</v>
      </c>
      <c r="AH589" s="172">
        <f t="shared" ref="AH589:AJ589" si="825">AH1133/AH423</f>
        <v>1.8945720190734908E-3</v>
      </c>
      <c r="AI589" s="172">
        <f t="shared" si="825"/>
        <v>2.62700831136035E-3</v>
      </c>
      <c r="AJ589" s="172">
        <f t="shared" si="825"/>
        <v>1.1071554000525792E-3</v>
      </c>
      <c r="AK589" s="172">
        <f t="shared" ref="AK589:AM589" si="826">AJ589*AK590</f>
        <v>1.9035962513056881E-3</v>
      </c>
      <c r="AL589" s="172">
        <f t="shared" si="826"/>
        <v>1.8815063473250067E-3</v>
      </c>
      <c r="AM589" s="172">
        <f t="shared" si="826"/>
        <v>1.8094173750403933E-3</v>
      </c>
      <c r="AN589" s="172">
        <f t="shared" ref="AN589" si="827">AM589*AN590</f>
        <v>1.8002795301325651E-3</v>
      </c>
      <c r="AO589" s="172">
        <f t="shared" ref="AO589" si="828">AN589*AO590</f>
        <v>1.7868601376935858E-3</v>
      </c>
      <c r="AP589" s="172">
        <f t="shared" ref="AP589" si="829">AO589*AP590</f>
        <v>1.8333959942393797E-3</v>
      </c>
      <c r="AQ589" s="172">
        <f t="shared" ref="AQ589" si="830">AP589*AQ590</f>
        <v>1.8982503606043461E-3</v>
      </c>
      <c r="AR589" s="172">
        <f t="shared" ref="AR589" si="831">AQ589*AR590</f>
        <v>1.9213231204983391E-3</v>
      </c>
      <c r="AS589" s="172">
        <f t="shared" ref="AS589" si="832">AR589*AS590</f>
        <v>1.9318507327207158E-3</v>
      </c>
      <c r="AT589" s="2645">
        <f t="shared" ref="AT589" si="833">AS589*AT590</f>
        <v>1.9318507327207158E-3</v>
      </c>
    </row>
    <row r="590" spans="4:46">
      <c r="D590" s="156" t="s">
        <v>3076</v>
      </c>
      <c r="E590" s="153"/>
      <c r="F590" s="153"/>
      <c r="G590" s="153"/>
      <c r="H590" s="153"/>
      <c r="I590" s="153"/>
      <c r="J590" s="153"/>
      <c r="K590" s="153"/>
      <c r="L590" s="153"/>
      <c r="M590" s="153"/>
      <c r="N590" s="153"/>
      <c r="O590" s="153"/>
      <c r="P590" s="153"/>
      <c r="Q590" s="153"/>
      <c r="R590" s="153"/>
      <c r="S590" s="153"/>
      <c r="T590" s="153"/>
      <c r="U590" s="153"/>
      <c r="V590" s="172" t="e">
        <f t="shared" ref="V590:AG590" si="834">V589/U589</f>
        <v>#DIV/0!</v>
      </c>
      <c r="W590" s="172" t="e">
        <f t="shared" si="834"/>
        <v>#DIV/0!</v>
      </c>
      <c r="X590" s="172" t="e">
        <f t="shared" si="834"/>
        <v>#DIV/0!</v>
      </c>
      <c r="Y590" s="172" t="e">
        <f t="shared" si="834"/>
        <v>#DIV/0!</v>
      </c>
      <c r="Z590" s="172">
        <f t="shared" si="834"/>
        <v>1.3040855288325379</v>
      </c>
      <c r="AA590" s="172">
        <f t="shared" si="834"/>
        <v>0.46490692893489877</v>
      </c>
      <c r="AB590" s="172">
        <f t="shared" si="834"/>
        <v>1.4017215540373165</v>
      </c>
      <c r="AC590" s="172">
        <f t="shared" si="834"/>
        <v>1.1155137146635501</v>
      </c>
      <c r="AD590" s="172">
        <f t="shared" si="834"/>
        <v>0.41437720816111212</v>
      </c>
      <c r="AE590" s="172">
        <f t="shared" si="834"/>
        <v>3.9322938228811446</v>
      </c>
      <c r="AF590" s="172">
        <f t="shared" si="834"/>
        <v>0.8568697224277565</v>
      </c>
      <c r="AG590" s="172">
        <f t="shared" si="834"/>
        <v>0.53037855497763686</v>
      </c>
      <c r="AH590" s="172">
        <f t="shared" ref="AH590" si="835">AH589/AG589</f>
        <v>0.88156964025512674</v>
      </c>
      <c r="AI590" s="172">
        <f t="shared" ref="AI590" si="836">AI589/AH589</f>
        <v>1.3865972287741508</v>
      </c>
      <c r="AJ590" s="172">
        <f t="shared" ref="AJ590" si="837">AJ589/AI589</f>
        <v>0.42145104576363457</v>
      </c>
      <c r="AK590" s="1390">
        <v>1.7193577805024349</v>
      </c>
      <c r="AL590" s="1390">
        <v>0.98839569894848778</v>
      </c>
      <c r="AM590" s="1390">
        <v>0.9616855014137452</v>
      </c>
      <c r="AN590" s="1390">
        <v>0.99494984129483988</v>
      </c>
      <c r="AO590" s="1390">
        <v>0.9925459395530698</v>
      </c>
      <c r="AP590" s="1390">
        <v>1.0260433682324239</v>
      </c>
      <c r="AQ590" s="1390">
        <v>1.0353738998932811</v>
      </c>
      <c r="AR590" s="1390">
        <v>1.012154750697188</v>
      </c>
      <c r="AS590" s="1390">
        <v>1.0054793554036066</v>
      </c>
      <c r="AT590" s="1390">
        <v>1</v>
      </c>
    </row>
    <row r="591" spans="4:46">
      <c r="D591" s="156"/>
      <c r="E591" s="153"/>
      <c r="F591" s="153"/>
      <c r="G591" s="153"/>
      <c r="H591" s="153"/>
      <c r="I591" s="153"/>
      <c r="J591" s="153"/>
      <c r="K591" s="153"/>
      <c r="L591" s="153"/>
      <c r="M591" s="153"/>
      <c r="N591" s="153"/>
      <c r="O591" s="153"/>
      <c r="P591" s="153"/>
      <c r="Q591" s="153"/>
      <c r="R591" s="153"/>
      <c r="S591" s="153"/>
      <c r="T591" s="153"/>
      <c r="U591" s="153"/>
      <c r="V591" s="172"/>
      <c r="W591" s="172"/>
      <c r="X591" s="172"/>
      <c r="Y591" s="172"/>
      <c r="Z591" s="172"/>
      <c r="AA591" s="172"/>
      <c r="AB591" s="172"/>
      <c r="AC591" s="172"/>
      <c r="AD591" s="172"/>
      <c r="AE591" s="172"/>
      <c r="AF591" s="172"/>
      <c r="AG591" s="172"/>
      <c r="AH591" s="1390"/>
      <c r="AI591" s="1390"/>
      <c r="AJ591" s="1390"/>
      <c r="AK591" s="1390"/>
      <c r="AL591" s="1390"/>
      <c r="AM591" s="1390"/>
      <c r="AN591" s="1390"/>
      <c r="AO591" s="1390"/>
      <c r="AP591" s="1390"/>
      <c r="AQ591" s="1390"/>
      <c r="AR591" s="1390"/>
      <c r="AS591" s="1390"/>
      <c r="AT591" s="2653"/>
    </row>
    <row r="592" spans="4:46">
      <c r="D592" s="168" t="s">
        <v>3077</v>
      </c>
      <c r="E592" s="153"/>
      <c r="F592" s="153"/>
      <c r="G592" s="153"/>
      <c r="H592" s="153"/>
      <c r="I592" s="153"/>
      <c r="J592" s="153"/>
      <c r="K592" s="153"/>
      <c r="L592" s="153"/>
      <c r="M592" s="153"/>
      <c r="N592" s="153"/>
      <c r="O592" s="153"/>
      <c r="P592" s="153"/>
      <c r="Q592" s="153"/>
      <c r="R592" s="153"/>
      <c r="S592" s="153"/>
      <c r="T592" s="153"/>
      <c r="U592" s="153"/>
      <c r="V592" s="172">
        <f t="shared" ref="V592:AT592" si="838">V1141/V421</f>
        <v>0</v>
      </c>
      <c r="W592" s="172">
        <f t="shared" si="838"/>
        <v>0</v>
      </c>
      <c r="X592" s="172">
        <f t="shared" si="838"/>
        <v>0</v>
      </c>
      <c r="Y592" s="172">
        <f t="shared" si="838"/>
        <v>2.2853013447885193E-3</v>
      </c>
      <c r="Z592" s="172">
        <f t="shared" si="838"/>
        <v>2.1509442822734365E-3</v>
      </c>
      <c r="AA592" s="172">
        <f t="shared" si="838"/>
        <v>5.0260986770138136E-3</v>
      </c>
      <c r="AB592" s="172">
        <f t="shared" si="838"/>
        <v>7.0674578708223388E-3</v>
      </c>
      <c r="AC592" s="172">
        <f t="shared" si="838"/>
        <v>7.1360855693330351E-3</v>
      </c>
      <c r="AD592" s="172">
        <f t="shared" si="838"/>
        <v>1.0470695392087885E-2</v>
      </c>
      <c r="AE592" s="172">
        <f t="shared" si="838"/>
        <v>8.873171814502848E-3</v>
      </c>
      <c r="AF592" s="172">
        <f t="shared" si="838"/>
        <v>7.3337779037207437E-3</v>
      </c>
      <c r="AG592" s="172">
        <f t="shared" si="838"/>
        <v>1.3456957955200003E-2</v>
      </c>
      <c r="AH592" s="172">
        <f t="shared" ref="AH592:AJ592" si="839">AH1141/AH421</f>
        <v>7.3626983590555691E-3</v>
      </c>
      <c r="AI592" s="172">
        <f t="shared" si="839"/>
        <v>8.2878353250860418E-3</v>
      </c>
      <c r="AJ592" s="172">
        <f t="shared" si="839"/>
        <v>7.1653556379140115E-3</v>
      </c>
      <c r="AK592" s="172">
        <f t="shared" si="838"/>
        <v>9.8689972531479219E-3</v>
      </c>
      <c r="AL592" s="172">
        <f t="shared" si="838"/>
        <v>9.9873362700101005E-3</v>
      </c>
      <c r="AM592" s="172">
        <f t="shared" si="838"/>
        <v>1.056972678284656E-2</v>
      </c>
      <c r="AN592" s="172">
        <f t="shared" si="838"/>
        <v>1.0797799138799637E-2</v>
      </c>
      <c r="AO592" s="172">
        <f t="shared" si="838"/>
        <v>1.1907825598079626E-2</v>
      </c>
      <c r="AP592" s="172">
        <f t="shared" si="838"/>
        <v>1.227656466920804E-2</v>
      </c>
      <c r="AQ592" s="172">
        <f t="shared" si="838"/>
        <v>1.1959948200748857E-2</v>
      </c>
      <c r="AR592" s="172">
        <f t="shared" si="838"/>
        <v>1.2154730283348606E-2</v>
      </c>
      <c r="AS592" s="172">
        <f t="shared" si="838"/>
        <v>1.2160111323696389E-2</v>
      </c>
      <c r="AT592" s="2645">
        <f t="shared" si="838"/>
        <v>1.5498252247834014E-2</v>
      </c>
    </row>
    <row r="593" spans="4:46">
      <c r="D593" s="153" t="s">
        <v>3078</v>
      </c>
      <c r="E593" s="153"/>
      <c r="F593" s="153"/>
      <c r="G593" s="153"/>
      <c r="H593" s="153"/>
      <c r="I593" s="153"/>
      <c r="J593" s="153"/>
      <c r="K593" s="153"/>
      <c r="L593" s="153"/>
      <c r="M593" s="153"/>
      <c r="N593" s="153"/>
      <c r="O593" s="153"/>
      <c r="P593" s="153"/>
      <c r="Q593" s="153"/>
      <c r="R593" s="153"/>
      <c r="S593" s="153"/>
      <c r="T593" s="153"/>
      <c r="U593" s="153"/>
      <c r="V593" s="172">
        <f t="shared" ref="V593:AG593" si="840">V1141/V423</f>
        <v>0</v>
      </c>
      <c r="W593" s="172">
        <f t="shared" si="840"/>
        <v>0</v>
      </c>
      <c r="X593" s="172">
        <f t="shared" si="840"/>
        <v>0</v>
      </c>
      <c r="Y593" s="172">
        <f t="shared" si="840"/>
        <v>5.4772783369349837E-3</v>
      </c>
      <c r="Z593" s="172">
        <f t="shared" si="840"/>
        <v>5.1077706411433547E-3</v>
      </c>
      <c r="AA593" s="172">
        <f t="shared" si="840"/>
        <v>1.2265868827304785E-2</v>
      </c>
      <c r="AB593" s="172">
        <f t="shared" si="840"/>
        <v>1.7573710386972058E-2</v>
      </c>
      <c r="AC593" s="172">
        <f t="shared" si="840"/>
        <v>1.7142501979100621E-2</v>
      </c>
      <c r="AD593" s="172">
        <f t="shared" si="840"/>
        <v>2.3349034379583921E-2</v>
      </c>
      <c r="AE593" s="172">
        <f t="shared" si="840"/>
        <v>1.9898609454025069E-2</v>
      </c>
      <c r="AF593" s="172">
        <f t="shared" si="840"/>
        <v>1.5930658187065207E-2</v>
      </c>
      <c r="AG593" s="172">
        <f t="shared" si="840"/>
        <v>2.6774511486929747E-2</v>
      </c>
      <c r="AH593" s="172">
        <f t="shared" ref="AH593:AJ593" si="841">AH1141/AH423</f>
        <v>1.5064487767226773E-2</v>
      </c>
      <c r="AI593" s="172">
        <f t="shared" si="841"/>
        <v>1.6498299973139546E-2</v>
      </c>
      <c r="AJ593" s="172">
        <f t="shared" si="841"/>
        <v>1.3377309479019637E-2</v>
      </c>
      <c r="AK593" s="1873">
        <f t="shared" ref="AK593:AM593" si="842">AJ593*AK594</f>
        <v>1.7996429129329923E-2</v>
      </c>
      <c r="AL593" s="1873">
        <f t="shared" si="842"/>
        <v>1.8391633823365731E-2</v>
      </c>
      <c r="AM593" s="1873">
        <f t="shared" si="842"/>
        <v>1.9437671508788865E-2</v>
      </c>
      <c r="AN593" s="1873">
        <f t="shared" ref="AN593" si="843">AM593*AN594</f>
        <v>1.9726298346466942E-2</v>
      </c>
      <c r="AO593" s="1873">
        <f t="shared" ref="AO593" si="844">AN593*AO594</f>
        <v>2.1537183058818007E-2</v>
      </c>
      <c r="AP593" s="1873">
        <f t="shared" ref="AP593" si="845">AO593*AP594</f>
        <v>2.2098083847907943E-2</v>
      </c>
      <c r="AQ593" s="1873">
        <f t="shared" ref="AQ593" si="846">AP593*AQ594</f>
        <v>2.1706556763185714E-2</v>
      </c>
      <c r="AR593" s="1873">
        <f t="shared" ref="AR593" si="847">AQ593*AR594</f>
        <v>2.1970394549136595E-2</v>
      </c>
      <c r="AS593" s="1873">
        <f t="shared" ref="AS593" si="848">AR593*AS594</f>
        <v>2.2090778149228781E-2</v>
      </c>
      <c r="AT593" s="2656">
        <f t="shared" ref="AT593" si="849">AS593*AT594</f>
        <v>3.3136167223843174E-2</v>
      </c>
    </row>
    <row r="594" spans="4:46">
      <c r="D594" s="156" t="s">
        <v>3079</v>
      </c>
      <c r="E594" s="153"/>
      <c r="F594" s="153"/>
      <c r="G594" s="153"/>
      <c r="H594" s="153"/>
      <c r="I594" s="153"/>
      <c r="J594" s="153"/>
      <c r="K594" s="153"/>
      <c r="L594" s="153"/>
      <c r="M594" s="153"/>
      <c r="N594" s="153"/>
      <c r="O594" s="153"/>
      <c r="P594" s="153"/>
      <c r="Q594" s="153"/>
      <c r="R594" s="153"/>
      <c r="S594" s="153"/>
      <c r="T594" s="153"/>
      <c r="U594" s="153"/>
      <c r="V594" s="172" t="e">
        <f t="shared" ref="V594:AG594" si="850">V593/U593</f>
        <v>#DIV/0!</v>
      </c>
      <c r="W594" s="172" t="e">
        <f t="shared" si="850"/>
        <v>#DIV/0!</v>
      </c>
      <c r="X594" s="172" t="e">
        <f t="shared" si="850"/>
        <v>#DIV/0!</v>
      </c>
      <c r="Y594" s="172" t="e">
        <f t="shared" si="850"/>
        <v>#DIV/0!</v>
      </c>
      <c r="Z594" s="172">
        <f t="shared" si="850"/>
        <v>0.93253808313886033</v>
      </c>
      <c r="AA594" s="172">
        <f t="shared" si="850"/>
        <v>2.4014133932527395</v>
      </c>
      <c r="AB594" s="172">
        <f t="shared" si="850"/>
        <v>1.4327326204444322</v>
      </c>
      <c r="AC594" s="172">
        <f t="shared" si="850"/>
        <v>0.97546287048231406</v>
      </c>
      <c r="AD594" s="172">
        <f t="shared" si="850"/>
        <v>1.3620552243803168</v>
      </c>
      <c r="AE594" s="172">
        <f t="shared" si="850"/>
        <v>0.85222408475376366</v>
      </c>
      <c r="AF594" s="172">
        <f t="shared" si="850"/>
        <v>0.80059152996958649</v>
      </c>
      <c r="AG594" s="172">
        <f t="shared" si="850"/>
        <v>1.6806908523509176</v>
      </c>
      <c r="AH594" s="172">
        <f t="shared" ref="AH594" si="851">AH593/AG593</f>
        <v>0.56264286183449719</v>
      </c>
      <c r="AI594" s="172">
        <f t="shared" ref="AI594" si="852">AI593/AH593</f>
        <v>1.0951782913609629</v>
      </c>
      <c r="AJ594" s="172">
        <f t="shared" ref="AJ594" si="853">AJ593/AI593</f>
        <v>0.81082957036778869</v>
      </c>
      <c r="AK594" s="1390">
        <v>1.3452951176434023</v>
      </c>
      <c r="AL594" s="1390">
        <v>1.0219601728318268</v>
      </c>
      <c r="AM594" s="1390">
        <v>1.0568757346666064</v>
      </c>
      <c r="AN594" s="1390">
        <v>1.0148488381207375</v>
      </c>
      <c r="AO594" s="1390">
        <v>1.0918005335083762</v>
      </c>
      <c r="AP594" s="1390">
        <v>1.0260433682324246</v>
      </c>
      <c r="AQ594" s="1390">
        <v>0.98228230613038903</v>
      </c>
      <c r="AR594" s="1390">
        <v>1.012154750697188</v>
      </c>
      <c r="AS594" s="1390">
        <v>1.0054793554036068</v>
      </c>
      <c r="AT594" s="1390">
        <v>1.5</v>
      </c>
    </row>
    <row r="595" spans="4:46">
      <c r="D595" s="156"/>
      <c r="E595" s="153"/>
      <c r="F595" s="153"/>
      <c r="G595" s="153"/>
      <c r="H595" s="153"/>
      <c r="I595" s="153"/>
      <c r="J595" s="153"/>
      <c r="K595" s="153"/>
      <c r="L595" s="153"/>
      <c r="M595" s="153"/>
      <c r="N595" s="153"/>
      <c r="O595" s="153"/>
      <c r="P595" s="153"/>
      <c r="Q595" s="153"/>
      <c r="R595" s="153"/>
      <c r="S595" s="153"/>
      <c r="T595" s="153"/>
      <c r="U595" s="153"/>
      <c r="V595" s="172"/>
      <c r="W595" s="172"/>
      <c r="X595" s="172"/>
      <c r="Y595" s="172"/>
      <c r="Z595" s="172"/>
      <c r="AA595" s="172"/>
      <c r="AB595" s="172"/>
      <c r="AC595" s="172"/>
      <c r="AD595" s="172"/>
      <c r="AE595" s="172"/>
      <c r="AF595" s="172"/>
      <c r="AG595" s="172"/>
      <c r="AH595" s="172"/>
      <c r="AI595" s="172"/>
      <c r="AJ595" s="172"/>
      <c r="AK595" s="172"/>
      <c r="AL595" s="172"/>
      <c r="AM595" s="172"/>
      <c r="AN595" s="172"/>
      <c r="AO595" s="172"/>
      <c r="AP595" s="172"/>
      <c r="AQ595" s="172"/>
      <c r="AR595" s="172"/>
      <c r="AS595" s="172"/>
      <c r="AT595" s="2645"/>
    </row>
    <row r="596" spans="4:46">
      <c r="D596" s="156" t="s">
        <v>3083</v>
      </c>
      <c r="E596" s="153"/>
      <c r="F596" s="153"/>
      <c r="G596" s="153"/>
      <c r="H596" s="153"/>
      <c r="I596" s="153"/>
      <c r="J596" s="153"/>
      <c r="K596" s="153"/>
      <c r="L596" s="153"/>
      <c r="M596" s="153"/>
      <c r="N596" s="153"/>
      <c r="O596" s="153"/>
      <c r="P596" s="153"/>
      <c r="Q596" s="153"/>
      <c r="R596" s="153"/>
      <c r="S596" s="153"/>
      <c r="T596" s="153"/>
      <c r="U596" s="153"/>
      <c r="V596" s="172">
        <f t="shared" ref="V596:AG596" si="854">U596*V422</f>
        <v>0</v>
      </c>
      <c r="W596" s="172">
        <f t="shared" si="854"/>
        <v>0</v>
      </c>
      <c r="X596" s="172">
        <f t="shared" si="854"/>
        <v>0</v>
      </c>
      <c r="Y596" s="172">
        <f t="shared" si="854"/>
        <v>0</v>
      </c>
      <c r="Z596" s="172">
        <f t="shared" si="854"/>
        <v>0</v>
      </c>
      <c r="AA596" s="172">
        <f t="shared" si="854"/>
        <v>0</v>
      </c>
      <c r="AB596" s="172">
        <f t="shared" si="854"/>
        <v>0</v>
      </c>
      <c r="AC596" s="172">
        <f t="shared" si="854"/>
        <v>0</v>
      </c>
      <c r="AD596" s="172">
        <f t="shared" si="854"/>
        <v>0</v>
      </c>
      <c r="AE596" s="172">
        <f t="shared" si="854"/>
        <v>0</v>
      </c>
      <c r="AF596" s="172">
        <f t="shared" si="854"/>
        <v>0</v>
      </c>
      <c r="AG596" s="172">
        <f t="shared" si="854"/>
        <v>0</v>
      </c>
      <c r="AH596" s="172"/>
      <c r="AI596" s="172">
        <f t="shared" ref="AI596:AT596" si="855">AH596*AI422</f>
        <v>0</v>
      </c>
      <c r="AJ596" s="172">
        <f t="shared" si="855"/>
        <v>0</v>
      </c>
      <c r="AK596" s="172">
        <f t="shared" si="855"/>
        <v>0</v>
      </c>
      <c r="AL596" s="172">
        <f t="shared" si="855"/>
        <v>0</v>
      </c>
      <c r="AM596" s="172">
        <f t="shared" si="855"/>
        <v>0</v>
      </c>
      <c r="AN596" s="172">
        <f t="shared" si="855"/>
        <v>0</v>
      </c>
      <c r="AO596" s="172">
        <f t="shared" si="855"/>
        <v>0</v>
      </c>
      <c r="AP596" s="172">
        <f t="shared" si="855"/>
        <v>0</v>
      </c>
      <c r="AQ596" s="172">
        <f t="shared" si="855"/>
        <v>0</v>
      </c>
      <c r="AR596" s="172">
        <f t="shared" si="855"/>
        <v>0</v>
      </c>
      <c r="AS596" s="172">
        <f t="shared" si="855"/>
        <v>0</v>
      </c>
      <c r="AT596" s="2645">
        <f t="shared" si="855"/>
        <v>0</v>
      </c>
    </row>
    <row r="597" spans="4:46">
      <c r="D597" s="156"/>
      <c r="E597" s="153"/>
      <c r="F597" s="153"/>
      <c r="G597" s="153"/>
      <c r="H597" s="153"/>
      <c r="I597" s="153"/>
      <c r="J597" s="153"/>
      <c r="K597" s="153"/>
      <c r="L597" s="153"/>
      <c r="M597" s="153"/>
      <c r="N597" s="153"/>
      <c r="O597" s="153"/>
      <c r="P597" s="153"/>
      <c r="Q597" s="153"/>
      <c r="R597" s="153"/>
      <c r="S597" s="153"/>
      <c r="T597" s="153"/>
      <c r="U597" s="153"/>
      <c r="V597" s="172"/>
      <c r="W597" s="172"/>
      <c r="X597" s="172"/>
      <c r="Y597" s="172"/>
      <c r="Z597" s="172"/>
      <c r="AA597" s="172"/>
      <c r="AB597" s="172"/>
      <c r="AC597" s="172"/>
      <c r="AD597" s="172"/>
      <c r="AE597" s="172"/>
      <c r="AF597" s="172"/>
      <c r="AG597" s="172"/>
      <c r="AH597" s="172"/>
      <c r="AI597" s="172"/>
      <c r="AJ597" s="172"/>
      <c r="AK597" s="172"/>
      <c r="AL597" s="172"/>
      <c r="AM597" s="172"/>
      <c r="AN597" s="172"/>
      <c r="AO597" s="172"/>
      <c r="AP597" s="172"/>
      <c r="AQ597" s="172"/>
      <c r="AR597" s="172"/>
      <c r="AS597" s="172"/>
      <c r="AT597" s="2645"/>
    </row>
    <row r="598" spans="4:46">
      <c r="D598" s="168" t="s">
        <v>3080</v>
      </c>
      <c r="E598" s="153"/>
      <c r="F598" s="153"/>
      <c r="G598" s="153"/>
      <c r="H598" s="153"/>
      <c r="I598" s="153"/>
      <c r="J598" s="153"/>
      <c r="K598" s="153"/>
      <c r="L598" s="153"/>
      <c r="M598" s="153"/>
      <c r="N598" s="153"/>
      <c r="O598" s="153"/>
      <c r="P598" s="153"/>
      <c r="Q598" s="153"/>
      <c r="R598" s="153"/>
      <c r="S598" s="153"/>
      <c r="T598" s="153"/>
      <c r="U598" s="153"/>
      <c r="V598" s="172">
        <f t="shared" ref="V598:AT598" si="856">V1145/V421</f>
        <v>0</v>
      </c>
      <c r="W598" s="172">
        <f t="shared" si="856"/>
        <v>0</v>
      </c>
      <c r="X598" s="172">
        <f t="shared" si="856"/>
        <v>0</v>
      </c>
      <c r="Y598" s="172">
        <f t="shared" si="856"/>
        <v>1.6907595220104304E-2</v>
      </c>
      <c r="Z598" s="172">
        <f t="shared" si="856"/>
        <v>2.0068832215767579E-2</v>
      </c>
      <c r="AA598" s="172">
        <f t="shared" si="856"/>
        <v>1.9352024598858698E-2</v>
      </c>
      <c r="AB598" s="172">
        <f t="shared" si="856"/>
        <v>1.925476721996195E-2</v>
      </c>
      <c r="AC598" s="172">
        <f t="shared" si="856"/>
        <v>2.0149527129792032E-2</v>
      </c>
      <c r="AD598" s="172">
        <f t="shared" si="856"/>
        <v>1.8514750148741845E-2</v>
      </c>
      <c r="AE598" s="172">
        <f t="shared" si="856"/>
        <v>1.5970306063879822E-2</v>
      </c>
      <c r="AF598" s="172">
        <f t="shared" si="856"/>
        <v>2.1369347560659335E-2</v>
      </c>
      <c r="AG598" s="172">
        <f t="shared" si="856"/>
        <v>1.3136059623585173E-2</v>
      </c>
      <c r="AH598" s="172">
        <f t="shared" ref="AH598:AJ598" si="857">AH1145/AH421</f>
        <v>9.2692071676829871E-3</v>
      </c>
      <c r="AI598" s="172">
        <f t="shared" si="857"/>
        <v>1.3027445584090993E-2</v>
      </c>
      <c r="AJ598" s="172">
        <f t="shared" si="857"/>
        <v>1.0504224111191915E-2</v>
      </c>
      <c r="AK598" s="172">
        <f t="shared" si="856"/>
        <v>8.6267446540553797E-3</v>
      </c>
      <c r="AL598" s="172">
        <f t="shared" si="856"/>
        <v>8.6498336178952064E-3</v>
      </c>
      <c r="AM598" s="172">
        <f t="shared" si="856"/>
        <v>8.0896955749655743E-3</v>
      </c>
      <c r="AN598" s="172">
        <f t="shared" si="856"/>
        <v>7.5527632891177086E-3</v>
      </c>
      <c r="AO598" s="172">
        <f t="shared" si="856"/>
        <v>7.0298735041343999E-3</v>
      </c>
      <c r="AP598" s="172">
        <f t="shared" si="856"/>
        <v>6.7656640291128773E-3</v>
      </c>
      <c r="AQ598" s="172">
        <f t="shared" si="856"/>
        <v>6.2670790970755794E-3</v>
      </c>
      <c r="AR598" s="172">
        <f t="shared" si="856"/>
        <v>5.8470778894997404E-3</v>
      </c>
      <c r="AS598" s="172">
        <f t="shared" si="856"/>
        <v>5.4468633587393296E-3</v>
      </c>
      <c r="AT598" s="2645">
        <f t="shared" si="856"/>
        <v>4.4145420250243884E-3</v>
      </c>
    </row>
    <row r="599" spans="4:46">
      <c r="D599" s="153" t="s">
        <v>3081</v>
      </c>
      <c r="E599" s="153"/>
      <c r="F599" s="153"/>
      <c r="G599" s="153"/>
      <c r="H599" s="153"/>
      <c r="I599" s="153"/>
      <c r="J599" s="153"/>
      <c r="K599" s="153"/>
      <c r="L599" s="153"/>
      <c r="M599" s="153"/>
      <c r="N599" s="153"/>
      <c r="O599" s="153"/>
      <c r="P599" s="153"/>
      <c r="Q599" s="153"/>
      <c r="R599" s="153"/>
      <c r="S599" s="153"/>
      <c r="T599" s="153"/>
      <c r="U599" s="153"/>
      <c r="V599" s="172">
        <f t="shared" ref="V599:AG599" si="858">V1145/V423</f>
        <v>0</v>
      </c>
      <c r="W599" s="172">
        <f t="shared" si="858"/>
        <v>0</v>
      </c>
      <c r="X599" s="172">
        <f t="shared" si="858"/>
        <v>0</v>
      </c>
      <c r="Y599" s="172">
        <f t="shared" si="858"/>
        <v>4.0523148179091729E-2</v>
      </c>
      <c r="Z599" s="172">
        <f t="shared" si="858"/>
        <v>4.7656739804243099E-2</v>
      </c>
      <c r="AA599" s="172">
        <f t="shared" si="858"/>
        <v>4.7227364706935282E-2</v>
      </c>
      <c r="AB599" s="172">
        <f t="shared" si="858"/>
        <v>4.787827658501518E-2</v>
      </c>
      <c r="AC599" s="172">
        <f t="shared" si="858"/>
        <v>4.8403750956238209E-2</v>
      </c>
      <c r="AD599" s="172">
        <f t="shared" si="858"/>
        <v>4.1286802983405077E-2</v>
      </c>
      <c r="AE599" s="172">
        <f t="shared" si="858"/>
        <v>3.5814350253759633E-2</v>
      </c>
      <c r="AF599" s="172">
        <f t="shared" si="858"/>
        <v>4.641915478470459E-2</v>
      </c>
      <c r="AG599" s="172">
        <f t="shared" si="858"/>
        <v>2.6136039100038044E-2</v>
      </c>
      <c r="AH599" s="172">
        <f t="shared" ref="AH599:AJ599" si="859">AH1145/AH423</f>
        <v>1.8965310159380553E-2</v>
      </c>
      <c r="AI599" s="172">
        <f t="shared" si="859"/>
        <v>2.593327409384235E-2</v>
      </c>
      <c r="AJ599" s="172">
        <f t="shared" si="859"/>
        <v>1.9610786103744893E-2</v>
      </c>
      <c r="AK599" s="172">
        <f t="shared" ref="AK599:AM599" si="860">AJ599*AK600</f>
        <v>1.9610786103744893E-2</v>
      </c>
      <c r="AL599" s="172">
        <f t="shared" si="860"/>
        <v>3.9221572207489785E-2</v>
      </c>
      <c r="AM599" s="172">
        <f t="shared" si="860"/>
        <v>3.9221572207489785E-2</v>
      </c>
      <c r="AN599" s="172">
        <f t="shared" ref="AN599" si="861">AM599*AN600</f>
        <v>3.9221572207489785E-2</v>
      </c>
      <c r="AO599" s="172">
        <f t="shared" ref="AO599" si="862">AN599*AO600</f>
        <v>3.9221572207489785E-2</v>
      </c>
      <c r="AP599" s="172">
        <f t="shared" ref="AP599" si="863">AO599*AP600</f>
        <v>3.9221572207489785E-2</v>
      </c>
      <c r="AQ599" s="172">
        <f t="shared" ref="AQ599" si="864">AP599*AQ600</f>
        <v>3.9221572207489785E-2</v>
      </c>
      <c r="AR599" s="172">
        <f t="shared" ref="AR599" si="865">AQ599*AR600</f>
        <v>3.9221572207489785E-2</v>
      </c>
      <c r="AS599" s="172">
        <f t="shared" ref="AS599" si="866">AR599*AS600</f>
        <v>3.9221572207489785E-2</v>
      </c>
      <c r="AT599" s="2645">
        <f t="shared" ref="AT599" si="867">AS599*AT600</f>
        <v>3.9221572207489785E-2</v>
      </c>
    </row>
    <row r="600" spans="4:46">
      <c r="D600" s="156" t="s">
        <v>3082</v>
      </c>
      <c r="E600" s="153"/>
      <c r="F600" s="153"/>
      <c r="G600" s="153"/>
      <c r="H600" s="153"/>
      <c r="I600" s="153"/>
      <c r="J600" s="153"/>
      <c r="K600" s="153"/>
      <c r="L600" s="153"/>
      <c r="M600" s="153"/>
      <c r="N600" s="153"/>
      <c r="O600" s="153"/>
      <c r="P600" s="153"/>
      <c r="Q600" s="153"/>
      <c r="R600" s="153"/>
      <c r="S600" s="153"/>
      <c r="T600" s="153"/>
      <c r="U600" s="153"/>
      <c r="V600" s="172" t="e">
        <f t="shared" ref="V600:AG600" si="868">V599/U599</f>
        <v>#DIV/0!</v>
      </c>
      <c r="W600" s="172" t="e">
        <f t="shared" si="868"/>
        <v>#DIV/0!</v>
      </c>
      <c r="X600" s="172" t="e">
        <f t="shared" si="868"/>
        <v>#DIV/0!</v>
      </c>
      <c r="Y600" s="172" t="e">
        <f t="shared" si="868"/>
        <v>#DIV/0!</v>
      </c>
      <c r="Z600" s="172">
        <f t="shared" si="868"/>
        <v>1.1760374488582308</v>
      </c>
      <c r="AA600" s="172">
        <f t="shared" si="868"/>
        <v>0.99099025449345601</v>
      </c>
      <c r="AB600" s="172">
        <f t="shared" si="868"/>
        <v>1.0137825153302342</v>
      </c>
      <c r="AC600" s="172">
        <f t="shared" si="868"/>
        <v>1.0109752148302575</v>
      </c>
      <c r="AD600" s="172">
        <f t="shared" si="868"/>
        <v>0.85296701531937968</v>
      </c>
      <c r="AE600" s="172">
        <f t="shared" si="868"/>
        <v>0.86745273709264781</v>
      </c>
      <c r="AF600" s="172">
        <f t="shared" si="868"/>
        <v>1.2961048980591714</v>
      </c>
      <c r="AG600" s="172">
        <f t="shared" si="868"/>
        <v>0.56304426957489617</v>
      </c>
      <c r="AH600" s="172">
        <f t="shared" ref="AH600" si="869">AH599/AG599</f>
        <v>0.72563826855282543</v>
      </c>
      <c r="AI600" s="172">
        <f t="shared" ref="AI600" si="870">AI599/AH599</f>
        <v>1.3674057463813913</v>
      </c>
      <c r="AJ600" s="172">
        <f t="shared" ref="AJ600" si="871">AJ599/AI599</f>
        <v>0.75620170568440948</v>
      </c>
      <c r="AK600" s="1390">
        <v>1</v>
      </c>
      <c r="AL600" s="1390">
        <v>2</v>
      </c>
      <c r="AM600" s="1390">
        <v>1</v>
      </c>
      <c r="AN600" s="1390">
        <v>1</v>
      </c>
      <c r="AO600" s="1390">
        <v>1</v>
      </c>
      <c r="AP600" s="1390">
        <v>1</v>
      </c>
      <c r="AQ600" s="1390">
        <v>1</v>
      </c>
      <c r="AR600" s="1390">
        <v>1</v>
      </c>
      <c r="AS600" s="1390">
        <v>1</v>
      </c>
      <c r="AT600" s="2653">
        <v>1</v>
      </c>
    </row>
    <row r="601" spans="4:46">
      <c r="D601" s="156"/>
      <c r="E601" s="153"/>
      <c r="F601" s="153"/>
      <c r="G601" s="153"/>
      <c r="H601" s="153"/>
      <c r="I601" s="153"/>
      <c r="J601" s="153"/>
      <c r="K601" s="153"/>
      <c r="L601" s="153"/>
      <c r="M601" s="153"/>
      <c r="N601" s="153"/>
      <c r="O601" s="153"/>
      <c r="P601" s="153"/>
      <c r="Q601" s="153"/>
      <c r="R601" s="153"/>
      <c r="S601" s="153"/>
      <c r="T601" s="153"/>
      <c r="U601" s="153"/>
      <c r="V601" s="172"/>
      <c r="W601" s="172"/>
      <c r="X601" s="172"/>
      <c r="Y601" s="172"/>
      <c r="Z601" s="172"/>
      <c r="AA601" s="172"/>
      <c r="AB601" s="172"/>
      <c r="AC601" s="172"/>
      <c r="AD601" s="172"/>
      <c r="AE601" s="172"/>
      <c r="AF601" s="172"/>
      <c r="AG601" s="172"/>
      <c r="AH601" s="172"/>
      <c r="AI601" s="172"/>
      <c r="AJ601" s="172"/>
      <c r="AK601" s="172"/>
      <c r="AL601" s="172"/>
      <c r="AM601" s="172"/>
      <c r="AN601" s="172"/>
      <c r="AO601" s="172"/>
      <c r="AP601" s="172"/>
      <c r="AQ601" s="172"/>
      <c r="AR601" s="172"/>
      <c r="AS601" s="172"/>
      <c r="AT601" s="2645"/>
    </row>
    <row r="602" spans="4:46">
      <c r="D602" s="168" t="s">
        <v>3084</v>
      </c>
      <c r="E602" s="153"/>
      <c r="F602" s="153"/>
      <c r="G602" s="153"/>
      <c r="H602" s="153"/>
      <c r="I602" s="153"/>
      <c r="J602" s="153"/>
      <c r="K602" s="153"/>
      <c r="L602" s="153"/>
      <c r="M602" s="153"/>
      <c r="N602" s="153"/>
      <c r="O602" s="153"/>
      <c r="P602" s="153"/>
      <c r="Q602" s="153"/>
      <c r="R602" s="153"/>
      <c r="S602" s="153"/>
      <c r="T602" s="153"/>
      <c r="U602" s="153"/>
      <c r="V602" s="172">
        <f t="shared" ref="V602:AT602" si="872">V1149/V421</f>
        <v>0</v>
      </c>
      <c r="W602" s="172">
        <f t="shared" si="872"/>
        <v>0</v>
      </c>
      <c r="X602" s="172">
        <f t="shared" si="872"/>
        <v>0</v>
      </c>
      <c r="Y602" s="172">
        <f t="shared" si="872"/>
        <v>4.5033535524546826E-3</v>
      </c>
      <c r="Z602" s="172">
        <f t="shared" si="872"/>
        <v>5.1192608364234978E-3</v>
      </c>
      <c r="AA602" s="172">
        <f t="shared" si="872"/>
        <v>0</v>
      </c>
      <c r="AB602" s="172">
        <f t="shared" si="872"/>
        <v>4.8491933775292144E-3</v>
      </c>
      <c r="AC602" s="172">
        <f t="shared" si="872"/>
        <v>4.3965938954120421E-3</v>
      </c>
      <c r="AD602" s="172">
        <f t="shared" si="872"/>
        <v>9.5740725068306021E-4</v>
      </c>
      <c r="AE602" s="172">
        <f t="shared" si="872"/>
        <v>2.0721762726078822E-3</v>
      </c>
      <c r="AF602" s="172">
        <f t="shared" si="872"/>
        <v>2.778397721485886E-3</v>
      </c>
      <c r="AG602" s="172">
        <f t="shared" si="872"/>
        <v>2.9716517890615124E-3</v>
      </c>
      <c r="AH602" s="172">
        <f t="shared" si="872"/>
        <v>4.1093246969429393E-3</v>
      </c>
      <c r="AI602" s="172">
        <f t="shared" ref="AI602:AJ602" si="873">AI1149/AI421</f>
        <v>2.1670730457573379E-3</v>
      </c>
      <c r="AJ602" s="172">
        <f t="shared" si="873"/>
        <v>2.1618881240277193E-3</v>
      </c>
      <c r="AK602" s="172">
        <f t="shared" si="872"/>
        <v>1.6526843655794883E-3</v>
      </c>
      <c r="AL602" s="172">
        <f t="shared" si="872"/>
        <v>1.6164817259539837E-3</v>
      </c>
      <c r="AM602" s="172">
        <f t="shared" si="872"/>
        <v>1.6095811608809688E-3</v>
      </c>
      <c r="AN602" s="172">
        <f t="shared" si="872"/>
        <v>1.5119684047396709E-3</v>
      </c>
      <c r="AO602" s="172">
        <f t="shared" si="872"/>
        <v>1.4257558634354153E-3</v>
      </c>
      <c r="AP602" s="172">
        <f t="shared" si="872"/>
        <v>1.3278313381538181E-3</v>
      </c>
      <c r="AQ602" s="172">
        <f t="shared" si="872"/>
        <v>1.2413114444592194E-3</v>
      </c>
      <c r="AR602" s="172">
        <f t="shared" si="872"/>
        <v>1.3189297331651837E-3</v>
      </c>
      <c r="AS602" s="172">
        <f t="shared" si="872"/>
        <v>1.5447708687962142E-3</v>
      </c>
      <c r="AT602" s="2645">
        <f t="shared" si="872"/>
        <v>1.2891134031081403E-3</v>
      </c>
    </row>
    <row r="603" spans="4:46">
      <c r="D603" s="153" t="s">
        <v>3085</v>
      </c>
      <c r="E603" s="153"/>
      <c r="F603" s="153"/>
      <c r="G603" s="153"/>
      <c r="H603" s="153"/>
      <c r="I603" s="153"/>
      <c r="J603" s="153"/>
      <c r="K603" s="153"/>
      <c r="L603" s="153"/>
      <c r="M603" s="153"/>
      <c r="N603" s="153"/>
      <c r="O603" s="153"/>
      <c r="P603" s="153"/>
      <c r="Q603" s="153"/>
      <c r="R603" s="153"/>
      <c r="S603" s="153"/>
      <c r="T603" s="153"/>
      <c r="U603" s="153"/>
      <c r="V603" s="172">
        <f t="shared" ref="V603:AH603" si="874">V1149/V423</f>
        <v>0</v>
      </c>
      <c r="W603" s="172">
        <f t="shared" si="874"/>
        <v>0</v>
      </c>
      <c r="X603" s="172">
        <f t="shared" si="874"/>
        <v>0</v>
      </c>
      <c r="Y603" s="172">
        <f t="shared" si="874"/>
        <v>1.0793377824184417E-2</v>
      </c>
      <c r="Z603" s="172">
        <f t="shared" si="874"/>
        <v>1.2156526052363302E-2</v>
      </c>
      <c r="AA603" s="172">
        <f t="shared" si="874"/>
        <v>0</v>
      </c>
      <c r="AB603" s="172">
        <f t="shared" si="874"/>
        <v>1.2057846199400922E-2</v>
      </c>
      <c r="AC603" s="172">
        <f t="shared" si="874"/>
        <v>1.0561619366967159E-2</v>
      </c>
      <c r="AD603" s="172">
        <f t="shared" si="874"/>
        <v>2.1349618124077755E-3</v>
      </c>
      <c r="AE603" s="172">
        <f t="shared" si="874"/>
        <v>4.6469771160214911E-3</v>
      </c>
      <c r="AF603" s="172">
        <f t="shared" si="874"/>
        <v>6.035321084138171E-3</v>
      </c>
      <c r="AG603" s="172">
        <f t="shared" si="874"/>
        <v>5.9125193989803381E-3</v>
      </c>
      <c r="AH603" s="172">
        <f t="shared" si="874"/>
        <v>8.407905445769269E-3</v>
      </c>
      <c r="AI603" s="172">
        <f t="shared" ref="AI603:AJ603" si="875">AI1149/AI423</f>
        <v>4.3139154882084422E-3</v>
      </c>
      <c r="AJ603" s="172">
        <f t="shared" si="875"/>
        <v>4.0361215765914579E-3</v>
      </c>
      <c r="AK603" s="172">
        <f t="shared" ref="AK603:AM603" si="876">AJ603*AK604</f>
        <v>3.0137222957292735E-3</v>
      </c>
      <c r="AL603" s="172">
        <f t="shared" si="876"/>
        <v>2.9767436663948265E-3</v>
      </c>
      <c r="AM603" s="172">
        <f t="shared" si="876"/>
        <v>2.9600112202250763E-3</v>
      </c>
      <c r="AN603" s="172">
        <f t="shared" ref="AN603" si="877">AM603*AN604</f>
        <v>2.7621869474451118E-3</v>
      </c>
      <c r="AO603" s="172">
        <f t="shared" ref="AO603" si="878">AN603*AO604</f>
        <v>2.5787046320987217E-3</v>
      </c>
      <c r="AP603" s="172">
        <f t="shared" ref="AP603" si="879">AO603*AP604</f>
        <v>2.3901253353065064E-3</v>
      </c>
      <c r="AQ603" s="172">
        <f t="shared" ref="AQ603" si="880">AP603*AQ604</f>
        <v>2.2529025107532654E-3</v>
      </c>
      <c r="AR603" s="172">
        <f t="shared" ref="AR603" si="881">AQ603*AR604</f>
        <v>2.3840435735480027E-3</v>
      </c>
      <c r="AS603" s="172">
        <f t="shared" ref="AS603" si="882">AR603*AS604</f>
        <v>2.8063222157735405E-3</v>
      </c>
      <c r="AT603" s="2645">
        <f t="shared" ref="AT603" si="883">AS603*AT604</f>
        <v>2.7561996419214808E-3</v>
      </c>
    </row>
    <row r="604" spans="4:46">
      <c r="D604" s="156" t="s">
        <v>3086</v>
      </c>
      <c r="E604" s="153"/>
      <c r="F604" s="153"/>
      <c r="G604" s="153"/>
      <c r="H604" s="153"/>
      <c r="I604" s="153"/>
      <c r="J604" s="153"/>
      <c r="K604" s="153"/>
      <c r="L604" s="153"/>
      <c r="M604" s="153"/>
      <c r="N604" s="153"/>
      <c r="O604" s="153"/>
      <c r="P604" s="153"/>
      <c r="Q604" s="153"/>
      <c r="R604" s="153"/>
      <c r="S604" s="153"/>
      <c r="T604" s="153"/>
      <c r="U604" s="153"/>
      <c r="V604" s="172" t="e">
        <f t="shared" ref="V604:AH604" si="884">V603/U603</f>
        <v>#DIV/0!</v>
      </c>
      <c r="W604" s="172" t="e">
        <f t="shared" si="884"/>
        <v>#DIV/0!</v>
      </c>
      <c r="X604" s="172" t="e">
        <f t="shared" si="884"/>
        <v>#DIV/0!</v>
      </c>
      <c r="Y604" s="172" t="e">
        <f t="shared" si="884"/>
        <v>#DIV/0!</v>
      </c>
      <c r="Z604" s="172">
        <f t="shared" si="884"/>
        <v>1.1262948680555329</v>
      </c>
      <c r="AA604" s="172">
        <f t="shared" si="884"/>
        <v>0</v>
      </c>
      <c r="AB604" s="172" t="e">
        <f t="shared" si="884"/>
        <v>#DIV/0!</v>
      </c>
      <c r="AC604" s="172">
        <f t="shared" si="884"/>
        <v>0.87591259602331795</v>
      </c>
      <c r="AD604" s="172">
        <f t="shared" si="884"/>
        <v>0.20214341553390447</v>
      </c>
      <c r="AE604" s="172">
        <f t="shared" si="884"/>
        <v>2.1766090095919353</v>
      </c>
      <c r="AF604" s="172">
        <f t="shared" si="884"/>
        <v>1.2987628157948217</v>
      </c>
      <c r="AG604" s="172">
        <f t="shared" si="884"/>
        <v>0.97965283313913887</v>
      </c>
      <c r="AH604" s="172">
        <f t="shared" si="884"/>
        <v>1.4220512235814873</v>
      </c>
      <c r="AI604" s="172">
        <f t="shared" ref="AI604" si="885">AI603/AH603</f>
        <v>0.51307849690188168</v>
      </c>
      <c r="AJ604" s="172">
        <f t="shared" ref="AJ604" si="886">AJ603/AI603</f>
        <v>0.9356051567592597</v>
      </c>
      <c r="AK604" s="1390">
        <v>0.74668768978817279</v>
      </c>
      <c r="AL604" s="1390">
        <v>0.98772991480109196</v>
      </c>
      <c r="AM604" s="1390">
        <v>0.99437894288357886</v>
      </c>
      <c r="AN604" s="1390">
        <v>0.93316772874768961</v>
      </c>
      <c r="AO604" s="1390">
        <v>0.93357353472540938</v>
      </c>
      <c r="AP604" s="1390">
        <v>0.92687053241970685</v>
      </c>
      <c r="AQ604" s="1390">
        <v>0.94258760303227207</v>
      </c>
      <c r="AR604" s="1390">
        <v>1.0582098258441239</v>
      </c>
      <c r="AS604" s="1390">
        <v>1.1771270655079054</v>
      </c>
      <c r="AT604" s="1390">
        <v>0.98213940880689499</v>
      </c>
    </row>
    <row r="605" spans="4:46">
      <c r="D605" s="156"/>
      <c r="E605" s="153"/>
      <c r="F605" s="153"/>
      <c r="G605" s="153"/>
      <c r="H605" s="153"/>
      <c r="I605" s="153"/>
      <c r="J605" s="153"/>
      <c r="K605" s="153"/>
      <c r="L605" s="153"/>
      <c r="M605" s="153"/>
      <c r="N605" s="153"/>
      <c r="O605" s="153"/>
      <c r="P605" s="153"/>
      <c r="Q605" s="153"/>
      <c r="R605" s="153"/>
      <c r="S605" s="153"/>
      <c r="T605" s="153"/>
      <c r="U605" s="153"/>
      <c r="V605" s="172"/>
      <c r="W605" s="172"/>
      <c r="X605" s="172"/>
      <c r="Y605" s="172"/>
      <c r="Z605" s="172"/>
      <c r="AA605" s="172"/>
      <c r="AB605" s="172"/>
      <c r="AC605" s="172"/>
      <c r="AD605" s="172"/>
      <c r="AE605" s="172"/>
      <c r="AF605" s="172"/>
      <c r="AG605" s="172"/>
      <c r="AH605" s="172"/>
      <c r="AI605" s="172"/>
      <c r="AJ605" s="172"/>
      <c r="AK605" s="172"/>
      <c r="AL605" s="172"/>
      <c r="AM605" s="172"/>
      <c r="AN605" s="172"/>
      <c r="AO605" s="172"/>
      <c r="AP605" s="172"/>
      <c r="AQ605" s="172"/>
      <c r="AR605" s="172"/>
      <c r="AS605" s="172"/>
      <c r="AT605" s="2645"/>
    </row>
    <row r="606" spans="4:46">
      <c r="D606" s="168" t="s">
        <v>299</v>
      </c>
      <c r="E606" s="153"/>
      <c r="F606" s="153"/>
      <c r="G606" s="153"/>
      <c r="H606" s="153"/>
      <c r="I606" s="153"/>
      <c r="J606" s="153"/>
      <c r="K606" s="153"/>
      <c r="L606" s="153"/>
      <c r="M606" s="153"/>
      <c r="N606" s="153"/>
      <c r="O606" s="153"/>
      <c r="P606" s="153"/>
      <c r="Q606" s="153"/>
      <c r="R606" s="153"/>
      <c r="S606" s="153"/>
      <c r="T606" s="153"/>
      <c r="U606" s="153"/>
      <c r="V606" s="1413">
        <f>V292</f>
        <v>0</v>
      </c>
      <c r="W606" s="157">
        <f>+(V292+W292)/2</f>
        <v>0</v>
      </c>
      <c r="X606" s="157">
        <f>+(W292+X292)/2</f>
        <v>0</v>
      </c>
      <c r="Y606" s="157">
        <f>+(X292+Y292)/2</f>
        <v>3.1462868517012202E-2</v>
      </c>
      <c r="Z606" s="1413">
        <f>Y606</f>
        <v>3.1462868517012202E-2</v>
      </c>
      <c r="AA606" s="172"/>
      <c r="AB606" s="172"/>
      <c r="AC606" s="172"/>
      <c r="AD606" s="172"/>
      <c r="AE606" s="172"/>
      <c r="AF606" s="172"/>
      <c r="AG606" s="172"/>
      <c r="AH606" s="172"/>
      <c r="AI606" s="172"/>
      <c r="AJ606" s="172"/>
      <c r="AK606" s="172"/>
      <c r="AL606" s="172"/>
      <c r="AM606" s="172"/>
      <c r="AN606" s="172"/>
      <c r="AO606" s="172"/>
      <c r="AP606" s="172"/>
      <c r="AQ606" s="172"/>
      <c r="AR606" s="172"/>
      <c r="AS606" s="172"/>
      <c r="AT606" s="2645"/>
    </row>
    <row r="607" spans="4:46">
      <c r="D607" s="153" t="s">
        <v>197</v>
      </c>
      <c r="E607" s="153"/>
      <c r="F607" s="153"/>
      <c r="G607" s="153"/>
      <c r="H607" s="153"/>
      <c r="I607" s="153"/>
      <c r="J607" s="153"/>
      <c r="K607" s="153"/>
      <c r="L607" s="153"/>
      <c r="M607" s="153"/>
      <c r="N607" s="153"/>
      <c r="O607" s="153"/>
      <c r="P607" s="153"/>
      <c r="Q607" s="153"/>
      <c r="R607" s="153"/>
      <c r="S607" s="153"/>
      <c r="T607" s="153"/>
      <c r="U607" s="153"/>
      <c r="V607" s="1413">
        <f t="shared" ref="V607:AG607" si="887">(V1099-V499-V500)/V423</f>
        <v>-6.6170023302770553E-2</v>
      </c>
      <c r="W607" s="1413">
        <f t="shared" si="887"/>
        <v>-6.2464893248574724E-2</v>
      </c>
      <c r="X607" s="1413">
        <f t="shared" si="887"/>
        <v>-5.7968117473955021E-2</v>
      </c>
      <c r="Y607" s="1413">
        <f t="shared" si="887"/>
        <v>-3.5462655208395089E-2</v>
      </c>
      <c r="Z607" s="1413">
        <f t="shared" si="887"/>
        <v>-3.4076987485117914E-2</v>
      </c>
      <c r="AA607" s="1413">
        <f t="shared" si="887"/>
        <v>-3.1593133584639541E-2</v>
      </c>
      <c r="AB607" s="1413">
        <f t="shared" si="887"/>
        <v>-3.1806227322311968E-2</v>
      </c>
      <c r="AC607" s="1413">
        <f t="shared" si="887"/>
        <v>-3.012005303417796E-2</v>
      </c>
      <c r="AD607" s="1413">
        <f t="shared" si="887"/>
        <v>-2.4600390459532759E-2</v>
      </c>
      <c r="AE607" s="1413">
        <f t="shared" si="887"/>
        <v>-2.0164837646629852E-2</v>
      </c>
      <c r="AF607" s="1413">
        <f t="shared" si="887"/>
        <v>-2.0410562684643824E-2</v>
      </c>
      <c r="AG607" s="1413">
        <f t="shared" si="887"/>
        <v>-1.9189412160727573E-2</v>
      </c>
      <c r="AH607" s="172">
        <f t="shared" ref="AH607:AM607" si="888">AG607*AH608</f>
        <v>-1.9189412160727573E-2</v>
      </c>
      <c r="AI607" s="172">
        <f t="shared" si="888"/>
        <v>-1.9189412160727573E-2</v>
      </c>
      <c r="AJ607" s="172">
        <f t="shared" si="888"/>
        <v>-1.9189412160727573E-2</v>
      </c>
      <c r="AK607" s="172">
        <f t="shared" si="888"/>
        <v>-1.9189412160727573E-2</v>
      </c>
      <c r="AL607" s="172">
        <f t="shared" si="888"/>
        <v>-1.9189412160727573E-2</v>
      </c>
      <c r="AM607" s="172">
        <f t="shared" si="888"/>
        <v>-1.9189412160727573E-2</v>
      </c>
      <c r="AN607" s="172">
        <f t="shared" ref="AN607" si="889">AM607*AN608</f>
        <v>-1.9189412160727573E-2</v>
      </c>
      <c r="AO607" s="172">
        <f t="shared" ref="AO607" si="890">AN607*AO608</f>
        <v>-1.9189412160727573E-2</v>
      </c>
      <c r="AP607" s="172">
        <f t="shared" ref="AP607" si="891">AO607*AP608</f>
        <v>-1.9189412160727573E-2</v>
      </c>
      <c r="AQ607" s="172">
        <f t="shared" ref="AQ607" si="892">AP607*AQ608</f>
        <v>-1.9189412160727573E-2</v>
      </c>
      <c r="AR607" s="172">
        <f t="shared" ref="AR607" si="893">AQ607*AR608</f>
        <v>-1.9189412160727573E-2</v>
      </c>
      <c r="AS607" s="172">
        <f t="shared" ref="AS607" si="894">AR607*AS608</f>
        <v>-1.9189412160727573E-2</v>
      </c>
      <c r="AT607" s="2645">
        <f t="shared" ref="AT607" si="895">AS607*AT608</f>
        <v>-1.9189412160727573E-2</v>
      </c>
    </row>
    <row r="608" spans="4:46">
      <c r="D608" s="156" t="s">
        <v>255</v>
      </c>
      <c r="E608" s="153"/>
      <c r="F608" s="153"/>
      <c r="G608" s="153"/>
      <c r="H608" s="153"/>
      <c r="I608" s="153"/>
      <c r="J608" s="153"/>
      <c r="K608" s="153"/>
      <c r="L608" s="153"/>
      <c r="M608" s="153"/>
      <c r="N608" s="153"/>
      <c r="O608" s="153"/>
      <c r="P608" s="153"/>
      <c r="Q608" s="153"/>
      <c r="R608" s="153"/>
      <c r="S608" s="153"/>
      <c r="T608" s="153"/>
      <c r="U608" s="153"/>
      <c r="V608" s="172"/>
      <c r="W608" s="172">
        <f t="shared" ref="W608:AG608" si="896">W607/V607</f>
        <v>0.94400591280975577</v>
      </c>
      <c r="X608" s="172">
        <f t="shared" si="896"/>
        <v>0.92801115089198827</v>
      </c>
      <c r="Y608" s="172">
        <f t="shared" si="896"/>
        <v>0.61176137424729038</v>
      </c>
      <c r="Z608" s="172">
        <f t="shared" si="896"/>
        <v>0.96092600187057775</v>
      </c>
      <c r="AA608" s="172">
        <f t="shared" si="896"/>
        <v>0.92711051992013316</v>
      </c>
      <c r="AB608" s="172">
        <f t="shared" si="896"/>
        <v>1.0067449383297653</v>
      </c>
      <c r="AC608" s="172">
        <f t="shared" si="896"/>
        <v>0.94698603292220196</v>
      </c>
      <c r="AD608" s="172">
        <f t="shared" si="896"/>
        <v>0.81674459309942438</v>
      </c>
      <c r="AE608" s="172">
        <f t="shared" si="896"/>
        <v>0.81969583693399828</v>
      </c>
      <c r="AF608" s="172">
        <f t="shared" si="896"/>
        <v>1.0121858178240795</v>
      </c>
      <c r="AG608" s="172">
        <f t="shared" si="896"/>
        <v>0.94017065855636595</v>
      </c>
      <c r="AH608" s="1390">
        <v>1</v>
      </c>
      <c r="AI608" s="1390">
        <v>1</v>
      </c>
      <c r="AJ608" s="1390">
        <v>1</v>
      </c>
      <c r="AK608" s="1390">
        <v>1</v>
      </c>
      <c r="AL608" s="1390">
        <v>1</v>
      </c>
      <c r="AM608" s="1390">
        <v>1</v>
      </c>
      <c r="AN608" s="1390">
        <v>1</v>
      </c>
      <c r="AO608" s="1390">
        <v>1</v>
      </c>
      <c r="AP608" s="1390">
        <v>1</v>
      </c>
      <c r="AQ608" s="1390">
        <v>1</v>
      </c>
      <c r="AR608" s="1390">
        <v>1</v>
      </c>
      <c r="AS608" s="1390">
        <v>1</v>
      </c>
      <c r="AT608" s="2653">
        <v>1</v>
      </c>
    </row>
    <row r="609" spans="4:46">
      <c r="D609" s="153" t="s">
        <v>294</v>
      </c>
      <c r="E609" s="153"/>
      <c r="F609" s="153"/>
      <c r="G609" s="153"/>
      <c r="H609" s="153"/>
      <c r="I609" s="153"/>
      <c r="J609" s="153"/>
      <c r="K609" s="153"/>
      <c r="L609" s="153"/>
      <c r="M609" s="153"/>
      <c r="N609" s="153"/>
      <c r="O609" s="153"/>
      <c r="P609" s="153"/>
      <c r="Q609" s="153"/>
      <c r="R609" s="153"/>
      <c r="S609" s="153"/>
      <c r="T609" s="153"/>
      <c r="U609" s="153"/>
      <c r="V609" s="1413">
        <f t="shared" ref="V609:AT609" si="897">(W1099-W499-W500)/V421</f>
        <v>-2.9608847831630491E-2</v>
      </c>
      <c r="W609" s="1413">
        <f t="shared" si="897"/>
        <v>-2.661308209085296E-2</v>
      </c>
      <c r="X609" s="1413">
        <f t="shared" si="897"/>
        <v>-1.6170166081840694E-2</v>
      </c>
      <c r="Y609" s="1413">
        <f t="shared" si="897"/>
        <v>-1.5637310716559664E-2</v>
      </c>
      <c r="Z609" s="1413">
        <f t="shared" si="897"/>
        <v>-1.4453148193385657E-2</v>
      </c>
      <c r="AA609" s="1413">
        <f t="shared" si="897"/>
        <v>-1.4367538289082136E-2</v>
      </c>
      <c r="AB609" s="1413">
        <f t="shared" si="897"/>
        <v>-1.3829125688905224E-2</v>
      </c>
      <c r="AC609" s="1413">
        <f t="shared" si="897"/>
        <v>-1.2140294020439271E-2</v>
      </c>
      <c r="AD609" s="1413">
        <f t="shared" si="897"/>
        <v>-9.8681467484995414E-3</v>
      </c>
      <c r="AE609" s="1413">
        <f t="shared" si="897"/>
        <v>-1.0233399144693432E-2</v>
      </c>
      <c r="AF609" s="1413">
        <f t="shared" si="897"/>
        <v>-1.135330767256594E-2</v>
      </c>
      <c r="AG609" s="1413">
        <f t="shared" si="897"/>
        <v>-7.3491149699221672E-3</v>
      </c>
      <c r="AH609" s="1413">
        <f t="shared" si="897"/>
        <v>-8.7865309993719401E-3</v>
      </c>
      <c r="AI609" s="1413">
        <f t="shared" si="897"/>
        <v>-6.8817155875875316E-3</v>
      </c>
      <c r="AJ609" s="1413">
        <f t="shared" si="897"/>
        <v>-6.7203860268819863E-3</v>
      </c>
      <c r="AK609" s="1413">
        <f t="shared" si="897"/>
        <v>-5.8249750211931172E-3</v>
      </c>
      <c r="AL609" s="1413">
        <f t="shared" si="897"/>
        <v>9.7443626440305402E-3</v>
      </c>
      <c r="AM609" s="1413">
        <f t="shared" si="897"/>
        <v>1.0085100825358033E-2</v>
      </c>
      <c r="AN609" s="1413">
        <f t="shared" si="897"/>
        <v>1.0328271647824627E-2</v>
      </c>
      <c r="AO609" s="1413">
        <f t="shared" si="897"/>
        <v>1.302898044517777E-2</v>
      </c>
      <c r="AP609" s="1413">
        <f t="shared" si="897"/>
        <v>1.2747285083470106E-2</v>
      </c>
      <c r="AQ609" s="1413">
        <f t="shared" si="897"/>
        <v>1.2471830608528653E-2</v>
      </c>
      <c r="AR609" s="1413">
        <f t="shared" si="897"/>
        <v>1.229898463619321E-2</v>
      </c>
      <c r="AS609" s="1413">
        <f t="shared" si="897"/>
        <v>1.4239606872882312E-2</v>
      </c>
      <c r="AT609" s="2658">
        <f t="shared" si="897"/>
        <v>1.4424072768259874E-2</v>
      </c>
    </row>
    <row r="610" spans="4:46">
      <c r="D610" s="153" t="s">
        <v>300</v>
      </c>
      <c r="E610" s="153"/>
      <c r="F610" s="153"/>
      <c r="G610" s="153"/>
      <c r="H610" s="153"/>
      <c r="I610" s="153"/>
      <c r="J610" s="153"/>
      <c r="K610" s="153"/>
      <c r="L610" s="153"/>
      <c r="M610" s="153"/>
      <c r="N610" s="153"/>
      <c r="O610" s="153"/>
      <c r="P610" s="153"/>
      <c r="Q610" s="153"/>
      <c r="R610" s="153"/>
      <c r="S610" s="153"/>
      <c r="T610" s="153"/>
      <c r="U610" s="153"/>
      <c r="V610" s="157">
        <f t="shared" ref="V610:AT610" si="898">+(V1099-V499-V500)/(V$421-V1077-V1099-(V1157+V1208+V1212))</f>
        <v>-2.9306310552769055E-2</v>
      </c>
      <c r="W610" s="157">
        <f t="shared" si="898"/>
        <v>-2.768642493720181E-2</v>
      </c>
      <c r="X610" s="157">
        <f t="shared" si="898"/>
        <v>-2.597536410200809E-2</v>
      </c>
      <c r="Y610" s="157">
        <f t="shared" si="898"/>
        <v>-1.7557764136982876E-2</v>
      </c>
      <c r="Z610" s="157">
        <f t="shared" si="898"/>
        <v>-1.7104398090744304E-2</v>
      </c>
      <c r="AA610" s="157">
        <f t="shared" si="898"/>
        <v>-1.5565543247577723E-2</v>
      </c>
      <c r="AB610" s="157">
        <f t="shared" si="898"/>
        <v>-1.5191190056872111E-2</v>
      </c>
      <c r="AC610" s="157">
        <f t="shared" si="898"/>
        <v>-1.4884379860357901E-2</v>
      </c>
      <c r="AD610" s="157">
        <f t="shared" si="898"/>
        <v>-1.3101778627787802E-2</v>
      </c>
      <c r="AE610" s="157">
        <f t="shared" si="898"/>
        <v>-1.0509806585132809E-2</v>
      </c>
      <c r="AF610" s="157">
        <f t="shared" si="898"/>
        <v>-1.1011210579728405E-2</v>
      </c>
      <c r="AG610" s="157">
        <f t="shared" si="898"/>
        <v>-1.1328577907906017E-2</v>
      </c>
      <c r="AH610" s="157">
        <f t="shared" si="898"/>
        <v>-6.7496583379157834E-3</v>
      </c>
      <c r="AI610" s="157">
        <f t="shared" si="898"/>
        <v>-8.7038111161260902E-3</v>
      </c>
      <c r="AJ610" s="157">
        <f t="shared" si="898"/>
        <v>-6.8547087973696297E-3</v>
      </c>
      <c r="AK610" s="157">
        <f t="shared" si="898"/>
        <v>-6.7424992081819013E-3</v>
      </c>
      <c r="AL610" s="157">
        <f t="shared" si="898"/>
        <v>-6.0157466069868009E-3</v>
      </c>
      <c r="AM610" s="157">
        <f t="shared" si="898"/>
        <v>1.0225140842231504E-2</v>
      </c>
      <c r="AN610" s="157">
        <f t="shared" si="898"/>
        <v>1.0577082007484223E-2</v>
      </c>
      <c r="AO610" s="157">
        <f t="shared" si="898"/>
        <v>1.092863540827267E-2</v>
      </c>
      <c r="AP610" s="157">
        <f t="shared" si="898"/>
        <v>1.3923002080376156E-2</v>
      </c>
      <c r="AQ610" s="157">
        <f t="shared" si="898"/>
        <v>1.3536632597296415E-2</v>
      </c>
      <c r="AR610" s="157">
        <f t="shared" si="898"/>
        <v>1.3358759779153996E-2</v>
      </c>
      <c r="AS610" s="157">
        <f t="shared" si="898"/>
        <v>1.318256341891666E-2</v>
      </c>
      <c r="AT610" s="2605">
        <f t="shared" si="898"/>
        <v>1.3265061733143955E-2</v>
      </c>
    </row>
    <row r="611" spans="4:46">
      <c r="D611" s="156"/>
      <c r="E611" s="153"/>
      <c r="F611" s="153"/>
      <c r="G611" s="153"/>
      <c r="H611" s="153"/>
      <c r="I611" s="153"/>
      <c r="J611" s="153"/>
      <c r="K611" s="153"/>
      <c r="L611" s="153"/>
      <c r="M611" s="153"/>
      <c r="N611" s="153"/>
      <c r="O611" s="153"/>
      <c r="P611" s="153"/>
      <c r="Q611" s="153"/>
      <c r="R611" s="153"/>
      <c r="S611" s="153"/>
      <c r="T611" s="153"/>
      <c r="U611" s="153"/>
      <c r="V611" s="172"/>
      <c r="W611" s="172"/>
      <c r="X611" s="172"/>
      <c r="Y611" s="172"/>
      <c r="Z611" s="172"/>
      <c r="AA611" s="172"/>
      <c r="AB611" s="172"/>
      <c r="AC611" s="172"/>
      <c r="AD611" s="172"/>
      <c r="AE611" s="153"/>
      <c r="AF611" s="186"/>
      <c r="AG611" s="186"/>
      <c r="AH611" s="186"/>
      <c r="AI611" s="186"/>
      <c r="AJ611" s="186"/>
      <c r="AK611" s="186"/>
      <c r="AL611" s="186"/>
      <c r="AM611" s="186"/>
      <c r="AN611" s="186"/>
      <c r="AO611" s="186"/>
      <c r="AP611" s="186"/>
      <c r="AQ611" s="186"/>
      <c r="AR611" s="186"/>
      <c r="AS611" s="186"/>
      <c r="AT611" s="2623"/>
    </row>
    <row r="612" spans="4:46">
      <c r="D612" s="153" t="s">
        <v>233</v>
      </c>
      <c r="E612" s="169"/>
      <c r="F612" s="153"/>
      <c r="G612" s="153"/>
      <c r="H612" s="153"/>
      <c r="I612" s="153"/>
      <c r="J612" s="153"/>
      <c r="K612" s="153"/>
      <c r="L612" s="153"/>
      <c r="M612" s="153"/>
      <c r="N612" s="153"/>
      <c r="O612" s="153"/>
      <c r="P612" s="153"/>
      <c r="Q612" s="153"/>
      <c r="R612" s="153"/>
      <c r="S612" s="153"/>
      <c r="T612" s="153"/>
      <c r="U612" s="153"/>
      <c r="V612" s="157"/>
      <c r="W612" s="154">
        <f t="shared" ref="W612:AM612" si="899">+(V247+W247)*W259/1000/2</f>
        <v>634.74918693678012</v>
      </c>
      <c r="X612" s="154">
        <f t="shared" si="899"/>
        <v>713.44667380246938</v>
      </c>
      <c r="Y612" s="154">
        <f t="shared" si="899"/>
        <v>817.64431156629234</v>
      </c>
      <c r="Z612" s="154">
        <f t="shared" si="899"/>
        <v>913.30965416397669</v>
      </c>
      <c r="AA612" s="154">
        <f t="shared" si="899"/>
        <v>601.51949402375999</v>
      </c>
      <c r="AB612" s="154">
        <f t="shared" si="899"/>
        <v>291.81879962694262</v>
      </c>
      <c r="AC612" s="154">
        <f t="shared" si="899"/>
        <v>444.04551553558412</v>
      </c>
      <c r="AD612" s="154">
        <f t="shared" si="899"/>
        <v>477.24668172793531</v>
      </c>
      <c r="AE612" s="154">
        <f t="shared" si="899"/>
        <v>401.05477030245817</v>
      </c>
      <c r="AF612" s="154">
        <f t="shared" si="899"/>
        <v>361.79865791233902</v>
      </c>
      <c r="AG612" s="154">
        <f t="shared" si="899"/>
        <v>584.80688578581601</v>
      </c>
      <c r="AH612" s="154">
        <f t="shared" si="899"/>
        <v>780.00173322881108</v>
      </c>
      <c r="AI612" s="154">
        <f t="shared" si="899"/>
        <v>892.49332461781717</v>
      </c>
      <c r="AJ612" s="154">
        <f t="shared" si="899"/>
        <v>953.05233346628404</v>
      </c>
      <c r="AK612" s="154">
        <f t="shared" si="899"/>
        <v>944.19798395661292</v>
      </c>
      <c r="AL612" s="154">
        <f t="shared" si="899"/>
        <v>1001.3561839387093</v>
      </c>
      <c r="AM612" s="154">
        <f t="shared" si="899"/>
        <v>1093.2394042085537</v>
      </c>
      <c r="AN612" s="154">
        <f t="shared" ref="AN612:AT612" si="900">+(AM247+AN247)*AW260/1000/2</f>
        <v>0</v>
      </c>
      <c r="AO612" s="154">
        <f t="shared" si="900"/>
        <v>0</v>
      </c>
      <c r="AP612" s="154">
        <f t="shared" si="900"/>
        <v>0</v>
      </c>
      <c r="AQ612" s="154">
        <f t="shared" si="900"/>
        <v>0</v>
      </c>
      <c r="AR612" s="154">
        <f t="shared" si="900"/>
        <v>0</v>
      </c>
      <c r="AS612" s="154">
        <f t="shared" si="900"/>
        <v>0</v>
      </c>
      <c r="AT612" s="2604">
        <f t="shared" si="900"/>
        <v>0</v>
      </c>
    </row>
    <row r="613" spans="4:46">
      <c r="D613" s="153" t="s">
        <v>259</v>
      </c>
      <c r="E613" s="182" t="s">
        <v>231</v>
      </c>
      <c r="F613" s="153"/>
      <c r="G613" s="153"/>
      <c r="H613" s="153"/>
      <c r="I613" s="153"/>
      <c r="J613" s="153"/>
      <c r="K613" s="153"/>
      <c r="L613" s="153"/>
      <c r="M613" s="153"/>
      <c r="N613" s="153"/>
      <c r="O613" s="153"/>
      <c r="P613" s="153"/>
      <c r="Q613" s="153"/>
      <c r="R613" s="153"/>
      <c r="S613" s="153"/>
      <c r="T613" s="153"/>
      <c r="U613" s="153"/>
      <c r="V613" s="157"/>
      <c r="W613" s="183">
        <v>183</v>
      </c>
      <c r="X613" s="183">
        <v>183</v>
      </c>
      <c r="Y613" s="183">
        <v>183</v>
      </c>
      <c r="Z613" s="183">
        <v>183</v>
      </c>
      <c r="AA613" s="183">
        <v>183</v>
      </c>
      <c r="AB613" s="183">
        <v>183</v>
      </c>
      <c r="AC613" s="183">
        <v>183</v>
      </c>
      <c r="AD613" s="183">
        <v>183</v>
      </c>
      <c r="AE613" s="183">
        <v>183</v>
      </c>
      <c r="AF613" s="183">
        <v>183</v>
      </c>
      <c r="AG613" s="183">
        <v>183</v>
      </c>
      <c r="AH613" s="183">
        <v>183</v>
      </c>
      <c r="AI613" s="183">
        <v>183</v>
      </c>
      <c r="AJ613" s="183">
        <v>183</v>
      </c>
      <c r="AK613" s="183">
        <v>183</v>
      </c>
      <c r="AL613" s="183">
        <v>184</v>
      </c>
      <c r="AM613" s="183">
        <v>185</v>
      </c>
      <c r="AN613" s="183">
        <v>185</v>
      </c>
      <c r="AO613" s="183">
        <v>185</v>
      </c>
      <c r="AP613" s="183">
        <v>185</v>
      </c>
      <c r="AQ613" s="183">
        <v>185</v>
      </c>
      <c r="AR613" s="183">
        <v>185</v>
      </c>
      <c r="AS613" s="183">
        <v>185</v>
      </c>
      <c r="AT613" s="2621">
        <v>185</v>
      </c>
    </row>
    <row r="614" spans="4:46">
      <c r="D614" s="153" t="s">
        <v>226</v>
      </c>
      <c r="E614" s="184">
        <v>0.76439999999999997</v>
      </c>
      <c r="F614" s="153"/>
      <c r="G614" s="153"/>
      <c r="H614" s="153"/>
      <c r="I614" s="153"/>
      <c r="J614" s="153"/>
      <c r="K614" s="153"/>
      <c r="L614" s="153"/>
      <c r="M614" s="153"/>
      <c r="N614" s="153"/>
      <c r="O614" s="153"/>
      <c r="P614" s="153"/>
      <c r="Q614" s="153"/>
      <c r="R614" s="153"/>
      <c r="S614" s="153"/>
      <c r="T614" s="153"/>
      <c r="U614" s="153"/>
      <c r="V614" s="157"/>
      <c r="W614" s="185">
        <f t="shared" ref="W614:AT614" si="901">+((V250+W250)/2)/$E332/1000</f>
        <v>683.3407710150625</v>
      </c>
      <c r="X614" s="185">
        <f t="shared" si="901"/>
        <v>733.26583211501918</v>
      </c>
      <c r="Y614" s="185">
        <f t="shared" si="901"/>
        <v>787.81185564890234</v>
      </c>
      <c r="Z614" s="185">
        <f t="shared" si="901"/>
        <v>847.37161508826136</v>
      </c>
      <c r="AA614" s="185">
        <f t="shared" si="901"/>
        <v>502.13445260932372</v>
      </c>
      <c r="AB614" s="185">
        <f t="shared" si="901"/>
        <v>201.97694145081107</v>
      </c>
      <c r="AC614" s="185">
        <f t="shared" si="901"/>
        <v>293.43021148613286</v>
      </c>
      <c r="AD614" s="185">
        <f t="shared" si="901"/>
        <v>314.25447728937729</v>
      </c>
      <c r="AE614" s="185">
        <f t="shared" si="901"/>
        <v>303.38365573652538</v>
      </c>
      <c r="AF614" s="185">
        <f t="shared" si="901"/>
        <v>302.73660657378338</v>
      </c>
      <c r="AG614" s="185">
        <f t="shared" si="901"/>
        <v>345.04043173076934</v>
      </c>
      <c r="AH614" s="185">
        <f t="shared" si="901"/>
        <v>353.13941922422816</v>
      </c>
      <c r="AI614" s="185">
        <f t="shared" si="901"/>
        <v>373.59557123888021</v>
      </c>
      <c r="AJ614" s="185">
        <f t="shared" si="901"/>
        <v>361.43320681580326</v>
      </c>
      <c r="AK614" s="185">
        <f t="shared" si="901"/>
        <v>391.09771681791506</v>
      </c>
      <c r="AL614" s="185">
        <f t="shared" si="901"/>
        <v>484.99543096336379</v>
      </c>
      <c r="AM614" s="185">
        <f t="shared" si="901"/>
        <v>510.30981582999567</v>
      </c>
      <c r="AN614" s="185">
        <f t="shared" si="901"/>
        <v>535.16360882423351</v>
      </c>
      <c r="AO614" s="185">
        <f t="shared" si="901"/>
        <v>562.22412773066128</v>
      </c>
      <c r="AP614" s="185">
        <f t="shared" si="901"/>
        <v>588.42758936903624</v>
      </c>
      <c r="AQ614" s="185">
        <f t="shared" si="901"/>
        <v>612.65875708377416</v>
      </c>
      <c r="AR614" s="185">
        <f t="shared" si="901"/>
        <v>637.98961296104551</v>
      </c>
      <c r="AS614" s="185">
        <f t="shared" si="901"/>
        <v>664.14160252263969</v>
      </c>
      <c r="AT614" s="2622">
        <f t="shared" si="901"/>
        <v>690.54729598135998</v>
      </c>
    </row>
    <row r="615" spans="4:46">
      <c r="D615" s="153" t="s">
        <v>260</v>
      </c>
      <c r="E615" s="184"/>
      <c r="F615" s="153"/>
      <c r="G615" s="153"/>
      <c r="H615" s="153"/>
      <c r="I615" s="153"/>
      <c r="J615" s="153"/>
      <c r="K615" s="153"/>
      <c r="L615" s="153"/>
      <c r="M615" s="153"/>
      <c r="N615" s="153"/>
      <c r="O615" s="153"/>
      <c r="P615" s="153"/>
      <c r="Q615" s="153"/>
      <c r="R615" s="153"/>
      <c r="S615" s="153"/>
      <c r="T615" s="153"/>
      <c r="U615" s="153"/>
      <c r="V615" s="157"/>
      <c r="W615" s="183">
        <v>150</v>
      </c>
      <c r="X615" s="183">
        <v>150</v>
      </c>
      <c r="Y615" s="183">
        <v>150</v>
      </c>
      <c r="Z615" s="183">
        <v>150</v>
      </c>
      <c r="AA615" s="183">
        <v>150</v>
      </c>
      <c r="AB615" s="183">
        <f t="shared" ref="AB615:AJ615" si="902">+AA333</f>
        <v>150</v>
      </c>
      <c r="AC615" s="183">
        <f t="shared" si="902"/>
        <v>150</v>
      </c>
      <c r="AD615" s="183">
        <f t="shared" si="902"/>
        <v>150</v>
      </c>
      <c r="AE615" s="183">
        <f t="shared" si="902"/>
        <v>150</v>
      </c>
      <c r="AF615" s="183">
        <f t="shared" si="902"/>
        <v>150</v>
      </c>
      <c r="AG615" s="183">
        <f t="shared" si="902"/>
        <v>150</v>
      </c>
      <c r="AH615" s="183">
        <f t="shared" si="902"/>
        <v>150</v>
      </c>
      <c r="AI615" s="183">
        <f t="shared" si="902"/>
        <v>150</v>
      </c>
      <c r="AJ615" s="183">
        <f t="shared" si="902"/>
        <v>150</v>
      </c>
      <c r="AK615" s="183">
        <f>AJ615</f>
        <v>150</v>
      </c>
      <c r="AL615" s="183">
        <f t="shared" ref="AL615:AT615" si="903">AK615</f>
        <v>150</v>
      </c>
      <c r="AM615" s="183">
        <f t="shared" si="903"/>
        <v>150</v>
      </c>
      <c r="AN615" s="183">
        <f t="shared" si="903"/>
        <v>150</v>
      </c>
      <c r="AO615" s="183">
        <f t="shared" si="903"/>
        <v>150</v>
      </c>
      <c r="AP615" s="183">
        <f t="shared" si="903"/>
        <v>150</v>
      </c>
      <c r="AQ615" s="183">
        <f t="shared" si="903"/>
        <v>150</v>
      </c>
      <c r="AR615" s="183">
        <f t="shared" si="903"/>
        <v>150</v>
      </c>
      <c r="AS615" s="183">
        <f t="shared" si="903"/>
        <v>150</v>
      </c>
      <c r="AT615" s="2621">
        <f t="shared" si="903"/>
        <v>150</v>
      </c>
    </row>
    <row r="616" spans="4:46">
      <c r="D616" s="153" t="s">
        <v>227</v>
      </c>
      <c r="E616" s="184">
        <v>0.87229999999999996</v>
      </c>
      <c r="F616" s="153"/>
      <c r="G616" s="153"/>
      <c r="H616" s="153"/>
      <c r="I616" s="153"/>
      <c r="J616" s="153"/>
      <c r="K616" s="153"/>
      <c r="L616" s="153"/>
      <c r="M616" s="153"/>
      <c r="N616" s="153"/>
      <c r="O616" s="153"/>
      <c r="P616" s="153"/>
      <c r="Q616" s="153"/>
      <c r="R616" s="153"/>
      <c r="S616" s="153"/>
      <c r="T616" s="153"/>
      <c r="U616" s="153"/>
      <c r="V616" s="157"/>
      <c r="W616" s="185">
        <f t="shared" ref="W616:AT616" si="904">+((V251+W251)/2)/$E334/1000</f>
        <v>720.12904101579272</v>
      </c>
      <c r="X616" s="185">
        <f t="shared" si="904"/>
        <v>772.7418630477074</v>
      </c>
      <c r="Y616" s="185">
        <f t="shared" si="904"/>
        <v>830.22442121605957</v>
      </c>
      <c r="Z616" s="185">
        <f t="shared" si="904"/>
        <v>892.99063430837271</v>
      </c>
      <c r="AA616" s="185">
        <f t="shared" si="904"/>
        <v>542.69873612007427</v>
      </c>
      <c r="AB616" s="185">
        <f t="shared" si="904"/>
        <v>222.40395182849934</v>
      </c>
      <c r="AC616" s="185">
        <f t="shared" si="904"/>
        <v>290.72653329129884</v>
      </c>
      <c r="AD616" s="185">
        <f t="shared" si="904"/>
        <v>313.29915196033477</v>
      </c>
      <c r="AE616" s="185">
        <f t="shared" si="904"/>
        <v>322.28244165997938</v>
      </c>
      <c r="AF616" s="185">
        <f t="shared" si="904"/>
        <v>314.7710117046887</v>
      </c>
      <c r="AG616" s="185">
        <f t="shared" si="904"/>
        <v>365.90740644846949</v>
      </c>
      <c r="AH616" s="185">
        <f t="shared" si="904"/>
        <v>399.14501132064663</v>
      </c>
      <c r="AI616" s="185">
        <f t="shared" si="904"/>
        <v>408.23072056058703</v>
      </c>
      <c r="AJ616" s="185">
        <f t="shared" si="904"/>
        <v>409.09618068898317</v>
      </c>
      <c r="AK616" s="185">
        <f t="shared" si="904"/>
        <v>440.35770648421953</v>
      </c>
      <c r="AL616" s="185">
        <f t="shared" si="904"/>
        <v>511.10559974035215</v>
      </c>
      <c r="AM616" s="185">
        <f t="shared" si="904"/>
        <v>537.78280746913038</v>
      </c>
      <c r="AN616" s="185">
        <f t="shared" si="904"/>
        <v>563.97462694444016</v>
      </c>
      <c r="AO616" s="185">
        <f t="shared" si="904"/>
        <v>592.49197342228706</v>
      </c>
      <c r="AP616" s="185">
        <f t="shared" si="904"/>
        <v>620.10612217695154</v>
      </c>
      <c r="AQ616" s="185">
        <f t="shared" si="904"/>
        <v>645.64179677629784</v>
      </c>
      <c r="AR616" s="185">
        <f t="shared" si="904"/>
        <v>672.33636224750762</v>
      </c>
      <c r="AS616" s="185">
        <f t="shared" si="904"/>
        <v>699.89626787946747</v>
      </c>
      <c r="AT616" s="2622">
        <f t="shared" si="904"/>
        <v>727.72353578789171</v>
      </c>
    </row>
    <row r="617" spans="4:46">
      <c r="D617" s="153" t="s">
        <v>764</v>
      </c>
      <c r="E617" s="184"/>
      <c r="F617" s="153"/>
      <c r="G617" s="153"/>
      <c r="H617" s="153"/>
      <c r="I617" s="153"/>
      <c r="J617" s="153"/>
      <c r="K617" s="153"/>
      <c r="L617" s="153"/>
      <c r="M617" s="153"/>
      <c r="N617" s="153"/>
      <c r="O617" s="153"/>
      <c r="P617" s="153"/>
      <c r="Q617" s="153"/>
      <c r="R617" s="153"/>
      <c r="S617" s="153"/>
      <c r="T617" s="153"/>
      <c r="U617" s="153"/>
      <c r="V617" s="157"/>
      <c r="W617" s="157"/>
      <c r="X617" s="157"/>
      <c r="Y617" s="186"/>
      <c r="Z617" s="186"/>
      <c r="AA617" s="186"/>
      <c r="AB617" s="173"/>
      <c r="AC617" s="180"/>
      <c r="AD617" s="187"/>
      <c r="AE617" s="153"/>
      <c r="AF617" s="186"/>
      <c r="AG617" s="186"/>
      <c r="AH617" s="186"/>
      <c r="AI617" s="186"/>
      <c r="AJ617" s="186"/>
      <c r="AK617" s="186"/>
      <c r="AL617" s="186"/>
      <c r="AM617" s="186"/>
      <c r="AN617" s="186"/>
      <c r="AO617" s="186"/>
      <c r="AP617" s="186"/>
      <c r="AQ617" s="186"/>
      <c r="AR617" s="186"/>
      <c r="AS617" s="186"/>
      <c r="AT617" s="2623"/>
    </row>
    <row r="618" spans="4:46">
      <c r="D618" s="153" t="s">
        <v>763</v>
      </c>
      <c r="E618" s="184">
        <v>0.81299999999999994</v>
      </c>
      <c r="F618" s="153"/>
      <c r="G618" s="153"/>
      <c r="H618" s="153"/>
      <c r="I618" s="153"/>
      <c r="J618" s="153"/>
      <c r="K618" s="153"/>
      <c r="L618" s="153"/>
      <c r="M618" s="153"/>
      <c r="N618" s="153"/>
      <c r="O618" s="153"/>
      <c r="P618" s="153"/>
      <c r="Q618" s="153"/>
      <c r="R618" s="153"/>
      <c r="S618" s="153"/>
      <c r="T618" s="153"/>
      <c r="U618" s="153"/>
      <c r="V618" s="157"/>
      <c r="W618" s="157"/>
      <c r="X618" s="157"/>
      <c r="Y618" s="186"/>
      <c r="Z618" s="185">
        <f t="shared" ref="Z618:AT618" si="905">+((Y252+Z252)/2)/$E336/1000</f>
        <v>389.39058365908517</v>
      </c>
      <c r="AA618" s="185">
        <f t="shared" si="905"/>
        <v>221.37540300683693</v>
      </c>
      <c r="AB618" s="185">
        <f t="shared" si="905"/>
        <v>143.48897097785976</v>
      </c>
      <c r="AC618" s="185">
        <f t="shared" si="905"/>
        <v>265.96571038130384</v>
      </c>
      <c r="AD618" s="185">
        <f t="shared" si="905"/>
        <v>272.97544938499385</v>
      </c>
      <c r="AE618" s="185">
        <f t="shared" si="905"/>
        <v>213.33490690036905</v>
      </c>
      <c r="AF618" s="185">
        <f t="shared" si="905"/>
        <v>153.34112197416974</v>
      </c>
      <c r="AG618" s="185">
        <f t="shared" si="905"/>
        <v>158.73863527675277</v>
      </c>
      <c r="AH618" s="185">
        <f t="shared" si="905"/>
        <v>177.33721372078725</v>
      </c>
      <c r="AI618" s="185">
        <f t="shared" si="905"/>
        <v>184.34249480319809</v>
      </c>
      <c r="AJ618" s="185">
        <f t="shared" si="905"/>
        <v>171.9238813284133</v>
      </c>
      <c r="AK618" s="185">
        <f t="shared" si="905"/>
        <v>185.55554028182291</v>
      </c>
      <c r="AL618" s="185">
        <f t="shared" si="905"/>
        <v>222.86875152779706</v>
      </c>
      <c r="AM618" s="185">
        <f t="shared" si="905"/>
        <v>234.50140823079724</v>
      </c>
      <c r="AN618" s="185">
        <f t="shared" si="905"/>
        <v>245.92241028921563</v>
      </c>
      <c r="AO618" s="185">
        <f t="shared" si="905"/>
        <v>258.3574636512451</v>
      </c>
      <c r="AP618" s="185">
        <f t="shared" si="905"/>
        <v>270.39867560545071</v>
      </c>
      <c r="AQ618" s="185">
        <f t="shared" si="905"/>
        <v>281.53356420825128</v>
      </c>
      <c r="AR618" s="185">
        <f t="shared" si="905"/>
        <v>293.17378979405566</v>
      </c>
      <c r="AS618" s="185">
        <f t="shared" si="905"/>
        <v>305.19134891205226</v>
      </c>
      <c r="AT618" s="2622">
        <f t="shared" si="905"/>
        <v>317.32549195476338</v>
      </c>
    </row>
    <row r="619" spans="4:46">
      <c r="D619" s="153" t="s">
        <v>232</v>
      </c>
      <c r="E619" s="184"/>
      <c r="F619" s="153"/>
      <c r="G619" s="153"/>
      <c r="H619" s="153"/>
      <c r="I619" s="153"/>
      <c r="J619" s="153"/>
      <c r="K619" s="153"/>
      <c r="L619" s="153"/>
      <c r="M619" s="153"/>
      <c r="N619" s="153"/>
      <c r="O619" s="153"/>
      <c r="P619" s="188">
        <f t="shared" ref="P619:AF619" si="906">P500</f>
        <v>7.6334944059999996</v>
      </c>
      <c r="Q619" s="188">
        <f t="shared" si="906"/>
        <v>8.8330258990000008</v>
      </c>
      <c r="R619" s="188">
        <f t="shared" si="906"/>
        <v>8.7751200350000005</v>
      </c>
      <c r="S619" s="188">
        <f t="shared" si="906"/>
        <v>5.3642594690000003</v>
      </c>
      <c r="T619" s="188">
        <f t="shared" si="906"/>
        <v>15.577398727799999</v>
      </c>
      <c r="U619" s="188">
        <f t="shared" si="906"/>
        <v>24.572148364299998</v>
      </c>
      <c r="V619" s="188">
        <f t="shared" si="906"/>
        <v>49.961983223600001</v>
      </c>
      <c r="W619" s="188">
        <f t="shared" si="906"/>
        <v>43.035833838799988</v>
      </c>
      <c r="X619" s="188">
        <f t="shared" si="906"/>
        <v>40.547804104199997</v>
      </c>
      <c r="Y619" s="188">
        <f t="shared" si="906"/>
        <v>43.976230896800004</v>
      </c>
      <c r="Z619" s="188">
        <f>Z500</f>
        <v>47.3288579349</v>
      </c>
      <c r="AA619" s="188">
        <f t="shared" si="906"/>
        <v>50.127208389000003</v>
      </c>
      <c r="AB619" s="188">
        <f t="shared" si="906"/>
        <v>49.161149705</v>
      </c>
      <c r="AC619" s="188">
        <f t="shared" si="906"/>
        <v>52.827136257400326</v>
      </c>
      <c r="AD619" s="188">
        <f t="shared" si="906"/>
        <v>57.800472857066289</v>
      </c>
      <c r="AE619" s="188">
        <f t="shared" si="906"/>
        <v>54.344695545999997</v>
      </c>
      <c r="AF619" s="188">
        <f t="shared" si="906"/>
        <v>58.580782839555837</v>
      </c>
      <c r="AG619" s="188">
        <f t="shared" ref="AG619:AT619" si="907">+(AG331*AG332+AG333*AG334+AG335*AG336)/1000</f>
        <v>118.71859083746274</v>
      </c>
      <c r="AH619" s="188">
        <f t="shared" si="907"/>
        <v>124.49626541613074</v>
      </c>
      <c r="AI619" s="188">
        <f t="shared" si="907"/>
        <v>129.60259762080312</v>
      </c>
      <c r="AJ619" s="188">
        <f t="shared" si="907"/>
        <v>0</v>
      </c>
      <c r="AK619" s="188">
        <f t="shared" si="907"/>
        <v>71.570882177678456</v>
      </c>
      <c r="AL619" s="188">
        <f t="shared" si="907"/>
        <v>89.239159297258936</v>
      </c>
      <c r="AM619" s="188">
        <f t="shared" si="907"/>
        <v>94.407315928549195</v>
      </c>
      <c r="AN619" s="188">
        <f t="shared" si="907"/>
        <v>99.540431241307431</v>
      </c>
      <c r="AO619" s="188">
        <f t="shared" si="907"/>
        <v>105.13591188563366</v>
      </c>
      <c r="AP619" s="188">
        <f t="shared" si="907"/>
        <v>0</v>
      </c>
      <c r="AQ619" s="188">
        <f t="shared" si="907"/>
        <v>0</v>
      </c>
      <c r="AR619" s="188">
        <f t="shared" si="907"/>
        <v>0</v>
      </c>
      <c r="AS619" s="188">
        <f t="shared" si="907"/>
        <v>0</v>
      </c>
      <c r="AT619" s="2624">
        <f t="shared" si="907"/>
        <v>0</v>
      </c>
    </row>
    <row r="620" spans="4:46">
      <c r="D620" s="153" t="s">
        <v>261</v>
      </c>
      <c r="E620" s="184"/>
      <c r="F620" s="153"/>
      <c r="G620" s="153"/>
      <c r="H620" s="153"/>
      <c r="I620" s="153"/>
      <c r="J620" s="153"/>
      <c r="K620" s="153"/>
      <c r="L620" s="153"/>
      <c r="M620" s="153"/>
      <c r="N620" s="153"/>
      <c r="O620" s="153"/>
      <c r="P620" s="153"/>
      <c r="Q620" s="153"/>
      <c r="R620" s="153"/>
      <c r="S620" s="153"/>
      <c r="T620" s="153"/>
      <c r="U620" s="153"/>
      <c r="V620" s="185"/>
      <c r="W620" s="190"/>
      <c r="X620" s="190"/>
      <c r="Y620" s="190"/>
      <c r="Z620" s="190">
        <v>6.5000000000000002E-2</v>
      </c>
      <c r="AA620" s="191">
        <f>Z620</f>
        <v>6.5000000000000002E-2</v>
      </c>
      <c r="AB620" s="191">
        <f t="shared" ref="AB620:AM620" si="908">AA620</f>
        <v>6.5000000000000002E-2</v>
      </c>
      <c r="AC620" s="191">
        <f t="shared" si="908"/>
        <v>6.5000000000000002E-2</v>
      </c>
      <c r="AD620" s="191">
        <f t="shared" si="908"/>
        <v>6.5000000000000002E-2</v>
      </c>
      <c r="AE620" s="191">
        <f t="shared" si="908"/>
        <v>6.5000000000000002E-2</v>
      </c>
      <c r="AF620" s="191">
        <f t="shared" si="908"/>
        <v>6.5000000000000002E-2</v>
      </c>
      <c r="AG620" s="191">
        <f t="shared" si="908"/>
        <v>6.5000000000000002E-2</v>
      </c>
      <c r="AH620" s="191">
        <f t="shared" si="908"/>
        <v>6.5000000000000002E-2</v>
      </c>
      <c r="AI620" s="191">
        <f t="shared" si="908"/>
        <v>6.5000000000000002E-2</v>
      </c>
      <c r="AJ620" s="191">
        <f t="shared" si="908"/>
        <v>6.5000000000000002E-2</v>
      </c>
      <c r="AK620" s="191">
        <f t="shared" si="908"/>
        <v>6.5000000000000002E-2</v>
      </c>
      <c r="AL620" s="191">
        <f t="shared" si="908"/>
        <v>6.5000000000000002E-2</v>
      </c>
      <c r="AM620" s="191">
        <f t="shared" si="908"/>
        <v>6.5000000000000002E-2</v>
      </c>
      <c r="AN620" s="191">
        <f t="shared" ref="AN620" si="909">AM620</f>
        <v>6.5000000000000002E-2</v>
      </c>
      <c r="AO620" s="191">
        <f t="shared" ref="AO620" si="910">AN620</f>
        <v>6.5000000000000002E-2</v>
      </c>
      <c r="AP620" s="191">
        <f t="shared" ref="AP620" si="911">AO620</f>
        <v>6.5000000000000002E-2</v>
      </c>
      <c r="AQ620" s="191">
        <f t="shared" ref="AQ620" si="912">AP620</f>
        <v>6.5000000000000002E-2</v>
      </c>
      <c r="AR620" s="191">
        <f t="shared" ref="AR620" si="913">AQ620</f>
        <v>6.5000000000000002E-2</v>
      </c>
      <c r="AS620" s="191">
        <f t="shared" ref="AS620" si="914">AR620</f>
        <v>6.5000000000000002E-2</v>
      </c>
      <c r="AT620" s="2662">
        <f t="shared" ref="AT620" si="915">AS620</f>
        <v>6.5000000000000002E-2</v>
      </c>
    </row>
    <row r="621" spans="4:46">
      <c r="D621" s="153" t="s">
        <v>756</v>
      </c>
      <c r="E621" s="169" t="s">
        <v>204</v>
      </c>
      <c r="F621" s="153"/>
      <c r="G621" s="153"/>
      <c r="H621" s="153"/>
      <c r="I621" s="153"/>
      <c r="J621" s="153"/>
      <c r="K621" s="153"/>
      <c r="L621" s="153"/>
      <c r="M621" s="153"/>
      <c r="N621" s="153"/>
      <c r="O621" s="153"/>
      <c r="P621" s="153"/>
      <c r="Q621" s="153"/>
      <c r="R621" s="153"/>
      <c r="S621" s="153"/>
      <c r="T621" s="153"/>
      <c r="U621" s="153"/>
      <c r="V621" s="157">
        <f t="shared" ref="V621:AF621" si="916">+V755/V303</f>
        <v>1.1033462744515962E-2</v>
      </c>
      <c r="W621" s="157">
        <f t="shared" si="916"/>
        <v>8.2056271541275996E-3</v>
      </c>
      <c r="X621" s="157">
        <f t="shared" si="916"/>
        <v>6.9970158602971518E-3</v>
      </c>
      <c r="Y621" s="157">
        <f t="shared" si="916"/>
        <v>6.9864573106117826E-3</v>
      </c>
      <c r="Z621" s="157">
        <f t="shared" si="916"/>
        <v>7.1157507931034498E-3</v>
      </c>
      <c r="AA621" s="192">
        <f t="shared" si="916"/>
        <v>1.0947977576129132E-2</v>
      </c>
      <c r="AB621" s="192">
        <f t="shared" si="916"/>
        <v>6.7930288386071572E-3</v>
      </c>
      <c r="AC621" s="192">
        <f t="shared" si="916"/>
        <v>5.689658683251584E-3</v>
      </c>
      <c r="AD621" s="192">
        <f t="shared" si="916"/>
        <v>6.5570683773377081E-3</v>
      </c>
      <c r="AE621" s="192">
        <f t="shared" si="916"/>
        <v>5.418831357265402E-3</v>
      </c>
      <c r="AF621" s="157">
        <f t="shared" si="916"/>
        <v>5.358189875728646E-3</v>
      </c>
      <c r="AG621" s="157">
        <f>+AG500/AG303</f>
        <v>5.4413262629616401E-3</v>
      </c>
      <c r="AH621" s="157">
        <f t="shared" ref="AH621:AM621" si="917">+AH755/AH303</f>
        <v>1.1195583919828378E-3</v>
      </c>
      <c r="AI621" s="157">
        <f t="shared" si="917"/>
        <v>9.9283216626238615E-4</v>
      </c>
      <c r="AJ621" s="157" t="e">
        <f t="shared" si="917"/>
        <v>#DIV/0!</v>
      </c>
      <c r="AK621" s="157">
        <f t="shared" si="917"/>
        <v>0</v>
      </c>
      <c r="AL621" s="157">
        <f t="shared" si="917"/>
        <v>0</v>
      </c>
      <c r="AM621" s="157">
        <f t="shared" si="917"/>
        <v>0</v>
      </c>
      <c r="AN621" s="157">
        <v>5.057587735938885E-3</v>
      </c>
      <c r="AO621" s="157">
        <v>5.057587735938885E-3</v>
      </c>
      <c r="AP621" s="157">
        <v>1.00505758773594</v>
      </c>
      <c r="AQ621" s="157">
        <v>2.0050575877359398</v>
      </c>
      <c r="AR621" s="157">
        <v>3.0050575877359398</v>
      </c>
      <c r="AS621" s="157">
        <v>4.0050575877359398</v>
      </c>
      <c r="AT621" s="2605">
        <v>5.0050575877359398</v>
      </c>
    </row>
    <row r="622" spans="4:46">
      <c r="D622" s="594" t="s">
        <v>754</v>
      </c>
      <c r="E622" s="213"/>
      <c r="F622" s="156"/>
      <c r="G622" s="156"/>
      <c r="H622" s="156"/>
      <c r="I622" s="156"/>
      <c r="J622" s="156"/>
      <c r="K622" s="156"/>
      <c r="L622" s="156"/>
      <c r="M622" s="156"/>
      <c r="N622" s="156"/>
      <c r="O622" s="156"/>
      <c r="P622" s="156"/>
      <c r="Q622" s="156"/>
      <c r="R622" s="156"/>
      <c r="S622" s="156"/>
      <c r="T622" s="156"/>
      <c r="U622" s="156"/>
      <c r="V622" s="193"/>
      <c r="W622" s="154"/>
      <c r="X622" s="154"/>
      <c r="Y622" s="154"/>
      <c r="Z622" s="154"/>
      <c r="AA622" s="595">
        <v>32.700000000000003</v>
      </c>
      <c r="AB622" s="595">
        <f t="shared" ref="AB622:AT622" si="918">+AA340</f>
        <v>32.700000000000003</v>
      </c>
      <c r="AC622" s="595">
        <f t="shared" si="918"/>
        <v>32.700000000000003</v>
      </c>
      <c r="AD622" s="595">
        <f t="shared" si="918"/>
        <v>32.700000000000003</v>
      </c>
      <c r="AE622" s="595">
        <f t="shared" si="918"/>
        <v>32.700000000000003</v>
      </c>
      <c r="AF622" s="595">
        <f t="shared" si="918"/>
        <v>32.700000000000003</v>
      </c>
      <c r="AG622" s="595">
        <f t="shared" si="918"/>
        <v>32.700000000000003</v>
      </c>
      <c r="AH622" s="595">
        <f t="shared" si="918"/>
        <v>32.700000000000003</v>
      </c>
      <c r="AI622" s="595">
        <f t="shared" si="918"/>
        <v>32.700000000000003</v>
      </c>
      <c r="AJ622" s="595">
        <f t="shared" si="918"/>
        <v>32.700000000000003</v>
      </c>
      <c r="AK622" s="595">
        <f t="shared" si="918"/>
        <v>0</v>
      </c>
      <c r="AL622" s="595">
        <f t="shared" si="918"/>
        <v>0</v>
      </c>
      <c r="AM622" s="595">
        <f t="shared" si="918"/>
        <v>0</v>
      </c>
      <c r="AN622" s="595">
        <f t="shared" si="918"/>
        <v>0</v>
      </c>
      <c r="AO622" s="595">
        <f t="shared" si="918"/>
        <v>0</v>
      </c>
      <c r="AP622" s="595">
        <f t="shared" si="918"/>
        <v>0</v>
      </c>
      <c r="AQ622" s="595">
        <f t="shared" si="918"/>
        <v>0</v>
      </c>
      <c r="AR622" s="595">
        <f t="shared" si="918"/>
        <v>0</v>
      </c>
      <c r="AS622" s="595">
        <f t="shared" si="918"/>
        <v>0</v>
      </c>
      <c r="AT622" s="2625">
        <f t="shared" si="918"/>
        <v>0</v>
      </c>
    </row>
    <row r="623" spans="4:46">
      <c r="D623" s="594" t="s">
        <v>757</v>
      </c>
      <c r="E623" s="213"/>
      <c r="F623" s="156"/>
      <c r="G623" s="156"/>
      <c r="H623" s="156"/>
      <c r="I623" s="156"/>
      <c r="J623" s="156"/>
      <c r="K623" s="156"/>
      <c r="L623" s="156"/>
      <c r="M623" s="156"/>
      <c r="N623" s="156"/>
      <c r="O623" s="156"/>
      <c r="P623" s="156"/>
      <c r="Q623" s="156"/>
      <c r="R623" s="156"/>
      <c r="S623" s="156"/>
      <c r="T623" s="156"/>
      <c r="U623" s="156"/>
      <c r="V623" s="193"/>
      <c r="W623" s="154"/>
      <c r="X623" s="154"/>
      <c r="Y623" s="154"/>
      <c r="Z623" s="154"/>
      <c r="AA623" s="595">
        <f>+(AA$332+AA$334)*AA340/1000</f>
        <v>34.166045271451317</v>
      </c>
      <c r="AB623" s="595">
        <f t="shared" ref="AB623:AT623" si="919">+(AB332+AB334)*AB340/1000</f>
        <v>13.87725521023345</v>
      </c>
      <c r="AC623" s="595">
        <f t="shared" si="919"/>
        <v>19.101925554222017</v>
      </c>
      <c r="AD623" s="595">
        <f t="shared" si="919"/>
        <v>20.521003676465586</v>
      </c>
      <c r="AE623" s="595">
        <f t="shared" si="919"/>
        <v>20.459281384865704</v>
      </c>
      <c r="AF623" s="595">
        <f t="shared" si="919"/>
        <v>20.192499117706038</v>
      </c>
      <c r="AG623" s="595">
        <f t="shared" si="919"/>
        <v>23.247994308461113</v>
      </c>
      <c r="AH623" s="595">
        <f t="shared" si="919"/>
        <v>24.599700878817405</v>
      </c>
      <c r="AI623" s="595">
        <f t="shared" si="919"/>
        <v>25.565719741842582</v>
      </c>
      <c r="AJ623" s="595">
        <f t="shared" si="919"/>
        <v>0</v>
      </c>
      <c r="AK623" s="595">
        <f t="shared" si="919"/>
        <v>0</v>
      </c>
      <c r="AL623" s="595">
        <f t="shared" si="919"/>
        <v>0</v>
      </c>
      <c r="AM623" s="595">
        <f t="shared" si="919"/>
        <v>0</v>
      </c>
      <c r="AN623" s="595">
        <f t="shared" si="919"/>
        <v>0</v>
      </c>
      <c r="AO623" s="595">
        <f t="shared" si="919"/>
        <v>0</v>
      </c>
      <c r="AP623" s="595">
        <f t="shared" si="919"/>
        <v>0</v>
      </c>
      <c r="AQ623" s="595">
        <f t="shared" si="919"/>
        <v>0</v>
      </c>
      <c r="AR623" s="595">
        <f t="shared" si="919"/>
        <v>0</v>
      </c>
      <c r="AS623" s="595">
        <f t="shared" si="919"/>
        <v>0</v>
      </c>
      <c r="AT623" s="2625">
        <f t="shared" si="919"/>
        <v>0</v>
      </c>
    </row>
    <row r="624" spans="4:46">
      <c r="D624" s="156" t="s">
        <v>758</v>
      </c>
      <c r="E624" s="213" t="s">
        <v>318</v>
      </c>
      <c r="F624" s="156"/>
      <c r="G624" s="156"/>
      <c r="H624" s="156"/>
      <c r="I624" s="156"/>
      <c r="J624" s="156"/>
      <c r="K624" s="156"/>
      <c r="L624" s="156"/>
      <c r="M624" s="156"/>
      <c r="N624" s="156"/>
      <c r="O624" s="156"/>
      <c r="P624" s="156"/>
      <c r="Q624" s="156"/>
      <c r="R624" s="156"/>
      <c r="S624" s="156"/>
      <c r="T624" s="156"/>
      <c r="U624" s="156"/>
      <c r="V624" s="193"/>
      <c r="W624" s="154"/>
      <c r="X624" s="154"/>
      <c r="Y624" s="154"/>
      <c r="Z624" s="154"/>
      <c r="AA624" s="207">
        <v>9.6999999999999993</v>
      </c>
      <c r="AB624" s="207">
        <v>9.6999999999999993</v>
      </c>
      <c r="AC624" s="207">
        <v>11.3</v>
      </c>
      <c r="AD624" s="207">
        <v>12.1</v>
      </c>
      <c r="AE624" s="207">
        <f t="shared" ref="AE624:AT624" si="920">+AE341</f>
        <v>20.459281384865704</v>
      </c>
      <c r="AF624" s="207">
        <f t="shared" si="920"/>
        <v>20.192499117706038</v>
      </c>
      <c r="AG624" s="207">
        <f t="shared" si="920"/>
        <v>23.247994308461113</v>
      </c>
      <c r="AH624" s="207">
        <f t="shared" si="920"/>
        <v>24.599700878817405</v>
      </c>
      <c r="AI624" s="207">
        <f t="shared" si="920"/>
        <v>25.565719741842582</v>
      </c>
      <c r="AJ624" s="207">
        <f t="shared" si="920"/>
        <v>0</v>
      </c>
      <c r="AK624" s="207">
        <f t="shared" si="920"/>
        <v>0</v>
      </c>
      <c r="AL624" s="207">
        <f t="shared" si="920"/>
        <v>0</v>
      </c>
      <c r="AM624" s="207">
        <f t="shared" si="920"/>
        <v>0</v>
      </c>
      <c r="AN624" s="207">
        <f t="shared" si="920"/>
        <v>0</v>
      </c>
      <c r="AO624" s="207">
        <f t="shared" si="920"/>
        <v>0</v>
      </c>
      <c r="AP624" s="207">
        <f t="shared" si="920"/>
        <v>0</v>
      </c>
      <c r="AQ624" s="207">
        <f t="shared" si="920"/>
        <v>0</v>
      </c>
      <c r="AR624" s="207">
        <f t="shared" si="920"/>
        <v>0</v>
      </c>
      <c r="AS624" s="207">
        <f t="shared" si="920"/>
        <v>0</v>
      </c>
      <c r="AT624" s="2626">
        <f t="shared" si="920"/>
        <v>0</v>
      </c>
    </row>
    <row r="625" spans="4:46">
      <c r="D625" s="594" t="s">
        <v>761</v>
      </c>
      <c r="E625" s="213"/>
      <c r="F625" s="156"/>
      <c r="G625" s="156"/>
      <c r="H625" s="156"/>
      <c r="I625" s="156"/>
      <c r="J625" s="156"/>
      <c r="K625" s="156"/>
      <c r="L625" s="156"/>
      <c r="M625" s="156"/>
      <c r="N625" s="156"/>
      <c r="O625" s="156"/>
      <c r="P625" s="156"/>
      <c r="Q625" s="156"/>
      <c r="R625" s="156"/>
      <c r="S625" s="156"/>
      <c r="T625" s="156"/>
      <c r="U625" s="156"/>
      <c r="V625" s="193"/>
      <c r="W625" s="154"/>
      <c r="X625" s="154"/>
      <c r="Y625" s="595">
        <v>62.37</v>
      </c>
      <c r="Z625" s="595">
        <v>62.37</v>
      </c>
      <c r="AA625" s="595">
        <f>83+(115-83)*(4/12)*0</f>
        <v>83</v>
      </c>
      <c r="AB625" s="595">
        <v>115</v>
      </c>
      <c r="AC625" s="595">
        <f t="shared" ref="AC625:AT625" si="921">+AB343</f>
        <v>115</v>
      </c>
      <c r="AD625" s="595">
        <f t="shared" si="921"/>
        <v>115</v>
      </c>
      <c r="AE625" s="595">
        <f t="shared" si="921"/>
        <v>115</v>
      </c>
      <c r="AF625" s="595">
        <f t="shared" si="921"/>
        <v>115</v>
      </c>
      <c r="AG625" s="595">
        <f t="shared" si="921"/>
        <v>115</v>
      </c>
      <c r="AH625" s="595">
        <f t="shared" si="921"/>
        <v>115</v>
      </c>
      <c r="AI625" s="595">
        <f t="shared" si="921"/>
        <v>115</v>
      </c>
      <c r="AJ625" s="595">
        <f t="shared" si="921"/>
        <v>115</v>
      </c>
      <c r="AK625" s="595">
        <f t="shared" si="921"/>
        <v>0</v>
      </c>
      <c r="AL625" s="595">
        <f t="shared" si="921"/>
        <v>0</v>
      </c>
      <c r="AM625" s="595">
        <f t="shared" si="921"/>
        <v>0</v>
      </c>
      <c r="AN625" s="595">
        <f t="shared" si="921"/>
        <v>0</v>
      </c>
      <c r="AO625" s="595">
        <f t="shared" si="921"/>
        <v>0</v>
      </c>
      <c r="AP625" s="595">
        <f t="shared" si="921"/>
        <v>0</v>
      </c>
      <c r="AQ625" s="595">
        <f t="shared" si="921"/>
        <v>0</v>
      </c>
      <c r="AR625" s="595">
        <f t="shared" si="921"/>
        <v>0</v>
      </c>
      <c r="AS625" s="595">
        <f t="shared" si="921"/>
        <v>0</v>
      </c>
      <c r="AT625" s="2625">
        <f t="shared" si="921"/>
        <v>0</v>
      </c>
    </row>
    <row r="626" spans="4:46">
      <c r="D626" s="594" t="s">
        <v>759</v>
      </c>
      <c r="E626" s="213"/>
      <c r="F626" s="156"/>
      <c r="G626" s="156"/>
      <c r="H626" s="156"/>
      <c r="I626" s="156"/>
      <c r="J626" s="156"/>
      <c r="K626" s="156"/>
      <c r="L626" s="156"/>
      <c r="M626" s="156"/>
      <c r="N626" s="156"/>
      <c r="O626" s="156"/>
      <c r="P626" s="156"/>
      <c r="Q626" s="156"/>
      <c r="R626" s="156"/>
      <c r="S626" s="156"/>
      <c r="T626" s="156"/>
      <c r="U626" s="156"/>
      <c r="V626" s="193"/>
      <c r="W626" s="154"/>
      <c r="X626" s="154"/>
      <c r="Y626" s="595"/>
      <c r="Z626" s="595">
        <f t="shared" ref="Z626:AT626" si="922">+(Z$332+Z$334+Z$336)*Z343/1000</f>
        <v>132.83268419768521</v>
      </c>
      <c r="AA626" s="595">
        <f t="shared" si="922"/>
        <v>105.0953131141075</v>
      </c>
      <c r="AB626" s="595">
        <f t="shared" si="922"/>
        <v>65.305034389574558</v>
      </c>
      <c r="AC626" s="595">
        <f t="shared" si="922"/>
        <v>97.764082343254572</v>
      </c>
      <c r="AD626" s="595">
        <f t="shared" si="922"/>
        <v>103.56084404299119</v>
      </c>
      <c r="AE626" s="595">
        <f t="shared" si="922"/>
        <v>96.485115494140487</v>
      </c>
      <c r="AF626" s="595">
        <f t="shared" si="922"/>
        <v>88.647605129053815</v>
      </c>
      <c r="AG626" s="595">
        <f t="shared" si="922"/>
        <v>100.01394444743903</v>
      </c>
      <c r="AH626" s="595">
        <f t="shared" si="922"/>
        <v>106.90648909055115</v>
      </c>
      <c r="AI626" s="595">
        <f t="shared" si="922"/>
        <v>111.10941045930652</v>
      </c>
      <c r="AJ626" s="595">
        <f t="shared" si="922"/>
        <v>0</v>
      </c>
      <c r="AK626" s="595">
        <f t="shared" si="922"/>
        <v>0</v>
      </c>
      <c r="AL626" s="595">
        <f t="shared" si="922"/>
        <v>0</v>
      </c>
      <c r="AM626" s="595">
        <f t="shared" si="922"/>
        <v>0</v>
      </c>
      <c r="AN626" s="595">
        <f t="shared" si="922"/>
        <v>0</v>
      </c>
      <c r="AO626" s="595">
        <f t="shared" si="922"/>
        <v>0</v>
      </c>
      <c r="AP626" s="595">
        <f t="shared" si="922"/>
        <v>0</v>
      </c>
      <c r="AQ626" s="595">
        <f t="shared" si="922"/>
        <v>0</v>
      </c>
      <c r="AR626" s="595">
        <f t="shared" si="922"/>
        <v>0</v>
      </c>
      <c r="AS626" s="595">
        <f t="shared" si="922"/>
        <v>0</v>
      </c>
      <c r="AT626" s="2625">
        <f t="shared" si="922"/>
        <v>0</v>
      </c>
    </row>
    <row r="627" spans="4:46">
      <c r="D627" s="156" t="s">
        <v>760</v>
      </c>
      <c r="E627" s="182" t="s">
        <v>315</v>
      </c>
      <c r="F627" s="156"/>
      <c r="G627" s="156"/>
      <c r="H627" s="156"/>
      <c r="I627" s="156"/>
      <c r="J627" s="156"/>
      <c r="K627" s="156"/>
      <c r="L627" s="156"/>
      <c r="M627" s="156"/>
      <c r="N627" s="156"/>
      <c r="O627" s="156"/>
      <c r="P627" s="156"/>
      <c r="Q627" s="156"/>
      <c r="R627" s="156"/>
      <c r="S627" s="156"/>
      <c r="T627" s="156"/>
      <c r="U627" s="156"/>
      <c r="V627" s="193"/>
      <c r="W627" s="154"/>
      <c r="X627" s="154"/>
      <c r="Y627" s="154"/>
      <c r="Z627" s="154"/>
      <c r="AA627" s="207">
        <v>5.3</v>
      </c>
      <c r="AB627" s="207">
        <v>6</v>
      </c>
      <c r="AC627" s="207">
        <v>6.9</v>
      </c>
      <c r="AD627" s="207">
        <f t="shared" ref="AD627:AT627" si="923">+AC345</f>
        <v>6.9</v>
      </c>
      <c r="AE627" s="207">
        <f t="shared" si="923"/>
        <v>6.9</v>
      </c>
      <c r="AF627" s="207">
        <f t="shared" si="923"/>
        <v>6.9</v>
      </c>
      <c r="AG627" s="207">
        <f t="shared" si="923"/>
        <v>6.9</v>
      </c>
      <c r="AH627" s="207">
        <f t="shared" si="923"/>
        <v>6.9</v>
      </c>
      <c r="AI627" s="207">
        <f t="shared" si="923"/>
        <v>6.9</v>
      </c>
      <c r="AJ627" s="207">
        <f t="shared" si="923"/>
        <v>6.9</v>
      </c>
      <c r="AK627" s="207">
        <f t="shared" si="923"/>
        <v>0</v>
      </c>
      <c r="AL627" s="207">
        <f t="shared" si="923"/>
        <v>0</v>
      </c>
      <c r="AM627" s="207">
        <f t="shared" si="923"/>
        <v>0</v>
      </c>
      <c r="AN627" s="207">
        <f t="shared" si="923"/>
        <v>0</v>
      </c>
      <c r="AO627" s="207">
        <f t="shared" si="923"/>
        <v>0</v>
      </c>
      <c r="AP627" s="207">
        <f t="shared" si="923"/>
        <v>0</v>
      </c>
      <c r="AQ627" s="207">
        <f t="shared" si="923"/>
        <v>0</v>
      </c>
      <c r="AR627" s="207">
        <f t="shared" si="923"/>
        <v>0</v>
      </c>
      <c r="AS627" s="207">
        <f t="shared" si="923"/>
        <v>0</v>
      </c>
      <c r="AT627" s="2626">
        <f t="shared" si="923"/>
        <v>0</v>
      </c>
    </row>
    <row r="628" spans="4:46">
      <c r="D628" s="156" t="s">
        <v>765</v>
      </c>
      <c r="E628" s="182"/>
      <c r="F628" s="156"/>
      <c r="G628" s="156"/>
      <c r="H628" s="156"/>
      <c r="I628" s="156"/>
      <c r="J628" s="156"/>
      <c r="K628" s="156"/>
      <c r="L628" s="156"/>
      <c r="M628" s="156"/>
      <c r="N628" s="156"/>
      <c r="O628" s="156"/>
      <c r="P628" s="156"/>
      <c r="Q628" s="156"/>
      <c r="R628" s="156"/>
      <c r="S628" s="156"/>
      <c r="T628" s="156"/>
      <c r="U628" s="156"/>
      <c r="V628" s="193"/>
      <c r="W628" s="154"/>
      <c r="X628" s="154"/>
      <c r="Y628" s="154"/>
      <c r="Z628" s="154"/>
      <c r="AA628" s="207">
        <f>+(AA$332+AA$334+AA$336)*(AA343-Z343)/1000</f>
        <v>26.121883247518529</v>
      </c>
      <c r="AB628" s="207"/>
      <c r="AC628" s="207"/>
      <c r="AD628" s="207"/>
      <c r="AE628" s="207"/>
      <c r="AF628" s="154"/>
      <c r="AG628" s="154"/>
      <c r="AH628" s="154"/>
      <c r="AI628" s="154"/>
      <c r="AJ628" s="154"/>
      <c r="AK628" s="154"/>
      <c r="AL628" s="154"/>
      <c r="AM628" s="154"/>
      <c r="AN628" s="154"/>
      <c r="AO628" s="154"/>
      <c r="AP628" s="154"/>
      <c r="AQ628" s="154"/>
      <c r="AR628" s="154"/>
      <c r="AS628" s="154"/>
      <c r="AT628" s="2604"/>
    </row>
    <row r="629" spans="4:46">
      <c r="D629" s="594" t="s">
        <v>1087</v>
      </c>
      <c r="E629" s="213"/>
      <c r="F629" s="156"/>
      <c r="G629" s="156"/>
      <c r="H629" s="156"/>
      <c r="I629" s="156"/>
      <c r="J629" s="156"/>
      <c r="K629" s="156"/>
      <c r="L629" s="156"/>
      <c r="M629" s="156"/>
      <c r="N629" s="156"/>
      <c r="O629" s="156"/>
      <c r="P629" s="156"/>
      <c r="Q629" s="156"/>
      <c r="R629" s="156"/>
      <c r="S629" s="156"/>
      <c r="T629" s="156"/>
      <c r="U629" s="156"/>
      <c r="V629" s="193"/>
      <c r="W629" s="154"/>
      <c r="X629" s="154"/>
      <c r="Y629" s="154"/>
      <c r="Z629" s="154"/>
      <c r="AA629" s="596">
        <f t="shared" ref="AA629:AT629" si="924">+(AA340*AA332+AA340*AA334+AA340*AA336)/1000</f>
        <v>41.405020949774887</v>
      </c>
      <c r="AB629" s="596">
        <f t="shared" si="924"/>
        <v>18.569344561209466</v>
      </c>
      <c r="AC629" s="596">
        <f t="shared" si="924"/>
        <v>27.799004283690657</v>
      </c>
      <c r="AD629" s="596">
        <f t="shared" si="924"/>
        <v>29.447300871354884</v>
      </c>
      <c r="AE629" s="596">
        <f t="shared" si="924"/>
        <v>27.435332840507776</v>
      </c>
      <c r="AF629" s="596">
        <f t="shared" si="924"/>
        <v>25.206753806261389</v>
      </c>
      <c r="AG629" s="596">
        <f t="shared" si="924"/>
        <v>28.438747682010931</v>
      </c>
      <c r="AH629" s="596">
        <f t="shared" si="924"/>
        <v>30.398627767487149</v>
      </c>
      <c r="AI629" s="596">
        <f t="shared" si="924"/>
        <v>31.593719321907159</v>
      </c>
      <c r="AJ629" s="596">
        <f t="shared" si="924"/>
        <v>0</v>
      </c>
      <c r="AK629" s="596">
        <f t="shared" si="924"/>
        <v>0</v>
      </c>
      <c r="AL629" s="596">
        <f t="shared" si="924"/>
        <v>0</v>
      </c>
      <c r="AM629" s="596">
        <f t="shared" si="924"/>
        <v>0</v>
      </c>
      <c r="AN629" s="596">
        <f t="shared" si="924"/>
        <v>0</v>
      </c>
      <c r="AO629" s="596">
        <f t="shared" si="924"/>
        <v>0</v>
      </c>
      <c r="AP629" s="596">
        <f t="shared" si="924"/>
        <v>0</v>
      </c>
      <c r="AQ629" s="596">
        <f t="shared" si="924"/>
        <v>0</v>
      </c>
      <c r="AR629" s="596">
        <f t="shared" si="924"/>
        <v>0</v>
      </c>
      <c r="AS629" s="596">
        <f t="shared" si="924"/>
        <v>0</v>
      </c>
      <c r="AT629" s="2627">
        <f t="shared" si="924"/>
        <v>0</v>
      </c>
    </row>
    <row r="630" spans="4:46">
      <c r="D630" s="153" t="s">
        <v>762</v>
      </c>
      <c r="E630" s="169"/>
      <c r="F630" s="153"/>
      <c r="G630" s="153"/>
      <c r="H630" s="153"/>
      <c r="I630" s="153"/>
      <c r="J630" s="153"/>
      <c r="K630" s="153"/>
      <c r="L630" s="153"/>
      <c r="M630" s="153"/>
      <c r="N630" s="153"/>
      <c r="O630" s="153"/>
      <c r="P630" s="153"/>
      <c r="Q630" s="153"/>
      <c r="R630" s="153"/>
      <c r="S630" s="153"/>
      <c r="T630" s="153"/>
      <c r="U630" s="153"/>
      <c r="V630" s="157"/>
      <c r="W630" s="157"/>
      <c r="X630" s="157"/>
      <c r="Y630" s="157"/>
      <c r="Z630" s="157"/>
      <c r="AA630" s="192">
        <f t="shared" ref="AA630:AM630" si="925">+(AA337+AA341+AA344)/AA303</f>
        <v>4.8511062180828221E-2</v>
      </c>
      <c r="AB630" s="192">
        <f t="shared" si="925"/>
        <v>2.0658375384770115E-2</v>
      </c>
      <c r="AC630" s="192">
        <f t="shared" si="925"/>
        <v>2.6831961487488568E-2</v>
      </c>
      <c r="AD630" s="192">
        <f t="shared" si="925"/>
        <v>2.6022915512006261E-2</v>
      </c>
      <c r="AE630" s="192">
        <f t="shared" si="925"/>
        <v>2.2905183830683323E-2</v>
      </c>
      <c r="AF630" s="900">
        <f t="shared" si="925"/>
        <v>2.0169472484240336E-2</v>
      </c>
      <c r="AG630" s="900">
        <f t="shared" si="925"/>
        <v>1.957929683577659E-2</v>
      </c>
      <c r="AH630" s="900">
        <f t="shared" si="925"/>
        <v>1.6202687049715146E-2</v>
      </c>
      <c r="AI630" s="900">
        <f t="shared" si="925"/>
        <v>1.4356529333977745E-2</v>
      </c>
      <c r="AJ630" s="900" t="e">
        <f t="shared" si="925"/>
        <v>#DIV/0!</v>
      </c>
      <c r="AK630" s="900">
        <f t="shared" si="925"/>
        <v>2.83037734851094E-3</v>
      </c>
      <c r="AL630" s="900">
        <f t="shared" si="925"/>
        <v>3.0932792297618176E-3</v>
      </c>
      <c r="AM630" s="900">
        <f t="shared" si="925"/>
        <v>2.9051146192311892E-3</v>
      </c>
      <c r="AN630" s="900">
        <v>1.1061786655228129E-2</v>
      </c>
      <c r="AO630" s="900">
        <v>1.1061786655228129E-2</v>
      </c>
      <c r="AP630" s="900">
        <v>1.0110617866552301</v>
      </c>
      <c r="AQ630" s="900">
        <v>2.0110617866552301</v>
      </c>
      <c r="AR630" s="900">
        <v>3.0110617866552301</v>
      </c>
      <c r="AS630" s="900">
        <v>4.0110617866552296</v>
      </c>
      <c r="AT630" s="2628">
        <v>5.0110617866552296</v>
      </c>
    </row>
    <row r="631" spans="4:46">
      <c r="D631" s="153"/>
      <c r="E631" s="169"/>
      <c r="F631" s="153"/>
      <c r="G631" s="153"/>
      <c r="H631" s="153"/>
      <c r="I631" s="153"/>
      <c r="J631" s="153"/>
      <c r="K631" s="153"/>
      <c r="L631" s="153"/>
      <c r="M631" s="153"/>
      <c r="N631" s="153"/>
      <c r="O631" s="153"/>
      <c r="P631" s="153"/>
      <c r="Q631" s="153"/>
      <c r="R631" s="153"/>
      <c r="S631" s="153"/>
      <c r="T631" s="153"/>
      <c r="U631" s="153"/>
      <c r="V631" s="157"/>
      <c r="W631" s="157"/>
      <c r="X631" s="157"/>
      <c r="Y631" s="157"/>
      <c r="Z631" s="157"/>
      <c r="AA631" s="157"/>
      <c r="AB631" s="597"/>
      <c r="AC631" s="597"/>
      <c r="AD631" s="194"/>
      <c r="AE631" s="194"/>
      <c r="AF631" s="157"/>
      <c r="AG631" s="157"/>
      <c r="AH631" s="157"/>
      <c r="AI631" s="157"/>
      <c r="AJ631" s="157"/>
      <c r="AK631" s="157"/>
      <c r="AL631" s="157"/>
      <c r="AM631" s="157"/>
      <c r="AN631" s="157"/>
      <c r="AO631" s="157"/>
      <c r="AP631" s="157"/>
      <c r="AQ631" s="157"/>
      <c r="AR631" s="157"/>
      <c r="AS631" s="157"/>
      <c r="AT631" s="2605"/>
    </row>
    <row r="632" spans="4:46">
      <c r="D632" s="168" t="str">
        <f>+D413</f>
        <v xml:space="preserve">Net issuance of securities to nonbanks </v>
      </c>
      <c r="E632" s="176" t="s">
        <v>281</v>
      </c>
      <c r="F632" s="153"/>
      <c r="G632" s="153"/>
      <c r="H632" s="153"/>
      <c r="I632" s="153"/>
      <c r="J632" s="153"/>
      <c r="K632" s="153"/>
      <c r="L632" s="153"/>
      <c r="M632" s="153"/>
      <c r="N632" s="153"/>
      <c r="O632" s="153"/>
      <c r="P632" s="153"/>
      <c r="Q632" s="153"/>
      <c r="R632" s="153"/>
      <c r="S632" s="153"/>
      <c r="T632" s="153"/>
      <c r="U632" s="153"/>
      <c r="V632" s="157">
        <f>+V295</f>
        <v>9.9145082538590973E-2</v>
      </c>
      <c r="W632" s="157">
        <f>+W295</f>
        <v>8.5040272137804421E-2</v>
      </c>
      <c r="X632" s="157">
        <f>+X295</f>
        <v>0.10437120244062663</v>
      </c>
      <c r="Y632" s="157">
        <f>+Y295</f>
        <v>0.11775172361485951</v>
      </c>
      <c r="Z632" s="158">
        <f t="shared" ref="Z632:AG632" si="926">+(Z754+Z758)/Z354</f>
        <v>4.829175863618871E-2</v>
      </c>
      <c r="AA632" s="158">
        <f t="shared" si="926"/>
        <v>7.359727411340336E-2</v>
      </c>
      <c r="AB632" s="158">
        <f t="shared" si="926"/>
        <v>0.14143737771629417</v>
      </c>
      <c r="AC632" s="158">
        <f t="shared" si="926"/>
        <v>0.15671226847814301</v>
      </c>
      <c r="AD632" s="158">
        <f t="shared" si="926"/>
        <v>0.14752757270805375</v>
      </c>
      <c r="AE632" s="158">
        <f t="shared" si="926"/>
        <v>0.12478754631181714</v>
      </c>
      <c r="AF632" s="158">
        <f t="shared" si="926"/>
        <v>0.10958425657874588</v>
      </c>
      <c r="AG632" s="158">
        <f t="shared" si="926"/>
        <v>0.7230073581931582</v>
      </c>
      <c r="AH632" s="194">
        <f t="shared" ref="AH632:AT632" si="927">+AG350*AH351</f>
        <v>0.82422838834020018</v>
      </c>
      <c r="AI632" s="194">
        <f t="shared" si="927"/>
        <v>0.83659181416530315</v>
      </c>
      <c r="AJ632" s="194">
        <f t="shared" si="927"/>
        <v>0</v>
      </c>
      <c r="AK632" s="194">
        <f t="shared" si="927"/>
        <v>0</v>
      </c>
      <c r="AL632" s="194">
        <f t="shared" si="927"/>
        <v>0</v>
      </c>
      <c r="AM632" s="194">
        <f t="shared" si="927"/>
        <v>0</v>
      </c>
      <c r="AN632" s="194">
        <f t="shared" si="927"/>
        <v>0</v>
      </c>
      <c r="AO632" s="194">
        <f t="shared" si="927"/>
        <v>0</v>
      </c>
      <c r="AP632" s="194">
        <f t="shared" si="927"/>
        <v>0</v>
      </c>
      <c r="AQ632" s="194">
        <f t="shared" si="927"/>
        <v>0</v>
      </c>
      <c r="AR632" s="194">
        <f t="shared" si="927"/>
        <v>0</v>
      </c>
      <c r="AS632" s="194">
        <f t="shared" si="927"/>
        <v>0</v>
      </c>
      <c r="AT632" s="2629">
        <f t="shared" si="927"/>
        <v>0</v>
      </c>
    </row>
    <row r="633" spans="4:46">
      <c r="D633" s="156" t="s">
        <v>283</v>
      </c>
      <c r="E633" s="176"/>
      <c r="F633" s="153"/>
      <c r="G633" s="153"/>
      <c r="H633" s="153"/>
      <c r="I633" s="153"/>
      <c r="J633" s="153"/>
      <c r="K633" s="153"/>
      <c r="L633" s="153"/>
      <c r="M633" s="153"/>
      <c r="N633" s="153"/>
      <c r="O633" s="153"/>
      <c r="P633" s="153"/>
      <c r="Q633" s="153"/>
      <c r="R633" s="153"/>
      <c r="S633" s="153"/>
      <c r="T633" s="153"/>
      <c r="U633" s="153"/>
      <c r="V633" s="157"/>
      <c r="W633" s="157"/>
      <c r="X633" s="157"/>
      <c r="Y633" s="157"/>
      <c r="Z633" s="158"/>
      <c r="AA633" s="170">
        <f t="shared" ref="AA633:AG633" si="928">+AA350/Z350</f>
        <v>1.5240131275370719</v>
      </c>
      <c r="AB633" s="170">
        <f t="shared" si="928"/>
        <v>1.9217746773930575</v>
      </c>
      <c r="AC633" s="170">
        <f t="shared" si="928"/>
        <v>1.0780000000000001</v>
      </c>
      <c r="AD633" s="170">
        <f t="shared" si="928"/>
        <v>0.78600000000000003</v>
      </c>
      <c r="AE633" s="170">
        <f t="shared" si="928"/>
        <v>1.0029999999999999</v>
      </c>
      <c r="AF633" s="170">
        <f t="shared" si="928"/>
        <v>2.0030000000000001</v>
      </c>
      <c r="AG633" s="170">
        <f t="shared" si="928"/>
        <v>3.0030000000000001</v>
      </c>
      <c r="AH633" s="966">
        <v>1.1399999999999999</v>
      </c>
      <c r="AI633" s="966">
        <v>1.0149999999999999</v>
      </c>
      <c r="AJ633" s="966">
        <v>0.95</v>
      </c>
      <c r="AK633" s="966">
        <f t="shared" ref="AK633:AT633" si="929">AJ351</f>
        <v>0</v>
      </c>
      <c r="AL633" s="966">
        <f t="shared" si="929"/>
        <v>0</v>
      </c>
      <c r="AM633" s="966">
        <f t="shared" si="929"/>
        <v>0</v>
      </c>
      <c r="AN633" s="966">
        <f t="shared" si="929"/>
        <v>0</v>
      </c>
      <c r="AO633" s="966">
        <f t="shared" si="929"/>
        <v>0</v>
      </c>
      <c r="AP633" s="966">
        <f t="shared" si="929"/>
        <v>0</v>
      </c>
      <c r="AQ633" s="966">
        <f t="shared" si="929"/>
        <v>0</v>
      </c>
      <c r="AR633" s="966">
        <f t="shared" si="929"/>
        <v>0</v>
      </c>
      <c r="AS633" s="966">
        <f t="shared" si="929"/>
        <v>0</v>
      </c>
      <c r="AT633" s="2630">
        <f t="shared" si="929"/>
        <v>0</v>
      </c>
    </row>
    <row r="634" spans="4:46">
      <c r="D634" s="153" t="s">
        <v>753</v>
      </c>
      <c r="E634" s="169" t="s">
        <v>204</v>
      </c>
      <c r="F634" s="153"/>
      <c r="G634" s="153"/>
      <c r="H634" s="153"/>
      <c r="I634" s="153"/>
      <c r="J634" s="153"/>
      <c r="K634" s="153"/>
      <c r="L634" s="153"/>
      <c r="M634" s="153"/>
      <c r="N634" s="153"/>
      <c r="O634" s="153"/>
      <c r="P634" s="153"/>
      <c r="Q634" s="153"/>
      <c r="R634" s="153"/>
      <c r="S634" s="153"/>
      <c r="T634" s="153"/>
      <c r="U634" s="153"/>
      <c r="V634" s="157">
        <f t="shared" ref="V634:AM634" si="930">+(V758+V754)/V$303</f>
        <v>2.3681887635938523E-2</v>
      </c>
      <c r="W634" s="157">
        <f t="shared" si="930"/>
        <v>2.6235168824399729E-2</v>
      </c>
      <c r="X634" s="157">
        <f t="shared" si="930"/>
        <v>2.6961107699814274E-2</v>
      </c>
      <c r="Y634" s="157">
        <f t="shared" si="930"/>
        <v>2.7647586727114801E-2</v>
      </c>
      <c r="Z634" s="157">
        <f t="shared" si="930"/>
        <v>2.8284091676139315E-2</v>
      </c>
      <c r="AA634" s="192">
        <f t="shared" si="930"/>
        <v>2.9951753350478547E-2</v>
      </c>
      <c r="AB634" s="192">
        <f t="shared" si="930"/>
        <v>2.9746460146580077E-2</v>
      </c>
      <c r="AC634" s="192">
        <f t="shared" si="930"/>
        <v>3.0145858010112436E-2</v>
      </c>
      <c r="AD634" s="192">
        <f t="shared" si="930"/>
        <v>2.9892593679078466E-2</v>
      </c>
      <c r="AE634" s="192">
        <f t="shared" si="930"/>
        <v>2.5835759375040391E-2</v>
      </c>
      <c r="AF634" s="900">
        <f t="shared" si="930"/>
        <v>2.374478790397257E-2</v>
      </c>
      <c r="AG634" s="157">
        <f t="shared" si="930"/>
        <v>0.15766874838679162</v>
      </c>
      <c r="AH634" s="900">
        <f t="shared" si="930"/>
        <v>0.16994782463462441</v>
      </c>
      <c r="AI634" s="900">
        <f t="shared" si="930"/>
        <v>0.18537532189568126</v>
      </c>
      <c r="AJ634" s="157" t="e">
        <f t="shared" si="930"/>
        <v>#DIV/0!</v>
      </c>
      <c r="AK634" s="157">
        <f t="shared" si="930"/>
        <v>0</v>
      </c>
      <c r="AL634" s="157">
        <f t="shared" si="930"/>
        <v>0</v>
      </c>
      <c r="AM634" s="157">
        <f t="shared" si="930"/>
        <v>0</v>
      </c>
      <c r="AN634" s="157">
        <v>0.15258534838170604</v>
      </c>
      <c r="AO634" s="157">
        <v>0.15258534838170604</v>
      </c>
      <c r="AP634" s="157">
        <v>1.1525853483817099</v>
      </c>
      <c r="AQ634" s="157">
        <v>2.1525853483817099</v>
      </c>
      <c r="AR634" s="157">
        <v>3.1525853483817099</v>
      </c>
      <c r="AS634" s="157">
        <v>4.1525853483817103</v>
      </c>
      <c r="AT634" s="2605">
        <v>5.1525853483817103</v>
      </c>
    </row>
    <row r="635" spans="4:46">
      <c r="D635" s="153" t="s">
        <v>235</v>
      </c>
      <c r="E635" s="182" t="s">
        <v>262</v>
      </c>
      <c r="F635" s="153"/>
      <c r="G635" s="153"/>
      <c r="H635" s="153"/>
      <c r="I635" s="153"/>
      <c r="J635" s="153"/>
      <c r="K635" s="153"/>
      <c r="L635" s="153"/>
      <c r="M635" s="153"/>
      <c r="N635" s="153"/>
      <c r="O635" s="153"/>
      <c r="P635" s="153"/>
      <c r="Q635" s="153"/>
      <c r="R635" s="153"/>
      <c r="S635" s="153"/>
      <c r="T635" s="153"/>
      <c r="U635" s="153"/>
      <c r="V635" s="193">
        <f t="shared" ref="V635:AA635" si="931">+V754/(V754+V758)</f>
        <v>0.58111757837415745</v>
      </c>
      <c r="W635" s="193">
        <f t="shared" si="931"/>
        <v>0.59991769380967241</v>
      </c>
      <c r="X635" s="193">
        <f t="shared" si="931"/>
        <v>0.58039920613104778</v>
      </c>
      <c r="Y635" s="193">
        <f t="shared" si="931"/>
        <v>0.61846598668639663</v>
      </c>
      <c r="Z635" s="193">
        <f t="shared" si="931"/>
        <v>0.61123704856811145</v>
      </c>
      <c r="AA635" s="193">
        <f t="shared" si="931"/>
        <v>0.56531527673074311</v>
      </c>
      <c r="AB635" s="195">
        <f t="shared" ref="AB635:AT635" si="932">+AA353</f>
        <v>0.56531527673074311</v>
      </c>
      <c r="AC635" s="196">
        <f t="shared" si="932"/>
        <v>0.56531527673074311</v>
      </c>
      <c r="AD635" s="196">
        <f t="shared" si="932"/>
        <v>0.56531527673074311</v>
      </c>
      <c r="AE635" s="196">
        <f t="shared" si="932"/>
        <v>0.56531527673074311</v>
      </c>
      <c r="AF635" s="196">
        <f t="shared" si="932"/>
        <v>0.56531527673074311</v>
      </c>
      <c r="AG635" s="196">
        <f t="shared" si="932"/>
        <v>0.56531527673074311</v>
      </c>
      <c r="AH635" s="196">
        <f t="shared" si="932"/>
        <v>0.56531527673074311</v>
      </c>
      <c r="AI635" s="196">
        <f t="shared" si="932"/>
        <v>0.56531527673074311</v>
      </c>
      <c r="AJ635" s="196">
        <f t="shared" si="932"/>
        <v>0.56531527673074311</v>
      </c>
      <c r="AK635" s="196">
        <f t="shared" si="932"/>
        <v>0</v>
      </c>
      <c r="AL635" s="196">
        <f t="shared" si="932"/>
        <v>0</v>
      </c>
      <c r="AM635" s="196">
        <f t="shared" si="932"/>
        <v>0</v>
      </c>
      <c r="AN635" s="196">
        <f t="shared" si="932"/>
        <v>0</v>
      </c>
      <c r="AO635" s="196">
        <f t="shared" si="932"/>
        <v>0</v>
      </c>
      <c r="AP635" s="196">
        <f t="shared" si="932"/>
        <v>0</v>
      </c>
      <c r="AQ635" s="196">
        <f t="shared" si="932"/>
        <v>0</v>
      </c>
      <c r="AR635" s="196">
        <f t="shared" si="932"/>
        <v>0</v>
      </c>
      <c r="AS635" s="196">
        <f t="shared" si="932"/>
        <v>0</v>
      </c>
      <c r="AT635" s="2631">
        <f t="shared" si="932"/>
        <v>0</v>
      </c>
    </row>
    <row r="636" spans="4:46">
      <c r="D636" s="153" t="s">
        <v>230</v>
      </c>
      <c r="E636" s="169"/>
      <c r="F636" s="153"/>
      <c r="G636" s="153"/>
      <c r="H636" s="153"/>
      <c r="I636" s="153"/>
      <c r="J636" s="153"/>
      <c r="K636" s="153"/>
      <c r="L636" s="153"/>
      <c r="M636" s="153"/>
      <c r="N636" s="153"/>
      <c r="O636" s="153"/>
      <c r="P636" s="153"/>
      <c r="Q636" s="153"/>
      <c r="R636" s="153"/>
      <c r="S636" s="153"/>
      <c r="T636" s="153"/>
      <c r="U636" s="153"/>
      <c r="V636" s="193"/>
      <c r="W636" s="154">
        <f t="shared" ref="W636:AM636" si="933">+(V244-V247+W244-W247)*W259/1000/2</f>
        <v>2737.7318779427801</v>
      </c>
      <c r="X636" s="154">
        <f t="shared" si="933"/>
        <v>2928.5609020260322</v>
      </c>
      <c r="Y636" s="154">
        <f t="shared" si="933"/>
        <v>3180.083354412162</v>
      </c>
      <c r="Z636" s="154">
        <f t="shared" si="933"/>
        <v>3380.0279317365998</v>
      </c>
      <c r="AA636" s="154">
        <f t="shared" si="933"/>
        <v>2622.0963909584307</v>
      </c>
      <c r="AB636" s="154">
        <f t="shared" si="933"/>
        <v>1522.0526253860223</v>
      </c>
      <c r="AC636" s="154">
        <f t="shared" si="933"/>
        <v>1535.4524631252966</v>
      </c>
      <c r="AD636" s="154">
        <f t="shared" si="933"/>
        <v>1779.8472384321335</v>
      </c>
      <c r="AE636" s="154">
        <f t="shared" si="933"/>
        <v>1995.8459616879588</v>
      </c>
      <c r="AF636" s="154">
        <f t="shared" si="933"/>
        <v>2274.9301403953646</v>
      </c>
      <c r="AG636" s="154">
        <f t="shared" si="933"/>
        <v>2695.1704422235816</v>
      </c>
      <c r="AH636" s="154">
        <f t="shared" si="933"/>
        <v>3257.8053209673722</v>
      </c>
      <c r="AI636" s="154">
        <f t="shared" si="933"/>
        <v>4109.8283830216642</v>
      </c>
      <c r="AJ636" s="154">
        <f t="shared" si="933"/>
        <v>4878.2771050154097</v>
      </c>
      <c r="AK636" s="154">
        <f t="shared" si="933"/>
        <v>5545.8590808536555</v>
      </c>
      <c r="AL636" s="154">
        <f t="shared" si="933"/>
        <v>6013.5689848160891</v>
      </c>
      <c r="AM636" s="154">
        <f t="shared" si="933"/>
        <v>6541.4990169586772</v>
      </c>
      <c r="AN636" s="154">
        <f t="shared" ref="AN636:AT636" si="934">+(AM244-AM247+AN244-AN247)*AW260/1000/2</f>
        <v>0</v>
      </c>
      <c r="AO636" s="154">
        <f t="shared" si="934"/>
        <v>0</v>
      </c>
      <c r="AP636" s="154">
        <f t="shared" si="934"/>
        <v>0</v>
      </c>
      <c r="AQ636" s="154">
        <f t="shared" si="934"/>
        <v>0</v>
      </c>
      <c r="AR636" s="154">
        <f t="shared" si="934"/>
        <v>0</v>
      </c>
      <c r="AS636" s="154">
        <f t="shared" si="934"/>
        <v>0</v>
      </c>
      <c r="AT636" s="2604">
        <f t="shared" si="934"/>
        <v>0</v>
      </c>
    </row>
    <row r="637" spans="4:46">
      <c r="D637" s="156" t="s">
        <v>772</v>
      </c>
      <c r="E637" s="182" t="s">
        <v>317</v>
      </c>
      <c r="F637" s="156"/>
      <c r="G637" s="156"/>
      <c r="H637" s="156"/>
      <c r="I637" s="156"/>
      <c r="J637" s="156"/>
      <c r="K637" s="156"/>
      <c r="L637" s="156"/>
      <c r="M637" s="156"/>
      <c r="N637" s="156"/>
      <c r="O637" s="156"/>
      <c r="P637" s="156"/>
      <c r="Q637" s="156"/>
      <c r="R637" s="156"/>
      <c r="S637" s="156"/>
      <c r="T637" s="156"/>
      <c r="U637" s="156"/>
      <c r="V637" s="193"/>
      <c r="W637" s="154"/>
      <c r="X637" s="154"/>
      <c r="Y637" s="154"/>
      <c r="Z637" s="154"/>
      <c r="AA637" s="207">
        <v>9.1</v>
      </c>
      <c r="AB637" s="570">
        <v>10.7</v>
      </c>
      <c r="AC637" s="207">
        <v>11.3</v>
      </c>
      <c r="AD637" s="570">
        <f>10.7</f>
        <v>10.7</v>
      </c>
      <c r="AE637" s="207">
        <f t="shared" ref="AE637:AT637" si="935">+AD355</f>
        <v>10.7</v>
      </c>
      <c r="AF637" s="209">
        <f t="shared" si="935"/>
        <v>10.7</v>
      </c>
      <c r="AG637" s="209">
        <f t="shared" si="935"/>
        <v>10.7</v>
      </c>
      <c r="AH637" s="209">
        <f t="shared" si="935"/>
        <v>10.7</v>
      </c>
      <c r="AI637" s="209">
        <f t="shared" si="935"/>
        <v>10.7</v>
      </c>
      <c r="AJ637" s="209">
        <f t="shared" si="935"/>
        <v>10.7</v>
      </c>
      <c r="AK637" s="209">
        <f t="shared" si="935"/>
        <v>0</v>
      </c>
      <c r="AL637" s="209">
        <f t="shared" si="935"/>
        <v>0</v>
      </c>
      <c r="AM637" s="209">
        <f t="shared" si="935"/>
        <v>0</v>
      </c>
      <c r="AN637" s="209">
        <f t="shared" si="935"/>
        <v>0</v>
      </c>
      <c r="AO637" s="209">
        <f t="shared" si="935"/>
        <v>0</v>
      </c>
      <c r="AP637" s="209">
        <f t="shared" si="935"/>
        <v>0</v>
      </c>
      <c r="AQ637" s="209">
        <f t="shared" si="935"/>
        <v>0</v>
      </c>
      <c r="AR637" s="209">
        <f t="shared" si="935"/>
        <v>0</v>
      </c>
      <c r="AS637" s="209">
        <f t="shared" si="935"/>
        <v>0</v>
      </c>
      <c r="AT637" s="2632">
        <f t="shared" si="935"/>
        <v>0</v>
      </c>
    </row>
    <row r="638" spans="4:46">
      <c r="D638" s="156" t="s">
        <v>267</v>
      </c>
      <c r="E638" s="245" t="s">
        <v>316</v>
      </c>
      <c r="F638" s="156"/>
      <c r="G638" s="156"/>
      <c r="H638" s="156"/>
      <c r="I638" s="156"/>
      <c r="J638" s="156"/>
      <c r="K638" s="156"/>
      <c r="L638" s="156"/>
      <c r="M638" s="156"/>
      <c r="N638" s="156"/>
      <c r="O638" s="156"/>
      <c r="P638" s="156"/>
      <c r="Q638" s="156"/>
      <c r="R638" s="156"/>
      <c r="S638" s="156"/>
      <c r="T638" s="156"/>
      <c r="U638" s="156"/>
      <c r="V638" s="193"/>
      <c r="W638" s="154"/>
      <c r="X638" s="154"/>
      <c r="Y638" s="154"/>
      <c r="Z638" s="154"/>
      <c r="AA638" s="154">
        <v>5</v>
      </c>
      <c r="AB638" s="197">
        <v>5.7</v>
      </c>
      <c r="AC638" s="154">
        <v>6.5</v>
      </c>
      <c r="AD638" s="154"/>
      <c r="AE638" s="154"/>
      <c r="AF638" s="154"/>
      <c r="AG638" s="154"/>
      <c r="AH638" s="154"/>
      <c r="AI638" s="154"/>
      <c r="AJ638" s="154"/>
      <c r="AK638" s="154"/>
      <c r="AL638" s="154"/>
      <c r="AM638" s="154"/>
      <c r="AN638" s="154"/>
      <c r="AO638" s="154"/>
      <c r="AP638" s="154"/>
      <c r="AQ638" s="154"/>
      <c r="AR638" s="154"/>
      <c r="AS638" s="154"/>
      <c r="AT638" s="2604"/>
    </row>
    <row r="639" spans="4:46">
      <c r="D639" s="168" t="s">
        <v>205</v>
      </c>
      <c r="E639" s="169" t="s">
        <v>204</v>
      </c>
      <c r="F639" s="153"/>
      <c r="G639" s="153"/>
      <c r="H639" s="153"/>
      <c r="I639" s="153"/>
      <c r="J639" s="153"/>
      <c r="K639" s="153"/>
      <c r="L639" s="153"/>
      <c r="M639" s="153"/>
      <c r="N639" s="153"/>
      <c r="O639" s="153"/>
      <c r="P639" s="153"/>
      <c r="Q639" s="153"/>
      <c r="R639" s="153"/>
      <c r="S639" s="153"/>
      <c r="T639" s="153"/>
      <c r="U639" s="153"/>
      <c r="V639" s="157">
        <f t="shared" ref="V639:AG639" si="936">+(V763-V764)/V303</f>
        <v>5.417767697622488E-3</v>
      </c>
      <c r="W639" s="157">
        <f t="shared" si="936"/>
        <v>7.9350560256117083E-3</v>
      </c>
      <c r="X639" s="157">
        <f t="shared" si="936"/>
        <v>4.6636401155592247E-3</v>
      </c>
      <c r="Y639" s="157">
        <f t="shared" si="936"/>
        <v>3.6913126712613282E-3</v>
      </c>
      <c r="Z639" s="157">
        <f t="shared" si="936"/>
        <v>7.3124241899150911E-3</v>
      </c>
      <c r="AA639" s="157">
        <f t="shared" si="936"/>
        <v>6.9408289166368051E-3</v>
      </c>
      <c r="AB639" s="157">
        <f t="shared" si="936"/>
        <v>7.3148265736522359E-3</v>
      </c>
      <c r="AC639" s="157">
        <f t="shared" si="936"/>
        <v>7.3374306517781668E-3</v>
      </c>
      <c r="AD639" s="157">
        <f t="shared" si="936"/>
        <v>1.1428102642884791E-2</v>
      </c>
      <c r="AE639" s="157">
        <f t="shared" si="936"/>
        <v>7.5092610865648756E-3</v>
      </c>
      <c r="AF639" s="157">
        <f t="shared" si="936"/>
        <v>7.3741360757538137E-3</v>
      </c>
      <c r="AG639" s="157">
        <f t="shared" si="936"/>
        <v>1.5172274229631945E-2</v>
      </c>
      <c r="AH639" s="157">
        <f t="shared" ref="AH639:AT639" si="937">+AG357*AH358</f>
        <v>5.241420651812928E-2</v>
      </c>
      <c r="AI639" s="157">
        <f t="shared" si="937"/>
        <v>7.3379889125380987E-2</v>
      </c>
      <c r="AJ639" s="157">
        <f t="shared" si="937"/>
        <v>0</v>
      </c>
      <c r="AK639" s="157">
        <f t="shared" si="937"/>
        <v>0</v>
      </c>
      <c r="AL639" s="157">
        <f t="shared" si="937"/>
        <v>0</v>
      </c>
      <c r="AM639" s="157">
        <f t="shared" si="937"/>
        <v>0</v>
      </c>
      <c r="AN639" s="157">
        <f t="shared" si="937"/>
        <v>0</v>
      </c>
      <c r="AO639" s="157">
        <f t="shared" si="937"/>
        <v>0</v>
      </c>
      <c r="AP639" s="157">
        <f t="shared" si="937"/>
        <v>0</v>
      </c>
      <c r="AQ639" s="157">
        <f t="shared" si="937"/>
        <v>0</v>
      </c>
      <c r="AR639" s="157">
        <f t="shared" si="937"/>
        <v>0</v>
      </c>
      <c r="AS639" s="157">
        <f t="shared" si="937"/>
        <v>0</v>
      </c>
      <c r="AT639" s="2605">
        <f t="shared" si="937"/>
        <v>0</v>
      </c>
    </row>
    <row r="640" spans="4:46">
      <c r="D640" s="156" t="s">
        <v>254</v>
      </c>
      <c r="E640" s="169"/>
      <c r="F640" s="153"/>
      <c r="G640" s="153"/>
      <c r="H640" s="153"/>
      <c r="I640" s="153"/>
      <c r="J640" s="153"/>
      <c r="K640" s="153"/>
      <c r="L640" s="153"/>
      <c r="M640" s="153"/>
      <c r="N640" s="153"/>
      <c r="O640" s="153"/>
      <c r="P640" s="153"/>
      <c r="Q640" s="153"/>
      <c r="R640" s="153"/>
      <c r="S640" s="153"/>
      <c r="T640" s="153"/>
      <c r="U640" s="153"/>
      <c r="V640" s="157"/>
      <c r="W640" s="157"/>
      <c r="X640" s="157"/>
      <c r="Y640" s="157"/>
      <c r="Z640" s="227">
        <f t="shared" ref="Z640:AG640" si="938">+Z357/Y357</f>
        <v>1.9809820627891765</v>
      </c>
      <c r="AA640" s="227">
        <f t="shared" si="938"/>
        <v>0.949183025542915</v>
      </c>
      <c r="AB640" s="170">
        <f t="shared" si="938"/>
        <v>1.0538837164130321</v>
      </c>
      <c r="AC640" s="170">
        <f t="shared" si="938"/>
        <v>1.0030901728015467</v>
      </c>
      <c r="AD640" s="170">
        <f t="shared" si="938"/>
        <v>1.5575074144128753</v>
      </c>
      <c r="AE640" s="170">
        <f t="shared" si="938"/>
        <v>0.7400000000000001</v>
      </c>
      <c r="AF640" s="170">
        <f t="shared" si="938"/>
        <v>1.74</v>
      </c>
      <c r="AG640" s="170">
        <f t="shared" si="938"/>
        <v>2.74</v>
      </c>
      <c r="AH640" s="1007">
        <v>1.3</v>
      </c>
      <c r="AI640" s="1007">
        <v>1.4</v>
      </c>
      <c r="AJ640" s="1007">
        <v>1.3</v>
      </c>
      <c r="AK640" s="1007">
        <v>1</v>
      </c>
      <c r="AL640" s="1007">
        <v>1</v>
      </c>
      <c r="AM640" s="1007">
        <v>1</v>
      </c>
      <c r="AN640" s="1007">
        <v>1</v>
      </c>
      <c r="AO640" s="1007">
        <v>1</v>
      </c>
      <c r="AP640" s="1007">
        <v>1</v>
      </c>
      <c r="AQ640" s="1007">
        <v>1</v>
      </c>
      <c r="AR640" s="1007">
        <v>1</v>
      </c>
      <c r="AS640" s="1007">
        <v>1</v>
      </c>
      <c r="AT640" s="1007">
        <v>1</v>
      </c>
    </row>
    <row r="641" spans="1:67">
      <c r="D641" s="156" t="s">
        <v>697</v>
      </c>
      <c r="E641" s="169" t="s">
        <v>698</v>
      </c>
      <c r="F641" s="153"/>
      <c r="G641" s="153"/>
      <c r="H641" s="153"/>
      <c r="I641" s="153"/>
      <c r="J641" s="153"/>
      <c r="K641" s="153"/>
      <c r="L641" s="153"/>
      <c r="M641" s="153"/>
      <c r="N641" s="153"/>
      <c r="O641" s="153"/>
      <c r="P641" s="153"/>
      <c r="Q641" s="153"/>
      <c r="R641" s="153"/>
      <c r="S641" s="153"/>
      <c r="T641" s="153"/>
      <c r="U641" s="153"/>
      <c r="V641" s="157"/>
      <c r="W641" s="157"/>
      <c r="X641" s="157"/>
      <c r="Y641" s="157"/>
      <c r="Z641" s="227"/>
      <c r="AA641" s="227">
        <v>29.4</v>
      </c>
      <c r="AB641" s="227">
        <v>34.200000000000003</v>
      </c>
      <c r="AC641" s="1052">
        <v>45.9</v>
      </c>
      <c r="AD641" s="1052">
        <v>50.6</v>
      </c>
      <c r="AE641" s="198">
        <f t="shared" ref="AE641:AM641" si="939">+AD359*(1+AE304)</f>
        <v>55.53096539162113</v>
      </c>
      <c r="AF641" s="198">
        <f t="shared" si="939"/>
        <v>60.479212204007283</v>
      </c>
      <c r="AG641" s="198">
        <f t="shared" si="939"/>
        <v>71.193693078324216</v>
      </c>
      <c r="AH641" s="198">
        <f t="shared" si="939"/>
        <v>91.015482695810562</v>
      </c>
      <c r="AI641" s="198">
        <f t="shared" si="939"/>
        <v>106.84238387978141</v>
      </c>
      <c r="AJ641" s="198">
        <f t="shared" si="939"/>
        <v>106.84238387978141</v>
      </c>
      <c r="AK641" s="2815" t="e">
        <f t="shared" si="939"/>
        <v>#DIV/0!</v>
      </c>
      <c r="AL641" s="198" t="e">
        <f t="shared" si="939"/>
        <v>#DIV/0!</v>
      </c>
      <c r="AM641" s="198" t="e">
        <f t="shared" si="939"/>
        <v>#DIV/0!</v>
      </c>
      <c r="AN641" s="198">
        <v>160.26480193139156</v>
      </c>
      <c r="AO641" s="198">
        <v>160.26480193139156</v>
      </c>
      <c r="AP641" s="198">
        <v>160.26480193139156</v>
      </c>
      <c r="AQ641" s="198">
        <v>160.26480193139156</v>
      </c>
      <c r="AR641" s="198">
        <v>160.26480193139156</v>
      </c>
      <c r="AS641" s="198">
        <v>160.26480193139156</v>
      </c>
      <c r="AT641" s="2634">
        <v>160.26480193139156</v>
      </c>
    </row>
    <row r="642" spans="1:67" ht="12.75" customHeight="1">
      <c r="D642" s="169" t="s">
        <v>206</v>
      </c>
      <c r="E642" s="153"/>
      <c r="F642" s="153"/>
      <c r="G642" s="153"/>
      <c r="H642" s="153"/>
      <c r="I642" s="153"/>
      <c r="J642" s="153"/>
      <c r="K642" s="153"/>
      <c r="L642" s="153"/>
      <c r="M642" s="153"/>
      <c r="N642" s="153"/>
      <c r="O642" s="153"/>
      <c r="P642" s="153"/>
      <c r="Q642" s="153"/>
      <c r="R642" s="153"/>
      <c r="S642" s="153"/>
      <c r="T642" s="153"/>
      <c r="U642" s="153"/>
      <c r="V642" s="157" t="str">
        <f>+IF(ABS(V317+V326+V339+V352+V357+V764/V303-V994)&gt;0.002,"check","")</f>
        <v/>
      </c>
      <c r="W642" s="600">
        <f t="shared" ref="W642:AT642" si="940">+IF(ABS(W317+W326+W339+W352+W357+W764/W303-W994)&gt;0.002,"check",W994)</f>
        <v>0.13530756917447978</v>
      </c>
      <c r="X642" s="600">
        <f t="shared" si="940"/>
        <v>0.15196482946810094</v>
      </c>
      <c r="Y642" s="600">
        <f t="shared" si="940"/>
        <v>0.16277783799843121</v>
      </c>
      <c r="Z642" s="600">
        <f t="shared" si="940"/>
        <v>0.17375789325212265</v>
      </c>
      <c r="AA642" s="600">
        <f t="shared" si="940"/>
        <v>0.1621967578056806</v>
      </c>
      <c r="AB642" s="600">
        <f t="shared" si="940"/>
        <v>0.17763988469606706</v>
      </c>
      <c r="AC642" s="600">
        <f t="shared" si="940"/>
        <v>0.18309994436511351</v>
      </c>
      <c r="AD642" s="600">
        <f t="shared" si="940"/>
        <v>0.17294800046611739</v>
      </c>
      <c r="AE642" s="600">
        <f t="shared" si="940"/>
        <v>0.17115650353912035</v>
      </c>
      <c r="AF642" s="600" t="str">
        <f t="shared" si="940"/>
        <v>check</v>
      </c>
      <c r="AG642" s="600" t="str">
        <f t="shared" si="940"/>
        <v>check</v>
      </c>
      <c r="AH642" s="600" t="str">
        <f t="shared" si="940"/>
        <v>check</v>
      </c>
      <c r="AI642" s="600" t="str">
        <f t="shared" si="940"/>
        <v>check</v>
      </c>
      <c r="AJ642" s="600" t="e">
        <f t="shared" si="940"/>
        <v>#DIV/0!</v>
      </c>
      <c r="AK642" s="600">
        <f t="shared" si="940"/>
        <v>0</v>
      </c>
      <c r="AL642" s="600">
        <f t="shared" si="940"/>
        <v>0</v>
      </c>
      <c r="AM642" s="600">
        <f t="shared" si="940"/>
        <v>0</v>
      </c>
      <c r="AN642" s="600" t="str">
        <f t="shared" si="940"/>
        <v>check</v>
      </c>
      <c r="AO642" s="600" t="str">
        <f t="shared" si="940"/>
        <v>check</v>
      </c>
      <c r="AP642" s="600" t="e">
        <f t="shared" si="940"/>
        <v>#DIV/0!</v>
      </c>
      <c r="AQ642" s="600" t="e">
        <f t="shared" si="940"/>
        <v>#DIV/0!</v>
      </c>
      <c r="AR642" s="600" t="e">
        <f t="shared" si="940"/>
        <v>#DIV/0!</v>
      </c>
      <c r="AS642" s="600" t="e">
        <f t="shared" si="940"/>
        <v>#DIV/0!</v>
      </c>
      <c r="AT642" s="2663" t="e">
        <f t="shared" si="940"/>
        <v>#DIV/0!</v>
      </c>
    </row>
    <row r="643" spans="1:67" ht="12.75" customHeight="1">
      <c r="D643" s="156" t="s">
        <v>3220</v>
      </c>
      <c r="E643" s="153"/>
      <c r="F643" s="1"/>
      <c r="G643" s="153"/>
      <c r="H643" s="153"/>
      <c r="I643" s="153"/>
      <c r="J643" s="153"/>
      <c r="K643" s="153"/>
      <c r="L643" s="153"/>
      <c r="M643" s="153"/>
      <c r="N643" s="153"/>
      <c r="O643" s="153"/>
      <c r="P643" s="153"/>
      <c r="Q643" s="153"/>
      <c r="R643" s="153"/>
      <c r="S643" s="153"/>
      <c r="T643" s="153"/>
      <c r="U643" s="153"/>
      <c r="V643" s="157"/>
      <c r="W643" s="600"/>
      <c r="X643" s="600"/>
      <c r="Y643" s="600"/>
      <c r="Z643" s="600"/>
      <c r="AA643" s="600"/>
      <c r="AB643" s="600"/>
      <c r="AC643" s="600"/>
      <c r="AD643" s="600"/>
      <c r="AE643" s="1221">
        <v>10.988728999999999</v>
      </c>
      <c r="AF643" s="1221">
        <f>16.82814255+11.5253454927</f>
        <v>28.3534880427</v>
      </c>
      <c r="AG643" s="1221">
        <v>32.106922067911349</v>
      </c>
      <c r="AH643" s="912"/>
      <c r="AI643" s="912"/>
      <c r="AJ643" s="912"/>
      <c r="AK643" s="912"/>
      <c r="AL643" s="912"/>
      <c r="AM643" s="912"/>
      <c r="AN643" s="912"/>
      <c r="AO643" s="912"/>
      <c r="AP643" s="912"/>
      <c r="AQ643" s="912"/>
      <c r="AR643" s="912"/>
      <c r="AS643" s="912"/>
      <c r="AT643" s="2606"/>
    </row>
    <row r="644" spans="1:67" ht="12.75" customHeight="1">
      <c r="D644" s="169"/>
      <c r="E644" s="153"/>
      <c r="F644" s="1"/>
      <c r="G644" s="153"/>
      <c r="H644" s="153"/>
      <c r="I644" s="153"/>
      <c r="J644" s="153"/>
      <c r="K644" s="153"/>
      <c r="L644" s="153"/>
      <c r="M644" s="153"/>
      <c r="N644" s="153"/>
      <c r="O644" s="153"/>
      <c r="P644" s="153"/>
      <c r="Q644" s="153"/>
      <c r="R644" s="153"/>
      <c r="S644" s="153"/>
      <c r="T644" s="153"/>
      <c r="U644" s="153"/>
      <c r="V644" s="157"/>
      <c r="W644" s="600"/>
      <c r="X644" s="600"/>
      <c r="Y644" s="600"/>
      <c r="Z644" s="600"/>
      <c r="AA644" s="600"/>
      <c r="AB644" s="600"/>
      <c r="AC644" s="600"/>
      <c r="AD644" s="600"/>
      <c r="AE644" s="1221"/>
      <c r="AF644" s="912"/>
      <c r="AG644" s="912"/>
      <c r="AH644" s="912"/>
      <c r="AI644" s="912"/>
      <c r="AJ644" s="912"/>
      <c r="AK644" s="912"/>
      <c r="AL644" s="912"/>
      <c r="AM644" s="912"/>
      <c r="AN644" s="912"/>
      <c r="AO644" s="912"/>
      <c r="AP644" s="912"/>
      <c r="AQ644" s="912"/>
      <c r="AR644" s="912"/>
      <c r="AS644" s="912"/>
      <c r="AT644" s="2606"/>
    </row>
    <row r="645" spans="1:67">
      <c r="D645" s="199" t="s">
        <v>3105</v>
      </c>
      <c r="E645" s="153"/>
      <c r="F645" s="153"/>
      <c r="G645" s="153"/>
      <c r="H645" s="153"/>
      <c r="I645" s="153"/>
      <c r="J645" s="153"/>
      <c r="K645" s="153"/>
      <c r="L645" s="153"/>
      <c r="M645" s="153"/>
      <c r="N645" s="153"/>
      <c r="O645" s="153"/>
      <c r="P645" s="153"/>
      <c r="Q645" s="153"/>
      <c r="R645" s="153"/>
      <c r="S645" s="153"/>
      <c r="T645" s="153"/>
      <c r="U645" s="153"/>
      <c r="V645" s="200"/>
      <c r="W645" s="200"/>
      <c r="X645" s="200"/>
      <c r="Y645" s="200"/>
      <c r="Z645" s="200"/>
      <c r="AA645" s="200"/>
      <c r="AB645" s="200"/>
      <c r="AC645" s="200"/>
      <c r="AD645" s="200"/>
      <c r="AE645" s="200"/>
      <c r="AF645" s="200"/>
      <c r="AG645" s="200"/>
      <c r="AH645" s="200"/>
      <c r="AI645" s="200"/>
      <c r="AJ645" s="200"/>
      <c r="AK645" s="200"/>
      <c r="AL645" s="200"/>
      <c r="AM645" s="200"/>
      <c r="AN645" s="200"/>
      <c r="AO645" s="200"/>
      <c r="AP645" s="200"/>
      <c r="AQ645" s="200"/>
      <c r="AR645" s="200"/>
      <c r="AS645" s="200"/>
      <c r="AT645" s="2635"/>
    </row>
    <row r="646" spans="1:67">
      <c r="D646" s="156" t="s">
        <v>310</v>
      </c>
      <c r="E646" s="176" t="s">
        <v>311</v>
      </c>
      <c r="F646" s="153"/>
      <c r="G646" s="153"/>
      <c r="H646" s="153"/>
      <c r="I646" s="153"/>
      <c r="J646" s="153"/>
      <c r="K646" s="153"/>
      <c r="L646" s="153"/>
      <c r="M646" s="153"/>
      <c r="N646" s="153"/>
      <c r="O646" s="153"/>
      <c r="P646" s="153"/>
      <c r="Q646" s="153"/>
      <c r="R646" s="153"/>
      <c r="S646" s="153"/>
      <c r="T646" s="153"/>
      <c r="U646" s="153"/>
      <c r="V646" s="154">
        <f t="shared" ref="V646:AA646" si="941">+V789+V816</f>
        <v>180.32915428176796</v>
      </c>
      <c r="W646" s="154">
        <f t="shared" si="941"/>
        <v>214</v>
      </c>
      <c r="X646" s="154">
        <f t="shared" si="941"/>
        <v>258.5</v>
      </c>
      <c r="Y646" s="154">
        <f t="shared" si="941"/>
        <v>295.60000000000002</v>
      </c>
      <c r="Z646" s="154">
        <f t="shared" si="941"/>
        <v>309.89999999999998</v>
      </c>
      <c r="AA646" s="154">
        <f t="shared" si="941"/>
        <v>354.53523719200001</v>
      </c>
      <c r="AB646" s="242"/>
      <c r="AC646" s="242"/>
      <c r="AD646" s="242"/>
      <c r="AE646" s="242"/>
      <c r="AF646" s="154"/>
      <c r="AG646" s="154"/>
      <c r="AH646" s="154"/>
      <c r="AI646" s="154"/>
      <c r="AJ646" s="154"/>
      <c r="AK646" s="154"/>
      <c r="AL646" s="154"/>
      <c r="AM646" s="154"/>
      <c r="AN646" s="154"/>
      <c r="AO646" s="154"/>
      <c r="AP646" s="154"/>
      <c r="AQ646" s="154"/>
      <c r="AR646" s="154"/>
      <c r="AS646" s="154"/>
      <c r="AT646" s="2604"/>
    </row>
    <row r="647" spans="1:67">
      <c r="D647" s="168" t="s">
        <v>3087</v>
      </c>
      <c r="E647" s="169" t="s">
        <v>204</v>
      </c>
      <c r="F647" s="153"/>
      <c r="G647" s="153"/>
      <c r="H647" s="153"/>
      <c r="I647" s="153"/>
      <c r="J647" s="153"/>
      <c r="K647" s="153"/>
      <c r="L647" s="153"/>
      <c r="M647" s="153"/>
      <c r="N647" s="153"/>
      <c r="O647" s="153"/>
      <c r="P647" s="153"/>
      <c r="Q647" s="153"/>
      <c r="R647" s="153"/>
      <c r="S647" s="153"/>
      <c r="T647" s="153"/>
      <c r="U647" s="153"/>
      <c r="V647" s="157">
        <f t="shared" ref="V647:AT647" si="942">V1157/V421</f>
        <v>4.7731380169869761E-2</v>
      </c>
      <c r="W647" s="157">
        <f t="shared" si="942"/>
        <v>4.8936656757374797E-2</v>
      </c>
      <c r="X647" s="157">
        <f t="shared" si="942"/>
        <v>5.3342963268675193E-2</v>
      </c>
      <c r="Y647" s="157">
        <f t="shared" si="942"/>
        <v>3.3479822232817223E-2</v>
      </c>
      <c r="Z647" s="157">
        <f t="shared" si="942"/>
        <v>3.2491445828452606E-2</v>
      </c>
      <c r="AA647" s="157">
        <f t="shared" si="942"/>
        <v>3.3332432853484396E-2</v>
      </c>
      <c r="AB647" s="157">
        <f t="shared" si="942"/>
        <v>3.2748375312284091E-2</v>
      </c>
      <c r="AC647" s="157">
        <f t="shared" si="942"/>
        <v>3.1535921664620402E-2</v>
      </c>
      <c r="AD647" s="157">
        <f t="shared" si="942"/>
        <v>2.7537445585154828E-2</v>
      </c>
      <c r="AE647" s="157">
        <f t="shared" si="942"/>
        <v>2.7627288890767637E-2</v>
      </c>
      <c r="AF647" s="157">
        <f t="shared" si="942"/>
        <v>2.8789728477569294E-2</v>
      </c>
      <c r="AG647" s="157">
        <f t="shared" si="942"/>
        <v>2.5708668091269517E-2</v>
      </c>
      <c r="AH647" s="157">
        <f t="shared" si="942"/>
        <v>2.3273027366202535E-2</v>
      </c>
      <c r="AI647" s="157">
        <f t="shared" si="942"/>
        <v>2.5200567705027634E-2</v>
      </c>
      <c r="AJ647" s="157">
        <f t="shared" si="942"/>
        <v>2.6282004945387363E-2</v>
      </c>
      <c r="AK647" s="157">
        <f t="shared" si="942"/>
        <v>2.6623320112252331E-2</v>
      </c>
      <c r="AL647" s="157">
        <f t="shared" si="942"/>
        <v>2.6266110213571097E-2</v>
      </c>
      <c r="AM647" s="157">
        <f t="shared" si="942"/>
        <v>2.6411056027778858E-2</v>
      </c>
      <c r="AN647" s="157">
        <f t="shared" si="942"/>
        <v>2.6451392813750488E-2</v>
      </c>
      <c r="AO647" s="157">
        <f t="shared" si="942"/>
        <v>2.6509673463925538E-2</v>
      </c>
      <c r="AP647" s="157">
        <f t="shared" si="942"/>
        <v>2.6710678104014368E-2</v>
      </c>
      <c r="AQ647" s="157">
        <f t="shared" si="942"/>
        <v>2.6754272048124382E-2</v>
      </c>
      <c r="AR647" s="157">
        <f t="shared" si="942"/>
        <v>2.6978085129506536E-2</v>
      </c>
      <c r="AS647" s="157">
        <f t="shared" si="942"/>
        <v>2.7148377912586154E-2</v>
      </c>
      <c r="AT647" s="2605">
        <f t="shared" si="942"/>
        <v>2.3756308406722198E-2</v>
      </c>
    </row>
    <row r="648" spans="1:67">
      <c r="D648" s="153" t="s">
        <v>3088</v>
      </c>
      <c r="E648" s="153"/>
      <c r="F648" s="153"/>
      <c r="G648" s="153"/>
      <c r="H648" s="153"/>
      <c r="I648" s="153"/>
      <c r="J648" s="153"/>
      <c r="K648" s="153"/>
      <c r="L648" s="153"/>
      <c r="M648" s="153"/>
      <c r="N648" s="153"/>
      <c r="O648" s="153"/>
      <c r="P648" s="153"/>
      <c r="Q648" s="153"/>
      <c r="R648" s="153"/>
      <c r="S648" s="153"/>
      <c r="T648" s="153"/>
      <c r="U648" s="153"/>
      <c r="V648" s="157">
        <f t="shared" ref="V648:AM648" si="943">V1157/V1061</f>
        <v>0.99684441283453817</v>
      </c>
      <c r="W648" s="157">
        <f t="shared" si="943"/>
        <v>0.93654266958424515</v>
      </c>
      <c r="X648" s="157">
        <f t="shared" si="943"/>
        <v>0.91654331150748447</v>
      </c>
      <c r="Y648" s="157">
        <f t="shared" si="943"/>
        <v>0.24355859170935007</v>
      </c>
      <c r="Z648" s="157">
        <f t="shared" si="943"/>
        <v>0.22584871264140324</v>
      </c>
      <c r="AA648" s="157">
        <f t="shared" si="943"/>
        <v>0.2146820230338608</v>
      </c>
      <c r="AB648" s="157">
        <f t="shared" si="943"/>
        <v>0.2295601375300145</v>
      </c>
      <c r="AC648" s="157">
        <f t="shared" si="943"/>
        <v>0.21697887789987844</v>
      </c>
      <c r="AD648" s="157">
        <f t="shared" si="943"/>
        <v>0.172467082478029</v>
      </c>
      <c r="AE648" s="157">
        <f t="shared" si="943"/>
        <v>0.18048623752906309</v>
      </c>
      <c r="AF648" s="157">
        <f t="shared" si="943"/>
        <v>0.18638796133660085</v>
      </c>
      <c r="AG648" s="157">
        <f t="shared" si="943"/>
        <v>0.16929768749862908</v>
      </c>
      <c r="AH648" s="157">
        <f t="shared" si="943"/>
        <v>0.1607582260559382</v>
      </c>
      <c r="AI648" s="157">
        <f t="shared" si="943"/>
        <v>0.18023508659080786</v>
      </c>
      <c r="AJ648" s="157">
        <f t="shared" si="943"/>
        <v>0.18566354161537538</v>
      </c>
      <c r="AK648" s="157">
        <f t="shared" si="943"/>
        <v>0.17777267512574588</v>
      </c>
      <c r="AL648" s="157">
        <f t="shared" si="943"/>
        <v>0.16686017461098837</v>
      </c>
      <c r="AM648" s="157">
        <f t="shared" si="943"/>
        <v>0.16389852373048969</v>
      </c>
      <c r="AN648" s="157">
        <f t="shared" ref="AN648:AO648" si="944">AN1157/AN1061</f>
        <v>0.16203762717560169</v>
      </c>
      <c r="AO648" s="157">
        <f t="shared" si="944"/>
        <v>0.15982831540989273</v>
      </c>
      <c r="AP648" s="157">
        <f t="shared" ref="AP648:AT648" si="945">AP1157/AP1061</f>
        <v>0.15928537670587559</v>
      </c>
      <c r="AQ648" s="157">
        <f t="shared" si="945"/>
        <v>0.16017508853933163</v>
      </c>
      <c r="AR648" s="157">
        <f t="shared" si="945"/>
        <v>0.15969544792717213</v>
      </c>
      <c r="AS648" s="157">
        <f t="shared" si="945"/>
        <v>0.15908411298639999</v>
      </c>
      <c r="AT648" s="2605">
        <f t="shared" si="945"/>
        <v>0.13679527440338454</v>
      </c>
    </row>
    <row r="649" spans="1:67">
      <c r="D649" s="153" t="s">
        <v>3089</v>
      </c>
      <c r="E649" s="153"/>
      <c r="F649" s="153"/>
      <c r="G649" s="153"/>
      <c r="H649" s="153"/>
      <c r="I649" s="153"/>
      <c r="J649" s="153"/>
      <c r="K649" s="153"/>
      <c r="L649" s="153"/>
      <c r="M649" s="153"/>
      <c r="N649" s="153"/>
      <c r="O649" s="153"/>
      <c r="P649" s="153"/>
      <c r="Q649" s="153"/>
      <c r="R649" s="153"/>
      <c r="S649" s="153"/>
      <c r="T649" s="153"/>
      <c r="U649" s="153"/>
      <c r="V649" s="157" t="e">
        <f>V1157/U1157-1</f>
        <v>#DIV/0!</v>
      </c>
      <c r="W649" s="157">
        <f t="shared" ref="W649:AD649" si="946">W1157/V1157-1</f>
        <v>0.18671881345165442</v>
      </c>
      <c r="X649" s="157">
        <f t="shared" si="946"/>
        <v>0.2079439252336448</v>
      </c>
      <c r="Y649" s="157">
        <f t="shared" si="946"/>
        <v>-0.31408457042553195</v>
      </c>
      <c r="Z649" s="157">
        <f t="shared" si="946"/>
        <v>5.7520979542808881E-2</v>
      </c>
      <c r="AA649" s="157">
        <f t="shared" si="946"/>
        <v>0.1453415936453315</v>
      </c>
      <c r="AB649" s="157">
        <f t="shared" si="946"/>
        <v>0.1035529786720879</v>
      </c>
      <c r="AC649" s="157">
        <f t="shared" si="946"/>
        <v>6.2108586837485547E-2</v>
      </c>
      <c r="AD649" s="157">
        <f t="shared" si="946"/>
        <v>-3.9054566103442157E-2</v>
      </c>
      <c r="AE649" s="157">
        <f>AE1157/AD1157-1</f>
        <v>0.10103043447760474</v>
      </c>
      <c r="AF649" s="157">
        <f>AF1157/AE1157-1</f>
        <v>0.13493294191316507</v>
      </c>
      <c r="AG649" s="157">
        <f t="shared" ref="AG649:AI649" si="947">AG1157/AF1157-1</f>
        <v>5.1180763988539546E-2</v>
      </c>
      <c r="AH649" s="157">
        <f t="shared" si="947"/>
        <v>0.15730294295045133</v>
      </c>
      <c r="AI649" s="157">
        <f t="shared" si="947"/>
        <v>0.27111761468453155</v>
      </c>
      <c r="AJ649" s="181">
        <f>+(1+AJ654)*(1+AJ655+AJ656)-1</f>
        <v>0.21651933304267579</v>
      </c>
      <c r="AK649" s="181">
        <f>+(1+AK654)*(1+AK655+AK656)-1</f>
        <v>0.18300806258665325</v>
      </c>
      <c r="AL649" s="181">
        <f t="shared" ref="AL649:AO649" si="948">+(1+AL654)*(1+AL655+AL656)-1</f>
        <v>0.12558387438847585</v>
      </c>
      <c r="AM649" s="181">
        <f t="shared" si="948"/>
        <v>0.13265080538755925</v>
      </c>
      <c r="AN649" s="181">
        <f t="shared" si="948"/>
        <v>0.12997779846786828</v>
      </c>
      <c r="AO649" s="181">
        <f t="shared" si="948"/>
        <v>0.12729342906948116</v>
      </c>
      <c r="AP649" s="181">
        <f t="shared" ref="AP649:AT649" si="949">+(1+AP654)*(1+AP655)-1</f>
        <v>0.1232000000000002</v>
      </c>
      <c r="AQ649" s="181">
        <f t="shared" si="949"/>
        <v>0.1232000000000002</v>
      </c>
      <c r="AR649" s="181">
        <f t="shared" si="949"/>
        <v>0.1232000000000002</v>
      </c>
      <c r="AS649" s="181">
        <f t="shared" si="949"/>
        <v>0.1232000000000002</v>
      </c>
      <c r="AT649" s="2620">
        <f t="shared" si="949"/>
        <v>0.1232000000000002</v>
      </c>
    </row>
    <row r="650" spans="1:67">
      <c r="D650" s="161" t="s">
        <v>321</v>
      </c>
      <c r="E650" s="157"/>
      <c r="F650" s="157"/>
      <c r="G650" s="157"/>
      <c r="H650" s="157"/>
      <c r="I650" s="157"/>
      <c r="J650" s="157"/>
      <c r="K650" s="157"/>
      <c r="L650" s="157"/>
      <c r="M650" s="157"/>
      <c r="N650" s="157"/>
      <c r="O650" s="157"/>
      <c r="P650" s="157"/>
      <c r="Q650" s="157"/>
      <c r="R650" s="157"/>
      <c r="S650" s="157"/>
      <c r="T650" s="157"/>
      <c r="U650" s="157"/>
      <c r="V650" s="157"/>
      <c r="W650" s="157"/>
      <c r="X650" s="157"/>
      <c r="Y650" s="157"/>
      <c r="Z650" s="157"/>
      <c r="AA650" s="157"/>
      <c r="AB650" s="157"/>
      <c r="AC650" s="157"/>
      <c r="AD650" s="181"/>
      <c r="AE650" s="181"/>
      <c r="AF650" s="157"/>
      <c r="AG650" s="157"/>
      <c r="AH650" s="157"/>
      <c r="AI650" s="157"/>
      <c r="AJ650" s="157"/>
      <c r="AK650" s="157"/>
      <c r="AL650" s="157"/>
      <c r="AM650" s="157"/>
      <c r="AN650" s="157"/>
      <c r="AO650" s="157"/>
      <c r="AP650" s="157"/>
      <c r="AQ650" s="157"/>
      <c r="AR650" s="157"/>
      <c r="AS650" s="157"/>
      <c r="AT650" s="2605"/>
    </row>
    <row r="651" spans="1:67">
      <c r="D651" s="161" t="s">
        <v>322</v>
      </c>
      <c r="E651" s="236" t="s">
        <v>323</v>
      </c>
      <c r="F651" s="229"/>
      <c r="G651" s="229"/>
      <c r="H651" s="229"/>
      <c r="I651" s="229"/>
      <c r="J651" s="229"/>
      <c r="K651" s="229"/>
      <c r="L651" s="229"/>
      <c r="M651" s="229"/>
      <c r="N651" s="229"/>
      <c r="O651" s="229"/>
      <c r="P651" s="229"/>
      <c r="Q651" s="229"/>
      <c r="R651" s="229"/>
      <c r="S651" s="229"/>
      <c r="T651" s="229"/>
      <c r="U651" s="229"/>
      <c r="V651" s="183">
        <v>88680</v>
      </c>
      <c r="W651" s="183">
        <v>94047</v>
      </c>
      <c r="X651" s="183">
        <v>98116</v>
      </c>
      <c r="Y651" s="183"/>
      <c r="Z651" s="183"/>
      <c r="AA651" s="183"/>
      <c r="AB651" s="183"/>
      <c r="AC651" s="183"/>
      <c r="AD651" s="183"/>
      <c r="AE651" s="183"/>
      <c r="AF651" s="183"/>
      <c r="AG651" s="183"/>
      <c r="AH651" s="183"/>
      <c r="AI651" s="183"/>
      <c r="AJ651" s="183"/>
      <c r="AK651" s="183"/>
      <c r="AL651" s="183"/>
      <c r="AM651" s="183"/>
      <c r="AN651" s="183"/>
      <c r="AO651" s="183"/>
      <c r="AP651" s="183"/>
      <c r="AQ651" s="183"/>
      <c r="AR651" s="183"/>
      <c r="AS651" s="183"/>
      <c r="AT651" s="2621"/>
    </row>
    <row r="652" spans="1:67">
      <c r="D652" s="161" t="s">
        <v>290</v>
      </c>
      <c r="E652" s="237"/>
      <c r="F652" s="229"/>
      <c r="G652" s="229"/>
      <c r="H652" s="229"/>
      <c r="I652" s="229"/>
      <c r="J652" s="229"/>
      <c r="K652" s="229"/>
      <c r="L652" s="229"/>
      <c r="M652" s="229"/>
      <c r="N652" s="229"/>
      <c r="O652" s="229"/>
      <c r="P652" s="229"/>
      <c r="Q652" s="229"/>
      <c r="R652" s="229"/>
      <c r="S652" s="229"/>
      <c r="T652" s="229"/>
      <c r="U652" s="229"/>
      <c r="V652" s="183">
        <v>54692</v>
      </c>
      <c r="W652" s="183">
        <v>57220</v>
      </c>
      <c r="X652" s="183">
        <v>60975</v>
      </c>
      <c r="Y652" s="183"/>
      <c r="Z652" s="183"/>
      <c r="AA652" s="183"/>
      <c r="AB652" s="183"/>
      <c r="AC652" s="183"/>
      <c r="AD652" s="183"/>
      <c r="AE652" s="183"/>
      <c r="AF652" s="183"/>
      <c r="AG652" s="183"/>
      <c r="AH652" s="183"/>
      <c r="AI652" s="183"/>
      <c r="AJ652" s="183"/>
      <c r="AK652" s="183"/>
      <c r="AL652" s="183"/>
      <c r="AM652" s="183"/>
      <c r="AN652" s="183"/>
      <c r="AO652" s="183"/>
      <c r="AP652" s="183"/>
      <c r="AQ652" s="183"/>
      <c r="AR652" s="183"/>
      <c r="AS652" s="183"/>
      <c r="AT652" s="2621"/>
    </row>
    <row r="653" spans="1:67">
      <c r="D653" s="161" t="s">
        <v>291</v>
      </c>
      <c r="E653" s="238" t="s">
        <v>308</v>
      </c>
      <c r="F653" s="229"/>
      <c r="G653" s="229"/>
      <c r="H653" s="229"/>
      <c r="I653" s="229"/>
      <c r="J653" s="229"/>
      <c r="K653" s="229"/>
      <c r="L653" s="229"/>
      <c r="M653" s="229"/>
      <c r="N653" s="229"/>
      <c r="O653" s="229"/>
      <c r="P653" s="229"/>
      <c r="Q653" s="229"/>
      <c r="R653" s="229"/>
      <c r="S653" s="229"/>
      <c r="T653" s="229"/>
      <c r="U653" s="230"/>
      <c r="V653" s="183">
        <v>15155</v>
      </c>
      <c r="W653" s="183">
        <v>15948</v>
      </c>
      <c r="X653" s="183">
        <v>16053</v>
      </c>
      <c r="Y653" s="183"/>
      <c r="Z653" s="183"/>
      <c r="AA653" s="183"/>
      <c r="AB653" s="183"/>
      <c r="AC653" s="183"/>
      <c r="AD653" s="183"/>
      <c r="AE653" s="183"/>
      <c r="AF653" s="183"/>
      <c r="AG653" s="183"/>
      <c r="AH653" s="183"/>
      <c r="AI653" s="183"/>
      <c r="AJ653" s="183"/>
      <c r="AK653" s="183"/>
      <c r="AL653" s="183"/>
      <c r="AM653" s="183"/>
      <c r="AN653" s="183"/>
      <c r="AO653" s="183"/>
      <c r="AP653" s="183"/>
      <c r="AQ653" s="183"/>
      <c r="AR653" s="183"/>
      <c r="AS653" s="183"/>
      <c r="AT653" s="2621"/>
    </row>
    <row r="654" spans="1:67">
      <c r="D654" s="161" t="s">
        <v>289</v>
      </c>
      <c r="E654" s="239">
        <v>5.5E-2</v>
      </c>
      <c r="F654" s="201"/>
      <c r="G654" s="201"/>
      <c r="H654" s="201"/>
      <c r="I654" s="201"/>
      <c r="J654" s="201"/>
      <c r="K654" s="201"/>
      <c r="L654" s="201"/>
      <c r="M654" s="201"/>
      <c r="N654" s="201"/>
      <c r="O654" s="201"/>
      <c r="P654" s="201"/>
      <c r="Q654" s="201"/>
      <c r="R654" s="201"/>
      <c r="S654" s="201"/>
      <c r="T654" s="201"/>
      <c r="U654" s="202"/>
      <c r="V654" s="202">
        <f>+E654</f>
        <v>5.5E-2</v>
      </c>
      <c r="W654" s="202">
        <f>+(1+W649)/(1+W655)-1</f>
        <v>9.5018346567943279E-2</v>
      </c>
      <c r="X654" s="202">
        <f t="shared" ref="X654:AH654" si="950">+(1+X649)/(1+X655)-1</f>
        <v>7.872738308830729E-2</v>
      </c>
      <c r="Y654" s="202">
        <f>+(1+Y649)/(1+Y655)-1</f>
        <v>-0.33695432757598587</v>
      </c>
      <c r="Z654" s="202">
        <f t="shared" si="950"/>
        <v>5.7520979542808881E-2</v>
      </c>
      <c r="AA654" s="202">
        <f t="shared" si="950"/>
        <v>0.1012899938897418</v>
      </c>
      <c r="AB654" s="202">
        <f t="shared" si="950"/>
        <v>5.100283683055995E-2</v>
      </c>
      <c r="AC654" s="202">
        <f t="shared" si="950"/>
        <v>1.1531987464271864E-2</v>
      </c>
      <c r="AD654" s="202">
        <f t="shared" si="950"/>
        <v>-8.481387247946881E-2</v>
      </c>
      <c r="AE654" s="202">
        <f t="shared" si="950"/>
        <v>2.8519789329850331E-2</v>
      </c>
      <c r="AF654" s="202">
        <f>+(1+AF649)/(1+AF655)-1</f>
        <v>7.0085745722388459E-2</v>
      </c>
      <c r="AG654" s="202">
        <f t="shared" si="950"/>
        <v>3.401609678195916E-2</v>
      </c>
      <c r="AH654" s="202">
        <f t="shared" si="950"/>
        <v>6.663865709719019E-2</v>
      </c>
      <c r="AI654" s="202">
        <f>+(1+AI649)/(1+AI655)-1</f>
        <v>0.11963147598390877</v>
      </c>
      <c r="AJ654" s="202">
        <v>9.560803076720692E-2</v>
      </c>
      <c r="AK654" s="202">
        <v>6.5773029357345081E-2</v>
      </c>
      <c r="AL654" s="202">
        <v>3.2645756319702457E-2</v>
      </c>
      <c r="AM654" s="202">
        <v>3.2645756319702457E-2</v>
      </c>
      <c r="AN654" s="202">
        <v>3.264575631970245E-2</v>
      </c>
      <c r="AO654" s="202">
        <v>3.4214155109615563E-2</v>
      </c>
      <c r="AP654" s="202">
        <v>0.04</v>
      </c>
      <c r="AQ654" s="202">
        <v>0.04</v>
      </c>
      <c r="AR654" s="202">
        <v>0.04</v>
      </c>
      <c r="AS654" s="202">
        <v>0.04</v>
      </c>
      <c r="AT654" s="2636">
        <v>0.04</v>
      </c>
    </row>
    <row r="655" spans="1:67">
      <c r="D655" s="161" t="s">
        <v>292</v>
      </c>
      <c r="E655" s="240" t="s">
        <v>249</v>
      </c>
      <c r="F655" s="203"/>
      <c r="G655" s="203"/>
      <c r="H655" s="203"/>
      <c r="I655" s="203"/>
      <c r="J655" s="203"/>
      <c r="K655" s="203"/>
      <c r="L655" s="203"/>
      <c r="M655" s="203"/>
      <c r="N655" s="203"/>
      <c r="O655" s="203"/>
      <c r="P655" s="203"/>
      <c r="Q655" s="203"/>
      <c r="R655" s="203"/>
      <c r="S655" s="203"/>
      <c r="T655" s="204">
        <f t="shared" ref="T655:Y655" si="951">+T657*$E657+T658*$E658+T659*$E659</f>
        <v>0</v>
      </c>
      <c r="U655" s="204">
        <f t="shared" si="951"/>
        <v>0</v>
      </c>
      <c r="V655" s="204">
        <f t="shared" si="951"/>
        <v>0</v>
      </c>
      <c r="W655" s="204">
        <f t="shared" si="951"/>
        <v>8.3743315508021401E-2</v>
      </c>
      <c r="X655" s="204">
        <f t="shared" si="951"/>
        <v>0.11978609625668449</v>
      </c>
      <c r="Y655" s="204">
        <f t="shared" si="951"/>
        <v>3.4491978609625669E-2</v>
      </c>
      <c r="Z655" s="204">
        <v>0</v>
      </c>
      <c r="AA655" s="204">
        <v>0.04</v>
      </c>
      <c r="AB655" s="204">
        <v>0.05</v>
      </c>
      <c r="AC655" s="204">
        <v>0.05</v>
      </c>
      <c r="AD655" s="204">
        <v>0.05</v>
      </c>
      <c r="AE655" s="205">
        <v>7.0499999999999993E-2</v>
      </c>
      <c r="AF655" s="205">
        <v>6.0600000000000001E-2</v>
      </c>
      <c r="AG655" s="205">
        <v>1.66E-2</v>
      </c>
      <c r="AH655" s="205">
        <v>8.5000000000000006E-2</v>
      </c>
      <c r="AI655" s="205">
        <v>0.1353</v>
      </c>
      <c r="AJ655" s="205">
        <v>0.10036</v>
      </c>
      <c r="AK655" s="205">
        <v>0.1</v>
      </c>
      <c r="AL655" s="205">
        <v>0.08</v>
      </c>
      <c r="AM655" s="205">
        <v>7.684351914084224E-2</v>
      </c>
      <c r="AN655" s="205">
        <v>7.4255015868221946E-2</v>
      </c>
      <c r="AO655" s="205">
        <v>0.08</v>
      </c>
      <c r="AP655" s="205">
        <v>0.08</v>
      </c>
      <c r="AQ655" s="205">
        <v>0.08</v>
      </c>
      <c r="AR655" s="205">
        <v>0.08</v>
      </c>
      <c r="AS655" s="205">
        <v>0.08</v>
      </c>
      <c r="AT655" s="2637">
        <v>0.08</v>
      </c>
    </row>
    <row r="656" spans="1:67" s="2135" customFormat="1">
      <c r="A656" s="2130"/>
      <c r="B656" s="2131"/>
      <c r="C656" s="2131"/>
      <c r="D656" s="2139" t="s">
        <v>3779</v>
      </c>
      <c r="E656" s="2131"/>
      <c r="F656" s="2140"/>
      <c r="G656" s="2140"/>
      <c r="H656" s="2140"/>
      <c r="I656" s="2140"/>
      <c r="J656" s="2140"/>
      <c r="K656" s="2140"/>
      <c r="L656" s="2140"/>
      <c r="M656" s="2140"/>
      <c r="N656" s="2140"/>
      <c r="O656" s="2140"/>
      <c r="P656" s="2140"/>
      <c r="Q656" s="2140"/>
      <c r="R656" s="2140"/>
      <c r="S656" s="2140"/>
      <c r="T656" s="2137"/>
      <c r="U656" s="2137"/>
      <c r="V656" s="2137"/>
      <c r="W656" s="2137"/>
      <c r="X656" s="2137"/>
      <c r="Y656" s="2137"/>
      <c r="Z656" s="2137"/>
      <c r="AA656" s="2137"/>
      <c r="AB656" s="2137"/>
      <c r="AC656" s="2137"/>
      <c r="AD656" s="2137"/>
      <c r="AE656" s="2138"/>
      <c r="AF656" s="2137"/>
      <c r="AG656" s="2137"/>
      <c r="AH656" s="2137"/>
      <c r="AI656" s="2137"/>
      <c r="AJ656" s="2137">
        <v>0.01</v>
      </c>
      <c r="AK656" s="2137">
        <v>0.01</v>
      </c>
      <c r="AL656" s="2137">
        <v>0.01</v>
      </c>
      <c r="AM656" s="2137">
        <v>0.02</v>
      </c>
      <c r="AN656" s="2137">
        <v>0.02</v>
      </c>
      <c r="AO656" s="2137">
        <v>0.01</v>
      </c>
      <c r="AP656" s="2137"/>
      <c r="AQ656" s="2137"/>
      <c r="AR656" s="2137"/>
      <c r="AS656" s="2137"/>
      <c r="AT656" s="2664"/>
      <c r="AU656" s="1"/>
      <c r="AV656" s="1"/>
      <c r="AW656" s="1"/>
      <c r="AX656" s="1"/>
      <c r="AY656" s="1"/>
      <c r="AZ656" s="1"/>
      <c r="BA656" s="1"/>
      <c r="BB656" s="1"/>
      <c r="BC656" s="1"/>
      <c r="BD656" s="1"/>
      <c r="BE656" s="1"/>
      <c r="BF656" s="1"/>
      <c r="BG656" s="1"/>
      <c r="BH656" s="1"/>
      <c r="BI656" s="1"/>
      <c r="BJ656" s="1"/>
      <c r="BK656" s="1"/>
      <c r="BL656" s="1"/>
      <c r="BM656" s="1"/>
      <c r="BN656" s="1"/>
      <c r="BO656" s="1"/>
    </row>
    <row r="657" spans="1:46">
      <c r="D657" s="161" t="s">
        <v>314</v>
      </c>
      <c r="E657" s="244">
        <f>115/187</f>
        <v>0.61497326203208558</v>
      </c>
      <c r="F657" s="229"/>
      <c r="G657" s="229"/>
      <c r="H657" s="229"/>
      <c r="I657" s="229"/>
      <c r="J657" s="229"/>
      <c r="K657" s="229"/>
      <c r="L657" s="229"/>
      <c r="M657" s="229"/>
      <c r="N657" s="229"/>
      <c r="O657" s="229"/>
      <c r="P657" s="229"/>
      <c r="Q657" s="229"/>
      <c r="R657" s="229"/>
      <c r="S657" s="229"/>
      <c r="T657" s="229"/>
      <c r="U657" s="229"/>
      <c r="V657" s="243"/>
      <c r="W657" s="243">
        <v>0.06</v>
      </c>
      <c r="X657" s="243">
        <v>0.05</v>
      </c>
      <c r="Y657" s="243">
        <v>0.02</v>
      </c>
      <c r="Z657" s="243"/>
      <c r="AA657" s="243"/>
      <c r="AB657" s="243"/>
      <c r="AC657" s="243"/>
      <c r="AD657" s="243"/>
      <c r="AE657" s="194"/>
      <c r="AF657" s="243"/>
      <c r="AG657" s="243"/>
      <c r="AH657" s="2142"/>
      <c r="AI657" s="2141"/>
      <c r="AJ657" s="2141"/>
      <c r="AK657" s="2141"/>
      <c r="AL657" s="2141"/>
      <c r="AM657" s="2141"/>
      <c r="AN657" s="2141"/>
      <c r="AO657" s="2141"/>
      <c r="AP657" s="243"/>
      <c r="AQ657" s="243"/>
      <c r="AR657" s="243"/>
      <c r="AS657" s="243"/>
      <c r="AT657" s="2638"/>
    </row>
    <row r="658" spans="1:46">
      <c r="D658" s="161" t="s">
        <v>312</v>
      </c>
      <c r="E658" s="244">
        <f>55/187</f>
        <v>0.29411764705882354</v>
      </c>
      <c r="F658" s="229"/>
      <c r="G658" s="229"/>
      <c r="H658" s="229"/>
      <c r="I658" s="229"/>
      <c r="J658" s="229"/>
      <c r="K658" s="229"/>
      <c r="L658" s="229"/>
      <c r="M658" s="229"/>
      <c r="N658" s="229"/>
      <c r="O658" s="229"/>
      <c r="P658" s="229"/>
      <c r="Q658" s="229"/>
      <c r="R658" s="229"/>
      <c r="S658" s="229"/>
      <c r="T658" s="229"/>
      <c r="U658" s="229"/>
      <c r="V658" s="243"/>
      <c r="W658" s="243">
        <v>0.15</v>
      </c>
      <c r="X658" s="243">
        <v>0.27800000000000002</v>
      </c>
      <c r="Y658" s="243">
        <v>0.06</v>
      </c>
      <c r="Z658" s="243"/>
      <c r="AA658" s="243"/>
      <c r="AB658" s="243"/>
      <c r="AC658" s="243"/>
      <c r="AD658" s="243"/>
      <c r="AE658" s="194"/>
      <c r="AF658" s="243"/>
      <c r="AG658" s="243"/>
      <c r="AH658" s="243"/>
      <c r="AI658" s="243"/>
      <c r="AJ658" s="2141"/>
      <c r="AK658" s="243"/>
      <c r="AL658" s="243"/>
      <c r="AM658" s="243"/>
      <c r="AN658" s="243"/>
      <c r="AO658" s="243"/>
      <c r="AP658" s="243"/>
      <c r="AQ658" s="243"/>
      <c r="AR658" s="243"/>
      <c r="AS658" s="243"/>
      <c r="AT658" s="2638"/>
    </row>
    <row r="659" spans="1:46">
      <c r="D659" s="161" t="s">
        <v>313</v>
      </c>
      <c r="E659" s="244">
        <f>1-E657-E658</f>
        <v>9.0909090909090884E-2</v>
      </c>
      <c r="F659" s="229"/>
      <c r="G659" s="229"/>
      <c r="H659" s="229"/>
      <c r="I659" s="229"/>
      <c r="J659" s="229"/>
      <c r="K659" s="229"/>
      <c r="L659" s="229"/>
      <c r="M659" s="229"/>
      <c r="N659" s="229"/>
      <c r="O659" s="229"/>
      <c r="P659" s="229"/>
      <c r="Q659" s="229"/>
      <c r="R659" s="229"/>
      <c r="S659" s="229"/>
      <c r="T659" s="229"/>
      <c r="U659" s="229"/>
      <c r="V659" s="243"/>
      <c r="W659" s="243">
        <v>0.03</v>
      </c>
      <c r="X659" s="243">
        <v>0.08</v>
      </c>
      <c r="Y659" s="243">
        <v>0.05</v>
      </c>
      <c r="Z659" s="243"/>
      <c r="AA659" s="243"/>
      <c r="AB659" s="243"/>
      <c r="AC659" s="243"/>
      <c r="AD659" s="243"/>
      <c r="AE659" s="194"/>
      <c r="AF659" s="243"/>
      <c r="AG659" s="243"/>
      <c r="AH659" s="243"/>
      <c r="AI659" s="243"/>
      <c r="AJ659" s="243"/>
      <c r="AK659" s="243"/>
      <c r="AL659" s="243"/>
      <c r="AM659" s="243"/>
      <c r="AN659" s="243"/>
      <c r="AO659" s="243"/>
      <c r="AP659" s="243"/>
      <c r="AQ659" s="243"/>
      <c r="AR659" s="243"/>
      <c r="AS659" s="243"/>
      <c r="AT659" s="2638"/>
    </row>
    <row r="660" spans="1:46">
      <c r="D660" s="168" t="s">
        <v>209</v>
      </c>
      <c r="E660" s="169" t="s">
        <v>204</v>
      </c>
      <c r="F660" s="153"/>
      <c r="G660" s="153"/>
      <c r="H660" s="153"/>
      <c r="I660" s="153"/>
      <c r="J660" s="153"/>
      <c r="K660" s="153"/>
      <c r="L660" s="153"/>
      <c r="M660" s="153"/>
      <c r="N660" s="153"/>
      <c r="O660" s="153"/>
      <c r="P660" s="153"/>
      <c r="Q660" s="153"/>
      <c r="R660" s="153"/>
      <c r="S660" s="153"/>
      <c r="T660" s="153"/>
      <c r="U660" s="153"/>
      <c r="V660" s="157">
        <f t="shared" ref="V660:AD660" si="952">+V793/V$303</f>
        <v>3.2597730198344936E-2</v>
      </c>
      <c r="W660" s="157">
        <f t="shared" si="952"/>
        <v>3.4187056940315576E-2</v>
      </c>
      <c r="X660" s="157">
        <f t="shared" si="952"/>
        <v>2.5402393726784975E-2</v>
      </c>
      <c r="Y660" s="157">
        <f t="shared" si="952"/>
        <v>2.6910136820241692E-2</v>
      </c>
      <c r="Z660" s="157">
        <f t="shared" si="952"/>
        <v>2.7638190954773871E-2</v>
      </c>
      <c r="AA660" s="157">
        <f t="shared" si="952"/>
        <v>2.803374403383517E-2</v>
      </c>
      <c r="AB660" s="157">
        <f t="shared" si="952"/>
        <v>3.0282143582285478E-2</v>
      </c>
      <c r="AC660" s="157">
        <f t="shared" si="952"/>
        <v>2.7096048785016286E-2</v>
      </c>
      <c r="AD660" s="157">
        <f t="shared" si="952"/>
        <v>2.6167143028233152E-2</v>
      </c>
      <c r="AE660" s="157">
        <f t="shared" ref="AE660:AN660" si="953">+AE1159/AE$421</f>
        <v>5.937206321690873E-2</v>
      </c>
      <c r="AF660" s="157">
        <f t="shared" si="953"/>
        <v>5.9431985147442613E-2</v>
      </c>
      <c r="AG660" s="157">
        <f t="shared" ref="AG660:AJ660" si="954">+AG1159/AG$421</f>
        <v>5.5701358353183919E-2</v>
      </c>
      <c r="AH660" s="157">
        <f t="shared" si="954"/>
        <v>4.7037974683544308E-2</v>
      </c>
      <c r="AI660" s="157">
        <f t="shared" si="954"/>
        <v>4.3062407332524602E-2</v>
      </c>
      <c r="AJ660" s="157">
        <f t="shared" si="954"/>
        <v>3.7125237437293616E-2</v>
      </c>
      <c r="AK660" s="206">
        <f t="shared" si="953"/>
        <v>3.4406918503924286E-2</v>
      </c>
      <c r="AL660" s="206">
        <f t="shared" si="953"/>
        <v>3.5877775600809798E-2</v>
      </c>
      <c r="AM660" s="206">
        <f t="shared" si="953"/>
        <v>3.6517646089268573E-2</v>
      </c>
      <c r="AN660" s="206">
        <f t="shared" si="953"/>
        <v>3.6558717855423209E-2</v>
      </c>
      <c r="AO660" s="206">
        <v>8.1298771219022001E-2</v>
      </c>
      <c r="AP660" s="206">
        <v>1.0812987712190201</v>
      </c>
      <c r="AQ660" s="206">
        <v>2.0812987712190201</v>
      </c>
      <c r="AR660" s="206">
        <v>3.0812987712190201</v>
      </c>
      <c r="AS660" s="206">
        <v>4.0812987712190196</v>
      </c>
      <c r="AT660" s="2639">
        <v>5.0812987712190196</v>
      </c>
    </row>
    <row r="661" spans="1:46">
      <c r="D661" s="153" t="s">
        <v>3780</v>
      </c>
      <c r="E661" s="153"/>
      <c r="F661" s="153"/>
      <c r="G661" s="153"/>
      <c r="H661" s="153"/>
      <c r="I661" s="153"/>
      <c r="J661" s="153"/>
      <c r="K661" s="153"/>
      <c r="L661" s="153"/>
      <c r="M661" s="153"/>
      <c r="N661" s="153"/>
      <c r="O661" s="153"/>
      <c r="P661" s="153"/>
      <c r="Q661" s="153"/>
      <c r="R661" s="153"/>
      <c r="S661" s="153"/>
      <c r="T661" s="153"/>
      <c r="U661" s="153"/>
      <c r="V661" s="157"/>
      <c r="W661" s="157">
        <f>W1159/V1159-1</f>
        <v>0.1721094755452599</v>
      </c>
      <c r="X661" s="157">
        <f t="shared" ref="X661:AD661" si="955">X1159/W1159-1</f>
        <v>-9.6759875721260546E-2</v>
      </c>
      <c r="Y661" s="157">
        <f t="shared" si="955"/>
        <v>0.36910867997051588</v>
      </c>
      <c r="Z661" s="157">
        <f t="shared" si="955"/>
        <v>-7.7692094445029447E-2</v>
      </c>
      <c r="AA661" s="157">
        <f t="shared" si="955"/>
        <v>0.28329517023520001</v>
      </c>
      <c r="AB661" s="157">
        <f t="shared" si="955"/>
        <v>0.29547386053866331</v>
      </c>
      <c r="AC661" s="157">
        <f t="shared" si="955"/>
        <v>3.5702704002988916E-2</v>
      </c>
      <c r="AD661" s="157">
        <f t="shared" si="955"/>
        <v>8.9530222681286409E-2</v>
      </c>
      <c r="AE661" s="157">
        <f>AE1159/AD1159-1</f>
        <v>0.18727493808452755</v>
      </c>
      <c r="AF661" s="157">
        <f t="shared" ref="AF661" si="956">AF1159/AE1159-1</f>
        <v>9.0207078344651137E-2</v>
      </c>
      <c r="AG661" s="157">
        <f>AG1159/AF1159-1</f>
        <v>0.10326780720918372</v>
      </c>
      <c r="AH661" s="157">
        <f t="shared" ref="AH661" si="957">AH1159/AG1159-1</f>
        <v>7.9584355784346972E-2</v>
      </c>
      <c r="AI661" s="157">
        <f t="shared" ref="AI661" si="958">AI1159/AH1159-1</f>
        <v>7.4677072120559629E-2</v>
      </c>
      <c r="AJ661" s="157">
        <f t="shared" ref="AJ661" si="959">AJ1159/AI1159-1</f>
        <v>6.4532410304243282E-3</v>
      </c>
      <c r="AK661" s="158">
        <f>+AK662*AK422</f>
        <v>1.0079987482569885E-2</v>
      </c>
      <c r="AL661" s="158">
        <f t="shared" ref="AL661:AT661" si="960">+AL662*AL422</f>
        <v>9.5392996146584919E-2</v>
      </c>
      <c r="AM661" s="158">
        <f t="shared" si="960"/>
        <v>8.2223099217426876E-2</v>
      </c>
      <c r="AN661" s="158">
        <f t="shared" si="960"/>
        <v>7.8604963465218614E-2</v>
      </c>
      <c r="AO661" s="158">
        <f t="shared" si="960"/>
        <v>0.10770910875366746</v>
      </c>
      <c r="AP661" s="158">
        <f t="shared" si="960"/>
        <v>0.1122738421298615</v>
      </c>
      <c r="AQ661" s="158">
        <f t="shared" si="960"/>
        <v>0.18480623615171776</v>
      </c>
      <c r="AR661" s="158">
        <f t="shared" si="960"/>
        <v>0.15247932818712914</v>
      </c>
      <c r="AS661" s="158">
        <f t="shared" si="960"/>
        <v>0.15611380531657257</v>
      </c>
      <c r="AT661" s="2618">
        <f t="shared" si="960"/>
        <v>0.36091834676616458</v>
      </c>
    </row>
    <row r="662" spans="1:46">
      <c r="D662" s="153" t="s">
        <v>238</v>
      </c>
      <c r="E662" s="153"/>
      <c r="F662" s="153"/>
      <c r="G662" s="153"/>
      <c r="H662" s="153"/>
      <c r="I662" s="153"/>
      <c r="J662" s="153"/>
      <c r="K662" s="153"/>
      <c r="L662" s="153"/>
      <c r="M662" s="153"/>
      <c r="N662" s="153"/>
      <c r="O662" s="153"/>
      <c r="P662" s="153"/>
      <c r="Q662" s="153"/>
      <c r="R662" s="153"/>
      <c r="S662" s="153"/>
      <c r="T662" s="198" t="e">
        <f t="shared" ref="T662:AF662" si="961">+(T1159/S1159-1)/T$292</f>
        <v>#DIV/0!</v>
      </c>
      <c r="U662" s="198" t="e">
        <f t="shared" si="961"/>
        <v>#DIV/0!</v>
      </c>
      <c r="V662" s="198" t="e">
        <f t="shared" si="961"/>
        <v>#DIV/0!</v>
      </c>
      <c r="W662" s="198" t="e">
        <f t="shared" si="961"/>
        <v>#DIV/0!</v>
      </c>
      <c r="X662" s="198" t="e">
        <f t="shared" si="961"/>
        <v>#DIV/0!</v>
      </c>
      <c r="Y662" s="198">
        <f t="shared" si="961"/>
        <v>5.8657823867988412</v>
      </c>
      <c r="Z662" s="198">
        <f t="shared" si="961"/>
        <v>-1.1106634467861016</v>
      </c>
      <c r="AA662" s="198">
        <f t="shared" si="961"/>
        <v>3.9245347761949407</v>
      </c>
      <c r="AB662" s="198">
        <f t="shared" si="961"/>
        <v>4.038887656883805</v>
      </c>
      <c r="AC662" s="198">
        <f t="shared" si="961"/>
        <v>0.46828030521663289</v>
      </c>
      <c r="AD662" s="198">
        <f t="shared" si="961"/>
        <v>1.2304957020595149</v>
      </c>
      <c r="AE662" s="198">
        <f t="shared" si="961"/>
        <v>2.5636848189052164</v>
      </c>
      <c r="AF662" s="198">
        <f t="shared" si="961"/>
        <v>1.3161806927914144</v>
      </c>
      <c r="AG662" s="198">
        <f>+(AG1159/AF1159-1)/AG$292</f>
        <v>1.81772226157963</v>
      </c>
      <c r="AH662" s="198">
        <f t="shared" ref="AH662:AJ662" si="962">+(AH1159/AG1159-1)/AH$292</f>
        <v>1.5129239526937457</v>
      </c>
      <c r="AI662" s="198">
        <f t="shared" si="962"/>
        <v>1.2186989998795641</v>
      </c>
      <c r="AJ662" s="198">
        <f t="shared" si="962"/>
        <v>8.4977922619667218E-2</v>
      </c>
      <c r="AK662" s="1402">
        <v>6.0056509997833039E-2</v>
      </c>
      <c r="AL662" s="1402">
        <v>0.67706745797508783</v>
      </c>
      <c r="AM662" s="1402">
        <v>0.65032049508962297</v>
      </c>
      <c r="AN662" s="1402">
        <v>0.61288197631423214</v>
      </c>
      <c r="AO662" s="1402">
        <v>0.86294926635879443</v>
      </c>
      <c r="AP662" s="1402">
        <v>0.97844145139337957</v>
      </c>
      <c r="AQ662" s="1402">
        <v>1.52267023629947</v>
      </c>
      <c r="AR662" s="1402">
        <v>1.3389260735302606</v>
      </c>
      <c r="AS662" s="1402">
        <v>1.3440181284394608</v>
      </c>
      <c r="AT662" s="1402">
        <v>1.2727335855087076</v>
      </c>
    </row>
    <row r="663" spans="1:46">
      <c r="D663" s="1662" t="s">
        <v>3309</v>
      </c>
      <c r="E663" s="1662"/>
      <c r="F663" s="1662"/>
      <c r="G663" s="1662"/>
      <c r="H663" s="1662"/>
      <c r="I663" s="1662"/>
      <c r="J663" s="1662"/>
      <c r="K663" s="1662"/>
      <c r="L663" s="1662"/>
      <c r="M663" s="1662"/>
      <c r="N663" s="1662"/>
      <c r="O663" s="1662"/>
      <c r="P663" s="1662"/>
      <c r="Q663" s="1662"/>
      <c r="R663" s="1662"/>
      <c r="S663" s="1662"/>
      <c r="T663" s="1662"/>
      <c r="U663" s="1662"/>
      <c r="V663" s="1663"/>
      <c r="W663" s="1664"/>
      <c r="X663" s="1664"/>
      <c r="Y663" s="1664"/>
      <c r="Z663" s="1664"/>
      <c r="AA663" s="1664"/>
      <c r="AB663" s="1664"/>
      <c r="AC663" s="1664"/>
      <c r="AD663" s="1664"/>
      <c r="AE663" s="1664"/>
      <c r="AF663" s="1664"/>
      <c r="AG663" s="1664"/>
      <c r="AH663" s="1665">
        <v>16.099999999999998</v>
      </c>
      <c r="AI663" s="1665">
        <v>0</v>
      </c>
      <c r="AJ663" s="1665">
        <v>1</v>
      </c>
      <c r="AK663" s="1665"/>
      <c r="AL663" s="1665"/>
      <c r="AM663" s="1665"/>
      <c r="AN663" s="1665"/>
      <c r="AO663" s="1665"/>
      <c r="AP663" s="1665"/>
      <c r="AQ663" s="1665"/>
      <c r="AR663" s="1665"/>
      <c r="AS663" s="1665"/>
      <c r="AT663" s="2665"/>
    </row>
    <row r="664" spans="1:46" s="1927" customFormat="1">
      <c r="A664" s="2143"/>
      <c r="B664" s="135"/>
      <c r="C664" s="135"/>
      <c r="D664" s="2133" t="s">
        <v>3687</v>
      </c>
      <c r="E664" s="2133"/>
      <c r="F664" s="2133"/>
      <c r="G664" s="2133"/>
      <c r="H664" s="2133"/>
      <c r="I664" s="2133"/>
      <c r="J664" s="2133"/>
      <c r="K664" s="2133"/>
      <c r="L664" s="2133"/>
      <c r="M664" s="2133"/>
      <c r="N664" s="2133"/>
      <c r="O664" s="2133"/>
      <c r="P664" s="2133"/>
      <c r="Q664" s="2133"/>
      <c r="R664" s="2133"/>
      <c r="S664" s="2133"/>
      <c r="T664" s="2133"/>
      <c r="U664" s="2133"/>
      <c r="V664" s="2144"/>
      <c r="W664" s="1664"/>
      <c r="X664" s="1664"/>
      <c r="Y664" s="1664"/>
      <c r="Z664" s="1664"/>
      <c r="AA664" s="1664"/>
      <c r="AB664" s="1664"/>
      <c r="AC664" s="1664"/>
      <c r="AD664" s="1664"/>
      <c r="AE664" s="1664"/>
      <c r="AF664" s="1664"/>
      <c r="AG664" s="1664"/>
      <c r="AH664" s="2145"/>
      <c r="AI664" s="2145"/>
      <c r="AJ664" s="2145">
        <v>40.645215962722908</v>
      </c>
      <c r="AK664" s="2145">
        <v>57.075150136318676</v>
      </c>
      <c r="AL664" s="2145">
        <v>37.45235216078288</v>
      </c>
      <c r="AM664" s="2145">
        <v>28.368653011145522</v>
      </c>
      <c r="AN664" s="2145">
        <v>24.704630492957708</v>
      </c>
      <c r="AO664" s="2145">
        <v>24.704630492957708</v>
      </c>
      <c r="AP664" s="2145">
        <v>24.704630492957708</v>
      </c>
      <c r="AQ664" s="2145">
        <v>24.704630492957708</v>
      </c>
      <c r="AR664" s="2145">
        <v>24.704630492957708</v>
      </c>
      <c r="AS664" s="2145">
        <v>24.704630492957708</v>
      </c>
      <c r="AT664" s="2666">
        <v>24.704630492957708</v>
      </c>
    </row>
    <row r="665" spans="1:46">
      <c r="D665" s="168" t="s">
        <v>3091</v>
      </c>
      <c r="E665" s="153"/>
      <c r="F665" s="153"/>
      <c r="G665" s="153"/>
      <c r="H665" s="153"/>
      <c r="I665" s="153"/>
      <c r="J665" s="153"/>
      <c r="K665" s="153"/>
      <c r="L665" s="153"/>
      <c r="M665" s="153"/>
      <c r="N665" s="153"/>
      <c r="O665" s="153"/>
      <c r="P665" s="153"/>
      <c r="Q665" s="153"/>
      <c r="R665" s="153"/>
      <c r="S665" s="153"/>
      <c r="T665" s="153"/>
      <c r="U665" s="153"/>
      <c r="V665" s="157">
        <f t="shared" ref="V665:AT665" si="963">V1206/V421</f>
        <v>3.6751989337806254E-2</v>
      </c>
      <c r="W665" s="157">
        <f t="shared" si="963"/>
        <v>3.5764921106791678E-2</v>
      </c>
      <c r="X665" s="157">
        <f t="shared" si="963"/>
        <v>2.9137432934378874E-2</v>
      </c>
      <c r="Y665" s="157">
        <f t="shared" si="963"/>
        <v>5.3903874233006036E-2</v>
      </c>
      <c r="Z665" s="157">
        <f t="shared" si="963"/>
        <v>5.8210780418818227E-2</v>
      </c>
      <c r="AA665" s="157">
        <f t="shared" si="963"/>
        <v>5.6677423797337791E-2</v>
      </c>
      <c r="AB665" s="157">
        <f t="shared" si="963"/>
        <v>5.3839576739590798E-2</v>
      </c>
      <c r="AC665" s="157">
        <f t="shared" si="963"/>
        <v>5.2451534821327993E-2</v>
      </c>
      <c r="AD665" s="157">
        <f t="shared" si="963"/>
        <v>5.3727888245673955E-2</v>
      </c>
      <c r="AE665" s="157">
        <f t="shared" si="963"/>
        <v>5.1905865537863076E-2</v>
      </c>
      <c r="AF665" s="157">
        <f t="shared" si="963"/>
        <v>5.2288212714068E-2</v>
      </c>
      <c r="AG665" s="157">
        <f t="shared" si="963"/>
        <v>5.3043216498845573E-2</v>
      </c>
      <c r="AH665" s="157">
        <f t="shared" si="963"/>
        <v>6.1367088607594947E-2</v>
      </c>
      <c r="AI665" s="157">
        <f t="shared" si="963"/>
        <v>5.357274177058903E-2</v>
      </c>
      <c r="AJ665" s="157">
        <f t="shared" si="963"/>
        <v>4.7313308491398226E-2</v>
      </c>
      <c r="AK665" s="157">
        <f t="shared" si="963"/>
        <v>4.5699461017690665E-2</v>
      </c>
      <c r="AL665" s="157">
        <f t="shared" si="963"/>
        <v>4.6784486664741783E-2</v>
      </c>
      <c r="AM665" s="157">
        <f t="shared" si="963"/>
        <v>4.868597697448529E-2</v>
      </c>
      <c r="AN665" s="157">
        <f t="shared" si="963"/>
        <v>4.8383056895731601E-2</v>
      </c>
      <c r="AO665" s="157">
        <f t="shared" si="963"/>
        <v>5.2310507118479052E-2</v>
      </c>
      <c r="AP665" s="157">
        <f t="shared" si="963"/>
        <v>5.2363623763066254E-2</v>
      </c>
      <c r="AQ665" s="157">
        <f t="shared" si="963"/>
        <v>5.5325857728691356E-2</v>
      </c>
      <c r="AR665" s="157">
        <f t="shared" si="963"/>
        <v>5.7885421857426282E-2</v>
      </c>
      <c r="AS665" s="157">
        <f t="shared" si="963"/>
        <v>6.0465939487850257E-2</v>
      </c>
      <c r="AT665" s="2605">
        <f t="shared" si="963"/>
        <v>6.4294834832566497E-2</v>
      </c>
    </row>
    <row r="666" spans="1:46">
      <c r="D666" s="153" t="s">
        <v>3094</v>
      </c>
      <c r="E666" s="169" t="s">
        <v>204</v>
      </c>
      <c r="F666" s="153"/>
      <c r="G666" s="153"/>
      <c r="H666" s="153"/>
      <c r="I666" s="153"/>
      <c r="J666" s="153"/>
      <c r="K666" s="153"/>
      <c r="L666" s="153"/>
      <c r="M666" s="153"/>
      <c r="N666" s="153"/>
      <c r="O666" s="153"/>
      <c r="P666" s="153"/>
      <c r="Q666" s="153"/>
      <c r="R666" s="153"/>
      <c r="S666" s="153"/>
      <c r="T666" s="153"/>
      <c r="U666" s="153"/>
      <c r="V666" s="157">
        <f t="shared" ref="V666:AJ666" si="964">+V1206/V$421</f>
        <v>3.6751989337806254E-2</v>
      </c>
      <c r="W666" s="157">
        <f t="shared" si="964"/>
        <v>3.5764921106791678E-2</v>
      </c>
      <c r="X666" s="157">
        <f t="shared" si="964"/>
        <v>2.9137432934378874E-2</v>
      </c>
      <c r="Y666" s="157">
        <f t="shared" si="964"/>
        <v>5.3903874233006036E-2</v>
      </c>
      <c r="Z666" s="157">
        <f t="shared" si="964"/>
        <v>5.8210780418818227E-2</v>
      </c>
      <c r="AA666" s="157">
        <f t="shared" si="964"/>
        <v>5.6677423797337791E-2</v>
      </c>
      <c r="AB666" s="157">
        <f t="shared" si="964"/>
        <v>5.3839576739590798E-2</v>
      </c>
      <c r="AC666" s="157">
        <f t="shared" si="964"/>
        <v>5.2451534821327993E-2</v>
      </c>
      <c r="AD666" s="157">
        <f t="shared" si="964"/>
        <v>5.3727888245673955E-2</v>
      </c>
      <c r="AE666" s="157">
        <f t="shared" si="964"/>
        <v>5.1905865537863076E-2</v>
      </c>
      <c r="AF666" s="157">
        <f t="shared" si="964"/>
        <v>5.2288212714068E-2</v>
      </c>
      <c r="AG666" s="157">
        <f t="shared" si="964"/>
        <v>5.3043216498845573E-2</v>
      </c>
      <c r="AH666" s="157">
        <f t="shared" si="964"/>
        <v>6.1367088607594947E-2</v>
      </c>
      <c r="AI666" s="157">
        <f t="shared" si="964"/>
        <v>5.357274177058903E-2</v>
      </c>
      <c r="AJ666" s="157">
        <f t="shared" si="964"/>
        <v>4.7313308491398226E-2</v>
      </c>
      <c r="AK666" s="206">
        <f t="shared" ref="AK666:AM666" si="965">+AJ666*(1+AK668*AK$422)/(1+AK$422)</f>
        <v>4.5699461017690665E-2</v>
      </c>
      <c r="AL666" s="206">
        <f t="shared" si="965"/>
        <v>4.6784486664741776E-2</v>
      </c>
      <c r="AM666" s="206">
        <f t="shared" si="965"/>
        <v>4.868597697448529E-2</v>
      </c>
      <c r="AN666" s="206">
        <f t="shared" ref="AN666" si="966">+AM666*(1+AN668*AN$422)/(1+AN$422)</f>
        <v>4.8383056895731601E-2</v>
      </c>
      <c r="AO666" s="206">
        <f t="shared" ref="AO666" si="967">+AN666*(1+AO668*AO$422)/(1+AO$422)</f>
        <v>5.2310507118479045E-2</v>
      </c>
      <c r="AP666" s="206">
        <f t="shared" ref="AP666" si="968">+AO666*(1+AP668*AP$422)/(1+AP$422)</f>
        <v>5.236362376306624E-2</v>
      </c>
      <c r="AQ666" s="206">
        <f t="shared" ref="AQ666" si="969">+AP666*(1+AQ668*AQ$422)/(1+AQ$422)</f>
        <v>5.5325857728691336E-2</v>
      </c>
      <c r="AR666" s="206">
        <f t="shared" ref="AR666" si="970">+AQ666*(1+AR668*AR$422)/(1+AR$422)</f>
        <v>5.7885421857426268E-2</v>
      </c>
      <c r="AS666" s="206">
        <f t="shared" ref="AS666" si="971">+AR666*(1+AS668*AS$422)/(1+AS$422)</f>
        <v>6.046593948785025E-2</v>
      </c>
      <c r="AT666" s="2639">
        <f t="shared" ref="AT666" si="972">+AS666*(1+AT668*AT$422)/(1+AT$422)</f>
        <v>6.4294834832566483E-2</v>
      </c>
    </row>
    <row r="667" spans="1:46">
      <c r="D667" s="153" t="s">
        <v>3092</v>
      </c>
      <c r="E667" s="153"/>
      <c r="F667" s="153"/>
      <c r="G667" s="153"/>
      <c r="H667" s="153"/>
      <c r="I667" s="153"/>
      <c r="J667" s="153"/>
      <c r="K667" s="153"/>
      <c r="L667" s="153"/>
      <c r="M667" s="153"/>
      <c r="N667" s="153"/>
      <c r="O667" s="153"/>
      <c r="P667" s="153"/>
      <c r="Q667" s="153"/>
      <c r="R667" s="153"/>
      <c r="S667" s="153"/>
      <c r="T667" s="153"/>
      <c r="U667" s="153"/>
      <c r="V667" s="157"/>
      <c r="W667" s="157">
        <f>+W1206/V1206-1</f>
        <v>0.12640337557296322</v>
      </c>
      <c r="X667" s="157">
        <f t="shared" ref="X667:AE667" si="973">+X1206/W1206-1</f>
        <v>-9.7186700767263323E-2</v>
      </c>
      <c r="Y667" s="157">
        <f t="shared" si="973"/>
        <v>1.0217770392209626</v>
      </c>
      <c r="Z667" s="157">
        <f t="shared" si="973"/>
        <v>0.17675631969166172</v>
      </c>
      <c r="AA667" s="157">
        <f t="shared" si="973"/>
        <v>8.7035523984498875E-2</v>
      </c>
      <c r="AB667" s="157">
        <f t="shared" si="973"/>
        <v>6.699399833438191E-2</v>
      </c>
      <c r="AC667" s="157">
        <f t="shared" si="973"/>
        <v>7.4508152005288819E-2</v>
      </c>
      <c r="AD667" s="157">
        <f t="shared" si="973"/>
        <v>0.12725500921446176</v>
      </c>
      <c r="AE667" s="157">
        <f t="shared" si="973"/>
        <v>6.0233135289926354E-2</v>
      </c>
      <c r="AF667" s="157">
        <f>+AF1206/AE1206-1</f>
        <v>9.7130432322207749E-2</v>
      </c>
      <c r="AG667" s="157">
        <f t="shared" ref="AG667:AJ667" si="974">+AG1206/AF1206-1</f>
        <v>0.19415706034809688</v>
      </c>
      <c r="AH667" s="157">
        <f t="shared" si="974"/>
        <v>0.4790383096290467</v>
      </c>
      <c r="AI667" s="157">
        <f t="shared" si="974"/>
        <v>2.4794170781765601E-2</v>
      </c>
      <c r="AJ667" s="157">
        <f t="shared" si="974"/>
        <v>3.1008182892001024E-2</v>
      </c>
      <c r="AK667" s="206">
        <f t="shared" ref="AK667:AT667" si="975">+AK668*AK422</f>
        <v>0.12800686562059749</v>
      </c>
      <c r="AL667" s="206">
        <f t="shared" si="975"/>
        <v>0.16797919001084405</v>
      </c>
      <c r="AM667" s="206">
        <f t="shared" si="975"/>
        <v>0.17221710577218818</v>
      </c>
      <c r="AN667" s="206">
        <f t="shared" si="975"/>
        <v>0.1212347440508903</v>
      </c>
      <c r="AO667" s="206">
        <f t="shared" si="975"/>
        <v>0.2161209452941657</v>
      </c>
      <c r="AP667" s="206">
        <f t="shared" si="975"/>
        <v>0.11587956117698277</v>
      </c>
      <c r="AQ667" s="206">
        <f t="shared" si="975"/>
        <v>0.18480623615171776</v>
      </c>
      <c r="AR667" s="206">
        <f t="shared" si="975"/>
        <v>0.1654138095370157</v>
      </c>
      <c r="AS667" s="206">
        <f t="shared" si="975"/>
        <v>0.16591242859908178</v>
      </c>
      <c r="AT667" s="2639">
        <f t="shared" si="975"/>
        <v>0.36485748575348581</v>
      </c>
    </row>
    <row r="668" spans="1:46">
      <c r="D668" s="153" t="s">
        <v>3093</v>
      </c>
      <c r="E668" s="153"/>
      <c r="F668" s="153"/>
      <c r="G668" s="153"/>
      <c r="H668" s="153"/>
      <c r="I668" s="153"/>
      <c r="J668" s="153"/>
      <c r="K668" s="153"/>
      <c r="L668" s="153"/>
      <c r="M668" s="153"/>
      <c r="N668" s="153"/>
      <c r="O668" s="153"/>
      <c r="P668" s="153"/>
      <c r="Q668" s="153"/>
      <c r="R668" s="153"/>
      <c r="S668" s="153"/>
      <c r="T668" s="153"/>
      <c r="U668" s="153"/>
      <c r="V668" s="207"/>
      <c r="W668" s="207">
        <f t="shared" ref="W668:AJ668" si="976">+(W1206/V1206-1)/W$422</f>
        <v>0.80260832422631112</v>
      </c>
      <c r="X668" s="207">
        <f t="shared" si="976"/>
        <v>-0.8985146774952274</v>
      </c>
      <c r="Y668" s="207">
        <f t="shared" si="976"/>
        <v>11.003403404588422</v>
      </c>
      <c r="Z668" s="207">
        <f t="shared" si="976"/>
        <v>1.9707399349200829</v>
      </c>
      <c r="AA668" s="207">
        <f t="shared" si="976"/>
        <v>0.74744346564664121</v>
      </c>
      <c r="AB668" s="207">
        <f t="shared" si="976"/>
        <v>0.54363014013655242</v>
      </c>
      <c r="AC668" s="207">
        <f t="shared" si="976"/>
        <v>0.72377918934533592</v>
      </c>
      <c r="AD668" s="207">
        <f t="shared" si="976"/>
        <v>1.2665205530546555</v>
      </c>
      <c r="AE668" s="207">
        <f t="shared" si="976"/>
        <v>0.61809329484429143</v>
      </c>
      <c r="AF668" s="207">
        <f t="shared" si="976"/>
        <v>1.0900318598208192</v>
      </c>
      <c r="AG668" s="207">
        <f t="shared" si="976"/>
        <v>1.0959435358035858</v>
      </c>
      <c r="AH668" s="207">
        <f t="shared" si="976"/>
        <v>1.7205563698649773</v>
      </c>
      <c r="AI668" s="207">
        <f t="shared" si="976"/>
        <v>0.14258340249386595</v>
      </c>
      <c r="AJ668" s="207">
        <f t="shared" si="976"/>
        <v>0.18522520843458584</v>
      </c>
      <c r="AK668" s="1402">
        <v>0.76266420154072689</v>
      </c>
      <c r="AL668" s="1402">
        <v>1.1922598908476376</v>
      </c>
      <c r="AM668" s="1402">
        <v>1.3621027978100611</v>
      </c>
      <c r="AN668" s="1402">
        <v>0.94526587452378119</v>
      </c>
      <c r="AO668" s="1402">
        <v>1.7315286826196037</v>
      </c>
      <c r="AP668" s="1402">
        <v>1.0098644873459699</v>
      </c>
      <c r="AQ668" s="1402">
        <v>1.52267023629947</v>
      </c>
      <c r="AR668" s="1402">
        <v>1.4525041862676162</v>
      </c>
      <c r="AS668" s="1402">
        <v>1.4283766340740891</v>
      </c>
      <c r="AT668" s="1402">
        <v>1.2866244683969601</v>
      </c>
    </row>
    <row r="669" spans="1:46">
      <c r="D669" s="153" t="s">
        <v>246</v>
      </c>
      <c r="E669" s="184" t="s">
        <v>699</v>
      </c>
      <c r="F669" s="153"/>
      <c r="G669" s="153"/>
      <c r="H669" s="153"/>
      <c r="I669" s="153"/>
      <c r="J669" s="153"/>
      <c r="K669" s="153"/>
      <c r="L669" s="153"/>
      <c r="M669" s="153"/>
      <c r="N669" s="153"/>
      <c r="O669" s="153"/>
      <c r="P669" s="153"/>
      <c r="Q669" s="153"/>
      <c r="R669" s="153"/>
      <c r="S669" s="153"/>
      <c r="T669" s="153"/>
      <c r="U669" s="153"/>
      <c r="V669" s="207"/>
      <c r="W669" s="207"/>
      <c r="X669" s="207"/>
      <c r="Y669" s="207"/>
      <c r="Z669" s="207">
        <v>31</v>
      </c>
      <c r="AA669" s="207">
        <f>+AA810</f>
        <v>40.388465097000008</v>
      </c>
      <c r="AB669" s="227">
        <f>+AB810</f>
        <v>47.887879111819991</v>
      </c>
      <c r="AC669" s="227"/>
      <c r="AD669" s="209"/>
      <c r="AE669" s="209"/>
      <c r="AF669" s="207"/>
      <c r="AG669" s="207"/>
      <c r="AH669" s="207"/>
      <c r="AI669" s="207"/>
      <c r="AJ669" s="207"/>
      <c r="AK669" s="207"/>
      <c r="AL669" s="207"/>
      <c r="AM669" s="207"/>
      <c r="AN669" s="207"/>
      <c r="AO669" s="207"/>
      <c r="AP669" s="207"/>
      <c r="AQ669" s="207"/>
      <c r="AR669" s="207"/>
      <c r="AS669" s="207"/>
      <c r="AT669" s="2626"/>
    </row>
    <row r="670" spans="1:46">
      <c r="D670" s="153"/>
      <c r="E670" s="184"/>
      <c r="F670" s="153"/>
      <c r="G670" s="153"/>
      <c r="H670" s="153"/>
      <c r="I670" s="153"/>
      <c r="J670" s="153"/>
      <c r="K670" s="153"/>
      <c r="L670" s="153"/>
      <c r="M670" s="153"/>
      <c r="N670" s="153"/>
      <c r="O670" s="153"/>
      <c r="P670" s="153"/>
      <c r="Q670" s="153"/>
      <c r="R670" s="153"/>
      <c r="S670" s="153"/>
      <c r="T670" s="153"/>
      <c r="U670" s="153"/>
      <c r="V670" s="207"/>
      <c r="W670" s="207"/>
      <c r="X670" s="207"/>
      <c r="Y670" s="207"/>
      <c r="Z670" s="207"/>
      <c r="AA670" s="207"/>
      <c r="AB670" s="227"/>
      <c r="AC670" s="227"/>
      <c r="AD670" s="209"/>
      <c r="AE670" s="209"/>
      <c r="AF670" s="207"/>
      <c r="AG670" s="207"/>
      <c r="AH670" s="207"/>
      <c r="AI670" s="207"/>
      <c r="AJ670" s="207"/>
      <c r="AK670" s="207"/>
      <c r="AL670" s="207"/>
      <c r="AM670" s="207"/>
      <c r="AN670" s="207"/>
      <c r="AO670" s="207"/>
      <c r="AP670" s="207"/>
      <c r="AQ670" s="207"/>
      <c r="AR670" s="207"/>
      <c r="AS670" s="207"/>
      <c r="AT670" s="2626"/>
    </row>
    <row r="671" spans="1:46">
      <c r="D671" s="168" t="s">
        <v>3125</v>
      </c>
      <c r="E671" s="184"/>
      <c r="F671" s="153"/>
      <c r="G671" s="153"/>
      <c r="H671" s="153"/>
      <c r="I671" s="153"/>
      <c r="J671" s="153"/>
      <c r="K671" s="153"/>
      <c r="L671" s="153"/>
      <c r="M671" s="153"/>
      <c r="N671" s="153"/>
      <c r="O671" s="153"/>
      <c r="P671" s="153"/>
      <c r="Q671" s="153"/>
      <c r="R671" s="153"/>
      <c r="S671" s="153"/>
      <c r="T671" s="153"/>
      <c r="U671" s="153"/>
      <c r="V671" s="207"/>
      <c r="W671" s="157">
        <f t="shared" ref="W671:AT671" si="977">W1198/W421</f>
        <v>0</v>
      </c>
      <c r="X671" s="157">
        <f t="shared" si="977"/>
        <v>5.571605447791993E-3</v>
      </c>
      <c r="Y671" s="157">
        <f t="shared" si="977"/>
        <v>1.1896144012084593E-2</v>
      </c>
      <c r="Z671" s="157">
        <f t="shared" si="977"/>
        <v>1.2248155393692601E-2</v>
      </c>
      <c r="AA671" s="157">
        <f t="shared" si="977"/>
        <v>1.3095355791091107E-2</v>
      </c>
      <c r="AB671" s="157">
        <f t="shared" si="977"/>
        <v>1.191460842600525E-2</v>
      </c>
      <c r="AC671" s="157">
        <f t="shared" si="977"/>
        <v>1.2468935493109498E-2</v>
      </c>
      <c r="AD671" s="157">
        <f t="shared" si="977"/>
        <v>1.9584031272085613E-2</v>
      </c>
      <c r="AE671" s="157">
        <f t="shared" si="977"/>
        <v>2.613561230715768E-2</v>
      </c>
      <c r="AF671" s="157">
        <f t="shared" si="977"/>
        <v>2.4779719526240598E-2</v>
      </c>
      <c r="AG671" s="157">
        <f t="shared" si="977"/>
        <v>3.0922715891172427E-2</v>
      </c>
      <c r="AH671" s="157">
        <f t="shared" si="977"/>
        <v>1.8916325553607595E-2</v>
      </c>
      <c r="AI671" s="157">
        <f t="shared" si="977"/>
        <v>1.6574766205580266E-2</v>
      </c>
      <c r="AJ671" s="157">
        <f t="shared" si="977"/>
        <v>1.4854863877935574E-2</v>
      </c>
      <c r="AK671" s="157">
        <f t="shared" si="977"/>
        <v>1.5218898483381356E-2</v>
      </c>
      <c r="AL671" s="157">
        <f t="shared" si="977"/>
        <v>1.4793374756992128E-2</v>
      </c>
      <c r="AM671" s="157">
        <f t="shared" si="977"/>
        <v>1.2676187751182576E-2</v>
      </c>
      <c r="AN671" s="157">
        <f t="shared" si="977"/>
        <v>1.045173312631674E-2</v>
      </c>
      <c r="AO671" s="157">
        <f t="shared" si="977"/>
        <v>1.0028708542979258E-2</v>
      </c>
      <c r="AP671" s="157">
        <f t="shared" si="977"/>
        <v>1.0046898171798201E-2</v>
      </c>
      <c r="AQ671" s="157">
        <f t="shared" si="977"/>
        <v>1.0171569225902991E-2</v>
      </c>
      <c r="AR671" s="157">
        <f t="shared" si="977"/>
        <v>1.0423043457876103E-2</v>
      </c>
      <c r="AS671" s="157">
        <f t="shared" si="977"/>
        <v>1.066296761115655E-2</v>
      </c>
      <c r="AT671" s="2605">
        <f t="shared" si="977"/>
        <v>1.1031455108634488E-2</v>
      </c>
    </row>
    <row r="672" spans="1:46">
      <c r="D672" s="153" t="s">
        <v>3123</v>
      </c>
      <c r="E672" s="184"/>
      <c r="F672" s="153"/>
      <c r="G672" s="153"/>
      <c r="H672" s="153"/>
      <c r="I672" s="153"/>
      <c r="J672" s="153"/>
      <c r="K672" s="153"/>
      <c r="L672" s="153"/>
      <c r="M672" s="153"/>
      <c r="N672" s="153"/>
      <c r="O672" s="153"/>
      <c r="P672" s="153"/>
      <c r="Q672" s="153"/>
      <c r="R672" s="153"/>
      <c r="S672" s="153"/>
      <c r="T672" s="153"/>
      <c r="U672" s="153"/>
      <c r="V672" s="207"/>
      <c r="W672" s="157">
        <f t="shared" ref="W672:AJ672" si="978">W1198/W421</f>
        <v>0</v>
      </c>
      <c r="X672" s="157">
        <f t="shared" si="978"/>
        <v>5.571605447791993E-3</v>
      </c>
      <c r="Y672" s="157">
        <f t="shared" si="978"/>
        <v>1.1896144012084593E-2</v>
      </c>
      <c r="Z672" s="157">
        <f t="shared" si="978"/>
        <v>1.2248155393692601E-2</v>
      </c>
      <c r="AA672" s="157">
        <f t="shared" si="978"/>
        <v>1.3095355791091107E-2</v>
      </c>
      <c r="AB672" s="157">
        <f t="shared" si="978"/>
        <v>1.191460842600525E-2</v>
      </c>
      <c r="AC672" s="157">
        <f t="shared" si="978"/>
        <v>1.2468935493109498E-2</v>
      </c>
      <c r="AD672" s="157">
        <f t="shared" si="978"/>
        <v>1.9584031272085613E-2</v>
      </c>
      <c r="AE672" s="157">
        <f t="shared" si="978"/>
        <v>2.613561230715768E-2</v>
      </c>
      <c r="AF672" s="157">
        <f t="shared" si="978"/>
        <v>2.4779719526240598E-2</v>
      </c>
      <c r="AG672" s="157">
        <f t="shared" si="978"/>
        <v>3.0922715891172427E-2</v>
      </c>
      <c r="AH672" s="157">
        <f t="shared" si="978"/>
        <v>1.8916325553607595E-2</v>
      </c>
      <c r="AI672" s="157">
        <f t="shared" si="978"/>
        <v>1.6574766205580266E-2</v>
      </c>
      <c r="AJ672" s="157">
        <f t="shared" si="978"/>
        <v>1.4854863877935574E-2</v>
      </c>
      <c r="AK672" s="206">
        <f t="shared" ref="AK672:AM672" si="979">+AJ672*(1+AK674*AK$422)/(1+AK$422)</f>
        <v>1.5218898483381354E-2</v>
      </c>
      <c r="AL672" s="206">
        <f t="shared" si="979"/>
        <v>1.4793374756992125E-2</v>
      </c>
      <c r="AM672" s="206">
        <f t="shared" si="979"/>
        <v>1.2676187751182575E-2</v>
      </c>
      <c r="AN672" s="206">
        <f>+AM672*(1+AN674*AN$422)/(1+AN$422)</f>
        <v>1.045173312631674E-2</v>
      </c>
      <c r="AO672" s="206">
        <f t="shared" ref="AO672" si="980">+AN672*(1+AO674*AO$422)/(1+AO$422)</f>
        <v>1.0028708542979258E-2</v>
      </c>
      <c r="AP672" s="206">
        <f t="shared" ref="AP672" si="981">+AO672*(1+AP674*AP$422)/(1+AP$422)</f>
        <v>1.0046898171798199E-2</v>
      </c>
      <c r="AQ672" s="206">
        <f t="shared" ref="AQ672" si="982">+AP672*(1+AQ674*AQ$422)/(1+AQ$422)</f>
        <v>1.0171569225902989E-2</v>
      </c>
      <c r="AR672" s="206">
        <f t="shared" ref="AR672" si="983">+AQ672*(1+AR674*AR$422)/(1+AR$422)</f>
        <v>1.0423043457876102E-2</v>
      </c>
      <c r="AS672" s="206">
        <f t="shared" ref="AS672" si="984">+AR672*(1+AS674*AS$422)/(1+AS$422)</f>
        <v>1.0662967611156548E-2</v>
      </c>
      <c r="AT672" s="2639">
        <f t="shared" ref="AT672" si="985">+AS672*(1+AT674*AT$422)/(1+AT$422)</f>
        <v>1.1031455108634484E-2</v>
      </c>
    </row>
    <row r="673" spans="4:46">
      <c r="D673" s="153" t="s">
        <v>3122</v>
      </c>
      <c r="E673" s="184"/>
      <c r="F673" s="153"/>
      <c r="G673" s="153"/>
      <c r="H673" s="153"/>
      <c r="I673" s="153"/>
      <c r="J673" s="153"/>
      <c r="K673" s="153"/>
      <c r="L673" s="153"/>
      <c r="M673" s="153"/>
      <c r="N673" s="153"/>
      <c r="O673" s="153"/>
      <c r="P673" s="153"/>
      <c r="Q673" s="153"/>
      <c r="R673" s="153"/>
      <c r="S673" s="153"/>
      <c r="T673" s="153"/>
      <c r="U673" s="153"/>
      <c r="V673" s="207"/>
      <c r="W673" s="157" t="e">
        <f>+W1198/V1198-1</f>
        <v>#DIV/0!</v>
      </c>
      <c r="X673" s="157" t="e">
        <f t="shared" ref="X673:AE673" si="986">+X1198/W1198-1</f>
        <v>#DIV/0!</v>
      </c>
      <c r="Y673" s="157">
        <f t="shared" si="986"/>
        <v>1.3334066180740742</v>
      </c>
      <c r="Z673" s="157">
        <f t="shared" si="986"/>
        <v>0.12193467965575522</v>
      </c>
      <c r="AA673" s="157">
        <f t="shared" si="986"/>
        <v>0.19366833078226042</v>
      </c>
      <c r="AB673" s="157">
        <f t="shared" si="986"/>
        <v>2.1957682327345074E-2</v>
      </c>
      <c r="AC673" s="157">
        <f t="shared" si="986"/>
        <v>0.1542576329642753</v>
      </c>
      <c r="AD673" s="157">
        <f t="shared" si="986"/>
        <v>0.72843606446527076</v>
      </c>
      <c r="AE673" s="157">
        <f t="shared" si="986"/>
        <v>0.46458739509268931</v>
      </c>
      <c r="AF673" s="157">
        <f>+AF1198/AE1198-1</f>
        <v>3.2605916312212102E-2</v>
      </c>
      <c r="AG673" s="157">
        <f>+AG1198/AF1198-1</f>
        <v>0.468982561939433</v>
      </c>
      <c r="AH673" s="157">
        <f t="shared" ref="AH673" si="987">+AH1198/AG1198-1</f>
        <v>-0.21795291040822251</v>
      </c>
      <c r="AI673" s="157">
        <f>+AI1198/AH1198-1</f>
        <v>2.8582010247738987E-2</v>
      </c>
      <c r="AJ673" s="157">
        <f>+AJ1198/AI1198-1</f>
        <v>4.6270385417783721E-2</v>
      </c>
      <c r="AK673" s="206">
        <f t="shared" ref="AK673:AT673" si="988">+AK674*AK422</f>
        <v>0.1964609445548251</v>
      </c>
      <c r="AL673" s="206">
        <f t="shared" si="988"/>
        <v>0.10899184745137425</v>
      </c>
      <c r="AM673" s="206">
        <f t="shared" si="988"/>
        <v>-3.4777498704092857E-2</v>
      </c>
      <c r="AN673" s="206">
        <f t="shared" si="988"/>
        <v>-6.9734786709781171E-2</v>
      </c>
      <c r="AO673" s="206">
        <f t="shared" si="988"/>
        <v>7.9289222174553364E-2</v>
      </c>
      <c r="AP673" s="206">
        <f t="shared" si="988"/>
        <v>0.11676951463458486</v>
      </c>
      <c r="AQ673" s="206">
        <f t="shared" si="988"/>
        <v>0.13528481277808657</v>
      </c>
      <c r="AR673" s="206">
        <f t="shared" si="988"/>
        <v>0.14142058927063642</v>
      </c>
      <c r="AS673" s="206">
        <f t="shared" si="988"/>
        <v>0.14184688379692961</v>
      </c>
      <c r="AT673" s="2639">
        <f t="shared" si="988"/>
        <v>0.32793475689164692</v>
      </c>
    </row>
    <row r="674" spans="4:46">
      <c r="D674" s="153" t="s">
        <v>3124</v>
      </c>
      <c r="E674" s="184"/>
      <c r="F674" s="153"/>
      <c r="G674" s="153"/>
      <c r="H674" s="153"/>
      <c r="I674" s="153"/>
      <c r="J674" s="153"/>
      <c r="K674" s="153"/>
      <c r="L674" s="153"/>
      <c r="M674" s="153"/>
      <c r="N674" s="153"/>
      <c r="O674" s="153"/>
      <c r="P674" s="153"/>
      <c r="Q674" s="153"/>
      <c r="R674" s="153"/>
      <c r="S674" s="153"/>
      <c r="T674" s="153"/>
      <c r="U674" s="153"/>
      <c r="V674" s="207"/>
      <c r="W674" s="207" t="e">
        <f t="shared" ref="W674:AJ674" si="989">+(W1198/V1198-1)/W$422</f>
        <v>#DIV/0!</v>
      </c>
      <c r="X674" s="207" t="e">
        <f t="shared" si="989"/>
        <v>#DIV/0!</v>
      </c>
      <c r="Y674" s="207">
        <f t="shared" si="989"/>
        <v>14.359307713748823</v>
      </c>
      <c r="Z674" s="207">
        <f t="shared" si="989"/>
        <v>1.3595075020144818</v>
      </c>
      <c r="AA674" s="207">
        <f t="shared" si="989"/>
        <v>1.6631844299768224</v>
      </c>
      <c r="AB674" s="207">
        <f t="shared" si="989"/>
        <v>0.1781780191877636</v>
      </c>
      <c r="AC674" s="207">
        <f t="shared" si="989"/>
        <v>1.4984731406207525</v>
      </c>
      <c r="AD674" s="207">
        <f t="shared" si="989"/>
        <v>7.2498462176580931</v>
      </c>
      <c r="AE674" s="207">
        <f t="shared" si="989"/>
        <v>4.7674482225399375</v>
      </c>
      <c r="AF674" s="207">
        <f t="shared" si="989"/>
        <v>0.36591505616964493</v>
      </c>
      <c r="AG674" s="207">
        <f t="shared" si="989"/>
        <v>2.647230063334467</v>
      </c>
      <c r="AH674" s="207">
        <f t="shared" si="989"/>
        <v>-0.78281895371555399</v>
      </c>
      <c r="AI674" s="207">
        <f t="shared" si="989"/>
        <v>0.16436606439100135</v>
      </c>
      <c r="AJ674" s="207">
        <f t="shared" si="989"/>
        <v>0.27639290613086753</v>
      </c>
      <c r="AK674" s="2034">
        <v>1.17051322744624</v>
      </c>
      <c r="AL674" s="1402">
        <v>0.49294190080822331</v>
      </c>
      <c r="AM674" s="1402">
        <v>7.1929478837956971E-3</v>
      </c>
      <c r="AN674" s="1402">
        <v>-0.54372131240101029</v>
      </c>
      <c r="AO674" s="1402">
        <v>0.635253386620939</v>
      </c>
      <c r="AP674" s="1402">
        <v>1.0176202329070916</v>
      </c>
      <c r="AQ674" s="1402">
        <v>1.1146493870013485</v>
      </c>
      <c r="AR674" s="1402">
        <v>1.2418189177492205</v>
      </c>
      <c r="AS674" s="1402">
        <v>1.2211910592988455</v>
      </c>
      <c r="AT674" s="1402">
        <v>1.1564210650173579</v>
      </c>
    </row>
    <row r="675" spans="4:46">
      <c r="D675" s="1662" t="s">
        <v>3309</v>
      </c>
      <c r="E675" s="1662"/>
      <c r="F675" s="1662"/>
      <c r="G675" s="1662"/>
      <c r="H675" s="1662"/>
      <c r="I675" s="1662"/>
      <c r="J675" s="1662"/>
      <c r="K675" s="1662"/>
      <c r="L675" s="1662"/>
      <c r="M675" s="1662"/>
      <c r="N675" s="1662"/>
      <c r="O675" s="1662"/>
      <c r="P675" s="1662"/>
      <c r="Q675" s="1662"/>
      <c r="R675" s="1662"/>
      <c r="S675" s="1662"/>
      <c r="T675" s="1662"/>
      <c r="U675" s="1662"/>
      <c r="V675" s="1663"/>
      <c r="W675" s="1664"/>
      <c r="X675" s="1664"/>
      <c r="Y675" s="1664"/>
      <c r="Z675" s="1664"/>
      <c r="AA675" s="1664"/>
      <c r="AB675" s="1664"/>
      <c r="AC675" s="1664"/>
      <c r="AD675" s="1664"/>
      <c r="AE675" s="1664"/>
      <c r="AF675" s="1664"/>
      <c r="AG675" s="1664"/>
      <c r="AH675" s="1665">
        <v>0</v>
      </c>
      <c r="AI675" s="1665">
        <v>0</v>
      </c>
      <c r="AJ675" s="1665">
        <v>3.3019919856434474</v>
      </c>
      <c r="AK675" s="1665"/>
      <c r="AL675" s="1665"/>
      <c r="AM675" s="1665"/>
      <c r="AN675" s="1665"/>
      <c r="AO675" s="1665"/>
      <c r="AP675" s="1665"/>
      <c r="AQ675" s="1665"/>
      <c r="AR675" s="1665"/>
      <c r="AS675" s="1665"/>
      <c r="AT675" s="2665"/>
    </row>
    <row r="676" spans="4:46">
      <c r="D676" s="168" t="s">
        <v>3095</v>
      </c>
      <c r="E676" s="184"/>
      <c r="F676" s="153"/>
      <c r="G676" s="153"/>
      <c r="H676" s="153"/>
      <c r="I676" s="153"/>
      <c r="J676" s="153"/>
      <c r="K676" s="153"/>
      <c r="L676" s="153"/>
      <c r="M676" s="153"/>
      <c r="N676" s="153"/>
      <c r="O676" s="153"/>
      <c r="P676" s="153"/>
      <c r="Q676" s="153"/>
      <c r="R676" s="153"/>
      <c r="S676" s="153"/>
      <c r="T676" s="153"/>
      <c r="U676" s="153"/>
      <c r="V676" s="207"/>
      <c r="W676" s="207"/>
      <c r="X676" s="207">
        <f>X1222</f>
        <v>0</v>
      </c>
      <c r="Y676" s="207">
        <f t="shared" ref="Y676:AG676" si="990">Y1222</f>
        <v>22.879524976999996</v>
      </c>
      <c r="Z676" s="207">
        <f t="shared" si="990"/>
        <v>22.560662956999998</v>
      </c>
      <c r="AA676" s="207">
        <f t="shared" si="990"/>
        <v>24.607141763000001</v>
      </c>
      <c r="AB676" s="207">
        <f t="shared" si="990"/>
        <v>23.676644539000002</v>
      </c>
      <c r="AC676" s="207">
        <f t="shared" si="990"/>
        <v>25.178800748</v>
      </c>
      <c r="AD676" s="207">
        <f t="shared" si="990"/>
        <v>25.820247301999999</v>
      </c>
      <c r="AE676" s="207">
        <f t="shared" si="990"/>
        <v>26.669207106000002</v>
      </c>
      <c r="AF676" s="207">
        <f t="shared" si="990"/>
        <v>41.034068239</v>
      </c>
      <c r="AG676" s="207">
        <f t="shared" si="990"/>
        <v>56.665979002000007</v>
      </c>
      <c r="AH676" s="207">
        <f t="shared" ref="AH676:AJ676" si="991">AH1222</f>
        <v>46.100000000000009</v>
      </c>
      <c r="AI676" s="207">
        <f t="shared" si="991"/>
        <v>48.931605560999998</v>
      </c>
      <c r="AJ676" s="207">
        <f t="shared" si="991"/>
        <v>66.869311807000003</v>
      </c>
      <c r="AK676" s="198">
        <f t="shared" ref="AK676:AT676" si="992">+AK677*AK$421</f>
        <v>83.628595947365383</v>
      </c>
      <c r="AL676" s="198">
        <f t="shared" si="992"/>
        <v>86.548112215653759</v>
      </c>
      <c r="AM676" s="198">
        <f>+AM677*AM$421</f>
        <v>97.490799815877679</v>
      </c>
      <c r="AN676" s="198">
        <f t="shared" si="992"/>
        <v>109.99444824066505</v>
      </c>
      <c r="AO676" s="198">
        <f t="shared" si="992"/>
        <v>123.72341754362701</v>
      </c>
      <c r="AP676" s="198">
        <f t="shared" si="992"/>
        <v>137.92038704985382</v>
      </c>
      <c r="AQ676" s="198">
        <f t="shared" si="992"/>
        <v>154.65976174283799</v>
      </c>
      <c r="AR676" s="198">
        <f t="shared" si="992"/>
        <v>172.27269574594627</v>
      </c>
      <c r="AS676" s="198">
        <f t="shared" si="992"/>
        <v>192.28295120006771</v>
      </c>
      <c r="AT676" s="2634">
        <f t="shared" si="992"/>
        <v>246.81003027507239</v>
      </c>
    </row>
    <row r="677" spans="4:46">
      <c r="D677" s="153" t="s">
        <v>3096</v>
      </c>
      <c r="E677" s="184"/>
      <c r="F677" s="153"/>
      <c r="G677" s="153"/>
      <c r="H677" s="153"/>
      <c r="I677" s="153"/>
      <c r="J677" s="153"/>
      <c r="K677" s="153"/>
      <c r="L677" s="153"/>
      <c r="M677" s="153"/>
      <c r="N677" s="153"/>
      <c r="O677" s="153"/>
      <c r="P677" s="153"/>
      <c r="Q677" s="153"/>
      <c r="R677" s="153"/>
      <c r="S677" s="153"/>
      <c r="T677" s="153"/>
      <c r="U677" s="153"/>
      <c r="V677" s="207"/>
      <c r="W677" s="207"/>
      <c r="X677" s="157">
        <f t="shared" ref="X677:AG677" si="993">X676/X421</f>
        <v>0</v>
      </c>
      <c r="Y677" s="157">
        <f t="shared" si="993"/>
        <v>4.3201519971676726E-3</v>
      </c>
      <c r="Z677" s="157">
        <f t="shared" si="993"/>
        <v>3.9093160556229424E-3</v>
      </c>
      <c r="AA677" s="157">
        <f t="shared" si="993"/>
        <v>3.8192056127580322E-3</v>
      </c>
      <c r="AB677" s="157">
        <f t="shared" si="993"/>
        <v>3.2716104102528676E-3</v>
      </c>
      <c r="AC677" s="157">
        <f t="shared" si="993"/>
        <v>3.1544476006013533E-3</v>
      </c>
      <c r="AD677" s="157">
        <f t="shared" si="993"/>
        <v>2.9394634906648449E-3</v>
      </c>
      <c r="AE677" s="157">
        <f t="shared" si="993"/>
        <v>2.7665152599585063E-3</v>
      </c>
      <c r="AF677" s="157">
        <f t="shared" si="993"/>
        <v>3.9083787254976668E-3</v>
      </c>
      <c r="AG677" s="157">
        <f t="shared" si="993"/>
        <v>4.5849970873047983E-3</v>
      </c>
      <c r="AH677" s="157">
        <f t="shared" ref="AH677:AJ677" si="994">AH676/AH421</f>
        <v>2.9177215189873421E-3</v>
      </c>
      <c r="AI677" s="157">
        <f t="shared" si="994"/>
        <v>2.6381779517994338E-3</v>
      </c>
      <c r="AJ677" s="157">
        <f t="shared" si="994"/>
        <v>3.0882951994919755E-3</v>
      </c>
      <c r="AK677" s="1403">
        <v>3.3072176345343273E-3</v>
      </c>
      <c r="AL677" s="1403">
        <v>3.0000000000000001E-3</v>
      </c>
      <c r="AM677" s="1403">
        <v>3.0000000000000001E-3</v>
      </c>
      <c r="AN677" s="1403">
        <v>3.0000000000000001E-3</v>
      </c>
      <c r="AO677" s="1403">
        <v>3.0000000000000001E-3</v>
      </c>
      <c r="AP677" s="1403">
        <v>3.0000000000000001E-3</v>
      </c>
      <c r="AQ677" s="1403">
        <v>3.0000000000000001E-3</v>
      </c>
      <c r="AR677" s="1403">
        <v>3.0000000000000001E-3</v>
      </c>
      <c r="AS677" s="1403">
        <v>3.0000000000000001E-3</v>
      </c>
      <c r="AT677" s="2667">
        <v>3.0000000000000001E-3</v>
      </c>
    </row>
    <row r="678" spans="4:46">
      <c r="D678" s="1662" t="s">
        <v>3309</v>
      </c>
      <c r="E678" s="1662"/>
      <c r="F678" s="1662"/>
      <c r="G678" s="1662"/>
      <c r="H678" s="1662"/>
      <c r="I678" s="1662"/>
      <c r="J678" s="1662"/>
      <c r="K678" s="1662"/>
      <c r="L678" s="1662"/>
      <c r="M678" s="1662"/>
      <c r="N678" s="1662"/>
      <c r="O678" s="1662"/>
      <c r="P678" s="1662"/>
      <c r="Q678" s="1662"/>
      <c r="R678" s="1662"/>
      <c r="S678" s="1662"/>
      <c r="T678" s="1662"/>
      <c r="U678" s="1662"/>
      <c r="V678" s="1663"/>
      <c r="W678" s="1664"/>
      <c r="X678" s="1664"/>
      <c r="Y678" s="1664"/>
      <c r="Z678" s="1664"/>
      <c r="AA678" s="1664"/>
      <c r="AB678" s="1664"/>
      <c r="AC678" s="1664"/>
      <c r="AD678" s="1664"/>
      <c r="AE678" s="1664"/>
      <c r="AF678" s="1664"/>
      <c r="AG678" s="1664"/>
      <c r="AH678" s="1665">
        <v>2.3000000000000003</v>
      </c>
      <c r="AI678" s="1665">
        <v>0</v>
      </c>
      <c r="AJ678" s="1665">
        <v>7.3440856232414617</v>
      </c>
      <c r="AK678" s="1665"/>
      <c r="AL678" s="1665"/>
      <c r="AM678" s="1665"/>
      <c r="AN678" s="1665"/>
      <c r="AO678" s="1665"/>
      <c r="AP678" s="1665"/>
      <c r="AQ678" s="1665"/>
      <c r="AR678" s="1665"/>
      <c r="AS678" s="1665"/>
      <c r="AT678" s="2665"/>
    </row>
    <row r="679" spans="4:46">
      <c r="D679" s="168" t="s">
        <v>3097</v>
      </c>
      <c r="E679" s="184"/>
      <c r="F679" s="153"/>
      <c r="G679" s="153"/>
      <c r="H679" s="153"/>
      <c r="I679" s="153"/>
      <c r="J679" s="153"/>
      <c r="K679" s="153"/>
      <c r="L679" s="153"/>
      <c r="M679" s="153"/>
      <c r="N679" s="153"/>
      <c r="O679" s="153"/>
      <c r="P679" s="153"/>
      <c r="Q679" s="153"/>
      <c r="R679" s="153"/>
      <c r="S679" s="153"/>
      <c r="T679" s="153"/>
      <c r="U679" s="153"/>
      <c r="V679" s="157">
        <f t="shared" ref="V679:AT679" si="995">V1224/V421</f>
        <v>0</v>
      </c>
      <c r="W679" s="157">
        <f t="shared" si="995"/>
        <v>0</v>
      </c>
      <c r="X679" s="157">
        <f t="shared" si="995"/>
        <v>0</v>
      </c>
      <c r="Y679" s="157">
        <f t="shared" si="995"/>
        <v>6.0818269984327803E-3</v>
      </c>
      <c r="Z679" s="157">
        <f t="shared" si="995"/>
        <v>1.1727099434066886E-2</v>
      </c>
      <c r="AA679" s="157">
        <f t="shared" si="995"/>
        <v>1.1087265288064566E-2</v>
      </c>
      <c r="AB679" s="157">
        <f t="shared" si="995"/>
        <v>1.2093917713555341E-2</v>
      </c>
      <c r="AC679" s="157">
        <f t="shared" si="995"/>
        <v>1.3504812813956402E-2</v>
      </c>
      <c r="AD679" s="157">
        <f t="shared" si="995"/>
        <v>1.9424240475523678E-2</v>
      </c>
      <c r="AE679" s="157">
        <f t="shared" si="995"/>
        <v>1.4974059960477178E-2</v>
      </c>
      <c r="AF679" s="157">
        <f t="shared" si="995"/>
        <v>1.2597533279169446E-2</v>
      </c>
      <c r="AG679" s="157">
        <f t="shared" si="995"/>
        <v>1.189566702435472E-2</v>
      </c>
      <c r="AH679" s="157">
        <f t="shared" si="995"/>
        <v>8.0822784810126586E-3</v>
      </c>
      <c r="AI679" s="157">
        <f t="shared" si="995"/>
        <v>7.5008078536190868E-3</v>
      </c>
      <c r="AJ679" s="157">
        <f t="shared" si="995"/>
        <v>6.6963769652926917E-3</v>
      </c>
      <c r="AK679" s="157">
        <f t="shared" si="995"/>
        <v>6.0499508744390942E-3</v>
      </c>
      <c r="AL679" s="157">
        <f t="shared" si="995"/>
        <v>5.846210182726904E-3</v>
      </c>
      <c r="AM679" s="157">
        <f t="shared" si="995"/>
        <v>5.8435328500610296E-3</v>
      </c>
      <c r="AN679" s="157">
        <f t="shared" si="995"/>
        <v>5.831855413315358E-3</v>
      </c>
      <c r="AO679" s="157">
        <f t="shared" si="995"/>
        <v>5.8849604028519704E-3</v>
      </c>
      <c r="AP679" s="157">
        <f t="shared" si="995"/>
        <v>6.0703822043882711E-3</v>
      </c>
      <c r="AQ679" s="157">
        <f t="shared" si="995"/>
        <v>6.279115446125326E-3</v>
      </c>
      <c r="AR679" s="157">
        <f t="shared" si="995"/>
        <v>6.5440399332561006E-3</v>
      </c>
      <c r="AS679" s="157">
        <f t="shared" si="995"/>
        <v>6.8055135792911827E-3</v>
      </c>
      <c r="AT679" s="2605">
        <f t="shared" si="995"/>
        <v>7.9513165368574057E-3</v>
      </c>
    </row>
    <row r="680" spans="4:46">
      <c r="D680" s="153" t="s">
        <v>3098</v>
      </c>
      <c r="E680" s="184"/>
      <c r="F680" s="153"/>
      <c r="G680" s="153"/>
      <c r="H680" s="153"/>
      <c r="I680" s="153"/>
      <c r="J680" s="153"/>
      <c r="K680" s="153"/>
      <c r="L680" s="153"/>
      <c r="M680" s="153"/>
      <c r="N680" s="153"/>
      <c r="O680" s="153"/>
      <c r="P680" s="153"/>
      <c r="Q680" s="153"/>
      <c r="R680" s="153"/>
      <c r="S680" s="153"/>
      <c r="T680" s="153"/>
      <c r="U680" s="153"/>
      <c r="V680" s="157">
        <f t="shared" ref="V680:AJ680" si="996">+V1224/V$421</f>
        <v>0</v>
      </c>
      <c r="W680" s="157">
        <f t="shared" si="996"/>
        <v>0</v>
      </c>
      <c r="X680" s="157">
        <f t="shared" si="996"/>
        <v>0</v>
      </c>
      <c r="Y680" s="157">
        <f t="shared" si="996"/>
        <v>6.0818269984327803E-3</v>
      </c>
      <c r="Z680" s="157">
        <f t="shared" si="996"/>
        <v>1.1727099434066886E-2</v>
      </c>
      <c r="AA680" s="157">
        <f t="shared" si="996"/>
        <v>1.1087265288064566E-2</v>
      </c>
      <c r="AB680" s="157">
        <f t="shared" si="996"/>
        <v>1.2093917713555341E-2</v>
      </c>
      <c r="AC680" s="157">
        <f t="shared" si="996"/>
        <v>1.3504812813956402E-2</v>
      </c>
      <c r="AD680" s="157">
        <f t="shared" si="996"/>
        <v>1.9424240475523678E-2</v>
      </c>
      <c r="AE680" s="157">
        <f t="shared" si="996"/>
        <v>1.4974059960477178E-2</v>
      </c>
      <c r="AF680" s="157">
        <f t="shared" si="996"/>
        <v>1.2597533279169446E-2</v>
      </c>
      <c r="AG680" s="157">
        <f t="shared" si="996"/>
        <v>1.189566702435472E-2</v>
      </c>
      <c r="AH680" s="157">
        <f t="shared" si="996"/>
        <v>8.0822784810126586E-3</v>
      </c>
      <c r="AI680" s="157">
        <f t="shared" si="996"/>
        <v>7.5008078536190868E-3</v>
      </c>
      <c r="AJ680" s="157">
        <f t="shared" si="996"/>
        <v>6.6963769652926917E-3</v>
      </c>
      <c r="AK680" s="206">
        <f t="shared" ref="AK680:AM680" si="997">+AJ680*(1+AK682*AK$422)/(1+AK$422)</f>
        <v>6.0499508744390942E-3</v>
      </c>
      <c r="AL680" s="206">
        <f t="shared" si="997"/>
        <v>5.8462101827269032E-3</v>
      </c>
      <c r="AM680" s="206">
        <f t="shared" si="997"/>
        <v>5.8435328500610296E-3</v>
      </c>
      <c r="AN680" s="206">
        <f t="shared" ref="AN680" si="998">+AM680*(1+AN682*AN$422)/(1+AN$422)</f>
        <v>5.8318554133153589E-3</v>
      </c>
      <c r="AO680" s="206">
        <f t="shared" ref="AO680" si="999">+AN680*(1+AO682*AO$422)/(1+AO$422)</f>
        <v>5.8849604028519704E-3</v>
      </c>
      <c r="AP680" s="206">
        <f t="shared" ref="AP680" si="1000">+AO680*(1+AP682*AP$422)/(1+AP$422)</f>
        <v>6.0703822043882711E-3</v>
      </c>
      <c r="AQ680" s="206">
        <f t="shared" ref="AQ680" si="1001">+AP680*(1+AQ682*AQ$422)/(1+AQ$422)</f>
        <v>6.2791154461253242E-3</v>
      </c>
      <c r="AR680" s="206">
        <f t="shared" ref="AR680" si="1002">+AQ680*(1+AR682*AR$422)/(1+AR$422)</f>
        <v>6.5440399332561006E-3</v>
      </c>
      <c r="AS680" s="206">
        <f t="shared" ref="AS680" si="1003">+AR680*(1+AS682*AS$422)/(1+AS$422)</f>
        <v>6.8055135792911836E-3</v>
      </c>
      <c r="AT680" s="2639">
        <f t="shared" ref="AT680" si="1004">+AS680*(1+AT682*AT$422)/(1+AT$422)</f>
        <v>7.9513165368574057E-3</v>
      </c>
    </row>
    <row r="681" spans="4:46">
      <c r="D681" s="153" t="s">
        <v>3099</v>
      </c>
      <c r="E681" s="184"/>
      <c r="F681" s="153"/>
      <c r="G681" s="153"/>
      <c r="H681" s="153"/>
      <c r="I681" s="153"/>
      <c r="J681" s="153"/>
      <c r="K681" s="153"/>
      <c r="L681" s="153"/>
      <c r="M681" s="153"/>
      <c r="N681" s="153"/>
      <c r="O681" s="153"/>
      <c r="P681" s="153"/>
      <c r="Q681" s="153"/>
      <c r="R681" s="153"/>
      <c r="S681" s="153"/>
      <c r="T681" s="153"/>
      <c r="U681" s="153"/>
      <c r="V681" s="157"/>
      <c r="W681" s="157" t="e">
        <f>+W1224/V1224-1</f>
        <v>#DIV/0!</v>
      </c>
      <c r="X681" s="157" t="e">
        <f>+X1224/W1224-1</f>
        <v>#DIV/0!</v>
      </c>
      <c r="Y681" s="157" t="e">
        <f>+Y1224/X1224-1</f>
        <v>#DIV/0!</v>
      </c>
      <c r="Z681" s="157">
        <f t="shared" ref="Z681:AE681" si="1005">+Z1224/Y1224-1</f>
        <v>1.1011625096907074</v>
      </c>
      <c r="AA681" s="157">
        <f t="shared" si="1005"/>
        <v>5.5530747121180335E-2</v>
      </c>
      <c r="AB681" s="157">
        <f t="shared" si="1005"/>
        <v>0.22521699280775986</v>
      </c>
      <c r="AC681" s="157">
        <f t="shared" si="1005"/>
        <v>0.23161426496904203</v>
      </c>
      <c r="AD681" s="157">
        <f t="shared" si="1005"/>
        <v>0.5828365885740221</v>
      </c>
      <c r="AE681" s="157">
        <f t="shared" si="1005"/>
        <v>-0.15398078187019049</v>
      </c>
      <c r="AF681" s="157">
        <f>+AF1224/AE1224-1</f>
        <v>-8.3743964749114497E-2</v>
      </c>
      <c r="AG681" s="157">
        <f>+AG1224/AF1224-1</f>
        <v>0.11157477152634043</v>
      </c>
      <c r="AH681" s="157">
        <f t="shared" ref="AH681:AJ681" si="1006">+AH1224/AG1224-1</f>
        <v>-0.13140211842469551</v>
      </c>
      <c r="AI681" s="157">
        <f t="shared" si="1006"/>
        <v>8.9438008339858932E-2</v>
      </c>
      <c r="AJ681" s="157">
        <f t="shared" si="1006"/>
        <v>4.2208284251847417E-2</v>
      </c>
      <c r="AK681" s="206">
        <f t="shared" ref="AK681:AT681" si="1007">+AK682*AK422</f>
        <v>5.5105622957021261E-2</v>
      </c>
      <c r="AL681" s="206">
        <f t="shared" si="1007"/>
        <v>0.10247028120123192</v>
      </c>
      <c r="AM681" s="206">
        <f t="shared" si="1007"/>
        <v>0.12591887213963382</v>
      </c>
      <c r="AN681" s="206">
        <f t="shared" si="1007"/>
        <v>0.12599999999999989</v>
      </c>
      <c r="AO681" s="206">
        <f t="shared" si="1007"/>
        <v>0.13505769975013049</v>
      </c>
      <c r="AP681" s="206">
        <f t="shared" si="1007"/>
        <v>0.14987081308230535</v>
      </c>
      <c r="AQ681" s="206">
        <f t="shared" si="1007"/>
        <v>0.15992871915520432</v>
      </c>
      <c r="AR681" s="206">
        <f t="shared" si="1007"/>
        <v>0.16087801301074378</v>
      </c>
      <c r="AS681" s="206">
        <f t="shared" si="1007"/>
        <v>0.16075160683224074</v>
      </c>
      <c r="AT681" s="2639">
        <f t="shared" si="1007"/>
        <v>0.49968540198807831</v>
      </c>
    </row>
    <row r="682" spans="4:46">
      <c r="D682" s="153" t="s">
        <v>3100</v>
      </c>
      <c r="E682" s="184"/>
      <c r="F682" s="153"/>
      <c r="G682" s="153"/>
      <c r="H682" s="153"/>
      <c r="I682" s="153"/>
      <c r="J682" s="153"/>
      <c r="K682" s="153"/>
      <c r="L682" s="153"/>
      <c r="M682" s="153"/>
      <c r="N682" s="153"/>
      <c r="O682" s="153"/>
      <c r="P682" s="153"/>
      <c r="Q682" s="153"/>
      <c r="R682" s="153"/>
      <c r="S682" s="153"/>
      <c r="T682" s="153"/>
      <c r="U682" s="153"/>
      <c r="V682" s="207"/>
      <c r="W682" s="207" t="e">
        <f t="shared" ref="W682:AJ682" si="1008">+(W1224/V1224-1)/W$422</f>
        <v>#DIV/0!</v>
      </c>
      <c r="X682" s="207" t="e">
        <f t="shared" si="1008"/>
        <v>#DIV/0!</v>
      </c>
      <c r="Y682" s="207" t="e">
        <f t="shared" si="1008"/>
        <v>#DIV/0!</v>
      </c>
      <c r="Z682" s="207">
        <f t="shared" si="1008"/>
        <v>12.277382423835746</v>
      </c>
      <c r="AA682" s="207">
        <f t="shared" si="1008"/>
        <v>0.47688681791120779</v>
      </c>
      <c r="AB682" s="207">
        <f t="shared" si="1008"/>
        <v>1.8275479655672504</v>
      </c>
      <c r="AC682" s="207">
        <f t="shared" si="1008"/>
        <v>2.2499227323234328</v>
      </c>
      <c r="AD682" s="207">
        <f t="shared" si="1008"/>
        <v>5.8007501870297302</v>
      </c>
      <c r="AE682" s="207">
        <f t="shared" si="1008"/>
        <v>-1.5801018550791521</v>
      </c>
      <c r="AF682" s="207">
        <f t="shared" si="1008"/>
        <v>-0.93980421441381212</v>
      </c>
      <c r="AG682" s="207">
        <f t="shared" si="1008"/>
        <v>0.62979759476077879</v>
      </c>
      <c r="AH682" s="207">
        <f t="shared" si="1008"/>
        <v>-0.47195547271456306</v>
      </c>
      <c r="AI682" s="207">
        <f t="shared" si="1008"/>
        <v>0.51432958390164574</v>
      </c>
      <c r="AJ682" s="207">
        <f t="shared" si="1008"/>
        <v>0.25212822935946538</v>
      </c>
      <c r="AK682" s="1402">
        <v>0.32831899858782593</v>
      </c>
      <c r="AL682" s="1402">
        <v>0.72729965105928074</v>
      </c>
      <c r="AM682" s="1402">
        <v>0.99591993065639428</v>
      </c>
      <c r="AN682" s="1402">
        <v>0.98242051915415141</v>
      </c>
      <c r="AO682" s="1402">
        <v>1.0820620861512145</v>
      </c>
      <c r="AP682" s="1402">
        <v>1.3060906538153905</v>
      </c>
      <c r="AQ682" s="1402">
        <v>1.3176974200546372</v>
      </c>
      <c r="AR682" s="1402">
        <v>1.41267520547751</v>
      </c>
      <c r="AS682" s="1402">
        <v>1.383945982997371</v>
      </c>
      <c r="AT682" s="1402">
        <v>1.7620783177051489</v>
      </c>
    </row>
    <row r="683" spans="4:46">
      <c r="D683" s="153"/>
      <c r="E683" s="184"/>
      <c r="F683" s="153"/>
      <c r="G683" s="153"/>
      <c r="H683" s="153"/>
      <c r="I683" s="153"/>
      <c r="J683" s="153"/>
      <c r="K683" s="153"/>
      <c r="L683" s="153"/>
      <c r="M683" s="153"/>
      <c r="N683" s="153"/>
      <c r="O683" s="153"/>
      <c r="P683" s="153"/>
      <c r="Q683" s="153"/>
      <c r="R683" s="153"/>
      <c r="S683" s="153"/>
      <c r="T683" s="153"/>
      <c r="U683" s="153"/>
      <c r="V683" s="207"/>
      <c r="W683" s="207"/>
      <c r="X683" s="207"/>
      <c r="Y683" s="207"/>
      <c r="Z683" s="207"/>
      <c r="AA683" s="207"/>
      <c r="AB683" s="227"/>
      <c r="AC683" s="227"/>
      <c r="AD683" s="209"/>
      <c r="AE683" s="209"/>
      <c r="AF683" s="207"/>
      <c r="AG683" s="207"/>
      <c r="AH683" s="207"/>
      <c r="AI683" s="207"/>
      <c r="AJ683" s="207"/>
      <c r="AK683" s="207"/>
      <c r="AL683" s="207"/>
      <c r="AM683" s="207"/>
      <c r="AN683" s="207"/>
      <c r="AO683" s="207"/>
      <c r="AP683" s="207"/>
      <c r="AQ683" s="207"/>
      <c r="AR683" s="207"/>
      <c r="AS683" s="207"/>
      <c r="AT683" s="2626"/>
    </row>
    <row r="684" spans="4:46">
      <c r="D684" s="168" t="s">
        <v>214</v>
      </c>
      <c r="E684" s="169" t="s">
        <v>204</v>
      </c>
      <c r="F684" s="153"/>
      <c r="G684" s="153"/>
      <c r="H684" s="153"/>
      <c r="I684" s="153"/>
      <c r="J684" s="153"/>
      <c r="K684" s="153"/>
      <c r="L684" s="153"/>
      <c r="M684" s="153"/>
      <c r="N684" s="153"/>
      <c r="O684" s="153"/>
      <c r="P684" s="153"/>
      <c r="Q684" s="153"/>
      <c r="R684" s="153"/>
      <c r="S684" s="153"/>
      <c r="T684" s="153"/>
      <c r="U684" s="153"/>
      <c r="V684" s="157">
        <f t="shared" ref="V684:AM684" si="1009">+(V818-V821)/V$303</f>
        <v>1.7899456193353473E-2</v>
      </c>
      <c r="W684" s="157">
        <f t="shared" si="1009"/>
        <v>1.7333638234621539E-2</v>
      </c>
      <c r="X684" s="157">
        <f t="shared" si="1009"/>
        <v>6.0255881139083785E-3</v>
      </c>
      <c r="Y684" s="157">
        <f t="shared" si="1009"/>
        <v>5.7621177690709985E-3</v>
      </c>
      <c r="Z684" s="157">
        <f t="shared" si="1009"/>
        <v>5.4999133599029646E-3</v>
      </c>
      <c r="AA684" s="157">
        <f t="shared" si="1009"/>
        <v>4.8665626208288064E-3</v>
      </c>
      <c r="AB684" s="157">
        <f t="shared" si="1009"/>
        <v>4.3115131930357873E-3</v>
      </c>
      <c r="AC684" s="157">
        <f t="shared" si="1009"/>
        <v>4.5187276354297159E-3</v>
      </c>
      <c r="AD684" s="157">
        <f t="shared" si="1009"/>
        <v>2.857100308857012E-3</v>
      </c>
      <c r="AE684" s="157">
        <f t="shared" si="1009"/>
        <v>4.7811203319502076E-3</v>
      </c>
      <c r="AF684" s="157">
        <f t="shared" si="1009"/>
        <v>4.6738258933014887E-3</v>
      </c>
      <c r="AG684" s="157">
        <f t="shared" si="1009"/>
        <v>3.8910915122582737E-3</v>
      </c>
      <c r="AH684" s="157">
        <f t="shared" si="1009"/>
        <v>4.0226892295410592E-3</v>
      </c>
      <c r="AI684" s="157">
        <f t="shared" si="1009"/>
        <v>3.4267955156624189E-3</v>
      </c>
      <c r="AJ684" s="157" t="e">
        <f t="shared" si="1009"/>
        <v>#DIV/0!</v>
      </c>
      <c r="AK684" s="157">
        <f t="shared" si="1009"/>
        <v>0</v>
      </c>
      <c r="AL684" s="157">
        <f t="shared" si="1009"/>
        <v>0</v>
      </c>
      <c r="AM684" s="157">
        <f t="shared" si="1009"/>
        <v>0</v>
      </c>
      <c r="AN684" s="157">
        <v>2.3018078703827089E-3</v>
      </c>
      <c r="AO684" s="157">
        <v>2.3018078703827089E-3</v>
      </c>
      <c r="AP684" s="157">
        <v>1.00230180787038</v>
      </c>
      <c r="AQ684" s="157">
        <v>2.00230180787038</v>
      </c>
      <c r="AR684" s="157">
        <v>3.00230180787038</v>
      </c>
      <c r="AS684" s="157">
        <v>4.0023018078703796</v>
      </c>
      <c r="AT684" s="2605">
        <v>5.0023018078703796</v>
      </c>
    </row>
    <row r="685" spans="4:46">
      <c r="D685" s="153" t="s">
        <v>247</v>
      </c>
      <c r="E685" s="153"/>
      <c r="F685" s="153"/>
      <c r="G685" s="153"/>
      <c r="H685" s="153"/>
      <c r="I685" s="153"/>
      <c r="J685" s="153"/>
      <c r="K685" s="153"/>
      <c r="L685" s="153"/>
      <c r="M685" s="153"/>
      <c r="N685" s="153"/>
      <c r="O685" s="153"/>
      <c r="P685" s="153"/>
      <c r="Q685" s="153"/>
      <c r="R685" s="153"/>
      <c r="S685" s="153"/>
      <c r="T685" s="153"/>
      <c r="U685" s="153"/>
      <c r="V685" s="207"/>
      <c r="W685" s="207"/>
      <c r="X685" s="211">
        <f>+X819</f>
        <v>35.5</v>
      </c>
      <c r="Y685" s="211">
        <f>+Y819</f>
        <v>25.258811314000003</v>
      </c>
      <c r="Z685" s="211">
        <f>+Z819</f>
        <v>26.8</v>
      </c>
      <c r="AA685" s="211">
        <f>+AA819</f>
        <v>26.979326674999996</v>
      </c>
      <c r="AB685" s="208">
        <f>28.3*0+27.9</f>
        <v>27.9</v>
      </c>
      <c r="AC685" s="212">
        <f>43.9*0+31.1*0+22.7</f>
        <v>22.7</v>
      </c>
      <c r="AD685" s="212">
        <f>43.8*0+25.4+8.4</f>
        <v>33.799999999999997</v>
      </c>
      <c r="AE685" s="208">
        <f>37.95+0.5</f>
        <v>38.450000000000003</v>
      </c>
      <c r="AF685" s="208">
        <f>40.3598811656589</f>
        <v>40.359881165658898</v>
      </c>
      <c r="AG685" s="208">
        <v>46.108078391956127</v>
      </c>
      <c r="AH685" s="208">
        <v>51.308078391956101</v>
      </c>
      <c r="AI685" s="208">
        <f t="shared" ref="AI685:AT685" si="1010">+AH386</f>
        <v>51.308078391956101</v>
      </c>
      <c r="AJ685" s="208">
        <f t="shared" si="1010"/>
        <v>51.308078391956101</v>
      </c>
      <c r="AK685" s="208">
        <f t="shared" si="1010"/>
        <v>0</v>
      </c>
      <c r="AL685" s="208">
        <f t="shared" si="1010"/>
        <v>0</v>
      </c>
      <c r="AM685" s="208">
        <f t="shared" si="1010"/>
        <v>0</v>
      </c>
      <c r="AN685" s="208">
        <f t="shared" si="1010"/>
        <v>0</v>
      </c>
      <c r="AO685" s="208">
        <f t="shared" si="1010"/>
        <v>0</v>
      </c>
      <c r="AP685" s="208">
        <f t="shared" si="1010"/>
        <v>0</v>
      </c>
      <c r="AQ685" s="208">
        <f t="shared" si="1010"/>
        <v>0</v>
      </c>
      <c r="AR685" s="208">
        <f t="shared" si="1010"/>
        <v>0</v>
      </c>
      <c r="AS685" s="208">
        <f t="shared" si="1010"/>
        <v>0</v>
      </c>
      <c r="AT685" s="2640">
        <f t="shared" si="1010"/>
        <v>0</v>
      </c>
    </row>
    <row r="686" spans="4:46">
      <c r="D686" s="153" t="s">
        <v>272</v>
      </c>
      <c r="E686" s="176" t="s">
        <v>286</v>
      </c>
      <c r="F686" s="153"/>
      <c r="G686" s="153"/>
      <c r="H686" s="153"/>
      <c r="I686" s="153"/>
      <c r="J686" s="153"/>
      <c r="K686" s="153"/>
      <c r="L686" s="153"/>
      <c r="M686" s="153"/>
      <c r="N686" s="153"/>
      <c r="O686" s="153"/>
      <c r="P686" s="153"/>
      <c r="Q686" s="153"/>
      <c r="R686" s="153"/>
      <c r="S686" s="153"/>
      <c r="T686" s="153"/>
      <c r="U686" s="153"/>
      <c r="V686" s="207"/>
      <c r="W686" s="207"/>
      <c r="X686" s="211"/>
      <c r="Y686" s="211"/>
      <c r="Z686" s="227">
        <v>3</v>
      </c>
      <c r="AA686" s="227">
        <v>3</v>
      </c>
      <c r="AB686" s="227">
        <v>3.4</v>
      </c>
      <c r="AC686" s="227">
        <v>3.8</v>
      </c>
      <c r="AD686" s="227">
        <v>6.7</v>
      </c>
      <c r="AE686" s="227">
        <v>7.64</v>
      </c>
      <c r="AF686" s="227">
        <v>8.7106168881134316</v>
      </c>
      <c r="AG686" s="227">
        <v>9.9504114347926311</v>
      </c>
      <c r="AH686" s="227">
        <v>12.250411434792628</v>
      </c>
      <c r="AI686" s="227">
        <f t="shared" ref="AI686:AT686" si="1011">AH387</f>
        <v>12.250411434792628</v>
      </c>
      <c r="AJ686" s="227">
        <f t="shared" si="1011"/>
        <v>12.250411434792628</v>
      </c>
      <c r="AK686" s="227">
        <f t="shared" si="1011"/>
        <v>0</v>
      </c>
      <c r="AL686" s="227">
        <f t="shared" si="1011"/>
        <v>0</v>
      </c>
      <c r="AM686" s="227">
        <f t="shared" si="1011"/>
        <v>0</v>
      </c>
      <c r="AN686" s="227">
        <f t="shared" si="1011"/>
        <v>0</v>
      </c>
      <c r="AO686" s="227">
        <f t="shared" si="1011"/>
        <v>0</v>
      </c>
      <c r="AP686" s="227">
        <f t="shared" si="1011"/>
        <v>0</v>
      </c>
      <c r="AQ686" s="227">
        <f t="shared" si="1011"/>
        <v>0</v>
      </c>
      <c r="AR686" s="227">
        <f t="shared" si="1011"/>
        <v>0</v>
      </c>
      <c r="AS686" s="227">
        <f t="shared" si="1011"/>
        <v>0</v>
      </c>
      <c r="AT686" s="2641">
        <f t="shared" si="1011"/>
        <v>0</v>
      </c>
    </row>
    <row r="687" spans="4:46" ht="15" customHeight="1">
      <c r="D687" s="213" t="s">
        <v>212</v>
      </c>
      <c r="E687" s="169"/>
      <c r="F687" s="153"/>
      <c r="G687" s="153"/>
      <c r="H687" s="153"/>
      <c r="I687" s="153"/>
      <c r="J687" s="153"/>
      <c r="K687" s="153"/>
      <c r="L687" s="153"/>
      <c r="M687" s="153"/>
      <c r="N687" s="153"/>
      <c r="O687" s="153"/>
      <c r="P687" s="153"/>
      <c r="Q687" s="153"/>
      <c r="R687" s="153"/>
      <c r="S687" s="153"/>
      <c r="T687" s="153"/>
      <c r="U687" s="153"/>
      <c r="V687" s="157">
        <f t="shared" ref="V687:AA687" si="1012">+V364+V377+V380+V385</f>
        <v>0.1343480126100092</v>
      </c>
      <c r="W687" s="157">
        <f t="shared" si="1012"/>
        <v>0.13622227303910359</v>
      </c>
      <c r="X687" s="157">
        <f t="shared" si="1012"/>
        <v>0.11390837804374743</v>
      </c>
      <c r="Y687" s="157">
        <f t="shared" si="1012"/>
        <v>0.12229617481363293</v>
      </c>
      <c r="Z687" s="157">
        <f t="shared" si="1012"/>
        <v>0.12116444290417605</v>
      </c>
      <c r="AA687" s="157">
        <f t="shared" si="1012"/>
        <v>0.11678068673102593</v>
      </c>
      <c r="AB687" s="208"/>
      <c r="AC687" s="210"/>
      <c r="AD687" s="210"/>
      <c r="AE687" s="210"/>
      <c r="AF687" s="157"/>
      <c r="AG687" s="157"/>
      <c r="AH687" s="157"/>
      <c r="AI687" s="157"/>
      <c r="AJ687" s="157"/>
      <c r="AK687" s="157"/>
      <c r="AL687" s="157"/>
      <c r="AM687" s="157"/>
      <c r="AN687" s="157"/>
      <c r="AO687" s="157"/>
      <c r="AP687" s="157"/>
      <c r="AQ687" s="157"/>
      <c r="AR687" s="157"/>
      <c r="AS687" s="157"/>
      <c r="AT687" s="2605"/>
    </row>
    <row r="688" spans="4:46">
      <c r="D688" s="168" t="s">
        <v>211</v>
      </c>
      <c r="E688" s="169" t="s">
        <v>204</v>
      </c>
      <c r="F688" s="153"/>
      <c r="G688" s="153"/>
      <c r="H688" s="153"/>
      <c r="I688" s="153"/>
      <c r="J688" s="153"/>
      <c r="K688" s="153"/>
      <c r="L688" s="153"/>
      <c r="M688" s="153"/>
      <c r="N688" s="153"/>
      <c r="O688" s="153"/>
      <c r="P688" s="153"/>
      <c r="Q688" s="153"/>
      <c r="R688" s="153"/>
      <c r="S688" s="153"/>
      <c r="T688" s="153"/>
      <c r="U688" s="153"/>
      <c r="V688" s="157">
        <f t="shared" ref="V688:AJ688" si="1013">V1240/V421</f>
        <v>5.793011116993118E-2</v>
      </c>
      <c r="W688" s="157">
        <f t="shared" si="1013"/>
        <v>5.2961353761719641E-2</v>
      </c>
      <c r="X688" s="157">
        <f t="shared" si="1013"/>
        <v>4.9401568303755673E-2</v>
      </c>
      <c r="Y688" s="157">
        <f t="shared" si="1013"/>
        <v>5.0893862930513602E-2</v>
      </c>
      <c r="Z688" s="157">
        <f t="shared" si="1013"/>
        <v>5.0267808799048255E-2</v>
      </c>
      <c r="AA688" s="157">
        <f t="shared" si="1013"/>
        <v>5.1631699215582805E-2</v>
      </c>
      <c r="AB688" s="157">
        <f t="shared" si="1013"/>
        <v>4.0336080452535575E-2</v>
      </c>
      <c r="AC688" s="157">
        <f t="shared" si="1013"/>
        <v>4.171523345038837E-2</v>
      </c>
      <c r="AD688" s="157">
        <f t="shared" si="1013"/>
        <v>5.1271930000341533E-2</v>
      </c>
      <c r="AE688" s="157">
        <f t="shared" si="1013"/>
        <v>4.8252457654564318E-2</v>
      </c>
      <c r="AF688" s="157">
        <f t="shared" si="1013"/>
        <v>5.3019705980474334E-2</v>
      </c>
      <c r="AG688" s="157">
        <f t="shared" si="1013"/>
        <v>6.474447895015778E-2</v>
      </c>
      <c r="AH688" s="157">
        <f t="shared" si="1013"/>
        <v>4.7275541719966022E-2</v>
      </c>
      <c r="AI688" s="157">
        <f t="shared" si="1013"/>
        <v>3.5433297742714649E-2</v>
      </c>
      <c r="AJ688" s="157">
        <f t="shared" si="1013"/>
        <v>2.8585434644036484E-2</v>
      </c>
      <c r="AK688" s="206">
        <f t="shared" ref="AK688:AM688" si="1014">+AJ688*(1+AK690*AK$422)/(1+AK$422)</f>
        <v>2.5557604165421365E-2</v>
      </c>
      <c r="AL688" s="206">
        <f>+AK688*(1+AL690*AL$422)/(1+AL$422)</f>
        <v>3.1385368973322614E-2</v>
      </c>
      <c r="AM688" s="206">
        <f t="shared" si="1014"/>
        <v>3.7027736064412876E-2</v>
      </c>
      <c r="AN688" s="206">
        <f t="shared" ref="AN688" si="1015">+AM688*(1+AN690*AN$422)/(1+AN$422)</f>
        <v>4.000076929394588E-2</v>
      </c>
      <c r="AO688" s="206">
        <f t="shared" ref="AO688" si="1016">+AN688*(1+AO690*AO$422)/(1+AO$422)</f>
        <v>4.2048103734780171E-2</v>
      </c>
      <c r="AP688" s="206">
        <f t="shared" ref="AP688" si="1017">+AO688*(1+AP690*AP$422)/(1+AP$422)</f>
        <v>4.1097262423082842E-2</v>
      </c>
      <c r="AQ688" s="206">
        <f t="shared" ref="AQ688" si="1018">+AP688*(1+AQ690*AQ$422)/(1+AQ$422)</f>
        <v>4.6565309386468551E-2</v>
      </c>
      <c r="AR688" s="206">
        <f t="shared" ref="AR688" si="1019">+AQ688*(1+AR690*AR$422)/(1+AR$422)</f>
        <v>5.1825879714641962E-2</v>
      </c>
      <c r="AS688" s="206">
        <f t="shared" ref="AS688" si="1020">+AR688*(1+AS690*AS$422)/(1+AS$422)</f>
        <v>5.7494719785161276E-2</v>
      </c>
      <c r="AT688" s="2639">
        <f t="shared" ref="AT688" si="1021">+AS688*(1+AT690*AT$422)/(1+AT$422)</f>
        <v>6.0035150681447554E-2</v>
      </c>
    </row>
    <row r="689" spans="4:51">
      <c r="D689" s="153" t="s">
        <v>251</v>
      </c>
      <c r="E689" s="153"/>
      <c r="F689" s="153"/>
      <c r="G689" s="153"/>
      <c r="H689" s="153"/>
      <c r="I689" s="153"/>
      <c r="J689" s="153"/>
      <c r="K689" s="153"/>
      <c r="L689" s="153"/>
      <c r="M689" s="153"/>
      <c r="N689" s="153"/>
      <c r="O689" s="153"/>
      <c r="P689" s="153"/>
      <c r="Q689" s="153"/>
      <c r="R689" s="153"/>
      <c r="S689" s="153"/>
      <c r="T689" s="153"/>
      <c r="U689" s="153"/>
      <c r="V689" s="157" t="e">
        <f>+V1240/U1240-1</f>
        <v>#DIV/0!</v>
      </c>
      <c r="W689" s="157">
        <f t="shared" ref="W689:AE689" si="1022">+W1240/V1240-1</f>
        <v>5.8210921723644615E-2</v>
      </c>
      <c r="X689" s="157">
        <f t="shared" si="1022"/>
        <v>3.3678756476684057E-2</v>
      </c>
      <c r="Y689" s="157">
        <f t="shared" si="1022"/>
        <v>0.1258725901420219</v>
      </c>
      <c r="Z689" s="157">
        <f t="shared" si="1022"/>
        <v>7.628586476794319E-2</v>
      </c>
      <c r="AA689" s="157">
        <f t="shared" si="1022"/>
        <v>0.14673619501170632</v>
      </c>
      <c r="AB689" s="157">
        <f t="shared" si="1022"/>
        <v>-0.12249880254314605</v>
      </c>
      <c r="AC689" s="157">
        <f t="shared" si="1022"/>
        <v>0.14065454326260629</v>
      </c>
      <c r="AD689" s="157">
        <f t="shared" si="1022"/>
        <v>0.35258818950818394</v>
      </c>
      <c r="AE689" s="157">
        <f t="shared" si="1022"/>
        <v>3.2819619976694359E-2</v>
      </c>
      <c r="AF689" s="157">
        <f>+AF1240/AE1240-1</f>
        <v>0.19670960999339759</v>
      </c>
      <c r="AG689" s="157">
        <f>+AG1240/AF1240-1</f>
        <v>0.43747672526753445</v>
      </c>
      <c r="AH689" s="157">
        <f t="shared" ref="AH689:AJ689" si="1023">+AH1240/AG1240-1</f>
        <v>-6.6514602580266868E-2</v>
      </c>
      <c r="AI689" s="157">
        <f t="shared" si="1023"/>
        <v>-0.12016070904266141</v>
      </c>
      <c r="AJ689" s="157">
        <f t="shared" si="1023"/>
        <v>-5.8206054819415654E-2</v>
      </c>
      <c r="AK689" s="206">
        <f>AK690*AK422</f>
        <v>4.4141416307497579E-2</v>
      </c>
      <c r="AL689" s="206">
        <f t="shared" ref="AL689:AT689" si="1024">AL690*AL422</f>
        <v>0.401042835206328</v>
      </c>
      <c r="AM689" s="206">
        <f t="shared" si="1024"/>
        <v>0.32894177802751878</v>
      </c>
      <c r="AN689" s="206">
        <f t="shared" si="1024"/>
        <v>0.21884454095713135</v>
      </c>
      <c r="AO689" s="206">
        <f t="shared" si="1024"/>
        <v>0.18238582203609943</v>
      </c>
      <c r="AP689" s="206">
        <f t="shared" si="1024"/>
        <v>8.9539646380381921E-2</v>
      </c>
      <c r="AQ689" s="206">
        <f t="shared" si="1024"/>
        <v>0.27056962555616504</v>
      </c>
      <c r="AR689" s="206">
        <f t="shared" si="1024"/>
        <v>0.23971912989714347</v>
      </c>
      <c r="AS689" s="206">
        <f t="shared" si="1024"/>
        <v>0.23824222137400333</v>
      </c>
      <c r="AT689" s="2639">
        <f t="shared" si="1024"/>
        <v>0.34029275337013126</v>
      </c>
    </row>
    <row r="690" spans="4:51">
      <c r="D690" s="153" t="s">
        <v>250</v>
      </c>
      <c r="E690" s="153"/>
      <c r="F690" s="153"/>
      <c r="G690" s="153"/>
      <c r="H690" s="153"/>
      <c r="I690" s="153"/>
      <c r="J690" s="153"/>
      <c r="K690" s="153"/>
      <c r="L690" s="153"/>
      <c r="M690" s="153"/>
      <c r="N690" s="153"/>
      <c r="O690" s="153"/>
      <c r="P690" s="153"/>
      <c r="Q690" s="153"/>
      <c r="R690" s="153"/>
      <c r="S690" s="153"/>
      <c r="T690" s="153"/>
      <c r="U690" s="153"/>
      <c r="V690" s="207"/>
      <c r="W690" s="207">
        <f t="shared" ref="W690:AJ690" si="1025">+(W1240/V1240-1)/W$422</f>
        <v>0.36961489457467128</v>
      </c>
      <c r="X690" s="207">
        <f t="shared" si="1025"/>
        <v>0.3113682919081171</v>
      </c>
      <c r="Y690" s="207">
        <f t="shared" si="1025"/>
        <v>1.3555079373960861</v>
      </c>
      <c r="Z690" s="207">
        <f t="shared" si="1025"/>
        <v>0.85054724170742457</v>
      </c>
      <c r="AA690" s="207">
        <f t="shared" si="1025"/>
        <v>1.2601407461496383</v>
      </c>
      <c r="AB690" s="207">
        <f t="shared" si="1025"/>
        <v>-0.99402995564923169</v>
      </c>
      <c r="AC690" s="207">
        <f t="shared" si="1025"/>
        <v>1.3663314491160832</v>
      </c>
      <c r="AD690" s="207">
        <f t="shared" si="1025"/>
        <v>3.5091757215141195</v>
      </c>
      <c r="AE690" s="207">
        <f t="shared" si="1025"/>
        <v>0.33678451153654609</v>
      </c>
      <c r="AF690" s="207">
        <f t="shared" si="1025"/>
        <v>2.2075444008572234</v>
      </c>
      <c r="AG690" s="207">
        <f t="shared" si="1025"/>
        <v>2.4693914723569064</v>
      </c>
      <c r="AH690" s="207">
        <f t="shared" si="1025"/>
        <v>-0.23889973068570708</v>
      </c>
      <c r="AI690" s="207">
        <f t="shared" si="1025"/>
        <v>-0.69100607929901769</v>
      </c>
      <c r="AJ690" s="207">
        <f t="shared" si="1025"/>
        <v>-0.34768979122805538</v>
      </c>
      <c r="AK690" s="1005">
        <v>0.26299431565503029</v>
      </c>
      <c r="AL690" s="1005">
        <v>2.8464673921659971</v>
      </c>
      <c r="AM690" s="1005">
        <v>2.6016725467480053</v>
      </c>
      <c r="AN690" s="1005">
        <v>1.7063283138187073</v>
      </c>
      <c r="AO690" s="1005">
        <v>1.4612479217542369</v>
      </c>
      <c r="AP690" s="1005">
        <v>0.78031801441637305</v>
      </c>
      <c r="AQ690" s="1005">
        <v>2.22929877400263</v>
      </c>
      <c r="AR690" s="1005">
        <v>2.1049816861035051</v>
      </c>
      <c r="AS690" s="1005">
        <v>2.0510797481172922</v>
      </c>
      <c r="AT690" s="1005">
        <v>1.2</v>
      </c>
    </row>
    <row r="691" spans="4:51">
      <c r="D691" s="153" t="s">
        <v>215</v>
      </c>
      <c r="E691" s="156" t="s">
        <v>263</v>
      </c>
      <c r="F691" s="153"/>
      <c r="G691" s="153"/>
      <c r="H691" s="153"/>
      <c r="I691" s="153"/>
      <c r="J691" s="153"/>
      <c r="K691" s="153"/>
      <c r="L691" s="153"/>
      <c r="M691" s="153"/>
      <c r="N691" s="153"/>
      <c r="O691" s="153"/>
      <c r="P691" s="153"/>
      <c r="Q691" s="153"/>
      <c r="R691" s="153"/>
      <c r="S691" s="153"/>
      <c r="T691" s="153"/>
      <c r="U691" s="153"/>
      <c r="V691" s="207">
        <f t="shared" ref="V691:AT691" si="1026">+V221</f>
        <v>47.23025326702902</v>
      </c>
      <c r="W691" s="207">
        <f t="shared" si="1026"/>
        <v>49.414519906323179</v>
      </c>
      <c r="X691" s="207">
        <f t="shared" si="1026"/>
        <v>50.701362065460451</v>
      </c>
      <c r="Y691" s="207">
        <f t="shared" si="1026"/>
        <v>53.371813371813367</v>
      </c>
      <c r="Z691" s="207">
        <f t="shared" si="1026"/>
        <v>51.98041343995331</v>
      </c>
      <c r="AA691" s="207">
        <f t="shared" si="1026"/>
        <v>54.849717222265809</v>
      </c>
      <c r="AB691" s="207">
        <f t="shared" si="1026"/>
        <v>59.02760627700966</v>
      </c>
      <c r="AC691" s="207">
        <f t="shared" si="1026"/>
        <v>59.745537290686855</v>
      </c>
      <c r="AD691" s="207">
        <f t="shared" si="1026"/>
        <v>62.593638643126575</v>
      </c>
      <c r="AE691" s="207">
        <f t="shared" si="1026"/>
        <v>67.485772024015361</v>
      </c>
      <c r="AF691" s="207">
        <f t="shared" si="1026"/>
        <v>71.244363762593935</v>
      </c>
      <c r="AG691" s="207">
        <f t="shared" si="1026"/>
        <v>82.718794524983736</v>
      </c>
      <c r="AH691" s="207">
        <f t="shared" si="1026"/>
        <v>92.200894577447244</v>
      </c>
      <c r="AI691" s="207">
        <f t="shared" si="1026"/>
        <v>99.177017250013861</v>
      </c>
      <c r="AJ691" s="207">
        <f t="shared" si="1026"/>
        <v>103.76106069320899</v>
      </c>
      <c r="AK691" s="207">
        <f t="shared" si="1026"/>
        <v>109.7843858510183</v>
      </c>
      <c r="AL691" s="207">
        <f t="shared" si="1026"/>
        <v>116.62265116758408</v>
      </c>
      <c r="AM691" s="207">
        <f t="shared" si="1026"/>
        <v>123.78754217384758</v>
      </c>
      <c r="AN691" s="207">
        <f t="shared" si="1026"/>
        <v>130.55523650662553</v>
      </c>
      <c r="AO691" s="207">
        <f t="shared" si="1026"/>
        <v>136.49323411190423</v>
      </c>
      <c r="AP691" s="207">
        <f t="shared" si="1026"/>
        <v>139.78152923331339</v>
      </c>
      <c r="AQ691" s="207">
        <f>+AQ221</f>
        <v>144.56906272844424</v>
      </c>
      <c r="AR691" s="207">
        <f t="shared" si="1026"/>
        <v>151.08254838837806</v>
      </c>
      <c r="AS691" s="207">
        <f t="shared" si="1026"/>
        <v>158.08745032077701</v>
      </c>
      <c r="AT691" s="2626">
        <f t="shared" si="1026"/>
        <v>165.6457911665731</v>
      </c>
    </row>
    <row r="692" spans="4:51">
      <c r="D692" s="153" t="s">
        <v>287</v>
      </c>
      <c r="E692" s="156" t="s">
        <v>741</v>
      </c>
      <c r="F692" s="153"/>
      <c r="G692" s="153"/>
      <c r="H692" s="153"/>
      <c r="I692" s="153"/>
      <c r="J692" s="153"/>
      <c r="K692" s="153"/>
      <c r="L692" s="153"/>
      <c r="M692" s="153"/>
      <c r="N692" s="153"/>
      <c r="O692" s="153"/>
      <c r="P692" s="153"/>
      <c r="Q692" s="153"/>
      <c r="R692" s="153"/>
      <c r="S692" s="153"/>
      <c r="T692" s="153"/>
      <c r="U692" s="153"/>
      <c r="V692" s="207"/>
      <c r="W692" s="207"/>
      <c r="X692" s="207"/>
      <c r="Y692" s="207"/>
      <c r="Z692" s="207"/>
      <c r="AA692" s="172">
        <v>70.106999999999999</v>
      </c>
      <c r="AB692" s="172">
        <v>59.3</v>
      </c>
      <c r="AC692" s="172">
        <v>59.3</v>
      </c>
      <c r="AD692" s="207"/>
      <c r="AE692" s="207"/>
      <c r="AF692" s="207"/>
      <c r="AG692" s="207"/>
      <c r="AH692" s="207"/>
      <c r="AI692" s="207"/>
      <c r="AJ692" s="207"/>
      <c r="AK692" s="207"/>
      <c r="AL692" s="207"/>
      <c r="AM692" s="207"/>
      <c r="AN692" s="207"/>
      <c r="AO692" s="207"/>
      <c r="AP692" s="207"/>
      <c r="AQ692" s="207"/>
      <c r="AR692" s="207"/>
      <c r="AS692" s="207"/>
      <c r="AT692" s="2626"/>
    </row>
    <row r="693" spans="4:51">
      <c r="D693" s="153" t="s">
        <v>3852</v>
      </c>
      <c r="E693" s="169" t="s">
        <v>204</v>
      </c>
      <c r="F693" s="153"/>
      <c r="G693" s="153"/>
      <c r="H693" s="153"/>
      <c r="I693" s="153"/>
      <c r="J693" s="153"/>
      <c r="K693" s="153"/>
      <c r="L693" s="153"/>
      <c r="M693" s="153"/>
      <c r="N693" s="153"/>
      <c r="O693" s="153"/>
      <c r="P693" s="153"/>
      <c r="Q693" s="153"/>
      <c r="R693" s="153"/>
      <c r="S693" s="153"/>
      <c r="T693" s="153"/>
      <c r="U693" s="153"/>
      <c r="V693" s="157">
        <f t="shared" ref="V693:AD693" si="1027">+V834/V$303</f>
        <v>5.7725503660843294E-2</v>
      </c>
      <c r="W693" s="157">
        <f t="shared" si="1027"/>
        <v>5.7466270294991996E-2</v>
      </c>
      <c r="X693" s="157">
        <f t="shared" si="1027"/>
        <v>6.7086256706562111E-2</v>
      </c>
      <c r="Y693" s="157">
        <f t="shared" si="1027"/>
        <v>7.3994189594057208E-2</v>
      </c>
      <c r="Z693" s="157">
        <f t="shared" si="1027"/>
        <v>6.6071738000346561E-2</v>
      </c>
      <c r="AA693" s="157">
        <f t="shared" si="1027"/>
        <v>4.2186561437472139E-2</v>
      </c>
      <c r="AB693" s="157">
        <f t="shared" si="1027"/>
        <v>4.7158206923839853E-2</v>
      </c>
      <c r="AC693" s="157">
        <f t="shared" si="1027"/>
        <v>4.8491658169150589E-2</v>
      </c>
      <c r="AD693" s="157">
        <f t="shared" si="1027"/>
        <v>5.100227643827205E-2</v>
      </c>
      <c r="AE693" s="2381">
        <f t="shared" ref="AE693:AT693" si="1028">(AD62+AE59+AD86+AE81)</f>
        <v>593.97066842831816</v>
      </c>
      <c r="AF693" s="2381">
        <f t="shared" si="1028"/>
        <v>706.58452718199999</v>
      </c>
      <c r="AG693" s="2381">
        <f t="shared" si="1028"/>
        <v>773.40397842611401</v>
      </c>
      <c r="AH693" s="2381">
        <f t="shared" si="1028"/>
        <v>773.29663077700002</v>
      </c>
      <c r="AI693" s="2381">
        <f t="shared" si="1028"/>
        <v>902.9322354410001</v>
      </c>
      <c r="AJ693" s="2381">
        <f t="shared" si="1028"/>
        <v>840.79348485889193</v>
      </c>
      <c r="AK693" s="2381">
        <f t="shared" si="1028"/>
        <v>921.33165297490768</v>
      </c>
      <c r="AL693" s="2381">
        <f t="shared" si="1028"/>
        <v>832.76467423674478</v>
      </c>
      <c r="AM693" s="2381">
        <f t="shared" si="1028"/>
        <v>833.37179297272337</v>
      </c>
      <c r="AN693" s="2381">
        <f t="shared" si="1028"/>
        <v>859.37179345491177</v>
      </c>
      <c r="AO693" s="2381">
        <f t="shared" si="1028"/>
        <v>869.67593377218031</v>
      </c>
      <c r="AP693" s="2381">
        <f t="shared" si="1028"/>
        <v>919.50937202838713</v>
      </c>
      <c r="AQ693" s="2381">
        <f t="shared" si="1028"/>
        <v>905.0972839938031</v>
      </c>
      <c r="AR693" s="2381">
        <f t="shared" si="1028"/>
        <v>661.30749433822018</v>
      </c>
      <c r="AS693" s="2381">
        <f t="shared" si="1028"/>
        <v>661.30749433822018</v>
      </c>
      <c r="AT693" s="2668">
        <f t="shared" si="1028"/>
        <v>661.30749433822018</v>
      </c>
    </row>
    <row r="694" spans="4:51">
      <c r="D694" s="1662" t="s">
        <v>3309</v>
      </c>
      <c r="E694" s="1662"/>
      <c r="F694" s="1662"/>
      <c r="G694" s="1662"/>
      <c r="H694" s="1662"/>
      <c r="I694" s="1662"/>
      <c r="J694" s="1662"/>
      <c r="K694" s="1662"/>
      <c r="L694" s="1662"/>
      <c r="M694" s="1662"/>
      <c r="N694" s="1662"/>
      <c r="O694" s="1662"/>
      <c r="P694" s="1662"/>
      <c r="Q694" s="1662"/>
      <c r="R694" s="1662"/>
      <c r="S694" s="1662"/>
      <c r="T694" s="1662"/>
      <c r="U694" s="1662"/>
      <c r="V694" s="1663"/>
      <c r="W694" s="1664"/>
      <c r="X694" s="1664"/>
      <c r="Y694" s="1664"/>
      <c r="Z694" s="1664"/>
      <c r="AA694" s="1664"/>
      <c r="AB694" s="1664"/>
      <c r="AC694" s="1664"/>
      <c r="AD694" s="1664"/>
      <c r="AE694" s="1664"/>
      <c r="AF694" s="1664"/>
      <c r="AG694" s="1664"/>
      <c r="AH694" s="1665">
        <v>4.6000000000000005</v>
      </c>
      <c r="AI694" s="1665">
        <f>(17.52*2)*AI259/1000</f>
        <v>44.043293018839996</v>
      </c>
      <c r="AJ694" s="1665">
        <v>0</v>
      </c>
      <c r="AK694" s="1665"/>
      <c r="AL694" s="1665"/>
      <c r="AM694" s="1665"/>
      <c r="AN694" s="1665"/>
      <c r="AO694" s="1665"/>
      <c r="AP694" s="1665"/>
      <c r="AQ694" s="1665"/>
      <c r="AR694" s="1665"/>
      <c r="AS694" s="1665"/>
      <c r="AT694" s="2665"/>
    </row>
    <row r="695" spans="4:51" ht="23.25" customHeight="1">
      <c r="D695" s="214" t="s">
        <v>217</v>
      </c>
      <c r="E695" s="215"/>
      <c r="F695" s="215"/>
      <c r="G695" s="215"/>
      <c r="H695" s="215"/>
      <c r="I695" s="215"/>
      <c r="J695" s="215"/>
      <c r="K695" s="215"/>
      <c r="L695" s="215"/>
      <c r="M695" s="215"/>
      <c r="N695" s="215"/>
      <c r="O695" s="215"/>
      <c r="P695" s="215"/>
      <c r="Q695" s="215"/>
      <c r="R695" s="215"/>
      <c r="S695" s="215"/>
      <c r="T695" s="215"/>
      <c r="U695" s="215"/>
      <c r="V695" s="216" t="str">
        <f t="shared" ref="V695:AA695" si="1029">+IF(ABS(V389+V394-V1005)&gt;0.002,"check","")</f>
        <v/>
      </c>
      <c r="W695" s="216" t="str">
        <f t="shared" si="1029"/>
        <v/>
      </c>
      <c r="X695" s="216" t="str">
        <f t="shared" si="1029"/>
        <v/>
      </c>
      <c r="Y695" s="216" t="str">
        <f t="shared" si="1029"/>
        <v/>
      </c>
      <c r="Z695" s="216" t="str">
        <f t="shared" si="1029"/>
        <v/>
      </c>
      <c r="AA695" s="216" t="str">
        <f t="shared" si="1029"/>
        <v/>
      </c>
      <c r="AB695" s="217"/>
      <c r="AC695" s="218"/>
      <c r="AD695" s="215"/>
      <c r="AE695" s="215"/>
      <c r="AF695" s="216"/>
      <c r="AG695" s="216" t="str">
        <f t="shared" ref="AG695:AO695" si="1030">+IF(ABS(AG389+AG394-AG1005)&gt;0.002,"check","")</f>
        <v/>
      </c>
      <c r="AH695" s="216" t="str">
        <f t="shared" si="1030"/>
        <v/>
      </c>
      <c r="AI695" s="216" t="str">
        <f t="shared" si="1030"/>
        <v/>
      </c>
      <c r="AJ695" s="216" t="e">
        <f t="shared" si="1030"/>
        <v>#DIV/0!</v>
      </c>
      <c r="AK695" s="2818" t="e">
        <f t="shared" si="1030"/>
        <v>#DIV/0!</v>
      </c>
      <c r="AL695" s="216" t="e">
        <f t="shared" si="1030"/>
        <v>#DIV/0!</v>
      </c>
      <c r="AM695" s="216" t="e">
        <f t="shared" si="1030"/>
        <v>#DIV/0!</v>
      </c>
      <c r="AN695" s="216" t="e">
        <f t="shared" si="1030"/>
        <v>#DIV/0!</v>
      </c>
      <c r="AO695" s="216" t="e">
        <f t="shared" si="1030"/>
        <v>#DIV/0!</v>
      </c>
      <c r="AP695" s="216"/>
      <c r="AQ695" s="216"/>
      <c r="AR695" s="216"/>
      <c r="AS695" s="216"/>
      <c r="AT695" s="2643"/>
    </row>
    <row r="696" spans="4:51" ht="15.75" customHeight="1">
      <c r="D696" s="219" t="s">
        <v>146</v>
      </c>
      <c r="E696" s="153"/>
      <c r="F696" s="153"/>
      <c r="G696" s="153"/>
      <c r="H696" s="153"/>
      <c r="I696" s="153"/>
      <c r="J696" s="153"/>
      <c r="K696" s="153"/>
      <c r="L696" s="153"/>
      <c r="M696" s="153"/>
      <c r="N696" s="153"/>
      <c r="O696" s="153"/>
      <c r="P696" s="153"/>
      <c r="Q696" s="153"/>
      <c r="R696" s="153"/>
      <c r="S696" s="153"/>
      <c r="T696" s="153"/>
      <c r="U696" s="153"/>
      <c r="V696" s="157"/>
      <c r="W696" s="157"/>
      <c r="X696" s="157"/>
      <c r="Y696" s="157"/>
      <c r="Z696" s="157"/>
      <c r="AA696" s="157"/>
      <c r="AB696" s="173"/>
      <c r="AC696" s="180"/>
      <c r="AD696" s="153"/>
      <c r="AE696" s="153"/>
      <c r="AF696" s="157"/>
      <c r="AG696" s="157"/>
      <c r="AH696" s="157"/>
      <c r="AI696" s="157"/>
      <c r="AJ696" s="157"/>
      <c r="AK696" s="157"/>
      <c r="AL696" s="2381"/>
      <c r="AM696" s="2381"/>
      <c r="AN696" s="2381"/>
      <c r="AO696" s="2381"/>
      <c r="AP696" s="2381"/>
      <c r="AQ696" s="157"/>
      <c r="AR696" s="157"/>
      <c r="AS696" s="157"/>
      <c r="AT696" s="2605"/>
    </row>
    <row r="697" spans="4:51" ht="15.75" customHeight="1">
      <c r="D697" s="1912" t="s">
        <v>3273</v>
      </c>
      <c r="E697" s="153"/>
      <c r="F697" s="153"/>
      <c r="G697" s="153"/>
      <c r="H697" s="153"/>
      <c r="I697" s="153"/>
      <c r="J697" s="153"/>
      <c r="K697" s="153"/>
      <c r="L697" s="153"/>
      <c r="M697" s="153"/>
      <c r="N697" s="153"/>
      <c r="O697" s="153"/>
      <c r="P697" s="153"/>
      <c r="Q697" s="153"/>
      <c r="R697" s="153"/>
      <c r="S697" s="153"/>
      <c r="T697" s="153"/>
      <c r="U697" s="153"/>
      <c r="V697" s="157"/>
      <c r="W697" s="207">
        <f t="shared" ref="W697:AI697" si="1031">W1199</f>
        <v>0</v>
      </c>
      <c r="X697" s="207">
        <f t="shared" si="1031"/>
        <v>27</v>
      </c>
      <c r="Y697" s="207">
        <f t="shared" si="1031"/>
        <v>31.426778254999999</v>
      </c>
      <c r="Z697" s="207">
        <f t="shared" si="1031"/>
        <v>46.041863857999999</v>
      </c>
      <c r="AA697" s="207">
        <f t="shared" si="1031"/>
        <v>39.6</v>
      </c>
      <c r="AB697" s="207">
        <f t="shared" si="1031"/>
        <v>80.861739053000008</v>
      </c>
      <c r="AC697" s="207">
        <f t="shared" si="1031"/>
        <v>75.644475446999991</v>
      </c>
      <c r="AD697" s="207">
        <f t="shared" si="1031"/>
        <v>117.83587177299999</v>
      </c>
      <c r="AE697" s="207">
        <f t="shared" si="1031"/>
        <v>127.92333151299999</v>
      </c>
      <c r="AF697" s="207">
        <f t="shared" si="1031"/>
        <v>146.21061789099997</v>
      </c>
      <c r="AG697" s="207">
        <f t="shared" si="1031"/>
        <v>260.06328746499997</v>
      </c>
      <c r="AH697" s="207">
        <f t="shared" si="1031"/>
        <v>177.2</v>
      </c>
      <c r="AI697" s="207">
        <f t="shared" si="1031"/>
        <v>176.54582574299999</v>
      </c>
      <c r="AJ697" s="1664">
        <f>AJ698*AJ421</f>
        <v>174.90445145960845</v>
      </c>
      <c r="AK697" s="2727">
        <f>127*AK259/1000</f>
        <v>185.18492334935436</v>
      </c>
      <c r="AL697" s="2727">
        <f>(127)*AL259/1000</f>
        <v>193.25102964525004</v>
      </c>
      <c r="AM697" s="2727">
        <f>(AL77+AM70)*AM259/1000</f>
        <v>158.32304226619874</v>
      </c>
      <c r="AN697" s="2727">
        <f>(AM77+AN70)*AN259/1000</f>
        <v>94.691593443879952</v>
      </c>
      <c r="AO697" s="2727">
        <f>(AN77+AO70)*AO259/1000</f>
        <v>98.349085040532898</v>
      </c>
      <c r="AP697" s="2727">
        <f t="shared" ref="AP697:AT697" si="1032">(AO77+AP70)*AP259/1000</f>
        <v>76.952256383803416</v>
      </c>
      <c r="AQ697" s="2727">
        <f t="shared" si="1032"/>
        <v>68.020622287223318</v>
      </c>
      <c r="AR697" s="2727">
        <f t="shared" si="1032"/>
        <v>0</v>
      </c>
      <c r="AS697" s="2727">
        <f t="shared" si="1032"/>
        <v>0</v>
      </c>
      <c r="AT697" s="2727">
        <f t="shared" si="1032"/>
        <v>0</v>
      </c>
      <c r="AU697" s="958"/>
      <c r="AV697" s="1114">
        <f>(57)*AL259/1000</f>
        <v>86.734714092750011</v>
      </c>
      <c r="AW697" s="1114"/>
      <c r="AY697" s="958"/>
    </row>
    <row r="698" spans="4:51" ht="15.75" customHeight="1">
      <c r="D698" s="1913" t="s">
        <v>274</v>
      </c>
      <c r="E698" s="153"/>
      <c r="F698" s="153"/>
      <c r="G698" s="153"/>
      <c r="H698" s="153"/>
      <c r="I698" s="153"/>
      <c r="J698" s="153"/>
      <c r="K698" s="153"/>
      <c r="L698" s="153"/>
      <c r="M698" s="153"/>
      <c r="N698" s="153"/>
      <c r="O698" s="153"/>
      <c r="P698" s="153"/>
      <c r="Q698" s="153"/>
      <c r="R698" s="153"/>
      <c r="S698" s="153"/>
      <c r="T698" s="153"/>
      <c r="U698" s="153"/>
      <c r="V698" s="157"/>
      <c r="W698" s="157"/>
      <c r="X698" s="157">
        <f t="shared" ref="X698:AD698" si="1033">+X397/X$303</f>
        <v>5.571605447791993E-3</v>
      </c>
      <c r="Y698" s="157">
        <f t="shared" si="1033"/>
        <v>5.9340593381797578E-3</v>
      </c>
      <c r="Z698" s="157">
        <f t="shared" si="1033"/>
        <v>5.8287067648587765E-3</v>
      </c>
      <c r="AA698" s="157">
        <f t="shared" si="1033"/>
        <v>5.2149619742356051E-3</v>
      </c>
      <c r="AB698" s="157">
        <f t="shared" si="1033"/>
        <v>1.0163050987978444E-2</v>
      </c>
      <c r="AC698" s="157">
        <f t="shared" si="1033"/>
        <v>1.0937108494111751E-2</v>
      </c>
      <c r="AD698" s="157">
        <f t="shared" si="1033"/>
        <v>1.2181238615664846E-2</v>
      </c>
      <c r="AE698" s="157">
        <f t="shared" ref="AE698:AG698" si="1034">+AE697/AE$421</f>
        <v>1.3270055136203319E-2</v>
      </c>
      <c r="AF698" s="157">
        <f t="shared" si="1034"/>
        <v>1.3926147051242973E-2</v>
      </c>
      <c r="AG698" s="157">
        <f t="shared" si="1034"/>
        <v>2.1042421511853707E-2</v>
      </c>
      <c r="AH698" s="157">
        <f>+AH697/AH$421</f>
        <v>1.1215189873417721E-2</v>
      </c>
      <c r="AI698" s="157">
        <f t="shared" ref="AI698:AT698" si="1035">+AI697/AI$421</f>
        <v>9.5185780155276987E-3</v>
      </c>
      <c r="AJ698" s="1914">
        <v>8.0777947793376492E-3</v>
      </c>
      <c r="AK698" s="1914">
        <f>+AK697/AK$421</f>
        <v>7.3234141648908894E-3</v>
      </c>
      <c r="AL698" s="1914">
        <f t="shared" si="1035"/>
        <v>7.2260725560358893E-3</v>
      </c>
      <c r="AM698" s="1914">
        <f t="shared" si="1035"/>
        <v>4.8719379438432004E-3</v>
      </c>
      <c r="AN698" s="1914">
        <f t="shared" si="1035"/>
        <v>2.5826283496608073E-3</v>
      </c>
      <c r="AO698" s="1914">
        <f t="shared" si="1035"/>
        <v>2.3847325023782177E-3</v>
      </c>
      <c r="AP698" s="1914">
        <f t="shared" si="1035"/>
        <v>1.6738407866268743E-3</v>
      </c>
      <c r="AQ698" s="1914">
        <f t="shared" si="1035"/>
        <v>1.3194244227595269E-3</v>
      </c>
      <c r="AR698" s="1914">
        <f t="shared" si="1035"/>
        <v>0</v>
      </c>
      <c r="AS698" s="1914">
        <f t="shared" si="1035"/>
        <v>0</v>
      </c>
      <c r="AT698" s="1914">
        <f t="shared" si="1035"/>
        <v>0</v>
      </c>
      <c r="AV698" s="957">
        <f>AV697/'For Comparison'!AF111</f>
        <v>3.0064681437521582E-3</v>
      </c>
      <c r="AX698" s="958"/>
    </row>
    <row r="699" spans="4:51" ht="15.75" customHeight="1">
      <c r="D699" s="1912" t="s">
        <v>3601</v>
      </c>
      <c r="E699" s="153"/>
      <c r="F699" s="153"/>
      <c r="G699" s="153"/>
      <c r="H699" s="153"/>
      <c r="I699" s="153"/>
      <c r="J699" s="153"/>
      <c r="K699" s="153"/>
      <c r="L699" s="153"/>
      <c r="M699" s="153"/>
      <c r="N699" s="153"/>
      <c r="O699" s="153"/>
      <c r="P699" s="153"/>
      <c r="Q699" s="153"/>
      <c r="R699" s="153"/>
      <c r="S699" s="153"/>
      <c r="T699" s="153"/>
      <c r="U699" s="153"/>
      <c r="V699" s="157"/>
      <c r="W699" s="207">
        <v>0</v>
      </c>
      <c r="X699" s="207">
        <v>0</v>
      </c>
      <c r="Y699" s="207">
        <v>0</v>
      </c>
      <c r="Z699" s="207">
        <v>2.8</v>
      </c>
      <c r="AA699" s="207">
        <v>6.8112400538358004</v>
      </c>
      <c r="AB699" s="207">
        <f>0*13.22+7</f>
        <v>7</v>
      </c>
      <c r="AC699" s="207">
        <v>7.99</v>
      </c>
      <c r="AD699" s="227">
        <f>8.65*0</f>
        <v>0</v>
      </c>
      <c r="AE699" s="198">
        <f t="shared" ref="AE699:AI700" si="1036">+AD399</f>
        <v>0</v>
      </c>
      <c r="AF699" s="198">
        <f t="shared" si="1036"/>
        <v>0</v>
      </c>
      <c r="AG699" s="198">
        <f t="shared" si="1036"/>
        <v>0</v>
      </c>
      <c r="AH699" s="198">
        <f t="shared" si="1036"/>
        <v>0</v>
      </c>
      <c r="AI699" s="198">
        <f t="shared" si="1036"/>
        <v>0</v>
      </c>
      <c r="AJ699" s="1664">
        <f>AJ700+AJ701</f>
        <v>0</v>
      </c>
      <c r="AK699" s="1664">
        <f t="shared" ref="AK699:AN699" si="1037">AK700+AK701</f>
        <v>11.67</v>
      </c>
      <c r="AL699" s="1664">
        <f t="shared" si="1037"/>
        <v>11.67</v>
      </c>
      <c r="AM699" s="1664">
        <f t="shared" si="1037"/>
        <v>11.67</v>
      </c>
      <c r="AN699" s="1664">
        <f t="shared" si="1037"/>
        <v>11.67</v>
      </c>
      <c r="AO699" s="1664">
        <f>+AN399</f>
        <v>0</v>
      </c>
      <c r="AP699" s="1664"/>
      <c r="AQ699" s="1664"/>
      <c r="AR699" s="1664"/>
      <c r="AS699" s="1664"/>
      <c r="AT699" s="2669"/>
    </row>
    <row r="700" spans="4:51" ht="15.7" customHeight="1">
      <c r="D700" s="1912" t="s">
        <v>3599</v>
      </c>
      <c r="E700" s="153"/>
      <c r="F700" s="153"/>
      <c r="G700" s="153"/>
      <c r="H700" s="153"/>
      <c r="I700" s="153"/>
      <c r="J700" s="153"/>
      <c r="K700" s="153"/>
      <c r="L700" s="153"/>
      <c r="M700" s="153"/>
      <c r="N700" s="153"/>
      <c r="O700" s="153"/>
      <c r="P700" s="153"/>
      <c r="Q700" s="153"/>
      <c r="R700" s="153"/>
      <c r="S700" s="153"/>
      <c r="T700" s="153"/>
      <c r="U700" s="153"/>
      <c r="V700" s="157"/>
      <c r="W700" s="157"/>
      <c r="X700" s="207">
        <v>-5.0999999999999996</v>
      </c>
      <c r="Y700" s="207">
        <v>0</v>
      </c>
      <c r="Z700" s="207">
        <v>-4.0382462570694404</v>
      </c>
      <c r="AA700" s="207">
        <v>-4</v>
      </c>
      <c r="AB700" s="207">
        <f>-AB401</f>
        <v>-11.551405159833335</v>
      </c>
      <c r="AC700" s="936">
        <v>0</v>
      </c>
      <c r="AD700" s="207">
        <v>0</v>
      </c>
      <c r="AE700" s="198">
        <f t="shared" si="1036"/>
        <v>0</v>
      </c>
      <c r="AF700" s="198">
        <f t="shared" si="1036"/>
        <v>0</v>
      </c>
      <c r="AG700" s="198">
        <f t="shared" si="1036"/>
        <v>0</v>
      </c>
      <c r="AH700" s="198">
        <f t="shared" si="1036"/>
        <v>0</v>
      </c>
      <c r="AI700" s="198">
        <f t="shared" si="1036"/>
        <v>0</v>
      </c>
      <c r="AJ700" s="1664">
        <f>5.9517*0</f>
        <v>0</v>
      </c>
      <c r="AK700" s="1664">
        <v>5.9516999999999998</v>
      </c>
      <c r="AL700" s="1664">
        <v>5.9516999999999998</v>
      </c>
      <c r="AM700" s="1664">
        <v>5.9516999999999998</v>
      </c>
      <c r="AN700" s="1664">
        <v>5.9516999999999998</v>
      </c>
      <c r="AO700" s="1664">
        <f>+AN400</f>
        <v>0</v>
      </c>
      <c r="AP700" s="1664"/>
      <c r="AQ700" s="1664"/>
      <c r="AR700" s="1664"/>
      <c r="AS700" s="1664"/>
      <c r="AT700" s="2669"/>
    </row>
    <row r="701" spans="4:51" ht="15.75" customHeight="1">
      <c r="D701" s="1912" t="s">
        <v>3600</v>
      </c>
      <c r="E701" s="153"/>
      <c r="F701" s="153"/>
      <c r="G701" s="153"/>
      <c r="H701" s="153"/>
      <c r="I701" s="153"/>
      <c r="J701" s="153"/>
      <c r="K701" s="153"/>
      <c r="L701" s="153"/>
      <c r="M701" s="153"/>
      <c r="N701" s="153"/>
      <c r="O701" s="153"/>
      <c r="P701" s="153"/>
      <c r="Q701" s="153"/>
      <c r="R701" s="153"/>
      <c r="S701" s="153"/>
      <c r="T701" s="153"/>
      <c r="U701" s="153"/>
      <c r="V701" s="157"/>
      <c r="W701" s="157"/>
      <c r="X701" s="207"/>
      <c r="Y701" s="207"/>
      <c r="Z701" s="207"/>
      <c r="AA701" s="207"/>
      <c r="AB701" s="207"/>
      <c r="AC701" s="936"/>
      <c r="AD701" s="207"/>
      <c r="AE701" s="198"/>
      <c r="AF701" s="198"/>
      <c r="AG701" s="198"/>
      <c r="AH701" s="198"/>
      <c r="AI701" s="198"/>
      <c r="AJ701" s="1664">
        <f>5.7183*0</f>
        <v>0</v>
      </c>
      <c r="AK701" s="1664">
        <v>5.7183000000000002</v>
      </c>
      <c r="AL701" s="1664">
        <v>5.7183000000000002</v>
      </c>
      <c r="AM701" s="1664">
        <v>5.7183000000000002</v>
      </c>
      <c r="AN701" s="1664">
        <v>5.7183000000000002</v>
      </c>
      <c r="AO701" s="1664"/>
      <c r="AP701" s="1664"/>
      <c r="AQ701" s="1664"/>
      <c r="AR701" s="1664"/>
      <c r="AS701" s="1664"/>
      <c r="AT701" s="2669"/>
    </row>
    <row r="702" spans="4:51" ht="15.75" customHeight="1">
      <c r="D702" s="1912" t="s">
        <v>3602</v>
      </c>
      <c r="E702" s="153"/>
      <c r="F702" s="153"/>
      <c r="G702" s="153"/>
      <c r="H702" s="153"/>
      <c r="I702" s="153"/>
      <c r="J702" s="153"/>
      <c r="K702" s="153"/>
      <c r="L702" s="153"/>
      <c r="M702" s="153"/>
      <c r="N702" s="153"/>
      <c r="O702" s="153"/>
      <c r="P702" s="153"/>
      <c r="Q702" s="153"/>
      <c r="R702" s="153"/>
      <c r="S702" s="153"/>
      <c r="T702" s="153"/>
      <c r="U702" s="153"/>
      <c r="V702" s="157"/>
      <c r="W702" s="157"/>
      <c r="X702" s="207"/>
      <c r="Y702" s="207"/>
      <c r="Z702" s="207"/>
      <c r="AA702" s="207"/>
      <c r="AB702" s="207"/>
      <c r="AC702" s="936"/>
      <c r="AD702" s="207"/>
      <c r="AE702" s="198"/>
      <c r="AF702" s="198"/>
      <c r="AG702" s="198"/>
      <c r="AH702" s="198"/>
      <c r="AI702" s="198"/>
      <c r="AJ702" s="1664">
        <f>11.16677364*0</f>
        <v>0</v>
      </c>
      <c r="AK702" s="1664">
        <f>11.16677364*0</f>
        <v>0</v>
      </c>
      <c r="AL702" s="1664">
        <f>12.19557942*0</f>
        <v>0</v>
      </c>
      <c r="AM702" s="1664">
        <f>5.978727345*0</f>
        <v>0</v>
      </c>
      <c r="AN702" s="1664">
        <f>2.763727345*0</f>
        <v>0</v>
      </c>
      <c r="AO702" s="1664"/>
      <c r="AP702" s="1664"/>
      <c r="AQ702" s="1664"/>
      <c r="AR702" s="1664"/>
      <c r="AS702" s="1664"/>
      <c r="AT702" s="2669"/>
    </row>
    <row r="703" spans="4:51" ht="15.75" customHeight="1">
      <c r="D703" s="2036" t="s">
        <v>4175</v>
      </c>
      <c r="E703" s="153"/>
      <c r="F703" s="153"/>
      <c r="G703" s="153"/>
      <c r="H703" s="153"/>
      <c r="I703" s="153"/>
      <c r="J703" s="153"/>
      <c r="K703" s="153"/>
      <c r="L703" s="153"/>
      <c r="M703" s="153"/>
      <c r="N703" s="153"/>
      <c r="O703" s="153"/>
      <c r="P703" s="153"/>
      <c r="Q703" s="153"/>
      <c r="R703" s="153"/>
      <c r="S703" s="153"/>
      <c r="T703" s="153"/>
      <c r="U703" s="153"/>
      <c r="V703" s="157"/>
      <c r="W703" s="157"/>
      <c r="X703" s="207"/>
      <c r="Y703" s="207"/>
      <c r="Z703" s="207"/>
      <c r="AA703" s="207"/>
      <c r="AB703" s="207"/>
      <c r="AC703" s="936"/>
      <c r="AD703" s="207"/>
      <c r="AE703" s="198"/>
      <c r="AF703" s="198"/>
      <c r="AG703" s="198"/>
      <c r="AH703" s="198"/>
      <c r="AI703" s="198"/>
      <c r="AJ703" s="2037"/>
      <c r="AK703" s="2037">
        <f>(AJ151+AJ157+AK139+AK145)*AK259/1000</f>
        <v>40.828172077023005</v>
      </c>
      <c r="AL703" s="2037">
        <f t="shared" ref="AL703:AO703" si="1038">(AK151+AK157+AL139+AL145)*AL259/1000</f>
        <v>35.397157248888973</v>
      </c>
      <c r="AM703" s="2037">
        <f t="shared" si="1038"/>
        <v>20.265153442851901</v>
      </c>
      <c r="AN703" s="2037">
        <f t="shared" si="1038"/>
        <v>0.50335476725579309</v>
      </c>
      <c r="AO703" s="2037">
        <f t="shared" si="1038"/>
        <v>0.11321709045740443</v>
      </c>
      <c r="AP703" s="1664"/>
      <c r="AQ703" s="1664"/>
      <c r="AR703" s="1664"/>
      <c r="AS703" s="1664"/>
      <c r="AT703" s="2669"/>
    </row>
    <row r="704" spans="4:51" ht="15.7" customHeight="1">
      <c r="D704" s="1912" t="s">
        <v>3604</v>
      </c>
      <c r="E704" s="153"/>
      <c r="F704" s="153"/>
      <c r="G704" s="153"/>
      <c r="H704" s="153"/>
      <c r="I704" s="153"/>
      <c r="J704" s="153"/>
      <c r="K704" s="153"/>
      <c r="L704" s="153"/>
      <c r="M704" s="153"/>
      <c r="N704" s="153"/>
      <c r="O704" s="153"/>
      <c r="P704" s="153"/>
      <c r="Q704" s="153"/>
      <c r="R704" s="153"/>
      <c r="S704" s="153"/>
      <c r="T704" s="153"/>
      <c r="U704" s="153"/>
      <c r="V704" s="157"/>
      <c r="W704" s="157"/>
      <c r="X704" s="207"/>
      <c r="Y704" s="207"/>
      <c r="Z704" s="207"/>
      <c r="AA704" s="207"/>
      <c r="AB704" s="207"/>
      <c r="AC704" s="936"/>
      <c r="AD704" s="207"/>
      <c r="AE704" s="198"/>
      <c r="AF704" s="198"/>
      <c r="AG704" s="198"/>
      <c r="AH704" s="198"/>
      <c r="AI704" s="198"/>
      <c r="AJ704" s="1664">
        <f>34.05836858*0</f>
        <v>0</v>
      </c>
      <c r="AK704" s="1664">
        <f>34.05836858*0</f>
        <v>0</v>
      </c>
      <c r="AL704" s="1664">
        <f>4*0</f>
        <v>0</v>
      </c>
      <c r="AM704" s="1664">
        <f>2*0</f>
        <v>0</v>
      </c>
      <c r="AN704" s="1664">
        <v>0</v>
      </c>
      <c r="AO704" s="1664"/>
      <c r="AP704" s="1664"/>
      <c r="AQ704" s="1664"/>
      <c r="AR704" s="1664"/>
      <c r="AS704" s="1664"/>
      <c r="AT704" s="2669"/>
    </row>
    <row r="705" spans="1:49" ht="15.7" customHeight="1">
      <c r="D705" s="1912" t="s">
        <v>3603</v>
      </c>
      <c r="E705" s="153"/>
      <c r="F705" s="153"/>
      <c r="G705" s="153"/>
      <c r="H705" s="153"/>
      <c r="I705" s="153"/>
      <c r="J705" s="153"/>
      <c r="K705" s="153"/>
      <c r="L705" s="153"/>
      <c r="M705" s="153"/>
      <c r="N705" s="153"/>
      <c r="O705" s="153"/>
      <c r="P705" s="153"/>
      <c r="Q705" s="153"/>
      <c r="R705" s="153"/>
      <c r="S705" s="153"/>
      <c r="T705" s="153"/>
      <c r="U705" s="153"/>
      <c r="V705" s="157"/>
      <c r="W705" s="157"/>
      <c r="X705" s="207"/>
      <c r="Y705" s="207"/>
      <c r="Z705" s="207"/>
      <c r="AA705" s="207"/>
      <c r="AB705" s="207"/>
      <c r="AC705" s="936"/>
      <c r="AD705" s="207"/>
      <c r="AE705" s="198"/>
      <c r="AF705" s="198"/>
      <c r="AG705" s="198"/>
      <c r="AH705" s="198"/>
      <c r="AI705" s="198"/>
      <c r="AJ705" s="1664">
        <f>1.9223347432*0</f>
        <v>0</v>
      </c>
      <c r="AK705" s="1664">
        <f>1.9223347432*0</f>
        <v>0</v>
      </c>
      <c r="AL705" s="1664">
        <f>0.48*0</f>
        <v>0</v>
      </c>
      <c r="AM705" s="1664">
        <f>0.16*0</f>
        <v>0</v>
      </c>
      <c r="AN705" s="1664">
        <v>0</v>
      </c>
      <c r="AO705" s="1664"/>
      <c r="AP705" s="1664"/>
      <c r="AQ705" s="1664"/>
      <c r="AR705" s="1664"/>
      <c r="AS705" s="1664"/>
      <c r="AT705" s="2669"/>
    </row>
    <row r="706" spans="1:49" ht="15.75" customHeight="1">
      <c r="D706" s="1912" t="s">
        <v>3899</v>
      </c>
      <c r="E706" s="153"/>
      <c r="F706" s="153"/>
      <c r="G706" s="153"/>
      <c r="H706" s="153"/>
      <c r="I706" s="153"/>
      <c r="J706" s="153"/>
      <c r="K706" s="153"/>
      <c r="L706" s="153"/>
      <c r="M706" s="153"/>
      <c r="N706" s="153"/>
      <c r="O706" s="153"/>
      <c r="P706" s="153"/>
      <c r="Q706" s="153"/>
      <c r="R706" s="153"/>
      <c r="S706" s="153"/>
      <c r="T706" s="153"/>
      <c r="U706" s="153"/>
      <c r="V706" s="157"/>
      <c r="W706" s="157"/>
      <c r="X706" s="207"/>
      <c r="Y706" s="207"/>
      <c r="Z706" s="207"/>
      <c r="AA706" s="207"/>
      <c r="AB706" s="207">
        <f>0*20.5+14*AB259/1000+0.1</f>
        <v>11.551405159833335</v>
      </c>
      <c r="AC706" s="936">
        <f>(25-14)*AC259/1000</f>
        <v>9.3091120842499979</v>
      </c>
      <c r="AD706" s="207"/>
      <c r="AE706" s="198"/>
      <c r="AF706" s="207"/>
      <c r="AG706" s="207"/>
      <c r="AH706" s="207"/>
      <c r="AI706" s="207"/>
      <c r="AJ706" s="1664">
        <f t="shared" ref="AJ706:AO706" si="1039">(AI76+AJ69+AI63+AJ60)</f>
        <v>0</v>
      </c>
      <c r="AK706" s="1664">
        <f t="shared" si="1039"/>
        <v>245.461804661825</v>
      </c>
      <c r="AL706" s="1664">
        <f t="shared" si="1039"/>
        <v>203.92768124635813</v>
      </c>
      <c r="AM706" s="1664">
        <f t="shared" si="1039"/>
        <v>111.42455543465238</v>
      </c>
      <c r="AN706" s="1664">
        <f t="shared" si="1039"/>
        <v>2.6424230480701372</v>
      </c>
      <c r="AO706" s="1664">
        <f t="shared" si="1039"/>
        <v>0.57160822545194701</v>
      </c>
      <c r="AP706" s="1664"/>
      <c r="AQ706" s="1664"/>
      <c r="AR706" s="1664"/>
      <c r="AS706" s="1664"/>
      <c r="AT706" s="2669"/>
    </row>
    <row r="707" spans="1:49" ht="15.75" customHeight="1">
      <c r="D707" s="2728" t="s">
        <v>3897</v>
      </c>
      <c r="E707" s="2359"/>
      <c r="F707" s="2359"/>
      <c r="G707" s="2359"/>
      <c r="H707" s="2359"/>
      <c r="I707" s="2359"/>
      <c r="J707" s="2359"/>
      <c r="K707" s="2359"/>
      <c r="L707" s="2359"/>
      <c r="M707" s="2359"/>
      <c r="N707" s="2359"/>
      <c r="O707" s="2359"/>
      <c r="P707" s="2359"/>
      <c r="Q707" s="2359"/>
      <c r="R707" s="2359"/>
      <c r="S707" s="2359"/>
      <c r="T707" s="2359"/>
      <c r="U707" s="2359"/>
      <c r="V707" s="2729"/>
      <c r="W707" s="2729"/>
      <c r="X707" s="2730"/>
      <c r="Y707" s="2730"/>
      <c r="Z707" s="2730"/>
      <c r="AA707" s="2730"/>
      <c r="AB707" s="2730"/>
      <c r="AC707" s="2731"/>
      <c r="AD707" s="2730"/>
      <c r="AE707" s="2732"/>
      <c r="AF707" s="2730"/>
      <c r="AG707" s="2730"/>
      <c r="AH707" s="2730"/>
      <c r="AI707" s="2730"/>
      <c r="AJ707" s="2727">
        <f>AJ708/AJ259*1000</f>
        <v>0</v>
      </c>
      <c r="AK707" s="2727">
        <f>155.606090184842-34</f>
        <v>121.606090184842</v>
      </c>
      <c r="AL707" s="2727">
        <v>105.05350779837623</v>
      </c>
      <c r="AM707" s="2727">
        <v>114.1142783450312</v>
      </c>
      <c r="AN707" s="2727">
        <v>0</v>
      </c>
      <c r="AO707" s="2727">
        <v>0</v>
      </c>
      <c r="AP707" s="2727"/>
      <c r="AQ707" s="2727"/>
      <c r="AR707" s="2727"/>
      <c r="AS707" s="2727"/>
      <c r="AT707" s="2733"/>
    </row>
    <row r="708" spans="1:49" ht="15.75" customHeight="1">
      <c r="D708" s="2728" t="s">
        <v>3898</v>
      </c>
      <c r="E708" s="2359"/>
      <c r="F708" s="2359"/>
      <c r="G708" s="2359"/>
      <c r="H708" s="2359"/>
      <c r="I708" s="2359"/>
      <c r="J708" s="2359"/>
      <c r="K708" s="2359"/>
      <c r="L708" s="2359"/>
      <c r="M708" s="2359"/>
      <c r="N708" s="2359"/>
      <c r="O708" s="2359"/>
      <c r="P708" s="2359"/>
      <c r="Q708" s="2359"/>
      <c r="R708" s="2359"/>
      <c r="S708" s="2359"/>
      <c r="T708" s="2359"/>
      <c r="U708" s="2359"/>
      <c r="V708" s="2729"/>
      <c r="W708" s="2729"/>
      <c r="X708" s="2730"/>
      <c r="Y708" s="2730"/>
      <c r="Z708" s="2730"/>
      <c r="AA708" s="2730"/>
      <c r="AB708" s="2730"/>
      <c r="AC708" s="2731"/>
      <c r="AD708" s="2730"/>
      <c r="AE708" s="2732"/>
      <c r="AF708" s="2730"/>
      <c r="AG708" s="2730"/>
      <c r="AH708" s="2730"/>
      <c r="AI708" s="2730"/>
      <c r="AJ708" s="2727"/>
      <c r="AK708" s="2727">
        <f>AK707*AK259/1000</f>
        <v>177.31979913145386</v>
      </c>
      <c r="AL708" s="2727">
        <f t="shared" ref="AL708:AO708" si="1040">AL707*AL259/1000</f>
        <v>159.85589409355521</v>
      </c>
      <c r="AM708" s="2727">
        <f t="shared" si="1040"/>
        <v>181.94279671296218</v>
      </c>
      <c r="AN708" s="2727">
        <f t="shared" si="1040"/>
        <v>0</v>
      </c>
      <c r="AO708" s="2727">
        <f t="shared" si="1040"/>
        <v>0</v>
      </c>
      <c r="AP708" s="2727"/>
      <c r="AQ708" s="2727"/>
      <c r="AR708" s="2727"/>
      <c r="AS708" s="2727"/>
      <c r="AT708" s="2733"/>
    </row>
    <row r="709" spans="1:49" s="3053" customFormat="1" ht="15.75" customHeight="1">
      <c r="A709" s="75"/>
      <c r="B709" s="74"/>
      <c r="C709" s="74"/>
      <c r="D709" s="3088" t="s">
        <v>4177</v>
      </c>
      <c r="E709" s="2359"/>
      <c r="F709" s="2359"/>
      <c r="G709" s="2359"/>
      <c r="H709" s="2359"/>
      <c r="I709" s="2359"/>
      <c r="J709" s="2359"/>
      <c r="K709" s="2359"/>
      <c r="L709" s="2359"/>
      <c r="M709" s="2359"/>
      <c r="N709" s="2359"/>
      <c r="O709" s="2359"/>
      <c r="P709" s="2359"/>
      <c r="Q709" s="2359"/>
      <c r="R709" s="2359"/>
      <c r="S709" s="2359"/>
      <c r="T709" s="2359"/>
      <c r="U709" s="2359"/>
      <c r="V709" s="2729"/>
      <c r="W709" s="2729"/>
      <c r="X709" s="2730"/>
      <c r="Y709" s="2730"/>
      <c r="Z709" s="2730"/>
      <c r="AA709" s="2730"/>
      <c r="AB709" s="2730"/>
      <c r="AC709" s="2731"/>
      <c r="AD709" s="2730"/>
      <c r="AE709" s="2732"/>
      <c r="AF709" s="2730"/>
      <c r="AG709" s="2730"/>
      <c r="AH709" s="2730"/>
      <c r="AI709" s="2730"/>
      <c r="AJ709" s="3089"/>
      <c r="AK709" s="3089">
        <f>'ERF Repaym(PSSF Inject)'!K29</f>
        <v>21.932028332305556</v>
      </c>
      <c r="AL709" s="3089">
        <f>'ERF Repaym(PSSF Inject)'!L29</f>
        <v>14.264886520916667</v>
      </c>
      <c r="AM709" s="3089">
        <f>'ERF Repaym(PSSF Inject)'!M29</f>
        <v>16.078544451722223</v>
      </c>
      <c r="AN709" s="3089">
        <f>'ERF Repaym(PSSF Inject)'!N29</f>
        <v>15.869247363222222</v>
      </c>
      <c r="AO709" s="3089">
        <f>'ERF Repaym(PSSF Inject)'!O29</f>
        <v>15.618864141722222</v>
      </c>
      <c r="AP709" s="3089">
        <f>'ERF Repaym(PSSF Inject)'!P29</f>
        <v>14.801179773222222</v>
      </c>
      <c r="AQ709" s="2727"/>
      <c r="AR709" s="2727"/>
      <c r="AS709" s="2727"/>
      <c r="AT709" s="2733"/>
    </row>
    <row r="710" spans="1:49" ht="15.75" customHeight="1">
      <c r="D710" s="153" t="s">
        <v>276</v>
      </c>
      <c r="E710" s="153"/>
      <c r="F710" s="153"/>
      <c r="G710" s="153"/>
      <c r="H710" s="153"/>
      <c r="I710" s="153"/>
      <c r="J710" s="153"/>
      <c r="K710" s="153"/>
      <c r="L710" s="153"/>
      <c r="M710" s="153"/>
      <c r="N710" s="153"/>
      <c r="O710" s="153"/>
      <c r="P710" s="153"/>
      <c r="Q710" s="153"/>
      <c r="R710" s="153"/>
      <c r="S710" s="153"/>
      <c r="T710" s="153"/>
      <c r="U710" s="153"/>
      <c r="V710" s="157"/>
      <c r="W710" s="157"/>
      <c r="X710" s="157"/>
      <c r="Y710" s="207">
        <v>0</v>
      </c>
      <c r="Z710" s="207">
        <v>29.4</v>
      </c>
      <c r="AA710" s="207">
        <v>29.4</v>
      </c>
      <c r="AB710" s="207">
        <f>0*22+35.3*0+45.3*0+28.6*0+31.25</f>
        <v>31.25</v>
      </c>
      <c r="AC710" s="936">
        <f>39.8*0+44.75*0+30.15+13.61</f>
        <v>43.76</v>
      </c>
      <c r="AD710" s="198">
        <v>49.674370664146352</v>
      </c>
      <c r="AE710" s="198">
        <v>102.75929201700001</v>
      </c>
      <c r="AF710" s="209">
        <v>99.683989137760705</v>
      </c>
      <c r="AG710" s="209">
        <f>73.5626402884471+28</f>
        <v>101.5626402884471</v>
      </c>
      <c r="AH710" s="209">
        <v>115</v>
      </c>
      <c r="AI710" s="209">
        <f>AH710*1.05</f>
        <v>120.75</v>
      </c>
      <c r="AJ710" s="209">
        <f>AI710*1.05</f>
        <v>126.78750000000001</v>
      </c>
      <c r="AK710" s="209">
        <f>AJ710*1.05</f>
        <v>133.12687500000001</v>
      </c>
      <c r="AL710" s="209">
        <f>AK710*1.115</f>
        <v>148.43646562500001</v>
      </c>
      <c r="AM710" s="209">
        <f>AL710*1.05</f>
        <v>155.85828890625001</v>
      </c>
      <c r="AN710" s="209">
        <f t="shared" ref="AN710:AO710" si="1041">AM710*1.05</f>
        <v>163.65120335156251</v>
      </c>
      <c r="AO710" s="209">
        <f t="shared" si="1041"/>
        <v>171.83376351914066</v>
      </c>
      <c r="AP710" s="209"/>
      <c r="AQ710" s="209"/>
      <c r="AR710" s="209"/>
      <c r="AS710" s="209"/>
      <c r="AT710" s="2632"/>
      <c r="AW710" s="1114"/>
    </row>
    <row r="711" spans="1:49" ht="15.75" customHeight="1">
      <c r="D711" s="219" t="s">
        <v>170</v>
      </c>
      <c r="E711" s="153"/>
      <c r="F711" s="153"/>
      <c r="G711" s="153"/>
      <c r="H711" s="153"/>
      <c r="I711" s="153"/>
      <c r="J711" s="153"/>
      <c r="K711" s="153"/>
      <c r="L711" s="153"/>
      <c r="M711" s="153"/>
      <c r="N711" s="153"/>
      <c r="O711" s="153"/>
      <c r="P711" s="153"/>
      <c r="Q711" s="153"/>
      <c r="R711" s="153"/>
      <c r="S711" s="153"/>
      <c r="T711" s="153"/>
      <c r="U711" s="153"/>
      <c r="V711" s="157"/>
      <c r="W711" s="157"/>
      <c r="X711" s="157"/>
      <c r="Y711" s="207"/>
      <c r="Z711" s="207"/>
      <c r="AA711" s="207"/>
      <c r="AB711" s="207"/>
      <c r="AC711" s="207"/>
      <c r="AD711" s="153"/>
      <c r="AE711" s="153"/>
      <c r="AF711" s="207"/>
      <c r="AG711" s="207"/>
      <c r="AH711" s="207"/>
      <c r="AI711" s="207"/>
      <c r="AJ711" s="207"/>
      <c r="AK711" s="207"/>
      <c r="AL711" s="207"/>
      <c r="AM711" s="207"/>
      <c r="AN711" s="207"/>
      <c r="AO711" s="207"/>
      <c r="AP711" s="207"/>
      <c r="AQ711" s="207"/>
      <c r="AR711" s="207"/>
      <c r="AS711" s="207"/>
      <c r="AT711" s="2626"/>
    </row>
    <row r="712" spans="1:49" ht="15.75" customHeight="1">
      <c r="D712" s="221" t="s">
        <v>252</v>
      </c>
      <c r="E712" s="176" t="s">
        <v>724</v>
      </c>
      <c r="F712" s="153"/>
      <c r="G712" s="153"/>
      <c r="H712" s="153"/>
      <c r="I712" s="153"/>
      <c r="J712" s="153"/>
      <c r="K712" s="153"/>
      <c r="L712" s="153"/>
      <c r="M712" s="153"/>
      <c r="N712" s="153"/>
      <c r="O712" s="153"/>
      <c r="P712" s="153"/>
      <c r="Q712" s="153"/>
      <c r="R712" s="153"/>
      <c r="S712" s="153"/>
      <c r="T712" s="153"/>
      <c r="U712" s="157"/>
      <c r="V712" s="157">
        <f t="shared" ref="V712:AC712" si="1042">+V900/V303</f>
        <v>1.5232733482201496E-2</v>
      </c>
      <c r="W712" s="157">
        <f t="shared" si="1042"/>
        <v>-8.7354219071575576E-3</v>
      </c>
      <c r="X712" s="157">
        <f t="shared" si="1042"/>
        <v>-2.476209852365133E-2</v>
      </c>
      <c r="Y712" s="157">
        <f t="shared" si="1042"/>
        <v>2.2634474429974998E-2</v>
      </c>
      <c r="Z712" s="157">
        <f t="shared" si="1042"/>
        <v>1.611505804886501E-3</v>
      </c>
      <c r="AA712" s="157">
        <f t="shared" si="1042"/>
        <v>7.7296449198813308E-3</v>
      </c>
      <c r="AB712" s="157">
        <f t="shared" si="1042"/>
        <v>3.3938467223135001E-3</v>
      </c>
      <c r="AC712" s="157">
        <f t="shared" si="1042"/>
        <v>5.3818134218173485E-3</v>
      </c>
      <c r="AD712" s="153"/>
      <c r="AE712" s="153"/>
      <c r="AF712" s="157"/>
      <c r="AG712" s="157"/>
      <c r="AH712" s="157"/>
      <c r="AI712" s="157"/>
      <c r="AJ712" s="157"/>
      <c r="AK712" s="157"/>
      <c r="AL712" s="157"/>
      <c r="AM712" s="157"/>
      <c r="AN712" s="157"/>
      <c r="AO712" s="157"/>
      <c r="AP712" s="157"/>
      <c r="AQ712" s="157"/>
      <c r="AR712" s="157"/>
      <c r="AS712" s="157"/>
      <c r="AT712" s="2605"/>
    </row>
    <row r="713" spans="1:49" ht="15.75" customHeight="1">
      <c r="D713" s="2351" t="s">
        <v>3765</v>
      </c>
      <c r="E713" s="176" t="s">
        <v>725</v>
      </c>
      <c r="F713" s="153"/>
      <c r="G713" s="153"/>
      <c r="H713" s="153"/>
      <c r="I713" s="153"/>
      <c r="J713" s="153"/>
      <c r="K713" s="153"/>
      <c r="L713" s="153"/>
      <c r="M713" s="153"/>
      <c r="N713" s="153"/>
      <c r="O713" s="153"/>
      <c r="P713" s="153"/>
      <c r="Q713" s="153"/>
      <c r="R713" s="153"/>
      <c r="S713" s="153"/>
      <c r="T713" s="153"/>
      <c r="U713" s="153"/>
      <c r="V713" s="157"/>
      <c r="W713" s="222"/>
      <c r="X713" s="220">
        <f>+FISCinyear!CJ1195</f>
        <v>316.52938726960036</v>
      </c>
      <c r="Y713" s="220">
        <f>+X405+Y900</f>
        <v>436.40156385074795</v>
      </c>
      <c r="Z713" s="220">
        <f>+Y405+Z900</f>
        <v>445.70156385074796</v>
      </c>
      <c r="AA713" s="220">
        <f>+Z405+AA900</f>
        <v>495.50366606954339</v>
      </c>
      <c r="AB713" s="223">
        <f>+AA405+AB900</f>
        <v>520.06493479892617</v>
      </c>
      <c r="AC713" s="223">
        <f>+AB405+AC900</f>
        <v>563.02256953187225</v>
      </c>
      <c r="AD713" s="153"/>
      <c r="AE713" s="220">
        <f>FISCinyear!FJ337</f>
        <v>160.67179270999327</v>
      </c>
      <c r="AF713" s="220">
        <f>FISCinyear!FV337</f>
        <v>303.37140877786965</v>
      </c>
      <c r="AG713" s="220">
        <f>FISCinyear!GH337</f>
        <v>313.57584737449804</v>
      </c>
      <c r="AH713" s="220">
        <f>FISCinyear!GT337</f>
        <v>525.69592980226321</v>
      </c>
      <c r="AI713" s="220">
        <f>FISCinyear!HF337</f>
        <v>606.48840910812135</v>
      </c>
      <c r="AJ713" s="220"/>
      <c r="AK713" s="220"/>
      <c r="AL713" s="220"/>
      <c r="AM713" s="220"/>
      <c r="AN713" s="220"/>
      <c r="AO713" s="220"/>
      <c r="AP713" s="220"/>
      <c r="AQ713" s="220"/>
      <c r="AR713" s="220"/>
      <c r="AS713" s="220"/>
      <c r="AT713" s="2644"/>
    </row>
    <row r="714" spans="1:49" ht="15.75" customHeight="1">
      <c r="D714" s="2154" t="s">
        <v>3766</v>
      </c>
      <c r="E714" s="153"/>
      <c r="F714" s="153"/>
      <c r="G714" s="153"/>
      <c r="H714" s="153"/>
      <c r="I714" s="153"/>
      <c r="J714" s="153"/>
      <c r="K714" s="153"/>
      <c r="L714" s="153"/>
      <c r="M714" s="153"/>
      <c r="N714" s="153"/>
      <c r="O714" s="153"/>
      <c r="P714" s="153"/>
      <c r="Q714" s="153"/>
      <c r="R714" s="153"/>
      <c r="S714" s="153"/>
      <c r="T714" s="153"/>
      <c r="U714" s="153"/>
      <c r="V714" s="157"/>
      <c r="W714" s="157"/>
      <c r="X714" s="157">
        <f t="shared" ref="X714:AC714" si="1043">+X405/X303</f>
        <v>6.531766142583581E-2</v>
      </c>
      <c r="Y714" s="157">
        <f t="shared" si="1043"/>
        <v>8.2402107977860267E-2</v>
      </c>
      <c r="Z714" s="157">
        <f t="shared" si="1043"/>
        <v>7.7231253483061507E-2</v>
      </c>
      <c r="AA714" s="157">
        <f t="shared" si="1043"/>
        <v>7.6905737400208507E-2</v>
      </c>
      <c r="AB714" s="181">
        <f t="shared" si="1043"/>
        <v>7.1861950366025454E-2</v>
      </c>
      <c r="AC714" s="181">
        <f t="shared" si="1043"/>
        <v>7.0536528380339802E-2</v>
      </c>
      <c r="AD714" s="153"/>
      <c r="AE714" s="220">
        <f>FISCinyear!FJ338</f>
        <v>749.03118975422262</v>
      </c>
      <c r="AF714" s="220">
        <f>FISCinyear!FV338</f>
        <v>934.89482682505763</v>
      </c>
      <c r="AG714" s="220">
        <f>FISCinyear!GH338</f>
        <v>1153.8088166893049</v>
      </c>
      <c r="AH714" s="220">
        <f>FISCinyear!GT338</f>
        <v>1288.084919774743</v>
      </c>
      <c r="AI714" s="220">
        <f>FISCinyear!HF338</f>
        <v>1338.7888522083949</v>
      </c>
      <c r="AJ714" s="157"/>
      <c r="AK714" s="157"/>
      <c r="AL714" s="157"/>
      <c r="AM714" s="157"/>
      <c r="AN714" s="157"/>
      <c r="AO714" s="157"/>
      <c r="AP714" s="157"/>
      <c r="AQ714" s="157"/>
      <c r="AR714" s="157"/>
      <c r="AS714" s="157"/>
      <c r="AT714" s="2605"/>
    </row>
    <row r="715" spans="1:49" ht="15.75" customHeight="1">
      <c r="D715" s="2354" t="s">
        <v>3845</v>
      </c>
      <c r="E715" s="176" t="s">
        <v>728</v>
      </c>
      <c r="F715" s="153"/>
      <c r="G715" s="153"/>
      <c r="H715" s="153"/>
      <c r="I715" s="153"/>
      <c r="J715" s="153"/>
      <c r="K715" s="153"/>
      <c r="L715" s="153"/>
      <c r="M715" s="153"/>
      <c r="N715" s="153"/>
      <c r="O715" s="153"/>
      <c r="P715" s="153"/>
      <c r="Q715" s="153"/>
      <c r="R715" s="153"/>
      <c r="S715" s="153"/>
      <c r="T715" s="153"/>
      <c r="U715" s="153"/>
      <c r="V715" s="541" t="s">
        <v>727</v>
      </c>
      <c r="W715" s="539">
        <f>+W281-V281</f>
        <v>0</v>
      </c>
      <c r="X715" s="539">
        <f>+X281-W281</f>
        <v>0</v>
      </c>
      <c r="Y715" s="539">
        <f>+Y281-X281</f>
        <v>0</v>
      </c>
      <c r="Z715" s="539">
        <f>+Z281-Y281</f>
        <v>0</v>
      </c>
      <c r="AA715" s="539">
        <f>+AA281-Z281</f>
        <v>282.89999999999998</v>
      </c>
      <c r="AB715" s="181"/>
      <c r="AC715" s="181"/>
      <c r="AD715" s="153"/>
      <c r="AE715" s="220">
        <f>FISCinyear!FJ339</f>
        <v>0</v>
      </c>
      <c r="AF715" s="220">
        <f>FISCinyear!FV339</f>
        <v>0</v>
      </c>
      <c r="AG715" s="220">
        <f>FISCinyear!GH339</f>
        <v>0</v>
      </c>
      <c r="AH715" s="220">
        <f>FISCinyear!GT339</f>
        <v>0</v>
      </c>
      <c r="AI715" s="220">
        <f>FISCinyear!HF339</f>
        <v>0</v>
      </c>
      <c r="AJ715" s="157"/>
      <c r="AK715" s="157"/>
      <c r="AL715" s="157"/>
      <c r="AM715" s="157"/>
      <c r="AN715" s="157"/>
      <c r="AO715" s="157"/>
      <c r="AP715" s="157"/>
      <c r="AQ715" s="157"/>
      <c r="AR715" s="157"/>
      <c r="AS715" s="157"/>
      <c r="AT715" s="2605"/>
    </row>
    <row r="716" spans="1:49" ht="13.5" customHeight="1">
      <c r="D716" s="2355" t="s">
        <v>3844</v>
      </c>
      <c r="E716" s="176" t="s">
        <v>729</v>
      </c>
      <c r="F716" s="153"/>
      <c r="G716" s="153"/>
      <c r="H716" s="153"/>
      <c r="I716" s="153"/>
      <c r="J716" s="153"/>
      <c r="K716" s="153"/>
      <c r="L716" s="153"/>
      <c r="M716" s="153"/>
      <c r="N716" s="153"/>
      <c r="O716" s="153"/>
      <c r="P716" s="153"/>
      <c r="Q716" s="153"/>
      <c r="R716" s="153"/>
      <c r="S716" s="153"/>
      <c r="T716" s="153"/>
      <c r="U716" s="153"/>
      <c r="V716" s="157"/>
      <c r="W716" s="172">
        <f t="shared" ref="W716:AC716" si="1044">+W901</f>
        <v>-15.4</v>
      </c>
      <c r="X716" s="172">
        <f t="shared" si="1044"/>
        <v>-144.29712944561436</v>
      </c>
      <c r="Y716" s="172">
        <f t="shared" si="1044"/>
        <v>150.64964507114763</v>
      </c>
      <c r="Z716" s="172">
        <f t="shared" si="1044"/>
        <v>0</v>
      </c>
      <c r="AA716" s="172">
        <f t="shared" si="1044"/>
        <v>2.084742819304978</v>
      </c>
      <c r="AB716" s="172">
        <f t="shared" si="1044"/>
        <v>16.564485398969001</v>
      </c>
      <c r="AC716" s="172">
        <f t="shared" si="1044"/>
        <v>48.83076168552401</v>
      </c>
      <c r="AD716" s="153"/>
      <c r="AE716" s="220">
        <f>FISCinyear!FJ340</f>
        <v>86.209508847676631</v>
      </c>
      <c r="AF716" s="220">
        <f>FISCinyear!FV340</f>
        <v>81.307641247836671</v>
      </c>
      <c r="AG716" s="220">
        <f>FISCinyear!GH340</f>
        <v>116.45761</v>
      </c>
      <c r="AH716" s="220">
        <f>FISCinyear!GT340</f>
        <v>120.36933000000001</v>
      </c>
      <c r="AI716" s="220">
        <f>FISCinyear!HF340</f>
        <v>127.97038999999999</v>
      </c>
      <c r="AJ716" s="157"/>
      <c r="AK716" s="157"/>
      <c r="AL716" s="157"/>
      <c r="AM716" s="157"/>
      <c r="AN716" s="157"/>
      <c r="AO716" s="157"/>
      <c r="AP716" s="157"/>
      <c r="AQ716" s="157"/>
      <c r="AR716" s="157"/>
      <c r="AS716" s="157"/>
      <c r="AT716" s="2605"/>
    </row>
    <row r="717" spans="1:49" ht="13.5" customHeight="1">
      <c r="D717" s="2354" t="s">
        <v>3843</v>
      </c>
      <c r="E717" s="176" t="s">
        <v>730</v>
      </c>
      <c r="F717" s="153"/>
      <c r="G717" s="153"/>
      <c r="H717" s="153"/>
      <c r="I717" s="153"/>
      <c r="J717" s="153"/>
      <c r="K717" s="153"/>
      <c r="L717" s="153"/>
      <c r="M717" s="153"/>
      <c r="N717" s="153"/>
      <c r="O717" s="153"/>
      <c r="P717" s="153"/>
      <c r="Q717" s="153"/>
      <c r="R717" s="153"/>
      <c r="S717" s="153"/>
      <c r="T717" s="153"/>
      <c r="U717" s="153"/>
      <c r="V717" s="541" t="s">
        <v>726</v>
      </c>
      <c r="W717" s="539">
        <f>-(W283-V283)</f>
        <v>4.1000000000000156</v>
      </c>
      <c r="X717" s="539">
        <f>-(X283-W283)</f>
        <v>111.70000000000006</v>
      </c>
      <c r="Y717" s="539">
        <f>-(Y283-X283)</f>
        <v>-145.74520362714765</v>
      </c>
      <c r="Z717" s="539">
        <f>-(Z283-Y283)</f>
        <v>-143.25479637285241</v>
      </c>
      <c r="AA717" s="539">
        <f>-(AA283-Z283)</f>
        <v>0.69999999999998863</v>
      </c>
      <c r="AB717" s="181"/>
      <c r="AC717" s="181"/>
      <c r="AD717" s="153"/>
      <c r="AE717" s="220">
        <f>FISCinyear!FJ341</f>
        <v>662.82168090654602</v>
      </c>
      <c r="AF717" s="220">
        <f>FISCinyear!FV341</f>
        <v>853.58718557722091</v>
      </c>
      <c r="AG717" s="220">
        <f>FISCinyear!GH341</f>
        <v>1037.3512066893049</v>
      </c>
      <c r="AH717" s="220">
        <f>FISCinyear!GT341</f>
        <v>1167.715589774743</v>
      </c>
      <c r="AI717" s="220">
        <f>FISCinyear!HF341</f>
        <v>1210.818462208395</v>
      </c>
      <c r="AJ717" s="2382"/>
      <c r="AK717" s="2382"/>
      <c r="AL717" s="2382"/>
      <c r="AM717" s="2382"/>
      <c r="AN717" s="2382"/>
      <c r="AO717" s="2382"/>
      <c r="AP717" s="157"/>
      <c r="AQ717" s="157"/>
      <c r="AR717" s="157"/>
      <c r="AS717" s="157"/>
      <c r="AT717" s="2605"/>
    </row>
    <row r="718" spans="1:49" ht="13.5" customHeight="1">
      <c r="D718" s="2353" t="s">
        <v>3701</v>
      </c>
      <c r="E718" s="153"/>
      <c r="F718" s="153"/>
      <c r="G718" s="153"/>
      <c r="H718" s="153"/>
      <c r="I718" s="153"/>
      <c r="J718" s="153"/>
      <c r="K718" s="153"/>
      <c r="L718" s="153"/>
      <c r="M718" s="153"/>
      <c r="N718" s="153"/>
      <c r="O718" s="153"/>
      <c r="P718" s="153"/>
      <c r="Q718" s="153"/>
      <c r="R718" s="153"/>
      <c r="S718" s="153"/>
      <c r="T718" s="153"/>
      <c r="U718" s="153"/>
      <c r="V718" s="157"/>
      <c r="W718" s="172">
        <f>+W904+W905+W906+W909</f>
        <v>0</v>
      </c>
      <c r="X718" s="172">
        <f>+X904+X905+X912+X906+X909</f>
        <v>-141.30000000000001</v>
      </c>
      <c r="Y718" s="172">
        <f>+Y904+Y905+Y912+Y906+Y909</f>
        <v>72.073477222999998</v>
      </c>
      <c r="Z718" s="172">
        <f>+Z904+Z905+Z912+Z906+Z909</f>
        <v>54.3</v>
      </c>
      <c r="AA718" s="267">
        <f t="shared" ref="AA718:AD718" si="1045">+SUM(AA904:AA914)</f>
        <v>12.067335386</v>
      </c>
      <c r="AB718" s="267">
        <f t="shared" si="1045"/>
        <v>-1.6612621749999974</v>
      </c>
      <c r="AC718" s="267">
        <f t="shared" si="1045"/>
        <v>-12.313759441000009</v>
      </c>
      <c r="AD718" s="267">
        <f t="shared" si="1045"/>
        <v>-23.998066952000002</v>
      </c>
      <c r="AE718" s="220">
        <f>FISCinyear!FJ342</f>
        <v>588.35939704422935</v>
      </c>
      <c r="AF718" s="220">
        <f>FISCinyear!FV342</f>
        <v>631.52341804718799</v>
      </c>
      <c r="AG718" s="220">
        <f>FISCinyear!GH342</f>
        <v>840.23296931480684</v>
      </c>
      <c r="AH718" s="220">
        <f>FISCinyear!GT342</f>
        <v>762.38898997247975</v>
      </c>
      <c r="AI718" s="220">
        <f>FISCinyear!HF342</f>
        <v>749.79164768540534</v>
      </c>
      <c r="AJ718" s="267">
        <f>AJ719+AJ723</f>
        <v>700</v>
      </c>
      <c r="AK718" s="267">
        <f t="shared" ref="AK718:AO718" si="1046">AK719+AK723</f>
        <v>771.88365752119273</v>
      </c>
      <c r="AL718" s="267">
        <f t="shared" si="1046"/>
        <v>762.65648309409767</v>
      </c>
      <c r="AM718" s="267">
        <f t="shared" si="1046"/>
        <v>796.63715169575755</v>
      </c>
      <c r="AN718" s="267">
        <f t="shared" si="1046"/>
        <v>847.50435609975898</v>
      </c>
      <c r="AO718" s="267">
        <f t="shared" si="1046"/>
        <v>894.67707988968755</v>
      </c>
      <c r="AP718" s="267">
        <f t="shared" ref="AP718:AT718" si="1047">+SUM(AP904:AP914)</f>
        <v>0</v>
      </c>
      <c r="AQ718" s="267">
        <f t="shared" si="1047"/>
        <v>0</v>
      </c>
      <c r="AR718" s="267">
        <f t="shared" si="1047"/>
        <v>0</v>
      </c>
      <c r="AS718" s="267">
        <f t="shared" si="1047"/>
        <v>0</v>
      </c>
      <c r="AT718" s="2646">
        <f t="shared" si="1047"/>
        <v>0</v>
      </c>
    </row>
    <row r="719" spans="1:49" ht="15.75" customHeight="1" thickBot="1">
      <c r="D719" s="2352" t="s">
        <v>3849</v>
      </c>
      <c r="E719" s="153"/>
      <c r="F719" s="153"/>
      <c r="G719" s="153"/>
      <c r="H719" s="153"/>
      <c r="I719" s="153"/>
      <c r="J719" s="153"/>
      <c r="K719" s="153"/>
      <c r="L719" s="153"/>
      <c r="M719" s="153"/>
      <c r="N719" s="153"/>
      <c r="O719" s="153"/>
      <c r="P719" s="153"/>
      <c r="Q719" s="153"/>
      <c r="R719" s="153"/>
      <c r="S719" s="153"/>
      <c r="T719" s="153"/>
      <c r="U719" s="153"/>
      <c r="V719" s="153"/>
      <c r="W719" s="153"/>
      <c r="X719" s="153"/>
      <c r="Y719" s="173"/>
      <c r="Z719" s="172">
        <f>+Z410</f>
        <v>54.3</v>
      </c>
      <c r="AA719" s="208">
        <v>64</v>
      </c>
      <c r="AB719" s="208"/>
      <c r="AC719" s="208"/>
      <c r="AD719" s="153"/>
      <c r="AE719" s="220">
        <f>FISCinyear!FJ343</f>
        <v>524.73770260099991</v>
      </c>
      <c r="AF719" s="220">
        <f>FISCinyear!FV343</f>
        <v>558.5993192553334</v>
      </c>
      <c r="AG719" s="220">
        <f>FISCinyear!GH343</f>
        <v>729.65124203999994</v>
      </c>
      <c r="AH719" s="220">
        <f>FISCinyear!GT343</f>
        <v>650.35751555833326</v>
      </c>
      <c r="AI719" s="220">
        <f>FISCinyear!HF343</f>
        <v>641.93772850099992</v>
      </c>
      <c r="AJ719" s="172">
        <f>AJ720+AJ721</f>
        <v>600</v>
      </c>
      <c r="AK719" s="172">
        <f t="shared" ref="AK719:AO719" si="1048">AK720+AK721</f>
        <v>671.88365752119273</v>
      </c>
      <c r="AL719" s="172">
        <f t="shared" si="1048"/>
        <v>662.65648309409767</v>
      </c>
      <c r="AM719" s="172">
        <f t="shared" si="1048"/>
        <v>696.63715169575755</v>
      </c>
      <c r="AN719" s="172">
        <f t="shared" si="1048"/>
        <v>747.50435609975898</v>
      </c>
      <c r="AO719" s="172">
        <f t="shared" si="1048"/>
        <v>794.67707988968755</v>
      </c>
      <c r="AP719" s="172">
        <f t="shared" ref="AP719" si="1049">AP720+AP721</f>
        <v>862.0964573274905</v>
      </c>
      <c r="AQ719" s="172">
        <f t="shared" ref="AQ719" si="1050">AQ720+AQ721</f>
        <v>906.77950217866714</v>
      </c>
      <c r="AR719" s="172">
        <f t="shared" ref="AR719" si="1051">AR720+AR721</f>
        <v>845.02778508792835</v>
      </c>
      <c r="AS719" s="172">
        <f t="shared" ref="AS719" si="1052">AS720+AS721</f>
        <v>906.63808552782052</v>
      </c>
      <c r="AT719" s="2645">
        <f t="shared" ref="AT719" si="1053">AT720+AT721</f>
        <v>1074.5234846734302</v>
      </c>
    </row>
    <row r="720" spans="1:49" ht="15.75" customHeight="1">
      <c r="D720" s="2356" t="s">
        <v>3782</v>
      </c>
      <c r="E720" s="176" t="s">
        <v>733</v>
      </c>
      <c r="F720" s="153"/>
      <c r="G720" s="153"/>
      <c r="H720" s="153"/>
      <c r="I720" s="153"/>
      <c r="J720" s="153"/>
      <c r="K720" s="153"/>
      <c r="L720" s="153"/>
      <c r="M720" s="153"/>
      <c r="N720" s="153"/>
      <c r="O720" s="153"/>
      <c r="P720" s="153"/>
      <c r="Q720" s="153"/>
      <c r="R720" s="153"/>
      <c r="S720" s="153"/>
      <c r="T720" s="153"/>
      <c r="U720" s="153"/>
      <c r="V720" s="153"/>
      <c r="W720" s="153"/>
      <c r="X720" s="153"/>
      <c r="Y720" s="173"/>
      <c r="Z720" s="542"/>
      <c r="AA720" s="571">
        <v>30</v>
      </c>
      <c r="AB720" s="560"/>
      <c r="AC720" s="561"/>
      <c r="AD720" s="153"/>
      <c r="AE720" s="220">
        <f>FISCinyear!FJ344</f>
        <v>81.795000000000002</v>
      </c>
      <c r="AF720" s="220">
        <f>FISCinyear!FV344</f>
        <v>155.06299999999999</v>
      </c>
      <c r="AG720" s="220">
        <f>FISCinyear!GH344</f>
        <v>190.964</v>
      </c>
      <c r="AH720" s="220">
        <f>FISCinyear!GT344</f>
        <v>311.60000000000002</v>
      </c>
      <c r="AI720" s="220">
        <f>FISCinyear!HF344</f>
        <v>388.096</v>
      </c>
      <c r="AJ720" s="542">
        <v>200</v>
      </c>
      <c r="AK720" s="542">
        <f>AJ720*(1+AK422)</f>
        <v>233.56834249254109</v>
      </c>
      <c r="AL720" s="542">
        <f t="shared" ref="AL720:AO720" si="1054">AK720*(1+AL422)</f>
        <v>266.47611812540129</v>
      </c>
      <c r="AM720" s="542">
        <f t="shared" si="1054"/>
        <v>300.1679554043111</v>
      </c>
      <c r="AN720" s="542">
        <f t="shared" si="1054"/>
        <v>338.66589151572964</v>
      </c>
      <c r="AO720" s="542">
        <f t="shared" si="1054"/>
        <v>380.93651246931302</v>
      </c>
      <c r="AP720" s="542">
        <f t="shared" ref="AP720:AT720" si="1055">AO720*(1+AP422)</f>
        <v>424.64807620322154</v>
      </c>
      <c r="AQ720" s="542">
        <f t="shared" si="1055"/>
        <v>476.18754337170611</v>
      </c>
      <c r="AR720" s="542">
        <f t="shared" si="1055"/>
        <v>530.41664394703082</v>
      </c>
      <c r="AS720" s="542">
        <f t="shared" si="1055"/>
        <v>592.02694438692288</v>
      </c>
      <c r="AT720" s="2647">
        <f t="shared" si="1055"/>
        <v>759.91234353253253</v>
      </c>
    </row>
    <row r="721" spans="1:46" ht="15.7" customHeight="1" thickBot="1">
      <c r="D721" s="2356" t="s">
        <v>3781</v>
      </c>
      <c r="E721" s="176" t="s">
        <v>732</v>
      </c>
      <c r="F721" s="153"/>
      <c r="G721" s="153"/>
      <c r="H721" s="153"/>
      <c r="I721" s="153"/>
      <c r="J721" s="153"/>
      <c r="K721" s="153"/>
      <c r="L721" s="153"/>
      <c r="M721" s="153"/>
      <c r="N721" s="153"/>
      <c r="O721" s="153"/>
      <c r="P721" s="153"/>
      <c r="Q721" s="153"/>
      <c r="R721" s="153"/>
      <c r="S721" s="153"/>
      <c r="T721" s="153"/>
      <c r="U721" s="153"/>
      <c r="V721" s="153"/>
      <c r="W721" s="153"/>
      <c r="X721" s="153"/>
      <c r="Y721" s="173"/>
      <c r="Z721" s="542"/>
      <c r="AA721" s="572">
        <v>30</v>
      </c>
      <c r="AB721" s="560"/>
      <c r="AC721" s="561"/>
      <c r="AD721" s="153"/>
      <c r="AE721" s="220">
        <f>FISCinyear!FJ345</f>
        <v>442.94270260099989</v>
      </c>
      <c r="AF721" s="220">
        <f>FISCinyear!FV345</f>
        <v>403.53631925533341</v>
      </c>
      <c r="AG721" s="220">
        <f>FISCinyear!GH345</f>
        <v>538.68724204</v>
      </c>
      <c r="AH721" s="220">
        <f>FISCinyear!GT345</f>
        <v>338.75751555833324</v>
      </c>
      <c r="AI721" s="220">
        <f>FISCinyear!HF345</f>
        <v>253.84172850099992</v>
      </c>
      <c r="AJ721" s="542">
        <v>400</v>
      </c>
      <c r="AK721" s="542">
        <f>AJ721*(1+AK722)</f>
        <v>438.31531502865164</v>
      </c>
      <c r="AL721" s="542">
        <f t="shared" ref="AL721:AO721" si="1056">AK721*(1+AL722)</f>
        <v>396.18036496869638</v>
      </c>
      <c r="AM721" s="542">
        <f t="shared" si="1056"/>
        <v>396.46919629144645</v>
      </c>
      <c r="AN721" s="542">
        <f t="shared" si="1056"/>
        <v>408.83846458402928</v>
      </c>
      <c r="AO721" s="542">
        <f t="shared" si="1056"/>
        <v>413.74056742037459</v>
      </c>
      <c r="AP721" s="542">
        <f t="shared" ref="AP721" si="1057">AO721*(1+AP722)</f>
        <v>437.44838112426891</v>
      </c>
      <c r="AQ721" s="542">
        <f t="shared" ref="AQ721" si="1058">AP721*(1+AQ722)</f>
        <v>430.59195880696097</v>
      </c>
      <c r="AR721" s="542">
        <f t="shared" ref="AR721" si="1059">AQ721*(1+AR722)</f>
        <v>314.61114114089759</v>
      </c>
      <c r="AS721" s="542">
        <f t="shared" ref="AS721" si="1060">AR721*(1+AS722)</f>
        <v>314.61114114089759</v>
      </c>
      <c r="AT721" s="2647">
        <f t="shared" ref="AT721" si="1061">AS721*(1+AT722)</f>
        <v>314.61114114089759</v>
      </c>
    </row>
    <row r="722" spans="1:46" s="2380" customFormat="1" ht="15.7" customHeight="1">
      <c r="A722" s="2371"/>
      <c r="B722" s="2371"/>
      <c r="C722" s="2371"/>
      <c r="D722" s="2365" t="s">
        <v>3851</v>
      </c>
      <c r="E722" s="2372"/>
      <c r="F722" s="2373"/>
      <c r="G722" s="2373"/>
      <c r="H722" s="2373"/>
      <c r="I722" s="2373"/>
      <c r="J722" s="2373"/>
      <c r="K722" s="2373"/>
      <c r="L722" s="2373"/>
      <c r="M722" s="2373"/>
      <c r="N722" s="2373"/>
      <c r="O722" s="2373"/>
      <c r="P722" s="2373"/>
      <c r="Q722" s="2373"/>
      <c r="R722" s="2373"/>
      <c r="S722" s="2373"/>
      <c r="T722" s="2373"/>
      <c r="U722" s="2373"/>
      <c r="V722" s="2373"/>
      <c r="W722" s="2373"/>
      <c r="X722" s="2373"/>
      <c r="Y722" s="2374"/>
      <c r="Z722" s="2375"/>
      <c r="AA722" s="2376"/>
      <c r="AB722" s="2377"/>
      <c r="AC722" s="2378"/>
      <c r="AD722" s="2373"/>
      <c r="AE722" s="2379"/>
      <c r="AF722" s="2563">
        <f t="shared" ref="AF722:AI722" si="1062">AF693/AE693-1</f>
        <v>0.18959498295036159</v>
      </c>
      <c r="AG722" s="2114">
        <f>AG693/AF693-1</f>
        <v>9.4566819217798859E-2</v>
      </c>
      <c r="AH722" s="2563">
        <f t="shared" si="1062"/>
        <v>-1.38798935754747E-4</v>
      </c>
      <c r="AI722" s="2563">
        <f t="shared" si="1062"/>
        <v>0.16764020364829935</v>
      </c>
      <c r="AJ722" s="2563">
        <f>AJ693/AI693-1</f>
        <v>-6.8818841706054568E-2</v>
      </c>
      <c r="AK722" s="2563">
        <f t="shared" ref="AK722:AO722" si="1063">AK693/AJ693-1</f>
        <v>9.578828757162916E-2</v>
      </c>
      <c r="AL722" s="2563">
        <f t="shared" si="1063"/>
        <v>-9.6129312883354245E-2</v>
      </c>
      <c r="AM722" s="2563">
        <f t="shared" si="1063"/>
        <v>7.2903997342943505E-4</v>
      </c>
      <c r="AN722" s="2563">
        <f t="shared" si="1063"/>
        <v>3.1198560716152457E-2</v>
      </c>
      <c r="AO722" s="2563">
        <f t="shared" si="1063"/>
        <v>1.1990317108085513E-2</v>
      </c>
      <c r="AP722" s="2563">
        <f t="shared" ref="AP722" si="1064">AP693/AO693-1</f>
        <v>5.7301158191254586E-2</v>
      </c>
      <c r="AQ722" s="2563">
        <f t="shared" ref="AQ722" si="1065">AQ693/AP693-1</f>
        <v>-1.5673671713417936E-2</v>
      </c>
      <c r="AR722" s="2563">
        <f t="shared" ref="AR722" si="1066">AR693/AQ693-1</f>
        <v>-0.26935202874529018</v>
      </c>
      <c r="AS722" s="2563">
        <f t="shared" ref="AS722" si="1067">AS693/AR693-1</f>
        <v>0</v>
      </c>
      <c r="AT722" s="2670">
        <f t="shared" ref="AT722" si="1068">AT693/AS693-1</f>
        <v>0</v>
      </c>
    </row>
    <row r="723" spans="1:46" ht="15.7" customHeight="1">
      <c r="D723" s="2369" t="s">
        <v>3850</v>
      </c>
      <c r="E723" s="2358"/>
      <c r="F723" s="2359"/>
      <c r="G723" s="2359"/>
      <c r="H723" s="2359"/>
      <c r="I723" s="2359"/>
      <c r="J723" s="2359"/>
      <c r="K723" s="2359"/>
      <c r="L723" s="2359"/>
      <c r="M723" s="2359"/>
      <c r="N723" s="2359"/>
      <c r="O723" s="2359"/>
      <c r="P723" s="2359"/>
      <c r="Q723" s="2359"/>
      <c r="R723" s="2359"/>
      <c r="S723" s="2359"/>
      <c r="T723" s="2359"/>
      <c r="U723" s="2359"/>
      <c r="V723" s="2359"/>
      <c r="W723" s="2359"/>
      <c r="X723" s="2359"/>
      <c r="Y723" s="2360"/>
      <c r="Z723" s="2361"/>
      <c r="AA723" s="2362"/>
      <c r="AB723" s="570"/>
      <c r="AC723" s="2363"/>
      <c r="AD723" s="2359"/>
      <c r="AE723" s="2364">
        <f>AE718-AE719</f>
        <v>63.621694443229444</v>
      </c>
      <c r="AF723" s="2364">
        <f t="shared" ref="AF723:AI723" si="1069">AF718-AF719</f>
        <v>72.92409879185459</v>
      </c>
      <c r="AG723" s="2364">
        <f t="shared" si="1069"/>
        <v>110.58172727480689</v>
      </c>
      <c r="AH723" s="2364">
        <f t="shared" si="1069"/>
        <v>112.03147441414649</v>
      </c>
      <c r="AI723" s="2364">
        <f t="shared" si="1069"/>
        <v>107.85391918440541</v>
      </c>
      <c r="AJ723" s="2361">
        <v>100</v>
      </c>
      <c r="AK723" s="2361">
        <f t="shared" ref="AK723:AT723" si="1070">AJ723</f>
        <v>100</v>
      </c>
      <c r="AL723" s="2361">
        <f t="shared" si="1070"/>
        <v>100</v>
      </c>
      <c r="AM723" s="2361">
        <f t="shared" si="1070"/>
        <v>100</v>
      </c>
      <c r="AN723" s="2361">
        <f t="shared" si="1070"/>
        <v>100</v>
      </c>
      <c r="AO723" s="2361">
        <f t="shared" si="1070"/>
        <v>100</v>
      </c>
      <c r="AP723" s="2361">
        <f t="shared" si="1070"/>
        <v>100</v>
      </c>
      <c r="AQ723" s="2361">
        <f t="shared" si="1070"/>
        <v>100</v>
      </c>
      <c r="AR723" s="2361">
        <f t="shared" si="1070"/>
        <v>100</v>
      </c>
      <c r="AS723" s="2361">
        <f t="shared" si="1070"/>
        <v>100</v>
      </c>
      <c r="AT723" s="2671">
        <f t="shared" si="1070"/>
        <v>100</v>
      </c>
    </row>
    <row r="724" spans="1:46" ht="15.7" customHeight="1">
      <c r="D724" s="2353" t="s">
        <v>3848</v>
      </c>
      <c r="E724" s="2358"/>
      <c r="F724" s="2359"/>
      <c r="G724" s="2359"/>
      <c r="H724" s="2359"/>
      <c r="I724" s="2359"/>
      <c r="J724" s="2359"/>
      <c r="K724" s="2359"/>
      <c r="L724" s="2359"/>
      <c r="M724" s="2359"/>
      <c r="N724" s="2359"/>
      <c r="O724" s="2359"/>
      <c r="P724" s="2359"/>
      <c r="Q724" s="2359"/>
      <c r="R724" s="2359"/>
      <c r="S724" s="2359"/>
      <c r="T724" s="2359"/>
      <c r="U724" s="2359"/>
      <c r="V724" s="2359"/>
      <c r="W724" s="2359"/>
      <c r="X724" s="2359"/>
      <c r="Y724" s="2360"/>
      <c r="Z724" s="2361"/>
      <c r="AA724" s="2362"/>
      <c r="AB724" s="570"/>
      <c r="AC724" s="2363"/>
      <c r="AD724" s="2359"/>
      <c r="AE724" s="2364">
        <f>AE186-AE189-AE192</f>
        <v>1014.9505</v>
      </c>
      <c r="AF724" s="2364">
        <f>AF186-AF189-AF192</f>
        <v>1292.2131300000001</v>
      </c>
      <c r="AG724" s="2364">
        <f>AG186-AG189-AG192</f>
        <v>1516.018</v>
      </c>
      <c r="AH724" s="2364">
        <f>AH186-AH189-AH192</f>
        <v>1810.64732</v>
      </c>
      <c r="AI724" s="2364">
        <f>AI186-AI189-AI192</f>
        <v>1965.1348200000002</v>
      </c>
      <c r="AJ724" s="2367"/>
      <c r="AK724" s="2367"/>
      <c r="AL724" s="2367"/>
      <c r="AM724" s="2367"/>
      <c r="AN724" s="2367"/>
      <c r="AO724" s="2367"/>
      <c r="AP724" s="2360"/>
      <c r="AQ724" s="2360"/>
      <c r="AR724" s="2360"/>
      <c r="AS724" s="2360"/>
      <c r="AT724" s="2672"/>
    </row>
    <row r="725" spans="1:46" ht="15.7" customHeight="1">
      <c r="D725" s="2357" t="s">
        <v>571</v>
      </c>
      <c r="E725" s="2358"/>
      <c r="F725" s="2359"/>
      <c r="G725" s="2359"/>
      <c r="H725" s="2359"/>
      <c r="I725" s="2359"/>
      <c r="J725" s="2359"/>
      <c r="K725" s="2359"/>
      <c r="L725" s="2359"/>
      <c r="M725" s="2359"/>
      <c r="N725" s="2359"/>
      <c r="O725" s="2359"/>
      <c r="P725" s="2359"/>
      <c r="Q725" s="2359"/>
      <c r="R725" s="2359"/>
      <c r="S725" s="2359"/>
      <c r="T725" s="2359"/>
      <c r="U725" s="2359"/>
      <c r="V725" s="2359"/>
      <c r="W725" s="2359"/>
      <c r="X725" s="2359"/>
      <c r="Y725" s="2360"/>
      <c r="Z725" s="2361"/>
      <c r="AA725" s="2362"/>
      <c r="AB725" s="570"/>
      <c r="AC725" s="2363"/>
      <c r="AD725" s="2359"/>
      <c r="AE725" s="2366">
        <f>(AE187+AE188)/AE724</f>
        <v>0.58438869678866123</v>
      </c>
      <c r="AF725" s="2366">
        <f>(AF187+AF188)/AF724</f>
        <v>0.55417585797166447</v>
      </c>
      <c r="AG725" s="2366">
        <f>(AG187+AG188)/AG724</f>
        <v>0.51839094258775287</v>
      </c>
      <c r="AH725" s="2366">
        <f>(AH187+AH188)/AH724</f>
        <v>0.45734620754305705</v>
      </c>
      <c r="AI725" s="2366">
        <f>(AI187+AI188)/AI724</f>
        <v>0.43957807688736589</v>
      </c>
      <c r="AJ725" s="2368">
        <f>AI725</f>
        <v>0.43957807688736589</v>
      </c>
      <c r="AK725" s="2368">
        <f t="shared" ref="AK725:AN725" si="1071">AJ725</f>
        <v>0.43957807688736589</v>
      </c>
      <c r="AL725" s="2368">
        <f t="shared" si="1071"/>
        <v>0.43957807688736589</v>
      </c>
      <c r="AM725" s="2368">
        <f t="shared" si="1071"/>
        <v>0.43957807688736589</v>
      </c>
      <c r="AN725" s="2368">
        <f t="shared" si="1071"/>
        <v>0.43957807688736589</v>
      </c>
      <c r="AO725" s="2368">
        <f t="shared" ref="AO725:AT725" si="1072">AN725</f>
        <v>0.43957807688736589</v>
      </c>
      <c r="AP725" s="2368">
        <f t="shared" si="1072"/>
        <v>0.43957807688736589</v>
      </c>
      <c r="AQ725" s="2368">
        <f t="shared" si="1072"/>
        <v>0.43957807688736589</v>
      </c>
      <c r="AR725" s="2368">
        <f t="shared" si="1072"/>
        <v>0.43957807688736589</v>
      </c>
      <c r="AS725" s="2368">
        <f t="shared" si="1072"/>
        <v>0.43957807688736589</v>
      </c>
      <c r="AT725" s="2673">
        <f t="shared" si="1072"/>
        <v>0.43957807688736589</v>
      </c>
    </row>
    <row r="726" spans="1:46" ht="15.7" customHeight="1">
      <c r="D726" s="2365" t="s">
        <v>3592</v>
      </c>
      <c r="E726" s="2358"/>
      <c r="F726" s="2359"/>
      <c r="G726" s="2359"/>
      <c r="H726" s="2359"/>
      <c r="I726" s="2359"/>
      <c r="J726" s="2359"/>
      <c r="K726" s="2359"/>
      <c r="L726" s="2359"/>
      <c r="M726" s="2359"/>
      <c r="N726" s="2359"/>
      <c r="O726" s="2359"/>
      <c r="P726" s="2359"/>
      <c r="Q726" s="2359"/>
      <c r="R726" s="2359"/>
      <c r="S726" s="2359"/>
      <c r="T726" s="2359"/>
      <c r="U726" s="2359"/>
      <c r="V726" s="2359"/>
      <c r="W726" s="2359"/>
      <c r="X726" s="2359"/>
      <c r="Y726" s="2360"/>
      <c r="Z726" s="2361"/>
      <c r="AA726" s="2362"/>
      <c r="AB726" s="570"/>
      <c r="AC726" s="2363"/>
      <c r="AD726" s="2359"/>
      <c r="AE726" s="2366">
        <f t="shared" ref="AE726:AI727" si="1073">AE187/(AE$187+AE$188)</f>
        <v>0.64220225867843173</v>
      </c>
      <c r="AF726" s="2366">
        <f t="shared" si="1073"/>
        <v>0.5340453658926495</v>
      </c>
      <c r="AG726" s="2366">
        <f t="shared" si="1073"/>
        <v>0.45061013627861407</v>
      </c>
      <c r="AH726" s="2366">
        <f t="shared" si="1073"/>
        <v>0.40523120911278182</v>
      </c>
      <c r="AI726" s="2366">
        <f t="shared" si="1073"/>
        <v>0.38963375654672222</v>
      </c>
      <c r="AJ726" s="2368">
        <f>AVERAGE(AE726:AG726)</f>
        <v>0.54228592028323175</v>
      </c>
      <c r="AK726" s="2368">
        <f>AJ726</f>
        <v>0.54228592028323175</v>
      </c>
      <c r="AL726" s="2368">
        <f t="shared" ref="AL726:AN726" si="1074">AK726</f>
        <v>0.54228592028323175</v>
      </c>
      <c r="AM726" s="2368">
        <f t="shared" si="1074"/>
        <v>0.54228592028323175</v>
      </c>
      <c r="AN726" s="2368">
        <f t="shared" si="1074"/>
        <v>0.54228592028323175</v>
      </c>
      <c r="AO726" s="2368">
        <f t="shared" ref="AO726:AT726" si="1075">AN726</f>
        <v>0.54228592028323175</v>
      </c>
      <c r="AP726" s="2368">
        <f t="shared" si="1075"/>
        <v>0.54228592028323175</v>
      </c>
      <c r="AQ726" s="2368">
        <f t="shared" si="1075"/>
        <v>0.54228592028323175</v>
      </c>
      <c r="AR726" s="2368">
        <f t="shared" si="1075"/>
        <v>0.54228592028323175</v>
      </c>
      <c r="AS726" s="2368">
        <f t="shared" si="1075"/>
        <v>0.54228592028323175</v>
      </c>
      <c r="AT726" s="2673">
        <f t="shared" si="1075"/>
        <v>0.54228592028323175</v>
      </c>
    </row>
    <row r="727" spans="1:46" ht="15.7" customHeight="1">
      <c r="D727" s="2365" t="s">
        <v>3846</v>
      </c>
      <c r="E727" s="2358"/>
      <c r="F727" s="2359"/>
      <c r="G727" s="2359"/>
      <c r="H727" s="2359"/>
      <c r="I727" s="2359"/>
      <c r="J727" s="2359"/>
      <c r="K727" s="2359"/>
      <c r="L727" s="2359"/>
      <c r="M727" s="2359"/>
      <c r="N727" s="2359"/>
      <c r="O727" s="2359"/>
      <c r="P727" s="2359"/>
      <c r="Q727" s="2359"/>
      <c r="R727" s="2359"/>
      <c r="S727" s="2359"/>
      <c r="T727" s="2359"/>
      <c r="U727" s="2359"/>
      <c r="V727" s="2359"/>
      <c r="W727" s="2359"/>
      <c r="X727" s="2359"/>
      <c r="Y727" s="2360"/>
      <c r="Z727" s="2361"/>
      <c r="AA727" s="2362"/>
      <c r="AB727" s="570"/>
      <c r="AC727" s="2363"/>
      <c r="AD727" s="2359"/>
      <c r="AE727" s="2366">
        <f t="shared" si="1073"/>
        <v>0.35779774132156822</v>
      </c>
      <c r="AF727" s="2366">
        <f t="shared" si="1073"/>
        <v>0.4659546341073505</v>
      </c>
      <c r="AG727" s="2366">
        <f t="shared" si="1073"/>
        <v>0.54938986372138598</v>
      </c>
      <c r="AH727" s="2366">
        <f t="shared" si="1073"/>
        <v>0.59476879088721812</v>
      </c>
      <c r="AI727" s="2366">
        <f t="shared" si="1073"/>
        <v>0.61036624345327783</v>
      </c>
      <c r="AJ727" s="2368">
        <f>1-AJ726</f>
        <v>0.45771407971676825</v>
      </c>
      <c r="AK727" s="2368">
        <f t="shared" ref="AK727:AO727" si="1076">1-AK726</f>
        <v>0.45771407971676825</v>
      </c>
      <c r="AL727" s="2368">
        <f t="shared" si="1076"/>
        <v>0.45771407971676825</v>
      </c>
      <c r="AM727" s="2368">
        <f t="shared" si="1076"/>
        <v>0.45771407971676825</v>
      </c>
      <c r="AN727" s="2368">
        <f t="shared" si="1076"/>
        <v>0.45771407971676825</v>
      </c>
      <c r="AO727" s="2368">
        <f t="shared" si="1076"/>
        <v>0.45771407971676825</v>
      </c>
      <c r="AP727" s="2368">
        <f t="shared" ref="AP727" si="1077">1-AP726</f>
        <v>0.45771407971676825</v>
      </c>
      <c r="AQ727" s="2368">
        <f t="shared" ref="AQ727" si="1078">1-AQ726</f>
        <v>0.45771407971676825</v>
      </c>
      <c r="AR727" s="2368">
        <f t="shared" ref="AR727" si="1079">1-AR726</f>
        <v>0.45771407971676825</v>
      </c>
      <c r="AS727" s="2368">
        <f t="shared" ref="AS727" si="1080">1-AS726</f>
        <v>0.45771407971676825</v>
      </c>
      <c r="AT727" s="2673">
        <f t="shared" ref="AT727" si="1081">1-AT726</f>
        <v>0.45771407971676825</v>
      </c>
    </row>
    <row r="728" spans="1:46" ht="15.7" customHeight="1">
      <c r="D728" s="2357" t="s">
        <v>3847</v>
      </c>
      <c r="E728" s="2358"/>
      <c r="F728" s="2359"/>
      <c r="G728" s="2359"/>
      <c r="H728" s="2359"/>
      <c r="I728" s="2359"/>
      <c r="J728" s="2359"/>
      <c r="K728" s="2359"/>
      <c r="L728" s="2359"/>
      <c r="M728" s="2359"/>
      <c r="N728" s="2359"/>
      <c r="O728" s="2359"/>
      <c r="P728" s="2359"/>
      <c r="Q728" s="2359"/>
      <c r="R728" s="2359"/>
      <c r="S728" s="2359"/>
      <c r="T728" s="2359"/>
      <c r="U728" s="2359"/>
      <c r="V728" s="2359"/>
      <c r="W728" s="2359"/>
      <c r="X728" s="2359"/>
      <c r="Y728" s="2360"/>
      <c r="Z728" s="2361"/>
      <c r="AA728" s="2362"/>
      <c r="AB728" s="570"/>
      <c r="AC728" s="2363"/>
      <c r="AD728" s="2359"/>
      <c r="AE728" s="2366">
        <f>(AE190+AE191)/AE724</f>
        <v>0.41561130321133882</v>
      </c>
      <c r="AF728" s="2366">
        <f>(AF190+AF191)/AF724</f>
        <v>0.44582414202833542</v>
      </c>
      <c r="AG728" s="2366">
        <f>(AG190+AG191)/AG724</f>
        <v>0.48160905741224702</v>
      </c>
      <c r="AH728" s="2366">
        <f>(AH190+AH191)/AH724</f>
        <v>0.54265379245694301</v>
      </c>
      <c r="AI728" s="2366">
        <f>(AI190+AI191)/AI724</f>
        <v>0.56042192311263395</v>
      </c>
      <c r="AJ728" s="2368">
        <f>1-AJ725</f>
        <v>0.56042192311263417</v>
      </c>
      <c r="AK728" s="2368">
        <f t="shared" ref="AK728:AN728" si="1082">1-AK725</f>
        <v>0.56042192311263417</v>
      </c>
      <c r="AL728" s="2368">
        <f t="shared" si="1082"/>
        <v>0.56042192311263417</v>
      </c>
      <c r="AM728" s="2368">
        <f t="shared" si="1082"/>
        <v>0.56042192311263417</v>
      </c>
      <c r="AN728" s="2368">
        <f t="shared" si="1082"/>
        <v>0.56042192311263417</v>
      </c>
      <c r="AO728" s="2368">
        <f t="shared" ref="AO728:AT728" si="1083">1-AO725</f>
        <v>0.56042192311263417</v>
      </c>
      <c r="AP728" s="2368">
        <f t="shared" si="1083"/>
        <v>0.56042192311263417</v>
      </c>
      <c r="AQ728" s="2368">
        <f t="shared" si="1083"/>
        <v>0.56042192311263417</v>
      </c>
      <c r="AR728" s="2368">
        <f t="shared" si="1083"/>
        <v>0.56042192311263417</v>
      </c>
      <c r="AS728" s="2368">
        <f t="shared" si="1083"/>
        <v>0.56042192311263417</v>
      </c>
      <c r="AT728" s="2673">
        <f t="shared" si="1083"/>
        <v>0.56042192311263417</v>
      </c>
    </row>
    <row r="729" spans="1:46" ht="15.7" customHeight="1">
      <c r="D729" s="2365" t="s">
        <v>3592</v>
      </c>
      <c r="E729" s="2358"/>
      <c r="F729" s="2359"/>
      <c r="G729" s="2359"/>
      <c r="H729" s="2359"/>
      <c r="I729" s="2359"/>
      <c r="J729" s="2359"/>
      <c r="K729" s="2359"/>
      <c r="L729" s="2359"/>
      <c r="M729" s="2359"/>
      <c r="N729" s="2359"/>
      <c r="O729" s="2359"/>
      <c r="P729" s="2359"/>
      <c r="Q729" s="2359"/>
      <c r="R729" s="2359"/>
      <c r="S729" s="2359"/>
      <c r="T729" s="2359"/>
      <c r="U729" s="2359"/>
      <c r="V729" s="2359"/>
      <c r="W729" s="2359"/>
      <c r="X729" s="2359"/>
      <c r="Y729" s="2360"/>
      <c r="Z729" s="2361"/>
      <c r="AA729" s="2362"/>
      <c r="AB729" s="570"/>
      <c r="AC729" s="2363"/>
      <c r="AD729" s="2359"/>
      <c r="AE729" s="2366">
        <f t="shared" ref="AE729:AI730" si="1084">AE190/(AE$190+AE$191)</f>
        <v>0.14159785256868432</v>
      </c>
      <c r="AF729" s="2366">
        <f t="shared" si="1084"/>
        <v>0.16570359570158516</v>
      </c>
      <c r="AG729" s="2366">
        <f t="shared" si="1084"/>
        <v>9.0449893717266028E-2</v>
      </c>
      <c r="AH729" s="2366">
        <f t="shared" si="1084"/>
        <v>7.6182124976694035E-2</v>
      </c>
      <c r="AI729" s="2366">
        <f t="shared" si="1084"/>
        <v>9.0624425638597281E-2</v>
      </c>
      <c r="AJ729" s="2368">
        <f>AVERAGE(AG729:AI729)</f>
        <v>8.5752148110852452E-2</v>
      </c>
      <c r="AK729" s="2368">
        <f>AJ729</f>
        <v>8.5752148110852452E-2</v>
      </c>
      <c r="AL729" s="2368">
        <f t="shared" ref="AL729:AN729" si="1085">AK729</f>
        <v>8.5752148110852452E-2</v>
      </c>
      <c r="AM729" s="2368">
        <f t="shared" si="1085"/>
        <v>8.5752148110852452E-2</v>
      </c>
      <c r="AN729" s="2368">
        <f t="shared" si="1085"/>
        <v>8.5752148110852452E-2</v>
      </c>
      <c r="AO729" s="2368">
        <f t="shared" ref="AO729:AT729" si="1086">AN729</f>
        <v>8.5752148110852452E-2</v>
      </c>
      <c r="AP729" s="2368">
        <f t="shared" si="1086"/>
        <v>8.5752148110852452E-2</v>
      </c>
      <c r="AQ729" s="2368">
        <f t="shared" si="1086"/>
        <v>8.5752148110852452E-2</v>
      </c>
      <c r="AR729" s="2368">
        <f t="shared" si="1086"/>
        <v>8.5752148110852452E-2</v>
      </c>
      <c r="AS729" s="2368">
        <f t="shared" si="1086"/>
        <v>8.5752148110852452E-2</v>
      </c>
      <c r="AT729" s="2673">
        <f t="shared" si="1086"/>
        <v>8.5752148110852452E-2</v>
      </c>
    </row>
    <row r="730" spans="1:46" ht="15.75" customHeight="1">
      <c r="D730" s="2365" t="s">
        <v>3846</v>
      </c>
      <c r="E730" s="176" t="s">
        <v>735</v>
      </c>
      <c r="F730" s="153"/>
      <c r="G730" s="153"/>
      <c r="H730" s="153"/>
      <c r="I730" s="153"/>
      <c r="J730" s="153"/>
      <c r="K730" s="153"/>
      <c r="L730" s="153"/>
      <c r="M730" s="153"/>
      <c r="N730" s="153"/>
      <c r="O730" s="153"/>
      <c r="P730" s="153"/>
      <c r="Q730" s="153"/>
      <c r="R730" s="153"/>
      <c r="S730" s="153"/>
      <c r="T730" s="153"/>
      <c r="U730" s="153"/>
      <c r="V730" s="153"/>
      <c r="W730" s="153"/>
      <c r="X730" s="153"/>
      <c r="Y730" s="173"/>
      <c r="Z730" s="173"/>
      <c r="AA730" s="173"/>
      <c r="AB730" s="173"/>
      <c r="AC730" s="180"/>
      <c r="AD730" s="153"/>
      <c r="AE730" s="2366">
        <f t="shared" si="1084"/>
        <v>0.85840214743131571</v>
      </c>
      <c r="AF730" s="2366">
        <f t="shared" si="1084"/>
        <v>0.83429640429841478</v>
      </c>
      <c r="AG730" s="2366">
        <f t="shared" si="1084"/>
        <v>0.90955010628273403</v>
      </c>
      <c r="AH730" s="2366">
        <f t="shared" si="1084"/>
        <v>0.92381787502330592</v>
      </c>
      <c r="AI730" s="2366">
        <f t="shared" si="1084"/>
        <v>0.90937557436140282</v>
      </c>
      <c r="AJ730" s="2368">
        <f>1-AJ729</f>
        <v>0.91424785188914759</v>
      </c>
      <c r="AK730" s="2368">
        <f t="shared" ref="AK730:AO730" si="1087">1-AK729</f>
        <v>0.91424785188914759</v>
      </c>
      <c r="AL730" s="2368">
        <f t="shared" si="1087"/>
        <v>0.91424785188914759</v>
      </c>
      <c r="AM730" s="2368">
        <f t="shared" si="1087"/>
        <v>0.91424785188914759</v>
      </c>
      <c r="AN730" s="2368">
        <f t="shared" si="1087"/>
        <v>0.91424785188914759</v>
      </c>
      <c r="AO730" s="2368">
        <f t="shared" si="1087"/>
        <v>0.91424785188914759</v>
      </c>
      <c r="AP730" s="2368">
        <f t="shared" ref="AP730" si="1088">1-AP729</f>
        <v>0.91424785188914759</v>
      </c>
      <c r="AQ730" s="2368">
        <f t="shared" ref="AQ730" si="1089">1-AQ729</f>
        <v>0.91424785188914759</v>
      </c>
      <c r="AR730" s="2368">
        <f t="shared" ref="AR730" si="1090">1-AR729</f>
        <v>0.91424785188914759</v>
      </c>
      <c r="AS730" s="2368">
        <f t="shared" ref="AS730" si="1091">1-AS729</f>
        <v>0.91424785188914759</v>
      </c>
      <c r="AT730" s="2673">
        <f t="shared" ref="AT730" si="1092">1-AT729</f>
        <v>0.91424785188914759</v>
      </c>
    </row>
    <row r="731" spans="1:46" ht="15.75" customHeight="1">
      <c r="D731" s="2370" t="s">
        <v>3853</v>
      </c>
      <c r="E731" s="2358"/>
      <c r="F731" s="2359"/>
      <c r="G731" s="2359"/>
      <c r="H731" s="2359"/>
      <c r="I731" s="2359"/>
      <c r="J731" s="2359"/>
      <c r="K731" s="2359"/>
      <c r="L731" s="2359"/>
      <c r="M731" s="2359"/>
      <c r="N731" s="2359"/>
      <c r="O731" s="2359"/>
      <c r="P731" s="2359"/>
      <c r="Q731" s="2359"/>
      <c r="R731" s="2359"/>
      <c r="S731" s="2359"/>
      <c r="T731" s="2359"/>
      <c r="U731" s="2359"/>
      <c r="V731" s="2359"/>
      <c r="W731" s="2359"/>
      <c r="X731" s="2359"/>
      <c r="Y731" s="2360"/>
      <c r="Z731" s="2360"/>
      <c r="AA731" s="2360"/>
      <c r="AB731" s="2360"/>
      <c r="AC731" s="2383"/>
      <c r="AD731" s="2359"/>
      <c r="AE731" s="2366"/>
      <c r="AF731" s="2366"/>
      <c r="AG731" s="2366"/>
      <c r="AH731" s="2366"/>
      <c r="AI731" s="2366"/>
      <c r="AJ731" s="2385">
        <f>AJ1319</f>
        <v>205.08179999999999</v>
      </c>
      <c r="AK731" s="2385">
        <f t="shared" ref="AK731:AN731" si="1093">AK1319</f>
        <v>329.95336793278915</v>
      </c>
      <c r="AL731" s="2385">
        <f t="shared" si="1093"/>
        <v>399.42280563937487</v>
      </c>
      <c r="AM731" s="2385">
        <f t="shared" si="1093"/>
        <v>564.56514137288207</v>
      </c>
      <c r="AN731" s="2385">
        <f t="shared" si="1093"/>
        <v>364.95187755688744</v>
      </c>
      <c r="AO731" s="2385">
        <f t="shared" ref="AO731:AT731" si="1094">AO1319</f>
        <v>717.54225823510774</v>
      </c>
      <c r="AP731" s="2385">
        <f t="shared" si="1094"/>
        <v>661.77018244949409</v>
      </c>
      <c r="AQ731" s="2385">
        <f t="shared" si="1094"/>
        <v>2332.6181644885482</v>
      </c>
      <c r="AR731" s="2385">
        <f>AR1319</f>
        <v>1687.0626073323597</v>
      </c>
      <c r="AS731" s="2385">
        <f t="shared" si="1094"/>
        <v>2325.1996016506318</v>
      </c>
      <c r="AT731" s="2674">
        <f t="shared" si="1094"/>
        <v>3087.9959995959939</v>
      </c>
    </row>
    <row r="732" spans="1:46" ht="15.75" customHeight="1">
      <c r="D732" s="2370" t="s">
        <v>3854</v>
      </c>
      <c r="E732" s="2358"/>
      <c r="F732" s="2359"/>
      <c r="G732" s="2359"/>
      <c r="H732" s="2359"/>
      <c r="I732" s="2359"/>
      <c r="J732" s="2359"/>
      <c r="K732" s="2359"/>
      <c r="L732" s="2359"/>
      <c r="M732" s="2359"/>
      <c r="N732" s="2359"/>
      <c r="O732" s="2359"/>
      <c r="P732" s="2359"/>
      <c r="Q732" s="2359"/>
      <c r="R732" s="2359"/>
      <c r="S732" s="2359"/>
      <c r="T732" s="2359"/>
      <c r="U732" s="2359"/>
      <c r="V732" s="2359"/>
      <c r="W732" s="2359"/>
      <c r="X732" s="2359"/>
      <c r="Y732" s="2360"/>
      <c r="Z732" s="2360"/>
      <c r="AA732" s="2360"/>
      <c r="AB732" s="2360"/>
      <c r="AC732" s="2383"/>
      <c r="AD732" s="2359"/>
      <c r="AE732" s="2366"/>
      <c r="AF732" s="2366"/>
      <c r="AG732" s="2366"/>
      <c r="AH732" s="2366"/>
      <c r="AI732" s="2366"/>
      <c r="AJ732" s="2384">
        <f t="shared" ref="AJ732:AT732" si="1095">AJ731-AJ1339</f>
        <v>270.08179999999999</v>
      </c>
      <c r="AK732" s="2384">
        <f t="shared" si="1095"/>
        <v>393.03076793278916</v>
      </c>
      <c r="AL732" s="2384">
        <f t="shared" si="1095"/>
        <v>452.62790563937489</v>
      </c>
      <c r="AM732" s="2384">
        <f t="shared" si="1095"/>
        <v>649.78144137288211</v>
      </c>
      <c r="AN732" s="2384">
        <f t="shared" si="1095"/>
        <v>442.43377755688743</v>
      </c>
      <c r="AO732" s="2384">
        <f t="shared" si="1095"/>
        <v>811.8146582351078</v>
      </c>
      <c r="AP732" s="2384">
        <f t="shared" si="1095"/>
        <v>741.64838244949408</v>
      </c>
      <c r="AQ732" s="2384">
        <f t="shared" si="1095"/>
        <v>2460.711364488548</v>
      </c>
      <c r="AR732" s="2384">
        <f t="shared" si="1095"/>
        <v>1775.8483073323596</v>
      </c>
      <c r="AS732" s="2384">
        <f t="shared" si="1095"/>
        <v>2380.1304016506319</v>
      </c>
      <c r="AT732" s="2675">
        <f t="shared" si="1095"/>
        <v>3184.2305995959941</v>
      </c>
    </row>
    <row r="733" spans="1:46" ht="15.75" customHeight="1">
      <c r="D733" s="168" t="s">
        <v>236</v>
      </c>
      <c r="E733" s="153"/>
      <c r="F733" s="153"/>
      <c r="G733" s="153"/>
      <c r="H733" s="153"/>
      <c r="I733" s="153"/>
      <c r="J733" s="153"/>
      <c r="K733" s="153"/>
      <c r="L733" s="153"/>
      <c r="M733" s="153"/>
      <c r="N733" s="153"/>
      <c r="O733" s="153"/>
      <c r="P733" s="153"/>
      <c r="Q733" s="153"/>
      <c r="R733" s="153"/>
      <c r="S733" s="153"/>
      <c r="T733" s="153"/>
      <c r="U733" s="153"/>
      <c r="V733" s="153"/>
      <c r="W733" s="153"/>
      <c r="X733" s="153"/>
      <c r="Y733" s="173"/>
      <c r="Z733" s="173"/>
      <c r="AA733" s="173"/>
      <c r="AB733" s="173"/>
      <c r="AC733" s="180"/>
      <c r="AD733" s="153"/>
      <c r="AE733" s="153"/>
      <c r="AF733" s="173"/>
      <c r="AG733" s="173"/>
      <c r="AH733" s="173"/>
      <c r="AI733" s="173"/>
      <c r="AJ733" s="173"/>
      <c r="AK733" s="173"/>
      <c r="AL733" s="173"/>
      <c r="AM733" s="173"/>
      <c r="AN733" s="173"/>
      <c r="AO733" s="173"/>
      <c r="AP733" s="173"/>
      <c r="AQ733" s="173"/>
      <c r="AR733" s="173"/>
      <c r="AS733" s="173"/>
      <c r="AT733" s="2617"/>
    </row>
    <row r="734" spans="1:46">
      <c r="D734" s="156" t="s">
        <v>237</v>
      </c>
      <c r="E734" s="153"/>
      <c r="F734" s="153"/>
      <c r="G734" s="153"/>
      <c r="H734" s="153"/>
      <c r="I734" s="153"/>
      <c r="J734" s="153"/>
      <c r="K734" s="153"/>
      <c r="L734" s="153"/>
      <c r="M734" s="153"/>
      <c r="N734" s="153"/>
      <c r="O734" s="153"/>
      <c r="P734" s="153"/>
      <c r="Q734" s="153"/>
      <c r="R734" s="153"/>
      <c r="S734" s="153"/>
      <c r="T734" s="153"/>
      <c r="U734" s="153"/>
      <c r="V734" s="153"/>
      <c r="W734" s="153"/>
      <c r="X734" s="153"/>
      <c r="Y734" s="173"/>
      <c r="Z734" s="173"/>
      <c r="AA734" s="173"/>
      <c r="AB734" s="173"/>
      <c r="AC734" s="196"/>
      <c r="AD734" s="153"/>
      <c r="AE734" s="153"/>
      <c r="AF734" s="173"/>
      <c r="AG734" s="173"/>
      <c r="AH734" s="173"/>
      <c r="AI734" s="173"/>
      <c r="AJ734" s="173"/>
      <c r="AK734" s="173"/>
      <c r="AL734" s="173"/>
      <c r="AM734" s="173"/>
      <c r="AN734" s="173"/>
      <c r="AO734" s="173"/>
      <c r="AP734" s="173"/>
      <c r="AQ734" s="173"/>
      <c r="AR734" s="173"/>
      <c r="AS734" s="173"/>
      <c r="AT734" s="2617"/>
    </row>
    <row r="735" spans="1:46">
      <c r="D735" s="156" t="s">
        <v>701</v>
      </c>
      <c r="E735" s="153"/>
      <c r="F735" s="153"/>
      <c r="G735" s="153"/>
      <c r="H735" s="153"/>
      <c r="I735" s="153"/>
      <c r="J735" s="153"/>
      <c r="K735" s="153"/>
      <c r="L735" s="153"/>
      <c r="M735" s="153"/>
      <c r="N735" s="153"/>
      <c r="O735" s="153"/>
      <c r="P735" s="153"/>
      <c r="Q735" s="153"/>
      <c r="R735" s="153"/>
      <c r="S735" s="153"/>
      <c r="T735" s="153"/>
      <c r="U735" s="153"/>
      <c r="V735" s="153"/>
      <c r="W735" s="153"/>
      <c r="X735" s="153"/>
      <c r="Y735" s="173"/>
      <c r="Z735" s="173"/>
      <c r="AA735" s="173"/>
      <c r="AB735" s="173"/>
      <c r="AC735" s="196">
        <v>0.06</v>
      </c>
      <c r="AD735" s="196">
        <v>0.06</v>
      </c>
      <c r="AE735" s="196">
        <v>0.06</v>
      </c>
      <c r="AF735" s="196">
        <v>0.06</v>
      </c>
      <c r="AG735" s="196">
        <v>0.06</v>
      </c>
      <c r="AH735" s="196">
        <v>0.06</v>
      </c>
      <c r="AI735" s="196">
        <v>0.06</v>
      </c>
      <c r="AJ735" s="196">
        <v>0.06</v>
      </c>
      <c r="AK735" s="196">
        <v>0.06</v>
      </c>
      <c r="AL735" s="196">
        <v>0.06</v>
      </c>
      <c r="AM735" s="196">
        <v>0.06</v>
      </c>
      <c r="AN735" s="196">
        <v>0.06</v>
      </c>
      <c r="AO735" s="196">
        <v>0.06</v>
      </c>
      <c r="AP735" s="196">
        <v>0.06</v>
      </c>
      <c r="AQ735" s="196">
        <v>0.06</v>
      </c>
      <c r="AR735" s="196">
        <v>0.06</v>
      </c>
      <c r="AS735" s="196">
        <v>0.06</v>
      </c>
      <c r="AT735" s="2631">
        <v>0.06</v>
      </c>
    </row>
    <row r="736" spans="1:46">
      <c r="D736" s="225" t="s">
        <v>700</v>
      </c>
      <c r="E736" s="215"/>
      <c r="F736" s="215"/>
      <c r="G736" s="215"/>
      <c r="H736" s="215"/>
      <c r="I736" s="215"/>
      <c r="J736" s="215"/>
      <c r="K736" s="215"/>
      <c r="L736" s="215"/>
      <c r="M736" s="215"/>
      <c r="N736" s="215"/>
      <c r="O736" s="215"/>
      <c r="P736" s="215"/>
      <c r="Q736" s="215"/>
      <c r="R736" s="215"/>
      <c r="S736" s="215"/>
      <c r="T736" s="215"/>
      <c r="U736" s="215"/>
      <c r="V736" s="215"/>
      <c r="W736" s="215"/>
      <c r="X736" s="215"/>
      <c r="Y736" s="215"/>
      <c r="Z736" s="215"/>
      <c r="AA736" s="226"/>
      <c r="AB736" s="226"/>
      <c r="AC736" s="226"/>
      <c r="AD736" s="215"/>
      <c r="AE736" s="215"/>
      <c r="AF736" s="215"/>
      <c r="AG736" s="215"/>
      <c r="AH736" s="215"/>
      <c r="AI736" s="215"/>
      <c r="AJ736" s="215"/>
      <c r="AK736" s="215"/>
      <c r="AL736" s="215"/>
      <c r="AM736" s="215"/>
      <c r="AN736" s="215"/>
      <c r="AO736" s="215"/>
      <c r="AP736" s="215"/>
      <c r="AQ736" s="215"/>
      <c r="AR736" s="215"/>
      <c r="AS736" s="215"/>
      <c r="AT736" s="2648"/>
    </row>
    <row r="737" spans="1:63">
      <c r="D737" s="74" t="s">
        <v>819</v>
      </c>
      <c r="E737" s="1"/>
      <c r="F737" s="1"/>
      <c r="G737" s="1"/>
      <c r="H737" s="1"/>
      <c r="I737" s="1"/>
      <c r="J737" s="1"/>
      <c r="K737" s="1"/>
      <c r="L737" s="1"/>
      <c r="M737" s="1"/>
      <c r="N737" s="1"/>
      <c r="O737" s="1"/>
      <c r="P737" s="1"/>
      <c r="Q737" s="1"/>
      <c r="R737" s="1"/>
      <c r="S737" s="1"/>
      <c r="T737" s="1"/>
      <c r="V737" s="1"/>
      <c r="X737" s="1"/>
      <c r="Z737" s="1"/>
    </row>
    <row r="738" spans="1:63">
      <c r="E738" s="1"/>
      <c r="F738" s="1"/>
      <c r="G738" s="1"/>
      <c r="H738" s="1"/>
      <c r="I738" s="1"/>
      <c r="J738" s="1"/>
      <c r="K738" s="1"/>
      <c r="L738" s="1"/>
      <c r="M738" s="1"/>
      <c r="N738" s="1"/>
      <c r="O738" s="1"/>
      <c r="P738" s="1"/>
      <c r="Q738" s="1"/>
      <c r="R738" s="1"/>
      <c r="S738" s="1"/>
      <c r="T738" s="1"/>
      <c r="V738" s="1"/>
      <c r="X738" s="1"/>
      <c r="Z738" s="1"/>
      <c r="AE738" s="957">
        <f t="shared" ref="AE738:AH738" si="1096">AE1320/AE1319</f>
        <v>0.66796382451410929</v>
      </c>
      <c r="AF738" s="957">
        <f t="shared" si="1096"/>
        <v>0.44357842237881118</v>
      </c>
      <c r="AG738" s="957">
        <f t="shared" si="1096"/>
        <v>0.87754068979821598</v>
      </c>
      <c r="AH738" s="957">
        <f t="shared" si="1096"/>
        <v>0.14323993620186889</v>
      </c>
      <c r="AI738" s="957">
        <f>AI1320/AI1319</f>
        <v>0.23132939558216686</v>
      </c>
      <c r="AJ738" s="957"/>
      <c r="AK738" s="957"/>
    </row>
    <row r="739" spans="1:63">
      <c r="D739" s="74" t="s">
        <v>3247</v>
      </c>
      <c r="E739" s="1"/>
      <c r="F739" s="1"/>
      <c r="G739" s="1"/>
      <c r="H739" s="1"/>
      <c r="I739" s="1"/>
      <c r="J739" s="1"/>
      <c r="K739" s="1"/>
      <c r="L739" s="1"/>
      <c r="M739" s="1"/>
      <c r="N739" s="1"/>
      <c r="O739" s="1"/>
      <c r="P739" s="1"/>
      <c r="Q739" s="1"/>
      <c r="R739" s="1"/>
      <c r="S739" s="1"/>
      <c r="T739" s="1"/>
      <c r="V739" s="1"/>
      <c r="X739" s="1"/>
      <c r="Z739" s="1"/>
      <c r="AA739" s="957">
        <f t="shared" ref="AA739:AJ739" si="1097">AA1061/Z1061-1</f>
        <v>0.20491655893633842</v>
      </c>
      <c r="AB739" s="957">
        <f t="shared" si="1097"/>
        <v>3.2030162272363105E-2</v>
      </c>
      <c r="AC739" s="957">
        <f t="shared" si="1097"/>
        <v>0.12369367758795624</v>
      </c>
      <c r="AD739" s="957">
        <f t="shared" si="1097"/>
        <v>0.2089545377243156</v>
      </c>
      <c r="AE739" s="957">
        <f t="shared" si="1097"/>
        <v>5.2110727962244363E-2</v>
      </c>
      <c r="AF739" s="957">
        <f t="shared" si="1097"/>
        <v>9.8996818596962077E-2</v>
      </c>
      <c r="AG739" s="957">
        <f t="shared" si="1097"/>
        <v>0.15729542730854496</v>
      </c>
      <c r="AH739" s="957">
        <f>AH1061/AG1061-1</f>
        <v>0.21877876351218872</v>
      </c>
      <c r="AI739" s="957">
        <f t="shared" si="1097"/>
        <v>0.13375601116482327</v>
      </c>
      <c r="AJ739" s="957">
        <f t="shared" si="1097"/>
        <v>0.18190765286469235</v>
      </c>
      <c r="AT739" s="1"/>
    </row>
    <row r="740" spans="1:63" hidden="1">
      <c r="D740" s="748" t="s">
        <v>888</v>
      </c>
      <c r="E740" s="962" t="s">
        <v>1101</v>
      </c>
      <c r="F740" s="962"/>
      <c r="G740" s="962"/>
      <c r="H740" s="962"/>
      <c r="I740" s="962"/>
      <c r="J740" s="962"/>
      <c r="K740" s="962"/>
      <c r="L740" s="963"/>
      <c r="M740" s="962"/>
      <c r="N740" s="962"/>
      <c r="O740" s="962"/>
      <c r="P740" s="962"/>
      <c r="Q740" s="962"/>
      <c r="R740" s="106"/>
      <c r="S740" s="106"/>
      <c r="T740" s="106"/>
      <c r="U740" s="106"/>
      <c r="V740" s="106"/>
      <c r="W740" s="106"/>
      <c r="X740" s="690" t="s">
        <v>632</v>
      </c>
      <c r="Y740" s="690"/>
      <c r="Z740" s="690" t="s">
        <v>736</v>
      </c>
      <c r="AA740" s="690" t="s">
        <v>801</v>
      </c>
      <c r="AB740" s="690" t="s">
        <v>779</v>
      </c>
      <c r="AC740" s="690"/>
      <c r="AD740" s="690" t="s">
        <v>820</v>
      </c>
      <c r="AE740" s="690"/>
      <c r="AT740" s="1"/>
    </row>
    <row r="741" spans="1:63" hidden="1">
      <c r="D741" s="106"/>
      <c r="E741" s="349"/>
      <c r="F741" s="1"/>
      <c r="G741" s="1"/>
      <c r="H741" s="1"/>
      <c r="I741" s="350">
        <v>1998</v>
      </c>
      <c r="J741" s="350">
        <v>1999</v>
      </c>
      <c r="K741" s="350">
        <v>2000</v>
      </c>
      <c r="L741" s="350">
        <v>2001</v>
      </c>
      <c r="M741" s="350">
        <v>2002</v>
      </c>
      <c r="N741" s="350">
        <v>2003</v>
      </c>
      <c r="O741" s="350">
        <v>2004</v>
      </c>
      <c r="P741" s="350">
        <v>2005</v>
      </c>
      <c r="Q741" s="350">
        <v>2006</v>
      </c>
      <c r="R741" s="350">
        <v>2007</v>
      </c>
      <c r="S741" s="350">
        <v>2008</v>
      </c>
      <c r="T741" s="350">
        <v>2009</v>
      </c>
      <c r="U741" s="350">
        <v>2010</v>
      </c>
      <c r="V741" s="350">
        <v>2011</v>
      </c>
      <c r="W741" s="350">
        <v>2012</v>
      </c>
      <c r="X741" s="350">
        <v>2013</v>
      </c>
      <c r="Y741" s="350">
        <v>2014</v>
      </c>
      <c r="Z741" s="350">
        <v>2015</v>
      </c>
      <c r="AA741" s="350">
        <v>2016</v>
      </c>
      <c r="AB741" s="350">
        <v>2017</v>
      </c>
      <c r="AC741" s="350">
        <v>2018</v>
      </c>
      <c r="AD741" s="350">
        <v>2019</v>
      </c>
      <c r="AE741" s="350">
        <v>2020</v>
      </c>
      <c r="AF741" s="350">
        <v>2021</v>
      </c>
      <c r="AG741" s="350">
        <v>2022</v>
      </c>
      <c r="AH741" s="350">
        <v>2023</v>
      </c>
      <c r="AI741" s="350">
        <v>2024</v>
      </c>
      <c r="AJ741" s="350">
        <v>2025</v>
      </c>
      <c r="AK741" s="350"/>
      <c r="AL741" s="350"/>
      <c r="AM741" s="350"/>
      <c r="AN741" s="350"/>
      <c r="AO741" s="350"/>
      <c r="AP741" s="350"/>
      <c r="AQ741" s="350"/>
      <c r="AR741" s="350"/>
      <c r="AS741" s="350"/>
      <c r="AT741" s="350"/>
    </row>
    <row r="742" spans="1:63" hidden="1">
      <c r="D742" s="104" t="s">
        <v>620</v>
      </c>
      <c r="E742" s="106"/>
      <c r="F742" s="106"/>
      <c r="G742" s="106"/>
      <c r="H742" s="106"/>
      <c r="I742" s="106"/>
      <c r="J742" s="351" t="s">
        <v>1100</v>
      </c>
      <c r="K742" s="351" t="s">
        <v>1099</v>
      </c>
      <c r="L742" s="351" t="s">
        <v>1098</v>
      </c>
      <c r="M742" s="351" t="s">
        <v>1097</v>
      </c>
      <c r="N742" s="351" t="s">
        <v>1096</v>
      </c>
      <c r="O742" s="351" t="s">
        <v>1095</v>
      </c>
      <c r="P742" s="351" t="s">
        <v>1094</v>
      </c>
      <c r="Q742" s="351" t="s">
        <v>1093</v>
      </c>
      <c r="R742" s="351" t="s">
        <v>183</v>
      </c>
      <c r="S742" s="351" t="s">
        <v>184</v>
      </c>
      <c r="T742" s="351" t="s">
        <v>185</v>
      </c>
      <c r="U742" s="351" t="s">
        <v>186</v>
      </c>
      <c r="V742" s="351" t="s">
        <v>173</v>
      </c>
      <c r="W742" s="351" t="s">
        <v>174</v>
      </c>
      <c r="X742" s="351" t="s">
        <v>175</v>
      </c>
      <c r="Y742" s="351" t="s">
        <v>176</v>
      </c>
      <c r="Z742" s="351" t="s">
        <v>177</v>
      </c>
      <c r="AA742" s="351" t="s">
        <v>178</v>
      </c>
      <c r="AB742" s="351" t="s">
        <v>179</v>
      </c>
      <c r="AC742" s="681" t="s">
        <v>180</v>
      </c>
      <c r="AD742" s="681" t="s">
        <v>181</v>
      </c>
      <c r="AE742" s="351" t="s">
        <v>182</v>
      </c>
      <c r="AF742" s="351" t="s">
        <v>1062</v>
      </c>
      <c r="AG742" s="351" t="s">
        <v>1088</v>
      </c>
      <c r="AH742" s="351" t="s">
        <v>1089</v>
      </c>
      <c r="AI742" s="351" t="s">
        <v>1090</v>
      </c>
      <c r="AJ742" s="351" t="s">
        <v>1091</v>
      </c>
      <c r="AK742" s="351"/>
      <c r="AL742" s="351"/>
      <c r="AM742" s="351"/>
      <c r="AN742" s="351"/>
      <c r="AO742" s="351"/>
      <c r="AP742" s="351"/>
      <c r="AQ742" s="351"/>
      <c r="AR742" s="351"/>
      <c r="AS742" s="351"/>
      <c r="AT742" s="351"/>
    </row>
    <row r="743" spans="1:63" hidden="1">
      <c r="D743" s="104" t="s">
        <v>114</v>
      </c>
      <c r="E743" s="143"/>
      <c r="F743" s="14"/>
      <c r="G743" s="14"/>
      <c r="H743" s="14"/>
      <c r="I743" s="14"/>
      <c r="J743" s="105">
        <v>113.59782050000001</v>
      </c>
      <c r="K743" s="105">
        <v>136.65685000000002</v>
      </c>
      <c r="L743" s="105">
        <v>147.18380000000002</v>
      </c>
      <c r="M743" s="105">
        <v>160.49365</v>
      </c>
      <c r="N743" s="105">
        <v>184.55775</v>
      </c>
      <c r="O743" s="105">
        <v>236.45734999999999</v>
      </c>
      <c r="P743" s="105">
        <v>309.56335607093501</v>
      </c>
      <c r="Q743" s="105">
        <v>360.26350607093502</v>
      </c>
      <c r="R743" s="105">
        <v>388.09999999999997</v>
      </c>
      <c r="S743" s="105">
        <v>518.20000000000005</v>
      </c>
      <c r="T743" s="105">
        <v>670.8</v>
      </c>
      <c r="U743" s="105">
        <f t="shared" ref="U743:AA743" si="1098">+U745+U772</f>
        <v>800.7</v>
      </c>
      <c r="V743" s="105">
        <f t="shared" si="1098"/>
        <v>863.35673257600001</v>
      </c>
      <c r="W743" s="105">
        <f t="shared" si="1098"/>
        <v>1049.0999999999999</v>
      </c>
      <c r="X743" s="105">
        <f t="shared" si="1098"/>
        <v>1101.321563602417</v>
      </c>
      <c r="Y743" s="105">
        <f t="shared" si="1098"/>
        <v>1336.3605712034318</v>
      </c>
      <c r="Z743" s="105">
        <f t="shared" si="1098"/>
        <v>1418.6704994724025</v>
      </c>
      <c r="AA743" s="105">
        <f t="shared" si="1098"/>
        <v>1492.9051249731833</v>
      </c>
      <c r="AB743" s="105">
        <f>AB745+AB772</f>
        <v>1615.7619294919559</v>
      </c>
      <c r="AC743" s="105">
        <f>AC745+AC772</f>
        <v>1820.4124327910465</v>
      </c>
      <c r="AD743" s="105">
        <f>AD745+AD772</f>
        <v>2000.3545430907363</v>
      </c>
      <c r="AE743" s="105">
        <f>(AE745+AE772)*0+2082.03097199528</f>
        <v>2082.0309719952802</v>
      </c>
      <c r="AF743" s="105">
        <f>(AF745+AF772)*0+2171.53512579926</f>
        <v>2171.5351257992602</v>
      </c>
      <c r="AG743" s="105">
        <f>AG745+AG772</f>
        <v>10056.171310737243</v>
      </c>
      <c r="AH743" s="105">
        <f t="shared" ref="AH743:AJ743" si="1099">+AH745+AH772</f>
        <v>14639.986880216613</v>
      </c>
      <c r="AI743" s="105">
        <f t="shared" si="1099"/>
        <v>17482.016232956976</v>
      </c>
      <c r="AJ743" s="105">
        <f t="shared" si="1099"/>
        <v>623.07302328996025</v>
      </c>
      <c r="AK743" s="105"/>
      <c r="AL743" s="105"/>
      <c r="AM743" s="105"/>
      <c r="AN743" s="105"/>
      <c r="AO743" s="105"/>
      <c r="AP743" s="105"/>
      <c r="AQ743" s="105"/>
      <c r="AR743" s="105"/>
      <c r="AS743" s="105"/>
      <c r="AT743" s="105"/>
    </row>
    <row r="744" spans="1:63" hidden="1">
      <c r="D744" s="106"/>
      <c r="E744" s="143"/>
      <c r="F744" s="14"/>
      <c r="G744" s="14"/>
      <c r="H744" s="14"/>
      <c r="I744" s="14"/>
      <c r="J744" s="105"/>
      <c r="K744" s="105"/>
      <c r="L744" s="105"/>
      <c r="M744" s="105"/>
      <c r="N744" s="105"/>
      <c r="O744" s="105"/>
      <c r="P744" s="105"/>
      <c r="Q744" s="105"/>
      <c r="R744" s="105"/>
      <c r="S744" s="105"/>
      <c r="T744" s="105"/>
      <c r="U744" s="105"/>
      <c r="V744" s="105"/>
      <c r="W744" s="105"/>
      <c r="X744" s="105"/>
      <c r="Y744" s="105"/>
      <c r="Z744" s="124"/>
      <c r="AA744" s="124"/>
      <c r="AB744" s="124"/>
      <c r="AC744" s="124"/>
      <c r="AD744" s="1125"/>
      <c r="AE744" s="1125"/>
      <c r="AF744" s="1125"/>
      <c r="AG744" s="1125"/>
      <c r="AH744" s="1125"/>
      <c r="AI744" s="1125"/>
      <c r="AJ744" s="1125"/>
      <c r="AK744" s="1125"/>
      <c r="AL744" s="1125"/>
      <c r="AM744" s="1125"/>
      <c r="AN744" s="1125"/>
      <c r="AO744" s="1125"/>
      <c r="AP744" s="1125"/>
      <c r="AQ744" s="1125"/>
      <c r="AR744" s="1125"/>
      <c r="AS744" s="1125"/>
      <c r="AT744" s="1125"/>
    </row>
    <row r="745" spans="1:63" hidden="1">
      <c r="D745" s="107" t="s">
        <v>116</v>
      </c>
      <c r="E745" s="143"/>
      <c r="F745" s="14"/>
      <c r="G745" s="14"/>
      <c r="H745" s="14"/>
      <c r="I745" s="14"/>
      <c r="J745" s="105">
        <v>65.384550000000004</v>
      </c>
      <c r="K745" s="105">
        <v>66.571799999999996</v>
      </c>
      <c r="L745" s="105">
        <v>76.746549999999999</v>
      </c>
      <c r="M745" s="105">
        <v>93.009150000000005</v>
      </c>
      <c r="N745" s="105">
        <v>111.0539</v>
      </c>
      <c r="O745" s="105">
        <v>134.00534999999999</v>
      </c>
      <c r="P745" s="105">
        <v>162.974511917</v>
      </c>
      <c r="Q745" s="105">
        <v>193.494661917</v>
      </c>
      <c r="R745" s="105">
        <v>233.29999999999995</v>
      </c>
      <c r="S745" s="105">
        <v>290.3</v>
      </c>
      <c r="T745" s="105">
        <v>413.09999999999997</v>
      </c>
      <c r="U745" s="105">
        <v>391.40000000000003</v>
      </c>
      <c r="V745" s="105">
        <v>484.33096274100001</v>
      </c>
      <c r="W745" s="105">
        <v>591.70000000000005</v>
      </c>
      <c r="X745" s="105">
        <v>736.42156360241711</v>
      </c>
      <c r="Y745" s="105">
        <v>862.07143003969168</v>
      </c>
      <c r="Z745" s="105">
        <f>+Z746+Z763</f>
        <v>1002.7568019579999</v>
      </c>
      <c r="AA745" s="105">
        <f>+AA746+AA763</f>
        <v>1045.0337105420001</v>
      </c>
      <c r="AB745" s="105">
        <v>1285.5798455454374</v>
      </c>
      <c r="AC745" s="105">
        <v>1461.503755922336</v>
      </c>
      <c r="AD745" s="120">
        <f>FISCinyear!IS552</f>
        <v>1519.1752360943751</v>
      </c>
      <c r="AE745" s="105">
        <f>(+AE746+AE763)*0+1649.94869411712</f>
        <v>1649.9486941171201</v>
      </c>
      <c r="AF745" s="105">
        <f>(+AF746+AF763)*0+1679.21144080852</f>
        <v>1679.2114408085199</v>
      </c>
      <c r="AG745" s="105">
        <f>+AG746+AG763</f>
        <v>9219.9611762450495</v>
      </c>
      <c r="AH745" s="105">
        <f t="shared" ref="AH745:AJ745" si="1100">+AH746+AH763</f>
        <v>13928.692727257072</v>
      </c>
      <c r="AI745" s="105">
        <f t="shared" si="1100"/>
        <v>16724.199592366913</v>
      </c>
      <c r="AJ745" s="105">
        <f t="shared" si="1100"/>
        <v>0</v>
      </c>
      <c r="AK745" s="105"/>
      <c r="AL745" s="105"/>
      <c r="AM745" s="105"/>
      <c r="AN745" s="105"/>
      <c r="AO745" s="105"/>
      <c r="AP745" s="105"/>
      <c r="AQ745" s="105"/>
      <c r="AR745" s="105"/>
      <c r="AS745" s="105"/>
      <c r="AT745" s="105"/>
      <c r="AU745" s="1114"/>
      <c r="AV745" s="1114"/>
      <c r="AW745" s="1114"/>
      <c r="AX745" s="1114"/>
      <c r="AY745" s="1114"/>
      <c r="AZ745" s="1114"/>
      <c r="BA745" s="1114"/>
      <c r="BB745" s="1114"/>
      <c r="BC745" s="1114"/>
      <c r="BD745" s="1114"/>
      <c r="BE745" s="1114"/>
      <c r="BF745" s="1114"/>
      <c r="BG745" s="1114"/>
      <c r="BH745" s="1114"/>
      <c r="BI745" s="1114"/>
      <c r="BJ745" s="1114"/>
      <c r="BK745" s="1114"/>
    </row>
    <row r="746" spans="1:63" hidden="1">
      <c r="C746" s="73"/>
      <c r="D746" s="677" t="s">
        <v>117</v>
      </c>
      <c r="E746" s="143"/>
      <c r="F746" s="14"/>
      <c r="G746" s="14"/>
      <c r="H746" s="14"/>
      <c r="I746" s="14"/>
      <c r="J746" s="105">
        <v>61.834350000000001</v>
      </c>
      <c r="K746" s="105">
        <v>63.134699999999995</v>
      </c>
      <c r="L746" s="105">
        <v>71.812049999999999</v>
      </c>
      <c r="M746" s="105">
        <v>86.365949999999998</v>
      </c>
      <c r="N746" s="105">
        <v>103.91084999999998</v>
      </c>
      <c r="O746" s="105">
        <v>123.96069999999997</v>
      </c>
      <c r="P746" s="105">
        <v>147.8440864465</v>
      </c>
      <c r="Q746" s="105">
        <v>177.28098644650001</v>
      </c>
      <c r="R746" s="105">
        <v>217.59999999999997</v>
      </c>
      <c r="S746" s="105">
        <v>272.5</v>
      </c>
      <c r="T746" s="105">
        <v>361.4</v>
      </c>
      <c r="U746" s="105">
        <v>376.40000000000003</v>
      </c>
      <c r="V746" s="105">
        <v>463.70823000000001</v>
      </c>
      <c r="W746" s="105">
        <v>557</v>
      </c>
      <c r="X746" s="105">
        <v>651.92156360241711</v>
      </c>
      <c r="Y746" s="105">
        <v>761.02287438134351</v>
      </c>
      <c r="Z746" s="105">
        <f>+Z748+Z751+Z758</f>
        <v>871.55680195799994</v>
      </c>
      <c r="AA746" s="105">
        <f>+AA748+AA751+AA758</f>
        <v>1000.3139498321091</v>
      </c>
      <c r="AB746" s="105">
        <v>1104.143145074856</v>
      </c>
      <c r="AC746" s="105">
        <v>1252.8836310898428</v>
      </c>
      <c r="AD746" s="105">
        <f>FISCinyear!IS553</f>
        <v>1418.7907824792755</v>
      </c>
      <c r="AE746" s="105">
        <f>(+AE748+AE751+AE758)*0+1408.28179656143</f>
        <v>1408.2817965614299</v>
      </c>
      <c r="AF746" s="105">
        <f>(+AF748+AF751+AF758)*0+1459.87322506286</f>
        <v>1459.87322506286</v>
      </c>
      <c r="AG746" s="105">
        <f>+(AG748+AG751+AG758)</f>
        <v>8891.8593341786018</v>
      </c>
      <c r="AH746" s="105">
        <f>+(AH748+AH751+AH758)</f>
        <v>13534.603171201939</v>
      </c>
      <c r="AI746" s="105">
        <f>(+AI748+AI751+AI758)</f>
        <v>16229.090394491632</v>
      </c>
      <c r="AJ746" s="105">
        <f>+AJ748+AJ751+AJ758</f>
        <v>0</v>
      </c>
      <c r="AK746" s="105"/>
      <c r="AL746" s="105"/>
      <c r="AM746" s="105"/>
      <c r="AN746" s="105"/>
      <c r="AO746" s="105"/>
      <c r="AP746" s="105"/>
      <c r="AQ746" s="105"/>
      <c r="AR746" s="105"/>
      <c r="AS746" s="105"/>
      <c r="AT746" s="105"/>
    </row>
    <row r="747" spans="1:63" hidden="1">
      <c r="C747" s="73"/>
      <c r="D747" s="109" t="s">
        <v>118</v>
      </c>
      <c r="E747" s="147" t="s">
        <v>221</v>
      </c>
      <c r="F747" s="28"/>
      <c r="G747" s="28"/>
      <c r="H747" s="28"/>
      <c r="I747" s="28"/>
      <c r="J747" s="105"/>
      <c r="K747" s="105"/>
      <c r="L747" s="105"/>
      <c r="M747" s="105"/>
      <c r="N747" s="105"/>
      <c r="O747" s="105"/>
      <c r="P747" s="105"/>
      <c r="Q747" s="105"/>
      <c r="R747" s="105"/>
      <c r="S747" s="105"/>
      <c r="T747" s="105"/>
      <c r="U747" s="105"/>
      <c r="V747" s="105"/>
      <c r="W747" s="133"/>
      <c r="X747" s="133"/>
      <c r="Y747" s="133"/>
      <c r="Z747" s="133"/>
      <c r="AA747" s="133"/>
      <c r="AB747" s="133"/>
      <c r="AC747" s="133"/>
      <c r="AD747" s="1125"/>
      <c r="AE747" s="1125"/>
      <c r="AF747" s="1223"/>
      <c r="AG747" s="1223"/>
      <c r="AH747" s="1223"/>
      <c r="AI747" s="1223"/>
      <c r="AJ747" s="1223"/>
      <c r="AK747" s="1223"/>
      <c r="AL747" s="1223"/>
      <c r="AM747" s="1223"/>
      <c r="AN747" s="1223"/>
      <c r="AO747" s="1223"/>
      <c r="AP747" s="1223"/>
      <c r="AQ747" s="1223"/>
      <c r="AR747" s="1223"/>
      <c r="AS747" s="1223"/>
      <c r="AT747" s="1223"/>
    </row>
    <row r="748" spans="1:63" hidden="1">
      <c r="C748" s="73"/>
      <c r="D748" s="678" t="s">
        <v>119</v>
      </c>
      <c r="E748" s="143"/>
      <c r="F748" s="14"/>
      <c r="G748" s="14"/>
      <c r="H748" s="14"/>
      <c r="I748" s="14"/>
      <c r="J748" s="105">
        <v>17.2469</v>
      </c>
      <c r="K748" s="105">
        <v>17.314599999999999</v>
      </c>
      <c r="L748" s="105">
        <v>20.923549999999999</v>
      </c>
      <c r="M748" s="105">
        <v>26.705950000000001</v>
      </c>
      <c r="N748" s="105">
        <v>31.963699999999999</v>
      </c>
      <c r="O748" s="105">
        <v>35.926549999999999</v>
      </c>
      <c r="P748" s="105">
        <v>43.673865413499996</v>
      </c>
      <c r="Q748" s="105">
        <v>56.802915413500003</v>
      </c>
      <c r="R748" s="105">
        <v>73.599999999999994</v>
      </c>
      <c r="S748" s="105">
        <v>103.3</v>
      </c>
      <c r="T748" s="105">
        <v>130.1</v>
      </c>
      <c r="U748" s="105">
        <v>148.80000000000001</v>
      </c>
      <c r="V748" s="105">
        <v>180.87051</v>
      </c>
      <c r="W748" s="105">
        <v>228.5</v>
      </c>
      <c r="X748" s="105">
        <v>282.03795364000001</v>
      </c>
      <c r="Y748" s="105">
        <v>311.06765537199999</v>
      </c>
      <c r="Z748" s="105">
        <f>356.910721936*0+375.7</f>
        <v>375.7</v>
      </c>
      <c r="AA748" s="105">
        <f>FISCinyear!IJ555</f>
        <v>406.15890469125247</v>
      </c>
      <c r="AB748" s="105">
        <v>468.38349499953603</v>
      </c>
      <c r="AC748" s="105">
        <v>538.69490139370396</v>
      </c>
      <c r="AD748" s="652">
        <f>FISCinyear!IS555</f>
        <v>617.08340546794</v>
      </c>
      <c r="AE748" s="105">
        <f>+(AE318*AE305+AE749)*0+620.745855941847</f>
        <v>620.74585594184703</v>
      </c>
      <c r="AF748" s="105">
        <f>+(AF318*AF305+AF749)*0+650.693847988338</f>
        <v>650.69384798833801</v>
      </c>
      <c r="AG748" s="105">
        <f>+(AG318*AG305+AG749)</f>
        <v>4732.2732570470907</v>
      </c>
      <c r="AH748" s="105">
        <f t="shared" ref="AH748:AJ748" si="1101">+AH318*AH305+AH749</f>
        <v>5969.7068826436207</v>
      </c>
      <c r="AI748" s="105">
        <f t="shared" si="1101"/>
        <v>6936.6683836577977</v>
      </c>
      <c r="AJ748" s="105">
        <f t="shared" si="1101"/>
        <v>0</v>
      </c>
      <c r="AK748" s="105"/>
      <c r="AL748" s="105"/>
      <c r="AM748" s="105"/>
      <c r="AN748" s="105"/>
      <c r="AO748" s="105"/>
      <c r="AP748" s="105"/>
      <c r="AQ748" s="105"/>
      <c r="AR748" s="105"/>
      <c r="AS748" s="105"/>
      <c r="AT748" s="105"/>
    </row>
    <row r="749" spans="1:63" hidden="1">
      <c r="A749" s="79"/>
      <c r="D749" s="109" t="s">
        <v>928</v>
      </c>
      <c r="E749" s="143"/>
      <c r="F749" s="14"/>
      <c r="G749" s="14"/>
      <c r="H749" s="14"/>
      <c r="I749" s="14"/>
      <c r="J749" s="105"/>
      <c r="K749" s="105"/>
      <c r="L749" s="105"/>
      <c r="M749" s="105"/>
      <c r="N749" s="105"/>
      <c r="O749" s="105"/>
      <c r="P749" s="105"/>
      <c r="Q749" s="105"/>
      <c r="R749" s="105"/>
      <c r="S749" s="105"/>
      <c r="T749" s="105"/>
      <c r="U749" s="105"/>
      <c r="V749" s="105">
        <v>0</v>
      </c>
      <c r="W749" s="105">
        <v>0</v>
      </c>
      <c r="X749" s="105">
        <v>0</v>
      </c>
      <c r="Y749" s="105">
        <v>0</v>
      </c>
      <c r="Z749" s="105">
        <v>13.2</v>
      </c>
      <c r="AA749" s="105">
        <f>FISCinyear!IJ556</f>
        <v>13.641704387109074</v>
      </c>
      <c r="AB749" s="105">
        <v>17.44054101961876</v>
      </c>
      <c r="AC749" s="105">
        <v>18.831114429223977</v>
      </c>
      <c r="AD749" s="652">
        <f>FISCinyear!IS556</f>
        <v>19.368797178000005</v>
      </c>
      <c r="AE749" s="105">
        <f>+(AE320*AE303)*0+32.0931811585121</f>
        <v>32.093181158512103</v>
      </c>
      <c r="AF749" s="105">
        <f>+(AF320*AF303)*0+38.4747568282416</f>
        <v>38.474756828241603</v>
      </c>
      <c r="AG749" s="105">
        <f t="shared" ref="AG749:AJ749" si="1102">+AG320*AG303</f>
        <v>188.9696470601377</v>
      </c>
      <c r="AH749" s="105">
        <f t="shared" si="1102"/>
        <v>212.5927641980868</v>
      </c>
      <c r="AI749" s="105">
        <f t="shared" si="1102"/>
        <v>219.61370751191984</v>
      </c>
      <c r="AJ749" s="105">
        <f t="shared" si="1102"/>
        <v>0</v>
      </c>
      <c r="AK749" s="105"/>
      <c r="AL749" s="105"/>
      <c r="AM749" s="105"/>
      <c r="AN749" s="105"/>
      <c r="AO749" s="105"/>
      <c r="AP749" s="105"/>
      <c r="AQ749" s="105"/>
      <c r="AR749" s="105"/>
      <c r="AS749" s="105"/>
      <c r="AT749" s="105"/>
    </row>
    <row r="750" spans="1:63" hidden="1">
      <c r="A750" s="79"/>
      <c r="D750" s="109" t="s">
        <v>324</v>
      </c>
      <c r="E750" s="143"/>
      <c r="F750" s="14"/>
      <c r="G750" s="14"/>
      <c r="H750" s="14"/>
      <c r="I750" s="14"/>
      <c r="J750" s="105"/>
      <c r="K750" s="105"/>
      <c r="L750" s="105"/>
      <c r="M750" s="105"/>
      <c r="N750" s="105"/>
      <c r="O750" s="105"/>
      <c r="P750" s="105"/>
      <c r="Q750" s="105"/>
      <c r="R750" s="105"/>
      <c r="S750" s="105"/>
      <c r="T750" s="105"/>
      <c r="U750" s="105"/>
      <c r="V750" s="105"/>
      <c r="W750" s="105"/>
      <c r="X750" s="105"/>
      <c r="Y750" s="105"/>
      <c r="Z750" s="105"/>
      <c r="AA750" s="105">
        <f>FISCinyear!IJ557</f>
        <v>0</v>
      </c>
      <c r="AB750" s="105">
        <v>7.9125338029999996</v>
      </c>
      <c r="AC750" s="105"/>
      <c r="AD750" s="652"/>
      <c r="AE750" s="105"/>
      <c r="AF750" s="105"/>
      <c r="AG750" s="105"/>
      <c r="AH750" s="105"/>
      <c r="AI750" s="105"/>
      <c r="AJ750" s="105"/>
      <c r="AK750" s="105"/>
      <c r="AL750" s="105"/>
      <c r="AM750" s="105"/>
      <c r="AN750" s="105"/>
      <c r="AO750" s="105"/>
      <c r="AP750" s="105"/>
      <c r="AQ750" s="105"/>
      <c r="AR750" s="105"/>
      <c r="AS750" s="105"/>
      <c r="AT750" s="105"/>
    </row>
    <row r="751" spans="1:63" hidden="1">
      <c r="D751" s="678" t="s">
        <v>121</v>
      </c>
      <c r="E751" s="143"/>
      <c r="F751" s="14"/>
      <c r="G751" s="14"/>
      <c r="H751" s="14"/>
      <c r="I751" s="14"/>
      <c r="J751" s="105">
        <v>31.0535</v>
      </c>
      <c r="K751" s="105">
        <v>34.375450000000001</v>
      </c>
      <c r="L751" s="105">
        <v>38.1006</v>
      </c>
      <c r="M751" s="105">
        <v>44.326100000000004</v>
      </c>
      <c r="N751" s="105">
        <v>52.533950000000004</v>
      </c>
      <c r="O751" s="105">
        <v>63.825749999999999</v>
      </c>
      <c r="P751" s="105">
        <v>76.543240682000004</v>
      </c>
      <c r="Q751" s="105">
        <v>89.216490682</v>
      </c>
      <c r="R751" s="105">
        <v>109.8</v>
      </c>
      <c r="S751" s="105">
        <v>135</v>
      </c>
      <c r="T751" s="105">
        <v>179.3</v>
      </c>
      <c r="U751" s="105">
        <v>195</v>
      </c>
      <c r="V751" s="105">
        <v>245.07752000000005</v>
      </c>
      <c r="W751" s="105">
        <v>282.60000000000002</v>
      </c>
      <c r="X751" s="105">
        <v>315.06128592821722</v>
      </c>
      <c r="Y751" s="105">
        <v>394.09039095934344</v>
      </c>
      <c r="Z751" s="105">
        <f>0*424.752046105393+432.4</f>
        <v>432.4</v>
      </c>
      <c r="AA751" s="105">
        <f>FISCinyear!IJ558</f>
        <v>510.26995810122003</v>
      </c>
      <c r="AB751" s="105">
        <v>544.55577678631994</v>
      </c>
      <c r="AC751" s="105">
        <v>616.05744956113881</v>
      </c>
      <c r="AD751" s="652">
        <f>FISCinyear!IS558</f>
        <v>689.97955689239006</v>
      </c>
      <c r="AE751" s="548">
        <f>+(AE753+AE754+AE755+AE756)*0+679.274789044858</f>
        <v>679.27478904485804</v>
      </c>
      <c r="AF751" s="548">
        <f>+(AF753+AF754+AF755+AF756)*0+700.813984700267</f>
        <v>700.81398470026704</v>
      </c>
      <c r="AG751" s="548">
        <f>+(AG753+AG754+AG500+AG756)</f>
        <v>3312.5472275452416</v>
      </c>
      <c r="AH751" s="548">
        <f t="shared" ref="AH751:AJ751" si="1103">+AH753+AH754+AH755+AH756</f>
        <v>6397.6914632383996</v>
      </c>
      <c r="AI751" s="548">
        <f t="shared" si="1103"/>
        <v>7797.8677901254105</v>
      </c>
      <c r="AJ751" s="548">
        <f t="shared" si="1103"/>
        <v>0</v>
      </c>
      <c r="AK751" s="548"/>
      <c r="AL751" s="548"/>
      <c r="AM751" s="548"/>
      <c r="AN751" s="548"/>
      <c r="AO751" s="548"/>
      <c r="AP751" s="548"/>
      <c r="AQ751" s="548"/>
      <c r="AR751" s="548"/>
      <c r="AS751" s="548"/>
      <c r="AT751" s="548"/>
    </row>
    <row r="752" spans="1:63" hidden="1">
      <c r="D752" s="933" t="s">
        <v>1082</v>
      </c>
      <c r="E752" s="150"/>
      <c r="F752" s="14"/>
      <c r="G752" s="14"/>
      <c r="H752" s="14"/>
      <c r="I752" s="14"/>
      <c r="J752" s="105"/>
      <c r="K752" s="105"/>
      <c r="L752" s="105"/>
      <c r="M752" s="105"/>
      <c r="N752" s="105"/>
      <c r="O752" s="105"/>
      <c r="P752" s="105"/>
      <c r="Q752" s="105"/>
      <c r="R752" s="105"/>
      <c r="S752" s="105"/>
      <c r="T752" s="105"/>
      <c r="U752" s="105"/>
      <c r="V752" s="105"/>
      <c r="W752" s="105">
        <v>0</v>
      </c>
      <c r="X752" s="105">
        <v>0</v>
      </c>
      <c r="Y752" s="105">
        <v>4.6431497745638088</v>
      </c>
      <c r="Z752" s="105">
        <v>11</v>
      </c>
      <c r="AA752" s="105">
        <f>FISCinyear!IJ559</f>
        <v>11.710118264066224</v>
      </c>
      <c r="AB752" s="105">
        <v>0</v>
      </c>
      <c r="AC752" s="105">
        <v>0</v>
      </c>
      <c r="AD752" s="652">
        <f>AG1885</f>
        <v>156.930534967</v>
      </c>
      <c r="AE752" s="142">
        <f>AH1885*0+11.382821537</f>
        <v>11.382821537</v>
      </c>
      <c r="AF752" s="142">
        <f>AI1885*0+12.352068791</f>
        <v>12.352068791000001</v>
      </c>
      <c r="AG752" s="142">
        <f>AJ1885</f>
        <v>163.95667452790599</v>
      </c>
      <c r="AH752" s="142">
        <f t="shared" ref="AH752:AJ752" si="1104">+AG752</f>
        <v>163.95667452790599</v>
      </c>
      <c r="AI752" s="142">
        <f t="shared" si="1104"/>
        <v>163.95667452790599</v>
      </c>
      <c r="AJ752" s="142">
        <f t="shared" si="1104"/>
        <v>163.95667452790599</v>
      </c>
      <c r="AK752" s="142"/>
      <c r="AL752" s="142"/>
      <c r="AM752" s="142"/>
      <c r="AN752" s="142"/>
      <c r="AO752" s="142"/>
      <c r="AP752" s="142"/>
      <c r="AQ752" s="142"/>
      <c r="AR752" s="142"/>
      <c r="AS752" s="142"/>
      <c r="AT752" s="142"/>
    </row>
    <row r="753" spans="4:46" hidden="1">
      <c r="D753" s="233" t="s">
        <v>305</v>
      </c>
      <c r="E753" s="147" t="s">
        <v>304</v>
      </c>
      <c r="F753" s="14"/>
      <c r="G753" s="14"/>
      <c r="H753" s="14"/>
      <c r="I753" s="14"/>
      <c r="J753" s="105"/>
      <c r="K753" s="105"/>
      <c r="L753" s="105"/>
      <c r="M753" s="105"/>
      <c r="N753" s="105"/>
      <c r="O753" s="105"/>
      <c r="P753" s="105"/>
      <c r="Q753" s="105"/>
      <c r="R753" s="105"/>
      <c r="S753" s="105"/>
      <c r="T753" s="105"/>
      <c r="U753" s="105"/>
      <c r="V753" s="138">
        <f>+V751-V754-V755</f>
        <v>150.69373877680005</v>
      </c>
      <c r="W753" s="138">
        <f>+W751-W754-W755</f>
        <v>177.89039918590004</v>
      </c>
      <c r="X753" s="138">
        <f>+X751-X754-X755</f>
        <v>205.32254319011724</v>
      </c>
      <c r="Y753" s="138">
        <f>+Y751-Y754-Y755</f>
        <v>266.53332178554342</v>
      </c>
      <c r="Z753" s="138">
        <f>+Z751-Z754-Z755</f>
        <v>291.56431106799999</v>
      </c>
      <c r="AA753" s="138">
        <f>FISCinyear!IJ560</f>
        <v>284.67799529972336</v>
      </c>
      <c r="AB753" s="138">
        <v>316.51472917152</v>
      </c>
      <c r="AC753" s="138">
        <v>367.84438556264797</v>
      </c>
      <c r="AD753" s="652">
        <f>FISCinyear!IS560</f>
        <v>419.8296367767756</v>
      </c>
      <c r="AE753" s="139">
        <v>427.00197743470397</v>
      </c>
      <c r="AF753" s="139">
        <v>337.15350616777903</v>
      </c>
      <c r="AG753" s="139">
        <f t="shared" ref="AG753:AJ753" si="1105">+AG324*AG305</f>
        <v>3280.351178556275</v>
      </c>
      <c r="AH753" s="139">
        <f t="shared" si="1105"/>
        <v>4730.5254467685572</v>
      </c>
      <c r="AI753" s="139">
        <f t="shared" si="1105"/>
        <v>5699.0835431687847</v>
      </c>
      <c r="AJ753" s="139">
        <f t="shared" si="1105"/>
        <v>0</v>
      </c>
      <c r="AK753" s="139"/>
      <c r="AL753" s="139"/>
      <c r="AM753" s="139"/>
      <c r="AN753" s="139"/>
      <c r="AO753" s="139"/>
      <c r="AP753" s="139"/>
      <c r="AQ753" s="139"/>
      <c r="AR753" s="139"/>
      <c r="AS753" s="139"/>
      <c r="AT753" s="139"/>
    </row>
    <row r="754" spans="4:46" hidden="1">
      <c r="D754" s="109" t="s">
        <v>234</v>
      </c>
      <c r="E754" s="148" t="s">
        <v>228</v>
      </c>
      <c r="F754" s="14"/>
      <c r="G754" s="14"/>
      <c r="H754" s="14"/>
      <c r="I754" s="14"/>
      <c r="J754" s="105"/>
      <c r="K754" s="105"/>
      <c r="L754" s="105"/>
      <c r="M754" s="105"/>
      <c r="N754" s="105"/>
      <c r="O754" s="105"/>
      <c r="P754" s="105"/>
      <c r="Q754" s="105"/>
      <c r="R754" s="105"/>
      <c r="S754" s="105"/>
      <c r="T754" s="105"/>
      <c r="U754" s="105"/>
      <c r="V754" s="137">
        <v>52.384905286200002</v>
      </c>
      <c r="W754" s="137">
        <v>68.826393269100009</v>
      </c>
      <c r="X754" s="137">
        <v>75.831203879099988</v>
      </c>
      <c r="Y754" s="137">
        <v>90.556791256799997</v>
      </c>
      <c r="Z754" s="547">
        <v>99.770691104999997</v>
      </c>
      <c r="AA754" s="547">
        <f>FISCinyear!IJ561</f>
        <v>109.09405979749671</v>
      </c>
      <c r="AB754" s="547">
        <v>124.07125879180001</v>
      </c>
      <c r="AC754" s="547">
        <v>142.49295850171748</v>
      </c>
      <c r="AD754" s="652">
        <f>FISCinyear!IS561</f>
        <v>150.84872275807999</v>
      </c>
      <c r="AE754" s="139">
        <v>140.79556880066454</v>
      </c>
      <c r="AF754" s="139">
        <v>140.93113582954922</v>
      </c>
      <c r="AG754" s="139">
        <f t="shared" ref="AG754:AJ754" si="1106">+AG350*AG354*AG353</f>
        <v>1101.5892117260869</v>
      </c>
      <c r="AH754" s="139">
        <f t="shared" si="1106"/>
        <v>1517.9708039071459</v>
      </c>
      <c r="AI754" s="139">
        <f t="shared" si="1106"/>
        <v>1943.6945621517254</v>
      </c>
      <c r="AJ754" s="139">
        <f t="shared" si="1106"/>
        <v>0</v>
      </c>
      <c r="AK754" s="139"/>
      <c r="AL754" s="139"/>
      <c r="AM754" s="139"/>
      <c r="AN754" s="139"/>
      <c r="AO754" s="139"/>
      <c r="AP754" s="139"/>
      <c r="AQ754" s="139"/>
      <c r="AR754" s="139"/>
      <c r="AS754" s="139"/>
      <c r="AT754" s="139"/>
    </row>
    <row r="755" spans="4:46" hidden="1">
      <c r="D755" s="109" t="s">
        <v>804</v>
      </c>
      <c r="E755" s="148" t="s">
        <v>229</v>
      </c>
      <c r="F755" s="14"/>
      <c r="G755" s="14"/>
      <c r="H755" s="14"/>
      <c r="I755" s="14"/>
      <c r="J755" s="105"/>
      <c r="K755" s="105"/>
      <c r="L755" s="105"/>
      <c r="M755" s="105"/>
      <c r="N755" s="105"/>
      <c r="O755" s="105"/>
      <c r="P755" s="105"/>
      <c r="Q755" s="105"/>
      <c r="R755" s="105"/>
      <c r="S755" s="105"/>
      <c r="T755" s="105"/>
      <c r="U755" s="105"/>
      <c r="V755" s="137">
        <v>41.998875937000008</v>
      </c>
      <c r="W755" s="137">
        <v>35.883207544999991</v>
      </c>
      <c r="X755" s="137">
        <v>33.907538858999999</v>
      </c>
      <c r="Y755" s="137">
        <v>37.000277916999998</v>
      </c>
      <c r="Z755" s="547">
        <v>41.064997827000006</v>
      </c>
      <c r="AA755" s="547">
        <f>FISCinyear!IJ562</f>
        <v>70.537819522999996</v>
      </c>
      <c r="AB755" s="547">
        <v>49.161149705</v>
      </c>
      <c r="AC755" s="547">
        <v>45.414855609714145</v>
      </c>
      <c r="AD755" s="652">
        <f>FISCinyear!IS562</f>
        <v>57.597288626534429</v>
      </c>
      <c r="AE755" s="140">
        <v>52.237534284038475</v>
      </c>
      <c r="AF755" s="140">
        <v>56.255635505275059</v>
      </c>
      <c r="AG755" s="140">
        <f t="shared" ref="AG755:AJ755" si="1107">+AG337*(1-AG338)</f>
        <v>16.868103059579369</v>
      </c>
      <c r="AH755" s="140">
        <f t="shared" si="1107"/>
        <v>17.689022593328836</v>
      </c>
      <c r="AI755" s="140">
        <f t="shared" si="1107"/>
        <v>18.414554603751608</v>
      </c>
      <c r="AJ755" s="140">
        <f t="shared" si="1107"/>
        <v>0</v>
      </c>
      <c r="AK755" s="140"/>
      <c r="AL755" s="140"/>
      <c r="AM755" s="140"/>
      <c r="AN755" s="140"/>
      <c r="AO755" s="140"/>
      <c r="AP755" s="140"/>
      <c r="AQ755" s="140"/>
      <c r="AR755" s="140"/>
      <c r="AS755" s="140"/>
      <c r="AT755" s="140"/>
    </row>
    <row r="756" spans="4:46" hidden="1">
      <c r="D756" s="109" t="s">
        <v>803</v>
      </c>
      <c r="E756" s="148"/>
      <c r="F756" s="14"/>
      <c r="G756" s="14"/>
      <c r="H756" s="14"/>
      <c r="I756" s="14"/>
      <c r="J756" s="105"/>
      <c r="K756" s="105"/>
      <c r="L756" s="105"/>
      <c r="M756" s="105"/>
      <c r="N756" s="105"/>
      <c r="O756" s="105"/>
      <c r="P756" s="105"/>
      <c r="Q756" s="105"/>
      <c r="R756" s="105"/>
      <c r="S756" s="105"/>
      <c r="T756" s="105"/>
      <c r="U756" s="105"/>
      <c r="V756" s="137"/>
      <c r="W756" s="137"/>
      <c r="X756" s="137"/>
      <c r="Y756" s="137"/>
      <c r="Z756" s="137"/>
      <c r="AA756" s="137">
        <f>FISCinyear!IJ563</f>
        <v>45.960083481000005</v>
      </c>
      <c r="AB756" s="137">
        <v>54.808639118000002</v>
      </c>
      <c r="AC756" s="137">
        <v>57.706738912999995</v>
      </c>
      <c r="AD756" s="652">
        <f>FISCinyear!IS563</f>
        <v>61.703908731000006</v>
      </c>
      <c r="AE756" s="140">
        <v>59.23970852545088</v>
      </c>
      <c r="AF756" s="140">
        <v>166.4737071976636</v>
      </c>
      <c r="AG756" s="140">
        <f>AJ1886+AJ1887</f>
        <v>-1136.6425140210627</v>
      </c>
      <c r="AH756" s="140">
        <f t="shared" ref="AH756:AJ756" si="1108">+AH344+AH341</f>
        <v>131.50618996936856</v>
      </c>
      <c r="AI756" s="140">
        <f t="shared" si="1108"/>
        <v>136.6751302011491</v>
      </c>
      <c r="AJ756" s="140">
        <f t="shared" si="1108"/>
        <v>0</v>
      </c>
      <c r="AK756" s="140"/>
      <c r="AL756" s="140"/>
      <c r="AM756" s="140"/>
      <c r="AN756" s="140"/>
      <c r="AO756" s="140"/>
      <c r="AP756" s="140"/>
      <c r="AQ756" s="140"/>
      <c r="AR756" s="140"/>
      <c r="AS756" s="140"/>
      <c r="AT756" s="140"/>
    </row>
    <row r="757" spans="4:46" hidden="1">
      <c r="D757" s="1072"/>
      <c r="E757" s="148"/>
      <c r="F757" s="14"/>
      <c r="G757" s="14"/>
      <c r="H757" s="14"/>
      <c r="I757" s="14"/>
      <c r="J757" s="105"/>
      <c r="K757" s="105"/>
      <c r="L757" s="105"/>
      <c r="M757" s="105"/>
      <c r="N757" s="105"/>
      <c r="O757" s="105"/>
      <c r="P757" s="105"/>
      <c r="Q757" s="105"/>
      <c r="R757" s="105"/>
      <c r="S757" s="105"/>
      <c r="T757" s="105"/>
      <c r="U757" s="105"/>
      <c r="V757" s="137"/>
      <c r="W757" s="137"/>
      <c r="X757" s="137"/>
      <c r="Y757" s="137"/>
      <c r="Z757" s="137"/>
      <c r="AA757" s="137"/>
      <c r="AB757" s="137"/>
      <c r="AC757" s="137"/>
      <c r="AD757" s="652"/>
      <c r="AE757" s="140"/>
      <c r="AF757" s="140"/>
      <c r="AG757" s="140"/>
      <c r="AH757" s="140"/>
      <c r="AI757" s="140"/>
      <c r="AJ757" s="140"/>
      <c r="AK757" s="140"/>
      <c r="AL757" s="140"/>
      <c r="AM757" s="140"/>
      <c r="AN757" s="140"/>
      <c r="AO757" s="140"/>
      <c r="AP757" s="140"/>
      <c r="AQ757" s="140"/>
      <c r="AR757" s="140"/>
      <c r="AS757" s="140"/>
      <c r="AT757" s="140"/>
    </row>
    <row r="758" spans="4:46" hidden="1">
      <c r="D758" s="678" t="s">
        <v>123</v>
      </c>
      <c r="E758" s="149"/>
      <c r="F758" s="14"/>
      <c r="G758" s="14"/>
      <c r="H758" s="14"/>
      <c r="I758" s="14"/>
      <c r="J758" s="105">
        <v>13.533950000000001</v>
      </c>
      <c r="K758" s="105">
        <v>11.444649999999999</v>
      </c>
      <c r="L758" s="105">
        <v>12.7879</v>
      </c>
      <c r="M758" s="105">
        <v>15.3339</v>
      </c>
      <c r="N758" s="105">
        <v>19.4132</v>
      </c>
      <c r="O758" s="105">
        <v>24.208399999999997</v>
      </c>
      <c r="P758" s="105">
        <v>27.626980351</v>
      </c>
      <c r="Q758" s="105">
        <v>31.261580350999999</v>
      </c>
      <c r="R758" s="105">
        <v>34.200000000000003</v>
      </c>
      <c r="S758" s="105">
        <v>34.200000000000003</v>
      </c>
      <c r="T758" s="105">
        <v>52</v>
      </c>
      <c r="U758" s="105">
        <v>32.6</v>
      </c>
      <c r="V758" s="105">
        <v>37.760199999999998</v>
      </c>
      <c r="W758" s="105">
        <v>45.9</v>
      </c>
      <c r="X758" s="105">
        <v>54.822324034199994</v>
      </c>
      <c r="Y758" s="105">
        <v>55.86482805</v>
      </c>
      <c r="Z758" s="105">
        <f>63.356801958+0.1</f>
        <v>63.456801958</v>
      </c>
      <c r="AA758" s="105">
        <f>FISCinyear!IJ565</f>
        <v>83.885087039636574</v>
      </c>
      <c r="AB758" s="105">
        <v>91.203873289000001</v>
      </c>
      <c r="AC758" s="105">
        <v>98.131280134999997</v>
      </c>
      <c r="AD758" s="676">
        <f>FISCinyear!IS565</f>
        <v>111.72782011894525</v>
      </c>
      <c r="AE758" s="142">
        <v>108.26115157472482</v>
      </c>
      <c r="AF758" s="142">
        <v>108.36539237425878</v>
      </c>
      <c r="AG758" s="142">
        <f>+(AG350*AG354*(1-AG353))</f>
        <v>847.03884958627066</v>
      </c>
      <c r="AH758" s="142">
        <f t="shared" ref="AH758:AJ758" si="1109">+AH350*AH354*(1-AH353)</f>
        <v>1167.2048253199198</v>
      </c>
      <c r="AI758" s="142">
        <f t="shared" si="1109"/>
        <v>1494.5542207084229</v>
      </c>
      <c r="AJ758" s="142">
        <f t="shared" si="1109"/>
        <v>0</v>
      </c>
      <c r="AK758" s="142"/>
      <c r="AL758" s="142"/>
      <c r="AM758" s="142"/>
      <c r="AN758" s="142"/>
      <c r="AO758" s="142"/>
      <c r="AP758" s="142"/>
      <c r="AQ758" s="142"/>
      <c r="AR758" s="142"/>
      <c r="AS758" s="142"/>
      <c r="AT758" s="142"/>
    </row>
    <row r="759" spans="4:46" hidden="1">
      <c r="D759" s="109" t="s">
        <v>122</v>
      </c>
      <c r="E759" s="150"/>
      <c r="F759" s="14"/>
      <c r="G759" s="14"/>
      <c r="H759" s="14"/>
      <c r="I759" s="14"/>
      <c r="J759" s="105"/>
      <c r="K759" s="105"/>
      <c r="L759" s="105"/>
      <c r="M759" s="105"/>
      <c r="N759" s="105"/>
      <c r="O759" s="105"/>
      <c r="P759" s="105"/>
      <c r="Q759" s="105"/>
      <c r="R759" s="105"/>
      <c r="S759" s="105"/>
      <c r="T759" s="105"/>
      <c r="U759" s="105"/>
      <c r="V759" s="105"/>
      <c r="W759" s="105">
        <v>0</v>
      </c>
      <c r="X759" s="105">
        <v>0</v>
      </c>
      <c r="Y759" s="105">
        <v>7.9934024006154232</v>
      </c>
      <c r="Z759" s="105">
        <f>0*8.017+5.7</f>
        <v>5.7</v>
      </c>
      <c r="AA759" s="105">
        <f>FISCinyear!IJ566</f>
        <v>8.7529764315177125</v>
      </c>
      <c r="AB759" s="105">
        <v>0</v>
      </c>
      <c r="AC759" s="105">
        <v>0</v>
      </c>
      <c r="AD759" s="652"/>
      <c r="AE759" s="105"/>
      <c r="AF759" s="105"/>
      <c r="AG759" s="105"/>
      <c r="AH759" s="105"/>
      <c r="AI759" s="105"/>
      <c r="AJ759" s="105"/>
      <c r="AK759" s="105"/>
      <c r="AL759" s="105"/>
      <c r="AM759" s="105"/>
      <c r="AN759" s="105"/>
      <c r="AO759" s="105"/>
      <c r="AP759" s="105"/>
      <c r="AQ759" s="105"/>
      <c r="AR759" s="105"/>
      <c r="AS759" s="105"/>
      <c r="AT759" s="105"/>
    </row>
    <row r="760" spans="4:46" hidden="1">
      <c r="D760" s="109" t="s">
        <v>282</v>
      </c>
      <c r="E760" s="149"/>
      <c r="F760" s="14"/>
      <c r="G760" s="14"/>
      <c r="H760" s="14"/>
      <c r="I760" s="14"/>
      <c r="J760" s="105"/>
      <c r="K760" s="105"/>
      <c r="L760" s="105"/>
      <c r="M760" s="105"/>
      <c r="N760" s="105"/>
      <c r="O760" s="105"/>
      <c r="P760" s="105"/>
      <c r="Q760" s="105"/>
      <c r="R760" s="105"/>
      <c r="S760" s="105"/>
      <c r="T760" s="105"/>
      <c r="U760" s="105"/>
      <c r="V760" s="105"/>
      <c r="W760" s="105">
        <v>0</v>
      </c>
      <c r="X760" s="105">
        <v>0</v>
      </c>
      <c r="Y760" s="105">
        <v>0</v>
      </c>
      <c r="Z760" s="105">
        <v>0</v>
      </c>
      <c r="AA760" s="105">
        <f>FISCinyear!IJ567</f>
        <v>8.8000000000000007</v>
      </c>
      <c r="AB760" s="105">
        <v>10.620114093</v>
      </c>
      <c r="AC760" s="105">
        <v>11.43527939</v>
      </c>
      <c r="AD760" s="652">
        <f>FISCinyear!IS567</f>
        <v>13.01395142</v>
      </c>
      <c r="AE760" s="105">
        <v>14.332764489999999</v>
      </c>
      <c r="AF760" s="105">
        <v>14.850065997</v>
      </c>
      <c r="AG760" s="105">
        <v>15.850065997</v>
      </c>
      <c r="AH760" s="105">
        <f t="shared" ref="AH760:AJ760" si="1110">+AG760*(AH354/AG354)</f>
        <v>19.158873418079374</v>
      </c>
      <c r="AI760" s="105">
        <f t="shared" si="1110"/>
        <v>24.169547901947976</v>
      </c>
      <c r="AJ760" s="105">
        <f t="shared" si="1110"/>
        <v>0</v>
      </c>
      <c r="AK760" s="105"/>
      <c r="AL760" s="105"/>
      <c r="AM760" s="105"/>
      <c r="AN760" s="105"/>
      <c r="AO760" s="105"/>
      <c r="AP760" s="105"/>
      <c r="AQ760" s="105"/>
      <c r="AR760" s="105"/>
      <c r="AS760" s="105"/>
      <c r="AT760" s="105"/>
    </row>
    <row r="761" spans="4:46" hidden="1">
      <c r="D761" s="109" t="s">
        <v>813</v>
      </c>
      <c r="E761" s="149"/>
      <c r="F761" s="14"/>
      <c r="G761" s="14"/>
      <c r="H761" s="14"/>
      <c r="I761" s="14"/>
      <c r="J761" s="105"/>
      <c r="K761" s="105"/>
      <c r="L761" s="105"/>
      <c r="M761" s="105"/>
      <c r="N761" s="105"/>
      <c r="O761" s="105"/>
      <c r="P761" s="105"/>
      <c r="Q761" s="105"/>
      <c r="R761" s="105"/>
      <c r="S761" s="105"/>
      <c r="T761" s="105"/>
      <c r="U761" s="105"/>
      <c r="V761" s="105"/>
      <c r="W761" s="105"/>
      <c r="X761" s="105"/>
      <c r="Y761" s="105"/>
      <c r="Z761" s="105"/>
      <c r="AA761" s="105"/>
      <c r="AB761" s="105"/>
      <c r="AC761" s="105">
        <v>0</v>
      </c>
      <c r="AD761" s="676">
        <f>FISCinyear!IS568</f>
        <v>0</v>
      </c>
      <c r="AE761" s="105"/>
      <c r="AF761" s="105"/>
      <c r="AG761" s="105"/>
      <c r="AH761" s="105"/>
      <c r="AI761" s="105"/>
      <c r="AJ761" s="105"/>
      <c r="AK761" s="105"/>
      <c r="AL761" s="105"/>
      <c r="AM761" s="105"/>
      <c r="AN761" s="105"/>
      <c r="AO761" s="105"/>
      <c r="AP761" s="105"/>
      <c r="AQ761" s="105"/>
      <c r="AR761" s="105"/>
      <c r="AS761" s="105"/>
      <c r="AT761" s="105"/>
    </row>
    <row r="762" spans="4:46" hidden="1">
      <c r="D762" s="1072" t="s">
        <v>1156</v>
      </c>
      <c r="E762" s="149"/>
      <c r="F762" s="14"/>
      <c r="G762" s="14"/>
      <c r="H762" s="14"/>
      <c r="I762" s="14"/>
      <c r="J762" s="105"/>
      <c r="K762" s="105"/>
      <c r="L762" s="105"/>
      <c r="M762" s="105"/>
      <c r="N762" s="105"/>
      <c r="O762" s="105"/>
      <c r="P762" s="105"/>
      <c r="Q762" s="105"/>
      <c r="R762" s="105"/>
      <c r="S762" s="105"/>
      <c r="T762" s="105"/>
      <c r="U762" s="105"/>
      <c r="V762" s="105"/>
      <c r="W762" s="105"/>
      <c r="X762" s="105"/>
      <c r="Y762" s="105"/>
      <c r="Z762" s="105"/>
      <c r="AA762" s="105"/>
      <c r="AB762" s="105"/>
      <c r="AC762" s="105"/>
      <c r="AD762" s="676">
        <f>FISCinyear!IS569</f>
        <v>0</v>
      </c>
      <c r="AE762" s="105">
        <v>1.9857242319999999</v>
      </c>
      <c r="AF762" s="105">
        <v>2.1967378970000002</v>
      </c>
      <c r="AG762" s="105">
        <f>AJ1888</f>
        <v>-8.2804164340470943E-2</v>
      </c>
      <c r="AH762" s="105"/>
      <c r="AI762" s="105"/>
      <c r="AJ762" s="105"/>
      <c r="AK762" s="105"/>
      <c r="AL762" s="105"/>
      <c r="AM762" s="105"/>
      <c r="AN762" s="105"/>
      <c r="AO762" s="105"/>
      <c r="AP762" s="105"/>
      <c r="AQ762" s="105"/>
      <c r="AR762" s="105"/>
      <c r="AS762" s="105"/>
      <c r="AT762" s="105"/>
    </row>
    <row r="763" spans="4:46" hidden="1">
      <c r="D763" s="677" t="s">
        <v>124</v>
      </c>
      <c r="E763" s="143"/>
      <c r="F763" s="14"/>
      <c r="G763" s="14"/>
      <c r="H763" s="14"/>
      <c r="I763" s="14"/>
      <c r="J763" s="105">
        <v>3.5502000000000002</v>
      </c>
      <c r="K763" s="105">
        <v>3.4371</v>
      </c>
      <c r="L763" s="105">
        <v>4.9344999999999999</v>
      </c>
      <c r="M763" s="105">
        <v>6.6432000000000002</v>
      </c>
      <c r="N763" s="105">
        <v>7.1430500000000006</v>
      </c>
      <c r="O763" s="105">
        <v>10.044649999999999</v>
      </c>
      <c r="P763" s="105">
        <v>15.130425470500001</v>
      </c>
      <c r="Q763" s="105">
        <v>16.2136754705</v>
      </c>
      <c r="R763" s="105">
        <v>15.7</v>
      </c>
      <c r="S763" s="105">
        <v>17.8</v>
      </c>
      <c r="T763" s="105">
        <v>51.7</v>
      </c>
      <c r="U763" s="105">
        <v>15</v>
      </c>
      <c r="V763" s="105">
        <v>20.622732741</v>
      </c>
      <c r="W763" s="105">
        <v>34.700000000000003</v>
      </c>
      <c r="X763" s="105">
        <v>84.5</v>
      </c>
      <c r="Y763" s="105">
        <v>101.04855565834818</v>
      </c>
      <c r="Z763" s="105">
        <f>+Z764+Z765</f>
        <v>131.19999999999999</v>
      </c>
      <c r="AA763" s="105">
        <f>+AA764+AA765</f>
        <v>44.719760709890934</v>
      </c>
      <c r="AB763" s="105">
        <v>181.4367004705814</v>
      </c>
      <c r="AC763" s="105">
        <v>208.62012483249333</v>
      </c>
      <c r="AD763" s="105">
        <f>FISCinyear!IS570</f>
        <v>100.3844536151</v>
      </c>
      <c r="AE763" s="105">
        <v>241.66689755569263</v>
      </c>
      <c r="AF763" s="105">
        <v>219.33821574565292</v>
      </c>
      <c r="AG763" s="105">
        <f t="shared" ref="AG763:AJ763" si="1111">+AG764+AG765</f>
        <v>328.10184206644794</v>
      </c>
      <c r="AH763" s="105">
        <f t="shared" si="1111"/>
        <v>394.08955605513324</v>
      </c>
      <c r="AI763" s="105">
        <f t="shared" si="1111"/>
        <v>495.10919787528121</v>
      </c>
      <c r="AJ763" s="105">
        <f t="shared" si="1111"/>
        <v>0</v>
      </c>
      <c r="AK763" s="105"/>
      <c r="AL763" s="105"/>
      <c r="AM763" s="105"/>
      <c r="AN763" s="105"/>
      <c r="AO763" s="105"/>
      <c r="AP763" s="105"/>
      <c r="AQ763" s="105"/>
      <c r="AR763" s="105"/>
      <c r="AS763" s="105"/>
      <c r="AT763" s="105"/>
    </row>
    <row r="764" spans="4:46" hidden="1">
      <c r="D764" s="110" t="s">
        <v>784</v>
      </c>
      <c r="E764" s="143"/>
      <c r="F764" s="14"/>
      <c r="G764" s="14"/>
      <c r="H764" s="14"/>
      <c r="I764" s="14"/>
      <c r="J764" s="105"/>
      <c r="K764" s="105"/>
      <c r="L764" s="105"/>
      <c r="M764" s="105"/>
      <c r="N764" s="105"/>
      <c r="O764" s="105"/>
      <c r="P764" s="105"/>
      <c r="Q764" s="105"/>
      <c r="R764" s="105"/>
      <c r="S764" s="105"/>
      <c r="T764" s="105"/>
      <c r="U764" s="105"/>
      <c r="V764" s="105"/>
      <c r="W764" s="105">
        <v>0</v>
      </c>
      <c r="X764" s="105">
        <v>61.9</v>
      </c>
      <c r="Y764" s="105">
        <v>81.499363751348184</v>
      </c>
      <c r="Z764" s="105">
        <f>0*62.27+89</f>
        <v>89</v>
      </c>
      <c r="AA764" s="105">
        <f>FISCinyear!IJ571</f>
        <v>0</v>
      </c>
      <c r="AB764" s="105">
        <v>128.49930055706017</v>
      </c>
      <c r="AC764" s="105">
        <v>150.05275337</v>
      </c>
      <c r="AD764" s="652">
        <f>FISCinyear!IS571</f>
        <v>0</v>
      </c>
      <c r="AE764" s="548">
        <v>169.27762068120722</v>
      </c>
      <c r="AF764" s="548">
        <v>141.91716108631363</v>
      </c>
      <c r="AG764" s="548">
        <f t="shared" ref="AG764:AJ764" si="1112">+AG313</f>
        <v>140.58770486242673</v>
      </c>
      <c r="AH764" s="548">
        <f t="shared" si="1112"/>
        <v>151.85749599591659</v>
      </c>
      <c r="AI764" s="548">
        <f t="shared" si="1112"/>
        <v>176.56360568673131</v>
      </c>
      <c r="AJ764" s="548">
        <f t="shared" si="1112"/>
        <v>0</v>
      </c>
      <c r="AK764" s="548"/>
      <c r="AL764" s="548"/>
      <c r="AM764" s="548"/>
      <c r="AN764" s="548"/>
      <c r="AO764" s="548"/>
      <c r="AP764" s="548"/>
      <c r="AQ764" s="548"/>
      <c r="AR764" s="548"/>
      <c r="AS764" s="548"/>
      <c r="AT764" s="548"/>
    </row>
    <row r="765" spans="4:46" hidden="1">
      <c r="D765" s="110" t="s">
        <v>1013</v>
      </c>
      <c r="E765" s="143"/>
      <c r="F765" s="14"/>
      <c r="G765" s="14"/>
      <c r="H765" s="14"/>
      <c r="I765" s="14"/>
      <c r="J765" s="105"/>
      <c r="K765" s="105"/>
      <c r="L765" s="105"/>
      <c r="M765" s="105"/>
      <c r="N765" s="105"/>
      <c r="O765" s="105"/>
      <c r="P765" s="105"/>
      <c r="Q765" s="105"/>
      <c r="R765" s="105"/>
      <c r="S765" s="105"/>
      <c r="T765" s="105"/>
      <c r="U765" s="105"/>
      <c r="V765" s="105"/>
      <c r="W765" s="105">
        <v>0</v>
      </c>
      <c r="X765" s="105">
        <v>22.6</v>
      </c>
      <c r="Y765" s="105">
        <v>19.549191906999997</v>
      </c>
      <c r="Z765" s="105">
        <f>0*40.59+42.2</f>
        <v>42.2</v>
      </c>
      <c r="AA765" s="105">
        <f>FISCinyear!IJ572</f>
        <v>44.719760709890934</v>
      </c>
      <c r="AB765" s="105">
        <v>52.937399913521233</v>
      </c>
      <c r="AC765" s="105">
        <v>58.567371462493327</v>
      </c>
      <c r="AD765" s="652">
        <f>FISCinyear!IS572+AD767+AD768</f>
        <v>100.3844536151</v>
      </c>
      <c r="AE765" s="548">
        <v>72.38927687448539</v>
      </c>
      <c r="AF765" s="548">
        <v>77.421054659339276</v>
      </c>
      <c r="AG765" s="548">
        <f t="shared" ref="AG765:AJ765" si="1113">(AF765-AF766)*AG358+AG766</f>
        <v>187.51413720402121</v>
      </c>
      <c r="AH765" s="548">
        <f t="shared" si="1113"/>
        <v>242.23206005921665</v>
      </c>
      <c r="AI765" s="548">
        <f t="shared" si="1113"/>
        <v>318.5455921885499</v>
      </c>
      <c r="AJ765" s="548">
        <f t="shared" si="1113"/>
        <v>0</v>
      </c>
      <c r="AK765" s="548"/>
      <c r="AL765" s="548"/>
      <c r="AM765" s="548"/>
      <c r="AN765" s="548"/>
      <c r="AO765" s="548"/>
      <c r="AP765" s="548"/>
      <c r="AQ765" s="548"/>
      <c r="AR765" s="548"/>
      <c r="AS765" s="548"/>
      <c r="AT765" s="548"/>
    </row>
    <row r="766" spans="4:46" hidden="1">
      <c r="D766" s="110" t="s">
        <v>326</v>
      </c>
      <c r="E766" s="143"/>
      <c r="F766" s="14"/>
      <c r="G766" s="14"/>
      <c r="H766" s="14"/>
      <c r="I766" s="14"/>
      <c r="J766" s="105"/>
      <c r="K766" s="105"/>
      <c r="L766" s="105"/>
      <c r="M766" s="105"/>
      <c r="N766" s="105"/>
      <c r="O766" s="105"/>
      <c r="P766" s="105"/>
      <c r="Q766" s="105"/>
      <c r="R766" s="105"/>
      <c r="S766" s="105"/>
      <c r="T766" s="105"/>
      <c r="U766" s="105"/>
      <c r="V766" s="105"/>
      <c r="W766" s="105"/>
      <c r="X766" s="105"/>
      <c r="Y766" s="105"/>
      <c r="Z766" s="125">
        <f>+Z810-Z749</f>
        <v>17.8</v>
      </c>
      <c r="AA766" s="125">
        <f>FISCinyear!IJ573</f>
        <v>26.746760709890932</v>
      </c>
      <c r="AB766" s="125">
        <v>30.447338092201235</v>
      </c>
      <c r="AC766" s="125">
        <v>34.951589472616007</v>
      </c>
      <c r="AD766" s="652">
        <f>FISCinyear!IS573</f>
        <v>41.241632726000006</v>
      </c>
      <c r="AE766" s="128">
        <v>28.6235894165514</v>
      </c>
      <c r="AF766" s="128">
        <v>34.968337825143301</v>
      </c>
      <c r="AG766" s="128">
        <f t="shared" ref="AG766:AJ766" si="1114">+AG359</f>
        <v>71.193693078324216</v>
      </c>
      <c r="AH766" s="128">
        <f t="shared" si="1114"/>
        <v>91.015482695810562</v>
      </c>
      <c r="AI766" s="128">
        <f t="shared" si="1114"/>
        <v>106.84238387978141</v>
      </c>
      <c r="AJ766" s="128">
        <f t="shared" si="1114"/>
        <v>0</v>
      </c>
      <c r="AK766" s="128"/>
      <c r="AL766" s="128"/>
      <c r="AM766" s="128"/>
      <c r="AN766" s="128"/>
      <c r="AO766" s="128"/>
      <c r="AP766" s="128"/>
      <c r="AQ766" s="128"/>
      <c r="AR766" s="128"/>
      <c r="AS766" s="128"/>
      <c r="AT766" s="128"/>
    </row>
    <row r="767" spans="4:46" ht="16.5" hidden="1">
      <c r="D767" s="674" t="s">
        <v>1138</v>
      </c>
      <c r="E767" s="143"/>
      <c r="F767" s="14"/>
      <c r="G767" s="14"/>
      <c r="H767" s="14"/>
      <c r="I767" s="14"/>
      <c r="J767" s="105"/>
      <c r="K767" s="105"/>
      <c r="L767" s="105"/>
      <c r="M767" s="105"/>
      <c r="N767" s="105"/>
      <c r="O767" s="105"/>
      <c r="P767" s="105"/>
      <c r="Q767" s="105"/>
      <c r="R767" s="105"/>
      <c r="S767" s="105"/>
      <c r="T767" s="105"/>
      <c r="U767" s="105"/>
      <c r="V767" s="105"/>
      <c r="W767" s="105"/>
      <c r="X767" s="105"/>
      <c r="Y767" s="105"/>
      <c r="Z767" s="125"/>
      <c r="AA767" s="125"/>
      <c r="AB767" s="125"/>
      <c r="AC767" s="125"/>
      <c r="AD767" s="676">
        <f>FISCinyear!IS574</f>
        <v>8.4098652900000008</v>
      </c>
      <c r="AE767" s="105">
        <v>9.9240137229999998</v>
      </c>
      <c r="AF767" s="128">
        <v>12.6</v>
      </c>
      <c r="AG767" s="128">
        <f>AJ1893</f>
        <v>21652.5</v>
      </c>
      <c r="AH767" s="128"/>
      <c r="AI767" s="128"/>
      <c r="AJ767" s="128"/>
      <c r="AK767" s="128"/>
      <c r="AL767" s="128"/>
      <c r="AM767" s="128"/>
      <c r="AN767" s="128"/>
      <c r="AO767" s="128"/>
      <c r="AP767" s="128"/>
      <c r="AQ767" s="128"/>
      <c r="AR767" s="128"/>
      <c r="AS767" s="128"/>
      <c r="AT767" s="128"/>
    </row>
    <row r="768" spans="4:46" ht="16.5" hidden="1">
      <c r="D768" s="674" t="s">
        <v>1139</v>
      </c>
      <c r="E768" s="143"/>
      <c r="F768" s="14"/>
      <c r="G768" s="14"/>
      <c r="H768" s="14"/>
      <c r="I768" s="14"/>
      <c r="J768" s="105"/>
      <c r="K768" s="105"/>
      <c r="L768" s="105"/>
      <c r="M768" s="105"/>
      <c r="N768" s="105"/>
      <c r="O768" s="105"/>
      <c r="P768" s="105"/>
      <c r="Q768" s="105"/>
      <c r="R768" s="105"/>
      <c r="S768" s="105"/>
      <c r="T768" s="105"/>
      <c r="U768" s="105"/>
      <c r="V768" s="105"/>
      <c r="W768" s="105"/>
      <c r="X768" s="105"/>
      <c r="Y768" s="105"/>
      <c r="Z768" s="125"/>
      <c r="AA768" s="125"/>
      <c r="AB768" s="125"/>
      <c r="AC768" s="125"/>
      <c r="AD768" s="676">
        <f>FISCinyear!IS575</f>
        <v>19.947566402</v>
      </c>
      <c r="AE768" s="105">
        <v>20.100000000000001</v>
      </c>
      <c r="AF768" s="128">
        <v>10</v>
      </c>
      <c r="AG768" s="128">
        <f>AJ1894</f>
        <v>10.300877266081102</v>
      </c>
      <c r="AH768" s="128"/>
      <c r="AI768" s="128"/>
      <c r="AJ768" s="128"/>
      <c r="AK768" s="128"/>
      <c r="AL768" s="128"/>
      <c r="AM768" s="128"/>
      <c r="AN768" s="128"/>
      <c r="AO768" s="128"/>
      <c r="AP768" s="128"/>
      <c r="AQ768" s="128"/>
      <c r="AR768" s="128"/>
      <c r="AS768" s="128"/>
      <c r="AT768" s="128"/>
    </row>
    <row r="769" spans="1:49" ht="16.5" hidden="1">
      <c r="D769" s="674" t="s">
        <v>1177</v>
      </c>
      <c r="E769" s="143"/>
      <c r="F769" s="14"/>
      <c r="G769" s="14"/>
      <c r="H769" s="14"/>
      <c r="I769" s="14"/>
      <c r="J769" s="105"/>
      <c r="K769" s="105"/>
      <c r="L769" s="105"/>
      <c r="M769" s="105"/>
      <c r="N769" s="105"/>
      <c r="O769" s="105"/>
      <c r="P769" s="105"/>
      <c r="Q769" s="105"/>
      <c r="R769" s="105"/>
      <c r="S769" s="105"/>
      <c r="T769" s="105"/>
      <c r="U769" s="105"/>
      <c r="V769" s="105"/>
      <c r="W769" s="105"/>
      <c r="X769" s="105"/>
      <c r="Y769" s="105"/>
      <c r="Z769" s="125"/>
      <c r="AA769" s="125"/>
      <c r="AB769" s="125"/>
      <c r="AC769" s="125"/>
      <c r="AD769" s="676">
        <f>AG1895</f>
        <v>0</v>
      </c>
      <c r="AE769" s="105">
        <v>6.0529041499999998</v>
      </c>
      <c r="AF769" s="128">
        <v>6.3550000000000004</v>
      </c>
      <c r="AG769" s="128">
        <f>AJ1895</f>
        <v>0</v>
      </c>
      <c r="AH769" s="128"/>
      <c r="AI769" s="128"/>
      <c r="AJ769" s="128"/>
      <c r="AK769" s="128"/>
      <c r="AL769" s="128"/>
      <c r="AM769" s="128"/>
      <c r="AN769" s="128"/>
      <c r="AO769" s="128"/>
      <c r="AP769" s="128"/>
      <c r="AQ769" s="128"/>
      <c r="AR769" s="128"/>
      <c r="AS769" s="128"/>
      <c r="AT769" s="128"/>
    </row>
    <row r="770" spans="1:49" ht="16.5" hidden="1">
      <c r="D770" s="674" t="s">
        <v>1178</v>
      </c>
      <c r="E770" s="143"/>
      <c r="F770" s="14"/>
      <c r="G770" s="14"/>
      <c r="H770" s="14"/>
      <c r="I770" s="14"/>
      <c r="J770" s="105"/>
      <c r="K770" s="105"/>
      <c r="L770" s="105"/>
      <c r="M770" s="105"/>
      <c r="N770" s="105"/>
      <c r="O770" s="105"/>
      <c r="P770" s="105"/>
      <c r="Q770" s="105"/>
      <c r="R770" s="105"/>
      <c r="S770" s="105"/>
      <c r="T770" s="105"/>
      <c r="U770" s="105"/>
      <c r="V770" s="105"/>
      <c r="W770" s="105"/>
      <c r="X770" s="105"/>
      <c r="Y770" s="105"/>
      <c r="Z770" s="125"/>
      <c r="AA770" s="125"/>
      <c r="AB770" s="125"/>
      <c r="AC770" s="125"/>
      <c r="AD770" s="676">
        <f>AG1896</f>
        <v>0</v>
      </c>
      <c r="AE770" s="105">
        <v>1.055188566</v>
      </c>
      <c r="AF770" s="128">
        <v>1.1379561090000001</v>
      </c>
      <c r="AG770" s="128">
        <f>AJ1896</f>
        <v>0</v>
      </c>
      <c r="AH770" s="128"/>
      <c r="AI770" s="128"/>
      <c r="AJ770" s="128"/>
      <c r="AK770" s="128"/>
      <c r="AL770" s="128"/>
      <c r="AM770" s="128"/>
      <c r="AN770" s="128"/>
      <c r="AO770" s="128"/>
      <c r="AP770" s="128"/>
      <c r="AQ770" s="128"/>
      <c r="AR770" s="128"/>
      <c r="AS770" s="128"/>
      <c r="AT770" s="128"/>
    </row>
    <row r="771" spans="1:49" ht="16.5" hidden="1">
      <c r="D771" s="674" t="s">
        <v>1179</v>
      </c>
      <c r="E771" s="143"/>
      <c r="F771" s="14"/>
      <c r="G771" s="14"/>
      <c r="H771" s="14"/>
      <c r="I771" s="14"/>
      <c r="J771" s="105"/>
      <c r="K771" s="105"/>
      <c r="L771" s="105"/>
      <c r="M771" s="105"/>
      <c r="N771" s="105"/>
      <c r="O771" s="105"/>
      <c r="P771" s="105"/>
      <c r="Q771" s="105"/>
      <c r="R771" s="105"/>
      <c r="S771" s="105"/>
      <c r="T771" s="105"/>
      <c r="U771" s="105"/>
      <c r="V771" s="105"/>
      <c r="W771" s="105"/>
      <c r="X771" s="105"/>
      <c r="Y771" s="105"/>
      <c r="Z771" s="125"/>
      <c r="AA771" s="125"/>
      <c r="AB771" s="125"/>
      <c r="AC771" s="125"/>
      <c r="AD771" s="676">
        <f>AG1897</f>
        <v>0</v>
      </c>
      <c r="AE771" s="105">
        <v>0.42700500000000002</v>
      </c>
      <c r="AF771" s="128">
        <v>0.2912884</v>
      </c>
      <c r="AG771" s="128">
        <f>AJ1897</f>
        <v>0</v>
      </c>
      <c r="AH771" s="128"/>
      <c r="AI771" s="128"/>
      <c r="AJ771" s="128"/>
      <c r="AK771" s="128"/>
      <c r="AL771" s="128"/>
      <c r="AM771" s="128"/>
      <c r="AN771" s="128"/>
      <c r="AO771" s="128"/>
      <c r="AP771" s="128"/>
      <c r="AQ771" s="128"/>
      <c r="AR771" s="128"/>
      <c r="AS771" s="128"/>
      <c r="AT771" s="128"/>
    </row>
    <row r="772" spans="1:49" hidden="1">
      <c r="D772" s="107" t="s">
        <v>125</v>
      </c>
      <c r="E772" s="143"/>
      <c r="F772" s="14"/>
      <c r="G772" s="14"/>
      <c r="H772" s="14"/>
      <c r="I772" s="14"/>
      <c r="J772" s="105">
        <v>48.213270500000007</v>
      </c>
      <c r="K772" s="105">
        <v>70.085049999999995</v>
      </c>
      <c r="L772" s="105">
        <v>70.437250000000006</v>
      </c>
      <c r="M772" s="105">
        <v>67.484499999999997</v>
      </c>
      <c r="N772" s="105">
        <v>73.50385</v>
      </c>
      <c r="O772" s="105">
        <v>102.45200000000001</v>
      </c>
      <c r="P772" s="105">
        <v>146.58884415393501</v>
      </c>
      <c r="Q772" s="105">
        <v>166.76884415393499</v>
      </c>
      <c r="R772" s="105">
        <v>154.80000000000001</v>
      </c>
      <c r="S772" s="105">
        <v>227.89999999999998</v>
      </c>
      <c r="T772" s="105">
        <v>257.7</v>
      </c>
      <c r="U772" s="105">
        <v>409.3</v>
      </c>
      <c r="V772" s="105">
        <v>379.02576983500001</v>
      </c>
      <c r="W772" s="105">
        <v>457.4</v>
      </c>
      <c r="X772" s="105">
        <v>364.9</v>
      </c>
      <c r="Y772" s="105">
        <v>474.28914116374006</v>
      </c>
      <c r="Z772" s="105">
        <f>+Z773+Z779</f>
        <v>415.91369751440271</v>
      </c>
      <c r="AA772" s="105">
        <f>+AA773+AA779</f>
        <v>447.87141443118315</v>
      </c>
      <c r="AB772" s="105">
        <f>AB773+AB779</f>
        <v>330.18208394651856</v>
      </c>
      <c r="AC772" s="105">
        <f>AC773+AC779</f>
        <v>358.90867686871047</v>
      </c>
      <c r="AD772" s="105">
        <f>FISCinyear!IS576</f>
        <v>481.17930699636122</v>
      </c>
      <c r="AE772" s="125">
        <v>432.08227787815542</v>
      </c>
      <c r="AF772" s="125">
        <v>492.32368499074391</v>
      </c>
      <c r="AG772" s="125">
        <f t="shared" ref="AG772:AJ772" si="1115">+AG773+AG779</f>
        <v>836.21013449219345</v>
      </c>
      <c r="AH772" s="125">
        <f t="shared" si="1115"/>
        <v>711.29415295954027</v>
      </c>
      <c r="AI772" s="125">
        <f t="shared" si="1115"/>
        <v>757.81664059006152</v>
      </c>
      <c r="AJ772" s="105">
        <f t="shared" si="1115"/>
        <v>623.07302328996025</v>
      </c>
      <c r="AK772" s="105"/>
      <c r="AL772" s="105"/>
      <c r="AM772" s="105"/>
      <c r="AN772" s="105"/>
      <c r="AO772" s="105"/>
      <c r="AP772" s="105"/>
      <c r="AQ772" s="105"/>
      <c r="AR772" s="105"/>
      <c r="AS772" s="105"/>
      <c r="AT772" s="105"/>
    </row>
    <row r="773" spans="1:49" hidden="1">
      <c r="D773" s="108" t="s">
        <v>126</v>
      </c>
      <c r="E773" s="143"/>
      <c r="F773" s="14"/>
      <c r="G773" s="14"/>
      <c r="H773" s="14"/>
      <c r="I773" s="14"/>
      <c r="J773" s="105">
        <v>12.2132705</v>
      </c>
      <c r="K773" s="105">
        <v>28.406399999999998</v>
      </c>
      <c r="L773" s="105">
        <v>35.258600000000001</v>
      </c>
      <c r="M773" s="105">
        <v>36.984499999999997</v>
      </c>
      <c r="N773" s="105">
        <v>45.629350000000002</v>
      </c>
      <c r="O773" s="105">
        <v>72.109099999999998</v>
      </c>
      <c r="P773" s="105">
        <v>101.575444153935</v>
      </c>
      <c r="Q773" s="105">
        <v>92.047844153935003</v>
      </c>
      <c r="R773" s="105">
        <v>101.4</v>
      </c>
      <c r="S773" s="105">
        <v>168.1</v>
      </c>
      <c r="T773" s="105">
        <v>167</v>
      </c>
      <c r="U773" s="105">
        <v>283</v>
      </c>
      <c r="V773" s="105">
        <v>215.02576983500001</v>
      </c>
      <c r="W773" s="105">
        <v>265.7</v>
      </c>
      <c r="X773" s="105">
        <v>190</v>
      </c>
      <c r="Y773" s="105">
        <v>171.02736591717107</v>
      </c>
      <c r="Z773" s="105">
        <f>+Z774+Z775</f>
        <v>174.88</v>
      </c>
      <c r="AA773" s="105">
        <f>+AA774+AA775</f>
        <v>278.93141443118316</v>
      </c>
      <c r="AB773" s="105">
        <v>184.18208394651853</v>
      </c>
      <c r="AC773" s="105">
        <v>190.19867686871044</v>
      </c>
      <c r="AD773" s="105">
        <f>FISCinyear!IS577</f>
        <v>248.10377500219158</v>
      </c>
      <c r="AE773" s="548">
        <v>172.38765230665402</v>
      </c>
      <c r="AF773" s="548">
        <v>203.37815939767054</v>
      </c>
      <c r="AG773" s="548">
        <f t="shared" ref="AG773:AJ773" si="1116">+AG774+AG775+AG776+AG778</f>
        <v>463.14288006070126</v>
      </c>
      <c r="AH773" s="548">
        <f t="shared" si="1116"/>
        <v>304.31395953240502</v>
      </c>
      <c r="AI773" s="548">
        <f t="shared" si="1116"/>
        <v>252.27404777677827</v>
      </c>
      <c r="AJ773" s="548">
        <f t="shared" si="1116"/>
        <v>182.1738479810933</v>
      </c>
      <c r="AK773" s="548"/>
      <c r="AL773" s="548"/>
      <c r="AM773" s="548"/>
      <c r="AN773" s="548"/>
      <c r="AO773" s="548"/>
      <c r="AP773" s="548"/>
      <c r="AQ773" s="548"/>
      <c r="AR773" s="548"/>
      <c r="AS773" s="548"/>
      <c r="AT773" s="548"/>
    </row>
    <row r="774" spans="1:49" hidden="1">
      <c r="D774" s="110" t="s">
        <v>783</v>
      </c>
      <c r="E774" s="143"/>
      <c r="F774" s="14"/>
      <c r="G774" s="14"/>
      <c r="H774" s="14"/>
      <c r="I774" s="14"/>
      <c r="J774" s="105"/>
      <c r="K774" s="105"/>
      <c r="L774" s="105"/>
      <c r="M774" s="105"/>
      <c r="N774" s="105"/>
      <c r="O774" s="105"/>
      <c r="P774" s="105"/>
      <c r="Q774" s="105"/>
      <c r="R774" s="105"/>
      <c r="S774" s="105"/>
      <c r="T774" s="105"/>
      <c r="U774" s="105"/>
      <c r="V774" s="105"/>
      <c r="W774" s="105">
        <v>0</v>
      </c>
      <c r="X774" s="105">
        <v>0</v>
      </c>
      <c r="Y774" s="105">
        <v>0</v>
      </c>
      <c r="Z774" s="105">
        <f>0*86.92+86.64</f>
        <v>86.64</v>
      </c>
      <c r="AA774" s="105">
        <f>FISCinyear!IJ578</f>
        <v>208.54904792313295</v>
      </c>
      <c r="AB774" s="105">
        <v>130.1286413031597</v>
      </c>
      <c r="AC774" s="105">
        <v>119.21034259571046</v>
      </c>
      <c r="AD774" s="652">
        <f>FISCinyear!IS578</f>
        <v>162.4990625837404</v>
      </c>
      <c r="AE774" s="105">
        <v>95.87772130714481</v>
      </c>
      <c r="AF774" s="105">
        <v>79.709373117889641</v>
      </c>
      <c r="AG774" s="105">
        <f>+((AF100+AG92)*AG259/1000-AG775)</f>
        <v>339.44216778468922</v>
      </c>
      <c r="AH774" s="105">
        <f>+(AG100+AH92)*AH259/1000-AH775</f>
        <v>221.50026910315128</v>
      </c>
      <c r="AI774" s="105">
        <f>+(AH100+AI92)*AI259/1000-AI775</f>
        <v>164.87971587996572</v>
      </c>
      <c r="AJ774" s="105">
        <f>+(AI100+AJ92)*AJ259/1000-AJ775</f>
        <v>97.814874391957972</v>
      </c>
      <c r="AK774" s="105"/>
      <c r="AL774" s="105"/>
      <c r="AM774" s="105"/>
      <c r="AN774" s="105"/>
      <c r="AO774" s="105"/>
      <c r="AP774" s="105"/>
      <c r="AQ774" s="105"/>
      <c r="AR774" s="105"/>
      <c r="AS774" s="105"/>
      <c r="AT774" s="105"/>
    </row>
    <row r="775" spans="1:49" hidden="1">
      <c r="D775" s="110" t="s">
        <v>129</v>
      </c>
      <c r="E775" s="147" t="s">
        <v>221</v>
      </c>
      <c r="F775" s="14"/>
      <c r="G775" s="14"/>
      <c r="H775" s="14"/>
      <c r="I775" s="14"/>
      <c r="J775" s="105"/>
      <c r="K775" s="105"/>
      <c r="L775" s="105"/>
      <c r="M775" s="105"/>
      <c r="N775" s="105"/>
      <c r="O775" s="105"/>
      <c r="P775" s="105"/>
      <c r="Q775" s="105"/>
      <c r="R775" s="105"/>
      <c r="S775" s="105"/>
      <c r="T775" s="105"/>
      <c r="U775" s="105"/>
      <c r="V775" s="105"/>
      <c r="W775" s="105">
        <v>0</v>
      </c>
      <c r="X775" s="105">
        <v>0</v>
      </c>
      <c r="Y775" s="105">
        <v>0</v>
      </c>
      <c r="Z775" s="105">
        <v>88.24</v>
      </c>
      <c r="AA775" s="105">
        <f>FISCinyear!IJ579</f>
        <v>70.382366508050239</v>
      </c>
      <c r="AB775" s="105">
        <v>54.053442643358835</v>
      </c>
      <c r="AC775" s="105">
        <v>69.571653854000004</v>
      </c>
      <c r="AD775" s="652">
        <f>FISCinyear!IS579</f>
        <v>82.995385673131395</v>
      </c>
      <c r="AE775" s="125">
        <v>66.377865530635177</v>
      </c>
      <c r="AF775" s="125">
        <v>68.286440499139502</v>
      </c>
      <c r="AG775" s="125">
        <f>+((AF104+AG96)*AG259/1000)</f>
        <v>110.6079506639184</v>
      </c>
      <c r="AH775" s="125">
        <f>+(AG104+AH96)*AH259/1000</f>
        <v>82.813690429253739</v>
      </c>
      <c r="AI775" s="125">
        <f>+(AH104+AI96)*AI259/1000</f>
        <v>87.394331896812545</v>
      </c>
      <c r="AJ775" s="125">
        <f>+(AI104+AJ96)*AJ259/1000</f>
        <v>84.358973589135331</v>
      </c>
      <c r="AK775" s="125"/>
      <c r="AL775" s="125"/>
      <c r="AM775" s="125"/>
      <c r="AN775" s="125"/>
      <c r="AO775" s="125"/>
      <c r="AP775" s="125"/>
      <c r="AQ775" s="125"/>
      <c r="AR775" s="125"/>
      <c r="AS775" s="125"/>
      <c r="AT775" s="125"/>
    </row>
    <row r="776" spans="1:49" hidden="1">
      <c r="D776" s="1073" t="s">
        <v>1140</v>
      </c>
      <c r="E776" s="147"/>
      <c r="F776" s="14"/>
      <c r="G776" s="14"/>
      <c r="H776" s="14"/>
      <c r="I776" s="14"/>
      <c r="J776" s="105"/>
      <c r="K776" s="105"/>
      <c r="L776" s="105"/>
      <c r="M776" s="105"/>
      <c r="N776" s="105"/>
      <c r="O776" s="105"/>
      <c r="P776" s="105"/>
      <c r="Q776" s="105"/>
      <c r="R776" s="105"/>
      <c r="S776" s="105"/>
      <c r="T776" s="105"/>
      <c r="U776" s="105"/>
      <c r="V776" s="105"/>
      <c r="W776" s="105"/>
      <c r="X776" s="105"/>
      <c r="Y776" s="105"/>
      <c r="Z776" s="105"/>
      <c r="AA776" s="105"/>
      <c r="AB776" s="105"/>
      <c r="AC776" s="105">
        <v>1.416680419</v>
      </c>
      <c r="AD776" s="652">
        <f>FISCinyear!IS580</f>
        <v>2.6093267453197635</v>
      </c>
      <c r="AE776" s="105">
        <v>0</v>
      </c>
      <c r="AF776" s="125">
        <v>0</v>
      </c>
      <c r="AG776" s="125">
        <f>AJ1903</f>
        <v>0</v>
      </c>
      <c r="AH776" s="125"/>
      <c r="AI776" s="125"/>
      <c r="AJ776" s="125"/>
      <c r="AK776" s="125"/>
      <c r="AL776" s="125"/>
      <c r="AM776" s="125"/>
      <c r="AN776" s="125"/>
      <c r="AO776" s="125"/>
      <c r="AP776" s="125"/>
      <c r="AQ776" s="125"/>
      <c r="AR776" s="125"/>
      <c r="AS776" s="125"/>
      <c r="AT776" s="125"/>
      <c r="AU776" s="957"/>
    </row>
    <row r="777" spans="1:49" hidden="1">
      <c r="D777" s="1222" t="str">
        <f>D361</f>
        <v>IMF Debt Relief Cconsired as Grants (Mln USD)</v>
      </c>
      <c r="E777" s="1"/>
      <c r="F777" s="1"/>
      <c r="G777" s="14"/>
      <c r="H777" s="14"/>
      <c r="I777" s="14"/>
      <c r="J777" s="105"/>
      <c r="K777" s="105"/>
      <c r="L777" s="105"/>
      <c r="M777" s="105"/>
      <c r="N777" s="105"/>
      <c r="O777" s="105"/>
      <c r="P777" s="105"/>
      <c r="Q777" s="105"/>
      <c r="R777" s="105"/>
      <c r="S777" s="105"/>
      <c r="T777" s="105"/>
      <c r="U777" s="105"/>
      <c r="V777" s="105"/>
      <c r="W777" s="105"/>
      <c r="X777" s="105"/>
      <c r="Y777" s="105"/>
      <c r="Z777" s="105"/>
      <c r="AA777" s="105"/>
      <c r="AB777" s="105"/>
      <c r="AC777" s="105"/>
      <c r="AD777" s="652"/>
      <c r="AE777" s="1063">
        <v>10.132065468874019</v>
      </c>
      <c r="AF777" s="125">
        <v>26.447413365751782</v>
      </c>
      <c r="AG777" s="125">
        <f>AG361*AG259/1000</f>
        <v>13.09276161209365</v>
      </c>
      <c r="AH777" s="125"/>
      <c r="AI777" s="125"/>
      <c r="AJ777" s="125"/>
      <c r="AK777" s="125"/>
      <c r="AL777" s="125"/>
      <c r="AM777" s="125"/>
      <c r="AN777" s="125"/>
      <c r="AO777" s="125"/>
      <c r="AP777" s="125"/>
      <c r="AQ777" s="125"/>
      <c r="AR777" s="125"/>
      <c r="AS777" s="125"/>
      <c r="AT777" s="125"/>
    </row>
    <row r="778" spans="1:49" ht="16.8" hidden="1" thickBot="1">
      <c r="D778" s="110" t="s">
        <v>743</v>
      </c>
      <c r="E778" s="147"/>
      <c r="F778" s="14"/>
      <c r="G778" s="14"/>
      <c r="H778" s="14"/>
      <c r="I778" s="14"/>
      <c r="J778" s="105"/>
      <c r="K778" s="105"/>
      <c r="L778" s="105"/>
      <c r="M778" s="105"/>
      <c r="N778" s="105"/>
      <c r="O778" s="105"/>
      <c r="P778" s="105"/>
      <c r="Q778" s="105"/>
      <c r="R778" s="105"/>
      <c r="S778" s="105"/>
      <c r="T778" s="105"/>
      <c r="U778" s="105"/>
      <c r="V778" s="105"/>
      <c r="W778" s="105"/>
      <c r="X778" s="105"/>
      <c r="Y778" s="105"/>
      <c r="Z778" s="105"/>
      <c r="AA778" s="105">
        <f>FISCinyear!IJ581</f>
        <v>0</v>
      </c>
      <c r="AB778" s="105">
        <v>0</v>
      </c>
      <c r="AC778" s="105">
        <v>0</v>
      </c>
      <c r="AD778" s="652">
        <f>+((AC106+AD98)*AD259/1000)</f>
        <v>0</v>
      </c>
      <c r="AE778" s="598">
        <v>0</v>
      </c>
      <c r="AF778" s="598">
        <v>55.382345780641401</v>
      </c>
      <c r="AG778" s="598">
        <f>+((AF106+AG98)*AG259/1000)+AG777</f>
        <v>13.09276161209365</v>
      </c>
      <c r="AH778" s="598">
        <f>+(AG106+AH98)*AH259/1000</f>
        <v>0</v>
      </c>
      <c r="AI778" s="598">
        <f>+(AH106+AI98)*AI259/1000</f>
        <v>0</v>
      </c>
      <c r="AJ778" s="598">
        <f>+(AI106+AJ98)*AJ259/1000</f>
        <v>0</v>
      </c>
      <c r="AK778" s="598"/>
      <c r="AL778" s="598"/>
      <c r="AM778" s="598"/>
      <c r="AN778" s="598"/>
      <c r="AO778" s="598"/>
      <c r="AP778" s="598"/>
      <c r="AQ778" s="598"/>
      <c r="AR778" s="598"/>
      <c r="AS778" s="598"/>
      <c r="AT778" s="598"/>
      <c r="AU778" s="1059"/>
      <c r="AV778" s="1059"/>
      <c r="AW778" s="1059"/>
    </row>
    <row r="779" spans="1:49" hidden="1">
      <c r="D779" s="108" t="s">
        <v>127</v>
      </c>
      <c r="E779" s="147"/>
      <c r="F779" s="14"/>
      <c r="G779" s="14"/>
      <c r="H779" s="14"/>
      <c r="I779" s="14"/>
      <c r="J779" s="105">
        <v>36</v>
      </c>
      <c r="K779" s="105">
        <v>41.678650000000005</v>
      </c>
      <c r="L779" s="105">
        <v>35.178650000000005</v>
      </c>
      <c r="M779" s="105">
        <v>30.5</v>
      </c>
      <c r="N779" s="105">
        <v>27.874499999999998</v>
      </c>
      <c r="O779" s="105">
        <v>30.3429</v>
      </c>
      <c r="P779" s="105">
        <v>45.013400000000004</v>
      </c>
      <c r="Q779" s="105">
        <v>74.721000000000004</v>
      </c>
      <c r="R779" s="105">
        <v>53.4</v>
      </c>
      <c r="S779" s="105">
        <v>59.8</v>
      </c>
      <c r="T779" s="105">
        <v>90.7</v>
      </c>
      <c r="U779" s="105">
        <v>126.3</v>
      </c>
      <c r="V779" s="105">
        <v>164</v>
      </c>
      <c r="W779" s="105">
        <v>191.7</v>
      </c>
      <c r="X779" s="105">
        <v>174.9</v>
      </c>
      <c r="Y779" s="105">
        <v>303.26177524656896</v>
      </c>
      <c r="Z779" s="105">
        <f>+Z780+Z783</f>
        <v>241.03369751440272</v>
      </c>
      <c r="AA779" s="105">
        <f>+AA780+AA783</f>
        <v>168.94</v>
      </c>
      <c r="AB779" s="105">
        <v>146</v>
      </c>
      <c r="AC779" s="105">
        <v>168.71</v>
      </c>
      <c r="AD779" s="105">
        <f>FISCinyear!IS582</f>
        <v>233.07553199416967</v>
      </c>
      <c r="AE779" s="125">
        <v>259.69462557150138</v>
      </c>
      <c r="AF779" s="125">
        <v>288.9455255930734</v>
      </c>
      <c r="AG779" s="125">
        <f t="shared" ref="AG779:AJ779" si="1117">+AG780+AG783</f>
        <v>373.06725443149219</v>
      </c>
      <c r="AH779" s="125">
        <f t="shared" si="1117"/>
        <v>406.9801934271353</v>
      </c>
      <c r="AI779" s="125">
        <f t="shared" si="1117"/>
        <v>505.54259281328331</v>
      </c>
      <c r="AJ779" s="125">
        <f t="shared" si="1117"/>
        <v>440.89917530886692</v>
      </c>
      <c r="AK779" s="125"/>
      <c r="AL779" s="125"/>
      <c r="AM779" s="125"/>
      <c r="AN779" s="125"/>
      <c r="AO779" s="125"/>
      <c r="AP779" s="125"/>
      <c r="AQ779" s="125"/>
      <c r="AR779" s="125"/>
      <c r="AS779" s="125"/>
      <c r="AT779" s="125"/>
    </row>
    <row r="780" spans="1:49" ht="16.5" hidden="1">
      <c r="A780" s="1"/>
      <c r="B780" s="1"/>
      <c r="C780" s="1"/>
      <c r="D780" s="110" t="s">
        <v>128</v>
      </c>
      <c r="E780" s="147"/>
      <c r="F780" s="14"/>
      <c r="G780" s="14"/>
      <c r="H780" s="14"/>
      <c r="I780" s="14"/>
      <c r="J780" s="105"/>
      <c r="K780" s="105"/>
      <c r="L780" s="105"/>
      <c r="M780" s="105"/>
      <c r="N780" s="105"/>
      <c r="O780" s="105"/>
      <c r="P780" s="105"/>
      <c r="Q780" s="105"/>
      <c r="R780" s="105"/>
      <c r="S780" s="105"/>
      <c r="T780" s="105"/>
      <c r="U780" s="105"/>
      <c r="V780" s="105"/>
      <c r="W780" s="105">
        <v>0</v>
      </c>
      <c r="X780" s="105">
        <v>110.6</v>
      </c>
      <c r="Y780" s="105">
        <v>210.58790600000003</v>
      </c>
      <c r="Z780" s="105">
        <v>241.03369751440272</v>
      </c>
      <c r="AA780" s="105">
        <f>FISCinyear!IJ583</f>
        <v>168.94</v>
      </c>
      <c r="AB780" s="105">
        <v>146</v>
      </c>
      <c r="AC780" s="105">
        <v>168.71</v>
      </c>
      <c r="AD780" s="652">
        <f>FISCinyear!IS583</f>
        <v>233.07553199416967</v>
      </c>
      <c r="AE780" s="125">
        <v>259.69462557150138</v>
      </c>
      <c r="AF780" s="125">
        <v>288.9455255930734</v>
      </c>
      <c r="AG780" s="125">
        <f>+((AF86+AG81)*AG259/1000)</f>
        <v>373.06725443149219</v>
      </c>
      <c r="AH780" s="125">
        <f>+(AG86+AH81)*AH259/1000</f>
        <v>406.9801934271353</v>
      </c>
      <c r="AI780" s="125">
        <f>+(AH86+AI81)*AI259/1000</f>
        <v>505.54259281328331</v>
      </c>
      <c r="AJ780" s="125">
        <f>+(AI86+AJ81)*AJ259/1000</f>
        <v>440.89917530886692</v>
      </c>
      <c r="AK780" s="125"/>
      <c r="AL780" s="125"/>
      <c r="AM780" s="125"/>
      <c r="AN780" s="125"/>
      <c r="AO780" s="125"/>
      <c r="AP780" s="125"/>
      <c r="AQ780" s="125"/>
      <c r="AR780" s="125"/>
      <c r="AS780" s="125"/>
      <c r="AT780" s="125"/>
      <c r="AU780" s="1071"/>
    </row>
    <row r="781" spans="1:49" hidden="1">
      <c r="A781" s="1"/>
      <c r="B781" s="1"/>
      <c r="C781" s="1"/>
      <c r="D781" s="551" t="s">
        <v>773</v>
      </c>
      <c r="E781" s="147"/>
      <c r="F781" s="14"/>
      <c r="G781" s="14"/>
      <c r="H781" s="14"/>
      <c r="I781" s="14"/>
      <c r="J781" s="105"/>
      <c r="K781" s="105"/>
      <c r="L781" s="105"/>
      <c r="M781" s="105"/>
      <c r="N781" s="105"/>
      <c r="O781" s="105"/>
      <c r="P781" s="105"/>
      <c r="Q781" s="105"/>
      <c r="R781" s="105"/>
      <c r="S781" s="105"/>
      <c r="T781" s="105"/>
      <c r="U781" s="105"/>
      <c r="V781" s="105"/>
      <c r="W781" s="105"/>
      <c r="X781" s="105"/>
      <c r="Y781" s="105"/>
      <c r="Z781" s="105"/>
      <c r="AA781" s="105"/>
      <c r="AB781" s="105"/>
      <c r="AC781" s="105"/>
      <c r="AD781" s="549"/>
      <c r="AE781" s="548"/>
      <c r="AF781" s="105">
        <v>153.4434</v>
      </c>
      <c r="AG781" s="105">
        <f>AF100+AG92</f>
        <v>446.47410516871884</v>
      </c>
      <c r="AH781" s="105"/>
      <c r="AI781" s="105"/>
      <c r="AJ781" s="105"/>
      <c r="AK781" s="105"/>
      <c r="AL781" s="105"/>
      <c r="AM781" s="105"/>
      <c r="AN781" s="105"/>
      <c r="AO781" s="105"/>
      <c r="AP781" s="105"/>
      <c r="AQ781" s="105"/>
      <c r="AR781" s="105"/>
      <c r="AS781" s="105"/>
      <c r="AT781" s="105"/>
    </row>
    <row r="782" spans="1:49" ht="16.5" hidden="1">
      <c r="A782" s="1"/>
      <c r="B782" s="1"/>
      <c r="C782" s="1"/>
      <c r="D782" s="551" t="s">
        <v>775</v>
      </c>
      <c r="E782" s="147"/>
      <c r="F782" s="14"/>
      <c r="G782" s="14"/>
      <c r="H782" s="14"/>
      <c r="I782" s="14"/>
      <c r="J782" s="105"/>
      <c r="K782" s="105"/>
      <c r="L782" s="105"/>
      <c r="M782" s="105"/>
      <c r="N782" s="105"/>
      <c r="O782" s="105"/>
      <c r="P782" s="105"/>
      <c r="Q782" s="105"/>
      <c r="R782" s="105"/>
      <c r="S782" s="105"/>
      <c r="T782" s="105"/>
      <c r="U782" s="105"/>
      <c r="V782" s="105"/>
      <c r="W782" s="105"/>
      <c r="X782" s="105"/>
      <c r="Y782" s="105"/>
      <c r="Z782" s="105"/>
      <c r="AA782" s="105"/>
      <c r="AB782" s="105"/>
      <c r="AC782" s="105"/>
      <c r="AD782" s="549"/>
      <c r="AE782" s="548"/>
      <c r="AF782" s="105">
        <v>70.8</v>
      </c>
      <c r="AG782" s="105">
        <f>AF104+AG96</f>
        <v>109.72908076871889</v>
      </c>
      <c r="AH782" s="105"/>
      <c r="AI782" s="105"/>
      <c r="AJ782" s="105"/>
      <c r="AK782" s="105"/>
      <c r="AL782" s="105"/>
      <c r="AM782" s="105"/>
      <c r="AN782" s="105"/>
      <c r="AO782" s="105"/>
      <c r="AP782" s="105"/>
      <c r="AQ782" s="105"/>
      <c r="AR782" s="105"/>
      <c r="AS782" s="105"/>
      <c r="AT782" s="105"/>
      <c r="AU782" s="1058"/>
    </row>
    <row r="783" spans="1:49" hidden="1">
      <c r="A783" s="1"/>
      <c r="B783" s="1"/>
      <c r="C783" s="1"/>
      <c r="D783" s="110" t="s">
        <v>129</v>
      </c>
      <c r="E783" s="147" t="s">
        <v>221</v>
      </c>
      <c r="F783" s="14"/>
      <c r="G783" s="14"/>
      <c r="H783" s="14"/>
      <c r="I783" s="14"/>
      <c r="J783" s="105"/>
      <c r="K783" s="105"/>
      <c r="L783" s="105"/>
      <c r="M783" s="105"/>
      <c r="N783" s="105"/>
      <c r="O783" s="105"/>
      <c r="P783" s="105"/>
      <c r="Q783" s="105"/>
      <c r="R783" s="105"/>
      <c r="S783" s="105"/>
      <c r="T783" s="105"/>
      <c r="U783" s="105"/>
      <c r="V783" s="105"/>
      <c r="W783" s="105">
        <v>0</v>
      </c>
      <c r="X783" s="105">
        <v>64.3</v>
      </c>
      <c r="Y783" s="105"/>
      <c r="Z783" s="105"/>
      <c r="AA783" s="105"/>
      <c r="AB783" s="105"/>
      <c r="AC783" s="105"/>
      <c r="AD783" s="120"/>
      <c r="AE783" s="105"/>
      <c r="AF783" s="105"/>
      <c r="AG783" s="105"/>
      <c r="AH783" s="105"/>
      <c r="AI783" s="105"/>
      <c r="AJ783" s="105"/>
      <c r="AK783" s="105"/>
      <c r="AL783" s="105"/>
      <c r="AM783" s="105"/>
      <c r="AN783" s="105"/>
      <c r="AO783" s="105"/>
      <c r="AP783" s="105"/>
      <c r="AQ783" s="105"/>
      <c r="AR783" s="105"/>
      <c r="AS783" s="105"/>
      <c r="AT783" s="105"/>
    </row>
    <row r="784" spans="1:49" ht="16.5" hidden="1">
      <c r="A784" s="1"/>
      <c r="B784" s="1"/>
      <c r="C784" s="1"/>
      <c r="D784" s="110" t="s">
        <v>1146</v>
      </c>
      <c r="E784" s="147"/>
      <c r="F784" s="14"/>
      <c r="G784" s="14"/>
      <c r="H784" s="14"/>
      <c r="I784" s="14"/>
      <c r="J784" s="105"/>
      <c r="K784" s="105"/>
      <c r="L784" s="105"/>
      <c r="M784" s="105"/>
      <c r="N784" s="105"/>
      <c r="O784" s="105"/>
      <c r="P784" s="105"/>
      <c r="Q784" s="105"/>
      <c r="R784" s="105"/>
      <c r="S784" s="105"/>
      <c r="T784" s="105"/>
      <c r="U784" s="105"/>
      <c r="V784" s="105"/>
      <c r="W784" s="105"/>
      <c r="X784" s="105"/>
      <c r="Y784" s="105"/>
      <c r="Z784" s="105"/>
      <c r="AA784" s="105"/>
      <c r="AB784" s="105"/>
      <c r="AC784" s="105">
        <v>0</v>
      </c>
      <c r="AD784" s="120"/>
      <c r="AE784" s="105">
        <v>16.604127645284251</v>
      </c>
      <c r="AF784" s="105"/>
      <c r="AG784" s="105"/>
      <c r="AH784" s="105"/>
      <c r="AI784" s="105"/>
      <c r="AJ784" s="105"/>
      <c r="AK784" s="105"/>
      <c r="AL784" s="105"/>
      <c r="AM784" s="105"/>
      <c r="AN784" s="105"/>
      <c r="AO784" s="105"/>
      <c r="AP784" s="105"/>
      <c r="AQ784" s="105"/>
      <c r="AR784" s="105"/>
      <c r="AS784" s="105"/>
      <c r="AT784" s="105"/>
      <c r="AU784" s="1060"/>
    </row>
    <row r="785" spans="1:47" hidden="1">
      <c r="A785" s="1"/>
      <c r="B785" s="1"/>
      <c r="C785" s="1"/>
      <c r="D785" s="106" t="s">
        <v>115</v>
      </c>
      <c r="E785" s="143"/>
      <c r="F785" s="14"/>
      <c r="G785" s="14"/>
      <c r="H785" s="14"/>
      <c r="I785" s="14"/>
      <c r="J785" s="105"/>
      <c r="K785" s="105"/>
      <c r="L785" s="105"/>
      <c r="M785" s="105"/>
      <c r="N785" s="105"/>
      <c r="O785" s="105"/>
      <c r="P785" s="105"/>
      <c r="Q785" s="105"/>
      <c r="R785" s="105"/>
      <c r="S785" s="105"/>
      <c r="T785" s="105"/>
      <c r="U785" s="105"/>
      <c r="V785" s="105"/>
      <c r="W785" s="105"/>
      <c r="X785" s="105"/>
      <c r="Y785" s="105"/>
      <c r="Z785" s="105"/>
      <c r="AA785" s="105"/>
      <c r="AB785" s="105"/>
      <c r="AC785" s="105"/>
      <c r="AD785" s="120"/>
      <c r="AE785" s="105"/>
      <c r="AF785" s="105"/>
      <c r="AG785" s="105"/>
      <c r="AH785" s="105"/>
      <c r="AI785" s="105"/>
      <c r="AJ785" s="105"/>
      <c r="AK785" s="105"/>
      <c r="AL785" s="105"/>
      <c r="AM785" s="105"/>
      <c r="AN785" s="105"/>
      <c r="AO785" s="105"/>
      <c r="AP785" s="105"/>
      <c r="AQ785" s="105"/>
      <c r="AR785" s="105"/>
      <c r="AS785" s="105"/>
      <c r="AT785" s="105"/>
    </row>
    <row r="786" spans="1:47" hidden="1">
      <c r="A786" s="1"/>
      <c r="B786" s="1"/>
      <c r="C786" s="1"/>
      <c r="D786" s="104" t="s">
        <v>130</v>
      </c>
      <c r="E786" s="143"/>
      <c r="F786" s="14"/>
      <c r="G786" s="14"/>
      <c r="H786" s="14"/>
      <c r="I786" s="14"/>
      <c r="J786" s="105">
        <v>139.5158340285</v>
      </c>
      <c r="K786" s="105">
        <v>154.53498402849999</v>
      </c>
      <c r="L786" s="105">
        <v>157.07835</v>
      </c>
      <c r="M786" s="105">
        <v>179.24844999999999</v>
      </c>
      <c r="N786" s="105">
        <v>203.3897</v>
      </c>
      <c r="O786" s="105">
        <v>240.90464000000003</v>
      </c>
      <c r="P786" s="105">
        <v>299.85193343749501</v>
      </c>
      <c r="Q786" s="105">
        <v>359.71480448899501</v>
      </c>
      <c r="R786" s="105">
        <v>414.3</v>
      </c>
      <c r="S786" s="105">
        <v>521.69999999999993</v>
      </c>
      <c r="T786" s="105">
        <v>731.3</v>
      </c>
      <c r="U786" s="105">
        <v>804.00000000000011</v>
      </c>
      <c r="V786" s="105">
        <v>984.28858093100007</v>
      </c>
      <c r="W786" s="105">
        <v>1098.0999999999999</v>
      </c>
      <c r="X786" s="105">
        <v>1335.6000000000001</v>
      </c>
      <c r="Y786" s="105">
        <v>1540.0094161169768</v>
      </c>
      <c r="Z786" s="105">
        <f>+Z788+Z825+Z842</f>
        <v>1720.73</v>
      </c>
      <c r="AA786" s="105">
        <f>+AA788+AA825+AA842</f>
        <v>1744.0807153961293</v>
      </c>
      <c r="AB786" s="105">
        <v>1942.9</v>
      </c>
      <c r="AC786" s="105">
        <v>2187.5397808880507</v>
      </c>
      <c r="AD786" s="105">
        <f>FISCinyear!IS588</f>
        <v>2611.6378944459902</v>
      </c>
      <c r="AE786" s="105">
        <v>3253.1281054531019</v>
      </c>
      <c r="AF786" s="105">
        <v>3110.264227358336</v>
      </c>
      <c r="AG786" s="105">
        <f t="shared" ref="AG786:AJ786" si="1118">+AG788+AG825+AG842</f>
        <v>4008.8775259673457</v>
      </c>
      <c r="AH786" s="105">
        <f t="shared" si="1118"/>
        <v>4645.0300090464289</v>
      </c>
      <c r="AI786" s="105">
        <f t="shared" si="1118"/>
        <v>5575.3738089360186</v>
      </c>
      <c r="AJ786" s="105">
        <f t="shared" si="1118"/>
        <v>4854.6021539366293</v>
      </c>
      <c r="AK786" s="105"/>
      <c r="AL786" s="105"/>
      <c r="AM786" s="105"/>
      <c r="AN786" s="105"/>
      <c r="AO786" s="105"/>
      <c r="AP786" s="105"/>
      <c r="AQ786" s="105"/>
      <c r="AR786" s="105"/>
      <c r="AS786" s="105"/>
      <c r="AT786" s="105"/>
      <c r="AU786" s="1114"/>
    </row>
    <row r="787" spans="1:47" hidden="1">
      <c r="A787" s="1"/>
      <c r="B787" s="1"/>
      <c r="C787" s="1"/>
      <c r="D787" s="106" t="s">
        <v>115</v>
      </c>
      <c r="E787" s="147" t="s">
        <v>95</v>
      </c>
      <c r="F787" s="14"/>
      <c r="G787" s="14"/>
      <c r="H787" s="14"/>
      <c r="I787" s="14"/>
      <c r="J787" s="105"/>
      <c r="K787" s="105"/>
      <c r="L787" s="105"/>
      <c r="M787" s="105"/>
      <c r="N787" s="105"/>
      <c r="O787" s="105"/>
      <c r="P787" s="105"/>
      <c r="Q787" s="105"/>
      <c r="R787" s="105"/>
      <c r="S787" s="105"/>
      <c r="T787" s="105"/>
      <c r="U787" s="105" t="str">
        <f>+IF(ABS(U789+U793+U801+U808+U818-U788)&gt;0.1,"check","")</f>
        <v/>
      </c>
      <c r="V787" s="105" t="str">
        <f>+IF(ABS(V789+V793+V801+V808+V818-V788)&gt;0.1,"check","")</f>
        <v/>
      </c>
      <c r="W787" s="105" t="str">
        <f>+IF(ABS(W789+W793+W801+W808+W818-W788)&gt;0.1,"check","")</f>
        <v/>
      </c>
      <c r="X787" s="105" t="str">
        <f>+IF(ABS(X789+X793+X801+X808+X818-X788)&gt;0.1,"check","")</f>
        <v/>
      </c>
      <c r="Y787" s="105" t="str">
        <f>+IF(ABS(Y789+Y793+Y801+Y808+Y818-Y788)&gt;0.1,"check","")</f>
        <v/>
      </c>
      <c r="Z787" s="105" t="str">
        <f>+IF(ABS(Z789+Z793+Z801+Z808+Z818+Z824-Z788)&gt;0.1,"check","")</f>
        <v/>
      </c>
      <c r="AA787" s="105"/>
      <c r="AB787" s="105"/>
      <c r="AC787" s="105" t="s">
        <v>115</v>
      </c>
      <c r="AD787" s="1125"/>
      <c r="AE787" s="1125"/>
      <c r="AF787" s="1125"/>
      <c r="AG787" s="1125"/>
      <c r="AH787" s="1125"/>
      <c r="AI787" s="1125"/>
      <c r="AJ787" s="1125"/>
      <c r="AK787" s="1125"/>
      <c r="AL787" s="1125"/>
      <c r="AM787" s="1125"/>
      <c r="AN787" s="1125"/>
      <c r="AO787" s="1125"/>
      <c r="AP787" s="1125"/>
      <c r="AQ787" s="1125"/>
      <c r="AR787" s="1125"/>
      <c r="AS787" s="1125"/>
      <c r="AT787" s="1125"/>
    </row>
    <row r="788" spans="1:47" hidden="1">
      <c r="A788" s="1"/>
      <c r="B788" s="1"/>
      <c r="C788" s="1"/>
      <c r="D788" s="107" t="s">
        <v>131</v>
      </c>
      <c r="E788" s="147"/>
      <c r="F788" s="14"/>
      <c r="G788" s="14"/>
      <c r="H788" s="14"/>
      <c r="I788" s="14"/>
      <c r="J788" s="105">
        <v>81.218376569499995</v>
      </c>
      <c r="K788" s="105">
        <v>87.635976569500002</v>
      </c>
      <c r="L788" s="105">
        <v>98.464949999999988</v>
      </c>
      <c r="M788" s="105">
        <v>121.017</v>
      </c>
      <c r="N788" s="105">
        <v>147.50385</v>
      </c>
      <c r="O788" s="105">
        <v>162.75944000000001</v>
      </c>
      <c r="P788" s="105">
        <v>189.89345609099502</v>
      </c>
      <c r="Q788" s="105">
        <v>233.40716609099502</v>
      </c>
      <c r="R788" s="105">
        <v>266.60000000000002</v>
      </c>
      <c r="S788" s="105">
        <v>348.9</v>
      </c>
      <c r="T788" s="105">
        <v>401.7</v>
      </c>
      <c r="U788" s="105">
        <v>459.1</v>
      </c>
      <c r="V788" s="105">
        <v>526.99576124600003</v>
      </c>
      <c r="W788" s="105">
        <v>614.09999999999991</v>
      </c>
      <c r="X788" s="105">
        <v>633.9</v>
      </c>
      <c r="Y788" s="105">
        <v>777.76349406485224</v>
      </c>
      <c r="Z788" s="105">
        <f>+Z789+Z793+Z801+Z808+Z818+Z824</f>
        <v>834.73</v>
      </c>
      <c r="AA788" s="105">
        <f>+AA789+AA793+AA801+AA808+AA818+AA824</f>
        <v>936.97330172549641</v>
      </c>
      <c r="AB788" s="105">
        <v>1069.5999999999999</v>
      </c>
      <c r="AC788" s="105">
        <v>1177.2772642778905</v>
      </c>
      <c r="AD788" s="105">
        <f>FISCinyear!IS590</f>
        <v>1343.6050912542087</v>
      </c>
      <c r="AE788" s="105">
        <v>1558.3598845633098</v>
      </c>
      <c r="AF788" s="105">
        <v>1670.0482916625929</v>
      </c>
      <c r="AG788" s="105">
        <f>+AG789+AG793+AG801+AG808+AG818</f>
        <v>2410.6495607370075</v>
      </c>
      <c r="AH788" s="105">
        <f>+AH789+AH793+AH801+AH808+AH818</f>
        <v>2766.9955743031351</v>
      </c>
      <c r="AI788" s="105">
        <f>+AI789+AI793+AI801+AI808+AI818</f>
        <v>3330.7301069721102</v>
      </c>
      <c r="AJ788" s="105">
        <f>+AJ789+AJ793+AJ801+AJ808+AJ818+AJ824</f>
        <v>2831.2951484036143</v>
      </c>
      <c r="AK788" s="105"/>
      <c r="AL788" s="105"/>
      <c r="AM788" s="105"/>
      <c r="AN788" s="105"/>
      <c r="AO788" s="105"/>
      <c r="AP788" s="105"/>
      <c r="AQ788" s="105"/>
      <c r="AR788" s="105"/>
      <c r="AS788" s="105"/>
      <c r="AT788" s="105"/>
    </row>
    <row r="789" spans="1:47" hidden="1">
      <c r="A789" s="1"/>
      <c r="B789" s="1"/>
      <c r="C789" s="1"/>
      <c r="D789" s="108" t="s">
        <v>80</v>
      </c>
      <c r="E789" s="147"/>
      <c r="F789" s="14"/>
      <c r="G789" s="14"/>
      <c r="H789" s="14"/>
      <c r="I789" s="14"/>
      <c r="J789" s="105">
        <v>31.992011220000002</v>
      </c>
      <c r="K789" s="105">
        <v>35.874061220000002</v>
      </c>
      <c r="L789" s="105">
        <v>37.979700000000001</v>
      </c>
      <c r="M789" s="105">
        <v>39.9255</v>
      </c>
      <c r="N789" s="105">
        <v>42.295850000000002</v>
      </c>
      <c r="O789" s="105">
        <v>46.274450000000002</v>
      </c>
      <c r="P789" s="105">
        <v>49.873536795000007</v>
      </c>
      <c r="Q789" s="105">
        <v>56.703536795000005</v>
      </c>
      <c r="R789" s="105">
        <v>71.5</v>
      </c>
      <c r="S789" s="105">
        <v>76.3</v>
      </c>
      <c r="T789" s="105">
        <v>90.8</v>
      </c>
      <c r="U789" s="105">
        <v>106.9</v>
      </c>
      <c r="V789" s="105">
        <v>122.01711</v>
      </c>
      <c r="W789" s="105">
        <v>144.80000000000001</v>
      </c>
      <c r="X789" s="105">
        <v>168.9</v>
      </c>
      <c r="Y789" s="105">
        <v>187.87206946399999</v>
      </c>
      <c r="Z789" s="105">
        <f>0*207+203.9</f>
        <v>203.9</v>
      </c>
      <c r="AA789" s="105">
        <f>FISCinyear!IJ591</f>
        <v>242.33523719200002</v>
      </c>
      <c r="AB789" s="105">
        <v>318.09171054699999</v>
      </c>
      <c r="AC789" s="105">
        <v>324.290467019</v>
      </c>
      <c r="AD789" s="652">
        <f>FISCinyear!IS591</f>
        <v>366.15126445199996</v>
      </c>
      <c r="AE789" s="105">
        <v>423.32212288353531</v>
      </c>
      <c r="AF789" s="105">
        <v>491.54640949593744</v>
      </c>
      <c r="AG789" s="105">
        <f t="shared" ref="AG789:AJ789" si="1119">+AF789*(1+AG$367)</f>
        <v>568.29646587463321</v>
      </c>
      <c r="AH789" s="105">
        <f t="shared" si="1119"/>
        <v>611.77341869990607</v>
      </c>
      <c r="AI789" s="105">
        <f t="shared" si="1119"/>
        <v>658.5765323241236</v>
      </c>
      <c r="AJ789" s="105">
        <f t="shared" si="1119"/>
        <v>658.5765323241236</v>
      </c>
      <c r="AK789" s="105"/>
      <c r="AL789" s="105"/>
      <c r="AM789" s="105"/>
      <c r="AN789" s="105"/>
      <c r="AO789" s="105"/>
      <c r="AP789" s="105"/>
      <c r="AQ789" s="105"/>
      <c r="AR789" s="105"/>
      <c r="AS789" s="105"/>
      <c r="AT789" s="105"/>
    </row>
    <row r="790" spans="1:47" hidden="1">
      <c r="A790" s="1"/>
      <c r="B790" s="1"/>
      <c r="C790" s="1"/>
      <c r="D790" s="110" t="s">
        <v>132</v>
      </c>
      <c r="E790" s="147" t="s">
        <v>221</v>
      </c>
      <c r="F790" s="14"/>
      <c r="G790" s="14"/>
      <c r="H790" s="14"/>
      <c r="I790" s="14"/>
      <c r="J790" s="105"/>
      <c r="K790" s="105"/>
      <c r="L790" s="105"/>
      <c r="M790" s="105"/>
      <c r="N790" s="105"/>
      <c r="O790" s="105"/>
      <c r="P790" s="105"/>
      <c r="Q790" s="105"/>
      <c r="R790" s="105"/>
      <c r="S790" s="105"/>
      <c r="T790" s="105"/>
      <c r="U790" s="105"/>
      <c r="V790" s="105"/>
      <c r="W790" s="105">
        <v>0</v>
      </c>
      <c r="X790" s="105">
        <v>0</v>
      </c>
      <c r="Y790" s="105">
        <v>146.007495054</v>
      </c>
      <c r="Z790" s="105">
        <v>77.256823779999991</v>
      </c>
      <c r="AA790" s="105">
        <v>0</v>
      </c>
      <c r="AB790" s="105">
        <v>0</v>
      </c>
      <c r="AC790" s="105">
        <v>0</v>
      </c>
      <c r="AD790" s="120">
        <f>FISCinyear!IS592</f>
        <v>0</v>
      </c>
      <c r="AE790" s="105"/>
      <c r="AF790" s="105"/>
      <c r="AG790" s="105"/>
      <c r="AH790" s="105"/>
      <c r="AI790" s="105"/>
      <c r="AJ790" s="105"/>
      <c r="AK790" s="105"/>
      <c r="AL790" s="105"/>
      <c r="AM790" s="105"/>
      <c r="AN790" s="105"/>
      <c r="AO790" s="105"/>
      <c r="AP790" s="105"/>
      <c r="AQ790" s="105"/>
      <c r="AR790" s="105"/>
      <c r="AS790" s="105"/>
      <c r="AT790" s="105"/>
    </row>
    <row r="791" spans="1:47" hidden="1">
      <c r="A791" s="1"/>
      <c r="B791" s="1"/>
      <c r="C791" s="1"/>
      <c r="D791" s="109" t="s">
        <v>118</v>
      </c>
      <c r="E791" s="151" t="s">
        <v>222</v>
      </c>
      <c r="F791" s="14"/>
      <c r="G791" s="14"/>
      <c r="H791" s="14"/>
      <c r="I791" s="14"/>
      <c r="J791" s="105"/>
      <c r="K791" s="105"/>
      <c r="L791" s="105"/>
      <c r="M791" s="105"/>
      <c r="N791" s="105"/>
      <c r="O791" s="105"/>
      <c r="P791" s="105"/>
      <c r="Q791" s="105"/>
      <c r="R791" s="105"/>
      <c r="S791" s="105"/>
      <c r="T791" s="105"/>
      <c r="U791" s="105"/>
      <c r="V791" s="105"/>
      <c r="W791" s="105">
        <v>0</v>
      </c>
      <c r="X791" s="105">
        <v>0</v>
      </c>
      <c r="Y791" s="105">
        <v>3</v>
      </c>
      <c r="Z791" s="105">
        <v>0</v>
      </c>
      <c r="AA791" s="105">
        <v>0</v>
      </c>
      <c r="AB791" s="105">
        <v>0</v>
      </c>
      <c r="AC791" s="105">
        <v>0</v>
      </c>
      <c r="AD791" s="120">
        <f>FISCinyear!IS593</f>
        <v>0</v>
      </c>
      <c r="AE791" s="105"/>
      <c r="AF791" s="105"/>
      <c r="AG791" s="105"/>
      <c r="AH791" s="105"/>
      <c r="AI791" s="105"/>
      <c r="AJ791" s="105"/>
      <c r="AK791" s="105"/>
      <c r="AL791" s="105"/>
      <c r="AM791" s="105"/>
      <c r="AN791" s="105"/>
      <c r="AO791" s="105"/>
      <c r="AP791" s="105"/>
      <c r="AQ791" s="105"/>
      <c r="AR791" s="105"/>
      <c r="AS791" s="105"/>
      <c r="AT791" s="105"/>
    </row>
    <row r="792" spans="1:47" hidden="1">
      <c r="A792" s="1"/>
      <c r="B792" s="1"/>
      <c r="C792" s="1"/>
      <c r="D792" s="110" t="s">
        <v>133</v>
      </c>
      <c r="E792" s="151" t="s">
        <v>222</v>
      </c>
      <c r="F792" s="14"/>
      <c r="G792" s="14"/>
      <c r="H792" s="14"/>
      <c r="I792" s="14"/>
      <c r="J792" s="105"/>
      <c r="K792" s="105"/>
      <c r="L792" s="105"/>
      <c r="M792" s="105"/>
      <c r="N792" s="105"/>
      <c r="O792" s="105"/>
      <c r="P792" s="105"/>
      <c r="Q792" s="105"/>
      <c r="R792" s="105"/>
      <c r="S792" s="105"/>
      <c r="T792" s="105"/>
      <c r="U792" s="105"/>
      <c r="V792" s="105"/>
      <c r="W792" s="105">
        <v>0</v>
      </c>
      <c r="X792" s="105">
        <v>0</v>
      </c>
      <c r="Y792" s="105">
        <v>41.864574410000003</v>
      </c>
      <c r="Z792" s="105">
        <v>24.66286775</v>
      </c>
      <c r="AA792" s="105">
        <v>0</v>
      </c>
      <c r="AB792" s="105">
        <v>0</v>
      </c>
      <c r="AC792" s="105">
        <v>0</v>
      </c>
      <c r="AD792" s="120">
        <f>FISCinyear!IS594</f>
        <v>0</v>
      </c>
      <c r="AE792" s="105"/>
      <c r="AF792" s="105"/>
      <c r="AG792" s="105"/>
      <c r="AH792" s="105"/>
      <c r="AI792" s="105"/>
      <c r="AJ792" s="105"/>
      <c r="AK792" s="105"/>
      <c r="AL792" s="105"/>
      <c r="AM792" s="105"/>
      <c r="AN792" s="105"/>
      <c r="AO792" s="105"/>
      <c r="AP792" s="105"/>
      <c r="AQ792" s="105"/>
      <c r="AR792" s="105"/>
      <c r="AS792" s="105"/>
      <c r="AT792" s="105"/>
    </row>
    <row r="793" spans="1:47" hidden="1">
      <c r="A793" s="1"/>
      <c r="B793" s="1"/>
      <c r="C793" s="1"/>
      <c r="D793" s="108" t="s">
        <v>81</v>
      </c>
      <c r="E793" s="143"/>
      <c r="F793" s="14"/>
      <c r="G793" s="14"/>
      <c r="H793" s="14"/>
      <c r="I793" s="14"/>
      <c r="J793" s="105">
        <v>25.852769115999997</v>
      </c>
      <c r="K793" s="105">
        <v>25.216719116</v>
      </c>
      <c r="L793" s="105">
        <v>27.276600000000002</v>
      </c>
      <c r="M793" s="105">
        <v>32.760750000000002</v>
      </c>
      <c r="N793" s="105">
        <v>40.152100000000004</v>
      </c>
      <c r="O793" s="105">
        <v>46.336200000000005</v>
      </c>
      <c r="P793" s="105">
        <v>56.022079866995</v>
      </c>
      <c r="Q793" s="105">
        <v>68.007379866994995</v>
      </c>
      <c r="R793" s="105">
        <v>66.400000000000006</v>
      </c>
      <c r="S793" s="105">
        <v>81.599999999999994</v>
      </c>
      <c r="T793" s="105">
        <v>103.2</v>
      </c>
      <c r="U793" s="105">
        <v>106.3</v>
      </c>
      <c r="V793" s="105">
        <v>124.08326</v>
      </c>
      <c r="W793" s="105">
        <v>149.5</v>
      </c>
      <c r="X793" s="105">
        <v>123.1</v>
      </c>
      <c r="Y793" s="105">
        <v>142.5160846</v>
      </c>
      <c r="Z793" s="105">
        <f>0*151.15+159.5</f>
        <v>159.5</v>
      </c>
      <c r="AA793" s="105">
        <f>FISCinyear!IJ595</f>
        <v>180.62141281000001</v>
      </c>
      <c r="AB793" s="105">
        <v>219.15187310499999</v>
      </c>
      <c r="AC793" s="105">
        <v>216.28066140199999</v>
      </c>
      <c r="AD793" s="652">
        <f>FISCinyear!IS595</f>
        <v>229.85218436</v>
      </c>
      <c r="AE793" s="142">
        <v>328.54582443162445</v>
      </c>
      <c r="AF793" s="142">
        <v>343.14254236569695</v>
      </c>
      <c r="AG793" s="142">
        <f t="shared" ref="AG793:AJ793" si="1120">+AF793*(1+AG378)</f>
        <v>694.94029075761375</v>
      </c>
      <c r="AH793" s="142">
        <f t="shared" si="1120"/>
        <v>815.67535615692566</v>
      </c>
      <c r="AI793" s="142">
        <f t="shared" si="1120"/>
        <v>1055.5263724481022</v>
      </c>
      <c r="AJ793" s="142">
        <f t="shared" si="1120"/>
        <v>1055.5263724481022</v>
      </c>
      <c r="AK793" s="142"/>
      <c r="AL793" s="142"/>
      <c r="AM793" s="142"/>
      <c r="AN793" s="142"/>
      <c r="AO793" s="142"/>
      <c r="AP793" s="142"/>
      <c r="AQ793" s="142"/>
      <c r="AR793" s="142"/>
      <c r="AS793" s="142"/>
      <c r="AT793" s="142"/>
    </row>
    <row r="794" spans="1:47" hidden="1">
      <c r="A794" s="1"/>
      <c r="B794" s="1"/>
      <c r="C794" s="1"/>
      <c r="D794" s="110" t="s">
        <v>132</v>
      </c>
      <c r="E794" s="144" t="s">
        <v>222</v>
      </c>
      <c r="F794" s="14"/>
      <c r="G794" s="14"/>
      <c r="H794" s="14"/>
      <c r="I794" s="14"/>
      <c r="J794" s="105"/>
      <c r="K794" s="105"/>
      <c r="L794" s="105"/>
      <c r="M794" s="105"/>
      <c r="N794" s="105"/>
      <c r="O794" s="105"/>
      <c r="P794" s="105"/>
      <c r="Q794" s="105"/>
      <c r="R794" s="105"/>
      <c r="S794" s="105"/>
      <c r="T794" s="105"/>
      <c r="U794" s="105"/>
      <c r="V794" s="105"/>
      <c r="W794" s="105">
        <v>0</v>
      </c>
      <c r="X794" s="105">
        <v>0</v>
      </c>
      <c r="Y794" s="105">
        <v>128.86748838599999</v>
      </c>
      <c r="Z794" s="105"/>
      <c r="AA794" s="105"/>
      <c r="AB794" s="105">
        <v>0</v>
      </c>
      <c r="AC794" s="105"/>
      <c r="AD794" s="120">
        <f>FISCinyear!IS596</f>
        <v>0</v>
      </c>
      <c r="AE794" s="228"/>
      <c r="AF794" s="105"/>
      <c r="AG794" s="105"/>
      <c r="AH794" s="105"/>
      <c r="AI794" s="105"/>
      <c r="AJ794" s="105"/>
      <c r="AK794" s="105"/>
      <c r="AL794" s="105"/>
      <c r="AM794" s="105"/>
      <c r="AN794" s="105"/>
      <c r="AO794" s="105"/>
      <c r="AP794" s="105"/>
      <c r="AQ794" s="105"/>
      <c r="AR794" s="105"/>
      <c r="AS794" s="105"/>
      <c r="AT794" s="105"/>
    </row>
    <row r="795" spans="1:47" ht="16.5" hidden="1">
      <c r="A795" s="1"/>
      <c r="B795" s="1"/>
      <c r="C795" s="1"/>
      <c r="D795" s="674" t="s">
        <v>1173</v>
      </c>
      <c r="E795" s="144"/>
      <c r="F795" s="14"/>
      <c r="G795" s="14"/>
      <c r="H795" s="14"/>
      <c r="I795" s="14"/>
      <c r="J795" s="105"/>
      <c r="K795" s="105"/>
      <c r="L795" s="105"/>
      <c r="M795" s="105"/>
      <c r="N795" s="105"/>
      <c r="O795" s="105"/>
      <c r="P795" s="105"/>
      <c r="Q795" s="105"/>
      <c r="R795" s="105"/>
      <c r="S795" s="105"/>
      <c r="T795" s="105"/>
      <c r="U795" s="105"/>
      <c r="V795" s="105"/>
      <c r="W795" s="105"/>
      <c r="X795" s="105"/>
      <c r="Y795" s="105"/>
      <c r="Z795" s="105"/>
      <c r="AA795" s="105"/>
      <c r="AB795" s="105"/>
      <c r="AC795" s="105"/>
      <c r="AD795" s="120">
        <f>FISCinyear!IS597</f>
        <v>0</v>
      </c>
      <c r="AE795" s="228"/>
      <c r="AF795" s="105"/>
      <c r="AG795" s="105"/>
      <c r="AH795" s="105"/>
      <c r="AI795" s="105"/>
      <c r="AJ795" s="105"/>
      <c r="AK795" s="105"/>
      <c r="AL795" s="105"/>
      <c r="AM795" s="105"/>
      <c r="AN795" s="105"/>
      <c r="AO795" s="105"/>
      <c r="AP795" s="105"/>
      <c r="AQ795" s="105"/>
      <c r="AR795" s="105"/>
      <c r="AS795" s="105"/>
      <c r="AT795" s="105"/>
    </row>
    <row r="796" spans="1:47" hidden="1">
      <c r="A796" s="1"/>
      <c r="B796" s="1"/>
      <c r="C796" s="1"/>
      <c r="D796" s="1073" t="s">
        <v>1141</v>
      </c>
      <c r="E796" s="144"/>
      <c r="F796" s="14"/>
      <c r="G796" s="14"/>
      <c r="H796" s="14"/>
      <c r="I796" s="14"/>
      <c r="J796" s="105"/>
      <c r="K796" s="105"/>
      <c r="L796" s="105"/>
      <c r="M796" s="105"/>
      <c r="N796" s="105"/>
      <c r="O796" s="105"/>
      <c r="P796" s="105"/>
      <c r="Q796" s="105"/>
      <c r="R796" s="105"/>
      <c r="S796" s="105"/>
      <c r="T796" s="105"/>
      <c r="U796" s="105"/>
      <c r="V796" s="105"/>
      <c r="W796" s="105"/>
      <c r="X796" s="105"/>
      <c r="Y796" s="105"/>
      <c r="Z796" s="105"/>
      <c r="AA796" s="105"/>
      <c r="AB796" s="105"/>
      <c r="AC796" s="105">
        <v>0</v>
      </c>
      <c r="AD796" s="120">
        <v>0</v>
      </c>
      <c r="AE796" s="105">
        <v>9.9240137229999998</v>
      </c>
      <c r="AF796" s="105">
        <v>7.4542889289999996</v>
      </c>
      <c r="AG796" s="105">
        <f>AJ1916</f>
        <v>0</v>
      </c>
      <c r="AH796" s="105">
        <v>7.5652032629999999</v>
      </c>
      <c r="AI796" s="105"/>
      <c r="AJ796" s="105"/>
      <c r="AK796" s="105"/>
      <c r="AL796" s="105"/>
      <c r="AM796" s="105"/>
      <c r="AN796" s="105"/>
      <c r="AO796" s="105"/>
      <c r="AP796" s="105"/>
      <c r="AQ796" s="105"/>
      <c r="AR796" s="105"/>
      <c r="AS796" s="105"/>
      <c r="AT796" s="105"/>
    </row>
    <row r="797" spans="1:47" hidden="1">
      <c r="A797" s="1"/>
      <c r="B797" s="1"/>
      <c r="C797" s="1"/>
      <c r="D797" s="111" t="s">
        <v>870</v>
      </c>
      <c r="E797" s="144" t="s">
        <v>222</v>
      </c>
      <c r="F797" s="14"/>
      <c r="G797" s="14"/>
      <c r="H797" s="14"/>
      <c r="I797" s="14"/>
      <c r="J797" s="105"/>
      <c r="K797" s="105"/>
      <c r="L797" s="105"/>
      <c r="M797" s="105"/>
      <c r="N797" s="105"/>
      <c r="O797" s="105"/>
      <c r="P797" s="105"/>
      <c r="Q797" s="105"/>
      <c r="R797" s="105"/>
      <c r="S797" s="105"/>
      <c r="T797" s="105"/>
      <c r="U797" s="105"/>
      <c r="V797" s="105"/>
      <c r="W797" s="105">
        <v>0</v>
      </c>
      <c r="X797" s="105">
        <v>0</v>
      </c>
      <c r="Y797" s="105">
        <v>3</v>
      </c>
      <c r="Z797" s="105"/>
      <c r="AA797" s="105"/>
      <c r="AB797" s="105">
        <v>44.567491036</v>
      </c>
      <c r="AC797" s="105">
        <v>47.517446686</v>
      </c>
      <c r="AD797" s="120">
        <v>0</v>
      </c>
      <c r="AE797" s="105">
        <v>57.195917465000001</v>
      </c>
      <c r="AF797" s="105">
        <v>57.195917465000001</v>
      </c>
      <c r="AG797" s="105">
        <v>62.728619664999997</v>
      </c>
      <c r="AH797" s="105">
        <v>87.333180614104421</v>
      </c>
      <c r="AI797" s="105">
        <f>+AH797</f>
        <v>87.333180614104421</v>
      </c>
      <c r="AJ797" s="105">
        <f>+AI797</f>
        <v>87.333180614104421</v>
      </c>
      <c r="AK797" s="105"/>
      <c r="AL797" s="105"/>
      <c r="AM797" s="105"/>
      <c r="AN797" s="105"/>
      <c r="AO797" s="105"/>
      <c r="AP797" s="105"/>
      <c r="AQ797" s="105"/>
      <c r="AR797" s="105"/>
      <c r="AS797" s="105"/>
      <c r="AT797" s="105"/>
    </row>
    <row r="798" spans="1:47" ht="16.5" hidden="1">
      <c r="A798" s="1"/>
      <c r="B798" s="1"/>
      <c r="C798" s="1"/>
      <c r="D798" s="1067" t="s">
        <v>2315</v>
      </c>
      <c r="E798" s="144"/>
      <c r="F798" s="14"/>
      <c r="G798" s="14"/>
      <c r="H798" s="14"/>
      <c r="I798" s="14"/>
      <c r="J798" s="105"/>
      <c r="K798" s="105"/>
      <c r="L798" s="105"/>
      <c r="M798" s="105"/>
      <c r="N798" s="105"/>
      <c r="O798" s="105"/>
      <c r="P798" s="105"/>
      <c r="Q798" s="105"/>
      <c r="R798" s="105"/>
      <c r="S798" s="105"/>
      <c r="T798" s="105"/>
      <c r="U798" s="105"/>
      <c r="V798" s="105"/>
      <c r="W798" s="105"/>
      <c r="X798" s="105"/>
      <c r="Y798" s="105"/>
      <c r="Z798" s="105"/>
      <c r="AA798" s="105"/>
      <c r="AB798" s="105"/>
      <c r="AC798" s="105"/>
      <c r="AD798" s="120"/>
      <c r="AE798" s="931">
        <v>33</v>
      </c>
      <c r="AF798" s="105"/>
      <c r="AG798" s="105"/>
      <c r="AH798" s="105"/>
      <c r="AI798" s="105"/>
      <c r="AJ798" s="105"/>
      <c r="AK798" s="105"/>
      <c r="AL798" s="105"/>
      <c r="AM798" s="105"/>
      <c r="AN798" s="105"/>
      <c r="AO798" s="105"/>
      <c r="AP798" s="105"/>
      <c r="AQ798" s="105"/>
      <c r="AR798" s="105"/>
      <c r="AS798" s="105"/>
      <c r="AT798" s="105"/>
    </row>
    <row r="799" spans="1:47" ht="16.5" hidden="1">
      <c r="A799" s="1"/>
      <c r="B799" s="1"/>
      <c r="C799" s="1"/>
      <c r="D799" s="1061" t="s">
        <v>2316</v>
      </c>
      <c r="E799" s="144"/>
      <c r="F799" s="14"/>
      <c r="G799" s="14"/>
      <c r="H799" s="14"/>
      <c r="I799" s="14"/>
      <c r="J799" s="105"/>
      <c r="K799" s="105"/>
      <c r="L799" s="105"/>
      <c r="M799" s="105"/>
      <c r="N799" s="105"/>
      <c r="O799" s="105"/>
      <c r="P799" s="105"/>
      <c r="Q799" s="105"/>
      <c r="R799" s="105"/>
      <c r="S799" s="105"/>
      <c r="T799" s="105"/>
      <c r="U799" s="105"/>
      <c r="V799" s="105"/>
      <c r="W799" s="105"/>
      <c r="X799" s="105"/>
      <c r="Y799" s="105"/>
      <c r="Z799" s="105"/>
      <c r="AA799" s="105"/>
      <c r="AB799" s="105"/>
      <c r="AC799" s="105"/>
      <c r="AD799" s="120"/>
      <c r="AE799" s="931">
        <v>60</v>
      </c>
      <c r="AF799" s="105">
        <v>60</v>
      </c>
      <c r="AG799" s="105"/>
      <c r="AH799" s="105"/>
      <c r="AI799" s="105"/>
      <c r="AJ799" s="105"/>
      <c r="AK799" s="105"/>
      <c r="AL799" s="105"/>
      <c r="AM799" s="105"/>
      <c r="AN799" s="105"/>
      <c r="AO799" s="105"/>
      <c r="AP799" s="105"/>
      <c r="AQ799" s="105"/>
      <c r="AR799" s="105"/>
      <c r="AS799" s="105"/>
      <c r="AT799" s="105"/>
    </row>
    <row r="800" spans="1:47" hidden="1">
      <c r="A800" s="1"/>
      <c r="B800" s="1"/>
      <c r="C800" s="1"/>
      <c r="D800" s="110" t="s">
        <v>133</v>
      </c>
      <c r="E800" s="144" t="s">
        <v>222</v>
      </c>
      <c r="F800" s="14"/>
      <c r="G800" s="14"/>
      <c r="H800" s="14"/>
      <c r="I800" s="14"/>
      <c r="J800" s="105"/>
      <c r="K800" s="105"/>
      <c r="L800" s="105"/>
      <c r="M800" s="105"/>
      <c r="N800" s="105"/>
      <c r="O800" s="105"/>
      <c r="P800" s="105"/>
      <c r="Q800" s="105"/>
      <c r="R800" s="105"/>
      <c r="S800" s="105"/>
      <c r="T800" s="105"/>
      <c r="U800" s="105"/>
      <c r="V800" s="105"/>
      <c r="W800" s="105">
        <v>0</v>
      </c>
      <c r="X800" s="105">
        <v>0</v>
      </c>
      <c r="Y800" s="105">
        <v>13.648596214000001</v>
      </c>
      <c r="Z800" s="105"/>
      <c r="AA800" s="105"/>
      <c r="AB800" s="105">
        <v>0</v>
      </c>
      <c r="AC800" s="105"/>
      <c r="AD800" s="120">
        <f>FISCinyear!IS598</f>
        <v>0</v>
      </c>
      <c r="AE800" s="105"/>
      <c r="AF800" s="105"/>
      <c r="AG800" s="105"/>
      <c r="AH800" s="105"/>
      <c r="AI800" s="105"/>
      <c r="AJ800" s="105"/>
      <c r="AK800" s="105"/>
      <c r="AL800" s="105"/>
      <c r="AM800" s="105"/>
      <c r="AN800" s="105"/>
      <c r="AO800" s="105"/>
      <c r="AP800" s="105"/>
      <c r="AQ800" s="105"/>
      <c r="AR800" s="105"/>
      <c r="AS800" s="105"/>
      <c r="AT800" s="105"/>
    </row>
    <row r="801" spans="1:46" hidden="1">
      <c r="A801" s="1"/>
      <c r="B801" s="1"/>
      <c r="C801" s="1"/>
      <c r="D801" s="108" t="s">
        <v>134</v>
      </c>
      <c r="E801" s="143"/>
      <c r="F801" s="14"/>
      <c r="G801" s="14"/>
      <c r="H801" s="14"/>
      <c r="I801" s="14"/>
      <c r="J801" s="105">
        <v>6.2853068635000007</v>
      </c>
      <c r="K801" s="105">
        <v>5.5526068634999994</v>
      </c>
      <c r="L801" s="105">
        <v>5.2982500000000003</v>
      </c>
      <c r="M801" s="105">
        <v>6.3861499999999998</v>
      </c>
      <c r="N801" s="105">
        <v>8.5303499999999985</v>
      </c>
      <c r="O801" s="105">
        <v>11.042289999999999</v>
      </c>
      <c r="P801" s="105">
        <v>11.658439429</v>
      </c>
      <c r="Q801" s="105">
        <v>11.424799429</v>
      </c>
      <c r="R801" s="105">
        <v>12.799999999999999</v>
      </c>
      <c r="S801" s="105">
        <v>13.5</v>
      </c>
      <c r="T801" s="105">
        <v>11.4</v>
      </c>
      <c r="U801" s="105">
        <v>14.7</v>
      </c>
      <c r="V801" s="105">
        <v>15.600051246</v>
      </c>
      <c r="W801" s="105">
        <v>18.399999999999999</v>
      </c>
      <c r="X801" s="105">
        <v>30.7</v>
      </c>
      <c r="Y801" s="105">
        <v>41.490642783852238</v>
      </c>
      <c r="Z801" s="105">
        <f>+Z802+Z805</f>
        <v>45.8</v>
      </c>
      <c r="AA801" s="105">
        <f>+AA802+AA805</f>
        <v>56.6986134594964</v>
      </c>
      <c r="AB801" s="105">
        <v>72.2</v>
      </c>
      <c r="AC801" s="105">
        <v>91.578582652050613</v>
      </c>
      <c r="AD801" s="105">
        <f>FISCinyear!IS599</f>
        <v>102.67146764720873</v>
      </c>
      <c r="AE801" s="105">
        <v>151.77201549305553</v>
      </c>
      <c r="AF801" s="105">
        <v>193.28431160236877</v>
      </c>
      <c r="AG801" s="105">
        <f>+AG802+AG1189</f>
        <v>214.89878863700739</v>
      </c>
      <c r="AH801" s="105">
        <f t="shared" ref="AH801:AJ801" si="1121">+AH802+AH805</f>
        <v>265.15340021194561</v>
      </c>
      <c r="AI801" s="105">
        <f t="shared" si="1121"/>
        <v>426.40011706437156</v>
      </c>
      <c r="AJ801" s="105">
        <f t="shared" si="1121"/>
        <v>493.5433454010568</v>
      </c>
      <c r="AK801" s="105"/>
      <c r="AL801" s="105"/>
      <c r="AM801" s="105"/>
      <c r="AN801" s="105"/>
      <c r="AO801" s="105"/>
      <c r="AP801" s="105"/>
      <c r="AQ801" s="105"/>
      <c r="AR801" s="105"/>
      <c r="AS801" s="105"/>
      <c r="AT801" s="105"/>
    </row>
    <row r="802" spans="1:46" hidden="1">
      <c r="A802" s="1"/>
      <c r="B802" s="1"/>
      <c r="C802" s="1"/>
      <c r="D802" s="110" t="s">
        <v>135</v>
      </c>
      <c r="E802" s="143"/>
      <c r="F802" s="14"/>
      <c r="G802" s="14"/>
      <c r="H802" s="14"/>
      <c r="I802" s="14"/>
      <c r="J802" s="105">
        <v>2.3801694219999998</v>
      </c>
      <c r="K802" s="105">
        <v>2.0004694219999997</v>
      </c>
      <c r="L802" s="105">
        <v>1.4211</v>
      </c>
      <c r="M802" s="105">
        <v>1.6888999999999998</v>
      </c>
      <c r="N802" s="105">
        <v>2.6576999999999997</v>
      </c>
      <c r="O802" s="105">
        <v>3.8275999999999994</v>
      </c>
      <c r="P802" s="105">
        <v>4.3258494289999998</v>
      </c>
      <c r="Q802" s="105">
        <v>6.3923494290000002</v>
      </c>
      <c r="R802" s="105">
        <v>8.6999999999999993</v>
      </c>
      <c r="S802" s="105">
        <v>11.1</v>
      </c>
      <c r="T802" s="105">
        <v>7.4</v>
      </c>
      <c r="U802" s="105">
        <v>10.1</v>
      </c>
      <c r="V802" s="105">
        <v>10.939080000000001</v>
      </c>
      <c r="W802" s="105">
        <v>13.2</v>
      </c>
      <c r="X802" s="105">
        <v>15.7</v>
      </c>
      <c r="Y802" s="105">
        <v>15.876507333509611</v>
      </c>
      <c r="Z802" s="931">
        <v>18.2</v>
      </c>
      <c r="AA802" s="931">
        <f>FISCinyear!IJ600</f>
        <v>25.351373894877149</v>
      </c>
      <c r="AB802" s="931">
        <v>35.299999999999997</v>
      </c>
      <c r="AC802" s="931">
        <v>48.900012528000005</v>
      </c>
      <c r="AD802" s="652">
        <f>FISCinyear!IS600</f>
        <v>54.783250934273205</v>
      </c>
      <c r="AE802" s="548">
        <v>101.443059386</v>
      </c>
      <c r="AF802" s="548">
        <v>133.94411085620101</v>
      </c>
      <c r="AG802" s="548">
        <f>+(AF184+AG182)*0+144.931267607952</f>
        <v>144.93126760795201</v>
      </c>
      <c r="AH802" s="548">
        <f>+(AG184+AH182)*0+155.918424359702</f>
        <v>155.91842435970199</v>
      </c>
      <c r="AI802" s="548">
        <f t="shared" ref="AI802:AJ802" si="1122">+AH184+AI182</f>
        <v>239.7658934665946</v>
      </c>
      <c r="AJ802" s="105">
        <f t="shared" si="1122"/>
        <v>263.97084936803844</v>
      </c>
      <c r="AK802" s="105"/>
      <c r="AL802" s="105"/>
      <c r="AM802" s="105"/>
      <c r="AN802" s="105"/>
      <c r="AO802" s="105"/>
      <c r="AP802" s="105"/>
      <c r="AQ802" s="105"/>
      <c r="AR802" s="105"/>
      <c r="AS802" s="105"/>
      <c r="AT802" s="105"/>
    </row>
    <row r="803" spans="1:46" hidden="1">
      <c r="A803" s="1"/>
      <c r="B803" s="1"/>
      <c r="C803" s="1"/>
      <c r="D803" s="111" t="s">
        <v>136</v>
      </c>
      <c r="E803" s="147"/>
      <c r="F803" s="14"/>
      <c r="G803" s="14"/>
      <c r="H803" s="14"/>
      <c r="I803" s="14"/>
      <c r="J803" s="105"/>
      <c r="K803" s="105"/>
      <c r="L803" s="105"/>
      <c r="M803" s="105"/>
      <c r="N803" s="105"/>
      <c r="O803" s="105"/>
      <c r="P803" s="105"/>
      <c r="Q803" s="105"/>
      <c r="R803" s="105"/>
      <c r="S803" s="105"/>
      <c r="T803" s="105"/>
      <c r="U803" s="105"/>
      <c r="V803" s="105"/>
      <c r="W803" s="105">
        <v>0</v>
      </c>
      <c r="X803" s="105">
        <v>4.0999999999999996</v>
      </c>
      <c r="Y803" s="105">
        <v>11.97898817650961</v>
      </c>
      <c r="Z803" s="105">
        <v>4.1751809049999995</v>
      </c>
      <c r="AA803" s="105">
        <f>FISCinyear!IJ601</f>
        <v>0</v>
      </c>
      <c r="AB803" s="105">
        <v>19.177960055898797</v>
      </c>
      <c r="AC803" s="105">
        <v>0</v>
      </c>
      <c r="AD803" s="652">
        <f>FISCinyear!IS601</f>
        <v>12.0125531842732</v>
      </c>
      <c r="AE803" s="105">
        <v>0</v>
      </c>
      <c r="AF803" s="105">
        <v>0</v>
      </c>
      <c r="AG803" s="105">
        <f>AJ1920</f>
        <v>0</v>
      </c>
      <c r="AH803" s="105"/>
      <c r="AI803" s="105"/>
      <c r="AJ803" s="105"/>
      <c r="AK803" s="105"/>
      <c r="AL803" s="105"/>
      <c r="AM803" s="105"/>
      <c r="AN803" s="105"/>
      <c r="AO803" s="105"/>
      <c r="AP803" s="105"/>
      <c r="AQ803" s="105"/>
      <c r="AR803" s="105"/>
      <c r="AS803" s="105"/>
      <c r="AT803" s="105"/>
    </row>
    <row r="804" spans="1:46" hidden="1">
      <c r="A804" s="1"/>
      <c r="B804" s="1"/>
      <c r="C804" s="1"/>
      <c r="D804" s="1120" t="s">
        <v>1204</v>
      </c>
      <c r="E804" s="147"/>
      <c r="F804" s="14"/>
      <c r="G804" s="14"/>
      <c r="H804" s="14"/>
      <c r="I804" s="14"/>
      <c r="J804" s="105"/>
      <c r="K804" s="105"/>
      <c r="L804" s="105"/>
      <c r="M804" s="105"/>
      <c r="N804" s="105"/>
      <c r="O804" s="105"/>
      <c r="P804" s="105"/>
      <c r="Q804" s="105"/>
      <c r="R804" s="105"/>
      <c r="S804" s="105"/>
      <c r="T804" s="105"/>
      <c r="U804" s="105"/>
      <c r="V804" s="105"/>
      <c r="W804" s="105"/>
      <c r="X804" s="105"/>
      <c r="Y804" s="105"/>
      <c r="Z804" s="105"/>
      <c r="AA804" s="105"/>
      <c r="AB804" s="105"/>
      <c r="AC804" s="105"/>
      <c r="AD804" s="652"/>
      <c r="AE804" s="105">
        <v>2.8182054830671444</v>
      </c>
      <c r="AF804" s="105">
        <v>1.8433527885241907</v>
      </c>
      <c r="AG804" s="105">
        <f>AJ1921-AG806</f>
        <v>-1.6136124563665437</v>
      </c>
      <c r="AH804" s="105"/>
      <c r="AI804" s="105"/>
      <c r="AJ804" s="105"/>
      <c r="AK804" s="105"/>
      <c r="AL804" s="105"/>
      <c r="AM804" s="105"/>
      <c r="AN804" s="105"/>
      <c r="AO804" s="105"/>
      <c r="AP804" s="105"/>
      <c r="AQ804" s="105"/>
      <c r="AR804" s="105"/>
      <c r="AS804" s="105"/>
      <c r="AT804" s="105"/>
    </row>
    <row r="805" spans="1:46" hidden="1">
      <c r="A805" s="1"/>
      <c r="B805" s="1"/>
      <c r="C805" s="1"/>
      <c r="D805" s="110" t="s">
        <v>137</v>
      </c>
      <c r="E805" s="147"/>
      <c r="F805" s="14"/>
      <c r="G805" s="14"/>
      <c r="H805" s="14"/>
      <c r="I805" s="14"/>
      <c r="J805" s="105">
        <v>3.9051374415</v>
      </c>
      <c r="K805" s="105">
        <v>3.5521374415000002</v>
      </c>
      <c r="L805" s="105">
        <v>3.8771500000000003</v>
      </c>
      <c r="M805" s="105">
        <v>4.6972500000000004</v>
      </c>
      <c r="N805" s="105">
        <v>5.8726500000000001</v>
      </c>
      <c r="O805" s="105">
        <v>7.21469</v>
      </c>
      <c r="P805" s="105">
        <v>7.3325899999999997</v>
      </c>
      <c r="Q805" s="105">
        <v>5.0324499999999999</v>
      </c>
      <c r="R805" s="105">
        <v>4.0999999999999996</v>
      </c>
      <c r="S805" s="105">
        <v>2.4</v>
      </c>
      <c r="T805" s="105">
        <v>4</v>
      </c>
      <c r="U805" s="105">
        <v>4.5999999999999996</v>
      </c>
      <c r="V805" s="105">
        <v>4.6609712459999999</v>
      </c>
      <c r="W805" s="105">
        <v>5.2</v>
      </c>
      <c r="X805" s="105">
        <v>15</v>
      </c>
      <c r="Y805" s="105">
        <v>25.61413545034263</v>
      </c>
      <c r="Z805" s="105">
        <f>0*27.346+27.6</f>
        <v>27.6</v>
      </c>
      <c r="AA805" s="105">
        <f>FISCinyear!IJ603</f>
        <v>31.347239564619255</v>
      </c>
      <c r="AB805" s="105">
        <v>36.938619403195652</v>
      </c>
      <c r="AC805" s="105">
        <v>42.678570124050616</v>
      </c>
      <c r="AD805" s="652">
        <f>FISCinyear!IS603</f>
        <v>47.888216712935524</v>
      </c>
      <c r="AE805" s="105">
        <v>50.328956107055532</v>
      </c>
      <c r="AF805" s="105">
        <v>59.340200746167774</v>
      </c>
      <c r="AG805" s="105">
        <f t="shared" ref="AG805:AJ805" si="1123">+(((AF146+AF152+AG134+AG140)-(AF147+AF153+AG135+AG141))*AG259/1000)</f>
        <v>81.821357359206189</v>
      </c>
      <c r="AH805" s="105">
        <f t="shared" si="1123"/>
        <v>109.23497585224359</v>
      </c>
      <c r="AI805" s="105">
        <f t="shared" si="1123"/>
        <v>186.63422359777695</v>
      </c>
      <c r="AJ805" s="105">
        <f t="shared" si="1123"/>
        <v>229.57249603301835</v>
      </c>
      <c r="AK805" s="105"/>
      <c r="AL805" s="105"/>
      <c r="AM805" s="105"/>
      <c r="AN805" s="105"/>
      <c r="AO805" s="105"/>
      <c r="AP805" s="105"/>
      <c r="AQ805" s="105"/>
      <c r="AR805" s="105"/>
      <c r="AS805" s="105"/>
      <c r="AT805" s="105"/>
    </row>
    <row r="806" spans="1:46" hidden="1">
      <c r="A806" s="1"/>
      <c r="B806" s="1"/>
      <c r="C806" s="1"/>
      <c r="D806" s="1120" t="s">
        <v>1213</v>
      </c>
      <c r="E806" s="147"/>
      <c r="F806" s="14"/>
      <c r="G806" s="14"/>
      <c r="H806" s="14"/>
      <c r="I806" s="14"/>
      <c r="J806" s="105"/>
      <c r="K806" s="105"/>
      <c r="L806" s="105"/>
      <c r="M806" s="105"/>
      <c r="N806" s="105"/>
      <c r="O806" s="105"/>
      <c r="P806" s="105"/>
      <c r="Q806" s="105"/>
      <c r="R806" s="105"/>
      <c r="S806" s="105"/>
      <c r="T806" s="105"/>
      <c r="U806" s="105"/>
      <c r="V806" s="105"/>
      <c r="W806" s="105"/>
      <c r="X806" s="105"/>
      <c r="Y806" s="105"/>
      <c r="Z806" s="105"/>
      <c r="AA806" s="105"/>
      <c r="AB806" s="105"/>
      <c r="AC806" s="105"/>
      <c r="AD806" s="652"/>
      <c r="AE806" s="105">
        <v>6.0193606819328558</v>
      </c>
      <c r="AF806" s="105">
        <v>3.9495627954758095</v>
      </c>
      <c r="AG806" s="105">
        <f>(AF148+AF154+AG136+AG142)*AG259/1000</f>
        <v>1.6136124563665437</v>
      </c>
      <c r="AH806" s="105">
        <f>(AG148+AG154+AH136+AH142)*AH259/1000</f>
        <v>0</v>
      </c>
      <c r="AI806" s="105">
        <f>(AH148+AH154+AI136+AI142)*AI259/1000</f>
        <v>0</v>
      </c>
      <c r="AJ806" s="105"/>
      <c r="AK806" s="105"/>
      <c r="AL806" s="105"/>
      <c r="AM806" s="105"/>
      <c r="AN806" s="105"/>
      <c r="AO806" s="105"/>
      <c r="AP806" s="105"/>
      <c r="AQ806" s="105"/>
      <c r="AR806" s="105"/>
      <c r="AS806" s="105"/>
      <c r="AT806" s="105"/>
    </row>
    <row r="807" spans="1:46" hidden="1">
      <c r="A807" s="1"/>
      <c r="B807" s="1"/>
      <c r="C807" s="1"/>
      <c r="D807" s="111" t="s">
        <v>138</v>
      </c>
      <c r="E807" s="147"/>
      <c r="F807" s="14"/>
      <c r="G807" s="14"/>
      <c r="H807" s="14"/>
      <c r="I807" s="14"/>
      <c r="J807" s="105"/>
      <c r="K807" s="105"/>
      <c r="L807" s="105"/>
      <c r="M807" s="105"/>
      <c r="N807" s="105"/>
      <c r="O807" s="105"/>
      <c r="P807" s="105"/>
      <c r="Q807" s="105"/>
      <c r="R807" s="105"/>
      <c r="S807" s="105"/>
      <c r="T807" s="105"/>
      <c r="U807" s="105"/>
      <c r="V807" s="105"/>
      <c r="W807" s="105">
        <v>0</v>
      </c>
      <c r="X807" s="105">
        <v>5</v>
      </c>
      <c r="Y807" s="105">
        <v>17.855114469250001</v>
      </c>
      <c r="Z807" s="105">
        <f>0*18.35+18.7</f>
        <v>18.7</v>
      </c>
      <c r="AA807" s="105">
        <f>FISCinyear!IJ605</f>
        <v>20.186515674500001</v>
      </c>
      <c r="AB807" s="105">
        <v>21.95511308775</v>
      </c>
      <c r="AC807" s="105">
        <v>22.681567922749998</v>
      </c>
      <c r="AD807" s="652">
        <f>FISCinyear!IS605</f>
        <v>23.61639474875</v>
      </c>
      <c r="AE807" s="105">
        <v>24.434102881703748</v>
      </c>
      <c r="AF807" s="105">
        <v>25.559190299819164</v>
      </c>
      <c r="AG807" s="105" t="e">
        <f>+(#REF!+#REF!)/2*AG259/1000</f>
        <v>#REF!</v>
      </c>
      <c r="AH807" s="105" t="e">
        <f>+(#REF!+#REF!)/2*AH259/1000</f>
        <v>#REF!</v>
      </c>
      <c r="AI807" s="105" t="e">
        <f>+(#REF!+#REF!)/2*AI259/1000</f>
        <v>#REF!</v>
      </c>
      <c r="AJ807" s="105" t="e">
        <f>+(#REF!+#REF!)/2*AJ259/1000</f>
        <v>#REF!</v>
      </c>
      <c r="AK807" s="105"/>
      <c r="AL807" s="105"/>
      <c r="AM807" s="105"/>
      <c r="AN807" s="105"/>
      <c r="AO807" s="105"/>
      <c r="AP807" s="105"/>
      <c r="AQ807" s="105"/>
      <c r="AR807" s="105"/>
      <c r="AS807" s="105"/>
      <c r="AT807" s="105"/>
    </row>
    <row r="808" spans="1:46" hidden="1">
      <c r="A808" s="1"/>
      <c r="B808" s="1"/>
      <c r="C808" s="1"/>
      <c r="D808" s="108" t="s">
        <v>82</v>
      </c>
      <c r="E808" s="147"/>
      <c r="F808" s="14"/>
      <c r="G808" s="14"/>
      <c r="H808" s="14"/>
      <c r="I808" s="14"/>
      <c r="J808" s="105">
        <v>10.41705883</v>
      </c>
      <c r="K808" s="105">
        <v>11.24655883</v>
      </c>
      <c r="L808" s="105">
        <v>13.0984</v>
      </c>
      <c r="M808" s="105">
        <v>17.82255</v>
      </c>
      <c r="N808" s="105">
        <v>21.309249999999999</v>
      </c>
      <c r="O808" s="105">
        <v>29.844650000000001</v>
      </c>
      <c r="P808" s="105">
        <v>45.5244</v>
      </c>
      <c r="Q808" s="105">
        <v>62.735849999999999</v>
      </c>
      <c r="R808" s="105">
        <v>82.4</v>
      </c>
      <c r="S808" s="105">
        <v>121.8</v>
      </c>
      <c r="T808" s="105">
        <v>141.6</v>
      </c>
      <c r="U808" s="105">
        <v>179.6</v>
      </c>
      <c r="V808" s="105">
        <v>197.16105999999999</v>
      </c>
      <c r="W808" s="105">
        <v>225.6</v>
      </c>
      <c r="X808" s="105">
        <v>230.8</v>
      </c>
      <c r="Y808" s="105">
        <v>286.77621204399998</v>
      </c>
      <c r="Z808" s="105">
        <f>0*301.02+304.1</f>
        <v>304.10000000000002</v>
      </c>
      <c r="AA808" s="105">
        <f>FISCinyear!IJ606</f>
        <v>298.10605163999998</v>
      </c>
      <c r="AB808" s="105">
        <v>360.90341515981993</v>
      </c>
      <c r="AC808" s="105">
        <v>363.28843069983998</v>
      </c>
      <c r="AD808" s="652">
        <f>FISCinyear!IS606</f>
        <v>407.23099731999997</v>
      </c>
      <c r="AE808" s="105">
        <v>424.35991078043662</v>
      </c>
      <c r="AF808" s="105">
        <v>457.30460277533575</v>
      </c>
      <c r="AG808" s="105">
        <f>+(AG809+AG810+AG816)</f>
        <v>751.93597209516429</v>
      </c>
      <c r="AH808" s="105">
        <f t="shared" ref="AH808:AJ808" si="1124">+AH809+AH810+AH816</f>
        <v>858.97741341169251</v>
      </c>
      <c r="AI808" s="105">
        <f t="shared" si="1124"/>
        <v>950.10498962203292</v>
      </c>
      <c r="AJ808" s="105">
        <f t="shared" si="1124"/>
        <v>623.64889823033172</v>
      </c>
      <c r="AK808" s="105"/>
      <c r="AL808" s="105"/>
      <c r="AM808" s="105"/>
      <c r="AN808" s="105"/>
      <c r="AO808" s="105"/>
      <c r="AP808" s="105"/>
      <c r="AQ808" s="105"/>
      <c r="AR808" s="105"/>
      <c r="AS808" s="105"/>
      <c r="AT808" s="105"/>
    </row>
    <row r="809" spans="1:46" hidden="1">
      <c r="A809" s="1"/>
      <c r="B809" s="1"/>
      <c r="C809" s="1"/>
      <c r="D809" s="141" t="s">
        <v>245</v>
      </c>
      <c r="E809" s="147"/>
      <c r="F809" s="14"/>
      <c r="G809" s="14"/>
      <c r="H809" s="14"/>
      <c r="I809" s="14"/>
      <c r="J809" s="105"/>
      <c r="K809" s="105"/>
      <c r="L809" s="105"/>
      <c r="M809" s="105"/>
      <c r="N809" s="105"/>
      <c r="O809" s="105"/>
      <c r="P809" s="105"/>
      <c r="Q809" s="105"/>
      <c r="R809" s="105">
        <f t="shared" ref="R809:Z809" si="1125">+R808-R810-R816</f>
        <v>82.4</v>
      </c>
      <c r="S809" s="105">
        <f t="shared" si="1125"/>
        <v>121.8</v>
      </c>
      <c r="T809" s="105">
        <f t="shared" si="1125"/>
        <v>141.6</v>
      </c>
      <c r="U809" s="105">
        <f t="shared" si="1125"/>
        <v>128.51243093922653</v>
      </c>
      <c r="V809" s="105">
        <f t="shared" si="1125"/>
        <v>138.84901571823204</v>
      </c>
      <c r="W809" s="105">
        <f t="shared" si="1125"/>
        <v>156.4</v>
      </c>
      <c r="X809" s="105">
        <f t="shared" si="1125"/>
        <v>141.20000000000002</v>
      </c>
      <c r="Y809" s="105">
        <f t="shared" si="1125"/>
        <v>179.04828150799995</v>
      </c>
      <c r="Z809" s="105">
        <f t="shared" si="1125"/>
        <v>167.10000000000005</v>
      </c>
      <c r="AA809" s="105">
        <f>FISCinyear!IJ607</f>
        <v>201.61758654299999</v>
      </c>
      <c r="AB809" s="105">
        <v>198.31553604799996</v>
      </c>
      <c r="AC809" s="105">
        <v>192.49014827558653</v>
      </c>
      <c r="AD809" s="652">
        <f>+AC809*(1+AD382)</f>
        <v>208.44618769008687</v>
      </c>
      <c r="AE809" s="105">
        <v>210.99833405420122</v>
      </c>
      <c r="AF809" s="105">
        <v>206.61585443223143</v>
      </c>
      <c r="AG809" s="105">
        <f t="shared" ref="AG809:AJ809" si="1126">+AF809*(1+AG382)</f>
        <v>286.85184189987018</v>
      </c>
      <c r="AH809" s="105">
        <f t="shared" si="1126"/>
        <v>334.77111633845522</v>
      </c>
      <c r="AI809" s="105">
        <f t="shared" si="1126"/>
        <v>386.17421482007143</v>
      </c>
      <c r="AJ809" s="105">
        <f t="shared" si="1126"/>
        <v>386.17421482007143</v>
      </c>
      <c r="AK809" s="105"/>
      <c r="AL809" s="105"/>
      <c r="AM809" s="105"/>
      <c r="AN809" s="105"/>
      <c r="AO809" s="105"/>
      <c r="AP809" s="105"/>
      <c r="AQ809" s="105"/>
      <c r="AR809" s="105"/>
      <c r="AS809" s="105"/>
      <c r="AT809" s="105"/>
    </row>
    <row r="810" spans="1:46" hidden="1">
      <c r="A810" s="1"/>
      <c r="B810" s="1"/>
      <c r="C810" s="1"/>
      <c r="D810" s="109" t="s">
        <v>139</v>
      </c>
      <c r="E810" s="148" t="s">
        <v>615</v>
      </c>
      <c r="F810" s="14"/>
      <c r="G810" s="14"/>
      <c r="H810" s="14"/>
      <c r="I810" s="14"/>
      <c r="J810" s="105"/>
      <c r="K810" s="105"/>
      <c r="L810" s="105"/>
      <c r="M810" s="105"/>
      <c r="N810" s="105"/>
      <c r="O810" s="105"/>
      <c r="P810" s="105"/>
      <c r="Q810" s="105"/>
      <c r="R810" s="105"/>
      <c r="S810" s="105"/>
      <c r="T810" s="105"/>
      <c r="U810" s="105"/>
      <c r="V810" s="105"/>
      <c r="W810" s="105">
        <v>0</v>
      </c>
      <c r="X810" s="105">
        <v>0</v>
      </c>
      <c r="Y810" s="105">
        <v>0</v>
      </c>
      <c r="Z810" s="105">
        <f>+Z384</f>
        <v>31</v>
      </c>
      <c r="AA810" s="105">
        <f>FISCinyear!IJ608</f>
        <v>40.388465097000008</v>
      </c>
      <c r="AB810" s="105">
        <v>47.887879111819991</v>
      </c>
      <c r="AC810" s="105">
        <v>53.86308627244</v>
      </c>
      <c r="AD810" s="676">
        <f>FISCinyear!IS608</f>
        <v>60.610429904000007</v>
      </c>
      <c r="AE810" s="105">
        <v>60.716770575063506</v>
      </c>
      <c r="AF810" s="105">
        <v>73.443094653384904</v>
      </c>
      <c r="AG810" s="105">
        <f>+(AG749+AG766)</f>
        <v>260.16334013846193</v>
      </c>
      <c r="AH810" s="105">
        <f>+(AH749+AH766)</f>
        <v>303.60824689389733</v>
      </c>
      <c r="AI810" s="105">
        <f>+AI749+AI766</f>
        <v>326.45609139170125</v>
      </c>
      <c r="AJ810" s="105">
        <f>+AJ749+AJ766</f>
        <v>0</v>
      </c>
      <c r="AK810" s="105"/>
      <c r="AL810" s="105"/>
      <c r="AM810" s="105"/>
      <c r="AN810" s="105"/>
      <c r="AO810" s="105"/>
      <c r="AP810" s="105"/>
      <c r="AQ810" s="105"/>
      <c r="AR810" s="105"/>
      <c r="AS810" s="105"/>
      <c r="AT810" s="105"/>
    </row>
    <row r="811" spans="1:46" hidden="1">
      <c r="A811" s="1"/>
      <c r="B811" s="1"/>
      <c r="C811" s="1"/>
      <c r="D811" s="1072" t="s">
        <v>1142</v>
      </c>
      <c r="E811" s="148"/>
      <c r="F811" s="14"/>
      <c r="G811" s="14"/>
      <c r="H811" s="14"/>
      <c r="I811" s="14"/>
      <c r="J811" s="105"/>
      <c r="K811" s="105"/>
      <c r="L811" s="105"/>
      <c r="M811" s="105"/>
      <c r="N811" s="105"/>
      <c r="O811" s="105"/>
      <c r="P811" s="105"/>
      <c r="Q811" s="105"/>
      <c r="R811" s="105"/>
      <c r="S811" s="105"/>
      <c r="T811" s="105"/>
      <c r="U811" s="105"/>
      <c r="V811" s="105"/>
      <c r="W811" s="105"/>
      <c r="X811" s="105"/>
      <c r="Y811" s="105"/>
      <c r="Z811" s="105"/>
      <c r="AA811" s="105"/>
      <c r="AB811" s="105"/>
      <c r="AC811" s="105">
        <v>0</v>
      </c>
      <c r="AD811" s="676">
        <f>FISCinyear!IS613</f>
        <v>19.947566402</v>
      </c>
      <c r="AE811" s="105">
        <v>20.100000000000001</v>
      </c>
      <c r="AF811" s="105">
        <v>13.31</v>
      </c>
      <c r="AG811" s="105">
        <v>14.641</v>
      </c>
      <c r="AH811" s="105"/>
      <c r="AI811" s="105"/>
      <c r="AJ811" s="105"/>
      <c r="AK811" s="105"/>
      <c r="AL811" s="105"/>
      <c r="AM811" s="105"/>
      <c r="AN811" s="105"/>
      <c r="AO811" s="105"/>
      <c r="AP811" s="105"/>
      <c r="AQ811" s="105"/>
      <c r="AR811" s="105"/>
      <c r="AS811" s="105"/>
      <c r="AT811" s="105"/>
    </row>
    <row r="812" spans="1:46" ht="16.5" hidden="1">
      <c r="A812" s="1"/>
      <c r="B812" s="1"/>
      <c r="C812" s="1"/>
      <c r="D812" s="674" t="s">
        <v>1177</v>
      </c>
      <c r="E812" s="148"/>
      <c r="F812" s="14"/>
      <c r="G812" s="14"/>
      <c r="H812" s="14"/>
      <c r="I812" s="14"/>
      <c r="J812" s="105"/>
      <c r="K812" s="105"/>
      <c r="L812" s="105"/>
      <c r="M812" s="105"/>
      <c r="N812" s="105"/>
      <c r="O812" s="105"/>
      <c r="P812" s="105"/>
      <c r="Q812" s="105"/>
      <c r="R812" s="105"/>
      <c r="S812" s="105"/>
      <c r="T812" s="105"/>
      <c r="U812" s="105"/>
      <c r="V812" s="105"/>
      <c r="W812" s="105"/>
      <c r="X812" s="105"/>
      <c r="Y812" s="105"/>
      <c r="Z812" s="105"/>
      <c r="AA812" s="105"/>
      <c r="AB812" s="105"/>
      <c r="AC812" s="105"/>
      <c r="AD812" s="676">
        <f>AG1927</f>
        <v>0</v>
      </c>
      <c r="AE812" s="105">
        <v>6.0529041499999998</v>
      </c>
      <c r="AF812" s="105">
        <v>6.3555493580000002</v>
      </c>
      <c r="AG812" s="105">
        <f>AJ1928</f>
        <v>0</v>
      </c>
      <c r="AH812" s="105"/>
      <c r="AI812" s="105"/>
      <c r="AJ812" s="105"/>
      <c r="AK812" s="105"/>
      <c r="AL812" s="105"/>
      <c r="AM812" s="105"/>
      <c r="AN812" s="105"/>
      <c r="AO812" s="105"/>
      <c r="AP812" s="105"/>
      <c r="AQ812" s="105"/>
      <c r="AR812" s="105"/>
      <c r="AS812" s="105"/>
      <c r="AT812" s="105"/>
    </row>
    <row r="813" spans="1:46" ht="16.5" hidden="1">
      <c r="A813" s="1"/>
      <c r="B813" s="1"/>
      <c r="C813" s="1"/>
      <c r="D813" s="674" t="s">
        <v>1178</v>
      </c>
      <c r="E813" s="148"/>
      <c r="F813" s="14"/>
      <c r="G813" s="14"/>
      <c r="H813" s="14"/>
      <c r="I813" s="14"/>
      <c r="J813" s="105"/>
      <c r="K813" s="105"/>
      <c r="L813" s="105"/>
      <c r="M813" s="105"/>
      <c r="N813" s="105"/>
      <c r="O813" s="105"/>
      <c r="P813" s="105"/>
      <c r="Q813" s="105"/>
      <c r="R813" s="105"/>
      <c r="S813" s="105"/>
      <c r="T813" s="105"/>
      <c r="U813" s="105"/>
      <c r="V813" s="105"/>
      <c r="W813" s="105"/>
      <c r="X813" s="105"/>
      <c r="Y813" s="105"/>
      <c r="Z813" s="105"/>
      <c r="AA813" s="105"/>
      <c r="AB813" s="105"/>
      <c r="AC813" s="105"/>
      <c r="AD813" s="676">
        <f>AG1928</f>
        <v>0</v>
      </c>
      <c r="AE813" s="105">
        <v>1.055188566</v>
      </c>
      <c r="AF813" s="105">
        <v>1.1379561090000001</v>
      </c>
      <c r="AG813" s="105">
        <f>AJ1929</f>
        <v>987.34816948299988</v>
      </c>
      <c r="AH813" s="105"/>
      <c r="AI813" s="105"/>
      <c r="AJ813" s="105"/>
      <c r="AK813" s="105"/>
      <c r="AL813" s="105"/>
      <c r="AM813" s="105"/>
      <c r="AN813" s="105"/>
      <c r="AO813" s="105"/>
      <c r="AP813" s="105"/>
      <c r="AQ813" s="105"/>
      <c r="AR813" s="105"/>
      <c r="AS813" s="105"/>
      <c r="AT813" s="105"/>
    </row>
    <row r="814" spans="1:46" ht="16.5" hidden="1">
      <c r="A814" s="1"/>
      <c r="B814" s="1"/>
      <c r="C814" s="1"/>
      <c r="D814" s="674" t="s">
        <v>1179</v>
      </c>
      <c r="E814" s="148"/>
      <c r="F814" s="14"/>
      <c r="G814" s="14"/>
      <c r="H814" s="14"/>
      <c r="I814" s="14"/>
      <c r="J814" s="105"/>
      <c r="K814" s="105"/>
      <c r="L814" s="105"/>
      <c r="M814" s="105"/>
      <c r="N814" s="105"/>
      <c r="O814" s="105"/>
      <c r="P814" s="105"/>
      <c r="Q814" s="105"/>
      <c r="R814" s="105"/>
      <c r="S814" s="105"/>
      <c r="T814" s="105"/>
      <c r="U814" s="105"/>
      <c r="V814" s="105"/>
      <c r="W814" s="105"/>
      <c r="X814" s="105"/>
      <c r="Y814" s="105"/>
      <c r="Z814" s="105"/>
      <c r="AA814" s="105"/>
      <c r="AB814" s="105"/>
      <c r="AC814" s="105"/>
      <c r="AD814" s="676">
        <f>AG1929</f>
        <v>870.40127613966001</v>
      </c>
      <c r="AE814" s="105">
        <v>0.42700500000000002</v>
      </c>
      <c r="AF814" s="105">
        <v>0.44835524999999998</v>
      </c>
      <c r="AG814" s="105">
        <f>AJ1930</f>
        <v>0</v>
      </c>
      <c r="AH814" s="105"/>
      <c r="AI814" s="105"/>
      <c r="AJ814" s="105"/>
      <c r="AK814" s="105"/>
      <c r="AL814" s="105"/>
      <c r="AM814" s="105"/>
      <c r="AN814" s="105"/>
      <c r="AO814" s="105"/>
      <c r="AP814" s="105"/>
      <c r="AQ814" s="105"/>
      <c r="AR814" s="105"/>
      <c r="AS814" s="105"/>
      <c r="AT814" s="105"/>
    </row>
    <row r="815" spans="1:46" hidden="1">
      <c r="A815" s="1"/>
      <c r="B815" s="1"/>
      <c r="C815" s="1"/>
      <c r="D815" s="935" t="s">
        <v>1129</v>
      </c>
      <c r="E815" s="148"/>
      <c r="F815" s="14"/>
      <c r="G815" s="14"/>
      <c r="H815" s="14"/>
      <c r="I815" s="14"/>
      <c r="J815" s="105"/>
      <c r="K815" s="105"/>
      <c r="L815" s="105"/>
      <c r="M815" s="105"/>
      <c r="N815" s="105"/>
      <c r="O815" s="105"/>
      <c r="P815" s="105"/>
      <c r="Q815" s="105"/>
      <c r="R815" s="105"/>
      <c r="S815" s="105"/>
      <c r="T815" s="105"/>
      <c r="U815" s="105"/>
      <c r="V815" s="105"/>
      <c r="W815" s="105"/>
      <c r="X815" s="105"/>
      <c r="Y815" s="105"/>
      <c r="Z815" s="105"/>
      <c r="AA815" s="105"/>
      <c r="AB815" s="105">
        <v>0</v>
      </c>
      <c r="AC815" s="105">
        <v>0</v>
      </c>
      <c r="AD815" s="652">
        <v>0</v>
      </c>
      <c r="AE815" s="105">
        <v>1</v>
      </c>
      <c r="AF815" s="105">
        <v>2</v>
      </c>
      <c r="AG815" s="105">
        <v>3</v>
      </c>
      <c r="AH815" s="105"/>
      <c r="AI815" s="105"/>
      <c r="AJ815" s="105"/>
      <c r="AK815" s="105"/>
      <c r="AL815" s="105"/>
      <c r="AM815" s="105"/>
      <c r="AN815" s="105"/>
      <c r="AO815" s="105"/>
      <c r="AP815" s="105"/>
      <c r="AQ815" s="105"/>
      <c r="AR815" s="105"/>
      <c r="AS815" s="105"/>
      <c r="AT815" s="105"/>
    </row>
    <row r="816" spans="1:46" hidden="1">
      <c r="A816" s="1"/>
      <c r="B816" s="1"/>
      <c r="C816" s="1"/>
      <c r="D816" s="109" t="s">
        <v>140</v>
      </c>
      <c r="E816" s="147" t="s">
        <v>288</v>
      </c>
      <c r="F816" s="14"/>
      <c r="G816" s="14"/>
      <c r="H816" s="14"/>
      <c r="I816" s="14"/>
      <c r="J816" s="105"/>
      <c r="K816" s="105"/>
      <c r="L816" s="105"/>
      <c r="M816" s="105"/>
      <c r="N816" s="105"/>
      <c r="O816" s="105"/>
      <c r="P816" s="105"/>
      <c r="Q816" s="105"/>
      <c r="R816" s="105"/>
      <c r="S816" s="105"/>
      <c r="T816" s="105"/>
      <c r="U816" s="125">
        <f>+V816/V789*U789</f>
        <v>51.087569060773468</v>
      </c>
      <c r="V816" s="125">
        <f>+W816/W789*V789</f>
        <v>58.312044281767946</v>
      </c>
      <c r="W816" s="128">
        <f>214-W789</f>
        <v>69.199999999999989</v>
      </c>
      <c r="X816" s="128">
        <f>258.5-X789</f>
        <v>89.6</v>
      </c>
      <c r="Y816" s="128">
        <f>295.6-Y789</f>
        <v>107.72793053600003</v>
      </c>
      <c r="Z816" s="128">
        <f>309.9-Z789</f>
        <v>105.99999999999997</v>
      </c>
      <c r="AA816" s="128">
        <v>112.19999999999999</v>
      </c>
      <c r="AB816" s="128">
        <v>114.7</v>
      </c>
      <c r="AC816" s="128">
        <v>116.93519615181343</v>
      </c>
      <c r="AD816" s="550">
        <f>+AC816*(1+AD$367)</f>
        <v>132.02969030668595</v>
      </c>
      <c r="AE816" s="105">
        <v>152.64480615117191</v>
      </c>
      <c r="AF816" s="105">
        <v>177.24565368971938</v>
      </c>
      <c r="AG816" s="105">
        <f>+AF816*(1+AG$367)</f>
        <v>204.92079005683217</v>
      </c>
      <c r="AH816" s="105">
        <f t="shared" ref="AH816:AJ816" si="1127">+AG816*(1+AH$367)</f>
        <v>220.59805017934005</v>
      </c>
      <c r="AI816" s="105">
        <f t="shared" si="1127"/>
        <v>237.47468341026027</v>
      </c>
      <c r="AJ816" s="105">
        <f t="shared" si="1127"/>
        <v>237.47468341026027</v>
      </c>
      <c r="AK816" s="105"/>
      <c r="AL816" s="105"/>
      <c r="AM816" s="105"/>
      <c r="AN816" s="105"/>
      <c r="AO816" s="105"/>
      <c r="AP816" s="105"/>
      <c r="AQ816" s="105"/>
      <c r="AR816" s="105"/>
      <c r="AS816" s="105"/>
      <c r="AT816" s="105"/>
    </row>
    <row r="817" spans="1:46" hidden="1">
      <c r="A817" s="1"/>
      <c r="B817" s="1"/>
      <c r="C817" s="1"/>
      <c r="D817" s="109" t="s">
        <v>118</v>
      </c>
      <c r="E817" s="147" t="s">
        <v>221</v>
      </c>
      <c r="F817" s="14"/>
      <c r="G817" s="14"/>
      <c r="H817" s="14"/>
      <c r="I817" s="14"/>
      <c r="J817" s="105"/>
      <c r="K817" s="105"/>
      <c r="L817" s="105"/>
      <c r="M817" s="105"/>
      <c r="N817" s="105"/>
      <c r="O817" s="105"/>
      <c r="P817" s="105"/>
      <c r="Q817" s="105"/>
      <c r="R817" s="105"/>
      <c r="S817" s="105"/>
      <c r="T817" s="105"/>
      <c r="U817" s="105"/>
      <c r="V817" s="105"/>
      <c r="W817" s="105">
        <v>0</v>
      </c>
      <c r="X817" s="105">
        <v>0</v>
      </c>
      <c r="Y817" s="105">
        <v>0</v>
      </c>
      <c r="Z817" s="105"/>
      <c r="AA817" s="105">
        <v>0</v>
      </c>
      <c r="AB817" s="105">
        <v>0</v>
      </c>
      <c r="AC817" s="105"/>
      <c r="AD817" s="120"/>
      <c r="AE817" s="105"/>
      <c r="AF817" s="105"/>
      <c r="AG817" s="105"/>
      <c r="AH817" s="105"/>
      <c r="AI817" s="105"/>
      <c r="AJ817" s="105"/>
      <c r="AK817" s="105"/>
      <c r="AL817" s="105"/>
      <c r="AM817" s="105"/>
      <c r="AN817" s="105"/>
      <c r="AO817" s="105"/>
      <c r="AP817" s="105"/>
      <c r="AQ817" s="105"/>
      <c r="AR817" s="105"/>
      <c r="AS817" s="105"/>
      <c r="AT817" s="105"/>
    </row>
    <row r="818" spans="1:46" hidden="1">
      <c r="A818" s="1"/>
      <c r="B818" s="1"/>
      <c r="C818" s="1"/>
      <c r="D818" s="108" t="s">
        <v>141</v>
      </c>
      <c r="E818" s="143"/>
      <c r="F818" s="14"/>
      <c r="G818" s="14"/>
      <c r="H818" s="14"/>
      <c r="I818" s="14"/>
      <c r="J818" s="105">
        <v>6.6712305399999998</v>
      </c>
      <c r="K818" s="105">
        <v>9.7460305399999996</v>
      </c>
      <c r="L818" s="105">
        <v>14.812000000000001</v>
      </c>
      <c r="M818" s="105">
        <v>24.122050000000002</v>
      </c>
      <c r="N818" s="105">
        <v>35.216300000000004</v>
      </c>
      <c r="O818" s="105">
        <v>29.261850000000003</v>
      </c>
      <c r="P818" s="105">
        <v>26.814999999999998</v>
      </c>
      <c r="Q818" s="105">
        <v>34.535600000000002</v>
      </c>
      <c r="R818" s="105">
        <v>33.5</v>
      </c>
      <c r="S818" s="105">
        <v>55.7</v>
      </c>
      <c r="T818" s="105">
        <v>54.7</v>
      </c>
      <c r="U818" s="105">
        <v>51.6</v>
      </c>
      <c r="V818" s="105">
        <v>68.13427999999999</v>
      </c>
      <c r="W818" s="105">
        <v>75.8</v>
      </c>
      <c r="X818" s="105">
        <v>80.400000000000006</v>
      </c>
      <c r="Y818" s="105">
        <v>119.10848517300001</v>
      </c>
      <c r="Z818" s="105">
        <f>+Z819+Z820+Z821</f>
        <v>121.08000000000001</v>
      </c>
      <c r="AA818" s="105">
        <f>+AA819+AA820+AA821</f>
        <v>159.21198662399999</v>
      </c>
      <c r="AB818" s="105">
        <v>159.35388304200001</v>
      </c>
      <c r="AC818" s="105">
        <v>181.83912250499998</v>
      </c>
      <c r="AD818" s="105">
        <f>FISCinyear!IS614</f>
        <v>237.699177475</v>
      </c>
      <c r="AE818" s="105">
        <v>230.36001097465783</v>
      </c>
      <c r="AF818" s="105">
        <v>184.7704254232541</v>
      </c>
      <c r="AG818" s="105">
        <f t="shared" ref="AG818:AJ818" si="1128">+AG819+AG820+AG821</f>
        <v>180.57804337258901</v>
      </c>
      <c r="AH818" s="105">
        <f t="shared" si="1128"/>
        <v>215.41598582266533</v>
      </c>
      <c r="AI818" s="105">
        <f t="shared" si="1128"/>
        <v>240.12209551348002</v>
      </c>
      <c r="AJ818" s="105">
        <f t="shared" si="1128"/>
        <v>0</v>
      </c>
      <c r="AK818" s="105"/>
      <c r="AL818" s="105"/>
      <c r="AM818" s="105"/>
      <c r="AN818" s="105"/>
      <c r="AO818" s="105"/>
      <c r="AP818" s="105"/>
      <c r="AQ818" s="105"/>
      <c r="AR818" s="105"/>
      <c r="AS818" s="105"/>
      <c r="AT818" s="105"/>
    </row>
    <row r="819" spans="1:46" hidden="1">
      <c r="A819" s="1"/>
      <c r="B819" s="1"/>
      <c r="C819" s="1"/>
      <c r="D819" s="110" t="s">
        <v>142</v>
      </c>
      <c r="E819" s="147" t="s">
        <v>284</v>
      </c>
      <c r="F819" s="14"/>
      <c r="G819" s="14"/>
      <c r="H819" s="14"/>
      <c r="I819" s="14"/>
      <c r="J819" s="105"/>
      <c r="K819" s="105"/>
      <c r="L819" s="105"/>
      <c r="M819" s="105"/>
      <c r="N819" s="105"/>
      <c r="O819" s="105"/>
      <c r="P819" s="105"/>
      <c r="Q819" s="105"/>
      <c r="R819" s="105"/>
      <c r="S819" s="105"/>
      <c r="T819" s="105"/>
      <c r="U819" s="105"/>
      <c r="V819" s="105"/>
      <c r="W819" s="105">
        <v>0</v>
      </c>
      <c r="X819" s="105">
        <v>35.5</v>
      </c>
      <c r="Y819" s="105">
        <v>25.258811314000003</v>
      </c>
      <c r="Z819" s="105">
        <f>0*27+26.8</f>
        <v>26.8</v>
      </c>
      <c r="AA819" s="105">
        <f>FISCinyear!IJ615</f>
        <v>26.979326674999996</v>
      </c>
      <c r="AB819" s="105">
        <v>28.539423423000002</v>
      </c>
      <c r="AC819" s="105">
        <v>32.435816873</v>
      </c>
      <c r="AD819" s="652">
        <f>FISCinyear!IS615</f>
        <v>22.282960156000001</v>
      </c>
      <c r="AE819" s="105">
        <v>38.450000000000003</v>
      </c>
      <c r="AF819" s="105">
        <v>40.359881165658898</v>
      </c>
      <c r="AG819" s="105">
        <f t="shared" ref="AG819:AJ819" si="1129">+AG386</f>
        <v>38.450000000000003</v>
      </c>
      <c r="AH819" s="105">
        <f t="shared" si="1129"/>
        <v>51.308078391956101</v>
      </c>
      <c r="AI819" s="105">
        <f t="shared" si="1129"/>
        <v>51.308078391956101</v>
      </c>
      <c r="AJ819" s="105">
        <f t="shared" si="1129"/>
        <v>0</v>
      </c>
      <c r="AK819" s="105"/>
      <c r="AL819" s="105"/>
      <c r="AM819" s="105"/>
      <c r="AN819" s="105"/>
      <c r="AO819" s="105"/>
      <c r="AP819" s="105"/>
      <c r="AQ819" s="105"/>
      <c r="AR819" s="105"/>
      <c r="AS819" s="105"/>
      <c r="AT819" s="105"/>
    </row>
    <row r="820" spans="1:46" hidden="1">
      <c r="A820" s="1"/>
      <c r="B820" s="1"/>
      <c r="C820" s="1"/>
      <c r="D820" s="110" t="s">
        <v>285</v>
      </c>
      <c r="E820" s="143"/>
      <c r="F820" s="14"/>
      <c r="G820" s="14"/>
      <c r="H820" s="14"/>
      <c r="I820" s="14"/>
      <c r="J820" s="105"/>
      <c r="K820" s="105"/>
      <c r="L820" s="105"/>
      <c r="M820" s="105"/>
      <c r="N820" s="105"/>
      <c r="O820" s="105"/>
      <c r="P820" s="105"/>
      <c r="Q820" s="105"/>
      <c r="R820" s="105"/>
      <c r="S820" s="105"/>
      <c r="T820" s="105"/>
      <c r="U820" s="105"/>
      <c r="V820" s="105"/>
      <c r="W820" s="105">
        <v>0</v>
      </c>
      <c r="X820" s="105">
        <v>10.4</v>
      </c>
      <c r="Y820" s="105">
        <v>5.2573643909999994</v>
      </c>
      <c r="Z820" s="105">
        <f>0*3+4.94</f>
        <v>4.9400000000000004</v>
      </c>
      <c r="AA820" s="105">
        <f>FISCinyear!IJ616</f>
        <v>4.3759362910000004</v>
      </c>
      <c r="AB820" s="105">
        <v>2.6629975549999996</v>
      </c>
      <c r="AC820" s="105">
        <v>3.6326671129999997</v>
      </c>
      <c r="AD820" s="652">
        <f>FISCinyear!IS616</f>
        <v>2.813808957</v>
      </c>
      <c r="AE820" s="105">
        <v>7.64</v>
      </c>
      <c r="AF820" s="105">
        <v>8.7106168881134316</v>
      </c>
      <c r="AG820" s="105">
        <f t="shared" ref="AG820:AJ820" si="1130">+AG387</f>
        <v>9.64</v>
      </c>
      <c r="AH820" s="105">
        <f t="shared" si="1130"/>
        <v>12.250411434792628</v>
      </c>
      <c r="AI820" s="105">
        <f t="shared" si="1130"/>
        <v>12.250411434792628</v>
      </c>
      <c r="AJ820" s="105">
        <f t="shared" si="1130"/>
        <v>0</v>
      </c>
      <c r="AK820" s="105"/>
      <c r="AL820" s="105"/>
      <c r="AM820" s="105"/>
      <c r="AN820" s="105"/>
      <c r="AO820" s="105"/>
      <c r="AP820" s="105"/>
      <c r="AQ820" s="105"/>
      <c r="AR820" s="105"/>
      <c r="AS820" s="105"/>
      <c r="AT820" s="105"/>
    </row>
    <row r="821" spans="1:46" hidden="1">
      <c r="A821" s="1"/>
      <c r="B821" s="1"/>
      <c r="C821" s="1"/>
      <c r="D821" s="110" t="s">
        <v>143</v>
      </c>
      <c r="E821" s="143"/>
      <c r="F821" s="14"/>
      <c r="G821" s="14"/>
      <c r="H821" s="14"/>
      <c r="I821" s="14"/>
      <c r="J821" s="105"/>
      <c r="K821" s="105"/>
      <c r="L821" s="105"/>
      <c r="M821" s="105"/>
      <c r="N821" s="105"/>
      <c r="O821" s="105"/>
      <c r="P821" s="105"/>
      <c r="Q821" s="105"/>
      <c r="R821" s="105"/>
      <c r="S821" s="105"/>
      <c r="T821" s="105"/>
      <c r="U821" s="105"/>
      <c r="V821" s="105"/>
      <c r="W821" s="105">
        <v>0</v>
      </c>
      <c r="X821" s="105">
        <v>51.2</v>
      </c>
      <c r="Y821" s="105">
        <v>88.592309467999996</v>
      </c>
      <c r="Z821" s="105">
        <f>+Z764*0+89.34</f>
        <v>89.34</v>
      </c>
      <c r="AA821" s="105">
        <f>FISCinyear!IJ617</f>
        <v>127.85672365799999</v>
      </c>
      <c r="AB821" s="105">
        <v>128.15146206400001</v>
      </c>
      <c r="AC821" s="105">
        <v>145.77063851899999</v>
      </c>
      <c r="AD821" s="653">
        <f>FISCinyear!IS617</f>
        <v>212.60240836200001</v>
      </c>
      <c r="AE821" s="599">
        <v>184.27001097465782</v>
      </c>
      <c r="AF821" s="599">
        <v>135.69992736948177</v>
      </c>
      <c r="AG821" s="599">
        <f>+(AG313+AG823)*0+132.488043372589</f>
        <v>132.488043372589</v>
      </c>
      <c r="AH821" s="599">
        <f t="shared" ref="AH821:AJ821" si="1131">+AH313+AH823</f>
        <v>151.85749599591659</v>
      </c>
      <c r="AI821" s="599">
        <f t="shared" si="1131"/>
        <v>176.56360568673131</v>
      </c>
      <c r="AJ821" s="599">
        <f t="shared" si="1131"/>
        <v>0</v>
      </c>
      <c r="AK821" s="599"/>
      <c r="AL821" s="599"/>
      <c r="AM821" s="599"/>
      <c r="AN821" s="599"/>
      <c r="AO821" s="599"/>
      <c r="AP821" s="599"/>
      <c r="AQ821" s="599"/>
      <c r="AR821" s="599"/>
      <c r="AS821" s="599"/>
      <c r="AT821" s="599"/>
    </row>
    <row r="822" spans="1:46" hidden="1">
      <c r="A822" s="1"/>
      <c r="B822" s="1"/>
      <c r="C822" s="1"/>
      <c r="D822" s="110" t="s">
        <v>1030</v>
      </c>
      <c r="E822" s="143"/>
      <c r="F822" s="14"/>
      <c r="G822" s="14"/>
      <c r="H822" s="14"/>
      <c r="I822" s="14"/>
      <c r="J822" s="105"/>
      <c r="K822" s="105"/>
      <c r="L822" s="105"/>
      <c r="M822" s="105"/>
      <c r="N822" s="105"/>
      <c r="O822" s="105"/>
      <c r="P822" s="105"/>
      <c r="Q822" s="105"/>
      <c r="R822" s="105"/>
      <c r="S822" s="105"/>
      <c r="T822" s="105"/>
      <c r="U822" s="105"/>
      <c r="V822" s="105"/>
      <c r="W822" s="105"/>
      <c r="X822" s="105"/>
      <c r="Y822" s="105"/>
      <c r="Z822" s="105"/>
      <c r="AA822" s="105"/>
      <c r="AB822" s="105">
        <v>0</v>
      </c>
      <c r="AC822" s="105"/>
      <c r="AD822" s="120"/>
      <c r="AE822" s="105"/>
      <c r="AF822" s="105"/>
      <c r="AG822" s="105"/>
      <c r="AH822" s="105"/>
      <c r="AI822" s="105"/>
      <c r="AJ822" s="105"/>
      <c r="AK822" s="105"/>
      <c r="AL822" s="105"/>
      <c r="AM822" s="105"/>
      <c r="AN822" s="105"/>
      <c r="AO822" s="105"/>
      <c r="AP822" s="105"/>
      <c r="AQ822" s="105"/>
      <c r="AR822" s="105"/>
      <c r="AS822" s="105"/>
      <c r="AT822" s="105"/>
    </row>
    <row r="823" spans="1:46" hidden="1">
      <c r="A823" s="1"/>
      <c r="B823" s="1"/>
      <c r="C823" s="1"/>
      <c r="D823" s="110" t="s">
        <v>1121</v>
      </c>
      <c r="E823" s="143"/>
      <c r="F823" s="14"/>
      <c r="G823" s="14"/>
      <c r="H823" s="14"/>
      <c r="I823" s="14"/>
      <c r="J823" s="105"/>
      <c r="K823" s="105"/>
      <c r="L823" s="105"/>
      <c r="M823" s="105"/>
      <c r="N823" s="105"/>
      <c r="O823" s="105"/>
      <c r="P823" s="105"/>
      <c r="Q823" s="105"/>
      <c r="R823" s="105"/>
      <c r="S823" s="105"/>
      <c r="T823" s="105"/>
      <c r="U823" s="105"/>
      <c r="V823" s="105"/>
      <c r="W823" s="105"/>
      <c r="X823" s="105"/>
      <c r="Y823" s="105"/>
      <c r="Z823" s="105"/>
      <c r="AA823" s="105"/>
      <c r="AB823" s="105">
        <v>-0.34783849306015213</v>
      </c>
      <c r="AC823" s="105"/>
      <c r="AD823" s="120"/>
      <c r="AE823" s="931"/>
      <c r="AF823" s="105"/>
      <c r="AG823" s="105"/>
      <c r="AH823" s="105"/>
      <c r="AI823" s="105"/>
      <c r="AJ823" s="105"/>
      <c r="AK823" s="105"/>
      <c r="AL823" s="105"/>
      <c r="AM823" s="105"/>
      <c r="AN823" s="105"/>
      <c r="AO823" s="105"/>
      <c r="AP823" s="105"/>
      <c r="AQ823" s="105"/>
      <c r="AR823" s="105"/>
      <c r="AS823" s="105"/>
      <c r="AT823" s="105"/>
    </row>
    <row r="824" spans="1:46" hidden="1">
      <c r="A824" s="1"/>
      <c r="B824" s="1"/>
      <c r="C824" s="1"/>
      <c r="D824" s="108" t="s">
        <v>742</v>
      </c>
      <c r="E824" s="143"/>
      <c r="F824" s="14"/>
      <c r="G824" s="14"/>
      <c r="H824" s="14"/>
      <c r="I824" s="14"/>
      <c r="J824" s="105"/>
      <c r="K824" s="105"/>
      <c r="L824" s="105"/>
      <c r="M824" s="105"/>
      <c r="N824" s="105"/>
      <c r="O824" s="105"/>
      <c r="P824" s="105"/>
      <c r="Q824" s="105"/>
      <c r="R824" s="105"/>
      <c r="S824" s="105"/>
      <c r="T824" s="105"/>
      <c r="U824" s="105"/>
      <c r="V824" s="105"/>
      <c r="W824" s="105"/>
      <c r="X824" s="105"/>
      <c r="Y824" s="105"/>
      <c r="Z824" s="105">
        <v>0.35</v>
      </c>
      <c r="AA824" s="105"/>
      <c r="AB824" s="105">
        <v>0</v>
      </c>
      <c r="AC824" s="105"/>
      <c r="AD824" s="120"/>
      <c r="AE824" s="105"/>
      <c r="AF824" s="105"/>
      <c r="AG824" s="105"/>
      <c r="AH824" s="105"/>
      <c r="AI824" s="105"/>
      <c r="AJ824" s="105"/>
      <c r="AK824" s="105"/>
      <c r="AL824" s="105"/>
      <c r="AM824" s="105"/>
      <c r="AN824" s="105"/>
      <c r="AO824" s="105"/>
      <c r="AP824" s="105"/>
      <c r="AQ824" s="105"/>
      <c r="AR824" s="105"/>
      <c r="AS824" s="105"/>
      <c r="AT824" s="105"/>
    </row>
    <row r="825" spans="1:46" hidden="1">
      <c r="A825" s="1"/>
      <c r="B825" s="1"/>
      <c r="C825" s="1"/>
      <c r="D825" s="107" t="s">
        <v>144</v>
      </c>
      <c r="E825" s="143"/>
      <c r="F825" s="14"/>
      <c r="G825" s="14"/>
      <c r="H825" s="14"/>
      <c r="I825" s="14"/>
      <c r="J825" s="105">
        <v>58.127957459000001</v>
      </c>
      <c r="K825" s="105">
        <v>66.411907459000005</v>
      </c>
      <c r="L825" s="105">
        <v>58.062550000000002</v>
      </c>
      <c r="M825" s="105">
        <v>57.631100000000004</v>
      </c>
      <c r="N825" s="105">
        <v>54.473050000000001</v>
      </c>
      <c r="O825" s="105">
        <v>66.223749999999995</v>
      </c>
      <c r="P825" s="105">
        <v>95.999886279999998</v>
      </c>
      <c r="Q825" s="105">
        <v>118.3417973315</v>
      </c>
      <c r="R825" s="105">
        <v>131.80000000000001</v>
      </c>
      <c r="S825" s="105">
        <v>188.2</v>
      </c>
      <c r="T825" s="105">
        <v>306.7</v>
      </c>
      <c r="U825" s="105">
        <v>316.70000000000005</v>
      </c>
      <c r="V825" s="105">
        <v>438.59208968500002</v>
      </c>
      <c r="W825" s="105">
        <v>482.9</v>
      </c>
      <c r="X825" s="105">
        <v>564.5</v>
      </c>
      <c r="Y825" s="105">
        <v>712.02636734912699</v>
      </c>
      <c r="Z825" s="105">
        <f>+Z826+Z834</f>
        <v>769.8</v>
      </c>
      <c r="AA825" s="105">
        <f>+AA826+AA834</f>
        <v>718.68553264663296</v>
      </c>
      <c r="AB825" s="105">
        <v>759.45977511682895</v>
      </c>
      <c r="AC825" s="105">
        <v>850.21990038716001</v>
      </c>
      <c r="AD825" s="105">
        <f>FISCinyear!IS621</f>
        <v>1071.7092455117818</v>
      </c>
      <c r="AE825" s="105">
        <v>1294.7440302694517</v>
      </c>
      <c r="AF825" s="105">
        <v>1140.4189543084346</v>
      </c>
      <c r="AG825" s="105">
        <f t="shared" ref="AG825:AJ825" si="1132">+AG826+AG834</f>
        <v>1325.0889787253445</v>
      </c>
      <c r="AH825" s="105">
        <f t="shared" si="1132"/>
        <v>1578.9108109260483</v>
      </c>
      <c r="AI825" s="105">
        <f t="shared" si="1132"/>
        <v>1981.2153423350683</v>
      </c>
      <c r="AJ825" s="105">
        <f t="shared" si="1132"/>
        <v>2002.8778257185954</v>
      </c>
      <c r="AK825" s="105"/>
      <c r="AL825" s="105"/>
      <c r="AM825" s="105"/>
      <c r="AN825" s="105"/>
      <c r="AO825" s="105"/>
      <c r="AP825" s="105"/>
      <c r="AQ825" s="105"/>
      <c r="AR825" s="105"/>
      <c r="AS825" s="105"/>
      <c r="AT825" s="105"/>
    </row>
    <row r="826" spans="1:46" hidden="1">
      <c r="A826" s="1"/>
      <c r="B826" s="1"/>
      <c r="C826" s="1"/>
      <c r="D826" s="108" t="s">
        <v>35</v>
      </c>
      <c r="E826" s="143"/>
      <c r="F826" s="14"/>
      <c r="G826" s="14"/>
      <c r="H826" s="14"/>
      <c r="I826" s="14"/>
      <c r="J826" s="105">
        <v>5.2494574590000003</v>
      </c>
      <c r="K826" s="105">
        <v>4.7282574589999999</v>
      </c>
      <c r="L826" s="105">
        <v>2.5838999999999999</v>
      </c>
      <c r="M826" s="105">
        <v>5.3311000000000002</v>
      </c>
      <c r="N826" s="105">
        <v>8.6625499999999995</v>
      </c>
      <c r="O826" s="105">
        <v>18.78745</v>
      </c>
      <c r="P826" s="105">
        <v>30.965399999999999</v>
      </c>
      <c r="Q826" s="105">
        <v>34.845861051499995</v>
      </c>
      <c r="R826" s="105">
        <v>42.5</v>
      </c>
      <c r="S826" s="105">
        <v>87.6</v>
      </c>
      <c r="T826" s="105">
        <v>139.69999999999999</v>
      </c>
      <c r="U826" s="105">
        <v>159.30000000000001</v>
      </c>
      <c r="V826" s="105">
        <v>218.85996</v>
      </c>
      <c r="W826" s="105">
        <v>231.6</v>
      </c>
      <c r="X826" s="105">
        <v>239.4</v>
      </c>
      <c r="Y826" s="105">
        <v>320.153139259</v>
      </c>
      <c r="Z826" s="105">
        <f>0*400.2+388.5</f>
        <v>388.5</v>
      </c>
      <c r="AA826" s="105">
        <f>FISCinyear!IJ622</f>
        <v>446.87751730499997</v>
      </c>
      <c r="AB826" s="105">
        <v>400.977097582</v>
      </c>
      <c r="AC826" s="105">
        <v>463.15948488100003</v>
      </c>
      <c r="AD826" s="652">
        <f>FISCinyear!IS622</f>
        <v>623.70524927800011</v>
      </c>
      <c r="AE826" s="105">
        <v>747.07835400183399</v>
      </c>
      <c r="AF826" s="105">
        <v>545.49045762463243</v>
      </c>
      <c r="AG826" s="105">
        <v>545.49045762463243</v>
      </c>
      <c r="AH826" s="105">
        <f t="shared" ref="AH826:AJ826" si="1133">AG826*(1+AH390)</f>
        <v>742.92896107088768</v>
      </c>
      <c r="AI826" s="105">
        <f t="shared" si="1133"/>
        <v>846.28072413631878</v>
      </c>
      <c r="AJ826" s="105">
        <f t="shared" si="1133"/>
        <v>846.28072413631878</v>
      </c>
      <c r="AK826" s="105"/>
      <c r="AL826" s="105"/>
      <c r="AM826" s="105"/>
      <c r="AN826" s="105"/>
      <c r="AO826" s="105"/>
      <c r="AP826" s="105"/>
      <c r="AQ826" s="105"/>
      <c r="AR826" s="105"/>
      <c r="AS826" s="105"/>
      <c r="AT826" s="105"/>
    </row>
    <row r="827" spans="1:46" hidden="1">
      <c r="A827" s="1"/>
      <c r="B827" s="1"/>
      <c r="C827" s="1"/>
      <c r="D827" s="1072" t="s">
        <v>1180</v>
      </c>
      <c r="E827" s="143"/>
      <c r="F827" s="14"/>
      <c r="G827" s="14"/>
      <c r="H827" s="14"/>
      <c r="I827" s="14"/>
      <c r="J827" s="105"/>
      <c r="K827" s="105"/>
      <c r="L827" s="105"/>
      <c r="M827" s="105"/>
      <c r="N827" s="105"/>
      <c r="O827" s="105"/>
      <c r="P827" s="105"/>
      <c r="Q827" s="105"/>
      <c r="R827" s="105"/>
      <c r="S827" s="105"/>
      <c r="T827" s="105"/>
      <c r="U827" s="105"/>
      <c r="V827" s="105"/>
      <c r="W827" s="105"/>
      <c r="X827" s="105"/>
      <c r="Y827" s="105"/>
      <c r="Z827" s="105"/>
      <c r="AA827" s="105"/>
      <c r="AB827" s="105"/>
      <c r="AC827" s="105">
        <v>13.404034179</v>
      </c>
      <c r="AD827" s="652">
        <f>AG1937</f>
        <v>0</v>
      </c>
      <c r="AE827" s="552">
        <v>9.9</v>
      </c>
      <c r="AF827" s="105">
        <v>12.3</v>
      </c>
      <c r="AG827" s="105">
        <f>AJ1937</f>
        <v>0</v>
      </c>
      <c r="AH827" s="105"/>
      <c r="AI827" s="105"/>
      <c r="AJ827" s="105"/>
      <c r="AK827" s="105"/>
      <c r="AL827" s="105"/>
      <c r="AM827" s="105"/>
      <c r="AN827" s="105"/>
      <c r="AO827" s="105"/>
      <c r="AP827" s="105"/>
      <c r="AQ827" s="105"/>
      <c r="AR827" s="105"/>
      <c r="AS827" s="105"/>
      <c r="AT827" s="105"/>
    </row>
    <row r="828" spans="1:46" ht="16.5" hidden="1">
      <c r="A828" s="1"/>
      <c r="B828" s="1"/>
      <c r="C828" s="1"/>
      <c r="D828" s="1067" t="s">
        <v>2316</v>
      </c>
      <c r="E828" s="143"/>
      <c r="F828" s="14"/>
      <c r="G828" s="14"/>
      <c r="H828" s="14"/>
      <c r="I828" s="14"/>
      <c r="J828" s="105"/>
      <c r="K828" s="105"/>
      <c r="L828" s="105"/>
      <c r="M828" s="105"/>
      <c r="N828" s="105"/>
      <c r="O828" s="105"/>
      <c r="P828" s="105"/>
      <c r="Q828" s="105"/>
      <c r="R828" s="105"/>
      <c r="S828" s="105"/>
      <c r="T828" s="105"/>
      <c r="U828" s="105"/>
      <c r="V828" s="105"/>
      <c r="W828" s="105"/>
      <c r="X828" s="105"/>
      <c r="Y828" s="105"/>
      <c r="Z828" s="105"/>
      <c r="AA828" s="105"/>
      <c r="AB828" s="105"/>
      <c r="AC828" s="105"/>
      <c r="AD828" s="652"/>
      <c r="AE828" s="934">
        <v>40</v>
      </c>
      <c r="AF828" s="105">
        <v>40</v>
      </c>
      <c r="AG828" s="105"/>
      <c r="AH828" s="105"/>
      <c r="AI828" s="105"/>
      <c r="AJ828" s="105"/>
      <c r="AK828" s="105"/>
      <c r="AL828" s="105"/>
      <c r="AM828" s="105"/>
      <c r="AN828" s="105"/>
      <c r="AO828" s="105"/>
      <c r="AP828" s="105"/>
      <c r="AQ828" s="105"/>
      <c r="AR828" s="105"/>
      <c r="AS828" s="105"/>
      <c r="AT828" s="105"/>
    </row>
    <row r="829" spans="1:46" hidden="1">
      <c r="A829" s="1"/>
      <c r="B829" s="1"/>
      <c r="C829" s="1"/>
      <c r="D829" s="109" t="s">
        <v>118</v>
      </c>
      <c r="E829" s="147" t="s">
        <v>221</v>
      </c>
      <c r="F829" s="14"/>
      <c r="G829" s="14"/>
      <c r="H829" s="14"/>
      <c r="I829" s="14"/>
      <c r="J829" s="105"/>
      <c r="K829" s="105"/>
      <c r="L829" s="105"/>
      <c r="M829" s="105"/>
      <c r="N829" s="105"/>
      <c r="O829" s="105"/>
      <c r="P829" s="105"/>
      <c r="Q829" s="105"/>
      <c r="R829" s="105"/>
      <c r="S829" s="105"/>
      <c r="T829" s="105"/>
      <c r="U829" s="105"/>
      <c r="V829" s="105"/>
      <c r="W829" s="105">
        <v>0</v>
      </c>
      <c r="X829" s="105">
        <v>0</v>
      </c>
      <c r="Y829" s="105">
        <v>0</v>
      </c>
      <c r="Z829" s="105">
        <v>0</v>
      </c>
      <c r="AA829" s="105">
        <f>FISCinyear!IJ623</f>
        <v>0</v>
      </c>
      <c r="AB829" s="105">
        <v>0</v>
      </c>
      <c r="AC829" s="105">
        <v>0</v>
      </c>
      <c r="AD829" s="652">
        <v>0</v>
      </c>
      <c r="AE829" s="105">
        <v>0</v>
      </c>
      <c r="AF829" s="105">
        <v>0</v>
      </c>
      <c r="AG829" s="105">
        <v>0</v>
      </c>
      <c r="AH829" s="105"/>
      <c r="AI829" s="105"/>
      <c r="AJ829" s="105"/>
      <c r="AK829" s="105"/>
      <c r="AL829" s="105"/>
      <c r="AM829" s="105"/>
      <c r="AN829" s="105"/>
      <c r="AO829" s="105"/>
      <c r="AP829" s="105"/>
      <c r="AQ829" s="105"/>
      <c r="AR829" s="105"/>
      <c r="AS829" s="105"/>
      <c r="AT829" s="105"/>
    </row>
    <row r="830" spans="1:46" hidden="1">
      <c r="A830" s="1"/>
      <c r="B830" s="1"/>
      <c r="C830" s="1"/>
      <c r="D830" s="110" t="s">
        <v>636</v>
      </c>
      <c r="E830" s="147" t="s">
        <v>221</v>
      </c>
      <c r="F830" s="14"/>
      <c r="G830" s="14"/>
      <c r="H830" s="14"/>
      <c r="I830" s="14"/>
      <c r="J830" s="105"/>
      <c r="K830" s="105"/>
      <c r="L830" s="105"/>
      <c r="M830" s="105"/>
      <c r="N830" s="105"/>
      <c r="O830" s="105"/>
      <c r="P830" s="105"/>
      <c r="Q830" s="105"/>
      <c r="R830" s="105"/>
      <c r="S830" s="105"/>
      <c r="T830" s="105"/>
      <c r="U830" s="105"/>
      <c r="V830" s="105"/>
      <c r="W830" s="105">
        <v>0</v>
      </c>
      <c r="X830" s="105">
        <v>0</v>
      </c>
      <c r="Y830" s="105">
        <v>0</v>
      </c>
      <c r="Z830" s="105">
        <v>0</v>
      </c>
      <c r="AA830" s="105">
        <f>FISCinyear!IJ624</f>
        <v>0</v>
      </c>
      <c r="AB830" s="105">
        <v>0</v>
      </c>
      <c r="AC830" s="105">
        <v>0</v>
      </c>
      <c r="AD830" s="652">
        <v>0</v>
      </c>
      <c r="AE830" s="105">
        <v>0</v>
      </c>
      <c r="AF830" s="105">
        <v>0</v>
      </c>
      <c r="AG830" s="105">
        <v>0</v>
      </c>
      <c r="AH830" s="105"/>
      <c r="AI830" s="105"/>
      <c r="AJ830" s="105"/>
      <c r="AK830" s="105"/>
      <c r="AL830" s="105"/>
      <c r="AM830" s="105"/>
      <c r="AN830" s="105"/>
      <c r="AO830" s="105"/>
      <c r="AP830" s="105"/>
      <c r="AQ830" s="105"/>
      <c r="AR830" s="105"/>
      <c r="AS830" s="105"/>
      <c r="AT830" s="105"/>
    </row>
    <row r="831" spans="1:46" hidden="1">
      <c r="A831" s="1"/>
      <c r="B831" s="1"/>
      <c r="C831" s="1"/>
      <c r="D831" s="110" t="s">
        <v>635</v>
      </c>
      <c r="E831" s="148"/>
      <c r="F831" s="14"/>
      <c r="G831" s="14"/>
      <c r="H831" s="14"/>
      <c r="I831" s="14"/>
      <c r="J831" s="105"/>
      <c r="K831" s="105"/>
      <c r="L831" s="105"/>
      <c r="M831" s="105"/>
      <c r="N831" s="105"/>
      <c r="O831" s="105"/>
      <c r="P831" s="105"/>
      <c r="Q831" s="105"/>
      <c r="R831" s="105"/>
      <c r="S831" s="105"/>
      <c r="T831" s="105"/>
      <c r="U831" s="105"/>
      <c r="V831" s="105"/>
      <c r="W831" s="105">
        <v>0</v>
      </c>
      <c r="X831" s="105">
        <v>0</v>
      </c>
      <c r="Y831" s="105">
        <v>18.866585722</v>
      </c>
      <c r="Z831" s="105">
        <v>20.7</v>
      </c>
      <c r="AA831" s="105">
        <f>FISCinyear!IJ625</f>
        <v>2.9366451320000002</v>
      </c>
      <c r="AB831" s="105">
        <v>0.49947828100000002</v>
      </c>
      <c r="AC831" s="105"/>
      <c r="AD831" s="652"/>
      <c r="AE831" s="105"/>
      <c r="AF831" s="105"/>
      <c r="AG831" s="105"/>
      <c r="AH831" s="105"/>
      <c r="AI831" s="105"/>
      <c r="AJ831" s="105"/>
      <c r="AK831" s="105"/>
      <c r="AL831" s="105"/>
      <c r="AM831" s="105"/>
      <c r="AN831" s="105"/>
      <c r="AO831" s="105"/>
      <c r="AP831" s="105"/>
      <c r="AQ831" s="105"/>
      <c r="AR831" s="105"/>
      <c r="AS831" s="105"/>
      <c r="AT831" s="105"/>
    </row>
    <row r="832" spans="1:46" hidden="1">
      <c r="A832" s="1"/>
      <c r="B832" s="1"/>
      <c r="C832" s="1"/>
      <c r="D832" s="110" t="s">
        <v>634</v>
      </c>
      <c r="E832" s="147" t="s">
        <v>221</v>
      </c>
      <c r="F832" s="14"/>
      <c r="G832" s="14"/>
      <c r="H832" s="14"/>
      <c r="I832" s="14"/>
      <c r="J832" s="105"/>
      <c r="K832" s="105"/>
      <c r="L832" s="105"/>
      <c r="M832" s="105"/>
      <c r="N832" s="105"/>
      <c r="O832" s="105"/>
      <c r="P832" s="105"/>
      <c r="Q832" s="105"/>
      <c r="R832" s="105"/>
      <c r="S832" s="105"/>
      <c r="T832" s="105"/>
      <c r="U832" s="105"/>
      <c r="V832" s="105"/>
      <c r="W832" s="105">
        <v>0</v>
      </c>
      <c r="X832" s="105">
        <v>0</v>
      </c>
      <c r="Y832" s="105">
        <v>0</v>
      </c>
      <c r="Z832" s="105">
        <f>0*80.47+63.1</f>
        <v>63.1</v>
      </c>
      <c r="AA832" s="105">
        <f>FISCinyear!IJ626</f>
        <v>70.382366508050239</v>
      </c>
      <c r="AB832" s="105">
        <v>73.253442643358838</v>
      </c>
      <c r="AC832" s="105">
        <v>73.418348140999996</v>
      </c>
      <c r="AD832" s="652">
        <f>FISCinyear!IS626</f>
        <v>63.033388250000002</v>
      </c>
      <c r="AE832" s="105">
        <v>66.377865530635177</v>
      </c>
      <c r="AF832" s="105">
        <v>68.286440499139502</v>
      </c>
      <c r="AG832" s="105">
        <f t="shared" ref="AG832:AJ832" si="1134">+AG775</f>
        <v>110.6079506639184</v>
      </c>
      <c r="AH832" s="105">
        <f t="shared" si="1134"/>
        <v>82.813690429253739</v>
      </c>
      <c r="AI832" s="105">
        <f t="shared" si="1134"/>
        <v>87.394331896812545</v>
      </c>
      <c r="AJ832" s="105">
        <f t="shared" si="1134"/>
        <v>84.358973589135331</v>
      </c>
      <c r="AK832" s="105"/>
      <c r="AL832" s="105"/>
      <c r="AM832" s="105"/>
      <c r="AN832" s="105"/>
      <c r="AO832" s="105"/>
      <c r="AP832" s="105"/>
      <c r="AQ832" s="105"/>
      <c r="AR832" s="105"/>
      <c r="AS832" s="105"/>
      <c r="AT832" s="105"/>
    </row>
    <row r="833" spans="1:46" hidden="1">
      <c r="A833" s="1"/>
      <c r="B833" s="1"/>
      <c r="C833" s="1"/>
      <c r="D833" s="110" t="s">
        <v>633</v>
      </c>
      <c r="E833" s="147" t="s">
        <v>221</v>
      </c>
      <c r="F833" s="14"/>
      <c r="G833" s="14"/>
      <c r="H833" s="14"/>
      <c r="I833" s="14"/>
      <c r="J833" s="105"/>
      <c r="K833" s="105"/>
      <c r="L833" s="105"/>
      <c r="M833" s="105"/>
      <c r="N833" s="105"/>
      <c r="O833" s="105"/>
      <c r="P833" s="105"/>
      <c r="Q833" s="105"/>
      <c r="R833" s="105"/>
      <c r="S833" s="105"/>
      <c r="T833" s="105"/>
      <c r="U833" s="105"/>
      <c r="V833" s="105"/>
      <c r="W833" s="105"/>
      <c r="X833" s="105"/>
      <c r="Y833" s="105">
        <v>22.327805478000002</v>
      </c>
      <c r="Z833" s="105">
        <v>11.2</v>
      </c>
      <c r="AA833" s="105">
        <f>FISCinyear!IJ627</f>
        <v>10.220755499999999</v>
      </c>
      <c r="AB833" s="105">
        <v>0</v>
      </c>
      <c r="AC833" s="105"/>
      <c r="AD833" s="652"/>
      <c r="AE833" s="105"/>
      <c r="AF833" s="105"/>
      <c r="AG833" s="105"/>
      <c r="AH833" s="105"/>
      <c r="AI833" s="105"/>
      <c r="AJ833" s="105"/>
      <c r="AK833" s="105"/>
      <c r="AL833" s="105"/>
      <c r="AM833" s="105"/>
      <c r="AN833" s="105"/>
      <c r="AO833" s="105"/>
      <c r="AP833" s="105"/>
      <c r="AQ833" s="105"/>
      <c r="AR833" s="105"/>
      <c r="AS833" s="105"/>
      <c r="AT833" s="105"/>
    </row>
    <row r="834" spans="1:46" hidden="1">
      <c r="A834" s="1"/>
      <c r="B834" s="1"/>
      <c r="C834" s="1"/>
      <c r="D834" s="108" t="s">
        <v>145</v>
      </c>
      <c r="E834" s="143"/>
      <c r="F834" s="14"/>
      <c r="G834" s="14"/>
      <c r="H834" s="14"/>
      <c r="I834" s="14"/>
      <c r="J834" s="105">
        <v>52.878500000000003</v>
      </c>
      <c r="K834" s="105">
        <v>61.68365</v>
      </c>
      <c r="L834" s="105">
        <v>55.478650000000002</v>
      </c>
      <c r="M834" s="105">
        <v>52.3</v>
      </c>
      <c r="N834" s="105">
        <v>45.810499999999998</v>
      </c>
      <c r="O834" s="105">
        <v>47.436300000000003</v>
      </c>
      <c r="P834" s="105">
        <v>65.034486279999996</v>
      </c>
      <c r="Q834" s="105">
        <v>83.495936279999995</v>
      </c>
      <c r="R834" s="105">
        <v>89.3</v>
      </c>
      <c r="S834" s="105">
        <v>100.6</v>
      </c>
      <c r="T834" s="105">
        <v>167</v>
      </c>
      <c r="U834" s="105">
        <v>157.4</v>
      </c>
      <c r="V834" s="105">
        <v>219.73212968499999</v>
      </c>
      <c r="W834" s="105">
        <v>251.3</v>
      </c>
      <c r="X834" s="105">
        <v>325.10000000000002</v>
      </c>
      <c r="Y834" s="105">
        <v>391.87322809012699</v>
      </c>
      <c r="Z834" s="548">
        <f>0*349.67+381.3</f>
        <v>381.3</v>
      </c>
      <c r="AA834" s="548">
        <f>FISCinyear!IJ628</f>
        <v>271.80801534163299</v>
      </c>
      <c r="AB834" s="548">
        <v>341.28394350782901</v>
      </c>
      <c r="AC834" s="548">
        <v>387.06041550615998</v>
      </c>
      <c r="AD834" s="652">
        <f>FISCinyear!IS628</f>
        <v>448.00399623378166</v>
      </c>
      <c r="AE834" s="105">
        <v>547.66567626761776</v>
      </c>
      <c r="AF834" s="548">
        <v>594.92849668380222</v>
      </c>
      <c r="AG834" s="105">
        <f t="shared" ref="AG834:AJ834" si="1135">+AG780+AG894</f>
        <v>779.59852110071211</v>
      </c>
      <c r="AH834" s="548">
        <f t="shared" si="1135"/>
        <v>835.98184985516059</v>
      </c>
      <c r="AI834" s="548">
        <f t="shared" si="1135"/>
        <v>1134.9346181987496</v>
      </c>
      <c r="AJ834" s="105">
        <f t="shared" si="1135"/>
        <v>1156.5971015822768</v>
      </c>
      <c r="AK834" s="105"/>
      <c r="AL834" s="105"/>
      <c r="AM834" s="105"/>
      <c r="AN834" s="105"/>
      <c r="AO834" s="105"/>
      <c r="AP834" s="105"/>
      <c r="AQ834" s="105"/>
      <c r="AR834" s="105"/>
      <c r="AS834" s="105"/>
      <c r="AT834" s="105"/>
    </row>
    <row r="835" spans="1:46" hidden="1">
      <c r="A835" s="1"/>
      <c r="B835" s="1"/>
      <c r="C835" s="1"/>
      <c r="D835" s="656" t="str">
        <f>+D781</f>
        <v xml:space="preserve">   of which: project grants through government 'own' accounts</v>
      </c>
      <c r="E835" s="143"/>
      <c r="F835" s="14"/>
      <c r="G835" s="14"/>
      <c r="H835" s="14"/>
      <c r="I835" s="14"/>
      <c r="J835" s="105"/>
      <c r="K835" s="105"/>
      <c r="L835" s="105"/>
      <c r="M835" s="105"/>
      <c r="N835" s="105"/>
      <c r="O835" s="105"/>
      <c r="P835" s="105"/>
      <c r="Q835" s="105"/>
      <c r="R835" s="105"/>
      <c r="S835" s="105"/>
      <c r="T835" s="105"/>
      <c r="U835" s="105"/>
      <c r="V835" s="105"/>
      <c r="W835" s="105"/>
      <c r="X835" s="105"/>
      <c r="Y835" s="105"/>
      <c r="Z835" s="105"/>
      <c r="AA835" s="105"/>
      <c r="AB835" s="105">
        <v>0</v>
      </c>
      <c r="AC835" s="105"/>
      <c r="AD835" s="549"/>
      <c r="AE835" s="548"/>
      <c r="AF835" s="548"/>
      <c r="AG835" s="548"/>
      <c r="AH835" s="548"/>
      <c r="AI835" s="548"/>
      <c r="AJ835" s="548"/>
      <c r="AK835" s="548"/>
      <c r="AL835" s="548"/>
      <c r="AM835" s="548"/>
      <c r="AN835" s="548"/>
      <c r="AO835" s="548"/>
      <c r="AP835" s="548"/>
      <c r="AQ835" s="548"/>
      <c r="AR835" s="548"/>
      <c r="AS835" s="548"/>
      <c r="AT835" s="548"/>
    </row>
    <row r="836" spans="1:46" hidden="1">
      <c r="A836" s="1"/>
      <c r="B836" s="1"/>
      <c r="C836" s="1"/>
      <c r="D836" s="656" t="str">
        <f>+D782</f>
        <v xml:space="preserve">                    project grants through government 'donor' accounts</v>
      </c>
      <c r="E836" s="143"/>
      <c r="F836" s="14"/>
      <c r="G836" s="14"/>
      <c r="H836" s="14"/>
      <c r="I836" s="14"/>
      <c r="J836" s="105"/>
      <c r="K836" s="105"/>
      <c r="L836" s="105"/>
      <c r="M836" s="105"/>
      <c r="N836" s="105"/>
      <c r="O836" s="105"/>
      <c r="P836" s="105"/>
      <c r="Q836" s="105"/>
      <c r="R836" s="105"/>
      <c r="S836" s="105"/>
      <c r="T836" s="105"/>
      <c r="U836" s="105"/>
      <c r="V836" s="105"/>
      <c r="W836" s="105"/>
      <c r="X836" s="105"/>
      <c r="Y836" s="105"/>
      <c r="Z836" s="105"/>
      <c r="AA836" s="105"/>
      <c r="AB836" s="105">
        <v>0</v>
      </c>
      <c r="AC836" s="105"/>
      <c r="AD836" s="549"/>
      <c r="AE836" s="548"/>
      <c r="AF836" s="548"/>
      <c r="AG836" s="548"/>
      <c r="AH836" s="548"/>
      <c r="AI836" s="548"/>
      <c r="AJ836" s="548"/>
      <c r="AK836" s="548"/>
      <c r="AL836" s="548"/>
      <c r="AM836" s="548"/>
      <c r="AN836" s="548"/>
      <c r="AO836" s="548"/>
      <c r="AP836" s="548"/>
      <c r="AQ836" s="548"/>
      <c r="AR836" s="548"/>
      <c r="AS836" s="548"/>
      <c r="AT836" s="548"/>
    </row>
    <row r="837" spans="1:46" hidden="1">
      <c r="A837" s="1"/>
      <c r="B837" s="1"/>
      <c r="C837" s="1"/>
      <c r="D837" s="110" t="s">
        <v>634</v>
      </c>
      <c r="E837" s="147" t="s">
        <v>221</v>
      </c>
      <c r="F837" s="14"/>
      <c r="G837" s="14"/>
      <c r="H837" s="14"/>
      <c r="I837" s="14"/>
      <c r="J837" s="105"/>
      <c r="K837" s="105"/>
      <c r="L837" s="105"/>
      <c r="M837" s="105"/>
      <c r="N837" s="105"/>
      <c r="O837" s="105"/>
      <c r="P837" s="105"/>
      <c r="Q837" s="105"/>
      <c r="R837" s="105"/>
      <c r="S837" s="105"/>
      <c r="T837" s="105"/>
      <c r="U837" s="105"/>
      <c r="V837" s="105"/>
      <c r="W837" s="105">
        <v>0</v>
      </c>
      <c r="X837" s="105">
        <v>82.6</v>
      </c>
      <c r="Y837" s="105">
        <v>92.673869246568955</v>
      </c>
      <c r="Z837" s="105">
        <v>0</v>
      </c>
      <c r="AA837" s="105">
        <f>FISCinyear!IJ631</f>
        <v>0</v>
      </c>
      <c r="AB837" s="105">
        <v>0</v>
      </c>
      <c r="AC837" s="105">
        <v>0</v>
      </c>
      <c r="AD837" s="652">
        <v>0</v>
      </c>
      <c r="AE837" s="105">
        <v>0</v>
      </c>
      <c r="AF837" s="105">
        <v>0</v>
      </c>
      <c r="AG837" s="105">
        <v>0</v>
      </c>
      <c r="AH837" s="105"/>
      <c r="AI837" s="105"/>
      <c r="AJ837" s="105"/>
      <c r="AK837" s="105"/>
      <c r="AL837" s="105"/>
      <c r="AM837" s="105"/>
      <c r="AN837" s="105"/>
      <c r="AO837" s="105"/>
      <c r="AP837" s="105"/>
      <c r="AQ837" s="105"/>
      <c r="AR837" s="105"/>
      <c r="AS837" s="105"/>
      <c r="AT837" s="105"/>
    </row>
    <row r="838" spans="1:46" hidden="1">
      <c r="A838" s="1"/>
      <c r="B838" s="1"/>
      <c r="C838" s="1"/>
      <c r="D838" s="110" t="s">
        <v>637</v>
      </c>
      <c r="E838" s="151" t="s">
        <v>222</v>
      </c>
      <c r="F838" s="14"/>
      <c r="G838" s="14"/>
      <c r="H838" s="14"/>
      <c r="I838" s="14"/>
      <c r="J838" s="105"/>
      <c r="K838" s="105"/>
      <c r="L838" s="105"/>
      <c r="M838" s="105"/>
      <c r="N838" s="105"/>
      <c r="O838" s="105"/>
      <c r="P838" s="105"/>
      <c r="Q838" s="105"/>
      <c r="R838" s="105"/>
      <c r="S838" s="105"/>
      <c r="T838" s="105"/>
      <c r="U838" s="105"/>
      <c r="V838" s="105"/>
      <c r="W838" s="105">
        <v>0</v>
      </c>
      <c r="X838" s="105">
        <v>0</v>
      </c>
      <c r="Y838" s="105">
        <v>0</v>
      </c>
      <c r="Z838" s="105"/>
      <c r="AA838" s="105">
        <f>FISCinyear!IJ632</f>
        <v>0</v>
      </c>
      <c r="AB838" s="105">
        <v>0</v>
      </c>
      <c r="AC838" s="105">
        <v>0</v>
      </c>
      <c r="AD838" s="652">
        <v>0</v>
      </c>
      <c r="AE838" s="105">
        <v>0</v>
      </c>
      <c r="AF838" s="105">
        <v>0</v>
      </c>
      <c r="AG838" s="105">
        <v>0</v>
      </c>
      <c r="AH838" s="105"/>
      <c r="AI838" s="105"/>
      <c r="AJ838" s="105"/>
      <c r="AK838" s="105"/>
      <c r="AL838" s="105"/>
      <c r="AM838" s="105"/>
      <c r="AN838" s="105"/>
      <c r="AO838" s="105"/>
      <c r="AP838" s="105"/>
      <c r="AQ838" s="105"/>
      <c r="AR838" s="105"/>
      <c r="AS838" s="105"/>
      <c r="AT838" s="105"/>
    </row>
    <row r="839" spans="1:46" hidden="1">
      <c r="A839" s="1"/>
      <c r="B839" s="1"/>
      <c r="C839" s="1"/>
      <c r="D839" s="110" t="s">
        <v>633</v>
      </c>
      <c r="E839" s="151" t="s">
        <v>222</v>
      </c>
      <c r="F839" s="14"/>
      <c r="G839" s="14"/>
      <c r="H839" s="14"/>
      <c r="I839" s="14"/>
      <c r="J839" s="105"/>
      <c r="K839" s="105"/>
      <c r="L839" s="105"/>
      <c r="M839" s="105"/>
      <c r="N839" s="105"/>
      <c r="O839" s="105"/>
      <c r="P839" s="105"/>
      <c r="Q839" s="105"/>
      <c r="R839" s="105"/>
      <c r="S839" s="105"/>
      <c r="T839" s="105"/>
      <c r="U839" s="105"/>
      <c r="V839" s="105"/>
      <c r="W839" s="105">
        <v>0</v>
      </c>
      <c r="X839" s="105">
        <v>0</v>
      </c>
      <c r="Y839" s="105">
        <v>0</v>
      </c>
      <c r="Z839" s="105"/>
      <c r="AA839" s="105">
        <f>FISCinyear!IJ633</f>
        <v>0</v>
      </c>
      <c r="AB839" s="105">
        <v>0</v>
      </c>
      <c r="AC839" s="105">
        <v>0</v>
      </c>
      <c r="AD839" s="652">
        <v>0</v>
      </c>
      <c r="AE839" s="105">
        <v>0</v>
      </c>
      <c r="AF839" s="105">
        <v>0</v>
      </c>
      <c r="AG839" s="105">
        <v>0</v>
      </c>
      <c r="AH839" s="105"/>
      <c r="AI839" s="105"/>
      <c r="AJ839" s="105"/>
      <c r="AK839" s="105"/>
      <c r="AL839" s="105"/>
      <c r="AM839" s="105"/>
      <c r="AN839" s="105"/>
      <c r="AO839" s="105"/>
      <c r="AP839" s="105"/>
      <c r="AQ839" s="105"/>
      <c r="AR839" s="105"/>
      <c r="AS839" s="105"/>
      <c r="AT839" s="105"/>
    </row>
    <row r="840" spans="1:46" hidden="1">
      <c r="A840" s="1"/>
      <c r="B840" s="1"/>
      <c r="C840" s="1"/>
      <c r="D840" s="110" t="s">
        <v>638</v>
      </c>
      <c r="E840" s="151" t="s">
        <v>222</v>
      </c>
      <c r="F840" s="14"/>
      <c r="G840" s="14"/>
      <c r="H840" s="14"/>
      <c r="I840" s="14"/>
      <c r="J840" s="105"/>
      <c r="K840" s="105"/>
      <c r="L840" s="105"/>
      <c r="M840" s="105"/>
      <c r="N840" s="105"/>
      <c r="O840" s="105"/>
      <c r="P840" s="105"/>
      <c r="Q840" s="105"/>
      <c r="R840" s="105"/>
      <c r="S840" s="105"/>
      <c r="T840" s="105"/>
      <c r="U840" s="105"/>
      <c r="V840" s="105"/>
      <c r="W840" s="105">
        <v>0</v>
      </c>
      <c r="X840" s="105">
        <v>25.9</v>
      </c>
      <c r="Y840" s="105">
        <v>0</v>
      </c>
      <c r="Z840" s="105">
        <v>41</v>
      </c>
      <c r="AA840" s="105">
        <f>FISCinyear!IJ634</f>
        <v>0</v>
      </c>
      <c r="AB840" s="105">
        <v>0</v>
      </c>
      <c r="AC840" s="105">
        <v>48</v>
      </c>
      <c r="AD840" s="652">
        <f>AG1940</f>
        <v>0</v>
      </c>
      <c r="AE840" s="105">
        <v>16.604127645284251</v>
      </c>
      <c r="AF840" s="105">
        <v>6.7554251173838518</v>
      </c>
      <c r="AG840" s="105">
        <f>AJ1940</f>
        <v>0</v>
      </c>
      <c r="AH840" s="105"/>
      <c r="AI840" s="105"/>
      <c r="AJ840" s="105"/>
      <c r="AK840" s="105"/>
      <c r="AL840" s="105"/>
      <c r="AM840" s="105"/>
      <c r="AN840" s="105"/>
      <c r="AO840" s="105"/>
      <c r="AP840" s="105"/>
      <c r="AQ840" s="105"/>
      <c r="AR840" s="105"/>
      <c r="AS840" s="105"/>
      <c r="AT840" s="105"/>
    </row>
    <row r="841" spans="1:46" hidden="1">
      <c r="A841" s="1"/>
      <c r="B841" s="1"/>
      <c r="C841" s="1"/>
      <c r="D841" s="1073" t="s">
        <v>1143</v>
      </c>
      <c r="E841" s="151"/>
      <c r="F841" s="14"/>
      <c r="G841" s="14"/>
      <c r="H841" s="14"/>
      <c r="I841" s="14"/>
      <c r="J841" s="105"/>
      <c r="K841" s="105"/>
      <c r="L841" s="105"/>
      <c r="M841" s="105"/>
      <c r="N841" s="105"/>
      <c r="O841" s="105"/>
      <c r="P841" s="105"/>
      <c r="Q841" s="105"/>
      <c r="R841" s="105"/>
      <c r="S841" s="105"/>
      <c r="T841" s="105"/>
      <c r="U841" s="105"/>
      <c r="V841" s="105"/>
      <c r="W841" s="105"/>
      <c r="X841" s="105"/>
      <c r="Y841" s="105"/>
      <c r="Z841" s="105"/>
      <c r="AA841" s="105"/>
      <c r="AB841" s="105"/>
      <c r="AC841" s="105">
        <v>0</v>
      </c>
      <c r="AD841" s="676">
        <f>AG1940</f>
        <v>0</v>
      </c>
      <c r="AE841" s="105">
        <v>16.604127645284251</v>
      </c>
      <c r="AF841" s="105">
        <v>6.7554251173838518</v>
      </c>
      <c r="AG841" s="105">
        <v>4.0339999999999998</v>
      </c>
      <c r="AH841" s="105">
        <v>4.0339999999999998</v>
      </c>
      <c r="AI841" s="105"/>
      <c r="AJ841" s="105"/>
      <c r="AK841" s="105"/>
      <c r="AL841" s="105"/>
      <c r="AM841" s="105"/>
      <c r="AN841" s="105"/>
      <c r="AO841" s="105"/>
      <c r="AP841" s="105"/>
      <c r="AQ841" s="105"/>
      <c r="AR841" s="105"/>
      <c r="AS841" s="105"/>
      <c r="AT841" s="105"/>
    </row>
    <row r="842" spans="1:46" hidden="1">
      <c r="A842" s="1"/>
      <c r="B842" s="1"/>
      <c r="C842" s="1"/>
      <c r="D842" s="107" t="s">
        <v>146</v>
      </c>
      <c r="E842" s="147"/>
      <c r="F842" s="14"/>
      <c r="G842" s="14"/>
      <c r="H842" s="14"/>
      <c r="I842" s="14"/>
      <c r="J842" s="105">
        <v>0.16949999999999998</v>
      </c>
      <c r="K842" s="105">
        <v>0.48709999999999998</v>
      </c>
      <c r="L842" s="105">
        <v>0.55084999999999995</v>
      </c>
      <c r="M842" s="105">
        <v>0.60034999999999994</v>
      </c>
      <c r="N842" s="105">
        <v>1.4128000000000001</v>
      </c>
      <c r="O842" s="105">
        <v>11.92145</v>
      </c>
      <c r="P842" s="105">
        <v>13.958591066499999</v>
      </c>
      <c r="Q842" s="105">
        <v>7.9658410664999995</v>
      </c>
      <c r="R842" s="105">
        <v>15.9</v>
      </c>
      <c r="S842" s="105">
        <v>-15.4</v>
      </c>
      <c r="T842" s="105">
        <v>22.9</v>
      </c>
      <c r="U842" s="105">
        <v>28.2</v>
      </c>
      <c r="V842" s="105">
        <v>18.70073</v>
      </c>
      <c r="W842" s="105">
        <v>1.1000000000000001</v>
      </c>
      <c r="X842" s="105">
        <v>137.20000000000002</v>
      </c>
      <c r="Y842" s="105">
        <v>50.219554702997584</v>
      </c>
      <c r="Z842" s="105">
        <f>0*102.7+SUM(Z843:Z859)</f>
        <v>116.19999999999999</v>
      </c>
      <c r="AA842" s="105">
        <f>+SUM(AA843:AA859)</f>
        <v>88.421881023999987</v>
      </c>
      <c r="AB842" s="105">
        <v>113.83692121199999</v>
      </c>
      <c r="AC842" s="105">
        <v>160.04261622299998</v>
      </c>
      <c r="AD842" s="105">
        <f>+SUM(AD843:AD859)</f>
        <v>195.14388571000001</v>
      </c>
      <c r="AE842" s="142">
        <v>400.02419062033982</v>
      </c>
      <c r="AF842" s="142">
        <v>299.79698138730896</v>
      </c>
      <c r="AG842" s="142">
        <f t="shared" ref="AG842:AJ842" si="1136">+SUM(AG844:AG859)</f>
        <v>273.13898650499351</v>
      </c>
      <c r="AH842" s="142">
        <f t="shared" si="1136"/>
        <v>299.12362381724523</v>
      </c>
      <c r="AI842" s="142">
        <f t="shared" si="1136"/>
        <v>263.4283596288397</v>
      </c>
      <c r="AJ842" s="142">
        <f t="shared" si="1136"/>
        <v>20.429179814419857</v>
      </c>
      <c r="AK842" s="142"/>
      <c r="AL842" s="142"/>
      <c r="AM842" s="142"/>
      <c r="AN842" s="142"/>
      <c r="AO842" s="142"/>
      <c r="AP842" s="142"/>
      <c r="AQ842" s="142"/>
      <c r="AR842" s="142"/>
      <c r="AS842" s="142"/>
      <c r="AT842" s="142"/>
    </row>
    <row r="843" spans="1:46" hidden="1">
      <c r="A843" s="1"/>
      <c r="B843" s="1"/>
      <c r="C843" s="1"/>
      <c r="D843" s="108" t="s">
        <v>1214</v>
      </c>
      <c r="E843" s="147" t="str">
        <f>+E837</f>
        <v>needed?</v>
      </c>
      <c r="F843" s="14"/>
      <c r="G843" s="14"/>
      <c r="H843" s="14"/>
      <c r="I843" s="14"/>
      <c r="J843" s="105"/>
      <c r="K843" s="105"/>
      <c r="L843" s="105"/>
      <c r="M843" s="105"/>
      <c r="N843" s="105"/>
      <c r="O843" s="105"/>
      <c r="P843" s="105"/>
      <c r="Q843" s="105"/>
      <c r="R843" s="105"/>
      <c r="S843" s="105"/>
      <c r="T843" s="105"/>
      <c r="U843" s="105"/>
      <c r="V843" s="105"/>
      <c r="W843" s="105"/>
      <c r="X843" s="105"/>
      <c r="Y843" s="105"/>
      <c r="Z843" s="105">
        <v>23</v>
      </c>
      <c r="AA843" s="105">
        <f>FISCinyear!IJ636</f>
        <v>3</v>
      </c>
      <c r="AB843" s="105">
        <v>2.15</v>
      </c>
      <c r="AC843" s="105"/>
      <c r="AD843" s="652">
        <f>FISCinyear!IS636</f>
        <v>3.06</v>
      </c>
      <c r="AE843" s="105"/>
      <c r="AF843" s="105"/>
      <c r="AG843" s="105"/>
      <c r="AH843" s="105"/>
      <c r="AI843" s="105"/>
      <c r="AJ843" s="105"/>
      <c r="AK843" s="105"/>
      <c r="AL843" s="105"/>
      <c r="AM843" s="105"/>
      <c r="AN843" s="105"/>
      <c r="AO843" s="105"/>
      <c r="AP843" s="105"/>
      <c r="AQ843" s="105"/>
      <c r="AR843" s="105"/>
      <c r="AS843" s="105"/>
      <c r="AT843" s="105"/>
    </row>
    <row r="844" spans="1:46" hidden="1">
      <c r="A844" s="1"/>
      <c r="B844" s="1"/>
      <c r="C844" s="1"/>
      <c r="D844" s="1120" t="s">
        <v>1201</v>
      </c>
      <c r="E844" s="147"/>
      <c r="F844" s="14"/>
      <c r="G844" s="14"/>
      <c r="H844" s="14"/>
      <c r="I844" s="14"/>
      <c r="J844" s="105"/>
      <c r="K844" s="105"/>
      <c r="L844" s="105"/>
      <c r="M844" s="105"/>
      <c r="N844" s="105"/>
      <c r="O844" s="105"/>
      <c r="P844" s="105"/>
      <c r="Q844" s="105"/>
      <c r="R844" s="105"/>
      <c r="S844" s="105"/>
      <c r="T844" s="105"/>
      <c r="U844" s="105"/>
      <c r="V844" s="105"/>
      <c r="W844" s="105">
        <v>0</v>
      </c>
      <c r="X844" s="105">
        <v>0</v>
      </c>
      <c r="Y844" s="105">
        <v>1.5471047029975811</v>
      </c>
      <c r="Z844" s="105">
        <f>0*1.169+1.6</f>
        <v>1.6</v>
      </c>
      <c r="AA844" s="105">
        <f>FISCinyear!IJ637</f>
        <v>1.7461280180000001</v>
      </c>
      <c r="AB844" s="105">
        <v>2.5751055630000002</v>
      </c>
      <c r="AC844" s="105">
        <v>2.8757046859999997</v>
      </c>
      <c r="AD844" s="652">
        <v>0</v>
      </c>
      <c r="AE844" s="105">
        <v>80</v>
      </c>
      <c r="AF844" s="105">
        <v>0</v>
      </c>
      <c r="AG844" s="105">
        <f>AJ1944</f>
        <v>0</v>
      </c>
      <c r="AH844" s="105"/>
      <c r="AI844" s="105"/>
      <c r="AJ844" s="105"/>
      <c r="AK844" s="105"/>
      <c r="AL844" s="105"/>
      <c r="AM844" s="105"/>
      <c r="AN844" s="105"/>
      <c r="AO844" s="105"/>
      <c r="AP844" s="105"/>
      <c r="AQ844" s="105"/>
      <c r="AR844" s="105"/>
      <c r="AS844" s="105"/>
      <c r="AT844" s="105"/>
    </row>
    <row r="845" spans="1:46" hidden="1">
      <c r="A845" s="1"/>
      <c r="B845" s="1"/>
      <c r="C845" s="1"/>
      <c r="D845" s="110" t="s">
        <v>147</v>
      </c>
      <c r="E845" s="147"/>
      <c r="F845" s="14"/>
      <c r="G845" s="14"/>
      <c r="H845" s="14"/>
      <c r="I845" s="14"/>
      <c r="J845" s="105"/>
      <c r="K845" s="105"/>
      <c r="L845" s="105"/>
      <c r="M845" s="105"/>
      <c r="N845" s="105"/>
      <c r="O845" s="105"/>
      <c r="P845" s="105"/>
      <c r="Q845" s="105"/>
      <c r="R845" s="105"/>
      <c r="S845" s="105"/>
      <c r="T845" s="105"/>
      <c r="U845" s="105"/>
      <c r="V845" s="105"/>
      <c r="W845" s="105">
        <v>0</v>
      </c>
      <c r="X845" s="105">
        <v>1</v>
      </c>
      <c r="Y845" s="105">
        <v>0</v>
      </c>
      <c r="Z845" s="105">
        <f>0*2</f>
        <v>0</v>
      </c>
      <c r="AA845" s="105">
        <f>FISCinyear!IJ638</f>
        <v>0</v>
      </c>
      <c r="AB845" s="105">
        <v>0</v>
      </c>
      <c r="AC845" s="105">
        <v>0</v>
      </c>
      <c r="AD845" s="652">
        <f>FISCinyear!IS638</f>
        <v>0</v>
      </c>
      <c r="AE845" s="105">
        <v>0</v>
      </c>
      <c r="AF845" s="105">
        <v>0</v>
      </c>
      <c r="AG845" s="105">
        <f>AJ1945</f>
        <v>0</v>
      </c>
      <c r="AH845" s="105">
        <v>0</v>
      </c>
      <c r="AI845" s="105">
        <v>0</v>
      </c>
      <c r="AJ845" s="105">
        <v>0</v>
      </c>
      <c r="AK845" s="105"/>
      <c r="AL845" s="105"/>
      <c r="AM845" s="105"/>
      <c r="AN845" s="105"/>
      <c r="AO845" s="105"/>
      <c r="AP845" s="105"/>
      <c r="AQ845" s="105"/>
      <c r="AR845" s="105"/>
      <c r="AS845" s="105"/>
      <c r="AT845" s="105"/>
    </row>
    <row r="846" spans="1:46" hidden="1">
      <c r="A846" s="1"/>
      <c r="B846" s="1"/>
      <c r="C846" s="1"/>
      <c r="D846" s="110" t="s">
        <v>148</v>
      </c>
      <c r="E846" s="147"/>
      <c r="F846" s="14"/>
      <c r="G846" s="14"/>
      <c r="H846" s="14"/>
      <c r="I846" s="14"/>
      <c r="J846" s="105"/>
      <c r="K846" s="105"/>
      <c r="L846" s="105"/>
      <c r="M846" s="105"/>
      <c r="N846" s="105"/>
      <c r="O846" s="105"/>
      <c r="P846" s="105"/>
      <c r="Q846" s="105"/>
      <c r="R846" s="105"/>
      <c r="S846" s="105"/>
      <c r="T846" s="105"/>
      <c r="U846" s="105"/>
      <c r="V846" s="105"/>
      <c r="W846" s="105">
        <v>0</v>
      </c>
      <c r="X846" s="105">
        <v>27</v>
      </c>
      <c r="Y846" s="105">
        <v>31.426778254999999</v>
      </c>
      <c r="Z846" s="105">
        <f>0*33.637+36</f>
        <v>36</v>
      </c>
      <c r="AA846" s="105">
        <f>FISCinyear!IJ639</f>
        <v>40.091221955999998</v>
      </c>
      <c r="AB846" s="105">
        <v>80.861739053000008</v>
      </c>
      <c r="AC846" s="105">
        <v>95.282056964999995</v>
      </c>
      <c r="AD846" s="652">
        <f>FISCinyear!IS639</f>
        <v>117.83587177299999</v>
      </c>
      <c r="AE846" s="1063">
        <v>139.844578902926</v>
      </c>
      <c r="AF846" s="105">
        <v>145.08552917251436</v>
      </c>
      <c r="AG846" s="105">
        <f t="shared" ref="AG846:AJ846" si="1137">+AG397</f>
        <v>139.844578902926</v>
      </c>
      <c r="AH846" s="105">
        <f t="shared" si="1137"/>
        <v>189.6</v>
      </c>
      <c r="AI846" s="105">
        <f t="shared" si="1137"/>
        <v>222.57</v>
      </c>
      <c r="AJ846" s="105">
        <f t="shared" si="1137"/>
        <v>0</v>
      </c>
      <c r="AK846" s="105"/>
      <c r="AL846" s="105"/>
      <c r="AM846" s="105"/>
      <c r="AN846" s="105"/>
      <c r="AO846" s="105"/>
      <c r="AP846" s="105"/>
      <c r="AQ846" s="105"/>
      <c r="AR846" s="105"/>
      <c r="AS846" s="105"/>
      <c r="AT846" s="105"/>
    </row>
    <row r="847" spans="1:46" hidden="1">
      <c r="A847" s="1"/>
      <c r="B847" s="1"/>
      <c r="C847" s="1"/>
      <c r="D847" s="110" t="s">
        <v>611</v>
      </c>
      <c r="E847" s="147"/>
      <c r="F847" s="14"/>
      <c r="G847" s="14"/>
      <c r="H847" s="14"/>
      <c r="I847" s="14"/>
      <c r="J847" s="105"/>
      <c r="K847" s="105"/>
      <c r="L847" s="105"/>
      <c r="M847" s="105"/>
      <c r="N847" s="105"/>
      <c r="O847" s="105"/>
      <c r="P847" s="105"/>
      <c r="Q847" s="105"/>
      <c r="R847" s="105"/>
      <c r="S847" s="105"/>
      <c r="T847" s="105"/>
      <c r="U847" s="105"/>
      <c r="V847" s="105"/>
      <c r="W847" s="105">
        <v>0</v>
      </c>
      <c r="X847" s="105">
        <v>0</v>
      </c>
      <c r="Y847" s="105">
        <v>-32.5</v>
      </c>
      <c r="Z847" s="105">
        <v>0</v>
      </c>
      <c r="AA847" s="105">
        <f>FISCinyear!IJ640</f>
        <v>0</v>
      </c>
      <c r="AB847" s="105">
        <v>0</v>
      </c>
      <c r="AC847" s="105">
        <v>0</v>
      </c>
      <c r="AD847" s="652">
        <v>0</v>
      </c>
      <c r="AE847" s="105">
        <v>0</v>
      </c>
      <c r="AF847" s="105">
        <v>0</v>
      </c>
      <c r="AG847" s="105">
        <v>0</v>
      </c>
      <c r="AH847" s="105">
        <v>0</v>
      </c>
      <c r="AI847" s="105">
        <v>0</v>
      </c>
      <c r="AJ847" s="105">
        <v>0</v>
      </c>
      <c r="AK847" s="105"/>
      <c r="AL847" s="105"/>
      <c r="AM847" s="105"/>
      <c r="AN847" s="105"/>
      <c r="AO847" s="105"/>
      <c r="AP847" s="105"/>
      <c r="AQ847" s="105"/>
      <c r="AR847" s="105"/>
      <c r="AS847" s="105"/>
      <c r="AT847" s="105"/>
    </row>
    <row r="848" spans="1:46" hidden="1">
      <c r="A848" s="1"/>
      <c r="B848" s="1"/>
      <c r="C848" s="1"/>
      <c r="D848" s="110" t="s">
        <v>149</v>
      </c>
      <c r="E848" s="147"/>
      <c r="F848" s="14"/>
      <c r="G848" s="14"/>
      <c r="H848" s="14"/>
      <c r="I848" s="14"/>
      <c r="J848" s="105"/>
      <c r="K848" s="105"/>
      <c r="L848" s="105"/>
      <c r="M848" s="105"/>
      <c r="N848" s="105"/>
      <c r="O848" s="105"/>
      <c r="P848" s="105"/>
      <c r="Q848" s="105"/>
      <c r="R848" s="105"/>
      <c r="S848" s="105"/>
      <c r="T848" s="105"/>
      <c r="U848" s="105"/>
      <c r="V848" s="105"/>
      <c r="W848" s="105">
        <v>0</v>
      </c>
      <c r="X848" s="105">
        <v>0</v>
      </c>
      <c r="Y848" s="105">
        <v>0</v>
      </c>
      <c r="Z848" s="105">
        <f>0*2.8</f>
        <v>0</v>
      </c>
      <c r="AA848" s="105">
        <f>FISCinyear!IJ642</f>
        <v>0</v>
      </c>
      <c r="AB848" s="105">
        <v>0</v>
      </c>
      <c r="AC848" s="105">
        <v>0</v>
      </c>
      <c r="AD848" s="652">
        <v>0</v>
      </c>
      <c r="AE848" s="105">
        <v>0</v>
      </c>
      <c r="AF848" s="105">
        <v>0</v>
      </c>
      <c r="AG848" s="105">
        <v>0</v>
      </c>
      <c r="AH848" s="105">
        <v>0</v>
      </c>
      <c r="AI848" s="105">
        <v>0</v>
      </c>
      <c r="AJ848" s="105">
        <v>0</v>
      </c>
      <c r="AK848" s="105"/>
      <c r="AL848" s="105"/>
      <c r="AM848" s="105"/>
      <c r="AN848" s="105"/>
      <c r="AO848" s="105"/>
      <c r="AP848" s="105"/>
      <c r="AQ848" s="105"/>
      <c r="AR848" s="105"/>
      <c r="AS848" s="105"/>
      <c r="AT848" s="105"/>
    </row>
    <row r="849" spans="1:46" hidden="1">
      <c r="A849" s="1"/>
      <c r="B849" s="1"/>
      <c r="C849" s="1"/>
      <c r="D849" s="1120" t="s">
        <v>1182</v>
      </c>
      <c r="E849" s="147"/>
      <c r="F849" s="14"/>
      <c r="G849" s="14"/>
      <c r="H849" s="14"/>
      <c r="I849" s="14"/>
      <c r="J849" s="105"/>
      <c r="K849" s="105"/>
      <c r="L849" s="105"/>
      <c r="M849" s="105"/>
      <c r="N849" s="105"/>
      <c r="O849" s="105"/>
      <c r="P849" s="105"/>
      <c r="Q849" s="105"/>
      <c r="R849" s="105"/>
      <c r="S849" s="105"/>
      <c r="T849" s="105"/>
      <c r="U849" s="105"/>
      <c r="V849" s="105"/>
      <c r="W849" s="105"/>
      <c r="X849" s="105"/>
      <c r="Y849" s="105"/>
      <c r="Z849" s="105"/>
      <c r="AA849" s="105"/>
      <c r="AB849" s="105"/>
      <c r="AC849" s="105"/>
      <c r="AD849" s="652"/>
      <c r="AE849" s="105">
        <v>7</v>
      </c>
      <c r="AF849" s="105">
        <v>7.3</v>
      </c>
      <c r="AG849" s="105">
        <v>7.6</v>
      </c>
      <c r="AH849" s="105">
        <v>7.6</v>
      </c>
      <c r="AI849" s="105"/>
      <c r="AJ849" s="105"/>
      <c r="AK849" s="105"/>
      <c r="AL849" s="105"/>
      <c r="AM849" s="105"/>
      <c r="AN849" s="105"/>
      <c r="AO849" s="105"/>
      <c r="AP849" s="105"/>
      <c r="AQ849" s="105"/>
      <c r="AR849" s="105"/>
      <c r="AS849" s="105"/>
      <c r="AT849" s="105"/>
    </row>
    <row r="850" spans="1:46" hidden="1">
      <c r="A850" s="1"/>
      <c r="B850" s="1"/>
      <c r="C850" s="1"/>
      <c r="D850" s="1120" t="s">
        <v>1183</v>
      </c>
      <c r="E850" s="147"/>
      <c r="F850" s="14"/>
      <c r="G850" s="14"/>
      <c r="H850" s="14"/>
      <c r="I850" s="14"/>
      <c r="J850" s="105"/>
      <c r="K850" s="105"/>
      <c r="L850" s="105"/>
      <c r="M850" s="105"/>
      <c r="N850" s="105"/>
      <c r="O850" s="105"/>
      <c r="P850" s="105"/>
      <c r="Q850" s="105"/>
      <c r="R850" s="105"/>
      <c r="S850" s="105"/>
      <c r="T850" s="105"/>
      <c r="U850" s="105"/>
      <c r="V850" s="105"/>
      <c r="W850" s="105"/>
      <c r="X850" s="105"/>
      <c r="Y850" s="105"/>
      <c r="Z850" s="105"/>
      <c r="AA850" s="105"/>
      <c r="AB850" s="105"/>
      <c r="AC850" s="105"/>
      <c r="AD850" s="652">
        <f>AG1947</f>
        <v>0</v>
      </c>
      <c r="AE850" s="105">
        <v>-6.4</v>
      </c>
      <c r="AF850" s="105">
        <v>-7</v>
      </c>
      <c r="AG850" s="105">
        <v>-7.3</v>
      </c>
      <c r="AH850" s="105">
        <v>-7.3</v>
      </c>
      <c r="AI850" s="105"/>
      <c r="AJ850" s="105"/>
      <c r="AK850" s="105"/>
      <c r="AL850" s="105"/>
      <c r="AM850" s="105"/>
      <c r="AN850" s="105"/>
      <c r="AO850" s="105"/>
      <c r="AP850" s="105"/>
      <c r="AQ850" s="105"/>
      <c r="AR850" s="105"/>
      <c r="AS850" s="105"/>
      <c r="AT850" s="105"/>
    </row>
    <row r="851" spans="1:46" hidden="1">
      <c r="A851" s="1"/>
      <c r="B851" s="1"/>
      <c r="C851" s="1"/>
      <c r="D851" s="1120" t="s">
        <v>2322</v>
      </c>
      <c r="E851" s="147"/>
      <c r="F851" s="14"/>
      <c r="G851" s="14"/>
      <c r="H851" s="14"/>
      <c r="I851" s="14"/>
      <c r="J851" s="105"/>
      <c r="K851" s="105"/>
      <c r="L851" s="105"/>
      <c r="M851" s="105"/>
      <c r="N851" s="105"/>
      <c r="O851" s="105"/>
      <c r="P851" s="105"/>
      <c r="Q851" s="105"/>
      <c r="R851" s="105"/>
      <c r="S851" s="105"/>
      <c r="T851" s="105"/>
      <c r="U851" s="105"/>
      <c r="V851" s="105"/>
      <c r="W851" s="105"/>
      <c r="X851" s="105"/>
      <c r="Y851" s="105"/>
      <c r="Z851" s="105"/>
      <c r="AA851" s="105"/>
      <c r="AB851" s="105"/>
      <c r="AC851" s="105"/>
      <c r="AD851" s="652">
        <f>AG1948</f>
        <v>0</v>
      </c>
      <c r="AE851" s="105">
        <v>10</v>
      </c>
      <c r="AF851" s="105">
        <v>7.5194208804500002</v>
      </c>
      <c r="AG851" s="105">
        <v>5</v>
      </c>
      <c r="AH851" s="105">
        <v>5</v>
      </c>
      <c r="AI851" s="105"/>
      <c r="AJ851" s="105"/>
      <c r="AK851" s="105"/>
      <c r="AL851" s="105"/>
      <c r="AM851" s="105"/>
      <c r="AN851" s="105"/>
      <c r="AO851" s="105"/>
      <c r="AP851" s="105"/>
      <c r="AQ851" s="105"/>
      <c r="AR851" s="105"/>
      <c r="AS851" s="105"/>
      <c r="AT851" s="105"/>
    </row>
    <row r="852" spans="1:46" hidden="1">
      <c r="A852" s="1"/>
      <c r="B852" s="1"/>
      <c r="C852" s="1"/>
      <c r="D852" s="110" t="s">
        <v>954</v>
      </c>
      <c r="E852" s="143"/>
      <c r="F852" s="14"/>
      <c r="G852" s="14"/>
      <c r="H852" s="14"/>
      <c r="I852" s="14"/>
      <c r="J852" s="105"/>
      <c r="K852" s="105"/>
      <c r="L852" s="105"/>
      <c r="M852" s="105"/>
      <c r="N852" s="105"/>
      <c r="O852" s="105"/>
      <c r="P852" s="105"/>
      <c r="Q852" s="105"/>
      <c r="R852" s="105"/>
      <c r="S852" s="105"/>
      <c r="T852" s="105"/>
      <c r="U852" s="105"/>
      <c r="V852" s="105"/>
      <c r="W852" s="105">
        <v>0</v>
      </c>
      <c r="X852" s="105">
        <v>-5.0999999999999996</v>
      </c>
      <c r="Y852" s="105">
        <v>0</v>
      </c>
      <c r="Z852" s="105">
        <f>0*4.038-2.5</f>
        <v>-2.5</v>
      </c>
      <c r="AA852" s="105">
        <f>FISCinyear!IJ643</f>
        <v>-1.474062287</v>
      </c>
      <c r="AB852" s="105">
        <v>-9.0864968659999992</v>
      </c>
      <c r="AC852" s="105">
        <v>-0.98998876200000008</v>
      </c>
      <c r="AD852" s="652">
        <f>FISCinyear!IS643</f>
        <v>-0.27783086600000001</v>
      </c>
      <c r="AE852" s="105">
        <v>0</v>
      </c>
      <c r="AF852" s="105">
        <v>0</v>
      </c>
      <c r="AG852" s="105">
        <f t="shared" ref="AG852:AJ852" si="1138">+AG400</f>
        <v>0</v>
      </c>
      <c r="AH852" s="105">
        <f t="shared" si="1138"/>
        <v>0</v>
      </c>
      <c r="AI852" s="105">
        <f t="shared" si="1138"/>
        <v>0</v>
      </c>
      <c r="AJ852" s="105">
        <f t="shared" si="1138"/>
        <v>0</v>
      </c>
      <c r="AK852" s="105"/>
      <c r="AL852" s="105"/>
      <c r="AM852" s="105"/>
      <c r="AN852" s="105"/>
      <c r="AO852" s="105"/>
      <c r="AP852" s="105"/>
      <c r="AQ852" s="105"/>
      <c r="AR852" s="105"/>
      <c r="AS852" s="105"/>
      <c r="AT852" s="105"/>
    </row>
    <row r="853" spans="1:46" hidden="1">
      <c r="A853" s="1"/>
      <c r="B853" s="1"/>
      <c r="C853" s="1"/>
      <c r="D853" s="110" t="s">
        <v>805</v>
      </c>
      <c r="E853" s="143"/>
      <c r="F853" s="14"/>
      <c r="G853" s="14"/>
      <c r="H853" s="14"/>
      <c r="I853" s="14"/>
      <c r="J853" s="105"/>
      <c r="K853" s="105"/>
      <c r="L853" s="105"/>
      <c r="M853" s="105"/>
      <c r="N853" s="105"/>
      <c r="O853" s="105"/>
      <c r="P853" s="105"/>
      <c r="Q853" s="105"/>
      <c r="R853" s="105"/>
      <c r="S853" s="105"/>
      <c r="T853" s="105"/>
      <c r="U853" s="105"/>
      <c r="V853" s="105"/>
      <c r="W853" s="105"/>
      <c r="X853" s="105"/>
      <c r="Y853" s="105"/>
      <c r="Z853" s="105"/>
      <c r="AA853" s="105"/>
      <c r="AB853" s="105">
        <v>11.5</v>
      </c>
      <c r="AC853" s="105">
        <v>9.6253578439999998</v>
      </c>
      <c r="AD853" s="652">
        <f>FISCinyear!IS644</f>
        <v>5</v>
      </c>
      <c r="AE853" s="105">
        <v>0</v>
      </c>
      <c r="AF853" s="105">
        <v>0</v>
      </c>
      <c r="AG853" s="105">
        <f t="shared" ref="AG853:AJ853" si="1139">+AG401</f>
        <v>0</v>
      </c>
      <c r="AH853" s="105">
        <f t="shared" si="1139"/>
        <v>0</v>
      </c>
      <c r="AI853" s="105">
        <f t="shared" si="1139"/>
        <v>0</v>
      </c>
      <c r="AJ853" s="105">
        <f t="shared" si="1139"/>
        <v>0</v>
      </c>
      <c r="AK853" s="105"/>
      <c r="AL853" s="105"/>
      <c r="AM853" s="105"/>
      <c r="AN853" s="105"/>
      <c r="AO853" s="105"/>
      <c r="AP853" s="105"/>
      <c r="AQ853" s="105"/>
      <c r="AR853" s="105"/>
      <c r="AS853" s="105"/>
      <c r="AT853" s="105"/>
    </row>
    <row r="854" spans="1:46" hidden="1">
      <c r="A854" s="1"/>
      <c r="B854" s="1"/>
      <c r="C854" s="1"/>
      <c r="D854" s="110" t="s">
        <v>1123</v>
      </c>
      <c r="E854" s="143"/>
      <c r="F854" s="14"/>
      <c r="G854" s="14"/>
      <c r="H854" s="14"/>
      <c r="I854" s="14"/>
      <c r="J854" s="105"/>
      <c r="K854" s="105"/>
      <c r="L854" s="105"/>
      <c r="M854" s="105"/>
      <c r="N854" s="105"/>
      <c r="O854" s="105"/>
      <c r="P854" s="105"/>
      <c r="Q854" s="105"/>
      <c r="R854" s="105"/>
      <c r="S854" s="105"/>
      <c r="T854" s="105"/>
      <c r="U854" s="105"/>
      <c r="V854" s="105"/>
      <c r="W854" s="105">
        <v>0</v>
      </c>
      <c r="X854" s="105">
        <v>59.7</v>
      </c>
      <c r="Y854" s="105">
        <v>0</v>
      </c>
      <c r="Z854" s="105">
        <v>0</v>
      </c>
      <c r="AA854" s="105">
        <f>FISCinyear!IJ645</f>
        <v>0</v>
      </c>
      <c r="AB854" s="105">
        <v>0</v>
      </c>
      <c r="AC854" s="105">
        <v>0</v>
      </c>
      <c r="AD854" s="652">
        <f>FISCinyear!IS645</f>
        <v>0</v>
      </c>
      <c r="AE854" s="105">
        <v>0</v>
      </c>
      <c r="AF854" s="105">
        <v>0</v>
      </c>
      <c r="AG854" s="105">
        <f>0</f>
        <v>0</v>
      </c>
      <c r="AH854" s="105">
        <v>0</v>
      </c>
      <c r="AI854" s="105">
        <v>0</v>
      </c>
      <c r="AJ854" s="105">
        <v>0</v>
      </c>
      <c r="AK854" s="105"/>
      <c r="AL854" s="105"/>
      <c r="AM854" s="105"/>
      <c r="AN854" s="105"/>
      <c r="AO854" s="105"/>
      <c r="AP854" s="105"/>
      <c r="AQ854" s="105"/>
      <c r="AR854" s="105"/>
      <c r="AS854" s="105"/>
      <c r="AT854" s="105"/>
    </row>
    <row r="855" spans="1:46" hidden="1">
      <c r="A855" s="1"/>
      <c r="B855" s="1"/>
      <c r="C855" s="1"/>
      <c r="D855" s="110" t="s">
        <v>1083</v>
      </c>
      <c r="E855" s="143"/>
      <c r="F855" s="14"/>
      <c r="G855" s="14"/>
      <c r="H855" s="14"/>
      <c r="I855" s="14"/>
      <c r="J855" s="105"/>
      <c r="K855" s="105"/>
      <c r="L855" s="105"/>
      <c r="M855" s="105"/>
      <c r="N855" s="105"/>
      <c r="O855" s="105"/>
      <c r="P855" s="105"/>
      <c r="Q855" s="105"/>
      <c r="R855" s="105"/>
      <c r="S855" s="105"/>
      <c r="T855" s="105"/>
      <c r="U855" s="105"/>
      <c r="V855" s="105"/>
      <c r="W855" s="105">
        <v>0</v>
      </c>
      <c r="X855" s="105">
        <v>3.4</v>
      </c>
      <c r="Y855" s="105">
        <v>49.745671745000003</v>
      </c>
      <c r="Z855" s="105">
        <f>0*14.75+25.7</f>
        <v>25.7</v>
      </c>
      <c r="AA855" s="105">
        <f>FISCinyear!IJ646</f>
        <v>19.346579886000001</v>
      </c>
      <c r="AB855" s="105">
        <v>0</v>
      </c>
      <c r="AC855" s="105">
        <v>11.126743522</v>
      </c>
      <c r="AD855" s="652">
        <f>FISCinyear!IS646</f>
        <v>17.593757732</v>
      </c>
      <c r="AE855" s="105">
        <v>9.0360078581394987</v>
      </c>
      <c r="AF855" s="1063">
        <v>9.9227165420643608</v>
      </c>
      <c r="AG855" s="105">
        <f>+((AF855/2)*0+(AF147+AF153+AG135+AG141)*AG259/1000)*0+15.5795343525425</f>
        <v>15.579534352542501</v>
      </c>
      <c r="AH855" s="1063">
        <f>+((AG855/2)*0+(AG147+AG153+AH135+AH141)*AH259/1000)*0+16.4014887915658</f>
        <v>16.4014887915658</v>
      </c>
      <c r="AI855" s="1063">
        <f>+(AH855/2)*0+(AH147+AH153+AI135+AI141)*AI259/1000</f>
        <v>0</v>
      </c>
      <c r="AJ855" s="105">
        <f>+AI855/2</f>
        <v>0</v>
      </c>
      <c r="AK855" s="105"/>
      <c r="AL855" s="105"/>
      <c r="AM855" s="105"/>
      <c r="AN855" s="105"/>
      <c r="AO855" s="105"/>
      <c r="AP855" s="105"/>
      <c r="AQ855" s="105"/>
      <c r="AR855" s="105"/>
      <c r="AS855" s="105"/>
      <c r="AT855" s="105"/>
    </row>
    <row r="856" spans="1:46" hidden="1">
      <c r="A856" s="1"/>
      <c r="B856" s="1"/>
      <c r="C856" s="1"/>
      <c r="D856" s="1218" t="s">
        <v>2323</v>
      </c>
      <c r="E856" s="143"/>
      <c r="F856" s="14"/>
      <c r="G856" s="14"/>
      <c r="H856" s="14"/>
      <c r="I856" s="14"/>
      <c r="J856" s="105"/>
      <c r="K856" s="105"/>
      <c r="L856" s="105"/>
      <c r="M856" s="105"/>
      <c r="N856" s="105"/>
      <c r="O856" s="105"/>
      <c r="P856" s="105"/>
      <c r="Q856" s="105"/>
      <c r="R856" s="105"/>
      <c r="S856" s="105"/>
      <c r="T856" s="105"/>
      <c r="U856" s="105"/>
      <c r="V856" s="105"/>
      <c r="W856" s="105"/>
      <c r="X856" s="105"/>
      <c r="Y856" s="105"/>
      <c r="Z856" s="105"/>
      <c r="AA856" s="105"/>
      <c r="AB856" s="105"/>
      <c r="AC856" s="105"/>
      <c r="AD856" s="676"/>
      <c r="AE856" s="105"/>
      <c r="AF856" s="1063">
        <v>6.1054157680000003</v>
      </c>
      <c r="AG856" s="105">
        <f>6105415768/1000000000</f>
        <v>6.1054157680000003</v>
      </c>
      <c r="AH856" s="1063">
        <f>6105415768/1000000000</f>
        <v>6.1054157680000003</v>
      </c>
      <c r="AI856" s="1063"/>
      <c r="AJ856" s="105"/>
      <c r="AK856" s="105"/>
      <c r="AL856" s="105"/>
      <c r="AM856" s="105"/>
      <c r="AN856" s="105"/>
      <c r="AO856" s="105"/>
      <c r="AP856" s="105"/>
      <c r="AQ856" s="105"/>
      <c r="AR856" s="105"/>
      <c r="AS856" s="105"/>
      <c r="AT856" s="105"/>
    </row>
    <row r="857" spans="1:46" hidden="1">
      <c r="A857" s="1"/>
      <c r="B857" s="1"/>
      <c r="C857" s="1"/>
      <c r="D857" s="1038" t="s">
        <v>1147</v>
      </c>
      <c r="E857" s="143"/>
      <c r="F857" s="14"/>
      <c r="G857" s="14"/>
      <c r="H857" s="14"/>
      <c r="I857" s="14"/>
      <c r="J857" s="14"/>
      <c r="K857" s="14"/>
      <c r="L857" s="14"/>
      <c r="M857" s="14"/>
      <c r="N857" s="14"/>
      <c r="O857" s="14"/>
      <c r="P857" s="14"/>
      <c r="Q857" s="14"/>
      <c r="R857" s="105"/>
      <c r="S857" s="105"/>
      <c r="T857" s="105"/>
      <c r="U857" s="105"/>
      <c r="V857" s="105"/>
      <c r="W857" s="105"/>
      <c r="X857" s="105"/>
      <c r="Y857" s="105"/>
      <c r="Z857" s="105"/>
      <c r="AA857" s="105"/>
      <c r="AB857" s="105">
        <v>0</v>
      </c>
      <c r="AC857" s="105">
        <v>7.4250000000000007</v>
      </c>
      <c r="AD857" s="676">
        <f>FISCinyear!IS647</f>
        <v>12.375</v>
      </c>
      <c r="AE857" s="931"/>
      <c r="AF857" s="105"/>
      <c r="AG857" s="105"/>
      <c r="AH857" s="105"/>
      <c r="AI857" s="105"/>
      <c r="AJ857" s="105"/>
      <c r="AK857" s="105"/>
      <c r="AL857" s="105"/>
      <c r="AM857" s="105"/>
      <c r="AN857" s="105"/>
      <c r="AO857" s="105"/>
      <c r="AP857" s="105"/>
      <c r="AQ857" s="105"/>
      <c r="AR857" s="105"/>
      <c r="AS857" s="105"/>
      <c r="AT857" s="105"/>
    </row>
    <row r="858" spans="1:46" hidden="1">
      <c r="A858" s="1"/>
      <c r="B858" s="1"/>
      <c r="C858" s="1"/>
      <c r="D858" s="1218" t="s">
        <v>2319</v>
      </c>
      <c r="E858" s="143"/>
      <c r="F858" s="14"/>
      <c r="G858" s="14"/>
      <c r="H858" s="14"/>
      <c r="I858" s="14"/>
      <c r="J858" s="14"/>
      <c r="K858" s="14"/>
      <c r="L858" s="14"/>
      <c r="M858" s="14"/>
      <c r="N858" s="14"/>
      <c r="O858" s="14"/>
      <c r="P858" s="14"/>
      <c r="Q858" s="14"/>
      <c r="R858" s="105"/>
      <c r="S858" s="105"/>
      <c r="T858" s="105"/>
      <c r="U858" s="105"/>
      <c r="V858" s="105"/>
      <c r="W858" s="105"/>
      <c r="X858" s="105"/>
      <c r="Y858" s="105"/>
      <c r="Z858" s="105"/>
      <c r="AA858" s="105"/>
      <c r="AB858" s="105"/>
      <c r="AC858" s="105"/>
      <c r="AD858" s="676"/>
      <c r="AE858" s="1063">
        <v>56.234146377749013</v>
      </c>
      <c r="AF858" s="105">
        <v>38.579909886519495</v>
      </c>
      <c r="AG858" s="105"/>
      <c r="AH858" s="105"/>
      <c r="AI858" s="105"/>
      <c r="AJ858" s="105"/>
      <c r="AK858" s="105"/>
      <c r="AL858" s="105"/>
      <c r="AM858" s="105"/>
      <c r="AN858" s="105"/>
      <c r="AO858" s="105"/>
      <c r="AP858" s="105"/>
      <c r="AQ858" s="105"/>
      <c r="AR858" s="105"/>
      <c r="AS858" s="105"/>
      <c r="AT858" s="105"/>
    </row>
    <row r="859" spans="1:46" hidden="1">
      <c r="A859" s="1"/>
      <c r="B859" s="1"/>
      <c r="C859" s="1"/>
      <c r="D859" s="110" t="s">
        <v>151</v>
      </c>
      <c r="E859" s="143"/>
      <c r="F859" s="14"/>
      <c r="G859" s="14"/>
      <c r="H859" s="14"/>
      <c r="I859" s="14"/>
      <c r="J859" s="105"/>
      <c r="K859" s="105"/>
      <c r="L859" s="105"/>
      <c r="M859" s="105"/>
      <c r="N859" s="105"/>
      <c r="O859" s="105"/>
      <c r="P859" s="105"/>
      <c r="Q859" s="105"/>
      <c r="R859" s="105"/>
      <c r="S859" s="105"/>
      <c r="T859" s="105"/>
      <c r="U859" s="105"/>
      <c r="V859" s="105"/>
      <c r="W859" s="105">
        <v>0</v>
      </c>
      <c r="X859" s="105">
        <v>0</v>
      </c>
      <c r="Y859" s="105">
        <v>0</v>
      </c>
      <c r="Z859" s="105">
        <f>0*29.4+32.4</f>
        <v>32.4</v>
      </c>
      <c r="AA859" s="105">
        <f>FISCinyear!IJ649</f>
        <v>25.712013450999997</v>
      </c>
      <c r="AB859" s="105">
        <v>25.836573462</v>
      </c>
      <c r="AC859" s="105">
        <v>34.697741968000003</v>
      </c>
      <c r="AD859" s="652">
        <f>FISCinyear!IS649</f>
        <v>39.557087070999998</v>
      </c>
      <c r="AE859" s="142">
        <v>104.3094574815253</v>
      </c>
      <c r="AF859" s="142">
        <v>92.283989137760699</v>
      </c>
      <c r="AG859" s="105">
        <f>AG402</f>
        <v>106.309457481525</v>
      </c>
      <c r="AH859" s="142">
        <f>AH402</f>
        <v>81.716719257679429</v>
      </c>
      <c r="AI859" s="142">
        <f>+AH859/2</f>
        <v>40.858359628839715</v>
      </c>
      <c r="AJ859" s="105">
        <f>+AI859/2</f>
        <v>20.429179814419857</v>
      </c>
      <c r="AK859" s="105"/>
      <c r="AL859" s="105"/>
      <c r="AM859" s="105"/>
      <c r="AN859" s="105"/>
      <c r="AO859" s="105"/>
      <c r="AP859" s="105"/>
      <c r="AQ859" s="105"/>
      <c r="AR859" s="105"/>
      <c r="AS859" s="105"/>
      <c r="AT859" s="105"/>
    </row>
    <row r="860" spans="1:46" hidden="1">
      <c r="A860" s="1"/>
      <c r="B860" s="1"/>
      <c r="C860" s="1"/>
      <c r="D860" s="109" t="s">
        <v>152</v>
      </c>
      <c r="E860" s="143"/>
      <c r="F860" s="14"/>
      <c r="G860" s="14"/>
      <c r="H860" s="14"/>
      <c r="I860" s="14"/>
      <c r="J860" s="105"/>
      <c r="K860" s="105"/>
      <c r="L860" s="105"/>
      <c r="M860" s="105"/>
      <c r="N860" s="105"/>
      <c r="O860" s="105"/>
      <c r="P860" s="105"/>
      <c r="Q860" s="105"/>
      <c r="R860" s="105"/>
      <c r="S860" s="105"/>
      <c r="T860" s="105"/>
      <c r="U860" s="105"/>
      <c r="V860" s="105"/>
      <c r="W860" s="105">
        <v>0</v>
      </c>
      <c r="X860" s="105">
        <v>0</v>
      </c>
      <c r="Y860" s="105">
        <v>0</v>
      </c>
      <c r="Z860" s="105"/>
      <c r="AA860" s="105">
        <f>FISCinyear!IJ650</f>
        <v>0</v>
      </c>
      <c r="AB860" s="105">
        <v>0</v>
      </c>
      <c r="AC860" s="105"/>
      <c r="AD860" s="652"/>
      <c r="AE860" s="105"/>
      <c r="AF860" s="105"/>
      <c r="AG860" s="105"/>
      <c r="AH860" s="105"/>
      <c r="AI860" s="105"/>
      <c r="AJ860" s="105"/>
      <c r="AK860" s="105"/>
      <c r="AL860" s="105"/>
      <c r="AM860" s="105"/>
      <c r="AN860" s="105"/>
      <c r="AO860" s="105"/>
      <c r="AP860" s="105"/>
      <c r="AQ860" s="105"/>
      <c r="AR860" s="105"/>
      <c r="AS860" s="105"/>
      <c r="AT860" s="105"/>
    </row>
    <row r="861" spans="1:46" hidden="1">
      <c r="A861" s="1"/>
      <c r="B861" s="1"/>
      <c r="C861" s="1"/>
      <c r="D861" s="109" t="s">
        <v>153</v>
      </c>
      <c r="E861" s="143"/>
      <c r="F861" s="14"/>
      <c r="G861" s="14"/>
      <c r="H861" s="14"/>
      <c r="I861" s="14"/>
      <c r="J861" s="105"/>
      <c r="K861" s="105"/>
      <c r="L861" s="105"/>
      <c r="M861" s="105"/>
      <c r="N861" s="105"/>
      <c r="O861" s="105"/>
      <c r="P861" s="105"/>
      <c r="Q861" s="105"/>
      <c r="R861" s="105"/>
      <c r="S861" s="105"/>
      <c r="T861" s="105"/>
      <c r="U861" s="105"/>
      <c r="V861" s="105"/>
      <c r="W861" s="105">
        <v>0</v>
      </c>
      <c r="X861" s="105">
        <v>0</v>
      </c>
      <c r="Y861" s="105">
        <v>0</v>
      </c>
      <c r="Z861" s="105"/>
      <c r="AA861" s="105">
        <f>FISCinyear!IJ651</f>
        <v>0</v>
      </c>
      <c r="AB861" s="105">
        <v>0</v>
      </c>
      <c r="AC861" s="105"/>
      <c r="AD861" s="652"/>
      <c r="AE861" s="105"/>
      <c r="AF861" s="105"/>
      <c r="AG861" s="105"/>
      <c r="AH861" s="105"/>
      <c r="AI861" s="105"/>
      <c r="AJ861" s="105"/>
      <c r="AK861" s="105"/>
      <c r="AL861" s="105"/>
      <c r="AM861" s="105"/>
      <c r="AN861" s="105"/>
      <c r="AO861" s="105"/>
      <c r="AP861" s="105"/>
      <c r="AQ861" s="105"/>
      <c r="AR861" s="105"/>
      <c r="AS861" s="105"/>
      <c r="AT861" s="105"/>
    </row>
    <row r="862" spans="1:46" hidden="1">
      <c r="A862" s="1"/>
      <c r="B862" s="1"/>
      <c r="C862" s="1"/>
      <c r="D862" s="106" t="s">
        <v>218</v>
      </c>
      <c r="E862" s="147" t="s">
        <v>221</v>
      </c>
      <c r="F862" s="14"/>
      <c r="G862" s="14"/>
      <c r="H862" s="14"/>
      <c r="I862" s="14"/>
      <c r="J862" s="105">
        <v>-14.79797716499999</v>
      </c>
      <c r="K862" s="105">
        <v>-20.239827164999991</v>
      </c>
      <c r="L862" s="105">
        <v>-19.004049999999992</v>
      </c>
      <c r="M862" s="105">
        <v>-26.952799999999996</v>
      </c>
      <c r="N862" s="105">
        <v>-36.582150000000027</v>
      </c>
      <c r="O862" s="105">
        <v>-36.499250000000025</v>
      </c>
      <c r="P862" s="105">
        <v>-46.225904744994999</v>
      </c>
      <c r="Q862" s="105">
        <v>-63.333565796495009</v>
      </c>
      <c r="R862" s="105">
        <v>-63.000000000000057</v>
      </c>
      <c r="S862" s="105">
        <v>-132.69999999999996</v>
      </c>
      <c r="T862" s="105">
        <v>-116.90000000000003</v>
      </c>
      <c r="U862" s="105">
        <v>-212.3</v>
      </c>
      <c r="V862" s="105">
        <v>-245.924707259</v>
      </c>
      <c r="W862" s="105">
        <v>-235.59999999999988</v>
      </c>
      <c r="X862" s="105">
        <v>-106.17843639758283</v>
      </c>
      <c r="Y862" s="105">
        <v>-194.35456050030837</v>
      </c>
      <c r="Z862" s="105">
        <f>+Z745-Z788+Z801-Z826</f>
        <v>-174.67319804200014</v>
      </c>
      <c r="AA862" s="105">
        <f>+AA745-AA788+AA801-AA826</f>
        <v>-282.11849502899986</v>
      </c>
      <c r="AB862" s="105">
        <v>-172.89813389038255</v>
      </c>
      <c r="AC862" s="105">
        <v>-87.354410584503853</v>
      </c>
      <c r="AD862" s="865">
        <f t="shared" ref="AD862:AJ862" si="1140">+AD745-AD788+AD801-AD826</f>
        <v>-345.46363679062495</v>
      </c>
      <c r="AE862" s="105">
        <v>-503.7175289549682</v>
      </c>
      <c r="AF862" s="105">
        <v>-343.04299687633659</v>
      </c>
      <c r="AG862" s="105">
        <f t="shared" si="1140"/>
        <v>6478.7199465204176</v>
      </c>
      <c r="AH862" s="105">
        <f t="shared" si="1140"/>
        <v>10683.921592094996</v>
      </c>
      <c r="AI862" s="105">
        <f t="shared" si="1140"/>
        <v>12973.588878322855</v>
      </c>
      <c r="AJ862" s="105">
        <f t="shared" si="1140"/>
        <v>-3184.0325271388765</v>
      </c>
      <c r="AK862" s="105"/>
      <c r="AL862" s="105"/>
      <c r="AM862" s="105"/>
      <c r="AN862" s="105"/>
      <c r="AO862" s="105"/>
      <c r="AP862" s="105"/>
      <c r="AQ862" s="105"/>
      <c r="AR862" s="105"/>
      <c r="AS862" s="105"/>
      <c r="AT862" s="105"/>
    </row>
    <row r="863" spans="1:46" hidden="1">
      <c r="A863" s="1"/>
      <c r="B863" s="1"/>
      <c r="C863" s="1"/>
      <c r="D863" s="106" t="s">
        <v>154</v>
      </c>
      <c r="E863" s="147" t="s">
        <v>222</v>
      </c>
      <c r="F863" s="14"/>
      <c r="G863" s="14"/>
      <c r="H863" s="14"/>
      <c r="I863" s="14"/>
      <c r="J863" s="105">
        <v>-8.1267466249999902</v>
      </c>
      <c r="K863" s="105">
        <v>-10.493796624999991</v>
      </c>
      <c r="L863" s="105">
        <v>-4.1920499999999929</v>
      </c>
      <c r="M863" s="105">
        <v>-2.8307499999999965</v>
      </c>
      <c r="N863" s="105">
        <v>-1.3658500000000213</v>
      </c>
      <c r="O863" s="105">
        <v>-7.237400000000024</v>
      </c>
      <c r="P863" s="105">
        <v>-19.410904744995001</v>
      </c>
      <c r="Q863" s="105">
        <v>-28.79796579649501</v>
      </c>
      <c r="R863" s="105">
        <v>-29.500000000000057</v>
      </c>
      <c r="S863" s="105">
        <v>-76.999999999999972</v>
      </c>
      <c r="T863" s="105">
        <v>-62.200000000000045</v>
      </c>
      <c r="U863" s="105">
        <v>-160.69999999999999</v>
      </c>
      <c r="V863" s="105">
        <v>-177.79042725900001</v>
      </c>
      <c r="W863" s="105">
        <v>-159.79999999999993</v>
      </c>
      <c r="X863" s="105">
        <v>-25.778436397582851</v>
      </c>
      <c r="Y863" s="105">
        <v>-75.246075327308404</v>
      </c>
      <c r="Z863" s="105">
        <f>+Z862+Z818</f>
        <v>-53.593198042000125</v>
      </c>
      <c r="AA863" s="105">
        <f>FISCinyear!IJ653</f>
        <v>-122.90650840499984</v>
      </c>
      <c r="AB863" s="105">
        <v>-13.544250848382489</v>
      </c>
      <c r="AC863" s="105">
        <v>94.484711920496125</v>
      </c>
      <c r="AD863" s="652">
        <f t="shared" ref="AD863:AJ863" si="1141">+AD862+AD818</f>
        <v>-107.76445931562495</v>
      </c>
      <c r="AE863" s="128">
        <v>-273.35751798031038</v>
      </c>
      <c r="AF863" s="128">
        <v>-158.27257145308249</v>
      </c>
      <c r="AG863" s="128">
        <f t="shared" si="1141"/>
        <v>6659.2979898930062</v>
      </c>
      <c r="AH863" s="128">
        <f t="shared" si="1141"/>
        <v>10899.33757791766</v>
      </c>
      <c r="AI863" s="128">
        <f t="shared" si="1141"/>
        <v>13213.710973836334</v>
      </c>
      <c r="AJ863" s="128">
        <f t="shared" si="1141"/>
        <v>-3184.0325271388765</v>
      </c>
      <c r="AK863" s="128"/>
      <c r="AL863" s="128"/>
      <c r="AM863" s="128"/>
      <c r="AN863" s="128"/>
      <c r="AO863" s="128"/>
      <c r="AP863" s="128"/>
      <c r="AQ863" s="128"/>
      <c r="AR863" s="128"/>
      <c r="AS863" s="128"/>
      <c r="AT863" s="128"/>
    </row>
    <row r="864" spans="1:46" hidden="1">
      <c r="A864" s="1"/>
      <c r="B864" s="1"/>
      <c r="C864" s="1"/>
      <c r="D864" s="106" t="s">
        <v>219</v>
      </c>
      <c r="E864" s="147" t="s">
        <v>222</v>
      </c>
      <c r="F864" s="14"/>
      <c r="G864" s="14"/>
      <c r="H864" s="14"/>
      <c r="I864" s="14"/>
      <c r="J864" s="105">
        <f t="shared" ref="J864:AA864" si="1142">+J745-(J788-J821-J820)-J826-J842</f>
        <v>-21.252784028499988</v>
      </c>
      <c r="K864" s="105">
        <f t="shared" si="1142"/>
        <v>-26.279534028500006</v>
      </c>
      <c r="L864" s="105">
        <f t="shared" si="1142"/>
        <v>-24.853149999999989</v>
      </c>
      <c r="M864" s="105">
        <f t="shared" si="1142"/>
        <v>-33.939299999999989</v>
      </c>
      <c r="N864" s="105">
        <f t="shared" si="1142"/>
        <v>-46.525299999999994</v>
      </c>
      <c r="O864" s="105">
        <f t="shared" si="1142"/>
        <v>-59.462990000000019</v>
      </c>
      <c r="P864" s="105">
        <f t="shared" si="1142"/>
        <v>-71.842935240495024</v>
      </c>
      <c r="Q864" s="105">
        <f t="shared" si="1142"/>
        <v>-82.724206291995017</v>
      </c>
      <c r="R864" s="105">
        <f t="shared" si="1142"/>
        <v>-91.700000000000074</v>
      </c>
      <c r="S864" s="105">
        <f t="shared" si="1142"/>
        <v>-130.79999999999995</v>
      </c>
      <c r="T864" s="105">
        <f t="shared" si="1142"/>
        <v>-151.20000000000002</v>
      </c>
      <c r="U864" s="105">
        <f t="shared" si="1142"/>
        <v>-255.2</v>
      </c>
      <c r="V864" s="105">
        <f t="shared" si="1142"/>
        <v>-280.22548850500004</v>
      </c>
      <c r="W864" s="105">
        <f t="shared" si="1142"/>
        <v>-255.09999999999985</v>
      </c>
      <c r="X864" s="105">
        <f t="shared" si="1142"/>
        <v>-212.47843639758287</v>
      </c>
      <c r="Y864" s="105">
        <f t="shared" si="1142"/>
        <v>-192.2150841281582</v>
      </c>
      <c r="Z864" s="105">
        <f t="shared" si="1142"/>
        <v>-242.39319804200005</v>
      </c>
      <c r="AA864" s="105">
        <f t="shared" si="1142"/>
        <v>-295.00632956349625</v>
      </c>
      <c r="AB864" s="105">
        <v>-185.21581860857799</v>
      </c>
      <c r="AC864" s="105">
        <v>-189.57230382755449</v>
      </c>
      <c r="AD864" s="120">
        <f t="shared" ref="AD864:AJ864" si="1143">+AD745-(AD788-AD821-AD820)-AD826-AD842</f>
        <v>-427.86277282883367</v>
      </c>
      <c r="AE864" s="128">
        <v>-863.60372409370552</v>
      </c>
      <c r="AF864" s="128">
        <v>-691.713745608419</v>
      </c>
      <c r="AG864" s="128">
        <f t="shared" si="1143"/>
        <v>6132.8102147510044</v>
      </c>
      <c r="AH864" s="128">
        <f t="shared" si="1143"/>
        <v>10283.752475496512</v>
      </c>
      <c r="AI864" s="128">
        <f t="shared" si="1143"/>
        <v>12472.574418751166</v>
      </c>
      <c r="AJ864" s="128">
        <f t="shared" si="1143"/>
        <v>-3698.0050523543532</v>
      </c>
      <c r="AK864" s="128"/>
      <c r="AL864" s="128"/>
      <c r="AM864" s="128"/>
      <c r="AN864" s="128"/>
      <c r="AO864" s="128"/>
      <c r="AP864" s="128"/>
      <c r="AQ864" s="128"/>
      <c r="AR864" s="128"/>
      <c r="AS864" s="128"/>
      <c r="AT864" s="128"/>
    </row>
    <row r="865" spans="1:46" hidden="1">
      <c r="A865" s="1"/>
      <c r="B865" s="1"/>
      <c r="C865" s="1"/>
      <c r="D865" s="106" t="s">
        <v>155</v>
      </c>
      <c r="E865" s="143"/>
      <c r="F865" s="14"/>
      <c r="G865" s="14"/>
      <c r="H865" s="14"/>
      <c r="I865" s="14"/>
      <c r="J865" s="105"/>
      <c r="K865" s="105"/>
      <c r="L865" s="105"/>
      <c r="M865" s="105"/>
      <c r="N865" s="105"/>
      <c r="O865" s="105"/>
      <c r="P865" s="105"/>
      <c r="Q865" s="105"/>
      <c r="R865" s="105"/>
      <c r="S865" s="105"/>
      <c r="T865" s="105"/>
      <c r="U865" s="105"/>
      <c r="V865" s="105"/>
      <c r="W865" s="105"/>
      <c r="X865" s="105"/>
      <c r="Y865" s="105"/>
      <c r="Z865" s="105"/>
      <c r="AA865" s="105"/>
      <c r="AB865" s="105">
        <v>0</v>
      </c>
      <c r="AC865" s="105"/>
      <c r="AD865" s="120"/>
      <c r="AE865" s="105"/>
      <c r="AF865" s="105"/>
      <c r="AG865" s="105"/>
      <c r="AH865" s="105"/>
      <c r="AI865" s="105"/>
      <c r="AJ865" s="105"/>
      <c r="AK865" s="105"/>
      <c r="AL865" s="105"/>
      <c r="AM865" s="105"/>
      <c r="AN865" s="105"/>
      <c r="AO865" s="105"/>
      <c r="AP865" s="105"/>
      <c r="AQ865" s="105"/>
      <c r="AR865" s="105"/>
      <c r="AS865" s="105"/>
      <c r="AT865" s="105"/>
    </row>
    <row r="866" spans="1:46" hidden="1">
      <c r="A866" s="1"/>
      <c r="B866" s="1"/>
      <c r="C866" s="1"/>
      <c r="D866" s="112" t="s">
        <v>156</v>
      </c>
      <c r="E866" s="143"/>
      <c r="F866" s="14"/>
      <c r="G866" s="14"/>
      <c r="H866" s="14"/>
      <c r="I866" s="14"/>
      <c r="J866" s="105">
        <v>-25.918013528499991</v>
      </c>
      <c r="K866" s="105">
        <v>-17.8781340285</v>
      </c>
      <c r="L866" s="105">
        <v>-9.8945499999999953</v>
      </c>
      <c r="M866" s="105">
        <v>-18.754800000000003</v>
      </c>
      <c r="N866" s="105">
        <v>-18.83195000000002</v>
      </c>
      <c r="O866" s="105">
        <v>-4.4472900000000237</v>
      </c>
      <c r="P866" s="105">
        <v>9.7114226334400087</v>
      </c>
      <c r="Q866" s="105">
        <v>0.54870158194000851</v>
      </c>
      <c r="R866" s="105">
        <v>-26.200000000000045</v>
      </c>
      <c r="S866" s="105">
        <v>-3.4999999999998863</v>
      </c>
      <c r="T866" s="105">
        <v>-60.5</v>
      </c>
      <c r="U866" s="105">
        <v>-3.3000000000000682</v>
      </c>
      <c r="V866" s="105">
        <v>-120.93184835500006</v>
      </c>
      <c r="W866" s="105">
        <v>-49</v>
      </c>
      <c r="X866" s="105">
        <v>-234.27843639758316</v>
      </c>
      <c r="Y866" s="105">
        <v>-203.64884491354496</v>
      </c>
      <c r="Z866" s="105">
        <f>+Z743-Z786</f>
        <v>-302.05950052759749</v>
      </c>
      <c r="AA866" s="105">
        <f>+AA743-AA786</f>
        <v>-251.17559042294602</v>
      </c>
      <c r="AB866" s="105">
        <v>-327.13213778888797</v>
      </c>
      <c r="AC866" s="105">
        <v>-367.12734809700419</v>
      </c>
      <c r="AD866" s="120">
        <f t="shared" ref="AD866:AI866" si="1144">AD743-AD786</f>
        <v>-611.2833513552539</v>
      </c>
      <c r="AE866" s="105">
        <v>-1171.0971334578217</v>
      </c>
      <c r="AF866" s="105">
        <v>-938.72910155907584</v>
      </c>
      <c r="AG866" s="105">
        <f t="shared" si="1144"/>
        <v>6047.2937847698977</v>
      </c>
      <c r="AH866" s="105">
        <f t="shared" si="1144"/>
        <v>9994.9568711701831</v>
      </c>
      <c r="AI866" s="105">
        <f t="shared" si="1144"/>
        <v>11906.642424020956</v>
      </c>
      <c r="AJ866" s="105">
        <f>+AJ743-AJ786</f>
        <v>-4231.5291306466688</v>
      </c>
      <c r="AK866" s="105"/>
      <c r="AL866" s="105"/>
      <c r="AM866" s="105"/>
      <c r="AN866" s="105"/>
      <c r="AO866" s="105"/>
      <c r="AP866" s="105"/>
      <c r="AQ866" s="105"/>
      <c r="AR866" s="105"/>
      <c r="AS866" s="105"/>
      <c r="AT866" s="105"/>
    </row>
    <row r="867" spans="1:46" hidden="1">
      <c r="A867" s="1"/>
      <c r="B867" s="1"/>
      <c r="C867" s="1"/>
      <c r="D867" s="112" t="s">
        <v>157</v>
      </c>
      <c r="E867" s="143"/>
      <c r="F867" s="14"/>
      <c r="G867" s="14"/>
      <c r="H867" s="14"/>
      <c r="I867" s="14"/>
      <c r="J867" s="105">
        <v>-74.131284028500005</v>
      </c>
      <c r="K867" s="105">
        <v>-87.963184028499995</v>
      </c>
      <c r="L867" s="105">
        <v>-80.331800000000001</v>
      </c>
      <c r="M867" s="105">
        <v>-86.239300000000014</v>
      </c>
      <c r="N867" s="105">
        <v>-92.335800000000035</v>
      </c>
      <c r="O867" s="105">
        <v>-106.89929000000004</v>
      </c>
      <c r="P867" s="105">
        <v>-136.87742152049501</v>
      </c>
      <c r="Q867" s="105">
        <v>-166.22014257199501</v>
      </c>
      <c r="R867" s="105">
        <v>-181.00000000000006</v>
      </c>
      <c r="S867" s="105">
        <v>-231.39999999999992</v>
      </c>
      <c r="T867" s="105">
        <v>-318.2</v>
      </c>
      <c r="U867" s="105">
        <v>-412.60000000000008</v>
      </c>
      <c r="V867" s="105">
        <v>-499.95761819000006</v>
      </c>
      <c r="W867" s="105">
        <v>-506.39999999999986</v>
      </c>
      <c r="X867" s="105">
        <v>-599.17843639758303</v>
      </c>
      <c r="Y867" s="105">
        <v>-677.93798607728513</v>
      </c>
      <c r="Z867" s="105">
        <f>+Z745-Z786</f>
        <v>-717.97319804200015</v>
      </c>
      <c r="AA867" s="105">
        <f>+AA745-AA786</f>
        <v>-699.04700485412923</v>
      </c>
      <c r="AB867" s="105">
        <v>-657.31422173540705</v>
      </c>
      <c r="AC867" s="105">
        <v>-726.03602496571466</v>
      </c>
      <c r="AD867" s="120">
        <f t="shared" ref="AD867:AI867" si="1145">AD745-AD786</f>
        <v>-1092.4626583516151</v>
      </c>
      <c r="AE867" s="105">
        <v>-1603.1794113359817</v>
      </c>
      <c r="AF867" s="105">
        <v>-1431.0527865498161</v>
      </c>
      <c r="AG867" s="105">
        <f t="shared" si="1145"/>
        <v>5211.0836502777038</v>
      </c>
      <c r="AH867" s="105">
        <f t="shared" si="1145"/>
        <v>9283.6627182106422</v>
      </c>
      <c r="AI867" s="105">
        <f t="shared" si="1145"/>
        <v>11148.825783430893</v>
      </c>
      <c r="AJ867" s="105">
        <f>+AJ745-AJ786</f>
        <v>-4854.6021539366293</v>
      </c>
      <c r="AK867" s="105"/>
      <c r="AL867" s="105"/>
      <c r="AM867" s="105"/>
      <c r="AN867" s="105"/>
      <c r="AO867" s="105"/>
      <c r="AP867" s="105"/>
      <c r="AQ867" s="105"/>
      <c r="AR867" s="105"/>
      <c r="AS867" s="105"/>
      <c r="AT867" s="105"/>
    </row>
    <row r="868" spans="1:46" hidden="1">
      <c r="A868" s="1"/>
      <c r="B868" s="1"/>
      <c r="C868" s="1"/>
      <c r="D868" s="1126" t="s">
        <v>1144</v>
      </c>
      <c r="E868" s="143"/>
      <c r="F868" s="14"/>
      <c r="G868" s="14"/>
      <c r="H868" s="14"/>
      <c r="I868" s="14"/>
      <c r="J868" s="105">
        <f t="shared" ref="J868:AJ868" si="1146">J743-J764-(J786-J821)</f>
        <v>-25.918013528499984</v>
      </c>
      <c r="K868" s="105">
        <f t="shared" si="1146"/>
        <v>-17.878134028499971</v>
      </c>
      <c r="L868" s="105">
        <f t="shared" si="1146"/>
        <v>-9.8945499999999811</v>
      </c>
      <c r="M868" s="105">
        <f t="shared" si="1146"/>
        <v>-18.754799999999989</v>
      </c>
      <c r="N868" s="105">
        <f t="shared" si="1146"/>
        <v>-18.831950000000006</v>
      </c>
      <c r="O868" s="105">
        <f t="shared" si="1146"/>
        <v>-4.4472900000000379</v>
      </c>
      <c r="P868" s="105">
        <f t="shared" si="1146"/>
        <v>9.7114226334400087</v>
      </c>
      <c r="Q868" s="105">
        <f t="shared" si="1146"/>
        <v>0.54870158194000851</v>
      </c>
      <c r="R868" s="105">
        <f t="shared" si="1146"/>
        <v>-26.200000000000045</v>
      </c>
      <c r="S868" s="105">
        <f t="shared" si="1146"/>
        <v>-3.4999999999998863</v>
      </c>
      <c r="T868" s="105">
        <f t="shared" si="1146"/>
        <v>-60.5</v>
      </c>
      <c r="U868" s="105">
        <f t="shared" si="1146"/>
        <v>-3.3000000000000682</v>
      </c>
      <c r="V868" s="105">
        <f t="shared" si="1146"/>
        <v>-120.93184835500006</v>
      </c>
      <c r="W868" s="105">
        <f t="shared" si="1146"/>
        <v>-49</v>
      </c>
      <c r="X868" s="105">
        <f t="shared" si="1146"/>
        <v>-244.97843639758321</v>
      </c>
      <c r="Y868" s="105">
        <f t="shared" si="1146"/>
        <v>-196.55589919689328</v>
      </c>
      <c r="Z868" s="105">
        <f t="shared" si="1146"/>
        <v>-301.71950052759757</v>
      </c>
      <c r="AA868" s="105">
        <f t="shared" si="1146"/>
        <v>-123.31886676494605</v>
      </c>
      <c r="AB868" s="105">
        <f t="shared" si="1146"/>
        <v>-327.48590900110435</v>
      </c>
      <c r="AC868" s="105">
        <f t="shared" si="1146"/>
        <v>-371.40946294800415</v>
      </c>
      <c r="AD868" s="105">
        <f t="shared" si="1146"/>
        <v>-398.68094299325389</v>
      </c>
      <c r="AE868" s="105">
        <v>-1156.104743164371</v>
      </c>
      <c r="AF868" s="105">
        <v>-944.94633527590759</v>
      </c>
      <c r="AG868" s="105">
        <f t="shared" si="1146"/>
        <v>6039.19412328006</v>
      </c>
      <c r="AH868" s="105">
        <f t="shared" si="1146"/>
        <v>9994.9568711701831</v>
      </c>
      <c r="AI868" s="105">
        <f t="shared" si="1146"/>
        <v>11906.64242402096</v>
      </c>
      <c r="AJ868" s="105">
        <f t="shared" si="1146"/>
        <v>-4231.5291306466688</v>
      </c>
      <c r="AK868" s="105"/>
      <c r="AL868" s="105"/>
      <c r="AM868" s="105"/>
      <c r="AN868" s="105"/>
      <c r="AO868" s="105"/>
      <c r="AP868" s="105"/>
      <c r="AQ868" s="105"/>
      <c r="AR868" s="105"/>
      <c r="AS868" s="105"/>
      <c r="AT868" s="105"/>
    </row>
    <row r="869" spans="1:46" hidden="1">
      <c r="A869" s="1"/>
      <c r="B869" s="1"/>
      <c r="C869" s="1"/>
      <c r="D869" s="1126" t="s">
        <v>1207</v>
      </c>
      <c r="E869" s="143"/>
      <c r="F869" s="14"/>
      <c r="G869" s="14"/>
      <c r="H869" s="14"/>
      <c r="I869" s="14"/>
      <c r="J869" s="1063">
        <f t="shared" ref="J869:AD869" si="1147">J743-(J786-J844)</f>
        <v>-25.918013528499984</v>
      </c>
      <c r="K869" s="1063">
        <f t="shared" si="1147"/>
        <v>-17.878134028499971</v>
      </c>
      <c r="L869" s="1063">
        <f t="shared" si="1147"/>
        <v>-9.8945499999999811</v>
      </c>
      <c r="M869" s="1063">
        <f t="shared" si="1147"/>
        <v>-18.754799999999989</v>
      </c>
      <c r="N869" s="1063">
        <f t="shared" si="1147"/>
        <v>-18.831950000000006</v>
      </c>
      <c r="O869" s="1063">
        <f t="shared" si="1147"/>
        <v>-4.4472900000000379</v>
      </c>
      <c r="P869" s="1063">
        <f t="shared" si="1147"/>
        <v>9.7114226334400087</v>
      </c>
      <c r="Q869" s="1063">
        <f t="shared" si="1147"/>
        <v>0.54870158194000851</v>
      </c>
      <c r="R869" s="1063">
        <f t="shared" si="1147"/>
        <v>-26.200000000000045</v>
      </c>
      <c r="S869" s="1063">
        <f t="shared" si="1147"/>
        <v>-3.4999999999998863</v>
      </c>
      <c r="T869" s="1063">
        <f t="shared" si="1147"/>
        <v>-60.5</v>
      </c>
      <c r="U869" s="1063">
        <f t="shared" si="1147"/>
        <v>-3.3000000000000682</v>
      </c>
      <c r="V869" s="1063">
        <f t="shared" si="1147"/>
        <v>-120.93184835500006</v>
      </c>
      <c r="W869" s="1063">
        <f t="shared" si="1147"/>
        <v>-49</v>
      </c>
      <c r="X869" s="1063">
        <f t="shared" si="1147"/>
        <v>-234.27843639758316</v>
      </c>
      <c r="Y869" s="1063">
        <f t="shared" si="1147"/>
        <v>-202.1017402105474</v>
      </c>
      <c r="Z869" s="1063">
        <f t="shared" si="1147"/>
        <v>-300.45950052759758</v>
      </c>
      <c r="AA869" s="1063">
        <f t="shared" si="1147"/>
        <v>-249.42946240494598</v>
      </c>
      <c r="AB869" s="1063">
        <f t="shared" si="1147"/>
        <v>-324.56296494504409</v>
      </c>
      <c r="AC869" s="1063">
        <f t="shared" si="1147"/>
        <v>-364.25164341100412</v>
      </c>
      <c r="AD869" s="1063">
        <f t="shared" si="1147"/>
        <v>-611.2833513552539</v>
      </c>
      <c r="AE869" s="1063">
        <v>-1091.0971334578217</v>
      </c>
      <c r="AF869" s="105">
        <v>-938.72910155907584</v>
      </c>
      <c r="AG869" s="105">
        <f t="shared" ref="AG869:AJ869" si="1148">AG743-AG786-AG844</f>
        <v>6047.2937847698977</v>
      </c>
      <c r="AH869" s="105">
        <f t="shared" si="1148"/>
        <v>9994.9568711701831</v>
      </c>
      <c r="AI869" s="105">
        <f t="shared" si="1148"/>
        <v>11906.642424020956</v>
      </c>
      <c r="AJ869" s="105">
        <f t="shared" si="1148"/>
        <v>-4231.5291306466688</v>
      </c>
      <c r="AK869" s="105"/>
      <c r="AL869" s="105"/>
      <c r="AM869" s="105"/>
      <c r="AN869" s="105"/>
      <c r="AO869" s="105"/>
      <c r="AP869" s="105"/>
      <c r="AQ869" s="105"/>
      <c r="AR869" s="105"/>
      <c r="AS869" s="105"/>
      <c r="AT869" s="105"/>
    </row>
    <row r="870" spans="1:46" hidden="1">
      <c r="A870" s="1"/>
      <c r="B870" s="1"/>
      <c r="C870" s="1"/>
      <c r="D870" s="1126" t="s">
        <v>1208</v>
      </c>
      <c r="E870" s="143"/>
      <c r="F870" s="14"/>
      <c r="G870" s="14"/>
      <c r="H870" s="14"/>
      <c r="I870" s="14"/>
      <c r="J870" s="1063">
        <f t="shared" ref="J870:AJ870" si="1149">J743-J764-(J786-J821-J844)</f>
        <v>-25.918013528499984</v>
      </c>
      <c r="K870" s="1063">
        <f t="shared" si="1149"/>
        <v>-17.878134028499971</v>
      </c>
      <c r="L870" s="1063">
        <f t="shared" si="1149"/>
        <v>-9.8945499999999811</v>
      </c>
      <c r="M870" s="1063">
        <f t="shared" si="1149"/>
        <v>-18.754799999999989</v>
      </c>
      <c r="N870" s="1063">
        <f t="shared" si="1149"/>
        <v>-18.831950000000006</v>
      </c>
      <c r="O870" s="1063">
        <f t="shared" si="1149"/>
        <v>-4.4472900000000379</v>
      </c>
      <c r="P870" s="1063">
        <f t="shared" si="1149"/>
        <v>9.7114226334400087</v>
      </c>
      <c r="Q870" s="1063">
        <f t="shared" si="1149"/>
        <v>0.54870158194000851</v>
      </c>
      <c r="R870" s="1063">
        <f t="shared" si="1149"/>
        <v>-26.200000000000045</v>
      </c>
      <c r="S870" s="1063">
        <f t="shared" si="1149"/>
        <v>-3.4999999999998863</v>
      </c>
      <c r="T870" s="1063">
        <f t="shared" si="1149"/>
        <v>-60.5</v>
      </c>
      <c r="U870" s="1063">
        <f t="shared" si="1149"/>
        <v>-3.3000000000000682</v>
      </c>
      <c r="V870" s="1063">
        <f t="shared" si="1149"/>
        <v>-120.93184835500006</v>
      </c>
      <c r="W870" s="1063">
        <f t="shared" si="1149"/>
        <v>-49</v>
      </c>
      <c r="X870" s="1063">
        <f t="shared" si="1149"/>
        <v>-244.97843639758321</v>
      </c>
      <c r="Y870" s="1063">
        <f t="shared" si="1149"/>
        <v>-195.00879449389572</v>
      </c>
      <c r="Z870" s="1063">
        <f t="shared" si="1149"/>
        <v>-300.11950052759767</v>
      </c>
      <c r="AA870" s="1063">
        <f t="shared" si="1149"/>
        <v>-121.57273874694602</v>
      </c>
      <c r="AB870" s="1063">
        <f t="shared" si="1149"/>
        <v>-324.91080343810427</v>
      </c>
      <c r="AC870" s="1063">
        <f t="shared" si="1149"/>
        <v>-368.53375826200408</v>
      </c>
      <c r="AD870" s="1063">
        <f t="shared" si="1149"/>
        <v>-398.68094299325389</v>
      </c>
      <c r="AE870" s="1063">
        <v>-1076.104743164371</v>
      </c>
      <c r="AF870" s="105">
        <v>-944.94633527590759</v>
      </c>
      <c r="AG870" s="105">
        <f t="shared" si="1149"/>
        <v>6039.19412328006</v>
      </c>
      <c r="AH870" s="105">
        <f t="shared" si="1149"/>
        <v>9994.9568711701831</v>
      </c>
      <c r="AI870" s="105">
        <f t="shared" si="1149"/>
        <v>11906.64242402096</v>
      </c>
      <c r="AJ870" s="105">
        <f t="shared" si="1149"/>
        <v>-4231.5291306466688</v>
      </c>
      <c r="AK870" s="105"/>
      <c r="AL870" s="105"/>
      <c r="AM870" s="105"/>
      <c r="AN870" s="105"/>
      <c r="AO870" s="105"/>
      <c r="AP870" s="105"/>
      <c r="AQ870" s="105"/>
      <c r="AR870" s="105"/>
      <c r="AS870" s="105"/>
      <c r="AT870" s="105"/>
    </row>
    <row r="871" spans="1:46" hidden="1">
      <c r="A871" s="1"/>
      <c r="B871" s="1"/>
      <c r="C871" s="1"/>
      <c r="D871" s="1126" t="s">
        <v>2310</v>
      </c>
      <c r="E871" s="143"/>
      <c r="F871" s="14"/>
      <c r="G871" s="14"/>
      <c r="H871" s="14"/>
      <c r="I871" s="14"/>
      <c r="J871" s="1063">
        <f t="shared" ref="J871:AD871" si="1150">J743-J764-(J786-J798-J799-J821-J828-J844)</f>
        <v>-25.918013528499984</v>
      </c>
      <c r="K871" s="1063">
        <f t="shared" si="1150"/>
        <v>-17.878134028499971</v>
      </c>
      <c r="L871" s="1063">
        <f t="shared" si="1150"/>
        <v>-9.8945499999999811</v>
      </c>
      <c r="M871" s="1063">
        <f t="shared" si="1150"/>
        <v>-18.754799999999989</v>
      </c>
      <c r="N871" s="1063">
        <f t="shared" si="1150"/>
        <v>-18.831950000000006</v>
      </c>
      <c r="O871" s="1063">
        <f t="shared" si="1150"/>
        <v>-4.4472900000000379</v>
      </c>
      <c r="P871" s="1063">
        <f t="shared" si="1150"/>
        <v>9.7114226334400087</v>
      </c>
      <c r="Q871" s="1063">
        <f t="shared" si="1150"/>
        <v>0.54870158194000851</v>
      </c>
      <c r="R871" s="1063">
        <f t="shared" si="1150"/>
        <v>-26.200000000000045</v>
      </c>
      <c r="S871" s="1063">
        <f t="shared" si="1150"/>
        <v>-3.4999999999998863</v>
      </c>
      <c r="T871" s="1063">
        <f t="shared" si="1150"/>
        <v>-60.5</v>
      </c>
      <c r="U871" s="1063">
        <f t="shared" si="1150"/>
        <v>-3.3000000000000682</v>
      </c>
      <c r="V871" s="1063">
        <f t="shared" si="1150"/>
        <v>-120.93184835500006</v>
      </c>
      <c r="W871" s="1063">
        <f t="shared" si="1150"/>
        <v>-49</v>
      </c>
      <c r="X871" s="1063">
        <f t="shared" si="1150"/>
        <v>-244.97843639758321</v>
      </c>
      <c r="Y871" s="1063">
        <f t="shared" si="1150"/>
        <v>-195.00879449389572</v>
      </c>
      <c r="Z871" s="1063">
        <f t="shared" si="1150"/>
        <v>-300.11950052759767</v>
      </c>
      <c r="AA871" s="1063">
        <f t="shared" si="1150"/>
        <v>-121.57273874694602</v>
      </c>
      <c r="AB871" s="1063">
        <f t="shared" si="1150"/>
        <v>-324.91080343810427</v>
      </c>
      <c r="AC871" s="1063">
        <f t="shared" si="1150"/>
        <v>-368.53375826200408</v>
      </c>
      <c r="AD871" s="1063">
        <f t="shared" si="1150"/>
        <v>-398.68094299325389</v>
      </c>
      <c r="AE871" s="1063">
        <v>-656.19767122235498</v>
      </c>
      <c r="AF871" s="1063">
        <v>-410.42448111772819</v>
      </c>
      <c r="AG871" s="1063">
        <f t="shared" ref="AG871:AJ871" si="1151">AG743-AG764-(AG786-AG798-AG799-AG821-AG828-AG844)</f>
        <v>6039.19412328006</v>
      </c>
      <c r="AH871" s="1063">
        <f t="shared" si="1151"/>
        <v>9994.9568711701831</v>
      </c>
      <c r="AI871" s="1063">
        <f t="shared" si="1151"/>
        <v>11906.64242402096</v>
      </c>
      <c r="AJ871" s="1063">
        <f t="shared" si="1151"/>
        <v>-4231.5291306466688</v>
      </c>
      <c r="AK871" s="1063"/>
      <c r="AL871" s="1063"/>
      <c r="AM871" s="1063"/>
      <c r="AN871" s="1063"/>
      <c r="AO871" s="1063"/>
      <c r="AP871" s="1063"/>
      <c r="AQ871" s="1063"/>
      <c r="AR871" s="1063"/>
      <c r="AS871" s="1063"/>
      <c r="AT871" s="1063"/>
    </row>
    <row r="872" spans="1:46" hidden="1">
      <c r="A872" s="1"/>
      <c r="B872" s="1"/>
      <c r="C872" s="1"/>
      <c r="D872" s="106" t="s">
        <v>158</v>
      </c>
      <c r="E872" s="143"/>
      <c r="F872" s="14"/>
      <c r="G872" s="14"/>
      <c r="H872" s="14"/>
      <c r="I872" s="14"/>
      <c r="J872" s="105">
        <v>-10.78265</v>
      </c>
      <c r="K872" s="105">
        <v>-18.132550000000002</v>
      </c>
      <c r="L872" s="105">
        <v>-16.849900000000002</v>
      </c>
      <c r="M872" s="105">
        <v>-2.3646500000000001</v>
      </c>
      <c r="N872" s="105">
        <v>-10.005649999999999</v>
      </c>
      <c r="O872" s="105">
        <v>-13.6645</v>
      </c>
      <c r="P872" s="105">
        <v>-8.4254999999999995</v>
      </c>
      <c r="Q872" s="105">
        <v>-8.6295999999999999</v>
      </c>
      <c r="R872" s="105">
        <v>-7</v>
      </c>
      <c r="S872" s="105">
        <v>-8.6</v>
      </c>
      <c r="T872" s="105">
        <v>-9</v>
      </c>
      <c r="U872" s="105">
        <v>-11.2</v>
      </c>
      <c r="V872" s="105">
        <v>-11.852389999999996</v>
      </c>
      <c r="W872" s="105">
        <v>-13.7</v>
      </c>
      <c r="X872" s="105">
        <v>-9.1000000000000014</v>
      </c>
      <c r="Y872" s="105">
        <v>-16.126089724000028</v>
      </c>
      <c r="Z872" s="105">
        <f>+Z873</f>
        <v>5</v>
      </c>
      <c r="AA872" s="105">
        <f>+AA873</f>
        <v>-27.618025554000013</v>
      </c>
      <c r="AB872" s="105">
        <v>39.965229826000012</v>
      </c>
      <c r="AC872" s="105">
        <v>-25.061232288000014</v>
      </c>
      <c r="AD872" s="120">
        <f>+AD873</f>
        <v>55.122620192000042</v>
      </c>
      <c r="AE872" s="105">
        <v>-55.1</v>
      </c>
      <c r="AF872" s="105">
        <v>-35.228921278959099</v>
      </c>
      <c r="AG872" s="105">
        <f>+AG873</f>
        <v>-40</v>
      </c>
      <c r="AH872" s="105">
        <f t="shared" ref="AH872:AJ872" si="1152">+AH873</f>
        <v>-40</v>
      </c>
      <c r="AI872" s="105">
        <f t="shared" si="1152"/>
        <v>-40</v>
      </c>
      <c r="AJ872" s="105">
        <f t="shared" si="1152"/>
        <v>-40</v>
      </c>
      <c r="AK872" s="105"/>
      <c r="AL872" s="105"/>
      <c r="AM872" s="105"/>
      <c r="AN872" s="105"/>
      <c r="AO872" s="105"/>
      <c r="AP872" s="105"/>
      <c r="AQ872" s="105"/>
      <c r="AR872" s="105"/>
      <c r="AS872" s="105"/>
      <c r="AT872" s="105"/>
    </row>
    <row r="873" spans="1:46" hidden="1">
      <c r="A873" s="1"/>
      <c r="B873" s="1"/>
      <c r="C873" s="1"/>
      <c r="D873" s="112" t="s">
        <v>35</v>
      </c>
      <c r="E873" s="143"/>
      <c r="F873" s="14"/>
      <c r="G873" s="14"/>
      <c r="H873" s="14"/>
      <c r="I873" s="14"/>
      <c r="J873" s="105">
        <v>-3.9</v>
      </c>
      <c r="K873" s="105">
        <v>-4.8239999999999998</v>
      </c>
      <c r="L873" s="105">
        <v>-9.873899999999999</v>
      </c>
      <c r="M873" s="105">
        <v>-8.8498999999999999</v>
      </c>
      <c r="N873" s="105">
        <v>-2.3646500000000001</v>
      </c>
      <c r="O873" s="105">
        <v>-10.005649999999999</v>
      </c>
      <c r="P873" s="105">
        <v>-13.6645</v>
      </c>
      <c r="Q873" s="105">
        <v>-8.4254999999999995</v>
      </c>
      <c r="R873" s="105">
        <v>-7</v>
      </c>
      <c r="S873" s="105">
        <v>-8.6</v>
      </c>
      <c r="T873" s="105">
        <v>-9</v>
      </c>
      <c r="U873" s="105">
        <v>-11.2</v>
      </c>
      <c r="V873" s="105">
        <v>-11.852389999999996</v>
      </c>
      <c r="W873" s="105">
        <v>-13.7</v>
      </c>
      <c r="X873" s="105">
        <v>-9.1000000000000014</v>
      </c>
      <c r="Y873" s="105">
        <v>-16.126089724000028</v>
      </c>
      <c r="Z873" s="105">
        <f>0*10+5</f>
        <v>5</v>
      </c>
      <c r="AA873" s="105">
        <f>FISCinyear!IJ661</f>
        <v>-27.618025554000013</v>
      </c>
      <c r="AB873" s="105">
        <v>39.965229826000012</v>
      </c>
      <c r="AC873" s="105">
        <v>-25.061232288000014</v>
      </c>
      <c r="AD873" s="652">
        <f>FISCinyear!IS661</f>
        <v>55.122620192000042</v>
      </c>
      <c r="AE873" s="125">
        <v>-55.1</v>
      </c>
      <c r="AF873" s="125">
        <v>-35.228921278959099</v>
      </c>
      <c r="AG873" s="125">
        <v>-40</v>
      </c>
      <c r="AH873" s="125">
        <f t="shared" ref="AH873:AJ873" si="1153">AG873</f>
        <v>-40</v>
      </c>
      <c r="AI873" s="125">
        <f t="shared" si="1153"/>
        <v>-40</v>
      </c>
      <c r="AJ873" s="125">
        <f t="shared" si="1153"/>
        <v>-40</v>
      </c>
      <c r="AK873" s="125"/>
      <c r="AL873" s="125"/>
      <c r="AM873" s="125"/>
      <c r="AN873" s="125"/>
      <c r="AO873" s="125"/>
      <c r="AP873" s="125"/>
      <c r="AQ873" s="125"/>
      <c r="AR873" s="125"/>
      <c r="AS873" s="125"/>
      <c r="AT873" s="125"/>
    </row>
    <row r="874" spans="1:46" hidden="1">
      <c r="A874" s="1"/>
      <c r="B874" s="1"/>
      <c r="C874" s="1"/>
      <c r="D874" s="112"/>
      <c r="E874" s="143"/>
      <c r="F874" s="14"/>
      <c r="G874" s="14"/>
      <c r="H874" s="14"/>
      <c r="I874" s="14"/>
      <c r="J874" s="105">
        <v>-16.850000000000001</v>
      </c>
      <c r="K874" s="105">
        <v>-5.9586500000000004</v>
      </c>
      <c r="L874" s="105">
        <v>-8.2586499999999994</v>
      </c>
      <c r="M874" s="105">
        <v>-8</v>
      </c>
      <c r="N874" s="105">
        <v>0</v>
      </c>
      <c r="O874" s="105">
        <v>0</v>
      </c>
      <c r="P874" s="105">
        <v>0</v>
      </c>
      <c r="Q874" s="105">
        <v>0</v>
      </c>
      <c r="R874" s="105"/>
      <c r="S874" s="105"/>
      <c r="T874" s="105"/>
      <c r="U874" s="105"/>
      <c r="V874" s="105"/>
      <c r="W874" s="105"/>
      <c r="X874" s="105"/>
      <c r="Y874" s="105"/>
      <c r="Z874" s="105"/>
      <c r="AA874" s="105"/>
      <c r="AB874" s="105">
        <v>0</v>
      </c>
      <c r="AC874" s="105"/>
      <c r="AD874" s="120"/>
      <c r="AE874" s="105"/>
      <c r="AF874" s="105"/>
      <c r="AG874" s="105"/>
      <c r="AH874" s="105"/>
      <c r="AI874" s="105"/>
      <c r="AJ874" s="105"/>
      <c r="AK874" s="105"/>
      <c r="AL874" s="105"/>
      <c r="AM874" s="105"/>
      <c r="AN874" s="105"/>
      <c r="AO874" s="105"/>
      <c r="AP874" s="105"/>
      <c r="AQ874" s="105"/>
      <c r="AR874" s="105"/>
      <c r="AS874" s="105"/>
      <c r="AT874" s="105"/>
    </row>
    <row r="875" spans="1:46" hidden="1">
      <c r="A875" s="1"/>
      <c r="B875" s="1"/>
      <c r="C875" s="1"/>
      <c r="D875" s="106" t="s">
        <v>159</v>
      </c>
      <c r="E875" s="143"/>
      <c r="F875" s="14"/>
      <c r="G875" s="14"/>
      <c r="H875" s="14"/>
      <c r="I875" s="14"/>
      <c r="J875" s="105"/>
      <c r="K875" s="105"/>
      <c r="L875" s="105"/>
      <c r="M875" s="105"/>
      <c r="N875" s="105"/>
      <c r="O875" s="105"/>
      <c r="P875" s="105"/>
      <c r="Q875" s="105"/>
      <c r="R875" s="105"/>
      <c r="S875" s="105"/>
      <c r="T875" s="105"/>
      <c r="U875" s="105"/>
      <c r="V875" s="105"/>
      <c r="W875" s="105"/>
      <c r="X875" s="105"/>
      <c r="Y875" s="105"/>
      <c r="Z875" s="105"/>
      <c r="AA875" s="105"/>
      <c r="AB875" s="105">
        <v>0</v>
      </c>
      <c r="AC875" s="105"/>
      <c r="AD875" s="120"/>
      <c r="AE875" s="105"/>
      <c r="AF875" s="105"/>
      <c r="AG875" s="105"/>
      <c r="AH875" s="105"/>
      <c r="AI875" s="105"/>
      <c r="AJ875" s="105"/>
      <c r="AK875" s="105"/>
      <c r="AL875" s="105"/>
      <c r="AM875" s="105"/>
      <c r="AN875" s="105"/>
      <c r="AO875" s="105"/>
      <c r="AP875" s="105"/>
      <c r="AQ875" s="105"/>
      <c r="AR875" s="105"/>
      <c r="AS875" s="105"/>
      <c r="AT875" s="105"/>
    </row>
    <row r="876" spans="1:46" hidden="1">
      <c r="A876" s="1"/>
      <c r="B876" s="1"/>
      <c r="C876" s="1"/>
      <c r="D876" s="112" t="s">
        <v>156</v>
      </c>
      <c r="E876" s="143"/>
      <c r="F876" s="14"/>
      <c r="G876" s="14"/>
      <c r="H876" s="14"/>
      <c r="I876" s="14"/>
      <c r="J876" s="105">
        <v>-46.668013528499991</v>
      </c>
      <c r="K876" s="105">
        <v>-28.660784028499997</v>
      </c>
      <c r="L876" s="105">
        <v>-28.027099999999997</v>
      </c>
      <c r="M876" s="105">
        <v>-35.604700000000001</v>
      </c>
      <c r="N876" s="105">
        <v>-21.196600000000018</v>
      </c>
      <c r="O876" s="105">
        <v>-14.452940000000023</v>
      </c>
      <c r="P876" s="105">
        <v>-3.9530773665599908</v>
      </c>
      <c r="Q876" s="105">
        <v>-7.8767984180599901</v>
      </c>
      <c r="R876" s="105">
        <v>-33.200000000000045</v>
      </c>
      <c r="S876" s="105">
        <v>-12.099999999999886</v>
      </c>
      <c r="T876" s="105">
        <v>-69.5</v>
      </c>
      <c r="U876" s="105">
        <v>-14.500000000000068</v>
      </c>
      <c r="V876" s="105">
        <v>-132.78423835500004</v>
      </c>
      <c r="W876" s="105">
        <v>-62.7</v>
      </c>
      <c r="X876" s="105">
        <v>-243.37843639758316</v>
      </c>
      <c r="Y876" s="105">
        <v>-219.77493463754499</v>
      </c>
      <c r="Z876" s="105">
        <f>+Z866+Z$872</f>
        <v>-297.05950052759749</v>
      </c>
      <c r="AA876" s="105">
        <f>+AA866+AA$872</f>
        <v>-278.79361597694606</v>
      </c>
      <c r="AB876" s="105">
        <v>-347.24742086788802</v>
      </c>
      <c r="AC876" s="105">
        <v>-392.18858038500423</v>
      </c>
      <c r="AD876" s="105">
        <f>+AD866+AD872</f>
        <v>-556.1607311632539</v>
      </c>
      <c r="AE876" s="105">
        <v>-1226.1971334578216</v>
      </c>
      <c r="AF876" s="105">
        <v>-973.95802283803494</v>
      </c>
      <c r="AG876" s="105">
        <f>+AG866+AG872</f>
        <v>6007.2937847698977</v>
      </c>
      <c r="AH876" s="105">
        <f>+AH866+AH872</f>
        <v>9954.9568711701831</v>
      </c>
      <c r="AI876" s="105">
        <f>+AI866+AI872</f>
        <v>11866.642424020956</v>
      </c>
      <c r="AJ876" s="105">
        <f t="shared" ref="AJ876:AJ877" si="1154">+AJ866+AJ$872</f>
        <v>-4271.5291306466688</v>
      </c>
      <c r="AK876" s="105"/>
      <c r="AL876" s="105"/>
      <c r="AM876" s="105"/>
      <c r="AN876" s="105"/>
      <c r="AO876" s="105"/>
      <c r="AP876" s="105"/>
      <c r="AQ876" s="105"/>
      <c r="AR876" s="105"/>
      <c r="AS876" s="105"/>
      <c r="AT876" s="105"/>
    </row>
    <row r="877" spans="1:46" hidden="1">
      <c r="A877" s="1"/>
      <c r="B877" s="1"/>
      <c r="C877" s="1"/>
      <c r="D877" s="112" t="s">
        <v>157</v>
      </c>
      <c r="E877" s="143"/>
      <c r="F877" s="14"/>
      <c r="G877" s="14"/>
      <c r="H877" s="14"/>
      <c r="I877" s="14"/>
      <c r="J877" s="105">
        <v>-94.881284028500005</v>
      </c>
      <c r="K877" s="105">
        <v>-98.745834028499999</v>
      </c>
      <c r="L877" s="105">
        <v>-98.464349999999996</v>
      </c>
      <c r="M877" s="105">
        <v>-103.08920000000001</v>
      </c>
      <c r="N877" s="105">
        <v>-94.700450000000018</v>
      </c>
      <c r="O877" s="105">
        <v>-116.90494000000004</v>
      </c>
      <c r="P877" s="105">
        <v>-150.54192152049501</v>
      </c>
      <c r="Q877" s="105">
        <v>-174.64564257199498</v>
      </c>
      <c r="R877" s="105">
        <v>-188.00000000000006</v>
      </c>
      <c r="S877" s="105">
        <v>-239.99999999999991</v>
      </c>
      <c r="T877" s="105">
        <v>-327.2</v>
      </c>
      <c r="U877" s="105">
        <v>-423.80000000000007</v>
      </c>
      <c r="V877" s="105">
        <v>-511.81000819000008</v>
      </c>
      <c r="W877" s="105">
        <v>-520.09999999999991</v>
      </c>
      <c r="X877" s="105">
        <v>-608.27843639758305</v>
      </c>
      <c r="Y877" s="105">
        <v>-694.06407580128518</v>
      </c>
      <c r="Z877" s="105">
        <f>+Z867+Z$872</f>
        <v>-712.97319804200015</v>
      </c>
      <c r="AA877" s="105">
        <v>-597.22220111559091</v>
      </c>
      <c r="AB877" s="105">
        <v>-677.42950481440698</v>
      </c>
      <c r="AC877" s="105">
        <v>-751.0972572537147</v>
      </c>
      <c r="AD877" s="120">
        <f>+AD867+AD$872</f>
        <v>-1037.340038159615</v>
      </c>
      <c r="AE877" s="105">
        <v>-1658.2794113359816</v>
      </c>
      <c r="AF877" s="105">
        <v>-1466.2817078287753</v>
      </c>
      <c r="AG877" s="105">
        <f>+AG867+AG$872</f>
        <v>5171.0836502777038</v>
      </c>
      <c r="AH877" s="105">
        <f>+AH867+AH872</f>
        <v>9243.6627182106422</v>
      </c>
      <c r="AI877" s="105">
        <f>+AI867+AI872</f>
        <v>11108.825783430893</v>
      </c>
      <c r="AJ877" s="105">
        <f t="shared" si="1154"/>
        <v>-4894.6021539366293</v>
      </c>
      <c r="AK877" s="105"/>
      <c r="AL877" s="105"/>
      <c r="AM877" s="105"/>
      <c r="AN877" s="105"/>
      <c r="AO877" s="105"/>
      <c r="AP877" s="105"/>
      <c r="AQ877" s="105"/>
      <c r="AR877" s="105"/>
      <c r="AS877" s="105"/>
      <c r="AT877" s="105"/>
    </row>
    <row r="878" spans="1:46" hidden="1">
      <c r="A878" s="1"/>
      <c r="B878" s="1"/>
      <c r="C878" s="1"/>
      <c r="D878" s="106"/>
      <c r="E878" s="143"/>
      <c r="F878" s="14"/>
      <c r="G878" s="14"/>
      <c r="H878" s="14"/>
      <c r="I878" s="14"/>
      <c r="J878" s="105"/>
      <c r="K878" s="105"/>
      <c r="L878" s="105"/>
      <c r="M878" s="105"/>
      <c r="N878" s="105"/>
      <c r="O878" s="105"/>
      <c r="P878" s="105"/>
      <c r="Q878" s="105"/>
      <c r="R878" s="105"/>
      <c r="S878" s="105"/>
      <c r="T878" s="105"/>
      <c r="U878" s="105"/>
      <c r="V878" s="105"/>
      <c r="W878" s="105"/>
      <c r="X878" s="105"/>
      <c r="Y878" s="105"/>
      <c r="Z878" s="105"/>
      <c r="AA878" s="105"/>
      <c r="AB878" s="105"/>
      <c r="AC878" s="105"/>
      <c r="AD878" s="120"/>
      <c r="AE878" s="105"/>
      <c r="AF878" s="105"/>
      <c r="AG878" s="105"/>
      <c r="AH878" s="105"/>
      <c r="AI878" s="105"/>
      <c r="AJ878" s="105"/>
      <c r="AK878" s="105"/>
      <c r="AL878" s="105"/>
      <c r="AM878" s="105"/>
      <c r="AN878" s="105"/>
      <c r="AO878" s="105"/>
      <c r="AP878" s="105"/>
      <c r="AQ878" s="105"/>
      <c r="AR878" s="105"/>
      <c r="AS878" s="105"/>
      <c r="AT878" s="105"/>
    </row>
    <row r="879" spans="1:46" hidden="1">
      <c r="A879" s="1"/>
      <c r="B879" s="1"/>
      <c r="C879" s="1"/>
      <c r="D879" s="104" t="s">
        <v>160</v>
      </c>
      <c r="E879" s="143"/>
      <c r="F879" s="14"/>
      <c r="G879" s="14"/>
      <c r="H879" s="14"/>
      <c r="I879" s="14"/>
      <c r="J879" s="105">
        <v>46.668013528499991</v>
      </c>
      <c r="K879" s="105">
        <v>28.660784028499997</v>
      </c>
      <c r="L879" s="105">
        <v>28.027100000000004</v>
      </c>
      <c r="M879" s="105">
        <v>35.604700000000001</v>
      </c>
      <c r="N879" s="105">
        <v>21.196599999999997</v>
      </c>
      <c r="O879" s="105">
        <v>14.452939999999993</v>
      </c>
      <c r="P879" s="105">
        <v>-8.2806089134400125</v>
      </c>
      <c r="Q879" s="105">
        <v>-4.3568878619400007</v>
      </c>
      <c r="R879" s="105">
        <v>33.200000000000045</v>
      </c>
      <c r="S879" s="105">
        <v>12.099999999999886</v>
      </c>
      <c r="T879" s="105">
        <v>69.5</v>
      </c>
      <c r="U879" s="105">
        <f t="shared" ref="U879:AA879" si="1155">+U881+U900</f>
        <v>16.399999999999999</v>
      </c>
      <c r="V879" s="105">
        <f t="shared" si="1155"/>
        <v>126.514612731</v>
      </c>
      <c r="W879" s="105">
        <f t="shared" si="1155"/>
        <v>56.8</v>
      </c>
      <c r="X879" s="105">
        <f t="shared" si="1155"/>
        <v>218.60287055438562</v>
      </c>
      <c r="Y879" s="105">
        <f t="shared" si="1155"/>
        <v>224.60345991403199</v>
      </c>
      <c r="Z879" s="105">
        <f t="shared" si="1155"/>
        <v>197.61254199818421</v>
      </c>
      <c r="AA879" s="105">
        <f t="shared" si="1155"/>
        <v>274.21022987848482</v>
      </c>
      <c r="AB879" s="105">
        <v>347.24742086788802</v>
      </c>
      <c r="AC879" s="105">
        <v>398.9867656101726</v>
      </c>
      <c r="AD879" s="105">
        <f t="shared" ref="AD879:AJ879" si="1156">+AD881+AD900</f>
        <v>522.45525002266504</v>
      </c>
      <c r="AE879" s="125">
        <v>1226.1509467500846</v>
      </c>
      <c r="AF879" s="125">
        <v>973.99842550595372</v>
      </c>
      <c r="AG879" s="125">
        <f t="shared" si="1156"/>
        <v>987.3478790734473</v>
      </c>
      <c r="AH879" s="125">
        <f t="shared" si="1156"/>
        <v>941.12816859942711</v>
      </c>
      <c r="AI879" s="125">
        <f t="shared" si="1156"/>
        <v>1577.615969342414</v>
      </c>
      <c r="AJ879" s="125">
        <f t="shared" si="1156"/>
        <v>1496.7668554355482</v>
      </c>
      <c r="AK879" s="125"/>
      <c r="AL879" s="125"/>
      <c r="AM879" s="125"/>
      <c r="AN879" s="125"/>
      <c r="AO879" s="125"/>
      <c r="AP879" s="125"/>
      <c r="AQ879" s="125"/>
      <c r="AR879" s="125"/>
      <c r="AS879" s="125"/>
      <c r="AT879" s="125"/>
    </row>
    <row r="880" spans="1:46" hidden="1">
      <c r="A880" s="1"/>
      <c r="B880" s="1"/>
      <c r="C880" s="1"/>
      <c r="D880" s="106"/>
      <c r="E880" s="143"/>
      <c r="F880" s="14"/>
      <c r="G880" s="14"/>
      <c r="H880" s="14"/>
      <c r="I880" s="14"/>
      <c r="J880" s="105"/>
      <c r="K880" s="105"/>
      <c r="L880" s="105"/>
      <c r="M880" s="105"/>
      <c r="N880" s="105"/>
      <c r="O880" s="105"/>
      <c r="P880" s="105"/>
      <c r="Q880" s="105"/>
      <c r="R880" s="105"/>
      <c r="S880" s="105"/>
      <c r="T880" s="105"/>
      <c r="U880" s="105"/>
      <c r="V880" s="105"/>
      <c r="W880" s="105"/>
      <c r="X880" s="105"/>
      <c r="Y880" s="105"/>
      <c r="Z880" s="105"/>
      <c r="AA880" s="105"/>
      <c r="AB880" s="105"/>
      <c r="AC880" s="105"/>
      <c r="AD880" s="105"/>
      <c r="AE880" s="125" t="s">
        <v>27</v>
      </c>
      <c r="AF880" s="105"/>
      <c r="AG880" s="105"/>
      <c r="AH880" s="105"/>
      <c r="AI880" s="105"/>
      <c r="AJ880" s="105"/>
      <c r="AK880" s="105"/>
      <c r="AL880" s="105"/>
      <c r="AM880" s="105"/>
      <c r="AN880" s="105"/>
      <c r="AO880" s="105"/>
      <c r="AP880" s="105"/>
      <c r="AQ880" s="105"/>
      <c r="AR880" s="105"/>
      <c r="AS880" s="105"/>
      <c r="AT880" s="105"/>
    </row>
    <row r="881" spans="1:46" hidden="1">
      <c r="A881" s="1"/>
      <c r="B881" s="1"/>
      <c r="C881" s="1"/>
      <c r="D881" s="112" t="s">
        <v>161</v>
      </c>
      <c r="E881" s="143"/>
      <c r="F881" s="14"/>
      <c r="G881" s="14"/>
      <c r="H881" s="14"/>
      <c r="I881" s="14"/>
      <c r="J881" s="105">
        <v>9.2500000000000018</v>
      </c>
      <c r="K881" s="105">
        <v>8.5138500000000015</v>
      </c>
      <c r="L881" s="105">
        <v>4.0473499999999998</v>
      </c>
      <c r="M881" s="105">
        <v>8.1334999999999997</v>
      </c>
      <c r="N881" s="105">
        <v>4.7718499999999997</v>
      </c>
      <c r="O881" s="105">
        <v>1.3761608154999996</v>
      </c>
      <c r="P881" s="105">
        <v>0.33886081549999858</v>
      </c>
      <c r="Q881" s="105">
        <v>6.4310499999999982</v>
      </c>
      <c r="R881" s="105">
        <v>39.199999999999996</v>
      </c>
      <c r="S881" s="105">
        <v>42.800000000000004</v>
      </c>
      <c r="T881" s="105">
        <v>72.599999999999994</v>
      </c>
      <c r="U881" s="105">
        <v>26.1</v>
      </c>
      <c r="V881" s="105">
        <f t="shared" ref="V881:AA881" si="1157">+V882+V898</f>
        <v>68.531212730999997</v>
      </c>
      <c r="W881" s="105">
        <f t="shared" si="1157"/>
        <v>95</v>
      </c>
      <c r="X881" s="105">
        <f t="shared" si="1157"/>
        <v>338.59999999999997</v>
      </c>
      <c r="Y881" s="105">
        <f t="shared" si="1157"/>
        <v>104.73128333288437</v>
      </c>
      <c r="Z881" s="105">
        <f t="shared" si="1157"/>
        <v>188.3125419981842</v>
      </c>
      <c r="AA881" s="105">
        <f t="shared" si="1157"/>
        <v>224.4081276596894</v>
      </c>
      <c r="AB881" s="105">
        <v>161.93697496867668</v>
      </c>
      <c r="AC881" s="105">
        <v>356.02913087722652</v>
      </c>
      <c r="AD881" s="105">
        <f t="shared" ref="AD881:AJ881" si="1158">+AD882+AD898</f>
        <v>448.31196664374346</v>
      </c>
      <c r="AE881" s="105">
        <v>1137.4986216870611</v>
      </c>
      <c r="AF881" s="105">
        <v>708.41842834695376</v>
      </c>
      <c r="AG881" s="105">
        <f t="shared" si="1158"/>
        <v>762.3478790734473</v>
      </c>
      <c r="AH881" s="105">
        <f t="shared" si="1158"/>
        <v>780.58674289632404</v>
      </c>
      <c r="AI881" s="105">
        <f t="shared" si="1158"/>
        <v>1276.5512369862045</v>
      </c>
      <c r="AJ881" s="105">
        <f t="shared" si="1158"/>
        <v>1321.8668554355481</v>
      </c>
      <c r="AK881" s="105"/>
      <c r="AL881" s="105"/>
      <c r="AM881" s="105"/>
      <c r="AN881" s="105"/>
      <c r="AO881" s="105"/>
      <c r="AP881" s="105"/>
      <c r="AQ881" s="105"/>
      <c r="AR881" s="105"/>
      <c r="AS881" s="105"/>
      <c r="AT881" s="105"/>
    </row>
    <row r="882" spans="1:46" hidden="1">
      <c r="A882" s="1"/>
      <c r="B882" s="1"/>
      <c r="C882" s="1"/>
      <c r="D882" s="108" t="s">
        <v>162</v>
      </c>
      <c r="E882" s="143"/>
      <c r="F882" s="14"/>
      <c r="G882" s="14"/>
      <c r="H882" s="14"/>
      <c r="I882" s="14"/>
      <c r="J882" s="105">
        <v>16.950000000000003</v>
      </c>
      <c r="K882" s="105">
        <v>15.06155</v>
      </c>
      <c r="L882" s="105">
        <v>10.24075</v>
      </c>
      <c r="M882" s="105">
        <v>20.8292</v>
      </c>
      <c r="N882" s="105">
        <v>19.933499999999999</v>
      </c>
      <c r="O882" s="105">
        <v>14.9909</v>
      </c>
      <c r="P882" s="105">
        <v>17.774899999999999</v>
      </c>
      <c r="Q882" s="105">
        <v>23.641500000000001</v>
      </c>
      <c r="R882" s="105">
        <v>44.8</v>
      </c>
      <c r="S882" s="105">
        <v>47.900000000000006</v>
      </c>
      <c r="T882" s="105">
        <v>77</v>
      </c>
      <c r="U882" s="105">
        <v>31.1</v>
      </c>
      <c r="V882" s="105">
        <v>76.410784410999995</v>
      </c>
      <c r="W882" s="105">
        <v>104.7</v>
      </c>
      <c r="X882" s="105">
        <v>354.09999999999997</v>
      </c>
      <c r="Y882" s="105">
        <v>115.76990850405799</v>
      </c>
      <c r="Z882" s="105">
        <f>+Z883+Z894</f>
        <v>202.863</v>
      </c>
      <c r="AA882" s="105">
        <f>+AA883+AA894</f>
        <v>241.52958260440315</v>
      </c>
      <c r="AB882" s="105">
        <v>183.82033813965148</v>
      </c>
      <c r="AC882" s="105">
        <v>381.84688936314302</v>
      </c>
      <c r="AD882" s="105">
        <f t="shared" ref="AD882:AJ882" si="1159">+AD883+AD894</f>
        <v>476.97697294179375</v>
      </c>
      <c r="AE882" s="105">
        <v>1193.8559235549519</v>
      </c>
      <c r="AF882" s="105">
        <v>783.40935593640756</v>
      </c>
      <c r="AG882" s="105">
        <f t="shared" si="1159"/>
        <v>1246.9773428495653</v>
      </c>
      <c r="AH882" s="105">
        <f t="shared" si="1159"/>
        <v>947.40325683846504</v>
      </c>
      <c r="AI882" s="105">
        <f t="shared" si="1159"/>
        <v>1402.2179397021105</v>
      </c>
      <c r="AJ882" s="105">
        <f t="shared" si="1159"/>
        <v>1499.2513436515137</v>
      </c>
      <c r="AK882" s="105"/>
      <c r="AL882" s="105"/>
      <c r="AM882" s="105"/>
      <c r="AN882" s="105"/>
      <c r="AO882" s="105"/>
      <c r="AP882" s="105"/>
      <c r="AQ882" s="105"/>
      <c r="AR882" s="105"/>
      <c r="AS882" s="105"/>
      <c r="AT882" s="105"/>
    </row>
    <row r="883" spans="1:46" hidden="1">
      <c r="A883" s="1"/>
      <c r="B883" s="1"/>
      <c r="C883" s="1"/>
      <c r="D883" s="110" t="s">
        <v>1056</v>
      </c>
      <c r="E883" s="143"/>
      <c r="F883" s="14"/>
      <c r="G883" s="14"/>
      <c r="H883" s="14"/>
      <c r="I883" s="14"/>
      <c r="J883" s="105"/>
      <c r="K883" s="105"/>
      <c r="L883" s="105"/>
      <c r="M883" s="105"/>
      <c r="N883" s="105"/>
      <c r="O883" s="105"/>
      <c r="P883" s="105"/>
      <c r="Q883" s="105"/>
      <c r="R883" s="105"/>
      <c r="S883" s="105"/>
      <c r="T883" s="105"/>
      <c r="U883" s="105"/>
      <c r="V883" s="105"/>
      <c r="W883" s="105">
        <v>0</v>
      </c>
      <c r="X883" s="105">
        <v>16.2</v>
      </c>
      <c r="Y883" s="105">
        <v>49.486261138499998</v>
      </c>
      <c r="Z883" s="105">
        <f>0*104.92+103.63</f>
        <v>103.63</v>
      </c>
      <c r="AA883" s="105">
        <f>FISCinyear!IJ671</f>
        <v>138.66156726277015</v>
      </c>
      <c r="AB883" s="105">
        <v>183.82033813965148</v>
      </c>
      <c r="AC883" s="105">
        <v>211.49647385698302</v>
      </c>
      <c r="AD883" s="652">
        <f>FISCinyear!IS671</f>
        <v>262.04850870218172</v>
      </c>
      <c r="AE883" s="105">
        <v>905.88487285883571</v>
      </c>
      <c r="AF883" s="105">
        <f>+((AE73+AF66)*AF$259/1000+AF1358)</f>
        <v>341.22933799315291</v>
      </c>
      <c r="AG883" s="105">
        <f>+((AF73+AG66)*AG$259/1000+AG891)</f>
        <v>840.44607618034536</v>
      </c>
      <c r="AH883" s="105">
        <f>+(AG73+AH66)*AH$259/1000+AH891</f>
        <v>518.40160041043987</v>
      </c>
      <c r="AI883" s="105">
        <f>+(AH73+AI66)*AI$259/1000+AI891</f>
        <v>772.825914316644</v>
      </c>
      <c r="AJ883" s="105">
        <f>+(AI73+AJ66)*AJ$259/1000+AJ891</f>
        <v>783.55341737810375</v>
      </c>
      <c r="AK883" s="105"/>
      <c r="AL883" s="105"/>
      <c r="AM883" s="105"/>
      <c r="AN883" s="105"/>
      <c r="AO883" s="105"/>
      <c r="AP883" s="105"/>
      <c r="AQ883" s="105"/>
      <c r="AR883" s="105"/>
      <c r="AS883" s="105"/>
      <c r="AT883" s="105"/>
    </row>
    <row r="884" spans="1:46" hidden="1">
      <c r="A884" s="1"/>
      <c r="B884" s="1"/>
      <c r="C884" s="1"/>
      <c r="D884" s="110" t="s">
        <v>1212</v>
      </c>
      <c r="E884" s="143"/>
      <c r="F884" s="14"/>
      <c r="G884" s="14"/>
      <c r="H884" s="14"/>
      <c r="I884" s="14"/>
      <c r="J884" s="105"/>
      <c r="K884" s="105"/>
      <c r="L884" s="105"/>
      <c r="M884" s="105"/>
      <c r="N884" s="105"/>
      <c r="O884" s="105"/>
      <c r="P884" s="105"/>
      <c r="Q884" s="105"/>
      <c r="R884" s="105"/>
      <c r="S884" s="105"/>
      <c r="T884" s="105"/>
      <c r="U884" s="105"/>
      <c r="V884" s="105"/>
      <c r="W884" s="105"/>
      <c r="X884" s="105"/>
      <c r="Y884" s="105"/>
      <c r="Z884" s="105"/>
      <c r="AA884" s="105"/>
      <c r="AB884" s="105"/>
      <c r="AC884" s="105"/>
      <c r="AD884" s="652"/>
      <c r="AE884" s="105">
        <v>54.4</v>
      </c>
      <c r="AF884" s="105"/>
      <c r="AG884" s="105"/>
      <c r="AH884" s="105"/>
      <c r="AI884" s="105"/>
      <c r="AJ884" s="105"/>
      <c r="AK884" s="105"/>
      <c r="AL884" s="105"/>
      <c r="AM884" s="105"/>
      <c r="AN884" s="105"/>
      <c r="AO884" s="105"/>
      <c r="AP884" s="105"/>
      <c r="AQ884" s="105"/>
      <c r="AR884" s="105"/>
      <c r="AS884" s="105"/>
      <c r="AT884" s="105"/>
    </row>
    <row r="885" spans="1:46" hidden="1">
      <c r="A885" s="1"/>
      <c r="B885" s="1"/>
      <c r="C885" s="1"/>
      <c r="D885" s="111" t="s">
        <v>163</v>
      </c>
      <c r="E885" s="147" t="s">
        <v>221</v>
      </c>
      <c r="F885" s="14"/>
      <c r="G885" s="14"/>
      <c r="H885" s="14"/>
      <c r="I885" s="14"/>
      <c r="J885" s="105"/>
      <c r="K885" s="105"/>
      <c r="L885" s="105"/>
      <c r="M885" s="105"/>
      <c r="N885" s="105"/>
      <c r="O885" s="105"/>
      <c r="P885" s="105"/>
      <c r="Q885" s="105"/>
      <c r="R885" s="105"/>
      <c r="S885" s="105"/>
      <c r="T885" s="105"/>
      <c r="U885" s="105"/>
      <c r="V885" s="105"/>
      <c r="W885" s="105">
        <v>0</v>
      </c>
      <c r="X885" s="105">
        <v>16.2</v>
      </c>
      <c r="Y885" s="105">
        <v>0</v>
      </c>
      <c r="Z885" s="105">
        <v>0</v>
      </c>
      <c r="AA885" s="105">
        <f>FISCinyear!IJ673</f>
        <v>0</v>
      </c>
      <c r="AB885" s="105">
        <v>143.60857432179233</v>
      </c>
      <c r="AC885" s="105">
        <v>54.065289391982986</v>
      </c>
      <c r="AD885" s="652">
        <f>AG1974</f>
        <v>0</v>
      </c>
      <c r="AE885" s="105">
        <v>86.43933586343168</v>
      </c>
      <c r="AF885" s="105">
        <v>112.28298244284116</v>
      </c>
      <c r="AG885" s="105">
        <f>AJ1975</f>
        <v>0</v>
      </c>
      <c r="AH885" s="105"/>
      <c r="AI885" s="105"/>
      <c r="AJ885" s="105"/>
      <c r="AK885" s="105"/>
      <c r="AL885" s="105"/>
      <c r="AM885" s="105"/>
      <c r="AN885" s="105"/>
      <c r="AO885" s="105"/>
      <c r="AP885" s="105"/>
      <c r="AQ885" s="105"/>
      <c r="AR885" s="105"/>
      <c r="AS885" s="105"/>
      <c r="AT885" s="105"/>
    </row>
    <row r="886" spans="1:46" hidden="1">
      <c r="A886" s="1"/>
      <c r="B886" s="1"/>
      <c r="C886" s="1"/>
      <c r="D886" s="111" t="s">
        <v>164</v>
      </c>
      <c r="E886" s="147" t="s">
        <v>221</v>
      </c>
      <c r="F886" s="14"/>
      <c r="G886" s="14"/>
      <c r="H886" s="14"/>
      <c r="I886" s="14"/>
      <c r="J886" s="105"/>
      <c r="K886" s="105"/>
      <c r="L886" s="105"/>
      <c r="M886" s="105"/>
      <c r="N886" s="105"/>
      <c r="O886" s="105"/>
      <c r="P886" s="105"/>
      <c r="Q886" s="105"/>
      <c r="R886" s="105"/>
      <c r="S886" s="105"/>
      <c r="T886" s="105"/>
      <c r="U886" s="105"/>
      <c r="V886" s="105"/>
      <c r="W886" s="105">
        <v>0</v>
      </c>
      <c r="X886" s="105">
        <v>0</v>
      </c>
      <c r="Y886" s="105">
        <v>0</v>
      </c>
      <c r="Z886" s="105">
        <v>0</v>
      </c>
      <c r="AA886" s="105">
        <f>FISCinyear!IJ674</f>
        <v>0</v>
      </c>
      <c r="AB886" s="105">
        <v>183.82033813965148</v>
      </c>
      <c r="AC886" s="105">
        <v>157.43118446500003</v>
      </c>
      <c r="AD886" s="652">
        <v>0</v>
      </c>
      <c r="AE886" s="105">
        <v>1</v>
      </c>
      <c r="AF886" s="105">
        <v>2</v>
      </c>
      <c r="AG886" s="105">
        <v>3</v>
      </c>
      <c r="AH886" s="105"/>
      <c r="AI886" s="105"/>
      <c r="AJ886" s="105"/>
      <c r="AK886" s="105"/>
      <c r="AL886" s="105"/>
      <c r="AM886" s="105"/>
      <c r="AN886" s="105"/>
      <c r="AO886" s="105"/>
      <c r="AP886" s="105"/>
      <c r="AQ886" s="105"/>
      <c r="AR886" s="105"/>
      <c r="AS886" s="105"/>
      <c r="AT886" s="105"/>
    </row>
    <row r="887" spans="1:46" hidden="1">
      <c r="A887" s="1"/>
      <c r="B887" s="1"/>
      <c r="C887" s="1"/>
      <c r="D887" s="111" t="s">
        <v>1175</v>
      </c>
      <c r="E887" s="147"/>
      <c r="F887" s="14"/>
      <c r="G887" s="14"/>
      <c r="H887" s="14"/>
      <c r="I887" s="14"/>
      <c r="J887" s="105"/>
      <c r="K887" s="105"/>
      <c r="L887" s="105"/>
      <c r="M887" s="105"/>
      <c r="N887" s="105"/>
      <c r="O887" s="105"/>
      <c r="P887" s="105"/>
      <c r="Q887" s="105"/>
      <c r="R887" s="105"/>
      <c r="S887" s="105"/>
      <c r="T887" s="105"/>
      <c r="U887" s="105"/>
      <c r="V887" s="105"/>
      <c r="W887" s="105"/>
      <c r="X887" s="105"/>
      <c r="Y887" s="105"/>
      <c r="Z887" s="105"/>
      <c r="AA887" s="105"/>
      <c r="AB887" s="105"/>
      <c r="AC887" s="105"/>
      <c r="AD887" s="652">
        <f>AG1976</f>
        <v>396.92142349457174</v>
      </c>
      <c r="AE887" s="105">
        <v>200.81324575833941</v>
      </c>
      <c r="AF887" s="105">
        <v>141.86392746506087</v>
      </c>
      <c r="AG887" s="105">
        <f>AJ1976</f>
        <v>753.72050938172993</v>
      </c>
      <c r="AH887" s="105"/>
      <c r="AI887" s="105"/>
      <c r="AJ887" s="105"/>
      <c r="AK887" s="105"/>
      <c r="AL887" s="105"/>
      <c r="AM887" s="105"/>
      <c r="AN887" s="105"/>
      <c r="AO887" s="105"/>
      <c r="AP887" s="105"/>
      <c r="AQ887" s="105"/>
      <c r="AR887" s="105"/>
      <c r="AS887" s="105"/>
      <c r="AT887" s="105"/>
    </row>
    <row r="888" spans="1:46" hidden="1">
      <c r="A888" s="1"/>
      <c r="B888" s="1"/>
      <c r="C888" s="1"/>
      <c r="D888" s="111" t="s">
        <v>1148</v>
      </c>
      <c r="E888" s="147"/>
      <c r="F888" s="14"/>
      <c r="G888" s="14"/>
      <c r="H888" s="14"/>
      <c r="I888" s="14"/>
      <c r="J888" s="105"/>
      <c r="K888" s="105"/>
      <c r="L888" s="105"/>
      <c r="M888" s="105"/>
      <c r="N888" s="105"/>
      <c r="O888" s="105"/>
      <c r="P888" s="105"/>
      <c r="Q888" s="105"/>
      <c r="R888" s="105"/>
      <c r="S888" s="105"/>
      <c r="T888" s="105"/>
      <c r="U888" s="105"/>
      <c r="V888" s="105"/>
      <c r="W888" s="105"/>
      <c r="X888" s="105"/>
      <c r="Y888" s="105"/>
      <c r="Z888" s="105"/>
      <c r="AA888" s="105"/>
      <c r="AB888" s="105"/>
      <c r="AC888" s="105">
        <v>0</v>
      </c>
      <c r="AD888" s="652"/>
      <c r="AE888" s="105"/>
      <c r="AF888" s="105"/>
      <c r="AG888" s="105"/>
      <c r="AH888" s="105"/>
      <c r="AI888" s="105"/>
      <c r="AJ888" s="105"/>
      <c r="AK888" s="105"/>
      <c r="AL888" s="105"/>
      <c r="AM888" s="105"/>
      <c r="AN888" s="105"/>
      <c r="AO888" s="105"/>
      <c r="AP888" s="105"/>
      <c r="AQ888" s="105"/>
      <c r="AR888" s="105"/>
      <c r="AS888" s="105"/>
      <c r="AT888" s="105"/>
    </row>
    <row r="889" spans="1:46" hidden="1">
      <c r="A889" s="1"/>
      <c r="B889" s="1"/>
      <c r="C889" s="1"/>
      <c r="D889" s="1225" t="s">
        <v>2324</v>
      </c>
      <c r="E889" s="147"/>
      <c r="F889" s="14"/>
      <c r="G889" s="14"/>
      <c r="H889" s="14"/>
      <c r="I889" s="14"/>
      <c r="J889" s="105"/>
      <c r="K889" s="105"/>
      <c r="L889" s="105"/>
      <c r="M889" s="105"/>
      <c r="N889" s="105"/>
      <c r="O889" s="105"/>
      <c r="P889" s="105"/>
      <c r="Q889" s="105"/>
      <c r="R889" s="105"/>
      <c r="S889" s="105"/>
      <c r="T889" s="105"/>
      <c r="U889" s="105"/>
      <c r="V889" s="105"/>
      <c r="W889" s="105"/>
      <c r="X889" s="105"/>
      <c r="Y889" s="105"/>
      <c r="Z889" s="105"/>
      <c r="AA889" s="105"/>
      <c r="AB889" s="105"/>
      <c r="AC889" s="105"/>
      <c r="AD889" s="652"/>
      <c r="AE889" s="1227">
        <v>36.900697520000001</v>
      </c>
      <c r="AF889" s="105"/>
      <c r="AG889" s="105"/>
      <c r="AH889" s="105"/>
      <c r="AI889" s="105"/>
      <c r="AJ889" s="105"/>
      <c r="AK889" s="105"/>
      <c r="AL889" s="105"/>
      <c r="AM889" s="105"/>
      <c r="AN889" s="105"/>
      <c r="AO889" s="105"/>
      <c r="AP889" s="105"/>
      <c r="AQ889" s="105"/>
      <c r="AR889" s="105"/>
      <c r="AS889" s="105"/>
      <c r="AT889" s="105"/>
    </row>
    <row r="890" spans="1:46" ht="15.9" hidden="1" thickBot="1">
      <c r="A890" s="1"/>
      <c r="B890" s="1"/>
      <c r="C890" s="1"/>
      <c r="D890" s="1226" t="s">
        <v>2325</v>
      </c>
      <c r="E890" s="147"/>
      <c r="F890" s="14"/>
      <c r="G890" s="14"/>
      <c r="H890" s="14"/>
      <c r="I890" s="14"/>
      <c r="J890" s="105"/>
      <c r="K890" s="105"/>
      <c r="L890" s="105"/>
      <c r="M890" s="105"/>
      <c r="N890" s="105"/>
      <c r="O890" s="105"/>
      <c r="P890" s="105"/>
      <c r="Q890" s="105"/>
      <c r="R890" s="105"/>
      <c r="S890" s="105"/>
      <c r="T890" s="105"/>
      <c r="U890" s="105"/>
      <c r="V890" s="105"/>
      <c r="W890" s="105"/>
      <c r="X890" s="105"/>
      <c r="Y890" s="105"/>
      <c r="Z890" s="105"/>
      <c r="AA890" s="105"/>
      <c r="AB890" s="105"/>
      <c r="AC890" s="105"/>
      <c r="AD890" s="652"/>
      <c r="AE890" s="1228">
        <v>18.450348760000001</v>
      </c>
      <c r="AF890" s="105"/>
      <c r="AG890" s="105"/>
      <c r="AH890" s="105"/>
      <c r="AI890" s="105"/>
      <c r="AJ890" s="105"/>
      <c r="AK890" s="105"/>
      <c r="AL890" s="105"/>
      <c r="AM890" s="105"/>
      <c r="AN890" s="105"/>
      <c r="AO890" s="105"/>
      <c r="AP890" s="105"/>
      <c r="AQ890" s="105"/>
      <c r="AR890" s="105"/>
      <c r="AS890" s="105"/>
      <c r="AT890" s="105"/>
    </row>
    <row r="891" spans="1:46" ht="15.9" hidden="1" thickBot="1">
      <c r="A891" s="1"/>
      <c r="B891" s="1"/>
      <c r="C891" s="1"/>
      <c r="D891" s="111" t="s">
        <v>755</v>
      </c>
      <c r="E891" s="147"/>
      <c r="F891" s="14"/>
      <c r="G891" s="14"/>
      <c r="H891" s="14"/>
      <c r="I891" s="14"/>
      <c r="J891" s="105"/>
      <c r="K891" s="105"/>
      <c r="L891" s="105"/>
      <c r="M891" s="105"/>
      <c r="N891" s="105"/>
      <c r="O891" s="105"/>
      <c r="P891" s="105"/>
      <c r="Q891" s="105"/>
      <c r="R891" s="105"/>
      <c r="S891" s="105"/>
      <c r="T891" s="105"/>
      <c r="U891" s="105"/>
      <c r="V891" s="105"/>
      <c r="W891" s="105"/>
      <c r="X891" s="105"/>
      <c r="Y891" s="105"/>
      <c r="Z891" s="105"/>
      <c r="AA891" s="105"/>
      <c r="AB891" s="105">
        <v>0</v>
      </c>
      <c r="AC891" s="105"/>
      <c r="AD891" s="652">
        <f>+(AC78+AD71)*AD259/1000</f>
        <v>0</v>
      </c>
      <c r="AE891" s="1224">
        <v>0</v>
      </c>
      <c r="AF891" s="601">
        <f>+(AE78+AF71)*AF259/1000</f>
        <v>0</v>
      </c>
      <c r="AG891" s="601">
        <f>+(AF78+AG71)*AG259/1000</f>
        <v>0</v>
      </c>
      <c r="AH891" s="601">
        <f>+(AG78+AH71)*AH259/1000</f>
        <v>0</v>
      </c>
      <c r="AI891" s="601">
        <f>+(AH78+AI71)*AI259/1000</f>
        <v>0</v>
      </c>
      <c r="AJ891" s="601">
        <f>+(AI78+AJ71)*AJ259/1000</f>
        <v>0</v>
      </c>
      <c r="AK891" s="601"/>
      <c r="AL891" s="601"/>
      <c r="AM891" s="601"/>
      <c r="AN891" s="601"/>
      <c r="AO891" s="601"/>
      <c r="AP891" s="601"/>
      <c r="AQ891" s="601"/>
      <c r="AR891" s="601"/>
      <c r="AS891" s="601"/>
      <c r="AT891" s="601"/>
    </row>
    <row r="892" spans="1:46" hidden="1">
      <c r="A892" s="1"/>
      <c r="B892" s="1"/>
      <c r="C892" s="1"/>
      <c r="D892" s="1213" t="s">
        <v>2318</v>
      </c>
      <c r="E892" s="147"/>
      <c r="F892" s="14"/>
      <c r="G892" s="14"/>
      <c r="H892" s="14"/>
      <c r="I892" s="14"/>
      <c r="J892" s="105"/>
      <c r="K892" s="105"/>
      <c r="L892" s="105"/>
      <c r="M892" s="105"/>
      <c r="N892" s="105"/>
      <c r="O892" s="105"/>
      <c r="P892" s="105"/>
      <c r="Q892" s="105"/>
      <c r="R892" s="105"/>
      <c r="S892" s="105"/>
      <c r="T892" s="105"/>
      <c r="U892" s="105"/>
      <c r="V892" s="105"/>
      <c r="W892" s="105"/>
      <c r="X892" s="105"/>
      <c r="Y892" s="105"/>
      <c r="Z892" s="105"/>
      <c r="AA892" s="105"/>
      <c r="AB892" s="105"/>
      <c r="AC892" s="105"/>
      <c r="AD892" s="676"/>
      <c r="AE892" s="1212">
        <v>0</v>
      </c>
      <c r="AF892" s="127">
        <v>93.556281474809779</v>
      </c>
      <c r="AG892" s="127">
        <f>AG891</f>
        <v>0</v>
      </c>
      <c r="AH892" s="127"/>
      <c r="AI892" s="127"/>
      <c r="AJ892" s="127"/>
      <c r="AK892" s="127"/>
      <c r="AL892" s="127"/>
      <c r="AM892" s="127"/>
      <c r="AN892" s="127"/>
      <c r="AO892" s="127"/>
      <c r="AP892" s="127"/>
      <c r="AQ892" s="127"/>
      <c r="AR892" s="127"/>
      <c r="AS892" s="127"/>
      <c r="AT892" s="127"/>
    </row>
    <row r="893" spans="1:46" hidden="1">
      <c r="A893" s="1"/>
      <c r="B893" s="1"/>
      <c r="C893" s="1"/>
      <c r="D893" s="111" t="s">
        <v>1176</v>
      </c>
      <c r="E893" s="147"/>
      <c r="F893" s="14"/>
      <c r="G893" s="14"/>
      <c r="H893" s="14"/>
      <c r="I893" s="14"/>
      <c r="J893" s="105"/>
      <c r="K893" s="105"/>
      <c r="L893" s="105"/>
      <c r="M893" s="105"/>
      <c r="N893" s="105"/>
      <c r="O893" s="105"/>
      <c r="P893" s="105"/>
      <c r="Q893" s="105"/>
      <c r="R893" s="105"/>
      <c r="S893" s="105"/>
      <c r="T893" s="105"/>
      <c r="U893" s="105"/>
      <c r="V893" s="105"/>
      <c r="W893" s="105"/>
      <c r="X893" s="105"/>
      <c r="Y893" s="105"/>
      <c r="Z893" s="105"/>
      <c r="AA893" s="105"/>
      <c r="AB893" s="105"/>
      <c r="AC893" s="105"/>
      <c r="AD893" s="652">
        <f>AG1977</f>
        <v>165.11860005157172</v>
      </c>
      <c r="AE893" s="127">
        <v>32.285803754719375</v>
      </c>
      <c r="AF893" s="127">
        <v>38.602429242193438</v>
      </c>
      <c r="AG893" s="127">
        <f>AJ1977</f>
        <v>396.41757207838384</v>
      </c>
      <c r="AH893" s="127"/>
      <c r="AI893" s="127"/>
      <c r="AJ893" s="127"/>
      <c r="AK893" s="127"/>
      <c r="AL893" s="127"/>
      <c r="AM893" s="127"/>
      <c r="AN893" s="127"/>
      <c r="AO893" s="127"/>
      <c r="AP893" s="127"/>
      <c r="AQ893" s="127"/>
      <c r="AR893" s="127"/>
      <c r="AS893" s="127"/>
      <c r="AT893" s="127"/>
    </row>
    <row r="894" spans="1:46" hidden="1">
      <c r="A894" s="1"/>
      <c r="B894" s="1"/>
      <c r="C894" s="1"/>
      <c r="D894" s="110" t="s">
        <v>165</v>
      </c>
      <c r="E894" s="143"/>
      <c r="F894" s="14"/>
      <c r="G894" s="14"/>
      <c r="H894" s="14"/>
      <c r="I894" s="14"/>
      <c r="J894" s="105"/>
      <c r="K894" s="105"/>
      <c r="L894" s="105"/>
      <c r="M894" s="105"/>
      <c r="N894" s="105"/>
      <c r="O894" s="105"/>
      <c r="P894" s="105"/>
      <c r="Q894" s="105"/>
      <c r="R894" s="105"/>
      <c r="S894" s="105"/>
      <c r="T894" s="105"/>
      <c r="U894" s="105"/>
      <c r="V894" s="105"/>
      <c r="W894" s="105">
        <v>0</v>
      </c>
      <c r="X894" s="105">
        <v>337.9</v>
      </c>
      <c r="Y894" s="105">
        <v>66.283647365557997</v>
      </c>
      <c r="Z894" s="105">
        <f>0*92.8+99.233</f>
        <v>99.233000000000004</v>
      </c>
      <c r="AA894" s="105">
        <f>FISCinyear!IJ676</f>
        <v>102.868015341633</v>
      </c>
      <c r="AB894" s="105">
        <v>0</v>
      </c>
      <c r="AC894" s="105">
        <v>170.35041550616</v>
      </c>
      <c r="AD894" s="652">
        <f>FISCinyear!IS676</f>
        <v>214.928464239612</v>
      </c>
      <c r="AE894" s="125">
        <v>287.97105069611632</v>
      </c>
      <c r="AF894" s="125">
        <f>+((AE62+AF59)*AF$259/1000)</f>
        <v>391.13359738891876</v>
      </c>
      <c r="AG894" s="125">
        <f>+((AF62+AG59)*AG$259/1000)</f>
        <v>406.53126666921986</v>
      </c>
      <c r="AH894" s="125">
        <f>+(AG62+AH59)*AH$259/1000</f>
        <v>429.00165642802523</v>
      </c>
      <c r="AI894" s="125">
        <f>+(AH62+AI59)*AI$259/1000</f>
        <v>629.39202538546635</v>
      </c>
      <c r="AJ894" s="125">
        <f>+(AI62+AJ59)*AJ$259/1000</f>
        <v>715.69792627340985</v>
      </c>
      <c r="AK894" s="125"/>
      <c r="AL894" s="125"/>
      <c r="AM894" s="125"/>
      <c r="AN894" s="125"/>
      <c r="AO894" s="125"/>
      <c r="AP894" s="125"/>
      <c r="AQ894" s="125"/>
      <c r="AR894" s="125"/>
      <c r="AS894" s="125"/>
      <c r="AT894" s="125"/>
    </row>
    <row r="895" spans="1:46" hidden="1">
      <c r="A895" s="1"/>
      <c r="B895" s="1"/>
      <c r="C895" s="1"/>
      <c r="D895" s="111" t="s">
        <v>166</v>
      </c>
      <c r="E895" s="147" t="s">
        <v>221</v>
      </c>
      <c r="F895" s="14"/>
      <c r="G895" s="14"/>
      <c r="H895" s="14"/>
      <c r="I895" s="14"/>
      <c r="J895" s="105"/>
      <c r="K895" s="105"/>
      <c r="L895" s="105"/>
      <c r="M895" s="105"/>
      <c r="N895" s="105"/>
      <c r="O895" s="105"/>
      <c r="P895" s="105"/>
      <c r="Q895" s="105"/>
      <c r="R895" s="105"/>
      <c r="S895" s="105"/>
      <c r="T895" s="105"/>
      <c r="U895" s="105"/>
      <c r="V895" s="105"/>
      <c r="W895" s="105">
        <v>0</v>
      </c>
      <c r="X895" s="105">
        <v>255.6</v>
      </c>
      <c r="Y895" s="105">
        <v>0</v>
      </c>
      <c r="Z895" s="105">
        <v>0</v>
      </c>
      <c r="AA895" s="105">
        <f>FISCinyear!IJ677</f>
        <v>0</v>
      </c>
      <c r="AB895" s="105">
        <v>0</v>
      </c>
      <c r="AC895" s="105">
        <v>0</v>
      </c>
      <c r="AD895" s="652"/>
      <c r="AE895" s="105"/>
      <c r="AF895" s="105"/>
      <c r="AG895" s="105"/>
      <c r="AH895" s="105"/>
      <c r="AI895" s="105"/>
      <c r="AJ895" s="105"/>
      <c r="AK895" s="105"/>
      <c r="AL895" s="105"/>
      <c r="AM895" s="105"/>
      <c r="AN895" s="105"/>
      <c r="AO895" s="105"/>
      <c r="AP895" s="105"/>
      <c r="AQ895" s="105"/>
      <c r="AR895" s="105"/>
      <c r="AS895" s="105"/>
      <c r="AT895" s="105"/>
    </row>
    <row r="896" spans="1:46" hidden="1">
      <c r="A896" s="1"/>
      <c r="B896" s="1"/>
      <c r="C896" s="1"/>
      <c r="D896" s="111" t="s">
        <v>167</v>
      </c>
      <c r="E896" s="147" t="s">
        <v>221</v>
      </c>
      <c r="F896" s="14"/>
      <c r="G896" s="14"/>
      <c r="H896" s="14"/>
      <c r="I896" s="14"/>
      <c r="J896" s="105"/>
      <c r="K896" s="105"/>
      <c r="L896" s="105"/>
      <c r="M896" s="105"/>
      <c r="N896" s="105"/>
      <c r="O896" s="105"/>
      <c r="P896" s="105"/>
      <c r="Q896" s="105"/>
      <c r="R896" s="105"/>
      <c r="S896" s="105"/>
      <c r="T896" s="105"/>
      <c r="U896" s="105"/>
      <c r="V896" s="105"/>
      <c r="W896" s="105">
        <v>0</v>
      </c>
      <c r="X896" s="105">
        <v>0</v>
      </c>
      <c r="Y896" s="105">
        <v>0</v>
      </c>
      <c r="Z896" s="105">
        <v>0</v>
      </c>
      <c r="AA896" s="105">
        <f>FISCinyear!IJ678</f>
        <v>0</v>
      </c>
      <c r="AB896" s="105">
        <v>0</v>
      </c>
      <c r="AC896" s="105">
        <v>0</v>
      </c>
      <c r="AD896" s="652"/>
      <c r="AE896" s="105"/>
      <c r="AF896" s="105"/>
      <c r="AG896" s="105"/>
      <c r="AH896" s="105"/>
      <c r="AI896" s="105"/>
      <c r="AJ896" s="105"/>
      <c r="AK896" s="105"/>
      <c r="AL896" s="105"/>
      <c r="AM896" s="105"/>
      <c r="AN896" s="105"/>
      <c r="AO896" s="105"/>
      <c r="AP896" s="105"/>
      <c r="AQ896" s="105"/>
      <c r="AR896" s="105"/>
      <c r="AS896" s="105"/>
      <c r="AT896" s="105"/>
    </row>
    <row r="897" spans="1:46" hidden="1">
      <c r="A897" s="1"/>
      <c r="B897" s="1"/>
      <c r="C897" s="1"/>
      <c r="D897" s="111" t="s">
        <v>168</v>
      </c>
      <c r="E897" s="147" t="s">
        <v>221</v>
      </c>
      <c r="F897" s="14"/>
      <c r="G897" s="14"/>
      <c r="H897" s="14"/>
      <c r="I897" s="14"/>
      <c r="J897" s="105"/>
      <c r="K897" s="105"/>
      <c r="L897" s="105"/>
      <c r="M897" s="105"/>
      <c r="N897" s="105"/>
      <c r="O897" s="105"/>
      <c r="P897" s="105"/>
      <c r="Q897" s="105"/>
      <c r="R897" s="105"/>
      <c r="S897" s="105"/>
      <c r="T897" s="105"/>
      <c r="U897" s="105"/>
      <c r="V897" s="105"/>
      <c r="W897" s="105">
        <v>0</v>
      </c>
      <c r="X897" s="105">
        <v>0</v>
      </c>
      <c r="Y897" s="105">
        <v>0</v>
      </c>
      <c r="Z897" s="105">
        <v>0</v>
      </c>
      <c r="AA897" s="105">
        <f>FISCinyear!IJ679</f>
        <v>0</v>
      </c>
      <c r="AB897" s="105">
        <v>0</v>
      </c>
      <c r="AC897" s="105">
        <v>0</v>
      </c>
      <c r="AD897" s="652"/>
      <c r="AE897" s="105"/>
      <c r="AF897" s="105"/>
      <c r="AG897" s="105"/>
      <c r="AH897" s="105"/>
      <c r="AI897" s="105"/>
      <c r="AJ897" s="105"/>
      <c r="AK897" s="105"/>
      <c r="AL897" s="105"/>
      <c r="AM897" s="105"/>
      <c r="AN897" s="105"/>
      <c r="AO897" s="105"/>
      <c r="AP897" s="105"/>
      <c r="AQ897" s="105"/>
      <c r="AR897" s="105"/>
      <c r="AS897" s="105"/>
      <c r="AT897" s="105"/>
    </row>
    <row r="898" spans="1:46" hidden="1">
      <c r="A898" s="1"/>
      <c r="B898" s="1"/>
      <c r="C898" s="1"/>
      <c r="D898" s="108" t="s">
        <v>169</v>
      </c>
      <c r="E898" s="147"/>
      <c r="F898" s="14"/>
      <c r="G898" s="14"/>
      <c r="H898" s="14"/>
      <c r="I898" s="14"/>
      <c r="J898" s="105">
        <v>-7.6999999999999993</v>
      </c>
      <c r="K898" s="105">
        <v>-6.5476999999999999</v>
      </c>
      <c r="L898" s="105">
        <v>-6.1934000000000005</v>
      </c>
      <c r="M898" s="105">
        <v>-12.6957</v>
      </c>
      <c r="N898" s="105">
        <v>-15.16165</v>
      </c>
      <c r="O898" s="105">
        <v>-13.614739184499999</v>
      </c>
      <c r="P898" s="105">
        <v>-17.4360391845</v>
      </c>
      <c r="Q898" s="105">
        <v>-17.210450000000002</v>
      </c>
      <c r="R898" s="105">
        <v>-5.6</v>
      </c>
      <c r="S898" s="105">
        <v>-5.0999999999999996</v>
      </c>
      <c r="T898" s="105">
        <v>-4.4000000000000004</v>
      </c>
      <c r="U898" s="105">
        <v>-5</v>
      </c>
      <c r="V898" s="105">
        <v>-7.8795716799999997</v>
      </c>
      <c r="W898" s="105">
        <v>-9.6999999999999993</v>
      </c>
      <c r="X898" s="105">
        <v>-15.5</v>
      </c>
      <c r="Y898" s="105">
        <v>-11.038625171173628</v>
      </c>
      <c r="Z898" s="105">
        <v>-14.550458001815809</v>
      </c>
      <c r="AA898" s="105">
        <f>FISCinyear!IJ680</f>
        <v>-17.121454944713733</v>
      </c>
      <c r="AB898" s="105">
        <v>-21.883363170974814</v>
      </c>
      <c r="AC898" s="105">
        <v>-25.817758485916514</v>
      </c>
      <c r="AD898" s="652">
        <f>FISCinyear!IS680</f>
        <v>-28.665006298050265</v>
      </c>
      <c r="AE898" s="1119">
        <v>-56.357301867890811</v>
      </c>
      <c r="AF898" s="105">
        <f>-((AE122+AE127+AF112+AF117)*AF259/1000)</f>
        <v>-138.46376237974926</v>
      </c>
      <c r="AG898" s="105">
        <f>-((AF122+AF127+AG112+AG117)*AG259/1000)</f>
        <v>-484.62946377611792</v>
      </c>
      <c r="AH898" s="105">
        <f>-(AG122+AG127+AH112+AH117)*AH259/1000</f>
        <v>-166.81651394214106</v>
      </c>
      <c r="AI898" s="105">
        <f>-(AH122+AH127+AI112+AI117)*AI259/1000</f>
        <v>-125.66670271590607</v>
      </c>
      <c r="AJ898" s="105">
        <f>-(AI122+AI127+AJ112+AJ117)*AJ259/1000</f>
        <v>-177.38448821596552</v>
      </c>
      <c r="AK898" s="105"/>
      <c r="AL898" s="105"/>
      <c r="AM898" s="105"/>
      <c r="AN898" s="105"/>
      <c r="AO898" s="105"/>
      <c r="AP898" s="105"/>
      <c r="AQ898" s="105"/>
      <c r="AR898" s="105"/>
      <c r="AS898" s="105"/>
      <c r="AT898" s="105"/>
    </row>
    <row r="899" spans="1:46" hidden="1">
      <c r="A899" s="1"/>
      <c r="B899" s="1"/>
      <c r="C899" s="1"/>
      <c r="D899" s="108" t="s">
        <v>1211</v>
      </c>
      <c r="E899" s="147"/>
      <c r="F899" s="14"/>
      <c r="G899" s="14"/>
      <c r="H899" s="14"/>
      <c r="I899" s="14"/>
      <c r="J899" s="105"/>
      <c r="K899" s="105"/>
      <c r="L899" s="105"/>
      <c r="M899" s="105"/>
      <c r="N899" s="105"/>
      <c r="O899" s="105"/>
      <c r="P899" s="105"/>
      <c r="Q899" s="105"/>
      <c r="R899" s="105"/>
      <c r="S899" s="105"/>
      <c r="T899" s="105"/>
      <c r="U899" s="105"/>
      <c r="V899" s="105"/>
      <c r="W899" s="105"/>
      <c r="X899" s="105"/>
      <c r="Y899" s="105"/>
      <c r="Z899" s="105"/>
      <c r="AA899" s="105"/>
      <c r="AB899" s="105"/>
      <c r="AC899" s="105"/>
      <c r="AD899" s="652"/>
      <c r="AE899" s="105">
        <v>-15.958385955023342</v>
      </c>
      <c r="AF899" s="105">
        <v>-18.023970744770253</v>
      </c>
      <c r="AG899" s="105">
        <f>-(AF124+AF129+AG114+AG119)*AG259/1000</f>
        <v>-20.362304118326986</v>
      </c>
      <c r="AH899" s="105"/>
      <c r="AI899" s="105"/>
      <c r="AJ899" s="105"/>
      <c r="AK899" s="105"/>
      <c r="AL899" s="105"/>
      <c r="AM899" s="105"/>
      <c r="AN899" s="105"/>
      <c r="AO899" s="105"/>
      <c r="AP899" s="105"/>
      <c r="AQ899" s="105"/>
      <c r="AR899" s="105"/>
      <c r="AS899" s="105"/>
      <c r="AT899" s="105"/>
    </row>
    <row r="900" spans="1:46" hidden="1">
      <c r="A900" s="1"/>
      <c r="B900" s="1"/>
      <c r="C900" s="1"/>
      <c r="D900" s="112" t="s">
        <v>828</v>
      </c>
      <c r="E900" s="147"/>
      <c r="F900" s="14"/>
      <c r="G900" s="14"/>
      <c r="H900" s="14"/>
      <c r="I900" s="14"/>
      <c r="J900" s="105">
        <v>37.418013528499991</v>
      </c>
      <c r="K900" s="105">
        <v>20.146934028499999</v>
      </c>
      <c r="L900" s="105">
        <v>23.979750000000003</v>
      </c>
      <c r="M900" s="105">
        <v>27.4712</v>
      </c>
      <c r="N900" s="105">
        <v>16.42475</v>
      </c>
      <c r="O900" s="105">
        <v>13.076779184499994</v>
      </c>
      <c r="P900" s="105">
        <v>-8.6194697289400111</v>
      </c>
      <c r="Q900" s="105">
        <v>-10.787937861939998</v>
      </c>
      <c r="R900" s="105">
        <v>-5.9999999999999503</v>
      </c>
      <c r="S900" s="105">
        <v>-30.700000000000117</v>
      </c>
      <c r="T900" s="105">
        <v>-3.0999999999999943</v>
      </c>
      <c r="U900" s="105">
        <f t="shared" ref="U900:AA900" si="1160">+U901+U915</f>
        <v>-9.7000000000000011</v>
      </c>
      <c r="V900" s="105">
        <f t="shared" si="1160"/>
        <v>57.983399999999996</v>
      </c>
      <c r="W900" s="105">
        <f t="shared" si="1160"/>
        <v>-38.200000000000003</v>
      </c>
      <c r="X900" s="105">
        <f t="shared" si="1160"/>
        <v>-119.99712944561435</v>
      </c>
      <c r="Y900" s="105">
        <f t="shared" si="1160"/>
        <v>119.8721765811476</v>
      </c>
      <c r="Z900" s="105">
        <f t="shared" si="1160"/>
        <v>9.2999999999999972</v>
      </c>
      <c r="AA900" s="105">
        <f t="shared" si="1160"/>
        <v>49.802102218795412</v>
      </c>
      <c r="AB900" s="105">
        <v>24.5612687293828</v>
      </c>
      <c r="AC900" s="105">
        <v>42.957634732946076</v>
      </c>
      <c r="AD900" s="120">
        <f t="shared" ref="AD900:AJ900" si="1161">+AD901+AD915</f>
        <v>74.143283378921595</v>
      </c>
      <c r="AE900" s="105">
        <v>88.652325063023426</v>
      </c>
      <c r="AF900" s="105">
        <v>265.5799971589999</v>
      </c>
      <c r="AG900" s="105">
        <f t="shared" si="1161"/>
        <v>225.00000000000006</v>
      </c>
      <c r="AH900" s="105">
        <f t="shared" si="1161"/>
        <v>160.5414257031031</v>
      </c>
      <c r="AI900" s="105">
        <f t="shared" si="1161"/>
        <v>301.06473235620956</v>
      </c>
      <c r="AJ900" s="105">
        <f t="shared" si="1161"/>
        <v>174.89999999999998</v>
      </c>
      <c r="AK900" s="105"/>
      <c r="AL900" s="105"/>
      <c r="AM900" s="105"/>
      <c r="AN900" s="105"/>
      <c r="AO900" s="105"/>
      <c r="AP900" s="105"/>
      <c r="AQ900" s="105"/>
      <c r="AR900" s="105"/>
      <c r="AS900" s="105"/>
      <c r="AT900" s="105"/>
    </row>
    <row r="901" spans="1:46" hidden="1">
      <c r="A901" s="1"/>
      <c r="B901" s="1"/>
      <c r="C901" s="1"/>
      <c r="D901" s="108" t="s">
        <v>830</v>
      </c>
      <c r="E901" s="147"/>
      <c r="F901" s="14"/>
      <c r="G901" s="14"/>
      <c r="H901" s="14"/>
      <c r="I901" s="14"/>
      <c r="J901" s="105">
        <v>2.15</v>
      </c>
      <c r="K901" s="105">
        <v>-2.9720000000000004</v>
      </c>
      <c r="L901" s="105">
        <v>-7.322000000000001</v>
      </c>
      <c r="M901" s="105">
        <v>-11.795549999999999</v>
      </c>
      <c r="N901" s="105">
        <v>-1.2955499999999986</v>
      </c>
      <c r="O901" s="105">
        <v>-16.299999999999997</v>
      </c>
      <c r="P901" s="105">
        <v>-39.677999999999997</v>
      </c>
      <c r="Q901" s="105">
        <v>-21.34</v>
      </c>
      <c r="R901" s="105">
        <v>-7.2</v>
      </c>
      <c r="S901" s="105">
        <v>-13.4</v>
      </c>
      <c r="T901" s="105">
        <v>18</v>
      </c>
      <c r="U901" s="105">
        <v>8.4</v>
      </c>
      <c r="V901" s="105">
        <v>77.599999999999994</v>
      </c>
      <c r="W901" s="105">
        <v>-15.4</v>
      </c>
      <c r="X901" s="105">
        <v>-144.29712944561436</v>
      </c>
      <c r="Y901" s="105">
        <v>150.64964507114763</v>
      </c>
      <c r="Z901" s="105">
        <f>+Z281-Y281</f>
        <v>0</v>
      </c>
      <c r="AA901" s="105">
        <f>FISCinyear!IJ682</f>
        <v>2.084742819304978</v>
      </c>
      <c r="AB901" s="105">
        <v>16.564485398969001</v>
      </c>
      <c r="AC901" s="105">
        <v>48.83076168552401</v>
      </c>
      <c r="AD901" s="652">
        <f>FISCinyear!IS682</f>
        <v>7.236608287921598</v>
      </c>
      <c r="AE901" s="105">
        <v>88.652325063023426</v>
      </c>
      <c r="AF901" s="105">
        <v>265.5799971589999</v>
      </c>
      <c r="AG901" s="105">
        <f t="shared" ref="AG901:AJ901" si="1162">+AG902+AG904+AG905+AG912+AG914</f>
        <v>225.00000000000006</v>
      </c>
      <c r="AH901" s="105">
        <f t="shared" si="1162"/>
        <v>160.5414257031031</v>
      </c>
      <c r="AI901" s="105">
        <f t="shared" si="1162"/>
        <v>301.06473235620956</v>
      </c>
      <c r="AJ901" s="105">
        <f t="shared" si="1162"/>
        <v>174.89999999999998</v>
      </c>
      <c r="AK901" s="105"/>
      <c r="AL901" s="105"/>
      <c r="AM901" s="105"/>
      <c r="AN901" s="105"/>
      <c r="AO901" s="105"/>
      <c r="AP901" s="105"/>
      <c r="AQ901" s="105"/>
      <c r="AR901" s="105"/>
      <c r="AS901" s="105"/>
      <c r="AT901" s="105"/>
    </row>
    <row r="902" spans="1:46" hidden="1">
      <c r="A902" s="1"/>
      <c r="B902" s="1"/>
      <c r="C902" s="1"/>
      <c r="D902" s="110" t="s">
        <v>834</v>
      </c>
      <c r="E902" s="147" t="s">
        <v>221</v>
      </c>
      <c r="F902" s="14"/>
      <c r="G902" s="14"/>
      <c r="H902" s="14"/>
      <c r="I902" s="14"/>
      <c r="J902" s="105"/>
      <c r="K902" s="105"/>
      <c r="L902" s="105"/>
      <c r="M902" s="105"/>
      <c r="N902" s="105"/>
      <c r="O902" s="105"/>
      <c r="P902" s="105"/>
      <c r="Q902" s="105"/>
      <c r="R902" s="105"/>
      <c r="S902" s="105"/>
      <c r="T902" s="105"/>
      <c r="U902" s="105"/>
      <c r="V902" s="105"/>
      <c r="W902" s="105">
        <v>0</v>
      </c>
      <c r="X902" s="105">
        <v>29.5</v>
      </c>
      <c r="Y902" s="105">
        <v>78.57616784814762</v>
      </c>
      <c r="Z902" s="105">
        <f>+Z901-Z904-Z905</f>
        <v>-54.3</v>
      </c>
      <c r="AA902" s="105">
        <f>FISCinyear!IJ683</f>
        <v>-9.9825925666950326</v>
      </c>
      <c r="AB902" s="105">
        <v>38.204477573968973</v>
      </c>
      <c r="AC902" s="105">
        <v>40.36999999999999</v>
      </c>
      <c r="AD902" s="652">
        <f>FISCinyear!IS683</f>
        <v>13.640917507921586</v>
      </c>
      <c r="AE902" s="127">
        <v>111.40000000000009</v>
      </c>
      <c r="AF902" s="127">
        <v>284.39999999999992</v>
      </c>
      <c r="AG902" s="127">
        <f>-8.3-263.2-450.3+900.6-25.8+13.9+52.2+0.2+600.4+57.5+18.1+6.3-15.6-105.4-18.4-241.3-16+5.4-104.3-181.5+0.3+0.1+0.1</f>
        <v>225.00000000000006</v>
      </c>
      <c r="AH902" s="127">
        <f>57-13.4+8.3-0.4+0.1+26.5+13.2+119.6+213.5-170.4-185.2+41.2-20.2-70.7+143.5-5.7+74.1-7.9-78.3-9.8-26.1+491.5+0.3+368.7+18.1+5.2-20.2-119.2-19.8-228.1-16+6.1-159.7-7.1-189.6-29.4-0.8-0.2+5.2-0.4</f>
        <v>213.49999999999986</v>
      </c>
      <c r="AI902" s="127">
        <f>57+29.3+20.7-0.3+0.2-42.8+358.1+270.8-257.6-360.8+90.2+57.9-95+172.3-7.8+4.3-8.6-12.3-129.8-55.6+374.8+106.7+0.4+541.6+18.1+5.4-40-134.5-24.3-307.4-16+6.9-177.9-38.3-50.4-26.6+0.1+9.4+12.8-0.2</f>
        <v>350.80000000000013</v>
      </c>
      <c r="AJ902" s="127">
        <f>-45.7+57+3.3+35.9+0.7+0.3+197.1+253.6-199.9-510.3+201+61.2-124.8+201.2-9.4-75.6-12.3+71.5-179-51+622.1+68.5+0.4+453.1+18.1+4.6+8-151.3-29.6-370.5-16+7.8-231.2-50.6-59.2-30.2+0.1+23.6+7.8+41.3-16.7</f>
        <v>174.89999999999998</v>
      </c>
      <c r="AK902" s="127"/>
      <c r="AL902" s="127"/>
      <c r="AM902" s="127"/>
      <c r="AN902" s="127"/>
      <c r="AO902" s="127"/>
      <c r="AP902" s="127"/>
      <c r="AQ902" s="127"/>
      <c r="AR902" s="127"/>
      <c r="AS902" s="127"/>
      <c r="AT902" s="127"/>
    </row>
    <row r="903" spans="1:46" hidden="1">
      <c r="A903" s="1"/>
      <c r="B903" s="1"/>
      <c r="C903" s="1"/>
      <c r="D903" s="110" t="s">
        <v>786</v>
      </c>
      <c r="E903" s="147"/>
      <c r="F903" s="14"/>
      <c r="G903" s="14"/>
      <c r="H903" s="14"/>
      <c r="I903" s="14"/>
      <c r="J903" s="105"/>
      <c r="K903" s="105"/>
      <c r="L903" s="105"/>
      <c r="M903" s="105"/>
      <c r="N903" s="105"/>
      <c r="O903" s="105"/>
      <c r="P903" s="105"/>
      <c r="Q903" s="105"/>
      <c r="R903" s="105"/>
      <c r="S903" s="105"/>
      <c r="T903" s="105"/>
      <c r="U903" s="105"/>
      <c r="V903" s="105"/>
      <c r="W903" s="105"/>
      <c r="X903" s="105"/>
      <c r="Y903" s="105"/>
      <c r="Z903" s="105"/>
      <c r="AA903" s="105"/>
      <c r="AB903" s="105">
        <v>0</v>
      </c>
      <c r="AC903" s="105">
        <v>40.36999999999999</v>
      </c>
      <c r="AD903" s="652">
        <f>+AD902</f>
        <v>13.640917507921586</v>
      </c>
      <c r="AE903" s="685">
        <v>111.40000000000009</v>
      </c>
      <c r="AF903" s="685">
        <v>284.39999999999992</v>
      </c>
      <c r="AG903" s="685">
        <f t="shared" ref="AG903:AJ903" si="1163">+AG902</f>
        <v>225.00000000000006</v>
      </c>
      <c r="AH903" s="685">
        <f t="shared" si="1163"/>
        <v>213.49999999999986</v>
      </c>
      <c r="AI903" s="685">
        <f t="shared" si="1163"/>
        <v>350.80000000000013</v>
      </c>
      <c r="AJ903" s="685">
        <f t="shared" si="1163"/>
        <v>174.89999999999998</v>
      </c>
      <c r="AK903" s="685"/>
      <c r="AL903" s="685"/>
      <c r="AM903" s="685"/>
      <c r="AN903" s="685"/>
      <c r="AO903" s="685"/>
      <c r="AP903" s="685"/>
      <c r="AQ903" s="685"/>
      <c r="AR903" s="685"/>
      <c r="AS903" s="685"/>
      <c r="AT903" s="685"/>
    </row>
    <row r="904" spans="1:46" hidden="1">
      <c r="A904" s="1"/>
      <c r="B904" s="1"/>
      <c r="C904" s="1"/>
      <c r="D904" s="110" t="s">
        <v>835</v>
      </c>
      <c r="E904" s="151" t="s">
        <v>222</v>
      </c>
      <c r="F904" s="14"/>
      <c r="G904" s="14"/>
      <c r="H904" s="14"/>
      <c r="I904" s="14"/>
      <c r="J904" s="105"/>
      <c r="K904" s="105"/>
      <c r="L904" s="105"/>
      <c r="M904" s="105"/>
      <c r="N904" s="105"/>
      <c r="O904" s="105"/>
      <c r="P904" s="105"/>
      <c r="Q904" s="105"/>
      <c r="R904" s="105"/>
      <c r="S904" s="105"/>
      <c r="T904" s="105"/>
      <c r="U904" s="105"/>
      <c r="V904" s="105"/>
      <c r="W904" s="105">
        <v>0</v>
      </c>
      <c r="X904" s="105">
        <v>-107.9</v>
      </c>
      <c r="Y904" s="105">
        <v>49.745671745000003</v>
      </c>
      <c r="Z904" s="105">
        <f>0*14.8+25.7</f>
        <v>25.7</v>
      </c>
      <c r="AA904" s="105">
        <f>FISCinyear!IJ685</f>
        <v>19.346579886000001</v>
      </c>
      <c r="AB904" s="105">
        <v>0</v>
      </c>
      <c r="AC904" s="105">
        <v>0</v>
      </c>
      <c r="AD904" s="652"/>
      <c r="AE904" s="105"/>
      <c r="AF904" s="548"/>
      <c r="AG904" s="105"/>
      <c r="AH904" s="548">
        <v>-9.1999999999999993</v>
      </c>
      <c r="AI904" s="548"/>
      <c r="AJ904" s="548"/>
      <c r="AK904" s="548"/>
      <c r="AL904" s="548"/>
      <c r="AM904" s="548"/>
      <c r="AN904" s="548"/>
      <c r="AO904" s="548"/>
      <c r="AP904" s="548"/>
      <c r="AQ904" s="548"/>
      <c r="AR904" s="548"/>
      <c r="AS904" s="548"/>
      <c r="AT904" s="548"/>
    </row>
    <row r="905" spans="1:46" hidden="1">
      <c r="A905" s="1"/>
      <c r="B905" s="1"/>
      <c r="C905" s="1"/>
      <c r="D905" s="551" t="s">
        <v>836</v>
      </c>
      <c r="E905" s="151" t="s">
        <v>222</v>
      </c>
      <c r="F905" s="14"/>
      <c r="G905" s="14"/>
      <c r="H905" s="14"/>
      <c r="I905" s="14"/>
      <c r="J905" s="105"/>
      <c r="K905" s="105"/>
      <c r="L905" s="105"/>
      <c r="M905" s="105"/>
      <c r="N905" s="105"/>
      <c r="O905" s="105"/>
      <c r="P905" s="105"/>
      <c r="Q905" s="105"/>
      <c r="R905" s="105"/>
      <c r="S905" s="105"/>
      <c r="T905" s="105"/>
      <c r="U905" s="105"/>
      <c r="V905" s="105"/>
      <c r="W905" s="105">
        <v>0</v>
      </c>
      <c r="X905" s="105">
        <v>-33.4</v>
      </c>
      <c r="Y905" s="105">
        <v>22.327805478000002</v>
      </c>
      <c r="Z905" s="548">
        <v>28.6</v>
      </c>
      <c r="AA905" s="548">
        <f>FISCinyear!IJ686</f>
        <v>10.220755499999999</v>
      </c>
      <c r="AB905" s="548">
        <v>19.200000000000003</v>
      </c>
      <c r="AC905" s="548">
        <v>3.8466942869999912</v>
      </c>
      <c r="AD905" s="652"/>
      <c r="AE905" s="934"/>
      <c r="AF905" s="548"/>
      <c r="AG905" s="105"/>
      <c r="AH905" s="548"/>
      <c r="AI905" s="548"/>
      <c r="AJ905" s="548"/>
      <c r="AK905" s="548"/>
      <c r="AL905" s="548"/>
      <c r="AM905" s="548"/>
      <c r="AN905" s="548"/>
      <c r="AO905" s="548"/>
      <c r="AP905" s="548"/>
      <c r="AQ905" s="548"/>
      <c r="AR905" s="548"/>
      <c r="AS905" s="548"/>
      <c r="AT905" s="548"/>
    </row>
    <row r="906" spans="1:46" hidden="1">
      <c r="A906" s="1"/>
      <c r="B906" s="1"/>
      <c r="C906" s="1"/>
      <c r="D906" s="110" t="s">
        <v>837</v>
      </c>
      <c r="E906" s="151" t="s">
        <v>222</v>
      </c>
      <c r="F906" s="14"/>
      <c r="G906" s="14"/>
      <c r="H906" s="14"/>
      <c r="I906" s="14"/>
      <c r="J906" s="105"/>
      <c r="K906" s="105"/>
      <c r="L906" s="105"/>
      <c r="M906" s="105"/>
      <c r="N906" s="105"/>
      <c r="O906" s="105"/>
      <c r="P906" s="105"/>
      <c r="Q906" s="105"/>
      <c r="R906" s="105"/>
      <c r="S906" s="105"/>
      <c r="T906" s="105"/>
      <c r="U906" s="105"/>
      <c r="V906" s="105"/>
      <c r="W906" s="105">
        <v>0</v>
      </c>
      <c r="X906" s="105">
        <v>0</v>
      </c>
      <c r="Y906" s="105">
        <v>-32.5</v>
      </c>
      <c r="Z906" s="105">
        <v>0</v>
      </c>
      <c r="AA906" s="105">
        <f>FISCinyear!IJ687</f>
        <v>0</v>
      </c>
      <c r="AB906" s="105">
        <v>0</v>
      </c>
      <c r="AC906" s="105"/>
      <c r="AD906" s="652"/>
      <c r="AE906" s="105"/>
      <c r="AF906" s="105"/>
      <c r="AG906" s="105"/>
      <c r="AH906" s="105"/>
      <c r="AI906" s="105"/>
      <c r="AJ906" s="105"/>
      <c r="AK906" s="105"/>
      <c r="AL906" s="105"/>
      <c r="AM906" s="105"/>
      <c r="AN906" s="105"/>
      <c r="AO906" s="105"/>
      <c r="AP906" s="105"/>
      <c r="AQ906" s="105"/>
      <c r="AR906" s="105"/>
      <c r="AS906" s="105"/>
      <c r="AT906" s="105"/>
    </row>
    <row r="907" spans="1:46" hidden="1">
      <c r="A907" s="1"/>
      <c r="B907" s="1"/>
      <c r="C907" s="1"/>
      <c r="D907" s="1120" t="s">
        <v>1205</v>
      </c>
      <c r="E907" s="151"/>
      <c r="F907" s="14"/>
      <c r="G907" s="14"/>
      <c r="H907" s="14"/>
      <c r="I907" s="14"/>
      <c r="J907" s="105"/>
      <c r="K907" s="105"/>
      <c r="L907" s="105"/>
      <c r="M907" s="105"/>
      <c r="N907" s="105"/>
      <c r="O907" s="105"/>
      <c r="P907" s="105"/>
      <c r="Q907" s="105"/>
      <c r="R907" s="105"/>
      <c r="S907" s="105"/>
      <c r="T907" s="105"/>
      <c r="U907" s="105"/>
      <c r="V907" s="105"/>
      <c r="W907" s="105"/>
      <c r="X907" s="105"/>
      <c r="Y907" s="105"/>
      <c r="Z907" s="105"/>
      <c r="AA907" s="105"/>
      <c r="AB907" s="105"/>
      <c r="AC907" s="105"/>
      <c r="AD907" s="652"/>
      <c r="AE907" s="105">
        <v>25.6</v>
      </c>
      <c r="AF907" s="105"/>
      <c r="AG907" s="105"/>
      <c r="AH907" s="105"/>
      <c r="AI907" s="105"/>
      <c r="AJ907" s="105"/>
      <c r="AK907" s="105"/>
      <c r="AL907" s="105"/>
      <c r="AM907" s="105"/>
      <c r="AN907" s="105"/>
      <c r="AO907" s="105"/>
      <c r="AP907" s="105"/>
      <c r="AQ907" s="105"/>
      <c r="AR907" s="105"/>
      <c r="AS907" s="105"/>
      <c r="AT907" s="105"/>
    </row>
    <row r="908" spans="1:46" hidden="1">
      <c r="A908" s="1"/>
      <c r="B908" s="1"/>
      <c r="C908" s="1"/>
      <c r="D908" s="1120" t="s">
        <v>1206</v>
      </c>
      <c r="E908" s="151"/>
      <c r="F908" s="14"/>
      <c r="G908" s="14"/>
      <c r="H908" s="14"/>
      <c r="I908" s="14"/>
      <c r="J908" s="105"/>
      <c r="K908" s="105"/>
      <c r="L908" s="105"/>
      <c r="M908" s="105"/>
      <c r="N908" s="105"/>
      <c r="O908" s="105"/>
      <c r="P908" s="105"/>
      <c r="Q908" s="105"/>
      <c r="R908" s="105"/>
      <c r="S908" s="105"/>
      <c r="T908" s="105"/>
      <c r="U908" s="105"/>
      <c r="V908" s="105"/>
      <c r="W908" s="105"/>
      <c r="X908" s="105"/>
      <c r="Y908" s="105"/>
      <c r="Z908" s="105"/>
      <c r="AA908" s="105"/>
      <c r="AB908" s="105"/>
      <c r="AC908" s="105"/>
      <c r="AD908" s="652"/>
      <c r="AE908" s="105">
        <v>-7.5320889099766575</v>
      </c>
      <c r="AF908" s="105">
        <v>-8.5111547032297459</v>
      </c>
      <c r="AG908" s="105">
        <f>AJ1987-AG899</f>
        <v>20.362304118326986</v>
      </c>
      <c r="AH908" s="105"/>
      <c r="AI908" s="105"/>
      <c r="AJ908" s="105"/>
      <c r="AK908" s="105"/>
      <c r="AL908" s="105"/>
      <c r="AM908" s="105"/>
      <c r="AN908" s="105"/>
      <c r="AO908" s="105"/>
      <c r="AP908" s="105"/>
      <c r="AQ908" s="105"/>
      <c r="AR908" s="105"/>
      <c r="AS908" s="105"/>
      <c r="AT908" s="105"/>
    </row>
    <row r="909" spans="1:46" hidden="1">
      <c r="A909" s="1"/>
      <c r="B909" s="1"/>
      <c r="C909" s="1"/>
      <c r="D909" s="110" t="s">
        <v>838</v>
      </c>
      <c r="E909" s="151" t="s">
        <v>222</v>
      </c>
      <c r="F909" s="14"/>
      <c r="G909" s="14"/>
      <c r="H909" s="14"/>
      <c r="I909" s="14"/>
      <c r="J909" s="105"/>
      <c r="K909" s="105"/>
      <c r="L909" s="105"/>
      <c r="M909" s="105"/>
      <c r="N909" s="105"/>
      <c r="O909" s="105"/>
      <c r="P909" s="105"/>
      <c r="Q909" s="105"/>
      <c r="R909" s="105"/>
      <c r="S909" s="105"/>
      <c r="T909" s="105"/>
      <c r="U909" s="105"/>
      <c r="V909" s="105"/>
      <c r="W909" s="105">
        <v>0</v>
      </c>
      <c r="X909" s="105">
        <v>0</v>
      </c>
      <c r="Y909" s="105">
        <v>32.5</v>
      </c>
      <c r="Z909" s="105">
        <v>0</v>
      </c>
      <c r="AA909" s="105">
        <f>FISCinyear!IJ690</f>
        <v>0</v>
      </c>
      <c r="AB909" s="105">
        <v>0</v>
      </c>
      <c r="AC909" s="105"/>
      <c r="AD909" s="652"/>
      <c r="AE909" s="105"/>
      <c r="AF909" s="105"/>
      <c r="AG909" s="105"/>
      <c r="AH909" s="105"/>
      <c r="AI909" s="105"/>
      <c r="AJ909" s="105"/>
      <c r="AK909" s="105"/>
      <c r="AL909" s="105"/>
      <c r="AM909" s="105"/>
      <c r="AN909" s="105"/>
      <c r="AO909" s="105"/>
      <c r="AP909" s="105"/>
      <c r="AQ909" s="105"/>
      <c r="AR909" s="105"/>
      <c r="AS909" s="105"/>
      <c r="AT909" s="105"/>
    </row>
    <row r="910" spans="1:46" hidden="1">
      <c r="A910" s="1"/>
      <c r="B910" s="1"/>
      <c r="C910" s="1"/>
      <c r="D910" s="551" t="s">
        <v>776</v>
      </c>
      <c r="E910" s="151"/>
      <c r="F910" s="14"/>
      <c r="G910" s="14"/>
      <c r="H910" s="14"/>
      <c r="I910" s="14"/>
      <c r="J910" s="105"/>
      <c r="K910" s="105"/>
      <c r="L910" s="105"/>
      <c r="M910" s="105"/>
      <c r="N910" s="105"/>
      <c r="O910" s="105"/>
      <c r="P910" s="105"/>
      <c r="Q910" s="105"/>
      <c r="R910" s="105"/>
      <c r="S910" s="105"/>
      <c r="T910" s="105"/>
      <c r="U910" s="105"/>
      <c r="V910" s="105"/>
      <c r="W910" s="548"/>
      <c r="X910" s="548"/>
      <c r="Y910" s="548"/>
      <c r="Z910" s="548"/>
      <c r="AA910" s="548"/>
      <c r="AB910" s="548">
        <v>0</v>
      </c>
      <c r="AC910" s="548"/>
      <c r="AD910" s="548"/>
      <c r="AE910" s="105"/>
      <c r="AF910" s="105"/>
      <c r="AG910" s="105"/>
      <c r="AH910" s="105"/>
      <c r="AI910" s="105"/>
      <c r="AJ910" s="105"/>
      <c r="AK910" s="105"/>
      <c r="AL910" s="105"/>
      <c r="AM910" s="105"/>
      <c r="AN910" s="105"/>
      <c r="AO910" s="105"/>
      <c r="AP910" s="105"/>
      <c r="AQ910" s="105"/>
      <c r="AR910" s="105"/>
      <c r="AS910" s="105"/>
      <c r="AT910" s="105"/>
    </row>
    <row r="911" spans="1:46" hidden="1">
      <c r="A911" s="1"/>
      <c r="B911" s="1"/>
      <c r="C911" s="1"/>
      <c r="D911" s="551" t="s">
        <v>777</v>
      </c>
      <c r="E911" s="151"/>
      <c r="F911" s="14"/>
      <c r="G911" s="14"/>
      <c r="H911" s="14"/>
      <c r="I911" s="14"/>
      <c r="J911" s="105"/>
      <c r="K911" s="105"/>
      <c r="L911" s="105"/>
      <c r="M911" s="105"/>
      <c r="N911" s="105"/>
      <c r="O911" s="105"/>
      <c r="P911" s="105"/>
      <c r="Q911" s="105"/>
      <c r="R911" s="105"/>
      <c r="S911" s="105"/>
      <c r="T911" s="105"/>
      <c r="U911" s="105"/>
      <c r="V911" s="105"/>
      <c r="W911" s="548"/>
      <c r="X911" s="548"/>
      <c r="Y911" s="548"/>
      <c r="Z911" s="548"/>
      <c r="AA911" s="548"/>
      <c r="AB911" s="548">
        <v>0</v>
      </c>
      <c r="AC911" s="548"/>
      <c r="AD911" s="548"/>
      <c r="AE911" s="105"/>
      <c r="AF911" s="105"/>
      <c r="AG911" s="105"/>
      <c r="AH911" s="105"/>
      <c r="AI911" s="105"/>
      <c r="AJ911" s="105"/>
      <c r="AK911" s="105"/>
      <c r="AL911" s="105"/>
      <c r="AM911" s="105"/>
      <c r="AN911" s="105"/>
      <c r="AO911" s="105"/>
      <c r="AP911" s="105"/>
      <c r="AQ911" s="105"/>
      <c r="AR911" s="105"/>
      <c r="AS911" s="105"/>
      <c r="AT911" s="105"/>
    </row>
    <row r="912" spans="1:46" hidden="1">
      <c r="A912" s="1"/>
      <c r="B912" s="1"/>
      <c r="C912" s="1"/>
      <c r="D912" s="110" t="s">
        <v>839</v>
      </c>
      <c r="E912" s="151" t="s">
        <v>222</v>
      </c>
      <c r="F912" s="14"/>
      <c r="G912" s="14"/>
      <c r="H912" s="14"/>
      <c r="I912" s="14"/>
      <c r="J912" s="105"/>
      <c r="K912" s="105"/>
      <c r="L912" s="105"/>
      <c r="M912" s="105"/>
      <c r="N912" s="105"/>
      <c r="O912" s="105"/>
      <c r="P912" s="105"/>
      <c r="Q912" s="105"/>
      <c r="R912" s="105"/>
      <c r="S912" s="105"/>
      <c r="T912" s="105"/>
      <c r="U912" s="105"/>
      <c r="V912" s="105"/>
      <c r="W912" s="105">
        <v>0</v>
      </c>
      <c r="X912" s="105">
        <v>0</v>
      </c>
      <c r="Y912" s="105">
        <v>0</v>
      </c>
      <c r="Z912" s="105">
        <v>0</v>
      </c>
      <c r="AA912" s="105">
        <f>FISCinyear!IJ693</f>
        <v>-8.6999999999999993</v>
      </c>
      <c r="AB912" s="105">
        <v>-10.241148082</v>
      </c>
      <c r="AC912" s="105">
        <v>3.3328533490000005</v>
      </c>
      <c r="AD912" s="652">
        <f>FISCinyear!IS693</f>
        <v>-10.984115532000001</v>
      </c>
      <c r="AE912" s="105">
        <v>-0.88282153700000165</v>
      </c>
      <c r="AF912" s="105">
        <v>-3.3520687910000007</v>
      </c>
      <c r="AG912" s="105">
        <f>-AG342*0+AJ1989</f>
        <v>0</v>
      </c>
      <c r="AH912" s="105">
        <f t="shared" ref="AH912:AJ912" si="1164">-AH342</f>
        <v>-24.599700878817405</v>
      </c>
      <c r="AI912" s="105">
        <f t="shared" si="1164"/>
        <v>-25.565719741842582</v>
      </c>
      <c r="AJ912" s="105">
        <f t="shared" si="1164"/>
        <v>0</v>
      </c>
      <c r="AK912" s="105"/>
      <c r="AL912" s="105"/>
      <c r="AM912" s="105"/>
      <c r="AN912" s="105"/>
      <c r="AO912" s="105"/>
      <c r="AP912" s="105"/>
      <c r="AQ912" s="105"/>
      <c r="AR912" s="105"/>
      <c r="AS912" s="105"/>
      <c r="AT912" s="105"/>
    </row>
    <row r="913" spans="1:46" hidden="1">
      <c r="A913" s="1"/>
      <c r="B913" s="1"/>
      <c r="C913" s="1"/>
      <c r="D913" s="110" t="s">
        <v>1149</v>
      </c>
      <c r="E913" s="151"/>
      <c r="F913" s="14"/>
      <c r="G913" s="14"/>
      <c r="H913" s="14"/>
      <c r="I913" s="14"/>
      <c r="J913" s="105"/>
      <c r="K913" s="105"/>
      <c r="L913" s="105"/>
      <c r="M913" s="105"/>
      <c r="N913" s="105"/>
      <c r="O913" s="105"/>
      <c r="P913" s="105"/>
      <c r="Q913" s="105"/>
      <c r="R913" s="105"/>
      <c r="S913" s="105"/>
      <c r="T913" s="105"/>
      <c r="U913" s="105"/>
      <c r="V913" s="105"/>
      <c r="W913" s="105"/>
      <c r="X913" s="105"/>
      <c r="Y913" s="105"/>
      <c r="Z913" s="105"/>
      <c r="AA913" s="105"/>
      <c r="AB913" s="105"/>
      <c r="AC913" s="105">
        <v>-8.0802268640000001</v>
      </c>
      <c r="AD913" s="652">
        <f>AG1982</f>
        <v>0</v>
      </c>
      <c r="AE913" s="105">
        <v>-15.616670589</v>
      </c>
      <c r="AF913" s="105">
        <v>-19.432101068000001</v>
      </c>
      <c r="AG913" s="105">
        <f>AJ1988</f>
        <v>0</v>
      </c>
      <c r="AH913" s="105"/>
      <c r="AI913" s="105"/>
      <c r="AJ913" s="105"/>
      <c r="AK913" s="105"/>
      <c r="AL913" s="105"/>
      <c r="AM913" s="105"/>
      <c r="AN913" s="105"/>
      <c r="AO913" s="105"/>
      <c r="AP913" s="105"/>
      <c r="AQ913" s="105"/>
      <c r="AR913" s="105"/>
      <c r="AS913" s="105"/>
      <c r="AT913" s="105"/>
    </row>
    <row r="914" spans="1:46" hidden="1">
      <c r="A914" s="1"/>
      <c r="B914" s="1"/>
      <c r="C914" s="1"/>
      <c r="D914" s="110" t="s">
        <v>840</v>
      </c>
      <c r="E914" s="151" t="s">
        <v>222</v>
      </c>
      <c r="F914" s="14"/>
      <c r="G914" s="14"/>
      <c r="H914" s="14"/>
      <c r="I914" s="14"/>
      <c r="J914" s="105"/>
      <c r="K914" s="105"/>
      <c r="L914" s="105"/>
      <c r="M914" s="105"/>
      <c r="N914" s="105"/>
      <c r="O914" s="105"/>
      <c r="P914" s="105"/>
      <c r="Q914" s="105"/>
      <c r="R914" s="105"/>
      <c r="S914" s="105"/>
      <c r="T914" s="105"/>
      <c r="U914" s="105"/>
      <c r="V914" s="105"/>
      <c r="W914" s="105">
        <v>0</v>
      </c>
      <c r="X914" s="105">
        <v>0</v>
      </c>
      <c r="Y914" s="105">
        <v>0</v>
      </c>
      <c r="Z914" s="105">
        <v>0</v>
      </c>
      <c r="AA914" s="105">
        <f>FISCinyear!IJ694</f>
        <v>-8.8000000000000007</v>
      </c>
      <c r="AB914" s="105">
        <v>-10.620114093</v>
      </c>
      <c r="AC914" s="105">
        <v>-11.413080213000001</v>
      </c>
      <c r="AD914" s="652">
        <f>FISCinyear!IS694</f>
        <v>-13.01395142</v>
      </c>
      <c r="AE914" s="105">
        <v>-14.332764489999999</v>
      </c>
      <c r="AF914" s="105">
        <v>-15.46793405</v>
      </c>
      <c r="AG914" s="105">
        <f>-AG760*0+AJ1993</f>
        <v>0</v>
      </c>
      <c r="AH914" s="105">
        <f t="shared" ref="AH914:AJ914" si="1165">-AH760</f>
        <v>-19.158873418079374</v>
      </c>
      <c r="AI914" s="105">
        <f t="shared" si="1165"/>
        <v>-24.169547901947976</v>
      </c>
      <c r="AJ914" s="105">
        <f t="shared" si="1165"/>
        <v>0</v>
      </c>
      <c r="AK914" s="105"/>
      <c r="AL914" s="105"/>
      <c r="AM914" s="105"/>
      <c r="AN914" s="105"/>
      <c r="AO914" s="105"/>
      <c r="AP914" s="105"/>
      <c r="AQ914" s="105"/>
      <c r="AR914" s="105"/>
      <c r="AS914" s="105"/>
      <c r="AT914" s="105"/>
    </row>
    <row r="915" spans="1:46" hidden="1">
      <c r="A915" s="1"/>
      <c r="B915" s="1"/>
      <c r="C915" s="1"/>
      <c r="D915" s="108" t="s">
        <v>831</v>
      </c>
      <c r="E915" s="147"/>
      <c r="F915" s="14"/>
      <c r="G915" s="14"/>
      <c r="H915" s="14"/>
      <c r="I915" s="14"/>
      <c r="J915" s="105">
        <v>-6.5</v>
      </c>
      <c r="K915" s="105">
        <v>-7.3457999999999997</v>
      </c>
      <c r="L915" s="105">
        <v>-0.53005000000000002</v>
      </c>
      <c r="M915" s="105">
        <v>1.0204</v>
      </c>
      <c r="N915" s="105">
        <v>0.75351500000000005</v>
      </c>
      <c r="O915" s="105">
        <v>2.9958650000000002</v>
      </c>
      <c r="P915" s="105">
        <v>-1.065199999999999</v>
      </c>
      <c r="Q915" s="105">
        <v>-6.9795499999999988</v>
      </c>
      <c r="R915" s="105">
        <v>9.3000000000000007</v>
      </c>
      <c r="S915" s="105">
        <v>-18.100000000000001</v>
      </c>
      <c r="T915" s="105">
        <v>-21.2</v>
      </c>
      <c r="U915" s="105">
        <v>-18.100000000000001</v>
      </c>
      <c r="V915" s="105">
        <v>-19.616599999999998</v>
      </c>
      <c r="W915" s="105">
        <v>-22.8</v>
      </c>
      <c r="X915" s="105">
        <f>+X916+X919</f>
        <v>24.300000000000004</v>
      </c>
      <c r="Y915" s="105">
        <f>+Y916+Y919</f>
        <v>-30.777468490000032</v>
      </c>
      <c r="Z915" s="105">
        <f>+Z916+Z919</f>
        <v>9.2999999999999972</v>
      </c>
      <c r="AA915" s="105">
        <f>+AA916+AA919</f>
        <v>47.717359399490434</v>
      </c>
      <c r="AB915" s="105">
        <v>32.323315129000001</v>
      </c>
      <c r="AC915" s="105">
        <v>-5.8731269525779339</v>
      </c>
      <c r="AD915" s="105">
        <f>+AD916+AD919</f>
        <v>66.906675090999997</v>
      </c>
      <c r="AE915" s="105">
        <v>0</v>
      </c>
      <c r="AF915" s="105">
        <v>0</v>
      </c>
      <c r="AG915" s="105">
        <f t="shared" ref="AG915:AJ915" si="1166">+AG916+AG919</f>
        <v>0</v>
      </c>
      <c r="AH915" s="105">
        <f t="shared" si="1166"/>
        <v>0</v>
      </c>
      <c r="AI915" s="105">
        <f t="shared" si="1166"/>
        <v>0</v>
      </c>
      <c r="AJ915" s="105">
        <f t="shared" si="1166"/>
        <v>0</v>
      </c>
      <c r="AK915" s="105"/>
      <c r="AL915" s="105"/>
      <c r="AM915" s="105"/>
      <c r="AN915" s="105"/>
      <c r="AO915" s="105"/>
      <c r="AP915" s="105"/>
      <c r="AQ915" s="105"/>
      <c r="AR915" s="105"/>
      <c r="AS915" s="105"/>
      <c r="AT915" s="105"/>
    </row>
    <row r="916" spans="1:46" hidden="1">
      <c r="A916" s="1"/>
      <c r="B916" s="1"/>
      <c r="C916" s="1"/>
      <c r="D916" s="110" t="s">
        <v>832</v>
      </c>
      <c r="E916" s="147"/>
      <c r="F916" s="14"/>
      <c r="G916" s="14"/>
      <c r="H916" s="14"/>
      <c r="I916" s="14"/>
      <c r="J916" s="105"/>
      <c r="K916" s="105"/>
      <c r="L916" s="105"/>
      <c r="M916" s="105"/>
      <c r="N916" s="105"/>
      <c r="O916" s="105"/>
      <c r="P916" s="105"/>
      <c r="Q916" s="105"/>
      <c r="R916" s="105">
        <v>0</v>
      </c>
      <c r="S916" s="105">
        <v>0</v>
      </c>
      <c r="T916" s="105">
        <v>0</v>
      </c>
      <c r="U916" s="105">
        <v>0</v>
      </c>
      <c r="V916" s="105">
        <v>0</v>
      </c>
      <c r="W916" s="105">
        <v>0</v>
      </c>
      <c r="X916" s="105">
        <v>39.700000000000003</v>
      </c>
      <c r="Y916" s="105">
        <v>-11.653900000000032</v>
      </c>
      <c r="Z916" s="105">
        <f>0*18+30.9</f>
        <v>30.9</v>
      </c>
      <c r="AA916" s="105">
        <v>59.256799999999984</v>
      </c>
      <c r="AB916" s="105">
        <v>52.947243921577929</v>
      </c>
      <c r="AC916" s="105">
        <v>23.252356078422068</v>
      </c>
      <c r="AD916" s="120">
        <f>+(AD917+AD918)</f>
        <v>115.41749999999999</v>
      </c>
      <c r="AE916" s="105">
        <v>49.792986081199999</v>
      </c>
      <c r="AF916" s="105">
        <v>57.334954867739597</v>
      </c>
      <c r="AG916" s="105">
        <f>+(AG917+AG918)</f>
        <v>0</v>
      </c>
      <c r="AH916" s="105">
        <f t="shared" ref="AH916:AJ916" si="1167">+AH917+AH918</f>
        <v>7.8306508299999997</v>
      </c>
      <c r="AI916" s="105">
        <f t="shared" si="1167"/>
        <v>0</v>
      </c>
      <c r="AJ916" s="105">
        <f t="shared" si="1167"/>
        <v>0</v>
      </c>
      <c r="AK916" s="105"/>
      <c r="AL916" s="105"/>
      <c r="AM916" s="105"/>
      <c r="AN916" s="105"/>
      <c r="AO916" s="105"/>
      <c r="AP916" s="105"/>
      <c r="AQ916" s="105"/>
      <c r="AR916" s="105"/>
      <c r="AS916" s="105"/>
      <c r="AT916" s="105"/>
    </row>
    <row r="917" spans="1:46" hidden="1">
      <c r="A917" s="1"/>
      <c r="B917" s="1"/>
      <c r="C917" s="1"/>
      <c r="D917" s="111" t="s">
        <v>171</v>
      </c>
      <c r="E917" s="147"/>
      <c r="F917" s="14"/>
      <c r="G917" s="14"/>
      <c r="H917" s="14"/>
      <c r="I917" s="14"/>
      <c r="J917" s="105"/>
      <c r="K917" s="105"/>
      <c r="L917" s="105"/>
      <c r="M917" s="105"/>
      <c r="N917" s="105"/>
      <c r="O917" s="105"/>
      <c r="P917" s="105"/>
      <c r="Q917" s="105"/>
      <c r="R917" s="105"/>
      <c r="S917" s="105"/>
      <c r="T917" s="105"/>
      <c r="U917" s="105"/>
      <c r="V917" s="105"/>
      <c r="W917" s="105">
        <v>0</v>
      </c>
      <c r="X917" s="105">
        <v>39.5</v>
      </c>
      <c r="Y917" s="105">
        <v>-32.547900000000027</v>
      </c>
      <c r="Z917" s="105">
        <f>0*1.3</f>
        <v>0</v>
      </c>
      <c r="AA917" s="105">
        <f>FISCinyear!IJ697</f>
        <v>29.630500000000005</v>
      </c>
      <c r="AB917" s="105">
        <v>21.366143921577923</v>
      </c>
      <c r="AC917" s="105">
        <v>14.562741515500001</v>
      </c>
      <c r="AD917" s="652">
        <f>FISCinyear!IS697</f>
        <v>53.79079999999999</v>
      </c>
      <c r="AE917" s="105">
        <v>24.896493040599999</v>
      </c>
      <c r="AF917" s="105">
        <v>28.667477433869799</v>
      </c>
      <c r="AG917" s="105">
        <f t="shared" ref="AG917:AJ917" si="1168">-(AG919+AG918)</f>
        <v>0</v>
      </c>
      <c r="AH917" s="105">
        <f t="shared" si="1168"/>
        <v>3.9153254149999999</v>
      </c>
      <c r="AI917" s="105">
        <f t="shared" si="1168"/>
        <v>0</v>
      </c>
      <c r="AJ917" s="105">
        <f t="shared" si="1168"/>
        <v>0</v>
      </c>
      <c r="AK917" s="105"/>
      <c r="AL917" s="105"/>
      <c r="AM917" s="105"/>
      <c r="AN917" s="105"/>
      <c r="AO917" s="105"/>
      <c r="AP917" s="105"/>
      <c r="AQ917" s="105"/>
      <c r="AR917" s="105"/>
      <c r="AS917" s="105"/>
      <c r="AT917" s="105"/>
    </row>
    <row r="918" spans="1:46" hidden="1">
      <c r="A918" s="1"/>
      <c r="B918" s="1"/>
      <c r="C918" s="1"/>
      <c r="D918" s="111" t="s">
        <v>172</v>
      </c>
      <c r="E918" s="147"/>
      <c r="F918" s="14"/>
      <c r="G918" s="14"/>
      <c r="H918" s="14"/>
      <c r="I918" s="14"/>
      <c r="J918" s="105"/>
      <c r="K918" s="105"/>
      <c r="L918" s="105"/>
      <c r="M918" s="105"/>
      <c r="N918" s="105"/>
      <c r="O918" s="105"/>
      <c r="P918" s="105"/>
      <c r="Q918" s="105"/>
      <c r="R918" s="105"/>
      <c r="S918" s="105"/>
      <c r="T918" s="105"/>
      <c r="U918" s="105"/>
      <c r="V918" s="105"/>
      <c r="W918" s="105">
        <v>0</v>
      </c>
      <c r="X918" s="105">
        <v>0.2</v>
      </c>
      <c r="Y918" s="105">
        <v>20.893999999999998</v>
      </c>
      <c r="Z918" s="105">
        <f>0*16.73</f>
        <v>0</v>
      </c>
      <c r="AA918" s="105">
        <f>FISCinyear!IJ698</f>
        <v>29.626299999999986</v>
      </c>
      <c r="AB918" s="105">
        <v>31.581100000000006</v>
      </c>
      <c r="AC918" s="105">
        <v>14.562741515500001</v>
      </c>
      <c r="AD918" s="652">
        <f>FISCinyear!IS698</f>
        <v>61.6267</v>
      </c>
      <c r="AE918" s="105">
        <v>24.896493040599999</v>
      </c>
      <c r="AF918" s="105">
        <v>28.667477433869799</v>
      </c>
      <c r="AG918" s="105">
        <f>-AG919/2</f>
        <v>0</v>
      </c>
      <c r="AH918" s="105">
        <f t="shared" ref="AH918:AJ918" si="1169">-AH919/2</f>
        <v>3.9153254149999999</v>
      </c>
      <c r="AI918" s="105">
        <f t="shared" si="1169"/>
        <v>0</v>
      </c>
      <c r="AJ918" s="105">
        <f t="shared" si="1169"/>
        <v>0</v>
      </c>
      <c r="AK918" s="105"/>
      <c r="AL918" s="105"/>
      <c r="AM918" s="105"/>
      <c r="AN918" s="105"/>
      <c r="AO918" s="105"/>
      <c r="AP918" s="105"/>
      <c r="AQ918" s="105"/>
      <c r="AR918" s="105"/>
      <c r="AS918" s="105"/>
      <c r="AT918" s="105"/>
    </row>
    <row r="919" spans="1:46" hidden="1">
      <c r="A919" s="1"/>
      <c r="B919" s="1"/>
      <c r="C919" s="1"/>
      <c r="D919" s="110" t="s">
        <v>1059</v>
      </c>
      <c r="E919" s="147"/>
      <c r="F919" s="14"/>
      <c r="G919" s="14"/>
      <c r="H919" s="14"/>
      <c r="I919" s="14"/>
      <c r="J919" s="105"/>
      <c r="K919" s="105"/>
      <c r="L919" s="105"/>
      <c r="M919" s="105"/>
      <c r="N919" s="105"/>
      <c r="O919" s="105"/>
      <c r="P919" s="105"/>
      <c r="Q919" s="105"/>
      <c r="R919" s="105"/>
      <c r="S919" s="105"/>
      <c r="T919" s="105"/>
      <c r="U919" s="105"/>
      <c r="V919" s="105"/>
      <c r="W919" s="105">
        <v>0</v>
      </c>
      <c r="X919" s="105">
        <v>-15.4</v>
      </c>
      <c r="Y919" s="105">
        <v>-19.12356849</v>
      </c>
      <c r="Z919" s="548">
        <f>0*-18-21.6</f>
        <v>-21.6</v>
      </c>
      <c r="AA919" s="548">
        <f>FISCinyear!IJ699</f>
        <v>-11.539440600509554</v>
      </c>
      <c r="AB919" s="548">
        <v>-26.413184870999999</v>
      </c>
      <c r="AC919" s="548">
        <v>-29.125483031000002</v>
      </c>
      <c r="AD919" s="652">
        <f>FISCinyear!IS699</f>
        <v>-48.510824908999993</v>
      </c>
      <c r="AE919" s="105">
        <v>-49.792986081199999</v>
      </c>
      <c r="AF919" s="105">
        <v>-57.334954867739597</v>
      </c>
      <c r="AG919" s="105">
        <f>-(AF177+AG175)*0+AJ2001</f>
        <v>0</v>
      </c>
      <c r="AH919" s="105">
        <f>-(AG177+AH175)</f>
        <v>-7.8306508299999997</v>
      </c>
      <c r="AI919" s="105">
        <f t="shared" ref="AI919:AJ919" si="1170">-(AH177+AI175)*0</f>
        <v>0</v>
      </c>
      <c r="AJ919" s="105">
        <f t="shared" si="1170"/>
        <v>0</v>
      </c>
      <c r="AK919" s="105"/>
      <c r="AL919" s="105"/>
      <c r="AM919" s="105"/>
      <c r="AN919" s="105"/>
      <c r="AO919" s="105"/>
      <c r="AP919" s="105"/>
      <c r="AQ919" s="105"/>
      <c r="AR919" s="105"/>
      <c r="AS919" s="105"/>
      <c r="AT919" s="105"/>
    </row>
    <row r="920" spans="1:46" hidden="1">
      <c r="A920" s="1"/>
      <c r="B920" s="1"/>
      <c r="C920" s="1"/>
      <c r="D920" s="108" t="s">
        <v>325</v>
      </c>
      <c r="E920" s="147" t="s">
        <v>220</v>
      </c>
      <c r="F920" s="14"/>
      <c r="G920" s="14"/>
      <c r="H920" s="14"/>
      <c r="I920" s="14"/>
      <c r="J920" s="128">
        <f t="shared" ref="J920:Z920" si="1171">-(J876+J879)</f>
        <v>0</v>
      </c>
      <c r="K920" s="128">
        <f t="shared" si="1171"/>
        <v>0</v>
      </c>
      <c r="L920" s="128">
        <f t="shared" si="1171"/>
        <v>-7.1054273576010019E-15</v>
      </c>
      <c r="M920" s="128">
        <f t="shared" si="1171"/>
        <v>0</v>
      </c>
      <c r="N920" s="128">
        <f t="shared" si="1171"/>
        <v>2.1316282072803006E-14</v>
      </c>
      <c r="O920" s="128">
        <f t="shared" si="1171"/>
        <v>3.0198066269804258E-14</v>
      </c>
      <c r="P920" s="128">
        <f t="shared" si="1171"/>
        <v>12.233686280000004</v>
      </c>
      <c r="Q920" s="128">
        <f t="shared" si="1171"/>
        <v>12.23368627999999</v>
      </c>
      <c r="R920" s="128">
        <f t="shared" si="1171"/>
        <v>0</v>
      </c>
      <c r="S920" s="128">
        <f t="shared" si="1171"/>
        <v>0</v>
      </c>
      <c r="T920" s="128">
        <f t="shared" si="1171"/>
        <v>0</v>
      </c>
      <c r="U920" s="105">
        <f t="shared" si="1171"/>
        <v>-1.8999999999999311</v>
      </c>
      <c r="V920" s="105">
        <f t="shared" si="1171"/>
        <v>6.2696256240000423</v>
      </c>
      <c r="W920" s="105">
        <f t="shared" si="1171"/>
        <v>5.9000000000000057</v>
      </c>
      <c r="X920" s="105">
        <f t="shared" si="1171"/>
        <v>24.775565843197541</v>
      </c>
      <c r="Y920" s="105">
        <f t="shared" si="1171"/>
        <v>-4.8285252764869995</v>
      </c>
      <c r="Z920" s="548">
        <f t="shared" si="1171"/>
        <v>99.44695852941328</v>
      </c>
      <c r="AA920" s="548">
        <f>FISCinyear!IJ700</f>
        <v>4.583386098461439</v>
      </c>
      <c r="AB920" s="548">
        <v>-24.3265317985861</v>
      </c>
      <c r="AC920" s="548">
        <v>-6.7981852251683677</v>
      </c>
      <c r="AD920" s="652">
        <f t="shared" ref="AD920:AJ920" si="1172">-(AD876+AD879)</f>
        <v>33.705481140588859</v>
      </c>
      <c r="AE920" s="1006">
        <v>4.618670773697886E-2</v>
      </c>
      <c r="AF920" s="1006">
        <v>-4.0402667918783663E-2</v>
      </c>
      <c r="AG920" s="1006">
        <f t="shared" si="1172"/>
        <v>-6994.6416638433448</v>
      </c>
      <c r="AH920" s="1006">
        <f t="shared" si="1172"/>
        <v>-10896.08503976961</v>
      </c>
      <c r="AI920" s="1006">
        <f t="shared" si="1172"/>
        <v>-13444.25839336337</v>
      </c>
      <c r="AJ920" s="1006">
        <f t="shared" si="1172"/>
        <v>2774.7622752111206</v>
      </c>
      <c r="AK920" s="1006"/>
      <c r="AL920" s="1006"/>
      <c r="AM920" s="1006"/>
      <c r="AN920" s="1006"/>
      <c r="AO920" s="1006"/>
      <c r="AP920" s="1006"/>
      <c r="AQ920" s="1006"/>
      <c r="AR920" s="1006"/>
      <c r="AS920" s="1006"/>
      <c r="AT920" s="1006"/>
    </row>
    <row r="921" spans="1:46" hidden="1">
      <c r="A921" s="1"/>
      <c r="B921" s="1"/>
      <c r="C921" s="1"/>
      <c r="D921" s="658" t="s">
        <v>1057</v>
      </c>
      <c r="E921" s="147"/>
      <c r="F921" s="14"/>
      <c r="G921" s="14"/>
      <c r="H921" s="14"/>
      <c r="I921" s="14"/>
      <c r="J921" s="105"/>
      <c r="K921" s="105"/>
      <c r="L921" s="105"/>
      <c r="M921" s="105"/>
      <c r="N921" s="105"/>
      <c r="O921" s="105"/>
      <c r="P921" s="105"/>
      <c r="Q921" s="105"/>
      <c r="R921" s="105"/>
      <c r="S921" s="105"/>
      <c r="T921" s="105"/>
      <c r="U921" s="105"/>
      <c r="V921" s="105"/>
      <c r="W921" s="105"/>
      <c r="X921" s="128">
        <f>(X764-X821)</f>
        <v>10.699999999999996</v>
      </c>
      <c r="Y921" s="128">
        <f>(Y764-Y821)</f>
        <v>-7.0929457166518119</v>
      </c>
      <c r="Z921" s="105">
        <f>(Z764-Z821)</f>
        <v>-0.34000000000000341</v>
      </c>
      <c r="AA921" s="105">
        <f>IF(AA764-AA821&gt;0,AA764-AA821,0)</f>
        <v>0</v>
      </c>
      <c r="AB921" s="105">
        <v>0.34783849306015213</v>
      </c>
      <c r="AC921" s="105">
        <v>4.2821148510000171</v>
      </c>
      <c r="AD921" s="1010">
        <f t="shared" ref="AD921:AJ921" si="1173">(AD764-AD821)</f>
        <v>-212.60240836200001</v>
      </c>
      <c r="AE921" s="105">
        <v>-14.992390293450597</v>
      </c>
      <c r="AF921" s="105">
        <v>6.2172337168318563</v>
      </c>
      <c r="AG921" s="128">
        <f t="shared" si="1173"/>
        <v>8.0996614898377288</v>
      </c>
      <c r="AH921" s="105">
        <f t="shared" si="1173"/>
        <v>0</v>
      </c>
      <c r="AI921" s="105">
        <f t="shared" si="1173"/>
        <v>0</v>
      </c>
      <c r="AJ921" s="105">
        <f t="shared" si="1173"/>
        <v>0</v>
      </c>
      <c r="AK921" s="105"/>
      <c r="AL921" s="105"/>
      <c r="AM921" s="105"/>
      <c r="AN921" s="105"/>
      <c r="AO921" s="105"/>
      <c r="AP921" s="105"/>
      <c r="AQ921" s="105"/>
      <c r="AR921" s="105"/>
      <c r="AS921" s="105"/>
      <c r="AT921" s="105"/>
    </row>
    <row r="922" spans="1:46" hidden="1">
      <c r="A922" s="1"/>
      <c r="B922" s="1"/>
      <c r="C922" s="1"/>
      <c r="D922" s="658" t="s">
        <v>1058</v>
      </c>
      <c r="E922" s="147"/>
      <c r="F922" s="14"/>
      <c r="G922" s="14"/>
      <c r="H922" s="14"/>
      <c r="I922" s="14"/>
      <c r="J922" s="105"/>
      <c r="K922" s="105"/>
      <c r="L922" s="105"/>
      <c r="M922" s="105"/>
      <c r="N922" s="105"/>
      <c r="O922" s="105"/>
      <c r="P922" s="105"/>
      <c r="Q922" s="105"/>
      <c r="R922" s="105"/>
      <c r="S922" s="105"/>
      <c r="T922" s="105"/>
      <c r="U922" s="105"/>
      <c r="V922" s="105"/>
      <c r="W922" s="105"/>
      <c r="X922" s="128"/>
      <c r="Y922" s="128"/>
      <c r="Z922" s="105"/>
      <c r="AA922" s="105"/>
      <c r="AB922" s="105" t="s">
        <v>115</v>
      </c>
      <c r="AC922" s="105"/>
      <c r="AD922" s="548"/>
      <c r="AE922" s="105"/>
      <c r="AF922" s="105"/>
      <c r="AG922" s="128"/>
      <c r="AH922" s="105"/>
      <c r="AI922" s="105"/>
      <c r="AJ922" s="105"/>
      <c r="AK922" s="105"/>
      <c r="AL922" s="105"/>
      <c r="AM922" s="105"/>
      <c r="AN922" s="105"/>
      <c r="AO922" s="105"/>
      <c r="AP922" s="105"/>
      <c r="AQ922" s="105"/>
      <c r="AR922" s="105"/>
      <c r="AS922" s="105"/>
      <c r="AT922" s="105"/>
    </row>
    <row r="923" spans="1:46" ht="15.9" hidden="1" thickBot="1">
      <c r="A923" s="1"/>
      <c r="B923" s="1"/>
      <c r="C923" s="1"/>
      <c r="D923" s="1151" t="s">
        <v>2312</v>
      </c>
      <c r="E923" s="1152"/>
      <c r="F923" s="1153"/>
      <c r="G923" s="1153"/>
      <c r="H923" s="1153"/>
      <c r="I923" s="1153"/>
      <c r="J923" s="1154"/>
      <c r="K923" s="1154"/>
      <c r="L923" s="1154"/>
      <c r="M923" s="1154"/>
      <c r="N923" s="1154"/>
      <c r="O923" s="1154"/>
      <c r="P923" s="1154"/>
      <c r="Q923" s="1154"/>
      <c r="R923" s="1154"/>
      <c r="S923" s="1154"/>
      <c r="T923" s="1154"/>
      <c r="U923" s="1154"/>
      <c r="V923" s="1154"/>
      <c r="W923" s="1154"/>
      <c r="X923" s="1155"/>
      <c r="Y923" s="1155"/>
      <c r="Z923" s="1154"/>
      <c r="AA923" s="1154"/>
      <c r="AB923" s="1154"/>
      <c r="AC923" s="1154"/>
      <c r="AD923" s="1156"/>
      <c r="AE923" s="1154">
        <v>193</v>
      </c>
      <c r="AF923" s="1154">
        <v>367.94194427166008</v>
      </c>
      <c r="AG923" s="1155"/>
      <c r="AH923" s="1154"/>
      <c r="AI923" s="1154"/>
      <c r="AJ923" s="1154"/>
      <c r="AK923" s="1154"/>
      <c r="AL923" s="1154"/>
      <c r="AM923" s="1154"/>
      <c r="AN923" s="1154"/>
      <c r="AO923" s="1154"/>
      <c r="AP923" s="1154"/>
      <c r="AQ923" s="1154"/>
      <c r="AR923" s="1154"/>
      <c r="AS923" s="1154"/>
      <c r="AT923" s="1154"/>
    </row>
    <row r="924" spans="1:46" hidden="1">
      <c r="A924" s="1"/>
      <c r="B924" s="1"/>
      <c r="C924" s="1"/>
      <c r="D924" s="131" t="s">
        <v>808</v>
      </c>
      <c r="E924" s="147"/>
      <c r="F924" s="105"/>
      <c r="G924" s="105"/>
      <c r="H924" s="105"/>
      <c r="I924" s="105"/>
      <c r="J924" s="105"/>
      <c r="K924" s="105"/>
      <c r="L924" s="105"/>
      <c r="M924" s="105"/>
      <c r="N924" s="105"/>
      <c r="O924" s="105"/>
      <c r="P924" s="105"/>
      <c r="Q924" s="105"/>
      <c r="R924" s="105"/>
      <c r="S924" s="105"/>
      <c r="T924" s="105"/>
      <c r="U924" s="105"/>
      <c r="V924" s="105"/>
      <c r="W924" s="105"/>
      <c r="X924" s="105"/>
      <c r="Y924" s="105"/>
      <c r="Z924" s="105"/>
      <c r="AA924" s="105"/>
      <c r="AB924" s="105">
        <v>0</v>
      </c>
      <c r="AC924" s="105">
        <v>0</v>
      </c>
      <c r="AD924" s="602">
        <f t="shared" ref="AD924:AJ924" si="1174">+AD778+AD891</f>
        <v>0</v>
      </c>
      <c r="AE924" s="602">
        <v>0</v>
      </c>
      <c r="AF924" s="602">
        <v>161.47709796857001</v>
      </c>
      <c r="AG924" s="602">
        <f t="shared" si="1174"/>
        <v>13.09276161209365</v>
      </c>
      <c r="AH924" s="602">
        <f t="shared" si="1174"/>
        <v>0</v>
      </c>
      <c r="AI924" s="602">
        <f t="shared" si="1174"/>
        <v>0</v>
      </c>
      <c r="AJ924" s="602">
        <f t="shared" si="1174"/>
        <v>0</v>
      </c>
      <c r="AK924" s="602"/>
      <c r="AL924" s="602"/>
      <c r="AM924" s="602"/>
      <c r="AN924" s="602"/>
      <c r="AO924" s="602"/>
      <c r="AP924" s="602"/>
      <c r="AQ924" s="602"/>
      <c r="AR924" s="602"/>
      <c r="AS924" s="602"/>
      <c r="AT924" s="602"/>
    </row>
    <row r="925" spans="1:46" hidden="1">
      <c r="A925" s="1"/>
      <c r="B925" s="1"/>
      <c r="C925" s="1"/>
      <c r="D925" s="246" t="s">
        <v>248</v>
      </c>
      <c r="E925" s="143"/>
      <c r="F925" s="105"/>
      <c r="G925" s="105"/>
      <c r="H925" s="105"/>
      <c r="I925" s="105"/>
      <c r="J925" s="105"/>
      <c r="K925" s="105"/>
      <c r="L925" s="105"/>
      <c r="M925" s="105"/>
      <c r="N925" s="105"/>
      <c r="O925" s="105"/>
      <c r="P925" s="105"/>
      <c r="Q925" s="105"/>
      <c r="R925" s="105"/>
      <c r="S925" s="105"/>
      <c r="T925" s="105"/>
      <c r="U925" s="105"/>
      <c r="V925" s="105"/>
      <c r="W925" s="105"/>
      <c r="X925" s="105"/>
      <c r="Y925" s="105"/>
      <c r="Z925" s="105"/>
      <c r="AA925" s="105"/>
      <c r="AB925" s="105">
        <v>0</v>
      </c>
      <c r="AC925" s="105">
        <v>0</v>
      </c>
      <c r="AD925" s="125">
        <f>+AD417*AD924/2</f>
        <v>0</v>
      </c>
      <c r="AE925" s="125">
        <v>0</v>
      </c>
      <c r="AF925" s="125">
        <v>4.8443129390571</v>
      </c>
      <c r="AG925" s="125">
        <f t="shared" ref="AG925:AJ925" si="1175">+AG417*AG924/2</f>
        <v>13.48554446045646</v>
      </c>
      <c r="AH925" s="125">
        <f t="shared" si="1175"/>
        <v>0</v>
      </c>
      <c r="AI925" s="125">
        <f t="shared" si="1175"/>
        <v>0</v>
      </c>
      <c r="AJ925" s="125">
        <f t="shared" si="1175"/>
        <v>0</v>
      </c>
      <c r="AK925" s="125"/>
      <c r="AL925" s="125"/>
      <c r="AM925" s="125"/>
      <c r="AN925" s="125"/>
      <c r="AO925" s="125"/>
      <c r="AP925" s="125"/>
      <c r="AQ925" s="125"/>
      <c r="AR925" s="125"/>
      <c r="AS925" s="125"/>
      <c r="AT925" s="125"/>
    </row>
    <row r="926" spans="1:46" hidden="1">
      <c r="A926" s="1"/>
      <c r="B926" s="1"/>
      <c r="C926" s="1"/>
      <c r="D926" s="944" t="s">
        <v>1084</v>
      </c>
      <c r="E926" s="74"/>
      <c r="F926" s="74"/>
      <c r="G926" s="74"/>
      <c r="H926" s="74"/>
      <c r="I926" s="74"/>
      <c r="J926" s="74"/>
      <c r="K926" s="74"/>
      <c r="L926" s="74"/>
      <c r="M926" s="74"/>
      <c r="N926" s="74"/>
      <c r="O926" s="74"/>
      <c r="P926" s="74"/>
      <c r="Q926" s="74"/>
      <c r="R926" s="74"/>
      <c r="S926" s="74"/>
      <c r="T926" s="74"/>
      <c r="U926" s="74"/>
      <c r="V926" s="74"/>
      <c r="W926" s="74"/>
      <c r="X926" s="74"/>
      <c r="Y926" s="74"/>
      <c r="Z926" s="74"/>
      <c r="AA926" s="953">
        <f>+AA901-SUM(AA904:AA914)+AA916</f>
        <v>49.274207433304966</v>
      </c>
      <c r="AB926" s="74"/>
      <c r="AC926" s="953">
        <v>63.622356078422058</v>
      </c>
      <c r="AD926" s="953">
        <f t="shared" ref="AD926:AJ926" si="1176">+AD903+AD916</f>
        <v>129.05841750792158</v>
      </c>
      <c r="AE926" s="953">
        <f t="shared" si="1176"/>
        <v>161.1929860812001</v>
      </c>
      <c r="AF926" s="953">
        <f t="shared" si="1176"/>
        <v>341.73495486773953</v>
      </c>
      <c r="AG926" s="953">
        <f t="shared" si="1176"/>
        <v>225.00000000000006</v>
      </c>
      <c r="AH926" s="953">
        <f t="shared" si="1176"/>
        <v>221.33065082999985</v>
      </c>
      <c r="AI926" s="953">
        <f t="shared" si="1176"/>
        <v>350.80000000000013</v>
      </c>
      <c r="AJ926" s="953">
        <f t="shared" si="1176"/>
        <v>174.89999999999998</v>
      </c>
      <c r="AK926" s="953"/>
      <c r="AL926" s="953"/>
      <c r="AM926" s="953"/>
      <c r="AN926" s="953"/>
      <c r="AO926" s="953"/>
      <c r="AP926" s="953"/>
      <c r="AQ926" s="953"/>
      <c r="AR926" s="953"/>
      <c r="AS926" s="953"/>
      <c r="AT926" s="953"/>
    </row>
    <row r="927" spans="1:46" hidden="1">
      <c r="A927" s="1"/>
      <c r="B927" s="1"/>
      <c r="C927" s="1"/>
      <c r="D927" s="1195" t="s">
        <v>2313</v>
      </c>
      <c r="E927" s="1196"/>
      <c r="F927" s="1196"/>
      <c r="G927" s="1196"/>
      <c r="H927" s="1196"/>
      <c r="I927" s="1196"/>
      <c r="J927" s="1196"/>
      <c r="K927" s="1196"/>
      <c r="L927" s="1196"/>
      <c r="M927" s="1196"/>
      <c r="N927" s="1196"/>
      <c r="O927" s="1196"/>
      <c r="P927" s="1196"/>
      <c r="Q927" s="1196"/>
      <c r="R927" s="1196"/>
      <c r="S927" s="1196"/>
      <c r="T927" s="1196"/>
      <c r="U927" s="1196"/>
      <c r="V927" s="1196"/>
      <c r="W927" s="1196"/>
      <c r="X927" s="1196"/>
      <c r="Y927" s="1196"/>
      <c r="Z927" s="1197">
        <f>+Z872+Z900</f>
        <v>14.299999999999997</v>
      </c>
      <c r="AA927" s="1198" t="str">
        <f t="shared" ref="AA927:AJ927" si="1177">AA742</f>
        <v>2015/16</v>
      </c>
      <c r="AB927" s="1198" t="str">
        <f t="shared" si="1177"/>
        <v>2016/17</v>
      </c>
      <c r="AC927" s="1198" t="str">
        <f t="shared" si="1177"/>
        <v>2017/18</v>
      </c>
      <c r="AD927" s="1198" t="str">
        <f t="shared" si="1177"/>
        <v>2018/19</v>
      </c>
      <c r="AE927" s="1198" t="str">
        <f t="shared" si="1177"/>
        <v>2019/20</v>
      </c>
      <c r="AF927" s="1198" t="str">
        <f t="shared" si="1177"/>
        <v>2020/21</v>
      </c>
      <c r="AG927" s="1198" t="str">
        <f t="shared" si="1177"/>
        <v>2021/22</v>
      </c>
      <c r="AH927" s="1198" t="str">
        <f t="shared" si="1177"/>
        <v>2022/23</v>
      </c>
      <c r="AI927" s="1198" t="str">
        <f t="shared" si="1177"/>
        <v>2023/24</v>
      </c>
      <c r="AJ927" s="1198" t="str">
        <f t="shared" si="1177"/>
        <v>2024/25</v>
      </c>
      <c r="AK927" s="1198"/>
      <c r="AL927" s="1198"/>
      <c r="AM927" s="1198"/>
      <c r="AN927" s="1198"/>
      <c r="AO927" s="1198"/>
      <c r="AP927" s="1198"/>
      <c r="AQ927" s="1198"/>
      <c r="AR927" s="1198"/>
      <c r="AS927" s="1198"/>
      <c r="AT927" s="1198"/>
    </row>
    <row r="928" spans="1:46" hidden="1">
      <c r="A928" s="1"/>
      <c r="B928" s="1"/>
      <c r="C928" s="1"/>
      <c r="D928" s="1199" t="s">
        <v>2312</v>
      </c>
      <c r="E928" s="74"/>
      <c r="F928" s="74"/>
      <c r="G928" s="74"/>
      <c r="H928" s="74"/>
      <c r="I928" s="74"/>
      <c r="J928" s="74"/>
      <c r="K928" s="74"/>
      <c r="L928" s="74"/>
      <c r="M928" s="74"/>
      <c r="N928" s="74"/>
      <c r="O928" s="74"/>
      <c r="P928" s="74"/>
      <c r="Q928" s="74"/>
      <c r="R928" s="74"/>
      <c r="S928" s="74"/>
      <c r="T928" s="74"/>
      <c r="U928" s="74"/>
      <c r="V928" s="74"/>
      <c r="W928" s="74"/>
      <c r="X928" s="74"/>
      <c r="Y928" s="74"/>
      <c r="Z928" s="346"/>
      <c r="AA928" s="346"/>
      <c r="AB928" s="346"/>
      <c r="AC928" s="346"/>
      <c r="AD928" s="1200"/>
      <c r="AE928" s="1200">
        <f>AE923</f>
        <v>193</v>
      </c>
      <c r="AF928" s="1200">
        <f>AF923</f>
        <v>367.94194427166008</v>
      </c>
      <c r="AG928" s="1200"/>
      <c r="AH928" s="1200"/>
      <c r="AI928" s="1200"/>
      <c r="AJ928" s="1200"/>
      <c r="AK928" s="1200"/>
      <c r="AL928" s="1200"/>
      <c r="AM928" s="1200"/>
      <c r="AN928" s="1200"/>
      <c r="AO928" s="1200"/>
      <c r="AP928" s="1200"/>
      <c r="AQ928" s="1200"/>
      <c r="AR928" s="1200"/>
      <c r="AS928" s="1200"/>
      <c r="AT928" s="1200"/>
    </row>
    <row r="929" spans="1:119" hidden="1">
      <c r="A929" s="1"/>
      <c r="B929" s="1"/>
      <c r="C929" s="1"/>
      <c r="D929" s="1199" t="s">
        <v>2321</v>
      </c>
      <c r="E929" s="74"/>
      <c r="F929" s="74"/>
      <c r="G929" s="74"/>
      <c r="H929" s="74"/>
      <c r="I929" s="74"/>
      <c r="J929" s="74"/>
      <c r="K929" s="74"/>
      <c r="L929" s="74"/>
      <c r="M929" s="74"/>
      <c r="N929" s="74"/>
      <c r="O929" s="74"/>
      <c r="P929" s="74"/>
      <c r="Q929" s="74"/>
      <c r="R929" s="74"/>
      <c r="S929" s="74"/>
      <c r="T929" s="74"/>
      <c r="U929" s="74"/>
      <c r="V929" s="74"/>
      <c r="W929" s="74"/>
      <c r="X929" s="74"/>
      <c r="Y929" s="74"/>
      <c r="Z929" s="346"/>
      <c r="AA929" s="346"/>
      <c r="AB929" s="346"/>
      <c r="AC929" s="346"/>
      <c r="AD929" s="1200"/>
      <c r="AE929" s="1200">
        <v>19.672925564267334</v>
      </c>
      <c r="AF929" s="1200">
        <v>14</v>
      </c>
      <c r="AG929" s="1200"/>
      <c r="AH929" s="1200"/>
      <c r="AI929" s="1200"/>
      <c r="AJ929" s="1200"/>
      <c r="AK929" s="1200"/>
      <c r="AL929" s="1200"/>
      <c r="AM929" s="1200"/>
      <c r="AN929" s="1200"/>
      <c r="AO929" s="1200"/>
      <c r="AP929" s="1200"/>
      <c r="AQ929" s="1200"/>
      <c r="AR929" s="1200"/>
      <c r="AS929" s="1200"/>
      <c r="AT929" s="1200"/>
    </row>
    <row r="930" spans="1:119" hidden="1">
      <c r="A930" s="1"/>
      <c r="B930" s="1"/>
      <c r="C930" s="1"/>
      <c r="D930" s="1199" t="s">
        <v>2317</v>
      </c>
      <c r="E930" s="74"/>
      <c r="F930" s="74"/>
      <c r="G930" s="74"/>
      <c r="H930" s="74"/>
      <c r="I930" s="74"/>
      <c r="J930" s="74"/>
      <c r="K930" s="74"/>
      <c r="L930" s="74"/>
      <c r="M930" s="74"/>
      <c r="N930" s="74"/>
      <c r="O930" s="74"/>
      <c r="P930" s="74"/>
      <c r="Q930" s="74"/>
      <c r="R930" s="74"/>
      <c r="S930" s="74"/>
      <c r="T930" s="74"/>
      <c r="U930" s="74"/>
      <c r="V930" s="74"/>
      <c r="W930" s="74"/>
      <c r="X930" s="74"/>
      <c r="Y930" s="74"/>
      <c r="Z930" s="346"/>
      <c r="AA930" s="346"/>
      <c r="AB930" s="346"/>
      <c r="AC930" s="346"/>
      <c r="AD930" s="1200"/>
      <c r="AE930" s="1200">
        <f>AE924-AE892-AE778</f>
        <v>0</v>
      </c>
      <c r="AF930" s="1200">
        <f>AF924-AF892-AF778</f>
        <v>12.538470713118826</v>
      </c>
      <c r="AG930" s="1200">
        <f>AG924-AG892-AG778</f>
        <v>0</v>
      </c>
      <c r="AH930" s="1200"/>
      <c r="AI930" s="1200"/>
      <c r="AJ930" s="1200"/>
      <c r="AK930" s="1200"/>
      <c r="AL930" s="1200"/>
      <c r="AM930" s="1200"/>
      <c r="AN930" s="1200"/>
      <c r="AO930" s="1200"/>
      <c r="AP930" s="1200"/>
      <c r="AQ930" s="1200"/>
      <c r="AR930" s="1200"/>
      <c r="AS930" s="1200"/>
      <c r="AT930" s="1200"/>
    </row>
    <row r="931" spans="1:119" hidden="1">
      <c r="A931" s="1"/>
      <c r="B931" s="1"/>
      <c r="C931" s="1"/>
      <c r="D931" s="1201" t="s">
        <v>2314</v>
      </c>
      <c r="E931" s="1202"/>
      <c r="F931" s="1202"/>
      <c r="G931" s="1202"/>
      <c r="H931" s="1202"/>
      <c r="I931" s="1202"/>
      <c r="J931" s="1202"/>
      <c r="K931" s="1202"/>
      <c r="L931" s="1202"/>
      <c r="M931" s="1202"/>
      <c r="N931" s="1202"/>
      <c r="O931" s="1202"/>
      <c r="P931" s="1202"/>
      <c r="Q931" s="1202"/>
      <c r="R931" s="1202"/>
      <c r="S931" s="1202"/>
      <c r="T931" s="1202"/>
      <c r="U931" s="1202"/>
      <c r="V931" s="1202"/>
      <c r="W931" s="1202"/>
      <c r="X931" s="1202"/>
      <c r="Y931" s="1202"/>
      <c r="Z931" s="1203"/>
      <c r="AA931" s="1204">
        <f t="shared" ref="AA931:AJ931" si="1178">AA303</f>
        <v>6443</v>
      </c>
      <c r="AB931" s="1204">
        <f t="shared" si="1178"/>
        <v>7237</v>
      </c>
      <c r="AC931" s="1204">
        <f t="shared" si="1178"/>
        <v>7982</v>
      </c>
      <c r="AD931" s="1204">
        <f t="shared" si="1178"/>
        <v>8784</v>
      </c>
      <c r="AE931" s="1204">
        <f t="shared" si="1178"/>
        <v>9640</v>
      </c>
      <c r="AF931" s="1204">
        <f t="shared" si="1178"/>
        <v>10499</v>
      </c>
      <c r="AG931" s="1204">
        <f t="shared" si="1178"/>
        <v>12359</v>
      </c>
      <c r="AH931" s="1204">
        <f t="shared" si="1178"/>
        <v>15800</v>
      </c>
      <c r="AI931" s="1204">
        <f t="shared" si="1178"/>
        <v>18547.5</v>
      </c>
      <c r="AJ931" s="1204">
        <f t="shared" si="1178"/>
        <v>0</v>
      </c>
      <c r="AK931" s="1204"/>
      <c r="AL931" s="1204"/>
      <c r="AM931" s="1204"/>
      <c r="AN931" s="1204"/>
      <c r="AO931" s="1204"/>
      <c r="AP931" s="1204"/>
      <c r="AQ931" s="1204"/>
      <c r="AR931" s="1204"/>
      <c r="AS931" s="1204"/>
      <c r="AT931" s="1204"/>
    </row>
    <row r="932" spans="1:119" hidden="1">
      <c r="A932" s="1"/>
      <c r="B932" s="1"/>
      <c r="C932" s="1"/>
      <c r="D932" s="75" t="s">
        <v>3246</v>
      </c>
      <c r="E932" s="1"/>
      <c r="F932" s="1"/>
      <c r="G932" s="1"/>
      <c r="H932" s="1"/>
      <c r="I932" s="1"/>
      <c r="J932" s="1"/>
      <c r="K932" s="1"/>
      <c r="L932" s="1"/>
      <c r="M932" s="1"/>
      <c r="N932" s="1"/>
      <c r="O932" s="1"/>
      <c r="P932" s="1"/>
      <c r="Q932" s="1"/>
      <c r="R932" s="1"/>
      <c r="S932" s="1"/>
      <c r="T932" s="1"/>
      <c r="V932" s="1"/>
      <c r="X932" s="1"/>
      <c r="Z932" s="1"/>
      <c r="AD932" s="1168"/>
      <c r="AE932" s="1168"/>
      <c r="AF932" s="1168">
        <v>2097.2345195434518</v>
      </c>
      <c r="AG932" s="1168">
        <v>2306.7799940166833</v>
      </c>
      <c r="AH932" s="1168">
        <v>2627.0757159135678</v>
      </c>
      <c r="AI932" s="1168"/>
      <c r="AJ932" s="1168"/>
      <c r="AK932" s="1168"/>
      <c r="AL932" s="1168"/>
      <c r="AM932" s="1168"/>
      <c r="AN932" s="1168"/>
      <c r="AO932" s="1168"/>
      <c r="AP932" s="1168"/>
      <c r="AQ932" s="1168"/>
      <c r="AR932" s="1168"/>
      <c r="AS932" s="1168"/>
      <c r="AT932" s="1168"/>
    </row>
    <row r="933" spans="1:119" hidden="1">
      <c r="A933" s="353"/>
      <c r="D933" s="75"/>
      <c r="E933" s="74"/>
      <c r="F933" s="74"/>
      <c r="G933" s="74"/>
      <c r="H933" s="74"/>
      <c r="I933" s="74"/>
      <c r="J933" s="74"/>
      <c r="K933" s="74"/>
      <c r="L933" s="74"/>
      <c r="M933" s="74"/>
      <c r="N933" s="74"/>
      <c r="O933" s="74"/>
      <c r="P933" s="74"/>
      <c r="Q933" s="74"/>
      <c r="R933" s="74"/>
      <c r="S933" s="74"/>
      <c r="T933" s="74"/>
      <c r="U933" s="74"/>
      <c r="V933" s="74"/>
      <c r="W933" s="346" t="e">
        <f>+#REF!+#REF!</f>
        <v>#REF!</v>
      </c>
      <c r="X933" s="346" t="e">
        <f>+#REF!+#REF!</f>
        <v>#REF!</v>
      </c>
      <c r="Y933" s="346" t="e">
        <f>+#REF!+#REF!</f>
        <v>#REF!</v>
      </c>
      <c r="Z933" s="346" t="e">
        <f>+#REF!+#REF!</f>
        <v>#REF!</v>
      </c>
      <c r="AA933" s="74"/>
      <c r="AB933" s="74"/>
      <c r="AC933" s="74"/>
      <c r="AD933" s="1168"/>
      <c r="AE933" s="1168"/>
      <c r="AF933" s="1168"/>
      <c r="AG933" s="1168"/>
      <c r="AH933" s="1168"/>
      <c r="AI933" s="1168"/>
      <c r="AJ933" s="1168"/>
      <c r="AK933" s="1168"/>
      <c r="AL933" s="1168"/>
      <c r="AM933" s="1168"/>
      <c r="AN933" s="1168"/>
      <c r="AO933" s="1168"/>
      <c r="AP933" s="1168"/>
      <c r="AQ933" s="1168"/>
      <c r="AR933" s="1168"/>
      <c r="AS933" s="1168"/>
      <c r="AT933" s="1168"/>
      <c r="BU933" s="327"/>
      <c r="BV933" s="327"/>
      <c r="BW933" s="327"/>
      <c r="BX933" s="327"/>
      <c r="BY933" s="327"/>
      <c r="BZ933" s="327"/>
      <c r="CA933" s="327"/>
      <c r="CB933" s="327"/>
      <c r="CC933" s="327"/>
      <c r="CD933" s="327"/>
      <c r="CE933" s="327"/>
      <c r="CF933" s="327"/>
      <c r="CG933" s="327"/>
      <c r="CH933" s="327"/>
      <c r="CI933" s="327"/>
      <c r="CJ933" s="327"/>
      <c r="CK933" s="327"/>
      <c r="CL933" s="327"/>
      <c r="CM933" s="327"/>
      <c r="CN933" s="327"/>
      <c r="CO933" s="327"/>
      <c r="CP933" s="327"/>
      <c r="CQ933" s="327"/>
      <c r="CR933" s="327"/>
      <c r="CS933" s="327"/>
      <c r="CT933" s="327"/>
      <c r="CU933" s="327"/>
      <c r="CV933" s="327"/>
      <c r="CW933" s="327"/>
      <c r="CX933" s="327"/>
      <c r="CY933" s="279"/>
      <c r="CZ933" s="279"/>
      <c r="DA933" s="279"/>
      <c r="DB933" s="279"/>
      <c r="DC933" s="279"/>
      <c r="DD933" s="279"/>
      <c r="DE933" s="279"/>
      <c r="DF933" s="279"/>
      <c r="DG933" s="327"/>
      <c r="DH933" s="327"/>
      <c r="DI933" s="279"/>
      <c r="DJ933" s="279"/>
      <c r="DK933" s="279"/>
      <c r="DL933" s="279"/>
      <c r="DM933" s="279"/>
      <c r="DN933" s="279"/>
      <c r="DO933" s="279"/>
    </row>
    <row r="934" spans="1:119" hidden="1">
      <c r="A934" s="1"/>
      <c r="B934" s="1"/>
      <c r="C934" s="1"/>
      <c r="E934" s="1"/>
      <c r="F934" s="1"/>
      <c r="G934" s="1"/>
      <c r="H934" s="1"/>
      <c r="I934" s="1"/>
      <c r="J934" s="1"/>
      <c r="K934" s="1"/>
      <c r="L934" s="1"/>
      <c r="M934" s="1"/>
      <c r="N934" s="1"/>
      <c r="O934" s="1"/>
      <c r="P934" s="1"/>
      <c r="Q934" s="1"/>
      <c r="R934" s="1"/>
      <c r="S934" s="1"/>
      <c r="T934" s="1"/>
      <c r="V934" s="1"/>
      <c r="X934" s="1"/>
      <c r="Z934" s="1"/>
      <c r="AT934" s="1"/>
      <c r="BU934" s="327"/>
      <c r="BV934" s="327"/>
      <c r="BW934" s="327"/>
      <c r="BX934" s="327"/>
      <c r="BY934" s="327"/>
      <c r="BZ934" s="327"/>
      <c r="CA934" s="327"/>
      <c r="CB934" s="327"/>
      <c r="CC934" s="327"/>
      <c r="CD934" s="327"/>
      <c r="CE934" s="327"/>
      <c r="CF934" s="327"/>
      <c r="CG934" s="327"/>
      <c r="CH934" s="327"/>
      <c r="CI934" s="327"/>
      <c r="CJ934" s="327"/>
      <c r="CK934" s="327"/>
      <c r="CL934" s="327"/>
      <c r="CM934" s="327"/>
      <c r="CN934" s="327"/>
      <c r="CO934" s="327"/>
      <c r="CP934" s="327"/>
      <c r="CQ934" s="327"/>
      <c r="CR934" s="327"/>
      <c r="CS934" s="327"/>
      <c r="CT934" s="327"/>
      <c r="CU934" s="327"/>
      <c r="CV934" s="327"/>
      <c r="CW934" s="327"/>
      <c r="CX934" s="327"/>
      <c r="CY934" s="279"/>
      <c r="CZ934" s="279"/>
      <c r="DA934" s="279"/>
      <c r="DB934" s="279"/>
      <c r="DC934" s="279"/>
      <c r="DD934" s="279"/>
      <c r="DE934" s="279"/>
      <c r="DF934" s="279"/>
      <c r="DG934" s="327"/>
      <c r="DH934" s="327"/>
      <c r="DI934" s="279"/>
      <c r="DJ934" s="279"/>
      <c r="DK934" s="279"/>
      <c r="DL934" s="279"/>
      <c r="DM934" s="279"/>
      <c r="DN934" s="279"/>
      <c r="DO934" s="279"/>
    </row>
    <row r="935" spans="1:119" hidden="1">
      <c r="A935" s="1"/>
      <c r="B935" s="1"/>
      <c r="C935" s="1"/>
      <c r="D935" s="353"/>
      <c r="E935" s="74"/>
      <c r="F935" s="74"/>
      <c r="G935" s="74"/>
      <c r="H935" s="74"/>
      <c r="I935" s="74"/>
      <c r="J935" s="74"/>
      <c r="K935" s="74"/>
      <c r="L935" s="74"/>
      <c r="M935" s="74"/>
      <c r="N935" s="74"/>
      <c r="O935" s="74"/>
      <c r="P935" s="74"/>
      <c r="Q935" s="74"/>
      <c r="R935" s="74"/>
      <c r="S935" s="74"/>
      <c r="T935" s="74"/>
      <c r="U935" s="74"/>
      <c r="V935" s="74"/>
      <c r="W935" s="74"/>
      <c r="X935" s="74"/>
      <c r="Y935" s="74"/>
      <c r="Z935" s="346"/>
      <c r="AA935" s="346"/>
      <c r="AE935" s="346"/>
      <c r="AF935" s="74"/>
      <c r="AG935" s="74"/>
      <c r="AH935" s="74"/>
      <c r="AI935" s="74"/>
      <c r="AT935" s="1"/>
      <c r="BU935" s="327"/>
      <c r="BV935" s="327"/>
      <c r="BW935" s="327"/>
      <c r="BX935" s="327"/>
      <c r="BY935" s="327"/>
      <c r="BZ935" s="327"/>
      <c r="CA935" s="327"/>
      <c r="CB935" s="327"/>
      <c r="CC935" s="327"/>
      <c r="CD935" s="327"/>
      <c r="CE935" s="327"/>
      <c r="CF935" s="327"/>
      <c r="CG935" s="327"/>
      <c r="CH935" s="327"/>
      <c r="CI935" s="327"/>
      <c r="CJ935" s="327"/>
      <c r="CK935" s="327"/>
      <c r="CL935" s="327"/>
      <c r="CM935" s="327"/>
      <c r="CN935" s="327"/>
      <c r="CO935" s="327"/>
      <c r="CP935" s="327"/>
      <c r="CQ935" s="327"/>
      <c r="CR935" s="327"/>
      <c r="CS935" s="327"/>
      <c r="CT935" s="327"/>
      <c r="CU935" s="327"/>
      <c r="CV935" s="327"/>
      <c r="CW935" s="327"/>
      <c r="CX935" s="327"/>
      <c r="CY935" s="279"/>
      <c r="CZ935" s="279"/>
      <c r="DA935" s="279"/>
      <c r="DB935" s="279"/>
      <c r="DC935" s="279"/>
      <c r="DD935" s="279"/>
      <c r="DE935" s="279"/>
      <c r="DF935" s="279"/>
      <c r="DG935" s="327"/>
      <c r="DH935" s="327"/>
      <c r="DI935" s="279"/>
      <c r="DJ935" s="279"/>
      <c r="DK935" s="279"/>
      <c r="DL935" s="279"/>
      <c r="DM935" s="279"/>
      <c r="DN935" s="279"/>
      <c r="DO935" s="279"/>
    </row>
    <row r="936" spans="1:119" hidden="1">
      <c r="A936" s="1"/>
      <c r="B936" s="1"/>
      <c r="C936" s="1"/>
      <c r="D936" s="353"/>
      <c r="E936" s="74"/>
      <c r="F936" s="74"/>
      <c r="G936" s="74"/>
      <c r="H936" s="74"/>
      <c r="I936" s="74"/>
      <c r="J936" s="74"/>
      <c r="K936" s="74"/>
      <c r="L936" s="74"/>
      <c r="M936" s="74"/>
      <c r="N936" s="74"/>
      <c r="O936" s="74"/>
      <c r="P936" s="74"/>
      <c r="Q936" s="74"/>
      <c r="R936" s="74"/>
      <c r="S936" s="74"/>
      <c r="T936" s="74"/>
      <c r="U936" s="74"/>
      <c r="V936" s="74"/>
      <c r="W936" s="74"/>
      <c r="X936" s="74"/>
      <c r="Y936" s="74"/>
      <c r="Z936" s="346"/>
      <c r="AA936" s="346"/>
      <c r="AE936" s="346"/>
      <c r="AF936" s="346"/>
      <c r="AG936" s="346"/>
      <c r="AH936" s="346"/>
      <c r="AI936" s="346"/>
      <c r="AJ936" s="346"/>
      <c r="AK936" s="346"/>
      <c r="AL936" s="346"/>
      <c r="AM936" s="346"/>
      <c r="AN936" s="346"/>
      <c r="AO936" s="346"/>
      <c r="AP936" s="346"/>
      <c r="AQ936" s="346"/>
      <c r="AR936" s="346"/>
      <c r="AS936" s="346"/>
      <c r="AT936" s="346"/>
      <c r="BU936" s="327"/>
      <c r="BV936" s="327"/>
      <c r="BW936" s="327"/>
      <c r="BX936" s="327"/>
      <c r="BY936" s="327"/>
      <c r="BZ936" s="327"/>
      <c r="CA936" s="327"/>
      <c r="CB936" s="327"/>
      <c r="CC936" s="327"/>
      <c r="CD936" s="327"/>
      <c r="CE936" s="327"/>
      <c r="CF936" s="327"/>
      <c r="CG936" s="327"/>
      <c r="CH936" s="327"/>
      <c r="CI936" s="327"/>
      <c r="CJ936" s="327"/>
      <c r="CK936" s="327"/>
      <c r="CL936" s="327"/>
      <c r="CM936" s="327"/>
      <c r="CN936" s="327"/>
      <c r="CO936" s="327"/>
      <c r="CP936" s="327"/>
      <c r="CQ936" s="327"/>
      <c r="CR936" s="327"/>
      <c r="CS936" s="327"/>
      <c r="CT936" s="327"/>
      <c r="CU936" s="327"/>
      <c r="CV936" s="327"/>
      <c r="CW936" s="327"/>
      <c r="CX936" s="327"/>
      <c r="CY936" s="279"/>
      <c r="CZ936" s="279"/>
      <c r="DA936" s="279"/>
      <c r="DB936" s="279"/>
      <c r="DC936" s="279"/>
      <c r="DD936" s="279"/>
      <c r="DE936" s="279"/>
      <c r="DF936" s="279"/>
      <c r="DG936" s="327"/>
      <c r="DH936" s="327"/>
      <c r="DI936" s="279"/>
      <c r="DJ936" s="279"/>
      <c r="DK936" s="279"/>
      <c r="DL936" s="279"/>
      <c r="DM936" s="279"/>
      <c r="DN936" s="279"/>
      <c r="DO936" s="279"/>
    </row>
    <row r="937" spans="1:119" hidden="1">
      <c r="A937" s="1"/>
      <c r="B937" s="1"/>
      <c r="C937" s="1"/>
      <c r="D937" s="353"/>
      <c r="E937" s="74"/>
      <c r="F937" s="74"/>
      <c r="G937" s="74"/>
      <c r="H937" s="74"/>
      <c r="I937" s="74"/>
      <c r="J937" s="74"/>
      <c r="K937" s="74"/>
      <c r="L937" s="74"/>
      <c r="M937" s="74"/>
      <c r="N937" s="74"/>
      <c r="O937" s="74"/>
      <c r="P937" s="74"/>
      <c r="Q937" s="74"/>
      <c r="R937" s="74"/>
      <c r="S937" s="74"/>
      <c r="T937" s="74"/>
      <c r="U937" s="74"/>
      <c r="V937" s="74"/>
      <c r="W937" s="74"/>
      <c r="X937" s="74"/>
      <c r="Y937" s="74"/>
      <c r="Z937" s="346"/>
      <c r="AA937" s="346"/>
      <c r="AB937" s="346"/>
      <c r="AC937" s="346"/>
      <c r="AD937" s="74"/>
      <c r="AE937" s="74"/>
      <c r="AT937" s="1"/>
      <c r="BU937" s="327"/>
      <c r="BV937" s="327"/>
      <c r="BW937" s="327"/>
      <c r="BX937" s="327"/>
      <c r="BY937" s="327"/>
      <c r="BZ937" s="327"/>
      <c r="CA937" s="327"/>
      <c r="CB937" s="327"/>
      <c r="CC937" s="327"/>
      <c r="CD937" s="327"/>
      <c r="CE937" s="327"/>
      <c r="CF937" s="327"/>
      <c r="CG937" s="327"/>
      <c r="CH937" s="327"/>
      <c r="CI937" s="327"/>
      <c r="CJ937" s="327"/>
      <c r="CK937" s="327"/>
      <c r="CL937" s="327"/>
      <c r="CM937" s="327"/>
      <c r="CN937" s="327"/>
      <c r="CO937" s="327"/>
      <c r="CP937" s="327"/>
      <c r="CQ937" s="327"/>
      <c r="CR937" s="327"/>
      <c r="CS937" s="327"/>
      <c r="CT937" s="327"/>
      <c r="CU937" s="327"/>
      <c r="CV937" s="327"/>
      <c r="CW937" s="327"/>
      <c r="CX937" s="327"/>
      <c r="CY937" s="279"/>
      <c r="CZ937" s="279"/>
      <c r="DA937" s="279"/>
      <c r="DB937" s="279"/>
      <c r="DC937" s="279"/>
      <c r="DD937" s="279"/>
      <c r="DE937" s="279"/>
      <c r="DF937" s="279"/>
      <c r="DG937" s="327"/>
      <c r="DH937" s="327"/>
      <c r="DI937" s="279"/>
      <c r="DJ937" s="279"/>
      <c r="DK937" s="279"/>
      <c r="DL937" s="279"/>
      <c r="DM937" s="279"/>
      <c r="DN937" s="279"/>
      <c r="DO937" s="279"/>
    </row>
    <row r="938" spans="1:119" hidden="1">
      <c r="A938" s="1"/>
      <c r="B938" s="1"/>
      <c r="C938" s="1"/>
      <c r="D938" s="353"/>
      <c r="E938" s="74"/>
      <c r="F938" s="74"/>
      <c r="G938" s="74"/>
      <c r="H938" s="74"/>
      <c r="I938" s="74"/>
      <c r="J938" s="74"/>
      <c r="K938" s="74"/>
      <c r="L938" s="74"/>
      <c r="M938" s="74"/>
      <c r="N938" s="74"/>
      <c r="O938" s="74"/>
      <c r="P938" s="74"/>
      <c r="Q938" s="74"/>
      <c r="R938" s="74"/>
      <c r="S938" s="74"/>
      <c r="T938" s="74"/>
      <c r="U938" s="74"/>
      <c r="V938" s="74"/>
      <c r="W938" s="74"/>
      <c r="X938" s="74"/>
      <c r="Y938" s="74"/>
      <c r="Z938" s="346"/>
      <c r="AA938" s="346"/>
      <c r="AB938" s="346"/>
      <c r="AC938" s="346"/>
      <c r="AD938" s="74"/>
      <c r="AE938" s="1211"/>
      <c r="AT938" s="1"/>
      <c r="BU938" s="327"/>
      <c r="BV938" s="327"/>
      <c r="BW938" s="327"/>
      <c r="BX938" s="327"/>
      <c r="BY938" s="327"/>
      <c r="BZ938" s="327"/>
      <c r="CA938" s="327"/>
      <c r="CB938" s="327"/>
      <c r="CC938" s="327"/>
      <c r="CD938" s="327"/>
      <c r="CE938" s="327"/>
      <c r="CF938" s="327"/>
      <c r="CG938" s="327"/>
      <c r="CH938" s="327"/>
      <c r="CI938" s="327"/>
      <c r="CJ938" s="327"/>
      <c r="CK938" s="327"/>
      <c r="CL938" s="327"/>
      <c r="CM938" s="327"/>
      <c r="CN938" s="327"/>
      <c r="CO938" s="327"/>
      <c r="CP938" s="327"/>
      <c r="CQ938" s="327"/>
      <c r="CR938" s="327"/>
      <c r="CS938" s="327"/>
      <c r="CT938" s="327"/>
      <c r="CU938" s="327"/>
      <c r="CV938" s="327"/>
      <c r="CW938" s="327"/>
      <c r="CX938" s="327"/>
      <c r="CY938" s="279"/>
      <c r="CZ938" s="279"/>
      <c r="DA938" s="279"/>
      <c r="DB938" s="279"/>
      <c r="DC938" s="279"/>
      <c r="DD938" s="279"/>
      <c r="DE938" s="279"/>
      <c r="DF938" s="279"/>
      <c r="DG938" s="327"/>
      <c r="DH938" s="327"/>
      <c r="DI938" s="279"/>
      <c r="DJ938" s="279"/>
      <c r="DK938" s="279"/>
      <c r="DL938" s="279"/>
      <c r="DM938" s="279"/>
      <c r="DN938" s="279"/>
      <c r="DO938" s="279"/>
    </row>
    <row r="939" spans="1:119" hidden="1">
      <c r="A939" s="1"/>
      <c r="B939" s="1"/>
      <c r="C939" s="1"/>
      <c r="D939" s="353"/>
      <c r="E939" s="74"/>
      <c r="F939" s="74"/>
      <c r="G939" s="74"/>
      <c r="H939" s="74"/>
      <c r="I939" s="74"/>
      <c r="J939" s="74"/>
      <c r="K939" s="74"/>
      <c r="L939" s="74"/>
      <c r="M939" s="74"/>
      <c r="N939" s="74"/>
      <c r="O939" s="74"/>
      <c r="P939" s="74"/>
      <c r="Q939" s="74"/>
      <c r="R939" s="74"/>
      <c r="S939" s="74"/>
      <c r="T939" s="74"/>
      <c r="U939" s="74"/>
      <c r="V939" s="74"/>
      <c r="W939" s="74"/>
      <c r="X939" s="74"/>
      <c r="Y939" s="957">
        <f>Y953/X953-1</f>
        <v>0.15304688238767339</v>
      </c>
      <c r="Z939" s="957">
        <f>Z953/Y953-1</f>
        <v>0.1173503109732259</v>
      </c>
      <c r="AA939" s="957"/>
      <c r="AB939" s="957"/>
      <c r="AC939" s="957"/>
      <c r="AD939" s="957"/>
      <c r="AE939" s="957"/>
      <c r="AF939" s="957"/>
      <c r="AG939" s="957"/>
      <c r="AH939" s="957"/>
      <c r="AI939" s="957"/>
      <c r="AJ939" s="957"/>
      <c r="AK939" s="957"/>
      <c r="AL939" s="957"/>
      <c r="AM939" s="957"/>
      <c r="AN939" s="957"/>
      <c r="AO939" s="957"/>
      <c r="AP939" s="957"/>
      <c r="AQ939" s="957"/>
      <c r="AR939" s="957"/>
      <c r="AS939" s="957"/>
      <c r="AT939" s="957"/>
      <c r="BU939" s="327"/>
      <c r="BV939" s="327"/>
      <c r="BW939" s="327"/>
      <c r="BX939" s="327"/>
      <c r="BY939" s="327"/>
      <c r="BZ939" s="327"/>
      <c r="CA939" s="327"/>
      <c r="CB939" s="327"/>
      <c r="CC939" s="327"/>
      <c r="CD939" s="327"/>
      <c r="CE939" s="327"/>
      <c r="CF939" s="327"/>
      <c r="CG939" s="327"/>
      <c r="CH939" s="327"/>
      <c r="CI939" s="327"/>
      <c r="CJ939" s="327"/>
      <c r="CK939" s="327"/>
      <c r="CL939" s="327"/>
      <c r="CM939" s="327"/>
      <c r="CN939" s="327"/>
      <c r="CO939" s="327"/>
      <c r="CP939" s="327"/>
      <c r="CQ939" s="327"/>
      <c r="CR939" s="327"/>
      <c r="CS939" s="327"/>
      <c r="CT939" s="327"/>
      <c r="CU939" s="327"/>
      <c r="CV939" s="327"/>
      <c r="CW939" s="327"/>
      <c r="CX939" s="327"/>
      <c r="CY939" s="279"/>
      <c r="CZ939" s="279"/>
      <c r="DA939" s="279"/>
      <c r="DB939" s="279"/>
      <c r="DC939" s="279"/>
      <c r="DD939" s="279"/>
      <c r="DE939" s="279"/>
      <c r="DF939" s="279"/>
      <c r="DG939" s="327"/>
      <c r="DH939" s="327"/>
      <c r="DI939" s="279"/>
      <c r="DJ939" s="279"/>
      <c r="DK939" s="279"/>
      <c r="DL939" s="279"/>
      <c r="DM939" s="279"/>
      <c r="DN939" s="279"/>
      <c r="DO939" s="279"/>
    </row>
    <row r="940" spans="1:119" hidden="1">
      <c r="A940" s="1"/>
      <c r="B940" s="1"/>
      <c r="C940" s="1"/>
      <c r="D940" s="353"/>
      <c r="E940" s="74"/>
      <c r="F940" s="74"/>
      <c r="G940" s="74"/>
      <c r="H940" s="74"/>
      <c r="I940" s="74"/>
      <c r="J940" s="74"/>
      <c r="K940" s="74"/>
      <c r="L940" s="74"/>
      <c r="M940" s="74"/>
      <c r="N940" s="74"/>
      <c r="O940" s="74"/>
      <c r="P940" s="74"/>
      <c r="Q940" s="74"/>
      <c r="R940" s="74"/>
      <c r="S940" s="74"/>
      <c r="T940" s="74"/>
      <c r="U940" s="74"/>
      <c r="V940" s="74"/>
      <c r="W940" s="74"/>
      <c r="X940" s="957">
        <f>X945/W945-1</f>
        <v>0.24458604631133518</v>
      </c>
      <c r="Y940" s="957">
        <f>Y945/X945-1</f>
        <v>0.17062219881588225</v>
      </c>
      <c r="Z940" s="957">
        <f>Z945/Y945-1</f>
        <v>0.1631945648771016</v>
      </c>
      <c r="AA940" s="957"/>
      <c r="AB940" s="957"/>
      <c r="AC940" s="957"/>
      <c r="AD940" s="957"/>
      <c r="AE940" s="957"/>
      <c r="AF940" s="957"/>
      <c r="AG940" s="957"/>
      <c r="AH940" s="957"/>
      <c r="AI940" s="957"/>
      <c r="AJ940" s="957"/>
      <c r="AK940" s="957"/>
      <c r="AL940" s="957"/>
      <c r="AM940" s="957"/>
      <c r="AN940" s="957"/>
      <c r="AO940" s="957"/>
      <c r="AP940" s="957"/>
      <c r="AQ940" s="957"/>
      <c r="AR940" s="957"/>
      <c r="AS940" s="957"/>
      <c r="AT940" s="957"/>
      <c r="BU940" s="327"/>
      <c r="BV940" s="327"/>
      <c r="BW940" s="327"/>
      <c r="BX940" s="327"/>
      <c r="BY940" s="327"/>
      <c r="BZ940" s="327"/>
      <c r="CA940" s="327"/>
      <c r="CB940" s="327"/>
      <c r="CC940" s="327"/>
      <c r="CD940" s="327"/>
      <c r="CE940" s="327"/>
      <c r="CF940" s="327"/>
      <c r="CG940" s="327"/>
      <c r="CH940" s="327"/>
      <c r="CI940" s="327"/>
      <c r="CJ940" s="327"/>
      <c r="CK940" s="327"/>
      <c r="CL940" s="327"/>
      <c r="CM940" s="327"/>
      <c r="CN940" s="327"/>
      <c r="CO940" s="327"/>
      <c r="CP940" s="327"/>
      <c r="CQ940" s="327"/>
      <c r="CR940" s="327"/>
      <c r="CS940" s="327"/>
      <c r="CT940" s="327"/>
      <c r="CU940" s="327"/>
      <c r="CV940" s="327"/>
      <c r="CW940" s="327"/>
      <c r="CX940" s="327"/>
      <c r="CY940" s="279"/>
      <c r="CZ940" s="279"/>
      <c r="DA940" s="279"/>
      <c r="DB940" s="279"/>
      <c r="DC940" s="279"/>
      <c r="DD940" s="279"/>
      <c r="DE940" s="279"/>
      <c r="DF940" s="279"/>
      <c r="DG940" s="327"/>
      <c r="DH940" s="327"/>
      <c r="DI940" s="279"/>
      <c r="DJ940" s="279"/>
      <c r="DK940" s="279"/>
      <c r="DL940" s="279"/>
      <c r="DM940" s="279"/>
      <c r="DN940" s="279"/>
      <c r="DO940" s="279"/>
    </row>
    <row r="941" spans="1:119" hidden="1">
      <c r="A941" s="1"/>
      <c r="B941" s="1"/>
      <c r="C941" s="1"/>
      <c r="D941" s="464" t="s">
        <v>3241</v>
      </c>
      <c r="E941" s="530"/>
      <c r="F941" s="530"/>
      <c r="G941" s="530"/>
      <c r="H941" s="530"/>
      <c r="I941" s="530"/>
      <c r="J941" s="530" t="str">
        <f t="shared" ref="J941:Q941" si="1179">J742</f>
        <v>1998/99</v>
      </c>
      <c r="K941" s="530" t="str">
        <f t="shared" si="1179"/>
        <v>1999/00</v>
      </c>
      <c r="L941" s="530" t="str">
        <f t="shared" si="1179"/>
        <v>2000/01</v>
      </c>
      <c r="M941" s="530" t="str">
        <f t="shared" si="1179"/>
        <v>2001/02</v>
      </c>
      <c r="N941" s="530" t="str">
        <f t="shared" si="1179"/>
        <v>2002/03</v>
      </c>
      <c r="O941" s="530" t="str">
        <f t="shared" si="1179"/>
        <v>2003/04</v>
      </c>
      <c r="P941" s="530" t="str">
        <f t="shared" si="1179"/>
        <v>2004/05</v>
      </c>
      <c r="Q941" s="530" t="str">
        <f t="shared" si="1179"/>
        <v>2005/06</v>
      </c>
      <c r="R941" s="718" t="s">
        <v>183</v>
      </c>
      <c r="S941" s="718" t="s">
        <v>184</v>
      </c>
      <c r="T941" s="718" t="s">
        <v>185</v>
      </c>
      <c r="U941" s="718" t="s">
        <v>186</v>
      </c>
      <c r="V941" s="718" t="s">
        <v>173</v>
      </c>
      <c r="W941" s="718" t="s">
        <v>174</v>
      </c>
      <c r="X941" s="718" t="s">
        <v>175</v>
      </c>
      <c r="Y941" s="718" t="s">
        <v>176</v>
      </c>
      <c r="Z941" s="718" t="s">
        <v>177</v>
      </c>
      <c r="AA941" s="718" t="s">
        <v>178</v>
      </c>
      <c r="AB941" s="718" t="s">
        <v>179</v>
      </c>
      <c r="AC941" s="718" t="s">
        <v>180</v>
      </c>
      <c r="AD941" s="718" t="s">
        <v>181</v>
      </c>
      <c r="AE941" s="718" t="s">
        <v>182</v>
      </c>
      <c r="AF941" s="718" t="s">
        <v>1062</v>
      </c>
      <c r="AG941" s="718" t="s">
        <v>1088</v>
      </c>
      <c r="AH941" s="718" t="s">
        <v>1089</v>
      </c>
      <c r="AI941" s="718" t="s">
        <v>1090</v>
      </c>
      <c r="AJ941" s="718" t="s">
        <v>1091</v>
      </c>
      <c r="AK941" s="718"/>
      <c r="AL941" s="718"/>
      <c r="AM941" s="718"/>
      <c r="AN941" s="718"/>
      <c r="AO941" s="718"/>
      <c r="AP941" s="718"/>
      <c r="AQ941" s="718"/>
      <c r="AR941" s="718"/>
      <c r="AS941" s="718"/>
      <c r="AT941" s="718"/>
      <c r="BU941" s="327"/>
      <c r="BV941" s="327"/>
      <c r="BW941" s="327"/>
      <c r="BX941" s="327"/>
      <c r="BY941" s="327"/>
      <c r="BZ941" s="327"/>
      <c r="CA941" s="327"/>
      <c r="CB941" s="327"/>
      <c r="CC941" s="327"/>
      <c r="CD941" s="327"/>
      <c r="CE941" s="327"/>
      <c r="CF941" s="327"/>
      <c r="CG941" s="327"/>
      <c r="CH941" s="327"/>
      <c r="CI941" s="327"/>
      <c r="CJ941" s="327"/>
      <c r="CK941" s="327"/>
      <c r="CL941" s="327"/>
      <c r="CM941" s="327"/>
      <c r="CN941" s="327"/>
      <c r="CO941" s="327"/>
      <c r="CP941" s="327"/>
      <c r="CQ941" s="327"/>
      <c r="CR941" s="327"/>
      <c r="CS941" s="327"/>
      <c r="CT941" s="327"/>
      <c r="CU941" s="327"/>
      <c r="CV941" s="327"/>
      <c r="CW941" s="327"/>
      <c r="CX941" s="327"/>
      <c r="CY941" s="279"/>
      <c r="CZ941" s="279"/>
      <c r="DA941" s="279"/>
      <c r="DB941" s="279"/>
      <c r="DC941" s="279"/>
      <c r="DD941" s="279"/>
      <c r="DE941" s="279"/>
      <c r="DF941" s="279"/>
      <c r="DG941" s="327"/>
      <c r="DH941" s="327"/>
      <c r="DI941" s="279"/>
      <c r="DJ941" s="279"/>
      <c r="DK941" s="279"/>
      <c r="DL941" s="279"/>
      <c r="DM941" s="279"/>
      <c r="DN941" s="279"/>
      <c r="DO941" s="279"/>
    </row>
    <row r="942" spans="1:119" hidden="1">
      <c r="A942" s="1"/>
      <c r="B942" s="1"/>
      <c r="C942" s="1"/>
      <c r="D942" s="664" t="s">
        <v>812</v>
      </c>
      <c r="E942" s="74"/>
      <c r="F942" s="664"/>
      <c r="G942" s="664"/>
      <c r="H942" s="664"/>
      <c r="I942" s="664"/>
      <c r="J942" s="664"/>
      <c r="K942" s="664"/>
      <c r="L942" s="664"/>
      <c r="M942" s="664"/>
      <c r="N942" s="664"/>
      <c r="O942" s="664"/>
      <c r="P942" s="664"/>
      <c r="Q942" s="664"/>
      <c r="R942" s="664"/>
      <c r="S942" s="664"/>
      <c r="T942" s="664"/>
      <c r="U942" s="664"/>
      <c r="V942" s="664"/>
      <c r="W942" s="664"/>
      <c r="X942" s="664"/>
      <c r="Y942" s="664"/>
      <c r="Z942" s="664"/>
      <c r="AA942" s="664"/>
      <c r="AB942" s="664"/>
      <c r="AC942" s="664"/>
      <c r="AD942" s="664"/>
      <c r="AE942" s="664"/>
      <c r="AF942" s="664"/>
      <c r="AG942" s="664"/>
      <c r="AH942" s="664"/>
      <c r="AI942" s="664"/>
      <c r="AJ942" s="664"/>
      <c r="AK942" s="664"/>
      <c r="AL942" s="664"/>
      <c r="AM942" s="664"/>
      <c r="AN942" s="664"/>
      <c r="AO942" s="664"/>
      <c r="AP942" s="664"/>
      <c r="AQ942" s="664"/>
      <c r="AR942" s="664"/>
      <c r="AS942" s="664"/>
      <c r="AT942" s="664"/>
      <c r="BU942" s="327"/>
      <c r="BV942" s="327"/>
      <c r="BW942" s="327"/>
      <c r="BX942" s="327"/>
      <c r="BY942" s="327"/>
      <c r="BZ942" s="327"/>
      <c r="CA942" s="327"/>
      <c r="CB942" s="327"/>
      <c r="CC942" s="327"/>
      <c r="CD942" s="327"/>
      <c r="CE942" s="327"/>
      <c r="CF942" s="327"/>
      <c r="CG942" s="327"/>
      <c r="CH942" s="327"/>
      <c r="CI942" s="327"/>
      <c r="CJ942" s="327"/>
      <c r="CK942" s="327"/>
      <c r="CL942" s="327"/>
      <c r="CM942" s="327"/>
      <c r="CN942" s="327"/>
      <c r="CO942" s="327"/>
      <c r="CP942" s="327"/>
      <c r="CQ942" s="327"/>
      <c r="CR942" s="327"/>
      <c r="CS942" s="327"/>
      <c r="CT942" s="327"/>
      <c r="CU942" s="327"/>
      <c r="CV942" s="327"/>
      <c r="CW942" s="327"/>
      <c r="CX942" s="327"/>
      <c r="CY942" s="279"/>
      <c r="CZ942" s="279"/>
      <c r="DA942" s="279"/>
      <c r="DB942" s="279"/>
      <c r="DC942" s="279"/>
      <c r="DD942" s="279"/>
      <c r="DE942" s="279"/>
      <c r="DF942" s="279"/>
      <c r="DG942" s="327"/>
      <c r="DH942" s="327"/>
      <c r="DI942" s="279"/>
      <c r="DJ942" s="279"/>
      <c r="DK942" s="279"/>
      <c r="DL942" s="279"/>
      <c r="DM942" s="279"/>
      <c r="DN942" s="279"/>
      <c r="DO942" s="279"/>
    </row>
    <row r="943" spans="1:119" hidden="1">
      <c r="A943" s="1"/>
      <c r="B943" s="1"/>
      <c r="C943" s="1"/>
      <c r="D943" s="692" t="s">
        <v>621</v>
      </c>
      <c r="E943" s="74"/>
      <c r="F943" s="103"/>
      <c r="G943" s="103"/>
      <c r="H943" s="103"/>
      <c r="I943" s="103"/>
      <c r="J943" s="103" t="str">
        <f t="shared" ref="J943:U943" si="1180">+J992</f>
        <v>1998/99</v>
      </c>
      <c r="K943" s="103" t="str">
        <f t="shared" si="1180"/>
        <v>1999/00</v>
      </c>
      <c r="L943" s="103" t="str">
        <f t="shared" si="1180"/>
        <v>2000/01</v>
      </c>
      <c r="M943" s="103" t="str">
        <f t="shared" si="1180"/>
        <v>2001/02</v>
      </c>
      <c r="N943" s="103" t="str">
        <f t="shared" si="1180"/>
        <v>2002/03</v>
      </c>
      <c r="O943" s="103" t="str">
        <f t="shared" si="1180"/>
        <v>2003/04</v>
      </c>
      <c r="P943" s="103" t="str">
        <f t="shared" si="1180"/>
        <v>2004/05</v>
      </c>
      <c r="Q943" s="103" t="str">
        <f t="shared" si="1180"/>
        <v>2005/06</v>
      </c>
      <c r="R943" s="103" t="str">
        <f t="shared" si="1180"/>
        <v>2006/07</v>
      </c>
      <c r="S943" s="103" t="str">
        <f t="shared" si="1180"/>
        <v>2007/08</v>
      </c>
      <c r="T943" s="103" t="str">
        <f t="shared" si="1180"/>
        <v>2008/09</v>
      </c>
      <c r="U943" s="103" t="str">
        <f t="shared" si="1180"/>
        <v>2009/10</v>
      </c>
      <c r="V943" s="103" t="str">
        <f>+V992</f>
        <v>2010/11</v>
      </c>
      <c r="W943" s="103" t="s">
        <v>174</v>
      </c>
      <c r="X943" s="103" t="s">
        <v>175</v>
      </c>
      <c r="Y943" s="103" t="s">
        <v>176</v>
      </c>
      <c r="Z943" s="103" t="s">
        <v>177</v>
      </c>
      <c r="AA943" s="103" t="s">
        <v>178</v>
      </c>
      <c r="AB943" s="103" t="s">
        <v>179</v>
      </c>
      <c r="AC943" s="103" t="s">
        <v>180</v>
      </c>
      <c r="AD943" s="103" t="s">
        <v>181</v>
      </c>
      <c r="AE943" s="103" t="s">
        <v>182</v>
      </c>
      <c r="AF943" s="103" t="s">
        <v>1062</v>
      </c>
      <c r="AG943" s="103" t="s">
        <v>1088</v>
      </c>
      <c r="AH943" s="103" t="s">
        <v>1089</v>
      </c>
      <c r="AI943" s="103" t="s">
        <v>1090</v>
      </c>
      <c r="AJ943" s="103" t="s">
        <v>1091</v>
      </c>
      <c r="AK943" s="103"/>
      <c r="AL943" s="103"/>
      <c r="AM943" s="103"/>
      <c r="AN943" s="103"/>
      <c r="AO943" s="103"/>
      <c r="AP943" s="103"/>
      <c r="AQ943" s="103"/>
      <c r="AR943" s="103"/>
      <c r="AS943" s="103"/>
      <c r="AT943" s="103"/>
      <c r="BU943" s="327"/>
      <c r="BV943" s="327"/>
      <c r="BW943" s="327"/>
      <c r="BX943" s="327"/>
      <c r="BY943" s="327"/>
      <c r="BZ943" s="327"/>
      <c r="CA943" s="327"/>
      <c r="CB943" s="327"/>
      <c r="CC943" s="327"/>
      <c r="CD943" s="327"/>
      <c r="CE943" s="327"/>
      <c r="CF943" s="327"/>
      <c r="CG943" s="327"/>
      <c r="CH943" s="327"/>
      <c r="CI943" s="327"/>
      <c r="CJ943" s="327"/>
      <c r="CK943" s="327"/>
      <c r="CL943" s="327"/>
      <c r="CM943" s="327"/>
      <c r="CN943" s="327"/>
      <c r="CO943" s="327"/>
      <c r="CP943" s="327"/>
      <c r="CQ943" s="327"/>
      <c r="CR943" s="327"/>
      <c r="CS943" s="327"/>
      <c r="CT943" s="327"/>
      <c r="CU943" s="327"/>
      <c r="CV943" s="327"/>
      <c r="CW943" s="327"/>
      <c r="CX943" s="327"/>
      <c r="CY943" s="279"/>
      <c r="CZ943" s="279"/>
      <c r="DA943" s="279"/>
      <c r="DB943" s="279"/>
      <c r="DC943" s="279"/>
      <c r="DD943" s="279"/>
      <c r="DE943" s="279"/>
      <c r="DF943" s="279"/>
      <c r="DG943" s="327"/>
      <c r="DH943" s="327"/>
      <c r="DI943" s="279"/>
      <c r="DJ943" s="279"/>
      <c r="DK943" s="279"/>
      <c r="DL943" s="279"/>
      <c r="DM943" s="279"/>
      <c r="DN943" s="279"/>
      <c r="DO943" s="279"/>
    </row>
    <row r="944" spans="1:119" hidden="1">
      <c r="A944" s="1"/>
      <c r="B944" s="1"/>
      <c r="C944" s="1"/>
      <c r="D944" s="702" t="s">
        <v>114</v>
      </c>
      <c r="E944" s="74"/>
      <c r="F944" s="113"/>
      <c r="G944" s="113"/>
      <c r="H944" s="113"/>
      <c r="I944" s="113"/>
      <c r="J944" s="586">
        <f t="shared" ref="J944:AJ944" si="1181">+J743</f>
        <v>113.59782050000001</v>
      </c>
      <c r="K944" s="586">
        <f t="shared" si="1181"/>
        <v>136.65685000000002</v>
      </c>
      <c r="L944" s="586">
        <f t="shared" si="1181"/>
        <v>147.18380000000002</v>
      </c>
      <c r="M944" s="586">
        <f t="shared" si="1181"/>
        <v>160.49365</v>
      </c>
      <c r="N944" s="586">
        <f t="shared" si="1181"/>
        <v>184.55775</v>
      </c>
      <c r="O944" s="586">
        <f t="shared" si="1181"/>
        <v>236.45734999999999</v>
      </c>
      <c r="P944" s="586">
        <f t="shared" si="1181"/>
        <v>309.56335607093501</v>
      </c>
      <c r="Q944" s="586">
        <f t="shared" si="1181"/>
        <v>360.26350607093502</v>
      </c>
      <c r="R944" s="586">
        <f t="shared" si="1181"/>
        <v>388.09999999999997</v>
      </c>
      <c r="S944" s="586">
        <f t="shared" si="1181"/>
        <v>518.20000000000005</v>
      </c>
      <c r="T944" s="586">
        <f t="shared" si="1181"/>
        <v>670.8</v>
      </c>
      <c r="U944" s="586">
        <f t="shared" si="1181"/>
        <v>800.7</v>
      </c>
      <c r="V944" s="586">
        <f t="shared" si="1181"/>
        <v>863.35673257600001</v>
      </c>
      <c r="W944" s="586">
        <f t="shared" si="1181"/>
        <v>1049.0999999999999</v>
      </c>
      <c r="X944" s="586">
        <f t="shared" si="1181"/>
        <v>1101.321563602417</v>
      </c>
      <c r="Y944" s="586">
        <f t="shared" si="1181"/>
        <v>1336.3605712034318</v>
      </c>
      <c r="Z944" s="586">
        <f t="shared" si="1181"/>
        <v>1418.6704994724025</v>
      </c>
      <c r="AA944" s="586">
        <f t="shared" si="1181"/>
        <v>1492.9051249731833</v>
      </c>
      <c r="AB944" s="586">
        <f t="shared" si="1181"/>
        <v>1615.7619294919559</v>
      </c>
      <c r="AC944" s="586">
        <f t="shared" si="1181"/>
        <v>1820.4124327910465</v>
      </c>
      <c r="AD944" s="586">
        <f t="shared" si="1181"/>
        <v>2000.3545430907363</v>
      </c>
      <c r="AE944" s="586">
        <f t="shared" si="1181"/>
        <v>2082.0309719952802</v>
      </c>
      <c r="AF944" s="586">
        <f t="shared" si="1181"/>
        <v>2171.5351257992602</v>
      </c>
      <c r="AG944" s="586">
        <f t="shared" si="1181"/>
        <v>10056.171310737243</v>
      </c>
      <c r="AH944" s="586">
        <f t="shared" si="1181"/>
        <v>14639.986880216613</v>
      </c>
      <c r="AI944" s="586">
        <f t="shared" si="1181"/>
        <v>17482.016232956976</v>
      </c>
      <c r="AJ944" s="586">
        <f t="shared" si="1181"/>
        <v>623.07302328996025</v>
      </c>
      <c r="AK944" s="586"/>
      <c r="AL944" s="586"/>
      <c r="AM944" s="586"/>
      <c r="AN944" s="586"/>
      <c r="AO944" s="586"/>
      <c r="AP944" s="586"/>
      <c r="AQ944" s="586"/>
      <c r="AR944" s="586"/>
      <c r="AS944" s="586"/>
      <c r="AT944" s="586"/>
      <c r="BU944" s="327"/>
      <c r="BV944" s="327"/>
      <c r="BW944" s="327"/>
      <c r="BX944" s="327"/>
      <c r="BY944" s="327"/>
      <c r="BZ944" s="327"/>
      <c r="CA944" s="327"/>
      <c r="CB944" s="327"/>
      <c r="CC944" s="327"/>
      <c r="CD944" s="327"/>
      <c r="CE944" s="327"/>
      <c r="CF944" s="327"/>
      <c r="CG944" s="327"/>
      <c r="CH944" s="327"/>
      <c r="CI944" s="327"/>
      <c r="CJ944" s="327"/>
      <c r="CK944" s="327"/>
      <c r="CL944" s="327"/>
      <c r="CM944" s="327"/>
      <c r="CN944" s="327"/>
      <c r="CO944" s="327"/>
      <c r="CP944" s="327"/>
      <c r="CQ944" s="327"/>
      <c r="CR944" s="327"/>
      <c r="CS944" s="327"/>
      <c r="CT944" s="327"/>
      <c r="CU944" s="327"/>
      <c r="CV944" s="327"/>
      <c r="CW944" s="327"/>
      <c r="CX944" s="327"/>
      <c r="CY944" s="279"/>
      <c r="CZ944" s="279"/>
      <c r="DA944" s="279"/>
      <c r="DB944" s="279"/>
      <c r="DC944" s="279"/>
      <c r="DD944" s="279"/>
      <c r="DE944" s="279"/>
      <c r="DF944" s="279"/>
      <c r="DG944" s="327"/>
      <c r="DH944" s="327"/>
      <c r="DI944" s="279"/>
      <c r="DJ944" s="279"/>
      <c r="DK944" s="279"/>
      <c r="DL944" s="279"/>
      <c r="DM944" s="279"/>
      <c r="DN944" s="279"/>
      <c r="DO944" s="279"/>
    </row>
    <row r="945" spans="1:119" hidden="1">
      <c r="A945" s="1"/>
      <c r="B945" s="1"/>
      <c r="C945" s="1"/>
      <c r="D945" s="703" t="s">
        <v>116</v>
      </c>
      <c r="E945" s="74"/>
      <c r="F945" s="113"/>
      <c r="G945" s="113"/>
      <c r="H945" s="113"/>
      <c r="I945" s="113"/>
      <c r="J945" s="586">
        <f t="shared" ref="J945:AJ945" si="1182">+J745</f>
        <v>65.384550000000004</v>
      </c>
      <c r="K945" s="586">
        <f t="shared" si="1182"/>
        <v>66.571799999999996</v>
      </c>
      <c r="L945" s="586">
        <f t="shared" si="1182"/>
        <v>76.746549999999999</v>
      </c>
      <c r="M945" s="586">
        <f t="shared" si="1182"/>
        <v>93.009150000000005</v>
      </c>
      <c r="N945" s="586">
        <f t="shared" si="1182"/>
        <v>111.0539</v>
      </c>
      <c r="O945" s="586">
        <f t="shared" si="1182"/>
        <v>134.00534999999999</v>
      </c>
      <c r="P945" s="586">
        <f t="shared" si="1182"/>
        <v>162.974511917</v>
      </c>
      <c r="Q945" s="586">
        <f t="shared" si="1182"/>
        <v>193.494661917</v>
      </c>
      <c r="R945" s="586">
        <f t="shared" si="1182"/>
        <v>233.29999999999995</v>
      </c>
      <c r="S945" s="586">
        <f t="shared" si="1182"/>
        <v>290.3</v>
      </c>
      <c r="T945" s="586">
        <f t="shared" si="1182"/>
        <v>413.09999999999997</v>
      </c>
      <c r="U945" s="586">
        <f t="shared" si="1182"/>
        <v>391.40000000000003</v>
      </c>
      <c r="V945" s="586">
        <f t="shared" si="1182"/>
        <v>484.33096274100001</v>
      </c>
      <c r="W945" s="586">
        <f t="shared" si="1182"/>
        <v>591.70000000000005</v>
      </c>
      <c r="X945" s="586">
        <f t="shared" si="1182"/>
        <v>736.42156360241711</v>
      </c>
      <c r="Y945" s="586">
        <f t="shared" si="1182"/>
        <v>862.07143003969168</v>
      </c>
      <c r="Z945" s="586">
        <f t="shared" si="1182"/>
        <v>1002.7568019579999</v>
      </c>
      <c r="AA945" s="586">
        <f t="shared" si="1182"/>
        <v>1045.0337105420001</v>
      </c>
      <c r="AB945" s="586">
        <f t="shared" si="1182"/>
        <v>1285.5798455454374</v>
      </c>
      <c r="AC945" s="586">
        <f t="shared" si="1182"/>
        <v>1461.503755922336</v>
      </c>
      <c r="AD945" s="586">
        <f t="shared" si="1182"/>
        <v>1519.1752360943751</v>
      </c>
      <c r="AE945" s="586">
        <f t="shared" si="1182"/>
        <v>1649.9486941171201</v>
      </c>
      <c r="AF945" s="586">
        <f t="shared" si="1182"/>
        <v>1679.2114408085199</v>
      </c>
      <c r="AG945" s="586">
        <f t="shared" si="1182"/>
        <v>9219.9611762450495</v>
      </c>
      <c r="AH945" s="586">
        <f t="shared" si="1182"/>
        <v>13928.692727257072</v>
      </c>
      <c r="AI945" s="586">
        <f t="shared" si="1182"/>
        <v>16724.199592366913</v>
      </c>
      <c r="AJ945" s="586">
        <f t="shared" si="1182"/>
        <v>0</v>
      </c>
      <c r="AK945" s="586"/>
      <c r="AL945" s="586"/>
      <c r="AM945" s="586"/>
      <c r="AN945" s="586"/>
      <c r="AO945" s="586"/>
      <c r="AP945" s="586"/>
      <c r="AQ945" s="586"/>
      <c r="AR945" s="586"/>
      <c r="AS945" s="586"/>
      <c r="AT945" s="586"/>
      <c r="BU945" s="327"/>
      <c r="BV945" s="327"/>
      <c r="BW945" s="327"/>
      <c r="BX945" s="327"/>
      <c r="BY945" s="327"/>
      <c r="BZ945" s="327"/>
      <c r="CA945" s="327"/>
      <c r="CB945" s="327"/>
      <c r="CC945" s="327"/>
      <c r="CD945" s="327"/>
      <c r="CE945" s="327"/>
      <c r="CF945" s="327"/>
      <c r="CG945" s="327"/>
      <c r="CH945" s="327"/>
      <c r="CI945" s="327"/>
      <c r="CJ945" s="327"/>
      <c r="CK945" s="327"/>
      <c r="CL945" s="327"/>
      <c r="CM945" s="327"/>
      <c r="CN945" s="327"/>
      <c r="CO945" s="327"/>
      <c r="CP945" s="327"/>
      <c r="CQ945" s="327"/>
      <c r="CR945" s="327"/>
      <c r="CS945" s="327"/>
      <c r="CT945" s="327"/>
      <c r="CU945" s="327"/>
      <c r="CV945" s="327"/>
      <c r="CW945" s="327"/>
      <c r="CX945" s="327"/>
      <c r="CY945" s="279"/>
      <c r="CZ945" s="279"/>
      <c r="DA945" s="279"/>
      <c r="DB945" s="279"/>
      <c r="DC945" s="279"/>
      <c r="DD945" s="279"/>
      <c r="DE945" s="279"/>
      <c r="DF945" s="279"/>
      <c r="DG945" s="327"/>
      <c r="DH945" s="327"/>
      <c r="DI945" s="279"/>
      <c r="DJ945" s="279"/>
      <c r="DK945" s="279"/>
      <c r="DL945" s="279"/>
      <c r="DM945" s="279"/>
      <c r="DN945" s="279"/>
      <c r="DO945" s="279"/>
    </row>
    <row r="946" spans="1:119" hidden="1">
      <c r="A946" s="1"/>
      <c r="B946" s="1"/>
      <c r="C946" s="1"/>
      <c r="D946" s="704" t="s">
        <v>117</v>
      </c>
      <c r="E946" s="74"/>
      <c r="F946" s="113"/>
      <c r="G946" s="113"/>
      <c r="H946" s="113"/>
      <c r="I946" s="113"/>
      <c r="J946" s="586">
        <f t="shared" ref="J946:AJ946" si="1183">+J746</f>
        <v>61.834350000000001</v>
      </c>
      <c r="K946" s="586">
        <f t="shared" si="1183"/>
        <v>63.134699999999995</v>
      </c>
      <c r="L946" s="586">
        <f t="shared" si="1183"/>
        <v>71.812049999999999</v>
      </c>
      <c r="M946" s="586">
        <f t="shared" si="1183"/>
        <v>86.365949999999998</v>
      </c>
      <c r="N946" s="586">
        <f t="shared" si="1183"/>
        <v>103.91084999999998</v>
      </c>
      <c r="O946" s="586">
        <f t="shared" si="1183"/>
        <v>123.96069999999997</v>
      </c>
      <c r="P946" s="586">
        <f t="shared" si="1183"/>
        <v>147.8440864465</v>
      </c>
      <c r="Q946" s="586">
        <f t="shared" si="1183"/>
        <v>177.28098644650001</v>
      </c>
      <c r="R946" s="586">
        <f t="shared" si="1183"/>
        <v>217.59999999999997</v>
      </c>
      <c r="S946" s="586">
        <f t="shared" si="1183"/>
        <v>272.5</v>
      </c>
      <c r="T946" s="586">
        <f t="shared" si="1183"/>
        <v>361.4</v>
      </c>
      <c r="U946" s="586">
        <f t="shared" si="1183"/>
        <v>376.40000000000003</v>
      </c>
      <c r="V946" s="586">
        <f t="shared" si="1183"/>
        <v>463.70823000000001</v>
      </c>
      <c r="W946" s="586">
        <f t="shared" si="1183"/>
        <v>557</v>
      </c>
      <c r="X946" s="586">
        <f t="shared" si="1183"/>
        <v>651.92156360241711</v>
      </c>
      <c r="Y946" s="586">
        <f t="shared" si="1183"/>
        <v>761.02287438134351</v>
      </c>
      <c r="Z946" s="586">
        <f t="shared" si="1183"/>
        <v>871.55680195799994</v>
      </c>
      <c r="AA946" s="586">
        <f t="shared" si="1183"/>
        <v>1000.3139498321091</v>
      </c>
      <c r="AB946" s="586">
        <f t="shared" si="1183"/>
        <v>1104.143145074856</v>
      </c>
      <c r="AC946" s="586">
        <f t="shared" si="1183"/>
        <v>1252.8836310898428</v>
      </c>
      <c r="AD946" s="586">
        <f t="shared" si="1183"/>
        <v>1418.7907824792755</v>
      </c>
      <c r="AE946" s="586">
        <f t="shared" si="1183"/>
        <v>1408.2817965614299</v>
      </c>
      <c r="AF946" s="586">
        <f t="shared" si="1183"/>
        <v>1459.87322506286</v>
      </c>
      <c r="AG946" s="586">
        <f t="shared" si="1183"/>
        <v>8891.8593341786018</v>
      </c>
      <c r="AH946" s="586">
        <f t="shared" si="1183"/>
        <v>13534.603171201939</v>
      </c>
      <c r="AI946" s="586">
        <f t="shared" si="1183"/>
        <v>16229.090394491632</v>
      </c>
      <c r="AJ946" s="586">
        <f t="shared" si="1183"/>
        <v>0</v>
      </c>
      <c r="AK946" s="586"/>
      <c r="AL946" s="586"/>
      <c r="AM946" s="586"/>
      <c r="AN946" s="586"/>
      <c r="AO946" s="586"/>
      <c r="AP946" s="586"/>
      <c r="AQ946" s="586"/>
      <c r="AR946" s="586"/>
      <c r="AS946" s="586"/>
      <c r="AT946" s="586"/>
      <c r="BU946" s="327"/>
      <c r="BV946" s="327"/>
      <c r="BW946" s="327"/>
      <c r="BX946" s="327"/>
      <c r="BY946" s="327"/>
      <c r="BZ946" s="327"/>
      <c r="CA946" s="327"/>
      <c r="CB946" s="327"/>
      <c r="CC946" s="327"/>
      <c r="CD946" s="327"/>
      <c r="CE946" s="327"/>
      <c r="CF946" s="327"/>
      <c r="CG946" s="327"/>
      <c r="CH946" s="327"/>
      <c r="CI946" s="327"/>
      <c r="CJ946" s="327"/>
      <c r="CK946" s="327"/>
      <c r="CL946" s="327"/>
      <c r="CM946" s="327"/>
      <c r="CN946" s="327"/>
      <c r="CO946" s="327"/>
      <c r="CP946" s="327"/>
      <c r="CQ946" s="327"/>
      <c r="CR946" s="327"/>
      <c r="CS946" s="327"/>
      <c r="CT946" s="327"/>
      <c r="CU946" s="327"/>
      <c r="CV946" s="327"/>
      <c r="CW946" s="327"/>
      <c r="CX946" s="327"/>
      <c r="CY946" s="279"/>
      <c r="CZ946" s="279"/>
      <c r="DA946" s="279"/>
      <c r="DB946" s="279"/>
      <c r="DC946" s="279"/>
      <c r="DD946" s="279"/>
      <c r="DE946" s="279"/>
      <c r="DF946" s="279"/>
      <c r="DG946" s="327"/>
      <c r="DH946" s="327"/>
      <c r="DI946" s="279"/>
      <c r="DJ946" s="279"/>
      <c r="DK946" s="279"/>
      <c r="DL946" s="279"/>
      <c r="DM946" s="279"/>
      <c r="DN946" s="279"/>
      <c r="DO946" s="279"/>
    </row>
    <row r="947" spans="1:119" hidden="1">
      <c r="A947" s="1"/>
      <c r="B947" s="1"/>
      <c r="C947" s="1"/>
      <c r="D947" s="704" t="s">
        <v>124</v>
      </c>
      <c r="E947" s="74"/>
      <c r="F947" s="113"/>
      <c r="G947" s="113"/>
      <c r="H947" s="113"/>
      <c r="I947" s="113"/>
      <c r="J947" s="586">
        <f t="shared" ref="J947:AJ947" si="1184">+J763</f>
        <v>3.5502000000000002</v>
      </c>
      <c r="K947" s="586">
        <f t="shared" si="1184"/>
        <v>3.4371</v>
      </c>
      <c r="L947" s="586">
        <f t="shared" si="1184"/>
        <v>4.9344999999999999</v>
      </c>
      <c r="M947" s="586">
        <f t="shared" si="1184"/>
        <v>6.6432000000000002</v>
      </c>
      <c r="N947" s="586">
        <f t="shared" si="1184"/>
        <v>7.1430500000000006</v>
      </c>
      <c r="O947" s="586">
        <f t="shared" si="1184"/>
        <v>10.044649999999999</v>
      </c>
      <c r="P947" s="586">
        <f t="shared" si="1184"/>
        <v>15.130425470500001</v>
      </c>
      <c r="Q947" s="586">
        <f t="shared" si="1184"/>
        <v>16.2136754705</v>
      </c>
      <c r="R947" s="586">
        <f t="shared" si="1184"/>
        <v>15.7</v>
      </c>
      <c r="S947" s="586">
        <f t="shared" si="1184"/>
        <v>17.8</v>
      </c>
      <c r="T947" s="586">
        <f t="shared" si="1184"/>
        <v>51.7</v>
      </c>
      <c r="U947" s="586">
        <f t="shared" si="1184"/>
        <v>15</v>
      </c>
      <c r="V947" s="586">
        <f t="shared" si="1184"/>
        <v>20.622732741</v>
      </c>
      <c r="W947" s="586">
        <f t="shared" si="1184"/>
        <v>34.700000000000003</v>
      </c>
      <c r="X947" s="586">
        <f t="shared" si="1184"/>
        <v>84.5</v>
      </c>
      <c r="Y947" s="586">
        <f t="shared" si="1184"/>
        <v>101.04855565834818</v>
      </c>
      <c r="Z947" s="586">
        <f t="shared" si="1184"/>
        <v>131.19999999999999</v>
      </c>
      <c r="AA947" s="586">
        <f t="shared" si="1184"/>
        <v>44.719760709890934</v>
      </c>
      <c r="AB947" s="586">
        <f t="shared" si="1184"/>
        <v>181.4367004705814</v>
      </c>
      <c r="AC947" s="586">
        <f t="shared" si="1184"/>
        <v>208.62012483249333</v>
      </c>
      <c r="AD947" s="586">
        <f t="shared" si="1184"/>
        <v>100.3844536151</v>
      </c>
      <c r="AE947" s="586">
        <f t="shared" si="1184"/>
        <v>241.66689755569263</v>
      </c>
      <c r="AF947" s="586">
        <f t="shared" si="1184"/>
        <v>219.33821574565292</v>
      </c>
      <c r="AG947" s="586">
        <f t="shared" si="1184"/>
        <v>328.10184206644794</v>
      </c>
      <c r="AH947" s="586">
        <f t="shared" si="1184"/>
        <v>394.08955605513324</v>
      </c>
      <c r="AI947" s="586">
        <f t="shared" si="1184"/>
        <v>495.10919787528121</v>
      </c>
      <c r="AJ947" s="586">
        <f t="shared" si="1184"/>
        <v>0</v>
      </c>
      <c r="AK947" s="586"/>
      <c r="AL947" s="586"/>
      <c r="AM947" s="586"/>
      <c r="AN947" s="586"/>
      <c r="AO947" s="586"/>
      <c r="AP947" s="586"/>
      <c r="AQ947" s="586"/>
      <c r="AR947" s="586"/>
      <c r="AS947" s="586"/>
      <c r="AT947" s="586"/>
      <c r="BU947" s="327"/>
      <c r="BV947" s="327"/>
      <c r="BW947" s="327"/>
      <c r="BX947" s="327"/>
      <c r="BY947" s="327"/>
      <c r="BZ947" s="327"/>
      <c r="CA947" s="327"/>
      <c r="CB947" s="327"/>
      <c r="CC947" s="327"/>
      <c r="CD947" s="327"/>
      <c r="CE947" s="327"/>
      <c r="CF947" s="327"/>
      <c r="CG947" s="327"/>
      <c r="CH947" s="327"/>
      <c r="CI947" s="327"/>
      <c r="CJ947" s="327"/>
      <c r="CK947" s="327"/>
      <c r="CL947" s="327"/>
      <c r="CM947" s="327"/>
      <c r="CN947" s="327"/>
      <c r="CO947" s="327"/>
      <c r="CP947" s="327"/>
      <c r="CQ947" s="327"/>
      <c r="CR947" s="327"/>
      <c r="CS947" s="327"/>
      <c r="CT947" s="327"/>
      <c r="CU947" s="327"/>
      <c r="CV947" s="327"/>
      <c r="CW947" s="327"/>
      <c r="CX947" s="327"/>
      <c r="CY947" s="279"/>
      <c r="CZ947" s="279"/>
      <c r="DA947" s="279"/>
      <c r="DB947" s="279"/>
      <c r="DC947" s="279"/>
      <c r="DD947" s="279"/>
      <c r="DE947" s="279"/>
      <c r="DF947" s="279"/>
      <c r="DG947" s="327"/>
      <c r="DH947" s="327"/>
      <c r="DI947" s="279"/>
      <c r="DJ947" s="279"/>
      <c r="DK947" s="279"/>
      <c r="DL947" s="279"/>
      <c r="DM947" s="279"/>
      <c r="DN947" s="279"/>
      <c r="DO947" s="279"/>
    </row>
    <row r="948" spans="1:119" hidden="1">
      <c r="A948" s="1"/>
      <c r="B948" s="1"/>
      <c r="C948" s="1"/>
      <c r="D948" s="704" t="s">
        <v>822</v>
      </c>
      <c r="E948" s="74"/>
      <c r="F948" s="113"/>
      <c r="G948" s="113"/>
      <c r="H948" s="113"/>
      <c r="I948" s="113"/>
      <c r="J948" s="707"/>
      <c r="K948" s="707"/>
      <c r="L948" s="707"/>
      <c r="M948" s="707"/>
      <c r="N948" s="707"/>
      <c r="O948" s="707"/>
      <c r="P948" s="707"/>
      <c r="Q948" s="707"/>
      <c r="R948" s="707"/>
      <c r="S948" s="707"/>
      <c r="T948" s="707"/>
      <c r="U948" s="707"/>
      <c r="V948" s="707"/>
      <c r="W948" s="707"/>
      <c r="X948" s="707">
        <f t="shared" ref="X948:AJ948" si="1185">+X764</f>
        <v>61.9</v>
      </c>
      <c r="Y948" s="707">
        <f t="shared" si="1185"/>
        <v>81.499363751348184</v>
      </c>
      <c r="Z948" s="707">
        <f t="shared" si="1185"/>
        <v>89</v>
      </c>
      <c r="AA948" s="707">
        <f t="shared" si="1185"/>
        <v>0</v>
      </c>
      <c r="AB948" s="707">
        <f t="shared" si="1185"/>
        <v>128.49930055706017</v>
      </c>
      <c r="AC948" s="707">
        <f t="shared" si="1185"/>
        <v>150.05275337</v>
      </c>
      <c r="AD948" s="707">
        <f t="shared" si="1185"/>
        <v>0</v>
      </c>
      <c r="AE948" s="707">
        <f t="shared" si="1185"/>
        <v>169.27762068120722</v>
      </c>
      <c r="AF948" s="707">
        <f t="shared" si="1185"/>
        <v>141.91716108631363</v>
      </c>
      <c r="AG948" s="707">
        <f t="shared" si="1185"/>
        <v>140.58770486242673</v>
      </c>
      <c r="AH948" s="707">
        <f t="shared" si="1185"/>
        <v>151.85749599591659</v>
      </c>
      <c r="AI948" s="707">
        <f t="shared" si="1185"/>
        <v>176.56360568673131</v>
      </c>
      <c r="AJ948" s="707">
        <f t="shared" si="1185"/>
        <v>0</v>
      </c>
      <c r="AK948" s="707"/>
      <c r="AL948" s="707"/>
      <c r="AM948" s="707"/>
      <c r="AN948" s="707"/>
      <c r="AO948" s="707"/>
      <c r="AP948" s="707"/>
      <c r="AQ948" s="707"/>
      <c r="AR948" s="707"/>
      <c r="AS948" s="707"/>
      <c r="AT948" s="707"/>
      <c r="BU948" s="327"/>
      <c r="BV948" s="327"/>
      <c r="BW948" s="327"/>
      <c r="BX948" s="327"/>
      <c r="BY948" s="327"/>
      <c r="BZ948" s="327"/>
      <c r="CA948" s="327"/>
      <c r="CB948" s="327"/>
      <c r="CC948" s="327"/>
      <c r="CD948" s="327"/>
      <c r="CE948" s="327"/>
      <c r="CF948" s="327"/>
      <c r="CG948" s="327"/>
      <c r="CH948" s="327"/>
      <c r="CI948" s="327"/>
      <c r="CJ948" s="327"/>
      <c r="CK948" s="327"/>
      <c r="CL948" s="327"/>
      <c r="CM948" s="327"/>
      <c r="CN948" s="327"/>
      <c r="CO948" s="327"/>
      <c r="CP948" s="327"/>
      <c r="CQ948" s="327"/>
      <c r="CR948" s="327"/>
      <c r="CS948" s="327"/>
      <c r="CT948" s="327"/>
      <c r="CU948" s="327"/>
      <c r="CV948" s="327"/>
      <c r="CW948" s="327"/>
      <c r="CX948" s="327"/>
      <c r="CY948" s="279"/>
      <c r="CZ948" s="279"/>
      <c r="DA948" s="279"/>
      <c r="DB948" s="279"/>
      <c r="DC948" s="279"/>
      <c r="DD948" s="279"/>
      <c r="DE948" s="279"/>
      <c r="DF948" s="279"/>
      <c r="DG948" s="327"/>
      <c r="DH948" s="327"/>
      <c r="DI948" s="279"/>
      <c r="DJ948" s="279"/>
      <c r="DK948" s="279"/>
      <c r="DL948" s="279"/>
      <c r="DM948" s="279"/>
      <c r="DN948" s="279"/>
      <c r="DO948" s="279"/>
    </row>
    <row r="949" spans="1:119" hidden="1">
      <c r="A949" s="1"/>
      <c r="B949" s="1"/>
      <c r="C949" s="1"/>
      <c r="D949" s="703" t="s">
        <v>125</v>
      </c>
      <c r="E949" s="74"/>
      <c r="F949" s="113"/>
      <c r="G949" s="113"/>
      <c r="H949" s="113"/>
      <c r="I949" s="113"/>
      <c r="J949" s="586">
        <f t="shared" ref="J949:AJ949" si="1186">+J772</f>
        <v>48.213270500000007</v>
      </c>
      <c r="K949" s="586">
        <f t="shared" si="1186"/>
        <v>70.085049999999995</v>
      </c>
      <c r="L949" s="586">
        <f t="shared" si="1186"/>
        <v>70.437250000000006</v>
      </c>
      <c r="M949" s="586">
        <f t="shared" si="1186"/>
        <v>67.484499999999997</v>
      </c>
      <c r="N949" s="586">
        <f t="shared" si="1186"/>
        <v>73.50385</v>
      </c>
      <c r="O949" s="586">
        <f t="shared" si="1186"/>
        <v>102.45200000000001</v>
      </c>
      <c r="P949" s="586">
        <f t="shared" si="1186"/>
        <v>146.58884415393501</v>
      </c>
      <c r="Q949" s="586">
        <f t="shared" si="1186"/>
        <v>166.76884415393499</v>
      </c>
      <c r="R949" s="586">
        <f t="shared" si="1186"/>
        <v>154.80000000000001</v>
      </c>
      <c r="S949" s="586">
        <f t="shared" si="1186"/>
        <v>227.89999999999998</v>
      </c>
      <c r="T949" s="586">
        <f t="shared" si="1186"/>
        <v>257.7</v>
      </c>
      <c r="U949" s="586">
        <f t="shared" si="1186"/>
        <v>409.3</v>
      </c>
      <c r="V949" s="586">
        <f t="shared" si="1186"/>
        <v>379.02576983500001</v>
      </c>
      <c r="W949" s="586">
        <f t="shared" si="1186"/>
        <v>457.4</v>
      </c>
      <c r="X949" s="586">
        <f t="shared" si="1186"/>
        <v>364.9</v>
      </c>
      <c r="Y949" s="586">
        <f t="shared" si="1186"/>
        <v>474.28914116374006</v>
      </c>
      <c r="Z949" s="586">
        <f t="shared" si="1186"/>
        <v>415.91369751440271</v>
      </c>
      <c r="AA949" s="586">
        <f t="shared" si="1186"/>
        <v>447.87141443118315</v>
      </c>
      <c r="AB949" s="586">
        <f t="shared" si="1186"/>
        <v>330.18208394651856</v>
      </c>
      <c r="AC949" s="586">
        <f t="shared" si="1186"/>
        <v>358.90867686871047</v>
      </c>
      <c r="AD949" s="586">
        <f t="shared" si="1186"/>
        <v>481.17930699636122</v>
      </c>
      <c r="AE949" s="586">
        <f t="shared" si="1186"/>
        <v>432.08227787815542</v>
      </c>
      <c r="AF949" s="586">
        <f t="shared" si="1186"/>
        <v>492.32368499074391</v>
      </c>
      <c r="AG949" s="586">
        <f t="shared" si="1186"/>
        <v>836.21013449219345</v>
      </c>
      <c r="AH949" s="586">
        <f t="shared" si="1186"/>
        <v>711.29415295954027</v>
      </c>
      <c r="AI949" s="586">
        <f t="shared" si="1186"/>
        <v>757.81664059006152</v>
      </c>
      <c r="AJ949" s="586">
        <f t="shared" si="1186"/>
        <v>623.07302328996025</v>
      </c>
      <c r="AK949" s="586"/>
      <c r="AL949" s="586"/>
      <c r="AM949" s="586"/>
      <c r="AN949" s="586"/>
      <c r="AO949" s="586"/>
      <c r="AP949" s="586"/>
      <c r="AQ949" s="586"/>
      <c r="AR949" s="586"/>
      <c r="AS949" s="586"/>
      <c r="AT949" s="586"/>
      <c r="BU949" s="327"/>
      <c r="BV949" s="327"/>
      <c r="BW949" s="327"/>
      <c r="BX949" s="327"/>
      <c r="BY949" s="327"/>
      <c r="BZ949" s="327"/>
      <c r="CA949" s="327"/>
      <c r="CB949" s="327"/>
      <c r="CC949" s="327"/>
      <c r="CD949" s="327"/>
      <c r="CE949" s="327"/>
      <c r="CF949" s="327"/>
      <c r="CG949" s="327"/>
      <c r="CH949" s="327"/>
      <c r="CI949" s="327"/>
      <c r="CJ949" s="327"/>
      <c r="CK949" s="327"/>
      <c r="CL949" s="327"/>
      <c r="CM949" s="327"/>
      <c r="CN949" s="327"/>
      <c r="CO949" s="327"/>
      <c r="CP949" s="327"/>
      <c r="CQ949" s="327"/>
      <c r="CR949" s="327"/>
      <c r="CS949" s="327"/>
      <c r="CT949" s="327"/>
      <c r="CU949" s="327"/>
      <c r="CV949" s="327"/>
      <c r="CW949" s="327"/>
      <c r="CX949" s="327"/>
      <c r="CY949" s="279"/>
      <c r="CZ949" s="279"/>
      <c r="DA949" s="279"/>
      <c r="DB949" s="279"/>
      <c r="DC949" s="279"/>
      <c r="DD949" s="279"/>
      <c r="DE949" s="279"/>
      <c r="DF949" s="279"/>
      <c r="DG949" s="327"/>
      <c r="DH949" s="327"/>
      <c r="DI949" s="279"/>
      <c r="DJ949" s="279"/>
      <c r="DK949" s="279"/>
      <c r="DL949" s="279"/>
      <c r="DM949" s="279"/>
      <c r="DN949" s="279"/>
      <c r="DO949" s="279"/>
    </row>
    <row r="950" spans="1:119" hidden="1">
      <c r="A950" s="1"/>
      <c r="B950" s="1"/>
      <c r="C950" s="1"/>
      <c r="D950" s="704" t="s">
        <v>126</v>
      </c>
      <c r="E950" s="74"/>
      <c r="F950" s="113"/>
      <c r="G950" s="113"/>
      <c r="H950" s="113"/>
      <c r="I950" s="113"/>
      <c r="J950" s="586">
        <f t="shared" ref="J950:AJ950" si="1187">+J773</f>
        <v>12.2132705</v>
      </c>
      <c r="K950" s="586">
        <f t="shared" si="1187"/>
        <v>28.406399999999998</v>
      </c>
      <c r="L950" s="586">
        <f t="shared" si="1187"/>
        <v>35.258600000000001</v>
      </c>
      <c r="M950" s="586">
        <f t="shared" si="1187"/>
        <v>36.984499999999997</v>
      </c>
      <c r="N950" s="586">
        <f t="shared" si="1187"/>
        <v>45.629350000000002</v>
      </c>
      <c r="O950" s="586">
        <f t="shared" si="1187"/>
        <v>72.109099999999998</v>
      </c>
      <c r="P950" s="586">
        <f t="shared" si="1187"/>
        <v>101.575444153935</v>
      </c>
      <c r="Q950" s="586">
        <f t="shared" si="1187"/>
        <v>92.047844153935003</v>
      </c>
      <c r="R950" s="586">
        <f t="shared" si="1187"/>
        <v>101.4</v>
      </c>
      <c r="S950" s="586">
        <f t="shared" si="1187"/>
        <v>168.1</v>
      </c>
      <c r="T950" s="586">
        <f t="shared" si="1187"/>
        <v>167</v>
      </c>
      <c r="U950" s="586">
        <f t="shared" si="1187"/>
        <v>283</v>
      </c>
      <c r="V950" s="586">
        <f t="shared" si="1187"/>
        <v>215.02576983500001</v>
      </c>
      <c r="W950" s="586">
        <f t="shared" si="1187"/>
        <v>265.7</v>
      </c>
      <c r="X950" s="586">
        <f t="shared" si="1187"/>
        <v>190</v>
      </c>
      <c r="Y950" s="586">
        <f t="shared" si="1187"/>
        <v>171.02736591717107</v>
      </c>
      <c r="Z950" s="586">
        <f t="shared" si="1187"/>
        <v>174.88</v>
      </c>
      <c r="AA950" s="586">
        <f t="shared" si="1187"/>
        <v>278.93141443118316</v>
      </c>
      <c r="AB950" s="586">
        <f t="shared" si="1187"/>
        <v>184.18208394651853</v>
      </c>
      <c r="AC950" s="586">
        <f t="shared" si="1187"/>
        <v>190.19867686871044</v>
      </c>
      <c r="AD950" s="586">
        <f t="shared" si="1187"/>
        <v>248.10377500219158</v>
      </c>
      <c r="AE950" s="586">
        <f t="shared" si="1187"/>
        <v>172.38765230665402</v>
      </c>
      <c r="AF950" s="586">
        <f t="shared" si="1187"/>
        <v>203.37815939767054</v>
      </c>
      <c r="AG950" s="586">
        <f t="shared" si="1187"/>
        <v>463.14288006070126</v>
      </c>
      <c r="AH950" s="586">
        <f t="shared" si="1187"/>
        <v>304.31395953240502</v>
      </c>
      <c r="AI950" s="586">
        <f t="shared" si="1187"/>
        <v>252.27404777677827</v>
      </c>
      <c r="AJ950" s="586">
        <f t="shared" si="1187"/>
        <v>182.1738479810933</v>
      </c>
      <c r="AK950" s="586"/>
      <c r="AL950" s="586"/>
      <c r="AM950" s="586"/>
      <c r="AN950" s="586"/>
      <c r="AO950" s="586"/>
      <c r="AP950" s="586"/>
      <c r="AQ950" s="586"/>
      <c r="AR950" s="586"/>
      <c r="AS950" s="586"/>
      <c r="AT950" s="586"/>
      <c r="BU950" s="327"/>
      <c r="BV950" s="327"/>
      <c r="BW950" s="327"/>
      <c r="BX950" s="327"/>
      <c r="BY950" s="327"/>
      <c r="BZ950" s="327"/>
      <c r="CA950" s="327"/>
      <c r="CB950" s="327"/>
      <c r="CC950" s="327"/>
      <c r="CD950" s="327"/>
      <c r="CE950" s="327"/>
      <c r="CF950" s="327"/>
      <c r="CG950" s="327"/>
      <c r="CH950" s="327"/>
      <c r="CI950" s="327"/>
      <c r="CJ950" s="327"/>
      <c r="CK950" s="327"/>
      <c r="CL950" s="327"/>
      <c r="CM950" s="327"/>
      <c r="CN950" s="327"/>
      <c r="CO950" s="327"/>
      <c r="CP950" s="327"/>
      <c r="CQ950" s="327"/>
      <c r="CR950" s="327"/>
      <c r="CS950" s="327"/>
      <c r="CT950" s="327"/>
      <c r="CU950" s="327"/>
      <c r="CV950" s="327"/>
      <c r="CW950" s="327"/>
      <c r="CX950" s="327"/>
      <c r="CY950" s="279"/>
      <c r="CZ950" s="279"/>
      <c r="DA950" s="279"/>
      <c r="DB950" s="279"/>
      <c r="DC950" s="279"/>
      <c r="DD950" s="279"/>
      <c r="DE950" s="279"/>
      <c r="DF950" s="279"/>
      <c r="DG950" s="327"/>
      <c r="DH950" s="327"/>
      <c r="DI950" s="279"/>
      <c r="DJ950" s="279"/>
      <c r="DK950" s="279"/>
      <c r="DL950" s="279"/>
      <c r="DM950" s="279"/>
      <c r="DN950" s="279"/>
      <c r="DO950" s="279"/>
    </row>
    <row r="951" spans="1:119" hidden="1">
      <c r="A951" s="1"/>
      <c r="B951" s="1"/>
      <c r="C951" s="1"/>
      <c r="D951" s="704" t="s">
        <v>127</v>
      </c>
      <c r="E951" s="74"/>
      <c r="F951" s="113"/>
      <c r="G951" s="113"/>
      <c r="H951" s="113"/>
      <c r="I951" s="113"/>
      <c r="J951" s="586">
        <f t="shared" ref="J951:AJ951" si="1188">+J779</f>
        <v>36</v>
      </c>
      <c r="K951" s="586">
        <f t="shared" si="1188"/>
        <v>41.678650000000005</v>
      </c>
      <c r="L951" s="586">
        <f t="shared" si="1188"/>
        <v>35.178650000000005</v>
      </c>
      <c r="M951" s="586">
        <f t="shared" si="1188"/>
        <v>30.5</v>
      </c>
      <c r="N951" s="586">
        <f t="shared" si="1188"/>
        <v>27.874499999999998</v>
      </c>
      <c r="O951" s="586">
        <f t="shared" si="1188"/>
        <v>30.3429</v>
      </c>
      <c r="P951" s="586">
        <f t="shared" si="1188"/>
        <v>45.013400000000004</v>
      </c>
      <c r="Q951" s="586">
        <f t="shared" si="1188"/>
        <v>74.721000000000004</v>
      </c>
      <c r="R951" s="586">
        <f t="shared" si="1188"/>
        <v>53.4</v>
      </c>
      <c r="S951" s="586">
        <f t="shared" si="1188"/>
        <v>59.8</v>
      </c>
      <c r="T951" s="586">
        <f t="shared" si="1188"/>
        <v>90.7</v>
      </c>
      <c r="U951" s="586">
        <f t="shared" si="1188"/>
        <v>126.3</v>
      </c>
      <c r="V951" s="586">
        <f t="shared" si="1188"/>
        <v>164</v>
      </c>
      <c r="W951" s="586">
        <f t="shared" si="1188"/>
        <v>191.7</v>
      </c>
      <c r="X951" s="586">
        <f t="shared" si="1188"/>
        <v>174.9</v>
      </c>
      <c r="Y951" s="586">
        <f t="shared" si="1188"/>
        <v>303.26177524656896</v>
      </c>
      <c r="Z951" s="586">
        <f t="shared" si="1188"/>
        <v>241.03369751440272</v>
      </c>
      <c r="AA951" s="586">
        <f t="shared" si="1188"/>
        <v>168.94</v>
      </c>
      <c r="AB951" s="586">
        <f t="shared" si="1188"/>
        <v>146</v>
      </c>
      <c r="AC951" s="586">
        <f t="shared" si="1188"/>
        <v>168.71</v>
      </c>
      <c r="AD951" s="586">
        <f t="shared" si="1188"/>
        <v>233.07553199416967</v>
      </c>
      <c r="AE951" s="586">
        <f t="shared" si="1188"/>
        <v>259.69462557150138</v>
      </c>
      <c r="AF951" s="586">
        <f t="shared" si="1188"/>
        <v>288.9455255930734</v>
      </c>
      <c r="AG951" s="586">
        <f t="shared" si="1188"/>
        <v>373.06725443149219</v>
      </c>
      <c r="AH951" s="586">
        <f t="shared" si="1188"/>
        <v>406.9801934271353</v>
      </c>
      <c r="AI951" s="586">
        <f t="shared" si="1188"/>
        <v>505.54259281328331</v>
      </c>
      <c r="AJ951" s="586">
        <f t="shared" si="1188"/>
        <v>440.89917530886692</v>
      </c>
      <c r="AK951" s="586"/>
      <c r="AL951" s="586"/>
      <c r="AM951" s="586"/>
      <c r="AN951" s="586"/>
      <c r="AO951" s="586"/>
      <c r="AP951" s="586"/>
      <c r="AQ951" s="586"/>
      <c r="AR951" s="586"/>
      <c r="AS951" s="586"/>
      <c r="AT951" s="586"/>
      <c r="BU951" s="327"/>
      <c r="BV951" s="327"/>
      <c r="BW951" s="327"/>
      <c r="BX951" s="327"/>
      <c r="BY951" s="327"/>
      <c r="BZ951" s="327"/>
      <c r="CA951" s="327"/>
      <c r="CB951" s="327"/>
      <c r="CC951" s="327"/>
      <c r="CD951" s="327"/>
      <c r="CE951" s="327"/>
      <c r="CF951" s="327"/>
      <c r="CG951" s="327"/>
      <c r="CH951" s="327"/>
      <c r="CI951" s="327"/>
      <c r="CJ951" s="327"/>
      <c r="CK951" s="327"/>
      <c r="CL951" s="327"/>
      <c r="CM951" s="327"/>
      <c r="CN951" s="327"/>
      <c r="CO951" s="327"/>
      <c r="CP951" s="327"/>
      <c r="CQ951" s="327"/>
      <c r="CR951" s="327"/>
      <c r="CS951" s="327"/>
      <c r="CT951" s="327"/>
      <c r="CU951" s="327"/>
      <c r="CV951" s="327"/>
      <c r="CW951" s="327"/>
      <c r="CX951" s="327"/>
      <c r="CY951" s="279"/>
      <c r="CZ951" s="279"/>
      <c r="DA951" s="279"/>
      <c r="DB951" s="279"/>
      <c r="DC951" s="279"/>
      <c r="DD951" s="279"/>
      <c r="DE951" s="279"/>
      <c r="DF951" s="279"/>
      <c r="DG951" s="327"/>
      <c r="DH951" s="327"/>
      <c r="DI951" s="279"/>
      <c r="DJ951" s="279"/>
      <c r="DK951" s="279"/>
      <c r="DL951" s="279"/>
      <c r="DM951" s="279"/>
      <c r="DN951" s="279"/>
      <c r="DO951" s="279"/>
    </row>
    <row r="952" spans="1:119" hidden="1">
      <c r="A952" s="1"/>
      <c r="B952" s="1"/>
      <c r="C952" s="1"/>
      <c r="D952" s="704" t="s">
        <v>823</v>
      </c>
      <c r="E952" s="74"/>
      <c r="F952" s="113"/>
      <c r="G952" s="113"/>
      <c r="H952" s="113"/>
      <c r="I952" s="113"/>
      <c r="J952" s="586"/>
      <c r="K952" s="586"/>
      <c r="L952" s="586"/>
      <c r="M952" s="586"/>
      <c r="N952" s="586"/>
      <c r="O952" s="586"/>
      <c r="P952" s="586"/>
      <c r="Q952" s="586"/>
      <c r="R952" s="586"/>
      <c r="S952" s="586"/>
      <c r="T952" s="586"/>
      <c r="U952" s="586"/>
      <c r="V952" s="586"/>
      <c r="W952" s="586"/>
      <c r="X952" s="586"/>
      <c r="Y952" s="586"/>
      <c r="Z952" s="586"/>
      <c r="AA952" s="720"/>
      <c r="AB952" s="720"/>
      <c r="AC952" s="720"/>
      <c r="AD952" s="720"/>
      <c r="AE952" s="720"/>
      <c r="AF952" s="586"/>
      <c r="AG952" s="586"/>
      <c r="AH952" s="586"/>
      <c r="AI952" s="586"/>
      <c r="AJ952" s="586"/>
      <c r="AK952" s="586"/>
      <c r="AL952" s="586"/>
      <c r="AM952" s="586"/>
      <c r="AN952" s="586"/>
      <c r="AO952" s="586"/>
      <c r="AP952" s="586"/>
      <c r="AQ952" s="586"/>
      <c r="AR952" s="586"/>
      <c r="AS952" s="586"/>
      <c r="AT952" s="586"/>
      <c r="BU952" s="327"/>
      <c r="BV952" s="327"/>
      <c r="BW952" s="327"/>
      <c r="BX952" s="327"/>
      <c r="BY952" s="327"/>
      <c r="BZ952" s="327"/>
      <c r="CA952" s="327"/>
      <c r="CB952" s="327"/>
      <c r="CC952" s="327"/>
      <c r="CD952" s="327"/>
      <c r="CE952" s="327"/>
      <c r="CF952" s="327"/>
      <c r="CG952" s="327"/>
      <c r="CH952" s="327"/>
      <c r="CI952" s="327"/>
      <c r="CJ952" s="327"/>
      <c r="CK952" s="327"/>
      <c r="CL952" s="327"/>
      <c r="CM952" s="327"/>
      <c r="CN952" s="327"/>
      <c r="CO952" s="327"/>
      <c r="CP952" s="327"/>
      <c r="CQ952" s="327"/>
      <c r="CR952" s="327"/>
      <c r="CS952" s="327"/>
      <c r="CT952" s="327"/>
      <c r="CU952" s="327"/>
      <c r="CV952" s="327"/>
      <c r="CW952" s="327"/>
      <c r="CX952" s="327"/>
      <c r="CY952" s="279"/>
      <c r="CZ952" s="279"/>
      <c r="DA952" s="279"/>
      <c r="DB952" s="279"/>
      <c r="DC952" s="279"/>
      <c r="DD952" s="279"/>
      <c r="DE952" s="279"/>
      <c r="DF952" s="279"/>
      <c r="DG952" s="327"/>
      <c r="DH952" s="327"/>
      <c r="DI952" s="279"/>
      <c r="DJ952" s="279"/>
      <c r="DK952" s="279"/>
      <c r="DL952" s="279"/>
      <c r="DM952" s="279"/>
      <c r="DN952" s="279"/>
      <c r="DO952" s="279"/>
    </row>
    <row r="953" spans="1:119" hidden="1">
      <c r="A953" s="1"/>
      <c r="B953" s="1"/>
      <c r="C953" s="1"/>
      <c r="D953" s="702" t="s">
        <v>130</v>
      </c>
      <c r="E953" s="74"/>
      <c r="F953" s="113"/>
      <c r="G953" s="113"/>
      <c r="H953" s="113"/>
      <c r="I953" s="113"/>
      <c r="J953" s="586">
        <f t="shared" ref="J953:AJ953" si="1189">+J786</f>
        <v>139.5158340285</v>
      </c>
      <c r="K953" s="586">
        <f t="shared" si="1189"/>
        <v>154.53498402849999</v>
      </c>
      <c r="L953" s="586">
        <f t="shared" si="1189"/>
        <v>157.07835</v>
      </c>
      <c r="M953" s="586">
        <f t="shared" si="1189"/>
        <v>179.24844999999999</v>
      </c>
      <c r="N953" s="586">
        <f t="shared" si="1189"/>
        <v>203.3897</v>
      </c>
      <c r="O953" s="586">
        <f t="shared" si="1189"/>
        <v>240.90464000000003</v>
      </c>
      <c r="P953" s="586">
        <f t="shared" si="1189"/>
        <v>299.85193343749501</v>
      </c>
      <c r="Q953" s="586">
        <f t="shared" si="1189"/>
        <v>359.71480448899501</v>
      </c>
      <c r="R953" s="586">
        <f t="shared" si="1189"/>
        <v>414.3</v>
      </c>
      <c r="S953" s="586">
        <f t="shared" si="1189"/>
        <v>521.69999999999993</v>
      </c>
      <c r="T953" s="586">
        <f t="shared" si="1189"/>
        <v>731.3</v>
      </c>
      <c r="U953" s="586">
        <f t="shared" si="1189"/>
        <v>804.00000000000011</v>
      </c>
      <c r="V953" s="586">
        <f t="shared" si="1189"/>
        <v>984.28858093100007</v>
      </c>
      <c r="W953" s="586">
        <f t="shared" si="1189"/>
        <v>1098.0999999999999</v>
      </c>
      <c r="X953" s="586">
        <f t="shared" si="1189"/>
        <v>1335.6000000000001</v>
      </c>
      <c r="Y953" s="586">
        <f t="shared" si="1189"/>
        <v>1540.0094161169768</v>
      </c>
      <c r="Z953" s="586">
        <f t="shared" si="1189"/>
        <v>1720.73</v>
      </c>
      <c r="AA953" s="586">
        <f t="shared" si="1189"/>
        <v>1744.0807153961293</v>
      </c>
      <c r="AB953" s="586">
        <f t="shared" si="1189"/>
        <v>1942.9</v>
      </c>
      <c r="AC953" s="586">
        <f t="shared" si="1189"/>
        <v>2187.5397808880507</v>
      </c>
      <c r="AD953" s="586">
        <f t="shared" si="1189"/>
        <v>2611.6378944459902</v>
      </c>
      <c r="AE953" s="586">
        <f t="shared" si="1189"/>
        <v>3253.1281054531019</v>
      </c>
      <c r="AF953" s="586">
        <f t="shared" si="1189"/>
        <v>3110.264227358336</v>
      </c>
      <c r="AG953" s="586">
        <f t="shared" si="1189"/>
        <v>4008.8775259673457</v>
      </c>
      <c r="AH953" s="586">
        <f t="shared" si="1189"/>
        <v>4645.0300090464289</v>
      </c>
      <c r="AI953" s="586">
        <f t="shared" si="1189"/>
        <v>5575.3738089360186</v>
      </c>
      <c r="AJ953" s="586">
        <f t="shared" si="1189"/>
        <v>4854.6021539366293</v>
      </c>
      <c r="AK953" s="586"/>
      <c r="AL953" s="586"/>
      <c r="AM953" s="586"/>
      <c r="AN953" s="586"/>
      <c r="AO953" s="586"/>
      <c r="AP953" s="586"/>
      <c r="AQ953" s="586"/>
      <c r="AR953" s="586"/>
      <c r="AS953" s="586"/>
      <c r="AT953" s="586"/>
      <c r="BU953" s="327"/>
      <c r="BV953" s="327"/>
      <c r="BW953" s="327"/>
      <c r="BX953" s="327"/>
      <c r="BY953" s="327"/>
      <c r="BZ953" s="327"/>
      <c r="CA953" s="327"/>
      <c r="CB953" s="327"/>
      <c r="CC953" s="327"/>
      <c r="CD953" s="327"/>
      <c r="CE953" s="327"/>
      <c r="CF953" s="327"/>
      <c r="CG953" s="327"/>
      <c r="CH953" s="327"/>
      <c r="CI953" s="327"/>
      <c r="CJ953" s="327"/>
      <c r="CK953" s="327"/>
      <c r="CL953" s="327"/>
      <c r="CM953" s="327"/>
      <c r="CN953" s="327"/>
      <c r="CO953" s="327"/>
      <c r="CP953" s="327"/>
      <c r="CQ953" s="327"/>
      <c r="CR953" s="327"/>
      <c r="CS953" s="327"/>
      <c r="CT953" s="327"/>
      <c r="CU953" s="327"/>
      <c r="CV953" s="327"/>
      <c r="CW953" s="327"/>
      <c r="CX953" s="327"/>
      <c r="CY953" s="279"/>
      <c r="CZ953" s="279"/>
      <c r="DA953" s="279"/>
      <c r="DB953" s="279"/>
      <c r="DC953" s="279"/>
      <c r="DD953" s="279"/>
      <c r="DE953" s="279"/>
      <c r="DF953" s="279"/>
      <c r="DG953" s="327"/>
      <c r="DH953" s="327"/>
      <c r="DI953" s="279"/>
      <c r="DJ953" s="279"/>
      <c r="DK953" s="279"/>
      <c r="DL953" s="279"/>
      <c r="DM953" s="279"/>
      <c r="DN953" s="279"/>
      <c r="DO953" s="279"/>
    </row>
    <row r="954" spans="1:119" hidden="1">
      <c r="A954" s="1"/>
      <c r="B954" s="1"/>
      <c r="C954" s="1"/>
      <c r="D954" s="705" t="s">
        <v>131</v>
      </c>
      <c r="E954" s="74"/>
      <c r="F954" s="113"/>
      <c r="G954" s="113"/>
      <c r="H954" s="113"/>
      <c r="I954" s="113"/>
      <c r="J954" s="586">
        <f t="shared" ref="J954:AJ954" si="1190">+J788</f>
        <v>81.218376569499995</v>
      </c>
      <c r="K954" s="586">
        <f t="shared" si="1190"/>
        <v>87.635976569500002</v>
      </c>
      <c r="L954" s="586">
        <f t="shared" si="1190"/>
        <v>98.464949999999988</v>
      </c>
      <c r="M954" s="586">
        <f t="shared" si="1190"/>
        <v>121.017</v>
      </c>
      <c r="N954" s="586">
        <f t="shared" si="1190"/>
        <v>147.50385</v>
      </c>
      <c r="O954" s="586">
        <f t="shared" si="1190"/>
        <v>162.75944000000001</v>
      </c>
      <c r="P954" s="586">
        <f t="shared" si="1190"/>
        <v>189.89345609099502</v>
      </c>
      <c r="Q954" s="586">
        <f t="shared" si="1190"/>
        <v>233.40716609099502</v>
      </c>
      <c r="R954" s="586">
        <f t="shared" si="1190"/>
        <v>266.60000000000002</v>
      </c>
      <c r="S954" s="586">
        <f t="shared" si="1190"/>
        <v>348.9</v>
      </c>
      <c r="T954" s="586">
        <f t="shared" si="1190"/>
        <v>401.7</v>
      </c>
      <c r="U954" s="586">
        <f t="shared" si="1190"/>
        <v>459.1</v>
      </c>
      <c r="V954" s="586">
        <f t="shared" si="1190"/>
        <v>526.99576124600003</v>
      </c>
      <c r="W954" s="586">
        <f t="shared" si="1190"/>
        <v>614.09999999999991</v>
      </c>
      <c r="X954" s="586">
        <f t="shared" si="1190"/>
        <v>633.9</v>
      </c>
      <c r="Y954" s="586">
        <f t="shared" si="1190"/>
        <v>777.76349406485224</v>
      </c>
      <c r="Z954" s="586">
        <f t="shared" si="1190"/>
        <v>834.73</v>
      </c>
      <c r="AA954" s="586">
        <f t="shared" si="1190"/>
        <v>936.97330172549641</v>
      </c>
      <c r="AB954" s="586">
        <f t="shared" si="1190"/>
        <v>1069.5999999999999</v>
      </c>
      <c r="AC954" s="586">
        <f t="shared" si="1190"/>
        <v>1177.2772642778905</v>
      </c>
      <c r="AD954" s="586">
        <f t="shared" si="1190"/>
        <v>1343.6050912542087</v>
      </c>
      <c r="AE954" s="586">
        <f t="shared" si="1190"/>
        <v>1558.3598845633098</v>
      </c>
      <c r="AF954" s="586">
        <f t="shared" si="1190"/>
        <v>1670.0482916625929</v>
      </c>
      <c r="AG954" s="586">
        <f t="shared" si="1190"/>
        <v>2410.6495607370075</v>
      </c>
      <c r="AH954" s="586">
        <f t="shared" si="1190"/>
        <v>2766.9955743031351</v>
      </c>
      <c r="AI954" s="586">
        <f t="shared" si="1190"/>
        <v>3330.7301069721102</v>
      </c>
      <c r="AJ954" s="586">
        <f t="shared" si="1190"/>
        <v>2831.2951484036143</v>
      </c>
      <c r="AK954" s="586"/>
      <c r="AL954" s="586"/>
      <c r="AM954" s="586"/>
      <c r="AN954" s="586"/>
      <c r="AO954" s="586"/>
      <c r="AP954" s="586"/>
      <c r="AQ954" s="586"/>
      <c r="AR954" s="586"/>
      <c r="AS954" s="586"/>
      <c r="AT954" s="586"/>
      <c r="BU954" s="327"/>
      <c r="BV954" s="327"/>
      <c r="BW954" s="327"/>
      <c r="BX954" s="327"/>
      <c r="BY954" s="327"/>
      <c r="BZ954" s="327"/>
      <c r="CA954" s="327"/>
      <c r="CB954" s="327"/>
      <c r="CC954" s="327"/>
      <c r="CD954" s="327"/>
      <c r="CE954" s="327"/>
      <c r="CF954" s="327"/>
      <c r="CG954" s="327"/>
      <c r="CH954" s="327"/>
      <c r="CI954" s="327"/>
      <c r="CJ954" s="327"/>
      <c r="CK954" s="327"/>
      <c r="CL954" s="327"/>
      <c r="CM954" s="327"/>
      <c r="CN954" s="327"/>
      <c r="CO954" s="327"/>
      <c r="CP954" s="327"/>
      <c r="CQ954" s="327"/>
      <c r="CR954" s="327"/>
      <c r="CS954" s="327"/>
      <c r="CT954" s="327"/>
      <c r="CU954" s="327"/>
      <c r="CV954" s="327"/>
      <c r="CW954" s="327"/>
      <c r="CX954" s="327"/>
      <c r="CY954" s="279"/>
      <c r="CZ954" s="279"/>
      <c r="DA954" s="279"/>
      <c r="DB954" s="279"/>
      <c r="DC954" s="279"/>
      <c r="DD954" s="279"/>
      <c r="DE954" s="279"/>
      <c r="DF954" s="279"/>
      <c r="DG954" s="327"/>
      <c r="DH954" s="327"/>
      <c r="DI954" s="279"/>
      <c r="DJ954" s="279"/>
      <c r="DK954" s="279"/>
      <c r="DL954" s="279"/>
      <c r="DM954" s="279"/>
      <c r="DN954" s="279"/>
      <c r="DO954" s="279"/>
    </row>
    <row r="955" spans="1:119" hidden="1">
      <c r="A955" s="1"/>
      <c r="B955" s="1"/>
      <c r="C955" s="1"/>
      <c r="D955" s="705" t="s">
        <v>861</v>
      </c>
      <c r="E955" s="74"/>
      <c r="F955" s="113"/>
      <c r="G955" s="113"/>
      <c r="H955" s="113"/>
      <c r="I955" s="113"/>
      <c r="J955" s="707"/>
      <c r="K955" s="707"/>
      <c r="L955" s="707"/>
      <c r="M955" s="707"/>
      <c r="N955" s="707"/>
      <c r="O955" s="707"/>
      <c r="P955" s="707"/>
      <c r="Q955" s="707"/>
      <c r="R955" s="707"/>
      <c r="S955" s="707"/>
      <c r="T955" s="707"/>
      <c r="U955" s="707"/>
      <c r="V955" s="707"/>
      <c r="W955" s="707"/>
      <c r="X955" s="707">
        <f t="shared" ref="X955:AJ955" si="1191">+X821</f>
        <v>51.2</v>
      </c>
      <c r="Y955" s="707">
        <f t="shared" si="1191"/>
        <v>88.592309467999996</v>
      </c>
      <c r="Z955" s="707">
        <f t="shared" si="1191"/>
        <v>89.34</v>
      </c>
      <c r="AA955" s="707">
        <f t="shared" si="1191"/>
        <v>127.85672365799999</v>
      </c>
      <c r="AB955" s="707">
        <f t="shared" si="1191"/>
        <v>128.15146206400001</v>
      </c>
      <c r="AC955" s="707">
        <f t="shared" si="1191"/>
        <v>145.77063851899999</v>
      </c>
      <c r="AD955" s="707">
        <f t="shared" si="1191"/>
        <v>212.60240836200001</v>
      </c>
      <c r="AE955" s="707">
        <f t="shared" si="1191"/>
        <v>184.27001097465782</v>
      </c>
      <c r="AF955" s="707">
        <f t="shared" si="1191"/>
        <v>135.69992736948177</v>
      </c>
      <c r="AG955" s="707">
        <f t="shared" si="1191"/>
        <v>132.488043372589</v>
      </c>
      <c r="AH955" s="707">
        <f t="shared" si="1191"/>
        <v>151.85749599591659</v>
      </c>
      <c r="AI955" s="707">
        <f t="shared" si="1191"/>
        <v>176.56360568673131</v>
      </c>
      <c r="AJ955" s="707">
        <f t="shared" si="1191"/>
        <v>0</v>
      </c>
      <c r="AK955" s="707"/>
      <c r="AL955" s="707"/>
      <c r="AM955" s="707"/>
      <c r="AN955" s="707"/>
      <c r="AO955" s="707"/>
      <c r="AP955" s="707"/>
      <c r="AQ955" s="707"/>
      <c r="AR955" s="707"/>
      <c r="AS955" s="707"/>
      <c r="AT955" s="707"/>
      <c r="BU955" s="327"/>
      <c r="BV955" s="327"/>
      <c r="BW955" s="327"/>
      <c r="BX955" s="327"/>
      <c r="BY955" s="327"/>
      <c r="BZ955" s="327"/>
      <c r="CA955" s="327"/>
      <c r="CB955" s="327"/>
      <c r="CC955" s="327"/>
      <c r="CD955" s="327"/>
      <c r="CE955" s="327"/>
      <c r="CF955" s="327"/>
      <c r="CG955" s="327"/>
      <c r="CH955" s="327"/>
      <c r="CI955" s="327"/>
      <c r="CJ955" s="327"/>
      <c r="CK955" s="327"/>
      <c r="CL955" s="327"/>
      <c r="CM955" s="327"/>
      <c r="CN955" s="327"/>
      <c r="CO955" s="327"/>
      <c r="CP955" s="327"/>
      <c r="CQ955" s="327"/>
      <c r="CR955" s="327"/>
      <c r="CS955" s="327"/>
      <c r="CT955" s="327"/>
      <c r="CU955" s="327"/>
      <c r="CV955" s="327"/>
      <c r="CW955" s="327"/>
      <c r="CX955" s="327"/>
      <c r="CY955" s="279"/>
      <c r="CZ955" s="279"/>
      <c r="DA955" s="279"/>
      <c r="DB955" s="279"/>
      <c r="DC955" s="279"/>
      <c r="DD955" s="279"/>
      <c r="DE955" s="279"/>
      <c r="DF955" s="279"/>
      <c r="DG955" s="327"/>
      <c r="DH955" s="327"/>
      <c r="DI955" s="279"/>
      <c r="DJ955" s="279"/>
      <c r="DK955" s="279"/>
      <c r="DL955" s="279"/>
      <c r="DM955" s="279"/>
      <c r="DN955" s="279"/>
      <c r="DO955" s="279"/>
    </row>
    <row r="956" spans="1:119" hidden="1">
      <c r="A956" s="1"/>
      <c r="B956" s="1"/>
      <c r="C956" s="1"/>
      <c r="D956" s="1170" t="str">
        <f>D798</f>
        <v xml:space="preserve">   Of Which Emergencies</v>
      </c>
      <c r="E956" s="575"/>
      <c r="F956" s="1171"/>
      <c r="G956" s="1171"/>
      <c r="H956" s="1171"/>
      <c r="I956" s="1171"/>
      <c r="J956" s="1169"/>
      <c r="K956" s="1169"/>
      <c r="L956" s="1169"/>
      <c r="M956" s="1169"/>
      <c r="N956" s="1169"/>
      <c r="O956" s="1169"/>
      <c r="P956" s="1169"/>
      <c r="Q956" s="1169"/>
      <c r="R956" s="1169"/>
      <c r="S956" s="1169"/>
      <c r="T956" s="1169"/>
      <c r="U956" s="1169"/>
      <c r="V956" s="1169"/>
      <c r="W956" s="1169"/>
      <c r="X956" s="1169"/>
      <c r="Y956" s="1169"/>
      <c r="Z956" s="1169"/>
      <c r="AA956" s="1169"/>
      <c r="AB956" s="1169"/>
      <c r="AC956" s="1169"/>
      <c r="AD956" s="1169"/>
      <c r="AE956" s="1183">
        <f>AE798</f>
        <v>33</v>
      </c>
      <c r="AF956" s="707"/>
      <c r="AG956" s="707"/>
      <c r="AH956" s="707"/>
      <c r="AI956" s="707"/>
      <c r="AJ956" s="707"/>
      <c r="AK956" s="707"/>
      <c r="AL956" s="707"/>
      <c r="AM956" s="707"/>
      <c r="AN956" s="707"/>
      <c r="AO956" s="707"/>
      <c r="AP956" s="707"/>
      <c r="AQ956" s="707"/>
      <c r="AR956" s="707"/>
      <c r="AS956" s="707"/>
      <c r="AT956" s="707"/>
      <c r="BU956" s="327"/>
      <c r="BV956" s="327"/>
      <c r="BW956" s="327"/>
      <c r="BX956" s="327"/>
      <c r="BY956" s="327"/>
      <c r="BZ956" s="327"/>
      <c r="CA956" s="327"/>
      <c r="CB956" s="327"/>
      <c r="CC956" s="327"/>
      <c r="CD956" s="327"/>
      <c r="CE956" s="327"/>
      <c r="CF956" s="327"/>
      <c r="CG956" s="327"/>
      <c r="CH956" s="327"/>
      <c r="CI956" s="327"/>
      <c r="CJ956" s="327"/>
      <c r="CK956" s="327"/>
      <c r="CL956" s="327"/>
      <c r="CM956" s="327"/>
      <c r="CN956" s="327"/>
      <c r="CO956" s="327"/>
      <c r="CP956" s="327"/>
      <c r="CQ956" s="327"/>
      <c r="CR956" s="327"/>
      <c r="CS956" s="327"/>
      <c r="CT956" s="327"/>
      <c r="CU956" s="327"/>
      <c r="CV956" s="327"/>
      <c r="CW956" s="327"/>
      <c r="CX956" s="327"/>
      <c r="CY956" s="279"/>
      <c r="CZ956" s="279"/>
      <c r="DA956" s="279"/>
      <c r="DB956" s="279"/>
      <c r="DC956" s="279"/>
      <c r="DD956" s="279"/>
      <c r="DE956" s="279"/>
      <c r="DF956" s="279"/>
      <c r="DG956" s="327"/>
      <c r="DH956" s="327"/>
      <c r="DI956" s="279"/>
      <c r="DJ956" s="279"/>
      <c r="DK956" s="279"/>
      <c r="DL956" s="279"/>
      <c r="DM956" s="279"/>
      <c r="DN956" s="279"/>
      <c r="DO956" s="279"/>
    </row>
    <row r="957" spans="1:119" hidden="1">
      <c r="A957" s="1"/>
      <c r="B957" s="1"/>
      <c r="C957" s="1"/>
      <c r="D957" s="1172" t="str">
        <f>D799</f>
        <v>Of Which  COVID-19 Expenditure</v>
      </c>
      <c r="E957" s="575"/>
      <c r="F957" s="1171"/>
      <c r="G957" s="1171"/>
      <c r="H957" s="1171"/>
      <c r="I957" s="1171"/>
      <c r="J957" s="1169"/>
      <c r="K957" s="1169"/>
      <c r="L957" s="1169"/>
      <c r="M957" s="1169"/>
      <c r="N957" s="1169"/>
      <c r="O957" s="1169"/>
      <c r="P957" s="1169"/>
      <c r="Q957" s="1169"/>
      <c r="R957" s="1169"/>
      <c r="S957" s="1169"/>
      <c r="T957" s="1169"/>
      <c r="U957" s="1169"/>
      <c r="V957" s="1169"/>
      <c r="W957" s="1169"/>
      <c r="X957" s="1169"/>
      <c r="Y957" s="1169"/>
      <c r="Z957" s="1169"/>
      <c r="AA957" s="1169"/>
      <c r="AB957" s="1169"/>
      <c r="AC957" s="1169"/>
      <c r="AD957" s="1169"/>
      <c r="AE957" s="1184">
        <f>AE799</f>
        <v>60</v>
      </c>
      <c r="AF957" s="707">
        <f>AF799</f>
        <v>60</v>
      </c>
      <c r="AG957" s="707"/>
      <c r="AH957" s="707"/>
      <c r="AI957" s="707"/>
      <c r="AJ957" s="707"/>
      <c r="AK957" s="707"/>
      <c r="AL957" s="707"/>
      <c r="AM957" s="707"/>
      <c r="AN957" s="707"/>
      <c r="AO957" s="707"/>
      <c r="AP957" s="707"/>
      <c r="AQ957" s="707"/>
      <c r="AR957" s="707"/>
      <c r="AS957" s="707"/>
      <c r="AT957" s="707"/>
      <c r="BU957" s="327"/>
      <c r="BV957" s="327"/>
      <c r="BW957" s="327"/>
      <c r="BX957" s="327"/>
      <c r="BY957" s="327"/>
      <c r="BZ957" s="327"/>
      <c r="CA957" s="327"/>
      <c r="CB957" s="327"/>
      <c r="CC957" s="327"/>
      <c r="CD957" s="327"/>
      <c r="CE957" s="327"/>
      <c r="CF957" s="327"/>
      <c r="CG957" s="327"/>
      <c r="CH957" s="327"/>
      <c r="CI957" s="327"/>
      <c r="CJ957" s="327"/>
      <c r="CK957" s="327"/>
      <c r="CL957" s="327"/>
      <c r="CM957" s="327"/>
      <c r="CN957" s="327"/>
      <c r="CO957" s="327"/>
      <c r="CP957" s="327"/>
      <c r="CQ957" s="327"/>
      <c r="CR957" s="327"/>
      <c r="CS957" s="327"/>
      <c r="CT957" s="327"/>
      <c r="CU957" s="327"/>
      <c r="CV957" s="327"/>
      <c r="CW957" s="327"/>
      <c r="CX957" s="327"/>
      <c r="CY957" s="279"/>
      <c r="CZ957" s="279"/>
      <c r="DA957" s="279"/>
      <c r="DB957" s="279"/>
      <c r="DC957" s="279"/>
      <c r="DD957" s="279"/>
      <c r="DE957" s="279"/>
      <c r="DF957" s="279"/>
      <c r="DG957" s="327"/>
      <c r="DH957" s="327"/>
      <c r="DI957" s="279"/>
      <c r="DJ957" s="279"/>
      <c r="DK957" s="279"/>
      <c r="DL957" s="279"/>
      <c r="DM957" s="279"/>
      <c r="DN957" s="279"/>
      <c r="DO957" s="279"/>
    </row>
    <row r="958" spans="1:119" hidden="1">
      <c r="A958" s="1"/>
      <c r="B958" s="1"/>
      <c r="C958" s="1"/>
      <c r="D958" s="703" t="s">
        <v>144</v>
      </c>
      <c r="E958" s="74"/>
      <c r="F958" s="113"/>
      <c r="G958" s="113"/>
      <c r="H958" s="113"/>
      <c r="I958" s="113"/>
      <c r="J958" s="586">
        <f t="shared" ref="J958:AJ958" si="1192">+J825</f>
        <v>58.127957459000001</v>
      </c>
      <c r="K958" s="586">
        <f t="shared" si="1192"/>
        <v>66.411907459000005</v>
      </c>
      <c r="L958" s="586">
        <f t="shared" si="1192"/>
        <v>58.062550000000002</v>
      </c>
      <c r="M958" s="586">
        <f t="shared" si="1192"/>
        <v>57.631100000000004</v>
      </c>
      <c r="N958" s="586">
        <f t="shared" si="1192"/>
        <v>54.473050000000001</v>
      </c>
      <c r="O958" s="586">
        <f t="shared" si="1192"/>
        <v>66.223749999999995</v>
      </c>
      <c r="P958" s="586">
        <f t="shared" si="1192"/>
        <v>95.999886279999998</v>
      </c>
      <c r="Q958" s="586">
        <f t="shared" si="1192"/>
        <v>118.3417973315</v>
      </c>
      <c r="R958" s="586">
        <f t="shared" si="1192"/>
        <v>131.80000000000001</v>
      </c>
      <c r="S958" s="586">
        <f t="shared" si="1192"/>
        <v>188.2</v>
      </c>
      <c r="T958" s="586">
        <f t="shared" si="1192"/>
        <v>306.7</v>
      </c>
      <c r="U958" s="586">
        <f t="shared" si="1192"/>
        <v>316.70000000000005</v>
      </c>
      <c r="V958" s="586">
        <f t="shared" si="1192"/>
        <v>438.59208968500002</v>
      </c>
      <c r="W958" s="586">
        <f t="shared" si="1192"/>
        <v>482.9</v>
      </c>
      <c r="X958" s="586">
        <f t="shared" si="1192"/>
        <v>564.5</v>
      </c>
      <c r="Y958" s="586">
        <f t="shared" si="1192"/>
        <v>712.02636734912699</v>
      </c>
      <c r="Z958" s="586">
        <f t="shared" si="1192"/>
        <v>769.8</v>
      </c>
      <c r="AA958" s="586">
        <f t="shared" si="1192"/>
        <v>718.68553264663296</v>
      </c>
      <c r="AB958" s="586">
        <f t="shared" si="1192"/>
        <v>759.45977511682895</v>
      </c>
      <c r="AC958" s="586">
        <f t="shared" si="1192"/>
        <v>850.21990038716001</v>
      </c>
      <c r="AD958" s="586">
        <f t="shared" si="1192"/>
        <v>1071.7092455117818</v>
      </c>
      <c r="AE958" s="586">
        <f t="shared" si="1192"/>
        <v>1294.7440302694517</v>
      </c>
      <c r="AF958" s="586">
        <f t="shared" si="1192"/>
        <v>1140.4189543084346</v>
      </c>
      <c r="AG958" s="586">
        <f t="shared" si="1192"/>
        <v>1325.0889787253445</v>
      </c>
      <c r="AH958" s="586">
        <f t="shared" si="1192"/>
        <v>1578.9108109260483</v>
      </c>
      <c r="AI958" s="586">
        <f t="shared" si="1192"/>
        <v>1981.2153423350683</v>
      </c>
      <c r="AJ958" s="586">
        <f t="shared" si="1192"/>
        <v>2002.8778257185954</v>
      </c>
      <c r="AK958" s="586"/>
      <c r="AL958" s="586"/>
      <c r="AM958" s="586"/>
      <c r="AN958" s="586"/>
      <c r="AO958" s="586"/>
      <c r="AP958" s="586"/>
      <c r="AQ958" s="586"/>
      <c r="AR958" s="586"/>
      <c r="AS958" s="586"/>
      <c r="AT958" s="586"/>
      <c r="BU958" s="327"/>
      <c r="BV958" s="327"/>
      <c r="BW958" s="327"/>
      <c r="BX958" s="327"/>
      <c r="BY958" s="327"/>
      <c r="BZ958" s="327"/>
      <c r="CA958" s="327"/>
      <c r="CB958" s="327"/>
      <c r="CC958" s="327"/>
      <c r="CD958" s="327"/>
      <c r="CE958" s="327"/>
      <c r="CF958" s="327"/>
      <c r="CG958" s="327"/>
      <c r="CH958" s="327"/>
      <c r="CI958" s="327"/>
      <c r="CJ958" s="327"/>
      <c r="CK958" s="327"/>
      <c r="CL958" s="327"/>
      <c r="CM958" s="327"/>
      <c r="CN958" s="327"/>
      <c r="CO958" s="327"/>
      <c r="CP958" s="327"/>
      <c r="CQ958" s="327"/>
      <c r="CR958" s="327"/>
      <c r="CS958" s="327"/>
      <c r="CT958" s="327"/>
      <c r="CU958" s="327"/>
      <c r="CV958" s="327"/>
      <c r="CW958" s="327"/>
      <c r="CX958" s="327"/>
      <c r="CY958" s="279"/>
      <c r="CZ958" s="279"/>
      <c r="DA958" s="279"/>
      <c r="DB958" s="279"/>
      <c r="DC958" s="279"/>
      <c r="DD958" s="279"/>
      <c r="DE958" s="279"/>
      <c r="DF958" s="279"/>
      <c r="DG958" s="327"/>
      <c r="DH958" s="327"/>
      <c r="DI958" s="279"/>
      <c r="DJ958" s="279"/>
      <c r="DK958" s="279"/>
      <c r="DL958" s="279"/>
      <c r="DM958" s="279"/>
      <c r="DN958" s="279"/>
      <c r="DO958" s="279"/>
    </row>
    <row r="959" spans="1:119" hidden="1">
      <c r="A959" s="1"/>
      <c r="B959" s="1"/>
      <c r="C959" s="1"/>
      <c r="D959" s="705" t="s">
        <v>824</v>
      </c>
      <c r="E959" s="74"/>
      <c r="F959" s="113"/>
      <c r="G959" s="113"/>
      <c r="H959" s="113"/>
      <c r="I959" s="113"/>
      <c r="J959" s="586"/>
      <c r="K959" s="586"/>
      <c r="L959" s="586"/>
      <c r="M959" s="586"/>
      <c r="N959" s="586"/>
      <c r="O959" s="586"/>
      <c r="P959" s="586"/>
      <c r="Q959" s="586"/>
      <c r="R959" s="586"/>
      <c r="S959" s="586"/>
      <c r="T959" s="586"/>
      <c r="U959" s="586"/>
      <c r="V959" s="586"/>
      <c r="W959" s="586"/>
      <c r="X959" s="586"/>
      <c r="Y959" s="586"/>
      <c r="Z959" s="586"/>
      <c r="AA959" s="720"/>
      <c r="AB959" s="720"/>
      <c r="AC959" s="720"/>
      <c r="AD959" s="586"/>
      <c r="AE959" s="586"/>
      <c r="AF959" s="586"/>
      <c r="AG959" s="586"/>
      <c r="AH959" s="586"/>
      <c r="AI959" s="586"/>
      <c r="AJ959" s="586"/>
      <c r="AK959" s="586"/>
      <c r="AL959" s="586"/>
      <c r="AM959" s="586"/>
      <c r="AN959" s="586"/>
      <c r="AO959" s="586"/>
      <c r="AP959" s="586"/>
      <c r="AQ959" s="586"/>
      <c r="AR959" s="586"/>
      <c r="AS959" s="586"/>
      <c r="AT959" s="586"/>
      <c r="BU959" s="327"/>
      <c r="BV959" s="327"/>
      <c r="BW959" s="327"/>
      <c r="BX959" s="327"/>
      <c r="BY959" s="327"/>
      <c r="BZ959" s="327"/>
      <c r="CA959" s="327"/>
      <c r="CB959" s="327"/>
      <c r="CC959" s="327"/>
      <c r="CD959" s="327"/>
      <c r="CE959" s="327"/>
      <c r="CF959" s="327"/>
      <c r="CG959" s="327"/>
      <c r="CH959" s="327"/>
      <c r="CI959" s="327"/>
      <c r="CJ959" s="327"/>
      <c r="CK959" s="327"/>
      <c r="CL959" s="327"/>
      <c r="CM959" s="327"/>
      <c r="CN959" s="327"/>
      <c r="CO959" s="327"/>
      <c r="CP959" s="327"/>
      <c r="CQ959" s="327"/>
      <c r="CR959" s="327"/>
      <c r="CS959" s="327"/>
      <c r="CT959" s="327"/>
      <c r="CU959" s="327"/>
      <c r="CV959" s="327"/>
      <c r="CW959" s="327"/>
      <c r="CX959" s="327"/>
      <c r="CY959" s="279"/>
      <c r="CZ959" s="279"/>
      <c r="DA959" s="279"/>
      <c r="DB959" s="279"/>
      <c r="DC959" s="279"/>
      <c r="DD959" s="279"/>
      <c r="DE959" s="279"/>
      <c r="DF959" s="279"/>
      <c r="DG959" s="327"/>
      <c r="DH959" s="327"/>
      <c r="DI959" s="279"/>
      <c r="DJ959" s="279"/>
      <c r="DK959" s="279"/>
      <c r="DL959" s="279"/>
      <c r="DM959" s="279"/>
      <c r="DN959" s="279"/>
      <c r="DO959" s="279"/>
    </row>
    <row r="960" spans="1:119" hidden="1">
      <c r="A960" s="1"/>
      <c r="B960" s="1"/>
      <c r="C960" s="1"/>
      <c r="D960" s="1172" t="str">
        <f>D828</f>
        <v>Of Which  COVID-19 Expenditure</v>
      </c>
      <c r="E960" s="74"/>
      <c r="F960" s="113"/>
      <c r="G960" s="113"/>
      <c r="H960" s="113"/>
      <c r="I960" s="113"/>
      <c r="J960" s="586"/>
      <c r="K960" s="586"/>
      <c r="L960" s="586"/>
      <c r="M960" s="586"/>
      <c r="N960" s="586"/>
      <c r="O960" s="586"/>
      <c r="P960" s="586"/>
      <c r="Q960" s="586"/>
      <c r="R960" s="586"/>
      <c r="S960" s="586"/>
      <c r="T960" s="586"/>
      <c r="U960" s="586"/>
      <c r="V960" s="586"/>
      <c r="W960" s="586"/>
      <c r="X960" s="586"/>
      <c r="Y960" s="586"/>
      <c r="Z960" s="586"/>
      <c r="AA960" s="720"/>
      <c r="AB960" s="720"/>
      <c r="AC960" s="720"/>
      <c r="AD960" s="586"/>
      <c r="AE960" s="1185">
        <f>AE828</f>
        <v>40</v>
      </c>
      <c r="AF960" s="586">
        <f>AF828</f>
        <v>40</v>
      </c>
      <c r="AG960" s="586"/>
      <c r="AH960" s="586"/>
      <c r="AI960" s="586"/>
      <c r="AJ960" s="586"/>
      <c r="AK960" s="586"/>
      <c r="AL960" s="586"/>
      <c r="AM960" s="586"/>
      <c r="AN960" s="586"/>
      <c r="AO960" s="586"/>
      <c r="AP960" s="586"/>
      <c r="AQ960" s="586"/>
      <c r="AR960" s="586"/>
      <c r="AS960" s="586"/>
      <c r="AT960" s="586"/>
      <c r="BU960" s="327"/>
      <c r="BV960" s="327"/>
      <c r="BW960" s="327"/>
      <c r="BX960" s="327"/>
      <c r="BY960" s="327"/>
      <c r="BZ960" s="327"/>
      <c r="CA960" s="327"/>
      <c r="CB960" s="327"/>
      <c r="CC960" s="327"/>
      <c r="CD960" s="327"/>
      <c r="CE960" s="327"/>
      <c r="CF960" s="327"/>
      <c r="CG960" s="327"/>
      <c r="CH960" s="327"/>
      <c r="CI960" s="327"/>
      <c r="CJ960" s="327"/>
      <c r="CK960" s="327"/>
      <c r="CL960" s="327"/>
      <c r="CM960" s="327"/>
      <c r="CN960" s="327"/>
      <c r="CO960" s="327"/>
      <c r="CP960" s="327"/>
      <c r="CQ960" s="327"/>
      <c r="CR960" s="327"/>
      <c r="CS960" s="327"/>
      <c r="CT960" s="327"/>
      <c r="CU960" s="327"/>
      <c r="CV960" s="327"/>
      <c r="CW960" s="327"/>
      <c r="CX960" s="327"/>
      <c r="CY960" s="279"/>
      <c r="CZ960" s="279"/>
      <c r="DA960" s="279"/>
      <c r="DB960" s="279"/>
      <c r="DC960" s="279"/>
      <c r="DD960" s="279"/>
      <c r="DE960" s="279"/>
      <c r="DF960" s="279"/>
      <c r="DG960" s="327"/>
      <c r="DH960" s="327"/>
      <c r="DI960" s="279"/>
      <c r="DJ960" s="279"/>
      <c r="DK960" s="279"/>
      <c r="DL960" s="279"/>
      <c r="DM960" s="279"/>
      <c r="DN960" s="279"/>
      <c r="DO960" s="279"/>
    </row>
    <row r="961" spans="1:119" hidden="1">
      <c r="A961" s="1"/>
      <c r="B961" s="1"/>
      <c r="C961" s="1"/>
      <c r="D961" s="705" t="s">
        <v>146</v>
      </c>
      <c r="E961" s="74"/>
      <c r="F961" s="113"/>
      <c r="G961" s="113"/>
      <c r="H961" s="113"/>
      <c r="I961" s="113"/>
      <c r="J961" s="586">
        <f t="shared" ref="J961:AJ961" si="1193">+J842</f>
        <v>0.16949999999999998</v>
      </c>
      <c r="K961" s="586">
        <f t="shared" si="1193"/>
        <v>0.48709999999999998</v>
      </c>
      <c r="L961" s="586">
        <f t="shared" si="1193"/>
        <v>0.55084999999999995</v>
      </c>
      <c r="M961" s="586">
        <f t="shared" si="1193"/>
        <v>0.60034999999999994</v>
      </c>
      <c r="N961" s="586">
        <f t="shared" si="1193"/>
        <v>1.4128000000000001</v>
      </c>
      <c r="O961" s="586">
        <f t="shared" si="1193"/>
        <v>11.92145</v>
      </c>
      <c r="P961" s="586">
        <f t="shared" si="1193"/>
        <v>13.958591066499999</v>
      </c>
      <c r="Q961" s="586">
        <f t="shared" si="1193"/>
        <v>7.9658410664999995</v>
      </c>
      <c r="R961" s="586">
        <f t="shared" si="1193"/>
        <v>15.9</v>
      </c>
      <c r="S961" s="586">
        <f t="shared" si="1193"/>
        <v>-15.4</v>
      </c>
      <c r="T961" s="586">
        <f t="shared" si="1193"/>
        <v>22.9</v>
      </c>
      <c r="U961" s="586">
        <f t="shared" si="1193"/>
        <v>28.2</v>
      </c>
      <c r="V961" s="586">
        <f t="shared" si="1193"/>
        <v>18.70073</v>
      </c>
      <c r="W961" s="586">
        <f t="shared" si="1193"/>
        <v>1.1000000000000001</v>
      </c>
      <c r="X961" s="586">
        <f t="shared" si="1193"/>
        <v>137.20000000000002</v>
      </c>
      <c r="Y961" s="586">
        <f t="shared" si="1193"/>
        <v>50.219554702997584</v>
      </c>
      <c r="Z961" s="586">
        <f t="shared" si="1193"/>
        <v>116.19999999999999</v>
      </c>
      <c r="AA961" s="586">
        <f t="shared" si="1193"/>
        <v>88.421881023999987</v>
      </c>
      <c r="AB961" s="586">
        <f t="shared" si="1193"/>
        <v>113.83692121199999</v>
      </c>
      <c r="AC961" s="586">
        <f t="shared" si="1193"/>
        <v>160.04261622299998</v>
      </c>
      <c r="AD961" s="586">
        <f t="shared" si="1193"/>
        <v>195.14388571000001</v>
      </c>
      <c r="AE961" s="586">
        <f t="shared" si="1193"/>
        <v>400.02419062033982</v>
      </c>
      <c r="AF961" s="586">
        <f t="shared" si="1193"/>
        <v>299.79698138730896</v>
      </c>
      <c r="AG961" s="586">
        <f t="shared" si="1193"/>
        <v>273.13898650499351</v>
      </c>
      <c r="AH961" s="586">
        <f t="shared" si="1193"/>
        <v>299.12362381724523</v>
      </c>
      <c r="AI961" s="586">
        <f t="shared" si="1193"/>
        <v>263.4283596288397</v>
      </c>
      <c r="AJ961" s="586">
        <f t="shared" si="1193"/>
        <v>20.429179814419857</v>
      </c>
      <c r="AK961" s="586"/>
      <c r="AL961" s="586"/>
      <c r="AM961" s="586"/>
      <c r="AN961" s="586"/>
      <c r="AO961" s="586"/>
      <c r="AP961" s="586"/>
      <c r="AQ961" s="586"/>
      <c r="AR961" s="586"/>
      <c r="AS961" s="586"/>
      <c r="AT961" s="586"/>
      <c r="BU961" s="327"/>
      <c r="BV961" s="327"/>
      <c r="BW961" s="327"/>
      <c r="BX961" s="327"/>
      <c r="BY961" s="327"/>
      <c r="BZ961" s="327"/>
      <c r="CA961" s="327"/>
      <c r="CB961" s="327"/>
      <c r="CC961" s="327"/>
      <c r="CD961" s="327"/>
      <c r="CE961" s="327"/>
      <c r="CF961" s="327"/>
      <c r="CG961" s="327"/>
      <c r="CH961" s="327"/>
      <c r="CI961" s="327"/>
      <c r="CJ961" s="327"/>
      <c r="CK961" s="327"/>
      <c r="CL961" s="327"/>
      <c r="CM961" s="327"/>
      <c r="CN961" s="327"/>
      <c r="CO961" s="327"/>
      <c r="CP961" s="327"/>
      <c r="CQ961" s="327"/>
      <c r="CR961" s="327"/>
      <c r="CS961" s="327"/>
      <c r="CT961" s="327"/>
      <c r="CU961" s="327"/>
      <c r="CV961" s="327"/>
      <c r="CW961" s="327"/>
      <c r="CX961" s="327"/>
      <c r="CY961" s="279"/>
      <c r="CZ961" s="279"/>
      <c r="DA961" s="279"/>
      <c r="DB961" s="279"/>
      <c r="DC961" s="279"/>
      <c r="DD961" s="279"/>
      <c r="DE961" s="279"/>
      <c r="DF961" s="279"/>
      <c r="DG961" s="327"/>
      <c r="DH961" s="327"/>
      <c r="DI961" s="279"/>
      <c r="DJ961" s="279"/>
      <c r="DK961" s="279"/>
      <c r="DL961" s="279"/>
      <c r="DM961" s="279"/>
      <c r="DN961" s="279"/>
      <c r="DO961" s="279"/>
    </row>
    <row r="962" spans="1:119" hidden="1">
      <c r="A962" s="1"/>
      <c r="B962" s="1"/>
      <c r="C962" s="1"/>
      <c r="D962" s="702" t="s">
        <v>155</v>
      </c>
      <c r="E962" s="74"/>
      <c r="F962" s="113"/>
      <c r="G962" s="113"/>
      <c r="H962" s="113"/>
      <c r="I962" s="113"/>
      <c r="J962" s="586"/>
      <c r="K962" s="586"/>
      <c r="L962" s="586"/>
      <c r="M962" s="586"/>
      <c r="N962" s="586"/>
      <c r="O962" s="586"/>
      <c r="P962" s="586"/>
      <c r="Q962" s="586"/>
      <c r="R962" s="586"/>
      <c r="S962" s="586"/>
      <c r="T962" s="586"/>
      <c r="U962" s="586"/>
      <c r="V962" s="586"/>
      <c r="W962" s="586"/>
      <c r="X962" s="586"/>
      <c r="Y962" s="586"/>
      <c r="Z962" s="586"/>
      <c r="AA962" s="586"/>
      <c r="AB962" s="586"/>
      <c r="AC962" s="586"/>
      <c r="AD962" s="586"/>
      <c r="AE962" s="586"/>
      <c r="AF962" s="586"/>
      <c r="AG962" s="586"/>
      <c r="AH962" s="586"/>
      <c r="AI962" s="586"/>
      <c r="AJ962" s="586"/>
      <c r="AK962" s="586"/>
      <c r="AL962" s="586"/>
      <c r="AM962" s="586"/>
      <c r="AN962" s="586"/>
      <c r="AO962" s="586"/>
      <c r="AP962" s="586"/>
      <c r="AQ962" s="586"/>
      <c r="AR962" s="586"/>
      <c r="AS962" s="586"/>
      <c r="AT962" s="586"/>
      <c r="BU962" s="327"/>
      <c r="BV962" s="327"/>
      <c r="BW962" s="327"/>
      <c r="BX962" s="327"/>
      <c r="BY962" s="327"/>
      <c r="BZ962" s="327"/>
      <c r="CA962" s="327"/>
      <c r="CB962" s="327"/>
      <c r="CC962" s="327"/>
      <c r="CD962" s="327"/>
      <c r="CE962" s="327"/>
      <c r="CF962" s="327"/>
      <c r="CG962" s="327"/>
      <c r="CH962" s="327"/>
      <c r="CI962" s="327"/>
      <c r="CJ962" s="327"/>
      <c r="CK962" s="327"/>
      <c r="CL962" s="327"/>
      <c r="CM962" s="327"/>
      <c r="CN962" s="327"/>
      <c r="CO962" s="327"/>
      <c r="CP962" s="327"/>
      <c r="CQ962" s="327"/>
      <c r="CR962" s="327"/>
      <c r="CS962" s="327"/>
      <c r="CT962" s="327"/>
      <c r="CU962" s="327"/>
      <c r="CV962" s="327"/>
      <c r="CW962" s="327"/>
      <c r="CX962" s="327"/>
      <c r="CY962" s="279"/>
      <c r="CZ962" s="279"/>
      <c r="DA962" s="279"/>
      <c r="DB962" s="279"/>
      <c r="DC962" s="279"/>
      <c r="DD962" s="279"/>
      <c r="DE962" s="279"/>
      <c r="DF962" s="279"/>
      <c r="DG962" s="327"/>
      <c r="DH962" s="327"/>
      <c r="DI962" s="279"/>
      <c r="DJ962" s="279"/>
      <c r="DK962" s="279"/>
      <c r="DL962" s="279"/>
      <c r="DM962" s="279"/>
      <c r="DN962" s="279"/>
      <c r="DO962" s="279"/>
    </row>
    <row r="963" spans="1:119" hidden="1">
      <c r="A963" s="1"/>
      <c r="B963" s="1"/>
      <c r="C963" s="1"/>
      <c r="D963" s="705" t="s">
        <v>156</v>
      </c>
      <c r="E963" s="74"/>
      <c r="F963" s="113"/>
      <c r="G963" s="113"/>
      <c r="H963" s="113"/>
      <c r="I963" s="113"/>
      <c r="J963" s="586">
        <f t="shared" ref="J963:AJ963" si="1194">+J866</f>
        <v>-25.918013528499991</v>
      </c>
      <c r="K963" s="586">
        <f t="shared" si="1194"/>
        <v>-17.8781340285</v>
      </c>
      <c r="L963" s="586">
        <f t="shared" si="1194"/>
        <v>-9.8945499999999953</v>
      </c>
      <c r="M963" s="586">
        <f t="shared" si="1194"/>
        <v>-18.754800000000003</v>
      </c>
      <c r="N963" s="586">
        <f t="shared" si="1194"/>
        <v>-18.83195000000002</v>
      </c>
      <c r="O963" s="586">
        <f t="shared" si="1194"/>
        <v>-4.4472900000000237</v>
      </c>
      <c r="P963" s="586">
        <f t="shared" si="1194"/>
        <v>9.7114226334400087</v>
      </c>
      <c r="Q963" s="586">
        <f t="shared" si="1194"/>
        <v>0.54870158194000851</v>
      </c>
      <c r="R963" s="586">
        <f t="shared" si="1194"/>
        <v>-26.200000000000045</v>
      </c>
      <c r="S963" s="586">
        <f t="shared" si="1194"/>
        <v>-3.4999999999998863</v>
      </c>
      <c r="T963" s="586">
        <f t="shared" si="1194"/>
        <v>-60.5</v>
      </c>
      <c r="U963" s="586">
        <f t="shared" si="1194"/>
        <v>-3.3000000000000682</v>
      </c>
      <c r="V963" s="586">
        <f t="shared" si="1194"/>
        <v>-120.93184835500006</v>
      </c>
      <c r="W963" s="586">
        <f t="shared" si="1194"/>
        <v>-49</v>
      </c>
      <c r="X963" s="586">
        <f t="shared" si="1194"/>
        <v>-234.27843639758316</v>
      </c>
      <c r="Y963" s="586">
        <f t="shared" si="1194"/>
        <v>-203.64884491354496</v>
      </c>
      <c r="Z963" s="586">
        <f t="shared" si="1194"/>
        <v>-302.05950052759749</v>
      </c>
      <c r="AA963" s="586">
        <f t="shared" si="1194"/>
        <v>-251.17559042294602</v>
      </c>
      <c r="AB963" s="586">
        <f t="shared" si="1194"/>
        <v>-327.13213778888797</v>
      </c>
      <c r="AC963" s="586">
        <f t="shared" si="1194"/>
        <v>-367.12734809700419</v>
      </c>
      <c r="AD963" s="586">
        <f t="shared" si="1194"/>
        <v>-611.2833513552539</v>
      </c>
      <c r="AE963" s="586">
        <f t="shared" si="1194"/>
        <v>-1171.0971334578217</v>
      </c>
      <c r="AF963" s="586">
        <f t="shared" si="1194"/>
        <v>-938.72910155907584</v>
      </c>
      <c r="AG963" s="586">
        <f t="shared" si="1194"/>
        <v>6047.2937847698977</v>
      </c>
      <c r="AH963" s="586">
        <f t="shared" si="1194"/>
        <v>9994.9568711701831</v>
      </c>
      <c r="AI963" s="586">
        <f t="shared" si="1194"/>
        <v>11906.642424020956</v>
      </c>
      <c r="AJ963" s="586">
        <f t="shared" si="1194"/>
        <v>-4231.5291306466688</v>
      </c>
      <c r="AK963" s="586"/>
      <c r="AL963" s="586"/>
      <c r="AM963" s="586"/>
      <c r="AN963" s="586"/>
      <c r="AO963" s="586"/>
      <c r="AP963" s="586"/>
      <c r="AQ963" s="586"/>
      <c r="AR963" s="586"/>
      <c r="AS963" s="586"/>
      <c r="AT963" s="586"/>
      <c r="BU963" s="327"/>
      <c r="BV963" s="327"/>
      <c r="BW963" s="327"/>
      <c r="BX963" s="327"/>
      <c r="BY963" s="327"/>
      <c r="BZ963" s="327"/>
      <c r="CA963" s="327"/>
      <c r="CB963" s="327"/>
      <c r="CC963" s="327"/>
      <c r="CD963" s="327"/>
      <c r="CE963" s="327"/>
      <c r="CF963" s="327"/>
      <c r="CG963" s="327"/>
      <c r="CH963" s="327"/>
      <c r="CI963" s="327"/>
      <c r="CJ963" s="327"/>
      <c r="CK963" s="327"/>
      <c r="CL963" s="327"/>
      <c r="CM963" s="327"/>
      <c r="CN963" s="327"/>
      <c r="CO963" s="327"/>
      <c r="CP963" s="327"/>
      <c r="CQ963" s="327"/>
      <c r="CR963" s="327"/>
      <c r="CS963" s="327"/>
      <c r="CT963" s="327"/>
      <c r="CU963" s="327"/>
      <c r="CV963" s="327"/>
      <c r="CW963" s="327"/>
      <c r="CX963" s="327"/>
      <c r="CY963" s="279"/>
      <c r="CZ963" s="279"/>
      <c r="DA963" s="279"/>
      <c r="DB963" s="279"/>
      <c r="DC963" s="279"/>
      <c r="DD963" s="279"/>
      <c r="DE963" s="279"/>
      <c r="DF963" s="279"/>
      <c r="DG963" s="327"/>
      <c r="DH963" s="327"/>
      <c r="DI963" s="279"/>
      <c r="DJ963" s="279"/>
      <c r="DK963" s="279"/>
      <c r="DL963" s="279"/>
      <c r="DM963" s="279"/>
      <c r="DN963" s="279"/>
      <c r="DO963" s="279"/>
    </row>
    <row r="964" spans="1:119" hidden="1">
      <c r="A964" s="1"/>
      <c r="B964" s="1"/>
      <c r="C964" s="1"/>
      <c r="D964" s="705" t="s">
        <v>157</v>
      </c>
      <c r="E964" s="74"/>
      <c r="F964" s="113"/>
      <c r="G964" s="113"/>
      <c r="H964" s="113"/>
      <c r="I964" s="113"/>
      <c r="J964" s="586">
        <f t="shared" ref="J964:AJ964" si="1195">+J867</f>
        <v>-74.131284028500005</v>
      </c>
      <c r="K964" s="586">
        <f t="shared" si="1195"/>
        <v>-87.963184028499995</v>
      </c>
      <c r="L964" s="586">
        <f t="shared" si="1195"/>
        <v>-80.331800000000001</v>
      </c>
      <c r="M964" s="586">
        <f t="shared" si="1195"/>
        <v>-86.239300000000014</v>
      </c>
      <c r="N964" s="586">
        <f t="shared" si="1195"/>
        <v>-92.335800000000035</v>
      </c>
      <c r="O964" s="586">
        <f t="shared" si="1195"/>
        <v>-106.89929000000004</v>
      </c>
      <c r="P964" s="586">
        <f t="shared" si="1195"/>
        <v>-136.87742152049501</v>
      </c>
      <c r="Q964" s="586">
        <f t="shared" si="1195"/>
        <v>-166.22014257199501</v>
      </c>
      <c r="R964" s="586">
        <f t="shared" si="1195"/>
        <v>-181.00000000000006</v>
      </c>
      <c r="S964" s="586">
        <f t="shared" si="1195"/>
        <v>-231.39999999999992</v>
      </c>
      <c r="T964" s="586">
        <f t="shared" si="1195"/>
        <v>-318.2</v>
      </c>
      <c r="U964" s="586">
        <f t="shared" si="1195"/>
        <v>-412.60000000000008</v>
      </c>
      <c r="V964" s="586">
        <f t="shared" si="1195"/>
        <v>-499.95761819000006</v>
      </c>
      <c r="W964" s="586">
        <f t="shared" si="1195"/>
        <v>-506.39999999999986</v>
      </c>
      <c r="X964" s="586">
        <f t="shared" si="1195"/>
        <v>-599.17843639758303</v>
      </c>
      <c r="Y964" s="586">
        <f t="shared" si="1195"/>
        <v>-677.93798607728513</v>
      </c>
      <c r="Z964" s="586">
        <f t="shared" si="1195"/>
        <v>-717.97319804200015</v>
      </c>
      <c r="AA964" s="586">
        <f t="shared" si="1195"/>
        <v>-699.04700485412923</v>
      </c>
      <c r="AB964" s="586">
        <f t="shared" si="1195"/>
        <v>-657.31422173540705</v>
      </c>
      <c r="AC964" s="586">
        <f t="shared" si="1195"/>
        <v>-726.03602496571466</v>
      </c>
      <c r="AD964" s="586">
        <f t="shared" si="1195"/>
        <v>-1092.4626583516151</v>
      </c>
      <c r="AE964" s="586">
        <f t="shared" si="1195"/>
        <v>-1603.1794113359817</v>
      </c>
      <c r="AF964" s="586">
        <f t="shared" si="1195"/>
        <v>-1431.0527865498161</v>
      </c>
      <c r="AG964" s="586">
        <f t="shared" si="1195"/>
        <v>5211.0836502777038</v>
      </c>
      <c r="AH964" s="586">
        <f t="shared" si="1195"/>
        <v>9283.6627182106422</v>
      </c>
      <c r="AI964" s="586">
        <f t="shared" si="1195"/>
        <v>11148.825783430893</v>
      </c>
      <c r="AJ964" s="586">
        <f t="shared" si="1195"/>
        <v>-4854.6021539366293</v>
      </c>
      <c r="AK964" s="586"/>
      <c r="AL964" s="586"/>
      <c r="AM964" s="586"/>
      <c r="AN964" s="586"/>
      <c r="AO964" s="586"/>
      <c r="AP964" s="586"/>
      <c r="AQ964" s="586"/>
      <c r="AR964" s="586"/>
      <c r="AS964" s="586"/>
      <c r="AT964" s="586"/>
      <c r="BU964" s="327"/>
      <c r="BV964" s="327"/>
      <c r="BW964" s="327"/>
      <c r="BX964" s="327"/>
      <c r="BY964" s="327"/>
      <c r="BZ964" s="327"/>
      <c r="CA964" s="327"/>
      <c r="CB964" s="327"/>
      <c r="CC964" s="327"/>
      <c r="CD964" s="327"/>
      <c r="CE964" s="327"/>
      <c r="CF964" s="327"/>
      <c r="CG964" s="327"/>
      <c r="CH964" s="327"/>
      <c r="CI964" s="327"/>
      <c r="CJ964" s="327"/>
      <c r="CK964" s="327"/>
      <c r="CL964" s="327"/>
      <c r="CM964" s="327"/>
      <c r="CN964" s="327"/>
      <c r="CO964" s="327"/>
      <c r="CP964" s="327"/>
      <c r="CQ964" s="327"/>
      <c r="CR964" s="327"/>
      <c r="CS964" s="327"/>
      <c r="CT964" s="327"/>
      <c r="CU964" s="327"/>
      <c r="CV964" s="327"/>
      <c r="CW964" s="327"/>
      <c r="CX964" s="327"/>
      <c r="CY964" s="279"/>
      <c r="CZ964" s="279"/>
      <c r="DA964" s="279"/>
      <c r="DB964" s="279"/>
      <c r="DC964" s="279"/>
      <c r="DD964" s="279"/>
      <c r="DE964" s="279"/>
      <c r="DF964" s="279"/>
      <c r="DG964" s="327"/>
      <c r="DH964" s="327"/>
      <c r="DI964" s="279"/>
      <c r="DJ964" s="279"/>
      <c r="DK964" s="279"/>
      <c r="DL964" s="279"/>
      <c r="DM964" s="279"/>
      <c r="DN964" s="279"/>
      <c r="DO964" s="279"/>
    </row>
    <row r="965" spans="1:119" hidden="1">
      <c r="A965" s="1"/>
      <c r="B965" s="1"/>
      <c r="C965" s="1"/>
      <c r="D965" s="705" t="str">
        <f>D868</f>
        <v>Excluding PKO Pre-financing</v>
      </c>
      <c r="E965" s="74"/>
      <c r="F965" s="113"/>
      <c r="G965" s="113"/>
      <c r="H965" s="113"/>
      <c r="I965" s="113"/>
      <c r="J965" s="586">
        <f t="shared" ref="J965:AJ965" si="1196">+J868</f>
        <v>-25.918013528499984</v>
      </c>
      <c r="K965" s="586">
        <f t="shared" si="1196"/>
        <v>-17.878134028499971</v>
      </c>
      <c r="L965" s="586">
        <f t="shared" si="1196"/>
        <v>-9.8945499999999811</v>
      </c>
      <c r="M965" s="586">
        <f t="shared" si="1196"/>
        <v>-18.754799999999989</v>
      </c>
      <c r="N965" s="586">
        <f t="shared" si="1196"/>
        <v>-18.831950000000006</v>
      </c>
      <c r="O965" s="586">
        <f t="shared" si="1196"/>
        <v>-4.4472900000000379</v>
      </c>
      <c r="P965" s="586">
        <f t="shared" si="1196"/>
        <v>9.7114226334400087</v>
      </c>
      <c r="Q965" s="586">
        <f t="shared" si="1196"/>
        <v>0.54870158194000851</v>
      </c>
      <c r="R965" s="586">
        <f t="shared" si="1196"/>
        <v>-26.200000000000045</v>
      </c>
      <c r="S965" s="586">
        <f t="shared" si="1196"/>
        <v>-3.4999999999998863</v>
      </c>
      <c r="T965" s="586">
        <f t="shared" si="1196"/>
        <v>-60.5</v>
      </c>
      <c r="U965" s="586">
        <f t="shared" si="1196"/>
        <v>-3.3000000000000682</v>
      </c>
      <c r="V965" s="586">
        <f t="shared" si="1196"/>
        <v>-120.93184835500006</v>
      </c>
      <c r="W965" s="586">
        <f t="shared" si="1196"/>
        <v>-49</v>
      </c>
      <c r="X965" s="586">
        <f t="shared" si="1196"/>
        <v>-244.97843639758321</v>
      </c>
      <c r="Y965" s="586">
        <f t="shared" si="1196"/>
        <v>-196.55589919689328</v>
      </c>
      <c r="Z965" s="586">
        <f t="shared" si="1196"/>
        <v>-301.71950052759757</v>
      </c>
      <c r="AA965" s="586">
        <f t="shared" si="1196"/>
        <v>-123.31886676494605</v>
      </c>
      <c r="AB965" s="586">
        <f t="shared" si="1196"/>
        <v>-327.48590900110435</v>
      </c>
      <c r="AC965" s="586">
        <f t="shared" si="1196"/>
        <v>-371.40946294800415</v>
      </c>
      <c r="AD965" s="586">
        <f t="shared" si="1196"/>
        <v>-398.68094299325389</v>
      </c>
      <c r="AE965" s="586">
        <f t="shared" si="1196"/>
        <v>-1156.104743164371</v>
      </c>
      <c r="AF965" s="586">
        <f t="shared" si="1196"/>
        <v>-944.94633527590759</v>
      </c>
      <c r="AG965" s="586">
        <f t="shared" si="1196"/>
        <v>6039.19412328006</v>
      </c>
      <c r="AH965" s="586">
        <f t="shared" si="1196"/>
        <v>9994.9568711701831</v>
      </c>
      <c r="AI965" s="586">
        <f t="shared" si="1196"/>
        <v>11906.64242402096</v>
      </c>
      <c r="AJ965" s="586">
        <f t="shared" si="1196"/>
        <v>-4231.5291306466688</v>
      </c>
      <c r="AK965" s="586"/>
      <c r="AL965" s="586"/>
      <c r="AM965" s="586"/>
      <c r="AN965" s="586"/>
      <c r="AO965" s="586"/>
      <c r="AP965" s="586"/>
      <c r="AQ965" s="586"/>
      <c r="AR965" s="586"/>
      <c r="AS965" s="586"/>
      <c r="AT965" s="586"/>
      <c r="BU965" s="327"/>
      <c r="BV965" s="327"/>
      <c r="BW965" s="327"/>
      <c r="BX965" s="327"/>
      <c r="BY965" s="327"/>
      <c r="BZ965" s="327"/>
      <c r="CA965" s="327"/>
      <c r="CB965" s="327"/>
      <c r="CC965" s="327"/>
      <c r="CD965" s="327"/>
      <c r="CE965" s="327"/>
      <c r="CF965" s="327"/>
      <c r="CG965" s="327"/>
      <c r="CH965" s="327"/>
      <c r="CI965" s="327"/>
      <c r="CJ965" s="327"/>
      <c r="CK965" s="327"/>
      <c r="CL965" s="327"/>
      <c r="CM965" s="327"/>
      <c r="CN965" s="327"/>
      <c r="CO965" s="327"/>
      <c r="CP965" s="327"/>
      <c r="CQ965" s="327"/>
      <c r="CR965" s="327"/>
      <c r="CS965" s="327"/>
      <c r="CT965" s="327"/>
      <c r="CU965" s="327"/>
      <c r="CV965" s="327"/>
      <c r="CW965" s="327"/>
      <c r="CX965" s="327"/>
      <c r="CY965" s="279"/>
      <c r="CZ965" s="279"/>
      <c r="DA965" s="279"/>
      <c r="DB965" s="279"/>
      <c r="DC965" s="279"/>
      <c r="DD965" s="279"/>
      <c r="DE965" s="279"/>
      <c r="DF965" s="279"/>
      <c r="DG965" s="327"/>
      <c r="DH965" s="327"/>
      <c r="DI965" s="279"/>
      <c r="DJ965" s="279"/>
      <c r="DK965" s="279"/>
      <c r="DL965" s="279"/>
      <c r="DM965" s="279"/>
      <c r="DN965" s="279"/>
      <c r="DO965" s="279"/>
    </row>
    <row r="966" spans="1:119" hidden="1">
      <c r="A966" s="1"/>
      <c r="B966" s="1"/>
      <c r="C966" s="1"/>
      <c r="D966" s="705" t="str">
        <f>D869</f>
        <v>Excluding Marriott Net lending</v>
      </c>
      <c r="E966" s="74"/>
      <c r="F966" s="113"/>
      <c r="G966" s="113"/>
      <c r="H966" s="113"/>
      <c r="I966" s="113"/>
      <c r="J966" s="586">
        <f t="shared" ref="J966:AJ966" si="1197">+J869</f>
        <v>-25.918013528499984</v>
      </c>
      <c r="K966" s="586">
        <f t="shared" si="1197"/>
        <v>-17.878134028499971</v>
      </c>
      <c r="L966" s="586">
        <f t="shared" si="1197"/>
        <v>-9.8945499999999811</v>
      </c>
      <c r="M966" s="586">
        <f t="shared" si="1197"/>
        <v>-18.754799999999989</v>
      </c>
      <c r="N966" s="586">
        <f t="shared" si="1197"/>
        <v>-18.831950000000006</v>
      </c>
      <c r="O966" s="586">
        <f t="shared" si="1197"/>
        <v>-4.4472900000000379</v>
      </c>
      <c r="P966" s="586">
        <f t="shared" si="1197"/>
        <v>9.7114226334400087</v>
      </c>
      <c r="Q966" s="586">
        <f t="shared" si="1197"/>
        <v>0.54870158194000851</v>
      </c>
      <c r="R966" s="586">
        <f t="shared" si="1197"/>
        <v>-26.200000000000045</v>
      </c>
      <c r="S966" s="586">
        <f t="shared" si="1197"/>
        <v>-3.4999999999998863</v>
      </c>
      <c r="T966" s="586">
        <f t="shared" si="1197"/>
        <v>-60.5</v>
      </c>
      <c r="U966" s="586">
        <f t="shared" si="1197"/>
        <v>-3.3000000000000682</v>
      </c>
      <c r="V966" s="586">
        <f t="shared" si="1197"/>
        <v>-120.93184835500006</v>
      </c>
      <c r="W966" s="586">
        <f t="shared" si="1197"/>
        <v>-49</v>
      </c>
      <c r="X966" s="586">
        <f t="shared" si="1197"/>
        <v>-234.27843639758316</v>
      </c>
      <c r="Y966" s="586">
        <f t="shared" si="1197"/>
        <v>-202.1017402105474</v>
      </c>
      <c r="Z966" s="586">
        <f t="shared" si="1197"/>
        <v>-300.45950052759758</v>
      </c>
      <c r="AA966" s="586">
        <f t="shared" si="1197"/>
        <v>-249.42946240494598</v>
      </c>
      <c r="AB966" s="586">
        <f t="shared" si="1197"/>
        <v>-324.56296494504409</v>
      </c>
      <c r="AC966" s="586">
        <f t="shared" si="1197"/>
        <v>-364.25164341100412</v>
      </c>
      <c r="AD966" s="586">
        <f t="shared" si="1197"/>
        <v>-611.2833513552539</v>
      </c>
      <c r="AE966" s="586">
        <f t="shared" si="1197"/>
        <v>-1091.0971334578217</v>
      </c>
      <c r="AF966" s="586">
        <f t="shared" si="1197"/>
        <v>-938.72910155907584</v>
      </c>
      <c r="AG966" s="586">
        <f t="shared" si="1197"/>
        <v>6047.2937847698977</v>
      </c>
      <c r="AH966" s="586">
        <f t="shared" si="1197"/>
        <v>9994.9568711701831</v>
      </c>
      <c r="AI966" s="586">
        <f t="shared" si="1197"/>
        <v>11906.642424020956</v>
      </c>
      <c r="AJ966" s="586">
        <f t="shared" si="1197"/>
        <v>-4231.5291306466688</v>
      </c>
      <c r="AK966" s="586"/>
      <c r="AL966" s="586"/>
      <c r="AM966" s="586"/>
      <c r="AN966" s="586"/>
      <c r="AO966" s="586"/>
      <c r="AP966" s="586"/>
      <c r="AQ966" s="586"/>
      <c r="AR966" s="586"/>
      <c r="AS966" s="586"/>
      <c r="AT966" s="586"/>
      <c r="BU966" s="327"/>
      <c r="BV966" s="327"/>
      <c r="BW966" s="327"/>
      <c r="BX966" s="327"/>
      <c r="BY966" s="327"/>
      <c r="BZ966" s="327"/>
      <c r="CA966" s="327"/>
      <c r="CB966" s="327"/>
      <c r="CC966" s="327"/>
      <c r="CD966" s="327"/>
      <c r="CE966" s="327"/>
      <c r="CF966" s="327"/>
      <c r="CG966" s="327"/>
      <c r="CH966" s="327"/>
      <c r="CI966" s="327"/>
      <c r="CJ966" s="327"/>
      <c r="CK966" s="327"/>
      <c r="CL966" s="327"/>
      <c r="CM966" s="327"/>
      <c r="CN966" s="327"/>
      <c r="CO966" s="327"/>
      <c r="CP966" s="327"/>
      <c r="CQ966" s="327"/>
      <c r="CR966" s="327"/>
      <c r="CS966" s="327"/>
      <c r="CT966" s="327"/>
      <c r="CU966" s="327"/>
      <c r="CV966" s="327"/>
      <c r="CW966" s="327"/>
      <c r="CX966" s="327"/>
      <c r="CY966" s="279"/>
      <c r="CZ966" s="279"/>
      <c r="DA966" s="279"/>
      <c r="DB966" s="279"/>
      <c r="DC966" s="279"/>
      <c r="DD966" s="279"/>
      <c r="DE966" s="279"/>
      <c r="DF966" s="279"/>
      <c r="DG966" s="327"/>
      <c r="DH966" s="327"/>
      <c r="DI966" s="279"/>
      <c r="DJ966" s="279"/>
      <c r="DK966" s="279"/>
      <c r="DL966" s="279"/>
      <c r="DM966" s="279"/>
      <c r="DN966" s="279"/>
      <c r="DO966" s="279"/>
    </row>
    <row r="967" spans="1:119" hidden="1">
      <c r="A967" s="1"/>
      <c r="B967" s="1"/>
      <c r="C967" s="1"/>
      <c r="D967" s="705" t="str">
        <f>D870</f>
        <v>Excluding Marriott and PKO</v>
      </c>
      <c r="E967" s="74"/>
      <c r="F967" s="113"/>
      <c r="G967" s="113"/>
      <c r="H967" s="113"/>
      <c r="I967" s="113"/>
      <c r="J967" s="586">
        <f t="shared" ref="J967:AJ967" si="1198">+J870</f>
        <v>-25.918013528499984</v>
      </c>
      <c r="K967" s="586">
        <f t="shared" si="1198"/>
        <v>-17.878134028499971</v>
      </c>
      <c r="L967" s="586">
        <f t="shared" si="1198"/>
        <v>-9.8945499999999811</v>
      </c>
      <c r="M967" s="586">
        <f t="shared" si="1198"/>
        <v>-18.754799999999989</v>
      </c>
      <c r="N967" s="586">
        <f t="shared" si="1198"/>
        <v>-18.831950000000006</v>
      </c>
      <c r="O967" s="586">
        <f t="shared" si="1198"/>
        <v>-4.4472900000000379</v>
      </c>
      <c r="P967" s="586">
        <f t="shared" si="1198"/>
        <v>9.7114226334400087</v>
      </c>
      <c r="Q967" s="586">
        <f t="shared" si="1198"/>
        <v>0.54870158194000851</v>
      </c>
      <c r="R967" s="586">
        <f t="shared" si="1198"/>
        <v>-26.200000000000045</v>
      </c>
      <c r="S967" s="586">
        <f t="shared" si="1198"/>
        <v>-3.4999999999998863</v>
      </c>
      <c r="T967" s="586">
        <f t="shared" si="1198"/>
        <v>-60.5</v>
      </c>
      <c r="U967" s="586">
        <f t="shared" si="1198"/>
        <v>-3.3000000000000682</v>
      </c>
      <c r="V967" s="586">
        <f t="shared" si="1198"/>
        <v>-120.93184835500006</v>
      </c>
      <c r="W967" s="586">
        <f t="shared" si="1198"/>
        <v>-49</v>
      </c>
      <c r="X967" s="586">
        <f t="shared" si="1198"/>
        <v>-244.97843639758321</v>
      </c>
      <c r="Y967" s="586">
        <f t="shared" si="1198"/>
        <v>-195.00879449389572</v>
      </c>
      <c r="Z967" s="586">
        <f t="shared" si="1198"/>
        <v>-300.11950052759767</v>
      </c>
      <c r="AA967" s="586">
        <f t="shared" si="1198"/>
        <v>-121.57273874694602</v>
      </c>
      <c r="AB967" s="586">
        <f t="shared" si="1198"/>
        <v>-324.91080343810427</v>
      </c>
      <c r="AC967" s="586">
        <f t="shared" si="1198"/>
        <v>-368.53375826200408</v>
      </c>
      <c r="AD967" s="586">
        <f t="shared" si="1198"/>
        <v>-398.68094299325389</v>
      </c>
      <c r="AE967" s="586">
        <f t="shared" si="1198"/>
        <v>-1076.104743164371</v>
      </c>
      <c r="AF967" s="586">
        <f t="shared" si="1198"/>
        <v>-944.94633527590759</v>
      </c>
      <c r="AG967" s="586">
        <f t="shared" si="1198"/>
        <v>6039.19412328006</v>
      </c>
      <c r="AH967" s="586">
        <f t="shared" si="1198"/>
        <v>9994.9568711701831</v>
      </c>
      <c r="AI967" s="586">
        <f t="shared" si="1198"/>
        <v>11906.64242402096</v>
      </c>
      <c r="AJ967" s="586">
        <f t="shared" si="1198"/>
        <v>-4231.5291306466688</v>
      </c>
      <c r="AK967" s="586"/>
      <c r="AL967" s="586"/>
      <c r="AM967" s="586"/>
      <c r="AN967" s="586"/>
      <c r="AO967" s="586"/>
      <c r="AP967" s="586"/>
      <c r="AQ967" s="586"/>
      <c r="AR967" s="586"/>
      <c r="AS967" s="586"/>
      <c r="AT967" s="586"/>
      <c r="BU967" s="327"/>
      <c r="BV967" s="327"/>
      <c r="BW967" s="327"/>
      <c r="BX967" s="327"/>
      <c r="BY967" s="327"/>
      <c r="BZ967" s="327"/>
      <c r="CA967" s="327"/>
      <c r="CB967" s="327"/>
      <c r="CC967" s="327"/>
      <c r="CD967" s="327"/>
      <c r="CE967" s="327"/>
      <c r="CF967" s="327"/>
      <c r="CG967" s="327"/>
      <c r="CH967" s="327"/>
      <c r="CI967" s="327"/>
      <c r="CJ967" s="327"/>
      <c r="CK967" s="327"/>
      <c r="CL967" s="327"/>
      <c r="CM967" s="327"/>
      <c r="CN967" s="327"/>
      <c r="CO967" s="327"/>
      <c r="CP967" s="327"/>
      <c r="CQ967" s="327"/>
      <c r="CR967" s="327"/>
      <c r="CS967" s="327"/>
      <c r="CT967" s="327"/>
      <c r="CU967" s="327"/>
      <c r="CV967" s="327"/>
      <c r="CW967" s="327"/>
      <c r="CX967" s="327"/>
      <c r="CY967" s="279"/>
      <c r="CZ967" s="279"/>
      <c r="DA967" s="279"/>
      <c r="DB967" s="279"/>
      <c r="DC967" s="279"/>
      <c r="DD967" s="279"/>
      <c r="DE967" s="279"/>
      <c r="DF967" s="279"/>
      <c r="DG967" s="327"/>
      <c r="DH967" s="327"/>
      <c r="DI967" s="279"/>
      <c r="DJ967" s="279"/>
      <c r="DK967" s="279"/>
      <c r="DL967" s="279"/>
      <c r="DM967" s="279"/>
      <c r="DN967" s="279"/>
      <c r="DO967" s="279"/>
    </row>
    <row r="968" spans="1:119" hidden="1">
      <c r="A968" s="1"/>
      <c r="B968" s="1"/>
      <c r="C968" s="1"/>
      <c r="D968" s="705" t="str">
        <f>D871</f>
        <v>Excluding Marriott, PKO, Emergencies and COVID-19</v>
      </c>
      <c r="E968" s="74"/>
      <c r="F968" s="113"/>
      <c r="G968" s="113"/>
      <c r="H968" s="113"/>
      <c r="I968" s="113"/>
      <c r="J968" s="586">
        <f t="shared" ref="J968:AJ968" si="1199">+J871</f>
        <v>-25.918013528499984</v>
      </c>
      <c r="K968" s="586">
        <f t="shared" si="1199"/>
        <v>-17.878134028499971</v>
      </c>
      <c r="L968" s="586">
        <f t="shared" si="1199"/>
        <v>-9.8945499999999811</v>
      </c>
      <c r="M968" s="586">
        <f t="shared" si="1199"/>
        <v>-18.754799999999989</v>
      </c>
      <c r="N968" s="586">
        <f t="shared" si="1199"/>
        <v>-18.831950000000006</v>
      </c>
      <c r="O968" s="586">
        <f t="shared" si="1199"/>
        <v>-4.4472900000000379</v>
      </c>
      <c r="P968" s="586">
        <f t="shared" si="1199"/>
        <v>9.7114226334400087</v>
      </c>
      <c r="Q968" s="586">
        <f t="shared" si="1199"/>
        <v>0.54870158194000851</v>
      </c>
      <c r="R968" s="586">
        <f t="shared" si="1199"/>
        <v>-26.200000000000045</v>
      </c>
      <c r="S968" s="586">
        <f t="shared" si="1199"/>
        <v>-3.4999999999998863</v>
      </c>
      <c r="T968" s="586">
        <f t="shared" si="1199"/>
        <v>-60.5</v>
      </c>
      <c r="U968" s="586">
        <f t="shared" si="1199"/>
        <v>-3.3000000000000682</v>
      </c>
      <c r="V968" s="586">
        <f t="shared" si="1199"/>
        <v>-120.93184835500006</v>
      </c>
      <c r="W968" s="586">
        <f t="shared" si="1199"/>
        <v>-49</v>
      </c>
      <c r="X968" s="586">
        <f t="shared" si="1199"/>
        <v>-244.97843639758321</v>
      </c>
      <c r="Y968" s="586">
        <f t="shared" si="1199"/>
        <v>-195.00879449389572</v>
      </c>
      <c r="Z968" s="586">
        <f t="shared" si="1199"/>
        <v>-300.11950052759767</v>
      </c>
      <c r="AA968" s="586">
        <f t="shared" si="1199"/>
        <v>-121.57273874694602</v>
      </c>
      <c r="AB968" s="586">
        <f t="shared" si="1199"/>
        <v>-324.91080343810427</v>
      </c>
      <c r="AC968" s="586">
        <f t="shared" si="1199"/>
        <v>-368.53375826200408</v>
      </c>
      <c r="AD968" s="586">
        <f t="shared" si="1199"/>
        <v>-398.68094299325389</v>
      </c>
      <c r="AE968" s="586">
        <f t="shared" si="1199"/>
        <v>-656.19767122235498</v>
      </c>
      <c r="AF968" s="586">
        <f t="shared" si="1199"/>
        <v>-410.42448111772819</v>
      </c>
      <c r="AG968" s="586">
        <f t="shared" si="1199"/>
        <v>6039.19412328006</v>
      </c>
      <c r="AH968" s="586">
        <f t="shared" si="1199"/>
        <v>9994.9568711701831</v>
      </c>
      <c r="AI968" s="586">
        <f t="shared" si="1199"/>
        <v>11906.64242402096</v>
      </c>
      <c r="AJ968" s="586">
        <f t="shared" si="1199"/>
        <v>-4231.5291306466688</v>
      </c>
      <c r="AK968" s="586"/>
      <c r="AL968" s="586"/>
      <c r="AM968" s="586"/>
      <c r="AN968" s="586"/>
      <c r="AO968" s="586"/>
      <c r="AP968" s="586"/>
      <c r="AQ968" s="586"/>
      <c r="AR968" s="586"/>
      <c r="AS968" s="586"/>
      <c r="AT968" s="586"/>
      <c r="BU968" s="327"/>
      <c r="BV968" s="327"/>
      <c r="BW968" s="327"/>
      <c r="BX968" s="327"/>
      <c r="BY968" s="327"/>
      <c r="BZ968" s="327"/>
      <c r="CA968" s="327"/>
      <c r="CB968" s="327"/>
      <c r="CC968" s="327"/>
      <c r="CD968" s="327"/>
      <c r="CE968" s="327"/>
      <c r="CF968" s="327"/>
      <c r="CG968" s="327"/>
      <c r="CH968" s="327"/>
      <c r="CI968" s="327"/>
      <c r="CJ968" s="327"/>
      <c r="CK968" s="327"/>
      <c r="CL968" s="327"/>
      <c r="CM968" s="327"/>
      <c r="CN968" s="327"/>
      <c r="CO968" s="327"/>
      <c r="CP968" s="327"/>
      <c r="CQ968" s="327"/>
      <c r="CR968" s="327"/>
      <c r="CS968" s="327"/>
      <c r="CT968" s="327"/>
      <c r="CU968" s="327"/>
      <c r="CV968" s="327"/>
      <c r="CW968" s="327"/>
      <c r="CX968" s="327"/>
      <c r="CY968" s="279"/>
      <c r="CZ968" s="279"/>
      <c r="DA968" s="279"/>
      <c r="DB968" s="279"/>
      <c r="DC968" s="279"/>
      <c r="DD968" s="279"/>
      <c r="DE968" s="279"/>
      <c r="DF968" s="279"/>
      <c r="DG968" s="327"/>
      <c r="DH968" s="327"/>
      <c r="DI968" s="279"/>
      <c r="DJ968" s="279"/>
      <c r="DK968" s="279"/>
      <c r="DL968" s="279"/>
      <c r="DM968" s="279"/>
      <c r="DN968" s="279"/>
      <c r="DO968" s="279"/>
    </row>
    <row r="969" spans="1:119" hidden="1">
      <c r="A969" s="1"/>
      <c r="B969" s="1"/>
      <c r="C969" s="1"/>
      <c r="D969" s="702" t="s">
        <v>841</v>
      </c>
      <c r="E969" s="74"/>
      <c r="F969" s="113"/>
      <c r="G969" s="113"/>
      <c r="H969" s="113"/>
      <c r="I969" s="113"/>
      <c r="J969" s="586">
        <f t="shared" ref="J969:AJ969" si="1200">+J872</f>
        <v>-10.78265</v>
      </c>
      <c r="K969" s="586">
        <f t="shared" si="1200"/>
        <v>-18.132550000000002</v>
      </c>
      <c r="L969" s="586">
        <f t="shared" si="1200"/>
        <v>-16.849900000000002</v>
      </c>
      <c r="M969" s="586">
        <f t="shared" si="1200"/>
        <v>-2.3646500000000001</v>
      </c>
      <c r="N969" s="586">
        <f t="shared" si="1200"/>
        <v>-10.005649999999999</v>
      </c>
      <c r="O969" s="586">
        <f t="shared" si="1200"/>
        <v>-13.6645</v>
      </c>
      <c r="P969" s="586">
        <f t="shared" si="1200"/>
        <v>-8.4254999999999995</v>
      </c>
      <c r="Q969" s="586">
        <f t="shared" si="1200"/>
        <v>-8.6295999999999999</v>
      </c>
      <c r="R969" s="586">
        <f t="shared" si="1200"/>
        <v>-7</v>
      </c>
      <c r="S969" s="586">
        <f t="shared" si="1200"/>
        <v>-8.6</v>
      </c>
      <c r="T969" s="586">
        <f t="shared" si="1200"/>
        <v>-9</v>
      </c>
      <c r="U969" s="586">
        <f t="shared" si="1200"/>
        <v>-11.2</v>
      </c>
      <c r="V969" s="586">
        <f t="shared" si="1200"/>
        <v>-11.852389999999996</v>
      </c>
      <c r="W969" s="586">
        <f t="shared" si="1200"/>
        <v>-13.7</v>
      </c>
      <c r="X969" s="586">
        <f t="shared" si="1200"/>
        <v>-9.1000000000000014</v>
      </c>
      <c r="Y969" s="586">
        <f t="shared" si="1200"/>
        <v>-16.126089724000028</v>
      </c>
      <c r="Z969" s="586">
        <f t="shared" si="1200"/>
        <v>5</v>
      </c>
      <c r="AA969" s="586">
        <f t="shared" si="1200"/>
        <v>-27.618025554000013</v>
      </c>
      <c r="AB969" s="586">
        <f t="shared" si="1200"/>
        <v>39.965229826000012</v>
      </c>
      <c r="AC969" s="586">
        <f t="shared" si="1200"/>
        <v>-25.061232288000014</v>
      </c>
      <c r="AD969" s="586">
        <f t="shared" si="1200"/>
        <v>55.122620192000042</v>
      </c>
      <c r="AE969" s="586">
        <f t="shared" si="1200"/>
        <v>-55.1</v>
      </c>
      <c r="AF969" s="586">
        <f t="shared" si="1200"/>
        <v>-35.228921278959099</v>
      </c>
      <c r="AG969" s="586">
        <f t="shared" si="1200"/>
        <v>-40</v>
      </c>
      <c r="AH969" s="586">
        <f t="shared" si="1200"/>
        <v>-40</v>
      </c>
      <c r="AI969" s="586">
        <f t="shared" si="1200"/>
        <v>-40</v>
      </c>
      <c r="AJ969" s="586">
        <f t="shared" si="1200"/>
        <v>-40</v>
      </c>
      <c r="AK969" s="586"/>
      <c r="AL969" s="586"/>
      <c r="AM969" s="586"/>
      <c r="AN969" s="586"/>
      <c r="AO969" s="586"/>
      <c r="AP969" s="586"/>
      <c r="AQ969" s="586"/>
      <c r="AR969" s="586"/>
      <c r="AS969" s="586"/>
      <c r="AT969" s="586"/>
      <c r="BU969" s="327"/>
      <c r="BV969" s="327"/>
      <c r="BW969" s="327"/>
      <c r="BX969" s="327"/>
      <c r="BY969" s="327"/>
      <c r="BZ969" s="327"/>
      <c r="CA969" s="327"/>
      <c r="CB969" s="327"/>
      <c r="CC969" s="327"/>
      <c r="CD969" s="327"/>
      <c r="CE969" s="327"/>
      <c r="CF969" s="327"/>
      <c r="CG969" s="327"/>
      <c r="CH969" s="327"/>
      <c r="CI969" s="327"/>
      <c r="CJ969" s="327"/>
      <c r="CK969" s="327"/>
      <c r="CL969" s="327"/>
      <c r="CM969" s="327"/>
      <c r="CN969" s="327"/>
      <c r="CO969" s="327"/>
      <c r="CP969" s="327"/>
      <c r="CQ969" s="327"/>
      <c r="CR969" s="327"/>
      <c r="CS969" s="327"/>
      <c r="CT969" s="327"/>
      <c r="CU969" s="327"/>
      <c r="CV969" s="327"/>
      <c r="CW969" s="327"/>
      <c r="CX969" s="327"/>
      <c r="CY969" s="279"/>
      <c r="CZ969" s="279"/>
      <c r="DA969" s="279"/>
      <c r="DB969" s="279"/>
      <c r="DC969" s="279"/>
      <c r="DD969" s="279"/>
      <c r="DE969" s="279"/>
      <c r="DF969" s="279"/>
      <c r="DG969" s="327"/>
      <c r="DH969" s="327"/>
      <c r="DI969" s="279"/>
      <c r="DJ969" s="279"/>
      <c r="DK969" s="279"/>
      <c r="DL969" s="279"/>
      <c r="DM969" s="279"/>
      <c r="DN969" s="279"/>
      <c r="DO969" s="279"/>
    </row>
    <row r="970" spans="1:119" hidden="1">
      <c r="A970" s="1"/>
      <c r="B970" s="1"/>
      <c r="C970" s="1"/>
      <c r="D970" s="705" t="str">
        <f>+D873</f>
        <v>Domestic</v>
      </c>
      <c r="E970" s="74"/>
      <c r="F970" s="113"/>
      <c r="G970" s="113"/>
      <c r="H970" s="113"/>
      <c r="I970" s="113"/>
      <c r="J970" s="586">
        <f t="shared" ref="J970:AJ970" si="1201">+J873</f>
        <v>-3.9</v>
      </c>
      <c r="K970" s="586">
        <f t="shared" si="1201"/>
        <v>-4.8239999999999998</v>
      </c>
      <c r="L970" s="586">
        <f t="shared" si="1201"/>
        <v>-9.873899999999999</v>
      </c>
      <c r="M970" s="586">
        <f t="shared" si="1201"/>
        <v>-8.8498999999999999</v>
      </c>
      <c r="N970" s="586">
        <f t="shared" si="1201"/>
        <v>-2.3646500000000001</v>
      </c>
      <c r="O970" s="586">
        <f t="shared" si="1201"/>
        <v>-10.005649999999999</v>
      </c>
      <c r="P970" s="586">
        <f t="shared" si="1201"/>
        <v>-13.6645</v>
      </c>
      <c r="Q970" s="586">
        <f t="shared" si="1201"/>
        <v>-8.4254999999999995</v>
      </c>
      <c r="R970" s="586">
        <f t="shared" si="1201"/>
        <v>-7</v>
      </c>
      <c r="S970" s="586">
        <f t="shared" si="1201"/>
        <v>-8.6</v>
      </c>
      <c r="T970" s="586">
        <f t="shared" si="1201"/>
        <v>-9</v>
      </c>
      <c r="U970" s="586">
        <f t="shared" si="1201"/>
        <v>-11.2</v>
      </c>
      <c r="V970" s="586">
        <f t="shared" si="1201"/>
        <v>-11.852389999999996</v>
      </c>
      <c r="W970" s="586">
        <f t="shared" si="1201"/>
        <v>-13.7</v>
      </c>
      <c r="X970" s="586">
        <f t="shared" si="1201"/>
        <v>-9.1000000000000014</v>
      </c>
      <c r="Y970" s="586">
        <f t="shared" si="1201"/>
        <v>-16.126089724000028</v>
      </c>
      <c r="Z970" s="586">
        <f t="shared" si="1201"/>
        <v>5</v>
      </c>
      <c r="AA970" s="586">
        <f t="shared" si="1201"/>
        <v>-27.618025554000013</v>
      </c>
      <c r="AB970" s="586">
        <f t="shared" si="1201"/>
        <v>39.965229826000012</v>
      </c>
      <c r="AC970" s="586">
        <f t="shared" si="1201"/>
        <v>-25.061232288000014</v>
      </c>
      <c r="AD970" s="586">
        <f t="shared" si="1201"/>
        <v>55.122620192000042</v>
      </c>
      <c r="AE970" s="586">
        <f t="shared" si="1201"/>
        <v>-55.1</v>
      </c>
      <c r="AF970" s="586">
        <f t="shared" si="1201"/>
        <v>-35.228921278959099</v>
      </c>
      <c r="AG970" s="586">
        <f t="shared" si="1201"/>
        <v>-40</v>
      </c>
      <c r="AH970" s="586">
        <f t="shared" si="1201"/>
        <v>-40</v>
      </c>
      <c r="AI970" s="586">
        <f t="shared" si="1201"/>
        <v>-40</v>
      </c>
      <c r="AJ970" s="586">
        <f t="shared" si="1201"/>
        <v>-40</v>
      </c>
      <c r="AK970" s="586"/>
      <c r="AL970" s="586"/>
      <c r="AM970" s="586"/>
      <c r="AN970" s="586"/>
      <c r="AO970" s="586"/>
      <c r="AP970" s="586"/>
      <c r="AQ970" s="586"/>
      <c r="AR970" s="586"/>
      <c r="AS970" s="586"/>
      <c r="AT970" s="586"/>
      <c r="BU970" s="327"/>
      <c r="BV970" s="327"/>
      <c r="BW970" s="327"/>
      <c r="BX970" s="327"/>
      <c r="BY970" s="327"/>
      <c r="BZ970" s="327"/>
      <c r="CA970" s="327"/>
      <c r="CB970" s="327"/>
      <c r="CC970" s="327"/>
      <c r="CD970" s="327"/>
      <c r="CE970" s="327"/>
      <c r="CF970" s="327"/>
      <c r="CG970" s="327"/>
      <c r="CH970" s="327"/>
      <c r="CI970" s="327"/>
      <c r="CJ970" s="327"/>
      <c r="CK970" s="327"/>
      <c r="CL970" s="327"/>
      <c r="CM970" s="327"/>
      <c r="CN970" s="327"/>
      <c r="CO970" s="327"/>
      <c r="CP970" s="327"/>
      <c r="CQ970" s="327"/>
      <c r="CR970" s="327"/>
      <c r="CS970" s="327"/>
      <c r="CT970" s="327"/>
      <c r="CU970" s="327"/>
      <c r="CV970" s="327"/>
      <c r="CW970" s="327"/>
      <c r="CX970" s="327"/>
      <c r="CY970" s="279"/>
      <c r="CZ970" s="279"/>
      <c r="DA970" s="279"/>
      <c r="DB970" s="279"/>
      <c r="DC970" s="279"/>
      <c r="DD970" s="279"/>
      <c r="DE970" s="279"/>
      <c r="DF970" s="279"/>
      <c r="DG970" s="327"/>
      <c r="DH970" s="327"/>
      <c r="DI970" s="279"/>
      <c r="DJ970" s="279"/>
      <c r="DK970" s="279"/>
      <c r="DL970" s="279"/>
      <c r="DM970" s="279"/>
      <c r="DN970" s="279"/>
      <c r="DO970" s="279"/>
    </row>
    <row r="971" spans="1:119" hidden="1">
      <c r="A971" s="1"/>
      <c r="B971" s="1"/>
      <c r="C971" s="1"/>
      <c r="D971" s="705"/>
      <c r="E971" s="74"/>
      <c r="F971" s="113"/>
      <c r="G971" s="113"/>
      <c r="H971" s="113"/>
      <c r="I971" s="113"/>
      <c r="J971" s="586"/>
      <c r="K971" s="586"/>
      <c r="L971" s="586"/>
      <c r="M971" s="586"/>
      <c r="N971" s="586"/>
      <c r="O971" s="586"/>
      <c r="P971" s="586"/>
      <c r="Q971" s="586"/>
      <c r="R971" s="586"/>
      <c r="S971" s="586"/>
      <c r="T971" s="586"/>
      <c r="U971" s="586"/>
      <c r="V971" s="586"/>
      <c r="W971" s="586"/>
      <c r="X971" s="586"/>
      <c r="Y971" s="586"/>
      <c r="Z971" s="586"/>
      <c r="AA971" s="586"/>
      <c r="AB971" s="586"/>
      <c r="AC971" s="586"/>
      <c r="AD971" s="586"/>
      <c r="AE971" s="586"/>
      <c r="AF971" s="586"/>
      <c r="AG971" s="586"/>
      <c r="AH971" s="586"/>
      <c r="AI971" s="586"/>
      <c r="AJ971" s="586"/>
      <c r="AK971" s="586"/>
      <c r="AL971" s="586"/>
      <c r="AM971" s="586"/>
      <c r="AN971" s="586"/>
      <c r="AO971" s="586"/>
      <c r="AP971" s="586"/>
      <c r="AQ971" s="586"/>
      <c r="AR971" s="586"/>
      <c r="AS971" s="586"/>
      <c r="AT971" s="586"/>
      <c r="BU971" s="327"/>
      <c r="BV971" s="327"/>
      <c r="BW971" s="327"/>
      <c r="BX971" s="327"/>
      <c r="BY971" s="327"/>
      <c r="BZ971" s="327"/>
      <c r="CA971" s="327"/>
      <c r="CB971" s="327"/>
      <c r="CC971" s="327"/>
      <c r="CD971" s="327"/>
      <c r="CE971" s="327"/>
      <c r="CF971" s="327"/>
      <c r="CG971" s="327"/>
      <c r="CH971" s="327"/>
      <c r="CI971" s="327"/>
      <c r="CJ971" s="327"/>
      <c r="CK971" s="327"/>
      <c r="CL971" s="327"/>
      <c r="CM971" s="327"/>
      <c r="CN971" s="327"/>
      <c r="CO971" s="327"/>
      <c r="CP971" s="327"/>
      <c r="CQ971" s="327"/>
      <c r="CR971" s="327"/>
      <c r="CS971" s="327"/>
      <c r="CT971" s="327"/>
      <c r="CU971" s="327"/>
      <c r="CV971" s="327"/>
      <c r="CW971" s="327"/>
      <c r="CX971" s="327"/>
      <c r="CY971" s="279"/>
      <c r="CZ971" s="279"/>
      <c r="DA971" s="279"/>
      <c r="DB971" s="279"/>
      <c r="DC971" s="279"/>
      <c r="DD971" s="279"/>
      <c r="DE971" s="279"/>
      <c r="DF971" s="279"/>
      <c r="DG971" s="327"/>
      <c r="DH971" s="327"/>
      <c r="DI971" s="279"/>
      <c r="DJ971" s="279"/>
      <c r="DK971" s="279"/>
      <c r="DL971" s="279"/>
      <c r="DM971" s="279"/>
      <c r="DN971" s="279"/>
      <c r="DO971" s="279"/>
    </row>
    <row r="972" spans="1:119" hidden="1">
      <c r="A972" s="1"/>
      <c r="B972" s="1"/>
      <c r="C972" s="1"/>
      <c r="D972" s="702" t="s">
        <v>159</v>
      </c>
      <c r="E972" s="74"/>
      <c r="F972" s="113"/>
      <c r="G972" s="113"/>
      <c r="H972" s="113"/>
      <c r="I972" s="113"/>
      <c r="J972" s="586"/>
      <c r="K972" s="586"/>
      <c r="L972" s="586"/>
      <c r="M972" s="586"/>
      <c r="N972" s="586"/>
      <c r="O972" s="586"/>
      <c r="P972" s="586"/>
      <c r="Q972" s="586"/>
      <c r="R972" s="586"/>
      <c r="S972" s="586"/>
      <c r="T972" s="586"/>
      <c r="U972" s="586"/>
      <c r="V972" s="586"/>
      <c r="W972" s="586"/>
      <c r="X972" s="586"/>
      <c r="Y972" s="586"/>
      <c r="Z972" s="586"/>
      <c r="AA972" s="586"/>
      <c r="AB972" s="586"/>
      <c r="AC972" s="586"/>
      <c r="AD972" s="586"/>
      <c r="AE972" s="586"/>
      <c r="AF972" s="586"/>
      <c r="AG972" s="586"/>
      <c r="AH972" s="586"/>
      <c r="AI972" s="586"/>
      <c r="AJ972" s="586"/>
      <c r="AK972" s="586"/>
      <c r="AL972" s="586"/>
      <c r="AM972" s="586"/>
      <c r="AN972" s="586"/>
      <c r="AO972" s="586"/>
      <c r="AP972" s="586"/>
      <c r="AQ972" s="586"/>
      <c r="AR972" s="586"/>
      <c r="AS972" s="586"/>
      <c r="AT972" s="586"/>
      <c r="BU972" s="327"/>
      <c r="BV972" s="327"/>
      <c r="BW972" s="327"/>
      <c r="BX972" s="327"/>
      <c r="BY972" s="327"/>
      <c r="BZ972" s="327"/>
      <c r="CA972" s="327"/>
      <c r="CB972" s="327"/>
      <c r="CC972" s="327"/>
      <c r="CD972" s="327"/>
      <c r="CE972" s="327"/>
      <c r="CF972" s="327"/>
      <c r="CG972" s="327"/>
      <c r="CH972" s="327"/>
      <c r="CI972" s="327"/>
      <c r="CJ972" s="327"/>
      <c r="CK972" s="327"/>
      <c r="CL972" s="327"/>
      <c r="CM972" s="327"/>
      <c r="CN972" s="327"/>
      <c r="CO972" s="327"/>
      <c r="CP972" s="327"/>
      <c r="CQ972" s="327"/>
      <c r="CR972" s="327"/>
      <c r="CS972" s="327"/>
      <c r="CT972" s="327"/>
      <c r="CU972" s="327"/>
      <c r="CV972" s="327"/>
      <c r="CW972" s="327"/>
      <c r="CX972" s="327"/>
      <c r="CY972" s="279"/>
      <c r="CZ972" s="279"/>
      <c r="DA972" s="279"/>
      <c r="DB972" s="279"/>
      <c r="DC972" s="279"/>
      <c r="DD972" s="279"/>
      <c r="DE972" s="279"/>
      <c r="DF972" s="279"/>
      <c r="DG972" s="327"/>
      <c r="DH972" s="327"/>
      <c r="DI972" s="279"/>
      <c r="DJ972" s="279"/>
      <c r="DK972" s="279"/>
      <c r="DL972" s="279"/>
      <c r="DM972" s="279"/>
      <c r="DN972" s="279"/>
      <c r="DO972" s="279"/>
    </row>
    <row r="973" spans="1:119" hidden="1">
      <c r="A973" s="1"/>
      <c r="B973" s="1"/>
      <c r="C973" s="1"/>
      <c r="D973" s="705" t="s">
        <v>156</v>
      </c>
      <c r="E973" s="74"/>
      <c r="F973" s="113"/>
      <c r="G973" s="113"/>
      <c r="H973" s="113"/>
      <c r="I973" s="113"/>
      <c r="J973" s="586">
        <f t="shared" ref="J973:AJ973" si="1202">+J876</f>
        <v>-46.668013528499991</v>
      </c>
      <c r="K973" s="586">
        <f t="shared" si="1202"/>
        <v>-28.660784028499997</v>
      </c>
      <c r="L973" s="586">
        <f t="shared" si="1202"/>
        <v>-28.027099999999997</v>
      </c>
      <c r="M973" s="586">
        <f t="shared" si="1202"/>
        <v>-35.604700000000001</v>
      </c>
      <c r="N973" s="586">
        <f t="shared" si="1202"/>
        <v>-21.196600000000018</v>
      </c>
      <c r="O973" s="586">
        <f t="shared" si="1202"/>
        <v>-14.452940000000023</v>
      </c>
      <c r="P973" s="586">
        <f t="shared" si="1202"/>
        <v>-3.9530773665599908</v>
      </c>
      <c r="Q973" s="586">
        <f t="shared" si="1202"/>
        <v>-7.8767984180599901</v>
      </c>
      <c r="R973" s="586">
        <f t="shared" si="1202"/>
        <v>-33.200000000000045</v>
      </c>
      <c r="S973" s="586">
        <f t="shared" si="1202"/>
        <v>-12.099999999999886</v>
      </c>
      <c r="T973" s="586">
        <f t="shared" si="1202"/>
        <v>-69.5</v>
      </c>
      <c r="U973" s="586">
        <f t="shared" si="1202"/>
        <v>-14.500000000000068</v>
      </c>
      <c r="V973" s="586">
        <f t="shared" si="1202"/>
        <v>-132.78423835500004</v>
      </c>
      <c r="W973" s="586">
        <f t="shared" si="1202"/>
        <v>-62.7</v>
      </c>
      <c r="X973" s="586">
        <f t="shared" si="1202"/>
        <v>-243.37843639758316</v>
      </c>
      <c r="Y973" s="586">
        <f t="shared" si="1202"/>
        <v>-219.77493463754499</v>
      </c>
      <c r="Z973" s="586">
        <f t="shared" si="1202"/>
        <v>-297.05950052759749</v>
      </c>
      <c r="AA973" s="586">
        <f t="shared" si="1202"/>
        <v>-278.79361597694606</v>
      </c>
      <c r="AB973" s="586">
        <f t="shared" si="1202"/>
        <v>-347.24742086788802</v>
      </c>
      <c r="AC973" s="586">
        <f t="shared" si="1202"/>
        <v>-392.18858038500423</v>
      </c>
      <c r="AD973" s="586">
        <f t="shared" si="1202"/>
        <v>-556.1607311632539</v>
      </c>
      <c r="AE973" s="586">
        <f t="shared" si="1202"/>
        <v>-1226.1971334578216</v>
      </c>
      <c r="AF973" s="586">
        <f t="shared" si="1202"/>
        <v>-973.95802283803494</v>
      </c>
      <c r="AG973" s="586">
        <f t="shared" si="1202"/>
        <v>6007.2937847698977</v>
      </c>
      <c r="AH973" s="586">
        <f t="shared" si="1202"/>
        <v>9954.9568711701831</v>
      </c>
      <c r="AI973" s="586">
        <f t="shared" si="1202"/>
        <v>11866.642424020956</v>
      </c>
      <c r="AJ973" s="586">
        <f t="shared" si="1202"/>
        <v>-4271.5291306466688</v>
      </c>
      <c r="AK973" s="586"/>
      <c r="AL973" s="586"/>
      <c r="AM973" s="586"/>
      <c r="AN973" s="586"/>
      <c r="AO973" s="586"/>
      <c r="AP973" s="586"/>
      <c r="AQ973" s="586"/>
      <c r="AR973" s="586"/>
      <c r="AS973" s="586"/>
      <c r="AT973" s="586"/>
      <c r="BU973" s="279"/>
      <c r="BV973" s="279"/>
      <c r="BW973" s="279"/>
      <c r="BX973" s="279"/>
      <c r="BY973" s="279"/>
      <c r="BZ973" s="279"/>
      <c r="CA973" s="279"/>
      <c r="CB973" s="279"/>
      <c r="CC973" s="279"/>
      <c r="CD973" s="279"/>
      <c r="CE973" s="279"/>
      <c r="CF973" s="279"/>
      <c r="CG973" s="279"/>
      <c r="CH973" s="279"/>
      <c r="CI973" s="279"/>
      <c r="CJ973" s="279"/>
      <c r="CK973" s="279"/>
      <c r="CL973" s="279"/>
      <c r="CM973" s="279"/>
      <c r="CN973" s="279"/>
      <c r="CO973" s="279"/>
      <c r="CP973" s="279"/>
      <c r="CQ973" s="279"/>
      <c r="CR973" s="279"/>
      <c r="CS973" s="279"/>
      <c r="CT973" s="279"/>
      <c r="CU973" s="279"/>
      <c r="CV973" s="279"/>
      <c r="CW973" s="279"/>
      <c r="CX973" s="279"/>
      <c r="CY973" s="279"/>
      <c r="CZ973" s="279"/>
      <c r="DA973" s="279"/>
      <c r="DB973" s="279"/>
      <c r="DC973" s="279"/>
      <c r="DD973" s="279"/>
      <c r="DE973" s="279"/>
      <c r="DF973" s="279"/>
      <c r="DG973" s="279"/>
      <c r="DH973" s="279"/>
      <c r="DI973" s="279"/>
      <c r="DJ973" s="279"/>
      <c r="DK973" s="279"/>
      <c r="DL973" s="279"/>
      <c r="DM973" s="279"/>
      <c r="DN973" s="279"/>
      <c r="DO973" s="279"/>
    </row>
    <row r="974" spans="1:119" hidden="1">
      <c r="A974" s="1"/>
      <c r="B974" s="1"/>
      <c r="C974" s="1"/>
      <c r="D974" s="705" t="s">
        <v>157</v>
      </c>
      <c r="E974" s="74"/>
      <c r="F974" s="113"/>
      <c r="G974" s="113"/>
      <c r="H974" s="113"/>
      <c r="I974" s="113"/>
      <c r="J974" s="586">
        <f t="shared" ref="J974:AJ974" si="1203">+J877</f>
        <v>-94.881284028500005</v>
      </c>
      <c r="K974" s="586">
        <f t="shared" si="1203"/>
        <v>-98.745834028499999</v>
      </c>
      <c r="L974" s="586">
        <f t="shared" si="1203"/>
        <v>-98.464349999999996</v>
      </c>
      <c r="M974" s="586">
        <f t="shared" si="1203"/>
        <v>-103.08920000000001</v>
      </c>
      <c r="N974" s="586">
        <f t="shared" si="1203"/>
        <v>-94.700450000000018</v>
      </c>
      <c r="O974" s="586">
        <f t="shared" si="1203"/>
        <v>-116.90494000000004</v>
      </c>
      <c r="P974" s="586">
        <f t="shared" si="1203"/>
        <v>-150.54192152049501</v>
      </c>
      <c r="Q974" s="586">
        <f t="shared" si="1203"/>
        <v>-174.64564257199498</v>
      </c>
      <c r="R974" s="586">
        <f t="shared" si="1203"/>
        <v>-188.00000000000006</v>
      </c>
      <c r="S974" s="586">
        <f t="shared" si="1203"/>
        <v>-239.99999999999991</v>
      </c>
      <c r="T974" s="586">
        <f t="shared" si="1203"/>
        <v>-327.2</v>
      </c>
      <c r="U974" s="586">
        <f t="shared" si="1203"/>
        <v>-423.80000000000007</v>
      </c>
      <c r="V974" s="586">
        <f t="shared" si="1203"/>
        <v>-511.81000819000008</v>
      </c>
      <c r="W974" s="586">
        <f t="shared" si="1203"/>
        <v>-520.09999999999991</v>
      </c>
      <c r="X974" s="586">
        <f t="shared" si="1203"/>
        <v>-608.27843639758305</v>
      </c>
      <c r="Y974" s="586">
        <f t="shared" si="1203"/>
        <v>-694.06407580128518</v>
      </c>
      <c r="Z974" s="586">
        <f t="shared" si="1203"/>
        <v>-712.97319804200015</v>
      </c>
      <c r="AA974" s="586">
        <f t="shared" si="1203"/>
        <v>-597.22220111559091</v>
      </c>
      <c r="AB974" s="586">
        <f t="shared" si="1203"/>
        <v>-677.42950481440698</v>
      </c>
      <c r="AC974" s="586">
        <f t="shared" si="1203"/>
        <v>-751.0972572537147</v>
      </c>
      <c r="AD974" s="586">
        <f t="shared" si="1203"/>
        <v>-1037.340038159615</v>
      </c>
      <c r="AE974" s="586">
        <f t="shared" si="1203"/>
        <v>-1658.2794113359816</v>
      </c>
      <c r="AF974" s="586">
        <f t="shared" si="1203"/>
        <v>-1466.2817078287753</v>
      </c>
      <c r="AG974" s="586">
        <f t="shared" si="1203"/>
        <v>5171.0836502777038</v>
      </c>
      <c r="AH974" s="586">
        <f t="shared" si="1203"/>
        <v>9243.6627182106422</v>
      </c>
      <c r="AI974" s="586">
        <f t="shared" si="1203"/>
        <v>11108.825783430893</v>
      </c>
      <c r="AJ974" s="586">
        <f t="shared" si="1203"/>
        <v>-4894.6021539366293</v>
      </c>
      <c r="AK974" s="586"/>
      <c r="AL974" s="586"/>
      <c r="AM974" s="586"/>
      <c r="AN974" s="586"/>
      <c r="AO974" s="586"/>
      <c r="AP974" s="586"/>
      <c r="AQ974" s="586"/>
      <c r="AR974" s="586"/>
      <c r="AS974" s="586"/>
      <c r="AT974" s="586"/>
      <c r="BU974" s="279"/>
      <c r="BV974" s="279"/>
      <c r="BW974" s="279"/>
      <c r="BX974" s="279"/>
      <c r="BY974" s="279"/>
      <c r="BZ974" s="279"/>
      <c r="CA974" s="279"/>
      <c r="CB974" s="279"/>
      <c r="CC974" s="279"/>
      <c r="CD974" s="279"/>
      <c r="CE974" s="279"/>
      <c r="CF974" s="279"/>
      <c r="CG974" s="279"/>
      <c r="CH974" s="279"/>
      <c r="CI974" s="279"/>
      <c r="CJ974" s="279"/>
      <c r="CK974" s="279"/>
      <c r="CL974" s="279"/>
      <c r="CM974" s="279"/>
      <c r="CN974" s="279"/>
      <c r="CO974" s="279"/>
      <c r="CP974" s="279"/>
      <c r="CQ974" s="279"/>
      <c r="CR974" s="279"/>
      <c r="CS974" s="279"/>
      <c r="CT974" s="279"/>
      <c r="CU974" s="279"/>
      <c r="CV974" s="279"/>
      <c r="CW974" s="279"/>
      <c r="CX974" s="279"/>
      <c r="CY974" s="279"/>
      <c r="CZ974" s="279"/>
      <c r="DA974" s="279"/>
      <c r="DB974" s="279"/>
      <c r="DC974" s="279"/>
      <c r="DD974" s="279"/>
      <c r="DE974" s="279"/>
      <c r="DF974" s="279"/>
      <c r="DG974" s="279"/>
      <c r="DH974" s="279"/>
      <c r="DI974" s="279"/>
      <c r="DJ974" s="279"/>
      <c r="DK974" s="279"/>
      <c r="DL974" s="279"/>
      <c r="DM974" s="279"/>
      <c r="DN974" s="279"/>
      <c r="DO974" s="279"/>
    </row>
    <row r="975" spans="1:119" hidden="1">
      <c r="A975" s="1"/>
      <c r="B975" s="1"/>
      <c r="C975" s="1"/>
      <c r="D975" s="702" t="s">
        <v>160</v>
      </c>
      <c r="E975" s="74"/>
      <c r="F975" s="113"/>
      <c r="G975" s="113"/>
      <c r="H975" s="113"/>
      <c r="I975" s="113"/>
      <c r="J975" s="586">
        <f t="shared" ref="J975:AJ975" si="1204">+J879</f>
        <v>46.668013528499991</v>
      </c>
      <c r="K975" s="586">
        <f t="shared" si="1204"/>
        <v>28.660784028499997</v>
      </c>
      <c r="L975" s="586">
        <f t="shared" si="1204"/>
        <v>28.027100000000004</v>
      </c>
      <c r="M975" s="586">
        <f t="shared" si="1204"/>
        <v>35.604700000000001</v>
      </c>
      <c r="N975" s="586">
        <f t="shared" si="1204"/>
        <v>21.196599999999997</v>
      </c>
      <c r="O975" s="586">
        <f t="shared" si="1204"/>
        <v>14.452939999999993</v>
      </c>
      <c r="P975" s="586">
        <f t="shared" si="1204"/>
        <v>-8.2806089134400125</v>
      </c>
      <c r="Q975" s="586">
        <f t="shared" si="1204"/>
        <v>-4.3568878619400007</v>
      </c>
      <c r="R975" s="586">
        <f t="shared" si="1204"/>
        <v>33.200000000000045</v>
      </c>
      <c r="S975" s="586">
        <f t="shared" si="1204"/>
        <v>12.099999999999886</v>
      </c>
      <c r="T975" s="586">
        <f t="shared" si="1204"/>
        <v>69.5</v>
      </c>
      <c r="U975" s="586">
        <f t="shared" si="1204"/>
        <v>16.399999999999999</v>
      </c>
      <c r="V975" s="586">
        <f t="shared" si="1204"/>
        <v>126.514612731</v>
      </c>
      <c r="W975" s="586">
        <f t="shared" si="1204"/>
        <v>56.8</v>
      </c>
      <c r="X975" s="586">
        <f t="shared" si="1204"/>
        <v>218.60287055438562</v>
      </c>
      <c r="Y975" s="586">
        <f t="shared" si="1204"/>
        <v>224.60345991403199</v>
      </c>
      <c r="Z975" s="586">
        <f t="shared" si="1204"/>
        <v>197.61254199818421</v>
      </c>
      <c r="AA975" s="586">
        <f t="shared" si="1204"/>
        <v>274.21022987848482</v>
      </c>
      <c r="AB975" s="586">
        <f t="shared" si="1204"/>
        <v>347.24742086788802</v>
      </c>
      <c r="AC975" s="586">
        <f t="shared" si="1204"/>
        <v>398.9867656101726</v>
      </c>
      <c r="AD975" s="586">
        <f t="shared" si="1204"/>
        <v>522.45525002266504</v>
      </c>
      <c r="AE975" s="586">
        <f t="shared" si="1204"/>
        <v>1226.1509467500846</v>
      </c>
      <c r="AF975" s="586">
        <f t="shared" si="1204"/>
        <v>973.99842550595372</v>
      </c>
      <c r="AG975" s="586">
        <f t="shared" si="1204"/>
        <v>987.3478790734473</v>
      </c>
      <c r="AH975" s="586">
        <f t="shared" si="1204"/>
        <v>941.12816859942711</v>
      </c>
      <c r="AI975" s="586">
        <f t="shared" si="1204"/>
        <v>1577.615969342414</v>
      </c>
      <c r="AJ975" s="586">
        <f t="shared" si="1204"/>
        <v>1496.7668554355482</v>
      </c>
      <c r="AK975" s="586"/>
      <c r="AL975" s="586"/>
      <c r="AM975" s="586"/>
      <c r="AN975" s="586"/>
      <c r="AO975" s="586"/>
      <c r="AP975" s="586"/>
      <c r="AQ975" s="586"/>
      <c r="AR975" s="586"/>
      <c r="AS975" s="586"/>
      <c r="AT975" s="586"/>
      <c r="BU975" s="279"/>
      <c r="BV975" s="279"/>
      <c r="BW975" s="279"/>
      <c r="BX975" s="279"/>
      <c r="BY975" s="279"/>
      <c r="BZ975" s="279"/>
      <c r="CA975" s="279"/>
      <c r="CB975" s="279"/>
      <c r="CC975" s="279"/>
      <c r="CD975" s="279"/>
      <c r="CE975" s="279"/>
      <c r="CF975" s="279"/>
      <c r="CG975" s="279"/>
      <c r="CH975" s="279"/>
      <c r="CI975" s="279"/>
      <c r="CJ975" s="279"/>
      <c r="CK975" s="279"/>
      <c r="CL975" s="279"/>
      <c r="CM975" s="279"/>
      <c r="CN975" s="279"/>
      <c r="CO975" s="279"/>
      <c r="CP975" s="279"/>
      <c r="CQ975" s="279"/>
      <c r="CR975" s="279"/>
      <c r="CS975" s="279"/>
      <c r="CT975" s="279"/>
      <c r="CU975" s="279"/>
      <c r="CV975" s="279"/>
      <c r="CW975" s="279"/>
      <c r="CX975" s="279"/>
      <c r="CY975" s="279"/>
      <c r="CZ975" s="279"/>
      <c r="DA975" s="279"/>
      <c r="DB975" s="279"/>
      <c r="DC975" s="279"/>
      <c r="DD975" s="279"/>
      <c r="DE975" s="279"/>
      <c r="DF975" s="279"/>
      <c r="DG975" s="279"/>
      <c r="DH975" s="279"/>
      <c r="DI975" s="279"/>
      <c r="DJ975" s="279"/>
      <c r="DK975" s="279"/>
      <c r="DL975" s="279"/>
      <c r="DM975" s="279"/>
      <c r="DN975" s="279"/>
      <c r="DO975" s="279"/>
    </row>
    <row r="976" spans="1:119" hidden="1">
      <c r="A976" s="1"/>
      <c r="B976" s="1"/>
      <c r="C976" s="1"/>
      <c r="D976" s="703" t="s">
        <v>161</v>
      </c>
      <c r="E976" s="74"/>
      <c r="F976" s="113"/>
      <c r="G976" s="113"/>
      <c r="H976" s="113"/>
      <c r="I976" s="113"/>
      <c r="J976" s="586">
        <f t="shared" ref="J976:AJ976" si="1205">+J881</f>
        <v>9.2500000000000018</v>
      </c>
      <c r="K976" s="586">
        <f t="shared" si="1205"/>
        <v>8.5138500000000015</v>
      </c>
      <c r="L976" s="586">
        <f t="shared" si="1205"/>
        <v>4.0473499999999998</v>
      </c>
      <c r="M976" s="586">
        <f t="shared" si="1205"/>
        <v>8.1334999999999997</v>
      </c>
      <c r="N976" s="586">
        <f t="shared" si="1205"/>
        <v>4.7718499999999997</v>
      </c>
      <c r="O976" s="586">
        <f t="shared" si="1205"/>
        <v>1.3761608154999996</v>
      </c>
      <c r="P976" s="586">
        <f t="shared" si="1205"/>
        <v>0.33886081549999858</v>
      </c>
      <c r="Q976" s="586">
        <f t="shared" si="1205"/>
        <v>6.4310499999999982</v>
      </c>
      <c r="R976" s="586">
        <f t="shared" si="1205"/>
        <v>39.199999999999996</v>
      </c>
      <c r="S976" s="586">
        <f t="shared" si="1205"/>
        <v>42.800000000000004</v>
      </c>
      <c r="T976" s="586">
        <f t="shared" si="1205"/>
        <v>72.599999999999994</v>
      </c>
      <c r="U976" s="586">
        <f t="shared" si="1205"/>
        <v>26.1</v>
      </c>
      <c r="V976" s="586">
        <f t="shared" si="1205"/>
        <v>68.531212730999997</v>
      </c>
      <c r="W976" s="586">
        <f t="shared" si="1205"/>
        <v>95</v>
      </c>
      <c r="X976" s="586">
        <f t="shared" si="1205"/>
        <v>338.59999999999997</v>
      </c>
      <c r="Y976" s="586">
        <f t="shared" si="1205"/>
        <v>104.73128333288437</v>
      </c>
      <c r="Z976" s="586">
        <f t="shared" si="1205"/>
        <v>188.3125419981842</v>
      </c>
      <c r="AA976" s="586">
        <f t="shared" si="1205"/>
        <v>224.4081276596894</v>
      </c>
      <c r="AB976" s="586">
        <f t="shared" si="1205"/>
        <v>161.93697496867668</v>
      </c>
      <c r="AC976" s="586">
        <f t="shared" si="1205"/>
        <v>356.02913087722652</v>
      </c>
      <c r="AD976" s="586">
        <f t="shared" si="1205"/>
        <v>448.31196664374346</v>
      </c>
      <c r="AE976" s="586">
        <f t="shared" si="1205"/>
        <v>1137.4986216870611</v>
      </c>
      <c r="AF976" s="586">
        <f t="shared" si="1205"/>
        <v>708.41842834695376</v>
      </c>
      <c r="AG976" s="586">
        <f t="shared" si="1205"/>
        <v>762.3478790734473</v>
      </c>
      <c r="AH976" s="586">
        <f t="shared" si="1205"/>
        <v>780.58674289632404</v>
      </c>
      <c r="AI976" s="586">
        <f t="shared" si="1205"/>
        <v>1276.5512369862045</v>
      </c>
      <c r="AJ976" s="586">
        <f t="shared" si="1205"/>
        <v>1321.8668554355481</v>
      </c>
      <c r="AK976" s="586"/>
      <c r="AL976" s="586"/>
      <c r="AM976" s="586"/>
      <c r="AN976" s="586"/>
      <c r="AO976" s="586"/>
      <c r="AP976" s="586"/>
      <c r="AQ976" s="586"/>
      <c r="AR976" s="586"/>
      <c r="AS976" s="586"/>
      <c r="AT976" s="586"/>
      <c r="BU976" s="279"/>
      <c r="BV976" s="279"/>
      <c r="BW976" s="279"/>
      <c r="BX976" s="279"/>
      <c r="BY976" s="279"/>
      <c r="BZ976" s="279"/>
      <c r="CA976" s="279"/>
      <c r="CB976" s="279"/>
      <c r="CC976" s="279"/>
      <c r="CD976" s="279"/>
      <c r="CE976" s="279"/>
      <c r="CF976" s="279"/>
      <c r="CG976" s="279"/>
      <c r="CH976" s="279"/>
      <c r="CI976" s="279"/>
      <c r="CJ976" s="279"/>
      <c r="CK976" s="279"/>
      <c r="CL976" s="279"/>
      <c r="CM976" s="279"/>
      <c r="CN976" s="279"/>
      <c r="CO976" s="279"/>
      <c r="CP976" s="279"/>
      <c r="CQ976" s="279"/>
      <c r="CR976" s="279"/>
      <c r="CS976" s="279"/>
      <c r="CT976" s="279"/>
      <c r="CU976" s="279"/>
      <c r="CV976" s="280"/>
      <c r="CW976" s="281"/>
      <c r="CX976" s="279"/>
      <c r="CY976" s="279"/>
      <c r="CZ976" s="279"/>
      <c r="DA976" s="279"/>
      <c r="DB976" s="279"/>
      <c r="DC976" s="279"/>
      <c r="DD976" s="279"/>
      <c r="DE976" s="279"/>
      <c r="DF976" s="280"/>
      <c r="DG976" s="281"/>
      <c r="DH976" s="279"/>
      <c r="DI976" s="279"/>
      <c r="DJ976" s="279"/>
      <c r="DK976" s="279"/>
      <c r="DL976" s="279"/>
      <c r="DM976" s="279"/>
      <c r="DN976" s="279"/>
      <c r="DO976" s="279"/>
    </row>
    <row r="977" spans="1:119" hidden="1">
      <c r="A977" s="1"/>
      <c r="B977" s="1"/>
      <c r="C977" s="1"/>
      <c r="D977" s="705" t="s">
        <v>752</v>
      </c>
      <c r="E977" s="74"/>
      <c r="F977" s="113"/>
      <c r="G977" s="113"/>
      <c r="H977" s="113"/>
      <c r="I977" s="113"/>
      <c r="J977" s="586"/>
      <c r="K977" s="586"/>
      <c r="L977" s="586"/>
      <c r="M977" s="586"/>
      <c r="N977" s="586"/>
      <c r="O977" s="586"/>
      <c r="P977" s="586"/>
      <c r="Q977" s="586"/>
      <c r="R977" s="586"/>
      <c r="S977" s="586"/>
      <c r="T977" s="586"/>
      <c r="U977" s="586"/>
      <c r="V977" s="586"/>
      <c r="W977" s="586"/>
      <c r="X977" s="707">
        <f t="shared" ref="X977:AE977" si="1206">+X883</f>
        <v>16.2</v>
      </c>
      <c r="Y977" s="707">
        <f t="shared" si="1206"/>
        <v>49.486261138499998</v>
      </c>
      <c r="Z977" s="707">
        <f t="shared" si="1206"/>
        <v>103.63</v>
      </c>
      <c r="AA977" s="707">
        <f t="shared" si="1206"/>
        <v>138.66156726277015</v>
      </c>
      <c r="AB977" s="707">
        <f t="shared" si="1206"/>
        <v>183.82033813965148</v>
      </c>
      <c r="AC977" s="707">
        <f t="shared" si="1206"/>
        <v>211.49647385698302</v>
      </c>
      <c r="AD977" s="707">
        <f t="shared" si="1206"/>
        <v>262.04850870218172</v>
      </c>
      <c r="AE977" s="707">
        <f t="shared" si="1206"/>
        <v>905.88487285883571</v>
      </c>
      <c r="AF977" s="707">
        <f>+AF1354</f>
        <v>343.07164259517788</v>
      </c>
      <c r="AG977" s="707">
        <f t="shared" ref="AG977:AJ977" si="1207">+AG883</f>
        <v>840.44607618034536</v>
      </c>
      <c r="AH977" s="707">
        <f t="shared" si="1207"/>
        <v>518.40160041043987</v>
      </c>
      <c r="AI977" s="707">
        <f t="shared" si="1207"/>
        <v>772.825914316644</v>
      </c>
      <c r="AJ977" s="707">
        <f t="shared" si="1207"/>
        <v>783.55341737810375</v>
      </c>
      <c r="AK977" s="707"/>
      <c r="AL977" s="707"/>
      <c r="AM977" s="707"/>
      <c r="AN977" s="707"/>
      <c r="AO977" s="707"/>
      <c r="AP977" s="707"/>
      <c r="AQ977" s="707"/>
      <c r="AR977" s="707"/>
      <c r="AS977" s="707"/>
      <c r="AT977" s="707"/>
      <c r="AU977" s="341"/>
      <c r="AV977" s="341"/>
      <c r="AW977" s="341"/>
      <c r="AX977" s="341"/>
      <c r="AY977" s="341"/>
      <c r="AZ977" s="341"/>
      <c r="BA977" s="341"/>
      <c r="BB977" s="341"/>
      <c r="BC977" s="341"/>
      <c r="BD977" s="341"/>
      <c r="BE977" s="341"/>
      <c r="BF977" s="341"/>
      <c r="BG977" s="341"/>
      <c r="BH977" s="341"/>
      <c r="BI977" s="341"/>
      <c r="BJ977" s="341"/>
      <c r="BK977" s="341"/>
      <c r="BL977" s="341"/>
      <c r="BM977" s="341"/>
      <c r="BN977" s="341"/>
      <c r="BO977" s="341"/>
      <c r="BP977" s="341"/>
      <c r="BQ977" s="341"/>
      <c r="BR977" s="341"/>
      <c r="BS977" s="341"/>
      <c r="BT977" s="341"/>
      <c r="BU977" s="341"/>
      <c r="BV977" s="341"/>
      <c r="BW977" s="341"/>
      <c r="BX977" s="341"/>
      <c r="BY977" s="341"/>
      <c r="BZ977" s="341"/>
      <c r="CA977" s="341"/>
      <c r="CB977" s="341"/>
      <c r="CC977" s="341"/>
      <c r="CD977" s="341"/>
      <c r="CE977" s="341"/>
      <c r="CF977" s="341"/>
      <c r="CG977" s="341"/>
      <c r="CH977" s="341"/>
      <c r="CI977" s="341"/>
      <c r="CJ977" s="341"/>
      <c r="CK977" s="341"/>
      <c r="CL977" s="341"/>
      <c r="CM977" s="341"/>
      <c r="CN977" s="341"/>
      <c r="CO977" s="341"/>
      <c r="CP977" s="341"/>
      <c r="CQ977" s="341"/>
      <c r="CR977" s="341"/>
      <c r="CS977" s="341"/>
      <c r="CT977" s="341"/>
      <c r="CU977" s="341"/>
      <c r="CV977" s="341"/>
      <c r="CW977" s="341"/>
      <c r="CX977" s="341"/>
      <c r="CY977" s="279"/>
      <c r="CZ977" s="279"/>
      <c r="DA977" s="279"/>
      <c r="DB977" s="279"/>
      <c r="DC977" s="279"/>
      <c r="DD977" s="279"/>
      <c r="DE977" s="279"/>
      <c r="DF977" s="280"/>
      <c r="DG977" s="340"/>
      <c r="DH977" s="341"/>
      <c r="DI977" s="279"/>
      <c r="DJ977" s="279"/>
      <c r="DK977" s="279"/>
      <c r="DL977" s="279"/>
      <c r="DM977" s="279"/>
      <c r="DN977" s="279"/>
      <c r="DO977" s="279"/>
    </row>
    <row r="978" spans="1:119" hidden="1">
      <c r="A978" s="1"/>
      <c r="B978" s="1"/>
      <c r="C978" s="1"/>
      <c r="D978" s="706" t="s">
        <v>829</v>
      </c>
      <c r="E978" s="74"/>
      <c r="F978" s="113"/>
      <c r="G978" s="113"/>
      <c r="H978" s="113"/>
      <c r="I978" s="113"/>
      <c r="J978" s="586"/>
      <c r="K978" s="586"/>
      <c r="L978" s="586"/>
      <c r="M978" s="586"/>
      <c r="N978" s="586"/>
      <c r="O978" s="586"/>
      <c r="P978" s="586"/>
      <c r="Q978" s="586"/>
      <c r="R978" s="586"/>
      <c r="S978" s="586"/>
      <c r="T978" s="586"/>
      <c r="U978" s="586"/>
      <c r="V978" s="586"/>
      <c r="W978" s="586"/>
      <c r="X978" s="707">
        <f t="shared" ref="X978:AE978" si="1208">+X894</f>
        <v>337.9</v>
      </c>
      <c r="Y978" s="707">
        <f t="shared" si="1208"/>
        <v>66.283647365557997</v>
      </c>
      <c r="Z978" s="707">
        <f t="shared" si="1208"/>
        <v>99.233000000000004</v>
      </c>
      <c r="AA978" s="707">
        <f t="shared" si="1208"/>
        <v>102.868015341633</v>
      </c>
      <c r="AB978" s="707">
        <f t="shared" si="1208"/>
        <v>0</v>
      </c>
      <c r="AC978" s="707">
        <f t="shared" si="1208"/>
        <v>170.35041550616</v>
      </c>
      <c r="AD978" s="707">
        <f t="shared" si="1208"/>
        <v>214.928464239612</v>
      </c>
      <c r="AE978" s="707">
        <f t="shared" si="1208"/>
        <v>287.97105069611632</v>
      </c>
      <c r="AF978" s="707">
        <f>+AF1360</f>
        <v>390.57003784890901</v>
      </c>
      <c r="AG978" s="707">
        <f t="shared" ref="AG978:AJ978" si="1209">+AG894</f>
        <v>406.53126666921986</v>
      </c>
      <c r="AH978" s="707">
        <f t="shared" si="1209"/>
        <v>429.00165642802523</v>
      </c>
      <c r="AI978" s="707">
        <f t="shared" si="1209"/>
        <v>629.39202538546635</v>
      </c>
      <c r="AJ978" s="707">
        <f t="shared" si="1209"/>
        <v>715.69792627340985</v>
      </c>
      <c r="AK978" s="707"/>
      <c r="AL978" s="707"/>
      <c r="AM978" s="707"/>
      <c r="AN978" s="707"/>
      <c r="AO978" s="707"/>
      <c r="AP978" s="707"/>
      <c r="AQ978" s="707"/>
      <c r="AR978" s="707"/>
      <c r="AS978" s="707"/>
      <c r="AT978" s="707"/>
      <c r="AU978" s="341"/>
      <c r="AV978" s="341"/>
      <c r="AW978" s="341"/>
      <c r="AX978" s="341"/>
      <c r="AY978" s="341"/>
      <c r="AZ978" s="341"/>
      <c r="BA978" s="341"/>
      <c r="BB978" s="341"/>
      <c r="BC978" s="341"/>
      <c r="BD978" s="341"/>
      <c r="BE978" s="341"/>
      <c r="BF978" s="341"/>
      <c r="BG978" s="341"/>
      <c r="BH978" s="341"/>
      <c r="BI978" s="341"/>
      <c r="BJ978" s="341"/>
      <c r="BK978" s="341"/>
      <c r="BL978" s="341"/>
      <c r="BM978" s="341"/>
      <c r="BN978" s="341"/>
      <c r="BO978" s="341"/>
      <c r="BP978" s="341"/>
      <c r="BQ978" s="341"/>
      <c r="BR978" s="341"/>
      <c r="BS978" s="341"/>
      <c r="BT978" s="341"/>
      <c r="BU978" s="341"/>
      <c r="BV978" s="341"/>
      <c r="BW978" s="341"/>
      <c r="BX978" s="341"/>
      <c r="BY978" s="341"/>
      <c r="BZ978" s="341"/>
      <c r="CA978" s="341"/>
      <c r="CB978" s="341"/>
      <c r="CC978" s="341"/>
      <c r="CD978" s="341"/>
      <c r="CE978" s="341"/>
      <c r="CF978" s="341"/>
      <c r="CG978" s="341"/>
      <c r="CH978" s="341"/>
      <c r="CI978" s="341"/>
      <c r="CJ978" s="341"/>
      <c r="CK978" s="341"/>
      <c r="CL978" s="341"/>
      <c r="CM978" s="341"/>
      <c r="CN978" s="341"/>
      <c r="CO978" s="341"/>
      <c r="CP978" s="341"/>
      <c r="CQ978" s="341"/>
      <c r="CR978" s="341"/>
      <c r="CS978" s="341"/>
      <c r="CT978" s="341"/>
      <c r="CU978" s="341"/>
      <c r="CV978" s="341"/>
      <c r="CW978" s="341"/>
      <c r="CX978" s="341"/>
      <c r="CY978" s="279"/>
      <c r="CZ978" s="279"/>
      <c r="DA978" s="279"/>
      <c r="DB978" s="279"/>
      <c r="DC978" s="279"/>
      <c r="DD978" s="279"/>
      <c r="DE978" s="279"/>
      <c r="DF978" s="280"/>
      <c r="DG978" s="340"/>
      <c r="DH978" s="341"/>
      <c r="DI978" s="279"/>
      <c r="DJ978" s="279"/>
      <c r="DK978" s="279"/>
      <c r="DL978" s="279"/>
      <c r="DM978" s="279"/>
      <c r="DN978" s="279"/>
      <c r="DO978" s="279"/>
    </row>
    <row r="979" spans="1:119" hidden="1">
      <c r="A979" s="1"/>
      <c r="B979" s="1"/>
      <c r="C979" s="1"/>
      <c r="D979" s="706" t="s">
        <v>1109</v>
      </c>
      <c r="E979" s="74"/>
      <c r="F979" s="113"/>
      <c r="G979" s="113"/>
      <c r="H979" s="113"/>
      <c r="I979" s="113"/>
      <c r="J979" s="586"/>
      <c r="K979" s="586"/>
      <c r="L979" s="586"/>
      <c r="M979" s="586"/>
      <c r="N979" s="586"/>
      <c r="O979" s="586"/>
      <c r="P979" s="586"/>
      <c r="Q979" s="586"/>
      <c r="R979" s="586"/>
      <c r="S979" s="586"/>
      <c r="T979" s="586"/>
      <c r="U979" s="586"/>
      <c r="V979" s="586"/>
      <c r="W979" s="586"/>
      <c r="X979" s="707"/>
      <c r="Y979" s="707">
        <f t="shared" ref="Y979:AE979" si="1210">Y898</f>
        <v>-11.038625171173628</v>
      </c>
      <c r="Z979" s="707">
        <f t="shared" si="1210"/>
        <v>-14.550458001815809</v>
      </c>
      <c r="AA979" s="707">
        <f t="shared" si="1210"/>
        <v>-17.121454944713733</v>
      </c>
      <c r="AB979" s="707">
        <f t="shared" si="1210"/>
        <v>-21.883363170974814</v>
      </c>
      <c r="AC979" s="707">
        <f t="shared" si="1210"/>
        <v>-25.817758485916514</v>
      </c>
      <c r="AD979" s="707">
        <f t="shared" si="1210"/>
        <v>-28.665006298050265</v>
      </c>
      <c r="AE979" s="707">
        <f t="shared" si="1210"/>
        <v>-56.357301867890811</v>
      </c>
      <c r="AF979" s="707">
        <f>AF1363</f>
        <v>76.369240314600148</v>
      </c>
      <c r="AG979" s="707">
        <f t="shared" ref="AG979:AJ979" si="1211">AG898</f>
        <v>-484.62946377611792</v>
      </c>
      <c r="AH979" s="707">
        <f t="shared" si="1211"/>
        <v>-166.81651394214106</v>
      </c>
      <c r="AI979" s="707">
        <f t="shared" si="1211"/>
        <v>-125.66670271590607</v>
      </c>
      <c r="AJ979" s="707">
        <f t="shared" si="1211"/>
        <v>-177.38448821596552</v>
      </c>
      <c r="AK979" s="707"/>
      <c r="AL979" s="707"/>
      <c r="AM979" s="707"/>
      <c r="AN979" s="707"/>
      <c r="AO979" s="707"/>
      <c r="AP979" s="707"/>
      <c r="AQ979" s="707"/>
      <c r="AR979" s="707"/>
      <c r="AS979" s="707"/>
      <c r="AT979" s="707"/>
      <c r="AU979" s="341"/>
      <c r="AV979" s="341"/>
      <c r="AW979" s="341"/>
      <c r="AX979" s="341"/>
      <c r="AY979" s="341"/>
      <c r="AZ979" s="341"/>
      <c r="BA979" s="341"/>
      <c r="BB979" s="341"/>
      <c r="BC979" s="341"/>
      <c r="BD979" s="341"/>
      <c r="BE979" s="341"/>
      <c r="BF979" s="341"/>
      <c r="BG979" s="341"/>
      <c r="BH979" s="341"/>
      <c r="BI979" s="341"/>
      <c r="BJ979" s="341"/>
      <c r="BK979" s="341"/>
      <c r="BL979" s="341"/>
      <c r="BM979" s="341"/>
      <c r="BN979" s="341"/>
      <c r="BO979" s="341"/>
      <c r="BP979" s="341"/>
      <c r="BQ979" s="341"/>
      <c r="BR979" s="341"/>
      <c r="BS979" s="341"/>
      <c r="BT979" s="341"/>
      <c r="BU979" s="341"/>
      <c r="BV979" s="341"/>
      <c r="BW979" s="341"/>
      <c r="BX979" s="341"/>
      <c r="BY979" s="341"/>
      <c r="BZ979" s="341"/>
      <c r="CA979" s="341"/>
      <c r="CB979" s="341"/>
      <c r="CC979" s="341"/>
      <c r="CD979" s="341"/>
      <c r="CE979" s="341"/>
      <c r="CF979" s="341"/>
      <c r="CG979" s="341"/>
      <c r="CH979" s="341"/>
      <c r="CI979" s="341"/>
      <c r="CJ979" s="341"/>
      <c r="CK979" s="341"/>
      <c r="CL979" s="341"/>
      <c r="CM979" s="341"/>
      <c r="CN979" s="341"/>
      <c r="CO979" s="341"/>
      <c r="CP979" s="341"/>
      <c r="CQ979" s="341"/>
      <c r="CR979" s="341"/>
      <c r="CS979" s="341"/>
      <c r="CT979" s="341"/>
      <c r="CU979" s="341"/>
      <c r="CV979" s="341"/>
      <c r="CW979" s="341"/>
      <c r="CX979" s="341"/>
      <c r="CY979" s="279"/>
      <c r="CZ979" s="279"/>
      <c r="DA979" s="279"/>
      <c r="DB979" s="279"/>
      <c r="DC979" s="279"/>
      <c r="DD979" s="279"/>
      <c r="DE979" s="279"/>
      <c r="DF979" s="280"/>
      <c r="DG979" s="340"/>
      <c r="DH979" s="341"/>
      <c r="DI979" s="279"/>
      <c r="DJ979" s="279"/>
      <c r="DK979" s="279"/>
      <c r="DL979" s="279"/>
      <c r="DM979" s="279"/>
      <c r="DN979" s="279"/>
      <c r="DO979" s="279"/>
    </row>
    <row r="980" spans="1:119" hidden="1">
      <c r="A980" s="1"/>
      <c r="B980" s="1"/>
      <c r="C980" s="1"/>
      <c r="D980" s="703" t="s">
        <v>842</v>
      </c>
      <c r="E980" s="74"/>
      <c r="F980" s="113"/>
      <c r="G980" s="113"/>
      <c r="H980" s="113"/>
      <c r="I980" s="113"/>
      <c r="J980" s="586">
        <f t="shared" ref="J980:AJ980" si="1212">+J900</f>
        <v>37.418013528499991</v>
      </c>
      <c r="K980" s="586">
        <f t="shared" si="1212"/>
        <v>20.146934028499999</v>
      </c>
      <c r="L980" s="586">
        <f t="shared" si="1212"/>
        <v>23.979750000000003</v>
      </c>
      <c r="M980" s="586">
        <f t="shared" si="1212"/>
        <v>27.4712</v>
      </c>
      <c r="N980" s="586">
        <f t="shared" si="1212"/>
        <v>16.42475</v>
      </c>
      <c r="O980" s="586">
        <f t="shared" si="1212"/>
        <v>13.076779184499994</v>
      </c>
      <c r="P980" s="586">
        <f t="shared" si="1212"/>
        <v>-8.6194697289400111</v>
      </c>
      <c r="Q980" s="586">
        <f t="shared" si="1212"/>
        <v>-10.787937861939998</v>
      </c>
      <c r="R980" s="586">
        <f t="shared" si="1212"/>
        <v>-5.9999999999999503</v>
      </c>
      <c r="S980" s="586">
        <f t="shared" si="1212"/>
        <v>-30.700000000000117</v>
      </c>
      <c r="T980" s="586">
        <f t="shared" si="1212"/>
        <v>-3.0999999999999943</v>
      </c>
      <c r="U980" s="586">
        <f t="shared" si="1212"/>
        <v>-9.7000000000000011</v>
      </c>
      <c r="V980" s="586">
        <f t="shared" si="1212"/>
        <v>57.983399999999996</v>
      </c>
      <c r="W980" s="586">
        <f t="shared" si="1212"/>
        <v>-38.200000000000003</v>
      </c>
      <c r="X980" s="586">
        <f t="shared" si="1212"/>
        <v>-119.99712944561435</v>
      </c>
      <c r="Y980" s="586">
        <f t="shared" si="1212"/>
        <v>119.8721765811476</v>
      </c>
      <c r="Z980" s="586">
        <f t="shared" si="1212"/>
        <v>9.2999999999999972</v>
      </c>
      <c r="AA980" s="586">
        <f t="shared" si="1212"/>
        <v>49.802102218795412</v>
      </c>
      <c r="AB980" s="586">
        <f t="shared" si="1212"/>
        <v>24.5612687293828</v>
      </c>
      <c r="AC980" s="586">
        <f t="shared" si="1212"/>
        <v>42.957634732946076</v>
      </c>
      <c r="AD980" s="586">
        <f t="shared" si="1212"/>
        <v>74.143283378921595</v>
      </c>
      <c r="AE980" s="586">
        <f t="shared" si="1212"/>
        <v>88.652325063023426</v>
      </c>
      <c r="AF980" s="586">
        <f t="shared" si="1212"/>
        <v>265.5799971589999</v>
      </c>
      <c r="AG980" s="586">
        <f t="shared" si="1212"/>
        <v>225.00000000000006</v>
      </c>
      <c r="AH980" s="586">
        <f t="shared" si="1212"/>
        <v>160.5414257031031</v>
      </c>
      <c r="AI980" s="586">
        <f t="shared" si="1212"/>
        <v>301.06473235620956</v>
      </c>
      <c r="AJ980" s="586">
        <f t="shared" si="1212"/>
        <v>174.89999999999998</v>
      </c>
      <c r="AK980" s="586"/>
      <c r="AL980" s="586"/>
      <c r="AM980" s="586"/>
      <c r="AN980" s="586"/>
      <c r="AO980" s="586"/>
      <c r="AP980" s="586"/>
      <c r="AQ980" s="586"/>
      <c r="AR980" s="586"/>
      <c r="AS980" s="586"/>
      <c r="AT980" s="586"/>
      <c r="AU980" s="341"/>
      <c r="AV980" s="341"/>
      <c r="AW980" s="341"/>
      <c r="AX980" s="341"/>
      <c r="AY980" s="341"/>
      <c r="AZ980" s="341"/>
      <c r="BA980" s="341"/>
      <c r="BB980" s="341"/>
      <c r="BC980" s="341"/>
      <c r="BD980" s="341"/>
      <c r="BE980" s="341"/>
      <c r="BF980" s="341"/>
      <c r="BG980" s="341"/>
      <c r="BH980" s="341"/>
      <c r="BI980" s="341"/>
      <c r="BJ980" s="341"/>
      <c r="BK980" s="341"/>
      <c r="BL980" s="341"/>
      <c r="BM980" s="341"/>
      <c r="BN980" s="341"/>
      <c r="BO980" s="341"/>
      <c r="BP980" s="341"/>
      <c r="BQ980" s="341"/>
      <c r="BR980" s="341"/>
      <c r="BS980" s="341"/>
      <c r="BT980" s="341"/>
      <c r="BU980" s="341"/>
      <c r="BV980" s="341"/>
      <c r="BW980" s="341"/>
      <c r="BX980" s="341"/>
      <c r="BY980" s="341"/>
      <c r="BZ980" s="341"/>
      <c r="CA980" s="341"/>
      <c r="CB980" s="341"/>
      <c r="CC980" s="341"/>
      <c r="CD980" s="341"/>
      <c r="CE980" s="341"/>
      <c r="CF980" s="341"/>
      <c r="CG980" s="341"/>
      <c r="CH980" s="341"/>
      <c r="CI980" s="341"/>
      <c r="CJ980" s="341"/>
      <c r="CK980" s="341"/>
      <c r="CL980" s="341"/>
      <c r="CM980" s="341"/>
      <c r="CN980" s="341"/>
      <c r="CO980" s="341"/>
      <c r="CP980" s="341"/>
      <c r="CQ980" s="341"/>
      <c r="CR980" s="341"/>
      <c r="CS980" s="341"/>
      <c r="CT980" s="341"/>
      <c r="CU980" s="341"/>
      <c r="CV980" s="341"/>
      <c r="CW980" s="341"/>
      <c r="CX980" s="341"/>
      <c r="CY980" s="279"/>
      <c r="CZ980" s="279"/>
      <c r="DA980" s="279"/>
      <c r="DB980" s="279"/>
      <c r="DC980" s="279"/>
      <c r="DD980" s="279"/>
      <c r="DE980" s="279"/>
      <c r="DF980" s="280"/>
      <c r="DG980" s="340"/>
      <c r="DH980" s="341"/>
      <c r="DI980" s="279"/>
      <c r="DJ980" s="279"/>
      <c r="DK980" s="279"/>
      <c r="DL980" s="279"/>
      <c r="DM980" s="279"/>
      <c r="DN980" s="279"/>
      <c r="DO980" s="279"/>
    </row>
    <row r="981" spans="1:119" hidden="1">
      <c r="A981" s="1"/>
      <c r="B981" s="1"/>
      <c r="C981" s="1"/>
      <c r="D981" s="705" t="s">
        <v>827</v>
      </c>
      <c r="E981" s="74"/>
      <c r="F981" s="113"/>
      <c r="G981" s="113"/>
      <c r="H981" s="113"/>
      <c r="I981" s="113"/>
      <c r="J981" s="586">
        <f t="shared" ref="J981:AJ981" si="1213">+J901</f>
        <v>2.15</v>
      </c>
      <c r="K981" s="586">
        <f t="shared" si="1213"/>
        <v>-2.9720000000000004</v>
      </c>
      <c r="L981" s="586">
        <f t="shared" si="1213"/>
        <v>-7.322000000000001</v>
      </c>
      <c r="M981" s="586">
        <f t="shared" si="1213"/>
        <v>-11.795549999999999</v>
      </c>
      <c r="N981" s="586">
        <f t="shared" si="1213"/>
        <v>-1.2955499999999986</v>
      </c>
      <c r="O981" s="586">
        <f t="shared" si="1213"/>
        <v>-16.299999999999997</v>
      </c>
      <c r="P981" s="586">
        <f t="shared" si="1213"/>
        <v>-39.677999999999997</v>
      </c>
      <c r="Q981" s="586">
        <f t="shared" si="1213"/>
        <v>-21.34</v>
      </c>
      <c r="R981" s="586">
        <f t="shared" si="1213"/>
        <v>-7.2</v>
      </c>
      <c r="S981" s="586">
        <f t="shared" si="1213"/>
        <v>-13.4</v>
      </c>
      <c r="T981" s="586">
        <f t="shared" si="1213"/>
        <v>18</v>
      </c>
      <c r="U981" s="586">
        <f t="shared" si="1213"/>
        <v>8.4</v>
      </c>
      <c r="V981" s="586">
        <f t="shared" si="1213"/>
        <v>77.599999999999994</v>
      </c>
      <c r="W981" s="586">
        <f t="shared" si="1213"/>
        <v>-15.4</v>
      </c>
      <c r="X981" s="586">
        <f t="shared" si="1213"/>
        <v>-144.29712944561436</v>
      </c>
      <c r="Y981" s="586">
        <f t="shared" si="1213"/>
        <v>150.64964507114763</v>
      </c>
      <c r="Z981" s="586">
        <f t="shared" si="1213"/>
        <v>0</v>
      </c>
      <c r="AA981" s="586">
        <f t="shared" si="1213"/>
        <v>2.084742819304978</v>
      </c>
      <c r="AB981" s="586">
        <f t="shared" si="1213"/>
        <v>16.564485398969001</v>
      </c>
      <c r="AC981" s="586">
        <f t="shared" si="1213"/>
        <v>48.83076168552401</v>
      </c>
      <c r="AD981" s="586">
        <f t="shared" si="1213"/>
        <v>7.236608287921598</v>
      </c>
      <c r="AE981" s="586">
        <f t="shared" si="1213"/>
        <v>88.652325063023426</v>
      </c>
      <c r="AF981" s="586">
        <f t="shared" si="1213"/>
        <v>265.5799971589999</v>
      </c>
      <c r="AG981" s="586">
        <f t="shared" si="1213"/>
        <v>225.00000000000006</v>
      </c>
      <c r="AH981" s="586">
        <f t="shared" si="1213"/>
        <v>160.5414257031031</v>
      </c>
      <c r="AI981" s="586">
        <f t="shared" si="1213"/>
        <v>301.06473235620956</v>
      </c>
      <c r="AJ981" s="586">
        <f t="shared" si="1213"/>
        <v>174.89999999999998</v>
      </c>
      <c r="AK981" s="586"/>
      <c r="AL981" s="586"/>
      <c r="AM981" s="586"/>
      <c r="AN981" s="586"/>
      <c r="AO981" s="586"/>
      <c r="AP981" s="586"/>
      <c r="AQ981" s="586"/>
      <c r="AR981" s="586"/>
      <c r="AS981" s="586"/>
      <c r="AT981" s="586"/>
      <c r="AU981" s="341"/>
      <c r="AV981" s="341"/>
      <c r="AW981" s="341"/>
      <c r="AX981" s="341"/>
      <c r="AY981" s="341"/>
      <c r="AZ981" s="341"/>
      <c r="BA981" s="341"/>
      <c r="BB981" s="341"/>
      <c r="BC981" s="341"/>
      <c r="BD981" s="341"/>
      <c r="BE981" s="341"/>
      <c r="BF981" s="341"/>
      <c r="BG981" s="341"/>
      <c r="BH981" s="341"/>
      <c r="BI981" s="341"/>
      <c r="BJ981" s="341"/>
      <c r="BK981" s="341"/>
      <c r="BL981" s="341"/>
      <c r="BM981" s="341"/>
      <c r="BN981" s="341"/>
      <c r="BO981" s="341"/>
      <c r="BP981" s="341"/>
      <c r="BQ981" s="341"/>
      <c r="BR981" s="341"/>
      <c r="BS981" s="341"/>
      <c r="BT981" s="341"/>
      <c r="BU981" s="341"/>
      <c r="BV981" s="341"/>
      <c r="BW981" s="341"/>
      <c r="BX981" s="341"/>
      <c r="BY981" s="341"/>
      <c r="BZ981" s="341"/>
      <c r="CA981" s="341"/>
      <c r="CB981" s="341"/>
      <c r="CC981" s="341"/>
      <c r="CD981" s="341"/>
      <c r="CE981" s="341"/>
      <c r="CF981" s="341"/>
      <c r="CG981" s="341"/>
      <c r="CH981" s="341"/>
      <c r="CI981" s="341"/>
      <c r="CJ981" s="341"/>
      <c r="CK981" s="341"/>
      <c r="CL981" s="341"/>
      <c r="CM981" s="341"/>
      <c r="CN981" s="341"/>
      <c r="CO981" s="341"/>
      <c r="CP981" s="341"/>
      <c r="CQ981" s="341"/>
      <c r="CR981" s="341"/>
      <c r="CS981" s="341"/>
      <c r="CT981" s="341"/>
      <c r="CU981" s="341"/>
      <c r="CV981" s="341"/>
      <c r="CW981" s="341"/>
      <c r="CX981" s="341"/>
      <c r="CY981" s="279"/>
      <c r="CZ981" s="279"/>
      <c r="DA981" s="279"/>
      <c r="DB981" s="279"/>
      <c r="DC981" s="279"/>
      <c r="DD981" s="279"/>
      <c r="DE981" s="279"/>
      <c r="DF981" s="280"/>
      <c r="DG981" s="340"/>
      <c r="DH981" s="341"/>
      <c r="DI981" s="279"/>
      <c r="DJ981" s="279"/>
      <c r="DK981" s="279"/>
      <c r="DL981" s="279"/>
      <c r="DM981" s="279"/>
      <c r="DN981" s="279"/>
      <c r="DO981" s="279"/>
    </row>
    <row r="982" spans="1:119" hidden="1">
      <c r="A982" s="1"/>
      <c r="B982" s="1"/>
      <c r="C982" s="1"/>
      <c r="D982" s="705" t="s">
        <v>809</v>
      </c>
      <c r="E982" s="74"/>
      <c r="F982" s="113"/>
      <c r="G982" s="113"/>
      <c r="H982" s="113"/>
      <c r="I982" s="113"/>
      <c r="J982" s="586"/>
      <c r="K982" s="586"/>
      <c r="L982" s="586"/>
      <c r="M982" s="586"/>
      <c r="N982" s="586"/>
      <c r="O982" s="586"/>
      <c r="P982" s="586"/>
      <c r="Q982" s="586"/>
      <c r="R982" s="586"/>
      <c r="S982" s="586"/>
      <c r="T982" s="586"/>
      <c r="U982" s="586"/>
      <c r="V982" s="586"/>
      <c r="W982" s="586"/>
      <c r="X982" s="707">
        <f>+X904+X905</f>
        <v>-141.30000000000001</v>
      </c>
      <c r="Y982" s="707">
        <f>+Y904+Y905</f>
        <v>72.073477222999998</v>
      </c>
      <c r="Z982" s="707">
        <f>+Z904+Z905</f>
        <v>54.3</v>
      </c>
      <c r="AA982" s="707">
        <f>+AA904+AA905</f>
        <v>29.567335386</v>
      </c>
      <c r="AB982" s="707">
        <f>+AB904+AB905</f>
        <v>19.200000000000003</v>
      </c>
      <c r="AC982" s="707"/>
      <c r="AD982" s="707"/>
      <c r="AE982" s="707"/>
      <c r="AF982" s="707"/>
      <c r="AG982" s="707">
        <f t="shared" ref="AG982:AJ982" si="1214">+AG904+AG905</f>
        <v>0</v>
      </c>
      <c r="AH982" s="707">
        <f t="shared" si="1214"/>
        <v>-9.1999999999999993</v>
      </c>
      <c r="AI982" s="707">
        <f t="shared" si="1214"/>
        <v>0</v>
      </c>
      <c r="AJ982" s="707">
        <f t="shared" si="1214"/>
        <v>0</v>
      </c>
      <c r="AK982" s="707"/>
      <c r="AL982" s="707"/>
      <c r="AM982" s="707"/>
      <c r="AN982" s="707"/>
      <c r="AO982" s="707"/>
      <c r="AP982" s="707"/>
      <c r="AQ982" s="707"/>
      <c r="AR982" s="707"/>
      <c r="AS982" s="707"/>
      <c r="AT982" s="707"/>
      <c r="AU982" s="341"/>
      <c r="AV982" s="341"/>
      <c r="AW982" s="341"/>
      <c r="AX982" s="341"/>
      <c r="AY982" s="341"/>
      <c r="AZ982" s="341"/>
      <c r="BA982" s="341"/>
      <c r="BB982" s="341"/>
      <c r="BC982" s="341"/>
      <c r="BD982" s="341"/>
      <c r="BE982" s="341"/>
      <c r="BF982" s="341"/>
      <c r="BG982" s="341"/>
      <c r="BH982" s="341"/>
      <c r="BI982" s="341"/>
      <c r="BJ982" s="341"/>
      <c r="BK982" s="341"/>
      <c r="BL982" s="341"/>
      <c r="BM982" s="341"/>
      <c r="BN982" s="341"/>
      <c r="BO982" s="341"/>
      <c r="BP982" s="341"/>
      <c r="BQ982" s="341"/>
      <c r="BR982" s="341"/>
      <c r="BS982" s="341"/>
      <c r="BT982" s="341"/>
      <c r="BU982" s="341"/>
      <c r="BV982" s="341"/>
      <c r="BW982" s="341"/>
      <c r="BX982" s="341"/>
      <c r="BY982" s="341"/>
      <c r="BZ982" s="341"/>
      <c r="CA982" s="341"/>
      <c r="CB982" s="341"/>
      <c r="CC982" s="341"/>
      <c r="CD982" s="341"/>
      <c r="CE982" s="341"/>
      <c r="CF982" s="341"/>
      <c r="CG982" s="341"/>
      <c r="CH982" s="341"/>
      <c r="CI982" s="341"/>
      <c r="CJ982" s="341"/>
      <c r="CK982" s="341"/>
      <c r="CL982" s="341"/>
      <c r="CM982" s="341"/>
      <c r="CN982" s="341"/>
      <c r="CO982" s="341"/>
      <c r="CP982" s="341"/>
      <c r="CQ982" s="341"/>
      <c r="CR982" s="341"/>
      <c r="CS982" s="341"/>
      <c r="CT982" s="341"/>
      <c r="CU982" s="341"/>
      <c r="CV982" s="341"/>
      <c r="CW982" s="341"/>
      <c r="CX982" s="341"/>
      <c r="CY982" s="279"/>
      <c r="CZ982" s="279"/>
      <c r="DA982" s="279"/>
      <c r="DB982" s="279"/>
      <c r="DC982" s="279"/>
      <c r="DD982" s="279"/>
      <c r="DE982" s="279"/>
      <c r="DF982" s="280"/>
      <c r="DG982" s="340"/>
      <c r="DH982" s="341"/>
      <c r="DI982" s="279"/>
      <c r="DJ982" s="279"/>
      <c r="DK982" s="279"/>
      <c r="DL982" s="279"/>
      <c r="DM982" s="279"/>
      <c r="DN982" s="279"/>
      <c r="DO982" s="279"/>
    </row>
    <row r="983" spans="1:119" hidden="1">
      <c r="A983" s="1"/>
      <c r="B983" s="1"/>
      <c r="C983" s="1"/>
      <c r="D983" s="705" t="s">
        <v>826</v>
      </c>
      <c r="E983" s="74"/>
      <c r="F983" s="113"/>
      <c r="G983" s="113"/>
      <c r="H983" s="113"/>
      <c r="I983" s="113"/>
      <c r="J983" s="707">
        <f t="shared" ref="J983:AJ983" si="1215">+J915</f>
        <v>-6.5</v>
      </c>
      <c r="K983" s="707">
        <f t="shared" si="1215"/>
        <v>-7.3457999999999997</v>
      </c>
      <c r="L983" s="707">
        <f t="shared" si="1215"/>
        <v>-0.53005000000000002</v>
      </c>
      <c r="M983" s="707">
        <f t="shared" si="1215"/>
        <v>1.0204</v>
      </c>
      <c r="N983" s="707">
        <f t="shared" si="1215"/>
        <v>0.75351500000000005</v>
      </c>
      <c r="O983" s="707">
        <f t="shared" si="1215"/>
        <v>2.9958650000000002</v>
      </c>
      <c r="P983" s="707">
        <f t="shared" si="1215"/>
        <v>-1.065199999999999</v>
      </c>
      <c r="Q983" s="707">
        <f t="shared" si="1215"/>
        <v>-6.9795499999999988</v>
      </c>
      <c r="R983" s="707">
        <f t="shared" si="1215"/>
        <v>9.3000000000000007</v>
      </c>
      <c r="S983" s="707">
        <f t="shared" si="1215"/>
        <v>-18.100000000000001</v>
      </c>
      <c r="T983" s="707">
        <f t="shared" si="1215"/>
        <v>-21.2</v>
      </c>
      <c r="U983" s="707">
        <f t="shared" si="1215"/>
        <v>-18.100000000000001</v>
      </c>
      <c r="V983" s="707">
        <f t="shared" si="1215"/>
        <v>-19.616599999999998</v>
      </c>
      <c r="W983" s="707">
        <f t="shared" si="1215"/>
        <v>-22.8</v>
      </c>
      <c r="X983" s="707">
        <f t="shared" si="1215"/>
        <v>24.300000000000004</v>
      </c>
      <c r="Y983" s="707">
        <f t="shared" si="1215"/>
        <v>-30.777468490000032</v>
      </c>
      <c r="Z983" s="707">
        <f t="shared" si="1215"/>
        <v>9.2999999999999972</v>
      </c>
      <c r="AA983" s="707">
        <f t="shared" si="1215"/>
        <v>47.717359399490434</v>
      </c>
      <c r="AB983" s="707">
        <f t="shared" si="1215"/>
        <v>32.323315129000001</v>
      </c>
      <c r="AC983" s="707">
        <f t="shared" si="1215"/>
        <v>-5.8731269525779339</v>
      </c>
      <c r="AD983" s="707">
        <f t="shared" si="1215"/>
        <v>66.906675090999997</v>
      </c>
      <c r="AE983" s="707">
        <f t="shared" si="1215"/>
        <v>0</v>
      </c>
      <c r="AF983" s="707">
        <f t="shared" si="1215"/>
        <v>0</v>
      </c>
      <c r="AG983" s="707">
        <f t="shared" si="1215"/>
        <v>0</v>
      </c>
      <c r="AH983" s="707">
        <f t="shared" si="1215"/>
        <v>0</v>
      </c>
      <c r="AI983" s="707">
        <f t="shared" si="1215"/>
        <v>0</v>
      </c>
      <c r="AJ983" s="707">
        <f t="shared" si="1215"/>
        <v>0</v>
      </c>
      <c r="AK983" s="707"/>
      <c r="AL983" s="707"/>
      <c r="AM983" s="707"/>
      <c r="AN983" s="707"/>
      <c r="AO983" s="707"/>
      <c r="AP983" s="707"/>
      <c r="AQ983" s="707"/>
      <c r="AR983" s="707"/>
      <c r="AS983" s="707"/>
      <c r="AT983" s="707"/>
      <c r="AU983" s="341"/>
      <c r="AV983" s="341"/>
      <c r="AW983" s="341"/>
      <c r="AX983" s="341"/>
      <c r="AY983" s="341"/>
      <c r="AZ983" s="341"/>
      <c r="BA983" s="341"/>
      <c r="BB983" s="341"/>
      <c r="BC983" s="341"/>
      <c r="BD983" s="341"/>
      <c r="BE983" s="341"/>
      <c r="BF983" s="341"/>
      <c r="BG983" s="341"/>
      <c r="BH983" s="341"/>
      <c r="BI983" s="341"/>
      <c r="BJ983" s="341"/>
      <c r="BK983" s="341"/>
      <c r="BL983" s="341"/>
      <c r="BM983" s="341"/>
      <c r="BN983" s="341"/>
      <c r="BO983" s="341"/>
      <c r="BP983" s="341"/>
      <c r="BQ983" s="341"/>
      <c r="BR983" s="341"/>
      <c r="BS983" s="341"/>
      <c r="BT983" s="341"/>
      <c r="BU983" s="341"/>
      <c r="BV983" s="341"/>
      <c r="BW983" s="341"/>
      <c r="BX983" s="341"/>
      <c r="BY983" s="341"/>
      <c r="BZ983" s="341"/>
      <c r="CA983" s="341"/>
      <c r="CB983" s="341"/>
      <c r="CC983" s="341"/>
      <c r="CD983" s="341"/>
      <c r="CE983" s="341"/>
      <c r="CF983" s="341"/>
      <c r="CG983" s="341"/>
      <c r="CH983" s="341"/>
      <c r="CI983" s="341"/>
      <c r="CJ983" s="341"/>
      <c r="CK983" s="341"/>
      <c r="CL983" s="341"/>
      <c r="CM983" s="341"/>
      <c r="CN983" s="341"/>
      <c r="CO983" s="341"/>
      <c r="CP983" s="341"/>
      <c r="CQ983" s="341"/>
      <c r="CR983" s="341"/>
      <c r="CS983" s="341"/>
      <c r="CT983" s="341"/>
      <c r="CU983" s="341"/>
      <c r="CV983" s="341"/>
      <c r="CW983" s="341"/>
      <c r="CX983" s="341"/>
      <c r="CY983" s="279"/>
      <c r="CZ983" s="279"/>
      <c r="DA983" s="279"/>
      <c r="DB983" s="279"/>
      <c r="DC983" s="279"/>
      <c r="DD983" s="279"/>
      <c r="DE983" s="279"/>
      <c r="DF983" s="280"/>
      <c r="DG983" s="340"/>
      <c r="DH983" s="341"/>
      <c r="DI983" s="279"/>
      <c r="DJ983" s="279"/>
      <c r="DK983" s="279"/>
      <c r="DL983" s="279"/>
      <c r="DM983" s="279"/>
      <c r="DN983" s="279"/>
      <c r="DO983" s="279"/>
    </row>
    <row r="984" spans="1:119" hidden="1">
      <c r="A984" s="1"/>
      <c r="B984" s="1"/>
      <c r="C984" s="1"/>
      <c r="D984" s="705" t="s">
        <v>854</v>
      </c>
      <c r="E984" s="74"/>
      <c r="F984" s="113"/>
      <c r="G984" s="113"/>
      <c r="H984" s="113"/>
      <c r="I984" s="113"/>
      <c r="J984" s="707">
        <f t="shared" ref="J984:AJ984" si="1216">+J916</f>
        <v>0</v>
      </c>
      <c r="K984" s="707">
        <f t="shared" si="1216"/>
        <v>0</v>
      </c>
      <c r="L984" s="707">
        <f t="shared" si="1216"/>
        <v>0</v>
      </c>
      <c r="M984" s="707">
        <f t="shared" si="1216"/>
        <v>0</v>
      </c>
      <c r="N984" s="707">
        <f t="shared" si="1216"/>
        <v>0</v>
      </c>
      <c r="O984" s="707">
        <f t="shared" si="1216"/>
        <v>0</v>
      </c>
      <c r="P984" s="707">
        <f t="shared" si="1216"/>
        <v>0</v>
      </c>
      <c r="Q984" s="707">
        <f t="shared" si="1216"/>
        <v>0</v>
      </c>
      <c r="R984" s="707">
        <f t="shared" si="1216"/>
        <v>0</v>
      </c>
      <c r="S984" s="707">
        <f t="shared" si="1216"/>
        <v>0</v>
      </c>
      <c r="T984" s="707">
        <f t="shared" si="1216"/>
        <v>0</v>
      </c>
      <c r="U984" s="707">
        <f t="shared" si="1216"/>
        <v>0</v>
      </c>
      <c r="V984" s="707">
        <f t="shared" si="1216"/>
        <v>0</v>
      </c>
      <c r="W984" s="707">
        <f t="shared" si="1216"/>
        <v>0</v>
      </c>
      <c r="X984" s="707">
        <f t="shared" si="1216"/>
        <v>39.700000000000003</v>
      </c>
      <c r="Y984" s="707">
        <f t="shared" si="1216"/>
        <v>-11.653900000000032</v>
      </c>
      <c r="Z984" s="707">
        <f t="shared" si="1216"/>
        <v>30.9</v>
      </c>
      <c r="AA984" s="707">
        <f t="shared" si="1216"/>
        <v>59.256799999999984</v>
      </c>
      <c r="AB984" s="707">
        <f t="shared" si="1216"/>
        <v>52.947243921577929</v>
      </c>
      <c r="AC984" s="707">
        <f t="shared" si="1216"/>
        <v>23.252356078422068</v>
      </c>
      <c r="AD984" s="707">
        <f t="shared" si="1216"/>
        <v>115.41749999999999</v>
      </c>
      <c r="AE984" s="707">
        <f t="shared" si="1216"/>
        <v>49.792986081199999</v>
      </c>
      <c r="AF984" s="707">
        <f t="shared" si="1216"/>
        <v>57.334954867739597</v>
      </c>
      <c r="AG984" s="707">
        <f t="shared" si="1216"/>
        <v>0</v>
      </c>
      <c r="AH984" s="707">
        <f t="shared" si="1216"/>
        <v>7.8306508299999997</v>
      </c>
      <c r="AI984" s="707">
        <f t="shared" si="1216"/>
        <v>0</v>
      </c>
      <c r="AJ984" s="707">
        <f t="shared" si="1216"/>
        <v>0</v>
      </c>
      <c r="AK984" s="707"/>
      <c r="AL984" s="707"/>
      <c r="AM984" s="707"/>
      <c r="AN984" s="707"/>
      <c r="AO984" s="707"/>
      <c r="AP984" s="707"/>
      <c r="AQ984" s="707"/>
      <c r="AR984" s="707"/>
      <c r="AS984" s="707"/>
      <c r="AT984" s="707"/>
      <c r="AU984" s="341"/>
      <c r="AV984" s="341"/>
      <c r="AW984" s="341"/>
      <c r="AX984" s="341"/>
      <c r="AY984" s="341"/>
      <c r="AZ984" s="341"/>
      <c r="BA984" s="341"/>
      <c r="BB984" s="341"/>
      <c r="BC984" s="341"/>
      <c r="BD984" s="341"/>
      <c r="BE984" s="341"/>
      <c r="BF984" s="341"/>
      <c r="BG984" s="341"/>
      <c r="BH984" s="341"/>
      <c r="BI984" s="341"/>
      <c r="BJ984" s="341"/>
      <c r="BK984" s="341"/>
      <c r="BL984" s="341"/>
      <c r="BM984" s="341"/>
      <c r="BN984" s="341"/>
      <c r="BO984" s="341"/>
      <c r="BP984" s="341"/>
      <c r="BQ984" s="341"/>
      <c r="BR984" s="341"/>
      <c r="BS984" s="341"/>
      <c r="BT984" s="341"/>
      <c r="BU984" s="341"/>
      <c r="BV984" s="341"/>
      <c r="BW984" s="341"/>
      <c r="BX984" s="341"/>
      <c r="BY984" s="341"/>
      <c r="BZ984" s="341"/>
      <c r="CA984" s="341"/>
      <c r="CB984" s="341"/>
      <c r="CC984" s="341"/>
      <c r="CD984" s="341"/>
      <c r="CE984" s="341"/>
      <c r="CF984" s="341"/>
      <c r="CG984" s="341"/>
      <c r="CH984" s="341"/>
      <c r="CI984" s="341"/>
      <c r="CJ984" s="341"/>
      <c r="CK984" s="341"/>
      <c r="CL984" s="341"/>
      <c r="CM984" s="341"/>
      <c r="CN984" s="341"/>
      <c r="CO984" s="341"/>
      <c r="CP984" s="341"/>
      <c r="CQ984" s="341"/>
      <c r="CR984" s="341"/>
      <c r="CS984" s="341"/>
      <c r="CT984" s="341"/>
      <c r="CU984" s="341"/>
      <c r="CV984" s="341"/>
      <c r="CW984" s="341"/>
      <c r="CX984" s="341"/>
      <c r="CY984" s="279"/>
      <c r="CZ984" s="279"/>
      <c r="DA984" s="279"/>
      <c r="DB984" s="279"/>
      <c r="DC984" s="279"/>
      <c r="DD984" s="279"/>
      <c r="DE984" s="279"/>
      <c r="DF984" s="280"/>
      <c r="DG984" s="340"/>
      <c r="DH984" s="341"/>
      <c r="DI984" s="279"/>
      <c r="DJ984" s="279"/>
      <c r="DK984" s="279"/>
      <c r="DL984" s="279"/>
      <c r="DM984" s="279"/>
      <c r="DN984" s="279"/>
      <c r="DO984" s="279"/>
    </row>
    <row r="985" spans="1:119" hidden="1">
      <c r="A985" s="1"/>
      <c r="B985" s="1"/>
      <c r="C985" s="1"/>
      <c r="D985" s="1182" t="s">
        <v>751</v>
      </c>
      <c r="E985" s="1182"/>
      <c r="F985" s="1182"/>
      <c r="G985" s="1182"/>
      <c r="H985" s="1182"/>
      <c r="I985" s="1182"/>
      <c r="J985" s="1182"/>
      <c r="K985" s="1182"/>
      <c r="L985" s="1182"/>
      <c r="M985" s="1182"/>
      <c r="N985" s="1182"/>
      <c r="O985" s="1182"/>
      <c r="P985" s="1182"/>
      <c r="Q985" s="1182"/>
      <c r="R985" s="1182"/>
      <c r="S985" s="1182"/>
      <c r="T985" s="1182"/>
      <c r="U985" s="1182"/>
      <c r="V985" s="1182"/>
      <c r="W985" s="1182"/>
      <c r="X985" s="1182"/>
      <c r="Y985" s="1182"/>
      <c r="Z985" s="1182"/>
      <c r="AA985" s="1182"/>
      <c r="AB985" s="1182" t="str">
        <f>+IF(ABS(AB924)&gt;10,AB924,"")</f>
        <v/>
      </c>
      <c r="AC985" s="1182" t="str">
        <f>+IF(ABS(AC924)&gt;10,AC924,"")</f>
        <v/>
      </c>
      <c r="AD985" s="1182" t="str">
        <f>+IF(ABS(AD924)&gt;10,AD924,"")</f>
        <v/>
      </c>
      <c r="AE985" s="1182" t="str">
        <f>+IF(ABS(AE924)&gt;10,AE924,"")</f>
        <v/>
      </c>
      <c r="AF985" s="1182">
        <f>+IF(ABS(AF924)&gt;10,AF924,"")</f>
        <v>161.47709796857001</v>
      </c>
      <c r="AG985" s="1182"/>
      <c r="AH985" s="1182"/>
      <c r="AI985" s="1182"/>
      <c r="AJ985" s="1182"/>
      <c r="AK985" s="1182"/>
      <c r="AL985" s="1182"/>
      <c r="AM985" s="1182"/>
      <c r="AN985" s="1182"/>
      <c r="AO985" s="1182"/>
      <c r="AP985" s="1182"/>
      <c r="AQ985" s="1182"/>
      <c r="AR985" s="1182"/>
      <c r="AS985" s="1182"/>
      <c r="AT985" s="1182"/>
      <c r="AU985" s="341"/>
      <c r="AV985" s="341"/>
      <c r="AW985" s="341"/>
      <c r="AX985" s="341"/>
      <c r="AY985" s="341"/>
      <c r="AZ985" s="341"/>
      <c r="BA985" s="341"/>
      <c r="BB985" s="341"/>
      <c r="BC985" s="341"/>
      <c r="BD985" s="341"/>
      <c r="BE985" s="341"/>
      <c r="BF985" s="341"/>
      <c r="BG985" s="341"/>
      <c r="BH985" s="341"/>
      <c r="BI985" s="341"/>
      <c r="BJ985" s="341"/>
      <c r="BK985" s="341"/>
      <c r="BL985" s="341"/>
      <c r="BM985" s="341"/>
      <c r="BN985" s="341"/>
      <c r="BO985" s="341"/>
      <c r="BP985" s="341"/>
      <c r="BQ985" s="341"/>
      <c r="BR985" s="341"/>
      <c r="BS985" s="341"/>
      <c r="BT985" s="341"/>
      <c r="BU985" s="341"/>
      <c r="BV985" s="341"/>
      <c r="BW985" s="341"/>
      <c r="BX985" s="341"/>
      <c r="BY985" s="341"/>
      <c r="BZ985" s="341"/>
      <c r="CA985" s="341"/>
      <c r="CB985" s="341"/>
      <c r="CC985" s="341"/>
      <c r="CD985" s="341"/>
      <c r="CE985" s="341"/>
      <c r="CF985" s="341"/>
      <c r="CG985" s="341"/>
      <c r="CH985" s="341"/>
      <c r="CI985" s="341"/>
      <c r="CJ985" s="341"/>
      <c r="CK985" s="341"/>
      <c r="CL985" s="341"/>
      <c r="CM985" s="341"/>
      <c r="CN985" s="341"/>
      <c r="CO985" s="341"/>
      <c r="CP985" s="341"/>
      <c r="CQ985" s="341"/>
      <c r="CR985" s="341"/>
      <c r="CS985" s="341"/>
      <c r="CT985" s="341"/>
      <c r="CU985" s="341"/>
      <c r="CV985" s="341"/>
      <c r="CW985" s="341"/>
      <c r="CX985" s="341"/>
      <c r="CY985" s="279"/>
      <c r="CZ985" s="279"/>
      <c r="DA985" s="279"/>
      <c r="DB985" s="279"/>
      <c r="DC985" s="279"/>
      <c r="DD985" s="279"/>
      <c r="DE985" s="279"/>
      <c r="DF985" s="280"/>
      <c r="DG985" s="340"/>
      <c r="DH985" s="341"/>
      <c r="DI985" s="279"/>
      <c r="DJ985" s="279"/>
      <c r="DK985" s="279"/>
      <c r="DL985" s="279"/>
      <c r="DM985" s="279"/>
      <c r="DN985" s="279"/>
      <c r="DO985" s="279"/>
    </row>
    <row r="986" spans="1:119" hidden="1">
      <c r="A986" s="1"/>
      <c r="B986" s="1"/>
      <c r="C986" s="1"/>
      <c r="D986" s="1173"/>
      <c r="E986" s="1173"/>
      <c r="F986" s="113"/>
      <c r="G986" s="113"/>
      <c r="H986" s="113"/>
      <c r="I986" s="113"/>
      <c r="J986" s="586"/>
      <c r="K986" s="586"/>
      <c r="L986" s="586"/>
      <c r="M986" s="586"/>
      <c r="N986" s="586"/>
      <c r="O986" s="586"/>
      <c r="P986" s="586"/>
      <c r="Q986" s="586"/>
      <c r="R986" s="586"/>
      <c r="S986" s="586"/>
      <c r="T986" s="586"/>
      <c r="U986" s="586"/>
      <c r="V986" s="586"/>
      <c r="W986" s="586"/>
      <c r="X986" s="586"/>
      <c r="Y986" s="586"/>
      <c r="Z986" s="586"/>
      <c r="AA986" s="586"/>
      <c r="AB986" s="586"/>
      <c r="AC986" s="586"/>
      <c r="AD986" s="1173"/>
      <c r="AE986" s="1173"/>
      <c r="AF986" s="586"/>
      <c r="AG986" s="586"/>
      <c r="AH986" s="586"/>
      <c r="AI986" s="586"/>
      <c r="AJ986" s="586"/>
      <c r="AK986" s="586"/>
      <c r="AL986" s="586"/>
      <c r="AM986" s="586"/>
      <c r="AN986" s="586"/>
      <c r="AO986" s="586"/>
      <c r="AP986" s="586"/>
      <c r="AQ986" s="586"/>
      <c r="AR986" s="586"/>
      <c r="AS986" s="586"/>
      <c r="AT986" s="586"/>
      <c r="AU986" s="341"/>
      <c r="AV986" s="341"/>
      <c r="AW986" s="341"/>
      <c r="AX986" s="341"/>
      <c r="AY986" s="341"/>
      <c r="AZ986" s="341"/>
      <c r="BA986" s="341"/>
      <c r="BB986" s="341"/>
      <c r="BC986" s="341"/>
      <c r="BD986" s="341"/>
      <c r="BE986" s="341"/>
      <c r="BF986" s="341"/>
      <c r="BG986" s="341"/>
      <c r="BH986" s="341"/>
      <c r="BI986" s="341"/>
      <c r="BJ986" s="341"/>
      <c r="BK986" s="341"/>
      <c r="BL986" s="341"/>
      <c r="BM986" s="341"/>
      <c r="BN986" s="341"/>
      <c r="BO986" s="341"/>
      <c r="BP986" s="341"/>
      <c r="BQ986" s="341"/>
      <c r="BR986" s="341"/>
      <c r="BS986" s="341"/>
      <c r="BT986" s="341"/>
      <c r="BU986" s="341"/>
      <c r="BV986" s="341"/>
      <c r="BW986" s="341"/>
      <c r="BX986" s="341"/>
      <c r="BY986" s="341"/>
      <c r="BZ986" s="341"/>
      <c r="CA986" s="341"/>
      <c r="CB986" s="341"/>
      <c r="CC986" s="341"/>
      <c r="CD986" s="341"/>
      <c r="CE986" s="341"/>
      <c r="CF986" s="341"/>
      <c r="CG986" s="341"/>
      <c r="CH986" s="341"/>
      <c r="CI986" s="341"/>
      <c r="CJ986" s="341"/>
      <c r="CK986" s="341"/>
      <c r="CL986" s="341"/>
      <c r="CM986" s="341"/>
      <c r="CN986" s="341"/>
      <c r="CO986" s="341"/>
      <c r="CP986" s="341"/>
      <c r="CQ986" s="341"/>
      <c r="CR986" s="341"/>
      <c r="CS986" s="341"/>
      <c r="CT986" s="341"/>
      <c r="CU986" s="341"/>
      <c r="CV986" s="341"/>
      <c r="CW986" s="341"/>
      <c r="CX986" s="341"/>
      <c r="CY986" s="279"/>
      <c r="CZ986" s="279"/>
      <c r="DA986" s="279"/>
      <c r="DB986" s="279"/>
      <c r="DC986" s="279"/>
      <c r="DD986" s="279"/>
      <c r="DE986" s="279"/>
      <c r="DF986" s="280"/>
      <c r="DG986" s="340"/>
      <c r="DH986" s="341"/>
      <c r="DI986" s="279"/>
      <c r="DJ986" s="279"/>
      <c r="DK986" s="279"/>
      <c r="DL986" s="279"/>
      <c r="DM986" s="279"/>
      <c r="DN986" s="279"/>
      <c r="DO986" s="279"/>
    </row>
    <row r="987" spans="1:119" hidden="1">
      <c r="A987" s="1"/>
      <c r="B987" s="1"/>
      <c r="C987" s="1"/>
      <c r="D987" s="1174" t="str">
        <f t="shared" ref="D987:Z987" si="1217">D927</f>
        <v>Memorandum Item</v>
      </c>
      <c r="E987" s="1174">
        <f t="shared" si="1217"/>
        <v>0</v>
      </c>
      <c r="F987" s="1174">
        <f t="shared" si="1217"/>
        <v>0</v>
      </c>
      <c r="G987" s="1174">
        <f t="shared" si="1217"/>
        <v>0</v>
      </c>
      <c r="H987" s="1174">
        <f t="shared" si="1217"/>
        <v>0</v>
      </c>
      <c r="I987" s="1174">
        <f t="shared" si="1217"/>
        <v>0</v>
      </c>
      <c r="J987" s="1174">
        <f t="shared" si="1217"/>
        <v>0</v>
      </c>
      <c r="K987" s="1174">
        <f t="shared" si="1217"/>
        <v>0</v>
      </c>
      <c r="L987" s="1174">
        <f t="shared" si="1217"/>
        <v>0</v>
      </c>
      <c r="M987" s="1174">
        <f t="shared" si="1217"/>
        <v>0</v>
      </c>
      <c r="N987" s="1174">
        <f t="shared" si="1217"/>
        <v>0</v>
      </c>
      <c r="O987" s="1174">
        <f t="shared" si="1217"/>
        <v>0</v>
      </c>
      <c r="P987" s="1174">
        <f t="shared" si="1217"/>
        <v>0</v>
      </c>
      <c r="Q987" s="1174">
        <f t="shared" si="1217"/>
        <v>0</v>
      </c>
      <c r="R987" s="1174">
        <f t="shared" si="1217"/>
        <v>0</v>
      </c>
      <c r="S987" s="1174">
        <f t="shared" si="1217"/>
        <v>0</v>
      </c>
      <c r="T987" s="1174">
        <f t="shared" si="1217"/>
        <v>0</v>
      </c>
      <c r="U987" s="1174">
        <f t="shared" si="1217"/>
        <v>0</v>
      </c>
      <c r="V987" s="1174">
        <f t="shared" si="1217"/>
        <v>0</v>
      </c>
      <c r="W987" s="1174">
        <f t="shared" si="1217"/>
        <v>0</v>
      </c>
      <c r="X987" s="1174">
        <f t="shared" si="1217"/>
        <v>0</v>
      </c>
      <c r="Y987" s="1174">
        <f t="shared" si="1217"/>
        <v>0</v>
      </c>
      <c r="Z987" s="1174">
        <f t="shared" si="1217"/>
        <v>14.299999999999997</v>
      </c>
      <c r="AA987" s="1210" t="str">
        <f>AA943</f>
        <v>2015/16</v>
      </c>
      <c r="AB987" s="1210" t="str">
        <f>AB943</f>
        <v>2016/17</v>
      </c>
      <c r="AC987" s="1210" t="str">
        <f>AC943</f>
        <v>2017/18</v>
      </c>
      <c r="AD987" s="1174" t="str">
        <f t="shared" ref="AD987:AJ987" si="1218">AD927</f>
        <v>2018/19</v>
      </c>
      <c r="AE987" s="1174" t="str">
        <f t="shared" si="1218"/>
        <v>2019/20</v>
      </c>
      <c r="AF987" s="1174" t="str">
        <f t="shared" si="1218"/>
        <v>2020/21</v>
      </c>
      <c r="AG987" s="1174" t="str">
        <f t="shared" si="1218"/>
        <v>2021/22</v>
      </c>
      <c r="AH987" s="1174" t="str">
        <f t="shared" si="1218"/>
        <v>2022/23</v>
      </c>
      <c r="AI987" s="1174" t="str">
        <f t="shared" si="1218"/>
        <v>2023/24</v>
      </c>
      <c r="AJ987" s="1174" t="str">
        <f t="shared" si="1218"/>
        <v>2024/25</v>
      </c>
      <c r="AK987" s="1174"/>
      <c r="AL987" s="1174"/>
      <c r="AM987" s="1174"/>
      <c r="AN987" s="1174"/>
      <c r="AO987" s="1174"/>
      <c r="AP987" s="1174"/>
      <c r="AQ987" s="1174"/>
      <c r="AR987" s="1174"/>
      <c r="AS987" s="1174"/>
      <c r="AT987" s="1174"/>
      <c r="AU987" s="341"/>
      <c r="AV987" s="341"/>
      <c r="AW987" s="341"/>
      <c r="AX987" s="341"/>
      <c r="AY987" s="341"/>
      <c r="AZ987" s="341"/>
      <c r="BA987" s="341"/>
      <c r="BB987" s="341"/>
      <c r="BC987" s="341"/>
      <c r="BD987" s="341"/>
      <c r="BE987" s="341"/>
      <c r="BF987" s="341"/>
      <c r="BG987" s="341"/>
      <c r="BH987" s="341"/>
      <c r="BI987" s="341"/>
      <c r="BJ987" s="341"/>
      <c r="BK987" s="341"/>
      <c r="BL987" s="341"/>
      <c r="BM987" s="341"/>
      <c r="BN987" s="341"/>
      <c r="BO987" s="341"/>
      <c r="BP987" s="341"/>
      <c r="BQ987" s="341"/>
      <c r="BR987" s="341"/>
      <c r="BS987" s="341"/>
      <c r="BT987" s="341"/>
      <c r="BU987" s="341"/>
      <c r="BV987" s="341"/>
      <c r="BW987" s="341"/>
      <c r="BX987" s="341"/>
      <c r="BY987" s="341"/>
      <c r="BZ987" s="341"/>
      <c r="CA987" s="341"/>
      <c r="CB987" s="341"/>
      <c r="CC987" s="341"/>
      <c r="CD987" s="341"/>
      <c r="CE987" s="341"/>
      <c r="CF987" s="341"/>
      <c r="CG987" s="341"/>
      <c r="CH987" s="341"/>
      <c r="CI987" s="341"/>
      <c r="CJ987" s="341"/>
      <c r="CK987" s="341"/>
      <c r="CL987" s="341"/>
      <c r="CM987" s="341"/>
      <c r="CN987" s="341"/>
      <c r="CO987" s="341"/>
      <c r="CP987" s="341"/>
      <c r="CQ987" s="341"/>
      <c r="CR987" s="341"/>
      <c r="CS987" s="341"/>
      <c r="CT987" s="341"/>
      <c r="CU987" s="341"/>
      <c r="CV987" s="341"/>
      <c r="CW987" s="341"/>
      <c r="CX987" s="341"/>
      <c r="CY987" s="279"/>
      <c r="CZ987" s="279"/>
      <c r="DA987" s="279"/>
      <c r="DB987" s="279"/>
      <c r="DC987" s="279"/>
      <c r="DD987" s="279"/>
      <c r="DE987" s="279"/>
      <c r="DF987" s="280"/>
      <c r="DG987" s="340"/>
      <c r="DH987" s="341"/>
      <c r="DI987" s="279"/>
      <c r="DJ987" s="279"/>
      <c r="DK987" s="279"/>
      <c r="DL987" s="279"/>
      <c r="DM987" s="279"/>
      <c r="DN987" s="279"/>
      <c r="DO987" s="279"/>
    </row>
    <row r="988" spans="1:119" hidden="1">
      <c r="A988" s="1"/>
      <c r="B988" s="1"/>
      <c r="C988" s="1"/>
      <c r="D988" s="1175" t="str">
        <f t="shared" ref="D988:Z988" si="1219">D928</f>
        <v>Tax Loss due to COVID-19</v>
      </c>
      <c r="E988" s="1176">
        <f t="shared" si="1219"/>
        <v>0</v>
      </c>
      <c r="F988" s="1176">
        <f t="shared" si="1219"/>
        <v>0</v>
      </c>
      <c r="G988" s="1176">
        <f t="shared" si="1219"/>
        <v>0</v>
      </c>
      <c r="H988" s="1176">
        <f t="shared" si="1219"/>
        <v>0</v>
      </c>
      <c r="I988" s="1176">
        <f t="shared" si="1219"/>
        <v>0</v>
      </c>
      <c r="J988" s="1176">
        <f t="shared" si="1219"/>
        <v>0</v>
      </c>
      <c r="K988" s="1176">
        <f t="shared" si="1219"/>
        <v>0</v>
      </c>
      <c r="L988" s="1176">
        <f t="shared" si="1219"/>
        <v>0</v>
      </c>
      <c r="M988" s="1176">
        <f t="shared" si="1219"/>
        <v>0</v>
      </c>
      <c r="N988" s="1176">
        <f t="shared" si="1219"/>
        <v>0</v>
      </c>
      <c r="O988" s="1176">
        <f t="shared" si="1219"/>
        <v>0</v>
      </c>
      <c r="P988" s="1176">
        <f t="shared" si="1219"/>
        <v>0</v>
      </c>
      <c r="Q988" s="1176">
        <f t="shared" si="1219"/>
        <v>0</v>
      </c>
      <c r="R988" s="1176">
        <f t="shared" si="1219"/>
        <v>0</v>
      </c>
      <c r="S988" s="1176">
        <f t="shared" si="1219"/>
        <v>0</v>
      </c>
      <c r="T988" s="1176">
        <f t="shared" si="1219"/>
        <v>0</v>
      </c>
      <c r="U988" s="1176">
        <f t="shared" si="1219"/>
        <v>0</v>
      </c>
      <c r="V988" s="1176">
        <f t="shared" si="1219"/>
        <v>0</v>
      </c>
      <c r="W988" s="1176">
        <f t="shared" si="1219"/>
        <v>0</v>
      </c>
      <c r="X988" s="1176">
        <f t="shared" si="1219"/>
        <v>0</v>
      </c>
      <c r="Y988" s="1176">
        <f t="shared" si="1219"/>
        <v>0</v>
      </c>
      <c r="Z988" s="1176">
        <f t="shared" si="1219"/>
        <v>0</v>
      </c>
      <c r="AA988" s="1176">
        <f>AA928</f>
        <v>0</v>
      </c>
      <c r="AB988" s="1176">
        <f>AB928</f>
        <v>0</v>
      </c>
      <c r="AC988" s="1176">
        <f>AC928</f>
        <v>0</v>
      </c>
      <c r="AD988" s="1177"/>
      <c r="AE988" s="1177">
        <f>AE928</f>
        <v>193</v>
      </c>
      <c r="AF988" s="1177">
        <f>AF928</f>
        <v>367.94194427166008</v>
      </c>
      <c r="AG988" s="1177"/>
      <c r="AH988" s="1177"/>
      <c r="AI988" s="1177"/>
      <c r="AJ988" s="1177"/>
      <c r="AK988" s="1177"/>
      <c r="AL988" s="1177"/>
      <c r="AM988" s="1177"/>
      <c r="AN988" s="1177"/>
      <c r="AO988" s="1177"/>
      <c r="AP988" s="1177"/>
      <c r="AQ988" s="1177"/>
      <c r="AR988" s="1177"/>
      <c r="AS988" s="1177"/>
      <c r="AT988" s="1177"/>
      <c r="AU988" s="341"/>
      <c r="AV988" s="341"/>
      <c r="AW988" s="341"/>
      <c r="AX988" s="341"/>
      <c r="AY988" s="341"/>
      <c r="AZ988" s="341"/>
      <c r="BA988" s="341"/>
      <c r="BB988" s="341"/>
      <c r="BC988" s="341"/>
      <c r="BD988" s="341"/>
      <c r="BE988" s="341"/>
      <c r="BF988" s="341"/>
      <c r="BG988" s="341"/>
      <c r="BH988" s="341"/>
      <c r="BI988" s="341"/>
      <c r="BJ988" s="341"/>
      <c r="BK988" s="341"/>
      <c r="BL988" s="341"/>
      <c r="BM988" s="341"/>
      <c r="BN988" s="341"/>
      <c r="BO988" s="341"/>
      <c r="BP988" s="341"/>
      <c r="BQ988" s="341"/>
      <c r="BR988" s="341"/>
      <c r="BS988" s="341"/>
      <c r="BT988" s="341"/>
      <c r="BU988" s="341"/>
      <c r="BV988" s="341"/>
      <c r="BW988" s="341"/>
      <c r="BX988" s="341"/>
      <c r="BY988" s="341"/>
      <c r="BZ988" s="341"/>
      <c r="CA988" s="341"/>
      <c r="CB988" s="341"/>
      <c r="CC988" s="341"/>
      <c r="CD988" s="341"/>
      <c r="CE988" s="341"/>
      <c r="CF988" s="341"/>
      <c r="CG988" s="341"/>
      <c r="CH988" s="341"/>
      <c r="CI988" s="341"/>
      <c r="CJ988" s="341"/>
      <c r="CK988" s="341"/>
      <c r="CL988" s="341"/>
      <c r="CM988" s="341"/>
      <c r="CN988" s="341"/>
      <c r="CO988" s="341"/>
      <c r="CP988" s="341"/>
      <c r="CQ988" s="341"/>
      <c r="CR988" s="341"/>
      <c r="CS988" s="341"/>
      <c r="CT988" s="341"/>
      <c r="CU988" s="341"/>
      <c r="CV988" s="341"/>
      <c r="CW988" s="341"/>
      <c r="CX988" s="341"/>
      <c r="CY988" s="279"/>
      <c r="CZ988" s="279"/>
      <c r="DA988" s="279"/>
      <c r="DB988" s="279"/>
      <c r="DC988" s="279"/>
      <c r="DD988" s="279"/>
      <c r="DE988" s="279"/>
      <c r="DF988" s="280"/>
      <c r="DG988" s="340"/>
      <c r="DH988" s="341"/>
      <c r="DI988" s="279"/>
      <c r="DJ988" s="279"/>
      <c r="DK988" s="279"/>
      <c r="DL988" s="279"/>
      <c r="DM988" s="279"/>
      <c r="DN988" s="279"/>
      <c r="DO988" s="279"/>
    </row>
    <row r="989" spans="1:119" hidden="1">
      <c r="A989" s="1"/>
      <c r="B989" s="1"/>
      <c r="C989" s="1"/>
      <c r="D989" s="1205" t="str">
        <f t="shared" ref="D989:AJ989" si="1220">D930</f>
        <v>Financing Gap</v>
      </c>
      <c r="E989" s="1206">
        <f t="shared" si="1220"/>
        <v>0</v>
      </c>
      <c r="F989" s="1206">
        <f t="shared" si="1220"/>
        <v>0</v>
      </c>
      <c r="G989" s="1206">
        <f t="shared" si="1220"/>
        <v>0</v>
      </c>
      <c r="H989" s="1206">
        <f t="shared" si="1220"/>
        <v>0</v>
      </c>
      <c r="I989" s="1206">
        <f t="shared" si="1220"/>
        <v>0</v>
      </c>
      <c r="J989" s="1206">
        <f t="shared" si="1220"/>
        <v>0</v>
      </c>
      <c r="K989" s="1206">
        <f t="shared" si="1220"/>
        <v>0</v>
      </c>
      <c r="L989" s="1206">
        <f t="shared" si="1220"/>
        <v>0</v>
      </c>
      <c r="M989" s="1206">
        <f t="shared" si="1220"/>
        <v>0</v>
      </c>
      <c r="N989" s="1206">
        <f t="shared" si="1220"/>
        <v>0</v>
      </c>
      <c r="O989" s="1206">
        <f t="shared" si="1220"/>
        <v>0</v>
      </c>
      <c r="P989" s="1206">
        <f t="shared" si="1220"/>
        <v>0</v>
      </c>
      <c r="Q989" s="1206">
        <f t="shared" si="1220"/>
        <v>0</v>
      </c>
      <c r="R989" s="1206">
        <f t="shared" si="1220"/>
        <v>0</v>
      </c>
      <c r="S989" s="1206">
        <f t="shared" si="1220"/>
        <v>0</v>
      </c>
      <c r="T989" s="1206">
        <f t="shared" si="1220"/>
        <v>0</v>
      </c>
      <c r="U989" s="1206">
        <f t="shared" si="1220"/>
        <v>0</v>
      </c>
      <c r="V989" s="1206">
        <f t="shared" si="1220"/>
        <v>0</v>
      </c>
      <c r="W989" s="1206">
        <f t="shared" si="1220"/>
        <v>0</v>
      </c>
      <c r="X989" s="1206">
        <f t="shared" si="1220"/>
        <v>0</v>
      </c>
      <c r="Y989" s="1206">
        <f t="shared" si="1220"/>
        <v>0</v>
      </c>
      <c r="Z989" s="1206">
        <f t="shared" si="1220"/>
        <v>0</v>
      </c>
      <c r="AA989" s="1207">
        <f t="shared" si="1220"/>
        <v>0</v>
      </c>
      <c r="AB989" s="1207">
        <f t="shared" si="1220"/>
        <v>0</v>
      </c>
      <c r="AC989" s="1207">
        <f t="shared" si="1220"/>
        <v>0</v>
      </c>
      <c r="AD989" s="1208">
        <f t="shared" si="1220"/>
        <v>0</v>
      </c>
      <c r="AE989" s="1209">
        <f t="shared" si="1220"/>
        <v>0</v>
      </c>
      <c r="AF989" s="1209">
        <f t="shared" si="1220"/>
        <v>12.538470713118826</v>
      </c>
      <c r="AG989" s="1209">
        <f t="shared" si="1220"/>
        <v>0</v>
      </c>
      <c r="AH989" s="1209">
        <f t="shared" si="1220"/>
        <v>0</v>
      </c>
      <c r="AI989" s="1209">
        <f t="shared" si="1220"/>
        <v>0</v>
      </c>
      <c r="AJ989" s="1209">
        <f t="shared" si="1220"/>
        <v>0</v>
      </c>
      <c r="AK989" s="1209"/>
      <c r="AL989" s="1209"/>
      <c r="AM989" s="1209"/>
      <c r="AN989" s="1209"/>
      <c r="AO989" s="1209"/>
      <c r="AP989" s="1209"/>
      <c r="AQ989" s="1209"/>
      <c r="AR989" s="1209"/>
      <c r="AS989" s="1209"/>
      <c r="AT989" s="1209"/>
      <c r="AU989" s="341"/>
      <c r="AV989" s="341"/>
      <c r="AW989" s="341"/>
      <c r="AX989" s="341"/>
      <c r="AY989" s="341"/>
      <c r="AZ989" s="341"/>
      <c r="BA989" s="341"/>
      <c r="BB989" s="341"/>
      <c r="BC989" s="341"/>
      <c r="BD989" s="341"/>
      <c r="BE989" s="341"/>
      <c r="BF989" s="341"/>
      <c r="BG989" s="341"/>
      <c r="BH989" s="341"/>
      <c r="BI989" s="341"/>
      <c r="BJ989" s="341"/>
      <c r="BK989" s="341"/>
      <c r="BL989" s="341"/>
      <c r="BM989" s="341"/>
      <c r="BN989" s="341"/>
      <c r="BO989" s="341"/>
      <c r="BP989" s="341"/>
      <c r="BQ989" s="341"/>
      <c r="BR989" s="341"/>
      <c r="BS989" s="341"/>
      <c r="BT989" s="341"/>
      <c r="BU989" s="341"/>
      <c r="BV989" s="341"/>
      <c r="BW989" s="341"/>
      <c r="BX989" s="341"/>
      <c r="BY989" s="341"/>
      <c r="BZ989" s="341"/>
      <c r="CA989" s="341"/>
      <c r="CB989" s="341"/>
      <c r="CC989" s="341"/>
      <c r="CD989" s="341"/>
      <c r="CE989" s="341"/>
      <c r="CF989" s="341"/>
      <c r="CG989" s="341"/>
      <c r="CH989" s="341"/>
      <c r="CI989" s="341"/>
      <c r="CJ989" s="341"/>
      <c r="CK989" s="341"/>
      <c r="CL989" s="341"/>
      <c r="CM989" s="341"/>
      <c r="CN989" s="341"/>
      <c r="CO989" s="341"/>
      <c r="CP989" s="341"/>
      <c r="CQ989" s="341"/>
      <c r="CR989" s="341"/>
      <c r="CS989" s="341"/>
      <c r="CT989" s="341"/>
      <c r="CU989" s="341"/>
      <c r="CV989" s="341"/>
      <c r="CW989" s="341"/>
      <c r="CX989" s="341"/>
      <c r="CY989" s="279"/>
      <c r="CZ989" s="279"/>
      <c r="DA989" s="279"/>
      <c r="DB989" s="279"/>
      <c r="DC989" s="279"/>
      <c r="DD989" s="279"/>
      <c r="DE989" s="279"/>
      <c r="DF989" s="280"/>
      <c r="DG989" s="340"/>
      <c r="DH989" s="341"/>
      <c r="DI989" s="279"/>
      <c r="DJ989" s="279"/>
      <c r="DK989" s="279"/>
      <c r="DL989" s="279"/>
      <c r="DM989" s="279"/>
      <c r="DN989" s="279"/>
      <c r="DO989" s="279"/>
    </row>
    <row r="990" spans="1:119" hidden="1">
      <c r="A990" s="1"/>
      <c r="B990" s="1"/>
      <c r="C990" s="1"/>
      <c r="D990" s="1178" t="str">
        <f t="shared" ref="D990:AJ990" si="1221">D931</f>
        <v>Nominal GDP FY</v>
      </c>
      <c r="E990" s="1179">
        <f t="shared" si="1221"/>
        <v>0</v>
      </c>
      <c r="F990" s="1179">
        <f t="shared" si="1221"/>
        <v>0</v>
      </c>
      <c r="G990" s="1179">
        <f t="shared" si="1221"/>
        <v>0</v>
      </c>
      <c r="H990" s="1179">
        <f t="shared" si="1221"/>
        <v>0</v>
      </c>
      <c r="I990" s="1179">
        <f t="shared" si="1221"/>
        <v>0</v>
      </c>
      <c r="J990" s="1179">
        <f t="shared" si="1221"/>
        <v>0</v>
      </c>
      <c r="K990" s="1179">
        <f t="shared" si="1221"/>
        <v>0</v>
      </c>
      <c r="L990" s="1179">
        <f t="shared" si="1221"/>
        <v>0</v>
      </c>
      <c r="M990" s="1179">
        <f t="shared" si="1221"/>
        <v>0</v>
      </c>
      <c r="N990" s="1179">
        <f t="shared" si="1221"/>
        <v>0</v>
      </c>
      <c r="O990" s="1179">
        <f t="shared" si="1221"/>
        <v>0</v>
      </c>
      <c r="P990" s="1179">
        <f t="shared" si="1221"/>
        <v>0</v>
      </c>
      <c r="Q990" s="1179">
        <f t="shared" si="1221"/>
        <v>0</v>
      </c>
      <c r="R990" s="1179">
        <f t="shared" si="1221"/>
        <v>0</v>
      </c>
      <c r="S990" s="1179">
        <f t="shared" si="1221"/>
        <v>0</v>
      </c>
      <c r="T990" s="1179">
        <f t="shared" si="1221"/>
        <v>0</v>
      </c>
      <c r="U990" s="1179">
        <f t="shared" si="1221"/>
        <v>0</v>
      </c>
      <c r="V990" s="1179">
        <f t="shared" si="1221"/>
        <v>0</v>
      </c>
      <c r="W990" s="1179">
        <f t="shared" si="1221"/>
        <v>0</v>
      </c>
      <c r="X990" s="1179">
        <f t="shared" si="1221"/>
        <v>0</v>
      </c>
      <c r="Y990" s="1179">
        <f t="shared" si="1221"/>
        <v>0</v>
      </c>
      <c r="Z990" s="1179">
        <f t="shared" si="1221"/>
        <v>0</v>
      </c>
      <c r="AA990" s="1179">
        <f t="shared" si="1221"/>
        <v>6443</v>
      </c>
      <c r="AB990" s="1179">
        <f t="shared" si="1221"/>
        <v>7237</v>
      </c>
      <c r="AC990" s="1179">
        <f t="shared" si="1221"/>
        <v>7982</v>
      </c>
      <c r="AD990" s="1180">
        <f t="shared" si="1221"/>
        <v>8784</v>
      </c>
      <c r="AE990" s="1181">
        <f t="shared" si="1221"/>
        <v>9640</v>
      </c>
      <c r="AF990" s="1181">
        <f t="shared" si="1221"/>
        <v>10499</v>
      </c>
      <c r="AG990" s="1181">
        <f t="shared" si="1221"/>
        <v>12359</v>
      </c>
      <c r="AH990" s="1181">
        <f t="shared" si="1221"/>
        <v>15800</v>
      </c>
      <c r="AI990" s="1181">
        <f t="shared" si="1221"/>
        <v>18547.5</v>
      </c>
      <c r="AJ990" s="1181">
        <f t="shared" si="1221"/>
        <v>0</v>
      </c>
      <c r="AK990" s="1181"/>
      <c r="AL990" s="1181"/>
      <c r="AM990" s="1181"/>
      <c r="AN990" s="1181"/>
      <c r="AO990" s="1181"/>
      <c r="AP990" s="1181"/>
      <c r="AQ990" s="1181"/>
      <c r="AR990" s="1181"/>
      <c r="AS990" s="1181"/>
      <c r="AT990" s="1181"/>
      <c r="AU990" s="341"/>
      <c r="AV990" s="341"/>
      <c r="AW990" s="341"/>
      <c r="AX990" s="341"/>
      <c r="AY990" s="341"/>
      <c r="AZ990" s="341"/>
      <c r="BA990" s="341"/>
      <c r="BB990" s="341"/>
      <c r="BC990" s="341"/>
      <c r="BD990" s="341"/>
      <c r="BE990" s="341"/>
      <c r="BF990" s="341"/>
      <c r="BG990" s="341"/>
      <c r="BH990" s="341"/>
      <c r="BI990" s="341"/>
      <c r="BJ990" s="341"/>
      <c r="BK990" s="341"/>
      <c r="BL990" s="341"/>
      <c r="BM990" s="341"/>
      <c r="BN990" s="341"/>
      <c r="BO990" s="341"/>
      <c r="BP990" s="341"/>
      <c r="BQ990" s="341"/>
      <c r="BR990" s="341"/>
      <c r="BS990" s="341"/>
      <c r="BT990" s="341"/>
      <c r="BU990" s="341"/>
      <c r="BV990" s="341"/>
      <c r="BW990" s="341"/>
      <c r="BX990" s="341"/>
      <c r="BY990" s="341"/>
      <c r="BZ990" s="341"/>
      <c r="CA990" s="341"/>
      <c r="CB990" s="341"/>
      <c r="CC990" s="341"/>
      <c r="CD990" s="341"/>
      <c r="CE990" s="341"/>
      <c r="CF990" s="341"/>
      <c r="CG990" s="341"/>
      <c r="CH990" s="341"/>
      <c r="CI990" s="341"/>
      <c r="CJ990" s="341"/>
      <c r="CK990" s="341"/>
      <c r="CL990" s="341"/>
      <c r="CM990" s="341"/>
      <c r="CN990" s="341"/>
      <c r="CO990" s="341"/>
      <c r="CP990" s="341"/>
      <c r="CQ990" s="341"/>
      <c r="CR990" s="341"/>
      <c r="CS990" s="341"/>
      <c r="CT990" s="341"/>
      <c r="CU990" s="341"/>
      <c r="CV990" s="341"/>
      <c r="CW990" s="341"/>
      <c r="CX990" s="341"/>
      <c r="CY990" s="279"/>
      <c r="CZ990" s="279"/>
      <c r="DA990" s="279"/>
      <c r="DB990" s="279"/>
      <c r="DC990" s="279"/>
      <c r="DD990" s="279"/>
      <c r="DE990" s="279"/>
      <c r="DF990" s="280"/>
      <c r="DG990" s="340"/>
      <c r="DH990" s="341"/>
      <c r="DI990" s="279"/>
      <c r="DJ990" s="279"/>
      <c r="DK990" s="279"/>
      <c r="DL990" s="279"/>
      <c r="DM990" s="279"/>
      <c r="DN990" s="279"/>
      <c r="DO990" s="279"/>
    </row>
    <row r="991" spans="1:119" hidden="1">
      <c r="A991" s="1"/>
      <c r="B991" s="1"/>
      <c r="C991" s="1"/>
      <c r="D991" s="719" t="s">
        <v>750</v>
      </c>
      <c r="E991" s="74"/>
      <c r="F991" s="14"/>
      <c r="G991" s="14"/>
      <c r="H991" s="14"/>
      <c r="I991" s="14"/>
      <c r="J991" s="145" t="str">
        <f t="shared" ref="J991:U991" si="1222">+IF(ABS(J973+J975)&gt;1,+J973+J975,"")</f>
        <v/>
      </c>
      <c r="K991" s="145" t="str">
        <f t="shared" si="1222"/>
        <v/>
      </c>
      <c r="L991" s="145" t="str">
        <f t="shared" si="1222"/>
        <v/>
      </c>
      <c r="M991" s="145" t="str">
        <f t="shared" si="1222"/>
        <v/>
      </c>
      <c r="N991" s="145" t="str">
        <f t="shared" si="1222"/>
        <v/>
      </c>
      <c r="O991" s="145" t="str">
        <f t="shared" si="1222"/>
        <v/>
      </c>
      <c r="P991" s="145">
        <f t="shared" si="1222"/>
        <v>-12.233686280000004</v>
      </c>
      <c r="Q991" s="145">
        <f t="shared" si="1222"/>
        <v>-12.23368627999999</v>
      </c>
      <c r="R991" s="145" t="str">
        <f t="shared" si="1222"/>
        <v/>
      </c>
      <c r="S991" s="145" t="str">
        <f t="shared" si="1222"/>
        <v/>
      </c>
      <c r="T991" s="145" t="str">
        <f t="shared" si="1222"/>
        <v/>
      </c>
      <c r="U991" s="145">
        <f t="shared" si="1222"/>
        <v>1.8999999999999311</v>
      </c>
      <c r="V991" s="145">
        <f>+IF(ABS(V973+V975)&gt;1,+V973+V975,"")</f>
        <v>-6.2696256240000423</v>
      </c>
      <c r="W991" s="145">
        <f t="shared" ref="W991:AC991" si="1223">+IF(ABS(W973+W975)&gt;1,+W973+W975,"")</f>
        <v>-5.9000000000000057</v>
      </c>
      <c r="X991" s="145">
        <f t="shared" si="1223"/>
        <v>-24.775565843197541</v>
      </c>
      <c r="Y991" s="145">
        <f t="shared" si="1223"/>
        <v>4.8285252764869995</v>
      </c>
      <c r="Z991" s="145">
        <f t="shared" si="1223"/>
        <v>-99.44695852941328</v>
      </c>
      <c r="AA991" s="145">
        <f t="shared" si="1223"/>
        <v>-4.5833860984612329</v>
      </c>
      <c r="AB991" s="145" t="str">
        <f t="shared" si="1223"/>
        <v/>
      </c>
      <c r="AC991" s="145">
        <f t="shared" si="1223"/>
        <v>6.7981852251683677</v>
      </c>
      <c r="AD991" s="145">
        <v>935.26007217412496</v>
      </c>
      <c r="AE991" s="145">
        <v>993.23139802284004</v>
      </c>
      <c r="AF991" s="145">
        <v>1039.96708310588</v>
      </c>
      <c r="AG991" s="145">
        <v>1078.8628915812878</v>
      </c>
      <c r="AH991" s="145">
        <v>1113.8276964525976</v>
      </c>
      <c r="AI991" s="145">
        <v>1147.2425273461754</v>
      </c>
      <c r="AJ991" s="145">
        <v>1181.6598031665608</v>
      </c>
      <c r="AK991" s="145"/>
      <c r="AL991" s="145"/>
      <c r="AM991" s="145"/>
      <c r="AN991" s="145"/>
      <c r="AO991" s="145"/>
      <c r="AP991" s="145"/>
      <c r="AQ991" s="145"/>
      <c r="AR991" s="145"/>
      <c r="AS991" s="145"/>
      <c r="AT991" s="145"/>
      <c r="AU991" s="279"/>
      <c r="AV991" s="279"/>
      <c r="AW991" s="279"/>
      <c r="AX991" s="279"/>
      <c r="AY991" s="279"/>
      <c r="AZ991" s="279"/>
      <c r="BA991" s="279"/>
      <c r="BB991" s="279"/>
      <c r="BC991" s="279"/>
      <c r="BD991" s="279"/>
      <c r="BE991" s="279"/>
      <c r="BF991" s="279"/>
      <c r="BG991" s="279"/>
      <c r="BH991" s="279"/>
      <c r="BI991" s="279"/>
      <c r="BJ991" s="279"/>
      <c r="BK991" s="279"/>
      <c r="BL991" s="279"/>
      <c r="BM991" s="279"/>
      <c r="BN991" s="279"/>
      <c r="BO991" s="279"/>
      <c r="BP991" s="279"/>
      <c r="BQ991" s="279"/>
      <c r="BR991" s="279"/>
      <c r="BS991" s="279"/>
      <c r="BT991" s="279"/>
      <c r="BU991" s="279"/>
      <c r="BV991" s="279"/>
      <c r="BW991" s="279"/>
      <c r="BX991" s="279"/>
      <c r="BY991" s="279"/>
      <c r="BZ991" s="279"/>
      <c r="CA991" s="279"/>
      <c r="CB991" s="279"/>
      <c r="CC991" s="279"/>
      <c r="CD991" s="279"/>
      <c r="CE991" s="279"/>
      <c r="CF991" s="279"/>
      <c r="CG991" s="279"/>
      <c r="CH991" s="279"/>
      <c r="CI991" s="279"/>
      <c r="CJ991" s="279"/>
      <c r="CK991" s="279"/>
      <c r="CL991" s="279"/>
      <c r="CM991" s="279"/>
      <c r="CN991" s="279"/>
      <c r="CO991" s="279"/>
      <c r="CP991" s="279"/>
      <c r="CQ991" s="279"/>
      <c r="CR991" s="279"/>
      <c r="CS991" s="279"/>
      <c r="CT991" s="279"/>
      <c r="CU991" s="279"/>
      <c r="CV991" s="279"/>
      <c r="CW991" s="279"/>
      <c r="CX991" s="279"/>
      <c r="CY991" s="279"/>
      <c r="CZ991" s="279"/>
      <c r="DA991" s="279"/>
      <c r="DB991" s="279"/>
      <c r="DC991" s="279"/>
      <c r="DD991" s="279"/>
      <c r="DE991" s="279"/>
      <c r="DF991" s="280"/>
      <c r="DG991" s="281"/>
      <c r="DH991" s="279"/>
      <c r="DI991" s="279"/>
      <c r="DJ991" s="279"/>
      <c r="DK991" s="279"/>
      <c r="DL991" s="279"/>
      <c r="DM991" s="279"/>
      <c r="DN991" s="279"/>
      <c r="DO991" s="279"/>
    </row>
    <row r="992" spans="1:119" hidden="1">
      <c r="A992" s="1"/>
      <c r="B992" s="1"/>
      <c r="C992" s="1"/>
      <c r="D992" s="14"/>
      <c r="E992" s="74"/>
      <c r="F992" s="968"/>
      <c r="G992" s="968"/>
      <c r="H992" s="968"/>
      <c r="I992" s="968"/>
      <c r="J992" s="968" t="str">
        <f t="shared" ref="J992:V992" si="1224">J742</f>
        <v>1998/99</v>
      </c>
      <c r="K992" s="968" t="str">
        <f t="shared" si="1224"/>
        <v>1999/00</v>
      </c>
      <c r="L992" s="968" t="str">
        <f t="shared" si="1224"/>
        <v>2000/01</v>
      </c>
      <c r="M992" s="968" t="str">
        <f t="shared" si="1224"/>
        <v>2001/02</v>
      </c>
      <c r="N992" s="968" t="str">
        <f t="shared" si="1224"/>
        <v>2002/03</v>
      </c>
      <c r="O992" s="968" t="str">
        <f t="shared" si="1224"/>
        <v>2003/04</v>
      </c>
      <c r="P992" s="968" t="str">
        <f t="shared" si="1224"/>
        <v>2004/05</v>
      </c>
      <c r="Q992" s="968" t="str">
        <f t="shared" si="1224"/>
        <v>2005/06</v>
      </c>
      <c r="R992" s="968" t="str">
        <f t="shared" si="1224"/>
        <v>2006/07</v>
      </c>
      <c r="S992" s="968" t="str">
        <f t="shared" si="1224"/>
        <v>2007/08</v>
      </c>
      <c r="T992" s="968" t="str">
        <f t="shared" si="1224"/>
        <v>2008/09</v>
      </c>
      <c r="U992" s="968" t="str">
        <f t="shared" si="1224"/>
        <v>2009/10</v>
      </c>
      <c r="V992" s="968" t="str">
        <f t="shared" si="1224"/>
        <v>2010/11</v>
      </c>
      <c r="W992" s="103" t="s">
        <v>174</v>
      </c>
      <c r="X992" s="103" t="s">
        <v>175</v>
      </c>
      <c r="Y992" s="103" t="s">
        <v>176</v>
      </c>
      <c r="Z992" s="103" t="s">
        <v>177</v>
      </c>
      <c r="AA992" s="103" t="s">
        <v>178</v>
      </c>
      <c r="AB992" s="103" t="s">
        <v>179</v>
      </c>
      <c r="AC992" s="103" t="s">
        <v>180</v>
      </c>
      <c r="AD992" s="103" t="s">
        <v>181</v>
      </c>
      <c r="AE992" s="103" t="s">
        <v>182</v>
      </c>
      <c r="AF992" s="103" t="s">
        <v>1062</v>
      </c>
      <c r="AG992" s="103" t="s">
        <v>1088</v>
      </c>
      <c r="AH992" s="103" t="s">
        <v>1089</v>
      </c>
      <c r="AI992" s="103" t="s">
        <v>1090</v>
      </c>
      <c r="AJ992" s="103" t="s">
        <v>1091</v>
      </c>
      <c r="AK992" s="103"/>
      <c r="AL992" s="103"/>
      <c r="AM992" s="103"/>
      <c r="AN992" s="103"/>
      <c r="AO992" s="103"/>
      <c r="AP992" s="103"/>
      <c r="AQ992" s="103"/>
      <c r="AR992" s="103"/>
      <c r="AS992" s="103"/>
      <c r="AT992" s="103"/>
      <c r="AU992" s="279"/>
      <c r="AV992" s="279"/>
      <c r="AW992" s="279"/>
      <c r="AX992" s="279"/>
      <c r="AY992" s="279"/>
      <c r="AZ992" s="279"/>
      <c r="BA992" s="279"/>
      <c r="BB992" s="279"/>
      <c r="BC992" s="279"/>
      <c r="BD992" s="279"/>
      <c r="BE992" s="279"/>
      <c r="BF992" s="279"/>
      <c r="BG992" s="279"/>
      <c r="BH992" s="279"/>
      <c r="BI992" s="279"/>
      <c r="BJ992" s="279"/>
      <c r="BK992" s="279"/>
      <c r="BL992" s="279"/>
      <c r="BM992" s="279"/>
      <c r="BN992" s="279"/>
      <c r="BO992" s="279"/>
      <c r="BP992" s="279"/>
      <c r="BQ992" s="279"/>
      <c r="BR992" s="279"/>
      <c r="BS992" s="279"/>
      <c r="BT992" s="279"/>
      <c r="BU992" s="279"/>
      <c r="BV992" s="279"/>
      <c r="BW992" s="279"/>
      <c r="BX992" s="279"/>
      <c r="BY992" s="279"/>
      <c r="BZ992" s="279"/>
      <c r="CA992" s="279"/>
      <c r="CB992" s="279"/>
      <c r="CC992" s="279"/>
      <c r="CD992" s="279"/>
      <c r="CE992" s="279"/>
      <c r="CF992" s="279"/>
      <c r="CG992" s="279"/>
      <c r="CH992" s="279"/>
      <c r="CI992" s="279"/>
      <c r="CJ992" s="279"/>
      <c r="CK992" s="279"/>
      <c r="CL992" s="279"/>
      <c r="CM992" s="279"/>
      <c r="CN992" s="279"/>
      <c r="CO992" s="279"/>
      <c r="CP992" s="279"/>
      <c r="CQ992" s="279"/>
      <c r="CR992" s="279"/>
      <c r="CS992" s="279"/>
      <c r="CT992" s="279"/>
      <c r="CU992" s="279"/>
      <c r="CV992" s="279"/>
      <c r="CW992" s="279"/>
      <c r="CX992" s="279"/>
      <c r="CY992" s="279"/>
      <c r="CZ992" s="279"/>
      <c r="DA992" s="279"/>
      <c r="DB992" s="279"/>
      <c r="DC992" s="279"/>
      <c r="DD992" s="279"/>
      <c r="DE992" s="279"/>
      <c r="DF992" s="280"/>
      <c r="DG992" s="281"/>
      <c r="DH992" s="279"/>
      <c r="DI992" s="279"/>
      <c r="DJ992" s="279"/>
      <c r="DK992" s="279"/>
      <c r="DL992" s="279"/>
      <c r="DM992" s="279"/>
      <c r="DN992" s="279"/>
      <c r="DO992" s="279"/>
    </row>
    <row r="993" spans="1:119" hidden="1">
      <c r="A993" s="1"/>
      <c r="B993" s="1"/>
      <c r="C993" s="1"/>
      <c r="D993" s="708" t="s">
        <v>114</v>
      </c>
      <c r="E993" s="74"/>
      <c r="F993" s="113"/>
      <c r="G993" s="113"/>
      <c r="H993" s="113"/>
      <c r="I993" s="113"/>
      <c r="J993" s="714"/>
      <c r="K993" s="714">
        <f t="shared" ref="K993:AJ993" si="1225">+K944/K$303</f>
        <v>0.17910465268676282</v>
      </c>
      <c r="L993" s="714">
        <f t="shared" si="1225"/>
        <v>0.17553225998807395</v>
      </c>
      <c r="M993" s="714">
        <f t="shared" si="1225"/>
        <v>0.17783229916897508</v>
      </c>
      <c r="N993" s="714">
        <f t="shared" si="1225"/>
        <v>0.1772037926068171</v>
      </c>
      <c r="O993" s="714">
        <f t="shared" si="1225"/>
        <v>0.18759012296707656</v>
      </c>
      <c r="P993" s="714">
        <f t="shared" si="1225"/>
        <v>0.20582669951524935</v>
      </c>
      <c r="Q993" s="714">
        <f t="shared" si="1225"/>
        <v>0.20933382107549972</v>
      </c>
      <c r="R993" s="714">
        <f t="shared" si="1225"/>
        <v>0.19390457157132149</v>
      </c>
      <c r="S993" s="714">
        <f t="shared" si="1225"/>
        <v>0.20744595676541236</v>
      </c>
      <c r="T993" s="714">
        <f t="shared" si="1225"/>
        <v>0.22419786096256683</v>
      </c>
      <c r="U993" s="714">
        <f t="shared" si="1225"/>
        <v>0.2385165326184093</v>
      </c>
      <c r="V993" s="714">
        <f t="shared" si="1225"/>
        <v>0.22681117367030079</v>
      </c>
      <c r="W993" s="714">
        <f t="shared" si="1225"/>
        <v>0.23990395609421447</v>
      </c>
      <c r="X993" s="714">
        <f t="shared" si="1225"/>
        <v>0.22726404531622307</v>
      </c>
      <c r="Y993" s="714">
        <f t="shared" si="1225"/>
        <v>0.25233394471363896</v>
      </c>
      <c r="Z993" s="714">
        <f t="shared" si="1225"/>
        <v>0.24582749947537733</v>
      </c>
      <c r="AA993" s="714">
        <f t="shared" si="1225"/>
        <v>0.23170962672251796</v>
      </c>
      <c r="AB993" s="714">
        <f t="shared" si="1225"/>
        <v>0.2232640499505259</v>
      </c>
      <c r="AC993" s="714">
        <f t="shared" si="1225"/>
        <v>0.22806469967314538</v>
      </c>
      <c r="AD993" s="714">
        <f t="shared" si="1225"/>
        <v>0.22772706547025687</v>
      </c>
      <c r="AE993" s="714">
        <f t="shared" si="1225"/>
        <v>0.21597831659702077</v>
      </c>
      <c r="AF993" s="714">
        <f t="shared" si="1225"/>
        <v>0.20683256746349749</v>
      </c>
      <c r="AG993" s="714">
        <f t="shared" si="1225"/>
        <v>0.81367192416354428</v>
      </c>
      <c r="AH993" s="714">
        <f t="shared" si="1225"/>
        <v>0.92658144811497545</v>
      </c>
      <c r="AI993" s="714">
        <f t="shared" si="1225"/>
        <v>0.94255377991411116</v>
      </c>
      <c r="AJ993" s="714" t="e">
        <f t="shared" si="1225"/>
        <v>#DIV/0!</v>
      </c>
      <c r="AK993" s="714"/>
      <c r="AL993" s="714"/>
      <c r="AM993" s="714"/>
      <c r="AN993" s="714"/>
      <c r="AO993" s="714"/>
      <c r="AP993" s="714"/>
      <c r="AQ993" s="714"/>
      <c r="AR993" s="714"/>
      <c r="AS993" s="714"/>
      <c r="AT993" s="714"/>
      <c r="AU993" s="341"/>
      <c r="AV993" s="341"/>
      <c r="AW993" s="341"/>
      <c r="AX993" s="341"/>
      <c r="AY993" s="341"/>
      <c r="AZ993" s="341"/>
      <c r="BA993" s="341"/>
      <c r="BB993" s="341"/>
      <c r="BC993" s="341"/>
      <c r="BD993" s="341"/>
      <c r="BE993" s="341"/>
      <c r="BF993" s="341"/>
      <c r="BG993" s="341"/>
      <c r="BH993" s="341"/>
      <c r="BI993" s="341"/>
      <c r="BJ993" s="341"/>
      <c r="BK993" s="341"/>
      <c r="BL993" s="341"/>
      <c r="BM993" s="341"/>
      <c r="BN993" s="341"/>
      <c r="BO993" s="341"/>
      <c r="BP993" s="341"/>
      <c r="BQ993" s="341"/>
      <c r="BR993" s="341"/>
      <c r="BS993" s="341"/>
      <c r="BT993" s="341"/>
      <c r="BU993" s="341"/>
      <c r="BV993" s="341"/>
      <c r="BW993" s="341"/>
      <c r="BX993" s="341"/>
      <c r="BY993" s="341"/>
      <c r="BZ993" s="341"/>
      <c r="CA993" s="341"/>
      <c r="CB993" s="341"/>
      <c r="CC993" s="341"/>
      <c r="CD993" s="341"/>
      <c r="CE993" s="341"/>
      <c r="CF993" s="341"/>
      <c r="CG993" s="341"/>
      <c r="CH993" s="341"/>
      <c r="CI993" s="341"/>
      <c r="CJ993" s="341"/>
      <c r="CK993" s="341"/>
      <c r="CL993" s="341"/>
      <c r="CM993" s="341"/>
      <c r="CN993" s="341"/>
      <c r="CO993" s="341"/>
      <c r="CP993" s="341"/>
      <c r="CQ993" s="341"/>
      <c r="CR993" s="341"/>
      <c r="CS993" s="341"/>
      <c r="CT993" s="341"/>
      <c r="CU993" s="341"/>
      <c r="CV993" s="341"/>
      <c r="CW993" s="341"/>
      <c r="CX993" s="341"/>
      <c r="CY993" s="279"/>
      <c r="CZ993" s="279"/>
      <c r="DA993" s="279"/>
      <c r="DB993" s="279"/>
      <c r="DC993" s="279"/>
      <c r="DD993" s="279"/>
      <c r="DE993" s="279"/>
      <c r="DF993" s="280"/>
      <c r="DG993" s="340"/>
      <c r="DH993" s="341"/>
      <c r="DI993" s="279"/>
      <c r="DJ993" s="279"/>
      <c r="DK993" s="279"/>
      <c r="DL993" s="279"/>
      <c r="DM993" s="279"/>
      <c r="DN993" s="279"/>
      <c r="DO993" s="279"/>
    </row>
    <row r="994" spans="1:119" hidden="1">
      <c r="A994" s="1"/>
      <c r="B994" s="1"/>
      <c r="C994" s="1"/>
      <c r="D994" s="709" t="s">
        <v>116</v>
      </c>
      <c r="E994" s="74"/>
      <c r="F994" s="113"/>
      <c r="G994" s="113"/>
      <c r="H994" s="113"/>
      <c r="I994" s="113"/>
      <c r="J994" s="714"/>
      <c r="K994" s="714">
        <f t="shared" ref="K994:AJ994" si="1226">+K945/K$303</f>
        <v>8.7250065530799475E-2</v>
      </c>
      <c r="L994" s="714">
        <f t="shared" si="1226"/>
        <v>9.1528384019081699E-2</v>
      </c>
      <c r="M994" s="714">
        <f t="shared" si="1226"/>
        <v>0.10305722991689752</v>
      </c>
      <c r="N994" s="714">
        <f t="shared" si="1226"/>
        <v>0.1066288046087374</v>
      </c>
      <c r="O994" s="714">
        <f t="shared" si="1226"/>
        <v>0.10631126537088456</v>
      </c>
      <c r="P994" s="714">
        <f t="shared" si="1226"/>
        <v>0.10836071271077127</v>
      </c>
      <c r="Q994" s="714">
        <f t="shared" si="1226"/>
        <v>0.11243152929517722</v>
      </c>
      <c r="R994" s="714">
        <f t="shared" si="1226"/>
        <v>0.11656257806645014</v>
      </c>
      <c r="S994" s="714">
        <f t="shared" si="1226"/>
        <v>0.11621297037630104</v>
      </c>
      <c r="T994" s="714">
        <f t="shared" si="1226"/>
        <v>0.13806818181818181</v>
      </c>
      <c r="U994" s="714">
        <f t="shared" si="1226"/>
        <v>0.11659219541257075</v>
      </c>
      <c r="V994" s="714">
        <f t="shared" si="1226"/>
        <v>0.12723787278103244</v>
      </c>
      <c r="W994" s="714">
        <f t="shared" si="1226"/>
        <v>0.13530756917447978</v>
      </c>
      <c r="X994" s="714">
        <f t="shared" si="1226"/>
        <v>0.15196482946810094</v>
      </c>
      <c r="Y994" s="714">
        <f t="shared" si="1226"/>
        <v>0.16277783799843121</v>
      </c>
      <c r="Z994" s="714">
        <f t="shared" si="1226"/>
        <v>0.17375789325212265</v>
      </c>
      <c r="AA994" s="714">
        <f t="shared" si="1226"/>
        <v>0.1621967578056806</v>
      </c>
      <c r="AB994" s="714">
        <f t="shared" si="1226"/>
        <v>0.17763988469606706</v>
      </c>
      <c r="AC994" s="714">
        <f t="shared" si="1226"/>
        <v>0.18309994436511351</v>
      </c>
      <c r="AD994" s="714">
        <f t="shared" si="1226"/>
        <v>0.17294800046611739</v>
      </c>
      <c r="AE994" s="714">
        <f t="shared" si="1226"/>
        <v>0.17115650353912035</v>
      </c>
      <c r="AF994" s="714">
        <f t="shared" si="1226"/>
        <v>0.15994013151809885</v>
      </c>
      <c r="AG994" s="714">
        <f t="shared" si="1226"/>
        <v>0.74601190842665666</v>
      </c>
      <c r="AH994" s="714">
        <f t="shared" si="1226"/>
        <v>0.88156283083905518</v>
      </c>
      <c r="AI994" s="714">
        <f t="shared" si="1226"/>
        <v>0.90169562433572792</v>
      </c>
      <c r="AJ994" s="714" t="e">
        <f t="shared" si="1226"/>
        <v>#DIV/0!</v>
      </c>
      <c r="AK994" s="714"/>
      <c r="AL994" s="714"/>
      <c r="AM994" s="714"/>
      <c r="AN994" s="714"/>
      <c r="AO994" s="714"/>
      <c r="AP994" s="714"/>
      <c r="AQ994" s="714"/>
      <c r="AR994" s="714"/>
      <c r="AS994" s="714"/>
      <c r="AT994" s="714"/>
      <c r="AU994" s="341"/>
      <c r="AV994" s="341"/>
      <c r="AW994" s="341"/>
      <c r="AX994" s="341"/>
      <c r="AY994" s="341"/>
      <c r="AZ994" s="341"/>
      <c r="BA994" s="341"/>
      <c r="BB994" s="341"/>
      <c r="BC994" s="341"/>
      <c r="BD994" s="341"/>
      <c r="BE994" s="341"/>
      <c r="BF994" s="341"/>
      <c r="BG994" s="341"/>
      <c r="BH994" s="341"/>
      <c r="BI994" s="341"/>
      <c r="BJ994" s="341"/>
      <c r="BK994" s="341"/>
      <c r="BL994" s="341"/>
      <c r="BM994" s="341"/>
      <c r="BN994" s="341"/>
      <c r="BO994" s="341"/>
      <c r="BP994" s="341"/>
      <c r="BQ994" s="341"/>
      <c r="BR994" s="341"/>
      <c r="BS994" s="341"/>
      <c r="BT994" s="341"/>
      <c r="BU994" s="341"/>
      <c r="BV994" s="341"/>
      <c r="BW994" s="341"/>
      <c r="BX994" s="341"/>
      <c r="BY994" s="341"/>
      <c r="BZ994" s="341"/>
      <c r="CA994" s="341"/>
      <c r="CB994" s="341"/>
      <c r="CC994" s="341"/>
      <c r="CD994" s="341"/>
      <c r="CE994" s="341"/>
      <c r="CF994" s="341"/>
      <c r="CG994" s="341"/>
      <c r="CH994" s="341"/>
      <c r="CI994" s="341"/>
      <c r="CJ994" s="341"/>
      <c r="CK994" s="341"/>
      <c r="CL994" s="341"/>
      <c r="CM994" s="341"/>
      <c r="CN994" s="341"/>
      <c r="CO994" s="341"/>
      <c r="CP994" s="341"/>
      <c r="CQ994" s="341"/>
      <c r="CR994" s="341"/>
      <c r="CS994" s="341"/>
      <c r="CT994" s="341"/>
      <c r="CU994" s="341"/>
      <c r="CV994" s="341"/>
      <c r="CW994" s="341"/>
      <c r="CX994" s="341"/>
      <c r="CY994" s="279"/>
      <c r="CZ994" s="279"/>
      <c r="DA994" s="279"/>
      <c r="DB994" s="279"/>
      <c r="DC994" s="279"/>
      <c r="DD994" s="279"/>
      <c r="DE994" s="279"/>
      <c r="DF994" s="280"/>
      <c r="DG994" s="340"/>
      <c r="DH994" s="341"/>
      <c r="DI994" s="279"/>
      <c r="DJ994" s="279"/>
      <c r="DK994" s="279"/>
      <c r="DL994" s="279"/>
      <c r="DM994" s="279"/>
      <c r="DN994" s="279"/>
      <c r="DO994" s="279"/>
    </row>
    <row r="995" spans="1:119" hidden="1">
      <c r="A995" s="1"/>
      <c r="B995" s="1"/>
      <c r="C995" s="1"/>
      <c r="D995" s="710" t="s">
        <v>117</v>
      </c>
      <c r="E995" s="74"/>
      <c r="F995" s="113"/>
      <c r="G995" s="113"/>
      <c r="H995" s="113"/>
      <c r="I995" s="113"/>
      <c r="J995" s="714"/>
      <c r="K995" s="714">
        <f t="shared" ref="K995:AJ995" si="1227">+K946/K$303</f>
        <v>8.2745347313237211E-2</v>
      </c>
      <c r="L995" s="714">
        <f t="shared" si="1227"/>
        <v>8.5643470483005371E-2</v>
      </c>
      <c r="M995" s="714">
        <f t="shared" si="1227"/>
        <v>9.5696343490304703E-2</v>
      </c>
      <c r="N995" s="714">
        <f t="shared" si="1227"/>
        <v>9.9770379260681691E-2</v>
      </c>
      <c r="O995" s="714">
        <f t="shared" si="1227"/>
        <v>9.8342483141610454E-2</v>
      </c>
      <c r="P995" s="714">
        <f t="shared" si="1227"/>
        <v>9.8300589392619681E-2</v>
      </c>
      <c r="Q995" s="714">
        <f t="shared" si="1227"/>
        <v>0.10301045116008135</v>
      </c>
      <c r="R995" s="714">
        <f t="shared" si="1227"/>
        <v>0.10871846115413439</v>
      </c>
      <c r="S995" s="714">
        <f t="shared" si="1227"/>
        <v>0.10908726981585268</v>
      </c>
      <c r="T995" s="714">
        <f t="shared" si="1227"/>
        <v>0.12078877005347592</v>
      </c>
      <c r="U995" s="714">
        <f t="shared" si="1227"/>
        <v>0.11212392016681562</v>
      </c>
      <c r="V995" s="714">
        <f t="shared" si="1227"/>
        <v>0.12182010508340996</v>
      </c>
      <c r="W995" s="714">
        <f t="shared" si="1227"/>
        <v>0.12737251314886805</v>
      </c>
      <c r="X995" s="714">
        <f t="shared" si="1227"/>
        <v>0.13452776797408525</v>
      </c>
      <c r="Y995" s="714">
        <f t="shared" si="1227"/>
        <v>0.14369767265508751</v>
      </c>
      <c r="Z995" s="714">
        <f t="shared" si="1227"/>
        <v>0.15102353178963784</v>
      </c>
      <c r="AA995" s="937">
        <f t="shared" si="1227"/>
        <v>0.15525592888904377</v>
      </c>
      <c r="AB995" s="938">
        <f t="shared" si="1227"/>
        <v>0.15256917853735746</v>
      </c>
      <c r="AC995" s="938">
        <f t="shared" si="1227"/>
        <v>0.15696362203581091</v>
      </c>
      <c r="AD995" s="938">
        <f t="shared" si="1227"/>
        <v>0.16151989782323264</v>
      </c>
      <c r="AE995" s="939">
        <f t="shared" si="1227"/>
        <v>0.14608732329475413</v>
      </c>
      <c r="AF995" s="714">
        <f t="shared" si="1227"/>
        <v>0.13904878798579484</v>
      </c>
      <c r="AG995" s="714">
        <f t="shared" si="1227"/>
        <v>0.71946430408435968</v>
      </c>
      <c r="AH995" s="714">
        <f t="shared" si="1227"/>
        <v>0.85662045387354047</v>
      </c>
      <c r="AI995" s="714">
        <f t="shared" si="1227"/>
        <v>0.87500150394886811</v>
      </c>
      <c r="AJ995" s="714" t="e">
        <f t="shared" si="1227"/>
        <v>#DIV/0!</v>
      </c>
      <c r="AK995" s="714"/>
      <c r="AL995" s="714"/>
      <c r="AM995" s="714"/>
      <c r="AN995" s="714"/>
      <c r="AO995" s="714"/>
      <c r="AP995" s="714"/>
      <c r="AQ995" s="714"/>
      <c r="AR995" s="714"/>
      <c r="AS995" s="714"/>
      <c r="AT995" s="714"/>
      <c r="AU995" s="341"/>
      <c r="AV995" s="341"/>
      <c r="AW995" s="341"/>
      <c r="AX995" s="341"/>
      <c r="AY995" s="341"/>
      <c r="AZ995" s="341"/>
      <c r="BA995" s="341"/>
      <c r="BB995" s="341"/>
      <c r="BC995" s="341"/>
      <c r="BD995" s="341"/>
      <c r="BE995" s="341"/>
      <c r="BF995" s="341"/>
      <c r="BG995" s="341"/>
      <c r="BH995" s="341"/>
      <c r="BI995" s="341"/>
      <c r="BJ995" s="341"/>
      <c r="BK995" s="341"/>
      <c r="BL995" s="341"/>
      <c r="BM995" s="341"/>
      <c r="BN995" s="341"/>
      <c r="BO995" s="341"/>
      <c r="BP995" s="341"/>
      <c r="BQ995" s="341"/>
      <c r="BR995" s="341"/>
      <c r="BS995" s="341"/>
      <c r="BT995" s="341"/>
      <c r="BU995" s="341"/>
      <c r="BV995" s="341"/>
      <c r="BW995" s="341"/>
      <c r="BX995" s="341"/>
      <c r="BY995" s="341"/>
      <c r="BZ995" s="341"/>
      <c r="CA995" s="341"/>
      <c r="CB995" s="341"/>
      <c r="CC995" s="341"/>
      <c r="CD995" s="341"/>
      <c r="CE995" s="341"/>
      <c r="CF995" s="341"/>
      <c r="CG995" s="341"/>
      <c r="CH995" s="341"/>
      <c r="CI995" s="341"/>
      <c r="CJ995" s="341"/>
      <c r="CK995" s="341"/>
      <c r="CL995" s="341"/>
      <c r="CM995" s="341"/>
      <c r="CN995" s="341"/>
      <c r="CO995" s="341"/>
      <c r="CP995" s="341"/>
      <c r="CQ995" s="341"/>
      <c r="CR995" s="341"/>
      <c r="CS995" s="341"/>
      <c r="CT995" s="341"/>
      <c r="CU995" s="341"/>
      <c r="CV995" s="341"/>
      <c r="CW995" s="341"/>
      <c r="CX995" s="341"/>
      <c r="CY995" s="279"/>
      <c r="CZ995" s="279"/>
      <c r="DA995" s="279"/>
      <c r="DB995" s="279"/>
      <c r="DC995" s="279"/>
      <c r="DD995" s="279"/>
      <c r="DE995" s="279"/>
      <c r="DF995" s="280"/>
      <c r="DG995" s="340"/>
      <c r="DH995" s="341"/>
      <c r="DI995" s="279"/>
      <c r="DJ995" s="279"/>
      <c r="DK995" s="279"/>
      <c r="DL995" s="279"/>
      <c r="DM995" s="279"/>
      <c r="DN995" s="279"/>
      <c r="DO995" s="279"/>
    </row>
    <row r="996" spans="1:119" hidden="1">
      <c r="A996" s="1"/>
      <c r="B996" s="1"/>
      <c r="C996" s="1"/>
      <c r="D996" s="710" t="s">
        <v>124</v>
      </c>
      <c r="E996" s="74"/>
      <c r="F996" s="113"/>
      <c r="G996" s="113"/>
      <c r="H996" s="113"/>
      <c r="I996" s="113"/>
      <c r="J996" s="714"/>
      <c r="K996" s="714">
        <f t="shared" ref="K996:AJ996" si="1228">+K947/K$303</f>
        <v>4.5047182175622542E-3</v>
      </c>
      <c r="L996" s="714">
        <f t="shared" si="1228"/>
        <v>5.8849135360763269E-3</v>
      </c>
      <c r="M996" s="714">
        <f t="shared" si="1228"/>
        <v>7.3608864265927981E-3</v>
      </c>
      <c r="N996" s="714">
        <f t="shared" si="1228"/>
        <v>6.8584253480556898E-3</v>
      </c>
      <c r="O996" s="714">
        <f t="shared" si="1228"/>
        <v>7.9687822292740969E-3</v>
      </c>
      <c r="P996" s="714">
        <f t="shared" si="1228"/>
        <v>1.0060123318151596E-2</v>
      </c>
      <c r="Q996" s="714">
        <f t="shared" si="1228"/>
        <v>9.4210781350958749E-3</v>
      </c>
      <c r="R996" s="714">
        <f t="shared" si="1228"/>
        <v>7.8441169123157628E-3</v>
      </c>
      <c r="S996" s="714">
        <f t="shared" si="1228"/>
        <v>7.1257005604483592E-3</v>
      </c>
      <c r="T996" s="714">
        <f t="shared" si="1228"/>
        <v>1.7279411764705883E-2</v>
      </c>
      <c r="U996" s="714">
        <f t="shared" si="1228"/>
        <v>4.4682752457551383E-3</v>
      </c>
      <c r="V996" s="714">
        <f t="shared" si="1228"/>
        <v>5.417767697622488E-3</v>
      </c>
      <c r="W996" s="714">
        <f t="shared" si="1228"/>
        <v>7.9350560256117083E-3</v>
      </c>
      <c r="X996" s="714">
        <f t="shared" si="1228"/>
        <v>1.7437061494015683E-2</v>
      </c>
      <c r="Y996" s="714">
        <f t="shared" si="1228"/>
        <v>1.908016534334369E-2</v>
      </c>
      <c r="Z996" s="714">
        <f t="shared" si="1228"/>
        <v>2.2734361462484837E-2</v>
      </c>
      <c r="AA996" s="714">
        <f t="shared" si="1228"/>
        <v>6.9408289166368051E-3</v>
      </c>
      <c r="AB996" s="714">
        <f t="shared" si="1228"/>
        <v>2.5070706158709603E-2</v>
      </c>
      <c r="AC996" s="714">
        <f t="shared" si="1228"/>
        <v>2.6136322329302596E-2</v>
      </c>
      <c r="AD996" s="714">
        <f t="shared" si="1228"/>
        <v>1.1428102642884791E-2</v>
      </c>
      <c r="AE996" s="714">
        <f t="shared" si="1228"/>
        <v>2.5069180244366454E-2</v>
      </c>
      <c r="AF996" s="714">
        <f t="shared" si="1228"/>
        <v>2.0891343532303354E-2</v>
      </c>
      <c r="AG996" s="714">
        <f t="shared" si="1228"/>
        <v>2.6547604342296947E-2</v>
      </c>
      <c r="AH996" s="714">
        <f t="shared" si="1228"/>
        <v>2.4942376965514761E-2</v>
      </c>
      <c r="AI996" s="714">
        <f t="shared" si="1228"/>
        <v>2.6694120386859751E-2</v>
      </c>
      <c r="AJ996" s="714" t="e">
        <f t="shared" si="1228"/>
        <v>#DIV/0!</v>
      </c>
      <c r="AK996" s="714"/>
      <c r="AL996" s="714"/>
      <c r="AM996" s="714"/>
      <c r="AN996" s="714"/>
      <c r="AO996" s="714"/>
      <c r="AP996" s="714"/>
      <c r="AQ996" s="714"/>
      <c r="AR996" s="714"/>
      <c r="AS996" s="714"/>
      <c r="AT996" s="714"/>
      <c r="AU996" s="341"/>
      <c r="AV996" s="341"/>
      <c r="AW996" s="341"/>
      <c r="AX996" s="341"/>
      <c r="AY996" s="341"/>
      <c r="AZ996" s="341"/>
      <c r="BA996" s="341"/>
      <c r="BB996" s="341"/>
      <c r="BC996" s="341"/>
      <c r="BD996" s="341"/>
      <c r="BE996" s="341"/>
      <c r="BF996" s="341"/>
      <c r="BG996" s="341"/>
      <c r="BH996" s="341"/>
      <c r="BI996" s="341"/>
      <c r="BJ996" s="341"/>
      <c r="BK996" s="341"/>
      <c r="BL996" s="341"/>
      <c r="BM996" s="341"/>
      <c r="BN996" s="341"/>
      <c r="BO996" s="341"/>
      <c r="BP996" s="341"/>
      <c r="BQ996" s="341"/>
      <c r="BR996" s="341"/>
      <c r="BS996" s="341"/>
      <c r="BT996" s="341"/>
      <c r="BU996" s="341"/>
      <c r="BV996" s="341"/>
      <c r="BW996" s="341"/>
      <c r="BX996" s="341"/>
      <c r="BY996" s="341"/>
      <c r="BZ996" s="341"/>
      <c r="CA996" s="341"/>
      <c r="CB996" s="341"/>
      <c r="CC996" s="341"/>
      <c r="CD996" s="341"/>
      <c r="CE996" s="341"/>
      <c r="CF996" s="341"/>
      <c r="CG996" s="341"/>
      <c r="CH996" s="341"/>
      <c r="CI996" s="341"/>
      <c r="CJ996" s="341"/>
      <c r="CK996" s="341"/>
      <c r="CL996" s="341"/>
      <c r="CM996" s="341"/>
      <c r="CN996" s="341"/>
      <c r="CO996" s="341"/>
      <c r="CP996" s="341"/>
      <c r="CQ996" s="341"/>
      <c r="CR996" s="341"/>
      <c r="CS996" s="341"/>
      <c r="CT996" s="341"/>
      <c r="CU996" s="341"/>
      <c r="CV996" s="341"/>
      <c r="CW996" s="341"/>
      <c r="CX996" s="341"/>
      <c r="CY996" s="279"/>
      <c r="CZ996" s="279"/>
      <c r="DA996" s="279"/>
      <c r="DB996" s="279"/>
      <c r="DC996" s="279"/>
      <c r="DD996" s="279"/>
      <c r="DE996" s="279"/>
      <c r="DF996" s="280"/>
      <c r="DG996" s="340"/>
      <c r="DH996" s="341"/>
      <c r="DI996" s="279"/>
      <c r="DJ996" s="279"/>
      <c r="DK996" s="279"/>
      <c r="DL996" s="279"/>
      <c r="DM996" s="279"/>
      <c r="DN996" s="279"/>
      <c r="DO996" s="279"/>
    </row>
    <row r="997" spans="1:119" hidden="1">
      <c r="A997" s="1"/>
      <c r="B997" s="1"/>
      <c r="C997" s="1"/>
      <c r="D997" s="709" t="s">
        <v>125</v>
      </c>
      <c r="E997" s="74"/>
      <c r="F997" s="113"/>
      <c r="G997" s="113"/>
      <c r="H997" s="113"/>
      <c r="I997" s="113"/>
      <c r="J997" s="714"/>
      <c r="K997" s="714">
        <f t="shared" ref="K997:AJ997" si="1229">+K949/K$303</f>
        <v>9.1854587155963299E-2</v>
      </c>
      <c r="L997" s="714">
        <f t="shared" si="1229"/>
        <v>8.4003875968992253E-2</v>
      </c>
      <c r="M997" s="714">
        <f t="shared" si="1229"/>
        <v>7.4775069252077553E-2</v>
      </c>
      <c r="N997" s="714">
        <f t="shared" si="1229"/>
        <v>7.0574987998079694E-2</v>
      </c>
      <c r="O997" s="714">
        <f t="shared" si="1229"/>
        <v>8.1278857596191995E-2</v>
      </c>
      <c r="P997" s="714">
        <f t="shared" si="1229"/>
        <v>9.7465986804478072E-2</v>
      </c>
      <c r="Q997" s="714">
        <f t="shared" si="1229"/>
        <v>9.6902291780322489E-2</v>
      </c>
      <c r="R997" s="714">
        <f t="shared" si="1229"/>
        <v>7.7341993504871351E-2</v>
      </c>
      <c r="S997" s="714">
        <f t="shared" si="1229"/>
        <v>9.1232986389111273E-2</v>
      </c>
      <c r="T997" s="714">
        <f t="shared" si="1229"/>
        <v>8.6129679144385018E-2</v>
      </c>
      <c r="U997" s="714">
        <f t="shared" si="1229"/>
        <v>0.12192433720583855</v>
      </c>
      <c r="V997" s="714">
        <f t="shared" si="1229"/>
        <v>9.9573300889268357E-2</v>
      </c>
      <c r="W997" s="714">
        <f t="shared" si="1229"/>
        <v>0.10459638691973473</v>
      </c>
      <c r="X997" s="714">
        <f t="shared" si="1229"/>
        <v>7.5299215848122159E-2</v>
      </c>
      <c r="Y997" s="714">
        <f t="shared" si="1229"/>
        <v>8.9556106715207709E-2</v>
      </c>
      <c r="Z997" s="714">
        <f t="shared" si="1229"/>
        <v>7.2069606223254673E-2</v>
      </c>
      <c r="AA997" s="714">
        <f t="shared" si="1229"/>
        <v>6.9512868916837361E-2</v>
      </c>
      <c r="AB997" s="714">
        <f t="shared" si="1229"/>
        <v>4.562416525445883E-2</v>
      </c>
      <c r="AC997" s="714">
        <f t="shared" si="1229"/>
        <v>4.496475530803188E-2</v>
      </c>
      <c r="AD997" s="714">
        <f t="shared" si="1229"/>
        <v>5.4779065004139482E-2</v>
      </c>
      <c r="AE997" s="714">
        <f t="shared" si="1229"/>
        <v>4.4821813057899937E-2</v>
      </c>
      <c r="AF997" s="714">
        <f t="shared" si="1229"/>
        <v>4.6892435945398984E-2</v>
      </c>
      <c r="AG997" s="714">
        <f t="shared" si="1229"/>
        <v>6.7660015736887569E-2</v>
      </c>
      <c r="AH997" s="714">
        <f t="shared" si="1229"/>
        <v>4.501861727592027E-2</v>
      </c>
      <c r="AI997" s="714">
        <f t="shared" si="1229"/>
        <v>4.0858155578383154E-2</v>
      </c>
      <c r="AJ997" s="714" t="e">
        <f t="shared" si="1229"/>
        <v>#DIV/0!</v>
      </c>
      <c r="AK997" s="714"/>
      <c r="AL997" s="714"/>
      <c r="AM997" s="714"/>
      <c r="AN997" s="714"/>
      <c r="AO997" s="714"/>
      <c r="AP997" s="714"/>
      <c r="AQ997" s="714"/>
      <c r="AR997" s="714"/>
      <c r="AS997" s="714"/>
      <c r="AT997" s="714"/>
      <c r="AU997" s="279"/>
      <c r="AV997" s="279"/>
      <c r="AW997" s="279"/>
      <c r="AX997" s="279"/>
      <c r="AY997" s="279"/>
      <c r="AZ997" s="279"/>
      <c r="BA997" s="279"/>
      <c r="BB997" s="279"/>
      <c r="BC997" s="279"/>
      <c r="BD997" s="279"/>
      <c r="BE997" s="279"/>
      <c r="BF997" s="279"/>
      <c r="BG997" s="279"/>
      <c r="BH997" s="279"/>
      <c r="BI997" s="279"/>
      <c r="BJ997" s="279"/>
      <c r="BK997" s="279"/>
      <c r="BL997" s="279"/>
      <c r="BM997" s="279"/>
      <c r="BN997" s="279"/>
      <c r="BO997" s="279"/>
      <c r="BP997" s="279"/>
      <c r="BQ997" s="279"/>
      <c r="BR997" s="279"/>
      <c r="BS997" s="279"/>
      <c r="BT997" s="279"/>
      <c r="BU997" s="279"/>
      <c r="BV997" s="279"/>
      <c r="BW997" s="279"/>
      <c r="BX997" s="279"/>
      <c r="BY997" s="279"/>
      <c r="BZ997" s="279"/>
      <c r="CA997" s="279"/>
      <c r="CB997" s="279"/>
      <c r="CC997" s="279"/>
      <c r="CD997" s="279"/>
      <c r="CE997" s="279"/>
      <c r="CF997" s="279"/>
      <c r="CG997" s="279"/>
      <c r="CH997" s="279"/>
      <c r="CI997" s="279"/>
      <c r="CJ997" s="279"/>
      <c r="CK997" s="279"/>
      <c r="CL997" s="279"/>
      <c r="CM997" s="279"/>
      <c r="CN997" s="279"/>
      <c r="CO997" s="279"/>
      <c r="CP997" s="279"/>
      <c r="CQ997" s="279"/>
      <c r="CR997" s="279"/>
      <c r="CS997" s="279"/>
      <c r="CT997" s="279"/>
      <c r="CU997" s="279"/>
      <c r="CV997" s="279"/>
      <c r="CW997" s="279"/>
      <c r="CX997" s="279"/>
      <c r="CY997" s="279"/>
      <c r="CZ997" s="279"/>
      <c r="DA997" s="279"/>
      <c r="DB997" s="279"/>
      <c r="DC997" s="279"/>
      <c r="DD997" s="279"/>
      <c r="DE997" s="279"/>
      <c r="DF997" s="280"/>
      <c r="DG997" s="281"/>
      <c r="DH997" s="279"/>
      <c r="DI997" s="279"/>
      <c r="DJ997" s="279"/>
      <c r="DK997" s="279"/>
      <c r="DL997" s="279"/>
      <c r="DM997" s="279"/>
      <c r="DN997" s="279"/>
      <c r="DO997" s="279"/>
    </row>
    <row r="998" spans="1:119" hidden="1">
      <c r="A998" s="1"/>
      <c r="B998" s="1"/>
      <c r="C998" s="1"/>
      <c r="D998" s="710" t="s">
        <v>766</v>
      </c>
      <c r="E998" s="74"/>
      <c r="F998" s="113"/>
      <c r="G998" s="113"/>
      <c r="H998" s="113"/>
      <c r="I998" s="113"/>
      <c r="J998" s="714"/>
      <c r="K998" s="714">
        <f t="shared" ref="K998:AJ998" si="1230">+K950/K$303</f>
        <v>3.7229882044560944E-2</v>
      </c>
      <c r="L998" s="714">
        <f t="shared" si="1230"/>
        <v>4.2049612403100775E-2</v>
      </c>
      <c r="M998" s="714">
        <f t="shared" si="1230"/>
        <v>4.0980055401662045E-2</v>
      </c>
      <c r="N998" s="714">
        <f t="shared" si="1230"/>
        <v>4.3811185789726356E-2</v>
      </c>
      <c r="O998" s="714">
        <f t="shared" si="1230"/>
        <v>5.7206743355811183E-2</v>
      </c>
      <c r="P998" s="714">
        <f t="shared" si="1230"/>
        <v>6.7536864464052521E-2</v>
      </c>
      <c r="Q998" s="714">
        <f t="shared" si="1230"/>
        <v>5.348509247759152E-2</v>
      </c>
      <c r="R998" s="714">
        <f t="shared" si="1230"/>
        <v>5.066200349737697E-2</v>
      </c>
      <c r="S998" s="714">
        <f t="shared" si="1230"/>
        <v>6.7293835068054447E-2</v>
      </c>
      <c r="T998" s="714">
        <f t="shared" si="1230"/>
        <v>5.5815508021390375E-2</v>
      </c>
      <c r="U998" s="714">
        <f t="shared" si="1230"/>
        <v>8.4301459636580284E-2</v>
      </c>
      <c r="V998" s="714">
        <f t="shared" si="1230"/>
        <v>5.6489102807040587E-2</v>
      </c>
      <c r="W998" s="714">
        <f t="shared" si="1230"/>
        <v>6.0759204207637772E-2</v>
      </c>
      <c r="X998" s="714">
        <f t="shared" si="1230"/>
        <v>3.9207593891869584E-2</v>
      </c>
      <c r="Y998" s="714">
        <f t="shared" si="1230"/>
        <v>3.2293686917894839E-2</v>
      </c>
      <c r="Z998" s="714">
        <f t="shared" si="1230"/>
        <v>3.0303240339629181E-2</v>
      </c>
      <c r="AA998" s="714">
        <f t="shared" si="1230"/>
        <v>4.3292164276142041E-2</v>
      </c>
      <c r="AB998" s="714">
        <f t="shared" si="1230"/>
        <v>2.5450059962210659E-2</v>
      </c>
      <c r="AC998" s="714">
        <f t="shared" si="1230"/>
        <v>2.3828448617979257E-2</v>
      </c>
      <c r="AD998" s="714">
        <f t="shared" si="1230"/>
        <v>2.8244965278027275E-2</v>
      </c>
      <c r="AE998" s="714">
        <f t="shared" si="1230"/>
        <v>1.7882536546333403E-2</v>
      </c>
      <c r="AF998" s="714">
        <f t="shared" si="1230"/>
        <v>1.9371193389624779E-2</v>
      </c>
      <c r="AG998" s="714">
        <f t="shared" si="1230"/>
        <v>3.7474138689271082E-2</v>
      </c>
      <c r="AH998" s="714">
        <f t="shared" si="1230"/>
        <v>1.9260377185595253E-2</v>
      </c>
      <c r="AI998" s="714">
        <f t="shared" si="1230"/>
        <v>1.3601512213332162E-2</v>
      </c>
      <c r="AJ998" s="714" t="e">
        <f t="shared" si="1230"/>
        <v>#DIV/0!</v>
      </c>
      <c r="AK998" s="714"/>
      <c r="AL998" s="714"/>
      <c r="AM998" s="714"/>
      <c r="AN998" s="714"/>
      <c r="AO998" s="714"/>
      <c r="AP998" s="714"/>
      <c r="AQ998" s="714"/>
      <c r="AR998" s="714"/>
      <c r="AS998" s="714"/>
      <c r="AT998" s="714"/>
      <c r="AU998" s="279"/>
      <c r="AV998" s="279"/>
      <c r="AW998" s="279"/>
      <c r="AX998" s="279"/>
      <c r="AY998" s="279"/>
      <c r="AZ998" s="279"/>
      <c r="BA998" s="279"/>
      <c r="BB998" s="279"/>
      <c r="BC998" s="279"/>
      <c r="BD998" s="279"/>
      <c r="BE998" s="279"/>
      <c r="BF998" s="279"/>
      <c r="BG998" s="279"/>
      <c r="BH998" s="279"/>
      <c r="BI998" s="279"/>
      <c r="BJ998" s="279"/>
      <c r="BK998" s="279"/>
      <c r="BL998" s="279"/>
      <c r="BM998" s="279"/>
      <c r="BN998" s="279"/>
      <c r="BO998" s="279"/>
      <c r="BP998" s="279"/>
      <c r="BQ998" s="279"/>
      <c r="BR998" s="279"/>
      <c r="BS998" s="279"/>
      <c r="BT998" s="279"/>
      <c r="BU998" s="279"/>
      <c r="BV998" s="279"/>
      <c r="BW998" s="279"/>
      <c r="BX998" s="279"/>
      <c r="BY998" s="279"/>
      <c r="BZ998" s="279"/>
      <c r="CA998" s="279"/>
      <c r="CB998" s="279"/>
      <c r="CC998" s="279"/>
      <c r="CD998" s="279"/>
      <c r="CE998" s="279"/>
      <c r="CF998" s="279"/>
      <c r="CG998" s="279"/>
      <c r="CH998" s="279"/>
      <c r="CI998" s="279"/>
      <c r="CJ998" s="279"/>
      <c r="CK998" s="279"/>
      <c r="CL998" s="279"/>
      <c r="CM998" s="279"/>
      <c r="CN998" s="279"/>
      <c r="CO998" s="279"/>
      <c r="CP998" s="279"/>
      <c r="CQ998" s="279"/>
      <c r="CR998" s="279"/>
      <c r="CS998" s="279"/>
      <c r="CT998" s="279"/>
      <c r="CU998" s="279"/>
      <c r="CV998" s="279"/>
      <c r="CW998" s="279"/>
      <c r="CX998" s="279"/>
      <c r="CY998" s="279"/>
      <c r="CZ998" s="279"/>
      <c r="DA998" s="279"/>
      <c r="DB998" s="279"/>
      <c r="DC998" s="279"/>
      <c r="DD998" s="279"/>
      <c r="DE998" s="279"/>
      <c r="DF998" s="280"/>
      <c r="DG998" s="281"/>
      <c r="DH998" s="279"/>
      <c r="DI998" s="279"/>
      <c r="DJ998" s="279"/>
      <c r="DK998" s="279"/>
      <c r="DL998" s="279"/>
      <c r="DM998" s="279"/>
      <c r="DN998" s="279"/>
      <c r="DO998" s="279"/>
    </row>
    <row r="999" spans="1:119" hidden="1">
      <c r="A999" s="1"/>
      <c r="B999" s="1"/>
      <c r="C999" s="1"/>
      <c r="D999" s="710" t="s">
        <v>127</v>
      </c>
      <c r="E999" s="74"/>
      <c r="F999" s="113"/>
      <c r="G999" s="113"/>
      <c r="H999" s="113"/>
      <c r="I999" s="113"/>
      <c r="J999" s="714"/>
      <c r="K999" s="714">
        <f t="shared" ref="K999:AJ999" si="1231">+K951/K$303</f>
        <v>5.4624705111402362E-2</v>
      </c>
      <c r="L999" s="714">
        <f t="shared" si="1231"/>
        <v>4.1954263565891478E-2</v>
      </c>
      <c r="M999" s="714">
        <f t="shared" si="1231"/>
        <v>3.3795013850415515E-2</v>
      </c>
      <c r="N999" s="714">
        <f t="shared" si="1231"/>
        <v>2.6763802208353334E-2</v>
      </c>
      <c r="O999" s="714">
        <f t="shared" si="1231"/>
        <v>2.4072114240380801E-2</v>
      </c>
      <c r="P999" s="714">
        <f t="shared" si="1231"/>
        <v>2.9929122340425534E-2</v>
      </c>
      <c r="Q999" s="714">
        <f t="shared" si="1231"/>
        <v>4.3417199302730976E-2</v>
      </c>
      <c r="R999" s="714">
        <f t="shared" si="1231"/>
        <v>2.6679990007494377E-2</v>
      </c>
      <c r="S999" s="714">
        <f t="shared" si="1231"/>
        <v>2.3939151321056843E-2</v>
      </c>
      <c r="T999" s="714">
        <f t="shared" si="1231"/>
        <v>3.0314171122994654E-2</v>
      </c>
      <c r="U999" s="714">
        <f t="shared" si="1231"/>
        <v>3.7622877569258265E-2</v>
      </c>
      <c r="V999" s="714">
        <f t="shared" si="1231"/>
        <v>4.308419808222777E-2</v>
      </c>
      <c r="W999" s="714">
        <f t="shared" si="1231"/>
        <v>4.3837182712096953E-2</v>
      </c>
      <c r="X999" s="714">
        <f t="shared" si="1231"/>
        <v>3.6091621956252581E-2</v>
      </c>
      <c r="Y999" s="714">
        <f t="shared" si="1231"/>
        <v>5.726241979731287E-2</v>
      </c>
      <c r="Z999" s="714">
        <f t="shared" si="1231"/>
        <v>4.1766365883625492E-2</v>
      </c>
      <c r="AA999" s="714">
        <f t="shared" si="1231"/>
        <v>2.6220704640695328E-2</v>
      </c>
      <c r="AB999" s="714">
        <f t="shared" si="1231"/>
        <v>2.0174105292248168E-2</v>
      </c>
      <c r="AC999" s="714">
        <f t="shared" si="1231"/>
        <v>2.113630669005262E-2</v>
      </c>
      <c r="AD999" s="714">
        <f t="shared" si="1231"/>
        <v>2.6534099726112211E-2</v>
      </c>
      <c r="AE999" s="714">
        <f t="shared" si="1231"/>
        <v>2.6939276511566534E-2</v>
      </c>
      <c r="AF999" s="714">
        <f t="shared" si="1231"/>
        <v>2.7521242555774206E-2</v>
      </c>
      <c r="AG999" s="714">
        <f t="shared" si="1231"/>
        <v>3.018587704761649E-2</v>
      </c>
      <c r="AH999" s="714">
        <f t="shared" si="1231"/>
        <v>2.575824009032502E-2</v>
      </c>
      <c r="AI999" s="714">
        <f t="shared" si="1231"/>
        <v>2.7256643365050993E-2</v>
      </c>
      <c r="AJ999" s="714" t="e">
        <f t="shared" si="1231"/>
        <v>#DIV/0!</v>
      </c>
      <c r="AK999" s="714"/>
      <c r="AL999" s="714"/>
      <c r="AM999" s="714"/>
      <c r="AN999" s="714"/>
      <c r="AO999" s="714"/>
      <c r="AP999" s="714"/>
      <c r="AQ999" s="714"/>
      <c r="AR999" s="714"/>
      <c r="AS999" s="714"/>
      <c r="AT999" s="714"/>
      <c r="AU999" s="341"/>
      <c r="AV999" s="341"/>
      <c r="AW999" s="341"/>
      <c r="AX999" s="341"/>
      <c r="AY999" s="341"/>
      <c r="AZ999" s="341"/>
      <c r="BA999" s="341"/>
      <c r="BB999" s="341"/>
      <c r="BC999" s="341"/>
      <c r="BD999" s="341"/>
      <c r="BE999" s="341"/>
      <c r="BF999" s="341"/>
      <c r="BG999" s="341"/>
      <c r="BH999" s="341"/>
      <c r="BI999" s="341"/>
      <c r="BJ999" s="341"/>
      <c r="BK999" s="341"/>
      <c r="BL999" s="341"/>
      <c r="BM999" s="341"/>
      <c r="BN999" s="341"/>
      <c r="BO999" s="341"/>
      <c r="BP999" s="341"/>
      <c r="BQ999" s="341"/>
      <c r="BR999" s="341"/>
      <c r="BS999" s="341"/>
      <c r="BT999" s="341"/>
      <c r="BU999" s="341"/>
      <c r="BV999" s="341"/>
      <c r="BW999" s="341"/>
      <c r="BX999" s="341"/>
      <c r="BY999" s="341"/>
      <c r="BZ999" s="341"/>
      <c r="CA999" s="341"/>
      <c r="CB999" s="341"/>
      <c r="CC999" s="341"/>
      <c r="CD999" s="341"/>
      <c r="CE999" s="341"/>
      <c r="CF999" s="341"/>
      <c r="CG999" s="341"/>
      <c r="CH999" s="341"/>
      <c r="CI999" s="341"/>
      <c r="CJ999" s="341"/>
      <c r="CK999" s="341"/>
      <c r="CL999" s="341"/>
      <c r="CM999" s="341"/>
      <c r="CN999" s="341"/>
      <c r="CO999" s="341"/>
      <c r="CP999" s="341"/>
      <c r="CQ999" s="341"/>
      <c r="CR999" s="341"/>
      <c r="CS999" s="341"/>
      <c r="CT999" s="341"/>
      <c r="CU999" s="341"/>
      <c r="CV999" s="341"/>
      <c r="CW999" s="341"/>
      <c r="CX999" s="341"/>
      <c r="CY999" s="279"/>
      <c r="CZ999" s="279"/>
      <c r="DA999" s="279"/>
      <c r="DB999" s="279"/>
      <c r="DC999" s="279"/>
      <c r="DD999" s="279"/>
      <c r="DE999" s="279"/>
      <c r="DF999" s="280"/>
      <c r="DG999" s="340"/>
      <c r="DH999" s="341"/>
      <c r="DI999" s="279"/>
      <c r="DJ999" s="279"/>
      <c r="DK999" s="279"/>
      <c r="DL999" s="279"/>
      <c r="DM999" s="279"/>
      <c r="DN999" s="279"/>
      <c r="DO999" s="279"/>
    </row>
    <row r="1000" spans="1:119" hidden="1">
      <c r="A1000" s="1"/>
      <c r="B1000" s="1"/>
      <c r="C1000" s="1"/>
      <c r="D1000" s="708" t="s">
        <v>130</v>
      </c>
      <c r="E1000" s="74"/>
      <c r="F1000" s="113"/>
      <c r="G1000" s="113"/>
      <c r="H1000" s="113"/>
      <c r="I1000" s="113"/>
      <c r="J1000" s="714"/>
      <c r="K1000" s="714">
        <f t="shared" ref="K1000:AJ1000" si="1232">+K953/K$303</f>
        <v>0.20253602100720838</v>
      </c>
      <c r="L1000" s="714">
        <f t="shared" si="1232"/>
        <v>0.18733255813953489</v>
      </c>
      <c r="M1000" s="714">
        <f t="shared" si="1232"/>
        <v>0.19861324099722991</v>
      </c>
      <c r="N1000" s="714">
        <f t="shared" si="1232"/>
        <v>0.19528535765722516</v>
      </c>
      <c r="O1000" s="714">
        <f t="shared" si="1232"/>
        <v>0.19111831812772712</v>
      </c>
      <c r="P1000" s="714">
        <f t="shared" si="1232"/>
        <v>0.19936963659407914</v>
      </c>
      <c r="Q1000" s="714">
        <f t="shared" si="1232"/>
        <v>0.20901499389250147</v>
      </c>
      <c r="R1000" s="714">
        <f t="shared" si="1232"/>
        <v>0.20699475393454908</v>
      </c>
      <c r="S1000" s="714">
        <f t="shared" si="1232"/>
        <v>0.20884707766212968</v>
      </c>
      <c r="T1000" s="714">
        <f t="shared" si="1232"/>
        <v>0.24441844919786096</v>
      </c>
      <c r="U1000" s="714">
        <f t="shared" si="1232"/>
        <v>0.23949955317247545</v>
      </c>
      <c r="V1000" s="714">
        <f t="shared" si="1232"/>
        <v>0.25858100116406152</v>
      </c>
      <c r="W1000" s="714">
        <f t="shared" si="1232"/>
        <v>0.25110907843585639</v>
      </c>
      <c r="X1000" s="714">
        <f t="shared" si="1232"/>
        <v>0.27560874948411063</v>
      </c>
      <c r="Y1000" s="714">
        <f t="shared" si="1232"/>
        <v>0.29078727645713309</v>
      </c>
      <c r="Z1000" s="714">
        <f t="shared" si="1232"/>
        <v>0.29816842834863977</v>
      </c>
      <c r="AA1000" s="714">
        <f t="shared" si="1232"/>
        <v>0.27069388722584653</v>
      </c>
      <c r="AB1000" s="714">
        <f t="shared" si="1232"/>
        <v>0.26846759707060935</v>
      </c>
      <c r="AC1000" s="714">
        <f t="shared" si="1232"/>
        <v>0.27405910559860319</v>
      </c>
      <c r="AD1000" s="714">
        <f t="shared" si="1232"/>
        <v>0.29731761093419745</v>
      </c>
      <c r="AE1000" s="714">
        <f t="shared" si="1232"/>
        <v>0.33746142172750021</v>
      </c>
      <c r="AF1000" s="714">
        <f t="shared" si="1232"/>
        <v>0.29624385440121309</v>
      </c>
      <c r="AG1000" s="714">
        <f t="shared" si="1232"/>
        <v>0.32436908536025127</v>
      </c>
      <c r="AH1000" s="714">
        <f t="shared" si="1232"/>
        <v>0.29398924107888791</v>
      </c>
      <c r="AI1000" s="714">
        <f t="shared" si="1232"/>
        <v>0.30059974707836734</v>
      </c>
      <c r="AJ1000" s="714" t="e">
        <f t="shared" si="1232"/>
        <v>#DIV/0!</v>
      </c>
      <c r="AK1000" s="714"/>
      <c r="AL1000" s="714"/>
      <c r="AM1000" s="714"/>
      <c r="AN1000" s="714"/>
      <c r="AO1000" s="714"/>
      <c r="AP1000" s="714"/>
      <c r="AQ1000" s="714"/>
      <c r="AR1000" s="714"/>
      <c r="AS1000" s="714"/>
      <c r="AT1000" s="714"/>
      <c r="AU1000" s="341"/>
      <c r="AV1000" s="341"/>
      <c r="AW1000" s="341"/>
      <c r="AX1000" s="341"/>
      <c r="AY1000" s="341"/>
      <c r="AZ1000" s="341"/>
      <c r="BA1000" s="341"/>
      <c r="BB1000" s="341"/>
      <c r="BC1000" s="341"/>
      <c r="BD1000" s="341"/>
      <c r="BE1000" s="341"/>
      <c r="BF1000" s="341"/>
      <c r="BG1000" s="341"/>
      <c r="BH1000" s="341"/>
      <c r="BI1000" s="341"/>
      <c r="BJ1000" s="341"/>
      <c r="BK1000" s="341"/>
      <c r="BL1000" s="341"/>
      <c r="BM1000" s="341"/>
      <c r="BN1000" s="341"/>
      <c r="BO1000" s="341"/>
      <c r="BP1000" s="341"/>
      <c r="BQ1000" s="341"/>
      <c r="BR1000" s="341"/>
      <c r="BS1000" s="341"/>
      <c r="BT1000" s="341"/>
      <c r="BU1000" s="341"/>
      <c r="BV1000" s="341"/>
      <c r="BW1000" s="341"/>
      <c r="BX1000" s="341"/>
      <c r="BY1000" s="341"/>
      <c r="BZ1000" s="341"/>
      <c r="CA1000" s="341"/>
      <c r="CB1000" s="341"/>
      <c r="CC1000" s="341"/>
      <c r="CD1000" s="341"/>
      <c r="CE1000" s="341"/>
      <c r="CF1000" s="341"/>
      <c r="CG1000" s="341"/>
      <c r="CH1000" s="341"/>
      <c r="CI1000" s="341"/>
      <c r="CJ1000" s="341"/>
      <c r="CK1000" s="341"/>
      <c r="CL1000" s="341"/>
      <c r="CM1000" s="341"/>
      <c r="CN1000" s="341"/>
      <c r="CO1000" s="341"/>
      <c r="CP1000" s="341"/>
      <c r="CQ1000" s="341"/>
      <c r="CR1000" s="341"/>
      <c r="CS1000" s="341"/>
      <c r="CT1000" s="341"/>
      <c r="CU1000" s="341"/>
      <c r="CV1000" s="341"/>
      <c r="CW1000" s="341"/>
      <c r="CX1000" s="341"/>
      <c r="CY1000" s="279"/>
      <c r="CZ1000" s="279"/>
      <c r="DA1000" s="279"/>
      <c r="DB1000" s="279"/>
      <c r="DC1000" s="279"/>
      <c r="DD1000" s="279"/>
      <c r="DE1000" s="279"/>
      <c r="DF1000" s="280"/>
      <c r="DG1000" s="340"/>
      <c r="DH1000" s="341"/>
      <c r="DI1000" s="279"/>
      <c r="DJ1000" s="279"/>
      <c r="DK1000" s="279"/>
      <c r="DL1000" s="279"/>
      <c r="DM1000" s="279"/>
      <c r="DN1000" s="279"/>
      <c r="DO1000" s="279"/>
    </row>
    <row r="1001" spans="1:119" hidden="1">
      <c r="A1001" s="1"/>
      <c r="B1001" s="1"/>
      <c r="C1001" s="1"/>
      <c r="D1001" s="711" t="s">
        <v>131</v>
      </c>
      <c r="E1001" s="74"/>
      <c r="F1001" s="113"/>
      <c r="G1001" s="113"/>
      <c r="H1001" s="113"/>
      <c r="I1001" s="113"/>
      <c r="J1001" s="714"/>
      <c r="K1001" s="714">
        <f t="shared" ref="K1001:AJ1001" si="1233">+K954/K$303</f>
        <v>0.11485711214875492</v>
      </c>
      <c r="L1001" s="714">
        <f t="shared" si="1233"/>
        <v>0.11742987477638639</v>
      </c>
      <c r="M1001" s="714">
        <f t="shared" si="1233"/>
        <v>0.13409085872576176</v>
      </c>
      <c r="N1001" s="714">
        <f t="shared" si="1233"/>
        <v>0.14162635621699471</v>
      </c>
      <c r="O1001" s="714">
        <f t="shared" si="1233"/>
        <v>0.12912291947639826</v>
      </c>
      <c r="P1001" s="714">
        <f t="shared" si="1233"/>
        <v>0.12625894686901265</v>
      </c>
      <c r="Q1001" s="714">
        <f t="shared" si="1233"/>
        <v>0.13562299017489543</v>
      </c>
      <c r="R1001" s="714">
        <f t="shared" si="1233"/>
        <v>0.13320009992505621</v>
      </c>
      <c r="S1001" s="714">
        <f t="shared" si="1233"/>
        <v>0.13967173738991193</v>
      </c>
      <c r="T1001" s="714">
        <f t="shared" si="1233"/>
        <v>0.13425802139037432</v>
      </c>
      <c r="U1001" s="714">
        <f t="shared" si="1233"/>
        <v>0.13675901102174562</v>
      </c>
      <c r="V1001" s="714">
        <f t="shared" si="1233"/>
        <v>0.13844627906107973</v>
      </c>
      <c r="W1001" s="714">
        <f t="shared" si="1233"/>
        <v>0.14042991081637318</v>
      </c>
      <c r="X1001" s="714">
        <f t="shared" si="1233"/>
        <v>0.13080891456871646</v>
      </c>
      <c r="Y1001" s="714">
        <f t="shared" si="1233"/>
        <v>0.14685866579774401</v>
      </c>
      <c r="Z1001" s="714">
        <f t="shared" si="1233"/>
        <v>0.14464217639923757</v>
      </c>
      <c r="AA1001" s="714">
        <f t="shared" si="1233"/>
        <v>0.14542500414798951</v>
      </c>
      <c r="AB1001" s="714">
        <f t="shared" si="1233"/>
        <v>0.14779604808622357</v>
      </c>
      <c r="AC1001" s="714">
        <f t="shared" si="1233"/>
        <v>0.1474915139411038</v>
      </c>
      <c r="AD1001" s="714">
        <f t="shared" si="1233"/>
        <v>0.15296050674569772</v>
      </c>
      <c r="AE1001" s="714">
        <f t="shared" si="1233"/>
        <v>0.16165558968499064</v>
      </c>
      <c r="AF1001" s="714">
        <f t="shared" si="1233"/>
        <v>0.15906736752667805</v>
      </c>
      <c r="AG1001" s="714">
        <f t="shared" si="1233"/>
        <v>0.19505215314645258</v>
      </c>
      <c r="AH1001" s="714">
        <f t="shared" si="1233"/>
        <v>0.17512630217108449</v>
      </c>
      <c r="AI1001" s="714">
        <f t="shared" si="1233"/>
        <v>0.17957838560302522</v>
      </c>
      <c r="AJ1001" s="714" t="e">
        <f t="shared" si="1233"/>
        <v>#DIV/0!</v>
      </c>
      <c r="AK1001" s="714"/>
      <c r="AL1001" s="714"/>
      <c r="AM1001" s="714"/>
      <c r="AN1001" s="714"/>
      <c r="AO1001" s="714"/>
      <c r="AP1001" s="714"/>
      <c r="AQ1001" s="714"/>
      <c r="AR1001" s="714"/>
      <c r="AS1001" s="714"/>
      <c r="AT1001" s="714"/>
      <c r="AU1001" s="341"/>
      <c r="AV1001" s="341"/>
      <c r="AW1001" s="341"/>
      <c r="AX1001" s="341"/>
      <c r="AY1001" s="341"/>
      <c r="AZ1001" s="341"/>
      <c r="BA1001" s="341"/>
      <c r="BB1001" s="341"/>
      <c r="BC1001" s="341"/>
      <c r="BD1001" s="341"/>
      <c r="BE1001" s="341"/>
      <c r="BF1001" s="341"/>
      <c r="BG1001" s="341"/>
      <c r="BH1001" s="341"/>
      <c r="BI1001" s="341"/>
      <c r="BJ1001" s="341"/>
      <c r="BK1001" s="341"/>
      <c r="BL1001" s="341"/>
      <c r="BM1001" s="341"/>
      <c r="BN1001" s="341"/>
      <c r="BO1001" s="341"/>
      <c r="BP1001" s="341"/>
      <c r="BQ1001" s="341"/>
      <c r="BR1001" s="341"/>
      <c r="BS1001" s="341"/>
      <c r="BT1001" s="341"/>
      <c r="BU1001" s="341"/>
      <c r="BV1001" s="341"/>
      <c r="BW1001" s="341"/>
      <c r="BX1001" s="341"/>
      <c r="BY1001" s="341"/>
      <c r="BZ1001" s="341"/>
      <c r="CA1001" s="341"/>
      <c r="CB1001" s="341"/>
      <c r="CC1001" s="341"/>
      <c r="CD1001" s="341"/>
      <c r="CE1001" s="341"/>
      <c r="CF1001" s="341"/>
      <c r="CG1001" s="341"/>
      <c r="CH1001" s="341"/>
      <c r="CI1001" s="341"/>
      <c r="CJ1001" s="341"/>
      <c r="CK1001" s="341"/>
      <c r="CL1001" s="341"/>
      <c r="CM1001" s="341"/>
      <c r="CN1001" s="341"/>
      <c r="CO1001" s="341"/>
      <c r="CP1001" s="341"/>
      <c r="CQ1001" s="341"/>
      <c r="CR1001" s="341"/>
      <c r="CS1001" s="341"/>
      <c r="CT1001" s="341"/>
      <c r="CU1001" s="341"/>
      <c r="CV1001" s="341"/>
      <c r="CW1001" s="341"/>
      <c r="CX1001" s="341"/>
      <c r="CY1001" s="279"/>
      <c r="CZ1001" s="279"/>
      <c r="DA1001" s="279"/>
      <c r="DB1001" s="279"/>
      <c r="DC1001" s="279"/>
      <c r="DD1001" s="279"/>
      <c r="DE1001" s="279"/>
      <c r="DF1001" s="280"/>
      <c r="DG1001" s="340"/>
      <c r="DH1001" s="341"/>
      <c r="DI1001" s="279"/>
      <c r="DJ1001" s="279"/>
      <c r="DK1001" s="279"/>
      <c r="DL1001" s="279"/>
      <c r="DM1001" s="279"/>
      <c r="DN1001" s="279"/>
      <c r="DO1001" s="279"/>
    </row>
    <row r="1002" spans="1:119" hidden="1">
      <c r="A1002" s="1"/>
      <c r="B1002" s="1"/>
      <c r="C1002" s="1"/>
      <c r="D1002" s="1186" t="str">
        <f>D955</f>
        <v xml:space="preserve">      Of which: PKO expenditure, incl. bonuses</v>
      </c>
      <c r="E1002" s="74"/>
      <c r="F1002" s="113"/>
      <c r="G1002" s="113"/>
      <c r="H1002" s="113"/>
      <c r="I1002" s="113"/>
      <c r="J1002" s="714"/>
      <c r="K1002" s="714"/>
      <c r="L1002" s="714"/>
      <c r="M1002" s="714"/>
      <c r="N1002" s="714"/>
      <c r="O1002" s="714"/>
      <c r="P1002" s="714"/>
      <c r="Q1002" s="714"/>
      <c r="R1002" s="714"/>
      <c r="S1002" s="714"/>
      <c r="T1002" s="714"/>
      <c r="U1002" s="714"/>
      <c r="V1002" s="714"/>
      <c r="W1002" s="714"/>
      <c r="X1002" s="714"/>
      <c r="Y1002" s="714"/>
      <c r="Z1002" s="714"/>
      <c r="AA1002" s="714"/>
      <c r="AB1002" s="714"/>
      <c r="AC1002" s="714"/>
      <c r="AD1002" s="714"/>
      <c r="AE1002" s="714">
        <f>AE955/AE$303</f>
        <v>1.9115146366665749E-2</v>
      </c>
      <c r="AF1002" s="714">
        <f t="shared" ref="AF1002:AJ1002" si="1234">AF955/AF$303</f>
        <v>1.2925033562194663E-2</v>
      </c>
      <c r="AG1002" s="714">
        <f t="shared" si="1234"/>
        <v>1.0719964671299377E-2</v>
      </c>
      <c r="AH1002" s="714">
        <f t="shared" si="1234"/>
        <v>9.6112339237921889E-3</v>
      </c>
      <c r="AI1002" s="714">
        <f t="shared" si="1234"/>
        <v>9.5195366322540134E-3</v>
      </c>
      <c r="AJ1002" s="714" t="e">
        <f t="shared" si="1234"/>
        <v>#DIV/0!</v>
      </c>
      <c r="AK1002" s="714"/>
      <c r="AL1002" s="714"/>
      <c r="AM1002" s="714"/>
      <c r="AN1002" s="714"/>
      <c r="AO1002" s="714"/>
      <c r="AP1002" s="714"/>
      <c r="AQ1002" s="714"/>
      <c r="AR1002" s="714"/>
      <c r="AS1002" s="714"/>
      <c r="AT1002" s="714"/>
      <c r="AU1002" s="341"/>
      <c r="AV1002" s="341"/>
      <c r="AW1002" s="341"/>
      <c r="AX1002" s="341"/>
      <c r="AY1002" s="341"/>
      <c r="AZ1002" s="341"/>
      <c r="BA1002" s="341"/>
      <c r="BB1002" s="341"/>
      <c r="BC1002" s="341"/>
      <c r="BD1002" s="341"/>
      <c r="BE1002" s="341"/>
      <c r="BF1002" s="341"/>
      <c r="BG1002" s="341"/>
      <c r="BH1002" s="341"/>
      <c r="BI1002" s="341"/>
      <c r="BJ1002" s="341"/>
      <c r="BK1002" s="341"/>
      <c r="BL1002" s="341"/>
      <c r="BM1002" s="341"/>
      <c r="BN1002" s="341"/>
      <c r="BO1002" s="341"/>
      <c r="BP1002" s="341"/>
      <c r="BQ1002" s="341"/>
      <c r="BR1002" s="341"/>
      <c r="BS1002" s="341"/>
      <c r="BT1002" s="341"/>
      <c r="BU1002" s="341"/>
      <c r="BV1002" s="341"/>
      <c r="BW1002" s="341"/>
      <c r="BX1002" s="341"/>
      <c r="BY1002" s="341"/>
      <c r="BZ1002" s="341"/>
      <c r="CA1002" s="341"/>
      <c r="CB1002" s="341"/>
      <c r="CC1002" s="341"/>
      <c r="CD1002" s="341"/>
      <c r="CE1002" s="341"/>
      <c r="CF1002" s="341"/>
      <c r="CG1002" s="341"/>
      <c r="CH1002" s="341"/>
      <c r="CI1002" s="341"/>
      <c r="CJ1002" s="341"/>
      <c r="CK1002" s="341"/>
      <c r="CL1002" s="341"/>
      <c r="CM1002" s="341"/>
      <c r="CN1002" s="341"/>
      <c r="CO1002" s="341"/>
      <c r="CP1002" s="341"/>
      <c r="CQ1002" s="341"/>
      <c r="CR1002" s="341"/>
      <c r="CS1002" s="341"/>
      <c r="CT1002" s="341"/>
      <c r="CU1002" s="341"/>
      <c r="CV1002" s="341"/>
      <c r="CW1002" s="341"/>
      <c r="CX1002" s="341"/>
      <c r="CY1002" s="279"/>
      <c r="CZ1002" s="279"/>
      <c r="DA1002" s="279"/>
      <c r="DB1002" s="279"/>
      <c r="DC1002" s="279"/>
      <c r="DD1002" s="279"/>
      <c r="DE1002" s="279"/>
      <c r="DF1002" s="280"/>
      <c r="DG1002" s="340"/>
      <c r="DH1002" s="341"/>
      <c r="DI1002" s="279"/>
      <c r="DJ1002" s="279"/>
      <c r="DK1002" s="279"/>
      <c r="DL1002" s="279"/>
      <c r="DM1002" s="279"/>
      <c r="DN1002" s="279"/>
      <c r="DO1002" s="279"/>
    </row>
    <row r="1003" spans="1:119" hidden="1">
      <c r="A1003" s="1"/>
      <c r="B1003" s="1"/>
      <c r="C1003" s="1"/>
      <c r="D1003" s="1187" t="str">
        <f>D956</f>
        <v xml:space="preserve">   Of Which Emergencies</v>
      </c>
      <c r="E1003" s="74"/>
      <c r="F1003" s="113"/>
      <c r="G1003" s="113"/>
      <c r="H1003" s="113"/>
      <c r="I1003" s="113"/>
      <c r="J1003" s="714"/>
      <c r="K1003" s="714"/>
      <c r="L1003" s="714"/>
      <c r="M1003" s="714"/>
      <c r="N1003" s="714"/>
      <c r="O1003" s="714"/>
      <c r="P1003" s="714"/>
      <c r="Q1003" s="714"/>
      <c r="R1003" s="714"/>
      <c r="S1003" s="714"/>
      <c r="T1003" s="714"/>
      <c r="U1003" s="714"/>
      <c r="V1003" s="714"/>
      <c r="W1003" s="714"/>
      <c r="X1003" s="714"/>
      <c r="Y1003" s="714"/>
      <c r="Z1003" s="714"/>
      <c r="AA1003" s="714"/>
      <c r="AB1003" s="714"/>
      <c r="AC1003" s="714"/>
      <c r="AD1003" s="714"/>
      <c r="AE1003" s="1189">
        <f>AE956/$AE$303</f>
        <v>3.4232365145228216E-3</v>
      </c>
      <c r="AF1003" s="714">
        <f>AF956/$AE$303</f>
        <v>0</v>
      </c>
      <c r="AG1003" s="714"/>
      <c r="AH1003" s="714"/>
      <c r="AI1003" s="714"/>
      <c r="AJ1003" s="714"/>
      <c r="AK1003" s="714"/>
      <c r="AL1003" s="714"/>
      <c r="AM1003" s="714"/>
      <c r="AN1003" s="714"/>
      <c r="AO1003" s="714"/>
      <c r="AP1003" s="714"/>
      <c r="AQ1003" s="714"/>
      <c r="AR1003" s="714"/>
      <c r="AS1003" s="714"/>
      <c r="AT1003" s="714"/>
      <c r="AU1003" s="341"/>
      <c r="AV1003" s="341"/>
      <c r="AW1003" s="341"/>
      <c r="AX1003" s="341"/>
      <c r="AY1003" s="341"/>
      <c r="AZ1003" s="341"/>
      <c r="BA1003" s="341"/>
      <c r="BB1003" s="341"/>
      <c r="BC1003" s="341"/>
      <c r="BD1003" s="341"/>
      <c r="BE1003" s="341"/>
      <c r="BF1003" s="341"/>
      <c r="BG1003" s="341"/>
      <c r="BH1003" s="341"/>
      <c r="BI1003" s="341"/>
      <c r="BJ1003" s="341"/>
      <c r="BK1003" s="341"/>
      <c r="BL1003" s="341"/>
      <c r="BM1003" s="341"/>
      <c r="BN1003" s="341"/>
      <c r="BO1003" s="341"/>
      <c r="BP1003" s="341"/>
      <c r="BQ1003" s="341"/>
      <c r="BR1003" s="341"/>
      <c r="BS1003" s="341"/>
      <c r="BT1003" s="341"/>
      <c r="BU1003" s="341"/>
      <c r="BV1003" s="341"/>
      <c r="BW1003" s="341"/>
      <c r="BX1003" s="341"/>
      <c r="BY1003" s="341"/>
      <c r="BZ1003" s="341"/>
      <c r="CA1003" s="341"/>
      <c r="CB1003" s="341"/>
      <c r="CC1003" s="341"/>
      <c r="CD1003" s="341"/>
      <c r="CE1003" s="341"/>
      <c r="CF1003" s="341"/>
      <c r="CG1003" s="341"/>
      <c r="CH1003" s="341"/>
      <c r="CI1003" s="341"/>
      <c r="CJ1003" s="341"/>
      <c r="CK1003" s="341"/>
      <c r="CL1003" s="341"/>
      <c r="CM1003" s="341"/>
      <c r="CN1003" s="341"/>
      <c r="CO1003" s="341"/>
      <c r="CP1003" s="341"/>
      <c r="CQ1003" s="341"/>
      <c r="CR1003" s="341"/>
      <c r="CS1003" s="341"/>
      <c r="CT1003" s="341"/>
      <c r="CU1003" s="341"/>
      <c r="CV1003" s="341"/>
      <c r="CW1003" s="341"/>
      <c r="CX1003" s="341"/>
      <c r="CY1003" s="279"/>
      <c r="CZ1003" s="279"/>
      <c r="DA1003" s="279"/>
      <c r="DB1003" s="279"/>
      <c r="DC1003" s="279"/>
      <c r="DD1003" s="279"/>
      <c r="DE1003" s="279"/>
      <c r="DF1003" s="280"/>
      <c r="DG1003" s="340"/>
      <c r="DH1003" s="341"/>
      <c r="DI1003" s="279"/>
      <c r="DJ1003" s="279"/>
      <c r="DK1003" s="279"/>
      <c r="DL1003" s="279"/>
      <c r="DM1003" s="279"/>
      <c r="DN1003" s="279"/>
      <c r="DO1003" s="279"/>
    </row>
    <row r="1004" spans="1:119" hidden="1">
      <c r="A1004" s="1"/>
      <c r="B1004" s="1"/>
      <c r="C1004" s="1"/>
      <c r="D1004" s="1188" t="str">
        <f>D957</f>
        <v>Of Which  COVID-19 Expenditure</v>
      </c>
      <c r="E1004" s="74"/>
      <c r="F1004" s="113"/>
      <c r="G1004" s="113"/>
      <c r="H1004" s="113"/>
      <c r="I1004" s="113"/>
      <c r="J1004" s="714"/>
      <c r="K1004" s="714"/>
      <c r="L1004" s="714"/>
      <c r="M1004" s="714"/>
      <c r="N1004" s="714"/>
      <c r="O1004" s="714"/>
      <c r="P1004" s="714"/>
      <c r="Q1004" s="714"/>
      <c r="R1004" s="714"/>
      <c r="S1004" s="714"/>
      <c r="T1004" s="714"/>
      <c r="U1004" s="714"/>
      <c r="V1004" s="714"/>
      <c r="W1004" s="714"/>
      <c r="X1004" s="714"/>
      <c r="Y1004" s="714"/>
      <c r="Z1004" s="714"/>
      <c r="AA1004" s="714"/>
      <c r="AB1004" s="714"/>
      <c r="AC1004" s="714"/>
      <c r="AD1004" s="714"/>
      <c r="AE1004" s="1190">
        <f>AE957/AE$303</f>
        <v>6.2240663900414933E-3</v>
      </c>
      <c r="AF1004" s="714">
        <f>AF957/AF$303</f>
        <v>5.7148299838079815E-3</v>
      </c>
      <c r="AG1004" s="714"/>
      <c r="AH1004" s="714"/>
      <c r="AI1004" s="714"/>
      <c r="AJ1004" s="714"/>
      <c r="AK1004" s="714"/>
      <c r="AL1004" s="714"/>
      <c r="AM1004" s="714"/>
      <c r="AN1004" s="714"/>
      <c r="AO1004" s="714"/>
      <c r="AP1004" s="714"/>
      <c r="AQ1004" s="714"/>
      <c r="AR1004" s="714"/>
      <c r="AS1004" s="714"/>
      <c r="AT1004" s="714"/>
      <c r="AU1004" s="341"/>
      <c r="AV1004" s="341"/>
      <c r="AW1004" s="341"/>
      <c r="AX1004" s="341"/>
      <c r="AY1004" s="341"/>
      <c r="AZ1004" s="341"/>
      <c r="BA1004" s="341"/>
      <c r="BB1004" s="341"/>
      <c r="BC1004" s="341"/>
      <c r="BD1004" s="341"/>
      <c r="BE1004" s="341"/>
      <c r="BF1004" s="341"/>
      <c r="BG1004" s="341"/>
      <c r="BH1004" s="341"/>
      <c r="BI1004" s="341"/>
      <c r="BJ1004" s="341"/>
      <c r="BK1004" s="341"/>
      <c r="BL1004" s="341"/>
      <c r="BM1004" s="341"/>
      <c r="BN1004" s="341"/>
      <c r="BO1004" s="341"/>
      <c r="BP1004" s="341"/>
      <c r="BQ1004" s="341"/>
      <c r="BR1004" s="341"/>
      <c r="BS1004" s="341"/>
      <c r="BT1004" s="341"/>
      <c r="BU1004" s="341"/>
      <c r="BV1004" s="341"/>
      <c r="BW1004" s="341"/>
      <c r="BX1004" s="341"/>
      <c r="BY1004" s="341"/>
      <c r="BZ1004" s="341"/>
      <c r="CA1004" s="341"/>
      <c r="CB1004" s="341"/>
      <c r="CC1004" s="341"/>
      <c r="CD1004" s="341"/>
      <c r="CE1004" s="341"/>
      <c r="CF1004" s="341"/>
      <c r="CG1004" s="341"/>
      <c r="CH1004" s="341"/>
      <c r="CI1004" s="341"/>
      <c r="CJ1004" s="341"/>
      <c r="CK1004" s="341"/>
      <c r="CL1004" s="341"/>
      <c r="CM1004" s="341"/>
      <c r="CN1004" s="341"/>
      <c r="CO1004" s="341"/>
      <c r="CP1004" s="341"/>
      <c r="CQ1004" s="341"/>
      <c r="CR1004" s="341"/>
      <c r="CS1004" s="341"/>
      <c r="CT1004" s="341"/>
      <c r="CU1004" s="341"/>
      <c r="CV1004" s="341"/>
      <c r="CW1004" s="341"/>
      <c r="CX1004" s="341"/>
      <c r="CY1004" s="279"/>
      <c r="CZ1004" s="279"/>
      <c r="DA1004" s="279"/>
      <c r="DB1004" s="279"/>
      <c r="DC1004" s="279"/>
      <c r="DD1004" s="279"/>
      <c r="DE1004" s="279"/>
      <c r="DF1004" s="280"/>
      <c r="DG1004" s="340"/>
      <c r="DH1004" s="341"/>
      <c r="DI1004" s="279"/>
      <c r="DJ1004" s="279"/>
      <c r="DK1004" s="279"/>
      <c r="DL1004" s="279"/>
      <c r="DM1004" s="279"/>
      <c r="DN1004" s="279"/>
      <c r="DO1004" s="279"/>
    </row>
    <row r="1005" spans="1:119" hidden="1">
      <c r="A1005" s="1"/>
      <c r="B1005" s="1"/>
      <c r="C1005" s="1"/>
      <c r="D1005" s="709" t="s">
        <v>144</v>
      </c>
      <c r="E1005" s="74"/>
      <c r="F1005" s="113"/>
      <c r="G1005" s="113"/>
      <c r="H1005" s="113"/>
      <c r="I1005" s="113"/>
      <c r="J1005" s="714"/>
      <c r="K1005" s="714">
        <f t="shared" ref="K1005:AJ1005" si="1235">+K958/K$303</f>
        <v>8.7040507809960685E-2</v>
      </c>
      <c r="L1005" s="714">
        <f t="shared" si="1235"/>
        <v>6.9245736434108529E-2</v>
      </c>
      <c r="M1005" s="714">
        <f t="shared" si="1235"/>
        <v>6.3857174515235454E-2</v>
      </c>
      <c r="N1005" s="714">
        <f t="shared" si="1235"/>
        <v>5.2302496399423908E-2</v>
      </c>
      <c r="O1005" s="714">
        <f t="shared" si="1235"/>
        <v>5.2537683458944863E-2</v>
      </c>
      <c r="P1005" s="714">
        <f t="shared" si="1235"/>
        <v>6.3829711622340427E-2</v>
      </c>
      <c r="Q1005" s="714">
        <f t="shared" si="1235"/>
        <v>6.876339182539222E-2</v>
      </c>
      <c r="R1005" s="714">
        <f t="shared" si="1235"/>
        <v>6.5850612040969272E-2</v>
      </c>
      <c r="S1005" s="714">
        <f t="shared" si="1235"/>
        <v>7.5340272217774215E-2</v>
      </c>
      <c r="T1005" s="714">
        <f t="shared" si="1235"/>
        <v>0.10250668449197861</v>
      </c>
      <c r="U1005" s="714">
        <f t="shared" si="1235"/>
        <v>9.4340184688710166E-2</v>
      </c>
      <c r="V1005" s="714">
        <f t="shared" si="1235"/>
        <v>0.11522188091028504</v>
      </c>
      <c r="W1005" s="714">
        <f t="shared" si="1235"/>
        <v>0.11042762405671164</v>
      </c>
      <c r="X1005" s="714">
        <f t="shared" si="1235"/>
        <v>0.11648782501031779</v>
      </c>
      <c r="Y1005" s="714">
        <f t="shared" si="1235"/>
        <v>0.13444606634235781</v>
      </c>
      <c r="Z1005" s="714">
        <f t="shared" si="1235"/>
        <v>0.1333910933980246</v>
      </c>
      <c r="AA1005" s="714">
        <f t="shared" si="1235"/>
        <v>0.11154517036266226</v>
      </c>
      <c r="AB1005" s="714">
        <f t="shared" si="1235"/>
        <v>0.10494124293447961</v>
      </c>
      <c r="AC1005" s="714">
        <f t="shared" si="1235"/>
        <v>0.10651715113845653</v>
      </c>
      <c r="AD1005" s="714">
        <f t="shared" si="1235"/>
        <v>0.12200697239432852</v>
      </c>
      <c r="AE1005" s="714">
        <f t="shared" si="1235"/>
        <v>0.13430954670844936</v>
      </c>
      <c r="AF1005" s="1004">
        <f t="shared" si="1235"/>
        <v>0.10862167390307978</v>
      </c>
      <c r="AG1005" s="1004">
        <f t="shared" si="1235"/>
        <v>0.10721652065097051</v>
      </c>
      <c r="AH1005" s="1004">
        <f t="shared" si="1235"/>
        <v>9.9931063982661286E-2</v>
      </c>
      <c r="AI1005" s="1004">
        <f t="shared" si="1235"/>
        <v>0.10681845759994976</v>
      </c>
      <c r="AJ1005" s="1004" t="e">
        <f t="shared" si="1235"/>
        <v>#DIV/0!</v>
      </c>
      <c r="AK1005" s="1004"/>
      <c r="AL1005" s="1004"/>
      <c r="AM1005" s="1004"/>
      <c r="AN1005" s="1004"/>
      <c r="AO1005" s="1004"/>
      <c r="AP1005" s="1004"/>
      <c r="AQ1005" s="1004"/>
      <c r="AR1005" s="1004"/>
      <c r="AS1005" s="1004"/>
      <c r="AT1005" s="1004"/>
      <c r="AU1005" s="341"/>
      <c r="AV1005" s="341"/>
      <c r="AW1005" s="341"/>
      <c r="AX1005" s="341"/>
      <c r="AY1005" s="341"/>
      <c r="AZ1005" s="341"/>
      <c r="BA1005" s="341"/>
      <c r="BB1005" s="341"/>
      <c r="BC1005" s="341"/>
      <c r="BD1005" s="341"/>
      <c r="BE1005" s="341"/>
      <c r="BF1005" s="341"/>
      <c r="BG1005" s="341"/>
      <c r="BH1005" s="341"/>
      <c r="BI1005" s="341"/>
      <c r="BJ1005" s="341"/>
      <c r="BK1005" s="341"/>
      <c r="BL1005" s="341"/>
      <c r="BM1005" s="341"/>
      <c r="BN1005" s="341"/>
      <c r="BO1005" s="341"/>
      <c r="BP1005" s="341"/>
      <c r="BQ1005" s="341"/>
      <c r="BR1005" s="341"/>
      <c r="BS1005" s="341"/>
      <c r="BT1005" s="341"/>
      <c r="BU1005" s="341"/>
      <c r="BV1005" s="341"/>
      <c r="BW1005" s="341"/>
      <c r="BX1005" s="341"/>
      <c r="BY1005" s="341"/>
      <c r="BZ1005" s="341"/>
      <c r="CA1005" s="341"/>
      <c r="CB1005" s="341"/>
      <c r="CC1005" s="341"/>
      <c r="CD1005" s="341"/>
      <c r="CE1005" s="341"/>
      <c r="CF1005" s="341"/>
      <c r="CG1005" s="341"/>
      <c r="CH1005" s="341"/>
      <c r="CI1005" s="341"/>
      <c r="CJ1005" s="341"/>
      <c r="CK1005" s="341"/>
      <c r="CL1005" s="341"/>
      <c r="CM1005" s="341"/>
      <c r="CN1005" s="341"/>
      <c r="CO1005" s="341"/>
      <c r="CP1005" s="341"/>
      <c r="CQ1005" s="341"/>
      <c r="CR1005" s="341"/>
      <c r="CS1005" s="341"/>
      <c r="CT1005" s="341"/>
      <c r="CU1005" s="341"/>
      <c r="CV1005" s="341"/>
      <c r="CW1005" s="341"/>
      <c r="CX1005" s="341"/>
      <c r="CY1005" s="279"/>
      <c r="CZ1005" s="279"/>
      <c r="DA1005" s="279"/>
      <c r="DB1005" s="279"/>
      <c r="DC1005" s="279"/>
      <c r="DD1005" s="279"/>
      <c r="DE1005" s="279"/>
      <c r="DF1005" s="280"/>
      <c r="DG1005" s="340"/>
      <c r="DH1005" s="341"/>
      <c r="DI1005" s="279"/>
      <c r="DJ1005" s="279"/>
      <c r="DK1005" s="279"/>
      <c r="DL1005" s="279"/>
      <c r="DM1005" s="279"/>
      <c r="DN1005" s="279"/>
      <c r="DO1005" s="279"/>
    </row>
    <row r="1006" spans="1:119" hidden="1">
      <c r="A1006" s="1"/>
      <c r="B1006" s="1"/>
      <c r="C1006" s="1"/>
      <c r="D1006" s="1188" t="str">
        <f>D960</f>
        <v>Of Which  COVID-19 Expenditure</v>
      </c>
      <c r="E1006" s="74"/>
      <c r="F1006" s="113"/>
      <c r="G1006" s="113"/>
      <c r="H1006" s="113"/>
      <c r="I1006" s="113"/>
      <c r="J1006" s="714"/>
      <c r="K1006" s="714"/>
      <c r="L1006" s="714"/>
      <c r="M1006" s="714"/>
      <c r="N1006" s="714"/>
      <c r="O1006" s="714"/>
      <c r="P1006" s="714"/>
      <c r="Q1006" s="714"/>
      <c r="R1006" s="714"/>
      <c r="S1006" s="714"/>
      <c r="T1006" s="714"/>
      <c r="U1006" s="714"/>
      <c r="V1006" s="714"/>
      <c r="W1006" s="714"/>
      <c r="X1006" s="714"/>
      <c r="Y1006" s="714"/>
      <c r="Z1006" s="714"/>
      <c r="AA1006" s="714"/>
      <c r="AB1006" s="714"/>
      <c r="AC1006" s="714"/>
      <c r="AD1006" s="714"/>
      <c r="AE1006" s="1004">
        <f>+AE960/AE$303</f>
        <v>4.1493775933609959E-3</v>
      </c>
      <c r="AF1006" s="1004">
        <f>+AF960/AF$303</f>
        <v>3.809886655871988E-3</v>
      </c>
      <c r="AG1006" s="1004"/>
      <c r="AH1006" s="1004"/>
      <c r="AI1006" s="1004"/>
      <c r="AJ1006" s="1004"/>
      <c r="AK1006" s="1004"/>
      <c r="AL1006" s="1004"/>
      <c r="AM1006" s="1004"/>
      <c r="AN1006" s="1004"/>
      <c r="AO1006" s="1004"/>
      <c r="AP1006" s="1004"/>
      <c r="AQ1006" s="1004"/>
      <c r="AR1006" s="1004"/>
      <c r="AS1006" s="1004"/>
      <c r="AT1006" s="1004"/>
      <c r="AU1006" s="341"/>
      <c r="AV1006" s="341"/>
      <c r="AW1006" s="341"/>
      <c r="AX1006" s="341"/>
      <c r="AY1006" s="341"/>
      <c r="AZ1006" s="341"/>
      <c r="BA1006" s="341"/>
      <c r="BB1006" s="341"/>
      <c r="BC1006" s="341"/>
      <c r="BD1006" s="341"/>
      <c r="BE1006" s="341"/>
      <c r="BF1006" s="341"/>
      <c r="BG1006" s="341"/>
      <c r="BH1006" s="341"/>
      <c r="BI1006" s="341"/>
      <c r="BJ1006" s="341"/>
      <c r="BK1006" s="341"/>
      <c r="BL1006" s="341"/>
      <c r="BM1006" s="341"/>
      <c r="BN1006" s="341"/>
      <c r="BO1006" s="341"/>
      <c r="BP1006" s="341"/>
      <c r="BQ1006" s="341"/>
      <c r="BR1006" s="341"/>
      <c r="BS1006" s="341"/>
      <c r="BT1006" s="341"/>
      <c r="BU1006" s="341"/>
      <c r="BV1006" s="341"/>
      <c r="BW1006" s="341"/>
      <c r="BX1006" s="341"/>
      <c r="BY1006" s="341"/>
      <c r="BZ1006" s="341"/>
      <c r="CA1006" s="341"/>
      <c r="CB1006" s="341"/>
      <c r="CC1006" s="341"/>
      <c r="CD1006" s="341"/>
      <c r="CE1006" s="341"/>
      <c r="CF1006" s="341"/>
      <c r="CG1006" s="341"/>
      <c r="CH1006" s="341"/>
      <c r="CI1006" s="341"/>
      <c r="CJ1006" s="341"/>
      <c r="CK1006" s="341"/>
      <c r="CL1006" s="341"/>
      <c r="CM1006" s="341"/>
      <c r="CN1006" s="341"/>
      <c r="CO1006" s="341"/>
      <c r="CP1006" s="341"/>
      <c r="CQ1006" s="341"/>
      <c r="CR1006" s="341"/>
      <c r="CS1006" s="341"/>
      <c r="CT1006" s="341"/>
      <c r="CU1006" s="341"/>
      <c r="CV1006" s="341"/>
      <c r="CW1006" s="341"/>
      <c r="CX1006" s="341"/>
      <c r="CY1006" s="279"/>
      <c r="CZ1006" s="279"/>
      <c r="DA1006" s="279"/>
      <c r="DB1006" s="279"/>
      <c r="DC1006" s="279"/>
      <c r="DD1006" s="279"/>
      <c r="DE1006" s="279"/>
      <c r="DF1006" s="280"/>
      <c r="DG1006" s="340"/>
      <c r="DH1006" s="341"/>
      <c r="DI1006" s="279"/>
      <c r="DJ1006" s="279"/>
      <c r="DK1006" s="279"/>
      <c r="DL1006" s="279"/>
      <c r="DM1006" s="279"/>
      <c r="DN1006" s="279"/>
      <c r="DO1006" s="279"/>
    </row>
    <row r="1007" spans="1:119" hidden="1">
      <c r="A1007" s="1"/>
      <c r="B1007" s="1"/>
      <c r="C1007" s="1"/>
      <c r="D1007" s="711" t="s">
        <v>146</v>
      </c>
      <c r="E1007" s="74"/>
      <c r="F1007" s="113"/>
      <c r="G1007" s="113"/>
      <c r="H1007" s="113"/>
      <c r="I1007" s="113"/>
      <c r="J1007" s="714"/>
      <c r="K1007" s="714">
        <f t="shared" ref="K1007:AJ1007" si="1236">+K961/K$303</f>
        <v>6.3840104849279163E-4</v>
      </c>
      <c r="L1007" s="714">
        <f t="shared" si="1236"/>
        <v>6.5694692903995222E-4</v>
      </c>
      <c r="M1007" s="714">
        <f t="shared" si="1236"/>
        <v>6.6520775623268695E-4</v>
      </c>
      <c r="N1007" s="714">
        <f t="shared" si="1236"/>
        <v>1.3565050408065292E-3</v>
      </c>
      <c r="O1007" s="714">
        <f t="shared" si="1236"/>
        <v>9.4577151923839753E-3</v>
      </c>
      <c r="P1007" s="714">
        <f t="shared" si="1236"/>
        <v>9.2809781027260625E-3</v>
      </c>
      <c r="Q1007" s="714">
        <f t="shared" si="1236"/>
        <v>4.6286118922138292E-3</v>
      </c>
      <c r="R1007" s="714">
        <f t="shared" si="1236"/>
        <v>7.9440419685236074E-3</v>
      </c>
      <c r="S1007" s="714">
        <f t="shared" si="1236"/>
        <v>-6.164931945556445E-3</v>
      </c>
      <c r="T1007" s="714">
        <f t="shared" si="1236"/>
        <v>7.6537433155080209E-3</v>
      </c>
      <c r="U1007" s="714">
        <f t="shared" si="1236"/>
        <v>8.400357462019661E-3</v>
      </c>
      <c r="V1007" s="714">
        <f t="shared" si="1236"/>
        <v>4.9128411926967026E-3</v>
      </c>
      <c r="W1007" s="714">
        <f t="shared" si="1236"/>
        <v>2.5154356277155273E-4</v>
      </c>
      <c r="X1007" s="714">
        <f t="shared" si="1236"/>
        <v>2.8312009905076357E-2</v>
      </c>
      <c r="Y1007" s="714">
        <f t="shared" si="1236"/>
        <v>9.4825443170312666E-3</v>
      </c>
      <c r="Z1007" s="714">
        <f t="shared" si="1236"/>
        <v>2.0135158551377576E-2</v>
      </c>
      <c r="AA1007" s="714">
        <f t="shared" si="1236"/>
        <v>1.3723712715194783E-2</v>
      </c>
      <c r="AB1007" s="714">
        <f t="shared" si="1236"/>
        <v>1.5729849552577033E-2</v>
      </c>
      <c r="AC1007" s="714">
        <f t="shared" si="1236"/>
        <v>2.0050440519042843E-2</v>
      </c>
      <c r="AD1007" s="714">
        <f t="shared" si="1236"/>
        <v>2.2215833983378872E-2</v>
      </c>
      <c r="AE1007" s="714">
        <f t="shared" si="1236"/>
        <v>4.1496285334060148E-2</v>
      </c>
      <c r="AF1007" s="714">
        <f t="shared" si="1236"/>
        <v>2.8554812971455276E-2</v>
      </c>
      <c r="AG1007" s="714">
        <f t="shared" si="1236"/>
        <v>2.2100411562828184E-2</v>
      </c>
      <c r="AH1007" s="714">
        <f t="shared" si="1236"/>
        <v>1.8931874925142103E-2</v>
      </c>
      <c r="AI1007" s="714">
        <f t="shared" si="1236"/>
        <v>1.4202903875392355E-2</v>
      </c>
      <c r="AJ1007" s="714" t="e">
        <f t="shared" si="1236"/>
        <v>#DIV/0!</v>
      </c>
      <c r="AK1007" s="714"/>
      <c r="AL1007" s="714"/>
      <c r="AM1007" s="714"/>
      <c r="AN1007" s="714"/>
      <c r="AO1007" s="714"/>
      <c r="AP1007" s="714"/>
      <c r="AQ1007" s="714"/>
      <c r="AR1007" s="714"/>
      <c r="AS1007" s="714"/>
      <c r="AT1007" s="714"/>
      <c r="AU1007" s="341"/>
      <c r="AV1007" s="341"/>
      <c r="AW1007" s="341"/>
      <c r="AX1007" s="341"/>
      <c r="AY1007" s="341"/>
      <c r="AZ1007" s="341"/>
      <c r="BA1007" s="341"/>
      <c r="BB1007" s="341"/>
      <c r="BC1007" s="341"/>
      <c r="BD1007" s="341"/>
      <c r="BE1007" s="341"/>
      <c r="BF1007" s="341"/>
      <c r="BG1007" s="341"/>
      <c r="BH1007" s="341"/>
      <c r="BI1007" s="341"/>
      <c r="BJ1007" s="341"/>
      <c r="BK1007" s="341"/>
      <c r="BL1007" s="341"/>
      <c r="BM1007" s="341"/>
      <c r="BN1007" s="341"/>
      <c r="BO1007" s="341"/>
      <c r="BP1007" s="341"/>
      <c r="BQ1007" s="341"/>
      <c r="BR1007" s="341"/>
      <c r="BS1007" s="341"/>
      <c r="BT1007" s="341"/>
      <c r="BU1007" s="341"/>
      <c r="BV1007" s="341"/>
      <c r="BW1007" s="341"/>
      <c r="BX1007" s="341"/>
      <c r="BY1007" s="341"/>
      <c r="BZ1007" s="341"/>
      <c r="CA1007" s="341"/>
      <c r="CB1007" s="341"/>
      <c r="CC1007" s="341"/>
      <c r="CD1007" s="341"/>
      <c r="CE1007" s="341"/>
      <c r="CF1007" s="341"/>
      <c r="CG1007" s="341"/>
      <c r="CH1007" s="341"/>
      <c r="CI1007" s="341"/>
      <c r="CJ1007" s="341"/>
      <c r="CK1007" s="341"/>
      <c r="CL1007" s="341"/>
      <c r="CM1007" s="341"/>
      <c r="CN1007" s="341"/>
      <c r="CO1007" s="341"/>
      <c r="CP1007" s="341"/>
      <c r="CQ1007" s="341"/>
      <c r="CR1007" s="341"/>
      <c r="CS1007" s="341"/>
      <c r="CT1007" s="341"/>
      <c r="CU1007" s="341"/>
      <c r="CV1007" s="341"/>
      <c r="CW1007" s="341"/>
      <c r="CX1007" s="341"/>
      <c r="CY1007" s="279"/>
      <c r="CZ1007" s="279"/>
      <c r="DA1007" s="279"/>
      <c r="DB1007" s="279"/>
      <c r="DC1007" s="279"/>
      <c r="DD1007" s="279"/>
      <c r="DE1007" s="279"/>
      <c r="DF1007" s="280"/>
      <c r="DG1007" s="340"/>
      <c r="DH1007" s="341"/>
      <c r="DI1007" s="279"/>
      <c r="DJ1007" s="279"/>
      <c r="DK1007" s="279"/>
      <c r="DL1007" s="279"/>
      <c r="DM1007" s="279"/>
      <c r="DN1007" s="279"/>
      <c r="DO1007" s="279"/>
    </row>
    <row r="1008" spans="1:119" hidden="1">
      <c r="A1008" s="1"/>
      <c r="B1008" s="1"/>
      <c r="C1008" s="1"/>
      <c r="D1008" s="708" t="s">
        <v>155</v>
      </c>
      <c r="E1008" s="74"/>
      <c r="F1008" s="113"/>
      <c r="G1008" s="113"/>
      <c r="H1008" s="113"/>
      <c r="I1008" s="113"/>
      <c r="J1008" s="714"/>
      <c r="K1008" s="714"/>
      <c r="L1008" s="714"/>
      <c r="M1008" s="714"/>
      <c r="N1008" s="714"/>
      <c r="O1008" s="714"/>
      <c r="P1008" s="714"/>
      <c r="Q1008" s="714"/>
      <c r="R1008" s="714"/>
      <c r="S1008" s="714"/>
      <c r="T1008" s="714"/>
      <c r="U1008" s="714"/>
      <c r="V1008" s="714"/>
      <c r="W1008" s="714"/>
      <c r="X1008" s="714"/>
      <c r="Y1008" s="714"/>
      <c r="Z1008" s="714"/>
      <c r="AA1008" s="714"/>
      <c r="AB1008" s="714"/>
      <c r="AC1008" s="715"/>
      <c r="AD1008" s="715"/>
      <c r="AE1008" s="715"/>
      <c r="AF1008" s="715"/>
      <c r="AG1008" s="715"/>
      <c r="AH1008" s="715"/>
      <c r="AI1008" s="715"/>
      <c r="AJ1008" s="715"/>
      <c r="AK1008" s="715"/>
      <c r="AL1008" s="715"/>
      <c r="AM1008" s="715"/>
      <c r="AN1008" s="715"/>
      <c r="AO1008" s="715"/>
      <c r="AP1008" s="715"/>
      <c r="AQ1008" s="715"/>
      <c r="AR1008" s="715"/>
      <c r="AS1008" s="715"/>
      <c r="AT1008" s="715"/>
      <c r="AU1008" s="341"/>
      <c r="AV1008" s="341"/>
      <c r="AW1008" s="341"/>
      <c r="AX1008" s="341"/>
      <c r="AY1008" s="341"/>
      <c r="AZ1008" s="341"/>
      <c r="BA1008" s="341"/>
      <c r="BB1008" s="341"/>
      <c r="BC1008" s="341"/>
      <c r="BD1008" s="341"/>
      <c r="BE1008" s="341"/>
      <c r="BF1008" s="341"/>
      <c r="BG1008" s="341"/>
      <c r="BH1008" s="341"/>
      <c r="BI1008" s="341"/>
      <c r="BJ1008" s="341"/>
      <c r="BK1008" s="341"/>
      <c r="BL1008" s="341"/>
      <c r="BM1008" s="341"/>
      <c r="BN1008" s="341"/>
      <c r="BO1008" s="341"/>
      <c r="BP1008" s="341"/>
      <c r="BQ1008" s="341"/>
      <c r="BR1008" s="341"/>
      <c r="BS1008" s="341"/>
      <c r="BT1008" s="341"/>
      <c r="BU1008" s="341"/>
      <c r="BV1008" s="341"/>
      <c r="BW1008" s="341"/>
      <c r="BX1008" s="341"/>
      <c r="BY1008" s="341"/>
      <c r="BZ1008" s="341"/>
      <c r="CA1008" s="341"/>
      <c r="CB1008" s="341"/>
      <c r="CC1008" s="341"/>
      <c r="CD1008" s="341"/>
      <c r="CE1008" s="341"/>
      <c r="CF1008" s="341"/>
      <c r="CG1008" s="341"/>
      <c r="CH1008" s="341"/>
      <c r="CI1008" s="341"/>
      <c r="CJ1008" s="341"/>
      <c r="CK1008" s="341"/>
      <c r="CL1008" s="341"/>
      <c r="CM1008" s="341"/>
      <c r="CN1008" s="341"/>
      <c r="CO1008" s="341"/>
      <c r="CP1008" s="341"/>
      <c r="CQ1008" s="341"/>
      <c r="CR1008" s="341"/>
      <c r="CS1008" s="341"/>
      <c r="CT1008" s="341"/>
      <c r="CU1008" s="341"/>
      <c r="CV1008" s="341"/>
      <c r="CW1008" s="341"/>
      <c r="CX1008" s="341"/>
      <c r="CY1008" s="279"/>
      <c r="CZ1008" s="279"/>
      <c r="DA1008" s="279"/>
      <c r="DB1008" s="279"/>
      <c r="DC1008" s="279"/>
      <c r="DD1008" s="279"/>
      <c r="DE1008" s="279"/>
      <c r="DF1008" s="280"/>
      <c r="DG1008" s="340"/>
      <c r="DH1008" s="341"/>
      <c r="DI1008" s="279"/>
      <c r="DJ1008" s="279"/>
      <c r="DK1008" s="279"/>
      <c r="DL1008" s="279"/>
      <c r="DM1008" s="279"/>
      <c r="DN1008" s="279"/>
      <c r="DO1008" s="279"/>
    </row>
    <row r="1009" spans="1:119" ht="15.9" hidden="1" thickBot="1">
      <c r="A1009" s="1"/>
      <c r="B1009" s="1"/>
      <c r="C1009" s="1"/>
      <c r="D1009" s="711" t="s">
        <v>156</v>
      </c>
      <c r="E1009" s="74"/>
      <c r="F1009" s="113"/>
      <c r="G1009" s="113"/>
      <c r="H1009" s="113"/>
      <c r="I1009" s="113"/>
      <c r="J1009" s="714"/>
      <c r="K1009" s="714">
        <f t="shared" ref="K1009:AJ1009" si="1237">+K963/K$303</f>
        <v>-2.3431368320445609E-2</v>
      </c>
      <c r="L1009" s="714">
        <f t="shared" si="1237"/>
        <v>-1.1800298151460937E-2</v>
      </c>
      <c r="M1009" s="714">
        <f t="shared" si="1237"/>
        <v>-2.0780941828254851E-2</v>
      </c>
      <c r="N1009" s="714">
        <f t="shared" si="1237"/>
        <v>-1.8081565050408085E-2</v>
      </c>
      <c r="O1009" s="714">
        <f t="shared" si="1237"/>
        <v>-3.5281951606505545E-3</v>
      </c>
      <c r="P1009" s="714">
        <f t="shared" si="1237"/>
        <v>6.4570629211702186E-3</v>
      </c>
      <c r="Q1009" s="714">
        <f t="shared" si="1237"/>
        <v>3.1882718299826177E-4</v>
      </c>
      <c r="R1009" s="714">
        <f t="shared" si="1237"/>
        <v>-1.3090182363227601E-2</v>
      </c>
      <c r="S1009" s="714">
        <f t="shared" si="1237"/>
        <v>-1.4011208967173285E-3</v>
      </c>
      <c r="T1009" s="714">
        <f t="shared" si="1237"/>
        <v>-2.0220588235294119E-2</v>
      </c>
      <c r="U1009" s="714">
        <f t="shared" si="1237"/>
        <v>-9.8302055406615085E-4</v>
      </c>
      <c r="V1009" s="714">
        <f t="shared" si="1237"/>
        <v>-3.1769827493760686E-2</v>
      </c>
      <c r="W1009" s="714">
        <f t="shared" si="1237"/>
        <v>-1.1205122341641893E-2</v>
      </c>
      <c r="X1009" s="714">
        <f t="shared" si="1237"/>
        <v>-4.8344704167887567E-2</v>
      </c>
      <c r="Y1009" s="714">
        <f t="shared" si="1237"/>
        <v>-3.8453331743494142E-2</v>
      </c>
      <c r="Z1009" s="714">
        <f t="shared" si="1237"/>
        <v>-5.2340928873262429E-2</v>
      </c>
      <c r="AA1009" s="714">
        <f t="shared" si="1237"/>
        <v>-3.8984260503328573E-2</v>
      </c>
      <c r="AB1009" s="714">
        <f t="shared" si="1237"/>
        <v>-4.5202727344049738E-2</v>
      </c>
      <c r="AC1009" s="714">
        <f t="shared" si="1237"/>
        <v>-4.5994405925457803E-2</v>
      </c>
      <c r="AD1009" s="714">
        <f t="shared" si="1237"/>
        <v>-6.9590545463940556E-2</v>
      </c>
      <c r="AE1009" s="714">
        <f t="shared" si="1237"/>
        <v>-0.12148310513047943</v>
      </c>
      <c r="AF1009" s="714">
        <f t="shared" si="1237"/>
        <v>-8.9411286937715578E-2</v>
      </c>
      <c r="AG1009" s="714">
        <f t="shared" si="1237"/>
        <v>0.48930283880329295</v>
      </c>
      <c r="AH1009" s="714">
        <f t="shared" si="1237"/>
        <v>0.63259220703608754</v>
      </c>
      <c r="AI1009" s="714">
        <f t="shared" si="1237"/>
        <v>0.6419540328357437</v>
      </c>
      <c r="AJ1009" s="714" t="e">
        <f t="shared" si="1237"/>
        <v>#DIV/0!</v>
      </c>
      <c r="AK1009" s="714"/>
      <c r="AL1009" s="714"/>
      <c r="AM1009" s="714"/>
      <c r="AN1009" s="714"/>
      <c r="AO1009" s="714"/>
      <c r="AP1009" s="714"/>
      <c r="AQ1009" s="714"/>
      <c r="AR1009" s="714"/>
      <c r="AS1009" s="714"/>
      <c r="AT1009" s="714"/>
      <c r="AU1009" s="279"/>
      <c r="AV1009" s="279"/>
      <c r="AW1009" s="279"/>
      <c r="AX1009" s="279"/>
      <c r="AY1009" s="279"/>
      <c r="AZ1009" s="279"/>
      <c r="BA1009" s="279"/>
      <c r="BB1009" s="279"/>
      <c r="BC1009" s="279"/>
      <c r="BD1009" s="279"/>
      <c r="BE1009" s="279"/>
      <c r="BF1009" s="279"/>
      <c r="BG1009" s="279"/>
      <c r="BH1009" s="279"/>
      <c r="BI1009" s="279"/>
      <c r="BJ1009" s="279"/>
      <c r="BK1009" s="279"/>
      <c r="BL1009" s="279"/>
      <c r="BM1009" s="279"/>
      <c r="BN1009" s="279"/>
      <c r="BO1009" s="279"/>
      <c r="BP1009" s="279"/>
      <c r="BQ1009" s="279"/>
      <c r="BR1009" s="279"/>
      <c r="BS1009" s="279"/>
      <c r="BT1009" s="279"/>
      <c r="BU1009" s="279"/>
      <c r="BV1009" s="279"/>
      <c r="BW1009" s="279"/>
      <c r="BX1009" s="279"/>
      <c r="BY1009" s="279"/>
      <c r="BZ1009" s="279"/>
      <c r="CA1009" s="279"/>
      <c r="CB1009" s="279"/>
      <c r="CC1009" s="279"/>
      <c r="CD1009" s="279"/>
      <c r="CE1009" s="279"/>
      <c r="CF1009" s="279"/>
      <c r="CG1009" s="279"/>
      <c r="CH1009" s="279"/>
      <c r="CI1009" s="279"/>
      <c r="CJ1009" s="279"/>
      <c r="CK1009" s="279"/>
      <c r="CL1009" s="279"/>
      <c r="CM1009" s="279"/>
      <c r="CN1009" s="279"/>
      <c r="CO1009" s="279"/>
      <c r="CP1009" s="279"/>
      <c r="CQ1009" s="279"/>
      <c r="CR1009" s="279"/>
      <c r="CS1009" s="279"/>
      <c r="CT1009" s="279"/>
      <c r="CU1009" s="279"/>
      <c r="CV1009" s="279"/>
      <c r="CW1009" s="279"/>
      <c r="CX1009" s="344"/>
      <c r="CY1009" s="344"/>
      <c r="CZ1009" s="344"/>
      <c r="DA1009" s="344"/>
      <c r="DB1009" s="344"/>
      <c r="DC1009" s="344"/>
      <c r="DD1009" s="344"/>
      <c r="DE1009" s="344"/>
      <c r="DF1009" s="345"/>
      <c r="DG1009" s="343"/>
      <c r="DH1009" s="344"/>
      <c r="DI1009" s="344"/>
      <c r="DJ1009" s="344"/>
      <c r="DK1009" s="344"/>
      <c r="DL1009" s="344"/>
      <c r="DM1009" s="344"/>
      <c r="DN1009" s="344"/>
      <c r="DO1009" s="344"/>
    </row>
    <row r="1010" spans="1:119" hidden="1">
      <c r="A1010" s="1"/>
      <c r="B1010" s="1"/>
      <c r="C1010" s="1"/>
      <c r="D1010" s="711" t="s">
        <v>157</v>
      </c>
      <c r="E1010" s="74"/>
      <c r="F1010" s="113"/>
      <c r="G1010" s="113"/>
      <c r="H1010" s="113"/>
      <c r="I1010" s="113"/>
      <c r="J1010" s="714"/>
      <c r="K1010" s="714">
        <f t="shared" ref="K1010:AJ1010" si="1238">+K964/K$303</f>
        <v>-0.11528595547640891</v>
      </c>
      <c r="L1010" s="714">
        <f t="shared" si="1238"/>
        <v>-9.5804174120453195E-2</v>
      </c>
      <c r="M1010" s="714">
        <f t="shared" si="1238"/>
        <v>-9.5556011080332431E-2</v>
      </c>
      <c r="N1010" s="714">
        <f t="shared" si="1238"/>
        <v>-8.8656553048487796E-2</v>
      </c>
      <c r="O1010" s="714">
        <f t="shared" si="1238"/>
        <v>-8.4807052756842555E-2</v>
      </c>
      <c r="P1010" s="714">
        <f t="shared" si="1238"/>
        <v>-9.1008923883307849E-2</v>
      </c>
      <c r="Q1010" s="714">
        <f t="shared" si="1238"/>
        <v>-9.6583464597324239E-2</v>
      </c>
      <c r="R1010" s="714">
        <f t="shared" si="1238"/>
        <v>-9.0432175868098957E-2</v>
      </c>
      <c r="S1010" s="714">
        <f t="shared" si="1238"/>
        <v>-9.2634107285828632E-2</v>
      </c>
      <c r="T1010" s="714">
        <f t="shared" si="1238"/>
        <v>-0.10635026737967913</v>
      </c>
      <c r="U1010" s="714">
        <f t="shared" si="1238"/>
        <v>-0.1229073577599047</v>
      </c>
      <c r="V1010" s="714">
        <f t="shared" si="1238"/>
        <v>-0.13134312838302906</v>
      </c>
      <c r="W1010" s="714">
        <f t="shared" si="1238"/>
        <v>-0.1158015092613766</v>
      </c>
      <c r="X1010" s="714">
        <f t="shared" si="1238"/>
        <v>-0.1236439200160097</v>
      </c>
      <c r="Y1010" s="714">
        <f t="shared" si="1238"/>
        <v>-0.12800943845870189</v>
      </c>
      <c r="Z1010" s="714">
        <f t="shared" si="1238"/>
        <v>-0.12441053509651709</v>
      </c>
      <c r="AA1010" s="714">
        <f t="shared" si="1238"/>
        <v>-0.10849712942016596</v>
      </c>
      <c r="AB1010" s="714">
        <f t="shared" si="1238"/>
        <v>-9.0826892598508638E-2</v>
      </c>
      <c r="AC1010" s="714">
        <f t="shared" si="1238"/>
        <v>-9.0959161233489683E-2</v>
      </c>
      <c r="AD1010" s="714">
        <f t="shared" si="1238"/>
        <v>-0.12436961046808004</v>
      </c>
      <c r="AE1010" s="714">
        <f t="shared" si="1238"/>
        <v>-0.16630491818837984</v>
      </c>
      <c r="AF1010" s="714">
        <f t="shared" si="1238"/>
        <v>-0.13630372288311421</v>
      </c>
      <c r="AG1010" s="714">
        <f t="shared" si="1238"/>
        <v>0.42164282306640538</v>
      </c>
      <c r="AH1010" s="714">
        <f t="shared" si="1238"/>
        <v>0.58757358976016727</v>
      </c>
      <c r="AI1010" s="714">
        <f t="shared" si="1238"/>
        <v>0.60109587725736047</v>
      </c>
      <c r="AJ1010" s="714" t="e">
        <f t="shared" si="1238"/>
        <v>#DIV/0!</v>
      </c>
      <c r="AK1010" s="714"/>
      <c r="AL1010" s="714"/>
      <c r="AM1010" s="714"/>
      <c r="AN1010" s="714"/>
      <c r="AO1010" s="714"/>
      <c r="AP1010" s="714"/>
      <c r="AQ1010" s="714"/>
      <c r="AR1010" s="714"/>
      <c r="AS1010" s="714"/>
      <c r="AT1010" s="714"/>
      <c r="AU1010" s="279"/>
      <c r="AV1010" s="279"/>
      <c r="AW1010" s="279"/>
      <c r="AX1010" s="279"/>
      <c r="AY1010" s="279"/>
      <c r="AZ1010" s="279"/>
      <c r="BA1010" s="279"/>
      <c r="BB1010" s="279"/>
      <c r="BC1010" s="279"/>
      <c r="BD1010" s="279"/>
      <c r="BE1010" s="279"/>
      <c r="BF1010" s="279"/>
      <c r="BG1010" s="279"/>
      <c r="BH1010" s="279"/>
      <c r="BI1010" s="279"/>
      <c r="BJ1010" s="279"/>
      <c r="BK1010" s="279"/>
      <c r="BL1010" s="279"/>
      <c r="BM1010" s="279"/>
      <c r="BN1010" s="279"/>
      <c r="BO1010" s="279"/>
      <c r="BP1010" s="279"/>
      <c r="BQ1010" s="279"/>
      <c r="BR1010" s="279"/>
      <c r="BS1010" s="279"/>
      <c r="BT1010" s="279"/>
      <c r="BU1010" s="279"/>
      <c r="BV1010" s="279"/>
      <c r="BW1010" s="279"/>
      <c r="BX1010" s="279"/>
      <c r="BY1010" s="279"/>
      <c r="BZ1010" s="279"/>
      <c r="CA1010" s="279"/>
      <c r="CB1010" s="279"/>
      <c r="CC1010" s="279"/>
      <c r="CD1010" s="279"/>
      <c r="CE1010" s="279"/>
      <c r="CF1010" s="279"/>
      <c r="CG1010" s="279"/>
      <c r="CH1010" s="279"/>
      <c r="CI1010" s="279"/>
      <c r="CJ1010" s="279"/>
      <c r="CK1010" s="279"/>
      <c r="CL1010" s="279"/>
      <c r="CM1010" s="279"/>
      <c r="CN1010" s="279"/>
      <c r="CO1010" s="279"/>
      <c r="CP1010" s="279"/>
      <c r="CQ1010" s="279"/>
      <c r="CR1010" s="279"/>
      <c r="CS1010" s="279"/>
      <c r="CT1010" s="279"/>
      <c r="CU1010" s="279"/>
      <c r="CV1010" s="279"/>
      <c r="CW1010" s="281"/>
      <c r="CX1010" s="279"/>
      <c r="CY1010" s="279"/>
      <c r="CZ1010" s="279"/>
      <c r="DA1010" s="279"/>
      <c r="DB1010" s="279"/>
      <c r="DC1010" s="279"/>
      <c r="DD1010" s="279"/>
      <c r="DE1010" s="279"/>
      <c r="DF1010" s="279"/>
      <c r="DG1010" s="281"/>
      <c r="DH1010" s="279"/>
      <c r="DI1010" s="279"/>
      <c r="DJ1010" s="279"/>
      <c r="DK1010" s="279"/>
      <c r="DL1010" s="279"/>
      <c r="DM1010" s="279"/>
      <c r="DN1010" s="279"/>
      <c r="DO1010" s="279"/>
    </row>
    <row r="1011" spans="1:119" hidden="1">
      <c r="A1011" s="1"/>
      <c r="B1011" s="1"/>
      <c r="C1011" s="1"/>
      <c r="D1011" s="709" t="str">
        <f>D868</f>
        <v>Excluding PKO Pre-financing</v>
      </c>
      <c r="E1011" s="74"/>
      <c r="F1011" s="113"/>
      <c r="G1011" s="113"/>
      <c r="H1011" s="113"/>
      <c r="I1011" s="113"/>
      <c r="J1011" s="714"/>
      <c r="K1011" s="714">
        <f t="shared" ref="K1011:AA1011" si="1239">+K965/K$303</f>
        <v>-2.343136832044557E-2</v>
      </c>
      <c r="L1011" s="714">
        <f t="shared" si="1239"/>
        <v>-1.1800298151460919E-2</v>
      </c>
      <c r="M1011" s="714">
        <f t="shared" si="1239"/>
        <v>-2.0780941828254837E-2</v>
      </c>
      <c r="N1011" s="714">
        <f t="shared" si="1239"/>
        <v>-1.8081565050408071E-2</v>
      </c>
      <c r="O1011" s="714">
        <f t="shared" si="1239"/>
        <v>-3.5281951606505658E-3</v>
      </c>
      <c r="P1011" s="714">
        <f t="shared" si="1239"/>
        <v>6.4570629211702186E-3</v>
      </c>
      <c r="Q1011" s="714">
        <f t="shared" si="1239"/>
        <v>3.1882718299826177E-4</v>
      </c>
      <c r="R1011" s="714">
        <f t="shared" si="1239"/>
        <v>-1.3090182363227601E-2</v>
      </c>
      <c r="S1011" s="714">
        <f t="shared" si="1239"/>
        <v>-1.4011208967173285E-3</v>
      </c>
      <c r="T1011" s="714">
        <f t="shared" si="1239"/>
        <v>-2.0220588235294119E-2</v>
      </c>
      <c r="U1011" s="714">
        <f t="shared" si="1239"/>
        <v>-9.8302055406615085E-4</v>
      </c>
      <c r="V1011" s="714">
        <f t="shared" si="1239"/>
        <v>-3.1769827493760686E-2</v>
      </c>
      <c r="W1011" s="714">
        <f t="shared" si="1239"/>
        <v>-1.1205122341641893E-2</v>
      </c>
      <c r="X1011" s="714">
        <f t="shared" si="1239"/>
        <v>-5.0552710771271811E-2</v>
      </c>
      <c r="Y1011" s="714">
        <f t="shared" si="1239"/>
        <v>-3.7114029304549337E-2</v>
      </c>
      <c r="Z1011" s="714">
        <f t="shared" si="1239"/>
        <v>-5.2282013607277349E-2</v>
      </c>
      <c r="AA1011" s="714">
        <f t="shared" si="1239"/>
        <v>-1.9139976216816089E-2</v>
      </c>
      <c r="AB1011" s="714">
        <f>+AB965/AB$303</f>
        <v>-4.5251611026821105E-2</v>
      </c>
      <c r="AC1011" s="714">
        <f t="shared" ref="AC1011:AJ1011" si="1240">+AC965/AC$303</f>
        <v>-4.653087734252119E-2</v>
      </c>
      <c r="AD1011" s="714">
        <f t="shared" si="1240"/>
        <v>-4.5387174748776626E-2</v>
      </c>
      <c r="AE1011" s="1004">
        <f t="shared" si="1240"/>
        <v>-0.11992787792161526</v>
      </c>
      <c r="AF1011" s="1004">
        <f t="shared" si="1240"/>
        <v>-9.0003460832070448E-2</v>
      </c>
      <c r="AG1011" s="1004">
        <f t="shared" si="1240"/>
        <v>0.48864747336192732</v>
      </c>
      <c r="AH1011" s="1004">
        <f t="shared" si="1240"/>
        <v>0.63259220703608754</v>
      </c>
      <c r="AI1011" s="1004">
        <f t="shared" si="1240"/>
        <v>0.64195403283574393</v>
      </c>
      <c r="AJ1011" s="1004" t="e">
        <f t="shared" si="1240"/>
        <v>#DIV/0!</v>
      </c>
      <c r="AK1011" s="1004"/>
      <c r="AL1011" s="1004"/>
      <c r="AM1011" s="1004"/>
      <c r="AN1011" s="1004"/>
      <c r="AO1011" s="1004"/>
      <c r="AP1011" s="1004"/>
      <c r="AQ1011" s="1004"/>
      <c r="AR1011" s="1004"/>
      <c r="AS1011" s="1004"/>
      <c r="AT1011" s="1004"/>
      <c r="AU1011" s="279"/>
      <c r="AV1011" s="279"/>
      <c r="AW1011" s="279"/>
      <c r="AX1011" s="279"/>
      <c r="AY1011" s="279"/>
      <c r="AZ1011" s="279"/>
      <c r="BA1011" s="279"/>
      <c r="BB1011" s="279"/>
      <c r="BC1011" s="279"/>
      <c r="BD1011" s="279"/>
      <c r="BE1011" s="279"/>
      <c r="BF1011" s="279"/>
      <c r="BG1011" s="279"/>
      <c r="BH1011" s="279"/>
      <c r="BI1011" s="279"/>
      <c r="BJ1011" s="279"/>
      <c r="BK1011" s="279"/>
      <c r="BL1011" s="279"/>
      <c r="BM1011" s="279"/>
      <c r="BN1011" s="279"/>
      <c r="BO1011" s="279"/>
      <c r="BP1011" s="279"/>
      <c r="BQ1011" s="279"/>
      <c r="BR1011" s="279"/>
      <c r="BS1011" s="279"/>
      <c r="BT1011" s="279"/>
      <c r="BU1011" s="279"/>
      <c r="BV1011" s="279"/>
      <c r="BW1011" s="279"/>
      <c r="BX1011" s="279"/>
      <c r="BY1011" s="279"/>
      <c r="BZ1011" s="279"/>
      <c r="CA1011" s="279"/>
      <c r="CB1011" s="279"/>
      <c r="CC1011" s="279"/>
      <c r="CD1011" s="279"/>
      <c r="CE1011" s="279"/>
      <c r="CF1011" s="279"/>
      <c r="CG1011" s="279"/>
      <c r="CH1011" s="279"/>
      <c r="CI1011" s="279"/>
      <c r="CJ1011" s="279"/>
      <c r="CK1011" s="279"/>
      <c r="CL1011" s="279"/>
      <c r="CM1011" s="279"/>
      <c r="CN1011" s="279"/>
      <c r="CO1011" s="279"/>
      <c r="CP1011" s="279"/>
      <c r="CQ1011" s="279"/>
      <c r="CR1011" s="279"/>
      <c r="CS1011" s="279"/>
      <c r="CT1011" s="279"/>
      <c r="CU1011" s="279"/>
      <c r="CV1011" s="279"/>
      <c r="CW1011" s="281"/>
      <c r="CX1011" s="279"/>
      <c r="CY1011" s="279"/>
      <c r="CZ1011" s="279"/>
      <c r="DA1011" s="279"/>
      <c r="DB1011" s="279"/>
      <c r="DC1011" s="279"/>
      <c r="DD1011" s="279"/>
      <c r="DE1011" s="279"/>
      <c r="DF1011" s="279"/>
      <c r="DG1011" s="281"/>
      <c r="DH1011" s="279"/>
      <c r="DI1011" s="279"/>
      <c r="DJ1011" s="279"/>
      <c r="DK1011" s="279"/>
      <c r="DL1011" s="279"/>
      <c r="DM1011" s="279"/>
      <c r="DN1011" s="279"/>
      <c r="DO1011" s="279"/>
    </row>
    <row r="1012" spans="1:119" hidden="1">
      <c r="A1012" s="1"/>
      <c r="B1012" s="1"/>
      <c r="C1012" s="1"/>
      <c r="D1012" s="1116" t="str">
        <f>D869</f>
        <v>Excluding Marriott Net lending</v>
      </c>
      <c r="E1012" s="74"/>
      <c r="F1012" s="113"/>
      <c r="G1012" s="113"/>
      <c r="H1012" s="113"/>
      <c r="I1012" s="113"/>
      <c r="J1012" s="714"/>
      <c r="K1012" s="1115">
        <f t="shared" ref="K1012:Z1012" si="1241">+K966/K$303</f>
        <v>-2.343136832044557E-2</v>
      </c>
      <c r="L1012" s="1115">
        <f t="shared" si="1241"/>
        <v>-1.1800298151460919E-2</v>
      </c>
      <c r="M1012" s="1115">
        <f t="shared" si="1241"/>
        <v>-2.0780941828254837E-2</v>
      </c>
      <c r="N1012" s="1115">
        <f t="shared" si="1241"/>
        <v>-1.8081565050408071E-2</v>
      </c>
      <c r="O1012" s="1115">
        <f t="shared" si="1241"/>
        <v>-3.5281951606505658E-3</v>
      </c>
      <c r="P1012" s="1115">
        <f t="shared" si="1241"/>
        <v>6.4570629211702186E-3</v>
      </c>
      <c r="Q1012" s="1115">
        <f t="shared" si="1241"/>
        <v>3.1882718299826177E-4</v>
      </c>
      <c r="R1012" s="1115">
        <f t="shared" si="1241"/>
        <v>-1.3090182363227601E-2</v>
      </c>
      <c r="S1012" s="1115">
        <f t="shared" si="1241"/>
        <v>-1.4011208967173285E-3</v>
      </c>
      <c r="T1012" s="1115">
        <f t="shared" si="1241"/>
        <v>-2.0220588235294119E-2</v>
      </c>
      <c r="U1012" s="1115">
        <f t="shared" si="1241"/>
        <v>-9.8302055406615085E-4</v>
      </c>
      <c r="V1012" s="1115">
        <f t="shared" si="1241"/>
        <v>-3.1769827493760686E-2</v>
      </c>
      <c r="W1012" s="1115">
        <f t="shared" si="1241"/>
        <v>-1.1205122341641893E-2</v>
      </c>
      <c r="X1012" s="1115">
        <f t="shared" si="1241"/>
        <v>-4.8344704167887567E-2</v>
      </c>
      <c r="Y1012" s="1115">
        <f t="shared" si="1241"/>
        <v>-3.8161204722535383E-2</v>
      </c>
      <c r="Z1012" s="1115">
        <f t="shared" si="1241"/>
        <v>-5.2063680562744338E-2</v>
      </c>
      <c r="AA1012" s="1115">
        <f>+AA966/AA$303</f>
        <v>-3.871324885999472E-2</v>
      </c>
      <c r="AB1012" s="1115">
        <f t="shared" ref="AB1012:AJ1012" si="1242">+AB966/AB$303</f>
        <v>-4.4847722114832678E-2</v>
      </c>
      <c r="AC1012" s="1115">
        <f t="shared" si="1242"/>
        <v>-4.5634132223879242E-2</v>
      </c>
      <c r="AD1012" s="1115">
        <f>+AD966/AD$303</f>
        <v>-6.9590545463940556E-2</v>
      </c>
      <c r="AE1012" s="1115">
        <f t="shared" si="1242"/>
        <v>-0.11318434994375744</v>
      </c>
      <c r="AF1012" s="1115">
        <f t="shared" si="1242"/>
        <v>-8.9411286937715578E-2</v>
      </c>
      <c r="AG1012" s="1115">
        <f t="shared" si="1242"/>
        <v>0.48930283880329295</v>
      </c>
      <c r="AH1012" s="1115">
        <f t="shared" si="1242"/>
        <v>0.63259220703608754</v>
      </c>
      <c r="AI1012" s="1115">
        <f t="shared" si="1242"/>
        <v>0.6419540328357437</v>
      </c>
      <c r="AJ1012" s="1115" t="e">
        <f t="shared" si="1242"/>
        <v>#DIV/0!</v>
      </c>
      <c r="AK1012" s="1115"/>
      <c r="AL1012" s="1115"/>
      <c r="AM1012" s="1115"/>
      <c r="AN1012" s="1115"/>
      <c r="AO1012" s="1115"/>
      <c r="AP1012" s="1115"/>
      <c r="AQ1012" s="1115"/>
      <c r="AR1012" s="1115"/>
      <c r="AS1012" s="1115"/>
      <c r="AT1012" s="1115"/>
      <c r="AU1012" s="279"/>
      <c r="AV1012" s="279"/>
      <c r="AW1012" s="279"/>
      <c r="AX1012" s="279"/>
      <c r="AY1012" s="279"/>
      <c r="AZ1012" s="279"/>
      <c r="BA1012" s="279"/>
      <c r="BB1012" s="279"/>
      <c r="BC1012" s="279"/>
      <c r="BD1012" s="279"/>
      <c r="BE1012" s="279"/>
      <c r="BF1012" s="279"/>
      <c r="BG1012" s="279"/>
      <c r="BH1012" s="279"/>
      <c r="BI1012" s="279"/>
      <c r="BJ1012" s="279"/>
      <c r="BK1012" s="279"/>
      <c r="BL1012" s="279"/>
      <c r="BM1012" s="279"/>
      <c r="BN1012" s="279"/>
      <c r="BO1012" s="279"/>
      <c r="BP1012" s="279"/>
      <c r="BQ1012" s="279"/>
      <c r="BR1012" s="279"/>
      <c r="BS1012" s="279"/>
      <c r="BT1012" s="279"/>
      <c r="BU1012" s="279"/>
      <c r="BV1012" s="279"/>
      <c r="BW1012" s="279"/>
      <c r="BX1012" s="279"/>
      <c r="BY1012" s="279"/>
      <c r="BZ1012" s="279"/>
      <c r="CA1012" s="279"/>
      <c r="CB1012" s="279"/>
      <c r="CC1012" s="279"/>
      <c r="CD1012" s="279"/>
      <c r="CE1012" s="279"/>
      <c r="CF1012" s="279"/>
      <c r="CG1012" s="279"/>
      <c r="CH1012" s="279"/>
      <c r="CI1012" s="279"/>
      <c r="CJ1012" s="279"/>
      <c r="CK1012" s="279"/>
      <c r="CL1012" s="279"/>
      <c r="CM1012" s="279"/>
      <c r="CN1012" s="279"/>
      <c r="CO1012" s="279"/>
      <c r="CP1012" s="279"/>
      <c r="CQ1012" s="279"/>
      <c r="CR1012" s="279"/>
      <c r="CS1012" s="279"/>
      <c r="CT1012" s="279"/>
      <c r="CU1012" s="279"/>
      <c r="CV1012" s="279"/>
      <c r="CW1012" s="281"/>
      <c r="CX1012" s="279"/>
      <c r="CY1012" s="279"/>
      <c r="CZ1012" s="279"/>
      <c r="DA1012" s="279"/>
      <c r="DB1012" s="279"/>
      <c r="DC1012" s="279"/>
      <c r="DD1012" s="279"/>
      <c r="DE1012" s="279"/>
      <c r="DF1012" s="279"/>
      <c r="DG1012" s="281"/>
      <c r="DH1012" s="279"/>
      <c r="DI1012" s="279"/>
      <c r="DJ1012" s="279"/>
      <c r="DK1012" s="279"/>
      <c r="DL1012" s="279"/>
      <c r="DM1012" s="279"/>
      <c r="DN1012" s="279"/>
      <c r="DO1012" s="279"/>
    </row>
    <row r="1013" spans="1:119" hidden="1">
      <c r="A1013" s="1"/>
      <c r="B1013" s="1"/>
      <c r="C1013" s="1"/>
      <c r="D1013" s="1116" t="str">
        <f>D870</f>
        <v>Excluding Marriott and PKO</v>
      </c>
      <c r="E1013" s="74"/>
      <c r="F1013" s="113"/>
      <c r="G1013" s="113"/>
      <c r="H1013" s="113"/>
      <c r="I1013" s="113"/>
      <c r="J1013" s="714"/>
      <c r="K1013" s="1115">
        <f t="shared" ref="K1013:Z1013" si="1243">+K967/K$303</f>
        <v>-2.343136832044557E-2</v>
      </c>
      <c r="L1013" s="1115">
        <f t="shared" si="1243"/>
        <v>-1.1800298151460919E-2</v>
      </c>
      <c r="M1013" s="1115">
        <f t="shared" si="1243"/>
        <v>-2.0780941828254837E-2</v>
      </c>
      <c r="N1013" s="1115">
        <f t="shared" si="1243"/>
        <v>-1.8081565050408071E-2</v>
      </c>
      <c r="O1013" s="1115">
        <f t="shared" si="1243"/>
        <v>-3.5281951606505658E-3</v>
      </c>
      <c r="P1013" s="1115">
        <f t="shared" si="1243"/>
        <v>6.4570629211702186E-3</v>
      </c>
      <c r="Q1013" s="1115">
        <f t="shared" si="1243"/>
        <v>3.1882718299826177E-4</v>
      </c>
      <c r="R1013" s="1115">
        <f t="shared" si="1243"/>
        <v>-1.3090182363227601E-2</v>
      </c>
      <c r="S1013" s="1115">
        <f t="shared" si="1243"/>
        <v>-1.4011208967173285E-3</v>
      </c>
      <c r="T1013" s="1115">
        <f t="shared" si="1243"/>
        <v>-2.0220588235294119E-2</v>
      </c>
      <c r="U1013" s="1115">
        <f t="shared" si="1243"/>
        <v>-9.8302055406615085E-4</v>
      </c>
      <c r="V1013" s="1115">
        <f t="shared" si="1243"/>
        <v>-3.1769827493760686E-2</v>
      </c>
      <c r="W1013" s="1115">
        <f t="shared" si="1243"/>
        <v>-1.1205122341641893E-2</v>
      </c>
      <c r="X1013" s="1115">
        <f t="shared" si="1243"/>
        <v>-5.0552710771271811E-2</v>
      </c>
      <c r="Y1013" s="1115">
        <f t="shared" si="1243"/>
        <v>-3.6821902283590585E-2</v>
      </c>
      <c r="Z1013" s="1115">
        <f t="shared" si="1243"/>
        <v>-5.2004765296759257E-2</v>
      </c>
      <c r="AA1013" s="1115">
        <f>+AA967/AA$303</f>
        <v>-1.8868964573482232E-2</v>
      </c>
      <c r="AB1013" s="1115">
        <f t="shared" ref="AB1013:AJ1013" si="1244">+AB967/AB$303</f>
        <v>-4.4895786021570301E-2</v>
      </c>
      <c r="AC1013" s="1115">
        <f t="shared" si="1244"/>
        <v>-4.617060364094263E-2</v>
      </c>
      <c r="AD1013" s="1115">
        <f t="shared" si="1244"/>
        <v>-4.5387174748776626E-2</v>
      </c>
      <c r="AE1013" s="1115">
        <f t="shared" si="1244"/>
        <v>-0.11162912273489325</v>
      </c>
      <c r="AF1013" s="1115">
        <f t="shared" si="1244"/>
        <v>-9.0003460832070448E-2</v>
      </c>
      <c r="AG1013" s="1115">
        <f t="shared" si="1244"/>
        <v>0.48864747336192732</v>
      </c>
      <c r="AH1013" s="1115">
        <f t="shared" si="1244"/>
        <v>0.63259220703608754</v>
      </c>
      <c r="AI1013" s="1115">
        <f t="shared" si="1244"/>
        <v>0.64195403283574393</v>
      </c>
      <c r="AJ1013" s="1115" t="e">
        <f t="shared" si="1244"/>
        <v>#DIV/0!</v>
      </c>
      <c r="AK1013" s="1115"/>
      <c r="AL1013" s="1115"/>
      <c r="AM1013" s="1115"/>
      <c r="AN1013" s="1115"/>
      <c r="AO1013" s="1115"/>
      <c r="AP1013" s="1115"/>
      <c r="AQ1013" s="1115"/>
      <c r="AR1013" s="1115"/>
      <c r="AS1013" s="1115"/>
      <c r="AT1013" s="1115"/>
      <c r="AU1013" s="279"/>
      <c r="AV1013" s="279"/>
      <c r="AW1013" s="279"/>
      <c r="AX1013" s="279"/>
      <c r="AY1013" s="279"/>
      <c r="AZ1013" s="279"/>
      <c r="BA1013" s="279"/>
      <c r="BB1013" s="279"/>
      <c r="BC1013" s="279"/>
      <c r="BD1013" s="279"/>
      <c r="BE1013" s="279"/>
      <c r="BF1013" s="279"/>
      <c r="BG1013" s="279"/>
      <c r="BH1013" s="279"/>
      <c r="BI1013" s="279"/>
      <c r="BJ1013" s="279"/>
      <c r="BK1013" s="279"/>
      <c r="BL1013" s="279"/>
      <c r="BM1013" s="279"/>
      <c r="BN1013" s="279"/>
      <c r="BO1013" s="279"/>
      <c r="BP1013" s="279"/>
      <c r="BQ1013" s="279"/>
      <c r="BR1013" s="279"/>
      <c r="BS1013" s="279"/>
      <c r="BT1013" s="279"/>
      <c r="BU1013" s="279"/>
      <c r="BV1013" s="279"/>
      <c r="BW1013" s="279"/>
      <c r="BX1013" s="279"/>
      <c r="BY1013" s="279"/>
      <c r="BZ1013" s="279"/>
      <c r="CA1013" s="279"/>
      <c r="CB1013" s="279"/>
      <c r="CC1013" s="279"/>
      <c r="CD1013" s="279"/>
      <c r="CE1013" s="279"/>
      <c r="CF1013" s="279"/>
      <c r="CG1013" s="279"/>
      <c r="CH1013" s="279"/>
      <c r="CI1013" s="279"/>
      <c r="CJ1013" s="279"/>
      <c r="CK1013" s="279"/>
      <c r="CL1013" s="279"/>
      <c r="CM1013" s="279"/>
      <c r="CN1013" s="279"/>
      <c r="CO1013" s="279"/>
      <c r="CP1013" s="279"/>
      <c r="CQ1013" s="279"/>
      <c r="CR1013" s="279"/>
      <c r="CS1013" s="279"/>
      <c r="CT1013" s="279"/>
      <c r="CU1013" s="279"/>
      <c r="CV1013" s="279"/>
      <c r="CW1013" s="281"/>
      <c r="CX1013" s="279"/>
      <c r="CY1013" s="279"/>
      <c r="CZ1013" s="279"/>
      <c r="DA1013" s="279"/>
      <c r="DB1013" s="279"/>
      <c r="DC1013" s="279"/>
      <c r="DD1013" s="279"/>
      <c r="DE1013" s="279"/>
      <c r="DF1013" s="279"/>
      <c r="DG1013" s="281"/>
      <c r="DH1013" s="279"/>
      <c r="DI1013" s="279"/>
      <c r="DJ1013" s="279"/>
      <c r="DK1013" s="279"/>
      <c r="DL1013" s="279"/>
      <c r="DM1013" s="279"/>
      <c r="DN1013" s="279"/>
      <c r="DO1013" s="279"/>
    </row>
    <row r="1014" spans="1:119" hidden="1">
      <c r="A1014" s="1"/>
      <c r="B1014" s="1"/>
      <c r="C1014" s="1"/>
      <c r="D1014" s="1116" t="str">
        <f>D871</f>
        <v>Excluding Marriott, PKO, Emergencies and COVID-19</v>
      </c>
      <c r="E1014" s="74"/>
      <c r="F1014" s="113"/>
      <c r="G1014" s="113"/>
      <c r="H1014" s="113"/>
      <c r="I1014" s="113"/>
      <c r="J1014" s="714"/>
      <c r="K1014" s="1115">
        <f t="shared" ref="K1014:Z1014" si="1245">+K968/K$303</f>
        <v>-2.343136832044557E-2</v>
      </c>
      <c r="L1014" s="1115">
        <f t="shared" si="1245"/>
        <v>-1.1800298151460919E-2</v>
      </c>
      <c r="M1014" s="1115">
        <f t="shared" si="1245"/>
        <v>-2.0780941828254837E-2</v>
      </c>
      <c r="N1014" s="1115">
        <f t="shared" si="1245"/>
        <v>-1.8081565050408071E-2</v>
      </c>
      <c r="O1014" s="1115">
        <f t="shared" si="1245"/>
        <v>-3.5281951606505658E-3</v>
      </c>
      <c r="P1014" s="1115">
        <f t="shared" si="1245"/>
        <v>6.4570629211702186E-3</v>
      </c>
      <c r="Q1014" s="1115">
        <f t="shared" si="1245"/>
        <v>3.1882718299826177E-4</v>
      </c>
      <c r="R1014" s="1115">
        <f t="shared" si="1245"/>
        <v>-1.3090182363227601E-2</v>
      </c>
      <c r="S1014" s="1115">
        <f t="shared" si="1245"/>
        <v>-1.4011208967173285E-3</v>
      </c>
      <c r="T1014" s="1115">
        <f t="shared" si="1245"/>
        <v>-2.0220588235294119E-2</v>
      </c>
      <c r="U1014" s="1115">
        <f t="shared" si="1245"/>
        <v>-9.8302055406615085E-4</v>
      </c>
      <c r="V1014" s="1115">
        <f t="shared" si="1245"/>
        <v>-3.1769827493760686E-2</v>
      </c>
      <c r="W1014" s="1115">
        <f t="shared" si="1245"/>
        <v>-1.1205122341641893E-2</v>
      </c>
      <c r="X1014" s="1115">
        <f t="shared" si="1245"/>
        <v>-5.0552710771271811E-2</v>
      </c>
      <c r="Y1014" s="1115">
        <f t="shared" si="1245"/>
        <v>-3.6821902283590585E-2</v>
      </c>
      <c r="Z1014" s="1115">
        <f t="shared" si="1245"/>
        <v>-5.2004765296759257E-2</v>
      </c>
      <c r="AA1014" s="1115">
        <f>+AA968/AA$303</f>
        <v>-1.8868964573482232E-2</v>
      </c>
      <c r="AB1014" s="1115">
        <f>+AB968/AB$303</f>
        <v>-4.4895786021570301E-2</v>
      </c>
      <c r="AC1014" s="1115">
        <f>+AC968/AC$303</f>
        <v>-4.617060364094263E-2</v>
      </c>
      <c r="AD1014" s="1115">
        <f>+AD968/AD$303</f>
        <v>-4.5387174748776626E-2</v>
      </c>
      <c r="AE1014" s="1115">
        <f t="shared" ref="AE1014:AJ1014" si="1246">+AE968/AE$303</f>
        <v>-6.8070297844642635E-2</v>
      </c>
      <c r="AF1014" s="1115">
        <f t="shared" si="1246"/>
        <v>-3.9091768846340434E-2</v>
      </c>
      <c r="AG1014" s="1115">
        <f t="shared" si="1246"/>
        <v>0.48864747336192732</v>
      </c>
      <c r="AH1014" s="1115">
        <f t="shared" si="1246"/>
        <v>0.63259220703608754</v>
      </c>
      <c r="AI1014" s="1115">
        <f t="shared" si="1246"/>
        <v>0.64195403283574393</v>
      </c>
      <c r="AJ1014" s="1115" t="e">
        <f t="shared" si="1246"/>
        <v>#DIV/0!</v>
      </c>
      <c r="AK1014" s="1115"/>
      <c r="AL1014" s="1115"/>
      <c r="AM1014" s="1115"/>
      <c r="AN1014" s="1115"/>
      <c r="AO1014" s="1115"/>
      <c r="AP1014" s="1115"/>
      <c r="AQ1014" s="1115"/>
      <c r="AR1014" s="1115"/>
      <c r="AS1014" s="1115"/>
      <c r="AT1014" s="1115"/>
      <c r="AU1014" s="279"/>
      <c r="AV1014" s="279"/>
      <c r="AW1014" s="279"/>
      <c r="AX1014" s="279"/>
      <c r="AY1014" s="279"/>
      <c r="AZ1014" s="279"/>
      <c r="BA1014" s="279"/>
      <c r="BB1014" s="279"/>
      <c r="BC1014" s="279"/>
      <c r="BD1014" s="279"/>
      <c r="BE1014" s="279"/>
      <c r="BF1014" s="279"/>
      <c r="BG1014" s="279"/>
      <c r="BH1014" s="279"/>
      <c r="BI1014" s="279"/>
      <c r="BJ1014" s="279"/>
      <c r="BK1014" s="279"/>
      <c r="BL1014" s="279"/>
      <c r="BM1014" s="279"/>
      <c r="BN1014" s="279"/>
      <c r="BO1014" s="279"/>
      <c r="BP1014" s="279"/>
      <c r="BQ1014" s="279"/>
      <c r="BR1014" s="279"/>
      <c r="BS1014" s="279"/>
      <c r="BT1014" s="279"/>
      <c r="BU1014" s="279"/>
      <c r="BV1014" s="279"/>
      <c r="BW1014" s="279"/>
      <c r="BX1014" s="279"/>
      <c r="BY1014" s="279"/>
      <c r="BZ1014" s="279"/>
      <c r="CA1014" s="279"/>
      <c r="CB1014" s="279"/>
      <c r="CC1014" s="279"/>
      <c r="CD1014" s="279"/>
      <c r="CE1014" s="279"/>
      <c r="CF1014" s="279"/>
      <c r="CG1014" s="279"/>
      <c r="CH1014" s="279"/>
      <c r="CI1014" s="279"/>
      <c r="CJ1014" s="279"/>
      <c r="CK1014" s="279"/>
      <c r="CL1014" s="279"/>
      <c r="CM1014" s="279"/>
      <c r="CN1014" s="279"/>
      <c r="CO1014" s="279"/>
      <c r="CP1014" s="279"/>
      <c r="CQ1014" s="279"/>
      <c r="CR1014" s="279"/>
      <c r="CS1014" s="279"/>
      <c r="CT1014" s="279"/>
      <c r="CU1014" s="279"/>
      <c r="CV1014" s="279"/>
      <c r="CW1014" s="281"/>
      <c r="CX1014" s="279"/>
      <c r="CY1014" s="279"/>
      <c r="CZ1014" s="279"/>
      <c r="DA1014" s="279"/>
      <c r="DB1014" s="279"/>
      <c r="DC1014" s="279"/>
      <c r="DD1014" s="279"/>
      <c r="DE1014" s="279"/>
      <c r="DF1014" s="279"/>
      <c r="DG1014" s="281"/>
      <c r="DH1014" s="279"/>
      <c r="DI1014" s="279"/>
      <c r="DJ1014" s="279"/>
      <c r="DK1014" s="279"/>
      <c r="DL1014" s="279"/>
      <c r="DM1014" s="279"/>
      <c r="DN1014" s="279"/>
      <c r="DO1014" s="279"/>
    </row>
    <row r="1015" spans="1:119" hidden="1">
      <c r="A1015" s="1"/>
      <c r="B1015" s="1"/>
      <c r="C1015" s="1"/>
      <c r="D1015" s="708" t="s">
        <v>1210</v>
      </c>
      <c r="E1015" s="74"/>
      <c r="F1015" s="113"/>
      <c r="G1015" s="113"/>
      <c r="H1015" s="113"/>
      <c r="I1015" s="113"/>
      <c r="J1015" s="714"/>
      <c r="K1015" s="1115"/>
      <c r="L1015" s="1115"/>
      <c r="M1015" s="1115">
        <f>AVERAGE(K1012:O1012)</f>
        <v>-1.5524473702243991E-2</v>
      </c>
      <c r="N1015" s="1115">
        <f t="shared" ref="N1015:AJ1015" si="1247">AVERAGE(L1012:P1012)</f>
        <v>-9.546787453920836E-3</v>
      </c>
      <c r="O1015" s="1115">
        <f t="shared" si="1247"/>
        <v>-7.122962387029E-3</v>
      </c>
      <c r="P1015" s="1115">
        <f t="shared" si="1247"/>
        <v>-5.584810494023552E-3</v>
      </c>
      <c r="Q1015" s="1115">
        <f t="shared" si="1247"/>
        <v>-2.2487216632854031E-3</v>
      </c>
      <c r="R1015" s="1115">
        <f t="shared" si="1247"/>
        <v>-5.5872002782141137E-3</v>
      </c>
      <c r="S1015" s="1115">
        <f t="shared" si="1247"/>
        <v>-7.0752169732613878E-3</v>
      </c>
      <c r="T1015" s="1115">
        <f t="shared" si="1247"/>
        <v>-1.3492947908613179E-2</v>
      </c>
      <c r="U1015" s="1115">
        <f t="shared" si="1247"/>
        <v>-1.3115935904296036E-2</v>
      </c>
      <c r="V1015" s="1115">
        <f t="shared" si="1247"/>
        <v>-2.2504652558530083E-2</v>
      </c>
      <c r="W1015" s="1115">
        <f t="shared" si="1247"/>
        <v>-2.6092775855978335E-2</v>
      </c>
      <c r="X1015" s="1115">
        <f t="shared" si="1247"/>
        <v>-3.6308907857713978E-2</v>
      </c>
      <c r="Y1015" s="1115">
        <f t="shared" si="1247"/>
        <v>-3.7697592130960779E-2</v>
      </c>
      <c r="Z1015" s="1115">
        <f t="shared" si="1247"/>
        <v>-4.4426112085598934E-2</v>
      </c>
      <c r="AA1015" s="1115">
        <f t="shared" si="1247"/>
        <v>-4.3883997696797274E-2</v>
      </c>
      <c r="AB1015" s="1115">
        <f t="shared" si="1247"/>
        <v>-5.0169865845078307E-2</v>
      </c>
      <c r="AC1015" s="1115">
        <f t="shared" si="1247"/>
        <v>-6.2393999721280922E-2</v>
      </c>
      <c r="AD1015" s="1115">
        <f t="shared" si="1247"/>
        <v>-7.2533607336825096E-2</v>
      </c>
      <c r="AE1015" s="1115">
        <f t="shared" si="1247"/>
        <v>3.4296504846800024E-2</v>
      </c>
      <c r="AF1015" s="1115">
        <f t="shared" si="1247"/>
        <v>0.16994177269879338</v>
      </c>
      <c r="AG1015" s="1115">
        <f t="shared" si="1247"/>
        <v>0.31225068835873027</v>
      </c>
      <c r="AH1015" s="1115" t="e">
        <f t="shared" si="1247"/>
        <v>#DIV/0!</v>
      </c>
      <c r="AI1015" s="2078" t="e">
        <f t="shared" si="1247"/>
        <v>#DIV/0!</v>
      </c>
      <c r="AJ1015" s="1115" t="e">
        <f t="shared" si="1247"/>
        <v>#DIV/0!</v>
      </c>
      <c r="AK1015" s="1115"/>
      <c r="AL1015" s="1115"/>
      <c r="AM1015" s="1115"/>
      <c r="AN1015" s="1115"/>
      <c r="AO1015" s="1115"/>
      <c r="AP1015" s="1115"/>
      <c r="AQ1015" s="1115"/>
      <c r="AR1015" s="1115"/>
      <c r="AS1015" s="1115"/>
      <c r="AT1015" s="1115"/>
      <c r="AU1015" s="279"/>
      <c r="AV1015" s="279"/>
      <c r="AW1015" s="279"/>
      <c r="AX1015" s="279"/>
      <c r="AY1015" s="279"/>
      <c r="AZ1015" s="279"/>
      <c r="BA1015" s="279"/>
      <c r="BB1015" s="279"/>
      <c r="BC1015" s="279"/>
      <c r="BD1015" s="279"/>
      <c r="BE1015" s="279"/>
      <c r="BF1015" s="279"/>
      <c r="BG1015" s="279"/>
      <c r="BH1015" s="279"/>
      <c r="BI1015" s="279"/>
      <c r="BJ1015" s="279"/>
      <c r="BK1015" s="279"/>
      <c r="BL1015" s="279"/>
      <c r="BM1015" s="279"/>
      <c r="BN1015" s="279"/>
      <c r="BO1015" s="279"/>
      <c r="BP1015" s="279"/>
      <c r="BQ1015" s="279"/>
      <c r="BR1015" s="279"/>
      <c r="BS1015" s="279"/>
      <c r="BT1015" s="279"/>
      <c r="BU1015" s="279"/>
      <c r="BV1015" s="279"/>
      <c r="BW1015" s="279"/>
      <c r="BX1015" s="279"/>
      <c r="BY1015" s="279"/>
      <c r="BZ1015" s="279"/>
      <c r="CA1015" s="279"/>
      <c r="CB1015" s="279"/>
      <c r="CC1015" s="279"/>
      <c r="CD1015" s="279"/>
      <c r="CE1015" s="279"/>
      <c r="CF1015" s="279"/>
      <c r="CG1015" s="279"/>
      <c r="CH1015" s="279"/>
      <c r="CI1015" s="279"/>
      <c r="CJ1015" s="279"/>
      <c r="CK1015" s="279"/>
      <c r="CL1015" s="279"/>
      <c r="CM1015" s="279"/>
      <c r="CN1015" s="279"/>
      <c r="CO1015" s="279"/>
      <c r="CP1015" s="279"/>
      <c r="CQ1015" s="279"/>
      <c r="CR1015" s="279"/>
      <c r="CS1015" s="279"/>
      <c r="CT1015" s="279"/>
      <c r="CU1015" s="279"/>
      <c r="CV1015" s="279"/>
      <c r="CW1015" s="281"/>
      <c r="CX1015" s="279"/>
      <c r="CY1015" s="279"/>
      <c r="CZ1015" s="279"/>
      <c r="DA1015" s="279"/>
      <c r="DB1015" s="279"/>
      <c r="DC1015" s="279"/>
      <c r="DD1015" s="279"/>
      <c r="DE1015" s="279"/>
      <c r="DF1015" s="279"/>
      <c r="DG1015" s="281"/>
      <c r="DH1015" s="279"/>
      <c r="DI1015" s="279"/>
      <c r="DJ1015" s="279"/>
      <c r="DK1015" s="279"/>
      <c r="DL1015" s="279"/>
      <c r="DM1015" s="279"/>
      <c r="DN1015" s="279"/>
      <c r="DO1015" s="279"/>
    </row>
    <row r="1016" spans="1:119" hidden="1">
      <c r="A1016" s="1"/>
      <c r="B1016" s="1"/>
      <c r="C1016" s="1"/>
      <c r="D1016" s="708" t="s">
        <v>1209</v>
      </c>
      <c r="E1016" s="74"/>
      <c r="F1016" s="113"/>
      <c r="G1016" s="113"/>
      <c r="H1016" s="113"/>
      <c r="I1016" s="113"/>
      <c r="J1016" s="714"/>
      <c r="K1016" s="1117">
        <f>AVERAGE(I1013:M1013)</f>
        <v>-1.8670869433387107E-2</v>
      </c>
      <c r="L1016" s="1117">
        <f t="shared" ref="L1016:Z1016" si="1248">AVERAGE(J1013:N1013)</f>
        <v>-1.8523543337642348E-2</v>
      </c>
      <c r="M1016" s="1117">
        <f t="shared" si="1248"/>
        <v>-1.5524473702243991E-2</v>
      </c>
      <c r="N1016" s="1117">
        <f t="shared" si="1248"/>
        <v>-9.546787453920836E-3</v>
      </c>
      <c r="O1016" s="1117">
        <f t="shared" si="1248"/>
        <v>-7.122962387029E-3</v>
      </c>
      <c r="P1016" s="1117">
        <f t="shared" si="1248"/>
        <v>-5.584810494023552E-3</v>
      </c>
      <c r="Q1016" s="1117">
        <f t="shared" si="1248"/>
        <v>-2.2487216632854031E-3</v>
      </c>
      <c r="R1016" s="1117">
        <f t="shared" si="1248"/>
        <v>-5.5872002782141137E-3</v>
      </c>
      <c r="S1016" s="1117">
        <f t="shared" si="1248"/>
        <v>-7.0752169732613878E-3</v>
      </c>
      <c r="T1016" s="1117">
        <f t="shared" si="1248"/>
        <v>-1.3492947908613179E-2</v>
      </c>
      <c r="U1016" s="1117">
        <f t="shared" si="1248"/>
        <v>-1.3115935904296036E-2</v>
      </c>
      <c r="V1016" s="1118">
        <f t="shared" si="1248"/>
        <v>-2.2946253879206933E-2</v>
      </c>
      <c r="W1016" s="1118">
        <f t="shared" si="1248"/>
        <v>-2.6266516688866225E-2</v>
      </c>
      <c r="X1016" s="1118">
        <f t="shared" si="1248"/>
        <v>-3.6470865637404849E-2</v>
      </c>
      <c r="Y1016" s="1118">
        <f t="shared" si="1248"/>
        <v>-3.3890693053349151E-2</v>
      </c>
      <c r="Z1016" s="1118">
        <f t="shared" si="1248"/>
        <v>-4.0628825789334834E-2</v>
      </c>
      <c r="AA1016" s="1118">
        <f t="shared" ref="AA1016:AJ1016" si="1249">AVERAGE(Y1013:AC1013)</f>
        <v>-3.9752404363269003E-2</v>
      </c>
      <c r="AB1016" s="1118">
        <f t="shared" si="1249"/>
        <v>-4.146545885630621E-2</v>
      </c>
      <c r="AC1016" s="1117">
        <f t="shared" si="1249"/>
        <v>-5.3390330343933014E-2</v>
      </c>
      <c r="AD1016" s="1118">
        <f t="shared" si="1249"/>
        <v>-6.7617229595650655E-2</v>
      </c>
      <c r="AE1016" s="1118">
        <f t="shared" si="1249"/>
        <v>3.9091422281048872E-2</v>
      </c>
      <c r="AF1016" s="1118">
        <f t="shared" si="1249"/>
        <v>0.17484398441645491</v>
      </c>
      <c r="AG1016" s="1118">
        <f t="shared" si="1249"/>
        <v>0.312312225933359</v>
      </c>
      <c r="AH1016" s="1118" t="e">
        <f t="shared" si="1249"/>
        <v>#DIV/0!</v>
      </c>
      <c r="AI1016" s="2265" t="e">
        <f t="shared" si="1249"/>
        <v>#DIV/0!</v>
      </c>
      <c r="AJ1016" s="1118" t="e">
        <f t="shared" si="1249"/>
        <v>#DIV/0!</v>
      </c>
      <c r="AK1016" s="1118"/>
      <c r="AL1016" s="1118"/>
      <c r="AM1016" s="1118"/>
      <c r="AN1016" s="1118"/>
      <c r="AO1016" s="1118"/>
      <c r="AP1016" s="1118"/>
      <c r="AQ1016" s="1118"/>
      <c r="AR1016" s="1118"/>
      <c r="AS1016" s="1118"/>
      <c r="AT1016" s="1118"/>
      <c r="AU1016" s="279"/>
      <c r="AV1016" s="279"/>
      <c r="AW1016" s="279"/>
      <c r="AX1016" s="279"/>
      <c r="AY1016" s="279"/>
      <c r="AZ1016" s="279"/>
      <c r="BA1016" s="279"/>
      <c r="BB1016" s="279"/>
      <c r="BC1016" s="279"/>
      <c r="BD1016" s="279"/>
      <c r="BE1016" s="279"/>
      <c r="BF1016" s="279"/>
      <c r="BG1016" s="279"/>
      <c r="BH1016" s="279"/>
      <c r="BI1016" s="279"/>
      <c r="BJ1016" s="279"/>
      <c r="BK1016" s="279"/>
      <c r="BL1016" s="279"/>
      <c r="BM1016" s="279"/>
      <c r="BN1016" s="279"/>
      <c r="BO1016" s="279"/>
      <c r="BP1016" s="279"/>
      <c r="BQ1016" s="279"/>
      <c r="BR1016" s="279"/>
      <c r="BS1016" s="279"/>
      <c r="BT1016" s="279"/>
      <c r="BU1016" s="279"/>
      <c r="BV1016" s="279"/>
      <c r="BW1016" s="279"/>
      <c r="BX1016" s="279"/>
      <c r="BY1016" s="279"/>
      <c r="BZ1016" s="279"/>
      <c r="CA1016" s="279"/>
      <c r="CB1016" s="279"/>
      <c r="CC1016" s="279"/>
      <c r="CD1016" s="279"/>
      <c r="CE1016" s="279"/>
      <c r="CF1016" s="279"/>
      <c r="CG1016" s="279"/>
      <c r="CH1016" s="279"/>
      <c r="CI1016" s="279"/>
      <c r="CJ1016" s="279"/>
      <c r="CK1016" s="279"/>
      <c r="CL1016" s="279"/>
      <c r="CM1016" s="279"/>
      <c r="CN1016" s="279"/>
      <c r="CO1016" s="279"/>
      <c r="CP1016" s="279"/>
      <c r="CQ1016" s="279"/>
      <c r="CR1016" s="279"/>
      <c r="CS1016" s="279"/>
      <c r="CT1016" s="279"/>
      <c r="CU1016" s="279"/>
      <c r="CV1016" s="279"/>
      <c r="CW1016" s="281"/>
      <c r="CX1016" s="279"/>
      <c r="CY1016" s="279"/>
      <c r="CZ1016" s="279"/>
      <c r="DA1016" s="279"/>
      <c r="DB1016" s="279"/>
      <c r="DC1016" s="279"/>
      <c r="DD1016" s="279"/>
      <c r="DE1016" s="279"/>
      <c r="DF1016" s="279"/>
      <c r="DG1016" s="281"/>
      <c r="DH1016" s="279"/>
      <c r="DI1016" s="279"/>
      <c r="DJ1016" s="279"/>
      <c r="DK1016" s="279"/>
      <c r="DL1016" s="279"/>
      <c r="DM1016" s="279"/>
      <c r="DN1016" s="279"/>
      <c r="DO1016" s="279"/>
    </row>
    <row r="1017" spans="1:119" hidden="1">
      <c r="A1017" s="1"/>
      <c r="B1017" s="1"/>
      <c r="C1017" s="1"/>
      <c r="D1017" s="708" t="s">
        <v>1184</v>
      </c>
      <c r="E1017" s="74"/>
      <c r="F1017" s="113"/>
      <c r="G1017" s="113"/>
      <c r="H1017" s="113"/>
      <c r="I1017" s="113"/>
      <c r="J1017" s="1004"/>
      <c r="K1017" s="1004">
        <f>AVERAGE(I1009:M1009)</f>
        <v>-1.8670869433387131E-2</v>
      </c>
      <c r="L1017" s="1004">
        <f>AVERAGE(J1009:N1009)</f>
        <v>-1.8523543337642369E-2</v>
      </c>
      <c r="M1017" s="1004">
        <f t="shared" ref="M1017:Y1017" si="1250">AVERAGE(K1009:O1009)</f>
        <v>-1.5524473702244006E-2</v>
      </c>
      <c r="N1017" s="1004">
        <f t="shared" si="1250"/>
        <v>-9.5467874539208412E-3</v>
      </c>
      <c r="O1017" s="1004">
        <f t="shared" si="1250"/>
        <v>-7.1229623870290026E-3</v>
      </c>
      <c r="P1017" s="1004">
        <f t="shared" si="1250"/>
        <v>-5.584810494023552E-3</v>
      </c>
      <c r="Q1017" s="1004">
        <f t="shared" si="1250"/>
        <v>-2.248721663285401E-3</v>
      </c>
      <c r="R1017" s="1004">
        <f t="shared" si="1250"/>
        <v>-5.5872002782141137E-3</v>
      </c>
      <c r="S1017" s="1004">
        <f t="shared" si="1250"/>
        <v>-7.0752169732613878E-3</v>
      </c>
      <c r="T1017" s="1004">
        <f t="shared" si="1250"/>
        <v>-1.3492947908613179E-2</v>
      </c>
      <c r="U1017" s="1004">
        <f t="shared" si="1250"/>
        <v>-1.3115935904296036E-2</v>
      </c>
      <c r="V1017" s="1004">
        <f t="shared" si="1250"/>
        <v>-2.2504652558530083E-2</v>
      </c>
      <c r="W1017" s="1004">
        <f t="shared" si="1250"/>
        <v>-2.6151201260170086E-2</v>
      </c>
      <c r="X1017" s="1004">
        <f t="shared" si="1250"/>
        <v>-3.6422782924009342E-2</v>
      </c>
      <c r="Y1017" s="1004">
        <f t="shared" si="1250"/>
        <v>-3.7865669525922921E-2</v>
      </c>
      <c r="Z1017" s="1004">
        <f t="shared" ref="Z1017:AI1017" si="1251">AVERAGE(X1009:AB1009)</f>
        <v>-4.466519052640449E-2</v>
      </c>
      <c r="AA1017" s="1004">
        <f t="shared" si="1251"/>
        <v>-4.4195130877918536E-2</v>
      </c>
      <c r="AB1017" s="1004">
        <f>AVERAGE(Z1009:AD1009)</f>
        <v>-5.0422573622007819E-2</v>
      </c>
      <c r="AC1017" s="1004">
        <f t="shared" si="1251"/>
        <v>-6.4251008873451226E-2</v>
      </c>
      <c r="AD1017" s="1004">
        <f t="shared" si="1251"/>
        <v>-7.4336414160328615E-2</v>
      </c>
      <c r="AE1017" s="1004">
        <f t="shared" si="1251"/>
        <v>3.2564699069139925E-2</v>
      </c>
      <c r="AF1017" s="1004">
        <f>AVERAGE(AD1009:AH1009)</f>
        <v>0.16828202166144898</v>
      </c>
      <c r="AG1017" s="1004">
        <f>AVERAGE(AE1009:AI1009)</f>
        <v>0.31059093732138587</v>
      </c>
      <c r="AH1017" s="1004" t="e">
        <f t="shared" si="1251"/>
        <v>#DIV/0!</v>
      </c>
      <c r="AI1017" s="2266" t="e">
        <f t="shared" si="1251"/>
        <v>#DIV/0!</v>
      </c>
      <c r="AJ1017" s="1004" t="e">
        <f>AVERAGE(AH1009:AL1009)</f>
        <v>#DIV/0!</v>
      </c>
      <c r="AK1017" s="1004"/>
      <c r="AL1017" s="1004"/>
      <c r="AM1017" s="1004"/>
      <c r="AN1017" s="1004"/>
      <c r="AO1017" s="1004"/>
      <c r="AP1017" s="1004"/>
      <c r="AQ1017" s="1004"/>
      <c r="AR1017" s="1004"/>
      <c r="AS1017" s="1004"/>
      <c r="AT1017" s="1004"/>
      <c r="AU1017" s="279"/>
      <c r="AV1017" s="279"/>
      <c r="AW1017" s="279"/>
      <c r="AX1017" s="279"/>
      <c r="AY1017" s="279"/>
      <c r="AZ1017" s="279"/>
      <c r="BA1017" s="279"/>
      <c r="BB1017" s="279"/>
      <c r="BC1017" s="279"/>
      <c r="BD1017" s="279"/>
      <c r="BE1017" s="279"/>
      <c r="BF1017" s="279"/>
      <c r="BG1017" s="279"/>
      <c r="BH1017" s="279"/>
      <c r="BI1017" s="279"/>
      <c r="BJ1017" s="279"/>
      <c r="BK1017" s="279"/>
      <c r="BL1017" s="279"/>
      <c r="BM1017" s="279"/>
      <c r="BN1017" s="279"/>
      <c r="BO1017" s="279"/>
      <c r="BP1017" s="279"/>
      <c r="BQ1017" s="279"/>
      <c r="BR1017" s="279"/>
      <c r="BS1017" s="279"/>
      <c r="BT1017" s="279"/>
      <c r="BU1017" s="279"/>
      <c r="BV1017" s="279"/>
      <c r="BW1017" s="279"/>
      <c r="BX1017" s="279"/>
      <c r="BY1017" s="279"/>
      <c r="BZ1017" s="279"/>
      <c r="CA1017" s="279"/>
      <c r="CB1017" s="279"/>
      <c r="CC1017" s="279"/>
      <c r="CD1017" s="279"/>
      <c r="CE1017" s="279"/>
      <c r="CF1017" s="279"/>
      <c r="CG1017" s="279"/>
      <c r="CH1017" s="279"/>
      <c r="CI1017" s="279"/>
      <c r="CJ1017" s="279"/>
      <c r="CK1017" s="279"/>
      <c r="CL1017" s="279"/>
      <c r="CM1017" s="279"/>
      <c r="CN1017" s="279"/>
      <c r="CO1017" s="279"/>
      <c r="CP1017" s="279"/>
      <c r="CQ1017" s="279"/>
      <c r="CR1017" s="279"/>
      <c r="CS1017" s="279"/>
      <c r="CT1017" s="279"/>
      <c r="CU1017" s="279"/>
      <c r="CV1017" s="279"/>
      <c r="CW1017" s="281"/>
      <c r="CX1017" s="279"/>
      <c r="CY1017" s="279"/>
      <c r="CZ1017" s="279"/>
      <c r="DA1017" s="279"/>
      <c r="DB1017" s="279"/>
      <c r="DC1017" s="279"/>
      <c r="DD1017" s="279"/>
      <c r="DE1017" s="279"/>
      <c r="DF1017" s="279"/>
      <c r="DG1017" s="281"/>
      <c r="DH1017" s="279"/>
      <c r="DI1017" s="279"/>
      <c r="DJ1017" s="279"/>
      <c r="DK1017" s="279"/>
      <c r="DL1017" s="279"/>
      <c r="DM1017" s="279"/>
      <c r="DN1017" s="279"/>
      <c r="DO1017" s="279"/>
    </row>
    <row r="1018" spans="1:119" hidden="1">
      <c r="A1018" s="1"/>
      <c r="B1018" s="1"/>
      <c r="C1018" s="1"/>
      <c r="D1018" s="711" t="s">
        <v>2311</v>
      </c>
      <c r="E1018" s="74"/>
      <c r="F1018" s="113"/>
      <c r="G1018" s="113"/>
      <c r="H1018" s="113"/>
      <c r="I1018" s="113"/>
      <c r="J1018" s="1127"/>
      <c r="K1018" s="1127"/>
      <c r="L1018" s="1127"/>
      <c r="M1018" s="1127">
        <f>AVERAGE(K1014:O1014)</f>
        <v>-1.5524473702243991E-2</v>
      </c>
      <c r="N1018" s="1127">
        <f t="shared" ref="N1018:AA1018" si="1252">AVERAGE(L1014:P1014)</f>
        <v>-9.546787453920836E-3</v>
      </c>
      <c r="O1018" s="1127">
        <f t="shared" si="1252"/>
        <v>-7.122962387029E-3</v>
      </c>
      <c r="P1018" s="1127">
        <f t="shared" si="1252"/>
        <v>-5.584810494023552E-3</v>
      </c>
      <c r="Q1018" s="1127">
        <f t="shared" si="1252"/>
        <v>-2.2487216632854031E-3</v>
      </c>
      <c r="R1018" s="1127">
        <f t="shared" si="1252"/>
        <v>-5.5872002782141137E-3</v>
      </c>
      <c r="S1018" s="1127">
        <f t="shared" si="1252"/>
        <v>-7.0752169732613878E-3</v>
      </c>
      <c r="T1018" s="1127">
        <f t="shared" si="1252"/>
        <v>-1.3492947908613179E-2</v>
      </c>
      <c r="U1018" s="1127">
        <f t="shared" si="1252"/>
        <v>-1.3115935904296036E-2</v>
      </c>
      <c r="V1018" s="1127">
        <f t="shared" si="1252"/>
        <v>-2.2946253879206933E-2</v>
      </c>
      <c r="W1018" s="1127">
        <f t="shared" si="1252"/>
        <v>-2.6266516688866225E-2</v>
      </c>
      <c r="X1018" s="1127">
        <f t="shared" si="1252"/>
        <v>-3.6470865637404849E-2</v>
      </c>
      <c r="Y1018" s="1127">
        <f t="shared" si="1252"/>
        <v>-3.3890693053349151E-2</v>
      </c>
      <c r="Z1018" s="1127">
        <f t="shared" si="1252"/>
        <v>-4.0628825789334834E-2</v>
      </c>
      <c r="AA1018" s="1127">
        <f t="shared" si="1252"/>
        <v>-3.9752404363269003E-2</v>
      </c>
      <c r="AB1018" s="1127">
        <f>AVERAGE(Z1014:AD1014)</f>
        <v>-4.146545885630621E-2</v>
      </c>
      <c r="AC1018" s="1127">
        <f>AVERAGE(Z1014:AD1014)</f>
        <v>-4.146545885630621E-2</v>
      </c>
      <c r="AD1018" s="1127">
        <f>AVERAGE(Z1014:AD1014)</f>
        <v>-4.146545885630621E-2</v>
      </c>
      <c r="AE1018" s="1127">
        <v>0</v>
      </c>
      <c r="AF1018" s="1127">
        <v>0</v>
      </c>
      <c r="AG1018" s="1127" t="e">
        <f>AVERAGE(AG1014:AK1014)</f>
        <v>#DIV/0!</v>
      </c>
      <c r="AH1018" s="1127" t="e">
        <f>AVERAGE(AG1014:AK1014)</f>
        <v>#DIV/0!</v>
      </c>
      <c r="AI1018" s="2267" t="e">
        <f>AVERAGE(AG1014:AK1014)</f>
        <v>#DIV/0!</v>
      </c>
      <c r="AJ1018" s="1127" t="e">
        <f>AVERAGE(AJ1014:AR1014)</f>
        <v>#DIV/0!</v>
      </c>
      <c r="AK1018" s="1127"/>
      <c r="AL1018" s="1127"/>
      <c r="AM1018" s="1127"/>
      <c r="AN1018" s="1127"/>
      <c r="AO1018" s="1127"/>
      <c r="AP1018" s="1127"/>
      <c r="AQ1018" s="1127"/>
      <c r="AR1018" s="1127"/>
      <c r="AS1018" s="1127"/>
      <c r="AT1018" s="1127"/>
      <c r="AU1018" s="279"/>
      <c r="AV1018" s="279"/>
      <c r="AW1018" s="279"/>
      <c r="AX1018" s="279"/>
      <c r="AY1018" s="279"/>
      <c r="AZ1018" s="279"/>
      <c r="BA1018" s="279"/>
      <c r="BB1018" s="279"/>
      <c r="BC1018" s="279"/>
      <c r="BD1018" s="279"/>
      <c r="BE1018" s="279"/>
      <c r="BF1018" s="279"/>
      <c r="BG1018" s="279"/>
      <c r="BH1018" s="279"/>
      <c r="BI1018" s="279"/>
      <c r="BJ1018" s="279"/>
      <c r="BK1018" s="279"/>
      <c r="BL1018" s="279"/>
      <c r="BM1018" s="279"/>
      <c r="BN1018" s="279"/>
      <c r="BO1018" s="279"/>
      <c r="BP1018" s="279"/>
      <c r="BQ1018" s="279"/>
      <c r="BR1018" s="279"/>
      <c r="BS1018" s="279"/>
      <c r="BT1018" s="279"/>
      <c r="BU1018" s="279"/>
      <c r="BV1018" s="279"/>
      <c r="BW1018" s="279"/>
      <c r="BX1018" s="279"/>
      <c r="BY1018" s="279"/>
      <c r="BZ1018" s="279"/>
      <c r="CA1018" s="279"/>
      <c r="CB1018" s="279"/>
      <c r="CC1018" s="279"/>
      <c r="CD1018" s="279"/>
      <c r="CE1018" s="279"/>
      <c r="CF1018" s="279"/>
      <c r="CG1018" s="279"/>
      <c r="CH1018" s="279"/>
      <c r="CI1018" s="279"/>
      <c r="CJ1018" s="279"/>
      <c r="CK1018" s="279"/>
      <c r="CL1018" s="279"/>
      <c r="CM1018" s="279"/>
      <c r="CN1018" s="279"/>
      <c r="CO1018" s="279"/>
      <c r="CP1018" s="279"/>
      <c r="CQ1018" s="279"/>
      <c r="CR1018" s="279"/>
      <c r="CS1018" s="279"/>
      <c r="CT1018" s="279"/>
      <c r="CU1018" s="279"/>
      <c r="CV1018" s="279"/>
      <c r="CW1018" s="281"/>
      <c r="CX1018" s="279"/>
      <c r="CY1018" s="279"/>
      <c r="CZ1018" s="279"/>
      <c r="DA1018" s="279"/>
      <c r="DB1018" s="279"/>
      <c r="DC1018" s="279"/>
      <c r="DD1018" s="279"/>
      <c r="DE1018" s="279"/>
      <c r="DF1018" s="279"/>
      <c r="DG1018" s="281"/>
      <c r="DH1018" s="279"/>
      <c r="DI1018" s="279"/>
      <c r="DJ1018" s="279"/>
      <c r="DK1018" s="279"/>
      <c r="DL1018" s="279"/>
      <c r="DM1018" s="279"/>
      <c r="DN1018" s="279"/>
      <c r="DO1018" s="279"/>
    </row>
    <row r="1019" spans="1:119" hidden="1">
      <c r="A1019" s="1"/>
      <c r="B1019" s="1"/>
      <c r="C1019" s="1"/>
      <c r="D1019" s="711"/>
      <c r="E1019" s="74"/>
      <c r="F1019" s="113"/>
      <c r="G1019" s="113"/>
      <c r="H1019" s="113"/>
      <c r="I1019" s="113"/>
      <c r="J1019" s="714"/>
      <c r="K1019" s="714"/>
      <c r="L1019" s="714"/>
      <c r="M1019" s="714"/>
      <c r="N1019" s="714"/>
      <c r="O1019" s="714"/>
      <c r="P1019" s="714"/>
      <c r="Q1019" s="714"/>
      <c r="R1019" s="714"/>
      <c r="S1019" s="714"/>
      <c r="T1019" s="714"/>
      <c r="U1019" s="714"/>
      <c r="V1019" s="714"/>
      <c r="W1019" s="714"/>
      <c r="X1019" s="714"/>
      <c r="Y1019" s="714"/>
      <c r="Z1019" s="714"/>
      <c r="AA1019" s="714"/>
      <c r="AB1019" s="714"/>
      <c r="AC1019" s="714"/>
      <c r="AD1019" s="714"/>
      <c r="AE1019" s="714"/>
      <c r="AF1019" s="714"/>
      <c r="AG1019" s="714"/>
      <c r="AH1019" s="714"/>
      <c r="AI1019" s="714"/>
      <c r="AJ1019" s="714"/>
      <c r="AK1019" s="714"/>
      <c r="AL1019" s="714"/>
      <c r="AM1019" s="714"/>
      <c r="AN1019" s="714"/>
      <c r="AO1019" s="714"/>
      <c r="AP1019" s="714"/>
      <c r="AQ1019" s="714"/>
      <c r="AR1019" s="714"/>
      <c r="AS1019" s="714"/>
      <c r="AT1019" s="714"/>
      <c r="AU1019" s="279"/>
      <c r="AV1019" s="279"/>
      <c r="AW1019" s="279"/>
      <c r="AX1019" s="279"/>
      <c r="AY1019" s="279"/>
      <c r="AZ1019" s="279"/>
      <c r="BA1019" s="279"/>
      <c r="BB1019" s="279"/>
      <c r="BC1019" s="279"/>
      <c r="BD1019" s="279"/>
      <c r="BE1019" s="279"/>
      <c r="BF1019" s="279"/>
      <c r="BG1019" s="279"/>
      <c r="BH1019" s="279"/>
      <c r="BI1019" s="279"/>
      <c r="BJ1019" s="279"/>
      <c r="BK1019" s="279"/>
      <c r="BL1019" s="279"/>
      <c r="BM1019" s="279"/>
      <c r="BN1019" s="279"/>
      <c r="BO1019" s="279"/>
      <c r="BP1019" s="279"/>
      <c r="BQ1019" s="279"/>
      <c r="BR1019" s="279"/>
      <c r="BS1019" s="279"/>
      <c r="BT1019" s="279"/>
      <c r="BU1019" s="279"/>
      <c r="BV1019" s="279"/>
      <c r="BW1019" s="279"/>
      <c r="BX1019" s="279"/>
      <c r="BY1019" s="279"/>
      <c r="BZ1019" s="279"/>
      <c r="CA1019" s="279"/>
      <c r="CB1019" s="279"/>
      <c r="CC1019" s="279"/>
      <c r="CD1019" s="279"/>
      <c r="CE1019" s="279"/>
      <c r="CF1019" s="279"/>
      <c r="CG1019" s="279"/>
      <c r="CH1019" s="279"/>
      <c r="CI1019" s="279"/>
      <c r="CJ1019" s="279"/>
      <c r="CK1019" s="279"/>
      <c r="CL1019" s="279"/>
      <c r="CM1019" s="279"/>
      <c r="CN1019" s="279"/>
      <c r="CO1019" s="279"/>
      <c r="CP1019" s="279"/>
      <c r="CQ1019" s="279"/>
      <c r="CR1019" s="279"/>
      <c r="CS1019" s="279"/>
      <c r="CT1019" s="279"/>
      <c r="CU1019" s="279"/>
      <c r="CV1019" s="279"/>
      <c r="CW1019" s="281"/>
      <c r="CX1019" s="279"/>
      <c r="CY1019" s="279"/>
      <c r="CZ1019" s="279"/>
      <c r="DA1019" s="279"/>
      <c r="DB1019" s="279"/>
      <c r="DC1019" s="279"/>
      <c r="DD1019" s="279"/>
      <c r="DE1019" s="279"/>
      <c r="DF1019" s="279"/>
      <c r="DG1019" s="281"/>
      <c r="DH1019" s="279"/>
      <c r="DI1019" s="279"/>
      <c r="DJ1019" s="279"/>
      <c r="DK1019" s="279"/>
      <c r="DL1019" s="279"/>
      <c r="DM1019" s="279"/>
      <c r="DN1019" s="279"/>
      <c r="DO1019" s="279"/>
    </row>
    <row r="1020" spans="1:119" hidden="1">
      <c r="A1020" s="1"/>
      <c r="B1020" s="1"/>
      <c r="C1020" s="1"/>
      <c r="D1020" s="708" t="s">
        <v>841</v>
      </c>
      <c r="E1020" s="74"/>
      <c r="F1020" s="113"/>
      <c r="G1020" s="113"/>
      <c r="H1020" s="113"/>
      <c r="I1020" s="113"/>
      <c r="J1020" s="714"/>
      <c r="K1020" s="714">
        <f t="shared" ref="K1020:AJ1020" si="1253">+K969/K$303</f>
        <v>-2.3764809960681522E-2</v>
      </c>
      <c r="L1020" s="714">
        <f t="shared" si="1253"/>
        <v>-2.0095289206917114E-2</v>
      </c>
      <c r="M1020" s="714">
        <f t="shared" si="1253"/>
        <v>-2.6201108033240997E-3</v>
      </c>
      <c r="N1020" s="714">
        <f t="shared" si="1253"/>
        <v>-9.6069611137782045E-3</v>
      </c>
      <c r="O1020" s="714">
        <f t="shared" si="1253"/>
        <v>-1.0840539468464895E-2</v>
      </c>
      <c r="P1020" s="714">
        <f t="shared" si="1253"/>
        <v>-5.602061170212766E-3</v>
      </c>
      <c r="Q1020" s="714">
        <f t="shared" si="1253"/>
        <v>-5.0142940151074959E-3</v>
      </c>
      <c r="R1020" s="714">
        <f t="shared" si="1253"/>
        <v>-3.4973769672745443E-3</v>
      </c>
      <c r="S1020" s="714">
        <f t="shared" si="1253"/>
        <v>-3.4427542033626901E-3</v>
      </c>
      <c r="T1020" s="714">
        <f t="shared" si="1253"/>
        <v>-3.0080213903743314E-3</v>
      </c>
      <c r="U1020" s="714">
        <f t="shared" si="1253"/>
        <v>-3.3363121834971698E-3</v>
      </c>
      <c r="V1020" s="714">
        <f t="shared" si="1253"/>
        <v>-3.113723893340338E-3</v>
      </c>
      <c r="W1020" s="714">
        <f t="shared" si="1253"/>
        <v>-3.1328607363366109E-3</v>
      </c>
      <c r="X1020" s="714">
        <f t="shared" si="1253"/>
        <v>-1.8778373916632277E-3</v>
      </c>
      <c r="Y1020" s="714">
        <f t="shared" si="1253"/>
        <v>-3.0449565188821804E-3</v>
      </c>
      <c r="Z1020" s="714">
        <f t="shared" si="1253"/>
        <v>8.6640097036908687E-4</v>
      </c>
      <c r="AA1020" s="714">
        <f t="shared" si="1253"/>
        <v>-4.2865164603445617E-3</v>
      </c>
      <c r="AB1020" s="714">
        <f t="shared" si="1253"/>
        <v>5.5223476338261725E-3</v>
      </c>
      <c r="AC1020" s="714">
        <f t="shared" si="1253"/>
        <v>-3.1397184024054138E-3</v>
      </c>
      <c r="AD1020" s="714">
        <f t="shared" si="1253"/>
        <v>6.275343828779604E-3</v>
      </c>
      <c r="AE1020" s="714">
        <f t="shared" si="1253"/>
        <v>-5.7157676348547721E-3</v>
      </c>
      <c r="AF1020" s="714">
        <f t="shared" si="1253"/>
        <v>-3.3554549270367749E-3</v>
      </c>
      <c r="AG1020" s="714">
        <f t="shared" si="1253"/>
        <v>-3.2365078080750869E-3</v>
      </c>
      <c r="AH1020" s="714">
        <f t="shared" si="1253"/>
        <v>-2.5316455696202532E-3</v>
      </c>
      <c r="AI1020" s="714">
        <f t="shared" si="1253"/>
        <v>-2.1566248820595766E-3</v>
      </c>
      <c r="AJ1020" s="714" t="e">
        <f t="shared" si="1253"/>
        <v>#DIV/0!</v>
      </c>
      <c r="AK1020" s="714"/>
      <c r="AL1020" s="714"/>
      <c r="AM1020" s="714"/>
      <c r="AN1020" s="714"/>
      <c r="AO1020" s="714"/>
      <c r="AP1020" s="714"/>
      <c r="AQ1020" s="714"/>
      <c r="AR1020" s="714"/>
      <c r="AS1020" s="714"/>
      <c r="AT1020" s="714"/>
    </row>
    <row r="1021" spans="1:119" hidden="1">
      <c r="A1021" s="1"/>
      <c r="B1021" s="1"/>
      <c r="C1021" s="1"/>
      <c r="D1021" s="711" t="s">
        <v>35</v>
      </c>
      <c r="E1021" s="74"/>
      <c r="F1021" s="113"/>
      <c r="G1021" s="113"/>
      <c r="H1021" s="113"/>
      <c r="I1021" s="113"/>
      <c r="J1021" s="714"/>
      <c r="K1021" s="714">
        <f t="shared" ref="K1021:AJ1021" si="1254">+K970/K$303</f>
        <v>-6.3224115334207078E-3</v>
      </c>
      <c r="L1021" s="714">
        <f t="shared" si="1254"/>
        <v>-1.1775670840787119E-2</v>
      </c>
      <c r="M1021" s="714">
        <f t="shared" si="1254"/>
        <v>-9.8059833795013842E-3</v>
      </c>
      <c r="N1021" s="714">
        <f t="shared" si="1254"/>
        <v>-2.2704272683629384E-3</v>
      </c>
      <c r="O1021" s="714">
        <f t="shared" si="1254"/>
        <v>-7.9378421261404198E-3</v>
      </c>
      <c r="P1021" s="714">
        <f t="shared" si="1254"/>
        <v>-9.085438829787235E-3</v>
      </c>
      <c r="Q1021" s="714">
        <f t="shared" si="1254"/>
        <v>-4.895700174317257E-3</v>
      </c>
      <c r="R1021" s="714">
        <f t="shared" si="1254"/>
        <v>-3.4973769672745443E-3</v>
      </c>
      <c r="S1021" s="714">
        <f t="shared" si="1254"/>
        <v>-3.4427542033626901E-3</v>
      </c>
      <c r="T1021" s="714">
        <f t="shared" si="1254"/>
        <v>-3.0080213903743314E-3</v>
      </c>
      <c r="U1021" s="714">
        <f t="shared" si="1254"/>
        <v>-3.3363121834971698E-3</v>
      </c>
      <c r="V1021" s="714">
        <f t="shared" si="1254"/>
        <v>-3.113723893340338E-3</v>
      </c>
      <c r="W1021" s="714">
        <f t="shared" si="1254"/>
        <v>-3.1328607363366109E-3</v>
      </c>
      <c r="X1021" s="714">
        <f t="shared" si="1254"/>
        <v>-1.8778373916632277E-3</v>
      </c>
      <c r="Y1021" s="714">
        <f t="shared" si="1254"/>
        <v>-3.0449565188821804E-3</v>
      </c>
      <c r="Z1021" s="714">
        <f t="shared" si="1254"/>
        <v>8.6640097036908687E-4</v>
      </c>
      <c r="AA1021" s="714">
        <f t="shared" si="1254"/>
        <v>-4.2865164603445617E-3</v>
      </c>
      <c r="AB1021" s="714">
        <f t="shared" si="1254"/>
        <v>5.5223476338261725E-3</v>
      </c>
      <c r="AC1021" s="714">
        <f t="shared" si="1254"/>
        <v>-3.1397184024054138E-3</v>
      </c>
      <c r="AD1021" s="714">
        <f t="shared" si="1254"/>
        <v>6.275343828779604E-3</v>
      </c>
      <c r="AE1021" s="714">
        <f t="shared" si="1254"/>
        <v>-5.7157676348547721E-3</v>
      </c>
      <c r="AF1021" s="714">
        <f t="shared" si="1254"/>
        <v>-3.3554549270367749E-3</v>
      </c>
      <c r="AG1021" s="714">
        <f t="shared" si="1254"/>
        <v>-3.2365078080750869E-3</v>
      </c>
      <c r="AH1021" s="714">
        <f t="shared" si="1254"/>
        <v>-2.5316455696202532E-3</v>
      </c>
      <c r="AI1021" s="714">
        <f t="shared" si="1254"/>
        <v>-2.1566248820595766E-3</v>
      </c>
      <c r="AJ1021" s="714" t="e">
        <f t="shared" si="1254"/>
        <v>#DIV/0!</v>
      </c>
      <c r="AK1021" s="714"/>
      <c r="AL1021" s="714"/>
      <c r="AM1021" s="714"/>
      <c r="AN1021" s="714"/>
      <c r="AO1021" s="714"/>
      <c r="AP1021" s="714"/>
      <c r="AQ1021" s="714"/>
      <c r="AR1021" s="714"/>
      <c r="AS1021" s="714"/>
      <c r="AT1021" s="714"/>
    </row>
    <row r="1022" spans="1:119" hidden="1">
      <c r="A1022" s="1"/>
      <c r="B1022" s="1"/>
      <c r="C1022" s="1"/>
      <c r="D1022" s="708" t="s">
        <v>159</v>
      </c>
      <c r="E1022" s="74"/>
      <c r="F1022" s="113"/>
      <c r="G1022" s="113"/>
      <c r="H1022" s="113"/>
      <c r="I1022" s="113"/>
      <c r="J1022" s="714"/>
      <c r="K1022" s="714">
        <f t="shared" ref="K1022:X1022" si="1255">+K972/K$303</f>
        <v>0</v>
      </c>
      <c r="L1022" s="714">
        <f t="shared" si="1255"/>
        <v>0</v>
      </c>
      <c r="M1022" s="714">
        <f t="shared" si="1255"/>
        <v>0</v>
      </c>
      <c r="N1022" s="714">
        <f t="shared" si="1255"/>
        <v>0</v>
      </c>
      <c r="O1022" s="714">
        <f t="shared" si="1255"/>
        <v>0</v>
      </c>
      <c r="P1022" s="714">
        <f t="shared" si="1255"/>
        <v>0</v>
      </c>
      <c r="Q1022" s="714">
        <f t="shared" si="1255"/>
        <v>0</v>
      </c>
      <c r="R1022" s="714">
        <f t="shared" si="1255"/>
        <v>0</v>
      </c>
      <c r="S1022" s="714">
        <f t="shared" si="1255"/>
        <v>0</v>
      </c>
      <c r="T1022" s="714">
        <f t="shared" si="1255"/>
        <v>0</v>
      </c>
      <c r="U1022" s="714">
        <f t="shared" si="1255"/>
        <v>0</v>
      </c>
      <c r="V1022" s="714">
        <f t="shared" si="1255"/>
        <v>0</v>
      </c>
      <c r="W1022" s="714">
        <f t="shared" si="1255"/>
        <v>0</v>
      </c>
      <c r="X1022" s="714">
        <f t="shared" si="1255"/>
        <v>0</v>
      </c>
      <c r="Y1022" s="714"/>
      <c r="Z1022" s="714"/>
      <c r="AA1022" s="714"/>
      <c r="AB1022" s="714"/>
      <c r="AC1022" s="714"/>
      <c r="AD1022" s="714"/>
      <c r="AE1022" s="714"/>
      <c r="AF1022" s="714"/>
      <c r="AG1022" s="714"/>
      <c r="AH1022" s="714"/>
      <c r="AI1022" s="714"/>
      <c r="AJ1022" s="714"/>
      <c r="AK1022" s="714"/>
      <c r="AL1022" s="714"/>
      <c r="AM1022" s="714"/>
      <c r="AN1022" s="714"/>
      <c r="AO1022" s="714"/>
      <c r="AP1022" s="714"/>
      <c r="AQ1022" s="714"/>
      <c r="AR1022" s="714"/>
      <c r="AS1022" s="714"/>
      <c r="AT1022" s="714"/>
    </row>
    <row r="1023" spans="1:119" hidden="1">
      <c r="A1023" s="1"/>
      <c r="B1023" s="1"/>
      <c r="C1023" s="1"/>
      <c r="D1023" s="711" t="s">
        <v>156</v>
      </c>
      <c r="E1023" s="74"/>
      <c r="F1023" s="113"/>
      <c r="G1023" s="113"/>
      <c r="H1023" s="113"/>
      <c r="I1023" s="113"/>
      <c r="J1023" s="714"/>
      <c r="K1023" s="714">
        <f t="shared" ref="K1023:X1023" si="1256">+K973/K$303</f>
        <v>-3.7563281819790295E-2</v>
      </c>
      <c r="L1023" s="714">
        <f t="shared" si="1256"/>
        <v>-3.3425283243887889E-2</v>
      </c>
      <c r="M1023" s="714">
        <f t="shared" si="1256"/>
        <v>-3.9451191135734073E-2</v>
      </c>
      <c r="N1023" s="714">
        <f t="shared" si="1256"/>
        <v>-2.0351992318771019E-2</v>
      </c>
      <c r="O1023" s="714">
        <f t="shared" si="1256"/>
        <v>-1.1466037286790975E-2</v>
      </c>
      <c r="P1023" s="714">
        <f t="shared" si="1256"/>
        <v>-2.628375908617015E-3</v>
      </c>
      <c r="Q1023" s="714">
        <f t="shared" si="1256"/>
        <v>-4.5768729913189948E-3</v>
      </c>
      <c r="R1023" s="714">
        <f t="shared" si="1256"/>
        <v>-1.6587559330502145E-2</v>
      </c>
      <c r="S1023" s="714">
        <f t="shared" si="1256"/>
        <v>-4.8438751000800181E-3</v>
      </c>
      <c r="T1023" s="714">
        <f t="shared" si="1256"/>
        <v>-2.3228609625668448E-2</v>
      </c>
      <c r="U1023" s="714">
        <f t="shared" si="1256"/>
        <v>-4.3193327375633207E-3</v>
      </c>
      <c r="V1023" s="714">
        <f t="shared" si="1256"/>
        <v>-3.4883551387101024E-2</v>
      </c>
      <c r="W1023" s="714">
        <f t="shared" si="1256"/>
        <v>-1.4337983077978506E-2</v>
      </c>
      <c r="X1023" s="714">
        <f t="shared" si="1256"/>
        <v>-5.0222541559550797E-2</v>
      </c>
      <c r="Y1023" s="714">
        <f t="shared" ref="Y1023:AJ1023" si="1257">+Y973/Y$303</f>
        <v>-4.1498288262376316E-2</v>
      </c>
      <c r="Z1023" s="714">
        <f t="shared" si="1257"/>
        <v>-5.1474527902893343E-2</v>
      </c>
      <c r="AA1023" s="714">
        <f t="shared" si="1257"/>
        <v>-4.3270776963673145E-2</v>
      </c>
      <c r="AB1023" s="714">
        <f t="shared" si="1257"/>
        <v>-4.7982233089386213E-2</v>
      </c>
      <c r="AC1023" s="714">
        <f t="shared" si="1257"/>
        <v>-4.9134124327863224E-2</v>
      </c>
      <c r="AD1023" s="714">
        <f t="shared" si="1257"/>
        <v>-6.3315201635160967E-2</v>
      </c>
      <c r="AE1023" s="714">
        <f t="shared" si="1257"/>
        <v>-0.12719887276533418</v>
      </c>
      <c r="AF1023" s="714">
        <f t="shared" si="1257"/>
        <v>-9.2766741864752353E-2</v>
      </c>
      <c r="AG1023" s="714">
        <f t="shared" si="1257"/>
        <v>0.4860663309952179</v>
      </c>
      <c r="AH1023" s="714">
        <f t="shared" si="1257"/>
        <v>0.63006056146646727</v>
      </c>
      <c r="AI1023" s="714">
        <f t="shared" si="1257"/>
        <v>0.63979740795368412</v>
      </c>
      <c r="AJ1023" s="714" t="e">
        <f t="shared" si="1257"/>
        <v>#DIV/0!</v>
      </c>
      <c r="AK1023" s="714"/>
      <c r="AL1023" s="714"/>
      <c r="AM1023" s="714"/>
      <c r="AN1023" s="714"/>
      <c r="AO1023" s="714"/>
      <c r="AP1023" s="714"/>
      <c r="AQ1023" s="714"/>
      <c r="AR1023" s="714"/>
      <c r="AS1023" s="714"/>
      <c r="AT1023" s="714"/>
    </row>
    <row r="1024" spans="1:119" hidden="1">
      <c r="A1024" s="1"/>
      <c r="B1024" s="1"/>
      <c r="C1024" s="1"/>
      <c r="D1024" s="711" t="s">
        <v>157</v>
      </c>
      <c r="E1024" s="74"/>
      <c r="F1024" s="113"/>
      <c r="G1024" s="113"/>
      <c r="H1024" s="113"/>
      <c r="I1024" s="113"/>
      <c r="J1024" s="714"/>
      <c r="K1024" s="714">
        <f t="shared" ref="K1024:X1024" si="1258">+K974/K$303</f>
        <v>-0.12941786897575361</v>
      </c>
      <c r="L1024" s="714">
        <f t="shared" si="1258"/>
        <v>-0.11742915921288014</v>
      </c>
      <c r="M1024" s="714">
        <f t="shared" si="1258"/>
        <v>-0.11422626038781164</v>
      </c>
      <c r="N1024" s="714">
        <f t="shared" si="1258"/>
        <v>-9.0926980316850717E-2</v>
      </c>
      <c r="O1024" s="714">
        <f t="shared" si="1258"/>
        <v>-9.2744894882982973E-2</v>
      </c>
      <c r="P1024" s="714">
        <f t="shared" si="1258"/>
        <v>-0.10009436271309509</v>
      </c>
      <c r="Q1024" s="714">
        <f t="shared" si="1258"/>
        <v>-0.10147916477164148</v>
      </c>
      <c r="R1024" s="714">
        <f t="shared" si="1258"/>
        <v>-9.3929552835373492E-2</v>
      </c>
      <c r="S1024" s="714">
        <f t="shared" si="1258"/>
        <v>-9.6076861489191326E-2</v>
      </c>
      <c r="T1024" s="714">
        <f t="shared" si="1258"/>
        <v>-0.10935828877005348</v>
      </c>
      <c r="U1024" s="714">
        <f t="shared" si="1258"/>
        <v>-0.12624366994340186</v>
      </c>
      <c r="V1024" s="714">
        <f t="shared" si="1258"/>
        <v>-0.13445685227636939</v>
      </c>
      <c r="W1024" s="714">
        <f t="shared" si="1258"/>
        <v>-0.11893436999771322</v>
      </c>
      <c r="X1024" s="714">
        <f t="shared" si="1258"/>
        <v>-0.12552175740767293</v>
      </c>
      <c r="Y1024" s="714">
        <f t="shared" ref="Y1024:AJ1024" si="1259">+Y974/Y$303</f>
        <v>-0.13105439497758406</v>
      </c>
      <c r="Z1024" s="714">
        <f t="shared" si="1259"/>
        <v>-0.12354413412614801</v>
      </c>
      <c r="AA1024" s="714">
        <f t="shared" si="1259"/>
        <v>-9.2693186576996878E-2</v>
      </c>
      <c r="AB1024" s="714">
        <f t="shared" si="1259"/>
        <v>-9.3606398343845099E-2</v>
      </c>
      <c r="AC1024" s="714">
        <f t="shared" si="1259"/>
        <v>-9.4098879635895097E-2</v>
      </c>
      <c r="AD1024" s="714">
        <f t="shared" si="1259"/>
        <v>-0.11809426663930044</v>
      </c>
      <c r="AE1024" s="714">
        <f t="shared" si="1259"/>
        <v>-0.1720206858232346</v>
      </c>
      <c r="AF1024" s="714">
        <f t="shared" si="1259"/>
        <v>-0.139659177810151</v>
      </c>
      <c r="AG1024" s="714">
        <f t="shared" si="1259"/>
        <v>0.41840631525833027</v>
      </c>
      <c r="AH1024" s="714">
        <f t="shared" si="1259"/>
        <v>0.585041944190547</v>
      </c>
      <c r="AI1024" s="714">
        <f t="shared" si="1259"/>
        <v>0.59893925237530088</v>
      </c>
      <c r="AJ1024" s="714" t="e">
        <f t="shared" si="1259"/>
        <v>#DIV/0!</v>
      </c>
      <c r="AK1024" s="714"/>
      <c r="AL1024" s="714"/>
      <c r="AM1024" s="714"/>
      <c r="AN1024" s="714"/>
      <c r="AO1024" s="714"/>
      <c r="AP1024" s="714"/>
      <c r="AQ1024" s="714"/>
      <c r="AR1024" s="714"/>
      <c r="AS1024" s="714"/>
      <c r="AT1024" s="714"/>
    </row>
    <row r="1025" spans="1:46" hidden="1">
      <c r="A1025" s="1"/>
      <c r="B1025" s="1"/>
      <c r="C1025" s="1"/>
      <c r="D1025" s="708" t="s">
        <v>160</v>
      </c>
      <c r="E1025" s="74"/>
      <c r="F1025" s="113"/>
      <c r="G1025" s="113"/>
      <c r="H1025" s="113"/>
      <c r="I1025" s="113"/>
      <c r="J1025" s="714"/>
      <c r="K1025" s="714">
        <f t="shared" ref="K1025:X1025" si="1260">+K975/K$303</f>
        <v>3.7563281819790295E-2</v>
      </c>
      <c r="L1025" s="714">
        <f t="shared" si="1260"/>
        <v>3.3425283243887903E-2</v>
      </c>
      <c r="M1025" s="714">
        <f t="shared" si="1260"/>
        <v>3.9451191135734073E-2</v>
      </c>
      <c r="N1025" s="714">
        <f t="shared" si="1260"/>
        <v>2.0351992318770998E-2</v>
      </c>
      <c r="O1025" s="714">
        <f t="shared" si="1260"/>
        <v>1.146603728679095E-2</v>
      </c>
      <c r="P1025" s="714">
        <f t="shared" si="1260"/>
        <v>-5.505724011595753E-3</v>
      </c>
      <c r="Q1025" s="714">
        <f t="shared" si="1260"/>
        <v>-2.5316024764323072E-3</v>
      </c>
      <c r="R1025" s="714">
        <f t="shared" si="1260"/>
        <v>1.6587559330502145E-2</v>
      </c>
      <c r="S1025" s="714">
        <f t="shared" si="1260"/>
        <v>4.8438751000800181E-3</v>
      </c>
      <c r="T1025" s="714">
        <f t="shared" si="1260"/>
        <v>2.3228609625668448E-2</v>
      </c>
      <c r="U1025" s="714">
        <f t="shared" si="1260"/>
        <v>4.8853142686922845E-3</v>
      </c>
      <c r="V1025" s="714">
        <f t="shared" si="1260"/>
        <v>3.3236467287797188E-2</v>
      </c>
      <c r="W1025" s="714">
        <f t="shared" si="1260"/>
        <v>1.2988794877658357E-2</v>
      </c>
      <c r="X1025" s="714">
        <f t="shared" si="1260"/>
        <v>4.5109960906806773E-2</v>
      </c>
      <c r="Y1025" s="714">
        <f t="shared" ref="Y1025:AJ1025" si="1261">+Y975/Y$303</f>
        <v>4.2410018865942596E-2</v>
      </c>
      <c r="Z1025" s="714">
        <f t="shared" si="1261"/>
        <v>3.4242339628865748E-2</v>
      </c>
      <c r="AA1025" s="714">
        <f t="shared" si="1261"/>
        <v>4.2559402433413752E-2</v>
      </c>
      <c r="AB1025" s="714">
        <f t="shared" si="1261"/>
        <v>4.7982233089386213E-2</v>
      </c>
      <c r="AC1025" s="714">
        <f t="shared" si="1261"/>
        <v>4.9985813782281709E-2</v>
      </c>
      <c r="AD1025" s="714">
        <f t="shared" si="1261"/>
        <v>5.9478056696569338E-2</v>
      </c>
      <c r="AE1025" s="714">
        <f t="shared" si="1261"/>
        <v>0.12719408161307932</v>
      </c>
      <c r="AF1025" s="714">
        <f t="shared" si="1261"/>
        <v>9.2770590104386486E-2</v>
      </c>
      <c r="AG1025" s="714">
        <f t="shared" si="1261"/>
        <v>7.9888977997689722E-2</v>
      </c>
      <c r="AH1025" s="714">
        <f t="shared" si="1261"/>
        <v>5.9565073961989061E-2</v>
      </c>
      <c r="AI1025" s="714">
        <f t="shared" si="1261"/>
        <v>8.5058146345459718E-2</v>
      </c>
      <c r="AJ1025" s="714" t="e">
        <f t="shared" si="1261"/>
        <v>#DIV/0!</v>
      </c>
      <c r="AK1025" s="714"/>
      <c r="AL1025" s="714"/>
      <c r="AM1025" s="714"/>
      <c r="AN1025" s="714"/>
      <c r="AO1025" s="714"/>
      <c r="AP1025" s="714"/>
      <c r="AQ1025" s="714"/>
      <c r="AR1025" s="714"/>
      <c r="AS1025" s="714"/>
      <c r="AT1025" s="714"/>
    </row>
    <row r="1026" spans="1:46" hidden="1">
      <c r="A1026" s="1"/>
      <c r="B1026" s="1"/>
      <c r="C1026" s="1"/>
      <c r="D1026" s="709" t="s">
        <v>161</v>
      </c>
      <c r="E1026" s="74"/>
      <c r="F1026" s="113"/>
      <c r="G1026" s="113"/>
      <c r="H1026" s="113"/>
      <c r="I1026" s="113"/>
      <c r="J1026" s="714"/>
      <c r="K1026" s="714">
        <f t="shared" ref="K1026:X1026" si="1262">+K976/K$303</f>
        <v>1.1158387942332898E-2</v>
      </c>
      <c r="L1026" s="714">
        <f t="shared" si="1262"/>
        <v>4.8268932617769825E-3</v>
      </c>
      <c r="M1026" s="714">
        <f t="shared" si="1262"/>
        <v>9.0121883656509687E-3</v>
      </c>
      <c r="N1026" s="714">
        <f t="shared" si="1262"/>
        <v>4.5817090734517523E-3</v>
      </c>
      <c r="O1026" s="714">
        <f t="shared" si="1262"/>
        <v>1.0917578861562869E-3</v>
      </c>
      <c r="P1026" s="714">
        <f t="shared" si="1262"/>
        <v>2.2530639328457351E-4</v>
      </c>
      <c r="Q1026" s="714">
        <f t="shared" si="1262"/>
        <v>3.7368099941894237E-3</v>
      </c>
      <c r="R1026" s="714">
        <f t="shared" si="1262"/>
        <v>1.9585311016737446E-2</v>
      </c>
      <c r="S1026" s="714">
        <f t="shared" si="1262"/>
        <v>1.7133706965572461E-2</v>
      </c>
      <c r="T1026" s="714">
        <f t="shared" si="1262"/>
        <v>2.4264705882352938E-2</v>
      </c>
      <c r="U1026" s="714">
        <f t="shared" si="1262"/>
        <v>7.7747989276139417E-3</v>
      </c>
      <c r="V1026" s="714">
        <f t="shared" si="1262"/>
        <v>1.8003733805595692E-2</v>
      </c>
      <c r="W1026" s="714">
        <f t="shared" si="1262"/>
        <v>2.1724216784815915E-2</v>
      </c>
      <c r="X1026" s="714">
        <f t="shared" si="1262"/>
        <v>6.98720594304581E-2</v>
      </c>
      <c r="Y1026" s="714">
        <f t="shared" ref="Y1026:AJ1026" si="1263">+Y976/Y$303</f>
        <v>1.9775544435967594E-2</v>
      </c>
      <c r="Z1026" s="714">
        <f t="shared" si="1263"/>
        <v>3.2630833823979244E-2</v>
      </c>
      <c r="AA1026" s="714">
        <f t="shared" si="1263"/>
        <v>3.4829757513532421E-2</v>
      </c>
      <c r="AB1026" s="714">
        <f t="shared" si="1263"/>
        <v>2.2376257422782462E-2</v>
      </c>
      <c r="AC1026" s="714">
        <f t="shared" si="1263"/>
        <v>4.4604000360464358E-2</v>
      </c>
      <c r="AD1026" s="714">
        <f t="shared" si="1263"/>
        <v>5.1037336821919792E-2</v>
      </c>
      <c r="AE1026" s="714">
        <f t="shared" si="1263"/>
        <v>0.1179977823326827</v>
      </c>
      <c r="AF1026" s="714">
        <f t="shared" si="1263"/>
        <v>6.7474847923321632E-2</v>
      </c>
      <c r="AG1026" s="714">
        <f t="shared" si="1263"/>
        <v>6.168362157726736E-2</v>
      </c>
      <c r="AH1026" s="714">
        <f t="shared" si="1263"/>
        <v>4.9404224233944562E-2</v>
      </c>
      <c r="AI1026" s="714">
        <f t="shared" si="1263"/>
        <v>6.8826054022709499E-2</v>
      </c>
      <c r="AJ1026" s="714" t="e">
        <f t="shared" si="1263"/>
        <v>#DIV/0!</v>
      </c>
      <c r="AK1026" s="714"/>
      <c r="AL1026" s="714"/>
      <c r="AM1026" s="714"/>
      <c r="AN1026" s="714"/>
      <c r="AO1026" s="714"/>
      <c r="AP1026" s="714"/>
      <c r="AQ1026" s="714"/>
      <c r="AR1026" s="714"/>
      <c r="AS1026" s="714"/>
      <c r="AT1026" s="714"/>
    </row>
    <row r="1027" spans="1:46" hidden="1">
      <c r="A1027" s="1"/>
      <c r="B1027" s="1"/>
      <c r="C1027" s="1"/>
      <c r="D1027" s="712" t="s">
        <v>767</v>
      </c>
      <c r="E1027" s="74"/>
      <c r="F1027" s="591"/>
      <c r="G1027" s="591"/>
      <c r="H1027" s="591"/>
      <c r="I1027" s="591"/>
      <c r="J1027" s="716"/>
      <c r="K1027" s="716"/>
      <c r="L1027" s="716"/>
      <c r="M1027" s="716"/>
      <c r="N1027" s="716"/>
      <c r="O1027" s="716"/>
      <c r="P1027" s="716"/>
      <c r="Q1027" s="716"/>
      <c r="R1027" s="716"/>
      <c r="S1027" s="716"/>
      <c r="T1027" s="716"/>
      <c r="U1027" s="716"/>
      <c r="V1027" s="716"/>
      <c r="W1027" s="716"/>
      <c r="X1027" s="716">
        <f>+X977/X$303</f>
        <v>3.3429632686751958E-3</v>
      </c>
      <c r="Y1027" s="716">
        <f t="shared" ref="Y1027:AJ1027" si="1264">+Y977/Y$303</f>
        <v>9.3440825412575527E-3</v>
      </c>
      <c r="Z1027" s="716">
        <f t="shared" si="1264"/>
        <v>1.7957026511869693E-2</v>
      </c>
      <c r="AA1027" s="716">
        <f t="shared" si="1264"/>
        <v>2.1521273826287466E-2</v>
      </c>
      <c r="AB1027" s="716">
        <f t="shared" si="1264"/>
        <v>2.540007435949309E-2</v>
      </c>
      <c r="AC1027" s="716">
        <f t="shared" si="1264"/>
        <v>2.6496676754821223E-2</v>
      </c>
      <c r="AD1027" s="716">
        <f t="shared" si="1264"/>
        <v>2.9832480498882253E-2</v>
      </c>
      <c r="AE1027" s="716">
        <f t="shared" si="1264"/>
        <v>9.3971459840128183E-2</v>
      </c>
      <c r="AF1027" s="716">
        <f t="shared" si="1264"/>
        <v>3.26766018282863E-2</v>
      </c>
      <c r="AG1027" s="716">
        <f t="shared" si="1264"/>
        <v>6.8002757195593927E-2</v>
      </c>
      <c r="AH1027" s="716">
        <f t="shared" si="1264"/>
        <v>3.2810227874078474E-2</v>
      </c>
      <c r="AI1027" s="716">
        <f t="shared" si="1264"/>
        <v>4.1667389907892927E-2</v>
      </c>
      <c r="AJ1027" s="716" t="e">
        <f t="shared" si="1264"/>
        <v>#DIV/0!</v>
      </c>
      <c r="AK1027" s="716"/>
      <c r="AL1027" s="716"/>
      <c r="AM1027" s="716"/>
      <c r="AN1027" s="716"/>
      <c r="AO1027" s="716"/>
      <c r="AP1027" s="716"/>
      <c r="AQ1027" s="716"/>
      <c r="AR1027" s="716"/>
      <c r="AS1027" s="716"/>
      <c r="AT1027" s="716"/>
    </row>
    <row r="1028" spans="1:46" hidden="1">
      <c r="A1028" s="1"/>
      <c r="B1028" s="1"/>
      <c r="C1028" s="1"/>
      <c r="D1028" s="712" t="str">
        <f>+D978</f>
        <v xml:space="preserve">              project loans (gross)</v>
      </c>
      <c r="E1028" s="74"/>
      <c r="F1028" s="591"/>
      <c r="G1028" s="591"/>
      <c r="H1028" s="591"/>
      <c r="I1028" s="591"/>
      <c r="J1028" s="716"/>
      <c r="K1028" s="716"/>
      <c r="L1028" s="716"/>
      <c r="M1028" s="716"/>
      <c r="N1028" s="716"/>
      <c r="O1028" s="716"/>
      <c r="P1028" s="716"/>
      <c r="Q1028" s="716"/>
      <c r="R1028" s="716"/>
      <c r="S1028" s="716"/>
      <c r="T1028" s="716"/>
      <c r="U1028" s="716"/>
      <c r="V1028" s="716"/>
      <c r="W1028" s="716"/>
      <c r="X1028" s="716">
        <f>+X978/X$303</f>
        <v>6.9727610400330167E-2</v>
      </c>
      <c r="Y1028" s="716">
        <f t="shared" ref="Y1028:AJ1028" si="1265">+Y978/Y$303</f>
        <v>1.2515794442137084E-2</v>
      </c>
      <c r="Z1028" s="716">
        <f t="shared" si="1265"/>
        <v>1.719511349852712E-2</v>
      </c>
      <c r="AA1028" s="716">
        <f t="shared" si="1265"/>
        <v>1.5965856796776812E-2</v>
      </c>
      <c r="AB1028" s="716">
        <f t="shared" si="1265"/>
        <v>0</v>
      </c>
      <c r="AC1028" s="716">
        <f t="shared" si="1265"/>
        <v>2.13418210356001E-2</v>
      </c>
      <c r="AD1028" s="716">
        <f t="shared" si="1265"/>
        <v>2.4468176712159836E-2</v>
      </c>
      <c r="AE1028" s="716">
        <f t="shared" si="1265"/>
        <v>2.9872515632377212E-2</v>
      </c>
      <c r="AF1028" s="716">
        <f t="shared" si="1265"/>
        <v>3.7200689384599389E-2</v>
      </c>
      <c r="AG1028" s="716">
        <f t="shared" si="1265"/>
        <v>3.2893540470039638E-2</v>
      </c>
      <c r="AH1028" s="716">
        <f t="shared" si="1265"/>
        <v>2.7152003571394003E-2</v>
      </c>
      <c r="AI1028" s="716">
        <f t="shared" si="1265"/>
        <v>3.3934062562904238E-2</v>
      </c>
      <c r="AJ1028" s="716" t="e">
        <f t="shared" si="1265"/>
        <v>#DIV/0!</v>
      </c>
      <c r="AK1028" s="716"/>
      <c r="AL1028" s="716"/>
      <c r="AM1028" s="716"/>
      <c r="AN1028" s="716"/>
      <c r="AO1028" s="716"/>
      <c r="AP1028" s="716"/>
      <c r="AQ1028" s="716"/>
      <c r="AR1028" s="716"/>
      <c r="AS1028" s="716"/>
      <c r="AT1028" s="716"/>
    </row>
    <row r="1029" spans="1:46" hidden="1">
      <c r="A1029" s="1"/>
      <c r="B1029" s="1"/>
      <c r="C1029" s="1"/>
      <c r="D1029" s="709" t="s">
        <v>842</v>
      </c>
      <c r="E1029" s="74"/>
      <c r="F1029" s="113"/>
      <c r="G1029" s="113"/>
      <c r="H1029" s="113"/>
      <c r="I1029" s="113"/>
      <c r="J1029" s="714"/>
      <c r="K1029" s="714">
        <f t="shared" ref="K1029:AJ1029" si="1266">+K980/K$303</f>
        <v>2.6404893877457404E-2</v>
      </c>
      <c r="L1029" s="714">
        <f t="shared" si="1266"/>
        <v>2.8598389982110915E-2</v>
      </c>
      <c r="M1029" s="714">
        <f t="shared" si="1266"/>
        <v>3.0439002770083101E-2</v>
      </c>
      <c r="N1029" s="714">
        <f t="shared" si="1266"/>
        <v>1.5770283245319251E-2</v>
      </c>
      <c r="O1029" s="714">
        <f t="shared" si="1266"/>
        <v>1.0374279400634664E-2</v>
      </c>
      <c r="P1029" s="714">
        <f t="shared" si="1266"/>
        <v>-5.7310304048803261E-3</v>
      </c>
      <c r="Q1029" s="714">
        <f t="shared" si="1266"/>
        <v>-6.2684124706217301E-3</v>
      </c>
      <c r="R1029" s="714">
        <f t="shared" si="1266"/>
        <v>-2.9977516862352985E-3</v>
      </c>
      <c r="S1029" s="714">
        <f t="shared" si="1266"/>
        <v>-1.2289831865492441E-2</v>
      </c>
      <c r="T1029" s="714">
        <f t="shared" si="1266"/>
        <v>-1.0360962566844901E-3</v>
      </c>
      <c r="U1029" s="714">
        <f t="shared" si="1266"/>
        <v>-2.8894846589216567E-3</v>
      </c>
      <c r="V1029" s="714">
        <f t="shared" si="1266"/>
        <v>1.5232733482201496E-2</v>
      </c>
      <c r="W1029" s="714">
        <f t="shared" si="1266"/>
        <v>-8.7354219071575576E-3</v>
      </c>
      <c r="X1029" s="714">
        <f t="shared" si="1266"/>
        <v>-2.476209852365133E-2</v>
      </c>
      <c r="Y1029" s="714">
        <f t="shared" si="1266"/>
        <v>2.2634474429974998E-2</v>
      </c>
      <c r="Z1029" s="714">
        <f t="shared" si="1266"/>
        <v>1.611505804886501E-3</v>
      </c>
      <c r="AA1029" s="714">
        <f t="shared" si="1266"/>
        <v>7.7296449198813308E-3</v>
      </c>
      <c r="AB1029" s="714">
        <f t="shared" si="1266"/>
        <v>3.3938467223135001E-3</v>
      </c>
      <c r="AC1029" s="714">
        <f t="shared" si="1266"/>
        <v>5.3818134218173485E-3</v>
      </c>
      <c r="AD1029" s="714">
        <f t="shared" si="1266"/>
        <v>8.4407198746495448E-3</v>
      </c>
      <c r="AE1029" s="714">
        <f t="shared" si="1266"/>
        <v>9.1962992803966206E-3</v>
      </c>
      <c r="AF1029" s="714">
        <f t="shared" si="1266"/>
        <v>2.5295742181064854E-2</v>
      </c>
      <c r="AG1029" s="714">
        <f t="shared" si="1266"/>
        <v>1.8205356420422369E-2</v>
      </c>
      <c r="AH1029" s="714">
        <f t="shared" si="1266"/>
        <v>1.0160849728044499E-2</v>
      </c>
      <c r="AI1029" s="714">
        <f t="shared" si="1266"/>
        <v>1.6232092322750212E-2</v>
      </c>
      <c r="AJ1029" s="714" t="e">
        <f t="shared" si="1266"/>
        <v>#DIV/0!</v>
      </c>
      <c r="AK1029" s="714"/>
      <c r="AL1029" s="714"/>
      <c r="AM1029" s="714"/>
      <c r="AN1029" s="714"/>
      <c r="AO1029" s="714"/>
      <c r="AP1029" s="714"/>
      <c r="AQ1029" s="714"/>
      <c r="AR1029" s="714"/>
      <c r="AS1029" s="714"/>
      <c r="AT1029" s="714"/>
    </row>
    <row r="1030" spans="1:46" hidden="1">
      <c r="A1030" s="1"/>
      <c r="B1030" s="1"/>
      <c r="C1030" s="1"/>
      <c r="D1030" s="711" t="s">
        <v>855</v>
      </c>
      <c r="E1030" s="74"/>
      <c r="F1030" s="113"/>
      <c r="G1030" s="113"/>
      <c r="H1030" s="113"/>
      <c r="I1030" s="113"/>
      <c r="J1030" s="714"/>
      <c r="K1030" s="714">
        <f t="shared" ref="K1030:AJ1030" si="1267">+K981/K$303</f>
        <v>-3.8951507208387949E-3</v>
      </c>
      <c r="L1030" s="714">
        <f t="shared" si="1267"/>
        <v>-8.732259988073943E-3</v>
      </c>
      <c r="M1030" s="714">
        <f t="shared" si="1267"/>
        <v>-1.3069861495844874E-2</v>
      </c>
      <c r="N1030" s="714">
        <f t="shared" si="1267"/>
        <v>-1.2439270283245306E-3</v>
      </c>
      <c r="O1030" s="714">
        <f t="shared" si="1267"/>
        <v>-1.2931376437921457E-2</v>
      </c>
      <c r="P1030" s="714">
        <f t="shared" si="1267"/>
        <v>-2.6381648936170211E-2</v>
      </c>
      <c r="Q1030" s="714">
        <f t="shared" si="1267"/>
        <v>-1.2399767576990121E-2</v>
      </c>
      <c r="R1030" s="714">
        <f t="shared" si="1267"/>
        <v>-3.5973020234823885E-3</v>
      </c>
      <c r="S1030" s="714">
        <f t="shared" si="1267"/>
        <v>-5.3642914331465171E-3</v>
      </c>
      <c r="T1030" s="714">
        <f t="shared" si="1267"/>
        <v>6.0160427807486629E-3</v>
      </c>
      <c r="U1030" s="714">
        <f t="shared" si="1267"/>
        <v>2.5022341376228778E-3</v>
      </c>
      <c r="V1030" s="714">
        <f t="shared" si="1267"/>
        <v>2.0386181531590698E-2</v>
      </c>
      <c r="W1030" s="714">
        <f t="shared" si="1267"/>
        <v>-3.5216098788017382E-3</v>
      </c>
      <c r="X1030" s="714">
        <f t="shared" si="1267"/>
        <v>-2.9776543426664127E-2</v>
      </c>
      <c r="Y1030" s="714">
        <f t="shared" si="1267"/>
        <v>2.844592996056413E-2</v>
      </c>
      <c r="Z1030" s="714">
        <f t="shared" si="1267"/>
        <v>0</v>
      </c>
      <c r="AA1030" s="714">
        <f t="shared" si="1267"/>
        <v>3.2356709906952941E-4</v>
      </c>
      <c r="AB1030" s="714">
        <f t="shared" si="1267"/>
        <v>2.2888607708952606E-3</v>
      </c>
      <c r="AC1030" s="714">
        <f t="shared" si="1267"/>
        <v>6.1176098328143335E-3</v>
      </c>
      <c r="AD1030" s="714">
        <f t="shared" si="1267"/>
        <v>8.2383974133897972E-4</v>
      </c>
      <c r="AE1030" s="714">
        <f t="shared" si="1267"/>
        <v>9.1962992803966206E-3</v>
      </c>
      <c r="AF1030" s="714">
        <f t="shared" si="1267"/>
        <v>2.5295742181064854E-2</v>
      </c>
      <c r="AG1030" s="714">
        <f t="shared" si="1267"/>
        <v>1.8205356420422369E-2</v>
      </c>
      <c r="AH1030" s="714">
        <f t="shared" si="1267"/>
        <v>1.0160849728044499E-2</v>
      </c>
      <c r="AI1030" s="714">
        <f t="shared" si="1267"/>
        <v>1.6232092322750212E-2</v>
      </c>
      <c r="AJ1030" s="714" t="e">
        <f t="shared" si="1267"/>
        <v>#DIV/0!</v>
      </c>
      <c r="AK1030" s="714"/>
      <c r="AL1030" s="714"/>
      <c r="AM1030" s="714"/>
      <c r="AN1030" s="714"/>
      <c r="AO1030" s="714"/>
      <c r="AP1030" s="714"/>
      <c r="AQ1030" s="714"/>
      <c r="AR1030" s="714"/>
      <c r="AS1030" s="714"/>
      <c r="AT1030" s="714"/>
    </row>
    <row r="1031" spans="1:46" hidden="1">
      <c r="A1031" s="1"/>
      <c r="B1031" s="1"/>
      <c r="C1031" s="1"/>
      <c r="D1031" s="711" t="s">
        <v>856</v>
      </c>
      <c r="E1031" s="74"/>
      <c r="F1031" s="113"/>
      <c r="G1031" s="113"/>
      <c r="H1031" s="113"/>
      <c r="I1031" s="113"/>
      <c r="J1031" s="714"/>
      <c r="K1031" s="714">
        <f t="shared" ref="K1031:AJ1031" si="1268">+K984/K$303</f>
        <v>0</v>
      </c>
      <c r="L1031" s="714">
        <f t="shared" si="1268"/>
        <v>0</v>
      </c>
      <c r="M1031" s="714">
        <f t="shared" si="1268"/>
        <v>0</v>
      </c>
      <c r="N1031" s="714">
        <f t="shared" si="1268"/>
        <v>0</v>
      </c>
      <c r="O1031" s="714">
        <f t="shared" si="1268"/>
        <v>0</v>
      </c>
      <c r="P1031" s="714">
        <f t="shared" si="1268"/>
        <v>0</v>
      </c>
      <c r="Q1031" s="714">
        <f t="shared" si="1268"/>
        <v>0</v>
      </c>
      <c r="R1031" s="714">
        <f t="shared" si="1268"/>
        <v>0</v>
      </c>
      <c r="S1031" s="714">
        <f t="shared" si="1268"/>
        <v>0</v>
      </c>
      <c r="T1031" s="714">
        <f t="shared" si="1268"/>
        <v>0</v>
      </c>
      <c r="U1031" s="714">
        <f t="shared" si="1268"/>
        <v>0</v>
      </c>
      <c r="V1031" s="714">
        <f t="shared" si="1268"/>
        <v>0</v>
      </c>
      <c r="W1031" s="714">
        <f t="shared" si="1268"/>
        <v>0</v>
      </c>
      <c r="X1031" s="714">
        <f t="shared" si="1268"/>
        <v>8.1923235658274869E-3</v>
      </c>
      <c r="Y1031" s="714">
        <f t="shared" si="1268"/>
        <v>-2.2005098187311239E-3</v>
      </c>
      <c r="Z1031" s="714">
        <f t="shared" si="1268"/>
        <v>5.3543579968809559E-3</v>
      </c>
      <c r="AA1031" s="714">
        <f t="shared" si="1268"/>
        <v>9.1970821046096513E-3</v>
      </c>
      <c r="AB1031" s="714">
        <f t="shared" si="1268"/>
        <v>7.3161868069058908E-3</v>
      </c>
      <c r="AC1031" s="714">
        <f t="shared" si="1268"/>
        <v>2.9130989825134138E-3</v>
      </c>
      <c r="AD1031" s="714">
        <f t="shared" si="1268"/>
        <v>1.3139515027322404E-2</v>
      </c>
      <c r="AE1031" s="714">
        <f t="shared" si="1268"/>
        <v>5.1652475187966805E-3</v>
      </c>
      <c r="AF1031" s="714">
        <f t="shared" si="1268"/>
        <v>5.460991986640594E-3</v>
      </c>
      <c r="AG1031" s="714">
        <f t="shared" si="1268"/>
        <v>0</v>
      </c>
      <c r="AH1031" s="714">
        <f t="shared" si="1268"/>
        <v>4.9561081202531641E-4</v>
      </c>
      <c r="AI1031" s="714">
        <f t="shared" si="1268"/>
        <v>0</v>
      </c>
      <c r="AJ1031" s="714" t="e">
        <f t="shared" si="1268"/>
        <v>#DIV/0!</v>
      </c>
      <c r="AK1031" s="714"/>
      <c r="AL1031" s="714"/>
      <c r="AM1031" s="714"/>
      <c r="AN1031" s="714"/>
      <c r="AO1031" s="714"/>
      <c r="AP1031" s="714"/>
      <c r="AQ1031" s="714"/>
      <c r="AR1031" s="714"/>
      <c r="AS1031" s="714"/>
      <c r="AT1031" s="714"/>
    </row>
    <row r="1032" spans="1:46" hidden="1">
      <c r="A1032" s="1"/>
      <c r="B1032" s="1"/>
      <c r="C1032" s="1"/>
      <c r="D1032" s="1194" t="str">
        <f>D988</f>
        <v>Tax Loss due to COVID-19</v>
      </c>
      <c r="E1032" s="1191"/>
      <c r="F1032" s="1192"/>
      <c r="G1032" s="1192"/>
      <c r="H1032" s="1192"/>
      <c r="I1032" s="1192"/>
      <c r="J1032" s="1193"/>
      <c r="K1032" s="1193"/>
      <c r="L1032" s="1193"/>
      <c r="M1032" s="1193"/>
      <c r="N1032" s="1193"/>
      <c r="O1032" s="1193"/>
      <c r="P1032" s="1193"/>
      <c r="Q1032" s="1193"/>
      <c r="R1032" s="1193"/>
      <c r="S1032" s="1193"/>
      <c r="T1032" s="1193"/>
      <c r="U1032" s="1193"/>
      <c r="V1032" s="1193"/>
      <c r="W1032" s="1193"/>
      <c r="X1032" s="1193"/>
      <c r="Y1032" s="1193"/>
      <c r="Z1032" s="1193"/>
      <c r="AA1032" s="1193">
        <f>AA988/AA$303</f>
        <v>0</v>
      </c>
      <c r="AB1032" s="1193"/>
      <c r="AC1032" s="1193"/>
      <c r="AD1032" s="1193"/>
      <c r="AE1032" s="1193">
        <f>AE988/$AE$303</f>
        <v>2.0020746887966807E-2</v>
      </c>
      <c r="AF1032" s="1193">
        <f>AF988/$AE$303</f>
        <v>3.8168251480462663E-2</v>
      </c>
      <c r="AG1032" s="1193"/>
      <c r="AH1032" s="1193"/>
      <c r="AI1032" s="1193"/>
      <c r="AJ1032" s="1193"/>
      <c r="AK1032" s="1193"/>
      <c r="AL1032" s="1193"/>
      <c r="AM1032" s="1193"/>
      <c r="AN1032" s="1193"/>
      <c r="AO1032" s="1193"/>
      <c r="AP1032" s="1193"/>
      <c r="AQ1032" s="1193"/>
      <c r="AR1032" s="1193"/>
      <c r="AS1032" s="1193"/>
      <c r="AT1032" s="1193"/>
    </row>
    <row r="1033" spans="1:46" hidden="1">
      <c r="A1033" s="1"/>
      <c r="B1033" s="1"/>
      <c r="C1033" s="1"/>
      <c r="D1033" s="1194" t="str">
        <f>D989</f>
        <v>Financing Gap</v>
      </c>
      <c r="E1033" s="74"/>
      <c r="F1033" s="113"/>
      <c r="G1033" s="113"/>
      <c r="H1033" s="113"/>
      <c r="I1033" s="113"/>
      <c r="J1033" s="714"/>
      <c r="K1033" s="714"/>
      <c r="L1033" s="714"/>
      <c r="M1033" s="714"/>
      <c r="N1033" s="714"/>
      <c r="O1033" s="714"/>
      <c r="P1033" s="714"/>
      <c r="Q1033" s="714"/>
      <c r="R1033" s="714"/>
      <c r="S1033" s="714"/>
      <c r="T1033" s="714"/>
      <c r="U1033" s="714"/>
      <c r="V1033" s="714"/>
      <c r="W1033" s="714"/>
      <c r="X1033" s="714"/>
      <c r="Y1033" s="714"/>
      <c r="Z1033" s="714"/>
      <c r="AA1033" s="1193">
        <f>AA989/AA$303</f>
        <v>0</v>
      </c>
      <c r="AB1033" s="1193">
        <f t="shared" ref="AB1033:AJ1033" si="1269">AB989/AB$303</f>
        <v>0</v>
      </c>
      <c r="AC1033" s="1193">
        <f t="shared" si="1269"/>
        <v>0</v>
      </c>
      <c r="AD1033" s="1193">
        <f t="shared" si="1269"/>
        <v>0</v>
      </c>
      <c r="AE1033" s="1193">
        <f t="shared" si="1269"/>
        <v>0</v>
      </c>
      <c r="AF1033" s="1193">
        <f t="shared" si="1269"/>
        <v>1.1942538063738285E-3</v>
      </c>
      <c r="AG1033" s="1193">
        <f t="shared" si="1269"/>
        <v>0</v>
      </c>
      <c r="AH1033" s="1193">
        <f t="shared" si="1269"/>
        <v>0</v>
      </c>
      <c r="AI1033" s="1193">
        <f t="shared" si="1269"/>
        <v>0</v>
      </c>
      <c r="AJ1033" s="1193" t="e">
        <f t="shared" si="1269"/>
        <v>#DIV/0!</v>
      </c>
      <c r="AK1033" s="1193"/>
      <c r="AL1033" s="1193"/>
      <c r="AM1033" s="1193"/>
      <c r="AN1033" s="1193"/>
      <c r="AO1033" s="1193"/>
      <c r="AP1033" s="1193"/>
      <c r="AQ1033" s="1193"/>
      <c r="AR1033" s="1193"/>
      <c r="AS1033" s="1193"/>
      <c r="AT1033" s="1193"/>
    </row>
    <row r="1034" spans="1:46" hidden="1">
      <c r="A1034" s="1"/>
      <c r="B1034" s="1"/>
      <c r="C1034" s="1"/>
      <c r="D1034" s="713" t="s">
        <v>750</v>
      </c>
      <c r="E1034" s="74"/>
      <c r="F1034" s="663"/>
      <c r="G1034" s="663"/>
      <c r="H1034" s="663"/>
      <c r="I1034" s="663"/>
      <c r="J1034" s="717" t="str">
        <f t="shared" ref="J1034:U1034" si="1270">+IF(ABS(J1023+J1025)&gt;0.001,+J1023+J1025,"")</f>
        <v/>
      </c>
      <c r="K1034" s="717" t="str">
        <f t="shared" si="1270"/>
        <v/>
      </c>
      <c r="L1034" s="717" t="str">
        <f t="shared" si="1270"/>
        <v/>
      </c>
      <c r="M1034" s="717" t="str">
        <f t="shared" si="1270"/>
        <v/>
      </c>
      <c r="N1034" s="717" t="str">
        <f t="shared" si="1270"/>
        <v/>
      </c>
      <c r="O1034" s="717" t="str">
        <f t="shared" si="1270"/>
        <v/>
      </c>
      <c r="P1034" s="717">
        <f t="shared" si="1270"/>
        <v>-8.1340999202127676E-3</v>
      </c>
      <c r="Q1034" s="717">
        <f t="shared" si="1270"/>
        <v>-7.1084754677513025E-3</v>
      </c>
      <c r="R1034" s="717" t="str">
        <f t="shared" si="1270"/>
        <v/>
      </c>
      <c r="S1034" s="717" t="str">
        <f t="shared" si="1270"/>
        <v/>
      </c>
      <c r="T1034" s="717" t="str">
        <f t="shared" si="1270"/>
        <v/>
      </c>
      <c r="U1034" s="717" t="str">
        <f t="shared" si="1270"/>
        <v/>
      </c>
      <c r="V1034" s="717">
        <f t="shared" ref="V1034:AE1034" si="1271">+IF(ABS(V1023+V1025)&gt;0.001,+V1023+V1025,"")</f>
        <v>-1.647084099303836E-3</v>
      </c>
      <c r="W1034" s="717">
        <f t="shared" si="1271"/>
        <v>-1.3491882003201488E-3</v>
      </c>
      <c r="X1034" s="717">
        <f t="shared" si="1271"/>
        <v>-5.112580652744024E-3</v>
      </c>
      <c r="Y1034" s="717" t="str">
        <f t="shared" si="1271"/>
        <v/>
      </c>
      <c r="Z1034" s="717">
        <f t="shared" si="1271"/>
        <v>-1.7232188274027595E-2</v>
      </c>
      <c r="AA1034" s="717" t="str">
        <f t="shared" si="1271"/>
        <v/>
      </c>
      <c r="AB1034" s="717" t="str">
        <f t="shared" si="1271"/>
        <v/>
      </c>
      <c r="AC1034" s="717" t="str">
        <f t="shared" si="1271"/>
        <v/>
      </c>
      <c r="AD1034" s="717">
        <f t="shared" si="1271"/>
        <v>-3.8371449385916287E-3</v>
      </c>
      <c r="AE1034" s="717" t="str">
        <f t="shared" si="1271"/>
        <v/>
      </c>
      <c r="AF1034" s="717" t="str">
        <f t="shared" ref="AF1034:AJ1034" si="1272">+IF(ABS(AF1023+AF1025)&gt;0.001,+AF1023+AF1025,"")</f>
        <v/>
      </c>
      <c r="AG1034" s="717">
        <f t="shared" si="1272"/>
        <v>0.56595530899290758</v>
      </c>
      <c r="AH1034" s="717">
        <f t="shared" si="1272"/>
        <v>0.68962563542845634</v>
      </c>
      <c r="AI1034" s="717">
        <f t="shared" si="1272"/>
        <v>0.72485555429914383</v>
      </c>
      <c r="AJ1034" s="717" t="e">
        <f t="shared" si="1272"/>
        <v>#DIV/0!</v>
      </c>
      <c r="AK1034" s="717"/>
      <c r="AL1034" s="717"/>
      <c r="AM1034" s="717"/>
      <c r="AN1034" s="717"/>
      <c r="AO1034" s="717"/>
      <c r="AP1034" s="717"/>
      <c r="AQ1034" s="717"/>
      <c r="AR1034" s="717"/>
      <c r="AS1034" s="717"/>
      <c r="AT1034" s="717"/>
    </row>
    <row r="1035" spans="1:46" hidden="1">
      <c r="A1035" s="1"/>
      <c r="B1035" s="1"/>
      <c r="C1035" s="1"/>
      <c r="D1035" s="701" t="s">
        <v>843</v>
      </c>
      <c r="E1035" s="74"/>
      <c r="F1035" s="663"/>
      <c r="G1035" s="663"/>
      <c r="H1035" s="663"/>
      <c r="I1035" s="663"/>
      <c r="J1035" s="698"/>
      <c r="K1035" s="698"/>
      <c r="L1035" s="698"/>
      <c r="M1035" s="698"/>
      <c r="N1035" s="698"/>
      <c r="O1035" s="698"/>
      <c r="P1035" s="698"/>
      <c r="Q1035" s="698"/>
      <c r="R1035" s="698"/>
      <c r="S1035" s="698"/>
      <c r="T1035" s="698"/>
      <c r="U1035" s="698"/>
      <c r="V1035" s="698"/>
      <c r="W1035" s="698"/>
      <c r="X1035" s="698"/>
      <c r="Y1035" s="698"/>
      <c r="Z1035" s="725" t="str">
        <f t="shared" ref="Z1035:AE1035" si="1273">+Z992</f>
        <v>2014/15</v>
      </c>
      <c r="AA1035" s="725" t="str">
        <f t="shared" si="1273"/>
        <v>2015/16</v>
      </c>
      <c r="AB1035" s="725" t="str">
        <f t="shared" si="1273"/>
        <v>2016/17</v>
      </c>
      <c r="AC1035" s="725" t="str">
        <f t="shared" si="1273"/>
        <v>2017/18</v>
      </c>
      <c r="AD1035" s="725" t="str">
        <f t="shared" si="1273"/>
        <v>2018/19</v>
      </c>
      <c r="AE1035" s="725" t="str">
        <f t="shared" si="1273"/>
        <v>2019/20</v>
      </c>
      <c r="AT1035" s="1"/>
    </row>
    <row r="1036" spans="1:46" hidden="1">
      <c r="A1036" s="1"/>
      <c r="B1036" s="1"/>
      <c r="C1036" s="1"/>
      <c r="D1036" s="699" t="s">
        <v>851</v>
      </c>
      <c r="E1036" s="74"/>
      <c r="F1036" s="663"/>
      <c r="G1036" s="663"/>
      <c r="H1036" s="663"/>
      <c r="I1036" s="663"/>
      <c r="J1036" s="698"/>
      <c r="K1036" s="698"/>
      <c r="L1036" s="698"/>
      <c r="M1036" s="698"/>
      <c r="N1036" s="698"/>
      <c r="O1036" s="698"/>
      <c r="P1036" s="698"/>
      <c r="Q1036" s="698"/>
      <c r="R1036" s="698"/>
      <c r="S1036" s="698"/>
      <c r="T1036" s="698"/>
      <c r="U1036" s="698"/>
      <c r="V1036" s="698"/>
      <c r="W1036" s="698"/>
      <c r="X1036" s="698"/>
      <c r="Y1036" s="698"/>
      <c r="Z1036" s="723">
        <f>+FISCinyear!IE657</f>
        <v>-52.641473190533816</v>
      </c>
      <c r="AA1036" s="723">
        <f>+FISCinyear!IH657</f>
        <v>-110.98632621914237</v>
      </c>
      <c r="AB1036" s="723">
        <f>+FISCinyear!IK657</f>
        <v>-177.83396231617735</v>
      </c>
      <c r="AC1036" s="723">
        <f>+FISCinyear!IN657</f>
        <v>-167.4713859075822</v>
      </c>
      <c r="AD1036" s="723"/>
      <c r="AE1036" s="723"/>
      <c r="AT1036" s="1"/>
    </row>
    <row r="1037" spans="1:46" hidden="1">
      <c r="A1037" s="1"/>
      <c r="B1037" s="1"/>
      <c r="C1037" s="1"/>
      <c r="D1037" s="699" t="s">
        <v>852</v>
      </c>
      <c r="E1037" s="74"/>
      <c r="F1037" s="663"/>
      <c r="G1037" s="663"/>
      <c r="H1037" s="663"/>
      <c r="I1037" s="663"/>
      <c r="J1037" s="698"/>
      <c r="K1037" s="698"/>
      <c r="L1037" s="698"/>
      <c r="M1037" s="698"/>
      <c r="N1037" s="698"/>
      <c r="O1037" s="698"/>
      <c r="P1037" s="698"/>
      <c r="Q1037" s="698"/>
      <c r="R1037" s="698"/>
      <c r="S1037" s="698"/>
      <c r="T1037" s="698"/>
      <c r="U1037" s="698"/>
      <c r="V1037" s="698"/>
      <c r="W1037" s="698"/>
      <c r="X1037" s="698"/>
      <c r="Y1037" s="698"/>
      <c r="Z1037" s="723">
        <f>+Z963-Z1036</f>
        <v>-249.41802733706368</v>
      </c>
      <c r="AA1037" s="723">
        <f>+AA963-AA1036</f>
        <v>-140.18926420380365</v>
      </c>
      <c r="AB1037" s="723">
        <f>+AB963-AB1036</f>
        <v>-149.29817547271062</v>
      </c>
      <c r="AC1037" s="723">
        <f>+AC963-AC1036</f>
        <v>-199.65596218942198</v>
      </c>
      <c r="AD1037" s="723"/>
      <c r="AE1037" s="723"/>
      <c r="AT1037" s="1"/>
    </row>
    <row r="1038" spans="1:46" hidden="1">
      <c r="A1038" s="1"/>
      <c r="B1038" s="1"/>
      <c r="C1038" s="1"/>
      <c r="D1038" s="699" t="s">
        <v>850</v>
      </c>
      <c r="E1038" s="74"/>
      <c r="F1038" s="663"/>
      <c r="G1038" s="663"/>
      <c r="H1038" s="663"/>
      <c r="I1038" s="663"/>
      <c r="J1038" s="698"/>
      <c r="K1038" s="698"/>
      <c r="L1038" s="698"/>
      <c r="M1038" s="698"/>
      <c r="N1038" s="698"/>
      <c r="O1038" s="698"/>
      <c r="P1038" s="698"/>
      <c r="Q1038" s="698"/>
      <c r="R1038" s="698"/>
      <c r="S1038" s="698"/>
      <c r="T1038" s="698"/>
      <c r="U1038" s="698"/>
      <c r="V1038" s="698"/>
      <c r="W1038" s="698"/>
      <c r="X1038" s="698"/>
      <c r="Y1038" s="698"/>
      <c r="Z1038" s="723">
        <f>+FISCinyear!IE681</f>
        <v>-100.13418592443038</v>
      </c>
      <c r="AA1038" s="723">
        <f>+FISCinyear!IH681</f>
        <v>-77.56881422613624</v>
      </c>
      <c r="AB1038" s="723">
        <f>+FISCinyear!IK681</f>
        <v>-75.365327747001714</v>
      </c>
      <c r="AC1038" s="723">
        <f>+FISCinyear!IN681</f>
        <v>-76.513563812377328</v>
      </c>
      <c r="AD1038" s="723"/>
      <c r="AE1038" s="723"/>
      <c r="AT1038" s="1"/>
    </row>
    <row r="1039" spans="1:46" hidden="1">
      <c r="A1039" s="1"/>
      <c r="B1039" s="1"/>
      <c r="C1039" s="1"/>
      <c r="D1039" s="699" t="s">
        <v>845</v>
      </c>
      <c r="E1039" s="74"/>
      <c r="F1039" s="663"/>
      <c r="G1039" s="663"/>
      <c r="H1039" s="663"/>
      <c r="I1039" s="663"/>
      <c r="J1039" s="698"/>
      <c r="K1039" s="698"/>
      <c r="L1039" s="698"/>
      <c r="M1039" s="698"/>
      <c r="N1039" s="698"/>
      <c r="O1039" s="698"/>
      <c r="P1039" s="698"/>
      <c r="Q1039" s="698"/>
      <c r="R1039" s="698"/>
      <c r="S1039" s="698"/>
      <c r="T1039" s="698"/>
      <c r="U1039" s="698"/>
      <c r="V1039" s="698"/>
      <c r="W1039" s="698"/>
      <c r="X1039" s="698"/>
      <c r="Y1039" s="698"/>
      <c r="Z1039" s="724">
        <f>+Z980-Z1038</f>
        <v>109.43418592443038</v>
      </c>
      <c r="AA1039" s="723">
        <f>+AA980-AA1038</f>
        <v>127.37091644493165</v>
      </c>
      <c r="AB1039" s="723">
        <f>+AB980-AB1038</f>
        <v>99.926596476384518</v>
      </c>
      <c r="AC1039" s="723">
        <f>+AC980-AC1038</f>
        <v>119.4711985453234</v>
      </c>
      <c r="AD1039" s="723"/>
      <c r="AE1039" s="723"/>
      <c r="AT1039" s="1"/>
    </row>
    <row r="1040" spans="1:46" hidden="1">
      <c r="A1040" s="1"/>
      <c r="B1040" s="1"/>
      <c r="C1040" s="1"/>
      <c r="D1040" s="699" t="s">
        <v>849</v>
      </c>
      <c r="E1040" s="74"/>
      <c r="F1040" s="697"/>
      <c r="G1040" s="697"/>
      <c r="H1040" s="697"/>
      <c r="I1040" s="697"/>
      <c r="J1040" s="697"/>
      <c r="K1040" s="697"/>
      <c r="L1040" s="697"/>
      <c r="M1040" s="697"/>
      <c r="N1040" s="697"/>
      <c r="O1040" s="697"/>
      <c r="P1040" s="697"/>
      <c r="Q1040" s="697"/>
      <c r="R1040" s="697"/>
      <c r="S1040" s="697"/>
      <c r="T1040" s="697"/>
      <c r="U1040" s="697"/>
      <c r="V1040" s="698"/>
      <c r="W1040" s="698"/>
      <c r="X1040" s="698"/>
      <c r="Y1040" s="698"/>
      <c r="Z1040" s="723">
        <f>+FISCinyear!IE552-FISCinyear!IE571</f>
        <v>417.35422347519278</v>
      </c>
      <c r="AA1040" s="723">
        <f>+FISCinyear!IH552-FISCinyear!IH571</f>
        <v>484.04192598930001</v>
      </c>
      <c r="AB1040" s="723">
        <f>+FISCinyear!IK552-FISCinyear!IK571+FISCinyear!IK643</f>
        <v>532.05746005302717</v>
      </c>
      <c r="AC1040" s="723">
        <f>+FISCinyear!IN552-FISCinyear!IN571+FISCinyear!IN643</f>
        <v>613.30561860667001</v>
      </c>
      <c r="AD1040" s="723"/>
      <c r="AE1040" s="723"/>
      <c r="AT1040" s="1"/>
    </row>
    <row r="1041" spans="1:46" hidden="1">
      <c r="A1041" s="1"/>
      <c r="B1041" s="1"/>
      <c r="C1041" s="1"/>
      <c r="D1041" s="699" t="s">
        <v>846</v>
      </c>
      <c r="E1041" s="74"/>
      <c r="F1041" s="697"/>
      <c r="G1041" s="697"/>
      <c r="H1041" s="697"/>
      <c r="I1041" s="697"/>
      <c r="J1041" s="697"/>
      <c r="K1041" s="697"/>
      <c r="L1041" s="697"/>
      <c r="M1041" s="697"/>
      <c r="N1041" s="697"/>
      <c r="O1041" s="697"/>
      <c r="P1041" s="697"/>
      <c r="Q1041" s="697"/>
      <c r="R1041" s="697"/>
      <c r="S1041" s="697"/>
      <c r="T1041" s="697"/>
      <c r="U1041" s="697"/>
      <c r="V1041" s="698"/>
      <c r="W1041" s="698"/>
      <c r="X1041" s="698"/>
      <c r="Y1041" s="698"/>
      <c r="Z1041" s="723">
        <f>+(Z945-Z948)-Z1040</f>
        <v>496.40257848280709</v>
      </c>
      <c r="AA1041" s="723">
        <f>+(AA945-AA948)-AA1040</f>
        <v>560.9917845527001</v>
      </c>
      <c r="AB1041" s="723">
        <f>+(AB945-AB948+AB852)-AB1040</f>
        <v>615.93658806934991</v>
      </c>
      <c r="AC1041" s="723">
        <f>+(AC945-AC948+AC852)-AC1040</f>
        <v>697.15539518366597</v>
      </c>
      <c r="AD1041" s="723"/>
      <c r="AE1041" s="723"/>
      <c r="AT1041" s="1"/>
    </row>
    <row r="1042" spans="1:46" hidden="1">
      <c r="A1042" s="1"/>
      <c r="B1042" s="1"/>
      <c r="C1042" s="1"/>
      <c r="D1042" s="699" t="s">
        <v>853</v>
      </c>
      <c r="E1042" s="74"/>
      <c r="F1042" s="697"/>
      <c r="G1042" s="697"/>
      <c r="H1042" s="697"/>
      <c r="I1042" s="697"/>
      <c r="J1042" s="697"/>
      <c r="K1042" s="697"/>
      <c r="L1042" s="697"/>
      <c r="M1042" s="697"/>
      <c r="N1042" s="697"/>
      <c r="O1042" s="697"/>
      <c r="P1042" s="697"/>
      <c r="Q1042" s="697"/>
      <c r="R1042" s="697"/>
      <c r="S1042" s="697"/>
      <c r="T1042" s="697"/>
      <c r="U1042" s="697"/>
      <c r="V1042" s="698"/>
      <c r="W1042" s="698"/>
      <c r="X1042" s="698"/>
      <c r="Y1042" s="698"/>
      <c r="Z1042" s="726"/>
      <c r="AA1042" s="950"/>
      <c r="AB1042" s="950">
        <v>338.8</v>
      </c>
      <c r="AC1042" s="727"/>
      <c r="AD1042" s="723"/>
      <c r="AE1042" s="723"/>
      <c r="AT1042" s="1"/>
    </row>
    <row r="1043" spans="1:46" hidden="1">
      <c r="A1043" s="1"/>
      <c r="B1043" s="1"/>
      <c r="C1043" s="1"/>
      <c r="D1043" s="699" t="s">
        <v>845</v>
      </c>
      <c r="E1043" s="74"/>
      <c r="F1043" s="697"/>
      <c r="G1043" s="697"/>
      <c r="H1043" s="697"/>
      <c r="I1043" s="697"/>
      <c r="J1043" s="697"/>
      <c r="K1043" s="697"/>
      <c r="L1043" s="697"/>
      <c r="M1043" s="697"/>
      <c r="N1043" s="697"/>
      <c r="O1043" s="697"/>
      <c r="P1043" s="697"/>
      <c r="Q1043" s="697"/>
      <c r="R1043" s="697"/>
      <c r="S1043" s="697"/>
      <c r="T1043" s="697"/>
      <c r="U1043" s="697"/>
      <c r="V1043" s="698"/>
      <c r="W1043" s="698"/>
      <c r="X1043" s="698"/>
      <c r="Y1043" s="698"/>
      <c r="Z1043" s="729"/>
      <c r="AA1043" s="951">
        <v>376.1</v>
      </c>
      <c r="AB1043" s="951">
        <f>716-AB1042</f>
        <v>377.2</v>
      </c>
      <c r="AC1043" s="730"/>
      <c r="AD1043" s="723"/>
      <c r="AE1043" s="723"/>
      <c r="AT1043" s="1"/>
    </row>
    <row r="1044" spans="1:46" hidden="1">
      <c r="A1044" s="1"/>
      <c r="B1044" s="1"/>
      <c r="C1044" s="1"/>
      <c r="D1044" s="700" t="s">
        <v>847</v>
      </c>
      <c r="E1044" s="74"/>
      <c r="F1044" s="697"/>
      <c r="G1044" s="697"/>
      <c r="H1044" s="697"/>
      <c r="I1044" s="697"/>
      <c r="J1044" s="697"/>
      <c r="K1044" s="697"/>
      <c r="L1044" s="697"/>
      <c r="M1044" s="697"/>
      <c r="N1044" s="697"/>
      <c r="O1044" s="697"/>
      <c r="P1044" s="697"/>
      <c r="Q1044" s="697"/>
      <c r="R1044" s="697"/>
      <c r="S1044" s="697"/>
      <c r="T1044" s="697"/>
      <c r="U1044" s="697"/>
      <c r="V1044" s="698"/>
      <c r="W1044" s="698"/>
      <c r="X1044" s="698"/>
      <c r="Y1044" s="698"/>
      <c r="Z1044" s="728"/>
      <c r="AA1044" s="949"/>
      <c r="AB1044" s="949">
        <f>+AA1045+FISCinyear!IK661</f>
        <v>87.817155379000013</v>
      </c>
      <c r="AC1044" s="946">
        <f>+AB1045+FISCinyear!IN661</f>
        <v>174.94123628200001</v>
      </c>
      <c r="AD1044" s="723"/>
      <c r="AE1044" s="723"/>
      <c r="AT1044" s="1"/>
    </row>
    <row r="1045" spans="1:46" hidden="1">
      <c r="A1045" s="1"/>
      <c r="B1045" s="1"/>
      <c r="C1045" s="1"/>
      <c r="D1045" s="699" t="s">
        <v>848</v>
      </c>
      <c r="E1045" s="74"/>
      <c r="F1045" s="697"/>
      <c r="G1045" s="697"/>
      <c r="H1045" s="697"/>
      <c r="I1045" s="697"/>
      <c r="J1045" s="697"/>
      <c r="K1045" s="697"/>
      <c r="L1045" s="697"/>
      <c r="M1045" s="697"/>
      <c r="N1045" s="697"/>
      <c r="O1045" s="697"/>
      <c r="P1045" s="697"/>
      <c r="Q1045" s="697"/>
      <c r="R1045" s="697"/>
      <c r="S1045" s="697"/>
      <c r="T1045" s="697"/>
      <c r="U1045" s="697"/>
      <c r="V1045" s="698"/>
      <c r="W1045" s="698"/>
      <c r="X1045" s="698"/>
      <c r="Y1045" s="698"/>
      <c r="Z1045" s="729"/>
      <c r="AA1045" s="947">
        <v>100</v>
      </c>
      <c r="AB1045" s="947">
        <f>+AB1044+FISCinyear!IL661</f>
        <v>139.96522982600001</v>
      </c>
      <c r="AC1045" s="948">
        <f>+AC1044+FISCinyear!IO661</f>
        <v>114.903997538</v>
      </c>
      <c r="AD1045" s="723"/>
      <c r="AE1045" s="723"/>
      <c r="AT1045" s="1"/>
    </row>
    <row r="1046" spans="1:46" hidden="1">
      <c r="A1046" s="1"/>
      <c r="B1046" s="1"/>
      <c r="C1046" s="1"/>
      <c r="D1046" s="699" t="s">
        <v>862</v>
      </c>
      <c r="E1046" s="74"/>
      <c r="F1046" s="697"/>
      <c r="G1046" s="697"/>
      <c r="H1046" s="697"/>
      <c r="I1046" s="697"/>
      <c r="J1046" s="697"/>
      <c r="K1046" s="697"/>
      <c r="L1046" s="697"/>
      <c r="M1046" s="697"/>
      <c r="N1046" s="697"/>
      <c r="O1046" s="697"/>
      <c r="P1046" s="697"/>
      <c r="Q1046" s="697"/>
      <c r="R1046" s="697"/>
      <c r="S1046" s="697"/>
      <c r="T1046" s="697"/>
      <c r="U1046" s="697"/>
      <c r="V1046" s="698"/>
      <c r="W1046" s="698"/>
      <c r="X1046" s="698"/>
      <c r="Y1046" s="698"/>
      <c r="Z1046" s="723">
        <f>+FISCinyear!IE571</f>
        <v>0.5883615519562494</v>
      </c>
      <c r="AA1046" s="723">
        <f>+FISCinyear!IH571</f>
        <v>0</v>
      </c>
      <c r="AB1046" s="723">
        <f>+FISCinyear!IK571</f>
        <v>0</v>
      </c>
      <c r="AC1046" s="723">
        <f>+FISCinyear!IN571</f>
        <v>77.381789827000006</v>
      </c>
      <c r="AD1046" s="723"/>
      <c r="AE1046" s="723"/>
      <c r="AT1046" s="1"/>
    </row>
    <row r="1047" spans="1:46" hidden="1">
      <c r="A1047" s="1"/>
      <c r="B1047" s="1"/>
      <c r="C1047" s="1"/>
      <c r="D1047" s="699" t="s">
        <v>860</v>
      </c>
      <c r="E1047" s="74"/>
      <c r="F1047" s="697"/>
      <c r="G1047" s="697"/>
      <c r="H1047" s="697"/>
      <c r="I1047" s="697"/>
      <c r="J1047" s="697"/>
      <c r="K1047" s="697"/>
      <c r="L1047" s="697"/>
      <c r="M1047" s="697"/>
      <c r="N1047" s="697"/>
      <c r="O1047" s="697"/>
      <c r="P1047" s="697"/>
      <c r="Q1047" s="697"/>
      <c r="R1047" s="697"/>
      <c r="S1047" s="697"/>
      <c r="T1047" s="697"/>
      <c r="U1047" s="697"/>
      <c r="V1047" s="698"/>
      <c r="W1047" s="698"/>
      <c r="X1047" s="698"/>
      <c r="Y1047" s="698"/>
      <c r="Z1047" s="723">
        <f>+Z948-Z1046</f>
        <v>88.411638448043746</v>
      </c>
      <c r="AA1047" s="723">
        <f>+AA948-AA1046</f>
        <v>0</v>
      </c>
      <c r="AB1047" s="723">
        <f>+AB948-AB1046</f>
        <v>128.49930055706017</v>
      </c>
      <c r="AC1047" s="723">
        <f>+AC948-AC1046</f>
        <v>72.670963542999999</v>
      </c>
      <c r="AD1047" s="723"/>
      <c r="AE1047" s="723"/>
      <c r="AT1047" s="1"/>
    </row>
    <row r="1048" spans="1:46" hidden="1">
      <c r="A1048" s="1"/>
      <c r="B1048" s="1"/>
      <c r="C1048" s="1"/>
      <c r="D1048" s="699" t="s">
        <v>865</v>
      </c>
      <c r="E1048" s="14"/>
      <c r="F1048" s="697"/>
      <c r="G1048" s="697"/>
      <c r="H1048" s="697"/>
      <c r="I1048" s="697"/>
      <c r="J1048" s="697"/>
      <c r="K1048" s="697"/>
      <c r="L1048" s="697"/>
      <c r="M1048" s="697"/>
      <c r="N1048" s="697"/>
      <c r="O1048" s="697"/>
      <c r="P1048" s="697"/>
      <c r="Q1048" s="697"/>
      <c r="R1048" s="697"/>
      <c r="S1048" s="697"/>
      <c r="T1048" s="697"/>
      <c r="U1048" s="697"/>
      <c r="V1048" s="698"/>
      <c r="W1048" s="698"/>
      <c r="X1048" s="698"/>
      <c r="Y1048" s="698"/>
      <c r="Z1048" s="723">
        <f>+FISCinyear!IE617</f>
        <v>48.924417888999997</v>
      </c>
      <c r="AA1048" s="723">
        <f>+FISCinyear!IH617</f>
        <v>63.510415028000004</v>
      </c>
      <c r="AB1048" s="723">
        <f>+FISCinyear!IK617</f>
        <v>91.860969419000014</v>
      </c>
      <c r="AC1048" s="723">
        <f>+FISCinyear!IN617</f>
        <v>92.022713533000001</v>
      </c>
      <c r="AD1048" s="723"/>
      <c r="AE1048" s="723"/>
      <c r="AT1048" s="1"/>
    </row>
    <row r="1049" spans="1:46" hidden="1">
      <c r="A1049" s="1"/>
      <c r="B1049" s="1"/>
      <c r="C1049" s="1"/>
      <c r="D1049" s="699" t="s">
        <v>866</v>
      </c>
      <c r="E1049" s="14"/>
      <c r="F1049" s="697"/>
      <c r="G1049" s="697"/>
      <c r="H1049" s="697"/>
      <c r="I1049" s="697"/>
      <c r="J1049" s="697"/>
      <c r="K1049" s="697"/>
      <c r="L1049" s="697"/>
      <c r="M1049" s="697"/>
      <c r="N1049" s="697"/>
      <c r="O1049" s="697"/>
      <c r="P1049" s="697"/>
      <c r="Q1049" s="697"/>
      <c r="R1049" s="697"/>
      <c r="S1049" s="697"/>
      <c r="T1049" s="697"/>
      <c r="U1049" s="697"/>
      <c r="V1049" s="698"/>
      <c r="W1049" s="698"/>
      <c r="X1049" s="698"/>
      <c r="Y1049" s="698"/>
      <c r="Z1049" s="723">
        <f>+Z955-Z1048</f>
        <v>40.415582111000006</v>
      </c>
      <c r="AA1049" s="723">
        <f>+AA955-AA1048</f>
        <v>64.346308629999982</v>
      </c>
      <c r="AB1049" s="723">
        <f>+AB955-AB1048</f>
        <v>36.290492645</v>
      </c>
      <c r="AC1049" s="723">
        <f>+AC955-AC1048</f>
        <v>53.747924985999987</v>
      </c>
      <c r="AD1049" s="723"/>
      <c r="AE1049" s="723"/>
      <c r="AT1049" s="1"/>
    </row>
    <row r="1050" spans="1:46" hidden="1">
      <c r="A1050" s="1"/>
      <c r="B1050" s="1"/>
      <c r="C1050" s="1"/>
      <c r="D1050" s="699" t="s">
        <v>863</v>
      </c>
      <c r="E1050" s="14"/>
      <c r="F1050" s="697"/>
      <c r="G1050" s="697"/>
      <c r="H1050" s="697"/>
      <c r="I1050" s="697"/>
      <c r="J1050" s="697"/>
      <c r="K1050" s="697"/>
      <c r="L1050" s="697"/>
      <c r="M1050" s="697"/>
      <c r="N1050" s="697"/>
      <c r="O1050" s="697"/>
      <c r="P1050" s="697"/>
      <c r="Q1050" s="697"/>
      <c r="R1050" s="697"/>
      <c r="S1050" s="697"/>
      <c r="T1050" s="697"/>
      <c r="U1050" s="697"/>
      <c r="V1050" s="698"/>
      <c r="W1050" s="698"/>
      <c r="X1050" s="698"/>
      <c r="Y1050" s="698"/>
      <c r="Z1050" s="698"/>
      <c r="AA1050" s="698"/>
      <c r="AB1050" s="724"/>
      <c r="AC1050" s="724"/>
      <c r="AD1050" s="723"/>
      <c r="AE1050" s="723"/>
      <c r="AT1050" s="1"/>
    </row>
    <row r="1051" spans="1:46" hidden="1">
      <c r="A1051" s="1"/>
      <c r="B1051" s="1"/>
      <c r="C1051" s="1"/>
      <c r="D1051" s="699" t="s">
        <v>844</v>
      </c>
      <c r="E1051" s="14"/>
      <c r="F1051" s="697"/>
      <c r="G1051" s="697"/>
      <c r="H1051" s="697"/>
      <c r="I1051" s="697"/>
      <c r="J1051" s="697"/>
      <c r="K1051" s="697"/>
      <c r="L1051" s="697"/>
      <c r="M1051" s="697"/>
      <c r="N1051" s="697"/>
      <c r="O1051" s="697"/>
      <c r="P1051" s="697"/>
      <c r="Q1051" s="697"/>
      <c r="R1051" s="697"/>
      <c r="S1051" s="697"/>
      <c r="T1051" s="697"/>
      <c r="U1051" s="697"/>
      <c r="V1051" s="698"/>
      <c r="W1051" s="698"/>
      <c r="X1051" s="698"/>
      <c r="Y1051" s="698"/>
      <c r="Z1051" s="698"/>
      <c r="AA1051" s="698"/>
      <c r="AB1051" s="724"/>
      <c r="AC1051" s="724"/>
      <c r="AD1051" s="723"/>
      <c r="AE1051" s="723"/>
      <c r="AT1051" s="1"/>
    </row>
    <row r="1052" spans="1:46" hidden="1">
      <c r="A1052" s="1"/>
      <c r="B1052" s="1"/>
      <c r="C1052" s="1"/>
      <c r="D1052" s="699" t="s">
        <v>867</v>
      </c>
      <c r="E1052" s="14"/>
      <c r="F1052" s="697"/>
      <c r="G1052" s="697"/>
      <c r="H1052" s="697"/>
      <c r="I1052" s="697"/>
      <c r="J1052" s="697"/>
      <c r="K1052" s="697"/>
      <c r="L1052" s="697"/>
      <c r="M1052" s="697"/>
      <c r="N1052" s="697"/>
      <c r="O1052" s="697"/>
      <c r="P1052" s="697"/>
      <c r="Q1052" s="697"/>
      <c r="R1052" s="697"/>
      <c r="S1052" s="697"/>
      <c r="T1052" s="697"/>
      <c r="U1052" s="697"/>
      <c r="V1052" s="698"/>
      <c r="W1052" s="698"/>
      <c r="X1052" s="698"/>
      <c r="Y1052" s="698"/>
      <c r="Z1052" s="698"/>
      <c r="AA1052" s="698"/>
      <c r="AB1052" s="724"/>
      <c r="AC1052" s="724"/>
      <c r="AD1052" s="723"/>
      <c r="AE1052" s="723"/>
      <c r="AT1052" s="1"/>
    </row>
    <row r="1053" spans="1:46" hidden="1">
      <c r="A1053" s="1"/>
      <c r="B1053" s="1"/>
      <c r="C1053" s="1"/>
      <c r="D1053" s="699" t="s">
        <v>864</v>
      </c>
      <c r="E1053" s="14"/>
      <c r="F1053" s="697"/>
      <c r="G1053" s="697"/>
      <c r="H1053" s="697"/>
      <c r="I1053" s="697"/>
      <c r="J1053" s="697"/>
      <c r="K1053" s="697"/>
      <c r="L1053" s="697"/>
      <c r="M1053" s="697"/>
      <c r="N1053" s="697"/>
      <c r="O1053" s="697"/>
      <c r="P1053" s="697"/>
      <c r="Q1053" s="697"/>
      <c r="R1053" s="697"/>
      <c r="S1053" s="697"/>
      <c r="T1053" s="697"/>
      <c r="U1053" s="697"/>
      <c r="V1053" s="698"/>
      <c r="W1053" s="698"/>
      <c r="X1053" s="698"/>
      <c r="Y1053" s="698"/>
      <c r="Z1053" s="698"/>
      <c r="AA1053" s="698"/>
      <c r="AB1053" s="724"/>
      <c r="AC1053" s="724"/>
      <c r="AD1053" s="723"/>
      <c r="AE1053" s="723"/>
      <c r="AT1053" s="1"/>
    </row>
    <row r="1054" spans="1:46" hidden="1">
      <c r="A1054" s="1"/>
      <c r="B1054" s="1"/>
      <c r="C1054" s="1"/>
      <c r="D1054" s="559" t="s">
        <v>740</v>
      </c>
      <c r="E1054" s="14"/>
      <c r="F1054" s="14"/>
      <c r="G1054" s="14"/>
      <c r="H1054" s="14"/>
      <c r="I1054" s="14"/>
      <c r="J1054" s="14"/>
      <c r="K1054" s="14"/>
      <c r="L1054" s="14"/>
      <c r="M1054" s="14"/>
      <c r="N1054" s="14"/>
      <c r="O1054" s="14"/>
      <c r="P1054" s="14"/>
      <c r="Q1054" s="14"/>
      <c r="R1054" s="14"/>
      <c r="S1054" s="14"/>
      <c r="T1054" s="14"/>
      <c r="U1054" s="14"/>
      <c r="V1054" s="14"/>
      <c r="W1054" s="14"/>
      <c r="X1054" s="14"/>
      <c r="Y1054" s="14"/>
      <c r="Z1054" s="14"/>
      <c r="AA1054" s="14"/>
      <c r="AB1054" s="14"/>
      <c r="AC1054" s="14"/>
      <c r="AD1054" s="14"/>
      <c r="AE1054" s="14"/>
      <c r="AT1054" s="1"/>
    </row>
    <row r="1055" spans="1:46">
      <c r="A1055" s="1"/>
      <c r="B1055" s="1"/>
      <c r="C1055" s="1"/>
      <c r="D1055" s="559"/>
      <c r="E1055" s="14"/>
      <c r="F1055" s="14"/>
      <c r="G1055" s="14"/>
      <c r="H1055" s="14"/>
      <c r="I1055" s="14"/>
      <c r="J1055" s="14"/>
      <c r="K1055" s="14"/>
      <c r="L1055" s="14"/>
      <c r="M1055" s="14"/>
      <c r="N1055" s="14"/>
      <c r="O1055" s="14"/>
      <c r="P1055" s="14"/>
      <c r="Q1055" s="14"/>
      <c r="R1055" s="14"/>
      <c r="S1055" s="14"/>
      <c r="T1055" s="14"/>
      <c r="U1055" s="14"/>
      <c r="V1055" s="14"/>
      <c r="W1055" s="14"/>
      <c r="X1055" s="14"/>
      <c r="Y1055" s="14"/>
      <c r="Z1055" s="14"/>
      <c r="AA1055" s="14"/>
      <c r="AB1055" s="14"/>
      <c r="AC1055" s="14"/>
      <c r="AD1055" s="14"/>
      <c r="AE1055" s="14"/>
      <c r="AK1055" s="1114"/>
      <c r="AL1055" s="1114">
        <f>AL1066+AL1072+AL1096</f>
        <v>114.72777160263568</v>
      </c>
      <c r="AM1055" s="1114"/>
      <c r="AN1055" s="1114"/>
      <c r="AO1055" s="1114"/>
      <c r="AP1055" s="1114"/>
      <c r="AQ1055" s="1114"/>
      <c r="AR1055" s="1114"/>
      <c r="AS1055" s="1114"/>
      <c r="AT1055" s="1114"/>
    </row>
    <row r="1056" spans="1:46" ht="14.25" customHeight="1">
      <c r="A1056" s="1"/>
      <c r="B1056" s="1"/>
      <c r="C1056" s="1"/>
      <c r="D1056" s="464" t="s">
        <v>3245</v>
      </c>
      <c r="E1056" s="14"/>
      <c r="F1056" s="14"/>
      <c r="G1056" s="14"/>
      <c r="H1056" s="14"/>
      <c r="I1056" s="14"/>
      <c r="J1056" s="14"/>
      <c r="K1056" s="14"/>
      <c r="L1056" s="14"/>
      <c r="M1056" s="14"/>
      <c r="N1056" s="14"/>
      <c r="O1056" s="14"/>
      <c r="P1056" s="14"/>
      <c r="Q1056" s="14"/>
      <c r="R1056" s="14"/>
      <c r="S1056" s="14"/>
      <c r="T1056" s="14"/>
      <c r="U1056" s="14"/>
      <c r="V1056" s="14"/>
      <c r="W1056" s="14"/>
      <c r="X1056" s="14"/>
      <c r="Y1056" s="14"/>
      <c r="Z1056" s="14"/>
      <c r="AA1056" s="14"/>
      <c r="AB1056" s="14"/>
      <c r="AC1056" s="14"/>
      <c r="AD1056" s="14"/>
      <c r="AE1056" s="1564" t="s">
        <v>3221</v>
      </c>
      <c r="AF1056" s="1565" t="s">
        <v>3225</v>
      </c>
      <c r="AG1056" s="1566" t="s">
        <v>3222</v>
      </c>
      <c r="AH1056" s="106" t="s">
        <v>3223</v>
      </c>
      <c r="AI1056" s="106" t="s">
        <v>3224</v>
      </c>
    </row>
    <row r="1057" spans="1:60" ht="14.25" customHeight="1">
      <c r="A1057" s="1"/>
      <c r="B1057" s="1"/>
      <c r="C1057" s="1"/>
      <c r="D1057" s="354" t="str">
        <f>+FISCinyear!D751</f>
        <v>III.2 FISCAL  "TOFE" GFS 2014 PRESENTATION - detailed TOFE</v>
      </c>
      <c r="E1057" s="287"/>
      <c r="F1057" s="287"/>
      <c r="G1057" s="287"/>
      <c r="H1057" s="365"/>
      <c r="I1057" s="365" t="str">
        <f t="shared" ref="I1057:AU1057" si="1274">I420</f>
        <v>1997/98</v>
      </c>
      <c r="J1057" s="365" t="str">
        <f t="shared" si="1274"/>
        <v>1998/99</v>
      </c>
      <c r="K1057" s="365" t="str">
        <f t="shared" si="1274"/>
        <v>1999/00</v>
      </c>
      <c r="L1057" s="365" t="str">
        <f t="shared" si="1274"/>
        <v>2000/01</v>
      </c>
      <c r="M1057" s="365" t="str">
        <f t="shared" si="1274"/>
        <v>2001/02</v>
      </c>
      <c r="N1057" s="365" t="str">
        <f t="shared" si="1274"/>
        <v>2002/03</v>
      </c>
      <c r="O1057" s="365" t="str">
        <f t="shared" si="1274"/>
        <v>2003/04</v>
      </c>
      <c r="P1057" s="365" t="str">
        <f t="shared" si="1274"/>
        <v>2004/05</v>
      </c>
      <c r="Q1057" s="365" t="str">
        <f t="shared" si="1274"/>
        <v>2005/06</v>
      </c>
      <c r="R1057" s="365" t="str">
        <f t="shared" si="1274"/>
        <v>2006/07</v>
      </c>
      <c r="S1057" s="365" t="str">
        <f t="shared" si="1274"/>
        <v>2007/08</v>
      </c>
      <c r="T1057" s="365" t="str">
        <f t="shared" si="1274"/>
        <v>2008/09</v>
      </c>
      <c r="U1057" s="365" t="str">
        <f t="shared" si="1274"/>
        <v>2009/10</v>
      </c>
      <c r="V1057" s="365" t="str">
        <f t="shared" si="1274"/>
        <v>2010/11</v>
      </c>
      <c r="W1057" s="365" t="str">
        <f t="shared" si="1274"/>
        <v>2011/12</v>
      </c>
      <c r="X1057" s="365" t="str">
        <f t="shared" si="1274"/>
        <v>2012/13</v>
      </c>
      <c r="Y1057" s="365" t="str">
        <f t="shared" si="1274"/>
        <v>2013/14</v>
      </c>
      <c r="Z1057" s="365" t="str">
        <f t="shared" si="1274"/>
        <v>2014/15</v>
      </c>
      <c r="AA1057" s="365" t="str">
        <f t="shared" si="1274"/>
        <v>2015/16</v>
      </c>
      <c r="AB1057" s="365" t="str">
        <f t="shared" si="1274"/>
        <v>2016/17</v>
      </c>
      <c r="AC1057" s="365" t="str">
        <f t="shared" si="1274"/>
        <v>2017/18</v>
      </c>
      <c r="AD1057" s="365" t="str">
        <f t="shared" si="1274"/>
        <v>2018/19</v>
      </c>
      <c r="AE1057" s="365" t="str">
        <f t="shared" si="1274"/>
        <v>2019/20</v>
      </c>
      <c r="AF1057" s="365" t="str">
        <f t="shared" si="1274"/>
        <v>2020/21</v>
      </c>
      <c r="AG1057" s="365" t="str">
        <f t="shared" si="1274"/>
        <v>2021/22</v>
      </c>
      <c r="AH1057" s="365" t="str">
        <f t="shared" si="1274"/>
        <v>2022/23</v>
      </c>
      <c r="AI1057" s="365" t="str">
        <f t="shared" si="1274"/>
        <v>2023/24</v>
      </c>
      <c r="AJ1057" s="365" t="str">
        <f t="shared" si="1274"/>
        <v>2024/25</v>
      </c>
      <c r="AK1057" s="365" t="str">
        <f t="shared" si="1274"/>
        <v>2025/26</v>
      </c>
      <c r="AL1057" s="365" t="str">
        <f t="shared" si="1274"/>
        <v>2026/27</v>
      </c>
      <c r="AM1057" s="365" t="str">
        <f t="shared" si="1274"/>
        <v>2027/28</v>
      </c>
      <c r="AN1057" s="365" t="str">
        <f t="shared" si="1274"/>
        <v>2028/29</v>
      </c>
      <c r="AO1057" s="365" t="str">
        <f t="shared" si="1274"/>
        <v>2029/30</v>
      </c>
      <c r="AP1057" s="365" t="str">
        <f t="shared" si="1274"/>
        <v>2030/31</v>
      </c>
      <c r="AQ1057" s="365" t="str">
        <f t="shared" si="1274"/>
        <v>2031/32</v>
      </c>
      <c r="AR1057" s="365" t="str">
        <f t="shared" si="1274"/>
        <v>2032/33</v>
      </c>
      <c r="AS1057" s="365" t="str">
        <f t="shared" si="1274"/>
        <v>2033/34</v>
      </c>
      <c r="AT1057" s="365" t="str">
        <f t="shared" si="1274"/>
        <v>2034/35</v>
      </c>
      <c r="AU1057" s="365" t="str">
        <f t="shared" si="1274"/>
        <v>2035/36</v>
      </c>
      <c r="AV1057" s="365"/>
      <c r="AW1057" s="968"/>
    </row>
    <row r="1058" spans="1:60" ht="14.25" customHeight="1">
      <c r="A1058" s="1"/>
      <c r="B1058" s="1"/>
      <c r="C1058" s="1"/>
      <c r="D1058" s="355"/>
      <c r="E1058" s="279"/>
      <c r="F1058" s="279"/>
      <c r="G1058" s="279"/>
      <c r="H1058" s="279"/>
      <c r="I1058" s="279"/>
      <c r="J1058" s="279"/>
      <c r="K1058" s="279"/>
      <c r="L1058" s="279"/>
      <c r="M1058" s="279"/>
      <c r="N1058" s="279"/>
      <c r="O1058" s="279"/>
      <c r="P1058" s="279"/>
      <c r="Q1058" s="279"/>
      <c r="R1058" s="664"/>
      <c r="S1058" s="279"/>
      <c r="T1058" s="279"/>
      <c r="U1058" s="279"/>
      <c r="V1058" s="279"/>
      <c r="W1058" s="279"/>
      <c r="X1058" s="279">
        <f t="shared" ref="X1058:AC1058" si="1275">X1061-W1061</f>
        <v>53.53795364000004</v>
      </c>
      <c r="Y1058" s="279">
        <f>Y1061-X1061</f>
        <v>445.95582108419995</v>
      </c>
      <c r="Z1058" s="279">
        <f t="shared" si="1275"/>
        <v>102.24400561560014</v>
      </c>
      <c r="AA1058" s="279">
        <f t="shared" si="1275"/>
        <v>170.12946904617547</v>
      </c>
      <c r="AB1058" s="279">
        <f t="shared" si="1275"/>
        <v>32.041925329790274</v>
      </c>
      <c r="AC1058" s="279">
        <f t="shared" si="1275"/>
        <v>127.70248759613992</v>
      </c>
      <c r="AD1058" s="279">
        <f>AD1061-AC1061</f>
        <v>242.41059610697152</v>
      </c>
      <c r="AE1058" s="279">
        <f t="shared" ref="AE1058:AG1058" si="1276">AE1061-AD1061</f>
        <v>73.08645586945886</v>
      </c>
      <c r="AF1058" s="279">
        <f t="shared" si="1276"/>
        <v>146.08056820849879</v>
      </c>
      <c r="AG1058" s="279">
        <f t="shared" si="1276"/>
        <v>255.08430865202718</v>
      </c>
      <c r="AH1058" s="279">
        <f>AH1061-AG1061</f>
        <v>410.59820566387816</v>
      </c>
      <c r="AI1058" s="279">
        <f t="shared" ref="AI1058:AN1058" si="1277">AI1061-AH1061</f>
        <v>305.9497275925869</v>
      </c>
      <c r="AJ1058" s="279">
        <f t="shared" si="1277"/>
        <v>471.74503162805922</v>
      </c>
      <c r="AK1058" s="279">
        <f t="shared" si="1277"/>
        <v>721.88052849239875</v>
      </c>
      <c r="AL1058" s="279">
        <f t="shared" si="1277"/>
        <v>754.3447676347173</v>
      </c>
      <c r="AM1058" s="279">
        <f>AM1061-AL1061</f>
        <v>695.35278527403534</v>
      </c>
      <c r="AN1058" s="279">
        <f t="shared" si="1277"/>
        <v>748.60378595072507</v>
      </c>
      <c r="AO1058" s="279">
        <f>AO1061-AN1061</f>
        <v>855.14859994772451</v>
      </c>
      <c r="AP1058" s="279"/>
      <c r="AQ1058" s="279"/>
      <c r="AR1058" s="279"/>
      <c r="AS1058" s="279"/>
      <c r="AT1058" s="327"/>
      <c r="AU1058" s="327"/>
      <c r="AV1058" s="327"/>
      <c r="AW1058" s="1916"/>
      <c r="AX1058" s="1916"/>
      <c r="AY1058" s="1916"/>
      <c r="AZ1058" s="1916"/>
      <c r="BA1058" s="1916"/>
    </row>
    <row r="1059" spans="1:60" ht="14.25" customHeight="1">
      <c r="A1059" s="1"/>
      <c r="B1059" s="1"/>
      <c r="C1059" s="1"/>
      <c r="D1059" s="356" t="str">
        <f>+D1057</f>
        <v>III.2 FISCAL  "TOFE" GFS 2014 PRESENTATION - detailed TOFE</v>
      </c>
      <c r="E1059" s="1231"/>
      <c r="F1059" s="323"/>
      <c r="G1059" s="323"/>
      <c r="H1059" s="323"/>
      <c r="I1059" s="323"/>
      <c r="J1059" s="323"/>
      <c r="K1059" s="323"/>
      <c r="L1059" s="323"/>
      <c r="M1059" s="323"/>
      <c r="N1059" s="323"/>
      <c r="O1059" s="323"/>
      <c r="P1059" s="323"/>
      <c r="Q1059" s="323"/>
      <c r="R1059" s="323"/>
      <c r="S1059" s="323"/>
      <c r="T1059" s="323"/>
      <c r="U1059" s="323"/>
      <c r="V1059" s="370" t="s">
        <v>173</v>
      </c>
      <c r="W1059" s="370" t="s">
        <v>174</v>
      </c>
      <c r="X1059" s="370" t="s">
        <v>175</v>
      </c>
      <c r="Y1059" s="370" t="s">
        <v>176</v>
      </c>
      <c r="Z1059" s="370" t="s">
        <v>177</v>
      </c>
      <c r="AA1059" s="370" t="s">
        <v>178</v>
      </c>
      <c r="AB1059" s="370" t="s">
        <v>179</v>
      </c>
      <c r="AC1059" s="370" t="s">
        <v>180</v>
      </c>
      <c r="AD1059" s="370" t="s">
        <v>181</v>
      </c>
      <c r="AE1059" s="370" t="s">
        <v>182</v>
      </c>
      <c r="AF1059" s="370" t="str">
        <f t="shared" ref="AF1059:AU1059" si="1278">AF420</f>
        <v>2020/21</v>
      </c>
      <c r="AG1059" s="370" t="str">
        <f t="shared" si="1278"/>
        <v>2021/22</v>
      </c>
      <c r="AH1059" s="370" t="str">
        <f t="shared" si="1278"/>
        <v>2022/23</v>
      </c>
      <c r="AI1059" s="370" t="str">
        <f t="shared" si="1278"/>
        <v>2023/24</v>
      </c>
      <c r="AJ1059" s="370" t="str">
        <f t="shared" si="1278"/>
        <v>2024/25</v>
      </c>
      <c r="AK1059" s="370" t="str">
        <f t="shared" si="1278"/>
        <v>2025/26</v>
      </c>
      <c r="AL1059" s="370" t="str">
        <f t="shared" si="1278"/>
        <v>2026/27</v>
      </c>
      <c r="AM1059" s="370" t="str">
        <f t="shared" si="1278"/>
        <v>2027/28</v>
      </c>
      <c r="AN1059" s="370" t="str">
        <f t="shared" si="1278"/>
        <v>2028/29</v>
      </c>
      <c r="AO1059" s="370" t="str">
        <f t="shared" si="1278"/>
        <v>2029/30</v>
      </c>
      <c r="AP1059" s="370" t="str">
        <f t="shared" si="1278"/>
        <v>2030/31</v>
      </c>
      <c r="AQ1059" s="370" t="str">
        <f t="shared" si="1278"/>
        <v>2031/32</v>
      </c>
      <c r="AR1059" s="370" t="str">
        <f t="shared" si="1278"/>
        <v>2032/33</v>
      </c>
      <c r="AS1059" s="370" t="str">
        <f t="shared" si="1278"/>
        <v>2033/34</v>
      </c>
      <c r="AT1059" s="370" t="str">
        <f t="shared" si="1278"/>
        <v>2034/35</v>
      </c>
      <c r="AU1059" s="370" t="str">
        <f t="shared" si="1278"/>
        <v>2035/36</v>
      </c>
      <c r="AV1059" s="370"/>
      <c r="AY1059" s="1114"/>
      <c r="AZ1059" s="1114"/>
      <c r="BA1059" s="1114"/>
      <c r="BB1059" s="1114"/>
    </row>
    <row r="1060" spans="1:60" ht="14.25" customHeight="1">
      <c r="A1060" s="1"/>
      <c r="B1060" s="1"/>
      <c r="C1060" s="1"/>
      <c r="D1060" s="2129" t="s">
        <v>624</v>
      </c>
      <c r="E1060" s="1231"/>
      <c r="F1060" s="323"/>
      <c r="G1060" s="323"/>
      <c r="H1060" s="323"/>
      <c r="I1060" s="323"/>
      <c r="J1060" s="323"/>
      <c r="K1060" s="323"/>
      <c r="L1060" s="323"/>
      <c r="M1060" s="323"/>
      <c r="N1060" s="323"/>
      <c r="O1060" s="323"/>
      <c r="P1060" s="323"/>
      <c r="Q1060" s="323"/>
      <c r="R1060" s="323"/>
      <c r="S1060" s="323"/>
      <c r="T1060" s="323"/>
      <c r="U1060" s="323"/>
      <c r="V1060" s="377">
        <f>+V1061+V1119+V1132</f>
        <v>580.54850257600003</v>
      </c>
      <c r="W1060" s="377">
        <f>+W1061+W1119+W1132</f>
        <v>720.6</v>
      </c>
      <c r="X1060" s="377">
        <f>+X1061+X1119+X1132</f>
        <v>731.43795363999993</v>
      </c>
      <c r="Y1060" s="1385">
        <f>FISCinyear!ID754</f>
        <v>1338.7904887842926</v>
      </c>
      <c r="Z1060" s="1385">
        <f>FISCinyear!IG754</f>
        <v>1418.7067005752942</v>
      </c>
      <c r="AA1060" s="1385">
        <f>FISCinyear!IJ754</f>
        <v>1541.6771034459716</v>
      </c>
      <c r="AB1060" s="1426">
        <f>FISCinyear!IM754</f>
        <v>1595.7505479915064</v>
      </c>
      <c r="AC1060" s="1426">
        <f>FISCinyear!IP754</f>
        <v>1781.5506526424247</v>
      </c>
      <c r="AD1060" s="1426">
        <f>FISCinyear!IS754</f>
        <v>2065.0273714377413</v>
      </c>
      <c r="AE1060" s="1426">
        <f>FISCinyear!IV754+AE1151</f>
        <v>2203.0901479640534</v>
      </c>
      <c r="AF1060" s="1426">
        <f>FISCinyear!IY754</f>
        <v>2568.1911970880878</v>
      </c>
      <c r="AG1060" s="1426">
        <f>FISCinyear!JB754</f>
        <v>3102.1830053361036</v>
      </c>
      <c r="AH1060" s="1426">
        <f>FISCinyear!JE754</f>
        <v>3399.5671834663381</v>
      </c>
      <c r="AI1060" s="1426">
        <f>FISCinyear!JH754</f>
        <v>3811.1283616710434</v>
      </c>
      <c r="AJ1060" s="1426">
        <f>FISCinyear!JK754</f>
        <v>4173.9710730474917</v>
      </c>
      <c r="AK1060" s="1426">
        <f t="shared" ref="AK1060:AU1060" si="1279">+AK1061+AK1119+AK1132</f>
        <v>5009.107316346327</v>
      </c>
      <c r="AL1060" s="1426">
        <f>+AL1061+AL1119+AL1132</f>
        <v>5699.0542939759362</v>
      </c>
      <c r="AM1060" s="1426">
        <f t="shared" si="1279"/>
        <v>6532.4817386167815</v>
      </c>
      <c r="AN1060" s="1426">
        <f t="shared" si="1279"/>
        <v>7366.7899456167024</v>
      </c>
      <c r="AO1060" s="1426">
        <f t="shared" si="1279"/>
        <v>8347.0312750893245</v>
      </c>
      <c r="AP1060" s="1426">
        <f t="shared" si="1279"/>
        <v>9407.0700004552964</v>
      </c>
      <c r="AQ1060" s="1426">
        <f t="shared" si="1279"/>
        <v>10542.223906915666</v>
      </c>
      <c r="AR1060" s="1426">
        <f t="shared" si="1279"/>
        <v>11770.192048466168</v>
      </c>
      <c r="AS1060" s="1426">
        <f t="shared" si="1279"/>
        <v>13159.436446995243</v>
      </c>
      <c r="AT1060" s="1426">
        <f t="shared" si="1279"/>
        <v>17060.103553957015</v>
      </c>
      <c r="AU1060" s="1426">
        <f t="shared" si="1279"/>
        <v>22349.257415787655</v>
      </c>
      <c r="AV1060" s="1426">
        <f>AT1060/AS1060-1</f>
        <v>0.29641596907840451</v>
      </c>
      <c r="AW1060" s="1916"/>
      <c r="AX1060" s="1916"/>
      <c r="AY1060" s="1916"/>
      <c r="AZ1060" s="1916"/>
      <c r="BA1060" s="1916"/>
      <c r="BB1060" s="1916"/>
      <c r="BC1060" s="1916"/>
      <c r="BD1060" s="1916"/>
      <c r="BE1060" s="1916"/>
      <c r="BF1060" s="1916"/>
      <c r="BG1060" s="1916"/>
      <c r="BH1060" s="1915"/>
    </row>
    <row r="1061" spans="1:60" ht="14.25" customHeight="1">
      <c r="A1061" s="1"/>
      <c r="B1061" s="1"/>
      <c r="C1061" s="1"/>
      <c r="D1061" s="1229" t="str">
        <f>+FISCinyear!D755</f>
        <v xml:space="preserve">Taxes </v>
      </c>
      <c r="E1061" s="1231"/>
      <c r="F1061" s="323"/>
      <c r="G1061" s="323"/>
      <c r="H1061" s="323"/>
      <c r="I1061" s="323"/>
      <c r="J1061" s="323"/>
      <c r="K1061" s="323"/>
      <c r="L1061" s="323"/>
      <c r="M1061" s="323"/>
      <c r="N1061" s="323"/>
      <c r="O1061" s="323"/>
      <c r="P1061" s="323"/>
      <c r="Q1061" s="323"/>
      <c r="R1061" s="323"/>
      <c r="S1061" s="323"/>
      <c r="T1061" s="323"/>
      <c r="U1061" s="323"/>
      <c r="V1061" s="1386">
        <f>V1062+V1069+V1070+V1077+V1099+V1108</f>
        <v>180.9</v>
      </c>
      <c r="W1061" s="1386">
        <f>W1062+W1069+W1070+W1077+W1099+W1108</f>
        <v>228.49999999999997</v>
      </c>
      <c r="X1061" s="1386">
        <f>X1062+X1069+X1070+X1077+X1099+X1108</f>
        <v>282.03795364000001</v>
      </c>
      <c r="Y1061" s="1387">
        <f>FISCinyear!ID755</f>
        <v>727.99377472419997</v>
      </c>
      <c r="Z1061" s="1387">
        <f>FISCinyear!IG755</f>
        <v>830.23778033980011</v>
      </c>
      <c r="AA1061" s="1387">
        <f>FISCinyear!IJ755</f>
        <v>1000.3672493859756</v>
      </c>
      <c r="AB1061" s="1387">
        <f>FISCinyear!IM755</f>
        <v>1032.4091747157659</v>
      </c>
      <c r="AC1061" s="1387">
        <f>FISCinyear!IP755</f>
        <v>1160.1116623119058</v>
      </c>
      <c r="AD1061" s="1387">
        <f>FISCinyear!IS755</f>
        <v>1402.5222584188773</v>
      </c>
      <c r="AE1061" s="1387">
        <f>FISCinyear!IV755</f>
        <v>1475.6087142883362</v>
      </c>
      <c r="AF1061" s="1387">
        <f>FISCinyear!IY755</f>
        <v>1621.6892824968349</v>
      </c>
      <c r="AG1061" s="1387">
        <f>FISCinyear!JB755</f>
        <v>1876.7735911488621</v>
      </c>
      <c r="AH1061" s="1387">
        <f>FISCinyear!JE755</f>
        <v>2287.3717968127403</v>
      </c>
      <c r="AI1061" s="1387">
        <f>FISCinyear!JH755</f>
        <v>2593.3215244053272</v>
      </c>
      <c r="AJ1061" s="1387">
        <f>FISCinyear!JK755</f>
        <v>3065.0665560333864</v>
      </c>
      <c r="AK1061" s="1435">
        <f>AK1062+AK1069+AK1070+AK1077+AK1099+AK1108</f>
        <v>3786.9470845257852</v>
      </c>
      <c r="AL1061" s="1435">
        <f t="shared" ref="AL1061:AU1061" si="1280">AL1062+AL1069+AL1070+AL1077+AL1099+AL1108</f>
        <v>4541.2918521605025</v>
      </c>
      <c r="AM1061" s="1435">
        <f t="shared" si="1280"/>
        <v>5236.6446374345378</v>
      </c>
      <c r="AN1061" s="1435">
        <f t="shared" si="1280"/>
        <v>5985.2484233852629</v>
      </c>
      <c r="AO1061" s="1435">
        <f t="shared" si="1280"/>
        <v>6840.3970233329874</v>
      </c>
      <c r="AP1061" s="1435">
        <f t="shared" si="1280"/>
        <v>7709.322597918529</v>
      </c>
      <c r="AQ1061" s="1435">
        <f t="shared" si="1280"/>
        <v>8611.0130655553039</v>
      </c>
      <c r="AR1061" s="1435">
        <f t="shared" si="1280"/>
        <v>9700.9391138963729</v>
      </c>
      <c r="AS1061" s="1435">
        <f>AS1062+AS1069+AS1070+AS1077+AS1099+AS1108</f>
        <v>10937.966771857076</v>
      </c>
      <c r="AT1061" s="1435">
        <f t="shared" si="1280"/>
        <v>14287.275206591479</v>
      </c>
      <c r="AU1061" s="1435">
        <f t="shared" si="1280"/>
        <v>18707.365977803536</v>
      </c>
      <c r="AV1061" s="1435">
        <f t="shared" ref="AV1061:AV1124" si="1281">AT1061/AS1061-1</f>
        <v>0.3062094175813399</v>
      </c>
      <c r="AW1061" s="1916"/>
      <c r="AX1061" s="1916"/>
      <c r="AY1061" s="1916"/>
      <c r="AZ1061" s="1916"/>
      <c r="BA1061" s="1916"/>
      <c r="BB1061" s="1916"/>
      <c r="BC1061" s="1916"/>
      <c r="BD1061" s="1916"/>
      <c r="BE1061" s="1916"/>
      <c r="BF1061" s="1916"/>
      <c r="BG1061" s="1916"/>
      <c r="BH1061" s="1915"/>
    </row>
    <row r="1062" spans="1:60" ht="14.25" customHeight="1">
      <c r="A1062" s="1"/>
      <c r="B1062" s="1"/>
      <c r="C1062" s="1230">
        <v>111</v>
      </c>
      <c r="D1062" s="358" t="str">
        <f>+FISCinyear!D756</f>
        <v xml:space="preserve">Taxes on income, profits, and capital gains </v>
      </c>
      <c r="E1062" s="1231"/>
      <c r="F1062" s="323"/>
      <c r="G1062" s="323"/>
      <c r="H1062" s="323"/>
      <c r="I1062" s="323"/>
      <c r="J1062" s="323"/>
      <c r="K1062" s="323"/>
      <c r="L1062" s="323"/>
      <c r="M1062" s="323"/>
      <c r="N1062" s="323"/>
      <c r="O1062" s="323"/>
      <c r="P1062" s="323"/>
      <c r="Q1062" s="323"/>
      <c r="R1062" s="323"/>
      <c r="S1062" s="323"/>
      <c r="T1062" s="323"/>
      <c r="U1062" s="323"/>
      <c r="V1062" s="376">
        <f>V1063+V1067+V1068</f>
        <v>180.9</v>
      </c>
      <c r="W1062" s="376">
        <f>W1063+W1067+W1068</f>
        <v>228.49999999999997</v>
      </c>
      <c r="X1062" s="376">
        <f>X1063+X1067+X1068</f>
        <v>282.03795364000001</v>
      </c>
      <c r="Y1062" s="1385">
        <f>FISCinyear!ID756</f>
        <v>287.88498083000002</v>
      </c>
      <c r="Z1062" s="1385">
        <f>FISCinyear!IG756</f>
        <v>341.91875787000004</v>
      </c>
      <c r="AA1062" s="1385">
        <f>FISCinyear!IJ756</f>
        <v>406.98706483391464</v>
      </c>
      <c r="AB1062" s="1385">
        <f>FISCinyear!IM756</f>
        <v>421.11287171799745</v>
      </c>
      <c r="AC1062" s="1385">
        <f>FISCinyear!IP756</f>
        <v>471.42647422296494</v>
      </c>
      <c r="AD1062" s="1385">
        <f>FISCinyear!IS756</f>
        <v>595.37385272420011</v>
      </c>
      <c r="AE1062" s="1385">
        <f>FISCinyear!IV756</f>
        <v>641.47554394712381</v>
      </c>
      <c r="AF1062" s="1385">
        <f>FISCinyear!IY756</f>
        <v>702.55260756047778</v>
      </c>
      <c r="AG1062" s="1385">
        <f>FISCinyear!JB756</f>
        <v>853.55684608539536</v>
      </c>
      <c r="AH1062" s="1385">
        <f>FISCinyear!JE756</f>
        <v>1022.742125332979</v>
      </c>
      <c r="AI1062" s="1385">
        <f>FISCinyear!JH756</f>
        <v>1178.5718488090074</v>
      </c>
      <c r="AJ1062" s="1385">
        <f>FISCinyear!JK756</f>
        <v>1357.4164231816922</v>
      </c>
      <c r="AK1062" s="1435">
        <f>AK1063+AK1067+AK1068</f>
        <v>1565.5900361645552</v>
      </c>
      <c r="AL1062" s="1435">
        <f t="shared" ref="AL1062:AU1062" si="1282">AL1063+AL1067+AL1068</f>
        <v>1874.5924069587008</v>
      </c>
      <c r="AM1062" s="1435">
        <f t="shared" si="1282"/>
        <v>2180.1016410253937</v>
      </c>
      <c r="AN1062" s="1435">
        <f>AN1063+AN1067+AN1068</f>
        <v>2499.4026611882477</v>
      </c>
      <c r="AO1062" s="1435">
        <f t="shared" si="1282"/>
        <v>2844.8689201059005</v>
      </c>
      <c r="AP1062" s="1435">
        <f t="shared" si="1282"/>
        <v>3240.5909643534137</v>
      </c>
      <c r="AQ1062" s="1435">
        <f t="shared" si="1282"/>
        <v>3733.5070219140298</v>
      </c>
      <c r="AR1062" s="1435">
        <f t="shared" si="1282"/>
        <v>4298.6391784696343</v>
      </c>
      <c r="AS1062" s="1435">
        <f t="shared" si="1282"/>
        <v>4897.9952046980416</v>
      </c>
      <c r="AT1062" s="1435">
        <f t="shared" si="1282"/>
        <v>6558.1877304826594</v>
      </c>
      <c r="AU1062" s="1435">
        <f t="shared" si="1282"/>
        <v>8795.7569747090129</v>
      </c>
      <c r="AV1062" s="1435">
        <f t="shared" si="1281"/>
        <v>0.33895348125130886</v>
      </c>
      <c r="AY1062" s="1114"/>
      <c r="AZ1062" s="1114"/>
      <c r="BA1062" s="1114"/>
      <c r="BB1062" s="1114"/>
      <c r="BC1062" s="1916"/>
      <c r="BD1062" s="1916"/>
      <c r="BE1062" s="1916"/>
      <c r="BF1062" s="1916"/>
      <c r="BG1062" s="1916"/>
      <c r="BH1062" s="1915"/>
    </row>
    <row r="1063" spans="1:60" ht="14.25" customHeight="1">
      <c r="A1063" s="1"/>
      <c r="B1063" s="1"/>
      <c r="C1063" s="1"/>
      <c r="D1063" s="360" t="s">
        <v>464</v>
      </c>
      <c r="E1063" s="1231" t="s">
        <v>30</v>
      </c>
      <c r="F1063" s="323"/>
      <c r="G1063" s="323"/>
      <c r="H1063" s="323"/>
      <c r="I1063" s="323"/>
      <c r="J1063" s="323"/>
      <c r="K1063" s="323"/>
      <c r="L1063" s="323"/>
      <c r="M1063" s="323"/>
      <c r="N1063" s="323"/>
      <c r="O1063" s="323"/>
      <c r="P1063" s="323"/>
      <c r="Q1063" s="323"/>
      <c r="R1063" s="323"/>
      <c r="S1063" s="323"/>
      <c r="T1063" s="323"/>
      <c r="U1063" s="323"/>
      <c r="V1063" s="105">
        <v>180.9</v>
      </c>
      <c r="W1063" s="105">
        <v>228.49999999999997</v>
      </c>
      <c r="X1063" s="105">
        <v>282.03795364000001</v>
      </c>
      <c r="Y1063" s="676">
        <f>FISCinyear!ID757</f>
        <v>234.45272019200002</v>
      </c>
      <c r="Z1063" s="676">
        <f>FISCinyear!IG757</f>
        <v>266.64751284800002</v>
      </c>
      <c r="AA1063" s="676">
        <f>FISCinyear!IJ757</f>
        <v>327.02110623809989</v>
      </c>
      <c r="AB1063" s="676">
        <f>FISCinyear!IM757</f>
        <v>341.59338723121795</v>
      </c>
      <c r="AC1063" s="676">
        <f>FISCinyear!IP757</f>
        <v>373.31310573251915</v>
      </c>
      <c r="AD1063" s="676">
        <f>FISCinyear!IS757</f>
        <v>320.90121919213806</v>
      </c>
      <c r="AE1063" s="676">
        <f>FISCinyear!IV757</f>
        <v>501.71997872411737</v>
      </c>
      <c r="AF1063" s="676">
        <f>FISCinyear!IY757</f>
        <v>552.97350271286916</v>
      </c>
      <c r="AG1063" s="676">
        <f>FISCinyear!JB757</f>
        <v>653.12490821150595</v>
      </c>
      <c r="AH1063" s="676">
        <f>FISCinyear!JE757</f>
        <v>746.05342489910493</v>
      </c>
      <c r="AI1063" s="676">
        <f>FISCinyear!JH757</f>
        <v>816.84175311297952</v>
      </c>
      <c r="AJ1063" s="676">
        <f>FISCinyear!JK757</f>
        <v>944.89946240769223</v>
      </c>
      <c r="AK1063" s="105">
        <f>AK423*AK440</f>
        <v>782.79118364631518</v>
      </c>
      <c r="AL1063" s="105">
        <f t="shared" ref="AL1063:AT1063" si="1283">AL423*AL440</f>
        <v>904.10723001583608</v>
      </c>
      <c r="AM1063" s="105">
        <f t="shared" si="1283"/>
        <v>1045.9847850887004</v>
      </c>
      <c r="AN1063" s="105">
        <f t="shared" si="1283"/>
        <v>1192.8734311482804</v>
      </c>
      <c r="AO1063" s="105">
        <f t="shared" si="1283"/>
        <v>1359.351806210587</v>
      </c>
      <c r="AP1063" s="105">
        <f t="shared" si="1283"/>
        <v>1530.8018365507355</v>
      </c>
      <c r="AQ1063" s="105">
        <f t="shared" si="1283"/>
        <v>1735.9505595820888</v>
      </c>
      <c r="AR1063" s="105">
        <f t="shared" si="1283"/>
        <v>1966.4966882598808</v>
      </c>
      <c r="AS1063" s="105">
        <f t="shared" si="1283"/>
        <v>2211.0327484454588</v>
      </c>
      <c r="AT1063" s="105">
        <f t="shared" si="1283"/>
        <v>2827.1735747296116</v>
      </c>
      <c r="AU1063" s="105">
        <f t="shared" ref="AU1063:AU1123" si="1284">AT1063*(1+AV1063)</f>
        <v>3615.0122277786686</v>
      </c>
      <c r="AV1063" s="105">
        <f t="shared" si="1281"/>
        <v>0.27866653115714879</v>
      </c>
      <c r="AY1063" s="3052"/>
      <c r="BH1063" s="1915"/>
    </row>
    <row r="1064" spans="1:60" ht="14.25" customHeight="1">
      <c r="A1064" s="1"/>
      <c r="B1064" s="1"/>
      <c r="C1064" s="1"/>
      <c r="D1064" s="1395" t="s">
        <v>3715</v>
      </c>
      <c r="E1064" s="1231"/>
      <c r="F1064" s="323"/>
      <c r="G1064" s="323"/>
      <c r="H1064" s="323"/>
      <c r="I1064" s="323"/>
      <c r="J1064" s="323"/>
      <c r="K1064" s="323"/>
      <c r="L1064" s="323"/>
      <c r="M1064" s="323"/>
      <c r="N1064" s="323"/>
      <c r="O1064" s="323"/>
      <c r="P1064" s="323"/>
      <c r="Q1064" s="323"/>
      <c r="R1064" s="323"/>
      <c r="S1064" s="323"/>
      <c r="T1064" s="323"/>
      <c r="U1064" s="323"/>
      <c r="V1064" s="105"/>
      <c r="W1064" s="105"/>
      <c r="X1064" s="105"/>
      <c r="Y1064" s="676"/>
      <c r="Z1064" s="676"/>
      <c r="AA1064" s="676"/>
      <c r="AB1064" s="676"/>
      <c r="AC1064" s="676"/>
      <c r="AD1064" s="676"/>
      <c r="AE1064" s="676">
        <f>FISCinyear!IV758</f>
        <v>0</v>
      </c>
      <c r="AF1064" s="676">
        <f>FISCinyear!IY758</f>
        <v>0</v>
      </c>
      <c r="AG1064" s="676">
        <f>FISCinyear!JB758</f>
        <v>0</v>
      </c>
      <c r="AH1064" s="676">
        <f>FISCinyear!JE758</f>
        <v>517.07947237983672</v>
      </c>
      <c r="AI1064" s="676">
        <f>FISCinyear!JH758</f>
        <v>570.39459833900014</v>
      </c>
      <c r="AJ1064" s="676">
        <f>FISCinyear!JK758</f>
        <v>639.64512353300006</v>
      </c>
      <c r="AK1064" s="1754">
        <f t="shared" ref="AK1064:AO1064" si="1285">AK448*AK423</f>
        <v>688.30876084705164</v>
      </c>
      <c r="AL1064" s="1754">
        <f t="shared" si="1285"/>
        <v>738.74387047408584</v>
      </c>
      <c r="AM1064" s="1754">
        <f t="shared" si="1285"/>
        <v>791.61441051646807</v>
      </c>
      <c r="AN1064" s="1754">
        <f t="shared" si="1285"/>
        <v>854.11146815551058</v>
      </c>
      <c r="AO1064" s="1754">
        <f t="shared" si="1285"/>
        <v>921.87750854338913</v>
      </c>
      <c r="AP1064" s="105"/>
      <c r="AQ1064" s="105"/>
      <c r="AR1064" s="105"/>
      <c r="AS1064" s="105"/>
      <c r="AT1064" s="105"/>
      <c r="AU1064" s="105"/>
      <c r="AV1064" s="105" t="e">
        <f t="shared" si="1281"/>
        <v>#DIV/0!</v>
      </c>
      <c r="AX1064" s="3064"/>
      <c r="AY1064" s="3052"/>
      <c r="BH1064" s="1915"/>
    </row>
    <row r="1065" spans="1:60" ht="14.25" customHeight="1">
      <c r="A1065" s="1"/>
      <c r="B1065" s="1"/>
      <c r="C1065" s="1"/>
      <c r="D1065" s="1395" t="s">
        <v>3716</v>
      </c>
      <c r="E1065" s="1231"/>
      <c r="F1065" s="323"/>
      <c r="G1065" s="323"/>
      <c r="H1065" s="323"/>
      <c r="I1065" s="323"/>
      <c r="J1065" s="323"/>
      <c r="K1065" s="323"/>
      <c r="L1065" s="323"/>
      <c r="M1065" s="323"/>
      <c r="N1065" s="323"/>
      <c r="O1065" s="323"/>
      <c r="P1065" s="323"/>
      <c r="Q1065" s="323"/>
      <c r="R1065" s="323"/>
      <c r="S1065" s="323"/>
      <c r="T1065" s="323"/>
      <c r="U1065" s="323"/>
      <c r="V1065" s="105"/>
      <c r="W1065" s="105"/>
      <c r="X1065" s="105"/>
      <c r="Y1065" s="676"/>
      <c r="Z1065" s="676"/>
      <c r="AA1065" s="676"/>
      <c r="AB1065" s="676"/>
      <c r="AC1065" s="676"/>
      <c r="AD1065" s="676"/>
      <c r="AE1065" s="676">
        <f>FISCinyear!IV759</f>
        <v>0</v>
      </c>
      <c r="AF1065" s="676">
        <f>FISCinyear!IY759</f>
        <v>0</v>
      </c>
      <c r="AG1065" s="676">
        <f>FISCinyear!JB759</f>
        <v>0</v>
      </c>
      <c r="AH1065" s="676">
        <f>FISCinyear!JE759</f>
        <v>11.753179394790997</v>
      </c>
      <c r="AI1065" s="676">
        <f>FISCinyear!JH759</f>
        <v>14.317643821979502</v>
      </c>
      <c r="AJ1065" s="676">
        <f>FISCinyear!JK759</f>
        <v>18.595665286470002</v>
      </c>
      <c r="AK1065" s="1754">
        <f t="shared" ref="AK1065:AO1065" si="1286">AK452*AK423</f>
        <v>22.233785682355194</v>
      </c>
      <c r="AL1065" s="1754">
        <f t="shared" si="1286"/>
        <v>25.118887618890902</v>
      </c>
      <c r="AM1065" s="1754">
        <f t="shared" si="1286"/>
        <v>28.333263373416987</v>
      </c>
      <c r="AN1065" s="1754">
        <f t="shared" si="1286"/>
        <v>32.179097159605952</v>
      </c>
      <c r="AO1065" s="1754">
        <f t="shared" si="1286"/>
        <v>36.560229730517364</v>
      </c>
      <c r="AP1065" s="105"/>
      <c r="AQ1065" s="105"/>
      <c r="AR1065" s="105"/>
      <c r="AS1065" s="105"/>
      <c r="AT1065" s="105"/>
      <c r="AU1065" s="105"/>
      <c r="AV1065" s="105" t="e">
        <f t="shared" si="1281"/>
        <v>#DIV/0!</v>
      </c>
      <c r="AX1065" s="3064"/>
      <c r="AY1065" s="3064"/>
      <c r="AZ1065" s="3064"/>
      <c r="BH1065" s="1915"/>
    </row>
    <row r="1066" spans="1:60" ht="14.2" customHeight="1">
      <c r="A1066" s="1"/>
      <c r="B1066" s="1"/>
      <c r="C1066" s="1"/>
      <c r="D1066" s="1395" t="s">
        <v>3054</v>
      </c>
      <c r="E1066" s="1231"/>
      <c r="F1066" s="323"/>
      <c r="G1066" s="323"/>
      <c r="H1066" s="323"/>
      <c r="I1066" s="323"/>
      <c r="J1066" s="323"/>
      <c r="K1066" s="323"/>
      <c r="L1066" s="323"/>
      <c r="M1066" s="323"/>
      <c r="N1066" s="323"/>
      <c r="O1066" s="323"/>
      <c r="P1066" s="323"/>
      <c r="Q1066" s="323"/>
      <c r="R1066" s="323"/>
      <c r="S1066" s="323"/>
      <c r="T1066" s="323"/>
      <c r="U1066" s="323"/>
      <c r="V1066" s="105"/>
      <c r="W1066" s="105"/>
      <c r="X1066" s="105"/>
      <c r="Y1066" s="676"/>
      <c r="Z1066" s="676"/>
      <c r="AA1066" s="676"/>
      <c r="AB1066" s="676"/>
      <c r="AC1066" s="676"/>
      <c r="AD1066" s="676"/>
      <c r="AE1066" s="676">
        <f>FISCinyear!IV760</f>
        <v>0</v>
      </c>
      <c r="AF1066" s="676">
        <f>FISCinyear!IY760</f>
        <v>0</v>
      </c>
      <c r="AG1066" s="676">
        <f>FISCinyear!JB760</f>
        <v>11.965904649003233</v>
      </c>
      <c r="AH1066" s="676">
        <f>FISCinyear!JE760</f>
        <v>13.246723222</v>
      </c>
      <c r="AI1066" s="676">
        <f>FISCinyear!JH760</f>
        <v>28.976785209999999</v>
      </c>
      <c r="AJ1066" s="676">
        <f>FISCinyear!JK760</f>
        <v>17.573795131222223</v>
      </c>
      <c r="AK1066" s="1754">
        <v>25.027914944634897</v>
      </c>
      <c r="AL1066" s="1754">
        <v>29.611561634520857</v>
      </c>
      <c r="AM1066" s="1754">
        <f t="shared" ref="AM1066:AO1066" si="1287">AM444*AM423</f>
        <v>30.146939006932072</v>
      </c>
      <c r="AN1066" s="1754">
        <f t="shared" si="1287"/>
        <v>33.850161372042656</v>
      </c>
      <c r="AO1066" s="1754">
        <f t="shared" si="1287"/>
        <v>37.442874708104853</v>
      </c>
      <c r="AP1066" s="1754">
        <f>AO1066*(1+10%)</f>
        <v>41.187162178915344</v>
      </c>
      <c r="AQ1066" s="1754">
        <f t="shared" ref="AQ1066:AT1066" si="1288">AP1066*(1+10%)</f>
        <v>45.305878396806882</v>
      </c>
      <c r="AR1066" s="1754">
        <f t="shared" si="1288"/>
        <v>49.836466236487574</v>
      </c>
      <c r="AS1066" s="1754">
        <f t="shared" si="1288"/>
        <v>54.820112860136334</v>
      </c>
      <c r="AT1066" s="1754">
        <f t="shared" si="1288"/>
        <v>60.302124146149971</v>
      </c>
      <c r="AU1066" s="1754">
        <f t="shared" si="1284"/>
        <v>66.332336560764972</v>
      </c>
      <c r="AV1066" s="1754">
        <f t="shared" si="1281"/>
        <v>0.10000000000000009</v>
      </c>
      <c r="AX1066" s="3064"/>
      <c r="AY1066" s="3064"/>
      <c r="AZ1066" s="3064"/>
      <c r="BH1066" s="1915"/>
    </row>
    <row r="1067" spans="1:60" ht="14.25" customHeight="1">
      <c r="A1067" s="1"/>
      <c r="B1067" s="1"/>
      <c r="C1067" s="1"/>
      <c r="D1067" s="360" t="s">
        <v>465</v>
      </c>
      <c r="E1067" s="1231" t="s">
        <v>30</v>
      </c>
      <c r="F1067" s="323"/>
      <c r="G1067" s="323"/>
      <c r="H1067" s="323"/>
      <c r="I1067" s="323"/>
      <c r="J1067" s="323"/>
      <c r="K1067" s="323"/>
      <c r="L1067" s="323"/>
      <c r="M1067" s="323"/>
      <c r="N1067" s="323"/>
      <c r="O1067" s="323"/>
      <c r="P1067" s="323"/>
      <c r="Q1067" s="323"/>
      <c r="R1067" s="323"/>
      <c r="S1067" s="323"/>
      <c r="T1067" s="323"/>
      <c r="U1067" s="323"/>
      <c r="V1067" s="105">
        <v>0</v>
      </c>
      <c r="W1067" s="105">
        <v>0</v>
      </c>
      <c r="X1067" s="105">
        <v>0</v>
      </c>
      <c r="Y1067" s="676">
        <f>FISCinyear!ID761</f>
        <v>51.731817833999997</v>
      </c>
      <c r="Z1067" s="676">
        <f>FISCinyear!IG761</f>
        <v>65.151942857999998</v>
      </c>
      <c r="AA1067" s="676">
        <f>FISCinyear!IJ761</f>
        <v>76.713904879026643</v>
      </c>
      <c r="AB1067" s="676">
        <f>FISCinyear!IM761</f>
        <v>79.519484486779476</v>
      </c>
      <c r="AC1067" s="676">
        <f>FISCinyear!IP761</f>
        <v>98.113368490445737</v>
      </c>
      <c r="AD1067" s="676">
        <f>FISCinyear!IS761</f>
        <v>171.19683315555346</v>
      </c>
      <c r="AE1067" s="676">
        <f>FISCinyear!IV761</f>
        <v>137.55577421600651</v>
      </c>
      <c r="AF1067" s="676">
        <f>FISCinyear!IY761</f>
        <v>145.62402120815983</v>
      </c>
      <c r="AG1067" s="676">
        <f>FISCinyear!JB761</f>
        <v>193.57731840960452</v>
      </c>
      <c r="AH1067" s="676">
        <f>FISCinyear!JE761</f>
        <v>272.28278454686705</v>
      </c>
      <c r="AI1067" s="676">
        <f>FISCinyear!JH761</f>
        <v>357.11217296902782</v>
      </c>
      <c r="AJ1067" s="676">
        <f>FISCinyear!JK761</f>
        <v>407.74016136500001</v>
      </c>
      <c r="AK1067" s="105">
        <f t="shared" ref="AK1067:AT1067" si="1289">AK456*AK423</f>
        <v>782.79885251823998</v>
      </c>
      <c r="AL1067" s="105">
        <f t="shared" si="1289"/>
        <v>970.48517694286477</v>
      </c>
      <c r="AM1067" s="105">
        <f t="shared" si="1289"/>
        <v>1134.1168559366934</v>
      </c>
      <c r="AN1067" s="105">
        <f t="shared" si="1289"/>
        <v>1306.5292300399674</v>
      </c>
      <c r="AO1067" s="105">
        <f t="shared" si="1289"/>
        <v>1485.5171138953137</v>
      </c>
      <c r="AP1067" s="105">
        <f t="shared" si="1289"/>
        <v>1709.7891278026782</v>
      </c>
      <c r="AQ1067" s="105">
        <f t="shared" si="1289"/>
        <v>1997.5564623319412</v>
      </c>
      <c r="AR1067" s="105">
        <f t="shared" si="1289"/>
        <v>2332.1424902097533</v>
      </c>
      <c r="AS1067" s="105">
        <f t="shared" si="1289"/>
        <v>2686.9624562525833</v>
      </c>
      <c r="AT1067" s="105">
        <f t="shared" si="1289"/>
        <v>3731.0141557530474</v>
      </c>
      <c r="AU1067" s="105">
        <f t="shared" si="1284"/>
        <v>5180.7447469303443</v>
      </c>
      <c r="AV1067" s="105">
        <f t="shared" si="1281"/>
        <v>0.38856207204196225</v>
      </c>
      <c r="BH1067" s="1915"/>
    </row>
    <row r="1068" spans="1:60" ht="14.25" customHeight="1">
      <c r="A1068" s="1"/>
      <c r="B1068" s="1"/>
      <c r="C1068" s="1"/>
      <c r="D1068" s="360" t="s">
        <v>466</v>
      </c>
      <c r="E1068" s="1231" t="s">
        <v>30</v>
      </c>
      <c r="F1068" s="323"/>
      <c r="G1068" s="323"/>
      <c r="H1068" s="323"/>
      <c r="I1068" s="323"/>
      <c r="J1068" s="323"/>
      <c r="K1068" s="323"/>
      <c r="L1068" s="323"/>
      <c r="M1068" s="323"/>
      <c r="N1068" s="323"/>
      <c r="O1068" s="323"/>
      <c r="P1068" s="323"/>
      <c r="Q1068" s="323"/>
      <c r="R1068" s="323"/>
      <c r="S1068" s="323"/>
      <c r="T1068" s="323"/>
      <c r="U1068" s="323"/>
      <c r="V1068" s="105">
        <v>0</v>
      </c>
      <c r="W1068" s="105">
        <v>0</v>
      </c>
      <c r="X1068" s="105">
        <v>0</v>
      </c>
      <c r="Y1068" s="676">
        <f>FISCinyear!ID762</f>
        <v>1.7004428039999999</v>
      </c>
      <c r="Z1068" s="676">
        <f>FISCinyear!IG762</f>
        <v>2.7790084300000002</v>
      </c>
      <c r="AA1068" s="676">
        <f>FISCinyear!IJ762</f>
        <v>3.2520537167881081</v>
      </c>
      <c r="AB1068" s="676">
        <f>FISCinyear!IM762</f>
        <v>0</v>
      </c>
      <c r="AC1068" s="676">
        <f>FISCinyear!IP762</f>
        <v>0</v>
      </c>
      <c r="AD1068" s="676">
        <f>FISCinyear!IS762</f>
        <v>103.27580037650858</v>
      </c>
      <c r="AE1068" s="676">
        <f>FISCinyear!IV762</f>
        <v>0.34634178100000002</v>
      </c>
      <c r="AF1068" s="676">
        <f>FISCinyear!IY762</f>
        <v>3.955083639448647</v>
      </c>
      <c r="AG1068" s="676">
        <f>FISCinyear!JB762</f>
        <v>6.8546194642849869</v>
      </c>
      <c r="AH1068" s="676">
        <f>FISCinyear!JE762</f>
        <v>4.405915887006965</v>
      </c>
      <c r="AI1068" s="676">
        <f>FISCinyear!JH762</f>
        <v>4.6179227269999998</v>
      </c>
      <c r="AJ1068" s="676">
        <f>FISCinyear!JK762</f>
        <v>4.7767994090000006</v>
      </c>
      <c r="AK1068" s="105">
        <f t="shared" ref="AK1068:AT1068" si="1290">AK460*AK423</f>
        <v>0</v>
      </c>
      <c r="AL1068" s="105">
        <f t="shared" si="1290"/>
        <v>0</v>
      </c>
      <c r="AM1068" s="105">
        <f t="shared" si="1290"/>
        <v>0</v>
      </c>
      <c r="AN1068" s="105">
        <f t="shared" si="1290"/>
        <v>0</v>
      </c>
      <c r="AO1068" s="105">
        <f t="shared" si="1290"/>
        <v>0</v>
      </c>
      <c r="AP1068" s="105">
        <f t="shared" si="1290"/>
        <v>0</v>
      </c>
      <c r="AQ1068" s="105">
        <f t="shared" si="1290"/>
        <v>0</v>
      </c>
      <c r="AR1068" s="105">
        <f t="shared" si="1290"/>
        <v>0</v>
      </c>
      <c r="AS1068" s="105">
        <f t="shared" si="1290"/>
        <v>0</v>
      </c>
      <c r="AT1068" s="105">
        <f t="shared" si="1290"/>
        <v>0</v>
      </c>
      <c r="AU1068" s="105">
        <f t="shared" ref="AU1068" si="1291">AU460*AU423</f>
        <v>0</v>
      </c>
      <c r="AV1068" s="105" t="e">
        <f t="shared" si="1281"/>
        <v>#DIV/0!</v>
      </c>
      <c r="BH1068" s="1915"/>
    </row>
    <row r="1069" spans="1:60" ht="14.25" customHeight="1">
      <c r="A1069" s="1"/>
      <c r="B1069" s="1"/>
      <c r="C1069" s="1230">
        <v>112</v>
      </c>
      <c r="D1069" s="358" t="str">
        <f>+FISCinyear!D763</f>
        <v xml:space="preserve">Taxes on payroll and workforce </v>
      </c>
      <c r="E1069" s="1231" t="s">
        <v>2396</v>
      </c>
      <c r="F1069" s="323"/>
      <c r="G1069" s="323"/>
      <c r="H1069" s="323"/>
      <c r="I1069" s="323"/>
      <c r="J1069" s="323"/>
      <c r="K1069" s="323"/>
      <c r="L1069" s="323"/>
      <c r="M1069" s="323"/>
      <c r="N1069" s="323"/>
      <c r="O1069" s="323"/>
      <c r="P1069" s="323"/>
      <c r="Q1069" s="323"/>
      <c r="R1069" s="323"/>
      <c r="S1069" s="323"/>
      <c r="T1069" s="323"/>
      <c r="U1069" s="323"/>
      <c r="V1069" s="376">
        <v>0</v>
      </c>
      <c r="W1069" s="376">
        <v>0</v>
      </c>
      <c r="X1069" s="376">
        <v>0</v>
      </c>
      <c r="Y1069" s="1385">
        <f>FISCinyear!ID763</f>
        <v>0</v>
      </c>
      <c r="Z1069" s="1385">
        <f>FISCinyear!IG763</f>
        <v>0</v>
      </c>
      <c r="AA1069" s="1385">
        <f>FISCinyear!IJ763</f>
        <v>0</v>
      </c>
      <c r="AB1069" s="1385">
        <f>FISCinyear!IM763</f>
        <v>0</v>
      </c>
      <c r="AC1069" s="1385">
        <f>FISCinyear!IP763</f>
        <v>0</v>
      </c>
      <c r="AD1069" s="1385">
        <f>FISCinyear!IS763</f>
        <v>0</v>
      </c>
      <c r="AE1069" s="1385">
        <f>FISCinyear!IV763</f>
        <v>0</v>
      </c>
      <c r="AF1069" s="1385">
        <f>FISCinyear!IY763</f>
        <v>0</v>
      </c>
      <c r="AG1069" s="1385">
        <f>FISCinyear!JB763</f>
        <v>0</v>
      </c>
      <c r="AH1069" s="1385">
        <f>FISCinyear!JE763</f>
        <v>0</v>
      </c>
      <c r="AI1069" s="1385">
        <f>FISCinyear!JH763</f>
        <v>0</v>
      </c>
      <c r="AJ1069" s="1385">
        <f>FISCinyear!JK763</f>
        <v>0</v>
      </c>
      <c r="AK1069" s="376">
        <v>0</v>
      </c>
      <c r="AL1069" s="376">
        <v>0</v>
      </c>
      <c r="AM1069" s="376">
        <v>0</v>
      </c>
      <c r="AN1069" s="376">
        <v>0</v>
      </c>
      <c r="AO1069" s="376">
        <v>0</v>
      </c>
      <c r="AP1069" s="376">
        <v>0</v>
      </c>
      <c r="AQ1069" s="376">
        <v>0</v>
      </c>
      <c r="AR1069" s="376">
        <v>0</v>
      </c>
      <c r="AS1069" s="376">
        <v>0</v>
      </c>
      <c r="AT1069" s="376">
        <v>0</v>
      </c>
      <c r="AU1069" s="376">
        <v>0</v>
      </c>
      <c r="AV1069" s="376" t="e">
        <f t="shared" si="1281"/>
        <v>#DIV/0!</v>
      </c>
      <c r="BH1069" s="1915"/>
    </row>
    <row r="1070" spans="1:60" ht="14.25" customHeight="1">
      <c r="A1070" s="1"/>
      <c r="B1070" s="1"/>
      <c r="C1070" s="1230">
        <v>113</v>
      </c>
      <c r="D1070" s="358" t="str">
        <f>+FISCinyear!D764</f>
        <v xml:space="preserve">Taxes on property </v>
      </c>
      <c r="E1070" s="1231"/>
      <c r="F1070" s="323"/>
      <c r="G1070" s="323"/>
      <c r="H1070" s="323"/>
      <c r="I1070" s="323"/>
      <c r="J1070" s="323"/>
      <c r="K1070" s="323"/>
      <c r="L1070" s="323"/>
      <c r="M1070" s="323"/>
      <c r="N1070" s="323"/>
      <c r="O1070" s="323"/>
      <c r="P1070" s="323"/>
      <c r="Q1070" s="323"/>
      <c r="R1070" s="323"/>
      <c r="S1070" s="323"/>
      <c r="T1070" s="323"/>
      <c r="U1070" s="323"/>
      <c r="V1070" s="376">
        <f>SUM(V1071:V1076)</f>
        <v>0</v>
      </c>
      <c r="W1070" s="376">
        <f>SUM(W1071:W1076)</f>
        <v>0</v>
      </c>
      <c r="X1070" s="376">
        <f>SUM(X1071:X1076)</f>
        <v>0</v>
      </c>
      <c r="Y1070" s="1385">
        <f>FISCinyear!ID764</f>
        <v>1.0475502899999998</v>
      </c>
      <c r="Z1070" s="1385">
        <f>FISCinyear!IG764</f>
        <v>1.4744668620000001</v>
      </c>
      <c r="AA1070" s="1385">
        <f>FISCinyear!IJ764</f>
        <v>0.79905792988831847</v>
      </c>
      <c r="AB1070" s="1385">
        <f>FISCinyear!IM764</f>
        <v>0.60978576711347843</v>
      </c>
      <c r="AC1070" s="1385">
        <f>FISCinyear!IP764</f>
        <v>4.9652348659568588E-11</v>
      </c>
      <c r="AD1070" s="1385">
        <f>FISCinyear!IS764</f>
        <v>19.372400629999998</v>
      </c>
      <c r="AE1070" s="1385">
        <f>FISCinyear!IV764</f>
        <v>4.6428780387518458</v>
      </c>
      <c r="AF1070" s="1385">
        <f>FISCinyear!IY764</f>
        <v>19.443675029298234</v>
      </c>
      <c r="AG1070" s="1385">
        <f>FISCinyear!JB764</f>
        <v>17.107113807486726</v>
      </c>
      <c r="AH1070" s="1385">
        <f>FISCinyear!JE764</f>
        <v>22.576045216121535</v>
      </c>
      <c r="AI1070" s="1385">
        <f>FISCinyear!JH764</f>
        <v>30.501623556453502</v>
      </c>
      <c r="AJ1070" s="1385">
        <f>FISCinyear!JK764</f>
        <v>45.980709111222225</v>
      </c>
      <c r="AK1070" s="1435">
        <f t="shared" ref="AK1070:AV1070" si="1292">(AK1071+AK1073+AK1074+AK1075+AK1076)</f>
        <v>62.153817381728253</v>
      </c>
      <c r="AL1070" s="1435">
        <f t="shared" si="1292"/>
        <v>76.518272458830737</v>
      </c>
      <c r="AM1070" s="1435">
        <f t="shared" si="1292"/>
        <v>76.306362603500943</v>
      </c>
      <c r="AN1070" s="1435">
        <f t="shared" si="1292"/>
        <v>86.337279947028151</v>
      </c>
      <c r="AO1070" s="1435">
        <f t="shared" si="1292"/>
        <v>96.428235145663749</v>
      </c>
      <c r="AP1070" s="1435">
        <f t="shared" si="1292"/>
        <v>106.49322712839842</v>
      </c>
      <c r="AQ1070" s="1435">
        <f t="shared" si="1292"/>
        <v>119.80557408776528</v>
      </c>
      <c r="AR1070" s="1435">
        <f t="shared" si="1292"/>
        <v>134.87527662360142</v>
      </c>
      <c r="AS1070" s="1435">
        <f t="shared" si="1292"/>
        <v>151.37532139174058</v>
      </c>
      <c r="AT1070" s="1435">
        <f t="shared" si="1292"/>
        <v>166.51952219051904</v>
      </c>
      <c r="AU1070" s="1435">
        <f t="shared" si="1292"/>
        <v>183.17881102106602</v>
      </c>
      <c r="AV1070" s="1435" t="e">
        <f t="shared" si="1292"/>
        <v>#DIV/0!</v>
      </c>
      <c r="AW1070" s="1916"/>
      <c r="AX1070" s="1916"/>
      <c r="AY1070" s="1916"/>
      <c r="AZ1070" s="1916"/>
      <c r="BA1070" s="1916"/>
      <c r="BB1070" s="1916"/>
      <c r="BC1070" s="1916"/>
      <c r="BD1070" s="1916"/>
      <c r="BE1070" s="1916"/>
      <c r="BF1070" s="1916"/>
      <c r="BG1070" s="1916"/>
      <c r="BH1070" s="1915"/>
    </row>
    <row r="1071" spans="1:60" ht="14.25" customHeight="1">
      <c r="A1071" s="1"/>
      <c r="B1071" s="1"/>
      <c r="C1071" s="1"/>
      <c r="D1071" s="360" t="s">
        <v>469</v>
      </c>
      <c r="E1071" s="1231" t="s">
        <v>30</v>
      </c>
      <c r="F1071" s="323"/>
      <c r="G1071" s="323"/>
      <c r="H1071" s="323"/>
      <c r="I1071" s="323"/>
      <c r="J1071" s="323"/>
      <c r="K1071" s="323"/>
      <c r="L1071" s="323"/>
      <c r="M1071" s="323"/>
      <c r="N1071" s="323"/>
      <c r="O1071" s="323"/>
      <c r="P1071" s="323"/>
      <c r="Q1071" s="323"/>
      <c r="R1071" s="323"/>
      <c r="S1071" s="323"/>
      <c r="T1071" s="323"/>
      <c r="U1071" s="323"/>
      <c r="V1071" s="105">
        <v>0</v>
      </c>
      <c r="W1071" s="105">
        <v>0</v>
      </c>
      <c r="X1071" s="105">
        <v>0</v>
      </c>
      <c r="Y1071" s="676">
        <f>FISCinyear!ID765</f>
        <v>1.4999999999999998E-3</v>
      </c>
      <c r="Z1071" s="676">
        <f>FISCinyear!IG765</f>
        <v>0.73718855299999997</v>
      </c>
      <c r="AA1071" s="676">
        <f>FISCinyear!IJ765</f>
        <v>4.378955189932289E-3</v>
      </c>
      <c r="AB1071" s="676">
        <f>FISCinyear!IM765</f>
        <v>0</v>
      </c>
      <c r="AC1071" s="676">
        <f>FISCinyear!IP765</f>
        <v>0</v>
      </c>
      <c r="AD1071" s="676">
        <f>FISCinyear!IS765</f>
        <v>19.368797178000005</v>
      </c>
      <c r="AE1071" s="676">
        <f>FISCinyear!IV765</f>
        <v>3.8637292657518461</v>
      </c>
      <c r="AF1071" s="676">
        <f>FISCinyear!IY765</f>
        <v>18.608200094000001</v>
      </c>
      <c r="AG1071" s="676">
        <f>FISCinyear!JB765</f>
        <v>16.171146985003318</v>
      </c>
      <c r="AH1071" s="676">
        <f>FISCinyear!JE765</f>
        <v>1.7226792781215394</v>
      </c>
      <c r="AI1071" s="676">
        <f>FISCinyear!JH765</f>
        <v>24.427786892</v>
      </c>
      <c r="AJ1071" s="676">
        <f>FISCinyear!JK765</f>
        <v>36.510836291222219</v>
      </c>
      <c r="AK1071" s="676">
        <f>AK1072</f>
        <v>50.624623899784773</v>
      </c>
      <c r="AL1071" s="676">
        <f>AL1072</f>
        <v>62.590397074419634</v>
      </c>
      <c r="AM1071" s="676">
        <f t="shared" ref="AM1071:AT1071" si="1293">AM1072</f>
        <v>60.273525609806519</v>
      </c>
      <c r="AN1071" s="676">
        <f t="shared" si="1293"/>
        <v>67.847068055742014</v>
      </c>
      <c r="AO1071" s="676">
        <f t="shared" si="1293"/>
        <v>75.42061050167753</v>
      </c>
      <c r="AP1071" s="676">
        <f t="shared" si="1293"/>
        <v>82.96267155184529</v>
      </c>
      <c r="AQ1071" s="676">
        <f t="shared" si="1293"/>
        <v>91.258938707029827</v>
      </c>
      <c r="AR1071" s="676">
        <f t="shared" si="1293"/>
        <v>100.38483257773282</v>
      </c>
      <c r="AS1071" s="676">
        <f t="shared" si="1293"/>
        <v>110.42331583550612</v>
      </c>
      <c r="AT1071" s="676">
        <f t="shared" si="1293"/>
        <v>121.46564741905674</v>
      </c>
      <c r="AU1071" s="676">
        <f t="shared" si="1284"/>
        <v>133.61221216096243</v>
      </c>
      <c r="AV1071" s="676">
        <f t="shared" si="1281"/>
        <v>0.10000000000000009</v>
      </c>
      <c r="AZ1071" s="1916"/>
      <c r="BA1071" s="1916"/>
      <c r="BB1071" s="1916"/>
      <c r="BG1071" s="1916"/>
      <c r="BH1071" s="1915"/>
    </row>
    <row r="1072" spans="1:60" ht="14.25" customHeight="1">
      <c r="A1072" s="1"/>
      <c r="B1072" s="1"/>
      <c r="C1072" s="1"/>
      <c r="D1072" s="1452" t="s">
        <v>3055</v>
      </c>
      <c r="E1072" s="1231"/>
      <c r="F1072" s="323"/>
      <c r="G1072" s="323"/>
      <c r="H1072" s="323"/>
      <c r="I1072" s="323"/>
      <c r="J1072" s="323"/>
      <c r="K1072" s="323"/>
      <c r="L1072" s="323"/>
      <c r="M1072" s="323"/>
      <c r="N1072" s="323"/>
      <c r="O1072" s="323"/>
      <c r="P1072" s="323"/>
      <c r="Q1072" s="323"/>
      <c r="R1072" s="323"/>
      <c r="S1072" s="323"/>
      <c r="T1072" s="323"/>
      <c r="U1072" s="323"/>
      <c r="V1072" s="105"/>
      <c r="W1072" s="105"/>
      <c r="X1072" s="105"/>
      <c r="Y1072" s="676"/>
      <c r="Z1072" s="676"/>
      <c r="AA1072" s="676"/>
      <c r="AB1072" s="676"/>
      <c r="AC1072" s="676"/>
      <c r="AD1072" s="676"/>
      <c r="AE1072" s="676"/>
      <c r="AF1072" s="676">
        <f>FISCinyear!IY766</f>
        <v>6.8120555139999999</v>
      </c>
      <c r="AG1072" s="676">
        <f>FISCinyear!JB766</f>
        <v>16.171146985003318</v>
      </c>
      <c r="AH1072" s="676">
        <f>FISCinyear!JE766</f>
        <v>20.853365938</v>
      </c>
      <c r="AI1072" s="676">
        <f>FISCinyear!JH766</f>
        <v>23.290337235999999</v>
      </c>
      <c r="AJ1072" s="676">
        <f>FISCinyear!JK766</f>
        <v>33.051829534222222</v>
      </c>
      <c r="AK1072" s="105">
        <v>50.624623899784773</v>
      </c>
      <c r="AL1072" s="105">
        <v>62.590397074419634</v>
      </c>
      <c r="AM1072" s="105">
        <v>60.273525609806519</v>
      </c>
      <c r="AN1072" s="105">
        <v>67.847068055742014</v>
      </c>
      <c r="AO1072" s="105">
        <v>75.42061050167753</v>
      </c>
      <c r="AP1072" s="105">
        <f>AO1072*(1+0.1)</f>
        <v>82.96267155184529</v>
      </c>
      <c r="AQ1072" s="105">
        <f t="shared" ref="AQ1072:AT1072" si="1294">AP1072*(1+0.1)</f>
        <v>91.258938707029827</v>
      </c>
      <c r="AR1072" s="105">
        <f t="shared" si="1294"/>
        <v>100.38483257773282</v>
      </c>
      <c r="AS1072" s="105">
        <f t="shared" si="1294"/>
        <v>110.42331583550612</v>
      </c>
      <c r="AT1072" s="105">
        <f t="shared" si="1294"/>
        <v>121.46564741905674</v>
      </c>
      <c r="AU1072" s="105">
        <f t="shared" si="1284"/>
        <v>133.61221216096243</v>
      </c>
      <c r="AV1072" s="105">
        <f t="shared" si="1281"/>
        <v>0.10000000000000009</v>
      </c>
      <c r="AZ1072" s="1916"/>
      <c r="BA1072" s="1916"/>
      <c r="BB1072" s="1916"/>
      <c r="BG1072" s="1916"/>
      <c r="BH1072" s="1915"/>
    </row>
    <row r="1073" spans="1:60" ht="14.25" customHeight="1">
      <c r="A1073" s="1"/>
      <c r="B1073" s="1"/>
      <c r="C1073" s="1"/>
      <c r="D1073" s="360" t="s">
        <v>470</v>
      </c>
      <c r="E1073" s="1231" t="s">
        <v>30</v>
      </c>
      <c r="F1073" s="323"/>
      <c r="G1073" s="323"/>
      <c r="H1073" s="323"/>
      <c r="I1073" s="323"/>
      <c r="J1073" s="323"/>
      <c r="K1073" s="323"/>
      <c r="L1073" s="323"/>
      <c r="M1073" s="323"/>
      <c r="N1073" s="323"/>
      <c r="O1073" s="323"/>
      <c r="P1073" s="323"/>
      <c r="Q1073" s="323"/>
      <c r="R1073" s="323"/>
      <c r="S1073" s="323"/>
      <c r="T1073" s="323"/>
      <c r="U1073" s="323"/>
      <c r="V1073" s="105">
        <v>0</v>
      </c>
      <c r="W1073" s="105">
        <v>0</v>
      </c>
      <c r="X1073" s="105">
        <v>0</v>
      </c>
      <c r="Y1073" s="676">
        <f>FISCinyear!ID767</f>
        <v>0</v>
      </c>
      <c r="Z1073" s="676">
        <f>FISCinyear!IG767</f>
        <v>0</v>
      </c>
      <c r="AA1073" s="676">
        <f>FISCinyear!IJ767</f>
        <v>0</v>
      </c>
      <c r="AB1073" s="676">
        <f>FISCinyear!IM767</f>
        <v>0</v>
      </c>
      <c r="AC1073" s="676">
        <f>FISCinyear!IP767</f>
        <v>0</v>
      </c>
      <c r="AD1073" s="676">
        <f>FISCinyear!IS767</f>
        <v>0</v>
      </c>
      <c r="AE1073" s="676">
        <f>FISCinyear!IV767</f>
        <v>0</v>
      </c>
      <c r="AF1073" s="676">
        <f>FISCinyear!IY767</f>
        <v>0</v>
      </c>
      <c r="AG1073" s="676">
        <f>FISCinyear!JB767</f>
        <v>0</v>
      </c>
      <c r="AH1073" s="676">
        <f>FISCinyear!JE767</f>
        <v>0</v>
      </c>
      <c r="AI1073" s="676">
        <f>FISCinyear!JH767</f>
        <v>0</v>
      </c>
      <c r="AJ1073" s="676">
        <f>FISCinyear!JK767</f>
        <v>0</v>
      </c>
      <c r="AK1073" s="676">
        <f t="shared" ref="AK1073:AT1073" si="1295">AK473*AK423</f>
        <v>0</v>
      </c>
      <c r="AL1073" s="105">
        <f t="shared" si="1295"/>
        <v>0</v>
      </c>
      <c r="AM1073" s="105">
        <f t="shared" si="1295"/>
        <v>0</v>
      </c>
      <c r="AN1073" s="105">
        <f t="shared" si="1295"/>
        <v>0</v>
      </c>
      <c r="AO1073" s="105">
        <f t="shared" si="1295"/>
        <v>0</v>
      </c>
      <c r="AP1073" s="105">
        <f t="shared" si="1295"/>
        <v>0</v>
      </c>
      <c r="AQ1073" s="105">
        <f t="shared" si="1295"/>
        <v>0</v>
      </c>
      <c r="AR1073" s="105">
        <f t="shared" si="1295"/>
        <v>0</v>
      </c>
      <c r="AS1073" s="105">
        <f t="shared" si="1295"/>
        <v>0</v>
      </c>
      <c r="AT1073" s="105">
        <f t="shared" si="1295"/>
        <v>0</v>
      </c>
      <c r="AU1073" s="105">
        <f t="shared" ref="AU1073" si="1296">AU473*AU423</f>
        <v>0</v>
      </c>
      <c r="AV1073" s="105" t="e">
        <f t="shared" si="1281"/>
        <v>#DIV/0!</v>
      </c>
      <c r="BG1073" s="1916"/>
      <c r="BH1073" s="1915"/>
    </row>
    <row r="1074" spans="1:60" ht="14.25" customHeight="1">
      <c r="A1074" s="1"/>
      <c r="B1074" s="1"/>
      <c r="C1074" s="1"/>
      <c r="D1074" s="360" t="s">
        <v>471</v>
      </c>
      <c r="E1074" s="1231" t="s">
        <v>30</v>
      </c>
      <c r="F1074" s="323"/>
      <c r="G1074" s="323"/>
      <c r="H1074" s="323"/>
      <c r="I1074" s="323"/>
      <c r="J1074" s="323"/>
      <c r="K1074" s="323"/>
      <c r="L1074" s="323"/>
      <c r="M1074" s="323"/>
      <c r="N1074" s="323"/>
      <c r="O1074" s="323"/>
      <c r="P1074" s="323"/>
      <c r="Q1074" s="323"/>
      <c r="R1074" s="323"/>
      <c r="S1074" s="323"/>
      <c r="T1074" s="323"/>
      <c r="U1074" s="323"/>
      <c r="V1074" s="105">
        <v>0</v>
      </c>
      <c r="W1074" s="105">
        <v>0</v>
      </c>
      <c r="X1074" s="105">
        <v>0</v>
      </c>
      <c r="Y1074" s="676">
        <f>FISCinyear!ID768</f>
        <v>0</v>
      </c>
      <c r="Z1074" s="676">
        <f>FISCinyear!IG768</f>
        <v>0</v>
      </c>
      <c r="AA1074" s="676">
        <f>FISCinyear!IJ768</f>
        <v>0</v>
      </c>
      <c r="AB1074" s="676">
        <f>FISCinyear!IM768</f>
        <v>0</v>
      </c>
      <c r="AC1074" s="676">
        <f>FISCinyear!IP768</f>
        <v>0</v>
      </c>
      <c r="AD1074" s="676">
        <f>FISCinyear!IS768</f>
        <v>0</v>
      </c>
      <c r="AE1074" s="676">
        <f>FISCinyear!IV768</f>
        <v>0</v>
      </c>
      <c r="AF1074" s="676">
        <f>FISCinyear!IY768</f>
        <v>0</v>
      </c>
      <c r="AG1074" s="676">
        <f>FISCinyear!JB768</f>
        <v>0</v>
      </c>
      <c r="AH1074" s="676">
        <f>FISCinyear!JE768</f>
        <v>0</v>
      </c>
      <c r="AI1074" s="676">
        <f>FISCinyear!JH768</f>
        <v>0</v>
      </c>
      <c r="AJ1074" s="676">
        <f>FISCinyear!JK768</f>
        <v>0</v>
      </c>
      <c r="AK1074" s="676">
        <f t="shared" ref="AK1074:AT1074" si="1297">AK477*AK423</f>
        <v>0</v>
      </c>
      <c r="AL1074" s="105">
        <f t="shared" si="1297"/>
        <v>0</v>
      </c>
      <c r="AM1074" s="105">
        <f t="shared" si="1297"/>
        <v>0</v>
      </c>
      <c r="AN1074" s="105">
        <f t="shared" si="1297"/>
        <v>0</v>
      </c>
      <c r="AO1074" s="105">
        <f t="shared" si="1297"/>
        <v>0</v>
      </c>
      <c r="AP1074" s="105">
        <f t="shared" si="1297"/>
        <v>0</v>
      </c>
      <c r="AQ1074" s="105">
        <f t="shared" si="1297"/>
        <v>0</v>
      </c>
      <c r="AR1074" s="105">
        <f t="shared" si="1297"/>
        <v>0</v>
      </c>
      <c r="AS1074" s="105">
        <f t="shared" si="1297"/>
        <v>0</v>
      </c>
      <c r="AT1074" s="105">
        <f t="shared" si="1297"/>
        <v>0</v>
      </c>
      <c r="AU1074" s="105">
        <f t="shared" ref="AU1074" si="1298">AU477*AU423</f>
        <v>0</v>
      </c>
      <c r="AV1074" s="105" t="e">
        <f t="shared" si="1281"/>
        <v>#DIV/0!</v>
      </c>
      <c r="AW1074" s="1916"/>
      <c r="AX1074" s="1916"/>
      <c r="AY1074" s="1916"/>
      <c r="AZ1074" s="1916"/>
      <c r="BA1074" s="1916"/>
      <c r="BB1074" s="1916"/>
      <c r="BC1074" s="1916"/>
      <c r="BD1074" s="1916"/>
      <c r="BE1074" s="1916"/>
      <c r="BF1074" s="1916"/>
      <c r="BG1074" s="1916"/>
      <c r="BH1074" s="1915"/>
    </row>
    <row r="1075" spans="1:60" ht="14.25" customHeight="1">
      <c r="A1075" s="1"/>
      <c r="B1075" s="1"/>
      <c r="C1075" s="1"/>
      <c r="D1075" s="360" t="s">
        <v>473</v>
      </c>
      <c r="E1075" s="1231" t="s">
        <v>30</v>
      </c>
      <c r="F1075" s="323"/>
      <c r="G1075" s="323"/>
      <c r="H1075" s="323"/>
      <c r="I1075" s="323"/>
      <c r="J1075" s="323"/>
      <c r="K1075" s="323"/>
      <c r="L1075" s="323"/>
      <c r="M1075" s="323"/>
      <c r="N1075" s="323"/>
      <c r="O1075" s="323"/>
      <c r="P1075" s="323"/>
      <c r="Q1075" s="323"/>
      <c r="R1075" s="323"/>
      <c r="S1075" s="323"/>
      <c r="T1075" s="323"/>
      <c r="U1075" s="323"/>
      <c r="V1075" s="105">
        <v>0</v>
      </c>
      <c r="W1075" s="105">
        <v>0</v>
      </c>
      <c r="X1075" s="105">
        <v>0</v>
      </c>
      <c r="Y1075" s="676">
        <f>FISCinyear!ID769</f>
        <v>0</v>
      </c>
      <c r="Z1075" s="676">
        <f>FISCinyear!IG769</f>
        <v>0</v>
      </c>
      <c r="AA1075" s="676">
        <f>FISCinyear!IJ769</f>
        <v>0</v>
      </c>
      <c r="AB1075" s="676">
        <f>FISCinyear!IM769</f>
        <v>0</v>
      </c>
      <c r="AC1075" s="676">
        <f>FISCinyear!IP769</f>
        <v>0</v>
      </c>
      <c r="AD1075" s="676">
        <f>FISCinyear!IS769</f>
        <v>0</v>
      </c>
      <c r="AE1075" s="676">
        <f>FISCinyear!IV769</f>
        <v>0</v>
      </c>
      <c r="AF1075" s="676">
        <f>FISCinyear!IY769</f>
        <v>0</v>
      </c>
      <c r="AG1075" s="676">
        <f>FISCinyear!JB769</f>
        <v>0</v>
      </c>
      <c r="AH1075" s="676">
        <f>FISCinyear!JE769</f>
        <v>0</v>
      </c>
      <c r="AI1075" s="676">
        <f>FISCinyear!JH769</f>
        <v>0</v>
      </c>
      <c r="AJ1075" s="676">
        <f>FISCinyear!JK769</f>
        <v>0</v>
      </c>
      <c r="AK1075" s="676">
        <f t="shared" ref="AK1075:AT1075" si="1299">AK485*AK423</f>
        <v>0</v>
      </c>
      <c r="AL1075" s="105">
        <f t="shared" si="1299"/>
        <v>0</v>
      </c>
      <c r="AM1075" s="105">
        <f t="shared" si="1299"/>
        <v>0</v>
      </c>
      <c r="AN1075" s="105">
        <f t="shared" si="1299"/>
        <v>0</v>
      </c>
      <c r="AO1075" s="105">
        <f t="shared" si="1299"/>
        <v>0</v>
      </c>
      <c r="AP1075" s="105">
        <f t="shared" si="1299"/>
        <v>0</v>
      </c>
      <c r="AQ1075" s="105">
        <f t="shared" si="1299"/>
        <v>0</v>
      </c>
      <c r="AR1075" s="105">
        <f t="shared" si="1299"/>
        <v>0</v>
      </c>
      <c r="AS1075" s="105">
        <f t="shared" si="1299"/>
        <v>0</v>
      </c>
      <c r="AT1075" s="105">
        <f t="shared" si="1299"/>
        <v>0</v>
      </c>
      <c r="AU1075" s="105">
        <f t="shared" ref="AU1075" si="1300">AU485*AU423</f>
        <v>0</v>
      </c>
      <c r="AV1075" s="105" t="e">
        <f t="shared" si="1281"/>
        <v>#DIV/0!</v>
      </c>
      <c r="AW1075" s="1916"/>
      <c r="BE1075" s="1916"/>
      <c r="BF1075" s="1916"/>
      <c r="BG1075" s="1916"/>
      <c r="BH1075" s="1915"/>
    </row>
    <row r="1076" spans="1:60" ht="14.25" customHeight="1">
      <c r="A1076" s="1"/>
      <c r="B1076" s="1"/>
      <c r="C1076" s="1"/>
      <c r="D1076" s="360" t="s">
        <v>474</v>
      </c>
      <c r="E1076" s="1231" t="s">
        <v>30</v>
      </c>
      <c r="F1076" s="323"/>
      <c r="G1076" s="323"/>
      <c r="H1076" s="323"/>
      <c r="I1076" s="323"/>
      <c r="J1076" s="323"/>
      <c r="K1076" s="323"/>
      <c r="L1076" s="323"/>
      <c r="M1076" s="323"/>
      <c r="N1076" s="323"/>
      <c r="O1076" s="323"/>
      <c r="P1076" s="323"/>
      <c r="Q1076" s="323"/>
      <c r="R1076" s="323"/>
      <c r="S1076" s="323"/>
      <c r="T1076" s="323"/>
      <c r="U1076" s="323"/>
      <c r="V1076" s="105">
        <v>0</v>
      </c>
      <c r="W1076" s="105">
        <v>0</v>
      </c>
      <c r="X1076" s="105">
        <v>0</v>
      </c>
      <c r="Y1076" s="676">
        <f>FISCinyear!ID770</f>
        <v>1.0460502899999997</v>
      </c>
      <c r="Z1076" s="676">
        <f>FISCinyear!IG770</f>
        <v>0.73727830900000002</v>
      </c>
      <c r="AA1076" s="676">
        <f>FISCinyear!IJ770</f>
        <v>0.79467897469838622</v>
      </c>
      <c r="AB1076" s="676">
        <f>FISCinyear!IM770</f>
        <v>0.60978576711347843</v>
      </c>
      <c r="AC1076" s="676">
        <f>FISCinyear!IP770</f>
        <v>4.9652348659568586E-2</v>
      </c>
      <c r="AD1076" s="676">
        <f>FISCinyear!IS770</f>
        <v>3.603452E-3</v>
      </c>
      <c r="AE1076" s="676">
        <f>FISCinyear!IV770</f>
        <v>0.77914877299999996</v>
      </c>
      <c r="AF1076" s="676">
        <f>FISCinyear!IY770</f>
        <v>0.83547493529823502</v>
      </c>
      <c r="AG1076" s="676">
        <f>FISCinyear!JB770</f>
        <v>0.93596682248341045</v>
      </c>
      <c r="AH1076" s="676">
        <f>FISCinyear!JE770</f>
        <v>0</v>
      </c>
      <c r="AI1076" s="676">
        <f>FISCinyear!JH770</f>
        <v>6.0738366644535002</v>
      </c>
      <c r="AJ1076" s="676">
        <f>FISCinyear!JK770</f>
        <v>9.4698728199999991</v>
      </c>
      <c r="AK1076" s="105">
        <f>(AK489*AK423)</f>
        <v>11.529193481943478</v>
      </c>
      <c r="AL1076" s="105">
        <f>(AL489*AL423)</f>
        <v>13.927875384411104</v>
      </c>
      <c r="AM1076" s="105">
        <f t="shared" ref="AM1076:AT1076" si="1301">(AM489*AM423)</f>
        <v>16.032836993694424</v>
      </c>
      <c r="AN1076" s="105">
        <f t="shared" si="1301"/>
        <v>18.49021189128613</v>
      </c>
      <c r="AO1076" s="105">
        <f t="shared" si="1301"/>
        <v>21.007624643986219</v>
      </c>
      <c r="AP1076" s="105">
        <f t="shared" si="1301"/>
        <v>23.53055557655313</v>
      </c>
      <c r="AQ1076" s="105">
        <f t="shared" si="1301"/>
        <v>28.546635380735456</v>
      </c>
      <c r="AR1076" s="105">
        <f t="shared" si="1301"/>
        <v>34.4904440458686</v>
      </c>
      <c r="AS1076" s="105">
        <f t="shared" si="1301"/>
        <v>40.952005556234475</v>
      </c>
      <c r="AT1076" s="105">
        <f t="shared" si="1301"/>
        <v>45.053874771462311</v>
      </c>
      <c r="AU1076" s="105">
        <f t="shared" si="1284"/>
        <v>49.566598860103603</v>
      </c>
      <c r="AV1076" s="105">
        <f t="shared" si="1281"/>
        <v>0.10016284085513782</v>
      </c>
      <c r="AX1076" s="3064"/>
      <c r="BH1076" s="1915"/>
    </row>
    <row r="1077" spans="1:60" ht="14.25" customHeight="1">
      <c r="A1077" s="1"/>
      <c r="B1077" s="1"/>
      <c r="C1077" s="1230">
        <v>114</v>
      </c>
      <c r="D1077" s="358" t="str">
        <f>+FISCinyear!D771</f>
        <v xml:space="preserve">Taxes on goods and services </v>
      </c>
      <c r="E1077" s="1231"/>
      <c r="F1077" s="323"/>
      <c r="G1077" s="323"/>
      <c r="H1077" s="323"/>
      <c r="I1077" s="323"/>
      <c r="J1077" s="323"/>
      <c r="K1077" s="323"/>
      <c r="L1077" s="323"/>
      <c r="M1077" s="323"/>
      <c r="N1077" s="323"/>
      <c r="O1077" s="323"/>
      <c r="P1077" s="323"/>
      <c r="Q1077" s="323"/>
      <c r="R1077" s="323"/>
      <c r="S1077" s="323"/>
      <c r="T1077" s="323"/>
      <c r="U1077" s="323"/>
      <c r="V1077" s="376">
        <f>SUM(V1078:V1098)</f>
        <v>0</v>
      </c>
      <c r="W1077" s="376">
        <f>SUM(W1078:W1098)</f>
        <v>0</v>
      </c>
      <c r="X1077" s="376">
        <f>SUM(X1078:X1098)</f>
        <v>0</v>
      </c>
      <c r="Y1077" s="1385">
        <f>FISCinyear!ID771</f>
        <v>382.8888462832</v>
      </c>
      <c r="Z1077" s="1385">
        <f>FISCinyear!IG771</f>
        <v>422.56020412279997</v>
      </c>
      <c r="AA1077" s="1385">
        <f>FISCinyear!IJ771</f>
        <v>516.76897665970478</v>
      </c>
      <c r="AB1077" s="1385">
        <f>FISCinyear!IM771</f>
        <v>530.02666167461143</v>
      </c>
      <c r="AC1077" s="1385">
        <f>FISCinyear!IP771</f>
        <v>605.14216765689798</v>
      </c>
      <c r="AD1077" s="1385">
        <f>FISCinyear!IS771</f>
        <v>676.03063632067722</v>
      </c>
      <c r="AE1077" s="1385">
        <f>FISCinyear!IV771</f>
        <v>712.20880818108037</v>
      </c>
      <c r="AF1077" s="1385">
        <f>FISCinyear!IY771</f>
        <v>775.95022002114797</v>
      </c>
      <c r="AG1077" s="1385">
        <f>FISCinyear!JB771</f>
        <v>873.08969211644808</v>
      </c>
      <c r="AH1077" s="1385">
        <f>FISCinyear!JE771</f>
        <v>1030.4229988219749</v>
      </c>
      <c r="AI1077" s="1385">
        <f>FISCinyear!JH771</f>
        <v>1189.7617317343922</v>
      </c>
      <c r="AJ1077" s="1385">
        <f>FISCinyear!JK771</f>
        <v>1419.2655107666924</v>
      </c>
      <c r="AK1077" s="1753">
        <f>AK1078+AK1085+AK1091+AK1092+AK1093+AK1094+AK1095+AK1096</f>
        <v>1883.5527549219553</v>
      </c>
      <c r="AL1077" s="1753">
        <f t="shared" ref="AL1077:AU1077" si="1302">AL1078+AL1085+AL1091+AL1092+AL1093+AL1094+AL1095+AL1096</f>
        <v>2265.4390322295317</v>
      </c>
      <c r="AM1077" s="1753">
        <f t="shared" si="1302"/>
        <v>2610.8470628839227</v>
      </c>
      <c r="AN1077" s="1753">
        <f t="shared" si="1302"/>
        <v>2978.7033304767233</v>
      </c>
      <c r="AO1077" s="1753">
        <f t="shared" si="1302"/>
        <v>3422.113610074297</v>
      </c>
      <c r="AP1077" s="1753">
        <f t="shared" si="1302"/>
        <v>3823.90841050789</v>
      </c>
      <c r="AQ1077" s="1753">
        <f t="shared" si="1302"/>
        <v>4169.663638704501</v>
      </c>
      <c r="AR1077" s="1753">
        <f t="shared" si="1302"/>
        <v>4621.461208665778</v>
      </c>
      <c r="AS1077" s="1753">
        <f t="shared" si="1302"/>
        <v>5178.3364996956334</v>
      </c>
      <c r="AT1077" s="1753">
        <f t="shared" si="1302"/>
        <v>6644.8900761027753</v>
      </c>
      <c r="AU1077" s="1753">
        <f t="shared" si="1302"/>
        <v>8541.7615798654369</v>
      </c>
      <c r="AV1077" s="1753">
        <f t="shared" si="1281"/>
        <v>0.28320940064311029</v>
      </c>
      <c r="AW1077" s="2822"/>
      <c r="AX1077" s="3064"/>
      <c r="AY1077" s="3053"/>
      <c r="BH1077" s="1915"/>
    </row>
    <row r="1078" spans="1:60" ht="14.25" customHeight="1">
      <c r="A1078" s="1"/>
      <c r="B1078" s="1"/>
      <c r="C1078" s="1"/>
      <c r="D1078" s="360" t="s">
        <v>476</v>
      </c>
      <c r="E1078" s="1231" t="s">
        <v>30</v>
      </c>
      <c r="F1078" s="323"/>
      <c r="G1078" s="323"/>
      <c r="H1078" s="323"/>
      <c r="I1078" s="323"/>
      <c r="J1078" s="323"/>
      <c r="K1078" s="323"/>
      <c r="L1078" s="323"/>
      <c r="M1078" s="323"/>
      <c r="N1078" s="323"/>
      <c r="O1078" s="323"/>
      <c r="P1078" s="323"/>
      <c r="Q1078" s="323"/>
      <c r="R1078" s="323"/>
      <c r="S1078" s="323"/>
      <c r="T1078" s="323"/>
      <c r="U1078" s="323"/>
      <c r="V1078" s="105">
        <v>0</v>
      </c>
      <c r="W1078" s="105">
        <v>0</v>
      </c>
      <c r="X1078" s="105">
        <v>0</v>
      </c>
      <c r="Y1078" s="676">
        <f>FISCinyear!ID772</f>
        <v>257.13014440020004</v>
      </c>
      <c r="Z1078" s="676">
        <f>FISCinyear!IG772</f>
        <v>422.56020412279997</v>
      </c>
      <c r="AA1078" s="676">
        <f>FISCinyear!IJ772</f>
        <v>313.14602414006231</v>
      </c>
      <c r="AB1078" s="676">
        <f>FISCinyear!IM772</f>
        <v>368.45089937919278</v>
      </c>
      <c r="AC1078" s="676">
        <f>FISCinyear!IP772</f>
        <v>427.25569619381326</v>
      </c>
      <c r="AD1078" s="676">
        <f>FISCinyear!IS772</f>
        <v>458.58969689067715</v>
      </c>
      <c r="AE1078" s="676">
        <f>FISCinyear!IV772</f>
        <v>484.01122497871916</v>
      </c>
      <c r="AF1078" s="676">
        <f>FISCinyear!IY772</f>
        <v>525.03193928003964</v>
      </c>
      <c r="AG1078" s="676">
        <f>FISCinyear!JB772</f>
        <v>593.41774393779974</v>
      </c>
      <c r="AH1078" s="676">
        <f>FISCinyear!JE772</f>
        <v>689.94568692738767</v>
      </c>
      <c r="AI1078" s="676">
        <f>FISCinyear!JH772</f>
        <v>792.91608138538868</v>
      </c>
      <c r="AJ1078" s="676">
        <f>FISCinyear!JK772</f>
        <v>963.56918243347013</v>
      </c>
      <c r="AK1078" s="105">
        <f t="shared" ref="AK1078:AT1078" si="1303">AK1079+AK1083+AK1084</f>
        <v>1286.4215052223469</v>
      </c>
      <c r="AL1078" s="105">
        <f t="shared" si="1303"/>
        <v>1568.5643778038636</v>
      </c>
      <c r="AM1078" s="105">
        <f t="shared" si="1303"/>
        <v>1819.5633832794522</v>
      </c>
      <c r="AN1078" s="105">
        <f t="shared" si="1303"/>
        <v>2082.5531152154049</v>
      </c>
      <c r="AO1078" s="105">
        <f t="shared" si="1303"/>
        <v>2385.1955140895398</v>
      </c>
      <c r="AP1078" s="105">
        <f t="shared" si="1303"/>
        <v>2706.6287766801497</v>
      </c>
      <c r="AQ1078" s="105">
        <f t="shared" si="1303"/>
        <v>2974.2235838051643</v>
      </c>
      <c r="AR1078" s="105">
        <f t="shared" si="1303"/>
        <v>3317.0401519032507</v>
      </c>
      <c r="AS1078" s="105">
        <f t="shared" si="1303"/>
        <v>3619.3962663329053</v>
      </c>
      <c r="AT1078" s="105">
        <f t="shared" si="1303"/>
        <v>4576.701818251152</v>
      </c>
      <c r="AU1078" s="105">
        <f t="shared" si="1284"/>
        <v>5787.2081396618232</v>
      </c>
      <c r="AV1078" s="105">
        <f t="shared" si="1281"/>
        <v>0.26449315893453362</v>
      </c>
      <c r="AX1078" s="3064"/>
      <c r="AY1078" s="3053"/>
      <c r="AZ1078" s="1">
        <v>2390.67250159995</v>
      </c>
      <c r="BH1078" s="1915"/>
    </row>
    <row r="1079" spans="1:60" ht="14.25" customHeight="1">
      <c r="A1079" s="1"/>
      <c r="B1079" s="1"/>
      <c r="C1079" s="1"/>
      <c r="D1079" s="363" t="s">
        <v>477</v>
      </c>
      <c r="E1079" s="1231" t="s">
        <v>2332</v>
      </c>
      <c r="F1079" s="323"/>
      <c r="G1079" s="323"/>
      <c r="H1079" s="323"/>
      <c r="I1079" s="323"/>
      <c r="J1079" s="323"/>
      <c r="K1079" s="323"/>
      <c r="L1079" s="323"/>
      <c r="M1079" s="323"/>
      <c r="N1079" s="323"/>
      <c r="O1079" s="323"/>
      <c r="P1079" s="323"/>
      <c r="Q1079" s="323"/>
      <c r="R1079" s="323"/>
      <c r="S1079" s="323"/>
      <c r="T1079" s="323"/>
      <c r="U1079" s="323"/>
      <c r="V1079" s="105">
        <v>0</v>
      </c>
      <c r="W1079" s="105">
        <v>0</v>
      </c>
      <c r="X1079" s="105">
        <v>0</v>
      </c>
      <c r="Y1079" s="676">
        <f>FISCinyear!ID773</f>
        <v>257.12892637920004</v>
      </c>
      <c r="Z1079" s="676">
        <f>FISCinyear!IG773</f>
        <v>280.9958439888</v>
      </c>
      <c r="AA1079" s="676">
        <f>FISCinyear!IJ773</f>
        <v>313.14573186541088</v>
      </c>
      <c r="AB1079" s="676">
        <f>FISCinyear!IM773</f>
        <v>368.45089937919278</v>
      </c>
      <c r="AC1079" s="676">
        <f>FISCinyear!IP773</f>
        <v>427.25569619381326</v>
      </c>
      <c r="AD1079" s="676">
        <f>FISCinyear!IS773</f>
        <v>458.58969689067715</v>
      </c>
      <c r="AE1079" s="676">
        <f>FISCinyear!IV773</f>
        <v>484.01122497871916</v>
      </c>
      <c r="AF1079" s="676">
        <f>FISCinyear!IY773</f>
        <v>525.03193928003964</v>
      </c>
      <c r="AG1079" s="676">
        <f>FISCinyear!JB773</f>
        <v>593.41774393779974</v>
      </c>
      <c r="AH1079" s="676">
        <f>FISCinyear!JE773</f>
        <v>689.70983667017458</v>
      </c>
      <c r="AI1079" s="676">
        <f>FISCinyear!JH773</f>
        <v>792.76111214841978</v>
      </c>
      <c r="AJ1079" s="676">
        <f>FISCinyear!JK773</f>
        <v>963.39370718047007</v>
      </c>
      <c r="AK1079" s="105">
        <f t="shared" ref="AK1079:AT1079" si="1304">AK497*AK425</f>
        <v>1286.4215052223469</v>
      </c>
      <c r="AL1079" s="105">
        <f t="shared" si="1304"/>
        <v>1568.5643778038636</v>
      </c>
      <c r="AM1079" s="105">
        <f t="shared" si="1304"/>
        <v>1819.5633832794522</v>
      </c>
      <c r="AN1079" s="105">
        <f t="shared" si="1304"/>
        <v>2082.5531152154049</v>
      </c>
      <c r="AO1079" s="105">
        <f t="shared" si="1304"/>
        <v>2385.1955140895398</v>
      </c>
      <c r="AP1079" s="105">
        <f t="shared" si="1304"/>
        <v>2706.6287766801497</v>
      </c>
      <c r="AQ1079" s="105">
        <f t="shared" si="1304"/>
        <v>2974.2235838051643</v>
      </c>
      <c r="AR1079" s="105">
        <f t="shared" si="1304"/>
        <v>3317.0401519032507</v>
      </c>
      <c r="AS1079" s="105">
        <f t="shared" si="1304"/>
        <v>3619.3962663329053</v>
      </c>
      <c r="AT1079" s="105">
        <f t="shared" si="1304"/>
        <v>4576.701818251152</v>
      </c>
      <c r="AU1079" s="105">
        <f t="shared" si="1284"/>
        <v>5787.2081396618232</v>
      </c>
      <c r="AV1079" s="105">
        <f t="shared" si="1281"/>
        <v>0.26449315893453362</v>
      </c>
      <c r="AY1079" s="3053"/>
      <c r="AZ1079" s="3064">
        <f>AZ1078-'For Comparison'!BG116</f>
        <v>2393.4109953551551</v>
      </c>
      <c r="BH1079" s="1915"/>
    </row>
    <row r="1080" spans="1:60" ht="14.25" customHeight="1">
      <c r="A1080" s="1"/>
      <c r="B1080" s="1"/>
      <c r="C1080" s="1"/>
      <c r="D1080" s="1395" t="s">
        <v>3690</v>
      </c>
      <c r="E1080" s="1231"/>
      <c r="F1080" s="323"/>
      <c r="G1080" s="323"/>
      <c r="H1080" s="323"/>
      <c r="I1080" s="323"/>
      <c r="J1080" s="323"/>
      <c r="K1080" s="323"/>
      <c r="L1080" s="323"/>
      <c r="M1080" s="323"/>
      <c r="N1080" s="323"/>
      <c r="O1080" s="323"/>
      <c r="P1080" s="323"/>
      <c r="Q1080" s="323"/>
      <c r="R1080" s="323"/>
      <c r="S1080" s="323"/>
      <c r="T1080" s="323"/>
      <c r="U1080" s="323"/>
      <c r="V1080" s="105"/>
      <c r="W1080" s="105"/>
      <c r="X1080" s="105"/>
      <c r="Y1080" s="676"/>
      <c r="Z1080" s="676"/>
      <c r="AA1080" s="676"/>
      <c r="AB1080" s="676"/>
      <c r="AC1080" s="676"/>
      <c r="AD1080" s="676"/>
      <c r="AE1080" s="676">
        <f>FISCinyear!IV774</f>
        <v>0</v>
      </c>
      <c r="AF1080" s="676">
        <f>FISCinyear!IY774</f>
        <v>0</v>
      </c>
      <c r="AG1080" s="676">
        <f>FISCinyear!JB774</f>
        <v>0</v>
      </c>
      <c r="AH1080" s="676">
        <f>FISCinyear!JE774</f>
        <v>217.87646883814</v>
      </c>
      <c r="AI1080" s="676">
        <f>FISCinyear!JH774</f>
        <v>239.03446655699972</v>
      </c>
      <c r="AJ1080" s="676">
        <f>FISCinyear!JK774</f>
        <v>296.79587007424999</v>
      </c>
      <c r="AK1080" s="1754">
        <f>AK503*((AJ247+AJ248+AK247+AK248)/2)*AK259/1000</f>
        <v>365.37217241434615</v>
      </c>
      <c r="AL1080" s="1754">
        <f t="shared" ref="AL1080:AO1080" si="1305">AL503*((AK247+AK248+AL247+AL248)/2)*AL259/1000</f>
        <v>435.92795323418318</v>
      </c>
      <c r="AM1080" s="1754">
        <f t="shared" si="1305"/>
        <v>522.15202833808723</v>
      </c>
      <c r="AN1080" s="1754">
        <f t="shared" si="1305"/>
        <v>623.88141953681486</v>
      </c>
      <c r="AO1080" s="1754">
        <f t="shared" si="1305"/>
        <v>741.73179377211716</v>
      </c>
      <c r="AP1080" s="1754">
        <f t="shared" ref="AP1080" si="1306">AP503*((AO247+AO248+AP247+AP248)/2)*AP259/1000</f>
        <v>806.49564952285152</v>
      </c>
      <c r="AQ1080" s="1754">
        <f t="shared" ref="AQ1080" si="1307">AQ503*((AP247+AP248+AQ247+AQ248)/2)*AQ259/1000</f>
        <v>842.34222964485207</v>
      </c>
      <c r="AR1080" s="1754">
        <f t="shared" ref="AR1080" si="1308">AR503*((AQ247+AQ248+AR247+AR248)/2)*AR259/1000</f>
        <v>889.31273395289895</v>
      </c>
      <c r="AS1080" s="1754">
        <f t="shared" ref="AS1080" si="1309">AS503*((AR247+AR248+AS247+AS248)/2)*AS259/1000</f>
        <v>938.53262196152548</v>
      </c>
      <c r="AT1080" s="1754">
        <f t="shared" ref="AT1080" si="1310">AT503*((AS247+AS248+AT247+AT248)/2)*AT259/1000</f>
        <v>989.36185230026229</v>
      </c>
      <c r="AU1080" s="1754">
        <f t="shared" si="1284"/>
        <v>1042.943901876575</v>
      </c>
      <c r="AV1080" s="1754">
        <f t="shared" si="1281"/>
        <v>5.4158192426496665E-2</v>
      </c>
      <c r="AX1080" s="3064">
        <f>AX1079+'For Comparison'!AO116</f>
        <v>0</v>
      </c>
      <c r="AY1080" s="3064">
        <f>AY1079-'For Comparison'!AX116</f>
        <v>0</v>
      </c>
      <c r="AZ1080" s="3064">
        <f>AZ1079-'For Comparison'!BG116</f>
        <v>2396.1494891103603</v>
      </c>
      <c r="BH1080" s="1915"/>
    </row>
    <row r="1081" spans="1:60" ht="14.25" customHeight="1">
      <c r="A1081" s="1"/>
      <c r="B1081" s="1"/>
      <c r="C1081" s="1"/>
      <c r="D1081" s="1901" t="s">
        <v>3698</v>
      </c>
      <c r="E1081" s="1231"/>
      <c r="F1081" s="323"/>
      <c r="G1081" s="323"/>
      <c r="H1081" s="323"/>
      <c r="I1081" s="323"/>
      <c r="J1081" s="323"/>
      <c r="K1081" s="323"/>
      <c r="L1081" s="323"/>
      <c r="M1081" s="323"/>
      <c r="N1081" s="323"/>
      <c r="O1081" s="323"/>
      <c r="P1081" s="323"/>
      <c r="Q1081" s="323"/>
      <c r="R1081" s="323"/>
      <c r="S1081" s="323"/>
      <c r="T1081" s="323"/>
      <c r="U1081" s="323"/>
      <c r="V1081" s="105"/>
      <c r="W1081" s="105"/>
      <c r="X1081" s="105"/>
      <c r="Y1081" s="676"/>
      <c r="Z1081" s="676"/>
      <c r="AA1081" s="676"/>
      <c r="AB1081" s="676"/>
      <c r="AC1081" s="676"/>
      <c r="AD1081" s="676"/>
      <c r="AE1081" s="676">
        <f>FISCinyear!IV775</f>
        <v>0</v>
      </c>
      <c r="AF1081" s="676">
        <f>FISCinyear!IY775</f>
        <v>0</v>
      </c>
      <c r="AG1081" s="676">
        <f>FISCinyear!JB775</f>
        <v>0</v>
      </c>
      <c r="AH1081" s="676">
        <f>FISCinyear!JE775</f>
        <v>0</v>
      </c>
      <c r="AI1081" s="676">
        <f>FISCinyear!JH775</f>
        <v>0</v>
      </c>
      <c r="AJ1081" s="676">
        <f>FISCinyear!JK775</f>
        <v>0</v>
      </c>
      <c r="AK1081" s="105"/>
      <c r="AL1081" s="105"/>
      <c r="AM1081" s="105"/>
      <c r="AN1081" s="105"/>
      <c r="AO1081" s="105"/>
      <c r="AP1081" s="105"/>
      <c r="AQ1081" s="105"/>
      <c r="AR1081" s="105"/>
      <c r="AS1081" s="105"/>
      <c r="AT1081" s="105"/>
      <c r="AU1081" s="105"/>
      <c r="AV1081" s="105" t="e">
        <f t="shared" si="1281"/>
        <v>#DIV/0!</v>
      </c>
      <c r="AX1081" s="3064">
        <f>AX1080/AM425</f>
        <v>0</v>
      </c>
      <c r="AY1081" s="3064">
        <f t="shared" ref="AY1081:AZ1081" si="1311">AY1080/AN425</f>
        <v>0</v>
      </c>
      <c r="AZ1081" s="3064">
        <f t="shared" si="1311"/>
        <v>0.10357980739395291</v>
      </c>
      <c r="BH1081" s="1915"/>
    </row>
    <row r="1082" spans="1:60" ht="14.25" customHeight="1">
      <c r="A1082" s="1"/>
      <c r="B1082" s="1"/>
      <c r="C1082" s="1"/>
      <c r="D1082" s="1395" t="s">
        <v>3691</v>
      </c>
      <c r="E1082" s="1231"/>
      <c r="F1082" s="323"/>
      <c r="G1082" s="323"/>
      <c r="H1082" s="323"/>
      <c r="I1082" s="323"/>
      <c r="J1082" s="323"/>
      <c r="K1082" s="323"/>
      <c r="L1082" s="323"/>
      <c r="M1082" s="323"/>
      <c r="N1082" s="323"/>
      <c r="O1082" s="323"/>
      <c r="P1082" s="323"/>
      <c r="Q1082" s="323"/>
      <c r="R1082" s="323"/>
      <c r="S1082" s="323"/>
      <c r="T1082" s="323"/>
      <c r="U1082" s="323"/>
      <c r="V1082" s="105"/>
      <c r="W1082" s="105"/>
      <c r="X1082" s="105"/>
      <c r="Y1082" s="676"/>
      <c r="Z1082" s="676"/>
      <c r="AA1082" s="676"/>
      <c r="AB1082" s="676"/>
      <c r="AC1082" s="676"/>
      <c r="AD1082" s="676"/>
      <c r="AE1082" s="676">
        <f>FISCinyear!IV776</f>
        <v>0</v>
      </c>
      <c r="AF1082" s="676">
        <f>FISCinyear!IY776</f>
        <v>0</v>
      </c>
      <c r="AG1082" s="676">
        <f>FISCinyear!JB776</f>
        <v>0</v>
      </c>
      <c r="AH1082" s="676">
        <f>FISCinyear!JE776</f>
        <v>362.50295405091191</v>
      </c>
      <c r="AI1082" s="676">
        <f>FISCinyear!JH776</f>
        <v>441.29551168122009</v>
      </c>
      <c r="AJ1082" s="676">
        <f>FISCinyear!JK776</f>
        <v>666.59783710622014</v>
      </c>
      <c r="AK1082" s="1754">
        <f>AK1079-AK1080</f>
        <v>921.04933280800083</v>
      </c>
      <c r="AL1082" s="1754">
        <f t="shared" ref="AL1082:AT1082" si="1312">AL1079-AL1080</f>
        <v>1132.6364245696805</v>
      </c>
      <c r="AM1082" s="1754">
        <f t="shared" si="1312"/>
        <v>1297.4113549413651</v>
      </c>
      <c r="AN1082" s="1754">
        <f t="shared" si="1312"/>
        <v>1458.6716956785899</v>
      </c>
      <c r="AO1082" s="1754">
        <f t="shared" si="1312"/>
        <v>1643.4637203174225</v>
      </c>
      <c r="AP1082" s="1754">
        <f t="shared" si="1312"/>
        <v>1900.1331271572981</v>
      </c>
      <c r="AQ1082" s="1754">
        <f t="shared" si="1312"/>
        <v>2131.8813541603122</v>
      </c>
      <c r="AR1082" s="1754">
        <f t="shared" si="1312"/>
        <v>2427.727417950352</v>
      </c>
      <c r="AS1082" s="1754">
        <f t="shared" si="1312"/>
        <v>2680.8636443713799</v>
      </c>
      <c r="AT1082" s="1754">
        <f t="shared" si="1312"/>
        <v>3587.3399659508896</v>
      </c>
      <c r="AU1082" s="1754">
        <f t="shared" si="1284"/>
        <v>4800.3217389768097</v>
      </c>
      <c r="AV1082" s="1754">
        <f t="shared" si="1281"/>
        <v>0.33812846971262656</v>
      </c>
      <c r="AX1082" s="3064">
        <f>AX1081/AL497</f>
        <v>0</v>
      </c>
      <c r="AY1082" s="3064">
        <f>AY1081/AM497</f>
        <v>0</v>
      </c>
      <c r="AZ1082" s="3064">
        <f>AZ1081/AN497</f>
        <v>1.0653543086856454</v>
      </c>
      <c r="BF1082" s="1916"/>
      <c r="BG1082" s="1916"/>
      <c r="BH1082" s="1915"/>
    </row>
    <row r="1083" spans="1:60" ht="14.25" customHeight="1">
      <c r="A1083" s="1"/>
      <c r="B1083" s="1"/>
      <c r="C1083" s="1"/>
      <c r="D1083" s="363" t="s">
        <v>478</v>
      </c>
      <c r="E1083" s="1231" t="s">
        <v>30</v>
      </c>
      <c r="F1083" s="323"/>
      <c r="G1083" s="323"/>
      <c r="H1083" s="323"/>
      <c r="I1083" s="323"/>
      <c r="J1083" s="323"/>
      <c r="K1083" s="323"/>
      <c r="L1083" s="323"/>
      <c r="M1083" s="323"/>
      <c r="N1083" s="323"/>
      <c r="O1083" s="323"/>
      <c r="P1083" s="323"/>
      <c r="Q1083" s="323"/>
      <c r="R1083" s="323"/>
      <c r="S1083" s="323"/>
      <c r="T1083" s="323"/>
      <c r="U1083" s="323"/>
      <c r="V1083" s="105">
        <v>0</v>
      </c>
      <c r="W1083" s="105">
        <v>0</v>
      </c>
      <c r="X1083" s="105">
        <v>0</v>
      </c>
      <c r="Y1083" s="676">
        <f>FISCinyear!ID777</f>
        <v>1.2180209999999999E-3</v>
      </c>
      <c r="Z1083" s="676">
        <f>FISCinyear!IG777</f>
        <v>2.6030900000000002E-4</v>
      </c>
      <c r="AA1083" s="676">
        <f>FISCinyear!IJ777</f>
        <v>2.9227465145693937E-4</v>
      </c>
      <c r="AB1083" s="676">
        <f>FISCinyear!IM777</f>
        <v>0</v>
      </c>
      <c r="AC1083" s="676">
        <f>FISCinyear!IP777</f>
        <v>0</v>
      </c>
      <c r="AD1083" s="676">
        <f>FISCinyear!IS777</f>
        <v>0</v>
      </c>
      <c r="AE1083" s="676">
        <f>FISCinyear!IV777</f>
        <v>0</v>
      </c>
      <c r="AF1083" s="676">
        <f>FISCinyear!IY777</f>
        <v>0</v>
      </c>
      <c r="AG1083" s="676">
        <f>FISCinyear!JB777</f>
        <v>0</v>
      </c>
      <c r="AH1083" s="676">
        <f>FISCinyear!JE777</f>
        <v>0</v>
      </c>
      <c r="AI1083" s="676">
        <f>FISCinyear!JH777</f>
        <v>0</v>
      </c>
      <c r="AJ1083" s="676">
        <f>FISCinyear!JK777</f>
        <v>0</v>
      </c>
      <c r="AK1083" s="105">
        <f t="shared" ref="AK1083:AT1083" si="1313">AK511*AK423</f>
        <v>0</v>
      </c>
      <c r="AL1083" s="105">
        <f t="shared" si="1313"/>
        <v>0</v>
      </c>
      <c r="AM1083" s="105">
        <f t="shared" si="1313"/>
        <v>0</v>
      </c>
      <c r="AN1083" s="105">
        <f t="shared" si="1313"/>
        <v>0</v>
      </c>
      <c r="AO1083" s="105">
        <f t="shared" si="1313"/>
        <v>0</v>
      </c>
      <c r="AP1083" s="105">
        <f t="shared" si="1313"/>
        <v>0</v>
      </c>
      <c r="AQ1083" s="105">
        <f t="shared" si="1313"/>
        <v>0</v>
      </c>
      <c r="AR1083" s="105">
        <f t="shared" si="1313"/>
        <v>0</v>
      </c>
      <c r="AS1083" s="105">
        <f t="shared" si="1313"/>
        <v>0</v>
      </c>
      <c r="AT1083" s="105">
        <f t="shared" si="1313"/>
        <v>0</v>
      </c>
      <c r="AU1083" s="105">
        <f t="shared" ref="AU1083" si="1314">AU511*AU423</f>
        <v>0</v>
      </c>
      <c r="AV1083" s="105" t="e">
        <f t="shared" si="1281"/>
        <v>#DIV/0!</v>
      </c>
      <c r="BF1083" s="1916"/>
      <c r="BG1083" s="1916"/>
      <c r="BH1083" s="1915"/>
    </row>
    <row r="1084" spans="1:60" ht="14.25" customHeight="1">
      <c r="A1084" s="1"/>
      <c r="B1084" s="1"/>
      <c r="C1084" s="1"/>
      <c r="D1084" s="363" t="s">
        <v>479</v>
      </c>
      <c r="E1084" s="1231" t="s">
        <v>30</v>
      </c>
      <c r="F1084" s="323"/>
      <c r="G1084" s="323"/>
      <c r="H1084" s="323"/>
      <c r="I1084" s="323"/>
      <c r="J1084" s="323"/>
      <c r="K1084" s="323"/>
      <c r="L1084" s="323"/>
      <c r="M1084" s="323"/>
      <c r="N1084" s="323"/>
      <c r="O1084" s="323"/>
      <c r="P1084" s="323"/>
      <c r="Q1084" s="323"/>
      <c r="R1084" s="323"/>
      <c r="S1084" s="323"/>
      <c r="T1084" s="323"/>
      <c r="U1084" s="323"/>
      <c r="V1084" s="105">
        <v>0</v>
      </c>
      <c r="W1084" s="105">
        <v>0</v>
      </c>
      <c r="X1084" s="105">
        <v>0</v>
      </c>
      <c r="Y1084" s="676">
        <f>FISCinyear!ID778</f>
        <v>0</v>
      </c>
      <c r="Z1084" s="676">
        <f>FISCinyear!IG778</f>
        <v>0</v>
      </c>
      <c r="AA1084" s="676">
        <f>FISCinyear!IJ778</f>
        <v>0</v>
      </c>
      <c r="AB1084" s="676">
        <f>FISCinyear!IM778</f>
        <v>0</v>
      </c>
      <c r="AC1084" s="676">
        <f>FISCinyear!IP778</f>
        <v>0</v>
      </c>
      <c r="AD1084" s="676">
        <f>FISCinyear!IS778</f>
        <v>0</v>
      </c>
      <c r="AE1084" s="676">
        <f>FISCinyear!IV778</f>
        <v>0</v>
      </c>
      <c r="AF1084" s="676">
        <f>FISCinyear!IY778</f>
        <v>0</v>
      </c>
      <c r="AG1084" s="676">
        <f>FISCinyear!JB778</f>
        <v>0</v>
      </c>
      <c r="AH1084" s="676">
        <f>FISCinyear!JE778</f>
        <v>0</v>
      </c>
      <c r="AI1084" s="676">
        <f>FISCinyear!JH778</f>
        <v>0</v>
      </c>
      <c r="AJ1084" s="676">
        <f>FISCinyear!JK778</f>
        <v>0</v>
      </c>
      <c r="AK1084" s="105">
        <f t="shared" ref="AK1084:AT1084" si="1315">AK515*AK423</f>
        <v>0</v>
      </c>
      <c r="AL1084" s="105">
        <f t="shared" si="1315"/>
        <v>0</v>
      </c>
      <c r="AM1084" s="105">
        <f t="shared" si="1315"/>
        <v>0</v>
      </c>
      <c r="AN1084" s="105">
        <f t="shared" si="1315"/>
        <v>0</v>
      </c>
      <c r="AO1084" s="105">
        <f t="shared" si="1315"/>
        <v>0</v>
      </c>
      <c r="AP1084" s="105">
        <f t="shared" si="1315"/>
        <v>0</v>
      </c>
      <c r="AQ1084" s="105">
        <f t="shared" si="1315"/>
        <v>0</v>
      </c>
      <c r="AR1084" s="105">
        <f t="shared" si="1315"/>
        <v>0</v>
      </c>
      <c r="AS1084" s="105">
        <f t="shared" si="1315"/>
        <v>0</v>
      </c>
      <c r="AT1084" s="105">
        <f t="shared" si="1315"/>
        <v>0</v>
      </c>
      <c r="AU1084" s="105">
        <f t="shared" ref="AU1084" si="1316">AU515*AU423</f>
        <v>0</v>
      </c>
      <c r="AV1084" s="105" t="e">
        <f t="shared" si="1281"/>
        <v>#DIV/0!</v>
      </c>
      <c r="AY1084" s="1916"/>
      <c r="AZ1084" s="1916"/>
      <c r="BA1084" s="1916"/>
      <c r="BB1084" s="1916"/>
      <c r="BC1084" s="1916"/>
      <c r="BF1084" s="1916"/>
      <c r="BG1084" s="1916"/>
      <c r="BH1084" s="1915"/>
    </row>
    <row r="1085" spans="1:60" ht="14.25" customHeight="1">
      <c r="A1085" s="1"/>
      <c r="B1085" s="1"/>
      <c r="C1085" s="1"/>
      <c r="D1085" s="360" t="s">
        <v>480</v>
      </c>
      <c r="E1085" s="1231" t="s">
        <v>2332</v>
      </c>
      <c r="F1085" s="323"/>
      <c r="G1085" s="323"/>
      <c r="H1085" s="323"/>
      <c r="I1085" s="323"/>
      <c r="J1085" s="323"/>
      <c r="K1085" s="323"/>
      <c r="L1085" s="323"/>
      <c r="M1085" s="323"/>
      <c r="N1085" s="323"/>
      <c r="O1085" s="323"/>
      <c r="P1085" s="323"/>
      <c r="Q1085" s="323"/>
      <c r="R1085" s="323"/>
      <c r="S1085" s="323"/>
      <c r="T1085" s="323"/>
      <c r="U1085" s="323"/>
      <c r="V1085" s="105">
        <v>0</v>
      </c>
      <c r="W1085" s="105">
        <v>0</v>
      </c>
      <c r="X1085" s="105">
        <v>0</v>
      </c>
      <c r="Y1085" s="676">
        <f>FISCinyear!ID779</f>
        <v>125.75870188299999</v>
      </c>
      <c r="Z1085" s="676">
        <f>FISCinyear!IG779</f>
        <v>137.019465994</v>
      </c>
      <c r="AA1085" s="676">
        <f>FISCinyear!IJ779</f>
        <v>166.91650750406944</v>
      </c>
      <c r="AB1085" s="676">
        <f>FISCinyear!IM779</f>
        <v>161.57576229541854</v>
      </c>
      <c r="AC1085" s="676">
        <f>FISCinyear!IP779</f>
        <v>177.88647146308475</v>
      </c>
      <c r="AD1085" s="676">
        <f>FISCinyear!IS779</f>
        <v>214.97804443000001</v>
      </c>
      <c r="AE1085" s="676">
        <f>FISCinyear!IV779</f>
        <v>213.30783857653682</v>
      </c>
      <c r="AF1085" s="676">
        <f>FISCinyear!IY779</f>
        <v>243.27474064340004</v>
      </c>
      <c r="AG1085" s="676">
        <f>FISCinyear!JB779</f>
        <v>258.78401449573596</v>
      </c>
      <c r="AH1085" s="676">
        <f>FISCinyear!JE779</f>
        <v>329.95008745162204</v>
      </c>
      <c r="AI1085" s="676">
        <f>FISCinyear!JH779</f>
        <v>378.52704908100907</v>
      </c>
      <c r="AJ1085" s="676">
        <f>FISCinyear!JK779</f>
        <v>429.39646071599975</v>
      </c>
      <c r="AK1085" s="105">
        <f t="shared" ref="AK1085:AT1085" si="1317">AK519*AK425</f>
        <v>536.92874073881399</v>
      </c>
      <c r="AL1085" s="105">
        <f t="shared" si="1317"/>
        <v>622.35373315080608</v>
      </c>
      <c r="AM1085" s="105">
        <f t="shared" si="1317"/>
        <v>704.42595246018141</v>
      </c>
      <c r="AN1085" s="105">
        <f t="shared" si="1317"/>
        <v>796.63916266137414</v>
      </c>
      <c r="AO1085" s="105">
        <f t="shared" si="1317"/>
        <v>922.4935110681555</v>
      </c>
      <c r="AP1085" s="105">
        <f t="shared" si="1317"/>
        <v>993.96750167031223</v>
      </c>
      <c r="AQ1085" s="105">
        <f t="shared" si="1317"/>
        <v>1054.5699018554642</v>
      </c>
      <c r="AR1085" s="105">
        <f t="shared" si="1317"/>
        <v>1146.0880501699546</v>
      </c>
      <c r="AS1085" s="105">
        <f t="shared" si="1317"/>
        <v>1381.6309387692468</v>
      </c>
      <c r="AT1085" s="105">
        <f t="shared" si="1317"/>
        <v>1873.296807859625</v>
      </c>
      <c r="AU1085" s="105">
        <f t="shared" si="1284"/>
        <v>2539.9264245364129</v>
      </c>
      <c r="AV1085" s="105">
        <f t="shared" si="1281"/>
        <v>0.35585904693792747</v>
      </c>
      <c r="BH1085" s="1915"/>
    </row>
    <row r="1086" spans="1:60" ht="14.25" customHeight="1">
      <c r="A1086" s="1"/>
      <c r="B1086" s="1"/>
      <c r="C1086" s="1"/>
      <c r="D1086" s="1416" t="s">
        <v>3699</v>
      </c>
      <c r="E1086" s="1231"/>
      <c r="F1086" s="323"/>
      <c r="G1086" s="323"/>
      <c r="H1086" s="323"/>
      <c r="I1086" s="323"/>
      <c r="J1086" s="323"/>
      <c r="K1086" s="323"/>
      <c r="L1086" s="323"/>
      <c r="M1086" s="323"/>
      <c r="N1086" s="323"/>
      <c r="O1086" s="323"/>
      <c r="P1086" s="323"/>
      <c r="Q1086" s="323"/>
      <c r="R1086" s="323"/>
      <c r="S1086" s="323"/>
      <c r="T1086" s="323"/>
      <c r="U1086" s="323"/>
      <c r="V1086" s="105"/>
      <c r="W1086" s="105"/>
      <c r="X1086" s="105"/>
      <c r="Y1086" s="676"/>
      <c r="Z1086" s="676"/>
      <c r="AA1086" s="676"/>
      <c r="AB1086" s="676"/>
      <c r="AC1086" s="676"/>
      <c r="AD1086" s="676"/>
      <c r="AE1086" s="676">
        <f>FISCinyear!IV780</f>
        <v>0</v>
      </c>
      <c r="AF1086" s="676">
        <f>FISCinyear!IY780</f>
        <v>0</v>
      </c>
      <c r="AG1086" s="676">
        <f>FISCinyear!JB780</f>
        <v>0</v>
      </c>
      <c r="AH1086" s="676">
        <f>FISCinyear!JE780-AH1087</f>
        <v>56.47596840458678</v>
      </c>
      <c r="AI1086" s="676">
        <f>FISCinyear!JH780-AI1087</f>
        <v>84.887876701990649</v>
      </c>
      <c r="AJ1086" s="676">
        <f>FISCinyear!JI780-AJ1087</f>
        <v>20.570211704000002</v>
      </c>
      <c r="AK1086" s="1754">
        <f>AK523*(((AJ248+AK248)/2)*AK259/1000)</f>
        <v>23.90560511264723</v>
      </c>
      <c r="AL1086" s="1754">
        <f t="shared" ref="AL1086:AO1086" si="1318">AL523*(((AK248+AL248)/2)*AL259/1000)</f>
        <v>25.716188678026072</v>
      </c>
      <c r="AM1086" s="1754">
        <f t="shared" si="1318"/>
        <v>27.480798170159606</v>
      </c>
      <c r="AN1086" s="1754">
        <f t="shared" si="1318"/>
        <v>29.026387972281828</v>
      </c>
      <c r="AO1086" s="1754">
        <f t="shared" si="1318"/>
        <v>30.466305167040503</v>
      </c>
      <c r="AP1086" s="1754">
        <f t="shared" ref="AP1086" si="1319">AP523*(((AO248+AP248)/2)*AP259/1000)</f>
        <v>33.130362188368132</v>
      </c>
      <c r="AQ1086" s="1754">
        <f>AQ523*(((AP248+AQ248)/2)*AQ259/1000)</f>
        <v>36.642844116255866</v>
      </c>
      <c r="AR1086" s="1754">
        <f t="shared" ref="AR1086" si="1320">AR523*(((AQ248+AR248)/2)*AR259/1000)</f>
        <v>41.162188886295894</v>
      </c>
      <c r="AS1086" s="1754">
        <f t="shared" ref="AS1086" si="1321">AS523*(((AR248+AS248)/2)*AS259/1000)</f>
        <v>46.189297808214462</v>
      </c>
      <c r="AT1086" s="1754">
        <f t="shared" ref="AT1086" si="1322">AT523*(((AS248+AT248)/2)*AT259/1000)</f>
        <v>51.738043465818002</v>
      </c>
      <c r="AU1086" s="1754">
        <f t="shared" si="1284"/>
        <v>57.953362980002204</v>
      </c>
      <c r="AV1086" s="1754">
        <f t="shared" si="1281"/>
        <v>0.12013054800362721</v>
      </c>
      <c r="BH1086" s="1915"/>
    </row>
    <row r="1087" spans="1:60" ht="14.25" customHeight="1">
      <c r="A1087" s="1"/>
      <c r="B1087" s="1"/>
      <c r="C1087" s="1"/>
      <c r="D1087" s="1416" t="s">
        <v>3692</v>
      </c>
      <c r="E1087" s="1231"/>
      <c r="F1087" s="323"/>
      <c r="G1087" s="323"/>
      <c r="H1087" s="323"/>
      <c r="I1087" s="323"/>
      <c r="J1087" s="323"/>
      <c r="K1087" s="323"/>
      <c r="L1087" s="323"/>
      <c r="M1087" s="323"/>
      <c r="N1087" s="323"/>
      <c r="O1087" s="323"/>
      <c r="P1087" s="323"/>
      <c r="Q1087" s="323"/>
      <c r="R1087" s="323"/>
      <c r="S1087" s="323"/>
      <c r="T1087" s="323"/>
      <c r="U1087" s="323"/>
      <c r="V1087" s="105"/>
      <c r="W1087" s="105"/>
      <c r="X1087" s="105"/>
      <c r="Y1087" s="676"/>
      <c r="Z1087" s="676"/>
      <c r="AA1087" s="676"/>
      <c r="AB1087" s="676"/>
      <c r="AC1087" s="676"/>
      <c r="AD1087" s="676"/>
      <c r="AE1087" s="676">
        <f>FISCinyear!IV781</f>
        <v>0</v>
      </c>
      <c r="AF1087" s="676">
        <f>FISCinyear!IY781</f>
        <v>0</v>
      </c>
      <c r="AG1087" s="676">
        <f>FISCinyear!JB781</f>
        <v>0</v>
      </c>
      <c r="AH1087" s="676">
        <f>FISCinyear!JE781</f>
        <v>140.54940566906794</v>
      </c>
      <c r="AI1087" s="676">
        <f>FISCinyear!JH781</f>
        <v>154.14658985500907</v>
      </c>
      <c r="AJ1087" s="676">
        <f>FISCinyear!JK781</f>
        <v>92.999809870999997</v>
      </c>
      <c r="AK1087" s="1754">
        <f t="shared" ref="AK1087:AT1087" si="1323">AK527*AK530/1000</f>
        <v>100.33612831436291</v>
      </c>
      <c r="AL1087" s="1754">
        <f t="shared" si="1323"/>
        <v>119.94403160106025</v>
      </c>
      <c r="AM1087" s="1754">
        <f t="shared" si="1323"/>
        <v>126.20452228727881</v>
      </c>
      <c r="AN1087" s="1754">
        <f t="shared" si="1323"/>
        <v>132.35110417648482</v>
      </c>
      <c r="AO1087" s="1754">
        <f t="shared" si="1323"/>
        <v>143.21473351148737</v>
      </c>
      <c r="AP1087" s="1754">
        <f>AP527*AP530/1000</f>
        <v>152.88730271554229</v>
      </c>
      <c r="AQ1087" s="1754">
        <f t="shared" si="1323"/>
        <v>171.91777930147077</v>
      </c>
      <c r="AR1087" s="1754">
        <f t="shared" si="1323"/>
        <v>193.34792281387996</v>
      </c>
      <c r="AS1087" s="1754">
        <f t="shared" si="1323"/>
        <v>217.37537481611687</v>
      </c>
      <c r="AT1087" s="1754">
        <f t="shared" si="1323"/>
        <v>244.09947345536784</v>
      </c>
      <c r="AU1087" s="1754">
        <f t="shared" si="1284"/>
        <v>274.10902910042989</v>
      </c>
      <c r="AV1087" s="1754">
        <f t="shared" si="1281"/>
        <v>0.12293986226295206</v>
      </c>
      <c r="BH1087" s="1915"/>
    </row>
    <row r="1088" spans="1:60" ht="14.25" customHeight="1">
      <c r="A1088" s="1"/>
      <c r="B1088" s="1"/>
      <c r="C1088" s="1"/>
      <c r="D1088" s="1901" t="s">
        <v>3073</v>
      </c>
      <c r="E1088" s="1231"/>
      <c r="F1088" s="323"/>
      <c r="G1088" s="323"/>
      <c r="H1088" s="323"/>
      <c r="I1088" s="323"/>
      <c r="J1088" s="323"/>
      <c r="K1088" s="323"/>
      <c r="L1088" s="323"/>
      <c r="M1088" s="323"/>
      <c r="N1088" s="323"/>
      <c r="O1088" s="323"/>
      <c r="P1088" s="323"/>
      <c r="Q1088" s="323"/>
      <c r="R1088" s="323"/>
      <c r="S1088" s="323"/>
      <c r="T1088" s="323"/>
      <c r="U1088" s="323"/>
      <c r="V1088" s="105"/>
      <c r="W1088" s="105"/>
      <c r="X1088" s="105"/>
      <c r="Y1088" s="676"/>
      <c r="Z1088" s="676"/>
      <c r="AA1088" s="676"/>
      <c r="AB1088" s="676"/>
      <c r="AC1088" s="676"/>
      <c r="AD1088" s="676"/>
      <c r="AE1088" s="676">
        <f>FISCinyear!IV782</f>
        <v>0</v>
      </c>
      <c r="AF1088" s="676">
        <f>FISCinyear!IY782</f>
        <v>0</v>
      </c>
      <c r="AG1088" s="676">
        <f>FISCinyear!JB782</f>
        <v>13.710681521000001</v>
      </c>
      <c r="AH1088" s="676">
        <f>FISCinyear!JE782</f>
        <v>15.130781493000001</v>
      </c>
      <c r="AI1088" s="676">
        <f>FISCinyear!JH782</f>
        <v>15.757583561000001</v>
      </c>
      <c r="AJ1088" s="676">
        <f>FISCinyear!JK782</f>
        <v>18.417948545000002</v>
      </c>
      <c r="AK1088" s="105">
        <v>20.330243796216074</v>
      </c>
      <c r="AL1088" s="105">
        <v>21.510252886349313</v>
      </c>
      <c r="AM1088" s="105">
        <v>25.661199018147244</v>
      </c>
      <c r="AN1088" s="105">
        <v>28.715416217827794</v>
      </c>
      <c r="AO1088" s="105">
        <v>27.188307617987519</v>
      </c>
      <c r="AP1088" s="105">
        <f>AO1088</f>
        <v>27.188307617987519</v>
      </c>
      <c r="AQ1088" s="105">
        <f t="shared" ref="AQ1088:AT1088" si="1324">AVERAGE(AO1088:AP1088)</f>
        <v>27.188307617987519</v>
      </c>
      <c r="AR1088" s="105">
        <f t="shared" si="1324"/>
        <v>27.188307617987519</v>
      </c>
      <c r="AS1088" s="105">
        <f t="shared" si="1324"/>
        <v>27.188307617987519</v>
      </c>
      <c r="AT1088" s="105">
        <f t="shared" si="1324"/>
        <v>27.188307617987519</v>
      </c>
      <c r="AU1088" s="105">
        <f t="shared" si="1284"/>
        <v>27.188307617987519</v>
      </c>
      <c r="AV1088" s="105">
        <f t="shared" si="1281"/>
        <v>0</v>
      </c>
      <c r="AW1088" s="1916"/>
      <c r="AX1088" s="1916"/>
      <c r="AY1088" s="1916"/>
      <c r="AZ1088" s="1916"/>
      <c r="BA1088" s="1916"/>
      <c r="BB1088" s="1916"/>
      <c r="BC1088" s="1916"/>
      <c r="BD1088" s="1916"/>
      <c r="BE1088" s="1916"/>
      <c r="BF1088" s="1916"/>
      <c r="BG1088" s="1916"/>
      <c r="BH1088" s="1915"/>
    </row>
    <row r="1089" spans="1:64" ht="14.25" customHeight="1">
      <c r="A1089" s="1"/>
      <c r="B1089" s="1"/>
      <c r="C1089" s="1"/>
      <c r="D1089" s="1901" t="s">
        <v>3061</v>
      </c>
      <c r="E1089" s="1231" t="s">
        <v>30</v>
      </c>
      <c r="F1089" s="323"/>
      <c r="G1089" s="323"/>
      <c r="H1089" s="323"/>
      <c r="I1089" s="323"/>
      <c r="J1089" s="323"/>
      <c r="K1089" s="323"/>
      <c r="L1089" s="323"/>
      <c r="M1089" s="323"/>
      <c r="N1089" s="323"/>
      <c r="O1089" s="323"/>
      <c r="P1089" s="323"/>
      <c r="Q1089" s="323"/>
      <c r="R1089" s="323"/>
      <c r="S1089" s="323"/>
      <c r="T1089" s="323"/>
      <c r="U1089" s="323"/>
      <c r="V1089" s="105"/>
      <c r="W1089" s="105"/>
      <c r="X1089" s="105"/>
      <c r="Y1089" s="676"/>
      <c r="Z1089" s="676"/>
      <c r="AA1089" s="676"/>
      <c r="AB1089" s="676"/>
      <c r="AC1089" s="676"/>
      <c r="AD1089" s="676"/>
      <c r="AE1089" s="676">
        <f>FISCinyear!IV783</f>
        <v>0</v>
      </c>
      <c r="AF1089" s="676">
        <f>FISCinyear!IY783</f>
        <v>0</v>
      </c>
      <c r="AG1089" s="676">
        <f>FISCinyear!JB783</f>
        <v>14.651173965598407</v>
      </c>
      <c r="AH1089" s="676">
        <f>FISCinyear!JE783</f>
        <v>47.711380504621999</v>
      </c>
      <c r="AI1089" s="676">
        <f>FISCinyear!JH783</f>
        <v>55.384795800000006</v>
      </c>
      <c r="AJ1089" s="676">
        <f>FISCinyear!JK783</f>
        <v>63.768811440999997</v>
      </c>
      <c r="AK1089" s="931">
        <v>81.103994720900815</v>
      </c>
      <c r="AL1089" s="931">
        <v>85.301645703940707</v>
      </c>
      <c r="AM1089" s="931">
        <v>100.99410181878766</v>
      </c>
      <c r="AN1089" s="105">
        <v>112.24429719143173</v>
      </c>
      <c r="AO1089" s="105">
        <v>106.61919950510969</v>
      </c>
      <c r="AP1089" s="105">
        <f>AO1089</f>
        <v>106.61919950510969</v>
      </c>
      <c r="AQ1089" s="105">
        <f t="shared" ref="AQ1089:AT1089" si="1325">AVERAGE(AO1089:AP1089)</f>
        <v>106.61919950510969</v>
      </c>
      <c r="AR1089" s="105">
        <f t="shared" si="1325"/>
        <v>106.61919950510969</v>
      </c>
      <c r="AS1089" s="105">
        <f t="shared" si="1325"/>
        <v>106.61919950510969</v>
      </c>
      <c r="AT1089" s="105">
        <f t="shared" si="1325"/>
        <v>106.61919950510969</v>
      </c>
      <c r="AU1089" s="105">
        <f t="shared" si="1284"/>
        <v>106.61919950510969</v>
      </c>
      <c r="AV1089" s="105">
        <f t="shared" si="1281"/>
        <v>0</v>
      </c>
      <c r="BF1089" s="1916"/>
      <c r="BG1089" s="1916"/>
      <c r="BH1089" s="1915"/>
    </row>
    <row r="1090" spans="1:64" ht="14.25" customHeight="1">
      <c r="A1090" s="1"/>
      <c r="B1090" s="1"/>
      <c r="C1090" s="1"/>
      <c r="D1090" s="1416" t="s">
        <v>3700</v>
      </c>
      <c r="E1090" s="1231"/>
      <c r="F1090" s="323"/>
      <c r="G1090" s="323"/>
      <c r="H1090" s="323"/>
      <c r="I1090" s="323"/>
      <c r="J1090" s="323"/>
      <c r="K1090" s="323"/>
      <c r="L1090" s="323"/>
      <c r="M1090" s="323"/>
      <c r="N1090" s="323"/>
      <c r="O1090" s="323"/>
      <c r="P1090" s="323"/>
      <c r="Q1090" s="323"/>
      <c r="R1090" s="323"/>
      <c r="S1090" s="323"/>
      <c r="T1090" s="323"/>
      <c r="U1090" s="323"/>
      <c r="V1090" s="105"/>
      <c r="W1090" s="105"/>
      <c r="X1090" s="105"/>
      <c r="Y1090" s="676"/>
      <c r="Z1090" s="676"/>
      <c r="AA1090" s="676"/>
      <c r="AB1090" s="676"/>
      <c r="AC1090" s="676"/>
      <c r="AD1090" s="676"/>
      <c r="AE1090" s="676">
        <f>FISCinyear!IV784</f>
        <v>0</v>
      </c>
      <c r="AF1090" s="676">
        <f>FISCinyear!IY784</f>
        <v>0</v>
      </c>
      <c r="AG1090" s="676">
        <f>FISCinyear!JB784</f>
        <v>0</v>
      </c>
      <c r="AH1090" s="676">
        <f>FISCinyear!JE784</f>
        <v>132.92471337796729</v>
      </c>
      <c r="AI1090" s="676">
        <f>FISCinyear!JH784</f>
        <v>139.49258252400935</v>
      </c>
      <c r="AJ1090" s="676">
        <f>FISCinyear!JK784</f>
        <v>197.28645541099982</v>
      </c>
      <c r="AK1090" s="1755">
        <f>AK1085-AK1086-AK1087-AK1088-AK1089</f>
        <v>311.25276879468703</v>
      </c>
      <c r="AL1090" s="1755">
        <f t="shared" ref="AL1090:AT1090" si="1326">AL1085-AL1086-AL1087-AL1088-AL1089</f>
        <v>369.88161428142979</v>
      </c>
      <c r="AM1090" s="1755">
        <f t="shared" si="1326"/>
        <v>424.0853311658081</v>
      </c>
      <c r="AN1090" s="1755">
        <f t="shared" si="1326"/>
        <v>494.30195710334812</v>
      </c>
      <c r="AO1090" s="1755">
        <f t="shared" si="1326"/>
        <v>615.00496526653035</v>
      </c>
      <c r="AP1090" s="1755">
        <f t="shared" si="1326"/>
        <v>674.14232964330449</v>
      </c>
      <c r="AQ1090" s="1755">
        <f t="shared" si="1326"/>
        <v>712.20177131464027</v>
      </c>
      <c r="AR1090" s="1755">
        <f t="shared" si="1326"/>
        <v>777.77043134668168</v>
      </c>
      <c r="AS1090" s="1755">
        <f t="shared" si="1326"/>
        <v>984.25875902181838</v>
      </c>
      <c r="AT1090" s="1755">
        <f t="shared" si="1326"/>
        <v>1443.651783815342</v>
      </c>
      <c r="AU1090" s="1755">
        <f t="shared" si="1284"/>
        <v>2117.4619517579722</v>
      </c>
      <c r="AV1090" s="1755">
        <f t="shared" si="1281"/>
        <v>0.46674009307276099</v>
      </c>
      <c r="BF1090" s="1916"/>
      <c r="BG1090" s="1916"/>
      <c r="BH1090" s="1915"/>
    </row>
    <row r="1091" spans="1:64" ht="14.25" customHeight="1">
      <c r="A1091" s="1"/>
      <c r="B1091" s="1"/>
      <c r="C1091" s="1"/>
      <c r="D1091" s="360" t="s">
        <v>481</v>
      </c>
      <c r="E1091" s="1231" t="s">
        <v>30</v>
      </c>
      <c r="F1091" s="323"/>
      <c r="G1091" s="323"/>
      <c r="H1091" s="323"/>
      <c r="I1091" s="323"/>
      <c r="J1091" s="323"/>
      <c r="K1091" s="323"/>
      <c r="L1091" s="323"/>
      <c r="M1091" s="323"/>
      <c r="N1091" s="323"/>
      <c r="O1091" s="323"/>
      <c r="P1091" s="323"/>
      <c r="Q1091" s="323"/>
      <c r="R1091" s="323"/>
      <c r="S1091" s="323"/>
      <c r="T1091" s="323"/>
      <c r="U1091" s="323"/>
      <c r="V1091" s="105">
        <v>0</v>
      </c>
      <c r="W1091" s="105">
        <v>0</v>
      </c>
      <c r="X1091" s="105">
        <v>0</v>
      </c>
      <c r="Y1091" s="676">
        <f>FISCinyear!ID785</f>
        <v>0</v>
      </c>
      <c r="Z1091" s="676">
        <f>FISCinyear!IG785</f>
        <v>0</v>
      </c>
      <c r="AA1091" s="676">
        <f>FISCinyear!IJ785</f>
        <v>0</v>
      </c>
      <c r="AB1091" s="676">
        <f>FISCinyear!IM785</f>
        <v>0</v>
      </c>
      <c r="AC1091" s="676">
        <f>FISCinyear!IP785</f>
        <v>0</v>
      </c>
      <c r="AD1091" s="676">
        <f>FISCinyear!IS785</f>
        <v>0</v>
      </c>
      <c r="AE1091" s="676">
        <f>FISCinyear!IV785</f>
        <v>0</v>
      </c>
      <c r="AF1091" s="676">
        <f>FISCinyear!IY785</f>
        <v>0</v>
      </c>
      <c r="AG1091" s="676">
        <f>FISCinyear!JB785</f>
        <v>0</v>
      </c>
      <c r="AH1091" s="676">
        <f>FISCinyear!JE785</f>
        <v>0</v>
      </c>
      <c r="AI1091" s="676">
        <f>FISCinyear!JH785</f>
        <v>0</v>
      </c>
      <c r="AJ1091" s="676">
        <f>FISCinyear!JK785</f>
        <v>0</v>
      </c>
      <c r="AK1091" s="105">
        <f t="shared" ref="AK1091:AU1091" si="1327">AK537*AK423</f>
        <v>0</v>
      </c>
      <c r="AL1091" s="105">
        <f t="shared" si="1327"/>
        <v>0</v>
      </c>
      <c r="AM1091" s="105">
        <f t="shared" si="1327"/>
        <v>0</v>
      </c>
      <c r="AN1091" s="105">
        <f t="shared" si="1327"/>
        <v>0</v>
      </c>
      <c r="AO1091" s="105">
        <f t="shared" si="1327"/>
        <v>0</v>
      </c>
      <c r="AP1091" s="105">
        <f t="shared" si="1327"/>
        <v>0</v>
      </c>
      <c r="AQ1091" s="105">
        <f t="shared" si="1327"/>
        <v>0</v>
      </c>
      <c r="AR1091" s="105">
        <f t="shared" si="1327"/>
        <v>0</v>
      </c>
      <c r="AS1091" s="105">
        <f t="shared" si="1327"/>
        <v>0</v>
      </c>
      <c r="AT1091" s="105">
        <f t="shared" si="1327"/>
        <v>0</v>
      </c>
      <c r="AU1091" s="105">
        <f t="shared" si="1327"/>
        <v>0</v>
      </c>
      <c r="AV1091" s="105" t="e">
        <f t="shared" si="1281"/>
        <v>#DIV/0!</v>
      </c>
      <c r="BF1091" s="1916"/>
      <c r="BG1091" s="1916"/>
      <c r="BH1091" s="1915"/>
    </row>
    <row r="1092" spans="1:64" ht="14.25" customHeight="1">
      <c r="A1092" s="1"/>
      <c r="B1092" s="1"/>
      <c r="C1092" s="1"/>
      <c r="D1092" s="360" t="s">
        <v>482</v>
      </c>
      <c r="E1092" s="1231" t="s">
        <v>30</v>
      </c>
      <c r="F1092" s="323"/>
      <c r="G1092" s="323"/>
      <c r="H1092" s="323"/>
      <c r="I1092" s="323"/>
      <c r="J1092" s="323"/>
      <c r="K1092" s="323"/>
      <c r="L1092" s="323"/>
      <c r="M1092" s="323"/>
      <c r="N1092" s="323"/>
      <c r="O1092" s="323"/>
      <c r="P1092" s="323"/>
      <c r="Q1092" s="323"/>
      <c r="R1092" s="323"/>
      <c r="S1092" s="323"/>
      <c r="T1092" s="323"/>
      <c r="U1092" s="323"/>
      <c r="V1092" s="105">
        <v>0</v>
      </c>
      <c r="W1092" s="105">
        <v>0</v>
      </c>
      <c r="X1092" s="105">
        <v>0</v>
      </c>
      <c r="Y1092" s="676">
        <f>FISCinyear!ID786</f>
        <v>0</v>
      </c>
      <c r="Z1092" s="676">
        <f>FISCinyear!IG786</f>
        <v>0</v>
      </c>
      <c r="AA1092" s="676">
        <f>FISCinyear!IJ786</f>
        <v>0</v>
      </c>
      <c r="AB1092" s="676">
        <f>FISCinyear!IM786</f>
        <v>0</v>
      </c>
      <c r="AC1092" s="676">
        <f>FISCinyear!IP786</f>
        <v>0</v>
      </c>
      <c r="AD1092" s="676">
        <f>FISCinyear!IS786</f>
        <v>0</v>
      </c>
      <c r="AE1092" s="676">
        <f>FISCinyear!IV786</f>
        <v>1.1344763579999999</v>
      </c>
      <c r="AF1092" s="676">
        <f>FISCinyear!IY786</f>
        <v>0.70106161728148952</v>
      </c>
      <c r="AG1092" s="676">
        <f>FISCinyear!JB786</f>
        <v>1.689112855058116</v>
      </c>
      <c r="AH1092" s="676">
        <f>FISCinyear!JE786</f>
        <v>0</v>
      </c>
      <c r="AI1092" s="676">
        <f>FISCinyear!JH786</f>
        <v>3.9784281759999995</v>
      </c>
      <c r="AJ1092" s="676">
        <f>FISCinyear!JK786</f>
        <v>7.2951421749999996</v>
      </c>
      <c r="AK1092" s="676">
        <f>(AK541*AK423)</f>
        <v>4.7894358781475468</v>
      </c>
      <c r="AL1092" s="676">
        <f>(AL541*AL423)</f>
        <v>7.0948463203927448</v>
      </c>
      <c r="AM1092" s="676">
        <f>(AM541*AM423)</f>
        <v>8.5550172463388172</v>
      </c>
      <c r="AN1092" s="676">
        <f>(AN541*AN423)</f>
        <v>10.10275961457814</v>
      </c>
      <c r="AO1092" s="105">
        <f t="shared" ref="AO1092:AT1092" si="1328">AO541*AO423</f>
        <v>13.064800616272164</v>
      </c>
      <c r="AP1092" s="105">
        <f t="shared" si="1328"/>
        <v>15.280796743491969</v>
      </c>
      <c r="AQ1092" s="105">
        <f t="shared" si="1328"/>
        <v>17.881416259102636</v>
      </c>
      <c r="AR1092" s="105">
        <f t="shared" si="1328"/>
        <v>20.600573753991696</v>
      </c>
      <c r="AS1092" s="105">
        <f t="shared" si="1328"/>
        <v>23.410901251220324</v>
      </c>
      <c r="AT1092" s="105">
        <f t="shared" si="1328"/>
        <v>25.984618032169639</v>
      </c>
      <c r="AU1092" s="105">
        <f t="shared" si="1284"/>
        <v>28.841280693649498</v>
      </c>
      <c r="AV1092" s="105">
        <f t="shared" si="1281"/>
        <v>0.10993668092189135</v>
      </c>
      <c r="AW1092" s="2724"/>
      <c r="BH1092" s="1915"/>
    </row>
    <row r="1093" spans="1:64" ht="14.25" customHeight="1">
      <c r="A1093" s="1"/>
      <c r="B1093" s="1"/>
      <c r="C1093" s="1"/>
      <c r="D1093" s="360" t="s">
        <v>483</v>
      </c>
      <c r="E1093" s="1231" t="s">
        <v>30</v>
      </c>
      <c r="F1093" s="323"/>
      <c r="G1093" s="323"/>
      <c r="H1093" s="323"/>
      <c r="I1093" s="323"/>
      <c r="J1093" s="323"/>
      <c r="K1093" s="323"/>
      <c r="L1093" s="323"/>
      <c r="M1093" s="323"/>
      <c r="N1093" s="323"/>
      <c r="O1093" s="323"/>
      <c r="P1093" s="323"/>
      <c r="Q1093" s="323"/>
      <c r="R1093" s="323"/>
      <c r="S1093" s="323"/>
      <c r="T1093" s="323"/>
      <c r="U1093" s="323"/>
      <c r="V1093" s="105">
        <v>0</v>
      </c>
      <c r="W1093" s="105">
        <v>0</v>
      </c>
      <c r="X1093" s="105">
        <v>0</v>
      </c>
      <c r="Y1093" s="676">
        <f>FISCinyear!ID787</f>
        <v>0</v>
      </c>
      <c r="Z1093" s="676">
        <f>FISCinyear!IG787</f>
        <v>4.5448941400000002</v>
      </c>
      <c r="AA1093" s="676">
        <f>FISCinyear!IJ787</f>
        <v>36.706445015572911</v>
      </c>
      <c r="AB1093" s="676">
        <f>FISCinyear!IM787</f>
        <v>0</v>
      </c>
      <c r="AC1093" s="676">
        <f>FISCinyear!IP787</f>
        <v>0</v>
      </c>
      <c r="AD1093" s="676">
        <f>FISCinyear!IS787</f>
        <v>2.4628950000000001</v>
      </c>
      <c r="AE1093" s="676">
        <f>FISCinyear!IV787</f>
        <v>13.75526826782434</v>
      </c>
      <c r="AF1093" s="676">
        <f>FISCinyear!IY787</f>
        <v>6.9424784804267068</v>
      </c>
      <c r="AG1093" s="676">
        <f>FISCinyear!JB787</f>
        <v>7.1954072838542515</v>
      </c>
      <c r="AH1093" s="676">
        <f>FISCinyear!JE787</f>
        <v>0</v>
      </c>
      <c r="AI1093" s="676">
        <f>FISCinyear!JH787</f>
        <v>0</v>
      </c>
      <c r="AJ1093" s="676">
        <f>FISCinyear!JK787</f>
        <v>0</v>
      </c>
      <c r="AK1093" s="105">
        <f t="shared" ref="AK1093:AT1093" si="1329">(AK545*AK423)</f>
        <v>0</v>
      </c>
      <c r="AL1093" s="105">
        <f t="shared" si="1329"/>
        <v>0</v>
      </c>
      <c r="AM1093" s="105">
        <f t="shared" si="1329"/>
        <v>0</v>
      </c>
      <c r="AN1093" s="105">
        <f t="shared" si="1329"/>
        <v>0</v>
      </c>
      <c r="AO1093" s="105">
        <f t="shared" si="1329"/>
        <v>0</v>
      </c>
      <c r="AP1093" s="105">
        <f t="shared" si="1329"/>
        <v>0</v>
      </c>
      <c r="AQ1093" s="105">
        <f t="shared" si="1329"/>
        <v>0</v>
      </c>
      <c r="AR1093" s="105">
        <f t="shared" si="1329"/>
        <v>0</v>
      </c>
      <c r="AS1093" s="105">
        <f t="shared" si="1329"/>
        <v>0</v>
      </c>
      <c r="AT1093" s="105">
        <f t="shared" si="1329"/>
        <v>0</v>
      </c>
      <c r="AU1093" s="105">
        <f t="shared" ref="AU1093" si="1330">(AU545*AU423)</f>
        <v>0</v>
      </c>
      <c r="AV1093" s="105" t="e">
        <f t="shared" si="1281"/>
        <v>#DIV/0!</v>
      </c>
      <c r="BH1093" s="1915"/>
    </row>
    <row r="1094" spans="1:64" ht="14.25" customHeight="1">
      <c r="A1094" s="1"/>
      <c r="B1094" s="1"/>
      <c r="C1094" s="1"/>
      <c r="D1094" s="360" t="s">
        <v>484</v>
      </c>
      <c r="E1094" s="1231" t="s">
        <v>2333</v>
      </c>
      <c r="F1094" s="323"/>
      <c r="G1094" s="323"/>
      <c r="H1094" s="323"/>
      <c r="I1094" s="323"/>
      <c r="J1094" s="323"/>
      <c r="K1094" s="323"/>
      <c r="L1094" s="323"/>
      <c r="M1094" s="323"/>
      <c r="N1094" s="323"/>
      <c r="O1094" s="323"/>
      <c r="P1094" s="323"/>
      <c r="Q1094" s="323"/>
      <c r="R1094" s="323"/>
      <c r="S1094" s="323"/>
      <c r="T1094" s="323"/>
      <c r="U1094" s="323"/>
      <c r="V1094" s="105">
        <v>0</v>
      </c>
      <c r="W1094" s="105">
        <v>0</v>
      </c>
      <c r="X1094" s="105">
        <v>0</v>
      </c>
      <c r="Y1094" s="676">
        <f>FISCinyear!ID788</f>
        <v>0</v>
      </c>
      <c r="Z1094" s="676">
        <f>FISCinyear!IG788</f>
        <v>5.6999999999999996E-5</v>
      </c>
      <c r="AA1094" s="676">
        <f>FISCinyear!IJ788</f>
        <v>6.3600356013492518E-5</v>
      </c>
      <c r="AB1094" s="676">
        <f>FISCinyear!IM788</f>
        <v>0</v>
      </c>
      <c r="AC1094" s="676">
        <f>FISCinyear!IP788</f>
        <v>0</v>
      </c>
      <c r="AD1094" s="676">
        <f>FISCinyear!IS788</f>
        <v>2.4628950000000001</v>
      </c>
      <c r="AE1094" s="676">
        <f>FISCinyear!IV788</f>
        <v>0</v>
      </c>
      <c r="AF1094" s="676">
        <f>FISCinyear!IY788</f>
        <v>0</v>
      </c>
      <c r="AG1094" s="676">
        <f>FISCinyear!JB788</f>
        <v>0</v>
      </c>
      <c r="AH1094" s="676">
        <f>FISCinyear!JE788</f>
        <v>0</v>
      </c>
      <c r="AI1094" s="676">
        <f>FISCinyear!JH788</f>
        <v>0</v>
      </c>
      <c r="AJ1094" s="676">
        <f>FISCinyear!JK788</f>
        <v>0</v>
      </c>
      <c r="AK1094" s="105">
        <f t="shared" ref="AK1094:AT1094" si="1331">AK549*AK426</f>
        <v>0</v>
      </c>
      <c r="AL1094" s="105">
        <f t="shared" si="1331"/>
        <v>0</v>
      </c>
      <c r="AM1094" s="105">
        <f t="shared" si="1331"/>
        <v>0</v>
      </c>
      <c r="AN1094" s="105">
        <f t="shared" si="1331"/>
        <v>0</v>
      </c>
      <c r="AO1094" s="105">
        <f t="shared" si="1331"/>
        <v>0</v>
      </c>
      <c r="AP1094" s="105">
        <f t="shared" si="1331"/>
        <v>0</v>
      </c>
      <c r="AQ1094" s="105">
        <f t="shared" si="1331"/>
        <v>0</v>
      </c>
      <c r="AR1094" s="105">
        <f t="shared" si="1331"/>
        <v>0</v>
      </c>
      <c r="AS1094" s="105">
        <f t="shared" si="1331"/>
        <v>0</v>
      </c>
      <c r="AT1094" s="105">
        <f t="shared" si="1331"/>
        <v>0</v>
      </c>
      <c r="AU1094" s="105">
        <f t="shared" ref="AU1094" si="1332">AU549*AU426</f>
        <v>0</v>
      </c>
      <c r="AV1094" s="105" t="e">
        <f t="shared" si="1281"/>
        <v>#DIV/0!</v>
      </c>
      <c r="BH1094" s="1915"/>
    </row>
    <row r="1095" spans="1:64" ht="14.25" customHeight="1">
      <c r="A1095" s="1"/>
      <c r="B1095" s="1"/>
      <c r="C1095" s="1"/>
      <c r="D1095" s="360" t="s">
        <v>485</v>
      </c>
      <c r="E1095" s="1231" t="s">
        <v>30</v>
      </c>
      <c r="F1095" s="323"/>
      <c r="G1095" s="323"/>
      <c r="H1095" s="323"/>
      <c r="I1095" s="323"/>
      <c r="J1095" s="323"/>
      <c r="K1095" s="323"/>
      <c r="L1095" s="323"/>
      <c r="M1095" s="323"/>
      <c r="N1095" s="323"/>
      <c r="O1095" s="323"/>
      <c r="P1095" s="323"/>
      <c r="Q1095" s="323"/>
      <c r="R1095" s="323"/>
      <c r="S1095" s="323"/>
      <c r="T1095" s="323"/>
      <c r="U1095" s="323"/>
      <c r="V1095" s="105">
        <v>0</v>
      </c>
      <c r="W1095" s="105">
        <v>0</v>
      </c>
      <c r="X1095" s="105">
        <v>0</v>
      </c>
      <c r="Y1095" s="676">
        <f>FISCinyear!ID789</f>
        <v>0</v>
      </c>
      <c r="Z1095" s="676">
        <f>FISCinyear!IG789</f>
        <v>4.5448371399999994</v>
      </c>
      <c r="AA1095" s="676">
        <f>FISCinyear!IJ789</f>
        <v>36.706381415216896</v>
      </c>
      <c r="AB1095" s="676">
        <f>FISCinyear!IM789</f>
        <v>0</v>
      </c>
      <c r="AC1095" s="676">
        <f>FISCinyear!IP789</f>
        <v>0</v>
      </c>
      <c r="AD1095" s="676">
        <f>FISCinyear!IS789</f>
        <v>0</v>
      </c>
      <c r="AE1095" s="676">
        <f>FISCinyear!IV789</f>
        <v>14.021075576824341</v>
      </c>
      <c r="AF1095" s="676">
        <f>FISCinyear!IY789</f>
        <v>6.9436724350000008</v>
      </c>
      <c r="AG1095" s="676">
        <f>FISCinyear!JB789</f>
        <v>7.2622734240034506</v>
      </c>
      <c r="AH1095" s="676">
        <f>FISCinyear!JE789</f>
        <v>0</v>
      </c>
      <c r="AI1095" s="676">
        <f>FISCinyear!JH789</f>
        <v>12.926036042000002</v>
      </c>
      <c r="AJ1095" s="676">
        <f>FISCinyear!JK789</f>
        <v>17.27590602122222</v>
      </c>
      <c r="AK1095" s="105">
        <f>AK553*AK423</f>
        <v>35.164609782066591</v>
      </c>
      <c r="AL1095" s="105">
        <f t="shared" ref="AL1095:AT1095" si="1333">AL553*AL423</f>
        <v>44.900262060773926</v>
      </c>
      <c r="AM1095" s="105">
        <f t="shared" si="1333"/>
        <v>51.662874935907951</v>
      </c>
      <c r="AN1095" s="105">
        <f t="shared" si="1333"/>
        <v>59.658435954975523</v>
      </c>
      <c r="AO1095" s="105">
        <f t="shared" si="1333"/>
        <v>68.499905201591574</v>
      </c>
      <c r="AP1095" s="105">
        <f t="shared" si="1333"/>
        <v>76.726467349372015</v>
      </c>
      <c r="AQ1095" s="105">
        <f t="shared" si="1333"/>
        <v>90.906363203119042</v>
      </c>
      <c r="AR1095" s="105">
        <f t="shared" si="1333"/>
        <v>106.03881201547418</v>
      </c>
      <c r="AS1095" s="105">
        <f t="shared" si="1333"/>
        <v>122.01039613988198</v>
      </c>
      <c r="AT1095" s="105">
        <f t="shared" si="1333"/>
        <v>137.11602294708584</v>
      </c>
      <c r="AU1095" s="105">
        <f t="shared" si="1284"/>
        <v>154.09181794042453</v>
      </c>
      <c r="AV1095" s="105">
        <f t="shared" si="1281"/>
        <v>0.12380606313158449</v>
      </c>
      <c r="BH1095" s="1915"/>
    </row>
    <row r="1096" spans="1:64" ht="14.25" customHeight="1">
      <c r="A1096" s="1"/>
      <c r="B1096" s="1"/>
      <c r="C1096" s="1"/>
      <c r="D1096" s="1395" t="s">
        <v>3056</v>
      </c>
      <c r="E1096" s="1231"/>
      <c r="F1096" s="323"/>
      <c r="G1096" s="323"/>
      <c r="H1096" s="323"/>
      <c r="I1096" s="323"/>
      <c r="J1096" s="323"/>
      <c r="K1096" s="323"/>
      <c r="L1096" s="323"/>
      <c r="M1096" s="323"/>
      <c r="N1096" s="323"/>
      <c r="O1096" s="323"/>
      <c r="P1096" s="323"/>
      <c r="Q1096" s="323"/>
      <c r="R1096" s="323"/>
      <c r="S1096" s="323"/>
      <c r="T1096" s="323"/>
      <c r="U1096" s="323"/>
      <c r="V1096" s="105"/>
      <c r="W1096" s="105"/>
      <c r="X1096" s="105"/>
      <c r="Y1096" s="676"/>
      <c r="Z1096" s="676"/>
      <c r="AA1096" s="676"/>
      <c r="AB1096" s="676"/>
      <c r="AC1096" s="676"/>
      <c r="AD1096" s="676"/>
      <c r="AE1096" s="676"/>
      <c r="AF1096" s="676">
        <f>FISCinyear!IY790</f>
        <v>0</v>
      </c>
      <c r="AG1096" s="676">
        <f>FISCinyear!JB790</f>
        <v>7.2622734240034506</v>
      </c>
      <c r="AH1096" s="676">
        <f>FISCinyear!JE790</f>
        <v>7.3999999989999985</v>
      </c>
      <c r="AI1096" s="676">
        <f>FISCinyear!JH790</f>
        <v>12.926036042000002</v>
      </c>
      <c r="AJ1096" s="676">
        <f>FISCinyear!JK790</f>
        <v>17.27590602122222</v>
      </c>
      <c r="AK1096" s="105">
        <v>20.24846330058028</v>
      </c>
      <c r="AL1096" s="105">
        <v>22.525812893695189</v>
      </c>
      <c r="AM1096" s="105">
        <v>26.639834962042755</v>
      </c>
      <c r="AN1096" s="105">
        <v>29.749857030390352</v>
      </c>
      <c r="AO1096" s="105">
        <v>32.859879098737949</v>
      </c>
      <c r="AP1096" s="105">
        <f t="shared" ref="AP1096:AT1096" si="1334">AVERAGE(AN1096:AO1096)</f>
        <v>31.30486806456415</v>
      </c>
      <c r="AQ1096" s="105">
        <f t="shared" si="1334"/>
        <v>32.082373581651048</v>
      </c>
      <c r="AR1096" s="105">
        <f t="shared" si="1334"/>
        <v>31.693620823107601</v>
      </c>
      <c r="AS1096" s="105">
        <f t="shared" si="1334"/>
        <v>31.887997202379324</v>
      </c>
      <c r="AT1096" s="105">
        <f t="shared" si="1334"/>
        <v>31.790809012743463</v>
      </c>
      <c r="AU1096" s="105">
        <f t="shared" si="1284"/>
        <v>31.693917033124958</v>
      </c>
      <c r="AV1096" s="105">
        <f t="shared" si="1281"/>
        <v>-3.047798487281872E-3</v>
      </c>
      <c r="BH1096" s="1915"/>
    </row>
    <row r="1097" spans="1:64" ht="14.25" customHeight="1">
      <c r="A1097" s="1"/>
      <c r="B1097" s="1"/>
      <c r="C1097" s="1"/>
      <c r="D1097" s="1453" t="s">
        <v>472</v>
      </c>
      <c r="E1097" s="1231" t="s">
        <v>30</v>
      </c>
      <c r="F1097" s="323"/>
      <c r="G1097" s="323"/>
      <c r="H1097" s="323"/>
      <c r="I1097" s="323"/>
      <c r="J1097" s="323"/>
      <c r="K1097" s="323"/>
      <c r="L1097" s="323"/>
      <c r="M1097" s="323"/>
      <c r="N1097" s="323"/>
      <c r="O1097" s="323"/>
      <c r="P1097" s="323"/>
      <c r="Q1097" s="323"/>
      <c r="R1097" s="323"/>
      <c r="S1097" s="323"/>
      <c r="T1097" s="323"/>
      <c r="U1097" s="323"/>
      <c r="V1097" s="105">
        <v>0</v>
      </c>
      <c r="W1097" s="105">
        <v>0</v>
      </c>
      <c r="X1097" s="105">
        <v>0</v>
      </c>
      <c r="Y1097" s="676">
        <f>FISCinyear!ID791</f>
        <v>0</v>
      </c>
      <c r="Z1097" s="676">
        <f>FISCinyear!IG791</f>
        <v>0</v>
      </c>
      <c r="AA1097" s="676">
        <f>FISCinyear!IJ791</f>
        <v>0</v>
      </c>
      <c r="AB1097" s="676">
        <f>FISCinyear!IM791</f>
        <v>0</v>
      </c>
      <c r="AC1097" s="676">
        <f>FISCinyear!IP791</f>
        <v>0</v>
      </c>
      <c r="AD1097" s="676">
        <f>FISCinyear!IS791</f>
        <v>0</v>
      </c>
      <c r="AE1097" s="676">
        <f>FISCinyear!IV791</f>
        <v>0</v>
      </c>
      <c r="AF1097" s="676">
        <f>FISCinyear!IY791</f>
        <v>0</v>
      </c>
      <c r="AG1097" s="676">
        <f>FISCinyear!JB791</f>
        <v>0</v>
      </c>
      <c r="AH1097" s="676">
        <f>FISCinyear!JE791</f>
        <v>0</v>
      </c>
      <c r="AI1097" s="676">
        <f>FISCinyear!JH791</f>
        <v>0.15476923696884104</v>
      </c>
      <c r="AJ1097" s="676">
        <f>FISCinyear!JK791</f>
        <v>0.175475253</v>
      </c>
      <c r="AK1097" s="1427">
        <f t="shared" ref="AK1097:AT1097" si="1335">AK481*AK423</f>
        <v>0</v>
      </c>
      <c r="AL1097" s="1427">
        <f t="shared" si="1335"/>
        <v>0</v>
      </c>
      <c r="AM1097" s="1427">
        <f t="shared" si="1335"/>
        <v>0</v>
      </c>
      <c r="AN1097" s="1427">
        <f t="shared" si="1335"/>
        <v>0</v>
      </c>
      <c r="AO1097" s="1427">
        <f t="shared" si="1335"/>
        <v>0</v>
      </c>
      <c r="AP1097" s="1427">
        <f t="shared" si="1335"/>
        <v>0</v>
      </c>
      <c r="AQ1097" s="1427">
        <f t="shared" si="1335"/>
        <v>0</v>
      </c>
      <c r="AR1097" s="1427">
        <f t="shared" si="1335"/>
        <v>0</v>
      </c>
      <c r="AS1097" s="1427">
        <f t="shared" si="1335"/>
        <v>0</v>
      </c>
      <c r="AT1097" s="1427">
        <f t="shared" si="1335"/>
        <v>0</v>
      </c>
      <c r="AU1097" s="1427">
        <f t="shared" ref="AU1097" si="1336">AU481*AU423</f>
        <v>0</v>
      </c>
      <c r="AV1097" s="1427" t="e">
        <f t="shared" si="1281"/>
        <v>#DIV/0!</v>
      </c>
      <c r="BH1097" s="1915"/>
    </row>
    <row r="1098" spans="1:64" ht="14.25" customHeight="1">
      <c r="A1098" s="1"/>
      <c r="B1098" s="1"/>
      <c r="C1098" s="1"/>
      <c r="D1098" s="360" t="s">
        <v>486</v>
      </c>
      <c r="E1098" s="1231" t="s">
        <v>30</v>
      </c>
      <c r="F1098" s="323"/>
      <c r="G1098" s="323"/>
      <c r="H1098" s="323"/>
      <c r="I1098" s="323"/>
      <c r="J1098" s="323"/>
      <c r="K1098" s="323"/>
      <c r="L1098" s="323"/>
      <c r="M1098" s="323"/>
      <c r="N1098" s="323"/>
      <c r="O1098" s="323"/>
      <c r="P1098" s="323"/>
      <c r="Q1098" s="323"/>
      <c r="R1098" s="323"/>
      <c r="S1098" s="323"/>
      <c r="T1098" s="323"/>
      <c r="U1098" s="323"/>
      <c r="V1098" s="105">
        <v>0</v>
      </c>
      <c r="W1098" s="105">
        <v>0</v>
      </c>
      <c r="X1098" s="105">
        <v>0</v>
      </c>
      <c r="Y1098" s="676">
        <f>FISCinyear!ID792</f>
        <v>0</v>
      </c>
      <c r="Z1098" s="676">
        <f>FISCinyear!IG792</f>
        <v>0</v>
      </c>
      <c r="AA1098" s="676">
        <f>FISCinyear!IJ792</f>
        <v>0</v>
      </c>
      <c r="AB1098" s="676">
        <f>FISCinyear!IM792</f>
        <v>0</v>
      </c>
      <c r="AC1098" s="676">
        <f>FISCinyear!IP792</f>
        <v>0</v>
      </c>
      <c r="AD1098" s="676">
        <f>FISCinyear!IS792</f>
        <v>0</v>
      </c>
      <c r="AE1098" s="676">
        <f>FISCinyear!IV792</f>
        <v>0</v>
      </c>
      <c r="AF1098" s="676">
        <f>FISCinyear!IY792</f>
        <v>0</v>
      </c>
      <c r="AG1098" s="676">
        <f>FISCinyear!JB792</f>
        <v>12.003413543999999</v>
      </c>
      <c r="AH1098" s="676">
        <f>FISCinyear!JE792</f>
        <v>0</v>
      </c>
      <c r="AI1098" s="676">
        <f>FISCinyear!JH792</f>
        <v>1.414137049994445</v>
      </c>
      <c r="AJ1098" s="676">
        <f>FISCinyear!JK792</f>
        <v>1.7288194209999999</v>
      </c>
      <c r="AK1098" s="105">
        <f t="shared" ref="AK1098:AT1098" si="1337">(AK557*AK423)*0</f>
        <v>0</v>
      </c>
      <c r="AL1098" s="105">
        <f t="shared" si="1337"/>
        <v>0</v>
      </c>
      <c r="AM1098" s="105">
        <f t="shared" si="1337"/>
        <v>0</v>
      </c>
      <c r="AN1098" s="105">
        <f t="shared" si="1337"/>
        <v>0</v>
      </c>
      <c r="AO1098" s="105">
        <f t="shared" si="1337"/>
        <v>0</v>
      </c>
      <c r="AP1098" s="105">
        <f t="shared" si="1337"/>
        <v>0</v>
      </c>
      <c r="AQ1098" s="105">
        <f t="shared" si="1337"/>
        <v>0</v>
      </c>
      <c r="AR1098" s="105">
        <f t="shared" si="1337"/>
        <v>0</v>
      </c>
      <c r="AS1098" s="105">
        <f t="shared" si="1337"/>
        <v>0</v>
      </c>
      <c r="AT1098" s="105">
        <f t="shared" si="1337"/>
        <v>0</v>
      </c>
      <c r="AU1098" s="105">
        <f t="shared" ref="AU1098" si="1338">(AU557*AU423)*0</f>
        <v>0</v>
      </c>
      <c r="AV1098" s="105" t="e">
        <f t="shared" si="1281"/>
        <v>#DIV/0!</v>
      </c>
      <c r="BC1098" s="1916"/>
      <c r="BD1098" s="1916"/>
      <c r="BE1098" s="1916"/>
      <c r="BF1098" s="1916"/>
      <c r="BG1098" s="1916"/>
      <c r="BH1098" s="1915"/>
    </row>
    <row r="1099" spans="1:64" ht="14.25" customHeight="1">
      <c r="A1099" s="1"/>
      <c r="B1099" s="1"/>
      <c r="C1099" s="1230">
        <v>115</v>
      </c>
      <c r="D1099" s="358" t="str">
        <f>+FISCinyear!D793</f>
        <v xml:space="preserve">Taxes on international trade and transactions </v>
      </c>
      <c r="E1099" s="1231"/>
      <c r="F1099" s="323"/>
      <c r="G1099" s="323"/>
      <c r="H1099" s="323"/>
      <c r="I1099" s="323"/>
      <c r="J1099" s="323"/>
      <c r="K1099" s="323"/>
      <c r="L1099" s="323"/>
      <c r="M1099" s="323"/>
      <c r="N1099" s="323"/>
      <c r="O1099" s="323"/>
      <c r="P1099" s="323"/>
      <c r="Q1099" s="323"/>
      <c r="R1099" s="323"/>
      <c r="S1099" s="323"/>
      <c r="T1099" s="323"/>
      <c r="U1099" s="323"/>
      <c r="V1099" s="376">
        <f>SUM(V1100:V1107)</f>
        <v>0</v>
      </c>
      <c r="W1099" s="376">
        <f>SUM(W1100:W1107)</f>
        <v>0</v>
      </c>
      <c r="X1099" s="376">
        <f>SUM(X1100:X1107)</f>
        <v>0</v>
      </c>
      <c r="Y1099" s="1385">
        <f>FISCinyear!ID793</f>
        <v>56.172397320999998</v>
      </c>
      <c r="Z1099" s="1385">
        <f>FISCinyear!IG793</f>
        <v>64.284351485000002</v>
      </c>
      <c r="AA1099" s="1385">
        <f>FISCinyear!IJ793</f>
        <v>75.812149962468069</v>
      </c>
      <c r="AB1099" s="1385">
        <f>FISCinyear!IM793</f>
        <v>80.659855556043809</v>
      </c>
      <c r="AC1099" s="1385">
        <f>FISCinyear!IP793</f>
        <v>83.543020431993199</v>
      </c>
      <c r="AD1099" s="1385">
        <f>FISCinyear!IS793</f>
        <v>111.745368744</v>
      </c>
      <c r="AE1099" s="1385">
        <f>FISCinyear!IV793</f>
        <v>117.28148412138</v>
      </c>
      <c r="AF1099" s="1385">
        <f>FISCinyear!IY793</f>
        <v>123.74277988591115</v>
      </c>
      <c r="AG1099" s="1385">
        <f>FISCinyear!JB793</f>
        <v>133.01993913953143</v>
      </c>
      <c r="AH1099" s="1385">
        <f>FISCinyear!JE793</f>
        <v>211.6306274416647</v>
      </c>
      <c r="AI1099" s="1385">
        <f>FISCinyear!JH793</f>
        <v>194.48632030547415</v>
      </c>
      <c r="AJ1099" s="1385">
        <f>FISCinyear!JK793</f>
        <v>242.40391297378</v>
      </c>
      <c r="AK1099" s="1753">
        <f t="shared" ref="AK1099:AU1099" si="1339">SUM(AK1100,AK1103:AK1107)</f>
        <v>275.65047605754671</v>
      </c>
      <c r="AL1099" s="1753">
        <f t="shared" si="1339"/>
        <v>324.74214051343898</v>
      </c>
      <c r="AM1099" s="1753">
        <f t="shared" si="1339"/>
        <v>369.38957092172012</v>
      </c>
      <c r="AN1099" s="1753">
        <f t="shared" si="1339"/>
        <v>420.80515177326339</v>
      </c>
      <c r="AO1099" s="1753">
        <f t="shared" si="1339"/>
        <v>476.98625800712551</v>
      </c>
      <c r="AP1099" s="1753">
        <f t="shared" si="1339"/>
        <v>538.32999592882686</v>
      </c>
      <c r="AQ1099" s="1753">
        <f t="shared" si="1339"/>
        <v>588.03683084900831</v>
      </c>
      <c r="AR1099" s="1753">
        <f t="shared" si="1339"/>
        <v>645.96345013735845</v>
      </c>
      <c r="AS1099" s="1753">
        <f t="shared" si="1339"/>
        <v>710.25974607166017</v>
      </c>
      <c r="AT1099" s="1753">
        <f t="shared" si="1339"/>
        <v>917.67787781552613</v>
      </c>
      <c r="AU1099" s="1753">
        <f t="shared" si="1339"/>
        <v>1186.6686122080223</v>
      </c>
      <c r="AV1099" s="1753">
        <f t="shared" si="1281"/>
        <v>0.29203137709980664</v>
      </c>
      <c r="AW1099" s="1916"/>
      <c r="BC1099" s="1916"/>
      <c r="BD1099" s="1916"/>
      <c r="BE1099" s="1916"/>
      <c r="BF1099" s="1916"/>
      <c r="BG1099" s="1916"/>
      <c r="BH1099" s="1915"/>
    </row>
    <row r="1100" spans="1:64" ht="14.25" customHeight="1">
      <c r="A1100" s="1"/>
      <c r="B1100" s="1"/>
      <c r="C1100" s="1"/>
      <c r="D1100" s="360" t="s">
        <v>488</v>
      </c>
      <c r="E1100" s="1231" t="s">
        <v>2333</v>
      </c>
      <c r="F1100" s="323"/>
      <c r="G1100" s="323"/>
      <c r="H1100" s="323"/>
      <c r="I1100" s="323"/>
      <c r="J1100" s="323"/>
      <c r="K1100" s="323"/>
      <c r="L1100" s="323"/>
      <c r="M1100" s="323"/>
      <c r="N1100" s="323"/>
      <c r="O1100" s="323"/>
      <c r="P1100" s="323"/>
      <c r="Q1100" s="323"/>
      <c r="R1100" s="323"/>
      <c r="S1100" s="323"/>
      <c r="T1100" s="323"/>
      <c r="U1100" s="323"/>
      <c r="V1100" s="105">
        <v>0</v>
      </c>
      <c r="W1100" s="105">
        <v>0</v>
      </c>
      <c r="X1100" s="105">
        <v>0</v>
      </c>
      <c r="Y1100" s="676">
        <f>FISCinyear!ID794</f>
        <v>53.753682969000003</v>
      </c>
      <c r="Z1100" s="676">
        <f>FISCinyear!IG794</f>
        <v>63.547948576999993</v>
      </c>
      <c r="AA1100" s="676">
        <f>FISCinyear!IJ794</f>
        <v>74.945398281487357</v>
      </c>
      <c r="AB1100" s="676">
        <f>FISCinyear!IM794</f>
        <v>80.539313690267775</v>
      </c>
      <c r="AC1100" s="676">
        <f>FISCinyear!IP794</f>
        <v>82.745132280267086</v>
      </c>
      <c r="AD1100" s="676">
        <f>FISCinyear!IS794</f>
        <v>111.745368744</v>
      </c>
      <c r="AE1100" s="676">
        <f>FISCinyear!IV794</f>
        <v>117.17602629737999</v>
      </c>
      <c r="AF1100" s="676">
        <f>FISCinyear!IY794</f>
        <v>123.70457131016821</v>
      </c>
      <c r="AG1100" s="676">
        <f>FISCinyear!JB794</f>
        <v>133.01026309319434</v>
      </c>
      <c r="AH1100" s="676">
        <f>FISCinyear!JE794</f>
        <v>211.5991549783266</v>
      </c>
      <c r="AI1100" s="676">
        <f>FISCinyear!JH794</f>
        <v>194.47515136638492</v>
      </c>
      <c r="AJ1100" s="676">
        <f>FISCinyear!JK794</f>
        <v>227.93881437578</v>
      </c>
      <c r="AK1100" s="105">
        <f t="shared" ref="AK1100:AT1100" si="1340">AK561*AK426</f>
        <v>275.65047605754671</v>
      </c>
      <c r="AL1100" s="105">
        <f t="shared" si="1340"/>
        <v>324.74214051343898</v>
      </c>
      <c r="AM1100" s="105">
        <f t="shared" si="1340"/>
        <v>369.38957092172012</v>
      </c>
      <c r="AN1100" s="105">
        <f t="shared" si="1340"/>
        <v>420.80515177326339</v>
      </c>
      <c r="AO1100" s="105">
        <f t="shared" si="1340"/>
        <v>476.98625800712551</v>
      </c>
      <c r="AP1100" s="105">
        <f t="shared" si="1340"/>
        <v>538.32999592882686</v>
      </c>
      <c r="AQ1100" s="105">
        <f t="shared" si="1340"/>
        <v>588.03683084900831</v>
      </c>
      <c r="AR1100" s="105">
        <f t="shared" si="1340"/>
        <v>645.96345013735845</v>
      </c>
      <c r="AS1100" s="105">
        <f t="shared" si="1340"/>
        <v>710.25974607166017</v>
      </c>
      <c r="AT1100" s="105">
        <f t="shared" si="1340"/>
        <v>917.67787781552613</v>
      </c>
      <c r="AU1100" s="105">
        <f t="shared" si="1284"/>
        <v>1185.6686122080223</v>
      </c>
      <c r="AV1100" s="105">
        <f t="shared" si="1281"/>
        <v>0.29203137709980664</v>
      </c>
      <c r="AX1100" s="3052"/>
      <c r="AY1100" s="3052"/>
      <c r="BH1100" s="1916"/>
      <c r="BI1100" s="1916"/>
      <c r="BJ1100" s="1916"/>
      <c r="BK1100" s="1916"/>
      <c r="BL1100" s="1916"/>
    </row>
    <row r="1101" spans="1:64" ht="14.25" customHeight="1">
      <c r="A1101" s="1"/>
      <c r="B1101" s="1"/>
      <c r="C1101" s="1"/>
      <c r="D1101" s="1394" t="s">
        <v>3071</v>
      </c>
      <c r="E1101" s="1231"/>
      <c r="F1101" s="323"/>
      <c r="G1101" s="323"/>
      <c r="H1101" s="323"/>
      <c r="I1101" s="323"/>
      <c r="J1101" s="323"/>
      <c r="K1101" s="323"/>
      <c r="L1101" s="323"/>
      <c r="M1101" s="323"/>
      <c r="N1101" s="323"/>
      <c r="O1101" s="323"/>
      <c r="P1101" s="323"/>
      <c r="Q1101" s="323"/>
      <c r="R1101" s="323"/>
      <c r="S1101" s="323"/>
      <c r="T1101" s="323"/>
      <c r="U1101" s="323"/>
      <c r="V1101" s="105"/>
      <c r="W1101" s="105"/>
      <c r="X1101" s="105"/>
      <c r="Y1101" s="676"/>
      <c r="Z1101" s="676"/>
      <c r="AA1101" s="676"/>
      <c r="AB1101" s="676"/>
      <c r="AC1101" s="676"/>
      <c r="AD1101" s="676"/>
      <c r="AE1101" s="676"/>
      <c r="AF1101" s="676">
        <f>FISCinyear!IY795</f>
        <v>7.2977012000000006</v>
      </c>
      <c r="AG1101" s="676">
        <f>FISCinyear!JB795</f>
        <v>18.044360304000001</v>
      </c>
      <c r="AH1101" s="676">
        <f>FISCinyear!JE795</f>
        <v>24.438329283999998</v>
      </c>
      <c r="AI1101" s="676">
        <f>FISCinyear!JH795</f>
        <v>29.189431051</v>
      </c>
      <c r="AJ1101" s="676">
        <f>FISCinyear!JK795</f>
        <v>32.951782706000003</v>
      </c>
      <c r="AK1101" s="105">
        <v>33.077344602047049</v>
      </c>
      <c r="AL1101" s="105">
        <v>38.631627322603606</v>
      </c>
      <c r="AM1101" s="105">
        <v>45.131254741065213</v>
      </c>
      <c r="AN1101" s="105">
        <f>AVERAGE(AL1101:AM1101)</f>
        <v>41.881441031834413</v>
      </c>
      <c r="AO1101" s="105">
        <f>AVERAGE(AM1101:AN1101)</f>
        <v>43.506347886449817</v>
      </c>
      <c r="AP1101" s="105">
        <f>AO1101</f>
        <v>43.506347886449817</v>
      </c>
      <c r="AQ1101" s="105">
        <f t="shared" ref="AQ1101:AT1101" si="1341">AVERAGE(AO1101:AP1101)</f>
        <v>43.506347886449817</v>
      </c>
      <c r="AR1101" s="105">
        <f t="shared" si="1341"/>
        <v>43.506347886449817</v>
      </c>
      <c r="AS1101" s="105">
        <f t="shared" si="1341"/>
        <v>43.506347886449817</v>
      </c>
      <c r="AT1101" s="105">
        <f t="shared" si="1341"/>
        <v>43.506347886449817</v>
      </c>
      <c r="AU1101" s="105">
        <f t="shared" si="1284"/>
        <v>43.506347886449817</v>
      </c>
      <c r="AV1101" s="105">
        <f t="shared" si="1281"/>
        <v>0</v>
      </c>
      <c r="AY1101" s="3053"/>
      <c r="BH1101" s="1916"/>
      <c r="BI1101" s="1916"/>
      <c r="BJ1101" s="1916"/>
      <c r="BK1101" s="1916"/>
      <c r="BL1101" s="1916"/>
    </row>
    <row r="1102" spans="1:64" ht="14.25" customHeight="1">
      <c r="A1102" s="1"/>
      <c r="B1102" s="1"/>
      <c r="C1102" s="1"/>
      <c r="D1102" s="1394" t="s">
        <v>3072</v>
      </c>
      <c r="E1102" s="1231"/>
      <c r="F1102" s="323"/>
      <c r="G1102" s="323"/>
      <c r="H1102" s="323"/>
      <c r="I1102" s="323"/>
      <c r="J1102" s="323"/>
      <c r="K1102" s="323"/>
      <c r="L1102" s="323"/>
      <c r="M1102" s="323"/>
      <c r="N1102" s="323"/>
      <c r="O1102" s="323"/>
      <c r="P1102" s="323"/>
      <c r="Q1102" s="323"/>
      <c r="R1102" s="323"/>
      <c r="S1102" s="323"/>
      <c r="T1102" s="323"/>
      <c r="U1102" s="323"/>
      <c r="V1102" s="105"/>
      <c r="W1102" s="105"/>
      <c r="X1102" s="105"/>
      <c r="Y1102" s="676"/>
      <c r="Z1102" s="676"/>
      <c r="AA1102" s="676"/>
      <c r="AB1102" s="676"/>
      <c r="AC1102" s="676"/>
      <c r="AD1102" s="676"/>
      <c r="AE1102" s="676"/>
      <c r="AF1102" s="676">
        <f>FISCinyear!IY796</f>
        <v>0</v>
      </c>
      <c r="AG1102" s="676">
        <f>FISCinyear!JB796</f>
        <v>2.3105889770000001</v>
      </c>
      <c r="AH1102" s="676">
        <f>FISCinyear!JE796</f>
        <v>3.0782545700000004</v>
      </c>
      <c r="AI1102" s="676">
        <f>FISCinyear!JH796</f>
        <v>3.6879256939999996</v>
      </c>
      <c r="AJ1102" s="676">
        <f>FISCinyear!JK796</f>
        <v>4.295642795</v>
      </c>
      <c r="AK1102" s="105">
        <v>4.7607770764159261</v>
      </c>
      <c r="AL1102" s="105">
        <v>4.8495148739890839</v>
      </c>
      <c r="AM1102" s="105">
        <v>5.6846936980359057</v>
      </c>
      <c r="AN1102" s="105">
        <v>6.1</v>
      </c>
      <c r="AO1102" s="105">
        <v>6.1</v>
      </c>
      <c r="AP1102" s="105">
        <f>AO1102</f>
        <v>6.1</v>
      </c>
      <c r="AQ1102" s="105">
        <f t="shared" ref="AQ1102:AT1102" si="1342">AP1102</f>
        <v>6.1</v>
      </c>
      <c r="AR1102" s="105">
        <f t="shared" si="1342"/>
        <v>6.1</v>
      </c>
      <c r="AS1102" s="105">
        <f t="shared" si="1342"/>
        <v>6.1</v>
      </c>
      <c r="AT1102" s="105">
        <f t="shared" si="1342"/>
        <v>6.1</v>
      </c>
      <c r="AU1102" s="105">
        <f t="shared" si="1284"/>
        <v>6.1</v>
      </c>
      <c r="AV1102" s="105">
        <f t="shared" si="1281"/>
        <v>0</v>
      </c>
      <c r="AY1102" s="3053"/>
      <c r="BH1102" s="1916"/>
      <c r="BI1102" s="1916"/>
      <c r="BJ1102" s="1916"/>
      <c r="BK1102" s="1916"/>
      <c r="BL1102" s="1916"/>
    </row>
    <row r="1103" spans="1:64" ht="14.25" customHeight="1">
      <c r="A1103" s="1"/>
      <c r="B1103" s="1"/>
      <c r="C1103" s="1"/>
      <c r="D1103" s="360" t="s">
        <v>489</v>
      </c>
      <c r="E1103" s="1231" t="s">
        <v>2368</v>
      </c>
      <c r="F1103" s="323"/>
      <c r="G1103" s="323"/>
      <c r="H1103" s="323"/>
      <c r="I1103" s="323"/>
      <c r="J1103" s="323"/>
      <c r="K1103" s="323"/>
      <c r="L1103" s="323"/>
      <c r="M1103" s="323"/>
      <c r="N1103" s="323"/>
      <c r="O1103" s="323"/>
      <c r="P1103" s="323"/>
      <c r="Q1103" s="323"/>
      <c r="R1103" s="323"/>
      <c r="S1103" s="323"/>
      <c r="T1103" s="323"/>
      <c r="U1103" s="323"/>
      <c r="V1103" s="105">
        <v>0</v>
      </c>
      <c r="W1103" s="105">
        <v>0</v>
      </c>
      <c r="X1103" s="105">
        <v>0</v>
      </c>
      <c r="Y1103" s="676">
        <f>FISCinyear!ID797</f>
        <v>0</v>
      </c>
      <c r="Z1103" s="676">
        <f>FISCinyear!IG797</f>
        <v>0</v>
      </c>
      <c r="AA1103" s="676">
        <f>FISCinyear!IJ797</f>
        <v>0</v>
      </c>
      <c r="AB1103" s="676">
        <f>FISCinyear!IM797</f>
        <v>0</v>
      </c>
      <c r="AC1103" s="676">
        <f>FISCinyear!IP797</f>
        <v>0</v>
      </c>
      <c r="AD1103" s="676">
        <f>FISCinyear!IS797</f>
        <v>0</v>
      </c>
      <c r="AE1103" s="676">
        <f>FISCinyear!IV797</f>
        <v>0.10545782400000001</v>
      </c>
      <c r="AF1103" s="676">
        <f>FISCinyear!IY797</f>
        <v>3.8208575742945651E-2</v>
      </c>
      <c r="AG1103" s="676">
        <f>FISCinyear!JB797</f>
        <v>1.3225533088653358E-2</v>
      </c>
      <c r="AH1103" s="676">
        <f>FISCinyear!JE797</f>
        <v>0</v>
      </c>
      <c r="AI1103" s="676">
        <f>FISCinyear!JH797</f>
        <v>1.1168939089214161E-2</v>
      </c>
      <c r="AJ1103" s="676">
        <f>FISCinyear!JK797</f>
        <v>14.465098598000001</v>
      </c>
      <c r="AK1103" s="105">
        <v>0</v>
      </c>
      <c r="AL1103" s="105">
        <v>0</v>
      </c>
      <c r="AM1103" s="105">
        <v>0</v>
      </c>
      <c r="AN1103" s="105">
        <v>0</v>
      </c>
      <c r="AO1103" s="105">
        <v>0</v>
      </c>
      <c r="AP1103" s="105">
        <v>0</v>
      </c>
      <c r="AQ1103" s="105">
        <v>0</v>
      </c>
      <c r="AR1103" s="105">
        <v>0</v>
      </c>
      <c r="AS1103" s="105">
        <v>0</v>
      </c>
      <c r="AT1103" s="105">
        <v>0</v>
      </c>
      <c r="AU1103" s="105">
        <v>1</v>
      </c>
      <c r="AV1103" s="105" t="e">
        <f t="shared" si="1281"/>
        <v>#DIV/0!</v>
      </c>
      <c r="AW1103" s="1916"/>
      <c r="AY1103" s="3053"/>
      <c r="AZ1103" s="1916"/>
      <c r="BA1103" s="1916"/>
      <c r="BB1103" s="1916"/>
      <c r="BC1103" s="1916"/>
      <c r="BD1103" s="1916"/>
      <c r="BE1103" s="1916"/>
      <c r="BF1103" s="1916"/>
      <c r="BG1103" s="1916"/>
      <c r="BH1103" s="1915"/>
    </row>
    <row r="1104" spans="1:64" ht="14.25" customHeight="1">
      <c r="A1104" s="1"/>
      <c r="B1104" s="1"/>
      <c r="C1104" s="1"/>
      <c r="D1104" s="360" t="s">
        <v>490</v>
      </c>
      <c r="E1104" s="1231" t="s">
        <v>30</v>
      </c>
      <c r="F1104" s="323"/>
      <c r="G1104" s="323"/>
      <c r="H1104" s="323"/>
      <c r="I1104" s="323"/>
      <c r="J1104" s="323"/>
      <c r="K1104" s="323"/>
      <c r="L1104" s="323"/>
      <c r="M1104" s="323"/>
      <c r="N1104" s="323"/>
      <c r="O1104" s="323"/>
      <c r="P1104" s="323"/>
      <c r="Q1104" s="323"/>
      <c r="R1104" s="323"/>
      <c r="S1104" s="323"/>
      <c r="T1104" s="323"/>
      <c r="U1104" s="323"/>
      <c r="V1104" s="105">
        <v>0</v>
      </c>
      <c r="W1104" s="105">
        <v>0</v>
      </c>
      <c r="X1104" s="105">
        <v>0</v>
      </c>
      <c r="Y1104" s="676">
        <f>FISCinyear!ID798</f>
        <v>0</v>
      </c>
      <c r="Z1104" s="676">
        <f>FISCinyear!IG798</f>
        <v>0</v>
      </c>
      <c r="AA1104" s="676">
        <f>FISCinyear!IJ798</f>
        <v>0</v>
      </c>
      <c r="AB1104" s="676">
        <f>FISCinyear!IM798</f>
        <v>0</v>
      </c>
      <c r="AC1104" s="676">
        <f>FISCinyear!IP798</f>
        <v>0</v>
      </c>
      <c r="AD1104" s="676">
        <f>FISCinyear!IS798</f>
        <v>0</v>
      </c>
      <c r="AE1104" s="676">
        <f>FISCinyear!IV798</f>
        <v>0</v>
      </c>
      <c r="AF1104" s="676">
        <f>FISCinyear!IY798</f>
        <v>0</v>
      </c>
      <c r="AG1104" s="676">
        <f>FISCinyear!JB798</f>
        <v>0</v>
      </c>
      <c r="AH1104" s="676">
        <f>FISCinyear!JE798</f>
        <v>0</v>
      </c>
      <c r="AI1104" s="676">
        <f>FISCinyear!JH798</f>
        <v>0</v>
      </c>
      <c r="AJ1104" s="676">
        <f>FISCinyear!JK798</f>
        <v>0</v>
      </c>
      <c r="AK1104" s="105">
        <f t="shared" ref="AK1104:AT1104" si="1343">AK569*AK423</f>
        <v>0</v>
      </c>
      <c r="AL1104" s="105">
        <f t="shared" si="1343"/>
        <v>0</v>
      </c>
      <c r="AM1104" s="105">
        <f t="shared" si="1343"/>
        <v>0</v>
      </c>
      <c r="AN1104" s="105">
        <f t="shared" si="1343"/>
        <v>0</v>
      </c>
      <c r="AO1104" s="105">
        <f t="shared" si="1343"/>
        <v>0</v>
      </c>
      <c r="AP1104" s="105">
        <f t="shared" si="1343"/>
        <v>0</v>
      </c>
      <c r="AQ1104" s="105">
        <f t="shared" si="1343"/>
        <v>0</v>
      </c>
      <c r="AR1104" s="105">
        <f t="shared" si="1343"/>
        <v>0</v>
      </c>
      <c r="AS1104" s="105">
        <f t="shared" si="1343"/>
        <v>0</v>
      </c>
      <c r="AT1104" s="105">
        <f t="shared" si="1343"/>
        <v>0</v>
      </c>
      <c r="AU1104" s="105">
        <f t="shared" ref="AU1104" si="1344">AU569*AU423</f>
        <v>0</v>
      </c>
      <c r="AV1104" s="105" t="e">
        <f t="shared" si="1281"/>
        <v>#DIV/0!</v>
      </c>
      <c r="AW1104" s="1916"/>
      <c r="AX1104" s="1916"/>
      <c r="AY1104" s="1916"/>
      <c r="AZ1104" s="1916"/>
      <c r="BA1104" s="1916"/>
      <c r="BB1104" s="1916"/>
      <c r="BC1104" s="1916"/>
      <c r="BD1104" s="1916"/>
      <c r="BE1104" s="1916"/>
      <c r="BF1104" s="1916"/>
      <c r="BG1104" s="1916"/>
      <c r="BH1104" s="1915"/>
    </row>
    <row r="1105" spans="1:60" ht="14.25" customHeight="1">
      <c r="A1105" s="1"/>
      <c r="B1105" s="1"/>
      <c r="C1105" s="1"/>
      <c r="D1105" s="360" t="s">
        <v>491</v>
      </c>
      <c r="E1105" s="1231" t="s">
        <v>30</v>
      </c>
      <c r="F1105" s="323"/>
      <c r="G1105" s="323"/>
      <c r="H1105" s="323"/>
      <c r="I1105" s="323"/>
      <c r="J1105" s="323"/>
      <c r="K1105" s="323"/>
      <c r="L1105" s="323"/>
      <c r="M1105" s="323"/>
      <c r="N1105" s="323"/>
      <c r="O1105" s="323"/>
      <c r="P1105" s="323"/>
      <c r="Q1105" s="323"/>
      <c r="R1105" s="323"/>
      <c r="S1105" s="323"/>
      <c r="T1105" s="323"/>
      <c r="U1105" s="323"/>
      <c r="V1105" s="105">
        <v>0</v>
      </c>
      <c r="W1105" s="105">
        <v>0</v>
      </c>
      <c r="X1105" s="105">
        <v>0</v>
      </c>
      <c r="Y1105" s="676">
        <f>FISCinyear!ID799</f>
        <v>0</v>
      </c>
      <c r="Z1105" s="676">
        <f>FISCinyear!IG799</f>
        <v>0</v>
      </c>
      <c r="AA1105" s="676">
        <f>FISCinyear!IJ799</f>
        <v>0</v>
      </c>
      <c r="AB1105" s="676">
        <f>FISCinyear!IM799</f>
        <v>0</v>
      </c>
      <c r="AC1105" s="676">
        <f>FISCinyear!IP799</f>
        <v>0</v>
      </c>
      <c r="AD1105" s="676">
        <f>FISCinyear!IS799</f>
        <v>0</v>
      </c>
      <c r="AE1105" s="676">
        <f>FISCinyear!IV799</f>
        <v>0</v>
      </c>
      <c r="AF1105" s="676">
        <f>FISCinyear!IY799</f>
        <v>0</v>
      </c>
      <c r="AG1105" s="676">
        <f>FISCinyear!JB799</f>
        <v>0</v>
      </c>
      <c r="AH1105" s="676">
        <f>FISCinyear!JE799</f>
        <v>0</v>
      </c>
      <c r="AI1105" s="676">
        <f>FISCinyear!JH799</f>
        <v>0</v>
      </c>
      <c r="AJ1105" s="676">
        <f>FISCinyear!JK799</f>
        <v>0</v>
      </c>
      <c r="AK1105" s="105">
        <f t="shared" ref="AK1105:AT1105" si="1345">AK573*AK423</f>
        <v>0</v>
      </c>
      <c r="AL1105" s="105">
        <f t="shared" si="1345"/>
        <v>0</v>
      </c>
      <c r="AM1105" s="105">
        <f t="shared" si="1345"/>
        <v>0</v>
      </c>
      <c r="AN1105" s="105">
        <f t="shared" si="1345"/>
        <v>0</v>
      </c>
      <c r="AO1105" s="105">
        <f t="shared" si="1345"/>
        <v>0</v>
      </c>
      <c r="AP1105" s="105">
        <f t="shared" si="1345"/>
        <v>0</v>
      </c>
      <c r="AQ1105" s="105">
        <f t="shared" si="1345"/>
        <v>0</v>
      </c>
      <c r="AR1105" s="105">
        <f t="shared" si="1345"/>
        <v>0</v>
      </c>
      <c r="AS1105" s="105">
        <f t="shared" si="1345"/>
        <v>0</v>
      </c>
      <c r="AT1105" s="105">
        <f t="shared" si="1345"/>
        <v>0</v>
      </c>
      <c r="AU1105" s="105">
        <f t="shared" ref="AU1105" si="1346">AU573*AU423</f>
        <v>0</v>
      </c>
      <c r="AV1105" s="105" t="e">
        <f t="shared" si="1281"/>
        <v>#DIV/0!</v>
      </c>
      <c r="AW1105" s="1916"/>
      <c r="AX1105" s="1916"/>
      <c r="AY1105" s="1916"/>
      <c r="AZ1105" s="1916"/>
      <c r="BA1105" s="1916"/>
      <c r="BB1105" s="1916"/>
      <c r="BC1105" s="1916"/>
      <c r="BD1105" s="1916"/>
      <c r="BE1105" s="1916"/>
      <c r="BF1105" s="1916"/>
      <c r="BG1105" s="1916"/>
      <c r="BH1105" s="1915"/>
    </row>
    <row r="1106" spans="1:60" ht="14.25" customHeight="1">
      <c r="A1106" s="1"/>
      <c r="B1106" s="1"/>
      <c r="C1106" s="1"/>
      <c r="D1106" s="360" t="s">
        <v>492</v>
      </c>
      <c r="E1106" s="1231" t="s">
        <v>30</v>
      </c>
      <c r="F1106" s="323"/>
      <c r="G1106" s="323"/>
      <c r="H1106" s="323"/>
      <c r="I1106" s="323"/>
      <c r="J1106" s="323"/>
      <c r="K1106" s="323"/>
      <c r="L1106" s="323"/>
      <c r="M1106" s="323"/>
      <c r="N1106" s="323"/>
      <c r="O1106" s="323"/>
      <c r="P1106" s="323"/>
      <c r="Q1106" s="323"/>
      <c r="R1106" s="323"/>
      <c r="S1106" s="323"/>
      <c r="T1106" s="323"/>
      <c r="U1106" s="323"/>
      <c r="V1106" s="105">
        <v>0</v>
      </c>
      <c r="W1106" s="105">
        <v>0</v>
      </c>
      <c r="X1106" s="105">
        <v>0</v>
      </c>
      <c r="Y1106" s="676">
        <f>FISCinyear!ID800</f>
        <v>0</v>
      </c>
      <c r="Z1106" s="676">
        <f>FISCinyear!IG800</f>
        <v>0</v>
      </c>
      <c r="AA1106" s="676">
        <f>FISCinyear!IJ800</f>
        <v>0</v>
      </c>
      <c r="AB1106" s="676">
        <f>FISCinyear!IM800</f>
        <v>0</v>
      </c>
      <c r="AC1106" s="676">
        <f>FISCinyear!IP800</f>
        <v>0</v>
      </c>
      <c r="AD1106" s="676">
        <f>FISCinyear!IS800</f>
        <v>0</v>
      </c>
      <c r="AE1106" s="676">
        <f>FISCinyear!IV800</f>
        <v>0</v>
      </c>
      <c r="AF1106" s="676">
        <f>FISCinyear!IY800</f>
        <v>0</v>
      </c>
      <c r="AG1106" s="676">
        <f>FISCinyear!JB800</f>
        <v>0</v>
      </c>
      <c r="AH1106" s="676">
        <f>FISCinyear!JE800</f>
        <v>0</v>
      </c>
      <c r="AI1106" s="676">
        <f>FISCinyear!JH800</f>
        <v>0</v>
      </c>
      <c r="AJ1106" s="676">
        <f>FISCinyear!JK800</f>
        <v>0</v>
      </c>
      <c r="AK1106" s="105">
        <f t="shared" ref="AK1106:AT1106" si="1347">AK577*AK423</f>
        <v>0</v>
      </c>
      <c r="AL1106" s="105">
        <f t="shared" si="1347"/>
        <v>0</v>
      </c>
      <c r="AM1106" s="105">
        <f t="shared" si="1347"/>
        <v>0</v>
      </c>
      <c r="AN1106" s="105">
        <f t="shared" si="1347"/>
        <v>0</v>
      </c>
      <c r="AO1106" s="105">
        <f t="shared" si="1347"/>
        <v>0</v>
      </c>
      <c r="AP1106" s="105">
        <f t="shared" si="1347"/>
        <v>0</v>
      </c>
      <c r="AQ1106" s="105">
        <f t="shared" si="1347"/>
        <v>0</v>
      </c>
      <c r="AR1106" s="105">
        <f t="shared" si="1347"/>
        <v>0</v>
      </c>
      <c r="AS1106" s="105">
        <f t="shared" si="1347"/>
        <v>0</v>
      </c>
      <c r="AT1106" s="105">
        <f t="shared" si="1347"/>
        <v>0</v>
      </c>
      <c r="AU1106" s="105">
        <f t="shared" ref="AU1106" si="1348">AU577*AU423</f>
        <v>0</v>
      </c>
      <c r="AV1106" s="105" t="e">
        <f t="shared" si="1281"/>
        <v>#DIV/0!</v>
      </c>
      <c r="AW1106" s="1916"/>
      <c r="AX1106" s="1916"/>
      <c r="AY1106" s="1916"/>
      <c r="AZ1106" s="1916"/>
      <c r="BA1106" s="1916"/>
      <c r="BB1106" s="1916"/>
      <c r="BC1106" s="1916"/>
      <c r="BD1106" s="1916"/>
      <c r="BE1106" s="1916"/>
      <c r="BF1106" s="1916"/>
      <c r="BG1106" s="1916"/>
      <c r="BH1106" s="1915"/>
    </row>
    <row r="1107" spans="1:60" ht="14.25" customHeight="1">
      <c r="A1107" s="1"/>
      <c r="B1107" s="1"/>
      <c r="C1107" s="1"/>
      <c r="D1107" s="360" t="s">
        <v>493</v>
      </c>
      <c r="E1107" s="1231" t="s">
        <v>30</v>
      </c>
      <c r="F1107" s="323"/>
      <c r="G1107" s="323"/>
      <c r="H1107" s="323"/>
      <c r="I1107" s="323"/>
      <c r="J1107" s="323"/>
      <c r="K1107" s="323"/>
      <c r="L1107" s="323"/>
      <c r="M1107" s="323"/>
      <c r="N1107" s="323"/>
      <c r="O1107" s="323"/>
      <c r="P1107" s="323"/>
      <c r="Q1107" s="323"/>
      <c r="R1107" s="323"/>
      <c r="S1107" s="323"/>
      <c r="T1107" s="323"/>
      <c r="U1107" s="323"/>
      <c r="V1107" s="105">
        <v>0</v>
      </c>
      <c r="W1107" s="105">
        <v>0</v>
      </c>
      <c r="X1107" s="105">
        <v>0</v>
      </c>
      <c r="Y1107" s="676">
        <f>FISCinyear!ID801</f>
        <v>2.4187143519999998</v>
      </c>
      <c r="Z1107" s="676">
        <f>FISCinyear!IG801</f>
        <v>0.73640290800000008</v>
      </c>
      <c r="AA1107" s="676">
        <f>FISCinyear!IJ801</f>
        <v>0.8667516809807182</v>
      </c>
      <c r="AB1107" s="676">
        <f>FISCinyear!IM801</f>
        <v>0</v>
      </c>
      <c r="AC1107" s="676">
        <f>FISCinyear!IP801</f>
        <v>0.79788815172613159</v>
      </c>
      <c r="AD1107" s="676">
        <f>FISCinyear!IS801</f>
        <v>0</v>
      </c>
      <c r="AE1107" s="676">
        <f>FISCinyear!IV801</f>
        <v>0</v>
      </c>
      <c r="AF1107" s="676">
        <f>FISCinyear!IY801</f>
        <v>0</v>
      </c>
      <c r="AG1107" s="676">
        <f>FISCinyear!JB801</f>
        <v>0</v>
      </c>
      <c r="AH1107" s="676">
        <f>FISCinyear!JE801</f>
        <v>0</v>
      </c>
      <c r="AI1107" s="676">
        <f>FISCinyear!JH801</f>
        <v>0</v>
      </c>
      <c r="AJ1107" s="676">
        <f>FISCinyear!JK801</f>
        <v>0</v>
      </c>
      <c r="AK1107" s="105">
        <f t="shared" ref="AK1107:AT1107" si="1349">AK581*AK423</f>
        <v>0</v>
      </c>
      <c r="AL1107" s="105">
        <f t="shared" si="1349"/>
        <v>0</v>
      </c>
      <c r="AM1107" s="105">
        <f t="shared" si="1349"/>
        <v>0</v>
      </c>
      <c r="AN1107" s="105">
        <f t="shared" si="1349"/>
        <v>0</v>
      </c>
      <c r="AO1107" s="105">
        <f t="shared" si="1349"/>
        <v>0</v>
      </c>
      <c r="AP1107" s="105">
        <f t="shared" si="1349"/>
        <v>0</v>
      </c>
      <c r="AQ1107" s="105">
        <f t="shared" si="1349"/>
        <v>0</v>
      </c>
      <c r="AR1107" s="105">
        <f t="shared" si="1349"/>
        <v>0</v>
      </c>
      <c r="AS1107" s="105">
        <f t="shared" si="1349"/>
        <v>0</v>
      </c>
      <c r="AT1107" s="105">
        <f t="shared" si="1349"/>
        <v>0</v>
      </c>
      <c r="AU1107" s="105">
        <f t="shared" ref="AU1107" si="1350">AU581*AU423</f>
        <v>0</v>
      </c>
      <c r="AV1107" s="105" t="e">
        <f t="shared" si="1281"/>
        <v>#DIV/0!</v>
      </c>
      <c r="AW1107" s="1916"/>
      <c r="AX1107" s="1916"/>
      <c r="AY1107" s="1916"/>
      <c r="AZ1107" s="1916"/>
      <c r="BA1107" s="1916"/>
      <c r="BB1107" s="1916"/>
      <c r="BC1107" s="1916"/>
      <c r="BD1107" s="1916"/>
      <c r="BE1107" s="1916"/>
      <c r="BF1107" s="1916"/>
      <c r="BG1107" s="1916"/>
      <c r="BH1107" s="1915"/>
    </row>
    <row r="1108" spans="1:60" ht="14.2" customHeight="1">
      <c r="A1108" s="1"/>
      <c r="B1108" s="1"/>
      <c r="C1108" s="1"/>
      <c r="D1108" s="358" t="str">
        <f>+FISCinyear!D802</f>
        <v xml:space="preserve">Other taxes </v>
      </c>
      <c r="E1108" s="1231" t="s">
        <v>30</v>
      </c>
      <c r="F1108" s="323"/>
      <c r="G1108" s="323"/>
      <c r="H1108" s="323"/>
      <c r="I1108" s="323"/>
      <c r="J1108" s="323"/>
      <c r="K1108" s="323"/>
      <c r="L1108" s="323"/>
      <c r="M1108" s="323"/>
      <c r="N1108" s="323"/>
      <c r="O1108" s="323"/>
      <c r="P1108" s="323"/>
      <c r="Q1108" s="323"/>
      <c r="R1108" s="323"/>
      <c r="S1108" s="323"/>
      <c r="T1108" s="323"/>
      <c r="U1108" s="323"/>
      <c r="V1108" s="376"/>
      <c r="W1108" s="376"/>
      <c r="X1108" s="376"/>
      <c r="Y1108" s="1385">
        <f>FISCinyear!ID802</f>
        <v>0</v>
      </c>
      <c r="Z1108" s="1385">
        <f>FISCinyear!IG802</f>
        <v>0</v>
      </c>
      <c r="AA1108" s="1385">
        <f>FISCinyear!IJ802</f>
        <v>0</v>
      </c>
      <c r="AB1108" s="1385">
        <f>FISCinyear!IM802</f>
        <v>20.011381500449659</v>
      </c>
      <c r="AC1108" s="1385">
        <f>FISCinyear!IP802</f>
        <v>38.861780148621875</v>
      </c>
      <c r="AD1108" s="1385">
        <f>FISCinyear!IS802</f>
        <v>0</v>
      </c>
      <c r="AE1108" s="1385">
        <f>FISCinyear!IV802</f>
        <v>0</v>
      </c>
      <c r="AF1108" s="1385">
        <f>FISCinyear!IY802</f>
        <v>0</v>
      </c>
      <c r="AG1108" s="1385">
        <f>FISCinyear!JB802</f>
        <v>0</v>
      </c>
      <c r="AH1108" s="1385">
        <f>FISCinyear!JE802</f>
        <v>0</v>
      </c>
      <c r="AI1108" s="1385">
        <f>FISCinyear!JH802</f>
        <v>0</v>
      </c>
      <c r="AJ1108" s="1385">
        <f>FISCinyear!JK802</f>
        <v>0</v>
      </c>
      <c r="AK1108" s="376">
        <f t="shared" ref="AK1108:AT1108" si="1351">AK585*AK423</f>
        <v>0</v>
      </c>
      <c r="AL1108" s="376">
        <f t="shared" si="1351"/>
        <v>0</v>
      </c>
      <c r="AM1108" s="376">
        <f t="shared" si="1351"/>
        <v>0</v>
      </c>
      <c r="AN1108" s="376">
        <f t="shared" si="1351"/>
        <v>0</v>
      </c>
      <c r="AO1108" s="376">
        <f t="shared" si="1351"/>
        <v>0</v>
      </c>
      <c r="AP1108" s="376">
        <f t="shared" si="1351"/>
        <v>0</v>
      </c>
      <c r="AQ1108" s="376">
        <f t="shared" si="1351"/>
        <v>0</v>
      </c>
      <c r="AR1108" s="376">
        <f t="shared" si="1351"/>
        <v>0</v>
      </c>
      <c r="AS1108" s="376">
        <f t="shared" si="1351"/>
        <v>0</v>
      </c>
      <c r="AT1108" s="376">
        <f t="shared" si="1351"/>
        <v>0</v>
      </c>
      <c r="AU1108" s="376">
        <f t="shared" ref="AU1108" si="1352">AU585*AU423</f>
        <v>0</v>
      </c>
      <c r="AV1108" s="376" t="e">
        <f t="shared" si="1281"/>
        <v>#DIV/0!</v>
      </c>
      <c r="AW1108" s="1916"/>
      <c r="AX1108" s="1916"/>
      <c r="AY1108" s="1916"/>
      <c r="AZ1108" s="1916"/>
      <c r="BA1108" s="1916"/>
      <c r="BB1108" s="1916"/>
      <c r="BC1108" s="1916"/>
      <c r="BD1108" s="1916"/>
      <c r="BE1108" s="1916"/>
      <c r="BF1108" s="1916"/>
      <c r="BG1108" s="1916"/>
      <c r="BH1108" s="1915"/>
    </row>
    <row r="1109" spans="1:60" ht="14.25" customHeight="1">
      <c r="A1109" s="1"/>
      <c r="B1109" s="1"/>
      <c r="C1109" s="1"/>
      <c r="D1109" s="1229" t="str">
        <f>+FISCinyear!D803</f>
        <v xml:space="preserve">Social contributions </v>
      </c>
      <c r="E1109" s="323"/>
      <c r="F1109" s="323"/>
      <c r="G1109" s="323"/>
      <c r="H1109" s="323"/>
      <c r="I1109" s="323"/>
      <c r="J1109" s="323"/>
      <c r="K1109" s="323"/>
      <c r="L1109" s="323"/>
      <c r="M1109" s="323"/>
      <c r="N1109" s="323"/>
      <c r="O1109" s="323"/>
      <c r="P1109" s="323"/>
      <c r="Q1109" s="323"/>
      <c r="R1109" s="323"/>
      <c r="S1109" s="323"/>
      <c r="T1109" s="323"/>
      <c r="U1109" s="323"/>
      <c r="V1109" s="376"/>
      <c r="W1109" s="376"/>
      <c r="X1109" s="376"/>
      <c r="Y1109" s="1387">
        <f>FISCinyear!ID803</f>
        <v>0</v>
      </c>
      <c r="Z1109" s="1387">
        <f>FISCinyear!IG803</f>
        <v>0</v>
      </c>
      <c r="AA1109" s="1387">
        <f>FISCinyear!IJ803</f>
        <v>0</v>
      </c>
      <c r="AB1109" s="1387">
        <f>FISCinyear!IM803</f>
        <v>0</v>
      </c>
      <c r="AC1109" s="1387">
        <f>FISCinyear!IP803</f>
        <v>0</v>
      </c>
      <c r="AD1109" s="1387">
        <f>FISCinyear!IS803</f>
        <v>0</v>
      </c>
      <c r="AE1109" s="1387">
        <f>FISCinyear!IV803</f>
        <v>0</v>
      </c>
      <c r="AF1109" s="1387">
        <f>FISCinyear!IY803</f>
        <v>0</v>
      </c>
      <c r="AG1109" s="1387">
        <f>FISCinyear!JB803</f>
        <v>0</v>
      </c>
      <c r="AH1109" s="1387">
        <f>FISCinyear!JE803</f>
        <v>0</v>
      </c>
      <c r="AI1109" s="1387">
        <f>FISCinyear!JH803</f>
        <v>0</v>
      </c>
      <c r="AJ1109" s="1387">
        <f>FISCinyear!JK803</f>
        <v>0</v>
      </c>
      <c r="AK1109" s="1387">
        <v>0</v>
      </c>
      <c r="AL1109" s="1387">
        <v>0</v>
      </c>
      <c r="AM1109" s="1387">
        <v>0</v>
      </c>
      <c r="AN1109" s="1387">
        <v>0</v>
      </c>
      <c r="AO1109" s="1387">
        <v>0</v>
      </c>
      <c r="AP1109" s="1387">
        <v>0</v>
      </c>
      <c r="AQ1109" s="1387">
        <v>0</v>
      </c>
      <c r="AR1109" s="1387">
        <v>0</v>
      </c>
      <c r="AS1109" s="1387">
        <v>0</v>
      </c>
      <c r="AT1109" s="1387">
        <v>0</v>
      </c>
      <c r="AU1109" s="1387">
        <v>0</v>
      </c>
      <c r="AV1109" s="1387" t="e">
        <f t="shared" si="1281"/>
        <v>#DIV/0!</v>
      </c>
      <c r="AW1109" s="1916"/>
      <c r="AX1109" s="1916"/>
      <c r="AY1109" s="1916"/>
      <c r="AZ1109" s="1916"/>
      <c r="BA1109" s="1916"/>
      <c r="BB1109" s="1916"/>
      <c r="BC1109" s="1916"/>
      <c r="BD1109" s="1916"/>
      <c r="BE1109" s="1916"/>
      <c r="BF1109" s="1916"/>
      <c r="BG1109" s="1916"/>
      <c r="BH1109" s="1915"/>
    </row>
    <row r="1110" spans="1:60" ht="14.25" customHeight="1">
      <c r="A1110" s="1"/>
      <c r="B1110" s="1"/>
      <c r="C1110" s="1"/>
      <c r="D1110" s="358" t="str">
        <f>+FISCinyear!D804</f>
        <v xml:space="preserve">Social security contributions </v>
      </c>
      <c r="E1110" s="323"/>
      <c r="F1110" s="323"/>
      <c r="G1110" s="323"/>
      <c r="H1110" s="323"/>
      <c r="I1110" s="323"/>
      <c r="J1110" s="323"/>
      <c r="K1110" s="323"/>
      <c r="L1110" s="323"/>
      <c r="M1110" s="323"/>
      <c r="N1110" s="323"/>
      <c r="O1110" s="323"/>
      <c r="P1110" s="323"/>
      <c r="Q1110" s="323"/>
      <c r="R1110" s="323"/>
      <c r="S1110" s="323"/>
      <c r="T1110" s="323"/>
      <c r="U1110" s="323"/>
      <c r="V1110" s="376"/>
      <c r="W1110" s="376"/>
      <c r="X1110" s="376"/>
      <c r="Y1110" s="1385">
        <f>FISCinyear!ID804</f>
        <v>0</v>
      </c>
      <c r="Z1110" s="1385">
        <f>FISCinyear!IG804</f>
        <v>0</v>
      </c>
      <c r="AA1110" s="1385">
        <f>FISCinyear!IJ804</f>
        <v>0</v>
      </c>
      <c r="AB1110" s="1385">
        <f>FISCinyear!IM804</f>
        <v>0</v>
      </c>
      <c r="AC1110" s="1385">
        <f>FISCinyear!IP804</f>
        <v>0</v>
      </c>
      <c r="AD1110" s="1385">
        <f>FISCinyear!IS804</f>
        <v>0</v>
      </c>
      <c r="AE1110" s="1385">
        <f>FISCinyear!IV804</f>
        <v>0</v>
      </c>
      <c r="AF1110" s="1385">
        <f>FISCinyear!IY804</f>
        <v>0</v>
      </c>
      <c r="AG1110" s="1385">
        <f>FISCinyear!JB804</f>
        <v>0</v>
      </c>
      <c r="AH1110" s="1385">
        <f>FISCinyear!JE804</f>
        <v>0</v>
      </c>
      <c r="AI1110" s="1385">
        <f>FISCinyear!JH804</f>
        <v>0</v>
      </c>
      <c r="AJ1110" s="1385">
        <f>FISCinyear!JK804</f>
        <v>0</v>
      </c>
      <c r="AK1110" s="1385">
        <v>0</v>
      </c>
      <c r="AL1110" s="1385">
        <v>0</v>
      </c>
      <c r="AM1110" s="1385">
        <v>0</v>
      </c>
      <c r="AN1110" s="1385">
        <v>0</v>
      </c>
      <c r="AO1110" s="1385">
        <v>0</v>
      </c>
      <c r="AP1110" s="1385">
        <v>0</v>
      </c>
      <c r="AQ1110" s="1385">
        <v>0</v>
      </c>
      <c r="AR1110" s="1385">
        <v>0</v>
      </c>
      <c r="AS1110" s="1385">
        <v>0</v>
      </c>
      <c r="AT1110" s="1385">
        <v>0</v>
      </c>
      <c r="AU1110" s="1385">
        <v>0</v>
      </c>
      <c r="AV1110" s="1385" t="e">
        <f t="shared" si="1281"/>
        <v>#DIV/0!</v>
      </c>
      <c r="AW1110" s="1916"/>
      <c r="AX1110" s="1916"/>
      <c r="AY1110" s="1916"/>
      <c r="AZ1110" s="1916"/>
      <c r="BA1110" s="1916"/>
      <c r="BB1110" s="1916"/>
      <c r="BC1110" s="1916"/>
      <c r="BD1110" s="1916"/>
      <c r="BE1110" s="1916"/>
      <c r="BF1110" s="1916"/>
      <c r="BG1110" s="1916"/>
      <c r="BH1110" s="1915"/>
    </row>
    <row r="1111" spans="1:60" ht="14.25" customHeight="1">
      <c r="A1111" s="1"/>
      <c r="B1111" s="1"/>
      <c r="C1111" s="1"/>
      <c r="D1111" s="360" t="s">
        <v>498</v>
      </c>
      <c r="E1111" s="323"/>
      <c r="F1111" s="323"/>
      <c r="G1111" s="323"/>
      <c r="H1111" s="323"/>
      <c r="I1111" s="323"/>
      <c r="J1111" s="323"/>
      <c r="K1111" s="323"/>
      <c r="L1111" s="323"/>
      <c r="M1111" s="323"/>
      <c r="N1111" s="323"/>
      <c r="O1111" s="323"/>
      <c r="P1111" s="323"/>
      <c r="Q1111" s="323"/>
      <c r="R1111" s="323"/>
      <c r="S1111" s="323"/>
      <c r="T1111" s="323"/>
      <c r="U1111" s="323"/>
      <c r="V1111" s="105"/>
      <c r="W1111" s="105"/>
      <c r="X1111" s="105"/>
      <c r="Y1111" s="676">
        <f>FISCinyear!ID805</f>
        <v>0</v>
      </c>
      <c r="Z1111" s="676">
        <f>FISCinyear!IG805</f>
        <v>0</v>
      </c>
      <c r="AA1111" s="676">
        <f>FISCinyear!IJ805</f>
        <v>0</v>
      </c>
      <c r="AB1111" s="676">
        <f>FISCinyear!IM805</f>
        <v>0</v>
      </c>
      <c r="AC1111" s="676">
        <f>FISCinyear!IP805</f>
        <v>0</v>
      </c>
      <c r="AD1111" s="676">
        <f>FISCinyear!IS805</f>
        <v>0</v>
      </c>
      <c r="AE1111" s="676">
        <f>FISCinyear!IV805</f>
        <v>0</v>
      </c>
      <c r="AF1111" s="676">
        <f>FISCinyear!IY805</f>
        <v>0</v>
      </c>
      <c r="AG1111" s="676">
        <f>FISCinyear!JB805</f>
        <v>0</v>
      </c>
      <c r="AH1111" s="676">
        <f>FISCinyear!JE805</f>
        <v>0</v>
      </c>
      <c r="AI1111" s="676">
        <f>FISCinyear!JH805</f>
        <v>0</v>
      </c>
      <c r="AJ1111" s="676">
        <f>FISCinyear!JK805</f>
        <v>0</v>
      </c>
      <c r="AK1111" s="676">
        <v>0</v>
      </c>
      <c r="AL1111" s="676">
        <v>0</v>
      </c>
      <c r="AM1111" s="676">
        <v>0</v>
      </c>
      <c r="AN1111" s="676">
        <v>0</v>
      </c>
      <c r="AO1111" s="676">
        <v>0</v>
      </c>
      <c r="AP1111" s="676">
        <v>0</v>
      </c>
      <c r="AQ1111" s="676">
        <v>0</v>
      </c>
      <c r="AR1111" s="676">
        <v>0</v>
      </c>
      <c r="AS1111" s="676">
        <v>0</v>
      </c>
      <c r="AT1111" s="676">
        <v>0</v>
      </c>
      <c r="AU1111" s="676">
        <v>0</v>
      </c>
      <c r="AV1111" s="676" t="e">
        <f t="shared" si="1281"/>
        <v>#DIV/0!</v>
      </c>
      <c r="AW1111" s="1916"/>
      <c r="AX1111" s="1916"/>
      <c r="AY1111" s="1916"/>
      <c r="AZ1111" s="1916"/>
      <c r="BA1111" s="1916"/>
      <c r="BB1111" s="1916"/>
      <c r="BC1111" s="1916"/>
      <c r="BD1111" s="1916"/>
      <c r="BE1111" s="1916"/>
      <c r="BF1111" s="1916"/>
      <c r="BG1111" s="1916"/>
      <c r="BH1111" s="1915"/>
    </row>
    <row r="1112" spans="1:60" ht="14.25" customHeight="1">
      <c r="A1112" s="1"/>
      <c r="B1112" s="1"/>
      <c r="C1112" s="1"/>
      <c r="D1112" s="360" t="s">
        <v>499</v>
      </c>
      <c r="E1112" s="323"/>
      <c r="F1112" s="323"/>
      <c r="G1112" s="323"/>
      <c r="H1112" s="323"/>
      <c r="I1112" s="323"/>
      <c r="J1112" s="323"/>
      <c r="K1112" s="323"/>
      <c r="L1112" s="323"/>
      <c r="M1112" s="323"/>
      <c r="N1112" s="323"/>
      <c r="O1112" s="323"/>
      <c r="P1112" s="323"/>
      <c r="Q1112" s="323"/>
      <c r="R1112" s="323"/>
      <c r="S1112" s="323"/>
      <c r="T1112" s="323"/>
      <c r="U1112" s="323"/>
      <c r="V1112" s="105"/>
      <c r="W1112" s="105"/>
      <c r="X1112" s="105"/>
      <c r="Y1112" s="676">
        <f>FISCinyear!ID806</f>
        <v>0</v>
      </c>
      <c r="Z1112" s="676">
        <f>FISCinyear!IG806</f>
        <v>0</v>
      </c>
      <c r="AA1112" s="676">
        <f>FISCinyear!IJ806</f>
        <v>0</v>
      </c>
      <c r="AB1112" s="676">
        <f>FISCinyear!IM806</f>
        <v>0</v>
      </c>
      <c r="AC1112" s="676">
        <f>FISCinyear!IP806</f>
        <v>0</v>
      </c>
      <c r="AD1112" s="676">
        <f>FISCinyear!IS806</f>
        <v>0</v>
      </c>
      <c r="AE1112" s="676">
        <f>FISCinyear!IV806</f>
        <v>0</v>
      </c>
      <c r="AF1112" s="676">
        <f>FISCinyear!IY806</f>
        <v>0</v>
      </c>
      <c r="AG1112" s="676">
        <f>FISCinyear!JB806</f>
        <v>0</v>
      </c>
      <c r="AH1112" s="676">
        <f>FISCinyear!JE806</f>
        <v>0</v>
      </c>
      <c r="AI1112" s="676">
        <f>FISCinyear!JH806</f>
        <v>0</v>
      </c>
      <c r="AJ1112" s="676">
        <f>FISCinyear!JK806</f>
        <v>0</v>
      </c>
      <c r="AK1112" s="676">
        <v>0</v>
      </c>
      <c r="AL1112" s="676">
        <v>0</v>
      </c>
      <c r="AM1112" s="676">
        <v>0</v>
      </c>
      <c r="AN1112" s="676">
        <v>0</v>
      </c>
      <c r="AO1112" s="676">
        <v>0</v>
      </c>
      <c r="AP1112" s="676">
        <v>0</v>
      </c>
      <c r="AQ1112" s="676">
        <v>0</v>
      </c>
      <c r="AR1112" s="676">
        <v>0</v>
      </c>
      <c r="AS1112" s="676">
        <v>0</v>
      </c>
      <c r="AT1112" s="676">
        <v>0</v>
      </c>
      <c r="AU1112" s="676">
        <v>0</v>
      </c>
      <c r="AV1112" s="676" t="e">
        <f t="shared" si="1281"/>
        <v>#DIV/0!</v>
      </c>
      <c r="AW1112" s="1916"/>
      <c r="AX1112" s="1916"/>
      <c r="AY1112" s="1916"/>
      <c r="AZ1112" s="1916"/>
      <c r="BA1112" s="1916"/>
      <c r="BB1112" s="1916"/>
      <c r="BC1112" s="1916"/>
      <c r="BD1112" s="1916"/>
      <c r="BE1112" s="1916"/>
      <c r="BF1112" s="1916"/>
      <c r="BG1112" s="1916"/>
      <c r="BH1112" s="1915"/>
    </row>
    <row r="1113" spans="1:60" ht="14.25" customHeight="1">
      <c r="A1113" s="1"/>
      <c r="B1113" s="1"/>
      <c r="C1113" s="1"/>
      <c r="D1113" s="360" t="s">
        <v>500</v>
      </c>
      <c r="E1113" s="323"/>
      <c r="F1113" s="323"/>
      <c r="G1113" s="323"/>
      <c r="H1113" s="323"/>
      <c r="I1113" s="323"/>
      <c r="J1113" s="323"/>
      <c r="K1113" s="323"/>
      <c r="L1113" s="323"/>
      <c r="M1113" s="323"/>
      <c r="N1113" s="323"/>
      <c r="O1113" s="323"/>
      <c r="P1113" s="323"/>
      <c r="Q1113" s="323"/>
      <c r="R1113" s="323"/>
      <c r="S1113" s="323"/>
      <c r="T1113" s="323"/>
      <c r="U1113" s="323"/>
      <c r="V1113" s="105"/>
      <c r="W1113" s="105"/>
      <c r="X1113" s="105"/>
      <c r="Y1113" s="676">
        <f>FISCinyear!ID807</f>
        <v>0</v>
      </c>
      <c r="Z1113" s="676">
        <f>FISCinyear!IG807</f>
        <v>0</v>
      </c>
      <c r="AA1113" s="676">
        <f>FISCinyear!IJ807</f>
        <v>0</v>
      </c>
      <c r="AB1113" s="676">
        <f>FISCinyear!IM807</f>
        <v>0</v>
      </c>
      <c r="AC1113" s="676">
        <f>FISCinyear!IP807</f>
        <v>0</v>
      </c>
      <c r="AD1113" s="676">
        <f>FISCinyear!IS807</f>
        <v>0</v>
      </c>
      <c r="AE1113" s="676">
        <f>FISCinyear!IV807</f>
        <v>0</v>
      </c>
      <c r="AF1113" s="676">
        <f>FISCinyear!IY807</f>
        <v>0</v>
      </c>
      <c r="AG1113" s="676">
        <f>FISCinyear!JB807</f>
        <v>0</v>
      </c>
      <c r="AH1113" s="676">
        <f>FISCinyear!JE807</f>
        <v>0</v>
      </c>
      <c r="AI1113" s="676">
        <f>FISCinyear!JH807</f>
        <v>0</v>
      </c>
      <c r="AJ1113" s="676">
        <f>FISCinyear!JK807</f>
        <v>0</v>
      </c>
      <c r="AK1113" s="676">
        <v>0</v>
      </c>
      <c r="AL1113" s="676">
        <v>0</v>
      </c>
      <c r="AM1113" s="676">
        <v>0</v>
      </c>
      <c r="AN1113" s="676">
        <v>0</v>
      </c>
      <c r="AO1113" s="676">
        <v>0</v>
      </c>
      <c r="AP1113" s="676">
        <v>0</v>
      </c>
      <c r="AQ1113" s="676">
        <v>0</v>
      </c>
      <c r="AR1113" s="676">
        <v>0</v>
      </c>
      <c r="AS1113" s="676">
        <v>0</v>
      </c>
      <c r="AT1113" s="676">
        <v>0</v>
      </c>
      <c r="AU1113" s="676">
        <v>0</v>
      </c>
      <c r="AV1113" s="676" t="e">
        <f t="shared" si="1281"/>
        <v>#DIV/0!</v>
      </c>
      <c r="AW1113" s="1916"/>
      <c r="AX1113" s="1916"/>
      <c r="AY1113" s="1916"/>
      <c r="AZ1113" s="1916"/>
      <c r="BA1113" s="1916"/>
      <c r="BB1113" s="1916"/>
      <c r="BC1113" s="1916"/>
      <c r="BD1113" s="1916"/>
      <c r="BE1113" s="1916"/>
      <c r="BF1113" s="1916"/>
      <c r="BG1113" s="1916"/>
      <c r="BH1113" s="1915"/>
    </row>
    <row r="1114" spans="1:60" ht="14.25" customHeight="1">
      <c r="A1114" s="1"/>
      <c r="B1114" s="1"/>
      <c r="C1114" s="1"/>
      <c r="D1114" s="360" t="s">
        <v>501</v>
      </c>
      <c r="E1114" s="323"/>
      <c r="F1114" s="323"/>
      <c r="G1114" s="323"/>
      <c r="H1114" s="323"/>
      <c r="I1114" s="323"/>
      <c r="J1114" s="323"/>
      <c r="K1114" s="323"/>
      <c r="L1114" s="323"/>
      <c r="M1114" s="323"/>
      <c r="N1114" s="323"/>
      <c r="O1114" s="323"/>
      <c r="P1114" s="323"/>
      <c r="Q1114" s="323"/>
      <c r="R1114" s="323"/>
      <c r="S1114" s="323"/>
      <c r="T1114" s="323"/>
      <c r="U1114" s="323"/>
      <c r="V1114" s="105"/>
      <c r="W1114" s="105"/>
      <c r="X1114" s="105"/>
      <c r="Y1114" s="676">
        <f>FISCinyear!ID808</f>
        <v>0</v>
      </c>
      <c r="Z1114" s="676">
        <f>FISCinyear!IG808</f>
        <v>0</v>
      </c>
      <c r="AA1114" s="676">
        <f>FISCinyear!IJ808</f>
        <v>0</v>
      </c>
      <c r="AB1114" s="676">
        <f>FISCinyear!IM808</f>
        <v>0</v>
      </c>
      <c r="AC1114" s="676">
        <f>FISCinyear!IP808</f>
        <v>0</v>
      </c>
      <c r="AD1114" s="676">
        <f>FISCinyear!IS808</f>
        <v>0</v>
      </c>
      <c r="AE1114" s="676">
        <f>FISCinyear!IV808</f>
        <v>0</v>
      </c>
      <c r="AF1114" s="676">
        <f>FISCinyear!IY808</f>
        <v>0</v>
      </c>
      <c r="AG1114" s="676">
        <f>FISCinyear!JB808</f>
        <v>0</v>
      </c>
      <c r="AH1114" s="676">
        <f>FISCinyear!JE808</f>
        <v>0</v>
      </c>
      <c r="AI1114" s="676">
        <f>FISCinyear!JH808</f>
        <v>0</v>
      </c>
      <c r="AJ1114" s="676">
        <f>FISCinyear!JK808</f>
        <v>0</v>
      </c>
      <c r="AK1114" s="676">
        <v>0</v>
      </c>
      <c r="AL1114" s="676">
        <v>0</v>
      </c>
      <c r="AM1114" s="676">
        <v>0</v>
      </c>
      <c r="AN1114" s="676">
        <v>0</v>
      </c>
      <c r="AO1114" s="676">
        <v>0</v>
      </c>
      <c r="AP1114" s="676">
        <v>0</v>
      </c>
      <c r="AQ1114" s="676">
        <v>0</v>
      </c>
      <c r="AR1114" s="676">
        <v>0</v>
      </c>
      <c r="AS1114" s="676">
        <v>0</v>
      </c>
      <c r="AT1114" s="676">
        <v>0</v>
      </c>
      <c r="AU1114" s="676">
        <v>0</v>
      </c>
      <c r="AV1114" s="676" t="e">
        <f t="shared" si="1281"/>
        <v>#DIV/0!</v>
      </c>
      <c r="AW1114" s="1916"/>
      <c r="AX1114" s="1916"/>
      <c r="AY1114" s="1916"/>
      <c r="AZ1114" s="1916"/>
      <c r="BA1114" s="1916"/>
      <c r="BB1114" s="1916"/>
      <c r="BC1114" s="1916"/>
      <c r="BD1114" s="1916"/>
      <c r="BE1114" s="1916"/>
      <c r="BF1114" s="1916"/>
      <c r="BG1114" s="1916"/>
      <c r="BH1114" s="1915"/>
    </row>
    <row r="1115" spans="1:60" ht="14.25" customHeight="1">
      <c r="A1115" s="1"/>
      <c r="B1115" s="1"/>
      <c r="C1115" s="1"/>
      <c r="D1115" s="358" t="str">
        <f>+FISCinyear!D809</f>
        <v xml:space="preserve">Other social contributions </v>
      </c>
      <c r="E1115" s="323"/>
      <c r="F1115" s="323"/>
      <c r="G1115" s="323"/>
      <c r="H1115" s="323"/>
      <c r="I1115" s="323"/>
      <c r="J1115" s="323"/>
      <c r="K1115" s="323"/>
      <c r="L1115" s="323"/>
      <c r="M1115" s="323"/>
      <c r="N1115" s="323"/>
      <c r="O1115" s="323"/>
      <c r="P1115" s="323"/>
      <c r="Q1115" s="323"/>
      <c r="R1115" s="323"/>
      <c r="S1115" s="323"/>
      <c r="T1115" s="323"/>
      <c r="U1115" s="323"/>
      <c r="V1115" s="105"/>
      <c r="W1115" s="105"/>
      <c r="X1115" s="105"/>
      <c r="Y1115" s="1385">
        <f>FISCinyear!ID809</f>
        <v>0</v>
      </c>
      <c r="Z1115" s="1385">
        <f>FISCinyear!IG809</f>
        <v>0</v>
      </c>
      <c r="AA1115" s="1385">
        <f>FISCinyear!IJ809</f>
        <v>0</v>
      </c>
      <c r="AB1115" s="1385">
        <f>FISCinyear!IM809</f>
        <v>0</v>
      </c>
      <c r="AC1115" s="1385">
        <f>FISCinyear!IP809</f>
        <v>0</v>
      </c>
      <c r="AD1115" s="1385">
        <f>FISCinyear!IS809</f>
        <v>0</v>
      </c>
      <c r="AE1115" s="1385">
        <f>FISCinyear!IV809</f>
        <v>0</v>
      </c>
      <c r="AF1115" s="1385">
        <f>FISCinyear!IY809</f>
        <v>0</v>
      </c>
      <c r="AG1115" s="1385">
        <f>FISCinyear!JB809</f>
        <v>0</v>
      </c>
      <c r="AH1115" s="1385">
        <f>FISCinyear!JE809</f>
        <v>0</v>
      </c>
      <c r="AI1115" s="1385">
        <f>FISCinyear!JH809</f>
        <v>0</v>
      </c>
      <c r="AJ1115" s="1385">
        <f>FISCinyear!JK809</f>
        <v>0</v>
      </c>
      <c r="AK1115" s="1385">
        <v>0</v>
      </c>
      <c r="AL1115" s="1385">
        <v>0</v>
      </c>
      <c r="AM1115" s="1385">
        <v>0</v>
      </c>
      <c r="AN1115" s="1385">
        <v>0</v>
      </c>
      <c r="AO1115" s="1385">
        <v>0</v>
      </c>
      <c r="AP1115" s="1385">
        <v>0</v>
      </c>
      <c r="AQ1115" s="1385">
        <v>0</v>
      </c>
      <c r="AR1115" s="1385">
        <v>0</v>
      </c>
      <c r="AS1115" s="1385">
        <v>0</v>
      </c>
      <c r="AT1115" s="1385">
        <v>0</v>
      </c>
      <c r="AU1115" s="1385">
        <v>0</v>
      </c>
      <c r="AV1115" s="1385" t="e">
        <f t="shared" si="1281"/>
        <v>#DIV/0!</v>
      </c>
      <c r="AW1115" s="1916"/>
      <c r="AX1115" s="1916"/>
      <c r="AY1115" s="1916"/>
      <c r="AZ1115" s="1916"/>
      <c r="BA1115" s="1916"/>
      <c r="BB1115" s="1916"/>
      <c r="BC1115" s="1916"/>
      <c r="BD1115" s="1916"/>
      <c r="BE1115" s="1916"/>
      <c r="BF1115" s="1916"/>
      <c r="BG1115" s="1916"/>
      <c r="BH1115" s="1915"/>
    </row>
    <row r="1116" spans="1:60" ht="14.25" customHeight="1">
      <c r="A1116" s="1"/>
      <c r="B1116" s="1"/>
      <c r="C1116" s="1"/>
      <c r="D1116" s="360" t="s">
        <v>498</v>
      </c>
      <c r="E1116" s="323"/>
      <c r="F1116" s="323"/>
      <c r="G1116" s="323"/>
      <c r="H1116" s="323"/>
      <c r="I1116" s="323"/>
      <c r="J1116" s="323"/>
      <c r="K1116" s="323"/>
      <c r="L1116" s="323"/>
      <c r="M1116" s="323"/>
      <c r="N1116" s="323"/>
      <c r="O1116" s="323"/>
      <c r="P1116" s="323"/>
      <c r="Q1116" s="323"/>
      <c r="R1116" s="323"/>
      <c r="S1116" s="323"/>
      <c r="T1116" s="323"/>
      <c r="U1116" s="323"/>
      <c r="V1116" s="105"/>
      <c r="W1116" s="105"/>
      <c r="X1116" s="105"/>
      <c r="Y1116" s="676">
        <f>FISCinyear!ID810</f>
        <v>0</v>
      </c>
      <c r="Z1116" s="676">
        <f>FISCinyear!IG810</f>
        <v>0</v>
      </c>
      <c r="AA1116" s="676">
        <f>FISCinyear!IJ810</f>
        <v>0</v>
      </c>
      <c r="AB1116" s="676">
        <f>FISCinyear!IM810</f>
        <v>0</v>
      </c>
      <c r="AC1116" s="676">
        <f>FISCinyear!IP810</f>
        <v>0</v>
      </c>
      <c r="AD1116" s="676">
        <f>FISCinyear!IS810</f>
        <v>0</v>
      </c>
      <c r="AE1116" s="676">
        <f>FISCinyear!IV810</f>
        <v>0</v>
      </c>
      <c r="AF1116" s="676">
        <f>FISCinyear!IY810</f>
        <v>0</v>
      </c>
      <c r="AG1116" s="676">
        <f>FISCinyear!JB810</f>
        <v>0</v>
      </c>
      <c r="AH1116" s="676">
        <f>FISCinyear!JE810</f>
        <v>0</v>
      </c>
      <c r="AI1116" s="676">
        <f>FISCinyear!JH810</f>
        <v>0</v>
      </c>
      <c r="AJ1116" s="676">
        <f>FISCinyear!JK810</f>
        <v>0</v>
      </c>
      <c r="AK1116" s="676">
        <v>0</v>
      </c>
      <c r="AL1116" s="676">
        <v>0</v>
      </c>
      <c r="AM1116" s="676">
        <v>0</v>
      </c>
      <c r="AN1116" s="676">
        <v>0</v>
      </c>
      <c r="AO1116" s="676">
        <v>0</v>
      </c>
      <c r="AP1116" s="676">
        <v>0</v>
      </c>
      <c r="AQ1116" s="676">
        <v>0</v>
      </c>
      <c r="AR1116" s="676">
        <v>0</v>
      </c>
      <c r="AS1116" s="676">
        <v>0</v>
      </c>
      <c r="AT1116" s="676">
        <v>0</v>
      </c>
      <c r="AU1116" s="676">
        <v>0</v>
      </c>
      <c r="AV1116" s="676" t="e">
        <f t="shared" si="1281"/>
        <v>#DIV/0!</v>
      </c>
      <c r="AW1116" s="1916"/>
      <c r="AX1116" s="1916"/>
      <c r="AY1116" s="1916"/>
      <c r="AZ1116" s="1916"/>
      <c r="BA1116" s="1916"/>
      <c r="BB1116" s="1916"/>
      <c r="BC1116" s="1916"/>
      <c r="BD1116" s="1916"/>
      <c r="BE1116" s="1916"/>
      <c r="BF1116" s="1916"/>
      <c r="BG1116" s="1916"/>
      <c r="BH1116" s="1915"/>
    </row>
    <row r="1117" spans="1:60" ht="14.25" customHeight="1">
      <c r="A1117" s="1"/>
      <c r="B1117" s="1"/>
      <c r="C1117" s="1"/>
      <c r="D1117" s="360" t="s">
        <v>499</v>
      </c>
      <c r="E1117" s="323"/>
      <c r="F1117" s="323"/>
      <c r="G1117" s="323"/>
      <c r="H1117" s="323"/>
      <c r="I1117" s="323"/>
      <c r="J1117" s="323"/>
      <c r="K1117" s="323"/>
      <c r="L1117" s="323"/>
      <c r="M1117" s="323"/>
      <c r="N1117" s="323"/>
      <c r="O1117" s="323"/>
      <c r="P1117" s="323"/>
      <c r="Q1117" s="323"/>
      <c r="R1117" s="323"/>
      <c r="S1117" s="323"/>
      <c r="T1117" s="323"/>
      <c r="U1117" s="323"/>
      <c r="V1117" s="105"/>
      <c r="W1117" s="105"/>
      <c r="X1117" s="105"/>
      <c r="Y1117" s="676">
        <f>FISCinyear!ID811</f>
        <v>0</v>
      </c>
      <c r="Z1117" s="676">
        <f>FISCinyear!IG811</f>
        <v>0</v>
      </c>
      <c r="AA1117" s="676">
        <f>FISCinyear!IJ811</f>
        <v>0</v>
      </c>
      <c r="AB1117" s="676">
        <f>FISCinyear!IM811</f>
        <v>0</v>
      </c>
      <c r="AC1117" s="676">
        <f>FISCinyear!IP811</f>
        <v>0</v>
      </c>
      <c r="AD1117" s="676">
        <f>FISCinyear!IS811</f>
        <v>0</v>
      </c>
      <c r="AE1117" s="676">
        <f>FISCinyear!IV811</f>
        <v>0</v>
      </c>
      <c r="AF1117" s="676">
        <f>FISCinyear!IY811</f>
        <v>0</v>
      </c>
      <c r="AG1117" s="676">
        <f>FISCinyear!JB811</f>
        <v>0</v>
      </c>
      <c r="AH1117" s="676">
        <f>FISCinyear!JE811</f>
        <v>0</v>
      </c>
      <c r="AI1117" s="676">
        <f>FISCinyear!JH811</f>
        <v>0</v>
      </c>
      <c r="AJ1117" s="676">
        <f>FISCinyear!JK811</f>
        <v>0</v>
      </c>
      <c r="AK1117" s="676">
        <v>0</v>
      </c>
      <c r="AL1117" s="676">
        <v>0</v>
      </c>
      <c r="AM1117" s="676">
        <v>0</v>
      </c>
      <c r="AN1117" s="676">
        <v>0</v>
      </c>
      <c r="AO1117" s="676">
        <v>0</v>
      </c>
      <c r="AP1117" s="676">
        <v>0</v>
      </c>
      <c r="AQ1117" s="676">
        <v>0</v>
      </c>
      <c r="AR1117" s="676">
        <v>0</v>
      </c>
      <c r="AS1117" s="676">
        <v>0</v>
      </c>
      <c r="AT1117" s="676">
        <v>0</v>
      </c>
      <c r="AU1117" s="676">
        <v>0</v>
      </c>
      <c r="AV1117" s="676" t="e">
        <f t="shared" si="1281"/>
        <v>#DIV/0!</v>
      </c>
      <c r="AW1117" s="1916"/>
      <c r="AX1117" s="1916"/>
      <c r="AY1117" s="1916"/>
      <c r="AZ1117" s="1916"/>
      <c r="BA1117" s="1916"/>
      <c r="BB1117" s="1916"/>
      <c r="BC1117" s="1916"/>
      <c r="BD1117" s="1916"/>
      <c r="BE1117" s="1916"/>
      <c r="BF1117" s="1916"/>
      <c r="BG1117" s="1916"/>
      <c r="BH1117" s="1915"/>
    </row>
    <row r="1118" spans="1:60" ht="14.25" customHeight="1">
      <c r="A1118" s="1"/>
      <c r="B1118" s="1"/>
      <c r="C1118" s="1"/>
      <c r="D1118" s="360" t="s">
        <v>503</v>
      </c>
      <c r="E1118" s="323"/>
      <c r="F1118" s="323"/>
      <c r="G1118" s="323"/>
      <c r="H1118" s="323"/>
      <c r="I1118" s="323"/>
      <c r="J1118" s="323"/>
      <c r="K1118" s="323"/>
      <c r="L1118" s="323"/>
      <c r="M1118" s="323"/>
      <c r="N1118" s="323"/>
      <c r="O1118" s="323"/>
      <c r="P1118" s="323"/>
      <c r="Q1118" s="323"/>
      <c r="R1118" s="323"/>
      <c r="S1118" s="323"/>
      <c r="T1118" s="323"/>
      <c r="U1118" s="323"/>
      <c r="V1118" s="105"/>
      <c r="W1118" s="105"/>
      <c r="X1118" s="105"/>
      <c r="Y1118" s="676">
        <f>FISCinyear!ID812</f>
        <v>0</v>
      </c>
      <c r="Z1118" s="676">
        <f>FISCinyear!IG812</f>
        <v>0</v>
      </c>
      <c r="AA1118" s="676">
        <f>FISCinyear!IJ812</f>
        <v>0</v>
      </c>
      <c r="AB1118" s="676">
        <f>FISCinyear!IM812</f>
        <v>0</v>
      </c>
      <c r="AC1118" s="676">
        <f>FISCinyear!IP812</f>
        <v>0</v>
      </c>
      <c r="AD1118" s="676">
        <f>FISCinyear!IS812</f>
        <v>0</v>
      </c>
      <c r="AE1118" s="676">
        <f>FISCinyear!IV812</f>
        <v>0</v>
      </c>
      <c r="AF1118" s="676">
        <f>FISCinyear!IY812</f>
        <v>0</v>
      </c>
      <c r="AG1118" s="676">
        <f>FISCinyear!JB812</f>
        <v>0</v>
      </c>
      <c r="AH1118" s="676">
        <f>FISCinyear!JE812</f>
        <v>0</v>
      </c>
      <c r="AI1118" s="676">
        <f>FISCinyear!JH812</f>
        <v>0</v>
      </c>
      <c r="AJ1118" s="676">
        <f>FISCinyear!JK812</f>
        <v>0</v>
      </c>
      <c r="AK1118" s="676">
        <v>0</v>
      </c>
      <c r="AL1118" s="676">
        <v>0</v>
      </c>
      <c r="AM1118" s="676">
        <v>0</v>
      </c>
      <c r="AN1118" s="676">
        <v>0</v>
      </c>
      <c r="AO1118" s="676">
        <v>0</v>
      </c>
      <c r="AP1118" s="676">
        <v>0</v>
      </c>
      <c r="AQ1118" s="676">
        <v>0</v>
      </c>
      <c r="AR1118" s="676">
        <v>0</v>
      </c>
      <c r="AS1118" s="676">
        <v>0</v>
      </c>
      <c r="AT1118" s="676">
        <v>0</v>
      </c>
      <c r="AU1118" s="676">
        <v>0</v>
      </c>
      <c r="AV1118" s="676" t="e">
        <f t="shared" si="1281"/>
        <v>#DIV/0!</v>
      </c>
      <c r="AW1118" s="1916"/>
      <c r="AX1118" s="1916"/>
      <c r="AY1118" s="1916"/>
      <c r="AZ1118" s="1916"/>
      <c r="BA1118" s="1916"/>
      <c r="BB1118" s="1916"/>
      <c r="BC1118" s="1916"/>
      <c r="BD1118" s="1916"/>
      <c r="BE1118" s="1916"/>
      <c r="BF1118" s="1916"/>
      <c r="BG1118" s="1916"/>
      <c r="BH1118" s="1915"/>
    </row>
    <row r="1119" spans="1:60" ht="14.25" customHeight="1">
      <c r="A1119" s="1"/>
      <c r="B1119" s="1"/>
      <c r="C1119" s="1"/>
      <c r="D1119" s="356" t="str">
        <f>+FISCinyear!D813</f>
        <v xml:space="preserve">Grants </v>
      </c>
      <c r="E1119" s="323"/>
      <c r="F1119" s="323"/>
      <c r="G1119" s="323"/>
      <c r="H1119" s="323"/>
      <c r="I1119" s="323"/>
      <c r="J1119" s="323"/>
      <c r="K1119" s="323"/>
      <c r="L1119" s="323"/>
      <c r="M1119" s="323"/>
      <c r="N1119" s="323"/>
      <c r="O1119" s="323"/>
      <c r="P1119" s="323"/>
      <c r="Q1119" s="323"/>
      <c r="R1119" s="323"/>
      <c r="S1119" s="323"/>
      <c r="T1119" s="323"/>
      <c r="U1119" s="323"/>
      <c r="V1119" s="376">
        <f>+V1120+V1124</f>
        <v>379.02576983500001</v>
      </c>
      <c r="W1119" s="376">
        <f>+W1120+W1124</f>
        <v>457.4</v>
      </c>
      <c r="X1119" s="376">
        <f>+X1120+X1124</f>
        <v>364.9</v>
      </c>
      <c r="Y1119" s="1385">
        <f>FISCinyear!ID813</f>
        <v>474.31665722262017</v>
      </c>
      <c r="Z1119" s="1385">
        <f>FISCinyear!IG813</f>
        <v>415.92740699529952</v>
      </c>
      <c r="AA1119" s="1385">
        <f>FISCinyear!IJ813</f>
        <v>373.71360579354939</v>
      </c>
      <c r="AB1119" s="1385">
        <f>FISCinyear!IM813</f>
        <v>330.18208394651856</v>
      </c>
      <c r="AC1119" s="1385">
        <f>FISCinyear!IP813</f>
        <v>358.90867686871047</v>
      </c>
      <c r="AD1119" s="1385">
        <f>FISCinyear!IS813</f>
        <v>394.75005785621573</v>
      </c>
      <c r="AE1119" s="1385">
        <f>FISCinyear!IV813</f>
        <v>437.5584046438675</v>
      </c>
      <c r="AF1119" s="1385">
        <f>FISCinyear!IY813</f>
        <v>561.08816780108214</v>
      </c>
      <c r="AG1119" s="1385">
        <f>FISCinyear!JB813</f>
        <v>824.18435942628139</v>
      </c>
      <c r="AH1119" s="1385">
        <f>FISCinyear!JE813</f>
        <v>711.30724575495196</v>
      </c>
      <c r="AI1119" s="1385">
        <f>FISCinyear!JH813</f>
        <v>757.7914095316321</v>
      </c>
      <c r="AJ1119" s="1385">
        <f>FISCinyear!JK813</f>
        <v>614.59247170907861</v>
      </c>
      <c r="AK1119" s="1567">
        <f t="shared" ref="AK1119" si="1353">+AK1120+AK1124+AK1128+AK1131</f>
        <v>668.27623029566234</v>
      </c>
      <c r="AL1119" s="1567">
        <f>+AL1120+AL1124+AL1128+AL1131</f>
        <v>543.98114445037027</v>
      </c>
      <c r="AM1119" s="1567">
        <f t="shared" ref="AM1119:AN1119" si="1354">+AM1120+AM1124+AM1128+AM1131</f>
        <v>605.18237487361375</v>
      </c>
      <c r="AN1119" s="1567">
        <f t="shared" si="1354"/>
        <v>617.15455560035116</v>
      </c>
      <c r="AO1119" s="1567">
        <f>+AO1120+AO1124+AO1131</f>
        <v>626.07806658423215</v>
      </c>
      <c r="AP1119" s="1567">
        <f t="shared" ref="AP1119:AU1119" si="1355">+AP1120+AP1124</f>
        <v>714.43935792884895</v>
      </c>
      <c r="AQ1119" s="1567">
        <f t="shared" si="1355"/>
        <v>873.63487298814857</v>
      </c>
      <c r="AR1119" s="1567">
        <f t="shared" si="1355"/>
        <v>898.73600969991332</v>
      </c>
      <c r="AS1119" s="1567">
        <f t="shared" si="1355"/>
        <v>925.79318555442876</v>
      </c>
      <c r="AT1119" s="1567">
        <f t="shared" si="1355"/>
        <v>954.21180828801675</v>
      </c>
      <c r="AU1119" s="1567">
        <f t="shared" si="1355"/>
        <v>983.50505730430746</v>
      </c>
      <c r="AV1119" s="1567">
        <f t="shared" si="1281"/>
        <v>3.0696513192165042E-2</v>
      </c>
      <c r="AW1119" s="1916"/>
      <c r="AX1119" s="1916"/>
      <c r="AY1119" s="1916"/>
      <c r="AZ1119" s="1916"/>
      <c r="BA1119" s="1916"/>
      <c r="BB1119" s="1916"/>
      <c r="BC1119" s="1916"/>
      <c r="BD1119" s="1916"/>
      <c r="BE1119" s="1916"/>
      <c r="BF1119" s="1916"/>
      <c r="BG1119" s="1916"/>
      <c r="BH1119" s="1915"/>
    </row>
    <row r="1120" spans="1:60" ht="14.25" customHeight="1">
      <c r="A1120" s="1"/>
      <c r="B1120" s="1"/>
      <c r="C1120" s="1"/>
      <c r="D1120" s="358" t="str">
        <f>+FISCinyear!D814</f>
        <v xml:space="preserve">From foreign governments </v>
      </c>
      <c r="E1120" s="323"/>
      <c r="F1120" s="323"/>
      <c r="G1120" s="323"/>
      <c r="H1120" s="323"/>
      <c r="I1120" s="323"/>
      <c r="J1120" s="323"/>
      <c r="K1120" s="323"/>
      <c r="L1120" s="323"/>
      <c r="M1120" s="323"/>
      <c r="N1120" s="323"/>
      <c r="O1120" s="323"/>
      <c r="P1120" s="323"/>
      <c r="Q1120" s="323"/>
      <c r="R1120" s="323"/>
      <c r="S1120" s="323"/>
      <c r="T1120" s="323"/>
      <c r="U1120" s="323"/>
      <c r="V1120" s="376"/>
      <c r="W1120" s="376"/>
      <c r="X1120" s="376"/>
      <c r="Y1120" s="1385">
        <f>FISCinyear!ID814</f>
        <v>0</v>
      </c>
      <c r="Z1120" s="1385">
        <f>FISCinyear!IG814</f>
        <v>0</v>
      </c>
      <c r="AA1120" s="1385">
        <f>FISCinyear!IJ814</f>
        <v>0</v>
      </c>
      <c r="AB1120" s="1385">
        <f>FISCinyear!IM814</f>
        <v>68.872031182049739</v>
      </c>
      <c r="AC1120" s="1385">
        <f>FISCinyear!IP814</f>
        <v>62.921207006556472</v>
      </c>
      <c r="AD1120" s="1385">
        <f>FISCinyear!IS814</f>
        <v>18.877917492979133</v>
      </c>
      <c r="AE1120" s="1385">
        <f>FISCinyear!IV814</f>
        <v>24.185845768937916</v>
      </c>
      <c r="AF1120" s="1385">
        <f>FISCinyear!IY814</f>
        <v>9.0172988225571267</v>
      </c>
      <c r="AG1120" s="1385">
        <f>FISCinyear!JB814</f>
        <v>214.52942576870959</v>
      </c>
      <c r="AH1120" s="1385">
        <f>FISCinyear!JE814</f>
        <v>405.61651781281091</v>
      </c>
      <c r="AI1120" s="1385">
        <f>FISCinyear!JH814</f>
        <v>423.76122062019726</v>
      </c>
      <c r="AJ1120" s="1385">
        <f>FISCinyear!JK814</f>
        <v>325.13662088855904</v>
      </c>
      <c r="AK1120" s="1568">
        <f t="shared" ref="AK1120:AL1120" si="1356">AK1121+AK1123</f>
        <v>280.34981583192655</v>
      </c>
      <c r="AL1120" s="1568">
        <f t="shared" si="1356"/>
        <v>292.56102273600618</v>
      </c>
      <c r="AM1120" s="1568">
        <f t="shared" ref="AM1120:AO1120" si="1357">AM1121+AM1123</f>
        <v>306.54430202097217</v>
      </c>
      <c r="AN1120" s="1568">
        <f>AN1121+AN1123</f>
        <v>321.06731701975286</v>
      </c>
      <c r="AO1120" s="1568">
        <f t="shared" si="1357"/>
        <v>333.83954645348712</v>
      </c>
      <c r="AP1120" s="1568">
        <f t="shared" ref="AP1120:AU1120" si="1358">AP1121+AP1123</f>
        <v>356.94859055134964</v>
      </c>
      <c r="AQ1120" s="1568">
        <f t="shared" si="1358"/>
        <v>367.65704826789016</v>
      </c>
      <c r="AR1120" s="1568">
        <f t="shared" si="1358"/>
        <v>378.68675971592688</v>
      </c>
      <c r="AS1120" s="1568">
        <f t="shared" si="1358"/>
        <v>390.04736250740473</v>
      </c>
      <c r="AT1120" s="1568">
        <f t="shared" si="1358"/>
        <v>401.74878338262687</v>
      </c>
      <c r="AU1120" s="1568">
        <f t="shared" si="1358"/>
        <v>413.80124688410569</v>
      </c>
      <c r="AV1120" s="1568">
        <f t="shared" si="1281"/>
        <v>3.0000000000000027E-2</v>
      </c>
      <c r="AW1120" s="1916"/>
      <c r="AX1120" s="1916"/>
      <c r="AY1120" s="1916"/>
      <c r="AZ1120" s="1916"/>
      <c r="BA1120" s="1916"/>
      <c r="BB1120" s="1916"/>
      <c r="BC1120" s="1916"/>
      <c r="BD1120" s="1916"/>
      <c r="BE1120" s="1916"/>
      <c r="BF1120" s="1916"/>
      <c r="BG1120" s="1916"/>
      <c r="BH1120" s="1915"/>
    </row>
    <row r="1121" spans="1:60" ht="14.25" customHeight="1">
      <c r="A1121" s="1"/>
      <c r="B1121" s="1"/>
      <c r="C1121" s="1"/>
      <c r="D1121" s="360" t="str">
        <f>+FISCinyear!D815</f>
        <v xml:space="preserve">Current </v>
      </c>
      <c r="E1121" s="323"/>
      <c r="F1121" s="323"/>
      <c r="G1121" s="323"/>
      <c r="H1121" s="323"/>
      <c r="I1121" s="323"/>
      <c r="J1121" s="323"/>
      <c r="K1121" s="323"/>
      <c r="L1121" s="323"/>
      <c r="M1121" s="323"/>
      <c r="N1121" s="323"/>
      <c r="O1121" s="323"/>
      <c r="P1121" s="323"/>
      <c r="Q1121" s="323"/>
      <c r="R1121" s="323"/>
      <c r="S1121" s="323"/>
      <c r="T1121" s="323"/>
      <c r="U1121" s="323"/>
      <c r="V1121" s="105"/>
      <c r="W1121" s="105"/>
      <c r="X1121" s="105"/>
      <c r="Y1121" s="676">
        <f>FISCinyear!ID815</f>
        <v>0</v>
      </c>
      <c r="Z1121" s="676">
        <f>FISCinyear!IG815</f>
        <v>0</v>
      </c>
      <c r="AA1121" s="676">
        <f>FISCinyear!IJ815</f>
        <v>0</v>
      </c>
      <c r="AB1121" s="676">
        <f>FISCinyear!IM815</f>
        <v>68.872031182049739</v>
      </c>
      <c r="AC1121" s="676">
        <f>FISCinyear!IP815</f>
        <v>62.921207006556472</v>
      </c>
      <c r="AD1121" s="676">
        <f>FISCinyear!IS815</f>
        <v>18.877917492979133</v>
      </c>
      <c r="AE1121" s="676">
        <f>FISCinyear!IV815</f>
        <v>24.185845768937916</v>
      </c>
      <c r="AF1121" s="676">
        <f>FISCinyear!IY815</f>
        <v>9.0172988225571267</v>
      </c>
      <c r="AG1121" s="676">
        <f>FISCinyear!JB815</f>
        <v>214.52942576870956</v>
      </c>
      <c r="AH1121" s="676">
        <f>FISCinyear!JE815</f>
        <v>158.7462235156909</v>
      </c>
      <c r="AI1121" s="676">
        <f>FISCinyear!JH815</f>
        <v>105.79687281258069</v>
      </c>
      <c r="AJ1121" s="676">
        <f>FISCinyear!JK815</f>
        <v>36.051834947437044</v>
      </c>
      <c r="AK1121" s="376">
        <f t="shared" ref="AK1121:AU1121" si="1359">(AJ101+AK93)*AK259/1000</f>
        <v>0</v>
      </c>
      <c r="AL1121" s="376">
        <f t="shared" si="1359"/>
        <v>0</v>
      </c>
      <c r="AM1121" s="376">
        <f t="shared" si="1359"/>
        <v>0</v>
      </c>
      <c r="AN1121" s="376">
        <f t="shared" si="1359"/>
        <v>0</v>
      </c>
      <c r="AO1121" s="376">
        <f t="shared" si="1359"/>
        <v>0</v>
      </c>
      <c r="AP1121" s="376">
        <f t="shared" si="1359"/>
        <v>0</v>
      </c>
      <c r="AQ1121" s="376">
        <f t="shared" si="1359"/>
        <v>0</v>
      </c>
      <c r="AR1121" s="376">
        <f t="shared" si="1359"/>
        <v>0</v>
      </c>
      <c r="AS1121" s="376">
        <f t="shared" si="1359"/>
        <v>0</v>
      </c>
      <c r="AT1121" s="376">
        <f t="shared" si="1359"/>
        <v>0</v>
      </c>
      <c r="AU1121" s="376">
        <f t="shared" si="1359"/>
        <v>0</v>
      </c>
      <c r="AV1121" s="376" t="e">
        <f t="shared" si="1281"/>
        <v>#DIV/0!</v>
      </c>
      <c r="AW1121" s="1916"/>
      <c r="AX1121" s="1916"/>
      <c r="AY1121" s="1916"/>
      <c r="AZ1121" s="1916"/>
      <c r="BA1121" s="1916"/>
      <c r="BB1121" s="1916"/>
      <c r="BC1121" s="1916"/>
      <c r="BD1121" s="1916"/>
      <c r="BE1121" s="1916"/>
      <c r="BF1121" s="1916"/>
      <c r="BG1121" s="1916"/>
      <c r="BH1121" s="1915"/>
    </row>
    <row r="1122" spans="1:60" ht="14.25" customHeight="1">
      <c r="A1122" s="1"/>
      <c r="B1122" s="1"/>
      <c r="C1122" s="1"/>
      <c r="D1122" s="363" t="s">
        <v>3278</v>
      </c>
      <c r="E1122" s="323"/>
      <c r="F1122" s="323"/>
      <c r="G1122" s="323"/>
      <c r="H1122" s="323"/>
      <c r="I1122" s="323"/>
      <c r="J1122" s="323"/>
      <c r="K1122" s="323"/>
      <c r="L1122" s="323"/>
      <c r="M1122" s="323"/>
      <c r="N1122" s="323"/>
      <c r="O1122" s="323"/>
      <c r="P1122" s="323"/>
      <c r="Q1122" s="323"/>
      <c r="R1122" s="323"/>
      <c r="S1122" s="323"/>
      <c r="T1122" s="323"/>
      <c r="U1122" s="323"/>
      <c r="V1122" s="105"/>
      <c r="W1122" s="105"/>
      <c r="X1122" s="105"/>
      <c r="Y1122" s="676"/>
      <c r="Z1122" s="676"/>
      <c r="AA1122" s="676"/>
      <c r="AB1122" s="676"/>
      <c r="AC1122" s="676"/>
      <c r="AD1122" s="676"/>
      <c r="AE1122" s="676"/>
      <c r="AF1122" s="676"/>
      <c r="AG1122" s="676">
        <f>FISCinyear!JB816</f>
        <v>178.58328382937401</v>
      </c>
      <c r="AH1122" s="676">
        <f>FISCinyear!JE816</f>
        <v>21</v>
      </c>
      <c r="AI1122" s="676">
        <f>FISCinyear!JH816</f>
        <v>81.74256614548537</v>
      </c>
      <c r="AJ1122" s="676">
        <f>FISCinyear!JK816</f>
        <v>0</v>
      </c>
      <c r="AK1122" s="1567">
        <f>68.3533350182855*AK259/1000*0</f>
        <v>0</v>
      </c>
      <c r="AL1122" s="1567">
        <v>0</v>
      </c>
      <c r="AM1122" s="1567">
        <v>0</v>
      </c>
      <c r="AN1122" s="1567">
        <v>0</v>
      </c>
      <c r="AO1122" s="1567">
        <v>0</v>
      </c>
      <c r="AP1122" s="1567">
        <v>1</v>
      </c>
      <c r="AQ1122" s="1567">
        <v>2</v>
      </c>
      <c r="AR1122" s="1567">
        <v>3</v>
      </c>
      <c r="AS1122" s="1567">
        <v>4</v>
      </c>
      <c r="AT1122" s="1567">
        <v>5</v>
      </c>
      <c r="AU1122" s="1567">
        <f t="shared" si="1284"/>
        <v>6.25</v>
      </c>
      <c r="AV1122" s="1567">
        <f t="shared" si="1281"/>
        <v>0.25</v>
      </c>
      <c r="AW1122" s="1916"/>
      <c r="AX1122" s="1916"/>
      <c r="AY1122" s="1916"/>
      <c r="AZ1122" s="1916"/>
      <c r="BA1122" s="1916"/>
      <c r="BB1122" s="1916"/>
      <c r="BC1122" s="1916"/>
      <c r="BD1122" s="1916"/>
      <c r="BE1122" s="1916"/>
      <c r="BF1122" s="1916"/>
      <c r="BG1122" s="1916"/>
      <c r="BH1122" s="1915"/>
    </row>
    <row r="1123" spans="1:60" ht="14.25" customHeight="1">
      <c r="A1123" s="1"/>
      <c r="B1123" s="1"/>
      <c r="C1123" s="1"/>
      <c r="D1123" s="360" t="str">
        <f>+FISCinyear!D817</f>
        <v xml:space="preserve">Capital </v>
      </c>
      <c r="E1123" s="323"/>
      <c r="F1123" s="323"/>
      <c r="G1123" s="323"/>
      <c r="H1123" s="323"/>
      <c r="I1123" s="323"/>
      <c r="J1123" s="323"/>
      <c r="K1123" s="323"/>
      <c r="L1123" s="323"/>
      <c r="M1123" s="323"/>
      <c r="N1123" s="323"/>
      <c r="O1123" s="323"/>
      <c r="P1123" s="323"/>
      <c r="Q1123" s="323"/>
      <c r="R1123" s="323"/>
      <c r="S1123" s="323"/>
      <c r="T1123" s="323"/>
      <c r="U1123" s="323"/>
      <c r="V1123" s="105"/>
      <c r="W1123" s="105"/>
      <c r="X1123" s="105"/>
      <c r="Y1123" s="676">
        <f>FISCinyear!ID817</f>
        <v>0</v>
      </c>
      <c r="Z1123" s="676">
        <f>FISCinyear!IG817</f>
        <v>0</v>
      </c>
      <c r="AA1123" s="676">
        <f>FISCinyear!IJ817</f>
        <v>0</v>
      </c>
      <c r="AB1123" s="676">
        <f>FISCinyear!IM817</f>
        <v>0</v>
      </c>
      <c r="AC1123" s="676">
        <f>FISCinyear!IP817</f>
        <v>0</v>
      </c>
      <c r="AD1123" s="676">
        <f>FISCinyear!IS817</f>
        <v>0</v>
      </c>
      <c r="AE1123" s="676">
        <f>FISCinyear!IV817</f>
        <v>0</v>
      </c>
      <c r="AF1123" s="676">
        <f>FISCinyear!IY817</f>
        <v>0</v>
      </c>
      <c r="AG1123" s="676">
        <f>FISCinyear!JB817</f>
        <v>0</v>
      </c>
      <c r="AH1123" s="676">
        <f>FISCinyear!JE817</f>
        <v>246.87029429712004</v>
      </c>
      <c r="AI1123" s="676">
        <f>FISCinyear!JH817</f>
        <v>317.9643478076166</v>
      </c>
      <c r="AJ1123" s="676">
        <f>FISCinyear!JK817</f>
        <v>289.08478594112194</v>
      </c>
      <c r="AK1123" s="105">
        <f t="shared" ref="AK1123:AT1123" si="1360">(AJ87+AK82)*AK259/1000</f>
        <v>280.34981583192655</v>
      </c>
      <c r="AL1123" s="105">
        <f t="shared" si="1360"/>
        <v>292.56102273600618</v>
      </c>
      <c r="AM1123" s="105">
        <f t="shared" si="1360"/>
        <v>306.54430202097217</v>
      </c>
      <c r="AN1123" s="105">
        <f t="shared" si="1360"/>
        <v>321.06731701975286</v>
      </c>
      <c r="AO1123" s="105">
        <f t="shared" si="1360"/>
        <v>333.83954645348712</v>
      </c>
      <c r="AP1123" s="105">
        <f t="shared" si="1360"/>
        <v>356.94859055134964</v>
      </c>
      <c r="AQ1123" s="105">
        <f t="shared" si="1360"/>
        <v>367.65704826789016</v>
      </c>
      <c r="AR1123" s="105">
        <f t="shared" si="1360"/>
        <v>378.68675971592688</v>
      </c>
      <c r="AS1123" s="105">
        <f t="shared" si="1360"/>
        <v>390.04736250740473</v>
      </c>
      <c r="AT1123" s="105">
        <f t="shared" si="1360"/>
        <v>401.74878338262687</v>
      </c>
      <c r="AU1123" s="105">
        <f t="shared" si="1284"/>
        <v>413.80124688410569</v>
      </c>
      <c r="AV1123" s="105">
        <f t="shared" si="1281"/>
        <v>3.0000000000000027E-2</v>
      </c>
      <c r="AW1123" s="1916"/>
      <c r="AX1123" s="1916"/>
      <c r="AY1123" s="1916"/>
      <c r="AZ1123" s="1916"/>
      <c r="BA1123" s="1916"/>
      <c r="BB1123" s="1916"/>
      <c r="BC1123" s="1916"/>
      <c r="BD1123" s="1916"/>
      <c r="BE1123" s="1916"/>
      <c r="BF1123" s="1916"/>
      <c r="BG1123" s="1916"/>
      <c r="BH1123" s="1915"/>
    </row>
    <row r="1124" spans="1:60" ht="14.25" customHeight="1">
      <c r="A1124" s="1"/>
      <c r="B1124" s="1"/>
      <c r="C1124" s="1"/>
      <c r="D1124" s="358" t="str">
        <f>+FISCinyear!D818</f>
        <v xml:space="preserve">From international organizations </v>
      </c>
      <c r="E1124" s="323"/>
      <c r="F1124" s="323"/>
      <c r="G1124" s="323"/>
      <c r="H1124" s="323"/>
      <c r="I1124" s="323"/>
      <c r="J1124" s="323"/>
      <c r="K1124" s="323"/>
      <c r="L1124" s="323"/>
      <c r="M1124" s="323"/>
      <c r="N1124" s="323"/>
      <c r="O1124" s="323"/>
      <c r="P1124" s="323"/>
      <c r="Q1124" s="323"/>
      <c r="R1124" s="323"/>
      <c r="S1124" s="323"/>
      <c r="T1124" s="323"/>
      <c r="U1124" s="323"/>
      <c r="V1124" s="376">
        <f t="shared" ref="V1124:X1125" si="1361">+V772</f>
        <v>379.02576983500001</v>
      </c>
      <c r="W1124" s="376">
        <f t="shared" si="1361"/>
        <v>457.4</v>
      </c>
      <c r="X1124" s="376">
        <f t="shared" si="1361"/>
        <v>364.9</v>
      </c>
      <c r="Y1124" s="1385">
        <f>FISCinyear!ID818</f>
        <v>474.31665722262017</v>
      </c>
      <c r="Z1124" s="1385">
        <f>FISCinyear!IG818</f>
        <v>415.92740699529952</v>
      </c>
      <c r="AA1124" s="1385">
        <f>FISCinyear!IJ818</f>
        <v>373.71360579354939</v>
      </c>
      <c r="AB1124" s="1385">
        <f>FISCinyear!IM818</f>
        <v>261.31005276446876</v>
      </c>
      <c r="AC1124" s="1385">
        <f>FISCinyear!IP818</f>
        <v>295.987469862154</v>
      </c>
      <c r="AD1124" s="1385">
        <f>FISCinyear!IS818</f>
        <v>375.87214036323667</v>
      </c>
      <c r="AE1124" s="1385">
        <f>FISCinyear!IV818</f>
        <v>413.37255887492961</v>
      </c>
      <c r="AF1124" s="1385">
        <f>FISCinyear!IY818</f>
        <v>557.03927729052498</v>
      </c>
      <c r="AG1124" s="1385">
        <f>FISCinyear!JB818</f>
        <v>609.65493365757186</v>
      </c>
      <c r="AH1124" s="1385">
        <f>FISCinyear!JE818</f>
        <v>305.69072794214094</v>
      </c>
      <c r="AI1124" s="1385">
        <f>FISCinyear!JH818</f>
        <v>334.03018891143483</v>
      </c>
      <c r="AJ1124" s="1385">
        <f>FISCinyear!JK818</f>
        <v>289.45585082051963</v>
      </c>
      <c r="AK1124" s="1567">
        <f t="shared" ref="AK1124:AU1124" si="1362">AK1125+AK1126</f>
        <v>387.9264144637358</v>
      </c>
      <c r="AL1124" s="1567">
        <f t="shared" si="1362"/>
        <v>251.42012171436414</v>
      </c>
      <c r="AM1124" s="1567">
        <f t="shared" si="1362"/>
        <v>298.63807285264153</v>
      </c>
      <c r="AN1124" s="1567">
        <f t="shared" si="1362"/>
        <v>296.08723858059835</v>
      </c>
      <c r="AO1124" s="1567">
        <f t="shared" si="1362"/>
        <v>292.23852013074509</v>
      </c>
      <c r="AP1124" s="1567">
        <f t="shared" si="1362"/>
        <v>357.49076737749925</v>
      </c>
      <c r="AQ1124" s="1567">
        <f t="shared" si="1362"/>
        <v>505.97782472025841</v>
      </c>
      <c r="AR1124" s="1567">
        <f t="shared" si="1362"/>
        <v>520.04924998398644</v>
      </c>
      <c r="AS1124" s="1567">
        <f t="shared" si="1362"/>
        <v>535.74582304702403</v>
      </c>
      <c r="AT1124" s="1567">
        <f t="shared" si="1362"/>
        <v>552.46302490538983</v>
      </c>
      <c r="AU1124" s="1567">
        <f t="shared" si="1362"/>
        <v>569.70381042020176</v>
      </c>
      <c r="AV1124" s="1567">
        <f t="shared" si="1281"/>
        <v>3.1203606522375971E-2</v>
      </c>
      <c r="AW1124" s="1916"/>
      <c r="AX1124" s="1916"/>
      <c r="AY1124" s="1916"/>
      <c r="AZ1124" s="1916"/>
      <c r="BA1124" s="1916"/>
      <c r="BB1124" s="1916"/>
      <c r="BC1124" s="1916"/>
      <c r="BD1124" s="1916"/>
      <c r="BE1124" s="1916"/>
      <c r="BF1124" s="1916"/>
      <c r="BG1124" s="1916"/>
      <c r="BH1124" s="1915"/>
    </row>
    <row r="1125" spans="1:60" ht="14.25" customHeight="1">
      <c r="A1125" s="1"/>
      <c r="B1125" s="1"/>
      <c r="C1125" s="1"/>
      <c r="D1125" s="360" t="str">
        <f>+FISCinyear!D819</f>
        <v xml:space="preserve">Current </v>
      </c>
      <c r="E1125" s="323"/>
      <c r="F1125" s="323"/>
      <c r="G1125" s="323"/>
      <c r="H1125" s="323"/>
      <c r="I1125" s="323"/>
      <c r="J1125" s="323"/>
      <c r="K1125" s="323"/>
      <c r="L1125" s="323"/>
      <c r="M1125" s="323"/>
      <c r="N1125" s="323"/>
      <c r="O1125" s="323"/>
      <c r="P1125" s="323"/>
      <c r="Q1125" s="323"/>
      <c r="R1125" s="323"/>
      <c r="S1125" s="323"/>
      <c r="T1125" s="323"/>
      <c r="U1125" s="323"/>
      <c r="V1125" s="105">
        <f t="shared" si="1361"/>
        <v>215.02576983500001</v>
      </c>
      <c r="W1125" s="105">
        <f t="shared" si="1361"/>
        <v>265.7</v>
      </c>
      <c r="X1125" s="105">
        <f t="shared" si="1361"/>
        <v>190</v>
      </c>
      <c r="Y1125" s="676">
        <f>FISCinyear!ID819</f>
        <v>171.05488197605115</v>
      </c>
      <c r="Z1125" s="676">
        <f>FISCinyear!IG819</f>
        <v>174.90370495494068</v>
      </c>
      <c r="AA1125" s="676">
        <f>FISCinyear!IJ819</f>
        <v>204.80701027772713</v>
      </c>
      <c r="AB1125" s="676">
        <f>FISCinyear!IM819</f>
        <v>115.31005276446882</v>
      </c>
      <c r="AC1125" s="676">
        <f>FISCinyear!IP819</f>
        <v>127.27746986215398</v>
      </c>
      <c r="AD1125" s="676">
        <f>FISCinyear!IS819</f>
        <v>142.79660836906694</v>
      </c>
      <c r="AE1125" s="676">
        <f>FISCinyear!IV819</f>
        <v>153.54471619267954</v>
      </c>
      <c r="AF1125" s="676">
        <f>FISCinyear!IY819</f>
        <v>262.290954510125</v>
      </c>
      <c r="AG1125" s="676">
        <f>FISCinyear!JB819</f>
        <v>232.6014681299319</v>
      </c>
      <c r="AH1125" s="676">
        <f>FISCinyear!JE819</f>
        <v>151.2761174962597</v>
      </c>
      <c r="AI1125" s="676">
        <f>FISCinyear!JH819</f>
        <v>147.91388757351183</v>
      </c>
      <c r="AJ1125" s="676">
        <f>FISCinyear!JK819</f>
        <v>128.27999060794238</v>
      </c>
      <c r="AK1125" s="105">
        <f t="shared" ref="AK1125:AT1125" si="1363">(AJ103+AK95)*AK259/1000</f>
        <v>112.61764625081402</v>
      </c>
      <c r="AL1125" s="105">
        <f t="shared" si="1363"/>
        <v>97.330309196607956</v>
      </c>
      <c r="AM1125" s="105">
        <f t="shared" si="1363"/>
        <v>137.18336646333185</v>
      </c>
      <c r="AN1125" s="105">
        <f t="shared" si="1363"/>
        <v>126.98336335318955</v>
      </c>
      <c r="AO1125" s="105">
        <f t="shared" si="1363"/>
        <v>116.40760238594059</v>
      </c>
      <c r="AP1125" s="105">
        <f t="shared" si="1363"/>
        <v>88.224524233940471</v>
      </c>
      <c r="AQ1125" s="105">
        <f t="shared" si="1363"/>
        <v>144.93171957812467</v>
      </c>
      <c r="AR1125" s="105">
        <f t="shared" si="1363"/>
        <v>148.17176168758874</v>
      </c>
      <c r="AS1125" s="105">
        <f t="shared" si="1363"/>
        <v>152.71201010173439</v>
      </c>
      <c r="AT1125" s="105">
        <f t="shared" si="1363"/>
        <v>157.93819757174151</v>
      </c>
      <c r="AU1125" s="105">
        <f t="shared" ref="AU1125:AU1188" si="1364">AT1125*(1+AV1125)</f>
        <v>163.34323826654389</v>
      </c>
      <c r="AV1125" s="105">
        <f t="shared" ref="AV1125:AV1188" si="1365">AT1125/AS1125-1</f>
        <v>3.422250461195242E-2</v>
      </c>
      <c r="AW1125" s="1916"/>
      <c r="AX1125" s="1916"/>
      <c r="AY1125" s="1916"/>
      <c r="AZ1125" s="1916"/>
      <c r="BA1125" s="1916"/>
      <c r="BB1125" s="1916"/>
      <c r="BC1125" s="1916"/>
      <c r="BD1125" s="1916"/>
      <c r="BE1125" s="1916"/>
      <c r="BF1125" s="1916"/>
      <c r="BG1125" s="1916"/>
      <c r="BH1125" s="1915"/>
    </row>
    <row r="1126" spans="1:60" ht="14.25" customHeight="1">
      <c r="A1126" s="1"/>
      <c r="B1126" s="1"/>
      <c r="C1126" s="1"/>
      <c r="D1126" s="360" t="str">
        <f>+FISCinyear!D820</f>
        <v xml:space="preserve">Capital </v>
      </c>
      <c r="E1126" s="323"/>
      <c r="F1126" s="323"/>
      <c r="G1126" s="323"/>
      <c r="H1126" s="323"/>
      <c r="I1126" s="323"/>
      <c r="J1126" s="323"/>
      <c r="K1126" s="323"/>
      <c r="L1126" s="323"/>
      <c r="M1126" s="323"/>
      <c r="N1126" s="323"/>
      <c r="O1126" s="323"/>
      <c r="P1126" s="323"/>
      <c r="Q1126" s="323"/>
      <c r="R1126" s="323"/>
      <c r="S1126" s="323"/>
      <c r="T1126" s="323"/>
      <c r="U1126" s="323"/>
      <c r="V1126" s="105">
        <f>+V779</f>
        <v>164</v>
      </c>
      <c r="W1126" s="105">
        <f>+W779</f>
        <v>191.7</v>
      </c>
      <c r="X1126" s="105">
        <f>+X779</f>
        <v>174.9</v>
      </c>
      <c r="Y1126" s="676">
        <f>FISCinyear!ID820</f>
        <v>303.26177524656896</v>
      </c>
      <c r="Z1126" s="676">
        <f>FISCinyear!IG820</f>
        <v>241.0237020403589</v>
      </c>
      <c r="AA1126" s="676">
        <f>FISCinyear!IJ820</f>
        <v>168.90659551582223</v>
      </c>
      <c r="AB1126" s="676">
        <f>FISCinyear!IM820</f>
        <v>146</v>
      </c>
      <c r="AC1126" s="676">
        <f>FISCinyear!IP820</f>
        <v>168.71</v>
      </c>
      <c r="AD1126" s="676">
        <f>FISCinyear!IS820</f>
        <v>233.07553199416967</v>
      </c>
      <c r="AE1126" s="676">
        <f>FISCinyear!IV820</f>
        <v>259.82784268225004</v>
      </c>
      <c r="AF1126" s="676">
        <f>FISCinyear!IY820</f>
        <v>294.74832278039997</v>
      </c>
      <c r="AG1126" s="676">
        <f>FISCinyear!JB820</f>
        <v>377.05346552764001</v>
      </c>
      <c r="AH1126" s="676">
        <f>FISCinyear!JE820</f>
        <v>154.41461044588121</v>
      </c>
      <c r="AI1126" s="676">
        <f>FISCinyear!JH820</f>
        <v>186.11630133792301</v>
      </c>
      <c r="AJ1126" s="676">
        <f>FISCinyear!JK820</f>
        <v>161.17586021257728</v>
      </c>
      <c r="AK1126" s="105">
        <f t="shared" ref="AK1126:AT1126" si="1366">(AJ88+AK83)*AK259/1000</f>
        <v>275.30876821292179</v>
      </c>
      <c r="AL1126" s="105">
        <f t="shared" si="1366"/>
        <v>154.0898125177562</v>
      </c>
      <c r="AM1126" s="105">
        <f t="shared" si="1366"/>
        <v>161.45470638930968</v>
      </c>
      <c r="AN1126" s="105">
        <f t="shared" si="1366"/>
        <v>169.10387522740879</v>
      </c>
      <c r="AO1126" s="105">
        <f t="shared" si="1366"/>
        <v>175.83091774480448</v>
      </c>
      <c r="AP1126" s="105">
        <f t="shared" si="1366"/>
        <v>269.26624314355877</v>
      </c>
      <c r="AQ1126" s="105">
        <f t="shared" si="1366"/>
        <v>361.04610514213374</v>
      </c>
      <c r="AR1126" s="105">
        <f t="shared" si="1366"/>
        <v>371.8774882963977</v>
      </c>
      <c r="AS1126" s="105">
        <f t="shared" si="1366"/>
        <v>383.0338129452897</v>
      </c>
      <c r="AT1126" s="105">
        <f t="shared" si="1366"/>
        <v>394.52482733364837</v>
      </c>
      <c r="AU1126" s="105">
        <f t="shared" si="1364"/>
        <v>406.36057215365781</v>
      </c>
      <c r="AV1126" s="105">
        <f t="shared" si="1365"/>
        <v>3.0000000000000027E-2</v>
      </c>
      <c r="AW1126" s="1916"/>
      <c r="AX1126" s="1916"/>
      <c r="AY1126" s="1916"/>
      <c r="AZ1126" s="1916"/>
      <c r="BA1126" s="1916"/>
      <c r="BB1126" s="1916"/>
      <c r="BC1126" s="1916"/>
      <c r="BD1126" s="1916"/>
      <c r="BE1126" s="1916"/>
      <c r="BF1126" s="1916"/>
      <c r="BG1126" s="1916"/>
      <c r="BH1126" s="1915"/>
    </row>
    <row r="1127" spans="1:60" ht="14.25" customHeight="1">
      <c r="A1127" s="1"/>
      <c r="B1127" s="1"/>
      <c r="C1127" s="1"/>
      <c r="D1127" s="1439" t="s">
        <v>3151</v>
      </c>
      <c r="E1127" s="323"/>
      <c r="F1127" s="323"/>
      <c r="G1127" s="323"/>
      <c r="H1127" s="323"/>
      <c r="I1127" s="323"/>
      <c r="J1127" s="323"/>
      <c r="K1127" s="323"/>
      <c r="L1127" s="323"/>
      <c r="M1127" s="323"/>
      <c r="N1127" s="323"/>
      <c r="O1127" s="323"/>
      <c r="P1127" s="323"/>
      <c r="Q1127" s="323"/>
      <c r="R1127" s="323"/>
      <c r="S1127" s="323"/>
      <c r="T1127" s="323"/>
      <c r="U1127" s="323"/>
      <c r="V1127" s="105"/>
      <c r="W1127" s="105"/>
      <c r="X1127" s="105"/>
      <c r="Y1127" s="676"/>
      <c r="Z1127" s="105">
        <f t="shared" ref="Z1127:AE1127" si="1367">(Y89+Z84)*Z259/1000</f>
        <v>0</v>
      </c>
      <c r="AA1127" s="105">
        <f t="shared" si="1367"/>
        <v>0</v>
      </c>
      <c r="AB1127" s="105">
        <f t="shared" si="1367"/>
        <v>0</v>
      </c>
      <c r="AC1127" s="105">
        <f t="shared" si="1367"/>
        <v>0</v>
      </c>
      <c r="AD1127" s="105">
        <f t="shared" si="1367"/>
        <v>0</v>
      </c>
      <c r="AE1127" s="105">
        <f t="shared" si="1367"/>
        <v>0</v>
      </c>
      <c r="AF1127" s="105">
        <f>FISCinyear!IY821</f>
        <v>0</v>
      </c>
      <c r="AG1127" s="105">
        <f>FISCinyear!JB821</f>
        <v>0</v>
      </c>
      <c r="AH1127" s="105">
        <f>FISCinyear!JE821</f>
        <v>0</v>
      </c>
      <c r="AI1127" s="105">
        <f>FISCinyear!JH821</f>
        <v>0</v>
      </c>
      <c r="AJ1127" s="105">
        <f>FISCinyear!JK821</f>
        <v>0</v>
      </c>
      <c r="AK1127" s="105">
        <f>(AJ89+AK84)*AK259/1000</f>
        <v>0</v>
      </c>
      <c r="AL1127" s="105">
        <f>(AK89+AL84)*AL259/1000</f>
        <v>0</v>
      </c>
      <c r="AM1127" s="105">
        <f>(AL89+AM84)*AM259/1000</f>
        <v>0</v>
      </c>
      <c r="AN1127" s="105">
        <f>(AM89+AN84)*AN259/1000</f>
        <v>0</v>
      </c>
      <c r="AO1127" s="105">
        <f>(AN89+AO84)*AO259/1000</f>
        <v>0</v>
      </c>
      <c r="AP1127" s="105"/>
      <c r="AQ1127" s="105"/>
      <c r="AR1127" s="105"/>
      <c r="AS1127" s="105"/>
      <c r="AT1127" s="105"/>
      <c r="AU1127" s="105"/>
      <c r="AV1127" s="105" t="e">
        <f t="shared" si="1365"/>
        <v>#DIV/0!</v>
      </c>
      <c r="AW1127" s="1916"/>
      <c r="AX1127" s="1916"/>
      <c r="AY1127" s="1916"/>
      <c r="AZ1127" s="1916"/>
      <c r="BA1127" s="1916"/>
      <c r="BB1127" s="1916"/>
      <c r="BC1127" s="1916"/>
      <c r="BD1127" s="1916"/>
      <c r="BE1127" s="1916"/>
      <c r="BF1127" s="1916"/>
      <c r="BG1127" s="1916"/>
      <c r="BH1127" s="1915"/>
    </row>
    <row r="1128" spans="1:60" ht="14.25" customHeight="1">
      <c r="A1128" s="1"/>
      <c r="B1128" s="1"/>
      <c r="C1128" s="1"/>
      <c r="D1128" s="358" t="str">
        <f>+FISCinyear!D822</f>
        <v xml:space="preserve">From other general government units </v>
      </c>
      <c r="E1128" s="323"/>
      <c r="F1128" s="323"/>
      <c r="G1128" s="323"/>
      <c r="H1128" s="323"/>
      <c r="I1128" s="323"/>
      <c r="J1128" s="323"/>
      <c r="K1128" s="323"/>
      <c r="L1128" s="323"/>
      <c r="M1128" s="323"/>
      <c r="N1128" s="323"/>
      <c r="O1128" s="323"/>
      <c r="P1128" s="323"/>
      <c r="Q1128" s="323"/>
      <c r="R1128" s="323"/>
      <c r="S1128" s="323"/>
      <c r="T1128" s="323"/>
      <c r="U1128" s="323"/>
      <c r="V1128" s="376"/>
      <c r="W1128" s="376"/>
      <c r="X1128" s="376"/>
      <c r="Y1128" s="1385">
        <f>FISCinyear!ID822</f>
        <v>0</v>
      </c>
      <c r="Z1128" s="1385">
        <f>FISCinyear!IG822</f>
        <v>0</v>
      </c>
      <c r="AA1128" s="1385">
        <f>FISCinyear!IJ822</f>
        <v>0</v>
      </c>
      <c r="AB1128" s="1385">
        <f>FISCinyear!IM822</f>
        <v>0</v>
      </c>
      <c r="AC1128" s="1385">
        <f>FISCinyear!IP822</f>
        <v>0</v>
      </c>
      <c r="AD1128" s="1385">
        <f>FISCinyear!IS822</f>
        <v>0</v>
      </c>
      <c r="AE1128" s="1385">
        <f>FISCinyear!IV822</f>
        <v>0</v>
      </c>
      <c r="AF1128" s="1385">
        <f>FISCinyear!IY822</f>
        <v>0</v>
      </c>
      <c r="AG1128" s="1385">
        <f>FISCinyear!JB822</f>
        <v>0</v>
      </c>
      <c r="AH1128" s="1385">
        <f>FISCinyear!JE822</f>
        <v>0</v>
      </c>
      <c r="AI1128" s="1385">
        <f>FISCinyear!JH822</f>
        <v>0</v>
      </c>
      <c r="AJ1128" s="1385">
        <f>FISCinyear!JK822</f>
        <v>0</v>
      </c>
      <c r="AK1128" s="376">
        <f t="shared" ref="AK1128:AM1128" si="1368">AJ1128</f>
        <v>0</v>
      </c>
      <c r="AL1128" s="376">
        <f t="shared" si="1368"/>
        <v>0</v>
      </c>
      <c r="AM1128" s="376">
        <f t="shared" si="1368"/>
        <v>0</v>
      </c>
      <c r="AN1128" s="376">
        <f t="shared" ref="AN1128:AN1130" si="1369">AM1128</f>
        <v>0</v>
      </c>
      <c r="AO1128" s="376">
        <f t="shared" ref="AO1128:AO1130" si="1370">AN1128</f>
        <v>0</v>
      </c>
      <c r="AP1128" s="376">
        <f t="shared" ref="AP1128:AP1130" si="1371">AO1128</f>
        <v>0</v>
      </c>
      <c r="AQ1128" s="376">
        <f t="shared" ref="AQ1128:AQ1130" si="1372">AP1128</f>
        <v>0</v>
      </c>
      <c r="AR1128" s="376">
        <f t="shared" ref="AR1128:AR1130" si="1373">AQ1128</f>
        <v>0</v>
      </c>
      <c r="AS1128" s="376">
        <f t="shared" ref="AS1128:AS1130" si="1374">AR1128</f>
        <v>0</v>
      </c>
      <c r="AT1128" s="376">
        <f t="shared" ref="AT1128:AU1130" si="1375">AS1128</f>
        <v>0</v>
      </c>
      <c r="AU1128" s="376">
        <f t="shared" si="1375"/>
        <v>0</v>
      </c>
      <c r="AV1128" s="376" t="e">
        <f t="shared" si="1365"/>
        <v>#DIV/0!</v>
      </c>
      <c r="AW1128" s="1916"/>
      <c r="AX1128" s="1916"/>
      <c r="AY1128" s="1916"/>
      <c r="AZ1128" s="1916"/>
      <c r="BA1128" s="1916"/>
      <c r="BB1128" s="1916"/>
      <c r="BC1128" s="1916"/>
      <c r="BD1128" s="1916"/>
      <c r="BE1128" s="1916"/>
      <c r="BF1128" s="1916"/>
      <c r="BG1128" s="1916"/>
      <c r="BH1128" s="1915"/>
    </row>
    <row r="1129" spans="1:60" ht="14.25" customHeight="1">
      <c r="A1129" s="1"/>
      <c r="B1129" s="1"/>
      <c r="C1129" s="1"/>
      <c r="D1129" s="360" t="s">
        <v>506</v>
      </c>
      <c r="E1129" s="323"/>
      <c r="F1129" s="323"/>
      <c r="G1129" s="323"/>
      <c r="H1129" s="323"/>
      <c r="I1129" s="323"/>
      <c r="J1129" s="323"/>
      <c r="K1129" s="323"/>
      <c r="L1129" s="323"/>
      <c r="M1129" s="323"/>
      <c r="N1129" s="323"/>
      <c r="O1129" s="323"/>
      <c r="P1129" s="323"/>
      <c r="Q1129" s="323"/>
      <c r="R1129" s="323"/>
      <c r="S1129" s="323"/>
      <c r="T1129" s="323"/>
      <c r="U1129" s="323"/>
      <c r="V1129" s="105"/>
      <c r="W1129" s="105"/>
      <c r="X1129" s="105"/>
      <c r="Y1129" s="676">
        <f>FISCinyear!ID823</f>
        <v>0</v>
      </c>
      <c r="Z1129" s="676">
        <f>FISCinyear!IG823</f>
        <v>0</v>
      </c>
      <c r="AA1129" s="676">
        <f>FISCinyear!IJ823</f>
        <v>0</v>
      </c>
      <c r="AB1129" s="676">
        <f>FISCinyear!IM823</f>
        <v>0</v>
      </c>
      <c r="AC1129" s="676">
        <f>FISCinyear!IP823</f>
        <v>0</v>
      </c>
      <c r="AD1129" s="676">
        <f>FISCinyear!IS823</f>
        <v>0</v>
      </c>
      <c r="AE1129" s="676">
        <f>FISCinyear!IV823</f>
        <v>0</v>
      </c>
      <c r="AF1129" s="676">
        <f>FISCinyear!IY823</f>
        <v>0</v>
      </c>
      <c r="AG1129" s="676">
        <f>FISCinyear!JB823</f>
        <v>0</v>
      </c>
      <c r="AH1129" s="676">
        <f>FISCinyear!JE823</f>
        <v>0</v>
      </c>
      <c r="AI1129" s="676">
        <f>FISCinyear!JH823</f>
        <v>0</v>
      </c>
      <c r="AJ1129" s="676">
        <f>FISCinyear!JK823</f>
        <v>0</v>
      </c>
      <c r="AK1129" s="105">
        <f>AJ1129</f>
        <v>0</v>
      </c>
      <c r="AL1129" s="105">
        <f t="shared" ref="AK1129:AM1130" si="1376">AK1129</f>
        <v>0</v>
      </c>
      <c r="AM1129" s="105">
        <f t="shared" si="1376"/>
        <v>0</v>
      </c>
      <c r="AN1129" s="105">
        <f t="shared" si="1369"/>
        <v>0</v>
      </c>
      <c r="AO1129" s="105">
        <f t="shared" si="1370"/>
        <v>0</v>
      </c>
      <c r="AP1129" s="105">
        <f t="shared" si="1371"/>
        <v>0</v>
      </c>
      <c r="AQ1129" s="105">
        <f t="shared" si="1372"/>
        <v>0</v>
      </c>
      <c r="AR1129" s="105">
        <f t="shared" si="1373"/>
        <v>0</v>
      </c>
      <c r="AS1129" s="105">
        <f t="shared" si="1374"/>
        <v>0</v>
      </c>
      <c r="AT1129" s="105">
        <f t="shared" si="1375"/>
        <v>0</v>
      </c>
      <c r="AU1129" s="105">
        <f t="shared" si="1375"/>
        <v>0</v>
      </c>
      <c r="AV1129" s="105" t="e">
        <f t="shared" si="1365"/>
        <v>#DIV/0!</v>
      </c>
      <c r="AW1129" s="1916"/>
      <c r="AX1129" s="1916"/>
      <c r="AY1129" s="1916"/>
      <c r="AZ1129" s="1916"/>
      <c r="BA1129" s="1916"/>
      <c r="BB1129" s="1916"/>
      <c r="BC1129" s="1916"/>
      <c r="BD1129" s="1916"/>
      <c r="BE1129" s="1916"/>
      <c r="BF1129" s="1916"/>
      <c r="BG1129" s="1916"/>
      <c r="BH1129" s="1915"/>
    </row>
    <row r="1130" spans="1:60" ht="14.25" customHeight="1">
      <c r="A1130" s="1"/>
      <c r="B1130" s="1"/>
      <c r="C1130" s="1"/>
      <c r="D1130" s="360" t="s">
        <v>507</v>
      </c>
      <c r="E1130" s="323"/>
      <c r="F1130" s="323"/>
      <c r="G1130" s="323"/>
      <c r="H1130" s="323"/>
      <c r="I1130" s="323"/>
      <c r="J1130" s="323"/>
      <c r="K1130" s="323"/>
      <c r="L1130" s="323"/>
      <c r="M1130" s="323"/>
      <c r="N1130" s="323"/>
      <c r="O1130" s="323"/>
      <c r="P1130" s="323"/>
      <c r="Q1130" s="323"/>
      <c r="R1130" s="323"/>
      <c r="S1130" s="323"/>
      <c r="T1130" s="323"/>
      <c r="U1130" s="323"/>
      <c r="V1130" s="105"/>
      <c r="W1130" s="105"/>
      <c r="X1130" s="105"/>
      <c r="Y1130" s="676">
        <f>FISCinyear!ID824</f>
        <v>0</v>
      </c>
      <c r="Z1130" s="676">
        <f>FISCinyear!IG824</f>
        <v>0</v>
      </c>
      <c r="AA1130" s="676">
        <f>FISCinyear!IJ824</f>
        <v>0</v>
      </c>
      <c r="AB1130" s="676">
        <f>FISCinyear!IM824</f>
        <v>0</v>
      </c>
      <c r="AC1130" s="676">
        <f>FISCinyear!IP824</f>
        <v>0</v>
      </c>
      <c r="AD1130" s="676">
        <f>FISCinyear!IS824</f>
        <v>0</v>
      </c>
      <c r="AE1130" s="676">
        <f>FISCinyear!IV824</f>
        <v>0</v>
      </c>
      <c r="AF1130" s="676">
        <f>FISCinyear!IY824</f>
        <v>0</v>
      </c>
      <c r="AG1130" s="676">
        <f>FISCinyear!JB824</f>
        <v>0</v>
      </c>
      <c r="AH1130" s="676">
        <f>FISCinyear!JE824</f>
        <v>0</v>
      </c>
      <c r="AI1130" s="676">
        <f>FISCinyear!JH824</f>
        <v>0</v>
      </c>
      <c r="AJ1130" s="676">
        <f>FISCinyear!JK824</f>
        <v>0</v>
      </c>
      <c r="AK1130" s="105">
        <f t="shared" si="1376"/>
        <v>0</v>
      </c>
      <c r="AL1130" s="105">
        <f t="shared" si="1376"/>
        <v>0</v>
      </c>
      <c r="AM1130" s="105">
        <f t="shared" si="1376"/>
        <v>0</v>
      </c>
      <c r="AN1130" s="105">
        <f t="shared" si="1369"/>
        <v>0</v>
      </c>
      <c r="AO1130" s="105">
        <f t="shared" si="1370"/>
        <v>0</v>
      </c>
      <c r="AP1130" s="105">
        <f t="shared" si="1371"/>
        <v>0</v>
      </c>
      <c r="AQ1130" s="105">
        <f t="shared" si="1372"/>
        <v>0</v>
      </c>
      <c r="AR1130" s="105">
        <f t="shared" si="1373"/>
        <v>0</v>
      </c>
      <c r="AS1130" s="105">
        <f t="shared" si="1374"/>
        <v>0</v>
      </c>
      <c r="AT1130" s="105">
        <f t="shared" si="1375"/>
        <v>0</v>
      </c>
      <c r="AU1130" s="105">
        <f t="shared" si="1375"/>
        <v>0</v>
      </c>
      <c r="AV1130" s="105" t="e">
        <f t="shared" si="1365"/>
        <v>#DIV/0!</v>
      </c>
      <c r="AW1130" s="1916"/>
      <c r="AX1130" s="1916"/>
      <c r="AY1130" s="1916"/>
      <c r="AZ1130" s="1916"/>
      <c r="BA1130" s="1916"/>
      <c r="BB1130" s="1916"/>
      <c r="BC1130" s="1916"/>
      <c r="BD1130" s="1916"/>
      <c r="BE1130" s="1916"/>
      <c r="BF1130" s="1916"/>
      <c r="BG1130" s="1916"/>
      <c r="BH1130" s="1915"/>
    </row>
    <row r="1131" spans="1:60" ht="14.25" customHeight="1">
      <c r="A1131" s="1"/>
      <c r="B1131" s="1"/>
      <c r="C1131" s="1"/>
      <c r="D1131" s="1424" t="s">
        <v>3116</v>
      </c>
      <c r="E1131" s="323"/>
      <c r="F1131" s="323"/>
      <c r="G1131" s="323"/>
      <c r="H1131" s="323"/>
      <c r="I1131" s="323"/>
      <c r="J1131" s="323"/>
      <c r="K1131" s="323"/>
      <c r="L1131" s="323"/>
      <c r="M1131" s="323"/>
      <c r="N1131" s="323"/>
      <c r="O1131" s="323"/>
      <c r="P1131" s="323"/>
      <c r="Q1131" s="323"/>
      <c r="R1131" s="323"/>
      <c r="S1131" s="323"/>
      <c r="T1131" s="323"/>
      <c r="U1131" s="323"/>
      <c r="V1131" s="105"/>
      <c r="W1131" s="105"/>
      <c r="X1131" s="105"/>
      <c r="Y1131" s="676"/>
      <c r="Z1131" s="676">
        <v>0</v>
      </c>
      <c r="AA1131" s="676">
        <v>0</v>
      </c>
      <c r="AB1131" s="676">
        <v>0</v>
      </c>
      <c r="AC1131" s="676">
        <v>0</v>
      </c>
      <c r="AD1131" s="676">
        <v>0</v>
      </c>
      <c r="AE1131" s="676">
        <v>0</v>
      </c>
      <c r="AF1131" s="676">
        <f>FISCinyear!IY825</f>
        <v>0</v>
      </c>
      <c r="AG1131" s="676">
        <f>FISCinyear!JB825</f>
        <v>0</v>
      </c>
      <c r="AH1131" s="676">
        <f>FISCinyear!JE825</f>
        <v>0</v>
      </c>
      <c r="AI1131" s="676">
        <f>FISCinyear!JH825</f>
        <v>0</v>
      </c>
      <c r="AJ1131" s="676">
        <f>FISCinyear!JK825</f>
        <v>0</v>
      </c>
      <c r="AK1131" s="1567">
        <f t="shared" ref="AK1131:AT1131" si="1377">(AJ106+AK98)*AK259/1000</f>
        <v>0</v>
      </c>
      <c r="AL1131" s="1567">
        <f t="shared" si="1377"/>
        <v>0</v>
      </c>
      <c r="AM1131" s="1567">
        <f t="shared" si="1377"/>
        <v>0</v>
      </c>
      <c r="AN1131" s="1567">
        <f t="shared" si="1377"/>
        <v>0</v>
      </c>
      <c r="AO1131" s="1567">
        <f t="shared" si="1377"/>
        <v>0</v>
      </c>
      <c r="AP1131" s="1567">
        <f t="shared" si="1377"/>
        <v>0</v>
      </c>
      <c r="AQ1131" s="1567">
        <f t="shared" si="1377"/>
        <v>0</v>
      </c>
      <c r="AR1131" s="1567">
        <f t="shared" si="1377"/>
        <v>0</v>
      </c>
      <c r="AS1131" s="1567">
        <f t="shared" si="1377"/>
        <v>0</v>
      </c>
      <c r="AT1131" s="1567">
        <f t="shared" si="1377"/>
        <v>0</v>
      </c>
      <c r="AU1131" s="1567" t="e">
        <f t="shared" si="1364"/>
        <v>#DIV/0!</v>
      </c>
      <c r="AV1131" s="1567" t="e">
        <f t="shared" si="1365"/>
        <v>#DIV/0!</v>
      </c>
      <c r="AW1131" s="1916"/>
      <c r="AX1131" s="1916"/>
      <c r="AY1131" s="1916"/>
      <c r="AZ1131" s="1916"/>
      <c r="BA1131" s="1916"/>
      <c r="BB1131" s="1916"/>
      <c r="BC1131" s="1916"/>
      <c r="BD1131" s="1916"/>
      <c r="BE1131" s="1916"/>
      <c r="BF1131" s="1916"/>
      <c r="BG1131" s="1916"/>
      <c r="BH1131" s="1915"/>
    </row>
    <row r="1132" spans="1:60" ht="14.25" customHeight="1">
      <c r="A1132" s="1"/>
      <c r="B1132" s="1"/>
      <c r="C1132" s="1"/>
      <c r="D1132" s="1229" t="str">
        <f>+FISCinyear!D826</f>
        <v xml:space="preserve">Other revenue </v>
      </c>
      <c r="E1132" s="323"/>
      <c r="F1132" s="323"/>
      <c r="G1132" s="323"/>
      <c r="H1132" s="323"/>
      <c r="I1132" s="323"/>
      <c r="J1132" s="323"/>
      <c r="K1132" s="323"/>
      <c r="L1132" s="323"/>
      <c r="M1132" s="323"/>
      <c r="N1132" s="323"/>
      <c r="O1132" s="323"/>
      <c r="P1132" s="323"/>
      <c r="Q1132" s="323"/>
      <c r="R1132" s="323"/>
      <c r="S1132" s="323"/>
      <c r="T1132" s="323"/>
      <c r="U1132" s="323"/>
      <c r="V1132" s="376">
        <f>+V763</f>
        <v>20.622732741</v>
      </c>
      <c r="W1132" s="376">
        <f>+W763</f>
        <v>34.700000000000003</v>
      </c>
      <c r="X1132" s="376">
        <f>+X763</f>
        <v>84.5</v>
      </c>
      <c r="Y1132" s="1385">
        <f>FISCinyear!ID826</f>
        <v>136.48005683747238</v>
      </c>
      <c r="Z1132" s="1385">
        <f>FISCinyear!IG826</f>
        <v>172.54151324019472</v>
      </c>
      <c r="AA1132" s="1385">
        <f>FISCinyear!IJ826</f>
        <v>167.59624826644659</v>
      </c>
      <c r="AB1132" s="1385">
        <f>FISCinyear!IM826</f>
        <v>233.15928932922185</v>
      </c>
      <c r="AC1132" s="1385">
        <f>FISCinyear!IP826</f>
        <v>262.53031346180853</v>
      </c>
      <c r="AD1132" s="1385">
        <f>FISCinyear!IS826</f>
        <v>267.75505516264832</v>
      </c>
      <c r="AE1132" s="1385">
        <f>FISCinyear!IV826+AE1154</f>
        <v>289.92302903184969</v>
      </c>
      <c r="AF1132" s="1385">
        <f>FISCinyear!IY826</f>
        <v>385.41374679017065</v>
      </c>
      <c r="AG1132" s="1385">
        <f>FISCinyear!JB826</f>
        <v>401.22505476096023</v>
      </c>
      <c r="AH1132" s="1385">
        <f>FISCinyear!JE826</f>
        <v>400.88814089864593</v>
      </c>
      <c r="AI1132" s="1385">
        <f>FISCinyear!JH826</f>
        <v>460.01542773408448</v>
      </c>
      <c r="AJ1132" s="1385">
        <f>FISCinyear!JK826</f>
        <v>494.31204530502617</v>
      </c>
      <c r="AK1132" s="1569">
        <f t="shared" ref="AK1132:AU1132" si="1378">AK1133+AK1139+AK1149+AK1151+AK1155</f>
        <v>553.88400152487952</v>
      </c>
      <c r="AL1132" s="1569">
        <f t="shared" si="1378"/>
        <v>613.78129736506344</v>
      </c>
      <c r="AM1132" s="1569">
        <f t="shared" si="1378"/>
        <v>690.65472630863064</v>
      </c>
      <c r="AN1132" s="1569">
        <f>AN1133+AN1139+AN1149+AN1151+AN1155</f>
        <v>764.38696663108806</v>
      </c>
      <c r="AO1132" s="1569">
        <f t="shared" si="1378"/>
        <v>880.55618517210507</v>
      </c>
      <c r="AP1132" s="1569">
        <f t="shared" si="1378"/>
        <v>983.3080446079191</v>
      </c>
      <c r="AQ1132" s="1569">
        <f t="shared" si="1378"/>
        <v>1057.5759683722131</v>
      </c>
      <c r="AR1132" s="1569">
        <f t="shared" si="1378"/>
        <v>1170.5169248698819</v>
      </c>
      <c r="AS1132" s="1569">
        <f t="shared" si="1378"/>
        <v>1295.6764895837384</v>
      </c>
      <c r="AT1132" s="1569">
        <f t="shared" si="1378"/>
        <v>1818.6165390775204</v>
      </c>
      <c r="AU1132" s="1569">
        <f t="shared" si="1378"/>
        <v>2658.3863806798095</v>
      </c>
      <c r="AV1132" s="1569">
        <f t="shared" si="1365"/>
        <v>0.40360387311016721</v>
      </c>
      <c r="AW1132" s="1916"/>
      <c r="AX1132" s="1114"/>
      <c r="AY1132" s="1114"/>
      <c r="AZ1132" s="1114"/>
      <c r="BA1132" s="1114"/>
      <c r="BB1132" s="1114"/>
      <c r="BH1132" s="1915"/>
    </row>
    <row r="1133" spans="1:60" ht="14.25" customHeight="1">
      <c r="A1133" s="1"/>
      <c r="B1133" s="1"/>
      <c r="C1133" s="1"/>
      <c r="D1133" s="358" t="str">
        <f>+FISCinyear!D827</f>
        <v xml:space="preserve">Property income </v>
      </c>
      <c r="E1133" s="323"/>
      <c r="F1133" s="323"/>
      <c r="G1133" s="323"/>
      <c r="H1133" s="323"/>
      <c r="I1133" s="323"/>
      <c r="J1133" s="323"/>
      <c r="K1133" s="323"/>
      <c r="L1133" s="323"/>
      <c r="M1133" s="323"/>
      <c r="N1133" s="323"/>
      <c r="O1133" s="323"/>
      <c r="P1133" s="323"/>
      <c r="Q1133" s="323"/>
      <c r="R1133" s="323"/>
      <c r="S1133" s="323"/>
      <c r="T1133" s="323"/>
      <c r="U1133" s="323"/>
      <c r="V1133" s="376">
        <v>0</v>
      </c>
      <c r="W1133" s="376">
        <v>0</v>
      </c>
      <c r="X1133" s="376">
        <v>0</v>
      </c>
      <c r="Y1133" s="1385">
        <f>FISCinyear!ID827</f>
        <v>6.7644080859999995</v>
      </c>
      <c r="Z1133" s="1385">
        <f>FISCinyear!IG827</f>
        <v>9.7019287829999996</v>
      </c>
      <c r="AA1133" s="1385">
        <f>FISCinyear!IJ827</f>
        <v>4.9000000000000004</v>
      </c>
      <c r="AB1133" s="1385">
        <f>FISCinyear!IM827</f>
        <v>7.5717338740370295</v>
      </c>
      <c r="AC1133" s="1385">
        <f>FISCinyear!IP827</f>
        <v>9.6429404242133145</v>
      </c>
      <c r="AD1133" s="1385">
        <f>FISCinyear!IS827</f>
        <v>4.7370362420000003</v>
      </c>
      <c r="AE1133" s="1385">
        <f>FISCinyear!IV827</f>
        <v>20.327638891539998</v>
      </c>
      <c r="AF1133" s="1385">
        <f>FISCinyear!IY827</f>
        <v>19.584410687289058</v>
      </c>
      <c r="AG1133" s="1385">
        <f>FISCinyear!JB827</f>
        <v>13.349443622742999</v>
      </c>
      <c r="AH1133" s="1385">
        <f>FISCinyear!JE827</f>
        <v>14.630219605303161</v>
      </c>
      <c r="AI1133" s="1385">
        <f>FISCinyear!JH827</f>
        <v>24.476467754939073</v>
      </c>
      <c r="AJ1133" s="1385">
        <f>FISCinyear!JK827</f>
        <v>12.840608534999999</v>
      </c>
      <c r="AK1133" s="1569">
        <f>(AK423*AK589)+(18000000000/1000000000)</f>
        <v>44.396938397542485</v>
      </c>
      <c r="AL1133" s="1569">
        <f>AL423*AL589</f>
        <v>29.476193147379906</v>
      </c>
      <c r="AM1133" s="1569">
        <f t="shared" ref="AM1133:AT1133" si="1379">AM423*AM589</f>
        <v>31.974271472554108</v>
      </c>
      <c r="AN1133" s="1569">
        <f t="shared" si="1379"/>
        <v>36.130926763986118</v>
      </c>
      <c r="AO1133" s="1569">
        <f t="shared" si="1379"/>
        <v>40.744104723474955</v>
      </c>
      <c r="AP1133" s="1569">
        <f>AP423*AP589</f>
        <v>46.825856454800963</v>
      </c>
      <c r="AQ1133" s="1569">
        <f>AQ423*AQ589</f>
        <v>53.91975790206228</v>
      </c>
      <c r="AR1133" s="1569">
        <f t="shared" si="1379"/>
        <v>61.038390579935395</v>
      </c>
      <c r="AS1133" s="1569">
        <f t="shared" si="1379"/>
        <v>68.158437842523995</v>
      </c>
      <c r="AT1133" s="1569">
        <f t="shared" si="1379"/>
        <v>74.335380612656394</v>
      </c>
      <c r="AU1133" s="1569">
        <f t="shared" si="1364"/>
        <v>81.072116464808147</v>
      </c>
      <c r="AV1133" s="1569">
        <f t="shared" si="1365"/>
        <v>9.0626237420579736E-2</v>
      </c>
      <c r="BH1133" s="1915"/>
    </row>
    <row r="1134" spans="1:60" ht="14.25" customHeight="1">
      <c r="A1134" s="1"/>
      <c r="B1134" s="1"/>
      <c r="C1134" s="1"/>
      <c r="D1134" s="360" t="s">
        <v>512</v>
      </c>
      <c r="E1134" s="323"/>
      <c r="F1134" s="323"/>
      <c r="G1134" s="323"/>
      <c r="H1134" s="323"/>
      <c r="I1134" s="323"/>
      <c r="J1134" s="323"/>
      <c r="K1134" s="323"/>
      <c r="L1134" s="323"/>
      <c r="M1134" s="323"/>
      <c r="N1134" s="323"/>
      <c r="O1134" s="323"/>
      <c r="P1134" s="323"/>
      <c r="Q1134" s="323"/>
      <c r="R1134" s="323"/>
      <c r="S1134" s="323"/>
      <c r="T1134" s="323"/>
      <c r="U1134" s="323"/>
      <c r="V1134" s="105">
        <v>0</v>
      </c>
      <c r="W1134" s="105">
        <v>0</v>
      </c>
      <c r="X1134" s="105">
        <v>0</v>
      </c>
      <c r="Y1134" s="676">
        <f>FISCinyear!ID828</f>
        <v>4.7801637389999998</v>
      </c>
      <c r="Z1134" s="676">
        <f>FISCinyear!IG828</f>
        <v>6.3099287830000002</v>
      </c>
      <c r="AA1134" s="676">
        <f>FISCinyear!IJ828</f>
        <v>1.554</v>
      </c>
      <c r="AB1134" s="676">
        <f>FISCinyear!IM828</f>
        <v>4.3102816600370293</v>
      </c>
      <c r="AC1134" s="676">
        <f>FISCinyear!IP828</f>
        <v>6.2909772782133135</v>
      </c>
      <c r="AD1134" s="676">
        <f>FISCinyear!IS828</f>
        <v>0</v>
      </c>
      <c r="AE1134" s="676">
        <f>FISCinyear!IV828</f>
        <v>17.023480611540002</v>
      </c>
      <c r="AF1134" s="676">
        <f>FISCinyear!IY828</f>
        <v>14.591966880367661</v>
      </c>
      <c r="AG1134" s="676">
        <f>FISCinyear!JB828</f>
        <v>12.753411200344212</v>
      </c>
      <c r="AH1134" s="676">
        <f>FISCinyear!JE828</f>
        <v>5.4768785642355429</v>
      </c>
      <c r="AI1134" s="676">
        <f>FISCinyear!JH828</f>
        <v>4.2560209199390719</v>
      </c>
      <c r="AJ1134" s="676">
        <f>FISCinyear!JK828</f>
        <v>2.7683313209999998</v>
      </c>
      <c r="AK1134" s="105">
        <v>23.839048572213603</v>
      </c>
      <c r="AL1134" s="105">
        <v>26.025326076953995</v>
      </c>
      <c r="AM1134" s="105">
        <v>29.015397415886177</v>
      </c>
      <c r="AN1134" s="105">
        <v>30.921745289583274</v>
      </c>
      <c r="AO1134" s="105">
        <f>AN1134*(1+10%)</f>
        <v>34.013919818541602</v>
      </c>
      <c r="AP1134" s="105">
        <f t="shared" ref="AP1134:AT1134" si="1380">AO1134*(1+10%)</f>
        <v>37.415311800395763</v>
      </c>
      <c r="AQ1134" s="105">
        <f t="shared" si="1380"/>
        <v>41.156842980435343</v>
      </c>
      <c r="AR1134" s="105">
        <f t="shared" si="1380"/>
        <v>45.272527278478883</v>
      </c>
      <c r="AS1134" s="105">
        <f t="shared" si="1380"/>
        <v>49.799780006326777</v>
      </c>
      <c r="AT1134" s="105">
        <f t="shared" si="1380"/>
        <v>54.779758006959462</v>
      </c>
      <c r="AU1134" s="105">
        <f t="shared" si="1364"/>
        <v>60.257733807655413</v>
      </c>
      <c r="AV1134" s="105">
        <f t="shared" si="1365"/>
        <v>0.10000000000000009</v>
      </c>
      <c r="BH1134" s="1915"/>
    </row>
    <row r="1135" spans="1:60" ht="14.25" customHeight="1">
      <c r="A1135" s="1"/>
      <c r="B1135" s="1"/>
      <c r="C1135" s="1"/>
      <c r="D1135" s="363" t="s">
        <v>513</v>
      </c>
      <c r="E1135" s="323"/>
      <c r="F1135" s="323"/>
      <c r="G1135" s="323"/>
      <c r="H1135" s="323"/>
      <c r="I1135" s="323"/>
      <c r="J1135" s="323"/>
      <c r="K1135" s="323"/>
      <c r="L1135" s="323"/>
      <c r="M1135" s="323"/>
      <c r="N1135" s="323"/>
      <c r="O1135" s="323"/>
      <c r="P1135" s="323"/>
      <c r="Q1135" s="323"/>
      <c r="R1135" s="323"/>
      <c r="S1135" s="323"/>
      <c r="T1135" s="323"/>
      <c r="U1135" s="323"/>
      <c r="V1135" s="105">
        <v>0</v>
      </c>
      <c r="W1135" s="105">
        <v>0</v>
      </c>
      <c r="X1135" s="105">
        <v>0</v>
      </c>
      <c r="Y1135" s="676">
        <f>FISCinyear!ID829</f>
        <v>1.9842443469999997</v>
      </c>
      <c r="Z1135" s="676">
        <f>FISCinyear!IG829</f>
        <v>3.3920000000000003</v>
      </c>
      <c r="AA1135" s="676">
        <f>FISCinyear!IJ829</f>
        <v>3.3459999999999996</v>
      </c>
      <c r="AB1135" s="676">
        <f>FISCinyear!IM829</f>
        <v>3.2614522140000002</v>
      </c>
      <c r="AC1135" s="676">
        <f>FISCinyear!IP829</f>
        <v>3.3519631460000001</v>
      </c>
      <c r="AD1135" s="676">
        <f>FISCinyear!IS829</f>
        <v>0</v>
      </c>
      <c r="AE1135" s="676">
        <f>FISCinyear!IV829</f>
        <v>0</v>
      </c>
      <c r="AF1135" s="676">
        <f>FISCinyear!IY829</f>
        <v>0</v>
      </c>
      <c r="AG1135" s="676">
        <f>FISCinyear!JB829</f>
        <v>0</v>
      </c>
      <c r="AH1135" s="676">
        <f>FISCinyear!JE829</f>
        <v>0</v>
      </c>
      <c r="AI1135" s="676">
        <f>FISCinyear!JH829</f>
        <v>9.3539999999999992</v>
      </c>
      <c r="AJ1135" s="676">
        <f>FISCinyear!JK829</f>
        <v>7.8482253489999998</v>
      </c>
      <c r="AK1135" s="105">
        <f>18000000000/1000000000</f>
        <v>18</v>
      </c>
      <c r="AL1135" s="105">
        <v>0</v>
      </c>
      <c r="AM1135" s="105">
        <f t="shared" ref="AM1135" si="1381">AL1135</f>
        <v>0</v>
      </c>
      <c r="AN1135" s="105">
        <f t="shared" ref="AN1135:AN1136" si="1382">AM1135</f>
        <v>0</v>
      </c>
      <c r="AO1135" s="105">
        <f t="shared" ref="AO1135:AO1136" si="1383">AN1135</f>
        <v>0</v>
      </c>
      <c r="AP1135" s="105">
        <f t="shared" ref="AP1135:AP1136" si="1384">AO1135</f>
        <v>0</v>
      </c>
      <c r="AQ1135" s="105">
        <f t="shared" ref="AQ1135:AQ1136" si="1385">AP1135</f>
        <v>0</v>
      </c>
      <c r="AR1135" s="105">
        <f t="shared" ref="AR1135:AR1136" si="1386">AQ1135</f>
        <v>0</v>
      </c>
      <c r="AS1135" s="105">
        <f t="shared" ref="AS1135:AS1136" si="1387">AR1135</f>
        <v>0</v>
      </c>
      <c r="AT1135" s="105">
        <f t="shared" ref="AT1135:AU1136" si="1388">AS1135</f>
        <v>0</v>
      </c>
      <c r="AU1135" s="105">
        <f t="shared" si="1388"/>
        <v>0</v>
      </c>
      <c r="AV1135" s="105" t="e">
        <f t="shared" si="1365"/>
        <v>#DIV/0!</v>
      </c>
      <c r="BH1135" s="1915"/>
    </row>
    <row r="1136" spans="1:60" ht="14.25" customHeight="1">
      <c r="A1136" s="1"/>
      <c r="B1136" s="1"/>
      <c r="C1136" s="1"/>
      <c r="D1136" s="363" t="s">
        <v>514</v>
      </c>
      <c r="E1136" s="323"/>
      <c r="F1136" s="323"/>
      <c r="G1136" s="323"/>
      <c r="H1136" s="323"/>
      <c r="I1136" s="323"/>
      <c r="J1136" s="323"/>
      <c r="K1136" s="323"/>
      <c r="L1136" s="323"/>
      <c r="M1136" s="323"/>
      <c r="N1136" s="323"/>
      <c r="O1136" s="323"/>
      <c r="P1136" s="323"/>
      <c r="Q1136" s="323"/>
      <c r="R1136" s="323"/>
      <c r="S1136" s="323"/>
      <c r="T1136" s="323"/>
      <c r="U1136" s="323"/>
      <c r="V1136" s="105">
        <v>0</v>
      </c>
      <c r="W1136" s="105">
        <v>0</v>
      </c>
      <c r="X1136" s="105">
        <v>0</v>
      </c>
      <c r="Y1136" s="676">
        <f>FISCinyear!ID830</f>
        <v>0</v>
      </c>
      <c r="Z1136" s="676">
        <f>FISCinyear!IG830</f>
        <v>0</v>
      </c>
      <c r="AA1136" s="676">
        <f>FISCinyear!IJ830</f>
        <v>0</v>
      </c>
      <c r="AB1136" s="676">
        <f>FISCinyear!IM830</f>
        <v>0</v>
      </c>
      <c r="AC1136" s="676">
        <f>FISCinyear!IP830</f>
        <v>0</v>
      </c>
      <c r="AD1136" s="676">
        <f>FISCinyear!IS830</f>
        <v>0</v>
      </c>
      <c r="AE1136" s="676">
        <f>FISCinyear!IV830</f>
        <v>0</v>
      </c>
      <c r="AF1136" s="676">
        <f>FISCinyear!IY830</f>
        <v>0</v>
      </c>
      <c r="AG1136" s="676">
        <f>FISCinyear!JB830</f>
        <v>0</v>
      </c>
      <c r="AH1136" s="676">
        <f>FISCinyear!JE830</f>
        <v>0</v>
      </c>
      <c r="AI1136" s="676">
        <f>FISCinyear!JH830</f>
        <v>0</v>
      </c>
      <c r="AJ1136" s="676">
        <f>FISCinyear!JK830</f>
        <v>0</v>
      </c>
      <c r="AK1136" s="105">
        <f t="shared" ref="AK1136:AM1136" si="1389">AJ1136</f>
        <v>0</v>
      </c>
      <c r="AL1136" s="105">
        <f t="shared" si="1389"/>
        <v>0</v>
      </c>
      <c r="AM1136" s="105">
        <f t="shared" si="1389"/>
        <v>0</v>
      </c>
      <c r="AN1136" s="105">
        <f t="shared" si="1382"/>
        <v>0</v>
      </c>
      <c r="AO1136" s="105">
        <f t="shared" si="1383"/>
        <v>0</v>
      </c>
      <c r="AP1136" s="105">
        <f t="shared" si="1384"/>
        <v>0</v>
      </c>
      <c r="AQ1136" s="105">
        <f t="shared" si="1385"/>
        <v>0</v>
      </c>
      <c r="AR1136" s="105">
        <f t="shared" si="1386"/>
        <v>0</v>
      </c>
      <c r="AS1136" s="105">
        <f t="shared" si="1387"/>
        <v>0</v>
      </c>
      <c r="AT1136" s="105">
        <f t="shared" si="1388"/>
        <v>0</v>
      </c>
      <c r="AU1136" s="105">
        <f t="shared" si="1388"/>
        <v>0</v>
      </c>
      <c r="AV1136" s="105" t="e">
        <f t="shared" si="1365"/>
        <v>#DIV/0!</v>
      </c>
      <c r="AW1136" s="1916"/>
      <c r="BE1136" s="1916"/>
      <c r="BF1136" s="1916"/>
      <c r="BG1136" s="1916"/>
      <c r="BH1136" s="1915"/>
    </row>
    <row r="1137" spans="1:60" ht="14.25" customHeight="1">
      <c r="A1137" s="1"/>
      <c r="B1137" s="1"/>
      <c r="C1137" s="1"/>
      <c r="D1137" s="1464" t="s">
        <v>3157</v>
      </c>
      <c r="E1137" s="323"/>
      <c r="F1137" s="323"/>
      <c r="G1137" s="323"/>
      <c r="H1137" s="323"/>
      <c r="I1137" s="323"/>
      <c r="J1137" s="323"/>
      <c r="K1137" s="323"/>
      <c r="L1137" s="323"/>
      <c r="M1137" s="323"/>
      <c r="N1137" s="323"/>
      <c r="O1137" s="323"/>
      <c r="P1137" s="323"/>
      <c r="Q1137" s="323"/>
      <c r="R1137" s="323"/>
      <c r="S1137" s="323"/>
      <c r="T1137" s="323"/>
      <c r="U1137" s="323"/>
      <c r="V1137" s="105">
        <v>0</v>
      </c>
      <c r="W1137" s="105">
        <v>0</v>
      </c>
      <c r="X1137" s="105">
        <v>0</v>
      </c>
      <c r="Y1137" s="676">
        <f>FISCinyear!ID831</f>
        <v>0</v>
      </c>
      <c r="Z1137" s="676">
        <f>FISCinyear!IG831</f>
        <v>0</v>
      </c>
      <c r="AA1137" s="676">
        <f>FISCinyear!IJ831</f>
        <v>0</v>
      </c>
      <c r="AB1137" s="676">
        <f>FISCinyear!IM831</f>
        <v>0</v>
      </c>
      <c r="AC1137" s="676">
        <f>FISCinyear!IP831</f>
        <v>0</v>
      </c>
      <c r="AD1137" s="676">
        <f>FISCinyear!IS831</f>
        <v>0</v>
      </c>
      <c r="AE1137" s="676">
        <f>FISCinyear!IV831</f>
        <v>0</v>
      </c>
      <c r="AF1137" s="676">
        <f>FISCinyear!IY831</f>
        <v>0</v>
      </c>
      <c r="AG1137" s="676">
        <f>FISCinyear!JB831</f>
        <v>0</v>
      </c>
      <c r="AH1137" s="676">
        <f>FISCinyear!JE831</f>
        <v>0</v>
      </c>
      <c r="AI1137" s="676">
        <f>FISCinyear!JH831</f>
        <v>0</v>
      </c>
      <c r="AJ1137" s="676">
        <f>FISCinyear!JK831</f>
        <v>0</v>
      </c>
      <c r="AK1137" s="676">
        <f>FISCinyear!JD831</f>
        <v>0</v>
      </c>
      <c r="AL1137" s="105">
        <f>AK1137*1.1</f>
        <v>0</v>
      </c>
      <c r="AM1137" s="105">
        <f>AL1137*1.1</f>
        <v>0</v>
      </c>
      <c r="AN1137" s="105">
        <f t="shared" ref="AN1137:AO1137" si="1390">AM1137*1.1</f>
        <v>0</v>
      </c>
      <c r="AO1137" s="105">
        <f t="shared" si="1390"/>
        <v>0</v>
      </c>
      <c r="AP1137" s="105">
        <f t="shared" ref="AP1137" si="1391">AO1137*1.1</f>
        <v>0</v>
      </c>
      <c r="AQ1137" s="105">
        <f t="shared" ref="AQ1137" si="1392">AP1137*1.1</f>
        <v>0</v>
      </c>
      <c r="AR1137" s="105">
        <f t="shared" ref="AR1137" si="1393">AQ1137*1.1</f>
        <v>0</v>
      </c>
      <c r="AS1137" s="105">
        <f t="shared" ref="AS1137" si="1394">AR1137*1.1</f>
        <v>0</v>
      </c>
      <c r="AT1137" s="105">
        <f t="shared" ref="AT1137:AU1137" si="1395">AS1137*1.1</f>
        <v>0</v>
      </c>
      <c r="AU1137" s="105">
        <f t="shared" si="1395"/>
        <v>0</v>
      </c>
      <c r="AV1137" s="105" t="e">
        <f t="shared" si="1365"/>
        <v>#DIV/0!</v>
      </c>
      <c r="AW1137" s="1916"/>
      <c r="AX1137" s="1916"/>
      <c r="AY1137" s="1916"/>
      <c r="AZ1137" s="1916"/>
      <c r="BA1137" s="1916"/>
      <c r="BB1137" s="1916"/>
      <c r="BC1137" s="1916"/>
      <c r="BD1137" s="1916"/>
      <c r="BE1137" s="1916"/>
      <c r="BF1137" s="1916"/>
      <c r="BG1137" s="1916"/>
      <c r="BH1137" s="1915"/>
    </row>
    <row r="1138" spans="1:60" ht="14.25" customHeight="1">
      <c r="A1138" s="1"/>
      <c r="B1138" s="1"/>
      <c r="C1138" s="1391"/>
      <c r="D1138" s="360" t="s">
        <v>3275</v>
      </c>
      <c r="E1138" s="323"/>
      <c r="F1138" s="323"/>
      <c r="G1138" s="323"/>
      <c r="H1138" s="323"/>
      <c r="I1138" s="323"/>
      <c r="J1138" s="323"/>
      <c r="K1138" s="323"/>
      <c r="L1138" s="323"/>
      <c r="M1138" s="323"/>
      <c r="N1138" s="323"/>
      <c r="O1138" s="323"/>
      <c r="P1138" s="323"/>
      <c r="Q1138" s="323"/>
      <c r="R1138" s="323"/>
      <c r="S1138" s="323"/>
      <c r="T1138" s="323"/>
      <c r="U1138" s="323"/>
      <c r="V1138" s="105">
        <v>0</v>
      </c>
      <c r="W1138" s="105">
        <v>0</v>
      </c>
      <c r="X1138" s="105">
        <v>0</v>
      </c>
      <c r="Y1138" s="676">
        <f>FISCinyear!ID832</f>
        <v>0</v>
      </c>
      <c r="Z1138" s="676">
        <f>FISCinyear!IG832</f>
        <v>0</v>
      </c>
      <c r="AA1138" s="676">
        <f>FISCinyear!IJ832</f>
        <v>0</v>
      </c>
      <c r="AB1138" s="676">
        <f>FISCinyear!IM832</f>
        <v>0</v>
      </c>
      <c r="AC1138" s="676">
        <f>FISCinyear!IP832</f>
        <v>0</v>
      </c>
      <c r="AD1138" s="676">
        <f>FISCinyear!IS832</f>
        <v>4.7370362420000003</v>
      </c>
      <c r="AE1138" s="676">
        <f>FISCinyear!IV832</f>
        <v>3.3041582800000002</v>
      </c>
      <c r="AF1138" s="676">
        <f>FISCinyear!IY832</f>
        <v>4.992443806921397</v>
      </c>
      <c r="AG1138" s="676">
        <f>FISCinyear!JB832</f>
        <v>4.324182857227056</v>
      </c>
      <c r="AH1138" s="676">
        <f>FISCinyear!JE832</f>
        <v>9.1533410410676197</v>
      </c>
      <c r="AI1138" s="676">
        <f>FISCinyear!JH832</f>
        <v>10.866446835000001</v>
      </c>
      <c r="AJ1138" s="676">
        <f>FISCinyear!JK832</f>
        <v>2.2240518650000003</v>
      </c>
      <c r="AK1138" s="105">
        <f>AK1133-AK1134-AK1135</f>
        <v>2.557889825328882</v>
      </c>
      <c r="AL1138" s="105">
        <f t="shared" ref="AL1138:AV1138" si="1396">AL1133-AL1134-AL1135</f>
        <v>3.450867070425911</v>
      </c>
      <c r="AM1138" s="105">
        <f t="shared" si="1396"/>
        <v>2.9588740566679306</v>
      </c>
      <c r="AN1138" s="105">
        <f t="shared" si="1396"/>
        <v>5.2091814744028433</v>
      </c>
      <c r="AO1138" s="105">
        <f t="shared" si="1396"/>
        <v>6.7301849049333526</v>
      </c>
      <c r="AP1138" s="105">
        <f t="shared" si="1396"/>
        <v>9.4105446544052</v>
      </c>
      <c r="AQ1138" s="105">
        <f t="shared" si="1396"/>
        <v>12.762914921626937</v>
      </c>
      <c r="AR1138" s="105">
        <f t="shared" si="1396"/>
        <v>15.765863301456513</v>
      </c>
      <c r="AS1138" s="105">
        <f t="shared" si="1396"/>
        <v>18.358657836197217</v>
      </c>
      <c r="AT1138" s="105">
        <f t="shared" si="1396"/>
        <v>19.555622605696932</v>
      </c>
      <c r="AU1138" s="105">
        <f t="shared" si="1396"/>
        <v>20.814382657152734</v>
      </c>
      <c r="AV1138" s="105" t="e">
        <f t="shared" si="1396"/>
        <v>#DIV/0!</v>
      </c>
      <c r="AW1138" s="1916"/>
      <c r="AX1138" s="1916"/>
      <c r="AY1138" s="1916"/>
      <c r="AZ1138" s="1916"/>
      <c r="BA1138" s="1916"/>
      <c r="BB1138" s="1916"/>
      <c r="BC1138" s="1916"/>
      <c r="BD1138" s="1916"/>
      <c r="BE1138" s="1916"/>
      <c r="BF1138" s="1916"/>
      <c r="BG1138" s="1916"/>
      <c r="BH1138" s="1915"/>
    </row>
    <row r="1139" spans="1:60" ht="14.25" customHeight="1">
      <c r="A1139" s="1"/>
      <c r="B1139" s="1"/>
      <c r="C1139" s="1"/>
      <c r="D1139" s="358" t="str">
        <f>+FISCinyear!D833</f>
        <v xml:space="preserve">Sales of goods and services </v>
      </c>
      <c r="E1139" s="323"/>
      <c r="F1139" s="323"/>
      <c r="G1139" s="323"/>
      <c r="H1139" s="323"/>
      <c r="I1139" s="323"/>
      <c r="J1139" s="323"/>
      <c r="K1139" s="323"/>
      <c r="L1139" s="323"/>
      <c r="M1139" s="323"/>
      <c r="N1139" s="323"/>
      <c r="O1139" s="323"/>
      <c r="P1139" s="323"/>
      <c r="Q1139" s="323"/>
      <c r="R1139" s="323"/>
      <c r="S1139" s="323"/>
      <c r="T1139" s="323"/>
      <c r="U1139" s="323"/>
      <c r="V1139" s="376">
        <v>0</v>
      </c>
      <c r="W1139" s="376">
        <v>0</v>
      </c>
      <c r="X1139" s="376">
        <v>0</v>
      </c>
      <c r="Y1139" s="1385">
        <f>FISCinyear!ID833</f>
        <v>101.6455802076724</v>
      </c>
      <c r="Z1139" s="1385">
        <f>FISCinyear!IG833</f>
        <v>128.23033017019469</v>
      </c>
      <c r="AA1139" s="1385">
        <f>FISCinyear!IJ833</f>
        <v>157.06824826644657</v>
      </c>
      <c r="AB1139" s="1385">
        <f>FISCinyear!IM833</f>
        <v>190.4939429820059</v>
      </c>
      <c r="AC1139" s="1385">
        <f>FISCinyear!IP833</f>
        <v>217.79376056441629</v>
      </c>
      <c r="AD1139" s="1385">
        <f>FISCinyear!IS833</f>
        <v>254.60815363064833</v>
      </c>
      <c r="AE1139" s="1385">
        <f>FISCinyear!IV833</f>
        <v>239.49112674760897</v>
      </c>
      <c r="AF1139" s="1385">
        <f>FISCinyear!IY833</f>
        <v>301.35411425052644</v>
      </c>
      <c r="AG1139" s="1385">
        <f>FISCinyear!JB833</f>
        <v>328.663104256206</v>
      </c>
      <c r="AH1139" s="1385">
        <f>FISCinyear!JE833</f>
        <v>321.33059108164434</v>
      </c>
      <c r="AI1139" s="1385">
        <f>FISCinyear!JH833</f>
        <v>395.34517266296109</v>
      </c>
      <c r="AJ1139" s="1385">
        <f>FISCinyear!JK833</f>
        <v>382.59057551751607</v>
      </c>
      <c r="AK1139" s="1569">
        <f>AK1140+AK1141+AK1145+AK1148</f>
        <v>467.69614147937727</v>
      </c>
      <c r="AL1139" s="1569">
        <f t="shared" ref="AL1139:AU1139" si="1397">AL1140+AL1141+AL1145+AL1148</f>
        <v>537.67062361354385</v>
      </c>
      <c r="AM1139" s="1569">
        <f t="shared" si="1397"/>
        <v>606.37400325512499</v>
      </c>
      <c r="AN1139" s="1569">
        <f t="shared" si="1397"/>
        <v>672.81999638821571</v>
      </c>
      <c r="AO1139" s="1569">
        <f t="shared" si="1397"/>
        <v>781.01228444626531</v>
      </c>
      <c r="AP1139" s="1569">
        <f t="shared" si="1397"/>
        <v>875.43718412141823</v>
      </c>
      <c r="AQ1139" s="1569">
        <f t="shared" si="1397"/>
        <v>939.66256638724371</v>
      </c>
      <c r="AR1139" s="1569">
        <f t="shared" si="1397"/>
        <v>1033.740007412664</v>
      </c>
      <c r="AS1139" s="1569">
        <f t="shared" si="1397"/>
        <v>1128.507017881205</v>
      </c>
      <c r="AT1139" s="1569">
        <f t="shared" si="1397"/>
        <v>1638.2257857818236</v>
      </c>
      <c r="AU1139" s="1569">
        <f t="shared" si="1397"/>
        <v>2463.7133690779842</v>
      </c>
      <c r="AV1139" s="1569">
        <f t="shared" si="1365"/>
        <v>0.45167531953644913</v>
      </c>
      <c r="AW1139" s="1916"/>
      <c r="AX1139" s="1114"/>
      <c r="AY1139" s="1114"/>
      <c r="AZ1139" s="1114"/>
      <c r="BA1139" s="1114"/>
      <c r="BB1139" s="1114"/>
      <c r="BC1139" s="1114"/>
      <c r="BD1139" s="1916"/>
      <c r="BE1139" s="1916"/>
      <c r="BF1139" s="1916"/>
      <c r="BG1139" s="1916"/>
      <c r="BH1139" s="1915"/>
    </row>
    <row r="1140" spans="1:60" ht="14.25" customHeight="1">
      <c r="A1140" s="1"/>
      <c r="B1140" s="1"/>
      <c r="C1140" s="1"/>
      <c r="D1140" s="360" t="s">
        <v>518</v>
      </c>
      <c r="E1140" s="323"/>
      <c r="F1140" s="323"/>
      <c r="G1140" s="323"/>
      <c r="H1140" s="323"/>
      <c r="I1140" s="323"/>
      <c r="J1140" s="323"/>
      <c r="K1140" s="323"/>
      <c r="L1140" s="323"/>
      <c r="M1140" s="323"/>
      <c r="N1140" s="323"/>
      <c r="O1140" s="323"/>
      <c r="P1140" s="323"/>
      <c r="Q1140" s="323"/>
      <c r="R1140" s="323"/>
      <c r="S1140" s="323"/>
      <c r="T1140" s="323"/>
      <c r="U1140" s="323"/>
      <c r="V1140" s="105">
        <v>0</v>
      </c>
      <c r="W1140" s="105">
        <v>0</v>
      </c>
      <c r="X1140" s="105">
        <v>0</v>
      </c>
      <c r="Y1140" s="676">
        <f>FISCinyear!ID834</f>
        <v>0</v>
      </c>
      <c r="Z1140" s="676">
        <f>FISCinyear!IG834</f>
        <v>0</v>
      </c>
      <c r="AA1140" s="676">
        <f>FISCinyear!IJ834</f>
        <v>0</v>
      </c>
      <c r="AB1140" s="676">
        <f>FISCinyear!IM834</f>
        <v>0</v>
      </c>
      <c r="AC1140" s="676">
        <f>FISCinyear!IP834</f>
        <v>0</v>
      </c>
      <c r="AD1140" s="676">
        <f>FISCinyear!IS834</f>
        <v>0</v>
      </c>
      <c r="AE1140" s="676">
        <f>FISCinyear!IV834</f>
        <v>0</v>
      </c>
      <c r="AF1140" s="676">
        <f>FISCinyear!IY834</f>
        <v>0</v>
      </c>
      <c r="AG1140" s="676">
        <f>FISCinyear!JB834</f>
        <v>0</v>
      </c>
      <c r="AH1140" s="676">
        <f>FISCinyear!JE834</f>
        <v>0</v>
      </c>
      <c r="AI1140" s="676">
        <f>FISCinyear!JH834</f>
        <v>0</v>
      </c>
      <c r="AJ1140" s="676">
        <f>FISCinyear!JK834</f>
        <v>0</v>
      </c>
      <c r="AK1140" s="105">
        <f t="shared" ref="AK1140:AM1140" si="1398">AJ1140</f>
        <v>0</v>
      </c>
      <c r="AL1140" s="105">
        <f t="shared" si="1398"/>
        <v>0</v>
      </c>
      <c r="AM1140" s="105">
        <f t="shared" si="1398"/>
        <v>0</v>
      </c>
      <c r="AN1140" s="105">
        <f t="shared" ref="AN1140" si="1399">AM1140</f>
        <v>0</v>
      </c>
      <c r="AO1140" s="105">
        <f t="shared" ref="AO1140" si="1400">AN1140</f>
        <v>0</v>
      </c>
      <c r="AP1140" s="105">
        <f t="shared" ref="AP1140" si="1401">AO1140</f>
        <v>0</v>
      </c>
      <c r="AQ1140" s="105">
        <f t="shared" ref="AQ1140" si="1402">AP1140</f>
        <v>0</v>
      </c>
      <c r="AR1140" s="105">
        <f t="shared" ref="AR1140" si="1403">AQ1140</f>
        <v>0</v>
      </c>
      <c r="AS1140" s="105">
        <f t="shared" ref="AS1140" si="1404">AR1140</f>
        <v>0</v>
      </c>
      <c r="AT1140" s="105">
        <f t="shared" ref="AT1140:AU1140" si="1405">AS1140</f>
        <v>0</v>
      </c>
      <c r="AU1140" s="105">
        <f t="shared" si="1405"/>
        <v>0</v>
      </c>
      <c r="AV1140" s="105" t="e">
        <f t="shared" si="1365"/>
        <v>#DIV/0!</v>
      </c>
      <c r="AW1140" s="1916"/>
      <c r="BD1140" s="1916"/>
      <c r="BE1140" s="1916"/>
      <c r="BF1140" s="1916"/>
      <c r="BG1140" s="1916"/>
      <c r="BH1140" s="1915"/>
    </row>
    <row r="1141" spans="1:60" ht="14.25" customHeight="1">
      <c r="A1141" s="1"/>
      <c r="B1141" s="1"/>
      <c r="C1141" s="1"/>
      <c r="D1141" s="360" t="s">
        <v>519</v>
      </c>
      <c r="E1141" s="323" t="s">
        <v>30</v>
      </c>
      <c r="F1141" s="323"/>
      <c r="G1141" s="323"/>
      <c r="H1141" s="323"/>
      <c r="I1141" s="323"/>
      <c r="J1141" s="323"/>
      <c r="K1141" s="323"/>
      <c r="L1141" s="323"/>
      <c r="M1141" s="323"/>
      <c r="N1141" s="323"/>
      <c r="O1141" s="323"/>
      <c r="P1141" s="323"/>
      <c r="Q1141" s="323"/>
      <c r="R1141" s="323"/>
      <c r="S1141" s="323"/>
      <c r="T1141" s="323"/>
      <c r="U1141" s="323"/>
      <c r="V1141" s="105">
        <v>0</v>
      </c>
      <c r="W1141" s="105">
        <v>0</v>
      </c>
      <c r="X1141" s="105">
        <v>0</v>
      </c>
      <c r="Y1141" s="676">
        <f>FISCinyear!ID835</f>
        <v>12.102955922</v>
      </c>
      <c r="Z1141" s="676">
        <f>FISCinyear!IG835</f>
        <v>12.413099453000001</v>
      </c>
      <c r="AA1141" s="676">
        <f>FISCinyear!IJ835</f>
        <v>32.383153776</v>
      </c>
      <c r="AB1141" s="676">
        <f>FISCinyear!IM835</f>
        <v>51.147192611141264</v>
      </c>
      <c r="AC1141" s="676">
        <f>FISCinyear!IP835</f>
        <v>56.960235014416284</v>
      </c>
      <c r="AD1141" s="676">
        <f>FISCinyear!IS835</f>
        <v>91.974588324099983</v>
      </c>
      <c r="AE1141" s="676">
        <f>FISCinyear!IV835</f>
        <v>85.537376291807462</v>
      </c>
      <c r="AF1141" s="676">
        <f>FISCinyear!IY835</f>
        <v>76.997334211164087</v>
      </c>
      <c r="AG1141" s="676">
        <f>FISCinyear!JB835</f>
        <v>166.31454336831683</v>
      </c>
      <c r="AH1141" s="676">
        <f>FISCinyear!JE835</f>
        <v>116.33063407307799</v>
      </c>
      <c r="AI1141" s="676">
        <f>FISCinyear!JH835</f>
        <v>153.71862569203336</v>
      </c>
      <c r="AJ1141" s="676">
        <f>FISCinyear!JK835</f>
        <v>155.14786294993314</v>
      </c>
      <c r="AK1141" s="1436">
        <f t="shared" ref="AK1141:AT1141" si="1406">AK423*AK593</f>
        <v>249.55430059122099</v>
      </c>
      <c r="AL1141" s="1436">
        <f t="shared" si="1406"/>
        <v>288.12836674410102</v>
      </c>
      <c r="AM1141" s="1436">
        <f t="shared" si="1406"/>
        <v>343.48370596500496</v>
      </c>
      <c r="AN1141" s="1436">
        <f t="shared" si="1406"/>
        <v>395.89931949526476</v>
      </c>
      <c r="AO1141" s="1436">
        <f t="shared" si="1406"/>
        <v>491.09229283596517</v>
      </c>
      <c r="AP1141" s="1436">
        <f t="shared" si="1406"/>
        <v>564.39618360657778</v>
      </c>
      <c r="AQ1141" s="1436">
        <f t="shared" si="1406"/>
        <v>616.57424639483395</v>
      </c>
      <c r="AR1141" s="1436">
        <f t="shared" si="1406"/>
        <v>697.97605065911785</v>
      </c>
      <c r="AS1141" s="1436">
        <f t="shared" si="1406"/>
        <v>779.39403074723452</v>
      </c>
      <c r="AT1141" s="1436">
        <f t="shared" si="1406"/>
        <v>1275.041368832874</v>
      </c>
      <c r="AU1141" s="1436">
        <f t="shared" si="1364"/>
        <v>2085.8903559686746</v>
      </c>
      <c r="AV1141" s="1436">
        <f t="shared" si="1365"/>
        <v>0.63593935613086949</v>
      </c>
      <c r="BH1141" s="1915"/>
    </row>
    <row r="1142" spans="1:60" ht="14.25" customHeight="1">
      <c r="A1142" s="1"/>
      <c r="B1142" s="1"/>
      <c r="C1142" s="1"/>
      <c r="D1142" s="1394" t="s">
        <v>3118</v>
      </c>
      <c r="E1142" s="323"/>
      <c r="F1142" s="323"/>
      <c r="G1142" s="323"/>
      <c r="H1142" s="323"/>
      <c r="I1142" s="323"/>
      <c r="J1142" s="323"/>
      <c r="K1142" s="323"/>
      <c r="L1142" s="323"/>
      <c r="M1142" s="323"/>
      <c r="N1142" s="323"/>
      <c r="O1142" s="323"/>
      <c r="P1142" s="323"/>
      <c r="Q1142" s="323"/>
      <c r="R1142" s="323"/>
      <c r="S1142" s="323"/>
      <c r="T1142" s="323"/>
      <c r="U1142" s="323"/>
      <c r="V1142" s="105"/>
      <c r="W1142" s="105"/>
      <c r="X1142" s="105"/>
      <c r="Y1142" s="676"/>
      <c r="Z1142" s="676"/>
      <c r="AA1142" s="676"/>
      <c r="AB1142" s="676"/>
      <c r="AC1142" s="676"/>
      <c r="AD1142" s="676"/>
      <c r="AE1142" s="676"/>
      <c r="AF1142" s="676">
        <f>FISCinyear!IY836</f>
        <v>9.1052140446290366</v>
      </c>
      <c r="AG1142" s="676">
        <f>FISCinyear!JB836</f>
        <v>22.973369909460004</v>
      </c>
      <c r="AH1142" s="676">
        <f>FISCinyear!JE836</f>
        <v>21.44671286007798</v>
      </c>
      <c r="AI1142" s="676">
        <f>FISCinyear!JH836</f>
        <v>48.838144233154182</v>
      </c>
      <c r="AJ1142" s="676">
        <f>FISCinyear!JK836</f>
        <v>48.349411832599799</v>
      </c>
      <c r="AK1142" s="105">
        <v>64.721606269580619</v>
      </c>
      <c r="AL1142" s="105">
        <v>68.044340242842836</v>
      </c>
      <c r="AM1142" s="105">
        <f>AL1142*1.05</f>
        <v>71.446557254984981</v>
      </c>
      <c r="AN1142" s="105">
        <f t="shared" ref="AN1142:AO1142" si="1407">AM1142*1.05</f>
        <v>75.018885117734229</v>
      </c>
      <c r="AO1142" s="105">
        <f t="shared" si="1407"/>
        <v>78.769829373620937</v>
      </c>
      <c r="AP1142" s="105">
        <f t="shared" ref="AP1142" si="1408">AO1142*1.09826543012</f>
        <v>86.510180537498812</v>
      </c>
      <c r="AQ1142" s="105">
        <f t="shared" ref="AQ1142" si="1409">AP1142*1.09826543012</f>
        <v>95.011140637775</v>
      </c>
      <c r="AR1142" s="105">
        <f t="shared" ref="AR1142" si="1410">AQ1142*1.09826543012</f>
        <v>104.34745123873778</v>
      </c>
      <c r="AS1142" s="105">
        <f t="shared" ref="AS1142" si="1411">AR1142*1.09826543012</f>
        <v>114.60119841663808</v>
      </c>
      <c r="AT1142" s="105">
        <f t="shared" ref="AT1142" si="1412">AS1142*1.09826543012</f>
        <v>125.86253447131651</v>
      </c>
      <c r="AU1142" s="105">
        <f t="shared" si="1364"/>
        <v>138.23047055713377</v>
      </c>
      <c r="AV1142" s="105">
        <f t="shared" si="1365"/>
        <v>9.8265430120000108E-2</v>
      </c>
      <c r="BH1142" s="1915"/>
    </row>
    <row r="1143" spans="1:60" ht="14.25" customHeight="1">
      <c r="A1143" s="1"/>
      <c r="B1143" s="1"/>
      <c r="C1143" s="1"/>
      <c r="D1143" s="1394" t="s">
        <v>3069</v>
      </c>
      <c r="E1143" s="323"/>
      <c r="F1143" s="323"/>
      <c r="G1143" s="323"/>
      <c r="H1143" s="323"/>
      <c r="I1143" s="323"/>
      <c r="J1143" s="323"/>
      <c r="K1143" s="323"/>
      <c r="L1143" s="323"/>
      <c r="M1143" s="323"/>
      <c r="N1143" s="323"/>
      <c r="O1143" s="323"/>
      <c r="P1143" s="323"/>
      <c r="Q1143" s="323"/>
      <c r="R1143" s="323"/>
      <c r="S1143" s="323"/>
      <c r="T1143" s="323"/>
      <c r="U1143" s="323"/>
      <c r="V1143" s="931">
        <f t="shared" ref="V1143:AE1143" si="1413">V596</f>
        <v>0</v>
      </c>
      <c r="W1143" s="931">
        <f t="shared" si="1413"/>
        <v>0</v>
      </c>
      <c r="X1143" s="931">
        <f t="shared" si="1413"/>
        <v>0</v>
      </c>
      <c r="Y1143" s="931">
        <f t="shared" si="1413"/>
        <v>0</v>
      </c>
      <c r="Z1143" s="931">
        <f t="shared" si="1413"/>
        <v>0</v>
      </c>
      <c r="AA1143" s="931">
        <f t="shared" si="1413"/>
        <v>0</v>
      </c>
      <c r="AB1143" s="931">
        <f t="shared" si="1413"/>
        <v>0</v>
      </c>
      <c r="AC1143" s="931">
        <f t="shared" si="1413"/>
        <v>0</v>
      </c>
      <c r="AD1143" s="931">
        <f t="shared" si="1413"/>
        <v>0</v>
      </c>
      <c r="AE1143" s="931">
        <f t="shared" si="1413"/>
        <v>0</v>
      </c>
      <c r="AF1143" s="931">
        <f>FISCinyear!IY837</f>
        <v>19.722913615500001</v>
      </c>
      <c r="AG1143" s="931">
        <f>FISCinyear!JB837</f>
        <v>39.532223072000001</v>
      </c>
      <c r="AH1143" s="931">
        <f>FISCinyear!JE837</f>
        <v>44.972336129999995</v>
      </c>
      <c r="AI1143" s="931">
        <f>FISCinyear!JH837</f>
        <v>38.939928277999996</v>
      </c>
      <c r="AJ1143" s="931">
        <f>FISCinyear!JK837</f>
        <v>39.625051426333336</v>
      </c>
      <c r="AK1143" s="931">
        <v>67.208946358809797</v>
      </c>
      <c r="AL1143" s="931">
        <v>33.192077320197697</v>
      </c>
      <c r="AM1143" s="931">
        <v>35.028598161380302</v>
      </c>
      <c r="AN1143" s="931">
        <v>37.677904657662204</v>
      </c>
      <c r="AO1143" s="931">
        <v>37.677904657662204</v>
      </c>
      <c r="AP1143" s="931">
        <v>67.208946358809783</v>
      </c>
      <c r="AQ1143" s="931">
        <v>67.208946358809783</v>
      </c>
      <c r="AR1143" s="931">
        <v>67.208946358809783</v>
      </c>
      <c r="AS1143" s="931">
        <v>67.208946358809783</v>
      </c>
      <c r="AT1143" s="931">
        <v>67.208946358809783</v>
      </c>
      <c r="AU1143" s="931">
        <f t="shared" si="1364"/>
        <v>67.208946358809783</v>
      </c>
      <c r="AV1143" s="931">
        <f t="shared" si="1365"/>
        <v>0</v>
      </c>
      <c r="BC1143" s="1114"/>
      <c r="BH1143" s="1915"/>
    </row>
    <row r="1144" spans="1:60" ht="14.25" customHeight="1">
      <c r="A1144" s="1"/>
      <c r="B1144" s="1"/>
      <c r="C1144" s="1"/>
      <c r="D1144" s="1394" t="s">
        <v>3070</v>
      </c>
      <c r="E1144" s="323"/>
      <c r="F1144" s="323"/>
      <c r="G1144" s="323"/>
      <c r="H1144" s="323"/>
      <c r="I1144" s="323"/>
      <c r="J1144" s="323"/>
      <c r="K1144" s="323"/>
      <c r="L1144" s="323"/>
      <c r="M1144" s="323"/>
      <c r="N1144" s="323"/>
      <c r="O1144" s="323"/>
      <c r="P1144" s="323"/>
      <c r="Q1144" s="323"/>
      <c r="R1144" s="323"/>
      <c r="S1144" s="323"/>
      <c r="T1144" s="323"/>
      <c r="U1144" s="323"/>
      <c r="V1144" s="931">
        <v>0</v>
      </c>
      <c r="W1144" s="931">
        <v>0</v>
      </c>
      <c r="X1144" s="931">
        <v>0</v>
      </c>
      <c r="Y1144" s="931">
        <v>0</v>
      </c>
      <c r="Z1144" s="931">
        <v>0</v>
      </c>
      <c r="AA1144" s="931">
        <v>0</v>
      </c>
      <c r="AB1144" s="931">
        <v>0</v>
      </c>
      <c r="AC1144" s="931">
        <v>0</v>
      </c>
      <c r="AD1144" s="931">
        <v>0</v>
      </c>
      <c r="AE1144" s="931">
        <v>0</v>
      </c>
      <c r="AF1144" s="931">
        <f>FISCinyear!IY838</f>
        <v>8.8921222545000003</v>
      </c>
      <c r="AG1144" s="931">
        <f>FISCinyear!JB838</f>
        <v>106.04437596212674</v>
      </c>
      <c r="AH1144" s="931">
        <f>FISCinyear!JE838</f>
        <v>49.911585083000006</v>
      </c>
      <c r="AI1144" s="931">
        <f>FISCinyear!JH838</f>
        <v>56.476471918999998</v>
      </c>
      <c r="AJ1144" s="931">
        <f>FISCinyear!JK838</f>
        <v>67.173399690999986</v>
      </c>
      <c r="AK1144" s="1661">
        <v>46.784842832000002</v>
      </c>
      <c r="AL1144" s="931">
        <v>51.891186961000002</v>
      </c>
      <c r="AM1144" s="931">
        <v>56.867303503000002</v>
      </c>
      <c r="AN1144" s="931">
        <v>61.613916245483651</v>
      </c>
      <c r="AO1144" s="931">
        <v>66.811041048491148</v>
      </c>
      <c r="AP1144" s="931">
        <v>115.70035770442146</v>
      </c>
      <c r="AQ1144" s="931">
        <v>115.70035770442146</v>
      </c>
      <c r="AR1144" s="931">
        <v>115.70035770442146</v>
      </c>
      <c r="AS1144" s="931">
        <v>115.70035770442146</v>
      </c>
      <c r="AT1144" s="931">
        <v>115.70035770442146</v>
      </c>
      <c r="AU1144" s="931">
        <f t="shared" si="1364"/>
        <v>115.70035770442146</v>
      </c>
      <c r="AV1144" s="931">
        <f t="shared" si="1365"/>
        <v>0</v>
      </c>
      <c r="AW1144" s="1916"/>
      <c r="AX1144" s="1916"/>
      <c r="AY1144" s="1916"/>
      <c r="AZ1144" s="1916"/>
      <c r="BA1144" s="1916"/>
      <c r="BB1144" s="1916"/>
      <c r="BC1144" s="1916"/>
      <c r="BD1144" s="1916"/>
      <c r="BE1144" s="1916"/>
      <c r="BF1144" s="1916"/>
      <c r="BG1144" s="1916"/>
      <c r="BH1144" s="1915"/>
    </row>
    <row r="1145" spans="1:60" ht="14.25" customHeight="1">
      <c r="A1145" s="1"/>
      <c r="B1145" s="1"/>
      <c r="C1145" s="1"/>
      <c r="D1145" s="360" t="s">
        <v>520</v>
      </c>
      <c r="E1145" s="323"/>
      <c r="F1145" s="323"/>
      <c r="G1145" s="323"/>
      <c r="H1145" s="323"/>
      <c r="I1145" s="323"/>
      <c r="J1145" s="323"/>
      <c r="K1145" s="323"/>
      <c r="L1145" s="323"/>
      <c r="M1145" s="323"/>
      <c r="N1145" s="323"/>
      <c r="O1145" s="323"/>
      <c r="P1145" s="323"/>
      <c r="Q1145" s="323"/>
      <c r="R1145" s="323"/>
      <c r="S1145" s="323"/>
      <c r="T1145" s="323"/>
      <c r="U1145" s="323"/>
      <c r="V1145" s="105">
        <v>0</v>
      </c>
      <c r="W1145" s="105">
        <v>0</v>
      </c>
      <c r="X1145" s="105">
        <v>0</v>
      </c>
      <c r="Y1145" s="676">
        <f>FISCinyear!ID839</f>
        <v>89.542624285672389</v>
      </c>
      <c r="Z1145" s="1398">
        <f>FISCinyear!IG839</f>
        <v>115.81723071719469</v>
      </c>
      <c r="AA1145" s="1398">
        <f>FISCinyear!IJ839</f>
        <v>124.68509449044659</v>
      </c>
      <c r="AB1145" s="676">
        <f>FISCinyear!IM839</f>
        <v>139.34675037086464</v>
      </c>
      <c r="AC1145" s="676">
        <f>FISCinyear!IP839</f>
        <v>160.83352554999999</v>
      </c>
      <c r="AD1145" s="1398">
        <f>FISCinyear!IS839</f>
        <v>162.63356530654838</v>
      </c>
      <c r="AE1145" s="676">
        <f>FISCinyear!IV839</f>
        <v>153.9537504558015</v>
      </c>
      <c r="AF1145" s="676">
        <f>FISCinyear!IY839</f>
        <v>224.35678003936238</v>
      </c>
      <c r="AG1145" s="676">
        <f>FISCinyear!JB839</f>
        <v>162.34856088788916</v>
      </c>
      <c r="AH1145" s="676">
        <f>FISCinyear!JE839</f>
        <v>146.45347324939121</v>
      </c>
      <c r="AI1145" s="676">
        <f>FISCinyear!JH839</f>
        <v>241.62654697092771</v>
      </c>
      <c r="AJ1145" s="676">
        <f>FISCinyear!JK839</f>
        <v>227.44271256758293</v>
      </c>
      <c r="AK1145" s="105">
        <f>AK1146+AK1147</f>
        <v>218.14184088815625</v>
      </c>
      <c r="AL1145" s="105">
        <f t="shared" ref="AL1145:AM1145" si="1414">AL1146+AL1147</f>
        <v>249.54225686944287</v>
      </c>
      <c r="AM1145" s="105">
        <f t="shared" si="1414"/>
        <v>262.89029729012009</v>
      </c>
      <c r="AN1145" s="105">
        <f t="shared" ref="AN1145:AT1145" si="1415">AN1146+AN1147</f>
        <v>276.92067689295095</v>
      </c>
      <c r="AO1145" s="105">
        <f t="shared" si="1415"/>
        <v>289.9199916103002</v>
      </c>
      <c r="AP1145" s="105">
        <f t="shared" si="1415"/>
        <v>311.04100051484045</v>
      </c>
      <c r="AQ1145" s="105">
        <f>AQ1146+AQ1147</f>
        <v>323.08831999240977</v>
      </c>
      <c r="AR1145" s="105">
        <f t="shared" si="1415"/>
        <v>335.76395675354615</v>
      </c>
      <c r="AS1145" s="105">
        <f t="shared" si="1415"/>
        <v>349.11298713397048</v>
      </c>
      <c r="AT1145" s="105">
        <f t="shared" si="1415"/>
        <v>363.18441694894955</v>
      </c>
      <c r="AU1145" s="105">
        <f t="shared" si="1364"/>
        <v>377.82301310930978</v>
      </c>
      <c r="AV1145" s="105">
        <f t="shared" si="1365"/>
        <v>4.0306234180796041E-2</v>
      </c>
      <c r="AW1145" s="1916"/>
      <c r="AX1145" s="1916"/>
      <c r="AY1145" s="1916"/>
      <c r="AZ1145" s="1916"/>
      <c r="BA1145" s="1916"/>
      <c r="BB1145" s="1916"/>
      <c r="BC1145" s="1916"/>
      <c r="BD1145" s="1916"/>
      <c r="BE1145" s="1916"/>
      <c r="BF1145" s="1916"/>
      <c r="BG1145" s="1916"/>
      <c r="BH1145" s="1915"/>
    </row>
    <row r="1146" spans="1:60" ht="14.25" customHeight="1">
      <c r="A1146" s="1"/>
      <c r="B1146" s="1"/>
      <c r="C1146" s="1"/>
      <c r="D1146" s="1395" t="s">
        <v>3057</v>
      </c>
      <c r="E1146" s="323"/>
      <c r="F1146" s="323"/>
      <c r="G1146" s="323"/>
      <c r="H1146" s="323"/>
      <c r="I1146" s="323"/>
      <c r="J1146" s="323"/>
      <c r="K1146" s="323"/>
      <c r="L1146" s="323"/>
      <c r="M1146" s="323"/>
      <c r="N1146" s="323"/>
      <c r="O1146" s="323"/>
      <c r="P1146" s="323"/>
      <c r="Q1146" s="323"/>
      <c r="R1146" s="323"/>
      <c r="S1146" s="323"/>
      <c r="T1146" s="323"/>
      <c r="U1146" s="323"/>
      <c r="V1146" s="931">
        <v>0</v>
      </c>
      <c r="W1146" s="931">
        <v>0</v>
      </c>
      <c r="X1146" s="931">
        <v>0</v>
      </c>
      <c r="Y1146" s="1398">
        <f t="shared" ref="Y1146:AE1146" si="1416">X437+Y436</f>
        <v>0</v>
      </c>
      <c r="Z1146" s="1398">
        <f t="shared" si="1416"/>
        <v>69.539250323148991</v>
      </c>
      <c r="AA1146" s="1398">
        <f t="shared" si="1416"/>
        <v>121.6195684522404</v>
      </c>
      <c r="AB1146" s="1398">
        <f t="shared" si="1416"/>
        <v>132.01834234264999</v>
      </c>
      <c r="AC1146" s="1398">
        <f t="shared" si="1416"/>
        <v>128.04260530427499</v>
      </c>
      <c r="AD1146" s="1398">
        <f t="shared" si="1416"/>
        <v>151.47193310323161</v>
      </c>
      <c r="AE1146" s="1398">
        <f t="shared" si="1416"/>
        <v>169.21778673992497</v>
      </c>
      <c r="AF1146" s="1398">
        <f>FISCinyear!IY840</f>
        <v>122.21989487944499</v>
      </c>
      <c r="AG1146" s="1398">
        <f>FISCinyear!JB840</f>
        <v>143.73850162214455</v>
      </c>
      <c r="AH1146" s="1398">
        <f>FISCinyear!JE840</f>
        <v>146.45347324939121</v>
      </c>
      <c r="AI1146" s="1398">
        <f>FISCinyear!JH840</f>
        <v>209.56263076001727</v>
      </c>
      <c r="AJ1146" s="1398">
        <f>FISCinyear!JK840</f>
        <v>196.48026743774588</v>
      </c>
      <c r="AK1146" s="1570">
        <f t="shared" ref="AK1146:AT1146" si="1417">AJ437+AK436</f>
        <v>192.15719841386465</v>
      </c>
      <c r="AL1146" s="1570">
        <f>AK437+AL436</f>
        <v>222.32415278363686</v>
      </c>
      <c r="AM1146" s="1570">
        <f t="shared" si="1417"/>
        <v>232.9503827957335</v>
      </c>
      <c r="AN1146" s="1570">
        <f t="shared" si="1417"/>
        <v>243.98677094912571</v>
      </c>
      <c r="AO1146" s="1570">
        <f t="shared" si="1417"/>
        <v>253.69269507209239</v>
      </c>
      <c r="AP1146" s="1570">
        <f t="shared" si="1417"/>
        <v>271.2538131002209</v>
      </c>
      <c r="AQ1146" s="1570">
        <f t="shared" si="1417"/>
        <v>279.39142749322752</v>
      </c>
      <c r="AR1146" s="1570">
        <f t="shared" si="1417"/>
        <v>287.77317031802437</v>
      </c>
      <c r="AS1146" s="1570">
        <f t="shared" si="1417"/>
        <v>296.40636542756511</v>
      </c>
      <c r="AT1146" s="1570">
        <f t="shared" si="1417"/>
        <v>305.29855639039209</v>
      </c>
      <c r="AU1146" s="1570">
        <f t="shared" si="1364"/>
        <v>314.45751308210384</v>
      </c>
      <c r="AV1146" s="1570">
        <f t="shared" si="1365"/>
        <v>3.0000000000000027E-2</v>
      </c>
      <c r="AW1146" s="1916"/>
      <c r="AX1146" s="1916"/>
      <c r="AY1146" s="1916"/>
      <c r="AZ1146" s="1916"/>
      <c r="BA1146" s="1916"/>
      <c r="BB1146" s="1916"/>
      <c r="BC1146" s="1916"/>
      <c r="BD1146" s="1916"/>
      <c r="BE1146" s="1916"/>
      <c r="BF1146" s="1916"/>
      <c r="BG1146" s="1916"/>
      <c r="BH1146" s="1915"/>
    </row>
    <row r="1147" spans="1:60" ht="14.25" customHeight="1">
      <c r="A1147" s="1"/>
      <c r="B1147" s="1"/>
      <c r="C1147" s="1"/>
      <c r="D1147" s="1395" t="s">
        <v>3058</v>
      </c>
      <c r="E1147" s="323" t="s">
        <v>3060</v>
      </c>
      <c r="F1147" s="323"/>
      <c r="G1147" s="323"/>
      <c r="H1147" s="323"/>
      <c r="I1147" s="323"/>
      <c r="J1147" s="323"/>
      <c r="K1147" s="323"/>
      <c r="L1147" s="323"/>
      <c r="M1147" s="323"/>
      <c r="N1147" s="323"/>
      <c r="O1147" s="323"/>
      <c r="P1147" s="323"/>
      <c r="Q1147" s="323"/>
      <c r="R1147" s="323"/>
      <c r="S1147" s="323"/>
      <c r="T1147" s="323"/>
      <c r="U1147" s="323"/>
      <c r="V1147" s="931">
        <v>0</v>
      </c>
      <c r="W1147" s="931">
        <v>0</v>
      </c>
      <c r="X1147" s="931">
        <v>0</v>
      </c>
      <c r="Y1147" s="931">
        <v>0</v>
      </c>
      <c r="Z1147" s="931">
        <v>0</v>
      </c>
      <c r="AA1147" s="931">
        <v>0</v>
      </c>
      <c r="AB1147" s="931">
        <v>0</v>
      </c>
      <c r="AC1147" s="931">
        <v>0</v>
      </c>
      <c r="AD1147" s="931">
        <v>0</v>
      </c>
      <c r="AE1147" s="931">
        <v>0</v>
      </c>
      <c r="AF1147" s="931">
        <f>FISCinyear!IY841</f>
        <v>6.6782439365000004</v>
      </c>
      <c r="AG1147" s="931">
        <f>FISCinyear!JB841</f>
        <v>13.006930306181594</v>
      </c>
      <c r="AH1147" s="931">
        <f>FISCinyear!JE841</f>
        <v>0</v>
      </c>
      <c r="AI1147" s="931">
        <f>FISCinyear!JH841</f>
        <v>25.592636208242396</v>
      </c>
      <c r="AJ1147" s="931">
        <f>FISCinyear!JK841</f>
        <v>24.221665219843068</v>
      </c>
      <c r="AK1147" s="931">
        <v>25.984642474291604</v>
      </c>
      <c r="AL1147" s="931">
        <v>27.218104085806001</v>
      </c>
      <c r="AM1147" s="931">
        <f>AL1147*(1+10%)</f>
        <v>29.939914494386603</v>
      </c>
      <c r="AN1147" s="931">
        <f>AM1147*(1+10%)</f>
        <v>32.933905943825266</v>
      </c>
      <c r="AO1147" s="931">
        <f>AN1147*(1+10%)</f>
        <v>36.227296538207796</v>
      </c>
      <c r="AP1147" s="931">
        <f t="shared" ref="AP1147:AT1147" si="1418">AO1147*1.09826543012</f>
        <v>39.787187414619574</v>
      </c>
      <c r="AQ1147" s="931">
        <f t="shared" si="1418"/>
        <v>43.696892499182219</v>
      </c>
      <c r="AR1147" s="931">
        <f t="shared" si="1418"/>
        <v>47.99078643552177</v>
      </c>
      <c r="AS1147" s="931">
        <f t="shared" si="1418"/>
        <v>52.706621706405386</v>
      </c>
      <c r="AT1147" s="931">
        <f t="shared" si="1418"/>
        <v>57.885860558557447</v>
      </c>
      <c r="AU1147" s="931">
        <f t="shared" si="1364"/>
        <v>63.574039544210443</v>
      </c>
      <c r="AV1147" s="931">
        <f t="shared" si="1365"/>
        <v>9.8265430120000108E-2</v>
      </c>
      <c r="AW1147" s="1916"/>
      <c r="AX1147" s="1916"/>
      <c r="AY1147" s="1916"/>
      <c r="AZ1147" s="1916"/>
      <c r="BA1147" s="1916"/>
      <c r="BB1147" s="1916"/>
      <c r="BC1147" s="1916"/>
      <c r="BD1147" s="1916"/>
      <c r="BE1147" s="1916"/>
      <c r="BF1147" s="1916"/>
      <c r="BG1147" s="1916"/>
      <c r="BH1147" s="1915"/>
    </row>
    <row r="1148" spans="1:60" ht="14.25" customHeight="1">
      <c r="A1148" s="1"/>
      <c r="B1148" s="1"/>
      <c r="C1148" s="1"/>
      <c r="D1148" s="360" t="s">
        <v>521</v>
      </c>
      <c r="E1148" s="323"/>
      <c r="F1148" s="323"/>
      <c r="G1148" s="323"/>
      <c r="H1148" s="323"/>
      <c r="I1148" s="323"/>
      <c r="J1148" s="323"/>
      <c r="K1148" s="323"/>
      <c r="L1148" s="323"/>
      <c r="M1148" s="323"/>
      <c r="N1148" s="323"/>
      <c r="O1148" s="323"/>
      <c r="P1148" s="323"/>
      <c r="Q1148" s="323"/>
      <c r="R1148" s="323"/>
      <c r="S1148" s="323"/>
      <c r="T1148" s="323"/>
      <c r="U1148" s="323"/>
      <c r="V1148" s="105">
        <v>0</v>
      </c>
      <c r="W1148" s="105">
        <v>0</v>
      </c>
      <c r="X1148" s="105">
        <v>0</v>
      </c>
      <c r="Y1148" s="676">
        <f>FISCinyear!ID842</f>
        <v>0</v>
      </c>
      <c r="Z1148" s="676">
        <f>FISCinyear!IG842</f>
        <v>0</v>
      </c>
      <c r="AA1148" s="676">
        <f>FISCinyear!IJ842</f>
        <v>0</v>
      </c>
      <c r="AB1148" s="676">
        <f>FISCinyear!IM842</f>
        <v>0</v>
      </c>
      <c r="AC1148" s="676">
        <f>FISCinyear!IP842</f>
        <v>0</v>
      </c>
      <c r="AD1148" s="676">
        <f>FISCinyear!IS842</f>
        <v>0</v>
      </c>
      <c r="AE1148" s="676">
        <f>FISCinyear!IV842</f>
        <v>0</v>
      </c>
      <c r="AF1148" s="676">
        <f>FISCinyear!IY842</f>
        <v>0</v>
      </c>
      <c r="AG1148" s="676">
        <f>FISCinyear!JB842</f>
        <v>0</v>
      </c>
      <c r="AH1148" s="676">
        <f>FISCinyear!JE842</f>
        <v>0</v>
      </c>
      <c r="AI1148" s="676">
        <f>FISCinyear!JH842</f>
        <v>0</v>
      </c>
      <c r="AJ1148" s="676">
        <f>FISCinyear!JK842</f>
        <v>0</v>
      </c>
      <c r="AK1148" s="105">
        <f t="shared" ref="AK1148:AM1148" si="1419">AJ1148</f>
        <v>0</v>
      </c>
      <c r="AL1148" s="105">
        <f t="shared" si="1419"/>
        <v>0</v>
      </c>
      <c r="AM1148" s="105">
        <f t="shared" si="1419"/>
        <v>0</v>
      </c>
      <c r="AN1148" s="105">
        <f t="shared" ref="AN1148" si="1420">AM1148</f>
        <v>0</v>
      </c>
      <c r="AO1148" s="105">
        <f t="shared" ref="AO1148" si="1421">AN1148</f>
        <v>0</v>
      </c>
      <c r="AP1148" s="105">
        <f t="shared" ref="AP1148" si="1422">AO1148</f>
        <v>0</v>
      </c>
      <c r="AQ1148" s="105">
        <f t="shared" ref="AQ1148" si="1423">AP1148</f>
        <v>0</v>
      </c>
      <c r="AR1148" s="105">
        <f t="shared" ref="AR1148" si="1424">AQ1148</f>
        <v>0</v>
      </c>
      <c r="AS1148" s="105">
        <f t="shared" ref="AS1148" si="1425">AR1148</f>
        <v>0</v>
      </c>
      <c r="AT1148" s="105">
        <f t="shared" ref="AT1148:AU1148" si="1426">AS1148</f>
        <v>0</v>
      </c>
      <c r="AU1148" s="105">
        <f t="shared" si="1426"/>
        <v>0</v>
      </c>
      <c r="AV1148" s="105" t="e">
        <f t="shared" si="1365"/>
        <v>#DIV/0!</v>
      </c>
      <c r="AW1148" s="1916"/>
      <c r="AX1148" s="1916"/>
      <c r="AY1148" s="1916"/>
      <c r="AZ1148" s="1916"/>
      <c r="BA1148" s="1916"/>
      <c r="BB1148" s="1916"/>
      <c r="BC1148" s="1916"/>
      <c r="BD1148" s="1916"/>
      <c r="BE1148" s="1916"/>
      <c r="BF1148" s="1916"/>
      <c r="BG1148" s="1916"/>
      <c r="BH1148" s="1915"/>
    </row>
    <row r="1149" spans="1:60" ht="14.25" customHeight="1">
      <c r="A1149" s="1"/>
      <c r="B1149" s="1"/>
      <c r="C1149" s="1"/>
      <c r="D1149" s="358" t="str">
        <f>+FISCinyear!D843</f>
        <v xml:space="preserve">Fines, penalties, and forfeits </v>
      </c>
      <c r="E1149" s="490"/>
      <c r="F1149" s="490"/>
      <c r="G1149" s="490"/>
      <c r="H1149" s="490"/>
      <c r="I1149" s="490"/>
      <c r="J1149" s="490"/>
      <c r="K1149" s="490"/>
      <c r="L1149" s="490"/>
      <c r="M1149" s="490"/>
      <c r="N1149" s="490"/>
      <c r="O1149" s="490"/>
      <c r="P1149" s="490"/>
      <c r="Q1149" s="490"/>
      <c r="R1149" s="490"/>
      <c r="S1149" s="490"/>
      <c r="T1149" s="490"/>
      <c r="U1149" s="490"/>
      <c r="V1149" s="376">
        <v>0</v>
      </c>
      <c r="W1149" s="376">
        <v>0</v>
      </c>
      <c r="X1149" s="376">
        <v>0</v>
      </c>
      <c r="Y1149" s="1385">
        <f>FISCinyear!ID843</f>
        <v>23.849760413799999</v>
      </c>
      <c r="Z1149" s="1385">
        <f>FISCinyear!IG843</f>
        <v>29.543254287000003</v>
      </c>
      <c r="AA1149" s="1385">
        <f>FISCinyear!IJ843</f>
        <v>0</v>
      </c>
      <c r="AB1149" s="1385">
        <f>FISCinyear!IM843</f>
        <v>35.093612473178922</v>
      </c>
      <c r="AC1149" s="1385">
        <f>FISCinyear!IP843</f>
        <v>35.093612473178922</v>
      </c>
      <c r="AD1149" s="1385">
        <f>FISCinyear!IS843</f>
        <v>8.4098652900000008</v>
      </c>
      <c r="AE1149" s="1385">
        <f>FISCinyear!IV843</f>
        <v>19.975779267939984</v>
      </c>
      <c r="AF1149" s="1385">
        <f>FISCinyear!IY843</f>
        <v>29.170397677880317</v>
      </c>
      <c r="AG1149" s="1385">
        <f>FISCinyear!JB843</f>
        <v>36.726644461011233</v>
      </c>
      <c r="AH1149" s="1385">
        <f>FISCinyear!JE843</f>
        <v>64.927330211698447</v>
      </c>
      <c r="AI1149" s="1385">
        <f>FISCinyear!JH843</f>
        <v>40.193787316184228</v>
      </c>
      <c r="AJ1149" s="1385">
        <f>FISCinyear!JK843</f>
        <v>46.810282605510196</v>
      </c>
      <c r="AK1149" s="376">
        <f t="shared" ref="AK1149:AT1149" si="1427">AK603*AK423</f>
        <v>41.79092164795977</v>
      </c>
      <c r="AL1149" s="376">
        <f t="shared" si="1427"/>
        <v>46.634480604139682</v>
      </c>
      <c r="AM1149" s="376">
        <f t="shared" si="1427"/>
        <v>52.306451580951517</v>
      </c>
      <c r="AN1149" s="376">
        <f t="shared" si="1427"/>
        <v>55.436043478886205</v>
      </c>
      <c r="AO1149" s="376">
        <f t="shared" si="1427"/>
        <v>58.799796002364772</v>
      </c>
      <c r="AP1149" s="376">
        <f t="shared" si="1427"/>
        <v>61.045004031699968</v>
      </c>
      <c r="AQ1149" s="376">
        <f t="shared" si="1427"/>
        <v>63.993644082906975</v>
      </c>
      <c r="AR1149" s="376">
        <f t="shared" si="1427"/>
        <v>75.738526877282595</v>
      </c>
      <c r="AS1149" s="376">
        <f t="shared" si="1427"/>
        <v>99.011033860009562</v>
      </c>
      <c r="AT1149" s="376">
        <f t="shared" si="1427"/>
        <v>106.05537268304057</v>
      </c>
      <c r="AU1149" s="376">
        <f t="shared" si="1364"/>
        <v>113.60089513701743</v>
      </c>
      <c r="AV1149" s="376">
        <f t="shared" si="1365"/>
        <v>7.114700804953622E-2</v>
      </c>
      <c r="AW1149" s="2820"/>
      <c r="BH1149" s="1915"/>
    </row>
    <row r="1150" spans="1:60" ht="14.25" customHeight="1">
      <c r="A1150" s="1"/>
      <c r="B1150" s="1"/>
      <c r="C1150" s="1"/>
      <c r="D1150" s="1392" t="s">
        <v>3059</v>
      </c>
      <c r="E1150" s="490"/>
      <c r="F1150" s="490"/>
      <c r="G1150" s="490"/>
      <c r="H1150" s="490"/>
      <c r="I1150" s="490"/>
      <c r="J1150" s="490"/>
      <c r="K1150" s="490"/>
      <c r="L1150" s="490"/>
      <c r="M1150" s="490"/>
      <c r="N1150" s="490"/>
      <c r="O1150" s="490"/>
      <c r="P1150" s="490"/>
      <c r="Q1150" s="490"/>
      <c r="R1150" s="490"/>
      <c r="S1150" s="490"/>
      <c r="T1150" s="490"/>
      <c r="U1150" s="490"/>
      <c r="V1150" s="931">
        <v>0</v>
      </c>
      <c r="W1150" s="931">
        <v>0</v>
      </c>
      <c r="X1150" s="931">
        <v>0</v>
      </c>
      <c r="Y1150" s="931">
        <v>0</v>
      </c>
      <c r="Z1150" s="931">
        <v>0</v>
      </c>
      <c r="AA1150" s="931">
        <v>0</v>
      </c>
      <c r="AB1150" s="931">
        <v>0</v>
      </c>
      <c r="AC1150" s="931">
        <v>0</v>
      </c>
      <c r="AD1150" s="931">
        <v>0</v>
      </c>
      <c r="AE1150" s="931">
        <v>0</v>
      </c>
      <c r="AF1150" s="931">
        <f>FISCinyear!IY844</f>
        <v>6.3</v>
      </c>
      <c r="AG1150" s="931">
        <f>FISCinyear!JB844</f>
        <v>16.836645441000002</v>
      </c>
      <c r="AH1150" s="931">
        <f>FISCinyear!JE844</f>
        <v>23.225637565</v>
      </c>
      <c r="AI1150" s="931">
        <f>FISCinyear!JH844</f>
        <v>28.055101799999999</v>
      </c>
      <c r="AJ1150" s="931">
        <f>FISCinyear!JK844</f>
        <v>29.240931197999998</v>
      </c>
      <c r="AK1150" s="1661">
        <v>26.790357521569998</v>
      </c>
      <c r="AL1150" s="931">
        <v>26.790357521569998</v>
      </c>
      <c r="AM1150" s="931">
        <v>26.790357521569998</v>
      </c>
      <c r="AN1150" s="931">
        <v>26.790357521569998</v>
      </c>
      <c r="AO1150" s="931">
        <v>26.790357521569998</v>
      </c>
      <c r="AP1150" s="931">
        <v>27.609294142698928</v>
      </c>
      <c r="AQ1150" s="931">
        <v>27.609294142698928</v>
      </c>
      <c r="AR1150" s="931">
        <v>27.609294142698928</v>
      </c>
      <c r="AS1150" s="931">
        <v>27.609294142698928</v>
      </c>
      <c r="AT1150" s="931">
        <v>27.609294142698928</v>
      </c>
      <c r="AU1150" s="931">
        <f t="shared" si="1364"/>
        <v>27.609294142698928</v>
      </c>
      <c r="AV1150" s="931">
        <f t="shared" si="1365"/>
        <v>0</v>
      </c>
      <c r="AW1150" s="1916"/>
      <c r="BH1150" s="1915"/>
    </row>
    <row r="1151" spans="1:60">
      <c r="A1151" s="1"/>
      <c r="B1151" s="1"/>
      <c r="C1151" s="1"/>
      <c r="D1151" s="1454" t="s">
        <v>3158</v>
      </c>
      <c r="E1151" s="490"/>
      <c r="F1151" s="490"/>
      <c r="G1151" s="490"/>
      <c r="H1151" s="490"/>
      <c r="I1151" s="490"/>
      <c r="J1151" s="490"/>
      <c r="K1151" s="490"/>
      <c r="L1151" s="490"/>
      <c r="M1151" s="490"/>
      <c r="N1151" s="490"/>
      <c r="O1151" s="490"/>
      <c r="P1151" s="490"/>
      <c r="Q1151" s="490"/>
      <c r="R1151" s="490"/>
      <c r="S1151" s="490"/>
      <c r="T1151" s="490"/>
      <c r="U1151" s="490"/>
      <c r="V1151" s="376">
        <v>0</v>
      </c>
      <c r="W1151" s="376">
        <v>0</v>
      </c>
      <c r="X1151" s="376">
        <v>0</v>
      </c>
      <c r="Y1151" s="1385">
        <f>FISCinyear!ID845</f>
        <v>0</v>
      </c>
      <c r="Z1151" s="1385">
        <f>FISCinyear!IG845</f>
        <v>0</v>
      </c>
      <c r="AA1151" s="1385">
        <f>FISCinyear!IJ845</f>
        <v>0</v>
      </c>
      <c r="AB1151" s="1385">
        <f>FISCinyear!IM845</f>
        <v>0</v>
      </c>
      <c r="AC1151" s="1385">
        <f>FISCinyear!IP845</f>
        <v>0</v>
      </c>
      <c r="AD1151" s="1385">
        <f>FISCinyear!IS845</f>
        <v>0</v>
      </c>
      <c r="AE1151" s="376">
        <f>AE1152+AE1153</f>
        <v>10.128484124760766</v>
      </c>
      <c r="AF1151" s="376">
        <f>FISCinyear!IY845</f>
        <v>35.304824174474774</v>
      </c>
      <c r="AG1151" s="376">
        <f>FISCinyear!JB845</f>
        <v>22.485862421</v>
      </c>
      <c r="AH1151" s="376">
        <f>FISCinyear!JE845</f>
        <v>0</v>
      </c>
      <c r="AI1151" s="376">
        <f>FISCinyear!JH845</f>
        <v>0</v>
      </c>
      <c r="AJ1151" s="376">
        <f>FISCinyear!JK845</f>
        <v>52.070578646999998</v>
      </c>
      <c r="AK1151" s="376">
        <f t="shared" ref="AK1151:AM1151" si="1428">AK1152+AK1153</f>
        <v>0</v>
      </c>
      <c r="AL1151" s="376">
        <f t="shared" si="1428"/>
        <v>0</v>
      </c>
      <c r="AM1151" s="376">
        <f t="shared" si="1428"/>
        <v>0</v>
      </c>
      <c r="AN1151" s="376">
        <f t="shared" ref="AN1151:AO1151" si="1429">AN1152+AN1153</f>
        <v>0</v>
      </c>
      <c r="AO1151" s="376">
        <f t="shared" si="1429"/>
        <v>0</v>
      </c>
      <c r="AP1151" s="376">
        <f t="shared" ref="AP1151:AT1151" si="1430">AP1152+AP1153</f>
        <v>0</v>
      </c>
      <c r="AQ1151" s="376">
        <f t="shared" si="1430"/>
        <v>0</v>
      </c>
      <c r="AR1151" s="376">
        <f t="shared" si="1430"/>
        <v>0</v>
      </c>
      <c r="AS1151" s="376">
        <f t="shared" si="1430"/>
        <v>0</v>
      </c>
      <c r="AT1151" s="376">
        <f t="shared" si="1430"/>
        <v>0</v>
      </c>
      <c r="AU1151" s="376">
        <f t="shared" ref="AU1151" si="1431">AU1152+AU1153</f>
        <v>0</v>
      </c>
      <c r="AV1151" s="376" t="e">
        <f t="shared" si="1365"/>
        <v>#DIV/0!</v>
      </c>
      <c r="AW1151" s="1916"/>
      <c r="BH1151" s="1915"/>
    </row>
    <row r="1152" spans="1:60">
      <c r="A1152" s="1"/>
      <c r="B1152" s="1"/>
      <c r="C1152" s="1"/>
      <c r="D1152" s="360" t="s">
        <v>506</v>
      </c>
      <c r="E1152" s="323"/>
      <c r="F1152" s="323"/>
      <c r="G1152" s="323"/>
      <c r="H1152" s="323"/>
      <c r="I1152" s="323"/>
      <c r="J1152" s="323"/>
      <c r="K1152" s="323"/>
      <c r="L1152" s="323"/>
      <c r="M1152" s="323"/>
      <c r="N1152" s="323"/>
      <c r="O1152" s="323"/>
      <c r="P1152" s="323"/>
      <c r="Q1152" s="323"/>
      <c r="R1152" s="323"/>
      <c r="S1152" s="323"/>
      <c r="T1152" s="323"/>
      <c r="U1152" s="323"/>
      <c r="V1152" s="105">
        <v>0</v>
      </c>
      <c r="W1152" s="105">
        <v>0</v>
      </c>
      <c r="X1152" s="105">
        <v>0</v>
      </c>
      <c r="Y1152" s="676">
        <f>FISCinyear!ID846</f>
        <v>0</v>
      </c>
      <c r="Z1152" s="676">
        <f>FISCinyear!IG846</f>
        <v>0</v>
      </c>
      <c r="AA1152" s="676">
        <f>FISCinyear!IJ846</f>
        <v>0</v>
      </c>
      <c r="AB1152" s="676">
        <f>FISCinyear!IM846</f>
        <v>0</v>
      </c>
      <c r="AC1152" s="676">
        <f>FISCinyear!IP846</f>
        <v>0</v>
      </c>
      <c r="AD1152" s="676">
        <f>FISCinyear!IS846</f>
        <v>0</v>
      </c>
      <c r="AE1152" s="105">
        <f>AD1152</f>
        <v>0</v>
      </c>
      <c r="AF1152" s="105">
        <f>FISCinyear!IY846</f>
        <v>0</v>
      </c>
      <c r="AG1152" s="105">
        <f>FISCinyear!JB846</f>
        <v>0</v>
      </c>
      <c r="AH1152" s="105">
        <f>FISCinyear!JE846</f>
        <v>0</v>
      </c>
      <c r="AI1152" s="105">
        <f>FISCinyear!JH846</f>
        <v>0</v>
      </c>
      <c r="AJ1152" s="105">
        <f>FISCinyear!JK846</f>
        <v>52.070578646999998</v>
      </c>
      <c r="AK1152" s="105">
        <v>0</v>
      </c>
      <c r="AL1152" s="105">
        <f t="shared" ref="AL1152:AM1152" si="1432">AK1152</f>
        <v>0</v>
      </c>
      <c r="AM1152" s="105">
        <f t="shared" si="1432"/>
        <v>0</v>
      </c>
      <c r="AN1152" s="105">
        <f t="shared" ref="AN1152" si="1433">AM1152</f>
        <v>0</v>
      </c>
      <c r="AO1152" s="105">
        <f t="shared" ref="AO1152" si="1434">AN1152</f>
        <v>0</v>
      </c>
      <c r="AP1152" s="105">
        <f t="shared" ref="AP1152" si="1435">AO1152</f>
        <v>0</v>
      </c>
      <c r="AQ1152" s="105">
        <f t="shared" ref="AQ1152" si="1436">AP1152</f>
        <v>0</v>
      </c>
      <c r="AR1152" s="105">
        <f t="shared" ref="AR1152" si="1437">AQ1152</f>
        <v>0</v>
      </c>
      <c r="AS1152" s="105">
        <f t="shared" ref="AS1152" si="1438">AR1152</f>
        <v>0</v>
      </c>
      <c r="AT1152" s="105">
        <f t="shared" ref="AT1152:AU1152" si="1439">AS1152</f>
        <v>0</v>
      </c>
      <c r="AU1152" s="105">
        <f t="shared" si="1439"/>
        <v>0</v>
      </c>
      <c r="AV1152" s="105" t="e">
        <f t="shared" si="1365"/>
        <v>#DIV/0!</v>
      </c>
      <c r="AW1152" s="1916"/>
      <c r="AX1152" s="1916"/>
      <c r="AY1152" s="1916"/>
      <c r="AZ1152" s="1916"/>
      <c r="BA1152" s="1916"/>
      <c r="BB1152" s="1916"/>
      <c r="BC1152" s="1916"/>
      <c r="BD1152" s="1916"/>
      <c r="BE1152" s="1916"/>
      <c r="BF1152" s="1916"/>
      <c r="BG1152" s="1916"/>
      <c r="BH1152" s="1915"/>
    </row>
    <row r="1153" spans="1:61">
      <c r="A1153" s="1"/>
      <c r="B1153" s="1"/>
      <c r="C1153" s="1"/>
      <c r="D1153" s="360" t="s">
        <v>507</v>
      </c>
      <c r="E1153" s="323"/>
      <c r="F1153" s="323"/>
      <c r="G1153" s="323"/>
      <c r="H1153" s="323"/>
      <c r="I1153" s="323"/>
      <c r="J1153" s="323"/>
      <c r="K1153" s="323"/>
      <c r="L1153" s="323"/>
      <c r="M1153" s="323"/>
      <c r="N1153" s="323"/>
      <c r="O1153" s="323"/>
      <c r="P1153" s="323"/>
      <c r="Q1153" s="323"/>
      <c r="R1153" s="323"/>
      <c r="S1153" s="323"/>
      <c r="T1153" s="323"/>
      <c r="U1153" s="323"/>
      <c r="V1153" s="105">
        <v>0</v>
      </c>
      <c r="W1153" s="105">
        <v>0</v>
      </c>
      <c r="X1153" s="105">
        <v>0</v>
      </c>
      <c r="Y1153" s="676">
        <f>FISCinyear!ID847</f>
        <v>0</v>
      </c>
      <c r="Z1153" s="676">
        <f>FISCinyear!IG847</f>
        <v>0</v>
      </c>
      <c r="AA1153" s="676">
        <f>FISCinyear!IJ847</f>
        <v>0</v>
      </c>
      <c r="AB1153" s="676">
        <f>FISCinyear!IM847</f>
        <v>0</v>
      </c>
      <c r="AC1153" s="676">
        <f>FISCinyear!IP847</f>
        <v>0</v>
      </c>
      <c r="AD1153" s="676">
        <f>FISCinyear!IS847</f>
        <v>0</v>
      </c>
      <c r="AE1153" s="105">
        <f>AE1154</f>
        <v>10.128484124760766</v>
      </c>
      <c r="AF1153" s="105">
        <f>FISCinyear!IY847</f>
        <v>35.304824174474774</v>
      </c>
      <c r="AG1153" s="105">
        <f>FISCinyear!JB847</f>
        <v>22.485862421</v>
      </c>
      <c r="AH1153" s="105">
        <f>FISCinyear!JE847</f>
        <v>0</v>
      </c>
      <c r="AI1153" s="105">
        <f>FISCinyear!JH847</f>
        <v>0</v>
      </c>
      <c r="AJ1153" s="105">
        <f>FISCinyear!JK847</f>
        <v>0</v>
      </c>
      <c r="AK1153" s="105">
        <v>0</v>
      </c>
      <c r="AL1153" s="105">
        <v>0</v>
      </c>
      <c r="AM1153" s="105">
        <v>0</v>
      </c>
      <c r="AN1153" s="105">
        <v>0</v>
      </c>
      <c r="AO1153" s="105">
        <v>0</v>
      </c>
      <c r="AP1153" s="105">
        <v>0</v>
      </c>
      <c r="AQ1153" s="105">
        <v>0</v>
      </c>
      <c r="AR1153" s="105">
        <v>0</v>
      </c>
      <c r="AS1153" s="105">
        <v>0</v>
      </c>
      <c r="AT1153" s="105">
        <v>0</v>
      </c>
      <c r="AU1153" s="105">
        <v>0</v>
      </c>
      <c r="AV1153" s="105" t="e">
        <f t="shared" si="1365"/>
        <v>#DIV/0!</v>
      </c>
      <c r="AW1153" s="1916"/>
      <c r="AX1153" s="1114"/>
      <c r="AY1153" s="1916"/>
      <c r="AZ1153" s="1916"/>
      <c r="BA1153" s="1916"/>
      <c r="BB1153" s="1916"/>
      <c r="BC1153" s="1916"/>
      <c r="BD1153" s="1916"/>
      <c r="BE1153" s="1916"/>
      <c r="BF1153" s="1916"/>
      <c r="BG1153" s="1916"/>
      <c r="BH1153" s="1915"/>
    </row>
    <row r="1154" spans="1:61">
      <c r="A1154" s="1"/>
      <c r="B1154" s="1"/>
      <c r="C1154" s="1"/>
      <c r="D1154" s="1393" t="s">
        <v>3117</v>
      </c>
      <c r="E1154" s="323"/>
      <c r="F1154" s="323"/>
      <c r="G1154" s="323"/>
      <c r="H1154" s="323"/>
      <c r="I1154" s="323"/>
      <c r="J1154" s="323"/>
      <c r="K1154" s="323"/>
      <c r="L1154" s="323"/>
      <c r="M1154" s="323"/>
      <c r="N1154" s="323"/>
      <c r="O1154" s="323"/>
      <c r="P1154" s="323"/>
      <c r="Q1154" s="323"/>
      <c r="R1154" s="323"/>
      <c r="S1154" s="323"/>
      <c r="T1154" s="323"/>
      <c r="U1154" s="323"/>
      <c r="V1154" s="105"/>
      <c r="W1154" s="105"/>
      <c r="X1154" s="105"/>
      <c r="Y1154" s="676"/>
      <c r="Z1154" s="676"/>
      <c r="AA1154" s="676"/>
      <c r="AB1154" s="676"/>
      <c r="AC1154" s="676"/>
      <c r="AD1154" s="676"/>
      <c r="AE1154" s="1428">
        <f>AE643*AE259/1000</f>
        <v>10.128484124760766</v>
      </c>
      <c r="AF1154" s="105">
        <f>FISCinyear!IY848</f>
        <v>0</v>
      </c>
      <c r="AG1154" s="105">
        <f>FISCinyear!JB848</f>
        <v>22.485862421</v>
      </c>
      <c r="AH1154" s="105">
        <f>FISCinyear!JE848</f>
        <v>0</v>
      </c>
      <c r="AI1154" s="105">
        <f>FISCinyear!JH848</f>
        <v>0</v>
      </c>
      <c r="AJ1154" s="105">
        <f>FISCinyear!JK848</f>
        <v>0</v>
      </c>
      <c r="AK1154" s="105">
        <v>0</v>
      </c>
      <c r="AL1154" s="105">
        <v>0</v>
      </c>
      <c r="AM1154" s="105">
        <v>0</v>
      </c>
      <c r="AN1154" s="105">
        <v>0</v>
      </c>
      <c r="AO1154" s="105">
        <v>0</v>
      </c>
      <c r="AP1154" s="105">
        <v>0</v>
      </c>
      <c r="AQ1154" s="105">
        <v>0</v>
      </c>
      <c r="AR1154" s="105">
        <v>0</v>
      </c>
      <c r="AS1154" s="105">
        <v>0</v>
      </c>
      <c r="AT1154" s="105">
        <v>0</v>
      </c>
      <c r="AU1154" s="105">
        <v>0</v>
      </c>
      <c r="AV1154" s="105" t="e">
        <f t="shared" si="1365"/>
        <v>#DIV/0!</v>
      </c>
      <c r="AW1154" s="1916"/>
      <c r="AX1154" s="1916"/>
      <c r="AY1154" s="1916"/>
      <c r="AZ1154" s="1916"/>
      <c r="BA1154" s="1916"/>
      <c r="BB1154" s="1916"/>
      <c r="BC1154" s="1916"/>
      <c r="BD1154" s="1916"/>
      <c r="BE1154" s="1916"/>
      <c r="BF1154" s="1916"/>
      <c r="BG1154" s="1916"/>
      <c r="BH1154" s="1915"/>
    </row>
    <row r="1155" spans="1:61">
      <c r="A1155" s="1"/>
      <c r="B1155" s="1"/>
      <c r="C1155" s="1"/>
      <c r="D1155" s="1454" t="s">
        <v>3159</v>
      </c>
      <c r="E1155" s="490"/>
      <c r="F1155" s="490"/>
      <c r="G1155" s="490"/>
      <c r="H1155" s="490"/>
      <c r="I1155" s="490"/>
      <c r="J1155" s="490"/>
      <c r="K1155" s="490"/>
      <c r="L1155" s="490"/>
      <c r="M1155" s="490"/>
      <c r="N1155" s="490"/>
      <c r="O1155" s="490"/>
      <c r="P1155" s="490"/>
      <c r="Q1155" s="490"/>
      <c r="R1155" s="490"/>
      <c r="S1155" s="490"/>
      <c r="T1155" s="490"/>
      <c r="U1155" s="490"/>
      <c r="V1155" s="376">
        <v>0</v>
      </c>
      <c r="W1155" s="376">
        <v>0</v>
      </c>
      <c r="X1155" s="376">
        <v>0</v>
      </c>
      <c r="Y1155" s="1385">
        <f>FISCinyear!ID849</f>
        <v>4.2203081299999994</v>
      </c>
      <c r="Z1155" s="1385">
        <f>FISCinyear!IG849</f>
        <v>5.0660000000000007</v>
      </c>
      <c r="AA1155" s="1385">
        <f>FISCinyear!IJ849</f>
        <v>5.6280000000000001</v>
      </c>
      <c r="AB1155" s="1385">
        <f>FISCinyear!IM849</f>
        <v>0</v>
      </c>
      <c r="AC1155" s="1385">
        <f>FISCinyear!IP849</f>
        <v>0</v>
      </c>
      <c r="AD1155" s="1385">
        <f>FISCinyear!IS849</f>
        <v>0</v>
      </c>
      <c r="AE1155" s="1385">
        <f>FISCinyear!IV849</f>
        <v>0</v>
      </c>
      <c r="AF1155" s="1385">
        <f>FISCinyear!IY849</f>
        <v>0</v>
      </c>
      <c r="AG1155" s="1385">
        <f>FISCinyear!JB849</f>
        <v>0</v>
      </c>
      <c r="AH1155" s="1385">
        <f>FISCinyear!JE849</f>
        <v>0</v>
      </c>
      <c r="AI1155" s="1385">
        <f>FISCinyear!JH849</f>
        <v>0</v>
      </c>
      <c r="AJ1155" s="1385">
        <f>FISCinyear!JK849</f>
        <v>0</v>
      </c>
      <c r="AK1155" s="376">
        <v>0</v>
      </c>
      <c r="AL1155" s="376">
        <f t="shared" ref="AL1155:AM1155" si="1440">AK1155</f>
        <v>0</v>
      </c>
      <c r="AM1155" s="376">
        <f t="shared" si="1440"/>
        <v>0</v>
      </c>
      <c r="AN1155" s="376">
        <f t="shared" ref="AN1155" si="1441">AM1155</f>
        <v>0</v>
      </c>
      <c r="AO1155" s="376">
        <f t="shared" ref="AO1155" si="1442">AN1155</f>
        <v>0</v>
      </c>
      <c r="AP1155" s="376">
        <f t="shared" ref="AP1155" si="1443">AO1155</f>
        <v>0</v>
      </c>
      <c r="AQ1155" s="376">
        <f t="shared" ref="AQ1155" si="1444">AP1155</f>
        <v>0</v>
      </c>
      <c r="AR1155" s="376">
        <f t="shared" ref="AR1155" si="1445">AQ1155</f>
        <v>0</v>
      </c>
      <c r="AS1155" s="376">
        <f t="shared" ref="AS1155" si="1446">AR1155</f>
        <v>0</v>
      </c>
      <c r="AT1155" s="376">
        <f t="shared" ref="AT1155:AU1155" si="1447">AS1155</f>
        <v>0</v>
      </c>
      <c r="AU1155" s="376">
        <f t="shared" si="1447"/>
        <v>0</v>
      </c>
      <c r="AV1155" s="376" t="e">
        <f t="shared" si="1365"/>
        <v>#DIV/0!</v>
      </c>
      <c r="AW1155" s="1916"/>
      <c r="AX1155" s="1916"/>
      <c r="AY1155" s="1916"/>
      <c r="AZ1155" s="1916"/>
      <c r="BA1155" s="1916"/>
      <c r="BB1155" s="1916"/>
      <c r="BC1155" s="1916"/>
      <c r="BD1155" s="1916"/>
      <c r="BE1155" s="1916"/>
      <c r="BF1155" s="1916"/>
      <c r="BG1155" s="1916"/>
      <c r="BH1155" s="1915"/>
    </row>
    <row r="1156" spans="1:61">
      <c r="A1156" s="1"/>
      <c r="B1156" s="1"/>
      <c r="C1156" s="1"/>
      <c r="D1156" s="356" t="str">
        <f>+FISCinyear!D850</f>
        <v xml:space="preserve">EXPENSE </v>
      </c>
      <c r="E1156" s="490"/>
      <c r="F1156" s="490"/>
      <c r="G1156" s="490"/>
      <c r="H1156" s="490"/>
      <c r="I1156" s="490"/>
      <c r="J1156" s="490"/>
      <c r="K1156" s="490"/>
      <c r="L1156" s="490"/>
      <c r="M1156" s="490"/>
      <c r="N1156" s="490"/>
      <c r="O1156" s="490"/>
      <c r="P1156" s="490"/>
      <c r="Q1156" s="490"/>
      <c r="R1156" s="490"/>
      <c r="S1156" s="490"/>
      <c r="T1156" s="490"/>
      <c r="U1156" s="490"/>
      <c r="V1156" s="376">
        <f>+V1157+V1159+V1188+V1198+V1206</f>
        <v>511.39571000000001</v>
      </c>
      <c r="W1156" s="376">
        <f>+W1157+W1159+W1188+W1198+W1206</f>
        <v>614.1</v>
      </c>
      <c r="X1156" s="376">
        <f>+X1157+X1159+X1188+X1198+X1206</f>
        <v>660.90000000000009</v>
      </c>
      <c r="Y1156" s="1385">
        <f>FISCinyear!ID850</f>
        <v>903.06533710626275</v>
      </c>
      <c r="Z1156" s="1385">
        <f>FISCinyear!IG850</f>
        <v>987.20422279108391</v>
      </c>
      <c r="AA1156" s="1385">
        <f>FISCinyear!IJ850</f>
        <v>1146.9565422527439</v>
      </c>
      <c r="AB1156" s="1385">
        <f>FISCinyear!IM850</f>
        <v>1323.4574341216144</v>
      </c>
      <c r="AC1156" s="1385">
        <f>FISCinyear!IP850</f>
        <v>1436.9221960448904</v>
      </c>
      <c r="AD1156" s="1385">
        <f>FISCinyear!IS850</f>
        <v>1666.8635925906065</v>
      </c>
      <c r="AE1156" s="1385">
        <f>FISCinyear!IV850</f>
        <v>1901.1315501950596</v>
      </c>
      <c r="AF1156" s="1385">
        <f>FISCinyear!IY850</f>
        <v>2089.3574379793054</v>
      </c>
      <c r="AG1156" s="1385">
        <f>FISCinyear!JB850</f>
        <v>2467.9009633912874</v>
      </c>
      <c r="AH1156" s="376">
        <f t="shared" ref="AH1156:AU1156" si="1448">+AH1157+AH1159+AH1188+AH1198+AH1206+AH1222+AH1224</f>
        <v>2856.6946330541014</v>
      </c>
      <c r="AI1156" s="376">
        <f t="shared" si="1448"/>
        <v>3172.9419577729877</v>
      </c>
      <c r="AJ1156" s="376">
        <f t="shared" si="1448"/>
        <v>3416.753044465333</v>
      </c>
      <c r="AK1156" s="376">
        <f t="shared" si="1448"/>
        <v>3895.9269711552479</v>
      </c>
      <c r="AL1156" s="376">
        <f t="shared" si="1448"/>
        <v>4489.6942017899255</v>
      </c>
      <c r="AM1156" s="376">
        <f t="shared" si="1448"/>
        <v>5033.8027871301183</v>
      </c>
      <c r="AN1156" s="376">
        <f t="shared" si="1448"/>
        <v>5488.6195635446302</v>
      </c>
      <c r="AO1156" s="376">
        <f t="shared" si="1448"/>
        <v>6284.9673202266658</v>
      </c>
      <c r="AP1156" s="376">
        <f t="shared" si="1448"/>
        <v>7156.0094859466881</v>
      </c>
      <c r="AQ1156" s="376">
        <f t="shared" si="1448"/>
        <v>8401.4442170589591</v>
      </c>
      <c r="AR1156" s="376">
        <f t="shared" si="1448"/>
        <v>9434.7509286968398</v>
      </c>
      <c r="AS1156" s="376">
        <f t="shared" si="1448"/>
        <v>10696.364870455149</v>
      </c>
      <c r="AT1156" s="376">
        <f t="shared" si="1448"/>
        <v>13834.13037105924</v>
      </c>
      <c r="AU1156" s="376">
        <f t="shared" si="1448"/>
        <v>17834.618311818103</v>
      </c>
      <c r="AV1156" s="376">
        <f t="shared" si="1365"/>
        <v>0.29334877209275434</v>
      </c>
      <c r="AW1156" s="2724"/>
      <c r="AX1156" s="2724"/>
      <c r="AY1156" s="2724"/>
      <c r="AZ1156" s="2724"/>
      <c r="BA1156" s="1916"/>
      <c r="BB1156" s="1916"/>
      <c r="BC1156" s="1916"/>
      <c r="BD1156" s="1916"/>
      <c r="BE1156" s="1916"/>
      <c r="BF1156" s="1916"/>
      <c r="BG1156" s="1916"/>
      <c r="BH1156" s="1915"/>
    </row>
    <row r="1157" spans="1:61">
      <c r="A1157" s="1"/>
      <c r="B1157" s="1"/>
      <c r="C1157" s="1"/>
      <c r="D1157" s="357" t="str">
        <f>+FISCinyear!D851</f>
        <v xml:space="preserve">Compensation of employees </v>
      </c>
      <c r="E1157" s="323"/>
      <c r="F1157" s="323"/>
      <c r="G1157" s="323"/>
      <c r="H1157" s="323"/>
      <c r="I1157" s="323"/>
      <c r="J1157" s="323"/>
      <c r="K1157" s="323"/>
      <c r="L1157" s="323"/>
      <c r="M1157" s="323"/>
      <c r="N1157" s="323"/>
      <c r="O1157" s="323"/>
      <c r="P1157" s="323"/>
      <c r="Q1157" s="323"/>
      <c r="R1157" s="323"/>
      <c r="S1157" s="323"/>
      <c r="T1157" s="323"/>
      <c r="U1157" s="323">
        <v>0</v>
      </c>
      <c r="V1157" s="105">
        <f>+V789+V816</f>
        <v>180.32915428176796</v>
      </c>
      <c r="W1157" s="105">
        <f>+W789+W816</f>
        <v>214</v>
      </c>
      <c r="X1157" s="105">
        <f>+X789+X816</f>
        <v>258.5</v>
      </c>
      <c r="Y1157" s="1398">
        <f>FISCinyear!ID851</f>
        <v>177.309138545</v>
      </c>
      <c r="Z1157" s="676">
        <f>FISCinyear!IG851</f>
        <v>187.50813387599999</v>
      </c>
      <c r="AA1157" s="676">
        <f>FISCinyear!IJ851</f>
        <v>214.76086487499998</v>
      </c>
      <c r="AB1157" s="676">
        <f>FISCinyear!IM851</f>
        <v>236.99999213499999</v>
      </c>
      <c r="AC1157" s="676">
        <f>FISCinyear!IP851</f>
        <v>251.71972672700002</v>
      </c>
      <c r="AD1157" s="1398">
        <f>FISCinyear!IS851</f>
        <v>241.88892202</v>
      </c>
      <c r="AE1157" s="676">
        <f>FISCinyear!IV851</f>
        <v>266.32706490700002</v>
      </c>
      <c r="AF1157" s="676">
        <f>FISCinyear!IY851</f>
        <v>302.26335928600002</v>
      </c>
      <c r="AG1157" s="676">
        <f>FISCinyear!JB851</f>
        <v>317.73342893999995</v>
      </c>
      <c r="AH1157" s="676">
        <f>FISCinyear!JE851</f>
        <v>367.71383238600004</v>
      </c>
      <c r="AI1157" s="676">
        <f>FISCinyear!JH851</f>
        <v>467.40752950900003</v>
      </c>
      <c r="AJ1157" s="676">
        <f>FISCinyear!JK851</f>
        <v>569.07111207999992</v>
      </c>
      <c r="AK1157" s="105">
        <f>(AJ1157)*(1+AK649)</f>
        <v>673.21571377579289</v>
      </c>
      <c r="AL1157" s="105">
        <f t="shared" ref="AL1157:AV1157" si="1449">(AK1157)*(1+AL649)</f>
        <v>757.76075141096021</v>
      </c>
      <c r="AM1157" s="105">
        <f t="shared" si="1449"/>
        <v>858.27832537670611</v>
      </c>
      <c r="AN1157" s="105">
        <f t="shared" si="1449"/>
        <v>969.83545258185904</v>
      </c>
      <c r="AO1157" s="105">
        <f t="shared" si="1449"/>
        <v>1093.289132974156</v>
      </c>
      <c r="AP1157" s="105">
        <f t="shared" si="1449"/>
        <v>1227.9823541565722</v>
      </c>
      <c r="AQ1157" s="105">
        <f t="shared" si="1449"/>
        <v>1379.2697801886623</v>
      </c>
      <c r="AR1157" s="105">
        <f t="shared" si="1449"/>
        <v>1549.1958171079057</v>
      </c>
      <c r="AS1157" s="105">
        <f t="shared" si="1449"/>
        <v>1740.0567417755999</v>
      </c>
      <c r="AT1157" s="105">
        <f t="shared" si="1449"/>
        <v>1954.4317323623541</v>
      </c>
      <c r="AU1157" s="105">
        <f t="shared" si="1449"/>
        <v>1954.4317323623541</v>
      </c>
      <c r="AV1157" s="105">
        <f t="shared" si="1449"/>
        <v>1954.4317323623541</v>
      </c>
      <c r="AW1157" s="1916"/>
      <c r="AX1157" s="1916"/>
      <c r="AY1157" s="1916"/>
      <c r="AZ1157" s="1916"/>
      <c r="BA1157" s="1916"/>
      <c r="BB1157" s="1916"/>
      <c r="BC1157" s="1916"/>
      <c r="BD1157" s="1916"/>
      <c r="BE1157" s="1916"/>
      <c r="BF1157" s="1916"/>
      <c r="BG1157" s="1916"/>
      <c r="BH1157" s="1915"/>
    </row>
    <row r="1158" spans="1:61">
      <c r="A1158" s="1"/>
      <c r="B1158" s="1"/>
      <c r="C1158" s="1"/>
      <c r="D1158" s="1393" t="s">
        <v>3173</v>
      </c>
      <c r="E1158" s="323"/>
      <c r="F1158" s="323"/>
      <c r="G1158" s="323"/>
      <c r="H1158" s="323"/>
      <c r="I1158" s="323"/>
      <c r="J1158" s="323"/>
      <c r="K1158" s="323"/>
      <c r="L1158" s="323"/>
      <c r="M1158" s="323"/>
      <c r="N1158" s="323"/>
      <c r="O1158" s="323"/>
      <c r="P1158" s="323"/>
      <c r="Q1158" s="323"/>
      <c r="R1158" s="323"/>
      <c r="S1158" s="323"/>
      <c r="T1158" s="323"/>
      <c r="U1158" s="323"/>
      <c r="V1158" s="105"/>
      <c r="W1158" s="105"/>
      <c r="X1158" s="105"/>
      <c r="Y1158" s="1398"/>
      <c r="Z1158" s="676"/>
      <c r="AA1158" s="676"/>
      <c r="AB1158" s="676"/>
      <c r="AC1158" s="676"/>
      <c r="AD1158" s="1398"/>
      <c r="AE1158" s="676"/>
      <c r="AF1158" s="676">
        <f>FISCinyear!IY852</f>
        <v>30.456305773067402</v>
      </c>
      <c r="AG1158" s="676">
        <f>FISCinyear!JB852</f>
        <v>0</v>
      </c>
      <c r="AH1158" s="676">
        <f>FISCinyear!JE852</f>
        <v>0</v>
      </c>
      <c r="AI1158" s="676">
        <f>FISCinyear!JH852</f>
        <v>0</v>
      </c>
      <c r="AJ1158" s="676">
        <f>FISCinyear!JK852</f>
        <v>0</v>
      </c>
      <c r="AK1158" s="105"/>
      <c r="AL1158" s="105"/>
      <c r="AM1158" s="105"/>
      <c r="AN1158" s="105"/>
      <c r="AO1158" s="105"/>
      <c r="AP1158" s="105"/>
      <c r="AQ1158" s="105"/>
      <c r="AR1158" s="105"/>
      <c r="AS1158" s="105"/>
      <c r="AT1158" s="105"/>
      <c r="AU1158" s="105"/>
      <c r="AV1158" s="105" t="e">
        <f t="shared" si="1365"/>
        <v>#DIV/0!</v>
      </c>
      <c r="AW1158" s="1916"/>
      <c r="AX1158" s="1">
        <v>0</v>
      </c>
      <c r="AY1158" s="1">
        <v>0</v>
      </c>
      <c r="AZ1158" s="1">
        <v>-24.138277851807288</v>
      </c>
      <c r="BA1158" s="1">
        <v>-60.56140012283231</v>
      </c>
      <c r="BB1158" s="1">
        <v>-63.792878836535237</v>
      </c>
      <c r="BC1158" s="1916">
        <v>-72.094502384243242</v>
      </c>
      <c r="BD1158" s="1916"/>
      <c r="BE1158" s="1916"/>
      <c r="BF1158" s="1916"/>
      <c r="BG1158" s="1916"/>
      <c r="BH1158" s="1915"/>
    </row>
    <row r="1159" spans="1:61">
      <c r="A1159" s="1"/>
      <c r="B1159" s="1"/>
      <c r="C1159" s="1"/>
      <c r="D1159" s="357" t="str">
        <f>+FISCinyear!D853</f>
        <v xml:space="preserve">Use of goods and services </v>
      </c>
      <c r="E1159" s="323"/>
      <c r="F1159" s="323"/>
      <c r="G1159" s="323"/>
      <c r="H1159" s="323"/>
      <c r="I1159" s="323"/>
      <c r="J1159" s="323"/>
      <c r="K1159" s="323"/>
      <c r="L1159" s="323"/>
      <c r="M1159" s="323"/>
      <c r="N1159" s="323"/>
      <c r="O1159" s="323"/>
      <c r="P1159" s="323"/>
      <c r="Q1159" s="323"/>
      <c r="R1159" s="323"/>
      <c r="S1159" s="323"/>
      <c r="T1159" s="323"/>
      <c r="U1159" s="323"/>
      <c r="V1159" s="105">
        <f>+V793+V818</f>
        <v>192.21753999999999</v>
      </c>
      <c r="W1159" s="105">
        <f>+W793+W818</f>
        <v>225.3</v>
      </c>
      <c r="X1159" s="105">
        <f>+X793+X818</f>
        <v>203.5</v>
      </c>
      <c r="Y1159" s="676">
        <f>FISCinyear!ID853</f>
        <v>278.613616374</v>
      </c>
      <c r="Z1159" s="676">
        <f>FISCinyear!IG853</f>
        <v>256.967540977</v>
      </c>
      <c r="AA1159" s="676">
        <f>FISCinyear!IJ853</f>
        <v>329.76520424299997</v>
      </c>
      <c r="AB1159" s="676">
        <f>FISCinyear!IM853</f>
        <v>427.20220221199997</v>
      </c>
      <c r="AC1159" s="676">
        <f>FISCinyear!IP853</f>
        <v>442.45447598700002</v>
      </c>
      <c r="AD1159" s="676">
        <f>FISCinyear!IS853</f>
        <v>482.06752374844802</v>
      </c>
      <c r="AE1159" s="676">
        <f>FISCinyear!IV853</f>
        <v>572.34668941100017</v>
      </c>
      <c r="AF1159" s="676">
        <f>FISCinyear!IY853</f>
        <v>623.976412063</v>
      </c>
      <c r="AG1159" s="676">
        <f>FISCinyear!JB853</f>
        <v>688.41308788700007</v>
      </c>
      <c r="AH1159" s="676">
        <f>FISCinyear!JE853</f>
        <v>743.2</v>
      </c>
      <c r="AI1159" s="676">
        <f>FISCinyear!JH853</f>
        <v>798.7</v>
      </c>
      <c r="AJ1159" s="676">
        <f>FISCinyear!JK853</f>
        <v>803.854203611</v>
      </c>
      <c r="AK1159" s="105">
        <f>(AJ1159-AJ1185-AJ1160)*(1+AK661)+AK1185+SUM(AK1170:AK1183)</f>
        <v>870.03717424352874</v>
      </c>
      <c r="AL1159" s="105">
        <f>(AK1159-AK1185)*(1+AL661)+AL1185+SUM(AL1170:AL1183)</f>
        <v>1035.0512495823102</v>
      </c>
      <c r="AM1159" s="105">
        <f>(AL1159-AL1185)*(1+AM661)+AM1185+SUM(AM1170:AM1183)</f>
        <v>1186.7115082119838</v>
      </c>
      <c r="AN1159" s="105">
        <f>(AM1159-AM1185)*(1+AN661)+AN1185+SUM(AN1170:AN1183)</f>
        <v>1340.4186662978084</v>
      </c>
      <c r="AO1159" s="105">
        <f>(AN1159-AN1185)*(1+AO661)+AO1185+SUM(AO1170:AO1183)</f>
        <v>1540.2745906092016</v>
      </c>
      <c r="AP1159" s="105">
        <f t="shared" ref="AP1159:AT1159" si="1450">(AO1159-AO1185)*(1+AP661)+AP1185+SUM(AP1170:AP1183)</f>
        <v>1766.5812188242917</v>
      </c>
      <c r="AQ1159" s="105">
        <f t="shared" si="1450"/>
        <v>2093.0564447315232</v>
      </c>
      <c r="AR1159" s="105">
        <f t="shared" si="1450"/>
        <v>2412.2042852819268</v>
      </c>
      <c r="AS1159" s="105">
        <f t="shared" si="1450"/>
        <v>2788.7826754582316</v>
      </c>
      <c r="AT1159" s="105">
        <f t="shared" si="1450"/>
        <v>3795.3055081747375</v>
      </c>
      <c r="AU1159" s="105">
        <f t="shared" si="1364"/>
        <v>5165.1008976576813</v>
      </c>
      <c r="AV1159" s="105">
        <f t="shared" si="1365"/>
        <v>0.36091834676616452</v>
      </c>
      <c r="AX1159" s="1">
        <f>[1]FISC!AK$1159-SUM([1]FISC!AK$1170:AK$1183)</f>
        <v>811.95704392121002</v>
      </c>
      <c r="AY1159" s="3053">
        <f>[1]FISC!AL$1159-SUM([1]FISC!AL$1170:AL$1183)</f>
        <v>953.03262705352734</v>
      </c>
      <c r="AZ1159" s="3053">
        <f>[1]FISC!AM$1159-SUM([1]FISC!AM$1170:AM$1183)</f>
        <v>1111.7079739237056</v>
      </c>
      <c r="BA1159" s="3053">
        <f>[1]FISC!AN$1159-SUM([1]FISC!AN$1170:AN$1183)</f>
        <v>1258.7964329157498</v>
      </c>
      <c r="BB1159" s="3053">
        <f>[1]FISC!AO$1159-SUM([1]FISC!AO$1170:AO$1183)</f>
        <v>1462.4671675425673</v>
      </c>
      <c r="BC1159" s="3053">
        <f>[1]FISC!AP$1159-SUM([1]FISC!AP$1170:AP$1183)</f>
        <v>1688.3736227050374</v>
      </c>
      <c r="BH1159" s="1758"/>
      <c r="BI1159" s="1758"/>
    </row>
    <row r="1160" spans="1:61">
      <c r="A1160" s="1"/>
      <c r="B1160" s="1"/>
      <c r="C1160" s="1"/>
      <c r="D1160" s="1393" t="s">
        <v>3570</v>
      </c>
      <c r="E1160" s="323"/>
      <c r="F1160" s="323"/>
      <c r="G1160" s="323"/>
      <c r="H1160" s="323"/>
      <c r="I1160" s="323"/>
      <c r="J1160" s="323"/>
      <c r="K1160" s="323"/>
      <c r="L1160" s="323"/>
      <c r="M1160" s="323"/>
      <c r="N1160" s="323"/>
      <c r="O1160" s="323"/>
      <c r="P1160" s="323"/>
      <c r="Q1160" s="323"/>
      <c r="R1160" s="323"/>
      <c r="S1160" s="323"/>
      <c r="T1160" s="323"/>
      <c r="U1160" s="323"/>
      <c r="V1160" s="105"/>
      <c r="W1160" s="105"/>
      <c r="X1160" s="105"/>
      <c r="Y1160" s="676"/>
      <c r="Z1160" s="676"/>
      <c r="AA1160" s="676"/>
      <c r="AB1160" s="676"/>
      <c r="AC1160" s="676"/>
      <c r="AD1160" s="676"/>
      <c r="AE1160" s="676"/>
      <c r="AF1160" s="676"/>
      <c r="AG1160" s="676"/>
      <c r="AH1160" s="676"/>
      <c r="AI1160" s="676"/>
      <c r="AJ1160" s="676"/>
      <c r="AK1160" s="105"/>
      <c r="AL1160" s="105"/>
      <c r="AM1160" s="105"/>
      <c r="AN1160" s="105"/>
      <c r="AO1160" s="105"/>
      <c r="AP1160" s="105"/>
      <c r="AQ1160" s="105"/>
      <c r="AR1160" s="105"/>
      <c r="AS1160" s="105"/>
      <c r="AT1160" s="105"/>
      <c r="AU1160" s="105"/>
      <c r="AV1160" s="105" t="e">
        <f t="shared" si="1365"/>
        <v>#DIV/0!</v>
      </c>
      <c r="AX1160" s="1">
        <f>AX1159-AX1158</f>
        <v>811.95704392121002</v>
      </c>
      <c r="AY1160" s="3053">
        <f>AY1159-(AY1158*35%)</f>
        <v>953.03262705352734</v>
      </c>
      <c r="AZ1160" s="3053">
        <f t="shared" ref="AZ1160:BC1160" si="1451">AZ1159-(AZ1158*35%)</f>
        <v>1120.1563711718381</v>
      </c>
      <c r="BA1160" s="3053">
        <f t="shared" si="1451"/>
        <v>1279.9929229587412</v>
      </c>
      <c r="BB1160" s="3053">
        <f t="shared" si="1451"/>
        <v>1484.7946751353545</v>
      </c>
      <c r="BC1160" s="3053">
        <f t="shared" si="1451"/>
        <v>1713.6066985395225</v>
      </c>
      <c r="BH1160" s="1915"/>
    </row>
    <row r="1161" spans="1:61">
      <c r="A1161" s="1"/>
      <c r="B1161" s="1"/>
      <c r="C1161" s="1"/>
      <c r="D1161" s="1393" t="s">
        <v>3585</v>
      </c>
      <c r="E1161" s="323"/>
      <c r="F1161" s="323"/>
      <c r="G1161" s="323"/>
      <c r="H1161" s="323"/>
      <c r="I1161" s="323"/>
      <c r="J1161" s="323"/>
      <c r="K1161" s="323"/>
      <c r="L1161" s="323"/>
      <c r="M1161" s="323"/>
      <c r="N1161" s="323"/>
      <c r="O1161" s="323"/>
      <c r="P1161" s="323"/>
      <c r="Q1161" s="323"/>
      <c r="R1161" s="323"/>
      <c r="S1161" s="323"/>
      <c r="T1161" s="323"/>
      <c r="U1161" s="323"/>
      <c r="V1161" s="105"/>
      <c r="W1161" s="105"/>
      <c r="X1161" s="105"/>
      <c r="Y1161" s="676"/>
      <c r="Z1161" s="676"/>
      <c r="AA1161" s="676"/>
      <c r="AB1161" s="676"/>
      <c r="AC1161" s="676"/>
      <c r="AD1161" s="676"/>
      <c r="AE1161" s="676"/>
      <c r="AF1161" s="676"/>
      <c r="AG1161" s="676"/>
      <c r="AH1161" s="676"/>
      <c r="AI1161" s="676"/>
      <c r="AJ1161" s="676"/>
      <c r="AK1161" s="105">
        <v>0</v>
      </c>
      <c r="AL1161" s="105"/>
      <c r="AM1161" s="105"/>
      <c r="AN1161" s="105"/>
      <c r="AO1161" s="105"/>
      <c r="AP1161" s="105"/>
      <c r="AQ1161" s="105"/>
      <c r="AR1161" s="105"/>
      <c r="AS1161" s="105"/>
      <c r="AT1161" s="105"/>
      <c r="AU1161" s="105"/>
      <c r="AV1161" s="105" t="e">
        <f t="shared" si="1365"/>
        <v>#DIV/0!</v>
      </c>
      <c r="AX1161" s="1">
        <f>AX1160/AJ1159-1</f>
        <v>1.0079987482569885E-2</v>
      </c>
      <c r="AY1161" s="3053">
        <f t="shared" ref="AY1161:BC1161" si="1452">AY1160/AK1159-1</f>
        <v>9.5392996146584919E-2</v>
      </c>
      <c r="AZ1161" s="3053">
        <f t="shared" si="1452"/>
        <v>8.2223099217426876E-2</v>
      </c>
      <c r="BA1161" s="3053">
        <f t="shared" si="1452"/>
        <v>7.8604963465218614E-2</v>
      </c>
      <c r="BB1161" s="3053">
        <f t="shared" si="1452"/>
        <v>0.10770963764351915</v>
      </c>
      <c r="BC1161" s="3053">
        <f t="shared" si="1452"/>
        <v>0.11253325153001814</v>
      </c>
      <c r="BH1161" s="1915"/>
    </row>
    <row r="1162" spans="1:61">
      <c r="A1162" s="1"/>
      <c r="B1162" s="1"/>
      <c r="C1162" s="1"/>
      <c r="D1162" s="1393" t="s">
        <v>3120</v>
      </c>
      <c r="E1162" s="323"/>
      <c r="F1162" s="323"/>
      <c r="G1162" s="323"/>
      <c r="H1162" s="323"/>
      <c r="I1162" s="323"/>
      <c r="J1162" s="323"/>
      <c r="K1162" s="323"/>
      <c r="L1162" s="323"/>
      <c r="M1162" s="323"/>
      <c r="N1162" s="323"/>
      <c r="O1162" s="323"/>
      <c r="P1162" s="323"/>
      <c r="Q1162" s="323"/>
      <c r="R1162" s="323"/>
      <c r="S1162" s="323"/>
      <c r="T1162" s="323"/>
      <c r="U1162" s="323"/>
      <c r="V1162" s="105"/>
      <c r="W1162" s="105"/>
      <c r="X1162" s="105"/>
      <c r="Y1162" s="676"/>
      <c r="Z1162" s="676"/>
      <c r="AA1162" s="676"/>
      <c r="AB1162" s="676"/>
      <c r="AC1162" s="676"/>
      <c r="AD1162" s="676"/>
      <c r="AE1162" s="1476">
        <v>64.8</v>
      </c>
      <c r="AF1162" s="1476">
        <f>FISCinyear!IY856</f>
        <v>11.463177382</v>
      </c>
      <c r="AG1162" s="1476">
        <f>FISCinyear!JB856</f>
        <v>0</v>
      </c>
      <c r="AH1162" s="1476">
        <f>FISCinyear!JE856</f>
        <v>0</v>
      </c>
      <c r="AI1162" s="1476">
        <f>FISCinyear!JH856</f>
        <v>0</v>
      </c>
      <c r="AJ1162" s="1476">
        <f>FISCinyear!JK856</f>
        <v>0</v>
      </c>
      <c r="AK1162" s="1477"/>
      <c r="AL1162" s="1478"/>
      <c r="AM1162" s="1478"/>
      <c r="AN1162" s="1478"/>
      <c r="AO1162" s="1478"/>
      <c r="AP1162" s="1478"/>
      <c r="AQ1162" s="1478"/>
      <c r="AR1162" s="1478"/>
      <c r="AS1162" s="1478"/>
      <c r="AT1162" s="1478"/>
      <c r="AU1162" s="1478"/>
      <c r="AV1162" s="1478" t="e">
        <f t="shared" si="1365"/>
        <v>#DIV/0!</v>
      </c>
      <c r="AX1162" s="1">
        <f>AX1161/AK422</f>
        <v>6.0056509997833039E-2</v>
      </c>
      <c r="AY1162" s="3053">
        <f t="shared" ref="AY1162:BC1162" si="1453">AY1161/AL422</f>
        <v>0.67706745797508783</v>
      </c>
      <c r="AZ1162" s="3053">
        <f t="shared" si="1453"/>
        <v>0.65032049508962297</v>
      </c>
      <c r="BA1162" s="3053">
        <f t="shared" si="1453"/>
        <v>0.61288197631423214</v>
      </c>
      <c r="BB1162" s="3053">
        <f t="shared" si="1453"/>
        <v>0.86295350374516577</v>
      </c>
      <c r="BC1162" s="3053">
        <f t="shared" si="1453"/>
        <v>0.98070214636185471</v>
      </c>
      <c r="BD1162" s="1916"/>
      <c r="BE1162" s="1916"/>
      <c r="BF1162" s="1916"/>
      <c r="BG1162" s="1916"/>
      <c r="BH1162" s="1915"/>
    </row>
    <row r="1163" spans="1:61">
      <c r="A1163" s="1"/>
      <c r="B1163" s="1"/>
      <c r="C1163" s="1"/>
      <c r="D1163" s="1394" t="s">
        <v>3139</v>
      </c>
      <c r="E1163" s="323"/>
      <c r="F1163" s="323"/>
      <c r="G1163" s="323"/>
      <c r="H1163" s="323"/>
      <c r="I1163" s="323"/>
      <c r="J1163" s="323"/>
      <c r="K1163" s="323"/>
      <c r="L1163" s="323"/>
      <c r="M1163" s="323"/>
      <c r="N1163" s="323"/>
      <c r="O1163" s="323"/>
      <c r="P1163" s="323"/>
      <c r="Q1163" s="323"/>
      <c r="R1163" s="323"/>
      <c r="S1163" s="323"/>
      <c r="T1163" s="323"/>
      <c r="U1163" s="323"/>
      <c r="V1163" s="105"/>
      <c r="W1163" s="105"/>
      <c r="X1163" s="105"/>
      <c r="Y1163" s="676"/>
      <c r="Z1163" s="676"/>
      <c r="AA1163" s="676"/>
      <c r="AB1163" s="676"/>
      <c r="AC1163" s="676"/>
      <c r="AD1163" s="676"/>
      <c r="AE1163" s="1479"/>
      <c r="AF1163" s="1479">
        <f>FISCinyear!IY857</f>
        <v>0</v>
      </c>
      <c r="AG1163" s="1479">
        <f>FISCinyear!JB857</f>
        <v>0</v>
      </c>
      <c r="AH1163" s="1479">
        <f>FISCinyear!JE857</f>
        <v>0</v>
      </c>
      <c r="AI1163" s="1479">
        <f>FISCinyear!JH857</f>
        <v>0</v>
      </c>
      <c r="AJ1163" s="1479">
        <f>FISCinyear!JK857</f>
        <v>0</v>
      </c>
      <c r="AK1163" s="1480"/>
      <c r="AL1163" s="1481"/>
      <c r="AM1163" s="1481"/>
      <c r="AN1163" s="1481"/>
      <c r="AO1163" s="1481"/>
      <c r="AP1163" s="1481"/>
      <c r="AQ1163" s="1481"/>
      <c r="AR1163" s="1481"/>
      <c r="AS1163" s="1481"/>
      <c r="AT1163" s="1481"/>
      <c r="AU1163" s="1481"/>
      <c r="AV1163" s="1481" t="e">
        <f t="shared" si="1365"/>
        <v>#DIV/0!</v>
      </c>
      <c r="AW1163" s="1916"/>
      <c r="AX1163" s="1916"/>
      <c r="AY1163" s="1916"/>
      <c r="AZ1163" s="1916"/>
      <c r="BA1163" s="1916"/>
      <c r="BB1163" s="1916"/>
      <c r="BC1163" s="1916"/>
      <c r="BD1163" s="1916"/>
      <c r="BE1163" s="1916"/>
      <c r="BF1163" s="1916"/>
      <c r="BG1163" s="1916"/>
      <c r="BH1163" s="1915"/>
    </row>
    <row r="1164" spans="1:61">
      <c r="A1164" s="1"/>
      <c r="B1164" s="1"/>
      <c r="C1164" s="1"/>
      <c r="D1164" s="1393" t="s">
        <v>3121</v>
      </c>
      <c r="E1164" s="323"/>
      <c r="F1164" s="323"/>
      <c r="G1164" s="323"/>
      <c r="H1164" s="323"/>
      <c r="I1164" s="323"/>
      <c r="J1164" s="323"/>
      <c r="K1164" s="323"/>
      <c r="L1164" s="323"/>
      <c r="M1164" s="323"/>
      <c r="N1164" s="323"/>
      <c r="O1164" s="323"/>
      <c r="P1164" s="323"/>
      <c r="Q1164" s="323"/>
      <c r="R1164" s="323"/>
      <c r="S1164" s="323"/>
      <c r="T1164" s="323"/>
      <c r="U1164" s="323"/>
      <c r="V1164" s="105"/>
      <c r="W1164" s="105"/>
      <c r="X1164" s="105"/>
      <c r="Y1164" s="676"/>
      <c r="Z1164" s="676"/>
      <c r="AA1164" s="676"/>
      <c r="AB1164" s="676"/>
      <c r="AC1164" s="676"/>
      <c r="AD1164" s="676"/>
      <c r="AE1164" s="1397">
        <v>32.799999999999997</v>
      </c>
      <c r="AF1164" s="1397">
        <f>FISCinyear!IY858</f>
        <v>0</v>
      </c>
      <c r="AG1164" s="1397">
        <f>FISCinyear!JB858</f>
        <v>0</v>
      </c>
      <c r="AH1164" s="1397">
        <f>FISCinyear!JE858</f>
        <v>0</v>
      </c>
      <c r="AI1164" s="1397">
        <f>FISCinyear!JH858</f>
        <v>0</v>
      </c>
      <c r="AJ1164" s="1397">
        <f>FISCinyear!JK858</f>
        <v>0</v>
      </c>
      <c r="AK1164" s="931"/>
      <c r="AL1164" s="105"/>
      <c r="AM1164" s="105"/>
      <c r="AN1164" s="105"/>
      <c r="AO1164" s="105"/>
      <c r="AP1164" s="105"/>
      <c r="AQ1164" s="105"/>
      <c r="AR1164" s="105"/>
      <c r="AS1164" s="105"/>
      <c r="AT1164" s="105"/>
      <c r="AU1164" s="105"/>
      <c r="AV1164" s="105" t="e">
        <f t="shared" si="1365"/>
        <v>#DIV/0!</v>
      </c>
      <c r="AW1164" s="1916"/>
      <c r="AX1164" s="1916"/>
      <c r="AY1164" s="1916"/>
      <c r="AZ1164" s="1916"/>
      <c r="BA1164" s="1916"/>
      <c r="BB1164" s="1916"/>
      <c r="BC1164" s="1916"/>
      <c r="BD1164" s="1916"/>
      <c r="BE1164" s="1916"/>
      <c r="BF1164" s="1916"/>
      <c r="BG1164" s="1916"/>
      <c r="BH1164" s="1915"/>
    </row>
    <row r="1165" spans="1:61">
      <c r="A1165" s="1"/>
      <c r="B1165" s="1"/>
      <c r="C1165" s="1"/>
      <c r="D1165" s="1393" t="s">
        <v>3051</v>
      </c>
      <c r="E1165" s="323"/>
      <c r="F1165" s="323"/>
      <c r="G1165" s="323"/>
      <c r="H1165" s="323"/>
      <c r="I1165" s="323"/>
      <c r="J1165" s="323"/>
      <c r="K1165" s="323"/>
      <c r="L1165" s="323"/>
      <c r="M1165" s="323"/>
      <c r="N1165" s="323"/>
      <c r="O1165" s="323"/>
      <c r="P1165" s="323"/>
      <c r="Q1165" s="323"/>
      <c r="R1165" s="323"/>
      <c r="S1165" s="323"/>
      <c r="T1165" s="323"/>
      <c r="U1165" s="323"/>
      <c r="V1165" s="105"/>
      <c r="W1165" s="105"/>
      <c r="X1165" s="105"/>
      <c r="Y1165" s="676"/>
      <c r="Z1165" s="676"/>
      <c r="AA1165" s="676"/>
      <c r="AB1165" s="676"/>
      <c r="AC1165" s="676"/>
      <c r="AD1165" s="676"/>
      <c r="AE1165" s="676"/>
      <c r="AF1165" s="676">
        <f>FISCinyear!IY859</f>
        <v>0</v>
      </c>
      <c r="AG1165" s="676">
        <f>FISCinyear!JB859</f>
        <v>0</v>
      </c>
      <c r="AH1165" s="676">
        <f>FISCinyear!JE859</f>
        <v>0</v>
      </c>
      <c r="AI1165" s="676">
        <f>FISCinyear!JH859</f>
        <v>0</v>
      </c>
      <c r="AJ1165" s="676">
        <f>FISCinyear!JK859</f>
        <v>0</v>
      </c>
      <c r="AK1165" s="323"/>
      <c r="AL1165" s="323"/>
      <c r="AM1165" s="323"/>
      <c r="AN1165" s="323"/>
      <c r="AO1165" s="323"/>
      <c r="AP1165" s="323"/>
      <c r="AQ1165" s="323"/>
      <c r="AR1165" s="323"/>
      <c r="AS1165" s="323"/>
      <c r="AT1165" s="323"/>
      <c r="AU1165" s="323"/>
      <c r="AV1165" s="323" t="e">
        <f t="shared" si="1365"/>
        <v>#DIV/0!</v>
      </c>
      <c r="AW1165" s="1916"/>
      <c r="AX1165" s="1916"/>
      <c r="AY1165" s="1916"/>
      <c r="AZ1165" s="1916"/>
      <c r="BA1165" s="1916"/>
      <c r="BB1165" s="1916"/>
      <c r="BC1165" s="1916"/>
      <c r="BD1165" s="1916"/>
      <c r="BE1165" s="1916"/>
      <c r="BF1165" s="1916"/>
      <c r="BG1165" s="1916"/>
      <c r="BH1165" s="1915"/>
    </row>
    <row r="1166" spans="1:61">
      <c r="A1166" s="1"/>
      <c r="B1166" s="1"/>
      <c r="C1166" s="1"/>
      <c r="D1166" s="1393" t="s">
        <v>3050</v>
      </c>
      <c r="E1166" s="323"/>
      <c r="F1166" s="323"/>
      <c r="G1166" s="323"/>
      <c r="H1166" s="323"/>
      <c r="I1166" s="323"/>
      <c r="J1166" s="323"/>
      <c r="K1166" s="323"/>
      <c r="L1166" s="323"/>
      <c r="M1166" s="323"/>
      <c r="N1166" s="323"/>
      <c r="O1166" s="323"/>
      <c r="P1166" s="323"/>
      <c r="Q1166" s="323"/>
      <c r="R1166" s="323"/>
      <c r="S1166" s="323"/>
      <c r="T1166" s="323"/>
      <c r="U1166" s="323"/>
      <c r="V1166" s="105"/>
      <c r="W1166" s="105"/>
      <c r="X1166" s="105"/>
      <c r="Y1166" s="676"/>
      <c r="Z1166" s="676"/>
      <c r="AA1166" s="676"/>
      <c r="AB1166" s="676"/>
      <c r="AC1166" s="676"/>
      <c r="AD1166" s="676">
        <v>151.39410771096675</v>
      </c>
      <c r="AE1166" s="676">
        <v>169.11860390324617</v>
      </c>
      <c r="AF1166" s="676">
        <f>FISCinyear!IY860</f>
        <v>91.545131231999989</v>
      </c>
      <c r="AG1166" s="676">
        <f>FISCinyear!JB860</f>
        <v>0</v>
      </c>
      <c r="AH1166" s="676">
        <f>FISCinyear!JE860</f>
        <v>146.45347324939121</v>
      </c>
      <c r="AI1166" s="676">
        <f>FISCinyear!JH860</f>
        <v>209.56263076001727</v>
      </c>
      <c r="AJ1166" s="676">
        <f>FISCinyear!JK860</f>
        <v>196.48026743774588</v>
      </c>
      <c r="AK1166" s="931">
        <f t="shared" ref="AK1166:AT1166" si="1454">AK1146</f>
        <v>192.15719841386465</v>
      </c>
      <c r="AL1166" s="931">
        <f t="shared" si="1454"/>
        <v>222.32415278363686</v>
      </c>
      <c r="AM1166" s="931">
        <f t="shared" si="1454"/>
        <v>232.9503827957335</v>
      </c>
      <c r="AN1166" s="931">
        <f t="shared" si="1454"/>
        <v>243.98677094912571</v>
      </c>
      <c r="AO1166" s="931">
        <f t="shared" si="1454"/>
        <v>253.69269507209239</v>
      </c>
      <c r="AP1166" s="931">
        <f t="shared" si="1454"/>
        <v>271.2538131002209</v>
      </c>
      <c r="AQ1166" s="931">
        <f t="shared" si="1454"/>
        <v>279.39142749322752</v>
      </c>
      <c r="AR1166" s="931">
        <f t="shared" si="1454"/>
        <v>287.77317031802437</v>
      </c>
      <c r="AS1166" s="931">
        <f t="shared" si="1454"/>
        <v>296.40636542756511</v>
      </c>
      <c r="AT1166" s="931">
        <f t="shared" si="1454"/>
        <v>305.29855639039209</v>
      </c>
      <c r="AU1166" s="931">
        <f t="shared" si="1364"/>
        <v>314.45751308210384</v>
      </c>
      <c r="AV1166" s="931">
        <f t="shared" si="1365"/>
        <v>3.0000000000000027E-2</v>
      </c>
      <c r="AW1166" s="1916"/>
      <c r="AX1166" s="1916"/>
      <c r="AY1166" s="1916"/>
      <c r="AZ1166" s="1916"/>
      <c r="BA1166" s="1916"/>
      <c r="BB1166" s="1916"/>
      <c r="BC1166" s="1916"/>
      <c r="BD1166" s="1916"/>
      <c r="BE1166" s="1916"/>
      <c r="BF1166" s="1916"/>
      <c r="BG1166" s="1916"/>
      <c r="BH1166" s="1915"/>
    </row>
    <row r="1167" spans="1:61">
      <c r="A1167" s="1"/>
      <c r="B1167" s="1"/>
      <c r="C1167" s="1"/>
      <c r="D1167" s="1393" t="s">
        <v>3219</v>
      </c>
      <c r="E1167" s="323"/>
      <c r="F1167" s="323"/>
      <c r="G1167" s="323"/>
      <c r="H1167" s="323"/>
      <c r="I1167" s="323"/>
      <c r="J1167" s="323"/>
      <c r="K1167" s="323"/>
      <c r="L1167" s="323"/>
      <c r="M1167" s="323"/>
      <c r="N1167" s="323"/>
      <c r="O1167" s="323"/>
      <c r="P1167" s="323"/>
      <c r="Q1167" s="323"/>
      <c r="R1167" s="323"/>
      <c r="S1167" s="323"/>
      <c r="T1167" s="323"/>
      <c r="U1167" s="323"/>
      <c r="V1167" s="105"/>
      <c r="W1167" s="105"/>
      <c r="X1167" s="105"/>
      <c r="Y1167" s="676"/>
      <c r="Z1167" s="676"/>
      <c r="AA1167" s="676"/>
      <c r="AB1167" s="676"/>
      <c r="AC1167" s="676"/>
      <c r="AD1167" s="676"/>
      <c r="AE1167" s="676"/>
      <c r="AF1167" s="676"/>
      <c r="AG1167" s="676">
        <f>FISCinyear!JB861</f>
        <v>0</v>
      </c>
      <c r="AH1167" s="676">
        <f>FISCinyear!JE861</f>
        <v>0</v>
      </c>
      <c r="AI1167" s="676">
        <f>FISCinyear!JH861</f>
        <v>0</v>
      </c>
      <c r="AJ1167" s="676">
        <f>FISCinyear!JK861</f>
        <v>0</v>
      </c>
      <c r="AK1167" s="931"/>
      <c r="AL1167" s="931"/>
      <c r="AM1167" s="931"/>
      <c r="AN1167" s="931"/>
      <c r="AO1167" s="931"/>
      <c r="AP1167" s="931"/>
      <c r="AQ1167" s="931"/>
      <c r="AR1167" s="931"/>
      <c r="AS1167" s="931"/>
      <c r="AT1167" s="931"/>
      <c r="AU1167" s="931"/>
      <c r="AV1167" s="931" t="e">
        <f t="shared" si="1365"/>
        <v>#DIV/0!</v>
      </c>
      <c r="AW1167" s="1916"/>
      <c r="AX1167" s="1916"/>
      <c r="AY1167" s="1916"/>
      <c r="AZ1167" s="1916"/>
      <c r="BA1167" s="1916"/>
      <c r="BB1167" s="1916"/>
      <c r="BC1167" s="1916"/>
      <c r="BD1167" s="1916"/>
      <c r="BE1167" s="1916"/>
      <c r="BF1167" s="1916"/>
      <c r="BG1167" s="1916"/>
      <c r="BH1167" s="1915"/>
    </row>
    <row r="1168" spans="1:61">
      <c r="A1168" s="1"/>
      <c r="B1168" s="1"/>
      <c r="C1168" s="1"/>
      <c r="D1168" s="1393" t="s">
        <v>3226</v>
      </c>
      <c r="E1168" s="323"/>
      <c r="F1168" s="323"/>
      <c r="G1168" s="323"/>
      <c r="H1168" s="323"/>
      <c r="I1168" s="323"/>
      <c r="J1168" s="323"/>
      <c r="K1168" s="323"/>
      <c r="L1168" s="323"/>
      <c r="M1168" s="323"/>
      <c r="N1168" s="323"/>
      <c r="O1168" s="323"/>
      <c r="P1168" s="323"/>
      <c r="Q1168" s="323"/>
      <c r="R1168" s="323"/>
      <c r="S1168" s="323"/>
      <c r="T1168" s="323"/>
      <c r="U1168" s="323"/>
      <c r="V1168" s="105"/>
      <c r="W1168" s="105"/>
      <c r="X1168" s="105"/>
      <c r="Y1168" s="676"/>
      <c r="Z1168" s="676"/>
      <c r="AA1168" s="676"/>
      <c r="AB1168" s="676"/>
      <c r="AC1168" s="676"/>
      <c r="AD1168" s="676"/>
      <c r="AE1168" s="676"/>
      <c r="AF1168" s="676"/>
      <c r="AG1168" s="676">
        <f>FISCinyear!JB862</f>
        <v>0</v>
      </c>
      <c r="AH1168" s="676">
        <f>FISCinyear!JE862</f>
        <v>0</v>
      </c>
      <c r="AI1168" s="676">
        <f>FISCinyear!JH862</f>
        <v>0</v>
      </c>
      <c r="AJ1168" s="676">
        <f>FISCinyear!JK862</f>
        <v>0</v>
      </c>
      <c r="AK1168" s="931"/>
      <c r="AL1168" s="931"/>
      <c r="AM1168" s="931"/>
      <c r="AN1168" s="931"/>
      <c r="AO1168" s="931"/>
      <c r="AP1168" s="931"/>
      <c r="AQ1168" s="931"/>
      <c r="AR1168" s="931"/>
      <c r="AS1168" s="931"/>
      <c r="AT1168" s="931"/>
      <c r="AU1168" s="931"/>
      <c r="AV1168" s="931" t="e">
        <f t="shared" si="1365"/>
        <v>#DIV/0!</v>
      </c>
      <c r="AW1168" s="1916"/>
      <c r="AX1168" s="1916"/>
      <c r="AY1168" s="1916"/>
      <c r="AZ1168" s="1916"/>
      <c r="BA1168" s="1916"/>
      <c r="BB1168" s="1916"/>
      <c r="BC1168" s="1916"/>
      <c r="BD1168" s="1916"/>
      <c r="BE1168" s="1916"/>
      <c r="BF1168" s="1916"/>
      <c r="BG1168" s="1916"/>
      <c r="BH1168" s="1915"/>
    </row>
    <row r="1169" spans="1:60">
      <c r="A1169" s="1"/>
      <c r="B1169" s="1"/>
      <c r="C1169" s="1"/>
      <c r="D1169" s="1393" t="s">
        <v>3308</v>
      </c>
      <c r="E1169" s="323"/>
      <c r="F1169" s="323"/>
      <c r="G1169" s="323"/>
      <c r="H1169" s="323"/>
      <c r="I1169" s="323"/>
      <c r="J1169" s="323"/>
      <c r="K1169" s="323"/>
      <c r="L1169" s="323"/>
      <c r="M1169" s="323"/>
      <c r="N1169" s="323"/>
      <c r="O1169" s="323"/>
      <c r="P1169" s="323"/>
      <c r="Q1169" s="323"/>
      <c r="R1169" s="323"/>
      <c r="S1169" s="323"/>
      <c r="T1169" s="323"/>
      <c r="U1169" s="323"/>
      <c r="V1169" s="105"/>
      <c r="W1169" s="105"/>
      <c r="X1169" s="105"/>
      <c r="Y1169" s="676"/>
      <c r="Z1169" s="676"/>
      <c r="AA1169" s="676"/>
      <c r="AB1169" s="676"/>
      <c r="AC1169" s="676"/>
      <c r="AD1169" s="676"/>
      <c r="AE1169" s="676"/>
      <c r="AF1169" s="676"/>
      <c r="AG1169" s="676">
        <f>FISCinyear!JB863</f>
        <v>0</v>
      </c>
      <c r="AH1169" s="676">
        <f>FISCinyear!JE863</f>
        <v>0</v>
      </c>
      <c r="AI1169" s="676">
        <f>FISCinyear!JH863</f>
        <v>0</v>
      </c>
      <c r="AJ1169" s="676">
        <f>FISCinyear!JK863</f>
        <v>0</v>
      </c>
      <c r="AK1169" s="931"/>
      <c r="AL1169" s="931"/>
      <c r="AM1169" s="931"/>
      <c r="AN1169" s="931"/>
      <c r="AO1169" s="931"/>
      <c r="AP1169" s="931"/>
      <c r="AQ1169" s="931"/>
      <c r="AR1169" s="931"/>
      <c r="AS1169" s="931"/>
      <c r="AT1169" s="931"/>
      <c r="AU1169" s="931"/>
      <c r="AV1169" s="931" t="e">
        <f t="shared" si="1365"/>
        <v>#DIV/0!</v>
      </c>
      <c r="AW1169" s="1916"/>
      <c r="AX1169" s="1916"/>
      <c r="AY1169" s="1916"/>
      <c r="AZ1169" s="1916"/>
      <c r="BA1169" s="1916"/>
      <c r="BB1169" s="1916"/>
      <c r="BC1169" s="1916"/>
      <c r="BD1169" s="1916"/>
      <c r="BE1169" s="1916"/>
      <c r="BF1169" s="1916"/>
      <c r="BG1169" s="1916"/>
      <c r="BH1169" s="1915"/>
    </row>
    <row r="1170" spans="1:60">
      <c r="A1170" s="1"/>
      <c r="B1170" s="1"/>
      <c r="C1170" s="1"/>
      <c r="D1170" s="1392" t="s">
        <v>4158</v>
      </c>
      <c r="E1170" s="323"/>
      <c r="F1170" s="323"/>
      <c r="G1170" s="323"/>
      <c r="H1170" s="323"/>
      <c r="I1170" s="323"/>
      <c r="J1170" s="323"/>
      <c r="K1170" s="323"/>
      <c r="L1170" s="323"/>
      <c r="M1170" s="323"/>
      <c r="N1170" s="323"/>
      <c r="O1170" s="323"/>
      <c r="P1170" s="323"/>
      <c r="Q1170" s="323"/>
      <c r="R1170" s="323"/>
      <c r="S1170" s="323"/>
      <c r="T1170" s="323"/>
      <c r="U1170" s="323"/>
      <c r="V1170" s="105"/>
      <c r="W1170" s="676"/>
      <c r="X1170" s="676"/>
      <c r="Y1170" s="676"/>
      <c r="Z1170" s="676"/>
      <c r="AA1170" s="676"/>
      <c r="AB1170" s="676"/>
      <c r="AC1170" s="676"/>
      <c r="AD1170" s="676"/>
      <c r="AE1170" s="676"/>
      <c r="AF1170" s="676"/>
      <c r="AG1170" s="676"/>
      <c r="AH1170" s="676">
        <v>0</v>
      </c>
      <c r="AI1170" s="676">
        <v>0</v>
      </c>
      <c r="AJ1170" s="676">
        <v>0</v>
      </c>
      <c r="AK1170" s="1657">
        <f>'NET LENDING'!X10/1000000000</f>
        <v>0</v>
      </c>
      <c r="AL1170" s="1657">
        <f>'NET LENDING'!AA10/1000000000</f>
        <v>30.42460582</v>
      </c>
      <c r="AM1170" s="1657">
        <f>'NET LENDING'!AD10/1000000000</f>
        <v>27.442915266</v>
      </c>
      <c r="AN1170" s="1657">
        <f>'NET LENDING'!AG10/1000000000</f>
        <v>17.727794578109428</v>
      </c>
      <c r="AO1170" s="1657">
        <f>'NET LENDING'!AJ10/1000000000</f>
        <v>12.871650596</v>
      </c>
      <c r="AP1170" s="1657">
        <f>'NET LENDING'!AM10/1000000000</f>
        <v>12.871650596</v>
      </c>
      <c r="AQ1170" s="1657"/>
      <c r="AR1170" s="1657"/>
      <c r="AS1170" s="1657"/>
      <c r="AT1170" s="1657"/>
      <c r="AU1170" s="1657"/>
      <c r="AV1170" s="1657" t="e">
        <f t="shared" si="1365"/>
        <v>#DIV/0!</v>
      </c>
      <c r="AW1170" s="1916"/>
      <c r="AX1170" s="1916"/>
      <c r="AY1170" s="1916"/>
      <c r="AZ1170" s="1916"/>
      <c r="BA1170" s="1916"/>
      <c r="BB1170" s="1916"/>
      <c r="BC1170" s="1916"/>
      <c r="BD1170" s="1916"/>
      <c r="BE1170" s="1916"/>
      <c r="BF1170" s="1916"/>
      <c r="BG1170" s="1916"/>
      <c r="BH1170" s="1915"/>
    </row>
    <row r="1171" spans="1:60">
      <c r="A1171" s="1"/>
      <c r="B1171" s="1"/>
      <c r="C1171" s="1"/>
      <c r="D1171" s="1392" t="s">
        <v>3900</v>
      </c>
      <c r="E1171" s="323"/>
      <c r="F1171" s="323"/>
      <c r="G1171" s="323"/>
      <c r="H1171" s="323"/>
      <c r="I1171" s="323"/>
      <c r="J1171" s="323"/>
      <c r="K1171" s="323"/>
      <c r="L1171" s="323"/>
      <c r="M1171" s="323"/>
      <c r="N1171" s="323"/>
      <c r="O1171" s="323"/>
      <c r="P1171" s="323"/>
      <c r="Q1171" s="323"/>
      <c r="R1171" s="323"/>
      <c r="S1171" s="323"/>
      <c r="T1171" s="323"/>
      <c r="U1171" s="323"/>
      <c r="V1171" s="105"/>
      <c r="W1171" s="676"/>
      <c r="X1171" s="676"/>
      <c r="Y1171" s="676"/>
      <c r="Z1171" s="676"/>
      <c r="AA1171" s="676"/>
      <c r="AB1171" s="676"/>
      <c r="AC1171" s="676"/>
      <c r="AD1171" s="676"/>
      <c r="AE1171" s="676"/>
      <c r="AF1171" s="676"/>
      <c r="AG1171" s="676"/>
      <c r="AH1171" s="676">
        <v>0</v>
      </c>
      <c r="AI1171" s="676">
        <v>0</v>
      </c>
      <c r="AJ1171" s="676">
        <v>0</v>
      </c>
      <c r="AK1171" s="1657">
        <f>'NET LENDING'!X11/1000000000</f>
        <v>0</v>
      </c>
      <c r="AL1171" s="1657">
        <f>'NET LENDING'!AA11/1000000000</f>
        <v>0</v>
      </c>
      <c r="AM1171" s="1657">
        <f>'NET LENDING'!AD11/1000000000</f>
        <v>0</v>
      </c>
      <c r="AN1171" s="1657">
        <f>'NET LENDING'!AG11/1000000000</f>
        <v>0</v>
      </c>
      <c r="AO1171" s="1657">
        <f>'NET LENDING'!AJ11/1000000000</f>
        <v>0</v>
      </c>
      <c r="AP1171" s="1657">
        <f>'NET LENDING'!AM11/1000000000</f>
        <v>0</v>
      </c>
      <c r="AQ1171" s="1657"/>
      <c r="AR1171" s="1657"/>
      <c r="AS1171" s="1657"/>
      <c r="AT1171" s="1657"/>
      <c r="AU1171" s="1657"/>
      <c r="AV1171" s="1657" t="e">
        <f t="shared" si="1365"/>
        <v>#DIV/0!</v>
      </c>
      <c r="AW1171" s="1916"/>
      <c r="AX1171" s="1916"/>
      <c r="AY1171" s="1916"/>
      <c r="AZ1171" s="1916"/>
      <c r="BA1171" s="1916"/>
      <c r="BB1171" s="1916"/>
      <c r="BC1171" s="1916"/>
      <c r="BD1171" s="1916"/>
      <c r="BE1171" s="1916"/>
      <c r="BF1171" s="1916"/>
      <c r="BG1171" s="1916"/>
      <c r="BH1171" s="1915"/>
    </row>
    <row r="1172" spans="1:60">
      <c r="A1172" s="1"/>
      <c r="B1172" s="1"/>
      <c r="C1172" s="1"/>
      <c r="D1172" s="1392" t="s">
        <v>3901</v>
      </c>
      <c r="E1172" s="323"/>
      <c r="F1172" s="323"/>
      <c r="G1172" s="323"/>
      <c r="H1172" s="323"/>
      <c r="I1172" s="323"/>
      <c r="J1172" s="323"/>
      <c r="K1172" s="323"/>
      <c r="L1172" s="323"/>
      <c r="M1172" s="323"/>
      <c r="N1172" s="323"/>
      <c r="O1172" s="323"/>
      <c r="P1172" s="323"/>
      <c r="Q1172" s="323"/>
      <c r="R1172" s="323"/>
      <c r="S1172" s="323"/>
      <c r="T1172" s="323"/>
      <c r="U1172" s="323"/>
      <c r="V1172" s="105"/>
      <c r="W1172" s="676"/>
      <c r="X1172" s="676"/>
      <c r="Y1172" s="676"/>
      <c r="Z1172" s="676"/>
      <c r="AA1172" s="676"/>
      <c r="AB1172" s="676"/>
      <c r="AC1172" s="676"/>
      <c r="AD1172" s="676"/>
      <c r="AE1172" s="676"/>
      <c r="AF1172" s="676"/>
      <c r="AG1172" s="676"/>
      <c r="AH1172" s="676">
        <v>0</v>
      </c>
      <c r="AI1172" s="676">
        <v>0</v>
      </c>
      <c r="AJ1172" s="676">
        <v>0</v>
      </c>
      <c r="AK1172" s="1657">
        <f>'NET LENDING'!X13/1000000000</f>
        <v>4.6189169520000002</v>
      </c>
      <c r="AL1172" s="1657">
        <f>'NET LENDING'!AA13/1000000000</f>
        <v>4.6189169520000002</v>
      </c>
      <c r="AM1172" s="1657">
        <f>'NET LENDING'!AD13/1000000000</f>
        <v>4.6189169520000002</v>
      </c>
      <c r="AN1172" s="1657">
        <f>'NET LENDING'!AG13/1000000000</f>
        <v>4.6182769520000004</v>
      </c>
      <c r="AO1172" s="1657">
        <f>'NET LENDING'!AJ13/1000000000</f>
        <v>4.6189169520000002</v>
      </c>
      <c r="AP1172" s="1657">
        <f>'NET LENDING'!AM13/1000000000</f>
        <v>4.6189169520000002</v>
      </c>
      <c r="AQ1172" s="1657"/>
      <c r="AR1172" s="1657"/>
      <c r="AS1172" s="1657"/>
      <c r="AT1172" s="1657"/>
      <c r="AU1172" s="1657"/>
      <c r="AV1172" s="1657" t="e">
        <f t="shared" si="1365"/>
        <v>#DIV/0!</v>
      </c>
      <c r="AW1172" s="1916"/>
      <c r="AX1172" s="1916"/>
      <c r="AY1172" s="1916"/>
      <c r="AZ1172" s="1916"/>
      <c r="BA1172" s="1916"/>
      <c r="BB1172" s="1916"/>
      <c r="BC1172" s="1916"/>
      <c r="BD1172" s="1916"/>
      <c r="BE1172" s="1916"/>
      <c r="BF1172" s="1916"/>
      <c r="BG1172" s="1916"/>
      <c r="BH1172" s="1915"/>
    </row>
    <row r="1173" spans="1:60">
      <c r="A1173" s="1"/>
      <c r="B1173" s="1"/>
      <c r="C1173" s="1"/>
      <c r="D1173" s="1392" t="s">
        <v>3902</v>
      </c>
      <c r="E1173" s="323"/>
      <c r="F1173" s="323"/>
      <c r="G1173" s="323"/>
      <c r="H1173" s="323"/>
      <c r="I1173" s="323"/>
      <c r="J1173" s="323"/>
      <c r="K1173" s="323"/>
      <c r="L1173" s="323"/>
      <c r="M1173" s="323"/>
      <c r="N1173" s="323"/>
      <c r="O1173" s="323"/>
      <c r="P1173" s="323"/>
      <c r="Q1173" s="323"/>
      <c r="R1173" s="323"/>
      <c r="S1173" s="323"/>
      <c r="T1173" s="323"/>
      <c r="U1173" s="323"/>
      <c r="V1173" s="105"/>
      <c r="W1173" s="676"/>
      <c r="X1173" s="676"/>
      <c r="Y1173" s="676"/>
      <c r="Z1173" s="676"/>
      <c r="AA1173" s="676"/>
      <c r="AB1173" s="676"/>
      <c r="AC1173" s="676"/>
      <c r="AD1173" s="676"/>
      <c r="AE1173" s="676"/>
      <c r="AF1173" s="676"/>
      <c r="AG1173" s="676"/>
      <c r="AH1173" s="676">
        <v>0</v>
      </c>
      <c r="AI1173" s="676">
        <v>0</v>
      </c>
      <c r="AJ1173" s="676">
        <v>0</v>
      </c>
      <c r="AK1173" s="1657">
        <f>'NET LENDING'!X19/1000000000</f>
        <v>0</v>
      </c>
      <c r="AL1173" s="1657">
        <f>'NET LENDING'!AA19/1000000000</f>
        <v>0</v>
      </c>
      <c r="AM1173" s="1657">
        <f>'NET LENDING'!AD19/1000000000</f>
        <v>0</v>
      </c>
      <c r="AN1173" s="1657">
        <f>'NET LENDING'!AG19/1000000000</f>
        <v>0</v>
      </c>
      <c r="AO1173" s="1657">
        <f>'NET LENDING'!AJ19/1000000000</f>
        <v>0</v>
      </c>
      <c r="AP1173" s="1657">
        <f>'NET LENDING'!AM19/1000000000</f>
        <v>0</v>
      </c>
      <c r="AQ1173" s="1657"/>
      <c r="AR1173" s="1657"/>
      <c r="AS1173" s="1657"/>
      <c r="AT1173" s="1657"/>
      <c r="AU1173" s="1657"/>
      <c r="AV1173" s="1657" t="e">
        <f t="shared" si="1365"/>
        <v>#DIV/0!</v>
      </c>
      <c r="AW1173" s="1916"/>
      <c r="AX1173" s="1916"/>
      <c r="AY1173" s="1916"/>
      <c r="AZ1173" s="1916"/>
      <c r="BA1173" s="1916"/>
      <c r="BB1173" s="1916"/>
      <c r="BC1173" s="1916"/>
      <c r="BD1173" s="1916"/>
      <c r="BE1173" s="1916"/>
      <c r="BF1173" s="1916"/>
      <c r="BG1173" s="1916"/>
      <c r="BH1173" s="1915"/>
    </row>
    <row r="1174" spans="1:60">
      <c r="A1174" s="1"/>
      <c r="B1174" s="1"/>
      <c r="C1174" s="1"/>
      <c r="D1174" s="1392" t="s">
        <v>3903</v>
      </c>
      <c r="E1174" s="323"/>
      <c r="F1174" s="323"/>
      <c r="G1174" s="323"/>
      <c r="H1174" s="323"/>
      <c r="I1174" s="323"/>
      <c r="J1174" s="323"/>
      <c r="K1174" s="323"/>
      <c r="L1174" s="323"/>
      <c r="M1174" s="323"/>
      <c r="N1174" s="323"/>
      <c r="O1174" s="323"/>
      <c r="P1174" s="323"/>
      <c r="Q1174" s="323"/>
      <c r="R1174" s="323"/>
      <c r="S1174" s="323"/>
      <c r="T1174" s="323"/>
      <c r="U1174" s="323"/>
      <c r="V1174" s="105"/>
      <c r="W1174" s="676"/>
      <c r="X1174" s="676"/>
      <c r="Y1174" s="676"/>
      <c r="Z1174" s="676"/>
      <c r="AA1174" s="676"/>
      <c r="AB1174" s="676"/>
      <c r="AC1174" s="676"/>
      <c r="AD1174" s="676"/>
      <c r="AE1174" s="676"/>
      <c r="AF1174" s="676"/>
      <c r="AG1174" s="676"/>
      <c r="AH1174" s="676">
        <v>0</v>
      </c>
      <c r="AI1174" s="676">
        <v>0</v>
      </c>
      <c r="AJ1174" s="676">
        <v>0</v>
      </c>
      <c r="AK1174" s="1657">
        <f>'NET LENDING'!X16/1000000000</f>
        <v>18.20487701831868</v>
      </c>
      <c r="AL1174" s="1657">
        <f>'NET LENDING'!AA16/1000000000</f>
        <v>19.46507597578286</v>
      </c>
      <c r="AM1174" s="1657">
        <f>'NET LENDING'!AD16/1000000000</f>
        <v>18.179367800145521</v>
      </c>
      <c r="AN1174" s="1657">
        <f>'NET LENDING'!AG16/1000000000</f>
        <v>14.780795661957709</v>
      </c>
      <c r="AO1174" s="1657">
        <f>'NET LENDING'!AJ16/1000000000</f>
        <v>13.616461256676651</v>
      </c>
      <c r="AP1174" s="1657">
        <f>'NET LENDING'!AM16/1000000000</f>
        <v>12.452126850395599</v>
      </c>
      <c r="AQ1174" s="1657"/>
      <c r="AR1174" s="1657"/>
      <c r="AS1174" s="1657"/>
      <c r="AT1174" s="1657"/>
      <c r="AU1174" s="1657"/>
      <c r="AV1174" s="1657" t="e">
        <f t="shared" si="1365"/>
        <v>#DIV/0!</v>
      </c>
      <c r="AW1174" s="1916"/>
      <c r="AX1174" s="1916"/>
      <c r="AY1174" s="3046"/>
      <c r="AZ1174" s="3046"/>
      <c r="BA1174" s="3046"/>
      <c r="BB1174" s="3046"/>
      <c r="BC1174" s="3046"/>
      <c r="BD1174" s="1916"/>
      <c r="BE1174" s="1916"/>
      <c r="BF1174" s="1916"/>
      <c r="BG1174" s="1916"/>
      <c r="BH1174" s="1915"/>
    </row>
    <row r="1175" spans="1:60">
      <c r="A1175" s="1"/>
      <c r="B1175" s="1"/>
      <c r="C1175" s="1"/>
      <c r="D1175" s="1392" t="s">
        <v>3904</v>
      </c>
      <c r="E1175" s="323"/>
      <c r="F1175" s="323"/>
      <c r="G1175" s="323"/>
      <c r="H1175" s="323"/>
      <c r="I1175" s="323"/>
      <c r="J1175" s="323"/>
      <c r="K1175" s="323"/>
      <c r="L1175" s="323"/>
      <c r="M1175" s="323"/>
      <c r="N1175" s="323"/>
      <c r="O1175" s="323"/>
      <c r="P1175" s="323"/>
      <c r="Q1175" s="323"/>
      <c r="R1175" s="323"/>
      <c r="S1175" s="323"/>
      <c r="T1175" s="323"/>
      <c r="U1175" s="323"/>
      <c r="V1175" s="105"/>
      <c r="W1175" s="676"/>
      <c r="X1175" s="676"/>
      <c r="Y1175" s="676"/>
      <c r="Z1175" s="676"/>
      <c r="AA1175" s="676"/>
      <c r="AB1175" s="676"/>
      <c r="AC1175" s="676"/>
      <c r="AD1175" s="676"/>
      <c r="AE1175" s="676"/>
      <c r="AF1175" s="676"/>
      <c r="AG1175" s="676"/>
      <c r="AH1175" s="676">
        <v>0</v>
      </c>
      <c r="AI1175" s="676">
        <v>0</v>
      </c>
      <c r="AJ1175" s="676">
        <v>0</v>
      </c>
      <c r="AK1175" s="1657">
        <f>'NET LENDING'!X14/1000000000</f>
        <v>0</v>
      </c>
      <c r="AL1175" s="1657">
        <f>'NET LENDING'!AA14/1000000000</f>
        <v>0</v>
      </c>
      <c r="AM1175" s="1657">
        <f>'NET LENDING'!AD14/1000000000</f>
        <v>0</v>
      </c>
      <c r="AN1175" s="1657">
        <f>'NET LENDING'!AG14/1000000000</f>
        <v>0</v>
      </c>
      <c r="AO1175" s="1657">
        <f>'NET LENDING'!AJ14/1000000000</f>
        <v>0</v>
      </c>
      <c r="AP1175" s="1657">
        <f>'NET LENDING'!AM14/1000000000</f>
        <v>0</v>
      </c>
      <c r="AQ1175" s="1657"/>
      <c r="AR1175" s="1657"/>
      <c r="AS1175" s="1657"/>
      <c r="AT1175" s="1657"/>
      <c r="AU1175" s="1657"/>
      <c r="AV1175" s="1657" t="e">
        <f t="shared" si="1365"/>
        <v>#DIV/0!</v>
      </c>
      <c r="AW1175" s="1916"/>
      <c r="AX1175" s="1916"/>
      <c r="AY1175" s="1916"/>
      <c r="AZ1175" s="1916"/>
      <c r="BA1175" s="1916"/>
      <c r="BB1175" s="1916"/>
      <c r="BC1175" s="1916"/>
      <c r="BD1175" s="1916"/>
      <c r="BE1175" s="1916"/>
      <c r="BF1175" s="1916"/>
      <c r="BG1175" s="1916"/>
      <c r="BH1175" s="1915"/>
    </row>
    <row r="1176" spans="1:60">
      <c r="A1176" s="1"/>
      <c r="B1176" s="1"/>
      <c r="C1176" s="1"/>
      <c r="D1176" s="1392" t="s">
        <v>3905</v>
      </c>
      <c r="E1176" s="323"/>
      <c r="F1176" s="323"/>
      <c r="G1176" s="323"/>
      <c r="H1176" s="323"/>
      <c r="I1176" s="323"/>
      <c r="J1176" s="323"/>
      <c r="K1176" s="323"/>
      <c r="L1176" s="323"/>
      <c r="M1176" s="323"/>
      <c r="N1176" s="323"/>
      <c r="O1176" s="323"/>
      <c r="P1176" s="323"/>
      <c r="Q1176" s="323"/>
      <c r="R1176" s="323"/>
      <c r="S1176" s="323"/>
      <c r="T1176" s="323"/>
      <c r="U1176" s="323"/>
      <c r="V1176" s="105"/>
      <c r="W1176" s="676"/>
      <c r="X1176" s="676"/>
      <c r="Y1176" s="676"/>
      <c r="Z1176" s="676"/>
      <c r="AA1176" s="676"/>
      <c r="AB1176" s="676"/>
      <c r="AC1176" s="676"/>
      <c r="AD1176" s="676"/>
      <c r="AE1176" s="676"/>
      <c r="AF1176" s="676"/>
      <c r="AG1176" s="676"/>
      <c r="AH1176" s="676">
        <v>0</v>
      </c>
      <c r="AI1176" s="676">
        <v>0</v>
      </c>
      <c r="AJ1176" s="676">
        <v>0</v>
      </c>
      <c r="AK1176" s="1657">
        <f>'NET LENDING'!X15/1000000000</f>
        <v>0</v>
      </c>
      <c r="AL1176" s="1657">
        <f>'NET LENDING'!AA15/1000000000</f>
        <v>0</v>
      </c>
      <c r="AM1176" s="1657">
        <f>'NET LENDING'!AD15/1000000000</f>
        <v>0</v>
      </c>
      <c r="AN1176" s="1657">
        <f>'NET LENDING'!AG15/1000000000</f>
        <v>0</v>
      </c>
      <c r="AO1176" s="1657">
        <f>'NET LENDING'!AJ15/1000000000</f>
        <v>0</v>
      </c>
      <c r="AP1176" s="1657">
        <f>'NET LENDING'!AM15/1000000000</f>
        <v>0</v>
      </c>
      <c r="AQ1176" s="1657"/>
      <c r="AR1176" s="1657"/>
      <c r="AS1176" s="1657"/>
      <c r="AT1176" s="1657"/>
      <c r="AU1176" s="1657"/>
      <c r="AV1176" s="1657" t="e">
        <f t="shared" si="1365"/>
        <v>#DIV/0!</v>
      </c>
      <c r="AW1176" s="1916"/>
      <c r="AX1176" s="1916"/>
      <c r="AY1176" s="1916"/>
      <c r="AZ1176" s="1916"/>
      <c r="BA1176" s="1916"/>
      <c r="BB1176" s="1916"/>
      <c r="BC1176" s="1916"/>
      <c r="BD1176" s="1916"/>
      <c r="BE1176" s="1916"/>
      <c r="BF1176" s="1916"/>
      <c r="BG1176" s="1916"/>
      <c r="BH1176" s="1915"/>
    </row>
    <row r="1177" spans="1:60">
      <c r="A1177" s="1"/>
      <c r="B1177" s="1"/>
      <c r="C1177" s="1"/>
      <c r="D1177" s="1392" t="s">
        <v>3906</v>
      </c>
      <c r="E1177" s="323"/>
      <c r="F1177" s="323"/>
      <c r="G1177" s="323"/>
      <c r="H1177" s="323"/>
      <c r="I1177" s="323"/>
      <c r="J1177" s="323"/>
      <c r="K1177" s="323"/>
      <c r="L1177" s="323"/>
      <c r="M1177" s="323"/>
      <c r="N1177" s="323"/>
      <c r="O1177" s="323"/>
      <c r="P1177" s="323"/>
      <c r="Q1177" s="323"/>
      <c r="R1177" s="323"/>
      <c r="S1177" s="323"/>
      <c r="T1177" s="323"/>
      <c r="U1177" s="323"/>
      <c r="V1177" s="105"/>
      <c r="W1177" s="676"/>
      <c r="X1177" s="676"/>
      <c r="Y1177" s="676"/>
      <c r="Z1177" s="676"/>
      <c r="AA1177" s="676"/>
      <c r="AB1177" s="676"/>
      <c r="AC1177" s="676"/>
      <c r="AD1177" s="676"/>
      <c r="AE1177" s="676"/>
      <c r="AF1177" s="676"/>
      <c r="AG1177" s="676"/>
      <c r="AH1177" s="676">
        <v>0</v>
      </c>
      <c r="AI1177" s="676">
        <v>0</v>
      </c>
      <c r="AJ1177" s="676">
        <v>0</v>
      </c>
      <c r="AK1177" s="1657">
        <f>'NET LENDING'!X18/1000000000</f>
        <v>1.5435359740000001</v>
      </c>
      <c r="AL1177" s="1657">
        <f>'NET LENDING'!AA18/1000000000</f>
        <v>3.5</v>
      </c>
      <c r="AM1177" s="1657">
        <f>'NET LENDING'!AD18/1000000000</f>
        <v>0.5</v>
      </c>
      <c r="AN1177" s="1657">
        <f>'NET LENDING'!AG18/1000000000</f>
        <v>0</v>
      </c>
      <c r="AO1177" s="1657">
        <f>'NET LENDING'!AJ18/1000000000</f>
        <v>0</v>
      </c>
      <c r="AP1177" s="1657">
        <f>'NET LENDING'!AM18/1000000000</f>
        <v>0</v>
      </c>
      <c r="AQ1177" s="1657"/>
      <c r="AR1177" s="1657"/>
      <c r="AS1177" s="1657"/>
      <c r="AT1177" s="1657"/>
      <c r="AU1177" s="1657"/>
      <c r="AV1177" s="1657" t="e">
        <f t="shared" si="1365"/>
        <v>#DIV/0!</v>
      </c>
      <c r="AW1177" s="1916"/>
      <c r="AX1177" s="1916"/>
      <c r="AY1177" s="1916"/>
      <c r="AZ1177" s="1916"/>
      <c r="BA1177" s="1916"/>
      <c r="BB1177" s="1916"/>
      <c r="BC1177" s="1916"/>
      <c r="BD1177" s="1916"/>
      <c r="BE1177" s="1916"/>
      <c r="BF1177" s="1916"/>
      <c r="BG1177" s="1916"/>
      <c r="BH1177" s="1915"/>
    </row>
    <row r="1178" spans="1:60">
      <c r="A1178" s="1"/>
      <c r="B1178" s="1"/>
      <c r="C1178" s="1"/>
      <c r="D1178" s="1392" t="s">
        <v>3907</v>
      </c>
      <c r="E1178" s="323"/>
      <c r="F1178" s="323"/>
      <c r="G1178" s="323"/>
      <c r="H1178" s="323"/>
      <c r="I1178" s="323"/>
      <c r="J1178" s="323"/>
      <c r="K1178" s="323"/>
      <c r="L1178" s="323"/>
      <c r="M1178" s="323"/>
      <c r="N1178" s="323"/>
      <c r="O1178" s="323"/>
      <c r="P1178" s="323"/>
      <c r="Q1178" s="323"/>
      <c r="R1178" s="323"/>
      <c r="S1178" s="323"/>
      <c r="T1178" s="323"/>
      <c r="U1178" s="323"/>
      <c r="V1178" s="105"/>
      <c r="W1178" s="676"/>
      <c r="X1178" s="676"/>
      <c r="Y1178" s="676"/>
      <c r="Z1178" s="676"/>
      <c r="AA1178" s="676"/>
      <c r="AB1178" s="676"/>
      <c r="AC1178" s="676"/>
      <c r="AD1178" s="676"/>
      <c r="AE1178" s="676"/>
      <c r="AF1178" s="676"/>
      <c r="AG1178" s="676"/>
      <c r="AH1178" s="676">
        <v>0</v>
      </c>
      <c r="AI1178" s="676">
        <v>0</v>
      </c>
      <c r="AJ1178" s="676">
        <v>0</v>
      </c>
      <c r="AK1178" s="1657">
        <f>'NET LENDING'!X17/1000000000</f>
        <v>7.0459698629999998</v>
      </c>
      <c r="AL1178" s="1657">
        <f>'NET LENDING'!AA17/1000000000</f>
        <v>6.3139210459999999</v>
      </c>
      <c r="AM1178" s="1657">
        <f>'NET LENDING'!AD17/1000000000</f>
        <v>0</v>
      </c>
      <c r="AN1178" s="1657">
        <f>'NET LENDING'!AG17/1000000000</f>
        <v>0</v>
      </c>
      <c r="AO1178" s="1657">
        <f>'NET LENDING'!AJ17/1000000000</f>
        <v>0</v>
      </c>
      <c r="AP1178" s="1657">
        <f>'NET LENDING'!AM17/1000000000</f>
        <v>0</v>
      </c>
      <c r="AQ1178" s="1657"/>
      <c r="AR1178" s="1657"/>
      <c r="AS1178" s="1657"/>
      <c r="AT1178" s="1657"/>
      <c r="AU1178" s="1657"/>
      <c r="AV1178" s="1657" t="e">
        <f t="shared" si="1365"/>
        <v>#DIV/0!</v>
      </c>
      <c r="AW1178" s="1916"/>
      <c r="AX1178" s="1916"/>
      <c r="AY1178" s="1916"/>
      <c r="AZ1178" s="1916"/>
      <c r="BA1178" s="1916"/>
      <c r="BB1178" s="1916"/>
      <c r="BC1178" s="1916"/>
      <c r="BD1178" s="1916"/>
      <c r="BE1178" s="1916"/>
      <c r="BF1178" s="1916"/>
      <c r="BG1178" s="1916"/>
      <c r="BH1178" s="1915"/>
    </row>
    <row r="1179" spans="1:60">
      <c r="A1179" s="1"/>
      <c r="B1179" s="1"/>
      <c r="C1179" s="1"/>
      <c r="D1179" s="1392" t="s">
        <v>3950</v>
      </c>
      <c r="E1179" s="323"/>
      <c r="F1179" s="323"/>
      <c r="G1179" s="323"/>
      <c r="H1179" s="323"/>
      <c r="I1179" s="323"/>
      <c r="J1179" s="323"/>
      <c r="K1179" s="323"/>
      <c r="L1179" s="323"/>
      <c r="M1179" s="323"/>
      <c r="N1179" s="323"/>
      <c r="O1179" s="323"/>
      <c r="P1179" s="323"/>
      <c r="Q1179" s="323"/>
      <c r="R1179" s="323"/>
      <c r="S1179" s="323"/>
      <c r="T1179" s="323"/>
      <c r="U1179" s="323"/>
      <c r="V1179" s="105"/>
      <c r="W1179" s="676"/>
      <c r="X1179" s="676"/>
      <c r="Y1179" s="676"/>
      <c r="Z1179" s="676"/>
      <c r="AA1179" s="676"/>
      <c r="AB1179" s="676"/>
      <c r="AC1179" s="676"/>
      <c r="AD1179" s="676"/>
      <c r="AE1179" s="676"/>
      <c r="AF1179" s="676"/>
      <c r="AG1179" s="676"/>
      <c r="AH1179" s="676">
        <v>0</v>
      </c>
      <c r="AI1179" s="676">
        <v>0</v>
      </c>
      <c r="AJ1179" s="676">
        <v>0</v>
      </c>
      <c r="AK1179" s="1657">
        <f>'NET LENDING'!X20/1000000000</f>
        <v>7.575457857</v>
      </c>
      <c r="AL1179" s="1657">
        <f>'NET LENDING'!AA20/1000000000</f>
        <v>0</v>
      </c>
      <c r="AM1179" s="1657">
        <f>'NET LENDING'!AD20/1000000000</f>
        <v>0</v>
      </c>
      <c r="AN1179" s="1657">
        <f>'NET LENDING'!AG20/1000000000</f>
        <v>0</v>
      </c>
      <c r="AO1179" s="1657">
        <f>'NET LENDING'!AJ20/1000000000</f>
        <v>0</v>
      </c>
      <c r="AP1179" s="1657">
        <f>'NET LENDING'!AM20/1000000000</f>
        <v>0</v>
      </c>
      <c r="AQ1179" s="1657"/>
      <c r="AR1179" s="1657"/>
      <c r="AS1179" s="1657"/>
      <c r="AT1179" s="1657"/>
      <c r="AU1179" s="1657"/>
      <c r="AV1179" s="1657" t="e">
        <f t="shared" si="1365"/>
        <v>#DIV/0!</v>
      </c>
      <c r="AW1179" s="1916"/>
      <c r="AX1179" s="1916"/>
      <c r="AY1179" s="1916"/>
      <c r="AZ1179" s="1916"/>
      <c r="BA1179" s="1916"/>
      <c r="BB1179" s="1916"/>
      <c r="BC1179" s="1916"/>
      <c r="BD1179" s="1916"/>
      <c r="BE1179" s="1916"/>
      <c r="BF1179" s="1916"/>
      <c r="BG1179" s="1916"/>
      <c r="BH1179" s="1915"/>
    </row>
    <row r="1180" spans="1:60">
      <c r="A1180" s="1"/>
      <c r="B1180" s="1"/>
      <c r="C1180" s="1"/>
      <c r="D1180" s="1392" t="s">
        <v>3908</v>
      </c>
      <c r="E1180" s="323"/>
      <c r="F1180" s="323"/>
      <c r="G1180" s="323"/>
      <c r="H1180" s="323"/>
      <c r="I1180" s="323"/>
      <c r="J1180" s="323"/>
      <c r="K1180" s="323"/>
      <c r="L1180" s="323"/>
      <c r="M1180" s="323"/>
      <c r="N1180" s="323"/>
      <c r="O1180" s="323"/>
      <c r="P1180" s="323"/>
      <c r="Q1180" s="323"/>
      <c r="R1180" s="323"/>
      <c r="S1180" s="323"/>
      <c r="T1180" s="323"/>
      <c r="U1180" s="323"/>
      <c r="V1180" s="105"/>
      <c r="W1180" s="676"/>
      <c r="X1180" s="676"/>
      <c r="Y1180" s="676"/>
      <c r="Z1180" s="676"/>
      <c r="AA1180" s="676"/>
      <c r="AB1180" s="676"/>
      <c r="AC1180" s="676"/>
      <c r="AD1180" s="676"/>
      <c r="AE1180" s="676"/>
      <c r="AF1180" s="676"/>
      <c r="AG1180" s="676"/>
      <c r="AH1180" s="676">
        <v>0</v>
      </c>
      <c r="AI1180" s="676">
        <v>0</v>
      </c>
      <c r="AJ1180" s="676">
        <v>0</v>
      </c>
      <c r="AK1180" s="1657">
        <f>'NET LENDING'!X21/1000000000</f>
        <v>11.2736465</v>
      </c>
      <c r="AL1180" s="1657">
        <f>'NET LENDING'!AA21/1000000000</f>
        <v>0</v>
      </c>
      <c r="AM1180" s="1657">
        <f>'NET LENDING'!AD21/1000000000</f>
        <v>0</v>
      </c>
      <c r="AN1180" s="1657">
        <f>'NET LENDING'!AG21/1000000000</f>
        <v>0</v>
      </c>
      <c r="AO1180" s="1657">
        <f>'NET LENDING'!AJ21/1000000000</f>
        <v>0</v>
      </c>
      <c r="AP1180" s="1657">
        <f>'NET LENDING'!AM21/1000000000</f>
        <v>0</v>
      </c>
      <c r="AQ1180" s="1657"/>
      <c r="AR1180" s="1657"/>
      <c r="AS1180" s="1657"/>
      <c r="AT1180" s="1657"/>
      <c r="AU1180" s="1657"/>
      <c r="AV1180" s="1657" t="e">
        <f t="shared" si="1365"/>
        <v>#DIV/0!</v>
      </c>
      <c r="AW1180" s="1916"/>
      <c r="AX1180" s="1916"/>
      <c r="AY1180" s="1916"/>
      <c r="AZ1180" s="1916"/>
      <c r="BA1180" s="1916"/>
      <c r="BB1180" s="1916"/>
      <c r="BC1180" s="1916"/>
      <c r="BD1180" s="1916"/>
      <c r="BE1180" s="1916"/>
      <c r="BF1180" s="1916"/>
      <c r="BG1180" s="1916"/>
      <c r="BH1180" s="1915"/>
    </row>
    <row r="1181" spans="1:60">
      <c r="A1181" s="1"/>
      <c r="B1181" s="1"/>
      <c r="C1181" s="1"/>
      <c r="D1181" s="1392" t="s">
        <v>4159</v>
      </c>
      <c r="E1181" s="323"/>
      <c r="F1181" s="323"/>
      <c r="G1181" s="323"/>
      <c r="H1181" s="323"/>
      <c r="I1181" s="323"/>
      <c r="J1181" s="323"/>
      <c r="K1181" s="323"/>
      <c r="L1181" s="323"/>
      <c r="M1181" s="323"/>
      <c r="N1181" s="323"/>
      <c r="O1181" s="323"/>
      <c r="P1181" s="323"/>
      <c r="Q1181" s="323"/>
      <c r="R1181" s="323"/>
      <c r="S1181" s="323"/>
      <c r="T1181" s="323"/>
      <c r="U1181" s="323"/>
      <c r="V1181" s="105"/>
      <c r="W1181" s="676"/>
      <c r="X1181" s="676"/>
      <c r="Y1181" s="676"/>
      <c r="Z1181" s="676"/>
      <c r="AA1181" s="676"/>
      <c r="AB1181" s="676"/>
      <c r="AC1181" s="676"/>
      <c r="AD1181" s="676"/>
      <c r="AE1181" s="676"/>
      <c r="AF1181" s="676"/>
      <c r="AG1181" s="676"/>
      <c r="AH1181" s="676">
        <v>0</v>
      </c>
      <c r="AI1181" s="676">
        <v>0</v>
      </c>
      <c r="AJ1181" s="676">
        <v>0</v>
      </c>
      <c r="AK1181" s="1657">
        <f>'NET LENDING'!X12/1000000000</f>
        <v>0</v>
      </c>
      <c r="AL1181" s="1657">
        <f>'NET LENDING'!AA12/1000000000</f>
        <v>13.361910927</v>
      </c>
      <c r="AM1181" s="1657">
        <f>'NET LENDING'!AD12/1000000000</f>
        <v>12.699004762</v>
      </c>
      <c r="AN1181" s="1657">
        <f>'NET LENDING'!AG12/1000000000</f>
        <v>20.183943887000002</v>
      </c>
      <c r="AO1181" s="1657">
        <f>'NET LENDING'!AJ12/1000000000</f>
        <v>21.258663342999998</v>
      </c>
      <c r="AP1181" s="1657">
        <f>'NET LENDING'!AM12/1000000000</f>
        <v>20.316455334</v>
      </c>
      <c r="AQ1181" s="1657"/>
      <c r="AR1181" s="1657"/>
      <c r="AS1181" s="1657"/>
      <c r="AT1181" s="1657"/>
      <c r="AU1181" s="1657"/>
      <c r="AV1181" s="1657" t="e">
        <f t="shared" si="1365"/>
        <v>#DIV/0!</v>
      </c>
      <c r="AW1181" s="1916"/>
      <c r="AX1181" s="1916"/>
      <c r="AY1181" s="1916"/>
      <c r="AZ1181" s="1916"/>
      <c r="BA1181" s="1916"/>
      <c r="BB1181" s="1916"/>
      <c r="BC1181" s="1916"/>
      <c r="BD1181" s="1916"/>
      <c r="BE1181" s="1916"/>
      <c r="BF1181" s="1916"/>
      <c r="BG1181" s="1916"/>
      <c r="BH1181" s="1915"/>
    </row>
    <row r="1182" spans="1:60">
      <c r="A1182" s="1"/>
      <c r="B1182" s="1"/>
      <c r="C1182" s="1"/>
      <c r="D1182" s="1392" t="s">
        <v>3910</v>
      </c>
      <c r="E1182" s="323"/>
      <c r="F1182" s="323"/>
      <c r="G1182" s="323"/>
      <c r="H1182" s="323"/>
      <c r="I1182" s="323"/>
      <c r="J1182" s="323"/>
      <c r="K1182" s="323"/>
      <c r="L1182" s="323"/>
      <c r="M1182" s="323"/>
      <c r="N1182" s="323"/>
      <c r="O1182" s="323"/>
      <c r="P1182" s="323"/>
      <c r="Q1182" s="323"/>
      <c r="R1182" s="323"/>
      <c r="S1182" s="323"/>
      <c r="T1182" s="323"/>
      <c r="U1182" s="323"/>
      <c r="V1182" s="105"/>
      <c r="W1182" s="676"/>
      <c r="X1182" s="676"/>
      <c r="Y1182" s="676"/>
      <c r="Z1182" s="676"/>
      <c r="AA1182" s="676"/>
      <c r="AB1182" s="676"/>
      <c r="AC1182" s="676"/>
      <c r="AD1182" s="676"/>
      <c r="AE1182" s="676"/>
      <c r="AF1182" s="676"/>
      <c r="AG1182" s="676"/>
      <c r="AH1182" s="676">
        <v>0</v>
      </c>
      <c r="AI1182" s="676">
        <v>0</v>
      </c>
      <c r="AJ1182" s="676">
        <v>0</v>
      </c>
      <c r="AK1182" s="1657">
        <f>'NET LENDING'!X23/1000000000</f>
        <v>2.910515572</v>
      </c>
      <c r="AL1182" s="1657">
        <f>'NET LENDING'!AA23/1000000000</f>
        <v>3.1149322599999998</v>
      </c>
      <c r="AM1182" s="1657">
        <f>'NET LENDING'!AD23/1000000000</f>
        <v>3.1149322599999998</v>
      </c>
      <c r="AN1182" s="1657">
        <f>'NET LENDING'!AG23/1000000000</f>
        <v>3.1149322599999998</v>
      </c>
      <c r="AO1182" s="1657">
        <f>'NET LENDING'!AJ23/1000000000</f>
        <v>3.1149322599999998</v>
      </c>
      <c r="AP1182" s="1657">
        <f>'NET LENDING'!AM23/1000000000</f>
        <v>3.1149322599999998</v>
      </c>
      <c r="AQ1182" s="1657"/>
      <c r="AR1182" s="1657"/>
      <c r="AS1182" s="1657"/>
      <c r="AT1182" s="1657"/>
      <c r="AU1182" s="1657"/>
      <c r="AV1182" s="1657" t="e">
        <f t="shared" si="1365"/>
        <v>#DIV/0!</v>
      </c>
      <c r="AW1182" s="1916"/>
      <c r="AX1182" s="1916"/>
      <c r="AY1182" s="1916"/>
      <c r="AZ1182" s="1916"/>
      <c r="BA1182" s="1916"/>
      <c r="BB1182" s="1916"/>
      <c r="BC1182" s="1916"/>
      <c r="BD1182" s="1916"/>
      <c r="BE1182" s="1916"/>
      <c r="BF1182" s="1916"/>
      <c r="BG1182" s="1916"/>
      <c r="BH1182" s="1915"/>
    </row>
    <row r="1183" spans="1:60">
      <c r="A1183" s="1"/>
      <c r="B1183" s="1"/>
      <c r="C1183" s="1"/>
      <c r="D1183" s="1456" t="s">
        <v>3911</v>
      </c>
      <c r="E1183" s="323"/>
      <c r="F1183" s="323"/>
      <c r="G1183" s="323"/>
      <c r="H1183" s="323"/>
      <c r="I1183" s="323"/>
      <c r="J1183" s="323"/>
      <c r="K1183" s="323"/>
      <c r="L1183" s="323"/>
      <c r="M1183" s="323"/>
      <c r="N1183" s="323"/>
      <c r="O1183" s="323"/>
      <c r="P1183" s="323"/>
      <c r="Q1183" s="323"/>
      <c r="R1183" s="323"/>
      <c r="S1183" s="323"/>
      <c r="T1183" s="323"/>
      <c r="U1183" s="323"/>
      <c r="V1183" s="105"/>
      <c r="W1183" s="676"/>
      <c r="X1183" s="676"/>
      <c r="Y1183" s="676"/>
      <c r="Z1183" s="676"/>
      <c r="AA1183" s="676"/>
      <c r="AB1183" s="676"/>
      <c r="AC1183" s="676"/>
      <c r="AD1183" s="676"/>
      <c r="AE1183" s="676"/>
      <c r="AF1183" s="676"/>
      <c r="AG1183" s="676"/>
      <c r="AH1183" s="676">
        <v>0</v>
      </c>
      <c r="AI1183" s="676">
        <v>0</v>
      </c>
      <c r="AJ1183" s="676">
        <v>0</v>
      </c>
      <c r="AK1183" s="1657">
        <f>'NET LENDING'!X8/1000000000</f>
        <v>4.9072105859999997</v>
      </c>
      <c r="AL1183" s="1657">
        <f>'NET LENDING'!AA8/1000000000</f>
        <v>1.2192595479999999</v>
      </c>
      <c r="AM1183" s="1657">
        <f>'NET LENDING'!AD8/1000000000</f>
        <v>0</v>
      </c>
      <c r="AN1183" s="1657">
        <f>'NET LENDING'!AG8/1000000000</f>
        <v>0</v>
      </c>
      <c r="AO1183" s="1657">
        <f>'NET LENDING'!AJ8/1000000000</f>
        <v>0</v>
      </c>
      <c r="AP1183" s="1657">
        <f>'NET LENDING'!AM8/1000000000</f>
        <v>0</v>
      </c>
      <c r="AQ1183" s="1657"/>
      <c r="AR1183" s="1657"/>
      <c r="AS1183" s="1657"/>
      <c r="AT1183" s="1657"/>
      <c r="AU1183" s="1657"/>
      <c r="AV1183" s="1657" t="e">
        <f t="shared" si="1365"/>
        <v>#DIV/0!</v>
      </c>
      <c r="AW1183" s="1916"/>
      <c r="AX1183" s="1916"/>
      <c r="AY1183" s="1916"/>
      <c r="AZ1183" s="1916"/>
      <c r="BA1183" s="1916"/>
      <c r="BB1183" s="1916"/>
      <c r="BC1183" s="1916"/>
      <c r="BD1183" s="1916"/>
      <c r="BE1183" s="1916"/>
      <c r="BF1183" s="1916"/>
      <c r="BG1183" s="1916"/>
      <c r="BH1183" s="1915"/>
    </row>
    <row r="1184" spans="1:60">
      <c r="A1184" s="1"/>
      <c r="B1184" s="1"/>
      <c r="C1184" s="1"/>
      <c r="D1184" s="1393" t="s">
        <v>3307</v>
      </c>
      <c r="E1184" s="323"/>
      <c r="F1184" s="323"/>
      <c r="G1184" s="323"/>
      <c r="H1184" s="323"/>
      <c r="I1184" s="323"/>
      <c r="J1184" s="323"/>
      <c r="K1184" s="323"/>
      <c r="L1184" s="323"/>
      <c r="M1184" s="323"/>
      <c r="N1184" s="323"/>
      <c r="O1184" s="323"/>
      <c r="P1184" s="323"/>
      <c r="Q1184" s="323"/>
      <c r="R1184" s="323"/>
      <c r="S1184" s="323"/>
      <c r="T1184" s="323"/>
      <c r="U1184" s="323"/>
      <c r="V1184" s="105"/>
      <c r="W1184" s="105"/>
      <c r="X1184" s="105"/>
      <c r="Y1184" s="676"/>
      <c r="Z1184" s="676"/>
      <c r="AA1184" s="676"/>
      <c r="AB1184" s="676"/>
      <c r="AC1184" s="676"/>
      <c r="AD1184" s="676"/>
      <c r="AE1184" s="676"/>
      <c r="AF1184" s="676"/>
      <c r="AG1184" s="676"/>
      <c r="AH1184" s="676">
        <f>FISCinyear!JE865</f>
        <v>0</v>
      </c>
      <c r="AI1184" s="676">
        <f>FISCinyear!JH865</f>
        <v>0</v>
      </c>
      <c r="AJ1184" s="676">
        <f>FISCinyear!JK865</f>
        <v>0</v>
      </c>
      <c r="AK1184" s="931"/>
      <c r="AL1184" s="931"/>
      <c r="AM1184" s="931"/>
      <c r="AN1184" s="931"/>
      <c r="AO1184" s="931"/>
      <c r="AP1184" s="931"/>
      <c r="AQ1184" s="931"/>
      <c r="AR1184" s="931"/>
      <c r="AS1184" s="931"/>
      <c r="AT1184" s="931"/>
      <c r="AU1184" s="931"/>
      <c r="AV1184" s="931" t="e">
        <f t="shared" si="1365"/>
        <v>#DIV/0!</v>
      </c>
      <c r="AW1184" s="1916"/>
      <c r="AX1184" s="1916"/>
      <c r="AY1184" s="1916"/>
      <c r="AZ1184" s="1916"/>
      <c r="BA1184" s="1916"/>
      <c r="BB1184" s="1916"/>
      <c r="BC1184" s="1916"/>
      <c r="BD1184" s="1916"/>
      <c r="BE1184" s="1916"/>
      <c r="BF1184" s="1916"/>
      <c r="BG1184" s="1916"/>
      <c r="BH1184" s="1915"/>
    </row>
    <row r="1185" spans="1:60">
      <c r="A1185" s="1"/>
      <c r="B1185" s="1"/>
      <c r="C1185" s="1"/>
      <c r="D1185" s="1662" t="s">
        <v>3309</v>
      </c>
      <c r="E1185" s="323"/>
      <c r="F1185" s="323"/>
      <c r="G1185" s="323"/>
      <c r="H1185" s="323"/>
      <c r="I1185" s="323"/>
      <c r="J1185" s="323"/>
      <c r="K1185" s="323"/>
      <c r="L1185" s="323"/>
      <c r="M1185" s="323"/>
      <c r="N1185" s="323"/>
      <c r="O1185" s="323"/>
      <c r="P1185" s="323"/>
      <c r="Q1185" s="323"/>
      <c r="R1185" s="323"/>
      <c r="S1185" s="323"/>
      <c r="T1185" s="323"/>
      <c r="U1185" s="323"/>
      <c r="V1185" s="105"/>
      <c r="W1185" s="105"/>
      <c r="X1185" s="105"/>
      <c r="Y1185" s="676"/>
      <c r="Z1185" s="676"/>
      <c r="AA1185" s="676"/>
      <c r="AB1185" s="676"/>
      <c r="AC1185" s="676"/>
      <c r="AD1185" s="676"/>
      <c r="AE1185" s="676"/>
      <c r="AF1185" s="676"/>
      <c r="AG1185" s="676"/>
      <c r="AH1185" s="1666">
        <f>FISCinyear!JE866</f>
        <v>23.1</v>
      </c>
      <c r="AI1185" s="1666">
        <f>FISCinyear!JH866</f>
        <v>0</v>
      </c>
      <c r="AJ1185" s="1666">
        <f>FISCinyear!JK866</f>
        <v>0</v>
      </c>
      <c r="AK1185" s="1666">
        <f>AK663</f>
        <v>0</v>
      </c>
      <c r="AL1185" s="1666">
        <f>AL663</f>
        <v>0</v>
      </c>
      <c r="AM1185" s="1666">
        <f>AM663</f>
        <v>0</v>
      </c>
      <c r="AN1185" s="1666">
        <f>AN663</f>
        <v>0</v>
      </c>
      <c r="AO1185" s="1666">
        <f>AO663</f>
        <v>0</v>
      </c>
      <c r="AP1185" s="1666"/>
      <c r="AQ1185" s="1666"/>
      <c r="AR1185" s="1666"/>
      <c r="AS1185" s="1666"/>
      <c r="AT1185" s="2677"/>
      <c r="AU1185" s="2677"/>
      <c r="AV1185" s="2677" t="e">
        <f t="shared" si="1365"/>
        <v>#DIV/0!</v>
      </c>
      <c r="AW1185" s="1916"/>
      <c r="AX1185" s="1916"/>
      <c r="AY1185" s="1916"/>
      <c r="AZ1185" s="1916"/>
      <c r="BA1185" s="1916"/>
      <c r="BB1185" s="1916"/>
      <c r="BC1185" s="1916"/>
      <c r="BD1185" s="1916"/>
      <c r="BE1185" s="1916"/>
      <c r="BF1185" s="1916"/>
      <c r="BG1185" s="1916"/>
      <c r="BH1185" s="1915"/>
    </row>
    <row r="1186" spans="1:60">
      <c r="A1186" s="1"/>
      <c r="B1186" s="1"/>
      <c r="C1186" s="1"/>
      <c r="D1186" s="1756" t="s">
        <v>3504</v>
      </c>
      <c r="E1186" s="323"/>
      <c r="F1186" s="323"/>
      <c r="G1186" s="323"/>
      <c r="H1186" s="323"/>
      <c r="I1186" s="323"/>
      <c r="J1186" s="323"/>
      <c r="K1186" s="323"/>
      <c r="L1186" s="323"/>
      <c r="M1186" s="323"/>
      <c r="N1186" s="323"/>
      <c r="O1186" s="323"/>
      <c r="P1186" s="323"/>
      <c r="Q1186" s="323"/>
      <c r="R1186" s="323"/>
      <c r="S1186" s="323"/>
      <c r="T1186" s="323"/>
      <c r="U1186" s="323"/>
      <c r="V1186" s="105"/>
      <c r="W1186" s="105"/>
      <c r="X1186" s="105"/>
      <c r="Y1186" s="676"/>
      <c r="Z1186" s="676"/>
      <c r="AA1186" s="676"/>
      <c r="AB1186" s="676"/>
      <c r="AC1186" s="676"/>
      <c r="AD1186" s="676"/>
      <c r="AE1186" s="676"/>
      <c r="AF1186" s="676"/>
      <c r="AG1186" s="676"/>
      <c r="AH1186" s="1666"/>
      <c r="AI1186" s="1666">
        <f>FISCinyear!JH867</f>
        <v>0</v>
      </c>
      <c r="AJ1186" s="1666">
        <f>FISCinyear!JK867</f>
        <v>0</v>
      </c>
      <c r="AK1186" s="1666"/>
      <c r="AL1186" s="1666"/>
      <c r="AM1186" s="1666"/>
      <c r="AN1186" s="1666"/>
      <c r="AO1186" s="1666"/>
      <c r="AP1186" s="1666"/>
      <c r="AQ1186" s="1666"/>
      <c r="AR1186" s="1666"/>
      <c r="AS1186" s="1666"/>
      <c r="AT1186" s="2677"/>
      <c r="AU1186" s="2677"/>
      <c r="AV1186" s="2677" t="e">
        <f t="shared" si="1365"/>
        <v>#DIV/0!</v>
      </c>
      <c r="AW1186" s="1916"/>
      <c r="AX1186" s="1916"/>
      <c r="AY1186" s="1916"/>
      <c r="AZ1186" s="1916"/>
      <c r="BA1186" s="1916"/>
      <c r="BB1186" s="1916"/>
      <c r="BC1186" s="1916"/>
      <c r="BD1186" s="1916"/>
      <c r="BE1186" s="1916"/>
      <c r="BF1186" s="1916"/>
      <c r="BG1186" s="1916"/>
      <c r="BH1186" s="1915"/>
    </row>
    <row r="1187" spans="1:60">
      <c r="A1187" s="1"/>
      <c r="B1187" s="1"/>
      <c r="C1187" s="1"/>
      <c r="D1187" s="357" t="str">
        <f>+FISCinyear!D868</f>
        <v xml:space="preserve">Consumption of fixed capital </v>
      </c>
      <c r="E1187" s="323"/>
      <c r="F1187" s="323"/>
      <c r="G1187" s="323"/>
      <c r="H1187" s="323"/>
      <c r="I1187" s="323"/>
      <c r="J1187" s="323"/>
      <c r="K1187" s="323"/>
      <c r="L1187" s="323"/>
      <c r="M1187" s="323"/>
      <c r="N1187" s="323"/>
      <c r="O1187" s="323"/>
      <c r="P1187" s="323"/>
      <c r="Q1187" s="323"/>
      <c r="R1187" s="323"/>
      <c r="S1187" s="323"/>
      <c r="T1187" s="323"/>
      <c r="U1187" s="323"/>
      <c r="V1187" s="105">
        <v>0</v>
      </c>
      <c r="W1187" s="105">
        <v>0</v>
      </c>
      <c r="X1187" s="105">
        <v>0</v>
      </c>
      <c r="Y1187" s="676">
        <f>FISCinyear!ID868</f>
        <v>0</v>
      </c>
      <c r="Z1187" s="676">
        <f>FISCinyear!IG868</f>
        <v>0</v>
      </c>
      <c r="AA1187" s="676">
        <f>FISCinyear!IJ868</f>
        <v>0</v>
      </c>
      <c r="AB1187" s="676">
        <f>FISCinyear!IM868</f>
        <v>0</v>
      </c>
      <c r="AC1187" s="676">
        <f>FISCinyear!IP868</f>
        <v>0</v>
      </c>
      <c r="AD1187" s="676">
        <f>FISCinyear!IS868</f>
        <v>0</v>
      </c>
      <c r="AE1187" s="676">
        <f>FISCinyear!IV868</f>
        <v>0</v>
      </c>
      <c r="AF1187" s="676">
        <f>FISCinyear!IY868</f>
        <v>0</v>
      </c>
      <c r="AG1187" s="676">
        <f>FISCinyear!JB868</f>
        <v>0</v>
      </c>
      <c r="AH1187" s="676">
        <f>FISCinyear!JE868</f>
        <v>0</v>
      </c>
      <c r="AI1187" s="676">
        <f>FISCinyear!JH868</f>
        <v>0</v>
      </c>
      <c r="AJ1187" s="676">
        <f>FISCinyear!JK868</f>
        <v>0</v>
      </c>
      <c r="AK1187" s="105">
        <f t="shared" ref="AK1187:AM1187" si="1455">AJ1187</f>
        <v>0</v>
      </c>
      <c r="AL1187" s="105">
        <f t="shared" si="1455"/>
        <v>0</v>
      </c>
      <c r="AM1187" s="105">
        <f t="shared" si="1455"/>
        <v>0</v>
      </c>
      <c r="AN1187" s="105">
        <f t="shared" ref="AN1187" si="1456">AM1187</f>
        <v>0</v>
      </c>
      <c r="AO1187" s="105">
        <f t="shared" ref="AO1187" si="1457">AN1187</f>
        <v>0</v>
      </c>
      <c r="AP1187" s="105"/>
      <c r="AQ1187" s="105"/>
      <c r="AR1187" s="105"/>
      <c r="AS1187" s="105"/>
      <c r="AT1187" s="105"/>
      <c r="AU1187" s="105"/>
      <c r="AV1187" s="105" t="e">
        <f t="shared" si="1365"/>
        <v>#DIV/0!</v>
      </c>
      <c r="AW1187" s="1916"/>
      <c r="AX1187" s="1916"/>
      <c r="AY1187" s="1916"/>
      <c r="AZ1187" s="1916"/>
      <c r="BA1187" s="1916"/>
      <c r="BB1187" s="1916"/>
      <c r="BC1187" s="1916"/>
      <c r="BD1187" s="1916"/>
      <c r="BE1187" s="1916"/>
      <c r="BF1187" s="1916"/>
      <c r="BG1187" s="1916"/>
      <c r="BH1187" s="1915"/>
    </row>
    <row r="1188" spans="1:60">
      <c r="A1188" s="1"/>
      <c r="B1188" s="1"/>
      <c r="C1188" s="1"/>
      <c r="D1188" s="357" t="str">
        <f>+FISCinyear!D869</f>
        <v xml:space="preserve">Interest </v>
      </c>
      <c r="E1188" s="323"/>
      <c r="F1188" s="323"/>
      <c r="G1188" s="323"/>
      <c r="H1188" s="323"/>
      <c r="I1188" s="323"/>
      <c r="J1188" s="323"/>
      <c r="K1188" s="323"/>
      <c r="L1188" s="323"/>
      <c r="M1188" s="323"/>
      <c r="N1188" s="323"/>
      <c r="O1188" s="323"/>
      <c r="P1188" s="323"/>
      <c r="Q1188" s="323"/>
      <c r="R1188" s="323"/>
      <c r="S1188" s="323"/>
      <c r="T1188" s="323"/>
      <c r="U1188" s="323"/>
      <c r="V1188" s="105">
        <f>V1189+V1196</f>
        <v>0</v>
      </c>
      <c r="W1188" s="105">
        <f>+W1189+W1196</f>
        <v>18.399999999999999</v>
      </c>
      <c r="X1188" s="105">
        <f>+X1189+X1196</f>
        <v>30.7</v>
      </c>
      <c r="Y1188" s="676">
        <f>FISCinyear!ID869</f>
        <v>43.576804800562741</v>
      </c>
      <c r="Z1188" s="676">
        <f>FISCinyear!IG869</f>
        <v>45.872275573083982</v>
      </c>
      <c r="AA1188" s="676">
        <f>FISCinyear!IJ869</f>
        <v>56.842062232496403</v>
      </c>
      <c r="AB1188" s="676">
        <f>FISCinyear!IM869</f>
        <v>72.191874699195651</v>
      </c>
      <c r="AC1188" s="676">
        <f>FISCinyear!IP869</f>
        <v>91.578582652050613</v>
      </c>
      <c r="AD1188" s="676">
        <f>FISCinyear!IS869</f>
        <v>102.49247013915866</v>
      </c>
      <c r="AE1188" s="676">
        <f>FISCinyear!IV869</f>
        <v>139.11880432605938</v>
      </c>
      <c r="AF1188" s="676">
        <f>FISCinyear!IY869</f>
        <v>180.68587590230521</v>
      </c>
      <c r="AG1188" s="676">
        <f>FISCinyear!JB869</f>
        <v>220.33496040005542</v>
      </c>
      <c r="AH1188" s="676">
        <f>FISCinyear!JE869</f>
        <v>303.5028569211014</v>
      </c>
      <c r="AI1188" s="676">
        <f>FISCinyear!JH869</f>
        <v>417.72068484998749</v>
      </c>
      <c r="AJ1188" s="676">
        <f>FISCinyear!JK869</f>
        <v>485.86876249933277</v>
      </c>
      <c r="AK1188" s="1063">
        <f>AK1189+AK1196+AK1195</f>
        <v>575.63840348451254</v>
      </c>
      <c r="AL1188" s="1063">
        <f t="shared" ref="AL1188:AS1188" si="1458">AL1189+AL1196+AL1195</f>
        <v>665.19205016128569</v>
      </c>
      <c r="AM1188" s="1063">
        <f t="shared" si="1458"/>
        <v>707.34308411161601</v>
      </c>
      <c r="AN1188" s="1063">
        <f t="shared" si="1458"/>
        <v>697.38033501178086</v>
      </c>
      <c r="AO1188" s="1063">
        <f t="shared" si="1458"/>
        <v>714.03743850815363</v>
      </c>
      <c r="AP1188" s="1063">
        <f t="shared" si="1458"/>
        <v>875.22125777941335</v>
      </c>
      <c r="AQ1188" s="1063">
        <f t="shared" si="1458"/>
        <v>1074.1439149225996</v>
      </c>
      <c r="AR1188" s="1063">
        <f t="shared" si="1458"/>
        <v>1002.7305097254755</v>
      </c>
      <c r="AS1188" s="1063">
        <f t="shared" si="1458"/>
        <v>980.08903265767515</v>
      </c>
      <c r="AT1188" s="1063">
        <f t="shared" ref="AT1188" si="1459">AT1189+AT1196</f>
        <v>986.33357488535989</v>
      </c>
      <c r="AU1188" s="1063">
        <f t="shared" si="1364"/>
        <v>992.61790360828547</v>
      </c>
      <c r="AV1188" s="1063">
        <f t="shared" si="1365"/>
        <v>6.3714030252453036E-3</v>
      </c>
      <c r="AW1188" s="1916"/>
      <c r="AX1188" s="1916"/>
      <c r="AY1188" s="1916"/>
      <c r="AZ1188" s="1916"/>
      <c r="BA1188" s="1916"/>
      <c r="BB1188" s="1916"/>
      <c r="BC1188" s="1916"/>
      <c r="BD1188" s="1916"/>
      <c r="BE1188" s="1916"/>
      <c r="BF1188" s="1916"/>
      <c r="BG1188" s="1916"/>
      <c r="BH1188" s="1915"/>
    </row>
    <row r="1189" spans="1:60">
      <c r="A1189" s="1"/>
      <c r="B1189" s="1"/>
      <c r="C1189" s="1"/>
      <c r="D1189" s="360" t="str">
        <f>+FISCinyear!D870</f>
        <v>To nonresidents</v>
      </c>
      <c r="E1189" s="323"/>
      <c r="F1189" s="323"/>
      <c r="G1189" s="323"/>
      <c r="H1189" s="323"/>
      <c r="I1189" s="323"/>
      <c r="J1189" s="323"/>
      <c r="K1189" s="323"/>
      <c r="L1189" s="323"/>
      <c r="M1189" s="323"/>
      <c r="N1189" s="323"/>
      <c r="O1189" s="323"/>
      <c r="P1189" s="323"/>
      <c r="Q1189" s="323"/>
      <c r="R1189" s="323"/>
      <c r="S1189" s="323"/>
      <c r="T1189" s="323"/>
      <c r="U1189" s="323"/>
      <c r="V1189" s="105">
        <v>0</v>
      </c>
      <c r="W1189" s="105">
        <f>+W802</f>
        <v>13.2</v>
      </c>
      <c r="X1189" s="105">
        <f>+X802</f>
        <v>15.7</v>
      </c>
      <c r="Y1189" s="676">
        <f>FISCinyear!ID870</f>
        <v>25.531452209697722</v>
      </c>
      <c r="Z1189" s="676">
        <f>FISCinyear!IG870</f>
        <v>27.610652279868326</v>
      </c>
      <c r="AA1189" s="676">
        <f>FISCinyear!IJ870</f>
        <v>31.347239564619255</v>
      </c>
      <c r="AB1189" s="676">
        <f>FISCinyear!IM870</f>
        <v>36.938619403195652</v>
      </c>
      <c r="AC1189" s="676">
        <f>FISCinyear!IP870</f>
        <v>42.678570124050616</v>
      </c>
      <c r="AD1189" s="676">
        <f>FISCinyear!IS870</f>
        <v>47.888981172885451</v>
      </c>
      <c r="AE1189" s="676">
        <f>FISCinyear!IV870</f>
        <v>60.817013922059381</v>
      </c>
      <c r="AF1189" s="676">
        <f>FISCinyear!IY870</f>
        <v>67.176994500599847</v>
      </c>
      <c r="AG1189" s="676">
        <f>FISCinyear!JB870</f>
        <v>69.967521029055391</v>
      </c>
      <c r="AH1189" s="676">
        <f>FISCinyear!JE870</f>
        <v>100.84906284410137</v>
      </c>
      <c r="AI1189" s="676">
        <f>FISCinyear!JH870</f>
        <v>183.25187678098752</v>
      </c>
      <c r="AJ1189" s="676">
        <f>FISCinyear!JK870</f>
        <v>224.30838599498665</v>
      </c>
      <c r="AK1189" s="1063">
        <f>+(((AJ146+AJ152+AK134+AK140)*AK259/1000))+(AK703*AK259/1000)*0</f>
        <v>286.79074781751251</v>
      </c>
      <c r="AL1189" s="1063">
        <f t="shared" ref="AL1189:AP1189" si="1460">+(((AK146+AK152+AL134+AL140)*AL259/1000))+(AL703*AL259/1000)*0</f>
        <v>332.70263135628568</v>
      </c>
      <c r="AM1189" s="1063">
        <f t="shared" si="1460"/>
        <v>372.06874372761598</v>
      </c>
      <c r="AN1189" s="1063">
        <f t="shared" si="1460"/>
        <v>394.35846276978089</v>
      </c>
      <c r="AO1189" s="1063">
        <f t="shared" si="1460"/>
        <v>423.77647490715367</v>
      </c>
      <c r="AP1189" s="1063">
        <f t="shared" si="1460"/>
        <v>465.30814855741335</v>
      </c>
      <c r="AQ1189" s="1063">
        <f t="shared" ref="AQ1189:AT1189" si="1461">(+(((AP146+AP152+AQ134+AQ140)*AQ259/1000))+(AQ703*AQ259/1000))*1.5</f>
        <v>691.77671683759968</v>
      </c>
      <c r="AR1189" s="1063">
        <f t="shared" si="1461"/>
        <v>656.46868315597555</v>
      </c>
      <c r="AS1189" s="1063">
        <f t="shared" si="1461"/>
        <v>655.77577963117551</v>
      </c>
      <c r="AT1189" s="1063">
        <f t="shared" si="1461"/>
        <v>646.40588426411091</v>
      </c>
      <c r="AU1189" s="1063">
        <f t="shared" ref="AU1189:AU1241" si="1462">AT1189*(1+AV1189)</f>
        <v>637.16986840573929</v>
      </c>
      <c r="AV1189" s="1063">
        <f t="shared" ref="AV1189:AV1253" si="1463">AT1189/AS1189-1</f>
        <v>-1.4288260802090669E-2</v>
      </c>
      <c r="AW1189" s="1916"/>
      <c r="AX1189" s="1916"/>
      <c r="AY1189" s="1916"/>
      <c r="AZ1189" s="1916"/>
      <c r="BA1189" s="1916"/>
      <c r="BB1189" s="1916"/>
      <c r="BC1189" s="1916"/>
      <c r="BD1189" s="1916"/>
      <c r="BE1189" s="1916"/>
      <c r="BF1189" s="1916"/>
      <c r="BG1189" s="1916"/>
      <c r="BH1189" s="1915"/>
    </row>
    <row r="1190" spans="1:60">
      <c r="A1190" s="1"/>
      <c r="B1190" s="1"/>
      <c r="C1190" s="1"/>
      <c r="D1190" s="1395" t="s">
        <v>3598</v>
      </c>
      <c r="E1190" s="323"/>
      <c r="F1190" s="323"/>
      <c r="G1190" s="323"/>
      <c r="H1190" s="323"/>
      <c r="I1190" s="323"/>
      <c r="J1190" s="323"/>
      <c r="K1190" s="323"/>
      <c r="L1190" s="323"/>
      <c r="M1190" s="323"/>
      <c r="N1190" s="323"/>
      <c r="O1190" s="323"/>
      <c r="P1190" s="323"/>
      <c r="Q1190" s="323"/>
      <c r="R1190" s="323"/>
      <c r="S1190" s="323"/>
      <c r="T1190" s="323"/>
      <c r="U1190" s="323"/>
      <c r="V1190" s="105"/>
      <c r="W1190" s="105"/>
      <c r="X1190" s="105"/>
      <c r="Y1190" s="676"/>
      <c r="Z1190" s="676"/>
      <c r="AA1190" s="676"/>
      <c r="AB1190" s="676"/>
      <c r="AC1190" s="676"/>
      <c r="AD1190" s="676"/>
      <c r="AE1190" s="676"/>
      <c r="AF1190" s="676"/>
      <c r="AG1190" s="676"/>
      <c r="AH1190" s="676"/>
      <c r="AI1190" s="676"/>
      <c r="AJ1190" s="676"/>
      <c r="AK1190" s="1063">
        <f>(AJ147+AJ153+AK135+AK141)*AK259/1000</f>
        <v>0</v>
      </c>
      <c r="AL1190" s="1063">
        <f>(AK147+AK153+AL135+AL141)*AL259/1000</f>
        <v>28.619105157076881</v>
      </c>
      <c r="AM1190" s="1063">
        <f>(AL147+AL153+AM135+AM141)*AM259/1000</f>
        <v>55.672042953181602</v>
      </c>
      <c r="AN1190" s="1063">
        <f>(AM147+AM153+AN135+AN141)*AN259/1000</f>
        <v>70.458625026013721</v>
      </c>
      <c r="AO1190" s="1063">
        <f>(AN147+AN153+AO135+AO141)*AO259/1000</f>
        <v>75.242761347346658</v>
      </c>
      <c r="AP1190" s="1063">
        <f>(AO147+AO153+AP135+AP141)*AP258/1000</f>
        <v>50.464401824145042</v>
      </c>
      <c r="AQ1190" s="1063">
        <f>(AP147+AP153+AQ135+AQ141)*AQ258/1000</f>
        <v>50.086998744804667</v>
      </c>
      <c r="AR1190" s="1063">
        <f>(AQ147+AQ153+AR135+AR141)*AR258/1000</f>
        <v>48.190512433843487</v>
      </c>
      <c r="AS1190" s="1063">
        <f>(AR147+AR153+AS135+AS141)*AS258/1000</f>
        <v>46.113697654262339</v>
      </c>
      <c r="AT1190" s="1063">
        <f>(AS147+AS153+AT135+AT141)*AT258/1000</f>
        <v>42.891229769918439</v>
      </c>
      <c r="AU1190" s="1063">
        <f t="shared" si="1462"/>
        <v>39.893950924707426</v>
      </c>
      <c r="AV1190" s="1063">
        <f t="shared" si="1463"/>
        <v>-6.9880925804396976E-2</v>
      </c>
      <c r="AW1190" s="1916"/>
      <c r="AX1190" s="1916"/>
      <c r="AY1190" s="1916"/>
      <c r="AZ1190" s="1916"/>
      <c r="BA1190" s="1916"/>
      <c r="BB1190" s="1916"/>
      <c r="BC1190" s="1916"/>
      <c r="BD1190" s="1916"/>
      <c r="BE1190" s="1916"/>
      <c r="BF1190" s="1916"/>
      <c r="BG1190" s="1916"/>
      <c r="BH1190" s="1915"/>
    </row>
    <row r="1191" spans="1:60">
      <c r="A1191" s="1"/>
      <c r="B1191" s="1"/>
      <c r="C1191" s="1"/>
      <c r="D1191" s="1395" t="s">
        <v>3597</v>
      </c>
      <c r="E1191" s="323"/>
      <c r="F1191" s="323"/>
      <c r="G1191" s="323"/>
      <c r="H1191" s="323"/>
      <c r="I1191" s="323"/>
      <c r="J1191" s="323"/>
      <c r="K1191" s="323"/>
      <c r="L1191" s="323"/>
      <c r="M1191" s="323"/>
      <c r="N1191" s="323"/>
      <c r="O1191" s="323"/>
      <c r="P1191" s="323"/>
      <c r="Q1191" s="323"/>
      <c r="R1191" s="323"/>
      <c r="S1191" s="323"/>
      <c r="T1191" s="323"/>
      <c r="U1191" s="323"/>
      <c r="V1191" s="105">
        <f t="shared" ref="V1191:AE1191" si="1464">(U148+U154+V136+V142)*V259/1000</f>
        <v>0</v>
      </c>
      <c r="W1191" s="105">
        <f t="shared" si="1464"/>
        <v>0</v>
      </c>
      <c r="X1191" s="105">
        <f t="shared" si="1464"/>
        <v>0</v>
      </c>
      <c r="Y1191" s="105">
        <f t="shared" si="1464"/>
        <v>0</v>
      </c>
      <c r="Z1191" s="105">
        <f t="shared" si="1464"/>
        <v>0</v>
      </c>
      <c r="AA1191" s="105">
        <f t="shared" si="1464"/>
        <v>0</v>
      </c>
      <c r="AB1191" s="105">
        <f t="shared" si="1464"/>
        <v>0</v>
      </c>
      <c r="AC1191" s="105">
        <f t="shared" si="1464"/>
        <v>3.3611482890763016</v>
      </c>
      <c r="AD1191" s="105">
        <f t="shared" si="1464"/>
        <v>6.6505236899803579</v>
      </c>
      <c r="AE1191" s="105">
        <f t="shared" si="1464"/>
        <v>6.0172330405343653</v>
      </c>
      <c r="AF1191" s="105">
        <f>FISCinyear!IY871</f>
        <v>2.243714128537631</v>
      </c>
      <c r="AG1191" s="105">
        <f>FISCinyear!JB871</f>
        <v>1.5999406759999999</v>
      </c>
      <c r="AH1191" s="105">
        <f>FISCinyear!JE871</f>
        <v>0</v>
      </c>
      <c r="AI1191" s="105">
        <f>FISCinyear!JH871</f>
        <v>0</v>
      </c>
      <c r="AJ1191" s="105">
        <f>FISCinyear!JK871</f>
        <v>0</v>
      </c>
      <c r="AK1191" s="1063">
        <f>((AJ148+AJ154+AK136+AK142)*AK259/1000)+(AK703*AK259/1000)*0</f>
        <v>0</v>
      </c>
      <c r="AL1191" s="1063">
        <f>((AK148+AK154+AL136+AL142)*AL259/1000)+(AL703*AL259/1000)*0</f>
        <v>0</v>
      </c>
      <c r="AM1191" s="1063">
        <f>((AL148+AL154+AM136+AM142)*AM259/1000)+(AM703*AM259/1000)*0</f>
        <v>2.8386540226660655</v>
      </c>
      <c r="AN1191" s="1063">
        <f>((AM148+AM154+AN136+AN142)*AN259/1000)+(AN703*AN259/1000)*0</f>
        <v>10.920358445738996</v>
      </c>
      <c r="AO1191" s="1063">
        <f>((AN148+AN154+AO136+AO142)*AO259/1000)+(AO703*AO259/1000)*0</f>
        <v>22.117499157337303</v>
      </c>
      <c r="AP1191" s="1063">
        <f t="shared" ref="AP1191:AU1191" si="1465">((AO149+AO155+AP137+AP143)*AP259/1000)+(AP703*AP259/1000)</f>
        <v>0</v>
      </c>
      <c r="AQ1191" s="1063">
        <f t="shared" si="1465"/>
        <v>0</v>
      </c>
      <c r="AR1191" s="1063">
        <f t="shared" si="1465"/>
        <v>0</v>
      </c>
      <c r="AS1191" s="1063">
        <f t="shared" si="1465"/>
        <v>0</v>
      </c>
      <c r="AT1191" s="1063">
        <f t="shared" si="1465"/>
        <v>0</v>
      </c>
      <c r="AU1191" s="1063">
        <f t="shared" si="1465"/>
        <v>0</v>
      </c>
      <c r="AV1191" s="1063" t="e">
        <f t="shared" si="1463"/>
        <v>#DIV/0!</v>
      </c>
      <c r="AW1191" s="1916"/>
      <c r="AX1191" s="1916"/>
      <c r="AY1191" s="1916"/>
      <c r="AZ1191" s="1916"/>
      <c r="BA1191" s="1916"/>
      <c r="BB1191" s="1916"/>
      <c r="BC1191" s="1916"/>
      <c r="BD1191" s="1916"/>
      <c r="BE1191" s="1916"/>
      <c r="BF1191" s="1916"/>
      <c r="BG1191" s="1916"/>
      <c r="BH1191" s="1915"/>
    </row>
    <row r="1192" spans="1:60">
      <c r="A1192" s="1"/>
      <c r="B1192" s="1"/>
      <c r="C1192" s="1"/>
      <c r="D1192" s="1395" t="s">
        <v>3669</v>
      </c>
      <c r="E1192" s="323"/>
      <c r="F1192" s="323"/>
      <c r="G1192" s="323"/>
      <c r="H1192" s="323"/>
      <c r="I1192" s="323"/>
      <c r="J1192" s="323"/>
      <c r="K1192" s="323"/>
      <c r="L1192" s="323"/>
      <c r="M1192" s="323"/>
      <c r="N1192" s="323"/>
      <c r="O1192" s="323"/>
      <c r="P1192" s="323"/>
      <c r="Q1192" s="323"/>
      <c r="R1192" s="323"/>
      <c r="S1192" s="323"/>
      <c r="T1192" s="323"/>
      <c r="U1192" s="323"/>
      <c r="V1192" s="105"/>
      <c r="W1192" s="105"/>
      <c r="X1192" s="105"/>
      <c r="Y1192" s="105"/>
      <c r="Z1192" s="105"/>
      <c r="AA1192" s="105"/>
      <c r="AB1192" s="105"/>
      <c r="AC1192" s="105"/>
      <c r="AD1192" s="105"/>
      <c r="AE1192" s="105"/>
      <c r="AF1192" s="105"/>
      <c r="AG1192" s="105"/>
      <c r="AH1192" s="105"/>
      <c r="AI1192" s="105"/>
      <c r="AJ1192" s="105"/>
      <c r="AK1192" s="1063">
        <f t="shared" ref="AK1192:AU1192" si="1466">((AJ149+AJ155+AK137+AK143)*AK259/1000)+(AK704*AK259/1000)</f>
        <v>0</v>
      </c>
      <c r="AL1192" s="1063">
        <f t="shared" si="1466"/>
        <v>0</v>
      </c>
      <c r="AM1192" s="1063">
        <f t="shared" si="1466"/>
        <v>0</v>
      </c>
      <c r="AN1192" s="1063">
        <f t="shared" si="1466"/>
        <v>0</v>
      </c>
      <c r="AO1192" s="1063">
        <f t="shared" si="1466"/>
        <v>0</v>
      </c>
      <c r="AP1192" s="1063">
        <f t="shared" si="1466"/>
        <v>0</v>
      </c>
      <c r="AQ1192" s="1063">
        <f t="shared" si="1466"/>
        <v>0</v>
      </c>
      <c r="AR1192" s="1063">
        <f t="shared" si="1466"/>
        <v>0</v>
      </c>
      <c r="AS1192" s="1063">
        <f t="shared" si="1466"/>
        <v>0</v>
      </c>
      <c r="AT1192" s="1063">
        <f t="shared" si="1466"/>
        <v>0</v>
      </c>
      <c r="AU1192" s="1063">
        <f t="shared" si="1466"/>
        <v>0</v>
      </c>
      <c r="AV1192" s="1063" t="e">
        <f t="shared" si="1463"/>
        <v>#DIV/0!</v>
      </c>
      <c r="AW1192" s="1916"/>
      <c r="AX1192" s="1916"/>
      <c r="AY1192" s="1916"/>
      <c r="AZ1192" s="1916"/>
      <c r="BA1192" s="1916"/>
      <c r="BB1192" s="1916"/>
      <c r="BC1192" s="1916"/>
      <c r="BD1192" s="1916"/>
      <c r="BE1192" s="1916"/>
      <c r="BF1192" s="1916"/>
      <c r="BG1192" s="1916"/>
      <c r="BH1192" s="1915"/>
    </row>
    <row r="1193" spans="1:60">
      <c r="A1193" s="1"/>
      <c r="B1193" s="1"/>
      <c r="C1193" s="1"/>
      <c r="D1193" s="1395" t="s">
        <v>4175</v>
      </c>
      <c r="E1193" s="323"/>
      <c r="F1193" s="323"/>
      <c r="G1193" s="323"/>
      <c r="H1193" s="323"/>
      <c r="I1193" s="323"/>
      <c r="J1193" s="323"/>
      <c r="K1193" s="323"/>
      <c r="L1193" s="323"/>
      <c r="M1193" s="323"/>
      <c r="N1193" s="323"/>
      <c r="O1193" s="323"/>
      <c r="P1193" s="323"/>
      <c r="Q1193" s="323"/>
      <c r="R1193" s="323"/>
      <c r="S1193" s="323"/>
      <c r="T1193" s="323"/>
      <c r="U1193" s="323"/>
      <c r="V1193" s="105"/>
      <c r="W1193" s="105"/>
      <c r="X1193" s="105"/>
      <c r="Y1193" s="105"/>
      <c r="Z1193" s="105"/>
      <c r="AA1193" s="105"/>
      <c r="AB1193" s="105"/>
      <c r="AC1193" s="105"/>
      <c r="AD1193" s="105"/>
      <c r="AE1193" s="105"/>
      <c r="AF1193" s="105"/>
      <c r="AG1193" s="105"/>
      <c r="AH1193" s="105"/>
      <c r="AI1193" s="105"/>
      <c r="AJ1193" s="105"/>
      <c r="AK1193" s="1063">
        <f>AK703</f>
        <v>40.828172077023005</v>
      </c>
      <c r="AL1193" s="1063">
        <f t="shared" ref="AL1193:AP1193" si="1467">AL703</f>
        <v>35.397157248888973</v>
      </c>
      <c r="AM1193" s="1063">
        <f t="shared" si="1467"/>
        <v>20.265153442851901</v>
      </c>
      <c r="AN1193" s="1063">
        <f t="shared" si="1467"/>
        <v>0.50335476725579309</v>
      </c>
      <c r="AO1193" s="1063">
        <f t="shared" si="1467"/>
        <v>0.11321709045740443</v>
      </c>
      <c r="AP1193" s="1063">
        <f t="shared" si="1467"/>
        <v>0</v>
      </c>
      <c r="AQ1193" s="1063"/>
      <c r="AR1193" s="1063"/>
      <c r="AS1193" s="1063"/>
      <c r="AT1193" s="1063"/>
      <c r="AU1193" s="1063"/>
      <c r="AV1193" s="1063" t="e">
        <f t="shared" si="1463"/>
        <v>#DIV/0!</v>
      </c>
      <c r="AW1193" s="1916"/>
      <c r="AX1193" s="1916"/>
      <c r="AY1193" s="1916"/>
      <c r="AZ1193" s="1916"/>
      <c r="BA1193" s="1916"/>
      <c r="BB1193" s="1916"/>
      <c r="BC1193" s="1916"/>
      <c r="BD1193" s="1916"/>
      <c r="BE1193" s="1916"/>
      <c r="BF1193" s="1916"/>
      <c r="BG1193" s="1916"/>
      <c r="BH1193" s="1915"/>
    </row>
    <row r="1194" spans="1:60">
      <c r="A1194" s="1"/>
      <c r="B1194" s="1"/>
      <c r="C1194" s="1"/>
      <c r="D1194" s="1395" t="s">
        <v>3230</v>
      </c>
      <c r="E1194" s="323"/>
      <c r="F1194" s="323"/>
      <c r="G1194" s="323"/>
      <c r="H1194" s="323"/>
      <c r="I1194" s="323"/>
      <c r="J1194" s="323"/>
      <c r="K1194" s="323"/>
      <c r="L1194" s="323"/>
      <c r="M1194" s="323"/>
      <c r="N1194" s="323"/>
      <c r="O1194" s="323"/>
      <c r="P1194" s="323"/>
      <c r="Q1194" s="323"/>
      <c r="R1194" s="323"/>
      <c r="S1194" s="323"/>
      <c r="T1194" s="323"/>
      <c r="U1194" s="323"/>
      <c r="V1194" s="105"/>
      <c r="W1194" s="105"/>
      <c r="X1194" s="105"/>
      <c r="Y1194" s="105"/>
      <c r="Z1194" s="105"/>
      <c r="AA1194" s="105"/>
      <c r="AB1194" s="105"/>
      <c r="AC1194" s="105"/>
      <c r="AD1194" s="105"/>
      <c r="AE1194" s="105"/>
      <c r="AF1194" s="105"/>
      <c r="AG1194" s="105"/>
      <c r="AH1194" s="105"/>
      <c r="AI1194" s="105"/>
      <c r="AJ1194" s="105"/>
      <c r="AK1194" s="1571"/>
      <c r="AL1194" s="1571"/>
      <c r="AM1194" s="1571"/>
      <c r="AN1194" s="105"/>
      <c r="AO1194" s="105"/>
      <c r="AP1194" s="105"/>
      <c r="AQ1194" s="105"/>
      <c r="AR1194" s="105"/>
      <c r="AS1194" s="105"/>
      <c r="AT1194" s="105"/>
      <c r="AU1194" s="105"/>
      <c r="AV1194" s="105" t="e">
        <f t="shared" si="1463"/>
        <v>#DIV/0!</v>
      </c>
      <c r="AW1194" s="1916"/>
      <c r="AX1194" s="1916"/>
      <c r="AY1194" s="1916"/>
      <c r="AZ1194" s="1916"/>
      <c r="BA1194" s="1916"/>
      <c r="BB1194" s="1916"/>
      <c r="BC1194" s="1916"/>
      <c r="BD1194" s="1916"/>
      <c r="BE1194" s="1916"/>
      <c r="BF1194" s="1916"/>
      <c r="BG1194" s="1916"/>
      <c r="BH1194" s="1915"/>
    </row>
    <row r="1195" spans="1:60">
      <c r="A1195" s="1"/>
      <c r="B1195" s="1"/>
      <c r="C1195" s="1"/>
      <c r="D1195" s="1453" t="s">
        <v>3873</v>
      </c>
      <c r="E1195" s="323"/>
      <c r="F1195" s="323"/>
      <c r="G1195" s="323"/>
      <c r="H1195" s="323"/>
      <c r="I1195" s="323"/>
      <c r="J1195" s="323"/>
      <c r="K1195" s="323"/>
      <c r="L1195" s="323"/>
      <c r="M1195" s="323"/>
      <c r="N1195" s="323"/>
      <c r="O1195" s="323"/>
      <c r="P1195" s="323"/>
      <c r="Q1195" s="323"/>
      <c r="R1195" s="323"/>
      <c r="S1195" s="323"/>
      <c r="T1195" s="323"/>
      <c r="U1195" s="323"/>
      <c r="V1195" s="105"/>
      <c r="W1195" s="105"/>
      <c r="X1195" s="105"/>
      <c r="Y1195" s="105"/>
      <c r="Z1195" s="105"/>
      <c r="AA1195" s="105"/>
      <c r="AB1195" s="105"/>
      <c r="AC1195" s="105"/>
      <c r="AD1195" s="105"/>
      <c r="AE1195" s="105"/>
      <c r="AF1195" s="105">
        <f t="shared" ref="AF1195:AI1195" si="1468">(AF158+AE158)/2*AF259/1000</f>
        <v>0</v>
      </c>
      <c r="AG1195" s="105">
        <f t="shared" si="1468"/>
        <v>0</v>
      </c>
      <c r="AH1195" s="105">
        <f t="shared" si="1468"/>
        <v>0</v>
      </c>
      <c r="AI1195" s="105">
        <f t="shared" si="1468"/>
        <v>0</v>
      </c>
      <c r="AJ1195" s="105">
        <f t="shared" ref="AJ1195:AQ1195" si="1469">(AJ158+AI158)/2*AJ259/1000*0</f>
        <v>0</v>
      </c>
      <c r="AK1195" s="1571">
        <f t="shared" si="1469"/>
        <v>0</v>
      </c>
      <c r="AL1195" s="105">
        <f t="shared" si="1469"/>
        <v>0</v>
      </c>
      <c r="AM1195" s="105">
        <f t="shared" si="1469"/>
        <v>0</v>
      </c>
      <c r="AN1195" s="105">
        <f t="shared" si="1469"/>
        <v>0</v>
      </c>
      <c r="AO1195" s="105">
        <f t="shared" si="1469"/>
        <v>0</v>
      </c>
      <c r="AP1195" s="105">
        <f t="shared" si="1469"/>
        <v>0</v>
      </c>
      <c r="AQ1195" s="105">
        <f t="shared" si="1469"/>
        <v>0</v>
      </c>
      <c r="AR1195" s="105"/>
      <c r="AS1195" s="105"/>
      <c r="AT1195" s="105"/>
      <c r="AU1195" s="105"/>
      <c r="AV1195" s="105" t="e">
        <f t="shared" si="1463"/>
        <v>#DIV/0!</v>
      </c>
      <c r="AW1195" s="1916"/>
      <c r="AX1195" s="1916"/>
      <c r="AY1195" s="1916"/>
      <c r="AZ1195" s="1916"/>
      <c r="BA1195" s="1916"/>
      <c r="BB1195" s="1916"/>
      <c r="BC1195" s="1916"/>
      <c r="BD1195" s="1916"/>
      <c r="BE1195" s="1916"/>
      <c r="BF1195" s="1916"/>
      <c r="BG1195" s="1916"/>
      <c r="BH1195" s="1915"/>
    </row>
    <row r="1196" spans="1:60">
      <c r="A1196" s="1"/>
      <c r="B1196" s="1"/>
      <c r="C1196" s="1"/>
      <c r="D1196" s="360" t="str">
        <f>+FISCinyear!D876</f>
        <v>To residents other than general government</v>
      </c>
      <c r="E1196" s="323"/>
      <c r="F1196" s="323"/>
      <c r="G1196" s="323"/>
      <c r="H1196" s="323"/>
      <c r="I1196" s="323"/>
      <c r="J1196" s="323"/>
      <c r="K1196" s="323"/>
      <c r="L1196" s="323"/>
      <c r="M1196" s="323"/>
      <c r="N1196" s="323"/>
      <c r="O1196" s="323"/>
      <c r="P1196" s="323"/>
      <c r="Q1196" s="323"/>
      <c r="R1196" s="323"/>
      <c r="S1196" s="323"/>
      <c r="T1196" s="323"/>
      <c r="U1196" s="323"/>
      <c r="V1196" s="105">
        <f>V184+W182</f>
        <v>0</v>
      </c>
      <c r="W1196" s="105">
        <f>+W805</f>
        <v>5.2</v>
      </c>
      <c r="X1196" s="105">
        <f>+X805</f>
        <v>15</v>
      </c>
      <c r="Y1196" s="676">
        <f>FISCinyear!ID876</f>
        <v>18.045352590865015</v>
      </c>
      <c r="Z1196" s="676">
        <f>FISCinyear!IG876</f>
        <v>18.261623293215649</v>
      </c>
      <c r="AA1196" s="676">
        <f>FISCinyear!IJ876</f>
        <v>25.494822667877145</v>
      </c>
      <c r="AB1196" s="676">
        <f>FISCinyear!IM876</f>
        <v>35.253255295999999</v>
      </c>
      <c r="AC1196" s="676">
        <f>FISCinyear!IP876</f>
        <v>48.900012527999998</v>
      </c>
      <c r="AD1196" s="676">
        <f>FISCinyear!IS876</f>
        <v>54.603488966273204</v>
      </c>
      <c r="AE1196" s="676">
        <f>FISCinyear!IV876</f>
        <v>78.301790404000002</v>
      </c>
      <c r="AF1196" s="676">
        <f>FISCinyear!IY876</f>
        <v>113.50888140170532</v>
      </c>
      <c r="AG1196" s="676">
        <f>FISCinyear!JB876</f>
        <v>150.36743937099999</v>
      </c>
      <c r="AH1196" s="676">
        <f>FISCinyear!JE876</f>
        <v>202.65379407699999</v>
      </c>
      <c r="AI1196" s="676">
        <f>FISCinyear!JH876</f>
        <v>234.46880806899998</v>
      </c>
      <c r="AJ1196" s="676">
        <f>FISCinyear!JK876</f>
        <v>261.56037650434615</v>
      </c>
      <c r="AK1196" s="1436">
        <f>(AJ184+AK182)+(AK705*AK259/1000)</f>
        <v>288.84765566700003</v>
      </c>
      <c r="AL1196" s="1436">
        <f>(AK184+AL182)+(AL705*AL259/1000)</f>
        <v>332.48941880500001</v>
      </c>
      <c r="AM1196" s="1436">
        <f>(AL184+AM182)+(AM705*AM259/1000)</f>
        <v>335.27434038399997</v>
      </c>
      <c r="AN1196" s="1436">
        <f>(AM184+AN182)+(AN705*AN259/1000)</f>
        <v>303.02187224199997</v>
      </c>
      <c r="AO1196" s="1436">
        <f>((AN184+AO182)+(AO705*AO259/1000))</f>
        <v>290.26096360100001</v>
      </c>
      <c r="AP1196" s="1436">
        <f>((AO184+AP182)+(AP705*AP259/1000))*1.5</f>
        <v>409.913109222</v>
      </c>
      <c r="AQ1196" s="1436">
        <f>((AP184+AQ182)+(AQ705*AQ259/1000))*1.5</f>
        <v>382.36719808499998</v>
      </c>
      <c r="AR1196" s="1436">
        <f>((AQ184+AR182)+(AR705*AR259/1000))*1.5</f>
        <v>346.26182656949999</v>
      </c>
      <c r="AS1196" s="1436">
        <f>((AR184+AS182)+(AS705*AS259/1000))*1.5</f>
        <v>324.31325302649964</v>
      </c>
      <c r="AT1196" s="1436">
        <f>((AS184+AT182)+(AT705*AT259/1000))*1.5</f>
        <v>339.92769062124898</v>
      </c>
      <c r="AU1196" s="1436">
        <f t="shared" si="1462"/>
        <v>356.29390341829145</v>
      </c>
      <c r="AV1196" s="1436">
        <f t="shared" si="1463"/>
        <v>4.8146159458594573E-2</v>
      </c>
      <c r="AW1196" s="1916"/>
      <c r="AX1196" s="1916"/>
      <c r="AY1196" s="1916"/>
      <c r="AZ1196" s="1916"/>
      <c r="BA1196" s="1916"/>
      <c r="BB1196" s="1916"/>
      <c r="BC1196" s="1916"/>
      <c r="BD1196" s="1916"/>
      <c r="BE1196" s="1916"/>
      <c r="BF1196" s="1916"/>
      <c r="BG1196" s="1916"/>
      <c r="BH1196" s="1915"/>
    </row>
    <row r="1197" spans="1:60">
      <c r="A1197" s="1"/>
      <c r="B1197" s="1"/>
      <c r="C1197" s="1"/>
      <c r="D1197" s="363" t="s">
        <v>4001</v>
      </c>
      <c r="E1197" s="323"/>
      <c r="F1197" s="323"/>
      <c r="G1197" s="323"/>
      <c r="H1197" s="323"/>
      <c r="I1197" s="323"/>
      <c r="J1197" s="323"/>
      <c r="K1197" s="323"/>
      <c r="L1197" s="323"/>
      <c r="M1197" s="323"/>
      <c r="N1197" s="323"/>
      <c r="O1197" s="323"/>
      <c r="P1197" s="323"/>
      <c r="Q1197" s="323"/>
      <c r="R1197" s="323"/>
      <c r="S1197" s="323"/>
      <c r="T1197" s="323"/>
      <c r="U1197" s="323"/>
      <c r="V1197" s="105"/>
      <c r="W1197" s="105"/>
      <c r="X1197" s="105"/>
      <c r="Y1197" s="676"/>
      <c r="Z1197" s="676"/>
      <c r="AA1197" s="676"/>
      <c r="AB1197" s="676"/>
      <c r="AC1197" s="676"/>
      <c r="AD1197" s="676"/>
      <c r="AE1197" s="676"/>
      <c r="AF1197" s="676"/>
      <c r="AG1197" s="676"/>
      <c r="AH1197" s="676"/>
      <c r="AI1197" s="676"/>
      <c r="AJ1197" s="676"/>
      <c r="AK1197" s="1436">
        <f>9175000000/1000000000</f>
        <v>9.1750000000000007</v>
      </c>
      <c r="AL1197" s="1436">
        <f>38794000000/1000000000</f>
        <v>38.793999999999997</v>
      </c>
      <c r="AM1197" s="1436">
        <f>58241200000/1000000000</f>
        <v>58.241199999999999</v>
      </c>
      <c r="AN1197" s="1436">
        <v>60</v>
      </c>
      <c r="AO1197" s="1436">
        <f>AN1197</f>
        <v>60</v>
      </c>
      <c r="AP1197" s="1436"/>
      <c r="AQ1197" s="1436"/>
      <c r="AR1197" s="1436"/>
      <c r="AS1197" s="1436"/>
      <c r="AT1197" s="1436"/>
      <c r="AU1197" s="1436"/>
      <c r="AV1197" s="1436"/>
      <c r="AW1197" s="1916"/>
      <c r="AX1197" s="1916"/>
      <c r="AY1197" s="1916"/>
      <c r="AZ1197" s="1916"/>
      <c r="BA1197" s="1916"/>
      <c r="BB1197" s="1916"/>
      <c r="BC1197" s="1916"/>
      <c r="BD1197" s="1916"/>
      <c r="BE1197" s="1916"/>
      <c r="BF1197" s="1916"/>
      <c r="BG1197" s="1916"/>
      <c r="BH1197" s="1915"/>
    </row>
    <row r="1198" spans="1:60">
      <c r="A1198" s="1"/>
      <c r="B1198" s="1"/>
      <c r="C1198" s="1"/>
      <c r="D1198" s="357" t="str">
        <f>+FISCinyear!D877</f>
        <v xml:space="preserve">Subsidies </v>
      </c>
      <c r="E1198" s="323"/>
      <c r="F1198" s="323"/>
      <c r="G1198" s="323"/>
      <c r="H1198" s="323"/>
      <c r="I1198" s="323"/>
      <c r="J1198" s="323"/>
      <c r="K1198" s="323"/>
      <c r="L1198" s="323"/>
      <c r="M1198" s="323"/>
      <c r="N1198" s="323"/>
      <c r="O1198" s="323"/>
      <c r="P1198" s="323"/>
      <c r="Q1198" s="323"/>
      <c r="R1198" s="323"/>
      <c r="S1198" s="323"/>
      <c r="T1198" s="323"/>
      <c r="U1198" s="323"/>
      <c r="V1198" s="105">
        <f>+V1199</f>
        <v>0</v>
      </c>
      <c r="W1198" s="105">
        <f>+W1199</f>
        <v>0</v>
      </c>
      <c r="X1198" s="105">
        <f>+X1199</f>
        <v>27</v>
      </c>
      <c r="Y1198" s="676">
        <f>FISCinyear!ID877</f>
        <v>63.001978688000001</v>
      </c>
      <c r="Z1198" s="676">
        <f>FISCinyear!IG877</f>
        <v>70.684104777000002</v>
      </c>
      <c r="AA1198" s="676">
        <f>FISCinyear!IJ877</f>
        <v>84.373377361999999</v>
      </c>
      <c r="AB1198" s="676">
        <f>FISCinyear!IM877</f>
        <v>86.226021179</v>
      </c>
      <c r="AC1198" s="676">
        <f>FISCinyear!IP877</f>
        <v>99.527043106000008</v>
      </c>
      <c r="AD1198" s="676">
        <f>FISCinyear!IS877</f>
        <v>172.02613069400002</v>
      </c>
      <c r="AE1198" s="676">
        <f>FISCinyear!IV877</f>
        <v>251.94730264100002</v>
      </c>
      <c r="AF1198" s="676">
        <f>FISCinyear!IY877</f>
        <v>260.16227530600003</v>
      </c>
      <c r="AG1198" s="676">
        <f>FISCinyear!JB877</f>
        <v>382.17384569900003</v>
      </c>
      <c r="AH1198" s="676">
        <f>FISCinyear!JE877</f>
        <v>298.87794374700002</v>
      </c>
      <c r="AI1198" s="676">
        <f>FISCinyear!JH877</f>
        <v>307.42047619799996</v>
      </c>
      <c r="AJ1198" s="676">
        <f>FISCinyear!JK877</f>
        <v>321.64494011700003</v>
      </c>
      <c r="AK1198" s="548">
        <f t="shared" ref="AK1198:AT1198" si="1470">(AJ1198-AJ1205)*(1+AK673)+AK1205</f>
        <v>384.83560886366604</v>
      </c>
      <c r="AL1198" s="548">
        <f t="shared" si="1470"/>
        <v>426.77955283879146</v>
      </c>
      <c r="AM1198" s="548">
        <f t="shared" si="1470"/>
        <v>411.93722749300707</v>
      </c>
      <c r="AN1198" s="548">
        <f t="shared" si="1470"/>
        <v>383.21087279596361</v>
      </c>
      <c r="AO1198" s="548">
        <f t="shared" si="1470"/>
        <v>413.5953648287873</v>
      </c>
      <c r="AP1198" s="548">
        <f t="shared" si="1470"/>
        <v>461.89069483495882</v>
      </c>
      <c r="AQ1198" s="548">
        <f t="shared" si="1470"/>
        <v>524.37749100964652</v>
      </c>
      <c r="AR1198" s="548">
        <f t="shared" si="1470"/>
        <v>598.53526478848858</v>
      </c>
      <c r="AS1198" s="548">
        <f t="shared" si="1470"/>
        <v>683.43562694130583</v>
      </c>
      <c r="AT1198" s="548">
        <f t="shared" si="1470"/>
        <v>907.55792311339326</v>
      </c>
      <c r="AU1198" s="548">
        <f t="shared" si="1462"/>
        <v>1205.1777099946719</v>
      </c>
      <c r="AV1198" s="548">
        <f t="shared" si="1463"/>
        <v>0.32793475689164686</v>
      </c>
      <c r="AX1198" s="1916"/>
      <c r="AY1198" s="1916"/>
      <c r="AZ1198" s="1916"/>
      <c r="BA1198" s="1916"/>
      <c r="BB1198" s="1916"/>
      <c r="BH1198" s="1915"/>
    </row>
    <row r="1199" spans="1:60">
      <c r="A1199" s="1"/>
      <c r="B1199" s="1"/>
      <c r="C1199" s="1"/>
      <c r="D1199" s="360" t="str">
        <f>+FISCinyear!D878</f>
        <v>of which Rwandair working capital</v>
      </c>
      <c r="E1199" s="323"/>
      <c r="F1199" s="323"/>
      <c r="G1199" s="323"/>
      <c r="H1199" s="323"/>
      <c r="I1199" s="323"/>
      <c r="J1199" s="323"/>
      <c r="K1199" s="323"/>
      <c r="L1199" s="323"/>
      <c r="M1199" s="323"/>
      <c r="N1199" s="323"/>
      <c r="O1199" s="323"/>
      <c r="P1199" s="323"/>
      <c r="Q1199" s="323"/>
      <c r="R1199" s="323"/>
      <c r="S1199" s="323"/>
      <c r="T1199" s="323"/>
      <c r="U1199" s="323"/>
      <c r="V1199" s="105">
        <f>+V846</f>
        <v>0</v>
      </c>
      <c r="W1199" s="105">
        <f>+W846</f>
        <v>0</v>
      </c>
      <c r="X1199" s="105">
        <f>+X846</f>
        <v>27</v>
      </c>
      <c r="Y1199" s="676">
        <f>FISCinyear!ID878</f>
        <v>31.426778254999999</v>
      </c>
      <c r="Z1199" s="676">
        <f>FISCinyear!IG878</f>
        <v>46.041863857999999</v>
      </c>
      <c r="AA1199" s="676">
        <f>FISCinyear!IJ878</f>
        <v>39.6</v>
      </c>
      <c r="AB1199" s="676">
        <f>FISCinyear!IM878</f>
        <v>80.861739053000008</v>
      </c>
      <c r="AC1199" s="676">
        <f>FISCinyear!IP878</f>
        <v>75.644475446999991</v>
      </c>
      <c r="AD1199" s="676">
        <f>FISCinyear!IS878</f>
        <v>117.83587177299999</v>
      </c>
      <c r="AE1199" s="676">
        <f>FISCinyear!IV878</f>
        <v>127.92333151299999</v>
      </c>
      <c r="AF1199" s="676">
        <f>FISCinyear!IY878</f>
        <v>146.21061789099997</v>
      </c>
      <c r="AG1199" s="676">
        <f>FISCinyear!JB878</f>
        <v>260.06328746499997</v>
      </c>
      <c r="AH1199" s="676">
        <f>FISCinyear!JE878</f>
        <v>177.2</v>
      </c>
      <c r="AI1199" s="676">
        <f>FISCinyear!JH878</f>
        <v>176.54582574299999</v>
      </c>
      <c r="AJ1199" s="676">
        <f>FISCinyear!JK878</f>
        <v>173.72341649600003</v>
      </c>
      <c r="AK1199" s="105">
        <f>AK697</f>
        <v>185.18492334935436</v>
      </c>
      <c r="AL1199" s="105">
        <f>AL697</f>
        <v>208.46764615275004</v>
      </c>
      <c r="AM1199" s="105">
        <f>AM697</f>
        <v>158.32304226619874</v>
      </c>
      <c r="AN1199" s="105">
        <f>AN697</f>
        <v>94.691593443879952</v>
      </c>
      <c r="AO1199" s="105">
        <f>AO697</f>
        <v>98.349085040532898</v>
      </c>
      <c r="AP1199" s="105">
        <f t="shared" ref="AP1199:AU1199" si="1471">AP697*AP259/1000</f>
        <v>142.86592589829942</v>
      </c>
      <c r="AQ1199" s="105">
        <f t="shared" si="1471"/>
        <v>130.07239201431227</v>
      </c>
      <c r="AR1199" s="105">
        <f t="shared" si="1471"/>
        <v>0</v>
      </c>
      <c r="AS1199" s="105">
        <f t="shared" si="1471"/>
        <v>0</v>
      </c>
      <c r="AT1199" s="105">
        <f t="shared" si="1471"/>
        <v>0</v>
      </c>
      <c r="AU1199" s="105">
        <f t="shared" si="1471"/>
        <v>0</v>
      </c>
      <c r="AV1199" s="105" t="e">
        <f t="shared" si="1463"/>
        <v>#DIV/0!</v>
      </c>
      <c r="AX1199" s="3064"/>
      <c r="AY1199" s="3064"/>
      <c r="BH1199" s="1915"/>
    </row>
    <row r="1200" spans="1:60" s="1927" customFormat="1">
      <c r="D1200" s="2056" t="s">
        <v>3624</v>
      </c>
      <c r="E1200" s="1928"/>
      <c r="F1200" s="1928"/>
      <c r="G1200" s="1928"/>
      <c r="H1200" s="1928"/>
      <c r="I1200" s="1928"/>
      <c r="J1200" s="1928"/>
      <c r="K1200" s="1928"/>
      <c r="L1200" s="1928"/>
      <c r="M1200" s="1928"/>
      <c r="N1200" s="1928"/>
      <c r="O1200" s="1928"/>
      <c r="P1200" s="1928"/>
      <c r="Q1200" s="1928"/>
      <c r="R1200" s="1928"/>
      <c r="S1200" s="1928"/>
      <c r="T1200" s="1928"/>
      <c r="U1200" s="1928"/>
      <c r="V1200" s="128"/>
      <c r="W1200" s="128"/>
      <c r="X1200" s="128"/>
      <c r="Y1200" s="1929"/>
      <c r="Z1200" s="1929"/>
      <c r="AA1200" s="1929"/>
      <c r="AB1200" s="1929"/>
      <c r="AC1200" s="1929"/>
      <c r="AD1200" s="1929"/>
      <c r="AE1200" s="1929"/>
      <c r="AF1200" s="1929"/>
      <c r="AG1200" s="1929"/>
      <c r="AH1200" s="1929"/>
      <c r="AI1200" s="1929"/>
      <c r="AJ1200" s="1929"/>
      <c r="AK1200" s="128">
        <v>149.43554173586898</v>
      </c>
      <c r="AL1200" s="128">
        <v>166.63249823306981</v>
      </c>
      <c r="AM1200" s="128">
        <v>178.75097689140489</v>
      </c>
      <c r="AN1200" s="128">
        <v>201.27359997972187</v>
      </c>
      <c r="AO1200" s="128">
        <v>226.63407357716679</v>
      </c>
      <c r="AP1200" s="128"/>
      <c r="AQ1200" s="128"/>
      <c r="AR1200" s="128"/>
      <c r="AS1200" s="128"/>
      <c r="AT1200" s="128"/>
      <c r="AU1200" s="128"/>
      <c r="AV1200" s="128" t="e">
        <f t="shared" si="1463"/>
        <v>#DIV/0!</v>
      </c>
      <c r="AX1200" s="3104"/>
      <c r="AY1200" s="3104"/>
      <c r="BH1200" s="1915"/>
    </row>
    <row r="1201" spans="1:60" s="1927" customFormat="1">
      <c r="D1201" s="2056" t="s">
        <v>3688</v>
      </c>
      <c r="E1201" s="1928"/>
      <c r="F1201" s="1928"/>
      <c r="G1201" s="1928"/>
      <c r="H1201" s="1928"/>
      <c r="I1201" s="1928"/>
      <c r="J1201" s="1928"/>
      <c r="K1201" s="1928"/>
      <c r="L1201" s="1928"/>
      <c r="M1201" s="1928"/>
      <c r="N1201" s="1928"/>
      <c r="O1201" s="1928"/>
      <c r="P1201" s="1928"/>
      <c r="Q1201" s="1928"/>
      <c r="R1201" s="1928"/>
      <c r="S1201" s="1928"/>
      <c r="T1201" s="1928"/>
      <c r="U1201" s="1928"/>
      <c r="V1201" s="128"/>
      <c r="W1201" s="128"/>
      <c r="X1201" s="128"/>
      <c r="Y1201" s="1929"/>
      <c r="Z1201" s="1929"/>
      <c r="AA1201" s="1929"/>
      <c r="AB1201" s="1929"/>
      <c r="AC1201" s="1929"/>
      <c r="AD1201" s="1929"/>
      <c r="AE1201" s="1929"/>
      <c r="AF1201" s="1929"/>
      <c r="AG1201" s="1929"/>
      <c r="AH1201" s="1929"/>
      <c r="AI1201" s="1929"/>
      <c r="AJ1201" s="1929"/>
      <c r="AK1201" s="128">
        <f>AK1199-AK1200</f>
        <v>35.749381613485383</v>
      </c>
      <c r="AL1201" s="128">
        <f t="shared" ref="AL1201:AO1201" si="1472">AL1199-AL1200</f>
        <v>41.835147919680225</v>
      </c>
      <c r="AM1201" s="128">
        <f t="shared" si="1472"/>
        <v>-20.427934625206149</v>
      </c>
      <c r="AN1201" s="128">
        <f t="shared" si="1472"/>
        <v>-106.58200653584191</v>
      </c>
      <c r="AO1201" s="128">
        <f t="shared" si="1472"/>
        <v>-128.28498853663388</v>
      </c>
      <c r="AP1201" s="128"/>
      <c r="AQ1201" s="128"/>
      <c r="AR1201" s="128"/>
      <c r="AS1201" s="128"/>
      <c r="AT1201" s="128"/>
      <c r="AU1201" s="128"/>
      <c r="AV1201" s="128" t="e">
        <f t="shared" si="1463"/>
        <v>#DIV/0!</v>
      </c>
      <c r="AW1201" s="1916"/>
      <c r="BD1201" s="1916"/>
      <c r="BE1201" s="1916"/>
      <c r="BF1201" s="1916"/>
      <c r="BG1201" s="1916"/>
      <c r="BH1201" s="1915"/>
    </row>
    <row r="1202" spans="1:60">
      <c r="A1202" s="1"/>
      <c r="B1202" s="1"/>
      <c r="C1202" s="1"/>
      <c r="D1202" s="360" t="s">
        <v>3605</v>
      </c>
      <c r="E1202" s="323"/>
      <c r="F1202" s="323"/>
      <c r="G1202" s="323"/>
      <c r="H1202" s="323"/>
      <c r="I1202" s="323"/>
      <c r="J1202" s="323"/>
      <c r="K1202" s="323"/>
      <c r="L1202" s="323"/>
      <c r="M1202" s="323"/>
      <c r="N1202" s="323"/>
      <c r="O1202" s="323"/>
      <c r="P1202" s="323"/>
      <c r="Q1202" s="323"/>
      <c r="R1202" s="323"/>
      <c r="S1202" s="323"/>
      <c r="T1202" s="323"/>
      <c r="U1202" s="323"/>
      <c r="V1202" s="105"/>
      <c r="W1202" s="105"/>
      <c r="X1202" s="105"/>
      <c r="Y1202" s="676"/>
      <c r="Z1202" s="676"/>
      <c r="AA1202" s="676"/>
      <c r="AB1202" s="676"/>
      <c r="AC1202" s="676"/>
      <c r="AD1202" s="676"/>
      <c r="AE1202" s="676"/>
      <c r="AF1202" s="676">
        <f>FISCinyear!IY881</f>
        <v>0</v>
      </c>
      <c r="AG1202" s="676">
        <f>FISCinyear!JB881</f>
        <v>101.47101130509982</v>
      </c>
      <c r="AH1202" s="676">
        <f>FISCinyear!JE881</f>
        <v>0</v>
      </c>
      <c r="AI1202" s="676">
        <f>FISCinyear!JH881</f>
        <v>0</v>
      </c>
      <c r="AJ1202" s="676">
        <f>FISCinyear!JK881</f>
        <v>0</v>
      </c>
      <c r="AK1202" s="1119">
        <f>(72363999)*0+(81.39166173*AK259/1000)*0</f>
        <v>0</v>
      </c>
      <c r="AL1202" s="105">
        <v>0</v>
      </c>
      <c r="AM1202" s="105">
        <v>8.2800000000000011</v>
      </c>
      <c r="AN1202" s="105">
        <v>16.425000000000001</v>
      </c>
      <c r="AO1202" s="105">
        <v>16.470000000000002</v>
      </c>
      <c r="AP1202" s="105">
        <v>21.344999999999999</v>
      </c>
      <c r="AQ1202" s="105">
        <v>26.175000000000001</v>
      </c>
      <c r="AR1202" s="105"/>
      <c r="AS1202" s="105"/>
      <c r="AT1202" s="105"/>
      <c r="AU1202" s="105"/>
      <c r="AV1202" s="105" t="e">
        <f t="shared" si="1463"/>
        <v>#DIV/0!</v>
      </c>
      <c r="AW1202" s="1916"/>
      <c r="AX1202" s="1916"/>
      <c r="AY1202" s="1916"/>
      <c r="AZ1202" s="1916"/>
      <c r="BA1202" s="1916"/>
      <c r="BB1202" s="1916"/>
      <c r="BC1202" s="1916"/>
      <c r="BD1202" s="1916"/>
      <c r="BE1202" s="1916"/>
      <c r="BF1202" s="1916"/>
      <c r="BG1202" s="1916"/>
      <c r="BH1202" s="1915"/>
    </row>
    <row r="1203" spans="1:60">
      <c r="A1203" s="1"/>
      <c r="B1203" s="1"/>
      <c r="C1203" s="1"/>
      <c r="D1203" s="1392" t="s">
        <v>3049</v>
      </c>
      <c r="E1203" s="323"/>
      <c r="F1203" s="323"/>
      <c r="G1203" s="323"/>
      <c r="H1203" s="323"/>
      <c r="I1203" s="323"/>
      <c r="J1203" s="323"/>
      <c r="K1203" s="323"/>
      <c r="L1203" s="323"/>
      <c r="M1203" s="323"/>
      <c r="N1203" s="323"/>
      <c r="O1203" s="323"/>
      <c r="P1203" s="323"/>
      <c r="Q1203" s="323"/>
      <c r="R1203" s="323"/>
      <c r="S1203" s="323"/>
      <c r="T1203" s="323"/>
      <c r="U1203" s="323"/>
      <c r="V1203" s="105">
        <f t="shared" ref="V1203:AE1203" si="1473">V710</f>
        <v>0</v>
      </c>
      <c r="W1203" s="105">
        <f t="shared" si="1473"/>
        <v>0</v>
      </c>
      <c r="X1203" s="105">
        <f t="shared" si="1473"/>
        <v>0</v>
      </c>
      <c r="Y1203" s="105">
        <f t="shared" si="1473"/>
        <v>0</v>
      </c>
      <c r="Z1203" s="105">
        <f t="shared" si="1473"/>
        <v>29.4</v>
      </c>
      <c r="AA1203" s="105">
        <f t="shared" si="1473"/>
        <v>29.4</v>
      </c>
      <c r="AB1203" s="105">
        <f t="shared" si="1473"/>
        <v>31.25</v>
      </c>
      <c r="AC1203" s="105">
        <f t="shared" si="1473"/>
        <v>43.76</v>
      </c>
      <c r="AD1203" s="105">
        <f t="shared" si="1473"/>
        <v>49.674370664146352</v>
      </c>
      <c r="AE1203" s="105">
        <f t="shared" si="1473"/>
        <v>102.75929201700001</v>
      </c>
      <c r="AF1203" s="105">
        <f>FISCinyear!IY882</f>
        <v>66.655878622000003</v>
      </c>
      <c r="AG1203" s="105">
        <f>FISCinyear!JB882</f>
        <v>102.361767415</v>
      </c>
      <c r="AH1203" s="105">
        <f>FISCinyear!JE882</f>
        <v>113.3</v>
      </c>
      <c r="AI1203" s="105">
        <f>FISCinyear!JH882</f>
        <v>119.62825384899998</v>
      </c>
      <c r="AJ1203" s="105">
        <f>FISCinyear!JK882</f>
        <v>113.584846746</v>
      </c>
      <c r="AK1203" s="105">
        <f t="shared" ref="AK1203:AU1203" si="1474">AK710</f>
        <v>133.12687500000001</v>
      </c>
      <c r="AL1203" s="105">
        <f t="shared" si="1474"/>
        <v>148.43646562500001</v>
      </c>
      <c r="AM1203" s="105">
        <f t="shared" si="1474"/>
        <v>155.85828890625001</v>
      </c>
      <c r="AN1203" s="105">
        <f t="shared" si="1474"/>
        <v>163.65120335156251</v>
      </c>
      <c r="AO1203" s="105">
        <f t="shared" si="1474"/>
        <v>171.83376351914066</v>
      </c>
      <c r="AP1203" s="105">
        <f t="shared" si="1474"/>
        <v>0</v>
      </c>
      <c r="AQ1203" s="105">
        <f t="shared" si="1474"/>
        <v>0</v>
      </c>
      <c r="AR1203" s="105">
        <f t="shared" si="1474"/>
        <v>0</v>
      </c>
      <c r="AS1203" s="105">
        <f t="shared" si="1474"/>
        <v>0</v>
      </c>
      <c r="AT1203" s="105">
        <f t="shared" si="1474"/>
        <v>0</v>
      </c>
      <c r="AU1203" s="105">
        <f t="shared" si="1474"/>
        <v>0</v>
      </c>
      <c r="AV1203" s="105" t="e">
        <f t="shared" si="1463"/>
        <v>#DIV/0!</v>
      </c>
      <c r="AW1203" s="1916"/>
      <c r="AX1203" s="1916"/>
      <c r="AY1203" s="1916"/>
      <c r="AZ1203" s="1916"/>
      <c r="BA1203" s="1916"/>
      <c r="BB1203" s="1916"/>
      <c r="BC1203" s="1916"/>
      <c r="BD1203" s="1916"/>
      <c r="BE1203" s="1916"/>
      <c r="BF1203" s="1916"/>
      <c r="BG1203" s="1916"/>
      <c r="BH1203" s="1915"/>
    </row>
    <row r="1204" spans="1:60">
      <c r="A1204" s="1"/>
      <c r="B1204" s="1"/>
      <c r="C1204" s="1"/>
      <c r="D1204" s="1393" t="s">
        <v>3870</v>
      </c>
      <c r="E1204" s="323"/>
      <c r="F1204" s="323"/>
      <c r="G1204" s="323"/>
      <c r="H1204" s="323"/>
      <c r="I1204" s="323"/>
      <c r="J1204" s="323"/>
      <c r="K1204" s="323"/>
      <c r="L1204" s="323"/>
      <c r="M1204" s="323"/>
      <c r="N1204" s="323"/>
      <c r="O1204" s="323"/>
      <c r="P1204" s="323"/>
      <c r="Q1204" s="323"/>
      <c r="R1204" s="323"/>
      <c r="S1204" s="323"/>
      <c r="T1204" s="323"/>
      <c r="U1204" s="323"/>
      <c r="V1204" s="105"/>
      <c r="W1204" s="105"/>
      <c r="X1204" s="105"/>
      <c r="Y1204" s="105"/>
      <c r="Z1204" s="105"/>
      <c r="AA1204" s="105"/>
      <c r="AB1204" s="105"/>
      <c r="AC1204" s="105"/>
      <c r="AD1204" s="105"/>
      <c r="AE1204" s="1482"/>
      <c r="AF1204" s="1482">
        <f>FISCinyear!IY883</f>
        <v>12.3</v>
      </c>
      <c r="AG1204" s="1482">
        <f>FISCinyear!JB883</f>
        <v>0</v>
      </c>
      <c r="AH1204" s="1482">
        <f>FISCinyear!JE883</f>
        <v>0</v>
      </c>
      <c r="AI1204" s="1482">
        <f>FISCinyear!JH883</f>
        <v>0</v>
      </c>
      <c r="AJ1204" s="1482">
        <f>FISCinyear!JK883</f>
        <v>0</v>
      </c>
      <c r="AK1204" s="1483">
        <f>AK1198-AK1199-AK1202-AK1203</f>
        <v>66.523810514311663</v>
      </c>
      <c r="AL1204" s="1483">
        <f t="shared" ref="AL1204:AO1204" si="1475">AL1198-AL1199-AL1202-AL1203</f>
        <v>69.875441061041414</v>
      </c>
      <c r="AM1204" s="1483">
        <f t="shared" si="1475"/>
        <v>89.47589632055832</v>
      </c>
      <c r="AN1204" s="1483">
        <f t="shared" si="1475"/>
        <v>108.44307600052116</v>
      </c>
      <c r="AO1204" s="1483">
        <f t="shared" si="1475"/>
        <v>126.94251626911372</v>
      </c>
      <c r="AP1204" s="1484"/>
      <c r="AQ1204" s="1484"/>
      <c r="AR1204" s="1484"/>
      <c r="AS1204" s="1484"/>
      <c r="AT1204" s="1484"/>
      <c r="AU1204" s="1484"/>
      <c r="AV1204" s="1484" t="e">
        <f t="shared" si="1463"/>
        <v>#DIV/0!</v>
      </c>
      <c r="AW1204" s="1916"/>
      <c r="AX1204" s="3052"/>
      <c r="AY1204" s="3052"/>
      <c r="AZ1204" s="3052"/>
      <c r="BA1204" s="3052"/>
      <c r="BB1204" s="3052"/>
      <c r="BC1204" s="3052"/>
      <c r="BD1204" s="1916"/>
      <c r="BE1204" s="1916"/>
      <c r="BF1204" s="1916"/>
      <c r="BG1204" s="1916"/>
      <c r="BH1204" s="1915"/>
    </row>
    <row r="1205" spans="1:60">
      <c r="A1205" s="1"/>
      <c r="B1205" s="1"/>
      <c r="C1205" s="1"/>
      <c r="D1205" s="1662" t="s">
        <v>3309</v>
      </c>
      <c r="E1205" s="323"/>
      <c r="F1205" s="323"/>
      <c r="G1205" s="323"/>
      <c r="H1205" s="323"/>
      <c r="I1205" s="323"/>
      <c r="J1205" s="323"/>
      <c r="K1205" s="323"/>
      <c r="L1205" s="323"/>
      <c r="M1205" s="323"/>
      <c r="N1205" s="323"/>
      <c r="O1205" s="323"/>
      <c r="P1205" s="323"/>
      <c r="Q1205" s="323"/>
      <c r="R1205" s="323"/>
      <c r="S1205" s="323"/>
      <c r="T1205" s="323"/>
      <c r="U1205" s="323"/>
      <c r="V1205" s="105"/>
      <c r="W1205" s="105"/>
      <c r="X1205" s="105"/>
      <c r="Y1205" s="105"/>
      <c r="Z1205" s="105"/>
      <c r="AA1205" s="105"/>
      <c r="AB1205" s="105"/>
      <c r="AC1205" s="105"/>
      <c r="AD1205" s="105"/>
      <c r="AE1205" s="105"/>
      <c r="AF1205" s="105"/>
      <c r="AG1205" s="105"/>
      <c r="AH1205" s="105">
        <f>FISCinyear!JE884</f>
        <v>0</v>
      </c>
      <c r="AI1205" s="105">
        <f>FISCinyear!JH884</f>
        <v>0</v>
      </c>
      <c r="AJ1205" s="105">
        <f>FISCinyear!JK884</f>
        <v>0</v>
      </c>
      <c r="AK1205" s="1666">
        <f t="shared" ref="AK1205:AU1205" si="1476">AK675</f>
        <v>0</v>
      </c>
      <c r="AL1205" s="1666">
        <f t="shared" si="1476"/>
        <v>0</v>
      </c>
      <c r="AM1205" s="1666">
        <f t="shared" si="1476"/>
        <v>0</v>
      </c>
      <c r="AN1205" s="1666">
        <f t="shared" si="1476"/>
        <v>0</v>
      </c>
      <c r="AO1205" s="1666">
        <f t="shared" si="1476"/>
        <v>0</v>
      </c>
      <c r="AP1205" s="1666">
        <f t="shared" si="1476"/>
        <v>0</v>
      </c>
      <c r="AQ1205" s="1666">
        <f t="shared" si="1476"/>
        <v>0</v>
      </c>
      <c r="AR1205" s="1666">
        <f t="shared" si="1476"/>
        <v>0</v>
      </c>
      <c r="AS1205" s="1666">
        <f t="shared" si="1476"/>
        <v>0</v>
      </c>
      <c r="AT1205" s="2677">
        <f t="shared" si="1476"/>
        <v>0</v>
      </c>
      <c r="AU1205" s="2677">
        <f t="shared" si="1476"/>
        <v>0</v>
      </c>
      <c r="AV1205" s="2677" t="e">
        <f t="shared" si="1463"/>
        <v>#DIV/0!</v>
      </c>
      <c r="AW1205" s="1916"/>
      <c r="AX1205" s="1916"/>
      <c r="AY1205" s="1916"/>
      <c r="AZ1205" s="1916"/>
      <c r="BA1205" s="1916"/>
      <c r="BB1205" s="1916"/>
      <c r="BC1205" s="1916"/>
      <c r="BD1205" s="1916"/>
      <c r="BE1205" s="1916"/>
      <c r="BF1205" s="1916"/>
      <c r="BG1205" s="1916"/>
      <c r="BH1205" s="1915"/>
    </row>
    <row r="1206" spans="1:60">
      <c r="A1206" s="1"/>
      <c r="B1206" s="1"/>
      <c r="C1206" s="1"/>
      <c r="D1206" s="357" t="str">
        <f>+FISCinyear!D885</f>
        <v xml:space="preserve">Grants </v>
      </c>
      <c r="E1206" s="323"/>
      <c r="F1206" s="323"/>
      <c r="G1206" s="323"/>
      <c r="H1206" s="323"/>
      <c r="I1206" s="323"/>
      <c r="J1206" s="323"/>
      <c r="K1206" s="323"/>
      <c r="L1206" s="323"/>
      <c r="M1206" s="323"/>
      <c r="N1206" s="323"/>
      <c r="O1206" s="323"/>
      <c r="P1206" s="323"/>
      <c r="Q1206" s="323"/>
      <c r="R1206" s="323"/>
      <c r="S1206" s="323"/>
      <c r="T1206" s="323"/>
      <c r="U1206" s="323"/>
      <c r="V1206" s="105">
        <f>+V808-V816</f>
        <v>138.84901571823204</v>
      </c>
      <c r="W1206" s="105">
        <f>+W808-W816</f>
        <v>156.4</v>
      </c>
      <c r="X1206" s="105">
        <f>+X808-X816</f>
        <v>141.20000000000002</v>
      </c>
      <c r="Y1206" s="676">
        <f>FISCinyear!ID885</f>
        <v>285.47491793799998</v>
      </c>
      <c r="Z1206" s="676">
        <f>FISCinyear!IG885</f>
        <v>335.93441379699999</v>
      </c>
      <c r="AA1206" s="676">
        <f>FISCinyear!IJ885</f>
        <v>365.17264152624739</v>
      </c>
      <c r="AB1206" s="676">
        <f>FISCinyear!IM885</f>
        <v>389.63701686441863</v>
      </c>
      <c r="AC1206" s="676">
        <f>FISCinyear!IP885</f>
        <v>418.66815094384003</v>
      </c>
      <c r="AD1206" s="676">
        <f>FISCinyear!IS885</f>
        <v>471.94577035000003</v>
      </c>
      <c r="AE1206" s="676">
        <f>FISCinyear!IV885</f>
        <v>500.37254378500006</v>
      </c>
      <c r="AF1206" s="676">
        <f>FISCinyear!IY885</f>
        <v>548.9739452849999</v>
      </c>
      <c r="AG1206" s="676">
        <f>FISCinyear!JB885</f>
        <v>655.56111270923248</v>
      </c>
      <c r="AH1206" s="676">
        <f>FISCinyear!JE885</f>
        <v>969.60000000000014</v>
      </c>
      <c r="AI1206" s="676">
        <f>FISCinyear!JH885</f>
        <v>993.64042799000003</v>
      </c>
      <c r="AJ1206" s="676">
        <f>FISCinyear!JK885</f>
        <v>1024.4514121100001</v>
      </c>
      <c r="AK1206" s="105">
        <f>(AJ1206)*(1+AK667)</f>
        <v>1155.5882263547962</v>
      </c>
      <c r="AL1206" s="105">
        <f>(AK1206)*(1+AL667)</f>
        <v>1349.7030006039429</v>
      </c>
      <c r="AM1206" s="105">
        <f t="shared" ref="AM1206:AT1206" si="1477">AL1206*(1+AM667)</f>
        <v>1582.1449450199918</v>
      </c>
      <c r="AN1206" s="105">
        <f t="shared" si="1477"/>
        <v>1773.9558824809005</v>
      </c>
      <c r="AO1206" s="105">
        <f t="shared" si="1477"/>
        <v>2157.3449047128188</v>
      </c>
      <c r="AP1206" s="105">
        <f t="shared" si="1477"/>
        <v>2407.3370855783401</v>
      </c>
      <c r="AQ1206" s="105">
        <f t="shared" si="1477"/>
        <v>2852.2279915125187</v>
      </c>
      <c r="AR1206" s="105">
        <f t="shared" si="1477"/>
        <v>3324.0258892567153</v>
      </c>
      <c r="AS1206" s="105">
        <f t="shared" si="1477"/>
        <v>3875.5230972695194</v>
      </c>
      <c r="AT1206" s="105">
        <f t="shared" si="1477"/>
        <v>5289.5367105188388</v>
      </c>
      <c r="AU1206" s="105">
        <f t="shared" si="1462"/>
        <v>7219.4637755195063</v>
      </c>
      <c r="AV1206" s="105">
        <f t="shared" si="1463"/>
        <v>0.36485748575348587</v>
      </c>
      <c r="AW1206" s="1916"/>
      <c r="BH1206" s="1915"/>
    </row>
    <row r="1207" spans="1:60">
      <c r="A1207" s="1"/>
      <c r="B1207" s="1"/>
      <c r="C1207" s="1"/>
      <c r="D1207" s="1393" t="s">
        <v>3052</v>
      </c>
      <c r="E1207" s="323">
        <f>AVERAGE(AE1207:AK1207)/AVERAGE(AE1206:AK1206)</f>
        <v>6.9025825609115618E-2</v>
      </c>
      <c r="F1207" s="323"/>
      <c r="G1207" s="323"/>
      <c r="H1207" s="323"/>
      <c r="I1207" s="323"/>
      <c r="J1207" s="323"/>
      <c r="K1207" s="323"/>
      <c r="L1207" s="323"/>
      <c r="M1207" s="323"/>
      <c r="N1207" s="323"/>
      <c r="O1207" s="323"/>
      <c r="P1207" s="323"/>
      <c r="Q1207" s="323"/>
      <c r="R1207" s="323"/>
      <c r="S1207" s="323"/>
      <c r="T1207" s="323"/>
      <c r="U1207" s="323"/>
      <c r="V1207" s="1549">
        <f>$E$1207*V1206</f>
        <v>9.5841679449640385</v>
      </c>
      <c r="W1207" s="1550">
        <f t="shared" ref="W1207:AC1207" si="1478">$E$1207*W1206</f>
        <v>10.795639125265684</v>
      </c>
      <c r="X1207" s="1550">
        <f t="shared" si="1478"/>
        <v>9.746446576007127</v>
      </c>
      <c r="Y1207" s="1550">
        <f t="shared" si="1478"/>
        <v>19.705141901364978</v>
      </c>
      <c r="Z1207" s="1550">
        <f t="shared" si="1478"/>
        <v>23.188150262852204</v>
      </c>
      <c r="AA1207" s="1550">
        <f t="shared" si="1478"/>
        <v>25.206343071210846</v>
      </c>
      <c r="AB1207" s="1550">
        <f t="shared" si="1478"/>
        <v>26.8950167769394</v>
      </c>
      <c r="AC1207" s="1550">
        <f t="shared" si="1478"/>
        <v>28.898914775140398</v>
      </c>
      <c r="AD1207" s="1551">
        <f>$E$1207*AD1206</f>
        <v>32.576446441138827</v>
      </c>
      <c r="AE1207" s="105">
        <v>31.110170836000002</v>
      </c>
      <c r="AF1207" s="105">
        <f>FISCinyear!IY886</f>
        <v>29.109678345999999</v>
      </c>
      <c r="AG1207" s="105">
        <f>FISCinyear!JB886</f>
        <v>31.955556845572509</v>
      </c>
      <c r="AH1207" s="105">
        <f>FISCinyear!JE886</f>
        <v>52.557892147159194</v>
      </c>
      <c r="AI1207" s="105">
        <f>FISCinyear!JH886</f>
        <v>68.443846874999991</v>
      </c>
      <c r="AJ1207" s="105">
        <f>FISCinyear!JK886</f>
        <v>87.241834879999999</v>
      </c>
      <c r="AK1207" s="931">
        <f>97.5755382446687+5.68146394250225</f>
        <v>103.25700218717095</v>
      </c>
      <c r="AL1207" s="931">
        <f>108.7+6.62837459958595</f>
        <v>115.32837459958596</v>
      </c>
      <c r="AM1207" s="931">
        <f>108.7+8.52219591375337</f>
        <v>117.22219591375337</v>
      </c>
      <c r="AN1207" s="931">
        <f>108.7+10.4160172279208</f>
        <v>119.11601722792081</v>
      </c>
      <c r="AO1207" s="931">
        <f>108.7+12.3098385420882</f>
        <v>121.0098385420882</v>
      </c>
      <c r="AP1207" s="931">
        <f t="shared" ref="AP1207:AT1207" si="1479">93.9931139460736+12.3098385420882</f>
        <v>106.30295248816181</v>
      </c>
      <c r="AQ1207" s="931">
        <f t="shared" si="1479"/>
        <v>106.30295248816181</v>
      </c>
      <c r="AR1207" s="931">
        <f t="shared" si="1479"/>
        <v>106.30295248816181</v>
      </c>
      <c r="AS1207" s="931">
        <f t="shared" si="1479"/>
        <v>106.30295248816181</v>
      </c>
      <c r="AT1207" s="931">
        <f t="shared" si="1479"/>
        <v>106.30295248816181</v>
      </c>
      <c r="AU1207" s="931">
        <f t="shared" si="1462"/>
        <v>106.30295248816181</v>
      </c>
      <c r="AV1207" s="931">
        <f t="shared" si="1463"/>
        <v>0</v>
      </c>
      <c r="BH1207" s="1915"/>
    </row>
    <row r="1208" spans="1:60">
      <c r="A1208" s="1"/>
      <c r="B1208" s="1"/>
      <c r="C1208" s="1"/>
      <c r="D1208" s="1394" t="s">
        <v>553</v>
      </c>
      <c r="E1208" s="323">
        <f>AVERAGE(AE1208:AK1208)/AVERAGE(AE1207:AK1207)</f>
        <v>0.62495564872145482</v>
      </c>
      <c r="F1208" s="323"/>
      <c r="G1208" s="323"/>
      <c r="H1208" s="323"/>
      <c r="I1208" s="323"/>
      <c r="J1208" s="323"/>
      <c r="K1208" s="323"/>
      <c r="L1208" s="323"/>
      <c r="M1208" s="323"/>
      <c r="N1208" s="323"/>
      <c r="O1208" s="323"/>
      <c r="P1208" s="323"/>
      <c r="Q1208" s="323"/>
      <c r="R1208" s="323"/>
      <c r="S1208" s="323"/>
      <c r="T1208" s="323"/>
      <c r="U1208" s="323"/>
      <c r="V1208" s="1552">
        <f>V1207*$E$1208</f>
        <v>5.9896798955003732</v>
      </c>
      <c r="W1208" s="548">
        <f t="shared" ref="W1208:AC1208" si="1480">W1207*$E$1208</f>
        <v>6.7467956528931339</v>
      </c>
      <c r="X1208" s="548">
        <f t="shared" si="1480"/>
        <v>6.091096842637536</v>
      </c>
      <c r="Y1208" s="548">
        <f t="shared" si="1480"/>
        <v>12.314839740115872</v>
      </c>
      <c r="Z1208" s="548">
        <f t="shared" si="1480"/>
        <v>14.491565490171372</v>
      </c>
      <c r="AA1208" s="548">
        <f t="shared" si="1480"/>
        <v>15.752846485964122</v>
      </c>
      <c r="AB1208" s="548">
        <f t="shared" si="1480"/>
        <v>16.808192657206572</v>
      </c>
      <c r="AC1208" s="548">
        <f t="shared" si="1480"/>
        <v>18.060540030643903</v>
      </c>
      <c r="AD1208" s="1553">
        <f>AD1207*$E$1208</f>
        <v>20.358834218661645</v>
      </c>
      <c r="AE1208" s="676">
        <v>17.389476883</v>
      </c>
      <c r="AF1208" s="676">
        <f>FISCinyear!IY887</f>
        <v>18.422083312000002</v>
      </c>
      <c r="AG1208" s="676">
        <f>FISCinyear!JB887</f>
        <v>25.055556845572504</v>
      </c>
      <c r="AH1208" s="676">
        <f>FISCinyear!JE887</f>
        <v>37.329946228975587</v>
      </c>
      <c r="AI1208" s="676">
        <f>FISCinyear!JH887</f>
        <v>41.952938625000002</v>
      </c>
      <c r="AJ1208" s="676">
        <f>FISCinyear!JK887</f>
        <v>52.625183813</v>
      </c>
      <c r="AK1208" s="105">
        <f>53.8229356270889+5.68146394250225</f>
        <v>59.504399569591151</v>
      </c>
      <c r="AL1208" s="105">
        <f>60+6.62837459958595</f>
        <v>66.628374599585953</v>
      </c>
      <c r="AM1208" s="105">
        <f>60+8.52219591375337</f>
        <v>68.522195913753364</v>
      </c>
      <c r="AN1208" s="105">
        <f>60+10.4160172279208</f>
        <v>70.416017227920804</v>
      </c>
      <c r="AO1208" s="105">
        <f>60+12.3098385420882</f>
        <v>72.309838542088201</v>
      </c>
      <c r="AP1208" s="105">
        <f t="shared" ref="AP1208:AT1208" si="1481">53.8229356270889+12.3098385420882</f>
        <v>66.132774169177097</v>
      </c>
      <c r="AQ1208" s="105">
        <f t="shared" si="1481"/>
        <v>66.132774169177097</v>
      </c>
      <c r="AR1208" s="105">
        <f t="shared" si="1481"/>
        <v>66.132774169177097</v>
      </c>
      <c r="AS1208" s="105">
        <f t="shared" si="1481"/>
        <v>66.132774169177097</v>
      </c>
      <c r="AT1208" s="105">
        <f t="shared" si="1481"/>
        <v>66.132774169177097</v>
      </c>
      <c r="AU1208" s="105">
        <f t="shared" si="1462"/>
        <v>66.132774169177097</v>
      </c>
      <c r="AV1208" s="105">
        <f t="shared" si="1463"/>
        <v>0</v>
      </c>
      <c r="BH1208" s="1915"/>
    </row>
    <row r="1209" spans="1:60">
      <c r="A1209" s="1"/>
      <c r="B1209" s="1"/>
      <c r="C1209" s="1"/>
      <c r="D1209" s="1395" t="s">
        <v>3126</v>
      </c>
      <c r="E1209" s="323">
        <f>AVERAGE(AE1209:AK1209)/AVERAGE(AE1208:AK1208)</f>
        <v>0.77295197261926252</v>
      </c>
      <c r="F1209" s="323"/>
      <c r="G1209" s="323"/>
      <c r="H1209" s="323"/>
      <c r="I1209" s="323"/>
      <c r="J1209" s="323"/>
      <c r="K1209" s="323"/>
      <c r="L1209" s="323"/>
      <c r="M1209" s="323"/>
      <c r="N1209" s="323"/>
      <c r="O1209" s="323"/>
      <c r="P1209" s="323"/>
      <c r="Q1209" s="323"/>
      <c r="R1209" s="323"/>
      <c r="S1209" s="323"/>
      <c r="T1209" s="323"/>
      <c r="U1209" s="323"/>
      <c r="V1209" s="1552">
        <f>V1208*$E$1209</f>
        <v>4.6297348905849516</v>
      </c>
      <c r="W1209" s="548">
        <f t="shared" ref="W1209:AC1209" si="1482">W1208*$E$1209</f>
        <v>5.2149490087628134</v>
      </c>
      <c r="X1209" s="548">
        <f t="shared" si="1482"/>
        <v>4.7081253199316455</v>
      </c>
      <c r="Y1209" s="548">
        <f t="shared" si="1482"/>
        <v>9.5187796696126501</v>
      </c>
      <c r="Z1209" s="548">
        <f t="shared" si="1482"/>
        <v>11.201284131969192</v>
      </c>
      <c r="AA1209" s="548">
        <f t="shared" si="1482"/>
        <v>12.176193765694386</v>
      </c>
      <c r="AB1209" s="548">
        <f t="shared" si="1482"/>
        <v>12.991925670552423</v>
      </c>
      <c r="AC1209" s="548">
        <f t="shared" si="1482"/>
        <v>13.95993004325536</v>
      </c>
      <c r="AD1209" s="1553">
        <f>AD1208*$E$1209</f>
        <v>15.73640106954306</v>
      </c>
      <c r="AE1209" s="676">
        <v>15.603922534999999</v>
      </c>
      <c r="AF1209" s="676">
        <f>FISCinyear!IY888</f>
        <v>16.913033359</v>
      </c>
      <c r="AG1209" s="676">
        <f>FISCinyear!JB888</f>
        <v>23.107968718572504</v>
      </c>
      <c r="AH1209" s="676">
        <f>FISCinyear!JE888</f>
        <v>27.519180298459524</v>
      </c>
      <c r="AI1209" s="676">
        <f>FISCinyear!JH888</f>
        <v>33.952650497999997</v>
      </c>
      <c r="AJ1209" s="676">
        <f>FISCinyear!JK888</f>
        <v>37.521783740000004</v>
      </c>
      <c r="AK1209" s="931">
        <f>34.7+5.68146394250225</f>
        <v>40.381463942502251</v>
      </c>
      <c r="AL1209" s="931">
        <f>38.7+6.62837459958595</f>
        <v>45.328374599585956</v>
      </c>
      <c r="AM1209" s="931">
        <f>38.7+8.52219591375337</f>
        <v>47.222195913753374</v>
      </c>
      <c r="AN1209" s="931">
        <f>38.7+10.4160172279208</f>
        <v>49.116017227920807</v>
      </c>
      <c r="AO1209" s="931">
        <f>38.7+12.3098385420882</f>
        <v>51.009838542088204</v>
      </c>
      <c r="AP1209" s="931">
        <f t="shared" ref="AP1209:AT1209" si="1483">34.7+12.3098385420882</f>
        <v>47.009838542088204</v>
      </c>
      <c r="AQ1209" s="931">
        <f t="shared" si="1483"/>
        <v>47.009838542088204</v>
      </c>
      <c r="AR1209" s="931">
        <f t="shared" si="1483"/>
        <v>47.009838542088204</v>
      </c>
      <c r="AS1209" s="931">
        <f t="shared" si="1483"/>
        <v>47.009838542088204</v>
      </c>
      <c r="AT1209" s="931">
        <f t="shared" si="1483"/>
        <v>47.009838542088204</v>
      </c>
      <c r="AU1209" s="931">
        <f t="shared" si="1462"/>
        <v>47.009838542088204</v>
      </c>
      <c r="AV1209" s="931">
        <f t="shared" si="1463"/>
        <v>0</v>
      </c>
      <c r="AW1209" s="1916"/>
      <c r="AX1209" s="3064"/>
      <c r="AY1209" s="3064"/>
      <c r="AZ1209" s="3064"/>
      <c r="BA1209" s="3064"/>
      <c r="BB1209" s="3064"/>
      <c r="BC1209" s="3064"/>
      <c r="BD1209" s="1916"/>
      <c r="BE1209" s="1916"/>
      <c r="BF1209" s="1916"/>
      <c r="BG1209" s="1916"/>
      <c r="BH1209" s="1915"/>
    </row>
    <row r="1210" spans="1:60">
      <c r="A1210" s="1"/>
      <c r="B1210" s="1"/>
      <c r="C1210" s="1"/>
      <c r="D1210" s="1394" t="s">
        <v>554</v>
      </c>
      <c r="E1210" s="323"/>
      <c r="F1210" s="323"/>
      <c r="G1210" s="323"/>
      <c r="H1210" s="323"/>
      <c r="I1210" s="323"/>
      <c r="J1210" s="323"/>
      <c r="K1210" s="323"/>
      <c r="L1210" s="323"/>
      <c r="M1210" s="323"/>
      <c r="N1210" s="323"/>
      <c r="O1210" s="323"/>
      <c r="P1210" s="323"/>
      <c r="Q1210" s="323"/>
      <c r="R1210" s="323"/>
      <c r="S1210" s="323"/>
      <c r="T1210" s="323"/>
      <c r="U1210" s="323"/>
      <c r="V1210" s="1552">
        <f>V1207-V1208</f>
        <v>3.5944880494636653</v>
      </c>
      <c r="W1210" s="548">
        <f t="shared" ref="W1210:AD1210" si="1484">W1207-W1208</f>
        <v>4.0488434723725497</v>
      </c>
      <c r="X1210" s="548">
        <f t="shared" si="1484"/>
        <v>3.655349733369591</v>
      </c>
      <c r="Y1210" s="548">
        <f t="shared" si="1484"/>
        <v>7.3903021612491067</v>
      </c>
      <c r="Z1210" s="548">
        <f t="shared" si="1484"/>
        <v>8.6965847726808327</v>
      </c>
      <c r="AA1210" s="548">
        <f t="shared" si="1484"/>
        <v>9.4534965852467234</v>
      </c>
      <c r="AB1210" s="548">
        <f t="shared" si="1484"/>
        <v>10.086824119732828</v>
      </c>
      <c r="AC1210" s="548">
        <f t="shared" si="1484"/>
        <v>10.838374744496495</v>
      </c>
      <c r="AD1210" s="1553">
        <f t="shared" si="1484"/>
        <v>12.217612222477182</v>
      </c>
      <c r="AE1210" s="676">
        <v>13.720693953</v>
      </c>
      <c r="AF1210" s="676">
        <f>FISCinyear!IY889</f>
        <v>10.687595033999999</v>
      </c>
      <c r="AG1210" s="676">
        <f>FISCinyear!JB889</f>
        <v>6.9</v>
      </c>
      <c r="AH1210" s="676">
        <f>FISCinyear!JE889</f>
        <v>15.227945918183609</v>
      </c>
      <c r="AI1210" s="676">
        <f>FISCinyear!JH889</f>
        <v>26.490908250000004</v>
      </c>
      <c r="AJ1210" s="676">
        <f>FISCinyear!JK889</f>
        <v>34.616651066999999</v>
      </c>
      <c r="AK1210" s="105">
        <f t="shared" ref="AK1210:AM1210" si="1485">AK1207-AK1208</f>
        <v>43.752602617579804</v>
      </c>
      <c r="AL1210" s="105">
        <f t="shared" si="1485"/>
        <v>48.7</v>
      </c>
      <c r="AM1210" s="105">
        <f t="shared" si="1485"/>
        <v>48.7</v>
      </c>
      <c r="AN1210" s="105">
        <f t="shared" ref="AN1210:AT1210" si="1486">AN1207-AN1208</f>
        <v>48.7</v>
      </c>
      <c r="AO1210" s="105">
        <f t="shared" si="1486"/>
        <v>48.7</v>
      </c>
      <c r="AP1210" s="105">
        <f t="shared" si="1486"/>
        <v>40.170178318984711</v>
      </c>
      <c r="AQ1210" s="105">
        <f t="shared" si="1486"/>
        <v>40.170178318984711</v>
      </c>
      <c r="AR1210" s="105">
        <f t="shared" si="1486"/>
        <v>40.170178318984711</v>
      </c>
      <c r="AS1210" s="105">
        <f t="shared" si="1486"/>
        <v>40.170178318984711</v>
      </c>
      <c r="AT1210" s="105">
        <f t="shared" si="1486"/>
        <v>40.170178318984711</v>
      </c>
      <c r="AU1210" s="105">
        <f t="shared" si="1462"/>
        <v>40.170178318984711</v>
      </c>
      <c r="AV1210" s="105">
        <f t="shared" si="1463"/>
        <v>0</v>
      </c>
      <c r="AW1210" s="1916"/>
      <c r="AX1210" s="1916"/>
      <c r="AY1210" s="1916"/>
      <c r="AZ1210" s="1916"/>
      <c r="BA1210" s="1916"/>
      <c r="BB1210" s="1916"/>
      <c r="BC1210" s="1916"/>
      <c r="BD1210" s="1916"/>
      <c r="BE1210" s="1916"/>
      <c r="BF1210" s="1916"/>
      <c r="BG1210" s="1916"/>
      <c r="BH1210" s="1915"/>
    </row>
    <row r="1211" spans="1:60">
      <c r="A1211" s="1"/>
      <c r="B1211" s="1"/>
      <c r="C1211" s="1"/>
      <c r="D1211" s="1393" t="s">
        <v>3053</v>
      </c>
      <c r="E1211" s="323"/>
      <c r="F1211" s="323"/>
      <c r="G1211" s="323"/>
      <c r="H1211" s="323"/>
      <c r="I1211" s="323"/>
      <c r="J1211" s="323"/>
      <c r="K1211" s="323"/>
      <c r="L1211" s="323"/>
      <c r="M1211" s="323"/>
      <c r="N1211" s="323"/>
      <c r="O1211" s="323"/>
      <c r="P1211" s="323"/>
      <c r="Q1211" s="323"/>
      <c r="R1211" s="323"/>
      <c r="S1211" s="323"/>
      <c r="T1211" s="323"/>
      <c r="U1211" s="323"/>
      <c r="V1211" s="1552">
        <f>V1206-V1207</f>
        <v>129.264847773268</v>
      </c>
      <c r="W1211" s="548">
        <f t="shared" ref="W1211:AD1211" si="1487">W1206-W1207</f>
        <v>145.60436087473431</v>
      </c>
      <c r="X1211" s="548">
        <f t="shared" si="1487"/>
        <v>131.4535534239929</v>
      </c>
      <c r="Y1211" s="548">
        <f t="shared" si="1487"/>
        <v>265.76977603663499</v>
      </c>
      <c r="Z1211" s="548">
        <f t="shared" si="1487"/>
        <v>312.74626353414777</v>
      </c>
      <c r="AA1211" s="548">
        <f t="shared" si="1487"/>
        <v>339.96629845503656</v>
      </c>
      <c r="AB1211" s="548">
        <f t="shared" si="1487"/>
        <v>362.74200008747925</v>
      </c>
      <c r="AC1211" s="548">
        <f t="shared" si="1487"/>
        <v>389.76923616869965</v>
      </c>
      <c r="AD1211" s="1553">
        <f t="shared" si="1487"/>
        <v>439.36932390886119</v>
      </c>
      <c r="AE1211" s="676">
        <v>469.262372949</v>
      </c>
      <c r="AF1211" s="676">
        <f>FISCinyear!IY890</f>
        <v>342.29124910500002</v>
      </c>
      <c r="AG1211" s="676">
        <f>FISCinyear!JB890</f>
        <v>623.60555586366002</v>
      </c>
      <c r="AH1211" s="676">
        <f>FISCinyear!JE890</f>
        <v>917.0421078528409</v>
      </c>
      <c r="AI1211" s="676">
        <f>FISCinyear!JH890</f>
        <v>925.19658111500007</v>
      </c>
      <c r="AJ1211" s="676">
        <f>FISCinyear!JK890</f>
        <v>937.20957723000015</v>
      </c>
      <c r="AK1211" s="676">
        <f>AK1206-AK1207</f>
        <v>1052.3312241676254</v>
      </c>
      <c r="AL1211" s="676">
        <f t="shared" ref="AL1211:AM1211" si="1488">AL1206-AL1207</f>
        <v>1234.374626004357</v>
      </c>
      <c r="AM1211" s="676">
        <f t="shared" si="1488"/>
        <v>1464.9227491062384</v>
      </c>
      <c r="AN1211" s="676">
        <f t="shared" ref="AN1211:AT1211" si="1489">AN1206-AN1207</f>
        <v>1654.8398652529797</v>
      </c>
      <c r="AO1211" s="676">
        <f t="shared" si="1489"/>
        <v>2036.3350661707307</v>
      </c>
      <c r="AP1211" s="676">
        <f t="shared" si="1489"/>
        <v>2301.0341330901783</v>
      </c>
      <c r="AQ1211" s="676">
        <f>AQ1206-AQ1207</f>
        <v>2745.9250390243569</v>
      </c>
      <c r="AR1211" s="676">
        <f t="shared" si="1489"/>
        <v>3217.7229367685536</v>
      </c>
      <c r="AS1211" s="676">
        <f t="shared" si="1489"/>
        <v>3769.2201447813577</v>
      </c>
      <c r="AT1211" s="676">
        <f t="shared" si="1489"/>
        <v>5183.2337580306767</v>
      </c>
      <c r="AU1211" s="676">
        <f t="shared" si="1462"/>
        <v>7127.7110803904061</v>
      </c>
      <c r="AV1211" s="676">
        <f t="shared" si="1463"/>
        <v>0.37514752626138859</v>
      </c>
      <c r="AW1211" s="1916"/>
      <c r="AX1211" s="1916"/>
      <c r="AY1211" s="1916"/>
      <c r="AZ1211" s="1916"/>
      <c r="BA1211" s="1916"/>
      <c r="BB1211" s="1916"/>
      <c r="BC1211" s="1916"/>
      <c r="BD1211" s="1916"/>
      <c r="BE1211" s="1916"/>
      <c r="BF1211" s="1916"/>
      <c r="BG1211" s="1916"/>
      <c r="BH1211" s="1915"/>
    </row>
    <row r="1212" spans="1:60">
      <c r="A1212" s="1"/>
      <c r="B1212" s="1"/>
      <c r="C1212" s="1"/>
      <c r="D1212" s="1394" t="s">
        <v>553</v>
      </c>
      <c r="E1212" s="323">
        <f>AVERAGE(AE1212:AK1212)/AVERAGE(AE1211:AK1211)</f>
        <v>0.76869671515171767</v>
      </c>
      <c r="F1212" s="323"/>
      <c r="G1212" s="323"/>
      <c r="H1212" s="323"/>
      <c r="I1212" s="323"/>
      <c r="J1212" s="323"/>
      <c r="K1212" s="323"/>
      <c r="L1212" s="323"/>
      <c r="M1212" s="323"/>
      <c r="N1212" s="323"/>
      <c r="O1212" s="323"/>
      <c r="P1212" s="323"/>
      <c r="Q1212" s="323"/>
      <c r="R1212" s="323"/>
      <c r="S1212" s="323"/>
      <c r="T1212" s="323"/>
      <c r="U1212" s="323"/>
      <c r="V1212" s="1552">
        <f>V1211*$E$1212</f>
        <v>99.365463867897944</v>
      </c>
      <c r="W1212" s="548">
        <f t="shared" ref="W1212:AD1212" si="1490">W1211*$E$1212</f>
        <v>111.92559391617354</v>
      </c>
      <c r="X1212" s="548">
        <f t="shared" si="1490"/>
        <v>101.04791471204418</v>
      </c>
      <c r="Y1212" s="548">
        <f t="shared" si="1490"/>
        <v>204.29635382596902</v>
      </c>
      <c r="Z1212" s="548">
        <f t="shared" si="1490"/>
        <v>240.40702545467281</v>
      </c>
      <c r="AA1212" s="548">
        <f t="shared" si="1490"/>
        <v>261.33097688467507</v>
      </c>
      <c r="AB1212" s="548">
        <f t="shared" si="1490"/>
        <v>278.83858391480936</v>
      </c>
      <c r="AC1212" s="548">
        <f t="shared" si="1490"/>
        <v>299.6143315100735</v>
      </c>
      <c r="AD1212" s="1553">
        <f t="shared" si="1490"/>
        <v>337.74175602717264</v>
      </c>
      <c r="AE1212" s="676">
        <v>279.08657524199998</v>
      </c>
      <c r="AF1212" s="676">
        <f>FISCinyear!IY891</f>
        <v>319.57322756299999</v>
      </c>
      <c r="AG1212" s="676">
        <f>FISCinyear!JB891</f>
        <v>488.18254872565996</v>
      </c>
      <c r="AH1212" s="676">
        <f>FISCinyear!JE891</f>
        <v>696.26414528325677</v>
      </c>
      <c r="AI1212" s="676">
        <f>FISCinyear!JH891</f>
        <v>703.73034491099997</v>
      </c>
      <c r="AJ1212" s="676">
        <f>FISCinyear!JK891</f>
        <v>748.55919339000002</v>
      </c>
      <c r="AK1212" s="105">
        <f>(AK1211*0.77283881673584)</f>
        <v>813.2824180998856</v>
      </c>
      <c r="AL1212" s="105">
        <f>(AL1211*0.769620748157998)</f>
        <v>950.00032317272212</v>
      </c>
      <c r="AM1212" s="105">
        <f>(AM1211*0.748845243645153)</f>
        <v>1097.0004329757885</v>
      </c>
      <c r="AN1212" s="105">
        <f>(AN1211*0.749124744765082)</f>
        <v>1239.6814916847211</v>
      </c>
      <c r="AO1212" s="105">
        <f>(AO1211*0.749288851289729)</f>
        <v>1525.803162572061</v>
      </c>
      <c r="AP1212" s="105">
        <f t="shared" ref="AP1212:AT1212" si="1491">(AP1211*0.749288851289729)</f>
        <v>1724.1392223615971</v>
      </c>
      <c r="AQ1212" s="105">
        <f t="shared" si="1491"/>
        <v>2057.4910182182648</v>
      </c>
      <c r="AR1212" s="105">
        <f t="shared" si="1491"/>
        <v>2411.0039230599227</v>
      </c>
      <c r="AS1212" s="105">
        <f t="shared" si="1491"/>
        <v>2824.2346325413296</v>
      </c>
      <c r="AT1212" s="105">
        <f t="shared" si="1491"/>
        <v>3883.7392685209506</v>
      </c>
      <c r="AU1212" s="105">
        <f t="shared" si="1462"/>
        <v>5340.7144477507991</v>
      </c>
      <c r="AV1212" s="105">
        <f t="shared" si="1463"/>
        <v>0.37514752626138836</v>
      </c>
      <c r="AW1212" s="1916"/>
      <c r="AX1212" s="1916"/>
      <c r="AY1212" s="1916"/>
      <c r="AZ1212" s="1916"/>
      <c r="BA1212" s="1916"/>
      <c r="BB1212" s="1916"/>
      <c r="BC1212" s="1916"/>
      <c r="BD1212" s="1916"/>
      <c r="BE1212" s="1916"/>
      <c r="BF1212" s="1916"/>
      <c r="BG1212" s="1916"/>
      <c r="BH1212" s="1915"/>
    </row>
    <row r="1213" spans="1:60">
      <c r="A1213" s="1"/>
      <c r="B1213" s="1"/>
      <c r="C1213" s="1"/>
      <c r="D1213" s="1395" t="s">
        <v>3126</v>
      </c>
      <c r="E1213" s="323">
        <f>AVERAGE(AE1213:AK1213)/AVERAGE(AE1212:AK1212)</f>
        <v>0.72686233806848843</v>
      </c>
      <c r="F1213" s="323"/>
      <c r="G1213" s="323"/>
      <c r="H1213" s="323"/>
      <c r="I1213" s="323"/>
      <c r="J1213" s="323"/>
      <c r="K1213" s="323"/>
      <c r="L1213" s="323"/>
      <c r="M1213" s="323"/>
      <c r="N1213" s="323"/>
      <c r="O1213" s="323"/>
      <c r="P1213" s="323"/>
      <c r="Q1213" s="323"/>
      <c r="R1213" s="323"/>
      <c r="S1213" s="323"/>
      <c r="T1213" s="323"/>
      <c r="U1213" s="323"/>
      <c r="V1213" s="1552">
        <f>V1212*$E$1213</f>
        <v>72.225013390280211</v>
      </c>
      <c r="W1213" s="548">
        <f t="shared" ref="W1213:AD1213" si="1492">W1212*$E$1213</f>
        <v>81.354498883614085</v>
      </c>
      <c r="X1213" s="548">
        <f t="shared" si="1492"/>
        <v>73.447923544541638</v>
      </c>
      <c r="Y1213" s="548">
        <f t="shared" si="1492"/>
        <v>148.49532540081103</v>
      </c>
      <c r="Z1213" s="548">
        <f t="shared" si="1492"/>
        <v>174.74281261007408</v>
      </c>
      <c r="AA1213" s="548">
        <f t="shared" si="1492"/>
        <v>189.95164486811703</v>
      </c>
      <c r="AB1213" s="548">
        <f t="shared" si="1492"/>
        <v>202.67726504802474</v>
      </c>
      <c r="AC1213" s="548">
        <f t="shared" si="1492"/>
        <v>217.7783735202392</v>
      </c>
      <c r="AD1213" s="1553">
        <f t="shared" si="1492"/>
        <v>245.4917624492677</v>
      </c>
      <c r="AE1213" s="676">
        <v>171.34550633200001</v>
      </c>
      <c r="AF1213" s="676">
        <f>FISCinyear!IY892</f>
        <v>232.29483212399998</v>
      </c>
      <c r="AG1213" s="676">
        <f>FISCinyear!JB892</f>
        <v>308.14194859999998</v>
      </c>
      <c r="AH1213" s="676">
        <f>FISCinyear!JE892</f>
        <v>435.05203846906761</v>
      </c>
      <c r="AI1213" s="676">
        <f>FISCinyear!JH892</f>
        <v>503.040755107</v>
      </c>
      <c r="AJ1213" s="676">
        <f>FISCinyear!JK892</f>
        <v>580.16862759100002</v>
      </c>
      <c r="AK1213" s="105">
        <f>(AJ1213*0)+(AK421*0.0281882722827302)</f>
        <v>712.78817836815529</v>
      </c>
      <c r="AL1213" s="105">
        <f>(AK1213*0)+(AL421*0.0279084958724106)</f>
        <v>805.14254417850077</v>
      </c>
      <c r="AM1213" s="105">
        <f>(AL1213*0)+(AM421*0.0282590135567369)</f>
        <v>918.33127788467016</v>
      </c>
      <c r="AN1213" s="105">
        <f>(AM1213*0)+(AN421*0.0286772894568058)</f>
        <v>1051.4475436130649</v>
      </c>
      <c r="AO1213" s="105">
        <f>(AN1213*0)+(AO421*0.0275570940110852)</f>
        <v>1136.4859495408257</v>
      </c>
      <c r="AP1213" s="105">
        <f>(AO1213*0)+(AP421*0.03)</f>
        <v>1379.203870498538</v>
      </c>
      <c r="AQ1213" s="105">
        <f>(AP1213*0)+(AQ421*0.03)</f>
        <v>1546.5976174283796</v>
      </c>
      <c r="AR1213" s="105">
        <f>(AQ1213*0)+(AR421*0.03)</f>
        <v>1722.7269574594627</v>
      </c>
      <c r="AS1213" s="105">
        <f>(AR1213*0)+(AS421*0.03)</f>
        <v>1922.8295120006771</v>
      </c>
      <c r="AT1213" s="105">
        <f>(AS1213*0)+(AT421*0.03)</f>
        <v>2468.100302750724</v>
      </c>
      <c r="AU1213" s="105">
        <f t="shared" si="1462"/>
        <v>3167.9975090979729</v>
      </c>
      <c r="AV1213" s="105">
        <f t="shared" si="1463"/>
        <v>0.28357729447510938</v>
      </c>
      <c r="AW1213" s="1916"/>
      <c r="AX1213" s="1114"/>
      <c r="AY1213" s="1114"/>
      <c r="AZ1213" s="1114"/>
      <c r="BA1213" s="1114"/>
      <c r="BB1213" s="1114"/>
      <c r="BC1213" s="1758"/>
      <c r="BD1213" s="1758"/>
      <c r="BE1213" s="1758"/>
      <c r="BF1213" s="1758"/>
      <c r="BG1213" s="1758"/>
      <c r="BH1213" s="1915"/>
    </row>
    <row r="1214" spans="1:60">
      <c r="A1214" s="1"/>
      <c r="B1214" s="1"/>
      <c r="C1214" s="1"/>
      <c r="D1214" s="1395" t="s">
        <v>3279</v>
      </c>
      <c r="E1214" s="323"/>
      <c r="F1214" s="323"/>
      <c r="G1214" s="323"/>
      <c r="H1214" s="323"/>
      <c r="I1214" s="323"/>
      <c r="J1214" s="323"/>
      <c r="K1214" s="323"/>
      <c r="L1214" s="323"/>
      <c r="M1214" s="323"/>
      <c r="N1214" s="323"/>
      <c r="O1214" s="323"/>
      <c r="P1214" s="323"/>
      <c r="Q1214" s="323"/>
      <c r="R1214" s="323"/>
      <c r="S1214" s="323"/>
      <c r="T1214" s="323"/>
      <c r="U1214" s="323"/>
      <c r="V1214" s="548"/>
      <c r="W1214" s="548"/>
      <c r="X1214" s="548"/>
      <c r="Y1214" s="1437"/>
      <c r="Z1214" s="1437"/>
      <c r="AA1214" s="1437"/>
      <c r="AB1214" s="1437"/>
      <c r="AC1214" s="1437"/>
      <c r="AD1214" s="1437"/>
      <c r="AE1214" s="676"/>
      <c r="AF1214" s="676"/>
      <c r="AG1214" s="676">
        <f>FISCinyear!JB893</f>
        <v>0</v>
      </c>
      <c r="AH1214" s="676">
        <f>FISCinyear!JE893</f>
        <v>0</v>
      </c>
      <c r="AI1214" s="676">
        <f>FISCinyear!JH893</f>
        <v>0</v>
      </c>
      <c r="AJ1214" s="676">
        <f>FISCinyear!JK893</f>
        <v>0</v>
      </c>
      <c r="AK1214" s="105"/>
      <c r="AL1214" s="676"/>
      <c r="AM1214" s="676"/>
      <c r="AN1214" s="676"/>
      <c r="AO1214" s="676"/>
      <c r="AP1214" s="676"/>
      <c r="AQ1214" s="676"/>
      <c r="AR1214" s="676"/>
      <c r="AS1214" s="676"/>
      <c r="AT1214" s="676"/>
      <c r="AU1214" s="676"/>
      <c r="AV1214" s="676" t="e">
        <f t="shared" si="1463"/>
        <v>#DIV/0!</v>
      </c>
      <c r="AW1214" s="1916"/>
      <c r="BC1214" s="1916"/>
      <c r="BD1214" s="1916"/>
      <c r="BE1214" s="1916"/>
      <c r="BF1214" s="1916"/>
      <c r="BG1214" s="1916"/>
      <c r="BH1214" s="1915"/>
    </row>
    <row r="1215" spans="1:60">
      <c r="A1215" s="1"/>
      <c r="B1215" s="1"/>
      <c r="C1215" s="1"/>
      <c r="D1215" s="1394" t="s">
        <v>554</v>
      </c>
      <c r="E1215" s="323"/>
      <c r="F1215" s="323"/>
      <c r="G1215" s="323"/>
      <c r="H1215" s="323"/>
      <c r="I1215" s="323"/>
      <c r="J1215" s="323"/>
      <c r="K1215" s="323"/>
      <c r="L1215" s="323"/>
      <c r="M1215" s="323"/>
      <c r="N1215" s="323"/>
      <c r="O1215" s="323"/>
      <c r="P1215" s="323"/>
      <c r="Q1215" s="323"/>
      <c r="R1215" s="323"/>
      <c r="S1215" s="323"/>
      <c r="T1215" s="323"/>
      <c r="U1215" s="323"/>
      <c r="V1215" s="1552">
        <f t="shared" ref="V1215:AD1215" si="1493">V1211-V1212</f>
        <v>29.899383905370058</v>
      </c>
      <c r="W1215" s="548">
        <f t="shared" si="1493"/>
        <v>33.678766958560772</v>
      </c>
      <c r="X1215" s="548">
        <f t="shared" si="1493"/>
        <v>30.405638711948725</v>
      </c>
      <c r="Y1215" s="548">
        <f t="shared" si="1493"/>
        <v>61.473422210665973</v>
      </c>
      <c r="Z1215" s="548">
        <f t="shared" si="1493"/>
        <v>72.339238079474967</v>
      </c>
      <c r="AA1215" s="548">
        <f t="shared" si="1493"/>
        <v>78.635321570361498</v>
      </c>
      <c r="AB1215" s="548">
        <f t="shared" si="1493"/>
        <v>83.903416172669893</v>
      </c>
      <c r="AC1215" s="548">
        <f t="shared" si="1493"/>
        <v>90.154904658626151</v>
      </c>
      <c r="AD1215" s="1553">
        <f t="shared" si="1493"/>
        <v>101.62756788168855</v>
      </c>
      <c r="AE1215" s="676">
        <v>128.219590143</v>
      </c>
      <c r="AF1215" s="676">
        <f>FISCinyear!IY894</f>
        <v>169.40523530799999</v>
      </c>
      <c r="AG1215" s="676">
        <f>FISCinyear!JB894</f>
        <v>135.423007138</v>
      </c>
      <c r="AH1215" s="676">
        <f>FISCinyear!JE894</f>
        <v>220.77796256958413</v>
      </c>
      <c r="AI1215" s="676">
        <f>FISCinyear!JH894</f>
        <v>221.46623620400004</v>
      </c>
      <c r="AJ1215" s="676">
        <f>FISCinyear!JK894</f>
        <v>188.65038384000002</v>
      </c>
      <c r="AK1215" s="105">
        <f t="shared" ref="AK1215:AT1215" si="1494">AK1211-AK1212</f>
        <v>239.04880606773975</v>
      </c>
      <c r="AL1215" s="105">
        <f t="shared" si="1494"/>
        <v>284.37430283163485</v>
      </c>
      <c r="AM1215" s="105">
        <f t="shared" si="1494"/>
        <v>367.92231613044987</v>
      </c>
      <c r="AN1215" s="105">
        <f t="shared" si="1494"/>
        <v>415.15837356825864</v>
      </c>
      <c r="AO1215" s="105">
        <f t="shared" si="1494"/>
        <v>510.53190359866971</v>
      </c>
      <c r="AP1215" s="105">
        <f t="shared" si="1494"/>
        <v>576.89491072858118</v>
      </c>
      <c r="AQ1215" s="105">
        <f t="shared" si="1494"/>
        <v>688.43402080609212</v>
      </c>
      <c r="AR1215" s="105">
        <f t="shared" si="1494"/>
        <v>806.71901370863088</v>
      </c>
      <c r="AS1215" s="105">
        <f t="shared" si="1494"/>
        <v>944.98551224002813</v>
      </c>
      <c r="AT1215" s="105">
        <f t="shared" si="1494"/>
        <v>1299.494489509726</v>
      </c>
      <c r="AU1215" s="105">
        <f t="shared" si="1462"/>
        <v>1786.9966326396059</v>
      </c>
      <c r="AV1215" s="105">
        <f t="shared" si="1463"/>
        <v>0.37514752626138881</v>
      </c>
      <c r="AW1215" s="1916"/>
      <c r="BC1215" s="2155"/>
      <c r="BD1215" s="2155"/>
      <c r="BE1215" s="2155"/>
      <c r="BF1215" s="2155"/>
      <c r="BG1215" s="2155"/>
      <c r="BH1215" s="1915"/>
    </row>
    <row r="1216" spans="1:60">
      <c r="A1216" s="1"/>
      <c r="B1216" s="1"/>
      <c r="C1216" s="1"/>
      <c r="D1216" s="1395" t="s">
        <v>3120</v>
      </c>
      <c r="E1216" s="323"/>
      <c r="F1216" s="323"/>
      <c r="G1216" s="323"/>
      <c r="H1216" s="323"/>
      <c r="I1216" s="323"/>
      <c r="J1216" s="323"/>
      <c r="K1216" s="323"/>
      <c r="L1216" s="323"/>
      <c r="M1216" s="323"/>
      <c r="N1216" s="323"/>
      <c r="O1216" s="323"/>
      <c r="P1216" s="323"/>
      <c r="Q1216" s="323"/>
      <c r="R1216" s="323"/>
      <c r="S1216" s="323"/>
      <c r="T1216" s="323"/>
      <c r="U1216" s="323"/>
      <c r="V1216" s="1554"/>
      <c r="W1216" s="1555"/>
      <c r="X1216" s="1555"/>
      <c r="Y1216" s="1556"/>
      <c r="Z1216" s="1556"/>
      <c r="AA1216" s="1556"/>
      <c r="AB1216" s="1556"/>
      <c r="AC1216" s="1556"/>
      <c r="AD1216" s="1557"/>
      <c r="AE1216" s="676">
        <v>0</v>
      </c>
      <c r="AF1216" s="676">
        <f>FISCinyear!IY895</f>
        <v>0</v>
      </c>
      <c r="AG1216" s="676">
        <f>FISCinyear!JB895</f>
        <v>0</v>
      </c>
      <c r="AH1216" s="676">
        <f>FISCinyear!JE895</f>
        <v>0</v>
      </c>
      <c r="AI1216" s="676">
        <f>FISCinyear!JH895</f>
        <v>0</v>
      </c>
      <c r="AJ1216" s="676">
        <f>FISCinyear!JK895</f>
        <v>0</v>
      </c>
      <c r="AK1216" s="105">
        <v>0</v>
      </c>
      <c r="AL1216" s="676">
        <v>0</v>
      </c>
      <c r="AM1216" s="676">
        <v>0</v>
      </c>
      <c r="AN1216" s="676">
        <v>0</v>
      </c>
      <c r="AO1216" s="676">
        <v>0</v>
      </c>
      <c r="AP1216" s="676">
        <v>0</v>
      </c>
      <c r="AQ1216" s="676">
        <v>0</v>
      </c>
      <c r="AR1216" s="676">
        <v>0</v>
      </c>
      <c r="AS1216" s="676">
        <v>0</v>
      </c>
      <c r="AT1216" s="676">
        <v>0</v>
      </c>
      <c r="AU1216" s="676">
        <v>0</v>
      </c>
      <c r="AV1216" s="676" t="e">
        <f t="shared" si="1463"/>
        <v>#DIV/0!</v>
      </c>
      <c r="AW1216" s="1916"/>
      <c r="AX1216" s="1916"/>
      <c r="AY1216" s="1916"/>
      <c r="AZ1216" s="1916"/>
      <c r="BA1216" s="1916"/>
      <c r="BB1216" s="1916"/>
      <c r="BC1216" s="1916"/>
      <c r="BD1216" s="1916"/>
      <c r="BE1216" s="1916"/>
      <c r="BF1216" s="1916"/>
      <c r="BG1216" s="1916"/>
      <c r="BH1216" s="1915"/>
    </row>
    <row r="1217" spans="1:60">
      <c r="A1217" s="1"/>
      <c r="B1217" s="1"/>
      <c r="C1217" s="1"/>
      <c r="D1217" s="1393" t="s">
        <v>3280</v>
      </c>
      <c r="E1217" s="323"/>
      <c r="F1217" s="323"/>
      <c r="G1217" s="323"/>
      <c r="H1217" s="323"/>
      <c r="I1217" s="323"/>
      <c r="J1217" s="323"/>
      <c r="K1217" s="323"/>
      <c r="L1217" s="323"/>
      <c r="M1217" s="323"/>
      <c r="N1217" s="323"/>
      <c r="O1217" s="323"/>
      <c r="P1217" s="323"/>
      <c r="Q1217" s="323"/>
      <c r="R1217" s="323"/>
      <c r="S1217" s="323"/>
      <c r="T1217" s="323"/>
      <c r="U1217" s="323"/>
      <c r="V1217" s="548"/>
      <c r="W1217" s="548"/>
      <c r="X1217" s="548"/>
      <c r="Y1217" s="1437"/>
      <c r="Z1217" s="1437"/>
      <c r="AA1217" s="1437"/>
      <c r="AB1217" s="1437">
        <v>0</v>
      </c>
      <c r="AC1217" s="1437">
        <v>0</v>
      </c>
      <c r="AD1217" s="1437"/>
      <c r="AE1217" s="676"/>
      <c r="AF1217" s="676"/>
      <c r="AG1217" s="676">
        <f>FISCinyear!JB896</f>
        <v>0</v>
      </c>
      <c r="AH1217" s="676">
        <f>FISCinyear!JE896</f>
        <v>0</v>
      </c>
      <c r="AI1217" s="676">
        <f>FISCinyear!JH896</f>
        <v>0</v>
      </c>
      <c r="AJ1217" s="676">
        <f>FISCinyear!JK896</f>
        <v>0</v>
      </c>
      <c r="AK1217" s="105"/>
      <c r="AL1217" s="676"/>
      <c r="AM1217" s="676"/>
      <c r="AN1217" s="676"/>
      <c r="AO1217" s="676"/>
      <c r="AP1217" s="676"/>
      <c r="AQ1217" s="676"/>
      <c r="AR1217" s="676"/>
      <c r="AS1217" s="676"/>
      <c r="AT1217" s="676"/>
      <c r="AU1217" s="676"/>
      <c r="AV1217" s="676" t="e">
        <f t="shared" si="1463"/>
        <v>#DIV/0!</v>
      </c>
      <c r="AW1217" s="1916"/>
      <c r="AX1217" s="1916"/>
      <c r="AY1217" s="1916"/>
      <c r="AZ1217" s="1916"/>
      <c r="BA1217" s="1916"/>
      <c r="BB1217" s="1916"/>
      <c r="BC1217" s="1916"/>
      <c r="BD1217" s="1916"/>
      <c r="BE1217" s="1916"/>
      <c r="BF1217" s="1916"/>
      <c r="BG1217" s="1916"/>
      <c r="BH1217" s="1915"/>
    </row>
    <row r="1218" spans="1:60">
      <c r="A1218" s="1"/>
      <c r="B1218" s="1"/>
      <c r="C1218" s="1"/>
      <c r="D1218" s="1393" t="s">
        <v>3281</v>
      </c>
      <c r="E1218" s="323"/>
      <c r="F1218" s="323"/>
      <c r="G1218" s="323"/>
      <c r="H1218" s="323"/>
      <c r="I1218" s="323"/>
      <c r="J1218" s="323"/>
      <c r="K1218" s="323"/>
      <c r="L1218" s="323"/>
      <c r="M1218" s="323"/>
      <c r="N1218" s="323"/>
      <c r="O1218" s="323"/>
      <c r="P1218" s="323"/>
      <c r="Q1218" s="323"/>
      <c r="R1218" s="323"/>
      <c r="S1218" s="323"/>
      <c r="T1218" s="323"/>
      <c r="U1218" s="323"/>
      <c r="V1218" s="548"/>
      <c r="W1218" s="548"/>
      <c r="X1218" s="548"/>
      <c r="Y1218" s="1437"/>
      <c r="Z1218" s="1437"/>
      <c r="AA1218" s="1437"/>
      <c r="AB1218" s="1437"/>
      <c r="AC1218" s="1437"/>
      <c r="AD1218" s="1437"/>
      <c r="AE1218" s="676"/>
      <c r="AF1218" s="676"/>
      <c r="AG1218" s="676">
        <f>FISCinyear!JB897</f>
        <v>0</v>
      </c>
      <c r="AH1218" s="676">
        <f>FISCinyear!JE897</f>
        <v>0</v>
      </c>
      <c r="AI1218" s="676">
        <f>FISCinyear!JH897</f>
        <v>0</v>
      </c>
      <c r="AJ1218" s="676">
        <f>FISCinyear!JK897</f>
        <v>0</v>
      </c>
      <c r="AK1218" s="105"/>
      <c r="AL1218" s="676"/>
      <c r="AM1218" s="676"/>
      <c r="AN1218" s="676"/>
      <c r="AO1218" s="676"/>
      <c r="AP1218" s="676"/>
      <c r="AQ1218" s="676"/>
      <c r="AR1218" s="676"/>
      <c r="AS1218" s="676"/>
      <c r="AT1218" s="676"/>
      <c r="AU1218" s="676"/>
      <c r="AV1218" s="676" t="e">
        <f t="shared" si="1463"/>
        <v>#DIV/0!</v>
      </c>
      <c r="AW1218" s="1916"/>
      <c r="AX1218" s="1916"/>
      <c r="AY1218" s="1916"/>
      <c r="AZ1218" s="1916"/>
      <c r="BA1218" s="1916"/>
      <c r="BB1218" s="1916"/>
      <c r="BC1218" s="1916"/>
      <c r="BD1218" s="1916"/>
      <c r="BE1218" s="1916"/>
      <c r="BF1218" s="1916"/>
      <c r="BG1218" s="1916"/>
      <c r="BH1218" s="1915"/>
    </row>
    <row r="1219" spans="1:60">
      <c r="A1219" s="1"/>
      <c r="B1219" s="1"/>
      <c r="C1219" s="1"/>
      <c r="D1219" s="1393" t="s">
        <v>438</v>
      </c>
      <c r="E1219" s="323"/>
      <c r="F1219" s="323"/>
      <c r="G1219" s="323"/>
      <c r="H1219" s="323"/>
      <c r="I1219" s="323"/>
      <c r="J1219" s="323"/>
      <c r="K1219" s="323"/>
      <c r="L1219" s="323"/>
      <c r="M1219" s="323"/>
      <c r="N1219" s="323"/>
      <c r="O1219" s="323"/>
      <c r="P1219" s="323"/>
      <c r="Q1219" s="323"/>
      <c r="R1219" s="323"/>
      <c r="S1219" s="323"/>
      <c r="T1219" s="323"/>
      <c r="U1219" s="323"/>
      <c r="V1219" s="105"/>
      <c r="W1219" s="105"/>
      <c r="X1219" s="105"/>
      <c r="Y1219" s="676">
        <v>0</v>
      </c>
      <c r="Z1219" s="676">
        <v>0</v>
      </c>
      <c r="AA1219" s="676">
        <v>0</v>
      </c>
      <c r="AB1219" s="676">
        <v>0</v>
      </c>
      <c r="AC1219" s="676">
        <v>0</v>
      </c>
      <c r="AD1219" s="676">
        <v>0</v>
      </c>
      <c r="AE1219" s="676">
        <v>0</v>
      </c>
      <c r="AF1219" s="676">
        <f>FISCinyear!IY898</f>
        <v>0</v>
      </c>
      <c r="AG1219" s="676">
        <f>FISCinyear!JB898</f>
        <v>0</v>
      </c>
      <c r="AH1219" s="676">
        <f>FISCinyear!JE898</f>
        <v>0</v>
      </c>
      <c r="AI1219" s="676">
        <f>FISCinyear!JH898</f>
        <v>0</v>
      </c>
      <c r="AJ1219" s="676">
        <f>FISCinyear!JK898</f>
        <v>0</v>
      </c>
      <c r="AK1219" s="676">
        <v>0</v>
      </c>
      <c r="AL1219" s="676">
        <v>0</v>
      </c>
      <c r="AM1219" s="676">
        <v>0</v>
      </c>
      <c r="AN1219" s="676">
        <v>0</v>
      </c>
      <c r="AO1219" s="676">
        <v>0</v>
      </c>
      <c r="AP1219" s="676">
        <v>0</v>
      </c>
      <c r="AQ1219" s="676">
        <v>0</v>
      </c>
      <c r="AR1219" s="676">
        <v>0</v>
      </c>
      <c r="AS1219" s="676">
        <v>0</v>
      </c>
      <c r="AT1219" s="676">
        <v>0</v>
      </c>
      <c r="AU1219" s="676">
        <v>0</v>
      </c>
      <c r="AV1219" s="676" t="e">
        <f t="shared" si="1463"/>
        <v>#DIV/0!</v>
      </c>
      <c r="AW1219" s="1916"/>
      <c r="AX1219" s="1916"/>
      <c r="AY1219" s="1916"/>
      <c r="AZ1219" s="1916"/>
      <c r="BA1219" s="1916"/>
      <c r="BB1219" s="1916"/>
      <c r="BC1219" s="1916"/>
      <c r="BD1219" s="1916"/>
      <c r="BE1219" s="1916"/>
      <c r="BF1219" s="1916"/>
      <c r="BG1219" s="1916"/>
      <c r="BH1219" s="1915"/>
    </row>
    <row r="1220" spans="1:60">
      <c r="A1220" s="1"/>
      <c r="B1220" s="1"/>
      <c r="C1220" s="1"/>
      <c r="D1220" s="1757" t="s">
        <v>3505</v>
      </c>
      <c r="E1220" s="323"/>
      <c r="F1220" s="323"/>
      <c r="G1220" s="323"/>
      <c r="H1220" s="323"/>
      <c r="I1220" s="323"/>
      <c r="J1220" s="323"/>
      <c r="K1220" s="323"/>
      <c r="L1220" s="323"/>
      <c r="M1220" s="323"/>
      <c r="N1220" s="323"/>
      <c r="O1220" s="323"/>
      <c r="P1220" s="323"/>
      <c r="Q1220" s="323"/>
      <c r="R1220" s="323"/>
      <c r="S1220" s="323"/>
      <c r="T1220" s="323"/>
      <c r="U1220" s="323"/>
      <c r="V1220" s="105"/>
      <c r="W1220" s="105"/>
      <c r="X1220" s="105"/>
      <c r="Y1220" s="676"/>
      <c r="Z1220" s="676"/>
      <c r="AA1220" s="676"/>
      <c r="AB1220" s="676"/>
      <c r="AC1220" s="676"/>
      <c r="AD1220" s="676"/>
      <c r="AE1220" s="676"/>
      <c r="AF1220" s="676"/>
      <c r="AG1220" s="676"/>
      <c r="AH1220" s="676"/>
      <c r="AI1220" s="676">
        <f>FISCinyear!JH899</f>
        <v>1.9</v>
      </c>
      <c r="AJ1220" s="676">
        <f>FISCinyear!JK899</f>
        <v>0</v>
      </c>
      <c r="AK1220" s="676"/>
      <c r="AL1220" s="676"/>
      <c r="AM1220" s="676"/>
      <c r="AN1220" s="676"/>
      <c r="AO1220" s="676"/>
      <c r="AP1220" s="676"/>
      <c r="AQ1220" s="676"/>
      <c r="AR1220" s="676"/>
      <c r="AS1220" s="676"/>
      <c r="AT1220" s="676"/>
      <c r="AU1220" s="676"/>
      <c r="AV1220" s="676" t="e">
        <f t="shared" si="1463"/>
        <v>#DIV/0!</v>
      </c>
      <c r="AW1220" s="1916"/>
      <c r="AX1220" s="1916"/>
      <c r="AY1220" s="1916"/>
      <c r="AZ1220" s="1916"/>
      <c r="BA1220" s="1916"/>
      <c r="BB1220" s="1916"/>
      <c r="BC1220" s="1916"/>
      <c r="BD1220" s="1916"/>
      <c r="BE1220" s="1916"/>
      <c r="BF1220" s="1916"/>
      <c r="BG1220" s="1916"/>
      <c r="BH1220" s="1915"/>
    </row>
    <row r="1221" spans="1:60">
      <c r="A1221" s="1"/>
      <c r="B1221" s="1"/>
      <c r="C1221" s="1"/>
      <c r="D1221" s="1756" t="s">
        <v>3504</v>
      </c>
      <c r="E1221" s="323"/>
      <c r="F1221" s="323"/>
      <c r="G1221" s="323"/>
      <c r="H1221" s="323"/>
      <c r="I1221" s="323"/>
      <c r="J1221" s="323"/>
      <c r="K1221" s="323"/>
      <c r="L1221" s="323"/>
      <c r="M1221" s="323"/>
      <c r="N1221" s="323"/>
      <c r="O1221" s="323"/>
      <c r="P1221" s="323"/>
      <c r="Q1221" s="323"/>
      <c r="R1221" s="323"/>
      <c r="S1221" s="323"/>
      <c r="T1221" s="323"/>
      <c r="U1221" s="323"/>
      <c r="V1221" s="105"/>
      <c r="W1221" s="105"/>
      <c r="X1221" s="105"/>
      <c r="Y1221" s="676"/>
      <c r="Z1221" s="676"/>
      <c r="AA1221" s="676"/>
      <c r="AB1221" s="676"/>
      <c r="AC1221" s="676"/>
      <c r="AD1221" s="676"/>
      <c r="AE1221" s="676"/>
      <c r="AF1221" s="676"/>
      <c r="AG1221" s="676"/>
      <c r="AH1221" s="676"/>
      <c r="AI1221" s="676">
        <f>FISCinyear!JH900</f>
        <v>0</v>
      </c>
      <c r="AJ1221" s="676">
        <f>FISCinyear!JK900</f>
        <v>0</v>
      </c>
      <c r="AK1221" s="676"/>
      <c r="AL1221" s="676"/>
      <c r="AM1221" s="676"/>
      <c r="AN1221" s="676"/>
      <c r="AO1221" s="676"/>
      <c r="AP1221" s="676"/>
      <c r="AQ1221" s="676"/>
      <c r="AR1221" s="676"/>
      <c r="AS1221" s="676"/>
      <c r="AT1221" s="676"/>
      <c r="AU1221" s="676"/>
      <c r="AV1221" s="676" t="e">
        <f t="shared" si="1463"/>
        <v>#DIV/0!</v>
      </c>
      <c r="AW1221" s="1916"/>
      <c r="AX1221" s="1916"/>
      <c r="AY1221" s="1916"/>
      <c r="AZ1221" s="1916"/>
      <c r="BA1221" s="1916"/>
      <c r="BB1221" s="1916"/>
      <c r="BC1221" s="1916"/>
      <c r="BD1221" s="1916"/>
      <c r="BE1221" s="1916"/>
      <c r="BF1221" s="1916"/>
      <c r="BG1221" s="1916"/>
      <c r="BH1221" s="1915"/>
    </row>
    <row r="1222" spans="1:60">
      <c r="A1222" s="1"/>
      <c r="B1222" s="1"/>
      <c r="C1222" s="1"/>
      <c r="D1222" s="357" t="str">
        <f>+FISCinyear!D901</f>
        <v xml:space="preserve">Social benefits </v>
      </c>
      <c r="E1222" s="323"/>
      <c r="F1222" s="323"/>
      <c r="G1222" s="323"/>
      <c r="H1222" s="323"/>
      <c r="I1222" s="323"/>
      <c r="J1222" s="323"/>
      <c r="K1222" s="323"/>
      <c r="L1222" s="323"/>
      <c r="M1222" s="323"/>
      <c r="N1222" s="323"/>
      <c r="O1222" s="323"/>
      <c r="P1222" s="323"/>
      <c r="Q1222" s="323"/>
      <c r="R1222" s="323"/>
      <c r="S1222" s="323"/>
      <c r="T1222" s="323"/>
      <c r="U1222" s="323"/>
      <c r="V1222" s="105"/>
      <c r="W1222" s="105"/>
      <c r="X1222" s="105"/>
      <c r="Y1222" s="676">
        <f>FISCinyear!ID901</f>
        <v>22.879524976999996</v>
      </c>
      <c r="Z1222" s="676">
        <f>FISCinyear!IG901</f>
        <v>22.560662956999998</v>
      </c>
      <c r="AA1222" s="676">
        <f>FISCinyear!IJ901</f>
        <v>24.607141763000001</v>
      </c>
      <c r="AB1222" s="676">
        <f>FISCinyear!IM901</f>
        <v>23.676644539000002</v>
      </c>
      <c r="AC1222" s="676">
        <f>FISCinyear!IP901</f>
        <v>25.178800748</v>
      </c>
      <c r="AD1222" s="676">
        <f>FISCinyear!IS901</f>
        <v>25.820247301999999</v>
      </c>
      <c r="AE1222" s="676">
        <f>FISCinyear!IV901</f>
        <v>26.669207106000002</v>
      </c>
      <c r="AF1222" s="676">
        <f>FISCinyear!IY901</f>
        <v>41.034068239</v>
      </c>
      <c r="AG1222" s="676">
        <f>FISCinyear!JB901</f>
        <v>56.665979002000007</v>
      </c>
      <c r="AH1222" s="676">
        <f>FISCinyear!JE901</f>
        <v>46.100000000000009</v>
      </c>
      <c r="AI1222" s="676">
        <f>FISCinyear!JH901</f>
        <v>48.931605560999998</v>
      </c>
      <c r="AJ1222" s="676">
        <f>FISCinyear!JK901</f>
        <v>66.869311807000003</v>
      </c>
      <c r="AK1222" s="105">
        <f t="shared" ref="AK1222:AT1222" si="1495">AK676+AK1223</f>
        <v>83.628595947365383</v>
      </c>
      <c r="AL1222" s="105">
        <f t="shared" si="1495"/>
        <v>86.548112215653759</v>
      </c>
      <c r="AM1222" s="105">
        <f t="shared" si="1495"/>
        <v>97.490799815877679</v>
      </c>
      <c r="AN1222" s="105">
        <f t="shared" si="1495"/>
        <v>109.99444824066505</v>
      </c>
      <c r="AO1222" s="105">
        <f t="shared" si="1495"/>
        <v>123.72341754362701</v>
      </c>
      <c r="AP1222" s="105">
        <f t="shared" si="1495"/>
        <v>137.92038704985382</v>
      </c>
      <c r="AQ1222" s="105">
        <f t="shared" si="1495"/>
        <v>154.65976174283799</v>
      </c>
      <c r="AR1222" s="105">
        <f t="shared" si="1495"/>
        <v>172.27269574594627</v>
      </c>
      <c r="AS1222" s="105">
        <f t="shared" si="1495"/>
        <v>192.28295120006771</v>
      </c>
      <c r="AT1222" s="105">
        <f t="shared" si="1495"/>
        <v>246.81003027507239</v>
      </c>
      <c r="AU1222" s="105">
        <f t="shared" si="1462"/>
        <v>316.79975090979724</v>
      </c>
      <c r="AV1222" s="105">
        <f t="shared" si="1463"/>
        <v>0.28357729447510938</v>
      </c>
      <c r="AW1222" s="1916"/>
      <c r="AX1222" s="1916"/>
      <c r="AY1222" s="1916"/>
      <c r="AZ1222" s="1916"/>
      <c r="BA1222" s="1916"/>
      <c r="BB1222" s="1916"/>
      <c r="BC1222" s="1916"/>
      <c r="BD1222" s="1916"/>
      <c r="BE1222" s="1916"/>
      <c r="BF1222" s="1916"/>
      <c r="BG1222" s="1916"/>
      <c r="BH1222" s="1915"/>
    </row>
    <row r="1223" spans="1:60">
      <c r="A1223" s="1"/>
      <c r="B1223" s="1"/>
      <c r="C1223" s="1"/>
      <c r="D1223" s="1662" t="s">
        <v>3309</v>
      </c>
      <c r="E1223" s="323"/>
      <c r="F1223" s="323"/>
      <c r="G1223" s="323"/>
      <c r="H1223" s="323"/>
      <c r="I1223" s="323"/>
      <c r="J1223" s="323"/>
      <c r="K1223" s="323"/>
      <c r="L1223" s="323"/>
      <c r="M1223" s="323"/>
      <c r="N1223" s="323"/>
      <c r="O1223" s="323"/>
      <c r="P1223" s="323"/>
      <c r="Q1223" s="323"/>
      <c r="R1223" s="323"/>
      <c r="S1223" s="323"/>
      <c r="T1223" s="323"/>
      <c r="U1223" s="323"/>
      <c r="V1223" s="105"/>
      <c r="W1223" s="105"/>
      <c r="X1223" s="105"/>
      <c r="Y1223" s="676"/>
      <c r="Z1223" s="676"/>
      <c r="AA1223" s="676"/>
      <c r="AB1223" s="676"/>
      <c r="AC1223" s="676"/>
      <c r="AD1223" s="676"/>
      <c r="AE1223" s="676"/>
      <c r="AF1223" s="676"/>
      <c r="AG1223" s="676"/>
      <c r="AH1223" s="676">
        <f>FISCinyear!JE902</f>
        <v>0</v>
      </c>
      <c r="AI1223" s="676">
        <f>FISCinyear!JH902</f>
        <v>1.2</v>
      </c>
      <c r="AJ1223" s="676">
        <f>FISCinyear!JK902</f>
        <v>0</v>
      </c>
      <c r="AK1223" s="1666">
        <f t="shared" ref="AK1223:AU1223" si="1496">AK678</f>
        <v>0</v>
      </c>
      <c r="AL1223" s="1666">
        <f t="shared" si="1496"/>
        <v>0</v>
      </c>
      <c r="AM1223" s="1666">
        <f t="shared" si="1496"/>
        <v>0</v>
      </c>
      <c r="AN1223" s="1666">
        <f t="shared" si="1496"/>
        <v>0</v>
      </c>
      <c r="AO1223" s="1666">
        <f t="shared" si="1496"/>
        <v>0</v>
      </c>
      <c r="AP1223" s="1666">
        <f t="shared" si="1496"/>
        <v>0</v>
      </c>
      <c r="AQ1223" s="1666">
        <f t="shared" si="1496"/>
        <v>0</v>
      </c>
      <c r="AR1223" s="1666">
        <f t="shared" si="1496"/>
        <v>0</v>
      </c>
      <c r="AS1223" s="1666">
        <f t="shared" si="1496"/>
        <v>0</v>
      </c>
      <c r="AT1223" s="2677">
        <f t="shared" si="1496"/>
        <v>0</v>
      </c>
      <c r="AU1223" s="2677">
        <f t="shared" si="1496"/>
        <v>0</v>
      </c>
      <c r="AV1223" s="2677" t="e">
        <f t="shared" si="1463"/>
        <v>#DIV/0!</v>
      </c>
      <c r="AW1223" s="1916"/>
      <c r="AX1223" s="1916"/>
      <c r="AY1223" s="1916"/>
      <c r="AZ1223" s="1916"/>
      <c r="BA1223" s="1916"/>
      <c r="BB1223" s="1916"/>
      <c r="BC1223" s="1916"/>
      <c r="BD1223" s="1916"/>
      <c r="BE1223" s="1916"/>
      <c r="BF1223" s="1916"/>
      <c r="BG1223" s="1916"/>
      <c r="BH1223" s="1915"/>
    </row>
    <row r="1224" spans="1:60">
      <c r="A1224" s="1"/>
      <c r="B1224" s="1"/>
      <c r="C1224" s="1"/>
      <c r="D1224" s="357" t="str">
        <f>+FISCinyear!D903</f>
        <v xml:space="preserve">Other expense </v>
      </c>
      <c r="E1224" s="323"/>
      <c r="F1224" s="323"/>
      <c r="G1224" s="323"/>
      <c r="H1224" s="323"/>
      <c r="I1224" s="323"/>
      <c r="J1224" s="323"/>
      <c r="K1224" s="323"/>
      <c r="L1224" s="323"/>
      <c r="M1224" s="323"/>
      <c r="N1224" s="323"/>
      <c r="O1224" s="323"/>
      <c r="P1224" s="323"/>
      <c r="Q1224" s="323"/>
      <c r="R1224" s="323"/>
      <c r="S1224" s="323"/>
      <c r="T1224" s="323"/>
      <c r="U1224" s="323"/>
      <c r="V1224" s="105"/>
      <c r="W1224" s="105"/>
      <c r="X1224" s="105"/>
      <c r="Y1224" s="676">
        <f>FISCinyear!ID903</f>
        <v>32.209355783700005</v>
      </c>
      <c r="Z1224" s="676">
        <f>FISCinyear!IG903</f>
        <v>67.677090833999998</v>
      </c>
      <c r="AA1224" s="676">
        <f>FISCinyear!IJ903</f>
        <v>71.435250250999999</v>
      </c>
      <c r="AB1224" s="676">
        <f>FISCinyear!IM903</f>
        <v>87.523682492999995</v>
      </c>
      <c r="AC1224" s="676">
        <f>FISCinyear!IP903</f>
        <v>107.795415881</v>
      </c>
      <c r="AD1224" s="676">
        <f>FISCinyear!IS903</f>
        <v>170.62252833700001</v>
      </c>
      <c r="AE1224" s="676">
        <f>FISCinyear!IV903</f>
        <v>144.34993801900001</v>
      </c>
      <c r="AF1224" s="676">
        <f>FISCinyear!IY903</f>
        <v>132.26150189800001</v>
      </c>
      <c r="AG1224" s="676">
        <f>FISCinyear!JB903</f>
        <v>147.01854875399999</v>
      </c>
      <c r="AH1224" s="676">
        <f>FISCinyear!JE903</f>
        <v>127.70000000000002</v>
      </c>
      <c r="AI1224" s="676">
        <f>FISCinyear!JH903</f>
        <v>139.12123366500001</v>
      </c>
      <c r="AJ1224" s="676">
        <f>FISCinyear!JK903</f>
        <v>144.99330224100001</v>
      </c>
      <c r="AK1224" s="105">
        <f t="shared" ref="AK1224:AT1224" si="1497">AJ1224*(1+AK681)</f>
        <v>152.98324848558599</v>
      </c>
      <c r="AL1224" s="105">
        <f t="shared" si="1497"/>
        <v>168.65948497698193</v>
      </c>
      <c r="AM1224" s="105">
        <f t="shared" si="1497"/>
        <v>189.89689710093501</v>
      </c>
      <c r="AN1224" s="105">
        <f t="shared" si="1497"/>
        <v>213.82390613565281</v>
      </c>
      <c r="AO1224" s="105">
        <f t="shared" si="1497"/>
        <v>242.70247104992188</v>
      </c>
      <c r="AP1224" s="105">
        <f t="shared" si="1497"/>
        <v>279.07648772325837</v>
      </c>
      <c r="AQ1224" s="105">
        <f t="shared" si="1497"/>
        <v>323.70883295117221</v>
      </c>
      <c r="AR1224" s="105">
        <f t="shared" si="1497"/>
        <v>375.7864667903836</v>
      </c>
      <c r="AS1224" s="105">
        <f t="shared" si="1497"/>
        <v>436.19474515274823</v>
      </c>
      <c r="AT1224" s="105">
        <f t="shared" si="1497"/>
        <v>654.15489172948662</v>
      </c>
      <c r="AU1224" s="105">
        <f t="shared" si="1462"/>
        <v>981.02654176580302</v>
      </c>
      <c r="AV1224" s="105">
        <f t="shared" si="1463"/>
        <v>0.49968540198807831</v>
      </c>
      <c r="BH1224" s="1915"/>
    </row>
    <row r="1225" spans="1:60">
      <c r="A1225" s="1"/>
      <c r="B1225" s="1"/>
      <c r="C1225" s="1"/>
      <c r="D1225" s="356" t="str">
        <f>+FISCinyear!D904</f>
        <v>NET OPERATING BALANCE</v>
      </c>
      <c r="E1225" s="323"/>
      <c r="F1225" s="323"/>
      <c r="G1225" s="323"/>
      <c r="H1225" s="323"/>
      <c r="I1225" s="323"/>
      <c r="J1225" s="323"/>
      <c r="K1225" s="323"/>
      <c r="L1225" s="323"/>
      <c r="M1225" s="323"/>
      <c r="N1225" s="323"/>
      <c r="O1225" s="323"/>
      <c r="P1225" s="323"/>
      <c r="Q1225" s="323"/>
      <c r="R1225" s="323"/>
      <c r="S1225" s="323"/>
      <c r="T1225" s="323"/>
      <c r="U1225" s="323"/>
      <c r="V1225" s="376"/>
      <c r="W1225" s="376"/>
      <c r="X1225" s="376"/>
      <c r="Y1225" s="376"/>
      <c r="Z1225" s="376"/>
      <c r="AA1225" s="376"/>
      <c r="AB1225" s="376"/>
      <c r="AC1225" s="376"/>
      <c r="AD1225" s="376"/>
      <c r="AE1225" s="376"/>
      <c r="AF1225" s="376"/>
      <c r="AG1225" s="376">
        <f>FISCinyear!JB904</f>
        <v>0</v>
      </c>
      <c r="AH1225" s="376">
        <f>FISCinyear!JE904</f>
        <v>0</v>
      </c>
      <c r="AI1225" s="376"/>
      <c r="AJ1225" s="376"/>
      <c r="AK1225" s="376"/>
      <c r="AL1225" s="376"/>
      <c r="AM1225" s="376"/>
      <c r="AN1225" s="376"/>
      <c r="AO1225" s="376"/>
      <c r="AP1225" s="376"/>
      <c r="AQ1225" s="376"/>
      <c r="AR1225" s="376"/>
      <c r="AS1225" s="376"/>
      <c r="AT1225" s="376"/>
      <c r="AU1225" s="376"/>
      <c r="AV1225" s="376" t="e">
        <f t="shared" si="1463"/>
        <v>#DIV/0!</v>
      </c>
      <c r="BH1225" s="1915"/>
    </row>
    <row r="1226" spans="1:60">
      <c r="A1226" s="1"/>
      <c r="B1226" s="1"/>
      <c r="C1226" s="1"/>
      <c r="D1226" s="361" t="str">
        <f>+FISCinyear!D905</f>
        <v>including grants</v>
      </c>
      <c r="E1226" s="323"/>
      <c r="F1226" s="323"/>
      <c r="G1226" s="323"/>
      <c r="H1226" s="323"/>
      <c r="I1226" s="323"/>
      <c r="J1226" s="376"/>
      <c r="K1226" s="376"/>
      <c r="L1226" s="376"/>
      <c r="M1226" s="376"/>
      <c r="N1226" s="376"/>
      <c r="O1226" s="376"/>
      <c r="P1226" s="376"/>
      <c r="Q1226" s="376"/>
      <c r="R1226" s="376"/>
      <c r="S1226" s="376"/>
      <c r="T1226" s="376"/>
      <c r="U1226" s="323"/>
      <c r="V1226" s="376">
        <f>+V1060-V1156</f>
        <v>69.152792576000024</v>
      </c>
      <c r="W1226" s="376">
        <f>+W1060-W1156</f>
        <v>106.5</v>
      </c>
      <c r="X1226" s="376">
        <f>+X1060-X1156</f>
        <v>70.537953639999841</v>
      </c>
      <c r="Y1226" s="1385">
        <f>FISCinyear!ID905</f>
        <v>435.72515167802987</v>
      </c>
      <c r="Z1226" s="1385">
        <f>FISCinyear!IG905</f>
        <v>431.50247778421027</v>
      </c>
      <c r="AA1226" s="1385">
        <f>FISCinyear!IJ905</f>
        <v>394.72056119322792</v>
      </c>
      <c r="AB1226" s="1385">
        <f>FISCinyear!IM905</f>
        <v>272.29311386989207</v>
      </c>
      <c r="AC1226" s="1385">
        <f>FISCinyear!IP905</f>
        <v>344.62845659753424</v>
      </c>
      <c r="AD1226" s="1385">
        <f>FISCinyear!IS905</f>
        <v>398.16377884713467</v>
      </c>
      <c r="AE1226" s="1385">
        <f>FISCinyear!IV905</f>
        <v>291.83011364423294</v>
      </c>
      <c r="AF1226" s="1385">
        <f>FISCinyear!IY905</f>
        <v>478.8337591087826</v>
      </c>
      <c r="AG1226" s="1385">
        <f>FISCinyear!JB905</f>
        <v>623.21271928181579</v>
      </c>
      <c r="AH1226" s="376">
        <f t="shared" ref="AH1226:AU1226" si="1498">+AH1060-AH1156</f>
        <v>542.87255041223671</v>
      </c>
      <c r="AI1226" s="376">
        <f t="shared" si="1498"/>
        <v>638.18640389805569</v>
      </c>
      <c r="AJ1226" s="376">
        <f t="shared" si="1498"/>
        <v>757.21802858215869</v>
      </c>
      <c r="AK1226" s="376">
        <f t="shared" si="1498"/>
        <v>1113.1803451910791</v>
      </c>
      <c r="AL1226" s="376">
        <f t="shared" si="1498"/>
        <v>1209.3600921860107</v>
      </c>
      <c r="AM1226" s="376">
        <f t="shared" si="1498"/>
        <v>1498.6789514866632</v>
      </c>
      <c r="AN1226" s="376">
        <f t="shared" si="1498"/>
        <v>1878.1703820720722</v>
      </c>
      <c r="AO1226" s="376">
        <f t="shared" si="1498"/>
        <v>2062.0639548626586</v>
      </c>
      <c r="AP1226" s="376">
        <f t="shared" si="1498"/>
        <v>2251.0605145086083</v>
      </c>
      <c r="AQ1226" s="376">
        <f t="shared" si="1498"/>
        <v>2140.7796898567067</v>
      </c>
      <c r="AR1226" s="376">
        <f t="shared" si="1498"/>
        <v>2335.441119769328</v>
      </c>
      <c r="AS1226" s="376">
        <f t="shared" si="1498"/>
        <v>2463.0715765400946</v>
      </c>
      <c r="AT1226" s="376">
        <f t="shared" si="1498"/>
        <v>3225.9731828977747</v>
      </c>
      <c r="AU1226" s="376">
        <f t="shared" si="1498"/>
        <v>4514.6391039695518</v>
      </c>
      <c r="AV1226" s="376">
        <f t="shared" si="1463"/>
        <v>0.30973586542269183</v>
      </c>
      <c r="BH1226" s="1915"/>
    </row>
    <row r="1227" spans="1:60">
      <c r="A1227" s="1"/>
      <c r="B1227" s="1"/>
      <c r="C1227" s="1"/>
      <c r="D1227" s="361" t="str">
        <f>+FISCinyear!D906</f>
        <v>excluding grants</v>
      </c>
      <c r="E1227" s="323"/>
      <c r="F1227" s="323"/>
      <c r="G1227" s="323"/>
      <c r="H1227" s="323"/>
      <c r="I1227" s="323"/>
      <c r="J1227" s="376"/>
      <c r="K1227" s="376"/>
      <c r="L1227" s="376"/>
      <c r="M1227" s="376"/>
      <c r="N1227" s="376"/>
      <c r="O1227" s="376"/>
      <c r="P1227" s="376"/>
      <c r="Q1227" s="376"/>
      <c r="R1227" s="376"/>
      <c r="S1227" s="376"/>
      <c r="T1227" s="376"/>
      <c r="U1227" s="376"/>
      <c r="V1227" s="376">
        <f>+V1226-V1119</f>
        <v>-309.87297725899998</v>
      </c>
      <c r="W1227" s="376">
        <f>+W1226-W1119</f>
        <v>-350.9</v>
      </c>
      <c r="X1227" s="376">
        <f>+X1226-X1119</f>
        <v>-294.36204636000014</v>
      </c>
      <c r="Y1227" s="1385">
        <f>FISCinyear!ID906</f>
        <v>-38.591505544590241</v>
      </c>
      <c r="Z1227" s="1385">
        <f>FISCinyear!IG906</f>
        <v>15.575070788910715</v>
      </c>
      <c r="AA1227" s="1385">
        <f>FISCinyear!IJ906</f>
        <v>21.006955399678517</v>
      </c>
      <c r="AB1227" s="1385">
        <f>FISCinyear!IM906</f>
        <v>-57.888970076626492</v>
      </c>
      <c r="AC1227" s="1385">
        <f>FISCinyear!IP906</f>
        <v>-14.280220271176219</v>
      </c>
      <c r="AD1227" s="1385">
        <f>FISCinyear!IS906</f>
        <v>3.4137209909188897</v>
      </c>
      <c r="AE1227" s="1385">
        <f>FISCinyear!IV906</f>
        <v>-145.72829099963465</v>
      </c>
      <c r="AF1227" s="1385">
        <f>FISCinyear!IY906</f>
        <v>-82.254408692299535</v>
      </c>
      <c r="AG1227" s="1385">
        <f>FISCinyear!JB906</f>
        <v>-200.97164014446568</v>
      </c>
      <c r="AH1227" s="376">
        <f t="shared" ref="AH1227:AU1227" si="1499">+AH1226-AH1119</f>
        <v>-168.43469534271526</v>
      </c>
      <c r="AI1227" s="376">
        <f t="shared" si="1499"/>
        <v>-119.60500563357641</v>
      </c>
      <c r="AJ1227" s="376">
        <f t="shared" si="1499"/>
        <v>142.62555687308009</v>
      </c>
      <c r="AK1227" s="376">
        <f t="shared" si="1499"/>
        <v>444.9041148954168</v>
      </c>
      <c r="AL1227" s="376">
        <f t="shared" si="1499"/>
        <v>665.37894773564039</v>
      </c>
      <c r="AM1227" s="376">
        <f t="shared" si="1499"/>
        <v>893.49657661304946</v>
      </c>
      <c r="AN1227" s="376">
        <f t="shared" si="1499"/>
        <v>1261.0158264717211</v>
      </c>
      <c r="AO1227" s="376">
        <f t="shared" si="1499"/>
        <v>1435.9858882784265</v>
      </c>
      <c r="AP1227" s="376">
        <f t="shared" si="1499"/>
        <v>1536.6211565797594</v>
      </c>
      <c r="AQ1227" s="376">
        <f t="shared" si="1499"/>
        <v>1267.1448168685581</v>
      </c>
      <c r="AR1227" s="376">
        <f t="shared" si="1499"/>
        <v>1436.7051100694148</v>
      </c>
      <c r="AS1227" s="376">
        <f t="shared" si="1499"/>
        <v>1537.2783909856657</v>
      </c>
      <c r="AT1227" s="376">
        <f t="shared" si="1499"/>
        <v>2271.7613746097577</v>
      </c>
      <c r="AU1227" s="376">
        <f t="shared" si="1499"/>
        <v>3531.1340466652446</v>
      </c>
      <c r="AV1227" s="376">
        <f t="shared" si="1463"/>
        <v>0.47778137514387309</v>
      </c>
      <c r="AW1227" s="1916"/>
      <c r="BC1227" s="1916"/>
      <c r="BD1227" s="1916"/>
      <c r="BE1227" s="1916"/>
      <c r="BF1227" s="1916"/>
      <c r="BG1227" s="1916"/>
      <c r="BH1227" s="1915"/>
    </row>
    <row r="1228" spans="1:60">
      <c r="A1228" s="1"/>
      <c r="B1228" s="1"/>
      <c r="C1228" s="1"/>
      <c r="D1228" s="356" t="str">
        <f>+FISCinyear!D907</f>
        <v xml:space="preserve">Net Investment in nonfinancial assets </v>
      </c>
      <c r="E1228" s="323"/>
      <c r="F1228" s="323"/>
      <c r="G1228" s="323"/>
      <c r="H1228" s="323"/>
      <c r="I1228" s="376"/>
      <c r="J1228" s="376">
        <f t="shared" ref="J1228:U1228" si="1500">J958</f>
        <v>58.127957459000001</v>
      </c>
      <c r="K1228" s="376">
        <f t="shared" si="1500"/>
        <v>66.411907459000005</v>
      </c>
      <c r="L1228" s="376">
        <f t="shared" si="1500"/>
        <v>58.062550000000002</v>
      </c>
      <c r="M1228" s="376">
        <f t="shared" si="1500"/>
        <v>57.631100000000004</v>
      </c>
      <c r="N1228" s="376">
        <f t="shared" si="1500"/>
        <v>54.473050000000001</v>
      </c>
      <c r="O1228" s="376">
        <f t="shared" si="1500"/>
        <v>66.223749999999995</v>
      </c>
      <c r="P1228" s="376">
        <f t="shared" si="1500"/>
        <v>95.999886279999998</v>
      </c>
      <c r="Q1228" s="376">
        <f t="shared" si="1500"/>
        <v>118.3417973315</v>
      </c>
      <c r="R1228" s="376">
        <f t="shared" si="1500"/>
        <v>131.80000000000001</v>
      </c>
      <c r="S1228" s="376">
        <f t="shared" si="1500"/>
        <v>188.2</v>
      </c>
      <c r="T1228" s="376">
        <f t="shared" si="1500"/>
        <v>306.7</v>
      </c>
      <c r="U1228" s="376">
        <f t="shared" si="1500"/>
        <v>316.70000000000005</v>
      </c>
      <c r="V1228" s="376">
        <f>+V1229+V1233</f>
        <v>382.85996</v>
      </c>
      <c r="W1228" s="376">
        <f>+W1229+W1233</f>
        <v>423.29999999999995</v>
      </c>
      <c r="X1228" s="376">
        <f>+X1229+X1233</f>
        <v>417.23164803700001</v>
      </c>
      <c r="Y1228" s="1385">
        <f>FISCinyear!ID907</f>
        <v>643.37428311067902</v>
      </c>
      <c r="Z1228" s="1385">
        <f>FISCinyear!IG907</f>
        <v>636.11393903343833</v>
      </c>
      <c r="AA1228" s="1385">
        <f>FISCinyear!IJ907</f>
        <v>617.4371785504552</v>
      </c>
      <c r="AB1228" s="1385">
        <f>FISCinyear!IM907</f>
        <v>606.86568859482907</v>
      </c>
      <c r="AC1228" s="1385">
        <f>FISCinyear!IP907</f>
        <v>680.76867016215999</v>
      </c>
      <c r="AD1228" s="1385">
        <f>FISCinyear!IS907</f>
        <v>914.67796591778165</v>
      </c>
      <c r="AE1228" s="1385">
        <f>FISCinyear!IV907</f>
        <v>1033.0979244993659</v>
      </c>
      <c r="AF1228" s="1385">
        <f>FISCinyear!IY907</f>
        <v>1254.856355703309</v>
      </c>
      <c r="AG1228" s="1385">
        <f>FISCinyear!JB907</f>
        <v>1591.6220670273301</v>
      </c>
      <c r="AH1228" s="1385">
        <f>FISCinyear!JE907</f>
        <v>1518.4242141577595</v>
      </c>
      <c r="AI1228" s="1385">
        <f>FISCinyear!JH907</f>
        <v>1754.9915240248883</v>
      </c>
      <c r="AJ1228" s="1385">
        <f>FISCinyear!JK907</f>
        <v>1771.5860507272205</v>
      </c>
      <c r="AK1228" s="376">
        <f>+AK1229+AK1233</f>
        <v>1970.6363973052012</v>
      </c>
      <c r="AL1228" s="376">
        <f t="shared" ref="AL1228:AU1228" si="1501">+AL1229+AL1233</f>
        <v>2178.3573390909792</v>
      </c>
      <c r="AM1228" s="376">
        <f t="shared" si="1501"/>
        <v>2537.7316133902841</v>
      </c>
      <c r="AN1228" s="376">
        <f t="shared" si="1501"/>
        <v>2907.4329358355726</v>
      </c>
      <c r="AO1228" s="376">
        <f t="shared" si="1501"/>
        <v>3249.9040729894914</v>
      </c>
      <c r="AP1228" s="376">
        <f t="shared" si="1501"/>
        <v>3602.2242570577082</v>
      </c>
      <c r="AQ1228" s="376">
        <f t="shared" si="1501"/>
        <v>3769.4310048137959</v>
      </c>
      <c r="AR1228" s="376">
        <f t="shared" si="1501"/>
        <v>3905.6200847524024</v>
      </c>
      <c r="AS1228" s="376">
        <f t="shared" si="1501"/>
        <v>4642.3586170904055</v>
      </c>
      <c r="AT1228" s="376">
        <f t="shared" si="1501"/>
        <v>5924.9127907164502</v>
      </c>
      <c r="AU1228" s="376">
        <f t="shared" si="1501"/>
        <v>7636.0530769007883</v>
      </c>
      <c r="AV1228" s="376">
        <f t="shared" si="1463"/>
        <v>0.27627210205270281</v>
      </c>
      <c r="AW1228" s="1916"/>
      <c r="BC1228" s="1916"/>
      <c r="BD1228" s="1916"/>
      <c r="BE1228" s="1916"/>
      <c r="BF1228" s="1916"/>
      <c r="BG1228" s="1916"/>
      <c r="BH1228" s="1915"/>
    </row>
    <row r="1229" spans="1:60">
      <c r="A1229" s="1"/>
      <c r="B1229" s="1"/>
      <c r="C1229" s="1"/>
      <c r="D1229" s="358" t="str">
        <f>+FISCinyear!D908</f>
        <v>Foreign financed</v>
      </c>
      <c r="E1229" s="323"/>
      <c r="F1229" s="323"/>
      <c r="G1229" s="323"/>
      <c r="H1229" s="323"/>
      <c r="I1229" s="323"/>
      <c r="J1229" s="323"/>
      <c r="K1229" s="323"/>
      <c r="L1229" s="323"/>
      <c r="M1229" s="323"/>
      <c r="N1229" s="323"/>
      <c r="O1229" s="323"/>
      <c r="P1229" s="323"/>
      <c r="Q1229" s="323"/>
      <c r="R1229" s="323"/>
      <c r="S1229" s="323"/>
      <c r="T1229" s="323"/>
      <c r="U1229" s="323"/>
      <c r="V1229" s="376">
        <f>V1123+V1126+V1130+V1360</f>
        <v>164</v>
      </c>
      <c r="W1229" s="376">
        <f>W1123+W1126+W1130+W1360</f>
        <v>191.7</v>
      </c>
      <c r="X1229" s="376">
        <f>X1123+X1126+X1130+X1360</f>
        <v>174.9</v>
      </c>
      <c r="Y1229" s="1385">
        <f>FISCinyear!ID908</f>
        <v>369.97105465167897</v>
      </c>
      <c r="Z1229" s="1385">
        <f>FISCinyear!IG908</f>
        <v>340.25690310813093</v>
      </c>
      <c r="AA1229" s="1385">
        <f>FISCinyear!IJ908</f>
        <v>271.77461085745529</v>
      </c>
      <c r="AB1229" s="1385">
        <f>FISCinyear!IM908</f>
        <v>306.74917716982901</v>
      </c>
      <c r="AC1229" s="1385">
        <f>FISCinyear!IP908</f>
        <v>339.06041550615998</v>
      </c>
      <c r="AD1229" s="1385">
        <f>FISCinyear!IS908</f>
        <v>448.00399623378166</v>
      </c>
      <c r="AE1229" s="1385">
        <f>FISCinyear!IV908</f>
        <v>547.79889337836607</v>
      </c>
      <c r="AF1229" s="1385">
        <f>FISCinyear!IY908</f>
        <v>685.31836062930893</v>
      </c>
      <c r="AG1229" s="1385">
        <f>FISCinyear!JB908</f>
        <v>788.70905168233003</v>
      </c>
      <c r="AH1229" s="1385">
        <f>FISCinyear!JE908</f>
        <v>771.47065498229631</v>
      </c>
      <c r="AI1229" s="1385">
        <f>FISCinyear!JH908</f>
        <v>1097.7924341418884</v>
      </c>
      <c r="AJ1229" s="1385">
        <f>FISCinyear!JK908</f>
        <v>1147.5399270972205</v>
      </c>
      <c r="AK1229" s="376">
        <f t="shared" ref="AK1229:AP1229" si="1502">AK1123+AK1126+AK1360-AK1296-AK1361</f>
        <v>1318.6459902321376</v>
      </c>
      <c r="AL1229" s="376">
        <f t="shared" si="1502"/>
        <v>1267.1860688853712</v>
      </c>
      <c r="AM1229" s="376">
        <f t="shared" si="1502"/>
        <v>1328.7206203653409</v>
      </c>
      <c r="AN1229" s="376">
        <f t="shared" si="1502"/>
        <v>1435.0889616776681</v>
      </c>
      <c r="AO1229" s="376">
        <f t="shared" si="1502"/>
        <v>1510.0692496295089</v>
      </c>
      <c r="AP1229" s="376">
        <f t="shared" si="1502"/>
        <v>1707.1176854360424</v>
      </c>
      <c r="AQ1229" s="376">
        <f>AQ1126+AQ1360-AQ1295</f>
        <v>1363.1146614882086</v>
      </c>
      <c r="AR1229" s="376">
        <f>AR1126+AR1360-AR1295</f>
        <v>923.83562387556231</v>
      </c>
      <c r="AS1229" s="376">
        <f>AS1126+AS1360-AS1295</f>
        <v>951.55069259182926</v>
      </c>
      <c r="AT1229" s="376">
        <f>AT1126+AT1360-AT1295</f>
        <v>980.09721336958432</v>
      </c>
      <c r="AU1229" s="376">
        <f>AU1126+AU1360-AU1295</f>
        <v>1009.5001297706719</v>
      </c>
      <c r="AV1229" s="376">
        <f t="shared" si="1463"/>
        <v>3.0000000000000249E-2</v>
      </c>
      <c r="AW1229" s="1916"/>
      <c r="BC1229" s="1916"/>
      <c r="BD1229" s="1916"/>
      <c r="BE1229" s="1916"/>
      <c r="BF1229" s="1916"/>
      <c r="BG1229" s="1916"/>
      <c r="BH1229" s="1915"/>
    </row>
    <row r="1230" spans="1:60">
      <c r="A1230" s="1"/>
      <c r="B1230" s="1"/>
      <c r="C1230" s="1"/>
      <c r="D1230" s="357" t="s">
        <v>3143</v>
      </c>
      <c r="E1230" s="323"/>
      <c r="F1230" s="323"/>
      <c r="G1230" s="323"/>
      <c r="H1230" s="323"/>
      <c r="I1230" s="323"/>
      <c r="J1230" s="323"/>
      <c r="K1230" s="323"/>
      <c r="L1230" s="323"/>
      <c r="M1230" s="323"/>
      <c r="N1230" s="323"/>
      <c r="O1230" s="323"/>
      <c r="P1230" s="323"/>
      <c r="Q1230" s="323"/>
      <c r="R1230" s="323"/>
      <c r="S1230" s="323"/>
      <c r="T1230" s="323"/>
      <c r="U1230" s="323"/>
      <c r="V1230" s="376"/>
      <c r="W1230" s="376"/>
      <c r="X1230" s="376"/>
      <c r="Y1230" s="1385"/>
      <c r="Z1230" s="1385"/>
      <c r="AA1230" s="1385"/>
      <c r="AB1230" s="1385"/>
      <c r="AC1230" s="1385"/>
      <c r="AD1230" s="1385"/>
      <c r="AE1230" s="105">
        <v>108.650260876</v>
      </c>
      <c r="AF1230" s="105">
        <f>FISCinyear!IY909</f>
        <v>0</v>
      </c>
      <c r="AG1230" s="105">
        <f>FISCinyear!JB909</f>
        <v>0</v>
      </c>
      <c r="AH1230" s="105">
        <f>FISCinyear!JE909</f>
        <v>0</v>
      </c>
      <c r="AI1230" s="105">
        <f>FISCinyear!JH909</f>
        <v>0</v>
      </c>
      <c r="AJ1230" s="105">
        <f>FISCinyear!JK909</f>
        <v>0</v>
      </c>
      <c r="AK1230" s="376"/>
      <c r="AL1230" s="376"/>
      <c r="AM1230" s="376"/>
      <c r="AN1230" s="376"/>
      <c r="AO1230" s="376"/>
      <c r="AP1230" s="376"/>
      <c r="AQ1230" s="376"/>
      <c r="AR1230" s="376"/>
      <c r="AS1230" s="376"/>
      <c r="AT1230" s="376"/>
      <c r="AU1230" s="376"/>
      <c r="AV1230" s="376" t="e">
        <f t="shared" si="1463"/>
        <v>#DIV/0!</v>
      </c>
      <c r="AW1230" s="1916"/>
      <c r="AX1230" s="1916"/>
      <c r="AY1230" s="1916"/>
      <c r="AZ1230" s="1916"/>
      <c r="BA1230" s="1916"/>
      <c r="BB1230" s="1916"/>
      <c r="BC1230" s="1916"/>
      <c r="BD1230" s="1916"/>
      <c r="BE1230" s="1916"/>
      <c r="BF1230" s="1916"/>
      <c r="BG1230" s="1916"/>
      <c r="BH1230" s="1915"/>
    </row>
    <row r="1231" spans="1:60">
      <c r="A1231" s="1"/>
      <c r="B1231" s="1"/>
      <c r="C1231" s="1"/>
      <c r="D1231" s="363" t="s">
        <v>3140</v>
      </c>
      <c r="E1231" s="323"/>
      <c r="F1231" s="323"/>
      <c r="G1231" s="323"/>
      <c r="H1231" s="323"/>
      <c r="I1231" s="323"/>
      <c r="J1231" s="323"/>
      <c r="K1231" s="323"/>
      <c r="L1231" s="323"/>
      <c r="M1231" s="323"/>
      <c r="N1231" s="323"/>
      <c r="O1231" s="323"/>
      <c r="P1231" s="323"/>
      <c r="Q1231" s="323"/>
      <c r="R1231" s="323"/>
      <c r="S1231" s="323"/>
      <c r="T1231" s="323"/>
      <c r="U1231" s="323"/>
      <c r="V1231" s="376"/>
      <c r="W1231" s="376"/>
      <c r="X1231" s="376"/>
      <c r="Y1231" s="1385"/>
      <c r="Z1231" s="1385"/>
      <c r="AA1231" s="1385"/>
      <c r="AB1231" s="1385"/>
      <c r="AC1231" s="1385"/>
      <c r="AD1231" s="1385"/>
      <c r="AE1231" s="1385"/>
      <c r="AF1231" s="1385">
        <f>FISCinyear!IY910</f>
        <v>0</v>
      </c>
      <c r="AG1231" s="1385">
        <f>FISCinyear!JB910</f>
        <v>0</v>
      </c>
      <c r="AH1231" s="1385">
        <f>FISCinyear!JE910</f>
        <v>0</v>
      </c>
      <c r="AI1231" s="1385">
        <f>FISCinyear!JH910</f>
        <v>0</v>
      </c>
      <c r="AJ1231" s="1385">
        <f>FISCinyear!JK910</f>
        <v>0</v>
      </c>
      <c r="AK1231" s="376"/>
      <c r="AL1231" s="376"/>
      <c r="AM1231" s="376"/>
      <c r="AN1231" s="376"/>
      <c r="AO1231" s="376"/>
      <c r="AP1231" s="376"/>
      <c r="AQ1231" s="376"/>
      <c r="AR1231" s="376"/>
      <c r="AS1231" s="376"/>
      <c r="AT1231" s="376"/>
      <c r="AU1231" s="376"/>
      <c r="AV1231" s="376" t="e">
        <f t="shared" si="1463"/>
        <v>#DIV/0!</v>
      </c>
      <c r="AW1231" s="1916"/>
      <c r="AX1231" s="1916"/>
      <c r="AY1231" s="1916"/>
      <c r="AZ1231" s="1916"/>
      <c r="BA1231" s="1916"/>
      <c r="BB1231" s="1916"/>
      <c r="BC1231" s="1916"/>
      <c r="BD1231" s="1916"/>
      <c r="BE1231" s="1916"/>
      <c r="BF1231" s="1916"/>
      <c r="BG1231" s="1916"/>
      <c r="BH1231" s="1915"/>
    </row>
    <row r="1232" spans="1:60">
      <c r="A1232" s="1"/>
      <c r="B1232" s="1"/>
      <c r="C1232" s="1"/>
      <c r="D1232" s="1662" t="s">
        <v>3309</v>
      </c>
      <c r="E1232" s="323"/>
      <c r="F1232" s="323"/>
      <c r="G1232" s="323"/>
      <c r="H1232" s="323"/>
      <c r="I1232" s="323"/>
      <c r="J1232" s="323"/>
      <c r="K1232" s="323"/>
      <c r="L1232" s="323"/>
      <c r="M1232" s="323"/>
      <c r="N1232" s="323"/>
      <c r="O1232" s="323"/>
      <c r="P1232" s="323"/>
      <c r="Q1232" s="323"/>
      <c r="R1232" s="323"/>
      <c r="S1232" s="323"/>
      <c r="T1232" s="323"/>
      <c r="U1232" s="323"/>
      <c r="V1232" s="376"/>
      <c r="W1232" s="376"/>
      <c r="X1232" s="376"/>
      <c r="Y1232" s="1385"/>
      <c r="Z1232" s="1385"/>
      <c r="AA1232" s="1385"/>
      <c r="AB1232" s="1385"/>
      <c r="AC1232" s="1385"/>
      <c r="AD1232" s="1385"/>
      <c r="AE1232" s="1385"/>
      <c r="AF1232" s="1385">
        <f>FISCinyear!IY911</f>
        <v>0</v>
      </c>
      <c r="AG1232" s="1385">
        <f>FISCinyear!JB911</f>
        <v>0</v>
      </c>
      <c r="AH1232" s="1385">
        <f>FISCinyear!JE911</f>
        <v>0</v>
      </c>
      <c r="AI1232" s="1385">
        <f>FISCinyear!JH911</f>
        <v>3.3149512113488204</v>
      </c>
      <c r="AJ1232" s="1385">
        <f>FISCinyear!JK911</f>
        <v>0</v>
      </c>
      <c r="AK1232" s="1666">
        <f>16.0992190569069*AK259/1000</f>
        <v>23.475060212895819</v>
      </c>
      <c r="AL1232" s="1666">
        <f>2*AL259/1000</f>
        <v>3.0433233015000005</v>
      </c>
      <c r="AM1232" s="1666">
        <f>2*AM259/1000</f>
        <v>3.1887823215750006</v>
      </c>
      <c r="AN1232" s="1666">
        <f t="shared" ref="AN1232:AU1232" si="1503">2*AW260/1000</f>
        <v>0</v>
      </c>
      <c r="AO1232" s="1666">
        <f t="shared" si="1503"/>
        <v>0</v>
      </c>
      <c r="AP1232" s="1666">
        <f t="shared" si="1503"/>
        <v>0</v>
      </c>
      <c r="AQ1232" s="1666">
        <f t="shared" si="1503"/>
        <v>0</v>
      </c>
      <c r="AR1232" s="1666">
        <f t="shared" si="1503"/>
        <v>0</v>
      </c>
      <c r="AS1232" s="1666">
        <f t="shared" si="1503"/>
        <v>0</v>
      </c>
      <c r="AT1232" s="2677">
        <f t="shared" si="1503"/>
        <v>0</v>
      </c>
      <c r="AU1232" s="2677">
        <f t="shared" si="1503"/>
        <v>0</v>
      </c>
      <c r="AV1232" s="2677" t="e">
        <f t="shared" si="1463"/>
        <v>#DIV/0!</v>
      </c>
      <c r="AW1232" s="1916"/>
      <c r="AX1232" s="1916"/>
      <c r="AY1232" s="1916"/>
      <c r="AZ1232" s="1916"/>
      <c r="BA1232" s="1916"/>
      <c r="BB1232" s="1916"/>
      <c r="BC1232" s="1916"/>
      <c r="BD1232" s="1916"/>
      <c r="BE1232" s="1916"/>
      <c r="BF1232" s="1916"/>
      <c r="BG1232" s="1916"/>
      <c r="BH1232" s="1915"/>
    </row>
    <row r="1233" spans="1:238">
      <c r="A1233" s="1"/>
      <c r="B1233" s="1"/>
      <c r="C1233" s="1"/>
      <c r="D1233" s="358" t="str">
        <f>+FISCinyear!D912</f>
        <v>Domestically financed</v>
      </c>
      <c r="E1233" s="323"/>
      <c r="F1233" s="323"/>
      <c r="G1233" s="323"/>
      <c r="H1233" s="323"/>
      <c r="I1233" s="323"/>
      <c r="J1233" s="323"/>
      <c r="K1233" s="323"/>
      <c r="L1233" s="323"/>
      <c r="M1233" s="323"/>
      <c r="N1233" s="323"/>
      <c r="O1233" s="323"/>
      <c r="P1233" s="323"/>
      <c r="Q1233" s="323"/>
      <c r="R1233" s="323"/>
      <c r="S1233" s="323"/>
      <c r="T1233" s="323"/>
      <c r="U1233" s="323"/>
      <c r="V1233" s="376">
        <f>+V1240+V1241+V1242+V1243</f>
        <v>218.85996</v>
      </c>
      <c r="W1233" s="376">
        <f>+W1240+W1241+W1242+W1243</f>
        <v>231.6</v>
      </c>
      <c r="X1233" s="376">
        <f>+X1240+X1241+X1242+X1243</f>
        <v>242.33164803700001</v>
      </c>
      <c r="Y1233" s="1385">
        <f>FISCinyear!ID912</f>
        <v>273.40322845899999</v>
      </c>
      <c r="Z1233" s="1385">
        <f>FISCinyear!IG912</f>
        <v>295.85703592530751</v>
      </c>
      <c r="AA1233" s="1385">
        <f>FISCinyear!IJ912</f>
        <v>345.66256769300003</v>
      </c>
      <c r="AB1233" s="1385">
        <f>FISCinyear!IM912</f>
        <v>300.116511425</v>
      </c>
      <c r="AC1233" s="1385">
        <f>FISCinyear!IP912</f>
        <v>341.70825465600001</v>
      </c>
      <c r="AD1233" s="1385">
        <f>FISCinyear!IS912</f>
        <v>466.67396968400004</v>
      </c>
      <c r="AE1233" s="1385">
        <f>FISCinyear!IV912</f>
        <v>485.29903112100004</v>
      </c>
      <c r="AF1233" s="1385">
        <f>FISCinyear!IY912</f>
        <v>569.53799507400004</v>
      </c>
      <c r="AG1233" s="1385">
        <f>FISCinyear!JB912</f>
        <v>802.91301534500008</v>
      </c>
      <c r="AH1233" s="1385">
        <f>FISCinyear!JE912</f>
        <v>746.95355917546317</v>
      </c>
      <c r="AI1233" s="1385">
        <f>FISCinyear!JH912</f>
        <v>657.19908988299994</v>
      </c>
      <c r="AJ1233" s="1385">
        <f>FISCinyear!JK912</f>
        <v>624.04612363000001</v>
      </c>
      <c r="AK1233" s="105">
        <f>+AK1240+AK1241+AK1242+AK1243+AK1234</f>
        <v>651.99040707306358</v>
      </c>
      <c r="AL1233" s="105">
        <f>+AL1240+AL1241+AL1242+AL1243+AL1234</f>
        <v>911.17127020560781</v>
      </c>
      <c r="AM1233" s="105">
        <f t="shared" ref="AM1233:AO1233" si="1504">+AM1240+AM1241+AM1242+AM1243+AM1234</f>
        <v>1209.0109930249434</v>
      </c>
      <c r="AN1233" s="105">
        <f t="shared" si="1504"/>
        <v>1472.3439741579043</v>
      </c>
      <c r="AO1233" s="105">
        <f t="shared" si="1504"/>
        <v>1739.8348233599827</v>
      </c>
      <c r="AP1233" s="105">
        <f>+AP1240+AP1241+AP1242+AP1243</f>
        <v>1895.1065716216658</v>
      </c>
      <c r="AQ1233" s="105">
        <f t="shared" ref="AQ1233:AU1233" si="1505">+AQ1240+AQ1241+AQ1242+AQ1243</f>
        <v>2406.3163433255872</v>
      </c>
      <c r="AR1233" s="105">
        <f t="shared" si="1505"/>
        <v>2981.7844608768401</v>
      </c>
      <c r="AS1233" s="105">
        <f t="shared" si="1505"/>
        <v>3690.8079244985761</v>
      </c>
      <c r="AT1233" s="105">
        <f t="shared" si="1505"/>
        <v>4944.8155773468661</v>
      </c>
      <c r="AU1233" s="105">
        <f t="shared" si="1505"/>
        <v>6626.5529471301161</v>
      </c>
      <c r="AV1233" s="105">
        <f t="shared" si="1463"/>
        <v>0.3397650808443673</v>
      </c>
      <c r="AW1233" s="1916"/>
      <c r="AX1233" s="1114"/>
      <c r="BF1233" s="1916"/>
      <c r="BG1233" s="1916"/>
      <c r="BH1233" s="1915"/>
    </row>
    <row r="1234" spans="1:238">
      <c r="A1234" s="1"/>
      <c r="B1234" s="1"/>
      <c r="C1234" s="1"/>
      <c r="D1234" s="363" t="s">
        <v>3572</v>
      </c>
      <c r="E1234" s="323"/>
      <c r="F1234" s="323"/>
      <c r="G1234" s="323"/>
      <c r="H1234" s="323"/>
      <c r="I1234" s="323"/>
      <c r="J1234" s="323"/>
      <c r="K1234" s="323"/>
      <c r="L1234" s="323"/>
      <c r="M1234" s="323"/>
      <c r="N1234" s="323"/>
      <c r="O1234" s="323"/>
      <c r="P1234" s="323"/>
      <c r="Q1234" s="323"/>
      <c r="R1234" s="323"/>
      <c r="S1234" s="323"/>
      <c r="T1234" s="323"/>
      <c r="U1234" s="323"/>
      <c r="V1234" s="376"/>
      <c r="W1234" s="376"/>
      <c r="X1234" s="376"/>
      <c r="Y1234" s="1385"/>
      <c r="Z1234" s="1385"/>
      <c r="AA1234" s="1385"/>
      <c r="AB1234" s="1385"/>
      <c r="AC1234" s="1385"/>
      <c r="AD1234" s="1385"/>
      <c r="AE1234" s="1385"/>
      <c r="AF1234" s="1385"/>
      <c r="AG1234" s="1385"/>
      <c r="AH1234" s="1385"/>
      <c r="AI1234" s="1385"/>
      <c r="AJ1234" s="1385"/>
      <c r="AK1234" s="105"/>
      <c r="AL1234" s="105"/>
      <c r="AM1234" s="105"/>
      <c r="AN1234" s="105"/>
      <c r="AO1234" s="105"/>
      <c r="AP1234" s="105"/>
      <c r="AQ1234" s="105"/>
      <c r="AR1234" s="105"/>
      <c r="AS1234" s="105"/>
      <c r="AT1234" s="105"/>
      <c r="AU1234" s="105"/>
      <c r="AV1234" s="105" t="e">
        <f t="shared" si="1463"/>
        <v>#DIV/0!</v>
      </c>
      <c r="AW1234" s="1916"/>
      <c r="BF1234" s="1916"/>
      <c r="BG1234" s="1916"/>
      <c r="BH1234" s="1915"/>
    </row>
    <row r="1235" spans="1:238">
      <c r="A1235" s="1"/>
      <c r="B1235" s="1"/>
      <c r="C1235" s="1"/>
      <c r="D1235" s="363" t="s">
        <v>3127</v>
      </c>
      <c r="E1235" s="323"/>
      <c r="F1235" s="323"/>
      <c r="G1235" s="323"/>
      <c r="H1235" s="323"/>
      <c r="I1235" s="323"/>
      <c r="J1235" s="323"/>
      <c r="K1235" s="323"/>
      <c r="L1235" s="323"/>
      <c r="M1235" s="323"/>
      <c r="N1235" s="323"/>
      <c r="O1235" s="323"/>
      <c r="P1235" s="323"/>
      <c r="Q1235" s="323"/>
      <c r="R1235" s="323"/>
      <c r="S1235" s="323"/>
      <c r="T1235" s="323"/>
      <c r="U1235" s="323"/>
      <c r="V1235" s="376"/>
      <c r="W1235" s="376"/>
      <c r="X1235" s="376"/>
      <c r="Y1235" s="1385"/>
      <c r="Z1235" s="1385"/>
      <c r="AA1235" s="1385"/>
      <c r="AB1235" s="1385"/>
      <c r="AC1235" s="1385"/>
      <c r="AD1235" s="1385"/>
      <c r="AE1235" s="676">
        <v>27.4</v>
      </c>
      <c r="AF1235" s="676">
        <f>FISCinyear!IY914</f>
        <v>0</v>
      </c>
      <c r="AG1235" s="676">
        <f>FISCinyear!JB914</f>
        <v>0</v>
      </c>
      <c r="AH1235" s="676">
        <f>FISCinyear!JE914</f>
        <v>0</v>
      </c>
      <c r="AI1235" s="676">
        <f>FISCinyear!JH914</f>
        <v>0</v>
      </c>
      <c r="AJ1235" s="676">
        <f>FISCinyear!JK914</f>
        <v>0</v>
      </c>
      <c r="AK1235" s="105">
        <v>0</v>
      </c>
      <c r="AL1235" s="105">
        <v>0</v>
      </c>
      <c r="AM1235" s="105">
        <v>0</v>
      </c>
      <c r="AN1235" s="105">
        <v>0</v>
      </c>
      <c r="AO1235" s="105">
        <v>0</v>
      </c>
      <c r="AP1235" s="105">
        <v>0</v>
      </c>
      <c r="AQ1235" s="105">
        <v>0</v>
      </c>
      <c r="AR1235" s="105">
        <v>0</v>
      </c>
      <c r="AS1235" s="105">
        <v>0</v>
      </c>
      <c r="AT1235" s="105">
        <v>0</v>
      </c>
      <c r="AU1235" s="105">
        <v>1</v>
      </c>
      <c r="AV1235" s="105" t="e">
        <f t="shared" si="1463"/>
        <v>#DIV/0!</v>
      </c>
      <c r="AW1235" s="1916"/>
      <c r="BF1235" s="1916"/>
      <c r="BG1235" s="1916"/>
      <c r="BH1235" s="1915"/>
    </row>
    <row r="1236" spans="1:238">
      <c r="A1236" s="1"/>
      <c r="B1236" s="1"/>
      <c r="C1236" s="1"/>
      <c r="D1236" s="1434" t="s">
        <v>3155</v>
      </c>
      <c r="E1236" s="323"/>
      <c r="F1236" s="323"/>
      <c r="G1236" s="323"/>
      <c r="H1236" s="323"/>
      <c r="I1236" s="323"/>
      <c r="J1236" s="323"/>
      <c r="K1236" s="323"/>
      <c r="L1236" s="323"/>
      <c r="M1236" s="323"/>
      <c r="N1236" s="323"/>
      <c r="O1236" s="323"/>
      <c r="P1236" s="323"/>
      <c r="Q1236" s="323"/>
      <c r="R1236" s="323"/>
      <c r="S1236" s="323"/>
      <c r="T1236" s="323"/>
      <c r="U1236" s="323"/>
      <c r="V1236" s="376"/>
      <c r="W1236" s="376"/>
      <c r="X1236" s="376"/>
      <c r="Y1236" s="1385"/>
      <c r="Z1236" s="1385"/>
      <c r="AA1236" s="1385"/>
      <c r="AB1236" s="1385"/>
      <c r="AC1236" s="1385"/>
      <c r="AD1236" s="1385"/>
      <c r="AE1236" s="1385"/>
      <c r="AF1236" s="1385">
        <f>FISCinyear!IY915</f>
        <v>0</v>
      </c>
      <c r="AG1236" s="1385">
        <f>FISCinyear!JB915</f>
        <v>0</v>
      </c>
      <c r="AH1236" s="1385">
        <f>FISCinyear!JE915</f>
        <v>0</v>
      </c>
      <c r="AI1236" s="1385">
        <f>FISCinyear!JH915</f>
        <v>0</v>
      </c>
      <c r="AJ1236" s="1385">
        <f>FISCinyear!JK915</f>
        <v>0</v>
      </c>
      <c r="AK1236" s="105"/>
      <c r="AL1236" s="105"/>
      <c r="AM1236" s="105"/>
      <c r="AN1236" s="105"/>
      <c r="AO1236" s="105"/>
      <c r="AP1236" s="105"/>
      <c r="AQ1236" s="105"/>
      <c r="AR1236" s="105"/>
      <c r="AS1236" s="105"/>
      <c r="AT1236" s="105"/>
      <c r="AU1236" s="105"/>
      <c r="AV1236" s="105" t="e">
        <f t="shared" si="1463"/>
        <v>#DIV/0!</v>
      </c>
      <c r="AW1236" s="1916"/>
      <c r="AX1236" s="1916"/>
      <c r="AY1236" s="1916"/>
      <c r="AZ1236" s="1916"/>
      <c r="BA1236" s="1916"/>
      <c r="BB1236" s="1916"/>
      <c r="BC1236" s="1916"/>
      <c r="BD1236" s="1916"/>
      <c r="BE1236" s="1916"/>
      <c r="BF1236" s="1916"/>
      <c r="BG1236" s="1916"/>
      <c r="BH1236" s="1915"/>
    </row>
    <row r="1237" spans="1:238">
      <c r="A1237" s="1"/>
      <c r="B1237" s="1"/>
      <c r="C1237" s="1"/>
      <c r="D1237" s="1864" t="s">
        <v>3309</v>
      </c>
      <c r="E1237" s="323"/>
      <c r="F1237" s="323"/>
      <c r="G1237" s="323"/>
      <c r="H1237" s="323"/>
      <c r="I1237" s="323"/>
      <c r="J1237" s="323"/>
      <c r="K1237" s="323"/>
      <c r="L1237" s="323"/>
      <c r="M1237" s="323"/>
      <c r="N1237" s="323"/>
      <c r="O1237" s="323"/>
      <c r="P1237" s="323"/>
      <c r="Q1237" s="323"/>
      <c r="R1237" s="323"/>
      <c r="S1237" s="323"/>
      <c r="T1237" s="323"/>
      <c r="U1237" s="323"/>
      <c r="V1237" s="376"/>
      <c r="W1237" s="376"/>
      <c r="X1237" s="376"/>
      <c r="Y1237" s="1385"/>
      <c r="Z1237" s="1385"/>
      <c r="AA1237" s="1385"/>
      <c r="AB1237" s="1385"/>
      <c r="AC1237" s="1385"/>
      <c r="AD1237" s="1385"/>
      <c r="AE1237" s="1385"/>
      <c r="AF1237" s="1385"/>
      <c r="AG1237" s="1385"/>
      <c r="AH1237" s="1385">
        <f>FISCinyear!JE916</f>
        <v>0</v>
      </c>
      <c r="AI1237" s="1385">
        <f>FISCinyear!JH916</f>
        <v>44.964103286382404</v>
      </c>
      <c r="AJ1237" s="1385">
        <f>FISCinyear!JK916</f>
        <v>0</v>
      </c>
      <c r="AK1237" s="1666">
        <f t="shared" ref="AK1237:AU1237" si="1506">AK694</f>
        <v>0</v>
      </c>
      <c r="AL1237" s="1666">
        <f t="shared" si="1506"/>
        <v>0</v>
      </c>
      <c r="AM1237" s="1666">
        <f t="shared" si="1506"/>
        <v>0</v>
      </c>
      <c r="AN1237" s="1666">
        <f t="shared" si="1506"/>
        <v>0</v>
      </c>
      <c r="AO1237" s="1666">
        <f t="shared" si="1506"/>
        <v>0</v>
      </c>
      <c r="AP1237" s="1666">
        <f t="shared" si="1506"/>
        <v>0</v>
      </c>
      <c r="AQ1237" s="1666">
        <f t="shared" si="1506"/>
        <v>0</v>
      </c>
      <c r="AR1237" s="1666">
        <f t="shared" si="1506"/>
        <v>0</v>
      </c>
      <c r="AS1237" s="1666">
        <f t="shared" si="1506"/>
        <v>0</v>
      </c>
      <c r="AT1237" s="2677">
        <f t="shared" si="1506"/>
        <v>0</v>
      </c>
      <c r="AU1237" s="2677">
        <f t="shared" si="1506"/>
        <v>0</v>
      </c>
      <c r="AV1237" s="2677" t="e">
        <f t="shared" si="1463"/>
        <v>#DIV/0!</v>
      </c>
      <c r="AW1237" s="1916"/>
      <c r="AX1237" s="1916"/>
      <c r="AY1237" s="1916"/>
      <c r="AZ1237" s="1916"/>
      <c r="BA1237" s="1916"/>
      <c r="BB1237" s="1916"/>
      <c r="BC1237" s="1916"/>
      <c r="BD1237" s="1916"/>
      <c r="BE1237" s="1916"/>
      <c r="BF1237" s="1916"/>
      <c r="BG1237" s="1916"/>
      <c r="BH1237" s="1915"/>
    </row>
    <row r="1238" spans="1:238">
      <c r="A1238" s="1"/>
      <c r="B1238" s="1"/>
      <c r="C1238" s="1"/>
      <c r="D1238" s="1865" t="s">
        <v>3505</v>
      </c>
      <c r="E1238" s="323"/>
      <c r="F1238" s="323"/>
      <c r="G1238" s="323"/>
      <c r="H1238" s="323"/>
      <c r="I1238" s="323"/>
      <c r="J1238" s="323"/>
      <c r="K1238" s="323"/>
      <c r="L1238" s="323"/>
      <c r="M1238" s="323"/>
      <c r="N1238" s="323"/>
      <c r="O1238" s="323"/>
      <c r="P1238" s="323"/>
      <c r="Q1238" s="323"/>
      <c r="R1238" s="323"/>
      <c r="S1238" s="323"/>
      <c r="T1238" s="323"/>
      <c r="U1238" s="323"/>
      <c r="V1238" s="376"/>
      <c r="W1238" s="376"/>
      <c r="X1238" s="376"/>
      <c r="Y1238" s="1385"/>
      <c r="Z1238" s="1385"/>
      <c r="AA1238" s="1385"/>
      <c r="AB1238" s="1385"/>
      <c r="AC1238" s="1385"/>
      <c r="AD1238" s="1385"/>
      <c r="AE1238" s="1385"/>
      <c r="AF1238" s="1385"/>
      <c r="AG1238" s="1385"/>
      <c r="AH1238" s="1385"/>
      <c r="AI1238" s="1385">
        <f>FISCinyear!JH917</f>
        <v>17.140287192999999</v>
      </c>
      <c r="AJ1238" s="1385">
        <f>FISCinyear!JK917</f>
        <v>0</v>
      </c>
      <c r="AK1238" s="1666"/>
      <c r="AL1238" s="1666"/>
      <c r="AM1238" s="1666"/>
      <c r="AN1238" s="1666"/>
      <c r="AO1238" s="1666"/>
      <c r="AP1238" s="1666"/>
      <c r="AQ1238" s="1666"/>
      <c r="AR1238" s="1666"/>
      <c r="AS1238" s="1666"/>
      <c r="AT1238" s="2677"/>
      <c r="AU1238" s="2677"/>
      <c r="AV1238" s="2677" t="e">
        <f t="shared" si="1463"/>
        <v>#DIV/0!</v>
      </c>
      <c r="AW1238" s="1916"/>
      <c r="AX1238" s="1916"/>
      <c r="AY1238" s="1916"/>
      <c r="AZ1238" s="1916"/>
      <c r="BA1238" s="1916"/>
      <c r="BB1238" s="1916"/>
      <c r="BC1238" s="1916"/>
      <c r="BD1238" s="1916"/>
      <c r="BE1238" s="1916"/>
      <c r="BF1238" s="1916"/>
      <c r="BG1238" s="1916"/>
      <c r="BH1238" s="1915"/>
    </row>
    <row r="1239" spans="1:238">
      <c r="A1239" s="1"/>
      <c r="B1239" s="1"/>
      <c r="C1239" s="1"/>
      <c r="D1239" s="1866" t="s">
        <v>3504</v>
      </c>
      <c r="E1239" s="323"/>
      <c r="F1239" s="323"/>
      <c r="G1239" s="323"/>
      <c r="H1239" s="323"/>
      <c r="I1239" s="323"/>
      <c r="J1239" s="323"/>
      <c r="K1239" s="323"/>
      <c r="L1239" s="323"/>
      <c r="M1239" s="323"/>
      <c r="N1239" s="323"/>
      <c r="O1239" s="323"/>
      <c r="P1239" s="323"/>
      <c r="Q1239" s="323"/>
      <c r="R1239" s="323"/>
      <c r="S1239" s="323"/>
      <c r="T1239" s="323"/>
      <c r="U1239" s="323"/>
      <c r="V1239" s="376"/>
      <c r="W1239" s="376"/>
      <c r="X1239" s="376"/>
      <c r="Y1239" s="1385"/>
      <c r="Z1239" s="1385"/>
      <c r="AA1239" s="1385"/>
      <c r="AB1239" s="1385"/>
      <c r="AC1239" s="1385"/>
      <c r="AD1239" s="1385"/>
      <c r="AE1239" s="1385"/>
      <c r="AF1239" s="1385"/>
      <c r="AG1239" s="1385"/>
      <c r="AH1239" s="1385"/>
      <c r="AI1239" s="1385">
        <f>FISCinyear!JH918</f>
        <v>0</v>
      </c>
      <c r="AJ1239" s="1385">
        <f>FISCinyear!JK918</f>
        <v>0</v>
      </c>
      <c r="AK1239" s="1666"/>
      <c r="AL1239" s="1666"/>
      <c r="AM1239" s="1666"/>
      <c r="AN1239" s="1666"/>
      <c r="AO1239" s="1666"/>
      <c r="AP1239" s="1666"/>
      <c r="AQ1239" s="1666"/>
      <c r="AR1239" s="1666"/>
      <c r="AS1239" s="1666"/>
      <c r="AT1239" s="2677"/>
      <c r="AU1239" s="2677"/>
      <c r="AV1239" s="2677" t="e">
        <f t="shared" si="1463"/>
        <v>#DIV/0!</v>
      </c>
      <c r="AW1239" s="1916"/>
      <c r="AX1239" s="2826"/>
      <c r="AY1239" s="1916"/>
      <c r="AZ1239" s="1916"/>
      <c r="BA1239" s="1916"/>
      <c r="BB1239" s="1916"/>
      <c r="BC1239" s="1916"/>
      <c r="BD1239" s="1916"/>
      <c r="BE1239" s="1916"/>
      <c r="BF1239" s="1916"/>
      <c r="BG1239" s="1916"/>
      <c r="BH1239" s="1915"/>
    </row>
    <row r="1240" spans="1:238">
      <c r="A1240" s="1"/>
      <c r="B1240" s="1"/>
      <c r="C1240" s="1"/>
      <c r="D1240" s="359" t="str">
        <f>+FISCinyear!D919</f>
        <v xml:space="preserve">Fixed assets </v>
      </c>
      <c r="E1240" s="323"/>
      <c r="F1240" s="323"/>
      <c r="G1240" s="323"/>
      <c r="H1240" s="323"/>
      <c r="I1240" s="323"/>
      <c r="J1240" s="323"/>
      <c r="K1240" s="323"/>
      <c r="L1240" s="323"/>
      <c r="M1240" s="323"/>
      <c r="N1240" s="323"/>
      <c r="O1240" s="323"/>
      <c r="P1240" s="323"/>
      <c r="Q1240" s="323"/>
      <c r="R1240" s="323"/>
      <c r="S1240" s="323"/>
      <c r="T1240" s="323"/>
      <c r="U1240" s="323"/>
      <c r="V1240" s="105">
        <f>+V826</f>
        <v>218.85996</v>
      </c>
      <c r="W1240" s="105">
        <f>+W826</f>
        <v>231.6</v>
      </c>
      <c r="X1240" s="105">
        <f>+X826</f>
        <v>239.4</v>
      </c>
      <c r="Y1240" s="676">
        <f>FISCinyear!ID919</f>
        <v>269.53389808000003</v>
      </c>
      <c r="Z1240" s="676">
        <f>FISCinyear!IG919</f>
        <v>290.09552457930749</v>
      </c>
      <c r="AA1240" s="676">
        <f>FISCinyear!IJ919</f>
        <v>332.663038046</v>
      </c>
      <c r="AB1240" s="676">
        <f>FISCinyear!IM919</f>
        <v>291.91221423499996</v>
      </c>
      <c r="AC1240" s="676">
        <f>FISCinyear!IP919</f>
        <v>332.97099340099999</v>
      </c>
      <c r="AD1240" s="676">
        <f>FISCinyear!IS919</f>
        <v>450.37263312300001</v>
      </c>
      <c r="AE1240" s="676">
        <f>FISCinyear!IV919</f>
        <v>465.15369179000004</v>
      </c>
      <c r="AF1240" s="676">
        <f>FISCinyear!IY919</f>
        <v>556.65389308900001</v>
      </c>
      <c r="AG1240" s="676">
        <f>FISCinyear!JB919</f>
        <v>800.17701534499997</v>
      </c>
      <c r="AH1240" s="676">
        <f>FISCinyear!JE919</f>
        <v>746.95355917546317</v>
      </c>
      <c r="AI1240" s="676">
        <f>FISCinyear!JH919</f>
        <v>657.19908988299994</v>
      </c>
      <c r="AJ1240" s="676">
        <f>FISCinyear!JK919</f>
        <v>618.94612362999999</v>
      </c>
      <c r="AK1240" s="105">
        <f t="shared" ref="AK1240:AT1240" si="1507">(AJ1240-AJ1237)*(1+AK689)+AK1237</f>
        <v>646.26728214506363</v>
      </c>
      <c r="AL1240" s="105">
        <f t="shared" si="1507"/>
        <v>905.44814527760786</v>
      </c>
      <c r="AM1240" s="105">
        <f t="shared" si="1507"/>
        <v>1203.2878680969434</v>
      </c>
      <c r="AN1240" s="105">
        <f t="shared" si="1507"/>
        <v>1466.6208492299043</v>
      </c>
      <c r="AO1240" s="105">
        <f t="shared" si="1507"/>
        <v>1734.1116984319826</v>
      </c>
      <c r="AP1240" s="105">
        <f t="shared" si="1507"/>
        <v>1889.3834466936657</v>
      </c>
      <c r="AQ1240" s="105">
        <f t="shared" si="1507"/>
        <v>2400.5932183975874</v>
      </c>
      <c r="AR1240" s="105">
        <f t="shared" si="1507"/>
        <v>2976.0613359488402</v>
      </c>
      <c r="AS1240" s="105">
        <f t="shared" si="1507"/>
        <v>3685.0847995705763</v>
      </c>
      <c r="AT1240" s="105">
        <f t="shared" si="1507"/>
        <v>4939.0924524188658</v>
      </c>
      <c r="AU1240" s="105">
        <f t="shared" si="1462"/>
        <v>6619.8298222021158</v>
      </c>
      <c r="AV1240" s="105">
        <f t="shared" si="1463"/>
        <v>0.34029275337013121</v>
      </c>
      <c r="AW1240" s="2821"/>
      <c r="AX1240" s="1114"/>
      <c r="AY1240" s="1114"/>
      <c r="AZ1240" s="1114"/>
      <c r="BA1240" s="1114"/>
      <c r="BB1240" s="1114"/>
      <c r="BC1240" s="1114"/>
      <c r="BH1240" s="1915"/>
    </row>
    <row r="1241" spans="1:238">
      <c r="A1241" s="1"/>
      <c r="B1241" s="1"/>
      <c r="C1241" s="1"/>
      <c r="D1241" s="359" t="str">
        <f>+FISCinyear!D920</f>
        <v xml:space="preserve">Inventories </v>
      </c>
      <c r="E1241" s="323"/>
      <c r="F1241" s="323"/>
      <c r="G1241" s="323"/>
      <c r="H1241" s="323"/>
      <c r="I1241" s="323"/>
      <c r="J1241" s="323"/>
      <c r="K1241" s="323"/>
      <c r="L1241" s="323"/>
      <c r="M1241" s="323"/>
      <c r="N1241" s="323"/>
      <c r="O1241" s="323"/>
      <c r="P1241" s="323"/>
      <c r="Q1241" s="323"/>
      <c r="R1241" s="323"/>
      <c r="S1241" s="323"/>
      <c r="T1241" s="323"/>
      <c r="U1241" s="323"/>
      <c r="V1241" s="105"/>
      <c r="W1241" s="105"/>
      <c r="X1241" s="676">
        <f>FISCinyear!IC920</f>
        <v>1.153835459</v>
      </c>
      <c r="Y1241" s="676">
        <f>FISCinyear!ID920</f>
        <v>2.0915178010000002</v>
      </c>
      <c r="Z1241" s="676">
        <f>FISCinyear!IG920</f>
        <v>1.6960090000000001</v>
      </c>
      <c r="AA1241" s="676">
        <f>FISCinyear!IJ920</f>
        <v>2.2406839769999998</v>
      </c>
      <c r="AB1241" s="676">
        <f>FISCinyear!IM920</f>
        <v>0</v>
      </c>
      <c r="AC1241" s="676">
        <f>FISCinyear!IP920</f>
        <v>0</v>
      </c>
      <c r="AD1241" s="676">
        <f>FISCinyear!IS920</f>
        <v>0</v>
      </c>
      <c r="AE1241" s="676">
        <f>FISCinyear!IV920</f>
        <v>6.978548</v>
      </c>
      <c r="AF1241" s="676">
        <f>FISCinyear!IY920</f>
        <v>5.8519398650000003</v>
      </c>
      <c r="AG1241" s="676">
        <f>FISCinyear!JB920</f>
        <v>2.7360000000000002</v>
      </c>
      <c r="AH1241" s="676">
        <f>FISCinyear!JE920</f>
        <v>0</v>
      </c>
      <c r="AI1241" s="676">
        <f>FISCinyear!JH920</f>
        <v>0</v>
      </c>
      <c r="AJ1241" s="676">
        <f>FISCinyear!JK920</f>
        <v>5.0999999999999996</v>
      </c>
      <c r="AK1241" s="105">
        <v>5.7231249279999998</v>
      </c>
      <c r="AL1241" s="105">
        <v>5.7231249279999998</v>
      </c>
      <c r="AM1241" s="105">
        <v>5.7231249279999998</v>
      </c>
      <c r="AN1241" s="105">
        <v>5.7231249279999998</v>
      </c>
      <c r="AO1241" s="105">
        <v>5.7231249279999998</v>
      </c>
      <c r="AP1241" s="105">
        <v>5.7231249279999998</v>
      </c>
      <c r="AQ1241" s="105">
        <v>5.7231249279999998</v>
      </c>
      <c r="AR1241" s="105">
        <v>5.7231249279999998</v>
      </c>
      <c r="AS1241" s="105">
        <v>5.7231249279999998</v>
      </c>
      <c r="AT1241" s="105">
        <v>5.7231249279999998</v>
      </c>
      <c r="AU1241" s="105">
        <f t="shared" si="1462"/>
        <v>5.7231249279999998</v>
      </c>
      <c r="AV1241" s="105">
        <f t="shared" si="1463"/>
        <v>0</v>
      </c>
      <c r="AW1241" s="1916"/>
      <c r="AX1241" s="3064"/>
      <c r="AY1241" s="3064"/>
      <c r="AZ1241" s="3064"/>
      <c r="BA1241" s="3064"/>
      <c r="BB1241" s="3064"/>
      <c r="BC1241" s="3064"/>
      <c r="BD1241" s="1916"/>
      <c r="BE1241" s="1916"/>
      <c r="BH1241" s="1915"/>
    </row>
    <row r="1242" spans="1:238">
      <c r="A1242" s="1"/>
      <c r="B1242" s="1"/>
      <c r="C1242" s="1"/>
      <c r="D1242" s="359" t="str">
        <f>+FISCinyear!D921</f>
        <v xml:space="preserve">Valuables </v>
      </c>
      <c r="E1242" s="323"/>
      <c r="F1242" s="323"/>
      <c r="G1242" s="323"/>
      <c r="H1242" s="323"/>
      <c r="I1242" s="323"/>
      <c r="J1242" s="323"/>
      <c r="K1242" s="323"/>
      <c r="L1242" s="323"/>
      <c r="M1242" s="323"/>
      <c r="N1242" s="323"/>
      <c r="O1242" s="323"/>
      <c r="P1242" s="323"/>
      <c r="Q1242" s="323"/>
      <c r="R1242" s="323"/>
      <c r="S1242" s="323"/>
      <c r="T1242" s="323"/>
      <c r="U1242" s="323"/>
      <c r="V1242" s="105"/>
      <c r="W1242" s="105"/>
      <c r="X1242" s="676">
        <f>FISCinyear!IC921</f>
        <v>0</v>
      </c>
      <c r="Y1242" s="676">
        <f>FISCinyear!ID921</f>
        <v>0</v>
      </c>
      <c r="Z1242" s="676">
        <f>FISCinyear!IG921</f>
        <v>0</v>
      </c>
      <c r="AA1242" s="676">
        <f>FISCinyear!IJ921</f>
        <v>0</v>
      </c>
      <c r="AB1242" s="676">
        <f>FISCinyear!IM921</f>
        <v>7.9305466779999998</v>
      </c>
      <c r="AC1242" s="676">
        <f>FISCinyear!IP921</f>
        <v>8.6864717049999989</v>
      </c>
      <c r="AD1242" s="676">
        <f>FISCinyear!IS921</f>
        <v>0</v>
      </c>
      <c r="AE1242" s="676">
        <f>FISCinyear!IV921</f>
        <v>0</v>
      </c>
      <c r="AF1242" s="676">
        <f>FISCinyear!IY921</f>
        <v>0</v>
      </c>
      <c r="AG1242" s="676">
        <f>FISCinyear!JB921</f>
        <v>0</v>
      </c>
      <c r="AH1242" s="676">
        <f>FISCinyear!JE921</f>
        <v>0</v>
      </c>
      <c r="AI1242" s="676">
        <f>FISCinyear!JH921</f>
        <v>0</v>
      </c>
      <c r="AJ1242" s="676">
        <f>FISCinyear!JK921</f>
        <v>0</v>
      </c>
      <c r="AK1242" s="105">
        <f t="shared" ref="AK1242:AM1242" si="1508">AJ1242</f>
        <v>0</v>
      </c>
      <c r="AL1242" s="105">
        <f t="shared" si="1508"/>
        <v>0</v>
      </c>
      <c r="AM1242" s="105">
        <f t="shared" si="1508"/>
        <v>0</v>
      </c>
      <c r="AN1242" s="105">
        <f t="shared" ref="AN1242" si="1509">AM1242</f>
        <v>0</v>
      </c>
      <c r="AO1242" s="105">
        <f t="shared" ref="AO1242" si="1510">AN1242</f>
        <v>0</v>
      </c>
      <c r="AP1242" s="105">
        <f t="shared" ref="AP1242" si="1511">AO1242</f>
        <v>0</v>
      </c>
      <c r="AQ1242" s="105">
        <f t="shared" ref="AQ1242" si="1512">AP1242</f>
        <v>0</v>
      </c>
      <c r="AR1242" s="105">
        <f t="shared" ref="AR1242" si="1513">AQ1242</f>
        <v>0</v>
      </c>
      <c r="AS1242" s="105">
        <f t="shared" ref="AS1242" si="1514">AR1242</f>
        <v>0</v>
      </c>
      <c r="AT1242" s="105">
        <f t="shared" ref="AT1242:AU1242" si="1515">AS1242</f>
        <v>0</v>
      </c>
      <c r="AU1242" s="105">
        <f t="shared" si="1515"/>
        <v>0</v>
      </c>
      <c r="AV1242" s="105" t="e">
        <f t="shared" si="1463"/>
        <v>#DIV/0!</v>
      </c>
      <c r="AW1242" s="1916"/>
      <c r="AX1242" s="3064"/>
      <c r="AY1242" s="3064"/>
      <c r="AZ1242" s="3064"/>
      <c r="BA1242" s="3064"/>
      <c r="BB1242" s="3064"/>
      <c r="BC1242" s="3064"/>
      <c r="BH1242" s="1915"/>
      <c r="CF1242" s="16"/>
      <c r="CG1242" s="16"/>
      <c r="CH1242" s="16"/>
      <c r="CI1242" s="16"/>
      <c r="CJ1242" s="16"/>
      <c r="CK1242" s="16"/>
      <c r="CL1242" s="16"/>
      <c r="CM1242" s="16"/>
      <c r="CN1242" s="16"/>
      <c r="CO1242" s="16"/>
      <c r="CP1242" s="16"/>
      <c r="CQ1242" s="16"/>
      <c r="CR1242" s="16"/>
      <c r="CS1242" s="16"/>
      <c r="CT1242" s="16"/>
      <c r="CU1242" s="16"/>
      <c r="CV1242" s="16"/>
      <c r="CW1242" s="16"/>
      <c r="CX1242" s="16"/>
      <c r="CY1242" s="16"/>
      <c r="CZ1242" s="16"/>
      <c r="DA1242" s="16"/>
      <c r="DB1242" s="16"/>
      <c r="DC1242" s="16"/>
      <c r="DD1242" s="16"/>
      <c r="DE1242" s="16"/>
      <c r="DF1242" s="16"/>
      <c r="DG1242" s="16"/>
      <c r="DH1242" s="16"/>
      <c r="DI1242" s="16"/>
      <c r="DJ1242" s="16"/>
      <c r="DK1242" s="16"/>
      <c r="DL1242" s="16"/>
      <c r="DM1242" s="16"/>
      <c r="DN1242" s="16"/>
      <c r="DO1242" s="16"/>
      <c r="DP1242" s="16"/>
      <c r="DQ1242" s="16"/>
      <c r="DR1242" s="16"/>
      <c r="DS1242" s="16"/>
      <c r="DT1242" s="16"/>
      <c r="DU1242" s="16"/>
      <c r="DV1242" s="16"/>
      <c r="DW1242" s="16"/>
      <c r="DX1242" s="16"/>
      <c r="DY1242" s="16"/>
      <c r="DZ1242" s="16"/>
      <c r="EA1242" s="16"/>
      <c r="EB1242" s="16"/>
      <c r="EC1242" s="16"/>
      <c r="ED1242" s="16"/>
      <c r="EE1242" s="16"/>
      <c r="EF1242" s="16"/>
      <c r="EG1242" s="16"/>
      <c r="EH1242" s="16"/>
      <c r="EI1242" s="16"/>
      <c r="EJ1242" s="16"/>
      <c r="EK1242" s="16"/>
      <c r="EL1242" s="16"/>
      <c r="EM1242" s="16"/>
      <c r="EN1242" s="16"/>
      <c r="EO1242" s="16"/>
      <c r="EP1242" s="16"/>
      <c r="EQ1242" s="16"/>
      <c r="ER1242" s="16"/>
      <c r="ES1242" s="16"/>
      <c r="ET1242" s="16"/>
      <c r="EU1242" s="16"/>
      <c r="EV1242" s="16"/>
      <c r="EW1242" s="16"/>
      <c r="EX1242" s="16"/>
      <c r="EY1242" s="16"/>
      <c r="EZ1242" s="16"/>
      <c r="FA1242" s="16"/>
      <c r="FB1242" s="16"/>
      <c r="FC1242" s="16"/>
      <c r="FD1242" s="16"/>
      <c r="FE1242" s="16"/>
      <c r="FF1242" s="16"/>
      <c r="FG1242" s="16"/>
      <c r="FH1242" s="16"/>
      <c r="FI1242" s="16"/>
      <c r="FJ1242" s="16"/>
      <c r="FK1242" s="16"/>
      <c r="FL1242" s="16"/>
      <c r="FM1242" s="16"/>
      <c r="FN1242" s="16"/>
      <c r="FO1242" s="16"/>
      <c r="FP1242" s="16"/>
      <c r="FQ1242" s="16"/>
      <c r="FR1242" s="16"/>
      <c r="FS1242" s="16"/>
      <c r="FT1242" s="16"/>
      <c r="FU1242" s="16"/>
      <c r="FV1242" s="16"/>
      <c r="FW1242" s="16"/>
      <c r="FX1242" s="16"/>
      <c r="FY1242" s="16"/>
      <c r="FZ1242" s="16"/>
      <c r="GA1242" s="16"/>
      <c r="GB1242" s="16"/>
      <c r="GC1242" s="16"/>
      <c r="GD1242" s="16"/>
      <c r="GE1242" s="16"/>
      <c r="GF1242" s="16"/>
      <c r="GG1242" s="16"/>
      <c r="GH1242" s="16"/>
      <c r="GI1242" s="16"/>
      <c r="GJ1242" s="16"/>
      <c r="GK1242" s="16"/>
      <c r="GL1242" s="16"/>
      <c r="GM1242" s="16"/>
      <c r="GN1242" s="16"/>
      <c r="GO1242" s="16"/>
      <c r="GP1242" s="16"/>
      <c r="GQ1242" s="16"/>
      <c r="GR1242" s="16"/>
      <c r="GS1242" s="16"/>
      <c r="GT1242" s="16"/>
      <c r="GU1242" s="16"/>
      <c r="GV1242" s="16"/>
      <c r="GW1242" s="16"/>
      <c r="GX1242" s="16"/>
      <c r="GY1242" s="16"/>
      <c r="GZ1242" s="16"/>
      <c r="HA1242" s="16"/>
      <c r="HB1242" s="16"/>
      <c r="HC1242" s="16"/>
      <c r="HD1242" s="16"/>
      <c r="HE1242" s="16"/>
      <c r="HF1242" s="16"/>
      <c r="HG1242" s="16"/>
      <c r="HH1242" s="16"/>
      <c r="HI1242" s="16"/>
      <c r="HJ1242" s="16"/>
      <c r="HK1242" s="16"/>
      <c r="HL1242" s="16"/>
      <c r="HM1242" s="16"/>
      <c r="HN1242" s="16"/>
      <c r="HO1242" s="16"/>
      <c r="HP1242" s="16"/>
      <c r="HQ1242" s="16"/>
      <c r="HR1242" s="16"/>
      <c r="HS1242" s="16"/>
      <c r="HT1242" s="16"/>
      <c r="HU1242" s="16"/>
      <c r="HV1242" s="16"/>
      <c r="HW1242" s="16"/>
      <c r="HX1242" s="16"/>
      <c r="HY1242" s="16"/>
      <c r="HZ1242" s="16"/>
      <c r="IA1242" s="16"/>
      <c r="IB1242" s="16"/>
      <c r="IC1242" s="16"/>
      <c r="ID1242" s="16"/>
    </row>
    <row r="1243" spans="1:238" ht="15.9" thickBot="1">
      <c r="A1243" s="1"/>
      <c r="B1243" s="1"/>
      <c r="C1243" s="1"/>
      <c r="D1243" s="359" t="str">
        <f>+FISCinyear!D922</f>
        <v xml:space="preserve">Nonproduced assets </v>
      </c>
      <c r="E1243" s="323"/>
      <c r="F1243" s="323"/>
      <c r="G1243" s="323"/>
      <c r="H1243" s="323"/>
      <c r="I1243" s="323"/>
      <c r="J1243" s="323"/>
      <c r="K1243" s="323"/>
      <c r="L1243" s="323"/>
      <c r="M1243" s="323"/>
      <c r="N1243" s="323"/>
      <c r="O1243" s="323"/>
      <c r="P1243" s="323"/>
      <c r="Q1243" s="323"/>
      <c r="R1243" s="323"/>
      <c r="S1243" s="323"/>
      <c r="T1243" s="323"/>
      <c r="U1243" s="323"/>
      <c r="V1243" s="105"/>
      <c r="W1243" s="105"/>
      <c r="X1243" s="676">
        <f>FISCinyear!IC922</f>
        <v>1.777812578</v>
      </c>
      <c r="Y1243" s="676">
        <f>FISCinyear!ID922</f>
        <v>1.777812578</v>
      </c>
      <c r="Z1243" s="676">
        <f>FISCinyear!IG922</f>
        <v>4.0655023459999997</v>
      </c>
      <c r="AA1243" s="676">
        <f>FISCinyear!IJ922</f>
        <v>10.758845669999999</v>
      </c>
      <c r="AB1243" s="676">
        <f>FISCinyear!IM922</f>
        <v>0.273750512</v>
      </c>
      <c r="AC1243" s="676">
        <f>FISCinyear!IP922</f>
        <v>5.0789550000000003E-2</v>
      </c>
      <c r="AD1243" s="676">
        <f>FISCinyear!IS922</f>
        <v>16.301336560999999</v>
      </c>
      <c r="AE1243" s="676">
        <f>FISCinyear!IV922</f>
        <v>13.166791331000001</v>
      </c>
      <c r="AF1243" s="676">
        <f>FISCinyear!IY922</f>
        <v>7.0321621199999989</v>
      </c>
      <c r="AG1243" s="676">
        <f>FISCinyear!JB922</f>
        <v>0</v>
      </c>
      <c r="AH1243" s="676">
        <f>FISCinyear!JE922</f>
        <v>0</v>
      </c>
      <c r="AI1243" s="676">
        <f>FISCinyear!JH922</f>
        <v>0</v>
      </c>
      <c r="AJ1243" s="676">
        <f>FISCinyear!JK922</f>
        <v>0</v>
      </c>
      <c r="AK1243" s="105">
        <v>0</v>
      </c>
      <c r="AL1243" s="105">
        <v>0</v>
      </c>
      <c r="AM1243" s="105">
        <v>0</v>
      </c>
      <c r="AN1243" s="105">
        <v>0</v>
      </c>
      <c r="AO1243" s="105">
        <v>0</v>
      </c>
      <c r="AP1243" s="105">
        <v>0</v>
      </c>
      <c r="AQ1243" s="105">
        <v>0</v>
      </c>
      <c r="AR1243" s="105">
        <v>0</v>
      </c>
      <c r="AS1243" s="105">
        <v>0</v>
      </c>
      <c r="AT1243" s="105">
        <v>0</v>
      </c>
      <c r="AU1243" s="105">
        <v>1</v>
      </c>
      <c r="AV1243" s="105" t="e">
        <f t="shared" si="1463"/>
        <v>#DIV/0!</v>
      </c>
      <c r="AW1243" s="1916"/>
      <c r="AX1243" s="1916"/>
      <c r="AY1243" s="1916"/>
      <c r="AZ1243" s="1916"/>
      <c r="BA1243" s="1916"/>
      <c r="BB1243" s="1916"/>
      <c r="BC1243" s="1916"/>
      <c r="BD1243" s="1916"/>
      <c r="BE1243" s="1916"/>
      <c r="BF1243" s="1916"/>
      <c r="BG1243" s="1916"/>
      <c r="BH1243" s="1915"/>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c r="ET1243"/>
      <c r="EU1243"/>
      <c r="EV1243"/>
      <c r="EW1243"/>
      <c r="EX1243"/>
      <c r="EY1243"/>
      <c r="EZ1243"/>
      <c r="FA1243"/>
      <c r="FB1243"/>
      <c r="FC1243"/>
      <c r="FD1243"/>
      <c r="FE1243"/>
      <c r="FF1243"/>
      <c r="FG1243"/>
      <c r="FH1243"/>
      <c r="FI1243"/>
      <c r="FJ1243"/>
      <c r="FK1243"/>
      <c r="FL1243"/>
      <c r="FM1243"/>
      <c r="FN1243"/>
      <c r="FO1243"/>
      <c r="FP1243"/>
      <c r="FQ1243"/>
      <c r="FR1243"/>
      <c r="FS1243"/>
      <c r="FT1243"/>
      <c r="FU1243"/>
      <c r="FV1243"/>
      <c r="FW1243"/>
      <c r="FX1243"/>
      <c r="FY1243"/>
      <c r="FZ1243"/>
      <c r="GA1243"/>
      <c r="GB1243"/>
      <c r="GC1243"/>
      <c r="GD1243"/>
      <c r="GE1243"/>
      <c r="GF1243"/>
      <c r="GG1243"/>
      <c r="GH1243"/>
      <c r="GI1243"/>
      <c r="GJ1243"/>
      <c r="GK1243"/>
      <c r="GL1243"/>
      <c r="GM1243"/>
      <c r="GN1243"/>
      <c r="GO1243"/>
      <c r="GP1243"/>
      <c r="GQ1243"/>
      <c r="GR1243"/>
      <c r="GS1243"/>
      <c r="GT1243"/>
      <c r="GU1243"/>
      <c r="GV1243"/>
      <c r="GW1243"/>
      <c r="GX1243"/>
      <c r="GY1243"/>
      <c r="GZ1243"/>
      <c r="HA1243"/>
      <c r="HB1243"/>
      <c r="HC1243"/>
      <c r="HD1243"/>
      <c r="HE1243"/>
      <c r="HF1243"/>
      <c r="HG1243"/>
      <c r="HH1243"/>
      <c r="HI1243"/>
      <c r="HJ1243"/>
      <c r="HK1243"/>
      <c r="HL1243"/>
      <c r="HM1243"/>
      <c r="HN1243"/>
      <c r="HO1243"/>
      <c r="HP1243"/>
      <c r="HQ1243"/>
      <c r="HR1243"/>
      <c r="HS1243"/>
      <c r="HT1243"/>
      <c r="HU1243"/>
      <c r="HV1243"/>
      <c r="HW1243"/>
      <c r="HX1243"/>
      <c r="HY1243"/>
      <c r="HZ1243"/>
      <c r="IA1243"/>
      <c r="IB1243"/>
      <c r="IC1243"/>
      <c r="ID1243"/>
    </row>
    <row r="1244" spans="1:238">
      <c r="A1244" s="1"/>
      <c r="B1244" s="1"/>
      <c r="C1244" s="1"/>
      <c r="D1244" s="1440" t="str">
        <f>+FISCinyear!D923</f>
        <v>Net lending (+) / borrowing (-) {deficit/Surplus}</v>
      </c>
      <c r="E1244" s="1444"/>
      <c r="F1244" s="1444"/>
      <c r="G1244" s="1444"/>
      <c r="H1244" s="1444"/>
      <c r="I1244" s="1444"/>
      <c r="J1244" s="1444"/>
      <c r="K1244" s="1444"/>
      <c r="L1244" s="1444"/>
      <c r="M1244" s="1444"/>
      <c r="N1244" s="1444"/>
      <c r="O1244" s="1444"/>
      <c r="P1244" s="1444"/>
      <c r="Q1244" s="1444"/>
      <c r="R1244" s="1444"/>
      <c r="S1244" s="1444"/>
      <c r="T1244" s="1444"/>
      <c r="U1244" s="1444"/>
      <c r="V1244" s="1445"/>
      <c r="W1244" s="1445"/>
      <c r="X1244" s="1445"/>
      <c r="Y1244" s="1446"/>
      <c r="Z1244" s="1446"/>
      <c r="AA1244" s="1446"/>
      <c r="AB1244" s="1446"/>
      <c r="AC1244" s="1446"/>
      <c r="AD1244" s="1446"/>
      <c r="AE1244" s="1446"/>
      <c r="AF1244" s="1446"/>
      <c r="AG1244" s="1446">
        <f>FISCinyear!JB923</f>
        <v>0</v>
      </c>
      <c r="AH1244" s="1446">
        <f>FISCinyear!JE923</f>
        <v>0</v>
      </c>
      <c r="AI1244" s="1446"/>
      <c r="AJ1244" s="1446"/>
      <c r="AK1244" s="1444"/>
      <c r="AL1244" s="1447"/>
      <c r="AM1244" s="1447"/>
      <c r="AN1244" s="1447"/>
      <c r="AO1244" s="1447"/>
      <c r="AP1244" s="1447"/>
      <c r="AQ1244" s="1447"/>
      <c r="AR1244" s="1447"/>
      <c r="AS1244" s="1447"/>
      <c r="AT1244" s="1447"/>
      <c r="AU1244" s="1447"/>
      <c r="AV1244" s="1447" t="e">
        <f t="shared" si="1463"/>
        <v>#DIV/0!</v>
      </c>
      <c r="AW1244" s="1916"/>
      <c r="AX1244" s="1916"/>
      <c r="AY1244" s="1916"/>
      <c r="AZ1244" s="1916"/>
      <c r="BA1244" s="1916"/>
      <c r="BB1244" s="1916"/>
      <c r="BC1244" s="1916"/>
      <c r="BD1244" s="1916"/>
      <c r="BE1244" s="1916"/>
      <c r="BF1244" s="1916"/>
      <c r="BG1244" s="1916"/>
      <c r="BH1244" s="1915"/>
    </row>
    <row r="1245" spans="1:238">
      <c r="A1245" s="1"/>
      <c r="B1245" s="1"/>
      <c r="C1245" s="1"/>
      <c r="D1245" s="1448" t="str">
        <f>+FISCinyear!D924</f>
        <v>including grants</v>
      </c>
      <c r="E1245" s="323"/>
      <c r="F1245" s="323"/>
      <c r="G1245" s="323"/>
      <c r="H1245" s="323"/>
      <c r="I1245" s="323"/>
      <c r="J1245" s="323"/>
      <c r="K1245" s="323"/>
      <c r="L1245" s="323"/>
      <c r="M1245" s="323"/>
      <c r="N1245" s="323"/>
      <c r="O1245" s="323"/>
      <c r="P1245" s="323"/>
      <c r="Q1245" s="323"/>
      <c r="R1245" s="323"/>
      <c r="S1245" s="323"/>
      <c r="T1245" s="323"/>
      <c r="U1245" s="323"/>
      <c r="V1245" s="105">
        <f>+V1060-V1156-V1228</f>
        <v>-313.70716742399998</v>
      </c>
      <c r="W1245" s="105">
        <f>+W1060-W1156-W1228</f>
        <v>-316.79999999999995</v>
      </c>
      <c r="X1245" s="105">
        <f>+X1060-X1156-X1228</f>
        <v>-346.69369439700017</v>
      </c>
      <c r="Y1245" s="676">
        <f>FISCinyear!ID924</f>
        <v>-207.64913143264909</v>
      </c>
      <c r="Z1245" s="676">
        <f>FISCinyear!IG924</f>
        <v>-204.61146124922811</v>
      </c>
      <c r="AA1245" s="676">
        <f>FISCinyear!IJ924</f>
        <v>-222.71661735722734</v>
      </c>
      <c r="AB1245" s="676">
        <f>FISCinyear!IM924</f>
        <v>-334.57257472493694</v>
      </c>
      <c r="AC1245" s="676">
        <f>FISCinyear!IP924</f>
        <v>-336.1402135646257</v>
      </c>
      <c r="AD1245" s="676">
        <f>FISCinyear!IS924</f>
        <v>-516.51418707064704</v>
      </c>
      <c r="AE1245" s="676">
        <f>FISCinyear!IV924</f>
        <v>-741.26781085513312</v>
      </c>
      <c r="AF1245" s="676">
        <f>FISCinyear!IY924</f>
        <v>-776.02259659452648</v>
      </c>
      <c r="AG1245" s="676">
        <f>FISCinyear!JB924</f>
        <v>-769.75700010412629</v>
      </c>
      <c r="AH1245" s="105">
        <f t="shared" ref="AH1245:AU1245" si="1516">+AH1060-AH1156-AH1228</f>
        <v>-975.55166374552277</v>
      </c>
      <c r="AI1245" s="105">
        <f t="shared" si="1516"/>
        <v>-1116.8051201268327</v>
      </c>
      <c r="AJ1245" s="105">
        <f t="shared" si="1516"/>
        <v>-1014.3680221450618</v>
      </c>
      <c r="AK1245" s="105">
        <f t="shared" si="1516"/>
        <v>-857.45605211412203</v>
      </c>
      <c r="AL1245" s="105">
        <f t="shared" si="1516"/>
        <v>-968.99724690496851</v>
      </c>
      <c r="AM1245" s="105">
        <f t="shared" si="1516"/>
        <v>-1039.0526619036209</v>
      </c>
      <c r="AN1245" s="105">
        <f t="shared" si="1516"/>
        <v>-1029.2625537635004</v>
      </c>
      <c r="AO1245" s="105">
        <f t="shared" si="1516"/>
        <v>-1187.8401181268327</v>
      </c>
      <c r="AP1245" s="105">
        <f t="shared" si="1516"/>
        <v>-1351.1637425490999</v>
      </c>
      <c r="AQ1245" s="105">
        <f t="shared" si="1516"/>
        <v>-1628.6513149570892</v>
      </c>
      <c r="AR1245" s="105">
        <f t="shared" si="1516"/>
        <v>-1570.1789649830744</v>
      </c>
      <c r="AS1245" s="105">
        <f t="shared" si="1516"/>
        <v>-2179.2870405503108</v>
      </c>
      <c r="AT1245" s="105">
        <f t="shared" si="1516"/>
        <v>-2698.9396078186755</v>
      </c>
      <c r="AU1245" s="105">
        <f t="shared" si="1516"/>
        <v>-3121.4139729312365</v>
      </c>
      <c r="AV1245" s="105">
        <f t="shared" si="1463"/>
        <v>0.2384507215429239</v>
      </c>
      <c r="AW1245" s="1916"/>
      <c r="AX1245" s="1916"/>
      <c r="AY1245" s="1916"/>
      <c r="AZ1245" s="1916"/>
      <c r="BA1245" s="1916"/>
      <c r="BB1245" s="1916"/>
      <c r="BC1245" s="1916"/>
      <c r="BD1245" s="1916"/>
      <c r="BE1245" s="1916"/>
      <c r="BF1245" s="1916"/>
      <c r="BG1245" s="1916"/>
      <c r="BH1245" s="1915"/>
    </row>
    <row r="1246" spans="1:238">
      <c r="A1246" s="1"/>
      <c r="B1246" s="1"/>
      <c r="C1246" s="1"/>
      <c r="D1246" s="361" t="str">
        <f>+FISCinyear!D925</f>
        <v>excluding grants</v>
      </c>
      <c r="E1246" s="323"/>
      <c r="F1246" s="323"/>
      <c r="G1246" s="323"/>
      <c r="H1246" s="323"/>
      <c r="I1246" s="323"/>
      <c r="J1246" s="323"/>
      <c r="K1246" s="323"/>
      <c r="L1246" s="323"/>
      <c r="M1246" s="323"/>
      <c r="N1246" s="323"/>
      <c r="O1246" s="323"/>
      <c r="P1246" s="323"/>
      <c r="Q1246" s="323"/>
      <c r="R1246" s="323"/>
      <c r="S1246" s="323"/>
      <c r="T1246" s="323"/>
      <c r="U1246" s="323"/>
      <c r="V1246" s="105">
        <f>+V1245-V1119</f>
        <v>-692.73293725899998</v>
      </c>
      <c r="W1246" s="105">
        <f>+W1245-W1119</f>
        <v>-774.19999999999993</v>
      </c>
      <c r="X1246" s="105">
        <f>+X1245-X1119</f>
        <v>-711.59369439700015</v>
      </c>
      <c r="Y1246" s="676">
        <f>FISCinyear!ID925</f>
        <v>-681.96578865526931</v>
      </c>
      <c r="Z1246" s="676">
        <f>FISCinyear!IG925</f>
        <v>-620.53886824452775</v>
      </c>
      <c r="AA1246" s="676">
        <f>FISCinyear!IJ925</f>
        <v>-596.43022315077678</v>
      </c>
      <c r="AB1246" s="676">
        <f>FISCinyear!IM925</f>
        <v>-664.75465867145545</v>
      </c>
      <c r="AC1246" s="676">
        <f>FISCinyear!IP925</f>
        <v>-695.04889043333617</v>
      </c>
      <c r="AD1246" s="676">
        <f>FISCinyear!IS925</f>
        <v>-911.26424492686283</v>
      </c>
      <c r="AE1246" s="676">
        <f>FISCinyear!IV925</f>
        <v>-1178.8262154990007</v>
      </c>
      <c r="AF1246" s="676">
        <f>FISCinyear!IY925</f>
        <v>-1337.1107643956084</v>
      </c>
      <c r="AG1246" s="676">
        <f>FISCinyear!JB925</f>
        <v>-1593.9413595304077</v>
      </c>
      <c r="AH1246" s="105">
        <f t="shared" ref="AH1246:AU1246" si="1517">+AH1245-AH1119</f>
        <v>-1686.8589095004747</v>
      </c>
      <c r="AI1246" s="105">
        <f t="shared" si="1517"/>
        <v>-1874.5965296584648</v>
      </c>
      <c r="AJ1246" s="105">
        <f t="shared" si="1517"/>
        <v>-1628.9604938541404</v>
      </c>
      <c r="AK1246" s="105">
        <f t="shared" si="1517"/>
        <v>-1525.7322824097844</v>
      </c>
      <c r="AL1246" s="105">
        <f t="shared" si="1517"/>
        <v>-1512.9783913553388</v>
      </c>
      <c r="AM1246" s="105">
        <f t="shared" si="1517"/>
        <v>-1644.2350367772347</v>
      </c>
      <c r="AN1246" s="105">
        <f t="shared" si="1517"/>
        <v>-1646.4171093638515</v>
      </c>
      <c r="AO1246" s="105">
        <f t="shared" si="1517"/>
        <v>-1813.9181847110649</v>
      </c>
      <c r="AP1246" s="105">
        <f t="shared" si="1517"/>
        <v>-2065.6031004779488</v>
      </c>
      <c r="AQ1246" s="105">
        <f t="shared" si="1517"/>
        <v>-2502.2861879452375</v>
      </c>
      <c r="AR1246" s="105">
        <f t="shared" si="1517"/>
        <v>-2468.9149746829876</v>
      </c>
      <c r="AS1246" s="105">
        <f t="shared" si="1517"/>
        <v>-3105.0802261047397</v>
      </c>
      <c r="AT1246" s="105">
        <f t="shared" si="1517"/>
        <v>-3653.1514161066925</v>
      </c>
      <c r="AU1246" s="105">
        <f t="shared" si="1517"/>
        <v>-4104.9190302355437</v>
      </c>
      <c r="AV1246" s="105">
        <f t="shared" si="1463"/>
        <v>0.17650789998733685</v>
      </c>
      <c r="AW1246" s="1916"/>
      <c r="AX1246" s="1916"/>
      <c r="AY1246" s="1916"/>
      <c r="AZ1246" s="1916"/>
      <c r="BA1246" s="1916"/>
      <c r="BB1246" s="1916"/>
      <c r="BC1246" s="1916"/>
      <c r="BD1246" s="1916"/>
      <c r="BE1246" s="1916"/>
      <c r="BF1246" s="1916"/>
      <c r="BG1246" s="1916"/>
      <c r="BH1246" s="1915"/>
    </row>
    <row r="1247" spans="1:238">
      <c r="A1247" s="1"/>
      <c r="B1247" s="1"/>
      <c r="C1247" s="1"/>
      <c r="D1247" s="1475" t="s">
        <v>3033</v>
      </c>
      <c r="E1247" s="1054"/>
      <c r="F1247" s="1054"/>
      <c r="G1247" s="1054"/>
      <c r="H1247" s="1054"/>
      <c r="I1247" s="1054"/>
      <c r="J1247" s="1054"/>
      <c r="K1247" s="1054"/>
      <c r="L1247" s="1054"/>
      <c r="M1247" s="1054"/>
      <c r="N1247" s="1054"/>
      <c r="O1247" s="1054"/>
      <c r="P1247" s="1054"/>
      <c r="Q1247" s="1054"/>
      <c r="R1247" s="1054"/>
      <c r="S1247" s="1054"/>
      <c r="T1247" s="1054"/>
      <c r="U1247" s="1054"/>
      <c r="V1247" s="1063"/>
      <c r="W1247" s="1063"/>
      <c r="X1247" s="1063"/>
      <c r="Y1247" s="1473"/>
      <c r="Z1247" s="1473"/>
      <c r="AA1247" s="1473"/>
      <c r="AB1247" s="1063"/>
      <c r="AC1247" s="1063"/>
      <c r="AD1247" s="1063"/>
      <c r="AE1247" s="1063"/>
      <c r="AF1247" s="1063"/>
      <c r="AG1247" s="1063">
        <f>FISCinyear!JB926</f>
        <v>0</v>
      </c>
      <c r="AH1247" s="1063"/>
      <c r="AI1247" s="1063"/>
      <c r="AJ1247" s="1063"/>
      <c r="AK1247" s="1063"/>
      <c r="AL1247" s="1063"/>
      <c r="AM1247" s="1063"/>
      <c r="AN1247" s="1063"/>
      <c r="AO1247" s="1063"/>
      <c r="AP1247" s="1063"/>
      <c r="AQ1247" s="1063"/>
      <c r="AR1247" s="1063"/>
      <c r="AS1247" s="1063"/>
      <c r="AT1247" s="1063"/>
      <c r="AU1247" s="1063"/>
      <c r="AV1247" s="1063" t="e">
        <f t="shared" si="1463"/>
        <v>#DIV/0!</v>
      </c>
      <c r="AW1247" s="1916"/>
      <c r="AX1247" s="1916"/>
      <c r="AY1247" s="1916"/>
      <c r="AZ1247" s="1916"/>
      <c r="BA1247" s="1916"/>
      <c r="BB1247" s="1916"/>
      <c r="BC1247" s="1916"/>
      <c r="BD1247" s="1916"/>
      <c r="BE1247" s="1916"/>
      <c r="BF1247" s="1916"/>
      <c r="BG1247" s="1916"/>
      <c r="BH1247" s="1915"/>
    </row>
    <row r="1248" spans="1:238">
      <c r="A1248" s="1"/>
      <c r="B1248" s="1"/>
      <c r="C1248" s="1"/>
      <c r="D1248" s="1457" t="s">
        <v>3153</v>
      </c>
      <c r="E1248" s="1054"/>
      <c r="F1248" s="1054"/>
      <c r="G1248" s="1054"/>
      <c r="H1248" s="1054"/>
      <c r="I1248" s="1054"/>
      <c r="J1248" s="1054"/>
      <c r="K1248" s="1054"/>
      <c r="L1248" s="1054"/>
      <c r="M1248" s="1054"/>
      <c r="N1248" s="1054"/>
      <c r="O1248" s="1054"/>
      <c r="P1248" s="1054"/>
      <c r="Q1248" s="1054"/>
      <c r="R1248" s="1054"/>
      <c r="S1248" s="1054"/>
      <c r="T1248" s="1054"/>
      <c r="U1248" s="1054"/>
      <c r="V1248" s="1063"/>
      <c r="W1248" s="1063"/>
      <c r="X1248" s="1063">
        <f t="shared" ref="X1248:AC1248" si="1518">X1245-(X1146-X1166-X1289-X1294)</f>
        <v>-346.69369439700017</v>
      </c>
      <c r="Y1248" s="1063">
        <f t="shared" si="1518"/>
        <v>-207.64913143264909</v>
      </c>
      <c r="Z1248" s="1063">
        <f t="shared" si="1518"/>
        <v>-274.15071157237708</v>
      </c>
      <c r="AA1248" s="1063">
        <f t="shared" si="1518"/>
        <v>-344.33618580946774</v>
      </c>
      <c r="AB1248" s="1063">
        <f t="shared" si="1518"/>
        <v>-466.59091706758693</v>
      </c>
      <c r="AC1248" s="1063">
        <f t="shared" si="1518"/>
        <v>-464.18281886890065</v>
      </c>
      <c r="AD1248" s="1063">
        <f t="shared" ref="AD1248:AU1248" si="1519">AD1245-(AD1146-AD1166-AD1191-AD1289)</f>
        <v>-509.94148877293156</v>
      </c>
      <c r="AE1248" s="1063">
        <f t="shared" si="1519"/>
        <v>-711.70219671927759</v>
      </c>
      <c r="AF1248" s="1063">
        <f t="shared" si="1519"/>
        <v>-785.81733044043381</v>
      </c>
      <c r="AG1248" s="1063">
        <f t="shared" si="1519"/>
        <v>-880.5163430012708</v>
      </c>
      <c r="AH1248" s="1063">
        <f t="shared" si="1519"/>
        <v>-939.75481169252282</v>
      </c>
      <c r="AI1248" s="1063">
        <f t="shared" si="1519"/>
        <v>-1081.6893161918326</v>
      </c>
      <c r="AJ1248" s="1063">
        <f t="shared" si="1519"/>
        <v>-979.79586417706173</v>
      </c>
      <c r="AK1248" s="1063">
        <f t="shared" si="1519"/>
        <v>-823.48637492612204</v>
      </c>
      <c r="AL1248" s="1063">
        <f t="shared" si="1519"/>
        <v>-936.49340385971482</v>
      </c>
      <c r="AM1248" s="1063">
        <f t="shared" si="1519"/>
        <v>-1006.1737269009549</v>
      </c>
      <c r="AN1248" s="1063">
        <f t="shared" si="1519"/>
        <v>-988.30191433776133</v>
      </c>
      <c r="AO1248" s="1063">
        <f t="shared" si="1519"/>
        <v>-1136.8311246334954</v>
      </c>
      <c r="AP1248" s="1063">
        <f t="shared" si="1519"/>
        <v>-1341.5814493840999</v>
      </c>
      <c r="AQ1248" s="1063">
        <f t="shared" si="1519"/>
        <v>-1619.0690217920892</v>
      </c>
      <c r="AR1248" s="1063">
        <f t="shared" si="1519"/>
        <v>-1560.5966718180744</v>
      </c>
      <c r="AS1248" s="1063">
        <f t="shared" si="1519"/>
        <v>-2169.7047473853108</v>
      </c>
      <c r="AT1248" s="1063">
        <f t="shared" si="1519"/>
        <v>-2689.3573146536755</v>
      </c>
      <c r="AU1248" s="1063">
        <f t="shared" si="1519"/>
        <v>-3111.8316797662364</v>
      </c>
      <c r="AV1248" s="1063">
        <f t="shared" si="1463"/>
        <v>0.23950381631168605</v>
      </c>
      <c r="AW1248" s="1916"/>
      <c r="AX1248" s="1916"/>
      <c r="AY1248" s="1916"/>
      <c r="AZ1248" s="1916"/>
      <c r="BA1248" s="1916"/>
      <c r="BB1248" s="1916"/>
      <c r="BC1248" s="1916"/>
      <c r="BD1248" s="1916"/>
      <c r="BE1248" s="1916"/>
      <c r="BF1248" s="1916"/>
      <c r="BG1248" s="1916"/>
      <c r="BH1248" s="1915"/>
    </row>
    <row r="1249" spans="1:60">
      <c r="A1249" s="1"/>
      <c r="B1249" s="1"/>
      <c r="C1249" s="1"/>
      <c r="D1249" s="1457" t="s">
        <v>3174</v>
      </c>
      <c r="E1249" s="1054"/>
      <c r="F1249" s="1054"/>
      <c r="G1249" s="1054"/>
      <c r="H1249" s="1054"/>
      <c r="I1249" s="1054"/>
      <c r="J1249" s="1054"/>
      <c r="K1249" s="1054"/>
      <c r="L1249" s="1054"/>
      <c r="M1249" s="1054"/>
      <c r="N1249" s="1054"/>
      <c r="O1249" s="1054"/>
      <c r="P1249" s="1054"/>
      <c r="Q1249" s="1054"/>
      <c r="R1249" s="1054"/>
      <c r="S1249" s="1054"/>
      <c r="T1249" s="1054"/>
      <c r="U1249" s="1054"/>
      <c r="V1249" s="1063"/>
      <c r="W1249" s="1063"/>
      <c r="X1249" s="1063">
        <f t="shared" ref="X1249:AD1249" si="1520">X1245-(-X1158-X1162-X1204-X1203-X1216-X1223-X1230-X1235)</f>
        <v>-346.69369439700017</v>
      </c>
      <c r="Y1249" s="1063">
        <f t="shared" si="1520"/>
        <v>-207.64913143264909</v>
      </c>
      <c r="Z1249" s="1063">
        <f t="shared" si="1520"/>
        <v>-175.21146124922811</v>
      </c>
      <c r="AA1249" s="1063">
        <f t="shared" si="1520"/>
        <v>-193.31661735722733</v>
      </c>
      <c r="AB1249" s="1063">
        <f t="shared" si="1520"/>
        <v>-303.32257472493694</v>
      </c>
      <c r="AC1249" s="1063">
        <f t="shared" si="1520"/>
        <v>-292.38021356462571</v>
      </c>
      <c r="AD1249" s="1063">
        <f t="shared" si="1520"/>
        <v>-466.83981640650069</v>
      </c>
      <c r="AE1249" s="1063">
        <f t="shared" ref="AE1249:AU1249" si="1521">AE1245-(-AE1158-AE1162-AE1204-AE1216-AE1223-AE1230-AE1235)</f>
        <v>-540.41754997913313</v>
      </c>
      <c r="AF1249" s="1063">
        <f t="shared" si="1521"/>
        <v>-721.80311343945903</v>
      </c>
      <c r="AG1249" s="1063">
        <f t="shared" si="1521"/>
        <v>-769.75700010412629</v>
      </c>
      <c r="AH1249" s="1063">
        <f t="shared" si="1521"/>
        <v>-975.55166374552277</v>
      </c>
      <c r="AI1249" s="1063">
        <f t="shared" si="1521"/>
        <v>-1115.6051201268326</v>
      </c>
      <c r="AJ1249" s="1063">
        <f t="shared" si="1521"/>
        <v>-1014.3680221450618</v>
      </c>
      <c r="AK1249" s="1063">
        <f t="shared" si="1521"/>
        <v>-790.93224159981037</v>
      </c>
      <c r="AL1249" s="1063">
        <f t="shared" si="1521"/>
        <v>-899.12180584392706</v>
      </c>
      <c r="AM1249" s="1063">
        <f t="shared" si="1521"/>
        <v>-949.57676558306252</v>
      </c>
      <c r="AN1249" s="1063">
        <f t="shared" si="1521"/>
        <v>-920.8194777629792</v>
      </c>
      <c r="AO1249" s="1063">
        <f t="shared" si="1521"/>
        <v>-1060.8976018577191</v>
      </c>
      <c r="AP1249" s="1063">
        <f t="shared" si="1521"/>
        <v>-1351.1637425490999</v>
      </c>
      <c r="AQ1249" s="1063">
        <f t="shared" si="1521"/>
        <v>-1628.6513149570892</v>
      </c>
      <c r="AR1249" s="1063">
        <f t="shared" si="1521"/>
        <v>-1570.1789649830744</v>
      </c>
      <c r="AS1249" s="1063">
        <f t="shared" si="1521"/>
        <v>-2179.2870405503108</v>
      </c>
      <c r="AT1249" s="1063">
        <f t="shared" si="1521"/>
        <v>-2698.9396078186755</v>
      </c>
      <c r="AU1249" s="1063">
        <f t="shared" si="1521"/>
        <v>-3120.4139729312365</v>
      </c>
      <c r="AV1249" s="1063">
        <f t="shared" si="1463"/>
        <v>0.2384507215429239</v>
      </c>
      <c r="AW1249" s="1916"/>
      <c r="AX1249" s="1916"/>
      <c r="AY1249" s="1916"/>
      <c r="AZ1249" s="1916"/>
      <c r="BA1249" s="1916"/>
      <c r="BB1249" s="1916"/>
      <c r="BC1249" s="1916"/>
      <c r="BD1249" s="1916"/>
      <c r="BE1249" s="1916"/>
      <c r="BF1249" s="1916"/>
      <c r="BG1249" s="1916"/>
      <c r="BH1249" s="1915"/>
    </row>
    <row r="1250" spans="1:60">
      <c r="A1250" s="1"/>
      <c r="B1250" s="1"/>
      <c r="C1250" s="1"/>
      <c r="D1250" s="1457" t="s">
        <v>3175</v>
      </c>
      <c r="E1250" s="1054"/>
      <c r="F1250" s="1054"/>
      <c r="G1250" s="1054"/>
      <c r="H1250" s="1054"/>
      <c r="I1250" s="1054"/>
      <c r="J1250" s="1054"/>
      <c r="K1250" s="1054"/>
      <c r="L1250" s="1054"/>
      <c r="M1250" s="1054"/>
      <c r="N1250" s="1054"/>
      <c r="O1250" s="1054"/>
      <c r="P1250" s="1054"/>
      <c r="Q1250" s="1054"/>
      <c r="R1250" s="1054"/>
      <c r="S1250" s="1054"/>
      <c r="T1250" s="1054"/>
      <c r="U1250" s="1054"/>
      <c r="V1250" s="1063"/>
      <c r="W1250" s="1063"/>
      <c r="X1250" s="1063">
        <f t="shared" ref="X1250:AU1250" si="1522">X1245-(-X1163-X1295-X1204)</f>
        <v>-346.69369439700017</v>
      </c>
      <c r="Y1250" s="1063">
        <f t="shared" si="1522"/>
        <v>-207.64913143264909</v>
      </c>
      <c r="Z1250" s="1063">
        <f t="shared" si="1522"/>
        <v>-204.61146124922811</v>
      </c>
      <c r="AA1250" s="1063">
        <f t="shared" si="1522"/>
        <v>-222.71661735722734</v>
      </c>
      <c r="AB1250" s="1063">
        <f t="shared" si="1522"/>
        <v>-334.57257472493694</v>
      </c>
      <c r="AC1250" s="1063">
        <f t="shared" si="1522"/>
        <v>-336.1402135646257</v>
      </c>
      <c r="AD1250" s="1063">
        <f t="shared" si="1522"/>
        <v>-516.51418707064704</v>
      </c>
      <c r="AE1250" s="1063">
        <f t="shared" si="1522"/>
        <v>-741.26781085513312</v>
      </c>
      <c r="AF1250" s="1063">
        <f t="shared" si="1522"/>
        <v>-674.74715732852644</v>
      </c>
      <c r="AG1250" s="1063">
        <f t="shared" si="1522"/>
        <v>-706.65369854012624</v>
      </c>
      <c r="AH1250" s="1063">
        <f t="shared" si="1522"/>
        <v>-919.26568007155277</v>
      </c>
      <c r="AI1250" s="1063">
        <f t="shared" si="1522"/>
        <v>-1070.5051201268327</v>
      </c>
      <c r="AJ1250" s="1063">
        <f t="shared" si="1522"/>
        <v>-972.68583949315575</v>
      </c>
      <c r="AK1250" s="1063">
        <f t="shared" si="1522"/>
        <v>-766.13940084382011</v>
      </c>
      <c r="AL1250" s="1063">
        <f t="shared" si="1522"/>
        <v>-899.12180584392706</v>
      </c>
      <c r="AM1250" s="1063">
        <f t="shared" si="1522"/>
        <v>-949.57676558306252</v>
      </c>
      <c r="AN1250" s="1063">
        <f t="shared" si="1522"/>
        <v>-920.8194777629792</v>
      </c>
      <c r="AO1250" s="1063">
        <f t="shared" si="1522"/>
        <v>-1060.8976018577191</v>
      </c>
      <c r="AP1250" s="1063">
        <f t="shared" si="1522"/>
        <v>-1351.1637425490999</v>
      </c>
      <c r="AQ1250" s="1063">
        <f t="shared" si="1522"/>
        <v>-1628.6513149570892</v>
      </c>
      <c r="AR1250" s="1063">
        <f t="shared" si="1522"/>
        <v>-1570.1789649830744</v>
      </c>
      <c r="AS1250" s="1063">
        <f t="shared" si="1522"/>
        <v>-2179.2870405503108</v>
      </c>
      <c r="AT1250" s="1063">
        <f t="shared" si="1522"/>
        <v>-2698.9396078186755</v>
      </c>
      <c r="AU1250" s="1063">
        <f t="shared" si="1522"/>
        <v>-3121.4139729312365</v>
      </c>
      <c r="AV1250" s="1063">
        <f t="shared" si="1463"/>
        <v>0.2384507215429239</v>
      </c>
      <c r="AW1250" s="1916"/>
      <c r="AX1250" s="1916"/>
      <c r="AY1250" s="1916"/>
      <c r="AZ1250" s="1916"/>
      <c r="BA1250" s="1916"/>
      <c r="BB1250" s="1916"/>
      <c r="BC1250" s="1916"/>
      <c r="BD1250" s="1916"/>
      <c r="BE1250" s="1916"/>
      <c r="BF1250" s="1916"/>
      <c r="BG1250" s="1916"/>
      <c r="BH1250" s="1915"/>
    </row>
    <row r="1251" spans="1:60">
      <c r="A1251" s="1"/>
      <c r="B1251" s="1"/>
      <c r="C1251" s="1"/>
      <c r="D1251" s="1457" t="s">
        <v>3154</v>
      </c>
      <c r="E1251" s="1054"/>
      <c r="F1251" s="1054"/>
      <c r="G1251" s="1054"/>
      <c r="H1251" s="1054"/>
      <c r="I1251" s="1054"/>
      <c r="J1251" s="1054"/>
      <c r="K1251" s="1054"/>
      <c r="L1251" s="1054"/>
      <c r="M1251" s="1054"/>
      <c r="N1251" s="1054"/>
      <c r="O1251" s="1054"/>
      <c r="P1251" s="1054"/>
      <c r="Q1251" s="1054"/>
      <c r="R1251" s="1054"/>
      <c r="S1251" s="1054"/>
      <c r="T1251" s="1054"/>
      <c r="U1251" s="1054"/>
      <c r="V1251" s="1063"/>
      <c r="W1251" s="1063"/>
      <c r="X1251" s="1063">
        <f t="shared" ref="X1251:AC1251" si="1523">X1245-(X1146-X1166-X1289-X1294-X1158-X1162-X1204-X1216-X1223-X1230-X1235)</f>
        <v>-346.69369439700017</v>
      </c>
      <c r="Y1251" s="1063">
        <f t="shared" si="1523"/>
        <v>-207.64913143264909</v>
      </c>
      <c r="Z1251" s="1063">
        <f t="shared" si="1523"/>
        <v>-274.15071157237708</v>
      </c>
      <c r="AA1251" s="1063">
        <f t="shared" si="1523"/>
        <v>-344.33618580946774</v>
      </c>
      <c r="AB1251" s="1063">
        <f t="shared" si="1523"/>
        <v>-466.59091706758693</v>
      </c>
      <c r="AC1251" s="1063">
        <f t="shared" si="1523"/>
        <v>-464.18281886890065</v>
      </c>
      <c r="AD1251" s="1063">
        <f t="shared" ref="AD1251:AU1251" si="1524">AD1245-(-AD1146-AD1166-AD1289-AD1294-AD1158-AD1162-AD1204-AD1216-AD1223-AD1230-AD1235)</f>
        <v>-213.64814625644868</v>
      </c>
      <c r="AE1251" s="1063">
        <f t="shared" si="1524"/>
        <v>-178.43359540396193</v>
      </c>
      <c r="AF1251" s="1063">
        <f t="shared" si="1524"/>
        <v>-489.40177165501404</v>
      </c>
      <c r="AG1251" s="1063">
        <f t="shared" si="1524"/>
        <v>-594.63928043298176</v>
      </c>
      <c r="AH1251" s="1063">
        <f t="shared" si="1524"/>
        <v>-646.84786519374029</v>
      </c>
      <c r="AI1251" s="1063">
        <f t="shared" si="1524"/>
        <v>-661.36405467179816</v>
      </c>
      <c r="AJ1251" s="1063">
        <f t="shared" si="1524"/>
        <v>-586.83532930157003</v>
      </c>
      <c r="AK1251" s="1063">
        <f t="shared" si="1524"/>
        <v>-372.64816758408108</v>
      </c>
      <c r="AL1251" s="1063">
        <f t="shared" si="1524"/>
        <v>-421.96965723139976</v>
      </c>
      <c r="AM1251" s="1063">
        <f t="shared" si="1524"/>
        <v>-453.6357190115956</v>
      </c>
      <c r="AN1251" s="1063">
        <f t="shared" si="1524"/>
        <v>-402.8056548847278</v>
      </c>
      <c r="AO1251" s="1063">
        <f t="shared" si="1524"/>
        <v>-524.62071737753422</v>
      </c>
      <c r="AP1251" s="1063">
        <f t="shared" si="1524"/>
        <v>-799.07382318365808</v>
      </c>
      <c r="AQ1251" s="1063">
        <f t="shared" si="1524"/>
        <v>-1060.2861668056341</v>
      </c>
      <c r="AR1251" s="1063">
        <f t="shared" si="1524"/>
        <v>-985.05033118202562</v>
      </c>
      <c r="AS1251" s="1063">
        <f t="shared" si="1524"/>
        <v>-1576.8920165301806</v>
      </c>
      <c r="AT1251" s="1063">
        <f t="shared" si="1524"/>
        <v>-2078.7602018728912</v>
      </c>
      <c r="AU1251" s="1063">
        <f t="shared" si="1524"/>
        <v>-2481.9166536020289</v>
      </c>
      <c r="AV1251" s="1063">
        <f t="shared" si="1463"/>
        <v>0.31826414242810985</v>
      </c>
      <c r="AW1251" s="1916"/>
      <c r="AX1251" s="1916"/>
      <c r="AY1251" s="1916"/>
      <c r="AZ1251" s="1916"/>
      <c r="BA1251" s="1916"/>
      <c r="BB1251" s="1916"/>
      <c r="BC1251" s="1916"/>
      <c r="BD1251" s="1916"/>
      <c r="BE1251" s="1916"/>
      <c r="BF1251" s="1916"/>
      <c r="BG1251" s="1916"/>
      <c r="BH1251" s="1915"/>
    </row>
    <row r="1252" spans="1:60">
      <c r="A1252" s="1"/>
      <c r="B1252" s="1"/>
      <c r="C1252" s="1"/>
      <c r="D1252" s="1471" t="s">
        <v>3172</v>
      </c>
      <c r="E1252" s="608"/>
      <c r="F1252" s="608"/>
      <c r="G1252" s="608"/>
      <c r="H1252" s="608"/>
      <c r="I1252" s="608"/>
      <c r="J1252" s="608"/>
      <c r="K1252" s="608"/>
      <c r="L1252" s="608"/>
      <c r="M1252" s="608"/>
      <c r="N1252" s="608"/>
      <c r="O1252" s="608"/>
      <c r="P1252" s="608"/>
      <c r="Q1252" s="608"/>
      <c r="R1252" s="608"/>
      <c r="S1252" s="608"/>
      <c r="T1252" s="608"/>
      <c r="U1252" s="608"/>
      <c r="V1252" s="548"/>
      <c r="W1252" s="548"/>
      <c r="X1252" s="548"/>
      <c r="Y1252" s="1437"/>
      <c r="Z1252" s="1437"/>
      <c r="AA1252" s="1437"/>
      <c r="AB1252" s="1437"/>
      <c r="AC1252" s="1437"/>
      <c r="AD1252" s="1437"/>
      <c r="AE1252" s="1437"/>
      <c r="AF1252" s="1437"/>
      <c r="AG1252" s="1437"/>
      <c r="AH1252" s="548"/>
      <c r="AI1252" s="548"/>
      <c r="AJ1252" s="548"/>
      <c r="AK1252" s="548"/>
      <c r="AL1252" s="548"/>
      <c r="AM1252" s="548"/>
      <c r="AN1252" s="548"/>
      <c r="AO1252" s="548"/>
      <c r="AP1252" s="548"/>
      <c r="AQ1252" s="548"/>
      <c r="AR1252" s="548"/>
      <c r="AS1252" s="548"/>
      <c r="AT1252" s="548"/>
      <c r="AU1252" s="548"/>
      <c r="AV1252" s="548" t="e">
        <f t="shared" si="1463"/>
        <v>#DIV/0!</v>
      </c>
      <c r="AW1252" s="1916"/>
      <c r="AX1252" s="1916"/>
      <c r="AY1252" s="1916"/>
      <c r="AZ1252" s="1916"/>
      <c r="BA1252" s="1916"/>
      <c r="BB1252" s="1916"/>
      <c r="BC1252" s="1916"/>
      <c r="BD1252" s="1916"/>
      <c r="BE1252" s="1916"/>
      <c r="BF1252" s="1916"/>
      <c r="BG1252" s="1916"/>
      <c r="BH1252" s="1915"/>
    </row>
    <row r="1253" spans="1:60">
      <c r="A1253" s="1"/>
      <c r="B1253" s="1"/>
      <c r="C1253" s="1"/>
      <c r="D1253" s="1472" t="s">
        <v>559</v>
      </c>
      <c r="E1253" s="608"/>
      <c r="F1253" s="608"/>
      <c r="G1253" s="608"/>
      <c r="H1253" s="608"/>
      <c r="I1253" s="608"/>
      <c r="J1253" s="608"/>
      <c r="K1253" s="608"/>
      <c r="L1253" s="608"/>
      <c r="M1253" s="608"/>
      <c r="N1253" s="608"/>
      <c r="O1253" s="608"/>
      <c r="P1253" s="608"/>
      <c r="Q1253" s="608"/>
      <c r="R1253" s="608"/>
      <c r="S1253" s="608"/>
      <c r="T1253" s="608"/>
      <c r="U1253" s="608"/>
      <c r="V1253" s="548"/>
      <c r="W1253" s="548"/>
      <c r="X1253" s="548">
        <f>+X1060-X1156-X1228-X1288-X1300</f>
        <v>-236.49369439700016</v>
      </c>
      <c r="Y1253" s="548">
        <f>+Y1060-Y1156-Y1228-Y1288-Y1300</f>
        <v>-233.67094087264914</v>
      </c>
      <c r="Z1253" s="548">
        <f>+Z1060-Z1156-Z1228-Z1288-Z1300</f>
        <v>-268.29256383922802</v>
      </c>
      <c r="AA1253" s="548">
        <f>+AA1060-AA1156-AA1228-AA1288-AA1300</f>
        <v>-273.06533902922752</v>
      </c>
      <c r="AB1253" s="548">
        <f>+AB1060-AB1156-AB1228-AB1288-AB1300</f>
        <v>-361.01070833493702</v>
      </c>
      <c r="AC1253" s="548">
        <f>+AC1060-AC1156-AC1228-AC1288-AC1300-AC1308-AC1309-AC1310</f>
        <v>-393.15043428762567</v>
      </c>
      <c r="AD1253" s="548">
        <f>+AD1060-AD1156-AD1228-AD1288-AD1300-AD1308-AD1309-AD1310</f>
        <v>-546.48294480264678</v>
      </c>
      <c r="AE1253" s="548">
        <f t="shared" ref="AE1253:AU1253" si="1525">+AE1060-AE1156-AE1228-AE1288-AE1300</f>
        <v>-834.78689066237223</v>
      </c>
      <c r="AF1253" s="548">
        <f t="shared" si="1525"/>
        <v>-885.68601820152651</v>
      </c>
      <c r="AG1253" s="548">
        <f t="shared" si="1525"/>
        <v>-1114.270560049514</v>
      </c>
      <c r="AH1253" s="548">
        <f t="shared" si="1525"/>
        <v>-1116.9868303734927</v>
      </c>
      <c r="AI1253" s="548">
        <f t="shared" si="1525"/>
        <v>-1228.2109644458326</v>
      </c>
      <c r="AJ1253" s="548">
        <f t="shared" si="1525"/>
        <v>-1178.3246966729678</v>
      </c>
      <c r="AK1253" s="548">
        <f t="shared" si="1525"/>
        <v>-1448.9645038884923</v>
      </c>
      <c r="AL1253" s="548">
        <f t="shared" si="1525"/>
        <v>-1472.2506029044816</v>
      </c>
      <c r="AM1253" s="548">
        <f t="shared" si="1525"/>
        <v>-1444.4067564640577</v>
      </c>
      <c r="AN1253" s="548">
        <f t="shared" si="1525"/>
        <v>-1099.1939800624468</v>
      </c>
      <c r="AO1253" s="548">
        <f t="shared" si="1525"/>
        <v>-1253.5927562366667</v>
      </c>
      <c r="AP1253" s="548">
        <f t="shared" si="1525"/>
        <v>-1396.72787974474</v>
      </c>
      <c r="AQ1253" s="548">
        <f t="shared" si="1525"/>
        <v>-1674.2154521527293</v>
      </c>
      <c r="AR1253" s="548">
        <f t="shared" si="1525"/>
        <v>-1615.7431021787145</v>
      </c>
      <c r="AS1253" s="548">
        <f t="shared" si="1525"/>
        <v>-2224.8511777459507</v>
      </c>
      <c r="AT1253" s="548">
        <f t="shared" si="1525"/>
        <v>-2744.5037450143154</v>
      </c>
      <c r="AU1253" s="548">
        <f t="shared" si="1525"/>
        <v>-3166.9781101268763</v>
      </c>
      <c r="AV1253" s="548">
        <f t="shared" si="1463"/>
        <v>0.23356733810610963</v>
      </c>
      <c r="AW1253" s="1916"/>
      <c r="AX1253" s="1916"/>
      <c r="AY1253" s="1916"/>
      <c r="AZ1253" s="1916"/>
      <c r="BA1253" s="1916"/>
      <c r="BB1253" s="1916"/>
      <c r="BC1253" s="1916"/>
      <c r="BD1253" s="1916"/>
      <c r="BE1253" s="1916"/>
      <c r="BF1253" s="1916"/>
      <c r="BG1253" s="1916"/>
      <c r="BH1253" s="1915"/>
    </row>
    <row r="1254" spans="1:60">
      <c r="A1254" s="1"/>
      <c r="B1254" s="1"/>
      <c r="C1254" s="1"/>
      <c r="D1254" s="1472" t="s">
        <v>560</v>
      </c>
      <c r="E1254" s="608"/>
      <c r="F1254" s="608"/>
      <c r="G1254" s="608"/>
      <c r="H1254" s="608"/>
      <c r="I1254" s="608"/>
      <c r="J1254" s="608"/>
      <c r="K1254" s="608"/>
      <c r="L1254" s="608"/>
      <c r="M1254" s="608"/>
      <c r="N1254" s="608"/>
      <c r="O1254" s="608"/>
      <c r="P1254" s="608"/>
      <c r="Q1254" s="608"/>
      <c r="R1254" s="608"/>
      <c r="S1254" s="608"/>
      <c r="T1254" s="608"/>
      <c r="U1254" s="608"/>
      <c r="V1254" s="548"/>
      <c r="W1254" s="548"/>
      <c r="X1254" s="548">
        <f>+(X1060-X1119)-X1156-X1228-X1288-X1300</f>
        <v>-601.3936943970001</v>
      </c>
      <c r="Y1254" s="548">
        <f>+(Y1060-Y1119)-Y1156-Y1228-Y1288-Y1300</f>
        <v>-707.98759809526928</v>
      </c>
      <c r="Z1254" s="548">
        <f>+(Z1060-Z1119)-Z1156-Z1228-Z1288-Z1300</f>
        <v>-684.21997083452754</v>
      </c>
      <c r="AA1254" s="548">
        <f>+(AA1060-AA1119)-AA1156-AA1228-AA1288-AA1300</f>
        <v>-646.77894482277702</v>
      </c>
      <c r="AB1254" s="548">
        <f>+(AB1060-AB1119)-AB1156-AB1228-AB1288-AB1300</f>
        <v>-691.19279228145558</v>
      </c>
      <c r="AC1254" s="548">
        <f t="shared" ref="AC1254:AK1254" si="1526">AC1253-AC1119</f>
        <v>-752.05911115633614</v>
      </c>
      <c r="AD1254" s="548">
        <f t="shared" si="1526"/>
        <v>-941.23300265886246</v>
      </c>
      <c r="AE1254" s="548">
        <f t="shared" si="1526"/>
        <v>-1272.3452953062397</v>
      </c>
      <c r="AF1254" s="548">
        <f t="shared" si="1526"/>
        <v>-1446.7741860026085</v>
      </c>
      <c r="AG1254" s="548">
        <f t="shared" si="1526"/>
        <v>-1938.4549194757954</v>
      </c>
      <c r="AH1254" s="548">
        <f t="shared" si="1526"/>
        <v>-1828.2940761284447</v>
      </c>
      <c r="AI1254" s="548">
        <f t="shared" si="1526"/>
        <v>-1986.0023739774647</v>
      </c>
      <c r="AJ1254" s="548">
        <f t="shared" si="1526"/>
        <v>-1792.9171683820464</v>
      </c>
      <c r="AK1254" s="548">
        <f t="shared" si="1526"/>
        <v>-2117.2407341841545</v>
      </c>
      <c r="AL1254" s="548">
        <f t="shared" ref="AL1254:AU1254" si="1527">+(AL1060-AL1119)-AL1156-AL1228-AL1288-AL1300</f>
        <v>-2016.2317473548519</v>
      </c>
      <c r="AM1254" s="548">
        <f t="shared" si="1527"/>
        <v>-2049.589131337671</v>
      </c>
      <c r="AN1254" s="548">
        <f t="shared" si="1527"/>
        <v>-1716.348535662798</v>
      </c>
      <c r="AO1254" s="548">
        <f t="shared" si="1527"/>
        <v>-1879.6708228208988</v>
      </c>
      <c r="AP1254" s="548">
        <f t="shared" si="1527"/>
        <v>-2111.1672376735878</v>
      </c>
      <c r="AQ1254" s="548">
        <f t="shared" si="1527"/>
        <v>-2547.8503251408774</v>
      </c>
      <c r="AR1254" s="548">
        <f t="shared" si="1527"/>
        <v>-2514.479111878627</v>
      </c>
      <c r="AS1254" s="548">
        <f t="shared" si="1527"/>
        <v>-3150.6443633003792</v>
      </c>
      <c r="AT1254" s="548">
        <f t="shared" si="1527"/>
        <v>-3698.7155533023324</v>
      </c>
      <c r="AU1254" s="548">
        <f t="shared" si="1527"/>
        <v>-4150.4831674311845</v>
      </c>
      <c r="AV1254" s="548">
        <f t="shared" ref="AV1254:AV1322" si="1528">AT1254/AS1254-1</f>
        <v>0.17395526971753639</v>
      </c>
      <c r="AW1254" s="1916"/>
      <c r="AX1254" s="1916"/>
      <c r="AY1254" s="1916"/>
      <c r="AZ1254" s="1916"/>
      <c r="BA1254" s="1916"/>
      <c r="BB1254" s="1916"/>
      <c r="BC1254" s="1916"/>
      <c r="BD1254" s="1916"/>
      <c r="BE1254" s="1916"/>
      <c r="BF1254" s="1916"/>
      <c r="BG1254" s="1916"/>
      <c r="BH1254" s="1915"/>
    </row>
    <row r="1255" spans="1:60">
      <c r="A1255" s="1"/>
      <c r="B1255" s="1"/>
      <c r="C1255" s="1"/>
      <c r="D1255" s="1472" t="s">
        <v>3381</v>
      </c>
      <c r="E1255" s="608"/>
      <c r="F1255" s="608"/>
      <c r="G1255" s="608"/>
      <c r="H1255" s="608"/>
      <c r="I1255" s="608"/>
      <c r="J1255" s="608"/>
      <c r="K1255" s="608"/>
      <c r="L1255" s="608"/>
      <c r="M1255" s="608"/>
      <c r="N1255" s="608"/>
      <c r="O1255" s="608"/>
      <c r="P1255" s="608"/>
      <c r="Q1255" s="608"/>
      <c r="R1255" s="608"/>
      <c r="S1255" s="608"/>
      <c r="T1255" s="608"/>
      <c r="U1255" s="608"/>
      <c r="V1255" s="548"/>
      <c r="W1255" s="548"/>
      <c r="X1255" s="548"/>
      <c r="Y1255" s="548"/>
      <c r="Z1255" s="548"/>
      <c r="AA1255" s="548"/>
      <c r="AB1255" s="548"/>
      <c r="AC1255" s="548"/>
      <c r="AD1255" s="548"/>
      <c r="AE1255" s="548"/>
      <c r="AF1255" s="548"/>
      <c r="AG1255" s="548">
        <f t="shared" ref="AG1255:AU1255" si="1529">AG1253+AG1185+AG1205+AG1223+AG1232+AG1237</f>
        <v>-1114.270560049514</v>
      </c>
      <c r="AH1255" s="548">
        <f t="shared" si="1529"/>
        <v>-1093.8868303734928</v>
      </c>
      <c r="AI1255" s="548">
        <f t="shared" si="1529"/>
        <v>-1178.7319099481012</v>
      </c>
      <c r="AJ1255" s="548">
        <f t="shared" si="1529"/>
        <v>-1178.3246966729678</v>
      </c>
      <c r="AK1255" s="548">
        <f t="shared" si="1529"/>
        <v>-1425.4894436755965</v>
      </c>
      <c r="AL1255" s="548">
        <f t="shared" si="1529"/>
        <v>-1469.2072796029815</v>
      </c>
      <c r="AM1255" s="548">
        <f t="shared" si="1529"/>
        <v>-1441.2179741424827</v>
      </c>
      <c r="AN1255" s="548">
        <f t="shared" si="1529"/>
        <v>-1099.1939800624468</v>
      </c>
      <c r="AO1255" s="548">
        <f t="shared" si="1529"/>
        <v>-1253.5927562366667</v>
      </c>
      <c r="AP1255" s="548">
        <f t="shared" si="1529"/>
        <v>-1396.72787974474</v>
      </c>
      <c r="AQ1255" s="548">
        <f t="shared" si="1529"/>
        <v>-1674.2154521527293</v>
      </c>
      <c r="AR1255" s="548">
        <f t="shared" si="1529"/>
        <v>-1615.7431021787145</v>
      </c>
      <c r="AS1255" s="548">
        <f t="shared" si="1529"/>
        <v>-2224.8511777459507</v>
      </c>
      <c r="AT1255" s="548">
        <f t="shared" si="1529"/>
        <v>-2744.5037450143154</v>
      </c>
      <c r="AU1255" s="548">
        <f t="shared" si="1529"/>
        <v>-3166.9781101268763</v>
      </c>
      <c r="AV1255" s="548">
        <f t="shared" si="1528"/>
        <v>0.23356733810610963</v>
      </c>
      <c r="AW1255" s="1916"/>
      <c r="AX1255" s="1916"/>
      <c r="AY1255" s="1916"/>
      <c r="AZ1255" s="1916"/>
      <c r="BA1255" s="1916"/>
      <c r="BB1255" s="1916"/>
      <c r="BC1255" s="1916"/>
      <c r="BD1255" s="1916"/>
      <c r="BE1255" s="1916"/>
      <c r="BF1255" s="1916"/>
      <c r="BG1255" s="1916"/>
      <c r="BH1255" s="1915"/>
    </row>
    <row r="1256" spans="1:60">
      <c r="A1256" s="1"/>
      <c r="B1256" s="1"/>
      <c r="C1256" s="1"/>
      <c r="D1256" s="1472" t="s">
        <v>3382</v>
      </c>
      <c r="E1256" s="608"/>
      <c r="F1256" s="608"/>
      <c r="G1256" s="608"/>
      <c r="H1256" s="608"/>
      <c r="I1256" s="608"/>
      <c r="J1256" s="608"/>
      <c r="K1256" s="608"/>
      <c r="L1256" s="608"/>
      <c r="M1256" s="608"/>
      <c r="N1256" s="608"/>
      <c r="O1256" s="608"/>
      <c r="P1256" s="608"/>
      <c r="Q1256" s="608"/>
      <c r="R1256" s="608"/>
      <c r="S1256" s="608"/>
      <c r="T1256" s="608"/>
      <c r="U1256" s="608"/>
      <c r="V1256" s="548"/>
      <c r="W1256" s="548"/>
      <c r="X1256" s="548"/>
      <c r="Y1256" s="548"/>
      <c r="Z1256" s="548"/>
      <c r="AA1256" s="548"/>
      <c r="AB1256" s="548"/>
      <c r="AC1256" s="548"/>
      <c r="AD1256" s="548"/>
      <c r="AE1256" s="548"/>
      <c r="AF1256" s="548"/>
      <c r="AG1256" s="548">
        <f t="shared" ref="AG1256:AU1256" si="1530">AG1253-AG1131</f>
        <v>-1114.270560049514</v>
      </c>
      <c r="AH1256" s="548">
        <f t="shared" si="1530"/>
        <v>-1116.9868303734927</v>
      </c>
      <c r="AI1256" s="548">
        <f t="shared" si="1530"/>
        <v>-1228.2109644458326</v>
      </c>
      <c r="AJ1256" s="548">
        <f t="shared" si="1530"/>
        <v>-1178.3246966729678</v>
      </c>
      <c r="AK1256" s="548">
        <f t="shared" si="1530"/>
        <v>-1448.9645038884923</v>
      </c>
      <c r="AL1256" s="548">
        <f t="shared" si="1530"/>
        <v>-1472.2506029044816</v>
      </c>
      <c r="AM1256" s="548">
        <f t="shared" si="1530"/>
        <v>-1444.4067564640577</v>
      </c>
      <c r="AN1256" s="548">
        <f t="shared" si="1530"/>
        <v>-1099.1939800624468</v>
      </c>
      <c r="AO1256" s="548">
        <f t="shared" si="1530"/>
        <v>-1253.5927562366667</v>
      </c>
      <c r="AP1256" s="548">
        <f t="shared" si="1530"/>
        <v>-1396.72787974474</v>
      </c>
      <c r="AQ1256" s="548">
        <f t="shared" si="1530"/>
        <v>-1674.2154521527293</v>
      </c>
      <c r="AR1256" s="548">
        <f t="shared" si="1530"/>
        <v>-1615.7431021787145</v>
      </c>
      <c r="AS1256" s="548">
        <f t="shared" si="1530"/>
        <v>-2224.8511777459507</v>
      </c>
      <c r="AT1256" s="548">
        <f t="shared" si="1530"/>
        <v>-2744.5037450143154</v>
      </c>
      <c r="AU1256" s="548" t="e">
        <f t="shared" si="1530"/>
        <v>#DIV/0!</v>
      </c>
      <c r="AV1256" s="548">
        <f t="shared" si="1528"/>
        <v>0.23356733810610963</v>
      </c>
      <c r="AW1256" s="1916"/>
      <c r="AX1256" s="1916"/>
      <c r="AY1256" s="1916"/>
      <c r="AZ1256" s="1916"/>
      <c r="BA1256" s="1916"/>
      <c r="BB1256" s="1916"/>
      <c r="BC1256" s="1916"/>
      <c r="BD1256" s="1916"/>
      <c r="BE1256" s="1916"/>
      <c r="BF1256" s="1916"/>
      <c r="BG1256" s="1916"/>
      <c r="BH1256" s="1915"/>
    </row>
    <row r="1257" spans="1:60">
      <c r="A1257" s="1"/>
      <c r="B1257" s="1"/>
      <c r="C1257" s="1"/>
      <c r="D1257" s="1576" t="s">
        <v>3617</v>
      </c>
      <c r="E1257" s="326"/>
      <c r="F1257" s="326"/>
      <c r="G1257" s="326"/>
      <c r="H1257" s="326"/>
      <c r="I1257" s="326"/>
      <c r="J1257" s="326"/>
      <c r="K1257" s="326"/>
      <c r="L1257" s="326"/>
      <c r="M1257" s="326"/>
      <c r="N1257" s="326"/>
      <c r="O1257" s="326"/>
      <c r="P1257" s="326"/>
      <c r="Q1257" s="326"/>
      <c r="R1257" s="326"/>
      <c r="S1257" s="326"/>
      <c r="T1257" s="326"/>
      <c r="U1257" s="326"/>
      <c r="V1257" s="1577"/>
      <c r="W1257" s="1577"/>
      <c r="X1257" s="1577"/>
      <c r="Y1257" s="1577"/>
      <c r="Z1257" s="1577"/>
      <c r="AA1257" s="1577"/>
      <c r="AB1257" s="1577"/>
      <c r="AC1257" s="1577"/>
      <c r="AD1257" s="1577"/>
      <c r="AE1257" s="1577"/>
      <c r="AF1257" s="1577"/>
      <c r="AG1257" s="1577"/>
      <c r="AH1257" s="1577"/>
      <c r="AI1257" s="1577"/>
      <c r="AJ1257" s="1577"/>
      <c r="AK1257" s="1577"/>
      <c r="AL1257" s="1577"/>
      <c r="AM1257" s="1577"/>
      <c r="AN1257" s="1577"/>
      <c r="AO1257" s="1577"/>
      <c r="AP1257" s="1577"/>
      <c r="AQ1257" s="1577"/>
      <c r="AR1257" s="1577"/>
      <c r="AS1257" s="1577"/>
      <c r="AT1257" s="1577"/>
      <c r="AU1257" s="1577"/>
      <c r="AV1257" s="1577" t="e">
        <f t="shared" si="1528"/>
        <v>#DIV/0!</v>
      </c>
      <c r="AW1257" s="1916"/>
      <c r="AX1257" s="1916"/>
      <c r="AY1257" s="1916"/>
      <c r="AZ1257" s="1916"/>
      <c r="BA1257" s="1916"/>
      <c r="BB1257" s="1916"/>
      <c r="BC1257" s="1916"/>
      <c r="BD1257" s="1916"/>
      <c r="BE1257" s="1916"/>
      <c r="BF1257" s="1916"/>
      <c r="BG1257" s="1916"/>
      <c r="BH1257" s="1915"/>
    </row>
    <row r="1258" spans="1:60">
      <c r="A1258" s="1"/>
      <c r="B1258" s="1"/>
      <c r="C1258" s="1"/>
      <c r="D1258" s="1578" t="s">
        <v>559</v>
      </c>
      <c r="E1258" s="326"/>
      <c r="F1258" s="326"/>
      <c r="G1258" s="326"/>
      <c r="H1258" s="326"/>
      <c r="I1258" s="326"/>
      <c r="J1258" s="326"/>
      <c r="K1258" s="326"/>
      <c r="L1258" s="326"/>
      <c r="M1258" s="326"/>
      <c r="N1258" s="326"/>
      <c r="O1258" s="326"/>
      <c r="P1258" s="326"/>
      <c r="Q1258" s="326"/>
      <c r="R1258" s="326"/>
      <c r="S1258" s="326"/>
      <c r="T1258" s="326"/>
      <c r="U1258" s="326"/>
      <c r="V1258" s="1577"/>
      <c r="W1258" s="1577"/>
      <c r="X1258" s="1577"/>
      <c r="Y1258" s="1577"/>
      <c r="Z1258" s="1577"/>
      <c r="AA1258" s="1577">
        <f>AA1060-AA1156+AA1168-AA1228+AA1237-AA1288-AA1300</f>
        <v>-273.06533902922752</v>
      </c>
      <c r="AB1258" s="1577">
        <f>AB1060-AB1156+AB1168-AB1228+AB1237-AB1288-AB1300</f>
        <v>-361.01070833493702</v>
      </c>
      <c r="AC1258" s="1577">
        <f t="shared" ref="AC1258:AO1258" si="1531">AC1253+AC1188</f>
        <v>-301.57185163557506</v>
      </c>
      <c r="AD1258" s="1577">
        <f t="shared" si="1531"/>
        <v>-443.99047466348816</v>
      </c>
      <c r="AE1258" s="1577">
        <f t="shared" si="1531"/>
        <v>-695.66808633631285</v>
      </c>
      <c r="AF1258" s="1577">
        <f t="shared" si="1531"/>
        <v>-705.00014229922135</v>
      </c>
      <c r="AG1258" s="1577">
        <f t="shared" si="1531"/>
        <v>-893.93559964945848</v>
      </c>
      <c r="AH1258" s="1577">
        <f t="shared" si="1531"/>
        <v>-813.4839734523913</v>
      </c>
      <c r="AI1258" s="1577">
        <f t="shared" si="1531"/>
        <v>-810.4902795958451</v>
      </c>
      <c r="AJ1258" s="1577">
        <f t="shared" si="1531"/>
        <v>-692.455934173635</v>
      </c>
      <c r="AK1258" s="1577">
        <f t="shared" si="1531"/>
        <v>-873.32610040397981</v>
      </c>
      <c r="AL1258" s="1577">
        <f t="shared" si="1531"/>
        <v>-807.05855274319595</v>
      </c>
      <c r="AM1258" s="1577">
        <f t="shared" si="1531"/>
        <v>-737.0636723524417</v>
      </c>
      <c r="AN1258" s="1577">
        <f t="shared" si="1531"/>
        <v>-401.81364505066597</v>
      </c>
      <c r="AO1258" s="1577">
        <f t="shared" si="1531"/>
        <v>-539.55531772851305</v>
      </c>
      <c r="AP1258" s="1577">
        <f t="shared" ref="AP1258:AU1258" si="1532">AP1060-AP1156+AP1168-AP1228+AP1237-AP1288-AP1300</f>
        <v>-1396.72787974474</v>
      </c>
      <c r="AQ1258" s="1577">
        <f t="shared" si="1532"/>
        <v>-1674.2154521527293</v>
      </c>
      <c r="AR1258" s="1577">
        <f t="shared" si="1532"/>
        <v>-1615.7431021787145</v>
      </c>
      <c r="AS1258" s="1577">
        <f t="shared" si="1532"/>
        <v>-2224.8511777459507</v>
      </c>
      <c r="AT1258" s="1577">
        <f t="shared" si="1532"/>
        <v>-2744.5037450143154</v>
      </c>
      <c r="AU1258" s="1577">
        <f t="shared" si="1532"/>
        <v>-3166.9781101268763</v>
      </c>
      <c r="AV1258" s="1577">
        <f t="shared" si="1528"/>
        <v>0.23356733810610963</v>
      </c>
      <c r="AW1258" s="1916"/>
      <c r="AX1258" s="1916"/>
      <c r="AY1258" s="1916"/>
      <c r="AZ1258" s="1916"/>
      <c r="BA1258" s="1916"/>
      <c r="BB1258" s="1916"/>
      <c r="BC1258" s="1916"/>
      <c r="BD1258" s="1916"/>
      <c r="BE1258" s="1916"/>
      <c r="BF1258" s="1916"/>
      <c r="BG1258" s="1916"/>
      <c r="BH1258" s="1915"/>
    </row>
    <row r="1259" spans="1:60">
      <c r="A1259" s="1"/>
      <c r="B1259" s="1"/>
      <c r="C1259" s="1"/>
      <c r="D1259" s="1579" t="s">
        <v>3625</v>
      </c>
      <c r="E1259" s="326"/>
      <c r="F1259" s="326"/>
      <c r="G1259" s="326"/>
      <c r="H1259" s="326"/>
      <c r="I1259" s="326"/>
      <c r="J1259" s="326"/>
      <c r="K1259" s="326"/>
      <c r="L1259" s="326"/>
      <c r="M1259" s="326"/>
      <c r="N1259" s="326"/>
      <c r="O1259" s="326"/>
      <c r="P1259" s="326"/>
      <c r="Q1259" s="326"/>
      <c r="R1259" s="326"/>
      <c r="S1259" s="326"/>
      <c r="T1259" s="326"/>
      <c r="U1259" s="326"/>
      <c r="V1259" s="1577"/>
      <c r="W1259" s="1577"/>
      <c r="X1259" s="1577"/>
      <c r="Y1259" s="1577"/>
      <c r="Z1259" s="1577"/>
      <c r="AA1259" s="1577"/>
      <c r="AB1259" s="1577"/>
      <c r="AC1259" s="1577"/>
      <c r="AD1259" s="1577"/>
      <c r="AE1259" s="1577">
        <f t="shared" ref="AE1259:AO1259" si="1533">AE1258+(AE1200-AE1201)+AE1303</f>
        <v>-695.66808633631285</v>
      </c>
      <c r="AF1259" s="1577">
        <f t="shared" si="1533"/>
        <v>-705.00014229922135</v>
      </c>
      <c r="AG1259" s="1577">
        <f t="shared" si="1533"/>
        <v>-870.94808347745845</v>
      </c>
      <c r="AH1259" s="1577">
        <f t="shared" si="1533"/>
        <v>-790.45232444339126</v>
      </c>
      <c r="AI1259" s="1577">
        <f t="shared" si="1533"/>
        <v>-790.81533465784514</v>
      </c>
      <c r="AJ1259" s="1577">
        <f t="shared" si="1533"/>
        <v>-656.305841552635</v>
      </c>
      <c r="AK1259" s="1577">
        <f t="shared" si="1533"/>
        <v>-229.24658351546816</v>
      </c>
      <c r="AL1259" s="1577">
        <f t="shared" si="1533"/>
        <v>-211.51168947554697</v>
      </c>
      <c r="AM1259" s="1577">
        <f t="shared" si="1533"/>
        <v>-162.57094725539383</v>
      </c>
      <c r="AN1259" s="1577">
        <f t="shared" si="1533"/>
        <v>-54.066893216155876</v>
      </c>
      <c r="AO1259" s="1577">
        <f t="shared" si="1533"/>
        <v>-147.77511184087848</v>
      </c>
      <c r="AP1259" s="1577"/>
      <c r="AQ1259" s="1577"/>
      <c r="AR1259" s="1577"/>
      <c r="AS1259" s="1577"/>
      <c r="AT1259" s="1577"/>
      <c r="AU1259" s="1577"/>
      <c r="AV1259" s="1577" t="e">
        <f t="shared" si="1528"/>
        <v>#DIV/0!</v>
      </c>
      <c r="AW1259" s="1916"/>
      <c r="AX1259" s="1916"/>
      <c r="AY1259" s="1916"/>
      <c r="AZ1259" s="1916"/>
      <c r="BA1259" s="1916"/>
      <c r="BB1259" s="1916"/>
      <c r="BC1259" s="1916"/>
      <c r="BD1259" s="1916"/>
      <c r="BE1259" s="1916"/>
      <c r="BF1259" s="1916"/>
      <c r="BG1259" s="1916"/>
      <c r="BH1259" s="1915"/>
    </row>
    <row r="1260" spans="1:60">
      <c r="A1260" s="1"/>
      <c r="B1260" s="1"/>
      <c r="C1260" s="1"/>
      <c r="D1260" s="1474" t="s">
        <v>3171</v>
      </c>
      <c r="E1260" s="1436"/>
      <c r="F1260" s="1436"/>
      <c r="G1260" s="1465"/>
      <c r="H1260" s="1465"/>
      <c r="I1260" s="1465"/>
      <c r="J1260" s="1465"/>
      <c r="K1260" s="1465"/>
      <c r="L1260" s="1465"/>
      <c r="M1260" s="1465"/>
      <c r="N1260" s="1465"/>
      <c r="O1260" s="1465"/>
      <c r="P1260" s="1465"/>
      <c r="Q1260" s="1465"/>
      <c r="R1260" s="1465"/>
      <c r="S1260" s="1465"/>
      <c r="T1260" s="1465"/>
      <c r="U1260" s="1465"/>
      <c r="V1260" s="1436"/>
      <c r="W1260" s="1436"/>
      <c r="X1260" s="1436"/>
      <c r="Y1260" s="1466"/>
      <c r="Z1260" s="1466"/>
      <c r="AA1260" s="1466"/>
      <c r="AB1260" s="1466"/>
      <c r="AC1260" s="1466"/>
      <c r="AD1260" s="1466"/>
      <c r="AE1260" s="1466"/>
      <c r="AF1260" s="1466"/>
      <c r="AG1260" s="1466"/>
      <c r="AH1260" s="1436"/>
      <c r="AI1260" s="1436"/>
      <c r="AJ1260" s="1436"/>
      <c r="AK1260" s="1436"/>
      <c r="AL1260" s="1436"/>
      <c r="AM1260" s="1436"/>
      <c r="AN1260" s="1436"/>
      <c r="AO1260" s="1436"/>
      <c r="AP1260" s="1436"/>
      <c r="AQ1260" s="1436"/>
      <c r="AR1260" s="1436"/>
      <c r="AS1260" s="1436"/>
      <c r="AT1260" s="1436"/>
      <c r="AU1260" s="1436"/>
      <c r="AV1260" s="1436" t="e">
        <f t="shared" si="1528"/>
        <v>#DIV/0!</v>
      </c>
      <c r="AW1260" s="1916"/>
      <c r="AX1260" s="1916"/>
      <c r="AY1260" s="1916"/>
      <c r="AZ1260" s="1916"/>
      <c r="BA1260" s="1916"/>
      <c r="BB1260" s="1916"/>
      <c r="BC1260" s="1916"/>
      <c r="BD1260" s="1916"/>
      <c r="BE1260" s="1916"/>
      <c r="BF1260" s="1916"/>
      <c r="BG1260" s="1916"/>
      <c r="BH1260" s="1915"/>
    </row>
    <row r="1261" spans="1:60">
      <c r="A1261" s="1"/>
      <c r="B1261" s="1"/>
      <c r="C1261" s="1"/>
      <c r="D1261" s="1917" t="s">
        <v>3623</v>
      </c>
      <c r="E1261" s="1918"/>
      <c r="F1261" s="1918"/>
      <c r="G1261" s="1918"/>
      <c r="H1261" s="1918"/>
      <c r="I1261" s="1918"/>
      <c r="J1261" s="1918"/>
      <c r="K1261" s="1918"/>
      <c r="L1261" s="1918"/>
      <c r="M1261" s="1918"/>
      <c r="N1261" s="1918"/>
      <c r="O1261" s="1918"/>
      <c r="P1261" s="1918"/>
      <c r="Q1261" s="1918"/>
      <c r="R1261" s="1918"/>
      <c r="S1261" s="1918"/>
      <c r="T1261" s="1918"/>
      <c r="U1261" s="1918"/>
      <c r="V1261" s="1919"/>
      <c r="W1261" s="1919"/>
      <c r="X1261" s="1919">
        <f t="shared" ref="X1261:AC1261" si="1534">X1253-(X1146-X1166-X1289-X1294)</f>
        <v>-236.49369439700016</v>
      </c>
      <c r="Y1261" s="1919">
        <f t="shared" si="1534"/>
        <v>-233.67094087264914</v>
      </c>
      <c r="Z1261" s="1919">
        <f t="shared" si="1534"/>
        <v>-337.83181416237699</v>
      </c>
      <c r="AA1261" s="1919">
        <f t="shared" si="1534"/>
        <v>-394.68490748146792</v>
      </c>
      <c r="AB1261" s="1919">
        <f t="shared" si="1534"/>
        <v>-493.02905067758701</v>
      </c>
      <c r="AC1261" s="1919">
        <f t="shared" si="1534"/>
        <v>-521.19303959190063</v>
      </c>
      <c r="AD1261" s="1919">
        <f>AD1253-AD1146-(-AD1166-AD1289-AD1294)</f>
        <v>-546.5607701949117</v>
      </c>
      <c r="AE1261" s="1919">
        <f>AE1253-AE1146-(-AE1166-AE1289-AE1294)</f>
        <v>-811.23850956705098</v>
      </c>
      <c r="AF1261" s="1919">
        <f>AF1253-AF1146-(-AF1166-AF1289-AF1294)+(AF1200-AF1201)+AF1202</f>
        <v>-897.72446617597143</v>
      </c>
      <c r="AG1261" s="1919">
        <f>AG1253-AG1146-(-AG1166-AG1289-AG1294)+(AG1200-AG1201)+AG1202</f>
        <v>-1125.1588323175586</v>
      </c>
      <c r="AH1261" s="1919">
        <f>AH1253-AH1146-(-AH1166-AH1289-AH1294)+(AH1200-AH1201)+AH1202</f>
        <v>-1081.1899783204926</v>
      </c>
      <c r="AI1261" s="1919">
        <f>AI1253-AI1146-(-AI1166-AI1289-AI1294)+(AI1200-AI1201)+AI1202</f>
        <v>-1193.0951605108326</v>
      </c>
      <c r="AJ1261" s="1919">
        <f>AJ1253-AJ1146-(-AJ1166-AJ1289-AJ1294)+(AJ1200-AJ1201)+AJ1202</f>
        <v>-1143.7525387049677</v>
      </c>
      <c r="AK1261" s="1919">
        <f t="shared" ref="AK1261:AO1261" si="1535">AK1253+(AK1200-AK1201)+AK1202</f>
        <v>-1335.2783437661087</v>
      </c>
      <c r="AL1261" s="1919">
        <f t="shared" si="1535"/>
        <v>-1347.453252591092</v>
      </c>
      <c r="AM1261" s="1919">
        <f t="shared" si="1535"/>
        <v>-1236.9478449474466</v>
      </c>
      <c r="AN1261" s="1919">
        <f t="shared" si="1535"/>
        <v>-774.91337354688312</v>
      </c>
      <c r="AO1261" s="1919">
        <f t="shared" si="1535"/>
        <v>-882.20369412286595</v>
      </c>
      <c r="AP1261" s="1919">
        <f>AP1253-AP1146-(-AP1166-AP1289-AP1294)+(AP1199-AP1201*0)+AP1202</f>
        <v>-1222.9346606814406</v>
      </c>
      <c r="AQ1261" s="1919">
        <f>AQ1253-AQ1146-(-AQ1166-AQ1289-AQ1294)+(AQ1199-AQ1201*0)+AQ1202</f>
        <v>-1508.3857669734168</v>
      </c>
      <c r="AR1261" s="1919">
        <f>AR1253-AR1146-(-AR1166-AR1289-AR1294)+(AR1199-AR1201*0)+AR1202</f>
        <v>-1606.1608090137145</v>
      </c>
      <c r="AS1261" s="1919">
        <f>AS1253-AS1146-(-AS1166-AS1289-AS1294)+(AS1199-AS1201*0)+AS1202</f>
        <v>-2215.2688845809507</v>
      </c>
      <c r="AT1261" s="1919">
        <f>AT1253-AT1146-(-AT1166-AT1289-AT1294)+(AT1199-AT1201*0)+AT1202</f>
        <v>-2734.9214518493154</v>
      </c>
      <c r="AU1261" s="1919">
        <f t="shared" ref="AU1261:AU1321" si="1536">AT1261*(1+AV1261)</f>
        <v>-3376.4728967429505</v>
      </c>
      <c r="AV1261" s="1919">
        <f t="shared" si="1528"/>
        <v>0.23457764918982482</v>
      </c>
      <c r="AW1261" s="1916"/>
      <c r="AX1261" s="1916"/>
      <c r="AY1261" s="1916"/>
      <c r="AZ1261" s="1916"/>
      <c r="BA1261" s="1916"/>
      <c r="BB1261" s="1916"/>
      <c r="BC1261" s="1916"/>
      <c r="BD1261" s="1916"/>
      <c r="BE1261" s="1916"/>
      <c r="BF1261" s="1916"/>
      <c r="BG1261" s="1916"/>
      <c r="BH1261" s="1915"/>
    </row>
    <row r="1262" spans="1:60">
      <c r="A1262" s="1"/>
      <c r="B1262" s="1"/>
      <c r="C1262" s="1"/>
      <c r="D1262" s="1917" t="s">
        <v>3618</v>
      </c>
      <c r="E1262" s="1918"/>
      <c r="F1262" s="1918"/>
      <c r="G1262" s="1918"/>
      <c r="H1262" s="1918"/>
      <c r="I1262" s="1918"/>
      <c r="J1262" s="1918"/>
      <c r="K1262" s="1918"/>
      <c r="L1262" s="1918"/>
      <c r="M1262" s="1918"/>
      <c r="N1262" s="1918"/>
      <c r="O1262" s="1918"/>
      <c r="P1262" s="1918"/>
      <c r="Q1262" s="1918"/>
      <c r="R1262" s="1918"/>
      <c r="S1262" s="1918"/>
      <c r="T1262" s="1918"/>
      <c r="U1262" s="1918"/>
      <c r="V1262" s="1919"/>
      <c r="W1262" s="1919"/>
      <c r="X1262" s="1919">
        <f t="shared" ref="X1262:AJ1262" si="1537">X1253-(-X1158-X1162-X1204-X1216-X1223-X1230-X1235)</f>
        <v>-236.49369439700016</v>
      </c>
      <c r="Y1262" s="1919">
        <f t="shared" si="1537"/>
        <v>-233.67094087264914</v>
      </c>
      <c r="Z1262" s="1919">
        <f t="shared" si="1537"/>
        <v>-268.29256383922802</v>
      </c>
      <c r="AA1262" s="1919">
        <f t="shared" si="1537"/>
        <v>-273.06533902922752</v>
      </c>
      <c r="AB1262" s="1919">
        <f t="shared" si="1537"/>
        <v>-361.01070833493702</v>
      </c>
      <c r="AC1262" s="1919">
        <f t="shared" si="1537"/>
        <v>-393.15043428762567</v>
      </c>
      <c r="AD1262" s="1919">
        <f t="shared" si="1537"/>
        <v>-546.48294480264678</v>
      </c>
      <c r="AE1262" s="1919">
        <f t="shared" si="1537"/>
        <v>-633.93662978637224</v>
      </c>
      <c r="AF1262" s="1919">
        <f t="shared" si="1537"/>
        <v>-831.46653504645906</v>
      </c>
      <c r="AG1262" s="1919">
        <f t="shared" si="1537"/>
        <v>-1114.270560049514</v>
      </c>
      <c r="AH1262" s="1919">
        <f t="shared" si="1537"/>
        <v>-1116.9868303734927</v>
      </c>
      <c r="AI1262" s="1919">
        <f t="shared" si="1537"/>
        <v>-1227.0109644458325</v>
      </c>
      <c r="AJ1262" s="1919">
        <f t="shared" si="1537"/>
        <v>-1178.3246966729678</v>
      </c>
      <c r="AK1262" s="1919">
        <f>AK1253-(-AK1158-AK1162-AK1204-AK1216-AK1223-AK1230-AK1235)+AK1303</f>
        <v>-852.04733660805266</v>
      </c>
      <c r="AL1262" s="1919">
        <f>AL1253-(-AL1158-AL1162-AL1204-AL1216-AL1223-AL1230-AL1235)+AL1303</f>
        <v>-931.62564888918087</v>
      </c>
      <c r="AM1262" s="1919">
        <f>AM1253-(-AM1158-AM1162-AM1204-AM1216-AM1223-AM1230-AM1235)+AM1303</f>
        <v>-979.61704656306256</v>
      </c>
      <c r="AN1262" s="1919">
        <f>AN1253-(-AN1158-AN1162-AN1204-AN1216-AN1223-AN1230-AN1235)+AN1303</f>
        <v>-950.85975874297935</v>
      </c>
      <c r="AO1262" s="1919">
        <f>AO1253-(-AO1158-AO1162-AO1204-AO1216-AO1223-AO1230-AO1235)+AO1303</f>
        <v>-1089.7890961937192</v>
      </c>
      <c r="AP1262" s="1919">
        <f>AP1253-(-AP1158-AP1162-AP1204-AP1216-AP1223-AP1230-AP1235)</f>
        <v>-1396.72787974474</v>
      </c>
      <c r="AQ1262" s="1919">
        <f>AQ1253-(-AQ1158-AQ1162-AQ1204-AQ1216-AQ1223-AQ1230-AQ1235)</f>
        <v>-1674.2154521527293</v>
      </c>
      <c r="AR1262" s="1919">
        <f>AR1253-(-AR1158-AR1162-AR1204-AR1216-AR1223-AR1230-AR1235)</f>
        <v>-1615.7431021787145</v>
      </c>
      <c r="AS1262" s="1919">
        <f>AS1253-(-AS1158-AS1162-AS1204-AS1216-AS1223-AS1230-AS1235)</f>
        <v>-2224.8511777459507</v>
      </c>
      <c r="AT1262" s="1919">
        <f>AT1253-(-AT1158-AT1162-AT1204-AT1216-AT1223-AT1230-AT1235)</f>
        <v>-2744.5037450143154</v>
      </c>
      <c r="AU1262" s="1919">
        <f t="shared" si="1536"/>
        <v>-3385.530179159558</v>
      </c>
      <c r="AV1262" s="1919">
        <f t="shared" si="1528"/>
        <v>0.23356733810610963</v>
      </c>
      <c r="AW1262" s="1916"/>
      <c r="AX1262" s="1916"/>
      <c r="AY1262" s="1916"/>
      <c r="AZ1262" s="1916"/>
      <c r="BA1262" s="1916"/>
      <c r="BB1262" s="1916"/>
      <c r="BC1262" s="1916"/>
      <c r="BD1262" s="1916"/>
      <c r="BE1262" s="1916"/>
      <c r="BF1262" s="1916"/>
      <c r="BG1262" s="1916"/>
      <c r="BH1262" s="1915"/>
    </row>
    <row r="1263" spans="1:60">
      <c r="A1263" s="1"/>
      <c r="B1263" s="1"/>
      <c r="C1263" s="1"/>
      <c r="D1263" s="1917" t="s">
        <v>3621</v>
      </c>
      <c r="E1263" s="1918"/>
      <c r="F1263" s="1918"/>
      <c r="G1263" s="1918"/>
      <c r="H1263" s="1918"/>
      <c r="I1263" s="1918"/>
      <c r="J1263" s="1918"/>
      <c r="K1263" s="1918"/>
      <c r="L1263" s="1918"/>
      <c r="M1263" s="1918"/>
      <c r="N1263" s="1918"/>
      <c r="O1263" s="1918"/>
      <c r="P1263" s="1918"/>
      <c r="Q1263" s="1918"/>
      <c r="R1263" s="1918"/>
      <c r="S1263" s="1918"/>
      <c r="T1263" s="1918"/>
      <c r="U1263" s="1918"/>
      <c r="V1263" s="1919"/>
      <c r="W1263" s="1919"/>
      <c r="X1263" s="1919">
        <f t="shared" ref="X1263:AJ1263" si="1538">X1253-(-X1163-X1295)</f>
        <v>-236.49369439700016</v>
      </c>
      <c r="Y1263" s="1919">
        <f t="shared" si="1538"/>
        <v>-233.67094087264914</v>
      </c>
      <c r="Z1263" s="1919">
        <f t="shared" si="1538"/>
        <v>-268.29256383922802</v>
      </c>
      <c r="AA1263" s="1919">
        <f t="shared" si="1538"/>
        <v>-273.06533902922752</v>
      </c>
      <c r="AB1263" s="1919">
        <f t="shared" si="1538"/>
        <v>-361.01070833493702</v>
      </c>
      <c r="AC1263" s="1919">
        <f t="shared" si="1538"/>
        <v>-393.15043428762567</v>
      </c>
      <c r="AD1263" s="1919">
        <f t="shared" si="1538"/>
        <v>-546.48294480264678</v>
      </c>
      <c r="AE1263" s="1919">
        <f t="shared" si="1538"/>
        <v>-834.78689066237223</v>
      </c>
      <c r="AF1263" s="1919">
        <f t="shared" si="1538"/>
        <v>-796.71057893552654</v>
      </c>
      <c r="AG1263" s="1919">
        <f t="shared" si="1538"/>
        <v>-1051.1672584855139</v>
      </c>
      <c r="AH1263" s="1919">
        <f t="shared" si="1538"/>
        <v>-1060.7008466995228</v>
      </c>
      <c r="AI1263" s="1919">
        <f t="shared" si="1538"/>
        <v>-1181.9109644458326</v>
      </c>
      <c r="AJ1263" s="1919">
        <f t="shared" si="1538"/>
        <v>-1136.6425140210617</v>
      </c>
      <c r="AK1263" s="1919">
        <f>AK1253-(-AK1163-AK1295)+(AK1200-AK1201)+AK1202+AK1303</f>
        <v>-780.09214624399044</v>
      </c>
      <c r="AL1263" s="1919">
        <f>AL1253-(-AL1163-AL1295)+(AL1200-AL1201)+AL1202+AL1303</f>
        <v>-876.70373963683255</v>
      </c>
      <c r="AM1263" s="1919">
        <f>AM1253-(-AM1163-AM1295)+(AM1200-AM1201)+AM1202+AM1303</f>
        <v>-861.63403136700981</v>
      </c>
      <c r="AN1263" s="1919">
        <f>AN1253-(-AN1163-AN1295)+(AN1200-AN1201)+AN1202+AN1303</f>
        <v>-735.02222822793681</v>
      </c>
      <c r="AO1263" s="1919">
        <f>AO1253-(-AO1163-AO1295)+(AO1200-AO1201)+AO1202+AO1303</f>
        <v>-845.34255034903208</v>
      </c>
      <c r="AP1263" s="1919">
        <f>AP1253-(-AP1163-AP1295)</f>
        <v>-1396.72787974474</v>
      </c>
      <c r="AQ1263" s="1919">
        <f>AQ1253-(-AQ1163-AQ1295)</f>
        <v>-1674.2154521527293</v>
      </c>
      <c r="AR1263" s="1919">
        <f>AR1253-(-AR1163-AR1295)</f>
        <v>-1615.7431021787145</v>
      </c>
      <c r="AS1263" s="1919">
        <f>AS1253-(-AS1163-AS1295)</f>
        <v>-2224.8511777459507</v>
      </c>
      <c r="AT1263" s="1919">
        <f>AT1253-(-AT1163-AT1295)</f>
        <v>-2744.5037450143154</v>
      </c>
      <c r="AU1263" s="1919">
        <f t="shared" si="1536"/>
        <v>-3385.530179159558</v>
      </c>
      <c r="AV1263" s="1919">
        <f t="shared" si="1528"/>
        <v>0.23356733810610963</v>
      </c>
      <c r="AW1263" s="1916"/>
      <c r="AX1263" s="1916"/>
      <c r="AY1263" s="1916"/>
      <c r="AZ1263" s="1916"/>
      <c r="BA1263" s="1916"/>
      <c r="BB1263" s="1916"/>
      <c r="BC1263" s="1916"/>
      <c r="BD1263" s="1916"/>
      <c r="BE1263" s="1916"/>
      <c r="BF1263" s="1916"/>
      <c r="BG1263" s="1916"/>
      <c r="BH1263" s="1915"/>
    </row>
    <row r="1264" spans="1:60" ht="15.9" thickBot="1">
      <c r="A1264" s="1"/>
      <c r="B1264" s="1"/>
      <c r="C1264" s="1"/>
      <c r="D1264" s="1924" t="s">
        <v>3622</v>
      </c>
      <c r="E1264" s="1468"/>
      <c r="F1264" s="1468"/>
      <c r="G1264" s="1468"/>
      <c r="H1264" s="1468"/>
      <c r="I1264" s="1468"/>
      <c r="J1264" s="1468"/>
      <c r="K1264" s="1468"/>
      <c r="L1264" s="1468"/>
      <c r="M1264" s="1468"/>
      <c r="N1264" s="1468"/>
      <c r="O1264" s="1468"/>
      <c r="P1264" s="1468"/>
      <c r="Q1264" s="1468"/>
      <c r="R1264" s="1468"/>
      <c r="S1264" s="1468"/>
      <c r="T1264" s="1468"/>
      <c r="U1264" s="1468"/>
      <c r="V1264" s="1469"/>
      <c r="W1264" s="1469"/>
      <c r="X1264" s="1469">
        <f t="shared" ref="X1264:AC1264" si="1539">X1253-(X1146-X1166-X1289-X1294-X1158-X1162-X1204-X1216-X1223-X1230-X1235)</f>
        <v>-236.49369439700016</v>
      </c>
      <c r="Y1264" s="1469">
        <f t="shared" si="1539"/>
        <v>-233.67094087264914</v>
      </c>
      <c r="Z1264" s="1469">
        <f t="shared" si="1539"/>
        <v>-337.83181416237699</v>
      </c>
      <c r="AA1264" s="1469">
        <f t="shared" si="1539"/>
        <v>-394.68490748146792</v>
      </c>
      <c r="AB1264" s="1469">
        <f t="shared" si="1539"/>
        <v>-493.02905067758701</v>
      </c>
      <c r="AC1264" s="1469">
        <f t="shared" si="1539"/>
        <v>-521.19303959190063</v>
      </c>
      <c r="AD1264" s="1469">
        <f>AD1253-AD1146-(-AD1166-AD1289-AD1294-AD1158-AD1162-AD1204-AD1216-AD1223-AD1230-AD1235)</f>
        <v>-546.5607701949117</v>
      </c>
      <c r="AE1264" s="1469">
        <f>AE1253-AE1146-(-AE1166-AE1289-AE1294-AE1158-AE1162-AE1204-AE1216-AE1223-AE1230-AE1235)</f>
        <v>-610.38824869105099</v>
      </c>
      <c r="AF1264" s="1469">
        <f>AF1253-AF1146-(-AF1166-AF1289-AF1294-AF1158-AF1162-AF1204-AF1216-AF1223-AF1230-AF1235)</f>
        <v>-843.50498302090409</v>
      </c>
      <c r="AG1264" s="1469">
        <f>AG1253-AG1146-(-AG1166-AG1289-AG1294-AG1158-AG1162-AG1204-AG1216-AG1223-AG1230-AG1235)</f>
        <v>-1226.6298436226584</v>
      </c>
      <c r="AH1264" s="1469">
        <f>AH1253-AH1146-(-AH1166-AH1289-AH1294-AH1158-AH1162-AH1204-AH1216-AH1223-AH1230-AH1235)</f>
        <v>-1081.1899783204926</v>
      </c>
      <c r="AI1264" s="1469">
        <f t="shared" ref="AI1264:AO1264" si="1540">AI1258+AI1188</f>
        <v>-392.7695947458576</v>
      </c>
      <c r="AJ1264" s="1469">
        <f t="shared" si="1540"/>
        <v>-206.58717167430223</v>
      </c>
      <c r="AK1264" s="1469">
        <f t="shared" si="1540"/>
        <v>-297.68769691946727</v>
      </c>
      <c r="AL1264" s="1469">
        <f t="shared" si="1540"/>
        <v>-141.86650258191025</v>
      </c>
      <c r="AM1264" s="1469">
        <f t="shared" si="1540"/>
        <v>-29.720588240825691</v>
      </c>
      <c r="AN1264" s="1469">
        <f t="shared" si="1540"/>
        <v>295.56668996111489</v>
      </c>
      <c r="AO1264" s="1469">
        <f t="shared" si="1540"/>
        <v>174.48212077964058</v>
      </c>
      <c r="AP1264" s="1469">
        <f>AP1253-AP1146-(-AP1166-AP1289-AP1294-AP1158-AP1162-AP1204-AP1216-AP1223-AP1230-AP1235)</f>
        <v>-1387.14558657974</v>
      </c>
      <c r="AQ1264" s="1469">
        <f>AQ1253-AQ1146-(-AQ1166-AQ1289-AQ1294-AQ1158-AQ1162-AQ1204-AQ1216-AQ1223-AQ1230-AQ1235)</f>
        <v>-1664.6331589877291</v>
      </c>
      <c r="AR1264" s="1469">
        <f>AR1253-AR1146-(-AR1166-AR1289-AR1294-AR1158-AR1162-AR1204-AR1216-AR1223-AR1230-AR1235)</f>
        <v>-1606.1608090137145</v>
      </c>
      <c r="AS1264" s="1469">
        <f>AS1253-AS1146-(-AS1166-AS1289-AS1294-AS1158-AS1162-AS1204-AS1216-AS1223-AS1230-AS1235)</f>
        <v>-2215.2688845809507</v>
      </c>
      <c r="AT1264" s="1469">
        <f>AT1253-AT1146-(-AT1166-AT1289-AT1294-AT1158-AT1162-AT1204-AT1216-AT1223-AT1230-AT1235)</f>
        <v>-2734.9214518493154</v>
      </c>
      <c r="AU1264" s="1469">
        <f t="shared" si="1536"/>
        <v>-3376.4728967429505</v>
      </c>
      <c r="AV1264" s="1469">
        <f t="shared" si="1528"/>
        <v>0.23457764918982482</v>
      </c>
      <c r="AW1264" s="1916"/>
      <c r="AX1264" s="1916"/>
      <c r="AY1264" s="1916"/>
      <c r="AZ1264" s="1916"/>
      <c r="BA1264" s="1916"/>
      <c r="BB1264" s="1916"/>
      <c r="BC1264" s="1916"/>
      <c r="BD1264" s="1916"/>
      <c r="BE1264" s="1916"/>
      <c r="BF1264" s="1916"/>
      <c r="BG1264" s="1916"/>
      <c r="BH1264" s="1915"/>
    </row>
    <row r="1265" spans="1:60" ht="15.9" thickBot="1">
      <c r="A1265" s="1"/>
      <c r="B1265" s="1"/>
      <c r="C1265" s="1"/>
      <c r="D1265" s="1925" t="s">
        <v>3182</v>
      </c>
      <c r="E1265" s="1513"/>
      <c r="F1265" s="1513"/>
      <c r="G1265" s="1513"/>
      <c r="H1265" s="1513"/>
      <c r="I1265" s="1513"/>
      <c r="J1265" s="1513"/>
      <c r="K1265" s="1513"/>
      <c r="L1265" s="1513"/>
      <c r="M1265" s="1513"/>
      <c r="N1265" s="1513"/>
      <c r="O1265" s="1513"/>
      <c r="P1265" s="1513"/>
      <c r="Q1265" s="1513"/>
      <c r="R1265" s="1513"/>
      <c r="S1265" s="1513"/>
      <c r="T1265" s="1513"/>
      <c r="U1265" s="1513"/>
      <c r="V1265" s="1514"/>
      <c r="W1265" s="1514"/>
      <c r="X1265" s="1514"/>
      <c r="Y1265" s="1514"/>
      <c r="Z1265" s="1514"/>
      <c r="AA1265" s="1514"/>
      <c r="AB1265" s="1514"/>
      <c r="AC1265" s="1514"/>
      <c r="AD1265" s="1514">
        <f>AD1245-(-AD1202-AD1236-AD1307)</f>
        <v>-516.51418707064704</v>
      </c>
      <c r="AE1265" s="1514">
        <f t="shared" ref="AE1265:AT1265" si="1541">AE1253-(-AE1202-AE1236-AE1307)</f>
        <v>-834.78689066237223</v>
      </c>
      <c r="AF1265" s="1514">
        <f t="shared" si="1541"/>
        <v>-885.68601820152651</v>
      </c>
      <c r="AG1265" s="1514">
        <f t="shared" si="1541"/>
        <v>-977.99404956241415</v>
      </c>
      <c r="AH1265" s="1514">
        <f t="shared" si="1541"/>
        <v>-1095.3198197504928</v>
      </c>
      <c r="AI1265" s="1514">
        <f t="shared" si="1541"/>
        <v>-1226.3721623788326</v>
      </c>
      <c r="AJ1265" s="1514">
        <f t="shared" si="1541"/>
        <v>-1169.3770560299677</v>
      </c>
      <c r="AK1265" s="1514">
        <f t="shared" si="1541"/>
        <v>-1448.9645038884923</v>
      </c>
      <c r="AL1265" s="1514">
        <f t="shared" si="1541"/>
        <v>-1472.2506029044816</v>
      </c>
      <c r="AM1265" s="1514">
        <f t="shared" si="1541"/>
        <v>-1436.1267564640577</v>
      </c>
      <c r="AN1265" s="1514">
        <f t="shared" si="1541"/>
        <v>-1082.7689800624469</v>
      </c>
      <c r="AO1265" s="1514">
        <f t="shared" si="1541"/>
        <v>-1237.1227562366666</v>
      </c>
      <c r="AP1265" s="1514">
        <f t="shared" si="1541"/>
        <v>-1375.38287974474</v>
      </c>
      <c r="AQ1265" s="1514">
        <f t="shared" si="1541"/>
        <v>-1648.0404521527294</v>
      </c>
      <c r="AR1265" s="1514">
        <f t="shared" si="1541"/>
        <v>-1615.7431021787145</v>
      </c>
      <c r="AS1265" s="1514">
        <f t="shared" si="1541"/>
        <v>-2224.8511777459507</v>
      </c>
      <c r="AT1265" s="1514">
        <f t="shared" si="1541"/>
        <v>-2744.5037450143154</v>
      </c>
      <c r="AU1265" s="1514">
        <f t="shared" si="1536"/>
        <v>-3385.530179159558</v>
      </c>
      <c r="AV1265" s="1514">
        <f t="shared" si="1528"/>
        <v>0.23356733810610963</v>
      </c>
      <c r="AW1265" s="1916"/>
      <c r="AX1265" s="1916"/>
      <c r="AY1265" s="1916"/>
      <c r="AZ1265" s="1916"/>
      <c r="BA1265" s="1916"/>
      <c r="BB1265" s="1916"/>
      <c r="BC1265" s="1916"/>
      <c r="BD1265" s="1916"/>
      <c r="BE1265" s="1916"/>
      <c r="BF1265" s="1916"/>
      <c r="BG1265" s="1916"/>
      <c r="BH1265" s="1915"/>
    </row>
    <row r="1266" spans="1:60">
      <c r="A1266" s="1"/>
      <c r="B1266" s="1"/>
      <c r="C1266" s="1"/>
      <c r="D1266" s="608"/>
      <c r="E1266" s="608"/>
      <c r="F1266" s="608"/>
      <c r="G1266" s="608"/>
      <c r="H1266" s="608"/>
      <c r="I1266" s="608"/>
      <c r="J1266" s="608"/>
      <c r="K1266" s="608"/>
      <c r="L1266" s="608"/>
      <c r="M1266" s="608"/>
      <c r="N1266" s="608"/>
      <c r="O1266" s="608"/>
      <c r="P1266" s="608"/>
      <c r="Q1266" s="608"/>
      <c r="R1266" s="608"/>
      <c r="S1266" s="608"/>
      <c r="T1266" s="608"/>
      <c r="U1266" s="548"/>
      <c r="V1266" s="548"/>
      <c r="W1266" s="548"/>
      <c r="X1266" s="1437"/>
      <c r="Y1266" s="1437"/>
      <c r="Z1266" s="1437"/>
      <c r="AA1266" s="548"/>
      <c r="AB1266" s="548"/>
      <c r="AC1266" s="548"/>
      <c r="AD1266" s="548"/>
      <c r="AE1266" s="548"/>
      <c r="AF1266" s="548"/>
      <c r="AG1266" s="548"/>
      <c r="AH1266" s="548"/>
      <c r="AI1266" s="548"/>
      <c r="AJ1266" s="548"/>
      <c r="AK1266" s="548"/>
      <c r="AL1266" s="548"/>
      <c r="AM1266" s="548"/>
      <c r="AN1266" s="548"/>
      <c r="AO1266" s="548"/>
      <c r="AP1266" s="548"/>
      <c r="AQ1266" s="548"/>
      <c r="AR1266" s="548"/>
      <c r="AS1266" s="548"/>
      <c r="AT1266" s="548"/>
      <c r="AU1266" s="548"/>
      <c r="AV1266" s="548" t="e">
        <f t="shared" si="1528"/>
        <v>#DIV/0!</v>
      </c>
      <c r="AW1266" s="1916"/>
      <c r="AX1266" s="1916"/>
      <c r="AY1266" s="1916"/>
      <c r="AZ1266" s="1916"/>
      <c r="BA1266" s="1916"/>
      <c r="BB1266" s="1916"/>
      <c r="BC1266" s="1916"/>
      <c r="BD1266" s="1916"/>
      <c r="BE1266" s="1916"/>
      <c r="BF1266" s="1916"/>
      <c r="BG1266" s="1916"/>
      <c r="BH1266" s="1915"/>
    </row>
    <row r="1267" spans="1:60">
      <c r="A1267" s="1"/>
      <c r="B1267" s="1"/>
      <c r="C1267" s="1"/>
      <c r="D1267" s="362" t="str">
        <f>+FISCinyear!D946</f>
        <v>check</v>
      </c>
      <c r="E1267" s="323"/>
      <c r="F1267" s="323"/>
      <c r="G1267" s="323"/>
      <c r="H1267" s="323"/>
      <c r="I1267" s="323"/>
      <c r="J1267" s="323"/>
      <c r="K1267" s="323"/>
      <c r="L1267" s="323"/>
      <c r="M1267" s="323"/>
      <c r="N1267" s="323"/>
      <c r="O1267" s="323"/>
      <c r="P1267" s="323"/>
      <c r="Q1267" s="323"/>
      <c r="R1267" s="323"/>
      <c r="S1267" s="323"/>
      <c r="T1267" s="323"/>
      <c r="U1267" s="323"/>
      <c r="V1267" s="105"/>
      <c r="W1267" s="105"/>
      <c r="X1267" s="105"/>
      <c r="Y1267" s="676"/>
      <c r="Z1267" s="676"/>
      <c r="AA1267" s="676"/>
      <c r="AB1267" s="676"/>
      <c r="AC1267" s="676"/>
      <c r="AD1267" s="676"/>
      <c r="AE1267" s="676"/>
      <c r="AF1267" s="676"/>
      <c r="AG1267" s="676"/>
      <c r="AH1267" s="676"/>
      <c r="AI1267" s="676"/>
      <c r="AJ1267" s="676"/>
      <c r="AK1267" s="323"/>
      <c r="AL1267" s="323"/>
      <c r="AM1267" s="323"/>
      <c r="AN1267" s="323"/>
      <c r="AO1267" s="323"/>
      <c r="AP1267" s="323"/>
      <c r="AQ1267" s="323"/>
      <c r="AR1267" s="323"/>
      <c r="AS1267" s="323"/>
      <c r="AT1267" s="323"/>
      <c r="AU1267" s="323"/>
      <c r="AV1267" s="323" t="e">
        <f t="shared" si="1528"/>
        <v>#DIV/0!</v>
      </c>
      <c r="AW1267" s="1916"/>
      <c r="AX1267" s="1916"/>
      <c r="AY1267" s="1916"/>
      <c r="AZ1267" s="1916"/>
      <c r="BA1267" s="1916"/>
      <c r="BB1267" s="1916"/>
      <c r="BC1267" s="1916"/>
      <c r="BD1267" s="1916"/>
      <c r="BE1267" s="1916"/>
      <c r="BF1267" s="1916"/>
      <c r="BG1267" s="1916"/>
      <c r="BH1267" s="1915"/>
    </row>
    <row r="1268" spans="1:60">
      <c r="A1268" s="1"/>
      <c r="B1268" s="1"/>
      <c r="C1268" s="1"/>
      <c r="D1268" s="356" t="str">
        <f>+FISCinyear!D947</f>
        <v>Net acquisition of financial assets</v>
      </c>
      <c r="E1268" s="323"/>
      <c r="F1268" s="323"/>
      <c r="G1268" s="323"/>
      <c r="H1268" s="323"/>
      <c r="I1268" s="323"/>
      <c r="J1268" s="323"/>
      <c r="K1268" s="323"/>
      <c r="L1268" s="323"/>
      <c r="M1268" s="323"/>
      <c r="N1268" s="323"/>
      <c r="O1268" s="323"/>
      <c r="P1268" s="323"/>
      <c r="Q1268" s="323"/>
      <c r="R1268" s="323"/>
      <c r="S1268" s="323"/>
      <c r="T1268" s="323"/>
      <c r="U1268" s="323"/>
      <c r="V1268" s="376"/>
      <c r="W1268" s="1404">
        <f>+W1269+W1311</f>
        <v>3.0000000000000155</v>
      </c>
      <c r="X1268" s="1404">
        <f>+X1269+X1311</f>
        <v>1.5000000000000426</v>
      </c>
      <c r="Y1268" s="1405">
        <f>FISCinyear!ID947</f>
        <v>-65.311885181128815</v>
      </c>
      <c r="Z1268" s="1405">
        <f>FISCinyear!IG947</f>
        <v>18.294475781874169</v>
      </c>
      <c r="AA1268" s="1405">
        <f>FISCinyear!IJ947</f>
        <v>79.505125520296957</v>
      </c>
      <c r="AB1268" s="1405">
        <f>FISCinyear!IM947</f>
        <v>29.2430868019039</v>
      </c>
      <c r="AC1268" s="1405">
        <f>FISCinyear!IP947</f>
        <v>105.19655330578702</v>
      </c>
      <c r="AD1268" s="1405">
        <f>FISCinyear!IS947</f>
        <v>68.604597171861514</v>
      </c>
      <c r="AE1268" s="1405">
        <f>FISCinyear!IV947</f>
        <v>411.1900219036346</v>
      </c>
      <c r="AF1268" s="1405">
        <f>FISCinyear!IY947</f>
        <v>152.82744260995864</v>
      </c>
      <c r="AG1268" s="1405">
        <f>FISCinyear!JB947</f>
        <v>519.48844970961886</v>
      </c>
      <c r="AH1268" s="1405">
        <f>FISCinyear!JE947</f>
        <v>-4.5231374883770883</v>
      </c>
      <c r="AI1268" s="1405">
        <f>FISCinyear!JH947</f>
        <v>98.808502031925599</v>
      </c>
      <c r="AJ1268" s="1405">
        <f>FISCinyear!JK947</f>
        <v>364.85020418292038</v>
      </c>
      <c r="AK1268" s="1404">
        <f t="shared" ref="AK1268:AT1268" si="1542">+AK1269+AK1311</f>
        <v>723.66845986924022</v>
      </c>
      <c r="AL1268" s="1404">
        <f t="shared" si="1542"/>
        <v>647.50020969226932</v>
      </c>
      <c r="AM1268" s="1404">
        <f t="shared" si="1542"/>
        <v>535.34182764827369</v>
      </c>
      <c r="AN1268" s="1404">
        <f t="shared" si="1542"/>
        <v>198.25828257972222</v>
      </c>
      <c r="AO1268" s="1404">
        <f t="shared" si="1542"/>
        <v>189.47605565346089</v>
      </c>
      <c r="AP1268" s="1404">
        <f t="shared" si="1542"/>
        <v>183.48452424549382</v>
      </c>
      <c r="AQ1268" s="1404">
        <f t="shared" si="1542"/>
        <v>200.22389893847799</v>
      </c>
      <c r="AR1268" s="1404">
        <f t="shared" si="1542"/>
        <v>217.83683294158627</v>
      </c>
      <c r="AS1268" s="1404">
        <f t="shared" si="1542"/>
        <v>237.84708839570771</v>
      </c>
      <c r="AT1268" s="1404">
        <f t="shared" si="1542"/>
        <v>292.37416747071239</v>
      </c>
      <c r="AU1268" s="1404">
        <f t="shared" si="1536"/>
        <v>359.40172478367333</v>
      </c>
      <c r="AV1268" s="1404">
        <f t="shared" si="1528"/>
        <v>0.22925266583161874</v>
      </c>
      <c r="AW1268" s="1916"/>
      <c r="AX1268" s="1916"/>
      <c r="AY1268" s="1916"/>
      <c r="AZ1268" s="1916"/>
      <c r="BA1268" s="1916"/>
      <c r="BB1268" s="1916"/>
      <c r="BC1268" s="1916"/>
      <c r="BD1268" s="1916"/>
      <c r="BE1268" s="1916"/>
      <c r="BF1268" s="1916"/>
      <c r="BG1268" s="1916"/>
      <c r="BH1268" s="1915"/>
    </row>
    <row r="1269" spans="1:60">
      <c r="A1269" s="1"/>
      <c r="B1269" s="1"/>
      <c r="C1269" s="1"/>
      <c r="D1269" s="358" t="str">
        <f>+FISCinyear!D948</f>
        <v xml:space="preserve">Domestic </v>
      </c>
      <c r="E1269" s="323"/>
      <c r="F1269" s="323"/>
      <c r="G1269" s="323"/>
      <c r="H1269" s="323"/>
      <c r="I1269" s="323"/>
      <c r="J1269" s="323"/>
      <c r="K1269" s="323"/>
      <c r="L1269" s="323"/>
      <c r="M1269" s="323"/>
      <c r="N1269" s="323"/>
      <c r="O1269" s="323"/>
      <c r="P1269" s="323"/>
      <c r="Q1269" s="323"/>
      <c r="R1269" s="323"/>
      <c r="S1269" s="323"/>
      <c r="T1269" s="323"/>
      <c r="U1269" s="323"/>
      <c r="V1269" s="376"/>
      <c r="W1269" s="1404">
        <f>+W1271+W1287+W1288</f>
        <v>3.0000000000000155</v>
      </c>
      <c r="X1269" s="1404">
        <f>+X1271+X1287+X1288</f>
        <v>1.5000000000000426</v>
      </c>
      <c r="Y1269" s="1405">
        <f>FISCinyear!ID948</f>
        <v>-65.311885181128815</v>
      </c>
      <c r="Z1269" s="1405">
        <f>FISCinyear!IG948</f>
        <v>18.294475781874169</v>
      </c>
      <c r="AA1269" s="1405">
        <f>FISCinyear!IJ948</f>
        <v>79.505125520296957</v>
      </c>
      <c r="AB1269" s="1405">
        <f>FISCinyear!IM948</f>
        <v>29.2430868019039</v>
      </c>
      <c r="AC1269" s="1405">
        <f>FISCinyear!IP948</f>
        <v>105.19655330578702</v>
      </c>
      <c r="AD1269" s="1405">
        <f>FISCinyear!IS948</f>
        <v>68.604597171861514</v>
      </c>
      <c r="AE1269" s="1405">
        <f>FISCinyear!IV948</f>
        <v>411.1900219036346</v>
      </c>
      <c r="AF1269" s="1404">
        <f>AF1271+AF1288+AF1300+AF1311+AF1309+AF1310+AF1308</f>
        <v>152.82744260995864</v>
      </c>
      <c r="AG1269" s="1404">
        <f>FISCinyear!JB948</f>
        <v>365.64008623461882</v>
      </c>
      <c r="AH1269" s="1404">
        <f>FISCinyear!JE948</f>
        <v>63.591187285642917</v>
      </c>
      <c r="AI1269" s="1404">
        <f>FISCinyear!JH948</f>
        <v>98.808502031925599</v>
      </c>
      <c r="AJ1269" s="1404">
        <f>FISCinyear!JK948</f>
        <v>364.85020418292038</v>
      </c>
      <c r="AK1269" s="1404">
        <f t="shared" ref="AK1269:AT1269" si="1543">AK1271+AK1288+AK1300+AK1309+AK1310+AK1308</f>
        <v>723.66845986924022</v>
      </c>
      <c r="AL1269" s="1404">
        <f t="shared" si="1543"/>
        <v>647.50020969226932</v>
      </c>
      <c r="AM1269" s="1404">
        <f t="shared" si="1543"/>
        <v>535.34182764827369</v>
      </c>
      <c r="AN1269" s="1404">
        <f t="shared" si="1543"/>
        <v>198.25828257972222</v>
      </c>
      <c r="AO1269" s="1404">
        <f t="shared" si="1543"/>
        <v>189.47605565346089</v>
      </c>
      <c r="AP1269" s="1404">
        <f t="shared" si="1543"/>
        <v>183.48452424549382</v>
      </c>
      <c r="AQ1269" s="1404">
        <f t="shared" si="1543"/>
        <v>200.22389893847799</v>
      </c>
      <c r="AR1269" s="1404">
        <f t="shared" si="1543"/>
        <v>217.83683294158627</v>
      </c>
      <c r="AS1269" s="1404">
        <f t="shared" si="1543"/>
        <v>237.84708839570771</v>
      </c>
      <c r="AT1269" s="1404">
        <f t="shared" si="1543"/>
        <v>292.37416747071239</v>
      </c>
      <c r="AU1269" s="1404">
        <f t="shared" si="1536"/>
        <v>359.40172478367333</v>
      </c>
      <c r="AV1269" s="1404">
        <f t="shared" si="1528"/>
        <v>0.22925266583161874</v>
      </c>
      <c r="AW1269" s="1916"/>
      <c r="AX1269" s="1916"/>
      <c r="AY1269" s="1916"/>
      <c r="AZ1269" s="1916"/>
      <c r="BA1269" s="1916"/>
      <c r="BB1269" s="1916"/>
      <c r="BC1269" s="1916"/>
      <c r="BD1269" s="1916"/>
      <c r="BE1269" s="1916"/>
      <c r="BF1269" s="1916"/>
      <c r="BG1269" s="1916"/>
      <c r="BH1269" s="1915"/>
    </row>
    <row r="1270" spans="1:60">
      <c r="A1270" s="1"/>
      <c r="B1270" s="1"/>
      <c r="C1270" s="1"/>
      <c r="D1270" s="1560" t="s">
        <v>3217</v>
      </c>
      <c r="E1270" s="323"/>
      <c r="F1270" s="323"/>
      <c r="G1270" s="323"/>
      <c r="H1270" s="323"/>
      <c r="I1270" s="323"/>
      <c r="J1270" s="323"/>
      <c r="K1270" s="323"/>
      <c r="L1270" s="323"/>
      <c r="M1270" s="323"/>
      <c r="N1270" s="323"/>
      <c r="O1270" s="323"/>
      <c r="P1270" s="323"/>
      <c r="Q1270" s="323"/>
      <c r="R1270" s="323"/>
      <c r="S1270" s="323"/>
      <c r="T1270" s="323"/>
      <c r="U1270" s="323"/>
      <c r="V1270" s="376"/>
      <c r="W1270" s="1404"/>
      <c r="X1270" s="1404"/>
      <c r="Y1270" s="1405"/>
      <c r="Z1270" s="1405"/>
      <c r="AA1270" s="1405"/>
      <c r="AB1270" s="1405"/>
      <c r="AC1270" s="1405"/>
      <c r="AD1270" s="1405"/>
      <c r="AE1270" s="1405"/>
      <c r="AF1270" s="1408"/>
      <c r="AG1270" s="1408">
        <f>FISCinyear!JB949</f>
        <v>0</v>
      </c>
      <c r="AH1270" s="1408">
        <f>FISCinyear!JE949</f>
        <v>0</v>
      </c>
      <c r="AI1270" s="1408">
        <f>FISCinyear!JH949</f>
        <v>0</v>
      </c>
      <c r="AJ1270" s="1408">
        <f>FISCinyear!JK949</f>
        <v>0</v>
      </c>
      <c r="AK1270" s="1408">
        <v>0</v>
      </c>
      <c r="AL1270" s="1408">
        <v>0</v>
      </c>
      <c r="AM1270" s="1408">
        <v>0</v>
      </c>
      <c r="AN1270" s="1408">
        <v>0</v>
      </c>
      <c r="AO1270" s="1408">
        <v>0</v>
      </c>
      <c r="AP1270" s="1408">
        <v>0</v>
      </c>
      <c r="AQ1270" s="1408">
        <v>0</v>
      </c>
      <c r="AR1270" s="1408">
        <v>0</v>
      </c>
      <c r="AS1270" s="1408">
        <v>0</v>
      </c>
      <c r="AT1270" s="1408">
        <v>0</v>
      </c>
      <c r="AU1270" s="1408">
        <v>0</v>
      </c>
      <c r="AV1270" s="1408" t="e">
        <f t="shared" si="1528"/>
        <v>#DIV/0!</v>
      </c>
      <c r="AW1270" s="1916"/>
      <c r="AX1270" s="1916"/>
      <c r="AY1270" s="1916"/>
      <c r="AZ1270" s="1916"/>
      <c r="BA1270" s="1916"/>
      <c r="BB1270" s="1916"/>
      <c r="BC1270" s="1916"/>
      <c r="BD1270" s="1916"/>
      <c r="BE1270" s="1916"/>
      <c r="BF1270" s="1916"/>
      <c r="BG1270" s="1916"/>
      <c r="BH1270" s="1915"/>
    </row>
    <row r="1271" spans="1:60">
      <c r="A1271" s="1"/>
      <c r="B1271" s="1"/>
      <c r="C1271" s="1" t="s">
        <v>3233</v>
      </c>
      <c r="D1271" s="359" t="str">
        <f>+FISCinyear!D950</f>
        <v xml:space="preserve">Currency and deposits </v>
      </c>
      <c r="E1271" s="1" t="s">
        <v>618</v>
      </c>
      <c r="F1271" s="323"/>
      <c r="G1271" s="323"/>
      <c r="H1271" s="323"/>
      <c r="I1271" s="323"/>
      <c r="J1271" s="323"/>
      <c r="K1271" s="323"/>
      <c r="L1271" s="323"/>
      <c r="M1271" s="323"/>
      <c r="N1271" s="323"/>
      <c r="O1271" s="323"/>
      <c r="P1271" s="323"/>
      <c r="Q1271" s="323"/>
      <c r="R1271" s="323"/>
      <c r="S1271" s="323"/>
      <c r="T1271" s="323"/>
      <c r="U1271" s="323"/>
      <c r="V1271" s="105" t="str">
        <f>V409</f>
        <v>Mon Survey</v>
      </c>
      <c r="W1271" s="1407">
        <f>W409</f>
        <v>4.1000000000000156</v>
      </c>
      <c r="X1271" s="1407">
        <f>X409</f>
        <v>111.70000000000006</v>
      </c>
      <c r="Y1271" s="1408">
        <f>FISCinyear!ID950</f>
        <v>-91.333694621128842</v>
      </c>
      <c r="Z1271" s="1408">
        <f>FISCinyear!IG950</f>
        <v>-45.386626808125826</v>
      </c>
      <c r="AA1271" s="1408">
        <f>FISCinyear!IJ950</f>
        <v>29.156403848296947</v>
      </c>
      <c r="AB1271" s="1408">
        <f>FISCinyear!IM950</f>
        <v>2.8049531919039055</v>
      </c>
      <c r="AC1271" s="1408">
        <f>FISCinyear!IP950</f>
        <v>48.186332582787003</v>
      </c>
      <c r="AD1271" s="1408">
        <f>FISCinyear!IS950</f>
        <v>38.635839439861542</v>
      </c>
      <c r="AE1271" s="1408">
        <f>FISCinyear!IV950</f>
        <v>307.54245797163463</v>
      </c>
      <c r="AF1271" s="1408">
        <f>FISCinyear!IY950</f>
        <v>43.164021002958634</v>
      </c>
      <c r="AG1271" s="1408">
        <f>FISCinyear!JB950</f>
        <v>208.70955126761885</v>
      </c>
      <c r="AH1271" s="1408">
        <f>FISCinyear!JE950</f>
        <v>-77.843979342327088</v>
      </c>
      <c r="AI1271" s="1408">
        <f>FISCinyear!JH950</f>
        <v>-12.597342287074412</v>
      </c>
      <c r="AJ1271" s="1408">
        <f>FISCinyear!JK950</f>
        <v>200.89352965501428</v>
      </c>
      <c r="AK1271" s="1572">
        <f>AK421*0.00522646475646496</f>
        <v>132.16000809487002</v>
      </c>
      <c r="AL1271" s="1572">
        <f>AL421*0.005</f>
        <v>144.24685369275628</v>
      </c>
      <c r="AM1271" s="1572">
        <f>AM421*0.004</f>
        <v>129.98773308783692</v>
      </c>
      <c r="AN1271" s="1572">
        <f>AN421*0.0035</f>
        <v>128.32685628077587</v>
      </c>
      <c r="AO1271" s="1572">
        <f t="shared" ref="AO1271:AT1271" si="1544">AO421*0.003</f>
        <v>123.72341754362701</v>
      </c>
      <c r="AP1271" s="1572">
        <f t="shared" si="1544"/>
        <v>137.92038704985382</v>
      </c>
      <c r="AQ1271" s="1572">
        <f t="shared" si="1544"/>
        <v>154.65976174283799</v>
      </c>
      <c r="AR1271" s="1572">
        <f t="shared" si="1544"/>
        <v>172.27269574594627</v>
      </c>
      <c r="AS1271" s="1572">
        <f t="shared" si="1544"/>
        <v>192.28295120006771</v>
      </c>
      <c r="AT1271" s="1572">
        <f t="shared" si="1544"/>
        <v>246.81003027507239</v>
      </c>
      <c r="AU1271" s="1572">
        <f t="shared" si="1536"/>
        <v>316.79975090979724</v>
      </c>
      <c r="AV1271" s="1572">
        <f t="shared" si="1528"/>
        <v>0.28357729447510938</v>
      </c>
      <c r="AW1271" s="1916"/>
      <c r="AX1271" s="1916"/>
      <c r="AY1271" s="1916"/>
      <c r="AZ1271" s="1916"/>
      <c r="BA1271" s="1916"/>
      <c r="BB1271" s="1916"/>
      <c r="BC1271" s="1916"/>
      <c r="BD1271" s="1916"/>
      <c r="BE1271" s="1916"/>
      <c r="BF1271" s="1916"/>
      <c r="BG1271" s="1916"/>
      <c r="BH1271" s="1915"/>
    </row>
    <row r="1272" spans="1:60">
      <c r="A1272" s="1"/>
      <c r="B1272" s="1"/>
      <c r="C1272" s="1"/>
      <c r="D1272" s="1455" t="s">
        <v>3160</v>
      </c>
      <c r="E1272" s="148"/>
      <c r="F1272" s="323"/>
      <c r="G1272" s="323"/>
      <c r="H1272" s="323"/>
      <c r="I1272" s="323"/>
      <c r="J1272" s="323"/>
      <c r="K1272" s="323"/>
      <c r="L1272" s="323"/>
      <c r="M1272" s="323"/>
      <c r="N1272" s="323"/>
      <c r="O1272" s="323"/>
      <c r="P1272" s="323"/>
      <c r="Q1272" s="323"/>
      <c r="R1272" s="323"/>
      <c r="S1272" s="323"/>
      <c r="T1272" s="323"/>
      <c r="U1272" s="323"/>
      <c r="V1272" s="105"/>
      <c r="W1272" s="1407"/>
      <c r="X1272" s="1407"/>
      <c r="Y1272" s="1408"/>
      <c r="Z1272" s="1408"/>
      <c r="AA1272" s="1408"/>
      <c r="AB1272" s="1408"/>
      <c r="AC1272" s="1408"/>
      <c r="AD1272" s="1408"/>
      <c r="AE1272" s="1408"/>
      <c r="AF1272" s="1408">
        <f>FISCinyear!IY951</f>
        <v>0</v>
      </c>
      <c r="AG1272" s="1408">
        <f>FISCinyear!JB951</f>
        <v>0</v>
      </c>
      <c r="AH1272" s="1408">
        <f>FISCinyear!JE951</f>
        <v>0</v>
      </c>
      <c r="AI1272" s="1408">
        <f>FISCinyear!JH951</f>
        <v>0</v>
      </c>
      <c r="AJ1272" s="1408">
        <f>FISCinyear!JK951</f>
        <v>0</v>
      </c>
      <c r="AK1272" s="1408">
        <f>FISCinyear!JD951</f>
        <v>0</v>
      </c>
      <c r="AL1272" s="1408">
        <f>FISCinyear!JE951</f>
        <v>0</v>
      </c>
      <c r="AM1272" s="1408">
        <f>FISCinyear!JF951</f>
        <v>0</v>
      </c>
      <c r="AN1272" s="1408">
        <f>FISCinyear!JG951</f>
        <v>0</v>
      </c>
      <c r="AO1272" s="1408">
        <f>FISCinyear!JH951</f>
        <v>0</v>
      </c>
      <c r="AP1272" s="1408">
        <f>FISCinyear!JI951</f>
        <v>0</v>
      </c>
      <c r="AQ1272" s="1408">
        <f>FISCinyear!JJ951</f>
        <v>0</v>
      </c>
      <c r="AR1272" s="1408">
        <f>FISCinyear!JK951</f>
        <v>0</v>
      </c>
      <c r="AS1272" s="1408">
        <f>FISCinyear!JL951</f>
        <v>0</v>
      </c>
      <c r="AT1272" s="1408">
        <f>FISCinyear!JM951</f>
        <v>0</v>
      </c>
      <c r="AU1272" s="1408">
        <f>FISCinyear!JN951</f>
        <v>0</v>
      </c>
      <c r="AV1272" s="1408" t="e">
        <f t="shared" si="1528"/>
        <v>#DIV/0!</v>
      </c>
      <c r="AW1272" s="1916"/>
      <c r="AX1272" s="1916"/>
      <c r="AY1272" s="1916"/>
      <c r="AZ1272" s="1916"/>
      <c r="BA1272" s="1916"/>
      <c r="BB1272" s="1916"/>
      <c r="BC1272" s="1916"/>
      <c r="BD1272" s="1916"/>
      <c r="BE1272" s="1916"/>
      <c r="BF1272" s="1916"/>
      <c r="BG1272" s="1916"/>
      <c r="BH1272" s="1915"/>
    </row>
    <row r="1273" spans="1:60">
      <c r="A1273" s="1"/>
      <c r="B1273" s="1"/>
      <c r="C1273" s="1"/>
      <c r="D1273" s="1438" t="str">
        <f>+FISCinyear!D952</f>
        <v>of which infrastructure levy accumulation</v>
      </c>
      <c r="E1273" s="148"/>
      <c r="F1273" s="323"/>
      <c r="G1273" s="323"/>
      <c r="H1273" s="323"/>
      <c r="I1273" s="323"/>
      <c r="J1273" s="323"/>
      <c r="K1273" s="323"/>
      <c r="L1273" s="323"/>
      <c r="M1273" s="323"/>
      <c r="N1273" s="323"/>
      <c r="O1273" s="323"/>
      <c r="P1273" s="323"/>
      <c r="Q1273" s="323"/>
      <c r="R1273" s="323"/>
      <c r="S1273" s="323"/>
      <c r="T1273" s="323"/>
      <c r="U1273" s="323"/>
      <c r="V1273" s="105">
        <f>-V912</f>
        <v>0</v>
      </c>
      <c r="W1273" s="1407">
        <f>-W912</f>
        <v>0</v>
      </c>
      <c r="X1273" s="1407">
        <f>-X912</f>
        <v>0</v>
      </c>
      <c r="Y1273" s="1408">
        <f>FISCinyear!ID952</f>
        <v>0</v>
      </c>
      <c r="Z1273" s="1408">
        <f>FISCinyear!IG952</f>
        <v>0</v>
      </c>
      <c r="AA1273" s="1408">
        <f>FISCinyear!IJ952</f>
        <v>0</v>
      </c>
      <c r="AB1273" s="1408">
        <f>FISCinyear!IM952</f>
        <v>0</v>
      </c>
      <c r="AC1273" s="1408">
        <f>FISCinyear!IP952</f>
        <v>0</v>
      </c>
      <c r="AD1273" s="1408">
        <f>FISCinyear!IS952</f>
        <v>0</v>
      </c>
      <c r="AE1273" s="1408">
        <f>FISCinyear!IV952</f>
        <v>0</v>
      </c>
      <c r="AF1273" s="1408">
        <f>FISCinyear!IY952</f>
        <v>7.2977012000000006</v>
      </c>
      <c r="AG1273" s="1408">
        <f>FISCinyear!JB952</f>
        <v>0</v>
      </c>
      <c r="AH1273" s="1408">
        <f>FISCinyear!JE952</f>
        <v>24.438329283999998</v>
      </c>
      <c r="AI1273" s="1408">
        <f>FISCinyear!JH952</f>
        <v>29.189431051</v>
      </c>
      <c r="AJ1273" s="1408">
        <f>FISCinyear!JK952</f>
        <v>32.951782706000003</v>
      </c>
      <c r="AK1273" s="1408">
        <f t="shared" ref="AK1273:AM1273" si="1545">AK1274+AK1275</f>
        <v>33.077344602047049</v>
      </c>
      <c r="AL1273" s="1408">
        <f t="shared" si="1545"/>
        <v>39.631627322603606</v>
      </c>
      <c r="AM1273" s="1408">
        <f t="shared" si="1545"/>
        <v>47.131254741065213</v>
      </c>
      <c r="AN1273" s="1408">
        <f t="shared" ref="AN1273:AO1273" si="1546">AN1274+AN1275</f>
        <v>44.881441031834413</v>
      </c>
      <c r="AO1273" s="1408">
        <f t="shared" si="1546"/>
        <v>47.506347886449817</v>
      </c>
      <c r="AP1273" s="1408">
        <f t="shared" ref="AP1273:AT1273" si="1547">AP1274+AP1275</f>
        <v>48.506347886449817</v>
      </c>
      <c r="AQ1273" s="1408">
        <f t="shared" si="1547"/>
        <v>49.506347886449817</v>
      </c>
      <c r="AR1273" s="1408">
        <f t="shared" si="1547"/>
        <v>50.506347886449817</v>
      </c>
      <c r="AS1273" s="1408">
        <f t="shared" si="1547"/>
        <v>51.506347886449817</v>
      </c>
      <c r="AT1273" s="1408">
        <f t="shared" si="1547"/>
        <v>52.506347886449817</v>
      </c>
      <c r="AU1273" s="1408">
        <f t="shared" si="1536"/>
        <v>53.525762969076226</v>
      </c>
      <c r="AV1273" s="1408">
        <f t="shared" si="1528"/>
        <v>1.941508262640923E-2</v>
      </c>
      <c r="AW1273" s="1916"/>
      <c r="AX1273" s="1916"/>
      <c r="AY1273" s="1916"/>
      <c r="AZ1273" s="1916"/>
      <c r="BA1273" s="1916"/>
      <c r="BB1273" s="1916"/>
      <c r="BC1273" s="1916"/>
      <c r="BD1273" s="1916"/>
      <c r="BE1273" s="1916"/>
      <c r="BF1273" s="1916"/>
      <c r="BG1273" s="1916"/>
      <c r="BH1273" s="1915"/>
    </row>
    <row r="1274" spans="1:60">
      <c r="A1274" s="1"/>
      <c r="B1274" s="1"/>
      <c r="C1274" s="1"/>
      <c r="D1274" s="363" t="s">
        <v>3147</v>
      </c>
      <c r="E1274" s="148"/>
      <c r="F1274" s="323"/>
      <c r="G1274" s="323"/>
      <c r="H1274" s="323"/>
      <c r="I1274" s="323"/>
      <c r="J1274" s="323"/>
      <c r="K1274" s="323"/>
      <c r="L1274" s="323"/>
      <c r="M1274" s="323"/>
      <c r="N1274" s="323"/>
      <c r="O1274" s="323"/>
      <c r="P1274" s="323"/>
      <c r="Q1274" s="323"/>
      <c r="R1274" s="323"/>
      <c r="S1274" s="323"/>
      <c r="T1274" s="323"/>
      <c r="U1274" s="323"/>
      <c r="V1274" s="105"/>
      <c r="W1274" s="1407"/>
      <c r="X1274" s="1407"/>
      <c r="Y1274" s="1408"/>
      <c r="Z1274" s="1408"/>
      <c r="AA1274" s="1408"/>
      <c r="AB1274" s="1408"/>
      <c r="AC1274" s="1408"/>
      <c r="AD1274" s="1408"/>
      <c r="AE1274" s="1408"/>
      <c r="AF1274" s="1408">
        <f>FISCinyear!IY953</f>
        <v>7.2977012000000006</v>
      </c>
      <c r="AG1274" s="1408">
        <f>FISCinyear!JB953</f>
        <v>18.044360304000001</v>
      </c>
      <c r="AH1274" s="1408">
        <f>FISCinyear!JE953</f>
        <v>24.438329283999998</v>
      </c>
      <c r="AI1274" s="1408">
        <f>FISCinyear!JH953</f>
        <v>29.189431051</v>
      </c>
      <c r="AJ1274" s="1408">
        <f>FISCinyear!JK953</f>
        <v>32.951782706000003</v>
      </c>
      <c r="AK1274" s="1408">
        <f t="shared" ref="AK1274:AT1274" si="1548">AK1101</f>
        <v>33.077344602047049</v>
      </c>
      <c r="AL1274" s="1408">
        <f t="shared" si="1548"/>
        <v>38.631627322603606</v>
      </c>
      <c r="AM1274" s="1408">
        <f t="shared" si="1548"/>
        <v>45.131254741065213</v>
      </c>
      <c r="AN1274" s="1408">
        <f t="shared" si="1548"/>
        <v>41.881441031834413</v>
      </c>
      <c r="AO1274" s="1408">
        <f t="shared" si="1548"/>
        <v>43.506347886449817</v>
      </c>
      <c r="AP1274" s="1408">
        <f t="shared" si="1548"/>
        <v>43.506347886449817</v>
      </c>
      <c r="AQ1274" s="1408">
        <f t="shared" si="1548"/>
        <v>43.506347886449817</v>
      </c>
      <c r="AR1274" s="1408">
        <f t="shared" si="1548"/>
        <v>43.506347886449817</v>
      </c>
      <c r="AS1274" s="1408">
        <f t="shared" si="1548"/>
        <v>43.506347886449817</v>
      </c>
      <c r="AT1274" s="1408">
        <f t="shared" si="1548"/>
        <v>43.506347886449817</v>
      </c>
      <c r="AU1274" s="1408">
        <f t="shared" si="1536"/>
        <v>43.506347886449817</v>
      </c>
      <c r="AV1274" s="1408">
        <f t="shared" si="1528"/>
        <v>0</v>
      </c>
      <c r="AW1274" s="1916"/>
      <c r="AX1274" s="1916"/>
      <c r="AY1274" s="1916"/>
      <c r="AZ1274" s="1916"/>
      <c r="BA1274" s="1916"/>
      <c r="BB1274" s="1916"/>
      <c r="BC1274" s="1916"/>
      <c r="BD1274" s="1916"/>
      <c r="BE1274" s="1916"/>
      <c r="BF1274" s="1916"/>
      <c r="BG1274" s="1916"/>
      <c r="BH1274" s="1915"/>
    </row>
    <row r="1275" spans="1:60">
      <c r="A1275" s="1"/>
      <c r="B1275" s="1"/>
      <c r="C1275" s="1"/>
      <c r="D1275" s="363" t="s">
        <v>3148</v>
      </c>
      <c r="E1275" s="148"/>
      <c r="F1275" s="323"/>
      <c r="G1275" s="323"/>
      <c r="H1275" s="323"/>
      <c r="I1275" s="323"/>
      <c r="J1275" s="323"/>
      <c r="K1275" s="323"/>
      <c r="L1275" s="323"/>
      <c r="M1275" s="323"/>
      <c r="N1275" s="323"/>
      <c r="O1275" s="323"/>
      <c r="P1275" s="323"/>
      <c r="Q1275" s="323"/>
      <c r="R1275" s="323"/>
      <c r="S1275" s="323"/>
      <c r="T1275" s="323"/>
      <c r="U1275" s="323"/>
      <c r="V1275" s="105"/>
      <c r="W1275" s="1407"/>
      <c r="X1275" s="1407"/>
      <c r="Y1275" s="1408"/>
      <c r="Z1275" s="1408"/>
      <c r="AA1275" s="1408"/>
      <c r="AB1275" s="1408"/>
      <c r="AC1275" s="1408"/>
      <c r="AD1275" s="1408"/>
      <c r="AE1275" s="1408"/>
      <c r="AF1275" s="1408">
        <f>FISCinyear!IY954</f>
        <v>0</v>
      </c>
      <c r="AG1275" s="1408">
        <f>FISCinyear!JB954</f>
        <v>0</v>
      </c>
      <c r="AH1275" s="1408">
        <f>FISCinyear!JE954</f>
        <v>0</v>
      </c>
      <c r="AI1275" s="1408">
        <f>FISCinyear!JH954</f>
        <v>0</v>
      </c>
      <c r="AJ1275" s="1408">
        <f>FISCinyear!JK954</f>
        <v>0</v>
      </c>
      <c r="AK1275" s="1408">
        <v>0</v>
      </c>
      <c r="AL1275" s="1408">
        <v>1</v>
      </c>
      <c r="AM1275" s="1408">
        <v>2</v>
      </c>
      <c r="AN1275" s="1408">
        <v>3</v>
      </c>
      <c r="AO1275" s="1408">
        <v>4</v>
      </c>
      <c r="AP1275" s="1408">
        <v>5</v>
      </c>
      <c r="AQ1275" s="1408">
        <v>6</v>
      </c>
      <c r="AR1275" s="1408">
        <v>7</v>
      </c>
      <c r="AS1275" s="1408">
        <v>8</v>
      </c>
      <c r="AT1275" s="1408">
        <v>9</v>
      </c>
      <c r="AU1275" s="1408">
        <f t="shared" si="1536"/>
        <v>10.125</v>
      </c>
      <c r="AV1275" s="1408">
        <f t="shared" si="1528"/>
        <v>0.125</v>
      </c>
      <c r="AW1275" s="1916"/>
      <c r="AX1275" s="1916"/>
      <c r="AY1275" s="1916"/>
      <c r="AZ1275" s="1916"/>
      <c r="BA1275" s="1916"/>
      <c r="BB1275" s="1916"/>
      <c r="BC1275" s="1916"/>
      <c r="BD1275" s="1916"/>
      <c r="BE1275" s="1916"/>
      <c r="BF1275" s="1916"/>
      <c r="BG1275" s="1916"/>
      <c r="BH1275" s="1915"/>
    </row>
    <row r="1276" spans="1:60">
      <c r="A1276" s="1"/>
      <c r="B1276" s="1"/>
      <c r="C1276" s="1"/>
      <c r="D1276" s="1438" t="str">
        <f>+FISCinyear!D955</f>
        <v>of which strategic reserves accumulation</v>
      </c>
      <c r="E1276" s="148"/>
      <c r="F1276" s="323"/>
      <c r="G1276" s="323"/>
      <c r="H1276" s="323"/>
      <c r="I1276" s="323"/>
      <c r="J1276" s="323"/>
      <c r="K1276" s="323"/>
      <c r="L1276" s="323"/>
      <c r="M1276" s="323"/>
      <c r="N1276" s="323"/>
      <c r="O1276" s="323"/>
      <c r="P1276" s="323"/>
      <c r="Q1276" s="323"/>
      <c r="R1276" s="323"/>
      <c r="S1276" s="323"/>
      <c r="T1276" s="323"/>
      <c r="U1276" s="323"/>
      <c r="V1276" s="105"/>
      <c r="W1276" s="1407"/>
      <c r="X1276" s="1407"/>
      <c r="Y1276" s="1408">
        <f>FISCinyear!ID955</f>
        <v>0</v>
      </c>
      <c r="Z1276" s="1408">
        <f>FISCinyear!IG955</f>
        <v>0</v>
      </c>
      <c r="AA1276" s="1408">
        <f>FISCinyear!IJ955</f>
        <v>0</v>
      </c>
      <c r="AB1276" s="1408">
        <f>FISCinyear!IM955</f>
        <v>0</v>
      </c>
      <c r="AC1276" s="1408">
        <f>FISCinyear!IP955</f>
        <v>0</v>
      </c>
      <c r="AD1276" s="1408">
        <f>FISCinyear!IS955</f>
        <v>0</v>
      </c>
      <c r="AE1276" s="1408">
        <f>FISCinyear!IV955</f>
        <v>0</v>
      </c>
      <c r="AF1276" s="1408">
        <f>FISCinyear!IY955</f>
        <v>6.0835916900000004</v>
      </c>
      <c r="AG1276" s="1408">
        <f>FISCinyear!JB955</f>
        <v>0</v>
      </c>
      <c r="AH1276" s="1408">
        <f>FISCinyear!JE955</f>
        <v>15.130781493000001</v>
      </c>
      <c r="AI1276" s="1408">
        <f>FISCinyear!JH955</f>
        <v>15.757583561000001</v>
      </c>
      <c r="AJ1276" s="1408">
        <f>FISCinyear!JK955</f>
        <v>18.417948545000002</v>
      </c>
      <c r="AK1276" s="1408">
        <f t="shared" ref="AK1276:AM1276" si="1549">SUM(AK1277:AK1281)</f>
        <v>20.330243796216074</v>
      </c>
      <c r="AL1276" s="1408">
        <f t="shared" si="1549"/>
        <v>21.510252886349313</v>
      </c>
      <c r="AM1276" s="1408">
        <f t="shared" si="1549"/>
        <v>25.661199018147244</v>
      </c>
      <c r="AN1276" s="1408">
        <f t="shared" ref="AN1276:AO1276" si="1550">SUM(AN1277:AN1281)</f>
        <v>28.715416217827794</v>
      </c>
      <c r="AO1276" s="1408">
        <f t="shared" si="1550"/>
        <v>27.188307617987519</v>
      </c>
      <c r="AP1276" s="1408">
        <f t="shared" ref="AP1276:AT1276" si="1551">SUM(AP1277:AP1281)</f>
        <v>27.188307617987519</v>
      </c>
      <c r="AQ1276" s="1408">
        <f t="shared" si="1551"/>
        <v>27.188307617987519</v>
      </c>
      <c r="AR1276" s="1408">
        <f t="shared" si="1551"/>
        <v>27.188307617987519</v>
      </c>
      <c r="AS1276" s="1408">
        <f t="shared" si="1551"/>
        <v>27.188307617987519</v>
      </c>
      <c r="AT1276" s="1408">
        <f t="shared" si="1551"/>
        <v>27.188307617987519</v>
      </c>
      <c r="AU1276" s="1408">
        <f t="shared" si="1536"/>
        <v>27.188307617987519</v>
      </c>
      <c r="AV1276" s="1408">
        <f t="shared" si="1528"/>
        <v>0</v>
      </c>
      <c r="AW1276" s="1916"/>
      <c r="AX1276" s="1916"/>
      <c r="AY1276" s="1916"/>
      <c r="AZ1276" s="1916"/>
      <c r="BA1276" s="1916"/>
      <c r="BB1276" s="1916"/>
      <c r="BC1276" s="1916"/>
      <c r="BD1276" s="1916"/>
      <c r="BE1276" s="1916"/>
      <c r="BF1276" s="1916"/>
      <c r="BG1276" s="1916"/>
      <c r="BH1276" s="1915"/>
    </row>
    <row r="1277" spans="1:60">
      <c r="A1277" s="1"/>
      <c r="B1277" s="1"/>
      <c r="C1277" s="1"/>
      <c r="D1277" s="363" t="s">
        <v>1145</v>
      </c>
      <c r="E1277" s="148"/>
      <c r="F1277" s="323"/>
      <c r="G1277" s="323"/>
      <c r="H1277" s="323"/>
      <c r="I1277" s="323"/>
      <c r="J1277" s="323"/>
      <c r="K1277" s="323"/>
      <c r="L1277" s="323"/>
      <c r="M1277" s="323"/>
      <c r="N1277" s="323"/>
      <c r="O1277" s="323"/>
      <c r="P1277" s="323"/>
      <c r="Q1277" s="323"/>
      <c r="R1277" s="323"/>
      <c r="S1277" s="323"/>
      <c r="T1277" s="323"/>
      <c r="U1277" s="323"/>
      <c r="V1277" s="105"/>
      <c r="W1277" s="1407"/>
      <c r="X1277" s="1407"/>
      <c r="Y1277" s="1408"/>
      <c r="Z1277" s="1408"/>
      <c r="AA1277" s="1408"/>
      <c r="AB1277" s="1408"/>
      <c r="AC1277" s="1408"/>
      <c r="AD1277" s="1408"/>
      <c r="AE1277" s="1408"/>
      <c r="AF1277" s="1408">
        <f>FISCinyear!IY956</f>
        <v>6.0835916900000004</v>
      </c>
      <c r="AG1277" s="1408">
        <f>FISCinyear!JB956</f>
        <v>13.710681521000001</v>
      </c>
      <c r="AH1277" s="1408">
        <f>FISCinyear!JE956</f>
        <v>15.130781493000001</v>
      </c>
      <c r="AI1277" s="1408">
        <f>FISCinyear!JH956</f>
        <v>15.757583561000001</v>
      </c>
      <c r="AJ1277" s="1408">
        <f>FISCinyear!JK956</f>
        <v>18.417948545000002</v>
      </c>
      <c r="AK1277" s="1408">
        <f t="shared" ref="AK1277:AT1277" si="1552">AK1088</f>
        <v>20.330243796216074</v>
      </c>
      <c r="AL1277" s="1408">
        <f t="shared" si="1552"/>
        <v>21.510252886349313</v>
      </c>
      <c r="AM1277" s="1408">
        <f t="shared" si="1552"/>
        <v>25.661199018147244</v>
      </c>
      <c r="AN1277" s="1408">
        <f t="shared" si="1552"/>
        <v>28.715416217827794</v>
      </c>
      <c r="AO1277" s="1408">
        <f t="shared" si="1552"/>
        <v>27.188307617987519</v>
      </c>
      <c r="AP1277" s="1408">
        <f t="shared" si="1552"/>
        <v>27.188307617987519</v>
      </c>
      <c r="AQ1277" s="1408">
        <f t="shared" si="1552"/>
        <v>27.188307617987519</v>
      </c>
      <c r="AR1277" s="1408">
        <f t="shared" si="1552"/>
        <v>27.188307617987519</v>
      </c>
      <c r="AS1277" s="1408">
        <f t="shared" si="1552"/>
        <v>27.188307617987519</v>
      </c>
      <c r="AT1277" s="1408">
        <f t="shared" si="1552"/>
        <v>27.188307617987519</v>
      </c>
      <c r="AU1277" s="1408">
        <f t="shared" si="1536"/>
        <v>27.188307617987519</v>
      </c>
      <c r="AV1277" s="1408">
        <f t="shared" si="1528"/>
        <v>0</v>
      </c>
      <c r="AW1277" s="1916"/>
      <c r="AX1277" s="1916"/>
      <c r="AY1277" s="1916"/>
      <c r="AZ1277" s="1916"/>
      <c r="BA1277" s="1916"/>
      <c r="BB1277" s="1916"/>
      <c r="BC1277" s="1916"/>
      <c r="BD1277" s="1916"/>
      <c r="BE1277" s="1916"/>
      <c r="BF1277" s="1916"/>
      <c r="BG1277" s="1916"/>
      <c r="BH1277" s="1915"/>
    </row>
    <row r="1278" spans="1:60">
      <c r="A1278" s="1"/>
      <c r="B1278" s="1"/>
      <c r="C1278" s="1"/>
      <c r="D1278" s="363" t="s">
        <v>1181</v>
      </c>
      <c r="E1278" s="148"/>
      <c r="F1278" s="323"/>
      <c r="G1278" s="323"/>
      <c r="H1278" s="323"/>
      <c r="I1278" s="323"/>
      <c r="J1278" s="323"/>
      <c r="K1278" s="323"/>
      <c r="L1278" s="323"/>
      <c r="M1278" s="323"/>
      <c r="N1278" s="323"/>
      <c r="O1278" s="323"/>
      <c r="P1278" s="323"/>
      <c r="Q1278" s="323"/>
      <c r="R1278" s="323"/>
      <c r="S1278" s="323"/>
      <c r="T1278" s="323"/>
      <c r="U1278" s="323"/>
      <c r="V1278" s="105"/>
      <c r="W1278" s="1407"/>
      <c r="X1278" s="1407"/>
      <c r="Y1278" s="1408"/>
      <c r="Z1278" s="1408"/>
      <c r="AA1278" s="1408"/>
      <c r="AB1278" s="1408"/>
      <c r="AC1278" s="1408"/>
      <c r="AD1278" s="1408"/>
      <c r="AE1278" s="1408"/>
      <c r="AF1278" s="1408">
        <f>FISCinyear!IY957</f>
        <v>0</v>
      </c>
      <c r="AG1278" s="1408">
        <f>FISCinyear!JB957</f>
        <v>0</v>
      </c>
      <c r="AH1278" s="1408">
        <f>FISCinyear!JE957</f>
        <v>0</v>
      </c>
      <c r="AI1278" s="1408">
        <f>FISCinyear!JH957</f>
        <v>0</v>
      </c>
      <c r="AJ1278" s="1408">
        <f>FISCinyear!JK957</f>
        <v>0</v>
      </c>
      <c r="AK1278" s="1408">
        <v>0</v>
      </c>
      <c r="AL1278" s="1408">
        <v>0</v>
      </c>
      <c r="AM1278" s="1408">
        <v>0</v>
      </c>
      <c r="AN1278" s="1408">
        <v>0</v>
      </c>
      <c r="AO1278" s="1408">
        <v>0</v>
      </c>
      <c r="AP1278" s="1408">
        <v>0</v>
      </c>
      <c r="AQ1278" s="1408">
        <v>0</v>
      </c>
      <c r="AR1278" s="1408">
        <v>0</v>
      </c>
      <c r="AS1278" s="1408">
        <v>0</v>
      </c>
      <c r="AT1278" s="1408">
        <v>0</v>
      </c>
      <c r="AU1278" s="1408">
        <v>0</v>
      </c>
      <c r="AV1278" s="1408" t="e">
        <f t="shared" si="1528"/>
        <v>#DIV/0!</v>
      </c>
      <c r="AW1278" s="1916"/>
      <c r="AX1278" s="1916"/>
      <c r="AY1278" s="1916"/>
      <c r="AZ1278" s="1916"/>
      <c r="BA1278" s="1916"/>
      <c r="BB1278" s="1916"/>
      <c r="BC1278" s="1916"/>
      <c r="BD1278" s="1916"/>
      <c r="BE1278" s="1916"/>
      <c r="BF1278" s="1916"/>
      <c r="BG1278" s="1916"/>
      <c r="BH1278" s="1915"/>
    </row>
    <row r="1279" spans="1:60">
      <c r="A1279" s="1"/>
      <c r="B1279" s="1"/>
      <c r="C1279" s="1"/>
      <c r="D1279" s="363" t="s">
        <v>3144</v>
      </c>
      <c r="E1279" s="148"/>
      <c r="F1279" s="323"/>
      <c r="G1279" s="323"/>
      <c r="H1279" s="323"/>
      <c r="I1279" s="323"/>
      <c r="J1279" s="323"/>
      <c r="K1279" s="323"/>
      <c r="L1279" s="323"/>
      <c r="M1279" s="323"/>
      <c r="N1279" s="323"/>
      <c r="O1279" s="323"/>
      <c r="P1279" s="323"/>
      <c r="Q1279" s="323"/>
      <c r="R1279" s="323"/>
      <c r="S1279" s="323"/>
      <c r="T1279" s="323"/>
      <c r="U1279" s="323"/>
      <c r="V1279" s="105"/>
      <c r="W1279" s="1407"/>
      <c r="X1279" s="1407"/>
      <c r="Y1279" s="1408"/>
      <c r="Z1279" s="1408"/>
      <c r="AA1279" s="1408"/>
      <c r="AB1279" s="1408"/>
      <c r="AC1279" s="1408"/>
      <c r="AD1279" s="1408"/>
      <c r="AE1279" s="1408"/>
      <c r="AF1279" s="1408">
        <f>FISCinyear!IY958</f>
        <v>0</v>
      </c>
      <c r="AG1279" s="1408">
        <f>FISCinyear!JB958</f>
        <v>0</v>
      </c>
      <c r="AH1279" s="1408">
        <f>FISCinyear!JE958</f>
        <v>0</v>
      </c>
      <c r="AI1279" s="1408">
        <f>FISCinyear!JH958</f>
        <v>0</v>
      </c>
      <c r="AJ1279" s="1408">
        <f>FISCinyear!JK958</f>
        <v>0</v>
      </c>
      <c r="AK1279" s="1408">
        <v>0</v>
      </c>
      <c r="AL1279" s="1408">
        <v>0</v>
      </c>
      <c r="AM1279" s="1408">
        <v>0</v>
      </c>
      <c r="AN1279" s="1408">
        <v>0</v>
      </c>
      <c r="AO1279" s="1408">
        <v>0</v>
      </c>
      <c r="AP1279" s="1408">
        <v>0</v>
      </c>
      <c r="AQ1279" s="1408">
        <v>0</v>
      </c>
      <c r="AR1279" s="1408">
        <v>0</v>
      </c>
      <c r="AS1279" s="1408">
        <v>0</v>
      </c>
      <c r="AT1279" s="1408">
        <v>0</v>
      </c>
      <c r="AU1279" s="1408">
        <v>0</v>
      </c>
      <c r="AV1279" s="1408" t="e">
        <f t="shared" si="1528"/>
        <v>#DIV/0!</v>
      </c>
      <c r="AW1279" s="1916"/>
      <c r="AX1279" s="1916"/>
      <c r="AY1279" s="1916"/>
      <c r="AZ1279" s="1916"/>
      <c r="BA1279" s="1916"/>
      <c r="BB1279" s="1916"/>
      <c r="BC1279" s="1916"/>
      <c r="BD1279" s="1916"/>
      <c r="BE1279" s="1916"/>
      <c r="BF1279" s="1916"/>
      <c r="BG1279" s="1916"/>
      <c r="BH1279" s="1915"/>
    </row>
    <row r="1280" spans="1:60">
      <c r="A1280" s="1"/>
      <c r="B1280" s="1"/>
      <c r="C1280" s="1"/>
      <c r="D1280" s="363" t="s">
        <v>3145</v>
      </c>
      <c r="E1280" s="148"/>
      <c r="F1280" s="323"/>
      <c r="G1280" s="323"/>
      <c r="H1280" s="323"/>
      <c r="I1280" s="323"/>
      <c r="J1280" s="323"/>
      <c r="K1280" s="323"/>
      <c r="L1280" s="323"/>
      <c r="M1280" s="323"/>
      <c r="N1280" s="323"/>
      <c r="O1280" s="323"/>
      <c r="P1280" s="323"/>
      <c r="Q1280" s="323"/>
      <c r="R1280" s="323"/>
      <c r="S1280" s="323"/>
      <c r="T1280" s="323"/>
      <c r="U1280" s="323"/>
      <c r="V1280" s="105"/>
      <c r="W1280" s="1407"/>
      <c r="X1280" s="1407"/>
      <c r="Y1280" s="1408"/>
      <c r="Z1280" s="1408"/>
      <c r="AA1280" s="1408"/>
      <c r="AB1280" s="1408"/>
      <c r="AC1280" s="1408"/>
      <c r="AD1280" s="1408"/>
      <c r="AE1280" s="1408"/>
      <c r="AF1280" s="1408">
        <f>FISCinyear!IY959</f>
        <v>0</v>
      </c>
      <c r="AG1280" s="1408">
        <f>FISCinyear!JB959</f>
        <v>0</v>
      </c>
      <c r="AH1280" s="1408">
        <f>FISCinyear!JE959</f>
        <v>0</v>
      </c>
      <c r="AI1280" s="1408">
        <f>FISCinyear!JH959</f>
        <v>0</v>
      </c>
      <c r="AJ1280" s="1408">
        <f>FISCinyear!JK959</f>
        <v>0</v>
      </c>
      <c r="AK1280" s="1408">
        <v>0</v>
      </c>
      <c r="AL1280" s="1408">
        <v>0</v>
      </c>
      <c r="AM1280" s="1408">
        <v>0</v>
      </c>
      <c r="AN1280" s="1408">
        <v>0</v>
      </c>
      <c r="AO1280" s="1408">
        <v>0</v>
      </c>
      <c r="AP1280" s="1408">
        <v>0</v>
      </c>
      <c r="AQ1280" s="1408">
        <v>0</v>
      </c>
      <c r="AR1280" s="1408">
        <v>0</v>
      </c>
      <c r="AS1280" s="1408">
        <v>0</v>
      </c>
      <c r="AT1280" s="1408">
        <v>0</v>
      </c>
      <c r="AU1280" s="1408">
        <v>0</v>
      </c>
      <c r="AV1280" s="1408" t="e">
        <f t="shared" si="1528"/>
        <v>#DIV/0!</v>
      </c>
      <c r="AW1280" s="1916"/>
      <c r="AX1280" s="1916"/>
      <c r="AY1280" s="1916"/>
      <c r="AZ1280" s="1916"/>
      <c r="BA1280" s="1916"/>
      <c r="BB1280" s="1916"/>
      <c r="BC1280" s="1916"/>
      <c r="BD1280" s="1916"/>
      <c r="BE1280" s="1916"/>
      <c r="BF1280" s="1916"/>
      <c r="BG1280" s="1916"/>
      <c r="BH1280" s="1915"/>
    </row>
    <row r="1281" spans="1:60">
      <c r="A1281" s="1"/>
      <c r="B1281" s="1"/>
      <c r="C1281" s="1"/>
      <c r="D1281" s="363" t="s">
        <v>3146</v>
      </c>
      <c r="E1281" s="148"/>
      <c r="F1281" s="323"/>
      <c r="G1281" s="323"/>
      <c r="H1281" s="323"/>
      <c r="I1281" s="323"/>
      <c r="J1281" s="323"/>
      <c r="K1281" s="323"/>
      <c r="L1281" s="323"/>
      <c r="M1281" s="323"/>
      <c r="N1281" s="323"/>
      <c r="O1281" s="323"/>
      <c r="P1281" s="323"/>
      <c r="Q1281" s="323"/>
      <c r="R1281" s="323"/>
      <c r="S1281" s="323"/>
      <c r="T1281" s="323"/>
      <c r="U1281" s="323"/>
      <c r="V1281" s="105"/>
      <c r="W1281" s="1407"/>
      <c r="X1281" s="1407"/>
      <c r="Y1281" s="1408"/>
      <c r="Z1281" s="1408"/>
      <c r="AA1281" s="1408"/>
      <c r="AB1281" s="1408"/>
      <c r="AC1281" s="1408"/>
      <c r="AD1281" s="1408"/>
      <c r="AE1281" s="1408"/>
      <c r="AF1281" s="1408">
        <f>FISCinyear!IY960</f>
        <v>0</v>
      </c>
      <c r="AG1281" s="1408">
        <f>FISCinyear!JB960</f>
        <v>0</v>
      </c>
      <c r="AH1281" s="1408">
        <f>FISCinyear!JE960</f>
        <v>0</v>
      </c>
      <c r="AI1281" s="1408">
        <f>FISCinyear!JH960</f>
        <v>0</v>
      </c>
      <c r="AJ1281" s="1408">
        <f>FISCinyear!JK960</f>
        <v>0</v>
      </c>
      <c r="AK1281" s="1408">
        <v>0</v>
      </c>
      <c r="AL1281" s="1408">
        <v>0</v>
      </c>
      <c r="AM1281" s="1408">
        <v>0</v>
      </c>
      <c r="AN1281" s="1408">
        <v>0</v>
      </c>
      <c r="AO1281" s="1408">
        <v>0</v>
      </c>
      <c r="AP1281" s="1408">
        <v>0</v>
      </c>
      <c r="AQ1281" s="1408">
        <v>0</v>
      </c>
      <c r="AR1281" s="1408">
        <v>0</v>
      </c>
      <c r="AS1281" s="1408">
        <v>0</v>
      </c>
      <c r="AT1281" s="1408">
        <v>0</v>
      </c>
      <c r="AU1281" s="1408">
        <v>0</v>
      </c>
      <c r="AV1281" s="1408" t="e">
        <f t="shared" si="1528"/>
        <v>#DIV/0!</v>
      </c>
      <c r="AW1281" s="1916"/>
      <c r="AX1281" s="1916"/>
      <c r="AY1281" s="1916"/>
      <c r="AZ1281" s="1916"/>
      <c r="BA1281" s="1916"/>
      <c r="BB1281" s="1916"/>
      <c r="BC1281" s="1916"/>
      <c r="BD1281" s="1916"/>
      <c r="BE1281" s="1916"/>
      <c r="BF1281" s="1916"/>
      <c r="BG1281" s="1916"/>
      <c r="BH1281" s="1915"/>
    </row>
    <row r="1282" spans="1:60">
      <c r="A1282" s="1"/>
      <c r="B1282" s="1"/>
      <c r="C1282" s="1"/>
      <c r="D1282" s="1438" t="str">
        <f>+FISCinyear!D961</f>
        <v>of which African Union levy accumulation</v>
      </c>
      <c r="E1282" s="148"/>
      <c r="F1282" s="323"/>
      <c r="G1282" s="323"/>
      <c r="H1282" s="323"/>
      <c r="I1282" s="323"/>
      <c r="J1282" s="323"/>
      <c r="K1282" s="323"/>
      <c r="L1282" s="323"/>
      <c r="M1282" s="323"/>
      <c r="N1282" s="323"/>
      <c r="O1282" s="323"/>
      <c r="P1282" s="323"/>
      <c r="Q1282" s="323"/>
      <c r="R1282" s="323"/>
      <c r="S1282" s="323"/>
      <c r="T1282" s="323"/>
      <c r="U1282" s="323"/>
      <c r="V1282" s="105"/>
      <c r="W1282" s="1407"/>
      <c r="X1282" s="1407"/>
      <c r="Y1282" s="1408"/>
      <c r="Z1282" s="1408"/>
      <c r="AA1282" s="1408"/>
      <c r="AB1282" s="1408"/>
      <c r="AC1282" s="1408"/>
      <c r="AD1282" s="1408"/>
      <c r="AE1282" s="1408"/>
      <c r="AF1282" s="1408">
        <f>FISCinyear!IY961</f>
        <v>0</v>
      </c>
      <c r="AG1282" s="1408">
        <f>FISCinyear!JB961</f>
        <v>0</v>
      </c>
      <c r="AH1282" s="1408">
        <f>FISCinyear!JE961</f>
        <v>3.0782545700000004</v>
      </c>
      <c r="AI1282" s="1408">
        <f>FISCinyear!JH961</f>
        <v>3.6879256939999996</v>
      </c>
      <c r="AJ1282" s="1408">
        <f>FISCinyear!JK961</f>
        <v>4.295642795</v>
      </c>
      <c r="AK1282" s="1408">
        <f t="shared" ref="AK1282:AM1282" si="1553">AK1283+AK1284</f>
        <v>4.7607770764159261</v>
      </c>
      <c r="AL1282" s="1408">
        <f t="shared" si="1553"/>
        <v>4.8495148739890839</v>
      </c>
      <c r="AM1282" s="1408">
        <f t="shared" si="1553"/>
        <v>5.6846936980359057</v>
      </c>
      <c r="AN1282" s="1408">
        <f t="shared" ref="AN1282:AO1282" si="1554">AN1283+AN1284</f>
        <v>6.1</v>
      </c>
      <c r="AO1282" s="1408">
        <f t="shared" si="1554"/>
        <v>6.1</v>
      </c>
      <c r="AP1282" s="1408">
        <f t="shared" ref="AP1282:AT1282" si="1555">AP1283+AP1284</f>
        <v>6.1</v>
      </c>
      <c r="AQ1282" s="1408">
        <f t="shared" si="1555"/>
        <v>6.1</v>
      </c>
      <c r="AR1282" s="1408">
        <f t="shared" si="1555"/>
        <v>6.1</v>
      </c>
      <c r="AS1282" s="1408">
        <f t="shared" si="1555"/>
        <v>6.1</v>
      </c>
      <c r="AT1282" s="1408">
        <f t="shared" si="1555"/>
        <v>6.1</v>
      </c>
      <c r="AU1282" s="1408">
        <f t="shared" si="1536"/>
        <v>6.1</v>
      </c>
      <c r="AV1282" s="1408">
        <f t="shared" si="1528"/>
        <v>0</v>
      </c>
      <c r="AW1282" s="1916"/>
      <c r="AX1282" s="1916"/>
      <c r="AY1282" s="1916"/>
      <c r="AZ1282" s="1916"/>
      <c r="BA1282" s="1916"/>
      <c r="BB1282" s="1916"/>
      <c r="BC1282" s="1916"/>
      <c r="BD1282" s="1916"/>
      <c r="BE1282" s="1916"/>
      <c r="BF1282" s="1916"/>
      <c r="BG1282" s="1916"/>
      <c r="BH1282" s="1915"/>
    </row>
    <row r="1283" spans="1:60">
      <c r="A1283" s="1"/>
      <c r="B1283" s="1"/>
      <c r="C1283" s="1"/>
      <c r="D1283" s="363" t="s">
        <v>3149</v>
      </c>
      <c r="E1283" s="148"/>
      <c r="F1283" s="323"/>
      <c r="G1283" s="323"/>
      <c r="H1283" s="323"/>
      <c r="I1283" s="323"/>
      <c r="J1283" s="323"/>
      <c r="K1283" s="323"/>
      <c r="L1283" s="323"/>
      <c r="M1283" s="323"/>
      <c r="N1283" s="323"/>
      <c r="O1283" s="323"/>
      <c r="P1283" s="323"/>
      <c r="Q1283" s="323"/>
      <c r="R1283" s="323"/>
      <c r="S1283" s="323"/>
      <c r="T1283" s="323"/>
      <c r="U1283" s="323"/>
      <c r="V1283" s="105"/>
      <c r="W1283" s="1407"/>
      <c r="X1283" s="1407"/>
      <c r="Y1283" s="1408"/>
      <c r="Z1283" s="1408"/>
      <c r="AA1283" s="1408"/>
      <c r="AB1283" s="1408"/>
      <c r="AC1283" s="1408"/>
      <c r="AD1283" s="1408"/>
      <c r="AE1283" s="1408"/>
      <c r="AF1283" s="1408">
        <f>FISCinyear!IY962</f>
        <v>0</v>
      </c>
      <c r="AG1283" s="1408">
        <f>FISCinyear!JB962</f>
        <v>2.3105889770000001</v>
      </c>
      <c r="AH1283" s="1408">
        <f>FISCinyear!JE962</f>
        <v>3.0782545700000004</v>
      </c>
      <c r="AI1283" s="1408">
        <f>FISCinyear!JH962</f>
        <v>3.6879256939999996</v>
      </c>
      <c r="AJ1283" s="1408">
        <f>FISCinyear!JK962</f>
        <v>4.295642795</v>
      </c>
      <c r="AK1283" s="1408">
        <f t="shared" ref="AK1283:AT1283" si="1556">AK1102</f>
        <v>4.7607770764159261</v>
      </c>
      <c r="AL1283" s="1408">
        <f t="shared" si="1556"/>
        <v>4.8495148739890839</v>
      </c>
      <c r="AM1283" s="1408">
        <f t="shared" si="1556"/>
        <v>5.6846936980359057</v>
      </c>
      <c r="AN1283" s="1408">
        <f t="shared" si="1556"/>
        <v>6.1</v>
      </c>
      <c r="AO1283" s="1408">
        <f t="shared" si="1556"/>
        <v>6.1</v>
      </c>
      <c r="AP1283" s="1408">
        <f t="shared" si="1556"/>
        <v>6.1</v>
      </c>
      <c r="AQ1283" s="1408">
        <f t="shared" si="1556"/>
        <v>6.1</v>
      </c>
      <c r="AR1283" s="1408">
        <f t="shared" si="1556"/>
        <v>6.1</v>
      </c>
      <c r="AS1283" s="1408">
        <f t="shared" si="1556"/>
        <v>6.1</v>
      </c>
      <c r="AT1283" s="1408">
        <f t="shared" si="1556"/>
        <v>6.1</v>
      </c>
      <c r="AU1283" s="1408">
        <f t="shared" si="1536"/>
        <v>6.1</v>
      </c>
      <c r="AV1283" s="1408">
        <f t="shared" si="1528"/>
        <v>0</v>
      </c>
      <c r="AW1283" s="1916"/>
      <c r="AX1283" s="1916"/>
      <c r="AY1283" s="1916"/>
      <c r="AZ1283" s="1916"/>
      <c r="BA1283" s="1916"/>
      <c r="BB1283" s="1916"/>
      <c r="BC1283" s="1916"/>
      <c r="BD1283" s="1916"/>
      <c r="BE1283" s="1916"/>
      <c r="BF1283" s="1916"/>
      <c r="BG1283" s="1916"/>
      <c r="BH1283" s="1915"/>
    </row>
    <row r="1284" spans="1:60">
      <c r="A1284" s="1"/>
      <c r="B1284" s="1"/>
      <c r="C1284" s="1"/>
      <c r="D1284" s="363" t="s">
        <v>3150</v>
      </c>
      <c r="E1284" s="148"/>
      <c r="F1284" s="323"/>
      <c r="G1284" s="323"/>
      <c r="H1284" s="323"/>
      <c r="I1284" s="323"/>
      <c r="J1284" s="323"/>
      <c r="K1284" s="323"/>
      <c r="L1284" s="323"/>
      <c r="M1284" s="323"/>
      <c r="N1284" s="323"/>
      <c r="O1284" s="323"/>
      <c r="P1284" s="323"/>
      <c r="Q1284" s="323"/>
      <c r="R1284" s="323"/>
      <c r="S1284" s="323"/>
      <c r="T1284" s="323"/>
      <c r="U1284" s="323"/>
      <c r="V1284" s="105"/>
      <c r="W1284" s="1407"/>
      <c r="X1284" s="1407"/>
      <c r="Y1284" s="1408"/>
      <c r="Z1284" s="1408"/>
      <c r="AA1284" s="1408"/>
      <c r="AB1284" s="1408"/>
      <c r="AC1284" s="1408"/>
      <c r="AD1284" s="1408"/>
      <c r="AE1284" s="1408"/>
      <c r="AF1284" s="1408">
        <f>FISCinyear!IY963</f>
        <v>0</v>
      </c>
      <c r="AG1284" s="1408">
        <f>FISCinyear!JB963</f>
        <v>0</v>
      </c>
      <c r="AH1284" s="1408">
        <f>FISCinyear!JE963</f>
        <v>0</v>
      </c>
      <c r="AI1284" s="1408">
        <f>FISCinyear!JH963</f>
        <v>0</v>
      </c>
      <c r="AJ1284" s="1408">
        <f>FISCinyear!JK963</f>
        <v>0</v>
      </c>
      <c r="AK1284" s="1408">
        <v>0</v>
      </c>
      <c r="AL1284" s="1408">
        <v>0</v>
      </c>
      <c r="AM1284" s="1408">
        <v>0</v>
      </c>
      <c r="AN1284" s="1408">
        <v>0</v>
      </c>
      <c r="AO1284" s="1408">
        <v>0</v>
      </c>
      <c r="AP1284" s="1408">
        <v>0</v>
      </c>
      <c r="AQ1284" s="1408">
        <v>0</v>
      </c>
      <c r="AR1284" s="1408">
        <v>0</v>
      </c>
      <c r="AS1284" s="1408">
        <v>0</v>
      </c>
      <c r="AT1284" s="1408">
        <v>0</v>
      </c>
      <c r="AU1284" s="1408">
        <v>0</v>
      </c>
      <c r="AV1284" s="1408" t="e">
        <f t="shared" si="1528"/>
        <v>#DIV/0!</v>
      </c>
      <c r="AW1284" s="1916"/>
      <c r="AX1284" s="1916"/>
      <c r="AY1284" s="1916"/>
      <c r="AZ1284" s="1916"/>
      <c r="BA1284" s="1916"/>
      <c r="BB1284" s="1916"/>
      <c r="BC1284" s="1916"/>
      <c r="BD1284" s="1916"/>
      <c r="BE1284" s="1916"/>
      <c r="BF1284" s="1916"/>
      <c r="BG1284" s="1916"/>
      <c r="BH1284" s="1915"/>
    </row>
    <row r="1285" spans="1:60">
      <c r="A1285" s="1"/>
      <c r="B1285" s="1"/>
      <c r="C1285" s="1"/>
      <c r="D1285" s="1453" t="s">
        <v>3161</v>
      </c>
      <c r="E1285" s="148"/>
      <c r="F1285" s="323"/>
      <c r="G1285" s="323"/>
      <c r="H1285" s="323"/>
      <c r="I1285" s="323"/>
      <c r="J1285" s="323"/>
      <c r="K1285" s="323"/>
      <c r="L1285" s="323"/>
      <c r="M1285" s="323"/>
      <c r="N1285" s="323"/>
      <c r="O1285" s="323"/>
      <c r="P1285" s="323"/>
      <c r="Q1285" s="323"/>
      <c r="R1285" s="323"/>
      <c r="S1285" s="323"/>
      <c r="T1285" s="323"/>
      <c r="U1285" s="323"/>
      <c r="V1285" s="105"/>
      <c r="W1285" s="1407"/>
      <c r="X1285" s="1407"/>
      <c r="Y1285" s="1408"/>
      <c r="Z1285" s="1408"/>
      <c r="AA1285" s="1408"/>
      <c r="AB1285" s="1408"/>
      <c r="AC1285" s="1408"/>
      <c r="AD1285" s="1408"/>
      <c r="AE1285" s="1408"/>
      <c r="AF1285" s="1408">
        <f>FISCinyear!IY964</f>
        <v>0</v>
      </c>
      <c r="AG1285" s="1408">
        <f>FISCinyear!JB964</f>
        <v>0</v>
      </c>
      <c r="AH1285" s="1408">
        <f>FISCinyear!JE964</f>
        <v>0</v>
      </c>
      <c r="AI1285" s="1408">
        <f>FISCinyear!JH964</f>
        <v>0</v>
      </c>
      <c r="AJ1285" s="1408">
        <f>FISCinyear!JK964</f>
        <v>0</v>
      </c>
      <c r="AK1285" s="1407">
        <v>0</v>
      </c>
      <c r="AL1285" s="1407">
        <v>0</v>
      </c>
      <c r="AM1285" s="1407">
        <v>0</v>
      </c>
      <c r="AN1285" s="1407">
        <v>0</v>
      </c>
      <c r="AO1285" s="1407">
        <v>0</v>
      </c>
      <c r="AP1285" s="1407">
        <v>0</v>
      </c>
      <c r="AQ1285" s="1407">
        <v>0</v>
      </c>
      <c r="AR1285" s="1407">
        <v>0</v>
      </c>
      <c r="AS1285" s="1407">
        <v>0</v>
      </c>
      <c r="AT1285" s="1407">
        <v>0</v>
      </c>
      <c r="AU1285" s="1407">
        <v>0</v>
      </c>
      <c r="AV1285" s="1407" t="e">
        <f t="shared" si="1528"/>
        <v>#DIV/0!</v>
      </c>
      <c r="AW1285" s="1916"/>
      <c r="AX1285" s="1916"/>
      <c r="AY1285" s="1916"/>
      <c r="AZ1285" s="1916"/>
      <c r="BA1285" s="1916"/>
      <c r="BB1285" s="1916"/>
      <c r="BC1285" s="1916"/>
      <c r="BD1285" s="1916"/>
      <c r="BE1285" s="1916"/>
      <c r="BF1285" s="1916"/>
      <c r="BG1285" s="1916"/>
      <c r="BH1285" s="1915"/>
    </row>
    <row r="1286" spans="1:60">
      <c r="A1286" s="1"/>
      <c r="B1286" s="1"/>
      <c r="C1286" s="1"/>
      <c r="D1286" s="360" t="str">
        <f>+FISCinyear!D965</f>
        <v>of which drawdowns</v>
      </c>
      <c r="E1286" s="148"/>
      <c r="F1286" s="323"/>
      <c r="G1286" s="323"/>
      <c r="H1286" s="323"/>
      <c r="I1286" s="323"/>
      <c r="J1286" s="323"/>
      <c r="K1286" s="323"/>
      <c r="L1286" s="323"/>
      <c r="M1286" s="323"/>
      <c r="N1286" s="323"/>
      <c r="O1286" s="323"/>
      <c r="P1286" s="323"/>
      <c r="Q1286" s="323"/>
      <c r="R1286" s="323"/>
      <c r="S1286" s="323"/>
      <c r="T1286" s="323"/>
      <c r="U1286" s="323"/>
      <c r="V1286" s="105"/>
      <c r="W1286" s="1407"/>
      <c r="X1286" s="1407"/>
      <c r="Y1286" s="1408">
        <f>FISCinyear!ID965</f>
        <v>0</v>
      </c>
      <c r="Z1286" s="1408">
        <f>FISCinyear!IG965</f>
        <v>0</v>
      </c>
      <c r="AA1286" s="1408">
        <f>FISCinyear!IJ965</f>
        <v>0</v>
      </c>
      <c r="AB1286" s="1408">
        <f>FISCinyear!IM965</f>
        <v>0</v>
      </c>
      <c r="AC1286" s="1408">
        <f>FISCinyear!IP965</f>
        <v>0</v>
      </c>
      <c r="AD1286" s="1408">
        <f>FISCinyear!IS965</f>
        <v>0</v>
      </c>
      <c r="AE1286" s="1408">
        <f>FISCinyear!IV965</f>
        <v>0</v>
      </c>
      <c r="AF1286" s="1408">
        <f>FISCinyear!IY965</f>
        <v>0</v>
      </c>
      <c r="AG1286" s="1408">
        <f>FISCinyear!JB965</f>
        <v>0</v>
      </c>
      <c r="AH1286" s="1408">
        <f>FISCinyear!JE965</f>
        <v>0</v>
      </c>
      <c r="AI1286" s="1408">
        <f>FISCinyear!JH965</f>
        <v>0</v>
      </c>
      <c r="AJ1286" s="1408">
        <f>FISCinyear!JK965</f>
        <v>0</v>
      </c>
      <c r="AK1286" s="1408">
        <v>0</v>
      </c>
      <c r="AL1286" s="1408">
        <v>0</v>
      </c>
      <c r="AM1286" s="1408">
        <v>0</v>
      </c>
      <c r="AN1286" s="1408">
        <v>0</v>
      </c>
      <c r="AO1286" s="1408">
        <v>0</v>
      </c>
      <c r="AP1286" s="1408">
        <v>0</v>
      </c>
      <c r="AQ1286" s="1408">
        <v>0</v>
      </c>
      <c r="AR1286" s="1408">
        <v>0</v>
      </c>
      <c r="AS1286" s="1408">
        <v>0</v>
      </c>
      <c r="AT1286" s="1408">
        <v>0</v>
      </c>
      <c r="AU1286" s="1408">
        <v>0</v>
      </c>
      <c r="AV1286" s="1408" t="e">
        <f t="shared" si="1528"/>
        <v>#DIV/0!</v>
      </c>
      <c r="AW1286" s="1916"/>
      <c r="AX1286" s="1916"/>
      <c r="AY1286" s="1916"/>
      <c r="AZ1286" s="1916"/>
      <c r="BA1286" s="1916"/>
      <c r="BB1286" s="1916"/>
      <c r="BC1286" s="1916"/>
      <c r="BD1286" s="1916"/>
      <c r="BE1286" s="1916"/>
      <c r="BF1286" s="1916"/>
      <c r="BG1286" s="1916"/>
      <c r="BH1286" s="1915"/>
    </row>
    <row r="1287" spans="1:60">
      <c r="A1287" s="1"/>
      <c r="B1287" s="1"/>
      <c r="C1287" s="1"/>
      <c r="D1287" s="359" t="str">
        <f>+FISCinyear!D966</f>
        <v xml:space="preserve">Securities other than shares </v>
      </c>
      <c r="E1287" s="148"/>
      <c r="F1287" s="323"/>
      <c r="G1287" s="323"/>
      <c r="H1287" s="323"/>
      <c r="I1287" s="323"/>
      <c r="J1287" s="323"/>
      <c r="K1287" s="323"/>
      <c r="L1287" s="323"/>
      <c r="M1287" s="323"/>
      <c r="N1287" s="323"/>
      <c r="O1287" s="323"/>
      <c r="P1287" s="323"/>
      <c r="Q1287" s="323"/>
      <c r="R1287" s="323"/>
      <c r="S1287" s="323"/>
      <c r="T1287" s="323"/>
      <c r="U1287" s="323"/>
      <c r="V1287" s="323"/>
      <c r="W1287" s="1406"/>
      <c r="X1287" s="1406"/>
      <c r="Y1287" s="1408">
        <f>FISCinyear!ID966</f>
        <v>0</v>
      </c>
      <c r="Z1287" s="1408">
        <f>FISCinyear!IG966</f>
        <v>0</v>
      </c>
      <c r="AA1287" s="1408">
        <f>FISCinyear!IJ966</f>
        <v>0</v>
      </c>
      <c r="AB1287" s="1408">
        <f>FISCinyear!IM966</f>
        <v>0</v>
      </c>
      <c r="AC1287" s="1408">
        <f>FISCinyear!IP966</f>
        <v>0</v>
      </c>
      <c r="AD1287" s="1408">
        <f>FISCinyear!IS966</f>
        <v>0</v>
      </c>
      <c r="AE1287" s="1408">
        <f>FISCinyear!IV966</f>
        <v>0</v>
      </c>
      <c r="AF1287" s="1408">
        <f>FISCinyear!IY966</f>
        <v>0</v>
      </c>
      <c r="AG1287" s="1408">
        <f>FISCinyear!JB966</f>
        <v>0</v>
      </c>
      <c r="AH1287" s="1408">
        <f>FISCinyear!JE966</f>
        <v>0</v>
      </c>
      <c r="AI1287" s="1408">
        <f>FISCinyear!JH966</f>
        <v>0</v>
      </c>
      <c r="AJ1287" s="1408">
        <f>FISCinyear!JK966</f>
        <v>0</v>
      </c>
      <c r="AK1287" s="1408">
        <v>0</v>
      </c>
      <c r="AL1287" s="1408">
        <v>0</v>
      </c>
      <c r="AM1287" s="1408">
        <v>0</v>
      </c>
      <c r="AN1287" s="1408">
        <v>0</v>
      </c>
      <c r="AO1287" s="1408">
        <v>0</v>
      </c>
      <c r="AP1287" s="1408">
        <v>0</v>
      </c>
      <c r="AQ1287" s="1408">
        <v>0</v>
      </c>
      <c r="AR1287" s="1408">
        <v>0</v>
      </c>
      <c r="AS1287" s="1408">
        <v>0</v>
      </c>
      <c r="AT1287" s="1408">
        <v>0</v>
      </c>
      <c r="AU1287" s="1408">
        <v>0</v>
      </c>
      <c r="AV1287" s="1408" t="e">
        <f t="shared" si="1528"/>
        <v>#DIV/0!</v>
      </c>
      <c r="AW1287" s="1916"/>
      <c r="AX1287" s="1916"/>
      <c r="AY1287" s="1916"/>
      <c r="AZ1287" s="1916"/>
      <c r="BA1287" s="1916"/>
      <c r="BB1287" s="1916"/>
      <c r="BC1287" s="1916"/>
      <c r="BD1287" s="1916"/>
      <c r="BE1287" s="1916"/>
      <c r="BF1287" s="1916"/>
      <c r="BG1287" s="1916"/>
      <c r="BH1287" s="1915"/>
    </row>
    <row r="1288" spans="1:60">
      <c r="A1288" s="1"/>
      <c r="B1288" s="1"/>
      <c r="C1288" s="1"/>
      <c r="D1288" s="359" t="str">
        <f>+FISCinyear!D967</f>
        <v xml:space="preserve">Loans </v>
      </c>
      <c r="E1288" s="148" t="s">
        <v>617</v>
      </c>
      <c r="F1288" s="323"/>
      <c r="G1288" s="323"/>
      <c r="H1288" s="323"/>
      <c r="I1288" s="323"/>
      <c r="J1288" s="323"/>
      <c r="K1288" s="323"/>
      <c r="L1288" s="323"/>
      <c r="M1288" s="323"/>
      <c r="N1288" s="323"/>
      <c r="O1288" s="323"/>
      <c r="P1288" s="323"/>
      <c r="Q1288" s="323"/>
      <c r="R1288" s="323"/>
      <c r="S1288" s="323"/>
      <c r="T1288" s="323"/>
      <c r="U1288" s="323"/>
      <c r="V1288" s="105">
        <f>-(V842-V846)</f>
        <v>-18.70073</v>
      </c>
      <c r="W1288" s="1407">
        <f>-(W842-W846)</f>
        <v>-1.1000000000000001</v>
      </c>
      <c r="X1288" s="1407">
        <f>-(X842-X846)</f>
        <v>-110.20000000000002</v>
      </c>
      <c r="Y1288" s="1408">
        <f>FISCinyear!ID967</f>
        <v>26.021809439999998</v>
      </c>
      <c r="Z1288" s="1408">
        <f>FISCinyear!IG967</f>
        <v>63.681102590000002</v>
      </c>
      <c r="AA1288" s="1408">
        <f>FISCinyear!IJ967</f>
        <v>50.348721671999996</v>
      </c>
      <c r="AB1288" s="1408">
        <f>FISCinyear!IM967</f>
        <v>26.438133610000001</v>
      </c>
      <c r="AC1288" s="1408">
        <f>FISCinyear!IP967</f>
        <v>57.010220723000003</v>
      </c>
      <c r="AD1288" s="1408">
        <f>FISCinyear!IS967</f>
        <v>29.968757732</v>
      </c>
      <c r="AE1288" s="1408">
        <f>FISCinyear!IV967</f>
        <v>103.647563932</v>
      </c>
      <c r="AF1288" s="1408">
        <f>FISCinyear!IY967</f>
        <v>107.61175493900001</v>
      </c>
      <c r="AG1288" s="1408">
        <f>FISCinyear!JB967</f>
        <v>94.482519613000008</v>
      </c>
      <c r="AH1288" s="1408">
        <f>FISCinyear!JE967</f>
        <v>92.082835726969989</v>
      </c>
      <c r="AI1288" s="1408">
        <f>FISCinyear!JH967</f>
        <v>82.891332118999998</v>
      </c>
      <c r="AJ1288" s="1408">
        <f>FISCinyear!JK967</f>
        <v>114.289174962906</v>
      </c>
      <c r="AK1288" s="1407">
        <f>AK1289+AK1294+AK1295+AK1293+AK1299</f>
        <v>58.762517943990304</v>
      </c>
      <c r="AL1288" s="1407">
        <f t="shared" ref="AL1288:AT1288" si="1557">AL1289+AL1294+AL1295+AL1293+AL1299</f>
        <v>32.503843045253639</v>
      </c>
      <c r="AM1288" s="1407">
        <f t="shared" si="1557"/>
        <v>30.040280979999999</v>
      </c>
      <c r="AN1288" s="1407">
        <f t="shared" si="1557"/>
        <v>30.040280979999999</v>
      </c>
      <c r="AO1288" s="1407">
        <f>AO1289+AO1294+AO1295+AO1293+AO1299</f>
        <v>28.891494336000001</v>
      </c>
      <c r="AP1288" s="1407">
        <f t="shared" si="1557"/>
        <v>9.5822931649999994</v>
      </c>
      <c r="AQ1288" s="1407">
        <f t="shared" si="1557"/>
        <v>9.5822931649999994</v>
      </c>
      <c r="AR1288" s="1407">
        <f t="shared" si="1557"/>
        <v>9.5822931649999994</v>
      </c>
      <c r="AS1288" s="1407">
        <f t="shared" si="1557"/>
        <v>9.5822931649999994</v>
      </c>
      <c r="AT1288" s="1407">
        <f t="shared" si="1557"/>
        <v>9.5822931649999994</v>
      </c>
      <c r="AU1288" s="1407">
        <f t="shared" si="1536"/>
        <v>9.5822931649999994</v>
      </c>
      <c r="AV1288" s="1407">
        <f t="shared" si="1528"/>
        <v>0</v>
      </c>
      <c r="AW1288" s="1916"/>
      <c r="AX1288" s="1916"/>
      <c r="AY1288" s="1916"/>
      <c r="AZ1288" s="1916"/>
      <c r="BA1288" s="1916"/>
      <c r="BB1288" s="1916"/>
      <c r="BC1288" s="1916"/>
      <c r="BD1288" s="1916"/>
      <c r="BE1288" s="1916"/>
      <c r="BF1288" s="1916"/>
      <c r="BG1288" s="1916"/>
      <c r="BH1288" s="1915"/>
    </row>
    <row r="1289" spans="1:60">
      <c r="A1289" s="1"/>
      <c r="B1289" s="1"/>
      <c r="C1289" s="1"/>
      <c r="D1289" s="1392" t="str">
        <f>+FISCinyear!D968</f>
        <v>o/w KCC</v>
      </c>
      <c r="E1289" s="323"/>
      <c r="F1289" s="323"/>
      <c r="G1289" s="323"/>
      <c r="H1289" s="323"/>
      <c r="I1289" s="323"/>
      <c r="J1289" s="323"/>
      <c r="K1289" s="323"/>
      <c r="L1289" s="323"/>
      <c r="M1289" s="323"/>
      <c r="N1289" s="323"/>
      <c r="O1289" s="323"/>
      <c r="P1289" s="323"/>
      <c r="Q1289" s="323"/>
      <c r="R1289" s="323"/>
      <c r="S1289" s="323"/>
      <c r="T1289" s="323"/>
      <c r="U1289" s="323"/>
      <c r="V1289" s="105"/>
      <c r="W1289" s="1407"/>
      <c r="X1289" s="1407"/>
      <c r="Y1289" s="1408">
        <f>FISCinyear!ID968</f>
        <v>0</v>
      </c>
      <c r="Z1289" s="1408">
        <f>FISCinyear!IG968</f>
        <v>0</v>
      </c>
      <c r="AA1289" s="1408">
        <f>FISCinyear!IJ968</f>
        <v>0</v>
      </c>
      <c r="AB1289" s="1408">
        <f>FISCinyear!IM968</f>
        <v>0</v>
      </c>
      <c r="AC1289" s="1408">
        <f>FISCinyear!IP968</f>
        <v>0</v>
      </c>
      <c r="AD1289" s="1408">
        <f>FISCinyear!IS968</f>
        <v>0</v>
      </c>
      <c r="AE1289" s="1408">
        <f>FISCinyear!IV968</f>
        <v>23.647563932000001</v>
      </c>
      <c r="AF1289" s="1408">
        <f>FISCinyear!IY968</f>
        <v>18.636315672999999</v>
      </c>
      <c r="AG1289" s="1408">
        <f>FISCinyear!JB968</f>
        <v>31.379218048999999</v>
      </c>
      <c r="AH1289" s="1408">
        <f>FISCinyear!JE968</f>
        <v>35.796852052999995</v>
      </c>
      <c r="AI1289" s="1408">
        <f>FISCinyear!JH968</f>
        <v>35.115803935000002</v>
      </c>
      <c r="AJ1289" s="1408">
        <f>FISCinyear!JK968</f>
        <v>34.572157967999999</v>
      </c>
      <c r="AK1289" s="1425">
        <f>'NET LENDING'!X6/1000000000</f>
        <v>33.969677187999999</v>
      </c>
      <c r="AL1289" s="1425">
        <f>'NET LENDING'!AA6/1000000000</f>
        <v>32.503843045253639</v>
      </c>
      <c r="AM1289" s="1425">
        <f>'NET LENDING'!AD6/1000000000</f>
        <v>30.040280979999999</v>
      </c>
      <c r="AN1289" s="1425">
        <f>'NET LENDING'!AG6/1000000000</f>
        <v>30.040280979999999</v>
      </c>
      <c r="AO1289" s="1425">
        <f>'NET LENDING'!AJ6/1000000000</f>
        <v>28.891494336000001</v>
      </c>
      <c r="AP1289" s="1425">
        <f>'NET LENDING'!AM6/1000000000</f>
        <v>9.5822931649999994</v>
      </c>
      <c r="AQ1289" s="1425">
        <f t="shared" ref="AQ1289:AT1289" si="1558">AP1289</f>
        <v>9.5822931649999994</v>
      </c>
      <c r="AR1289" s="1425">
        <f t="shared" si="1558"/>
        <v>9.5822931649999994</v>
      </c>
      <c r="AS1289" s="1425">
        <f t="shared" si="1558"/>
        <v>9.5822931649999994</v>
      </c>
      <c r="AT1289" s="1425">
        <f t="shared" si="1558"/>
        <v>9.5822931649999994</v>
      </c>
      <c r="AU1289" s="1425">
        <f t="shared" si="1536"/>
        <v>9.5822931649999994</v>
      </c>
      <c r="AV1289" s="1425">
        <f t="shared" si="1528"/>
        <v>0</v>
      </c>
      <c r="AW1289" s="1916"/>
      <c r="AX1289" s="1916"/>
      <c r="AY1289" s="1916"/>
      <c r="AZ1289" s="1916"/>
      <c r="BA1289" s="1916"/>
      <c r="BB1289" s="1916"/>
      <c r="BC1289" s="1916"/>
      <c r="BD1289" s="1916"/>
      <c r="BE1289" s="1916"/>
      <c r="BF1289" s="1916"/>
      <c r="BG1289" s="1916"/>
      <c r="BH1289" s="1915"/>
    </row>
    <row r="1290" spans="1:60">
      <c r="A1290" s="1"/>
      <c r="B1290" s="1"/>
      <c r="C1290" s="1"/>
      <c r="D1290" s="1395" t="s">
        <v>3575</v>
      </c>
      <c r="E1290" s="323"/>
      <c r="F1290" s="323"/>
      <c r="G1290" s="323"/>
      <c r="H1290" s="323"/>
      <c r="I1290" s="323"/>
      <c r="J1290" s="323"/>
      <c r="K1290" s="323"/>
      <c r="L1290" s="323"/>
      <c r="M1290" s="323"/>
      <c r="N1290" s="323"/>
      <c r="O1290" s="323"/>
      <c r="P1290" s="323"/>
      <c r="Q1290" s="323"/>
      <c r="R1290" s="323"/>
      <c r="S1290" s="323"/>
      <c r="T1290" s="323"/>
      <c r="U1290" s="323"/>
      <c r="V1290" s="105"/>
      <c r="W1290" s="1407"/>
      <c r="X1290" s="1407"/>
      <c r="Y1290" s="1408"/>
      <c r="Z1290" s="1408"/>
      <c r="AA1290" s="1408"/>
      <c r="AB1290" s="1408"/>
      <c r="AC1290" s="1408"/>
      <c r="AD1290" s="1408"/>
      <c r="AE1290" s="1408"/>
      <c r="AF1290" s="1408">
        <v>0</v>
      </c>
      <c r="AG1290" s="1408">
        <v>0</v>
      </c>
      <c r="AH1290" s="1408">
        <v>0</v>
      </c>
      <c r="AI1290" s="1408">
        <v>0</v>
      </c>
      <c r="AJ1290" s="1408">
        <v>0</v>
      </c>
      <c r="AK1290" s="1657">
        <f t="shared" ref="AK1290:AT1290" si="1559">AK1291+AK1292</f>
        <v>0</v>
      </c>
      <c r="AL1290" s="1657">
        <f t="shared" si="1559"/>
        <v>0</v>
      </c>
      <c r="AM1290" s="1657">
        <f t="shared" si="1559"/>
        <v>0</v>
      </c>
      <c r="AN1290" s="1657">
        <f t="shared" si="1559"/>
        <v>0</v>
      </c>
      <c r="AO1290" s="1657">
        <f t="shared" si="1559"/>
        <v>0</v>
      </c>
      <c r="AP1290" s="1657">
        <f t="shared" si="1559"/>
        <v>0</v>
      </c>
      <c r="AQ1290" s="1657">
        <f t="shared" si="1559"/>
        <v>0</v>
      </c>
      <c r="AR1290" s="1657">
        <f t="shared" si="1559"/>
        <v>0</v>
      </c>
      <c r="AS1290" s="1657">
        <f t="shared" si="1559"/>
        <v>0</v>
      </c>
      <c r="AT1290" s="1657">
        <f t="shared" si="1559"/>
        <v>0</v>
      </c>
      <c r="AU1290" s="1657">
        <f t="shared" ref="AU1290" si="1560">AU1291+AU1292</f>
        <v>0</v>
      </c>
      <c r="AV1290" s="1657" t="e">
        <f t="shared" si="1528"/>
        <v>#DIV/0!</v>
      </c>
      <c r="AW1290" s="1916"/>
      <c r="AX1290" s="1916"/>
      <c r="AY1290" s="1916"/>
      <c r="AZ1290" s="1916"/>
      <c r="BA1290" s="1916"/>
      <c r="BB1290" s="1916"/>
      <c r="BC1290" s="1916"/>
      <c r="BD1290" s="1916"/>
      <c r="BE1290" s="1916"/>
      <c r="BF1290" s="1916"/>
      <c r="BG1290" s="1916"/>
      <c r="BH1290" s="1915"/>
    </row>
    <row r="1291" spans="1:60">
      <c r="A1291" s="1"/>
      <c r="B1291" s="1"/>
      <c r="C1291" s="1"/>
      <c r="D1291" s="1901" t="s">
        <v>3583</v>
      </c>
      <c r="E1291" s="323"/>
      <c r="F1291" s="323"/>
      <c r="G1291" s="323"/>
      <c r="H1291" s="323"/>
      <c r="I1291" s="323"/>
      <c r="J1291" s="323"/>
      <c r="K1291" s="323"/>
      <c r="L1291" s="323"/>
      <c r="M1291" s="323"/>
      <c r="N1291" s="323"/>
      <c r="O1291" s="323"/>
      <c r="P1291" s="323"/>
      <c r="Q1291" s="323"/>
      <c r="R1291" s="323"/>
      <c r="S1291" s="323"/>
      <c r="T1291" s="323"/>
      <c r="U1291" s="323"/>
      <c r="V1291" s="105"/>
      <c r="W1291" s="1407"/>
      <c r="X1291" s="1407"/>
      <c r="Y1291" s="1408"/>
      <c r="Z1291" s="1408"/>
      <c r="AA1291" s="1408"/>
      <c r="AB1291" s="1408"/>
      <c r="AC1291" s="1408"/>
      <c r="AD1291" s="1408"/>
      <c r="AE1291" s="1408"/>
      <c r="AF1291" s="1408"/>
      <c r="AG1291" s="1408"/>
      <c r="AH1291" s="1408"/>
      <c r="AI1291" s="1408"/>
      <c r="AJ1291" s="1408"/>
      <c r="AK1291" s="1657"/>
      <c r="AL1291" s="1657"/>
      <c r="AM1291" s="1657"/>
      <c r="AN1291" s="1657"/>
      <c r="AO1291" s="1657"/>
      <c r="AP1291" s="1657"/>
      <c r="AQ1291" s="1657"/>
      <c r="AR1291" s="1657"/>
      <c r="AS1291" s="1657"/>
      <c r="AT1291" s="1657"/>
      <c r="AU1291" s="1657"/>
      <c r="AV1291" s="1657" t="e">
        <f t="shared" si="1528"/>
        <v>#DIV/0!</v>
      </c>
      <c r="AW1291" s="1916"/>
      <c r="AX1291" s="1916"/>
      <c r="AY1291" s="1916"/>
      <c r="AZ1291" s="1916"/>
      <c r="BA1291" s="1916"/>
      <c r="BB1291" s="1916"/>
      <c r="BC1291" s="1916"/>
      <c r="BD1291" s="1916"/>
      <c r="BE1291" s="1916"/>
      <c r="BF1291" s="1916"/>
      <c r="BG1291" s="1916"/>
      <c r="BH1291" s="1915"/>
    </row>
    <row r="1292" spans="1:60">
      <c r="A1292" s="1"/>
      <c r="B1292" s="1"/>
      <c r="C1292" s="1"/>
      <c r="D1292" s="1901" t="s">
        <v>3584</v>
      </c>
      <c r="E1292" s="323"/>
      <c r="F1292" s="323"/>
      <c r="G1292" s="323"/>
      <c r="H1292" s="323"/>
      <c r="I1292" s="323"/>
      <c r="J1292" s="323"/>
      <c r="K1292" s="323"/>
      <c r="L1292" s="323"/>
      <c r="M1292" s="323"/>
      <c r="N1292" s="323"/>
      <c r="O1292" s="323"/>
      <c r="P1292" s="323"/>
      <c r="Q1292" s="323"/>
      <c r="R1292" s="323"/>
      <c r="S1292" s="323"/>
      <c r="T1292" s="323"/>
      <c r="U1292" s="323"/>
      <c r="V1292" s="105"/>
      <c r="W1292" s="1407"/>
      <c r="X1292" s="1407"/>
      <c r="Y1292" s="1408"/>
      <c r="Z1292" s="1408"/>
      <c r="AA1292" s="1408"/>
      <c r="AB1292" s="1408"/>
      <c r="AC1292" s="1408"/>
      <c r="AD1292" s="1408"/>
      <c r="AE1292" s="1408"/>
      <c r="AF1292" s="1408"/>
      <c r="AG1292" s="1408"/>
      <c r="AH1292" s="1408"/>
      <c r="AI1292" s="1408"/>
      <c r="AJ1292" s="1408"/>
      <c r="AK1292" s="1657"/>
      <c r="AL1292" s="1657"/>
      <c r="AM1292" s="1657"/>
      <c r="AN1292" s="1657"/>
      <c r="AO1292" s="1657"/>
      <c r="AP1292" s="1657"/>
      <c r="AQ1292" s="1657"/>
      <c r="AR1292" s="1657"/>
      <c r="AS1292" s="1657"/>
      <c r="AT1292" s="1657"/>
      <c r="AU1292" s="1657"/>
      <c r="AV1292" s="1657" t="e">
        <f t="shared" si="1528"/>
        <v>#DIV/0!</v>
      </c>
      <c r="AW1292" s="1916"/>
      <c r="AX1292" s="1916"/>
      <c r="AY1292" s="1916"/>
      <c r="AZ1292" s="1916"/>
      <c r="BA1292" s="1916"/>
      <c r="BB1292" s="1916"/>
      <c r="BC1292" s="1916"/>
      <c r="BD1292" s="1916"/>
      <c r="BE1292" s="1916"/>
      <c r="BF1292" s="1916"/>
      <c r="BG1292" s="1916"/>
      <c r="BH1292" s="1915"/>
    </row>
    <row r="1293" spans="1:60">
      <c r="A1293" s="1"/>
      <c r="B1293" s="1"/>
      <c r="C1293" s="1"/>
      <c r="D1293" s="1395" t="s">
        <v>3152</v>
      </c>
      <c r="E1293" s="323"/>
      <c r="F1293" s="323"/>
      <c r="G1293" s="323"/>
      <c r="H1293" s="323"/>
      <c r="I1293" s="323"/>
      <c r="J1293" s="323"/>
      <c r="K1293" s="323"/>
      <c r="L1293" s="323"/>
      <c r="M1293" s="323"/>
      <c r="N1293" s="323"/>
      <c r="O1293" s="323"/>
      <c r="P1293" s="323"/>
      <c r="Q1293" s="323"/>
      <c r="R1293" s="323"/>
      <c r="S1293" s="323"/>
      <c r="T1293" s="323"/>
      <c r="U1293" s="323"/>
      <c r="V1293" s="105"/>
      <c r="W1293" s="1407"/>
      <c r="X1293" s="1407"/>
      <c r="Y1293" s="1408"/>
      <c r="Z1293" s="1408"/>
      <c r="AA1293" s="1408"/>
      <c r="AB1293" s="1408"/>
      <c r="AC1293" s="1408"/>
      <c r="AD1293" s="1408"/>
      <c r="AE1293" s="1408"/>
      <c r="AF1293" s="1408">
        <f>FISCinyear!IY971</f>
        <v>0</v>
      </c>
      <c r="AG1293" s="1408">
        <f>FISCinyear!JB971</f>
        <v>0</v>
      </c>
      <c r="AH1293" s="1408">
        <f>FISCinyear!JE971</f>
        <v>0</v>
      </c>
      <c r="AI1293" s="1408">
        <f>FISCinyear!JH971</f>
        <v>0</v>
      </c>
      <c r="AJ1293" s="1408">
        <f>FISCinyear!JK971</f>
        <v>0</v>
      </c>
      <c r="AK1293" s="1425">
        <v>0</v>
      </c>
      <c r="AL1293" s="1425">
        <v>0</v>
      </c>
      <c r="AM1293" s="1425">
        <v>0</v>
      </c>
      <c r="AN1293" s="1425">
        <v>0</v>
      </c>
      <c r="AO1293" s="1425">
        <v>0</v>
      </c>
      <c r="AP1293" s="1425">
        <v>0</v>
      </c>
      <c r="AQ1293" s="1425">
        <v>0</v>
      </c>
      <c r="AR1293" s="1425">
        <v>0</v>
      </c>
      <c r="AS1293" s="1425">
        <v>0</v>
      </c>
      <c r="AT1293" s="1425">
        <v>0</v>
      </c>
      <c r="AU1293" s="1425">
        <v>0</v>
      </c>
      <c r="AV1293" s="1425" t="e">
        <f t="shared" si="1528"/>
        <v>#DIV/0!</v>
      </c>
      <c r="AW1293" s="1916"/>
      <c r="AX1293" s="1916"/>
      <c r="AY1293" s="1916"/>
      <c r="AZ1293" s="1916"/>
      <c r="BA1293" s="1916"/>
      <c r="BB1293" s="1916"/>
      <c r="BC1293" s="1916"/>
      <c r="BD1293" s="1916"/>
      <c r="BE1293" s="1916"/>
      <c r="BF1293" s="1916"/>
      <c r="BG1293" s="1916"/>
      <c r="BH1293" s="1915"/>
    </row>
    <row r="1294" spans="1:60">
      <c r="A1294" s="1"/>
      <c r="B1294" s="1"/>
      <c r="C1294" s="1"/>
      <c r="D1294" s="1392" t="s">
        <v>3067</v>
      </c>
      <c r="E1294" s="323"/>
      <c r="F1294" s="323"/>
      <c r="G1294" s="323"/>
      <c r="H1294" s="323"/>
      <c r="I1294" s="323"/>
      <c r="J1294" s="323"/>
      <c r="K1294" s="323"/>
      <c r="L1294" s="323"/>
      <c r="M1294" s="323"/>
      <c r="N1294" s="323"/>
      <c r="O1294" s="323"/>
      <c r="P1294" s="323"/>
      <c r="Q1294" s="323"/>
      <c r="R1294" s="323"/>
      <c r="S1294" s="323"/>
      <c r="T1294" s="323"/>
      <c r="U1294" s="323"/>
      <c r="V1294" s="105"/>
      <c r="W1294" s="1407"/>
      <c r="X1294" s="1407"/>
      <c r="Y1294" s="1408"/>
      <c r="Z1294" s="1408"/>
      <c r="AA1294" s="1408"/>
      <c r="AB1294" s="1408"/>
      <c r="AC1294" s="1408"/>
      <c r="AD1294" s="1408"/>
      <c r="AE1294" s="1408"/>
      <c r="AF1294" s="1408">
        <f>FISCinyear!IY973</f>
        <v>0</v>
      </c>
      <c r="AG1294" s="1408">
        <f>FISCinyear!JB973</f>
        <v>0</v>
      </c>
      <c r="AH1294" s="1408">
        <f>FISCinyear!JE973</f>
        <v>0</v>
      </c>
      <c r="AI1294" s="1408">
        <f>FISCinyear!JH973</f>
        <v>0</v>
      </c>
      <c r="AJ1294" s="1408">
        <f>FISCinyear!JK973</f>
        <v>0</v>
      </c>
      <c r="AK1294" s="1407">
        <v>0</v>
      </c>
      <c r="AL1294" s="1407">
        <v>0</v>
      </c>
      <c r="AM1294" s="1407">
        <v>0</v>
      </c>
      <c r="AN1294" s="1407">
        <v>0</v>
      </c>
      <c r="AO1294" s="1407">
        <v>0</v>
      </c>
      <c r="AP1294" s="1407">
        <v>0</v>
      </c>
      <c r="AQ1294" s="1407">
        <v>0</v>
      </c>
      <c r="AR1294" s="1407">
        <v>0</v>
      </c>
      <c r="AS1294" s="1407">
        <v>0</v>
      </c>
      <c r="AT1294" s="1407">
        <v>0</v>
      </c>
      <c r="AU1294" s="1407">
        <v>0</v>
      </c>
      <c r="AV1294" s="1407" t="e">
        <f t="shared" si="1528"/>
        <v>#DIV/0!</v>
      </c>
      <c r="AW1294" s="1916"/>
      <c r="AX1294" s="1916"/>
      <c r="AY1294" s="1916"/>
      <c r="AZ1294" s="1916"/>
      <c r="BA1294" s="1916"/>
      <c r="BB1294" s="1916"/>
      <c r="BC1294" s="1916"/>
      <c r="BD1294" s="1916"/>
      <c r="BE1294" s="1916"/>
      <c r="BF1294" s="1916"/>
      <c r="BG1294" s="1916"/>
      <c r="BH1294" s="1915"/>
    </row>
    <row r="1295" spans="1:60" ht="11.2" customHeight="1">
      <c r="A1295" s="1"/>
      <c r="B1295" s="1"/>
      <c r="C1295" s="1"/>
      <c r="D1295" s="1392" t="s">
        <v>3066</v>
      </c>
      <c r="E1295" s="323"/>
      <c r="F1295" s="323"/>
      <c r="G1295" s="323"/>
      <c r="H1295" s="323"/>
      <c r="I1295" s="323"/>
      <c r="J1295" s="323"/>
      <c r="K1295" s="323"/>
      <c r="L1295" s="323"/>
      <c r="M1295" s="323"/>
      <c r="N1295" s="323"/>
      <c r="O1295" s="323"/>
      <c r="P1295" s="323"/>
      <c r="Q1295" s="323"/>
      <c r="R1295" s="323"/>
      <c r="S1295" s="323"/>
      <c r="T1295" s="323"/>
      <c r="U1295" s="323"/>
      <c r="V1295" s="105"/>
      <c r="W1295" s="1407"/>
      <c r="X1295" s="1407"/>
      <c r="Y1295" s="1408"/>
      <c r="Z1295" s="1408"/>
      <c r="AA1295" s="1408"/>
      <c r="AB1295" s="1408"/>
      <c r="AC1295" s="1408"/>
      <c r="AD1295" s="1408"/>
      <c r="AE1295" s="1408"/>
      <c r="AF1295" s="1408">
        <f>FISCinyear!IY974</f>
        <v>88.975439265999995</v>
      </c>
      <c r="AG1295" s="1408">
        <f>FISCinyear!JB974</f>
        <v>63.103301563999999</v>
      </c>
      <c r="AH1295" s="1408">
        <f>FISCinyear!JE974</f>
        <v>56.285983673969994</v>
      </c>
      <c r="AI1295" s="1408">
        <f>FISCinyear!JH974</f>
        <v>46.3</v>
      </c>
      <c r="AJ1295" s="1408">
        <f>FISCinyear!JK974</f>
        <v>41.682182651905997</v>
      </c>
      <c r="AK1295" s="1561">
        <f>AK1296+AK1297+AK1298</f>
        <v>24.792840755990309</v>
      </c>
      <c r="AL1295" s="1561">
        <f t="shared" ref="AL1295:AP1295" si="1561">AL1296+AL1297+AL1298</f>
        <v>0</v>
      </c>
      <c r="AM1295" s="1561">
        <f t="shared" si="1561"/>
        <v>0</v>
      </c>
      <c r="AN1295" s="1561">
        <f t="shared" si="1561"/>
        <v>0</v>
      </c>
      <c r="AO1295" s="1561">
        <f t="shared" si="1561"/>
        <v>0</v>
      </c>
      <c r="AP1295" s="1561">
        <f t="shared" si="1561"/>
        <v>0</v>
      </c>
      <c r="AQ1295" s="1561">
        <f>AQ1362</f>
        <v>0</v>
      </c>
      <c r="AR1295" s="1561">
        <f>AR1362</f>
        <v>0</v>
      </c>
      <c r="AS1295" s="1561">
        <f>AS1362</f>
        <v>0</v>
      </c>
      <c r="AT1295" s="1561">
        <f>AT1362</f>
        <v>0</v>
      </c>
      <c r="AU1295" s="1561">
        <f t="shared" ref="AU1295" si="1562">AU1362</f>
        <v>0</v>
      </c>
      <c r="AV1295" s="1561" t="e">
        <f t="shared" si="1528"/>
        <v>#DIV/0!</v>
      </c>
      <c r="AW1295" s="1916"/>
      <c r="AX1295" s="1916"/>
      <c r="AY1295" s="1916"/>
      <c r="AZ1295" s="1916"/>
      <c r="BA1295" s="1916"/>
      <c r="BB1295" s="1916"/>
      <c r="BC1295" s="1916"/>
      <c r="BD1295" s="1916"/>
      <c r="BE1295" s="1916"/>
      <c r="BF1295" s="1916"/>
      <c r="BG1295" s="1916"/>
      <c r="BH1295" s="1915"/>
    </row>
    <row r="1296" spans="1:60" s="3053" customFormat="1" ht="11.2" customHeight="1">
      <c r="D1296" s="1395" t="s">
        <v>4198</v>
      </c>
      <c r="E1296" s="323"/>
      <c r="F1296" s="323"/>
      <c r="G1296" s="323"/>
      <c r="H1296" s="323"/>
      <c r="I1296" s="323"/>
      <c r="J1296" s="323"/>
      <c r="K1296" s="323"/>
      <c r="L1296" s="323"/>
      <c r="M1296" s="323"/>
      <c r="N1296" s="323"/>
      <c r="O1296" s="323"/>
      <c r="P1296" s="323"/>
      <c r="Q1296" s="323"/>
      <c r="R1296" s="323"/>
      <c r="S1296" s="323"/>
      <c r="T1296" s="323"/>
      <c r="U1296" s="323"/>
      <c r="V1296" s="105"/>
      <c r="W1296" s="1407"/>
      <c r="X1296" s="1407"/>
      <c r="Y1296" s="1408"/>
      <c r="Z1296" s="1408"/>
      <c r="AA1296" s="1408"/>
      <c r="AB1296" s="1408"/>
      <c r="AC1296" s="1408"/>
      <c r="AD1296" s="1408"/>
      <c r="AE1296" s="1408"/>
      <c r="AF1296" s="1408"/>
      <c r="AG1296" s="1408"/>
      <c r="AH1296" s="1408"/>
      <c r="AI1296" s="1408"/>
      <c r="AJ1296" s="1408"/>
      <c r="AK1296" s="3103">
        <f>AK1362</f>
        <v>24.792840755990309</v>
      </c>
      <c r="AL1296" s="3103"/>
      <c r="AM1296" s="3103"/>
      <c r="AN1296" s="3103"/>
      <c r="AO1296" s="3103"/>
      <c r="AP1296" s="3103"/>
      <c r="AQ1296" s="3103"/>
      <c r="AR1296" s="3103"/>
      <c r="AS1296" s="3103"/>
      <c r="AT1296" s="3103"/>
      <c r="AU1296" s="3103"/>
      <c r="AV1296" s="3103"/>
      <c r="AW1296" s="1916"/>
      <c r="AX1296" s="1916"/>
      <c r="AY1296" s="1916"/>
      <c r="AZ1296" s="1916"/>
      <c r="BA1296" s="1916"/>
      <c r="BB1296" s="1916"/>
      <c r="BC1296" s="1916"/>
      <c r="BD1296" s="1916"/>
      <c r="BE1296" s="1916"/>
      <c r="BF1296" s="1916"/>
      <c r="BG1296" s="1916"/>
      <c r="BH1296" s="1915"/>
    </row>
    <row r="1297" spans="1:60" s="3053" customFormat="1" ht="11.2" customHeight="1">
      <c r="D1297" s="1395" t="s">
        <v>4197</v>
      </c>
      <c r="E1297" s="323"/>
      <c r="F1297" s="323"/>
      <c r="G1297" s="323"/>
      <c r="H1297" s="323"/>
      <c r="I1297" s="323"/>
      <c r="J1297" s="323"/>
      <c r="K1297" s="323"/>
      <c r="L1297" s="323"/>
      <c r="M1297" s="323"/>
      <c r="N1297" s="323"/>
      <c r="O1297" s="323"/>
      <c r="P1297" s="323"/>
      <c r="Q1297" s="323"/>
      <c r="R1297" s="323"/>
      <c r="S1297" s="323"/>
      <c r="T1297" s="323"/>
      <c r="U1297" s="323"/>
      <c r="V1297" s="105"/>
      <c r="W1297" s="1407"/>
      <c r="X1297" s="1407"/>
      <c r="Y1297" s="1408"/>
      <c r="Z1297" s="1408"/>
      <c r="AA1297" s="1408"/>
      <c r="AB1297" s="1408"/>
      <c r="AC1297" s="1408"/>
      <c r="AD1297" s="1408"/>
      <c r="AE1297" s="1408"/>
      <c r="AF1297" s="1408"/>
      <c r="AG1297" s="1408"/>
      <c r="AH1297" s="1408"/>
      <c r="AI1297" s="1408"/>
      <c r="AJ1297" s="1408"/>
      <c r="AK1297" s="3103">
        <f>-AK709</f>
        <v>-21.932028332305556</v>
      </c>
      <c r="AL1297" s="3103">
        <f t="shared" ref="AL1297:AP1297" si="1563">-AL709</f>
        <v>-14.264886520916667</v>
      </c>
      <c r="AM1297" s="3103">
        <f t="shared" si="1563"/>
        <v>-16.078544451722223</v>
      </c>
      <c r="AN1297" s="3103">
        <f t="shared" si="1563"/>
        <v>-15.869247363222222</v>
      </c>
      <c r="AO1297" s="3103">
        <f t="shared" si="1563"/>
        <v>-15.618864141722222</v>
      </c>
      <c r="AP1297" s="3103">
        <f t="shared" si="1563"/>
        <v>-14.801179773222222</v>
      </c>
      <c r="AQ1297" s="3103"/>
      <c r="AR1297" s="3103"/>
      <c r="AS1297" s="3103"/>
      <c r="AT1297" s="3103"/>
      <c r="AU1297" s="3103"/>
      <c r="AV1297" s="3103"/>
      <c r="AW1297" s="1916"/>
      <c r="AX1297" s="1916"/>
      <c r="AY1297" s="1916"/>
      <c r="AZ1297" s="1916"/>
      <c r="BA1297" s="1916"/>
      <c r="BB1297" s="1916"/>
      <c r="BC1297" s="1916"/>
      <c r="BD1297" s="1916"/>
      <c r="BE1297" s="1916"/>
      <c r="BF1297" s="1916"/>
      <c r="BG1297" s="1916"/>
      <c r="BH1297" s="1915"/>
    </row>
    <row r="1298" spans="1:60" s="3053" customFormat="1" ht="11.2" customHeight="1">
      <c r="D1298" s="1395" t="s">
        <v>4201</v>
      </c>
      <c r="E1298" s="323"/>
      <c r="F1298" s="323"/>
      <c r="G1298" s="323"/>
      <c r="H1298" s="323"/>
      <c r="I1298" s="323"/>
      <c r="J1298" s="323"/>
      <c r="K1298" s="323"/>
      <c r="L1298" s="323"/>
      <c r="M1298" s="323"/>
      <c r="N1298" s="323"/>
      <c r="O1298" s="323"/>
      <c r="P1298" s="323"/>
      <c r="Q1298" s="323"/>
      <c r="R1298" s="323"/>
      <c r="S1298" s="323"/>
      <c r="T1298" s="323"/>
      <c r="U1298" s="323"/>
      <c r="V1298" s="105"/>
      <c r="W1298" s="1407"/>
      <c r="X1298" s="1407"/>
      <c r="Y1298" s="1408"/>
      <c r="Z1298" s="1408"/>
      <c r="AA1298" s="1408"/>
      <c r="AB1298" s="1408"/>
      <c r="AC1298" s="1408"/>
      <c r="AD1298" s="1408"/>
      <c r="AE1298" s="1408"/>
      <c r="AF1298" s="1408"/>
      <c r="AG1298" s="1408"/>
      <c r="AH1298" s="1408"/>
      <c r="AI1298" s="1408"/>
      <c r="AJ1298" s="1408"/>
      <c r="AK1298" s="3103">
        <f>AK709</f>
        <v>21.932028332305556</v>
      </c>
      <c r="AL1298" s="3103">
        <f t="shared" ref="AL1298:AP1298" si="1564">AL709</f>
        <v>14.264886520916667</v>
      </c>
      <c r="AM1298" s="3103">
        <f t="shared" si="1564"/>
        <v>16.078544451722223</v>
      </c>
      <c r="AN1298" s="3103">
        <f t="shared" si="1564"/>
        <v>15.869247363222222</v>
      </c>
      <c r="AO1298" s="3103">
        <f t="shared" si="1564"/>
        <v>15.618864141722222</v>
      </c>
      <c r="AP1298" s="3103">
        <f t="shared" si="1564"/>
        <v>14.801179773222222</v>
      </c>
      <c r="AQ1298" s="3103"/>
      <c r="AR1298" s="3103"/>
      <c r="AS1298" s="3103"/>
      <c r="AT1298" s="3103"/>
      <c r="AU1298" s="3103"/>
      <c r="AV1298" s="3103"/>
      <c r="AW1298" s="1916"/>
      <c r="AX1298" s="1916"/>
      <c r="AY1298" s="1916"/>
      <c r="AZ1298" s="1916"/>
      <c r="BA1298" s="1916"/>
      <c r="BB1298" s="1916"/>
      <c r="BC1298" s="1916"/>
      <c r="BD1298" s="1916"/>
      <c r="BE1298" s="1916"/>
      <c r="BF1298" s="1916"/>
      <c r="BG1298" s="1916"/>
      <c r="BH1298" s="1915"/>
    </row>
    <row r="1299" spans="1:60" ht="11.2" customHeight="1">
      <c r="A1299" s="1"/>
      <c r="B1299" s="1"/>
      <c r="C1299" s="1"/>
      <c r="D1299" s="1774" t="s">
        <v>3561</v>
      </c>
      <c r="E1299" s="323"/>
      <c r="F1299" s="323"/>
      <c r="G1299" s="323"/>
      <c r="H1299" s="323"/>
      <c r="I1299" s="323"/>
      <c r="J1299" s="323"/>
      <c r="K1299" s="323"/>
      <c r="L1299" s="323"/>
      <c r="M1299" s="323"/>
      <c r="N1299" s="323"/>
      <c r="O1299" s="323"/>
      <c r="P1299" s="323"/>
      <c r="Q1299" s="323"/>
      <c r="R1299" s="323"/>
      <c r="S1299" s="323"/>
      <c r="T1299" s="323"/>
      <c r="U1299" s="323"/>
      <c r="V1299" s="105"/>
      <c r="W1299" s="1407"/>
      <c r="X1299" s="1407"/>
      <c r="Y1299" s="1408"/>
      <c r="Z1299" s="1408"/>
      <c r="AA1299" s="1408"/>
      <c r="AB1299" s="1408"/>
      <c r="AC1299" s="1408"/>
      <c r="AD1299" s="1408"/>
      <c r="AE1299" s="1408"/>
      <c r="AF1299" s="1408"/>
      <c r="AG1299" s="1408"/>
      <c r="AH1299" s="1408"/>
      <c r="AI1299" s="1408"/>
      <c r="AJ1299" s="1408"/>
      <c r="AK1299" s="934"/>
      <c r="AL1299" s="934"/>
      <c r="AM1299" s="934"/>
      <c r="AN1299" s="934"/>
      <c r="AO1299" s="934"/>
      <c r="AP1299" s="934"/>
      <c r="AQ1299" s="934"/>
      <c r="AR1299" s="934"/>
      <c r="AS1299" s="934"/>
      <c r="AT1299" s="934"/>
      <c r="AU1299" s="934"/>
      <c r="AV1299" s="934" t="e">
        <f t="shared" si="1528"/>
        <v>#DIV/0!</v>
      </c>
      <c r="AW1299" s="1916"/>
      <c r="AX1299" s="1916"/>
      <c r="AY1299" s="1916"/>
      <c r="AZ1299" s="1916"/>
      <c r="BA1299" s="1916"/>
      <c r="BB1299" s="1916"/>
      <c r="BC1299" s="1916"/>
      <c r="BD1299" s="1916"/>
      <c r="BE1299" s="1916"/>
      <c r="BF1299" s="1916"/>
      <c r="BG1299" s="1916"/>
      <c r="BH1299" s="1915"/>
    </row>
    <row r="1300" spans="1:60">
      <c r="A1300" s="1"/>
      <c r="B1300" s="1"/>
      <c r="C1300" s="1"/>
      <c r="D1300" s="359" t="s">
        <v>3062</v>
      </c>
      <c r="E1300" s="323"/>
      <c r="F1300" s="323"/>
      <c r="G1300" s="323"/>
      <c r="H1300" s="323"/>
      <c r="I1300" s="323"/>
      <c r="J1300" s="323"/>
      <c r="K1300" s="323"/>
      <c r="L1300" s="323"/>
      <c r="M1300" s="323"/>
      <c r="N1300" s="323"/>
      <c r="O1300" s="323"/>
      <c r="P1300" s="323"/>
      <c r="Q1300" s="323"/>
      <c r="R1300" s="323"/>
      <c r="S1300" s="323"/>
      <c r="T1300" s="323"/>
      <c r="U1300" s="323"/>
      <c r="V1300" s="105"/>
      <c r="W1300" s="1407"/>
      <c r="X1300" s="1407"/>
      <c r="Y1300" s="1408">
        <f>FISCinyear!ID974</f>
        <v>0</v>
      </c>
      <c r="Z1300" s="1408">
        <f>FISCinyear!IG974</f>
        <v>0</v>
      </c>
      <c r="AA1300" s="1408">
        <f>FISCinyear!IJ974</f>
        <v>0</v>
      </c>
      <c r="AB1300" s="1408">
        <f>FISCinyear!IM974</f>
        <v>0</v>
      </c>
      <c r="AC1300" s="1408">
        <f>FISCinyear!IP974</f>
        <v>0</v>
      </c>
      <c r="AD1300" s="1408">
        <f>FISCinyear!IS974</f>
        <v>0</v>
      </c>
      <c r="AE1300" s="1408">
        <f>FISCinyear!IV974</f>
        <v>0</v>
      </c>
      <c r="AF1300" s="1408">
        <f>FISCinyear!IY976</f>
        <v>2.0516666680000002</v>
      </c>
      <c r="AG1300" s="1408">
        <f>FISCinyear!JB976</f>
        <v>62.448015353999999</v>
      </c>
      <c r="AH1300" s="1408">
        <f>FISCinyear!JE976</f>
        <v>49.352330901000002</v>
      </c>
      <c r="AI1300" s="1408">
        <f>FISCinyear!JH976</f>
        <v>28.514512200000002</v>
      </c>
      <c r="AJ1300" s="1408">
        <f>FISCinyear!JK976</f>
        <v>49.667499565</v>
      </c>
      <c r="AK1300" s="1407">
        <f t="shared" ref="AK1300:AT1300" si="1565">+AK1301+AK1303+AK1307</f>
        <v>532.74593383037995</v>
      </c>
      <c r="AL1300" s="1407">
        <f t="shared" si="1565"/>
        <v>470.74951295425944</v>
      </c>
      <c r="AM1300" s="1407">
        <f t="shared" si="1565"/>
        <v>375.31381358043683</v>
      </c>
      <c r="AN1300" s="1407">
        <f t="shared" si="1565"/>
        <v>39.891145318946343</v>
      </c>
      <c r="AO1300" s="1407">
        <f t="shared" si="1565"/>
        <v>36.861143773833867</v>
      </c>
      <c r="AP1300" s="1407">
        <f t="shared" si="1565"/>
        <v>35.981844030639998</v>
      </c>
      <c r="AQ1300" s="1407">
        <f t="shared" si="1565"/>
        <v>35.981844030639998</v>
      </c>
      <c r="AR1300" s="1407">
        <f t="shared" si="1565"/>
        <v>35.981844030639998</v>
      </c>
      <c r="AS1300" s="1407">
        <f t="shared" si="1565"/>
        <v>35.981844030639998</v>
      </c>
      <c r="AT1300" s="1407">
        <f t="shared" si="1565"/>
        <v>35.981844030639998</v>
      </c>
      <c r="AU1300" s="1407">
        <f t="shared" si="1536"/>
        <v>35.981844030639998</v>
      </c>
      <c r="AV1300" s="1407">
        <f t="shared" si="1528"/>
        <v>0</v>
      </c>
      <c r="AW1300" s="1916"/>
      <c r="AX1300" s="1916"/>
      <c r="AY1300" s="1916"/>
      <c r="AZ1300" s="1916"/>
      <c r="BA1300" s="1916"/>
      <c r="BB1300" s="1916"/>
      <c r="BC1300" s="1916"/>
      <c r="BD1300" s="1916"/>
      <c r="BE1300" s="1916"/>
      <c r="BF1300" s="1916"/>
      <c r="BG1300" s="1916"/>
      <c r="BH1300" s="1915"/>
    </row>
    <row r="1301" spans="1:60" ht="11.1" customHeight="1">
      <c r="A1301" s="1"/>
      <c r="B1301" s="1"/>
      <c r="C1301" s="1"/>
      <c r="D1301" s="359" t="s">
        <v>3138</v>
      </c>
      <c r="E1301" s="323"/>
      <c r="F1301" s="323"/>
      <c r="G1301" s="323"/>
      <c r="H1301" s="323"/>
      <c r="I1301" s="323"/>
      <c r="J1301" s="323"/>
      <c r="K1301" s="323"/>
      <c r="L1301" s="323"/>
      <c r="M1301" s="323"/>
      <c r="N1301" s="323"/>
      <c r="O1301" s="323"/>
      <c r="P1301" s="323"/>
      <c r="Q1301" s="323"/>
      <c r="R1301" s="323"/>
      <c r="S1301" s="323"/>
      <c r="T1301" s="323"/>
      <c r="U1301" s="323"/>
      <c r="V1301" s="105"/>
      <c r="W1301" s="1407"/>
      <c r="X1301" s="1407"/>
      <c r="Y1301" s="1408"/>
      <c r="Z1301" s="1408"/>
      <c r="AA1301" s="1408"/>
      <c r="AB1301" s="1408"/>
      <c r="AC1301" s="1408"/>
      <c r="AD1301" s="1408"/>
      <c r="AE1301" s="1408"/>
      <c r="AF1301" s="1408">
        <f>FISCinyear!IY977</f>
        <v>5.6388771082249995</v>
      </c>
      <c r="AG1301" s="1408">
        <f>FISCinyear!JB977</f>
        <v>4.6550000000000002</v>
      </c>
      <c r="AH1301" s="1408">
        <f>FISCinyear!JE977</f>
        <v>4.6536712690000002</v>
      </c>
      <c r="AI1301" s="1408">
        <f>FISCinyear!JH977</f>
        <v>7.0007651949999996</v>
      </c>
      <c r="AJ1301" s="1408">
        <f>FISCinyear!JK977</f>
        <v>4.5697663009999987</v>
      </c>
      <c r="AK1301" s="1407">
        <f>AK1302</f>
        <v>2.3525770642518919</v>
      </c>
      <c r="AL1301" s="1407">
        <f t="shared" ref="AL1301:AP1301" si="1566">AL1302</f>
        <v>0</v>
      </c>
      <c r="AM1301" s="1407">
        <f t="shared" si="1566"/>
        <v>0</v>
      </c>
      <c r="AN1301" s="1407">
        <f t="shared" si="1566"/>
        <v>0</v>
      </c>
      <c r="AO1301" s="1407">
        <f t="shared" si="1566"/>
        <v>0</v>
      </c>
      <c r="AP1301" s="1407">
        <f t="shared" si="1566"/>
        <v>0</v>
      </c>
      <c r="AQ1301" s="1407">
        <v>0</v>
      </c>
      <c r="AR1301" s="1407">
        <v>0</v>
      </c>
      <c r="AS1301" s="1407">
        <v>0</v>
      </c>
      <c r="AT1301" s="1407">
        <v>0</v>
      </c>
      <c r="AU1301" s="1407">
        <v>0</v>
      </c>
      <c r="AV1301" s="1407" t="e">
        <f t="shared" si="1528"/>
        <v>#DIV/0!</v>
      </c>
      <c r="AW1301" s="1916"/>
      <c r="AX1301" s="1916"/>
      <c r="AY1301" s="1916"/>
      <c r="AZ1301" s="1916"/>
      <c r="BA1301" s="1916"/>
      <c r="BB1301" s="1916"/>
      <c r="BC1301" s="1916"/>
      <c r="BD1301" s="1916"/>
      <c r="BE1301" s="1916"/>
      <c r="BF1301" s="1916"/>
      <c r="BG1301" s="1916"/>
      <c r="BH1301" s="1915"/>
    </row>
    <row r="1302" spans="1:60" s="3053" customFormat="1" ht="11.1" customHeight="1">
      <c r="D1302" s="363" t="s">
        <v>4199</v>
      </c>
      <c r="E1302" s="323"/>
      <c r="F1302" s="323"/>
      <c r="G1302" s="323"/>
      <c r="H1302" s="323"/>
      <c r="I1302" s="323"/>
      <c r="J1302" s="323"/>
      <c r="K1302" s="323"/>
      <c r="L1302" s="323"/>
      <c r="M1302" s="323"/>
      <c r="N1302" s="323"/>
      <c r="O1302" s="323"/>
      <c r="P1302" s="323"/>
      <c r="Q1302" s="323"/>
      <c r="R1302" s="323"/>
      <c r="S1302" s="323"/>
      <c r="T1302" s="323"/>
      <c r="U1302" s="323"/>
      <c r="V1302" s="105"/>
      <c r="W1302" s="1407"/>
      <c r="X1302" s="1407"/>
      <c r="Y1302" s="1408"/>
      <c r="Z1302" s="1408"/>
      <c r="AA1302" s="1408"/>
      <c r="AB1302" s="1408"/>
      <c r="AC1302" s="1408"/>
      <c r="AD1302" s="1408"/>
      <c r="AE1302" s="1408"/>
      <c r="AF1302" s="1408"/>
      <c r="AG1302" s="1408"/>
      <c r="AH1302" s="1408"/>
      <c r="AI1302" s="1408"/>
      <c r="AJ1302" s="1408"/>
      <c r="AK1302" s="1407">
        <f>'NET LENDING'!X9/1000000000</f>
        <v>2.3525770642518919</v>
      </c>
      <c r="AL1302" s="1407">
        <f>'NET LENDING'!AA9/1000000000</f>
        <v>0</v>
      </c>
      <c r="AM1302" s="1407">
        <f>'NET LENDING'!AD9/1000000000</f>
        <v>0</v>
      </c>
      <c r="AN1302" s="1407">
        <f>'NET LENDING'!AG9/1000000000</f>
        <v>0</v>
      </c>
      <c r="AO1302" s="1407">
        <f>'NET LENDING'!AJ9/1000000000</f>
        <v>0</v>
      </c>
      <c r="AP1302" s="1407">
        <v>0</v>
      </c>
      <c r="AQ1302" s="1407"/>
      <c r="AR1302" s="1407"/>
      <c r="AS1302" s="1407"/>
      <c r="AT1302" s="1407"/>
      <c r="AU1302" s="1407"/>
      <c r="AV1302" s="1407"/>
      <c r="AW1302" s="1916"/>
      <c r="AX1302" s="1916"/>
      <c r="AY1302" s="1916"/>
      <c r="AZ1302" s="1916"/>
      <c r="BA1302" s="1916"/>
      <c r="BB1302" s="1916"/>
      <c r="BC1302" s="1916"/>
      <c r="BD1302" s="1916"/>
      <c r="BE1302" s="1916"/>
      <c r="BF1302" s="1916"/>
      <c r="BG1302" s="1916"/>
      <c r="BH1302" s="1915"/>
    </row>
    <row r="1303" spans="1:60" ht="11.25" customHeight="1">
      <c r="A1303" s="1"/>
      <c r="B1303" s="1"/>
      <c r="C1303" s="1"/>
      <c r="D1303" s="359" t="s">
        <v>3137</v>
      </c>
      <c r="E1303" s="323"/>
      <c r="F1303" s="323"/>
      <c r="G1303" s="323"/>
      <c r="H1303" s="323"/>
      <c r="I1303" s="323"/>
      <c r="J1303" s="323"/>
      <c r="K1303" s="323"/>
      <c r="L1303" s="323"/>
      <c r="M1303" s="323"/>
      <c r="N1303" s="323"/>
      <c r="O1303" s="323"/>
      <c r="P1303" s="323"/>
      <c r="Q1303" s="323"/>
      <c r="R1303" s="323"/>
      <c r="S1303" s="323"/>
      <c r="T1303" s="323"/>
      <c r="U1303" s="323"/>
      <c r="V1303" s="105"/>
      <c r="W1303" s="1407"/>
      <c r="X1303" s="1407"/>
      <c r="Y1303" s="1408"/>
      <c r="Z1303" s="1408"/>
      <c r="AA1303" s="1408"/>
      <c r="AB1303" s="1408"/>
      <c r="AC1303" s="1408"/>
      <c r="AD1303" s="1408"/>
      <c r="AE1303" s="1408"/>
      <c r="AF1303" s="1408">
        <f>FISCinyear!IY978</f>
        <v>0</v>
      </c>
      <c r="AG1303" s="1408">
        <f>FISCinyear!JB978</f>
        <v>22.987516171999999</v>
      </c>
      <c r="AH1303" s="1408">
        <f>FISCinyear!JE978</f>
        <v>23.031649008999999</v>
      </c>
      <c r="AI1303" s="1408">
        <f>FISCinyear!JH978</f>
        <v>19.674944938000003</v>
      </c>
      <c r="AJ1303" s="1408">
        <f>FISCinyear!JK978</f>
        <v>36.150092620999999</v>
      </c>
      <c r="AK1303" s="1561">
        <f>AK1304+AK1305</f>
        <v>530.39335676612802</v>
      </c>
      <c r="AL1303" s="1561">
        <f>AL1304+AL1305</f>
        <v>470.74951295425944</v>
      </c>
      <c r="AM1303" s="1561">
        <f>AM1304+AM1305</f>
        <v>375.31381358043683</v>
      </c>
      <c r="AN1303" s="1561">
        <f>AN1304+AN1305</f>
        <v>39.891145318946343</v>
      </c>
      <c r="AO1303" s="1561">
        <f t="shared" ref="AO1303:AT1303" si="1567">AO1304+AO1305</f>
        <v>36.861143773833867</v>
      </c>
      <c r="AP1303" s="1561">
        <f t="shared" si="1567"/>
        <v>35.981844030639998</v>
      </c>
      <c r="AQ1303" s="1561">
        <f t="shared" si="1567"/>
        <v>35.981844030639998</v>
      </c>
      <c r="AR1303" s="1561">
        <f t="shared" si="1567"/>
        <v>35.981844030639998</v>
      </c>
      <c r="AS1303" s="1561">
        <f t="shared" si="1567"/>
        <v>35.981844030639998</v>
      </c>
      <c r="AT1303" s="1561">
        <f t="shared" si="1567"/>
        <v>35.981844030639998</v>
      </c>
      <c r="AU1303" s="1561">
        <f t="shared" si="1536"/>
        <v>35.981844030639998</v>
      </c>
      <c r="AV1303" s="1561">
        <f t="shared" si="1528"/>
        <v>0</v>
      </c>
      <c r="AW1303" s="1916"/>
      <c r="AX1303" s="1916"/>
      <c r="AY1303" s="1916"/>
      <c r="AZ1303" s="1916"/>
      <c r="BA1303" s="1916"/>
      <c r="BB1303" s="1916"/>
      <c r="BC1303" s="1916"/>
      <c r="BD1303" s="1916"/>
      <c r="BE1303" s="1916"/>
      <c r="BF1303" s="1916"/>
      <c r="BG1303" s="1916"/>
      <c r="BH1303" s="1915"/>
    </row>
    <row r="1304" spans="1:60" ht="11.25" customHeight="1">
      <c r="A1304" s="1"/>
      <c r="B1304" s="1"/>
      <c r="C1304" s="1"/>
      <c r="D1304" s="1985" t="s">
        <v>3644</v>
      </c>
      <c r="E1304" s="323"/>
      <c r="F1304" s="323"/>
      <c r="G1304" s="323"/>
      <c r="H1304" s="323"/>
      <c r="I1304" s="323"/>
      <c r="J1304" s="323"/>
      <c r="K1304" s="323"/>
      <c r="L1304" s="323"/>
      <c r="M1304" s="323"/>
      <c r="N1304" s="323"/>
      <c r="O1304" s="323"/>
      <c r="P1304" s="323"/>
      <c r="Q1304" s="323"/>
      <c r="R1304" s="323"/>
      <c r="S1304" s="323"/>
      <c r="T1304" s="323"/>
      <c r="U1304" s="323"/>
      <c r="V1304" s="105"/>
      <c r="W1304" s="1407"/>
      <c r="X1304" s="1407"/>
      <c r="Y1304" s="1408"/>
      <c r="Z1304" s="1408"/>
      <c r="AA1304" s="1408"/>
      <c r="AB1304" s="1408"/>
      <c r="AC1304" s="1408"/>
      <c r="AD1304" s="1408"/>
      <c r="AE1304" s="1408"/>
      <c r="AF1304" s="1408"/>
      <c r="AG1304" s="1408"/>
      <c r="AH1304" s="1408"/>
      <c r="AI1304" s="1408"/>
      <c r="AJ1304" s="1408"/>
      <c r="AK1304" s="1657">
        <f>'NET LENDING'!X7/1000000000</f>
        <v>35.981844030639998</v>
      </c>
      <c r="AL1304" s="1657">
        <f>'NET LENDING'!AA7/1000000000</f>
        <v>35.981844030639998</v>
      </c>
      <c r="AM1304" s="1657">
        <f>'NET LENDING'!AD7/1000000000</f>
        <v>35.981844030639998</v>
      </c>
      <c r="AN1304" s="1657">
        <f>'NET LENDING'!AG7/1000000000</f>
        <v>35.981844030639998</v>
      </c>
      <c r="AO1304" s="1657">
        <f>'NET LENDING'!AJ7/1000000000</f>
        <v>35.981844030639998</v>
      </c>
      <c r="AP1304" s="1657">
        <f>AO1304</f>
        <v>35.981844030639998</v>
      </c>
      <c r="AQ1304" s="1657">
        <f t="shared" ref="AQ1304:AT1304" si="1568">AP1304</f>
        <v>35.981844030639998</v>
      </c>
      <c r="AR1304" s="1657">
        <f t="shared" si="1568"/>
        <v>35.981844030639998</v>
      </c>
      <c r="AS1304" s="1657">
        <f t="shared" si="1568"/>
        <v>35.981844030639998</v>
      </c>
      <c r="AT1304" s="1657">
        <f t="shared" si="1568"/>
        <v>35.981844030639998</v>
      </c>
      <c r="AU1304" s="1657">
        <f t="shared" si="1536"/>
        <v>35.981844030639998</v>
      </c>
      <c r="AV1304" s="1657">
        <f t="shared" si="1528"/>
        <v>0</v>
      </c>
      <c r="AW1304" s="1916"/>
      <c r="AX1304" s="1916"/>
      <c r="AY1304" s="1916"/>
      <c r="AZ1304" s="1916"/>
      <c r="BA1304" s="1916"/>
      <c r="BB1304" s="1916"/>
      <c r="BC1304" s="1916"/>
      <c r="BD1304" s="1916"/>
      <c r="BE1304" s="1916"/>
      <c r="BF1304" s="1916"/>
      <c r="BG1304" s="1916"/>
      <c r="BH1304" s="1915"/>
    </row>
    <row r="1305" spans="1:60" ht="11.25" customHeight="1">
      <c r="A1305" s="1"/>
      <c r="B1305" s="1"/>
      <c r="C1305" s="1"/>
      <c r="D1305" s="1985" t="s">
        <v>3643</v>
      </c>
      <c r="E1305" s="323"/>
      <c r="F1305" s="323"/>
      <c r="G1305" s="323"/>
      <c r="H1305" s="323"/>
      <c r="I1305" s="323"/>
      <c r="J1305" s="323"/>
      <c r="K1305" s="323"/>
      <c r="L1305" s="323"/>
      <c r="M1305" s="323"/>
      <c r="N1305" s="323"/>
      <c r="O1305" s="323"/>
      <c r="P1305" s="323"/>
      <c r="Q1305" s="323"/>
      <c r="R1305" s="323"/>
      <c r="S1305" s="323"/>
      <c r="T1305" s="323"/>
      <c r="U1305" s="323"/>
      <c r="V1305" s="105"/>
      <c r="W1305" s="1407"/>
      <c r="X1305" s="1407"/>
      <c r="Y1305" s="1408"/>
      <c r="Z1305" s="1408"/>
      <c r="AA1305" s="1408"/>
      <c r="AB1305" s="1408"/>
      <c r="AC1305" s="1408"/>
      <c r="AD1305" s="1408"/>
      <c r="AE1305" s="1408"/>
      <c r="AF1305" s="1408"/>
      <c r="AG1305" s="1408"/>
      <c r="AH1305" s="1408"/>
      <c r="AI1305" s="1408"/>
      <c r="AJ1305" s="1408"/>
      <c r="AK1305" s="1657">
        <f>+(AK706*AK259/1000)+(AK707*AK259/1000)-(AK701*AK259/1000)*0-AK703</f>
        <v>494.41151273548797</v>
      </c>
      <c r="AL1305" s="1657">
        <f>+(AL706*AL259/1000)+(AL707*AL259/1000)-(AL701*AL259/1000)*0-AL703</f>
        <v>434.76766892361945</v>
      </c>
      <c r="AM1305" s="1657">
        <f>+(AM706*AM259/1000)+(AM707*AM259/1000)-(AM701*AM259/1000)*0-AM703</f>
        <v>339.33196954979684</v>
      </c>
      <c r="AN1305" s="1657">
        <f>+(AN706*AN259/1000)+(AN707*AN259/1000)-(AN701*AN259/1000)*0-AN703</f>
        <v>3.909301288306346</v>
      </c>
      <c r="AO1305" s="1657">
        <f>+(AO706*AO259/1000)+(AO707*AO259/1000)-(AO701*AO259/1000)*0-AO703</f>
        <v>0.87929974319386628</v>
      </c>
      <c r="AP1305" s="1657"/>
      <c r="AQ1305" s="1657"/>
      <c r="AR1305" s="1657"/>
      <c r="AS1305" s="1657"/>
      <c r="AT1305" s="1657"/>
      <c r="AU1305" s="1657"/>
      <c r="AV1305" s="1657" t="e">
        <f t="shared" si="1528"/>
        <v>#DIV/0!</v>
      </c>
      <c r="AW1305" s="1916"/>
      <c r="AX1305" s="1916"/>
      <c r="AY1305" s="1916"/>
      <c r="AZ1305" s="1916"/>
      <c r="BA1305" s="1916"/>
      <c r="BB1305" s="1916"/>
      <c r="BC1305" s="1916"/>
      <c r="BD1305" s="1916"/>
      <c r="BE1305" s="1916"/>
      <c r="BF1305" s="1916"/>
      <c r="BG1305" s="1916"/>
      <c r="BH1305" s="1915"/>
    </row>
    <row r="1306" spans="1:60" ht="11.25" customHeight="1">
      <c r="A1306" s="1"/>
      <c r="B1306" s="1"/>
      <c r="C1306" s="1"/>
      <c r="D1306" s="3039" t="s">
        <v>4157</v>
      </c>
      <c r="E1306" s="323"/>
      <c r="F1306" s="323"/>
      <c r="G1306" s="323"/>
      <c r="H1306" s="323"/>
      <c r="I1306" s="323"/>
      <c r="J1306" s="323"/>
      <c r="K1306" s="323"/>
      <c r="L1306" s="323"/>
      <c r="M1306" s="323"/>
      <c r="N1306" s="323"/>
      <c r="O1306" s="323"/>
      <c r="P1306" s="323"/>
      <c r="Q1306" s="323"/>
      <c r="R1306" s="323"/>
      <c r="S1306" s="323"/>
      <c r="T1306" s="323"/>
      <c r="U1306" s="323"/>
      <c r="V1306" s="105"/>
      <c r="W1306" s="1407"/>
      <c r="X1306" s="1407"/>
      <c r="Y1306" s="1408"/>
      <c r="Z1306" s="1408"/>
      <c r="AA1306" s="1408"/>
      <c r="AB1306" s="1408"/>
      <c r="AC1306" s="1408"/>
      <c r="AD1306" s="1408"/>
      <c r="AE1306" s="1408"/>
      <c r="AF1306" s="1408"/>
      <c r="AG1306" s="1408"/>
      <c r="AH1306" s="1408"/>
      <c r="AI1306" s="1408"/>
      <c r="AJ1306" s="1408"/>
      <c r="AK1306" s="1657">
        <v>177.61372277807513</v>
      </c>
      <c r="AL1306" s="1657">
        <v>162.73536969180157</v>
      </c>
      <c r="AM1306" s="1657">
        <v>187.35066706985879</v>
      </c>
      <c r="AN1306" s="1657">
        <v>0</v>
      </c>
      <c r="AO1306" s="1657">
        <v>0</v>
      </c>
      <c r="AP1306" s="1657"/>
      <c r="AQ1306" s="1657"/>
      <c r="AR1306" s="1657"/>
      <c r="AS1306" s="1657"/>
      <c r="AT1306" s="1657"/>
      <c r="AU1306" s="1657"/>
      <c r="AV1306" s="1657"/>
      <c r="AW1306" s="1916"/>
      <c r="AX1306" s="1916"/>
      <c r="AY1306" s="1916"/>
      <c r="AZ1306" s="1916"/>
      <c r="BA1306" s="1916"/>
      <c r="BB1306" s="1916"/>
      <c r="BC1306" s="1916"/>
      <c r="BD1306" s="1916"/>
      <c r="BE1306" s="1916"/>
      <c r="BF1306" s="1916"/>
      <c r="BG1306" s="1916"/>
      <c r="BH1306" s="1915"/>
    </row>
    <row r="1307" spans="1:60" ht="11.25" customHeight="1">
      <c r="A1307" s="1"/>
      <c r="B1307" s="1"/>
      <c r="C1307" s="1"/>
      <c r="D1307" s="1456" t="s">
        <v>3183</v>
      </c>
      <c r="E1307" s="323"/>
      <c r="F1307" s="323"/>
      <c r="G1307" s="323"/>
      <c r="H1307" s="323"/>
      <c r="I1307" s="323"/>
      <c r="J1307" s="323"/>
      <c r="K1307" s="323"/>
      <c r="L1307" s="323"/>
      <c r="M1307" s="323"/>
      <c r="N1307" s="323"/>
      <c r="O1307" s="323"/>
      <c r="P1307" s="323"/>
      <c r="Q1307" s="323"/>
      <c r="R1307" s="323"/>
      <c r="S1307" s="323"/>
      <c r="T1307" s="323"/>
      <c r="U1307" s="323"/>
      <c r="V1307" s="105"/>
      <c r="W1307" s="1407"/>
      <c r="X1307" s="1407"/>
      <c r="Y1307" s="1408"/>
      <c r="Z1307" s="1408"/>
      <c r="AA1307" s="1408"/>
      <c r="AB1307" s="1408"/>
      <c r="AC1307" s="1408"/>
      <c r="AD1307" s="1408"/>
      <c r="AE1307" s="1408"/>
      <c r="AF1307" s="1408">
        <f>FISCinyear!IY981</f>
        <v>0</v>
      </c>
      <c r="AG1307" s="1408">
        <f>FISCinyear!JB981</f>
        <v>34.805499181999998</v>
      </c>
      <c r="AH1307" s="1408">
        <f>FISCinyear!JE981</f>
        <v>21.667010622999999</v>
      </c>
      <c r="AI1307" s="1408">
        <f>FISCinyear!JH981</f>
        <v>1.838802067</v>
      </c>
      <c r="AJ1307" s="1408">
        <f>FISCinyear!JK981</f>
        <v>8.9476406429999997</v>
      </c>
      <c r="AK1307" s="1407">
        <v>0</v>
      </c>
      <c r="AL1307" s="1407">
        <v>0</v>
      </c>
      <c r="AM1307" s="1407">
        <v>0</v>
      </c>
      <c r="AN1307" s="1407">
        <v>0</v>
      </c>
      <c r="AO1307" s="1407">
        <v>0</v>
      </c>
      <c r="AP1307" s="1407">
        <v>0</v>
      </c>
      <c r="AQ1307" s="1407">
        <v>0</v>
      </c>
      <c r="AR1307" s="1407">
        <v>0</v>
      </c>
      <c r="AS1307" s="1407">
        <v>0</v>
      </c>
      <c r="AT1307" s="1407">
        <v>0</v>
      </c>
      <c r="AU1307" s="1407">
        <v>0</v>
      </c>
      <c r="AV1307" s="1407" t="e">
        <f t="shared" si="1528"/>
        <v>#DIV/0!</v>
      </c>
      <c r="AW1307" s="1916"/>
      <c r="AX1307" s="1916"/>
      <c r="AY1307" s="1916"/>
      <c r="AZ1307" s="1916"/>
      <c r="BA1307" s="1916"/>
      <c r="BB1307" s="1916"/>
      <c r="BC1307" s="1916"/>
      <c r="BD1307" s="1916"/>
      <c r="BE1307" s="1916"/>
      <c r="BF1307" s="1916"/>
      <c r="BG1307" s="1916"/>
      <c r="BH1307" s="1915"/>
    </row>
    <row r="1308" spans="1:60" ht="11.25" customHeight="1">
      <c r="A1308" s="1"/>
      <c r="B1308" s="1"/>
      <c r="C1308" s="1"/>
      <c r="D1308" s="359" t="s">
        <v>3063</v>
      </c>
      <c r="E1308" s="323"/>
      <c r="F1308" s="323"/>
      <c r="G1308" s="323"/>
      <c r="H1308" s="323"/>
      <c r="I1308" s="323"/>
      <c r="J1308" s="323"/>
      <c r="K1308" s="323"/>
      <c r="L1308" s="323"/>
      <c r="M1308" s="323"/>
      <c r="N1308" s="323"/>
      <c r="O1308" s="323"/>
      <c r="P1308" s="323"/>
      <c r="Q1308" s="323"/>
      <c r="R1308" s="323"/>
      <c r="S1308" s="323"/>
      <c r="T1308" s="323"/>
      <c r="U1308" s="323"/>
      <c r="V1308" s="105"/>
      <c r="W1308" s="1407"/>
      <c r="X1308" s="1407"/>
      <c r="Y1308" s="1408">
        <v>0</v>
      </c>
      <c r="Z1308" s="1408">
        <v>0</v>
      </c>
      <c r="AA1308" s="1408">
        <v>0</v>
      </c>
      <c r="AB1308" s="1408">
        <v>0</v>
      </c>
      <c r="AC1308" s="1408">
        <v>0</v>
      </c>
      <c r="AD1308" s="1408">
        <v>0</v>
      </c>
      <c r="AE1308" s="1408">
        <v>0</v>
      </c>
      <c r="AF1308" s="1408">
        <f>FISCinyear!IY982</f>
        <v>0</v>
      </c>
      <c r="AG1308" s="1408">
        <v>2</v>
      </c>
      <c r="AH1308" s="1408">
        <f>FISCinyear!JE982</f>
        <v>0</v>
      </c>
      <c r="AI1308" s="1408">
        <f>FISCinyear!JH982</f>
        <v>0</v>
      </c>
      <c r="AJ1308" s="1408">
        <f>FISCinyear!JK982</f>
        <v>0</v>
      </c>
      <c r="AK1308" s="1407">
        <v>0</v>
      </c>
      <c r="AL1308" s="1407">
        <v>0</v>
      </c>
      <c r="AM1308" s="1407">
        <v>0</v>
      </c>
      <c r="AN1308" s="1407">
        <v>0</v>
      </c>
      <c r="AO1308" s="1407">
        <v>0</v>
      </c>
      <c r="AP1308" s="1407">
        <v>0</v>
      </c>
      <c r="AQ1308" s="1407">
        <v>0</v>
      </c>
      <c r="AR1308" s="1407">
        <v>0</v>
      </c>
      <c r="AS1308" s="1407">
        <v>0</v>
      </c>
      <c r="AT1308" s="1407">
        <v>0</v>
      </c>
      <c r="AU1308" s="1407">
        <v>0</v>
      </c>
      <c r="AV1308" s="1407" t="e">
        <f t="shared" si="1528"/>
        <v>#DIV/0!</v>
      </c>
      <c r="AW1308" s="1916"/>
      <c r="AX1308" s="1916"/>
      <c r="AY1308" s="1916"/>
      <c r="AZ1308" s="1916"/>
      <c r="BA1308" s="1916"/>
      <c r="BB1308" s="1916"/>
      <c r="BC1308" s="1916"/>
      <c r="BD1308" s="1916"/>
      <c r="BE1308" s="1916"/>
      <c r="BF1308" s="1916"/>
      <c r="BG1308" s="1916"/>
      <c r="BH1308" s="1915"/>
    </row>
    <row r="1309" spans="1:60" ht="11.25" customHeight="1">
      <c r="A1309" s="1"/>
      <c r="B1309" s="1"/>
      <c r="C1309" s="1"/>
      <c r="D1309" s="359" t="s">
        <v>3064</v>
      </c>
      <c r="E1309" s="323"/>
      <c r="F1309" s="323"/>
      <c r="G1309" s="323"/>
      <c r="H1309" s="323"/>
      <c r="I1309" s="323"/>
      <c r="J1309" s="323"/>
      <c r="K1309" s="323"/>
      <c r="L1309" s="323"/>
      <c r="M1309" s="323"/>
      <c r="N1309" s="323"/>
      <c r="O1309" s="323"/>
      <c r="P1309" s="323"/>
      <c r="Q1309" s="323"/>
      <c r="R1309" s="323"/>
      <c r="S1309" s="323"/>
      <c r="T1309" s="323"/>
      <c r="U1309" s="323"/>
      <c r="V1309" s="105"/>
      <c r="W1309" s="1407"/>
      <c r="X1309" s="1407"/>
      <c r="Y1309" s="1408">
        <v>0</v>
      </c>
      <c r="Z1309" s="1408">
        <v>0</v>
      </c>
      <c r="AA1309" s="1408">
        <v>0</v>
      </c>
      <c r="AB1309" s="1408">
        <v>0</v>
      </c>
      <c r="AC1309" s="1408">
        <v>0</v>
      </c>
      <c r="AD1309" s="1408">
        <v>0</v>
      </c>
      <c r="AE1309" s="1408">
        <v>0</v>
      </c>
      <c r="AF1309" s="1408">
        <f>FISCinyear!IY983</f>
        <v>0</v>
      </c>
      <c r="AG1309" s="1408">
        <f>FISCinyear!JB983</f>
        <v>0</v>
      </c>
      <c r="AH1309" s="1408">
        <f>FISCinyear!JE983</f>
        <v>0</v>
      </c>
      <c r="AI1309" s="1408">
        <f>FISCinyear!JH983</f>
        <v>0</v>
      </c>
      <c r="AJ1309" s="1408">
        <f>FISCinyear!JK983</f>
        <v>0</v>
      </c>
      <c r="AK1309" s="1407">
        <v>0</v>
      </c>
      <c r="AL1309" s="1407">
        <v>0</v>
      </c>
      <c r="AM1309" s="1407">
        <v>0</v>
      </c>
      <c r="AN1309" s="1407">
        <v>0</v>
      </c>
      <c r="AO1309" s="1407">
        <v>0</v>
      </c>
      <c r="AP1309" s="1407">
        <v>0</v>
      </c>
      <c r="AQ1309" s="1407">
        <v>0</v>
      </c>
      <c r="AR1309" s="1407">
        <v>0</v>
      </c>
      <c r="AS1309" s="1407">
        <v>0</v>
      </c>
      <c r="AT1309" s="1407">
        <v>0</v>
      </c>
      <c r="AU1309" s="1407">
        <v>0</v>
      </c>
      <c r="AV1309" s="1407" t="e">
        <f t="shared" si="1528"/>
        <v>#DIV/0!</v>
      </c>
      <c r="AW1309" s="1916"/>
      <c r="AX1309" s="1916"/>
      <c r="AY1309" s="1916"/>
      <c r="AZ1309" s="1916"/>
      <c r="BA1309" s="1916"/>
      <c r="BB1309" s="1916"/>
      <c r="BC1309" s="1916"/>
      <c r="BD1309" s="1916"/>
      <c r="BE1309" s="1916"/>
      <c r="BF1309" s="1916"/>
      <c r="BG1309" s="1916"/>
      <c r="BH1309" s="1915"/>
    </row>
    <row r="1310" spans="1:60" ht="11.25" customHeight="1">
      <c r="A1310" s="1"/>
      <c r="B1310" s="1"/>
      <c r="C1310" s="1"/>
      <c r="D1310" s="359" t="s">
        <v>3065</v>
      </c>
      <c r="E1310" s="323"/>
      <c r="F1310" s="323"/>
      <c r="G1310" s="323"/>
      <c r="H1310" s="323"/>
      <c r="I1310" s="323"/>
      <c r="J1310" s="323"/>
      <c r="K1310" s="323"/>
      <c r="L1310" s="323"/>
      <c r="M1310" s="323"/>
      <c r="N1310" s="323"/>
      <c r="O1310" s="323"/>
      <c r="P1310" s="323"/>
      <c r="Q1310" s="323"/>
      <c r="R1310" s="323"/>
      <c r="S1310" s="323"/>
      <c r="T1310" s="323"/>
      <c r="U1310" s="323"/>
      <c r="V1310" s="105"/>
      <c r="W1310" s="1407"/>
      <c r="X1310" s="1407"/>
      <c r="Y1310" s="1408">
        <v>0</v>
      </c>
      <c r="Z1310" s="1408">
        <v>0</v>
      </c>
      <c r="AA1310" s="1408">
        <v>0</v>
      </c>
      <c r="AB1310" s="1408">
        <v>0</v>
      </c>
      <c r="AC1310" s="1408">
        <v>0</v>
      </c>
      <c r="AD1310" s="1408">
        <v>0</v>
      </c>
      <c r="AE1310" s="1408">
        <v>0</v>
      </c>
      <c r="AF1310" s="1408">
        <f>FISCinyear!IY984</f>
        <v>0</v>
      </c>
      <c r="AG1310" s="1408">
        <f>FISCinyear!JB984</f>
        <v>0</v>
      </c>
      <c r="AH1310" s="1408">
        <f>FISCinyear!JE984</f>
        <v>0</v>
      </c>
      <c r="AI1310" s="1408">
        <f>FISCinyear!JH984</f>
        <v>0</v>
      </c>
      <c r="AJ1310" s="1408">
        <f>FISCinyear!JK984</f>
        <v>0</v>
      </c>
      <c r="AK1310" s="1407">
        <v>0</v>
      </c>
      <c r="AL1310" s="1407">
        <v>0</v>
      </c>
      <c r="AM1310" s="1407">
        <v>0</v>
      </c>
      <c r="AN1310" s="1407">
        <v>0</v>
      </c>
      <c r="AO1310" s="1407">
        <v>0</v>
      </c>
      <c r="AP1310" s="1407">
        <v>0</v>
      </c>
      <c r="AQ1310" s="1407">
        <v>0</v>
      </c>
      <c r="AR1310" s="1407">
        <v>0</v>
      </c>
      <c r="AS1310" s="1407">
        <v>0</v>
      </c>
      <c r="AT1310" s="1407">
        <v>0</v>
      </c>
      <c r="AU1310" s="1407">
        <v>0</v>
      </c>
      <c r="AV1310" s="1407" t="e">
        <f t="shared" si="1528"/>
        <v>#DIV/0!</v>
      </c>
      <c r="AW1310" s="1916"/>
      <c r="AX1310" s="1916"/>
      <c r="AY1310" s="1916"/>
      <c r="AZ1310" s="1916"/>
      <c r="BA1310" s="1916"/>
      <c r="BB1310" s="1916"/>
      <c r="BC1310" s="1916"/>
      <c r="BD1310" s="1916"/>
      <c r="BE1310" s="1916"/>
      <c r="BF1310" s="1916"/>
      <c r="BG1310" s="1916"/>
      <c r="BH1310" s="1915"/>
    </row>
    <row r="1311" spans="1:60">
      <c r="A1311" s="1"/>
      <c r="B1311" s="1"/>
      <c r="C1311" s="1"/>
      <c r="D1311" s="358" t="str">
        <f>+FISCinyear!D985</f>
        <v xml:space="preserve">Foreign </v>
      </c>
      <c r="E1311" s="323"/>
      <c r="F1311" s="323"/>
      <c r="G1311" s="323"/>
      <c r="H1311" s="323"/>
      <c r="I1311" s="323"/>
      <c r="J1311" s="323"/>
      <c r="K1311" s="323"/>
      <c r="L1311" s="323"/>
      <c r="M1311" s="323"/>
      <c r="N1311" s="323"/>
      <c r="O1311" s="323"/>
      <c r="P1311" s="323"/>
      <c r="Q1311" s="323"/>
      <c r="R1311" s="323"/>
      <c r="S1311" s="323"/>
      <c r="T1311" s="323"/>
      <c r="U1311" s="323"/>
      <c r="V1311" s="376"/>
      <c r="W1311" s="1404"/>
      <c r="X1311" s="1404"/>
      <c r="Y1311" s="1405">
        <f>FISCinyear!ID985</f>
        <v>0</v>
      </c>
      <c r="Z1311" s="1405">
        <f>FISCinyear!IG985</f>
        <v>0</v>
      </c>
      <c r="AA1311" s="1405">
        <f>FISCinyear!IJ985</f>
        <v>0</v>
      </c>
      <c r="AB1311" s="1405">
        <f>FISCinyear!IM985</f>
        <v>0</v>
      </c>
      <c r="AC1311" s="1405">
        <f>FISCinyear!IP985</f>
        <v>0</v>
      </c>
      <c r="AD1311" s="1405">
        <f>FISCinyear!IS985</f>
        <v>0</v>
      </c>
      <c r="AE1311" s="1405">
        <f>FISCinyear!IV985</f>
        <v>0</v>
      </c>
      <c r="AF1311" s="1405">
        <f>FISCinyear!IY985</f>
        <v>0</v>
      </c>
      <c r="AG1311" s="1405">
        <f>FISCinyear!JB985</f>
        <v>153.84836347500001</v>
      </c>
      <c r="AH1311" s="1405">
        <f>FISCinyear!JE985</f>
        <v>-68.114324774020005</v>
      </c>
      <c r="AI1311" s="1405">
        <f>FISCinyear!JH985</f>
        <v>0</v>
      </c>
      <c r="AJ1311" s="1405">
        <f>FISCinyear!JK985</f>
        <v>0</v>
      </c>
      <c r="AK1311" s="1404">
        <v>0</v>
      </c>
      <c r="AL1311" s="1404">
        <v>0</v>
      </c>
      <c r="AM1311" s="1404">
        <v>0</v>
      </c>
      <c r="AN1311" s="1404">
        <v>0</v>
      </c>
      <c r="AO1311" s="1404">
        <v>0</v>
      </c>
      <c r="AP1311" s="1404">
        <v>0</v>
      </c>
      <c r="AQ1311" s="1404">
        <v>0</v>
      </c>
      <c r="AR1311" s="1404">
        <v>0</v>
      </c>
      <c r="AS1311" s="1404">
        <v>0</v>
      </c>
      <c r="AT1311" s="1404">
        <v>0</v>
      </c>
      <c r="AU1311" s="1404">
        <v>0</v>
      </c>
      <c r="AV1311" s="1404" t="e">
        <f t="shared" si="1528"/>
        <v>#DIV/0!</v>
      </c>
      <c r="AW1311" s="1916"/>
      <c r="AX1311" s="1916"/>
      <c r="AY1311" s="1916"/>
      <c r="AZ1311" s="1916"/>
      <c r="BA1311" s="1916"/>
      <c r="BB1311" s="1916"/>
      <c r="BC1311" s="1916"/>
      <c r="BD1311" s="1916"/>
      <c r="BE1311" s="1916"/>
      <c r="BF1311" s="1916"/>
      <c r="BG1311" s="1916"/>
      <c r="BH1311" s="1915"/>
    </row>
    <row r="1312" spans="1:60">
      <c r="A1312" s="1"/>
      <c r="B1312" s="1"/>
      <c r="C1312" s="1"/>
      <c r="D1312" s="1560" t="s">
        <v>3217</v>
      </c>
      <c r="E1312" s="323"/>
      <c r="F1312" s="323"/>
      <c r="G1312" s="323"/>
      <c r="H1312" s="323"/>
      <c r="I1312" s="323"/>
      <c r="J1312" s="323"/>
      <c r="K1312" s="323"/>
      <c r="L1312" s="323"/>
      <c r="M1312" s="323"/>
      <c r="N1312" s="323"/>
      <c r="O1312" s="323"/>
      <c r="P1312" s="323"/>
      <c r="Q1312" s="323"/>
      <c r="R1312" s="323"/>
      <c r="S1312" s="323"/>
      <c r="T1312" s="323"/>
      <c r="U1312" s="323"/>
      <c r="V1312" s="376"/>
      <c r="W1312" s="1404"/>
      <c r="X1312" s="1404"/>
      <c r="Y1312" s="1405"/>
      <c r="Z1312" s="1405"/>
      <c r="AA1312" s="1405"/>
      <c r="AB1312" s="1405"/>
      <c r="AC1312" s="1405"/>
      <c r="AD1312" s="1405"/>
      <c r="AE1312" s="1405"/>
      <c r="AF1312" s="1405"/>
      <c r="AG1312" s="1405">
        <f>FISCinyear!JB986</f>
        <v>0</v>
      </c>
      <c r="AH1312" s="1405">
        <f>FISCinyear!JE986</f>
        <v>-68.114324774020005</v>
      </c>
      <c r="AI1312" s="1405">
        <f>FISCinyear!JH986</f>
        <v>0</v>
      </c>
      <c r="AJ1312" s="1405">
        <f>FISCinyear!JK986</f>
        <v>0</v>
      </c>
      <c r="AK1312" s="1404"/>
      <c r="AL1312" s="1404"/>
      <c r="AM1312" s="1404"/>
      <c r="AN1312" s="1404"/>
      <c r="AO1312" s="1404"/>
      <c r="AP1312" s="1404"/>
      <c r="AQ1312" s="1404"/>
      <c r="AR1312" s="1404"/>
      <c r="AS1312" s="1404"/>
      <c r="AT1312" s="1404"/>
      <c r="AU1312" s="1404"/>
      <c r="AV1312" s="1404" t="e">
        <f t="shared" si="1528"/>
        <v>#DIV/0!</v>
      </c>
      <c r="AW1312" s="1916"/>
      <c r="AX1312" s="1916"/>
      <c r="AY1312" s="1916"/>
      <c r="AZ1312" s="1916"/>
      <c r="BA1312" s="1916"/>
      <c r="BB1312" s="1916"/>
      <c r="BC1312" s="1916"/>
      <c r="BD1312" s="1916"/>
      <c r="BE1312" s="1916"/>
      <c r="BF1312" s="1916"/>
      <c r="BG1312" s="1916"/>
      <c r="BH1312" s="1915"/>
    </row>
    <row r="1313" spans="1:60">
      <c r="A1313" s="1"/>
      <c r="B1313" s="1"/>
      <c r="C1313" s="1"/>
      <c r="D1313" s="356" t="str">
        <f>+FISCinyear!D987</f>
        <v>Net incurrence of liabilities</v>
      </c>
      <c r="E1313" s="323"/>
      <c r="F1313" s="323"/>
      <c r="G1313" s="323"/>
      <c r="H1313" s="323"/>
      <c r="I1313" s="323"/>
      <c r="J1313" s="323"/>
      <c r="K1313" s="323"/>
      <c r="L1313" s="323"/>
      <c r="M1313" s="323"/>
      <c r="N1313" s="323"/>
      <c r="O1313" s="323"/>
      <c r="P1313" s="323"/>
      <c r="Q1313" s="323"/>
      <c r="R1313" s="323"/>
      <c r="S1313" s="323"/>
      <c r="T1313" s="323"/>
      <c r="U1313" s="323"/>
      <c r="V1313" s="376"/>
      <c r="W1313" s="1404">
        <f>+W1314+W1344</f>
        <v>44.899999999999991</v>
      </c>
      <c r="X1313" s="1404">
        <f>+X1314+X1344</f>
        <v>-215.32156360241689</v>
      </c>
      <c r="Y1313" s="1405">
        <f>FISCinyear!ID987</f>
        <v>129.81269811865718</v>
      </c>
      <c r="Z1313" s="1405">
        <f>FISCinyear!IG987</f>
        <v>280.45901483237139</v>
      </c>
      <c r="AA1313" s="1405">
        <f>FISCinyear!IJ987</f>
        <v>319.24217878668935</v>
      </c>
      <c r="AB1313" s="1405">
        <f>FISCinyear!IM987</f>
        <v>362.2904834733713</v>
      </c>
      <c r="AC1313" s="1405">
        <f>FISCinyear!IP987</f>
        <v>448.29536942264849</v>
      </c>
      <c r="AD1313" s="1405">
        <f>FISCinyear!IS987</f>
        <v>556.25291535625433</v>
      </c>
      <c r="AE1313" s="1405">
        <f>FISCinyear!IV987</f>
        <v>1159.9910756300992</v>
      </c>
      <c r="AF1313" s="1405">
        <f>FISCinyear!IY987</f>
        <v>910.73834533448655</v>
      </c>
      <c r="AG1313" s="1405">
        <f>FISCinyear!JB987</f>
        <v>1252.239191303966</v>
      </c>
      <c r="AH1313" s="1405">
        <f>FISCinyear!JE987</f>
        <v>950.83591187057448</v>
      </c>
      <c r="AI1313" s="1405">
        <f>FISCinyear!JH987</f>
        <v>1281.5282433489474</v>
      </c>
      <c r="AJ1313" s="1405">
        <f>FISCinyear!JK987</f>
        <v>1389.5191035940643</v>
      </c>
      <c r="AK1313" s="1404">
        <f t="shared" ref="AK1313:AT1313" si="1569">-AK1245+AK1268</f>
        <v>1581.1245119833623</v>
      </c>
      <c r="AL1313" s="1404">
        <f t="shared" si="1569"/>
        <v>1616.4974565972379</v>
      </c>
      <c r="AM1313" s="1404">
        <f t="shared" si="1569"/>
        <v>1574.3944895518946</v>
      </c>
      <c r="AN1313" s="1404">
        <f t="shared" si="1569"/>
        <v>1227.5208363432225</v>
      </c>
      <c r="AO1313" s="1404">
        <f t="shared" si="1569"/>
        <v>1377.3161737802936</v>
      </c>
      <c r="AP1313" s="1404">
        <f t="shared" si="1569"/>
        <v>1534.6482667945936</v>
      </c>
      <c r="AQ1313" s="1404">
        <f t="shared" si="1569"/>
        <v>1828.8752138955672</v>
      </c>
      <c r="AR1313" s="1404">
        <f t="shared" si="1569"/>
        <v>1788.0157979246605</v>
      </c>
      <c r="AS1313" s="1404">
        <f t="shared" si="1569"/>
        <v>2417.1341289460188</v>
      </c>
      <c r="AT1313" s="1404">
        <f t="shared" si="1569"/>
        <v>2991.3137752893881</v>
      </c>
      <c r="AU1313" s="1404">
        <f t="shared" si="1536"/>
        <v>3701.88728671742</v>
      </c>
      <c r="AV1313" s="1404">
        <f t="shared" si="1528"/>
        <v>0.2375456287126847</v>
      </c>
      <c r="AW1313" s="1916"/>
      <c r="AX1313" s="1916"/>
      <c r="AY1313" s="1916"/>
      <c r="AZ1313" s="1916"/>
      <c r="BA1313" s="1916"/>
      <c r="BB1313" s="1916"/>
      <c r="BC1313" s="1916"/>
      <c r="BD1313" s="1916"/>
      <c r="BE1313" s="1916"/>
      <c r="BF1313" s="1916"/>
      <c r="BG1313" s="1916"/>
      <c r="BH1313" s="1915"/>
    </row>
    <row r="1314" spans="1:60">
      <c r="A1314" s="1"/>
      <c r="B1314" s="1"/>
      <c r="C1314" s="1"/>
      <c r="D1314" s="358" t="str">
        <f>+FISCinyear!D988</f>
        <v xml:space="preserve">Domestic </v>
      </c>
      <c r="E1314" s="323"/>
      <c r="F1314" s="323"/>
      <c r="G1314" s="323"/>
      <c r="H1314" s="323"/>
      <c r="I1314" s="323"/>
      <c r="J1314" s="323"/>
      <c r="K1314" s="323"/>
      <c r="L1314" s="323"/>
      <c r="M1314" s="323"/>
      <c r="N1314" s="323"/>
      <c r="O1314" s="323"/>
      <c r="P1314" s="323"/>
      <c r="Q1314" s="323"/>
      <c r="R1314" s="323"/>
      <c r="S1314" s="323"/>
      <c r="T1314" s="323"/>
      <c r="U1314" s="323"/>
      <c r="V1314" s="1388"/>
      <c r="W1314" s="1409">
        <f>+W1316+W1319+W1334+W1343</f>
        <v>-50.100000000000009</v>
      </c>
      <c r="X1314" s="1409">
        <f>+X1316+X1319+X1334+X1343</f>
        <v>-216.02156360241688</v>
      </c>
      <c r="Y1314" s="1405">
        <f>FISCinyear!ID988</f>
        <v>24.655782745918764</v>
      </c>
      <c r="Z1314" s="1405">
        <f>FISCinyear!IG988</f>
        <v>92.272436026139232</v>
      </c>
      <c r="AA1314" s="1405">
        <f>FISCinyear!IJ988</f>
        <v>94.834051126999995</v>
      </c>
      <c r="AB1314" s="1405">
        <f>FISCinyear!IM988</f>
        <v>39.301549082000022</v>
      </c>
      <c r="AC1314" s="1405">
        <f>FISCinyear!IP988</f>
        <v>92.266238545422084</v>
      </c>
      <c r="AD1314" s="1405">
        <f>FISCinyear!IS988</f>
        <v>107.94094871251076</v>
      </c>
      <c r="AE1314" s="1405">
        <f>FISCinyear!IV988</f>
        <v>205.97138405200027</v>
      </c>
      <c r="AF1314" s="1405">
        <f>FISCinyear!IY988</f>
        <v>253.46590520499987</v>
      </c>
      <c r="AG1314" s="1405">
        <f>FISCinyear!JB988</f>
        <v>220.58644761457253</v>
      </c>
      <c r="AH1314" s="1405">
        <f>FISCinyear!JE988</f>
        <v>142.32728891000002</v>
      </c>
      <c r="AI1314" s="1405">
        <f>FISCinyear!JH988</f>
        <v>-25.685910036448661</v>
      </c>
      <c r="AJ1314" s="1405">
        <f>FISCinyear!JK988</f>
        <v>34.339239200999941</v>
      </c>
      <c r="AK1314" s="1409">
        <f t="shared" ref="AK1314:AT1314" si="1570">AK1313-AK1344</f>
        <v>162.43460389297024</v>
      </c>
      <c r="AL1314" s="1409">
        <f t="shared" si="1570"/>
        <v>270.47683960701488</v>
      </c>
      <c r="AM1314" s="1409">
        <f t="shared" si="1570"/>
        <v>440.82717698652209</v>
      </c>
      <c r="AN1314" s="1409">
        <f t="shared" si="1570"/>
        <v>259.07024026352747</v>
      </c>
      <c r="AO1314" s="1409">
        <f t="shared" si="1570"/>
        <v>582.21128360574767</v>
      </c>
      <c r="AP1314" s="1409">
        <f t="shared" si="1570"/>
        <v>546.33957167213407</v>
      </c>
      <c r="AQ1314" s="1409">
        <f t="shared" si="1570"/>
        <v>2215.9008250071884</v>
      </c>
      <c r="AR1314" s="1409">
        <f t="shared" si="1570"/>
        <v>1569.1853077789997</v>
      </c>
      <c r="AS1314" s="1409">
        <f t="shared" si="1570"/>
        <v>2286.1238149392721</v>
      </c>
      <c r="AT1314" s="1409">
        <f t="shared" si="1570"/>
        <v>2990.3534054186339</v>
      </c>
      <c r="AU1314" s="1409">
        <f t="shared" si="1536"/>
        <v>3911.5175787346229</v>
      </c>
      <c r="AV1314" s="1409">
        <f t="shared" si="1528"/>
        <v>0.30804525366359869</v>
      </c>
      <c r="AW1314" s="1916"/>
      <c r="AX1314" s="1916"/>
      <c r="AY1314" s="1916"/>
      <c r="AZ1314" s="1916"/>
      <c r="BA1314" s="1916"/>
      <c r="BB1314" s="1916"/>
      <c r="BC1314" s="1916"/>
      <c r="BD1314" s="1916"/>
      <c r="BE1314" s="1916"/>
      <c r="BF1314" s="1916"/>
      <c r="BG1314" s="1916"/>
      <c r="BH1314" s="1915"/>
    </row>
    <row r="1315" spans="1:60">
      <c r="A1315" s="1"/>
      <c r="B1315" s="1"/>
      <c r="C1315" s="1"/>
      <c r="D1315" s="1560" t="s">
        <v>3217</v>
      </c>
      <c r="E1315" s="323"/>
      <c r="F1315" s="323"/>
      <c r="G1315" s="323"/>
      <c r="H1315" s="323"/>
      <c r="I1315" s="323"/>
      <c r="J1315" s="323"/>
      <c r="K1315" s="323"/>
      <c r="L1315" s="323"/>
      <c r="M1315" s="323"/>
      <c r="N1315" s="323"/>
      <c r="O1315" s="323"/>
      <c r="P1315" s="323"/>
      <c r="Q1315" s="323"/>
      <c r="R1315" s="323"/>
      <c r="S1315" s="323"/>
      <c r="T1315" s="323"/>
      <c r="U1315" s="323"/>
      <c r="V1315" s="1388"/>
      <c r="W1315" s="1409"/>
      <c r="X1315" s="1409"/>
      <c r="Y1315" s="1405"/>
      <c r="Z1315" s="1405"/>
      <c r="AA1315" s="1405"/>
      <c r="AB1315" s="1405"/>
      <c r="AC1315" s="1405"/>
      <c r="AD1315" s="1405"/>
      <c r="AE1315" s="1405"/>
      <c r="AF1315" s="1405">
        <v>0</v>
      </c>
      <c r="AG1315" s="1405">
        <f>FISCinyear!JB989</f>
        <v>0</v>
      </c>
      <c r="AH1315" s="1405">
        <f>FISCinyear!JE989</f>
        <v>0</v>
      </c>
      <c r="AI1315" s="1405">
        <f>FISCinyear!JH989</f>
        <v>0</v>
      </c>
      <c r="AJ1315" s="1405">
        <f>FISCinyear!JK989</f>
        <v>0</v>
      </c>
      <c r="AK1315" s="1405">
        <v>0</v>
      </c>
      <c r="AL1315" s="1405">
        <v>0</v>
      </c>
      <c r="AM1315" s="1405">
        <v>0</v>
      </c>
      <c r="AN1315" s="1405">
        <v>0</v>
      </c>
      <c r="AO1315" s="1405">
        <v>0</v>
      </c>
      <c r="AP1315" s="1405">
        <v>0</v>
      </c>
      <c r="AQ1315" s="1405">
        <v>0</v>
      </c>
      <c r="AR1315" s="1405">
        <v>0</v>
      </c>
      <c r="AS1315" s="1405">
        <v>0</v>
      </c>
      <c r="AT1315" s="1405">
        <v>0</v>
      </c>
      <c r="AU1315" s="1405">
        <v>1</v>
      </c>
      <c r="AV1315" s="1405" t="e">
        <f t="shared" si="1528"/>
        <v>#DIV/0!</v>
      </c>
      <c r="AW1315" s="1916"/>
      <c r="AX1315" s="1916"/>
      <c r="AY1315" s="1916"/>
      <c r="AZ1315" s="1916"/>
      <c r="BA1315" s="1916"/>
      <c r="BB1315" s="1916"/>
      <c r="BC1315" s="1916"/>
      <c r="BD1315" s="1916"/>
      <c r="BE1315" s="1916"/>
      <c r="BF1315" s="1916"/>
      <c r="BG1315" s="1916"/>
      <c r="BH1315" s="1915"/>
    </row>
    <row r="1316" spans="1:60">
      <c r="A1316" s="1"/>
      <c r="B1316" s="1"/>
      <c r="C1316" s="1"/>
      <c r="D1316" s="359" t="str">
        <f>+FISCinyear!D990</f>
        <v xml:space="preserve">Currency and deposits </v>
      </c>
      <c r="E1316" s="323"/>
      <c r="F1316" s="323"/>
      <c r="G1316" s="323"/>
      <c r="H1316" s="323"/>
      <c r="I1316" s="323"/>
      <c r="J1316" s="323"/>
      <c r="K1316" s="323"/>
      <c r="L1316" s="323"/>
      <c r="M1316" s="323"/>
      <c r="N1316" s="323"/>
      <c r="O1316" s="323"/>
      <c r="P1316" s="323"/>
      <c r="Q1316" s="323"/>
      <c r="R1316" s="323"/>
      <c r="S1316" s="323"/>
      <c r="T1316" s="323"/>
      <c r="U1316" s="323"/>
      <c r="V1316" s="105"/>
      <c r="W1316" s="1407"/>
      <c r="X1316" s="1407"/>
      <c r="Y1316" s="1408">
        <f>FISCinyear!ID990</f>
        <v>0</v>
      </c>
      <c r="Z1316" s="1408">
        <f>FISCinyear!IG990</f>
        <v>0</v>
      </c>
      <c r="AA1316" s="1408">
        <f>FISCinyear!IJ990</f>
        <v>0</v>
      </c>
      <c r="AB1316" s="1408">
        <f>FISCinyear!IM990</f>
        <v>0</v>
      </c>
      <c r="AC1316" s="1408">
        <f>FISCinyear!IP990</f>
        <v>0</v>
      </c>
      <c r="AD1316" s="1408">
        <f>FISCinyear!IS990</f>
        <v>0</v>
      </c>
      <c r="AE1316" s="1408">
        <f>FISCinyear!IV990</f>
        <v>0</v>
      </c>
      <c r="AF1316" s="1408">
        <f>FISCinyear!IY990</f>
        <v>0</v>
      </c>
      <c r="AG1316" s="1408">
        <f>FISCinyear!JB990</f>
        <v>0</v>
      </c>
      <c r="AH1316" s="1408">
        <f>FISCinyear!JE990</f>
        <v>0</v>
      </c>
      <c r="AI1316" s="1408">
        <f>FISCinyear!JH990</f>
        <v>0</v>
      </c>
      <c r="AJ1316" s="1408">
        <f>FISCinyear!JK990</f>
        <v>0</v>
      </c>
      <c r="AK1316" s="1407">
        <f t="shared" ref="AK1316:AM1318" si="1571">AJ1316</f>
        <v>0</v>
      </c>
      <c r="AL1316" s="1407">
        <f t="shared" si="1571"/>
        <v>0</v>
      </c>
      <c r="AM1316" s="1407">
        <f t="shared" si="1571"/>
        <v>0</v>
      </c>
      <c r="AN1316" s="1407">
        <f t="shared" ref="AN1316:AN1318" si="1572">AM1316</f>
        <v>0</v>
      </c>
      <c r="AO1316" s="1407">
        <f t="shared" ref="AO1316:AO1318" si="1573">AN1316</f>
        <v>0</v>
      </c>
      <c r="AP1316" s="1407">
        <f t="shared" ref="AP1316:AP1318" si="1574">AO1316</f>
        <v>0</v>
      </c>
      <c r="AQ1316" s="1407">
        <f t="shared" ref="AQ1316:AQ1318" si="1575">AP1316</f>
        <v>0</v>
      </c>
      <c r="AR1316" s="1407">
        <f t="shared" ref="AR1316:AR1318" si="1576">AQ1316</f>
        <v>0</v>
      </c>
      <c r="AS1316" s="1407">
        <f t="shared" ref="AS1316:AS1318" si="1577">AR1316</f>
        <v>0</v>
      </c>
      <c r="AT1316" s="1407">
        <f t="shared" ref="AT1316:AU1318" si="1578">AS1316</f>
        <v>0</v>
      </c>
      <c r="AU1316" s="1407">
        <f t="shared" si="1578"/>
        <v>0</v>
      </c>
      <c r="AV1316" s="1407" t="e">
        <f t="shared" si="1528"/>
        <v>#DIV/0!</v>
      </c>
      <c r="AW1316" s="1916"/>
      <c r="AX1316" s="1916"/>
      <c r="AY1316" s="1916"/>
      <c r="AZ1316" s="1916"/>
      <c r="BA1316" s="1916"/>
      <c r="BB1316" s="1916"/>
      <c r="BC1316" s="1916"/>
      <c r="BD1316" s="1916"/>
      <c r="BE1316" s="1916"/>
      <c r="BF1316" s="1916"/>
      <c r="BG1316" s="1916"/>
      <c r="BH1316" s="1915"/>
    </row>
    <row r="1317" spans="1:60">
      <c r="A1317" s="1"/>
      <c r="B1317" s="1"/>
      <c r="C1317" s="1"/>
      <c r="D1317" s="1455" t="s">
        <v>3160</v>
      </c>
      <c r="E1317" s="323"/>
      <c r="F1317" s="323"/>
      <c r="G1317" s="323"/>
      <c r="H1317" s="323"/>
      <c r="I1317" s="323"/>
      <c r="J1317" s="323"/>
      <c r="K1317" s="323"/>
      <c r="L1317" s="323"/>
      <c r="M1317" s="323"/>
      <c r="N1317" s="323"/>
      <c r="O1317" s="323"/>
      <c r="P1317" s="323"/>
      <c r="Q1317" s="323"/>
      <c r="R1317" s="323"/>
      <c r="S1317" s="323"/>
      <c r="T1317" s="323"/>
      <c r="U1317" s="323"/>
      <c r="V1317" s="105"/>
      <c r="W1317" s="1407"/>
      <c r="X1317" s="1407"/>
      <c r="Y1317" s="1408"/>
      <c r="Z1317" s="1408">
        <f>FISCinyear!IG991</f>
        <v>0</v>
      </c>
      <c r="AA1317" s="1408">
        <f>FISCinyear!IJ991</f>
        <v>0</v>
      </c>
      <c r="AB1317" s="1408">
        <f>FISCinyear!IM991</f>
        <v>0</v>
      </c>
      <c r="AC1317" s="1408">
        <f>FISCinyear!IP991</f>
        <v>0</v>
      </c>
      <c r="AD1317" s="1408">
        <f>FISCinyear!IS991</f>
        <v>0</v>
      </c>
      <c r="AE1317" s="1408">
        <f>FISCinyear!IV991</f>
        <v>0</v>
      </c>
      <c r="AF1317" s="1408">
        <f>FISCinyear!IY991</f>
        <v>0</v>
      </c>
      <c r="AG1317" s="1408">
        <f>FISCinyear!JB991</f>
        <v>0</v>
      </c>
      <c r="AH1317" s="1408">
        <f>FISCinyear!JE991</f>
        <v>0</v>
      </c>
      <c r="AI1317" s="1408">
        <f>FISCinyear!JH991</f>
        <v>0</v>
      </c>
      <c r="AJ1317" s="1408">
        <f>FISCinyear!JK991</f>
        <v>0</v>
      </c>
      <c r="AK1317" s="1407">
        <f t="shared" si="1571"/>
        <v>0</v>
      </c>
      <c r="AL1317" s="1407">
        <f t="shared" si="1571"/>
        <v>0</v>
      </c>
      <c r="AM1317" s="1407">
        <f t="shared" si="1571"/>
        <v>0</v>
      </c>
      <c r="AN1317" s="1407">
        <f t="shared" si="1572"/>
        <v>0</v>
      </c>
      <c r="AO1317" s="1407">
        <f t="shared" si="1573"/>
        <v>0</v>
      </c>
      <c r="AP1317" s="1407">
        <f t="shared" si="1574"/>
        <v>0</v>
      </c>
      <c r="AQ1317" s="1407">
        <f t="shared" si="1575"/>
        <v>0</v>
      </c>
      <c r="AR1317" s="1407">
        <f t="shared" si="1576"/>
        <v>0</v>
      </c>
      <c r="AS1317" s="1407">
        <f t="shared" si="1577"/>
        <v>0</v>
      </c>
      <c r="AT1317" s="1407">
        <f t="shared" si="1578"/>
        <v>0</v>
      </c>
      <c r="AU1317" s="1407">
        <f t="shared" si="1578"/>
        <v>0</v>
      </c>
      <c r="AV1317" s="1407" t="e">
        <f t="shared" si="1528"/>
        <v>#DIV/0!</v>
      </c>
      <c r="AW1317" s="1916"/>
      <c r="AX1317" s="1916"/>
      <c r="AY1317" s="1916"/>
      <c r="AZ1317" s="1916"/>
      <c r="BA1317" s="1916"/>
      <c r="BB1317" s="1916"/>
      <c r="BC1317" s="1916"/>
      <c r="BD1317" s="1916"/>
      <c r="BE1317" s="1916"/>
      <c r="BF1317" s="1916"/>
      <c r="BG1317" s="1916"/>
      <c r="BH1317" s="1915"/>
    </row>
    <row r="1318" spans="1:60">
      <c r="A1318" s="1"/>
      <c r="B1318" s="1"/>
      <c r="C1318" s="1"/>
      <c r="D1318" s="1455" t="s">
        <v>3161</v>
      </c>
      <c r="E1318" s="323"/>
      <c r="F1318" s="323"/>
      <c r="G1318" s="323"/>
      <c r="H1318" s="323"/>
      <c r="I1318" s="323"/>
      <c r="J1318" s="323"/>
      <c r="K1318" s="323"/>
      <c r="L1318" s="323"/>
      <c r="M1318" s="323"/>
      <c r="N1318" s="323"/>
      <c r="O1318" s="323"/>
      <c r="P1318" s="323"/>
      <c r="Q1318" s="323"/>
      <c r="R1318" s="323"/>
      <c r="S1318" s="323"/>
      <c r="T1318" s="323"/>
      <c r="U1318" s="323"/>
      <c r="V1318" s="105"/>
      <c r="W1318" s="1407"/>
      <c r="X1318" s="1407"/>
      <c r="Y1318" s="1408"/>
      <c r="Z1318" s="1408">
        <f>FISCinyear!IG992</f>
        <v>0</v>
      </c>
      <c r="AA1318" s="1408">
        <f>FISCinyear!IJ992</f>
        <v>0</v>
      </c>
      <c r="AB1318" s="1408">
        <f>FISCinyear!IM992</f>
        <v>0</v>
      </c>
      <c r="AC1318" s="1408">
        <f>FISCinyear!IP992</f>
        <v>0</v>
      </c>
      <c r="AD1318" s="1408">
        <f>FISCinyear!IS992</f>
        <v>0</v>
      </c>
      <c r="AE1318" s="1408">
        <f>FISCinyear!IV992</f>
        <v>0</v>
      </c>
      <c r="AF1318" s="1408">
        <f>FISCinyear!IY992</f>
        <v>0</v>
      </c>
      <c r="AG1318" s="1408">
        <f>FISCinyear!JB992</f>
        <v>0</v>
      </c>
      <c r="AH1318" s="1408">
        <f>FISCinyear!JE992</f>
        <v>0</v>
      </c>
      <c r="AI1318" s="1408">
        <f>FISCinyear!JH992</f>
        <v>0</v>
      </c>
      <c r="AJ1318" s="1408">
        <f>FISCinyear!JK992</f>
        <v>0</v>
      </c>
      <c r="AK1318" s="1407">
        <f t="shared" si="1571"/>
        <v>0</v>
      </c>
      <c r="AL1318" s="1407">
        <f t="shared" si="1571"/>
        <v>0</v>
      </c>
      <c r="AM1318" s="1407">
        <f t="shared" si="1571"/>
        <v>0</v>
      </c>
      <c r="AN1318" s="1407">
        <f t="shared" si="1572"/>
        <v>0</v>
      </c>
      <c r="AO1318" s="1407">
        <f t="shared" si="1573"/>
        <v>0</v>
      </c>
      <c r="AP1318" s="1407">
        <f t="shared" si="1574"/>
        <v>0</v>
      </c>
      <c r="AQ1318" s="1407">
        <f t="shared" si="1575"/>
        <v>0</v>
      </c>
      <c r="AR1318" s="1407">
        <f t="shared" si="1576"/>
        <v>0</v>
      </c>
      <c r="AS1318" s="1407">
        <f t="shared" si="1577"/>
        <v>0</v>
      </c>
      <c r="AT1318" s="1407">
        <f t="shared" si="1578"/>
        <v>0</v>
      </c>
      <c r="AU1318" s="1407">
        <f t="shared" si="1578"/>
        <v>0</v>
      </c>
      <c r="AV1318" s="1407" t="e">
        <f t="shared" si="1528"/>
        <v>#DIV/0!</v>
      </c>
      <c r="AW1318" s="1916"/>
      <c r="AX1318" s="1916"/>
      <c r="AY1318" s="1916"/>
      <c r="AZ1318" s="1916"/>
      <c r="BA1318" s="1916"/>
      <c r="BB1318" s="1916"/>
      <c r="BC1318" s="1916"/>
      <c r="BD1318" s="1916"/>
      <c r="BE1318" s="1916"/>
      <c r="BF1318" s="1916"/>
      <c r="BG1318" s="1916"/>
      <c r="BH1318" s="1915"/>
    </row>
    <row r="1319" spans="1:60">
      <c r="A1319" s="1"/>
      <c r="B1319" s="1"/>
      <c r="C1319" s="1"/>
      <c r="D1319" s="1455" t="s">
        <v>3162</v>
      </c>
      <c r="E1319" s="323"/>
      <c r="F1319" s="323"/>
      <c r="G1319" s="323"/>
      <c r="H1319" s="323"/>
      <c r="I1319" s="323"/>
      <c r="J1319" s="323"/>
      <c r="K1319" s="323"/>
      <c r="L1319" s="323"/>
      <c r="M1319" s="323"/>
      <c r="N1319" s="323"/>
      <c r="O1319" s="323"/>
      <c r="P1319" s="323"/>
      <c r="Q1319" s="323"/>
      <c r="R1319" s="323"/>
      <c r="S1319" s="323"/>
      <c r="T1319" s="323"/>
      <c r="U1319" s="323"/>
      <c r="V1319" s="105"/>
      <c r="W1319" s="1407">
        <f>+W1320+W1329</f>
        <v>-19.500000000000014</v>
      </c>
      <c r="X1319" s="1407">
        <f>+X1320+X1329</f>
        <v>-216.29712944561442</v>
      </c>
      <c r="Y1319" s="1408">
        <f>FISCinyear!ID993</f>
        <v>35.36639999999997</v>
      </c>
      <c r="Z1319" s="1408">
        <f>FISCinyear!IG993</f>
        <v>111.00500000000001</v>
      </c>
      <c r="AA1319" s="1408">
        <f>FISCinyear!IJ993</f>
        <v>91.668699999999973</v>
      </c>
      <c r="AB1319" s="1408">
        <f>FISCinyear!IM993</f>
        <v>56.070000000000036</v>
      </c>
      <c r="AC1319" s="1408">
        <f>FISCinyear!IP993</f>
        <v>86.51825607842207</v>
      </c>
      <c r="AD1319" s="1408">
        <f>FISCinyear!IS993</f>
        <v>205.49459999999993</v>
      </c>
      <c r="AE1319" s="1408">
        <f>FISCinyear!IV993</f>
        <v>271.3882000000001</v>
      </c>
      <c r="AF1319" s="1408">
        <f>FISCinyear!IY993</f>
        <v>277.26262999999989</v>
      </c>
      <c r="AG1319" s="1408">
        <f>FISCinyear!JB993</f>
        <v>223.80487000000005</v>
      </c>
      <c r="AH1319" s="1408">
        <f>FISCinyear!JE993</f>
        <v>294.62932000000012</v>
      </c>
      <c r="AI1319" s="1408">
        <f>FISCinyear!JH993</f>
        <v>154.48750000000004</v>
      </c>
      <c r="AJ1319" s="1408">
        <f>FISCinyear!JK993</f>
        <v>205.08179999999999</v>
      </c>
      <c r="AK1319" s="1407">
        <f>AK1314-AK1334-AK1343-AK1315-AK1316</f>
        <v>329.95336793278915</v>
      </c>
      <c r="AL1319" s="1407">
        <f>AL1314-AL1334-AL1343-AL1315-AL1316</f>
        <v>399.42280563937487</v>
      </c>
      <c r="AM1319" s="1407">
        <f>AM1314-AM1334-AM1343-AM1315-AM1316</f>
        <v>564.56514137288207</v>
      </c>
      <c r="AN1319" s="1407">
        <f>AN1314-AN1334-AN1343-AN1315-AN1316</f>
        <v>364.95187755688744</v>
      </c>
      <c r="AO1319" s="1407">
        <f>AO1314-AO1334-AO1343-AO1315-AO1316</f>
        <v>717.54225823510774</v>
      </c>
      <c r="AP1319" s="1407">
        <f t="shared" ref="AP1319:AU1319" si="1579">AP1314-AP1334-AP1343</f>
        <v>661.77018244949409</v>
      </c>
      <c r="AQ1319" s="1407">
        <f t="shared" si="1579"/>
        <v>2332.6181644885482</v>
      </c>
      <c r="AR1319" s="1407">
        <f t="shared" si="1579"/>
        <v>1687.0626073323597</v>
      </c>
      <c r="AS1319" s="1407">
        <f t="shared" si="1579"/>
        <v>2325.1996016506318</v>
      </c>
      <c r="AT1319" s="1407">
        <f t="shared" si="1579"/>
        <v>3087.9959995959939</v>
      </c>
      <c r="AU1319" s="1407">
        <f t="shared" si="1579"/>
        <v>4111.1039871636358</v>
      </c>
      <c r="AV1319" s="1407">
        <f t="shared" si="1528"/>
        <v>0.32805630854394696</v>
      </c>
      <c r="AW1319" s="1916"/>
      <c r="AX1319" s="1916"/>
      <c r="AY1319" s="1916"/>
      <c r="AZ1319" s="1916"/>
      <c r="BA1319" s="1916"/>
      <c r="BB1319" s="1916"/>
      <c r="BC1319" s="1916"/>
      <c r="BD1319" s="1916"/>
      <c r="BE1319" s="1916"/>
      <c r="BF1319" s="1916"/>
      <c r="BG1319" s="1916"/>
      <c r="BH1319" s="1915"/>
    </row>
    <row r="1320" spans="1:60">
      <c r="A1320" s="1"/>
      <c r="B1320" s="1"/>
      <c r="C1320" s="1"/>
      <c r="D1320" s="360" t="str">
        <f>+FISCinyear!D994</f>
        <v>Held by Banks</v>
      </c>
      <c r="E1320" s="323"/>
      <c r="F1320" s="323"/>
      <c r="G1320" s="323"/>
      <c r="H1320" s="323"/>
      <c r="I1320" s="323"/>
      <c r="J1320" s="323"/>
      <c r="K1320" s="323"/>
      <c r="L1320" s="323"/>
      <c r="M1320" s="323"/>
      <c r="N1320" s="323"/>
      <c r="O1320" s="323"/>
      <c r="P1320" s="323"/>
      <c r="Q1320" s="323"/>
      <c r="R1320" s="323"/>
      <c r="S1320" s="323"/>
      <c r="T1320" s="323"/>
      <c r="U1320" s="323"/>
      <c r="V1320" s="105"/>
      <c r="W1320" s="1407">
        <f>+W901-W1271</f>
        <v>-19.500000000000014</v>
      </c>
      <c r="X1320" s="1407">
        <f>+X901-X1271</f>
        <v>-255.99712944561441</v>
      </c>
      <c r="Y1320" s="1408">
        <f>FISCinyear!ID994</f>
        <v>47.020299999999999</v>
      </c>
      <c r="Z1320" s="1408">
        <f>FISCinyear!IG994</f>
        <v>80.097300000000018</v>
      </c>
      <c r="AA1320" s="1408">
        <f>FISCinyear!IJ994</f>
        <v>32.411899999999982</v>
      </c>
      <c r="AB1320" s="1408">
        <f>FISCinyear!IM994</f>
        <v>-2.666499999999985</v>
      </c>
      <c r="AC1320" s="1408">
        <f>FISCinyear!IP994</f>
        <v>63.265900000000016</v>
      </c>
      <c r="AD1320" s="1408">
        <f>FISCinyear!IS994</f>
        <v>90.077099999999973</v>
      </c>
      <c r="AE1320" s="1408">
        <f>FISCinyear!IV994</f>
        <v>181.27750000000006</v>
      </c>
      <c r="AF1320" s="1408">
        <f>FISCinyear!IY994</f>
        <v>122.98772</v>
      </c>
      <c r="AG1320" s="1408">
        <f>FISCinyear!JB994</f>
        <v>196.3978800000001</v>
      </c>
      <c r="AH1320" s="1408">
        <f>FISCinyear!JE994</f>
        <v>42.202685000000031</v>
      </c>
      <c r="AI1320" s="1408">
        <f>FISCinyear!JH994</f>
        <v>35.737500000000011</v>
      </c>
      <c r="AJ1320" s="1408">
        <f>FISCinyear!JK994</f>
        <v>120.74850000000004</v>
      </c>
      <c r="AK1320" s="1597">
        <f t="shared" ref="AK1320:AT1320" si="1580">AK1319*AK725</f>
        <v>145.04026693840493</v>
      </c>
      <c r="AL1320" s="1597">
        <f t="shared" si="1580"/>
        <v>175.57750876791252</v>
      </c>
      <c r="AM1320" s="1597">
        <f t="shared" si="1580"/>
        <v>248.17045912233536</v>
      </c>
      <c r="AN1320" s="1597">
        <f t="shared" si="1580"/>
        <v>160.42484449289</v>
      </c>
      <c r="AO1320" s="1597">
        <f t="shared" si="1580"/>
        <v>315.41584596040633</v>
      </c>
      <c r="AP1320" s="1597">
        <f t="shared" si="1580"/>
        <v>290.89966414254985</v>
      </c>
      <c r="AQ1320" s="1597">
        <f t="shared" si="1580"/>
        <v>1025.3678068584134</v>
      </c>
      <c r="AR1320" s="1597">
        <f t="shared" si="1580"/>
        <v>741.59573651974392</v>
      </c>
      <c r="AS1320" s="1597">
        <f t="shared" si="1580"/>
        <v>1022.106769272854</v>
      </c>
      <c r="AT1320" s="1597">
        <f t="shared" si="1580"/>
        <v>1357.4153429382861</v>
      </c>
      <c r="AU1320" s="1597">
        <f t="shared" si="1536"/>
        <v>1802.7240095035361</v>
      </c>
      <c r="AV1320" s="1597">
        <f t="shared" si="1528"/>
        <v>0.32805630854394696</v>
      </c>
      <c r="AW1320" s="1916"/>
      <c r="AX1320" s="1916"/>
      <c r="AY1320" s="1916"/>
      <c r="AZ1320" s="1916"/>
      <c r="BA1320" s="1916"/>
      <c r="BB1320" s="1916"/>
      <c r="BC1320" s="1916"/>
      <c r="BD1320" s="1916"/>
      <c r="BE1320" s="1916"/>
      <c r="BF1320" s="1916"/>
      <c r="BG1320" s="1916"/>
      <c r="BH1320" s="1915"/>
    </row>
    <row r="1321" spans="1:60">
      <c r="A1321" s="1"/>
      <c r="B1321" s="1"/>
      <c r="C1321" s="1" t="s">
        <v>3282</v>
      </c>
      <c r="D1321" s="363" t="str">
        <f>+FISCinyear!D995</f>
        <v>T-bills</v>
      </c>
      <c r="E1321" s="323"/>
      <c r="F1321" s="323"/>
      <c r="G1321" s="323"/>
      <c r="H1321" s="323"/>
      <c r="I1321" s="323"/>
      <c r="J1321" s="323"/>
      <c r="K1321" s="323"/>
      <c r="L1321" s="323"/>
      <c r="M1321" s="323"/>
      <c r="N1321" s="323"/>
      <c r="O1321" s="323"/>
      <c r="P1321" s="323"/>
      <c r="Q1321" s="323"/>
      <c r="R1321" s="323"/>
      <c r="S1321" s="323"/>
      <c r="T1321" s="323"/>
      <c r="U1321" s="323"/>
      <c r="V1321" s="105"/>
      <c r="W1321" s="1407"/>
      <c r="X1321" s="1407"/>
      <c r="Y1321" s="1408">
        <f>FISCinyear!ID995</f>
        <v>42.914299999999997</v>
      </c>
      <c r="Z1321" s="1408">
        <f>FISCinyear!IG995</f>
        <v>57.520100000000014</v>
      </c>
      <c r="AA1321" s="1408">
        <f>FISCinyear!IJ995</f>
        <v>10.538199999999989</v>
      </c>
      <c r="AB1321" s="1408">
        <f>FISCinyear!IM995</f>
        <v>-6.0853999999999928</v>
      </c>
      <c r="AC1321" s="1408">
        <f>FISCinyear!IP995</f>
        <v>41.609700000000004</v>
      </c>
      <c r="AD1321" s="1408">
        <f>FISCinyear!IS995</f>
        <v>47.420099999999991</v>
      </c>
      <c r="AE1321" s="1408">
        <f>FISCinyear!IV995</f>
        <v>83.960500000000081</v>
      </c>
      <c r="AF1321" s="1408">
        <f>FISCinyear!IY995</f>
        <v>1.5303999999999292</v>
      </c>
      <c r="AG1321" s="1408">
        <f>FISCinyear!JB995</f>
        <v>98.314200000000142</v>
      </c>
      <c r="AH1321" s="1408">
        <f>FISCinyear!JE995</f>
        <v>-18.560999999999979</v>
      </c>
      <c r="AI1321" s="1408">
        <f>FISCinyear!JH995</f>
        <v>1.0083999999999946</v>
      </c>
      <c r="AJ1321" s="1408">
        <f>FISCinyear!JK995</f>
        <v>69.130499999999984</v>
      </c>
      <c r="AK1321" s="1407">
        <f t="shared" ref="AK1321:AM1321" si="1581">AK1322+AK1323</f>
        <v>78.653294634818508</v>
      </c>
      <c r="AL1321" s="1407">
        <f t="shared" si="1581"/>
        <v>95.213210923244631</v>
      </c>
      <c r="AM1321" s="1407">
        <f t="shared" si="1581"/>
        <v>134.57934581226777</v>
      </c>
      <c r="AN1321" s="1407">
        <f t="shared" ref="AN1321:AT1321" si="1582">AN1322+AN1323</f>
        <v>86.996134432121195</v>
      </c>
      <c r="AO1321" s="1407">
        <f t="shared" si="1582"/>
        <v>171.045572298553</v>
      </c>
      <c r="AP1321" s="1407">
        <f t="shared" si="1582"/>
        <v>157.75079207962568</v>
      </c>
      <c r="AQ1321" s="1407">
        <f t="shared" si="1582"/>
        <v>556.04252477101375</v>
      </c>
      <c r="AR1321" s="1407">
        <f t="shared" si="1582"/>
        <v>402.15692645673039</v>
      </c>
      <c r="AS1321" s="1407">
        <f t="shared" si="1582"/>
        <v>554.27411000285042</v>
      </c>
      <c r="AT1321" s="1407">
        <f t="shared" si="1582"/>
        <v>736.10722845186717</v>
      </c>
      <c r="AU1321" s="1407">
        <f t="shared" si="1536"/>
        <v>977.59184851030261</v>
      </c>
      <c r="AV1321" s="1407">
        <f t="shared" si="1528"/>
        <v>0.32805630854394696</v>
      </c>
      <c r="AW1321" s="1916"/>
      <c r="AX1321" s="1916"/>
      <c r="AY1321" s="1916"/>
      <c r="AZ1321" s="1916"/>
      <c r="BA1321" s="1916"/>
      <c r="BB1321" s="1916"/>
      <c r="BC1321" s="1916"/>
      <c r="BD1321" s="1916"/>
      <c r="BE1321" s="1916"/>
      <c r="BF1321" s="1916"/>
      <c r="BG1321" s="1916"/>
      <c r="BH1321" s="1915"/>
    </row>
    <row r="1322" spans="1:60">
      <c r="A1322" s="1"/>
      <c r="B1322" s="1"/>
      <c r="C1322" s="1" t="s">
        <v>3283</v>
      </c>
      <c r="D1322" s="1464" t="s">
        <v>3160</v>
      </c>
      <c r="E1322" s="323"/>
      <c r="F1322" s="323"/>
      <c r="G1322" s="323"/>
      <c r="H1322" s="323"/>
      <c r="I1322" s="323"/>
      <c r="J1322" s="323"/>
      <c r="K1322" s="323"/>
      <c r="L1322" s="323"/>
      <c r="M1322" s="323"/>
      <c r="N1322" s="323"/>
      <c r="O1322" s="323"/>
      <c r="P1322" s="323"/>
      <c r="Q1322" s="323"/>
      <c r="R1322" s="323"/>
      <c r="S1322" s="323"/>
      <c r="T1322" s="323"/>
      <c r="U1322" s="323"/>
      <c r="V1322" s="105"/>
      <c r="W1322" s="1407"/>
      <c r="X1322" s="1407"/>
      <c r="Y1322" s="1408"/>
      <c r="Z1322" s="1408">
        <v>0</v>
      </c>
      <c r="AA1322" s="1408">
        <v>0</v>
      </c>
      <c r="AB1322" s="1408">
        <v>0</v>
      </c>
      <c r="AC1322" s="1408">
        <v>0</v>
      </c>
      <c r="AD1322" s="1408">
        <v>0</v>
      </c>
      <c r="AE1322" s="1408">
        <v>0</v>
      </c>
      <c r="AF1322" s="1408">
        <f>FISCinyear!IY996</f>
        <v>0</v>
      </c>
      <c r="AG1322" s="1408">
        <f>FISCinyear!JB996</f>
        <v>0</v>
      </c>
      <c r="AH1322" s="1408">
        <f>FISCinyear!JE996</f>
        <v>0</v>
      </c>
      <c r="AI1322" s="1408">
        <f>FISCinyear!JH996</f>
        <v>0</v>
      </c>
      <c r="AJ1322" s="1408">
        <f>FISCinyear!JK996</f>
        <v>0</v>
      </c>
      <c r="AK1322" s="1408">
        <v>0</v>
      </c>
      <c r="AL1322" s="1408">
        <v>0</v>
      </c>
      <c r="AM1322" s="1408">
        <v>0</v>
      </c>
      <c r="AN1322" s="1408">
        <v>0</v>
      </c>
      <c r="AO1322" s="1408">
        <v>0</v>
      </c>
      <c r="AP1322" s="1408">
        <v>0</v>
      </c>
      <c r="AQ1322" s="1408">
        <v>0</v>
      </c>
      <c r="AR1322" s="1408">
        <v>0</v>
      </c>
      <c r="AS1322" s="1408">
        <v>0</v>
      </c>
      <c r="AT1322" s="1408">
        <v>0</v>
      </c>
      <c r="AU1322" s="1408">
        <v>0</v>
      </c>
      <c r="AV1322" s="1408" t="e">
        <f t="shared" si="1528"/>
        <v>#DIV/0!</v>
      </c>
      <c r="AW1322" s="1916"/>
      <c r="AX1322" s="1916"/>
      <c r="AY1322" s="1916"/>
      <c r="AZ1322" s="1916"/>
      <c r="BA1322" s="1916"/>
      <c r="BB1322" s="1916"/>
      <c r="BC1322" s="1916"/>
      <c r="BD1322" s="1916"/>
      <c r="BE1322" s="1916"/>
      <c r="BF1322" s="1916"/>
      <c r="BG1322" s="1916"/>
      <c r="BH1322" s="1915"/>
    </row>
    <row r="1323" spans="1:60">
      <c r="A1323" s="1"/>
      <c r="B1323" s="1"/>
      <c r="C1323" s="1" t="s">
        <v>3232</v>
      </c>
      <c r="D1323" s="1464" t="s">
        <v>3161</v>
      </c>
      <c r="E1323" s="323"/>
      <c r="F1323" s="323"/>
      <c r="G1323" s="323"/>
      <c r="H1323" s="323"/>
      <c r="I1323" s="323"/>
      <c r="J1323" s="323"/>
      <c r="K1323" s="323"/>
      <c r="L1323" s="323"/>
      <c r="M1323" s="323"/>
      <c r="N1323" s="323"/>
      <c r="O1323" s="323"/>
      <c r="P1323" s="323"/>
      <c r="Q1323" s="323"/>
      <c r="R1323" s="323"/>
      <c r="S1323" s="323"/>
      <c r="T1323" s="323"/>
      <c r="U1323" s="323"/>
      <c r="V1323" s="105"/>
      <c r="W1323" s="1407"/>
      <c r="X1323" s="1407"/>
      <c r="Y1323" s="1408"/>
      <c r="Z1323" s="1408">
        <v>0</v>
      </c>
      <c r="AA1323" s="1408">
        <v>0</v>
      </c>
      <c r="AB1323" s="1408">
        <v>0</v>
      </c>
      <c r="AC1323" s="1408">
        <v>0</v>
      </c>
      <c r="AD1323" s="1408">
        <v>0</v>
      </c>
      <c r="AE1323" s="1408">
        <v>0</v>
      </c>
      <c r="AF1323" s="1408">
        <f>FISCinyear!IY997</f>
        <v>1.5303999999999292</v>
      </c>
      <c r="AG1323" s="1408">
        <f>FISCinyear!JB997</f>
        <v>98.314200000000142</v>
      </c>
      <c r="AH1323" s="1408">
        <f>FISCinyear!JE997</f>
        <v>-18.560999999999979</v>
      </c>
      <c r="AI1323" s="1408">
        <f>FISCinyear!JH997</f>
        <v>1.0083999999999946</v>
      </c>
      <c r="AJ1323" s="1408">
        <f>FISCinyear!JK997</f>
        <v>69.130499999999984</v>
      </c>
      <c r="AK1323" s="1407">
        <f t="shared" ref="AK1323:AT1323" si="1583">AK1320*AK726</f>
        <v>78.653294634818508</v>
      </c>
      <c r="AL1323" s="1407">
        <f t="shared" si="1583"/>
        <v>95.213210923244631</v>
      </c>
      <c r="AM1323" s="1407">
        <f t="shared" si="1583"/>
        <v>134.57934581226777</v>
      </c>
      <c r="AN1323" s="1407">
        <f t="shared" si="1583"/>
        <v>86.996134432121195</v>
      </c>
      <c r="AO1323" s="1407">
        <f t="shared" si="1583"/>
        <v>171.045572298553</v>
      </c>
      <c r="AP1323" s="1407">
        <f t="shared" si="1583"/>
        <v>157.75079207962568</v>
      </c>
      <c r="AQ1323" s="1407">
        <f t="shared" si="1583"/>
        <v>556.04252477101375</v>
      </c>
      <c r="AR1323" s="1407">
        <f t="shared" si="1583"/>
        <v>402.15692645673039</v>
      </c>
      <c r="AS1323" s="1407">
        <f t="shared" si="1583"/>
        <v>554.27411000285042</v>
      </c>
      <c r="AT1323" s="1407">
        <f t="shared" si="1583"/>
        <v>736.10722845186717</v>
      </c>
      <c r="AU1323" s="1407">
        <f t="shared" ref="AU1323:AU1386" si="1584">AT1323*(1+AV1323)</f>
        <v>977.59184851030261</v>
      </c>
      <c r="AV1323" s="1407">
        <f t="shared" ref="AV1323:AV1386" si="1585">AT1323/AS1323-1</f>
        <v>0.32805630854394696</v>
      </c>
      <c r="AW1323" s="1916"/>
      <c r="AX1323" s="1916"/>
      <c r="AY1323" s="1916"/>
      <c r="AZ1323" s="1916"/>
      <c r="BA1323" s="1916"/>
      <c r="BB1323" s="1916"/>
      <c r="BC1323" s="1916"/>
      <c r="BD1323" s="1916"/>
      <c r="BE1323" s="1916"/>
      <c r="BF1323" s="1916"/>
      <c r="BG1323" s="1916"/>
      <c r="BH1323" s="1915"/>
    </row>
    <row r="1324" spans="1:60">
      <c r="A1324" s="1"/>
      <c r="B1324" s="1"/>
      <c r="C1324" s="1"/>
      <c r="D1324" s="363" t="str">
        <f>+FISCinyear!D998</f>
        <v>T-bonds</v>
      </c>
      <c r="E1324" s="323"/>
      <c r="F1324" s="323"/>
      <c r="G1324" s="323"/>
      <c r="H1324" s="323"/>
      <c r="I1324" s="323"/>
      <c r="J1324" s="323"/>
      <c r="K1324" s="323"/>
      <c r="L1324" s="323"/>
      <c r="M1324" s="323"/>
      <c r="N1324" s="323"/>
      <c r="O1324" s="323"/>
      <c r="P1324" s="323"/>
      <c r="Q1324" s="323"/>
      <c r="R1324" s="323"/>
      <c r="S1324" s="323"/>
      <c r="T1324" s="323"/>
      <c r="U1324" s="323"/>
      <c r="V1324" s="105"/>
      <c r="W1324" s="1407"/>
      <c r="X1324" s="1407"/>
      <c r="Y1324" s="1408">
        <f>FISCinyear!ID998</f>
        <v>4.1059999999999999</v>
      </c>
      <c r="Z1324" s="1408">
        <f>FISCinyear!IG998</f>
        <v>22.577200000000001</v>
      </c>
      <c r="AA1324" s="1408">
        <f>FISCinyear!IJ998</f>
        <v>20.252999999999993</v>
      </c>
      <c r="AB1324" s="1408">
        <f>FISCinyear!IM998</f>
        <v>3.4189000000000078</v>
      </c>
      <c r="AC1324" s="1408">
        <f>FISCinyear!IP998</f>
        <v>21.656200000000005</v>
      </c>
      <c r="AD1324" s="1408">
        <f>FISCinyear!IS998</f>
        <v>42.656999999999982</v>
      </c>
      <c r="AE1324" s="1408">
        <f>FISCinyear!IV998</f>
        <v>97.316999999999979</v>
      </c>
      <c r="AF1324" s="1408">
        <f>FISCinyear!IY998</f>
        <v>61.441020000000037</v>
      </c>
      <c r="AG1324" s="1408">
        <f>FISCinyear!JB998</f>
        <v>98.083679999999958</v>
      </c>
      <c r="AH1324" s="1408">
        <f>FISCinyear!JE998</f>
        <v>60.763685000000009</v>
      </c>
      <c r="AI1324" s="1408">
        <f>FISCinyear!JH998</f>
        <v>34.729100000000017</v>
      </c>
      <c r="AJ1324" s="1408">
        <f>FISCinyear!JK998</f>
        <v>51.618000000000052</v>
      </c>
      <c r="AK1324" s="1407">
        <f t="shared" ref="AK1324:AM1324" si="1586">AK1325+AK1326</f>
        <v>66.386972303586418</v>
      </c>
      <c r="AL1324" s="1407">
        <f>AL1325+AL1326</f>
        <v>80.364297844667888</v>
      </c>
      <c r="AM1324" s="1407">
        <f t="shared" si="1586"/>
        <v>113.59111331006758</v>
      </c>
      <c r="AN1324" s="1407">
        <f t="shared" ref="AN1324:AT1324" si="1587">AN1325+AN1326</f>
        <v>73.428710060768807</v>
      </c>
      <c r="AO1324" s="1407">
        <f t="shared" si="1587"/>
        <v>144.37027366185333</v>
      </c>
      <c r="AP1324" s="1407">
        <f t="shared" si="1587"/>
        <v>133.14887206292417</v>
      </c>
      <c r="AQ1324" s="1407">
        <f t="shared" si="1587"/>
        <v>469.32528208739967</v>
      </c>
      <c r="AR1324" s="1407">
        <f t="shared" si="1587"/>
        <v>339.43881006301353</v>
      </c>
      <c r="AS1324" s="1407">
        <f t="shared" si="1587"/>
        <v>467.83265927000355</v>
      </c>
      <c r="AT1324" s="1407">
        <f t="shared" si="1587"/>
        <v>621.30811448641896</v>
      </c>
      <c r="AU1324" s="1407">
        <f t="shared" si="1584"/>
        <v>825.13216099323336</v>
      </c>
      <c r="AV1324" s="1407">
        <f t="shared" si="1585"/>
        <v>0.32805630854394674</v>
      </c>
      <c r="AW1324" s="1916"/>
      <c r="AX1324" s="1916"/>
      <c r="AY1324" s="1916"/>
      <c r="AZ1324" s="1916"/>
      <c r="BA1324" s="1916"/>
      <c r="BB1324" s="1916"/>
      <c r="BC1324" s="1916"/>
      <c r="BD1324" s="1916"/>
      <c r="BE1324" s="1916"/>
      <c r="BF1324" s="1916"/>
      <c r="BG1324" s="1916"/>
      <c r="BH1324" s="1915"/>
    </row>
    <row r="1325" spans="1:60">
      <c r="A1325" s="1"/>
      <c r="B1325" s="1"/>
      <c r="C1325" s="1"/>
      <c r="D1325" s="1464" t="s">
        <v>3160</v>
      </c>
      <c r="E1325" s="323"/>
      <c r="F1325" s="323"/>
      <c r="G1325" s="323"/>
      <c r="H1325" s="323"/>
      <c r="I1325" s="323"/>
      <c r="J1325" s="323"/>
      <c r="K1325" s="323"/>
      <c r="L1325" s="323"/>
      <c r="M1325" s="323"/>
      <c r="N1325" s="323"/>
      <c r="O1325" s="323"/>
      <c r="P1325" s="323"/>
      <c r="Q1325" s="323"/>
      <c r="R1325" s="323"/>
      <c r="S1325" s="323"/>
      <c r="T1325" s="323"/>
      <c r="U1325" s="323"/>
      <c r="V1325" s="105"/>
      <c r="W1325" s="1407"/>
      <c r="X1325" s="1407"/>
      <c r="Y1325" s="1408"/>
      <c r="Z1325" s="1408">
        <v>0</v>
      </c>
      <c r="AA1325" s="1408">
        <v>0</v>
      </c>
      <c r="AB1325" s="1408">
        <v>0</v>
      </c>
      <c r="AC1325" s="1408">
        <v>0</v>
      </c>
      <c r="AD1325" s="1408">
        <v>0</v>
      </c>
      <c r="AE1325" s="1408">
        <v>0</v>
      </c>
      <c r="AF1325" s="1408">
        <f>FISCinyear!IY999</f>
        <v>0</v>
      </c>
      <c r="AG1325" s="1408">
        <f>FISCinyear!JB999</f>
        <v>0</v>
      </c>
      <c r="AH1325" s="1408">
        <f>FISCinyear!JE999</f>
        <v>0</v>
      </c>
      <c r="AI1325" s="1408">
        <f>FISCinyear!JH999</f>
        <v>0</v>
      </c>
      <c r="AJ1325" s="1408">
        <f>FISCinyear!JK999</f>
        <v>0</v>
      </c>
      <c r="AK1325" s="1408">
        <v>0</v>
      </c>
      <c r="AL1325" s="1408">
        <v>0</v>
      </c>
      <c r="AM1325" s="1408">
        <v>0</v>
      </c>
      <c r="AN1325" s="1408">
        <v>0</v>
      </c>
      <c r="AO1325" s="1408">
        <v>0</v>
      </c>
      <c r="AP1325" s="1408">
        <v>0</v>
      </c>
      <c r="AQ1325" s="1408">
        <v>0</v>
      </c>
      <c r="AR1325" s="1408">
        <v>0</v>
      </c>
      <c r="AS1325" s="1408">
        <v>0</v>
      </c>
      <c r="AT1325" s="1408">
        <v>0</v>
      </c>
      <c r="AU1325" s="1408">
        <v>0</v>
      </c>
      <c r="AV1325" s="1408" t="e">
        <f t="shared" si="1585"/>
        <v>#DIV/0!</v>
      </c>
      <c r="AW1325" s="1916"/>
      <c r="AX1325" s="1916"/>
      <c r="AY1325" s="1916"/>
      <c r="AZ1325" s="1916"/>
      <c r="BA1325" s="1916"/>
      <c r="BB1325" s="1916"/>
      <c r="BC1325" s="1916"/>
      <c r="BD1325" s="1916"/>
      <c r="BE1325" s="1916"/>
      <c r="BF1325" s="1916"/>
      <c r="BG1325" s="1916"/>
      <c r="BH1325" s="1915"/>
    </row>
    <row r="1326" spans="1:60">
      <c r="A1326" s="1"/>
      <c r="B1326" s="1"/>
      <c r="C1326" s="684" t="s">
        <v>3284</v>
      </c>
      <c r="D1326" s="1464" t="s">
        <v>3161</v>
      </c>
      <c r="E1326" s="323"/>
      <c r="F1326" s="323"/>
      <c r="G1326" s="323"/>
      <c r="H1326" s="323"/>
      <c r="I1326" s="323"/>
      <c r="J1326" s="323"/>
      <c r="K1326" s="323"/>
      <c r="L1326" s="323"/>
      <c r="M1326" s="323"/>
      <c r="N1326" s="323"/>
      <c r="O1326" s="323"/>
      <c r="P1326" s="323"/>
      <c r="Q1326" s="323"/>
      <c r="R1326" s="323"/>
      <c r="S1326" s="323"/>
      <c r="T1326" s="323"/>
      <c r="U1326" s="323"/>
      <c r="V1326" s="105"/>
      <c r="W1326" s="1407"/>
      <c r="X1326" s="1407"/>
      <c r="Y1326" s="1408"/>
      <c r="Z1326" s="1408">
        <v>0</v>
      </c>
      <c r="AA1326" s="1408">
        <v>0</v>
      </c>
      <c r="AB1326" s="1408">
        <v>0</v>
      </c>
      <c r="AC1326" s="1408">
        <v>0</v>
      </c>
      <c r="AD1326" s="1408">
        <v>0</v>
      </c>
      <c r="AE1326" s="1408">
        <v>0</v>
      </c>
      <c r="AF1326" s="1408">
        <f>FISCinyear!IY1000</f>
        <v>61.441020000000037</v>
      </c>
      <c r="AG1326" s="1408">
        <f>FISCinyear!JB1000</f>
        <v>98.083679999999958</v>
      </c>
      <c r="AH1326" s="1408">
        <f>FISCinyear!JE1000</f>
        <v>60.763685000000009</v>
      </c>
      <c r="AI1326" s="1408">
        <f>FISCinyear!JH1000</f>
        <v>34.729100000000017</v>
      </c>
      <c r="AJ1326" s="1408">
        <f>FISCinyear!JK1000</f>
        <v>51.618000000000052</v>
      </c>
      <c r="AK1326" s="1595">
        <f t="shared" ref="AK1326:AT1326" si="1588">AK1320*AK727</f>
        <v>66.386972303586418</v>
      </c>
      <c r="AL1326" s="1595">
        <f t="shared" si="1588"/>
        <v>80.364297844667888</v>
      </c>
      <c r="AM1326" s="1595">
        <f t="shared" si="1588"/>
        <v>113.59111331006758</v>
      </c>
      <c r="AN1326" s="1595">
        <f t="shared" si="1588"/>
        <v>73.428710060768807</v>
      </c>
      <c r="AO1326" s="1595">
        <f t="shared" si="1588"/>
        <v>144.37027366185333</v>
      </c>
      <c r="AP1326" s="1595">
        <f t="shared" si="1588"/>
        <v>133.14887206292417</v>
      </c>
      <c r="AQ1326" s="1595">
        <f t="shared" si="1588"/>
        <v>469.32528208739967</v>
      </c>
      <c r="AR1326" s="1595">
        <f t="shared" si="1588"/>
        <v>339.43881006301353</v>
      </c>
      <c r="AS1326" s="1595">
        <f t="shared" si="1588"/>
        <v>467.83265927000355</v>
      </c>
      <c r="AT1326" s="1595">
        <f t="shared" si="1588"/>
        <v>621.30811448641896</v>
      </c>
      <c r="AU1326" s="1595">
        <f t="shared" si="1584"/>
        <v>825.13216099323336</v>
      </c>
      <c r="AV1326" s="1595">
        <f t="shared" si="1585"/>
        <v>0.32805630854394674</v>
      </c>
      <c r="AW1326" s="1916"/>
      <c r="AX1326" s="1916"/>
      <c r="AY1326" s="1916"/>
      <c r="AZ1326" s="1916"/>
      <c r="BA1326" s="1916"/>
      <c r="BB1326" s="1916"/>
      <c r="BC1326" s="1916"/>
      <c r="BD1326" s="1916"/>
      <c r="BE1326" s="1916"/>
      <c r="BF1326" s="1916"/>
      <c r="BG1326" s="1916"/>
      <c r="BH1326" s="1915"/>
    </row>
    <row r="1327" spans="1:60">
      <c r="A1327" s="1"/>
      <c r="B1327" s="1"/>
      <c r="C1327" s="684"/>
      <c r="D1327" s="2386" t="s">
        <v>3856</v>
      </c>
      <c r="E1327" s="323"/>
      <c r="F1327" s="323"/>
      <c r="G1327" s="323"/>
      <c r="H1327" s="323"/>
      <c r="I1327" s="323"/>
      <c r="J1327" s="323"/>
      <c r="K1327" s="323"/>
      <c r="L1327" s="323"/>
      <c r="M1327" s="323"/>
      <c r="N1327" s="323"/>
      <c r="O1327" s="323"/>
      <c r="P1327" s="323"/>
      <c r="Q1327" s="323"/>
      <c r="R1327" s="323"/>
      <c r="S1327" s="323"/>
      <c r="T1327" s="323"/>
      <c r="U1327" s="323"/>
      <c r="V1327" s="105"/>
      <c r="W1327" s="1407"/>
      <c r="X1327" s="1407"/>
      <c r="Y1327" s="1408"/>
      <c r="Z1327" s="1408"/>
      <c r="AA1327" s="1408"/>
      <c r="AB1327" s="1408"/>
      <c r="AC1327" s="1408"/>
      <c r="AD1327" s="1408"/>
      <c r="AE1327" s="1408"/>
      <c r="AF1327" s="1408"/>
      <c r="AG1327" s="1408"/>
      <c r="AH1327" s="1408"/>
      <c r="AI1327" s="1408"/>
      <c r="AJ1327" s="1408"/>
      <c r="AK1327" s="1407">
        <f t="shared" ref="AK1327:AT1327" si="1589">AK1326-AK1328</f>
        <v>66.386972303586418</v>
      </c>
      <c r="AL1327" s="1407">
        <f t="shared" si="1589"/>
        <v>80.364297844667888</v>
      </c>
      <c r="AM1327" s="1407">
        <f t="shared" si="1589"/>
        <v>113.59111331006758</v>
      </c>
      <c r="AN1327" s="1407">
        <f t="shared" si="1589"/>
        <v>73.428710060768807</v>
      </c>
      <c r="AO1327" s="1407">
        <f t="shared" si="1589"/>
        <v>144.37027366185333</v>
      </c>
      <c r="AP1327" s="1407">
        <f t="shared" si="1589"/>
        <v>133.14887206292417</v>
      </c>
      <c r="AQ1327" s="1407">
        <f t="shared" si="1589"/>
        <v>469.32528208739967</v>
      </c>
      <c r="AR1327" s="1407">
        <f t="shared" si="1589"/>
        <v>339.43881006301353</v>
      </c>
      <c r="AS1327" s="1407">
        <f t="shared" si="1589"/>
        <v>467.83265927000355</v>
      </c>
      <c r="AT1327" s="1407">
        <f t="shared" si="1589"/>
        <v>621.30811448641896</v>
      </c>
      <c r="AU1327" s="1407">
        <f t="shared" si="1584"/>
        <v>825.13216099323336</v>
      </c>
      <c r="AV1327" s="1407">
        <f t="shared" si="1585"/>
        <v>0.32805630854394674</v>
      </c>
      <c r="AW1327" s="1916"/>
      <c r="AX1327" s="1916"/>
      <c r="AY1327" s="1916"/>
      <c r="AZ1327" s="1916"/>
      <c r="BA1327" s="1916"/>
      <c r="BB1327" s="1916"/>
      <c r="BC1327" s="1916"/>
      <c r="BD1327" s="1916"/>
      <c r="BE1327" s="1916"/>
      <c r="BF1327" s="1916"/>
      <c r="BG1327" s="1916"/>
      <c r="BH1327" s="1915"/>
    </row>
    <row r="1328" spans="1:60">
      <c r="A1328" s="1"/>
      <c r="B1328" s="1"/>
      <c r="C1328" s="684"/>
      <c r="D1328" s="2386" t="s">
        <v>3855</v>
      </c>
      <c r="E1328" s="323"/>
      <c r="F1328" s="323"/>
      <c r="G1328" s="323"/>
      <c r="H1328" s="323"/>
      <c r="I1328" s="323"/>
      <c r="J1328" s="323"/>
      <c r="K1328" s="323"/>
      <c r="L1328" s="323"/>
      <c r="M1328" s="323"/>
      <c r="N1328" s="323"/>
      <c r="O1328" s="323"/>
      <c r="P1328" s="323"/>
      <c r="Q1328" s="323"/>
      <c r="R1328" s="323"/>
      <c r="S1328" s="323"/>
      <c r="T1328" s="323"/>
      <c r="U1328" s="323"/>
      <c r="V1328" s="105"/>
      <c r="W1328" s="1407"/>
      <c r="X1328" s="1407"/>
      <c r="Y1328" s="1408"/>
      <c r="Z1328" s="1408"/>
      <c r="AA1328" s="1408"/>
      <c r="AB1328" s="1408"/>
      <c r="AC1328" s="1408"/>
      <c r="AD1328" s="1408"/>
      <c r="AE1328" s="1408"/>
      <c r="AF1328" s="1408"/>
      <c r="AG1328" s="1408"/>
      <c r="AH1328" s="1408"/>
      <c r="AI1328" s="1408"/>
      <c r="AJ1328" s="1408"/>
      <c r="AK1328" s="1407">
        <f t="shared" ref="AK1328:AU1328" si="1590">-AK169*0</f>
        <v>0</v>
      </c>
      <c r="AL1328" s="1407">
        <f t="shared" si="1590"/>
        <v>0</v>
      </c>
      <c r="AM1328" s="1407">
        <f t="shared" si="1590"/>
        <v>0</v>
      </c>
      <c r="AN1328" s="1407">
        <f t="shared" si="1590"/>
        <v>0</v>
      </c>
      <c r="AO1328" s="1407">
        <f t="shared" si="1590"/>
        <v>0</v>
      </c>
      <c r="AP1328" s="1407">
        <f t="shared" si="1590"/>
        <v>0</v>
      </c>
      <c r="AQ1328" s="1407">
        <f t="shared" si="1590"/>
        <v>0</v>
      </c>
      <c r="AR1328" s="1407">
        <f t="shared" si="1590"/>
        <v>0</v>
      </c>
      <c r="AS1328" s="1407">
        <f t="shared" si="1590"/>
        <v>0</v>
      </c>
      <c r="AT1328" s="1407">
        <f t="shared" si="1590"/>
        <v>0</v>
      </c>
      <c r="AU1328" s="1407">
        <f t="shared" si="1590"/>
        <v>0</v>
      </c>
      <c r="AV1328" s="1407" t="e">
        <f t="shared" si="1585"/>
        <v>#DIV/0!</v>
      </c>
      <c r="AW1328" s="1916"/>
      <c r="AX1328" s="1916"/>
      <c r="AY1328" s="1916"/>
      <c r="AZ1328" s="1916"/>
      <c r="BA1328" s="1916"/>
      <c r="BB1328" s="1916"/>
      <c r="BC1328" s="1916"/>
      <c r="BD1328" s="1916"/>
      <c r="BE1328" s="1916"/>
      <c r="BF1328" s="1916"/>
      <c r="BG1328" s="1916"/>
      <c r="BH1328" s="1915"/>
    </row>
    <row r="1329" spans="1:60">
      <c r="A1329" s="1"/>
      <c r="B1329" s="1"/>
      <c r="C1329" s="1"/>
      <c r="D1329" s="360" t="str">
        <f>+FISCinyear!D1003</f>
        <v>Held by Non-Banks</v>
      </c>
      <c r="E1329" s="323"/>
      <c r="F1329" s="323"/>
      <c r="G1329" s="323"/>
      <c r="H1329" s="323"/>
      <c r="I1329" s="323"/>
      <c r="J1329" s="323"/>
      <c r="K1329" s="323"/>
      <c r="L1329" s="323"/>
      <c r="M1329" s="323"/>
      <c r="N1329" s="323"/>
      <c r="O1329" s="323"/>
      <c r="P1329" s="323"/>
      <c r="Q1329" s="323"/>
      <c r="R1329" s="323"/>
      <c r="S1329" s="323"/>
      <c r="T1329" s="323"/>
      <c r="U1329" s="323"/>
      <c r="V1329" s="105">
        <f>+V916</f>
        <v>0</v>
      </c>
      <c r="W1329" s="1407">
        <f>+W916</f>
        <v>0</v>
      </c>
      <c r="X1329" s="1407">
        <f>+X916</f>
        <v>39.700000000000003</v>
      </c>
      <c r="Y1329" s="1408">
        <f>FISCinyear!ID1003</f>
        <v>-11.653900000000029</v>
      </c>
      <c r="Z1329" s="1408">
        <f>FISCinyear!IG1003</f>
        <v>30.907699999999998</v>
      </c>
      <c r="AA1329" s="1408">
        <f>FISCinyear!IJ1003</f>
        <v>59.256799999999984</v>
      </c>
      <c r="AB1329" s="1408">
        <f>FISCinyear!IM1003</f>
        <v>58.736500000000021</v>
      </c>
      <c r="AC1329" s="1408">
        <f>FISCinyear!IP1003</f>
        <v>23.252356078422068</v>
      </c>
      <c r="AD1329" s="1408">
        <f>FISCinyear!IS1003</f>
        <v>115.41749999999998</v>
      </c>
      <c r="AE1329" s="1408">
        <f>FISCinyear!IV1003</f>
        <v>90.11069999999998</v>
      </c>
      <c r="AF1329" s="1408">
        <f>FISCinyear!IY1003</f>
        <v>154.27490999999989</v>
      </c>
      <c r="AG1329" s="1408">
        <f>FISCinyear!JB1003</f>
        <v>27.406989999999936</v>
      </c>
      <c r="AH1329" s="1408">
        <f>FISCinyear!JE1003</f>
        <v>252.42663500000006</v>
      </c>
      <c r="AI1329" s="1408">
        <f>FISCinyear!JH1003</f>
        <v>118.75000000000001</v>
      </c>
      <c r="AJ1329" s="1408">
        <f>FISCinyear!JK1003</f>
        <v>84.333299999999937</v>
      </c>
      <c r="AK1329" s="1407">
        <f t="shared" ref="AK1329:AT1329" si="1591">AK1319*AK728</f>
        <v>184.91310099438425</v>
      </c>
      <c r="AL1329" s="1407">
        <f t="shared" si="1591"/>
        <v>223.84529687146235</v>
      </c>
      <c r="AM1329" s="1407">
        <f t="shared" si="1591"/>
        <v>316.39468225054674</v>
      </c>
      <c r="AN1329" s="1407">
        <f t="shared" si="1591"/>
        <v>204.52703306399746</v>
      </c>
      <c r="AO1329" s="1407">
        <f t="shared" si="1591"/>
        <v>402.12641227470147</v>
      </c>
      <c r="AP1329" s="1407">
        <f t="shared" si="1591"/>
        <v>370.87051830694423</v>
      </c>
      <c r="AQ1329" s="1407">
        <f t="shared" si="1591"/>
        <v>1307.2503576301351</v>
      </c>
      <c r="AR1329" s="1407">
        <f t="shared" si="1591"/>
        <v>945.46687081261575</v>
      </c>
      <c r="AS1329" s="1407">
        <f t="shared" si="1591"/>
        <v>1303.092832377778</v>
      </c>
      <c r="AT1329" s="1407">
        <f t="shared" si="1591"/>
        <v>1730.580656657708</v>
      </c>
      <c r="AU1329" s="1407">
        <f t="shared" si="1584"/>
        <v>2298.3085585183953</v>
      </c>
      <c r="AV1329" s="1407">
        <f t="shared" si="1585"/>
        <v>0.32805630854394696</v>
      </c>
      <c r="AW1329" s="1916"/>
      <c r="AX1329" s="1916"/>
      <c r="AY1329" s="1916"/>
      <c r="AZ1329" s="1916"/>
      <c r="BA1329" s="1916"/>
      <c r="BB1329" s="1916"/>
      <c r="BC1329" s="1916"/>
      <c r="BD1329" s="1916"/>
      <c r="BE1329" s="1916"/>
      <c r="BF1329" s="1916"/>
      <c r="BG1329" s="1916"/>
      <c r="BH1329" s="1915"/>
    </row>
    <row r="1330" spans="1:60">
      <c r="A1330" s="1"/>
      <c r="B1330" s="1"/>
      <c r="C1330" s="1"/>
      <c r="D1330" s="363" t="str">
        <f>+FISCinyear!D1004</f>
        <v>T-bills</v>
      </c>
      <c r="E1330" s="323"/>
      <c r="F1330" s="323"/>
      <c r="G1330" s="323"/>
      <c r="H1330" s="323"/>
      <c r="I1330" s="323"/>
      <c r="J1330" s="323"/>
      <c r="K1330" s="323"/>
      <c r="L1330" s="323"/>
      <c r="M1330" s="323"/>
      <c r="N1330" s="323"/>
      <c r="O1330" s="323"/>
      <c r="P1330" s="323"/>
      <c r="Q1330" s="323"/>
      <c r="R1330" s="323"/>
      <c r="S1330" s="323"/>
      <c r="T1330" s="323"/>
      <c r="U1330" s="323"/>
      <c r="V1330" s="105"/>
      <c r="W1330" s="1407"/>
      <c r="X1330" s="1407"/>
      <c r="Y1330" s="1408">
        <f>FISCinyear!ID1004</f>
        <v>-32.547900000000027</v>
      </c>
      <c r="Z1330" s="1408">
        <f>FISCinyear!IG1004</f>
        <v>-1.5151000000000003</v>
      </c>
      <c r="AA1330" s="1408">
        <f>FISCinyear!IJ1004</f>
        <v>29.630500000000005</v>
      </c>
      <c r="AB1330" s="1408">
        <f>FISCinyear!IM1004</f>
        <v>27.1554</v>
      </c>
      <c r="AC1330" s="1408">
        <f>FISCinyear!IP1004</f>
        <v>4.9085560784220803</v>
      </c>
      <c r="AD1330" s="1408">
        <f>FISCinyear!IS1004</f>
        <v>53.790799999999976</v>
      </c>
      <c r="AE1330" s="1408">
        <f>FISCinyear!IV1004</f>
        <v>-67.602999999999994</v>
      </c>
      <c r="AF1330" s="1408">
        <f>FISCinyear!IY1004</f>
        <v>35.732310000000012</v>
      </c>
      <c r="AG1330" s="1408">
        <f>FISCinyear!JB1004</f>
        <v>-29.421810000000008</v>
      </c>
      <c r="AH1330" s="1408">
        <f>FISCinyear!JE1004</f>
        <v>8.8130999999999915</v>
      </c>
      <c r="AI1330" s="1408">
        <f>FISCinyear!JH1004</f>
        <v>24.952000000000012</v>
      </c>
      <c r="AJ1330" s="1408">
        <f>FISCinyear!JK1004</f>
        <v>-95.048700000000025</v>
      </c>
      <c r="AK1330" s="1407">
        <f t="shared" ref="AK1330:AT1330" si="1592">AK1329*AK729</f>
        <v>15.856695624107456</v>
      </c>
      <c r="AL1330" s="1407">
        <f t="shared" si="1592"/>
        <v>19.195215051239376</v>
      </c>
      <c r="AM1330" s="1407">
        <f t="shared" si="1592"/>
        <v>27.131523653834982</v>
      </c>
      <c r="AN1330" s="1407">
        <f t="shared" si="1592"/>
        <v>17.538632431977128</v>
      </c>
      <c r="AO1330" s="1407">
        <f t="shared" si="1592"/>
        <v>34.483203664665915</v>
      </c>
      <c r="AP1330" s="1407">
        <f t="shared" si="1592"/>
        <v>31.802943615805699</v>
      </c>
      <c r="AQ1330" s="1407">
        <f t="shared" si="1592"/>
        <v>112.09952628546418</v>
      </c>
      <c r="AR1330" s="1407">
        <f t="shared" si="1592"/>
        <v>81.075815139827625</v>
      </c>
      <c r="AS1330" s="1407">
        <f t="shared" si="1592"/>
        <v>111.74300956424945</v>
      </c>
      <c r="AT1330" s="1407">
        <f t="shared" si="1592"/>
        <v>148.40100878748808</v>
      </c>
      <c r="AU1330" s="1407">
        <f t="shared" si="1584"/>
        <v>197.08489591450925</v>
      </c>
      <c r="AV1330" s="1407">
        <f t="shared" si="1585"/>
        <v>0.32805630854394696</v>
      </c>
      <c r="AW1330" s="1916"/>
      <c r="AX1330" s="1916"/>
      <c r="AY1330" s="1916"/>
      <c r="AZ1330" s="1916"/>
      <c r="BA1330" s="1916"/>
      <c r="BB1330" s="1916"/>
      <c r="BC1330" s="1916"/>
      <c r="BD1330" s="1916"/>
      <c r="BE1330" s="1916"/>
      <c r="BF1330" s="1916"/>
      <c r="BG1330" s="1916"/>
      <c r="BH1330" s="1915"/>
    </row>
    <row r="1331" spans="1:60">
      <c r="A1331" s="1"/>
      <c r="B1331" s="1"/>
      <c r="C1331" s="684" t="s">
        <v>3284</v>
      </c>
      <c r="D1331" s="363" t="str">
        <f>+FISCinyear!D1005</f>
        <v>T-bonds</v>
      </c>
      <c r="E1331" s="323"/>
      <c r="F1331" s="323"/>
      <c r="G1331" s="323"/>
      <c r="H1331" s="323"/>
      <c r="I1331" s="323"/>
      <c r="J1331" s="323"/>
      <c r="K1331" s="323"/>
      <c r="L1331" s="323"/>
      <c r="M1331" s="323"/>
      <c r="N1331" s="323"/>
      <c r="O1331" s="323"/>
      <c r="P1331" s="323"/>
      <c r="Q1331" s="323"/>
      <c r="R1331" s="323"/>
      <c r="S1331" s="323"/>
      <c r="T1331" s="323"/>
      <c r="U1331" s="323"/>
      <c r="V1331" s="105"/>
      <c r="W1331" s="1407"/>
      <c r="X1331" s="1407"/>
      <c r="Y1331" s="1408">
        <f>FISCinyear!ID1005</f>
        <v>20.893999999999998</v>
      </c>
      <c r="Z1331" s="1408">
        <f>FISCinyear!IG1005</f>
        <v>32.422799999999995</v>
      </c>
      <c r="AA1331" s="1408">
        <f>FISCinyear!IJ1005</f>
        <v>29.626299999999986</v>
      </c>
      <c r="AB1331" s="1408">
        <f>FISCinyear!IM1005</f>
        <v>31.581100000000021</v>
      </c>
      <c r="AC1331" s="1408">
        <f>FISCinyear!IP1005</f>
        <v>18.343799999999987</v>
      </c>
      <c r="AD1331" s="1408">
        <f>FISCinyear!IS1005</f>
        <v>61.6267</v>
      </c>
      <c r="AE1331" s="1408">
        <f>FISCinyear!IV1005</f>
        <v>157.71369999999999</v>
      </c>
      <c r="AF1331" s="1408">
        <f>FISCinyear!IY1005</f>
        <v>118.54259999999988</v>
      </c>
      <c r="AG1331" s="1408">
        <f>FISCinyear!JB1005</f>
        <v>56.828799999999944</v>
      </c>
      <c r="AH1331" s="1408">
        <f>FISCinyear!JE1005</f>
        <v>243.61353500000007</v>
      </c>
      <c r="AI1331" s="1408">
        <f>FISCinyear!JH1005</f>
        <v>93.798000000000002</v>
      </c>
      <c r="AJ1331" s="1408">
        <f>FISCinyear!JK1005</f>
        <v>179.38199999999995</v>
      </c>
      <c r="AK1331" s="1407">
        <f t="shared" ref="AK1331:AT1331" si="1593">AK1329*AK730</f>
        <v>169.05640537027679</v>
      </c>
      <c r="AL1331" s="1407">
        <f t="shared" si="1593"/>
        <v>204.65008182022299</v>
      </c>
      <c r="AM1331" s="1407">
        <f t="shared" si="1593"/>
        <v>289.26315859671178</v>
      </c>
      <c r="AN1331" s="1407">
        <f t="shared" si="1593"/>
        <v>186.98840063202036</v>
      </c>
      <c r="AO1331" s="1407">
        <f t="shared" si="1593"/>
        <v>367.64320861003557</v>
      </c>
      <c r="AP1331" s="1407">
        <f t="shared" si="1593"/>
        <v>339.06757469113853</v>
      </c>
      <c r="AQ1331" s="1407">
        <f t="shared" si="1593"/>
        <v>1195.1508313446709</v>
      </c>
      <c r="AR1331" s="1407">
        <f t="shared" si="1593"/>
        <v>864.39105567278818</v>
      </c>
      <c r="AS1331" s="1407">
        <f t="shared" si="1593"/>
        <v>1191.3498228135286</v>
      </c>
      <c r="AT1331" s="1407">
        <f t="shared" si="1593"/>
        <v>1582.1796478702199</v>
      </c>
      <c r="AU1331" s="1407">
        <f t="shared" si="1584"/>
        <v>2101.2236626038857</v>
      </c>
      <c r="AV1331" s="1407">
        <f t="shared" si="1585"/>
        <v>0.32805630854394674</v>
      </c>
      <c r="AW1331" s="1916"/>
      <c r="AX1331" s="1916"/>
      <c r="AY1331" s="1916"/>
      <c r="AZ1331" s="1916"/>
      <c r="BA1331" s="1916"/>
      <c r="BB1331" s="1916"/>
      <c r="BC1331" s="1916"/>
      <c r="BD1331" s="1916"/>
      <c r="BE1331" s="1916"/>
      <c r="BF1331" s="1916"/>
      <c r="BG1331" s="1916"/>
      <c r="BH1331" s="1915"/>
    </row>
    <row r="1332" spans="1:60">
      <c r="A1332" s="1"/>
      <c r="B1332" s="1"/>
      <c r="C1332" s="684"/>
      <c r="D1332" s="2386" t="s">
        <v>3856</v>
      </c>
      <c r="E1332" s="323"/>
      <c r="F1332" s="323"/>
      <c r="G1332" s="323"/>
      <c r="H1332" s="323"/>
      <c r="I1332" s="323"/>
      <c r="J1332" s="323"/>
      <c r="K1332" s="323"/>
      <c r="L1332" s="323"/>
      <c r="M1332" s="323"/>
      <c r="N1332" s="323"/>
      <c r="O1332" s="323"/>
      <c r="P1332" s="323"/>
      <c r="Q1332" s="323"/>
      <c r="R1332" s="323"/>
      <c r="S1332" s="323"/>
      <c r="T1332" s="323"/>
      <c r="U1332" s="323"/>
      <c r="V1332" s="105"/>
      <c r="W1332" s="1407"/>
      <c r="X1332" s="1407"/>
      <c r="Y1332" s="1408"/>
      <c r="Z1332" s="1408"/>
      <c r="AA1332" s="1408"/>
      <c r="AB1332" s="1408"/>
      <c r="AC1332" s="1408"/>
      <c r="AD1332" s="1408"/>
      <c r="AE1332" s="1408"/>
      <c r="AF1332" s="1408"/>
      <c r="AG1332" s="1408"/>
      <c r="AH1332" s="1408"/>
      <c r="AI1332" s="1408"/>
      <c r="AJ1332" s="1408"/>
      <c r="AK1332" s="1407">
        <f t="shared" ref="AK1332:AO1332" si="1594">AK1331-AK1333</f>
        <v>169.05640537027679</v>
      </c>
      <c r="AL1332" s="1407">
        <f t="shared" si="1594"/>
        <v>204.65008182022299</v>
      </c>
      <c r="AM1332" s="1407">
        <f t="shared" si="1594"/>
        <v>289.26315859671178</v>
      </c>
      <c r="AN1332" s="1407">
        <f t="shared" si="1594"/>
        <v>186.98840063202036</v>
      </c>
      <c r="AO1332" s="1407">
        <f t="shared" si="1594"/>
        <v>367.64320861003557</v>
      </c>
      <c r="AP1332" s="1407">
        <f t="shared" ref="AP1332" si="1595">AP1331-AP1333</f>
        <v>339.06757469113853</v>
      </c>
      <c r="AQ1332" s="1407">
        <f t="shared" ref="AQ1332" si="1596">AQ1331-AQ1333</f>
        <v>1195.1508313446709</v>
      </c>
      <c r="AR1332" s="1407">
        <f t="shared" ref="AR1332" si="1597">AR1331-AR1333</f>
        <v>864.39105567278818</v>
      </c>
      <c r="AS1332" s="1407">
        <f t="shared" ref="AS1332" si="1598">AS1331-AS1333</f>
        <v>1191.3498228135286</v>
      </c>
      <c r="AT1332" s="1407">
        <f t="shared" ref="AT1332" si="1599">AT1331-AT1333</f>
        <v>1582.1796478702199</v>
      </c>
      <c r="AU1332" s="1407">
        <f t="shared" si="1584"/>
        <v>2101.2236626038857</v>
      </c>
      <c r="AV1332" s="1407">
        <f t="shared" si="1585"/>
        <v>0.32805630854394674</v>
      </c>
      <c r="AW1332" s="1916"/>
      <c r="AX1332" s="1916"/>
      <c r="AY1332" s="1916"/>
      <c r="AZ1332" s="1916"/>
      <c r="BA1332" s="1916"/>
      <c r="BB1332" s="1916"/>
      <c r="BC1332" s="1916"/>
      <c r="BD1332" s="1916"/>
      <c r="BE1332" s="1916"/>
      <c r="BF1332" s="1916"/>
      <c r="BG1332" s="1916"/>
      <c r="BH1332" s="1915"/>
    </row>
    <row r="1333" spans="1:60">
      <c r="A1333" s="1"/>
      <c r="B1333" s="1"/>
      <c r="C1333" s="684"/>
      <c r="D1333" s="2386" t="s">
        <v>3855</v>
      </c>
      <c r="E1333" s="323"/>
      <c r="F1333" s="323"/>
      <c r="G1333" s="323"/>
      <c r="H1333" s="323"/>
      <c r="I1333" s="323"/>
      <c r="J1333" s="323"/>
      <c r="K1333" s="323"/>
      <c r="L1333" s="323"/>
      <c r="M1333" s="323"/>
      <c r="N1333" s="323"/>
      <c r="O1333" s="323"/>
      <c r="P1333" s="323"/>
      <c r="Q1333" s="323"/>
      <c r="R1333" s="323"/>
      <c r="S1333" s="323"/>
      <c r="T1333" s="323"/>
      <c r="U1333" s="323"/>
      <c r="V1333" s="105"/>
      <c r="W1333" s="1407"/>
      <c r="X1333" s="1407"/>
      <c r="Y1333" s="1408"/>
      <c r="Z1333" s="1408"/>
      <c r="AA1333" s="1408"/>
      <c r="AB1333" s="1408"/>
      <c r="AC1333" s="1408"/>
      <c r="AD1333" s="1408"/>
      <c r="AE1333" s="1408"/>
      <c r="AF1333" s="1408"/>
      <c r="AG1333" s="1408"/>
      <c r="AH1333" s="1408"/>
      <c r="AI1333" s="1408"/>
      <c r="AJ1333" s="1408"/>
      <c r="AK1333" s="1407">
        <f t="shared" ref="AK1333:AU1333" si="1600">-AK173*0</f>
        <v>0</v>
      </c>
      <c r="AL1333" s="1407">
        <f t="shared" si="1600"/>
        <v>0</v>
      </c>
      <c r="AM1333" s="1407">
        <f t="shared" si="1600"/>
        <v>0</v>
      </c>
      <c r="AN1333" s="1407">
        <f t="shared" si="1600"/>
        <v>0</v>
      </c>
      <c r="AO1333" s="1407">
        <f t="shared" si="1600"/>
        <v>0</v>
      </c>
      <c r="AP1333" s="1407">
        <f t="shared" si="1600"/>
        <v>0</v>
      </c>
      <c r="AQ1333" s="1407">
        <f t="shared" si="1600"/>
        <v>0</v>
      </c>
      <c r="AR1333" s="1407">
        <f t="shared" si="1600"/>
        <v>0</v>
      </c>
      <c r="AS1333" s="1407">
        <f t="shared" si="1600"/>
        <v>0</v>
      </c>
      <c r="AT1333" s="1407">
        <f t="shared" si="1600"/>
        <v>0</v>
      </c>
      <c r="AU1333" s="1407">
        <f t="shared" si="1600"/>
        <v>0</v>
      </c>
      <c r="AV1333" s="1407" t="e">
        <f t="shared" si="1585"/>
        <v>#DIV/0!</v>
      </c>
      <c r="AW1333" s="1916"/>
      <c r="AX1333" s="1916"/>
      <c r="AY1333" s="1916"/>
      <c r="AZ1333" s="1916"/>
      <c r="BA1333" s="1916"/>
      <c r="BB1333" s="1916"/>
      <c r="BC1333" s="1916"/>
      <c r="BD1333" s="1916"/>
      <c r="BE1333" s="1916"/>
      <c r="BF1333" s="1916"/>
      <c r="BG1333" s="1916"/>
      <c r="BH1333" s="1915"/>
    </row>
    <row r="1334" spans="1:60">
      <c r="A1334" s="1"/>
      <c r="B1334" s="1"/>
      <c r="C1334" s="1"/>
      <c r="D1334" s="359" t="str">
        <f>+FISCinyear!D1008</f>
        <v>Loans</v>
      </c>
      <c r="E1334" s="148" t="s">
        <v>619</v>
      </c>
      <c r="F1334" s="323"/>
      <c r="G1334" s="323"/>
      <c r="H1334" s="323"/>
      <c r="I1334" s="323"/>
      <c r="J1334" s="323"/>
      <c r="K1334" s="323"/>
      <c r="L1334" s="323"/>
      <c r="M1334" s="323"/>
      <c r="N1334" s="323"/>
      <c r="O1334" s="323"/>
      <c r="P1334" s="323"/>
      <c r="Q1334" s="323"/>
      <c r="R1334" s="323"/>
      <c r="S1334" s="323"/>
      <c r="T1334" s="323"/>
      <c r="U1334" s="323"/>
      <c r="V1334" s="105">
        <f>+V915+V920</f>
        <v>-13.346974375999956</v>
      </c>
      <c r="W1334" s="1407">
        <f>+W915+W920</f>
        <v>-16.899999999999995</v>
      </c>
      <c r="X1334" s="1407">
        <f>+X919+X920</f>
        <v>9.3755658431975402</v>
      </c>
      <c r="Y1334" s="1408">
        <f>FISCinyear!ID1008</f>
        <v>-11.721398732081221</v>
      </c>
      <c r="Z1334" s="1408">
        <f>FISCinyear!IG1008</f>
        <v>-28.856118811860764</v>
      </c>
      <c r="AA1334" s="1408">
        <f>FISCinyear!IJ1008</f>
        <v>-15.039440599999999</v>
      </c>
      <c r="AB1334" s="1408">
        <f>FISCinyear!IM1008</f>
        <v>-26.413184871000002</v>
      </c>
      <c r="AC1334" s="1408">
        <f>FISCinyear!IP1008</f>
        <v>-29.125483030999998</v>
      </c>
      <c r="AD1334" s="1408">
        <f>FISCinyear!IS1008</f>
        <v>-152.67627147948929</v>
      </c>
      <c r="AE1334" s="1408">
        <f>FISCinyear!IV1008</f>
        <v>-38.554066509999998</v>
      </c>
      <c r="AF1334" s="1408">
        <f>FISCinyear!IY1008</f>
        <v>-46.7</v>
      </c>
      <c r="AG1334" s="1408">
        <f>FISCinyear!JB1008</f>
        <v>-81.435384072000005</v>
      </c>
      <c r="AH1334" s="1408">
        <f>FISCinyear!JE1008</f>
        <v>-222.10203108999994</v>
      </c>
      <c r="AI1334" s="1408">
        <f>FISCinyear!JH1008</f>
        <v>-95.788626077000004</v>
      </c>
      <c r="AJ1334" s="1408">
        <f>FISCinyear!JK1008</f>
        <v>-95.742560798999989</v>
      </c>
      <c r="AK1334" s="548">
        <f t="shared" ref="AK1334:AT1334" si="1601">+AK1335+AK1339+((-AK704*AK259/1000))</f>
        <v>-127.51876403981892</v>
      </c>
      <c r="AL1334" s="548">
        <f t="shared" si="1601"/>
        <v>-88.945966032360005</v>
      </c>
      <c r="AM1334" s="548">
        <f t="shared" si="1601"/>
        <v>-163.73796438636001</v>
      </c>
      <c r="AN1334" s="548">
        <f t="shared" si="1601"/>
        <v>-145.88163729335997</v>
      </c>
      <c r="AO1334" s="548">
        <f t="shared" si="1601"/>
        <v>-175.33097462936001</v>
      </c>
      <c r="AP1334" s="548">
        <f t="shared" si="1601"/>
        <v>-155.43061077736002</v>
      </c>
      <c r="AQ1334" s="548">
        <f t="shared" si="1601"/>
        <v>-156.71733948136</v>
      </c>
      <c r="AR1334" s="548">
        <f t="shared" si="1601"/>
        <v>-157.87729955335999</v>
      </c>
      <c r="AS1334" s="548">
        <f t="shared" si="1601"/>
        <v>-79.075786711359996</v>
      </c>
      <c r="AT1334" s="548">
        <f t="shared" si="1601"/>
        <v>-137.64259417736</v>
      </c>
      <c r="AU1334" s="548">
        <f t="shared" si="1584"/>
        <v>-239.58640842901303</v>
      </c>
      <c r="AV1334" s="548">
        <f t="shared" si="1585"/>
        <v>0.74064147701468674</v>
      </c>
      <c r="AW1334" s="1916"/>
      <c r="AX1334" s="1916"/>
      <c r="AY1334" s="1916"/>
      <c r="AZ1334" s="1916"/>
      <c r="BA1334" s="1916"/>
      <c r="BB1334" s="1916"/>
      <c r="BC1334" s="1916"/>
      <c r="BD1334" s="1916"/>
      <c r="BE1334" s="1916"/>
      <c r="BF1334" s="1916"/>
      <c r="BG1334" s="1916"/>
      <c r="BH1334" s="1915"/>
    </row>
    <row r="1335" spans="1:60">
      <c r="A1335" s="1"/>
      <c r="B1335" s="1"/>
      <c r="C1335" s="1"/>
      <c r="D1335" s="1455" t="s">
        <v>3163</v>
      </c>
      <c r="E1335" s="148"/>
      <c r="F1335" s="323"/>
      <c r="G1335" s="323"/>
      <c r="H1335" s="323"/>
      <c r="I1335" s="323"/>
      <c r="J1335" s="323"/>
      <c r="K1335" s="323"/>
      <c r="L1335" s="323"/>
      <c r="M1335" s="323"/>
      <c r="N1335" s="323"/>
      <c r="O1335" s="323"/>
      <c r="P1335" s="323"/>
      <c r="Q1335" s="323"/>
      <c r="R1335" s="323"/>
      <c r="S1335" s="323"/>
      <c r="T1335" s="323"/>
      <c r="U1335" s="323"/>
      <c r="V1335" s="105"/>
      <c r="W1335" s="1407"/>
      <c r="X1335" s="1407"/>
      <c r="Y1335" s="1408"/>
      <c r="Z1335" s="1408">
        <v>0</v>
      </c>
      <c r="AA1335" s="1408">
        <v>0</v>
      </c>
      <c r="AB1335" s="1408">
        <v>0</v>
      </c>
      <c r="AC1335" s="1408">
        <v>0</v>
      </c>
      <c r="AD1335" s="1408">
        <v>0</v>
      </c>
      <c r="AE1335" s="1408">
        <v>0</v>
      </c>
      <c r="AF1335" s="1408">
        <f>FISCinyear!IY1009</f>
        <v>0</v>
      </c>
      <c r="AG1335" s="1408">
        <f>FISCinyear!JB1009</f>
        <v>0</v>
      </c>
      <c r="AH1335" s="1408">
        <f>FISCinyear!JE1009</f>
        <v>-88.54703108999999</v>
      </c>
      <c r="AI1335" s="1408">
        <f>FISCinyear!JH1009</f>
        <v>-30.788626076999996</v>
      </c>
      <c r="AJ1335" s="1408">
        <f>FISCinyear!JK1009</f>
        <v>-30.742560799</v>
      </c>
      <c r="AK1335" s="1408">
        <f>AK1336+AK1337</f>
        <v>-64.441364039818922</v>
      </c>
      <c r="AL1335" s="1408">
        <f t="shared" ref="AL1335:AN1335" si="1602">AL1336+AL1337</f>
        <v>-35.740866032360003</v>
      </c>
      <c r="AM1335" s="1408">
        <f t="shared" si="1602"/>
        <v>-78.521664386360001</v>
      </c>
      <c r="AN1335" s="1408">
        <f t="shared" si="1602"/>
        <v>-68.399737293359991</v>
      </c>
      <c r="AO1335" s="1408">
        <f t="shared" ref="AO1335" si="1603">AO1336+AO1337</f>
        <v>-81.058574629359995</v>
      </c>
      <c r="AP1335" s="1408">
        <f t="shared" ref="AP1335" si="1604">AP1336+AP1337</f>
        <v>-75.552410777359995</v>
      </c>
      <c r="AQ1335" s="1408">
        <f t="shared" ref="AQ1335:AR1335" si="1605">AQ1336+AQ1337</f>
        <v>-28.62413948136</v>
      </c>
      <c r="AR1335" s="1408">
        <f t="shared" si="1605"/>
        <v>-69.091599553359998</v>
      </c>
      <c r="AS1335" s="1408">
        <f t="shared" ref="AS1335" si="1606">AS1336+AS1337</f>
        <v>-24.144986711359998</v>
      </c>
      <c r="AT1335" s="1408">
        <f t="shared" ref="AT1335" si="1607">AT1336+AT1337</f>
        <v>-41.407994177360003</v>
      </c>
      <c r="AU1335" s="1408">
        <f t="shared" si="1584"/>
        <v>-71.013581506158616</v>
      </c>
      <c r="AV1335" s="1408">
        <f t="shared" si="1585"/>
        <v>0.71497274661484544</v>
      </c>
      <c r="AW1335" s="1916"/>
      <c r="AX1335" s="1916"/>
      <c r="AY1335" s="1916"/>
      <c r="AZ1335" s="1916"/>
      <c r="BA1335" s="1916"/>
      <c r="BB1335" s="1916"/>
      <c r="BC1335" s="1916"/>
      <c r="BD1335" s="1916"/>
      <c r="BE1335" s="1916"/>
      <c r="BF1335" s="1916"/>
      <c r="BG1335" s="1916"/>
      <c r="BH1335" s="1915"/>
    </row>
    <row r="1336" spans="1:60">
      <c r="A1336" s="1"/>
      <c r="B1336" s="1"/>
      <c r="C1336" s="1"/>
      <c r="D1336" s="1453" t="s">
        <v>3874</v>
      </c>
      <c r="E1336" s="148"/>
      <c r="F1336" s="323"/>
      <c r="G1336" s="323"/>
      <c r="H1336" s="323"/>
      <c r="I1336" s="323"/>
      <c r="J1336" s="323"/>
      <c r="K1336" s="323"/>
      <c r="L1336" s="323"/>
      <c r="M1336" s="323"/>
      <c r="N1336" s="323"/>
      <c r="O1336" s="323"/>
      <c r="P1336" s="323"/>
      <c r="Q1336" s="323"/>
      <c r="R1336" s="323"/>
      <c r="S1336" s="323"/>
      <c r="T1336" s="323"/>
      <c r="U1336" s="323"/>
      <c r="V1336" s="105"/>
      <c r="W1336" s="1407"/>
      <c r="X1336" s="1407"/>
      <c r="Y1336" s="1408"/>
      <c r="Z1336" s="1408">
        <v>0</v>
      </c>
      <c r="AA1336" s="1408">
        <v>0</v>
      </c>
      <c r="AB1336" s="1408">
        <v>0</v>
      </c>
      <c r="AC1336" s="1408">
        <v>0</v>
      </c>
      <c r="AD1336" s="1408">
        <v>0</v>
      </c>
      <c r="AE1336" s="1408">
        <v>0</v>
      </c>
      <c r="AF1336" s="1408">
        <f>FISCinyear!IY1010</f>
        <v>0</v>
      </c>
      <c r="AG1336" s="1408">
        <f>FISCinyear!JB1010</f>
        <v>0</v>
      </c>
      <c r="AH1336" s="1408">
        <f>FISCinyear!JE1010</f>
        <v>0</v>
      </c>
      <c r="AI1336" s="1408">
        <f>FISCinyear!JH1010</f>
        <v>0</v>
      </c>
      <c r="AJ1336" s="1408">
        <f>FISCinyear!JK1010</f>
        <v>0</v>
      </c>
      <c r="AK1336" s="1408">
        <f t="shared" ref="AK1336:AQ1336" si="1608">-(AK132+AJ132)/2*AK259/1000*0</f>
        <v>0</v>
      </c>
      <c r="AL1336" s="1408">
        <f t="shared" si="1608"/>
        <v>0</v>
      </c>
      <c r="AM1336" s="1408">
        <f t="shared" si="1608"/>
        <v>0</v>
      </c>
      <c r="AN1336" s="1408">
        <f t="shared" si="1608"/>
        <v>0</v>
      </c>
      <c r="AO1336" s="1408">
        <f t="shared" si="1608"/>
        <v>0</v>
      </c>
      <c r="AP1336" s="1408">
        <f t="shared" si="1608"/>
        <v>0</v>
      </c>
      <c r="AQ1336" s="1408">
        <f t="shared" si="1608"/>
        <v>0</v>
      </c>
      <c r="AR1336" s="1408">
        <v>0</v>
      </c>
      <c r="AS1336" s="1408">
        <v>0</v>
      </c>
      <c r="AT1336" s="1408">
        <v>0</v>
      </c>
      <c r="AU1336" s="1408">
        <v>0</v>
      </c>
      <c r="AV1336" s="1408" t="e">
        <f t="shared" si="1585"/>
        <v>#DIV/0!</v>
      </c>
      <c r="AW1336" s="1916"/>
      <c r="AX1336" s="1916"/>
      <c r="AY1336" s="1916"/>
      <c r="AZ1336" s="1916"/>
      <c r="BA1336" s="1916"/>
      <c r="BB1336" s="1916"/>
      <c r="BC1336" s="1916"/>
      <c r="BD1336" s="1916"/>
      <c r="BE1336" s="1916"/>
      <c r="BF1336" s="1916"/>
      <c r="BG1336" s="1916"/>
      <c r="BH1336" s="1915"/>
    </row>
    <row r="1337" spans="1:60">
      <c r="A1337" s="1"/>
      <c r="B1337" s="1"/>
      <c r="C1337" s="1"/>
      <c r="D1337" s="1453" t="s">
        <v>3161</v>
      </c>
      <c r="E1337" s="148"/>
      <c r="F1337" s="323"/>
      <c r="G1337" s="323"/>
      <c r="H1337" s="323"/>
      <c r="I1337" s="323"/>
      <c r="J1337" s="323"/>
      <c r="K1337" s="323"/>
      <c r="L1337" s="323"/>
      <c r="M1337" s="323"/>
      <c r="N1337" s="323"/>
      <c r="O1337" s="323"/>
      <c r="P1337" s="323"/>
      <c r="Q1337" s="323"/>
      <c r="R1337" s="323"/>
      <c r="S1337" s="323"/>
      <c r="T1337" s="323"/>
      <c r="U1337" s="323"/>
      <c r="V1337" s="105"/>
      <c r="W1337" s="1407"/>
      <c r="X1337" s="1407"/>
      <c r="Y1337" s="1408"/>
      <c r="Z1337" s="1408">
        <v>0</v>
      </c>
      <c r="AA1337" s="1408">
        <v>0</v>
      </c>
      <c r="AB1337" s="1408">
        <v>0</v>
      </c>
      <c r="AC1337" s="1408">
        <v>0</v>
      </c>
      <c r="AD1337" s="1408">
        <v>0</v>
      </c>
      <c r="AE1337" s="1408">
        <v>0</v>
      </c>
      <c r="AF1337" s="1408">
        <f>FISCinyear!IY1011</f>
        <v>0</v>
      </c>
      <c r="AG1337" s="1408">
        <f>FISCinyear!JB1011</f>
        <v>0</v>
      </c>
      <c r="AH1337" s="1408">
        <f>FISCinyear!JE1011</f>
        <v>-88.54703108999999</v>
      </c>
      <c r="AI1337" s="1408">
        <f>FISCinyear!JH1011</f>
        <v>-30.788626076999996</v>
      </c>
      <c r="AJ1337" s="1408">
        <f>FISCinyear!JK1011</f>
        <v>-30.742560799</v>
      </c>
      <c r="AK1337" s="548">
        <f>-AK177-AK169+AK1338</f>
        <v>-64.441364039818922</v>
      </c>
      <c r="AL1337" s="548">
        <f t="shared" ref="AL1337:AT1337" si="1609">-AL177-AL169</f>
        <v>-35.740866032360003</v>
      </c>
      <c r="AM1337" s="548">
        <f t="shared" si="1609"/>
        <v>-78.521664386360001</v>
      </c>
      <c r="AN1337" s="548">
        <f t="shared" si="1609"/>
        <v>-68.399737293359991</v>
      </c>
      <c r="AO1337" s="548">
        <f t="shared" si="1609"/>
        <v>-81.058574629359995</v>
      </c>
      <c r="AP1337" s="548">
        <f t="shared" si="1609"/>
        <v>-75.552410777359995</v>
      </c>
      <c r="AQ1337" s="548">
        <f t="shared" si="1609"/>
        <v>-28.62413948136</v>
      </c>
      <c r="AR1337" s="548">
        <f t="shared" si="1609"/>
        <v>-69.091599553359998</v>
      </c>
      <c r="AS1337" s="548">
        <f t="shared" si="1609"/>
        <v>-24.144986711359998</v>
      </c>
      <c r="AT1337" s="548">
        <f t="shared" si="1609"/>
        <v>-41.407994177360003</v>
      </c>
      <c r="AU1337" s="548">
        <f t="shared" si="1584"/>
        <v>-71.013581506158616</v>
      </c>
      <c r="AV1337" s="548">
        <f t="shared" si="1585"/>
        <v>0.71497274661484544</v>
      </c>
      <c r="AW1337" s="1916"/>
      <c r="AX1337" s="1916"/>
      <c r="AY1337" s="1916"/>
      <c r="AZ1337" s="1916"/>
      <c r="BA1337" s="1916"/>
      <c r="BB1337" s="1916"/>
      <c r="BC1337" s="1916"/>
      <c r="BD1337" s="1916"/>
      <c r="BE1337" s="1916"/>
      <c r="BF1337" s="1916"/>
      <c r="BG1337" s="1916"/>
      <c r="BH1337" s="1915"/>
    </row>
    <row r="1338" spans="1:60">
      <c r="A1338" s="1"/>
      <c r="B1338" s="1"/>
      <c r="C1338" s="1"/>
      <c r="D1338" s="1452" t="s">
        <v>3989</v>
      </c>
      <c r="E1338" s="148"/>
      <c r="F1338" s="323"/>
      <c r="G1338" s="323"/>
      <c r="H1338" s="323"/>
      <c r="I1338" s="323"/>
      <c r="J1338" s="323"/>
      <c r="K1338" s="323"/>
      <c r="L1338" s="323"/>
      <c r="M1338" s="323"/>
      <c r="N1338" s="323"/>
      <c r="O1338" s="323"/>
      <c r="P1338" s="323"/>
      <c r="Q1338" s="323"/>
      <c r="R1338" s="323"/>
      <c r="S1338" s="323"/>
      <c r="T1338" s="323"/>
      <c r="U1338" s="323"/>
      <c r="V1338" s="105"/>
      <c r="W1338" s="1407"/>
      <c r="X1338" s="1407"/>
      <c r="Y1338" s="1408"/>
      <c r="Z1338" s="1408"/>
      <c r="AA1338" s="1408"/>
      <c r="AB1338" s="1408"/>
      <c r="AC1338" s="1408"/>
      <c r="AD1338" s="1408"/>
      <c r="AE1338" s="1408"/>
      <c r="AF1338" s="1408"/>
      <c r="AG1338" s="1408"/>
      <c r="AH1338" s="1408"/>
      <c r="AI1338" s="1408"/>
      <c r="AJ1338" s="1408"/>
      <c r="AK1338" s="548">
        <f>50*AK259/1000</f>
        <v>72.907450137541076</v>
      </c>
      <c r="AL1338" s="548"/>
      <c r="AM1338" s="548"/>
      <c r="AN1338" s="548"/>
      <c r="AO1338" s="548"/>
      <c r="AP1338" s="548"/>
      <c r="AQ1338" s="548"/>
      <c r="AR1338" s="548"/>
      <c r="AS1338" s="548"/>
      <c r="AT1338" s="548"/>
      <c r="AU1338" s="548"/>
      <c r="AV1338" s="548" t="e">
        <f t="shared" si="1585"/>
        <v>#DIV/0!</v>
      </c>
      <c r="AW1338" s="1916"/>
      <c r="AX1338" s="1916"/>
      <c r="AY1338" s="1916"/>
      <c r="AZ1338" s="1916"/>
      <c r="BA1338" s="1916"/>
      <c r="BB1338" s="1916"/>
      <c r="BC1338" s="1916"/>
      <c r="BD1338" s="1916"/>
      <c r="BE1338" s="1916"/>
      <c r="BF1338" s="1916"/>
      <c r="BG1338" s="1916"/>
      <c r="BH1338" s="1915"/>
    </row>
    <row r="1339" spans="1:60">
      <c r="A1339" s="1"/>
      <c r="B1339" s="1"/>
      <c r="C1339" s="1"/>
      <c r="D1339" s="1455" t="s">
        <v>3164</v>
      </c>
      <c r="E1339" s="148"/>
      <c r="F1339" s="323"/>
      <c r="G1339" s="323"/>
      <c r="H1339" s="323"/>
      <c r="I1339" s="323"/>
      <c r="J1339" s="323"/>
      <c r="K1339" s="323"/>
      <c r="L1339" s="323"/>
      <c r="M1339" s="323"/>
      <c r="N1339" s="323"/>
      <c r="O1339" s="323"/>
      <c r="P1339" s="323"/>
      <c r="Q1339" s="323"/>
      <c r="R1339" s="323"/>
      <c r="S1339" s="323"/>
      <c r="T1339" s="323"/>
      <c r="U1339" s="323"/>
      <c r="V1339" s="105"/>
      <c r="W1339" s="1407"/>
      <c r="X1339" s="1407"/>
      <c r="Y1339" s="1408"/>
      <c r="Z1339" s="1408">
        <v>0</v>
      </c>
      <c r="AA1339" s="1408">
        <v>0</v>
      </c>
      <c r="AB1339" s="1408">
        <v>0</v>
      </c>
      <c r="AC1339" s="1408">
        <v>0</v>
      </c>
      <c r="AD1339" s="1408">
        <v>0</v>
      </c>
      <c r="AE1339" s="1408">
        <v>-38.554066509999998</v>
      </c>
      <c r="AF1339" s="1408">
        <f>FISCinyear!IY1014</f>
        <v>0</v>
      </c>
      <c r="AG1339" s="1408">
        <f>FISCinyear!JB1014</f>
        <v>0</v>
      </c>
      <c r="AH1339" s="1408">
        <f>FISCinyear!JE1014</f>
        <v>-133.55500000000001</v>
      </c>
      <c r="AI1339" s="1408">
        <f>FISCinyear!JH1014</f>
        <v>-65</v>
      </c>
      <c r="AJ1339" s="1408">
        <f>FISCinyear!JK1014</f>
        <v>-65</v>
      </c>
      <c r="AK1339" s="548">
        <f t="shared" ref="AK1339:AT1339" si="1610">(-AK173)</f>
        <v>-63.077399999999997</v>
      </c>
      <c r="AL1339" s="548">
        <f t="shared" si="1610"/>
        <v>-53.205100000000002</v>
      </c>
      <c r="AM1339" s="548">
        <f t="shared" si="1610"/>
        <v>-85.216300000000004</v>
      </c>
      <c r="AN1339" s="548">
        <f t="shared" si="1610"/>
        <v>-77.481899999999996</v>
      </c>
      <c r="AO1339" s="548">
        <f t="shared" si="1610"/>
        <v>-94.272400000000005</v>
      </c>
      <c r="AP1339" s="548">
        <f t="shared" si="1610"/>
        <v>-79.878200000000007</v>
      </c>
      <c r="AQ1339" s="548">
        <f t="shared" si="1610"/>
        <v>-128.0932</v>
      </c>
      <c r="AR1339" s="548">
        <f t="shared" si="1610"/>
        <v>-88.785700000000006</v>
      </c>
      <c r="AS1339" s="548">
        <f t="shared" si="1610"/>
        <v>-54.930799999999998</v>
      </c>
      <c r="AT1339" s="548">
        <f t="shared" si="1610"/>
        <v>-96.2346</v>
      </c>
      <c r="AU1339" s="548">
        <f t="shared" si="1584"/>
        <v>-168.59572839208604</v>
      </c>
      <c r="AV1339" s="548">
        <f t="shared" si="1585"/>
        <v>0.75192423922462459</v>
      </c>
      <c r="AW1339" s="1916"/>
      <c r="AX1339" s="1916"/>
      <c r="AY1339" s="1916"/>
      <c r="AZ1339" s="1916"/>
      <c r="BA1339" s="1916"/>
      <c r="BB1339" s="1916"/>
      <c r="BC1339" s="1916"/>
      <c r="BD1339" s="1916"/>
      <c r="BE1339" s="1916"/>
      <c r="BF1339" s="1916"/>
      <c r="BG1339" s="1916"/>
      <c r="BH1339" s="1915"/>
    </row>
    <row r="1340" spans="1:60" ht="11.25" customHeight="1">
      <c r="A1340" s="1"/>
      <c r="B1340" s="1"/>
      <c r="C1340" s="1"/>
      <c r="D1340" s="1396" t="s">
        <v>3062</v>
      </c>
      <c r="E1340" s="323"/>
      <c r="F1340" s="323"/>
      <c r="G1340" s="323"/>
      <c r="H1340" s="323"/>
      <c r="I1340" s="323"/>
      <c r="J1340" s="323"/>
      <c r="K1340" s="323"/>
      <c r="L1340" s="323"/>
      <c r="M1340" s="323"/>
      <c r="N1340" s="323"/>
      <c r="O1340" s="323"/>
      <c r="P1340" s="323"/>
      <c r="Q1340" s="323"/>
      <c r="R1340" s="323"/>
      <c r="S1340" s="323"/>
      <c r="T1340" s="323"/>
      <c r="U1340" s="323"/>
      <c r="V1340" s="105"/>
      <c r="W1340" s="1407"/>
      <c r="X1340" s="1407"/>
      <c r="Y1340" s="1408">
        <f>FISCinyear!IP1015</f>
        <v>0</v>
      </c>
      <c r="Z1340" s="1408">
        <f>FISCinyear!IQ1015</f>
        <v>0</v>
      </c>
      <c r="AA1340" s="1408">
        <f>FISCinyear!IR1015</f>
        <v>0</v>
      </c>
      <c r="AB1340" s="1408">
        <f>FISCinyear!IS1015</f>
        <v>0</v>
      </c>
      <c r="AC1340" s="1408">
        <f>FISCinyear!IT1015</f>
        <v>0</v>
      </c>
      <c r="AD1340" s="1408">
        <f>FISCinyear!IU1015</f>
        <v>0</v>
      </c>
      <c r="AE1340" s="1408">
        <f>FISCinyear!IV1015</f>
        <v>0</v>
      </c>
      <c r="AF1340" s="1408">
        <f>FISCinyear!IY1015</f>
        <v>0</v>
      </c>
      <c r="AG1340" s="1408">
        <f>FISCinyear!JB1015</f>
        <v>0</v>
      </c>
      <c r="AH1340" s="1408">
        <f>FISCinyear!JE1015</f>
        <v>0</v>
      </c>
      <c r="AI1340" s="1408">
        <f>FISCinyear!JH1015</f>
        <v>0</v>
      </c>
      <c r="AJ1340" s="1408">
        <f>FISCinyear!JK1015</f>
        <v>0</v>
      </c>
      <c r="AK1340" s="1408">
        <v>0</v>
      </c>
      <c r="AL1340" s="1408">
        <v>0</v>
      </c>
      <c r="AM1340" s="1408">
        <v>0</v>
      </c>
      <c r="AN1340" s="1408">
        <v>0</v>
      </c>
      <c r="AO1340" s="1408">
        <v>0</v>
      </c>
      <c r="AP1340" s="1408">
        <v>0</v>
      </c>
      <c r="AQ1340" s="1408">
        <v>0</v>
      </c>
      <c r="AR1340" s="1408">
        <v>0</v>
      </c>
      <c r="AS1340" s="1408">
        <v>0</v>
      </c>
      <c r="AT1340" s="1408">
        <v>0</v>
      </c>
      <c r="AU1340" s="1408">
        <v>0</v>
      </c>
      <c r="AV1340" s="1408" t="e">
        <f t="shared" si="1585"/>
        <v>#DIV/0!</v>
      </c>
      <c r="AW1340" s="1916"/>
      <c r="AX1340" s="1916"/>
      <c r="AY1340" s="1916"/>
      <c r="AZ1340" s="1916"/>
      <c r="BA1340" s="1916"/>
      <c r="BB1340" s="1916"/>
      <c r="BC1340" s="1916"/>
      <c r="BD1340" s="1916"/>
      <c r="BE1340" s="1916"/>
      <c r="BF1340" s="1916"/>
      <c r="BG1340" s="1916"/>
      <c r="BH1340" s="1915"/>
    </row>
    <row r="1341" spans="1:60" ht="11.25" customHeight="1">
      <c r="A1341" s="1"/>
      <c r="B1341" s="1"/>
      <c r="C1341" s="1"/>
      <c r="D1341" s="359" t="s">
        <v>3063</v>
      </c>
      <c r="E1341" s="323"/>
      <c r="F1341" s="323"/>
      <c r="G1341" s="323"/>
      <c r="H1341" s="323"/>
      <c r="I1341" s="323"/>
      <c r="J1341" s="323"/>
      <c r="K1341" s="323"/>
      <c r="L1341" s="323"/>
      <c r="M1341" s="323"/>
      <c r="N1341" s="323"/>
      <c r="O1341" s="323"/>
      <c r="P1341" s="323"/>
      <c r="Q1341" s="323"/>
      <c r="R1341" s="323"/>
      <c r="S1341" s="323"/>
      <c r="T1341" s="323"/>
      <c r="U1341" s="323"/>
      <c r="V1341" s="105"/>
      <c r="W1341" s="1407"/>
      <c r="X1341" s="1407"/>
      <c r="Y1341" s="1408"/>
      <c r="Z1341" s="1408">
        <v>0</v>
      </c>
      <c r="AA1341" s="1408">
        <v>0</v>
      </c>
      <c r="AB1341" s="1408">
        <v>0</v>
      </c>
      <c r="AC1341" s="1408">
        <v>0</v>
      </c>
      <c r="AD1341" s="1408">
        <v>0</v>
      </c>
      <c r="AE1341" s="1408">
        <v>0</v>
      </c>
      <c r="AF1341" s="1408">
        <f>FISCinyear!IY1016</f>
        <v>0</v>
      </c>
      <c r="AG1341" s="1408">
        <f>FISCinyear!JB1016</f>
        <v>0</v>
      </c>
      <c r="AH1341" s="1408">
        <f>FISCinyear!JE1016</f>
        <v>0</v>
      </c>
      <c r="AI1341" s="1408">
        <f>FISCinyear!JH1016</f>
        <v>0</v>
      </c>
      <c r="AJ1341" s="1408">
        <f>FISCinyear!JK1016</f>
        <v>0</v>
      </c>
      <c r="AK1341" s="1408">
        <v>0</v>
      </c>
      <c r="AL1341" s="1408">
        <v>0</v>
      </c>
      <c r="AM1341" s="1408">
        <v>0</v>
      </c>
      <c r="AN1341" s="1408">
        <v>0</v>
      </c>
      <c r="AO1341" s="1408">
        <v>0</v>
      </c>
      <c r="AP1341" s="1408">
        <v>0</v>
      </c>
      <c r="AQ1341" s="1408">
        <v>0</v>
      </c>
      <c r="AR1341" s="1408">
        <v>0</v>
      </c>
      <c r="AS1341" s="1408">
        <v>0</v>
      </c>
      <c r="AT1341" s="1408">
        <v>0</v>
      </c>
      <c r="AU1341" s="1408">
        <v>0</v>
      </c>
      <c r="AV1341" s="1408" t="e">
        <f t="shared" si="1585"/>
        <v>#DIV/0!</v>
      </c>
      <c r="AW1341" s="1916"/>
      <c r="AX1341" s="1916"/>
      <c r="AY1341" s="1916"/>
      <c r="AZ1341" s="1916"/>
      <c r="BA1341" s="1916"/>
      <c r="BB1341" s="1916"/>
      <c r="BC1341" s="1916"/>
      <c r="BD1341" s="1916"/>
      <c r="BE1341" s="1916"/>
      <c r="BF1341" s="1916"/>
      <c r="BG1341" s="1916"/>
      <c r="BH1341" s="1915"/>
    </row>
    <row r="1342" spans="1:60" ht="11.25" customHeight="1">
      <c r="A1342" s="1"/>
      <c r="B1342" s="1"/>
      <c r="C1342" s="1"/>
      <c r="D1342" s="359" t="s">
        <v>3064</v>
      </c>
      <c r="E1342" s="323"/>
      <c r="F1342" s="323"/>
      <c r="G1342" s="323"/>
      <c r="H1342" s="323"/>
      <c r="I1342" s="323"/>
      <c r="J1342" s="323"/>
      <c r="K1342" s="323"/>
      <c r="L1342" s="323"/>
      <c r="M1342" s="323"/>
      <c r="N1342" s="323"/>
      <c r="O1342" s="323"/>
      <c r="P1342" s="323"/>
      <c r="Q1342" s="323"/>
      <c r="R1342" s="323"/>
      <c r="S1342" s="323"/>
      <c r="T1342" s="323"/>
      <c r="U1342" s="323"/>
      <c r="V1342" s="105"/>
      <c r="W1342" s="1407"/>
      <c r="X1342" s="1407"/>
      <c r="Y1342" s="1408"/>
      <c r="Z1342" s="1408">
        <v>0</v>
      </c>
      <c r="AA1342" s="1408">
        <v>0</v>
      </c>
      <c r="AB1342" s="1408">
        <v>0</v>
      </c>
      <c r="AC1342" s="1408">
        <v>0</v>
      </c>
      <c r="AD1342" s="1408">
        <v>0</v>
      </c>
      <c r="AE1342" s="1408">
        <v>0</v>
      </c>
      <c r="AF1342" s="1408">
        <f>FISCinyear!IY1017</f>
        <v>0</v>
      </c>
      <c r="AG1342" s="1408">
        <f>FISCinyear!JB1017</f>
        <v>0</v>
      </c>
      <c r="AH1342" s="1408">
        <f>FISCinyear!JE1017</f>
        <v>0</v>
      </c>
      <c r="AI1342" s="1408">
        <f>FISCinyear!JH1017</f>
        <v>0</v>
      </c>
      <c r="AJ1342" s="1408">
        <f>FISCinyear!JK1017</f>
        <v>0</v>
      </c>
      <c r="AK1342" s="1408">
        <v>0</v>
      </c>
      <c r="AL1342" s="1408">
        <v>0</v>
      </c>
      <c r="AM1342" s="1408">
        <v>0</v>
      </c>
      <c r="AN1342" s="1408">
        <v>0</v>
      </c>
      <c r="AO1342" s="1408">
        <v>0</v>
      </c>
      <c r="AP1342" s="1408">
        <v>0</v>
      </c>
      <c r="AQ1342" s="1408">
        <v>0</v>
      </c>
      <c r="AR1342" s="1408">
        <v>0</v>
      </c>
      <c r="AS1342" s="1408">
        <v>0</v>
      </c>
      <c r="AT1342" s="1408">
        <v>0</v>
      </c>
      <c r="AU1342" s="1408">
        <v>0</v>
      </c>
      <c r="AV1342" s="1408" t="e">
        <f t="shared" si="1585"/>
        <v>#DIV/0!</v>
      </c>
      <c r="AW1342" s="1916"/>
      <c r="AX1342" s="1916"/>
      <c r="AY1342" s="1916"/>
      <c r="AZ1342" s="1916"/>
      <c r="BA1342" s="1916"/>
      <c r="BB1342" s="1916"/>
      <c r="BC1342" s="1916"/>
      <c r="BD1342" s="1916"/>
      <c r="BE1342" s="1916"/>
      <c r="BF1342" s="1916"/>
      <c r="BG1342" s="1916"/>
      <c r="BH1342" s="1915"/>
    </row>
    <row r="1343" spans="1:60">
      <c r="A1343" s="1"/>
      <c r="B1343" s="1"/>
      <c r="C1343" s="1"/>
      <c r="D1343" s="359" t="str">
        <f>+FISCinyear!D1018</f>
        <v xml:space="preserve">Other accounts payable </v>
      </c>
      <c r="E1343" s="148" t="s">
        <v>654</v>
      </c>
      <c r="F1343" s="323"/>
      <c r="G1343" s="323"/>
      <c r="H1343" s="323"/>
      <c r="I1343" s="323"/>
      <c r="J1343" s="323"/>
      <c r="K1343" s="323"/>
      <c r="L1343" s="323"/>
      <c r="M1343" s="323"/>
      <c r="N1343" s="323"/>
      <c r="O1343" s="323"/>
      <c r="P1343" s="323"/>
      <c r="Q1343" s="323"/>
      <c r="R1343" s="323"/>
      <c r="S1343" s="323"/>
      <c r="T1343" s="323"/>
      <c r="U1343" s="323"/>
      <c r="V1343" s="105">
        <f>+V873</f>
        <v>-11.852389999999996</v>
      </c>
      <c r="W1343" s="1407">
        <f>+W873</f>
        <v>-13.7</v>
      </c>
      <c r="X1343" s="1407">
        <f>+X873</f>
        <v>-9.1000000000000014</v>
      </c>
      <c r="Y1343" s="1408">
        <f>FISCinyear!ID1018</f>
        <v>1.0107814780000055</v>
      </c>
      <c r="Z1343" s="1408">
        <f>FISCinyear!IG1018</f>
        <v>10.12355483799999</v>
      </c>
      <c r="AA1343" s="1408">
        <f>FISCinyear!IJ1018</f>
        <v>18.204791727000007</v>
      </c>
      <c r="AB1343" s="1408">
        <f>FISCinyear!IM1018</f>
        <v>9.6447339529999851</v>
      </c>
      <c r="AC1343" s="1408">
        <f>FISCinyear!IP1018</f>
        <v>34.873465498000002</v>
      </c>
      <c r="AD1343" s="1408">
        <f>FISCinyear!IS1018</f>
        <v>55.122620192000099</v>
      </c>
      <c r="AE1343" s="1408">
        <f>FISCinyear!IV1018</f>
        <v>-26.86274943799981</v>
      </c>
      <c r="AF1343" s="1408">
        <f>FISCinyear!IY1018</f>
        <v>22.903275205</v>
      </c>
      <c r="AG1343" s="1408">
        <f>FISCinyear!JB1018</f>
        <v>78.216961686572503</v>
      </c>
      <c r="AH1343" s="1408">
        <f>FISCinyear!JE1018</f>
        <v>69.800000000000011</v>
      </c>
      <c r="AI1343" s="1408">
        <f>FISCinyear!JH1018</f>
        <v>-84.384783959448697</v>
      </c>
      <c r="AJ1343" s="1408">
        <f>FISCinyear!JK1018</f>
        <v>-75</v>
      </c>
      <c r="AK1343" s="1407">
        <f>-40</f>
        <v>-40</v>
      </c>
      <c r="AL1343" s="1407">
        <f>-40</f>
        <v>-40</v>
      </c>
      <c r="AM1343" s="1407">
        <f>40</f>
        <v>40</v>
      </c>
      <c r="AN1343" s="1407">
        <f>40</f>
        <v>40</v>
      </c>
      <c r="AO1343" s="1407">
        <f>40</f>
        <v>40</v>
      </c>
      <c r="AP1343" s="1407">
        <f>40</f>
        <v>40</v>
      </c>
      <c r="AQ1343" s="1407">
        <f>40</f>
        <v>40</v>
      </c>
      <c r="AR1343" s="1407">
        <f>40</f>
        <v>40</v>
      </c>
      <c r="AS1343" s="1407">
        <f>40</f>
        <v>40</v>
      </c>
      <c r="AT1343" s="1407">
        <f>40</f>
        <v>40</v>
      </c>
      <c r="AU1343" s="1407">
        <f t="shared" si="1584"/>
        <v>40</v>
      </c>
      <c r="AV1343" s="1407">
        <f t="shared" si="1585"/>
        <v>0</v>
      </c>
      <c r="AW1343" s="1916"/>
      <c r="AX1343" s="1916"/>
      <c r="AY1343" s="1916"/>
      <c r="AZ1343" s="1916"/>
      <c r="BA1343" s="1916"/>
      <c r="BB1343" s="1916"/>
      <c r="BC1343" s="1916"/>
      <c r="BD1343" s="1916"/>
      <c r="BE1343" s="1916"/>
      <c r="BF1343" s="1916"/>
      <c r="BG1343" s="1916"/>
      <c r="BH1343" s="1915"/>
    </row>
    <row r="1344" spans="1:60">
      <c r="A1344" s="1"/>
      <c r="B1344" s="1"/>
      <c r="C1344" s="1"/>
      <c r="D1344" s="358" t="str">
        <f>+FISCinyear!D1019</f>
        <v xml:space="preserve">Foreign </v>
      </c>
      <c r="E1344" s="323"/>
      <c r="F1344" s="323"/>
      <c r="G1344" s="323"/>
      <c r="H1344" s="323"/>
      <c r="I1344" s="323"/>
      <c r="J1344" s="323"/>
      <c r="K1344" s="323"/>
      <c r="L1344" s="323"/>
      <c r="M1344" s="323"/>
      <c r="N1344" s="323"/>
      <c r="O1344" s="323"/>
      <c r="P1344" s="323"/>
      <c r="Q1344" s="323"/>
      <c r="R1344" s="323"/>
      <c r="S1344" s="323"/>
      <c r="T1344" s="323"/>
      <c r="U1344" s="323"/>
      <c r="V1344" s="1388">
        <f>+V1352</f>
        <v>68.531212730999997</v>
      </c>
      <c r="W1344" s="1407">
        <f>+W1352</f>
        <v>95</v>
      </c>
      <c r="X1344" s="1407">
        <f>+X1352</f>
        <v>0.69999999999999929</v>
      </c>
      <c r="Y1344" s="1405">
        <f>FISCinyear!ID1019</f>
        <v>105.15691537273837</v>
      </c>
      <c r="Z1344" s="1405">
        <f>FISCinyear!IG1019</f>
        <v>188.18657880623221</v>
      </c>
      <c r="AA1344" s="1405">
        <f>FISCinyear!IJ1019</f>
        <v>224.4081276596894</v>
      </c>
      <c r="AB1344" s="1405">
        <f>FISCinyear!IM1019</f>
        <v>322.98893439137123</v>
      </c>
      <c r="AC1344" s="1405">
        <f>FISCinyear!IP1019</f>
        <v>356.02913087722652</v>
      </c>
      <c r="AD1344" s="1405">
        <f>FISCinyear!IS1019</f>
        <v>448.31196664374346</v>
      </c>
      <c r="AE1344" s="1405">
        <f>FISCinyear!IV1019</f>
        <v>954.0196915780989</v>
      </c>
      <c r="AF1344" s="1405">
        <f>FISCinyear!IY1019</f>
        <v>657.27244012948665</v>
      </c>
      <c r="AG1344" s="1405">
        <f>FISCinyear!JB1019</f>
        <v>1031.6527436893934</v>
      </c>
      <c r="AH1344" s="1405">
        <f>FISCinyear!JE1019</f>
        <v>808.50862296057437</v>
      </c>
      <c r="AI1344" s="1405">
        <f>FISCinyear!JH1019</f>
        <v>1307.214153385396</v>
      </c>
      <c r="AJ1344" s="1405">
        <f>FISCinyear!JK1019</f>
        <v>1355.1798643930642</v>
      </c>
      <c r="AK1344" s="1404">
        <f>+AK1352+AK1346+AK1345</f>
        <v>1418.689908090392</v>
      </c>
      <c r="AL1344" s="1404">
        <f>+AL1352+AL1346</f>
        <v>1346.0206169902231</v>
      </c>
      <c r="AM1344" s="1404">
        <f>+AM1352+AM1346</f>
        <v>1133.5673125653725</v>
      </c>
      <c r="AN1344" s="1404">
        <f t="shared" ref="AN1344:AT1344" si="1611">+AN1352+AN1346</f>
        <v>968.45059607969506</v>
      </c>
      <c r="AO1344" s="1404">
        <f t="shared" si="1611"/>
        <v>795.10489017454597</v>
      </c>
      <c r="AP1344" s="1404">
        <f t="shared" si="1611"/>
        <v>988.30869512245954</v>
      </c>
      <c r="AQ1344" s="1404">
        <f t="shared" si="1611"/>
        <v>-387.0256111116214</v>
      </c>
      <c r="AR1344" s="1404">
        <f t="shared" si="1611"/>
        <v>218.83049014566086</v>
      </c>
      <c r="AS1344" s="1404">
        <f t="shared" si="1611"/>
        <v>131.01031400674674</v>
      </c>
      <c r="AT1344" s="1404">
        <f t="shared" si="1611"/>
        <v>0.96036987075399338</v>
      </c>
      <c r="AU1344" s="1404">
        <f t="shared" si="1584"/>
        <v>7.0399822765446146E-3</v>
      </c>
      <c r="AV1344" s="1404">
        <f t="shared" si="1585"/>
        <v>-0.99266950943492482</v>
      </c>
      <c r="AW1344" s="1916"/>
      <c r="AX1344" s="1916"/>
      <c r="AY1344" s="1916"/>
      <c r="AZ1344" s="1916"/>
      <c r="BA1344" s="1916"/>
      <c r="BB1344" s="1916"/>
      <c r="BC1344" s="1916"/>
      <c r="BD1344" s="1916"/>
      <c r="BE1344" s="1916"/>
      <c r="BF1344" s="1916"/>
      <c r="BG1344" s="1916"/>
      <c r="BH1344" s="1915"/>
    </row>
    <row r="1345" spans="1:60">
      <c r="A1345" s="1"/>
      <c r="B1345" s="1"/>
      <c r="C1345" s="1"/>
      <c r="D1345" s="1560" t="s">
        <v>3217</v>
      </c>
      <c r="E1345" s="323"/>
      <c r="F1345" s="323"/>
      <c r="G1345" s="323"/>
      <c r="H1345" s="323"/>
      <c r="I1345" s="323"/>
      <c r="J1345" s="323"/>
      <c r="K1345" s="323"/>
      <c r="L1345" s="323"/>
      <c r="M1345" s="323"/>
      <c r="N1345" s="323"/>
      <c r="O1345" s="323"/>
      <c r="P1345" s="323"/>
      <c r="Q1345" s="323"/>
      <c r="R1345" s="323"/>
      <c r="S1345" s="323"/>
      <c r="T1345" s="323"/>
      <c r="U1345" s="323"/>
      <c r="V1345" s="1388"/>
      <c r="W1345" s="1407"/>
      <c r="X1345" s="1407"/>
      <c r="Y1345" s="1405"/>
      <c r="Z1345" s="1405"/>
      <c r="AA1345" s="1405"/>
      <c r="AB1345" s="1405"/>
      <c r="AC1345" s="1405"/>
      <c r="AD1345" s="1405"/>
      <c r="AE1345" s="1405"/>
      <c r="AF1345" s="1405"/>
      <c r="AG1345" s="1405">
        <f>FISCinyear!JB1020</f>
        <v>222.42967109467429</v>
      </c>
      <c r="AH1345" s="1405">
        <f>FISCinyear!JE1020</f>
        <v>0</v>
      </c>
      <c r="AI1345" s="1405">
        <f>FISCinyear!JH1020</f>
        <v>0</v>
      </c>
      <c r="AJ1345" s="1405">
        <f>FISCinyear!JK1020</f>
        <v>0</v>
      </c>
      <c r="AK1345" s="1404"/>
      <c r="AL1345" s="1404"/>
      <c r="AM1345" s="1404"/>
      <c r="AN1345" s="1404"/>
      <c r="AO1345" s="1404"/>
      <c r="AP1345" s="1404"/>
      <c r="AQ1345" s="1404"/>
      <c r="AR1345" s="1404"/>
      <c r="AS1345" s="1404"/>
      <c r="AT1345" s="1404"/>
      <c r="AU1345" s="1404"/>
      <c r="AV1345" s="1404" t="e">
        <f t="shared" si="1585"/>
        <v>#DIV/0!</v>
      </c>
      <c r="AW1345" s="1916"/>
      <c r="AX1345" s="1916"/>
      <c r="AY1345" s="1916"/>
      <c r="AZ1345" s="1916"/>
      <c r="BA1345" s="1916"/>
      <c r="BB1345" s="1916"/>
      <c r="BC1345" s="1916"/>
      <c r="BD1345" s="1916"/>
      <c r="BE1345" s="1916"/>
      <c r="BF1345" s="1916"/>
      <c r="BG1345" s="1916"/>
      <c r="BH1345" s="1915"/>
    </row>
    <row r="1346" spans="1:60" ht="17.25" customHeight="1">
      <c r="A1346" s="1"/>
      <c r="B1346" s="1"/>
      <c r="C1346" s="1"/>
      <c r="D1346" s="1454" t="s">
        <v>3165</v>
      </c>
      <c r="E1346" s="323"/>
      <c r="F1346" s="323"/>
      <c r="G1346" s="323"/>
      <c r="H1346" s="323"/>
      <c r="I1346" s="323"/>
      <c r="J1346" s="323"/>
      <c r="K1346" s="323"/>
      <c r="L1346" s="323"/>
      <c r="M1346" s="323"/>
      <c r="N1346" s="323"/>
      <c r="O1346" s="323"/>
      <c r="P1346" s="323"/>
      <c r="Q1346" s="323"/>
      <c r="R1346" s="323"/>
      <c r="S1346" s="323"/>
      <c r="T1346" s="323"/>
      <c r="U1346" s="323"/>
      <c r="V1346" s="1388"/>
      <c r="W1346" s="1407"/>
      <c r="X1346" s="1404">
        <f t="shared" ref="X1346:AE1346" si="1612">X1348-X1350</f>
        <v>0</v>
      </c>
      <c r="Y1346" s="1404">
        <f t="shared" si="1612"/>
        <v>0</v>
      </c>
      <c r="Z1346" s="1404">
        <f t="shared" si="1612"/>
        <v>0</v>
      </c>
      <c r="AA1346" s="1404">
        <f t="shared" si="1612"/>
        <v>0</v>
      </c>
      <c r="AB1346" s="1404">
        <f t="shared" si="1612"/>
        <v>0</v>
      </c>
      <c r="AC1346" s="1404">
        <f t="shared" si="1612"/>
        <v>0</v>
      </c>
      <c r="AD1346" s="1404">
        <f t="shared" si="1612"/>
        <v>0</v>
      </c>
      <c r="AE1346" s="1404">
        <f t="shared" si="1612"/>
        <v>0</v>
      </c>
      <c r="AF1346" s="1404">
        <f>FISCinyear!IY1021</f>
        <v>0</v>
      </c>
      <c r="AG1346" s="1404">
        <f>FISCinyear!JB1021</f>
        <v>274.62635669999997</v>
      </c>
      <c r="AH1346" s="1404">
        <f>FISCinyear!JE1021</f>
        <v>-68.114324774020005</v>
      </c>
      <c r="AI1346" s="1404">
        <f>FISCinyear!JH1021</f>
        <v>0</v>
      </c>
      <c r="AJ1346" s="1404">
        <f>FISCinyear!JK1021</f>
        <v>0</v>
      </c>
      <c r="AK1346" s="1404">
        <f>AK1347-AK1350</f>
        <v>0</v>
      </c>
      <c r="AL1346" s="1404">
        <f>AL1348-AL1350</f>
        <v>0</v>
      </c>
      <c r="AM1346" s="1404">
        <f>AM1348-AM1350</f>
        <v>0</v>
      </c>
      <c r="AN1346" s="1404">
        <f t="shared" ref="AN1346:AT1346" si="1613">AN1348-AN1350</f>
        <v>0</v>
      </c>
      <c r="AO1346" s="1404">
        <f t="shared" si="1613"/>
        <v>0</v>
      </c>
      <c r="AP1346" s="1404">
        <f t="shared" si="1613"/>
        <v>0</v>
      </c>
      <c r="AQ1346" s="1404">
        <f t="shared" si="1613"/>
        <v>0</v>
      </c>
      <c r="AR1346" s="1404">
        <f t="shared" si="1613"/>
        <v>0</v>
      </c>
      <c r="AS1346" s="1404">
        <f t="shared" si="1613"/>
        <v>0</v>
      </c>
      <c r="AT1346" s="1404">
        <f t="shared" si="1613"/>
        <v>0</v>
      </c>
      <c r="AU1346" s="1404">
        <f t="shared" ref="AU1346" si="1614">AU1348-AU1350</f>
        <v>1</v>
      </c>
      <c r="AV1346" s="1404" t="e">
        <f t="shared" si="1585"/>
        <v>#DIV/0!</v>
      </c>
      <c r="AW1346" s="1916"/>
      <c r="AX1346" s="1916"/>
      <c r="AY1346" s="1916"/>
      <c r="AZ1346" s="1916"/>
      <c r="BA1346" s="1916"/>
      <c r="BB1346" s="1916"/>
      <c r="BC1346" s="1916"/>
      <c r="BD1346" s="1916"/>
      <c r="BE1346" s="1916"/>
      <c r="BF1346" s="1916"/>
      <c r="BG1346" s="1916"/>
      <c r="BH1346" s="1915"/>
    </row>
    <row r="1347" spans="1:60">
      <c r="A1347" s="1"/>
      <c r="B1347" s="1"/>
      <c r="C1347" s="1"/>
      <c r="D1347" s="1454" t="s">
        <v>3166</v>
      </c>
      <c r="E1347" s="323"/>
      <c r="F1347" s="323"/>
      <c r="G1347" s="323"/>
      <c r="H1347" s="323"/>
      <c r="I1347" s="323"/>
      <c r="J1347" s="323"/>
      <c r="K1347" s="323"/>
      <c r="L1347" s="323"/>
      <c r="M1347" s="323"/>
      <c r="N1347" s="323"/>
      <c r="O1347" s="323"/>
      <c r="P1347" s="323"/>
      <c r="Q1347" s="323"/>
      <c r="R1347" s="323"/>
      <c r="S1347" s="323"/>
      <c r="T1347" s="323"/>
      <c r="U1347" s="323"/>
      <c r="V1347" s="1388"/>
      <c r="W1347" s="1407"/>
      <c r="X1347" s="1405">
        <f t="shared" ref="X1347:AE1347" si="1615">X1348</f>
        <v>0</v>
      </c>
      <c r="Y1347" s="1405">
        <f t="shared" si="1615"/>
        <v>0</v>
      </c>
      <c r="Z1347" s="1405">
        <f t="shared" si="1615"/>
        <v>0</v>
      </c>
      <c r="AA1347" s="1405">
        <f t="shared" si="1615"/>
        <v>0</v>
      </c>
      <c r="AB1347" s="1405">
        <f t="shared" si="1615"/>
        <v>0</v>
      </c>
      <c r="AC1347" s="1405">
        <f t="shared" si="1615"/>
        <v>0</v>
      </c>
      <c r="AD1347" s="1405">
        <f t="shared" si="1615"/>
        <v>0</v>
      </c>
      <c r="AE1347" s="1405">
        <f t="shared" si="1615"/>
        <v>0</v>
      </c>
      <c r="AF1347" s="1405">
        <f>FISCinyear!IY1022</f>
        <v>0</v>
      </c>
      <c r="AG1347" s="1405">
        <f>FISCinyear!JB1022</f>
        <v>614.23347672</v>
      </c>
      <c r="AH1347" s="1405">
        <f>FISCinyear!JE1022</f>
        <v>0</v>
      </c>
      <c r="AI1347" s="1405">
        <f>FISCinyear!JH1022</f>
        <v>0</v>
      </c>
      <c r="AJ1347" s="1405">
        <f>FISCinyear!JK1022</f>
        <v>0</v>
      </c>
      <c r="AK1347" s="1405">
        <f>AK1348</f>
        <v>0</v>
      </c>
      <c r="AL1347" s="1405">
        <f>AL1348</f>
        <v>0</v>
      </c>
      <c r="AM1347" s="1405">
        <f>AM1348</f>
        <v>0</v>
      </c>
      <c r="AN1347" s="1405">
        <f t="shared" ref="AN1347:AU1347" si="1616">AN1348</f>
        <v>0</v>
      </c>
      <c r="AO1347" s="1405">
        <f>AO1348</f>
        <v>0</v>
      </c>
      <c r="AP1347" s="1405">
        <f t="shared" si="1616"/>
        <v>0</v>
      </c>
      <c r="AQ1347" s="1405">
        <f t="shared" si="1616"/>
        <v>0</v>
      </c>
      <c r="AR1347" s="1405">
        <f t="shared" si="1616"/>
        <v>0</v>
      </c>
      <c r="AS1347" s="1405">
        <f t="shared" si="1616"/>
        <v>0</v>
      </c>
      <c r="AT1347" s="1405">
        <f t="shared" si="1616"/>
        <v>0</v>
      </c>
      <c r="AU1347" s="1405">
        <f t="shared" si="1616"/>
        <v>1</v>
      </c>
      <c r="AV1347" s="1405" t="e">
        <f t="shared" si="1585"/>
        <v>#DIV/0!</v>
      </c>
      <c r="AW1347" s="1916"/>
      <c r="AX1347" s="1916"/>
      <c r="AY1347" s="1916"/>
      <c r="AZ1347" s="1916"/>
      <c r="BA1347" s="1916"/>
      <c r="BB1347" s="1916"/>
      <c r="BC1347" s="1916"/>
      <c r="BD1347" s="1916"/>
      <c r="BE1347" s="1916"/>
      <c r="BF1347" s="1916"/>
      <c r="BG1347" s="1916"/>
      <c r="BH1347" s="1915"/>
    </row>
    <row r="1348" spans="1:60">
      <c r="A1348" s="1"/>
      <c r="B1348" s="1"/>
      <c r="C1348" s="1"/>
      <c r="D1348" s="1456" t="s">
        <v>3169</v>
      </c>
      <c r="E1348" s="323"/>
      <c r="F1348" s="323"/>
      <c r="G1348" s="323"/>
      <c r="H1348" s="323"/>
      <c r="I1348" s="323"/>
      <c r="J1348" s="323"/>
      <c r="K1348" s="323"/>
      <c r="L1348" s="323"/>
      <c r="M1348" s="323"/>
      <c r="N1348" s="323"/>
      <c r="O1348" s="323"/>
      <c r="P1348" s="323"/>
      <c r="Q1348" s="323"/>
      <c r="R1348" s="323"/>
      <c r="S1348" s="323"/>
      <c r="T1348" s="323"/>
      <c r="U1348" s="323"/>
      <c r="V1348" s="1388"/>
      <c r="W1348" s="1407"/>
      <c r="X1348" s="1404">
        <f t="shared" ref="X1348:AE1348" si="1617">X68*X259/1000</f>
        <v>0</v>
      </c>
      <c r="Y1348" s="1404">
        <f t="shared" si="1617"/>
        <v>0</v>
      </c>
      <c r="Z1348" s="1404">
        <f t="shared" si="1617"/>
        <v>0</v>
      </c>
      <c r="AA1348" s="1404">
        <f t="shared" si="1617"/>
        <v>0</v>
      </c>
      <c r="AB1348" s="1404">
        <f t="shared" si="1617"/>
        <v>0</v>
      </c>
      <c r="AC1348" s="1404">
        <f t="shared" si="1617"/>
        <v>0</v>
      </c>
      <c r="AD1348" s="1404">
        <f t="shared" si="1617"/>
        <v>0</v>
      </c>
      <c r="AE1348" s="1404">
        <f t="shared" si="1617"/>
        <v>0</v>
      </c>
      <c r="AF1348" s="1404">
        <f>FISCinyear!IY1023</f>
        <v>0</v>
      </c>
      <c r="AG1348" s="1404">
        <f>FISCinyear!JB1023</f>
        <v>0</v>
      </c>
      <c r="AH1348" s="1404">
        <f>FISCinyear!JE1023</f>
        <v>0</v>
      </c>
      <c r="AI1348" s="1404">
        <f>FISCinyear!JH1023</f>
        <v>0</v>
      </c>
      <c r="AJ1348" s="1404">
        <f>FISCinyear!JK1023</f>
        <v>0</v>
      </c>
      <c r="AK1348" s="1404">
        <v>0</v>
      </c>
      <c r="AL1348" s="1404">
        <v>0</v>
      </c>
      <c r="AM1348" s="1404">
        <v>0</v>
      </c>
      <c r="AN1348" s="1404">
        <v>0</v>
      </c>
      <c r="AO1348" s="1404">
        <v>0</v>
      </c>
      <c r="AP1348" s="1404">
        <v>0</v>
      </c>
      <c r="AQ1348" s="1404">
        <v>0</v>
      </c>
      <c r="AR1348" s="1404">
        <v>0</v>
      </c>
      <c r="AS1348" s="1404">
        <v>0</v>
      </c>
      <c r="AT1348" s="1404">
        <v>0</v>
      </c>
      <c r="AU1348" s="1404">
        <v>1</v>
      </c>
      <c r="AV1348" s="1404" t="e">
        <f t="shared" si="1585"/>
        <v>#DIV/0!</v>
      </c>
      <c r="AW1348" s="1916"/>
      <c r="AX1348" s="1916"/>
      <c r="AY1348" s="1916"/>
      <c r="AZ1348" s="1916"/>
      <c r="BA1348" s="1916"/>
      <c r="BB1348" s="1916"/>
      <c r="BC1348" s="1916"/>
      <c r="BD1348" s="1916"/>
      <c r="BE1348" s="1916"/>
      <c r="BF1348" s="1916"/>
      <c r="BG1348" s="1916"/>
      <c r="BH1348" s="1915"/>
    </row>
    <row r="1349" spans="1:60">
      <c r="A1349" s="1"/>
      <c r="B1349" s="1"/>
      <c r="C1349" s="1"/>
      <c r="D1349" s="1456" t="s">
        <v>3274</v>
      </c>
      <c r="E1349" s="323"/>
      <c r="F1349" s="323"/>
      <c r="G1349" s="323"/>
      <c r="H1349" s="323"/>
      <c r="I1349" s="323"/>
      <c r="J1349" s="323"/>
      <c r="K1349" s="323"/>
      <c r="L1349" s="323"/>
      <c r="M1349" s="323"/>
      <c r="N1349" s="323"/>
      <c r="O1349" s="323"/>
      <c r="P1349" s="323"/>
      <c r="Q1349" s="323"/>
      <c r="R1349" s="323"/>
      <c r="S1349" s="323"/>
      <c r="T1349" s="323"/>
      <c r="U1349" s="323"/>
      <c r="V1349" s="1388"/>
      <c r="W1349" s="1407"/>
      <c r="X1349" s="1404"/>
      <c r="Y1349" s="1404"/>
      <c r="Z1349" s="1404"/>
      <c r="AA1349" s="1404"/>
      <c r="AB1349" s="1404"/>
      <c r="AC1349" s="1404"/>
      <c r="AD1349" s="1404"/>
      <c r="AE1349" s="1404"/>
      <c r="AF1349" s="1404"/>
      <c r="AG1349" s="1404">
        <f>FISCinyear!JB1024</f>
        <v>0</v>
      </c>
      <c r="AH1349" s="1404">
        <f>FISCinyear!JE1024</f>
        <v>0</v>
      </c>
      <c r="AI1349" s="1404">
        <f>FISCinyear!JH1024</f>
        <v>0</v>
      </c>
      <c r="AJ1349" s="1404">
        <f>FISCinyear!JK1024</f>
        <v>0</v>
      </c>
      <c r="AK1349" s="1404"/>
      <c r="AL1349" s="1404"/>
      <c r="AM1349" s="1404"/>
      <c r="AN1349" s="1404"/>
      <c r="AO1349" s="1404"/>
      <c r="AP1349" s="1404"/>
      <c r="AQ1349" s="1404"/>
      <c r="AR1349" s="1404"/>
      <c r="AS1349" s="1404"/>
      <c r="AT1349" s="1404"/>
      <c r="AU1349" s="1404"/>
      <c r="AV1349" s="1404" t="e">
        <f t="shared" si="1585"/>
        <v>#DIV/0!</v>
      </c>
      <c r="AW1349" s="1916"/>
      <c r="AX1349" s="1916"/>
      <c r="AY1349" s="1916"/>
      <c r="AZ1349" s="1916"/>
      <c r="BA1349" s="1916"/>
      <c r="BB1349" s="1916"/>
      <c r="BC1349" s="1916"/>
      <c r="BD1349" s="1916"/>
      <c r="BE1349" s="1916"/>
      <c r="BF1349" s="1916"/>
      <c r="BG1349" s="1916"/>
      <c r="BH1349" s="1915"/>
    </row>
    <row r="1350" spans="1:60">
      <c r="A1350" s="1"/>
      <c r="B1350" s="1"/>
      <c r="C1350" s="1"/>
      <c r="D1350" s="1454" t="s">
        <v>3167</v>
      </c>
      <c r="E1350" s="323"/>
      <c r="F1350" s="323"/>
      <c r="G1350" s="323"/>
      <c r="H1350" s="323"/>
      <c r="I1350" s="323"/>
      <c r="J1350" s="323"/>
      <c r="K1350" s="323"/>
      <c r="L1350" s="323"/>
      <c r="M1350" s="323"/>
      <c r="N1350" s="323"/>
      <c r="O1350" s="323"/>
      <c r="P1350" s="323"/>
      <c r="Q1350" s="323"/>
      <c r="R1350" s="323"/>
      <c r="S1350" s="323"/>
      <c r="T1350" s="323"/>
      <c r="U1350" s="323"/>
      <c r="V1350" s="1388"/>
      <c r="W1350" s="1407"/>
      <c r="X1350" s="1404">
        <f t="shared" ref="X1350:AE1350" si="1618">X1351</f>
        <v>0</v>
      </c>
      <c r="Y1350" s="1404">
        <f t="shared" si="1618"/>
        <v>0</v>
      </c>
      <c r="Z1350" s="1404">
        <f t="shared" si="1618"/>
        <v>0</v>
      </c>
      <c r="AA1350" s="1404">
        <f t="shared" si="1618"/>
        <v>0</v>
      </c>
      <c r="AB1350" s="1404">
        <f t="shared" si="1618"/>
        <v>0</v>
      </c>
      <c r="AC1350" s="1404">
        <f t="shared" si="1618"/>
        <v>0</v>
      </c>
      <c r="AD1350" s="1404">
        <f t="shared" si="1618"/>
        <v>0</v>
      </c>
      <c r="AE1350" s="1404">
        <f t="shared" si="1618"/>
        <v>0</v>
      </c>
      <c r="AF1350" s="1404">
        <f>FISCinyear!IY1025</f>
        <v>0</v>
      </c>
      <c r="AG1350" s="1404">
        <f>FISCinyear!JB1025</f>
        <v>339.60712002000002</v>
      </c>
      <c r="AH1350" s="1404">
        <f>FISCinyear!JE1025</f>
        <v>68.114324774020005</v>
      </c>
      <c r="AI1350" s="1404">
        <f>FISCinyear!JH1025</f>
        <v>0</v>
      </c>
      <c r="AJ1350" s="1404">
        <f>FISCinyear!JK1025</f>
        <v>0</v>
      </c>
      <c r="AK1350" s="1404">
        <f t="shared" ref="AK1350:AU1350" si="1619">AK1351</f>
        <v>0</v>
      </c>
      <c r="AL1350" s="1404">
        <f t="shared" si="1619"/>
        <v>0</v>
      </c>
      <c r="AM1350" s="1404">
        <f t="shared" si="1619"/>
        <v>0</v>
      </c>
      <c r="AN1350" s="1404">
        <f t="shared" si="1619"/>
        <v>0</v>
      </c>
      <c r="AO1350" s="1404">
        <f t="shared" si="1619"/>
        <v>0</v>
      </c>
      <c r="AP1350" s="1404">
        <f t="shared" si="1619"/>
        <v>0</v>
      </c>
      <c r="AQ1350" s="1404">
        <f t="shared" si="1619"/>
        <v>0</v>
      </c>
      <c r="AR1350" s="1404">
        <f t="shared" si="1619"/>
        <v>0</v>
      </c>
      <c r="AS1350" s="1404">
        <f t="shared" si="1619"/>
        <v>0</v>
      </c>
      <c r="AT1350" s="1404">
        <f t="shared" si="1619"/>
        <v>0</v>
      </c>
      <c r="AU1350" s="1404">
        <f t="shared" si="1619"/>
        <v>0</v>
      </c>
      <c r="AV1350" s="1404" t="e">
        <f t="shared" si="1585"/>
        <v>#DIV/0!</v>
      </c>
      <c r="AW1350" s="1916"/>
      <c r="AX1350" s="1916"/>
      <c r="AY1350" s="1916"/>
      <c r="AZ1350" s="1916"/>
      <c r="BA1350" s="1916"/>
      <c r="BB1350" s="1916"/>
      <c r="BC1350" s="1916"/>
      <c r="BD1350" s="1916"/>
      <c r="BE1350" s="1916"/>
      <c r="BF1350" s="1916"/>
      <c r="BG1350" s="1916"/>
      <c r="BH1350" s="1915"/>
    </row>
    <row r="1351" spans="1:60">
      <c r="A1351" s="1"/>
      <c r="B1351" s="1"/>
      <c r="C1351" s="1"/>
      <c r="D1351" s="1456" t="s">
        <v>3170</v>
      </c>
      <c r="E1351" s="323"/>
      <c r="F1351" s="323"/>
      <c r="G1351" s="323"/>
      <c r="H1351" s="323"/>
      <c r="I1351" s="323"/>
      <c r="J1351" s="323"/>
      <c r="K1351" s="323"/>
      <c r="L1351" s="323"/>
      <c r="M1351" s="323"/>
      <c r="N1351" s="323"/>
      <c r="O1351" s="323"/>
      <c r="P1351" s="323"/>
      <c r="Q1351" s="323"/>
      <c r="R1351" s="323"/>
      <c r="S1351" s="323"/>
      <c r="T1351" s="323"/>
      <c r="U1351" s="323"/>
      <c r="V1351" s="1388"/>
      <c r="W1351" s="1407"/>
      <c r="X1351" s="1407"/>
      <c r="Y1351" s="1405"/>
      <c r="Z1351" s="1408">
        <v>0</v>
      </c>
      <c r="AA1351" s="1408">
        <v>0</v>
      </c>
      <c r="AB1351" s="1408">
        <v>0</v>
      </c>
      <c r="AC1351" s="1408">
        <v>0</v>
      </c>
      <c r="AD1351" s="1408">
        <v>0</v>
      </c>
      <c r="AE1351" s="1408">
        <v>0</v>
      </c>
      <c r="AF1351" s="1408">
        <f>FISCinyear!IY1026</f>
        <v>0</v>
      </c>
      <c r="AG1351" s="1408">
        <f>FISCinyear!JB1026</f>
        <v>339.60712002000002</v>
      </c>
      <c r="AH1351" s="1408">
        <f>FISCinyear!JE1026</f>
        <v>68.114324774020005</v>
      </c>
      <c r="AI1351" s="1408">
        <f>FISCinyear!JH1026</f>
        <v>0</v>
      </c>
      <c r="AJ1351" s="1408">
        <f>FISCinyear!JK1026</f>
        <v>0</v>
      </c>
      <c r="AK1351" s="1408">
        <f>AK120*AK259/1000</f>
        <v>0</v>
      </c>
      <c r="AL1351" s="1408">
        <f>AL120*AL259/1000</f>
        <v>0</v>
      </c>
      <c r="AM1351" s="1408">
        <f>AM120*AM259/1000</f>
        <v>0</v>
      </c>
      <c r="AN1351" s="1408">
        <f t="shared" ref="AN1351:AU1351" si="1620">AN120*AW260/1000</f>
        <v>0</v>
      </c>
      <c r="AO1351" s="1408">
        <f t="shared" si="1620"/>
        <v>0</v>
      </c>
      <c r="AP1351" s="1408">
        <f t="shared" si="1620"/>
        <v>0</v>
      </c>
      <c r="AQ1351" s="1408">
        <f t="shared" si="1620"/>
        <v>0</v>
      </c>
      <c r="AR1351" s="1408">
        <f t="shared" si="1620"/>
        <v>0</v>
      </c>
      <c r="AS1351" s="1408">
        <f t="shared" si="1620"/>
        <v>0</v>
      </c>
      <c r="AT1351" s="1408">
        <f t="shared" si="1620"/>
        <v>0</v>
      </c>
      <c r="AU1351" s="1408">
        <f t="shared" si="1620"/>
        <v>0</v>
      </c>
      <c r="AV1351" s="1408" t="e">
        <f t="shared" si="1585"/>
        <v>#DIV/0!</v>
      </c>
      <c r="AW1351" s="1916"/>
      <c r="AX1351" s="1916"/>
      <c r="AY1351" s="1916"/>
      <c r="AZ1351" s="1916"/>
      <c r="BA1351" s="1916"/>
      <c r="BB1351" s="1916"/>
      <c r="BC1351" s="1916"/>
      <c r="BD1351" s="1916"/>
      <c r="BE1351" s="1916"/>
      <c r="BF1351" s="1916"/>
      <c r="BG1351" s="1916"/>
      <c r="BH1351" s="1915"/>
    </row>
    <row r="1352" spans="1:60">
      <c r="A1352" s="1"/>
      <c r="B1352" s="1"/>
      <c r="C1352" s="1"/>
      <c r="D1352" s="359" t="str">
        <f>+FISCinyear!D1027</f>
        <v xml:space="preserve">Loans </v>
      </c>
      <c r="E1352" s="323"/>
      <c r="F1352" s="323"/>
      <c r="G1352" s="323"/>
      <c r="H1352" s="323"/>
      <c r="I1352" s="323"/>
      <c r="J1352" s="323"/>
      <c r="K1352" s="323"/>
      <c r="L1352" s="323"/>
      <c r="M1352" s="323"/>
      <c r="N1352" s="323"/>
      <c r="O1352" s="323"/>
      <c r="P1352" s="323"/>
      <c r="Q1352" s="323"/>
      <c r="R1352" s="323"/>
      <c r="S1352" s="323"/>
      <c r="T1352" s="323"/>
      <c r="U1352" s="323"/>
      <c r="V1352" s="105">
        <f>+V1353+V1363</f>
        <v>68.531212730999997</v>
      </c>
      <c r="W1352" s="1407">
        <f>+W1353+W1363</f>
        <v>95</v>
      </c>
      <c r="X1352" s="1407">
        <f>+X1353+X1363</f>
        <v>0.69999999999999929</v>
      </c>
      <c r="Y1352" s="1408">
        <f>FISCinyear!ID1027</f>
        <v>105.15691537273837</v>
      </c>
      <c r="Z1352" s="1408">
        <f>FISCinyear!IG1027</f>
        <v>188.18657880623221</v>
      </c>
      <c r="AA1352" s="1408">
        <f>FISCinyear!IJ1027</f>
        <v>224.4081276596894</v>
      </c>
      <c r="AB1352" s="1408">
        <f>FISCinyear!IM1027</f>
        <v>322.98893439137123</v>
      </c>
      <c r="AC1352" s="1408">
        <f>FISCinyear!IP1027</f>
        <v>356.02913087722652</v>
      </c>
      <c r="AD1352" s="1408">
        <f>FISCinyear!IS1027</f>
        <v>448.31196664374346</v>
      </c>
      <c r="AE1352" s="1408">
        <f>FISCinyear!IV1027</f>
        <v>954.0196915780989</v>
      </c>
      <c r="AF1352" s="1408">
        <f>FISCinyear!IY1027</f>
        <v>657.27244012948665</v>
      </c>
      <c r="AG1352" s="1408">
        <f>FISCinyear!JB1027</f>
        <v>534.5967158947193</v>
      </c>
      <c r="AH1352" s="1408">
        <f>FISCinyear!JE1027</f>
        <v>876.62294773459439</v>
      </c>
      <c r="AI1352" s="1408">
        <f>FISCinyear!JH1027</f>
        <v>1307.214153385396</v>
      </c>
      <c r="AJ1352" s="1408">
        <f>FISCinyear!JK1027</f>
        <v>1355.1798643930642</v>
      </c>
      <c r="AK1352" s="1407">
        <f t="shared" ref="AK1352:AT1352" si="1621">AK1353-AK1363</f>
        <v>1418.689908090392</v>
      </c>
      <c r="AL1352" s="1408">
        <f t="shared" si="1621"/>
        <v>1346.0206169902231</v>
      </c>
      <c r="AM1352" s="1408">
        <f t="shared" si="1621"/>
        <v>1133.5673125653725</v>
      </c>
      <c r="AN1352" s="1408">
        <f t="shared" si="1621"/>
        <v>968.45059607969506</v>
      </c>
      <c r="AO1352" s="1408">
        <f>AO1353-AO1363</f>
        <v>795.10489017454597</v>
      </c>
      <c r="AP1352" s="1408">
        <f t="shared" si="1621"/>
        <v>988.30869512245954</v>
      </c>
      <c r="AQ1352" s="1408">
        <f t="shared" si="1621"/>
        <v>-387.0256111116214</v>
      </c>
      <c r="AR1352" s="1408">
        <f t="shared" si="1621"/>
        <v>218.83049014566086</v>
      </c>
      <c r="AS1352" s="1408">
        <f t="shared" si="1621"/>
        <v>131.01031400674674</v>
      </c>
      <c r="AT1352" s="1408">
        <f t="shared" si="1621"/>
        <v>0.96036987075399338</v>
      </c>
      <c r="AU1352" s="1408">
        <f t="shared" si="1584"/>
        <v>7.0399822765446146E-3</v>
      </c>
      <c r="AV1352" s="1408">
        <f t="shared" si="1585"/>
        <v>-0.99266950943492482</v>
      </c>
      <c r="AW1352" s="1916"/>
      <c r="AX1352" s="1916"/>
      <c r="AY1352" s="1916"/>
      <c r="AZ1352" s="1916"/>
      <c r="BA1352" s="1916"/>
      <c r="BB1352" s="1916"/>
      <c r="BC1352" s="1916"/>
      <c r="BD1352" s="1916"/>
      <c r="BE1352" s="1916"/>
      <c r="BF1352" s="1916"/>
      <c r="BG1352" s="1916"/>
      <c r="BH1352" s="1915"/>
    </row>
    <row r="1353" spans="1:60">
      <c r="A1353" s="1"/>
      <c r="B1353" s="1"/>
      <c r="C1353" s="1"/>
      <c r="D1353" s="360" t="str">
        <f>+FISCinyear!D1028</f>
        <v>Disbursements</v>
      </c>
      <c r="E1353" s="323"/>
      <c r="F1353" s="323"/>
      <c r="G1353" s="323"/>
      <c r="H1353" s="323"/>
      <c r="I1353" s="323"/>
      <c r="J1353" s="323"/>
      <c r="K1353" s="323"/>
      <c r="L1353" s="323"/>
      <c r="M1353" s="323"/>
      <c r="N1353" s="323"/>
      <c r="O1353" s="323"/>
      <c r="P1353" s="323"/>
      <c r="Q1353" s="323"/>
      <c r="R1353" s="323"/>
      <c r="S1353" s="323"/>
      <c r="T1353" s="323"/>
      <c r="U1353" s="323"/>
      <c r="V1353" s="105">
        <f>+V882</f>
        <v>76.410784410999995</v>
      </c>
      <c r="W1353" s="1407">
        <f>+W882</f>
        <v>104.7</v>
      </c>
      <c r="X1353" s="1407">
        <f>+X1354+X1360</f>
        <v>16.2</v>
      </c>
      <c r="Y1353" s="1408">
        <f>FISCinyear!ID1028</f>
        <v>116.19554054391202</v>
      </c>
      <c r="Z1353" s="1408">
        <f>FISCinyear!IG1028</f>
        <v>202.82364204301467</v>
      </c>
      <c r="AA1353" s="1408">
        <f>FISCinyear!IJ1028</f>
        <v>241.52958260440312</v>
      </c>
      <c r="AB1353" s="1408">
        <f>FISCinyear!IM1028</f>
        <v>344.56951530948049</v>
      </c>
      <c r="AC1353" s="1408">
        <f>FISCinyear!IP1028</f>
        <v>381.84688936314302</v>
      </c>
      <c r="AD1353" s="1408">
        <f>FISCinyear!IS1028</f>
        <v>476.97697294179375</v>
      </c>
      <c r="AE1353" s="1408">
        <f>FISCinyear!IV1028</f>
        <v>1008.9224010840712</v>
      </c>
      <c r="AF1353" s="1408">
        <f>FISCinyear!IY1028</f>
        <v>733.64168044408689</v>
      </c>
      <c r="AG1353" s="1408">
        <f>FISCinyear!JB1028</f>
        <v>629.74779491723564</v>
      </c>
      <c r="AH1353" s="1408">
        <f>FISCinyear!JE1028</f>
        <v>961.8386415433049</v>
      </c>
      <c r="AI1353" s="1408">
        <f>FISCinyear!JH1028</f>
        <v>1431.9563672136446</v>
      </c>
      <c r="AJ1353" s="1408">
        <f>FISCinyear!JK1028</f>
        <v>1527.2890504764614</v>
      </c>
      <c r="AK1353" s="1407">
        <f t="shared" ref="AK1353:AM1353" si="1622">AK1354+AK1360</f>
        <v>1737.1250487160576</v>
      </c>
      <c r="AL1353" s="1407">
        <f t="shared" si="1622"/>
        <v>1800.7293930503322</v>
      </c>
      <c r="AM1353" s="1407">
        <f t="shared" si="1622"/>
        <v>1671.1657285793815</v>
      </c>
      <c r="AN1353" s="1407">
        <f t="shared" ref="AN1353:AT1353" si="1623">AN1354+AN1360</f>
        <v>1602.7547035878838</v>
      </c>
      <c r="AO1353" s="1407">
        <f>AO1354+AO1360</f>
        <v>1587.4496554725247</v>
      </c>
      <c r="AP1353" s="1407">
        <f t="shared" si="1623"/>
        <v>1853.8779148555454</v>
      </c>
      <c r="AQ1353" s="1407">
        <f t="shared" si="1623"/>
        <v>1786.9926695658246</v>
      </c>
      <c r="AR1353" s="1407">
        <f t="shared" si="1623"/>
        <v>1290.3687312396667</v>
      </c>
      <c r="AS1353" s="1407">
        <f t="shared" si="1623"/>
        <v>1329.0797931768568</v>
      </c>
      <c r="AT1353" s="1407">
        <f t="shared" si="1623"/>
        <v>1368.9521869721627</v>
      </c>
      <c r="AU1353" s="1407">
        <f t="shared" si="1584"/>
        <v>1410.020752581328</v>
      </c>
      <c r="AV1353" s="1407">
        <f t="shared" si="1585"/>
        <v>3.0000000000000249E-2</v>
      </c>
      <c r="AW1353" s="1916"/>
      <c r="AX1353" s="1916"/>
      <c r="AY1353" s="1916"/>
      <c r="AZ1353" s="1916"/>
      <c r="BA1353" s="1916"/>
      <c r="BB1353" s="1916"/>
      <c r="BC1353" s="1916"/>
      <c r="BD1353" s="1916"/>
      <c r="BE1353" s="1916"/>
      <c r="BF1353" s="1916"/>
      <c r="BG1353" s="1916"/>
      <c r="BH1353" s="1915"/>
    </row>
    <row r="1354" spans="1:60">
      <c r="A1354" s="1"/>
      <c r="B1354" s="1"/>
      <c r="C1354" s="1"/>
      <c r="D1354" s="363" t="str">
        <f>+FISCinyear!D1029</f>
        <v xml:space="preserve">Current </v>
      </c>
      <c r="E1354" s="323"/>
      <c r="F1354" s="323"/>
      <c r="G1354" s="323"/>
      <c r="H1354" s="323"/>
      <c r="I1354" s="323"/>
      <c r="J1354" s="323"/>
      <c r="K1354" s="323"/>
      <c r="L1354" s="323"/>
      <c r="M1354" s="323"/>
      <c r="N1354" s="323"/>
      <c r="O1354" s="323"/>
      <c r="P1354" s="323"/>
      <c r="Q1354" s="323"/>
      <c r="R1354" s="323"/>
      <c r="S1354" s="323"/>
      <c r="T1354" s="323"/>
      <c r="U1354" s="323"/>
      <c r="V1354" s="105"/>
      <c r="W1354" s="1407"/>
      <c r="X1354" s="1407">
        <f>+X883</f>
        <v>16.2</v>
      </c>
      <c r="Y1354" s="1408">
        <f>FISCinyear!ID1029</f>
        <v>49.486261138802</v>
      </c>
      <c r="Z1354" s="1408">
        <f>FISCinyear!IG1029</f>
        <v>103.59044097524267</v>
      </c>
      <c r="AA1354" s="1408">
        <f>FISCinyear!IJ1029</f>
        <v>138.66156726277015</v>
      </c>
      <c r="AB1354" s="1408">
        <f>FISCinyear!IM1029</f>
        <v>183.82033813965148</v>
      </c>
      <c r="AC1354" s="1408">
        <f>FISCinyear!IP1029</f>
        <v>211.49647385698302</v>
      </c>
      <c r="AD1354" s="1408">
        <f>FISCinyear!IS1029</f>
        <v>262.04850870218172</v>
      </c>
      <c r="AE1354" s="1408">
        <f>FISCinyear!IV1029</f>
        <v>720.95135038795513</v>
      </c>
      <c r="AF1354" s="1408">
        <f>FISCinyear!IY1029</f>
        <v>343.07164259517788</v>
      </c>
      <c r="AG1354" s="1408">
        <f>FISCinyear!JB1029</f>
        <v>218.09220876254562</v>
      </c>
      <c r="AH1354" s="1408">
        <f>FISCinyear!JE1029</f>
        <v>535.3669076300398</v>
      </c>
      <c r="AI1354" s="1408">
        <f>FISCinyear!JH1029</f>
        <v>791.94458221729565</v>
      </c>
      <c r="AJ1354" s="1408">
        <f>FISCinyear!JK1029</f>
        <v>788.32758688103422</v>
      </c>
      <c r="AK1354" s="1407">
        <f t="shared" ref="AK1354:AT1354" si="1624">+((AJ73+AK66)*AK$259/1000)</f>
        <v>949.34480177277817</v>
      </c>
      <c r="AL1354" s="1407">
        <f t="shared" si="1624"/>
        <v>980.19415941872319</v>
      </c>
      <c r="AM1354" s="1407">
        <f t="shared" si="1624"/>
        <v>810.44411662432253</v>
      </c>
      <c r="AN1354" s="1407">
        <f t="shared" si="1624"/>
        <v>657.8369341573773</v>
      </c>
      <c r="AO1354" s="1407">
        <f t="shared" si="1624"/>
        <v>587.05087004130746</v>
      </c>
      <c r="AP1354" s="1407">
        <f t="shared" si="1624"/>
        <v>772.97506311441145</v>
      </c>
      <c r="AQ1354" s="1407">
        <f t="shared" si="1624"/>
        <v>784.92411321974964</v>
      </c>
      <c r="AR1354" s="1407">
        <f t="shared" si="1624"/>
        <v>738.41059566050205</v>
      </c>
      <c r="AS1354" s="1407">
        <f t="shared" si="1624"/>
        <v>760.56291353031725</v>
      </c>
      <c r="AT1354" s="1407">
        <f t="shared" si="1624"/>
        <v>783.37980093622684</v>
      </c>
      <c r="AU1354" s="1407">
        <f t="shared" si="1584"/>
        <v>806.88119496431364</v>
      </c>
      <c r="AV1354" s="1407">
        <f t="shared" si="1585"/>
        <v>3.0000000000000027E-2</v>
      </c>
      <c r="AW1354" s="1916"/>
      <c r="AX1354" s="1916"/>
      <c r="AY1354" s="1916"/>
      <c r="AZ1354" s="1916"/>
      <c r="BA1354" s="1916"/>
      <c r="BB1354" s="1916"/>
      <c r="BC1354" s="1916"/>
      <c r="BD1354" s="1916"/>
      <c r="BE1354" s="1916"/>
      <c r="BF1354" s="1916"/>
      <c r="BG1354" s="1916"/>
      <c r="BH1354" s="1915"/>
    </row>
    <row r="1355" spans="1:60">
      <c r="A1355" s="1"/>
      <c r="B1355" s="1"/>
      <c r="C1355" s="1"/>
      <c r="D1355" s="1395" t="s">
        <v>3795</v>
      </c>
      <c r="E1355" s="323"/>
      <c r="F1355" s="323"/>
      <c r="G1355" s="323"/>
      <c r="H1355" s="323"/>
      <c r="I1355" s="323"/>
      <c r="J1355" s="323"/>
      <c r="K1355" s="323"/>
      <c r="L1355" s="323"/>
      <c r="M1355" s="323"/>
      <c r="N1355" s="323"/>
      <c r="O1355" s="323"/>
      <c r="P1355" s="323"/>
      <c r="Q1355" s="323"/>
      <c r="R1355" s="323"/>
      <c r="S1355" s="323"/>
      <c r="T1355" s="323"/>
      <c r="U1355" s="323"/>
      <c r="V1355" s="105"/>
      <c r="W1355" s="1407"/>
      <c r="X1355" s="1407"/>
      <c r="Y1355" s="1408"/>
      <c r="Z1355" s="1408">
        <f t="shared" ref="Z1355:AE1355" si="1625">(Y74+Z67)*Z259/1000</f>
        <v>0</v>
      </c>
      <c r="AA1355" s="1408">
        <f t="shared" si="1625"/>
        <v>0</v>
      </c>
      <c r="AB1355" s="1408">
        <f t="shared" si="1625"/>
        <v>0</v>
      </c>
      <c r="AC1355" s="1408">
        <f t="shared" si="1625"/>
        <v>0</v>
      </c>
      <c r="AD1355" s="1408">
        <f t="shared" si="1625"/>
        <v>0</v>
      </c>
      <c r="AE1355" s="1408">
        <f t="shared" si="1625"/>
        <v>0</v>
      </c>
      <c r="AF1355" s="1408">
        <f>FISCinyear!IY1030</f>
        <v>0</v>
      </c>
      <c r="AG1355" s="1408">
        <f>FISCinyear!JB1030</f>
        <v>0</v>
      </c>
      <c r="AH1355" s="1408">
        <f>FISCinyear!JE1030</f>
        <v>0</v>
      </c>
      <c r="AI1355" s="1408">
        <f>FISCinyear!JH1030</f>
        <v>0</v>
      </c>
      <c r="AJ1355" s="1408">
        <f>FISCinyear!JK1030</f>
        <v>0</v>
      </c>
      <c r="AK1355" s="1408">
        <f t="shared" ref="AK1355:AT1355" si="1626">(AJ74+AK67)*AK259/1000</f>
        <v>591.424916091721</v>
      </c>
      <c r="AL1355" s="1408">
        <f t="shared" si="1626"/>
        <v>669.88522733976993</v>
      </c>
      <c r="AM1355" s="1408">
        <f t="shared" si="1626"/>
        <v>474.46674807843704</v>
      </c>
      <c r="AN1355" s="1408">
        <f t="shared" si="1626"/>
        <v>558.73268465793512</v>
      </c>
      <c r="AO1355" s="1408">
        <f t="shared" si="1626"/>
        <v>487.70926816712324</v>
      </c>
      <c r="AP1355" s="1408">
        <f t="shared" si="1626"/>
        <v>696.02280673060795</v>
      </c>
      <c r="AQ1355" s="1408">
        <f t="shared" si="1626"/>
        <v>716.90349093252632</v>
      </c>
      <c r="AR1355" s="1408">
        <f t="shared" si="1626"/>
        <v>738.41059566050205</v>
      </c>
      <c r="AS1355" s="1408">
        <f t="shared" si="1626"/>
        <v>760.56291353031725</v>
      </c>
      <c r="AT1355" s="1408">
        <f t="shared" si="1626"/>
        <v>783.37980093622684</v>
      </c>
      <c r="AU1355" s="1408">
        <f t="shared" si="1584"/>
        <v>806.88119496431364</v>
      </c>
      <c r="AV1355" s="1408">
        <f t="shared" si="1585"/>
        <v>3.0000000000000027E-2</v>
      </c>
      <c r="AW1355" s="1916"/>
      <c r="AX1355" s="1916"/>
      <c r="AY1355" s="1916"/>
      <c r="AZ1355" s="1916"/>
      <c r="BA1355" s="1916"/>
      <c r="BB1355" s="1916"/>
      <c r="BC1355" s="1916"/>
      <c r="BD1355" s="1916"/>
      <c r="BE1355" s="1916"/>
      <c r="BF1355" s="1916"/>
      <c r="BG1355" s="1916"/>
      <c r="BH1355" s="1915"/>
    </row>
    <row r="1356" spans="1:60">
      <c r="A1356" s="1"/>
      <c r="B1356" s="1"/>
      <c r="C1356" s="1"/>
      <c r="D1356" s="1395" t="s">
        <v>3598</v>
      </c>
      <c r="E1356" s="323"/>
      <c r="F1356" s="323"/>
      <c r="G1356" s="323"/>
      <c r="H1356" s="323"/>
      <c r="I1356" s="323"/>
      <c r="J1356" s="323"/>
      <c r="K1356" s="323"/>
      <c r="L1356" s="323"/>
      <c r="M1356" s="323"/>
      <c r="N1356" s="323"/>
      <c r="O1356" s="323"/>
      <c r="P1356" s="323"/>
      <c r="Q1356" s="323"/>
      <c r="R1356" s="323"/>
      <c r="S1356" s="323"/>
      <c r="T1356" s="323"/>
      <c r="U1356" s="323"/>
      <c r="V1356" s="105"/>
      <c r="W1356" s="1407"/>
      <c r="X1356" s="1407"/>
      <c r="Y1356" s="1408"/>
      <c r="Z1356" s="1408"/>
      <c r="AA1356" s="1408"/>
      <c r="AB1356" s="1408"/>
      <c r="AC1356" s="1408"/>
      <c r="AD1356" s="1408"/>
      <c r="AE1356" s="1408"/>
      <c r="AF1356" s="1408"/>
      <c r="AG1356" s="1408"/>
      <c r="AH1356" s="1408"/>
      <c r="AI1356" s="1408"/>
      <c r="AJ1356" s="1408"/>
      <c r="AK1356" s="1398">
        <f t="shared" ref="AK1356:AU1356" si="1627">(AJ76+AK69)*AK259/1000</f>
        <v>357.91988568105711</v>
      </c>
      <c r="AL1356" s="1398">
        <f t="shared" si="1627"/>
        <v>310.30893207895321</v>
      </c>
      <c r="AM1356" s="1398">
        <f t="shared" si="1627"/>
        <v>177.65432627968656</v>
      </c>
      <c r="AN1356" s="1398">
        <f t="shared" si="1627"/>
        <v>4.412656055562139</v>
      </c>
      <c r="AO1356" s="1398">
        <f t="shared" si="1627"/>
        <v>0.99251683365127075</v>
      </c>
      <c r="AP1356" s="1398">
        <f t="shared" si="1627"/>
        <v>0</v>
      </c>
      <c r="AQ1356" s="1398">
        <f t="shared" si="1627"/>
        <v>0</v>
      </c>
      <c r="AR1356" s="1398">
        <f t="shared" si="1627"/>
        <v>0</v>
      </c>
      <c r="AS1356" s="1398">
        <f t="shared" si="1627"/>
        <v>0</v>
      </c>
      <c r="AT1356" s="1398">
        <f t="shared" si="1627"/>
        <v>0</v>
      </c>
      <c r="AU1356" s="1398">
        <f t="shared" si="1627"/>
        <v>0</v>
      </c>
      <c r="AV1356" s="1398" t="e">
        <f t="shared" si="1585"/>
        <v>#DIV/0!</v>
      </c>
      <c r="AW1356" s="1916"/>
      <c r="AX1356" s="1916"/>
      <c r="AY1356" s="1916"/>
      <c r="AZ1356" s="1916"/>
      <c r="BA1356" s="1916"/>
      <c r="BB1356" s="1916"/>
      <c r="BC1356" s="1916"/>
      <c r="BD1356" s="1916"/>
      <c r="BE1356" s="1916"/>
      <c r="BF1356" s="1916"/>
      <c r="BG1356" s="1916"/>
      <c r="BH1356" s="1915"/>
    </row>
    <row r="1357" spans="1:60">
      <c r="A1357" s="1"/>
      <c r="B1357" s="1"/>
      <c r="C1357" s="1"/>
      <c r="D1357" s="1395" t="s">
        <v>3597</v>
      </c>
      <c r="E1357" s="323"/>
      <c r="F1357" s="323"/>
      <c r="G1357" s="323"/>
      <c r="H1357" s="323"/>
      <c r="I1357" s="323"/>
      <c r="J1357" s="323"/>
      <c r="K1357" s="323"/>
      <c r="L1357" s="323"/>
      <c r="M1357" s="323"/>
      <c r="N1357" s="323"/>
      <c r="O1357" s="323"/>
      <c r="P1357" s="323"/>
      <c r="Q1357" s="323"/>
      <c r="R1357" s="323"/>
      <c r="S1357" s="323"/>
      <c r="T1357" s="323"/>
      <c r="U1357" s="323"/>
      <c r="V1357" s="105"/>
      <c r="W1357" s="1407"/>
      <c r="X1357" s="1407"/>
      <c r="Y1357" s="1408"/>
      <c r="Z1357" s="1408"/>
      <c r="AA1357" s="1408"/>
      <c r="AB1357" s="1408"/>
      <c r="AC1357" s="1408"/>
      <c r="AD1357" s="1408"/>
      <c r="AE1357" s="1408"/>
      <c r="AF1357" s="1408"/>
      <c r="AG1357" s="1408"/>
      <c r="AH1357" s="1408"/>
      <c r="AI1357" s="1408"/>
      <c r="AJ1357" s="1408"/>
      <c r="AK1357" s="1398">
        <f t="shared" ref="AK1357:AU1357" si="1628">(AJ77+AK70)*AK259/1000</f>
        <v>0</v>
      </c>
      <c r="AL1357" s="1398">
        <f t="shared" si="1628"/>
        <v>0</v>
      </c>
      <c r="AM1357" s="1398">
        <f t="shared" si="1628"/>
        <v>158.32304226619874</v>
      </c>
      <c r="AN1357" s="1398">
        <f t="shared" si="1628"/>
        <v>94.691593443879952</v>
      </c>
      <c r="AO1357" s="1398">
        <f t="shared" si="1628"/>
        <v>98.349085040532898</v>
      </c>
      <c r="AP1357" s="1398">
        <f t="shared" si="1628"/>
        <v>76.952256383803416</v>
      </c>
      <c r="AQ1357" s="1398">
        <f t="shared" si="1628"/>
        <v>68.020622287223318</v>
      </c>
      <c r="AR1357" s="1398">
        <f t="shared" si="1628"/>
        <v>0</v>
      </c>
      <c r="AS1357" s="1398">
        <f t="shared" si="1628"/>
        <v>0</v>
      </c>
      <c r="AT1357" s="1398">
        <f t="shared" si="1628"/>
        <v>0</v>
      </c>
      <c r="AU1357" s="1398">
        <f t="shared" si="1628"/>
        <v>0</v>
      </c>
      <c r="AV1357" s="1398" t="e">
        <f t="shared" si="1585"/>
        <v>#DIV/0!</v>
      </c>
      <c r="AW1357" s="1916"/>
      <c r="AX1357" s="1916"/>
      <c r="AY1357" s="1916"/>
      <c r="AZ1357" s="1916"/>
      <c r="BA1357" s="1916"/>
      <c r="BB1357" s="1916"/>
      <c r="BC1357" s="1916"/>
      <c r="BD1357" s="1916"/>
      <c r="BE1357" s="1916"/>
      <c r="BF1357" s="1916"/>
      <c r="BG1357" s="1916"/>
      <c r="BH1357" s="1915"/>
    </row>
    <row r="1358" spans="1:60">
      <c r="A1358" s="1"/>
      <c r="B1358" s="1"/>
      <c r="C1358" s="1"/>
      <c r="D1358" s="1395" t="s">
        <v>3101</v>
      </c>
      <c r="E1358" s="323"/>
      <c r="F1358" s="323"/>
      <c r="G1358" s="323"/>
      <c r="H1358" s="323"/>
      <c r="I1358" s="323"/>
      <c r="J1358" s="323"/>
      <c r="K1358" s="323"/>
      <c r="L1358" s="323"/>
      <c r="M1358" s="323"/>
      <c r="N1358" s="323"/>
      <c r="O1358" s="323"/>
      <c r="P1358" s="323"/>
      <c r="Q1358" s="323"/>
      <c r="R1358" s="323"/>
      <c r="S1358" s="323"/>
      <c r="T1358" s="323"/>
      <c r="U1358" s="323"/>
      <c r="V1358" s="105"/>
      <c r="W1358" s="1407"/>
      <c r="X1358" s="1407"/>
      <c r="Y1358" s="1408"/>
      <c r="Z1358" s="1408">
        <v>0</v>
      </c>
      <c r="AA1358" s="1408">
        <v>0</v>
      </c>
      <c r="AB1358" s="1408">
        <v>0</v>
      </c>
      <c r="AC1358" s="1408">
        <v>0</v>
      </c>
      <c r="AD1358" s="1408">
        <v>0</v>
      </c>
      <c r="AE1358" s="1408">
        <v>0</v>
      </c>
      <c r="AF1358" s="1408">
        <f>FISCinyear!IY1032</f>
        <v>0</v>
      </c>
      <c r="AG1358" s="1408">
        <f>FISCinyear!JB1032</f>
        <v>0</v>
      </c>
      <c r="AH1358" s="1408">
        <f>FISCinyear!JE1032</f>
        <v>0</v>
      </c>
      <c r="AI1358" s="1408">
        <f>FISCinyear!JH1032</f>
        <v>0</v>
      </c>
      <c r="AJ1358" s="1408">
        <f>FISCinyear!JK1032</f>
        <v>0</v>
      </c>
      <c r="AK1358" s="1407">
        <f t="shared" ref="AK1358:AT1358" si="1629">+(AJ78+AK71)*AK259/1000</f>
        <v>0</v>
      </c>
      <c r="AL1358" s="1408">
        <f t="shared" si="1629"/>
        <v>0</v>
      </c>
      <c r="AM1358" s="1408">
        <f t="shared" si="1629"/>
        <v>0</v>
      </c>
      <c r="AN1358" s="1408">
        <f t="shared" si="1629"/>
        <v>0</v>
      </c>
      <c r="AO1358" s="1408">
        <f t="shared" si="1629"/>
        <v>0</v>
      </c>
      <c r="AP1358" s="1408">
        <f t="shared" si="1629"/>
        <v>0</v>
      </c>
      <c r="AQ1358" s="1408">
        <f t="shared" si="1629"/>
        <v>0</v>
      </c>
      <c r="AR1358" s="1408">
        <f t="shared" si="1629"/>
        <v>0</v>
      </c>
      <c r="AS1358" s="1408">
        <f t="shared" si="1629"/>
        <v>0</v>
      </c>
      <c r="AT1358" s="1408">
        <f t="shared" si="1629"/>
        <v>0</v>
      </c>
      <c r="AU1358" s="1408" t="e">
        <f t="shared" si="1584"/>
        <v>#DIV/0!</v>
      </c>
      <c r="AV1358" s="1408" t="e">
        <f t="shared" si="1585"/>
        <v>#DIV/0!</v>
      </c>
      <c r="AW1358" s="1916"/>
      <c r="AX1358" s="1916"/>
      <c r="AY1358" s="1916"/>
      <c r="AZ1358" s="1916"/>
      <c r="BA1358" s="1916"/>
      <c r="BB1358" s="1916"/>
      <c r="BC1358" s="1916"/>
      <c r="BD1358" s="1916"/>
      <c r="BE1358" s="1916"/>
      <c r="BF1358" s="1916"/>
      <c r="BG1358" s="1916"/>
      <c r="BH1358" s="1915"/>
    </row>
    <row r="1359" spans="1:60">
      <c r="A1359" s="1"/>
      <c r="B1359" s="1"/>
      <c r="C1359" s="1"/>
      <c r="D1359" s="1395" t="s">
        <v>3303</v>
      </c>
      <c r="E1359" s="323"/>
      <c r="F1359" s="323"/>
      <c r="G1359" s="323"/>
      <c r="H1359" s="323"/>
      <c r="I1359" s="323"/>
      <c r="J1359" s="323"/>
      <c r="K1359" s="323"/>
      <c r="L1359" s="323"/>
      <c r="M1359" s="323"/>
      <c r="N1359" s="323"/>
      <c r="O1359" s="323"/>
      <c r="P1359" s="323"/>
      <c r="Q1359" s="323"/>
      <c r="R1359" s="323"/>
      <c r="S1359" s="323"/>
      <c r="T1359" s="323"/>
      <c r="U1359" s="323"/>
      <c r="V1359" s="105"/>
      <c r="W1359" s="1407"/>
      <c r="X1359" s="1407"/>
      <c r="Y1359" s="1408"/>
      <c r="Z1359" s="1408"/>
      <c r="AA1359" s="1408"/>
      <c r="AB1359" s="1408"/>
      <c r="AC1359" s="1408"/>
      <c r="AD1359" s="1408"/>
      <c r="AE1359" s="1408"/>
      <c r="AF1359" s="1408"/>
      <c r="AG1359" s="1408"/>
      <c r="AH1359" s="1408">
        <f>FISCinyear!JE1033</f>
        <v>106.24015742291022</v>
      </c>
      <c r="AI1359" s="1408">
        <f>FISCinyear!JH1033</f>
        <v>206.34023911927198</v>
      </c>
      <c r="AJ1359" s="1408">
        <f>FISCinyear!JK1033</f>
        <v>155.71927852945331</v>
      </c>
      <c r="AK1359" s="1407">
        <f>(AK68+AJ75)*AK259/1000</f>
        <v>0</v>
      </c>
      <c r="AL1359" s="1407">
        <f>(AL68+AK75)*AL259/1000</f>
        <v>0</v>
      </c>
      <c r="AM1359" s="1407">
        <f>(AM68+AL75)*AM259/1000</f>
        <v>0</v>
      </c>
      <c r="AN1359" s="1407">
        <f>(AN68+AM75)*AN259/1000</f>
        <v>0</v>
      </c>
      <c r="AO1359" s="1407">
        <f>(AO68+AN75)*AO259/1000</f>
        <v>0</v>
      </c>
      <c r="AP1359" s="1408"/>
      <c r="AQ1359" s="1408"/>
      <c r="AR1359" s="1408"/>
      <c r="AS1359" s="1408"/>
      <c r="AT1359" s="1408"/>
      <c r="AU1359" s="1408"/>
      <c r="AV1359" s="1408" t="e">
        <f t="shared" si="1585"/>
        <v>#DIV/0!</v>
      </c>
      <c r="AW1359" s="1916"/>
      <c r="AX1359" s="1916"/>
      <c r="AY1359" s="1916"/>
      <c r="AZ1359" s="1916"/>
      <c r="BA1359" s="1916"/>
      <c r="BB1359" s="1916"/>
      <c r="BC1359" s="1916"/>
      <c r="BD1359" s="1916"/>
      <c r="BE1359" s="1916"/>
      <c r="BF1359" s="1916"/>
      <c r="BG1359" s="1916"/>
      <c r="BH1359" s="1915"/>
    </row>
    <row r="1360" spans="1:60">
      <c r="A1360" s="1"/>
      <c r="B1360" s="1"/>
      <c r="C1360" s="1"/>
      <c r="D1360" s="363" t="str">
        <f>+FISCinyear!D1035</f>
        <v xml:space="preserve">Capital </v>
      </c>
      <c r="E1360" s="323"/>
      <c r="F1360" s="323"/>
      <c r="G1360" s="323"/>
      <c r="H1360" s="323"/>
      <c r="I1360" s="323"/>
      <c r="J1360" s="323"/>
      <c r="K1360" s="323"/>
      <c r="L1360" s="323"/>
      <c r="M1360" s="323"/>
      <c r="N1360" s="323"/>
      <c r="O1360" s="323"/>
      <c r="P1360" s="323"/>
      <c r="Q1360" s="323"/>
      <c r="R1360" s="323"/>
      <c r="S1360" s="323"/>
      <c r="T1360" s="323"/>
      <c r="U1360" s="323"/>
      <c r="V1360" s="676">
        <f>+((U62+V59)*V$259/1000)</f>
        <v>0</v>
      </c>
      <c r="W1360" s="1407">
        <f>+((V62+W59)*W$259/1000)</f>
        <v>0</v>
      </c>
      <c r="X1360" s="1407">
        <f>+((W62+X59)*X$259/1000)</f>
        <v>0</v>
      </c>
      <c r="Y1360" s="1408">
        <f>FISCinyear!ID1035</f>
        <v>66.70927940511001</v>
      </c>
      <c r="Z1360" s="1408">
        <f>FISCinyear!IG1035</f>
        <v>99.233201067772001</v>
      </c>
      <c r="AA1360" s="1408">
        <f>FISCinyear!IJ1035</f>
        <v>102.868015341633</v>
      </c>
      <c r="AB1360" s="1408">
        <f>FISCinyear!IM1035</f>
        <v>160.74917716982901</v>
      </c>
      <c r="AC1360" s="1408">
        <f>FISCinyear!IP1035</f>
        <v>170.35041550616</v>
      </c>
      <c r="AD1360" s="1408">
        <f>FISCinyear!IS1035</f>
        <v>214.928464239612</v>
      </c>
      <c r="AE1360" s="1408">
        <f>FISCinyear!IV1035</f>
        <v>287.97105069611598</v>
      </c>
      <c r="AF1360" s="1408">
        <f>FISCinyear!IY1035</f>
        <v>390.57003784890901</v>
      </c>
      <c r="AG1360" s="1408">
        <f>FISCinyear!JB1035</f>
        <v>411.65558615469001</v>
      </c>
      <c r="AH1360" s="1408">
        <f>FISCinyear!JE1035</f>
        <v>426.47173391326498</v>
      </c>
      <c r="AI1360" s="1408">
        <f>FISCinyear!JH1035</f>
        <v>640.01178499634898</v>
      </c>
      <c r="AJ1360" s="1408">
        <f>FISCinyear!JK1035</f>
        <v>738.96146359542718</v>
      </c>
      <c r="AK1360" s="1407">
        <f t="shared" ref="AK1360:AT1360" si="1630">+((AJ62+AK59)*AK$259/1000)</f>
        <v>787.78024694327939</v>
      </c>
      <c r="AL1360" s="1408">
        <f t="shared" si="1630"/>
        <v>820.535233631609</v>
      </c>
      <c r="AM1360" s="1408">
        <f t="shared" si="1630"/>
        <v>860.72161195505896</v>
      </c>
      <c r="AN1360" s="1408">
        <f t="shared" si="1630"/>
        <v>944.9177694305065</v>
      </c>
      <c r="AO1360" s="1408">
        <f t="shared" si="1630"/>
        <v>1000.3987854312173</v>
      </c>
      <c r="AP1360" s="1408">
        <f t="shared" si="1630"/>
        <v>1080.9028517411339</v>
      </c>
      <c r="AQ1360" s="1408">
        <f t="shared" si="1630"/>
        <v>1002.0685563460748</v>
      </c>
      <c r="AR1360" s="1408">
        <f t="shared" si="1630"/>
        <v>551.9581355791646</v>
      </c>
      <c r="AS1360" s="1408">
        <f t="shared" si="1630"/>
        <v>568.51687964653956</v>
      </c>
      <c r="AT1360" s="1408">
        <f t="shared" si="1630"/>
        <v>585.57238603593589</v>
      </c>
      <c r="AU1360" s="1408">
        <f t="shared" si="1584"/>
        <v>603.13955761701413</v>
      </c>
      <c r="AV1360" s="1408">
        <f t="shared" si="1585"/>
        <v>3.0000000000000249E-2</v>
      </c>
      <c r="AW1360" s="1916"/>
      <c r="AX1360" s="1916"/>
      <c r="AY1360" s="1916"/>
      <c r="AZ1360" s="1916"/>
      <c r="BA1360" s="1916"/>
      <c r="BB1360" s="1916"/>
      <c r="BC1360" s="1916"/>
      <c r="BD1360" s="1916"/>
      <c r="BE1360" s="1916"/>
      <c r="BF1360" s="1916"/>
      <c r="BG1360" s="1916"/>
      <c r="BH1360" s="1915"/>
    </row>
    <row r="1361" spans="1:125">
      <c r="A1361" s="1"/>
      <c r="B1361" s="1"/>
      <c r="C1361" s="1"/>
      <c r="D1361" s="1395" t="s">
        <v>3596</v>
      </c>
      <c r="E1361" s="323"/>
      <c r="F1361" s="323"/>
      <c r="G1361" s="323"/>
      <c r="H1361" s="323"/>
      <c r="I1361" s="323"/>
      <c r="J1361" s="323"/>
      <c r="K1361" s="323"/>
      <c r="L1361" s="323"/>
      <c r="M1361" s="323"/>
      <c r="N1361" s="323"/>
      <c r="O1361" s="323"/>
      <c r="P1361" s="323"/>
      <c r="Q1361" s="323"/>
      <c r="R1361" s="323"/>
      <c r="S1361" s="323"/>
      <c r="T1361" s="323"/>
      <c r="U1361" s="323"/>
      <c r="V1361" s="676"/>
      <c r="W1361" s="1407"/>
      <c r="X1361" s="1407"/>
      <c r="Y1361" s="1408"/>
      <c r="Z1361" s="1408">
        <f t="shared" ref="Z1361:AE1361" si="1631">(Y63+Z60)*Z259/1000</f>
        <v>0</v>
      </c>
      <c r="AA1361" s="1408">
        <f t="shared" si="1631"/>
        <v>0</v>
      </c>
      <c r="AB1361" s="1408">
        <f t="shared" si="1631"/>
        <v>0</v>
      </c>
      <c r="AC1361" s="1408">
        <f t="shared" si="1631"/>
        <v>0</v>
      </c>
      <c r="AD1361" s="1408">
        <f t="shared" si="1631"/>
        <v>0</v>
      </c>
      <c r="AE1361" s="1408">
        <f t="shared" si="1631"/>
        <v>0</v>
      </c>
      <c r="AF1361" s="1408">
        <f>FISCinyear!IY1036</f>
        <v>0</v>
      </c>
      <c r="AG1361" s="1408">
        <f>FISCinyear!JB1036</f>
        <v>0</v>
      </c>
      <c r="AH1361" s="1408">
        <f>FISCinyear!JE1036</f>
        <v>0</v>
      </c>
      <c r="AI1361" s="1408">
        <f>FISCinyear!JH1036</f>
        <v>0</v>
      </c>
      <c r="AJ1361" s="1408">
        <f>FISCinyear!JK1036</f>
        <v>0</v>
      </c>
      <c r="AK1361" s="1408">
        <f t="shared" ref="AK1361:AU1361" si="1632">(AJ63+AK60)*AK259/1000</f>
        <v>0</v>
      </c>
      <c r="AL1361" s="1408">
        <f t="shared" si="1632"/>
        <v>0</v>
      </c>
      <c r="AM1361" s="1408">
        <f t="shared" si="1632"/>
        <v>0</v>
      </c>
      <c r="AN1361" s="1408">
        <f t="shared" si="1632"/>
        <v>0</v>
      </c>
      <c r="AO1361" s="1408">
        <f t="shared" si="1632"/>
        <v>0</v>
      </c>
      <c r="AP1361" s="1408">
        <f t="shared" si="1632"/>
        <v>0</v>
      </c>
      <c r="AQ1361" s="1408">
        <f t="shared" si="1632"/>
        <v>0</v>
      </c>
      <c r="AR1361" s="1408">
        <f t="shared" si="1632"/>
        <v>0</v>
      </c>
      <c r="AS1361" s="1408">
        <f t="shared" si="1632"/>
        <v>0</v>
      </c>
      <c r="AT1361" s="1408">
        <f t="shared" si="1632"/>
        <v>0</v>
      </c>
      <c r="AU1361" s="1408">
        <f t="shared" si="1632"/>
        <v>0</v>
      </c>
      <c r="AV1361" s="1408" t="e">
        <f t="shared" si="1585"/>
        <v>#DIV/0!</v>
      </c>
      <c r="AW1361" s="1916"/>
      <c r="AX1361" s="1916"/>
      <c r="AY1361" s="1916"/>
      <c r="AZ1361" s="1916"/>
      <c r="BA1361" s="1916"/>
      <c r="BB1361" s="1916"/>
      <c r="BC1361" s="1916"/>
      <c r="BD1361" s="1916"/>
      <c r="BE1361" s="1916"/>
      <c r="BF1361" s="1916"/>
      <c r="BG1361" s="1916"/>
      <c r="BH1361" s="1915"/>
    </row>
    <row r="1362" spans="1:125">
      <c r="A1362" s="1"/>
      <c r="B1362" s="1"/>
      <c r="C1362" s="1"/>
      <c r="D1362" s="1395" t="s">
        <v>3128</v>
      </c>
      <c r="E1362" s="323"/>
      <c r="F1362" s="323"/>
      <c r="G1362" s="323"/>
      <c r="H1362" s="323"/>
      <c r="I1362" s="323"/>
      <c r="J1362" s="323"/>
      <c r="K1362" s="323"/>
      <c r="L1362" s="323"/>
      <c r="M1362" s="323"/>
      <c r="N1362" s="323"/>
      <c r="O1362" s="323"/>
      <c r="P1362" s="323"/>
      <c r="Q1362" s="323"/>
      <c r="R1362" s="323"/>
      <c r="S1362" s="323"/>
      <c r="T1362" s="323"/>
      <c r="U1362" s="323"/>
      <c r="V1362" s="676"/>
      <c r="W1362" s="1407"/>
      <c r="X1362" s="1407"/>
      <c r="Y1362" s="1408"/>
      <c r="Z1362" s="1408">
        <v>0</v>
      </c>
      <c r="AA1362" s="1408">
        <v>0</v>
      </c>
      <c r="AB1362" s="1408">
        <v>0</v>
      </c>
      <c r="AC1362" s="1408">
        <v>0</v>
      </c>
      <c r="AD1362" s="1408">
        <v>0</v>
      </c>
      <c r="AE1362" s="1408">
        <v>0</v>
      </c>
      <c r="AF1362" s="1408">
        <f>FISCinyear!IY1037</f>
        <v>0</v>
      </c>
      <c r="AG1362" s="1408">
        <f>AG1295</f>
        <v>63.103301563999999</v>
      </c>
      <c r="AH1362" s="1408">
        <f>FISCinyear!JE1037</f>
        <v>56.285983673969994</v>
      </c>
      <c r="AI1362" s="1408">
        <f>FISCinyear!JH1037</f>
        <v>46.333522475126998</v>
      </c>
      <c r="AJ1362" s="1408">
        <f>FISCinyear!JK1037</f>
        <v>41.682182651905997</v>
      </c>
      <c r="AK1362" s="1563">
        <v>24.792840755990309</v>
      </c>
      <c r="AL1362" s="1562">
        <v>0</v>
      </c>
      <c r="AM1362" s="1562">
        <v>0</v>
      </c>
      <c r="AN1362" s="1562">
        <v>0</v>
      </c>
      <c r="AO1362" s="1562">
        <v>0</v>
      </c>
      <c r="AP1362" s="1562">
        <v>0</v>
      </c>
      <c r="AQ1362" s="1562">
        <v>0</v>
      </c>
      <c r="AR1362" s="1562">
        <v>0</v>
      </c>
      <c r="AS1362" s="1562">
        <v>0</v>
      </c>
      <c r="AT1362" s="1562">
        <v>0</v>
      </c>
      <c r="AU1362" s="1562">
        <v>0</v>
      </c>
      <c r="AV1362" s="1562" t="e">
        <f t="shared" si="1585"/>
        <v>#DIV/0!</v>
      </c>
      <c r="AW1362" s="1916"/>
      <c r="AX1362" s="1916"/>
      <c r="AY1362" s="1916"/>
      <c r="AZ1362" s="1916"/>
      <c r="BA1362" s="1916"/>
      <c r="BB1362" s="1916"/>
      <c r="BC1362" s="1916"/>
      <c r="BD1362" s="1916"/>
      <c r="BE1362" s="1916"/>
      <c r="BF1362" s="1916"/>
      <c r="BG1362" s="1916"/>
      <c r="BH1362" s="1915"/>
    </row>
    <row r="1363" spans="1:125">
      <c r="A1363" s="1"/>
      <c r="B1363" s="1"/>
      <c r="C1363" s="1"/>
      <c r="D1363" s="360" t="str">
        <f>+FISCinyear!D1038</f>
        <v>Reimbursements</v>
      </c>
      <c r="E1363" s="323"/>
      <c r="F1363" s="323"/>
      <c r="G1363" s="323"/>
      <c r="H1363" s="323"/>
      <c r="I1363" s="323"/>
      <c r="J1363" s="323"/>
      <c r="K1363" s="323"/>
      <c r="L1363" s="323"/>
      <c r="M1363" s="323"/>
      <c r="N1363" s="323"/>
      <c r="O1363" s="323"/>
      <c r="P1363" s="323"/>
      <c r="Q1363" s="323"/>
      <c r="R1363" s="323"/>
      <c r="S1363" s="323"/>
      <c r="T1363" s="323"/>
      <c r="U1363" s="323"/>
      <c r="V1363" s="105">
        <f>+V898</f>
        <v>-7.8795716799999997</v>
      </c>
      <c r="W1363" s="1407">
        <f>+W898</f>
        <v>-9.6999999999999993</v>
      </c>
      <c r="X1363" s="1407">
        <f>+X898</f>
        <v>-15.5</v>
      </c>
      <c r="Y1363" s="1408">
        <f>FISCinyear!ID1038</f>
        <v>11.038625171173628</v>
      </c>
      <c r="Z1363" s="1408">
        <f>FISCinyear!IG1038</f>
        <v>14.637063236782467</v>
      </c>
      <c r="AA1363" s="1408">
        <f>FISCinyear!IJ1038</f>
        <v>17.121454944713733</v>
      </c>
      <c r="AB1363" s="1408">
        <f>FISCinyear!IM1038</f>
        <v>21.580580918109234</v>
      </c>
      <c r="AC1363" s="1408">
        <f>FISCinyear!IP1038</f>
        <v>25.817758485916514</v>
      </c>
      <c r="AD1363" s="1408">
        <f>FISCinyear!IS1038</f>
        <v>28.665006298050265</v>
      </c>
      <c r="AE1363" s="1408">
        <f>FISCinyear!IV1038</f>
        <v>54.902709505972297</v>
      </c>
      <c r="AF1363" s="1408">
        <f>FISCinyear!IY1038</f>
        <v>76.369240314600148</v>
      </c>
      <c r="AG1363" s="1408">
        <f>FISCinyear!JB1038</f>
        <v>95.151079022516313</v>
      </c>
      <c r="AH1363" s="1408">
        <f>FISCinyear!JE1038</f>
        <v>85.215693808710483</v>
      </c>
      <c r="AI1363" s="1408">
        <f>FISCinyear!JH1038</f>
        <v>124.74221382824851</v>
      </c>
      <c r="AJ1363" s="1408">
        <f>FISCinyear!JK1038</f>
        <v>172.10918608339722</v>
      </c>
      <c r="AK1363" s="1408">
        <f t="shared" ref="AK1363:AT1363" si="1633">((AJ122+AJ127+AK112+AK117)*AK259/1000)+(AK702*AK259/1000)</f>
        <v>318.43514062566561</v>
      </c>
      <c r="AL1363" s="1408">
        <f t="shared" si="1633"/>
        <v>454.70877606010924</v>
      </c>
      <c r="AM1363" s="1408">
        <f t="shared" si="1633"/>
        <v>537.59841601400899</v>
      </c>
      <c r="AN1363" s="1408">
        <f t="shared" si="1633"/>
        <v>634.30410750818874</v>
      </c>
      <c r="AO1363" s="1408">
        <f t="shared" si="1633"/>
        <v>792.34476529797871</v>
      </c>
      <c r="AP1363" s="1408">
        <f t="shared" si="1633"/>
        <v>865.5692197330859</v>
      </c>
      <c r="AQ1363" s="1408">
        <f t="shared" si="1633"/>
        <v>2174.018280677446</v>
      </c>
      <c r="AR1363" s="1408">
        <f t="shared" si="1633"/>
        <v>1071.5382410940058</v>
      </c>
      <c r="AS1363" s="1408">
        <f t="shared" si="1633"/>
        <v>1198.0694791701101</v>
      </c>
      <c r="AT1363" s="1408">
        <f t="shared" si="1633"/>
        <v>1367.9918171014087</v>
      </c>
      <c r="AU1363" s="1408">
        <f t="shared" si="1584"/>
        <v>1562.0142606025772</v>
      </c>
      <c r="AV1363" s="1408">
        <f t="shared" si="1585"/>
        <v>0.14183011994346284</v>
      </c>
      <c r="AW1363" s="1916"/>
      <c r="AX1363" s="1916"/>
      <c r="AY1363" s="1916"/>
      <c r="AZ1363" s="1916"/>
      <c r="BA1363" s="1916"/>
      <c r="BB1363" s="1916"/>
      <c r="BC1363" s="1916"/>
      <c r="BD1363" s="1916"/>
      <c r="BE1363" s="1916"/>
      <c r="BF1363" s="1916"/>
      <c r="BG1363" s="1916"/>
      <c r="BH1363" s="1915"/>
    </row>
    <row r="1364" spans="1:125">
      <c r="A1364" s="1"/>
      <c r="B1364" s="1"/>
      <c r="C1364" s="1"/>
      <c r="D1364" s="1392" t="s">
        <v>3598</v>
      </c>
      <c r="E1364" s="323"/>
      <c r="F1364" s="323"/>
      <c r="G1364" s="323"/>
      <c r="H1364" s="323"/>
      <c r="I1364" s="323"/>
      <c r="J1364" s="323"/>
      <c r="K1364" s="323"/>
      <c r="L1364" s="323"/>
      <c r="M1364" s="323"/>
      <c r="N1364" s="323"/>
      <c r="O1364" s="323"/>
      <c r="P1364" s="323"/>
      <c r="Q1364" s="323"/>
      <c r="R1364" s="323"/>
      <c r="S1364" s="323"/>
      <c r="T1364" s="323"/>
      <c r="U1364" s="323"/>
      <c r="V1364" s="105"/>
      <c r="W1364" s="1407"/>
      <c r="X1364" s="1407"/>
      <c r="Y1364" s="1408"/>
      <c r="Z1364" s="1408"/>
      <c r="AA1364" s="1408"/>
      <c r="AB1364" s="1408"/>
      <c r="AC1364" s="1408"/>
      <c r="AD1364" s="1408"/>
      <c r="AE1364" s="1408"/>
      <c r="AF1364" s="1408"/>
      <c r="AG1364" s="1408"/>
      <c r="AH1364" s="1408"/>
      <c r="AI1364" s="1408"/>
      <c r="AJ1364" s="1408"/>
      <c r="AK1364" s="1408">
        <f>(AJ123+AJ128+AK113+AK118)*AK259/1000</f>
        <v>0</v>
      </c>
      <c r="AL1364" s="1408">
        <f>(AK123+AK128+AL113+AL118)*AL259/1000</f>
        <v>0</v>
      </c>
      <c r="AM1364" s="1408">
        <f>(AL123+AL128+AM113+AM118)*AM259/1000</f>
        <v>0</v>
      </c>
      <c r="AN1364" s="1408">
        <f>(AM123+AM128+AN113+AN118)*AN259/1000</f>
        <v>0</v>
      </c>
      <c r="AO1364" s="1408">
        <f>(AN123+AN128+AO113+AO118)*AO259/1000</f>
        <v>0</v>
      </c>
      <c r="AP1364" s="1408">
        <f>(AO123+AO128+AP113+AP118)*AP258/1000</f>
        <v>0</v>
      </c>
      <c r="AQ1364" s="1408">
        <f>(AP123+AP128+AQ113+AQ118)*AQ258/1000</f>
        <v>30.487118660791587</v>
      </c>
      <c r="AR1364" s="1408">
        <f>(AQ123+AQ128+AR113+AR118)*AR258/1000</f>
        <v>51.268576615513183</v>
      </c>
      <c r="AS1364" s="1408">
        <f>(AR123+AR128+AS113+AS118)*AS258/1000</f>
        <v>62.405727217504065</v>
      </c>
      <c r="AT1364" s="1408">
        <f>(AS123+AS128+AT113+AT118)*AT258/1000</f>
        <v>65.346073019506505</v>
      </c>
      <c r="AU1364" s="1408">
        <f t="shared" si="1584"/>
        <v>68.424957923941321</v>
      </c>
      <c r="AV1364" s="1408">
        <f t="shared" si="1585"/>
        <v>4.711660184255817E-2</v>
      </c>
      <c r="AW1364" s="1916"/>
      <c r="AX1364" s="1916"/>
      <c r="AY1364" s="1916"/>
      <c r="AZ1364" s="1916"/>
      <c r="BA1364" s="1916"/>
      <c r="BB1364" s="1916"/>
      <c r="BC1364" s="1916"/>
      <c r="BD1364" s="1916"/>
      <c r="BE1364" s="1916"/>
      <c r="BF1364" s="1916"/>
      <c r="BG1364" s="1916"/>
      <c r="BH1364" s="1915"/>
    </row>
    <row r="1365" spans="1:125">
      <c r="A1365" s="1"/>
      <c r="B1365" s="1"/>
      <c r="C1365" s="1"/>
      <c r="D1365" s="1392" t="s">
        <v>3597</v>
      </c>
      <c r="E1365" s="323"/>
      <c r="F1365" s="323"/>
      <c r="G1365" s="323"/>
      <c r="H1365" s="323"/>
      <c r="I1365" s="323"/>
      <c r="J1365" s="323"/>
      <c r="K1365" s="323"/>
      <c r="L1365" s="323"/>
      <c r="M1365" s="323"/>
      <c r="N1365" s="323"/>
      <c r="O1365" s="323"/>
      <c r="P1365" s="323"/>
      <c r="Q1365" s="323"/>
      <c r="R1365" s="323"/>
      <c r="S1365" s="323"/>
      <c r="T1365" s="323"/>
      <c r="U1365" s="323"/>
      <c r="V1365" s="105"/>
      <c r="W1365" s="1407"/>
      <c r="X1365" s="1407"/>
      <c r="Y1365" s="1408"/>
      <c r="Z1365" s="1408">
        <v>0</v>
      </c>
      <c r="AA1365" s="1408">
        <v>0</v>
      </c>
      <c r="AB1365" s="1408">
        <f>(AA124+AA129+AB114+AB119)*AB259/1000</f>
        <v>0</v>
      </c>
      <c r="AC1365" s="1408">
        <f>(AB124+AB129+AC114+AC119)*AC259/1000</f>
        <v>0</v>
      </c>
      <c r="AD1365" s="1408">
        <f>(AC124+AC129+AD114+AD119)*AD259/1000</f>
        <v>0</v>
      </c>
      <c r="AE1365" s="1408">
        <f>(AD124+AD129+AE114+AE119)*AE259/1000</f>
        <v>15.952745202723367</v>
      </c>
      <c r="AF1365" s="1408">
        <v>0</v>
      </c>
      <c r="AG1365" s="1408">
        <v>0</v>
      </c>
      <c r="AH1365" s="1408">
        <v>0</v>
      </c>
      <c r="AI1365" s="1408">
        <v>0</v>
      </c>
      <c r="AJ1365" s="1408">
        <v>0</v>
      </c>
      <c r="AK1365" s="1408">
        <f t="shared" ref="AK1365:AT1365" si="1634">((AJ124+AJ129+AK114+AK119)*AK259/1000)++(AK702*AK259/1000)</f>
        <v>0</v>
      </c>
      <c r="AL1365" s="1408">
        <f t="shared" si="1634"/>
        <v>0</v>
      </c>
      <c r="AM1365" s="1408">
        <f t="shared" si="1634"/>
        <v>0</v>
      </c>
      <c r="AN1365" s="1408">
        <f t="shared" si="1634"/>
        <v>0</v>
      </c>
      <c r="AO1365" s="1408">
        <f t="shared" si="1634"/>
        <v>0</v>
      </c>
      <c r="AP1365" s="1408">
        <f t="shared" si="1634"/>
        <v>0</v>
      </c>
      <c r="AQ1365" s="1408">
        <f t="shared" si="1634"/>
        <v>0</v>
      </c>
      <c r="AR1365" s="1408">
        <f t="shared" si="1634"/>
        <v>4.8757865110956109</v>
      </c>
      <c r="AS1365" s="1408">
        <f t="shared" si="1634"/>
        <v>18.612059060227207</v>
      </c>
      <c r="AT1365" s="1408">
        <f t="shared" si="1634"/>
        <v>34.442784582956413</v>
      </c>
      <c r="AU1365" s="1408">
        <f t="shared" si="1584"/>
        <v>63.738536719077992</v>
      </c>
      <c r="AV1365" s="1408">
        <f t="shared" si="1585"/>
        <v>0.85056282443023545</v>
      </c>
      <c r="AW1365" s="1916"/>
      <c r="AX1365" s="1916"/>
      <c r="AY1365" s="1916"/>
      <c r="AZ1365" s="1916"/>
      <c r="BA1365" s="1916"/>
      <c r="BB1365" s="1916"/>
      <c r="BC1365" s="1916"/>
      <c r="BD1365" s="1916"/>
      <c r="BE1365" s="1916"/>
      <c r="BF1365" s="1916"/>
      <c r="BG1365" s="1916"/>
      <c r="BH1365" s="1915"/>
    </row>
    <row r="1366" spans="1:125">
      <c r="A1366" s="1"/>
      <c r="B1366" s="1"/>
      <c r="C1366" s="1"/>
      <c r="D1366" s="364" t="str">
        <f>+FISCinyear!D1041</f>
        <v>Statistical discrepancy</v>
      </c>
      <c r="E1366" s="323"/>
      <c r="F1366" s="323"/>
      <c r="G1366" s="323"/>
      <c r="H1366" s="323"/>
      <c r="I1366" s="323"/>
      <c r="J1366" s="323"/>
      <c r="K1366" s="323"/>
      <c r="L1366" s="323"/>
      <c r="M1366" s="323"/>
      <c r="N1366" s="323"/>
      <c r="O1366" s="323"/>
      <c r="P1366" s="323"/>
      <c r="Q1366" s="323"/>
      <c r="R1366" s="323"/>
      <c r="S1366" s="323"/>
      <c r="T1366" s="323"/>
      <c r="U1366" s="323"/>
      <c r="V1366" s="105">
        <f>+V1245+V1268+V1313</f>
        <v>-313.70716742399998</v>
      </c>
      <c r="W1366" s="1407">
        <f>+W1245+W1268+W1313</f>
        <v>-268.89999999999998</v>
      </c>
      <c r="X1366" s="1407">
        <f>+X1245+X1268+X1313</f>
        <v>-560.51525799941703</v>
      </c>
      <c r="Y1366" s="1408">
        <f>FISCinyear!ID1041</f>
        <v>-12.524548132863121</v>
      </c>
      <c r="Z1366" s="1408">
        <f>FISCinyear!IG1041</f>
        <v>57.553077801269133</v>
      </c>
      <c r="AA1366" s="1408">
        <f>FISCinyear!IJ1041</f>
        <v>17.020435909165101</v>
      </c>
      <c r="AB1366" s="1408">
        <f>FISCinyear!IM1041</f>
        <v>-1.5251780534695811</v>
      </c>
      <c r="AC1366" s="1408">
        <f>FISCinyear!IP1041</f>
        <v>6.9586025522358668</v>
      </c>
      <c r="AD1366" s="1408">
        <f>FISCinyear!IS1041</f>
        <v>-28.86586888625434</v>
      </c>
      <c r="AE1366" s="1408">
        <f t="shared" ref="AE1366:AU1366" si="1635">AE1245-AE1268+AE1313</f>
        <v>7.5332428713313675</v>
      </c>
      <c r="AF1366" s="1408">
        <f t="shared" si="1635"/>
        <v>-18.111693869998589</v>
      </c>
      <c r="AG1366" s="1408">
        <f t="shared" si="1635"/>
        <v>-37.006258509779173</v>
      </c>
      <c r="AH1366" s="1408">
        <f t="shared" si="1635"/>
        <v>-20.192614386571222</v>
      </c>
      <c r="AI1366" s="1408">
        <f t="shared" si="1635"/>
        <v>65.914621190189109</v>
      </c>
      <c r="AJ1366" s="1408">
        <f t="shared" si="1635"/>
        <v>10.300877266082125</v>
      </c>
      <c r="AK1366" s="1408">
        <f t="shared" si="1635"/>
        <v>0</v>
      </c>
      <c r="AL1366" s="1408">
        <f t="shared" si="1635"/>
        <v>0</v>
      </c>
      <c r="AM1366" s="1408">
        <f t="shared" si="1635"/>
        <v>0</v>
      </c>
      <c r="AN1366" s="1408">
        <f t="shared" si="1635"/>
        <v>0</v>
      </c>
      <c r="AO1366" s="1408">
        <f t="shared" si="1635"/>
        <v>0</v>
      </c>
      <c r="AP1366" s="1408">
        <f t="shared" si="1635"/>
        <v>0</v>
      </c>
      <c r="AQ1366" s="1408">
        <f t="shared" si="1635"/>
        <v>0</v>
      </c>
      <c r="AR1366" s="1408">
        <f t="shared" si="1635"/>
        <v>0</v>
      </c>
      <c r="AS1366" s="1408">
        <f t="shared" si="1635"/>
        <v>0</v>
      </c>
      <c r="AT1366" s="1408">
        <f t="shared" si="1635"/>
        <v>0</v>
      </c>
      <c r="AU1366" s="1408">
        <f t="shared" si="1635"/>
        <v>221.07158900251034</v>
      </c>
      <c r="AV1366" s="1408" t="e">
        <f t="shared" si="1585"/>
        <v>#DIV/0!</v>
      </c>
      <c r="AW1366" s="1916"/>
      <c r="AX1366" s="1916"/>
      <c r="AY1366" s="1916"/>
      <c r="AZ1366" s="1916"/>
      <c r="BA1366" s="1916"/>
      <c r="BB1366" s="1916"/>
      <c r="BC1366" s="1916"/>
      <c r="BD1366" s="1916"/>
      <c r="BE1366" s="1916"/>
      <c r="BF1366" s="1916"/>
      <c r="BG1366" s="1916"/>
      <c r="BH1366" s="1915"/>
    </row>
    <row r="1367" spans="1:125" ht="15" customHeight="1">
      <c r="A1367" s="1"/>
      <c r="B1367" s="1"/>
      <c r="C1367" s="1"/>
      <c r="D1367" s="1667" t="s">
        <v>3310</v>
      </c>
      <c r="E1367" s="1668"/>
      <c r="F1367" s="1668"/>
      <c r="G1367" s="1668"/>
      <c r="H1367" s="1668"/>
      <c r="I1367" s="1668"/>
      <c r="J1367" s="1668"/>
      <c r="K1367" s="1668"/>
      <c r="L1367" s="1668"/>
      <c r="M1367" s="1668"/>
      <c r="N1367" s="1668"/>
      <c r="O1367" s="1668"/>
      <c r="P1367" s="1668"/>
      <c r="Q1367" s="1668"/>
      <c r="R1367" s="1668"/>
      <c r="S1367" s="1668"/>
      <c r="T1367" s="1668"/>
      <c r="U1367" s="1668"/>
      <c r="V1367" s="1669"/>
      <c r="W1367" s="1669"/>
      <c r="X1367" s="1669"/>
      <c r="Y1367" s="1670"/>
      <c r="Z1367" s="1671"/>
      <c r="AA1367" s="1671"/>
      <c r="AB1367" s="1671"/>
      <c r="AC1367" s="1671"/>
      <c r="AD1367" s="1671"/>
      <c r="AE1367" s="1671"/>
      <c r="AF1367" s="1671"/>
      <c r="AG1367" s="1671"/>
      <c r="AH1367" s="1671">
        <v>-1090.5037619428024</v>
      </c>
      <c r="AI1367" s="1671">
        <v>-1113.5275759053932</v>
      </c>
      <c r="AJ1367" s="1671">
        <v>-913.91647617676131</v>
      </c>
      <c r="AK1367" s="1671">
        <v>-698.94119096299164</v>
      </c>
      <c r="AL1367" s="1672">
        <v>-728.20893030625939</v>
      </c>
      <c r="AM1367" s="1672">
        <v>-1131.8397529988906</v>
      </c>
      <c r="AN1367" s="1672">
        <v>-1130.8397529988899</v>
      </c>
      <c r="AO1367" s="1672">
        <v>-1129.8397529988899</v>
      </c>
      <c r="AP1367" s="1672">
        <v>-1128.8397529988899</v>
      </c>
      <c r="AQ1367" s="1672">
        <v>-1127.8397529988899</v>
      </c>
      <c r="AR1367" s="1672">
        <v>-1126.8397529988899</v>
      </c>
      <c r="AS1367" s="1672">
        <v>-1125.8397529988899</v>
      </c>
      <c r="AT1367" s="1672">
        <v>-1124.8397529988899</v>
      </c>
      <c r="AU1367" s="1672">
        <f t="shared" si="1584"/>
        <v>-1123.8406412247652</v>
      </c>
      <c r="AV1367" s="1672">
        <f t="shared" si="1585"/>
        <v>-8.8822587525116958E-4</v>
      </c>
      <c r="BC1367" s="1915"/>
      <c r="BD1367" s="1915"/>
      <c r="BE1367" s="1915"/>
      <c r="BF1367" s="1915"/>
      <c r="BG1367" s="1915"/>
      <c r="BH1367" s="1915"/>
    </row>
    <row r="1368" spans="1:125" ht="15" customHeight="1">
      <c r="A1368" s="1"/>
      <c r="B1368" s="1"/>
      <c r="C1368" s="1"/>
      <c r="D1368" s="1667" t="s">
        <v>3311</v>
      </c>
      <c r="E1368" s="1668"/>
      <c r="F1368" s="1668"/>
      <c r="G1368" s="1668"/>
      <c r="H1368" s="1668"/>
      <c r="I1368" s="1668"/>
      <c r="J1368" s="1668"/>
      <c r="K1368" s="1668"/>
      <c r="L1368" s="1668"/>
      <c r="M1368" s="1668"/>
      <c r="N1368" s="1668"/>
      <c r="O1368" s="1668"/>
      <c r="P1368" s="1668"/>
      <c r="Q1368" s="1668"/>
      <c r="R1368" s="1668"/>
      <c r="S1368" s="1668"/>
      <c r="T1368" s="1668"/>
      <c r="U1368" s="1668"/>
      <c r="V1368" s="1669"/>
      <c r="W1368" s="1669"/>
      <c r="X1368" s="1669"/>
      <c r="Y1368" s="1673"/>
      <c r="Z1368" s="1673"/>
      <c r="AA1368" s="1673"/>
      <c r="AB1368" s="1673"/>
      <c r="AC1368" s="1673"/>
      <c r="AD1368" s="1673"/>
      <c r="AE1368" s="1673"/>
      <c r="AF1368" s="1673"/>
      <c r="AG1368" s="1673"/>
      <c r="AH1368" s="1673">
        <f t="shared" ref="AH1368:AT1368" si="1636">AH1253-AH1367</f>
        <v>-26.483068430690309</v>
      </c>
      <c r="AI1368" s="1673">
        <f t="shared" si="1636"/>
        <v>-114.68338854043941</v>
      </c>
      <c r="AJ1368" s="1673">
        <f t="shared" si="1636"/>
        <v>-264.40822049620647</v>
      </c>
      <c r="AK1368" s="1673">
        <f t="shared" si="1636"/>
        <v>-750.0233129255007</v>
      </c>
      <c r="AL1368" s="1673">
        <f t="shared" si="1636"/>
        <v>-744.04167259822225</v>
      </c>
      <c r="AM1368" s="1673">
        <f t="shared" si="1636"/>
        <v>-312.56700346516709</v>
      </c>
      <c r="AN1368" s="1673">
        <f t="shared" si="1636"/>
        <v>31.645772936443109</v>
      </c>
      <c r="AO1368" s="1673">
        <f t="shared" si="1636"/>
        <v>-123.75300323777674</v>
      </c>
      <c r="AP1368" s="1673">
        <f t="shared" si="1636"/>
        <v>-267.88812674585006</v>
      </c>
      <c r="AQ1368" s="1673">
        <f t="shared" si="1636"/>
        <v>-546.37569915383938</v>
      </c>
      <c r="AR1368" s="1673">
        <f t="shared" si="1636"/>
        <v>-488.90334917982454</v>
      </c>
      <c r="AS1368" s="1673">
        <f t="shared" si="1636"/>
        <v>-1099.0114247470608</v>
      </c>
      <c r="AT1368" s="1673">
        <f t="shared" si="1636"/>
        <v>-1619.6639920154255</v>
      </c>
      <c r="AU1368" s="1673">
        <f t="shared" si="1584"/>
        <v>-2386.9737729388057</v>
      </c>
      <c r="AV1368" s="1673">
        <f t="shared" si="1585"/>
        <v>0.47374627373704836</v>
      </c>
    </row>
    <row r="1369" spans="1:125" s="2064" customFormat="1">
      <c r="C1369" s="2078"/>
      <c r="D1369" s="2076" t="s">
        <v>3717</v>
      </c>
      <c r="E1369" s="1053"/>
      <c r="F1369" s="1053"/>
      <c r="G1369" s="1053"/>
      <c r="H1369" s="1053"/>
      <c r="I1369" s="1053"/>
      <c r="J1369" s="1053"/>
      <c r="K1369" s="1053"/>
      <c r="L1369" s="1053"/>
      <c r="M1369" s="1053"/>
      <c r="N1369" s="1053"/>
      <c r="O1369" s="1053"/>
      <c r="P1369" s="1053"/>
      <c r="Q1369" s="1053"/>
      <c r="R1369" s="1053"/>
      <c r="S1369" s="1053"/>
      <c r="T1369" s="1053"/>
      <c r="U1369" s="1053"/>
      <c r="V1369" s="2077">
        <f t="shared" ref="V1369:AA1370" si="1637">V1276</f>
        <v>0</v>
      </c>
      <c r="W1369" s="2077">
        <f t="shared" si="1637"/>
        <v>0</v>
      </c>
      <c r="X1369" s="2077">
        <f t="shared" si="1637"/>
        <v>0</v>
      </c>
      <c r="Y1369" s="2077">
        <f t="shared" si="1637"/>
        <v>0</v>
      </c>
      <c r="Z1369" s="2077">
        <f t="shared" si="1637"/>
        <v>0</v>
      </c>
      <c r="AA1369" s="2077">
        <f t="shared" si="1637"/>
        <v>0</v>
      </c>
      <c r="AB1369" s="2077">
        <f t="shared" ref="AB1369:AT1369" si="1638">-(AB1268-AB1288-AB1300)+AB1313-AB1344</f>
        <v>36.49659589009616</v>
      </c>
      <c r="AC1369" s="2077">
        <f t="shared" si="1638"/>
        <v>44.079905962634939</v>
      </c>
      <c r="AD1369" s="2077">
        <f t="shared" si="1638"/>
        <v>69.305109272649418</v>
      </c>
      <c r="AE1369" s="2077">
        <f t="shared" si="1638"/>
        <v>-101.57107391963427</v>
      </c>
      <c r="AF1369" s="2077">
        <f t="shared" si="1638"/>
        <v>210.30188420204126</v>
      </c>
      <c r="AG1369" s="2077">
        <f t="shared" si="1638"/>
        <v>-141.97146712804624</v>
      </c>
      <c r="AH1369" s="2077">
        <f t="shared" si="1638"/>
        <v>288.2855930263471</v>
      </c>
      <c r="AI1369" s="2077">
        <f t="shared" si="1638"/>
        <v>-13.088567749374306</v>
      </c>
      <c r="AJ1369" s="2077">
        <f t="shared" si="1638"/>
        <v>-166.55429045401434</v>
      </c>
      <c r="AK1369" s="2077">
        <f t="shared" si="1638"/>
        <v>30.274595798100336</v>
      </c>
      <c r="AL1369" s="2077">
        <f t="shared" si="1638"/>
        <v>126.22998591425858</v>
      </c>
      <c r="AM1369" s="2077">
        <f t="shared" si="1638"/>
        <v>310.8394438986852</v>
      </c>
      <c r="AN1369" s="2077">
        <f t="shared" si="1638"/>
        <v>130.74338398275154</v>
      </c>
      <c r="AO1369" s="2077">
        <f t="shared" si="1638"/>
        <v>458.4878660621207</v>
      </c>
      <c r="AP1369" s="2077">
        <f t="shared" si="1638"/>
        <v>408.41918462228023</v>
      </c>
      <c r="AQ1369" s="2077">
        <f t="shared" si="1638"/>
        <v>2061.2410632643505</v>
      </c>
      <c r="AR1369" s="2077">
        <f t="shared" si="1638"/>
        <v>1396.9126120330534</v>
      </c>
      <c r="AS1369" s="2077">
        <f t="shared" si="1638"/>
        <v>2093.8408637392045</v>
      </c>
      <c r="AT1369" s="2678">
        <f t="shared" si="1638"/>
        <v>2743.5433751435621</v>
      </c>
      <c r="AU1369" s="2678">
        <f t="shared" si="1584"/>
        <v>3594.8435154008184</v>
      </c>
      <c r="AV1369" s="2678">
        <f t="shared" si="1585"/>
        <v>0.31029221114928074</v>
      </c>
      <c r="AW1369" s="1"/>
      <c r="AX1369" s="1"/>
      <c r="AY1369" s="1"/>
      <c r="AZ1369" s="1"/>
      <c r="BA1369" s="1"/>
      <c r="BB1369" s="1"/>
      <c r="BC1369" s="1"/>
      <c r="BD1369" s="1"/>
      <c r="BE1369" s="1"/>
      <c r="BF1369" s="1"/>
      <c r="BG1369" s="1"/>
      <c r="BH1369" s="1"/>
      <c r="BI1369" s="1"/>
      <c r="BJ1369" s="1"/>
      <c r="BK1369" s="1"/>
      <c r="BL1369" s="1"/>
      <c r="BM1369" s="1"/>
      <c r="BN1369" s="1"/>
      <c r="BO1369" s="1"/>
      <c r="BP1369" s="1"/>
      <c r="BQ1369" s="1"/>
      <c r="BR1369" s="1"/>
      <c r="BS1369" s="1"/>
      <c r="BT1369" s="1"/>
      <c r="BU1369" s="1"/>
      <c r="BV1369" s="1"/>
      <c r="BW1369" s="1"/>
      <c r="BX1369" s="1"/>
      <c r="BY1369" s="1"/>
      <c r="BZ1369" s="1"/>
      <c r="CA1369" s="1"/>
      <c r="CB1369" s="1"/>
      <c r="CC1369" s="1"/>
      <c r="CD1369" s="1"/>
      <c r="CE1369" s="1"/>
      <c r="CF1369" s="1"/>
      <c r="CG1369" s="1"/>
      <c r="CH1369" s="1"/>
      <c r="CI1369" s="1"/>
      <c r="CJ1369" s="1"/>
      <c r="CK1369" s="1"/>
      <c r="CL1369" s="1"/>
      <c r="CM1369" s="1"/>
      <c r="CN1369" s="1"/>
      <c r="CO1369" s="1"/>
      <c r="CP1369" s="1"/>
      <c r="CQ1369" s="1"/>
      <c r="CR1369" s="1"/>
      <c r="CS1369" s="1"/>
      <c r="CT1369" s="1"/>
      <c r="CU1369" s="1"/>
      <c r="CV1369" s="1"/>
      <c r="CW1369" s="1"/>
      <c r="CX1369" s="1"/>
      <c r="CY1369" s="1"/>
      <c r="CZ1369" s="1"/>
      <c r="DA1369" s="1"/>
      <c r="DB1369" s="1"/>
      <c r="DC1369" s="1"/>
      <c r="DD1369" s="1"/>
      <c r="DE1369" s="1"/>
      <c r="DF1369" s="1"/>
      <c r="DG1369" s="1"/>
      <c r="DH1369" s="1"/>
      <c r="DI1369" s="1"/>
      <c r="DJ1369" s="1"/>
      <c r="DK1369" s="1"/>
      <c r="DL1369" s="1"/>
      <c r="DM1369" s="1"/>
      <c r="DN1369" s="1"/>
      <c r="DO1369" s="1"/>
      <c r="DP1369" s="1"/>
      <c r="DQ1369" s="1"/>
      <c r="DR1369" s="1"/>
      <c r="DS1369" s="1"/>
      <c r="DT1369" s="1"/>
      <c r="DU1369" s="1"/>
    </row>
    <row r="1370" spans="1:125" s="2064" customFormat="1">
      <c r="C1370" s="2078"/>
      <c r="D1370" s="2076" t="s">
        <v>3718</v>
      </c>
      <c r="E1370" s="1053"/>
      <c r="F1370" s="1053"/>
      <c r="G1370" s="1053"/>
      <c r="H1370" s="1053"/>
      <c r="I1370" s="1053"/>
      <c r="J1370" s="1053"/>
      <c r="K1370" s="1053"/>
      <c r="L1370" s="1053"/>
      <c r="M1370" s="1053"/>
      <c r="N1370" s="1053"/>
      <c r="O1370" s="1053"/>
      <c r="P1370" s="1053"/>
      <c r="Q1370" s="1053"/>
      <c r="R1370" s="1053"/>
      <c r="S1370" s="1053"/>
      <c r="T1370" s="1053"/>
      <c r="U1370" s="1053"/>
      <c r="V1370" s="2077">
        <f t="shared" si="1637"/>
        <v>0</v>
      </c>
      <c r="W1370" s="2077">
        <f t="shared" si="1637"/>
        <v>0</v>
      </c>
      <c r="X1370" s="2077">
        <f t="shared" si="1637"/>
        <v>0</v>
      </c>
      <c r="Y1370" s="2077">
        <f t="shared" si="1637"/>
        <v>0</v>
      </c>
      <c r="Z1370" s="2077">
        <f t="shared" si="1637"/>
        <v>0</v>
      </c>
      <c r="AA1370" s="2077">
        <f t="shared" si="1637"/>
        <v>0</v>
      </c>
      <c r="AB1370" s="2077">
        <f t="shared" ref="AB1370:AT1370" si="1639">-AB1311+AB1344</f>
        <v>322.98893439137123</v>
      </c>
      <c r="AC1370" s="2077">
        <f t="shared" si="1639"/>
        <v>356.02913087722652</v>
      </c>
      <c r="AD1370" s="2077">
        <f t="shared" si="1639"/>
        <v>448.31196664374346</v>
      </c>
      <c r="AE1370" s="2077">
        <f t="shared" si="1639"/>
        <v>954.0196915780989</v>
      </c>
      <c r="AF1370" s="2077">
        <f t="shared" si="1639"/>
        <v>657.27244012948665</v>
      </c>
      <c r="AG1370" s="2077">
        <f t="shared" si="1639"/>
        <v>877.8043802143934</v>
      </c>
      <c r="AH1370" s="2077">
        <f t="shared" si="1639"/>
        <v>876.62294773459439</v>
      </c>
      <c r="AI1370" s="2077">
        <f t="shared" si="1639"/>
        <v>1307.214153385396</v>
      </c>
      <c r="AJ1370" s="2077">
        <f t="shared" si="1639"/>
        <v>1355.1798643930642</v>
      </c>
      <c r="AK1370" s="2077">
        <f t="shared" si="1639"/>
        <v>1418.689908090392</v>
      </c>
      <c r="AL1370" s="2077">
        <f t="shared" si="1639"/>
        <v>1346.0206169902231</v>
      </c>
      <c r="AM1370" s="2077">
        <f t="shared" si="1639"/>
        <v>1133.5673125653725</v>
      </c>
      <c r="AN1370" s="2077">
        <f t="shared" si="1639"/>
        <v>968.45059607969506</v>
      </c>
      <c r="AO1370" s="2077">
        <f t="shared" si="1639"/>
        <v>795.10489017454597</v>
      </c>
      <c r="AP1370" s="2077">
        <f t="shared" si="1639"/>
        <v>988.30869512245954</v>
      </c>
      <c r="AQ1370" s="2077">
        <f t="shared" si="1639"/>
        <v>-387.0256111116214</v>
      </c>
      <c r="AR1370" s="2077">
        <f t="shared" si="1639"/>
        <v>218.83049014566086</v>
      </c>
      <c r="AS1370" s="2077">
        <f t="shared" si="1639"/>
        <v>131.01031400674674</v>
      </c>
      <c r="AT1370" s="2678">
        <f t="shared" si="1639"/>
        <v>0.96036987075399338</v>
      </c>
      <c r="AU1370" s="2678">
        <f t="shared" si="1584"/>
        <v>7.0399822765446146E-3</v>
      </c>
      <c r="AV1370" s="2678">
        <f t="shared" si="1585"/>
        <v>-0.99266950943492482</v>
      </c>
      <c r="AW1370" s="1"/>
      <c r="AX1370" s="1"/>
      <c r="AY1370" s="1"/>
      <c r="AZ1370" s="1"/>
      <c r="BA1370" s="1"/>
      <c r="BB1370" s="1"/>
      <c r="BC1370" s="1"/>
      <c r="BD1370" s="1"/>
      <c r="BE1370" s="1"/>
      <c r="BF1370" s="1"/>
      <c r="BG1370" s="1"/>
      <c r="BH1370" s="1"/>
      <c r="BI1370" s="1"/>
      <c r="BJ1370" s="1"/>
      <c r="BK1370" s="1"/>
      <c r="BL1370" s="1"/>
      <c r="BM1370" s="1"/>
      <c r="BN1370" s="1"/>
      <c r="BO1370" s="1"/>
      <c r="BP1370" s="1"/>
      <c r="BQ1370" s="1"/>
      <c r="BR1370" s="1"/>
      <c r="BS1370" s="1"/>
      <c r="BT1370" s="1"/>
      <c r="BU1370" s="1"/>
      <c r="BV1370" s="1"/>
      <c r="BW1370" s="1"/>
      <c r="BX1370" s="1"/>
      <c r="BY1370" s="1"/>
      <c r="BZ1370" s="1"/>
      <c r="CA1370" s="1"/>
      <c r="CB1370" s="1"/>
      <c r="CC1370" s="1"/>
      <c r="CD1370" s="1"/>
      <c r="CE1370" s="1"/>
      <c r="CF1370" s="1"/>
      <c r="CG1370" s="1"/>
      <c r="CH1370" s="1"/>
      <c r="CI1370" s="1"/>
      <c r="CJ1370" s="1"/>
      <c r="CK1370" s="1"/>
      <c r="CL1370" s="1"/>
      <c r="CM1370" s="1"/>
      <c r="CN1370" s="1"/>
      <c r="CO1370" s="1"/>
      <c r="CP1370" s="1"/>
      <c r="CQ1370" s="1"/>
      <c r="CR1370" s="1"/>
      <c r="CS1370" s="1"/>
      <c r="CT1370" s="1"/>
      <c r="CU1370" s="1"/>
      <c r="CV1370" s="1"/>
      <c r="CW1370" s="1"/>
      <c r="CX1370" s="1"/>
      <c r="CY1370" s="1"/>
      <c r="CZ1370" s="1"/>
      <c r="DA1370" s="1"/>
      <c r="DB1370" s="1"/>
      <c r="DC1370" s="1"/>
      <c r="DD1370" s="1"/>
      <c r="DE1370" s="1"/>
      <c r="DF1370" s="1"/>
      <c r="DG1370" s="1"/>
      <c r="DH1370" s="1"/>
      <c r="DI1370" s="1"/>
      <c r="DJ1370" s="1"/>
      <c r="DK1370" s="1"/>
      <c r="DL1370" s="1"/>
      <c r="DM1370" s="1"/>
      <c r="DN1370" s="1"/>
      <c r="DO1370" s="1"/>
      <c r="DP1370" s="1"/>
      <c r="DQ1370" s="1"/>
      <c r="DR1370" s="1"/>
      <c r="DS1370" s="1"/>
      <c r="DT1370" s="1"/>
      <c r="DU1370" s="1"/>
    </row>
    <row r="1371" spans="1:125">
      <c r="A1371" s="1"/>
      <c r="B1371" s="1"/>
      <c r="C1371" s="1"/>
      <c r="D1371" s="364"/>
      <c r="E1371" s="323"/>
      <c r="F1371" s="279"/>
      <c r="G1371" s="279"/>
      <c r="H1371" s="279"/>
      <c r="I1371" s="279"/>
      <c r="J1371" s="279"/>
      <c r="K1371" s="279"/>
      <c r="L1371" s="279"/>
      <c r="M1371" s="279"/>
      <c r="N1371" s="279"/>
      <c r="O1371" s="279"/>
      <c r="P1371" s="279"/>
      <c r="Q1371" s="279"/>
      <c r="R1371" s="279"/>
      <c r="S1371" s="279"/>
      <c r="T1371" s="279"/>
      <c r="U1371" s="279"/>
      <c r="V1371" s="105"/>
      <c r="W1371" s="1407"/>
      <c r="X1371" s="1407"/>
      <c r="Y1371" s="1596"/>
      <c r="Z1371" s="1596"/>
      <c r="AA1371" s="1596"/>
      <c r="AB1371" s="1596"/>
      <c r="AC1371" s="1596"/>
      <c r="AD1371" s="1596"/>
      <c r="AE1371" s="1596"/>
      <c r="AF1371" s="1596"/>
      <c r="AG1371" s="1596"/>
      <c r="AH1371" s="1596">
        <f>AH1369+AH1370-AH1366</f>
        <v>1185.1011551475126</v>
      </c>
      <c r="AI1371" s="1596"/>
      <c r="AJ1371" s="1596"/>
      <c r="AK1371" s="1596"/>
      <c r="AL1371" s="1596"/>
      <c r="AM1371" s="1596"/>
      <c r="AN1371" s="1596"/>
      <c r="AO1371" s="1596"/>
      <c r="AP1371" s="1596"/>
      <c r="AQ1371" s="1596"/>
      <c r="AR1371" s="1596"/>
      <c r="AS1371" s="1596"/>
      <c r="AT1371" s="1596"/>
      <c r="AU1371" s="1596"/>
      <c r="AV1371" s="1596" t="e">
        <f t="shared" si="1585"/>
        <v>#DIV/0!</v>
      </c>
    </row>
    <row r="1372" spans="1:125">
      <c r="A1372" s="1"/>
      <c r="B1372" s="1"/>
      <c r="C1372" s="1"/>
      <c r="D1372" s="1599" t="s">
        <v>3234</v>
      </c>
      <c r="E1372" s="1600"/>
      <c r="F1372" s="1601"/>
      <c r="G1372" s="1601"/>
      <c r="H1372" s="1601"/>
      <c r="I1372" s="1601"/>
      <c r="J1372" s="1601"/>
      <c r="K1372" s="1601"/>
      <c r="L1372" s="1601"/>
      <c r="M1372" s="1601"/>
      <c r="N1372" s="1601"/>
      <c r="O1372" s="1601"/>
      <c r="P1372" s="1601"/>
      <c r="Q1372" s="1601"/>
      <c r="R1372" s="1601"/>
      <c r="S1372" s="1601"/>
      <c r="T1372" s="1601"/>
      <c r="U1372" s="1601"/>
      <c r="V1372" s="1602"/>
      <c r="W1372" s="1603"/>
      <c r="X1372" s="1603"/>
      <c r="Y1372" s="1604"/>
      <c r="Z1372" s="1604"/>
      <c r="AA1372" s="1604"/>
      <c r="AB1372" s="1604"/>
      <c r="AC1372" s="1604"/>
      <c r="AD1372" s="1604"/>
      <c r="AE1372" s="1604"/>
      <c r="AF1372" s="1604"/>
      <c r="AG1372" s="1604"/>
      <c r="AH1372" s="1604"/>
      <c r="AI1372" s="1604"/>
      <c r="AJ1372" s="1604"/>
      <c r="AK1372" s="1605"/>
      <c r="AL1372" s="1605"/>
      <c r="AM1372" s="1605"/>
      <c r="AN1372" s="1605"/>
      <c r="AO1372" s="1605"/>
      <c r="AP1372" s="1596"/>
      <c r="AQ1372" s="1596"/>
      <c r="AR1372" s="1596"/>
      <c r="AS1372" s="1596"/>
      <c r="AT1372" s="1596"/>
      <c r="AU1372" s="1596"/>
      <c r="AV1372" s="1596" t="e">
        <f t="shared" si="1585"/>
        <v>#DIV/0!</v>
      </c>
    </row>
    <row r="1373" spans="1:125">
      <c r="A1373" s="1"/>
      <c r="B1373" s="1"/>
      <c r="C1373" s="1"/>
      <c r="D1373" s="1606" t="s">
        <v>3235</v>
      </c>
      <c r="E1373" s="323"/>
      <c r="F1373" s="279"/>
      <c r="G1373" s="279"/>
      <c r="H1373" s="279"/>
      <c r="I1373" s="279"/>
      <c r="J1373" s="279"/>
      <c r="K1373" s="279"/>
      <c r="L1373" s="279"/>
      <c r="M1373" s="279"/>
      <c r="N1373" s="279"/>
      <c r="O1373" s="279"/>
      <c r="P1373" s="279"/>
      <c r="Q1373" s="279"/>
      <c r="R1373" s="279"/>
      <c r="S1373" s="279"/>
      <c r="T1373" s="279"/>
      <c r="U1373" s="279"/>
      <c r="V1373" s="105"/>
      <c r="W1373" s="1407"/>
      <c r="X1373" s="1407"/>
      <c r="Y1373" s="1596"/>
      <c r="Z1373" s="1596"/>
      <c r="AA1373" s="1596"/>
      <c r="AB1373" s="1596"/>
      <c r="AC1373" s="1596">
        <f>AC1374-(AC1375+AC1376)</f>
        <v>48.186332582787003</v>
      </c>
      <c r="AD1373" s="1596">
        <f t="shared" ref="AD1373:AO1373" si="1640">AD1374-(AD1375+AD1376)</f>
        <v>38.635839439861542</v>
      </c>
      <c r="AE1373" s="1596">
        <f t="shared" si="1640"/>
        <v>307.54245797163463</v>
      </c>
      <c r="AF1373" s="1596">
        <f t="shared" si="1640"/>
        <v>-19.807398997041332</v>
      </c>
      <c r="AG1373" s="1596">
        <f t="shared" si="1640"/>
        <v>12.311671267618749</v>
      </c>
      <c r="AH1373" s="1596">
        <f t="shared" si="1640"/>
        <v>-31.499633252327129</v>
      </c>
      <c r="AI1373" s="1596">
        <f t="shared" si="1640"/>
        <v>-17.546216210074427</v>
      </c>
      <c r="AJ1373" s="1596">
        <f t="shared" si="1640"/>
        <v>110.88759045401424</v>
      </c>
      <c r="AK1373" s="1607">
        <f t="shared" si="1640"/>
        <v>51.561105196284018</v>
      </c>
      <c r="AL1373" s="1607">
        <f t="shared" si="1640"/>
        <v>4.4102109572037591</v>
      </c>
      <c r="AM1373" s="1607">
        <f t="shared" si="1640"/>
        <v>-39.661061648138428</v>
      </c>
      <c r="AN1373" s="1607">
        <f t="shared" si="1640"/>
        <v>36.301749081245859</v>
      </c>
      <c r="AO1373" s="1607">
        <f t="shared" si="1640"/>
        <v>-110.63385378741931</v>
      </c>
      <c r="AP1373" s="1607">
        <f t="shared" ref="AP1373:AT1373" si="1641">AP1374-(AP1375+AP1376)</f>
        <v>-77.426866315336042</v>
      </c>
      <c r="AQ1373" s="1607">
        <f t="shared" si="1641"/>
        <v>-842.0839056342154</v>
      </c>
      <c r="AR1373" s="1607">
        <f t="shared" si="1641"/>
        <v>-500.23144122043766</v>
      </c>
      <c r="AS1373" s="1607">
        <f t="shared" si="1641"/>
        <v>-805.67883136142621</v>
      </c>
      <c r="AT1373" s="1607">
        <f t="shared" si="1641"/>
        <v>-1069.1973184858537</v>
      </c>
      <c r="AU1373" s="1607">
        <f t="shared" si="1584"/>
        <v>-1418.9064691269143</v>
      </c>
      <c r="AV1373" s="1607">
        <f t="shared" si="1585"/>
        <v>0.32707634465105295</v>
      </c>
    </row>
    <row r="1374" spans="1:125">
      <c r="A1374" s="1"/>
      <c r="B1374" s="1"/>
      <c r="C1374" s="1"/>
      <c r="D1374" s="1608" t="s">
        <v>3236</v>
      </c>
      <c r="E1374" s="323"/>
      <c r="F1374" s="279"/>
      <c r="G1374" s="279"/>
      <c r="H1374" s="279"/>
      <c r="I1374" s="279"/>
      <c r="J1374" s="279"/>
      <c r="K1374" s="279"/>
      <c r="L1374" s="279"/>
      <c r="M1374" s="279"/>
      <c r="N1374" s="279"/>
      <c r="O1374" s="279"/>
      <c r="P1374" s="279"/>
      <c r="Q1374" s="279"/>
      <c r="R1374" s="279"/>
      <c r="S1374" s="279"/>
      <c r="T1374" s="279"/>
      <c r="U1374" s="279"/>
      <c r="V1374" s="105"/>
      <c r="W1374" s="1407"/>
      <c r="X1374" s="1407"/>
      <c r="Y1374" s="1596"/>
      <c r="Z1374" s="1596"/>
      <c r="AA1374" s="1596"/>
      <c r="AB1374" s="1596"/>
      <c r="AC1374" s="1596">
        <f t="shared" ref="AC1374:AT1374" si="1642">AC1271</f>
        <v>48.186332582787003</v>
      </c>
      <c r="AD1374" s="1596">
        <f t="shared" si="1642"/>
        <v>38.635839439861542</v>
      </c>
      <c r="AE1374" s="1596">
        <f t="shared" si="1642"/>
        <v>307.54245797163463</v>
      </c>
      <c r="AF1374" s="1596">
        <f t="shared" si="1642"/>
        <v>43.164021002958634</v>
      </c>
      <c r="AG1374" s="1596">
        <f t="shared" si="1642"/>
        <v>208.70955126761885</v>
      </c>
      <c r="AH1374" s="1596">
        <f t="shared" si="1642"/>
        <v>-77.843979342327088</v>
      </c>
      <c r="AI1374" s="1596">
        <f t="shared" si="1642"/>
        <v>-12.597342287074412</v>
      </c>
      <c r="AJ1374" s="1596">
        <f t="shared" si="1642"/>
        <v>200.89352965501428</v>
      </c>
      <c r="AK1374" s="1607">
        <f t="shared" si="1642"/>
        <v>132.16000809487002</v>
      </c>
      <c r="AL1374" s="1607">
        <f t="shared" si="1642"/>
        <v>144.24685369275628</v>
      </c>
      <c r="AM1374" s="1607">
        <f t="shared" si="1642"/>
        <v>129.98773308783692</v>
      </c>
      <c r="AN1374" s="1607">
        <f t="shared" si="1642"/>
        <v>128.32685628077587</v>
      </c>
      <c r="AO1374" s="1607">
        <f t="shared" si="1642"/>
        <v>123.72341754362701</v>
      </c>
      <c r="AP1374" s="1607">
        <f t="shared" si="1642"/>
        <v>137.92038704985382</v>
      </c>
      <c r="AQ1374" s="1607">
        <f t="shared" si="1642"/>
        <v>154.65976174283799</v>
      </c>
      <c r="AR1374" s="1607">
        <f t="shared" si="1642"/>
        <v>172.27269574594627</v>
      </c>
      <c r="AS1374" s="1607">
        <f t="shared" si="1642"/>
        <v>192.28295120006771</v>
      </c>
      <c r="AT1374" s="1607">
        <f t="shared" si="1642"/>
        <v>246.81003027507239</v>
      </c>
      <c r="AU1374" s="1607">
        <f t="shared" si="1584"/>
        <v>316.79975090979724</v>
      </c>
      <c r="AV1374" s="1607">
        <f t="shared" si="1585"/>
        <v>0.28357729447510938</v>
      </c>
    </row>
    <row r="1375" spans="1:125">
      <c r="A1375" s="1"/>
      <c r="B1375" s="1"/>
      <c r="C1375" s="1"/>
      <c r="D1375" s="1608" t="s">
        <v>3237</v>
      </c>
      <c r="E1375" s="323"/>
      <c r="F1375" s="279"/>
      <c r="G1375" s="279"/>
      <c r="H1375" s="279"/>
      <c r="I1375" s="279"/>
      <c r="J1375" s="279"/>
      <c r="K1375" s="279"/>
      <c r="L1375" s="279"/>
      <c r="M1375" s="279"/>
      <c r="N1375" s="279"/>
      <c r="O1375" s="279"/>
      <c r="P1375" s="279"/>
      <c r="Q1375" s="279"/>
      <c r="R1375" s="279"/>
      <c r="S1375" s="279"/>
      <c r="T1375" s="279"/>
      <c r="U1375" s="279"/>
      <c r="V1375" s="105"/>
      <c r="W1375" s="1407"/>
      <c r="X1375" s="1407"/>
      <c r="Y1375" s="1596"/>
      <c r="Z1375" s="1596"/>
      <c r="AA1375" s="1596"/>
      <c r="AB1375" s="1596"/>
      <c r="AC1375" s="1596">
        <f t="shared" ref="AC1375:AU1375" si="1643">AC1317+AC1322+AC1325+AC1336</f>
        <v>0</v>
      </c>
      <c r="AD1375" s="1596">
        <f t="shared" si="1643"/>
        <v>0</v>
      </c>
      <c r="AE1375" s="1596">
        <f t="shared" si="1643"/>
        <v>0</v>
      </c>
      <c r="AF1375" s="1596">
        <f t="shared" si="1643"/>
        <v>0</v>
      </c>
      <c r="AG1375" s="1596">
        <f t="shared" si="1643"/>
        <v>0</v>
      </c>
      <c r="AH1375" s="1596">
        <f t="shared" si="1643"/>
        <v>0</v>
      </c>
      <c r="AI1375" s="1596">
        <f t="shared" si="1643"/>
        <v>0</v>
      </c>
      <c r="AJ1375" s="1596">
        <f t="shared" si="1643"/>
        <v>0</v>
      </c>
      <c r="AK1375" s="1607">
        <f t="shared" si="1643"/>
        <v>0</v>
      </c>
      <c r="AL1375" s="1607">
        <f t="shared" si="1643"/>
        <v>0</v>
      </c>
      <c r="AM1375" s="1607">
        <f t="shared" si="1643"/>
        <v>0</v>
      </c>
      <c r="AN1375" s="1607">
        <f t="shared" si="1643"/>
        <v>0</v>
      </c>
      <c r="AO1375" s="1607">
        <f t="shared" si="1643"/>
        <v>0</v>
      </c>
      <c r="AP1375" s="1607">
        <f t="shared" si="1643"/>
        <v>0</v>
      </c>
      <c r="AQ1375" s="1607">
        <f t="shared" si="1643"/>
        <v>0</v>
      </c>
      <c r="AR1375" s="1607">
        <f t="shared" si="1643"/>
        <v>0</v>
      </c>
      <c r="AS1375" s="1607">
        <f t="shared" si="1643"/>
        <v>0</v>
      </c>
      <c r="AT1375" s="1607">
        <f t="shared" si="1643"/>
        <v>0</v>
      </c>
      <c r="AU1375" s="1607">
        <f t="shared" si="1643"/>
        <v>0</v>
      </c>
      <c r="AV1375" s="1607" t="e">
        <f t="shared" si="1585"/>
        <v>#DIV/0!</v>
      </c>
    </row>
    <row r="1376" spans="1:125">
      <c r="A1376" s="1"/>
      <c r="B1376" s="1"/>
      <c r="C1376" s="1"/>
      <c r="D1376" s="1609" t="s">
        <v>3238</v>
      </c>
      <c r="E1376" s="1610"/>
      <c r="F1376" s="1611"/>
      <c r="G1376" s="1611"/>
      <c r="H1376" s="1611"/>
      <c r="I1376" s="1611"/>
      <c r="J1376" s="1611"/>
      <c r="K1376" s="1611"/>
      <c r="L1376" s="1611"/>
      <c r="M1376" s="1611"/>
      <c r="N1376" s="1611"/>
      <c r="O1376" s="1611"/>
      <c r="P1376" s="1611"/>
      <c r="Q1376" s="1611"/>
      <c r="R1376" s="1611"/>
      <c r="S1376" s="1611"/>
      <c r="T1376" s="1611"/>
      <c r="U1376" s="1611"/>
      <c r="V1376" s="1612"/>
      <c r="W1376" s="1613"/>
      <c r="X1376" s="1613"/>
      <c r="Y1376" s="1614"/>
      <c r="Z1376" s="1614"/>
      <c r="AA1376" s="1614"/>
      <c r="AB1376" s="1614"/>
      <c r="AC1376" s="1614">
        <f t="shared" ref="AC1376:AT1376" si="1644">AC1318+AC1323+AC1326+AC1337</f>
        <v>0</v>
      </c>
      <c r="AD1376" s="1614">
        <f t="shared" si="1644"/>
        <v>0</v>
      </c>
      <c r="AE1376" s="1614">
        <f t="shared" si="1644"/>
        <v>0</v>
      </c>
      <c r="AF1376" s="1614">
        <f t="shared" si="1644"/>
        <v>62.971419999999966</v>
      </c>
      <c r="AG1376" s="1614">
        <f t="shared" si="1644"/>
        <v>196.3978800000001</v>
      </c>
      <c r="AH1376" s="1614">
        <f t="shared" si="1644"/>
        <v>-46.344346089999959</v>
      </c>
      <c r="AI1376" s="1614">
        <f t="shared" si="1644"/>
        <v>4.9488739230000149</v>
      </c>
      <c r="AJ1376" s="1614">
        <f t="shared" si="1644"/>
        <v>90.005939201000032</v>
      </c>
      <c r="AK1376" s="1615">
        <f t="shared" si="1644"/>
        <v>80.598902898586005</v>
      </c>
      <c r="AL1376" s="1615">
        <f t="shared" si="1644"/>
        <v>139.83664273555252</v>
      </c>
      <c r="AM1376" s="1615">
        <f t="shared" si="1644"/>
        <v>169.64879473597534</v>
      </c>
      <c r="AN1376" s="1615">
        <f t="shared" si="1644"/>
        <v>92.025107199530012</v>
      </c>
      <c r="AO1376" s="1615">
        <f t="shared" si="1644"/>
        <v>234.35727133104632</v>
      </c>
      <c r="AP1376" s="1615">
        <f t="shared" si="1644"/>
        <v>215.34725336518986</v>
      </c>
      <c r="AQ1376" s="1615">
        <f t="shared" si="1644"/>
        <v>996.74366737705338</v>
      </c>
      <c r="AR1376" s="1615">
        <f t="shared" si="1644"/>
        <v>672.50413696638395</v>
      </c>
      <c r="AS1376" s="1615">
        <f t="shared" si="1644"/>
        <v>997.96178256149392</v>
      </c>
      <c r="AT1376" s="1615">
        <f t="shared" si="1644"/>
        <v>1316.0073487609261</v>
      </c>
      <c r="AU1376" s="1615">
        <f t="shared" si="1584"/>
        <v>1735.4124899928665</v>
      </c>
      <c r="AV1376" s="1615">
        <f t="shared" si="1585"/>
        <v>0.31869513618356859</v>
      </c>
    </row>
    <row r="1377" spans="1:253" s="1688" customFormat="1">
      <c r="D1377" s="1689"/>
      <c r="E1377" s="1690"/>
      <c r="F1377" s="1691"/>
      <c r="G1377" s="1691"/>
      <c r="H1377" s="1691"/>
      <c r="I1377" s="1691"/>
      <c r="J1377" s="1691"/>
      <c r="K1377" s="1691"/>
      <c r="L1377" s="1691"/>
      <c r="M1377" s="1691"/>
      <c r="N1377" s="1691"/>
      <c r="O1377" s="1691"/>
      <c r="P1377" s="1691"/>
      <c r="Q1377" s="1691"/>
      <c r="R1377" s="1691"/>
      <c r="S1377" s="1691"/>
      <c r="T1377" s="1691"/>
      <c r="U1377" s="1691"/>
      <c r="V1377" s="1692"/>
      <c r="W1377" s="1692"/>
      <c r="X1377" s="1692"/>
      <c r="Y1377" s="1693"/>
      <c r="Z1377" s="1693"/>
      <c r="AA1377" s="1693"/>
      <c r="AB1377" s="1693"/>
      <c r="AC1377" s="1693"/>
      <c r="AD1377" s="1693"/>
      <c r="AE1377" s="1693"/>
      <c r="AF1377" s="1693"/>
      <c r="AG1377" s="1693"/>
      <c r="AH1377" s="1693"/>
      <c r="AI1377" s="1693"/>
      <c r="AJ1377" s="1693"/>
      <c r="AK1377" s="1693"/>
      <c r="AL1377" s="1693"/>
      <c r="AM1377" s="1693"/>
      <c r="AN1377" s="1693"/>
      <c r="AO1377" s="1693"/>
      <c r="AP1377" s="1693"/>
      <c r="AQ1377" s="1693"/>
      <c r="AR1377" s="1693"/>
      <c r="AS1377" s="1693"/>
      <c r="AT1377" s="1693"/>
      <c r="AU1377" s="1693"/>
      <c r="AV1377" s="1693"/>
      <c r="AW1377" s="1"/>
      <c r="AX1377" s="1"/>
      <c r="AY1377" s="1"/>
      <c r="AZ1377" s="1"/>
      <c r="BA1377" s="1"/>
      <c r="BB1377" s="1"/>
      <c r="BC1377" s="1"/>
      <c r="BD1377" s="1"/>
      <c r="BE1377" s="1"/>
      <c r="BF1377" s="1"/>
      <c r="BG1377" s="1"/>
      <c r="BH1377" s="1"/>
      <c r="BI1377" s="1"/>
      <c r="BJ1377" s="1"/>
      <c r="BK1377" s="1"/>
      <c r="BL1377" s="1"/>
      <c r="BM1377" s="1"/>
      <c r="BN1377" s="1"/>
      <c r="BO1377" s="1"/>
      <c r="BP1377" s="1"/>
      <c r="BQ1377" s="1"/>
      <c r="BR1377" s="1"/>
      <c r="BS1377" s="1"/>
      <c r="BT1377" s="1"/>
      <c r="BU1377" s="1"/>
      <c r="BV1377" s="1"/>
      <c r="BW1377" s="1"/>
      <c r="BX1377" s="1"/>
      <c r="BY1377" s="1"/>
      <c r="BZ1377" s="1"/>
      <c r="CA1377" s="1"/>
      <c r="CB1377" s="1"/>
      <c r="CC1377" s="1"/>
      <c r="CD1377" s="1"/>
      <c r="CE1377" s="1"/>
      <c r="CF1377" s="1"/>
      <c r="CG1377" s="1"/>
      <c r="CH1377" s="1"/>
      <c r="CI1377" s="1"/>
      <c r="CJ1377" s="1"/>
      <c r="CK1377" s="1"/>
      <c r="CL1377" s="1"/>
      <c r="CM1377" s="1"/>
      <c r="CN1377" s="1"/>
      <c r="CO1377" s="1"/>
      <c r="CP1377" s="1"/>
      <c r="CQ1377" s="1"/>
      <c r="CR1377" s="1"/>
      <c r="CS1377" s="1"/>
      <c r="CT1377" s="1"/>
      <c r="CU1377" s="1"/>
      <c r="CV1377" s="1"/>
      <c r="CW1377" s="1"/>
      <c r="CX1377" s="1"/>
      <c r="CY1377" s="1"/>
      <c r="CZ1377" s="1"/>
      <c r="DA1377" s="1"/>
      <c r="DB1377" s="1"/>
      <c r="DC1377" s="1"/>
      <c r="DD1377" s="1"/>
      <c r="DE1377" s="1"/>
      <c r="DF1377" s="1"/>
      <c r="DG1377" s="1"/>
      <c r="DH1377" s="1"/>
      <c r="DI1377" s="1"/>
      <c r="DJ1377" s="1"/>
      <c r="DK1377" s="1"/>
      <c r="DL1377" s="1"/>
      <c r="DM1377" s="1"/>
      <c r="DN1377" s="1"/>
      <c r="DO1377" s="1"/>
      <c r="DP1377" s="1"/>
      <c r="DQ1377" s="1"/>
      <c r="DR1377" s="1"/>
      <c r="DS1377" s="1"/>
      <c r="DT1377" s="1"/>
      <c r="DU1377" s="1"/>
    </row>
    <row r="1378" spans="1:253" s="1691" customFormat="1">
      <c r="A1378" s="1694"/>
      <c r="B1378" s="1694"/>
      <c r="C1378" s="1694"/>
      <c r="D1378" s="1694" t="s">
        <v>3383</v>
      </c>
      <c r="V1378" s="1691">
        <f t="shared" ref="V1378:AT1378" si="1645">V1061+V1132</f>
        <v>201.522732741</v>
      </c>
      <c r="W1378" s="1691">
        <f t="shared" si="1645"/>
        <v>263.2</v>
      </c>
      <c r="X1378" s="1691">
        <f t="shared" si="1645"/>
        <v>366.53795364000001</v>
      </c>
      <c r="Y1378" s="1691">
        <f t="shared" si="1645"/>
        <v>864.47383156167234</v>
      </c>
      <c r="Z1378" s="1691">
        <f t="shared" si="1645"/>
        <v>1002.7792935799948</v>
      </c>
      <c r="AA1378" s="1691">
        <f t="shared" si="1645"/>
        <v>1167.9634976524221</v>
      </c>
      <c r="AB1378" s="1691">
        <f t="shared" si="1645"/>
        <v>1265.5684640449876</v>
      </c>
      <c r="AC1378" s="1691">
        <f t="shared" si="1645"/>
        <v>1422.6419757737144</v>
      </c>
      <c r="AD1378" s="1691">
        <f t="shared" si="1645"/>
        <v>1670.2773135815255</v>
      </c>
      <c r="AE1378" s="1691">
        <f t="shared" si="1645"/>
        <v>1765.5317433201858</v>
      </c>
      <c r="AF1378" s="1691">
        <f t="shared" si="1645"/>
        <v>2007.1030292870055</v>
      </c>
      <c r="AG1378" s="1691">
        <f t="shared" si="1645"/>
        <v>2277.9986459098222</v>
      </c>
      <c r="AH1378" s="1691">
        <f t="shared" si="1645"/>
        <v>2688.2599377113861</v>
      </c>
      <c r="AI1378" s="1691">
        <f t="shared" si="1645"/>
        <v>3053.3369521394116</v>
      </c>
      <c r="AJ1378" s="1691">
        <f t="shared" si="1645"/>
        <v>3559.3786013384124</v>
      </c>
      <c r="AK1378" s="1691">
        <f t="shared" si="1645"/>
        <v>4340.8310860506645</v>
      </c>
      <c r="AL1378" s="1691">
        <f t="shared" si="1645"/>
        <v>5155.0731495255659</v>
      </c>
      <c r="AM1378" s="1691">
        <f t="shared" si="1645"/>
        <v>5927.2993637431682</v>
      </c>
      <c r="AN1378" s="1691">
        <f t="shared" si="1645"/>
        <v>6749.6353900163513</v>
      </c>
      <c r="AO1378" s="1691">
        <f t="shared" si="1645"/>
        <v>7720.9532085050923</v>
      </c>
      <c r="AP1378" s="1691">
        <f t="shared" si="1645"/>
        <v>8692.6306425264484</v>
      </c>
      <c r="AQ1378" s="1691">
        <f t="shared" si="1645"/>
        <v>9668.5890339275174</v>
      </c>
      <c r="AR1378" s="1691">
        <f t="shared" si="1645"/>
        <v>10871.456038766255</v>
      </c>
      <c r="AS1378" s="1691">
        <f t="shared" si="1645"/>
        <v>12233.643261440815</v>
      </c>
      <c r="AT1378" s="1690">
        <f t="shared" si="1645"/>
        <v>16105.891745669</v>
      </c>
      <c r="AU1378" s="1690">
        <f t="shared" si="1584"/>
        <v>21203.801956593761</v>
      </c>
      <c r="AV1378" s="1690">
        <f t="shared" si="1585"/>
        <v>0.31652455458081841</v>
      </c>
      <c r="AW1378" s="1"/>
      <c r="AX1378" s="1"/>
      <c r="AY1378" s="1"/>
      <c r="AZ1378" s="1"/>
      <c r="BA1378" s="1"/>
      <c r="BB1378" s="1"/>
      <c r="BC1378" s="1"/>
      <c r="BD1378" s="1"/>
      <c r="BE1378" s="1"/>
      <c r="BF1378" s="1"/>
      <c r="BG1378" s="1"/>
      <c r="BH1378" s="1"/>
      <c r="BI1378" s="1"/>
      <c r="BJ1378" s="1"/>
      <c r="BK1378" s="1"/>
      <c r="BL1378" s="1"/>
      <c r="BM1378" s="1"/>
      <c r="BN1378" s="1"/>
      <c r="BO1378" s="1"/>
      <c r="BP1378" s="1"/>
      <c r="BQ1378" s="1"/>
      <c r="BR1378" s="1"/>
      <c r="BS1378" s="1"/>
      <c r="BT1378" s="1"/>
      <c r="BU1378" s="1"/>
      <c r="BV1378" s="1"/>
      <c r="BW1378" s="1"/>
      <c r="BX1378" s="1"/>
      <c r="BY1378" s="1"/>
      <c r="BZ1378" s="1"/>
      <c r="CA1378" s="1"/>
      <c r="CB1378" s="1"/>
      <c r="CC1378" s="1"/>
      <c r="CD1378" s="1"/>
      <c r="CE1378" s="1"/>
      <c r="CF1378" s="1"/>
      <c r="CG1378" s="1"/>
      <c r="CH1378" s="1"/>
      <c r="CI1378" s="1"/>
      <c r="CJ1378" s="1"/>
      <c r="CK1378" s="1"/>
      <c r="CL1378" s="1"/>
      <c r="CM1378" s="1"/>
      <c r="CN1378" s="1"/>
      <c r="CO1378" s="1"/>
      <c r="CP1378" s="1"/>
      <c r="CQ1378" s="1"/>
      <c r="CR1378" s="1"/>
      <c r="CS1378" s="1"/>
      <c r="CT1378" s="1"/>
      <c r="CU1378" s="1"/>
      <c r="CV1378" s="1"/>
      <c r="CW1378" s="1"/>
      <c r="CX1378" s="1"/>
      <c r="CY1378" s="1"/>
      <c r="CZ1378" s="1"/>
      <c r="DA1378" s="1"/>
      <c r="DB1378" s="1"/>
      <c r="DC1378" s="1"/>
      <c r="DD1378" s="1"/>
      <c r="DE1378" s="1"/>
      <c r="DF1378" s="1"/>
      <c r="DG1378" s="1"/>
      <c r="DH1378" s="1"/>
      <c r="DI1378" s="1"/>
      <c r="DJ1378" s="1"/>
      <c r="DK1378" s="1"/>
      <c r="DL1378" s="1"/>
      <c r="DM1378" s="1"/>
      <c r="DN1378" s="1"/>
      <c r="DO1378" s="1"/>
      <c r="DP1378" s="1"/>
      <c r="DQ1378" s="1"/>
      <c r="DR1378" s="1"/>
      <c r="DS1378" s="1"/>
      <c r="DT1378" s="1"/>
      <c r="DU1378" s="1"/>
      <c r="EC1378" s="1696"/>
      <c r="ED1378" s="1689"/>
      <c r="EE1378" s="1689"/>
      <c r="EF1378" s="1689"/>
      <c r="EG1378" s="1689"/>
      <c r="EH1378" s="1689"/>
      <c r="EI1378" s="1689"/>
      <c r="EJ1378" s="1689"/>
      <c r="EK1378" s="1689"/>
      <c r="EL1378" s="1689"/>
      <c r="EM1378" s="1689"/>
      <c r="EN1378" s="1689"/>
      <c r="EO1378" s="1697"/>
      <c r="EP1378" s="1689"/>
      <c r="EQ1378" s="1689"/>
      <c r="ER1378" s="1689"/>
      <c r="ES1378" s="1689"/>
      <c r="ET1378" s="1689"/>
      <c r="EU1378" s="1689"/>
      <c r="EV1378" s="1689"/>
      <c r="EW1378" s="1689"/>
      <c r="EX1378" s="1689"/>
      <c r="EY1378" s="1689"/>
      <c r="EZ1378" s="1689"/>
      <c r="FA1378" s="1697"/>
      <c r="FB1378" s="1689"/>
      <c r="FC1378" s="1689"/>
      <c r="FD1378" s="1689"/>
      <c r="FE1378" s="1689"/>
      <c r="FF1378" s="1689"/>
      <c r="FG1378" s="1689"/>
      <c r="FH1378" s="1689"/>
      <c r="FI1378" s="1689"/>
      <c r="FJ1378" s="1689"/>
      <c r="FK1378" s="1689"/>
      <c r="FL1378" s="1689"/>
      <c r="FM1378" s="1697"/>
      <c r="FN1378" s="1689"/>
      <c r="FO1378" s="1689"/>
      <c r="FP1378" s="1689"/>
      <c r="FQ1378" s="1689"/>
      <c r="FR1378" s="1689"/>
      <c r="FS1378" s="1689"/>
      <c r="FT1378" s="1689"/>
      <c r="FU1378" s="1689"/>
      <c r="FV1378" s="1689"/>
      <c r="FW1378" s="1689"/>
      <c r="FX1378" s="1689"/>
      <c r="FY1378" s="1689"/>
      <c r="FZ1378" s="1689"/>
      <c r="GA1378" s="1689"/>
      <c r="GB1378" s="1689"/>
      <c r="GC1378" s="1689"/>
      <c r="GD1378" s="1689"/>
      <c r="GE1378" s="1689"/>
      <c r="GF1378" s="1689"/>
      <c r="GG1378" s="1689"/>
      <c r="GH1378" s="1689"/>
      <c r="GI1378" s="1689"/>
      <c r="GJ1378" s="1689"/>
      <c r="GK1378" s="1689"/>
      <c r="GL1378" s="1689"/>
      <c r="GM1378" s="1689"/>
      <c r="GN1378" s="1689"/>
      <c r="GO1378" s="1689"/>
      <c r="GP1378" s="1689"/>
      <c r="GQ1378" s="1689"/>
      <c r="GR1378" s="1689"/>
      <c r="GS1378" s="1689"/>
      <c r="GT1378" s="1689"/>
      <c r="GU1378" s="1689"/>
      <c r="GV1378" s="1689"/>
      <c r="GW1378" s="1689"/>
      <c r="GX1378" s="1689"/>
    </row>
    <row r="1379" spans="1:253" s="1691" customFormat="1">
      <c r="A1379" s="1694"/>
      <c r="B1379" s="1694"/>
      <c r="C1379" s="1694"/>
      <c r="D1379" s="1694" t="s">
        <v>3384</v>
      </c>
      <c r="V1379" s="1691">
        <f t="shared" ref="V1379:AT1379" si="1646">V1157+V1159+V1208+V1210+V1212+V1215+V1224+V1228</f>
        <v>894.25567000000001</v>
      </c>
      <c r="W1379" s="1691">
        <f t="shared" si="1646"/>
        <v>1019</v>
      </c>
      <c r="X1379" s="1691">
        <f t="shared" si="1646"/>
        <v>1020.4316480370001</v>
      </c>
      <c r="Y1379" s="1691">
        <f t="shared" si="1646"/>
        <v>1416.9813117513791</v>
      </c>
      <c r="Z1379" s="1691">
        <f t="shared" si="1646"/>
        <v>1484.2011185174383</v>
      </c>
      <c r="AA1379" s="1691">
        <f t="shared" si="1646"/>
        <v>1598.5711394457026</v>
      </c>
      <c r="AB1379" s="1691">
        <f t="shared" si="1646"/>
        <v>1748.2285822992476</v>
      </c>
      <c r="AC1379" s="1691">
        <f t="shared" si="1646"/>
        <v>1901.4064397010002</v>
      </c>
      <c r="AD1379" s="1691">
        <f t="shared" si="1646"/>
        <v>2281.2027103732298</v>
      </c>
      <c r="AE1379" s="1691">
        <f t="shared" si="1646"/>
        <v>2454.5379530573664</v>
      </c>
      <c r="AF1379" s="1691">
        <f t="shared" si="1646"/>
        <v>2831.4457701673091</v>
      </c>
      <c r="AG1379" s="1691">
        <f t="shared" si="1646"/>
        <v>3400.3482453175629</v>
      </c>
      <c r="AH1379" s="1691">
        <f t="shared" si="1646"/>
        <v>3726.6380465437596</v>
      </c>
      <c r="AI1379" s="1691">
        <f t="shared" si="1646"/>
        <v>4153.8607151888882</v>
      </c>
      <c r="AJ1379" s="1691">
        <f t="shared" si="1646"/>
        <v>4313.9560807692196</v>
      </c>
      <c r="AK1379" s="1691">
        <f t="shared" si="1646"/>
        <v>4822.4607601649059</v>
      </c>
      <c r="AL1379" s="1691">
        <f t="shared" si="1646"/>
        <v>5489.5318256651735</v>
      </c>
      <c r="AM1379" s="1691">
        <f t="shared" si="1646"/>
        <v>6354.7632890999002</v>
      </c>
      <c r="AN1379" s="1691">
        <f t="shared" si="1646"/>
        <v>7205.4668433317929</v>
      </c>
      <c r="AO1379" s="1691">
        <f t="shared" si="1646"/>
        <v>8283.5151723355884</v>
      </c>
      <c r="AP1379" s="1691">
        <f t="shared" si="1646"/>
        <v>9283.2014033401701</v>
      </c>
      <c r="AQ1379" s="1691">
        <f t="shared" si="1646"/>
        <v>10417.694054197673</v>
      </c>
      <c r="AR1379" s="1691">
        <f t="shared" si="1646"/>
        <v>11566.832543189334</v>
      </c>
      <c r="AS1379" s="1691">
        <f t="shared" si="1646"/>
        <v>13482.915876746505</v>
      </c>
      <c r="AT1379" s="1690">
        <f t="shared" si="1646"/>
        <v>17618.341633501866</v>
      </c>
      <c r="AU1379" s="1690">
        <f t="shared" si="1584"/>
        <v>23022.168554068568</v>
      </c>
      <c r="AV1379" s="1690">
        <f t="shared" si="1585"/>
        <v>0.30671598002681155</v>
      </c>
      <c r="AW1379" s="1"/>
      <c r="AX1379" s="1"/>
      <c r="AY1379" s="1"/>
      <c r="AZ1379" s="1"/>
      <c r="BA1379" s="1"/>
      <c r="BB1379" s="1"/>
      <c r="BC1379" s="1"/>
      <c r="BD1379" s="1"/>
      <c r="BE1379" s="1"/>
      <c r="BF1379" s="1"/>
      <c r="BG1379" s="1"/>
      <c r="BH1379" s="1"/>
      <c r="BI1379" s="1"/>
      <c r="BJ1379" s="1"/>
      <c r="BK1379" s="1"/>
      <c r="BL1379" s="1"/>
      <c r="BM1379" s="1"/>
      <c r="BN1379" s="1"/>
      <c r="BO1379" s="1"/>
      <c r="BP1379" s="1"/>
      <c r="BQ1379" s="1"/>
      <c r="BR1379" s="1"/>
      <c r="BS1379" s="1"/>
      <c r="BT1379" s="1"/>
      <c r="BU1379" s="1"/>
      <c r="BV1379" s="1"/>
      <c r="BW1379" s="1"/>
      <c r="BX1379" s="1"/>
      <c r="BY1379" s="1"/>
      <c r="BZ1379" s="1"/>
      <c r="CA1379" s="1"/>
      <c r="CB1379" s="1"/>
      <c r="CC1379" s="1"/>
      <c r="CD1379" s="1"/>
      <c r="CE1379" s="1"/>
      <c r="CF1379" s="1"/>
      <c r="CG1379" s="1"/>
      <c r="CH1379" s="1"/>
      <c r="CI1379" s="1"/>
      <c r="CJ1379" s="1"/>
      <c r="CK1379" s="1"/>
      <c r="CL1379" s="1"/>
      <c r="CM1379" s="1"/>
      <c r="CN1379" s="1"/>
      <c r="CO1379" s="1"/>
      <c r="CP1379" s="1"/>
      <c r="CQ1379" s="1"/>
      <c r="CR1379" s="1"/>
      <c r="CS1379" s="1"/>
      <c r="CT1379" s="1"/>
      <c r="CU1379" s="1"/>
      <c r="CV1379" s="1"/>
      <c r="CW1379" s="1"/>
      <c r="CX1379" s="1"/>
      <c r="CY1379" s="1"/>
      <c r="CZ1379" s="1"/>
      <c r="DA1379" s="1"/>
      <c r="DB1379" s="1"/>
      <c r="DC1379" s="1"/>
      <c r="DD1379" s="1"/>
      <c r="DE1379" s="1"/>
      <c r="DF1379" s="1"/>
      <c r="DG1379" s="1"/>
      <c r="DH1379" s="1"/>
      <c r="DI1379" s="1"/>
      <c r="DJ1379" s="1"/>
      <c r="DK1379" s="1"/>
      <c r="DL1379" s="1"/>
      <c r="DM1379" s="1"/>
      <c r="DN1379" s="1"/>
      <c r="DO1379" s="1"/>
      <c r="DP1379" s="1"/>
      <c r="DQ1379" s="1"/>
      <c r="DR1379" s="1"/>
      <c r="DS1379" s="1"/>
      <c r="DT1379" s="1"/>
      <c r="DU1379" s="1"/>
      <c r="EC1379" s="1696"/>
      <c r="ED1379" s="1689"/>
      <c r="EE1379" s="1689"/>
      <c r="EF1379" s="1689"/>
      <c r="EG1379" s="1689"/>
      <c r="EH1379" s="1689"/>
      <c r="EI1379" s="1689"/>
      <c r="EJ1379" s="1689"/>
      <c r="EK1379" s="1689"/>
      <c r="EL1379" s="1689"/>
      <c r="EM1379" s="1689"/>
      <c r="EN1379" s="1689"/>
      <c r="EO1379" s="1697"/>
      <c r="EP1379" s="1689"/>
      <c r="EQ1379" s="1689"/>
      <c r="ER1379" s="1689"/>
      <c r="ES1379" s="1689"/>
      <c r="ET1379" s="1689"/>
      <c r="EU1379" s="1689"/>
      <c r="EV1379" s="1689"/>
      <c r="EW1379" s="1689"/>
      <c r="EX1379" s="1689"/>
      <c r="EY1379" s="1689"/>
      <c r="EZ1379" s="1689"/>
      <c r="FA1379" s="1697"/>
      <c r="FB1379" s="1689"/>
      <c r="FC1379" s="1689"/>
      <c r="FD1379" s="1689"/>
      <c r="FE1379" s="1689"/>
      <c r="FF1379" s="1689"/>
      <c r="FG1379" s="1689"/>
      <c r="FH1379" s="1689"/>
      <c r="FI1379" s="1689"/>
      <c r="FJ1379" s="1689"/>
      <c r="FK1379" s="1689"/>
      <c r="FL1379" s="1689"/>
      <c r="FM1379" s="1697"/>
      <c r="FN1379" s="1689"/>
      <c r="FO1379" s="1689"/>
      <c r="FP1379" s="1689"/>
      <c r="FQ1379" s="1689"/>
      <c r="FR1379" s="1689"/>
      <c r="FS1379" s="1689"/>
      <c r="FT1379" s="1689"/>
      <c r="FU1379" s="1689"/>
      <c r="FV1379" s="1689"/>
      <c r="FW1379" s="1689"/>
      <c r="FX1379" s="1689"/>
      <c r="FY1379" s="1689"/>
      <c r="FZ1379" s="1689"/>
      <c r="GA1379" s="1689"/>
      <c r="GB1379" s="1689"/>
      <c r="GC1379" s="1689"/>
      <c r="GD1379" s="1689"/>
      <c r="GE1379" s="1689"/>
      <c r="GF1379" s="1689"/>
      <c r="GG1379" s="1689"/>
      <c r="GH1379" s="1689"/>
      <c r="GI1379" s="1689"/>
      <c r="GJ1379" s="1689"/>
      <c r="GK1379" s="1689"/>
      <c r="GL1379" s="1689"/>
      <c r="GM1379" s="1689"/>
      <c r="GN1379" s="1689"/>
      <c r="GO1379" s="1689"/>
      <c r="GP1379" s="1689"/>
      <c r="GQ1379" s="1689"/>
      <c r="GR1379" s="1689"/>
      <c r="GS1379" s="1689"/>
      <c r="GT1379" s="1689"/>
      <c r="GU1379" s="1689"/>
      <c r="GV1379" s="1689"/>
      <c r="GW1379" s="1689"/>
      <c r="GX1379" s="1689"/>
    </row>
    <row r="1380" spans="1:253" s="1691" customFormat="1">
      <c r="A1380" s="1694"/>
      <c r="B1380" s="1694"/>
      <c r="C1380" s="1694"/>
      <c r="D1380" s="1694" t="s">
        <v>3385</v>
      </c>
      <c r="V1380" s="1691">
        <f t="shared" ref="V1380:AI1380" si="1647">V1188+V1198+V1222+V1288+V1300+V1308+V1309+V1310</f>
        <v>-18.70073</v>
      </c>
      <c r="W1380" s="1691">
        <f t="shared" si="1647"/>
        <v>17.299999999999997</v>
      </c>
      <c r="X1380" s="1691">
        <f t="shared" si="1647"/>
        <v>-52.500000000000014</v>
      </c>
      <c r="Y1380" s="1691">
        <f t="shared" si="1647"/>
        <v>155.48011790556274</v>
      </c>
      <c r="Z1380" s="1691">
        <f t="shared" si="1647"/>
        <v>202.79814589708397</v>
      </c>
      <c r="AA1380" s="1691">
        <f t="shared" si="1647"/>
        <v>216.17130302949641</v>
      </c>
      <c r="AB1380" s="1691">
        <f t="shared" si="1647"/>
        <v>208.53267402719564</v>
      </c>
      <c r="AC1380" s="1691">
        <f t="shared" si="1647"/>
        <v>273.29464722905061</v>
      </c>
      <c r="AD1380" s="1691">
        <f t="shared" si="1647"/>
        <v>330.3076058671586</v>
      </c>
      <c r="AE1380" s="1691">
        <f t="shared" si="1647"/>
        <v>521.38287800505941</v>
      </c>
      <c r="AF1380" s="1691">
        <f t="shared" si="1647"/>
        <v>591.54564105430529</v>
      </c>
      <c r="AG1380" s="1691">
        <f t="shared" si="1647"/>
        <v>818.10532006805533</v>
      </c>
      <c r="AH1380" s="1691">
        <f t="shared" si="1647"/>
        <v>789.91596729607136</v>
      </c>
      <c r="AI1380" s="1691">
        <f t="shared" si="1647"/>
        <v>885.47861092798746</v>
      </c>
      <c r="AJ1380" s="1691">
        <f t="shared" ref="AJ1380:AT1380" si="1648">AJ1188+AJ1198+AJ1222+AJ1288+AJ1300</f>
        <v>1038.3396889512389</v>
      </c>
      <c r="AK1380" s="1691">
        <f t="shared" si="1648"/>
        <v>1635.6110600699142</v>
      </c>
      <c r="AL1380" s="1691">
        <f t="shared" si="1648"/>
        <v>1681.7730712152443</v>
      </c>
      <c r="AM1380" s="1691">
        <f t="shared" si="1648"/>
        <v>1622.1252059809374</v>
      </c>
      <c r="AN1380" s="1691">
        <f t="shared" si="1648"/>
        <v>1260.5170823473559</v>
      </c>
      <c r="AO1380" s="1691">
        <f t="shared" si="1648"/>
        <v>1317.1088589904018</v>
      </c>
      <c r="AP1380" s="1691">
        <f t="shared" si="1648"/>
        <v>1520.596476859866</v>
      </c>
      <c r="AQ1380" s="1691">
        <f t="shared" si="1648"/>
        <v>1798.7453048707241</v>
      </c>
      <c r="AR1380" s="1691">
        <f t="shared" si="1648"/>
        <v>1819.1026074555505</v>
      </c>
      <c r="AS1380" s="1691">
        <f t="shared" si="1648"/>
        <v>1901.3717479946888</v>
      </c>
      <c r="AT1380" s="1690">
        <f t="shared" si="1648"/>
        <v>2186.2656654694651</v>
      </c>
      <c r="AU1380" s="1690">
        <f t="shared" si="1584"/>
        <v>2513.8469450025691</v>
      </c>
      <c r="AV1380" s="1690">
        <f t="shared" si="1585"/>
        <v>0.14983598960868338</v>
      </c>
      <c r="AW1380" s="1"/>
      <c r="AX1380" s="1"/>
      <c r="AY1380" s="1"/>
      <c r="AZ1380" s="1"/>
      <c r="BA1380" s="1"/>
      <c r="BB1380" s="1"/>
      <c r="BC1380" s="1"/>
      <c r="BD1380" s="1"/>
      <c r="BE1380" s="1"/>
      <c r="BF1380" s="1"/>
      <c r="BG1380" s="1"/>
      <c r="BH1380" s="1"/>
      <c r="BI1380" s="1"/>
      <c r="BJ1380" s="1"/>
      <c r="BK1380" s="1"/>
      <c r="BL1380" s="1"/>
      <c r="BM1380" s="1"/>
      <c r="BN1380" s="1"/>
      <c r="BO1380" s="1"/>
      <c r="BP1380" s="1"/>
      <c r="BQ1380" s="1"/>
      <c r="BR1380" s="1"/>
      <c r="BS1380" s="1"/>
      <c r="BT1380" s="1"/>
      <c r="BU1380" s="1"/>
      <c r="BV1380" s="1"/>
      <c r="BW1380" s="1"/>
      <c r="BX1380" s="1"/>
      <c r="BY1380" s="1"/>
      <c r="BZ1380" s="1"/>
      <c r="CA1380" s="1"/>
      <c r="CB1380" s="1"/>
      <c r="CC1380" s="1"/>
      <c r="CD1380" s="1"/>
      <c r="CE1380" s="1"/>
      <c r="CF1380" s="1"/>
      <c r="CG1380" s="1"/>
      <c r="CH1380" s="1"/>
      <c r="CI1380" s="1"/>
      <c r="CJ1380" s="1"/>
      <c r="CK1380" s="1"/>
      <c r="CL1380" s="1"/>
      <c r="CM1380" s="1"/>
      <c r="CN1380" s="1"/>
      <c r="CO1380" s="1"/>
      <c r="CP1380" s="1"/>
      <c r="CQ1380" s="1"/>
      <c r="CR1380" s="1"/>
      <c r="CS1380" s="1"/>
      <c r="CT1380" s="1"/>
      <c r="CU1380" s="1"/>
      <c r="CV1380" s="1"/>
      <c r="CW1380" s="1"/>
      <c r="CX1380" s="1"/>
      <c r="CY1380" s="1"/>
      <c r="CZ1380" s="1"/>
      <c r="DA1380" s="1"/>
      <c r="DB1380" s="1"/>
      <c r="DC1380" s="1"/>
      <c r="DD1380" s="1"/>
      <c r="DE1380" s="1"/>
      <c r="DF1380" s="1"/>
      <c r="DG1380" s="1"/>
      <c r="DH1380" s="1"/>
      <c r="DI1380" s="1"/>
      <c r="DJ1380" s="1"/>
      <c r="DK1380" s="1"/>
      <c r="DL1380" s="1"/>
      <c r="DM1380" s="1"/>
      <c r="DN1380" s="1"/>
      <c r="DO1380" s="1"/>
      <c r="DP1380" s="1"/>
      <c r="DQ1380" s="1"/>
      <c r="DR1380" s="1"/>
      <c r="DS1380" s="1"/>
      <c r="DT1380" s="1"/>
      <c r="DU1380" s="1"/>
      <c r="EC1380" s="1696"/>
      <c r="ED1380" s="1689"/>
      <c r="EE1380" s="1689"/>
      <c r="EF1380" s="1689"/>
      <c r="EG1380" s="1689"/>
      <c r="EH1380" s="1689"/>
      <c r="EI1380" s="1689"/>
      <c r="EJ1380" s="1689"/>
      <c r="EK1380" s="1689"/>
      <c r="EL1380" s="1689"/>
      <c r="EM1380" s="1689"/>
      <c r="EN1380" s="1689"/>
      <c r="EO1380" s="1697"/>
      <c r="EP1380" s="1689"/>
      <c r="EQ1380" s="1689"/>
      <c r="ER1380" s="1689"/>
      <c r="ES1380" s="1689"/>
      <c r="ET1380" s="1689"/>
      <c r="EU1380" s="1689"/>
      <c r="EV1380" s="1689"/>
      <c r="EW1380" s="1689"/>
      <c r="EX1380" s="1689"/>
      <c r="EY1380" s="1689"/>
      <c r="EZ1380" s="1689"/>
      <c r="FA1380" s="1697"/>
      <c r="FB1380" s="1689"/>
      <c r="FC1380" s="1689"/>
      <c r="FD1380" s="1689"/>
      <c r="FE1380" s="1689"/>
      <c r="FF1380" s="1689"/>
      <c r="FG1380" s="1689"/>
      <c r="FH1380" s="1689"/>
      <c r="FI1380" s="1689"/>
      <c r="FJ1380" s="1689"/>
      <c r="FK1380" s="1689"/>
      <c r="FL1380" s="1689"/>
      <c r="FM1380" s="1697"/>
      <c r="FN1380" s="1689"/>
      <c r="FO1380" s="1689"/>
      <c r="FP1380" s="1689"/>
      <c r="FQ1380" s="1689"/>
      <c r="FR1380" s="1689"/>
      <c r="FS1380" s="1689"/>
      <c r="FT1380" s="1689"/>
      <c r="FU1380" s="1689"/>
      <c r="FV1380" s="1689"/>
      <c r="FW1380" s="1689"/>
      <c r="FX1380" s="1689"/>
      <c r="FY1380" s="1689"/>
      <c r="FZ1380" s="1689"/>
      <c r="GA1380" s="1689"/>
      <c r="GB1380" s="1689"/>
      <c r="GC1380" s="1689"/>
      <c r="GD1380" s="1689"/>
      <c r="GE1380" s="1689"/>
      <c r="GF1380" s="1689"/>
      <c r="GG1380" s="1689"/>
      <c r="GH1380" s="1689"/>
      <c r="GI1380" s="1689"/>
      <c r="GJ1380" s="1689"/>
      <c r="GK1380" s="1689"/>
      <c r="GL1380" s="1689"/>
      <c r="GM1380" s="1689"/>
      <c r="GN1380" s="1689"/>
      <c r="GO1380" s="1689"/>
      <c r="GP1380" s="1689"/>
      <c r="GQ1380" s="1689"/>
      <c r="GR1380" s="1689"/>
      <c r="GS1380" s="1689"/>
      <c r="GT1380" s="1689"/>
      <c r="GU1380" s="1689"/>
      <c r="GV1380" s="1689"/>
      <c r="GW1380" s="1689"/>
      <c r="GX1380" s="1689"/>
    </row>
    <row r="1381" spans="1:253" s="1691" customFormat="1">
      <c r="A1381" s="1694"/>
      <c r="B1381" s="1694"/>
      <c r="C1381" s="1694"/>
      <c r="D1381" s="1694" t="s">
        <v>3386</v>
      </c>
      <c r="V1381" s="1691">
        <f t="shared" ref="V1381:AT1381" si="1649">V1156+V1228+V1288+V1300+V1308+V1309+V1310</f>
        <v>875.55493999999999</v>
      </c>
      <c r="W1381" s="1691">
        <f t="shared" si="1649"/>
        <v>1036.3000000000002</v>
      </c>
      <c r="X1381" s="1691">
        <f t="shared" si="1649"/>
        <v>967.93164803700006</v>
      </c>
      <c r="Y1381" s="1691">
        <f t="shared" si="1649"/>
        <v>1572.4614296569418</v>
      </c>
      <c r="Z1381" s="1691">
        <f t="shared" si="1649"/>
        <v>1686.999264414522</v>
      </c>
      <c r="AA1381" s="1691">
        <f t="shared" si="1649"/>
        <v>1814.7424424751991</v>
      </c>
      <c r="AB1381" s="1691">
        <f t="shared" si="1649"/>
        <v>1956.7612563264433</v>
      </c>
      <c r="AC1381" s="1691">
        <f t="shared" si="1649"/>
        <v>2174.7010869300507</v>
      </c>
      <c r="AD1381" s="1691">
        <f t="shared" si="1649"/>
        <v>2611.5103162403884</v>
      </c>
      <c r="AE1381" s="1691">
        <f t="shared" si="1649"/>
        <v>3037.8770386264255</v>
      </c>
      <c r="AF1381" s="1691">
        <f t="shared" si="1649"/>
        <v>3453.8772152896145</v>
      </c>
      <c r="AG1381" s="1691">
        <f t="shared" si="1649"/>
        <v>4218.4535653856174</v>
      </c>
      <c r="AH1381" s="1691">
        <f t="shared" si="1649"/>
        <v>4516.554013839831</v>
      </c>
      <c r="AI1381" s="1691">
        <f t="shared" si="1649"/>
        <v>5039.3393261168767</v>
      </c>
      <c r="AJ1381" s="1691">
        <f t="shared" si="1649"/>
        <v>5352.2957697204602</v>
      </c>
      <c r="AK1381" s="1691">
        <f t="shared" si="1649"/>
        <v>6458.0718202348189</v>
      </c>
      <c r="AL1381" s="1691">
        <f t="shared" si="1649"/>
        <v>7171.3048968804169</v>
      </c>
      <c r="AM1381" s="1691">
        <f t="shared" si="1649"/>
        <v>7976.8884950808388</v>
      </c>
      <c r="AN1381" s="1691">
        <f t="shared" si="1649"/>
        <v>8465.9839256791493</v>
      </c>
      <c r="AO1381" s="1691">
        <f t="shared" si="1649"/>
        <v>9600.6240313259914</v>
      </c>
      <c r="AP1381" s="1691">
        <f t="shared" si="1649"/>
        <v>10803.797880200036</v>
      </c>
      <c r="AQ1381" s="1691">
        <f t="shared" si="1649"/>
        <v>12216.439359068396</v>
      </c>
      <c r="AR1381" s="1691">
        <f t="shared" si="1649"/>
        <v>13385.935150644884</v>
      </c>
      <c r="AS1381" s="1691">
        <f t="shared" si="1649"/>
        <v>15384.287624741195</v>
      </c>
      <c r="AT1381" s="1690">
        <f t="shared" si="1649"/>
        <v>19804.607298971332</v>
      </c>
      <c r="AU1381" s="1690">
        <f t="shared" si="1584"/>
        <v>25495.003722869282</v>
      </c>
      <c r="AV1381" s="1690">
        <f t="shared" si="1585"/>
        <v>0.28732690014982087</v>
      </c>
      <c r="AW1381" s="1"/>
      <c r="AX1381" s="1"/>
      <c r="AY1381" s="1"/>
      <c r="AZ1381" s="1"/>
      <c r="BA1381" s="1"/>
      <c r="BB1381" s="1"/>
      <c r="BC1381" s="1"/>
      <c r="BD1381" s="1"/>
      <c r="BE1381" s="1"/>
      <c r="BF1381" s="1"/>
      <c r="BG1381" s="1"/>
      <c r="BH1381" s="1"/>
      <c r="BI1381" s="1"/>
      <c r="BJ1381" s="1"/>
      <c r="BK1381" s="1"/>
      <c r="BL1381" s="1"/>
      <c r="BM1381" s="1"/>
      <c r="BN1381" s="1"/>
      <c r="BO1381" s="1"/>
      <c r="BP1381" s="1"/>
      <c r="BQ1381" s="1"/>
      <c r="BR1381" s="1"/>
      <c r="BS1381" s="1"/>
      <c r="BT1381" s="1"/>
      <c r="BU1381" s="1"/>
      <c r="BV1381" s="1"/>
      <c r="BW1381" s="1"/>
      <c r="BX1381" s="1"/>
      <c r="BY1381" s="1"/>
      <c r="BZ1381" s="1"/>
      <c r="CA1381" s="1"/>
      <c r="CB1381" s="1"/>
      <c r="CC1381" s="1"/>
      <c r="CD1381" s="1"/>
      <c r="CE1381" s="1"/>
      <c r="CF1381" s="1"/>
      <c r="CG1381" s="1"/>
      <c r="CH1381" s="1"/>
      <c r="CI1381" s="1"/>
      <c r="CJ1381" s="1"/>
      <c r="CK1381" s="1"/>
      <c r="CL1381" s="1"/>
      <c r="CM1381" s="1"/>
      <c r="CN1381" s="1"/>
      <c r="CO1381" s="1"/>
      <c r="CP1381" s="1"/>
      <c r="CQ1381" s="1"/>
      <c r="CR1381" s="1"/>
      <c r="CS1381" s="1"/>
      <c r="CT1381" s="1"/>
      <c r="CU1381" s="1"/>
      <c r="CV1381" s="1"/>
      <c r="CW1381" s="1"/>
      <c r="CX1381" s="1"/>
      <c r="CY1381" s="1"/>
      <c r="CZ1381" s="1"/>
      <c r="DA1381" s="1"/>
      <c r="DB1381" s="1"/>
      <c r="DC1381" s="1"/>
      <c r="DD1381" s="1"/>
      <c r="DE1381" s="1"/>
      <c r="DF1381" s="1"/>
      <c r="DG1381" s="1"/>
      <c r="DH1381" s="1"/>
      <c r="DI1381" s="1"/>
      <c r="DJ1381" s="1"/>
      <c r="DK1381" s="1"/>
      <c r="DL1381" s="1"/>
      <c r="DM1381" s="1"/>
      <c r="DN1381" s="1"/>
      <c r="DO1381" s="1"/>
      <c r="DP1381" s="1"/>
      <c r="DQ1381" s="1"/>
      <c r="DR1381" s="1"/>
      <c r="DS1381" s="1"/>
      <c r="DT1381" s="1"/>
      <c r="DU1381" s="1"/>
      <c r="EC1381" s="1696"/>
      <c r="ED1381" s="1689"/>
      <c r="EE1381" s="1689"/>
      <c r="EF1381" s="1689"/>
      <c r="EG1381" s="1689"/>
      <c r="EH1381" s="1689"/>
      <c r="EI1381" s="1689"/>
      <c r="EJ1381" s="1689"/>
      <c r="EK1381" s="1689"/>
      <c r="EL1381" s="1689"/>
      <c r="EM1381" s="1689"/>
      <c r="EN1381" s="1689"/>
      <c r="EO1381" s="1697"/>
      <c r="EP1381" s="1689"/>
      <c r="EQ1381" s="1689"/>
      <c r="ER1381" s="1689"/>
      <c r="ES1381" s="1689"/>
      <c r="ET1381" s="1689"/>
      <c r="EU1381" s="1689"/>
      <c r="EV1381" s="1689"/>
      <c r="EW1381" s="1689"/>
      <c r="EX1381" s="1689"/>
      <c r="EY1381" s="1689"/>
      <c r="EZ1381" s="1689"/>
      <c r="FA1381" s="1697"/>
      <c r="FB1381" s="1689"/>
      <c r="FC1381" s="1689"/>
      <c r="FD1381" s="1689"/>
      <c r="FE1381" s="1689"/>
      <c r="FF1381" s="1689"/>
      <c r="FG1381" s="1689"/>
      <c r="FH1381" s="1689"/>
      <c r="FI1381" s="1689"/>
      <c r="FJ1381" s="1689"/>
      <c r="FK1381" s="1689"/>
      <c r="FL1381" s="1689"/>
      <c r="FM1381" s="1697"/>
      <c r="FN1381" s="1689"/>
      <c r="FO1381" s="1689"/>
      <c r="FP1381" s="1689"/>
      <c r="FQ1381" s="1689"/>
      <c r="FR1381" s="1689"/>
      <c r="FS1381" s="1689"/>
      <c r="FT1381" s="1689"/>
      <c r="FU1381" s="1689"/>
      <c r="FV1381" s="1689"/>
      <c r="FW1381" s="1689"/>
      <c r="FX1381" s="1689"/>
      <c r="FY1381" s="1689"/>
      <c r="FZ1381" s="1689"/>
      <c r="GA1381" s="1689"/>
      <c r="GB1381" s="1689"/>
      <c r="GC1381" s="1689"/>
      <c r="GD1381" s="1689"/>
      <c r="GE1381" s="1689"/>
      <c r="GF1381" s="1689"/>
      <c r="GG1381" s="1689"/>
      <c r="GH1381" s="1689"/>
      <c r="GI1381" s="1689"/>
      <c r="GJ1381" s="1689"/>
      <c r="GK1381" s="1689"/>
      <c r="GL1381" s="1689"/>
      <c r="GM1381" s="1689"/>
      <c r="GN1381" s="1689"/>
      <c r="GO1381" s="1689"/>
      <c r="GP1381" s="1689"/>
      <c r="GQ1381" s="1689"/>
      <c r="GR1381" s="1689"/>
      <c r="GS1381" s="1689"/>
      <c r="GT1381" s="1689"/>
      <c r="GU1381" s="1689"/>
      <c r="GV1381" s="1689"/>
      <c r="GW1381" s="1689"/>
      <c r="GX1381" s="1689"/>
    </row>
    <row r="1382" spans="1:253" s="1691" customFormat="1">
      <c r="A1382" s="1694"/>
      <c r="B1382" s="1694"/>
      <c r="C1382" s="1694"/>
      <c r="D1382" s="1694" t="s">
        <v>3387</v>
      </c>
      <c r="V1382" s="1703">
        <f t="shared" ref="V1382:AT1382" si="1650">V1254</f>
        <v>0</v>
      </c>
      <c r="W1382" s="1703">
        <f t="shared" si="1650"/>
        <v>0</v>
      </c>
      <c r="X1382" s="1691">
        <f t="shared" si="1650"/>
        <v>-601.3936943970001</v>
      </c>
      <c r="Y1382" s="1691">
        <f t="shared" si="1650"/>
        <v>-707.98759809526928</v>
      </c>
      <c r="Z1382" s="1691">
        <f t="shared" si="1650"/>
        <v>-684.21997083452754</v>
      </c>
      <c r="AA1382" s="1691">
        <f t="shared" si="1650"/>
        <v>-646.77894482277702</v>
      </c>
      <c r="AB1382" s="1691">
        <f t="shared" si="1650"/>
        <v>-691.19279228145558</v>
      </c>
      <c r="AC1382" s="1691">
        <f t="shared" si="1650"/>
        <v>-752.05911115633614</v>
      </c>
      <c r="AD1382" s="1691">
        <f t="shared" si="1650"/>
        <v>-941.23300265886246</v>
      </c>
      <c r="AE1382" s="1691">
        <f t="shared" si="1650"/>
        <v>-1272.3452953062397</v>
      </c>
      <c r="AF1382" s="1691">
        <f t="shared" si="1650"/>
        <v>-1446.7741860026085</v>
      </c>
      <c r="AG1382" s="1691">
        <f t="shared" si="1650"/>
        <v>-1938.4549194757954</v>
      </c>
      <c r="AH1382" s="1691">
        <f t="shared" si="1650"/>
        <v>-1828.2940761284447</v>
      </c>
      <c r="AI1382" s="1691">
        <f t="shared" si="1650"/>
        <v>-1986.0023739774647</v>
      </c>
      <c r="AJ1382" s="1691">
        <f t="shared" si="1650"/>
        <v>-1792.9171683820464</v>
      </c>
      <c r="AK1382" s="1691">
        <f t="shared" si="1650"/>
        <v>-2117.2407341841545</v>
      </c>
      <c r="AL1382" s="1691">
        <f t="shared" si="1650"/>
        <v>-2016.2317473548519</v>
      </c>
      <c r="AM1382" s="1691">
        <f t="shared" si="1650"/>
        <v>-2049.589131337671</v>
      </c>
      <c r="AN1382" s="1691">
        <f t="shared" si="1650"/>
        <v>-1716.348535662798</v>
      </c>
      <c r="AO1382" s="1691">
        <f t="shared" si="1650"/>
        <v>-1879.6708228208988</v>
      </c>
      <c r="AP1382" s="1691">
        <f t="shared" si="1650"/>
        <v>-2111.1672376735878</v>
      </c>
      <c r="AQ1382" s="1691">
        <f t="shared" si="1650"/>
        <v>-2547.8503251408774</v>
      </c>
      <c r="AR1382" s="1691">
        <f t="shared" si="1650"/>
        <v>-2514.479111878627</v>
      </c>
      <c r="AS1382" s="1691">
        <f t="shared" si="1650"/>
        <v>-3150.6443633003792</v>
      </c>
      <c r="AT1382" s="1690">
        <f t="shared" si="1650"/>
        <v>-3698.7155533023324</v>
      </c>
      <c r="AU1382" s="1690">
        <f t="shared" si="1584"/>
        <v>-4342.1266149854864</v>
      </c>
      <c r="AV1382" s="1690">
        <f t="shared" si="1585"/>
        <v>0.17395526971753639</v>
      </c>
      <c r="AW1382" s="1"/>
      <c r="AX1382" s="1"/>
      <c r="AY1382" s="1"/>
      <c r="AZ1382" s="1"/>
      <c r="BA1382" s="1"/>
      <c r="BB1382" s="1"/>
      <c r="BC1382" s="1"/>
      <c r="BD1382" s="1"/>
      <c r="BE1382" s="1"/>
      <c r="BF1382" s="1"/>
      <c r="BG1382" s="1"/>
      <c r="BH1382" s="1"/>
      <c r="BI1382" s="1"/>
      <c r="BJ1382" s="1"/>
      <c r="BK1382" s="1"/>
      <c r="BL1382" s="1"/>
      <c r="BM1382" s="1"/>
      <c r="BN1382" s="1"/>
      <c r="BO1382" s="1"/>
      <c r="BP1382" s="1"/>
      <c r="BQ1382" s="1"/>
      <c r="BR1382" s="1"/>
      <c r="BS1382" s="1"/>
      <c r="BT1382" s="1"/>
      <c r="BU1382" s="1"/>
      <c r="BV1382" s="1"/>
      <c r="BW1382" s="1"/>
      <c r="BX1382" s="1"/>
      <c r="BY1382" s="1"/>
      <c r="BZ1382" s="1"/>
      <c r="CA1382" s="1"/>
      <c r="CB1382" s="1"/>
      <c r="CC1382" s="1"/>
      <c r="CD1382" s="1"/>
      <c r="CE1382" s="1"/>
      <c r="CF1382" s="1"/>
      <c r="CG1382" s="1"/>
      <c r="CH1382" s="1"/>
      <c r="CI1382" s="1"/>
      <c r="CJ1382" s="1"/>
      <c r="CK1382" s="1"/>
      <c r="CL1382" s="1"/>
      <c r="CM1382" s="1"/>
      <c r="CN1382" s="1"/>
      <c r="CO1382" s="1"/>
      <c r="CP1382" s="1"/>
      <c r="CQ1382" s="1"/>
      <c r="CR1382" s="1"/>
      <c r="CS1382" s="1"/>
      <c r="CT1382" s="1"/>
      <c r="CU1382" s="1"/>
      <c r="CV1382" s="1"/>
      <c r="CW1382" s="1"/>
      <c r="CX1382" s="1"/>
      <c r="CY1382" s="1"/>
      <c r="CZ1382" s="1"/>
      <c r="DA1382" s="1"/>
      <c r="DB1382" s="1"/>
      <c r="DC1382" s="1"/>
      <c r="DD1382" s="1"/>
      <c r="DE1382" s="1"/>
      <c r="DF1382" s="1"/>
      <c r="DG1382" s="1"/>
      <c r="DH1382" s="1"/>
      <c r="DI1382" s="1"/>
      <c r="DJ1382" s="1"/>
      <c r="DK1382" s="1"/>
      <c r="DL1382" s="1"/>
      <c r="DM1382" s="1"/>
      <c r="DN1382" s="1"/>
      <c r="DO1382" s="1"/>
      <c r="DP1382" s="1"/>
      <c r="DQ1382" s="1"/>
      <c r="DR1382" s="1"/>
      <c r="DS1382" s="1"/>
      <c r="DT1382" s="1"/>
      <c r="DU1382" s="1"/>
      <c r="EC1382" s="1696"/>
      <c r="ED1382" s="1689"/>
      <c r="EE1382" s="1689"/>
      <c r="EF1382" s="1689"/>
      <c r="EG1382" s="1689"/>
      <c r="EH1382" s="1689"/>
      <c r="EI1382" s="1689"/>
      <c r="EJ1382" s="1689"/>
      <c r="EK1382" s="1689"/>
      <c r="EL1382" s="1689"/>
      <c r="EM1382" s="1689"/>
      <c r="EN1382" s="1689"/>
      <c r="EO1382" s="1697"/>
      <c r="EP1382" s="1689"/>
      <c r="EQ1382" s="1689"/>
      <c r="ER1382" s="1689"/>
      <c r="ES1382" s="1689"/>
      <c r="ET1382" s="1689"/>
      <c r="EU1382" s="1689"/>
      <c r="EV1382" s="1689"/>
      <c r="EW1382" s="1689"/>
      <c r="EX1382" s="1689"/>
      <c r="EY1382" s="1689"/>
      <c r="EZ1382" s="1689"/>
      <c r="FA1382" s="1697"/>
      <c r="FB1382" s="1689"/>
      <c r="FC1382" s="1689"/>
      <c r="FD1382" s="1689"/>
      <c r="FE1382" s="1689"/>
      <c r="FF1382" s="1689"/>
      <c r="FG1382" s="1689"/>
      <c r="FH1382" s="1689"/>
      <c r="FI1382" s="1689"/>
      <c r="FJ1382" s="1689"/>
      <c r="FK1382" s="1689"/>
      <c r="FL1382" s="1689"/>
      <c r="FM1382" s="1697"/>
      <c r="FN1382" s="1689"/>
      <c r="FO1382" s="1689"/>
      <c r="FP1382" s="1689"/>
      <c r="FQ1382" s="1689"/>
      <c r="FR1382" s="1689"/>
      <c r="FS1382" s="1689"/>
      <c r="FT1382" s="1689"/>
      <c r="FU1382" s="1689"/>
      <c r="FV1382" s="1689"/>
      <c r="FW1382" s="1689"/>
      <c r="FX1382" s="1689"/>
      <c r="FY1382" s="1689"/>
      <c r="FZ1382" s="1689"/>
      <c r="GA1382" s="1689"/>
      <c r="GB1382" s="1689"/>
      <c r="GC1382" s="1689"/>
      <c r="GD1382" s="1689"/>
      <c r="GE1382" s="1689"/>
      <c r="GF1382" s="1689"/>
      <c r="GG1382" s="1689"/>
      <c r="GH1382" s="1689"/>
      <c r="GI1382" s="1689"/>
      <c r="GJ1382" s="1689"/>
      <c r="GK1382" s="1689"/>
      <c r="GL1382" s="1689"/>
      <c r="GM1382" s="1689"/>
      <c r="GN1382" s="1689"/>
      <c r="GO1382" s="1689"/>
      <c r="GP1382" s="1689"/>
      <c r="GQ1382" s="1689"/>
      <c r="GR1382" s="1689"/>
      <c r="GS1382" s="1689"/>
      <c r="GT1382" s="1689"/>
      <c r="GU1382" s="1689"/>
      <c r="GV1382" s="1689"/>
      <c r="GW1382" s="1689"/>
      <c r="GX1382" s="1689"/>
    </row>
    <row r="1383" spans="1:253" s="1691" customFormat="1">
      <c r="A1383" s="1694"/>
      <c r="B1383" s="1694"/>
      <c r="C1383" s="1694"/>
      <c r="D1383" s="1698" t="s">
        <v>3388</v>
      </c>
      <c r="V1383" s="1699" t="str">
        <f>IF(ABS(V1378-V1381-V1382)&gt;0.000001,"Check","")</f>
        <v>Check</v>
      </c>
      <c r="W1383" s="1699" t="str">
        <f t="shared" ref="W1383:AM1383" si="1651">IF(ABS(W1378-W1381-W1382)&gt;0.000001,"Check","")</f>
        <v>Check</v>
      </c>
      <c r="X1383" s="1699" t="str">
        <f t="shared" si="1651"/>
        <v/>
      </c>
      <c r="Y1383" s="1699" t="str">
        <f t="shared" si="1651"/>
        <v/>
      </c>
      <c r="Z1383" s="1699" t="str">
        <f t="shared" si="1651"/>
        <v/>
      </c>
      <c r="AA1383" s="1699" t="str">
        <f t="shared" si="1651"/>
        <v/>
      </c>
      <c r="AB1383" s="1699" t="str">
        <f t="shared" si="1651"/>
        <v/>
      </c>
      <c r="AC1383" s="1699" t="str">
        <f t="shared" si="1651"/>
        <v/>
      </c>
      <c r="AD1383" s="1699" t="str">
        <f t="shared" si="1651"/>
        <v/>
      </c>
      <c r="AE1383" s="1699" t="str">
        <f t="shared" si="1651"/>
        <v/>
      </c>
      <c r="AF1383" s="1699" t="str">
        <f t="shared" si="1651"/>
        <v/>
      </c>
      <c r="AG1383" s="1699" t="str">
        <f t="shared" si="1651"/>
        <v>Check</v>
      </c>
      <c r="AH1383" s="1699" t="str">
        <f t="shared" si="1651"/>
        <v/>
      </c>
      <c r="AI1383" s="1699" t="str">
        <f t="shared" si="1651"/>
        <v/>
      </c>
      <c r="AJ1383" s="1699" t="str">
        <f t="shared" si="1651"/>
        <v/>
      </c>
      <c r="AK1383" s="1699" t="str">
        <f t="shared" si="1651"/>
        <v/>
      </c>
      <c r="AL1383" s="1699" t="str">
        <f t="shared" si="1651"/>
        <v/>
      </c>
      <c r="AM1383" s="1699" t="str">
        <f t="shared" si="1651"/>
        <v/>
      </c>
      <c r="AN1383" s="1699" t="str">
        <f t="shared" ref="AN1383:AO1383" si="1652">IF(ABS(AN1378-AN1381-AN1382)&gt;0.000001,"Check","")</f>
        <v/>
      </c>
      <c r="AO1383" s="1699" t="str">
        <f t="shared" si="1652"/>
        <v/>
      </c>
      <c r="AP1383" s="1699" t="str">
        <f t="shared" ref="AP1383:AT1383" si="1653">IF(ABS(AP1378-AP1381-AP1382)&gt;0.000001,"Check","")</f>
        <v/>
      </c>
      <c r="AQ1383" s="1699" t="str">
        <f t="shared" si="1653"/>
        <v/>
      </c>
      <c r="AR1383" s="1699" t="str">
        <f t="shared" si="1653"/>
        <v/>
      </c>
      <c r="AS1383" s="1699" t="str">
        <f t="shared" si="1653"/>
        <v/>
      </c>
      <c r="AT1383" s="2679" t="str">
        <f t="shared" si="1653"/>
        <v/>
      </c>
      <c r="AU1383" s="2679"/>
      <c r="AV1383" s="2679"/>
      <c r="AW1383" s="1"/>
      <c r="AX1383" s="1"/>
      <c r="AY1383" s="1"/>
      <c r="AZ1383" s="1"/>
      <c r="BA1383" s="1"/>
      <c r="BB1383" s="1"/>
      <c r="BC1383" s="1"/>
      <c r="BD1383" s="1"/>
      <c r="BE1383" s="1"/>
      <c r="BF1383" s="1"/>
      <c r="BG1383" s="1"/>
      <c r="BH1383" s="1"/>
      <c r="BI1383" s="1"/>
      <c r="BJ1383" s="1"/>
      <c r="BK1383" s="1"/>
      <c r="BL1383" s="1"/>
      <c r="BM1383" s="1"/>
      <c r="BN1383" s="1"/>
      <c r="BO1383" s="1"/>
      <c r="BP1383" s="1"/>
      <c r="BQ1383" s="1"/>
      <c r="BR1383" s="1"/>
      <c r="BS1383" s="1"/>
      <c r="BT1383" s="1"/>
      <c r="BU1383" s="1"/>
      <c r="BV1383" s="1"/>
      <c r="BW1383" s="1"/>
      <c r="BX1383" s="1"/>
      <c r="BY1383" s="1"/>
      <c r="BZ1383" s="1"/>
      <c r="CA1383" s="1"/>
      <c r="CB1383" s="1"/>
      <c r="CC1383" s="1"/>
      <c r="CD1383" s="1"/>
      <c r="CE1383" s="1"/>
      <c r="CF1383" s="1"/>
      <c r="CG1383" s="1"/>
      <c r="CH1383" s="1"/>
      <c r="CI1383" s="1"/>
      <c r="CJ1383" s="1"/>
      <c r="CK1383" s="1"/>
      <c r="CL1383" s="1"/>
      <c r="CM1383" s="1"/>
      <c r="CN1383" s="1"/>
      <c r="CO1383" s="1"/>
      <c r="CP1383" s="1"/>
      <c r="CQ1383" s="1"/>
      <c r="CR1383" s="1"/>
      <c r="CS1383" s="1"/>
      <c r="CT1383" s="1"/>
      <c r="CU1383" s="1"/>
      <c r="CV1383" s="1"/>
      <c r="CW1383" s="1"/>
      <c r="CX1383" s="1"/>
      <c r="CY1383" s="1"/>
      <c r="CZ1383" s="1"/>
      <c r="DA1383" s="1"/>
      <c r="DB1383" s="1"/>
      <c r="DC1383" s="1"/>
      <c r="DD1383" s="1"/>
      <c r="DE1383" s="1"/>
      <c r="DF1383" s="1"/>
      <c r="DG1383" s="1"/>
      <c r="DH1383" s="1"/>
      <c r="DI1383" s="1"/>
      <c r="DJ1383" s="1"/>
      <c r="DK1383" s="1"/>
      <c r="DL1383" s="1"/>
      <c r="DM1383" s="1"/>
      <c r="DN1383" s="1"/>
      <c r="DO1383" s="1"/>
      <c r="DP1383" s="1"/>
      <c r="DQ1383" s="1"/>
      <c r="DR1383" s="1"/>
      <c r="DS1383" s="1"/>
      <c r="DT1383" s="1"/>
      <c r="DU1383" s="1"/>
      <c r="EC1383" s="1696"/>
      <c r="ED1383" s="1689"/>
      <c r="EE1383" s="1689"/>
      <c r="EF1383" s="1689"/>
      <c r="EG1383" s="1689"/>
      <c r="EH1383" s="1689"/>
      <c r="EI1383" s="1689"/>
      <c r="EJ1383" s="1689"/>
      <c r="EK1383" s="1689"/>
      <c r="EL1383" s="1689"/>
      <c r="EM1383" s="1689"/>
      <c r="EN1383" s="1689"/>
      <c r="EO1383" s="1697"/>
      <c r="EP1383" s="1689"/>
      <c r="EQ1383" s="1689"/>
      <c r="ER1383" s="1689"/>
      <c r="ES1383" s="1689"/>
      <c r="ET1383" s="1689"/>
      <c r="EU1383" s="1689"/>
      <c r="EV1383" s="1689"/>
      <c r="EW1383" s="1689"/>
      <c r="EX1383" s="1689"/>
      <c r="EY1383" s="1689"/>
      <c r="EZ1383" s="1689"/>
      <c r="FA1383" s="1697"/>
      <c r="FB1383" s="1689"/>
      <c r="FC1383" s="1689"/>
      <c r="FD1383" s="1689"/>
      <c r="FE1383" s="1689"/>
      <c r="FF1383" s="1689"/>
      <c r="FG1383" s="1689"/>
      <c r="FH1383" s="1689"/>
      <c r="FI1383" s="1689"/>
      <c r="FJ1383" s="1689"/>
      <c r="FK1383" s="1689"/>
      <c r="FL1383" s="1689"/>
      <c r="FM1383" s="1697"/>
      <c r="FN1383" s="1689"/>
      <c r="FO1383" s="1689"/>
      <c r="FP1383" s="1689"/>
      <c r="FQ1383" s="1689"/>
      <c r="FR1383" s="1689"/>
      <c r="FS1383" s="1689"/>
      <c r="FT1383" s="1689"/>
      <c r="FU1383" s="1689"/>
      <c r="FV1383" s="1689"/>
      <c r="FW1383" s="1689"/>
      <c r="FX1383" s="1689"/>
      <c r="FY1383" s="1689"/>
      <c r="FZ1383" s="1689"/>
      <c r="GA1383" s="1689"/>
      <c r="GB1383" s="1689"/>
      <c r="GC1383" s="1689"/>
      <c r="GD1383" s="1689"/>
      <c r="GE1383" s="1689"/>
      <c r="GF1383" s="1689"/>
      <c r="GG1383" s="1689"/>
      <c r="GH1383" s="1689"/>
      <c r="GI1383" s="1689"/>
      <c r="GJ1383" s="1689"/>
      <c r="GK1383" s="1689"/>
      <c r="GL1383" s="1689"/>
      <c r="GM1383" s="1689"/>
      <c r="GN1383" s="1689"/>
      <c r="GO1383" s="1689"/>
      <c r="GP1383" s="1689"/>
      <c r="GQ1383" s="1689"/>
      <c r="GR1383" s="1689"/>
      <c r="GS1383" s="1689"/>
      <c r="GT1383" s="1689"/>
      <c r="GU1383" s="1689"/>
      <c r="GV1383" s="1689"/>
      <c r="GW1383" s="1689"/>
      <c r="GX1383" s="1689"/>
      <c r="IE1383" s="1699"/>
      <c r="IF1383" s="1699"/>
      <c r="IG1383" s="1699"/>
      <c r="IH1383" s="1699"/>
      <c r="II1383" s="1699"/>
      <c r="IJ1383" s="1699"/>
      <c r="IK1383" s="1699"/>
      <c r="IL1383" s="1699"/>
      <c r="IM1383" s="1699"/>
      <c r="IN1383" s="1699"/>
      <c r="IO1383" s="1699"/>
      <c r="IP1383" s="1699"/>
      <c r="IQ1383" s="1699"/>
      <c r="IR1383" s="1699"/>
      <c r="IS1383" s="1699"/>
    </row>
    <row r="1384" spans="1:253" s="1691" customFormat="1">
      <c r="A1384" s="1694"/>
      <c r="B1384" s="1694"/>
      <c r="C1384" s="1694"/>
      <c r="D1384" s="1694"/>
      <c r="AT1384" s="1690"/>
      <c r="AU1384" s="1690"/>
      <c r="AV1384" s="1690"/>
      <c r="AW1384" s="1"/>
      <c r="AX1384" s="1"/>
      <c r="AY1384" s="1"/>
      <c r="AZ1384" s="1"/>
      <c r="BA1384" s="1"/>
      <c r="BB1384" s="1"/>
      <c r="BC1384" s="1"/>
      <c r="BD1384" s="1"/>
      <c r="BE1384" s="1"/>
      <c r="BF1384" s="1"/>
      <c r="BG1384" s="1"/>
      <c r="BH1384" s="1"/>
      <c r="BI1384" s="1"/>
      <c r="BJ1384" s="1"/>
      <c r="BK1384" s="1"/>
      <c r="BL1384" s="1"/>
      <c r="BM1384" s="1"/>
      <c r="BN1384" s="1"/>
      <c r="BO1384" s="1"/>
      <c r="BP1384" s="1"/>
      <c r="BQ1384" s="1"/>
      <c r="BR1384" s="1"/>
      <c r="BS1384" s="1"/>
      <c r="BT1384" s="1"/>
      <c r="BU1384" s="1"/>
      <c r="BV1384" s="1"/>
      <c r="BW1384" s="1"/>
      <c r="BX1384" s="1"/>
      <c r="BY1384" s="1"/>
      <c r="BZ1384" s="1"/>
      <c r="CA1384" s="1"/>
      <c r="CB1384" s="1"/>
      <c r="CC1384" s="1"/>
      <c r="CD1384" s="1"/>
      <c r="CE1384" s="1"/>
      <c r="CF1384" s="1"/>
      <c r="CG1384" s="1"/>
      <c r="CH1384" s="1"/>
      <c r="CI1384" s="1"/>
      <c r="CJ1384" s="1"/>
      <c r="CK1384" s="1"/>
      <c r="CL1384" s="1"/>
      <c r="CM1384" s="1"/>
      <c r="CN1384" s="1"/>
      <c r="CO1384" s="1"/>
      <c r="CP1384" s="1"/>
      <c r="CQ1384" s="1"/>
      <c r="CR1384" s="1"/>
      <c r="CS1384" s="1"/>
      <c r="CT1384" s="1"/>
      <c r="CU1384" s="1"/>
      <c r="CV1384" s="1"/>
      <c r="CW1384" s="1"/>
      <c r="CX1384" s="1"/>
      <c r="CY1384" s="1"/>
      <c r="CZ1384" s="1"/>
      <c r="DA1384" s="1"/>
      <c r="DB1384" s="1"/>
      <c r="DC1384" s="1"/>
      <c r="DD1384" s="1"/>
      <c r="DE1384" s="1"/>
      <c r="DF1384" s="1"/>
      <c r="DG1384" s="1"/>
      <c r="DH1384" s="1"/>
      <c r="DI1384" s="1"/>
      <c r="DJ1384" s="1"/>
      <c r="DK1384" s="1"/>
      <c r="DL1384" s="1"/>
      <c r="DM1384" s="1"/>
      <c r="DN1384" s="1"/>
      <c r="DO1384" s="1"/>
      <c r="DP1384" s="1"/>
      <c r="DQ1384" s="1"/>
      <c r="DR1384" s="1"/>
      <c r="DS1384" s="1"/>
      <c r="DT1384" s="1"/>
      <c r="DU1384" s="1"/>
      <c r="EC1384" s="1696"/>
      <c r="ED1384" s="1689"/>
      <c r="EE1384" s="1689"/>
      <c r="EF1384" s="1689"/>
      <c r="EG1384" s="1689"/>
      <c r="EH1384" s="1689"/>
      <c r="EI1384" s="1689"/>
      <c r="EJ1384" s="1689"/>
      <c r="EK1384" s="1689"/>
      <c r="EL1384" s="1689"/>
      <c r="EM1384" s="1689"/>
      <c r="EN1384" s="1689"/>
      <c r="EO1384" s="1697"/>
      <c r="EP1384" s="1689"/>
      <c r="EQ1384" s="1689"/>
      <c r="ER1384" s="1689"/>
      <c r="ES1384" s="1689"/>
      <c r="ET1384" s="1689"/>
      <c r="EU1384" s="1689"/>
      <c r="EV1384" s="1689"/>
      <c r="EW1384" s="1689"/>
      <c r="EX1384" s="1689"/>
      <c r="EY1384" s="1689"/>
      <c r="EZ1384" s="1689"/>
      <c r="FA1384" s="1697"/>
      <c r="FB1384" s="1689"/>
      <c r="FC1384" s="1689"/>
      <c r="FD1384" s="1689"/>
      <c r="FE1384" s="1689"/>
      <c r="FF1384" s="1689"/>
      <c r="FG1384" s="1689"/>
      <c r="FH1384" s="1689"/>
      <c r="FI1384" s="1689"/>
      <c r="FJ1384" s="1689"/>
      <c r="FK1384" s="1689"/>
      <c r="FL1384" s="1689"/>
      <c r="FM1384" s="1697"/>
      <c r="FN1384" s="1689"/>
      <c r="FO1384" s="1689"/>
      <c r="FP1384" s="1689"/>
      <c r="FQ1384" s="1689"/>
      <c r="FR1384" s="1689"/>
      <c r="FS1384" s="1689"/>
      <c r="FT1384" s="1689"/>
      <c r="FU1384" s="1689"/>
      <c r="FV1384" s="1689"/>
      <c r="FW1384" s="1689"/>
      <c r="FX1384" s="1689"/>
      <c r="FY1384" s="1689"/>
      <c r="FZ1384" s="1689"/>
      <c r="GA1384" s="1689"/>
      <c r="GB1384" s="1689"/>
      <c r="GC1384" s="1689"/>
      <c r="GD1384" s="1689"/>
      <c r="GE1384" s="1689"/>
      <c r="GF1384" s="1689"/>
      <c r="GG1384" s="1689"/>
      <c r="GH1384" s="1689"/>
      <c r="GI1384" s="1689"/>
      <c r="GJ1384" s="1689"/>
      <c r="GK1384" s="1689"/>
      <c r="GL1384" s="1689"/>
      <c r="GM1384" s="1689"/>
      <c r="GN1384" s="1689"/>
      <c r="GO1384" s="1689"/>
      <c r="GP1384" s="1689"/>
      <c r="GQ1384" s="1689"/>
      <c r="GR1384" s="1689"/>
      <c r="GS1384" s="1689"/>
      <c r="GT1384" s="1689"/>
      <c r="GU1384" s="1689"/>
      <c r="GV1384" s="1689"/>
      <c r="GW1384" s="1689"/>
      <c r="GX1384" s="1689"/>
      <c r="IF1384" s="1700"/>
    </row>
    <row r="1385" spans="1:253" s="1691" customFormat="1">
      <c r="A1385" s="1694"/>
      <c r="B1385" s="1694"/>
      <c r="C1385" s="1694"/>
      <c r="D1385" s="1694" t="s">
        <v>3389</v>
      </c>
      <c r="V1385" s="1691">
        <f t="shared" ref="V1385:AT1385" si="1654">V421</f>
        <v>3778</v>
      </c>
      <c r="W1385" s="1691">
        <f t="shared" si="1654"/>
        <v>4373</v>
      </c>
      <c r="X1385" s="1691">
        <f t="shared" si="1654"/>
        <v>4846</v>
      </c>
      <c r="Y1385" s="1691">
        <f t="shared" si="1654"/>
        <v>5296</v>
      </c>
      <c r="Z1385" s="1691">
        <f t="shared" si="1654"/>
        <v>5771</v>
      </c>
      <c r="AA1385" s="1691">
        <f t="shared" si="1654"/>
        <v>6443</v>
      </c>
      <c r="AB1385" s="1691">
        <f t="shared" si="1654"/>
        <v>7237</v>
      </c>
      <c r="AC1385" s="1691">
        <f t="shared" si="1654"/>
        <v>7982</v>
      </c>
      <c r="AD1385" s="1691">
        <f t="shared" si="1654"/>
        <v>8784</v>
      </c>
      <c r="AE1385" s="1691">
        <f t="shared" si="1654"/>
        <v>9640</v>
      </c>
      <c r="AF1385" s="1691">
        <f t="shared" si="1654"/>
        <v>10499</v>
      </c>
      <c r="AG1385" s="1691">
        <f t="shared" si="1654"/>
        <v>12359</v>
      </c>
      <c r="AH1385" s="1691">
        <f t="shared" si="1654"/>
        <v>15800</v>
      </c>
      <c r="AI1385" s="1691">
        <f t="shared" si="1654"/>
        <v>18547.5</v>
      </c>
      <c r="AJ1385" s="1691">
        <f t="shared" si="1654"/>
        <v>21652.5</v>
      </c>
      <c r="AK1385" s="1691">
        <f t="shared" si="1654"/>
        <v>25286.692679098727</v>
      </c>
      <c r="AL1385" s="1691">
        <f t="shared" si="1654"/>
        <v>28849.370738551253</v>
      </c>
      <c r="AM1385" s="1691">
        <f t="shared" si="1654"/>
        <v>32496.933271959228</v>
      </c>
      <c r="AN1385" s="1691">
        <f t="shared" si="1654"/>
        <v>36664.816080221681</v>
      </c>
      <c r="AO1385" s="1691">
        <f t="shared" si="1654"/>
        <v>41241.139181209001</v>
      </c>
      <c r="AP1385" s="1691">
        <f t="shared" si="1654"/>
        <v>45973.462349951267</v>
      </c>
      <c r="AQ1385" s="1691">
        <f t="shared" si="1654"/>
        <v>51553.253914279325</v>
      </c>
      <c r="AR1385" s="1691">
        <f t="shared" si="1654"/>
        <v>57424.231915315424</v>
      </c>
      <c r="AS1385" s="1691">
        <f t="shared" si="1654"/>
        <v>64094.31706668924</v>
      </c>
      <c r="AT1385" s="1690">
        <f t="shared" si="1654"/>
        <v>82270.010091690798</v>
      </c>
      <c r="AU1385" s="1690">
        <f t="shared" si="1584"/>
        <v>105599.91696993241</v>
      </c>
      <c r="AV1385" s="1690">
        <f t="shared" si="1585"/>
        <v>0.28357729447510938</v>
      </c>
      <c r="AW1385" s="1"/>
      <c r="AX1385" s="1"/>
      <c r="AY1385" s="1"/>
      <c r="AZ1385" s="1"/>
      <c r="BA1385" s="1"/>
      <c r="BB1385" s="1"/>
      <c r="BC1385" s="1"/>
      <c r="BD1385" s="1"/>
      <c r="BE1385" s="1"/>
      <c r="BF1385" s="1"/>
      <c r="BG1385" s="1"/>
      <c r="BH1385" s="1"/>
      <c r="BI1385" s="1"/>
      <c r="BJ1385" s="1"/>
      <c r="BK1385" s="1"/>
      <c r="BL1385" s="1"/>
      <c r="BM1385" s="1"/>
      <c r="BN1385" s="1"/>
      <c r="BO1385" s="1"/>
      <c r="BP1385" s="1"/>
      <c r="BQ1385" s="1"/>
      <c r="BR1385" s="1"/>
      <c r="BS1385" s="1"/>
      <c r="BT1385" s="1"/>
      <c r="BU1385" s="1"/>
      <c r="BV1385" s="1"/>
      <c r="BW1385" s="1"/>
      <c r="BX1385" s="1"/>
      <c r="BY1385" s="1"/>
      <c r="BZ1385" s="1"/>
      <c r="CA1385" s="1"/>
      <c r="CB1385" s="1"/>
      <c r="CC1385" s="1"/>
      <c r="CD1385" s="1"/>
      <c r="CE1385" s="1"/>
      <c r="CF1385" s="1"/>
      <c r="CG1385" s="1"/>
      <c r="CH1385" s="1"/>
      <c r="CI1385" s="1"/>
      <c r="CJ1385" s="1"/>
      <c r="CK1385" s="1"/>
      <c r="CL1385" s="1"/>
      <c r="CM1385" s="1"/>
      <c r="CN1385" s="1"/>
      <c r="CO1385" s="1"/>
      <c r="CP1385" s="1"/>
      <c r="CQ1385" s="1"/>
      <c r="CR1385" s="1"/>
      <c r="CS1385" s="1"/>
      <c r="CT1385" s="1"/>
      <c r="CU1385" s="1"/>
      <c r="CV1385" s="1"/>
      <c r="CW1385" s="1"/>
      <c r="CX1385" s="1"/>
      <c r="CY1385" s="1"/>
      <c r="CZ1385" s="1"/>
      <c r="DA1385" s="1"/>
      <c r="DB1385" s="1"/>
      <c r="DC1385" s="1"/>
      <c r="DD1385" s="1"/>
      <c r="DE1385" s="1"/>
      <c r="DF1385" s="1"/>
      <c r="DG1385" s="1"/>
      <c r="DH1385" s="1"/>
      <c r="DI1385" s="1"/>
      <c r="DJ1385" s="1"/>
      <c r="DK1385" s="1"/>
      <c r="DL1385" s="1"/>
      <c r="DM1385" s="1"/>
      <c r="DN1385" s="1"/>
      <c r="DO1385" s="1"/>
      <c r="DP1385" s="1"/>
      <c r="DQ1385" s="1"/>
      <c r="DR1385" s="1"/>
      <c r="DS1385" s="1"/>
      <c r="DT1385" s="1"/>
      <c r="DU1385" s="1"/>
      <c r="EC1385" s="1696"/>
      <c r="ED1385" s="1689"/>
      <c r="EE1385" s="1689"/>
      <c r="EF1385" s="1689"/>
      <c r="EG1385" s="1689"/>
      <c r="EH1385" s="1689"/>
      <c r="EI1385" s="1689"/>
      <c r="EJ1385" s="1689"/>
      <c r="EK1385" s="1689"/>
      <c r="EL1385" s="1689"/>
      <c r="EM1385" s="1689"/>
      <c r="EN1385" s="1689"/>
      <c r="EO1385" s="1697"/>
      <c r="EP1385" s="1689"/>
      <c r="EQ1385" s="1689"/>
      <c r="ER1385" s="1689"/>
      <c r="ES1385" s="1689"/>
      <c r="ET1385" s="1689"/>
      <c r="EU1385" s="1689"/>
      <c r="EV1385" s="1689"/>
      <c r="EW1385" s="1689"/>
      <c r="EX1385" s="1689"/>
      <c r="EY1385" s="1689"/>
      <c r="EZ1385" s="1689"/>
      <c r="FA1385" s="1697"/>
      <c r="FB1385" s="1689"/>
      <c r="FC1385" s="1689"/>
      <c r="FD1385" s="1689"/>
      <c r="FE1385" s="1689"/>
      <c r="FF1385" s="1689"/>
      <c r="FG1385" s="1689"/>
      <c r="FH1385" s="1689"/>
      <c r="FI1385" s="1689"/>
      <c r="FJ1385" s="1689"/>
      <c r="FK1385" s="1689"/>
      <c r="FL1385" s="1689"/>
      <c r="FM1385" s="1697"/>
      <c r="FN1385" s="1689"/>
      <c r="FO1385" s="1689"/>
      <c r="FP1385" s="1689"/>
      <c r="FQ1385" s="1689"/>
      <c r="FR1385" s="1689"/>
      <c r="FS1385" s="1689"/>
      <c r="FT1385" s="1689"/>
      <c r="FU1385" s="1689"/>
      <c r="FV1385" s="1689"/>
      <c r="FW1385" s="1689"/>
      <c r="FX1385" s="1689"/>
      <c r="FY1385" s="1689"/>
      <c r="FZ1385" s="1689"/>
      <c r="GA1385" s="1689"/>
      <c r="GB1385" s="1689"/>
      <c r="GC1385" s="1689"/>
      <c r="GD1385" s="1689"/>
      <c r="GE1385" s="1689"/>
      <c r="GF1385" s="1689"/>
      <c r="GG1385" s="1689"/>
      <c r="GH1385" s="1689"/>
      <c r="GI1385" s="1689"/>
      <c r="GJ1385" s="1689"/>
      <c r="GK1385" s="1689"/>
      <c r="GL1385" s="1689"/>
      <c r="GM1385" s="1689"/>
      <c r="GN1385" s="1689"/>
      <c r="GO1385" s="1689"/>
      <c r="GP1385" s="1689"/>
      <c r="GQ1385" s="1689"/>
      <c r="GR1385" s="1689"/>
      <c r="GS1385" s="1689"/>
      <c r="GT1385" s="1689"/>
      <c r="GU1385" s="1689"/>
      <c r="GV1385" s="1689"/>
      <c r="GW1385" s="1689"/>
      <c r="GX1385" s="1689"/>
    </row>
    <row r="1386" spans="1:253" s="1691" customFormat="1">
      <c r="A1386" s="1694"/>
      <c r="B1386" s="1694"/>
      <c r="C1386" s="1694"/>
      <c r="D1386" s="1694" t="s">
        <v>3390</v>
      </c>
      <c r="V1386" s="1702">
        <f>V1378/V$1385</f>
        <v>5.3341115071731074E-2</v>
      </c>
      <c r="W1386" s="1702">
        <f t="shared" ref="W1386:AM1390" si="1655">W1378/W$1385</f>
        <v>6.0187514292247883E-2</v>
      </c>
      <c r="X1386" s="1702">
        <f t="shared" si="1655"/>
        <v>7.5637217011968641E-2</v>
      </c>
      <c r="Y1386" s="1702">
        <f t="shared" si="1655"/>
        <v>0.16323146366345778</v>
      </c>
      <c r="Z1386" s="1702">
        <f t="shared" si="1655"/>
        <v>0.17376179060474697</v>
      </c>
      <c r="AA1386" s="1702">
        <f t="shared" si="1655"/>
        <v>0.18127634605811302</v>
      </c>
      <c r="AB1386" s="1702">
        <f t="shared" si="1655"/>
        <v>0.17487473594652309</v>
      </c>
      <c r="AC1386" s="1702">
        <f t="shared" si="1655"/>
        <v>0.17823126732319147</v>
      </c>
      <c r="AD1386" s="1702">
        <f t="shared" si="1655"/>
        <v>0.19014996739316092</v>
      </c>
      <c r="AE1386" s="1702">
        <f t="shared" si="1655"/>
        <v>0.18314644640250891</v>
      </c>
      <c r="AF1386" s="1702">
        <f t="shared" si="1655"/>
        <v>0.19117087620602013</v>
      </c>
      <c r="AG1386" s="1702">
        <f t="shared" si="1655"/>
        <v>0.18431901010679039</v>
      </c>
      <c r="AH1386" s="1702">
        <f t="shared" si="1655"/>
        <v>0.17014303403236622</v>
      </c>
      <c r="AI1386" s="1702">
        <f t="shared" si="1655"/>
        <v>0.16462256110739515</v>
      </c>
      <c r="AJ1386" s="1702">
        <f t="shared" si="1655"/>
        <v>0.16438649584751933</v>
      </c>
      <c r="AK1386" s="1702">
        <f t="shared" si="1655"/>
        <v>0.17166464357905825</v>
      </c>
      <c r="AL1386" s="1702">
        <f t="shared" si="1655"/>
        <v>0.17868927527895331</v>
      </c>
      <c r="AM1386" s="1702">
        <f t="shared" si="1655"/>
        <v>0.18239565297251242</v>
      </c>
      <c r="AN1386" s="1702">
        <f t="shared" ref="AN1386:AO1386" si="1656">AN1378/AN$1385</f>
        <v>0.18409025631680032</v>
      </c>
      <c r="AO1386" s="1702">
        <f t="shared" si="1656"/>
        <v>0.18721483843062817</v>
      </c>
      <c r="AP1386" s="1702">
        <f t="shared" ref="AP1386:AT1386" si="1657">AP1378/AP$1385</f>
        <v>0.18907931224230848</v>
      </c>
      <c r="AQ1386" s="1702">
        <f t="shared" si="1657"/>
        <v>0.18754566006646367</v>
      </c>
      <c r="AR1386" s="1702">
        <f t="shared" si="1657"/>
        <v>0.18931826645585076</v>
      </c>
      <c r="AS1386" s="1702">
        <f t="shared" si="1657"/>
        <v>0.19086939094322325</v>
      </c>
      <c r="AT1386" s="2680">
        <f t="shared" si="1657"/>
        <v>0.19576868566952663</v>
      </c>
      <c r="AU1386" s="2680">
        <f t="shared" si="1584"/>
        <v>0.20079373701241776</v>
      </c>
      <c r="AV1386" s="2680">
        <f t="shared" si="1585"/>
        <v>2.5668310157497931E-2</v>
      </c>
      <c r="AW1386" s="1"/>
      <c r="AX1386" s="1"/>
      <c r="AY1386" s="1"/>
      <c r="AZ1386" s="1"/>
      <c r="BA1386" s="1"/>
      <c r="BB1386" s="1"/>
      <c r="BC1386" s="1"/>
      <c r="BD1386" s="1"/>
      <c r="BE1386" s="1"/>
      <c r="BF1386" s="1"/>
      <c r="BG1386" s="1"/>
      <c r="BH1386" s="1"/>
      <c r="BI1386" s="1"/>
      <c r="BJ1386" s="1"/>
      <c r="BK1386" s="1"/>
      <c r="BL1386" s="1"/>
      <c r="BM1386" s="1"/>
      <c r="BN1386" s="1"/>
      <c r="BO1386" s="1"/>
      <c r="BP1386" s="1"/>
      <c r="BQ1386" s="1"/>
      <c r="BR1386" s="1"/>
      <c r="BS1386" s="1"/>
      <c r="BT1386" s="1"/>
      <c r="BU1386" s="1"/>
      <c r="BV1386" s="1"/>
      <c r="BW1386" s="1"/>
      <c r="BX1386" s="1"/>
      <c r="BY1386" s="1"/>
      <c r="BZ1386" s="1"/>
      <c r="CA1386" s="1"/>
      <c r="CB1386" s="1"/>
      <c r="CC1386" s="1"/>
      <c r="CD1386" s="1"/>
      <c r="CE1386" s="1"/>
      <c r="CF1386" s="1"/>
      <c r="CG1386" s="1"/>
      <c r="CH1386" s="1"/>
      <c r="CI1386" s="1"/>
      <c r="CJ1386" s="1"/>
      <c r="CK1386" s="1"/>
      <c r="CL1386" s="1"/>
      <c r="CM1386" s="1"/>
      <c r="CN1386" s="1"/>
      <c r="CO1386" s="1"/>
      <c r="CP1386" s="1"/>
      <c r="CQ1386" s="1"/>
      <c r="CR1386" s="1"/>
      <c r="CS1386" s="1"/>
      <c r="CT1386" s="1"/>
      <c r="CU1386" s="1"/>
      <c r="CV1386" s="1"/>
      <c r="CW1386" s="1"/>
      <c r="CX1386" s="1"/>
      <c r="CY1386" s="1"/>
      <c r="CZ1386" s="1"/>
      <c r="DA1386" s="1"/>
      <c r="DB1386" s="1"/>
      <c r="DC1386" s="1"/>
      <c r="DD1386" s="1"/>
      <c r="DE1386" s="1"/>
      <c r="DF1386" s="1"/>
      <c r="DG1386" s="1"/>
      <c r="DH1386" s="1"/>
      <c r="DI1386" s="1"/>
      <c r="DJ1386" s="1"/>
      <c r="DK1386" s="1"/>
      <c r="DL1386" s="1"/>
      <c r="DM1386" s="1"/>
      <c r="DN1386" s="1"/>
      <c r="DO1386" s="1"/>
      <c r="DP1386" s="1"/>
      <c r="DQ1386" s="1"/>
      <c r="DR1386" s="1"/>
      <c r="DS1386" s="1"/>
      <c r="DT1386" s="1"/>
      <c r="DU1386" s="1"/>
      <c r="EC1386" s="1696"/>
      <c r="ED1386" s="1689"/>
      <c r="EE1386" s="1689"/>
      <c r="EF1386" s="1689"/>
      <c r="EG1386" s="1689"/>
      <c r="EH1386" s="1689"/>
      <c r="EI1386" s="1689"/>
      <c r="EJ1386" s="1689"/>
      <c r="EK1386" s="1689"/>
      <c r="EL1386" s="1689"/>
      <c r="EM1386" s="1689"/>
      <c r="EN1386" s="1689"/>
      <c r="EO1386" s="1697"/>
      <c r="EP1386" s="1689"/>
      <c r="EQ1386" s="1689"/>
      <c r="ER1386" s="1689"/>
      <c r="ES1386" s="1689"/>
      <c r="ET1386" s="1689"/>
      <c r="EU1386" s="1689"/>
      <c r="EV1386" s="1689"/>
      <c r="EW1386" s="1689"/>
      <c r="EX1386" s="1689"/>
      <c r="EY1386" s="1689"/>
      <c r="EZ1386" s="1689"/>
      <c r="FA1386" s="1697"/>
      <c r="FB1386" s="1689"/>
      <c r="FC1386" s="1689"/>
      <c r="FD1386" s="1689"/>
      <c r="FE1386" s="1689"/>
      <c r="FF1386" s="1689"/>
      <c r="FG1386" s="1689"/>
      <c r="FH1386" s="1689"/>
      <c r="FI1386" s="1689"/>
      <c r="FJ1386" s="1689"/>
      <c r="FK1386" s="1689"/>
      <c r="FL1386" s="1689"/>
      <c r="FM1386" s="1697"/>
      <c r="FN1386" s="1689"/>
      <c r="FO1386" s="1689"/>
      <c r="FP1386" s="1689"/>
      <c r="FQ1386" s="1689"/>
      <c r="FR1386" s="1689"/>
      <c r="FS1386" s="1689"/>
      <c r="FT1386" s="1689"/>
      <c r="FU1386" s="1689"/>
      <c r="FV1386" s="1689"/>
      <c r="FW1386" s="1689"/>
      <c r="FX1386" s="1689"/>
      <c r="FY1386" s="1689"/>
      <c r="FZ1386" s="1689"/>
      <c r="GA1386" s="1689"/>
      <c r="GB1386" s="1689"/>
      <c r="GC1386" s="1689"/>
      <c r="GD1386" s="1689"/>
      <c r="GE1386" s="1689"/>
      <c r="GF1386" s="1689"/>
      <c r="GG1386" s="1689"/>
      <c r="GH1386" s="1689"/>
      <c r="GI1386" s="1689"/>
      <c r="GJ1386" s="1689"/>
      <c r="GK1386" s="1689"/>
      <c r="GL1386" s="1689"/>
      <c r="GM1386" s="1689"/>
      <c r="GN1386" s="1689"/>
      <c r="GO1386" s="1689"/>
      <c r="GP1386" s="1689"/>
      <c r="GQ1386" s="1689"/>
      <c r="GR1386" s="1689"/>
      <c r="GS1386" s="1689"/>
      <c r="GT1386" s="1689"/>
      <c r="GU1386" s="1689"/>
      <c r="GV1386" s="1689"/>
      <c r="GW1386" s="1689"/>
      <c r="GX1386" s="1689"/>
      <c r="IE1386" s="1701"/>
      <c r="IF1386" s="1701"/>
      <c r="IG1386" s="1701"/>
      <c r="IH1386" s="1701"/>
      <c r="II1386" s="1701"/>
      <c r="IJ1386" s="1701"/>
      <c r="IK1386" s="1701"/>
      <c r="IL1386" s="1701"/>
      <c r="IM1386" s="1701"/>
      <c r="IN1386" s="1701"/>
      <c r="IO1386" s="1701"/>
      <c r="IP1386" s="1701"/>
      <c r="IQ1386" s="1701"/>
      <c r="IR1386" s="1701"/>
      <c r="IS1386" s="1701"/>
    </row>
    <row r="1387" spans="1:253" s="1691" customFormat="1">
      <c r="A1387" s="1694"/>
      <c r="B1387" s="1694"/>
      <c r="C1387" s="1694"/>
      <c r="D1387" s="1694" t="s">
        <v>3391</v>
      </c>
      <c r="V1387" s="1702">
        <f t="shared" ref="V1387:AK1390" si="1658">V1379/V$1385</f>
        <v>0.23670081259925888</v>
      </c>
      <c r="W1387" s="1702">
        <f t="shared" si="1658"/>
        <v>0.2330208095129202</v>
      </c>
      <c r="X1387" s="1702">
        <f t="shared" si="1658"/>
        <v>0.21057194552971525</v>
      </c>
      <c r="Y1387" s="1702">
        <f t="shared" si="1658"/>
        <v>0.26755689421287371</v>
      </c>
      <c r="Z1387" s="1702">
        <f t="shared" si="1658"/>
        <v>0.25718265786127853</v>
      </c>
      <c r="AA1387" s="1702">
        <f t="shared" si="1658"/>
        <v>0.24810975313451847</v>
      </c>
      <c r="AB1387" s="1702">
        <f t="shared" si="1658"/>
        <v>0.24156813352207374</v>
      </c>
      <c r="AC1387" s="1702">
        <f t="shared" si="1658"/>
        <v>0.23821178147093464</v>
      </c>
      <c r="AD1387" s="1702">
        <f t="shared" si="1658"/>
        <v>0.25969976210988499</v>
      </c>
      <c r="AE1387" s="1702">
        <f t="shared" si="1658"/>
        <v>0.25462011961176001</v>
      </c>
      <c r="AF1387" s="1702">
        <f t="shared" si="1658"/>
        <v>0.26968718641464035</v>
      </c>
      <c r="AG1387" s="1702">
        <f t="shared" si="1658"/>
        <v>0.27513134115361787</v>
      </c>
      <c r="AH1387" s="1702">
        <f t="shared" si="1658"/>
        <v>0.23586316750276959</v>
      </c>
      <c r="AI1387" s="1702">
        <f t="shared" si="1658"/>
        <v>0.22395798437465364</v>
      </c>
      <c r="AJ1387" s="1702">
        <f t="shared" si="1658"/>
        <v>0.19923593491602445</v>
      </c>
      <c r="AK1387" s="1702">
        <f t="shared" si="1658"/>
        <v>0.1907114078287912</v>
      </c>
      <c r="AL1387" s="1702">
        <f t="shared" si="1655"/>
        <v>0.1902825498488098</v>
      </c>
      <c r="AM1387" s="1702">
        <f t="shared" si="1655"/>
        <v>0.1955496303579902</v>
      </c>
      <c r="AN1387" s="1702">
        <f t="shared" ref="AN1387" si="1659">AN1379/AN$1385</f>
        <v>0.19652265069505367</v>
      </c>
      <c r="AO1387" s="1702">
        <f>AO1379/AO$1385</f>
        <v>0.20085563436884563</v>
      </c>
      <c r="AP1387" s="1702">
        <f t="shared" ref="AP1387:AT1387" si="1660">AP1379/AP$1385</f>
        <v>0.2019252179154179</v>
      </c>
      <c r="AQ1387" s="1702">
        <f t="shared" si="1660"/>
        <v>0.20207636304625495</v>
      </c>
      <c r="AR1387" s="1702">
        <f t="shared" si="1660"/>
        <v>0.20142772758801816</v>
      </c>
      <c r="AS1387" s="1702">
        <f t="shared" si="1660"/>
        <v>0.21036055135305864</v>
      </c>
      <c r="AT1387" s="2680">
        <f t="shared" si="1660"/>
        <v>0.21415266163047797</v>
      </c>
      <c r="AU1387" s="2680">
        <f t="shared" ref="AU1387:AU1390" si="1661">AT1387*(1+AV1387)</f>
        <v>0.21801313120940896</v>
      </c>
      <c r="AV1387" s="2680">
        <f t="shared" ref="AV1387:AV1390" si="1662">AT1387/AS1387-1</f>
        <v>1.80267177140776E-2</v>
      </c>
      <c r="AW1387" s="1"/>
      <c r="AX1387" s="1"/>
      <c r="AY1387" s="1"/>
      <c r="AZ1387" s="1"/>
      <c r="BA1387" s="1"/>
      <c r="BB1387" s="1"/>
      <c r="BC1387" s="1"/>
      <c r="BD1387" s="1"/>
      <c r="BE1387" s="1"/>
      <c r="BF1387" s="1"/>
      <c r="BG1387" s="1"/>
      <c r="BH1387" s="1"/>
      <c r="BI1387" s="1"/>
      <c r="BJ1387" s="1"/>
      <c r="BK1387" s="1"/>
      <c r="BL1387" s="1"/>
      <c r="BM1387" s="1"/>
      <c r="BN1387" s="1"/>
      <c r="BO1387" s="1"/>
      <c r="BP1387" s="1"/>
      <c r="BQ1387" s="1"/>
      <c r="BR1387" s="1"/>
      <c r="BS1387" s="1"/>
      <c r="BT1387" s="1"/>
      <c r="BU1387" s="1"/>
      <c r="BV1387" s="1"/>
      <c r="BW1387" s="1"/>
      <c r="BX1387" s="1"/>
      <c r="BY1387" s="1"/>
      <c r="BZ1387" s="1"/>
      <c r="CA1387" s="1"/>
      <c r="CB1387" s="1"/>
      <c r="CC1387" s="1"/>
      <c r="CD1387" s="1"/>
      <c r="CE1387" s="1"/>
      <c r="CF1387" s="1"/>
      <c r="CG1387" s="1"/>
      <c r="CH1387" s="1"/>
      <c r="CI1387" s="1"/>
      <c r="CJ1387" s="1"/>
      <c r="CK1387" s="1"/>
      <c r="CL1387" s="1"/>
      <c r="CM1387" s="1"/>
      <c r="CN1387" s="1"/>
      <c r="CO1387" s="1"/>
      <c r="CP1387" s="1"/>
      <c r="CQ1387" s="1"/>
      <c r="CR1387" s="1"/>
      <c r="CS1387" s="1"/>
      <c r="CT1387" s="1"/>
      <c r="CU1387" s="1"/>
      <c r="CV1387" s="1"/>
      <c r="CW1387" s="1"/>
      <c r="CX1387" s="1"/>
      <c r="CY1387" s="1"/>
      <c r="CZ1387" s="1"/>
      <c r="DA1387" s="1"/>
      <c r="DB1387" s="1"/>
      <c r="DC1387" s="1"/>
      <c r="DD1387" s="1"/>
      <c r="DE1387" s="1"/>
      <c r="DF1387" s="1"/>
      <c r="DG1387" s="1"/>
      <c r="DH1387" s="1"/>
      <c r="DI1387" s="1"/>
      <c r="DJ1387" s="1"/>
      <c r="DK1387" s="1"/>
      <c r="DL1387" s="1"/>
      <c r="DM1387" s="1"/>
      <c r="DN1387" s="1"/>
      <c r="DO1387" s="1"/>
      <c r="DP1387" s="1"/>
      <c r="DQ1387" s="1"/>
      <c r="DR1387" s="1"/>
      <c r="DS1387" s="1"/>
      <c r="DT1387" s="1"/>
      <c r="DU1387" s="1"/>
      <c r="EC1387" s="1696"/>
      <c r="ED1387" s="1689"/>
      <c r="EE1387" s="1689"/>
      <c r="EF1387" s="1689"/>
      <c r="EG1387" s="1689"/>
      <c r="EH1387" s="1689"/>
      <c r="EI1387" s="1689"/>
      <c r="EJ1387" s="1689"/>
      <c r="EK1387" s="1689"/>
      <c r="EL1387" s="1689"/>
      <c r="EM1387" s="1689"/>
      <c r="EN1387" s="1689"/>
      <c r="EO1387" s="1697"/>
      <c r="EP1387" s="1689"/>
      <c r="EQ1387" s="1689"/>
      <c r="ER1387" s="1689"/>
      <c r="ES1387" s="1689"/>
      <c r="ET1387" s="1689"/>
      <c r="EU1387" s="1689"/>
      <c r="EV1387" s="1689"/>
      <c r="EW1387" s="1689"/>
      <c r="EX1387" s="1689"/>
      <c r="EY1387" s="1689"/>
      <c r="EZ1387" s="1689"/>
      <c r="FA1387" s="1697"/>
      <c r="FB1387" s="1689"/>
      <c r="FC1387" s="1689"/>
      <c r="FD1387" s="1689"/>
      <c r="FE1387" s="1689"/>
      <c r="FF1387" s="1689"/>
      <c r="FG1387" s="1689"/>
      <c r="FH1387" s="1689"/>
      <c r="FI1387" s="1689"/>
      <c r="FJ1387" s="1689"/>
      <c r="FK1387" s="1689"/>
      <c r="FL1387" s="1689"/>
      <c r="FM1387" s="1697"/>
      <c r="FN1387" s="1689"/>
      <c r="FO1387" s="1689"/>
      <c r="FP1387" s="1689"/>
      <c r="FQ1387" s="1689"/>
      <c r="FR1387" s="1689"/>
      <c r="FS1387" s="1689"/>
      <c r="FT1387" s="1689"/>
      <c r="FU1387" s="1689"/>
      <c r="FV1387" s="1689"/>
      <c r="FW1387" s="1689"/>
      <c r="FX1387" s="1689"/>
      <c r="FY1387" s="1689"/>
      <c r="FZ1387" s="1689"/>
      <c r="GA1387" s="1689"/>
      <c r="GB1387" s="1689"/>
      <c r="GC1387" s="1689"/>
      <c r="GD1387" s="1689"/>
      <c r="GE1387" s="1689"/>
      <c r="GF1387" s="1689"/>
      <c r="GG1387" s="1689"/>
      <c r="GH1387" s="1689"/>
      <c r="GI1387" s="1689"/>
      <c r="GJ1387" s="1689"/>
      <c r="GK1387" s="1689"/>
      <c r="GL1387" s="1689"/>
      <c r="GM1387" s="1689"/>
      <c r="GN1387" s="1689"/>
      <c r="GO1387" s="1689"/>
      <c r="GP1387" s="1689"/>
      <c r="GQ1387" s="1689"/>
      <c r="GR1387" s="1689"/>
      <c r="GS1387" s="1689"/>
      <c r="GT1387" s="1689"/>
      <c r="GU1387" s="1689"/>
      <c r="GV1387" s="1689"/>
      <c r="GW1387" s="1689"/>
      <c r="GX1387" s="1689"/>
      <c r="IE1387" s="1701"/>
      <c r="IF1387" s="1701"/>
      <c r="IG1387" s="1701"/>
      <c r="IH1387" s="1701"/>
      <c r="II1387" s="1701"/>
      <c r="IJ1387" s="1701"/>
      <c r="IK1387" s="1701"/>
      <c r="IL1387" s="1701"/>
      <c r="IM1387" s="1701"/>
      <c r="IN1387" s="1701"/>
      <c r="IO1387" s="1701"/>
      <c r="IP1387" s="1701"/>
      <c r="IQ1387" s="1701"/>
      <c r="IR1387" s="1701"/>
      <c r="IS1387" s="1701"/>
    </row>
    <row r="1388" spans="1:253" s="1691" customFormat="1">
      <c r="A1388" s="1694"/>
      <c r="B1388" s="1694"/>
      <c r="C1388" s="1694"/>
      <c r="D1388" s="1694" t="s">
        <v>3392</v>
      </c>
      <c r="V1388" s="1702">
        <f t="shared" si="1658"/>
        <v>-4.9499020645844358E-3</v>
      </c>
      <c r="W1388" s="1702">
        <f t="shared" si="1655"/>
        <v>3.9560942144980559E-3</v>
      </c>
      <c r="X1388" s="1702">
        <f t="shared" si="1655"/>
        <v>-1.0833677259595546E-2</v>
      </c>
      <c r="Y1388" s="1702">
        <f t="shared" si="1655"/>
        <v>2.9358028305431029E-2</v>
      </c>
      <c r="Z1388" s="1702">
        <f t="shared" si="1655"/>
        <v>3.5140902078857041E-2</v>
      </c>
      <c r="AA1388" s="1702">
        <f t="shared" si="1655"/>
        <v>3.3551343012493622E-2</v>
      </c>
      <c r="AB1388" s="1702">
        <f t="shared" si="1655"/>
        <v>2.8814795360950069E-2</v>
      </c>
      <c r="AC1388" s="1702">
        <f t="shared" si="1655"/>
        <v>3.4238868357435559E-2</v>
      </c>
      <c r="AD1388" s="1702">
        <f t="shared" si="1655"/>
        <v>3.7603324893802206E-2</v>
      </c>
      <c r="AE1388" s="1702">
        <f t="shared" si="1655"/>
        <v>5.4085360788906578E-2</v>
      </c>
      <c r="AF1388" s="1702">
        <f t="shared" si="1655"/>
        <v>5.634304610480096E-2</v>
      </c>
      <c r="AG1388" s="1702">
        <f t="shared" si="1655"/>
        <v>6.6195106405700727E-2</v>
      </c>
      <c r="AH1388" s="1702">
        <f t="shared" si="1655"/>
        <v>4.9994681474434893E-2</v>
      </c>
      <c r="AI1388" s="1702">
        <f t="shared" si="1655"/>
        <v>4.7741130121471222E-2</v>
      </c>
      <c r="AJ1388" s="1702">
        <f t="shared" si="1655"/>
        <v>4.7954725271965773E-2</v>
      </c>
      <c r="AK1388" s="1702">
        <f t="shared" si="1655"/>
        <v>6.4682680365782452E-2</v>
      </c>
      <c r="AL1388" s="1702">
        <f t="shared" si="1655"/>
        <v>5.8294965476245214E-2</v>
      </c>
      <c r="AM1388" s="1702">
        <f t="shared" si="1655"/>
        <v>4.9916254940297021E-2</v>
      </c>
      <c r="AN1388" s="1702">
        <f t="shared" ref="AN1388:AO1388" si="1663">AN1380/AN$1385</f>
        <v>3.43794737600586E-2</v>
      </c>
      <c r="AO1388" s="1702">
        <f t="shared" si="1663"/>
        <v>3.1936771998541828E-2</v>
      </c>
      <c r="AP1388" s="1702">
        <f t="shared" ref="AP1388:AT1388" si="1664">AP1380/AP$1385</f>
        <v>3.3075526600216523E-2</v>
      </c>
      <c r="AQ1388" s="1702">
        <f t="shared" si="1664"/>
        <v>3.4891014015557685E-2</v>
      </c>
      <c r="AR1388" s="1702">
        <f t="shared" si="1664"/>
        <v>3.1678309779366573E-2</v>
      </c>
      <c r="AS1388" s="1702">
        <f t="shared" si="1664"/>
        <v>2.9665215810261901E-2</v>
      </c>
      <c r="AT1388" s="2680">
        <f t="shared" si="1664"/>
        <v>2.6574272484382204E-2</v>
      </c>
      <c r="AU1388" s="2680">
        <f t="shared" si="1661"/>
        <v>2.380538751482484E-2</v>
      </c>
      <c r="AV1388" s="2680">
        <f t="shared" si="1662"/>
        <v>-0.1041941965178782</v>
      </c>
      <c r="AW1388" s="1"/>
      <c r="AX1388" s="1"/>
      <c r="AY1388" s="1"/>
      <c r="AZ1388" s="1"/>
      <c r="BA1388" s="1"/>
      <c r="BB1388" s="1"/>
      <c r="BC1388" s="1"/>
      <c r="BD1388" s="1"/>
      <c r="BE1388" s="1"/>
      <c r="BF1388" s="1"/>
      <c r="BG1388" s="1"/>
      <c r="BH1388" s="1"/>
      <c r="BI1388" s="1"/>
      <c r="BJ1388" s="1"/>
      <c r="BK1388" s="1"/>
      <c r="BL1388" s="1"/>
      <c r="BM1388" s="1"/>
      <c r="BN1388" s="1"/>
      <c r="BO1388" s="1"/>
      <c r="BP1388" s="1"/>
      <c r="BQ1388" s="1"/>
      <c r="BR1388" s="1"/>
      <c r="BS1388" s="1"/>
      <c r="BT1388" s="1"/>
      <c r="BU1388" s="1"/>
      <c r="BV1388" s="1"/>
      <c r="BW1388" s="1"/>
      <c r="BX1388" s="1"/>
      <c r="BY1388" s="1"/>
      <c r="BZ1388" s="1"/>
      <c r="CA1388" s="1"/>
      <c r="CB1388" s="1"/>
      <c r="CC1388" s="1"/>
      <c r="CD1388" s="1"/>
      <c r="CE1388" s="1"/>
      <c r="CF1388" s="1"/>
      <c r="CG1388" s="1"/>
      <c r="CH1388" s="1"/>
      <c r="CI1388" s="1"/>
      <c r="CJ1388" s="1"/>
      <c r="CK1388" s="1"/>
      <c r="CL1388" s="1"/>
      <c r="CM1388" s="1"/>
      <c r="CN1388" s="1"/>
      <c r="CO1388" s="1"/>
      <c r="CP1388" s="1"/>
      <c r="CQ1388" s="1"/>
      <c r="CR1388" s="1"/>
      <c r="CS1388" s="1"/>
      <c r="CT1388" s="1"/>
      <c r="CU1388" s="1"/>
      <c r="CV1388" s="1"/>
      <c r="CW1388" s="1"/>
      <c r="CX1388" s="1"/>
      <c r="CY1388" s="1"/>
      <c r="CZ1388" s="1"/>
      <c r="DA1388" s="1"/>
      <c r="DB1388" s="1"/>
      <c r="DC1388" s="1"/>
      <c r="DD1388" s="1"/>
      <c r="DE1388" s="1"/>
      <c r="DF1388" s="1"/>
      <c r="DG1388" s="1"/>
      <c r="DH1388" s="1"/>
      <c r="DI1388" s="1"/>
      <c r="DJ1388" s="1"/>
      <c r="DK1388" s="1"/>
      <c r="DL1388" s="1"/>
      <c r="DM1388" s="1"/>
      <c r="DN1388" s="1"/>
      <c r="DO1388" s="1"/>
      <c r="DP1388" s="1"/>
      <c r="DQ1388" s="1"/>
      <c r="DR1388" s="1"/>
      <c r="DS1388" s="1"/>
      <c r="DT1388" s="1"/>
      <c r="DU1388" s="1"/>
      <c r="EC1388" s="1696"/>
      <c r="ED1388" s="1689"/>
      <c r="EE1388" s="1689"/>
      <c r="EF1388" s="1689"/>
      <c r="EG1388" s="1689"/>
      <c r="EH1388" s="1689"/>
      <c r="EI1388" s="1689"/>
      <c r="EJ1388" s="1689"/>
      <c r="EK1388" s="1689"/>
      <c r="EL1388" s="1689"/>
      <c r="EM1388" s="1689"/>
      <c r="EN1388" s="1689"/>
      <c r="EO1388" s="1697"/>
      <c r="EP1388" s="1689"/>
      <c r="EQ1388" s="1689"/>
      <c r="ER1388" s="1689"/>
      <c r="ES1388" s="1689"/>
      <c r="ET1388" s="1689"/>
      <c r="EU1388" s="1689"/>
      <c r="EV1388" s="1689"/>
      <c r="EW1388" s="1689"/>
      <c r="EX1388" s="1689"/>
      <c r="EY1388" s="1689"/>
      <c r="EZ1388" s="1689"/>
      <c r="FA1388" s="1697"/>
      <c r="FB1388" s="1689"/>
      <c r="FC1388" s="1689"/>
      <c r="FD1388" s="1689"/>
      <c r="FE1388" s="1689"/>
      <c r="FF1388" s="1689"/>
      <c r="FG1388" s="1689"/>
      <c r="FH1388" s="1689"/>
      <c r="FI1388" s="1689"/>
      <c r="FJ1388" s="1689"/>
      <c r="FK1388" s="1689"/>
      <c r="FL1388" s="1689"/>
      <c r="FM1388" s="1697"/>
      <c r="FN1388" s="1689"/>
      <c r="FO1388" s="1689"/>
      <c r="FP1388" s="1689"/>
      <c r="FQ1388" s="1689"/>
      <c r="FR1388" s="1689"/>
      <c r="FS1388" s="1689"/>
      <c r="FT1388" s="1689"/>
      <c r="FU1388" s="1689"/>
      <c r="FV1388" s="1689"/>
      <c r="FW1388" s="1689"/>
      <c r="FX1388" s="1689"/>
      <c r="FY1388" s="1689"/>
      <c r="FZ1388" s="1689"/>
      <c r="GA1388" s="1689"/>
      <c r="GB1388" s="1689"/>
      <c r="GC1388" s="1689"/>
      <c r="GD1388" s="1689"/>
      <c r="GE1388" s="1689"/>
      <c r="GF1388" s="1689"/>
      <c r="GG1388" s="1689"/>
      <c r="GH1388" s="1689"/>
      <c r="GI1388" s="1689"/>
      <c r="GJ1388" s="1689"/>
      <c r="GK1388" s="1689"/>
      <c r="GL1388" s="1689"/>
      <c r="GM1388" s="1689"/>
      <c r="GN1388" s="1689"/>
      <c r="GO1388" s="1689"/>
      <c r="GP1388" s="1689"/>
      <c r="GQ1388" s="1689"/>
      <c r="GR1388" s="1689"/>
      <c r="GS1388" s="1689"/>
      <c r="GT1388" s="1689"/>
      <c r="GU1388" s="1689"/>
      <c r="GV1388" s="1689"/>
      <c r="GW1388" s="1689"/>
      <c r="GX1388" s="1689"/>
      <c r="IE1388" s="1701"/>
      <c r="IF1388" s="1701"/>
      <c r="IG1388" s="1701"/>
      <c r="IH1388" s="1701"/>
      <c r="II1388" s="1701"/>
      <c r="IJ1388" s="1701"/>
      <c r="IK1388" s="1701"/>
      <c r="IL1388" s="1701"/>
      <c r="IM1388" s="1701"/>
      <c r="IN1388" s="1701"/>
      <c r="IO1388" s="1701"/>
      <c r="IP1388" s="1701"/>
      <c r="IQ1388" s="1701"/>
      <c r="IR1388" s="1701"/>
      <c r="IS1388" s="1701"/>
    </row>
    <row r="1389" spans="1:253" s="1691" customFormat="1">
      <c r="A1389" s="1694"/>
      <c r="B1389" s="1694"/>
      <c r="C1389" s="1694"/>
      <c r="D1389" s="1694" t="s">
        <v>3393</v>
      </c>
      <c r="V1389" s="1702">
        <f t="shared" si="1658"/>
        <v>0.23175091053467442</v>
      </c>
      <c r="W1389" s="1702">
        <f t="shared" si="1655"/>
        <v>0.23697690372741828</v>
      </c>
      <c r="X1389" s="1702">
        <f t="shared" si="1655"/>
        <v>0.1997382682701197</v>
      </c>
      <c r="Y1389" s="1702">
        <f t="shared" si="1655"/>
        <v>0.2969149225183047</v>
      </c>
      <c r="Z1389" s="1702">
        <f t="shared" si="1655"/>
        <v>0.29232355994013554</v>
      </c>
      <c r="AA1389" s="1702">
        <f t="shared" si="1655"/>
        <v>0.28166109614701212</v>
      </c>
      <c r="AB1389" s="1702">
        <f t="shared" si="1655"/>
        <v>0.27038292888302379</v>
      </c>
      <c r="AC1389" s="1702">
        <f t="shared" si="1655"/>
        <v>0.27245064982837019</v>
      </c>
      <c r="AD1389" s="1702">
        <f t="shared" si="1655"/>
        <v>0.29730308700368718</v>
      </c>
      <c r="AE1389" s="1702">
        <f t="shared" si="1655"/>
        <v>0.31513247288655866</v>
      </c>
      <c r="AF1389" s="1702">
        <f t="shared" si="1655"/>
        <v>0.32897201783880509</v>
      </c>
      <c r="AG1389" s="1702">
        <f t="shared" si="1655"/>
        <v>0.34132644755931851</v>
      </c>
      <c r="AH1389" s="1702">
        <f t="shared" si="1655"/>
        <v>0.28585784897720451</v>
      </c>
      <c r="AI1389" s="1702">
        <f t="shared" si="1655"/>
        <v>0.27169911449612488</v>
      </c>
      <c r="AJ1389" s="1702">
        <f t="shared" si="1655"/>
        <v>0.2471906601879903</v>
      </c>
      <c r="AK1389" s="1702">
        <f t="shared" si="1655"/>
        <v>0.2553940881945736</v>
      </c>
      <c r="AL1389" s="1702">
        <f t="shared" si="1655"/>
        <v>0.24857751532505498</v>
      </c>
      <c r="AM1389" s="1702">
        <f t="shared" si="1655"/>
        <v>0.24546588529828725</v>
      </c>
      <c r="AN1389" s="1702">
        <f t="shared" ref="AN1389:AO1389" si="1665">AN1381/AN$1385</f>
        <v>0.2309021244551123</v>
      </c>
      <c r="AO1389" s="1702">
        <f t="shared" si="1665"/>
        <v>0.23279240636738749</v>
      </c>
      <c r="AP1389" s="1702">
        <f t="shared" ref="AP1389:AT1389" si="1666">AP1381/AP$1385</f>
        <v>0.23500074451563444</v>
      </c>
      <c r="AQ1389" s="1702">
        <f t="shared" si="1666"/>
        <v>0.23696737706181262</v>
      </c>
      <c r="AR1389" s="1702">
        <f t="shared" si="1666"/>
        <v>0.23310603736738472</v>
      </c>
      <c r="AS1389" s="1702">
        <f t="shared" si="1666"/>
        <v>0.24002576716332055</v>
      </c>
      <c r="AT1389" s="2680">
        <f t="shared" si="1666"/>
        <v>0.24072693411486018</v>
      </c>
      <c r="AU1389" s="2680">
        <f t="shared" si="1661"/>
        <v>0.24143014932605017</v>
      </c>
      <c r="AV1389" s="2680">
        <f t="shared" si="1662"/>
        <v>2.9212153337792035E-3</v>
      </c>
      <c r="AW1389" s="1"/>
      <c r="AX1389" s="1"/>
      <c r="AY1389" s="1"/>
      <c r="AZ1389" s="1"/>
      <c r="BA1389" s="1"/>
      <c r="BB1389" s="1"/>
      <c r="BC1389" s="1"/>
      <c r="BD1389" s="1"/>
      <c r="BE1389" s="1"/>
      <c r="BF1389" s="1"/>
      <c r="BG1389" s="1"/>
      <c r="BH1389" s="1"/>
      <c r="BI1389" s="1"/>
      <c r="BJ1389" s="1"/>
      <c r="BK1389" s="1"/>
      <c r="BL1389" s="1"/>
      <c r="BM1389" s="1"/>
      <c r="BN1389" s="1"/>
      <c r="BO1389" s="1"/>
      <c r="BP1389" s="1"/>
      <c r="BQ1389" s="1"/>
      <c r="BR1389" s="1"/>
      <c r="BS1389" s="1"/>
      <c r="BT1389" s="1"/>
      <c r="BU1389" s="1"/>
      <c r="BV1389" s="1"/>
      <c r="BW1389" s="1"/>
      <c r="BX1389" s="1"/>
      <c r="BY1389" s="1"/>
      <c r="BZ1389" s="1"/>
      <c r="CA1389" s="1"/>
      <c r="CB1389" s="1"/>
      <c r="CC1389" s="1"/>
      <c r="CD1389" s="1"/>
      <c r="CE1389" s="1"/>
      <c r="CF1389" s="1"/>
      <c r="CG1389" s="1"/>
      <c r="CH1389" s="1"/>
      <c r="CI1389" s="1"/>
      <c r="CJ1389" s="1"/>
      <c r="CK1389" s="1"/>
      <c r="CL1389" s="1"/>
      <c r="CM1389" s="1"/>
      <c r="CN1389" s="1"/>
      <c r="CO1389" s="1"/>
      <c r="CP1389" s="1"/>
      <c r="CQ1389" s="1"/>
      <c r="CR1389" s="1"/>
      <c r="CS1389" s="1"/>
      <c r="CT1389" s="1"/>
      <c r="CU1389" s="1"/>
      <c r="CV1389" s="1"/>
      <c r="CW1389" s="1"/>
      <c r="CX1389" s="1"/>
      <c r="CY1389" s="1"/>
      <c r="CZ1389" s="1"/>
      <c r="DA1389" s="1"/>
      <c r="DB1389" s="1"/>
      <c r="DC1389" s="1"/>
      <c r="DD1389" s="1"/>
      <c r="DE1389" s="1"/>
      <c r="DF1389" s="1"/>
      <c r="DG1389" s="1"/>
      <c r="DH1389" s="1"/>
      <c r="DI1389" s="1"/>
      <c r="DJ1389" s="1"/>
      <c r="DK1389" s="1"/>
      <c r="DL1389" s="1"/>
      <c r="DM1389" s="1"/>
      <c r="DN1389" s="1"/>
      <c r="DO1389" s="1"/>
      <c r="DP1389" s="1"/>
      <c r="DQ1389" s="1"/>
      <c r="DR1389" s="1"/>
      <c r="DS1389" s="1"/>
      <c r="DT1389" s="1"/>
      <c r="DU1389" s="1"/>
      <c r="EC1389" s="1696"/>
      <c r="ED1389" s="1689"/>
      <c r="EE1389" s="1689"/>
      <c r="EF1389" s="1689"/>
      <c r="EG1389" s="1689"/>
      <c r="EH1389" s="1689"/>
      <c r="EI1389" s="1689"/>
      <c r="EJ1389" s="1689"/>
      <c r="EK1389" s="1689"/>
      <c r="EL1389" s="1689"/>
      <c r="EM1389" s="1689"/>
      <c r="EN1389" s="1689"/>
      <c r="EO1389" s="1697"/>
      <c r="EP1389" s="1689"/>
      <c r="EQ1389" s="1689"/>
      <c r="ER1389" s="1689"/>
      <c r="ES1389" s="1689"/>
      <c r="ET1389" s="1689"/>
      <c r="EU1389" s="1689"/>
      <c r="EV1389" s="1689"/>
      <c r="EW1389" s="1689"/>
      <c r="EX1389" s="1689"/>
      <c r="EY1389" s="1689"/>
      <c r="EZ1389" s="1689"/>
      <c r="FA1389" s="1697"/>
      <c r="FB1389" s="1689"/>
      <c r="FC1389" s="1689"/>
      <c r="FD1389" s="1689"/>
      <c r="FE1389" s="1689"/>
      <c r="FF1389" s="1689"/>
      <c r="FG1389" s="1689"/>
      <c r="FH1389" s="1689"/>
      <c r="FI1389" s="1689"/>
      <c r="FJ1389" s="1689"/>
      <c r="FK1389" s="1689"/>
      <c r="FL1389" s="1689"/>
      <c r="FM1389" s="1697"/>
      <c r="FN1389" s="1689"/>
      <c r="FO1389" s="1689"/>
      <c r="FP1389" s="1689"/>
      <c r="FQ1389" s="1689"/>
      <c r="FR1389" s="1689"/>
      <c r="FS1389" s="1689"/>
      <c r="FT1389" s="1689"/>
      <c r="FU1389" s="1689"/>
      <c r="FV1389" s="1689"/>
      <c r="FW1389" s="1689"/>
      <c r="FX1389" s="1689"/>
      <c r="FY1389" s="1689"/>
      <c r="FZ1389" s="1689"/>
      <c r="GA1389" s="1689"/>
      <c r="GB1389" s="1689"/>
      <c r="GC1389" s="1689"/>
      <c r="GD1389" s="1689"/>
      <c r="GE1389" s="1689"/>
      <c r="GF1389" s="1689"/>
      <c r="GG1389" s="1689"/>
      <c r="GH1389" s="1689"/>
      <c r="GI1389" s="1689"/>
      <c r="GJ1389" s="1689"/>
      <c r="GK1389" s="1689"/>
      <c r="GL1389" s="1689"/>
      <c r="GM1389" s="1689"/>
      <c r="GN1389" s="1689"/>
      <c r="GO1389" s="1689"/>
      <c r="GP1389" s="1689"/>
      <c r="GQ1389" s="1689"/>
      <c r="GR1389" s="1689"/>
      <c r="GS1389" s="1689"/>
      <c r="GT1389" s="1689"/>
      <c r="GU1389" s="1689"/>
      <c r="GV1389" s="1689"/>
      <c r="GW1389" s="1689"/>
      <c r="GX1389" s="1689"/>
      <c r="IE1389" s="1701"/>
      <c r="IF1389" s="1701"/>
      <c r="IG1389" s="1701"/>
      <c r="IH1389" s="1701"/>
      <c r="II1389" s="1701"/>
      <c r="IJ1389" s="1701"/>
      <c r="IK1389" s="1701"/>
      <c r="IL1389" s="1701"/>
      <c r="IM1389" s="1701"/>
      <c r="IN1389" s="1701"/>
      <c r="IO1389" s="1701"/>
      <c r="IP1389" s="1701"/>
      <c r="IQ1389" s="1701"/>
      <c r="IR1389" s="1701"/>
      <c r="IS1389" s="1701"/>
    </row>
    <row r="1390" spans="1:253" s="1691" customFormat="1">
      <c r="A1390" s="1694"/>
      <c r="B1390" s="1694"/>
      <c r="C1390" s="1694"/>
      <c r="D1390" s="1694" t="s">
        <v>3394</v>
      </c>
      <c r="V1390" s="1702">
        <f t="shared" si="1658"/>
        <v>0</v>
      </c>
      <c r="W1390" s="1702">
        <f t="shared" si="1655"/>
        <v>0</v>
      </c>
      <c r="X1390" s="1702">
        <f t="shared" si="1655"/>
        <v>-0.12410105125815107</v>
      </c>
      <c r="Y1390" s="1702">
        <f t="shared" si="1655"/>
        <v>-0.13368345885484692</v>
      </c>
      <c r="Z1390" s="1702">
        <f t="shared" si="1655"/>
        <v>-0.11856176933538859</v>
      </c>
      <c r="AA1390" s="1702">
        <f t="shared" si="1655"/>
        <v>-0.10038475008889912</v>
      </c>
      <c r="AB1390" s="1702">
        <f t="shared" si="1655"/>
        <v>-9.5508192936500702E-2</v>
      </c>
      <c r="AC1390" s="1702">
        <f t="shared" si="1655"/>
        <v>-9.4219382505178667E-2</v>
      </c>
      <c r="AD1390" s="1702">
        <f t="shared" si="1655"/>
        <v>-0.10715311961052623</v>
      </c>
      <c r="AE1390" s="1702">
        <f t="shared" si="1655"/>
        <v>-0.13198602648404975</v>
      </c>
      <c r="AF1390" s="1702">
        <f t="shared" si="1655"/>
        <v>-0.1378011416327849</v>
      </c>
      <c r="AG1390" s="1702">
        <f t="shared" si="1655"/>
        <v>-0.15684561206212438</v>
      </c>
      <c r="AH1390" s="1702">
        <f t="shared" si="1655"/>
        <v>-0.11571481494483828</v>
      </c>
      <c r="AI1390" s="1702">
        <f t="shared" si="1655"/>
        <v>-0.10707655338872973</v>
      </c>
      <c r="AJ1390" s="1702">
        <f t="shared" si="1655"/>
        <v>-8.2804164340470915E-2</v>
      </c>
      <c r="AK1390" s="1702">
        <f t="shared" si="1655"/>
        <v>-8.3729444615515361E-2</v>
      </c>
      <c r="AL1390" s="1702">
        <f t="shared" si="1655"/>
        <v>-6.9888240046101682E-2</v>
      </c>
      <c r="AM1390" s="1702">
        <f t="shared" si="1655"/>
        <v>-6.3070232325774842E-2</v>
      </c>
      <c r="AN1390" s="1702">
        <f t="shared" ref="AN1390:AO1390" si="1667">AN1382/AN$1385</f>
        <v>-4.6811868138311979E-2</v>
      </c>
      <c r="AO1390" s="1702">
        <f t="shared" si="1667"/>
        <v>-4.5577567936759295E-2</v>
      </c>
      <c r="AP1390" s="1702">
        <f t="shared" ref="AP1390:AT1390" si="1668">AP1382/AP$1385</f>
        <v>-4.5921432273325957E-2</v>
      </c>
      <c r="AQ1390" s="1702">
        <f t="shared" si="1668"/>
        <v>-4.9421716995348933E-2</v>
      </c>
      <c r="AR1390" s="1702">
        <f t="shared" si="1668"/>
        <v>-4.3787770911533928E-2</v>
      </c>
      <c r="AS1390" s="1702">
        <f t="shared" si="1668"/>
        <v>-4.9156376220097296E-2</v>
      </c>
      <c r="AT1390" s="2680">
        <f t="shared" si="1668"/>
        <v>-4.495824844533354E-2</v>
      </c>
      <c r="AU1390" s="2680">
        <f t="shared" si="1661"/>
        <v>-4.1118655578316655E-2</v>
      </c>
      <c r="AV1390" s="2680">
        <f t="shared" si="1662"/>
        <v>-8.5403524376302054E-2</v>
      </c>
      <c r="AW1390" s="1"/>
      <c r="AX1390" s="1"/>
      <c r="AY1390" s="1"/>
      <c r="AZ1390" s="1"/>
      <c r="BA1390" s="1"/>
      <c r="BB1390" s="1"/>
      <c r="BC1390" s="1"/>
      <c r="BD1390" s="1"/>
      <c r="BE1390" s="1"/>
      <c r="BF1390" s="1"/>
      <c r="BG1390" s="1"/>
      <c r="BH1390" s="1"/>
      <c r="BI1390" s="1"/>
      <c r="BJ1390" s="1"/>
      <c r="BK1390" s="1"/>
      <c r="BL1390" s="1"/>
      <c r="BM1390" s="1"/>
      <c r="BN1390" s="1"/>
      <c r="BO1390" s="1"/>
      <c r="BP1390" s="1"/>
      <c r="BQ1390" s="1"/>
      <c r="BR1390" s="1"/>
      <c r="BS1390" s="1"/>
      <c r="BT1390" s="1"/>
      <c r="BU1390" s="1"/>
      <c r="BV1390" s="1"/>
      <c r="BW1390" s="1"/>
      <c r="BX1390" s="1"/>
      <c r="BY1390" s="1"/>
      <c r="BZ1390" s="1"/>
      <c r="CA1390" s="1"/>
      <c r="CB1390" s="1"/>
      <c r="CC1390" s="1"/>
      <c r="CD1390" s="1"/>
      <c r="CE1390" s="1"/>
      <c r="CF1390" s="1"/>
      <c r="CG1390" s="1"/>
      <c r="CH1390" s="1"/>
      <c r="CI1390" s="1"/>
      <c r="CJ1390" s="1"/>
      <c r="CK1390" s="1"/>
      <c r="CL1390" s="1"/>
      <c r="CM1390" s="1"/>
      <c r="CN1390" s="1"/>
      <c r="CO1390" s="1"/>
      <c r="CP1390" s="1"/>
      <c r="CQ1390" s="1"/>
      <c r="CR1390" s="1"/>
      <c r="CS1390" s="1"/>
      <c r="CT1390" s="1"/>
      <c r="CU1390" s="1"/>
      <c r="CV1390" s="1"/>
      <c r="CW1390" s="1"/>
      <c r="CX1390" s="1"/>
      <c r="CY1390" s="1"/>
      <c r="CZ1390" s="1"/>
      <c r="DA1390" s="1"/>
      <c r="DB1390" s="1"/>
      <c r="DC1390" s="1"/>
      <c r="DD1390" s="1"/>
      <c r="DE1390" s="1"/>
      <c r="DF1390" s="1"/>
      <c r="DG1390" s="1"/>
      <c r="DH1390" s="1"/>
      <c r="DI1390" s="1"/>
      <c r="DJ1390" s="1"/>
      <c r="DK1390" s="1"/>
      <c r="DL1390" s="1"/>
      <c r="DM1390" s="1"/>
      <c r="DN1390" s="1"/>
      <c r="DO1390" s="1"/>
      <c r="DP1390" s="1"/>
      <c r="DQ1390" s="1"/>
      <c r="DR1390" s="1"/>
      <c r="DS1390" s="1"/>
      <c r="DT1390" s="1"/>
      <c r="DU1390" s="1"/>
      <c r="EC1390" s="1696"/>
      <c r="ED1390" s="1689"/>
      <c r="EE1390" s="1689"/>
      <c r="EF1390" s="1689"/>
      <c r="EG1390" s="1689"/>
      <c r="EH1390" s="1689"/>
      <c r="EI1390" s="1689"/>
      <c r="EJ1390" s="1689"/>
      <c r="EK1390" s="1689"/>
      <c r="EL1390" s="1689"/>
      <c r="EM1390" s="1689"/>
      <c r="EN1390" s="1689"/>
      <c r="EO1390" s="1697"/>
      <c r="EP1390" s="1689"/>
      <c r="EQ1390" s="1689"/>
      <c r="ER1390" s="1689"/>
      <c r="ES1390" s="1689"/>
      <c r="ET1390" s="1689"/>
      <c r="EU1390" s="1689"/>
      <c r="EV1390" s="1689"/>
      <c r="EW1390" s="1689"/>
      <c r="EX1390" s="1689"/>
      <c r="EY1390" s="1689"/>
      <c r="EZ1390" s="1689"/>
      <c r="FA1390" s="1697"/>
      <c r="FB1390" s="1689"/>
      <c r="FC1390" s="1689"/>
      <c r="FD1390" s="1689"/>
      <c r="FE1390" s="1689"/>
      <c r="FF1390" s="1689"/>
      <c r="FG1390" s="1689"/>
      <c r="FH1390" s="1689"/>
      <c r="FI1390" s="1689"/>
      <c r="FJ1390" s="1689"/>
      <c r="FK1390" s="1689"/>
      <c r="FL1390" s="1689"/>
      <c r="FM1390" s="1697"/>
      <c r="FN1390" s="1689"/>
      <c r="FO1390" s="1689"/>
      <c r="FP1390" s="1689"/>
      <c r="FQ1390" s="1689"/>
      <c r="FR1390" s="1689"/>
      <c r="FS1390" s="1689"/>
      <c r="FT1390" s="1689"/>
      <c r="FU1390" s="1689"/>
      <c r="FV1390" s="1689"/>
      <c r="FW1390" s="1689"/>
      <c r="FX1390" s="1689"/>
      <c r="FY1390" s="1689"/>
      <c r="FZ1390" s="1689"/>
      <c r="GA1390" s="1689"/>
      <c r="GB1390" s="1689"/>
      <c r="GC1390" s="1689"/>
      <c r="GD1390" s="1689"/>
      <c r="GE1390" s="1689"/>
      <c r="GF1390" s="1689"/>
      <c r="GG1390" s="1689"/>
      <c r="GH1390" s="1689"/>
      <c r="GI1390" s="1689"/>
      <c r="GJ1390" s="1689"/>
      <c r="GK1390" s="1689"/>
      <c r="GL1390" s="1689"/>
      <c r="GM1390" s="1689"/>
      <c r="GN1390" s="1689"/>
      <c r="GO1390" s="1689"/>
      <c r="GP1390" s="1689"/>
      <c r="GQ1390" s="1689"/>
      <c r="GR1390" s="1689"/>
      <c r="GS1390" s="1689"/>
      <c r="GT1390" s="1689"/>
      <c r="GU1390" s="1689"/>
      <c r="GV1390" s="1689"/>
      <c r="GW1390" s="1689"/>
      <c r="GX1390" s="1689"/>
      <c r="IE1390" s="1701"/>
      <c r="IF1390" s="1701"/>
      <c r="IG1390" s="1701"/>
      <c r="IH1390" s="1701"/>
      <c r="II1390" s="1701"/>
      <c r="IJ1390" s="1701"/>
      <c r="IK1390" s="1701"/>
      <c r="IL1390" s="1701"/>
      <c r="IM1390" s="1701"/>
      <c r="IN1390" s="1701"/>
      <c r="IO1390" s="1701"/>
      <c r="IP1390" s="1701"/>
      <c r="IQ1390" s="1701"/>
      <c r="IR1390" s="1701"/>
      <c r="IS1390" s="1701"/>
    </row>
    <row r="1391" spans="1:253">
      <c r="A1391" s="1"/>
      <c r="B1391" s="1"/>
      <c r="C1391" s="1"/>
      <c r="D1391" s="355"/>
      <c r="E1391" s="279"/>
      <c r="F1391" s="279"/>
      <c r="G1391" s="279"/>
      <c r="H1391" s="279"/>
      <c r="I1391" s="279"/>
      <c r="J1391" s="279"/>
      <c r="K1391" s="279"/>
      <c r="L1391" s="279"/>
      <c r="M1391" s="279"/>
      <c r="N1391" s="279"/>
      <c r="O1391" s="279"/>
      <c r="P1391" s="279"/>
      <c r="Q1391" s="279"/>
      <c r="R1391" s="279"/>
      <c r="S1391" s="279"/>
      <c r="T1391" s="279"/>
      <c r="U1391" s="279"/>
      <c r="V1391" s="279"/>
      <c r="W1391" s="279"/>
      <c r="X1391" s="279"/>
      <c r="Y1391" s="279"/>
      <c r="Z1391" s="279"/>
      <c r="AA1391" s="279"/>
      <c r="AB1391" s="279"/>
      <c r="AC1391" s="1767"/>
      <c r="AD1391" s="1767"/>
      <c r="AE1391" s="1767"/>
      <c r="AF1391" s="1767"/>
      <c r="AG1391" s="1767"/>
      <c r="AH1391" s="957"/>
      <c r="AI1391" s="957">
        <f t="shared" ref="AI1391:AP1391" si="1669">AI1392/AI421</f>
        <v>0</v>
      </c>
      <c r="AJ1391" s="957">
        <f t="shared" si="1669"/>
        <v>1.2370476706264736E-2</v>
      </c>
      <c r="AK1391" s="957">
        <f t="shared" si="1669"/>
        <v>0</v>
      </c>
      <c r="AL1391" s="957">
        <f t="shared" si="1669"/>
        <v>0</v>
      </c>
      <c r="AM1391" s="957">
        <f t="shared" si="1669"/>
        <v>0</v>
      </c>
      <c r="AN1391" s="957">
        <f t="shared" si="1669"/>
        <v>0</v>
      </c>
      <c r="AO1391" s="957">
        <f t="shared" si="1669"/>
        <v>0</v>
      </c>
      <c r="AP1391" s="957">
        <f t="shared" si="1669"/>
        <v>0</v>
      </c>
      <c r="AQ1391" s="957"/>
      <c r="AR1391" s="957"/>
      <c r="AS1391" s="957"/>
      <c r="AT1391" s="2676"/>
      <c r="AV1391" s="2680"/>
    </row>
    <row r="1392" spans="1:253">
      <c r="A1392" s="1"/>
      <c r="B1392" s="1"/>
      <c r="C1392" s="1"/>
      <c r="D1392" s="464" t="s">
        <v>3244</v>
      </c>
      <c r="E1392" s="279"/>
      <c r="F1392" s="279"/>
      <c r="G1392" s="279"/>
      <c r="H1392" s="279"/>
      <c r="I1392" s="279"/>
      <c r="J1392" s="279"/>
      <c r="K1392" s="279"/>
      <c r="L1392" s="279"/>
      <c r="M1392" s="279"/>
      <c r="N1392" s="279"/>
      <c r="O1392" s="279"/>
      <c r="P1392" s="279"/>
      <c r="Q1392" s="279"/>
      <c r="R1392" s="279"/>
      <c r="S1392" s="279"/>
      <c r="T1392" s="279"/>
      <c r="U1392" s="279"/>
      <c r="V1392" s="279"/>
      <c r="W1392" s="279">
        <f t="shared" ref="W1392:AB1392" si="1670">W1396/V1396-1</f>
        <v>0.26312880044223319</v>
      </c>
      <c r="X1392" s="279">
        <f t="shared" si="1670"/>
        <v>0.23430176647702439</v>
      </c>
      <c r="Y1392" s="279">
        <f t="shared" si="1670"/>
        <v>1.5811908125437211</v>
      </c>
      <c r="Z1392" s="279">
        <f t="shared" si="1670"/>
        <v>0.14044626364330526</v>
      </c>
      <c r="AA1392" s="279">
        <f t="shared" si="1670"/>
        <v>0.20491655893633887</v>
      </c>
      <c r="AB1392" s="279">
        <f t="shared" si="1670"/>
        <v>5.2034197303230556E-2</v>
      </c>
      <c r="AC1392" s="1767"/>
      <c r="AD1392" s="1767"/>
      <c r="AE1392" s="1767"/>
      <c r="AF1392" s="1767"/>
      <c r="AG1392" s="1767"/>
      <c r="AH1392" s="1767"/>
      <c r="AI1392" s="1767"/>
      <c r="AJ1392" s="958">
        <f>AJ1363-AJ1334</f>
        <v>267.85174688239721</v>
      </c>
      <c r="AV1392" s="2680"/>
    </row>
    <row r="1393" spans="1:125">
      <c r="A1393" s="1"/>
      <c r="B1393" s="1"/>
      <c r="C1393" s="1"/>
      <c r="D1393" s="354" t="str">
        <f>+FISCinyear!D1072</f>
        <v>IV.2 FISCAL GFS 2014 to OUTPUT &amp;SUMMARY</v>
      </c>
      <c r="E1393" s="287"/>
      <c r="F1393" s="287"/>
      <c r="G1393" s="287"/>
      <c r="H1393" s="287"/>
      <c r="I1393" s="287"/>
      <c r="J1393" s="287"/>
      <c r="K1393" s="287"/>
      <c r="L1393" s="287"/>
      <c r="M1393" s="287"/>
      <c r="N1393" s="287"/>
      <c r="O1393" s="287"/>
      <c r="P1393" s="287"/>
      <c r="Q1393" s="287"/>
      <c r="R1393" s="287"/>
      <c r="S1393" s="287"/>
      <c r="T1393" s="287"/>
      <c r="U1393" s="287"/>
      <c r="V1393" s="365" t="s">
        <v>173</v>
      </c>
      <c r="W1393" s="365" t="s">
        <v>174</v>
      </c>
      <c r="X1393" s="365" t="s">
        <v>175</v>
      </c>
      <c r="Y1393" s="365" t="s">
        <v>176</v>
      </c>
      <c r="Z1393" s="365" t="s">
        <v>177</v>
      </c>
      <c r="AA1393" s="365" t="s">
        <v>178</v>
      </c>
      <c r="AB1393" s="365" t="s">
        <v>179</v>
      </c>
      <c r="AC1393" s="365" t="s">
        <v>180</v>
      </c>
      <c r="AD1393" s="365" t="s">
        <v>181</v>
      </c>
      <c r="AE1393" s="365" t="s">
        <v>182</v>
      </c>
      <c r="AF1393" s="365" t="s">
        <v>1062</v>
      </c>
      <c r="AG1393" s="365" t="s">
        <v>1088</v>
      </c>
      <c r="AH1393" s="365" t="s">
        <v>1089</v>
      </c>
      <c r="AI1393" s="365" t="s">
        <v>1090</v>
      </c>
      <c r="AJ1393" s="365" t="s">
        <v>1091</v>
      </c>
      <c r="AK1393" s="365" t="s">
        <v>1092</v>
      </c>
      <c r="AL1393" s="365" t="s">
        <v>3216</v>
      </c>
      <c r="AM1393" s="365" t="s">
        <v>3277</v>
      </c>
      <c r="AN1393" s="365" t="s">
        <v>3487</v>
      </c>
      <c r="AO1393" s="365" t="s">
        <v>3488</v>
      </c>
      <c r="AP1393" s="365" t="s">
        <v>3611</v>
      </c>
      <c r="AQ1393" s="365" t="s">
        <v>3612</v>
      </c>
      <c r="AR1393" s="365" t="s">
        <v>3613</v>
      </c>
      <c r="AS1393" s="365" t="s">
        <v>3614</v>
      </c>
      <c r="AT1393" s="365" t="s">
        <v>3615</v>
      </c>
    </row>
    <row r="1394" spans="1:125">
      <c r="A1394" s="1"/>
      <c r="B1394" s="1"/>
      <c r="C1394" s="1"/>
      <c r="D1394" s="355"/>
      <c r="E1394" s="279"/>
      <c r="F1394" s="279"/>
      <c r="G1394" s="279"/>
      <c r="H1394" s="279"/>
      <c r="I1394" s="279"/>
      <c r="J1394" s="279"/>
      <c r="K1394" s="279"/>
      <c r="L1394" s="279"/>
      <c r="M1394" s="279"/>
      <c r="N1394" s="279"/>
      <c r="O1394" s="279"/>
      <c r="P1394" s="279"/>
      <c r="Q1394" s="279"/>
      <c r="R1394" s="279"/>
      <c r="S1394" s="279"/>
      <c r="T1394" s="279"/>
      <c r="U1394" s="279"/>
      <c r="V1394" s="279"/>
      <c r="W1394" s="279"/>
      <c r="X1394" s="279"/>
      <c r="Y1394" s="279"/>
      <c r="Z1394" s="279"/>
      <c r="AA1394" s="279"/>
      <c r="AB1394" s="279"/>
      <c r="AC1394" s="279"/>
      <c r="AD1394" s="279"/>
      <c r="AE1394" s="279"/>
    </row>
    <row r="1395" spans="1:125">
      <c r="A1395" s="1"/>
      <c r="B1395" s="1"/>
      <c r="C1395" s="1"/>
      <c r="D1395" s="2530" t="str">
        <f>+FISCinyear!D1075</f>
        <v xml:space="preserve">REVENUE </v>
      </c>
      <c r="E1395" s="498"/>
      <c r="F1395" s="498"/>
      <c r="G1395" s="498"/>
      <c r="H1395" s="498"/>
      <c r="I1395" s="498"/>
      <c r="J1395" s="498"/>
      <c r="K1395" s="498"/>
      <c r="L1395" s="498"/>
      <c r="M1395" s="498"/>
      <c r="N1395" s="498"/>
      <c r="O1395" s="498"/>
      <c r="P1395" s="498"/>
      <c r="Q1395" s="498"/>
      <c r="R1395" s="498"/>
      <c r="S1395" s="498"/>
      <c r="T1395" s="498"/>
      <c r="U1395" s="498"/>
      <c r="V1395" s="499">
        <f>V1396+V1403+V1404+V1415</f>
        <v>559.92576983499998</v>
      </c>
      <c r="W1395" s="499">
        <f t="shared" ref="W1395:AK1395" si="1671">W1396+W1403+W1404+W1415</f>
        <v>685.9</v>
      </c>
      <c r="X1395" s="499">
        <f t="shared" si="1671"/>
        <v>646.93795363999993</v>
      </c>
      <c r="Y1395" s="499">
        <f t="shared" si="1671"/>
        <v>1338.7904887842924</v>
      </c>
      <c r="Z1395" s="499">
        <f t="shared" si="1671"/>
        <v>1418.7067005752942</v>
      </c>
      <c r="AA1395" s="499">
        <f t="shared" si="1671"/>
        <v>1541.6771034459719</v>
      </c>
      <c r="AB1395" s="503">
        <f t="shared" si="1671"/>
        <v>1615.7619294919562</v>
      </c>
      <c r="AC1395" s="503">
        <f t="shared" si="1671"/>
        <v>1820.4124327910467</v>
      </c>
      <c r="AD1395" s="503">
        <f t="shared" si="1671"/>
        <v>2065.0273714377413</v>
      </c>
      <c r="AE1395" s="1632">
        <f t="shared" si="1671"/>
        <v>2203.0901479640534</v>
      </c>
      <c r="AF1395" s="1632">
        <f t="shared" si="1671"/>
        <v>2573.1596054000879</v>
      </c>
      <c r="AG1395" s="1632">
        <f t="shared" si="1671"/>
        <v>3102.1830053361032</v>
      </c>
      <c r="AH1395" s="1632">
        <f t="shared" si="1671"/>
        <v>3399.5671834663381</v>
      </c>
      <c r="AI1395" s="1632">
        <f t="shared" si="1671"/>
        <v>3811.1283616710443</v>
      </c>
      <c r="AJ1395" s="1632">
        <f t="shared" si="1671"/>
        <v>4173.9710730474917</v>
      </c>
      <c r="AK1395" s="1632">
        <f t="shared" si="1671"/>
        <v>5009.107316346327</v>
      </c>
      <c r="AL1395" s="503">
        <f>AL1396+AL1403+AL1404+AL1415</f>
        <v>5699.0542939759362</v>
      </c>
      <c r="AM1395" s="503">
        <f>AM1396+AM1403+AM1404+AM1415</f>
        <v>6532.4817386167815</v>
      </c>
      <c r="AN1395" s="503">
        <f t="shared" ref="AN1395:AO1395" si="1672">AN1396+AN1403+AN1404+AN1415</f>
        <v>7366.7899456167024</v>
      </c>
      <c r="AO1395" s="503">
        <f t="shared" si="1672"/>
        <v>8347.0312750893245</v>
      </c>
      <c r="AP1395" s="503">
        <f t="shared" ref="AP1395:AT1395" si="1673">AP1396+AP1403+AP1404+AP1415</f>
        <v>9407.0700004552964</v>
      </c>
      <c r="AQ1395" s="503">
        <f t="shared" si="1673"/>
        <v>10542.223906915666</v>
      </c>
      <c r="AR1395" s="503">
        <f t="shared" si="1673"/>
        <v>11770.192048466168</v>
      </c>
      <c r="AS1395" s="503">
        <f t="shared" si="1673"/>
        <v>13159.436446995243</v>
      </c>
      <c r="AT1395" s="2681">
        <f t="shared" si="1673"/>
        <v>17060.103553957015</v>
      </c>
      <c r="AV1395" s="1219">
        <f>AL1395-AL1060</f>
        <v>0</v>
      </c>
    </row>
    <row r="1396" spans="1:125">
      <c r="A1396" s="1"/>
      <c r="B1396" s="1"/>
      <c r="C1396" s="1"/>
      <c r="D1396" s="2531" t="str">
        <f>+FISCinyear!D1076</f>
        <v xml:space="preserve">Taxes </v>
      </c>
      <c r="E1396" s="498"/>
      <c r="F1396" s="498"/>
      <c r="G1396" s="498"/>
      <c r="H1396" s="498"/>
      <c r="I1396" s="498"/>
      <c r="J1396" s="498"/>
      <c r="K1396" s="498"/>
      <c r="L1396" s="498"/>
      <c r="M1396" s="498"/>
      <c r="N1396" s="498"/>
      <c r="O1396" s="498"/>
      <c r="P1396" s="498"/>
      <c r="Q1396" s="498"/>
      <c r="R1396" s="498"/>
      <c r="S1396" s="498"/>
      <c r="T1396" s="498"/>
      <c r="U1396" s="498"/>
      <c r="V1396" s="501">
        <f>V1397+V1398+V1399+V1400+V1401+V1402</f>
        <v>180.9</v>
      </c>
      <c r="W1396" s="501">
        <f t="shared" ref="W1396:AK1396" si="1674">W1397+W1398+W1399+W1400+W1401+W1402</f>
        <v>228.49999999999997</v>
      </c>
      <c r="X1396" s="501">
        <f t="shared" si="1674"/>
        <v>282.03795364000001</v>
      </c>
      <c r="Y1396" s="501">
        <f t="shared" si="1674"/>
        <v>727.99377472419997</v>
      </c>
      <c r="Z1396" s="501">
        <f t="shared" si="1674"/>
        <v>830.2377803398</v>
      </c>
      <c r="AA1396" s="501">
        <f t="shared" si="1674"/>
        <v>1000.3672493859758</v>
      </c>
      <c r="AB1396" s="501">
        <f t="shared" si="1674"/>
        <v>1052.4205562162158</v>
      </c>
      <c r="AC1396" s="501">
        <f t="shared" si="1674"/>
        <v>1198.9734424605276</v>
      </c>
      <c r="AD1396" s="501">
        <f t="shared" si="1674"/>
        <v>1402.5222584188773</v>
      </c>
      <c r="AE1396" s="1633">
        <f t="shared" si="1674"/>
        <v>1475.6087142883362</v>
      </c>
      <c r="AF1396" s="1633">
        <f t="shared" si="1674"/>
        <v>1621.6892824968352</v>
      </c>
      <c r="AG1396" s="1633">
        <f t="shared" si="1674"/>
        <v>1876.7735911488617</v>
      </c>
      <c r="AH1396" s="1633">
        <f t="shared" si="1674"/>
        <v>2287.3717968127403</v>
      </c>
      <c r="AI1396" s="1633">
        <f t="shared" si="1674"/>
        <v>2593.3215244053276</v>
      </c>
      <c r="AJ1396" s="1633">
        <f t="shared" si="1674"/>
        <v>3065.0665560333869</v>
      </c>
      <c r="AK1396" s="1633">
        <f t="shared" si="1674"/>
        <v>3786.9470845257852</v>
      </c>
      <c r="AL1396" s="501">
        <f>AL1397+AL1398+AL1399+AL1400+AL1401+AL1402</f>
        <v>4541.2918521605025</v>
      </c>
      <c r="AM1396" s="501">
        <f>AM1397+AM1398+AM1399+AM1400+AM1401+AM1402</f>
        <v>5236.6446374345378</v>
      </c>
      <c r="AN1396" s="501">
        <f t="shared" ref="AN1396:AO1396" si="1675">AN1397+AN1398+AN1399+AN1400+AN1401+AN1402</f>
        <v>5985.2484233852629</v>
      </c>
      <c r="AO1396" s="501">
        <f t="shared" si="1675"/>
        <v>6840.3970233329874</v>
      </c>
      <c r="AP1396" s="501">
        <f t="shared" ref="AP1396:AT1396" si="1676">AP1397+AP1398+AP1399+AP1400+AP1401+AP1402</f>
        <v>7709.322597918529</v>
      </c>
      <c r="AQ1396" s="501">
        <f t="shared" si="1676"/>
        <v>8611.0130655553039</v>
      </c>
      <c r="AR1396" s="501">
        <f t="shared" si="1676"/>
        <v>9700.9391138963729</v>
      </c>
      <c r="AS1396" s="501">
        <f t="shared" si="1676"/>
        <v>10937.966771857076</v>
      </c>
      <c r="AT1396" s="2682">
        <f t="shared" si="1676"/>
        <v>14287.275206591479</v>
      </c>
      <c r="AU1396" s="1114"/>
      <c r="AV1396" s="1114"/>
      <c r="AW1396" s="1114"/>
      <c r="AX1396" s="1114"/>
      <c r="AY1396" s="1114"/>
      <c r="AZ1396" s="1114"/>
      <c r="BA1396" s="1114"/>
      <c r="BB1396" s="1114"/>
      <c r="BC1396" s="1114"/>
      <c r="BD1396" s="1114"/>
      <c r="BE1396" s="1114"/>
      <c r="BF1396" s="1114"/>
      <c r="BG1396" s="1114"/>
      <c r="BH1396" s="1114"/>
      <c r="BI1396" s="1114"/>
      <c r="BJ1396" s="1114"/>
      <c r="BK1396" s="1114"/>
      <c r="BL1396" s="1114"/>
      <c r="BM1396" s="1114"/>
      <c r="BN1396" s="1114"/>
      <c r="BO1396" s="1114"/>
      <c r="BP1396" s="1114"/>
      <c r="BQ1396" s="1114"/>
      <c r="BR1396" s="1114"/>
      <c r="BS1396" s="1114"/>
      <c r="BT1396" s="1114"/>
      <c r="BU1396" s="1114"/>
      <c r="BV1396" s="1114"/>
      <c r="BW1396" s="1114"/>
      <c r="BX1396" s="1114"/>
      <c r="BY1396" s="1114"/>
      <c r="BZ1396" s="1114"/>
      <c r="CA1396" s="1114"/>
      <c r="CB1396" s="1114"/>
      <c r="CC1396" s="1114"/>
      <c r="CD1396" s="1114"/>
      <c r="CE1396" s="1114"/>
      <c r="CF1396" s="1114"/>
      <c r="CG1396" s="1114"/>
      <c r="CH1396" s="1114"/>
      <c r="CI1396" s="1114"/>
      <c r="CJ1396" s="1114"/>
      <c r="CK1396" s="1114"/>
      <c r="CL1396" s="1114"/>
      <c r="CM1396" s="1114"/>
      <c r="CN1396" s="1114"/>
      <c r="CO1396" s="1114"/>
      <c r="CP1396" s="1114"/>
      <c r="CQ1396" s="1114"/>
      <c r="CR1396" s="1114"/>
      <c r="CS1396" s="1114"/>
      <c r="CT1396" s="1114"/>
      <c r="CU1396" s="1114"/>
      <c r="CV1396" s="1114"/>
      <c r="CW1396" s="1114"/>
      <c r="CX1396" s="1114"/>
      <c r="CY1396" s="1114"/>
      <c r="CZ1396" s="1114"/>
      <c r="DA1396" s="1114"/>
      <c r="DB1396" s="1114"/>
      <c r="DC1396" s="1114"/>
      <c r="DD1396" s="1114"/>
      <c r="DE1396" s="1114"/>
      <c r="DF1396" s="1114"/>
      <c r="DG1396" s="1114"/>
      <c r="DH1396" s="1114"/>
      <c r="DI1396" s="1114"/>
      <c r="DJ1396" s="1114"/>
      <c r="DK1396" s="1114"/>
      <c r="DL1396" s="1114"/>
      <c r="DM1396" s="1114"/>
      <c r="DN1396" s="1114"/>
      <c r="DO1396" s="1114"/>
      <c r="DP1396" s="1114"/>
      <c r="DQ1396" s="1114"/>
      <c r="DR1396" s="1114"/>
      <c r="DS1396" s="1114"/>
      <c r="DT1396" s="1114"/>
      <c r="DU1396" s="1114"/>
    </row>
    <row r="1397" spans="1:125">
      <c r="A1397" s="1"/>
      <c r="B1397" s="1"/>
      <c r="C1397" s="1"/>
      <c r="D1397" s="2532" t="s">
        <v>463</v>
      </c>
      <c r="E1397" s="498"/>
      <c r="F1397" s="498"/>
      <c r="G1397" s="498"/>
      <c r="H1397" s="498"/>
      <c r="I1397" s="498"/>
      <c r="J1397" s="498"/>
      <c r="K1397" s="498"/>
      <c r="L1397" s="498"/>
      <c r="M1397" s="498"/>
      <c r="N1397" s="498"/>
      <c r="O1397" s="498"/>
      <c r="P1397" s="498"/>
      <c r="Q1397" s="498"/>
      <c r="R1397" s="498"/>
      <c r="S1397" s="498"/>
      <c r="T1397" s="498"/>
      <c r="U1397" s="498"/>
      <c r="V1397" s="501">
        <f t="shared" ref="V1397:AT1397" si="1677">V1062</f>
        <v>180.9</v>
      </c>
      <c r="W1397" s="501">
        <f t="shared" si="1677"/>
        <v>228.49999999999997</v>
      </c>
      <c r="X1397" s="501">
        <f t="shared" si="1677"/>
        <v>282.03795364000001</v>
      </c>
      <c r="Y1397" s="501">
        <f t="shared" si="1677"/>
        <v>287.88498083000002</v>
      </c>
      <c r="Z1397" s="501">
        <f t="shared" si="1677"/>
        <v>341.91875787000004</v>
      </c>
      <c r="AA1397" s="501">
        <f t="shared" si="1677"/>
        <v>406.98706483391464</v>
      </c>
      <c r="AB1397" s="501">
        <f t="shared" si="1677"/>
        <v>421.11287171799745</v>
      </c>
      <c r="AC1397" s="501">
        <f t="shared" si="1677"/>
        <v>471.42647422296494</v>
      </c>
      <c r="AD1397" s="501">
        <f t="shared" si="1677"/>
        <v>595.37385272420011</v>
      </c>
      <c r="AE1397" s="1633">
        <f t="shared" si="1677"/>
        <v>641.47554394712381</v>
      </c>
      <c r="AF1397" s="1633">
        <f t="shared" si="1677"/>
        <v>702.55260756047778</v>
      </c>
      <c r="AG1397" s="1633">
        <f t="shared" si="1677"/>
        <v>853.55684608539536</v>
      </c>
      <c r="AH1397" s="1633">
        <f t="shared" si="1677"/>
        <v>1022.742125332979</v>
      </c>
      <c r="AI1397" s="1633">
        <f t="shared" si="1677"/>
        <v>1178.5718488090074</v>
      </c>
      <c r="AJ1397" s="1633">
        <f t="shared" si="1677"/>
        <v>1357.4164231816922</v>
      </c>
      <c r="AK1397" s="1633">
        <f t="shared" si="1677"/>
        <v>1565.5900361645552</v>
      </c>
      <c r="AL1397" s="501">
        <f t="shared" si="1677"/>
        <v>1874.5924069587008</v>
      </c>
      <c r="AM1397" s="501">
        <f t="shared" si="1677"/>
        <v>2180.1016410253937</v>
      </c>
      <c r="AN1397" s="501">
        <f t="shared" si="1677"/>
        <v>2499.4026611882477</v>
      </c>
      <c r="AO1397" s="501">
        <f t="shared" si="1677"/>
        <v>2844.8689201059005</v>
      </c>
      <c r="AP1397" s="501">
        <f t="shared" si="1677"/>
        <v>3240.5909643534137</v>
      </c>
      <c r="AQ1397" s="501">
        <f t="shared" si="1677"/>
        <v>3733.5070219140298</v>
      </c>
      <c r="AR1397" s="501">
        <f t="shared" si="1677"/>
        <v>4298.6391784696343</v>
      </c>
      <c r="AS1397" s="501">
        <f t="shared" si="1677"/>
        <v>4897.9952046980416</v>
      </c>
      <c r="AT1397" s="2682">
        <f t="shared" si="1677"/>
        <v>6558.1877304826594</v>
      </c>
    </row>
    <row r="1398" spans="1:125">
      <c r="A1398" s="1"/>
      <c r="B1398" s="1"/>
      <c r="C1398" s="1"/>
      <c r="D1398" s="2532" t="s">
        <v>467</v>
      </c>
      <c r="E1398" s="498"/>
      <c r="F1398" s="498"/>
      <c r="G1398" s="498"/>
      <c r="H1398" s="498"/>
      <c r="I1398" s="498"/>
      <c r="J1398" s="498"/>
      <c r="K1398" s="498"/>
      <c r="L1398" s="498"/>
      <c r="M1398" s="498"/>
      <c r="N1398" s="498"/>
      <c r="O1398" s="498"/>
      <c r="P1398" s="498"/>
      <c r="Q1398" s="498"/>
      <c r="R1398" s="498"/>
      <c r="S1398" s="498"/>
      <c r="T1398" s="498"/>
      <c r="U1398" s="498"/>
      <c r="V1398" s="501">
        <f t="shared" ref="V1398:AT1398" si="1678">V1069</f>
        <v>0</v>
      </c>
      <c r="W1398" s="501">
        <f t="shared" si="1678"/>
        <v>0</v>
      </c>
      <c r="X1398" s="501">
        <f t="shared" si="1678"/>
        <v>0</v>
      </c>
      <c r="Y1398" s="501">
        <f t="shared" si="1678"/>
        <v>0</v>
      </c>
      <c r="Z1398" s="501">
        <f t="shared" si="1678"/>
        <v>0</v>
      </c>
      <c r="AA1398" s="501">
        <f t="shared" si="1678"/>
        <v>0</v>
      </c>
      <c r="AB1398" s="501">
        <f t="shared" si="1678"/>
        <v>0</v>
      </c>
      <c r="AC1398" s="501">
        <f t="shared" si="1678"/>
        <v>0</v>
      </c>
      <c r="AD1398" s="501">
        <f t="shared" si="1678"/>
        <v>0</v>
      </c>
      <c r="AE1398" s="1633">
        <f t="shared" si="1678"/>
        <v>0</v>
      </c>
      <c r="AF1398" s="1633">
        <f t="shared" si="1678"/>
        <v>0</v>
      </c>
      <c r="AG1398" s="1633">
        <f t="shared" si="1678"/>
        <v>0</v>
      </c>
      <c r="AH1398" s="1633">
        <f t="shared" si="1678"/>
        <v>0</v>
      </c>
      <c r="AI1398" s="1633">
        <f t="shared" si="1678"/>
        <v>0</v>
      </c>
      <c r="AJ1398" s="1633">
        <f t="shared" si="1678"/>
        <v>0</v>
      </c>
      <c r="AK1398" s="1633">
        <f t="shared" si="1678"/>
        <v>0</v>
      </c>
      <c r="AL1398" s="501">
        <f t="shared" si="1678"/>
        <v>0</v>
      </c>
      <c r="AM1398" s="501">
        <f t="shared" si="1678"/>
        <v>0</v>
      </c>
      <c r="AN1398" s="501">
        <f t="shared" si="1678"/>
        <v>0</v>
      </c>
      <c r="AO1398" s="501">
        <f t="shared" si="1678"/>
        <v>0</v>
      </c>
      <c r="AP1398" s="501">
        <f t="shared" si="1678"/>
        <v>0</v>
      </c>
      <c r="AQ1398" s="501">
        <f t="shared" si="1678"/>
        <v>0</v>
      </c>
      <c r="AR1398" s="501">
        <f t="shared" si="1678"/>
        <v>0</v>
      </c>
      <c r="AS1398" s="501">
        <f t="shared" si="1678"/>
        <v>0</v>
      </c>
      <c r="AT1398" s="2682">
        <f t="shared" si="1678"/>
        <v>0</v>
      </c>
    </row>
    <row r="1399" spans="1:125">
      <c r="A1399" s="1"/>
      <c r="B1399" s="1"/>
      <c r="C1399" s="1"/>
      <c r="D1399" s="2532" t="s">
        <v>468</v>
      </c>
      <c r="E1399" s="498"/>
      <c r="F1399" s="498"/>
      <c r="G1399" s="498"/>
      <c r="H1399" s="498"/>
      <c r="I1399" s="498"/>
      <c r="J1399" s="498"/>
      <c r="K1399" s="498"/>
      <c r="L1399" s="498"/>
      <c r="M1399" s="498"/>
      <c r="N1399" s="498"/>
      <c r="O1399" s="498"/>
      <c r="P1399" s="498"/>
      <c r="Q1399" s="498"/>
      <c r="R1399" s="498"/>
      <c r="S1399" s="498"/>
      <c r="T1399" s="498"/>
      <c r="U1399" s="498"/>
      <c r="V1399" s="501">
        <f t="shared" ref="V1399:AT1399" si="1679">V1070</f>
        <v>0</v>
      </c>
      <c r="W1399" s="501">
        <f t="shared" si="1679"/>
        <v>0</v>
      </c>
      <c r="X1399" s="501">
        <f t="shared" si="1679"/>
        <v>0</v>
      </c>
      <c r="Y1399" s="501">
        <f t="shared" si="1679"/>
        <v>1.0475502899999998</v>
      </c>
      <c r="Z1399" s="501">
        <f t="shared" si="1679"/>
        <v>1.4744668620000001</v>
      </c>
      <c r="AA1399" s="501">
        <f t="shared" si="1679"/>
        <v>0.79905792988831847</v>
      </c>
      <c r="AB1399" s="501">
        <f t="shared" si="1679"/>
        <v>0.60978576711347843</v>
      </c>
      <c r="AC1399" s="501">
        <f t="shared" si="1679"/>
        <v>4.9652348659568588E-11</v>
      </c>
      <c r="AD1399" s="501">
        <f t="shared" si="1679"/>
        <v>19.372400629999998</v>
      </c>
      <c r="AE1399" s="1633">
        <f t="shared" si="1679"/>
        <v>4.6428780387518458</v>
      </c>
      <c r="AF1399" s="1633">
        <f t="shared" si="1679"/>
        <v>19.443675029298234</v>
      </c>
      <c r="AG1399" s="1633">
        <f t="shared" si="1679"/>
        <v>17.107113807486726</v>
      </c>
      <c r="AH1399" s="1633">
        <f t="shared" si="1679"/>
        <v>22.576045216121535</v>
      </c>
      <c r="AI1399" s="1633">
        <f t="shared" si="1679"/>
        <v>30.501623556453502</v>
      </c>
      <c r="AJ1399" s="1633">
        <f t="shared" si="1679"/>
        <v>45.980709111222225</v>
      </c>
      <c r="AK1399" s="1633">
        <f t="shared" si="1679"/>
        <v>62.153817381728253</v>
      </c>
      <c r="AL1399" s="501">
        <f t="shared" si="1679"/>
        <v>76.518272458830737</v>
      </c>
      <c r="AM1399" s="501">
        <f t="shared" si="1679"/>
        <v>76.306362603500943</v>
      </c>
      <c r="AN1399" s="501">
        <f t="shared" si="1679"/>
        <v>86.337279947028151</v>
      </c>
      <c r="AO1399" s="501">
        <f t="shared" si="1679"/>
        <v>96.428235145663749</v>
      </c>
      <c r="AP1399" s="501">
        <f t="shared" si="1679"/>
        <v>106.49322712839842</v>
      </c>
      <c r="AQ1399" s="501">
        <f t="shared" si="1679"/>
        <v>119.80557408776528</v>
      </c>
      <c r="AR1399" s="501">
        <f t="shared" si="1679"/>
        <v>134.87527662360142</v>
      </c>
      <c r="AS1399" s="501">
        <f t="shared" si="1679"/>
        <v>151.37532139174058</v>
      </c>
      <c r="AT1399" s="2682">
        <f t="shared" si="1679"/>
        <v>166.51952219051904</v>
      </c>
    </row>
    <row r="1400" spans="1:125">
      <c r="A1400" s="1"/>
      <c r="B1400" s="1"/>
      <c r="C1400" s="1"/>
      <c r="D1400" s="2532" t="s">
        <v>475</v>
      </c>
      <c r="E1400" s="498"/>
      <c r="F1400" s="498"/>
      <c r="G1400" s="498"/>
      <c r="H1400" s="498"/>
      <c r="I1400" s="498"/>
      <c r="J1400" s="498"/>
      <c r="K1400" s="498"/>
      <c r="L1400" s="498"/>
      <c r="M1400" s="498"/>
      <c r="N1400" s="498"/>
      <c r="O1400" s="498"/>
      <c r="P1400" s="498"/>
      <c r="Q1400" s="498"/>
      <c r="R1400" s="498"/>
      <c r="S1400" s="498"/>
      <c r="T1400" s="498"/>
      <c r="U1400" s="498"/>
      <c r="V1400" s="501">
        <f t="shared" ref="V1400:AT1400" si="1680">V1077</f>
        <v>0</v>
      </c>
      <c r="W1400" s="501">
        <f t="shared" si="1680"/>
        <v>0</v>
      </c>
      <c r="X1400" s="501">
        <f t="shared" si="1680"/>
        <v>0</v>
      </c>
      <c r="Y1400" s="501">
        <f t="shared" si="1680"/>
        <v>382.8888462832</v>
      </c>
      <c r="Z1400" s="501">
        <f t="shared" si="1680"/>
        <v>422.56020412279997</v>
      </c>
      <c r="AA1400" s="501">
        <f t="shared" si="1680"/>
        <v>516.76897665970478</v>
      </c>
      <c r="AB1400" s="501">
        <f t="shared" si="1680"/>
        <v>530.02666167461143</v>
      </c>
      <c r="AC1400" s="501">
        <f t="shared" si="1680"/>
        <v>605.14216765689798</v>
      </c>
      <c r="AD1400" s="501">
        <f t="shared" si="1680"/>
        <v>676.03063632067722</v>
      </c>
      <c r="AE1400" s="1633">
        <f t="shared" si="1680"/>
        <v>712.20880818108037</v>
      </c>
      <c r="AF1400" s="1633">
        <f t="shared" si="1680"/>
        <v>775.95022002114797</v>
      </c>
      <c r="AG1400" s="1633">
        <f t="shared" si="1680"/>
        <v>873.08969211644808</v>
      </c>
      <c r="AH1400" s="1633">
        <f t="shared" si="1680"/>
        <v>1030.4229988219749</v>
      </c>
      <c r="AI1400" s="1633">
        <f t="shared" si="1680"/>
        <v>1189.7617317343922</v>
      </c>
      <c r="AJ1400" s="1633">
        <f t="shared" si="1680"/>
        <v>1419.2655107666924</v>
      </c>
      <c r="AK1400" s="1633">
        <f t="shared" si="1680"/>
        <v>1883.5527549219553</v>
      </c>
      <c r="AL1400" s="501">
        <f t="shared" si="1680"/>
        <v>2265.4390322295317</v>
      </c>
      <c r="AM1400" s="501">
        <f t="shared" si="1680"/>
        <v>2610.8470628839227</v>
      </c>
      <c r="AN1400" s="501">
        <f t="shared" si="1680"/>
        <v>2978.7033304767233</v>
      </c>
      <c r="AO1400" s="501">
        <f t="shared" si="1680"/>
        <v>3422.113610074297</v>
      </c>
      <c r="AP1400" s="501">
        <f t="shared" si="1680"/>
        <v>3823.90841050789</v>
      </c>
      <c r="AQ1400" s="501">
        <f t="shared" si="1680"/>
        <v>4169.663638704501</v>
      </c>
      <c r="AR1400" s="501">
        <f t="shared" si="1680"/>
        <v>4621.461208665778</v>
      </c>
      <c r="AS1400" s="501">
        <f t="shared" si="1680"/>
        <v>5178.3364996956334</v>
      </c>
      <c r="AT1400" s="2682">
        <f t="shared" si="1680"/>
        <v>6644.8900761027753</v>
      </c>
    </row>
    <row r="1401" spans="1:125">
      <c r="A1401" s="1"/>
      <c r="B1401" s="1"/>
      <c r="C1401" s="1"/>
      <c r="D1401" s="2532" t="s">
        <v>487</v>
      </c>
      <c r="E1401" s="498"/>
      <c r="F1401" s="498"/>
      <c r="G1401" s="498"/>
      <c r="H1401" s="498"/>
      <c r="I1401" s="498"/>
      <c r="J1401" s="498"/>
      <c r="K1401" s="498"/>
      <c r="L1401" s="498"/>
      <c r="M1401" s="498"/>
      <c r="N1401" s="498"/>
      <c r="O1401" s="498"/>
      <c r="P1401" s="498"/>
      <c r="Q1401" s="498"/>
      <c r="R1401" s="498"/>
      <c r="S1401" s="498"/>
      <c r="T1401" s="498"/>
      <c r="U1401" s="498"/>
      <c r="V1401" s="501">
        <f t="shared" ref="V1401:AT1401" si="1681">V1099</f>
        <v>0</v>
      </c>
      <c r="W1401" s="501">
        <f t="shared" si="1681"/>
        <v>0</v>
      </c>
      <c r="X1401" s="501">
        <f t="shared" si="1681"/>
        <v>0</v>
      </c>
      <c r="Y1401" s="501">
        <f t="shared" si="1681"/>
        <v>56.172397320999998</v>
      </c>
      <c r="Z1401" s="501">
        <f t="shared" si="1681"/>
        <v>64.284351485000002</v>
      </c>
      <c r="AA1401" s="501">
        <f t="shared" si="1681"/>
        <v>75.812149962468069</v>
      </c>
      <c r="AB1401" s="501">
        <f t="shared" si="1681"/>
        <v>80.659855556043809</v>
      </c>
      <c r="AC1401" s="501">
        <f t="shared" si="1681"/>
        <v>83.543020431993199</v>
      </c>
      <c r="AD1401" s="501">
        <f t="shared" si="1681"/>
        <v>111.745368744</v>
      </c>
      <c r="AE1401" s="1633">
        <f t="shared" si="1681"/>
        <v>117.28148412138</v>
      </c>
      <c r="AF1401" s="1633">
        <f t="shared" si="1681"/>
        <v>123.74277988591115</v>
      </c>
      <c r="AG1401" s="1633">
        <f t="shared" si="1681"/>
        <v>133.01993913953143</v>
      </c>
      <c r="AH1401" s="1633">
        <f t="shared" si="1681"/>
        <v>211.6306274416647</v>
      </c>
      <c r="AI1401" s="1633">
        <f t="shared" si="1681"/>
        <v>194.48632030547415</v>
      </c>
      <c r="AJ1401" s="1633">
        <f t="shared" si="1681"/>
        <v>242.40391297378</v>
      </c>
      <c r="AK1401" s="1633">
        <f t="shared" si="1681"/>
        <v>275.65047605754671</v>
      </c>
      <c r="AL1401" s="501">
        <f t="shared" si="1681"/>
        <v>324.74214051343898</v>
      </c>
      <c r="AM1401" s="501">
        <f t="shared" si="1681"/>
        <v>369.38957092172012</v>
      </c>
      <c r="AN1401" s="501">
        <f t="shared" si="1681"/>
        <v>420.80515177326339</v>
      </c>
      <c r="AO1401" s="501">
        <f t="shared" si="1681"/>
        <v>476.98625800712551</v>
      </c>
      <c r="AP1401" s="501">
        <f t="shared" si="1681"/>
        <v>538.32999592882686</v>
      </c>
      <c r="AQ1401" s="501">
        <f t="shared" si="1681"/>
        <v>588.03683084900831</v>
      </c>
      <c r="AR1401" s="501">
        <f t="shared" si="1681"/>
        <v>645.96345013735845</v>
      </c>
      <c r="AS1401" s="501">
        <f t="shared" si="1681"/>
        <v>710.25974607166017</v>
      </c>
      <c r="AT1401" s="2682">
        <f t="shared" si="1681"/>
        <v>917.67787781552613</v>
      </c>
    </row>
    <row r="1402" spans="1:125">
      <c r="A1402" s="1"/>
      <c r="B1402" s="1"/>
      <c r="C1402" s="1"/>
      <c r="D1402" s="2532" t="s">
        <v>494</v>
      </c>
      <c r="E1402" s="498"/>
      <c r="F1402" s="498"/>
      <c r="G1402" s="498"/>
      <c r="H1402" s="498"/>
      <c r="I1402" s="498"/>
      <c r="J1402" s="498"/>
      <c r="K1402" s="498"/>
      <c r="L1402" s="498"/>
      <c r="M1402" s="498"/>
      <c r="N1402" s="498"/>
      <c r="O1402" s="498"/>
      <c r="P1402" s="498"/>
      <c r="Q1402" s="498"/>
      <c r="R1402" s="498"/>
      <c r="S1402" s="498"/>
      <c r="T1402" s="498"/>
      <c r="U1402" s="498"/>
      <c r="V1402" s="501">
        <f t="shared" ref="V1402:AT1402" si="1682">V1108</f>
        <v>0</v>
      </c>
      <c r="W1402" s="501">
        <f t="shared" si="1682"/>
        <v>0</v>
      </c>
      <c r="X1402" s="501">
        <f t="shared" si="1682"/>
        <v>0</v>
      </c>
      <c r="Y1402" s="501">
        <f t="shared" si="1682"/>
        <v>0</v>
      </c>
      <c r="Z1402" s="501">
        <f t="shared" si="1682"/>
        <v>0</v>
      </c>
      <c r="AA1402" s="501">
        <f t="shared" si="1682"/>
        <v>0</v>
      </c>
      <c r="AB1402" s="501">
        <f t="shared" si="1682"/>
        <v>20.011381500449659</v>
      </c>
      <c r="AC1402" s="501">
        <f t="shared" si="1682"/>
        <v>38.861780148621875</v>
      </c>
      <c r="AD1402" s="501">
        <f t="shared" si="1682"/>
        <v>0</v>
      </c>
      <c r="AE1402" s="1633">
        <f t="shared" si="1682"/>
        <v>0</v>
      </c>
      <c r="AF1402" s="1633">
        <f t="shared" si="1682"/>
        <v>0</v>
      </c>
      <c r="AG1402" s="1633">
        <f t="shared" si="1682"/>
        <v>0</v>
      </c>
      <c r="AH1402" s="1633">
        <f t="shared" si="1682"/>
        <v>0</v>
      </c>
      <c r="AI1402" s="1633">
        <f t="shared" si="1682"/>
        <v>0</v>
      </c>
      <c r="AJ1402" s="1633">
        <f t="shared" si="1682"/>
        <v>0</v>
      </c>
      <c r="AK1402" s="1633">
        <f t="shared" si="1682"/>
        <v>0</v>
      </c>
      <c r="AL1402" s="501">
        <f t="shared" si="1682"/>
        <v>0</v>
      </c>
      <c r="AM1402" s="501">
        <f t="shared" si="1682"/>
        <v>0</v>
      </c>
      <c r="AN1402" s="501">
        <f t="shared" si="1682"/>
        <v>0</v>
      </c>
      <c r="AO1402" s="501">
        <f t="shared" si="1682"/>
        <v>0</v>
      </c>
      <c r="AP1402" s="501">
        <f t="shared" si="1682"/>
        <v>0</v>
      </c>
      <c r="AQ1402" s="501">
        <f t="shared" si="1682"/>
        <v>0</v>
      </c>
      <c r="AR1402" s="501">
        <f t="shared" si="1682"/>
        <v>0</v>
      </c>
      <c r="AS1402" s="501">
        <f t="shared" si="1682"/>
        <v>0</v>
      </c>
      <c r="AT1402" s="2682">
        <f t="shared" si="1682"/>
        <v>0</v>
      </c>
    </row>
    <row r="1403" spans="1:125">
      <c r="A1403" s="1"/>
      <c r="B1403" s="1"/>
      <c r="C1403" s="1"/>
      <c r="D1403" s="2531" t="str">
        <f>+FISCinyear!D1077</f>
        <v xml:space="preserve">Social contributions </v>
      </c>
      <c r="E1403" s="498"/>
      <c r="F1403" s="498"/>
      <c r="G1403" s="498"/>
      <c r="H1403" s="498"/>
      <c r="I1403" s="498"/>
      <c r="J1403" s="498"/>
      <c r="K1403" s="498"/>
      <c r="L1403" s="498"/>
      <c r="M1403" s="498"/>
      <c r="N1403" s="498"/>
      <c r="O1403" s="498"/>
      <c r="P1403" s="498"/>
      <c r="Q1403" s="498"/>
      <c r="R1403" s="498"/>
      <c r="S1403" s="498"/>
      <c r="T1403" s="498"/>
      <c r="U1403" s="498"/>
      <c r="V1403" s="501">
        <f t="shared" ref="V1403:AT1403" si="1683">E1109</f>
        <v>0</v>
      </c>
      <c r="W1403" s="501">
        <f t="shared" si="1683"/>
        <v>0</v>
      </c>
      <c r="X1403" s="501">
        <f t="shared" si="1683"/>
        <v>0</v>
      </c>
      <c r="Y1403" s="501">
        <f t="shared" si="1683"/>
        <v>0</v>
      </c>
      <c r="Z1403" s="501">
        <f t="shared" si="1683"/>
        <v>0</v>
      </c>
      <c r="AA1403" s="501">
        <f t="shared" si="1683"/>
        <v>0</v>
      </c>
      <c r="AB1403" s="501">
        <f t="shared" si="1683"/>
        <v>0</v>
      </c>
      <c r="AC1403" s="501">
        <f t="shared" si="1683"/>
        <v>0</v>
      </c>
      <c r="AD1403" s="501">
        <f t="shared" si="1683"/>
        <v>0</v>
      </c>
      <c r="AE1403" s="1633">
        <f t="shared" si="1683"/>
        <v>0</v>
      </c>
      <c r="AF1403" s="1633">
        <f t="shared" si="1683"/>
        <v>0</v>
      </c>
      <c r="AG1403" s="1633">
        <f t="shared" si="1683"/>
        <v>0</v>
      </c>
      <c r="AH1403" s="1633">
        <f t="shared" si="1683"/>
        <v>0</v>
      </c>
      <c r="AI1403" s="1633">
        <f t="shared" si="1683"/>
        <v>0</v>
      </c>
      <c r="AJ1403" s="1633">
        <f t="shared" si="1683"/>
        <v>0</v>
      </c>
      <c r="AK1403" s="1633">
        <f t="shared" si="1683"/>
        <v>0</v>
      </c>
      <c r="AL1403" s="501">
        <f t="shared" si="1683"/>
        <v>0</v>
      </c>
      <c r="AM1403" s="501">
        <f t="shared" si="1683"/>
        <v>0</v>
      </c>
      <c r="AN1403" s="501">
        <f t="shared" si="1683"/>
        <v>0</v>
      </c>
      <c r="AO1403" s="501">
        <f t="shared" si="1683"/>
        <v>0</v>
      </c>
      <c r="AP1403" s="501">
        <f t="shared" si="1683"/>
        <v>0</v>
      </c>
      <c r="AQ1403" s="501">
        <f t="shared" si="1683"/>
        <v>0</v>
      </c>
      <c r="AR1403" s="501">
        <f t="shared" si="1683"/>
        <v>0</v>
      </c>
      <c r="AS1403" s="501">
        <f t="shared" si="1683"/>
        <v>0</v>
      </c>
      <c r="AT1403" s="2682">
        <f t="shared" si="1683"/>
        <v>0</v>
      </c>
    </row>
    <row r="1404" spans="1:125">
      <c r="A1404" s="1"/>
      <c r="B1404" s="1"/>
      <c r="C1404" s="1"/>
      <c r="D1404" s="2531" t="str">
        <f>+FISCinyear!D1078</f>
        <v xml:space="preserve">Grants </v>
      </c>
      <c r="E1404" s="498"/>
      <c r="F1404" s="498"/>
      <c r="G1404" s="498"/>
      <c r="H1404" s="498"/>
      <c r="I1404" s="498"/>
      <c r="J1404" s="498"/>
      <c r="K1404" s="498"/>
      <c r="L1404" s="498"/>
      <c r="M1404" s="498"/>
      <c r="N1404" s="498"/>
      <c r="O1404" s="498"/>
      <c r="P1404" s="498"/>
      <c r="Q1404" s="498"/>
      <c r="R1404" s="498"/>
      <c r="S1404" s="498"/>
      <c r="T1404" s="498"/>
      <c r="U1404" s="498"/>
      <c r="V1404" s="501">
        <f t="shared" ref="V1404:AA1404" si="1684">V1405+V1408+V1411</f>
        <v>379.02576983500001</v>
      </c>
      <c r="W1404" s="501">
        <f t="shared" si="1684"/>
        <v>457.4</v>
      </c>
      <c r="X1404" s="501">
        <f t="shared" si="1684"/>
        <v>364.9</v>
      </c>
      <c r="Y1404" s="501">
        <f t="shared" si="1684"/>
        <v>474.31665722262011</v>
      </c>
      <c r="Z1404" s="501">
        <f t="shared" si="1684"/>
        <v>415.92740699529958</v>
      </c>
      <c r="AA1404" s="501">
        <f t="shared" si="1684"/>
        <v>373.71360579354939</v>
      </c>
      <c r="AB1404" s="501">
        <f>AB1405+AB1408+AB1411+AB1414</f>
        <v>330.18208394651856</v>
      </c>
      <c r="AC1404" s="501">
        <f t="shared" ref="AC1404:AK1404" si="1685">AC1405+AC1408+AC1411+AC1414</f>
        <v>358.90867686871047</v>
      </c>
      <c r="AD1404" s="501">
        <f t="shared" si="1685"/>
        <v>394.75005785621573</v>
      </c>
      <c r="AE1404" s="1633">
        <f t="shared" si="1685"/>
        <v>437.5584046438675</v>
      </c>
      <c r="AF1404" s="1633">
        <f t="shared" si="1685"/>
        <v>566.05657611308209</v>
      </c>
      <c r="AG1404" s="1633">
        <f t="shared" si="1685"/>
        <v>824.1843594262815</v>
      </c>
      <c r="AH1404" s="1633">
        <f t="shared" si="1685"/>
        <v>711.30724575495185</v>
      </c>
      <c r="AI1404" s="1633">
        <f t="shared" si="1685"/>
        <v>757.7914095316321</v>
      </c>
      <c r="AJ1404" s="1633">
        <f t="shared" si="1685"/>
        <v>614.59247170907861</v>
      </c>
      <c r="AK1404" s="1633">
        <f t="shared" si="1685"/>
        <v>668.27623029566234</v>
      </c>
      <c r="AL1404" s="501">
        <f>AL1405+AL1408+AL1411+AL1414</f>
        <v>543.98114445037027</v>
      </c>
      <c r="AM1404" s="501">
        <f>AM1405+AM1408+AM1411+AM1414</f>
        <v>605.18237487361375</v>
      </c>
      <c r="AN1404" s="501">
        <f t="shared" ref="AN1404:AO1404" si="1686">AN1405+AN1408+AN1411+AN1414</f>
        <v>617.15455560035116</v>
      </c>
      <c r="AO1404" s="501">
        <f t="shared" si="1686"/>
        <v>626.07806658423215</v>
      </c>
      <c r="AP1404" s="501">
        <f t="shared" ref="AP1404:AT1404" si="1687">AP1405+AP1408+AP1411+AP1414</f>
        <v>714.43935792884895</v>
      </c>
      <c r="AQ1404" s="501">
        <f t="shared" si="1687"/>
        <v>873.63487298814857</v>
      </c>
      <c r="AR1404" s="501">
        <f t="shared" si="1687"/>
        <v>898.73600969991332</v>
      </c>
      <c r="AS1404" s="501">
        <f t="shared" si="1687"/>
        <v>925.79318555442876</v>
      </c>
      <c r="AT1404" s="2682">
        <f t="shared" si="1687"/>
        <v>954.21180828801675</v>
      </c>
    </row>
    <row r="1405" spans="1:125">
      <c r="A1405" s="1"/>
      <c r="B1405" s="1"/>
      <c r="C1405" s="1"/>
      <c r="D1405" s="2531" t="s">
        <v>3021</v>
      </c>
      <c r="E1405" s="498"/>
      <c r="F1405" s="498"/>
      <c r="G1405" s="498"/>
      <c r="H1405" s="498"/>
      <c r="I1405" s="498"/>
      <c r="J1405" s="498"/>
      <c r="K1405" s="498"/>
      <c r="L1405" s="498"/>
      <c r="M1405" s="498"/>
      <c r="N1405" s="498"/>
      <c r="O1405" s="498"/>
      <c r="P1405" s="498"/>
      <c r="Q1405" s="498"/>
      <c r="R1405" s="498"/>
      <c r="S1405" s="498"/>
      <c r="T1405" s="498"/>
      <c r="U1405" s="498"/>
      <c r="V1405" s="501">
        <f>V1406+V1407</f>
        <v>0</v>
      </c>
      <c r="W1405" s="501">
        <f t="shared" ref="W1405:AK1405" si="1688">W1406+W1407</f>
        <v>0</v>
      </c>
      <c r="X1405" s="501">
        <f t="shared" si="1688"/>
        <v>0</v>
      </c>
      <c r="Y1405" s="501">
        <f t="shared" si="1688"/>
        <v>0</v>
      </c>
      <c r="Z1405" s="501">
        <f t="shared" si="1688"/>
        <v>0</v>
      </c>
      <c r="AA1405" s="501">
        <f t="shared" si="1688"/>
        <v>0</v>
      </c>
      <c r="AB1405" s="501">
        <f t="shared" si="1688"/>
        <v>68.872031182049739</v>
      </c>
      <c r="AC1405" s="501">
        <f t="shared" si="1688"/>
        <v>62.921207006556472</v>
      </c>
      <c r="AD1405" s="501">
        <f t="shared" si="1688"/>
        <v>18.877917492979133</v>
      </c>
      <c r="AE1405" s="1633">
        <f t="shared" si="1688"/>
        <v>24.185845768937916</v>
      </c>
      <c r="AF1405" s="1633">
        <f t="shared" si="1688"/>
        <v>9.0172988225571267</v>
      </c>
      <c r="AG1405" s="1633">
        <f t="shared" si="1688"/>
        <v>214.52942576870956</v>
      </c>
      <c r="AH1405" s="1633">
        <f t="shared" si="1688"/>
        <v>405.61651781281091</v>
      </c>
      <c r="AI1405" s="1633">
        <f t="shared" si="1688"/>
        <v>423.76122062019726</v>
      </c>
      <c r="AJ1405" s="1633">
        <f t="shared" si="1688"/>
        <v>325.13662088855898</v>
      </c>
      <c r="AK1405" s="1633">
        <f t="shared" si="1688"/>
        <v>280.34981583192655</v>
      </c>
      <c r="AL1405" s="501">
        <f>AL1406+AL1407</f>
        <v>292.56102273600618</v>
      </c>
      <c r="AM1405" s="501">
        <f>AM1406+AM1407</f>
        <v>306.54430202097217</v>
      </c>
      <c r="AN1405" s="501">
        <f t="shared" ref="AN1405:AO1405" si="1689">AN1406+AN1407</f>
        <v>321.06731701975286</v>
      </c>
      <c r="AO1405" s="501">
        <f t="shared" si="1689"/>
        <v>333.83954645348712</v>
      </c>
      <c r="AP1405" s="501">
        <f t="shared" ref="AP1405:AT1405" si="1690">AP1406+AP1407</f>
        <v>356.94859055134964</v>
      </c>
      <c r="AQ1405" s="501">
        <f t="shared" si="1690"/>
        <v>367.65704826789016</v>
      </c>
      <c r="AR1405" s="501">
        <f t="shared" si="1690"/>
        <v>378.68675971592688</v>
      </c>
      <c r="AS1405" s="501">
        <f t="shared" si="1690"/>
        <v>390.04736250740473</v>
      </c>
      <c r="AT1405" s="2682">
        <f t="shared" si="1690"/>
        <v>401.74878338262687</v>
      </c>
    </row>
    <row r="1406" spans="1:125">
      <c r="A1406" s="1"/>
      <c r="B1406" s="1"/>
      <c r="C1406" s="1"/>
      <c r="D1406" s="2533" t="str">
        <f>+FISCinyear!D1079</f>
        <v xml:space="preserve">Current </v>
      </c>
      <c r="E1406" s="498"/>
      <c r="F1406" s="498"/>
      <c r="G1406" s="498"/>
      <c r="H1406" s="498"/>
      <c r="I1406" s="498"/>
      <c r="J1406" s="498"/>
      <c r="K1406" s="498"/>
      <c r="L1406" s="498"/>
      <c r="M1406" s="498"/>
      <c r="N1406" s="498"/>
      <c r="O1406" s="498"/>
      <c r="P1406" s="498"/>
      <c r="Q1406" s="498"/>
      <c r="R1406" s="498"/>
      <c r="S1406" s="498"/>
      <c r="T1406" s="498"/>
      <c r="U1406" s="498"/>
      <c r="V1406" s="501">
        <f t="shared" ref="V1406:AT1406" si="1691">V1121</f>
        <v>0</v>
      </c>
      <c r="W1406" s="501">
        <f t="shared" si="1691"/>
        <v>0</v>
      </c>
      <c r="X1406" s="501">
        <f t="shared" si="1691"/>
        <v>0</v>
      </c>
      <c r="Y1406" s="501">
        <f t="shared" si="1691"/>
        <v>0</v>
      </c>
      <c r="Z1406" s="501">
        <f t="shared" si="1691"/>
        <v>0</v>
      </c>
      <c r="AA1406" s="501">
        <f t="shared" si="1691"/>
        <v>0</v>
      </c>
      <c r="AB1406" s="501">
        <f t="shared" si="1691"/>
        <v>68.872031182049739</v>
      </c>
      <c r="AC1406" s="501">
        <f t="shared" si="1691"/>
        <v>62.921207006556472</v>
      </c>
      <c r="AD1406" s="501">
        <f t="shared" si="1691"/>
        <v>18.877917492979133</v>
      </c>
      <c r="AE1406" s="1633">
        <f t="shared" si="1691"/>
        <v>24.185845768937916</v>
      </c>
      <c r="AF1406" s="1633">
        <f t="shared" si="1691"/>
        <v>9.0172988225571267</v>
      </c>
      <c r="AG1406" s="1633">
        <f t="shared" si="1691"/>
        <v>214.52942576870956</v>
      </c>
      <c r="AH1406" s="1633">
        <f t="shared" si="1691"/>
        <v>158.7462235156909</v>
      </c>
      <c r="AI1406" s="1633">
        <f t="shared" si="1691"/>
        <v>105.79687281258069</v>
      </c>
      <c r="AJ1406" s="1633">
        <f t="shared" si="1691"/>
        <v>36.051834947437044</v>
      </c>
      <c r="AK1406" s="1633">
        <f t="shared" si="1691"/>
        <v>0</v>
      </c>
      <c r="AL1406" s="501">
        <f t="shared" si="1691"/>
        <v>0</v>
      </c>
      <c r="AM1406" s="501">
        <f t="shared" si="1691"/>
        <v>0</v>
      </c>
      <c r="AN1406" s="501">
        <f t="shared" si="1691"/>
        <v>0</v>
      </c>
      <c r="AO1406" s="501">
        <f t="shared" si="1691"/>
        <v>0</v>
      </c>
      <c r="AP1406" s="501">
        <f t="shared" si="1691"/>
        <v>0</v>
      </c>
      <c r="AQ1406" s="501">
        <f t="shared" si="1691"/>
        <v>0</v>
      </c>
      <c r="AR1406" s="501">
        <f t="shared" si="1691"/>
        <v>0</v>
      </c>
      <c r="AS1406" s="501">
        <f t="shared" si="1691"/>
        <v>0</v>
      </c>
      <c r="AT1406" s="2682">
        <f t="shared" si="1691"/>
        <v>0</v>
      </c>
    </row>
    <row r="1407" spans="1:125" ht="15.75" customHeight="1">
      <c r="A1407" s="1"/>
      <c r="B1407" s="1"/>
      <c r="C1407" s="1"/>
      <c r="D1407" s="2533" t="str">
        <f>+FISCinyear!D1080</f>
        <v xml:space="preserve">Capital </v>
      </c>
      <c r="E1407" s="498"/>
      <c r="F1407" s="498"/>
      <c r="G1407" s="498"/>
      <c r="H1407" s="498"/>
      <c r="I1407" s="498"/>
      <c r="J1407" s="498"/>
      <c r="K1407" s="498"/>
      <c r="L1407" s="498"/>
      <c r="M1407" s="498"/>
      <c r="N1407" s="498"/>
      <c r="O1407" s="498"/>
      <c r="P1407" s="498"/>
      <c r="Q1407" s="498"/>
      <c r="R1407" s="498"/>
      <c r="S1407" s="498"/>
      <c r="T1407" s="498"/>
      <c r="U1407" s="498"/>
      <c r="V1407" s="501">
        <f t="shared" ref="V1407:AT1407" si="1692">V1123</f>
        <v>0</v>
      </c>
      <c r="W1407" s="501">
        <f t="shared" si="1692"/>
        <v>0</v>
      </c>
      <c r="X1407" s="501">
        <f t="shared" si="1692"/>
        <v>0</v>
      </c>
      <c r="Y1407" s="501">
        <f t="shared" si="1692"/>
        <v>0</v>
      </c>
      <c r="Z1407" s="501">
        <f t="shared" si="1692"/>
        <v>0</v>
      </c>
      <c r="AA1407" s="501">
        <f t="shared" si="1692"/>
        <v>0</v>
      </c>
      <c r="AB1407" s="501">
        <f t="shared" si="1692"/>
        <v>0</v>
      </c>
      <c r="AC1407" s="501">
        <f t="shared" si="1692"/>
        <v>0</v>
      </c>
      <c r="AD1407" s="501">
        <f t="shared" si="1692"/>
        <v>0</v>
      </c>
      <c r="AE1407" s="1633">
        <f t="shared" si="1692"/>
        <v>0</v>
      </c>
      <c r="AF1407" s="1633">
        <f t="shared" si="1692"/>
        <v>0</v>
      </c>
      <c r="AG1407" s="1633">
        <f t="shared" si="1692"/>
        <v>0</v>
      </c>
      <c r="AH1407" s="1633">
        <f t="shared" si="1692"/>
        <v>246.87029429712004</v>
      </c>
      <c r="AI1407" s="1633">
        <f t="shared" si="1692"/>
        <v>317.9643478076166</v>
      </c>
      <c r="AJ1407" s="1633">
        <f t="shared" si="1692"/>
        <v>289.08478594112194</v>
      </c>
      <c r="AK1407" s="1633">
        <f t="shared" si="1692"/>
        <v>280.34981583192655</v>
      </c>
      <c r="AL1407" s="501">
        <f t="shared" si="1692"/>
        <v>292.56102273600618</v>
      </c>
      <c r="AM1407" s="501">
        <f t="shared" si="1692"/>
        <v>306.54430202097217</v>
      </c>
      <c r="AN1407" s="501">
        <f t="shared" si="1692"/>
        <v>321.06731701975286</v>
      </c>
      <c r="AO1407" s="501">
        <f t="shared" si="1692"/>
        <v>333.83954645348712</v>
      </c>
      <c r="AP1407" s="501">
        <f t="shared" si="1692"/>
        <v>356.94859055134964</v>
      </c>
      <c r="AQ1407" s="501">
        <f t="shared" si="1692"/>
        <v>367.65704826789016</v>
      </c>
      <c r="AR1407" s="501">
        <f t="shared" si="1692"/>
        <v>378.68675971592688</v>
      </c>
      <c r="AS1407" s="501">
        <f t="shared" si="1692"/>
        <v>390.04736250740473</v>
      </c>
      <c r="AT1407" s="2682">
        <f t="shared" si="1692"/>
        <v>401.74878338262687</v>
      </c>
    </row>
    <row r="1408" spans="1:125" ht="15.75" customHeight="1">
      <c r="A1408" s="1"/>
      <c r="B1408" s="1"/>
      <c r="C1408" s="1"/>
      <c r="D1408" s="2534" t="s">
        <v>3022</v>
      </c>
      <c r="E1408" s="498"/>
      <c r="F1408" s="498"/>
      <c r="G1408" s="498"/>
      <c r="H1408" s="498"/>
      <c r="I1408" s="498"/>
      <c r="J1408" s="498"/>
      <c r="K1408" s="498"/>
      <c r="L1408" s="498"/>
      <c r="M1408" s="498"/>
      <c r="N1408" s="498"/>
      <c r="O1408" s="498"/>
      <c r="P1408" s="498"/>
      <c r="Q1408" s="498"/>
      <c r="R1408" s="498"/>
      <c r="S1408" s="498"/>
      <c r="T1408" s="498"/>
      <c r="U1408" s="498"/>
      <c r="V1408" s="501">
        <f>V1409+V1410</f>
        <v>379.02576983500001</v>
      </c>
      <c r="W1408" s="501">
        <f t="shared" ref="W1408:AK1408" si="1693">W1409+W1410</f>
        <v>457.4</v>
      </c>
      <c r="X1408" s="501">
        <f t="shared" si="1693"/>
        <v>364.9</v>
      </c>
      <c r="Y1408" s="501">
        <f t="shared" si="1693"/>
        <v>474.31665722262011</v>
      </c>
      <c r="Z1408" s="501">
        <f>Z1409+Z1410</f>
        <v>415.92740699529958</v>
      </c>
      <c r="AA1408" s="501">
        <f t="shared" si="1693"/>
        <v>373.71360579354939</v>
      </c>
      <c r="AB1408" s="501">
        <f t="shared" si="1693"/>
        <v>261.31005276446882</v>
      </c>
      <c r="AC1408" s="501">
        <f t="shared" si="1693"/>
        <v>295.987469862154</v>
      </c>
      <c r="AD1408" s="501">
        <f t="shared" si="1693"/>
        <v>375.87214036323661</v>
      </c>
      <c r="AE1408" s="1633">
        <f t="shared" si="1693"/>
        <v>413.37255887492961</v>
      </c>
      <c r="AF1408" s="1633">
        <f t="shared" si="1693"/>
        <v>557.03927729052498</v>
      </c>
      <c r="AG1408" s="1633">
        <f t="shared" si="1693"/>
        <v>609.65493365757197</v>
      </c>
      <c r="AH1408" s="1633">
        <f t="shared" si="1693"/>
        <v>305.69072794214094</v>
      </c>
      <c r="AI1408" s="1633">
        <f t="shared" si="1693"/>
        <v>334.03018891143483</v>
      </c>
      <c r="AJ1408" s="1633">
        <f t="shared" si="1693"/>
        <v>289.45585082051969</v>
      </c>
      <c r="AK1408" s="1633">
        <f t="shared" si="1693"/>
        <v>387.9264144637358</v>
      </c>
      <c r="AL1408" s="501">
        <f>AL1409+AL1410</f>
        <v>251.42012171436414</v>
      </c>
      <c r="AM1408" s="501">
        <f>AM1409+AM1410</f>
        <v>298.63807285264153</v>
      </c>
      <c r="AN1408" s="501">
        <f t="shared" ref="AN1408:AO1408" si="1694">AN1409+AN1410</f>
        <v>296.08723858059835</v>
      </c>
      <c r="AO1408" s="501">
        <f t="shared" si="1694"/>
        <v>292.23852013074509</v>
      </c>
      <c r="AP1408" s="501">
        <f t="shared" ref="AP1408:AT1408" si="1695">AP1409+AP1410</f>
        <v>357.49076737749925</v>
      </c>
      <c r="AQ1408" s="501">
        <f t="shared" si="1695"/>
        <v>505.97782472025841</v>
      </c>
      <c r="AR1408" s="501">
        <f t="shared" si="1695"/>
        <v>520.04924998398644</v>
      </c>
      <c r="AS1408" s="501">
        <f t="shared" si="1695"/>
        <v>535.74582304702403</v>
      </c>
      <c r="AT1408" s="2682">
        <f t="shared" si="1695"/>
        <v>552.46302490538983</v>
      </c>
    </row>
    <row r="1409" spans="1:46" ht="15.75" customHeight="1">
      <c r="A1409" s="1"/>
      <c r="B1409" s="1"/>
      <c r="C1409" s="1"/>
      <c r="D1409" s="2533" t="s">
        <v>506</v>
      </c>
      <c r="E1409" s="498"/>
      <c r="F1409" s="498"/>
      <c r="G1409" s="498"/>
      <c r="H1409" s="498"/>
      <c r="I1409" s="498"/>
      <c r="J1409" s="498"/>
      <c r="K1409" s="498"/>
      <c r="L1409" s="498"/>
      <c r="M1409" s="498"/>
      <c r="N1409" s="498"/>
      <c r="O1409" s="498"/>
      <c r="P1409" s="498"/>
      <c r="Q1409" s="498"/>
      <c r="R1409" s="498"/>
      <c r="S1409" s="498"/>
      <c r="T1409" s="498"/>
      <c r="U1409" s="498"/>
      <c r="V1409" s="501">
        <f t="shared" ref="V1409:AT1409" si="1696">V1125</f>
        <v>215.02576983500001</v>
      </c>
      <c r="W1409" s="501">
        <f t="shared" si="1696"/>
        <v>265.7</v>
      </c>
      <c r="X1409" s="501">
        <f t="shared" si="1696"/>
        <v>190</v>
      </c>
      <c r="Y1409" s="501">
        <f t="shared" si="1696"/>
        <v>171.05488197605115</v>
      </c>
      <c r="Z1409" s="501">
        <f t="shared" si="1696"/>
        <v>174.90370495494068</v>
      </c>
      <c r="AA1409" s="501">
        <f t="shared" si="1696"/>
        <v>204.80701027772713</v>
      </c>
      <c r="AB1409" s="501">
        <f t="shared" si="1696"/>
        <v>115.31005276446882</v>
      </c>
      <c r="AC1409" s="501">
        <f t="shared" si="1696"/>
        <v>127.27746986215398</v>
      </c>
      <c r="AD1409" s="501">
        <f t="shared" si="1696"/>
        <v>142.79660836906694</v>
      </c>
      <c r="AE1409" s="1633">
        <f t="shared" si="1696"/>
        <v>153.54471619267954</v>
      </c>
      <c r="AF1409" s="1633">
        <f t="shared" si="1696"/>
        <v>262.290954510125</v>
      </c>
      <c r="AG1409" s="1633">
        <f t="shared" si="1696"/>
        <v>232.6014681299319</v>
      </c>
      <c r="AH1409" s="1633">
        <f t="shared" si="1696"/>
        <v>151.2761174962597</v>
      </c>
      <c r="AI1409" s="1633">
        <f t="shared" si="1696"/>
        <v>147.91388757351183</v>
      </c>
      <c r="AJ1409" s="1633">
        <f t="shared" si="1696"/>
        <v>128.27999060794238</v>
      </c>
      <c r="AK1409" s="1633">
        <f t="shared" si="1696"/>
        <v>112.61764625081402</v>
      </c>
      <c r="AL1409" s="501">
        <f t="shared" si="1696"/>
        <v>97.330309196607956</v>
      </c>
      <c r="AM1409" s="501">
        <f t="shared" si="1696"/>
        <v>137.18336646333185</v>
      </c>
      <c r="AN1409" s="501">
        <f t="shared" si="1696"/>
        <v>126.98336335318955</v>
      </c>
      <c r="AO1409" s="501">
        <f t="shared" si="1696"/>
        <v>116.40760238594059</v>
      </c>
      <c r="AP1409" s="501">
        <f t="shared" si="1696"/>
        <v>88.224524233940471</v>
      </c>
      <c r="AQ1409" s="501">
        <f t="shared" si="1696"/>
        <v>144.93171957812467</v>
      </c>
      <c r="AR1409" s="501">
        <f t="shared" si="1696"/>
        <v>148.17176168758874</v>
      </c>
      <c r="AS1409" s="501">
        <f t="shared" si="1696"/>
        <v>152.71201010173439</v>
      </c>
      <c r="AT1409" s="2682">
        <f t="shared" si="1696"/>
        <v>157.93819757174151</v>
      </c>
    </row>
    <row r="1410" spans="1:46" ht="15.75" customHeight="1">
      <c r="A1410" s="1"/>
      <c r="B1410" s="1"/>
      <c r="C1410" s="1"/>
      <c r="D1410" s="2533" t="s">
        <v>507</v>
      </c>
      <c r="E1410" s="498"/>
      <c r="F1410" s="498"/>
      <c r="G1410" s="498"/>
      <c r="H1410" s="498"/>
      <c r="I1410" s="498"/>
      <c r="J1410" s="498"/>
      <c r="K1410" s="498"/>
      <c r="L1410" s="498"/>
      <c r="M1410" s="498"/>
      <c r="N1410" s="498"/>
      <c r="O1410" s="498"/>
      <c r="P1410" s="498"/>
      <c r="Q1410" s="498"/>
      <c r="R1410" s="498"/>
      <c r="S1410" s="498"/>
      <c r="T1410" s="498"/>
      <c r="U1410" s="498"/>
      <c r="V1410" s="501">
        <f t="shared" ref="V1410:AT1410" si="1697">V1126</f>
        <v>164</v>
      </c>
      <c r="W1410" s="501">
        <f t="shared" si="1697"/>
        <v>191.7</v>
      </c>
      <c r="X1410" s="501">
        <f t="shared" si="1697"/>
        <v>174.9</v>
      </c>
      <c r="Y1410" s="501">
        <f t="shared" si="1697"/>
        <v>303.26177524656896</v>
      </c>
      <c r="Z1410" s="501">
        <f t="shared" si="1697"/>
        <v>241.0237020403589</v>
      </c>
      <c r="AA1410" s="501">
        <f t="shared" si="1697"/>
        <v>168.90659551582223</v>
      </c>
      <c r="AB1410" s="501">
        <f t="shared" si="1697"/>
        <v>146</v>
      </c>
      <c r="AC1410" s="501">
        <f t="shared" si="1697"/>
        <v>168.71</v>
      </c>
      <c r="AD1410" s="501">
        <f t="shared" si="1697"/>
        <v>233.07553199416967</v>
      </c>
      <c r="AE1410" s="1633">
        <f t="shared" si="1697"/>
        <v>259.82784268225004</v>
      </c>
      <c r="AF1410" s="1633">
        <f t="shared" si="1697"/>
        <v>294.74832278039997</v>
      </c>
      <c r="AG1410" s="1633">
        <f t="shared" si="1697"/>
        <v>377.05346552764001</v>
      </c>
      <c r="AH1410" s="1633">
        <f t="shared" si="1697"/>
        <v>154.41461044588121</v>
      </c>
      <c r="AI1410" s="1633">
        <f t="shared" si="1697"/>
        <v>186.11630133792301</v>
      </c>
      <c r="AJ1410" s="1633">
        <f t="shared" si="1697"/>
        <v>161.17586021257728</v>
      </c>
      <c r="AK1410" s="1633">
        <f t="shared" si="1697"/>
        <v>275.30876821292179</v>
      </c>
      <c r="AL1410" s="501">
        <f t="shared" si="1697"/>
        <v>154.0898125177562</v>
      </c>
      <c r="AM1410" s="501">
        <f t="shared" si="1697"/>
        <v>161.45470638930968</v>
      </c>
      <c r="AN1410" s="501">
        <f t="shared" si="1697"/>
        <v>169.10387522740879</v>
      </c>
      <c r="AO1410" s="501">
        <f t="shared" si="1697"/>
        <v>175.83091774480448</v>
      </c>
      <c r="AP1410" s="501">
        <f t="shared" si="1697"/>
        <v>269.26624314355877</v>
      </c>
      <c r="AQ1410" s="501">
        <f t="shared" si="1697"/>
        <v>361.04610514213374</v>
      </c>
      <c r="AR1410" s="501">
        <f t="shared" si="1697"/>
        <v>371.8774882963977</v>
      </c>
      <c r="AS1410" s="501">
        <f t="shared" si="1697"/>
        <v>383.0338129452897</v>
      </c>
      <c r="AT1410" s="2682">
        <f t="shared" si="1697"/>
        <v>394.52482733364837</v>
      </c>
    </row>
    <row r="1411" spans="1:46" ht="15.75" customHeight="1">
      <c r="A1411" s="1"/>
      <c r="B1411" s="1"/>
      <c r="C1411" s="1"/>
      <c r="D1411" s="2534" t="s">
        <v>3023</v>
      </c>
      <c r="E1411" s="498"/>
      <c r="F1411" s="498"/>
      <c r="G1411" s="498"/>
      <c r="H1411" s="498"/>
      <c r="I1411" s="498"/>
      <c r="J1411" s="498"/>
      <c r="K1411" s="498"/>
      <c r="L1411" s="498"/>
      <c r="M1411" s="498"/>
      <c r="N1411" s="498"/>
      <c r="O1411" s="498"/>
      <c r="P1411" s="498"/>
      <c r="Q1411" s="498"/>
      <c r="R1411" s="498"/>
      <c r="S1411" s="498"/>
      <c r="T1411" s="498"/>
      <c r="U1411" s="498"/>
      <c r="V1411" s="501">
        <f>V1412+V1413</f>
        <v>0</v>
      </c>
      <c r="W1411" s="501">
        <f t="shared" ref="W1411:AK1411" si="1698">W1412+W1413</f>
        <v>0</v>
      </c>
      <c r="X1411" s="501">
        <f t="shared" si="1698"/>
        <v>0</v>
      </c>
      <c r="Y1411" s="501">
        <f t="shared" si="1698"/>
        <v>0</v>
      </c>
      <c r="Z1411" s="501">
        <f t="shared" si="1698"/>
        <v>0</v>
      </c>
      <c r="AA1411" s="501">
        <f t="shared" si="1698"/>
        <v>0</v>
      </c>
      <c r="AB1411" s="501">
        <f t="shared" si="1698"/>
        <v>0</v>
      </c>
      <c r="AC1411" s="501">
        <f t="shared" si="1698"/>
        <v>0</v>
      </c>
      <c r="AD1411" s="501">
        <f t="shared" si="1698"/>
        <v>0</v>
      </c>
      <c r="AE1411" s="1633">
        <f t="shared" si="1698"/>
        <v>0</v>
      </c>
      <c r="AF1411" s="1633">
        <f t="shared" si="1698"/>
        <v>0</v>
      </c>
      <c r="AG1411" s="1633">
        <f t="shared" si="1698"/>
        <v>0</v>
      </c>
      <c r="AH1411" s="1633">
        <f t="shared" si="1698"/>
        <v>0</v>
      </c>
      <c r="AI1411" s="1633">
        <f t="shared" si="1698"/>
        <v>0</v>
      </c>
      <c r="AJ1411" s="1633">
        <f t="shared" si="1698"/>
        <v>0</v>
      </c>
      <c r="AK1411" s="1633">
        <f t="shared" si="1698"/>
        <v>0</v>
      </c>
      <c r="AL1411" s="501">
        <f>AL1412+AL1413</f>
        <v>0</v>
      </c>
      <c r="AM1411" s="501">
        <f>AM1412+AM1413</f>
        <v>0</v>
      </c>
      <c r="AN1411" s="501">
        <f t="shared" ref="AN1411:AO1411" si="1699">AN1412+AN1413</f>
        <v>0</v>
      </c>
      <c r="AO1411" s="501">
        <f t="shared" si="1699"/>
        <v>0</v>
      </c>
      <c r="AP1411" s="501">
        <f t="shared" ref="AP1411:AT1411" si="1700">AP1412+AP1413</f>
        <v>0</v>
      </c>
      <c r="AQ1411" s="501">
        <f t="shared" si="1700"/>
        <v>0</v>
      </c>
      <c r="AR1411" s="501">
        <f t="shared" si="1700"/>
        <v>0</v>
      </c>
      <c r="AS1411" s="501">
        <f t="shared" si="1700"/>
        <v>0</v>
      </c>
      <c r="AT1411" s="2682">
        <f t="shared" si="1700"/>
        <v>0</v>
      </c>
    </row>
    <row r="1412" spans="1:46" ht="15.75" customHeight="1">
      <c r="A1412" s="1"/>
      <c r="B1412" s="1"/>
      <c r="C1412" s="1"/>
      <c r="D1412" s="2533" t="s">
        <v>3102</v>
      </c>
      <c r="E1412" s="498"/>
      <c r="F1412" s="498"/>
      <c r="G1412" s="498"/>
      <c r="H1412" s="498"/>
      <c r="I1412" s="498"/>
      <c r="J1412" s="498"/>
      <c r="K1412" s="498"/>
      <c r="L1412" s="498"/>
      <c r="M1412" s="498"/>
      <c r="N1412" s="498"/>
      <c r="O1412" s="498"/>
      <c r="P1412" s="498"/>
      <c r="Q1412" s="498"/>
      <c r="R1412" s="498"/>
      <c r="S1412" s="498"/>
      <c r="T1412" s="498"/>
      <c r="U1412" s="498"/>
      <c r="V1412" s="501">
        <f t="shared" ref="V1412:AT1412" si="1701">V1129</f>
        <v>0</v>
      </c>
      <c r="W1412" s="501">
        <f t="shared" si="1701"/>
        <v>0</v>
      </c>
      <c r="X1412" s="501">
        <f t="shared" si="1701"/>
        <v>0</v>
      </c>
      <c r="Y1412" s="501">
        <f t="shared" si="1701"/>
        <v>0</v>
      </c>
      <c r="Z1412" s="501">
        <f t="shared" si="1701"/>
        <v>0</v>
      </c>
      <c r="AA1412" s="501">
        <f t="shared" si="1701"/>
        <v>0</v>
      </c>
      <c r="AB1412" s="501">
        <f t="shared" si="1701"/>
        <v>0</v>
      </c>
      <c r="AC1412" s="501">
        <f t="shared" si="1701"/>
        <v>0</v>
      </c>
      <c r="AD1412" s="501">
        <f t="shared" si="1701"/>
        <v>0</v>
      </c>
      <c r="AE1412" s="1633">
        <f t="shared" si="1701"/>
        <v>0</v>
      </c>
      <c r="AF1412" s="1633">
        <f t="shared" si="1701"/>
        <v>0</v>
      </c>
      <c r="AG1412" s="1633">
        <f t="shared" si="1701"/>
        <v>0</v>
      </c>
      <c r="AH1412" s="1633">
        <f t="shared" si="1701"/>
        <v>0</v>
      </c>
      <c r="AI1412" s="1633">
        <f t="shared" si="1701"/>
        <v>0</v>
      </c>
      <c r="AJ1412" s="1633">
        <f t="shared" si="1701"/>
        <v>0</v>
      </c>
      <c r="AK1412" s="1633">
        <f t="shared" si="1701"/>
        <v>0</v>
      </c>
      <c r="AL1412" s="501">
        <f t="shared" si="1701"/>
        <v>0</v>
      </c>
      <c r="AM1412" s="501">
        <f t="shared" si="1701"/>
        <v>0</v>
      </c>
      <c r="AN1412" s="501">
        <f t="shared" si="1701"/>
        <v>0</v>
      </c>
      <c r="AO1412" s="501">
        <f t="shared" si="1701"/>
        <v>0</v>
      </c>
      <c r="AP1412" s="501">
        <f t="shared" si="1701"/>
        <v>0</v>
      </c>
      <c r="AQ1412" s="501">
        <f t="shared" si="1701"/>
        <v>0</v>
      </c>
      <c r="AR1412" s="501">
        <f t="shared" si="1701"/>
        <v>0</v>
      </c>
      <c r="AS1412" s="501">
        <f t="shared" si="1701"/>
        <v>0</v>
      </c>
      <c r="AT1412" s="2682">
        <f t="shared" si="1701"/>
        <v>0</v>
      </c>
    </row>
    <row r="1413" spans="1:46" ht="15.75" customHeight="1">
      <c r="A1413" s="1"/>
      <c r="B1413" s="1"/>
      <c r="C1413" s="1"/>
      <c r="D1413" s="2533" t="s">
        <v>507</v>
      </c>
      <c r="E1413" s="498"/>
      <c r="F1413" s="498"/>
      <c r="G1413" s="498"/>
      <c r="H1413" s="498"/>
      <c r="I1413" s="498"/>
      <c r="J1413" s="498"/>
      <c r="K1413" s="498"/>
      <c r="L1413" s="498"/>
      <c r="M1413" s="498"/>
      <c r="N1413" s="498"/>
      <c r="O1413" s="498"/>
      <c r="P1413" s="498"/>
      <c r="Q1413" s="498"/>
      <c r="R1413" s="498"/>
      <c r="S1413" s="498"/>
      <c r="T1413" s="498"/>
      <c r="U1413" s="498"/>
      <c r="V1413" s="501">
        <f t="shared" ref="V1413:AT1413" si="1702">V1130</f>
        <v>0</v>
      </c>
      <c r="W1413" s="501">
        <f t="shared" si="1702"/>
        <v>0</v>
      </c>
      <c r="X1413" s="501">
        <f t="shared" si="1702"/>
        <v>0</v>
      </c>
      <c r="Y1413" s="501">
        <f t="shared" si="1702"/>
        <v>0</v>
      </c>
      <c r="Z1413" s="501">
        <f t="shared" si="1702"/>
        <v>0</v>
      </c>
      <c r="AA1413" s="501">
        <f t="shared" si="1702"/>
        <v>0</v>
      </c>
      <c r="AB1413" s="501">
        <f t="shared" si="1702"/>
        <v>0</v>
      </c>
      <c r="AC1413" s="501">
        <f t="shared" si="1702"/>
        <v>0</v>
      </c>
      <c r="AD1413" s="501">
        <f t="shared" si="1702"/>
        <v>0</v>
      </c>
      <c r="AE1413" s="1633">
        <f t="shared" si="1702"/>
        <v>0</v>
      </c>
      <c r="AF1413" s="1633">
        <f t="shared" si="1702"/>
        <v>0</v>
      </c>
      <c r="AG1413" s="1633">
        <f t="shared" si="1702"/>
        <v>0</v>
      </c>
      <c r="AH1413" s="1633">
        <f t="shared" si="1702"/>
        <v>0</v>
      </c>
      <c r="AI1413" s="1633">
        <f t="shared" si="1702"/>
        <v>0</v>
      </c>
      <c r="AJ1413" s="1633">
        <f t="shared" si="1702"/>
        <v>0</v>
      </c>
      <c r="AK1413" s="1633">
        <f t="shared" si="1702"/>
        <v>0</v>
      </c>
      <c r="AL1413" s="501">
        <f t="shared" si="1702"/>
        <v>0</v>
      </c>
      <c r="AM1413" s="501">
        <f t="shared" si="1702"/>
        <v>0</v>
      </c>
      <c r="AN1413" s="501">
        <f t="shared" si="1702"/>
        <v>0</v>
      </c>
      <c r="AO1413" s="501">
        <f t="shared" si="1702"/>
        <v>0</v>
      </c>
      <c r="AP1413" s="501">
        <f t="shared" si="1702"/>
        <v>0</v>
      </c>
      <c r="AQ1413" s="501">
        <f t="shared" si="1702"/>
        <v>0</v>
      </c>
      <c r="AR1413" s="501">
        <f t="shared" si="1702"/>
        <v>0</v>
      </c>
      <c r="AS1413" s="501">
        <f t="shared" si="1702"/>
        <v>0</v>
      </c>
      <c r="AT1413" s="2682">
        <f t="shared" si="1702"/>
        <v>0</v>
      </c>
    </row>
    <row r="1414" spans="1:46" ht="15.75" customHeight="1">
      <c r="A1414" s="1"/>
      <c r="B1414" s="1"/>
      <c r="C1414" s="1"/>
      <c r="D1414" s="2534" t="s">
        <v>3116</v>
      </c>
      <c r="E1414" s="498"/>
      <c r="F1414" s="498"/>
      <c r="G1414" s="498"/>
      <c r="H1414" s="498"/>
      <c r="I1414" s="498"/>
      <c r="J1414" s="498"/>
      <c r="K1414" s="498"/>
      <c r="L1414" s="498"/>
      <c r="M1414" s="498"/>
      <c r="N1414" s="498"/>
      <c r="O1414" s="498"/>
      <c r="P1414" s="498"/>
      <c r="Q1414" s="498"/>
      <c r="R1414" s="498"/>
      <c r="S1414" s="498"/>
      <c r="T1414" s="498"/>
      <c r="U1414" s="498"/>
      <c r="V1414" s="501"/>
      <c r="W1414" s="501"/>
      <c r="X1414" s="501"/>
      <c r="Y1414" s="501"/>
      <c r="Z1414" s="501"/>
      <c r="AA1414" s="501"/>
      <c r="AB1414" s="501">
        <f t="shared" ref="AB1414:AT1414" si="1703">AB1131</f>
        <v>0</v>
      </c>
      <c r="AC1414" s="501">
        <f t="shared" si="1703"/>
        <v>0</v>
      </c>
      <c r="AD1414" s="501">
        <f t="shared" si="1703"/>
        <v>0</v>
      </c>
      <c r="AE1414" s="1633">
        <f t="shared" si="1703"/>
        <v>0</v>
      </c>
      <c r="AF1414" s="1633">
        <f t="shared" si="1703"/>
        <v>0</v>
      </c>
      <c r="AG1414" s="1633">
        <f t="shared" si="1703"/>
        <v>0</v>
      </c>
      <c r="AH1414" s="1633">
        <f t="shared" si="1703"/>
        <v>0</v>
      </c>
      <c r="AI1414" s="1633">
        <f t="shared" si="1703"/>
        <v>0</v>
      </c>
      <c r="AJ1414" s="1633">
        <f t="shared" si="1703"/>
        <v>0</v>
      </c>
      <c r="AK1414" s="1633">
        <f t="shared" si="1703"/>
        <v>0</v>
      </c>
      <c r="AL1414" s="501">
        <f t="shared" si="1703"/>
        <v>0</v>
      </c>
      <c r="AM1414" s="501">
        <f t="shared" si="1703"/>
        <v>0</v>
      </c>
      <c r="AN1414" s="501">
        <f t="shared" si="1703"/>
        <v>0</v>
      </c>
      <c r="AO1414" s="501">
        <f t="shared" si="1703"/>
        <v>0</v>
      </c>
      <c r="AP1414" s="501">
        <f t="shared" si="1703"/>
        <v>0</v>
      </c>
      <c r="AQ1414" s="501">
        <f t="shared" si="1703"/>
        <v>0</v>
      </c>
      <c r="AR1414" s="501">
        <f t="shared" si="1703"/>
        <v>0</v>
      </c>
      <c r="AS1414" s="501">
        <f t="shared" si="1703"/>
        <v>0</v>
      </c>
      <c r="AT1414" s="2682">
        <f t="shared" si="1703"/>
        <v>0</v>
      </c>
    </row>
    <row r="1415" spans="1:46">
      <c r="A1415" s="1"/>
      <c r="B1415" s="1"/>
      <c r="C1415" s="1"/>
      <c r="D1415" s="2531" t="str">
        <f>+FISCinyear!D1081</f>
        <v xml:space="preserve">Other revenue </v>
      </c>
      <c r="E1415" s="498"/>
      <c r="F1415" s="498"/>
      <c r="G1415" s="498"/>
      <c r="H1415" s="498"/>
      <c r="I1415" s="498"/>
      <c r="J1415" s="498"/>
      <c r="K1415" s="498"/>
      <c r="L1415" s="498"/>
      <c r="M1415" s="498"/>
      <c r="N1415" s="498"/>
      <c r="O1415" s="498"/>
      <c r="P1415" s="498"/>
      <c r="Q1415" s="498"/>
      <c r="R1415" s="498"/>
      <c r="S1415" s="498"/>
      <c r="T1415" s="498"/>
      <c r="U1415" s="498"/>
      <c r="V1415" s="501">
        <f>V1416+V1417+V1418+V1419+V1420</f>
        <v>0</v>
      </c>
      <c r="W1415" s="501">
        <f t="shared" ref="W1415:AK1415" si="1704">W1416+W1417+W1418+W1419+W1420</f>
        <v>0</v>
      </c>
      <c r="X1415" s="501">
        <f t="shared" si="1704"/>
        <v>0</v>
      </c>
      <c r="Y1415" s="501">
        <f t="shared" si="1704"/>
        <v>136.4800568374724</v>
      </c>
      <c r="Z1415" s="501">
        <f t="shared" si="1704"/>
        <v>172.54151324019469</v>
      </c>
      <c r="AA1415" s="501">
        <f t="shared" si="1704"/>
        <v>167.59624826644659</v>
      </c>
      <c r="AB1415" s="501">
        <f t="shared" si="1704"/>
        <v>233.15928932922185</v>
      </c>
      <c r="AC1415" s="501">
        <f t="shared" si="1704"/>
        <v>262.53031346180853</v>
      </c>
      <c r="AD1415" s="501">
        <f t="shared" si="1704"/>
        <v>267.75505516264838</v>
      </c>
      <c r="AE1415" s="1633">
        <f t="shared" si="1704"/>
        <v>289.92302903184969</v>
      </c>
      <c r="AF1415" s="1633">
        <f t="shared" si="1704"/>
        <v>385.41374679017059</v>
      </c>
      <c r="AG1415" s="1633">
        <f t="shared" si="1704"/>
        <v>401.22505476096023</v>
      </c>
      <c r="AH1415" s="1633">
        <f t="shared" si="1704"/>
        <v>400.88814089864599</v>
      </c>
      <c r="AI1415" s="1633">
        <f t="shared" si="1704"/>
        <v>460.01542773408437</v>
      </c>
      <c r="AJ1415" s="1633">
        <f t="shared" si="1704"/>
        <v>494.31204530502629</v>
      </c>
      <c r="AK1415" s="1633">
        <f t="shared" si="1704"/>
        <v>553.88400152487952</v>
      </c>
      <c r="AL1415" s="501">
        <f>AL1416+AL1417+AL1418+AL1419+AL1420</f>
        <v>613.78129736506344</v>
      </c>
      <c r="AM1415" s="501">
        <f>AM1416+AM1417+AM1418+AM1419+AM1420</f>
        <v>690.65472630863064</v>
      </c>
      <c r="AN1415" s="501">
        <f t="shared" ref="AN1415:AO1415" si="1705">AN1416+AN1417+AN1418+AN1419+AN1420</f>
        <v>764.38696663108806</v>
      </c>
      <c r="AO1415" s="501">
        <f t="shared" si="1705"/>
        <v>880.55618517210507</v>
      </c>
      <c r="AP1415" s="501">
        <f t="shared" ref="AP1415:AT1415" si="1706">AP1416+AP1417+AP1418+AP1419+AP1420</f>
        <v>983.3080446079191</v>
      </c>
      <c r="AQ1415" s="501">
        <f t="shared" si="1706"/>
        <v>1057.5759683722131</v>
      </c>
      <c r="AR1415" s="501">
        <f t="shared" si="1706"/>
        <v>1170.5169248698819</v>
      </c>
      <c r="AS1415" s="501">
        <f t="shared" si="1706"/>
        <v>1295.6764895837384</v>
      </c>
      <c r="AT1415" s="2682">
        <f t="shared" si="1706"/>
        <v>1818.6165390775204</v>
      </c>
    </row>
    <row r="1416" spans="1:46">
      <c r="A1416" s="1"/>
      <c r="B1416" s="1"/>
      <c r="C1416" s="1"/>
      <c r="D1416" s="2533" t="s">
        <v>3024</v>
      </c>
      <c r="E1416" s="498"/>
      <c r="F1416" s="498"/>
      <c r="G1416" s="498"/>
      <c r="H1416" s="498"/>
      <c r="I1416" s="498"/>
      <c r="J1416" s="498"/>
      <c r="K1416" s="498"/>
      <c r="L1416" s="498"/>
      <c r="M1416" s="498"/>
      <c r="N1416" s="498"/>
      <c r="O1416" s="498"/>
      <c r="P1416" s="498"/>
      <c r="Q1416" s="498"/>
      <c r="R1416" s="498"/>
      <c r="S1416" s="498"/>
      <c r="T1416" s="498"/>
      <c r="U1416" s="498"/>
      <c r="V1416" s="501">
        <f t="shared" ref="V1416:AT1416" si="1707">V1133</f>
        <v>0</v>
      </c>
      <c r="W1416" s="501">
        <f t="shared" si="1707"/>
        <v>0</v>
      </c>
      <c r="X1416" s="501">
        <f t="shared" si="1707"/>
        <v>0</v>
      </c>
      <c r="Y1416" s="501">
        <f t="shared" si="1707"/>
        <v>6.7644080859999995</v>
      </c>
      <c r="Z1416" s="501">
        <f t="shared" si="1707"/>
        <v>9.7019287829999996</v>
      </c>
      <c r="AA1416" s="501">
        <f t="shared" si="1707"/>
        <v>4.9000000000000004</v>
      </c>
      <c r="AB1416" s="501">
        <f t="shared" si="1707"/>
        <v>7.5717338740370295</v>
      </c>
      <c r="AC1416" s="501">
        <f t="shared" si="1707"/>
        <v>9.6429404242133145</v>
      </c>
      <c r="AD1416" s="501">
        <f t="shared" si="1707"/>
        <v>4.7370362420000003</v>
      </c>
      <c r="AE1416" s="1633">
        <f t="shared" si="1707"/>
        <v>20.327638891539998</v>
      </c>
      <c r="AF1416" s="1633">
        <f t="shared" si="1707"/>
        <v>19.584410687289058</v>
      </c>
      <c r="AG1416" s="1633">
        <f t="shared" si="1707"/>
        <v>13.349443622742999</v>
      </c>
      <c r="AH1416" s="1633">
        <f t="shared" si="1707"/>
        <v>14.630219605303161</v>
      </c>
      <c r="AI1416" s="1633">
        <f t="shared" si="1707"/>
        <v>24.476467754939073</v>
      </c>
      <c r="AJ1416" s="1633">
        <f t="shared" si="1707"/>
        <v>12.840608534999999</v>
      </c>
      <c r="AK1416" s="1633">
        <f t="shared" si="1707"/>
        <v>44.396938397542485</v>
      </c>
      <c r="AL1416" s="501">
        <f t="shared" si="1707"/>
        <v>29.476193147379906</v>
      </c>
      <c r="AM1416" s="501">
        <f t="shared" si="1707"/>
        <v>31.974271472554108</v>
      </c>
      <c r="AN1416" s="501">
        <f t="shared" si="1707"/>
        <v>36.130926763986118</v>
      </c>
      <c r="AO1416" s="501">
        <f t="shared" si="1707"/>
        <v>40.744104723474955</v>
      </c>
      <c r="AP1416" s="501">
        <f t="shared" si="1707"/>
        <v>46.825856454800963</v>
      </c>
      <c r="AQ1416" s="501">
        <f t="shared" si="1707"/>
        <v>53.91975790206228</v>
      </c>
      <c r="AR1416" s="501">
        <f t="shared" si="1707"/>
        <v>61.038390579935395</v>
      </c>
      <c r="AS1416" s="501">
        <f t="shared" si="1707"/>
        <v>68.158437842523995</v>
      </c>
      <c r="AT1416" s="2682">
        <f t="shared" si="1707"/>
        <v>74.335380612656394</v>
      </c>
    </row>
    <row r="1417" spans="1:46">
      <c r="A1417" s="1"/>
      <c r="B1417" s="1"/>
      <c r="C1417" s="1"/>
      <c r="D1417" s="2533" t="s">
        <v>3025</v>
      </c>
      <c r="E1417" s="498"/>
      <c r="F1417" s="498"/>
      <c r="G1417" s="498"/>
      <c r="H1417" s="498"/>
      <c r="I1417" s="498"/>
      <c r="J1417" s="498"/>
      <c r="K1417" s="498"/>
      <c r="L1417" s="498"/>
      <c r="M1417" s="498"/>
      <c r="N1417" s="498"/>
      <c r="O1417" s="498"/>
      <c r="P1417" s="498"/>
      <c r="Q1417" s="498"/>
      <c r="R1417" s="498"/>
      <c r="S1417" s="498"/>
      <c r="T1417" s="498"/>
      <c r="U1417" s="498"/>
      <c r="V1417" s="501">
        <f t="shared" ref="V1417:AT1417" si="1708">V1139</f>
        <v>0</v>
      </c>
      <c r="W1417" s="501">
        <f t="shared" si="1708"/>
        <v>0</v>
      </c>
      <c r="X1417" s="501">
        <f t="shared" si="1708"/>
        <v>0</v>
      </c>
      <c r="Y1417" s="501">
        <f t="shared" si="1708"/>
        <v>101.6455802076724</v>
      </c>
      <c r="Z1417" s="501">
        <f t="shared" si="1708"/>
        <v>128.23033017019469</v>
      </c>
      <c r="AA1417" s="501">
        <f t="shared" si="1708"/>
        <v>157.06824826644657</v>
      </c>
      <c r="AB1417" s="501">
        <f t="shared" si="1708"/>
        <v>190.4939429820059</v>
      </c>
      <c r="AC1417" s="501">
        <f t="shared" si="1708"/>
        <v>217.79376056441629</v>
      </c>
      <c r="AD1417" s="501">
        <f t="shared" si="1708"/>
        <v>254.60815363064833</v>
      </c>
      <c r="AE1417" s="1633">
        <f t="shared" si="1708"/>
        <v>239.49112674760897</v>
      </c>
      <c r="AF1417" s="1633">
        <f t="shared" si="1708"/>
        <v>301.35411425052644</v>
      </c>
      <c r="AG1417" s="1633">
        <f t="shared" si="1708"/>
        <v>328.663104256206</v>
      </c>
      <c r="AH1417" s="1633">
        <f t="shared" si="1708"/>
        <v>321.33059108164434</v>
      </c>
      <c r="AI1417" s="1633">
        <f t="shared" si="1708"/>
        <v>395.34517266296109</v>
      </c>
      <c r="AJ1417" s="1633">
        <f t="shared" si="1708"/>
        <v>382.59057551751607</v>
      </c>
      <c r="AK1417" s="1633">
        <f t="shared" si="1708"/>
        <v>467.69614147937727</v>
      </c>
      <c r="AL1417" s="501">
        <f t="shared" si="1708"/>
        <v>537.67062361354385</v>
      </c>
      <c r="AM1417" s="501">
        <f t="shared" si="1708"/>
        <v>606.37400325512499</v>
      </c>
      <c r="AN1417" s="501">
        <f t="shared" si="1708"/>
        <v>672.81999638821571</v>
      </c>
      <c r="AO1417" s="501">
        <f t="shared" si="1708"/>
        <v>781.01228444626531</v>
      </c>
      <c r="AP1417" s="501">
        <f t="shared" si="1708"/>
        <v>875.43718412141823</v>
      </c>
      <c r="AQ1417" s="501">
        <f t="shared" si="1708"/>
        <v>939.66256638724371</v>
      </c>
      <c r="AR1417" s="501">
        <f t="shared" si="1708"/>
        <v>1033.740007412664</v>
      </c>
      <c r="AS1417" s="501">
        <f t="shared" si="1708"/>
        <v>1128.507017881205</v>
      </c>
      <c r="AT1417" s="2682">
        <f t="shared" si="1708"/>
        <v>1638.2257857818236</v>
      </c>
    </row>
    <row r="1418" spans="1:46">
      <c r="A1418" s="1"/>
      <c r="B1418" s="1"/>
      <c r="C1418" s="1"/>
      <c r="D1418" s="2533" t="s">
        <v>3026</v>
      </c>
      <c r="E1418" s="498"/>
      <c r="F1418" s="498"/>
      <c r="G1418" s="498"/>
      <c r="H1418" s="498"/>
      <c r="I1418" s="498"/>
      <c r="J1418" s="498"/>
      <c r="K1418" s="498"/>
      <c r="L1418" s="498"/>
      <c r="M1418" s="498"/>
      <c r="N1418" s="498"/>
      <c r="O1418" s="498"/>
      <c r="P1418" s="498"/>
      <c r="Q1418" s="498"/>
      <c r="R1418" s="498"/>
      <c r="S1418" s="498"/>
      <c r="T1418" s="498"/>
      <c r="U1418" s="498"/>
      <c r="V1418" s="501">
        <f t="shared" ref="V1418:AT1418" si="1709">V1149</f>
        <v>0</v>
      </c>
      <c r="W1418" s="501">
        <f t="shared" si="1709"/>
        <v>0</v>
      </c>
      <c r="X1418" s="501">
        <f t="shared" si="1709"/>
        <v>0</v>
      </c>
      <c r="Y1418" s="501">
        <f t="shared" si="1709"/>
        <v>23.849760413799999</v>
      </c>
      <c r="Z1418" s="501">
        <f t="shared" si="1709"/>
        <v>29.543254287000003</v>
      </c>
      <c r="AA1418" s="501">
        <f t="shared" si="1709"/>
        <v>0</v>
      </c>
      <c r="AB1418" s="501">
        <f t="shared" si="1709"/>
        <v>35.093612473178922</v>
      </c>
      <c r="AC1418" s="501">
        <f t="shared" si="1709"/>
        <v>35.093612473178922</v>
      </c>
      <c r="AD1418" s="501">
        <f t="shared" si="1709"/>
        <v>8.4098652900000008</v>
      </c>
      <c r="AE1418" s="1633">
        <f t="shared" si="1709"/>
        <v>19.975779267939984</v>
      </c>
      <c r="AF1418" s="1633">
        <f t="shared" si="1709"/>
        <v>29.170397677880317</v>
      </c>
      <c r="AG1418" s="1633">
        <f t="shared" si="1709"/>
        <v>36.726644461011233</v>
      </c>
      <c r="AH1418" s="1633">
        <f t="shared" si="1709"/>
        <v>64.927330211698447</v>
      </c>
      <c r="AI1418" s="1633">
        <f t="shared" si="1709"/>
        <v>40.193787316184228</v>
      </c>
      <c r="AJ1418" s="1633">
        <f t="shared" si="1709"/>
        <v>46.810282605510196</v>
      </c>
      <c r="AK1418" s="1633">
        <f t="shared" si="1709"/>
        <v>41.79092164795977</v>
      </c>
      <c r="AL1418" s="501">
        <f t="shared" si="1709"/>
        <v>46.634480604139682</v>
      </c>
      <c r="AM1418" s="501">
        <f t="shared" si="1709"/>
        <v>52.306451580951517</v>
      </c>
      <c r="AN1418" s="501">
        <f t="shared" si="1709"/>
        <v>55.436043478886205</v>
      </c>
      <c r="AO1418" s="501">
        <f t="shared" si="1709"/>
        <v>58.799796002364772</v>
      </c>
      <c r="AP1418" s="501">
        <f t="shared" si="1709"/>
        <v>61.045004031699968</v>
      </c>
      <c r="AQ1418" s="501">
        <f t="shared" si="1709"/>
        <v>63.993644082906975</v>
      </c>
      <c r="AR1418" s="501">
        <f t="shared" si="1709"/>
        <v>75.738526877282595</v>
      </c>
      <c r="AS1418" s="501">
        <f t="shared" si="1709"/>
        <v>99.011033860009562</v>
      </c>
      <c r="AT1418" s="2682">
        <f t="shared" si="1709"/>
        <v>106.05537268304057</v>
      </c>
    </row>
    <row r="1419" spans="1:46">
      <c r="A1419" s="1"/>
      <c r="B1419" s="1"/>
      <c r="C1419" s="1"/>
      <c r="D1419" s="2533" t="s">
        <v>3027</v>
      </c>
      <c r="E1419" s="498"/>
      <c r="F1419" s="498"/>
      <c r="G1419" s="498"/>
      <c r="H1419" s="498"/>
      <c r="I1419" s="498"/>
      <c r="J1419" s="498"/>
      <c r="K1419" s="498"/>
      <c r="L1419" s="498"/>
      <c r="M1419" s="498"/>
      <c r="N1419" s="498"/>
      <c r="O1419" s="498"/>
      <c r="P1419" s="498"/>
      <c r="Q1419" s="498"/>
      <c r="R1419" s="498"/>
      <c r="S1419" s="498"/>
      <c r="T1419" s="498"/>
      <c r="U1419" s="498"/>
      <c r="V1419" s="501">
        <f t="shared" ref="V1419:AT1419" si="1710">V1151</f>
        <v>0</v>
      </c>
      <c r="W1419" s="501">
        <f t="shared" si="1710"/>
        <v>0</v>
      </c>
      <c r="X1419" s="501">
        <f t="shared" si="1710"/>
        <v>0</v>
      </c>
      <c r="Y1419" s="501">
        <f t="shared" si="1710"/>
        <v>0</v>
      </c>
      <c r="Z1419" s="501">
        <f t="shared" si="1710"/>
        <v>0</v>
      </c>
      <c r="AA1419" s="501">
        <f t="shared" si="1710"/>
        <v>0</v>
      </c>
      <c r="AB1419" s="501">
        <f t="shared" si="1710"/>
        <v>0</v>
      </c>
      <c r="AC1419" s="501">
        <f t="shared" si="1710"/>
        <v>0</v>
      </c>
      <c r="AD1419" s="501">
        <f t="shared" si="1710"/>
        <v>0</v>
      </c>
      <c r="AE1419" s="1633">
        <f t="shared" si="1710"/>
        <v>10.128484124760766</v>
      </c>
      <c r="AF1419" s="1633">
        <f t="shared" si="1710"/>
        <v>35.304824174474774</v>
      </c>
      <c r="AG1419" s="1633">
        <f t="shared" si="1710"/>
        <v>22.485862421</v>
      </c>
      <c r="AH1419" s="1633">
        <f t="shared" si="1710"/>
        <v>0</v>
      </c>
      <c r="AI1419" s="1633">
        <f t="shared" si="1710"/>
        <v>0</v>
      </c>
      <c r="AJ1419" s="1633">
        <f t="shared" si="1710"/>
        <v>52.070578646999998</v>
      </c>
      <c r="AK1419" s="1633">
        <f t="shared" si="1710"/>
        <v>0</v>
      </c>
      <c r="AL1419" s="501">
        <f t="shared" si="1710"/>
        <v>0</v>
      </c>
      <c r="AM1419" s="501">
        <f t="shared" si="1710"/>
        <v>0</v>
      </c>
      <c r="AN1419" s="501">
        <f t="shared" si="1710"/>
        <v>0</v>
      </c>
      <c r="AO1419" s="501">
        <f t="shared" si="1710"/>
        <v>0</v>
      </c>
      <c r="AP1419" s="501">
        <f t="shared" si="1710"/>
        <v>0</v>
      </c>
      <c r="AQ1419" s="501">
        <f t="shared" si="1710"/>
        <v>0</v>
      </c>
      <c r="AR1419" s="501">
        <f t="shared" si="1710"/>
        <v>0</v>
      </c>
      <c r="AS1419" s="501">
        <f t="shared" si="1710"/>
        <v>0</v>
      </c>
      <c r="AT1419" s="2682">
        <f t="shared" si="1710"/>
        <v>0</v>
      </c>
    </row>
    <row r="1420" spans="1:46">
      <c r="A1420" s="1"/>
      <c r="B1420" s="1"/>
      <c r="C1420" s="1"/>
      <c r="D1420" s="2533" t="s">
        <v>524</v>
      </c>
      <c r="E1420" s="498"/>
      <c r="F1420" s="498"/>
      <c r="G1420" s="498"/>
      <c r="H1420" s="498"/>
      <c r="I1420" s="498"/>
      <c r="J1420" s="498"/>
      <c r="K1420" s="498"/>
      <c r="L1420" s="498"/>
      <c r="M1420" s="498"/>
      <c r="N1420" s="498"/>
      <c r="O1420" s="498"/>
      <c r="P1420" s="498"/>
      <c r="Q1420" s="498"/>
      <c r="R1420" s="498"/>
      <c r="S1420" s="498"/>
      <c r="T1420" s="498"/>
      <c r="U1420" s="498"/>
      <c r="V1420" s="501">
        <f t="shared" ref="V1420:AT1420" si="1711">V1155</f>
        <v>0</v>
      </c>
      <c r="W1420" s="501">
        <f t="shared" si="1711"/>
        <v>0</v>
      </c>
      <c r="X1420" s="501">
        <f t="shared" si="1711"/>
        <v>0</v>
      </c>
      <c r="Y1420" s="501">
        <f t="shared" si="1711"/>
        <v>4.2203081299999994</v>
      </c>
      <c r="Z1420" s="501">
        <f t="shared" si="1711"/>
        <v>5.0660000000000007</v>
      </c>
      <c r="AA1420" s="501">
        <f t="shared" si="1711"/>
        <v>5.6280000000000001</v>
      </c>
      <c r="AB1420" s="501">
        <f t="shared" si="1711"/>
        <v>0</v>
      </c>
      <c r="AC1420" s="501">
        <f t="shared" si="1711"/>
        <v>0</v>
      </c>
      <c r="AD1420" s="501">
        <f t="shared" si="1711"/>
        <v>0</v>
      </c>
      <c r="AE1420" s="1633">
        <f t="shared" si="1711"/>
        <v>0</v>
      </c>
      <c r="AF1420" s="1633">
        <f t="shared" si="1711"/>
        <v>0</v>
      </c>
      <c r="AG1420" s="1633">
        <f t="shared" si="1711"/>
        <v>0</v>
      </c>
      <c r="AH1420" s="1633">
        <f t="shared" si="1711"/>
        <v>0</v>
      </c>
      <c r="AI1420" s="1633">
        <f t="shared" si="1711"/>
        <v>0</v>
      </c>
      <c r="AJ1420" s="1633">
        <f t="shared" si="1711"/>
        <v>0</v>
      </c>
      <c r="AK1420" s="1633">
        <f t="shared" si="1711"/>
        <v>0</v>
      </c>
      <c r="AL1420" s="501">
        <f t="shared" si="1711"/>
        <v>0</v>
      </c>
      <c r="AM1420" s="501">
        <f t="shared" si="1711"/>
        <v>0</v>
      </c>
      <c r="AN1420" s="501">
        <f t="shared" si="1711"/>
        <v>0</v>
      </c>
      <c r="AO1420" s="501">
        <f t="shared" si="1711"/>
        <v>0</v>
      </c>
      <c r="AP1420" s="501">
        <f t="shared" si="1711"/>
        <v>0</v>
      </c>
      <c r="AQ1420" s="501">
        <f t="shared" si="1711"/>
        <v>0</v>
      </c>
      <c r="AR1420" s="501">
        <f t="shared" si="1711"/>
        <v>0</v>
      </c>
      <c r="AS1420" s="501">
        <f t="shared" si="1711"/>
        <v>0</v>
      </c>
      <c r="AT1420" s="2682">
        <f t="shared" si="1711"/>
        <v>0</v>
      </c>
    </row>
    <row r="1421" spans="1:46">
      <c r="A1421" s="1"/>
      <c r="B1421" s="1"/>
      <c r="C1421" s="1"/>
      <c r="D1421" s="2530" t="str">
        <f>+FISCinyear!D1082</f>
        <v xml:space="preserve">EXPENSE </v>
      </c>
      <c r="E1421" s="498"/>
      <c r="F1421" s="498"/>
      <c r="G1421" s="498"/>
      <c r="H1421" s="498"/>
      <c r="I1421" s="498"/>
      <c r="J1421" s="498"/>
      <c r="K1421" s="498"/>
      <c r="L1421" s="498"/>
      <c r="M1421" s="498"/>
      <c r="N1421" s="498"/>
      <c r="O1421" s="498"/>
      <c r="P1421" s="498"/>
      <c r="Q1421" s="498"/>
      <c r="R1421" s="498"/>
      <c r="S1421" s="498"/>
      <c r="T1421" s="498"/>
      <c r="U1421" s="498"/>
      <c r="V1421" s="503">
        <f t="shared" ref="V1421:AL1421" si="1712">V1422+V1424+V1427+V1428+V1429+V1431+V1432+V1433</f>
        <v>511.39571000000001</v>
      </c>
      <c r="W1421" s="503">
        <f t="shared" si="1712"/>
        <v>614.1</v>
      </c>
      <c r="X1421" s="503">
        <f t="shared" si="1712"/>
        <v>660.90000000000009</v>
      </c>
      <c r="Y1421" s="503">
        <f t="shared" si="1712"/>
        <v>903.06533710626263</v>
      </c>
      <c r="Z1421" s="503">
        <f t="shared" si="1712"/>
        <v>987.20422279108379</v>
      </c>
      <c r="AA1421" s="503">
        <f t="shared" si="1712"/>
        <v>1146.9565422527439</v>
      </c>
      <c r="AB1421" s="503">
        <f t="shared" si="1712"/>
        <v>1323.4574341216144</v>
      </c>
      <c r="AC1421" s="503">
        <f t="shared" si="1712"/>
        <v>1436.9221960448906</v>
      </c>
      <c r="AD1421" s="503">
        <f t="shared" si="1712"/>
        <v>1666.8635925906067</v>
      </c>
      <c r="AE1421" s="1632">
        <f t="shared" si="1712"/>
        <v>1901.1315501950596</v>
      </c>
      <c r="AF1421" s="1632">
        <f t="shared" si="1712"/>
        <v>2089.3574379793054</v>
      </c>
      <c r="AG1421" s="1632">
        <f t="shared" si="1712"/>
        <v>2467.9009633912874</v>
      </c>
      <c r="AH1421" s="1632">
        <f t="shared" si="1712"/>
        <v>2856.6946330541014</v>
      </c>
      <c r="AI1421" s="1632">
        <f t="shared" si="1712"/>
        <v>3172.9419577729877</v>
      </c>
      <c r="AJ1421" s="1632">
        <f t="shared" si="1712"/>
        <v>3416.753044465333</v>
      </c>
      <c r="AK1421" s="1632">
        <f t="shared" si="1712"/>
        <v>3895.9269711552479</v>
      </c>
      <c r="AL1421" s="503">
        <f t="shared" si="1712"/>
        <v>4489.6942017899255</v>
      </c>
      <c r="AM1421" s="503">
        <f>AM1422+AM1424+AM1427+AM1428+AM1429+AM1431+AM1432+AM1433</f>
        <v>5033.8027871301183</v>
      </c>
      <c r="AN1421" s="503">
        <f t="shared" ref="AN1421:AO1421" si="1713">AN1422+AN1424+AN1427+AN1428+AN1429+AN1431+AN1432+AN1433</f>
        <v>5488.6195635446302</v>
      </c>
      <c r="AO1421" s="503">
        <f t="shared" si="1713"/>
        <v>6284.9673202266658</v>
      </c>
      <c r="AP1421" s="503">
        <f t="shared" ref="AP1421:AT1421" si="1714">AP1422+AP1424+AP1427+AP1428+AP1429+AP1431+AP1432+AP1433</f>
        <v>7156.0094859466881</v>
      </c>
      <c r="AQ1421" s="503">
        <f t="shared" si="1714"/>
        <v>8401.4442170589591</v>
      </c>
      <c r="AR1421" s="503">
        <f t="shared" si="1714"/>
        <v>9434.7509286968398</v>
      </c>
      <c r="AS1421" s="503">
        <f t="shared" si="1714"/>
        <v>10696.364870455149</v>
      </c>
      <c r="AT1421" s="2681">
        <f t="shared" si="1714"/>
        <v>13834.13037105924</v>
      </c>
    </row>
    <row r="1422" spans="1:46" ht="15.9" thickBot="1">
      <c r="A1422" s="1"/>
      <c r="B1422" s="1"/>
      <c r="C1422" s="1"/>
      <c r="D1422" s="2535" t="s">
        <v>527</v>
      </c>
      <c r="E1422" s="498"/>
      <c r="F1422" s="498"/>
      <c r="G1422" s="498"/>
      <c r="H1422" s="498"/>
      <c r="I1422" s="498"/>
      <c r="J1422" s="498"/>
      <c r="K1422" s="498"/>
      <c r="L1422" s="498"/>
      <c r="M1422" s="498"/>
      <c r="N1422" s="498"/>
      <c r="O1422" s="498"/>
      <c r="P1422" s="498"/>
      <c r="Q1422" s="498"/>
      <c r="R1422" s="498"/>
      <c r="S1422" s="498"/>
      <c r="T1422" s="498"/>
      <c r="U1422" s="498"/>
      <c r="V1422" s="503">
        <f t="shared" ref="V1422:AT1422" si="1715">V1157</f>
        <v>180.32915428176796</v>
      </c>
      <c r="W1422" s="503">
        <f t="shared" si="1715"/>
        <v>214</v>
      </c>
      <c r="X1422" s="503">
        <f t="shared" si="1715"/>
        <v>258.5</v>
      </c>
      <c r="Y1422" s="503">
        <f t="shared" si="1715"/>
        <v>177.309138545</v>
      </c>
      <c r="Z1422" s="503">
        <f t="shared" si="1715"/>
        <v>187.50813387599999</v>
      </c>
      <c r="AA1422" s="503">
        <f t="shared" si="1715"/>
        <v>214.76086487499998</v>
      </c>
      <c r="AB1422" s="503">
        <f t="shared" si="1715"/>
        <v>236.99999213499999</v>
      </c>
      <c r="AC1422" s="503">
        <f t="shared" si="1715"/>
        <v>251.71972672700002</v>
      </c>
      <c r="AD1422" s="503">
        <f t="shared" si="1715"/>
        <v>241.88892202</v>
      </c>
      <c r="AE1422" s="1632">
        <f t="shared" si="1715"/>
        <v>266.32706490700002</v>
      </c>
      <c r="AF1422" s="1632">
        <f t="shared" si="1715"/>
        <v>302.26335928600002</v>
      </c>
      <c r="AG1422" s="1632">
        <f t="shared" si="1715"/>
        <v>317.73342893999995</v>
      </c>
      <c r="AH1422" s="1632">
        <f t="shared" si="1715"/>
        <v>367.71383238600004</v>
      </c>
      <c r="AI1422" s="1632">
        <f t="shared" si="1715"/>
        <v>467.40752950900003</v>
      </c>
      <c r="AJ1422" s="1632">
        <f t="shared" si="1715"/>
        <v>569.07111207999992</v>
      </c>
      <c r="AK1422" s="1632">
        <f t="shared" si="1715"/>
        <v>673.21571377579289</v>
      </c>
      <c r="AL1422" s="503">
        <f t="shared" si="1715"/>
        <v>757.76075141096021</v>
      </c>
      <c r="AM1422" s="503">
        <f t="shared" si="1715"/>
        <v>858.27832537670611</v>
      </c>
      <c r="AN1422" s="503">
        <f t="shared" si="1715"/>
        <v>969.83545258185904</v>
      </c>
      <c r="AO1422" s="503">
        <f t="shared" si="1715"/>
        <v>1093.289132974156</v>
      </c>
      <c r="AP1422" s="503">
        <f t="shared" si="1715"/>
        <v>1227.9823541565722</v>
      </c>
      <c r="AQ1422" s="503">
        <f t="shared" si="1715"/>
        <v>1379.2697801886623</v>
      </c>
      <c r="AR1422" s="503">
        <f t="shared" si="1715"/>
        <v>1549.1958171079057</v>
      </c>
      <c r="AS1422" s="503">
        <f t="shared" si="1715"/>
        <v>1740.0567417755999</v>
      </c>
      <c r="AT1422" s="2681">
        <f t="shared" si="1715"/>
        <v>1954.4317323623541</v>
      </c>
    </row>
    <row r="1423" spans="1:46" ht="15.9" thickBot="1">
      <c r="A1423" s="1"/>
      <c r="B1423" s="1"/>
      <c r="C1423" s="1"/>
      <c r="D1423" s="2536" t="str">
        <f>D1158</f>
        <v xml:space="preserve"> of which: Covid-19 spending (Teachers)</v>
      </c>
      <c r="E1423" s="498"/>
      <c r="F1423" s="498"/>
      <c r="G1423" s="498"/>
      <c r="H1423" s="498"/>
      <c r="I1423" s="498"/>
      <c r="J1423" s="498"/>
      <c r="K1423" s="498"/>
      <c r="L1423" s="498"/>
      <c r="M1423" s="498"/>
      <c r="N1423" s="498"/>
      <c r="O1423" s="498"/>
      <c r="P1423" s="498"/>
      <c r="Q1423" s="498"/>
      <c r="R1423" s="498"/>
      <c r="S1423" s="498"/>
      <c r="T1423" s="498"/>
      <c r="U1423" s="498"/>
      <c r="V1423" s="503"/>
      <c r="W1423" s="503"/>
      <c r="X1423" s="503"/>
      <c r="Y1423" s="503"/>
      <c r="Z1423" s="503"/>
      <c r="AA1423" s="503"/>
      <c r="AB1423" s="503"/>
      <c r="AC1423" s="503"/>
      <c r="AD1423" s="503"/>
      <c r="AE1423" s="1634">
        <f t="shared" ref="AE1423:AT1423" si="1716">AE1158</f>
        <v>0</v>
      </c>
      <c r="AF1423" s="1635">
        <f t="shared" si="1716"/>
        <v>30.456305773067402</v>
      </c>
      <c r="AG1423" s="1635">
        <f t="shared" si="1716"/>
        <v>0</v>
      </c>
      <c r="AH1423" s="1635">
        <f t="shared" si="1716"/>
        <v>0</v>
      </c>
      <c r="AI1423" s="1635">
        <f t="shared" si="1716"/>
        <v>0</v>
      </c>
      <c r="AJ1423" s="1635">
        <f t="shared" si="1716"/>
        <v>0</v>
      </c>
      <c r="AK1423" s="1635">
        <f t="shared" si="1716"/>
        <v>0</v>
      </c>
      <c r="AL1423" s="1592">
        <f t="shared" si="1716"/>
        <v>0</v>
      </c>
      <c r="AM1423" s="1592">
        <f t="shared" si="1716"/>
        <v>0</v>
      </c>
      <c r="AN1423" s="1592">
        <f t="shared" si="1716"/>
        <v>0</v>
      </c>
      <c r="AO1423" s="1592">
        <f t="shared" si="1716"/>
        <v>0</v>
      </c>
      <c r="AP1423" s="1592">
        <f t="shared" si="1716"/>
        <v>0</v>
      </c>
      <c r="AQ1423" s="1592">
        <f t="shared" si="1716"/>
        <v>0</v>
      </c>
      <c r="AR1423" s="1592">
        <f t="shared" si="1716"/>
        <v>0</v>
      </c>
      <c r="AS1423" s="1592">
        <f t="shared" si="1716"/>
        <v>0</v>
      </c>
      <c r="AT1423" s="2683">
        <f t="shared" si="1716"/>
        <v>0</v>
      </c>
    </row>
    <row r="1424" spans="1:46" ht="15.9" thickBot="1">
      <c r="A1424" s="1"/>
      <c r="B1424" s="1"/>
      <c r="C1424" s="1"/>
      <c r="D1424" s="2535" t="s">
        <v>528</v>
      </c>
      <c r="E1424" s="498"/>
      <c r="F1424" s="498"/>
      <c r="G1424" s="498"/>
      <c r="H1424" s="498"/>
      <c r="I1424" s="498"/>
      <c r="J1424" s="498"/>
      <c r="K1424" s="498"/>
      <c r="L1424" s="498"/>
      <c r="M1424" s="498"/>
      <c r="N1424" s="498"/>
      <c r="O1424" s="498"/>
      <c r="P1424" s="498"/>
      <c r="Q1424" s="498"/>
      <c r="R1424" s="498"/>
      <c r="S1424" s="498"/>
      <c r="T1424" s="498"/>
      <c r="U1424" s="498"/>
      <c r="V1424" s="503">
        <f t="shared" ref="V1424:AD1424" si="1717">V1159</f>
        <v>192.21753999999999</v>
      </c>
      <c r="W1424" s="503">
        <f t="shared" si="1717"/>
        <v>225.3</v>
      </c>
      <c r="X1424" s="503">
        <f t="shared" si="1717"/>
        <v>203.5</v>
      </c>
      <c r="Y1424" s="503">
        <f t="shared" si="1717"/>
        <v>278.613616374</v>
      </c>
      <c r="Z1424" s="503">
        <f t="shared" si="1717"/>
        <v>256.967540977</v>
      </c>
      <c r="AA1424" s="503">
        <f t="shared" si="1717"/>
        <v>329.76520424299997</v>
      </c>
      <c r="AB1424" s="503">
        <f t="shared" si="1717"/>
        <v>427.20220221199997</v>
      </c>
      <c r="AC1424" s="503">
        <f t="shared" si="1717"/>
        <v>442.45447598700002</v>
      </c>
      <c r="AD1424" s="503">
        <f t="shared" si="1717"/>
        <v>482.06752374844802</v>
      </c>
      <c r="AE1424" s="1632">
        <f t="shared" ref="AE1424:AT1424" si="1718">AE1159</f>
        <v>572.34668941100017</v>
      </c>
      <c r="AF1424" s="1632">
        <f t="shared" si="1718"/>
        <v>623.976412063</v>
      </c>
      <c r="AG1424" s="1632">
        <f t="shared" si="1718"/>
        <v>688.41308788700007</v>
      </c>
      <c r="AH1424" s="1632">
        <f t="shared" si="1718"/>
        <v>743.2</v>
      </c>
      <c r="AI1424" s="1632">
        <f t="shared" si="1718"/>
        <v>798.7</v>
      </c>
      <c r="AJ1424" s="1632">
        <f t="shared" si="1718"/>
        <v>803.854203611</v>
      </c>
      <c r="AK1424" s="1632">
        <f t="shared" si="1718"/>
        <v>870.03717424352874</v>
      </c>
      <c r="AL1424" s="503">
        <f t="shared" si="1718"/>
        <v>1035.0512495823102</v>
      </c>
      <c r="AM1424" s="503">
        <f t="shared" si="1718"/>
        <v>1186.7115082119838</v>
      </c>
      <c r="AN1424" s="503">
        <f t="shared" si="1718"/>
        <v>1340.4186662978084</v>
      </c>
      <c r="AO1424" s="503">
        <f t="shared" si="1718"/>
        <v>1540.2745906092016</v>
      </c>
      <c r="AP1424" s="503">
        <f t="shared" si="1718"/>
        <v>1766.5812188242917</v>
      </c>
      <c r="AQ1424" s="503">
        <f t="shared" si="1718"/>
        <v>2093.0564447315232</v>
      </c>
      <c r="AR1424" s="503">
        <f t="shared" si="1718"/>
        <v>2412.2042852819268</v>
      </c>
      <c r="AS1424" s="503">
        <f t="shared" si="1718"/>
        <v>2788.7826754582316</v>
      </c>
      <c r="AT1424" s="2681">
        <f t="shared" si="1718"/>
        <v>3795.3055081747375</v>
      </c>
    </row>
    <row r="1425" spans="1:46">
      <c r="A1425" s="1"/>
      <c r="B1425" s="1"/>
      <c r="C1425" s="1"/>
      <c r="D1425" s="2536" t="str">
        <f>D1162</f>
        <v xml:space="preserve"> of which: Covid-19 spending</v>
      </c>
      <c r="E1425" s="498"/>
      <c r="F1425" s="498"/>
      <c r="G1425" s="498"/>
      <c r="H1425" s="498"/>
      <c r="I1425" s="498"/>
      <c r="J1425" s="498"/>
      <c r="K1425" s="498"/>
      <c r="L1425" s="498"/>
      <c r="M1425" s="498"/>
      <c r="N1425" s="498"/>
      <c r="O1425" s="498"/>
      <c r="P1425" s="498"/>
      <c r="Q1425" s="498"/>
      <c r="R1425" s="498"/>
      <c r="S1425" s="498"/>
      <c r="T1425" s="498"/>
      <c r="U1425" s="498"/>
      <c r="V1425" s="503"/>
      <c r="W1425" s="503"/>
      <c r="X1425" s="503"/>
      <c r="Y1425" s="503"/>
      <c r="Z1425" s="503"/>
      <c r="AA1425" s="503"/>
      <c r="AB1425" s="503"/>
      <c r="AC1425" s="503"/>
      <c r="AD1425" s="503"/>
      <c r="AE1425" s="1636">
        <f t="shared" ref="AE1425:AT1425" si="1719">AE1162</f>
        <v>64.8</v>
      </c>
      <c r="AF1425" s="1637">
        <f t="shared" si="1719"/>
        <v>11.463177382</v>
      </c>
      <c r="AG1425" s="1637">
        <f t="shared" si="1719"/>
        <v>0</v>
      </c>
      <c r="AH1425" s="1637">
        <f t="shared" si="1719"/>
        <v>0</v>
      </c>
      <c r="AI1425" s="1637">
        <f t="shared" si="1719"/>
        <v>0</v>
      </c>
      <c r="AJ1425" s="1637">
        <f t="shared" si="1719"/>
        <v>0</v>
      </c>
      <c r="AK1425" s="1637">
        <f t="shared" si="1719"/>
        <v>0</v>
      </c>
      <c r="AL1425" s="1593">
        <f t="shared" si="1719"/>
        <v>0</v>
      </c>
      <c r="AM1425" s="1593">
        <f t="shared" si="1719"/>
        <v>0</v>
      </c>
      <c r="AN1425" s="1593">
        <f t="shared" si="1719"/>
        <v>0</v>
      </c>
      <c r="AO1425" s="1593">
        <f t="shared" si="1719"/>
        <v>0</v>
      </c>
      <c r="AP1425" s="1593">
        <f t="shared" si="1719"/>
        <v>0</v>
      </c>
      <c r="AQ1425" s="1593">
        <f t="shared" si="1719"/>
        <v>0</v>
      </c>
      <c r="AR1425" s="1593">
        <f t="shared" si="1719"/>
        <v>0</v>
      </c>
      <c r="AS1425" s="1593">
        <f t="shared" si="1719"/>
        <v>0</v>
      </c>
      <c r="AT1425" s="2684">
        <f t="shared" si="1719"/>
        <v>0</v>
      </c>
    </row>
    <row r="1426" spans="1:46" ht="15.9" thickBot="1">
      <c r="A1426" s="1"/>
      <c r="B1426" s="1"/>
      <c r="C1426" s="1"/>
      <c r="D1426" s="2554" t="str">
        <f>D1163</f>
        <v>o/w Vaccine</v>
      </c>
      <c r="E1426" s="498"/>
      <c r="F1426" s="498"/>
      <c r="G1426" s="498"/>
      <c r="H1426" s="498"/>
      <c r="I1426" s="498"/>
      <c r="J1426" s="498"/>
      <c r="K1426" s="498"/>
      <c r="L1426" s="498"/>
      <c r="M1426" s="498"/>
      <c r="N1426" s="498"/>
      <c r="O1426" s="498"/>
      <c r="P1426" s="498"/>
      <c r="Q1426" s="498"/>
      <c r="R1426" s="498"/>
      <c r="S1426" s="498"/>
      <c r="T1426" s="498"/>
      <c r="U1426" s="498"/>
      <c r="V1426" s="503"/>
      <c r="W1426" s="503"/>
      <c r="X1426" s="503"/>
      <c r="Y1426" s="503"/>
      <c r="Z1426" s="503"/>
      <c r="AA1426" s="503"/>
      <c r="AB1426" s="503"/>
      <c r="AC1426" s="503"/>
      <c r="AD1426" s="503"/>
      <c r="AE1426" s="1638">
        <f t="shared" ref="AE1426:AT1426" si="1720">AE1163</f>
        <v>0</v>
      </c>
      <c r="AF1426" s="1639">
        <f t="shared" si="1720"/>
        <v>0</v>
      </c>
      <c r="AG1426" s="1639">
        <f t="shared" si="1720"/>
        <v>0</v>
      </c>
      <c r="AH1426" s="1639">
        <f t="shared" si="1720"/>
        <v>0</v>
      </c>
      <c r="AI1426" s="1639">
        <f t="shared" si="1720"/>
        <v>0</v>
      </c>
      <c r="AJ1426" s="1639">
        <f t="shared" si="1720"/>
        <v>0</v>
      </c>
      <c r="AK1426" s="1639">
        <f t="shared" si="1720"/>
        <v>0</v>
      </c>
      <c r="AL1426" s="1594">
        <f t="shared" si="1720"/>
        <v>0</v>
      </c>
      <c r="AM1426" s="1594">
        <f t="shared" si="1720"/>
        <v>0</v>
      </c>
      <c r="AN1426" s="1594">
        <f t="shared" si="1720"/>
        <v>0</v>
      </c>
      <c r="AO1426" s="1594">
        <f t="shared" si="1720"/>
        <v>0</v>
      </c>
      <c r="AP1426" s="1594">
        <f t="shared" si="1720"/>
        <v>0</v>
      </c>
      <c r="AQ1426" s="1594">
        <f t="shared" si="1720"/>
        <v>0</v>
      </c>
      <c r="AR1426" s="1594">
        <f t="shared" si="1720"/>
        <v>0</v>
      </c>
      <c r="AS1426" s="1594">
        <f t="shared" si="1720"/>
        <v>0</v>
      </c>
      <c r="AT1426" s="2685">
        <f t="shared" si="1720"/>
        <v>0</v>
      </c>
    </row>
    <row r="1427" spans="1:46">
      <c r="A1427" s="1"/>
      <c r="B1427" s="1"/>
      <c r="C1427" s="1"/>
      <c r="D1427" s="2535" t="s">
        <v>529</v>
      </c>
      <c r="E1427" s="498"/>
      <c r="F1427" s="498"/>
      <c r="G1427" s="498"/>
      <c r="H1427" s="498"/>
      <c r="I1427" s="498"/>
      <c r="J1427" s="498"/>
      <c r="K1427" s="498"/>
      <c r="L1427" s="498"/>
      <c r="M1427" s="498"/>
      <c r="N1427" s="498"/>
      <c r="O1427" s="498"/>
      <c r="P1427" s="498"/>
      <c r="Q1427" s="498"/>
      <c r="R1427" s="498"/>
      <c r="S1427" s="498"/>
      <c r="T1427" s="498"/>
      <c r="U1427" s="498"/>
      <c r="V1427" s="503">
        <f t="shared" ref="V1427:AT1427" si="1721">V1187</f>
        <v>0</v>
      </c>
      <c r="W1427" s="503">
        <f t="shared" si="1721"/>
        <v>0</v>
      </c>
      <c r="X1427" s="503">
        <f t="shared" si="1721"/>
        <v>0</v>
      </c>
      <c r="Y1427" s="503">
        <f t="shared" si="1721"/>
        <v>0</v>
      </c>
      <c r="Z1427" s="503">
        <f t="shared" si="1721"/>
        <v>0</v>
      </c>
      <c r="AA1427" s="503">
        <f t="shared" si="1721"/>
        <v>0</v>
      </c>
      <c r="AB1427" s="503">
        <f t="shared" si="1721"/>
        <v>0</v>
      </c>
      <c r="AC1427" s="503">
        <f t="shared" si="1721"/>
        <v>0</v>
      </c>
      <c r="AD1427" s="503">
        <f t="shared" si="1721"/>
        <v>0</v>
      </c>
      <c r="AE1427" s="1632">
        <f t="shared" si="1721"/>
        <v>0</v>
      </c>
      <c r="AF1427" s="1632">
        <f t="shared" si="1721"/>
        <v>0</v>
      </c>
      <c r="AG1427" s="1632">
        <f t="shared" si="1721"/>
        <v>0</v>
      </c>
      <c r="AH1427" s="1632">
        <f t="shared" si="1721"/>
        <v>0</v>
      </c>
      <c r="AI1427" s="1632">
        <f t="shared" si="1721"/>
        <v>0</v>
      </c>
      <c r="AJ1427" s="1632">
        <f t="shared" si="1721"/>
        <v>0</v>
      </c>
      <c r="AK1427" s="1632">
        <f t="shared" si="1721"/>
        <v>0</v>
      </c>
      <c r="AL1427" s="503">
        <f t="shared" si="1721"/>
        <v>0</v>
      </c>
      <c r="AM1427" s="503">
        <f t="shared" si="1721"/>
        <v>0</v>
      </c>
      <c r="AN1427" s="503">
        <f t="shared" si="1721"/>
        <v>0</v>
      </c>
      <c r="AO1427" s="503">
        <f t="shared" si="1721"/>
        <v>0</v>
      </c>
      <c r="AP1427" s="503">
        <f t="shared" si="1721"/>
        <v>0</v>
      </c>
      <c r="AQ1427" s="503">
        <f t="shared" si="1721"/>
        <v>0</v>
      </c>
      <c r="AR1427" s="503">
        <f t="shared" si="1721"/>
        <v>0</v>
      </c>
      <c r="AS1427" s="503">
        <f t="shared" si="1721"/>
        <v>0</v>
      </c>
      <c r="AT1427" s="2681">
        <f t="shared" si="1721"/>
        <v>0</v>
      </c>
    </row>
    <row r="1428" spans="1:46">
      <c r="A1428" s="1"/>
      <c r="B1428" s="1"/>
      <c r="C1428" s="1"/>
      <c r="D1428" s="2535" t="s">
        <v>512</v>
      </c>
      <c r="E1428" s="498"/>
      <c r="F1428" s="498"/>
      <c r="G1428" s="498"/>
      <c r="H1428" s="498"/>
      <c r="I1428" s="498"/>
      <c r="J1428" s="498"/>
      <c r="K1428" s="498"/>
      <c r="L1428" s="498"/>
      <c r="M1428" s="498"/>
      <c r="N1428" s="498"/>
      <c r="O1428" s="498"/>
      <c r="P1428" s="498"/>
      <c r="Q1428" s="498"/>
      <c r="R1428" s="498"/>
      <c r="S1428" s="498"/>
      <c r="T1428" s="498"/>
      <c r="U1428" s="498"/>
      <c r="V1428" s="503">
        <f t="shared" ref="V1428:AT1428" si="1722">V1188</f>
        <v>0</v>
      </c>
      <c r="W1428" s="503">
        <f t="shared" si="1722"/>
        <v>18.399999999999999</v>
      </c>
      <c r="X1428" s="503">
        <f t="shared" si="1722"/>
        <v>30.7</v>
      </c>
      <c r="Y1428" s="503">
        <f t="shared" si="1722"/>
        <v>43.576804800562741</v>
      </c>
      <c r="Z1428" s="503">
        <f t="shared" si="1722"/>
        <v>45.872275573083982</v>
      </c>
      <c r="AA1428" s="503">
        <f t="shared" si="1722"/>
        <v>56.842062232496403</v>
      </c>
      <c r="AB1428" s="503">
        <f t="shared" si="1722"/>
        <v>72.191874699195651</v>
      </c>
      <c r="AC1428" s="503">
        <f t="shared" si="1722"/>
        <v>91.578582652050613</v>
      </c>
      <c r="AD1428" s="503">
        <f t="shared" si="1722"/>
        <v>102.49247013915866</v>
      </c>
      <c r="AE1428" s="1632">
        <f t="shared" si="1722"/>
        <v>139.11880432605938</v>
      </c>
      <c r="AF1428" s="1632">
        <f t="shared" si="1722"/>
        <v>180.68587590230521</v>
      </c>
      <c r="AG1428" s="1632">
        <f t="shared" si="1722"/>
        <v>220.33496040005542</v>
      </c>
      <c r="AH1428" s="1632">
        <f t="shared" si="1722"/>
        <v>303.5028569211014</v>
      </c>
      <c r="AI1428" s="1632">
        <f t="shared" si="1722"/>
        <v>417.72068484998749</v>
      </c>
      <c r="AJ1428" s="1632">
        <f t="shared" si="1722"/>
        <v>485.86876249933277</v>
      </c>
      <c r="AK1428" s="1632">
        <f t="shared" si="1722"/>
        <v>575.63840348451254</v>
      </c>
      <c r="AL1428" s="503">
        <f t="shared" si="1722"/>
        <v>665.19205016128569</v>
      </c>
      <c r="AM1428" s="503">
        <f t="shared" si="1722"/>
        <v>707.34308411161601</v>
      </c>
      <c r="AN1428" s="503">
        <f t="shared" si="1722"/>
        <v>697.38033501178086</v>
      </c>
      <c r="AO1428" s="503">
        <f t="shared" si="1722"/>
        <v>714.03743850815363</v>
      </c>
      <c r="AP1428" s="503">
        <f t="shared" si="1722"/>
        <v>875.22125777941335</v>
      </c>
      <c r="AQ1428" s="503">
        <f t="shared" si="1722"/>
        <v>1074.1439149225996</v>
      </c>
      <c r="AR1428" s="503">
        <f t="shared" si="1722"/>
        <v>1002.7305097254755</v>
      </c>
      <c r="AS1428" s="503">
        <f t="shared" si="1722"/>
        <v>980.08903265767515</v>
      </c>
      <c r="AT1428" s="2681">
        <f t="shared" si="1722"/>
        <v>986.33357488535989</v>
      </c>
    </row>
    <row r="1429" spans="1:46" ht="15.9" thickBot="1">
      <c r="A1429" s="1"/>
      <c r="B1429" s="1"/>
      <c r="C1429" s="1"/>
      <c r="D1429" s="2535" t="s">
        <v>532</v>
      </c>
      <c r="E1429" s="498"/>
      <c r="F1429" s="498"/>
      <c r="G1429" s="498"/>
      <c r="H1429" s="498"/>
      <c r="I1429" s="498"/>
      <c r="J1429" s="498"/>
      <c r="K1429" s="498"/>
      <c r="L1429" s="498"/>
      <c r="M1429" s="498"/>
      <c r="N1429" s="498"/>
      <c r="O1429" s="498"/>
      <c r="P1429" s="498"/>
      <c r="Q1429" s="498"/>
      <c r="R1429" s="498"/>
      <c r="S1429" s="498"/>
      <c r="T1429" s="498"/>
      <c r="U1429" s="498"/>
      <c r="V1429" s="503">
        <f t="shared" ref="V1429:AT1429" si="1723">V1198</f>
        <v>0</v>
      </c>
      <c r="W1429" s="503">
        <f t="shared" si="1723"/>
        <v>0</v>
      </c>
      <c r="X1429" s="503">
        <f t="shared" si="1723"/>
        <v>27</v>
      </c>
      <c r="Y1429" s="503">
        <f t="shared" si="1723"/>
        <v>63.001978688000001</v>
      </c>
      <c r="Z1429" s="503">
        <f t="shared" si="1723"/>
        <v>70.684104777000002</v>
      </c>
      <c r="AA1429" s="503">
        <f t="shared" si="1723"/>
        <v>84.373377361999999</v>
      </c>
      <c r="AB1429" s="503">
        <f t="shared" si="1723"/>
        <v>86.226021179</v>
      </c>
      <c r="AC1429" s="503">
        <f t="shared" si="1723"/>
        <v>99.527043106000008</v>
      </c>
      <c r="AD1429" s="503">
        <f t="shared" si="1723"/>
        <v>172.02613069400002</v>
      </c>
      <c r="AE1429" s="1632">
        <f t="shared" si="1723"/>
        <v>251.94730264100002</v>
      </c>
      <c r="AF1429" s="1632">
        <f t="shared" si="1723"/>
        <v>260.16227530600003</v>
      </c>
      <c r="AG1429" s="1632">
        <f t="shared" si="1723"/>
        <v>382.17384569900003</v>
      </c>
      <c r="AH1429" s="1632">
        <f t="shared" si="1723"/>
        <v>298.87794374700002</v>
      </c>
      <c r="AI1429" s="1632">
        <f t="shared" si="1723"/>
        <v>307.42047619799996</v>
      </c>
      <c r="AJ1429" s="1632">
        <f t="shared" si="1723"/>
        <v>321.64494011700003</v>
      </c>
      <c r="AK1429" s="1632">
        <f t="shared" si="1723"/>
        <v>384.83560886366604</v>
      </c>
      <c r="AL1429" s="503">
        <f t="shared" si="1723"/>
        <v>426.77955283879146</v>
      </c>
      <c r="AM1429" s="503">
        <f t="shared" si="1723"/>
        <v>411.93722749300707</v>
      </c>
      <c r="AN1429" s="503">
        <f t="shared" si="1723"/>
        <v>383.21087279596361</v>
      </c>
      <c r="AO1429" s="503">
        <f t="shared" si="1723"/>
        <v>413.5953648287873</v>
      </c>
      <c r="AP1429" s="503">
        <f t="shared" si="1723"/>
        <v>461.89069483495882</v>
      </c>
      <c r="AQ1429" s="503">
        <f t="shared" si="1723"/>
        <v>524.37749100964652</v>
      </c>
      <c r="AR1429" s="503">
        <f t="shared" si="1723"/>
        <v>598.53526478848858</v>
      </c>
      <c r="AS1429" s="503">
        <f t="shared" si="1723"/>
        <v>683.43562694130583</v>
      </c>
      <c r="AT1429" s="2681">
        <f t="shared" si="1723"/>
        <v>907.55792311339326</v>
      </c>
    </row>
    <row r="1430" spans="1:46" ht="15.9" thickBot="1">
      <c r="A1430" s="1"/>
      <c r="B1430" s="1"/>
      <c r="C1430" s="1"/>
      <c r="D1430" s="2536" t="str">
        <f>D1204</f>
        <v xml:space="preserve"> of which: Other Subsidies</v>
      </c>
      <c r="E1430" s="498"/>
      <c r="F1430" s="498"/>
      <c r="G1430" s="498"/>
      <c r="H1430" s="498"/>
      <c r="I1430" s="498"/>
      <c r="J1430" s="498"/>
      <c r="K1430" s="498"/>
      <c r="L1430" s="498"/>
      <c r="M1430" s="498"/>
      <c r="N1430" s="498"/>
      <c r="O1430" s="498"/>
      <c r="P1430" s="498"/>
      <c r="Q1430" s="498"/>
      <c r="R1430" s="498"/>
      <c r="S1430" s="498"/>
      <c r="T1430" s="498"/>
      <c r="U1430" s="498"/>
      <c r="V1430" s="503"/>
      <c r="W1430" s="503"/>
      <c r="X1430" s="503"/>
      <c r="Y1430" s="503"/>
      <c r="Z1430" s="503"/>
      <c r="AA1430" s="503"/>
      <c r="AB1430" s="503"/>
      <c r="AC1430" s="503"/>
      <c r="AD1430" s="503"/>
      <c r="AE1430" s="1634">
        <f t="shared" ref="AE1430:AT1430" si="1724">AE1204</f>
        <v>0</v>
      </c>
      <c r="AF1430" s="1635">
        <f t="shared" si="1724"/>
        <v>12.3</v>
      </c>
      <c r="AG1430" s="1635">
        <f t="shared" si="1724"/>
        <v>0</v>
      </c>
      <c r="AH1430" s="1635">
        <f t="shared" si="1724"/>
        <v>0</v>
      </c>
      <c r="AI1430" s="1635">
        <f t="shared" si="1724"/>
        <v>0</v>
      </c>
      <c r="AJ1430" s="1635">
        <f t="shared" si="1724"/>
        <v>0</v>
      </c>
      <c r="AK1430" s="1635">
        <f t="shared" si="1724"/>
        <v>66.523810514311663</v>
      </c>
      <c r="AL1430" s="1592">
        <f t="shared" si="1724"/>
        <v>69.875441061041414</v>
      </c>
      <c r="AM1430" s="1592">
        <f t="shared" si="1724"/>
        <v>89.47589632055832</v>
      </c>
      <c r="AN1430" s="1592">
        <f t="shared" si="1724"/>
        <v>108.44307600052116</v>
      </c>
      <c r="AO1430" s="1592">
        <f t="shared" si="1724"/>
        <v>126.94251626911372</v>
      </c>
      <c r="AP1430" s="1592">
        <f t="shared" si="1724"/>
        <v>0</v>
      </c>
      <c r="AQ1430" s="1592">
        <f t="shared" si="1724"/>
        <v>0</v>
      </c>
      <c r="AR1430" s="1592">
        <f t="shared" si="1724"/>
        <v>0</v>
      </c>
      <c r="AS1430" s="1592">
        <f t="shared" si="1724"/>
        <v>0</v>
      </c>
      <c r="AT1430" s="2683">
        <f t="shared" si="1724"/>
        <v>0</v>
      </c>
    </row>
    <row r="1431" spans="1:46">
      <c r="A1431" s="1"/>
      <c r="B1431" s="1"/>
      <c r="C1431" s="1"/>
      <c r="D1431" s="2535" t="s">
        <v>504</v>
      </c>
      <c r="E1431" s="498"/>
      <c r="F1431" s="498"/>
      <c r="G1431" s="498"/>
      <c r="H1431" s="498"/>
      <c r="I1431" s="498"/>
      <c r="J1431" s="498"/>
      <c r="K1431" s="498"/>
      <c r="L1431" s="498"/>
      <c r="M1431" s="498"/>
      <c r="N1431" s="498"/>
      <c r="O1431" s="498"/>
      <c r="P1431" s="498"/>
      <c r="Q1431" s="498"/>
      <c r="R1431" s="498"/>
      <c r="S1431" s="498"/>
      <c r="T1431" s="498"/>
      <c r="U1431" s="498"/>
      <c r="V1431" s="503">
        <f t="shared" ref="V1431:AT1431" si="1725">V1206</f>
        <v>138.84901571823204</v>
      </c>
      <c r="W1431" s="503">
        <f t="shared" si="1725"/>
        <v>156.4</v>
      </c>
      <c r="X1431" s="503">
        <f t="shared" si="1725"/>
        <v>141.20000000000002</v>
      </c>
      <c r="Y1431" s="503">
        <f t="shared" si="1725"/>
        <v>285.47491793799998</v>
      </c>
      <c r="Z1431" s="503">
        <f t="shared" si="1725"/>
        <v>335.93441379699999</v>
      </c>
      <c r="AA1431" s="503">
        <f t="shared" si="1725"/>
        <v>365.17264152624739</v>
      </c>
      <c r="AB1431" s="503">
        <f t="shared" si="1725"/>
        <v>389.63701686441863</v>
      </c>
      <c r="AC1431" s="503">
        <f t="shared" si="1725"/>
        <v>418.66815094384003</v>
      </c>
      <c r="AD1431" s="503">
        <f t="shared" si="1725"/>
        <v>471.94577035000003</v>
      </c>
      <c r="AE1431" s="1632">
        <f t="shared" si="1725"/>
        <v>500.37254378500006</v>
      </c>
      <c r="AF1431" s="1632">
        <f t="shared" si="1725"/>
        <v>548.9739452849999</v>
      </c>
      <c r="AG1431" s="1632">
        <f t="shared" si="1725"/>
        <v>655.56111270923248</v>
      </c>
      <c r="AH1431" s="1632">
        <f t="shared" si="1725"/>
        <v>969.60000000000014</v>
      </c>
      <c r="AI1431" s="1632">
        <f t="shared" si="1725"/>
        <v>993.64042799000003</v>
      </c>
      <c r="AJ1431" s="1632">
        <f t="shared" si="1725"/>
        <v>1024.4514121100001</v>
      </c>
      <c r="AK1431" s="1632">
        <f t="shared" si="1725"/>
        <v>1155.5882263547962</v>
      </c>
      <c r="AL1431" s="503">
        <f t="shared" si="1725"/>
        <v>1349.7030006039429</v>
      </c>
      <c r="AM1431" s="503">
        <f t="shared" si="1725"/>
        <v>1582.1449450199918</v>
      </c>
      <c r="AN1431" s="503">
        <f t="shared" si="1725"/>
        <v>1773.9558824809005</v>
      </c>
      <c r="AO1431" s="503">
        <f t="shared" si="1725"/>
        <v>2157.3449047128188</v>
      </c>
      <c r="AP1431" s="503">
        <f t="shared" si="1725"/>
        <v>2407.3370855783401</v>
      </c>
      <c r="AQ1431" s="503">
        <f t="shared" si="1725"/>
        <v>2852.2279915125187</v>
      </c>
      <c r="AR1431" s="503">
        <f t="shared" si="1725"/>
        <v>3324.0258892567153</v>
      </c>
      <c r="AS1431" s="503">
        <f t="shared" si="1725"/>
        <v>3875.5230972695194</v>
      </c>
      <c r="AT1431" s="2681">
        <f t="shared" si="1725"/>
        <v>5289.5367105188388</v>
      </c>
    </row>
    <row r="1432" spans="1:46">
      <c r="A1432" s="1"/>
      <c r="B1432" s="1"/>
      <c r="C1432" s="1"/>
      <c r="D1432" s="2535" t="s">
        <v>533</v>
      </c>
      <c r="E1432" s="498"/>
      <c r="F1432" s="498"/>
      <c r="G1432" s="498"/>
      <c r="H1432" s="498"/>
      <c r="I1432" s="498"/>
      <c r="J1432" s="498"/>
      <c r="K1432" s="498"/>
      <c r="L1432" s="498"/>
      <c r="M1432" s="498"/>
      <c r="N1432" s="498"/>
      <c r="O1432" s="498"/>
      <c r="P1432" s="498"/>
      <c r="Q1432" s="498"/>
      <c r="R1432" s="498"/>
      <c r="S1432" s="498"/>
      <c r="T1432" s="498"/>
      <c r="U1432" s="498"/>
      <c r="V1432" s="503">
        <f t="shared" ref="V1432:AT1432" si="1726">V1222</f>
        <v>0</v>
      </c>
      <c r="W1432" s="503">
        <f t="shared" si="1726"/>
        <v>0</v>
      </c>
      <c r="X1432" s="503">
        <f t="shared" si="1726"/>
        <v>0</v>
      </c>
      <c r="Y1432" s="503">
        <f t="shared" si="1726"/>
        <v>22.879524976999996</v>
      </c>
      <c r="Z1432" s="503">
        <f t="shared" si="1726"/>
        <v>22.560662956999998</v>
      </c>
      <c r="AA1432" s="503">
        <f t="shared" si="1726"/>
        <v>24.607141763000001</v>
      </c>
      <c r="AB1432" s="503">
        <f t="shared" si="1726"/>
        <v>23.676644539000002</v>
      </c>
      <c r="AC1432" s="503">
        <f t="shared" si="1726"/>
        <v>25.178800748</v>
      </c>
      <c r="AD1432" s="503">
        <f t="shared" si="1726"/>
        <v>25.820247301999999</v>
      </c>
      <c r="AE1432" s="1632">
        <f t="shared" si="1726"/>
        <v>26.669207106000002</v>
      </c>
      <c r="AF1432" s="1632">
        <f t="shared" si="1726"/>
        <v>41.034068239</v>
      </c>
      <c r="AG1432" s="1632">
        <f t="shared" si="1726"/>
        <v>56.665979002000007</v>
      </c>
      <c r="AH1432" s="1632">
        <f t="shared" si="1726"/>
        <v>46.100000000000009</v>
      </c>
      <c r="AI1432" s="1632">
        <f t="shared" si="1726"/>
        <v>48.931605560999998</v>
      </c>
      <c r="AJ1432" s="1632">
        <f t="shared" si="1726"/>
        <v>66.869311807000003</v>
      </c>
      <c r="AK1432" s="1632">
        <f t="shared" si="1726"/>
        <v>83.628595947365383</v>
      </c>
      <c r="AL1432" s="503">
        <f t="shared" si="1726"/>
        <v>86.548112215653759</v>
      </c>
      <c r="AM1432" s="503">
        <f t="shared" si="1726"/>
        <v>97.490799815877679</v>
      </c>
      <c r="AN1432" s="503">
        <f t="shared" si="1726"/>
        <v>109.99444824066505</v>
      </c>
      <c r="AO1432" s="503">
        <f t="shared" si="1726"/>
        <v>123.72341754362701</v>
      </c>
      <c r="AP1432" s="503">
        <f t="shared" si="1726"/>
        <v>137.92038704985382</v>
      </c>
      <c r="AQ1432" s="503">
        <f t="shared" si="1726"/>
        <v>154.65976174283799</v>
      </c>
      <c r="AR1432" s="503">
        <f t="shared" si="1726"/>
        <v>172.27269574594627</v>
      </c>
      <c r="AS1432" s="503">
        <f t="shared" si="1726"/>
        <v>192.28295120006771</v>
      </c>
      <c r="AT1432" s="2681">
        <f t="shared" si="1726"/>
        <v>246.81003027507239</v>
      </c>
    </row>
    <row r="1433" spans="1:46">
      <c r="A1433" s="1"/>
      <c r="B1433" s="1"/>
      <c r="C1433" s="1"/>
      <c r="D1433" s="2535" t="s">
        <v>534</v>
      </c>
      <c r="E1433" s="498"/>
      <c r="F1433" s="498"/>
      <c r="G1433" s="498"/>
      <c r="H1433" s="498"/>
      <c r="I1433" s="498"/>
      <c r="J1433" s="498"/>
      <c r="K1433" s="498"/>
      <c r="L1433" s="498"/>
      <c r="M1433" s="498"/>
      <c r="N1433" s="498"/>
      <c r="O1433" s="498"/>
      <c r="P1433" s="498"/>
      <c r="Q1433" s="498"/>
      <c r="R1433" s="498"/>
      <c r="S1433" s="498"/>
      <c r="T1433" s="498"/>
      <c r="U1433" s="498"/>
      <c r="V1433" s="503">
        <f t="shared" ref="V1433:AT1433" si="1727">V1224</f>
        <v>0</v>
      </c>
      <c r="W1433" s="503">
        <f t="shared" si="1727"/>
        <v>0</v>
      </c>
      <c r="X1433" s="503">
        <f t="shared" si="1727"/>
        <v>0</v>
      </c>
      <c r="Y1433" s="503">
        <f t="shared" si="1727"/>
        <v>32.209355783700005</v>
      </c>
      <c r="Z1433" s="503">
        <f t="shared" si="1727"/>
        <v>67.677090833999998</v>
      </c>
      <c r="AA1433" s="503">
        <f t="shared" si="1727"/>
        <v>71.435250250999999</v>
      </c>
      <c r="AB1433" s="503">
        <f t="shared" si="1727"/>
        <v>87.523682492999995</v>
      </c>
      <c r="AC1433" s="503">
        <f t="shared" si="1727"/>
        <v>107.795415881</v>
      </c>
      <c r="AD1433" s="503">
        <f t="shared" si="1727"/>
        <v>170.62252833700001</v>
      </c>
      <c r="AE1433" s="1632">
        <f t="shared" si="1727"/>
        <v>144.34993801900001</v>
      </c>
      <c r="AF1433" s="1632">
        <f t="shared" si="1727"/>
        <v>132.26150189800001</v>
      </c>
      <c r="AG1433" s="1632">
        <f t="shared" si="1727"/>
        <v>147.01854875399999</v>
      </c>
      <c r="AH1433" s="1632">
        <f t="shared" si="1727"/>
        <v>127.70000000000002</v>
      </c>
      <c r="AI1433" s="1632">
        <f t="shared" si="1727"/>
        <v>139.12123366500001</v>
      </c>
      <c r="AJ1433" s="1632">
        <f t="shared" si="1727"/>
        <v>144.99330224100001</v>
      </c>
      <c r="AK1433" s="1632">
        <f t="shared" si="1727"/>
        <v>152.98324848558599</v>
      </c>
      <c r="AL1433" s="503">
        <f t="shared" si="1727"/>
        <v>168.65948497698193</v>
      </c>
      <c r="AM1433" s="503">
        <f t="shared" si="1727"/>
        <v>189.89689710093501</v>
      </c>
      <c r="AN1433" s="503">
        <f t="shared" si="1727"/>
        <v>213.82390613565281</v>
      </c>
      <c r="AO1433" s="503">
        <f t="shared" si="1727"/>
        <v>242.70247104992188</v>
      </c>
      <c r="AP1433" s="503">
        <f t="shared" si="1727"/>
        <v>279.07648772325837</v>
      </c>
      <c r="AQ1433" s="503">
        <f t="shared" si="1727"/>
        <v>323.70883295117221</v>
      </c>
      <c r="AR1433" s="503">
        <f t="shared" si="1727"/>
        <v>375.7864667903836</v>
      </c>
      <c r="AS1433" s="503">
        <f t="shared" si="1727"/>
        <v>436.19474515274823</v>
      </c>
      <c r="AT1433" s="2681">
        <f t="shared" si="1727"/>
        <v>654.15489172948662</v>
      </c>
    </row>
    <row r="1434" spans="1:46">
      <c r="A1434" s="1"/>
      <c r="B1434" s="1"/>
      <c r="C1434" s="1"/>
      <c r="D1434" s="2530" t="str">
        <f>+FISCinyear!D1083</f>
        <v>NET OPERATING BALANCE</v>
      </c>
      <c r="E1434" s="498"/>
      <c r="F1434" s="498"/>
      <c r="G1434" s="498"/>
      <c r="H1434" s="498"/>
      <c r="I1434" s="498"/>
      <c r="J1434" s="498"/>
      <c r="K1434" s="498"/>
      <c r="L1434" s="498"/>
      <c r="M1434" s="498"/>
      <c r="N1434" s="498"/>
      <c r="O1434" s="498"/>
      <c r="P1434" s="498"/>
      <c r="Q1434" s="498"/>
      <c r="R1434" s="498"/>
      <c r="S1434" s="498"/>
      <c r="T1434" s="498"/>
      <c r="U1434" s="498"/>
      <c r="V1434" s="501"/>
      <c r="W1434" s="501"/>
      <c r="X1434" s="501"/>
      <c r="Y1434" s="501"/>
      <c r="Z1434" s="501"/>
      <c r="AA1434" s="501"/>
      <c r="AB1434" s="501"/>
      <c r="AC1434" s="501"/>
      <c r="AD1434" s="501"/>
      <c r="AE1434" s="1633"/>
      <c r="AF1434" s="1633"/>
      <c r="AG1434" s="1633"/>
      <c r="AH1434" s="1633"/>
      <c r="AI1434" s="1633"/>
      <c r="AJ1434" s="1633"/>
      <c r="AK1434" s="1633"/>
      <c r="AL1434" s="501"/>
      <c r="AM1434" s="501"/>
      <c r="AN1434" s="501"/>
      <c r="AO1434" s="501"/>
      <c r="AP1434" s="501"/>
      <c r="AQ1434" s="501"/>
      <c r="AR1434" s="501"/>
      <c r="AS1434" s="501"/>
      <c r="AT1434" s="2682"/>
    </row>
    <row r="1435" spans="1:46">
      <c r="A1435" s="1"/>
      <c r="B1435" s="1"/>
      <c r="C1435" s="1"/>
      <c r="D1435" s="2537" t="str">
        <f>+FISCinyear!D1084</f>
        <v>including grants</v>
      </c>
      <c r="E1435" s="505"/>
      <c r="F1435" s="505"/>
      <c r="G1435" s="505"/>
      <c r="H1435" s="505"/>
      <c r="I1435" s="505"/>
      <c r="J1435" s="505"/>
      <c r="K1435" s="505"/>
      <c r="L1435" s="505"/>
      <c r="M1435" s="505"/>
      <c r="N1435" s="505"/>
      <c r="O1435" s="505"/>
      <c r="P1435" s="505"/>
      <c r="Q1435" s="505"/>
      <c r="R1435" s="505"/>
      <c r="S1435" s="505"/>
      <c r="T1435" s="505"/>
      <c r="U1435" s="505"/>
      <c r="V1435" s="501">
        <f t="shared" ref="V1435:AL1435" si="1728">V1395-V1421</f>
        <v>48.530059834999975</v>
      </c>
      <c r="W1435" s="501">
        <f t="shared" si="1728"/>
        <v>71.799999999999955</v>
      </c>
      <c r="X1435" s="501">
        <f t="shared" si="1728"/>
        <v>-13.962046360000159</v>
      </c>
      <c r="Y1435" s="501">
        <f t="shared" si="1728"/>
        <v>435.72515167802976</v>
      </c>
      <c r="Z1435" s="501">
        <f t="shared" si="1728"/>
        <v>431.50247778421044</v>
      </c>
      <c r="AA1435" s="501">
        <f t="shared" si="1728"/>
        <v>394.72056119322792</v>
      </c>
      <c r="AB1435" s="501">
        <f t="shared" si="1728"/>
        <v>292.30449537034178</v>
      </c>
      <c r="AC1435" s="501">
        <f t="shared" si="1728"/>
        <v>383.49023674615614</v>
      </c>
      <c r="AD1435" s="501">
        <f t="shared" si="1728"/>
        <v>398.16377884713461</v>
      </c>
      <c r="AE1435" s="1633">
        <f t="shared" si="1728"/>
        <v>301.95859776899374</v>
      </c>
      <c r="AF1435" s="1633">
        <f t="shared" si="1728"/>
        <v>483.80216742078255</v>
      </c>
      <c r="AG1435" s="1633">
        <f t="shared" si="1728"/>
        <v>634.28204194481577</v>
      </c>
      <c r="AH1435" s="1633">
        <f t="shared" si="1728"/>
        <v>542.87255041223671</v>
      </c>
      <c r="AI1435" s="1633">
        <f t="shared" si="1728"/>
        <v>638.1864038980566</v>
      </c>
      <c r="AJ1435" s="1633">
        <f t="shared" si="1728"/>
        <v>757.21802858215869</v>
      </c>
      <c r="AK1435" s="1633">
        <f t="shared" si="1728"/>
        <v>1113.1803451910791</v>
      </c>
      <c r="AL1435" s="501">
        <f t="shared" si="1728"/>
        <v>1209.3600921860107</v>
      </c>
      <c r="AM1435" s="501">
        <f>AM1395-AM1421</f>
        <v>1498.6789514866632</v>
      </c>
      <c r="AN1435" s="501">
        <f t="shared" ref="AN1435:AO1435" si="1729">AN1395-AN1421</f>
        <v>1878.1703820720722</v>
      </c>
      <c r="AO1435" s="501">
        <f t="shared" si="1729"/>
        <v>2062.0639548626586</v>
      </c>
      <c r="AP1435" s="501">
        <f t="shared" ref="AP1435:AT1435" si="1730">AP1395-AP1421</f>
        <v>2251.0605145086083</v>
      </c>
      <c r="AQ1435" s="501">
        <f t="shared" si="1730"/>
        <v>2140.7796898567067</v>
      </c>
      <c r="AR1435" s="501">
        <f t="shared" si="1730"/>
        <v>2335.441119769328</v>
      </c>
      <c r="AS1435" s="501">
        <f t="shared" si="1730"/>
        <v>2463.0715765400946</v>
      </c>
      <c r="AT1435" s="2682">
        <f t="shared" si="1730"/>
        <v>3225.9731828977747</v>
      </c>
    </row>
    <row r="1436" spans="1:46">
      <c r="A1436" s="1"/>
      <c r="B1436" s="1"/>
      <c r="C1436" s="1"/>
      <c r="D1436" s="2537" t="str">
        <f>+FISCinyear!D1085</f>
        <v>excluding grants</v>
      </c>
      <c r="E1436" s="505"/>
      <c r="F1436" s="505"/>
      <c r="G1436" s="505"/>
      <c r="H1436" s="505"/>
      <c r="I1436" s="505"/>
      <c r="J1436" s="505"/>
      <c r="K1436" s="505"/>
      <c r="L1436" s="505"/>
      <c r="M1436" s="505"/>
      <c r="N1436" s="505"/>
      <c r="O1436" s="505"/>
      <c r="P1436" s="505"/>
      <c r="Q1436" s="505"/>
      <c r="R1436" s="505"/>
      <c r="S1436" s="505"/>
      <c r="T1436" s="505"/>
      <c r="U1436" s="505"/>
      <c r="V1436" s="501">
        <f t="shared" ref="V1436:AL1436" si="1731">V1395-V1404-V1421</f>
        <v>-330.49571000000003</v>
      </c>
      <c r="W1436" s="501">
        <f t="shared" si="1731"/>
        <v>-385.6</v>
      </c>
      <c r="X1436" s="501">
        <f t="shared" si="1731"/>
        <v>-378.86204636000014</v>
      </c>
      <c r="Y1436" s="501">
        <f t="shared" si="1731"/>
        <v>-38.591505544590291</v>
      </c>
      <c r="Z1436" s="501">
        <f t="shared" si="1731"/>
        <v>15.575070788910807</v>
      </c>
      <c r="AA1436" s="501">
        <f t="shared" si="1731"/>
        <v>21.006955399678645</v>
      </c>
      <c r="AB1436" s="501">
        <f t="shared" si="1731"/>
        <v>-37.877588576176777</v>
      </c>
      <c r="AC1436" s="501">
        <f t="shared" si="1731"/>
        <v>24.58155987744567</v>
      </c>
      <c r="AD1436" s="501">
        <f t="shared" si="1731"/>
        <v>3.4137209909188186</v>
      </c>
      <c r="AE1436" s="1633">
        <f t="shared" si="1731"/>
        <v>-135.59980687487382</v>
      </c>
      <c r="AF1436" s="1633">
        <f t="shared" si="1731"/>
        <v>-82.254408692299421</v>
      </c>
      <c r="AG1436" s="1633">
        <f t="shared" si="1731"/>
        <v>-189.90231748146562</v>
      </c>
      <c r="AH1436" s="1633">
        <f t="shared" si="1731"/>
        <v>-168.43469534271526</v>
      </c>
      <c r="AI1436" s="1633">
        <f t="shared" si="1731"/>
        <v>-119.60500563357527</v>
      </c>
      <c r="AJ1436" s="1633">
        <f t="shared" si="1731"/>
        <v>142.62555687308031</v>
      </c>
      <c r="AK1436" s="1633">
        <f t="shared" si="1731"/>
        <v>444.90411489541657</v>
      </c>
      <c r="AL1436" s="501">
        <f t="shared" si="1731"/>
        <v>665.37894773564039</v>
      </c>
      <c r="AM1436" s="501">
        <f>AM1395-AM1404-AM1421</f>
        <v>893.49657661304991</v>
      </c>
      <c r="AN1436" s="501">
        <f t="shared" ref="AN1436:AO1436" si="1732">AN1395-AN1404-AN1421</f>
        <v>1261.0158264717211</v>
      </c>
      <c r="AO1436" s="501">
        <f t="shared" si="1732"/>
        <v>1435.9858882784265</v>
      </c>
      <c r="AP1436" s="501">
        <f t="shared" ref="AP1436:AT1436" si="1733">AP1395-AP1404-AP1421</f>
        <v>1536.6211565797603</v>
      </c>
      <c r="AQ1436" s="501">
        <f t="shared" si="1733"/>
        <v>1267.1448168685583</v>
      </c>
      <c r="AR1436" s="501">
        <f t="shared" si="1733"/>
        <v>1436.7051100694152</v>
      </c>
      <c r="AS1436" s="501">
        <f t="shared" si="1733"/>
        <v>1537.2783909856662</v>
      </c>
      <c r="AT1436" s="2682">
        <f t="shared" si="1733"/>
        <v>2271.7613746097577</v>
      </c>
    </row>
    <row r="1437" spans="1:46">
      <c r="A1437" s="1"/>
      <c r="B1437" s="1"/>
      <c r="C1437" s="1"/>
      <c r="D1437" s="2530" t="str">
        <f>+FISCinyear!D1086</f>
        <v xml:space="preserve">Net Investment in nonfinancial assets </v>
      </c>
      <c r="E1437" s="498"/>
      <c r="F1437" s="498"/>
      <c r="G1437" s="498"/>
      <c r="H1437" s="498"/>
      <c r="I1437" s="498"/>
      <c r="J1437" s="498"/>
      <c r="K1437" s="498"/>
      <c r="L1437" s="498"/>
      <c r="M1437" s="498"/>
      <c r="N1437" s="498"/>
      <c r="O1437" s="498"/>
      <c r="P1437" s="498"/>
      <c r="Q1437" s="498"/>
      <c r="R1437" s="498"/>
      <c r="S1437" s="498"/>
      <c r="T1437" s="498"/>
      <c r="U1437" s="498"/>
      <c r="V1437" s="503">
        <f t="shared" ref="V1437:AK1437" si="1734">+V1438+V1441</f>
        <v>382.85996</v>
      </c>
      <c r="W1437" s="503">
        <f t="shared" si="1734"/>
        <v>423.29999999999995</v>
      </c>
      <c r="X1437" s="503">
        <f t="shared" si="1734"/>
        <v>417.23164803700001</v>
      </c>
      <c r="Y1437" s="503">
        <f t="shared" si="1734"/>
        <v>643.37428311067902</v>
      </c>
      <c r="Z1437" s="503">
        <f t="shared" si="1734"/>
        <v>636.11393903343844</v>
      </c>
      <c r="AA1437" s="503">
        <f t="shared" si="1734"/>
        <v>617.43717855045531</v>
      </c>
      <c r="AB1437" s="503">
        <f t="shared" si="1734"/>
        <v>606.86568859482895</v>
      </c>
      <c r="AC1437" s="503">
        <f t="shared" si="1734"/>
        <v>680.76867016215999</v>
      </c>
      <c r="AD1437" s="503">
        <f t="shared" si="1734"/>
        <v>914.67796591778165</v>
      </c>
      <c r="AE1437" s="1632">
        <f t="shared" si="1734"/>
        <v>1033.0979244993662</v>
      </c>
      <c r="AF1437" s="1632">
        <f t="shared" si="1734"/>
        <v>1254.856355703309</v>
      </c>
      <c r="AG1437" s="1632">
        <f t="shared" si="1734"/>
        <v>1591.6220670273301</v>
      </c>
      <c r="AH1437" s="1632">
        <f t="shared" si="1734"/>
        <v>1518.4242141577595</v>
      </c>
      <c r="AI1437" s="1632">
        <f t="shared" si="1734"/>
        <v>1754.9915240248883</v>
      </c>
      <c r="AJ1437" s="1632">
        <f t="shared" si="1734"/>
        <v>1771.5860507272205</v>
      </c>
      <c r="AK1437" s="1632">
        <f t="shared" si="1734"/>
        <v>1970.6363973052012</v>
      </c>
      <c r="AL1437" s="503">
        <f>+AL1438+AL1441</f>
        <v>2178.3573390909792</v>
      </c>
      <c r="AM1437" s="503">
        <f>+AM1438+AM1441</f>
        <v>2537.7316133902841</v>
      </c>
      <c r="AN1437" s="503">
        <f t="shared" ref="AN1437:AO1437" si="1735">+AN1438+AN1441</f>
        <v>2907.4329358355726</v>
      </c>
      <c r="AO1437" s="503">
        <f t="shared" si="1735"/>
        <v>3249.9040729894914</v>
      </c>
      <c r="AP1437" s="503">
        <f t="shared" ref="AP1437:AT1437" si="1736">+AP1438+AP1441</f>
        <v>3602.2242570577082</v>
      </c>
      <c r="AQ1437" s="503">
        <f t="shared" si="1736"/>
        <v>3769.4310048137959</v>
      </c>
      <c r="AR1437" s="503">
        <f t="shared" si="1736"/>
        <v>3905.6200847524024</v>
      </c>
      <c r="AS1437" s="503">
        <f t="shared" si="1736"/>
        <v>4642.3586170904055</v>
      </c>
      <c r="AT1437" s="2681">
        <f t="shared" si="1736"/>
        <v>5924.9127907164502</v>
      </c>
    </row>
    <row r="1438" spans="1:46" ht="20.25" customHeight="1" thickBot="1">
      <c r="A1438" s="1"/>
      <c r="B1438" s="1"/>
      <c r="C1438" s="1"/>
      <c r="D1438" s="2531" t="str">
        <f>+FISCinyear!D1087</f>
        <v>Foreign financed</v>
      </c>
      <c r="E1438" s="498"/>
      <c r="F1438" s="498"/>
      <c r="G1438" s="498"/>
      <c r="H1438" s="498"/>
      <c r="I1438" s="498"/>
      <c r="J1438" s="498"/>
      <c r="K1438" s="498"/>
      <c r="L1438" s="498"/>
      <c r="M1438" s="498"/>
      <c r="N1438" s="498"/>
      <c r="O1438" s="498"/>
      <c r="P1438" s="498"/>
      <c r="Q1438" s="498"/>
      <c r="R1438" s="498"/>
      <c r="S1438" s="498"/>
      <c r="T1438" s="498"/>
      <c r="U1438" s="498"/>
      <c r="V1438" s="501">
        <f t="shared" ref="V1438:AT1438" si="1737">+V1229</f>
        <v>164</v>
      </c>
      <c r="W1438" s="501">
        <f t="shared" si="1737"/>
        <v>191.7</v>
      </c>
      <c r="X1438" s="501">
        <f t="shared" si="1737"/>
        <v>174.9</v>
      </c>
      <c r="Y1438" s="501">
        <f t="shared" si="1737"/>
        <v>369.97105465167897</v>
      </c>
      <c r="Z1438" s="501">
        <f t="shared" si="1737"/>
        <v>340.25690310813093</v>
      </c>
      <c r="AA1438" s="501">
        <f t="shared" si="1737"/>
        <v>271.77461085745529</v>
      </c>
      <c r="AB1438" s="501">
        <f t="shared" si="1737"/>
        <v>306.74917716982901</v>
      </c>
      <c r="AC1438" s="501">
        <f t="shared" si="1737"/>
        <v>339.06041550615998</v>
      </c>
      <c r="AD1438" s="501">
        <f t="shared" si="1737"/>
        <v>448.00399623378166</v>
      </c>
      <c r="AE1438" s="1633">
        <f t="shared" si="1737"/>
        <v>547.79889337836607</v>
      </c>
      <c r="AF1438" s="1633">
        <f t="shared" si="1737"/>
        <v>685.31836062930893</v>
      </c>
      <c r="AG1438" s="1633">
        <f t="shared" si="1737"/>
        <v>788.70905168233003</v>
      </c>
      <c r="AH1438" s="1633">
        <f t="shared" si="1737"/>
        <v>771.47065498229631</v>
      </c>
      <c r="AI1438" s="1633">
        <f t="shared" si="1737"/>
        <v>1097.7924341418884</v>
      </c>
      <c r="AJ1438" s="1633">
        <f t="shared" si="1737"/>
        <v>1147.5399270972205</v>
      </c>
      <c r="AK1438" s="1633">
        <f t="shared" si="1737"/>
        <v>1318.6459902321376</v>
      </c>
      <c r="AL1438" s="501">
        <f t="shared" si="1737"/>
        <v>1267.1860688853712</v>
      </c>
      <c r="AM1438" s="501">
        <f t="shared" si="1737"/>
        <v>1328.7206203653409</v>
      </c>
      <c r="AN1438" s="501">
        <f t="shared" si="1737"/>
        <v>1435.0889616776681</v>
      </c>
      <c r="AO1438" s="501">
        <f t="shared" si="1737"/>
        <v>1510.0692496295089</v>
      </c>
      <c r="AP1438" s="501">
        <f t="shared" si="1737"/>
        <v>1707.1176854360424</v>
      </c>
      <c r="AQ1438" s="501">
        <f t="shared" si="1737"/>
        <v>1363.1146614882086</v>
      </c>
      <c r="AR1438" s="501">
        <f t="shared" si="1737"/>
        <v>923.83562387556231</v>
      </c>
      <c r="AS1438" s="501">
        <f t="shared" si="1737"/>
        <v>951.55069259182926</v>
      </c>
      <c r="AT1438" s="2682">
        <f t="shared" si="1737"/>
        <v>980.09721336958432</v>
      </c>
    </row>
    <row r="1439" spans="1:46" ht="20.25" customHeight="1">
      <c r="A1439" s="1"/>
      <c r="B1439" s="1"/>
      <c r="C1439" s="1"/>
      <c r="D1439" s="2536" t="str">
        <f>D1230</f>
        <v>o/w COVID-19 (School construction/social protection)</v>
      </c>
      <c r="E1439" s="498"/>
      <c r="F1439" s="498"/>
      <c r="G1439" s="498"/>
      <c r="H1439" s="498"/>
      <c r="I1439" s="498"/>
      <c r="J1439" s="498"/>
      <c r="K1439" s="498"/>
      <c r="L1439" s="498"/>
      <c r="M1439" s="498"/>
      <c r="N1439" s="498"/>
      <c r="O1439" s="498"/>
      <c r="P1439" s="498"/>
      <c r="Q1439" s="498"/>
      <c r="R1439" s="498"/>
      <c r="S1439" s="498"/>
      <c r="T1439" s="498"/>
      <c r="U1439" s="498"/>
      <c r="V1439" s="501"/>
      <c r="W1439" s="501"/>
      <c r="X1439" s="501"/>
      <c r="Y1439" s="501"/>
      <c r="Z1439" s="501"/>
      <c r="AA1439" s="501"/>
      <c r="AB1439" s="501"/>
      <c r="AC1439" s="501"/>
      <c r="AD1439" s="501"/>
      <c r="AE1439" s="1640">
        <f t="shared" ref="AE1439:AT1439" si="1738">AE1230</f>
        <v>108.650260876</v>
      </c>
      <c r="AF1439" s="1641">
        <f t="shared" si="1738"/>
        <v>0</v>
      </c>
      <c r="AG1439" s="1641">
        <f t="shared" si="1738"/>
        <v>0</v>
      </c>
      <c r="AH1439" s="1641">
        <f t="shared" si="1738"/>
        <v>0</v>
      </c>
      <c r="AI1439" s="1641">
        <f t="shared" si="1738"/>
        <v>0</v>
      </c>
      <c r="AJ1439" s="1641">
        <f t="shared" si="1738"/>
        <v>0</v>
      </c>
      <c r="AK1439" s="1641">
        <f t="shared" si="1738"/>
        <v>0</v>
      </c>
      <c r="AL1439" s="1590">
        <f t="shared" si="1738"/>
        <v>0</v>
      </c>
      <c r="AM1439" s="1590">
        <f t="shared" si="1738"/>
        <v>0</v>
      </c>
      <c r="AN1439" s="1590">
        <f t="shared" si="1738"/>
        <v>0</v>
      </c>
      <c r="AO1439" s="1590">
        <f t="shared" si="1738"/>
        <v>0</v>
      </c>
      <c r="AP1439" s="1590">
        <f t="shared" si="1738"/>
        <v>0</v>
      </c>
      <c r="AQ1439" s="1590">
        <f t="shared" si="1738"/>
        <v>0</v>
      </c>
      <c r="AR1439" s="1590">
        <f t="shared" si="1738"/>
        <v>0</v>
      </c>
      <c r="AS1439" s="1590">
        <f t="shared" si="1738"/>
        <v>0</v>
      </c>
      <c r="AT1439" s="2686">
        <f t="shared" si="1738"/>
        <v>0</v>
      </c>
    </row>
    <row r="1440" spans="1:46" ht="20.25" customHeight="1" thickBot="1">
      <c r="A1440" s="1"/>
      <c r="B1440" s="1"/>
      <c r="C1440" s="1"/>
      <c r="D1440" s="2555" t="str">
        <f>D1231</f>
        <v>o/w vaccine</v>
      </c>
      <c r="E1440" s="498"/>
      <c r="F1440" s="498"/>
      <c r="G1440" s="498"/>
      <c r="H1440" s="498"/>
      <c r="I1440" s="498"/>
      <c r="J1440" s="498"/>
      <c r="K1440" s="498"/>
      <c r="L1440" s="498"/>
      <c r="M1440" s="498"/>
      <c r="N1440" s="498"/>
      <c r="O1440" s="498"/>
      <c r="P1440" s="498"/>
      <c r="Q1440" s="498"/>
      <c r="R1440" s="498"/>
      <c r="S1440" s="498"/>
      <c r="T1440" s="498"/>
      <c r="U1440" s="498"/>
      <c r="V1440" s="501"/>
      <c r="W1440" s="501"/>
      <c r="X1440" s="501"/>
      <c r="Y1440" s="501"/>
      <c r="Z1440" s="501"/>
      <c r="AA1440" s="501"/>
      <c r="AB1440" s="501"/>
      <c r="AC1440" s="501"/>
      <c r="AD1440" s="501"/>
      <c r="AE1440" s="1642">
        <f t="shared" ref="AE1440:AT1440" si="1739">AE1231</f>
        <v>0</v>
      </c>
      <c r="AF1440" s="1643">
        <f t="shared" si="1739"/>
        <v>0</v>
      </c>
      <c r="AG1440" s="1643">
        <f t="shared" si="1739"/>
        <v>0</v>
      </c>
      <c r="AH1440" s="1643">
        <f t="shared" si="1739"/>
        <v>0</v>
      </c>
      <c r="AI1440" s="1643">
        <f t="shared" si="1739"/>
        <v>0</v>
      </c>
      <c r="AJ1440" s="1643">
        <f t="shared" si="1739"/>
        <v>0</v>
      </c>
      <c r="AK1440" s="1643">
        <f t="shared" si="1739"/>
        <v>0</v>
      </c>
      <c r="AL1440" s="1591">
        <f t="shared" si="1739"/>
        <v>0</v>
      </c>
      <c r="AM1440" s="1591">
        <f t="shared" si="1739"/>
        <v>0</v>
      </c>
      <c r="AN1440" s="1591">
        <f t="shared" si="1739"/>
        <v>0</v>
      </c>
      <c r="AO1440" s="1591">
        <f t="shared" si="1739"/>
        <v>0</v>
      </c>
      <c r="AP1440" s="1591">
        <f t="shared" si="1739"/>
        <v>0</v>
      </c>
      <c r="AQ1440" s="1591">
        <f t="shared" si="1739"/>
        <v>0</v>
      </c>
      <c r="AR1440" s="1591">
        <f t="shared" si="1739"/>
        <v>0</v>
      </c>
      <c r="AS1440" s="1591">
        <f t="shared" si="1739"/>
        <v>0</v>
      </c>
      <c r="AT1440" s="2687">
        <f t="shared" si="1739"/>
        <v>0</v>
      </c>
    </row>
    <row r="1441" spans="1:48">
      <c r="A1441" s="1"/>
      <c r="B1441" s="1"/>
      <c r="C1441" s="1"/>
      <c r="D1441" s="2531" t="str">
        <f>+FISCinyear!D1088</f>
        <v>Domestically financed</v>
      </c>
      <c r="E1441" s="498"/>
      <c r="F1441" s="498"/>
      <c r="G1441" s="498"/>
      <c r="H1441" s="498"/>
      <c r="I1441" s="498"/>
      <c r="J1441" s="498"/>
      <c r="K1441" s="498"/>
      <c r="L1441" s="498"/>
      <c r="M1441" s="498"/>
      <c r="N1441" s="498"/>
      <c r="O1441" s="498"/>
      <c r="P1441" s="498"/>
      <c r="Q1441" s="498"/>
      <c r="R1441" s="498"/>
      <c r="S1441" s="498"/>
      <c r="T1441" s="498"/>
      <c r="U1441" s="498"/>
      <c r="V1441" s="501">
        <f t="shared" ref="V1441:AT1441" si="1740">+V1233</f>
        <v>218.85996</v>
      </c>
      <c r="W1441" s="501">
        <f t="shared" si="1740"/>
        <v>231.6</v>
      </c>
      <c r="X1441" s="501">
        <f t="shared" si="1740"/>
        <v>242.33164803700001</v>
      </c>
      <c r="Y1441" s="501">
        <f t="shared" si="1740"/>
        <v>273.40322845899999</v>
      </c>
      <c r="Z1441" s="501">
        <f t="shared" si="1740"/>
        <v>295.85703592530751</v>
      </c>
      <c r="AA1441" s="501">
        <f t="shared" si="1740"/>
        <v>345.66256769300003</v>
      </c>
      <c r="AB1441" s="501">
        <f t="shared" si="1740"/>
        <v>300.116511425</v>
      </c>
      <c r="AC1441" s="501">
        <f t="shared" si="1740"/>
        <v>341.70825465600001</v>
      </c>
      <c r="AD1441" s="501">
        <f t="shared" si="1740"/>
        <v>466.67396968400004</v>
      </c>
      <c r="AE1441" s="1633">
        <f t="shared" si="1740"/>
        <v>485.29903112100004</v>
      </c>
      <c r="AF1441" s="1633">
        <f t="shared" si="1740"/>
        <v>569.53799507400004</v>
      </c>
      <c r="AG1441" s="1633">
        <f t="shared" si="1740"/>
        <v>802.91301534500008</v>
      </c>
      <c r="AH1441" s="1633">
        <f t="shared" si="1740"/>
        <v>746.95355917546317</v>
      </c>
      <c r="AI1441" s="1633">
        <f t="shared" si="1740"/>
        <v>657.19908988299994</v>
      </c>
      <c r="AJ1441" s="1633">
        <f t="shared" si="1740"/>
        <v>624.04612363000001</v>
      </c>
      <c r="AK1441" s="1633">
        <f t="shared" si="1740"/>
        <v>651.99040707306358</v>
      </c>
      <c r="AL1441" s="501">
        <f t="shared" si="1740"/>
        <v>911.17127020560781</v>
      </c>
      <c r="AM1441" s="501">
        <f t="shared" si="1740"/>
        <v>1209.0109930249434</v>
      </c>
      <c r="AN1441" s="501">
        <f t="shared" si="1740"/>
        <v>1472.3439741579043</v>
      </c>
      <c r="AO1441" s="501">
        <f t="shared" si="1740"/>
        <v>1739.8348233599827</v>
      </c>
      <c r="AP1441" s="501">
        <f t="shared" si="1740"/>
        <v>1895.1065716216658</v>
      </c>
      <c r="AQ1441" s="501">
        <f t="shared" si="1740"/>
        <v>2406.3163433255872</v>
      </c>
      <c r="AR1441" s="501">
        <f t="shared" si="1740"/>
        <v>2981.7844608768401</v>
      </c>
      <c r="AS1441" s="501">
        <f t="shared" si="1740"/>
        <v>3690.8079244985761</v>
      </c>
      <c r="AT1441" s="2682">
        <f t="shared" si="1740"/>
        <v>4944.8155773468661</v>
      </c>
    </row>
    <row r="1442" spans="1:48" ht="15.9" thickBot="1">
      <c r="A1442" s="1"/>
      <c r="B1442" s="1"/>
      <c r="C1442" s="1"/>
      <c r="D1442" s="2536" t="str">
        <f>D1235</f>
        <v>of which: Covid-19 spending</v>
      </c>
      <c r="E1442" s="498"/>
      <c r="F1442" s="498"/>
      <c r="G1442" s="498"/>
      <c r="H1442" s="498"/>
      <c r="I1442" s="498"/>
      <c r="J1442" s="498"/>
      <c r="K1442" s="498"/>
      <c r="L1442" s="498"/>
      <c r="M1442" s="498"/>
      <c r="N1442" s="498"/>
      <c r="O1442" s="498"/>
      <c r="P1442" s="498"/>
      <c r="Q1442" s="498"/>
      <c r="R1442" s="498"/>
      <c r="S1442" s="498"/>
      <c r="T1442" s="498"/>
      <c r="U1442" s="498"/>
      <c r="V1442" s="501"/>
      <c r="W1442" s="501"/>
      <c r="X1442" s="501"/>
      <c r="Y1442" s="501"/>
      <c r="Z1442" s="501"/>
      <c r="AA1442" s="501"/>
      <c r="AB1442" s="501"/>
      <c r="AC1442" s="501"/>
      <c r="AD1442" s="501"/>
      <c r="AE1442" s="1633">
        <f t="shared" ref="AE1442:AT1442" si="1741">AE1235</f>
        <v>27.4</v>
      </c>
      <c r="AF1442" s="1633">
        <f t="shared" si="1741"/>
        <v>0</v>
      </c>
      <c r="AG1442" s="1633">
        <f t="shared" si="1741"/>
        <v>0</v>
      </c>
      <c r="AH1442" s="1633">
        <f t="shared" si="1741"/>
        <v>0</v>
      </c>
      <c r="AI1442" s="1633">
        <f t="shared" si="1741"/>
        <v>0</v>
      </c>
      <c r="AJ1442" s="1633">
        <f t="shared" si="1741"/>
        <v>0</v>
      </c>
      <c r="AK1442" s="1633">
        <f t="shared" si="1741"/>
        <v>0</v>
      </c>
      <c r="AL1442" s="501">
        <f t="shared" si="1741"/>
        <v>0</v>
      </c>
      <c r="AM1442" s="501">
        <f t="shared" si="1741"/>
        <v>0</v>
      </c>
      <c r="AN1442" s="501">
        <f t="shared" si="1741"/>
        <v>0</v>
      </c>
      <c r="AO1442" s="501">
        <f t="shared" si="1741"/>
        <v>0</v>
      </c>
      <c r="AP1442" s="501">
        <f t="shared" si="1741"/>
        <v>0</v>
      </c>
      <c r="AQ1442" s="501">
        <f t="shared" si="1741"/>
        <v>0</v>
      </c>
      <c r="AR1442" s="501">
        <f t="shared" si="1741"/>
        <v>0</v>
      </c>
      <c r="AS1442" s="501">
        <f t="shared" si="1741"/>
        <v>0</v>
      </c>
      <c r="AT1442" s="2682">
        <f t="shared" si="1741"/>
        <v>0</v>
      </c>
    </row>
    <row r="1443" spans="1:48">
      <c r="A1443" s="1"/>
      <c r="B1443" s="1"/>
      <c r="C1443" s="1"/>
      <c r="D1443" s="2539" t="str">
        <f>+FISCinyear!D1089</f>
        <v>Net lending (+) / borrowing (-) {deficit/Surplus}</v>
      </c>
      <c r="E1443" s="1450"/>
      <c r="F1443" s="1450"/>
      <c r="G1443" s="1450"/>
      <c r="H1443" s="1450"/>
      <c r="I1443" s="1450"/>
      <c r="J1443" s="1450"/>
      <c r="K1443" s="1450"/>
      <c r="L1443" s="1450"/>
      <c r="M1443" s="1450"/>
      <c r="N1443" s="1450"/>
      <c r="O1443" s="1450"/>
      <c r="P1443" s="1450"/>
      <c r="Q1443" s="1450"/>
      <c r="R1443" s="1450"/>
      <c r="S1443" s="1450"/>
      <c r="T1443" s="1450"/>
      <c r="U1443" s="1450"/>
      <c r="V1443" s="1441"/>
      <c r="W1443" s="1441"/>
      <c r="X1443" s="1441"/>
      <c r="Y1443" s="1441"/>
      <c r="Z1443" s="1441"/>
      <c r="AA1443" s="1441"/>
      <c r="AB1443" s="1441"/>
      <c r="AC1443" s="1441"/>
      <c r="AD1443" s="1441"/>
      <c r="AE1443" s="1644"/>
      <c r="AF1443" s="1644"/>
      <c r="AG1443" s="1644"/>
      <c r="AH1443" s="1644"/>
      <c r="AI1443" s="1644"/>
      <c r="AJ1443" s="1644"/>
      <c r="AK1443" s="1644"/>
      <c r="AL1443" s="1442"/>
      <c r="AM1443" s="1442"/>
      <c r="AN1443" s="1442"/>
      <c r="AO1443" s="1442"/>
      <c r="AP1443" s="1442"/>
      <c r="AQ1443" s="1442"/>
      <c r="AR1443" s="1442"/>
      <c r="AS1443" s="1442"/>
      <c r="AT1443" s="2688"/>
    </row>
    <row r="1444" spans="1:48">
      <c r="A1444" s="1"/>
      <c r="B1444" s="1"/>
      <c r="C1444" s="1"/>
      <c r="D1444" s="2540" t="str">
        <f>+FISCinyear!D1090</f>
        <v>including grants</v>
      </c>
      <c r="E1444" s="505"/>
      <c r="F1444" s="505"/>
      <c r="G1444" s="505"/>
      <c r="H1444" s="505"/>
      <c r="I1444" s="505"/>
      <c r="J1444" s="505"/>
      <c r="K1444" s="505"/>
      <c r="L1444" s="505"/>
      <c r="M1444" s="505"/>
      <c r="N1444" s="505"/>
      <c r="O1444" s="505"/>
      <c r="P1444" s="505"/>
      <c r="Q1444" s="505"/>
      <c r="R1444" s="505"/>
      <c r="S1444" s="505"/>
      <c r="T1444" s="505"/>
      <c r="U1444" s="505"/>
      <c r="V1444" s="501">
        <f t="shared" ref="V1444:AD1444" si="1742">V1435-V1437</f>
        <v>-334.32990016500003</v>
      </c>
      <c r="W1444" s="501">
        <f t="shared" si="1742"/>
        <v>-351.5</v>
      </c>
      <c r="X1444" s="501">
        <f t="shared" si="1742"/>
        <v>-431.19369439700017</v>
      </c>
      <c r="Y1444" s="501">
        <f t="shared" si="1742"/>
        <v>-207.64913143264926</v>
      </c>
      <c r="Z1444" s="501">
        <f t="shared" si="1742"/>
        <v>-204.611461249228</v>
      </c>
      <c r="AA1444" s="501">
        <f t="shared" si="1742"/>
        <v>-222.71661735722739</v>
      </c>
      <c r="AB1444" s="501">
        <f t="shared" si="1742"/>
        <v>-314.56119322448717</v>
      </c>
      <c r="AC1444" s="501">
        <f t="shared" si="1742"/>
        <v>-297.27843341600385</v>
      </c>
      <c r="AD1444" s="501">
        <f t="shared" si="1742"/>
        <v>-516.51418707064704</v>
      </c>
      <c r="AE1444" s="1633">
        <f>AE1395-AE1421-AE1437</f>
        <v>-731.13932673037243</v>
      </c>
      <c r="AF1444" s="1633">
        <f>AF1395-AF1421-AF1437</f>
        <v>-771.05418828252641</v>
      </c>
      <c r="AG1444" s="1633">
        <f>AG1395-AG1421-AG1437</f>
        <v>-957.34002508251433</v>
      </c>
      <c r="AH1444" s="1633">
        <f t="shared" ref="AH1444:AM1444" si="1743">AH1435-AH1437</f>
        <v>-975.55166374552277</v>
      </c>
      <c r="AI1444" s="1633">
        <f t="shared" si="1743"/>
        <v>-1116.8051201268318</v>
      </c>
      <c r="AJ1444" s="1633">
        <f t="shared" si="1743"/>
        <v>-1014.3680221450618</v>
      </c>
      <c r="AK1444" s="1633">
        <f t="shared" si="1743"/>
        <v>-857.45605211412203</v>
      </c>
      <c r="AL1444" s="501">
        <f t="shared" si="1743"/>
        <v>-968.99724690496851</v>
      </c>
      <c r="AM1444" s="501">
        <f t="shared" si="1743"/>
        <v>-1039.0526619036209</v>
      </c>
      <c r="AN1444" s="501">
        <f t="shared" ref="AN1444:AO1444" si="1744">AN1435-AN1437</f>
        <v>-1029.2625537635004</v>
      </c>
      <c r="AO1444" s="501">
        <f t="shared" si="1744"/>
        <v>-1187.8401181268327</v>
      </c>
      <c r="AP1444" s="501">
        <f t="shared" ref="AP1444:AT1444" si="1745">AP1435-AP1437</f>
        <v>-1351.1637425490999</v>
      </c>
      <c r="AQ1444" s="501">
        <f t="shared" si="1745"/>
        <v>-1628.6513149570892</v>
      </c>
      <c r="AR1444" s="501">
        <f t="shared" si="1745"/>
        <v>-1570.1789649830744</v>
      </c>
      <c r="AS1444" s="501">
        <f t="shared" si="1745"/>
        <v>-2179.2870405503108</v>
      </c>
      <c r="AT1444" s="2682">
        <f t="shared" si="1745"/>
        <v>-2698.9396078186755</v>
      </c>
      <c r="AV1444" s="1114">
        <f>AL1245-AL1444</f>
        <v>0</v>
      </c>
    </row>
    <row r="1445" spans="1:48">
      <c r="A1445" s="1"/>
      <c r="B1445" s="1"/>
      <c r="C1445" s="1"/>
      <c r="D1445" s="2540" t="str">
        <f>+FISCinyear!D1091</f>
        <v>excluding grants</v>
      </c>
      <c r="E1445" s="505"/>
      <c r="F1445" s="505"/>
      <c r="G1445" s="505"/>
      <c r="H1445" s="505"/>
      <c r="I1445" s="505"/>
      <c r="J1445" s="505"/>
      <c r="K1445" s="505"/>
      <c r="L1445" s="505"/>
      <c r="M1445" s="505"/>
      <c r="N1445" s="505"/>
      <c r="O1445" s="505"/>
      <c r="P1445" s="505"/>
      <c r="Q1445" s="505"/>
      <c r="R1445" s="505"/>
      <c r="S1445" s="505"/>
      <c r="T1445" s="505"/>
      <c r="U1445" s="505"/>
      <c r="V1445" s="501">
        <f t="shared" ref="V1445:AD1445" si="1746">V1436-V1437</f>
        <v>-713.35567000000003</v>
      </c>
      <c r="W1445" s="501">
        <f t="shared" si="1746"/>
        <v>-808.9</v>
      </c>
      <c r="X1445" s="501">
        <f t="shared" si="1746"/>
        <v>-796.09369439700015</v>
      </c>
      <c r="Y1445" s="501">
        <f t="shared" si="1746"/>
        <v>-681.96578865526931</v>
      </c>
      <c r="Z1445" s="501">
        <f t="shared" si="1746"/>
        <v>-620.53886824452763</v>
      </c>
      <c r="AA1445" s="501">
        <f t="shared" si="1746"/>
        <v>-596.43022315077667</v>
      </c>
      <c r="AB1445" s="501">
        <f t="shared" si="1746"/>
        <v>-644.74327717100573</v>
      </c>
      <c r="AC1445" s="501">
        <f t="shared" si="1746"/>
        <v>-656.18711028471432</v>
      </c>
      <c r="AD1445" s="501">
        <f t="shared" si="1746"/>
        <v>-911.26424492686283</v>
      </c>
      <c r="AE1445" s="1633">
        <f>AE1444-AE1404</f>
        <v>-1168.69773137424</v>
      </c>
      <c r="AF1445" s="1633">
        <f>AF1444-AF1404</f>
        <v>-1337.1107643956084</v>
      </c>
      <c r="AG1445" s="1633">
        <f>AG1444-AG1404</f>
        <v>-1781.5243845087957</v>
      </c>
      <c r="AH1445" s="1633">
        <f t="shared" ref="AH1445:AM1445" si="1747">AH1436-AH1437</f>
        <v>-1686.8589095004747</v>
      </c>
      <c r="AI1445" s="1633">
        <f t="shared" si="1747"/>
        <v>-1874.5965296584636</v>
      </c>
      <c r="AJ1445" s="1633">
        <f t="shared" si="1747"/>
        <v>-1628.9604938541402</v>
      </c>
      <c r="AK1445" s="1633">
        <f t="shared" si="1747"/>
        <v>-1525.7322824097846</v>
      </c>
      <c r="AL1445" s="501">
        <f t="shared" si="1747"/>
        <v>-1512.9783913553388</v>
      </c>
      <c r="AM1445" s="501">
        <f t="shared" si="1747"/>
        <v>-1644.2350367772342</v>
      </c>
      <c r="AN1445" s="501">
        <f t="shared" ref="AN1445:AO1445" si="1748">AN1436-AN1437</f>
        <v>-1646.4171093638515</v>
      </c>
      <c r="AO1445" s="501">
        <f t="shared" si="1748"/>
        <v>-1813.9181847110649</v>
      </c>
      <c r="AP1445" s="501">
        <f t="shared" ref="AP1445:AT1445" si="1749">AP1436-AP1437</f>
        <v>-2065.6031004779479</v>
      </c>
      <c r="AQ1445" s="501">
        <f t="shared" si="1749"/>
        <v>-2502.2861879452375</v>
      </c>
      <c r="AR1445" s="501">
        <f t="shared" si="1749"/>
        <v>-2468.9149746829871</v>
      </c>
      <c r="AS1445" s="501">
        <f t="shared" si="1749"/>
        <v>-3105.0802261047393</v>
      </c>
      <c r="AT1445" s="2682">
        <f t="shared" si="1749"/>
        <v>-3653.1514161066925</v>
      </c>
    </row>
    <row r="1446" spans="1:48">
      <c r="A1446" s="1"/>
      <c r="B1446" s="1"/>
      <c r="C1446" s="1"/>
      <c r="D1446" s="2556" t="s">
        <v>3033</v>
      </c>
      <c r="E1446" s="503"/>
      <c r="F1446" s="503"/>
      <c r="G1446" s="503"/>
      <c r="H1446" s="503"/>
      <c r="I1446" s="503"/>
      <c r="J1446" s="503"/>
      <c r="K1446" s="505"/>
      <c r="L1446" s="505"/>
      <c r="M1446" s="505"/>
      <c r="N1446" s="505"/>
      <c r="O1446" s="505"/>
      <c r="P1446" s="505"/>
      <c r="Q1446" s="505"/>
      <c r="R1446" s="505"/>
      <c r="S1446" s="505"/>
      <c r="T1446" s="505"/>
      <c r="U1446" s="505"/>
      <c r="V1446" s="501"/>
      <c r="W1446" s="501"/>
      <c r="X1446" s="501"/>
      <c r="Y1446" s="501"/>
      <c r="Z1446" s="501"/>
      <c r="AA1446" s="501"/>
      <c r="AB1446" s="501"/>
      <c r="AC1446" s="501"/>
      <c r="AD1446" s="501"/>
      <c r="AE1446" s="1633"/>
      <c r="AF1446" s="1633"/>
      <c r="AG1446" s="1633"/>
      <c r="AH1446" s="1633"/>
      <c r="AI1446" s="1633"/>
      <c r="AJ1446" s="1633"/>
      <c r="AK1446" s="1633"/>
      <c r="AL1446" s="1443"/>
      <c r="AM1446" s="1443"/>
      <c r="AN1446" s="1443"/>
      <c r="AO1446" s="1443"/>
      <c r="AP1446" s="1443"/>
      <c r="AQ1446" s="1443"/>
      <c r="AR1446" s="1443"/>
      <c r="AS1446" s="1443"/>
      <c r="AT1446" s="2689"/>
    </row>
    <row r="1447" spans="1:48">
      <c r="A1447" s="1"/>
      <c r="B1447" s="1"/>
      <c r="C1447" s="1"/>
      <c r="D1447" s="2557" t="s">
        <v>3153</v>
      </c>
      <c r="E1447" s="1054"/>
      <c r="F1447" s="1054"/>
      <c r="G1447" s="1054"/>
      <c r="H1447" s="1054"/>
      <c r="I1447" s="1054"/>
      <c r="J1447" s="1054"/>
      <c r="K1447" s="1054"/>
      <c r="L1447" s="1054"/>
      <c r="M1447" s="1054"/>
      <c r="N1447" s="1054"/>
      <c r="O1447" s="1054"/>
      <c r="P1447" s="1054"/>
      <c r="Q1447" s="1054"/>
      <c r="R1447" s="1054"/>
      <c r="S1447" s="1054"/>
      <c r="T1447" s="1054"/>
      <c r="U1447" s="1054"/>
      <c r="V1447" s="1063"/>
      <c r="W1447" s="1063"/>
      <c r="X1447" s="1063"/>
      <c r="Y1447" s="1473"/>
      <c r="Z1447" s="1473"/>
      <c r="AA1447" s="1473"/>
      <c r="AB1447" s="1063">
        <f t="shared" ref="AB1447:AT1447" si="1750">AB1248</f>
        <v>-466.59091706758693</v>
      </c>
      <c r="AC1447" s="1063">
        <f t="shared" si="1750"/>
        <v>-464.18281886890065</v>
      </c>
      <c r="AD1447" s="1063">
        <f t="shared" si="1750"/>
        <v>-509.94148877293156</v>
      </c>
      <c r="AE1447" s="1645">
        <f t="shared" si="1750"/>
        <v>-711.70219671927759</v>
      </c>
      <c r="AF1447" s="1645">
        <f t="shared" si="1750"/>
        <v>-785.81733044043381</v>
      </c>
      <c r="AG1447" s="1645">
        <f t="shared" si="1750"/>
        <v>-880.5163430012708</v>
      </c>
      <c r="AH1447" s="1645">
        <f t="shared" si="1750"/>
        <v>-939.75481169252282</v>
      </c>
      <c r="AI1447" s="1645">
        <f t="shared" si="1750"/>
        <v>-1081.6893161918326</v>
      </c>
      <c r="AJ1447" s="1645">
        <f t="shared" si="1750"/>
        <v>-979.79586417706173</v>
      </c>
      <c r="AK1447" s="1645">
        <f t="shared" si="1750"/>
        <v>-823.48637492612204</v>
      </c>
      <c r="AL1447" s="1063">
        <f t="shared" si="1750"/>
        <v>-936.49340385971482</v>
      </c>
      <c r="AM1447" s="1063">
        <f t="shared" si="1750"/>
        <v>-1006.1737269009549</v>
      </c>
      <c r="AN1447" s="1063">
        <f t="shared" si="1750"/>
        <v>-988.30191433776133</v>
      </c>
      <c r="AO1447" s="1063">
        <f t="shared" si="1750"/>
        <v>-1136.8311246334954</v>
      </c>
      <c r="AP1447" s="1063">
        <f t="shared" si="1750"/>
        <v>-1341.5814493840999</v>
      </c>
      <c r="AQ1447" s="1063">
        <f t="shared" si="1750"/>
        <v>-1619.0690217920892</v>
      </c>
      <c r="AR1447" s="1063">
        <f t="shared" si="1750"/>
        <v>-1560.5966718180744</v>
      </c>
      <c r="AS1447" s="1063">
        <f t="shared" si="1750"/>
        <v>-2169.7047473853108</v>
      </c>
      <c r="AT1447" s="1063">
        <f t="shared" si="1750"/>
        <v>-2689.3573146536755</v>
      </c>
    </row>
    <row r="1448" spans="1:48">
      <c r="A1448" s="1"/>
      <c r="B1448" s="1"/>
      <c r="C1448" s="1"/>
      <c r="D1448" s="2542" t="s">
        <v>3174</v>
      </c>
      <c r="E1448" s="1054"/>
      <c r="F1448" s="1054"/>
      <c r="G1448" s="1054"/>
      <c r="H1448" s="1054"/>
      <c r="I1448" s="1054"/>
      <c r="J1448" s="1054"/>
      <c r="K1448" s="1054"/>
      <c r="L1448" s="1054"/>
      <c r="M1448" s="1054"/>
      <c r="N1448" s="1054"/>
      <c r="O1448" s="1054"/>
      <c r="P1448" s="1054"/>
      <c r="Q1448" s="1054"/>
      <c r="R1448" s="1054"/>
      <c r="S1448" s="1054"/>
      <c r="T1448" s="1054"/>
      <c r="U1448" s="1054"/>
      <c r="V1448" s="1063"/>
      <c r="W1448" s="1063"/>
      <c r="X1448" s="1063"/>
      <c r="Y1448" s="1473"/>
      <c r="Z1448" s="1473"/>
      <c r="AA1448" s="1473"/>
      <c r="AB1448" s="1063">
        <f t="shared" ref="AB1448:AT1448" si="1751">AB1249</f>
        <v>-303.32257472493694</v>
      </c>
      <c r="AC1448" s="1063">
        <f t="shared" si="1751"/>
        <v>-292.38021356462571</v>
      </c>
      <c r="AD1448" s="1063">
        <f t="shared" si="1751"/>
        <v>-466.83981640650069</v>
      </c>
      <c r="AE1448" s="1645">
        <f t="shared" si="1751"/>
        <v>-540.41754997913313</v>
      </c>
      <c r="AF1448" s="1645">
        <f t="shared" si="1751"/>
        <v>-721.80311343945903</v>
      </c>
      <c r="AG1448" s="1645">
        <f t="shared" si="1751"/>
        <v>-769.75700010412629</v>
      </c>
      <c r="AH1448" s="1645">
        <f t="shared" si="1751"/>
        <v>-975.55166374552277</v>
      </c>
      <c r="AI1448" s="1645">
        <f t="shared" si="1751"/>
        <v>-1115.6051201268326</v>
      </c>
      <c r="AJ1448" s="1645">
        <f t="shared" si="1751"/>
        <v>-1014.3680221450618</v>
      </c>
      <c r="AK1448" s="1645">
        <f t="shared" si="1751"/>
        <v>-790.93224159981037</v>
      </c>
      <c r="AL1448" s="1063">
        <f t="shared" si="1751"/>
        <v>-899.12180584392706</v>
      </c>
      <c r="AM1448" s="1063">
        <f t="shared" si="1751"/>
        <v>-949.57676558306252</v>
      </c>
      <c r="AN1448" s="1063">
        <f t="shared" si="1751"/>
        <v>-920.8194777629792</v>
      </c>
      <c r="AO1448" s="1063">
        <f t="shared" si="1751"/>
        <v>-1060.8976018577191</v>
      </c>
      <c r="AP1448" s="1063">
        <f t="shared" si="1751"/>
        <v>-1351.1637425490999</v>
      </c>
      <c r="AQ1448" s="1063">
        <f t="shared" si="1751"/>
        <v>-1628.6513149570892</v>
      </c>
      <c r="AR1448" s="1063">
        <f t="shared" si="1751"/>
        <v>-1570.1789649830744</v>
      </c>
      <c r="AS1448" s="1063">
        <f t="shared" si="1751"/>
        <v>-2179.2870405503108</v>
      </c>
      <c r="AT1448" s="1063">
        <f t="shared" si="1751"/>
        <v>-2698.9396078186755</v>
      </c>
    </row>
    <row r="1449" spans="1:48">
      <c r="A1449" s="1"/>
      <c r="B1449" s="1"/>
      <c r="C1449" s="1"/>
      <c r="D1449" s="2542" t="s">
        <v>3175</v>
      </c>
      <c r="E1449" s="1054"/>
      <c r="F1449" s="1054"/>
      <c r="G1449" s="1054"/>
      <c r="H1449" s="1054"/>
      <c r="I1449" s="1054"/>
      <c r="J1449" s="1054"/>
      <c r="K1449" s="1054"/>
      <c r="L1449" s="1054"/>
      <c r="M1449" s="1054"/>
      <c r="N1449" s="1054"/>
      <c r="O1449" s="1054"/>
      <c r="P1449" s="1054"/>
      <c r="Q1449" s="1054"/>
      <c r="R1449" s="1054"/>
      <c r="S1449" s="1054"/>
      <c r="T1449" s="1054"/>
      <c r="U1449" s="1054"/>
      <c r="V1449" s="1063"/>
      <c r="W1449" s="1063"/>
      <c r="X1449" s="1063"/>
      <c r="Y1449" s="1473"/>
      <c r="Z1449" s="1473"/>
      <c r="AA1449" s="1473"/>
      <c r="AB1449" s="1063">
        <f t="shared" ref="AB1449:AT1449" si="1752">AB1250</f>
        <v>-334.57257472493694</v>
      </c>
      <c r="AC1449" s="1063">
        <f t="shared" si="1752"/>
        <v>-336.1402135646257</v>
      </c>
      <c r="AD1449" s="1063">
        <f t="shared" si="1752"/>
        <v>-516.51418707064704</v>
      </c>
      <c r="AE1449" s="1645">
        <f t="shared" si="1752"/>
        <v>-741.26781085513312</v>
      </c>
      <c r="AF1449" s="1645">
        <f t="shared" si="1752"/>
        <v>-674.74715732852644</v>
      </c>
      <c r="AG1449" s="1645">
        <f t="shared" si="1752"/>
        <v>-706.65369854012624</v>
      </c>
      <c r="AH1449" s="1645">
        <f t="shared" si="1752"/>
        <v>-919.26568007155277</v>
      </c>
      <c r="AI1449" s="1645">
        <f t="shared" si="1752"/>
        <v>-1070.5051201268327</v>
      </c>
      <c r="AJ1449" s="1645">
        <f t="shared" si="1752"/>
        <v>-972.68583949315575</v>
      </c>
      <c r="AK1449" s="1645">
        <f t="shared" si="1752"/>
        <v>-766.13940084382011</v>
      </c>
      <c r="AL1449" s="1063">
        <f t="shared" si="1752"/>
        <v>-899.12180584392706</v>
      </c>
      <c r="AM1449" s="1063">
        <f t="shared" si="1752"/>
        <v>-949.57676558306252</v>
      </c>
      <c r="AN1449" s="1063">
        <f t="shared" si="1752"/>
        <v>-920.8194777629792</v>
      </c>
      <c r="AO1449" s="1063">
        <f t="shared" si="1752"/>
        <v>-1060.8976018577191</v>
      </c>
      <c r="AP1449" s="1063">
        <f t="shared" si="1752"/>
        <v>-1351.1637425490999</v>
      </c>
      <c r="AQ1449" s="1063">
        <f t="shared" si="1752"/>
        <v>-1628.6513149570892</v>
      </c>
      <c r="AR1449" s="1063">
        <f t="shared" si="1752"/>
        <v>-1570.1789649830744</v>
      </c>
      <c r="AS1449" s="1063">
        <f t="shared" si="1752"/>
        <v>-2179.2870405503108</v>
      </c>
      <c r="AT1449" s="1063">
        <f t="shared" si="1752"/>
        <v>-2698.9396078186755</v>
      </c>
    </row>
    <row r="1450" spans="1:48">
      <c r="A1450" s="1"/>
      <c r="B1450" s="1"/>
      <c r="C1450" s="1"/>
      <c r="D1450" s="2542" t="s">
        <v>3154</v>
      </c>
      <c r="E1450" s="1054"/>
      <c r="F1450" s="1054"/>
      <c r="G1450" s="1054"/>
      <c r="H1450" s="1054"/>
      <c r="I1450" s="1054"/>
      <c r="J1450" s="1054"/>
      <c r="K1450" s="1054"/>
      <c r="L1450" s="1054"/>
      <c r="M1450" s="1054"/>
      <c r="N1450" s="1054"/>
      <c r="O1450" s="1054"/>
      <c r="P1450" s="1054"/>
      <c r="Q1450" s="1054"/>
      <c r="R1450" s="1054"/>
      <c r="S1450" s="1054"/>
      <c r="T1450" s="1054"/>
      <c r="U1450" s="1054"/>
      <c r="V1450" s="1063"/>
      <c r="W1450" s="1063"/>
      <c r="X1450" s="1063"/>
      <c r="Y1450" s="1473"/>
      <c r="Z1450" s="1473"/>
      <c r="AA1450" s="1473"/>
      <c r="AB1450" s="1063">
        <f t="shared" ref="AB1450:AT1450" si="1753">AB1251</f>
        <v>-466.59091706758693</v>
      </c>
      <c r="AC1450" s="1063">
        <f t="shared" si="1753"/>
        <v>-464.18281886890065</v>
      </c>
      <c r="AD1450" s="1063">
        <f t="shared" si="1753"/>
        <v>-213.64814625644868</v>
      </c>
      <c r="AE1450" s="1645">
        <f t="shared" si="1753"/>
        <v>-178.43359540396193</v>
      </c>
      <c r="AF1450" s="1645">
        <f t="shared" si="1753"/>
        <v>-489.40177165501404</v>
      </c>
      <c r="AG1450" s="1645">
        <f t="shared" si="1753"/>
        <v>-594.63928043298176</v>
      </c>
      <c r="AH1450" s="1645">
        <f t="shared" si="1753"/>
        <v>-646.84786519374029</v>
      </c>
      <c r="AI1450" s="1645">
        <f t="shared" si="1753"/>
        <v>-661.36405467179816</v>
      </c>
      <c r="AJ1450" s="1645">
        <f t="shared" si="1753"/>
        <v>-586.83532930157003</v>
      </c>
      <c r="AK1450" s="1645">
        <f t="shared" si="1753"/>
        <v>-372.64816758408108</v>
      </c>
      <c r="AL1450" s="1063">
        <f t="shared" si="1753"/>
        <v>-421.96965723139976</v>
      </c>
      <c r="AM1450" s="1063">
        <f t="shared" si="1753"/>
        <v>-453.6357190115956</v>
      </c>
      <c r="AN1450" s="1063">
        <f t="shared" si="1753"/>
        <v>-402.8056548847278</v>
      </c>
      <c r="AO1450" s="1063">
        <f t="shared" si="1753"/>
        <v>-524.62071737753422</v>
      </c>
      <c r="AP1450" s="1063">
        <f t="shared" si="1753"/>
        <v>-799.07382318365808</v>
      </c>
      <c r="AQ1450" s="1063">
        <f t="shared" si="1753"/>
        <v>-1060.2861668056341</v>
      </c>
      <c r="AR1450" s="1063">
        <f t="shared" si="1753"/>
        <v>-985.05033118202562</v>
      </c>
      <c r="AS1450" s="1063">
        <f t="shared" si="1753"/>
        <v>-1576.8920165301806</v>
      </c>
      <c r="AT1450" s="1063">
        <f t="shared" si="1753"/>
        <v>-2078.7602018728912</v>
      </c>
    </row>
    <row r="1451" spans="1:48">
      <c r="A1451" s="1"/>
      <c r="B1451" s="1"/>
      <c r="C1451" s="1"/>
      <c r="D1451" s="2543" t="s">
        <v>3141</v>
      </c>
      <c r="E1451" s="608"/>
      <c r="F1451" s="608"/>
      <c r="G1451" s="608"/>
      <c r="H1451" s="608"/>
      <c r="I1451" s="608"/>
      <c r="J1451" s="608"/>
      <c r="K1451" s="608"/>
      <c r="L1451" s="608"/>
      <c r="M1451" s="608"/>
      <c r="N1451" s="608"/>
      <c r="O1451" s="608"/>
      <c r="P1451" s="608"/>
      <c r="Q1451" s="608"/>
      <c r="R1451" s="608"/>
      <c r="S1451" s="608"/>
      <c r="T1451" s="608"/>
      <c r="U1451" s="608"/>
      <c r="V1451" s="548"/>
      <c r="W1451" s="548"/>
      <c r="X1451" s="548"/>
      <c r="Y1451" s="1437"/>
      <c r="Z1451" s="1437"/>
      <c r="AA1451" s="1437"/>
      <c r="AB1451" s="1437">
        <f t="shared" ref="AB1451:AC1453" si="1754">AB1252</f>
        <v>0</v>
      </c>
      <c r="AC1451" s="1437">
        <f t="shared" si="1754"/>
        <v>0</v>
      </c>
      <c r="AD1451" s="1437"/>
      <c r="AE1451" s="1646"/>
      <c r="AF1451" s="1646"/>
      <c r="AG1451" s="1646"/>
      <c r="AH1451" s="1646"/>
      <c r="AI1451" s="1646"/>
      <c r="AJ1451" s="1646"/>
      <c r="AK1451" s="1646"/>
      <c r="AL1451" s="549"/>
      <c r="AM1451" s="549"/>
      <c r="AN1451" s="549"/>
      <c r="AO1451" s="549"/>
      <c r="AP1451" s="549"/>
      <c r="AQ1451" s="549"/>
      <c r="AR1451" s="549"/>
      <c r="AS1451" s="549"/>
      <c r="AT1451" s="549"/>
    </row>
    <row r="1452" spans="1:48">
      <c r="A1452" s="1"/>
      <c r="B1452" s="1"/>
      <c r="C1452" s="1"/>
      <c r="D1452" s="2558" t="s">
        <v>559</v>
      </c>
      <c r="E1452" s="608"/>
      <c r="F1452" s="608"/>
      <c r="G1452" s="608"/>
      <c r="H1452" s="608"/>
      <c r="I1452" s="608"/>
      <c r="J1452" s="608"/>
      <c r="K1452" s="608"/>
      <c r="L1452" s="608"/>
      <c r="M1452" s="608"/>
      <c r="N1452" s="608"/>
      <c r="O1452" s="608"/>
      <c r="P1452" s="608"/>
      <c r="Q1452" s="608"/>
      <c r="R1452" s="608"/>
      <c r="S1452" s="608"/>
      <c r="T1452" s="608"/>
      <c r="U1452" s="608"/>
      <c r="V1452" s="548"/>
      <c r="W1452" s="548"/>
      <c r="X1452" s="548"/>
      <c r="Y1452" s="1437"/>
      <c r="Z1452" s="1437"/>
      <c r="AA1452" s="1437"/>
      <c r="AB1452" s="548">
        <f t="shared" si="1754"/>
        <v>-361.01070833493702</v>
      </c>
      <c r="AC1452" s="548">
        <f t="shared" si="1754"/>
        <v>-393.15043428762567</v>
      </c>
      <c r="AD1452" s="548">
        <f t="shared" ref="AD1452:AT1452" si="1755">AD1253</f>
        <v>-546.48294480264678</v>
      </c>
      <c r="AE1452" s="1646">
        <f t="shared" si="1755"/>
        <v>-834.78689066237223</v>
      </c>
      <c r="AF1452" s="1646">
        <f t="shared" si="1755"/>
        <v>-885.68601820152651</v>
      </c>
      <c r="AG1452" s="1646">
        <f t="shared" si="1755"/>
        <v>-1114.270560049514</v>
      </c>
      <c r="AH1452" s="1646">
        <f t="shared" si="1755"/>
        <v>-1116.9868303734927</v>
      </c>
      <c r="AI1452" s="1646">
        <f t="shared" si="1755"/>
        <v>-1228.2109644458326</v>
      </c>
      <c r="AJ1452" s="1646">
        <f t="shared" si="1755"/>
        <v>-1178.3246966729678</v>
      </c>
      <c r="AK1452" s="1646">
        <f t="shared" si="1755"/>
        <v>-1448.9645038884923</v>
      </c>
      <c r="AL1452" s="548">
        <f t="shared" si="1755"/>
        <v>-1472.2506029044816</v>
      </c>
      <c r="AM1452" s="548">
        <f t="shared" si="1755"/>
        <v>-1444.4067564640577</v>
      </c>
      <c r="AN1452" s="548">
        <f t="shared" si="1755"/>
        <v>-1099.1939800624468</v>
      </c>
      <c r="AO1452" s="548">
        <f t="shared" si="1755"/>
        <v>-1253.5927562366667</v>
      </c>
      <c r="AP1452" s="548">
        <f t="shared" si="1755"/>
        <v>-1396.72787974474</v>
      </c>
      <c r="AQ1452" s="548">
        <f t="shared" si="1755"/>
        <v>-1674.2154521527293</v>
      </c>
      <c r="AR1452" s="548">
        <f t="shared" si="1755"/>
        <v>-1615.7431021787145</v>
      </c>
      <c r="AS1452" s="548">
        <f t="shared" si="1755"/>
        <v>-2224.8511777459507</v>
      </c>
      <c r="AT1452" s="548">
        <f t="shared" si="1755"/>
        <v>-2744.5037450143154</v>
      </c>
    </row>
    <row r="1453" spans="1:48">
      <c r="A1453" s="1"/>
      <c r="B1453" s="1"/>
      <c r="C1453" s="1"/>
      <c r="D1453" s="2558" t="s">
        <v>560</v>
      </c>
      <c r="E1453" s="608"/>
      <c r="F1453" s="608"/>
      <c r="G1453" s="608"/>
      <c r="H1453" s="608"/>
      <c r="I1453" s="608"/>
      <c r="J1453" s="608"/>
      <c r="K1453" s="608"/>
      <c r="L1453" s="608"/>
      <c r="M1453" s="608"/>
      <c r="N1453" s="608"/>
      <c r="O1453" s="608"/>
      <c r="P1453" s="608"/>
      <c r="Q1453" s="608"/>
      <c r="R1453" s="608"/>
      <c r="S1453" s="608"/>
      <c r="T1453" s="608"/>
      <c r="U1453" s="608"/>
      <c r="V1453" s="548"/>
      <c r="W1453" s="548"/>
      <c r="X1453" s="548"/>
      <c r="Y1453" s="1437"/>
      <c r="Z1453" s="1437"/>
      <c r="AA1453" s="1437"/>
      <c r="AB1453" s="548">
        <f t="shared" si="1754"/>
        <v>-691.19279228145558</v>
      </c>
      <c r="AC1453" s="548">
        <f t="shared" si="1754"/>
        <v>-752.05911115633614</v>
      </c>
      <c r="AD1453" s="548">
        <f t="shared" ref="AD1453:AT1453" si="1756">AD1254</f>
        <v>-941.23300265886246</v>
      </c>
      <c r="AE1453" s="1646">
        <f t="shared" si="1756"/>
        <v>-1272.3452953062397</v>
      </c>
      <c r="AF1453" s="1646">
        <f t="shared" si="1756"/>
        <v>-1446.7741860026085</v>
      </c>
      <c r="AG1453" s="1646">
        <f t="shared" si="1756"/>
        <v>-1938.4549194757954</v>
      </c>
      <c r="AH1453" s="1646">
        <f t="shared" si="1756"/>
        <v>-1828.2940761284447</v>
      </c>
      <c r="AI1453" s="1646">
        <f t="shared" si="1756"/>
        <v>-1986.0023739774647</v>
      </c>
      <c r="AJ1453" s="1646">
        <f t="shared" si="1756"/>
        <v>-1792.9171683820464</v>
      </c>
      <c r="AK1453" s="1646">
        <f t="shared" si="1756"/>
        <v>-2117.2407341841545</v>
      </c>
      <c r="AL1453" s="548">
        <f t="shared" si="1756"/>
        <v>-2016.2317473548519</v>
      </c>
      <c r="AM1453" s="548">
        <f t="shared" si="1756"/>
        <v>-2049.589131337671</v>
      </c>
      <c r="AN1453" s="548">
        <f t="shared" si="1756"/>
        <v>-1716.348535662798</v>
      </c>
      <c r="AO1453" s="548">
        <f t="shared" si="1756"/>
        <v>-1879.6708228208988</v>
      </c>
      <c r="AP1453" s="548">
        <f t="shared" si="1756"/>
        <v>-2111.1672376735878</v>
      </c>
      <c r="AQ1453" s="548">
        <f t="shared" si="1756"/>
        <v>-2547.8503251408774</v>
      </c>
      <c r="AR1453" s="548">
        <f t="shared" si="1756"/>
        <v>-2514.479111878627</v>
      </c>
      <c r="AS1453" s="548">
        <f t="shared" si="1756"/>
        <v>-3150.6443633003792</v>
      </c>
      <c r="AT1453" s="548">
        <f t="shared" si="1756"/>
        <v>-3698.7155533023324</v>
      </c>
    </row>
    <row r="1454" spans="1:48">
      <c r="A1454" s="1"/>
      <c r="B1454" s="1"/>
      <c r="C1454" s="1"/>
      <c r="D1454" s="2559" t="str">
        <f>D1257</f>
        <v>Primary  Deficit (-) {deficit/Surplus} V1986</v>
      </c>
      <c r="E1454" s="326"/>
      <c r="F1454" s="326"/>
      <c r="G1454" s="326"/>
      <c r="H1454" s="326"/>
      <c r="I1454" s="326"/>
      <c r="J1454" s="326"/>
      <c r="K1454" s="326"/>
      <c r="L1454" s="326"/>
      <c r="M1454" s="326"/>
      <c r="N1454" s="326"/>
      <c r="O1454" s="326"/>
      <c r="P1454" s="326"/>
      <c r="Q1454" s="326"/>
      <c r="R1454" s="326"/>
      <c r="S1454" s="326"/>
      <c r="T1454" s="326"/>
      <c r="U1454" s="326"/>
      <c r="V1454" s="1577"/>
      <c r="W1454" s="1577"/>
      <c r="X1454" s="1577"/>
      <c r="Y1454" s="1577"/>
      <c r="Z1454" s="1577"/>
      <c r="AA1454" s="1577"/>
      <c r="AB1454" s="1577"/>
      <c r="AC1454" s="1577"/>
      <c r="AD1454" s="1577"/>
      <c r="AE1454" s="1647"/>
      <c r="AF1454" s="1647"/>
      <c r="AG1454" s="1647"/>
      <c r="AH1454" s="1647"/>
      <c r="AI1454" s="1647"/>
      <c r="AJ1454" s="1647"/>
      <c r="AK1454" s="1647"/>
      <c r="AL1454" s="1577"/>
      <c r="AM1454" s="1577"/>
      <c r="AN1454" s="1577"/>
      <c r="AO1454" s="1577"/>
      <c r="AP1454" s="1577"/>
      <c r="AQ1454" s="1577"/>
      <c r="AR1454" s="1577"/>
      <c r="AS1454" s="1577"/>
      <c r="AT1454" s="1577"/>
    </row>
    <row r="1455" spans="1:48">
      <c r="A1455" s="1"/>
      <c r="B1455" s="1"/>
      <c r="C1455" s="1"/>
      <c r="D1455" s="2560" t="str">
        <f>D1258</f>
        <v>including grants</v>
      </c>
      <c r="E1455" s="326"/>
      <c r="F1455" s="326"/>
      <c r="G1455" s="326"/>
      <c r="H1455" s="326"/>
      <c r="I1455" s="326"/>
      <c r="J1455" s="326"/>
      <c r="K1455" s="326"/>
      <c r="L1455" s="326"/>
      <c r="M1455" s="326"/>
      <c r="N1455" s="326"/>
      <c r="O1455" s="326"/>
      <c r="P1455" s="326"/>
      <c r="Q1455" s="326"/>
      <c r="R1455" s="326"/>
      <c r="S1455" s="326"/>
      <c r="T1455" s="326"/>
      <c r="U1455" s="326"/>
      <c r="V1455" s="1577"/>
      <c r="W1455" s="1577"/>
      <c r="X1455" s="1577"/>
      <c r="Y1455" s="1577"/>
      <c r="Z1455" s="1577"/>
      <c r="AA1455" s="1577"/>
      <c r="AB1455" s="1577"/>
      <c r="AC1455" s="1647">
        <f t="shared" ref="AC1455:AT1455" si="1757">AC1258</f>
        <v>-301.57185163557506</v>
      </c>
      <c r="AD1455" s="1647">
        <f t="shared" si="1757"/>
        <v>-443.99047466348816</v>
      </c>
      <c r="AE1455" s="1647">
        <f t="shared" si="1757"/>
        <v>-695.66808633631285</v>
      </c>
      <c r="AF1455" s="1647">
        <f t="shared" si="1757"/>
        <v>-705.00014229922135</v>
      </c>
      <c r="AG1455" s="1647">
        <f t="shared" si="1757"/>
        <v>-893.93559964945848</v>
      </c>
      <c r="AH1455" s="1647">
        <f t="shared" si="1757"/>
        <v>-813.4839734523913</v>
      </c>
      <c r="AI1455" s="1647">
        <f t="shared" si="1757"/>
        <v>-810.4902795958451</v>
      </c>
      <c r="AJ1455" s="1647">
        <f t="shared" si="1757"/>
        <v>-692.455934173635</v>
      </c>
      <c r="AK1455" s="1647">
        <f t="shared" si="1757"/>
        <v>-873.32610040397981</v>
      </c>
      <c r="AL1455" s="1577">
        <f t="shared" si="1757"/>
        <v>-807.05855274319595</v>
      </c>
      <c r="AM1455" s="1577">
        <f t="shared" si="1757"/>
        <v>-737.0636723524417</v>
      </c>
      <c r="AN1455" s="1577">
        <f t="shared" si="1757"/>
        <v>-401.81364505066597</v>
      </c>
      <c r="AO1455" s="1577">
        <f t="shared" si="1757"/>
        <v>-539.55531772851305</v>
      </c>
      <c r="AP1455" s="1577">
        <f t="shared" si="1757"/>
        <v>-1396.72787974474</v>
      </c>
      <c r="AQ1455" s="1577">
        <f t="shared" si="1757"/>
        <v>-1674.2154521527293</v>
      </c>
      <c r="AR1455" s="1577">
        <f t="shared" si="1757"/>
        <v>-1615.7431021787145</v>
      </c>
      <c r="AS1455" s="1577">
        <f t="shared" si="1757"/>
        <v>-2224.8511777459507</v>
      </c>
      <c r="AT1455" s="1577">
        <f t="shared" si="1757"/>
        <v>-2744.5037450143154</v>
      </c>
    </row>
    <row r="1456" spans="1:48">
      <c r="A1456" s="1"/>
      <c r="B1456" s="1"/>
      <c r="C1456" s="1"/>
      <c r="D1456" s="2546" t="str">
        <f>D1259</f>
        <v>o/w Excl. Rwandair&amp;Bugesera</v>
      </c>
      <c r="E1456" s="326"/>
      <c r="F1456" s="326"/>
      <c r="G1456" s="326"/>
      <c r="H1456" s="326"/>
      <c r="I1456" s="326"/>
      <c r="J1456" s="326"/>
      <c r="K1456" s="326"/>
      <c r="L1456" s="326"/>
      <c r="M1456" s="326"/>
      <c r="N1456" s="326"/>
      <c r="O1456" s="326"/>
      <c r="P1456" s="326"/>
      <c r="Q1456" s="326"/>
      <c r="R1456" s="326"/>
      <c r="S1456" s="326"/>
      <c r="T1456" s="326"/>
      <c r="U1456" s="326"/>
      <c r="V1456" s="1577"/>
      <c r="W1456" s="1577"/>
      <c r="X1456" s="1577"/>
      <c r="Y1456" s="1577"/>
      <c r="Z1456" s="1577"/>
      <c r="AA1456" s="1577"/>
      <c r="AB1456" s="1577"/>
      <c r="AC1456" s="1647"/>
      <c r="AD1456" s="1647"/>
      <c r="AE1456" s="1647"/>
      <c r="AF1456" s="1647"/>
      <c r="AG1456" s="1647"/>
      <c r="AH1456" s="1647"/>
      <c r="AI1456" s="1647">
        <f t="shared" ref="AI1456:AO1456" si="1758">AI1259</f>
        <v>-790.81533465784514</v>
      </c>
      <c r="AJ1456" s="1647">
        <f t="shared" si="1758"/>
        <v>-656.305841552635</v>
      </c>
      <c r="AK1456" s="1647">
        <f t="shared" si="1758"/>
        <v>-229.24658351546816</v>
      </c>
      <c r="AL1456" s="1647">
        <f t="shared" si="1758"/>
        <v>-211.51168947554697</v>
      </c>
      <c r="AM1456" s="1647">
        <f t="shared" si="1758"/>
        <v>-162.57094725539383</v>
      </c>
      <c r="AN1456" s="1647">
        <f t="shared" si="1758"/>
        <v>-54.066893216155876</v>
      </c>
      <c r="AO1456" s="1647">
        <f t="shared" si="1758"/>
        <v>-147.77511184087848</v>
      </c>
      <c r="AP1456" s="1647"/>
      <c r="AQ1456" s="1577"/>
      <c r="AR1456" s="1577"/>
      <c r="AS1456" s="1577"/>
      <c r="AT1456" s="1577"/>
    </row>
    <row r="1457" spans="1:48">
      <c r="A1457" s="1"/>
      <c r="B1457" s="1"/>
      <c r="C1457" s="1"/>
      <c r="D1457" s="2561" t="s">
        <v>3141</v>
      </c>
      <c r="E1457" s="1436"/>
      <c r="F1457" s="1436"/>
      <c r="G1457" s="1465"/>
      <c r="H1457" s="1465"/>
      <c r="I1457" s="1465"/>
      <c r="J1457" s="1465"/>
      <c r="K1457" s="1465"/>
      <c r="L1457" s="1465"/>
      <c r="M1457" s="1465"/>
      <c r="N1457" s="1465"/>
      <c r="O1457" s="1465"/>
      <c r="P1457" s="1465"/>
      <c r="Q1457" s="1465"/>
      <c r="R1457" s="1465"/>
      <c r="S1457" s="1465"/>
      <c r="T1457" s="1465"/>
      <c r="U1457" s="1465"/>
      <c r="V1457" s="1436"/>
      <c r="W1457" s="1436"/>
      <c r="X1457" s="1436"/>
      <c r="Y1457" s="1466"/>
      <c r="Z1457" s="1466"/>
      <c r="AA1457" s="1466"/>
      <c r="AB1457" s="1466"/>
      <c r="AC1457" s="1466"/>
      <c r="AD1457" s="1466"/>
      <c r="AE1457" s="1648"/>
      <c r="AF1457" s="1648"/>
      <c r="AG1457" s="1648"/>
      <c r="AH1457" s="1648"/>
      <c r="AI1457" s="1648"/>
      <c r="AJ1457" s="1648"/>
      <c r="AK1457" s="1648"/>
      <c r="AL1457" s="1467"/>
      <c r="AM1457" s="1467"/>
      <c r="AN1457" s="1467"/>
      <c r="AO1457" s="1467"/>
      <c r="AP1457" s="1467"/>
      <c r="AQ1457" s="1467"/>
      <c r="AR1457" s="1467"/>
      <c r="AS1457" s="1467"/>
      <c r="AT1457" s="1467"/>
    </row>
    <row r="1458" spans="1:48">
      <c r="A1458" s="1"/>
      <c r="B1458" s="1"/>
      <c r="C1458" s="1"/>
      <c r="D1458" s="2548" t="s">
        <v>3623</v>
      </c>
      <c r="E1458" s="1919"/>
      <c r="F1458" s="1919"/>
      <c r="G1458" s="1918"/>
      <c r="H1458" s="1918"/>
      <c r="I1458" s="1918"/>
      <c r="J1458" s="1918"/>
      <c r="K1458" s="1918"/>
      <c r="L1458" s="1918"/>
      <c r="M1458" s="1918"/>
      <c r="N1458" s="1918"/>
      <c r="O1458" s="1918"/>
      <c r="P1458" s="1918"/>
      <c r="Q1458" s="1918"/>
      <c r="R1458" s="1918"/>
      <c r="S1458" s="1918"/>
      <c r="T1458" s="1918"/>
      <c r="U1458" s="1918"/>
      <c r="V1458" s="1919"/>
      <c r="W1458" s="1919"/>
      <c r="X1458" s="1919"/>
      <c r="Y1458" s="1920"/>
      <c r="Z1458" s="1920"/>
      <c r="AA1458" s="1920"/>
      <c r="AB1458" s="1920">
        <f t="shared" ref="AB1458:AT1458" si="1759">AB1261</f>
        <v>-493.02905067758701</v>
      </c>
      <c r="AC1458" s="1920">
        <f t="shared" si="1759"/>
        <v>-521.19303959190063</v>
      </c>
      <c r="AD1458" s="1920">
        <f t="shared" si="1759"/>
        <v>-546.5607701949117</v>
      </c>
      <c r="AE1458" s="1921">
        <f t="shared" si="1759"/>
        <v>-811.23850956705098</v>
      </c>
      <c r="AF1458" s="1921">
        <f t="shared" si="1759"/>
        <v>-897.72446617597143</v>
      </c>
      <c r="AG1458" s="1921">
        <f t="shared" si="1759"/>
        <v>-1125.1588323175586</v>
      </c>
      <c r="AH1458" s="1921">
        <f t="shared" si="1759"/>
        <v>-1081.1899783204926</v>
      </c>
      <c r="AI1458" s="1921">
        <f t="shared" si="1759"/>
        <v>-1193.0951605108326</v>
      </c>
      <c r="AJ1458" s="1921">
        <f t="shared" si="1759"/>
        <v>-1143.7525387049677</v>
      </c>
      <c r="AK1458" s="1921">
        <f t="shared" si="1759"/>
        <v>-1335.2783437661087</v>
      </c>
      <c r="AL1458" s="1921">
        <f t="shared" si="1759"/>
        <v>-1347.453252591092</v>
      </c>
      <c r="AM1458" s="1921">
        <f t="shared" si="1759"/>
        <v>-1236.9478449474466</v>
      </c>
      <c r="AN1458" s="1921">
        <f t="shared" si="1759"/>
        <v>-774.91337354688312</v>
      </c>
      <c r="AO1458" s="1921">
        <f t="shared" si="1759"/>
        <v>-882.20369412286595</v>
      </c>
      <c r="AP1458" s="1921">
        <f t="shared" si="1759"/>
        <v>-1222.9346606814406</v>
      </c>
      <c r="AQ1458" s="1436">
        <f t="shared" si="1759"/>
        <v>-1508.3857669734168</v>
      </c>
      <c r="AR1458" s="1436">
        <f t="shared" si="1759"/>
        <v>-1606.1608090137145</v>
      </c>
      <c r="AS1458" s="1436">
        <f t="shared" si="1759"/>
        <v>-2215.2688845809507</v>
      </c>
      <c r="AT1458" s="1436">
        <f t="shared" si="1759"/>
        <v>-2734.9214518493154</v>
      </c>
    </row>
    <row r="1459" spans="1:48">
      <c r="A1459" s="1"/>
      <c r="B1459" s="1"/>
      <c r="C1459" s="1"/>
      <c r="D1459" s="2548" t="s">
        <v>3618</v>
      </c>
      <c r="E1459" s="1918"/>
      <c r="F1459" s="1918"/>
      <c r="G1459" s="1918"/>
      <c r="H1459" s="1918"/>
      <c r="I1459" s="1918"/>
      <c r="J1459" s="1918"/>
      <c r="K1459" s="1918"/>
      <c r="L1459" s="1918"/>
      <c r="M1459" s="1918"/>
      <c r="N1459" s="1918"/>
      <c r="O1459" s="1918"/>
      <c r="P1459" s="1918"/>
      <c r="Q1459" s="1918"/>
      <c r="R1459" s="1918"/>
      <c r="S1459" s="1918"/>
      <c r="T1459" s="1918"/>
      <c r="U1459" s="1918"/>
      <c r="V1459" s="1919"/>
      <c r="W1459" s="1919"/>
      <c r="X1459" s="1919"/>
      <c r="Y1459" s="1920"/>
      <c r="Z1459" s="1920"/>
      <c r="AA1459" s="1920"/>
      <c r="AB1459" s="1920">
        <f t="shared" ref="AB1459:AT1459" si="1760">AB1262</f>
        <v>-361.01070833493702</v>
      </c>
      <c r="AC1459" s="1920">
        <f t="shared" si="1760"/>
        <v>-393.15043428762567</v>
      </c>
      <c r="AD1459" s="1920">
        <f t="shared" si="1760"/>
        <v>-546.48294480264678</v>
      </c>
      <c r="AE1459" s="1921">
        <f t="shared" si="1760"/>
        <v>-633.93662978637224</v>
      </c>
      <c r="AF1459" s="1921">
        <f t="shared" si="1760"/>
        <v>-831.46653504645906</v>
      </c>
      <c r="AG1459" s="1921">
        <f t="shared" si="1760"/>
        <v>-1114.270560049514</v>
      </c>
      <c r="AH1459" s="1921">
        <f t="shared" si="1760"/>
        <v>-1116.9868303734927</v>
      </c>
      <c r="AI1459" s="1921">
        <f t="shared" si="1760"/>
        <v>-1227.0109644458325</v>
      </c>
      <c r="AJ1459" s="1921">
        <f t="shared" si="1760"/>
        <v>-1178.3246966729678</v>
      </c>
      <c r="AK1459" s="1921">
        <f t="shared" si="1760"/>
        <v>-852.04733660805266</v>
      </c>
      <c r="AL1459" s="1921">
        <f t="shared" si="1760"/>
        <v>-931.62564888918087</v>
      </c>
      <c r="AM1459" s="1921">
        <f t="shared" si="1760"/>
        <v>-979.61704656306256</v>
      </c>
      <c r="AN1459" s="1921">
        <f t="shared" si="1760"/>
        <v>-950.85975874297935</v>
      </c>
      <c r="AO1459" s="1921">
        <f t="shared" si="1760"/>
        <v>-1089.7890961937192</v>
      </c>
      <c r="AP1459" s="1921">
        <f t="shared" si="1760"/>
        <v>-1396.72787974474</v>
      </c>
      <c r="AQ1459" s="1466">
        <f t="shared" si="1760"/>
        <v>-1674.2154521527293</v>
      </c>
      <c r="AR1459" s="1466">
        <f t="shared" si="1760"/>
        <v>-1615.7431021787145</v>
      </c>
      <c r="AS1459" s="1466">
        <f t="shared" si="1760"/>
        <v>-2224.8511777459507</v>
      </c>
      <c r="AT1459" s="1466">
        <f t="shared" si="1760"/>
        <v>-2744.5037450143154</v>
      </c>
    </row>
    <row r="1460" spans="1:48">
      <c r="A1460" s="1"/>
      <c r="B1460" s="1"/>
      <c r="C1460" s="1"/>
      <c r="D1460" s="2548" t="s">
        <v>3620</v>
      </c>
      <c r="E1460" s="1918"/>
      <c r="F1460" s="1918"/>
      <c r="G1460" s="1918"/>
      <c r="H1460" s="1918"/>
      <c r="I1460" s="1918"/>
      <c r="J1460" s="1918"/>
      <c r="K1460" s="1918"/>
      <c r="L1460" s="1918"/>
      <c r="M1460" s="1918"/>
      <c r="N1460" s="1918"/>
      <c r="O1460" s="1918"/>
      <c r="P1460" s="1918"/>
      <c r="Q1460" s="1918"/>
      <c r="R1460" s="1918"/>
      <c r="S1460" s="1918"/>
      <c r="T1460" s="1918"/>
      <c r="U1460" s="1918"/>
      <c r="V1460" s="1919"/>
      <c r="W1460" s="1919"/>
      <c r="X1460" s="1919"/>
      <c r="Y1460" s="1920"/>
      <c r="Z1460" s="1920"/>
      <c r="AA1460" s="1920"/>
      <c r="AB1460" s="1920">
        <f t="shared" ref="AB1460:AT1460" si="1761">AB1263</f>
        <v>-361.01070833493702</v>
      </c>
      <c r="AC1460" s="1920">
        <f t="shared" si="1761"/>
        <v>-393.15043428762567</v>
      </c>
      <c r="AD1460" s="1920">
        <f t="shared" si="1761"/>
        <v>-546.48294480264678</v>
      </c>
      <c r="AE1460" s="1921">
        <f t="shared" si="1761"/>
        <v>-834.78689066237223</v>
      </c>
      <c r="AF1460" s="1921">
        <f t="shared" si="1761"/>
        <v>-796.71057893552654</v>
      </c>
      <c r="AG1460" s="1921">
        <f t="shared" si="1761"/>
        <v>-1051.1672584855139</v>
      </c>
      <c r="AH1460" s="1921">
        <f t="shared" si="1761"/>
        <v>-1060.7008466995228</v>
      </c>
      <c r="AI1460" s="1921">
        <f t="shared" si="1761"/>
        <v>-1181.9109644458326</v>
      </c>
      <c r="AJ1460" s="1921">
        <f t="shared" si="1761"/>
        <v>-1136.6425140210617</v>
      </c>
      <c r="AK1460" s="1921">
        <f t="shared" si="1761"/>
        <v>-780.09214624399044</v>
      </c>
      <c r="AL1460" s="1920">
        <f t="shared" si="1761"/>
        <v>-876.70373963683255</v>
      </c>
      <c r="AM1460" s="1920">
        <f t="shared" si="1761"/>
        <v>-861.63403136700981</v>
      </c>
      <c r="AN1460" s="1920">
        <f t="shared" si="1761"/>
        <v>-735.02222822793681</v>
      </c>
      <c r="AO1460" s="1920">
        <f t="shared" si="1761"/>
        <v>-845.34255034903208</v>
      </c>
      <c r="AP1460" s="1920">
        <f t="shared" si="1761"/>
        <v>-1396.72787974474</v>
      </c>
      <c r="AQ1460" s="1466">
        <f t="shared" si="1761"/>
        <v>-1674.2154521527293</v>
      </c>
      <c r="AR1460" s="1466">
        <f t="shared" si="1761"/>
        <v>-1615.7431021787145</v>
      </c>
      <c r="AS1460" s="1466">
        <f t="shared" si="1761"/>
        <v>-2224.8511777459507</v>
      </c>
      <c r="AT1460" s="1466">
        <f t="shared" si="1761"/>
        <v>-2744.5037450143154</v>
      </c>
    </row>
    <row r="1461" spans="1:48" ht="15.9" thickBot="1">
      <c r="A1461" s="1"/>
      <c r="B1461" s="1"/>
      <c r="C1461" s="1"/>
      <c r="D1461" s="2549" t="str">
        <f>D1264</f>
        <v>Debt Creating Overall Deficit</v>
      </c>
      <c r="E1461" s="1468"/>
      <c r="F1461" s="1468"/>
      <c r="G1461" s="1468"/>
      <c r="H1461" s="1468"/>
      <c r="I1461" s="1468"/>
      <c r="J1461" s="1468"/>
      <c r="K1461" s="1468"/>
      <c r="L1461" s="1468"/>
      <c r="M1461" s="1468"/>
      <c r="N1461" s="1468"/>
      <c r="O1461" s="1468"/>
      <c r="P1461" s="1468"/>
      <c r="Q1461" s="1468"/>
      <c r="R1461" s="1468"/>
      <c r="S1461" s="1468"/>
      <c r="T1461" s="1468"/>
      <c r="U1461" s="1468"/>
      <c r="V1461" s="1469"/>
      <c r="W1461" s="1469"/>
      <c r="X1461" s="1469"/>
      <c r="Y1461" s="1470"/>
      <c r="Z1461" s="1470"/>
      <c r="AA1461" s="1470"/>
      <c r="AB1461" s="1469">
        <f t="shared" ref="AB1461:AT1461" si="1762">AB1264</f>
        <v>-493.02905067758701</v>
      </c>
      <c r="AC1461" s="1469">
        <f t="shared" si="1762"/>
        <v>-521.19303959190063</v>
      </c>
      <c r="AD1461" s="1469">
        <f t="shared" si="1762"/>
        <v>-546.5607701949117</v>
      </c>
      <c r="AE1461" s="1649">
        <f t="shared" si="1762"/>
        <v>-610.38824869105099</v>
      </c>
      <c r="AF1461" s="1649">
        <f t="shared" si="1762"/>
        <v>-843.50498302090409</v>
      </c>
      <c r="AG1461" s="1649">
        <f t="shared" si="1762"/>
        <v>-1226.6298436226584</v>
      </c>
      <c r="AH1461" s="1649">
        <f t="shared" si="1762"/>
        <v>-1081.1899783204926</v>
      </c>
      <c r="AI1461" s="1649">
        <f t="shared" si="1762"/>
        <v>-392.7695947458576</v>
      </c>
      <c r="AJ1461" s="1649">
        <f t="shared" si="1762"/>
        <v>-206.58717167430223</v>
      </c>
      <c r="AK1461" s="1649">
        <f t="shared" si="1762"/>
        <v>-297.68769691946727</v>
      </c>
      <c r="AL1461" s="1469">
        <f t="shared" si="1762"/>
        <v>-141.86650258191025</v>
      </c>
      <c r="AM1461" s="1469">
        <f t="shared" si="1762"/>
        <v>-29.720588240825691</v>
      </c>
      <c r="AN1461" s="1469">
        <f t="shared" si="1762"/>
        <v>295.56668996111489</v>
      </c>
      <c r="AO1461" s="1469">
        <f t="shared" si="1762"/>
        <v>174.48212077964058</v>
      </c>
      <c r="AP1461" s="1469">
        <f t="shared" si="1762"/>
        <v>-1387.14558657974</v>
      </c>
      <c r="AQ1461" s="1469">
        <f t="shared" si="1762"/>
        <v>-1664.6331589877291</v>
      </c>
      <c r="AR1461" s="1469">
        <f t="shared" si="1762"/>
        <v>-1606.1608090137145</v>
      </c>
      <c r="AS1461" s="1469">
        <f t="shared" si="1762"/>
        <v>-2215.2688845809507</v>
      </c>
      <c r="AT1461" s="1469">
        <f t="shared" si="1762"/>
        <v>-2734.9214518493154</v>
      </c>
    </row>
    <row r="1462" spans="1:48" ht="15.9" thickBot="1">
      <c r="A1462" s="1"/>
      <c r="B1462" s="1"/>
      <c r="C1462" s="1"/>
      <c r="D1462" s="2550" t="s">
        <v>3182</v>
      </c>
      <c r="E1462" s="1513"/>
      <c r="F1462" s="1513"/>
      <c r="G1462" s="1513"/>
      <c r="H1462" s="1513"/>
      <c r="I1462" s="1513"/>
      <c r="J1462" s="1513"/>
      <c r="K1462" s="1513"/>
      <c r="L1462" s="1513"/>
      <c r="M1462" s="1513"/>
      <c r="N1462" s="1513"/>
      <c r="O1462" s="1513"/>
      <c r="P1462" s="1513"/>
      <c r="Q1462" s="1513"/>
      <c r="R1462" s="1513"/>
      <c r="S1462" s="1513"/>
      <c r="T1462" s="1513"/>
      <c r="U1462" s="1513"/>
      <c r="V1462" s="1514"/>
      <c r="W1462" s="1514"/>
      <c r="X1462" s="1514"/>
      <c r="Y1462" s="1514"/>
      <c r="Z1462" s="1514"/>
      <c r="AA1462" s="1514"/>
      <c r="AB1462" s="1514"/>
      <c r="AC1462" s="1514"/>
      <c r="AD1462" s="1514">
        <f t="shared" ref="AD1462:AT1462" si="1763">AD1265</f>
        <v>-516.51418707064704</v>
      </c>
      <c r="AE1462" s="1650">
        <f t="shared" si="1763"/>
        <v>-834.78689066237223</v>
      </c>
      <c r="AF1462" s="1650">
        <f t="shared" si="1763"/>
        <v>-885.68601820152651</v>
      </c>
      <c r="AG1462" s="1650">
        <f t="shared" si="1763"/>
        <v>-977.99404956241415</v>
      </c>
      <c r="AH1462" s="1650">
        <f t="shared" si="1763"/>
        <v>-1095.3198197504928</v>
      </c>
      <c r="AI1462" s="1650">
        <f t="shared" si="1763"/>
        <v>-1226.3721623788326</v>
      </c>
      <c r="AJ1462" s="1650">
        <f t="shared" si="1763"/>
        <v>-1169.3770560299677</v>
      </c>
      <c r="AK1462" s="1650">
        <f t="shared" si="1763"/>
        <v>-1448.9645038884923</v>
      </c>
      <c r="AL1462" s="1514">
        <f t="shared" si="1763"/>
        <v>-1472.2506029044816</v>
      </c>
      <c r="AM1462" s="1514">
        <f t="shared" si="1763"/>
        <v>-1436.1267564640577</v>
      </c>
      <c r="AN1462" s="1514">
        <f t="shared" si="1763"/>
        <v>-1082.7689800624469</v>
      </c>
      <c r="AO1462" s="1514">
        <f t="shared" si="1763"/>
        <v>-1237.1227562366666</v>
      </c>
      <c r="AP1462" s="1514">
        <f t="shared" si="1763"/>
        <v>-1375.38287974474</v>
      </c>
      <c r="AQ1462" s="1514">
        <f t="shared" si="1763"/>
        <v>-1648.0404521527294</v>
      </c>
      <c r="AR1462" s="1514">
        <f t="shared" si="1763"/>
        <v>-1615.7431021787145</v>
      </c>
      <c r="AS1462" s="1514">
        <f t="shared" si="1763"/>
        <v>-2224.8511777459507</v>
      </c>
      <c r="AT1462" s="1514">
        <f t="shared" si="1763"/>
        <v>-2744.5037450143154</v>
      </c>
    </row>
    <row r="1463" spans="1:48">
      <c r="A1463" s="1"/>
      <c r="B1463" s="1"/>
      <c r="C1463" s="1"/>
      <c r="D1463" s="2530" t="str">
        <f>+FISCinyear!D1092</f>
        <v>Net acquisition of financial assets</v>
      </c>
      <c r="E1463" s="498"/>
      <c r="F1463" s="498"/>
      <c r="G1463" s="498"/>
      <c r="H1463" s="498"/>
      <c r="I1463" s="498"/>
      <c r="J1463" s="498"/>
      <c r="K1463" s="498"/>
      <c r="L1463" s="498"/>
      <c r="M1463" s="498"/>
      <c r="N1463" s="498"/>
      <c r="O1463" s="498"/>
      <c r="P1463" s="498"/>
      <c r="Q1463" s="498"/>
      <c r="R1463" s="498"/>
      <c r="S1463" s="498"/>
      <c r="T1463" s="498"/>
      <c r="U1463" s="498"/>
      <c r="V1463" s="503">
        <f>+V1464+V1466</f>
        <v>0</v>
      </c>
      <c r="W1463" s="503">
        <f t="shared" ref="W1463:AK1463" si="1764">+W1464+W1466</f>
        <v>3.0000000000000155</v>
      </c>
      <c r="X1463" s="503">
        <f t="shared" si="1764"/>
        <v>1.5000000000000426</v>
      </c>
      <c r="Y1463" s="503">
        <f t="shared" si="1764"/>
        <v>-65.311885181128815</v>
      </c>
      <c r="Z1463" s="503">
        <f t="shared" si="1764"/>
        <v>18.294475781874169</v>
      </c>
      <c r="AA1463" s="503">
        <f t="shared" si="1764"/>
        <v>79.505125520296957</v>
      </c>
      <c r="AB1463" s="503">
        <f t="shared" si="1764"/>
        <v>29.2430868019039</v>
      </c>
      <c r="AC1463" s="503">
        <f t="shared" si="1764"/>
        <v>105.19655330578702</v>
      </c>
      <c r="AD1463" s="503">
        <f t="shared" si="1764"/>
        <v>68.604597171861514</v>
      </c>
      <c r="AE1463" s="1632">
        <f t="shared" si="1764"/>
        <v>411.1900219036346</v>
      </c>
      <c r="AF1463" s="1632">
        <f t="shared" si="1764"/>
        <v>152.82744260995864</v>
      </c>
      <c r="AG1463" s="1632">
        <f t="shared" si="1764"/>
        <v>365.64008623461882</v>
      </c>
      <c r="AH1463" s="1632">
        <f t="shared" si="1764"/>
        <v>-4.5231374883770883</v>
      </c>
      <c r="AI1463" s="1632">
        <f t="shared" si="1764"/>
        <v>98.808502031925599</v>
      </c>
      <c r="AJ1463" s="1632">
        <f t="shared" si="1764"/>
        <v>364.85020418292038</v>
      </c>
      <c r="AK1463" s="1632">
        <f t="shared" si="1764"/>
        <v>723.66845986924022</v>
      </c>
      <c r="AL1463" s="503">
        <f>+AL1464+AL1466</f>
        <v>647.50020969226932</v>
      </c>
      <c r="AM1463" s="503">
        <f>+AM1464+AM1466</f>
        <v>535.34182764827369</v>
      </c>
      <c r="AN1463" s="503">
        <f t="shared" ref="AN1463:AO1463" si="1765">+AN1464+AN1466</f>
        <v>198.25828257972222</v>
      </c>
      <c r="AO1463" s="503">
        <f t="shared" si="1765"/>
        <v>189.47605565346089</v>
      </c>
      <c r="AP1463" s="503">
        <f t="shared" ref="AP1463:AT1463" si="1766">+AP1464+AP1466</f>
        <v>183.48452424549382</v>
      </c>
      <c r="AQ1463" s="503">
        <f t="shared" si="1766"/>
        <v>200.22389893847799</v>
      </c>
      <c r="AR1463" s="503">
        <f t="shared" si="1766"/>
        <v>217.83683294158627</v>
      </c>
      <c r="AS1463" s="503">
        <f t="shared" si="1766"/>
        <v>237.84708839570771</v>
      </c>
      <c r="AT1463" s="2681">
        <f t="shared" si="1766"/>
        <v>292.37416747071239</v>
      </c>
    </row>
    <row r="1464" spans="1:48">
      <c r="A1464" s="1"/>
      <c r="B1464" s="1"/>
      <c r="C1464" s="1"/>
      <c r="D1464" s="2535" t="str">
        <f>+FISCinyear!D1093</f>
        <v xml:space="preserve">Domestic </v>
      </c>
      <c r="E1464" s="498"/>
      <c r="F1464" s="498"/>
      <c r="G1464" s="498"/>
      <c r="H1464" s="498"/>
      <c r="I1464" s="498"/>
      <c r="J1464" s="498"/>
      <c r="K1464" s="498"/>
      <c r="L1464" s="498"/>
      <c r="M1464" s="498"/>
      <c r="N1464" s="498"/>
      <c r="O1464" s="498"/>
      <c r="P1464" s="498"/>
      <c r="Q1464" s="498"/>
      <c r="R1464" s="498"/>
      <c r="S1464" s="498"/>
      <c r="T1464" s="498"/>
      <c r="U1464" s="498"/>
      <c r="V1464" s="501">
        <f t="shared" ref="V1464:AT1464" si="1767">+V1269</f>
        <v>0</v>
      </c>
      <c r="W1464" s="501">
        <f t="shared" si="1767"/>
        <v>3.0000000000000155</v>
      </c>
      <c r="X1464" s="501">
        <f t="shared" si="1767"/>
        <v>1.5000000000000426</v>
      </c>
      <c r="Y1464" s="501">
        <f t="shared" si="1767"/>
        <v>-65.311885181128815</v>
      </c>
      <c r="Z1464" s="501">
        <f t="shared" si="1767"/>
        <v>18.294475781874169</v>
      </c>
      <c r="AA1464" s="501">
        <f t="shared" si="1767"/>
        <v>79.505125520296957</v>
      </c>
      <c r="AB1464" s="501">
        <f t="shared" si="1767"/>
        <v>29.2430868019039</v>
      </c>
      <c r="AC1464" s="501">
        <f t="shared" si="1767"/>
        <v>105.19655330578702</v>
      </c>
      <c r="AD1464" s="501">
        <f t="shared" si="1767"/>
        <v>68.604597171861514</v>
      </c>
      <c r="AE1464" s="1633">
        <f t="shared" si="1767"/>
        <v>411.1900219036346</v>
      </c>
      <c r="AF1464" s="1633">
        <f t="shared" si="1767"/>
        <v>152.82744260995864</v>
      </c>
      <c r="AG1464" s="1633">
        <f t="shared" si="1767"/>
        <v>365.64008623461882</v>
      </c>
      <c r="AH1464" s="1633">
        <f t="shared" si="1767"/>
        <v>63.591187285642917</v>
      </c>
      <c r="AI1464" s="1633">
        <f t="shared" si="1767"/>
        <v>98.808502031925599</v>
      </c>
      <c r="AJ1464" s="1633">
        <f t="shared" si="1767"/>
        <v>364.85020418292038</v>
      </c>
      <c r="AK1464" s="1633">
        <f t="shared" si="1767"/>
        <v>723.66845986924022</v>
      </c>
      <c r="AL1464" s="501">
        <f t="shared" si="1767"/>
        <v>647.50020969226932</v>
      </c>
      <c r="AM1464" s="501">
        <f t="shared" si="1767"/>
        <v>535.34182764827369</v>
      </c>
      <c r="AN1464" s="501">
        <f t="shared" si="1767"/>
        <v>198.25828257972222</v>
      </c>
      <c r="AO1464" s="501">
        <f t="shared" si="1767"/>
        <v>189.47605565346089</v>
      </c>
      <c r="AP1464" s="501">
        <f t="shared" si="1767"/>
        <v>183.48452424549382</v>
      </c>
      <c r="AQ1464" s="501">
        <f t="shared" si="1767"/>
        <v>200.22389893847799</v>
      </c>
      <c r="AR1464" s="501">
        <f t="shared" si="1767"/>
        <v>217.83683294158627</v>
      </c>
      <c r="AS1464" s="501">
        <f t="shared" si="1767"/>
        <v>237.84708839570771</v>
      </c>
      <c r="AT1464" s="2682">
        <f t="shared" si="1767"/>
        <v>292.37416747071239</v>
      </c>
    </row>
    <row r="1465" spans="1:48">
      <c r="A1465" s="1"/>
      <c r="B1465" s="1"/>
      <c r="C1465" s="1"/>
      <c r="D1465" s="2535" t="s">
        <v>3128</v>
      </c>
      <c r="E1465" s="498"/>
      <c r="F1465" s="498"/>
      <c r="G1465" s="498"/>
      <c r="H1465" s="498"/>
      <c r="I1465" s="498"/>
      <c r="J1465" s="498"/>
      <c r="K1465" s="498"/>
      <c r="L1465" s="498"/>
      <c r="M1465" s="498"/>
      <c r="N1465" s="498"/>
      <c r="O1465" s="498"/>
      <c r="P1465" s="498"/>
      <c r="Q1465" s="498"/>
      <c r="R1465" s="498"/>
      <c r="S1465" s="498"/>
      <c r="T1465" s="498"/>
      <c r="U1465" s="498"/>
      <c r="V1465" s="501"/>
      <c r="W1465" s="501"/>
      <c r="X1465" s="501"/>
      <c r="Y1465" s="501"/>
      <c r="Z1465" s="501"/>
      <c r="AA1465" s="501"/>
      <c r="AB1465" s="501"/>
      <c r="AC1465" s="501"/>
      <c r="AD1465" s="1487">
        <f t="shared" ref="AD1465:AT1465" si="1768">AD1295</f>
        <v>0</v>
      </c>
      <c r="AE1465" s="1651">
        <f t="shared" si="1768"/>
        <v>0</v>
      </c>
      <c r="AF1465" s="1651">
        <f t="shared" si="1768"/>
        <v>88.975439265999995</v>
      </c>
      <c r="AG1465" s="1651">
        <f t="shared" si="1768"/>
        <v>63.103301563999999</v>
      </c>
      <c r="AH1465" s="1651">
        <f t="shared" si="1768"/>
        <v>56.285983673969994</v>
      </c>
      <c r="AI1465" s="1651">
        <f t="shared" si="1768"/>
        <v>46.3</v>
      </c>
      <c r="AJ1465" s="1651">
        <f t="shared" si="1768"/>
        <v>41.682182651905997</v>
      </c>
      <c r="AK1465" s="1651">
        <f t="shared" si="1768"/>
        <v>24.792840755990309</v>
      </c>
      <c r="AL1465" s="1487">
        <f t="shared" si="1768"/>
        <v>0</v>
      </c>
      <c r="AM1465" s="1487">
        <f t="shared" si="1768"/>
        <v>0</v>
      </c>
      <c r="AN1465" s="1487">
        <f t="shared" si="1768"/>
        <v>0</v>
      </c>
      <c r="AO1465" s="1487">
        <f t="shared" si="1768"/>
        <v>0</v>
      </c>
      <c r="AP1465" s="1487">
        <f t="shared" si="1768"/>
        <v>0</v>
      </c>
      <c r="AQ1465" s="1487">
        <f t="shared" si="1768"/>
        <v>0</v>
      </c>
      <c r="AR1465" s="1487">
        <f t="shared" si="1768"/>
        <v>0</v>
      </c>
      <c r="AS1465" s="1487">
        <f t="shared" si="1768"/>
        <v>0</v>
      </c>
      <c r="AT1465" s="2690">
        <f t="shared" si="1768"/>
        <v>0</v>
      </c>
    </row>
    <row r="1466" spans="1:48">
      <c r="A1466" s="1"/>
      <c r="B1466" s="1"/>
      <c r="C1466" s="1"/>
      <c r="D1466" s="2535" t="str">
        <f>+FISCinyear!D1094</f>
        <v xml:space="preserve">Foreign </v>
      </c>
      <c r="E1466" s="498"/>
      <c r="F1466" s="498"/>
      <c r="G1466" s="498"/>
      <c r="H1466" s="498"/>
      <c r="I1466" s="498"/>
      <c r="J1466" s="498"/>
      <c r="K1466" s="498"/>
      <c r="L1466" s="498"/>
      <c r="M1466" s="498"/>
      <c r="N1466" s="498"/>
      <c r="O1466" s="498"/>
      <c r="P1466" s="498"/>
      <c r="Q1466" s="498"/>
      <c r="R1466" s="498"/>
      <c r="S1466" s="498"/>
      <c r="T1466" s="498"/>
      <c r="U1466" s="498"/>
      <c r="V1466" s="501">
        <f t="shared" ref="V1466:AF1466" si="1769">+V1311</f>
        <v>0</v>
      </c>
      <c r="W1466" s="501">
        <f t="shared" si="1769"/>
        <v>0</v>
      </c>
      <c r="X1466" s="501">
        <f t="shared" si="1769"/>
        <v>0</v>
      </c>
      <c r="Y1466" s="501">
        <f t="shared" si="1769"/>
        <v>0</v>
      </c>
      <c r="Z1466" s="501">
        <f t="shared" si="1769"/>
        <v>0</v>
      </c>
      <c r="AA1466" s="501">
        <f t="shared" si="1769"/>
        <v>0</v>
      </c>
      <c r="AB1466" s="501">
        <f t="shared" si="1769"/>
        <v>0</v>
      </c>
      <c r="AC1466" s="501">
        <f t="shared" si="1769"/>
        <v>0</v>
      </c>
      <c r="AD1466" s="501">
        <f t="shared" si="1769"/>
        <v>0</v>
      </c>
      <c r="AE1466" s="1633">
        <f t="shared" si="1769"/>
        <v>0</v>
      </c>
      <c r="AF1466" s="1633">
        <f t="shared" si="1769"/>
        <v>0</v>
      </c>
      <c r="AG1466" s="1633">
        <f>+AG1312</f>
        <v>0</v>
      </c>
      <c r="AH1466" s="1633">
        <f t="shared" ref="AH1466:AT1466" si="1770">+AH1311</f>
        <v>-68.114324774020005</v>
      </c>
      <c r="AI1466" s="1633">
        <f t="shared" si="1770"/>
        <v>0</v>
      </c>
      <c r="AJ1466" s="1633">
        <f t="shared" si="1770"/>
        <v>0</v>
      </c>
      <c r="AK1466" s="1633">
        <f t="shared" si="1770"/>
        <v>0</v>
      </c>
      <c r="AL1466" s="501">
        <f t="shared" si="1770"/>
        <v>0</v>
      </c>
      <c r="AM1466" s="501">
        <f t="shared" si="1770"/>
        <v>0</v>
      </c>
      <c r="AN1466" s="501">
        <f t="shared" si="1770"/>
        <v>0</v>
      </c>
      <c r="AO1466" s="501">
        <f t="shared" si="1770"/>
        <v>0</v>
      </c>
      <c r="AP1466" s="501">
        <f t="shared" si="1770"/>
        <v>0</v>
      </c>
      <c r="AQ1466" s="501">
        <f t="shared" si="1770"/>
        <v>0</v>
      </c>
      <c r="AR1466" s="501">
        <f t="shared" si="1770"/>
        <v>0</v>
      </c>
      <c r="AS1466" s="501">
        <f t="shared" si="1770"/>
        <v>0</v>
      </c>
      <c r="AT1466" s="2682">
        <f t="shared" si="1770"/>
        <v>0</v>
      </c>
    </row>
    <row r="1467" spans="1:48">
      <c r="A1467" s="1"/>
      <c r="B1467" s="1"/>
      <c r="C1467" s="1"/>
      <c r="D1467" s="2530" t="str">
        <f>+FISCinyear!D1095</f>
        <v>Net incurrence of liabilities</v>
      </c>
      <c r="E1467" s="498"/>
      <c r="F1467" s="498"/>
      <c r="G1467" s="498"/>
      <c r="H1467" s="498"/>
      <c r="I1467" s="498"/>
      <c r="J1467" s="498"/>
      <c r="K1467" s="498"/>
      <c r="L1467" s="498"/>
      <c r="M1467" s="498"/>
      <c r="N1467" s="498"/>
      <c r="O1467" s="498"/>
      <c r="P1467" s="498"/>
      <c r="Q1467" s="498"/>
      <c r="R1467" s="498"/>
      <c r="S1467" s="498"/>
      <c r="T1467" s="498"/>
      <c r="U1467" s="498"/>
      <c r="V1467" s="503">
        <f t="shared" ref="V1467:AE1467" si="1771">+V1468+V1469</f>
        <v>68.531212730999997</v>
      </c>
      <c r="W1467" s="503">
        <f t="shared" si="1771"/>
        <v>44.899999999999991</v>
      </c>
      <c r="X1467" s="503">
        <f t="shared" si="1771"/>
        <v>-215.32156360241689</v>
      </c>
      <c r="Y1467" s="503">
        <f t="shared" si="1771"/>
        <v>129.81269811865712</v>
      </c>
      <c r="Z1467" s="503">
        <f t="shared" si="1771"/>
        <v>280.45901483237145</v>
      </c>
      <c r="AA1467" s="503">
        <f t="shared" si="1771"/>
        <v>319.24217878668941</v>
      </c>
      <c r="AB1467" s="503">
        <f t="shared" si="1771"/>
        <v>362.29048347337124</v>
      </c>
      <c r="AC1467" s="503">
        <f t="shared" si="1771"/>
        <v>448.2953694226486</v>
      </c>
      <c r="AD1467" s="503">
        <f t="shared" si="1771"/>
        <v>556.25291535625422</v>
      </c>
      <c r="AE1467" s="1632">
        <f t="shared" si="1771"/>
        <v>1159.9910756300992</v>
      </c>
      <c r="AF1467" s="1632">
        <f t="shared" ref="AF1467:AK1467" si="1772">+AF1468+AF1469</f>
        <v>910.73834533448655</v>
      </c>
      <c r="AG1467" s="1632">
        <f t="shared" si="1772"/>
        <v>1252.239191303966</v>
      </c>
      <c r="AH1467" s="1632">
        <f t="shared" si="1772"/>
        <v>950.83591187057436</v>
      </c>
      <c r="AI1467" s="1632">
        <f t="shared" si="1772"/>
        <v>1281.5282433489474</v>
      </c>
      <c r="AJ1467" s="1632">
        <f t="shared" si="1772"/>
        <v>1389.5191035940643</v>
      </c>
      <c r="AK1467" s="1632">
        <f t="shared" si="1772"/>
        <v>1581.1245119833623</v>
      </c>
      <c r="AL1467" s="503">
        <f>+AL1468+AL1469</f>
        <v>1616.4974565972379</v>
      </c>
      <c r="AM1467" s="503">
        <f>+AM1468+AM1469</f>
        <v>1574.3944895518946</v>
      </c>
      <c r="AN1467" s="503">
        <f t="shared" ref="AN1467:AO1467" si="1773">+AN1468+AN1469</f>
        <v>1227.5208363432225</v>
      </c>
      <c r="AO1467" s="503">
        <f t="shared" si="1773"/>
        <v>1377.3161737802936</v>
      </c>
      <c r="AP1467" s="503">
        <f t="shared" ref="AP1467:AT1467" si="1774">+AP1468+AP1469</f>
        <v>1534.6482667945936</v>
      </c>
      <c r="AQ1467" s="503">
        <f t="shared" si="1774"/>
        <v>1828.875213895567</v>
      </c>
      <c r="AR1467" s="503">
        <f t="shared" si="1774"/>
        <v>1788.0157979246605</v>
      </c>
      <c r="AS1467" s="503">
        <f t="shared" si="1774"/>
        <v>2417.1341289460188</v>
      </c>
      <c r="AT1467" s="2681">
        <f t="shared" si="1774"/>
        <v>2991.3137752893881</v>
      </c>
      <c r="AV1467" s="958">
        <f>AL1444-AL1463+AL1467</f>
        <v>0</v>
      </c>
    </row>
    <row r="1468" spans="1:48">
      <c r="A1468" s="1"/>
      <c r="B1468" s="1"/>
      <c r="C1468" s="1"/>
      <c r="D1468" s="2535" t="str">
        <f>+FISCinyear!D1096</f>
        <v xml:space="preserve">Domestic </v>
      </c>
      <c r="E1468" s="498"/>
      <c r="F1468" s="498"/>
      <c r="G1468" s="498"/>
      <c r="H1468" s="498"/>
      <c r="I1468" s="498"/>
      <c r="J1468" s="498"/>
      <c r="K1468" s="498"/>
      <c r="L1468" s="498"/>
      <c r="M1468" s="498"/>
      <c r="N1468" s="498"/>
      <c r="O1468" s="498"/>
      <c r="P1468" s="498"/>
      <c r="Q1468" s="498"/>
      <c r="R1468" s="498"/>
      <c r="S1468" s="498"/>
      <c r="T1468" s="498"/>
      <c r="U1468" s="498"/>
      <c r="V1468" s="501">
        <f t="shared" ref="V1468:AT1468" si="1775">+V1314</f>
        <v>0</v>
      </c>
      <c r="W1468" s="501">
        <f t="shared" si="1775"/>
        <v>-50.100000000000009</v>
      </c>
      <c r="X1468" s="501">
        <f t="shared" si="1775"/>
        <v>-216.02156360241688</v>
      </c>
      <c r="Y1468" s="501">
        <f t="shared" si="1775"/>
        <v>24.655782745918764</v>
      </c>
      <c r="Z1468" s="501">
        <f t="shared" si="1775"/>
        <v>92.272436026139232</v>
      </c>
      <c r="AA1468" s="501">
        <f t="shared" si="1775"/>
        <v>94.834051126999995</v>
      </c>
      <c r="AB1468" s="501">
        <f t="shared" si="1775"/>
        <v>39.301549082000022</v>
      </c>
      <c r="AC1468" s="501">
        <f t="shared" si="1775"/>
        <v>92.266238545422084</v>
      </c>
      <c r="AD1468" s="501">
        <f t="shared" si="1775"/>
        <v>107.94094871251076</v>
      </c>
      <c r="AE1468" s="1633">
        <f t="shared" si="1775"/>
        <v>205.97138405200027</v>
      </c>
      <c r="AF1468" s="1633">
        <f t="shared" si="1775"/>
        <v>253.46590520499987</v>
      </c>
      <c r="AG1468" s="1633">
        <f t="shared" si="1775"/>
        <v>220.58644761457253</v>
      </c>
      <c r="AH1468" s="1633">
        <f t="shared" si="1775"/>
        <v>142.32728891000002</v>
      </c>
      <c r="AI1468" s="1633">
        <f t="shared" si="1775"/>
        <v>-25.685910036448661</v>
      </c>
      <c r="AJ1468" s="1633">
        <f t="shared" si="1775"/>
        <v>34.339239200999941</v>
      </c>
      <c r="AK1468" s="1633">
        <f t="shared" si="1775"/>
        <v>162.43460389297024</v>
      </c>
      <c r="AL1468" s="501">
        <f t="shared" si="1775"/>
        <v>270.47683960701488</v>
      </c>
      <c r="AM1468" s="501">
        <f t="shared" si="1775"/>
        <v>440.82717698652209</v>
      </c>
      <c r="AN1468" s="501">
        <f t="shared" si="1775"/>
        <v>259.07024026352747</v>
      </c>
      <c r="AO1468" s="501">
        <f t="shared" si="1775"/>
        <v>582.21128360574767</v>
      </c>
      <c r="AP1468" s="501">
        <f t="shared" si="1775"/>
        <v>546.33957167213407</v>
      </c>
      <c r="AQ1468" s="501">
        <f t="shared" si="1775"/>
        <v>2215.9008250071884</v>
      </c>
      <c r="AR1468" s="501">
        <f t="shared" si="1775"/>
        <v>1569.1853077789997</v>
      </c>
      <c r="AS1468" s="501">
        <f t="shared" si="1775"/>
        <v>2286.1238149392721</v>
      </c>
      <c r="AT1468" s="2682">
        <f t="shared" si="1775"/>
        <v>2990.3534054186339</v>
      </c>
      <c r="AV1468" s="958">
        <f>AL1421-AL1156</f>
        <v>0</v>
      </c>
    </row>
    <row r="1469" spans="1:48">
      <c r="A1469" s="1"/>
      <c r="B1469" s="1"/>
      <c r="C1469" s="1"/>
      <c r="D1469" s="2535" t="str">
        <f>+FISCinyear!D1097</f>
        <v xml:space="preserve">Foreign </v>
      </c>
      <c r="E1469" s="498"/>
      <c r="F1469" s="498"/>
      <c r="G1469" s="498"/>
      <c r="H1469" s="498"/>
      <c r="I1469" s="498"/>
      <c r="J1469" s="498"/>
      <c r="K1469" s="498"/>
      <c r="L1469" s="498"/>
      <c r="M1469" s="498"/>
      <c r="N1469" s="498"/>
      <c r="O1469" s="498"/>
      <c r="P1469" s="498"/>
      <c r="Q1469" s="498"/>
      <c r="R1469" s="498"/>
      <c r="S1469" s="498"/>
      <c r="T1469" s="498"/>
      <c r="U1469" s="498"/>
      <c r="V1469" s="501">
        <f t="shared" ref="V1469:AO1469" si="1776">+V1344</f>
        <v>68.531212730999997</v>
      </c>
      <c r="W1469" s="501">
        <f t="shared" si="1776"/>
        <v>95</v>
      </c>
      <c r="X1469" s="501">
        <f t="shared" si="1776"/>
        <v>0.69999999999999929</v>
      </c>
      <c r="Y1469" s="501">
        <f t="shared" si="1776"/>
        <v>105.15691537273837</v>
      </c>
      <c r="Z1469" s="501">
        <f t="shared" si="1776"/>
        <v>188.18657880623221</v>
      </c>
      <c r="AA1469" s="501">
        <f t="shared" si="1776"/>
        <v>224.4081276596894</v>
      </c>
      <c r="AB1469" s="501">
        <f t="shared" si="1776"/>
        <v>322.98893439137123</v>
      </c>
      <c r="AC1469" s="501">
        <f t="shared" si="1776"/>
        <v>356.02913087722652</v>
      </c>
      <c r="AD1469" s="501">
        <f t="shared" si="1776"/>
        <v>448.31196664374346</v>
      </c>
      <c r="AE1469" s="1633">
        <f t="shared" si="1776"/>
        <v>954.0196915780989</v>
      </c>
      <c r="AF1469" s="1633">
        <f t="shared" si="1776"/>
        <v>657.27244012948665</v>
      </c>
      <c r="AG1469" s="1633">
        <f t="shared" si="1776"/>
        <v>1031.6527436893934</v>
      </c>
      <c r="AH1469" s="1633">
        <f t="shared" si="1776"/>
        <v>808.50862296057437</v>
      </c>
      <c r="AI1469" s="1633">
        <f t="shared" si="1776"/>
        <v>1307.214153385396</v>
      </c>
      <c r="AJ1469" s="1633">
        <f t="shared" si="1776"/>
        <v>1355.1798643930642</v>
      </c>
      <c r="AK1469" s="1633">
        <f t="shared" si="1776"/>
        <v>1418.689908090392</v>
      </c>
      <c r="AL1469" s="501">
        <f t="shared" si="1776"/>
        <v>1346.0206169902231</v>
      </c>
      <c r="AM1469" s="501">
        <f t="shared" si="1776"/>
        <v>1133.5673125653725</v>
      </c>
      <c r="AN1469" s="501">
        <f t="shared" si="1776"/>
        <v>968.45059607969506</v>
      </c>
      <c r="AO1469" s="501">
        <f t="shared" si="1776"/>
        <v>795.10489017454597</v>
      </c>
      <c r="AP1469" s="501">
        <f t="shared" ref="AP1469:AT1469" si="1777">+AP1344</f>
        <v>988.30869512245954</v>
      </c>
      <c r="AQ1469" s="501">
        <f t="shared" si="1777"/>
        <v>-387.0256111116214</v>
      </c>
      <c r="AR1469" s="501">
        <f t="shared" si="1777"/>
        <v>218.83049014566086</v>
      </c>
      <c r="AS1469" s="501">
        <f t="shared" si="1777"/>
        <v>131.01031400674674</v>
      </c>
      <c r="AT1469" s="2682">
        <f t="shared" si="1777"/>
        <v>0.96036987075399338</v>
      </c>
    </row>
    <row r="1470" spans="1:48">
      <c r="A1470" s="1"/>
      <c r="B1470" s="1"/>
      <c r="C1470" s="1"/>
      <c r="D1470" s="2535" t="s">
        <v>3285</v>
      </c>
      <c r="E1470" s="498"/>
      <c r="F1470" s="498"/>
      <c r="G1470" s="498"/>
      <c r="H1470" s="498"/>
      <c r="I1470" s="498"/>
      <c r="J1470" s="498"/>
      <c r="K1470" s="498"/>
      <c r="L1470" s="498"/>
      <c r="M1470" s="498"/>
      <c r="N1470" s="498"/>
      <c r="O1470" s="498"/>
      <c r="P1470" s="498"/>
      <c r="Q1470" s="498"/>
      <c r="R1470" s="498"/>
      <c r="S1470" s="498"/>
      <c r="T1470" s="498"/>
      <c r="U1470" s="498"/>
      <c r="V1470" s="501">
        <f t="shared" ref="V1470:AO1470" si="1778">V1354+V1347</f>
        <v>0</v>
      </c>
      <c r="W1470" s="501">
        <f t="shared" si="1778"/>
        <v>0</v>
      </c>
      <c r="X1470" s="501">
        <f t="shared" si="1778"/>
        <v>16.2</v>
      </c>
      <c r="Y1470" s="501">
        <f t="shared" si="1778"/>
        <v>49.486261138802</v>
      </c>
      <c r="Z1470" s="501">
        <f t="shared" si="1778"/>
        <v>103.59044097524267</v>
      </c>
      <c r="AA1470" s="501">
        <f t="shared" si="1778"/>
        <v>138.66156726277015</v>
      </c>
      <c r="AB1470" s="501">
        <f t="shared" si="1778"/>
        <v>183.82033813965148</v>
      </c>
      <c r="AC1470" s="501">
        <f t="shared" si="1778"/>
        <v>211.49647385698302</v>
      </c>
      <c r="AD1470" s="501">
        <f t="shared" si="1778"/>
        <v>262.04850870218172</v>
      </c>
      <c r="AE1470" s="501">
        <f t="shared" si="1778"/>
        <v>720.95135038795513</v>
      </c>
      <c r="AF1470" s="501">
        <f t="shared" si="1778"/>
        <v>343.07164259517788</v>
      </c>
      <c r="AG1470" s="501">
        <f t="shared" si="1778"/>
        <v>832.32568548254562</v>
      </c>
      <c r="AH1470" s="501">
        <f t="shared" si="1778"/>
        <v>535.3669076300398</v>
      </c>
      <c r="AI1470" s="501">
        <f t="shared" si="1778"/>
        <v>791.94458221729565</v>
      </c>
      <c r="AJ1470" s="501">
        <f t="shared" si="1778"/>
        <v>788.32758688103422</v>
      </c>
      <c r="AK1470" s="501">
        <f t="shared" si="1778"/>
        <v>949.34480177277817</v>
      </c>
      <c r="AL1470" s="501">
        <f t="shared" si="1778"/>
        <v>980.19415941872319</v>
      </c>
      <c r="AM1470" s="501">
        <f t="shared" si="1778"/>
        <v>810.44411662432253</v>
      </c>
      <c r="AN1470" s="501">
        <f t="shared" si="1778"/>
        <v>657.8369341573773</v>
      </c>
      <c r="AO1470" s="501">
        <f t="shared" si="1778"/>
        <v>587.05087004130746</v>
      </c>
      <c r="AP1470" s="501">
        <f t="shared" ref="AP1470:AT1470" si="1779">AP1354+AP1347</f>
        <v>772.97506311441145</v>
      </c>
      <c r="AQ1470" s="501">
        <f t="shared" si="1779"/>
        <v>784.92411321974964</v>
      </c>
      <c r="AR1470" s="501">
        <f t="shared" si="1779"/>
        <v>738.41059566050205</v>
      </c>
      <c r="AS1470" s="501">
        <f t="shared" si="1779"/>
        <v>760.56291353031725</v>
      </c>
      <c r="AT1470" s="2682">
        <f t="shared" si="1779"/>
        <v>783.37980093622684</v>
      </c>
    </row>
    <row r="1471" spans="1:48">
      <c r="A1471" s="1"/>
      <c r="B1471" s="1"/>
      <c r="C1471" s="1"/>
      <c r="D1471" s="2551" t="s">
        <v>3101</v>
      </c>
      <c r="E1471" s="498"/>
      <c r="F1471" s="498"/>
      <c r="G1471" s="498"/>
      <c r="H1471" s="498"/>
      <c r="I1471" s="498"/>
      <c r="J1471" s="498"/>
      <c r="K1471" s="498"/>
      <c r="L1471" s="498"/>
      <c r="M1471" s="498"/>
      <c r="N1471" s="498"/>
      <c r="O1471" s="498"/>
      <c r="P1471" s="498"/>
      <c r="Q1471" s="498"/>
      <c r="R1471" s="498"/>
      <c r="S1471" s="498"/>
      <c r="T1471" s="498"/>
      <c r="U1471" s="498"/>
      <c r="V1471" s="501"/>
      <c r="W1471" s="501"/>
      <c r="X1471" s="501"/>
      <c r="Y1471" s="501"/>
      <c r="Z1471" s="501"/>
      <c r="AA1471" s="501"/>
      <c r="AB1471" s="501"/>
      <c r="AC1471" s="501"/>
      <c r="AD1471" s="501">
        <f t="shared" ref="AD1471:AO1471" si="1780">AD1358</f>
        <v>0</v>
      </c>
      <c r="AE1471" s="501">
        <f t="shared" si="1780"/>
        <v>0</v>
      </c>
      <c r="AF1471" s="501">
        <f t="shared" si="1780"/>
        <v>0</v>
      </c>
      <c r="AG1471" s="501">
        <f t="shared" si="1780"/>
        <v>0</v>
      </c>
      <c r="AH1471" s="501">
        <f t="shared" si="1780"/>
        <v>0</v>
      </c>
      <c r="AI1471" s="501">
        <f t="shared" si="1780"/>
        <v>0</v>
      </c>
      <c r="AJ1471" s="501">
        <f t="shared" si="1780"/>
        <v>0</v>
      </c>
      <c r="AK1471" s="501">
        <f t="shared" si="1780"/>
        <v>0</v>
      </c>
      <c r="AL1471" s="501">
        <f t="shared" si="1780"/>
        <v>0</v>
      </c>
      <c r="AM1471" s="501">
        <f t="shared" si="1780"/>
        <v>0</v>
      </c>
      <c r="AN1471" s="501">
        <f t="shared" si="1780"/>
        <v>0</v>
      </c>
      <c r="AO1471" s="501">
        <f t="shared" si="1780"/>
        <v>0</v>
      </c>
      <c r="AP1471" s="501">
        <f t="shared" ref="AP1471:AT1471" si="1781">AP1358</f>
        <v>0</v>
      </c>
      <c r="AQ1471" s="501">
        <f t="shared" si="1781"/>
        <v>0</v>
      </c>
      <c r="AR1471" s="501">
        <f t="shared" si="1781"/>
        <v>0</v>
      </c>
      <c r="AS1471" s="501">
        <f t="shared" si="1781"/>
        <v>0</v>
      </c>
      <c r="AT1471" s="2682">
        <f t="shared" si="1781"/>
        <v>0</v>
      </c>
    </row>
    <row r="1472" spans="1:48">
      <c r="A1472" s="1"/>
      <c r="B1472" s="1"/>
      <c r="C1472" s="1"/>
      <c r="D1472" s="2535" t="s">
        <v>3286</v>
      </c>
      <c r="E1472" s="498"/>
      <c r="F1472" s="498"/>
      <c r="G1472" s="498"/>
      <c r="H1472" s="498"/>
      <c r="I1472" s="498"/>
      <c r="J1472" s="498"/>
      <c r="K1472" s="498"/>
      <c r="L1472" s="498"/>
      <c r="M1472" s="498"/>
      <c r="N1472" s="498"/>
      <c r="O1472" s="498"/>
      <c r="P1472" s="498"/>
      <c r="Q1472" s="498"/>
      <c r="R1472" s="498"/>
      <c r="S1472" s="498"/>
      <c r="T1472" s="498"/>
      <c r="U1472" s="498"/>
      <c r="V1472" s="501">
        <f t="shared" ref="V1472:AO1472" si="1782">V1360</f>
        <v>0</v>
      </c>
      <c r="W1472" s="501">
        <f t="shared" si="1782"/>
        <v>0</v>
      </c>
      <c r="X1472" s="501">
        <f t="shared" si="1782"/>
        <v>0</v>
      </c>
      <c r="Y1472" s="501">
        <f t="shared" si="1782"/>
        <v>66.70927940511001</v>
      </c>
      <c r="Z1472" s="501">
        <f t="shared" si="1782"/>
        <v>99.233201067772001</v>
      </c>
      <c r="AA1472" s="501">
        <f t="shared" si="1782"/>
        <v>102.868015341633</v>
      </c>
      <c r="AB1472" s="501">
        <f t="shared" si="1782"/>
        <v>160.74917716982901</v>
      </c>
      <c r="AC1472" s="501">
        <f t="shared" si="1782"/>
        <v>170.35041550616</v>
      </c>
      <c r="AD1472" s="501">
        <f t="shared" si="1782"/>
        <v>214.928464239612</v>
      </c>
      <c r="AE1472" s="501">
        <f t="shared" si="1782"/>
        <v>287.97105069611598</v>
      </c>
      <c r="AF1472" s="501">
        <f t="shared" si="1782"/>
        <v>390.57003784890901</v>
      </c>
      <c r="AG1472" s="501">
        <f t="shared" si="1782"/>
        <v>411.65558615469001</v>
      </c>
      <c r="AH1472" s="501">
        <f t="shared" si="1782"/>
        <v>426.47173391326498</v>
      </c>
      <c r="AI1472" s="501">
        <f t="shared" si="1782"/>
        <v>640.01178499634898</v>
      </c>
      <c r="AJ1472" s="501">
        <f t="shared" si="1782"/>
        <v>738.96146359542718</v>
      </c>
      <c r="AK1472" s="501">
        <f t="shared" si="1782"/>
        <v>787.78024694327939</v>
      </c>
      <c r="AL1472" s="501">
        <f t="shared" si="1782"/>
        <v>820.535233631609</v>
      </c>
      <c r="AM1472" s="501">
        <f t="shared" si="1782"/>
        <v>860.72161195505896</v>
      </c>
      <c r="AN1472" s="501">
        <f t="shared" si="1782"/>
        <v>944.9177694305065</v>
      </c>
      <c r="AO1472" s="501">
        <f t="shared" si="1782"/>
        <v>1000.3987854312173</v>
      </c>
      <c r="AP1472" s="501">
        <f t="shared" ref="AP1472:AT1472" si="1783">AP1360</f>
        <v>1080.9028517411339</v>
      </c>
      <c r="AQ1472" s="501">
        <f t="shared" si="1783"/>
        <v>1002.0685563460748</v>
      </c>
      <c r="AR1472" s="501">
        <f t="shared" si="1783"/>
        <v>551.9581355791646</v>
      </c>
      <c r="AS1472" s="501">
        <f t="shared" si="1783"/>
        <v>568.51687964653956</v>
      </c>
      <c r="AT1472" s="2682">
        <f t="shared" si="1783"/>
        <v>585.57238603593589</v>
      </c>
    </row>
    <row r="1473" spans="1:80">
      <c r="A1473" s="1"/>
      <c r="B1473" s="1"/>
      <c r="C1473" s="1"/>
      <c r="D1473" s="2535" t="s">
        <v>3287</v>
      </c>
      <c r="E1473" s="498"/>
      <c r="F1473" s="498"/>
      <c r="G1473" s="498"/>
      <c r="H1473" s="498"/>
      <c r="I1473" s="498"/>
      <c r="J1473" s="498"/>
      <c r="K1473" s="498"/>
      <c r="L1473" s="498"/>
      <c r="M1473" s="498"/>
      <c r="N1473" s="498"/>
      <c r="O1473" s="498"/>
      <c r="P1473" s="498"/>
      <c r="Q1473" s="498"/>
      <c r="R1473" s="498"/>
      <c r="S1473" s="498"/>
      <c r="T1473" s="498"/>
      <c r="U1473" s="498"/>
      <c r="V1473" s="501">
        <f>V1363</f>
        <v>-7.8795716799999997</v>
      </c>
      <c r="W1473" s="501">
        <f t="shared" ref="W1473:AM1473" si="1784">W1363</f>
        <v>-9.6999999999999993</v>
      </c>
      <c r="X1473" s="501">
        <f t="shared" si="1784"/>
        <v>-15.5</v>
      </c>
      <c r="Y1473" s="501">
        <f t="shared" si="1784"/>
        <v>11.038625171173628</v>
      </c>
      <c r="Z1473" s="501">
        <f t="shared" si="1784"/>
        <v>14.637063236782467</v>
      </c>
      <c r="AA1473" s="501">
        <f t="shared" si="1784"/>
        <v>17.121454944713733</v>
      </c>
      <c r="AB1473" s="501">
        <f t="shared" si="1784"/>
        <v>21.580580918109234</v>
      </c>
      <c r="AC1473" s="501">
        <f t="shared" si="1784"/>
        <v>25.817758485916514</v>
      </c>
      <c r="AD1473" s="501">
        <f t="shared" si="1784"/>
        <v>28.665006298050265</v>
      </c>
      <c r="AE1473" s="501">
        <f t="shared" si="1784"/>
        <v>54.902709505972297</v>
      </c>
      <c r="AF1473" s="501">
        <f t="shared" si="1784"/>
        <v>76.369240314600148</v>
      </c>
      <c r="AG1473" s="501">
        <f t="shared" si="1784"/>
        <v>95.151079022516313</v>
      </c>
      <c r="AH1473" s="501">
        <f t="shared" si="1784"/>
        <v>85.215693808710483</v>
      </c>
      <c r="AI1473" s="501">
        <f t="shared" si="1784"/>
        <v>124.74221382824851</v>
      </c>
      <c r="AJ1473" s="501">
        <f t="shared" si="1784"/>
        <v>172.10918608339722</v>
      </c>
      <c r="AK1473" s="501">
        <f t="shared" si="1784"/>
        <v>318.43514062566561</v>
      </c>
      <c r="AL1473" s="501">
        <f t="shared" si="1784"/>
        <v>454.70877606010924</v>
      </c>
      <c r="AM1473" s="501">
        <f t="shared" si="1784"/>
        <v>537.59841601400899</v>
      </c>
      <c r="AN1473" s="501">
        <f t="shared" ref="AN1473:AO1473" si="1785">AN1363</f>
        <v>634.30410750818874</v>
      </c>
      <c r="AO1473" s="501">
        <f t="shared" si="1785"/>
        <v>792.34476529797871</v>
      </c>
      <c r="AP1473" s="501">
        <f t="shared" ref="AP1473:AT1473" si="1786">AP1363</f>
        <v>865.5692197330859</v>
      </c>
      <c r="AQ1473" s="501">
        <f t="shared" si="1786"/>
        <v>2174.018280677446</v>
      </c>
      <c r="AR1473" s="501">
        <f t="shared" si="1786"/>
        <v>1071.5382410940058</v>
      </c>
      <c r="AS1473" s="501">
        <f t="shared" si="1786"/>
        <v>1198.0694791701101</v>
      </c>
      <c r="AT1473" s="2682">
        <f t="shared" si="1786"/>
        <v>1367.9918171014087</v>
      </c>
    </row>
    <row r="1474" spans="1:80" ht="15.9" thickBot="1">
      <c r="A1474" s="1"/>
      <c r="B1474" s="1"/>
      <c r="C1474" s="1"/>
      <c r="D1474" s="2552" t="str">
        <f>+FISCinyear!D1098</f>
        <v>Statistical discrepancy</v>
      </c>
      <c r="E1474" s="508"/>
      <c r="F1474" s="508"/>
      <c r="G1474" s="508"/>
      <c r="H1474" s="508"/>
      <c r="I1474" s="508"/>
      <c r="J1474" s="508"/>
      <c r="K1474" s="508"/>
      <c r="L1474" s="508"/>
      <c r="M1474" s="508"/>
      <c r="N1474" s="508"/>
      <c r="O1474" s="508"/>
      <c r="P1474" s="508"/>
      <c r="Q1474" s="508"/>
      <c r="R1474" s="508"/>
      <c r="S1474" s="508"/>
      <c r="T1474" s="508"/>
      <c r="U1474" s="508"/>
      <c r="V1474" s="509">
        <f>V1444-(V1463-V1467)</f>
        <v>-265.79868743400004</v>
      </c>
      <c r="W1474" s="509">
        <f>+W1444+W1464+W1467</f>
        <v>-303.60000000000002</v>
      </c>
      <c r="X1474" s="509">
        <f>+X1444+X1464+X1467</f>
        <v>-645.01525799941703</v>
      </c>
      <c r="Y1474" s="509">
        <f>+Y1444+Y1464+Y1467</f>
        <v>-143.14831849512092</v>
      </c>
      <c r="Z1474" s="509">
        <f>+Z1444+Z1464+Z1467</f>
        <v>94.142029365017606</v>
      </c>
      <c r="AA1474" s="509">
        <f>+AA1444+AA1464+AA1467</f>
        <v>176.03068694975897</v>
      </c>
      <c r="AB1474" s="509">
        <f t="shared" ref="AB1474:AK1474" si="1787">AB1366</f>
        <v>-1.5251780534695811</v>
      </c>
      <c r="AC1474" s="509">
        <f t="shared" si="1787"/>
        <v>6.9586025522358668</v>
      </c>
      <c r="AD1474" s="509">
        <f t="shared" si="1787"/>
        <v>-28.86586888625434</v>
      </c>
      <c r="AE1474" s="1652">
        <f t="shared" si="1787"/>
        <v>7.5332428713313675</v>
      </c>
      <c r="AF1474" s="1652">
        <f t="shared" si="1787"/>
        <v>-18.111693869998589</v>
      </c>
      <c r="AG1474" s="1652">
        <f t="shared" si="1787"/>
        <v>-37.006258509779173</v>
      </c>
      <c r="AH1474" s="1652">
        <f t="shared" si="1787"/>
        <v>-20.192614386571222</v>
      </c>
      <c r="AI1474" s="1652">
        <f t="shared" si="1787"/>
        <v>65.914621190189109</v>
      </c>
      <c r="AJ1474" s="1652">
        <f t="shared" si="1787"/>
        <v>10.300877266082125</v>
      </c>
      <c r="AK1474" s="1652">
        <f t="shared" si="1787"/>
        <v>0</v>
      </c>
      <c r="AL1474" s="509">
        <f>AL1366</f>
        <v>0</v>
      </c>
      <c r="AM1474" s="509">
        <f>AM1366</f>
        <v>0</v>
      </c>
      <c r="AN1474" s="509">
        <f t="shared" ref="AN1474:AO1474" si="1788">AN1366</f>
        <v>0</v>
      </c>
      <c r="AO1474" s="509">
        <f t="shared" si="1788"/>
        <v>0</v>
      </c>
      <c r="AP1474" s="509">
        <f t="shared" ref="AP1474:AT1474" si="1789">AP1366</f>
        <v>0</v>
      </c>
      <c r="AQ1474" s="509">
        <f t="shared" si="1789"/>
        <v>0</v>
      </c>
      <c r="AR1474" s="509">
        <f t="shared" si="1789"/>
        <v>0</v>
      </c>
      <c r="AS1474" s="509">
        <f t="shared" si="1789"/>
        <v>0</v>
      </c>
      <c r="AT1474" s="2691">
        <f t="shared" si="1789"/>
        <v>0</v>
      </c>
    </row>
    <row r="1475" spans="1:80" ht="15.9" thickTop="1">
      <c r="A1475" s="1"/>
      <c r="B1475" s="1"/>
      <c r="C1475" s="1"/>
      <c r="D1475" s="2562" t="s">
        <v>3231</v>
      </c>
      <c r="E1475" s="505"/>
      <c r="F1475" s="505"/>
      <c r="G1475" s="505"/>
      <c r="H1475" s="505"/>
      <c r="I1475" s="505"/>
      <c r="J1475" s="505"/>
      <c r="K1475" s="505"/>
      <c r="L1475" s="505"/>
      <c r="M1475" s="505"/>
      <c r="N1475" s="505"/>
      <c r="O1475" s="505"/>
      <c r="P1475" s="505"/>
      <c r="Q1475" s="505"/>
      <c r="R1475" s="505"/>
      <c r="S1475" s="505"/>
      <c r="T1475" s="505"/>
      <c r="U1475" s="505"/>
      <c r="V1475" s="501"/>
      <c r="W1475" s="501"/>
      <c r="X1475" s="501"/>
      <c r="Y1475" s="501"/>
      <c r="Z1475" s="501"/>
      <c r="AA1475" s="501"/>
      <c r="AB1475" s="501"/>
      <c r="AC1475" s="501"/>
      <c r="AD1475" s="501"/>
      <c r="AE1475" s="1640">
        <f>AE1423+AE1425+AE1430+AE1439+AE1442</f>
        <v>200.85026087600002</v>
      </c>
      <c r="AF1475" s="1641">
        <f>AF1423+AF1425+AF1430+AF1439+AF1442</f>
        <v>54.219483155067408</v>
      </c>
      <c r="AG1475" s="1641">
        <f>AG1423+AG1425+AG1430+AG1439+AG1442</f>
        <v>0</v>
      </c>
      <c r="AH1475" s="1641">
        <f>AH1423+AH1425+AH1430+AH1439+AH1442</f>
        <v>0</v>
      </c>
      <c r="AI1475" s="1641"/>
      <c r="AJ1475" s="1633"/>
      <c r="AK1475" s="1633"/>
      <c r="AL1475" s="501"/>
      <c r="AM1475" s="501"/>
      <c r="AN1475" s="501"/>
      <c r="AO1475" s="501"/>
      <c r="AP1475" s="501"/>
      <c r="AQ1475" s="501"/>
      <c r="AR1475" s="501"/>
      <c r="AS1475" s="501"/>
      <c r="AT1475" s="2682"/>
    </row>
    <row r="1476" spans="1:80">
      <c r="A1476" s="1"/>
      <c r="B1476" s="1"/>
      <c r="C1476" s="1"/>
      <c r="D1476" s="2562" t="s">
        <v>30</v>
      </c>
      <c r="E1476" s="505"/>
      <c r="F1476" s="279"/>
      <c r="G1476" s="279"/>
      <c r="H1476" s="279"/>
      <c r="I1476" s="279"/>
      <c r="J1476" s="279"/>
      <c r="K1476" s="279"/>
      <c r="L1476" s="279"/>
      <c r="M1476" s="279"/>
      <c r="N1476" s="279"/>
      <c r="O1476" s="279"/>
      <c r="P1476" s="279"/>
      <c r="Q1476" s="279"/>
      <c r="R1476" s="279"/>
      <c r="S1476" s="279"/>
      <c r="T1476" s="279"/>
      <c r="U1476" s="279"/>
      <c r="V1476" s="501">
        <f t="shared" ref="V1476:AT1476" si="1790">V421</f>
        <v>3778</v>
      </c>
      <c r="W1476" s="501">
        <f t="shared" si="1790"/>
        <v>4373</v>
      </c>
      <c r="X1476" s="501">
        <f t="shared" si="1790"/>
        <v>4846</v>
      </c>
      <c r="Y1476" s="501">
        <f t="shared" si="1790"/>
        <v>5296</v>
      </c>
      <c r="Z1476" s="501">
        <f t="shared" si="1790"/>
        <v>5771</v>
      </c>
      <c r="AA1476" s="501">
        <f t="shared" si="1790"/>
        <v>6443</v>
      </c>
      <c r="AB1476" s="501">
        <f t="shared" si="1790"/>
        <v>7237</v>
      </c>
      <c r="AC1476" s="501">
        <f t="shared" si="1790"/>
        <v>7982</v>
      </c>
      <c r="AD1476" s="501">
        <f t="shared" si="1790"/>
        <v>8784</v>
      </c>
      <c r="AE1476" s="1633">
        <f t="shared" si="1790"/>
        <v>9640</v>
      </c>
      <c r="AF1476" s="1633">
        <f t="shared" si="1790"/>
        <v>10499</v>
      </c>
      <c r="AG1476" s="1633">
        <f t="shared" si="1790"/>
        <v>12359</v>
      </c>
      <c r="AH1476" s="1633">
        <f t="shared" si="1790"/>
        <v>15800</v>
      </c>
      <c r="AI1476" s="1633">
        <f t="shared" si="1790"/>
        <v>18547.5</v>
      </c>
      <c r="AJ1476" s="1633">
        <f t="shared" si="1790"/>
        <v>21652.5</v>
      </c>
      <c r="AK1476" s="1633">
        <f t="shared" si="1790"/>
        <v>25286.692679098727</v>
      </c>
      <c r="AL1476" s="501">
        <f t="shared" si="1790"/>
        <v>28849.370738551253</v>
      </c>
      <c r="AM1476" s="501">
        <f t="shared" si="1790"/>
        <v>32496.933271959228</v>
      </c>
      <c r="AN1476" s="501">
        <f t="shared" si="1790"/>
        <v>36664.816080221681</v>
      </c>
      <c r="AO1476" s="501">
        <f t="shared" si="1790"/>
        <v>41241.139181209001</v>
      </c>
      <c r="AP1476" s="501">
        <f t="shared" si="1790"/>
        <v>45973.462349951267</v>
      </c>
      <c r="AQ1476" s="501">
        <f t="shared" si="1790"/>
        <v>51553.253914279325</v>
      </c>
      <c r="AR1476" s="501">
        <f t="shared" si="1790"/>
        <v>57424.231915315424</v>
      </c>
      <c r="AS1476" s="501">
        <f t="shared" si="1790"/>
        <v>64094.31706668924</v>
      </c>
      <c r="AT1476" s="2682">
        <f t="shared" si="1790"/>
        <v>82270.010091690798</v>
      </c>
    </row>
    <row r="1477" spans="1:80">
      <c r="A1477" s="1"/>
      <c r="B1477" s="1"/>
      <c r="C1477" s="1"/>
      <c r="D1477" s="2562" t="s">
        <v>3221</v>
      </c>
      <c r="E1477" s="505"/>
      <c r="F1477" s="279"/>
      <c r="G1477" s="279"/>
      <c r="H1477" s="279"/>
      <c r="I1477" s="279"/>
      <c r="J1477" s="279"/>
      <c r="K1477" s="279"/>
      <c r="L1477" s="279"/>
      <c r="M1477" s="279"/>
      <c r="N1477" s="279"/>
      <c r="O1477" s="279"/>
      <c r="P1477" s="279"/>
      <c r="Q1477" s="279"/>
      <c r="R1477" s="279"/>
      <c r="S1477" s="279"/>
      <c r="T1477" s="279"/>
      <c r="U1477" s="279"/>
      <c r="V1477" s="501">
        <f t="shared" ref="V1477:AT1477" si="1791">V259</f>
        <v>595.00815743287831</v>
      </c>
      <c r="W1477" s="501">
        <f t="shared" si="1791"/>
        <v>604.02286436978932</v>
      </c>
      <c r="X1477" s="501">
        <f t="shared" si="1791"/>
        <v>629.03578330305425</v>
      </c>
      <c r="Y1477" s="501">
        <f t="shared" si="1791"/>
        <v>667.12013173404773</v>
      </c>
      <c r="Z1477" s="501">
        <f t="shared" si="1791"/>
        <v>688.8</v>
      </c>
      <c r="AA1477" s="501">
        <f t="shared" si="1791"/>
        <v>749.6392051420986</v>
      </c>
      <c r="AB1477" s="501">
        <f t="shared" si="1791"/>
        <v>817.95751141666676</v>
      </c>
      <c r="AC1477" s="501">
        <f t="shared" si="1791"/>
        <v>846.28291674999991</v>
      </c>
      <c r="AD1477" s="501">
        <f t="shared" si="1791"/>
        <v>880.72263841666665</v>
      </c>
      <c r="AE1477" s="1633">
        <f t="shared" si="1791"/>
        <v>921.71570749999989</v>
      </c>
      <c r="AF1477" s="1633">
        <f t="shared" si="1791"/>
        <v>969.96516758333337</v>
      </c>
      <c r="AG1477" s="1633">
        <f t="shared" si="1791"/>
        <v>1008.0094528181818</v>
      </c>
      <c r="AH1477" s="1633">
        <f t="shared" si="1791"/>
        <v>1081.0623201800001</v>
      </c>
      <c r="AI1477" s="1633">
        <f t="shared" si="1791"/>
        <v>1256.9432939166666</v>
      </c>
      <c r="AJ1477" s="1633">
        <f t="shared" si="1791"/>
        <v>1375.6018837091551</v>
      </c>
      <c r="AK1477" s="1633">
        <f t="shared" si="1791"/>
        <v>1458.1490027508216</v>
      </c>
      <c r="AL1477" s="501">
        <f t="shared" si="1791"/>
        <v>1521.6616507500003</v>
      </c>
      <c r="AM1477" s="501">
        <f t="shared" si="1791"/>
        <v>1594.3911607875002</v>
      </c>
      <c r="AN1477" s="501">
        <f t="shared" si="1791"/>
        <v>1669.9279317840005</v>
      </c>
      <c r="AO1477" s="501">
        <f t="shared" si="1791"/>
        <v>1736.3585572382706</v>
      </c>
      <c r="AP1477" s="501">
        <f t="shared" si="1791"/>
        <v>1856.5527849599125</v>
      </c>
      <c r="AQ1477" s="501">
        <f t="shared" si="1791"/>
        <v>1912.2493685087102</v>
      </c>
      <c r="AR1477" s="501">
        <f t="shared" si="1791"/>
        <v>1969.6168495639715</v>
      </c>
      <c r="AS1477" s="501">
        <f t="shared" si="1791"/>
        <v>2028.7053550508908</v>
      </c>
      <c r="AT1477" s="2682">
        <f t="shared" si="1791"/>
        <v>2089.5665157024177</v>
      </c>
    </row>
    <row r="1478" spans="1:80" s="2064" customFormat="1">
      <c r="C1478" s="2078"/>
      <c r="D1478" s="2553" t="s">
        <v>3717</v>
      </c>
      <c r="E1478" s="1053"/>
      <c r="F1478" s="1053"/>
      <c r="G1478" s="1053"/>
      <c r="H1478" s="1053"/>
      <c r="I1478" s="1053"/>
      <c r="J1478" s="1053"/>
      <c r="K1478" s="1053"/>
      <c r="L1478" s="1053"/>
      <c r="M1478" s="1053"/>
      <c r="N1478" s="1053"/>
      <c r="O1478" s="1053"/>
      <c r="P1478" s="1053"/>
      <c r="Q1478" s="1053"/>
      <c r="R1478" s="1053"/>
      <c r="S1478" s="1053"/>
      <c r="T1478" s="1053"/>
      <c r="U1478" s="1053"/>
      <c r="V1478" s="2077">
        <f>V1389</f>
        <v>0.23175091053467442</v>
      </c>
      <c r="W1478" s="2077">
        <f t="shared" ref="W1478:AH1478" si="1792">W1369</f>
        <v>0</v>
      </c>
      <c r="X1478" s="2077">
        <f t="shared" si="1792"/>
        <v>0</v>
      </c>
      <c r="Y1478" s="2077">
        <f t="shared" si="1792"/>
        <v>0</v>
      </c>
      <c r="Z1478" s="2077">
        <f t="shared" si="1792"/>
        <v>0</v>
      </c>
      <c r="AA1478" s="2077">
        <f t="shared" si="1792"/>
        <v>0</v>
      </c>
      <c r="AB1478" s="2077">
        <f t="shared" si="1792"/>
        <v>36.49659589009616</v>
      </c>
      <c r="AC1478" s="2077">
        <f t="shared" si="1792"/>
        <v>44.079905962634939</v>
      </c>
      <c r="AD1478" s="2077">
        <f t="shared" si="1792"/>
        <v>69.305109272649418</v>
      </c>
      <c r="AE1478" s="2077">
        <f t="shared" si="1792"/>
        <v>-101.57107391963427</v>
      </c>
      <c r="AF1478" s="2077">
        <f t="shared" si="1792"/>
        <v>210.30188420204126</v>
      </c>
      <c r="AG1478" s="2077">
        <f t="shared" si="1792"/>
        <v>-141.97146712804624</v>
      </c>
      <c r="AH1478" s="2077">
        <f t="shared" si="1792"/>
        <v>288.2855930263471</v>
      </c>
      <c r="AI1478" s="2077">
        <f>AI1369</f>
        <v>-13.088567749374306</v>
      </c>
      <c r="AJ1478" s="2077">
        <f>AJ1369</f>
        <v>-166.55429045401434</v>
      </c>
      <c r="AK1478" s="2077">
        <f t="shared" ref="AK1478:AT1478" si="1793">AK1369</f>
        <v>30.274595798100336</v>
      </c>
      <c r="AL1478" s="2077">
        <f t="shared" si="1793"/>
        <v>126.22998591425858</v>
      </c>
      <c r="AM1478" s="2077">
        <f t="shared" si="1793"/>
        <v>310.8394438986852</v>
      </c>
      <c r="AN1478" s="2077">
        <f t="shared" si="1793"/>
        <v>130.74338398275154</v>
      </c>
      <c r="AO1478" s="2077">
        <f t="shared" si="1793"/>
        <v>458.4878660621207</v>
      </c>
      <c r="AP1478" s="2077">
        <f t="shared" si="1793"/>
        <v>408.41918462228023</v>
      </c>
      <c r="AQ1478" s="2077">
        <f t="shared" si="1793"/>
        <v>2061.2410632643505</v>
      </c>
      <c r="AR1478" s="2077">
        <f t="shared" si="1793"/>
        <v>1396.9126120330534</v>
      </c>
      <c r="AS1478" s="2077">
        <f t="shared" si="1793"/>
        <v>2093.8408637392045</v>
      </c>
      <c r="AT1478" s="2678">
        <f t="shared" si="1793"/>
        <v>2743.5433751435621</v>
      </c>
      <c r="AU1478" s="1"/>
      <c r="AV1478" s="1"/>
      <c r="AW1478" s="1"/>
      <c r="AX1478" s="1"/>
      <c r="AY1478" s="1"/>
      <c r="AZ1478" s="1"/>
      <c r="BA1478" s="1"/>
      <c r="BB1478" s="1"/>
      <c r="BC1478" s="1"/>
      <c r="BD1478" s="1"/>
      <c r="BE1478" s="1"/>
      <c r="BF1478" s="1"/>
      <c r="BG1478" s="1"/>
      <c r="BH1478" s="1"/>
      <c r="BI1478" s="1"/>
      <c r="BJ1478" s="1"/>
      <c r="BK1478" s="1"/>
      <c r="BL1478" s="1"/>
      <c r="BM1478" s="1"/>
      <c r="BN1478" s="1"/>
      <c r="BO1478" s="1"/>
      <c r="BP1478" s="1"/>
      <c r="BQ1478" s="1"/>
      <c r="BR1478" s="1"/>
      <c r="BS1478" s="1"/>
      <c r="BT1478" s="1"/>
      <c r="BU1478" s="1"/>
      <c r="BV1478" s="1"/>
      <c r="BW1478" s="1"/>
      <c r="BX1478" s="1"/>
      <c r="BY1478" s="1"/>
      <c r="BZ1478" s="1"/>
      <c r="CA1478" s="1"/>
      <c r="CB1478" s="1"/>
    </row>
    <row r="1479" spans="1:80" s="2064" customFormat="1">
      <c r="C1479" s="2078"/>
      <c r="D1479" s="2553" t="s">
        <v>3718</v>
      </c>
      <c r="E1479" s="1053"/>
      <c r="F1479" s="1053"/>
      <c r="G1479" s="1053"/>
      <c r="H1479" s="1053"/>
      <c r="I1479" s="1053"/>
      <c r="J1479" s="1053"/>
      <c r="K1479" s="1053"/>
      <c r="L1479" s="1053"/>
      <c r="M1479" s="1053"/>
      <c r="N1479" s="1053"/>
      <c r="O1479" s="1053"/>
      <c r="P1479" s="1053"/>
      <c r="Q1479" s="1053"/>
      <c r="R1479" s="1053"/>
      <c r="S1479" s="1053"/>
      <c r="T1479" s="1053"/>
      <c r="U1479" s="1053"/>
      <c r="V1479" s="2077">
        <f>V1390</f>
        <v>0</v>
      </c>
      <c r="W1479" s="2077">
        <f t="shared" ref="W1479:AC1479" si="1794">W1390</f>
        <v>0</v>
      </c>
      <c r="X1479" s="2077">
        <f t="shared" si="1794"/>
        <v>-0.12410105125815107</v>
      </c>
      <c r="Y1479" s="2077">
        <f t="shared" si="1794"/>
        <v>-0.13368345885484692</v>
      </c>
      <c r="Z1479" s="2077">
        <f t="shared" si="1794"/>
        <v>-0.11856176933538859</v>
      </c>
      <c r="AA1479" s="2077">
        <f t="shared" si="1794"/>
        <v>-0.10038475008889912</v>
      </c>
      <c r="AB1479" s="2077">
        <f t="shared" si="1794"/>
        <v>-9.5508192936500702E-2</v>
      </c>
      <c r="AC1479" s="2077">
        <f t="shared" si="1794"/>
        <v>-9.4219382505178667E-2</v>
      </c>
      <c r="AD1479" s="2077">
        <f>-AD1219+AD1251</f>
        <v>-213.64814625644868</v>
      </c>
      <c r="AE1479" s="2077">
        <f t="shared" ref="AE1479:AH1479" si="1795">AE1370</f>
        <v>954.0196915780989</v>
      </c>
      <c r="AF1479" s="2077">
        <f t="shared" si="1795"/>
        <v>657.27244012948665</v>
      </c>
      <c r="AG1479" s="2077">
        <f t="shared" si="1795"/>
        <v>877.8043802143934</v>
      </c>
      <c r="AH1479" s="2077">
        <f t="shared" si="1795"/>
        <v>876.62294773459439</v>
      </c>
      <c r="AI1479" s="2077">
        <f>AI1370</f>
        <v>1307.214153385396</v>
      </c>
      <c r="AJ1479" s="2077">
        <f>AJ1370</f>
        <v>1355.1798643930642</v>
      </c>
      <c r="AK1479" s="2077">
        <f t="shared" ref="AK1479:AT1479" si="1796">AK1370</f>
        <v>1418.689908090392</v>
      </c>
      <c r="AL1479" s="2077">
        <f t="shared" si="1796"/>
        <v>1346.0206169902231</v>
      </c>
      <c r="AM1479" s="2077">
        <f t="shared" si="1796"/>
        <v>1133.5673125653725</v>
      </c>
      <c r="AN1479" s="2077">
        <f t="shared" si="1796"/>
        <v>968.45059607969506</v>
      </c>
      <c r="AO1479" s="2077">
        <f t="shared" si="1796"/>
        <v>795.10489017454597</v>
      </c>
      <c r="AP1479" s="2077">
        <f t="shared" si="1796"/>
        <v>988.30869512245954</v>
      </c>
      <c r="AQ1479" s="2077">
        <f t="shared" si="1796"/>
        <v>-387.0256111116214</v>
      </c>
      <c r="AR1479" s="2077">
        <f t="shared" si="1796"/>
        <v>218.83049014566086</v>
      </c>
      <c r="AS1479" s="2077">
        <f t="shared" si="1796"/>
        <v>131.01031400674674</v>
      </c>
      <c r="AT1479" s="2678">
        <f t="shared" si="1796"/>
        <v>0.96036987075399338</v>
      </c>
      <c r="AU1479" s="1"/>
      <c r="AV1479" s="1"/>
      <c r="AW1479" s="1"/>
      <c r="AX1479" s="1"/>
      <c r="AY1479" s="1"/>
      <c r="AZ1479" s="1"/>
      <c r="BA1479" s="1"/>
      <c r="BB1479" s="1"/>
      <c r="BC1479" s="1"/>
      <c r="BD1479" s="1"/>
      <c r="BE1479" s="1"/>
      <c r="BF1479" s="1"/>
      <c r="BG1479" s="1"/>
      <c r="BH1479" s="1"/>
      <c r="BI1479" s="1"/>
      <c r="BJ1479" s="1"/>
      <c r="BK1479" s="1"/>
      <c r="BL1479" s="1"/>
      <c r="BM1479" s="1"/>
      <c r="BN1479" s="1"/>
      <c r="BO1479" s="1"/>
      <c r="BP1479" s="1"/>
      <c r="BQ1479" s="1"/>
      <c r="BR1479" s="1"/>
      <c r="BS1479" s="1"/>
      <c r="BT1479" s="1"/>
      <c r="BU1479" s="1"/>
      <c r="BV1479" s="1"/>
      <c r="BW1479" s="1"/>
      <c r="BX1479" s="1"/>
      <c r="BY1479" s="1"/>
      <c r="BZ1479" s="1"/>
      <c r="CA1479" s="1"/>
      <c r="CB1479" s="1"/>
    </row>
    <row r="1480" spans="1:80">
      <c r="A1480" s="1"/>
      <c r="B1480" s="1"/>
      <c r="C1480" s="1"/>
      <c r="D1480" s="355"/>
      <c r="E1480" s="279"/>
      <c r="F1480" s="279"/>
      <c r="G1480" s="279"/>
      <c r="H1480" s="279"/>
      <c r="I1480" s="279"/>
      <c r="J1480" s="279"/>
      <c r="K1480" s="279"/>
      <c r="L1480" s="279"/>
      <c r="M1480" s="279"/>
      <c r="N1480" s="279"/>
      <c r="O1480" s="279"/>
      <c r="P1480" s="279"/>
      <c r="Q1480" s="279"/>
      <c r="R1480" s="279"/>
      <c r="S1480" s="279"/>
      <c r="T1480" s="279"/>
      <c r="U1480" s="279"/>
      <c r="V1480" s="279"/>
      <c r="W1480" s="279"/>
      <c r="X1480" s="279"/>
      <c r="Y1480" s="279"/>
      <c r="Z1480" s="279"/>
      <c r="AA1480" s="279"/>
      <c r="AB1480" s="279"/>
      <c r="AC1480" s="279"/>
      <c r="AD1480" s="279"/>
      <c r="AE1480" s="279"/>
      <c r="AI1480" s="957"/>
      <c r="AJ1480" s="957"/>
      <c r="AK1480" s="957"/>
      <c r="AL1480" s="957"/>
      <c r="AM1480" s="957"/>
      <c r="AN1480" s="957"/>
      <c r="AO1480" s="957"/>
      <c r="AP1480" s="957"/>
      <c r="AQ1480" s="957"/>
      <c r="AR1480" s="957"/>
      <c r="AS1480" s="957"/>
      <c r="AT1480" s="2676"/>
    </row>
    <row r="1481" spans="1:80">
      <c r="A1481" s="1"/>
      <c r="B1481" s="1"/>
      <c r="C1481" s="1"/>
      <c r="D1481" s="355"/>
      <c r="E1481" s="279"/>
      <c r="F1481" s="279"/>
      <c r="G1481" s="279"/>
      <c r="H1481" s="279"/>
      <c r="I1481" s="279"/>
      <c r="J1481" s="279"/>
      <c r="K1481" s="279"/>
      <c r="L1481" s="279"/>
      <c r="M1481" s="279"/>
      <c r="N1481" s="279"/>
      <c r="O1481" s="279"/>
      <c r="P1481" s="279"/>
      <c r="Q1481" s="279"/>
      <c r="R1481" s="279"/>
      <c r="S1481" s="279"/>
      <c r="T1481" s="279"/>
      <c r="U1481" s="279"/>
      <c r="V1481" s="279"/>
      <c r="W1481" s="279"/>
      <c r="X1481" s="279"/>
      <c r="Y1481" s="279"/>
      <c r="Z1481" s="279"/>
      <c r="AA1481" s="279"/>
      <c r="AB1481" s="279"/>
      <c r="AC1481" s="279"/>
      <c r="AD1481" s="279"/>
      <c r="AE1481" s="279"/>
      <c r="AJ1481" s="958"/>
      <c r="AK1481" s="958"/>
      <c r="AL1481" s="958"/>
      <c r="AM1481" s="958"/>
      <c r="AN1481" s="958"/>
      <c r="AO1481" s="958"/>
    </row>
    <row r="1482" spans="1:80">
      <c r="A1482" s="1"/>
      <c r="B1482" s="1"/>
      <c r="C1482" s="1"/>
      <c r="D1482" s="354" t="s">
        <v>3103</v>
      </c>
      <c r="E1482" s="365"/>
      <c r="F1482" s="365"/>
      <c r="G1482" s="365"/>
      <c r="H1482" s="365"/>
      <c r="I1482" s="365"/>
      <c r="J1482" s="365"/>
      <c r="K1482" s="365"/>
      <c r="L1482" s="365"/>
      <c r="M1482" s="365"/>
      <c r="N1482" s="365"/>
      <c r="O1482" s="365"/>
      <c r="P1482" s="365"/>
      <c r="Q1482" s="365"/>
      <c r="R1482" s="365"/>
      <c r="S1482" s="365"/>
      <c r="T1482" s="365"/>
      <c r="U1482" s="365"/>
      <c r="V1482" s="365" t="str">
        <f t="shared" ref="V1482:AT1482" si="1797">V1393</f>
        <v>2010/11</v>
      </c>
      <c r="W1482" s="365" t="str">
        <f t="shared" si="1797"/>
        <v>2011/12</v>
      </c>
      <c r="X1482" s="365" t="str">
        <f t="shared" si="1797"/>
        <v>2012/13</v>
      </c>
      <c r="Y1482" s="365" t="str">
        <f t="shared" si="1797"/>
        <v>2013/14</v>
      </c>
      <c r="Z1482" s="365" t="str">
        <f t="shared" si="1797"/>
        <v>2014/15</v>
      </c>
      <c r="AA1482" s="365" t="str">
        <f t="shared" si="1797"/>
        <v>2015/16</v>
      </c>
      <c r="AB1482" s="365" t="str">
        <f t="shared" si="1797"/>
        <v>2016/17</v>
      </c>
      <c r="AC1482" s="365" t="str">
        <f t="shared" si="1797"/>
        <v>2017/18</v>
      </c>
      <c r="AD1482" s="365" t="str">
        <f t="shared" si="1797"/>
        <v>2018/19</v>
      </c>
      <c r="AE1482" s="365" t="str">
        <f t="shared" si="1797"/>
        <v>2019/20</v>
      </c>
      <c r="AF1482" s="365" t="str">
        <f t="shared" si="1797"/>
        <v>2020/21</v>
      </c>
      <c r="AG1482" s="365" t="str">
        <f t="shared" si="1797"/>
        <v>2021/22</v>
      </c>
      <c r="AH1482" s="365" t="str">
        <f t="shared" si="1797"/>
        <v>2022/23</v>
      </c>
      <c r="AI1482" s="365" t="str">
        <f t="shared" si="1797"/>
        <v>2023/24</v>
      </c>
      <c r="AJ1482" s="365" t="str">
        <f t="shared" si="1797"/>
        <v>2024/25</v>
      </c>
      <c r="AK1482" s="365" t="str">
        <f t="shared" si="1797"/>
        <v>2025/26</v>
      </c>
      <c r="AL1482" s="365" t="str">
        <f t="shared" si="1797"/>
        <v>2026/27</v>
      </c>
      <c r="AM1482" s="365" t="str">
        <f t="shared" si="1797"/>
        <v>2026/28</v>
      </c>
      <c r="AN1482" s="365" t="str">
        <f t="shared" si="1797"/>
        <v>2028/29</v>
      </c>
      <c r="AO1482" s="365" t="str">
        <f t="shared" si="1797"/>
        <v>2029/30</v>
      </c>
      <c r="AP1482" s="365" t="str">
        <f t="shared" si="1797"/>
        <v>2030/31</v>
      </c>
      <c r="AQ1482" s="365" t="str">
        <f t="shared" si="1797"/>
        <v>2031/32</v>
      </c>
      <c r="AR1482" s="365" t="str">
        <f t="shared" si="1797"/>
        <v>2032/33</v>
      </c>
      <c r="AS1482" s="365" t="str">
        <f t="shared" si="1797"/>
        <v>2033/34</v>
      </c>
      <c r="AT1482" s="365" t="str">
        <f t="shared" si="1797"/>
        <v>2034/35</v>
      </c>
    </row>
    <row r="1483" spans="1:80">
      <c r="A1483" s="1"/>
      <c r="B1483" s="1"/>
      <c r="C1483" s="1"/>
      <c r="D1483" s="355"/>
      <c r="E1483" s="279"/>
      <c r="F1483" s="279"/>
      <c r="G1483" s="279"/>
      <c r="H1483" s="279"/>
      <c r="I1483" s="279"/>
      <c r="J1483" s="279"/>
      <c r="K1483" s="279"/>
      <c r="L1483" s="279"/>
      <c r="M1483" s="279"/>
      <c r="N1483" s="279"/>
      <c r="O1483" s="279"/>
      <c r="P1483" s="279"/>
      <c r="Q1483" s="279"/>
      <c r="R1483" s="279"/>
      <c r="S1483" s="279"/>
      <c r="T1483" s="279"/>
      <c r="U1483" s="279"/>
      <c r="V1483" s="279"/>
      <c r="W1483" s="279"/>
      <c r="X1483" s="279"/>
      <c r="Y1483" s="279"/>
      <c r="Z1483" s="279"/>
      <c r="AA1483" s="279"/>
      <c r="AB1483" s="279"/>
      <c r="AC1483" s="279"/>
      <c r="AD1483" s="279"/>
      <c r="AE1483" s="279"/>
    </row>
    <row r="1484" spans="1:80">
      <c r="A1484" s="1"/>
      <c r="B1484" s="1"/>
      <c r="C1484" s="1"/>
      <c r="D1484" s="2530" t="s">
        <v>461</v>
      </c>
      <c r="E1484" s="505"/>
      <c r="F1484" s="505"/>
      <c r="G1484" s="505"/>
      <c r="H1484" s="505"/>
      <c r="I1484" s="505"/>
      <c r="J1484" s="505"/>
      <c r="K1484" s="505"/>
      <c r="L1484" s="505"/>
      <c r="M1484" s="505"/>
      <c r="N1484" s="505"/>
      <c r="O1484" s="505"/>
      <c r="P1484" s="505"/>
      <c r="Q1484" s="505"/>
      <c r="R1484" s="505"/>
      <c r="S1484" s="505"/>
      <c r="T1484" s="505"/>
      <c r="U1484" s="505"/>
      <c r="V1484" s="1411">
        <f t="shared" ref="V1484:AL1484" si="1798">V1395/V$421</f>
        <v>0.1482069269017999</v>
      </c>
      <c r="W1484" s="1411">
        <f t="shared" si="1798"/>
        <v>0.15684884518637091</v>
      </c>
      <c r="X1484" s="1411">
        <f t="shared" si="1798"/>
        <v>0.13349937136607509</v>
      </c>
      <c r="Y1484" s="1411">
        <f t="shared" si="1798"/>
        <v>0.25279276600911865</v>
      </c>
      <c r="Z1484" s="1411">
        <f t="shared" si="1798"/>
        <v>0.2458337724095121</v>
      </c>
      <c r="AA1484" s="1411">
        <f t="shared" si="1798"/>
        <v>0.23927938901846529</v>
      </c>
      <c r="AB1484" s="1411">
        <f t="shared" si="1798"/>
        <v>0.22326404995052593</v>
      </c>
      <c r="AC1484" s="1411">
        <f t="shared" si="1798"/>
        <v>0.22806469967314541</v>
      </c>
      <c r="AD1484" s="1411">
        <f t="shared" si="1798"/>
        <v>0.23508963700338584</v>
      </c>
      <c r="AE1484" s="1411">
        <f t="shared" si="1798"/>
        <v>0.22853632240291011</v>
      </c>
      <c r="AF1484" s="1411">
        <f t="shared" si="1798"/>
        <v>0.24508616110106562</v>
      </c>
      <c r="AG1484" s="1411">
        <f t="shared" si="1798"/>
        <v>0.25100598797120344</v>
      </c>
      <c r="AH1484" s="1411">
        <f t="shared" si="1798"/>
        <v>0.21516247996622392</v>
      </c>
      <c r="AI1484" s="1411">
        <f t="shared" si="1798"/>
        <v>0.20547935633756809</v>
      </c>
      <c r="AJ1484" s="1411">
        <f t="shared" si="1798"/>
        <v>0.19277086124223491</v>
      </c>
      <c r="AK1484" s="1411">
        <f t="shared" si="1798"/>
        <v>0.19809262444537537</v>
      </c>
      <c r="AL1484" s="1411">
        <f t="shared" si="1798"/>
        <v>0.19754518549551314</v>
      </c>
      <c r="AM1484" s="1411">
        <f t="shared" ref="AM1484:AO1503" si="1799">AM1395/AM$421</f>
        <v>0.20101840638154903</v>
      </c>
      <c r="AN1484" s="1411">
        <f t="shared" si="1799"/>
        <v>0.20092259373395885</v>
      </c>
      <c r="AO1484" s="1411">
        <f t="shared" si="1799"/>
        <v>0.20239574950666112</v>
      </c>
      <c r="AP1484" s="1411">
        <f t="shared" ref="AP1484:AT1484" si="1800">AP1395/AP$421</f>
        <v>0.20461956789002358</v>
      </c>
      <c r="AQ1484" s="1411">
        <f t="shared" si="1800"/>
        <v>0.20449192061561916</v>
      </c>
      <c r="AR1484" s="1411">
        <f t="shared" si="1800"/>
        <v>0.20496908109844442</v>
      </c>
      <c r="AS1484" s="1411">
        <f t="shared" si="1800"/>
        <v>0.20531362294262429</v>
      </c>
      <c r="AT1484" s="2692">
        <f t="shared" si="1800"/>
        <v>0.20736722330462035</v>
      </c>
    </row>
    <row r="1485" spans="1:80">
      <c r="A1485" s="1"/>
      <c r="B1485" s="1"/>
      <c r="C1485" s="1"/>
      <c r="D1485" s="2531" t="s">
        <v>462</v>
      </c>
      <c r="E1485" s="505"/>
      <c r="F1485" s="505"/>
      <c r="G1485" s="505"/>
      <c r="H1485" s="505"/>
      <c r="I1485" s="505"/>
      <c r="J1485" s="505"/>
      <c r="K1485" s="505"/>
      <c r="L1485" s="505"/>
      <c r="M1485" s="505"/>
      <c r="N1485" s="505"/>
      <c r="O1485" s="505"/>
      <c r="P1485" s="505"/>
      <c r="Q1485" s="505"/>
      <c r="R1485" s="505"/>
      <c r="S1485" s="505"/>
      <c r="T1485" s="505"/>
      <c r="U1485" s="505"/>
      <c r="V1485" s="1411">
        <f t="shared" ref="V1485:AL1485" si="1801">V1396/V$421</f>
        <v>4.7882477501323455E-2</v>
      </c>
      <c r="W1485" s="1411">
        <f t="shared" si="1801"/>
        <v>5.2252458266636173E-2</v>
      </c>
      <c r="X1485" s="1411">
        <f t="shared" si="1801"/>
        <v>5.8200155517952955E-2</v>
      </c>
      <c r="Y1485" s="1411">
        <f t="shared" si="1801"/>
        <v>0.13746106018206192</v>
      </c>
      <c r="Z1485" s="1411">
        <f t="shared" si="1801"/>
        <v>0.14386376370469589</v>
      </c>
      <c r="AA1485" s="1411">
        <f t="shared" si="1801"/>
        <v>0.15526420136364671</v>
      </c>
      <c r="AB1485" s="1411">
        <f t="shared" si="1801"/>
        <v>0.14542221310159123</v>
      </c>
      <c r="AC1485" s="1411">
        <f t="shared" si="1801"/>
        <v>0.15020965202462136</v>
      </c>
      <c r="AD1485" s="1411">
        <f t="shared" si="1801"/>
        <v>0.15966783451945324</v>
      </c>
      <c r="AE1485" s="1411">
        <f t="shared" si="1801"/>
        <v>0.15307144339090625</v>
      </c>
      <c r="AF1485" s="1411">
        <f t="shared" si="1801"/>
        <v>0.15446130893388277</v>
      </c>
      <c r="AG1485" s="1411">
        <f t="shared" si="1801"/>
        <v>0.15185480954356029</v>
      </c>
      <c r="AH1485" s="1411">
        <f t="shared" si="1801"/>
        <v>0.1447703668868823</v>
      </c>
      <c r="AI1485" s="1411">
        <f>AI1396/AI$421</f>
        <v>0.13982054316783005</v>
      </c>
      <c r="AJ1485" s="1411">
        <f>AJ1396/AJ$421</f>
        <v>0.14155716688758282</v>
      </c>
      <c r="AK1485" s="1411">
        <f t="shared" si="1801"/>
        <v>0.1497604741190994</v>
      </c>
      <c r="AL1485" s="1411">
        <f t="shared" si="1801"/>
        <v>0.1574138962446068</v>
      </c>
      <c r="AM1485" s="1411">
        <f t="shared" si="1799"/>
        <v>0.16114273287298481</v>
      </c>
      <c r="AN1485" s="1411">
        <f t="shared" si="1799"/>
        <v>0.16324228683677813</v>
      </c>
      <c r="AO1485" s="1411">
        <f t="shared" si="1799"/>
        <v>0.16586343537400944</v>
      </c>
      <c r="AP1485" s="1411">
        <f t="shared" ref="AP1485:AT1485" si="1802">AP1396/AP$421</f>
        <v>0.16769071120280113</v>
      </c>
      <c r="AQ1485" s="1411">
        <f t="shared" si="1802"/>
        <v>0.16703141725783885</v>
      </c>
      <c r="AR1485" s="1411">
        <f t="shared" si="1802"/>
        <v>0.16893459068294595</v>
      </c>
      <c r="AS1485" s="1411">
        <f t="shared" si="1802"/>
        <v>0.17065423695015386</v>
      </c>
      <c r="AT1485" s="2692">
        <f t="shared" si="1802"/>
        <v>0.17366322418908373</v>
      </c>
      <c r="AU1485" s="957"/>
    </row>
    <row r="1486" spans="1:80">
      <c r="A1486" s="1"/>
      <c r="B1486" s="1"/>
      <c r="C1486" s="1"/>
      <c r="D1486" s="2532" t="s">
        <v>463</v>
      </c>
      <c r="E1486" s="505"/>
      <c r="F1486" s="505"/>
      <c r="G1486" s="505"/>
      <c r="H1486" s="505"/>
      <c r="I1486" s="505"/>
      <c r="J1486" s="505"/>
      <c r="K1486" s="505"/>
      <c r="L1486" s="505"/>
      <c r="M1486" s="505"/>
      <c r="N1486" s="505"/>
      <c r="O1486" s="505"/>
      <c r="P1486" s="505"/>
      <c r="Q1486" s="505"/>
      <c r="R1486" s="505"/>
      <c r="S1486" s="505"/>
      <c r="T1486" s="505"/>
      <c r="U1486" s="505"/>
      <c r="V1486" s="1411">
        <f t="shared" ref="V1486:AL1486" si="1803">V1397/V$421</f>
        <v>4.7882477501323455E-2</v>
      </c>
      <c r="W1486" s="1411">
        <f t="shared" si="1803"/>
        <v>5.2252458266636173E-2</v>
      </c>
      <c r="X1486" s="1411">
        <f t="shared" si="1803"/>
        <v>5.8200155517952955E-2</v>
      </c>
      <c r="Y1486" s="1411">
        <f t="shared" si="1803"/>
        <v>5.4358946531344411E-2</v>
      </c>
      <c r="Z1486" s="1411">
        <f t="shared" si="1803"/>
        <v>5.9247748721192171E-2</v>
      </c>
      <c r="AA1486" s="1411">
        <f t="shared" si="1803"/>
        <v>6.3167323426030514E-2</v>
      </c>
      <c r="AB1486" s="1411">
        <f t="shared" si="1803"/>
        <v>5.8188872698355321E-2</v>
      </c>
      <c r="AC1486" s="1411">
        <f t="shared" si="1803"/>
        <v>5.9061196971055489E-2</v>
      </c>
      <c r="AD1486" s="1411">
        <f t="shared" si="1803"/>
        <v>6.7779354818328794E-2</v>
      </c>
      <c r="AE1486" s="1411">
        <f t="shared" si="1803"/>
        <v>6.654310621858131E-2</v>
      </c>
      <c r="AF1486" s="1411">
        <f t="shared" si="1803"/>
        <v>6.6916145114818346E-2</v>
      </c>
      <c r="AG1486" s="1411">
        <f t="shared" si="1803"/>
        <v>6.9063584924783178E-2</v>
      </c>
      <c r="AH1486" s="1411">
        <f t="shared" si="1803"/>
        <v>6.473051426158094E-2</v>
      </c>
      <c r="AI1486" s="1411">
        <f t="shared" si="1803"/>
        <v>6.3543434360911574E-2</v>
      </c>
      <c r="AJ1486" s="1411">
        <f t="shared" si="1803"/>
        <v>6.2690979017743551E-2</v>
      </c>
      <c r="AK1486" s="1411">
        <f t="shared" si="1803"/>
        <v>6.1913594475667751E-2</v>
      </c>
      <c r="AL1486" s="1411">
        <f t="shared" si="1803"/>
        <v>6.4978623760888254E-2</v>
      </c>
      <c r="AM1486" s="1411">
        <f t="shared" si="1799"/>
        <v>6.7086380821865049E-2</v>
      </c>
      <c r="AN1486" s="1411">
        <f t="shared" si="1799"/>
        <v>6.8168967647883966E-2</v>
      </c>
      <c r="AO1486" s="1411">
        <f t="shared" si="1799"/>
        <v>6.8981336999588236E-2</v>
      </c>
      <c r="AP1486" s="1411">
        <f t="shared" ref="AP1486:AT1486" si="1804">AP1397/AP$421</f>
        <v>7.0488294740255711E-2</v>
      </c>
      <c r="AQ1486" s="1411">
        <f t="shared" si="1804"/>
        <v>7.2420395192162937E-2</v>
      </c>
      <c r="AR1486" s="1411">
        <f t="shared" si="1804"/>
        <v>7.4857582506439382E-2</v>
      </c>
      <c r="AS1486" s="1411">
        <f>AS1397/AS$421</f>
        <v>7.6418556727919362E-2</v>
      </c>
      <c r="AT1486" s="2692">
        <f t="shared" si="1804"/>
        <v>7.9715411766371369E-2</v>
      </c>
    </row>
    <row r="1487" spans="1:80">
      <c r="A1487" s="1"/>
      <c r="B1487" s="1"/>
      <c r="C1487" s="1"/>
      <c r="D1487" s="2532" t="s">
        <v>467</v>
      </c>
      <c r="E1487" s="505"/>
      <c r="F1487" s="505"/>
      <c r="G1487" s="505"/>
      <c r="H1487" s="505"/>
      <c r="I1487" s="505"/>
      <c r="J1487" s="505"/>
      <c r="K1487" s="505"/>
      <c r="L1487" s="505"/>
      <c r="M1487" s="505"/>
      <c r="N1487" s="505"/>
      <c r="O1487" s="505"/>
      <c r="P1487" s="505"/>
      <c r="Q1487" s="505"/>
      <c r="R1487" s="505"/>
      <c r="S1487" s="505"/>
      <c r="T1487" s="505"/>
      <c r="U1487" s="505"/>
      <c r="V1487" s="1411">
        <f t="shared" ref="V1487:AL1487" si="1805">V1398/V$421</f>
        <v>0</v>
      </c>
      <c r="W1487" s="1411">
        <f t="shared" si="1805"/>
        <v>0</v>
      </c>
      <c r="X1487" s="1411">
        <f t="shared" si="1805"/>
        <v>0</v>
      </c>
      <c r="Y1487" s="1411">
        <f t="shared" si="1805"/>
        <v>0</v>
      </c>
      <c r="Z1487" s="1411">
        <f t="shared" si="1805"/>
        <v>0</v>
      </c>
      <c r="AA1487" s="1411">
        <f t="shared" si="1805"/>
        <v>0</v>
      </c>
      <c r="AB1487" s="1411">
        <f t="shared" si="1805"/>
        <v>0</v>
      </c>
      <c r="AC1487" s="1411">
        <f t="shared" si="1805"/>
        <v>0</v>
      </c>
      <c r="AD1487" s="1411">
        <f t="shared" si="1805"/>
        <v>0</v>
      </c>
      <c r="AE1487" s="1411">
        <f t="shared" si="1805"/>
        <v>0</v>
      </c>
      <c r="AF1487" s="1411">
        <f t="shared" si="1805"/>
        <v>0</v>
      </c>
      <c r="AG1487" s="1411">
        <f t="shared" si="1805"/>
        <v>0</v>
      </c>
      <c r="AH1487" s="1411">
        <f t="shared" si="1805"/>
        <v>0</v>
      </c>
      <c r="AI1487" s="1411">
        <f t="shared" si="1805"/>
        <v>0</v>
      </c>
      <c r="AJ1487" s="1411">
        <f t="shared" si="1805"/>
        <v>0</v>
      </c>
      <c r="AK1487" s="1411">
        <f t="shared" si="1805"/>
        <v>0</v>
      </c>
      <c r="AL1487" s="1411">
        <f t="shared" si="1805"/>
        <v>0</v>
      </c>
      <c r="AM1487" s="1411">
        <f t="shared" si="1799"/>
        <v>0</v>
      </c>
      <c r="AN1487" s="1411">
        <f t="shared" si="1799"/>
        <v>0</v>
      </c>
      <c r="AO1487" s="1411">
        <f t="shared" si="1799"/>
        <v>0</v>
      </c>
      <c r="AP1487" s="1411">
        <f t="shared" ref="AP1487:AT1487" si="1806">AP1398/AP$421</f>
        <v>0</v>
      </c>
      <c r="AQ1487" s="1411">
        <f t="shared" si="1806"/>
        <v>0</v>
      </c>
      <c r="AR1487" s="1411">
        <f t="shared" si="1806"/>
        <v>0</v>
      </c>
      <c r="AS1487" s="1411">
        <f t="shared" si="1806"/>
        <v>0</v>
      </c>
      <c r="AT1487" s="2692">
        <f t="shared" si="1806"/>
        <v>0</v>
      </c>
    </row>
    <row r="1488" spans="1:80">
      <c r="A1488" s="1"/>
      <c r="B1488" s="1"/>
      <c r="C1488" s="1"/>
      <c r="D1488" s="2532" t="s">
        <v>468</v>
      </c>
      <c r="E1488" s="505"/>
      <c r="F1488" s="505"/>
      <c r="G1488" s="505"/>
      <c r="H1488" s="505"/>
      <c r="I1488" s="505"/>
      <c r="J1488" s="505"/>
      <c r="K1488" s="505"/>
      <c r="L1488" s="505"/>
      <c r="M1488" s="505"/>
      <c r="N1488" s="505"/>
      <c r="O1488" s="505"/>
      <c r="P1488" s="505"/>
      <c r="Q1488" s="505"/>
      <c r="R1488" s="505"/>
      <c r="S1488" s="505"/>
      <c r="T1488" s="505"/>
      <c r="U1488" s="505"/>
      <c r="V1488" s="1411">
        <f t="shared" ref="V1488:AL1488" si="1807">V1399/V$421</f>
        <v>0</v>
      </c>
      <c r="W1488" s="1411">
        <f t="shared" si="1807"/>
        <v>0</v>
      </c>
      <c r="X1488" s="1411">
        <f t="shared" si="1807"/>
        <v>0</v>
      </c>
      <c r="Y1488" s="1411">
        <f t="shared" si="1807"/>
        <v>1.9780028134441083E-4</v>
      </c>
      <c r="Z1488" s="1411">
        <f t="shared" si="1807"/>
        <v>2.5549590400277249E-4</v>
      </c>
      <c r="AA1488" s="1411">
        <f t="shared" si="1807"/>
        <v>1.2401954522556549E-4</v>
      </c>
      <c r="AB1488" s="1411">
        <f t="shared" si="1807"/>
        <v>8.4259467612750924E-5</v>
      </c>
      <c r="AC1488" s="1411">
        <f t="shared" si="1807"/>
        <v>6.2205397969892997E-15</v>
      </c>
      <c r="AD1488" s="1411">
        <f t="shared" si="1807"/>
        <v>2.2054190152550088E-3</v>
      </c>
      <c r="AE1488" s="1411">
        <f t="shared" si="1807"/>
        <v>4.8162635256761884E-4</v>
      </c>
      <c r="AF1488" s="1411">
        <f t="shared" si="1807"/>
        <v>1.851954950880868E-3</v>
      </c>
      <c r="AG1488" s="1411">
        <f t="shared" si="1807"/>
        <v>1.3841826852889979E-3</v>
      </c>
      <c r="AH1488" s="1411">
        <f t="shared" si="1807"/>
        <v>1.4288636212735149E-3</v>
      </c>
      <c r="AI1488" s="1411">
        <f t="shared" si="1807"/>
        <v>1.6445140076265536E-3</v>
      </c>
      <c r="AJ1488" s="1411">
        <f t="shared" si="1807"/>
        <v>2.1235750657532491E-3</v>
      </c>
      <c r="AK1488" s="1411">
        <f t="shared" si="1807"/>
        <v>2.4579654670736305E-3</v>
      </c>
      <c r="AL1488" s="1411">
        <f t="shared" si="1807"/>
        <v>2.6523376593646044E-3</v>
      </c>
      <c r="AM1488" s="1411">
        <f t="shared" si="1799"/>
        <v>2.3481096497602054E-3</v>
      </c>
      <c r="AN1488" s="1411">
        <f t="shared" si="1799"/>
        <v>2.3547719360742024E-3</v>
      </c>
      <c r="AO1488" s="1411">
        <f t="shared" si="1799"/>
        <v>2.3381564394225085E-3</v>
      </c>
      <c r="AP1488" s="1411">
        <f t="shared" ref="AP1488:AT1488" si="1808">AP1399/AP$421</f>
        <v>2.3164065024680767E-3</v>
      </c>
      <c r="AQ1488" s="1411">
        <f t="shared" si="1808"/>
        <v>2.3239187634397076E-3</v>
      </c>
      <c r="AR1488" s="1411">
        <f t="shared" si="1808"/>
        <v>2.3487519488724637E-3</v>
      </c>
      <c r="AS1488" s="1411">
        <f t="shared" si="1808"/>
        <v>2.3617588628682428E-3</v>
      </c>
      <c r="AT1488" s="2692">
        <f t="shared" si="1808"/>
        <v>2.0240610400427965E-3</v>
      </c>
    </row>
    <row r="1489" spans="1:46">
      <c r="A1489" s="1"/>
      <c r="B1489" s="1"/>
      <c r="C1489" s="1"/>
      <c r="D1489" s="2532" t="s">
        <v>475</v>
      </c>
      <c r="E1489" s="505"/>
      <c r="F1489" s="505"/>
      <c r="G1489" s="505"/>
      <c r="H1489" s="505"/>
      <c r="I1489" s="505"/>
      <c r="J1489" s="505"/>
      <c r="K1489" s="505"/>
      <c r="L1489" s="505"/>
      <c r="M1489" s="505"/>
      <c r="N1489" s="505"/>
      <c r="O1489" s="505"/>
      <c r="P1489" s="505"/>
      <c r="Q1489" s="505"/>
      <c r="R1489" s="505"/>
      <c r="S1489" s="505"/>
      <c r="T1489" s="505"/>
      <c r="U1489" s="505"/>
      <c r="V1489" s="1411">
        <f t="shared" ref="V1489:AL1489" si="1809">V1400/V$421</f>
        <v>0</v>
      </c>
      <c r="W1489" s="1411">
        <f t="shared" si="1809"/>
        <v>0</v>
      </c>
      <c r="X1489" s="1411">
        <f t="shared" si="1809"/>
        <v>0</v>
      </c>
      <c r="Y1489" s="1411">
        <f t="shared" si="1809"/>
        <v>7.2297742878247737E-2</v>
      </c>
      <c r="Z1489" s="1411">
        <f t="shared" si="1809"/>
        <v>7.3221314178270658E-2</v>
      </c>
      <c r="AA1489" s="1411">
        <f t="shared" si="1809"/>
        <v>8.02062667483633E-2</v>
      </c>
      <c r="AB1489" s="1411">
        <f t="shared" si="1809"/>
        <v>7.3238449865221975E-2</v>
      </c>
      <c r="AC1489" s="1411">
        <f t="shared" si="1809"/>
        <v>7.5813350996855169E-2</v>
      </c>
      <c r="AD1489" s="1411">
        <f t="shared" si="1809"/>
        <v>7.6961593388055236E-2</v>
      </c>
      <c r="AE1489" s="1411">
        <f t="shared" si="1809"/>
        <v>7.3880581761522859E-2</v>
      </c>
      <c r="AF1489" s="1411">
        <f t="shared" si="1809"/>
        <v>7.390705972198762E-2</v>
      </c>
      <c r="AG1489" s="1411">
        <f t="shared" si="1809"/>
        <v>7.0644040142118947E-2</v>
      </c>
      <c r="AH1489" s="1411">
        <f t="shared" si="1809"/>
        <v>6.5216645495061704E-2</v>
      </c>
      <c r="AI1489" s="1411">
        <f t="shared" si="1809"/>
        <v>6.4146743859517033E-2</v>
      </c>
      <c r="AJ1489" s="1411">
        <f t="shared" si="1809"/>
        <v>6.5547419963823683E-2</v>
      </c>
      <c r="AK1489" s="1411">
        <f t="shared" si="1809"/>
        <v>7.4487904718312459E-2</v>
      </c>
      <c r="AL1489" s="1411">
        <f t="shared" si="1809"/>
        <v>7.8526462596365684E-2</v>
      </c>
      <c r="AM1489" s="1411">
        <f t="shared" si="1799"/>
        <v>8.0341336858907722E-2</v>
      </c>
      <c r="AN1489" s="1411">
        <f t="shared" si="1799"/>
        <v>8.1241463858959403E-2</v>
      </c>
      <c r="AO1489" s="1411">
        <f t="shared" si="1799"/>
        <v>8.2978154290013872E-2</v>
      </c>
      <c r="AP1489" s="1411">
        <f t="shared" ref="AP1489:AT1489" si="1810">AP1400/AP$421</f>
        <v>8.3176428640509892E-2</v>
      </c>
      <c r="AQ1489" s="1411">
        <f t="shared" si="1810"/>
        <v>8.0880707270925126E-2</v>
      </c>
      <c r="AR1489" s="1411">
        <f t="shared" si="1810"/>
        <v>8.0479286435752986E-2</v>
      </c>
      <c r="AS1489" s="1411">
        <f t="shared" si="1810"/>
        <v>8.0792443646878195E-2</v>
      </c>
      <c r="AT1489" s="2692">
        <f t="shared" si="1810"/>
        <v>8.0769287237195855E-2</v>
      </c>
    </row>
    <row r="1490" spans="1:46">
      <c r="A1490" s="1"/>
      <c r="B1490" s="1"/>
      <c r="C1490" s="1"/>
      <c r="D1490" s="2532" t="s">
        <v>487</v>
      </c>
      <c r="E1490" s="505"/>
      <c r="F1490" s="505"/>
      <c r="G1490" s="505"/>
      <c r="H1490" s="505"/>
      <c r="I1490" s="505"/>
      <c r="J1490" s="505"/>
      <c r="K1490" s="505"/>
      <c r="L1490" s="505"/>
      <c r="M1490" s="505"/>
      <c r="N1490" s="505"/>
      <c r="O1490" s="505"/>
      <c r="P1490" s="505"/>
      <c r="Q1490" s="505"/>
      <c r="R1490" s="505"/>
      <c r="S1490" s="505"/>
      <c r="T1490" s="505"/>
      <c r="U1490" s="505"/>
      <c r="V1490" s="1411">
        <f t="shared" ref="V1490:AL1490" si="1811">V1401/V$421</f>
        <v>0</v>
      </c>
      <c r="W1490" s="1411">
        <f t="shared" si="1811"/>
        <v>0</v>
      </c>
      <c r="X1490" s="1411">
        <f t="shared" si="1811"/>
        <v>0</v>
      </c>
      <c r="Y1490" s="1411">
        <f t="shared" si="1811"/>
        <v>1.0606570491125377E-2</v>
      </c>
      <c r="Z1490" s="1411">
        <f t="shared" si="1811"/>
        <v>1.113920490123029E-2</v>
      </c>
      <c r="AA1490" s="1411">
        <f t="shared" si="1811"/>
        <v>1.1766591644027328E-2</v>
      </c>
      <c r="AB1490" s="1411">
        <f t="shared" si="1811"/>
        <v>1.1145482320857235E-2</v>
      </c>
      <c r="AC1490" s="1411">
        <f t="shared" si="1811"/>
        <v>1.046642701478241E-2</v>
      </c>
      <c r="AD1490" s="1411">
        <f t="shared" si="1811"/>
        <v>1.2721467297814208E-2</v>
      </c>
      <c r="AE1490" s="1411">
        <f t="shared" si="1811"/>
        <v>1.2166129058234441E-2</v>
      </c>
      <c r="AF1490" s="1411">
        <f t="shared" si="1811"/>
        <v>1.1786149146195938E-2</v>
      </c>
      <c r="AG1490" s="1411">
        <f t="shared" si="1811"/>
        <v>1.0763001791369159E-2</v>
      </c>
      <c r="AH1490" s="1411">
        <f t="shared" si="1811"/>
        <v>1.3394343508966121E-2</v>
      </c>
      <c r="AI1490" s="1411">
        <f t="shared" si="1811"/>
        <v>1.0485850939774857E-2</v>
      </c>
      <c r="AJ1490" s="1411">
        <f t="shared" si="1811"/>
        <v>1.1195192840262325E-2</v>
      </c>
      <c r="AK1490" s="1411">
        <f t="shared" si="1811"/>
        <v>1.0901009458045563E-2</v>
      </c>
      <c r="AL1490" s="1411">
        <f t="shared" si="1811"/>
        <v>1.1256472227988248E-2</v>
      </c>
      <c r="AM1490" s="1411">
        <f t="shared" si="1799"/>
        <v>1.1366905542451814E-2</v>
      </c>
      <c r="AN1490" s="1411">
        <f t="shared" si="1799"/>
        <v>1.1477083393860547E-2</v>
      </c>
      <c r="AO1490" s="1411">
        <f t="shared" si="1799"/>
        <v>1.1565787644984797E-2</v>
      </c>
      <c r="AP1490" s="1411">
        <f t="shared" ref="AP1490:AT1490" si="1812">AP1401/AP$421</f>
        <v>1.1709581319567451E-2</v>
      </c>
      <c r="AQ1490" s="1411">
        <f t="shared" si="1812"/>
        <v>1.1406396031311085E-2</v>
      </c>
      <c r="AR1490" s="1411">
        <f t="shared" si="1812"/>
        <v>1.1248969791881112E-2</v>
      </c>
      <c r="AS1490" s="1411">
        <f t="shared" si="1812"/>
        <v>1.1081477712488064E-2</v>
      </c>
      <c r="AT1490" s="2692">
        <f t="shared" si="1812"/>
        <v>1.1154464145473721E-2</v>
      </c>
    </row>
    <row r="1491" spans="1:46">
      <c r="A1491" s="1"/>
      <c r="B1491" s="1"/>
      <c r="C1491" s="1"/>
      <c r="D1491" s="2532" t="s">
        <v>494</v>
      </c>
      <c r="E1491" s="505"/>
      <c r="F1491" s="505"/>
      <c r="G1491" s="505"/>
      <c r="H1491" s="505"/>
      <c r="I1491" s="505"/>
      <c r="J1491" s="505"/>
      <c r="K1491" s="505"/>
      <c r="L1491" s="505"/>
      <c r="M1491" s="505"/>
      <c r="N1491" s="505"/>
      <c r="O1491" s="505"/>
      <c r="P1491" s="505"/>
      <c r="Q1491" s="505"/>
      <c r="R1491" s="505"/>
      <c r="S1491" s="505"/>
      <c r="T1491" s="505"/>
      <c r="U1491" s="505"/>
      <c r="V1491" s="1411">
        <f t="shared" ref="V1491:AL1491" si="1813">V1402/V$421</f>
        <v>0</v>
      </c>
      <c r="W1491" s="1411">
        <f t="shared" si="1813"/>
        <v>0</v>
      </c>
      <c r="X1491" s="1411">
        <f t="shared" si="1813"/>
        <v>0</v>
      </c>
      <c r="Y1491" s="1411">
        <f t="shared" si="1813"/>
        <v>0</v>
      </c>
      <c r="Z1491" s="1411">
        <f t="shared" si="1813"/>
        <v>0</v>
      </c>
      <c r="AA1491" s="1411">
        <f t="shared" si="1813"/>
        <v>0</v>
      </c>
      <c r="AB1491" s="1411">
        <f t="shared" si="1813"/>
        <v>2.7651487495439627E-3</v>
      </c>
      <c r="AC1491" s="1411">
        <f t="shared" si="1813"/>
        <v>4.8686770419220588E-3</v>
      </c>
      <c r="AD1491" s="1411">
        <f t="shared" si="1813"/>
        <v>0</v>
      </c>
      <c r="AE1491" s="1411">
        <f t="shared" si="1813"/>
        <v>0</v>
      </c>
      <c r="AF1491" s="1411">
        <f t="shared" si="1813"/>
        <v>0</v>
      </c>
      <c r="AG1491" s="1411">
        <f t="shared" si="1813"/>
        <v>0</v>
      </c>
      <c r="AH1491" s="1411">
        <f t="shared" si="1813"/>
        <v>0</v>
      </c>
      <c r="AI1491" s="1411">
        <f t="shared" si="1813"/>
        <v>0</v>
      </c>
      <c r="AJ1491" s="1411">
        <f t="shared" si="1813"/>
        <v>0</v>
      </c>
      <c r="AK1491" s="1411">
        <f t="shared" si="1813"/>
        <v>0</v>
      </c>
      <c r="AL1491" s="1411">
        <f t="shared" si="1813"/>
        <v>0</v>
      </c>
      <c r="AM1491" s="1411">
        <f t="shared" si="1799"/>
        <v>0</v>
      </c>
      <c r="AN1491" s="1411">
        <f t="shared" si="1799"/>
        <v>0</v>
      </c>
      <c r="AO1491" s="1411">
        <f t="shared" si="1799"/>
        <v>0</v>
      </c>
      <c r="AP1491" s="1411">
        <f t="shared" ref="AP1491:AT1491" si="1814">AP1402/AP$421</f>
        <v>0</v>
      </c>
      <c r="AQ1491" s="1411">
        <f t="shared" si="1814"/>
        <v>0</v>
      </c>
      <c r="AR1491" s="1411">
        <f t="shared" si="1814"/>
        <v>0</v>
      </c>
      <c r="AS1491" s="1411">
        <f t="shared" si="1814"/>
        <v>0</v>
      </c>
      <c r="AT1491" s="2692">
        <f t="shared" si="1814"/>
        <v>0</v>
      </c>
    </row>
    <row r="1492" spans="1:46">
      <c r="A1492" s="1"/>
      <c r="B1492" s="1"/>
      <c r="C1492" s="1"/>
      <c r="D1492" s="2531" t="s">
        <v>496</v>
      </c>
      <c r="E1492" s="505"/>
      <c r="F1492" s="505"/>
      <c r="G1492" s="505"/>
      <c r="H1492" s="505"/>
      <c r="I1492" s="505"/>
      <c r="J1492" s="505"/>
      <c r="K1492" s="505"/>
      <c r="L1492" s="505"/>
      <c r="M1492" s="505"/>
      <c r="N1492" s="505"/>
      <c r="O1492" s="505"/>
      <c r="P1492" s="505"/>
      <c r="Q1492" s="505"/>
      <c r="R1492" s="505"/>
      <c r="S1492" s="505"/>
      <c r="T1492" s="505"/>
      <c r="U1492" s="505"/>
      <c r="V1492" s="1411">
        <f t="shared" ref="V1492:AL1492" si="1815">V1403/V$421</f>
        <v>0</v>
      </c>
      <c r="W1492" s="1411">
        <f t="shared" si="1815"/>
        <v>0</v>
      </c>
      <c r="X1492" s="1411">
        <f t="shared" si="1815"/>
        <v>0</v>
      </c>
      <c r="Y1492" s="1411">
        <f t="shared" si="1815"/>
        <v>0</v>
      </c>
      <c r="Z1492" s="1411">
        <f t="shared" si="1815"/>
        <v>0</v>
      </c>
      <c r="AA1492" s="1411">
        <f t="shared" si="1815"/>
        <v>0</v>
      </c>
      <c r="AB1492" s="1411">
        <f t="shared" si="1815"/>
        <v>0</v>
      </c>
      <c r="AC1492" s="1411">
        <f t="shared" si="1815"/>
        <v>0</v>
      </c>
      <c r="AD1492" s="1411">
        <f t="shared" si="1815"/>
        <v>0</v>
      </c>
      <c r="AE1492" s="1411">
        <f t="shared" si="1815"/>
        <v>0</v>
      </c>
      <c r="AF1492" s="1411">
        <f t="shared" si="1815"/>
        <v>0</v>
      </c>
      <c r="AG1492" s="1411">
        <f t="shared" si="1815"/>
        <v>0</v>
      </c>
      <c r="AH1492" s="1411">
        <f t="shared" si="1815"/>
        <v>0</v>
      </c>
      <c r="AI1492" s="1411">
        <f t="shared" si="1815"/>
        <v>0</v>
      </c>
      <c r="AJ1492" s="1411">
        <f t="shared" si="1815"/>
        <v>0</v>
      </c>
      <c r="AK1492" s="1411">
        <f t="shared" si="1815"/>
        <v>0</v>
      </c>
      <c r="AL1492" s="1411">
        <f t="shared" si="1815"/>
        <v>0</v>
      </c>
      <c r="AM1492" s="1411">
        <f t="shared" si="1799"/>
        <v>0</v>
      </c>
      <c r="AN1492" s="1411">
        <f t="shared" si="1799"/>
        <v>0</v>
      </c>
      <c r="AO1492" s="1411">
        <f t="shared" si="1799"/>
        <v>0</v>
      </c>
      <c r="AP1492" s="1411">
        <f t="shared" ref="AP1492:AT1492" si="1816">AP1403/AP$421</f>
        <v>0</v>
      </c>
      <c r="AQ1492" s="1411">
        <f t="shared" si="1816"/>
        <v>0</v>
      </c>
      <c r="AR1492" s="1411">
        <f t="shared" si="1816"/>
        <v>0</v>
      </c>
      <c r="AS1492" s="1411">
        <f t="shared" si="1816"/>
        <v>0</v>
      </c>
      <c r="AT1492" s="2692">
        <f t="shared" si="1816"/>
        <v>0</v>
      </c>
    </row>
    <row r="1493" spans="1:46">
      <c r="A1493" s="1"/>
      <c r="B1493" s="1"/>
      <c r="C1493" s="1"/>
      <c r="D1493" s="2531" t="s">
        <v>504</v>
      </c>
      <c r="E1493" s="505"/>
      <c r="F1493" s="505"/>
      <c r="G1493" s="505"/>
      <c r="H1493" s="505"/>
      <c r="I1493" s="505"/>
      <c r="J1493" s="505"/>
      <c r="K1493" s="505"/>
      <c r="L1493" s="505"/>
      <c r="M1493" s="505"/>
      <c r="N1493" s="505"/>
      <c r="O1493" s="505"/>
      <c r="P1493" s="505"/>
      <c r="Q1493" s="505"/>
      <c r="R1493" s="505"/>
      <c r="S1493" s="505"/>
      <c r="T1493" s="505"/>
      <c r="U1493" s="505"/>
      <c r="V1493" s="1411">
        <f t="shared" ref="V1493:AL1493" si="1817">V1404/V$421</f>
        <v>0.10032444940047644</v>
      </c>
      <c r="W1493" s="1411">
        <f t="shared" si="1817"/>
        <v>0.10459638691973473</v>
      </c>
      <c r="X1493" s="1411">
        <f t="shared" si="1817"/>
        <v>7.5299215848122159E-2</v>
      </c>
      <c r="Y1493" s="1411">
        <f t="shared" si="1817"/>
        <v>8.9561302345660898E-2</v>
      </c>
      <c r="Z1493" s="1411">
        <f t="shared" si="1817"/>
        <v>7.2071981804765137E-2</v>
      </c>
      <c r="AA1493" s="1411">
        <f t="shared" si="1817"/>
        <v>5.8003042960352226E-2</v>
      </c>
      <c r="AB1493" s="1411">
        <f t="shared" si="1817"/>
        <v>4.562416525445883E-2</v>
      </c>
      <c r="AC1493" s="1411">
        <f t="shared" si="1817"/>
        <v>4.496475530803188E-2</v>
      </c>
      <c r="AD1493" s="1411">
        <f t="shared" si="1817"/>
        <v>4.4939669610224921E-2</v>
      </c>
      <c r="AE1493" s="1411">
        <f t="shared" si="1817"/>
        <v>4.5389876000401196E-2</v>
      </c>
      <c r="AF1493" s="1411">
        <f t="shared" si="1817"/>
        <v>5.3915284895045441E-2</v>
      </c>
      <c r="AG1493" s="1411">
        <f t="shared" si="1817"/>
        <v>6.6686977864413105E-2</v>
      </c>
      <c r="AH1493" s="1411">
        <f t="shared" si="1817"/>
        <v>4.5019445933857712E-2</v>
      </c>
      <c r="AI1493" s="1411">
        <f t="shared" si="1817"/>
        <v>4.085679523017291E-2</v>
      </c>
      <c r="AJ1493" s="1411">
        <f t="shared" si="1817"/>
        <v>2.8384365394715557E-2</v>
      </c>
      <c r="AK1493" s="1411">
        <f t="shared" si="1817"/>
        <v>2.6427980866317119E-2</v>
      </c>
      <c r="AL1493" s="1411">
        <f t="shared" si="1817"/>
        <v>1.8855910216559812E-2</v>
      </c>
      <c r="AM1493" s="1411">
        <f t="shared" si="1799"/>
        <v>1.8622753409036606E-2</v>
      </c>
      <c r="AN1493" s="1411">
        <f t="shared" si="1799"/>
        <v>1.6832337417158529E-2</v>
      </c>
      <c r="AO1493" s="1411">
        <f t="shared" si="1799"/>
        <v>1.5180911076032949E-2</v>
      </c>
      <c r="AP1493" s="1411">
        <f t="shared" ref="AP1493:AT1493" si="1818">AP1404/AP$421</f>
        <v>1.5540255647715127E-2</v>
      </c>
      <c r="AQ1493" s="1411">
        <f t="shared" si="1818"/>
        <v>1.694626054915551E-2</v>
      </c>
      <c r="AR1493" s="1411">
        <f t="shared" si="1818"/>
        <v>1.5650814642593668E-2</v>
      </c>
      <c r="AS1493" s="1411">
        <f t="shared" si="1818"/>
        <v>1.4444231999401038E-2</v>
      </c>
      <c r="AT1493" s="2692">
        <f t="shared" si="1818"/>
        <v>1.159853763509373E-2</v>
      </c>
    </row>
    <row r="1494" spans="1:46">
      <c r="A1494" s="1"/>
      <c r="B1494" s="1"/>
      <c r="C1494" s="1"/>
      <c r="D1494" s="2531" t="s">
        <v>3021</v>
      </c>
      <c r="E1494" s="505"/>
      <c r="F1494" s="505"/>
      <c r="G1494" s="505"/>
      <c r="H1494" s="505"/>
      <c r="I1494" s="505"/>
      <c r="J1494" s="505"/>
      <c r="K1494" s="505"/>
      <c r="L1494" s="505"/>
      <c r="M1494" s="505"/>
      <c r="N1494" s="505"/>
      <c r="O1494" s="505"/>
      <c r="P1494" s="505"/>
      <c r="Q1494" s="505"/>
      <c r="R1494" s="505"/>
      <c r="S1494" s="505"/>
      <c r="T1494" s="505"/>
      <c r="U1494" s="505"/>
      <c r="V1494" s="1411">
        <f t="shared" ref="V1494:AL1494" si="1819">V1405/V$421</f>
        <v>0</v>
      </c>
      <c r="W1494" s="1411">
        <f t="shared" si="1819"/>
        <v>0</v>
      </c>
      <c r="X1494" s="1411">
        <f t="shared" si="1819"/>
        <v>0</v>
      </c>
      <c r="Y1494" s="1411">
        <f t="shared" si="1819"/>
        <v>0</v>
      </c>
      <c r="Z1494" s="1411">
        <f t="shared" si="1819"/>
        <v>0</v>
      </c>
      <c r="AA1494" s="1411">
        <f t="shared" si="1819"/>
        <v>0</v>
      </c>
      <c r="AB1494" s="1411">
        <f t="shared" si="1819"/>
        <v>9.5166548545045932E-3</v>
      </c>
      <c r="AC1494" s="1411">
        <f t="shared" si="1819"/>
        <v>7.8828873724074763E-3</v>
      </c>
      <c r="AD1494" s="1411">
        <f t="shared" si="1819"/>
        <v>2.1491253976524513E-3</v>
      </c>
      <c r="AE1494" s="1411">
        <f t="shared" si="1819"/>
        <v>2.5089051627528959E-3</v>
      </c>
      <c r="AF1494" s="1411">
        <f t="shared" si="1819"/>
        <v>8.5887216140176457E-4</v>
      </c>
      <c r="AG1494" s="1411">
        <f t="shared" si="1819"/>
        <v>1.7358154039057331E-2</v>
      </c>
      <c r="AH1494" s="1411">
        <f t="shared" si="1819"/>
        <v>2.5671931507139933E-2</v>
      </c>
      <c r="AI1494" s="1411">
        <f t="shared" si="1819"/>
        <v>2.284734981103638E-2</v>
      </c>
      <c r="AJ1494" s="1411">
        <f t="shared" si="1819"/>
        <v>1.5016123814273594E-2</v>
      </c>
      <c r="AK1494" s="1411">
        <f t="shared" si="1819"/>
        <v>1.1086851862745018E-2</v>
      </c>
      <c r="AL1494" s="1411">
        <f t="shared" si="1819"/>
        <v>1.0140984543037485E-2</v>
      </c>
      <c r="AM1494" s="1411">
        <f t="shared" si="1799"/>
        <v>9.433022478015838E-3</v>
      </c>
      <c r="AN1494" s="1411">
        <f t="shared" si="1799"/>
        <v>8.7568233348632053E-3</v>
      </c>
      <c r="AO1494" s="1411">
        <f t="shared" si="1799"/>
        <v>8.0948187436489828E-3</v>
      </c>
      <c r="AP1494" s="1411">
        <f t="shared" ref="AP1494:AT1494" si="1820">AP1405/AP$421</f>
        <v>7.7642311956895287E-3</v>
      </c>
      <c r="AQ1494" s="1411">
        <f t="shared" si="1820"/>
        <v>7.1315973358192968E-3</v>
      </c>
      <c r="AR1494" s="1411">
        <f t="shared" si="1820"/>
        <v>6.5945463628383095E-3</v>
      </c>
      <c r="AS1494" s="1411">
        <f t="shared" si="1820"/>
        <v>6.0855217803719771E-3</v>
      </c>
      <c r="AT1494" s="2692">
        <f t="shared" si="1820"/>
        <v>4.8832956618684448E-3</v>
      </c>
    </row>
    <row r="1495" spans="1:46">
      <c r="A1495" s="1"/>
      <c r="B1495" s="1"/>
      <c r="C1495" s="1"/>
      <c r="D1495" s="2533" t="s">
        <v>506</v>
      </c>
      <c r="E1495" s="505"/>
      <c r="F1495" s="505"/>
      <c r="G1495" s="505"/>
      <c r="H1495" s="505"/>
      <c r="I1495" s="505"/>
      <c r="J1495" s="505"/>
      <c r="K1495" s="505"/>
      <c r="L1495" s="505"/>
      <c r="M1495" s="505"/>
      <c r="N1495" s="505"/>
      <c r="O1495" s="505"/>
      <c r="P1495" s="505"/>
      <c r="Q1495" s="505"/>
      <c r="R1495" s="505"/>
      <c r="S1495" s="505"/>
      <c r="T1495" s="505"/>
      <c r="U1495" s="505"/>
      <c r="V1495" s="1411">
        <f t="shared" ref="V1495:AL1495" si="1821">V1406/V$421</f>
        <v>0</v>
      </c>
      <c r="W1495" s="1411">
        <f t="shared" si="1821"/>
        <v>0</v>
      </c>
      <c r="X1495" s="1411">
        <f t="shared" si="1821"/>
        <v>0</v>
      </c>
      <c r="Y1495" s="1411">
        <f t="shared" si="1821"/>
        <v>0</v>
      </c>
      <c r="Z1495" s="1411">
        <f t="shared" si="1821"/>
        <v>0</v>
      </c>
      <c r="AA1495" s="1411">
        <f t="shared" si="1821"/>
        <v>0</v>
      </c>
      <c r="AB1495" s="1411">
        <f t="shared" si="1821"/>
        <v>9.5166548545045932E-3</v>
      </c>
      <c r="AC1495" s="1411">
        <f t="shared" si="1821"/>
        <v>7.8828873724074763E-3</v>
      </c>
      <c r="AD1495" s="1411">
        <f t="shared" si="1821"/>
        <v>2.1491253976524513E-3</v>
      </c>
      <c r="AE1495" s="1411">
        <f t="shared" si="1821"/>
        <v>2.5089051627528959E-3</v>
      </c>
      <c r="AF1495" s="1411">
        <f t="shared" si="1821"/>
        <v>8.5887216140176457E-4</v>
      </c>
      <c r="AG1495" s="1411">
        <f t="shared" si="1821"/>
        <v>1.7358154039057331E-2</v>
      </c>
      <c r="AH1495" s="1411">
        <f t="shared" si="1821"/>
        <v>1.0047229336436134E-2</v>
      </c>
      <c r="AI1495" s="1411">
        <f t="shared" si="1821"/>
        <v>5.7041042087925967E-3</v>
      </c>
      <c r="AJ1495" s="1411">
        <f t="shared" si="1821"/>
        <v>1.6650195103307722E-3</v>
      </c>
      <c r="AK1495" s="1411">
        <f t="shared" si="1821"/>
        <v>0</v>
      </c>
      <c r="AL1495" s="1411">
        <f t="shared" si="1821"/>
        <v>0</v>
      </c>
      <c r="AM1495" s="1411">
        <f t="shared" si="1799"/>
        <v>0</v>
      </c>
      <c r="AN1495" s="1411">
        <f t="shared" si="1799"/>
        <v>0</v>
      </c>
      <c r="AO1495" s="1411">
        <f t="shared" si="1799"/>
        <v>0</v>
      </c>
      <c r="AP1495" s="1411">
        <f t="shared" ref="AP1495:AT1495" si="1822">AP1406/AP$421</f>
        <v>0</v>
      </c>
      <c r="AQ1495" s="1411">
        <f t="shared" si="1822"/>
        <v>0</v>
      </c>
      <c r="AR1495" s="1411">
        <f t="shared" si="1822"/>
        <v>0</v>
      </c>
      <c r="AS1495" s="1411">
        <f t="shared" si="1822"/>
        <v>0</v>
      </c>
      <c r="AT1495" s="2692">
        <f t="shared" si="1822"/>
        <v>0</v>
      </c>
    </row>
    <row r="1496" spans="1:46">
      <c r="A1496" s="1"/>
      <c r="B1496" s="1"/>
      <c r="C1496" s="1"/>
      <c r="D1496" s="2533" t="s">
        <v>507</v>
      </c>
      <c r="E1496" s="505"/>
      <c r="F1496" s="505"/>
      <c r="G1496" s="505"/>
      <c r="H1496" s="505"/>
      <c r="I1496" s="505"/>
      <c r="J1496" s="505"/>
      <c r="K1496" s="505"/>
      <c r="L1496" s="505"/>
      <c r="M1496" s="505"/>
      <c r="N1496" s="505"/>
      <c r="O1496" s="505"/>
      <c r="P1496" s="505"/>
      <c r="Q1496" s="505"/>
      <c r="R1496" s="505"/>
      <c r="S1496" s="505"/>
      <c r="T1496" s="505"/>
      <c r="U1496" s="505"/>
      <c r="V1496" s="1411">
        <f t="shared" ref="V1496:AL1496" si="1823">V1407/V$421</f>
        <v>0</v>
      </c>
      <c r="W1496" s="1411">
        <f t="shared" si="1823"/>
        <v>0</v>
      </c>
      <c r="X1496" s="1411">
        <f t="shared" si="1823"/>
        <v>0</v>
      </c>
      <c r="Y1496" s="1411">
        <f t="shared" si="1823"/>
        <v>0</v>
      </c>
      <c r="Z1496" s="1411">
        <f t="shared" si="1823"/>
        <v>0</v>
      </c>
      <c r="AA1496" s="1411">
        <f t="shared" si="1823"/>
        <v>0</v>
      </c>
      <c r="AB1496" s="1411">
        <f t="shared" si="1823"/>
        <v>0</v>
      </c>
      <c r="AC1496" s="1411">
        <f t="shared" si="1823"/>
        <v>0</v>
      </c>
      <c r="AD1496" s="1411">
        <f t="shared" si="1823"/>
        <v>0</v>
      </c>
      <c r="AE1496" s="1411">
        <f t="shared" si="1823"/>
        <v>0</v>
      </c>
      <c r="AF1496" s="1411">
        <f t="shared" si="1823"/>
        <v>0</v>
      </c>
      <c r="AG1496" s="1411">
        <f t="shared" si="1823"/>
        <v>0</v>
      </c>
      <c r="AH1496" s="1411">
        <f t="shared" si="1823"/>
        <v>1.5624702170703801E-2</v>
      </c>
      <c r="AI1496" s="1411">
        <f t="shared" si="1823"/>
        <v>1.7143245602243784E-2</v>
      </c>
      <c r="AJ1496" s="1411">
        <f t="shared" si="1823"/>
        <v>1.3351104303942821E-2</v>
      </c>
      <c r="AK1496" s="1411">
        <f t="shared" si="1823"/>
        <v>1.1086851862745018E-2</v>
      </c>
      <c r="AL1496" s="1411">
        <f t="shared" si="1823"/>
        <v>1.0140984543037485E-2</v>
      </c>
      <c r="AM1496" s="1411">
        <f t="shared" si="1799"/>
        <v>9.433022478015838E-3</v>
      </c>
      <c r="AN1496" s="1411">
        <f t="shared" si="1799"/>
        <v>8.7568233348632053E-3</v>
      </c>
      <c r="AO1496" s="1411">
        <f t="shared" si="1799"/>
        <v>8.0948187436489828E-3</v>
      </c>
      <c r="AP1496" s="1411">
        <f t="shared" ref="AP1496:AT1496" si="1824">AP1407/AP$421</f>
        <v>7.7642311956895287E-3</v>
      </c>
      <c r="AQ1496" s="1411">
        <f t="shared" si="1824"/>
        <v>7.1315973358192968E-3</v>
      </c>
      <c r="AR1496" s="1411">
        <f t="shared" si="1824"/>
        <v>6.5945463628383095E-3</v>
      </c>
      <c r="AS1496" s="1411">
        <f t="shared" si="1824"/>
        <v>6.0855217803719771E-3</v>
      </c>
      <c r="AT1496" s="2692">
        <f t="shared" si="1824"/>
        <v>4.8832956618684448E-3</v>
      </c>
    </row>
    <row r="1497" spans="1:46">
      <c r="A1497" s="1"/>
      <c r="B1497" s="1"/>
      <c r="C1497" s="1"/>
      <c r="D1497" s="2534" t="s">
        <v>3022</v>
      </c>
      <c r="E1497" s="505"/>
      <c r="F1497" s="505"/>
      <c r="G1497" s="505"/>
      <c r="H1497" s="505"/>
      <c r="I1497" s="505"/>
      <c r="J1497" s="505"/>
      <c r="K1497" s="505"/>
      <c r="L1497" s="505"/>
      <c r="M1497" s="505"/>
      <c r="N1497" s="505"/>
      <c r="O1497" s="505"/>
      <c r="P1497" s="505"/>
      <c r="Q1497" s="505"/>
      <c r="R1497" s="505"/>
      <c r="S1497" s="505"/>
      <c r="T1497" s="505"/>
      <c r="U1497" s="505"/>
      <c r="V1497" s="1411">
        <f t="shared" ref="V1497:AL1497" si="1825">V1408/V$421</f>
        <v>0.10032444940047644</v>
      </c>
      <c r="W1497" s="1411">
        <f t="shared" si="1825"/>
        <v>0.10459638691973473</v>
      </c>
      <c r="X1497" s="1411">
        <f t="shared" si="1825"/>
        <v>7.5299215848122159E-2</v>
      </c>
      <c r="Y1497" s="1411">
        <f t="shared" si="1825"/>
        <v>8.9561302345660898E-2</v>
      </c>
      <c r="Z1497" s="1411">
        <f t="shared" si="1825"/>
        <v>7.2071981804765137E-2</v>
      </c>
      <c r="AA1497" s="1411">
        <f t="shared" si="1825"/>
        <v>5.8003042960352226E-2</v>
      </c>
      <c r="AB1497" s="1411">
        <f t="shared" si="1825"/>
        <v>3.6107510399954239E-2</v>
      </c>
      <c r="AC1497" s="1411">
        <f t="shared" si="1825"/>
        <v>3.7081867935624402E-2</v>
      </c>
      <c r="AD1497" s="1411">
        <f t="shared" si="1825"/>
        <v>4.2790544212572473E-2</v>
      </c>
      <c r="AE1497" s="1411">
        <f t="shared" si="1825"/>
        <v>4.2880970837648302E-2</v>
      </c>
      <c r="AF1497" s="1411">
        <f t="shared" si="1825"/>
        <v>5.3056412733643678E-2</v>
      </c>
      <c r="AG1497" s="1411">
        <f t="shared" si="1825"/>
        <v>4.9328823825355771E-2</v>
      </c>
      <c r="AH1497" s="1411">
        <f t="shared" si="1825"/>
        <v>1.9347514426717782E-2</v>
      </c>
      <c r="AI1497" s="1411">
        <f t="shared" si="1825"/>
        <v>1.8009445419136533E-2</v>
      </c>
      <c r="AJ1497" s="1411">
        <f t="shared" si="1825"/>
        <v>1.3368241580441967E-2</v>
      </c>
      <c r="AK1497" s="1411">
        <f t="shared" si="1825"/>
        <v>1.5341129003572101E-2</v>
      </c>
      <c r="AL1497" s="1411">
        <f t="shared" si="1825"/>
        <v>8.7149256735223283E-3</v>
      </c>
      <c r="AM1497" s="1411">
        <f t="shared" si="1799"/>
        <v>9.1897309310207641E-3</v>
      </c>
      <c r="AN1497" s="1411">
        <f t="shared" si="1799"/>
        <v>8.0755140822953275E-3</v>
      </c>
      <c r="AO1497" s="1411">
        <f t="shared" si="1799"/>
        <v>7.0860923323839671E-3</v>
      </c>
      <c r="AP1497" s="1411">
        <f t="shared" ref="AP1497:AT1497" si="1826">AP1408/AP$421</f>
        <v>7.7760244520255978E-3</v>
      </c>
      <c r="AQ1497" s="1411">
        <f t="shared" si="1826"/>
        <v>9.8146632133362128E-3</v>
      </c>
      <c r="AR1497" s="1411">
        <f t="shared" si="1826"/>
        <v>9.0562682797553605E-3</v>
      </c>
      <c r="AS1497" s="1411">
        <f t="shared" si="1826"/>
        <v>8.3587102190290606E-3</v>
      </c>
      <c r="AT1497" s="2692">
        <f t="shared" si="1826"/>
        <v>6.7152419732252853E-3</v>
      </c>
    </row>
    <row r="1498" spans="1:46">
      <c r="A1498" s="1"/>
      <c r="B1498" s="1"/>
      <c r="C1498" s="1"/>
      <c r="D1498" s="2533" t="s">
        <v>506</v>
      </c>
      <c r="E1498" s="505"/>
      <c r="F1498" s="505"/>
      <c r="G1498" s="505"/>
      <c r="H1498" s="505"/>
      <c r="I1498" s="505"/>
      <c r="J1498" s="505"/>
      <c r="K1498" s="505"/>
      <c r="L1498" s="505"/>
      <c r="M1498" s="505"/>
      <c r="N1498" s="505"/>
      <c r="O1498" s="505"/>
      <c r="P1498" s="505"/>
      <c r="Q1498" s="505"/>
      <c r="R1498" s="505"/>
      <c r="S1498" s="505"/>
      <c r="T1498" s="505"/>
      <c r="U1498" s="505"/>
      <c r="V1498" s="1411">
        <f t="shared" ref="V1498:AL1498" si="1827">V1409/V$421</f>
        <v>5.69152381776072E-2</v>
      </c>
      <c r="W1498" s="1411">
        <f t="shared" si="1827"/>
        <v>6.0759204207637772E-2</v>
      </c>
      <c r="X1498" s="1411">
        <f t="shared" si="1827"/>
        <v>3.9207593891869584E-2</v>
      </c>
      <c r="Y1498" s="1411">
        <f t="shared" si="1827"/>
        <v>3.2298882548348028E-2</v>
      </c>
      <c r="Z1498" s="1411">
        <f t="shared" si="1827"/>
        <v>3.0307347938821814E-2</v>
      </c>
      <c r="AA1498" s="1411">
        <f t="shared" si="1827"/>
        <v>3.1787522936167489E-2</v>
      </c>
      <c r="AB1498" s="1411">
        <f t="shared" si="1827"/>
        <v>1.5933405107706067E-2</v>
      </c>
      <c r="AC1498" s="1411">
        <f t="shared" si="1827"/>
        <v>1.5945561245571782E-2</v>
      </c>
      <c r="AD1498" s="1411">
        <f t="shared" si="1827"/>
        <v>1.6256444486460263E-2</v>
      </c>
      <c r="AE1498" s="1411">
        <f t="shared" si="1827"/>
        <v>1.5927875123721943E-2</v>
      </c>
      <c r="AF1498" s="1411">
        <f t="shared" si="1827"/>
        <v>2.4982470188601297E-2</v>
      </c>
      <c r="AG1498" s="1411">
        <f t="shared" si="1827"/>
        <v>1.8820411694306326E-2</v>
      </c>
      <c r="AH1498" s="1411">
        <f t="shared" si="1827"/>
        <v>9.574437816218969E-3</v>
      </c>
      <c r="AI1498" s="1411">
        <f t="shared" si="1827"/>
        <v>7.9748692585799603E-3</v>
      </c>
      <c r="AJ1498" s="1411">
        <f t="shared" si="1827"/>
        <v>5.9244886552565473E-3</v>
      </c>
      <c r="AK1498" s="1411">
        <f t="shared" si="1827"/>
        <v>4.4536328922089767E-3</v>
      </c>
      <c r="AL1498" s="1411">
        <f t="shared" si="1827"/>
        <v>3.373741149457586E-3</v>
      </c>
      <c r="AM1498" s="1411">
        <f t="shared" si="1799"/>
        <v>4.2214249977152113E-3</v>
      </c>
      <c r="AN1498" s="1411">
        <f t="shared" si="1799"/>
        <v>3.4633574344230499E-3</v>
      </c>
      <c r="AO1498" s="1411">
        <f t="shared" si="1799"/>
        <v>2.8226088002675791E-3</v>
      </c>
      <c r="AP1498" s="1411">
        <f t="shared" ref="AP1498:AT1498" si="1828">AP1409/AP$421</f>
        <v>1.9190315395950157E-3</v>
      </c>
      <c r="AQ1498" s="1411">
        <f t="shared" si="1828"/>
        <v>2.8113011027220765E-3</v>
      </c>
      <c r="AR1498" s="1411">
        <f t="shared" si="1828"/>
        <v>2.5803002799602158E-3</v>
      </c>
      <c r="AS1498" s="1411">
        <f t="shared" si="1828"/>
        <v>2.3826138898217714E-3</v>
      </c>
      <c r="AT1498" s="2692">
        <f t="shared" si="1828"/>
        <v>1.9197542019955718E-3</v>
      </c>
    </row>
    <row r="1499" spans="1:46">
      <c r="A1499" s="1"/>
      <c r="B1499" s="1"/>
      <c r="C1499" s="1"/>
      <c r="D1499" s="2533" t="s">
        <v>507</v>
      </c>
      <c r="E1499" s="505"/>
      <c r="F1499" s="505"/>
      <c r="G1499" s="505"/>
      <c r="H1499" s="505"/>
      <c r="I1499" s="505"/>
      <c r="J1499" s="505"/>
      <c r="K1499" s="505"/>
      <c r="L1499" s="505"/>
      <c r="M1499" s="505"/>
      <c r="N1499" s="505"/>
      <c r="O1499" s="505"/>
      <c r="P1499" s="505"/>
      <c r="Q1499" s="505"/>
      <c r="R1499" s="505"/>
      <c r="S1499" s="505"/>
      <c r="T1499" s="505"/>
      <c r="U1499" s="505"/>
      <c r="V1499" s="1411">
        <f t="shared" ref="V1499:AL1499" si="1829">V1410/V$421</f>
        <v>4.340921122286924E-2</v>
      </c>
      <c r="W1499" s="1411">
        <f t="shared" si="1829"/>
        <v>4.3837182712096953E-2</v>
      </c>
      <c r="X1499" s="1411">
        <f t="shared" si="1829"/>
        <v>3.6091621956252581E-2</v>
      </c>
      <c r="Y1499" s="1411">
        <f t="shared" si="1829"/>
        <v>5.726241979731287E-2</v>
      </c>
      <c r="Z1499" s="1411">
        <f t="shared" si="1829"/>
        <v>4.1764633865943319E-2</v>
      </c>
      <c r="AA1499" s="1411">
        <f t="shared" si="1829"/>
        <v>2.6215520024184733E-2</v>
      </c>
      <c r="AB1499" s="1411">
        <f t="shared" si="1829"/>
        <v>2.0174105292248168E-2</v>
      </c>
      <c r="AC1499" s="1411">
        <f t="shared" si="1829"/>
        <v>2.113630669005262E-2</v>
      </c>
      <c r="AD1499" s="1411">
        <f t="shared" si="1829"/>
        <v>2.6534099726112211E-2</v>
      </c>
      <c r="AE1499" s="1411">
        <f t="shared" si="1829"/>
        <v>2.6953095713926352E-2</v>
      </c>
      <c r="AF1499" s="1411">
        <f t="shared" si="1829"/>
        <v>2.8073942545042384E-2</v>
      </c>
      <c r="AG1499" s="1411">
        <f t="shared" si="1829"/>
        <v>3.0508412131049437E-2</v>
      </c>
      <c r="AH1499" s="1411">
        <f t="shared" si="1829"/>
        <v>9.7730766104988116E-3</v>
      </c>
      <c r="AI1499" s="1411">
        <f t="shared" si="1829"/>
        <v>1.0034576160556571E-2</v>
      </c>
      <c r="AJ1499" s="1411">
        <f t="shared" si="1829"/>
        <v>7.4437529251854184E-3</v>
      </c>
      <c r="AK1499" s="1411">
        <f t="shared" si="1829"/>
        <v>1.0887496111363125E-2</v>
      </c>
      <c r="AL1499" s="1411">
        <f t="shared" si="1829"/>
        <v>5.3411845240647427E-3</v>
      </c>
      <c r="AM1499" s="1411">
        <f t="shared" si="1799"/>
        <v>4.9683059333055536E-3</v>
      </c>
      <c r="AN1499" s="1411">
        <f t="shared" si="1799"/>
        <v>4.6121566478722776E-3</v>
      </c>
      <c r="AO1499" s="1411">
        <f t="shared" si="1799"/>
        <v>4.2634835321163876E-3</v>
      </c>
      <c r="AP1499" s="1411">
        <f t="shared" ref="AP1499:AT1499" si="1830">AP1410/AP$421</f>
        <v>5.8569929124305817E-3</v>
      </c>
      <c r="AQ1499" s="1411">
        <f t="shared" si="1830"/>
        <v>7.0033621106141367E-3</v>
      </c>
      <c r="AR1499" s="1411">
        <f t="shared" si="1830"/>
        <v>6.4759679997951443E-3</v>
      </c>
      <c r="AS1499" s="1411">
        <f t="shared" si="1830"/>
        <v>5.9760963292072892E-3</v>
      </c>
      <c r="AT1499" s="2692">
        <f t="shared" si="1830"/>
        <v>4.795487771229714E-3</v>
      </c>
    </row>
    <row r="1500" spans="1:46">
      <c r="A1500" s="1"/>
      <c r="B1500" s="1"/>
      <c r="C1500" s="1"/>
      <c r="D1500" s="2534" t="s">
        <v>3023</v>
      </c>
      <c r="E1500" s="505"/>
      <c r="F1500" s="505"/>
      <c r="G1500" s="505"/>
      <c r="H1500" s="505"/>
      <c r="I1500" s="505"/>
      <c r="J1500" s="505"/>
      <c r="K1500" s="505"/>
      <c r="L1500" s="505"/>
      <c r="M1500" s="505"/>
      <c r="N1500" s="505"/>
      <c r="O1500" s="505"/>
      <c r="P1500" s="505"/>
      <c r="Q1500" s="505"/>
      <c r="R1500" s="505"/>
      <c r="S1500" s="505"/>
      <c r="T1500" s="505"/>
      <c r="U1500" s="505"/>
      <c r="V1500" s="1411">
        <f t="shared" ref="V1500:AL1500" si="1831">V1411/V$421</f>
        <v>0</v>
      </c>
      <c r="W1500" s="1411">
        <f t="shared" si="1831"/>
        <v>0</v>
      </c>
      <c r="X1500" s="1411">
        <f t="shared" si="1831"/>
        <v>0</v>
      </c>
      <c r="Y1500" s="1411">
        <f t="shared" si="1831"/>
        <v>0</v>
      </c>
      <c r="Z1500" s="1411">
        <f t="shared" si="1831"/>
        <v>0</v>
      </c>
      <c r="AA1500" s="1411">
        <f t="shared" si="1831"/>
        <v>0</v>
      </c>
      <c r="AB1500" s="1411">
        <f t="shared" si="1831"/>
        <v>0</v>
      </c>
      <c r="AC1500" s="1411">
        <f t="shared" si="1831"/>
        <v>0</v>
      </c>
      <c r="AD1500" s="1411">
        <f t="shared" si="1831"/>
        <v>0</v>
      </c>
      <c r="AE1500" s="1411">
        <f t="shared" si="1831"/>
        <v>0</v>
      </c>
      <c r="AF1500" s="1411">
        <f t="shared" si="1831"/>
        <v>0</v>
      </c>
      <c r="AG1500" s="1411">
        <f t="shared" si="1831"/>
        <v>0</v>
      </c>
      <c r="AH1500" s="1411">
        <f t="shared" si="1831"/>
        <v>0</v>
      </c>
      <c r="AI1500" s="1411">
        <f t="shared" si="1831"/>
        <v>0</v>
      </c>
      <c r="AJ1500" s="1411">
        <f t="shared" si="1831"/>
        <v>0</v>
      </c>
      <c r="AK1500" s="1411">
        <f t="shared" si="1831"/>
        <v>0</v>
      </c>
      <c r="AL1500" s="1411">
        <f t="shared" si="1831"/>
        <v>0</v>
      </c>
      <c r="AM1500" s="1411">
        <f t="shared" si="1799"/>
        <v>0</v>
      </c>
      <c r="AN1500" s="1411">
        <f t="shared" si="1799"/>
        <v>0</v>
      </c>
      <c r="AO1500" s="1411">
        <f t="shared" si="1799"/>
        <v>0</v>
      </c>
      <c r="AP1500" s="1411">
        <f t="shared" ref="AP1500:AT1500" si="1832">AP1411/AP$421</f>
        <v>0</v>
      </c>
      <c r="AQ1500" s="1411">
        <f t="shared" si="1832"/>
        <v>0</v>
      </c>
      <c r="AR1500" s="1411">
        <f t="shared" si="1832"/>
        <v>0</v>
      </c>
      <c r="AS1500" s="1411">
        <f t="shared" si="1832"/>
        <v>0</v>
      </c>
      <c r="AT1500" s="2692">
        <f t="shared" si="1832"/>
        <v>0</v>
      </c>
    </row>
    <row r="1501" spans="1:46">
      <c r="A1501" s="1"/>
      <c r="B1501" s="1"/>
      <c r="C1501" s="1"/>
      <c r="D1501" s="2533" t="s">
        <v>3102</v>
      </c>
      <c r="E1501" s="505"/>
      <c r="F1501" s="505"/>
      <c r="G1501" s="505"/>
      <c r="H1501" s="505"/>
      <c r="I1501" s="505"/>
      <c r="J1501" s="505"/>
      <c r="K1501" s="505"/>
      <c r="L1501" s="505"/>
      <c r="M1501" s="505"/>
      <c r="N1501" s="505"/>
      <c r="O1501" s="505"/>
      <c r="P1501" s="505"/>
      <c r="Q1501" s="505"/>
      <c r="R1501" s="505"/>
      <c r="S1501" s="505"/>
      <c r="T1501" s="505"/>
      <c r="U1501" s="505"/>
      <c r="V1501" s="1411">
        <f t="shared" ref="V1501:AL1501" si="1833">V1412/V$421</f>
        <v>0</v>
      </c>
      <c r="W1501" s="1411">
        <f t="shared" si="1833"/>
        <v>0</v>
      </c>
      <c r="X1501" s="1411">
        <f t="shared" si="1833"/>
        <v>0</v>
      </c>
      <c r="Y1501" s="1411">
        <f t="shared" si="1833"/>
        <v>0</v>
      </c>
      <c r="Z1501" s="1411">
        <f t="shared" si="1833"/>
        <v>0</v>
      </c>
      <c r="AA1501" s="1411">
        <f t="shared" si="1833"/>
        <v>0</v>
      </c>
      <c r="AB1501" s="1411">
        <f t="shared" si="1833"/>
        <v>0</v>
      </c>
      <c r="AC1501" s="1411">
        <f t="shared" si="1833"/>
        <v>0</v>
      </c>
      <c r="AD1501" s="1411">
        <f t="shared" si="1833"/>
        <v>0</v>
      </c>
      <c r="AE1501" s="1411">
        <f t="shared" si="1833"/>
        <v>0</v>
      </c>
      <c r="AF1501" s="1411">
        <f t="shared" si="1833"/>
        <v>0</v>
      </c>
      <c r="AG1501" s="1411">
        <f t="shared" si="1833"/>
        <v>0</v>
      </c>
      <c r="AH1501" s="1411">
        <f t="shared" si="1833"/>
        <v>0</v>
      </c>
      <c r="AI1501" s="1411">
        <f t="shared" si="1833"/>
        <v>0</v>
      </c>
      <c r="AJ1501" s="1411">
        <f t="shared" si="1833"/>
        <v>0</v>
      </c>
      <c r="AK1501" s="1411">
        <f t="shared" si="1833"/>
        <v>0</v>
      </c>
      <c r="AL1501" s="1411">
        <f t="shared" si="1833"/>
        <v>0</v>
      </c>
      <c r="AM1501" s="1411">
        <f t="shared" si="1799"/>
        <v>0</v>
      </c>
      <c r="AN1501" s="1411">
        <f t="shared" si="1799"/>
        <v>0</v>
      </c>
      <c r="AO1501" s="1411">
        <f t="shared" si="1799"/>
        <v>0</v>
      </c>
      <c r="AP1501" s="1411">
        <f t="shared" ref="AP1501:AT1501" si="1834">AP1412/AP$421</f>
        <v>0</v>
      </c>
      <c r="AQ1501" s="1411">
        <f t="shared" si="1834"/>
        <v>0</v>
      </c>
      <c r="AR1501" s="1411">
        <f t="shared" si="1834"/>
        <v>0</v>
      </c>
      <c r="AS1501" s="1411">
        <f t="shared" si="1834"/>
        <v>0</v>
      </c>
      <c r="AT1501" s="2692">
        <f t="shared" si="1834"/>
        <v>0</v>
      </c>
    </row>
    <row r="1502" spans="1:46">
      <c r="A1502" s="1"/>
      <c r="B1502" s="1"/>
      <c r="C1502" s="1"/>
      <c r="D1502" s="2533" t="s">
        <v>507</v>
      </c>
      <c r="E1502" s="505"/>
      <c r="F1502" s="505"/>
      <c r="G1502" s="505"/>
      <c r="H1502" s="505"/>
      <c r="I1502" s="505"/>
      <c r="J1502" s="505"/>
      <c r="K1502" s="505"/>
      <c r="L1502" s="505"/>
      <c r="M1502" s="505"/>
      <c r="N1502" s="505"/>
      <c r="O1502" s="505"/>
      <c r="P1502" s="505"/>
      <c r="Q1502" s="505"/>
      <c r="R1502" s="505"/>
      <c r="S1502" s="505"/>
      <c r="T1502" s="505"/>
      <c r="U1502" s="505"/>
      <c r="V1502" s="1411">
        <f t="shared" ref="V1502:AL1502" si="1835">V1413/V$421</f>
        <v>0</v>
      </c>
      <c r="W1502" s="1411">
        <f t="shared" si="1835"/>
        <v>0</v>
      </c>
      <c r="X1502" s="1411">
        <f t="shared" si="1835"/>
        <v>0</v>
      </c>
      <c r="Y1502" s="1411">
        <f t="shared" si="1835"/>
        <v>0</v>
      </c>
      <c r="Z1502" s="1411">
        <f t="shared" si="1835"/>
        <v>0</v>
      </c>
      <c r="AA1502" s="1411">
        <f t="shared" si="1835"/>
        <v>0</v>
      </c>
      <c r="AB1502" s="1411">
        <f t="shared" si="1835"/>
        <v>0</v>
      </c>
      <c r="AC1502" s="1411">
        <f t="shared" si="1835"/>
        <v>0</v>
      </c>
      <c r="AD1502" s="1411">
        <f t="shared" si="1835"/>
        <v>0</v>
      </c>
      <c r="AE1502" s="1411">
        <f t="shared" si="1835"/>
        <v>0</v>
      </c>
      <c r="AF1502" s="1411">
        <f t="shared" si="1835"/>
        <v>0</v>
      </c>
      <c r="AG1502" s="1411">
        <f t="shared" si="1835"/>
        <v>0</v>
      </c>
      <c r="AH1502" s="1411">
        <f t="shared" si="1835"/>
        <v>0</v>
      </c>
      <c r="AI1502" s="1411">
        <f t="shared" si="1835"/>
        <v>0</v>
      </c>
      <c r="AJ1502" s="1411">
        <f t="shared" si="1835"/>
        <v>0</v>
      </c>
      <c r="AK1502" s="1411">
        <f t="shared" si="1835"/>
        <v>0</v>
      </c>
      <c r="AL1502" s="1411">
        <f t="shared" si="1835"/>
        <v>0</v>
      </c>
      <c r="AM1502" s="1411">
        <f t="shared" si="1799"/>
        <v>0</v>
      </c>
      <c r="AN1502" s="1411">
        <f t="shared" si="1799"/>
        <v>0</v>
      </c>
      <c r="AO1502" s="1411">
        <f t="shared" si="1799"/>
        <v>0</v>
      </c>
      <c r="AP1502" s="1411">
        <f t="shared" ref="AP1502:AT1502" si="1836">AP1413/AP$421</f>
        <v>0</v>
      </c>
      <c r="AQ1502" s="1411">
        <f t="shared" si="1836"/>
        <v>0</v>
      </c>
      <c r="AR1502" s="1411">
        <f t="shared" si="1836"/>
        <v>0</v>
      </c>
      <c r="AS1502" s="1411">
        <f t="shared" si="1836"/>
        <v>0</v>
      </c>
      <c r="AT1502" s="2692">
        <f t="shared" si="1836"/>
        <v>0</v>
      </c>
    </row>
    <row r="1503" spans="1:46">
      <c r="A1503" s="1"/>
      <c r="B1503" s="1"/>
      <c r="C1503" s="1"/>
      <c r="D1503" s="2533" t="str">
        <f>D1131</f>
        <v>Required Grants</v>
      </c>
      <c r="E1503" s="505"/>
      <c r="F1503" s="505"/>
      <c r="G1503" s="505"/>
      <c r="H1503" s="505"/>
      <c r="I1503" s="505"/>
      <c r="J1503" s="505"/>
      <c r="K1503" s="505"/>
      <c r="L1503" s="505"/>
      <c r="M1503" s="505"/>
      <c r="N1503" s="505"/>
      <c r="O1503" s="505"/>
      <c r="P1503" s="505"/>
      <c r="Q1503" s="505"/>
      <c r="R1503" s="505"/>
      <c r="S1503" s="505"/>
      <c r="T1503" s="505"/>
      <c r="U1503" s="505"/>
      <c r="V1503" s="1411"/>
      <c r="W1503" s="1411"/>
      <c r="X1503" s="1411"/>
      <c r="Y1503" s="1411"/>
      <c r="Z1503" s="1411">
        <f t="shared" ref="Z1503:Z1511" si="1837">Z1414/Z$421</f>
        <v>0</v>
      </c>
      <c r="AA1503" s="1411">
        <f t="shared" ref="AA1503:AL1503" si="1838">AA1414/AA$421</f>
        <v>0</v>
      </c>
      <c r="AB1503" s="1411">
        <f t="shared" si="1838"/>
        <v>0</v>
      </c>
      <c r="AC1503" s="1411">
        <f t="shared" si="1838"/>
        <v>0</v>
      </c>
      <c r="AD1503" s="1411">
        <f t="shared" si="1838"/>
        <v>0</v>
      </c>
      <c r="AE1503" s="1411">
        <f t="shared" si="1838"/>
        <v>0</v>
      </c>
      <c r="AF1503" s="1411">
        <f t="shared" si="1838"/>
        <v>0</v>
      </c>
      <c r="AG1503" s="1411">
        <f t="shared" si="1838"/>
        <v>0</v>
      </c>
      <c r="AH1503" s="1411">
        <f t="shared" si="1838"/>
        <v>0</v>
      </c>
      <c r="AI1503" s="1411">
        <f t="shared" si="1838"/>
        <v>0</v>
      </c>
      <c r="AJ1503" s="1411">
        <f t="shared" si="1838"/>
        <v>0</v>
      </c>
      <c r="AK1503" s="1411">
        <f t="shared" si="1838"/>
        <v>0</v>
      </c>
      <c r="AL1503" s="1411">
        <f t="shared" si="1838"/>
        <v>0</v>
      </c>
      <c r="AM1503" s="1411">
        <f t="shared" si="1799"/>
        <v>0</v>
      </c>
      <c r="AN1503" s="1411">
        <f t="shared" si="1799"/>
        <v>0</v>
      </c>
      <c r="AO1503" s="1411">
        <f t="shared" si="1799"/>
        <v>0</v>
      </c>
      <c r="AP1503" s="1411">
        <f t="shared" ref="AP1503:AT1503" si="1839">AP1414/AP$421</f>
        <v>0</v>
      </c>
      <c r="AQ1503" s="1411">
        <f t="shared" si="1839"/>
        <v>0</v>
      </c>
      <c r="AR1503" s="1411">
        <f t="shared" si="1839"/>
        <v>0</v>
      </c>
      <c r="AS1503" s="1411">
        <f t="shared" si="1839"/>
        <v>0</v>
      </c>
      <c r="AT1503" s="2692">
        <f t="shared" si="1839"/>
        <v>0</v>
      </c>
    </row>
    <row r="1504" spans="1:46">
      <c r="A1504" s="1"/>
      <c r="B1504" s="1"/>
      <c r="C1504" s="1"/>
      <c r="D1504" s="2531" t="s">
        <v>510</v>
      </c>
      <c r="E1504" s="505"/>
      <c r="F1504" s="505"/>
      <c r="G1504" s="505"/>
      <c r="H1504" s="505"/>
      <c r="I1504" s="505"/>
      <c r="J1504" s="505"/>
      <c r="K1504" s="505"/>
      <c r="L1504" s="505"/>
      <c r="M1504" s="505"/>
      <c r="N1504" s="505"/>
      <c r="O1504" s="505"/>
      <c r="P1504" s="505"/>
      <c r="Q1504" s="505"/>
      <c r="R1504" s="505"/>
      <c r="S1504" s="505"/>
      <c r="T1504" s="505"/>
      <c r="U1504" s="505"/>
      <c r="V1504" s="1411">
        <f t="shared" ref="V1504:Y1511" si="1840">V1415/V$421</f>
        <v>0</v>
      </c>
      <c r="W1504" s="1411">
        <f t="shared" si="1840"/>
        <v>0</v>
      </c>
      <c r="X1504" s="1411">
        <f t="shared" si="1840"/>
        <v>0</v>
      </c>
      <c r="Y1504" s="1411">
        <f t="shared" si="1840"/>
        <v>2.5770403481395848E-2</v>
      </c>
      <c r="Z1504" s="1411">
        <f t="shared" si="1837"/>
        <v>2.9898026900051063E-2</v>
      </c>
      <c r="AA1504" s="1411">
        <f t="shared" ref="AA1504:AL1504" si="1841">AA1415/AA$421</f>
        <v>2.6012144694466336E-2</v>
      </c>
      <c r="AB1504" s="1411">
        <f t="shared" si="1841"/>
        <v>3.2217671594475868E-2</v>
      </c>
      <c r="AC1504" s="1411">
        <f t="shared" si="1841"/>
        <v>3.2890292340492171E-2</v>
      </c>
      <c r="AD1504" s="1411">
        <f t="shared" si="1841"/>
        <v>3.0482132873707692E-2</v>
      </c>
      <c r="AE1504" s="1411">
        <f t="shared" si="1841"/>
        <v>3.0075003011602666E-2</v>
      </c>
      <c r="AF1504" s="1411">
        <f t="shared" si="1841"/>
        <v>3.6709567272137401E-2</v>
      </c>
      <c r="AG1504" s="1411">
        <f t="shared" si="1841"/>
        <v>3.2464200563230051E-2</v>
      </c>
      <c r="AH1504" s="1411">
        <f t="shared" si="1841"/>
        <v>2.5372667145483922E-2</v>
      </c>
      <c r="AI1504" s="1411">
        <f t="shared" si="1841"/>
        <v>2.4802017939565137E-2</v>
      </c>
      <c r="AJ1504" s="1411">
        <f t="shared" si="1841"/>
        <v>2.2829328959936557E-2</v>
      </c>
      <c r="AK1504" s="1411">
        <f t="shared" si="1841"/>
        <v>2.1904169459958857E-2</v>
      </c>
      <c r="AL1504" s="1411">
        <f t="shared" si="1841"/>
        <v>2.1275379034346523E-2</v>
      </c>
      <c r="AM1504" s="1411">
        <f t="shared" ref="AM1504:AO1522" si="1842">AM1415/AM$421</f>
        <v>2.1252920099527634E-2</v>
      </c>
      <c r="AN1504" s="1411">
        <f t="shared" si="1842"/>
        <v>2.0847969480022179E-2</v>
      </c>
      <c r="AO1504" s="1411">
        <f t="shared" si="1842"/>
        <v>2.1351403056618749E-2</v>
      </c>
      <c r="AP1504" s="1411">
        <f t="shared" ref="AP1504:AT1504" si="1843">AP1415/AP$421</f>
        <v>2.1388601039507339E-2</v>
      </c>
      <c r="AQ1504" s="1411">
        <f t="shared" si="1843"/>
        <v>2.0514242808624801E-2</v>
      </c>
      <c r="AR1504" s="1411">
        <f t="shared" si="1843"/>
        <v>2.0383675772904807E-2</v>
      </c>
      <c r="AS1504" s="1411">
        <f t="shared" si="1843"/>
        <v>2.0215153993069387E-2</v>
      </c>
      <c r="AT1504" s="2692">
        <f t="shared" si="1843"/>
        <v>2.2105461480442911E-2</v>
      </c>
    </row>
    <row r="1505" spans="1:46">
      <c r="A1505" s="1"/>
      <c r="B1505" s="1"/>
      <c r="C1505" s="1"/>
      <c r="D1505" s="2533" t="s">
        <v>3024</v>
      </c>
      <c r="E1505" s="505"/>
      <c r="F1505" s="505"/>
      <c r="G1505" s="505"/>
      <c r="H1505" s="505"/>
      <c r="I1505" s="505"/>
      <c r="J1505" s="505"/>
      <c r="K1505" s="505"/>
      <c r="L1505" s="505"/>
      <c r="M1505" s="505"/>
      <c r="N1505" s="505"/>
      <c r="O1505" s="505"/>
      <c r="P1505" s="505"/>
      <c r="Q1505" s="505"/>
      <c r="R1505" s="505"/>
      <c r="S1505" s="505"/>
      <c r="T1505" s="505"/>
      <c r="U1505" s="505"/>
      <c r="V1505" s="1411">
        <f t="shared" si="1840"/>
        <v>0</v>
      </c>
      <c r="W1505" s="1411">
        <f t="shared" si="1840"/>
        <v>0</v>
      </c>
      <c r="X1505" s="1411">
        <f t="shared" si="1840"/>
        <v>0</v>
      </c>
      <c r="Y1505" s="1411">
        <f t="shared" si="1840"/>
        <v>1.277267387839879E-3</v>
      </c>
      <c r="Z1505" s="1411">
        <f t="shared" si="1837"/>
        <v>1.6811521024085946E-3</v>
      </c>
      <c r="AA1505" s="1411">
        <f t="shared" ref="AA1505:AL1505" si="1844">AA1416/AA$421</f>
        <v>7.6051528790935902E-4</v>
      </c>
      <c r="AB1505" s="1411">
        <f t="shared" si="1844"/>
        <v>1.0462531261623642E-3</v>
      </c>
      <c r="AC1505" s="1411">
        <f t="shared" si="1844"/>
        <v>1.2080857459550631E-3</v>
      </c>
      <c r="AD1505" s="1411">
        <f t="shared" si="1844"/>
        <v>5.3928008219489981E-4</v>
      </c>
      <c r="AE1505" s="1411">
        <f t="shared" si="1844"/>
        <v>2.1086762335622406E-3</v>
      </c>
      <c r="AF1505" s="1411">
        <f t="shared" si="1844"/>
        <v>1.8653596235154832E-3</v>
      </c>
      <c r="AG1505" s="1411">
        <f t="shared" si="1844"/>
        <v>1.0801394629616472E-3</v>
      </c>
      <c r="AH1505" s="1411">
        <f t="shared" si="1844"/>
        <v>9.259632661584279E-4</v>
      </c>
      <c r="AI1505" s="1411">
        <f t="shared" si="1844"/>
        <v>1.3196639846307628E-3</v>
      </c>
      <c r="AJ1505" s="1411">
        <f t="shared" si="1844"/>
        <v>5.930312220297887E-4</v>
      </c>
      <c r="AK1505" s="1411">
        <f t="shared" si="1844"/>
        <v>1.7557431871760656E-3</v>
      </c>
      <c r="AL1505" s="1411">
        <f t="shared" si="1844"/>
        <v>1.0217274204872356E-3</v>
      </c>
      <c r="AM1505" s="1411">
        <f t="shared" si="1842"/>
        <v>9.8391658083453329E-4</v>
      </c>
      <c r="AN1505" s="1411">
        <f t="shared" si="1842"/>
        <v>9.8543864736516272E-4</v>
      </c>
      <c r="AO1505" s="1411">
        <f t="shared" si="1842"/>
        <v>9.8794809096930782E-4</v>
      </c>
      <c r="AP1505" s="1411">
        <f t="shared" ref="AP1505:AT1505" si="1845">AP1416/AP$421</f>
        <v>1.0185410030326028E-3</v>
      </c>
      <c r="AQ1505" s="1411">
        <f t="shared" si="1845"/>
        <v>1.0459040663411447E-3</v>
      </c>
      <c r="AR1505" s="1411">
        <f t="shared" si="1845"/>
        <v>1.0629378668912774E-3</v>
      </c>
      <c r="AS1505" s="1411">
        <f t="shared" si="1845"/>
        <v>1.063408441837458E-3</v>
      </c>
      <c r="AT1505" s="2692">
        <f t="shared" si="1845"/>
        <v>9.0355380447636777E-4</v>
      </c>
    </row>
    <row r="1506" spans="1:46">
      <c r="A1506" s="1"/>
      <c r="B1506" s="1"/>
      <c r="C1506" s="1"/>
      <c r="D1506" s="2533" t="s">
        <v>3025</v>
      </c>
      <c r="E1506" s="505"/>
      <c r="F1506" s="505"/>
      <c r="G1506" s="505"/>
      <c r="H1506" s="505"/>
      <c r="I1506" s="505"/>
      <c r="J1506" s="505"/>
      <c r="K1506" s="505"/>
      <c r="L1506" s="505"/>
      <c r="M1506" s="505"/>
      <c r="N1506" s="505"/>
      <c r="O1506" s="505"/>
      <c r="P1506" s="505"/>
      <c r="Q1506" s="505"/>
      <c r="R1506" s="505"/>
      <c r="S1506" s="505"/>
      <c r="T1506" s="505"/>
      <c r="U1506" s="505"/>
      <c r="V1506" s="1411">
        <f t="shared" si="1840"/>
        <v>0</v>
      </c>
      <c r="W1506" s="1411">
        <f t="shared" si="1840"/>
        <v>0</v>
      </c>
      <c r="X1506" s="1411">
        <f t="shared" si="1840"/>
        <v>0</v>
      </c>
      <c r="Y1506" s="1411">
        <f t="shared" si="1840"/>
        <v>1.9192896564892824E-2</v>
      </c>
      <c r="Z1506" s="1411">
        <f t="shared" si="1837"/>
        <v>2.2219776498041015E-2</v>
      </c>
      <c r="AA1506" s="1411">
        <f t="shared" ref="AA1506:AL1506" si="1846">AA1417/AA$421</f>
        <v>2.437812327587251E-2</v>
      </c>
      <c r="AB1506" s="1411">
        <f t="shared" si="1846"/>
        <v>2.6322225090784291E-2</v>
      </c>
      <c r="AC1506" s="1411">
        <f t="shared" si="1846"/>
        <v>2.7285612699125068E-2</v>
      </c>
      <c r="AD1506" s="1411">
        <f t="shared" si="1846"/>
        <v>2.8985445540829727E-2</v>
      </c>
      <c r="AE1506" s="1411">
        <f t="shared" si="1846"/>
        <v>2.4843477878382675E-2</v>
      </c>
      <c r="AF1506" s="1411">
        <f t="shared" si="1846"/>
        <v>2.8703125464380079E-2</v>
      </c>
      <c r="AG1506" s="1411">
        <f t="shared" si="1846"/>
        <v>2.6593017578785176E-2</v>
      </c>
      <c r="AH1506" s="1411">
        <f t="shared" si="1846"/>
        <v>2.0337379182382553E-2</v>
      </c>
      <c r="AI1506" s="1411">
        <f t="shared" si="1846"/>
        <v>2.1315280909177038E-2</v>
      </c>
      <c r="AJ1506" s="1411">
        <f t="shared" si="1846"/>
        <v>1.7669579749105928E-2</v>
      </c>
      <c r="AK1506" s="1411">
        <f t="shared" si="1846"/>
        <v>1.8495741907203302E-2</v>
      </c>
      <c r="AL1506" s="1411">
        <f t="shared" si="1846"/>
        <v>1.8637169887905303E-2</v>
      </c>
      <c r="AM1506" s="1411">
        <f t="shared" si="1842"/>
        <v>1.8659422357812133E-2</v>
      </c>
      <c r="AN1506" s="1411">
        <f t="shared" si="1842"/>
        <v>1.8350562427917345E-2</v>
      </c>
      <c r="AO1506" s="1411">
        <f t="shared" si="1842"/>
        <v>1.8937699102214024E-2</v>
      </c>
      <c r="AP1506" s="1411">
        <f t="shared" ref="AP1506:AT1506" si="1847">AP1417/AP$421</f>
        <v>1.9042228698320916E-2</v>
      </c>
      <c r="AQ1506" s="1411">
        <f t="shared" si="1847"/>
        <v>1.8227027297824435E-2</v>
      </c>
      <c r="AR1506" s="1411">
        <f t="shared" si="1847"/>
        <v>1.8001808172848344E-2</v>
      </c>
      <c r="AS1506" s="1411">
        <f t="shared" si="1847"/>
        <v>1.7606974682435717E-2</v>
      </c>
      <c r="AT1506" s="2692">
        <f t="shared" si="1847"/>
        <v>1.9912794272858404E-2</v>
      </c>
    </row>
    <row r="1507" spans="1:46">
      <c r="A1507" s="1"/>
      <c r="B1507" s="1"/>
      <c r="C1507" s="1"/>
      <c r="D1507" s="2533" t="s">
        <v>3026</v>
      </c>
      <c r="E1507" s="505"/>
      <c r="F1507" s="505"/>
      <c r="G1507" s="505"/>
      <c r="H1507" s="505"/>
      <c r="I1507" s="505"/>
      <c r="J1507" s="505"/>
      <c r="K1507" s="505"/>
      <c r="L1507" s="505"/>
      <c r="M1507" s="505"/>
      <c r="N1507" s="505"/>
      <c r="O1507" s="505"/>
      <c r="P1507" s="505"/>
      <c r="Q1507" s="505"/>
      <c r="R1507" s="505"/>
      <c r="S1507" s="505"/>
      <c r="T1507" s="505"/>
      <c r="U1507" s="505"/>
      <c r="V1507" s="1411">
        <f t="shared" si="1840"/>
        <v>0</v>
      </c>
      <c r="W1507" s="1411">
        <f t="shared" si="1840"/>
        <v>0</v>
      </c>
      <c r="X1507" s="1411">
        <f t="shared" si="1840"/>
        <v>0</v>
      </c>
      <c r="Y1507" s="1411">
        <f t="shared" si="1840"/>
        <v>4.5033535524546826E-3</v>
      </c>
      <c r="Z1507" s="1411">
        <f t="shared" si="1837"/>
        <v>5.1192608364234978E-3</v>
      </c>
      <c r="AA1507" s="1411">
        <f t="shared" ref="AA1507:AL1507" si="1848">AA1418/AA$421</f>
        <v>0</v>
      </c>
      <c r="AB1507" s="1411">
        <f t="shared" si="1848"/>
        <v>4.8491933775292144E-3</v>
      </c>
      <c r="AC1507" s="1411">
        <f t="shared" si="1848"/>
        <v>4.3965938954120421E-3</v>
      </c>
      <c r="AD1507" s="1411">
        <f t="shared" si="1848"/>
        <v>9.5740725068306021E-4</v>
      </c>
      <c r="AE1507" s="1411">
        <f t="shared" si="1848"/>
        <v>2.0721762726078822E-3</v>
      </c>
      <c r="AF1507" s="1411">
        <f t="shared" si="1848"/>
        <v>2.778397721485886E-3</v>
      </c>
      <c r="AG1507" s="1411">
        <f t="shared" si="1848"/>
        <v>2.9716517890615124E-3</v>
      </c>
      <c r="AH1507" s="1411">
        <f t="shared" si="1848"/>
        <v>4.1093246969429393E-3</v>
      </c>
      <c r="AI1507" s="1411">
        <f t="shared" si="1848"/>
        <v>2.1670730457573379E-3</v>
      </c>
      <c r="AJ1507" s="1411">
        <f t="shared" si="1848"/>
        <v>2.1618881240277193E-3</v>
      </c>
      <c r="AK1507" s="1411">
        <f t="shared" si="1848"/>
        <v>1.6526843655794883E-3</v>
      </c>
      <c r="AL1507" s="1411">
        <f t="shared" si="1848"/>
        <v>1.6164817259539837E-3</v>
      </c>
      <c r="AM1507" s="1411">
        <f t="shared" si="1842"/>
        <v>1.6095811608809688E-3</v>
      </c>
      <c r="AN1507" s="1411">
        <f t="shared" si="1842"/>
        <v>1.5119684047396709E-3</v>
      </c>
      <c r="AO1507" s="1411">
        <f t="shared" si="1842"/>
        <v>1.4257558634354153E-3</v>
      </c>
      <c r="AP1507" s="1411">
        <f t="shared" ref="AP1507:AT1507" si="1849">AP1418/AP$421</f>
        <v>1.3278313381538181E-3</v>
      </c>
      <c r="AQ1507" s="1411">
        <f t="shared" si="1849"/>
        <v>1.2413114444592194E-3</v>
      </c>
      <c r="AR1507" s="1411">
        <f t="shared" si="1849"/>
        <v>1.3189297331651837E-3</v>
      </c>
      <c r="AS1507" s="1411">
        <f t="shared" si="1849"/>
        <v>1.5447708687962142E-3</v>
      </c>
      <c r="AT1507" s="2692">
        <f t="shared" si="1849"/>
        <v>1.2891134031081403E-3</v>
      </c>
    </row>
    <row r="1508" spans="1:46">
      <c r="A1508" s="1"/>
      <c r="B1508" s="1"/>
      <c r="C1508" s="1"/>
      <c r="D1508" s="2533" t="s">
        <v>3027</v>
      </c>
      <c r="E1508" s="505"/>
      <c r="F1508" s="505"/>
      <c r="G1508" s="505"/>
      <c r="H1508" s="505"/>
      <c r="I1508" s="505"/>
      <c r="J1508" s="505"/>
      <c r="K1508" s="505"/>
      <c r="L1508" s="505"/>
      <c r="M1508" s="505"/>
      <c r="N1508" s="505"/>
      <c r="O1508" s="505"/>
      <c r="P1508" s="505"/>
      <c r="Q1508" s="505"/>
      <c r="R1508" s="505"/>
      <c r="S1508" s="505"/>
      <c r="T1508" s="505"/>
      <c r="U1508" s="505"/>
      <c r="V1508" s="1411">
        <f t="shared" si="1840"/>
        <v>0</v>
      </c>
      <c r="W1508" s="1411">
        <f t="shared" si="1840"/>
        <v>0</v>
      </c>
      <c r="X1508" s="1411">
        <f t="shared" si="1840"/>
        <v>0</v>
      </c>
      <c r="Y1508" s="1411">
        <f t="shared" si="1840"/>
        <v>0</v>
      </c>
      <c r="Z1508" s="1411">
        <f t="shared" si="1837"/>
        <v>0</v>
      </c>
      <c r="AA1508" s="1411">
        <f t="shared" ref="AA1508:AL1508" si="1850">AA1419/AA$421</f>
        <v>0</v>
      </c>
      <c r="AB1508" s="1411">
        <f t="shared" si="1850"/>
        <v>0</v>
      </c>
      <c r="AC1508" s="1411">
        <f t="shared" si="1850"/>
        <v>0</v>
      </c>
      <c r="AD1508" s="1411">
        <f t="shared" si="1850"/>
        <v>0</v>
      </c>
      <c r="AE1508" s="1411">
        <f t="shared" si="1850"/>
        <v>1.050672627049872E-3</v>
      </c>
      <c r="AF1508" s="1411">
        <f t="shared" si="1850"/>
        <v>3.3626844627559554E-3</v>
      </c>
      <c r="AG1508" s="1411">
        <f t="shared" si="1850"/>
        <v>1.8193917324217171E-3</v>
      </c>
      <c r="AH1508" s="1411">
        <f t="shared" si="1850"/>
        <v>0</v>
      </c>
      <c r="AI1508" s="1411">
        <f t="shared" si="1850"/>
        <v>0</v>
      </c>
      <c r="AJ1508" s="1411">
        <f t="shared" si="1850"/>
        <v>2.404829864773121E-3</v>
      </c>
      <c r="AK1508" s="1411">
        <f t="shared" si="1850"/>
        <v>0</v>
      </c>
      <c r="AL1508" s="1411">
        <f t="shared" si="1850"/>
        <v>0</v>
      </c>
      <c r="AM1508" s="1411">
        <f t="shared" si="1842"/>
        <v>0</v>
      </c>
      <c r="AN1508" s="1411">
        <f t="shared" si="1842"/>
        <v>0</v>
      </c>
      <c r="AO1508" s="1411">
        <f t="shared" si="1842"/>
        <v>0</v>
      </c>
      <c r="AP1508" s="1411">
        <f t="shared" ref="AP1508:AT1508" si="1851">AP1419/AP$421</f>
        <v>0</v>
      </c>
      <c r="AQ1508" s="1411">
        <f t="shared" si="1851"/>
        <v>0</v>
      </c>
      <c r="AR1508" s="1411">
        <f t="shared" si="1851"/>
        <v>0</v>
      </c>
      <c r="AS1508" s="1411">
        <f t="shared" si="1851"/>
        <v>0</v>
      </c>
      <c r="AT1508" s="2692">
        <f t="shared" si="1851"/>
        <v>0</v>
      </c>
    </row>
    <row r="1509" spans="1:46">
      <c r="A1509" s="1"/>
      <c r="B1509" s="1"/>
      <c r="C1509" s="1"/>
      <c r="D1509" s="2533" t="s">
        <v>524</v>
      </c>
      <c r="E1509" s="505"/>
      <c r="F1509" s="505"/>
      <c r="G1509" s="505"/>
      <c r="H1509" s="505"/>
      <c r="I1509" s="505"/>
      <c r="J1509" s="505"/>
      <c r="K1509" s="505"/>
      <c r="L1509" s="505"/>
      <c r="M1509" s="505"/>
      <c r="N1509" s="505"/>
      <c r="O1509" s="505"/>
      <c r="P1509" s="505"/>
      <c r="Q1509" s="505"/>
      <c r="R1509" s="505"/>
      <c r="S1509" s="505"/>
      <c r="T1509" s="505"/>
      <c r="U1509" s="505"/>
      <c r="V1509" s="1411">
        <f t="shared" si="1840"/>
        <v>0</v>
      </c>
      <c r="W1509" s="1411">
        <f t="shared" si="1840"/>
        <v>0</v>
      </c>
      <c r="X1509" s="1411">
        <f t="shared" si="1840"/>
        <v>0</v>
      </c>
      <c r="Y1509" s="1411">
        <f t="shared" si="1840"/>
        <v>7.9688597620845912E-4</v>
      </c>
      <c r="Z1509" s="1411">
        <f t="shared" si="1837"/>
        <v>8.778374631779589E-4</v>
      </c>
      <c r="AA1509" s="1411">
        <f t="shared" ref="AA1509:AL1509" si="1852">AA1420/AA$421</f>
        <v>8.7350613068446382E-4</v>
      </c>
      <c r="AB1509" s="1411">
        <f t="shared" si="1852"/>
        <v>0</v>
      </c>
      <c r="AC1509" s="1411">
        <f t="shared" si="1852"/>
        <v>0</v>
      </c>
      <c r="AD1509" s="1411">
        <f t="shared" si="1852"/>
        <v>0</v>
      </c>
      <c r="AE1509" s="1411">
        <f t="shared" si="1852"/>
        <v>0</v>
      </c>
      <c r="AF1509" s="1411">
        <f t="shared" si="1852"/>
        <v>0</v>
      </c>
      <c r="AG1509" s="1411">
        <f t="shared" si="1852"/>
        <v>0</v>
      </c>
      <c r="AH1509" s="1411">
        <f t="shared" si="1852"/>
        <v>0</v>
      </c>
      <c r="AI1509" s="1411">
        <f t="shared" si="1852"/>
        <v>0</v>
      </c>
      <c r="AJ1509" s="1411">
        <f t="shared" si="1852"/>
        <v>0</v>
      </c>
      <c r="AK1509" s="1411">
        <f t="shared" si="1852"/>
        <v>0</v>
      </c>
      <c r="AL1509" s="1411">
        <f t="shared" si="1852"/>
        <v>0</v>
      </c>
      <c r="AM1509" s="1411">
        <f t="shared" si="1842"/>
        <v>0</v>
      </c>
      <c r="AN1509" s="1411">
        <f t="shared" si="1842"/>
        <v>0</v>
      </c>
      <c r="AO1509" s="1411">
        <f t="shared" si="1842"/>
        <v>0</v>
      </c>
      <c r="AP1509" s="1411">
        <f t="shared" ref="AP1509:AT1509" si="1853">AP1420/AP$421</f>
        <v>0</v>
      </c>
      <c r="AQ1509" s="1411">
        <f t="shared" si="1853"/>
        <v>0</v>
      </c>
      <c r="AR1509" s="1411">
        <f t="shared" si="1853"/>
        <v>0</v>
      </c>
      <c r="AS1509" s="1411">
        <f t="shared" si="1853"/>
        <v>0</v>
      </c>
      <c r="AT1509" s="2692">
        <f t="shared" si="1853"/>
        <v>0</v>
      </c>
    </row>
    <row r="1510" spans="1:46">
      <c r="A1510" s="1"/>
      <c r="B1510" s="1"/>
      <c r="C1510" s="1"/>
      <c r="D1510" s="2530" t="s">
        <v>557</v>
      </c>
      <c r="E1510" s="505"/>
      <c r="F1510" s="505"/>
      <c r="G1510" s="505"/>
      <c r="H1510" s="505"/>
      <c r="I1510" s="505"/>
      <c r="J1510" s="505"/>
      <c r="K1510" s="505"/>
      <c r="L1510" s="505"/>
      <c r="M1510" s="505"/>
      <c r="N1510" s="505"/>
      <c r="O1510" s="505"/>
      <c r="P1510" s="505"/>
      <c r="Q1510" s="505"/>
      <c r="R1510" s="505"/>
      <c r="S1510" s="505"/>
      <c r="T1510" s="505"/>
      <c r="U1510" s="505"/>
      <c r="V1510" s="1411">
        <f t="shared" si="1840"/>
        <v>0.13536149020645843</v>
      </c>
      <c r="W1510" s="1411">
        <f t="shared" si="1840"/>
        <v>0.14042991081637321</v>
      </c>
      <c r="X1510" s="1411">
        <f t="shared" si="1840"/>
        <v>0.13638052001650847</v>
      </c>
      <c r="Y1510" s="1411">
        <f t="shared" si="1840"/>
        <v>0.17051837936296499</v>
      </c>
      <c r="Z1510" s="1411">
        <f t="shared" si="1837"/>
        <v>0.17106293931573102</v>
      </c>
      <c r="AA1510" s="1411">
        <f t="shared" ref="AA1510:AL1510" si="1854">AA1421/AA$421</f>
        <v>0.17801591529609559</v>
      </c>
      <c r="AB1510" s="1411">
        <f t="shared" si="1854"/>
        <v>0.18287376456012358</v>
      </c>
      <c r="AC1510" s="1411">
        <f t="shared" si="1854"/>
        <v>0.18002032022612011</v>
      </c>
      <c r="AD1510" s="1411">
        <f t="shared" si="1854"/>
        <v>0.18976133795430403</v>
      </c>
      <c r="AE1510" s="1411">
        <f t="shared" si="1854"/>
        <v>0.19721281641027588</v>
      </c>
      <c r="AF1510" s="1411">
        <f t="shared" si="1854"/>
        <v>0.199005375557606</v>
      </c>
      <c r="AG1510" s="1411">
        <f t="shared" si="1854"/>
        <v>0.19968451843929827</v>
      </c>
      <c r="AH1510" s="1411">
        <f t="shared" si="1854"/>
        <v>0.18080345778823426</v>
      </c>
      <c r="AI1510" s="1411">
        <f t="shared" si="1854"/>
        <v>0.17107113938660132</v>
      </c>
      <c r="AJ1510" s="1411">
        <f t="shared" si="1854"/>
        <v>0.15779947093708963</v>
      </c>
      <c r="AK1510" s="1411">
        <f t="shared" si="1854"/>
        <v>0.15407024637806874</v>
      </c>
      <c r="AL1510" s="1411">
        <f t="shared" si="1854"/>
        <v>0.15562537715217378</v>
      </c>
      <c r="AM1510" s="1411">
        <f t="shared" si="1842"/>
        <v>0.1549008561824404</v>
      </c>
      <c r="AN1510" s="1411">
        <f t="shared" si="1842"/>
        <v>0.14969717975771843</v>
      </c>
      <c r="AO1510" s="1411">
        <f t="shared" si="1842"/>
        <v>0.15239557987501789</v>
      </c>
      <c r="AP1510" s="1411">
        <f t="shared" ref="AP1510:AT1510" si="1855">AP1421/AP$421</f>
        <v>0.15565522195119755</v>
      </c>
      <c r="AQ1510" s="1411">
        <f t="shared" si="1855"/>
        <v>0.16296632276652298</v>
      </c>
      <c r="AR1510" s="1411">
        <f t="shared" si="1855"/>
        <v>0.16429912275727851</v>
      </c>
      <c r="AS1510" s="1411">
        <f t="shared" si="1855"/>
        <v>0.16688476233120217</v>
      </c>
      <c r="AT1510" s="2692">
        <f t="shared" si="1855"/>
        <v>0.16815520449846738</v>
      </c>
    </row>
    <row r="1511" spans="1:46" ht="15.9" thickBot="1">
      <c r="A1511" s="1"/>
      <c r="B1511" s="1"/>
      <c r="C1511" s="1"/>
      <c r="D1511" s="2535" t="s">
        <v>527</v>
      </c>
      <c r="E1511" s="505"/>
      <c r="F1511" s="505"/>
      <c r="G1511" s="505"/>
      <c r="H1511" s="505"/>
      <c r="I1511" s="505"/>
      <c r="J1511" s="505"/>
      <c r="K1511" s="505"/>
      <c r="L1511" s="505"/>
      <c r="M1511" s="505"/>
      <c r="N1511" s="505"/>
      <c r="O1511" s="505"/>
      <c r="P1511" s="505"/>
      <c r="Q1511" s="505"/>
      <c r="R1511" s="505"/>
      <c r="S1511" s="505"/>
      <c r="T1511" s="505"/>
      <c r="U1511" s="505"/>
      <c r="V1511" s="1411">
        <f t="shared" si="1840"/>
        <v>4.7731380169869761E-2</v>
      </c>
      <c r="W1511" s="1411">
        <f t="shared" si="1840"/>
        <v>4.8936656757374797E-2</v>
      </c>
      <c r="X1511" s="1411">
        <f t="shared" si="1840"/>
        <v>5.3342963268675193E-2</v>
      </c>
      <c r="Y1511" s="1411">
        <f t="shared" si="1840"/>
        <v>3.3479822232817223E-2</v>
      </c>
      <c r="Z1511" s="1411">
        <f t="shared" si="1837"/>
        <v>3.2491445828452606E-2</v>
      </c>
      <c r="AA1511" s="1411">
        <f t="shared" ref="AA1511:AL1511" si="1856">AA1422/AA$421</f>
        <v>3.3332432853484396E-2</v>
      </c>
      <c r="AB1511" s="1411">
        <f t="shared" si="1856"/>
        <v>3.2748375312284091E-2</v>
      </c>
      <c r="AC1511" s="1411">
        <f t="shared" si="1856"/>
        <v>3.1535921664620402E-2</v>
      </c>
      <c r="AD1511" s="1411">
        <f t="shared" si="1856"/>
        <v>2.7537445585154828E-2</v>
      </c>
      <c r="AE1511" s="1411">
        <f t="shared" si="1856"/>
        <v>2.7627288890767637E-2</v>
      </c>
      <c r="AF1511" s="1411">
        <f t="shared" si="1856"/>
        <v>2.8789728477569294E-2</v>
      </c>
      <c r="AG1511" s="1411">
        <f t="shared" si="1856"/>
        <v>2.5708668091269517E-2</v>
      </c>
      <c r="AH1511" s="1411">
        <f t="shared" si="1856"/>
        <v>2.3273027366202535E-2</v>
      </c>
      <c r="AI1511" s="1411">
        <f t="shared" si="1856"/>
        <v>2.5200567705027634E-2</v>
      </c>
      <c r="AJ1511" s="1411">
        <f t="shared" si="1856"/>
        <v>2.6282004945387363E-2</v>
      </c>
      <c r="AK1511" s="1411">
        <f t="shared" si="1856"/>
        <v>2.6623320112252331E-2</v>
      </c>
      <c r="AL1511" s="1411">
        <f t="shared" si="1856"/>
        <v>2.6266110213571097E-2</v>
      </c>
      <c r="AM1511" s="1411">
        <f t="shared" si="1842"/>
        <v>2.6411056027778858E-2</v>
      </c>
      <c r="AN1511" s="1411">
        <f t="shared" si="1842"/>
        <v>2.6451392813750488E-2</v>
      </c>
      <c r="AO1511" s="1411">
        <f t="shared" si="1842"/>
        <v>2.6509673463925538E-2</v>
      </c>
      <c r="AP1511" s="1411">
        <f>AP1422/AP$421</f>
        <v>2.6710678104014368E-2</v>
      </c>
      <c r="AQ1511" s="1411">
        <f t="shared" ref="AQ1511:AS1511" si="1857">AQ1422/AQ$421</f>
        <v>2.6754272048124382E-2</v>
      </c>
      <c r="AR1511" s="1411">
        <f t="shared" si="1857"/>
        <v>2.6978085129506536E-2</v>
      </c>
      <c r="AS1511" s="1411">
        <f t="shared" si="1857"/>
        <v>2.7148377912586154E-2</v>
      </c>
      <c r="AT1511" s="2692">
        <f>AT1422/AT$421</f>
        <v>2.3756308406722198E-2</v>
      </c>
    </row>
    <row r="1512" spans="1:46" ht="15.9" thickBot="1">
      <c r="A1512" s="1"/>
      <c r="B1512" s="1"/>
      <c r="C1512" s="1"/>
      <c r="D1512" s="2536" t="str">
        <f>D1423</f>
        <v xml:space="preserve"> of which: Covid-19 spending (Teachers)</v>
      </c>
      <c r="E1512" s="505"/>
      <c r="F1512" s="505"/>
      <c r="G1512" s="505"/>
      <c r="H1512" s="505"/>
      <c r="I1512" s="505"/>
      <c r="J1512" s="505"/>
      <c r="K1512" s="505"/>
      <c r="L1512" s="505"/>
      <c r="M1512" s="505"/>
      <c r="N1512" s="505"/>
      <c r="O1512" s="505"/>
      <c r="P1512" s="505"/>
      <c r="Q1512" s="505"/>
      <c r="R1512" s="505"/>
      <c r="S1512" s="505"/>
      <c r="T1512" s="505"/>
      <c r="U1512" s="505"/>
      <c r="V1512" s="1411"/>
      <c r="W1512" s="1411"/>
      <c r="X1512" s="1411"/>
      <c r="Y1512" s="1411"/>
      <c r="Z1512" s="1411"/>
      <c r="AA1512" s="1411"/>
      <c r="AB1512" s="1411"/>
      <c r="AC1512" s="1411"/>
      <c r="AD1512" s="1411"/>
      <c r="AE1512" s="1581">
        <f t="shared" ref="AE1512:AL1522" si="1858">AE1423/AE$421</f>
        <v>0</v>
      </c>
      <c r="AF1512" s="1582">
        <f t="shared" si="1858"/>
        <v>2.9008768237991618E-3</v>
      </c>
      <c r="AG1512" s="1582">
        <f t="shared" si="1858"/>
        <v>0</v>
      </c>
      <c r="AH1512" s="1582">
        <f t="shared" si="1858"/>
        <v>0</v>
      </c>
      <c r="AI1512" s="1582">
        <f t="shared" si="1858"/>
        <v>0</v>
      </c>
      <c r="AJ1512" s="1582">
        <f t="shared" si="1858"/>
        <v>0</v>
      </c>
      <c r="AK1512" s="1582">
        <f t="shared" si="1858"/>
        <v>0</v>
      </c>
      <c r="AL1512" s="1583">
        <f t="shared" si="1858"/>
        <v>0</v>
      </c>
      <c r="AM1512" s="1583">
        <f t="shared" si="1842"/>
        <v>0</v>
      </c>
      <c r="AN1512" s="1583">
        <f t="shared" si="1842"/>
        <v>0</v>
      </c>
      <c r="AO1512" s="1583">
        <f t="shared" si="1842"/>
        <v>0</v>
      </c>
      <c r="AP1512" s="1583">
        <f t="shared" ref="AP1512:AT1512" si="1859">AP1423/AP$421</f>
        <v>0</v>
      </c>
      <c r="AQ1512" s="1583">
        <f t="shared" si="1859"/>
        <v>0</v>
      </c>
      <c r="AR1512" s="1583">
        <f t="shared" si="1859"/>
        <v>0</v>
      </c>
      <c r="AS1512" s="1583">
        <f t="shared" si="1859"/>
        <v>0</v>
      </c>
      <c r="AT1512" s="2693">
        <f t="shared" si="1859"/>
        <v>0</v>
      </c>
    </row>
    <row r="1513" spans="1:46" ht="15.9" thickBot="1">
      <c r="A1513" s="1"/>
      <c r="B1513" s="1"/>
      <c r="C1513" s="1"/>
      <c r="D1513" s="2535" t="s">
        <v>528</v>
      </c>
      <c r="E1513" s="505"/>
      <c r="F1513" s="505"/>
      <c r="G1513" s="505"/>
      <c r="H1513" s="505"/>
      <c r="I1513" s="505"/>
      <c r="J1513" s="505"/>
      <c r="K1513" s="505"/>
      <c r="L1513" s="505"/>
      <c r="M1513" s="505"/>
      <c r="N1513" s="505"/>
      <c r="O1513" s="505"/>
      <c r="P1513" s="505"/>
      <c r="Q1513" s="505"/>
      <c r="R1513" s="505"/>
      <c r="S1513" s="505"/>
      <c r="T1513" s="505"/>
      <c r="U1513" s="505"/>
      <c r="V1513" s="1411">
        <f t="shared" ref="V1513:AD1513" si="1860">V1424/V$421</f>
        <v>5.087812069878242E-2</v>
      </c>
      <c r="W1513" s="1411">
        <f t="shared" si="1860"/>
        <v>5.1520695174937119E-2</v>
      </c>
      <c r="X1513" s="1411">
        <f t="shared" si="1860"/>
        <v>4.199339661576558E-2</v>
      </c>
      <c r="Y1513" s="1411">
        <f t="shared" si="1860"/>
        <v>5.2608311248867071E-2</v>
      </c>
      <c r="Z1513" s="1411">
        <f t="shared" si="1860"/>
        <v>4.4527385371166177E-2</v>
      </c>
      <c r="AA1513" s="1411">
        <f t="shared" si="1860"/>
        <v>5.1181934540276267E-2</v>
      </c>
      <c r="AB1513" s="1411">
        <f t="shared" si="1860"/>
        <v>5.9030289099350555E-2</v>
      </c>
      <c r="AC1513" s="1411">
        <f t="shared" si="1860"/>
        <v>5.5431530441869208E-2</v>
      </c>
      <c r="AD1513" s="1411">
        <f t="shared" si="1860"/>
        <v>5.4880182576098363E-2</v>
      </c>
      <c r="AE1513" s="1411">
        <f t="shared" si="1858"/>
        <v>5.937206321690873E-2</v>
      </c>
      <c r="AF1513" s="1411">
        <f t="shared" si="1858"/>
        <v>5.9431985147442613E-2</v>
      </c>
      <c r="AG1513" s="1411">
        <f t="shared" si="1858"/>
        <v>5.5701358353183919E-2</v>
      </c>
      <c r="AH1513" s="1411">
        <f t="shared" si="1858"/>
        <v>4.7037974683544308E-2</v>
      </c>
      <c r="AI1513" s="1411">
        <f t="shared" si="1858"/>
        <v>4.3062407332524602E-2</v>
      </c>
      <c r="AJ1513" s="1411">
        <f t="shared" si="1858"/>
        <v>3.7125237437293616E-2</v>
      </c>
      <c r="AK1513" s="1411">
        <f t="shared" si="1858"/>
        <v>3.4406918503924286E-2</v>
      </c>
      <c r="AL1513" s="1411">
        <f t="shared" si="1858"/>
        <v>3.5877775600809798E-2</v>
      </c>
      <c r="AM1513" s="1411">
        <f t="shared" si="1842"/>
        <v>3.6517646089268573E-2</v>
      </c>
      <c r="AN1513" s="1411">
        <f t="shared" si="1842"/>
        <v>3.6558717855423209E-2</v>
      </c>
      <c r="AO1513" s="1411">
        <f t="shared" si="1842"/>
        <v>3.7348012717141631E-2</v>
      </c>
      <c r="AP1513" s="1411">
        <f t="shared" ref="AP1513:AT1513" si="1861">AP1424/AP$421</f>
        <v>3.8426107770109345E-2</v>
      </c>
      <c r="AQ1513" s="1411">
        <f t="shared" si="1861"/>
        <v>4.0599890129375212E-2</v>
      </c>
      <c r="AR1513" s="1411">
        <f t="shared" si="1861"/>
        <v>4.2006731388923912E-2</v>
      </c>
      <c r="AS1513" s="1411">
        <f t="shared" si="1861"/>
        <v>4.3510607540393043E-2</v>
      </c>
      <c r="AT1513" s="2692">
        <f t="shared" si="1861"/>
        <v>4.6132308771383759E-2</v>
      </c>
    </row>
    <row r="1514" spans="1:46">
      <c r="A1514" s="1"/>
      <c r="B1514" s="1"/>
      <c r="C1514" s="1"/>
      <c r="D1514" s="2536" t="str">
        <f>D1425</f>
        <v xml:space="preserve"> of which: Covid-19 spending</v>
      </c>
      <c r="E1514" s="505"/>
      <c r="F1514" s="505"/>
      <c r="G1514" s="505"/>
      <c r="H1514" s="505"/>
      <c r="I1514" s="505"/>
      <c r="J1514" s="505"/>
      <c r="K1514" s="505"/>
      <c r="L1514" s="505"/>
      <c r="M1514" s="505"/>
      <c r="N1514" s="505"/>
      <c r="O1514" s="505"/>
      <c r="P1514" s="505"/>
      <c r="Q1514" s="505"/>
      <c r="R1514" s="505"/>
      <c r="S1514" s="505"/>
      <c r="T1514" s="505"/>
      <c r="U1514" s="505"/>
      <c r="V1514" s="1411"/>
      <c r="W1514" s="1411"/>
      <c r="X1514" s="1411"/>
      <c r="Y1514" s="1411"/>
      <c r="Z1514" s="1411"/>
      <c r="AA1514" s="1411"/>
      <c r="AB1514" s="1411"/>
      <c r="AC1514" s="1411"/>
      <c r="AD1514" s="1411"/>
      <c r="AE1514" s="1584">
        <f t="shared" si="1858"/>
        <v>6.7219917012448132E-3</v>
      </c>
      <c r="AF1514" s="1585">
        <f t="shared" si="1858"/>
        <v>1.0918351635393847E-3</v>
      </c>
      <c r="AG1514" s="1585">
        <f t="shared" si="1858"/>
        <v>0</v>
      </c>
      <c r="AH1514" s="1585">
        <f t="shared" si="1858"/>
        <v>0</v>
      </c>
      <c r="AI1514" s="1585">
        <f t="shared" si="1858"/>
        <v>0</v>
      </c>
      <c r="AJ1514" s="1585">
        <f t="shared" si="1858"/>
        <v>0</v>
      </c>
      <c r="AK1514" s="1585">
        <f t="shared" si="1858"/>
        <v>0</v>
      </c>
      <c r="AL1514" s="1586">
        <f t="shared" si="1858"/>
        <v>0</v>
      </c>
      <c r="AM1514" s="1586">
        <f t="shared" si="1842"/>
        <v>0</v>
      </c>
      <c r="AN1514" s="1586">
        <f t="shared" si="1842"/>
        <v>0</v>
      </c>
      <c r="AO1514" s="1586">
        <f t="shared" si="1842"/>
        <v>0</v>
      </c>
      <c r="AP1514" s="1586">
        <f t="shared" ref="AP1514:AT1514" si="1862">AP1425/AP$421</f>
        <v>0</v>
      </c>
      <c r="AQ1514" s="1586">
        <f t="shared" si="1862"/>
        <v>0</v>
      </c>
      <c r="AR1514" s="1586">
        <f t="shared" si="1862"/>
        <v>0</v>
      </c>
      <c r="AS1514" s="1586">
        <f t="shared" si="1862"/>
        <v>0</v>
      </c>
      <c r="AT1514" s="2694">
        <f t="shared" si="1862"/>
        <v>0</v>
      </c>
    </row>
    <row r="1515" spans="1:46" ht="15.9" thickBot="1">
      <c r="A1515" s="1"/>
      <c r="B1515" s="1"/>
      <c r="C1515" s="1"/>
      <c r="D1515" s="2536" t="str">
        <f>D1426</f>
        <v>o/w Vaccine</v>
      </c>
      <c r="E1515" s="505"/>
      <c r="F1515" s="505"/>
      <c r="G1515" s="505"/>
      <c r="H1515" s="505"/>
      <c r="I1515" s="505"/>
      <c r="J1515" s="505"/>
      <c r="K1515" s="505"/>
      <c r="L1515" s="505"/>
      <c r="M1515" s="505"/>
      <c r="N1515" s="505"/>
      <c r="O1515" s="505"/>
      <c r="P1515" s="505"/>
      <c r="Q1515" s="505"/>
      <c r="R1515" s="505"/>
      <c r="S1515" s="505"/>
      <c r="T1515" s="505"/>
      <c r="U1515" s="505"/>
      <c r="V1515" s="1411"/>
      <c r="W1515" s="1411"/>
      <c r="X1515" s="1411"/>
      <c r="Y1515" s="1411"/>
      <c r="Z1515" s="1411"/>
      <c r="AA1515" s="1411"/>
      <c r="AB1515" s="1411"/>
      <c r="AC1515" s="1411"/>
      <c r="AD1515" s="1411"/>
      <c r="AE1515" s="1587">
        <f t="shared" si="1858"/>
        <v>0</v>
      </c>
      <c r="AF1515" s="1588">
        <f t="shared" si="1858"/>
        <v>0</v>
      </c>
      <c r="AG1515" s="1588">
        <f t="shared" si="1858"/>
        <v>0</v>
      </c>
      <c r="AH1515" s="1588">
        <f t="shared" si="1858"/>
        <v>0</v>
      </c>
      <c r="AI1515" s="1588">
        <f t="shared" si="1858"/>
        <v>0</v>
      </c>
      <c r="AJ1515" s="1588">
        <f t="shared" si="1858"/>
        <v>0</v>
      </c>
      <c r="AK1515" s="1588">
        <f t="shared" si="1858"/>
        <v>0</v>
      </c>
      <c r="AL1515" s="1589">
        <f t="shared" si="1858"/>
        <v>0</v>
      </c>
      <c r="AM1515" s="1589">
        <f t="shared" si="1842"/>
        <v>0</v>
      </c>
      <c r="AN1515" s="1589">
        <f t="shared" si="1842"/>
        <v>0</v>
      </c>
      <c r="AO1515" s="1589">
        <f t="shared" si="1842"/>
        <v>0</v>
      </c>
      <c r="AP1515" s="1589">
        <f t="shared" ref="AP1515:AT1515" si="1863">AP1426/AP$421</f>
        <v>0</v>
      </c>
      <c r="AQ1515" s="1589">
        <f t="shared" si="1863"/>
        <v>0</v>
      </c>
      <c r="AR1515" s="1589">
        <f t="shared" si="1863"/>
        <v>0</v>
      </c>
      <c r="AS1515" s="1589">
        <f t="shared" si="1863"/>
        <v>0</v>
      </c>
      <c r="AT1515" s="2695">
        <f t="shared" si="1863"/>
        <v>0</v>
      </c>
    </row>
    <row r="1516" spans="1:46">
      <c r="A1516" s="1"/>
      <c r="B1516" s="1"/>
      <c r="C1516" s="1"/>
      <c r="D1516" s="2535" t="s">
        <v>529</v>
      </c>
      <c r="E1516" s="505"/>
      <c r="F1516" s="505"/>
      <c r="G1516" s="505"/>
      <c r="H1516" s="505"/>
      <c r="I1516" s="505"/>
      <c r="J1516" s="505"/>
      <c r="K1516" s="505"/>
      <c r="L1516" s="505"/>
      <c r="M1516" s="505"/>
      <c r="N1516" s="505"/>
      <c r="O1516" s="505"/>
      <c r="P1516" s="505"/>
      <c r="Q1516" s="505"/>
      <c r="R1516" s="505"/>
      <c r="S1516" s="505"/>
      <c r="T1516" s="505"/>
      <c r="U1516" s="505"/>
      <c r="V1516" s="1411">
        <f t="shared" ref="V1516:AD1516" si="1864">V1427/V$421</f>
        <v>0</v>
      </c>
      <c r="W1516" s="1411">
        <f t="shared" si="1864"/>
        <v>0</v>
      </c>
      <c r="X1516" s="1411">
        <f t="shared" si="1864"/>
        <v>0</v>
      </c>
      <c r="Y1516" s="1411">
        <f t="shared" si="1864"/>
        <v>0</v>
      </c>
      <c r="Z1516" s="1411">
        <f t="shared" si="1864"/>
        <v>0</v>
      </c>
      <c r="AA1516" s="1411">
        <f t="shared" si="1864"/>
        <v>0</v>
      </c>
      <c r="AB1516" s="1411">
        <f t="shared" si="1864"/>
        <v>0</v>
      </c>
      <c r="AC1516" s="1411">
        <f t="shared" si="1864"/>
        <v>0</v>
      </c>
      <c r="AD1516" s="1411">
        <f t="shared" si="1864"/>
        <v>0</v>
      </c>
      <c r="AE1516" s="1411">
        <f t="shared" si="1858"/>
        <v>0</v>
      </c>
      <c r="AF1516" s="1411">
        <f t="shared" si="1858"/>
        <v>0</v>
      </c>
      <c r="AG1516" s="1411">
        <f t="shared" si="1858"/>
        <v>0</v>
      </c>
      <c r="AH1516" s="1411">
        <f t="shared" si="1858"/>
        <v>0</v>
      </c>
      <c r="AI1516" s="1411">
        <f t="shared" si="1858"/>
        <v>0</v>
      </c>
      <c r="AJ1516" s="1411">
        <f t="shared" si="1858"/>
        <v>0</v>
      </c>
      <c r="AK1516" s="1411">
        <f t="shared" si="1858"/>
        <v>0</v>
      </c>
      <c r="AL1516" s="1411">
        <f t="shared" si="1858"/>
        <v>0</v>
      </c>
      <c r="AM1516" s="1411">
        <f t="shared" si="1842"/>
        <v>0</v>
      </c>
      <c r="AN1516" s="1411">
        <f t="shared" si="1842"/>
        <v>0</v>
      </c>
      <c r="AO1516" s="1411">
        <f t="shared" si="1842"/>
        <v>0</v>
      </c>
      <c r="AP1516" s="1411">
        <f t="shared" ref="AP1516:AT1516" si="1865">AP1427/AP$421</f>
        <v>0</v>
      </c>
      <c r="AQ1516" s="1411">
        <f t="shared" si="1865"/>
        <v>0</v>
      </c>
      <c r="AR1516" s="1411">
        <f t="shared" si="1865"/>
        <v>0</v>
      </c>
      <c r="AS1516" s="1411">
        <f t="shared" si="1865"/>
        <v>0</v>
      </c>
      <c r="AT1516" s="2692">
        <f t="shared" si="1865"/>
        <v>0</v>
      </c>
    </row>
    <row r="1517" spans="1:46">
      <c r="A1517" s="1"/>
      <c r="B1517" s="1"/>
      <c r="C1517" s="1"/>
      <c r="D1517" s="2535" t="s">
        <v>512</v>
      </c>
      <c r="E1517" s="505"/>
      <c r="F1517" s="505"/>
      <c r="G1517" s="505"/>
      <c r="H1517" s="505"/>
      <c r="I1517" s="505"/>
      <c r="J1517" s="505"/>
      <c r="K1517" s="505"/>
      <c r="L1517" s="505"/>
      <c r="M1517" s="505"/>
      <c r="N1517" s="505"/>
      <c r="O1517" s="505"/>
      <c r="P1517" s="505"/>
      <c r="Q1517" s="505"/>
      <c r="R1517" s="505"/>
      <c r="S1517" s="505"/>
      <c r="T1517" s="505"/>
      <c r="U1517" s="505"/>
      <c r="V1517" s="1411">
        <f t="shared" ref="V1517:AD1517" si="1866">V1428/V$421</f>
        <v>0</v>
      </c>
      <c r="W1517" s="1411">
        <f t="shared" si="1866"/>
        <v>4.2076377772696082E-3</v>
      </c>
      <c r="X1517" s="1411">
        <f t="shared" si="1866"/>
        <v>6.3351217498968217E-3</v>
      </c>
      <c r="Y1517" s="1411">
        <f t="shared" si="1866"/>
        <v>8.2282486405896409E-3</v>
      </c>
      <c r="Z1517" s="1411">
        <f t="shared" si="1866"/>
        <v>7.9487568139116234E-3</v>
      </c>
      <c r="AA1517" s="1411">
        <f t="shared" si="1866"/>
        <v>8.8222974130834093E-3</v>
      </c>
      <c r="AB1517" s="1411">
        <f t="shared" si="1866"/>
        <v>9.9753868590846551E-3</v>
      </c>
      <c r="AC1517" s="1411">
        <f t="shared" si="1866"/>
        <v>1.1473137390635256E-2</v>
      </c>
      <c r="AD1517" s="1411">
        <f t="shared" si="1866"/>
        <v>1.1668086309102762E-2</v>
      </c>
      <c r="AE1517" s="1411">
        <f t="shared" si="1858"/>
        <v>1.4431411237143088E-2</v>
      </c>
      <c r="AF1517" s="1411">
        <f t="shared" si="1858"/>
        <v>1.7209817687618364E-2</v>
      </c>
      <c r="AG1517" s="1411">
        <f t="shared" si="1858"/>
        <v>1.7827895493167361E-2</v>
      </c>
      <c r="AH1517" s="1411">
        <f t="shared" si="1858"/>
        <v>1.92090415772849E-2</v>
      </c>
      <c r="AI1517" s="1411">
        <f t="shared" si="1858"/>
        <v>2.2521670567461249E-2</v>
      </c>
      <c r="AJ1517" s="1411">
        <f t="shared" si="1858"/>
        <v>2.2439384020290165E-2</v>
      </c>
      <c r="AK1517" s="1411">
        <f t="shared" si="1858"/>
        <v>2.2764479751846676E-2</v>
      </c>
      <c r="AL1517" s="1411">
        <f t="shared" si="1858"/>
        <v>2.3057419733332113E-2</v>
      </c>
      <c r="AM1517" s="1411">
        <f t="shared" si="1842"/>
        <v>2.1766456489664035E-2</v>
      </c>
      <c r="AN1517" s="1411">
        <f t="shared" si="1842"/>
        <v>1.9020423653181035E-2</v>
      </c>
      <c r="AO1517" s="1411">
        <f t="shared" si="1842"/>
        <v>1.7313717629640447E-2</v>
      </c>
      <c r="AP1517" s="1411">
        <f t="shared" ref="AP1517:AT1517" si="1867">AP1428/AP$421</f>
        <v>1.9037531937821105E-2</v>
      </c>
      <c r="AQ1517" s="1411">
        <f t="shared" si="1867"/>
        <v>2.0835618188303748E-2</v>
      </c>
      <c r="AR1517" s="1411">
        <f t="shared" si="1867"/>
        <v>1.7461800990289617E-2</v>
      </c>
      <c r="AS1517" s="1411">
        <f t="shared" si="1867"/>
        <v>1.5291356199924968E-2</v>
      </c>
      <c r="AT1517" s="2692">
        <f t="shared" si="1867"/>
        <v>1.1988980842303053E-2</v>
      </c>
    </row>
    <row r="1518" spans="1:46" ht="15.9" thickBot="1">
      <c r="A1518" s="1"/>
      <c r="B1518" s="1"/>
      <c r="C1518" s="1"/>
      <c r="D1518" s="2535" t="s">
        <v>532</v>
      </c>
      <c r="E1518" s="505"/>
      <c r="F1518" s="505"/>
      <c r="G1518" s="505"/>
      <c r="H1518" s="505"/>
      <c r="I1518" s="505"/>
      <c r="J1518" s="505"/>
      <c r="K1518" s="505"/>
      <c r="L1518" s="505"/>
      <c r="M1518" s="505"/>
      <c r="N1518" s="505"/>
      <c r="O1518" s="505"/>
      <c r="P1518" s="505"/>
      <c r="Q1518" s="505"/>
      <c r="R1518" s="505"/>
      <c r="S1518" s="505"/>
      <c r="T1518" s="505"/>
      <c r="U1518" s="505"/>
      <c r="V1518" s="1411">
        <f t="shared" ref="V1518:AD1518" si="1868">V1429/V$421</f>
        <v>0</v>
      </c>
      <c r="W1518" s="1411">
        <f t="shared" si="1868"/>
        <v>0</v>
      </c>
      <c r="X1518" s="1411">
        <f t="shared" si="1868"/>
        <v>5.571605447791993E-3</v>
      </c>
      <c r="Y1518" s="1411">
        <f t="shared" si="1868"/>
        <v>1.1896144012084593E-2</v>
      </c>
      <c r="Z1518" s="1411">
        <f t="shared" si="1868"/>
        <v>1.2248155393692601E-2</v>
      </c>
      <c r="AA1518" s="1411">
        <f t="shared" si="1868"/>
        <v>1.3095355791091107E-2</v>
      </c>
      <c r="AB1518" s="1411">
        <f t="shared" si="1868"/>
        <v>1.191460842600525E-2</v>
      </c>
      <c r="AC1518" s="1411">
        <f t="shared" si="1868"/>
        <v>1.2468935493109498E-2</v>
      </c>
      <c r="AD1518" s="1411">
        <f t="shared" si="1868"/>
        <v>1.9584031272085613E-2</v>
      </c>
      <c r="AE1518" s="1411">
        <f t="shared" si="1858"/>
        <v>2.613561230715768E-2</v>
      </c>
      <c r="AF1518" s="1411">
        <f t="shared" si="1858"/>
        <v>2.4779719526240598E-2</v>
      </c>
      <c r="AG1518" s="1411">
        <f t="shared" si="1858"/>
        <v>3.0922715891172427E-2</v>
      </c>
      <c r="AH1518" s="1411">
        <f t="shared" si="1858"/>
        <v>1.8916325553607595E-2</v>
      </c>
      <c r="AI1518" s="1411">
        <f t="shared" si="1858"/>
        <v>1.6574766205580266E-2</v>
      </c>
      <c r="AJ1518" s="1411">
        <f t="shared" si="1858"/>
        <v>1.4854863877935574E-2</v>
      </c>
      <c r="AK1518" s="1411">
        <f t="shared" si="1858"/>
        <v>1.5218898483381356E-2</v>
      </c>
      <c r="AL1518" s="1411">
        <f t="shared" si="1858"/>
        <v>1.4793374756992128E-2</v>
      </c>
      <c r="AM1518" s="1411">
        <f t="shared" si="1842"/>
        <v>1.2676187751182576E-2</v>
      </c>
      <c r="AN1518" s="1411">
        <f t="shared" si="1842"/>
        <v>1.045173312631674E-2</v>
      </c>
      <c r="AO1518" s="1411">
        <f t="shared" si="1842"/>
        <v>1.0028708542979258E-2</v>
      </c>
      <c r="AP1518" s="1411">
        <f t="shared" ref="AP1518:AT1518" si="1869">AP1429/AP$421</f>
        <v>1.0046898171798201E-2</v>
      </c>
      <c r="AQ1518" s="1411">
        <f t="shared" si="1869"/>
        <v>1.0171569225902991E-2</v>
      </c>
      <c r="AR1518" s="1411">
        <f t="shared" si="1869"/>
        <v>1.0423043457876103E-2</v>
      </c>
      <c r="AS1518" s="1411">
        <f t="shared" si="1869"/>
        <v>1.066296761115655E-2</v>
      </c>
      <c r="AT1518" s="2692">
        <f t="shared" si="1869"/>
        <v>1.1031455108634488E-2</v>
      </c>
    </row>
    <row r="1519" spans="1:46" ht="15.9" thickBot="1">
      <c r="A1519" s="1"/>
      <c r="B1519" s="1"/>
      <c r="C1519" s="1"/>
      <c r="D1519" s="2536" t="str">
        <f>D1430</f>
        <v xml:space="preserve"> of which: Other Subsidies</v>
      </c>
      <c r="E1519" s="505"/>
      <c r="F1519" s="505"/>
      <c r="G1519" s="505"/>
      <c r="H1519" s="505"/>
      <c r="I1519" s="505"/>
      <c r="J1519" s="505"/>
      <c r="K1519" s="505"/>
      <c r="L1519" s="505"/>
      <c r="M1519" s="505"/>
      <c r="N1519" s="505"/>
      <c r="O1519" s="505"/>
      <c r="P1519" s="505"/>
      <c r="Q1519" s="505"/>
      <c r="R1519" s="505"/>
      <c r="S1519" s="505"/>
      <c r="T1519" s="505"/>
      <c r="U1519" s="505"/>
      <c r="V1519" s="1411"/>
      <c r="W1519" s="1411"/>
      <c r="X1519" s="1411"/>
      <c r="Y1519" s="1411"/>
      <c r="Z1519" s="1411"/>
      <c r="AA1519" s="1411"/>
      <c r="AB1519" s="1411"/>
      <c r="AC1519" s="1411"/>
      <c r="AD1519" s="1411"/>
      <c r="AE1519" s="1581">
        <f t="shared" si="1858"/>
        <v>0</v>
      </c>
      <c r="AF1519" s="1582">
        <f t="shared" si="1858"/>
        <v>1.1715401466806364E-3</v>
      </c>
      <c r="AG1519" s="1582">
        <f t="shared" si="1858"/>
        <v>0</v>
      </c>
      <c r="AH1519" s="1582">
        <f t="shared" si="1858"/>
        <v>0</v>
      </c>
      <c r="AI1519" s="1582">
        <f t="shared" si="1858"/>
        <v>0</v>
      </c>
      <c r="AJ1519" s="1582">
        <f t="shared" si="1858"/>
        <v>0</v>
      </c>
      <c r="AK1519" s="1582">
        <f t="shared" si="1858"/>
        <v>2.6307833673044315E-3</v>
      </c>
      <c r="AL1519" s="1583">
        <f t="shared" si="1858"/>
        <v>2.4220785158293678E-3</v>
      </c>
      <c r="AM1519" s="1583">
        <f t="shared" si="1842"/>
        <v>2.7533643120030895E-3</v>
      </c>
      <c r="AN1519" s="1583">
        <f t="shared" si="1842"/>
        <v>2.9576877124721009E-3</v>
      </c>
      <c r="AO1519" s="1583">
        <f t="shared" si="1842"/>
        <v>3.0780555239112665E-3</v>
      </c>
      <c r="AP1519" s="1583">
        <f t="shared" ref="AP1519:AT1519" si="1870">AP1430/AP$421</f>
        <v>0</v>
      </c>
      <c r="AQ1519" s="1583">
        <f t="shared" si="1870"/>
        <v>0</v>
      </c>
      <c r="AR1519" s="1583">
        <f t="shared" si="1870"/>
        <v>0</v>
      </c>
      <c r="AS1519" s="1583">
        <f t="shared" si="1870"/>
        <v>0</v>
      </c>
      <c r="AT1519" s="2693">
        <f t="shared" si="1870"/>
        <v>0</v>
      </c>
    </row>
    <row r="1520" spans="1:46">
      <c r="A1520" s="1"/>
      <c r="B1520" s="1"/>
      <c r="C1520" s="1"/>
      <c r="D1520" s="2535" t="s">
        <v>504</v>
      </c>
      <c r="E1520" s="505"/>
      <c r="F1520" s="505"/>
      <c r="G1520" s="505"/>
      <c r="H1520" s="505"/>
      <c r="I1520" s="505"/>
      <c r="J1520" s="505"/>
      <c r="K1520" s="505"/>
      <c r="L1520" s="505"/>
      <c r="M1520" s="505"/>
      <c r="N1520" s="505"/>
      <c r="O1520" s="505"/>
      <c r="P1520" s="505"/>
      <c r="Q1520" s="505"/>
      <c r="R1520" s="505"/>
      <c r="S1520" s="505"/>
      <c r="T1520" s="505"/>
      <c r="U1520" s="505"/>
      <c r="V1520" s="1411">
        <f t="shared" ref="V1520:AD1520" si="1871">V1431/V$421</f>
        <v>3.6751989337806254E-2</v>
      </c>
      <c r="W1520" s="1411">
        <f t="shared" si="1871"/>
        <v>3.5764921106791678E-2</v>
      </c>
      <c r="X1520" s="1411">
        <f t="shared" si="1871"/>
        <v>2.9137432934378874E-2</v>
      </c>
      <c r="Y1520" s="1411">
        <f t="shared" si="1871"/>
        <v>5.3903874233006036E-2</v>
      </c>
      <c r="Z1520" s="1411">
        <f t="shared" si="1871"/>
        <v>5.8210780418818227E-2</v>
      </c>
      <c r="AA1520" s="1411">
        <f t="shared" si="1871"/>
        <v>5.6677423797337791E-2</v>
      </c>
      <c r="AB1520" s="1411">
        <f t="shared" si="1871"/>
        <v>5.3839576739590798E-2</v>
      </c>
      <c r="AC1520" s="1411">
        <f t="shared" si="1871"/>
        <v>5.2451534821327993E-2</v>
      </c>
      <c r="AD1520" s="1411">
        <f t="shared" si="1871"/>
        <v>5.3727888245673955E-2</v>
      </c>
      <c r="AE1520" s="1411">
        <f t="shared" si="1858"/>
        <v>5.1905865537863076E-2</v>
      </c>
      <c r="AF1520" s="1411">
        <f t="shared" si="1858"/>
        <v>5.2288212714068E-2</v>
      </c>
      <c r="AG1520" s="1411">
        <f t="shared" si="1858"/>
        <v>5.3043216498845573E-2</v>
      </c>
      <c r="AH1520" s="1411">
        <f t="shared" si="1858"/>
        <v>6.1367088607594947E-2</v>
      </c>
      <c r="AI1520" s="1411">
        <f t="shared" si="1858"/>
        <v>5.357274177058903E-2</v>
      </c>
      <c r="AJ1520" s="1411">
        <f t="shared" si="1858"/>
        <v>4.7313308491398226E-2</v>
      </c>
      <c r="AK1520" s="1411">
        <f t="shared" si="1858"/>
        <v>4.5699461017690665E-2</v>
      </c>
      <c r="AL1520" s="1411">
        <f t="shared" si="1858"/>
        <v>4.6784486664741783E-2</v>
      </c>
      <c r="AM1520" s="1411">
        <f t="shared" si="1842"/>
        <v>4.868597697448529E-2</v>
      </c>
      <c r="AN1520" s="1411">
        <f t="shared" si="1842"/>
        <v>4.8383056895731601E-2</v>
      </c>
      <c r="AO1520" s="1411">
        <f t="shared" si="1842"/>
        <v>5.2310507118479052E-2</v>
      </c>
      <c r="AP1520" s="1411">
        <f t="shared" ref="AP1520:AT1520" si="1872">AP1431/AP$421</f>
        <v>5.2363623763066254E-2</v>
      </c>
      <c r="AQ1520" s="1411">
        <f t="shared" si="1872"/>
        <v>5.5325857728691356E-2</v>
      </c>
      <c r="AR1520" s="1411">
        <f t="shared" si="1872"/>
        <v>5.7885421857426282E-2</v>
      </c>
      <c r="AS1520" s="1411">
        <f t="shared" si="1872"/>
        <v>6.0465939487850257E-2</v>
      </c>
      <c r="AT1520" s="2692">
        <f t="shared" si="1872"/>
        <v>6.4294834832566497E-2</v>
      </c>
    </row>
    <row r="1521" spans="1:46">
      <c r="A1521" s="1"/>
      <c r="B1521" s="1"/>
      <c r="C1521" s="1"/>
      <c r="D1521" s="2535" t="s">
        <v>533</v>
      </c>
      <c r="E1521" s="505"/>
      <c r="F1521" s="505"/>
      <c r="G1521" s="505"/>
      <c r="H1521" s="505"/>
      <c r="I1521" s="505"/>
      <c r="J1521" s="505"/>
      <c r="K1521" s="505"/>
      <c r="L1521" s="505"/>
      <c r="M1521" s="505"/>
      <c r="N1521" s="505"/>
      <c r="O1521" s="505"/>
      <c r="P1521" s="505"/>
      <c r="Q1521" s="505"/>
      <c r="R1521" s="505"/>
      <c r="S1521" s="505"/>
      <c r="T1521" s="505"/>
      <c r="U1521" s="505"/>
      <c r="V1521" s="1411">
        <f t="shared" ref="V1521:AD1521" si="1873">V1432/V$421</f>
        <v>0</v>
      </c>
      <c r="W1521" s="1411">
        <f t="shared" si="1873"/>
        <v>0</v>
      </c>
      <c r="X1521" s="1411">
        <f t="shared" si="1873"/>
        <v>0</v>
      </c>
      <c r="Y1521" s="1411">
        <f t="shared" si="1873"/>
        <v>4.3201519971676726E-3</v>
      </c>
      <c r="Z1521" s="1411">
        <f t="shared" si="1873"/>
        <v>3.9093160556229424E-3</v>
      </c>
      <c r="AA1521" s="1411">
        <f t="shared" si="1873"/>
        <v>3.8192056127580322E-3</v>
      </c>
      <c r="AB1521" s="1411">
        <f t="shared" si="1873"/>
        <v>3.2716104102528676E-3</v>
      </c>
      <c r="AC1521" s="1411">
        <f t="shared" si="1873"/>
        <v>3.1544476006013533E-3</v>
      </c>
      <c r="AD1521" s="1411">
        <f t="shared" si="1873"/>
        <v>2.9394634906648449E-3</v>
      </c>
      <c r="AE1521" s="1411">
        <f t="shared" si="1858"/>
        <v>2.7665152599585063E-3</v>
      </c>
      <c r="AF1521" s="1411">
        <f t="shared" si="1858"/>
        <v>3.9083787254976668E-3</v>
      </c>
      <c r="AG1521" s="1411">
        <f t="shared" si="1858"/>
        <v>4.5849970873047983E-3</v>
      </c>
      <c r="AH1521" s="1411">
        <f t="shared" si="1858"/>
        <v>2.9177215189873421E-3</v>
      </c>
      <c r="AI1521" s="1411">
        <f t="shared" si="1858"/>
        <v>2.6381779517994338E-3</v>
      </c>
      <c r="AJ1521" s="1411">
        <f t="shared" si="1858"/>
        <v>3.0882951994919755E-3</v>
      </c>
      <c r="AK1521" s="1411">
        <f t="shared" si="1858"/>
        <v>3.3072176345343273E-3</v>
      </c>
      <c r="AL1521" s="1411">
        <f t="shared" si="1858"/>
        <v>3.0000000000000001E-3</v>
      </c>
      <c r="AM1521" s="1411">
        <f t="shared" si="1842"/>
        <v>3.0000000000000001E-3</v>
      </c>
      <c r="AN1521" s="1411">
        <f t="shared" si="1842"/>
        <v>3.0000000000000001E-3</v>
      </c>
      <c r="AO1521" s="1411">
        <f t="shared" si="1842"/>
        <v>3.0000000000000001E-3</v>
      </c>
      <c r="AP1521" s="1411">
        <f t="shared" ref="AP1521:AT1521" si="1874">AP1432/AP$421</f>
        <v>3.0000000000000005E-3</v>
      </c>
      <c r="AQ1521" s="1411">
        <f t="shared" si="1874"/>
        <v>3.0000000000000001E-3</v>
      </c>
      <c r="AR1521" s="1411">
        <f t="shared" si="1874"/>
        <v>3.0000000000000001E-3</v>
      </c>
      <c r="AS1521" s="1411">
        <f t="shared" si="1874"/>
        <v>3.0000000000000001E-3</v>
      </c>
      <c r="AT1521" s="2692">
        <f t="shared" si="1874"/>
        <v>3.0000000000000001E-3</v>
      </c>
    </row>
    <row r="1522" spans="1:46">
      <c r="A1522" s="1"/>
      <c r="B1522" s="1"/>
      <c r="C1522" s="1"/>
      <c r="D1522" s="2535" t="s">
        <v>534</v>
      </c>
      <c r="E1522" s="505"/>
      <c r="F1522" s="505"/>
      <c r="G1522" s="505"/>
      <c r="H1522" s="505"/>
      <c r="I1522" s="505"/>
      <c r="J1522" s="505"/>
      <c r="K1522" s="505"/>
      <c r="L1522" s="505"/>
      <c r="M1522" s="505"/>
      <c r="N1522" s="505"/>
      <c r="O1522" s="505"/>
      <c r="P1522" s="505"/>
      <c r="Q1522" s="505"/>
      <c r="R1522" s="505"/>
      <c r="S1522" s="505"/>
      <c r="T1522" s="505"/>
      <c r="U1522" s="505"/>
      <c r="V1522" s="1411">
        <f t="shared" ref="V1522:AD1522" si="1875">V1433/V$421</f>
        <v>0</v>
      </c>
      <c r="W1522" s="1411">
        <f t="shared" si="1875"/>
        <v>0</v>
      </c>
      <c r="X1522" s="1411">
        <f t="shared" si="1875"/>
        <v>0</v>
      </c>
      <c r="Y1522" s="1411">
        <f t="shared" si="1875"/>
        <v>6.0818269984327803E-3</v>
      </c>
      <c r="Z1522" s="1411">
        <f t="shared" si="1875"/>
        <v>1.1727099434066886E-2</v>
      </c>
      <c r="AA1522" s="1411">
        <f t="shared" si="1875"/>
        <v>1.1087265288064566E-2</v>
      </c>
      <c r="AB1522" s="1411">
        <f t="shared" si="1875"/>
        <v>1.2093917713555341E-2</v>
      </c>
      <c r="AC1522" s="1411">
        <f t="shared" si="1875"/>
        <v>1.3504812813956402E-2</v>
      </c>
      <c r="AD1522" s="1411">
        <f t="shared" si="1875"/>
        <v>1.9424240475523678E-2</v>
      </c>
      <c r="AE1522" s="1411">
        <f t="shared" si="1858"/>
        <v>1.4974059960477178E-2</v>
      </c>
      <c r="AF1522" s="1411">
        <f t="shared" si="1858"/>
        <v>1.2597533279169446E-2</v>
      </c>
      <c r="AG1522" s="1411">
        <f t="shared" si="1858"/>
        <v>1.189566702435472E-2</v>
      </c>
      <c r="AH1522" s="1411">
        <f t="shared" si="1858"/>
        <v>8.0822784810126586E-3</v>
      </c>
      <c r="AI1522" s="1411">
        <f t="shared" si="1858"/>
        <v>7.5008078536190868E-3</v>
      </c>
      <c r="AJ1522" s="1411">
        <f t="shared" si="1858"/>
        <v>6.6963769652926917E-3</v>
      </c>
      <c r="AK1522" s="1411">
        <f t="shared" si="1858"/>
        <v>6.0499508744390942E-3</v>
      </c>
      <c r="AL1522" s="1411">
        <f t="shared" si="1858"/>
        <v>5.846210182726904E-3</v>
      </c>
      <c r="AM1522" s="1411">
        <f t="shared" si="1842"/>
        <v>5.8435328500610296E-3</v>
      </c>
      <c r="AN1522" s="1411">
        <f t="shared" si="1842"/>
        <v>5.831855413315358E-3</v>
      </c>
      <c r="AO1522" s="1411">
        <f t="shared" si="1842"/>
        <v>5.8849604028519704E-3</v>
      </c>
      <c r="AP1522" s="1411">
        <f t="shared" ref="AP1522:AT1522" si="1876">AP1433/AP$421</f>
        <v>6.0703822043882711E-3</v>
      </c>
      <c r="AQ1522" s="1411">
        <f t="shared" si="1876"/>
        <v>6.279115446125326E-3</v>
      </c>
      <c r="AR1522" s="1411">
        <f t="shared" si="1876"/>
        <v>6.5440399332561006E-3</v>
      </c>
      <c r="AS1522" s="1411">
        <f t="shared" si="1876"/>
        <v>6.8055135792911827E-3</v>
      </c>
      <c r="AT1522" s="2692">
        <f t="shared" si="1876"/>
        <v>7.9513165368574057E-3</v>
      </c>
    </row>
    <row r="1523" spans="1:46">
      <c r="A1523" s="1"/>
      <c r="B1523" s="1"/>
      <c r="C1523" s="1"/>
      <c r="D1523" s="2530" t="s">
        <v>558</v>
      </c>
      <c r="E1523" s="505"/>
      <c r="F1523" s="505"/>
      <c r="G1523" s="505"/>
      <c r="H1523" s="505"/>
      <c r="I1523" s="505"/>
      <c r="J1523" s="505"/>
      <c r="K1523" s="505"/>
      <c r="L1523" s="505"/>
      <c r="M1523" s="505"/>
      <c r="N1523" s="505"/>
      <c r="O1523" s="505"/>
      <c r="P1523" s="505"/>
      <c r="Q1523" s="505"/>
      <c r="R1523" s="505"/>
      <c r="S1523" s="505"/>
      <c r="T1523" s="505"/>
      <c r="U1523" s="505"/>
      <c r="V1523" s="1411">
        <f t="shared" ref="V1523:AA1523" si="1877">V1434/V$421</f>
        <v>0</v>
      </c>
      <c r="W1523" s="1411">
        <f t="shared" si="1877"/>
        <v>0</v>
      </c>
      <c r="X1523" s="1411">
        <f t="shared" si="1877"/>
        <v>0</v>
      </c>
      <c r="Y1523" s="1411">
        <f t="shared" si="1877"/>
        <v>0</v>
      </c>
      <c r="Z1523" s="1411">
        <f t="shared" si="1877"/>
        <v>0</v>
      </c>
      <c r="AA1523" s="1411">
        <f t="shared" si="1877"/>
        <v>0</v>
      </c>
      <c r="AB1523" s="1411"/>
      <c r="AC1523" s="1411"/>
      <c r="AD1523" s="1411"/>
      <c r="AE1523" s="1411"/>
      <c r="AF1523" s="1411"/>
      <c r="AG1523" s="1411"/>
      <c r="AH1523" s="1411"/>
      <c r="AI1523" s="1411"/>
      <c r="AJ1523" s="1411"/>
      <c r="AK1523" s="1411"/>
      <c r="AL1523" s="1411"/>
      <c r="AM1523" s="1411"/>
      <c r="AN1523" s="1411"/>
      <c r="AO1523" s="1411"/>
      <c r="AP1523" s="1411"/>
      <c r="AQ1523" s="1411"/>
      <c r="AR1523" s="1411"/>
      <c r="AS1523" s="1411"/>
      <c r="AT1523" s="2692"/>
    </row>
    <row r="1524" spans="1:46">
      <c r="A1524" s="1"/>
      <c r="B1524" s="1"/>
      <c r="C1524" s="1"/>
      <c r="D1524" s="2537" t="s">
        <v>559</v>
      </c>
      <c r="E1524" s="505"/>
      <c r="F1524" s="505"/>
      <c r="G1524" s="505"/>
      <c r="H1524" s="505"/>
      <c r="I1524" s="505"/>
      <c r="J1524" s="505"/>
      <c r="K1524" s="505"/>
      <c r="L1524" s="505"/>
      <c r="M1524" s="505"/>
      <c r="N1524" s="505"/>
      <c r="O1524" s="505"/>
      <c r="P1524" s="505"/>
      <c r="Q1524" s="505"/>
      <c r="R1524" s="505"/>
      <c r="S1524" s="505"/>
      <c r="T1524" s="505"/>
      <c r="U1524" s="505"/>
      <c r="V1524" s="1411">
        <f t="shared" ref="V1524:AD1524" si="1878">V1435/V$421</f>
        <v>1.2845436695341444E-2</v>
      </c>
      <c r="W1524" s="1411">
        <f t="shared" si="1878"/>
        <v>1.6418934369997702E-2</v>
      </c>
      <c r="X1524" s="1411">
        <f t="shared" si="1878"/>
        <v>-2.8811486504333799E-3</v>
      </c>
      <c r="Y1524" s="1411">
        <f t="shared" si="1878"/>
        <v>8.2274386646153649E-2</v>
      </c>
      <c r="Z1524" s="1411">
        <f t="shared" si="1878"/>
        <v>7.4770833093781047E-2</v>
      </c>
      <c r="AA1524" s="1411">
        <f t="shared" si="1878"/>
        <v>6.1263473722369691E-2</v>
      </c>
      <c r="AB1524" s="1411">
        <f t="shared" si="1878"/>
        <v>4.0390285390402347E-2</v>
      </c>
      <c r="AC1524" s="1411">
        <f t="shared" si="1878"/>
        <v>4.8044379447025325E-2</v>
      </c>
      <c r="AD1524" s="1411">
        <f t="shared" si="1878"/>
        <v>4.5328299049081811E-2</v>
      </c>
      <c r="AE1524" s="1411">
        <f t="shared" ref="AE1524:AO1524" si="1879">AE1435/AE$421</f>
        <v>3.1323505992634205E-2</v>
      </c>
      <c r="AF1524" s="1411">
        <f t="shared" si="1879"/>
        <v>4.6080785543459624E-2</v>
      </c>
      <c r="AG1524" s="1411">
        <f t="shared" si="1879"/>
        <v>5.1321469531905153E-2</v>
      </c>
      <c r="AH1524" s="1411">
        <f t="shared" si="1879"/>
        <v>3.4359022177989668E-2</v>
      </c>
      <c r="AI1524" s="1411">
        <f t="shared" si="1879"/>
        <v>3.440821695096679E-2</v>
      </c>
      <c r="AJ1524" s="1411">
        <f t="shared" si="1879"/>
        <v>3.4971390305145303E-2</v>
      </c>
      <c r="AK1524" s="1411">
        <f t="shared" si="1879"/>
        <v>4.402237806730664E-2</v>
      </c>
      <c r="AL1524" s="1411">
        <f t="shared" si="1879"/>
        <v>4.1919808343339339E-2</v>
      </c>
      <c r="AM1524" s="1411">
        <f t="shared" si="1879"/>
        <v>4.6117550199108633E-2</v>
      </c>
      <c r="AN1524" s="1411">
        <f t="shared" si="1879"/>
        <v>5.1225413976240419E-2</v>
      </c>
      <c r="AO1524" s="1411">
        <f t="shared" si="1879"/>
        <v>5.0000169631643249E-2</v>
      </c>
      <c r="AP1524" s="1411">
        <f t="shared" ref="AP1524:AT1524" si="1880">AP1435/AP$421</f>
        <v>4.8964345938826044E-2</v>
      </c>
      <c r="AQ1524" s="1411">
        <f t="shared" si="1880"/>
        <v>4.152559784909618E-2</v>
      </c>
      <c r="AR1524" s="1411">
        <f t="shared" si="1880"/>
        <v>4.0669958341165907E-2</v>
      </c>
      <c r="AS1524" s="1411">
        <f t="shared" si="1880"/>
        <v>3.8428860611422117E-2</v>
      </c>
      <c r="AT1524" s="2692">
        <f t="shared" si="1880"/>
        <v>3.9212018806152979E-2</v>
      </c>
    </row>
    <row r="1525" spans="1:46">
      <c r="A1525" s="1"/>
      <c r="B1525" s="1"/>
      <c r="C1525" s="1"/>
      <c r="D1525" s="2537" t="s">
        <v>560</v>
      </c>
      <c r="E1525" s="505"/>
      <c r="F1525" s="505"/>
      <c r="G1525" s="505"/>
      <c r="H1525" s="505"/>
      <c r="I1525" s="505"/>
      <c r="J1525" s="505"/>
      <c r="K1525" s="505"/>
      <c r="L1525" s="505"/>
      <c r="M1525" s="505"/>
      <c r="N1525" s="505"/>
      <c r="O1525" s="505"/>
      <c r="P1525" s="505"/>
      <c r="Q1525" s="505"/>
      <c r="R1525" s="505"/>
      <c r="S1525" s="505"/>
      <c r="T1525" s="505"/>
      <c r="U1525" s="505"/>
      <c r="V1525" s="1411">
        <f t="shared" ref="V1525:AD1525" si="1881">V1436/V$421</f>
        <v>-8.7479012705135001E-2</v>
      </c>
      <c r="W1525" s="1411">
        <f t="shared" si="1881"/>
        <v>-8.8177452549737023E-2</v>
      </c>
      <c r="X1525" s="1411">
        <f t="shared" si="1881"/>
        <v>-7.8180364498555532E-2</v>
      </c>
      <c r="Y1525" s="1411">
        <f t="shared" si="1881"/>
        <v>-7.2869156995072305E-3</v>
      </c>
      <c r="Z1525" s="1411">
        <f t="shared" si="1881"/>
        <v>2.6988512890159084E-3</v>
      </c>
      <c r="AA1525" s="1411">
        <f t="shared" si="1881"/>
        <v>3.2604307620174833E-3</v>
      </c>
      <c r="AB1525" s="1411">
        <f t="shared" si="1881"/>
        <v>-5.2338798640564847E-3</v>
      </c>
      <c r="AC1525" s="1411">
        <f t="shared" si="1881"/>
        <v>3.0796241389934439E-3</v>
      </c>
      <c r="AD1525" s="1411">
        <f t="shared" si="1881"/>
        <v>3.8862943885687828E-4</v>
      </c>
      <c r="AE1525" s="1411">
        <f t="shared" ref="AE1525:AO1525" si="1882">AE1436/AE$421</f>
        <v>-1.4066370007766994E-2</v>
      </c>
      <c r="AF1525" s="1411">
        <f t="shared" si="1882"/>
        <v>-7.8344993515858108E-3</v>
      </c>
      <c r="AG1525" s="1411">
        <f t="shared" si="1882"/>
        <v>-1.536550833250794E-2</v>
      </c>
      <c r="AH1525" s="1411">
        <f t="shared" si="1882"/>
        <v>-1.0660423755868054E-2</v>
      </c>
      <c r="AI1525" s="1411">
        <f t="shared" si="1882"/>
        <v>-6.448578279206107E-3</v>
      </c>
      <c r="AJ1525" s="1411">
        <f t="shared" si="1882"/>
        <v>6.5870249104297571E-3</v>
      </c>
      <c r="AK1525" s="1411">
        <f t="shared" si="1882"/>
        <v>1.7594397200989511E-2</v>
      </c>
      <c r="AL1525" s="1411">
        <f t="shared" si="1882"/>
        <v>2.3063898126779527E-2</v>
      </c>
      <c r="AM1525" s="1411">
        <f t="shared" si="1882"/>
        <v>2.7494796790072041E-2</v>
      </c>
      <c r="AN1525" s="1411">
        <f t="shared" si="1882"/>
        <v>3.4393076559081893E-2</v>
      </c>
      <c r="AO1525" s="1411">
        <f t="shared" si="1882"/>
        <v>3.48192585556103E-2</v>
      </c>
      <c r="AP1525" s="1411">
        <f t="shared" ref="AP1525:AT1525" si="1883">AP1436/AP$421</f>
        <v>3.3424090291110937E-2</v>
      </c>
      <c r="AQ1525" s="1411">
        <f t="shared" si="1883"/>
        <v>2.4579337299940673E-2</v>
      </c>
      <c r="AR1525" s="1411">
        <f t="shared" si="1883"/>
        <v>2.5019143698572249E-2</v>
      </c>
      <c r="AS1525" s="1411">
        <f t="shared" si="1883"/>
        <v>2.3984628612021087E-2</v>
      </c>
      <c r="AT1525" s="2692">
        <f t="shared" si="1883"/>
        <v>2.7613481171059242E-2</v>
      </c>
    </row>
    <row r="1526" spans="1:46">
      <c r="A1526" s="1"/>
      <c r="B1526" s="1"/>
      <c r="C1526" s="1"/>
      <c r="D1526" s="2530" t="str">
        <f>D1437</f>
        <v xml:space="preserve">Net Investment in nonfinancial assets </v>
      </c>
      <c r="E1526" s="505"/>
      <c r="F1526" s="505"/>
      <c r="G1526" s="505"/>
      <c r="H1526" s="505"/>
      <c r="I1526" s="505"/>
      <c r="J1526" s="505"/>
      <c r="K1526" s="505"/>
      <c r="L1526" s="505"/>
      <c r="M1526" s="505"/>
      <c r="N1526" s="505"/>
      <c r="O1526" s="505"/>
      <c r="P1526" s="505"/>
      <c r="Q1526" s="505"/>
      <c r="R1526" s="505"/>
      <c r="S1526" s="505"/>
      <c r="T1526" s="505"/>
      <c r="U1526" s="505"/>
      <c r="V1526" s="1411">
        <f t="shared" ref="V1526:AD1526" si="1884">V1437/V$421</f>
        <v>0.10133932239280043</v>
      </c>
      <c r="W1526" s="1411">
        <f t="shared" si="1884"/>
        <v>9.6798536473816588E-2</v>
      </c>
      <c r="X1526" s="1411">
        <f t="shared" si="1884"/>
        <v>8.609815271089559E-2</v>
      </c>
      <c r="Y1526" s="1411">
        <f t="shared" si="1884"/>
        <v>0.12148305949975056</v>
      </c>
      <c r="Z1526" s="1411">
        <f t="shared" si="1884"/>
        <v>0.11022594680877464</v>
      </c>
      <c r="AA1526" s="1411">
        <f t="shared" si="1884"/>
        <v>9.5830696655355471E-2</v>
      </c>
      <c r="AB1526" s="1411">
        <f t="shared" si="1884"/>
        <v>8.3855974657292928E-2</v>
      </c>
      <c r="AC1526" s="1411">
        <f t="shared" si="1884"/>
        <v>8.5287981729160606E-2</v>
      </c>
      <c r="AD1526" s="1411">
        <f t="shared" si="1884"/>
        <v>0.10413000522743415</v>
      </c>
      <c r="AE1526" s="1411">
        <f t="shared" ref="AE1526:AO1526" si="1885">AE1437/AE$421</f>
        <v>0.1071678344916355</v>
      </c>
      <c r="AF1526" s="1411">
        <f t="shared" si="1885"/>
        <v>0.11952151211575474</v>
      </c>
      <c r="AG1526" s="1411">
        <f t="shared" si="1885"/>
        <v>0.12878243118596408</v>
      </c>
      <c r="AH1526" s="1411">
        <f t="shared" si="1885"/>
        <v>9.6102798364415154E-2</v>
      </c>
      <c r="AI1526" s="1411">
        <f t="shared" si="1885"/>
        <v>9.4621459712893291E-2</v>
      </c>
      <c r="AJ1526" s="1411">
        <f t="shared" si="1885"/>
        <v>8.18190070766526E-2</v>
      </c>
      <c r="AK1526" s="1411">
        <f t="shared" si="1885"/>
        <v>7.7931757320484782E-2</v>
      </c>
      <c r="AL1526" s="1411">
        <f t="shared" si="1885"/>
        <v>7.5507967186960248E-2</v>
      </c>
      <c r="AM1526" s="1411">
        <f t="shared" si="1885"/>
        <v>7.8091418416396469E-2</v>
      </c>
      <c r="AN1526" s="1411">
        <f t="shared" si="1885"/>
        <v>7.9297627716833047E-2</v>
      </c>
      <c r="AO1526" s="1411">
        <f t="shared" si="1885"/>
        <v>7.8802480666447461E-2</v>
      </c>
      <c r="AP1526" s="1411">
        <f t="shared" ref="AP1526:AT1526" si="1886">AP1437/AP$421</f>
        <v>7.8354426073839675E-2</v>
      </c>
      <c r="AQ1526" s="1411">
        <f t="shared" si="1886"/>
        <v>7.3117227693938663E-2</v>
      </c>
      <c r="AR1526" s="1411">
        <f t="shared" si="1886"/>
        <v>6.8013449278905333E-2</v>
      </c>
      <c r="AS1526" s="1411">
        <f t="shared" si="1886"/>
        <v>7.2430112832938001E-2</v>
      </c>
      <c r="AT1526" s="2692">
        <f t="shared" si="1886"/>
        <v>7.201789308294812E-2</v>
      </c>
    </row>
    <row r="1527" spans="1:46" ht="15.9" thickBot="1">
      <c r="A1527" s="1"/>
      <c r="B1527" s="1"/>
      <c r="C1527" s="1"/>
      <c r="D1527" s="2531" t="s">
        <v>561</v>
      </c>
      <c r="E1527" s="505"/>
      <c r="F1527" s="505"/>
      <c r="G1527" s="505"/>
      <c r="H1527" s="505"/>
      <c r="I1527" s="505"/>
      <c r="J1527" s="505"/>
      <c r="K1527" s="505"/>
      <c r="L1527" s="505"/>
      <c r="M1527" s="505"/>
      <c r="N1527" s="505"/>
      <c r="O1527" s="505"/>
      <c r="P1527" s="505"/>
      <c r="Q1527" s="505"/>
      <c r="R1527" s="505"/>
      <c r="S1527" s="505"/>
      <c r="T1527" s="505"/>
      <c r="U1527" s="505"/>
      <c r="V1527" s="1411">
        <f t="shared" ref="V1527:AD1527" si="1887">V1438/V$421</f>
        <v>4.340921122286924E-2</v>
      </c>
      <c r="W1527" s="1411">
        <f t="shared" si="1887"/>
        <v>4.3837182712096953E-2</v>
      </c>
      <c r="X1527" s="1411">
        <f t="shared" si="1887"/>
        <v>3.6091621956252581E-2</v>
      </c>
      <c r="Y1527" s="1411">
        <f t="shared" si="1887"/>
        <v>6.9858582826978655E-2</v>
      </c>
      <c r="Z1527" s="1411">
        <f t="shared" si="1887"/>
        <v>5.8959782205532996E-2</v>
      </c>
      <c r="AA1527" s="1411">
        <f t="shared" si="1887"/>
        <v>4.2181376820961555E-2</v>
      </c>
      <c r="AB1527" s="1411">
        <f t="shared" si="1887"/>
        <v>4.2386234236538485E-2</v>
      </c>
      <c r="AC1527" s="1411">
        <f t="shared" si="1887"/>
        <v>4.2478127725652716E-2</v>
      </c>
      <c r="AD1527" s="1411">
        <f t="shared" si="1887"/>
        <v>5.100227643827205E-2</v>
      </c>
      <c r="AE1527" s="1411">
        <f t="shared" ref="AE1527:AO1527" si="1888">AE1438/AE$421</f>
        <v>5.6825611346303533E-2</v>
      </c>
      <c r="AF1527" s="1411">
        <f t="shared" si="1888"/>
        <v>6.5274631929641766E-2</v>
      </c>
      <c r="AG1527" s="1411">
        <f t="shared" si="1888"/>
        <v>6.3816575101733955E-2</v>
      </c>
      <c r="AH1527" s="1411">
        <f t="shared" si="1888"/>
        <v>4.8827256644449132E-2</v>
      </c>
      <c r="AI1527" s="1411">
        <f t="shared" si="1888"/>
        <v>5.9188161970178642E-2</v>
      </c>
      <c r="AJ1527" s="1411">
        <f t="shared" si="1888"/>
        <v>5.2998033811209815E-2</v>
      </c>
      <c r="AK1527" s="1411">
        <f t="shared" si="1888"/>
        <v>5.2147823638561221E-2</v>
      </c>
      <c r="AL1527" s="1411">
        <f t="shared" si="1888"/>
        <v>4.3924218672542398E-2</v>
      </c>
      <c r="AM1527" s="1411">
        <f t="shared" si="1888"/>
        <v>4.0887569582199926E-2</v>
      </c>
      <c r="AN1527" s="1411">
        <f t="shared" si="1888"/>
        <v>3.9140765319474947E-2</v>
      </c>
      <c r="AO1527" s="1411">
        <f t="shared" si="1888"/>
        <v>3.6615604699822474E-2</v>
      </c>
      <c r="AP1527" s="1411">
        <f t="shared" ref="AP1527:AT1527" si="1889">AP1438/AP$421</f>
        <v>3.7132676073892701E-2</v>
      </c>
      <c r="AQ1527" s="1411">
        <f t="shared" si="1889"/>
        <v>2.6440904462689024E-2</v>
      </c>
      <c r="AR1527" s="1411">
        <f t="shared" si="1889"/>
        <v>1.6087905629072405E-2</v>
      </c>
      <c r="AS1527" s="1411">
        <f t="shared" si="1889"/>
        <v>1.4846100811117998E-2</v>
      </c>
      <c r="AT1527" s="2692">
        <f t="shared" si="1889"/>
        <v>1.1913177259578011E-2</v>
      </c>
    </row>
    <row r="1528" spans="1:46">
      <c r="A1528" s="1"/>
      <c r="B1528" s="1"/>
      <c r="C1528" s="1"/>
      <c r="D1528" s="2538" t="str">
        <f>D1439</f>
        <v>o/w COVID-19 (School construction/social protection)</v>
      </c>
      <c r="E1528" s="505"/>
      <c r="F1528" s="505"/>
      <c r="G1528" s="505"/>
      <c r="H1528" s="505"/>
      <c r="I1528" s="505"/>
      <c r="J1528" s="505"/>
      <c r="K1528" s="505"/>
      <c r="L1528" s="505"/>
      <c r="M1528" s="505"/>
      <c r="N1528" s="505"/>
      <c r="O1528" s="505"/>
      <c r="P1528" s="505"/>
      <c r="Q1528" s="505"/>
      <c r="R1528" s="505"/>
      <c r="S1528" s="505"/>
      <c r="T1528" s="505"/>
      <c r="U1528" s="505"/>
      <c r="V1528" s="1411"/>
      <c r="W1528" s="1411"/>
      <c r="X1528" s="1411"/>
      <c r="Y1528" s="1411"/>
      <c r="Z1528" s="1411"/>
      <c r="AA1528" s="1411"/>
      <c r="AB1528" s="1411"/>
      <c r="AC1528" s="1411"/>
      <c r="AD1528" s="1411"/>
      <c r="AE1528" s="1584">
        <f t="shared" ref="AE1528:AO1528" si="1890">AE1439/AE$421</f>
        <v>1.1270773949792532E-2</v>
      </c>
      <c r="AF1528" s="1585">
        <f t="shared" si="1890"/>
        <v>0</v>
      </c>
      <c r="AG1528" s="1585">
        <f t="shared" si="1890"/>
        <v>0</v>
      </c>
      <c r="AH1528" s="1585">
        <f t="shared" si="1890"/>
        <v>0</v>
      </c>
      <c r="AI1528" s="1585">
        <f t="shared" si="1890"/>
        <v>0</v>
      </c>
      <c r="AJ1528" s="1585">
        <f t="shared" si="1890"/>
        <v>0</v>
      </c>
      <c r="AK1528" s="1585">
        <f t="shared" si="1890"/>
        <v>0</v>
      </c>
      <c r="AL1528" s="1585">
        <f t="shared" si="1890"/>
        <v>0</v>
      </c>
      <c r="AM1528" s="1585">
        <f t="shared" si="1890"/>
        <v>0</v>
      </c>
      <c r="AN1528" s="1585">
        <f t="shared" si="1890"/>
        <v>0</v>
      </c>
      <c r="AO1528" s="1585">
        <f t="shared" si="1890"/>
        <v>0</v>
      </c>
      <c r="AP1528" s="1585">
        <f t="shared" ref="AP1528:AT1528" si="1891">AP1439/AP$421</f>
        <v>0</v>
      </c>
      <c r="AQ1528" s="1585">
        <f t="shared" si="1891"/>
        <v>0</v>
      </c>
      <c r="AR1528" s="1585">
        <f t="shared" si="1891"/>
        <v>0</v>
      </c>
      <c r="AS1528" s="1585">
        <f t="shared" si="1891"/>
        <v>0</v>
      </c>
      <c r="AT1528" s="2696">
        <f t="shared" si="1891"/>
        <v>0</v>
      </c>
    </row>
    <row r="1529" spans="1:46" ht="15.9" thickBot="1">
      <c r="A1529" s="1"/>
      <c r="B1529" s="1"/>
      <c r="C1529" s="1"/>
      <c r="D1529" s="2538" t="str">
        <f>D1440</f>
        <v>o/w vaccine</v>
      </c>
      <c r="E1529" s="505"/>
      <c r="F1529" s="505"/>
      <c r="G1529" s="505"/>
      <c r="H1529" s="505"/>
      <c r="I1529" s="505"/>
      <c r="J1529" s="505"/>
      <c r="K1529" s="505"/>
      <c r="L1529" s="505"/>
      <c r="M1529" s="505"/>
      <c r="N1529" s="505"/>
      <c r="O1529" s="505"/>
      <c r="P1529" s="505"/>
      <c r="Q1529" s="505"/>
      <c r="R1529" s="505"/>
      <c r="S1529" s="505"/>
      <c r="T1529" s="505"/>
      <c r="U1529" s="505"/>
      <c r="V1529" s="1411"/>
      <c r="W1529" s="1411"/>
      <c r="X1529" s="1411"/>
      <c r="Y1529" s="1411"/>
      <c r="Z1529" s="1411"/>
      <c r="AA1529" s="1411"/>
      <c r="AB1529" s="1411"/>
      <c r="AC1529" s="1411"/>
      <c r="AD1529" s="1411"/>
      <c r="AE1529" s="1587">
        <f t="shared" ref="AE1529:AO1529" si="1892">AE1440/AE$421</f>
        <v>0</v>
      </c>
      <c r="AF1529" s="1588">
        <f t="shared" si="1892"/>
        <v>0</v>
      </c>
      <c r="AG1529" s="1588">
        <f t="shared" si="1892"/>
        <v>0</v>
      </c>
      <c r="AH1529" s="1588">
        <f t="shared" si="1892"/>
        <v>0</v>
      </c>
      <c r="AI1529" s="1588">
        <f t="shared" si="1892"/>
        <v>0</v>
      </c>
      <c r="AJ1529" s="1588">
        <f t="shared" si="1892"/>
        <v>0</v>
      </c>
      <c r="AK1529" s="1588">
        <f t="shared" si="1892"/>
        <v>0</v>
      </c>
      <c r="AL1529" s="1588">
        <f t="shared" si="1892"/>
        <v>0</v>
      </c>
      <c r="AM1529" s="1588">
        <f t="shared" si="1892"/>
        <v>0</v>
      </c>
      <c r="AN1529" s="1588">
        <f t="shared" si="1892"/>
        <v>0</v>
      </c>
      <c r="AO1529" s="1588">
        <f t="shared" si="1892"/>
        <v>0</v>
      </c>
      <c r="AP1529" s="1588">
        <f t="shared" ref="AP1529:AT1529" si="1893">AP1440/AP$421</f>
        <v>0</v>
      </c>
      <c r="AQ1529" s="1588">
        <f t="shared" si="1893"/>
        <v>0</v>
      </c>
      <c r="AR1529" s="1588">
        <f t="shared" si="1893"/>
        <v>0</v>
      </c>
      <c r="AS1529" s="1588">
        <f t="shared" si="1893"/>
        <v>0</v>
      </c>
      <c r="AT1529" s="2697">
        <f t="shared" si="1893"/>
        <v>0</v>
      </c>
    </row>
    <row r="1530" spans="1:46" ht="15.9" thickBot="1">
      <c r="A1530" s="1"/>
      <c r="B1530" s="1"/>
      <c r="C1530" s="1"/>
      <c r="D1530" s="2531" t="s">
        <v>562</v>
      </c>
      <c r="E1530" s="505"/>
      <c r="F1530" s="505"/>
      <c r="G1530" s="505"/>
      <c r="H1530" s="505"/>
      <c r="I1530" s="505"/>
      <c r="J1530" s="505"/>
      <c r="K1530" s="505"/>
      <c r="L1530" s="505"/>
      <c r="M1530" s="505"/>
      <c r="N1530" s="505"/>
      <c r="O1530" s="505"/>
      <c r="P1530" s="505"/>
      <c r="Q1530" s="505"/>
      <c r="R1530" s="505"/>
      <c r="S1530" s="505"/>
      <c r="T1530" s="505"/>
      <c r="U1530" s="505"/>
      <c r="V1530" s="1411">
        <f t="shared" ref="V1530:AD1530" si="1894">V1441/V$421</f>
        <v>5.793011116993118E-2</v>
      </c>
      <c r="W1530" s="1411">
        <f t="shared" si="1894"/>
        <v>5.2961353761719641E-2</v>
      </c>
      <c r="X1530" s="1411">
        <f t="shared" si="1894"/>
        <v>5.0006530754643008E-2</v>
      </c>
      <c r="Y1530" s="1411">
        <f t="shared" si="1894"/>
        <v>5.1624476672771903E-2</v>
      </c>
      <c r="Z1530" s="1411">
        <f t="shared" si="1894"/>
        <v>5.126616460324164E-2</v>
      </c>
      <c r="AA1530" s="1411">
        <f t="shared" si="1894"/>
        <v>5.3649319834393923E-2</v>
      </c>
      <c r="AB1530" s="1411">
        <f t="shared" si="1894"/>
        <v>4.1469740420754457E-2</v>
      </c>
      <c r="AC1530" s="1411">
        <f t="shared" si="1894"/>
        <v>4.2809854003507897E-2</v>
      </c>
      <c r="AD1530" s="1411">
        <f t="shared" si="1894"/>
        <v>5.3127728789162117E-2</v>
      </c>
      <c r="AE1530" s="1411">
        <f t="shared" ref="AE1530:AO1530" si="1895">AE1441/AE$421</f>
        <v>5.0342223145331953E-2</v>
      </c>
      <c r="AF1530" s="1411">
        <f t="shared" si="1895"/>
        <v>5.424688018611297E-2</v>
      </c>
      <c r="AG1530" s="1411">
        <f t="shared" si="1895"/>
        <v>6.4965856084230125E-2</v>
      </c>
      <c r="AH1530" s="1411">
        <f t="shared" si="1895"/>
        <v>4.7275541719966022E-2</v>
      </c>
      <c r="AI1530" s="1411">
        <f t="shared" si="1895"/>
        <v>3.5433297742714649E-2</v>
      </c>
      <c r="AJ1530" s="1411">
        <f t="shared" si="1895"/>
        <v>2.8820973265442789E-2</v>
      </c>
      <c r="AK1530" s="1411">
        <f t="shared" si="1895"/>
        <v>2.5783933681923561E-2</v>
      </c>
      <c r="AL1530" s="1411">
        <f t="shared" si="1895"/>
        <v>3.1583748514417843E-2</v>
      </c>
      <c r="AM1530" s="1411">
        <f t="shared" si="1895"/>
        <v>3.720384883419655E-2</v>
      </c>
      <c r="AN1530" s="1411">
        <f t="shared" si="1895"/>
        <v>4.0156862397358092E-2</v>
      </c>
      <c r="AO1530" s="1411">
        <f t="shared" si="1895"/>
        <v>4.2186875966625001E-2</v>
      </c>
      <c r="AP1530" s="1411">
        <f t="shared" ref="AP1530:AT1530" si="1896">AP1441/AP$421</f>
        <v>4.1221749999946974E-2</v>
      </c>
      <c r="AQ1530" s="1411">
        <f t="shared" si="1896"/>
        <v>4.6676323231249636E-2</v>
      </c>
      <c r="AR1530" s="1411">
        <f t="shared" si="1896"/>
        <v>5.1925543649832928E-2</v>
      </c>
      <c r="AS1530" s="1411">
        <f t="shared" si="1896"/>
        <v>5.7584012021820001E-2</v>
      </c>
      <c r="AT1530" s="2692">
        <f t="shared" si="1896"/>
        <v>6.0104715823370104E-2</v>
      </c>
    </row>
    <row r="1531" spans="1:46" ht="15.9" thickBot="1">
      <c r="A1531" s="1"/>
      <c r="B1531" s="1"/>
      <c r="C1531" s="1"/>
      <c r="D1531" s="2538" t="str">
        <f>D1442</f>
        <v>of which: Covid-19 spending</v>
      </c>
      <c r="E1531" s="505"/>
      <c r="F1531" s="505"/>
      <c r="G1531" s="505"/>
      <c r="H1531" s="505"/>
      <c r="I1531" s="505"/>
      <c r="J1531" s="505"/>
      <c r="K1531" s="505"/>
      <c r="L1531" s="505"/>
      <c r="M1531" s="505"/>
      <c r="N1531" s="505"/>
      <c r="O1531" s="505"/>
      <c r="P1531" s="505"/>
      <c r="Q1531" s="505"/>
      <c r="R1531" s="505"/>
      <c r="S1531" s="505"/>
      <c r="T1531" s="505"/>
      <c r="U1531" s="505"/>
      <c r="V1531" s="1411"/>
      <c r="W1531" s="1411"/>
      <c r="X1531" s="1411"/>
      <c r="Y1531" s="1411"/>
      <c r="Z1531" s="1411"/>
      <c r="AA1531" s="1411"/>
      <c r="AB1531" s="1411"/>
      <c r="AC1531" s="1411"/>
      <c r="AD1531" s="1411"/>
      <c r="AE1531" s="1581">
        <f t="shared" ref="AE1531:AO1531" si="1897">AE1442/AE$421</f>
        <v>2.8423236514522822E-3</v>
      </c>
      <c r="AF1531" s="1582">
        <f t="shared" si="1897"/>
        <v>0</v>
      </c>
      <c r="AG1531" s="1582">
        <f t="shared" si="1897"/>
        <v>0</v>
      </c>
      <c r="AH1531" s="1582">
        <f t="shared" si="1897"/>
        <v>0</v>
      </c>
      <c r="AI1531" s="1582">
        <f t="shared" si="1897"/>
        <v>0</v>
      </c>
      <c r="AJ1531" s="1582">
        <f t="shared" si="1897"/>
        <v>0</v>
      </c>
      <c r="AK1531" s="1582">
        <f t="shared" si="1897"/>
        <v>0</v>
      </c>
      <c r="AL1531" s="1582">
        <f t="shared" si="1897"/>
        <v>0</v>
      </c>
      <c r="AM1531" s="1582">
        <f t="shared" si="1897"/>
        <v>0</v>
      </c>
      <c r="AN1531" s="1582">
        <f t="shared" si="1897"/>
        <v>0</v>
      </c>
      <c r="AO1531" s="1582">
        <f t="shared" si="1897"/>
        <v>0</v>
      </c>
      <c r="AP1531" s="1582">
        <f t="shared" ref="AP1531:AT1531" si="1898">AP1442/AP$421</f>
        <v>0</v>
      </c>
      <c r="AQ1531" s="1582">
        <f t="shared" si="1898"/>
        <v>0</v>
      </c>
      <c r="AR1531" s="1582">
        <f t="shared" si="1898"/>
        <v>0</v>
      </c>
      <c r="AS1531" s="1582">
        <f t="shared" si="1898"/>
        <v>0</v>
      </c>
      <c r="AT1531" s="2698">
        <f t="shared" si="1898"/>
        <v>0</v>
      </c>
    </row>
    <row r="1532" spans="1:46">
      <c r="A1532" s="1"/>
      <c r="B1532" s="1"/>
      <c r="C1532" s="1"/>
      <c r="D1532" s="2539" t="s">
        <v>3033</v>
      </c>
      <c r="E1532" s="1450"/>
      <c r="F1532" s="1450"/>
      <c r="G1532" s="1450"/>
      <c r="H1532" s="1450"/>
      <c r="I1532" s="1450"/>
      <c r="J1532" s="1450"/>
      <c r="K1532" s="1450"/>
      <c r="L1532" s="1450"/>
      <c r="M1532" s="1450"/>
      <c r="N1532" s="1450"/>
      <c r="O1532" s="1450"/>
      <c r="P1532" s="1450"/>
      <c r="Q1532" s="1450"/>
      <c r="R1532" s="1450"/>
      <c r="S1532" s="1450"/>
      <c r="T1532" s="1450"/>
      <c r="U1532" s="1450"/>
      <c r="V1532" s="1441">
        <f>V1443/V$421</f>
        <v>0</v>
      </c>
      <c r="W1532" s="1441"/>
      <c r="X1532" s="1441"/>
      <c r="Y1532" s="1441"/>
      <c r="Z1532" s="1441"/>
      <c r="AA1532" s="1441"/>
      <c r="AB1532" s="1441"/>
      <c r="AC1532" s="1441"/>
      <c r="AD1532" s="1441"/>
      <c r="AE1532" s="1441"/>
      <c r="AF1532" s="1441"/>
      <c r="AG1532" s="1441"/>
      <c r="AH1532" s="1441"/>
      <c r="AI1532" s="1441"/>
      <c r="AJ1532" s="1441"/>
      <c r="AK1532" s="1441"/>
      <c r="AL1532" s="1441"/>
      <c r="AM1532" s="1441"/>
      <c r="AN1532" s="1441"/>
      <c r="AO1532" s="1441"/>
      <c r="AP1532" s="1441"/>
      <c r="AQ1532" s="1441"/>
      <c r="AR1532" s="1441"/>
      <c r="AS1532" s="1441"/>
      <c r="AT1532" s="2699"/>
    </row>
    <row r="1533" spans="1:46">
      <c r="A1533" s="1"/>
      <c r="B1533" s="1"/>
      <c r="C1533" s="1"/>
      <c r="D1533" s="2540" t="s">
        <v>559</v>
      </c>
      <c r="E1533" s="505"/>
      <c r="F1533" s="505"/>
      <c r="G1533" s="505"/>
      <c r="H1533" s="505"/>
      <c r="I1533" s="505"/>
      <c r="J1533" s="505"/>
      <c r="K1533" s="505"/>
      <c r="L1533" s="505"/>
      <c r="M1533" s="505"/>
      <c r="N1533" s="505"/>
      <c r="O1533" s="505"/>
      <c r="P1533" s="505"/>
      <c r="Q1533" s="505"/>
      <c r="R1533" s="505"/>
      <c r="S1533" s="505"/>
      <c r="T1533" s="505"/>
      <c r="U1533" s="505"/>
      <c r="V1533" s="501">
        <f>V1444/V$421</f>
        <v>-8.8493885697458974E-2</v>
      </c>
      <c r="W1533" s="501">
        <f t="shared" ref="W1533:AL1533" si="1899">W1444/W$421</f>
        <v>-8.0379602103818892E-2</v>
      </c>
      <c r="X1533" s="1411">
        <f t="shared" si="1899"/>
        <v>-8.8979301361328964E-2</v>
      </c>
      <c r="Y1533" s="1411">
        <f t="shared" si="1899"/>
        <v>-3.9208672853596915E-2</v>
      </c>
      <c r="Z1533" s="1411">
        <f t="shared" si="1899"/>
        <v>-3.5455113714993589E-2</v>
      </c>
      <c r="AA1533" s="1411">
        <f t="shared" si="1899"/>
        <v>-3.4567222932985781E-2</v>
      </c>
      <c r="AB1533" s="1411">
        <f t="shared" si="1899"/>
        <v>-4.3465689266890588E-2</v>
      </c>
      <c r="AC1533" s="1411">
        <f t="shared" si="1899"/>
        <v>-3.7243602282135288E-2</v>
      </c>
      <c r="AD1533" s="1411">
        <f t="shared" si="1899"/>
        <v>-5.8801706178352349E-2</v>
      </c>
      <c r="AE1533" s="1411">
        <f t="shared" si="1899"/>
        <v>-7.5844328499001287E-2</v>
      </c>
      <c r="AF1533" s="1411">
        <f t="shared" si="1899"/>
        <v>-7.3440726572295112E-2</v>
      </c>
      <c r="AG1533" s="1411">
        <f t="shared" si="1899"/>
        <v>-7.7460961654058927E-2</v>
      </c>
      <c r="AH1533" s="1411">
        <f t="shared" si="1899"/>
        <v>-6.1743776186425493E-2</v>
      </c>
      <c r="AI1533" s="1411">
        <f t="shared" si="1899"/>
        <v>-6.0213242761926501E-2</v>
      </c>
      <c r="AJ1533" s="1411">
        <f t="shared" si="1899"/>
        <v>-4.6847616771507297E-2</v>
      </c>
      <c r="AK1533" s="1411">
        <f t="shared" si="1899"/>
        <v>-3.3909379253178142E-2</v>
      </c>
      <c r="AL1533" s="1411">
        <f t="shared" si="1899"/>
        <v>-3.3588158843620909E-2</v>
      </c>
      <c r="AM1533" s="1411">
        <f>AM1444/AM$421</f>
        <v>-3.1973868217287843E-2</v>
      </c>
      <c r="AN1533" s="1411">
        <f t="shared" ref="AN1533" si="1900">AN1444/AN$421</f>
        <v>-2.8072213740592621E-2</v>
      </c>
      <c r="AO1533" s="1411">
        <f>AO1444/AO$421</f>
        <v>-2.8802311034804223E-2</v>
      </c>
      <c r="AP1533" s="1411">
        <f t="shared" ref="AP1533:AT1533" si="1901">AP1444/AP$421</f>
        <v>-2.9390080135013631E-2</v>
      </c>
      <c r="AQ1533" s="1411">
        <f t="shared" si="1901"/>
        <v>-3.1591629844842484E-2</v>
      </c>
      <c r="AR1533" s="1411">
        <f t="shared" si="1901"/>
        <v>-2.7343490937739426E-2</v>
      </c>
      <c r="AS1533" s="1411">
        <f t="shared" si="1901"/>
        <v>-3.4001252221515885E-2</v>
      </c>
      <c r="AT1533" s="2692">
        <f t="shared" si="1901"/>
        <v>-3.2805874276795141E-2</v>
      </c>
    </row>
    <row r="1534" spans="1:46">
      <c r="A1534" s="1"/>
      <c r="B1534" s="1"/>
      <c r="C1534" s="1"/>
      <c r="D1534" s="2540" t="s">
        <v>560</v>
      </c>
      <c r="E1534" s="505"/>
      <c r="F1534" s="505"/>
      <c r="G1534" s="505"/>
      <c r="H1534" s="505"/>
      <c r="I1534" s="505"/>
      <c r="J1534" s="505"/>
      <c r="K1534" s="505"/>
      <c r="L1534" s="505"/>
      <c r="M1534" s="505"/>
      <c r="N1534" s="505"/>
      <c r="O1534" s="505"/>
      <c r="P1534" s="505"/>
      <c r="Q1534" s="505"/>
      <c r="R1534" s="505"/>
      <c r="S1534" s="505"/>
      <c r="T1534" s="505"/>
      <c r="U1534" s="505"/>
      <c r="V1534" s="501">
        <f>V1445/V$421</f>
        <v>-0.18881833509793541</v>
      </c>
      <c r="W1534" s="501">
        <f t="shared" ref="W1534:AL1534" si="1902">W1445/W$421</f>
        <v>-0.18497598902355361</v>
      </c>
      <c r="X1534" s="1411">
        <f t="shared" si="1902"/>
        <v>-0.16427851720945114</v>
      </c>
      <c r="Y1534" s="1411">
        <f t="shared" si="1902"/>
        <v>-0.12876997519925781</v>
      </c>
      <c r="Z1534" s="1411">
        <f t="shared" si="1902"/>
        <v>-0.10752709551975873</v>
      </c>
      <c r="AA1534" s="1411">
        <f t="shared" si="1902"/>
        <v>-9.2570265893337986E-2</v>
      </c>
      <c r="AB1534" s="1411">
        <f t="shared" si="1902"/>
        <v>-8.9089854521349418E-2</v>
      </c>
      <c r="AC1534" s="1411">
        <f t="shared" si="1902"/>
        <v>-8.2208357590167161E-2</v>
      </c>
      <c r="AD1534" s="1411">
        <f t="shared" si="1902"/>
        <v>-0.10374137578857728</v>
      </c>
      <c r="AE1534" s="1411">
        <f t="shared" si="1902"/>
        <v>-0.12123420449940249</v>
      </c>
      <c r="AF1534" s="1411">
        <f t="shared" si="1902"/>
        <v>-0.12735601146734055</v>
      </c>
      <c r="AG1534" s="1411">
        <f t="shared" si="1902"/>
        <v>-0.14414793951847202</v>
      </c>
      <c r="AH1534" s="1411">
        <f t="shared" si="1902"/>
        <v>-0.1067632221202832</v>
      </c>
      <c r="AI1534" s="1411">
        <f t="shared" si="1902"/>
        <v>-0.1010700379920994</v>
      </c>
      <c r="AJ1534" s="1411">
        <f t="shared" si="1902"/>
        <v>-7.5231982166222844E-2</v>
      </c>
      <c r="AK1534" s="1411">
        <f>AK1445/AK$421</f>
        <v>-6.0337360119495274E-2</v>
      </c>
      <c r="AL1534" s="1411">
        <f t="shared" si="1902"/>
        <v>-5.2444069060180717E-2</v>
      </c>
      <c r="AM1534" s="1411">
        <f>AM1445/AM$421</f>
        <v>-5.0596621626324431E-2</v>
      </c>
      <c r="AN1534" s="1411">
        <f t="shared" ref="AN1534:AO1534" si="1903">AN1445/AN$421</f>
        <v>-4.4904551157751153E-2</v>
      </c>
      <c r="AO1534" s="1411">
        <f t="shared" si="1903"/>
        <v>-4.3983222110837168E-2</v>
      </c>
      <c r="AP1534" s="1411">
        <f t="shared" ref="AP1534:AT1534" si="1904">AP1445/AP$421</f>
        <v>-4.4930335782728738E-2</v>
      </c>
      <c r="AQ1534" s="1411">
        <f t="shared" si="1904"/>
        <v>-4.8537890393997987E-2</v>
      </c>
      <c r="AR1534" s="1411">
        <f t="shared" si="1904"/>
        <v>-4.2994305580333084E-2</v>
      </c>
      <c r="AS1534" s="1411">
        <f t="shared" si="1904"/>
        <v>-4.8445484220916914E-2</v>
      </c>
      <c r="AT1534" s="2692">
        <f t="shared" si="1904"/>
        <v>-4.4404411911888875E-2</v>
      </c>
    </row>
    <row r="1535" spans="1:46">
      <c r="A1535" s="1"/>
      <c r="B1535" s="1"/>
      <c r="C1535" s="1"/>
      <c r="D1535" s="2541" t="s">
        <v>3033</v>
      </c>
      <c r="E1535" s="1053"/>
      <c r="F1535" s="1053"/>
      <c r="G1535" s="1053"/>
      <c r="H1535" s="1053"/>
      <c r="I1535" s="1053"/>
      <c r="J1535" s="1053"/>
      <c r="K1535" s="1053"/>
      <c r="L1535" s="1053"/>
      <c r="M1535" s="1053"/>
      <c r="N1535" s="1053"/>
      <c r="O1535" s="1053"/>
      <c r="P1535" s="1053"/>
      <c r="Q1535" s="1053"/>
      <c r="R1535" s="1053"/>
      <c r="S1535" s="1053"/>
      <c r="T1535" s="1053"/>
      <c r="U1535" s="1053"/>
      <c r="V1535" s="1458"/>
      <c r="W1535" s="1458"/>
      <c r="X1535" s="1458"/>
      <c r="Y1535" s="1458"/>
      <c r="Z1535" s="1458"/>
      <c r="AA1535" s="1458"/>
      <c r="AB1535" s="1458"/>
      <c r="AC1535" s="1458"/>
      <c r="AD1535" s="1458"/>
      <c r="AE1535" s="1458"/>
      <c r="AF1535" s="1458"/>
      <c r="AG1535" s="1458"/>
      <c r="AH1535" s="1458"/>
      <c r="AI1535" s="1458"/>
      <c r="AJ1535" s="1458"/>
      <c r="AK1535" s="1458"/>
      <c r="AL1535" s="1458"/>
      <c r="AM1535" s="1458"/>
      <c r="AN1535" s="1458"/>
      <c r="AO1535" s="1458"/>
      <c r="AP1535" s="1458"/>
      <c r="AQ1535" s="1458"/>
      <c r="AR1535" s="1458"/>
      <c r="AS1535" s="1458"/>
      <c r="AT1535" s="2700"/>
    </row>
    <row r="1536" spans="1:46">
      <c r="A1536" s="1"/>
      <c r="B1536" s="1"/>
      <c r="C1536" s="1"/>
      <c r="D1536" s="2542" t="s">
        <v>3153</v>
      </c>
      <c r="E1536" s="1053"/>
      <c r="F1536" s="1053"/>
      <c r="G1536" s="1053"/>
      <c r="H1536" s="1053"/>
      <c r="I1536" s="1053"/>
      <c r="J1536" s="1053"/>
      <c r="K1536" s="1053"/>
      <c r="L1536" s="1053"/>
      <c r="M1536" s="1053"/>
      <c r="N1536" s="1053"/>
      <c r="O1536" s="1053"/>
      <c r="P1536" s="1053"/>
      <c r="Q1536" s="1053"/>
      <c r="R1536" s="1053"/>
      <c r="S1536" s="1053"/>
      <c r="T1536" s="1053"/>
      <c r="U1536" s="1053"/>
      <c r="V1536" s="1458"/>
      <c r="W1536" s="1458"/>
      <c r="X1536" s="1458">
        <f t="shared" ref="X1536:AL1536" si="1905">X1447/X$421</f>
        <v>0</v>
      </c>
      <c r="Y1536" s="1458">
        <f t="shared" si="1905"/>
        <v>0</v>
      </c>
      <c r="Z1536" s="1458">
        <f t="shared" si="1905"/>
        <v>0</v>
      </c>
      <c r="AA1536" s="1458">
        <f t="shared" si="1905"/>
        <v>0</v>
      </c>
      <c r="AB1536" s="1458">
        <f t="shared" si="1905"/>
        <v>-6.4472974584439263E-2</v>
      </c>
      <c r="AC1536" s="1458">
        <f t="shared" si="1905"/>
        <v>-5.8153698179516496E-2</v>
      </c>
      <c r="AD1536" s="1458">
        <f t="shared" si="1905"/>
        <v>-5.8053448175424814E-2</v>
      </c>
      <c r="AE1536" s="1458">
        <f t="shared" si="1905"/>
        <v>-7.3828028705319251E-2</v>
      </c>
      <c r="AF1536" s="1458">
        <f t="shared" si="1905"/>
        <v>-7.4846874029948926E-2</v>
      </c>
      <c r="AG1536" s="1458">
        <f t="shared" si="1905"/>
        <v>-7.1244950481533356E-2</v>
      </c>
      <c r="AH1536" s="1458">
        <f t="shared" si="1905"/>
        <v>-5.9478152638767268E-2</v>
      </c>
      <c r="AI1536" s="1458">
        <f t="shared" si="1905"/>
        <v>-5.8319952348932884E-2</v>
      </c>
      <c r="AJ1536" s="1458">
        <f t="shared" si="1905"/>
        <v>-4.5250934727032059E-2</v>
      </c>
      <c r="AK1536" s="1458">
        <f t="shared" si="1905"/>
        <v>-3.2565997672237813E-2</v>
      </c>
      <c r="AL1536" s="1458">
        <f t="shared" si="1905"/>
        <v>-3.2461484596899161E-2</v>
      </c>
      <c r="AM1536" s="1458">
        <f>AM1447/AM$421</f>
        <v>-3.0962113208668721E-2</v>
      </c>
      <c r="AN1536" s="1458">
        <f t="shared" ref="AN1536:AO1536" si="1906">AN1447/AN$421</f>
        <v>-2.6955049008711294E-2</v>
      </c>
      <c r="AO1536" s="1458">
        <f t="shared" si="1906"/>
        <v>-2.7565463689991326E-2</v>
      </c>
      <c r="AP1536" s="1458">
        <f t="shared" ref="AP1536:AT1536" si="1907">AP1447/AP$421</f>
        <v>-2.9181649169078124E-2</v>
      </c>
      <c r="AQ1536" s="1458">
        <f t="shared" si="1907"/>
        <v>-3.1405758101791442E-2</v>
      </c>
      <c r="AR1536" s="1458">
        <f t="shared" si="1907"/>
        <v>-2.7176622477415372E-2</v>
      </c>
      <c r="AS1536" s="1458">
        <f t="shared" si="1907"/>
        <v>-3.3851749214017887E-2</v>
      </c>
      <c r="AT1536" s="2700">
        <f t="shared" si="1907"/>
        <v>-3.2689400568401028E-2</v>
      </c>
    </row>
    <row r="1537" spans="1:49">
      <c r="A1537" s="1"/>
      <c r="B1537" s="1"/>
      <c r="C1537" s="1"/>
      <c r="D1537" s="2542" t="s">
        <v>3174</v>
      </c>
      <c r="E1537" s="1053"/>
      <c r="F1537" s="1053"/>
      <c r="G1537" s="1053"/>
      <c r="H1537" s="1053"/>
      <c r="I1537" s="1053"/>
      <c r="J1537" s="1053"/>
      <c r="K1537" s="1053"/>
      <c r="L1537" s="1053"/>
      <c r="M1537" s="1053"/>
      <c r="N1537" s="1053"/>
      <c r="O1537" s="1053"/>
      <c r="P1537" s="1053"/>
      <c r="Q1537" s="1053"/>
      <c r="R1537" s="1053"/>
      <c r="S1537" s="1053"/>
      <c r="T1537" s="1053"/>
      <c r="U1537" s="1053"/>
      <c r="V1537" s="1458"/>
      <c r="W1537" s="1458"/>
      <c r="X1537" s="1458">
        <f t="shared" ref="X1537:AL1537" si="1908">X1448/X$421</f>
        <v>0</v>
      </c>
      <c r="Y1537" s="1458">
        <f t="shared" si="1908"/>
        <v>0</v>
      </c>
      <c r="Z1537" s="1458">
        <f t="shared" si="1908"/>
        <v>0</v>
      </c>
      <c r="AA1537" s="1458">
        <f t="shared" si="1908"/>
        <v>0</v>
      </c>
      <c r="AB1537" s="1458">
        <f t="shared" si="1908"/>
        <v>-4.191275041107323E-2</v>
      </c>
      <c r="AC1537" s="1458">
        <f t="shared" si="1908"/>
        <v>-3.6629944069735118E-2</v>
      </c>
      <c r="AD1537" s="1458">
        <f t="shared" si="1908"/>
        <v>-5.3146609335894886E-2</v>
      </c>
      <c r="AE1537" s="1458">
        <f t="shared" si="1908"/>
        <v>-5.6059911823561528E-2</v>
      </c>
      <c r="AF1537" s="1458">
        <f t="shared" si="1908"/>
        <v>-6.8749701251496237E-2</v>
      </c>
      <c r="AG1537" s="1458">
        <f t="shared" si="1908"/>
        <v>-6.2283113528936507E-2</v>
      </c>
      <c r="AH1537" s="1458">
        <f t="shared" si="1908"/>
        <v>-6.1743776186425493E-2</v>
      </c>
      <c r="AI1537" s="1458">
        <f t="shared" si="1908"/>
        <v>-6.014854401546476E-2</v>
      </c>
      <c r="AJ1537" s="1458">
        <f t="shared" si="1908"/>
        <v>-4.6847616771507297E-2</v>
      </c>
      <c r="AK1537" s="1458">
        <f t="shared" si="1908"/>
        <v>-3.1278595885873714E-2</v>
      </c>
      <c r="AL1537" s="1458">
        <f t="shared" si="1908"/>
        <v>-3.1166080327791539E-2</v>
      </c>
      <c r="AM1537" s="1458">
        <f>AM1448/AM$421</f>
        <v>-2.9220503905284748E-2</v>
      </c>
      <c r="AN1537" s="1458">
        <f t="shared" ref="AN1537:AO1537" si="1909">AN1448/AN$421</f>
        <v>-2.5114526028120521E-2</v>
      </c>
      <c r="AO1537" s="1458">
        <f t="shared" si="1909"/>
        <v>-2.5724255510892958E-2</v>
      </c>
      <c r="AP1537" s="1458">
        <f t="shared" ref="AP1537:AT1537" si="1910">AP1448/AP$421</f>
        <v>-2.9390080135013631E-2</v>
      </c>
      <c r="AQ1537" s="1458">
        <f t="shared" si="1910"/>
        <v>-3.1591629844842484E-2</v>
      </c>
      <c r="AR1537" s="1458">
        <f t="shared" si="1910"/>
        <v>-2.7343490937739426E-2</v>
      </c>
      <c r="AS1537" s="1458">
        <f t="shared" si="1910"/>
        <v>-3.4001252221515885E-2</v>
      </c>
      <c r="AT1537" s="2700">
        <f t="shared" si="1910"/>
        <v>-3.2805874276795141E-2</v>
      </c>
    </row>
    <row r="1538" spans="1:49">
      <c r="A1538" s="1"/>
      <c r="B1538" s="1"/>
      <c r="C1538" s="1"/>
      <c r="D1538" s="2542" t="s">
        <v>3175</v>
      </c>
      <c r="E1538" s="1053"/>
      <c r="F1538" s="1053"/>
      <c r="G1538" s="1053"/>
      <c r="H1538" s="1053"/>
      <c r="I1538" s="1053"/>
      <c r="J1538" s="1053"/>
      <c r="K1538" s="1053"/>
      <c r="L1538" s="1053"/>
      <c r="M1538" s="1053"/>
      <c r="N1538" s="1053"/>
      <c r="O1538" s="1053"/>
      <c r="P1538" s="1053"/>
      <c r="Q1538" s="1053"/>
      <c r="R1538" s="1053"/>
      <c r="S1538" s="1053"/>
      <c r="T1538" s="1053"/>
      <c r="U1538" s="1053"/>
      <c r="V1538" s="1458"/>
      <c r="W1538" s="1458"/>
      <c r="X1538" s="1458">
        <f t="shared" ref="X1538:AL1538" si="1911">X1449/X$421</f>
        <v>0</v>
      </c>
      <c r="Y1538" s="1458">
        <f t="shared" si="1911"/>
        <v>0</v>
      </c>
      <c r="Z1538" s="1458">
        <f t="shared" si="1911"/>
        <v>0</v>
      </c>
      <c r="AA1538" s="1458">
        <f t="shared" si="1911"/>
        <v>0</v>
      </c>
      <c r="AB1538" s="1458">
        <f t="shared" si="1911"/>
        <v>-4.6230838016434565E-2</v>
      </c>
      <c r="AC1538" s="1458">
        <f t="shared" si="1911"/>
        <v>-4.2112279324057339E-2</v>
      </c>
      <c r="AD1538" s="1458">
        <f t="shared" si="1911"/>
        <v>-5.8801706178352349E-2</v>
      </c>
      <c r="AE1538" s="1458">
        <f t="shared" si="1911"/>
        <v>-7.689500112605116E-2</v>
      </c>
      <c r="AF1538" s="1458">
        <f t="shared" si="1911"/>
        <v>-6.4267754769837745E-2</v>
      </c>
      <c r="AG1538" s="1458">
        <f t="shared" si="1911"/>
        <v>-5.7177255323256432E-2</v>
      </c>
      <c r="AH1538" s="1458">
        <f t="shared" si="1911"/>
        <v>-5.8181372156427387E-2</v>
      </c>
      <c r="AI1538" s="1458">
        <f t="shared" si="1911"/>
        <v>-5.7716949460942593E-2</v>
      </c>
      <c r="AJ1538" s="1458">
        <f t="shared" si="1911"/>
        <v>-4.492256503836304E-2</v>
      </c>
      <c r="AK1538" s="1458">
        <f t="shared" si="1911"/>
        <v>-3.0298125997200477E-2</v>
      </c>
      <c r="AL1538" s="1458">
        <f t="shared" si="1911"/>
        <v>-3.1166080327791539E-2</v>
      </c>
      <c r="AM1538" s="1458">
        <f>AM1449/AM$421</f>
        <v>-2.9220503905284748E-2</v>
      </c>
      <c r="AN1538" s="1458">
        <f t="shared" ref="AN1538:AO1538" si="1912">AN1449/AN$421</f>
        <v>-2.5114526028120521E-2</v>
      </c>
      <c r="AO1538" s="1458">
        <f t="shared" si="1912"/>
        <v>-2.5724255510892958E-2</v>
      </c>
      <c r="AP1538" s="1458">
        <f t="shared" ref="AP1538:AT1538" si="1913">AP1449/AP$421</f>
        <v>-2.9390080135013631E-2</v>
      </c>
      <c r="AQ1538" s="1458">
        <f t="shared" si="1913"/>
        <v>-3.1591629844842484E-2</v>
      </c>
      <c r="AR1538" s="1458">
        <f t="shared" si="1913"/>
        <v>-2.7343490937739426E-2</v>
      </c>
      <c r="AS1538" s="1458">
        <f t="shared" si="1913"/>
        <v>-3.4001252221515885E-2</v>
      </c>
      <c r="AT1538" s="2700">
        <f t="shared" si="1913"/>
        <v>-3.2805874276795141E-2</v>
      </c>
    </row>
    <row r="1539" spans="1:49">
      <c r="A1539" s="1"/>
      <c r="B1539" s="1"/>
      <c r="C1539" s="1"/>
      <c r="D1539" s="2542" t="s">
        <v>3154</v>
      </c>
      <c r="E1539" s="1053"/>
      <c r="F1539" s="1053"/>
      <c r="G1539" s="1053"/>
      <c r="H1539" s="1053"/>
      <c r="I1539" s="1053"/>
      <c r="J1539" s="1053"/>
      <c r="K1539" s="1053"/>
      <c r="L1539" s="1053"/>
      <c r="M1539" s="1053"/>
      <c r="N1539" s="1053"/>
      <c r="O1539" s="1053"/>
      <c r="P1539" s="1053"/>
      <c r="Q1539" s="1053"/>
      <c r="R1539" s="1053"/>
      <c r="S1539" s="1053"/>
      <c r="T1539" s="1053"/>
      <c r="U1539" s="1053"/>
      <c r="V1539" s="1458"/>
      <c r="W1539" s="1458"/>
      <c r="X1539" s="1458">
        <f t="shared" ref="X1539:AL1539" si="1914">X1450/X$421</f>
        <v>0</v>
      </c>
      <c r="Y1539" s="1458">
        <f t="shared" si="1914"/>
        <v>0</v>
      </c>
      <c r="Z1539" s="1458">
        <f t="shared" si="1914"/>
        <v>0</v>
      </c>
      <c r="AA1539" s="1458">
        <f t="shared" si="1914"/>
        <v>0</v>
      </c>
      <c r="AB1539" s="1458">
        <f t="shared" si="1914"/>
        <v>-6.4472974584439263E-2</v>
      </c>
      <c r="AC1539" s="1458">
        <f t="shared" si="1914"/>
        <v>-5.8153698179516496E-2</v>
      </c>
      <c r="AD1539" s="1458">
        <f t="shared" si="1914"/>
        <v>-2.4322421021909003E-2</v>
      </c>
      <c r="AE1539" s="1458">
        <f t="shared" si="1914"/>
        <v>-1.8509709066801029E-2</v>
      </c>
      <c r="AF1539" s="1458">
        <f t="shared" si="1914"/>
        <v>-4.6614131979713688E-2</v>
      </c>
      <c r="AG1539" s="1458">
        <f t="shared" si="1914"/>
        <v>-4.8113866852737421E-2</v>
      </c>
      <c r="AH1539" s="1458">
        <f t="shared" si="1914"/>
        <v>-4.0939738303401287E-2</v>
      </c>
      <c r="AI1539" s="1458">
        <f t="shared" si="1914"/>
        <v>-3.5657854410125256E-2</v>
      </c>
      <c r="AJ1539" s="1458">
        <f t="shared" si="1914"/>
        <v>-2.7102428324746335E-2</v>
      </c>
      <c r="AK1539" s="1458">
        <f t="shared" si="1914"/>
        <v>-1.4736927929372971E-2</v>
      </c>
      <c r="AL1539" s="1458">
        <f t="shared" si="1914"/>
        <v>-1.4626650302203094E-2</v>
      </c>
      <c r="AM1539" s="1458">
        <f>AM1450/AM$421</f>
        <v>-1.3959339338737733E-2</v>
      </c>
      <c r="AN1539" s="1458">
        <f t="shared" ref="AN1539:AO1539" si="1915">AN1450/AN$421</f>
        <v>-1.0986163247168602E-2</v>
      </c>
      <c r="AO1539" s="1458">
        <f t="shared" si="1915"/>
        <v>-1.2720810525441814E-2</v>
      </c>
      <c r="AP1539" s="1458">
        <f t="shared" ref="AP1539:AT1539" si="1916">AP1450/AP$421</f>
        <v>-1.738119737645788E-2</v>
      </c>
      <c r="AQ1539" s="1458">
        <f t="shared" si="1916"/>
        <v>-2.0566813659689362E-2</v>
      </c>
      <c r="AR1539" s="1458">
        <f t="shared" si="1916"/>
        <v>-1.7153913919731614E-2</v>
      </c>
      <c r="AS1539" s="1458">
        <f t="shared" si="1916"/>
        <v>-2.4602680685238389E-2</v>
      </c>
      <c r="AT1539" s="2700">
        <f t="shared" si="1916"/>
        <v>-2.526753308473028E-2</v>
      </c>
    </row>
    <row r="1540" spans="1:49">
      <c r="A1540" s="1"/>
      <c r="B1540" s="1"/>
      <c r="C1540" s="1"/>
      <c r="D1540" s="2543" t="s">
        <v>3141</v>
      </c>
      <c r="E1540" s="554"/>
      <c r="F1540" s="554"/>
      <c r="G1540" s="554"/>
      <c r="H1540" s="554"/>
      <c r="I1540" s="554"/>
      <c r="J1540" s="554"/>
      <c r="K1540" s="554"/>
      <c r="L1540" s="554"/>
      <c r="M1540" s="554"/>
      <c r="N1540" s="554"/>
      <c r="O1540" s="554"/>
      <c r="P1540" s="554"/>
      <c r="Q1540" s="554"/>
      <c r="R1540" s="554"/>
      <c r="S1540" s="554"/>
      <c r="T1540" s="554"/>
      <c r="U1540" s="554"/>
      <c r="V1540" s="1486"/>
      <c r="W1540" s="1486"/>
      <c r="X1540" s="1486"/>
      <c r="Y1540" s="1486"/>
      <c r="Z1540" s="1486"/>
      <c r="AA1540" s="1486"/>
      <c r="AB1540" s="1486"/>
      <c r="AC1540" s="1486"/>
      <c r="AD1540" s="1486"/>
      <c r="AE1540" s="1486"/>
      <c r="AF1540" s="1486"/>
      <c r="AG1540" s="1486"/>
      <c r="AH1540" s="1486"/>
      <c r="AI1540" s="1486"/>
      <c r="AJ1540" s="1486"/>
      <c r="AK1540" s="1486"/>
      <c r="AL1540" s="1486"/>
      <c r="AM1540" s="1486"/>
      <c r="AN1540" s="1486"/>
      <c r="AO1540" s="1486"/>
      <c r="AP1540" s="1486"/>
      <c r="AQ1540" s="1486"/>
      <c r="AR1540" s="1486"/>
      <c r="AS1540" s="1486"/>
      <c r="AT1540" s="2701"/>
      <c r="AU1540" s="1520"/>
      <c r="AV1540" s="1520"/>
      <c r="AW1540" s="1520"/>
    </row>
    <row r="1541" spans="1:49">
      <c r="A1541" s="1"/>
      <c r="B1541" s="1"/>
      <c r="C1541" s="1"/>
      <c r="D1541" s="2544" t="s">
        <v>559</v>
      </c>
      <c r="E1541" s="554"/>
      <c r="F1541" s="554"/>
      <c r="G1541" s="554"/>
      <c r="H1541" s="554"/>
      <c r="I1541" s="554"/>
      <c r="J1541" s="554"/>
      <c r="K1541" s="554"/>
      <c r="L1541" s="554"/>
      <c r="M1541" s="554"/>
      <c r="N1541" s="554"/>
      <c r="O1541" s="554"/>
      <c r="P1541" s="554"/>
      <c r="Q1541" s="554"/>
      <c r="R1541" s="554"/>
      <c r="S1541" s="554"/>
      <c r="T1541" s="554"/>
      <c r="U1541" s="554"/>
      <c r="V1541" s="1486"/>
      <c r="W1541" s="1486"/>
      <c r="X1541" s="1486">
        <f t="shared" ref="X1541:AL1541" si="1917">X1452/X$421</f>
        <v>0</v>
      </c>
      <c r="Y1541" s="1486">
        <f t="shared" si="1917"/>
        <v>0</v>
      </c>
      <c r="Z1541" s="1486">
        <f t="shared" si="1917"/>
        <v>0</v>
      </c>
      <c r="AA1541" s="1486">
        <f t="shared" si="1917"/>
        <v>0</v>
      </c>
      <c r="AB1541" s="1486">
        <f t="shared" si="1917"/>
        <v>-4.9884027682041872E-2</v>
      </c>
      <c r="AC1541" s="1486">
        <f t="shared" si="1917"/>
        <v>-4.9254627197146787E-2</v>
      </c>
      <c r="AD1541" s="1486">
        <f t="shared" si="1917"/>
        <v>-6.2213450000301318E-2</v>
      </c>
      <c r="AE1541" s="1486">
        <f t="shared" si="1917"/>
        <v>-8.6596150483648576E-2</v>
      </c>
      <c r="AF1541" s="1486">
        <f t="shared" si="1917"/>
        <v>-8.4359083550959765E-2</v>
      </c>
      <c r="AG1541" s="1486">
        <f t="shared" si="1917"/>
        <v>-9.0158634197711307E-2</v>
      </c>
      <c r="AH1541" s="1486">
        <f t="shared" si="1917"/>
        <v>-7.0695369010980544E-2</v>
      </c>
      <c r="AI1541" s="1486">
        <f t="shared" si="1917"/>
        <v>-6.6219758158556824E-2</v>
      </c>
      <c r="AJ1541" s="1486">
        <f>AJ1452/AJ$421</f>
        <v>-5.4419798945755354E-2</v>
      </c>
      <c r="AK1541" s="1486">
        <f t="shared" si="1917"/>
        <v>-5.7301463749198242E-2</v>
      </c>
      <c r="AL1541" s="1486">
        <f t="shared" si="1917"/>
        <v>-5.1032329829541874E-2</v>
      </c>
      <c r="AM1541" s="1486">
        <f>AM1452/AM$421</f>
        <v>-4.4447478916738253E-2</v>
      </c>
      <c r="AN1541" s="1486">
        <f t="shared" ref="AN1541:AO1541" si="1918">AN1452/AN$421</f>
        <v>-2.9979530721153447E-2</v>
      </c>
      <c r="AO1541" s="1486">
        <f t="shared" si="1918"/>
        <v>-3.0396656860726345E-2</v>
      </c>
      <c r="AP1541" s="1486">
        <f t="shared" ref="AP1541:AT1541" si="1919">AP1452/AP$421</f>
        <v>-3.0381176625610851E-2</v>
      </c>
      <c r="AQ1541" s="1486">
        <f t="shared" si="1919"/>
        <v>-3.2475456446193429E-2</v>
      </c>
      <c r="AR1541" s="1486">
        <f t="shared" si="1919"/>
        <v>-2.8136956268940274E-2</v>
      </c>
      <c r="AS1541" s="1486">
        <f t="shared" si="1919"/>
        <v>-3.471214422069626E-2</v>
      </c>
      <c r="AT1541" s="2701">
        <f t="shared" si="1919"/>
        <v>-3.3359710810239807E-2</v>
      </c>
      <c r="AU1541" s="1520"/>
      <c r="AV1541" s="1520"/>
      <c r="AW1541" s="1520"/>
    </row>
    <row r="1542" spans="1:49">
      <c r="A1542" s="1"/>
      <c r="B1542" s="1"/>
      <c r="C1542" s="1"/>
      <c r="D1542" s="2544" t="s">
        <v>560</v>
      </c>
      <c r="E1542" s="554"/>
      <c r="F1542" s="554"/>
      <c r="G1542" s="554"/>
      <c r="H1542" s="554"/>
      <c r="I1542" s="554"/>
      <c r="J1542" s="554"/>
      <c r="K1542" s="554"/>
      <c r="L1542" s="554"/>
      <c r="M1542" s="554"/>
      <c r="N1542" s="554"/>
      <c r="O1542" s="554"/>
      <c r="P1542" s="554"/>
      <c r="Q1542" s="554"/>
      <c r="R1542" s="554"/>
      <c r="S1542" s="554"/>
      <c r="T1542" s="554"/>
      <c r="U1542" s="554"/>
      <c r="V1542" s="1486"/>
      <c r="W1542" s="1486"/>
      <c r="X1542" s="1486">
        <f t="shared" ref="X1542:AT1542" si="1920">X1254/X$421</f>
        <v>-0.12410105125815107</v>
      </c>
      <c r="Y1542" s="1486">
        <f t="shared" si="1920"/>
        <v>-0.13368345885484692</v>
      </c>
      <c r="Z1542" s="1486">
        <f t="shared" si="1920"/>
        <v>-0.11856176933538859</v>
      </c>
      <c r="AA1542" s="1486">
        <f t="shared" si="1920"/>
        <v>-0.10038475008889912</v>
      </c>
      <c r="AB1542" s="1486">
        <f t="shared" si="1920"/>
        <v>-9.5508192936500702E-2</v>
      </c>
      <c r="AC1542" s="1486">
        <f t="shared" si="1920"/>
        <v>-9.4219382505178667E-2</v>
      </c>
      <c r="AD1542" s="1486">
        <f t="shared" si="1920"/>
        <v>-0.10715311961052623</v>
      </c>
      <c r="AE1542" s="1486">
        <f t="shared" si="1920"/>
        <v>-0.13198602648404975</v>
      </c>
      <c r="AF1542" s="1486">
        <f t="shared" si="1920"/>
        <v>-0.1378011416327849</v>
      </c>
      <c r="AG1542" s="1486">
        <f t="shared" si="1920"/>
        <v>-0.15684561206212438</v>
      </c>
      <c r="AH1542" s="1486">
        <f t="shared" si="1920"/>
        <v>-0.11571481494483828</v>
      </c>
      <c r="AI1542" s="1486">
        <f t="shared" si="1920"/>
        <v>-0.10707655338872973</v>
      </c>
      <c r="AJ1542" s="1486">
        <f t="shared" si="1920"/>
        <v>-8.2804164340470915E-2</v>
      </c>
      <c r="AK1542" s="1486">
        <f t="shared" si="1920"/>
        <v>-8.3729444615515361E-2</v>
      </c>
      <c r="AL1542" s="1486">
        <f t="shared" si="1920"/>
        <v>-6.9888240046101682E-2</v>
      </c>
      <c r="AM1542" s="1486">
        <f t="shared" si="1920"/>
        <v>-6.3070232325774842E-2</v>
      </c>
      <c r="AN1542" s="1486">
        <f t="shared" si="1920"/>
        <v>-4.6811868138311979E-2</v>
      </c>
      <c r="AO1542" s="1486">
        <f t="shared" si="1920"/>
        <v>-4.5577567936759295E-2</v>
      </c>
      <c r="AP1542" s="1486">
        <f t="shared" si="1920"/>
        <v>-4.5921432273325957E-2</v>
      </c>
      <c r="AQ1542" s="1486">
        <f t="shared" si="1920"/>
        <v>-4.9421716995348933E-2</v>
      </c>
      <c r="AR1542" s="1486">
        <f t="shared" si="1920"/>
        <v>-4.3787770911533928E-2</v>
      </c>
      <c r="AS1542" s="1486">
        <f t="shared" si="1920"/>
        <v>-4.9156376220097296E-2</v>
      </c>
      <c r="AT1542" s="2701">
        <f t="shared" si="1920"/>
        <v>-4.495824844533354E-2</v>
      </c>
      <c r="AU1542" s="1520"/>
      <c r="AV1542" s="1520"/>
      <c r="AW1542" s="1520"/>
    </row>
    <row r="1543" spans="1:49">
      <c r="A1543" s="1"/>
      <c r="B1543" s="1"/>
      <c r="C1543" s="1"/>
      <c r="D1543" s="2545" t="str">
        <f>D1257</f>
        <v>Primary  Deficit (-) {deficit/Surplus} V1986</v>
      </c>
      <c r="E1543" s="281"/>
      <c r="F1543" s="281"/>
      <c r="G1543" s="281"/>
      <c r="H1543" s="281"/>
      <c r="I1543" s="281"/>
      <c r="J1543" s="281"/>
      <c r="K1543" s="281"/>
      <c r="L1543" s="281"/>
      <c r="M1543" s="281"/>
      <c r="N1543" s="281"/>
      <c r="O1543" s="281"/>
      <c r="P1543" s="281"/>
      <c r="Q1543" s="281"/>
      <c r="R1543" s="281"/>
      <c r="S1543" s="281"/>
      <c r="T1543" s="281"/>
      <c r="U1543" s="281"/>
      <c r="V1543" s="1580"/>
      <c r="W1543" s="1580"/>
      <c r="X1543" s="1580"/>
      <c r="Y1543" s="1580"/>
      <c r="Z1543" s="1580"/>
      <c r="AA1543" s="1580"/>
      <c r="AB1543" s="1580"/>
      <c r="AC1543" s="1580"/>
      <c r="AD1543" s="1580"/>
      <c r="AE1543" s="1580"/>
      <c r="AF1543" s="1580"/>
      <c r="AG1543" s="1580"/>
      <c r="AH1543" s="1580"/>
      <c r="AI1543" s="1580"/>
      <c r="AJ1543" s="1580"/>
      <c r="AK1543" s="1580"/>
      <c r="AL1543" s="1580"/>
      <c r="AM1543" s="1580"/>
      <c r="AN1543" s="1580"/>
      <c r="AO1543" s="1580"/>
      <c r="AP1543" s="1580"/>
      <c r="AQ1543" s="1580"/>
      <c r="AR1543" s="1580"/>
      <c r="AS1543" s="1580"/>
      <c r="AT1543" s="2702"/>
    </row>
    <row r="1544" spans="1:49">
      <c r="A1544" s="1"/>
      <c r="B1544" s="1"/>
      <c r="C1544" s="1"/>
      <c r="D1544" s="2546" t="str">
        <f>D1258</f>
        <v>including grants</v>
      </c>
      <c r="E1544" s="281"/>
      <c r="F1544" s="281"/>
      <c r="G1544" s="281"/>
      <c r="H1544" s="281"/>
      <c r="I1544" s="281"/>
      <c r="J1544" s="281"/>
      <c r="K1544" s="281"/>
      <c r="L1544" s="281"/>
      <c r="M1544" s="281"/>
      <c r="N1544" s="281"/>
      <c r="O1544" s="281"/>
      <c r="P1544" s="281"/>
      <c r="Q1544" s="281"/>
      <c r="R1544" s="281"/>
      <c r="S1544" s="281"/>
      <c r="T1544" s="281"/>
      <c r="U1544" s="281"/>
      <c r="V1544" s="1580"/>
      <c r="W1544" s="1580"/>
      <c r="X1544" s="1580"/>
      <c r="Y1544" s="1580"/>
      <c r="Z1544" s="1580"/>
      <c r="AA1544" s="1580">
        <f t="shared" ref="AA1544:AT1544" si="1921">AA1455/AA$421</f>
        <v>0</v>
      </c>
      <c r="AB1544" s="1580">
        <f t="shared" si="1921"/>
        <v>0</v>
      </c>
      <c r="AC1544" s="1580">
        <f t="shared" si="1921"/>
        <v>-3.7781489806511533E-2</v>
      </c>
      <c r="AD1544" s="1580">
        <f t="shared" si="1921"/>
        <v>-5.054536369119856E-2</v>
      </c>
      <c r="AE1544" s="1580">
        <f t="shared" si="1921"/>
        <v>-7.2164739246505488E-2</v>
      </c>
      <c r="AF1544" s="1580">
        <f t="shared" si="1921"/>
        <v>-6.7149265863341398E-2</v>
      </c>
      <c r="AG1544" s="1580">
        <f t="shared" si="1921"/>
        <v>-7.2330738704543929E-2</v>
      </c>
      <c r="AH1544" s="1580">
        <f t="shared" si="1921"/>
        <v>-5.1486327433695654E-2</v>
      </c>
      <c r="AI1544" s="1580">
        <f>AI1455/AI$421</f>
        <v>-4.3698087591095572E-2</v>
      </c>
      <c r="AJ1544" s="1580">
        <f t="shared" si="1921"/>
        <v>-3.1980414925465189E-2</v>
      </c>
      <c r="AK1544" s="1580">
        <f t="shared" si="1921"/>
        <v>-3.453698399735157E-2</v>
      </c>
      <c r="AL1544" s="1580">
        <f t="shared" si="1921"/>
        <v>-2.7974910096209761E-2</v>
      </c>
      <c r="AM1544" s="1580">
        <f t="shared" si="1921"/>
        <v>-2.2681022427074222E-2</v>
      </c>
      <c r="AN1544" s="1580">
        <f t="shared" si="1921"/>
        <v>-1.0959107067972412E-2</v>
      </c>
      <c r="AO1544" s="1580">
        <f t="shared" si="1921"/>
        <v>-1.3082939231085899E-2</v>
      </c>
      <c r="AP1544" s="1580">
        <f t="shared" si="1921"/>
        <v>-3.0381176625610851E-2</v>
      </c>
      <c r="AQ1544" s="1580">
        <f t="shared" si="1921"/>
        <v>-3.2475456446193429E-2</v>
      </c>
      <c r="AR1544" s="1580">
        <f t="shared" si="1921"/>
        <v>-2.8136956268940274E-2</v>
      </c>
      <c r="AS1544" s="1580">
        <f t="shared" si="1921"/>
        <v>-3.471214422069626E-2</v>
      </c>
      <c r="AT1544" s="1580">
        <f t="shared" si="1921"/>
        <v>-3.3359710810239807E-2</v>
      </c>
    </row>
    <row r="1545" spans="1:49">
      <c r="A1545" s="1"/>
      <c r="B1545" s="1"/>
      <c r="C1545" s="1"/>
      <c r="D1545" s="2546" t="str">
        <f>D1456</f>
        <v>o/w Excl. Rwandair&amp;Bugesera</v>
      </c>
      <c r="E1545" s="281"/>
      <c r="F1545" s="281"/>
      <c r="G1545" s="281"/>
      <c r="H1545" s="281"/>
      <c r="I1545" s="281"/>
      <c r="J1545" s="281"/>
      <c r="K1545" s="281"/>
      <c r="L1545" s="281"/>
      <c r="M1545" s="281"/>
      <c r="N1545" s="281"/>
      <c r="O1545" s="281"/>
      <c r="P1545" s="281"/>
      <c r="Q1545" s="281"/>
      <c r="R1545" s="281"/>
      <c r="S1545" s="281"/>
      <c r="T1545" s="281"/>
      <c r="U1545" s="281"/>
      <c r="V1545" s="1580"/>
      <c r="W1545" s="1580"/>
      <c r="X1545" s="1580"/>
      <c r="Y1545" s="1580"/>
      <c r="Z1545" s="1580"/>
      <c r="AA1545" s="1580"/>
      <c r="AB1545" s="1580"/>
      <c r="AC1545" s="1580"/>
      <c r="AD1545" s="1580"/>
      <c r="AE1545" s="1580"/>
      <c r="AF1545" s="1580"/>
      <c r="AG1545" s="1580"/>
      <c r="AH1545" s="1580"/>
      <c r="AI1545" s="1580">
        <f>AI1456/AI1476</f>
        <v>-4.2637300695934501E-2</v>
      </c>
      <c r="AJ1545" s="1580">
        <f t="shared" ref="AJ1545:AO1545" si="1922">AJ1456/AJ1476</f>
        <v>-3.0310857478472925E-2</v>
      </c>
      <c r="AK1545" s="1580">
        <f t="shared" si="1922"/>
        <v>-9.0658982740339528E-3</v>
      </c>
      <c r="AL1545" s="1580">
        <f t="shared" si="1922"/>
        <v>-7.3315876242979914E-3</v>
      </c>
      <c r="AM1545" s="1580">
        <f t="shared" si="1922"/>
        <v>-5.0026550473201772E-3</v>
      </c>
      <c r="AN1545" s="1580">
        <f t="shared" si="1922"/>
        <v>-1.474626058340478E-3</v>
      </c>
      <c r="AO1545" s="1580">
        <f t="shared" si="1922"/>
        <v>-3.5831966520510259E-3</v>
      </c>
      <c r="AP1545" s="1580"/>
      <c r="AQ1545" s="1580"/>
      <c r="AR1545" s="1580"/>
      <c r="AS1545" s="1580"/>
      <c r="AT1545" s="2702"/>
    </row>
    <row r="1546" spans="1:49">
      <c r="A1546" s="1"/>
      <c r="B1546" s="1"/>
      <c r="C1546" s="1"/>
      <c r="D1546" s="2547" t="s">
        <v>3141</v>
      </c>
      <c r="E1546" s="1465"/>
      <c r="F1546" s="1465"/>
      <c r="G1546" s="1465"/>
      <c r="H1546" s="1465"/>
      <c r="I1546" s="1465"/>
      <c r="J1546" s="1465"/>
      <c r="K1546" s="1465"/>
      <c r="L1546" s="1465"/>
      <c r="M1546" s="1465"/>
      <c r="N1546" s="1465"/>
      <c r="O1546" s="1465"/>
      <c r="P1546" s="1465"/>
      <c r="Q1546" s="1465"/>
      <c r="R1546" s="1465"/>
      <c r="S1546" s="1465"/>
      <c r="T1546" s="1465"/>
      <c r="U1546" s="1465"/>
      <c r="V1546" s="1436"/>
      <c r="W1546" s="1436"/>
      <c r="X1546" s="1436"/>
      <c r="Y1546" s="1466"/>
      <c r="Z1546" s="1466"/>
      <c r="AA1546" s="1466"/>
      <c r="AB1546" s="1460"/>
      <c r="AC1546" s="1460"/>
      <c r="AD1546" s="1460"/>
      <c r="AE1546" s="1460"/>
      <c r="AF1546" s="1460"/>
      <c r="AG1546" s="1460"/>
      <c r="AH1546" s="1460"/>
      <c r="AI1546" s="1460"/>
      <c r="AJ1546" s="1460"/>
      <c r="AK1546" s="1460"/>
      <c r="AL1546" s="1460"/>
      <c r="AM1546" s="1460"/>
      <c r="AN1546" s="1460"/>
      <c r="AO1546" s="1460"/>
      <c r="AP1546" s="1460"/>
      <c r="AQ1546" s="1460"/>
      <c r="AR1546" s="1460"/>
      <c r="AS1546" s="1460"/>
      <c r="AT1546" s="2703"/>
    </row>
    <row r="1547" spans="1:49">
      <c r="A1547" s="1"/>
      <c r="B1547" s="1"/>
      <c r="C1547" s="1"/>
      <c r="D1547" s="2548" t="s">
        <v>3623</v>
      </c>
      <c r="E1547" s="1918"/>
      <c r="F1547" s="1918"/>
      <c r="G1547" s="1918"/>
      <c r="H1547" s="1918"/>
      <c r="I1547" s="1918"/>
      <c r="J1547" s="1918"/>
      <c r="K1547" s="1918"/>
      <c r="L1547" s="1918"/>
      <c r="M1547" s="1918"/>
      <c r="N1547" s="1918"/>
      <c r="O1547" s="1918"/>
      <c r="P1547" s="1918"/>
      <c r="Q1547" s="1918"/>
      <c r="R1547" s="1918"/>
      <c r="S1547" s="1918"/>
      <c r="T1547" s="1918"/>
      <c r="U1547" s="1918"/>
      <c r="V1547" s="1919"/>
      <c r="W1547" s="1919"/>
      <c r="X1547" s="1922">
        <f t="shared" ref="X1547:AT1547" si="1923">X1261/X$421</f>
        <v>-4.8801835410028922E-2</v>
      </c>
      <c r="Y1547" s="1922">
        <f t="shared" si="1923"/>
        <v>-4.4122156509186015E-2</v>
      </c>
      <c r="Z1547" s="1922">
        <f t="shared" si="1923"/>
        <v>-5.8539562322366484E-2</v>
      </c>
      <c r="AA1547" s="1922">
        <f t="shared" si="1923"/>
        <v>-6.1257940009540261E-2</v>
      </c>
      <c r="AB1547" s="1922">
        <f t="shared" si="1923"/>
        <v>-6.812616425004657E-2</v>
      </c>
      <c r="AC1547" s="1922">
        <f t="shared" si="1923"/>
        <v>-6.5296046052605944E-2</v>
      </c>
      <c r="AD1547" s="1922">
        <f t="shared" si="1923"/>
        <v>-6.2222309903792315E-2</v>
      </c>
      <c r="AE1547" s="1922">
        <f t="shared" si="1923"/>
        <v>-8.4153372361727277E-2</v>
      </c>
      <c r="AF1547" s="1922">
        <f t="shared" si="1923"/>
        <v>-8.5505711608340931E-2</v>
      </c>
      <c r="AG1547" s="1922">
        <f t="shared" si="1923"/>
        <v>-9.103963365301064E-2</v>
      </c>
      <c r="AH1547" s="1922">
        <f t="shared" si="1923"/>
        <v>-6.8429745463322325E-2</v>
      </c>
      <c r="AI1547" s="1922">
        <f t="shared" si="1923"/>
        <v>-6.4326467745563151E-2</v>
      </c>
      <c r="AJ1547" s="1922">
        <f t="shared" si="1923"/>
        <v>-5.2823116901280116E-2</v>
      </c>
      <c r="AK1547" s="1922">
        <f t="shared" si="1923"/>
        <v>-5.2805574881281826E-2</v>
      </c>
      <c r="AL1547" s="1922">
        <f t="shared" si="1923"/>
        <v>-4.6706504096829318E-2</v>
      </c>
      <c r="AM1547" s="1922">
        <f t="shared" si="1923"/>
        <v>-3.8063525397788144E-2</v>
      </c>
      <c r="AN1547" s="1922">
        <f t="shared" si="1923"/>
        <v>-2.1135067795005229E-2</v>
      </c>
      <c r="AO1547" s="1922">
        <f t="shared" si="1923"/>
        <v>-2.1391351248726681E-2</v>
      </c>
      <c r="AP1547" s="1922">
        <f t="shared" si="1923"/>
        <v>-2.660088229536484E-2</v>
      </c>
      <c r="AQ1547" s="1922">
        <f t="shared" si="1923"/>
        <v>-2.9258788775612495E-2</v>
      </c>
      <c r="AR1547" s="1922">
        <f t="shared" si="1923"/>
        <v>-2.797008780861622E-2</v>
      </c>
      <c r="AS1547" s="1922">
        <f t="shared" si="1923"/>
        <v>-3.456264121319827E-2</v>
      </c>
      <c r="AT1547" s="2704">
        <f t="shared" si="1923"/>
        <v>-3.3243237101845693E-2</v>
      </c>
    </row>
    <row r="1548" spans="1:49">
      <c r="A1548" s="1"/>
      <c r="B1548" s="1"/>
      <c r="C1548" s="1"/>
      <c r="D1548" s="2548" t="s">
        <v>3618</v>
      </c>
      <c r="E1548" s="1918"/>
      <c r="F1548" s="1918"/>
      <c r="G1548" s="1918"/>
      <c r="H1548" s="1918"/>
      <c r="I1548" s="1918"/>
      <c r="J1548" s="1918"/>
      <c r="K1548" s="1918"/>
      <c r="L1548" s="1918"/>
      <c r="M1548" s="1918"/>
      <c r="N1548" s="1918"/>
      <c r="O1548" s="1918"/>
      <c r="P1548" s="1918"/>
      <c r="Q1548" s="1918"/>
      <c r="R1548" s="1918"/>
      <c r="S1548" s="1918"/>
      <c r="T1548" s="1918"/>
      <c r="U1548" s="1918"/>
      <c r="V1548" s="1919"/>
      <c r="W1548" s="1919"/>
      <c r="X1548" s="1922">
        <f t="shared" ref="X1548:AT1548" si="1924">X1262/X$421</f>
        <v>-4.8801835410028922E-2</v>
      </c>
      <c r="Y1548" s="1922">
        <f t="shared" si="1924"/>
        <v>-4.4122156509186015E-2</v>
      </c>
      <c r="Z1548" s="1922">
        <f t="shared" si="1924"/>
        <v>-4.6489787530623466E-2</v>
      </c>
      <c r="AA1548" s="1922">
        <f t="shared" si="1924"/>
        <v>-4.2381707128546872E-2</v>
      </c>
      <c r="AB1548" s="1922">
        <f t="shared" si="1924"/>
        <v>-4.9884027682041872E-2</v>
      </c>
      <c r="AC1548" s="1922">
        <f t="shared" si="1924"/>
        <v>-4.9254627197146787E-2</v>
      </c>
      <c r="AD1548" s="1922">
        <f t="shared" si="1924"/>
        <v>-6.2213450000301318E-2</v>
      </c>
      <c r="AE1548" s="1922">
        <f t="shared" si="1924"/>
        <v>-6.5761061181158945E-2</v>
      </c>
      <c r="AF1548" s="1922">
        <f t="shared" si="1924"/>
        <v>-7.9194831416940573E-2</v>
      </c>
      <c r="AG1548" s="1922">
        <f t="shared" si="1924"/>
        <v>-9.0158634197711307E-2</v>
      </c>
      <c r="AH1548" s="1922">
        <f t="shared" si="1924"/>
        <v>-7.0695369010980544E-2</v>
      </c>
      <c r="AI1548" s="1922">
        <f t="shared" si="1924"/>
        <v>-6.6155059412095027E-2</v>
      </c>
      <c r="AJ1548" s="1922">
        <f t="shared" si="1924"/>
        <v>-5.4419798945755354E-2</v>
      </c>
      <c r="AK1548" s="1922">
        <f t="shared" si="1924"/>
        <v>-3.3695483526492619E-2</v>
      </c>
      <c r="AL1548" s="1922">
        <f t="shared" si="1924"/>
        <v>-3.2292754574513291E-2</v>
      </c>
      <c r="AM1548" s="1922">
        <f t="shared" si="1924"/>
        <v>-3.01449074706489E-2</v>
      </c>
      <c r="AN1548" s="1922">
        <f t="shared" si="1924"/>
        <v>-2.5933847770094429E-2</v>
      </c>
      <c r="AO1548" s="1922">
        <f t="shared" si="1924"/>
        <v>-2.6424805857212297E-2</v>
      </c>
      <c r="AP1548" s="1922">
        <f t="shared" si="1924"/>
        <v>-3.0381176625610851E-2</v>
      </c>
      <c r="AQ1548" s="1922">
        <f t="shared" si="1924"/>
        <v>-3.2475456446193429E-2</v>
      </c>
      <c r="AR1548" s="1922">
        <f t="shared" si="1924"/>
        <v>-2.8136956268940274E-2</v>
      </c>
      <c r="AS1548" s="1922">
        <f t="shared" si="1924"/>
        <v>-3.471214422069626E-2</v>
      </c>
      <c r="AT1548" s="2704">
        <f t="shared" si="1924"/>
        <v>-3.3359710810239807E-2</v>
      </c>
    </row>
    <row r="1549" spans="1:49">
      <c r="A1549" s="1"/>
      <c r="B1549" s="1"/>
      <c r="C1549" s="1"/>
      <c r="D1549" s="2548" t="s">
        <v>3619</v>
      </c>
      <c r="E1549" s="1918"/>
      <c r="F1549" s="1918"/>
      <c r="G1549" s="1918"/>
      <c r="H1549" s="1918"/>
      <c r="I1549" s="1918"/>
      <c r="J1549" s="1918"/>
      <c r="K1549" s="1918"/>
      <c r="L1549" s="1918"/>
      <c r="M1549" s="1918"/>
      <c r="N1549" s="1918"/>
      <c r="O1549" s="1918"/>
      <c r="P1549" s="1918"/>
      <c r="Q1549" s="1918"/>
      <c r="R1549" s="1918"/>
      <c r="S1549" s="1918"/>
      <c r="T1549" s="1918"/>
      <c r="U1549" s="1918"/>
      <c r="V1549" s="1919"/>
      <c r="W1549" s="1919"/>
      <c r="X1549" s="1922">
        <f t="shared" ref="X1549:AT1549" si="1925">X1263/X$421</f>
        <v>-4.8801835410028922E-2</v>
      </c>
      <c r="Y1549" s="1922">
        <f t="shared" si="1925"/>
        <v>-4.4122156509186015E-2</v>
      </c>
      <c r="Z1549" s="1922">
        <f t="shared" si="1925"/>
        <v>-4.6489787530623466E-2</v>
      </c>
      <c r="AA1549" s="1922">
        <f t="shared" si="1925"/>
        <v>-4.2381707128546872E-2</v>
      </c>
      <c r="AB1549" s="1922">
        <f t="shared" si="1925"/>
        <v>-4.9884027682041872E-2</v>
      </c>
      <c r="AC1549" s="1922">
        <f t="shared" si="1925"/>
        <v>-4.9254627197146787E-2</v>
      </c>
      <c r="AD1549" s="1922">
        <f t="shared" si="1925"/>
        <v>-6.2213450000301318E-2</v>
      </c>
      <c r="AE1549" s="1922">
        <f t="shared" si="1925"/>
        <v>-8.6596150483648576E-2</v>
      </c>
      <c r="AF1549" s="1922">
        <f t="shared" si="1925"/>
        <v>-7.588442508196272E-2</v>
      </c>
      <c r="AG1549" s="1922">
        <f t="shared" si="1925"/>
        <v>-8.5052775992031232E-2</v>
      </c>
      <c r="AH1549" s="1922">
        <f t="shared" si="1925"/>
        <v>-6.7132964980982451E-2</v>
      </c>
      <c r="AI1549" s="1922">
        <f t="shared" si="1925"/>
        <v>-6.3723464857572867E-2</v>
      </c>
      <c r="AJ1549" s="1922">
        <f t="shared" si="1925"/>
        <v>-5.2494747212611097E-2</v>
      </c>
      <c r="AK1549" s="1922">
        <f t="shared" si="1925"/>
        <v>-3.0849908137207394E-2</v>
      </c>
      <c r="AL1549" s="1922">
        <f t="shared" si="1925"/>
        <v>-3.0389007357630098E-2</v>
      </c>
      <c r="AM1549" s="1922">
        <f t="shared" si="1925"/>
        <v>-2.6514318263701878E-2</v>
      </c>
      <c r="AN1549" s="1922">
        <f t="shared" si="1925"/>
        <v>-2.004707255641831E-2</v>
      </c>
      <c r="AO1549" s="1922">
        <f t="shared" si="1925"/>
        <v>-2.0497555769123897E-2</v>
      </c>
      <c r="AP1549" s="1922">
        <f t="shared" si="1925"/>
        <v>-3.0381176625610851E-2</v>
      </c>
      <c r="AQ1549" s="1922">
        <f t="shared" si="1925"/>
        <v>-3.2475456446193429E-2</v>
      </c>
      <c r="AR1549" s="1922">
        <f t="shared" si="1925"/>
        <v>-2.8136956268940274E-2</v>
      </c>
      <c r="AS1549" s="1922">
        <f t="shared" si="1925"/>
        <v>-3.471214422069626E-2</v>
      </c>
      <c r="AT1549" s="2704">
        <f t="shared" si="1925"/>
        <v>-3.3359710810239807E-2</v>
      </c>
    </row>
    <row r="1550" spans="1:49" ht="15.9" thickBot="1">
      <c r="A1550" s="1"/>
      <c r="B1550" s="1"/>
      <c r="C1550" s="1"/>
      <c r="D1550" s="2549" t="str">
        <f>D1461</f>
        <v>Debt Creating Overall Deficit</v>
      </c>
      <c r="E1550" s="1468"/>
      <c r="F1550" s="1468"/>
      <c r="G1550" s="1468"/>
      <c r="H1550" s="1468"/>
      <c r="I1550" s="1468"/>
      <c r="J1550" s="1468"/>
      <c r="K1550" s="1468"/>
      <c r="L1550" s="1468"/>
      <c r="M1550" s="1468"/>
      <c r="N1550" s="1468"/>
      <c r="O1550" s="1468"/>
      <c r="P1550" s="1468"/>
      <c r="Q1550" s="1468"/>
      <c r="R1550" s="1468"/>
      <c r="S1550" s="1468"/>
      <c r="T1550" s="1468"/>
      <c r="U1550" s="1468"/>
      <c r="V1550" s="1469"/>
      <c r="W1550" s="1469"/>
      <c r="X1550" s="1463">
        <f t="shared" ref="X1550:AT1550" si="1926">X1264/X$421</f>
        <v>-4.8801835410028922E-2</v>
      </c>
      <c r="Y1550" s="1463">
        <f t="shared" si="1926"/>
        <v>-4.4122156509186015E-2</v>
      </c>
      <c r="Z1550" s="1463">
        <f t="shared" si="1926"/>
        <v>-5.8539562322366484E-2</v>
      </c>
      <c r="AA1550" s="1463">
        <f t="shared" si="1926"/>
        <v>-6.1257940009540261E-2</v>
      </c>
      <c r="AB1550" s="1463">
        <f t="shared" si="1926"/>
        <v>-6.812616425004657E-2</v>
      </c>
      <c r="AC1550" s="1463">
        <f t="shared" si="1926"/>
        <v>-6.5296046052605944E-2</v>
      </c>
      <c r="AD1550" s="1463">
        <f t="shared" si="1926"/>
        <v>-6.2222309903792315E-2</v>
      </c>
      <c r="AE1550" s="1463">
        <f t="shared" si="1926"/>
        <v>-6.3318283059237659E-2</v>
      </c>
      <c r="AF1550" s="1463">
        <f t="shared" si="1926"/>
        <v>-8.0341459474321752E-2</v>
      </c>
      <c r="AG1550" s="1463">
        <f t="shared" si="1926"/>
        <v>-9.9249926662566421E-2</v>
      </c>
      <c r="AH1550" s="1463">
        <f t="shared" si="1926"/>
        <v>-6.8429745463322325E-2</v>
      </c>
      <c r="AI1550" s="1463">
        <f t="shared" si="1926"/>
        <v>-2.1176417023634323E-2</v>
      </c>
      <c r="AJ1550" s="1463">
        <f t="shared" si="1926"/>
        <v>-9.5410309051750242E-3</v>
      </c>
      <c r="AK1550" s="1463">
        <f t="shared" si="1926"/>
        <v>-1.1772504245504894E-2</v>
      </c>
      <c r="AL1550" s="1463">
        <f t="shared" si="1926"/>
        <v>-4.9174903628776499E-3</v>
      </c>
      <c r="AM1550" s="1463">
        <f t="shared" si="1926"/>
        <v>-9.1456593741018712E-4</v>
      </c>
      <c r="AN1550" s="1463">
        <f t="shared" si="1926"/>
        <v>8.0613165852086235E-3</v>
      </c>
      <c r="AO1550" s="1463">
        <f t="shared" si="1926"/>
        <v>4.2307783985545463E-3</v>
      </c>
      <c r="AP1550" s="1463">
        <f t="shared" si="1926"/>
        <v>-3.0172745659675346E-2</v>
      </c>
      <c r="AQ1550" s="1463">
        <f t="shared" si="1926"/>
        <v>-3.2289584703142388E-2</v>
      </c>
      <c r="AR1550" s="1463">
        <f t="shared" si="1926"/>
        <v>-2.797008780861622E-2</v>
      </c>
      <c r="AS1550" s="1463">
        <f t="shared" si="1926"/>
        <v>-3.456264121319827E-2</v>
      </c>
      <c r="AT1550" s="2705">
        <f t="shared" si="1926"/>
        <v>-3.3243237101845693E-2</v>
      </c>
    </row>
    <row r="1551" spans="1:49" ht="15.9" thickBot="1">
      <c r="A1551" s="1"/>
      <c r="B1551" s="1"/>
      <c r="C1551" s="1"/>
      <c r="D1551" s="2550" t="s">
        <v>3182</v>
      </c>
      <c r="E1551" s="1513"/>
      <c r="F1551" s="1513"/>
      <c r="G1551" s="1513"/>
      <c r="H1551" s="1513"/>
      <c r="I1551" s="1513"/>
      <c r="J1551" s="1513"/>
      <c r="K1551" s="1513"/>
      <c r="L1551" s="1513"/>
      <c r="M1551" s="1513"/>
      <c r="N1551" s="1513"/>
      <c r="O1551" s="1513"/>
      <c r="P1551" s="1513"/>
      <c r="Q1551" s="1513"/>
      <c r="R1551" s="1513"/>
      <c r="S1551" s="1513"/>
      <c r="T1551" s="1513"/>
      <c r="U1551" s="1513"/>
      <c r="V1551" s="1514"/>
      <c r="W1551" s="1514"/>
      <c r="X1551" s="1514"/>
      <c r="Y1551" s="1514"/>
      <c r="Z1551" s="1514"/>
      <c r="AA1551" s="1514"/>
      <c r="AB1551" s="1514"/>
      <c r="AC1551" s="1514"/>
      <c r="AD1551" s="1515">
        <f t="shared" ref="AD1551:AT1551" si="1927">AD1265/AD$421</f>
        <v>-5.8801706178352349E-2</v>
      </c>
      <c r="AE1551" s="1515">
        <f t="shared" si="1927"/>
        <v>-8.6596150483648576E-2</v>
      </c>
      <c r="AF1551" s="1515">
        <f t="shared" si="1927"/>
        <v>-8.4359083550959765E-2</v>
      </c>
      <c r="AG1551" s="1515">
        <f t="shared" si="1927"/>
        <v>-7.9132134441493168E-2</v>
      </c>
      <c r="AH1551" s="1515">
        <f t="shared" si="1927"/>
        <v>-6.9324039224714737E-2</v>
      </c>
      <c r="AI1551" s="1515">
        <f t="shared" si="1927"/>
        <v>-6.612061800128495E-2</v>
      </c>
      <c r="AJ1551" s="1515">
        <f t="shared" si="1927"/>
        <v>-5.4006560721855106E-2</v>
      </c>
      <c r="AK1551" s="1515">
        <f t="shared" si="1927"/>
        <v>-5.7301463749198242E-2</v>
      </c>
      <c r="AL1551" s="1515">
        <f t="shared" si="1927"/>
        <v>-5.1032329829541874E-2</v>
      </c>
      <c r="AM1551" s="1515">
        <f t="shared" si="1927"/>
        <v>-4.4192685643455923E-2</v>
      </c>
      <c r="AN1551" s="1515">
        <f t="shared" si="1927"/>
        <v>-2.9531553566050243E-2</v>
      </c>
      <c r="AO1551" s="1515">
        <f t="shared" si="1927"/>
        <v>-2.9997298348158768E-2</v>
      </c>
      <c r="AP1551" s="1515">
        <f t="shared" si="1927"/>
        <v>-2.9916887035291957E-2</v>
      </c>
      <c r="AQ1551" s="1515">
        <f t="shared" si="1927"/>
        <v>-3.1967729037880414E-2</v>
      </c>
      <c r="AR1551" s="1515">
        <f t="shared" si="1927"/>
        <v>-2.8136956268940274E-2</v>
      </c>
      <c r="AS1551" s="1515">
        <f t="shared" si="1927"/>
        <v>-3.471214422069626E-2</v>
      </c>
      <c r="AT1551" s="1515">
        <f t="shared" si="1927"/>
        <v>-3.3359710810239807E-2</v>
      </c>
    </row>
    <row r="1552" spans="1:49">
      <c r="A1552" s="1"/>
      <c r="B1552" s="1"/>
      <c r="C1552" s="1"/>
      <c r="D1552" s="2530" t="s">
        <v>563</v>
      </c>
      <c r="E1552" s="505"/>
      <c r="F1552" s="505"/>
      <c r="G1552" s="505"/>
      <c r="H1552" s="505"/>
      <c r="I1552" s="505"/>
      <c r="J1552" s="505"/>
      <c r="K1552" s="505"/>
      <c r="L1552" s="505"/>
      <c r="M1552" s="505"/>
      <c r="N1552" s="505"/>
      <c r="O1552" s="505"/>
      <c r="P1552" s="505"/>
      <c r="Q1552" s="505"/>
      <c r="R1552" s="505"/>
      <c r="S1552" s="505"/>
      <c r="T1552" s="505"/>
      <c r="U1552" s="505"/>
      <c r="V1552" s="1411">
        <f t="shared" ref="V1552:AL1552" si="1928">V1463/V$421</f>
        <v>0</v>
      </c>
      <c r="W1552" s="1411">
        <f t="shared" si="1928"/>
        <v>6.8602789846787461E-4</v>
      </c>
      <c r="X1552" s="1411">
        <f t="shared" si="1928"/>
        <v>3.0953363598845289E-4</v>
      </c>
      <c r="Y1552" s="1411">
        <f t="shared" si="1928"/>
        <v>-1.2332304603687465E-2</v>
      </c>
      <c r="Z1552" s="1411">
        <f t="shared" si="1928"/>
        <v>3.1700703139619078E-3</v>
      </c>
      <c r="AA1552" s="1411">
        <f t="shared" si="1928"/>
        <v>1.2339768045987421E-2</v>
      </c>
      <c r="AB1552" s="1411">
        <f t="shared" si="1928"/>
        <v>4.0407747411778218E-3</v>
      </c>
      <c r="AC1552" s="1411">
        <f t="shared" si="1928"/>
        <v>1.31792224136541E-2</v>
      </c>
      <c r="AD1552" s="1411">
        <f t="shared" si="1928"/>
        <v>7.8101772736636514E-3</v>
      </c>
      <c r="AE1552" s="1411">
        <f t="shared" si="1928"/>
        <v>4.2654566587513966E-2</v>
      </c>
      <c r="AF1552" s="1411">
        <f t="shared" si="1928"/>
        <v>1.4556380856268087E-2</v>
      </c>
      <c r="AG1552" s="1411">
        <f t="shared" si="1928"/>
        <v>2.9584924851089798E-2</v>
      </c>
      <c r="AH1552" s="1411">
        <f t="shared" si="1928"/>
        <v>-2.8627452458082836E-4</v>
      </c>
      <c r="AI1552" s="1411">
        <f t="shared" si="1928"/>
        <v>5.327321851027125E-3</v>
      </c>
      <c r="AJ1552" s="1411">
        <f t="shared" si="1928"/>
        <v>1.6850257669226203E-2</v>
      </c>
      <c r="AK1552" s="1411">
        <f t="shared" si="1928"/>
        <v>2.8618549252485057E-2</v>
      </c>
      <c r="AL1552" s="1411">
        <f t="shared" si="1928"/>
        <v>2.2444170985920966E-2</v>
      </c>
      <c r="AM1552" s="1411">
        <f t="shared" ref="AM1552:AO1558" si="1929">AM1463/AM$421</f>
        <v>1.6473610699450414E-2</v>
      </c>
      <c r="AN1552" s="1411">
        <f t="shared" si="1929"/>
        <v>5.4073169805608232E-3</v>
      </c>
      <c r="AO1552" s="1411">
        <f t="shared" si="1929"/>
        <v>4.5943458259221229E-3</v>
      </c>
      <c r="AP1552" s="1411">
        <f t="shared" ref="AP1552:AT1552" si="1930">AP1463/AP$421</f>
        <v>3.9910964905972178E-3</v>
      </c>
      <c r="AQ1552" s="1411">
        <f t="shared" si="1930"/>
        <v>3.883826601350949E-3</v>
      </c>
      <c r="AR1552" s="1411">
        <f t="shared" si="1930"/>
        <v>3.7934653312008469E-3</v>
      </c>
      <c r="AS1552" s="1411">
        <f t="shared" si="1930"/>
        <v>3.7108919991803821E-3</v>
      </c>
      <c r="AT1552" s="2692">
        <f t="shared" si="1930"/>
        <v>3.5538365334446694E-3</v>
      </c>
    </row>
    <row r="1553" spans="1:243">
      <c r="A1553" s="1"/>
      <c r="B1553" s="1"/>
      <c r="C1553" s="1"/>
      <c r="D1553" s="2535" t="s">
        <v>564</v>
      </c>
      <c r="E1553" s="505"/>
      <c r="F1553" s="505"/>
      <c r="G1553" s="505"/>
      <c r="H1553" s="505"/>
      <c r="I1553" s="505"/>
      <c r="J1553" s="505"/>
      <c r="K1553" s="505"/>
      <c r="L1553" s="505"/>
      <c r="M1553" s="505"/>
      <c r="N1553" s="505"/>
      <c r="O1553" s="505"/>
      <c r="P1553" s="505"/>
      <c r="Q1553" s="505"/>
      <c r="R1553" s="505"/>
      <c r="S1553" s="505"/>
      <c r="T1553" s="505"/>
      <c r="U1553" s="505"/>
      <c r="V1553" s="1411">
        <f t="shared" ref="V1553:AL1553" si="1931">V1464/V$421</f>
        <v>0</v>
      </c>
      <c r="W1553" s="1411">
        <f t="shared" si="1931"/>
        <v>6.8602789846787461E-4</v>
      </c>
      <c r="X1553" s="1411">
        <f t="shared" si="1931"/>
        <v>3.0953363598845289E-4</v>
      </c>
      <c r="Y1553" s="1411">
        <f t="shared" si="1931"/>
        <v>-1.2332304603687465E-2</v>
      </c>
      <c r="Z1553" s="1411">
        <f t="shared" si="1931"/>
        <v>3.1700703139619078E-3</v>
      </c>
      <c r="AA1553" s="1411">
        <f t="shared" si="1931"/>
        <v>1.2339768045987421E-2</v>
      </c>
      <c r="AB1553" s="1411">
        <f t="shared" si="1931"/>
        <v>4.0407747411778218E-3</v>
      </c>
      <c r="AC1553" s="1411">
        <f t="shared" si="1931"/>
        <v>1.31792224136541E-2</v>
      </c>
      <c r="AD1553" s="1411">
        <f t="shared" si="1931"/>
        <v>7.8101772736636514E-3</v>
      </c>
      <c r="AE1553" s="1411">
        <f t="shared" si="1931"/>
        <v>4.2654566587513966E-2</v>
      </c>
      <c r="AF1553" s="1411">
        <f t="shared" si="1931"/>
        <v>1.4556380856268087E-2</v>
      </c>
      <c r="AG1553" s="1411">
        <f t="shared" si="1931"/>
        <v>2.9584924851089798E-2</v>
      </c>
      <c r="AH1553" s="1411">
        <f t="shared" si="1931"/>
        <v>4.0247586889647418E-3</v>
      </c>
      <c r="AI1553" s="1411">
        <f t="shared" si="1931"/>
        <v>5.327321851027125E-3</v>
      </c>
      <c r="AJ1553" s="1411">
        <f t="shared" si="1931"/>
        <v>1.6850257669226203E-2</v>
      </c>
      <c r="AK1553" s="1411">
        <f t="shared" si="1931"/>
        <v>2.8618549252485057E-2</v>
      </c>
      <c r="AL1553" s="1411">
        <f t="shared" si="1931"/>
        <v>2.2444170985920966E-2</v>
      </c>
      <c r="AM1553" s="1411">
        <f t="shared" si="1929"/>
        <v>1.6473610699450414E-2</v>
      </c>
      <c r="AN1553" s="1411">
        <f t="shared" si="1929"/>
        <v>5.4073169805608232E-3</v>
      </c>
      <c r="AO1553" s="1411">
        <f t="shared" si="1929"/>
        <v>4.5943458259221229E-3</v>
      </c>
      <c r="AP1553" s="1411">
        <f t="shared" ref="AP1553:AT1553" si="1932">AP1464/AP$421</f>
        <v>3.9910964905972178E-3</v>
      </c>
      <c r="AQ1553" s="1411">
        <f t="shared" si="1932"/>
        <v>3.883826601350949E-3</v>
      </c>
      <c r="AR1553" s="1411">
        <f t="shared" si="1932"/>
        <v>3.7934653312008469E-3</v>
      </c>
      <c r="AS1553" s="1411">
        <f t="shared" si="1932"/>
        <v>3.7108919991803821E-3</v>
      </c>
      <c r="AT1553" s="2692">
        <f t="shared" si="1932"/>
        <v>3.5538365334446694E-3</v>
      </c>
    </row>
    <row r="1554" spans="1:243">
      <c r="A1554" s="1"/>
      <c r="B1554" s="1"/>
      <c r="C1554" s="1"/>
      <c r="D1554" s="2536" t="s">
        <v>3176</v>
      </c>
      <c r="E1554" s="505"/>
      <c r="F1554" s="505"/>
      <c r="G1554" s="505"/>
      <c r="H1554" s="505"/>
      <c r="I1554" s="505"/>
      <c r="J1554" s="505"/>
      <c r="K1554" s="505"/>
      <c r="L1554" s="505"/>
      <c r="M1554" s="505"/>
      <c r="N1554" s="505"/>
      <c r="O1554" s="505"/>
      <c r="P1554" s="505"/>
      <c r="Q1554" s="505"/>
      <c r="R1554" s="505"/>
      <c r="S1554" s="505"/>
      <c r="T1554" s="505"/>
      <c r="U1554" s="505"/>
      <c r="V1554" s="1411"/>
      <c r="W1554" s="1411"/>
      <c r="X1554" s="1411"/>
      <c r="Y1554" s="1411"/>
      <c r="Z1554" s="1411"/>
      <c r="AA1554" s="1411"/>
      <c r="AB1554" s="1411"/>
      <c r="AC1554" s="1411"/>
      <c r="AD1554" s="1488">
        <f t="shared" ref="AD1554:AL1554" si="1933">AD1465/AD$421</f>
        <v>0</v>
      </c>
      <c r="AE1554" s="1488">
        <f t="shared" si="1933"/>
        <v>0</v>
      </c>
      <c r="AF1554" s="1488">
        <f t="shared" si="1933"/>
        <v>8.4746584689970473E-3</v>
      </c>
      <c r="AG1554" s="1488">
        <f t="shared" si="1933"/>
        <v>5.1058582056800715E-3</v>
      </c>
      <c r="AH1554" s="1488">
        <f t="shared" si="1933"/>
        <v>3.5624040299981007E-3</v>
      </c>
      <c r="AI1554" s="1488">
        <f t="shared" si="1933"/>
        <v>2.4962933009839601E-3</v>
      </c>
      <c r="AJ1554" s="1488">
        <f t="shared" si="1933"/>
        <v>1.9250517331442557E-3</v>
      </c>
      <c r="AK1554" s="1488">
        <f t="shared" si="1933"/>
        <v>9.8046988867323795E-4</v>
      </c>
      <c r="AL1554" s="1488">
        <f t="shared" si="1933"/>
        <v>0</v>
      </c>
      <c r="AM1554" s="1488">
        <f t="shared" si="1929"/>
        <v>0</v>
      </c>
      <c r="AN1554" s="1488">
        <f t="shared" si="1929"/>
        <v>0</v>
      </c>
      <c r="AO1554" s="1488">
        <f t="shared" si="1929"/>
        <v>0</v>
      </c>
      <c r="AP1554" s="1488">
        <f t="shared" ref="AP1554:AT1554" si="1934">AP1465/AP$421</f>
        <v>0</v>
      </c>
      <c r="AQ1554" s="1488">
        <f t="shared" si="1934"/>
        <v>0</v>
      </c>
      <c r="AR1554" s="1488">
        <f t="shared" si="1934"/>
        <v>0</v>
      </c>
      <c r="AS1554" s="1488">
        <f t="shared" si="1934"/>
        <v>0</v>
      </c>
      <c r="AT1554" s="2706">
        <f t="shared" si="1934"/>
        <v>0</v>
      </c>
    </row>
    <row r="1555" spans="1:243">
      <c r="A1555" s="1"/>
      <c r="B1555" s="1"/>
      <c r="C1555" s="1"/>
      <c r="D1555" s="2535" t="s">
        <v>569</v>
      </c>
      <c r="E1555" s="505"/>
      <c r="F1555" s="505"/>
      <c r="G1555" s="505"/>
      <c r="H1555" s="505"/>
      <c r="I1555" s="505"/>
      <c r="J1555" s="505"/>
      <c r="K1555" s="505"/>
      <c r="L1555" s="505"/>
      <c r="M1555" s="505"/>
      <c r="N1555" s="505"/>
      <c r="O1555" s="505"/>
      <c r="P1555" s="505"/>
      <c r="Q1555" s="505"/>
      <c r="R1555" s="505"/>
      <c r="S1555" s="505"/>
      <c r="T1555" s="505"/>
      <c r="U1555" s="505"/>
      <c r="V1555" s="1411">
        <f t="shared" ref="V1555:AC1558" si="1935">V1466/V$421</f>
        <v>0</v>
      </c>
      <c r="W1555" s="1411">
        <f t="shared" si="1935"/>
        <v>0</v>
      </c>
      <c r="X1555" s="1411">
        <f t="shared" si="1935"/>
        <v>0</v>
      </c>
      <c r="Y1555" s="1411">
        <f t="shared" si="1935"/>
        <v>0</v>
      </c>
      <c r="Z1555" s="1411">
        <f t="shared" si="1935"/>
        <v>0</v>
      </c>
      <c r="AA1555" s="1411">
        <f t="shared" si="1935"/>
        <v>0</v>
      </c>
      <c r="AB1555" s="1411">
        <f t="shared" si="1935"/>
        <v>0</v>
      </c>
      <c r="AC1555" s="1411">
        <f t="shared" si="1935"/>
        <v>0</v>
      </c>
      <c r="AD1555" s="1411">
        <f t="shared" ref="AD1555:AL1555" si="1936">AD1466/AD$421</f>
        <v>0</v>
      </c>
      <c r="AE1555" s="1411">
        <f t="shared" si="1936"/>
        <v>0</v>
      </c>
      <c r="AF1555" s="1411">
        <f t="shared" si="1936"/>
        <v>0</v>
      </c>
      <c r="AG1555" s="1411">
        <f t="shared" si="1936"/>
        <v>0</v>
      </c>
      <c r="AH1555" s="1411">
        <f t="shared" si="1936"/>
        <v>-4.3110332135455698E-3</v>
      </c>
      <c r="AI1555" s="1411">
        <f t="shared" si="1936"/>
        <v>0</v>
      </c>
      <c r="AJ1555" s="1411">
        <f t="shared" si="1936"/>
        <v>0</v>
      </c>
      <c r="AK1555" s="1411">
        <f t="shared" si="1936"/>
        <v>0</v>
      </c>
      <c r="AL1555" s="1411">
        <f t="shared" si="1936"/>
        <v>0</v>
      </c>
      <c r="AM1555" s="1411">
        <f t="shared" si="1929"/>
        <v>0</v>
      </c>
      <c r="AN1555" s="1411">
        <f t="shared" si="1929"/>
        <v>0</v>
      </c>
      <c r="AO1555" s="1411">
        <f t="shared" si="1929"/>
        <v>0</v>
      </c>
      <c r="AP1555" s="1411">
        <f t="shared" ref="AP1555:AT1555" si="1937">AP1466/AP$421</f>
        <v>0</v>
      </c>
      <c r="AQ1555" s="1411">
        <f t="shared" si="1937"/>
        <v>0</v>
      </c>
      <c r="AR1555" s="1411">
        <f t="shared" si="1937"/>
        <v>0</v>
      </c>
      <c r="AS1555" s="1411">
        <f t="shared" si="1937"/>
        <v>0</v>
      </c>
      <c r="AT1555" s="2692">
        <f t="shared" si="1937"/>
        <v>0</v>
      </c>
    </row>
    <row r="1556" spans="1:243">
      <c r="A1556" s="1"/>
      <c r="B1556" s="1"/>
      <c r="C1556" s="1"/>
      <c r="D1556" s="2530" t="s">
        <v>570</v>
      </c>
      <c r="E1556" s="505"/>
      <c r="F1556" s="505"/>
      <c r="G1556" s="505"/>
      <c r="H1556" s="505"/>
      <c r="I1556" s="505"/>
      <c r="J1556" s="505"/>
      <c r="K1556" s="505"/>
      <c r="L1556" s="505"/>
      <c r="M1556" s="505"/>
      <c r="N1556" s="505"/>
      <c r="O1556" s="505"/>
      <c r="P1556" s="505"/>
      <c r="Q1556" s="505"/>
      <c r="R1556" s="505"/>
      <c r="S1556" s="505"/>
      <c r="T1556" s="505"/>
      <c r="U1556" s="505"/>
      <c r="V1556" s="1411">
        <f t="shared" si="1935"/>
        <v>1.8139548102435149E-2</v>
      </c>
      <c r="W1556" s="1411">
        <f t="shared" si="1935"/>
        <v>1.0267550880402468E-2</v>
      </c>
      <c r="X1556" s="1411">
        <f t="shared" si="1935"/>
        <v>-4.4432844325715412E-2</v>
      </c>
      <c r="Y1556" s="1411">
        <f t="shared" si="1935"/>
        <v>2.451146112512408E-2</v>
      </c>
      <c r="Z1556" s="1411">
        <f t="shared" si="1935"/>
        <v>4.8597992519904945E-2</v>
      </c>
      <c r="AA1556" s="1411">
        <f t="shared" si="1935"/>
        <v>4.9548685206687787E-2</v>
      </c>
      <c r="AB1556" s="1411">
        <f t="shared" si="1935"/>
        <v>5.0060865479255388E-2</v>
      </c>
      <c r="AC1556" s="1411">
        <f t="shared" si="1935"/>
        <v>5.6163288577129621E-2</v>
      </c>
      <c r="AD1556" s="1411">
        <f t="shared" ref="AD1556:AL1556" si="1938">AD1467/AD$421</f>
        <v>6.3325696192651895E-2</v>
      </c>
      <c r="AE1556" s="1411">
        <f t="shared" si="1938"/>
        <v>0.12033102444295635</v>
      </c>
      <c r="AF1556" s="1411">
        <f t="shared" si="1938"/>
        <v>8.6745246722019859E-2</v>
      </c>
      <c r="AG1556" s="1411">
        <f t="shared" si="1938"/>
        <v>0.10132204800582297</v>
      </c>
      <c r="AH1556" s="1411">
        <f t="shared" si="1938"/>
        <v>6.0179488093074329E-2</v>
      </c>
      <c r="AI1556" s="1411">
        <f t="shared" si="1938"/>
        <v>6.9094392416711004E-2</v>
      </c>
      <c r="AJ1556" s="1411">
        <f t="shared" si="1938"/>
        <v>6.4173610603582232E-2</v>
      </c>
      <c r="AK1556" s="1411">
        <f t="shared" si="1938"/>
        <v>6.2527928505663202E-2</v>
      </c>
      <c r="AL1556" s="1411">
        <f t="shared" si="1938"/>
        <v>5.6032329829541878E-2</v>
      </c>
      <c r="AM1556" s="1411">
        <f t="shared" si="1929"/>
        <v>4.8447478916738257E-2</v>
      </c>
      <c r="AN1556" s="1411">
        <f t="shared" si="1929"/>
        <v>3.3479530721153443E-2</v>
      </c>
      <c r="AO1556" s="1411">
        <f t="shared" si="1929"/>
        <v>3.3396656860726348E-2</v>
      </c>
      <c r="AP1556" s="1411">
        <f t="shared" ref="AP1556:AT1556" si="1939">AP1467/AP$421</f>
        <v>3.3381176625610846E-2</v>
      </c>
      <c r="AQ1556" s="1411">
        <f t="shared" si="1939"/>
        <v>3.5475456446193425E-2</v>
      </c>
      <c r="AR1556" s="1411">
        <f t="shared" si="1939"/>
        <v>3.113695626894027E-2</v>
      </c>
      <c r="AS1556" s="1411">
        <f t="shared" si="1939"/>
        <v>3.771214422069627E-2</v>
      </c>
      <c r="AT1556" s="2692">
        <f t="shared" si="1939"/>
        <v>3.6359710810239809E-2</v>
      </c>
    </row>
    <row r="1557" spans="1:243">
      <c r="A1557" s="1"/>
      <c r="B1557" s="1"/>
      <c r="C1557" s="1"/>
      <c r="D1557" s="2535" t="s">
        <v>564</v>
      </c>
      <c r="E1557" s="505"/>
      <c r="F1557" s="505"/>
      <c r="G1557" s="505"/>
      <c r="H1557" s="505"/>
      <c r="I1557" s="505"/>
      <c r="J1557" s="505"/>
      <c r="K1557" s="505"/>
      <c r="L1557" s="505"/>
      <c r="M1557" s="505"/>
      <c r="N1557" s="505"/>
      <c r="O1557" s="505"/>
      <c r="P1557" s="505"/>
      <c r="Q1557" s="505"/>
      <c r="R1557" s="505"/>
      <c r="S1557" s="505"/>
      <c r="T1557" s="505"/>
      <c r="U1557" s="505"/>
      <c r="V1557" s="1411">
        <f t="shared" si="1935"/>
        <v>0</v>
      </c>
      <c r="W1557" s="1411">
        <f t="shared" si="1935"/>
        <v>-1.1456665904413448E-2</v>
      </c>
      <c r="X1557" s="1411">
        <f t="shared" si="1935"/>
        <v>-4.4577293355843352E-2</v>
      </c>
      <c r="Y1557" s="1411">
        <f t="shared" si="1935"/>
        <v>4.6555481015707638E-3</v>
      </c>
      <c r="Z1557" s="1411">
        <f t="shared" si="1935"/>
        <v>1.5988985622273303E-2</v>
      </c>
      <c r="AA1557" s="1411">
        <f t="shared" si="1935"/>
        <v>1.4718927693155361E-2</v>
      </c>
      <c r="AB1557" s="1411">
        <f t="shared" si="1935"/>
        <v>5.4306410227995053E-3</v>
      </c>
      <c r="AC1557" s="1411">
        <f t="shared" si="1935"/>
        <v>1.1559288216665258E-2</v>
      </c>
      <c r="AD1557" s="1411">
        <f t="shared" ref="AD1557:AL1557" si="1940">AD1468/AD$421</f>
        <v>1.22883593707321E-2</v>
      </c>
      <c r="AE1557" s="1411">
        <f t="shared" si="1940"/>
        <v>2.1366326146473057E-2</v>
      </c>
      <c r="AF1557" s="1411">
        <f t="shared" si="1940"/>
        <v>2.4141909248976079E-2</v>
      </c>
      <c r="AG1557" s="1411">
        <f t="shared" si="1940"/>
        <v>1.7848244001502755E-2</v>
      </c>
      <c r="AH1557" s="1411">
        <f t="shared" si="1940"/>
        <v>9.0080562601265839E-3</v>
      </c>
      <c r="AI1557" s="1411">
        <f t="shared" si="1940"/>
        <v>-1.3848718175737248E-3</v>
      </c>
      <c r="AJ1557" s="1411">
        <f t="shared" si="1940"/>
        <v>1.5859249140284006E-3</v>
      </c>
      <c r="AK1557" s="1411">
        <f t="shared" si="1940"/>
        <v>6.4237188292810684E-3</v>
      </c>
      <c r="AL1557" s="1411">
        <f t="shared" si="1940"/>
        <v>9.3754848956056503E-3</v>
      </c>
      <c r="AM1557" s="1411">
        <f t="shared" si="1929"/>
        <v>1.3565193161377494E-2</v>
      </c>
      <c r="AN1557" s="1411">
        <f t="shared" si="1929"/>
        <v>7.0659086274069503E-3</v>
      </c>
      <c r="AO1557" s="1411">
        <f t="shared" si="1929"/>
        <v>1.4117245429316968E-2</v>
      </c>
      <c r="AP1557" s="1411">
        <f t="shared" ref="AP1557:AT1557" si="1941">AP1468/AP$421</f>
        <v>1.1883803040836518E-2</v>
      </c>
      <c r="AQ1557" s="1411">
        <f t="shared" si="1941"/>
        <v>4.2982753885752761E-2</v>
      </c>
      <c r="AR1557" s="1411">
        <f t="shared" si="1941"/>
        <v>2.7326187141573026E-2</v>
      </c>
      <c r="AS1557" s="1411">
        <f t="shared" si="1941"/>
        <v>3.5668120350835351E-2</v>
      </c>
      <c r="AT1557" s="2692">
        <f t="shared" si="1941"/>
        <v>3.6348037420754577E-2</v>
      </c>
    </row>
    <row r="1558" spans="1:243">
      <c r="A1558" s="1"/>
      <c r="B1558" s="1"/>
      <c r="C1558" s="1"/>
      <c r="D1558" s="2535" t="s">
        <v>569</v>
      </c>
      <c r="E1558" s="505"/>
      <c r="F1558" s="505"/>
      <c r="G1558" s="505"/>
      <c r="H1558" s="505"/>
      <c r="I1558" s="505"/>
      <c r="J1558" s="505"/>
      <c r="K1558" s="505"/>
      <c r="L1558" s="505"/>
      <c r="M1558" s="505"/>
      <c r="N1558" s="505"/>
      <c r="O1558" s="505"/>
      <c r="P1558" s="505"/>
      <c r="Q1558" s="505"/>
      <c r="R1558" s="505"/>
      <c r="S1558" s="505"/>
      <c r="T1558" s="505"/>
      <c r="U1558" s="505"/>
      <c r="V1558" s="1411">
        <f t="shared" si="1935"/>
        <v>1.8139548102435149E-2</v>
      </c>
      <c r="W1558" s="1411">
        <f t="shared" si="1935"/>
        <v>2.1724216784815915E-2</v>
      </c>
      <c r="X1558" s="1411">
        <f t="shared" si="1935"/>
        <v>1.4444903012794042E-4</v>
      </c>
      <c r="Y1558" s="1411">
        <f t="shared" si="1935"/>
        <v>1.9855913023553318E-2</v>
      </c>
      <c r="Z1558" s="1411">
        <f t="shared" si="1935"/>
        <v>3.2609006897631639E-2</v>
      </c>
      <c r="AA1558" s="1411">
        <f t="shared" si="1935"/>
        <v>3.4829757513532421E-2</v>
      </c>
      <c r="AB1558" s="1411">
        <f t="shared" si="1935"/>
        <v>4.4630224456455883E-2</v>
      </c>
      <c r="AC1558" s="1411">
        <f t="shared" si="1935"/>
        <v>4.4604000360464358E-2</v>
      </c>
      <c r="AD1558" s="1411">
        <f t="shared" ref="AD1558:AL1558" si="1942">AD1469/AD$421</f>
        <v>5.1037336821919792E-2</v>
      </c>
      <c r="AE1558" s="1411">
        <f t="shared" si="1942"/>
        <v>9.8964698296483286E-2</v>
      </c>
      <c r="AF1558" s="1411">
        <f t="shared" si="1942"/>
        <v>6.260333747304378E-2</v>
      </c>
      <c r="AG1558" s="1411">
        <f t="shared" si="1942"/>
        <v>8.347380400432021E-2</v>
      </c>
      <c r="AH1558" s="1411">
        <f t="shared" si="1942"/>
        <v>5.1171431832947742E-2</v>
      </c>
      <c r="AI1558" s="1411">
        <f t="shared" si="1942"/>
        <v>7.047926423428473E-2</v>
      </c>
      <c r="AJ1558" s="1411">
        <f t="shared" si="1942"/>
        <v>6.2587685689553821E-2</v>
      </c>
      <c r="AK1558" s="1411">
        <f t="shared" si="1942"/>
        <v>5.6104209676382133E-2</v>
      </c>
      <c r="AL1558" s="1411">
        <f t="shared" si="1942"/>
        <v>4.665684493393623E-2</v>
      </c>
      <c r="AM1558" s="1411">
        <f t="shared" si="1929"/>
        <v>3.4882285755360759E-2</v>
      </c>
      <c r="AN1558" s="1411">
        <f t="shared" si="1929"/>
        <v>2.6413622093746491E-2</v>
      </c>
      <c r="AO1558" s="1411">
        <f t="shared" si="1929"/>
        <v>1.9279411431409377E-2</v>
      </c>
      <c r="AP1558" s="1411">
        <f t="shared" ref="AP1558:AT1558" si="1943">AP1469/AP$421</f>
        <v>2.149737358477433E-2</v>
      </c>
      <c r="AQ1558" s="1411">
        <f t="shared" si="1943"/>
        <v>-7.5072974395593338E-3</v>
      </c>
      <c r="AR1558" s="1411">
        <f t="shared" si="1943"/>
        <v>3.8107691273672451E-3</v>
      </c>
      <c r="AS1558" s="1411">
        <f t="shared" si="1943"/>
        <v>2.0440238698609167E-3</v>
      </c>
      <c r="AT1558" s="2692">
        <f t="shared" si="1943"/>
        <v>1.1673389485228591E-5</v>
      </c>
    </row>
    <row r="1559" spans="1:243">
      <c r="A1559" s="1"/>
      <c r="B1559" s="1"/>
      <c r="C1559" s="1"/>
      <c r="D1559" s="2535" t="s">
        <v>3285</v>
      </c>
      <c r="E1559" s="505"/>
      <c r="F1559" s="505"/>
      <c r="G1559" s="505"/>
      <c r="H1559" s="505"/>
      <c r="I1559" s="505"/>
      <c r="J1559" s="505"/>
      <c r="K1559" s="505"/>
      <c r="L1559" s="505"/>
      <c r="M1559" s="505"/>
      <c r="N1559" s="505"/>
      <c r="O1559" s="505"/>
      <c r="P1559" s="505"/>
      <c r="Q1559" s="505"/>
      <c r="R1559" s="505"/>
      <c r="S1559" s="505"/>
      <c r="T1559" s="505"/>
      <c r="U1559" s="505"/>
      <c r="V1559" s="1411"/>
      <c r="W1559" s="1411"/>
      <c r="X1559" s="1411"/>
      <c r="Y1559" s="1411"/>
      <c r="Z1559" s="1411"/>
      <c r="AA1559" s="1411"/>
      <c r="AB1559" s="1411"/>
      <c r="AC1559" s="1411"/>
      <c r="AD1559" s="1411">
        <f t="shared" ref="AD1559:AM1559" si="1944">AD1470/AD$421</f>
        <v>2.9832480498882253E-2</v>
      </c>
      <c r="AE1559" s="1411">
        <f t="shared" si="1944"/>
        <v>7.4787484480078339E-2</v>
      </c>
      <c r="AF1559" s="1411">
        <f t="shared" si="1944"/>
        <v>3.26766018282863E-2</v>
      </c>
      <c r="AG1559" s="1411">
        <f t="shared" si="1944"/>
        <v>6.7345714498142695E-2</v>
      </c>
      <c r="AH1559" s="1411">
        <f t="shared" si="1944"/>
        <v>3.3883981495572139E-2</v>
      </c>
      <c r="AI1559" s="1411">
        <f t="shared" si="1944"/>
        <v>4.2698184780552401E-2</v>
      </c>
      <c r="AJ1559" s="1411">
        <f t="shared" si="1944"/>
        <v>3.6408155496179852E-2</v>
      </c>
      <c r="AK1559" s="1411">
        <f t="shared" si="1944"/>
        <v>3.7543256993726189E-2</v>
      </c>
      <c r="AL1559" s="1411">
        <f t="shared" si="1944"/>
        <v>3.3976275195108332E-2</v>
      </c>
      <c r="AM1559" s="1411">
        <f t="shared" si="1944"/>
        <v>2.4939095324531254E-2</v>
      </c>
      <c r="AN1559" s="1411">
        <f t="shared" ref="AN1559:AO1559" si="1945">AN1470/AN$421</f>
        <v>1.7941912833219914E-2</v>
      </c>
      <c r="AO1559" s="1411">
        <f t="shared" si="1945"/>
        <v>1.423459394421359E-2</v>
      </c>
      <c r="AP1559" s="1411">
        <f t="shared" ref="AP1559:AT1559" si="1946">AP1470/AP$421</f>
        <v>1.6813505522610062E-2</v>
      </c>
      <c r="AQ1559" s="1411">
        <f t="shared" si="1946"/>
        <v>1.5225500887390928E-2</v>
      </c>
      <c r="AR1559" s="1411">
        <f t="shared" si="1946"/>
        <v>1.2858867607484064E-2</v>
      </c>
      <c r="AS1559" s="1411">
        <f t="shared" si="1946"/>
        <v>1.1866308096222668E-2</v>
      </c>
      <c r="AT1559" s="2692">
        <f t="shared" si="1946"/>
        <v>9.5220579171333732E-3</v>
      </c>
    </row>
    <row r="1560" spans="1:243">
      <c r="A1560" s="1"/>
      <c r="B1560" s="1"/>
      <c r="C1560" s="1"/>
      <c r="D1560" s="2551" t="s">
        <v>3101</v>
      </c>
      <c r="E1560" s="505"/>
      <c r="F1560" s="505"/>
      <c r="G1560" s="505"/>
      <c r="H1560" s="505"/>
      <c r="I1560" s="505"/>
      <c r="J1560" s="505"/>
      <c r="K1560" s="505"/>
      <c r="L1560" s="505"/>
      <c r="M1560" s="505"/>
      <c r="N1560" s="505"/>
      <c r="O1560" s="505"/>
      <c r="P1560" s="505"/>
      <c r="Q1560" s="505"/>
      <c r="R1560" s="505"/>
      <c r="S1560" s="505"/>
      <c r="T1560" s="505"/>
      <c r="U1560" s="505"/>
      <c r="V1560" s="1411"/>
      <c r="W1560" s="1411"/>
      <c r="X1560" s="1411"/>
      <c r="Y1560" s="1411"/>
      <c r="Z1560" s="1411"/>
      <c r="AA1560" s="1411"/>
      <c r="AB1560" s="1411"/>
      <c r="AC1560" s="1411"/>
      <c r="AD1560" s="1411">
        <f>AD1471/AD$421</f>
        <v>0</v>
      </c>
      <c r="AE1560" s="1411">
        <f t="shared" ref="AE1560:AM1560" si="1947">AE1471/AE$421</f>
        <v>0</v>
      </c>
      <c r="AF1560" s="1411">
        <f t="shared" si="1947"/>
        <v>0</v>
      </c>
      <c r="AG1560" s="1411">
        <f t="shared" si="1947"/>
        <v>0</v>
      </c>
      <c r="AH1560" s="1411">
        <f t="shared" si="1947"/>
        <v>0</v>
      </c>
      <c r="AI1560" s="1411">
        <f t="shared" si="1947"/>
        <v>0</v>
      </c>
      <c r="AJ1560" s="1411">
        <f t="shared" si="1947"/>
        <v>0</v>
      </c>
      <c r="AK1560" s="1411">
        <f t="shared" si="1947"/>
        <v>0</v>
      </c>
      <c r="AL1560" s="1411">
        <f t="shared" si="1947"/>
        <v>0</v>
      </c>
      <c r="AM1560" s="1411">
        <f t="shared" si="1947"/>
        <v>0</v>
      </c>
      <c r="AN1560" s="1411">
        <f t="shared" ref="AN1560:AO1560" si="1948">AN1471/AN$421</f>
        <v>0</v>
      </c>
      <c r="AO1560" s="1411">
        <f t="shared" si="1948"/>
        <v>0</v>
      </c>
      <c r="AP1560" s="1411">
        <f t="shared" ref="AP1560:AT1560" si="1949">AP1471/AP$421</f>
        <v>0</v>
      </c>
      <c r="AQ1560" s="1411">
        <f t="shared" si="1949"/>
        <v>0</v>
      </c>
      <c r="AR1560" s="1411">
        <f t="shared" si="1949"/>
        <v>0</v>
      </c>
      <c r="AS1560" s="1411">
        <f t="shared" si="1949"/>
        <v>0</v>
      </c>
      <c r="AT1560" s="2692">
        <f t="shared" si="1949"/>
        <v>0</v>
      </c>
    </row>
    <row r="1561" spans="1:243">
      <c r="A1561" s="1"/>
      <c r="B1561" s="1"/>
      <c r="C1561" s="1"/>
      <c r="D1561" s="2535" t="s">
        <v>3286</v>
      </c>
      <c r="E1561" s="505"/>
      <c r="F1561" s="505"/>
      <c r="G1561" s="505"/>
      <c r="H1561" s="505"/>
      <c r="I1561" s="505"/>
      <c r="J1561" s="505"/>
      <c r="K1561" s="505"/>
      <c r="L1561" s="505"/>
      <c r="M1561" s="505"/>
      <c r="N1561" s="505"/>
      <c r="O1561" s="505"/>
      <c r="P1561" s="505"/>
      <c r="Q1561" s="505"/>
      <c r="R1561" s="505"/>
      <c r="S1561" s="505"/>
      <c r="T1561" s="505"/>
      <c r="U1561" s="505"/>
      <c r="V1561" s="1411"/>
      <c r="W1561" s="1411"/>
      <c r="X1561" s="1411"/>
      <c r="Y1561" s="1411"/>
      <c r="Z1561" s="1411"/>
      <c r="AA1561" s="1411"/>
      <c r="AB1561" s="1411"/>
      <c r="AC1561" s="1411"/>
      <c r="AD1561" s="1411">
        <f t="shared" ref="AD1561:AM1561" si="1950">AD1472/AD$421</f>
        <v>2.4468176712159836E-2</v>
      </c>
      <c r="AE1561" s="1411">
        <f t="shared" si="1950"/>
        <v>2.9872515632377177E-2</v>
      </c>
      <c r="AF1561" s="1411">
        <f t="shared" si="1950"/>
        <v>3.7200689384599389E-2</v>
      </c>
      <c r="AG1561" s="1411">
        <f t="shared" si="1950"/>
        <v>3.3308162970684521E-2</v>
      </c>
      <c r="AH1561" s="1411">
        <f t="shared" si="1950"/>
        <v>2.6991881893244619E-2</v>
      </c>
      <c r="AI1561" s="1411">
        <f t="shared" si="1950"/>
        <v>3.4506633508362257E-2</v>
      </c>
      <c r="AJ1561" s="1411">
        <f t="shared" si="1950"/>
        <v>3.4128228315225828E-2</v>
      </c>
      <c r="AK1561" s="1411">
        <f t="shared" si="1950"/>
        <v>3.1153945553126311E-2</v>
      </c>
      <c r="AL1561" s="1411">
        <f t="shared" si="1950"/>
        <v>2.8442049605440174E-2</v>
      </c>
      <c r="AM1561" s="1411">
        <f t="shared" si="1950"/>
        <v>2.6486241170878534E-2</v>
      </c>
      <c r="AN1561" s="1411">
        <f t="shared" ref="AN1561:AO1561" si="1951">AN1472/AN$421</f>
        <v>2.5771785336739465E-2</v>
      </c>
      <c r="AO1561" s="1411">
        <f t="shared" si="1951"/>
        <v>2.42573024240571E-2</v>
      </c>
      <c r="AP1561" s="1411">
        <f t="shared" ref="AP1561:AT1561" si="1952">AP1472/AP$421</f>
        <v>2.351145196577259E-2</v>
      </c>
      <c r="AQ1561" s="1411">
        <f t="shared" si="1952"/>
        <v>1.9437542352074889E-2</v>
      </c>
      <c r="AR1561" s="1411">
        <f t="shared" si="1952"/>
        <v>9.6119376292772615E-3</v>
      </c>
      <c r="AS1561" s="1411">
        <f t="shared" si="1952"/>
        <v>8.8700044819107083E-3</v>
      </c>
      <c r="AT1561" s="2692">
        <f t="shared" si="1952"/>
        <v>7.1176894883482967E-3</v>
      </c>
    </row>
    <row r="1562" spans="1:243">
      <c r="A1562" s="1"/>
      <c r="B1562" s="1"/>
      <c r="C1562" s="1"/>
      <c r="D1562" s="2535" t="s">
        <v>3287</v>
      </c>
      <c r="E1562" s="505"/>
      <c r="F1562" s="505"/>
      <c r="G1562" s="505"/>
      <c r="H1562" s="505"/>
      <c r="I1562" s="505"/>
      <c r="J1562" s="505"/>
      <c r="K1562" s="505"/>
      <c r="L1562" s="505"/>
      <c r="M1562" s="505"/>
      <c r="N1562" s="505"/>
      <c r="O1562" s="505"/>
      <c r="P1562" s="505"/>
      <c r="Q1562" s="505"/>
      <c r="R1562" s="505"/>
      <c r="S1562" s="505"/>
      <c r="T1562" s="505"/>
      <c r="U1562" s="505"/>
      <c r="V1562" s="1411"/>
      <c r="W1562" s="1411"/>
      <c r="X1562" s="1411"/>
      <c r="Y1562" s="1411"/>
      <c r="Z1562" s="1411"/>
      <c r="AA1562" s="1411"/>
      <c r="AB1562" s="1411"/>
      <c r="AC1562" s="1411"/>
      <c r="AD1562" s="1411">
        <f t="shared" ref="AD1562:AM1562" si="1953">AD1473/AD$421</f>
        <v>3.2633203891222979E-3</v>
      </c>
      <c r="AE1562" s="1411">
        <f t="shared" si="1953"/>
        <v>5.6953018159722297E-3</v>
      </c>
      <c r="AF1562" s="1411">
        <f t="shared" si="1953"/>
        <v>7.2739537398419036E-3</v>
      </c>
      <c r="AG1562" s="1411">
        <f t="shared" si="1953"/>
        <v>7.6989302550785916E-3</v>
      </c>
      <c r="AH1562" s="1411">
        <f t="shared" si="1953"/>
        <v>5.393398342323448E-3</v>
      </c>
      <c r="AI1562" s="1411">
        <f t="shared" si="1953"/>
        <v>6.7255540546299238E-3</v>
      </c>
      <c r="AJ1562" s="1411">
        <f t="shared" si="1953"/>
        <v>7.9486981218518521E-3</v>
      </c>
      <c r="AK1562" s="1411">
        <f t="shared" si="1953"/>
        <v>1.2592992870470372E-2</v>
      </c>
      <c r="AL1562" s="1411">
        <f t="shared" si="1953"/>
        <v>1.5761479866612287E-2</v>
      </c>
      <c r="AM1562" s="1411">
        <f t="shared" si="1953"/>
        <v>1.6543050740049029E-2</v>
      </c>
      <c r="AN1562" s="1411">
        <f t="shared" ref="AN1562:AO1562" si="1954">AN1473/AN$421</f>
        <v>1.7300076076212888E-2</v>
      </c>
      <c r="AO1562" s="1411">
        <f t="shared" si="1954"/>
        <v>1.9212484936861309E-2</v>
      </c>
      <c r="AP1562" s="1411">
        <f t="shared" ref="AP1562:AT1562" si="1955">AP1473/AP$421</f>
        <v>1.8827583903608325E-2</v>
      </c>
      <c r="AQ1562" s="1411">
        <f t="shared" si="1955"/>
        <v>4.2170340679025149E-2</v>
      </c>
      <c r="AR1562" s="1411">
        <f t="shared" si="1955"/>
        <v>1.8660036109394082E-2</v>
      </c>
      <c r="AS1562" s="1411">
        <f t="shared" si="1955"/>
        <v>1.8692288708272459E-2</v>
      </c>
      <c r="AT1562" s="2692">
        <f t="shared" si="1955"/>
        <v>1.662807401599644E-2</v>
      </c>
    </row>
    <row r="1563" spans="1:243" ht="15.9" thickBot="1">
      <c r="A1563" s="1"/>
      <c r="B1563" s="1"/>
      <c r="C1563" s="1"/>
      <c r="D1563" s="2552" t="s">
        <v>579</v>
      </c>
      <c r="E1563" s="507"/>
      <c r="F1563" s="505"/>
      <c r="G1563" s="505"/>
      <c r="H1563" s="505"/>
      <c r="I1563" s="505"/>
      <c r="J1563" s="505"/>
      <c r="K1563" s="505"/>
      <c r="L1563" s="505"/>
      <c r="M1563" s="505"/>
      <c r="N1563" s="505"/>
      <c r="O1563" s="505"/>
      <c r="P1563" s="505"/>
      <c r="Q1563" s="505"/>
      <c r="R1563" s="505"/>
      <c r="S1563" s="505"/>
      <c r="T1563" s="505"/>
      <c r="U1563" s="507"/>
      <c r="V1563" s="1412">
        <f t="shared" ref="V1563:AC1563" si="1956">V1474/V$421</f>
        <v>-7.0354337595023839E-2</v>
      </c>
      <c r="W1563" s="1412">
        <f t="shared" si="1956"/>
        <v>-6.9426023324948558E-2</v>
      </c>
      <c r="X1563" s="1412">
        <f t="shared" si="1956"/>
        <v>-0.13310261205105592</v>
      </c>
      <c r="Y1563" s="1412">
        <f t="shared" si="1956"/>
        <v>-2.7029516332160296E-2</v>
      </c>
      <c r="Z1563" s="1412">
        <f t="shared" si="1956"/>
        <v>1.6312949118873266E-2</v>
      </c>
      <c r="AA1563" s="1412">
        <f t="shared" si="1956"/>
        <v>2.7321230319689426E-2</v>
      </c>
      <c r="AB1563" s="1412">
        <f t="shared" si="1956"/>
        <v>-2.1074727835699615E-4</v>
      </c>
      <c r="AC1563" s="1412">
        <f t="shared" si="1956"/>
        <v>8.7178683941817423E-4</v>
      </c>
      <c r="AD1563" s="1412">
        <f t="shared" ref="AD1563:AL1563" si="1957">AD1474/AD$421</f>
        <v>-3.2861872593641099E-3</v>
      </c>
      <c r="AE1563" s="1411">
        <f t="shared" si="1957"/>
        <v>7.8145672939122074E-4</v>
      </c>
      <c r="AF1563" s="1411">
        <f>AF1474/AF$421</f>
        <v>-1.7250875197636526E-3</v>
      </c>
      <c r="AG1563" s="1411">
        <f>AG1474/AG$421</f>
        <v>-2.9942761153636355E-3</v>
      </c>
      <c r="AH1563" s="1411">
        <f t="shared" si="1957"/>
        <v>-1.2780135687703305E-3</v>
      </c>
      <c r="AI1563" s="1411">
        <f t="shared" si="1957"/>
        <v>3.5538278037573318E-3</v>
      </c>
      <c r="AJ1563" s="1411">
        <f t="shared" si="1957"/>
        <v>4.7573616284872993E-4</v>
      </c>
      <c r="AK1563" s="1411">
        <f t="shared" si="1957"/>
        <v>0</v>
      </c>
      <c r="AL1563" s="1411">
        <f t="shared" si="1957"/>
        <v>0</v>
      </c>
      <c r="AM1563" s="1411">
        <f>AM1474/AM$421</f>
        <v>0</v>
      </c>
      <c r="AN1563" s="1411">
        <f t="shared" ref="AN1563:AO1563" si="1958">AN1474/AN$421</f>
        <v>0</v>
      </c>
      <c r="AO1563" s="1411">
        <f t="shared" si="1958"/>
        <v>0</v>
      </c>
      <c r="AP1563" s="1411">
        <f t="shared" ref="AP1563:AT1563" si="1959">AP1474/AP$421</f>
        <v>0</v>
      </c>
      <c r="AQ1563" s="1411">
        <f t="shared" si="1959"/>
        <v>0</v>
      </c>
      <c r="AR1563" s="1411">
        <f t="shared" si="1959"/>
        <v>0</v>
      </c>
      <c r="AS1563" s="1411">
        <f t="shared" si="1959"/>
        <v>0</v>
      </c>
      <c r="AT1563" s="2692">
        <f t="shared" si="1959"/>
        <v>0</v>
      </c>
    </row>
    <row r="1564" spans="1:243" s="2064" customFormat="1" ht="16.2" thickTop="1" thickBot="1">
      <c r="D1564" s="2553" t="str">
        <f>D1475</f>
        <v xml:space="preserve">Total COVID-19 </v>
      </c>
      <c r="E1564" s="1053"/>
      <c r="F1564" s="1053"/>
      <c r="G1564" s="1053"/>
      <c r="H1564" s="1053"/>
      <c r="I1564" s="1053"/>
      <c r="J1564" s="1053"/>
      <c r="K1564" s="1053"/>
      <c r="L1564" s="1053"/>
      <c r="M1564" s="1053"/>
      <c r="N1564" s="1053"/>
      <c r="O1564" s="1053"/>
      <c r="P1564" s="1053"/>
      <c r="Q1564" s="1053"/>
      <c r="R1564" s="1053"/>
      <c r="S1564" s="1053"/>
      <c r="T1564" s="1053"/>
      <c r="U1564" s="1053"/>
      <c r="V1564" s="2077"/>
      <c r="W1564" s="2077"/>
      <c r="X1564" s="2077"/>
      <c r="Y1564" s="2077"/>
      <c r="Z1564" s="2077"/>
      <c r="AA1564" s="2077"/>
      <c r="AB1564" s="2077"/>
      <c r="AC1564" s="2077"/>
      <c r="AD1564" s="2077"/>
      <c r="AE1564" s="2421">
        <f t="shared" ref="AE1564:AL1564" si="1960">AE1475/AE$421</f>
        <v>2.0835089302489628E-2</v>
      </c>
      <c r="AF1564" s="2421">
        <f t="shared" si="1960"/>
        <v>5.1642521340191832E-3</v>
      </c>
      <c r="AG1564" s="2421">
        <f t="shared" si="1960"/>
        <v>0</v>
      </c>
      <c r="AH1564" s="2421">
        <f t="shared" si="1960"/>
        <v>0</v>
      </c>
      <c r="AI1564" s="2421">
        <f t="shared" si="1960"/>
        <v>0</v>
      </c>
      <c r="AJ1564" s="2421">
        <f t="shared" si="1960"/>
        <v>0</v>
      </c>
      <c r="AK1564" s="2421">
        <f t="shared" si="1960"/>
        <v>0</v>
      </c>
      <c r="AL1564" s="2421">
        <f t="shared" si="1960"/>
        <v>0</v>
      </c>
      <c r="AM1564" s="2421">
        <f>AM1475/AM$421</f>
        <v>0</v>
      </c>
      <c r="AN1564" s="2421">
        <f t="shared" ref="AN1564:AO1564" si="1961">AN1475/AN$421</f>
        <v>0</v>
      </c>
      <c r="AO1564" s="1583">
        <f t="shared" si="1961"/>
        <v>0</v>
      </c>
      <c r="AP1564" s="1583">
        <f t="shared" ref="AP1564:AT1564" si="1962">AP1475/AP$421</f>
        <v>0</v>
      </c>
      <c r="AQ1564" s="1583">
        <f t="shared" si="1962"/>
        <v>0</v>
      </c>
      <c r="AR1564" s="1583">
        <f t="shared" si="1962"/>
        <v>0</v>
      </c>
      <c r="AS1564" s="1583">
        <f t="shared" si="1962"/>
        <v>0</v>
      </c>
      <c r="AT1564" s="2693">
        <f t="shared" si="1962"/>
        <v>0</v>
      </c>
      <c r="AU1564" s="1"/>
      <c r="AV1564" s="1"/>
      <c r="AW1564" s="1"/>
      <c r="AX1564" s="1"/>
      <c r="AY1564" s="1"/>
      <c r="AZ1564" s="1"/>
      <c r="BA1564" s="1"/>
      <c r="BB1564" s="1"/>
      <c r="BC1564" s="1"/>
      <c r="BD1564" s="1"/>
      <c r="BE1564" s="1"/>
      <c r="BF1564" s="1"/>
      <c r="BG1564" s="1"/>
      <c r="BH1564" s="1"/>
      <c r="BI1564" s="1"/>
      <c r="BJ1564" s="1"/>
      <c r="BK1564" s="1"/>
      <c r="BL1564" s="1"/>
      <c r="BM1564" s="1"/>
      <c r="BN1564" s="1"/>
      <c r="BO1564" s="1"/>
      <c r="BP1564" s="1"/>
      <c r="BQ1564" s="1"/>
      <c r="BR1564" s="1"/>
      <c r="BS1564" s="1"/>
      <c r="BT1564" s="1"/>
      <c r="BU1564" s="1"/>
      <c r="BV1564" s="1"/>
      <c r="BW1564" s="1"/>
      <c r="BX1564" s="1"/>
      <c r="BY1564" s="1"/>
      <c r="BZ1564" s="1"/>
      <c r="CA1564" s="1"/>
      <c r="CB1564" s="1"/>
      <c r="CC1564" s="1"/>
      <c r="CD1564" s="1"/>
      <c r="CE1564" s="1"/>
      <c r="CF1564" s="1"/>
      <c r="CG1564" s="1"/>
      <c r="CH1564" s="1"/>
      <c r="CI1564" s="1"/>
      <c r="CJ1564" s="1"/>
      <c r="CK1564" s="1"/>
      <c r="CL1564" s="1"/>
      <c r="CM1564" s="1"/>
      <c r="CN1564" s="1"/>
      <c r="CO1564" s="1"/>
      <c r="CP1564" s="1"/>
      <c r="CQ1564" s="1"/>
      <c r="CR1564" s="1"/>
      <c r="CS1564" s="1"/>
      <c r="CT1564" s="1"/>
      <c r="CU1564" s="1"/>
      <c r="CV1564" s="1"/>
      <c r="CW1564" s="1"/>
      <c r="CX1564" s="1"/>
      <c r="CY1564" s="1"/>
      <c r="CZ1564" s="1"/>
      <c r="DA1564" s="1"/>
      <c r="DB1564" s="1"/>
      <c r="DC1564" s="1"/>
      <c r="DD1564" s="1"/>
      <c r="DE1564" s="1"/>
      <c r="DF1564" s="1"/>
      <c r="DG1564" s="1"/>
      <c r="DH1564" s="1"/>
      <c r="DI1564" s="1"/>
      <c r="DJ1564" s="1"/>
      <c r="DK1564" s="1"/>
      <c r="DL1564" s="1"/>
      <c r="DM1564" s="1"/>
      <c r="DN1564" s="1"/>
      <c r="DO1564" s="1"/>
      <c r="DP1564" s="1"/>
      <c r="DQ1564" s="1"/>
      <c r="DR1564" s="1"/>
      <c r="DS1564" s="1"/>
      <c r="DT1564" s="1"/>
      <c r="DU1564" s="1"/>
      <c r="DV1564" s="1"/>
      <c r="DW1564" s="1"/>
      <c r="DX1564" s="1"/>
      <c r="DY1564" s="1"/>
      <c r="DZ1564" s="1"/>
      <c r="EA1564" s="1"/>
      <c r="EB1564" s="1"/>
      <c r="EC1564" s="1"/>
      <c r="ED1564" s="1"/>
      <c r="EE1564" s="1"/>
      <c r="EF1564" s="1"/>
      <c r="EG1564" s="1"/>
      <c r="EH1564" s="1"/>
      <c r="EI1564" s="1"/>
      <c r="EJ1564" s="1"/>
      <c r="EK1564" s="1"/>
      <c r="EL1564" s="1"/>
      <c r="EM1564" s="1"/>
      <c r="EN1564" s="1"/>
      <c r="EO1564" s="1"/>
      <c r="EP1564" s="1"/>
      <c r="EQ1564" s="1"/>
      <c r="ER1564" s="1"/>
      <c r="ES1564" s="1"/>
      <c r="ET1564" s="1"/>
      <c r="EU1564" s="1"/>
      <c r="EV1564" s="1"/>
      <c r="EW1564" s="1"/>
      <c r="EX1564" s="1"/>
      <c r="EY1564" s="1"/>
      <c r="EZ1564" s="1"/>
      <c r="FA1564" s="1"/>
      <c r="FB1564" s="1"/>
      <c r="FC1564" s="1"/>
      <c r="FD1564" s="1"/>
      <c r="FE1564" s="1"/>
      <c r="FF1564" s="1"/>
      <c r="FG1564" s="1"/>
      <c r="FH1564" s="1"/>
      <c r="FI1564" s="1"/>
      <c r="FJ1564" s="1"/>
      <c r="FK1564" s="1"/>
      <c r="FL1564" s="1"/>
      <c r="FM1564" s="1"/>
      <c r="FN1564" s="1"/>
      <c r="FO1564" s="1"/>
      <c r="FP1564" s="1"/>
      <c r="FQ1564" s="1"/>
      <c r="FR1564" s="1"/>
      <c r="FS1564" s="1"/>
      <c r="FT1564" s="1"/>
      <c r="FU1564" s="1"/>
      <c r="FV1564" s="1"/>
      <c r="FW1564" s="1"/>
      <c r="FX1564" s="1"/>
      <c r="FY1564" s="1"/>
      <c r="FZ1564" s="1"/>
      <c r="GA1564" s="1"/>
      <c r="GB1564" s="1"/>
      <c r="GC1564" s="1"/>
      <c r="GD1564" s="1"/>
      <c r="GE1564" s="1"/>
      <c r="GF1564" s="1"/>
      <c r="GG1564" s="1"/>
      <c r="GH1564" s="1"/>
      <c r="GI1564" s="1"/>
      <c r="GJ1564" s="1"/>
      <c r="GK1564" s="1"/>
      <c r="GL1564" s="1"/>
      <c r="GM1564" s="1"/>
      <c r="GN1564" s="1"/>
      <c r="GO1564" s="1"/>
      <c r="GP1564" s="1"/>
      <c r="GQ1564" s="1"/>
      <c r="GR1564" s="1"/>
      <c r="GS1564" s="1"/>
      <c r="GT1564" s="1"/>
      <c r="GU1564" s="1"/>
      <c r="GV1564" s="1"/>
      <c r="GW1564" s="1"/>
      <c r="GX1564" s="1"/>
      <c r="GY1564" s="1"/>
      <c r="GZ1564" s="1"/>
      <c r="HA1564" s="1"/>
      <c r="HB1564" s="1"/>
      <c r="HC1564" s="1"/>
      <c r="HD1564" s="1"/>
      <c r="HE1564" s="1"/>
      <c r="HF1564" s="1"/>
      <c r="HG1564" s="1"/>
      <c r="HH1564" s="1"/>
      <c r="HI1564" s="1"/>
      <c r="HJ1564" s="1"/>
      <c r="HK1564" s="1"/>
      <c r="HL1564" s="1"/>
      <c r="HM1564" s="1"/>
      <c r="HN1564" s="1"/>
      <c r="HO1564" s="1"/>
      <c r="HP1564" s="1"/>
      <c r="HQ1564" s="1"/>
      <c r="HR1564" s="1"/>
      <c r="HS1564" s="1"/>
      <c r="HT1564" s="1"/>
      <c r="HU1564" s="1"/>
      <c r="HV1564" s="1"/>
      <c r="HW1564" s="1"/>
      <c r="HX1564" s="1"/>
      <c r="HY1564" s="1"/>
      <c r="HZ1564" s="1"/>
      <c r="IA1564" s="1"/>
      <c r="IB1564" s="1"/>
      <c r="IC1564" s="1"/>
      <c r="ID1564" s="1"/>
      <c r="IE1564" s="1"/>
      <c r="IF1564" s="1"/>
      <c r="IG1564" s="1"/>
      <c r="IH1564" s="1"/>
      <c r="II1564" s="1"/>
    </row>
    <row r="1565" spans="1:243" s="2064" customFormat="1">
      <c r="C1565" s="2078"/>
      <c r="D1565" s="2553" t="s">
        <v>3717</v>
      </c>
      <c r="E1565" s="1053"/>
      <c r="F1565" s="1053"/>
      <c r="G1565" s="1053"/>
      <c r="H1565" s="1053"/>
      <c r="I1565" s="1053"/>
      <c r="J1565" s="1053"/>
      <c r="K1565" s="1053"/>
      <c r="L1565" s="1053"/>
      <c r="M1565" s="1053"/>
      <c r="N1565" s="1053"/>
      <c r="O1565" s="1053"/>
      <c r="P1565" s="1053"/>
      <c r="Q1565" s="1053"/>
      <c r="R1565" s="1053"/>
      <c r="S1565" s="1053"/>
      <c r="T1565" s="1053"/>
      <c r="U1565" s="1053"/>
      <c r="V1565" s="2077">
        <f>V1476</f>
        <v>3778</v>
      </c>
      <c r="W1565" s="2077">
        <f t="shared" ref="W1565:Y1565" si="1963">W1476</f>
        <v>4373</v>
      </c>
      <c r="X1565" s="2077">
        <f t="shared" si="1963"/>
        <v>4846</v>
      </c>
      <c r="Y1565" s="2077">
        <f t="shared" si="1963"/>
        <v>5296</v>
      </c>
      <c r="Z1565" s="2421">
        <f t="shared" ref="Z1565:AD1565" si="1964">Z1478/Z1476</f>
        <v>0</v>
      </c>
      <c r="AA1565" s="2421">
        <f t="shared" si="1964"/>
        <v>0</v>
      </c>
      <c r="AB1565" s="2421">
        <f t="shared" si="1964"/>
        <v>5.0430559472289839E-3</v>
      </c>
      <c r="AC1565" s="2421">
        <f t="shared" si="1964"/>
        <v>5.5224136761005934E-3</v>
      </c>
      <c r="AD1565" s="2421">
        <f t="shared" si="1964"/>
        <v>7.8899259190174653E-3</v>
      </c>
      <c r="AE1565" s="2421">
        <f t="shared" ref="AE1565:AI1565" si="1965">AE1478/AE$421</f>
        <v>-1.0536418456393597E-2</v>
      </c>
      <c r="AF1565" s="2421">
        <f t="shared" si="1965"/>
        <v>2.0030658558152326E-2</v>
      </c>
      <c r="AG1565" s="2421">
        <f>AG1478/AG$421</f>
        <v>-1.1487294047094931E-2</v>
      </c>
      <c r="AH1565" s="2421">
        <f>AH1478/AH$421</f>
        <v>1.8245923609262475E-2</v>
      </c>
      <c r="AI1565" s="2421">
        <f t="shared" si="1965"/>
        <v>-7.056782719705786E-4</v>
      </c>
      <c r="AJ1565" s="2421">
        <f>AJ1478/AJ$421</f>
        <v>-7.6921505809497441E-3</v>
      </c>
      <c r="AK1565" s="2421">
        <f t="shared" ref="AK1565:AT1565" si="1966">AK1478/AK$421</f>
        <v>1.197254072816113E-3</v>
      </c>
      <c r="AL1565" s="2421">
        <f t="shared" si="1966"/>
        <v>4.3754848956056485E-3</v>
      </c>
      <c r="AM1565" s="2421">
        <f t="shared" si="1966"/>
        <v>9.565193161377496E-3</v>
      </c>
      <c r="AN1565" s="2421">
        <f t="shared" si="1966"/>
        <v>3.5659086274069493E-3</v>
      </c>
      <c r="AO1565" s="2421">
        <f t="shared" si="1966"/>
        <v>1.1117245429316969E-2</v>
      </c>
      <c r="AP1565" s="2421">
        <f t="shared" si="1966"/>
        <v>8.8838030408365173E-3</v>
      </c>
      <c r="AQ1565" s="2421">
        <f t="shared" si="1966"/>
        <v>3.9982753885752766E-2</v>
      </c>
      <c r="AR1565" s="2421">
        <f t="shared" si="1966"/>
        <v>2.4326187141573027E-2</v>
      </c>
      <c r="AS1565" s="2421">
        <f t="shared" si="1966"/>
        <v>3.2668120350835356E-2</v>
      </c>
      <c r="AT1565" s="2707">
        <f t="shared" si="1966"/>
        <v>3.3348037420754588E-2</v>
      </c>
      <c r="AU1565" s="1"/>
      <c r="AV1565" s="1"/>
      <c r="AW1565" s="1"/>
      <c r="AX1565" s="1"/>
      <c r="AY1565" s="1"/>
      <c r="AZ1565" s="1"/>
      <c r="BA1565" s="1"/>
      <c r="BB1565" s="1"/>
      <c r="BC1565" s="1"/>
      <c r="BD1565" s="1"/>
      <c r="BE1565" s="1"/>
      <c r="BF1565" s="1"/>
      <c r="BG1565" s="1"/>
      <c r="BH1565" s="1"/>
      <c r="BI1565" s="1"/>
      <c r="BJ1565" s="1"/>
      <c r="BK1565" s="1"/>
      <c r="BL1565" s="1"/>
      <c r="BM1565" s="1"/>
      <c r="BN1565" s="1"/>
      <c r="BO1565" s="1"/>
      <c r="BP1565" s="1"/>
      <c r="BQ1565" s="1"/>
      <c r="BR1565" s="1"/>
      <c r="BS1565" s="1"/>
      <c r="BT1565" s="1"/>
      <c r="BU1565" s="1"/>
      <c r="BV1565" s="1"/>
      <c r="BW1565" s="1"/>
      <c r="BX1565" s="1"/>
      <c r="BY1565" s="1"/>
      <c r="BZ1565" s="1"/>
      <c r="CA1565" s="1"/>
      <c r="CB1565" s="1"/>
      <c r="CC1565" s="1"/>
      <c r="CD1565" s="1"/>
      <c r="CE1565" s="1"/>
      <c r="CF1565" s="1"/>
      <c r="CG1565" s="1"/>
      <c r="CH1565" s="1"/>
      <c r="CI1565" s="1"/>
      <c r="CJ1565" s="1"/>
      <c r="CK1565" s="1"/>
      <c r="CL1565" s="1"/>
      <c r="CM1565" s="1"/>
      <c r="CN1565" s="1"/>
      <c r="CO1565" s="1"/>
      <c r="CP1565" s="1"/>
      <c r="CQ1565" s="1"/>
      <c r="CR1565" s="1"/>
      <c r="CS1565" s="1"/>
      <c r="CT1565" s="1"/>
      <c r="CU1565" s="1"/>
      <c r="CV1565" s="1"/>
      <c r="CW1565" s="1"/>
      <c r="CX1565" s="1"/>
      <c r="CY1565" s="1"/>
      <c r="CZ1565" s="1"/>
      <c r="DA1565" s="1"/>
      <c r="DB1565" s="1"/>
      <c r="DC1565" s="1"/>
      <c r="DD1565" s="1"/>
      <c r="DE1565" s="1"/>
      <c r="DF1565" s="1"/>
      <c r="DG1565" s="1"/>
      <c r="DH1565" s="1"/>
      <c r="DI1565" s="1"/>
      <c r="DJ1565" s="1"/>
      <c r="DK1565" s="1"/>
      <c r="DL1565" s="1"/>
      <c r="DM1565" s="1"/>
      <c r="DN1565" s="1"/>
      <c r="DO1565" s="1"/>
      <c r="DP1565" s="1"/>
      <c r="DQ1565" s="1"/>
      <c r="DR1565" s="1"/>
      <c r="DS1565" s="1"/>
      <c r="DT1565" s="1"/>
      <c r="DU1565" s="1"/>
      <c r="DV1565" s="1"/>
      <c r="DW1565" s="1"/>
      <c r="DX1565" s="1"/>
      <c r="DY1565" s="1"/>
      <c r="DZ1565" s="1"/>
      <c r="EA1565" s="1"/>
      <c r="EB1565" s="1"/>
      <c r="EC1565" s="1"/>
      <c r="ED1565" s="1"/>
      <c r="EE1565" s="1"/>
      <c r="EF1565" s="1"/>
      <c r="EG1565" s="1"/>
      <c r="EH1565" s="1"/>
      <c r="EI1565" s="1"/>
      <c r="EJ1565" s="1"/>
      <c r="EK1565" s="1"/>
      <c r="EL1565" s="1"/>
      <c r="EM1565" s="1"/>
      <c r="EN1565" s="1"/>
      <c r="EO1565" s="1"/>
      <c r="EP1565" s="1"/>
      <c r="EQ1565" s="1"/>
      <c r="ER1565" s="1"/>
      <c r="ES1565" s="1"/>
      <c r="ET1565" s="1"/>
      <c r="EU1565" s="1"/>
      <c r="EV1565" s="1"/>
      <c r="EW1565" s="1"/>
      <c r="EX1565" s="1"/>
      <c r="EY1565" s="1"/>
      <c r="EZ1565" s="1"/>
      <c r="FA1565" s="1"/>
      <c r="FB1565" s="1"/>
      <c r="FC1565" s="1"/>
      <c r="FD1565" s="1"/>
      <c r="FE1565" s="1"/>
      <c r="FF1565" s="1"/>
      <c r="FG1565" s="1"/>
      <c r="FH1565" s="1"/>
      <c r="FI1565" s="1"/>
      <c r="FJ1565" s="1"/>
      <c r="FK1565" s="1"/>
      <c r="FL1565" s="1"/>
      <c r="FM1565" s="1"/>
      <c r="FN1565" s="1"/>
      <c r="FO1565" s="1"/>
      <c r="FP1565" s="1"/>
      <c r="FQ1565" s="1"/>
      <c r="FR1565" s="1"/>
      <c r="FS1565" s="1"/>
      <c r="FT1565" s="1"/>
      <c r="FU1565" s="1"/>
      <c r="FV1565" s="1"/>
      <c r="FW1565" s="1"/>
      <c r="FX1565" s="1"/>
      <c r="FY1565" s="1"/>
      <c r="FZ1565" s="1"/>
      <c r="GA1565" s="1"/>
      <c r="GB1565" s="1"/>
      <c r="GC1565" s="1"/>
      <c r="GD1565" s="1"/>
      <c r="GE1565" s="1"/>
      <c r="GF1565" s="1"/>
      <c r="GG1565" s="1"/>
      <c r="GH1565" s="1"/>
      <c r="GI1565" s="1"/>
      <c r="GJ1565" s="1"/>
      <c r="GK1565" s="1"/>
      <c r="GL1565" s="1"/>
      <c r="GM1565" s="1"/>
      <c r="GN1565" s="1"/>
      <c r="GO1565" s="1"/>
      <c r="GP1565" s="1"/>
      <c r="GQ1565" s="1"/>
      <c r="GR1565" s="1"/>
      <c r="GS1565" s="1"/>
      <c r="GT1565" s="1"/>
      <c r="GU1565" s="1"/>
      <c r="GV1565" s="1"/>
      <c r="GW1565" s="1"/>
      <c r="GX1565" s="1"/>
      <c r="GY1565" s="1"/>
      <c r="GZ1565" s="1"/>
      <c r="HA1565" s="1"/>
      <c r="HB1565" s="1"/>
      <c r="HC1565" s="1"/>
      <c r="HD1565" s="1"/>
      <c r="HE1565" s="1"/>
      <c r="HF1565" s="1"/>
      <c r="HG1565" s="1"/>
      <c r="HH1565" s="1"/>
      <c r="HI1565" s="1"/>
      <c r="HJ1565" s="1"/>
      <c r="HK1565" s="1"/>
      <c r="HL1565" s="1"/>
      <c r="HM1565" s="1"/>
      <c r="HN1565" s="1"/>
      <c r="HO1565" s="1"/>
      <c r="HP1565" s="1"/>
      <c r="HQ1565" s="1"/>
      <c r="HR1565" s="1"/>
      <c r="HS1565" s="1"/>
      <c r="HT1565" s="1"/>
      <c r="HU1565" s="1"/>
      <c r="HV1565" s="1"/>
      <c r="HW1565" s="1"/>
      <c r="HX1565" s="1"/>
      <c r="HY1565" s="1"/>
      <c r="HZ1565" s="1"/>
      <c r="IA1565" s="1"/>
      <c r="IB1565" s="1"/>
      <c r="IC1565" s="1"/>
      <c r="ID1565" s="1"/>
      <c r="IE1565" s="1"/>
      <c r="IF1565" s="1"/>
      <c r="IG1565" s="1"/>
      <c r="IH1565" s="1"/>
      <c r="II1565" s="1"/>
    </row>
    <row r="1566" spans="1:243" s="2064" customFormat="1">
      <c r="C1566" s="2078"/>
      <c r="D1566" s="2553" t="s">
        <v>3718</v>
      </c>
      <c r="E1566" s="1053"/>
      <c r="F1566" s="1053"/>
      <c r="G1566" s="1053"/>
      <c r="H1566" s="1053"/>
      <c r="I1566" s="1053"/>
      <c r="J1566" s="1053"/>
      <c r="K1566" s="1053"/>
      <c r="L1566" s="1053"/>
      <c r="M1566" s="1053"/>
      <c r="N1566" s="1053"/>
      <c r="O1566" s="1053"/>
      <c r="P1566" s="1053"/>
      <c r="Q1566" s="1053"/>
      <c r="R1566" s="1053"/>
      <c r="S1566" s="1053"/>
      <c r="T1566" s="1053"/>
      <c r="U1566" s="1053"/>
      <c r="V1566" s="2421">
        <f t="shared" ref="V1566:AF1566" si="1967">V1479/V$421</f>
        <v>0</v>
      </c>
      <c r="W1566" s="2421">
        <f t="shared" si="1967"/>
        <v>0</v>
      </c>
      <c r="X1566" s="2421">
        <f t="shared" si="1967"/>
        <v>-2.5608966417282516E-5</v>
      </c>
      <c r="Y1566" s="2421">
        <f t="shared" si="1967"/>
        <v>-2.524234494993333E-5</v>
      </c>
      <c r="Z1566" s="2421">
        <f t="shared" si="1967"/>
        <v>-2.0544406400171303E-5</v>
      </c>
      <c r="AA1566" s="2421">
        <f t="shared" si="1967"/>
        <v>-1.558043614603432E-5</v>
      </c>
      <c r="AB1566" s="2421">
        <f t="shared" si="1967"/>
        <v>-1.3197207812146014E-5</v>
      </c>
      <c r="AC1566" s="2421">
        <f t="shared" si="1967"/>
        <v>-1.1803981772134637E-5</v>
      </c>
      <c r="AD1566" s="2421">
        <f t="shared" si="1967"/>
        <v>-2.4322421021909003E-2</v>
      </c>
      <c r="AE1566" s="2421">
        <f t="shared" si="1967"/>
        <v>9.8964698296483286E-2</v>
      </c>
      <c r="AF1566" s="2421">
        <f t="shared" si="1967"/>
        <v>6.260333747304378E-2</v>
      </c>
      <c r="AG1566" s="2421">
        <f t="shared" ref="AG1566:AI1566" si="1968">AG1479/AG$421</f>
        <v>7.102551826315992E-2</v>
      </c>
      <c r="AH1566" s="2421">
        <f>AH1479/AH$421</f>
        <v>5.5482465046493318E-2</v>
      </c>
      <c r="AI1566" s="2421">
        <f t="shared" si="1968"/>
        <v>7.047926423428473E-2</v>
      </c>
      <c r="AJ1566" s="2421">
        <f>AJ1479/AJ$421</f>
        <v>6.2587685689553821E-2</v>
      </c>
      <c r="AK1566" s="2421">
        <f t="shared" ref="AK1566:AT1566" si="1969">AK1479/AK$421</f>
        <v>5.6104209676382133E-2</v>
      </c>
      <c r="AL1566" s="2421">
        <f t="shared" si="1969"/>
        <v>4.665684493393623E-2</v>
      </c>
      <c r="AM1566" s="2421">
        <f t="shared" si="1969"/>
        <v>3.4882285755360759E-2</v>
      </c>
      <c r="AN1566" s="2421">
        <f t="shared" si="1969"/>
        <v>2.6413622093746491E-2</v>
      </c>
      <c r="AO1566" s="2421">
        <f t="shared" si="1969"/>
        <v>1.9279411431409377E-2</v>
      </c>
      <c r="AP1566" s="2421">
        <f t="shared" si="1969"/>
        <v>2.149737358477433E-2</v>
      </c>
      <c r="AQ1566" s="2421">
        <f t="shared" si="1969"/>
        <v>-7.5072974395593338E-3</v>
      </c>
      <c r="AR1566" s="2421">
        <f t="shared" si="1969"/>
        <v>3.8107691273672451E-3</v>
      </c>
      <c r="AS1566" s="2421">
        <f t="shared" si="1969"/>
        <v>2.0440238698609167E-3</v>
      </c>
      <c r="AT1566" s="2707">
        <f t="shared" si="1969"/>
        <v>1.1673389485228591E-5</v>
      </c>
      <c r="AU1566" s="1"/>
      <c r="AV1566" s="1"/>
      <c r="AW1566" s="1"/>
      <c r="AX1566" s="1"/>
      <c r="AY1566" s="1"/>
      <c r="AZ1566" s="1"/>
      <c r="BA1566" s="1"/>
      <c r="BB1566" s="1"/>
      <c r="BC1566" s="1"/>
      <c r="BD1566" s="1"/>
      <c r="BE1566" s="1"/>
      <c r="BF1566" s="1"/>
      <c r="BG1566" s="1"/>
      <c r="BH1566" s="1"/>
      <c r="BI1566" s="1"/>
      <c r="BJ1566" s="1"/>
      <c r="BK1566" s="1"/>
      <c r="BL1566" s="1"/>
      <c r="BM1566" s="1"/>
      <c r="BN1566" s="1"/>
      <c r="BO1566" s="1"/>
      <c r="BP1566" s="1"/>
      <c r="BQ1566" s="1"/>
      <c r="BR1566" s="1"/>
      <c r="BS1566" s="1"/>
      <c r="BT1566" s="1"/>
      <c r="BU1566" s="1"/>
      <c r="BV1566" s="1"/>
      <c r="BW1566" s="1"/>
      <c r="BX1566" s="1"/>
      <c r="BY1566" s="1"/>
      <c r="BZ1566" s="1"/>
      <c r="CA1566" s="1"/>
      <c r="CB1566" s="1"/>
      <c r="CC1566" s="1"/>
      <c r="CD1566" s="1"/>
      <c r="CE1566" s="1"/>
      <c r="CF1566" s="1"/>
      <c r="CG1566" s="1"/>
      <c r="CH1566" s="1"/>
      <c r="CI1566" s="1"/>
      <c r="CJ1566" s="1"/>
      <c r="CK1566" s="1"/>
      <c r="CL1566" s="1"/>
      <c r="CM1566" s="1"/>
      <c r="CN1566" s="1"/>
      <c r="CO1566" s="1"/>
      <c r="CP1566" s="1"/>
      <c r="CQ1566" s="1"/>
      <c r="CR1566" s="1"/>
      <c r="CS1566" s="1"/>
      <c r="CT1566" s="1"/>
      <c r="CU1566" s="1"/>
      <c r="CV1566" s="1"/>
      <c r="CW1566" s="1"/>
      <c r="CX1566" s="1"/>
      <c r="CY1566" s="1"/>
      <c r="CZ1566" s="1"/>
      <c r="DA1566" s="1"/>
      <c r="DB1566" s="1"/>
      <c r="DC1566" s="1"/>
      <c r="DD1566" s="1"/>
      <c r="DE1566" s="1"/>
      <c r="DF1566" s="1"/>
      <c r="DG1566" s="1"/>
      <c r="DH1566" s="1"/>
      <c r="DI1566" s="1"/>
      <c r="DJ1566" s="1"/>
      <c r="DK1566" s="1"/>
      <c r="DL1566" s="1"/>
      <c r="DM1566" s="1"/>
      <c r="DN1566" s="1"/>
      <c r="DO1566" s="1"/>
      <c r="DP1566" s="1"/>
      <c r="DQ1566" s="1"/>
      <c r="DR1566" s="1"/>
      <c r="DS1566" s="1"/>
      <c r="DT1566" s="1"/>
      <c r="DU1566" s="1"/>
      <c r="DV1566" s="1"/>
      <c r="DW1566" s="1"/>
      <c r="DX1566" s="1"/>
      <c r="DY1566" s="1"/>
      <c r="DZ1566" s="1"/>
      <c r="EA1566" s="1"/>
      <c r="EB1566" s="1"/>
      <c r="EC1566" s="1"/>
      <c r="ED1566" s="1"/>
      <c r="EE1566" s="1"/>
      <c r="EF1566" s="1"/>
      <c r="EG1566" s="1"/>
      <c r="EH1566" s="1"/>
      <c r="EI1566" s="1"/>
      <c r="EJ1566" s="1"/>
      <c r="EK1566" s="1"/>
      <c r="EL1566" s="1"/>
      <c r="EM1566" s="1"/>
      <c r="EN1566" s="1"/>
      <c r="EO1566" s="1"/>
      <c r="EP1566" s="1"/>
      <c r="EQ1566" s="1"/>
      <c r="ER1566" s="1"/>
      <c r="ES1566" s="1"/>
      <c r="ET1566" s="1"/>
      <c r="EU1566" s="1"/>
      <c r="EV1566" s="1"/>
      <c r="EW1566" s="1"/>
      <c r="EX1566" s="1"/>
      <c r="EY1566" s="1"/>
      <c r="EZ1566" s="1"/>
      <c r="FA1566" s="1"/>
      <c r="FB1566" s="1"/>
      <c r="FC1566" s="1"/>
      <c r="FD1566" s="1"/>
      <c r="FE1566" s="1"/>
      <c r="FF1566" s="1"/>
      <c r="FG1566" s="1"/>
      <c r="FH1566" s="1"/>
      <c r="FI1566" s="1"/>
      <c r="FJ1566" s="1"/>
      <c r="FK1566" s="1"/>
      <c r="FL1566" s="1"/>
      <c r="FM1566" s="1"/>
      <c r="FN1566" s="1"/>
      <c r="FO1566" s="1"/>
      <c r="FP1566" s="1"/>
      <c r="FQ1566" s="1"/>
      <c r="FR1566" s="1"/>
      <c r="FS1566" s="1"/>
      <c r="FT1566" s="1"/>
      <c r="FU1566" s="1"/>
      <c r="FV1566" s="1"/>
      <c r="FW1566" s="1"/>
      <c r="FX1566" s="1"/>
      <c r="FY1566" s="1"/>
      <c r="FZ1566" s="1"/>
      <c r="GA1566" s="1"/>
      <c r="GB1566" s="1"/>
      <c r="GC1566" s="1"/>
      <c r="GD1566" s="1"/>
      <c r="GE1566" s="1"/>
      <c r="GF1566" s="1"/>
      <c r="GG1566" s="1"/>
      <c r="GH1566" s="1"/>
      <c r="GI1566" s="1"/>
      <c r="GJ1566" s="1"/>
      <c r="GK1566" s="1"/>
      <c r="GL1566" s="1"/>
      <c r="GM1566" s="1"/>
      <c r="GN1566" s="1"/>
      <c r="GO1566" s="1"/>
      <c r="GP1566" s="1"/>
      <c r="GQ1566" s="1"/>
      <c r="GR1566" s="1"/>
      <c r="GS1566" s="1"/>
      <c r="GT1566" s="1"/>
      <c r="GU1566" s="1"/>
      <c r="GV1566" s="1"/>
      <c r="GW1566" s="1"/>
      <c r="GX1566" s="1"/>
      <c r="GY1566" s="1"/>
      <c r="GZ1566" s="1"/>
      <c r="HA1566" s="1"/>
      <c r="HB1566" s="1"/>
      <c r="HC1566" s="1"/>
      <c r="HD1566" s="1"/>
      <c r="HE1566" s="1"/>
      <c r="HF1566" s="1"/>
      <c r="HG1566" s="1"/>
      <c r="HH1566" s="1"/>
      <c r="HI1566" s="1"/>
      <c r="HJ1566" s="1"/>
      <c r="HK1566" s="1"/>
      <c r="HL1566" s="1"/>
      <c r="HM1566" s="1"/>
      <c r="HN1566" s="1"/>
      <c r="HO1566" s="1"/>
      <c r="HP1566" s="1"/>
      <c r="HQ1566" s="1"/>
      <c r="HR1566" s="1"/>
      <c r="HS1566" s="1"/>
      <c r="HT1566" s="1"/>
      <c r="HU1566" s="1"/>
      <c r="HV1566" s="1"/>
      <c r="HW1566" s="1"/>
      <c r="HX1566" s="1"/>
      <c r="HY1566" s="1"/>
      <c r="HZ1566" s="1"/>
      <c r="IA1566" s="1"/>
      <c r="IB1566" s="1"/>
      <c r="IC1566" s="1"/>
      <c r="ID1566" s="1"/>
      <c r="IE1566" s="1"/>
      <c r="IF1566" s="1"/>
      <c r="IG1566" s="1"/>
      <c r="IH1566" s="1"/>
      <c r="II1566" s="1"/>
    </row>
    <row r="1567" spans="1:243">
      <c r="A1567" s="1"/>
      <c r="B1567" s="1"/>
      <c r="C1567" s="14"/>
      <c r="D1567" s="2529" t="s">
        <v>3506</v>
      </c>
      <c r="E1567" s="279"/>
      <c r="F1567" s="279"/>
      <c r="G1567" s="279"/>
      <c r="H1567" s="279"/>
      <c r="I1567" s="279"/>
      <c r="J1567" s="279"/>
      <c r="K1567" s="279"/>
      <c r="L1567" s="279"/>
      <c r="M1567" s="279"/>
      <c r="N1567" s="279"/>
      <c r="O1567" s="279"/>
      <c r="P1567" s="279"/>
      <c r="Q1567" s="279"/>
      <c r="R1567" s="279"/>
      <c r="S1567" s="279"/>
      <c r="T1567" s="279"/>
      <c r="U1567" s="279"/>
      <c r="V1567" s="279"/>
      <c r="W1567" s="279"/>
      <c r="X1567" s="279"/>
      <c r="Y1567" s="279"/>
      <c r="Z1567" s="279"/>
      <c r="AA1567" s="279"/>
      <c r="AB1567" s="279"/>
      <c r="AC1567" s="279"/>
      <c r="AD1567" s="279"/>
      <c r="AE1567" s="279"/>
      <c r="AF1567" s="1520"/>
      <c r="AG1567" s="1520"/>
      <c r="AH1567" s="1520"/>
      <c r="AI1567" s="1520"/>
      <c r="AL1567" s="14"/>
      <c r="AM1567" s="14"/>
      <c r="AN1567" s="14"/>
      <c r="AO1567" s="14"/>
      <c r="AP1567" s="14"/>
      <c r="AQ1567" s="14"/>
      <c r="AR1567" s="14"/>
      <c r="AS1567" s="14"/>
      <c r="AT1567" s="529"/>
    </row>
    <row r="1568" spans="1:243">
      <c r="A1568" s="1"/>
      <c r="B1568" s="1"/>
      <c r="C1568" s="14"/>
      <c r="D1568" s="2422" t="s">
        <v>3388</v>
      </c>
      <c r="E1568" s="279"/>
      <c r="F1568" s="279"/>
      <c r="G1568" s="279"/>
      <c r="H1568" s="279"/>
      <c r="I1568" s="279"/>
      <c r="J1568" s="279"/>
      <c r="K1568" s="279"/>
      <c r="L1568" s="279"/>
      <c r="M1568" s="279"/>
      <c r="N1568" s="279"/>
      <c r="O1568" s="279"/>
      <c r="P1568" s="279"/>
      <c r="Q1568" s="279"/>
      <c r="R1568" s="279"/>
      <c r="S1568" s="279"/>
      <c r="T1568" s="279"/>
      <c r="U1568" s="279"/>
      <c r="V1568" s="279"/>
      <c r="W1568" s="279"/>
      <c r="X1568" s="279"/>
      <c r="Y1568" s="279"/>
      <c r="Z1568" s="279"/>
      <c r="AA1568" s="279"/>
      <c r="AB1568" s="279"/>
      <c r="AC1568" s="279"/>
      <c r="AD1568" s="279"/>
      <c r="AE1568" s="1" t="str">
        <f>(IF(ABS(AE1541-AE1563+AE1565+AE1566)&gt;0.001,"check",""))</f>
        <v>check</v>
      </c>
      <c r="AF1568" s="1" t="str">
        <f>(IF(ABS(AF1541-AF1563+AF1565+AF1566)&gt;0.001,"check",""))</f>
        <v/>
      </c>
      <c r="AG1568" s="1" t="str">
        <f t="shared" ref="AG1568" si="1970">(IF(ABS(AG1541+AG1563+AG1565+AG1566)&gt;0.001,"check",""))</f>
        <v>check</v>
      </c>
      <c r="AH1568" s="1" t="str">
        <f>(IF(ABS(AH1541+AH1563+AH1565+AH1566)&gt;0.001,"check",""))</f>
        <v>check</v>
      </c>
      <c r="AI1568" s="1" t="str">
        <f>(IF(ABS(AI1541-AI1563+AI1565+AI1566)&gt;0.001,"check",""))</f>
        <v/>
      </c>
      <c r="AJ1568" s="1" t="str">
        <f t="shared" ref="AJ1568:AN1568" si="1971">(IF(ABS(AJ1541+AJ1563+AJ1565+AJ1566)&gt;0.001,"check",""))</f>
        <v/>
      </c>
      <c r="AK1568" s="1" t="str">
        <f t="shared" si="1971"/>
        <v/>
      </c>
      <c r="AL1568" s="1" t="str">
        <f t="shared" si="1971"/>
        <v/>
      </c>
      <c r="AM1568" s="1" t="str">
        <f t="shared" si="1971"/>
        <v/>
      </c>
      <c r="AN1568" s="1" t="str">
        <f t="shared" si="1971"/>
        <v/>
      </c>
      <c r="AO1568" s="14"/>
      <c r="AP1568" s="14"/>
      <c r="AQ1568" s="14"/>
      <c r="AR1568" s="14"/>
      <c r="AS1568" s="14"/>
      <c r="AT1568" s="529"/>
    </row>
    <row r="1569" spans="1:35">
      <c r="A1569" s="1"/>
      <c r="B1569" s="1"/>
      <c r="C1569" s="1"/>
      <c r="D1569" s="14"/>
      <c r="E1569" s="279"/>
      <c r="F1569" s="279"/>
      <c r="G1569" s="279"/>
      <c r="H1569" s="279"/>
      <c r="I1569" s="279"/>
      <c r="J1569" s="279"/>
      <c r="K1569" s="279"/>
      <c r="L1569" s="279"/>
      <c r="M1569" s="279"/>
      <c r="N1569" s="279"/>
      <c r="O1569" s="279"/>
      <c r="P1569" s="279"/>
      <c r="Q1569" s="279"/>
      <c r="R1569" s="279"/>
      <c r="S1569" s="279"/>
      <c r="T1569" s="279"/>
      <c r="U1569" s="279"/>
      <c r="V1569" s="279"/>
      <c r="W1569" s="279"/>
      <c r="X1569" s="279"/>
      <c r="Y1569" s="279"/>
      <c r="Z1569" s="279"/>
      <c r="AA1569" s="279"/>
      <c r="AB1569" s="279"/>
      <c r="AC1569" s="279"/>
      <c r="AD1569" s="279"/>
      <c r="AE1569" s="279"/>
      <c r="AF1569" s="279"/>
      <c r="AG1569" s="1520"/>
      <c r="AH1569" s="279"/>
      <c r="AI1569" s="279"/>
    </row>
    <row r="1570" spans="1:35" ht="15.9" thickBot="1">
      <c r="A1570" s="1"/>
      <c r="B1570" s="1"/>
      <c r="C1570" s="1"/>
      <c r="D1570" s="464" t="s">
        <v>639</v>
      </c>
      <c r="E1570" s="14"/>
      <c r="F1570" s="14"/>
      <c r="G1570" s="14"/>
      <c r="H1570" s="14"/>
      <c r="I1570" s="14"/>
      <c r="J1570" s="14"/>
      <c r="K1570" s="14"/>
      <c r="L1570" s="14"/>
      <c r="M1570" s="14"/>
      <c r="N1570" s="14"/>
      <c r="O1570" s="14"/>
      <c r="P1570" s="14"/>
      <c r="Q1570" s="14"/>
      <c r="R1570" s="14"/>
      <c r="S1570" s="14"/>
      <c r="T1570" s="14"/>
      <c r="U1570" s="14"/>
      <c r="V1570" s="1253"/>
      <c r="W1570" s="1253"/>
      <c r="X1570" s="14"/>
      <c r="Y1570" s="14"/>
      <c r="Z1570" s="14"/>
      <c r="AA1570" s="14"/>
      <c r="AB1570" s="14"/>
      <c r="AC1570" s="14"/>
      <c r="AD1570" s="14"/>
      <c r="AE1570" s="14"/>
    </row>
    <row r="1571" spans="1:35">
      <c r="A1571" s="1"/>
      <c r="B1571" s="1"/>
      <c r="C1571" s="1"/>
      <c r="D1571" s="378" t="s">
        <v>895</v>
      </c>
      <c r="E1571" s="379"/>
      <c r="F1571" s="379"/>
      <c r="G1571" s="379"/>
      <c r="H1571" s="379"/>
      <c r="I1571" s="379"/>
      <c r="J1571" s="379"/>
      <c r="K1571" s="379"/>
      <c r="L1571" s="379"/>
      <c r="M1571" s="379"/>
      <c r="N1571" s="379"/>
      <c r="O1571" s="379"/>
      <c r="P1571" s="379"/>
      <c r="Q1571" s="379"/>
      <c r="R1571" s="379"/>
      <c r="S1571" s="379"/>
      <c r="T1571" s="379"/>
      <c r="U1571" s="379"/>
      <c r="V1571" s="379"/>
      <c r="W1571" s="379"/>
      <c r="X1571" s="379"/>
      <c r="Y1571" s="457" t="str">
        <f>+Z302</f>
        <v>2014/15</v>
      </c>
      <c r="Z1571" s="380" t="s">
        <v>178</v>
      </c>
      <c r="AA1571" s="380" t="str">
        <f>+AA302</f>
        <v>2015/16</v>
      </c>
      <c r="AB1571" s="380" t="str">
        <f>+AB302</f>
        <v>2016/17</v>
      </c>
      <c r="AC1571" s="380" t="str">
        <f>+AC302</f>
        <v>2017/18</v>
      </c>
      <c r="AD1571" s="380" t="str">
        <f>+AD302</f>
        <v>2018/19</v>
      </c>
      <c r="AE1571" s="381"/>
    </row>
    <row r="1572" spans="1:35">
      <c r="A1572" s="1"/>
      <c r="B1572" s="1"/>
      <c r="C1572" s="1"/>
      <c r="D1572" s="382"/>
      <c r="E1572" s="383"/>
      <c r="F1572" s="383"/>
      <c r="G1572" s="383"/>
      <c r="H1572" s="383"/>
      <c r="I1572" s="383"/>
      <c r="J1572" s="383"/>
      <c r="K1572" s="383"/>
      <c r="L1572" s="383"/>
      <c r="M1572" s="383"/>
      <c r="N1572" s="383"/>
      <c r="O1572" s="383"/>
      <c r="P1572" s="383"/>
      <c r="Q1572" s="383"/>
      <c r="R1572" s="383"/>
      <c r="S1572" s="383"/>
      <c r="T1572" s="383"/>
      <c r="U1572" s="383"/>
      <c r="V1572" s="383"/>
      <c r="W1572" s="383"/>
      <c r="X1572" s="383"/>
      <c r="Y1572" s="458"/>
      <c r="Z1572" s="384" t="s">
        <v>1086</v>
      </c>
      <c r="AA1572" s="384" t="s">
        <v>748</v>
      </c>
      <c r="AB1572" s="384"/>
      <c r="AC1572" s="384"/>
      <c r="AD1572" s="384"/>
      <c r="AE1572" s="385"/>
    </row>
    <row r="1573" spans="1:35">
      <c r="A1573" s="1"/>
      <c r="B1573" s="1"/>
      <c r="C1573" s="1"/>
      <c r="D1573" s="399" t="s">
        <v>582</v>
      </c>
      <c r="E1573" s="383"/>
      <c r="F1573" s="383"/>
      <c r="G1573" s="383"/>
      <c r="H1573" s="383"/>
      <c r="I1573" s="383"/>
      <c r="J1573" s="383"/>
      <c r="K1573" s="383"/>
      <c r="L1573" s="383"/>
      <c r="M1573" s="383"/>
      <c r="N1573" s="383"/>
      <c r="O1573" s="383"/>
      <c r="P1573" s="383"/>
      <c r="Q1573" s="383"/>
      <c r="R1573" s="383"/>
      <c r="S1573" s="383"/>
      <c r="T1573" s="383"/>
      <c r="U1573" s="383"/>
      <c r="V1573" s="383"/>
      <c r="W1573" s="383"/>
      <c r="X1573" s="383"/>
      <c r="Y1573" s="458"/>
      <c r="Z1573" s="386"/>
      <c r="AA1573" s="386"/>
      <c r="AB1573" s="386"/>
      <c r="AC1573" s="386"/>
      <c r="AD1573" s="386"/>
      <c r="AE1573" s="387"/>
    </row>
    <row r="1574" spans="1:35">
      <c r="A1574" s="1"/>
      <c r="B1574" s="1"/>
      <c r="C1574" s="1"/>
      <c r="D1574" s="388"/>
      <c r="E1574" s="383"/>
      <c r="F1574" s="383"/>
      <c r="G1574" s="383"/>
      <c r="H1574" s="383"/>
      <c r="I1574" s="383"/>
      <c r="J1574" s="383"/>
      <c r="K1574" s="383"/>
      <c r="L1574" s="383"/>
      <c r="M1574" s="383"/>
      <c r="N1574" s="383"/>
      <c r="O1574" s="383"/>
      <c r="P1574" s="383"/>
      <c r="Q1574" s="383"/>
      <c r="R1574" s="383"/>
      <c r="S1574" s="383"/>
      <c r="T1574" s="383"/>
      <c r="U1574" s="383"/>
      <c r="V1574" s="383"/>
      <c r="W1574" s="383"/>
      <c r="X1574" s="383"/>
      <c r="Y1574" s="459"/>
      <c r="Z1574" s="386"/>
      <c r="AA1574" s="386"/>
      <c r="AB1574" s="386"/>
      <c r="AC1574" s="386"/>
      <c r="AD1574" s="386"/>
      <c r="AE1574" s="387"/>
    </row>
    <row r="1575" spans="1:35">
      <c r="A1575" s="1"/>
      <c r="B1575" s="1"/>
      <c r="C1575" s="1"/>
      <c r="D1575" s="390" t="s">
        <v>583</v>
      </c>
      <c r="E1575" s="383"/>
      <c r="F1575" s="383"/>
      <c r="G1575" s="383"/>
      <c r="H1575" s="383"/>
      <c r="I1575" s="383"/>
      <c r="J1575" s="383"/>
      <c r="K1575" s="383"/>
      <c r="L1575" s="383"/>
      <c r="M1575" s="383"/>
      <c r="N1575" s="383"/>
      <c r="O1575" s="383"/>
      <c r="P1575" s="383"/>
      <c r="Q1575" s="383"/>
      <c r="R1575" s="383"/>
      <c r="S1575" s="383"/>
      <c r="T1575" s="383"/>
      <c r="U1575" s="383"/>
      <c r="V1575" s="383"/>
      <c r="W1575" s="383"/>
      <c r="X1575" s="383"/>
      <c r="Y1575" s="459">
        <f>+Y1576+Y1582</f>
        <v>941.60535761634821</v>
      </c>
      <c r="Z1575" s="389">
        <v>1104.0899314562478</v>
      </c>
      <c r="AA1575" s="389">
        <f>+AA1576+AA1582</f>
        <v>1004.645245445</v>
      </c>
      <c r="AB1575" s="389">
        <f>+AB1576+AB1582</f>
        <v>1237.6919664336174</v>
      </c>
      <c r="AC1575" s="389">
        <f>+AC1576+AC1582</f>
        <v>1407.7210520204962</v>
      </c>
      <c r="AD1575" s="389">
        <f>+AD1576+AD1582</f>
        <v>1458.5648061903751</v>
      </c>
      <c r="AE1575" s="387"/>
    </row>
    <row r="1576" spans="1:35">
      <c r="A1576" s="1"/>
      <c r="B1576" s="1"/>
      <c r="C1576" s="1"/>
      <c r="D1576" s="391" t="s">
        <v>117</v>
      </c>
      <c r="E1576" s="383"/>
      <c r="F1576" s="383"/>
      <c r="G1576" s="383"/>
      <c r="H1576" s="383"/>
      <c r="I1576" s="383"/>
      <c r="J1576" s="383"/>
      <c r="K1576" s="383"/>
      <c r="L1576" s="383"/>
      <c r="M1576" s="383"/>
      <c r="N1576" s="383"/>
      <c r="O1576" s="383"/>
      <c r="P1576" s="383"/>
      <c r="Q1576" s="383"/>
      <c r="R1576" s="383"/>
      <c r="S1576" s="383"/>
      <c r="T1576" s="383"/>
      <c r="U1576" s="383"/>
      <c r="V1576" s="383"/>
      <c r="W1576" s="383"/>
      <c r="X1576" s="383"/>
      <c r="Y1576" s="460">
        <f>+Y1578+Y1580+Y1581</f>
        <v>858.35680195800001</v>
      </c>
      <c r="Z1576" s="386">
        <v>975.21443340861276</v>
      </c>
      <c r="AA1576" s="386">
        <f>+AA1578+AA1580+AA1581</f>
        <v>986.67224544500004</v>
      </c>
      <c r="AB1576" s="386">
        <f>+AB1578+AB1580+AB1581</f>
        <v>1086.7026040552373</v>
      </c>
      <c r="AC1576" s="386">
        <f>+AC1578+AC1580+AC1581</f>
        <v>1234.0525166606189</v>
      </c>
      <c r="AD1576" s="386">
        <f>+AD1578+AD1580+AD1581</f>
        <v>1399.4219853012751</v>
      </c>
      <c r="AE1576" s="387"/>
    </row>
    <row r="1577" spans="1:35">
      <c r="A1577" s="1"/>
      <c r="B1577" s="1"/>
      <c r="C1577" s="1"/>
      <c r="D1577" s="392" t="s">
        <v>118</v>
      </c>
      <c r="E1577" s="383"/>
      <c r="F1577" s="383"/>
      <c r="G1577" s="383"/>
      <c r="H1577" s="383"/>
      <c r="I1577" s="383"/>
      <c r="J1577" s="383"/>
      <c r="K1577" s="383"/>
      <c r="L1577" s="383"/>
      <c r="M1577" s="383"/>
      <c r="N1577" s="383"/>
      <c r="O1577" s="383"/>
      <c r="P1577" s="383"/>
      <c r="Q1577" s="383"/>
      <c r="R1577" s="383"/>
      <c r="S1577" s="383"/>
      <c r="T1577" s="383"/>
      <c r="U1577" s="383"/>
      <c r="V1577" s="383"/>
      <c r="W1577" s="383"/>
      <c r="X1577" s="383"/>
      <c r="Y1577" s="460"/>
      <c r="Z1577" s="386"/>
      <c r="AA1577" s="386"/>
      <c r="AB1577" s="386"/>
      <c r="AC1577" s="386"/>
      <c r="AD1577" s="386"/>
      <c r="AE1577" s="387"/>
    </row>
    <row r="1578" spans="1:35">
      <c r="A1578" s="1"/>
      <c r="B1578" s="1"/>
      <c r="C1578" s="1"/>
      <c r="D1578" s="393" t="s">
        <v>1071</v>
      </c>
      <c r="E1578" s="383"/>
      <c r="F1578" s="383"/>
      <c r="G1578" s="383"/>
      <c r="H1578" s="383"/>
      <c r="I1578" s="383"/>
      <c r="J1578" s="383"/>
      <c r="K1578" s="383"/>
      <c r="L1578" s="383"/>
      <c r="M1578" s="383"/>
      <c r="N1578" s="383"/>
      <c r="O1578" s="383"/>
      <c r="P1578" s="383"/>
      <c r="Q1578" s="383"/>
      <c r="R1578" s="383"/>
      <c r="S1578" s="383"/>
      <c r="T1578" s="383"/>
      <c r="U1578" s="383"/>
      <c r="V1578" s="383"/>
      <c r="W1578" s="383"/>
      <c r="X1578" s="383"/>
      <c r="Y1578" s="460">
        <f>+Z748-Y1579</f>
        <v>362.5</v>
      </c>
      <c r="Z1578" s="386">
        <f>413.7-Z1579</f>
        <v>387.59999999999997</v>
      </c>
      <c r="AA1578" s="386">
        <f>+AA748-AA1579</f>
        <v>392.51720030414339</v>
      </c>
      <c r="AB1578" s="386">
        <f>+AB748-AB1579</f>
        <v>450.94295397991726</v>
      </c>
      <c r="AC1578" s="386">
        <f>+AC748-AC1579</f>
        <v>519.86378696448003</v>
      </c>
      <c r="AD1578" s="386">
        <f>+AD748-AD1579</f>
        <v>597.71460828993997</v>
      </c>
      <c r="AE1578" s="387"/>
    </row>
    <row r="1579" spans="1:35">
      <c r="A1579" s="1"/>
      <c r="B1579" s="1"/>
      <c r="C1579" s="1"/>
      <c r="D1579" s="392" t="s">
        <v>1075</v>
      </c>
      <c r="E1579" s="383"/>
      <c r="F1579" s="383"/>
      <c r="G1579" s="383"/>
      <c r="H1579" s="383"/>
      <c r="I1579" s="383"/>
      <c r="J1579" s="383"/>
      <c r="K1579" s="383"/>
      <c r="L1579" s="383"/>
      <c r="M1579" s="383"/>
      <c r="N1579" s="383"/>
      <c r="O1579" s="383"/>
      <c r="P1579" s="383"/>
      <c r="Q1579" s="383"/>
      <c r="R1579" s="383"/>
      <c r="S1579" s="383"/>
      <c r="T1579" s="383"/>
      <c r="U1579" s="383"/>
      <c r="V1579" s="383"/>
      <c r="W1579" s="383"/>
      <c r="X1579" s="383"/>
      <c r="Y1579" s="460">
        <f>+Z749</f>
        <v>13.2</v>
      </c>
      <c r="Z1579" s="932">
        <v>26.1</v>
      </c>
      <c r="AA1579" s="932">
        <f>+AA749</f>
        <v>13.641704387109074</v>
      </c>
      <c r="AB1579" s="932">
        <f>+AB749</f>
        <v>17.44054101961876</v>
      </c>
      <c r="AC1579" s="932">
        <f>+AC749</f>
        <v>18.831114429223977</v>
      </c>
      <c r="AD1579" s="932">
        <f>+AD749</f>
        <v>19.368797178000005</v>
      </c>
      <c r="AE1579" s="387"/>
    </row>
    <row r="1580" spans="1:35">
      <c r="A1580" s="1"/>
      <c r="B1580" s="1"/>
      <c r="C1580" s="1"/>
      <c r="D1580" s="393" t="s">
        <v>121</v>
      </c>
      <c r="E1580" s="383"/>
      <c r="F1580" s="383"/>
      <c r="G1580" s="383"/>
      <c r="H1580" s="383"/>
      <c r="I1580" s="383"/>
      <c r="J1580" s="383"/>
      <c r="K1580" s="383"/>
      <c r="L1580" s="383"/>
      <c r="M1580" s="383"/>
      <c r="N1580" s="383"/>
      <c r="O1580" s="383"/>
      <c r="P1580" s="383"/>
      <c r="Q1580" s="383"/>
      <c r="R1580" s="383"/>
      <c r="S1580" s="383"/>
      <c r="T1580" s="383"/>
      <c r="U1580" s="383"/>
      <c r="V1580" s="383"/>
      <c r="W1580" s="383"/>
      <c r="X1580" s="383"/>
      <c r="Y1580" s="460">
        <f>+Z751</f>
        <v>432.4</v>
      </c>
      <c r="Z1580" s="386">
        <v>486.35</v>
      </c>
      <c r="AA1580" s="386">
        <f>+AA751</f>
        <v>510.26995810122003</v>
      </c>
      <c r="AB1580" s="386">
        <f>+AB751</f>
        <v>544.55577678631994</v>
      </c>
      <c r="AC1580" s="386">
        <f>+AC751</f>
        <v>616.05744956113881</v>
      </c>
      <c r="AD1580" s="386">
        <f>+AD751</f>
        <v>689.97955689239006</v>
      </c>
      <c r="AE1580" s="387"/>
    </row>
    <row r="1581" spans="1:35">
      <c r="A1581" s="1"/>
      <c r="B1581" s="1"/>
      <c r="C1581" s="1"/>
      <c r="D1581" s="393" t="s">
        <v>123</v>
      </c>
      <c r="E1581" s="383"/>
      <c r="F1581" s="383"/>
      <c r="G1581" s="383"/>
      <c r="H1581" s="383"/>
      <c r="I1581" s="383"/>
      <c r="J1581" s="383"/>
      <c r="K1581" s="383"/>
      <c r="L1581" s="383"/>
      <c r="M1581" s="383"/>
      <c r="N1581" s="383"/>
      <c r="O1581" s="383"/>
      <c r="P1581" s="383"/>
      <c r="Q1581" s="383"/>
      <c r="R1581" s="383"/>
      <c r="S1581" s="383"/>
      <c r="T1581" s="383"/>
      <c r="U1581" s="383"/>
      <c r="V1581" s="383"/>
      <c r="W1581" s="383"/>
      <c r="X1581" s="383"/>
      <c r="Y1581" s="460">
        <f>+Z758</f>
        <v>63.456801958</v>
      </c>
      <c r="Z1581" s="386">
        <v>75.16443340861278</v>
      </c>
      <c r="AA1581" s="386">
        <f>+AA758</f>
        <v>83.885087039636574</v>
      </c>
      <c r="AB1581" s="386">
        <f>+AB758</f>
        <v>91.203873289000001</v>
      </c>
      <c r="AC1581" s="386">
        <f>+AC758</f>
        <v>98.131280134999997</v>
      </c>
      <c r="AD1581" s="386">
        <f>+AD758</f>
        <v>111.72782011894525</v>
      </c>
      <c r="AE1581" s="387"/>
    </row>
    <row r="1582" spans="1:35">
      <c r="A1582" s="1"/>
      <c r="B1582" s="1"/>
      <c r="C1582" s="1"/>
      <c r="D1582" s="391" t="s">
        <v>1072</v>
      </c>
      <c r="E1582" s="383"/>
      <c r="F1582" s="383"/>
      <c r="G1582" s="383"/>
      <c r="H1582" s="383"/>
      <c r="I1582" s="383"/>
      <c r="J1582" s="383"/>
      <c r="K1582" s="383"/>
      <c r="L1582" s="383"/>
      <c r="M1582" s="383"/>
      <c r="N1582" s="383"/>
      <c r="O1582" s="383"/>
      <c r="P1582" s="383"/>
      <c r="Q1582" s="383"/>
      <c r="R1582" s="383"/>
      <c r="S1582" s="383"/>
      <c r="T1582" s="383"/>
      <c r="U1582" s="383"/>
      <c r="V1582" s="383"/>
      <c r="W1582" s="383"/>
      <c r="X1582" s="383"/>
      <c r="Y1582" s="386">
        <f>+Y763-Y1583</f>
        <v>83.248555658348181</v>
      </c>
      <c r="Z1582" s="386">
        <f>128.875498047635-Z1583</f>
        <v>99.475498047635</v>
      </c>
      <c r="AA1582" s="386">
        <f>+AA763-AA1583</f>
        <v>17.973000000000003</v>
      </c>
      <c r="AB1582" s="386">
        <f>+AB763-AB1583</f>
        <v>150.98936237838018</v>
      </c>
      <c r="AC1582" s="386">
        <f>+AC763-AC1583</f>
        <v>173.66853535987732</v>
      </c>
      <c r="AD1582" s="386">
        <f>+AD763-AD1583</f>
        <v>59.142820889099994</v>
      </c>
      <c r="AE1582" s="387"/>
    </row>
    <row r="1583" spans="1:35">
      <c r="A1583" s="1"/>
      <c r="B1583" s="1"/>
      <c r="C1583" s="1"/>
      <c r="D1583" s="392" t="s">
        <v>1076</v>
      </c>
      <c r="E1583" s="383"/>
      <c r="F1583" s="383"/>
      <c r="G1583" s="383"/>
      <c r="H1583" s="383"/>
      <c r="I1583" s="383"/>
      <c r="J1583" s="383"/>
      <c r="K1583" s="383"/>
      <c r="L1583" s="383"/>
      <c r="M1583" s="383"/>
      <c r="N1583" s="383"/>
      <c r="O1583" s="383"/>
      <c r="P1583" s="383"/>
      <c r="Q1583" s="383"/>
      <c r="R1583" s="383"/>
      <c r="S1583" s="383"/>
      <c r="T1583" s="383"/>
      <c r="U1583" s="383"/>
      <c r="V1583" s="383"/>
      <c r="W1583" s="383"/>
      <c r="X1583" s="383"/>
      <c r="Y1583" s="460">
        <f>+Z766</f>
        <v>17.8</v>
      </c>
      <c r="Z1583" s="386">
        <v>29.4</v>
      </c>
      <c r="AA1583" s="386">
        <f>+AA766</f>
        <v>26.746760709890932</v>
      </c>
      <c r="AB1583" s="386">
        <f>+AB766</f>
        <v>30.447338092201235</v>
      </c>
      <c r="AC1583" s="386">
        <f>+AC766</f>
        <v>34.951589472616007</v>
      </c>
      <c r="AD1583" s="386">
        <f>+AD766</f>
        <v>41.241632726000006</v>
      </c>
      <c r="AE1583" s="387"/>
    </row>
    <row r="1584" spans="1:35">
      <c r="A1584" s="1"/>
      <c r="B1584" s="1"/>
      <c r="C1584" s="1"/>
      <c r="D1584" s="390" t="s">
        <v>170</v>
      </c>
      <c r="E1584" s="383"/>
      <c r="F1584" s="383"/>
      <c r="G1584" s="383"/>
      <c r="H1584" s="383"/>
      <c r="I1584" s="383"/>
      <c r="J1584" s="383"/>
      <c r="K1584" s="383"/>
      <c r="L1584" s="383"/>
      <c r="M1584" s="383"/>
      <c r="N1584" s="383"/>
      <c r="O1584" s="383"/>
      <c r="P1584" s="383"/>
      <c r="Q1584" s="383"/>
      <c r="R1584" s="383"/>
      <c r="S1584" s="383"/>
      <c r="T1584" s="383"/>
      <c r="U1584" s="383"/>
      <c r="V1584" s="383"/>
      <c r="W1584" s="383"/>
      <c r="X1584" s="383"/>
      <c r="Y1584" s="459">
        <f>+Y1585+Y1586+Y1587</f>
        <v>30.9</v>
      </c>
      <c r="Z1584" s="389">
        <v>124</v>
      </c>
      <c r="AA1584" s="389">
        <f>+AA1585+AA1586+AA1587</f>
        <v>78.841542819304962</v>
      </c>
      <c r="AB1584" s="389">
        <f>+AB1585+AB1586+AB1587</f>
        <v>110.3517214955469</v>
      </c>
      <c r="AC1584" s="389">
        <f>+AC1585+AC1586+AC1587</f>
        <v>73.342177317999983</v>
      </c>
      <c r="AD1584" s="389">
        <f>+AD1585+AD1586+AD1587</f>
        <v>129.05841750792158</v>
      </c>
      <c r="AE1584" s="387"/>
    </row>
    <row r="1585" spans="1:35">
      <c r="A1585" s="1"/>
      <c r="B1585" s="1"/>
      <c r="C1585" s="1"/>
      <c r="D1585" s="391" t="s">
        <v>610</v>
      </c>
      <c r="E1585" s="383"/>
      <c r="F1585" s="383"/>
      <c r="G1585" s="383"/>
      <c r="H1585" s="383"/>
      <c r="I1585" s="383"/>
      <c r="J1585" s="383"/>
      <c r="K1585" s="383"/>
      <c r="L1585" s="383"/>
      <c r="M1585" s="383"/>
      <c r="N1585" s="383"/>
      <c r="O1585" s="383"/>
      <c r="P1585" s="383"/>
      <c r="Q1585" s="383"/>
      <c r="R1585" s="383"/>
      <c r="S1585" s="383"/>
      <c r="T1585" s="383"/>
      <c r="U1585" s="383"/>
      <c r="V1585" s="383"/>
      <c r="W1585" s="383"/>
      <c r="X1585" s="383"/>
      <c r="Y1585" s="460">
        <f>+Z916+(Z901-Y1586)</f>
        <v>-23.4</v>
      </c>
      <c r="Z1585" s="386">
        <v>60</v>
      </c>
      <c r="AA1585" s="386">
        <f>+AA917+AA918+AA902</f>
        <v>49.274207433304959</v>
      </c>
      <c r="AB1585" s="386">
        <f>+AB917+AB918+AB902</f>
        <v>91.151721495546894</v>
      </c>
      <c r="AC1585" s="386">
        <f>+AC917+AC918+AC902</f>
        <v>69.495483030999992</v>
      </c>
      <c r="AD1585" s="386">
        <f>+AD917+AD918+AD902</f>
        <v>129.05841750792158</v>
      </c>
      <c r="AE1585" s="387"/>
    </row>
    <row r="1586" spans="1:35">
      <c r="A1586" s="1"/>
      <c r="B1586" s="1"/>
      <c r="C1586" s="1"/>
      <c r="D1586" s="391" t="s">
        <v>585</v>
      </c>
      <c r="E1586" s="383"/>
      <c r="F1586" s="383"/>
      <c r="G1586" s="383"/>
      <c r="H1586" s="383"/>
      <c r="I1586" s="383"/>
      <c r="J1586" s="383"/>
      <c r="K1586" s="383"/>
      <c r="L1586" s="383"/>
      <c r="M1586" s="383"/>
      <c r="N1586" s="383"/>
      <c r="O1586" s="383"/>
      <c r="P1586" s="383"/>
      <c r="Q1586" s="383"/>
      <c r="R1586" s="383"/>
      <c r="S1586" s="383"/>
      <c r="T1586" s="383"/>
      <c r="U1586" s="383"/>
      <c r="V1586" s="383"/>
      <c r="W1586" s="383"/>
      <c r="X1586" s="383"/>
      <c r="Y1586" s="460">
        <f>+IF(Z$411&gt;0,Z$411,0)</f>
        <v>54.3</v>
      </c>
      <c r="Z1586" s="394">
        <v>64</v>
      </c>
      <c r="AA1586" s="394">
        <f>+AA904+AA905</f>
        <v>29.567335386</v>
      </c>
      <c r="AB1586" s="394">
        <f>+AB904+AB905</f>
        <v>19.200000000000003</v>
      </c>
      <c r="AC1586" s="394">
        <f>+AC904+AC905</f>
        <v>3.8466942869999912</v>
      </c>
      <c r="AD1586" s="394">
        <f>+AD904+AD905</f>
        <v>0</v>
      </c>
      <c r="AE1586" s="387"/>
    </row>
    <row r="1587" spans="1:35">
      <c r="A1587" s="1"/>
      <c r="B1587" s="1"/>
      <c r="C1587" s="1"/>
      <c r="D1587" s="391" t="s">
        <v>586</v>
      </c>
      <c r="E1587" s="383"/>
      <c r="F1587" s="383"/>
      <c r="G1587" s="383"/>
      <c r="H1587" s="383"/>
      <c r="I1587" s="383"/>
      <c r="J1587" s="383"/>
      <c r="K1587" s="383"/>
      <c r="L1587" s="383"/>
      <c r="M1587" s="383"/>
      <c r="N1587" s="383"/>
      <c r="O1587" s="383"/>
      <c r="P1587" s="383"/>
      <c r="Q1587" s="383"/>
      <c r="R1587" s="383"/>
      <c r="S1587" s="383"/>
      <c r="T1587" s="383"/>
      <c r="U1587" s="383"/>
      <c r="V1587" s="383"/>
      <c r="W1587" s="383"/>
      <c r="X1587" s="383"/>
      <c r="Y1587" s="460">
        <v>0</v>
      </c>
      <c r="Z1587" s="386">
        <v>0</v>
      </c>
      <c r="AA1587" s="386">
        <v>0</v>
      </c>
      <c r="AB1587" s="386">
        <v>0</v>
      </c>
      <c r="AC1587" s="386">
        <v>0</v>
      </c>
      <c r="AD1587" s="386">
        <v>0</v>
      </c>
      <c r="AE1587" s="387"/>
    </row>
    <row r="1588" spans="1:35">
      <c r="A1588" s="1"/>
      <c r="B1588" s="1"/>
      <c r="C1588" s="1"/>
      <c r="D1588" s="390" t="s">
        <v>587</v>
      </c>
      <c r="E1588" s="383"/>
      <c r="F1588" s="383"/>
      <c r="G1588" s="383"/>
      <c r="H1588" s="383"/>
      <c r="I1588" s="383"/>
      <c r="J1588" s="383"/>
      <c r="K1588" s="383"/>
      <c r="L1588" s="383"/>
      <c r="M1588" s="383"/>
      <c r="N1588" s="383"/>
      <c r="O1588" s="383"/>
      <c r="P1588" s="383"/>
      <c r="Q1588" s="383"/>
      <c r="R1588" s="383"/>
      <c r="S1588" s="383"/>
      <c r="T1588" s="383"/>
      <c r="U1588" s="383"/>
      <c r="V1588" s="383"/>
      <c r="W1588" s="383"/>
      <c r="X1588" s="383"/>
      <c r="Y1588" s="459">
        <f>+Y1589+Y1590</f>
        <v>415.91369751440271</v>
      </c>
      <c r="Z1588" s="389">
        <v>358.29960699865404</v>
      </c>
      <c r="AA1588" s="389">
        <f>+AA1589+AA1590</f>
        <v>447.87141443118315</v>
      </c>
      <c r="AB1588" s="389">
        <f>+AB1589+AB1590</f>
        <v>330.18208394651856</v>
      </c>
      <c r="AC1588" s="389">
        <f>+AC1589+AC1590</f>
        <v>358.90867686871047</v>
      </c>
      <c r="AD1588" s="389">
        <f>+AD1589+AD1590</f>
        <v>481.17930699636122</v>
      </c>
      <c r="AE1588" s="387"/>
      <c r="AI1588" s="1520"/>
    </row>
    <row r="1589" spans="1:35">
      <c r="A1589" s="1"/>
      <c r="B1589" s="1"/>
      <c r="C1589" s="1"/>
      <c r="D1589" s="391" t="s">
        <v>588</v>
      </c>
      <c r="E1589" s="383"/>
      <c r="F1589" s="383"/>
      <c r="G1589" s="383"/>
      <c r="H1589" s="383"/>
      <c r="I1589" s="383"/>
      <c r="J1589" s="383"/>
      <c r="K1589" s="383"/>
      <c r="L1589" s="383"/>
      <c r="M1589" s="383"/>
      <c r="N1589" s="383"/>
      <c r="O1589" s="383"/>
      <c r="P1589" s="383"/>
      <c r="Q1589" s="383"/>
      <c r="R1589" s="383"/>
      <c r="S1589" s="383"/>
      <c r="T1589" s="383"/>
      <c r="U1589" s="383"/>
      <c r="V1589" s="383"/>
      <c r="W1589" s="383"/>
      <c r="X1589" s="383"/>
      <c r="Y1589" s="460">
        <f>+Z773</f>
        <v>174.88</v>
      </c>
      <c r="Z1589" s="386">
        <v>189.93426691790037</v>
      </c>
      <c r="AA1589" s="386">
        <f>+AA773</f>
        <v>278.93141443118316</v>
      </c>
      <c r="AB1589" s="386">
        <f>+AB773</f>
        <v>184.18208394651853</v>
      </c>
      <c r="AC1589" s="386">
        <f>+AC773</f>
        <v>190.19867686871044</v>
      </c>
      <c r="AD1589" s="386">
        <f>+AD773</f>
        <v>248.10377500219158</v>
      </c>
      <c r="AE1589" s="387"/>
    </row>
    <row r="1590" spans="1:35">
      <c r="A1590" s="1"/>
      <c r="B1590" s="1"/>
      <c r="C1590" s="1"/>
      <c r="D1590" s="391" t="s">
        <v>589</v>
      </c>
      <c r="E1590" s="383"/>
      <c r="F1590" s="383"/>
      <c r="G1590" s="383"/>
      <c r="H1590" s="383"/>
      <c r="I1590" s="383"/>
      <c r="J1590" s="383"/>
      <c r="K1590" s="383"/>
      <c r="L1590" s="383"/>
      <c r="M1590" s="383"/>
      <c r="N1590" s="383"/>
      <c r="O1590" s="383"/>
      <c r="P1590" s="383"/>
      <c r="Q1590" s="383"/>
      <c r="R1590" s="383"/>
      <c r="S1590" s="383"/>
      <c r="T1590" s="383"/>
      <c r="U1590" s="383"/>
      <c r="V1590" s="383"/>
      <c r="W1590" s="383"/>
      <c r="X1590" s="383"/>
      <c r="Y1590" s="460">
        <f>+Z780</f>
        <v>241.03369751440272</v>
      </c>
      <c r="Z1590" s="386">
        <v>168.36534008075367</v>
      </c>
      <c r="AA1590" s="386">
        <f>+AA780</f>
        <v>168.94</v>
      </c>
      <c r="AB1590" s="386">
        <f>+AB780</f>
        <v>146</v>
      </c>
      <c r="AC1590" s="386">
        <f>+AC780</f>
        <v>168.71</v>
      </c>
      <c r="AD1590" s="386">
        <f>+AD780</f>
        <v>233.07553199416967</v>
      </c>
      <c r="AE1590" s="387"/>
    </row>
    <row r="1591" spans="1:35">
      <c r="A1591" s="1"/>
      <c r="B1591" s="1"/>
      <c r="C1591" s="1"/>
      <c r="D1591" s="395" t="s">
        <v>609</v>
      </c>
      <c r="E1591" s="383"/>
      <c r="F1591" s="383"/>
      <c r="G1591" s="383"/>
      <c r="H1591" s="383"/>
      <c r="I1591" s="383"/>
      <c r="J1591" s="383"/>
      <c r="K1591" s="383"/>
      <c r="L1591" s="383"/>
      <c r="M1591" s="383"/>
      <c r="N1591" s="383"/>
      <c r="O1591" s="383"/>
      <c r="P1591" s="383"/>
      <c r="Q1591" s="383"/>
      <c r="R1591" s="383"/>
      <c r="S1591" s="383"/>
      <c r="T1591" s="383"/>
      <c r="U1591" s="383"/>
      <c r="V1591" s="383"/>
      <c r="W1591" s="383"/>
      <c r="X1591" s="383"/>
      <c r="Y1591" s="460">
        <f>+Z775</f>
        <v>88.24</v>
      </c>
      <c r="Z1591" s="386">
        <v>70.107033874898505</v>
      </c>
      <c r="AA1591" s="386">
        <f>+AA775</f>
        <v>70.382366508050239</v>
      </c>
      <c r="AB1591" s="386">
        <f>+AB775</f>
        <v>54.053442643358835</v>
      </c>
      <c r="AC1591" s="386">
        <f>+AC775</f>
        <v>69.571653854000004</v>
      </c>
      <c r="AD1591" s="386">
        <f>+AD775</f>
        <v>82.995385673131395</v>
      </c>
      <c r="AE1591" s="387"/>
    </row>
    <row r="1592" spans="1:35">
      <c r="A1592" s="1"/>
      <c r="B1592" s="1"/>
      <c r="C1592" s="1"/>
      <c r="D1592" s="390" t="s">
        <v>575</v>
      </c>
      <c r="E1592" s="383"/>
      <c r="F1592" s="383"/>
      <c r="G1592" s="383"/>
      <c r="H1592" s="383"/>
      <c r="I1592" s="383"/>
      <c r="J1592" s="383"/>
      <c r="K1592" s="383"/>
      <c r="L1592" s="383"/>
      <c r="M1592" s="383"/>
      <c r="N1592" s="383"/>
      <c r="O1592" s="383"/>
      <c r="P1592" s="383"/>
      <c r="Q1592" s="383"/>
      <c r="R1592" s="383"/>
      <c r="S1592" s="383"/>
      <c r="T1592" s="383"/>
      <c r="U1592" s="383"/>
      <c r="V1592" s="383"/>
      <c r="W1592" s="383"/>
      <c r="X1592" s="383"/>
      <c r="Y1592" s="459">
        <f>+Y1593+Y1594</f>
        <v>202.863</v>
      </c>
      <c r="Z1592" s="389">
        <v>233.21402142664869</v>
      </c>
      <c r="AA1592" s="389">
        <f>+AA1593+AA1594</f>
        <v>241.52958260440315</v>
      </c>
      <c r="AB1592" s="389">
        <f>+AB1593+AB1594</f>
        <v>183.82033813965148</v>
      </c>
      <c r="AC1592" s="389">
        <f>+AC1593+AC1594</f>
        <v>381.84688936314302</v>
      </c>
      <c r="AD1592" s="389">
        <f>+AD1593+AD1594</f>
        <v>476.97697294179375</v>
      </c>
      <c r="AE1592" s="387"/>
    </row>
    <row r="1593" spans="1:35">
      <c r="A1593" s="1"/>
      <c r="B1593" s="1"/>
      <c r="C1593" s="1"/>
      <c r="D1593" s="391" t="s">
        <v>590</v>
      </c>
      <c r="E1593" s="383"/>
      <c r="F1593" s="383"/>
      <c r="G1593" s="383"/>
      <c r="H1593" s="383"/>
      <c r="I1593" s="383"/>
      <c r="J1593" s="383"/>
      <c r="K1593" s="383"/>
      <c r="L1593" s="383"/>
      <c r="M1593" s="383"/>
      <c r="N1593" s="383"/>
      <c r="O1593" s="383"/>
      <c r="P1593" s="383"/>
      <c r="Q1593" s="383"/>
      <c r="R1593" s="383"/>
      <c r="S1593" s="383"/>
      <c r="T1593" s="383"/>
      <c r="U1593" s="383"/>
      <c r="V1593" s="383"/>
      <c r="W1593" s="383"/>
      <c r="X1593" s="383"/>
      <c r="Y1593" s="460">
        <f>+Z883</f>
        <v>103.63</v>
      </c>
      <c r="Z1593" s="386">
        <v>121.46711429340509</v>
      </c>
      <c r="AA1593" s="386">
        <f>+AA883</f>
        <v>138.66156726277015</v>
      </c>
      <c r="AB1593" s="386">
        <f>+AB883</f>
        <v>183.82033813965148</v>
      </c>
      <c r="AC1593" s="386">
        <f>+AC883</f>
        <v>211.49647385698302</v>
      </c>
      <c r="AD1593" s="386">
        <f>+AD883</f>
        <v>262.04850870218172</v>
      </c>
      <c r="AE1593" s="387"/>
    </row>
    <row r="1594" spans="1:35">
      <c r="A1594" s="1"/>
      <c r="B1594" s="1"/>
      <c r="C1594" s="1"/>
      <c r="D1594" s="391" t="s">
        <v>165</v>
      </c>
      <c r="E1594" s="383"/>
      <c r="F1594" s="383"/>
      <c r="G1594" s="383"/>
      <c r="H1594" s="383"/>
      <c r="I1594" s="383"/>
      <c r="J1594" s="383"/>
      <c r="K1594" s="383"/>
      <c r="L1594" s="383"/>
      <c r="M1594" s="383"/>
      <c r="N1594" s="383"/>
      <c r="O1594" s="383"/>
      <c r="P1594" s="383"/>
      <c r="Q1594" s="383"/>
      <c r="R1594" s="383"/>
      <c r="S1594" s="383"/>
      <c r="T1594" s="383"/>
      <c r="U1594" s="383"/>
      <c r="V1594" s="383"/>
      <c r="W1594" s="383"/>
      <c r="X1594" s="383"/>
      <c r="Y1594" s="460">
        <f>+Z894</f>
        <v>99.233000000000004</v>
      </c>
      <c r="Z1594" s="386">
        <v>111.7469071332436</v>
      </c>
      <c r="AA1594" s="386">
        <f>+AA894</f>
        <v>102.868015341633</v>
      </c>
      <c r="AB1594" s="386">
        <f>+AB894</f>
        <v>0</v>
      </c>
      <c r="AC1594" s="386">
        <f>+AC894</f>
        <v>170.35041550616</v>
      </c>
      <c r="AD1594" s="386">
        <f>+AD894</f>
        <v>214.928464239612</v>
      </c>
      <c r="AE1594" s="387"/>
    </row>
    <row r="1595" spans="1:35">
      <c r="A1595" s="1"/>
      <c r="B1595" s="1"/>
      <c r="C1595" s="1"/>
      <c r="D1595" s="390" t="s">
        <v>591</v>
      </c>
      <c r="E1595" s="383"/>
      <c r="F1595" s="383"/>
      <c r="G1595" s="383"/>
      <c r="H1595" s="383"/>
      <c r="I1595" s="383"/>
      <c r="J1595" s="383"/>
      <c r="K1595" s="383"/>
      <c r="L1595" s="383"/>
      <c r="M1595" s="383"/>
      <c r="N1595" s="383"/>
      <c r="O1595" s="383"/>
      <c r="P1595" s="383"/>
      <c r="Q1595" s="383"/>
      <c r="R1595" s="383"/>
      <c r="S1595" s="383"/>
      <c r="T1595" s="383"/>
      <c r="U1595" s="383"/>
      <c r="V1595" s="383"/>
      <c r="W1595" s="383"/>
      <c r="X1595" s="383"/>
      <c r="Y1595" s="460">
        <f>-(Z847+Z852+Z854)</f>
        <v>2.5</v>
      </c>
      <c r="Z1595" s="386">
        <v>4</v>
      </c>
      <c r="AA1595" s="386">
        <f>-(AA847+AA852+AA854)</f>
        <v>1.474062287</v>
      </c>
      <c r="AB1595" s="386">
        <f>-(AB847+AB852+AB854)</f>
        <v>9.0864968659999992</v>
      </c>
      <c r="AC1595" s="386">
        <f>-(AC847+AC852+AC854)</f>
        <v>0.98998876200000008</v>
      </c>
      <c r="AD1595" s="386">
        <f>-(AD847+AD852+AD854)</f>
        <v>0.27783086600000001</v>
      </c>
      <c r="AE1595" s="387"/>
    </row>
    <row r="1596" spans="1:35">
      <c r="A1596" s="1"/>
      <c r="B1596" s="1"/>
      <c r="C1596" s="1"/>
      <c r="D1596" s="396"/>
      <c r="E1596" s="383"/>
      <c r="F1596" s="383"/>
      <c r="G1596" s="383"/>
      <c r="H1596" s="383"/>
      <c r="I1596" s="383"/>
      <c r="J1596" s="383"/>
      <c r="K1596" s="383"/>
      <c r="L1596" s="383"/>
      <c r="M1596" s="383"/>
      <c r="N1596" s="383"/>
      <c r="O1596" s="383"/>
      <c r="P1596" s="383"/>
      <c r="Q1596" s="383"/>
      <c r="R1596" s="383"/>
      <c r="S1596" s="383"/>
      <c r="T1596" s="383"/>
      <c r="U1596" s="383"/>
      <c r="V1596" s="383"/>
      <c r="W1596" s="383"/>
      <c r="X1596" s="383"/>
      <c r="Y1596" s="460"/>
      <c r="Z1596" s="386"/>
      <c r="AA1596" s="386"/>
      <c r="AB1596" s="386"/>
      <c r="AC1596" s="386"/>
      <c r="AD1596" s="386"/>
      <c r="AE1596" s="387"/>
    </row>
    <row r="1597" spans="1:35">
      <c r="A1597" s="1"/>
      <c r="B1597" s="1"/>
      <c r="C1597" s="1"/>
      <c r="D1597" s="390" t="s">
        <v>592</v>
      </c>
      <c r="E1597" s="383"/>
      <c r="F1597" s="383"/>
      <c r="G1597" s="383"/>
      <c r="H1597" s="383"/>
      <c r="I1597" s="383"/>
      <c r="J1597" s="383"/>
      <c r="K1597" s="383"/>
      <c r="L1597" s="383"/>
      <c r="M1597" s="383"/>
      <c r="N1597" s="383"/>
      <c r="O1597" s="383"/>
      <c r="P1597" s="383"/>
      <c r="Q1597" s="383"/>
      <c r="R1597" s="383"/>
      <c r="S1597" s="383"/>
      <c r="T1597" s="383"/>
      <c r="U1597" s="383"/>
      <c r="V1597" s="383"/>
      <c r="W1597" s="383"/>
      <c r="X1597" s="383"/>
      <c r="Y1597" s="460">
        <f>+IF(Z$924&gt;0,Z$924,0)</f>
        <v>0</v>
      </c>
      <c r="Z1597" s="386">
        <v>0</v>
      </c>
      <c r="AA1597" s="386">
        <f>+IF(AA$924&gt;0,AA$924,0)</f>
        <v>0</v>
      </c>
      <c r="AB1597" s="386">
        <f>+IF(AB$924&gt;0,AB$924,0)</f>
        <v>0</v>
      </c>
      <c r="AC1597" s="386">
        <f>+IF(AC$924&gt;0,AC$924,0)</f>
        <v>0</v>
      </c>
      <c r="AD1597" s="386">
        <f>+IF(AD$924&gt;0,AD$924,0)</f>
        <v>0</v>
      </c>
      <c r="AE1597" s="387"/>
    </row>
    <row r="1598" spans="1:35">
      <c r="A1598" s="1"/>
      <c r="B1598" s="1"/>
      <c r="C1598" s="1"/>
      <c r="D1598" s="396"/>
      <c r="E1598" s="383"/>
      <c r="F1598" s="383"/>
      <c r="G1598" s="383"/>
      <c r="H1598" s="383"/>
      <c r="I1598" s="383"/>
      <c r="J1598" s="383"/>
      <c r="K1598" s="383"/>
      <c r="L1598" s="383"/>
      <c r="M1598" s="383"/>
      <c r="N1598" s="383"/>
      <c r="O1598" s="383"/>
      <c r="P1598" s="383"/>
      <c r="Q1598" s="383"/>
      <c r="R1598" s="383"/>
      <c r="S1598" s="383"/>
      <c r="T1598" s="383"/>
      <c r="U1598" s="383"/>
      <c r="V1598" s="383"/>
      <c r="W1598" s="383"/>
      <c r="X1598" s="383"/>
      <c r="Y1598" s="460"/>
      <c r="Z1598" s="386"/>
      <c r="AA1598" s="386"/>
      <c r="AB1598" s="386"/>
      <c r="AC1598" s="386"/>
      <c r="AD1598" s="386"/>
      <c r="AE1598" s="387"/>
    </row>
    <row r="1599" spans="1:35">
      <c r="A1599" s="1"/>
      <c r="B1599" s="1"/>
      <c r="C1599" s="1"/>
      <c r="D1599" s="397" t="s">
        <v>593</v>
      </c>
      <c r="E1599" s="383"/>
      <c r="F1599" s="383"/>
      <c r="G1599" s="383"/>
      <c r="H1599" s="383"/>
      <c r="I1599" s="383"/>
      <c r="J1599" s="383"/>
      <c r="K1599" s="383"/>
      <c r="L1599" s="383"/>
      <c r="M1599" s="383"/>
      <c r="N1599" s="383"/>
      <c r="O1599" s="383"/>
      <c r="P1599" s="383"/>
      <c r="Q1599" s="383"/>
      <c r="R1599" s="383"/>
      <c r="S1599" s="383"/>
      <c r="T1599" s="383"/>
      <c r="U1599" s="383"/>
      <c r="V1599" s="383"/>
      <c r="W1599" s="383"/>
      <c r="X1599" s="383"/>
      <c r="Y1599" s="459">
        <f>+Y1575+Y1584+Y1588+Y1592+Y1595+Y1597</f>
        <v>1593.7820551307509</v>
      </c>
      <c r="Z1599" s="389">
        <v>1823.6035598815506</v>
      </c>
      <c r="AA1599" s="389">
        <f>+AA1575+AA1584+AA1588+AA1592+AA1595+AA1597</f>
        <v>1774.3618475868914</v>
      </c>
      <c r="AB1599" s="389">
        <f>+AB1575+AB1584+AB1588+AB1592+AB1595+AB1597</f>
        <v>1871.1326068813344</v>
      </c>
      <c r="AC1599" s="389">
        <f>+AC1575+AC1584+AC1588+AC1592+AC1595+AC1597</f>
        <v>2222.8087843323497</v>
      </c>
      <c r="AD1599" s="389">
        <f>+AD1575+AD1584+AD1588+AD1592+AD1595+AD1597</f>
        <v>2546.0573345024513</v>
      </c>
      <c r="AE1599" s="387"/>
    </row>
    <row r="1600" spans="1:35">
      <c r="A1600" s="1"/>
      <c r="B1600" s="1"/>
      <c r="C1600" s="1"/>
      <c r="D1600" s="398"/>
      <c r="E1600" s="383"/>
      <c r="F1600" s="383"/>
      <c r="G1600" s="383"/>
      <c r="H1600" s="383"/>
      <c r="I1600" s="383"/>
      <c r="J1600" s="383"/>
      <c r="K1600" s="383"/>
      <c r="L1600" s="383"/>
      <c r="M1600" s="383"/>
      <c r="N1600" s="383"/>
      <c r="O1600" s="383"/>
      <c r="P1600" s="383"/>
      <c r="Q1600" s="383"/>
      <c r="R1600" s="383"/>
      <c r="S1600" s="383"/>
      <c r="T1600" s="383"/>
      <c r="U1600" s="383"/>
      <c r="V1600" s="383"/>
      <c r="W1600" s="383"/>
      <c r="X1600" s="383"/>
      <c r="Y1600" s="460"/>
      <c r="Z1600" s="386"/>
      <c r="AA1600" s="386"/>
      <c r="AB1600" s="386"/>
      <c r="AC1600" s="386"/>
      <c r="AD1600" s="386"/>
      <c r="AE1600" s="387"/>
    </row>
    <row r="1601" spans="1:31">
      <c r="A1601" s="1"/>
      <c r="B1601" s="1"/>
      <c r="C1601" s="1"/>
      <c r="D1601" s="399" t="s">
        <v>594</v>
      </c>
      <c r="E1601" s="383"/>
      <c r="F1601" s="383"/>
      <c r="G1601" s="383"/>
      <c r="H1601" s="383"/>
      <c r="I1601" s="383"/>
      <c r="J1601" s="383"/>
      <c r="K1601" s="383"/>
      <c r="L1601" s="383"/>
      <c r="M1601" s="383"/>
      <c r="N1601" s="383"/>
      <c r="O1601" s="383"/>
      <c r="P1601" s="383"/>
      <c r="Q1601" s="383"/>
      <c r="R1601" s="383"/>
      <c r="S1601" s="383"/>
      <c r="T1601" s="383"/>
      <c r="U1601" s="383"/>
      <c r="V1601" s="383"/>
      <c r="W1601" s="383"/>
      <c r="X1601" s="383"/>
      <c r="Y1601" s="461"/>
      <c r="Z1601" s="400"/>
      <c r="AA1601" s="400"/>
      <c r="AB1601" s="400"/>
      <c r="AC1601" s="400"/>
      <c r="AD1601" s="400"/>
      <c r="AE1601" s="387"/>
    </row>
    <row r="1602" spans="1:31">
      <c r="A1602" s="1"/>
      <c r="B1602" s="1"/>
      <c r="C1602" s="1"/>
      <c r="D1602" s="388"/>
      <c r="E1602" s="383"/>
      <c r="F1602" s="383"/>
      <c r="G1602" s="383"/>
      <c r="H1602" s="383"/>
      <c r="I1602" s="383"/>
      <c r="J1602" s="383"/>
      <c r="K1602" s="383"/>
      <c r="L1602" s="383"/>
      <c r="M1602" s="383"/>
      <c r="N1602" s="383"/>
      <c r="O1602" s="383"/>
      <c r="P1602" s="383"/>
      <c r="Q1602" s="383"/>
      <c r="R1602" s="383"/>
      <c r="S1602" s="383"/>
      <c r="T1602" s="383"/>
      <c r="U1602" s="383"/>
      <c r="V1602" s="383"/>
      <c r="W1602" s="383"/>
      <c r="X1602" s="383"/>
      <c r="Y1602" s="460"/>
      <c r="Z1602" s="386"/>
      <c r="AA1602" s="386"/>
      <c r="AB1602" s="386"/>
      <c r="AC1602" s="386"/>
      <c r="AD1602" s="386"/>
      <c r="AE1602" s="387"/>
    </row>
    <row r="1603" spans="1:31">
      <c r="A1603" s="1"/>
      <c r="B1603" s="1"/>
      <c r="C1603" s="1"/>
      <c r="D1603" s="390" t="s">
        <v>595</v>
      </c>
      <c r="E1603" s="383"/>
      <c r="F1603" s="383"/>
      <c r="G1603" s="383"/>
      <c r="H1603" s="383"/>
      <c r="I1603" s="383"/>
      <c r="J1603" s="383"/>
      <c r="K1603" s="383"/>
      <c r="L1603" s="383"/>
      <c r="M1603" s="383"/>
      <c r="N1603" s="383"/>
      <c r="O1603" s="383"/>
      <c r="P1603" s="383"/>
      <c r="Q1603" s="383"/>
      <c r="R1603" s="383"/>
      <c r="S1603" s="383"/>
      <c r="T1603" s="383"/>
      <c r="U1603" s="383"/>
      <c r="V1603" s="383"/>
      <c r="W1603" s="383"/>
      <c r="X1603" s="383"/>
      <c r="Y1603" s="459">
        <f>+Y1604+Y1605+Y1607+Y1611+Y1614+Y1617</f>
        <v>839.53045800181587</v>
      </c>
      <c r="Z1603" s="389">
        <v>913.56822822713627</v>
      </c>
      <c r="AA1603" s="389">
        <f>+AA1604+AA1605+AA1607+AA1611+AA1614+AA1617</f>
        <v>925.24573217371972</v>
      </c>
      <c r="AB1603" s="389">
        <f>+AB1604+AB1605+AB1607+AB1611+AB1614+AB1617</f>
        <v>1130.1481701871703</v>
      </c>
      <c r="AC1603" s="389">
        <f>+AC1604+AC1605+AC1607+AC1611+AC1614+AC1617</f>
        <v>1178.3574195223671</v>
      </c>
      <c r="AD1603" s="389">
        <f>+AD1604+AD1605+AD1607+AD1611+AD1614+AD1617</f>
        <v>1360.170492557259</v>
      </c>
      <c r="AE1603" s="387"/>
    </row>
    <row r="1604" spans="1:31">
      <c r="A1604" s="1"/>
      <c r="B1604" s="1"/>
      <c r="C1604" s="1"/>
      <c r="D1604" s="396" t="s">
        <v>80</v>
      </c>
      <c r="E1604" s="383"/>
      <c r="F1604" s="383"/>
      <c r="G1604" s="383"/>
      <c r="H1604" s="383"/>
      <c r="I1604" s="383"/>
      <c r="J1604" s="383"/>
      <c r="K1604" s="383"/>
      <c r="L1604" s="383"/>
      <c r="M1604" s="383"/>
      <c r="N1604" s="383"/>
      <c r="O1604" s="383"/>
      <c r="P1604" s="383"/>
      <c r="Q1604" s="383"/>
      <c r="R1604" s="383"/>
      <c r="S1604" s="383"/>
      <c r="T1604" s="383"/>
      <c r="U1604" s="383"/>
      <c r="V1604" s="383"/>
      <c r="W1604" s="383"/>
      <c r="X1604" s="383"/>
      <c r="Y1604" s="460">
        <f>+Z789</f>
        <v>203.9</v>
      </c>
      <c r="Z1604" s="386">
        <v>222</v>
      </c>
      <c r="AA1604" s="386">
        <f>+AA789</f>
        <v>242.33523719200002</v>
      </c>
      <c r="AB1604" s="386">
        <f>+AB789</f>
        <v>318.09171054699999</v>
      </c>
      <c r="AC1604" s="386">
        <f>+AC789</f>
        <v>324.290467019</v>
      </c>
      <c r="AD1604" s="386">
        <f>+AD789</f>
        <v>366.15126445199996</v>
      </c>
      <c r="AE1604" s="387"/>
    </row>
    <row r="1605" spans="1:31">
      <c r="A1605" s="1"/>
      <c r="B1605" s="1"/>
      <c r="C1605" s="1"/>
      <c r="D1605" s="396" t="s">
        <v>81</v>
      </c>
      <c r="E1605" s="383"/>
      <c r="F1605" s="383"/>
      <c r="G1605" s="383"/>
      <c r="H1605" s="383"/>
      <c r="I1605" s="383"/>
      <c r="J1605" s="383"/>
      <c r="K1605" s="383"/>
      <c r="L1605" s="383"/>
      <c r="M1605" s="383"/>
      <c r="N1605" s="383"/>
      <c r="O1605" s="383"/>
      <c r="P1605" s="383"/>
      <c r="Q1605" s="383"/>
      <c r="R1605" s="383"/>
      <c r="S1605" s="383"/>
      <c r="T1605" s="383"/>
      <c r="U1605" s="383"/>
      <c r="V1605" s="383"/>
      <c r="W1605" s="383"/>
      <c r="X1605" s="383"/>
      <c r="Y1605" s="460">
        <f>+Z793</f>
        <v>159.5</v>
      </c>
      <c r="Z1605" s="386">
        <v>159.80000000000001</v>
      </c>
      <c r="AA1605" s="386">
        <f>+AA793</f>
        <v>180.62141281000001</v>
      </c>
      <c r="AB1605" s="386">
        <f>+AB793</f>
        <v>219.15187310499999</v>
      </c>
      <c r="AC1605" s="386">
        <f>+AC793</f>
        <v>216.28066140199999</v>
      </c>
      <c r="AD1605" s="386">
        <f>+AD793</f>
        <v>229.85218436</v>
      </c>
      <c r="AE1605" s="387"/>
    </row>
    <row r="1606" spans="1:31">
      <c r="A1606" s="1"/>
      <c r="B1606" s="1"/>
      <c r="C1606" s="1"/>
      <c r="D1606" s="401" t="s">
        <v>118</v>
      </c>
      <c r="E1606" s="383"/>
      <c r="F1606" s="383"/>
      <c r="G1606" s="383"/>
      <c r="H1606" s="383"/>
      <c r="I1606" s="383"/>
      <c r="J1606" s="383"/>
      <c r="K1606" s="383"/>
      <c r="L1606" s="383"/>
      <c r="M1606" s="383"/>
      <c r="N1606" s="383"/>
      <c r="O1606" s="383"/>
      <c r="P1606" s="383"/>
      <c r="Q1606" s="383"/>
      <c r="R1606" s="383"/>
      <c r="S1606" s="383"/>
      <c r="T1606" s="383"/>
      <c r="U1606" s="383"/>
      <c r="V1606" s="383"/>
      <c r="W1606" s="383"/>
      <c r="X1606" s="383"/>
      <c r="Y1606" s="460"/>
      <c r="Z1606" s="386"/>
      <c r="AA1606" s="386"/>
      <c r="AB1606" s="386"/>
      <c r="AC1606" s="386"/>
      <c r="AD1606" s="386"/>
      <c r="AE1606" s="387"/>
    </row>
    <row r="1607" spans="1:31">
      <c r="A1607" s="1"/>
      <c r="B1607" s="1"/>
      <c r="C1607" s="1"/>
      <c r="D1607" s="396" t="s">
        <v>134</v>
      </c>
      <c r="E1607" s="383"/>
      <c r="F1607" s="383"/>
      <c r="G1607" s="383"/>
      <c r="H1607" s="383"/>
      <c r="I1607" s="383"/>
      <c r="J1607" s="383"/>
      <c r="K1607" s="383"/>
      <c r="L1607" s="383"/>
      <c r="M1607" s="383"/>
      <c r="N1607" s="383"/>
      <c r="O1607" s="383"/>
      <c r="P1607" s="383"/>
      <c r="Q1607" s="383"/>
      <c r="R1607" s="383"/>
      <c r="S1607" s="383"/>
      <c r="T1607" s="383"/>
      <c r="U1607" s="383"/>
      <c r="V1607" s="383"/>
      <c r="W1607" s="383"/>
      <c r="X1607" s="383"/>
      <c r="Y1607" s="460">
        <f>+Y1608+Y1610</f>
        <v>45.8</v>
      </c>
      <c r="Z1607" s="386">
        <v>54.27</v>
      </c>
      <c r="AA1607" s="386">
        <f>+AA1608+AA1610</f>
        <v>56.6986134594964</v>
      </c>
      <c r="AB1607" s="386">
        <f>+AB1608+AB1610</f>
        <v>72.238619403195656</v>
      </c>
      <c r="AC1607" s="386">
        <f>+AC1608+AC1610</f>
        <v>91.578582652050613</v>
      </c>
      <c r="AD1607" s="386">
        <f>+AD1608+AD1610</f>
        <v>102.67146764720873</v>
      </c>
      <c r="AE1607" s="387"/>
    </row>
    <row r="1608" spans="1:31">
      <c r="A1608" s="1"/>
      <c r="B1608" s="1"/>
      <c r="C1608" s="1"/>
      <c r="D1608" s="391" t="s">
        <v>35</v>
      </c>
      <c r="E1608" s="383"/>
      <c r="F1608" s="383"/>
      <c r="G1608" s="383"/>
      <c r="H1608" s="383"/>
      <c r="I1608" s="383"/>
      <c r="J1608" s="383"/>
      <c r="K1608" s="383"/>
      <c r="L1608" s="383"/>
      <c r="M1608" s="383"/>
      <c r="N1608" s="383"/>
      <c r="O1608" s="383"/>
      <c r="P1608" s="383"/>
      <c r="Q1608" s="383"/>
      <c r="R1608" s="383"/>
      <c r="S1608" s="383"/>
      <c r="T1608" s="383"/>
      <c r="U1608" s="383"/>
      <c r="V1608" s="383"/>
      <c r="W1608" s="383"/>
      <c r="X1608" s="383"/>
      <c r="Y1608" s="460">
        <f>+Z802</f>
        <v>18.2</v>
      </c>
      <c r="Z1608" s="386">
        <v>24.6</v>
      </c>
      <c r="AA1608" s="386">
        <f>+AA802</f>
        <v>25.351373894877149</v>
      </c>
      <c r="AB1608" s="386">
        <f>+AB802</f>
        <v>35.299999999999997</v>
      </c>
      <c r="AC1608" s="386">
        <f>+AC802</f>
        <v>48.900012528000005</v>
      </c>
      <c r="AD1608" s="386">
        <f>+AD802</f>
        <v>54.783250934273205</v>
      </c>
      <c r="AE1608" s="387"/>
    </row>
    <row r="1609" spans="1:31" ht="15" customHeight="1">
      <c r="A1609" s="1"/>
      <c r="B1609" s="1"/>
      <c r="C1609" s="1"/>
      <c r="D1609" s="393" t="s">
        <v>596</v>
      </c>
      <c r="E1609" s="383"/>
      <c r="F1609" s="383"/>
      <c r="G1609" s="383"/>
      <c r="H1609" s="383"/>
      <c r="I1609" s="383"/>
      <c r="J1609" s="383"/>
      <c r="K1609" s="383"/>
      <c r="L1609" s="383"/>
      <c r="M1609" s="383"/>
      <c r="N1609" s="383"/>
      <c r="O1609" s="383"/>
      <c r="P1609" s="383"/>
      <c r="Q1609" s="383"/>
      <c r="R1609" s="383"/>
      <c r="S1609" s="383"/>
      <c r="T1609" s="383"/>
      <c r="U1609" s="383"/>
      <c r="V1609" s="383"/>
      <c r="W1609" s="383"/>
      <c r="X1609" s="383"/>
      <c r="Y1609" s="460"/>
      <c r="Z1609" s="386"/>
      <c r="AA1609" s="386"/>
      <c r="AB1609" s="386"/>
      <c r="AC1609" s="386"/>
      <c r="AD1609" s="386"/>
      <c r="AE1609" s="387"/>
    </row>
    <row r="1610" spans="1:31" ht="15" customHeight="1">
      <c r="A1610" s="1"/>
      <c r="B1610" s="1"/>
      <c r="C1610" s="1"/>
      <c r="D1610" s="391" t="s">
        <v>597</v>
      </c>
      <c r="E1610" s="383"/>
      <c r="F1610" s="383"/>
      <c r="G1610" s="383"/>
      <c r="H1610" s="383"/>
      <c r="I1610" s="383"/>
      <c r="J1610" s="383"/>
      <c r="K1610" s="383"/>
      <c r="L1610" s="383"/>
      <c r="M1610" s="383"/>
      <c r="N1610" s="383"/>
      <c r="O1610" s="383"/>
      <c r="P1610" s="383"/>
      <c r="Q1610" s="383"/>
      <c r="R1610" s="383"/>
      <c r="S1610" s="383"/>
      <c r="T1610" s="383"/>
      <c r="U1610" s="383"/>
      <c r="V1610" s="383"/>
      <c r="W1610" s="383"/>
      <c r="X1610" s="383"/>
      <c r="Y1610" s="460">
        <f>+Z805</f>
        <v>27.6</v>
      </c>
      <c r="Z1610" s="386">
        <v>29.67</v>
      </c>
      <c r="AA1610" s="386">
        <f>+AA805</f>
        <v>31.347239564619255</v>
      </c>
      <c r="AB1610" s="386">
        <f>+AB805</f>
        <v>36.938619403195652</v>
      </c>
      <c r="AC1610" s="386">
        <f>+AC805</f>
        <v>42.678570124050616</v>
      </c>
      <c r="AD1610" s="386">
        <f>+AD805</f>
        <v>47.888216712935524</v>
      </c>
      <c r="AE1610" s="387"/>
    </row>
    <row r="1611" spans="1:31" ht="15" customHeight="1">
      <c r="A1611" s="1"/>
      <c r="B1611" s="1"/>
      <c r="C1611" s="1"/>
      <c r="D1611" s="396" t="s">
        <v>598</v>
      </c>
      <c r="E1611" s="383"/>
      <c r="F1611" s="383"/>
      <c r="G1611" s="383"/>
      <c r="H1611" s="383"/>
      <c r="I1611" s="383"/>
      <c r="J1611" s="383"/>
      <c r="K1611" s="383"/>
      <c r="L1611" s="383"/>
      <c r="M1611" s="383"/>
      <c r="N1611" s="383"/>
      <c r="O1611" s="383"/>
      <c r="P1611" s="383"/>
      <c r="Q1611" s="383"/>
      <c r="R1611" s="383"/>
      <c r="S1611" s="383"/>
      <c r="T1611" s="383"/>
      <c r="U1611" s="383"/>
      <c r="V1611" s="383"/>
      <c r="W1611" s="383"/>
      <c r="X1611" s="383"/>
      <c r="Y1611" s="460">
        <f>+Y1612+Y1613</f>
        <v>36.150458001815807</v>
      </c>
      <c r="Z1611" s="386">
        <v>48.05996183025519</v>
      </c>
      <c r="AA1611" s="386">
        <f>+AA1612+AA1613</f>
        <v>28.660895545223287</v>
      </c>
      <c r="AB1611" s="386">
        <f>+AB1612+AB1613</f>
        <v>48.296548041974816</v>
      </c>
      <c r="AC1611" s="386">
        <f>+AC1612+AC1613</f>
        <v>54.943241516916515</v>
      </c>
      <c r="AD1611" s="386">
        <f>+AD1612+AD1613</f>
        <v>77.175831207050265</v>
      </c>
      <c r="AE1611" s="387"/>
    </row>
    <row r="1612" spans="1:31" ht="15" customHeight="1">
      <c r="A1612" s="1"/>
      <c r="B1612" s="1"/>
      <c r="C1612" s="1"/>
      <c r="D1612" s="391" t="s">
        <v>599</v>
      </c>
      <c r="E1612" s="383"/>
      <c r="F1612" s="383"/>
      <c r="G1612" s="383"/>
      <c r="H1612" s="383"/>
      <c r="I1612" s="383"/>
      <c r="J1612" s="383"/>
      <c r="K1612" s="383"/>
      <c r="L1612" s="383"/>
      <c r="M1612" s="383"/>
      <c r="N1612" s="383"/>
      <c r="O1612" s="383"/>
      <c r="P1612" s="383"/>
      <c r="Q1612" s="383"/>
      <c r="R1612" s="383"/>
      <c r="S1612" s="383"/>
      <c r="T1612" s="383"/>
      <c r="U1612" s="383"/>
      <c r="V1612" s="383"/>
      <c r="W1612" s="383"/>
      <c r="X1612" s="383"/>
      <c r="Y1612" s="460">
        <f>-Z919</f>
        <v>21.6</v>
      </c>
      <c r="Z1612" s="386">
        <v>30</v>
      </c>
      <c r="AA1612" s="386">
        <f>-AA919</f>
        <v>11.539440600509554</v>
      </c>
      <c r="AB1612" s="386">
        <f>-AB919</f>
        <v>26.413184870999999</v>
      </c>
      <c r="AC1612" s="386">
        <f>-AC919</f>
        <v>29.125483031000002</v>
      </c>
      <c r="AD1612" s="386">
        <f>-AD919</f>
        <v>48.510824908999993</v>
      </c>
      <c r="AE1612" s="387"/>
    </row>
    <row r="1613" spans="1:31">
      <c r="A1613" s="1"/>
      <c r="B1613" s="1"/>
      <c r="C1613" s="1"/>
      <c r="D1613" s="391" t="s">
        <v>597</v>
      </c>
      <c r="E1613" s="383"/>
      <c r="F1613" s="383"/>
      <c r="G1613" s="383"/>
      <c r="H1613" s="383"/>
      <c r="I1613" s="383"/>
      <c r="J1613" s="383"/>
      <c r="K1613" s="383"/>
      <c r="L1613" s="383"/>
      <c r="M1613" s="383"/>
      <c r="N1613" s="383"/>
      <c r="O1613" s="383"/>
      <c r="P1613" s="383"/>
      <c r="Q1613" s="383"/>
      <c r="R1613" s="383"/>
      <c r="S1613" s="383"/>
      <c r="T1613" s="383"/>
      <c r="U1613" s="383"/>
      <c r="V1613" s="383"/>
      <c r="W1613" s="383"/>
      <c r="X1613" s="383"/>
      <c r="Y1613" s="460">
        <f>-Z898</f>
        <v>14.550458001815809</v>
      </c>
      <c r="Z1613" s="386">
        <v>18.059961830255194</v>
      </c>
      <c r="AA1613" s="386">
        <f>-AA898</f>
        <v>17.121454944713733</v>
      </c>
      <c r="AB1613" s="386">
        <f>-AB898</f>
        <v>21.883363170974814</v>
      </c>
      <c r="AC1613" s="386">
        <f>-AC898</f>
        <v>25.817758485916514</v>
      </c>
      <c r="AD1613" s="386">
        <f>-AD898</f>
        <v>28.665006298050265</v>
      </c>
      <c r="AE1613" s="387"/>
    </row>
    <row r="1614" spans="1:31">
      <c r="A1614" s="1"/>
      <c r="B1614" s="1"/>
      <c r="C1614" s="1"/>
      <c r="D1614" s="396" t="s">
        <v>1073</v>
      </c>
      <c r="E1614" s="383"/>
      <c r="F1614" s="383"/>
      <c r="G1614" s="383"/>
      <c r="H1614" s="383"/>
      <c r="I1614" s="383"/>
      <c r="J1614" s="383"/>
      <c r="K1614" s="383"/>
      <c r="L1614" s="383"/>
      <c r="M1614" s="383"/>
      <c r="N1614" s="383"/>
      <c r="O1614" s="383"/>
      <c r="P1614" s="383"/>
      <c r="Q1614" s="383"/>
      <c r="R1614" s="383"/>
      <c r="S1614" s="383"/>
      <c r="T1614" s="383"/>
      <c r="U1614" s="383"/>
      <c r="V1614" s="383"/>
      <c r="W1614" s="383"/>
      <c r="X1614" s="383"/>
      <c r="Y1614" s="460">
        <f>+Z808-Y1615</f>
        <v>273.10000000000002</v>
      </c>
      <c r="Z1614" s="386">
        <f>328.662768349246-Z1615</f>
        <v>273.16276834924599</v>
      </c>
      <c r="AA1614" s="386">
        <f>+AA808-AA1615</f>
        <v>257.71758654299998</v>
      </c>
      <c r="AB1614" s="386">
        <f>+AB808-AB1615</f>
        <v>313.01553604799994</v>
      </c>
      <c r="AC1614" s="386">
        <f>+AC808-AC1615</f>
        <v>309.42534442739998</v>
      </c>
      <c r="AD1614" s="386">
        <f>+AD808-AD1615</f>
        <v>346.62056741599997</v>
      </c>
      <c r="AE1614" s="387"/>
    </row>
    <row r="1615" spans="1:31">
      <c r="A1615" s="1"/>
      <c r="B1615" s="1"/>
      <c r="C1615" s="1"/>
      <c r="D1615" s="401" t="s">
        <v>1074</v>
      </c>
      <c r="E1615" s="383"/>
      <c r="F1615" s="383"/>
      <c r="G1615" s="383"/>
      <c r="H1615" s="383"/>
      <c r="I1615" s="383"/>
      <c r="J1615" s="383"/>
      <c r="K1615" s="383"/>
      <c r="L1615" s="383"/>
      <c r="M1615" s="383"/>
      <c r="N1615" s="383"/>
      <c r="O1615" s="383"/>
      <c r="P1615" s="383"/>
      <c r="Q1615" s="383"/>
      <c r="R1615" s="383"/>
      <c r="S1615" s="383"/>
      <c r="T1615" s="383"/>
      <c r="U1615" s="383"/>
      <c r="V1615" s="383"/>
      <c r="W1615" s="383"/>
      <c r="X1615" s="383"/>
      <c r="Y1615" s="460">
        <f>+Z810</f>
        <v>31</v>
      </c>
      <c r="Z1615" s="932">
        <v>55.5</v>
      </c>
      <c r="AA1615" s="932">
        <f>+AA810</f>
        <v>40.388465097000008</v>
      </c>
      <c r="AB1615" s="932">
        <f>+AB810</f>
        <v>47.887879111819991</v>
      </c>
      <c r="AC1615" s="932">
        <f>+AC810</f>
        <v>53.86308627244</v>
      </c>
      <c r="AD1615" s="932">
        <f>+AD810</f>
        <v>60.610429904000007</v>
      </c>
      <c r="AE1615" s="387"/>
    </row>
    <row r="1616" spans="1:31">
      <c r="A1616" s="1"/>
      <c r="B1616" s="1"/>
      <c r="C1616" s="1"/>
      <c r="D1616" s="401" t="s">
        <v>118</v>
      </c>
      <c r="E1616" s="383"/>
      <c r="F1616" s="383"/>
      <c r="G1616" s="383"/>
      <c r="H1616" s="383"/>
      <c r="I1616" s="383"/>
      <c r="J1616" s="383"/>
      <c r="K1616" s="383"/>
      <c r="L1616" s="383"/>
      <c r="M1616" s="383"/>
      <c r="N1616" s="383"/>
      <c r="O1616" s="383"/>
      <c r="P1616" s="383"/>
      <c r="Q1616" s="383"/>
      <c r="R1616" s="383"/>
      <c r="S1616" s="383"/>
      <c r="T1616" s="383"/>
      <c r="U1616" s="383"/>
      <c r="V1616" s="383"/>
      <c r="W1616" s="383"/>
      <c r="X1616" s="383"/>
      <c r="Y1616" s="460"/>
      <c r="Z1616" s="386"/>
      <c r="AA1616" s="386"/>
      <c r="AB1616" s="386"/>
      <c r="AC1616" s="386"/>
      <c r="AD1616" s="386"/>
      <c r="AE1616" s="387"/>
    </row>
    <row r="1617" spans="1:46">
      <c r="A1617" s="1"/>
      <c r="B1617" s="1"/>
      <c r="C1617" s="1"/>
      <c r="D1617" s="396" t="s">
        <v>600</v>
      </c>
      <c r="E1617" s="383"/>
      <c r="F1617" s="383"/>
      <c r="G1617" s="383"/>
      <c r="H1617" s="383"/>
      <c r="I1617" s="383"/>
      <c r="J1617" s="383"/>
      <c r="K1617" s="383"/>
      <c r="L1617" s="383"/>
      <c r="M1617" s="383"/>
      <c r="N1617" s="383"/>
      <c r="O1617" s="383"/>
      <c r="P1617" s="383"/>
      <c r="Q1617" s="383"/>
      <c r="R1617" s="383"/>
      <c r="S1617" s="383"/>
      <c r="T1617" s="383"/>
      <c r="U1617" s="383"/>
      <c r="V1617" s="383"/>
      <c r="W1617" s="383"/>
      <c r="X1617" s="383"/>
      <c r="Y1617" s="460">
        <f>+Z818</f>
        <v>121.08000000000001</v>
      </c>
      <c r="Z1617" s="386">
        <v>100.77549804763507</v>
      </c>
      <c r="AA1617" s="386">
        <f>+AA818</f>
        <v>159.21198662399999</v>
      </c>
      <c r="AB1617" s="386">
        <f>+AB818</f>
        <v>159.35388304200001</v>
      </c>
      <c r="AC1617" s="386">
        <f>+AC818</f>
        <v>181.83912250499998</v>
      </c>
      <c r="AD1617" s="386">
        <f>+AD818</f>
        <v>237.699177475</v>
      </c>
      <c r="AE1617" s="387"/>
    </row>
    <row r="1618" spans="1:46">
      <c r="A1618" s="1"/>
      <c r="B1618" s="1"/>
      <c r="C1618" s="1"/>
      <c r="D1618" s="402"/>
      <c r="E1618" s="383"/>
      <c r="F1618" s="383"/>
      <c r="G1618" s="383"/>
      <c r="H1618" s="383"/>
      <c r="I1618" s="383"/>
      <c r="J1618" s="383"/>
      <c r="K1618" s="383"/>
      <c r="L1618" s="383"/>
      <c r="M1618" s="383"/>
      <c r="N1618" s="383"/>
      <c r="O1618" s="383"/>
      <c r="P1618" s="383"/>
      <c r="Q1618" s="383"/>
      <c r="R1618" s="383"/>
      <c r="S1618" s="383"/>
      <c r="T1618" s="383"/>
      <c r="U1618" s="383"/>
      <c r="V1618" s="383"/>
      <c r="W1618" s="383"/>
      <c r="X1618" s="383"/>
      <c r="Y1618" s="460"/>
      <c r="Z1618" s="386"/>
      <c r="AA1618" s="386"/>
      <c r="AB1618" s="386"/>
      <c r="AC1618" s="386"/>
      <c r="AD1618" s="386"/>
      <c r="AE1618" s="387"/>
    </row>
    <row r="1619" spans="1:46">
      <c r="A1619" s="1"/>
      <c r="B1619" s="1"/>
      <c r="C1619" s="1"/>
      <c r="D1619" s="390" t="s">
        <v>448</v>
      </c>
      <c r="E1619" s="383"/>
      <c r="F1619" s="383"/>
      <c r="G1619" s="383"/>
      <c r="H1619" s="383"/>
      <c r="I1619" s="383"/>
      <c r="J1619" s="383"/>
      <c r="K1619" s="383"/>
      <c r="L1619" s="383"/>
      <c r="M1619" s="383"/>
      <c r="N1619" s="383"/>
      <c r="O1619" s="383"/>
      <c r="P1619" s="383"/>
      <c r="Q1619" s="383"/>
      <c r="R1619" s="383"/>
      <c r="S1619" s="383"/>
      <c r="T1619" s="383"/>
      <c r="U1619" s="383"/>
      <c r="V1619" s="383"/>
      <c r="W1619" s="383"/>
      <c r="X1619" s="383"/>
      <c r="Y1619" s="459">
        <f>+Y1620+Y1622</f>
        <v>769.8</v>
      </c>
      <c r="Z1619" s="389">
        <v>747.2322472139972</v>
      </c>
      <c r="AA1619" s="389">
        <f>+AA1620+AA1622</f>
        <v>718.68553264663296</v>
      </c>
      <c r="AB1619" s="389">
        <f>+AB1620+AB1622</f>
        <v>742.26104108982895</v>
      </c>
      <c r="AC1619" s="389">
        <f>+AC1620+AC1622</f>
        <v>850.21990038716001</v>
      </c>
      <c r="AD1619" s="389">
        <f>+AD1620+AD1622</f>
        <v>1071.7092455117818</v>
      </c>
      <c r="AE1619" s="387"/>
      <c r="AG1619"/>
      <c r="AJ1619"/>
      <c r="AK1619"/>
      <c r="AL1619"/>
      <c r="AM1619"/>
      <c r="AN1619"/>
      <c r="AO1619"/>
      <c r="AP1619"/>
      <c r="AQ1619"/>
      <c r="AR1619"/>
      <c r="AS1619"/>
      <c r="AT1619" s="2"/>
    </row>
    <row r="1620" spans="1:46">
      <c r="A1620" s="1"/>
      <c r="B1620" s="1"/>
      <c r="C1620" s="1"/>
      <c r="D1620" s="396" t="s">
        <v>562</v>
      </c>
      <c r="E1620" s="383"/>
      <c r="F1620" s="383"/>
      <c r="G1620" s="383"/>
      <c r="H1620" s="383"/>
      <c r="I1620" s="383"/>
      <c r="J1620" s="383"/>
      <c r="K1620" s="383"/>
      <c r="L1620" s="383"/>
      <c r="M1620" s="383"/>
      <c r="N1620" s="383"/>
      <c r="O1620" s="383"/>
      <c r="P1620" s="383"/>
      <c r="Q1620" s="383"/>
      <c r="R1620" s="383"/>
      <c r="S1620" s="383"/>
      <c r="T1620" s="383"/>
      <c r="U1620" s="383"/>
      <c r="V1620" s="383"/>
      <c r="W1620" s="383"/>
      <c r="X1620" s="383"/>
      <c r="Y1620" s="460">
        <f>+Z826</f>
        <v>388.5</v>
      </c>
      <c r="Z1620" s="386">
        <v>467.12</v>
      </c>
      <c r="AA1620" s="386">
        <f>+AA826</f>
        <v>446.87751730499997</v>
      </c>
      <c r="AB1620" s="386">
        <f>+AB826</f>
        <v>400.977097582</v>
      </c>
      <c r="AC1620" s="386">
        <f>+AC826</f>
        <v>463.15948488100003</v>
      </c>
      <c r="AD1620" s="386">
        <f>+AD826</f>
        <v>623.70524927800011</v>
      </c>
      <c r="AE1620" s="387"/>
      <c r="AG1620"/>
      <c r="AJ1620"/>
      <c r="AK1620"/>
      <c r="AL1620"/>
      <c r="AM1620"/>
      <c r="AN1620"/>
      <c r="AO1620"/>
      <c r="AP1620"/>
      <c r="AQ1620"/>
      <c r="AR1620"/>
      <c r="AS1620"/>
      <c r="AT1620" s="2"/>
    </row>
    <row r="1621" spans="1:46">
      <c r="A1621" s="1"/>
      <c r="B1621" s="1"/>
      <c r="C1621" s="1"/>
      <c r="D1621" s="401" t="s">
        <v>118</v>
      </c>
      <c r="E1621" s="383"/>
      <c r="F1621" s="383"/>
      <c r="G1621" s="383"/>
      <c r="H1621" s="383"/>
      <c r="I1621" s="383"/>
      <c r="J1621" s="383"/>
      <c r="K1621" s="383"/>
      <c r="L1621" s="383"/>
      <c r="M1621" s="383"/>
      <c r="N1621" s="383"/>
      <c r="O1621" s="383"/>
      <c r="P1621" s="383"/>
      <c r="Q1621" s="383"/>
      <c r="R1621" s="383"/>
      <c r="S1621" s="383"/>
      <c r="T1621" s="383"/>
      <c r="U1621" s="383"/>
      <c r="V1621" s="383"/>
      <c r="W1621" s="383"/>
      <c r="X1621" s="383"/>
      <c r="Y1621" s="460"/>
      <c r="Z1621" s="386"/>
      <c r="AA1621" s="386"/>
      <c r="AB1621" s="386"/>
      <c r="AC1621" s="386"/>
      <c r="AD1621" s="386"/>
      <c r="AE1621" s="387"/>
      <c r="AG1621"/>
      <c r="AJ1621"/>
      <c r="AK1621"/>
      <c r="AL1621"/>
      <c r="AM1621"/>
      <c r="AN1621"/>
      <c r="AO1621"/>
      <c r="AP1621"/>
      <c r="AQ1621"/>
      <c r="AR1621"/>
      <c r="AS1621"/>
      <c r="AT1621" s="2"/>
    </row>
    <row r="1622" spans="1:46">
      <c r="A1622" s="1"/>
      <c r="B1622" s="1"/>
      <c r="C1622" s="1"/>
      <c r="D1622" s="396" t="s">
        <v>601</v>
      </c>
      <c r="E1622" s="383"/>
      <c r="F1622" s="383"/>
      <c r="G1622" s="383"/>
      <c r="H1622" s="383"/>
      <c r="I1622" s="383"/>
      <c r="J1622" s="383"/>
      <c r="K1622" s="383"/>
      <c r="L1622" s="383"/>
      <c r="M1622" s="383"/>
      <c r="N1622" s="383"/>
      <c r="O1622" s="383"/>
      <c r="P1622" s="383"/>
      <c r="Q1622" s="383"/>
      <c r="R1622" s="383"/>
      <c r="S1622" s="383"/>
      <c r="T1622" s="383"/>
      <c r="U1622" s="383"/>
      <c r="V1622" s="383"/>
      <c r="W1622" s="383"/>
      <c r="X1622" s="383"/>
      <c r="Y1622" s="460">
        <f>+Z834</f>
        <v>381.3</v>
      </c>
      <c r="Z1622" s="386">
        <v>280.11224721399725</v>
      </c>
      <c r="AA1622" s="386">
        <f>+AA834</f>
        <v>271.80801534163299</v>
      </c>
      <c r="AB1622" s="386">
        <f>+AB834</f>
        <v>341.28394350782901</v>
      </c>
      <c r="AC1622" s="386">
        <f>+AC834</f>
        <v>387.06041550615998</v>
      </c>
      <c r="AD1622" s="386">
        <f>+AD834</f>
        <v>448.00399623378166</v>
      </c>
      <c r="AE1622" s="387"/>
      <c r="AG1622"/>
      <c r="AJ1622"/>
      <c r="AK1622"/>
      <c r="AL1622"/>
      <c r="AM1622"/>
      <c r="AN1622"/>
      <c r="AO1622"/>
      <c r="AP1622"/>
      <c r="AQ1622"/>
      <c r="AR1622"/>
      <c r="AS1622"/>
      <c r="AT1622" s="2"/>
    </row>
    <row r="1623" spans="1:46">
      <c r="A1623" s="1"/>
      <c r="B1623" s="1"/>
      <c r="C1623" s="1"/>
      <c r="D1623" s="395" t="s">
        <v>129</v>
      </c>
      <c r="E1623" s="383"/>
      <c r="F1623" s="383"/>
      <c r="G1623" s="383"/>
      <c r="H1623" s="383"/>
      <c r="I1623" s="383"/>
      <c r="J1623" s="383"/>
      <c r="K1623" s="383"/>
      <c r="L1623" s="383"/>
      <c r="M1623" s="383"/>
      <c r="N1623" s="383"/>
      <c r="O1623" s="383"/>
      <c r="P1623" s="383"/>
      <c r="Q1623" s="383"/>
      <c r="R1623" s="383"/>
      <c r="S1623" s="383"/>
      <c r="T1623" s="383"/>
      <c r="U1623" s="383"/>
      <c r="V1623" s="383"/>
      <c r="W1623" s="383"/>
      <c r="X1623" s="383"/>
      <c r="Y1623" s="460"/>
      <c r="Z1623" s="386"/>
      <c r="AA1623" s="386"/>
      <c r="AB1623" s="386"/>
      <c r="AC1623" s="386"/>
      <c r="AD1623" s="386"/>
      <c r="AE1623" s="387"/>
      <c r="AG1623"/>
      <c r="AJ1623"/>
      <c r="AK1623"/>
      <c r="AL1623"/>
      <c r="AM1623"/>
      <c r="AN1623"/>
      <c r="AO1623"/>
      <c r="AP1623"/>
      <c r="AQ1623"/>
      <c r="AR1623"/>
      <c r="AS1623"/>
      <c r="AT1623" s="2"/>
    </row>
    <row r="1624" spans="1:46">
      <c r="A1624" s="1"/>
      <c r="B1624" s="1"/>
      <c r="C1624" s="1"/>
      <c r="D1624" s="396"/>
      <c r="E1624" s="383"/>
      <c r="F1624" s="383"/>
      <c r="G1624" s="383"/>
      <c r="H1624" s="383"/>
      <c r="I1624" s="383"/>
      <c r="J1624" s="383"/>
      <c r="K1624" s="383"/>
      <c r="L1624" s="383"/>
      <c r="M1624" s="383"/>
      <c r="N1624" s="383"/>
      <c r="O1624" s="383"/>
      <c r="P1624" s="383"/>
      <c r="Q1624" s="383"/>
      <c r="R1624" s="383"/>
      <c r="S1624" s="383"/>
      <c r="T1624" s="383"/>
      <c r="U1624" s="383"/>
      <c r="V1624" s="383"/>
      <c r="W1624" s="383"/>
      <c r="X1624" s="383"/>
      <c r="Y1624" s="460"/>
      <c r="Z1624" s="386"/>
      <c r="AA1624" s="386"/>
      <c r="AB1624" s="386"/>
      <c r="AC1624" s="386"/>
      <c r="AD1624" s="386"/>
      <c r="AE1624" s="387"/>
    </row>
    <row r="1625" spans="1:46">
      <c r="A1625" s="1"/>
      <c r="B1625" s="1"/>
      <c r="C1625" s="1"/>
      <c r="D1625" s="390" t="s">
        <v>602</v>
      </c>
      <c r="E1625" s="383"/>
      <c r="F1625" s="383"/>
      <c r="G1625" s="383"/>
      <c r="H1625" s="383"/>
      <c r="I1625" s="383"/>
      <c r="J1625" s="383"/>
      <c r="K1625" s="383"/>
      <c r="L1625" s="383"/>
      <c r="M1625" s="383"/>
      <c r="N1625" s="383"/>
      <c r="O1625" s="383"/>
      <c r="P1625" s="383"/>
      <c r="Q1625" s="383"/>
      <c r="R1625" s="383"/>
      <c r="S1625" s="383"/>
      <c r="T1625" s="383"/>
      <c r="U1625" s="383"/>
      <c r="V1625" s="383"/>
      <c r="W1625" s="383"/>
      <c r="X1625" s="383"/>
      <c r="Y1625" s="459">
        <f>+Z842+Y1595</f>
        <v>118.69999999999999</v>
      </c>
      <c r="Z1625" s="389">
        <v>132.32578885598923</v>
      </c>
      <c r="AA1625" s="389">
        <f>+AA842+AA1595</f>
        <v>89.895943310999982</v>
      </c>
      <c r="AB1625" s="389">
        <f>+AB842+AB1595</f>
        <v>122.923418078</v>
      </c>
      <c r="AC1625" s="389">
        <f>+AC842+AC1595</f>
        <v>161.03260498499998</v>
      </c>
      <c r="AD1625" s="389">
        <f>+AD842+AD1595</f>
        <v>195.42171657599999</v>
      </c>
      <c r="AE1625" s="387"/>
    </row>
    <row r="1626" spans="1:46">
      <c r="A1626" s="1"/>
      <c r="B1626" s="1"/>
      <c r="C1626" s="1"/>
      <c r="D1626" s="390" t="s">
        <v>603</v>
      </c>
      <c r="E1626" s="383"/>
      <c r="F1626" s="383"/>
      <c r="G1626" s="383"/>
      <c r="H1626" s="383"/>
      <c r="I1626" s="383"/>
      <c r="J1626" s="383"/>
      <c r="K1626" s="383"/>
      <c r="L1626" s="383"/>
      <c r="M1626" s="383"/>
      <c r="N1626" s="383"/>
      <c r="O1626" s="383"/>
      <c r="P1626" s="383"/>
      <c r="Q1626" s="383"/>
      <c r="R1626" s="383"/>
      <c r="S1626" s="383"/>
      <c r="T1626" s="383"/>
      <c r="U1626" s="383"/>
      <c r="V1626" s="383"/>
      <c r="W1626" s="383"/>
      <c r="X1626" s="383"/>
      <c r="Y1626" s="460">
        <f>-Z872</f>
        <v>-5</v>
      </c>
      <c r="Z1626" s="386">
        <v>11.37190368958947</v>
      </c>
      <c r="AA1626" s="386">
        <f>-AA872</f>
        <v>27.618025554000013</v>
      </c>
      <c r="AB1626" s="386">
        <f>-AB872</f>
        <v>-39.965229826000012</v>
      </c>
      <c r="AC1626" s="386">
        <f>-AC872</f>
        <v>25.061232288000014</v>
      </c>
      <c r="AD1626" s="386">
        <f>-AD872</f>
        <v>-55.122620192000042</v>
      </c>
      <c r="AE1626" s="387"/>
    </row>
    <row r="1627" spans="1:46">
      <c r="A1627" s="1"/>
      <c r="B1627" s="1"/>
      <c r="C1627" s="1"/>
      <c r="D1627" s="390" t="s">
        <v>604</v>
      </c>
      <c r="E1627" s="383"/>
      <c r="F1627" s="383"/>
      <c r="G1627" s="383"/>
      <c r="H1627" s="383"/>
      <c r="I1627" s="383"/>
      <c r="J1627" s="383"/>
      <c r="K1627" s="383"/>
      <c r="L1627" s="383"/>
      <c r="M1627" s="383"/>
      <c r="N1627" s="383"/>
      <c r="O1627" s="383"/>
      <c r="P1627" s="383"/>
      <c r="Q1627" s="383"/>
      <c r="R1627" s="383"/>
      <c r="S1627" s="383"/>
      <c r="T1627" s="383"/>
      <c r="U1627" s="383"/>
      <c r="V1627" s="383"/>
      <c r="W1627" s="383"/>
      <c r="X1627" s="383"/>
      <c r="Y1627" s="460">
        <f>+IF(Z$411&lt;0,-Z$411,0)</f>
        <v>0</v>
      </c>
      <c r="Z1627" s="386">
        <v>0</v>
      </c>
      <c r="AA1627" s="386">
        <f>-(AA912+AA914)</f>
        <v>17.5</v>
      </c>
      <c r="AB1627" s="386">
        <f>-(AB912+AB914)</f>
        <v>20.861262175</v>
      </c>
      <c r="AC1627" s="386">
        <f>-(AC912+AC914)</f>
        <v>8.0802268640000001</v>
      </c>
      <c r="AD1627" s="386">
        <f>-(AD912+AD914)</f>
        <v>23.998066952000002</v>
      </c>
      <c r="AE1627" s="387"/>
    </row>
    <row r="1628" spans="1:46">
      <c r="A1628" s="1"/>
      <c r="B1628" s="1"/>
      <c r="C1628" s="1"/>
      <c r="D1628" s="390" t="s">
        <v>605</v>
      </c>
      <c r="E1628" s="383"/>
      <c r="F1628" s="383"/>
      <c r="G1628" s="383"/>
      <c r="H1628" s="383"/>
      <c r="I1628" s="383"/>
      <c r="J1628" s="383"/>
      <c r="K1628" s="383"/>
      <c r="L1628" s="383"/>
      <c r="M1628" s="383"/>
      <c r="N1628" s="383"/>
      <c r="O1628" s="383"/>
      <c r="P1628" s="383"/>
      <c r="Q1628" s="383"/>
      <c r="R1628" s="383"/>
      <c r="S1628" s="383"/>
      <c r="T1628" s="383"/>
      <c r="U1628" s="383"/>
      <c r="V1628" s="383"/>
      <c r="W1628" s="383"/>
      <c r="X1628" s="383"/>
      <c r="Y1628" s="460">
        <f>+IF(Z$920&lt;0,-Z$920,0)</f>
        <v>0</v>
      </c>
      <c r="Z1628" s="394">
        <v>19.100000000000001</v>
      </c>
      <c r="AA1628" s="394"/>
      <c r="AB1628" s="386">
        <f>+IF(AB$924&lt;0,-AB$924,0)</f>
        <v>0</v>
      </c>
      <c r="AC1628" s="386">
        <f>+IF(AC$924&lt;0,-AC$924,0)</f>
        <v>0</v>
      </c>
      <c r="AD1628" s="386">
        <f>+IF(AD$924&lt;0,-AD$924,0)</f>
        <v>0</v>
      </c>
      <c r="AE1628" s="387"/>
    </row>
    <row r="1629" spans="1:46">
      <c r="A1629" s="1"/>
      <c r="B1629" s="1"/>
      <c r="C1629" s="1"/>
      <c r="D1629" s="403" t="s">
        <v>95</v>
      </c>
      <c r="E1629" s="383"/>
      <c r="F1629" s="383"/>
      <c r="G1629" s="383"/>
      <c r="H1629" s="383"/>
      <c r="I1629" s="383"/>
      <c r="J1629" s="383"/>
      <c r="K1629" s="383"/>
      <c r="L1629" s="383"/>
      <c r="M1629" s="383"/>
      <c r="N1629" s="383"/>
      <c r="O1629" s="383"/>
      <c r="P1629" s="383"/>
      <c r="Q1629" s="383"/>
      <c r="R1629" s="383"/>
      <c r="S1629" s="383"/>
      <c r="T1629" s="383"/>
      <c r="U1629" s="383"/>
      <c r="V1629" s="383"/>
      <c r="W1629" s="383"/>
      <c r="X1629" s="383"/>
      <c r="Y1629" s="462">
        <f>+IF(ABS(Y1599-Y1630)&gt;0.2,Y1599-Y1630,"")</f>
        <v>-129.24840287106485</v>
      </c>
      <c r="Z1629" s="394" t="s">
        <v>115</v>
      </c>
      <c r="AA1629" s="394">
        <f>+IF(ABS(AA1599-AA1630)&gt;0.2,AA1599-AA1630,"")</f>
        <v>-4.5833860984612329</v>
      </c>
      <c r="AB1629" s="386">
        <f>+IF(ABS(AB1599-AB1630)&gt;0.2,AB1599-AB1630,"")</f>
        <v>-105.09605482266488</v>
      </c>
      <c r="AC1629" s="386" t="str">
        <f>+IF(ABS(AC1599-AC1630)&gt;0.2,AC1599-AC1630,"")</f>
        <v/>
      </c>
      <c r="AD1629" s="386">
        <f>+IF(ABS(AD1599-AD1630)&gt;0.2,AD1599-AD1630,"")</f>
        <v>-50.119566902589668</v>
      </c>
      <c r="AE1629" s="387"/>
    </row>
    <row r="1630" spans="1:46" ht="15.9" thickBot="1">
      <c r="A1630" s="1"/>
      <c r="B1630" s="1"/>
      <c r="C1630" s="1"/>
      <c r="D1630" s="404" t="s">
        <v>606</v>
      </c>
      <c r="E1630" s="405"/>
      <c r="F1630" s="405"/>
      <c r="G1630" s="405"/>
      <c r="H1630" s="405"/>
      <c r="I1630" s="405"/>
      <c r="J1630" s="405"/>
      <c r="K1630" s="405"/>
      <c r="L1630" s="405"/>
      <c r="M1630" s="405"/>
      <c r="N1630" s="405"/>
      <c r="O1630" s="405"/>
      <c r="P1630" s="405"/>
      <c r="Q1630" s="405"/>
      <c r="R1630" s="405"/>
      <c r="S1630" s="405"/>
      <c r="T1630" s="405"/>
      <c r="U1630" s="405"/>
      <c r="V1630" s="405"/>
      <c r="W1630" s="405"/>
      <c r="X1630" s="405"/>
      <c r="Y1630" s="463">
        <f>+Y1603+Y1619+Y1625+Y1626+Y1627+Y1628</f>
        <v>1723.0304580018158</v>
      </c>
      <c r="Z1630" s="456">
        <v>1823.5981679867123</v>
      </c>
      <c r="AA1630" s="456">
        <f>+AA1603+AA1619+AA1625+AA1626+AA1627+AA1628</f>
        <v>1778.9452336853526</v>
      </c>
      <c r="AB1630" s="456">
        <f>+AB1603+AB1619+AB1625+AB1626+AB1627+AB1628</f>
        <v>1976.2286617039993</v>
      </c>
      <c r="AC1630" s="456">
        <f>+AC1603+AC1619+AC1625+AC1626+AC1627+AC1628</f>
        <v>2222.7513840465272</v>
      </c>
      <c r="AD1630" s="456">
        <f>+AD1603+AD1619+AD1625+AD1626+AD1627+AD1628</f>
        <v>2596.176901405041</v>
      </c>
      <c r="AE1630" s="406"/>
    </row>
    <row r="1631" spans="1:46">
      <c r="A1631" s="1"/>
      <c r="B1631" s="1"/>
      <c r="C1631" s="1"/>
      <c r="D1631" s="14"/>
      <c r="E1631" s="14"/>
      <c r="F1631" s="14"/>
      <c r="G1631" s="14"/>
      <c r="H1631" s="14"/>
      <c r="I1631" s="14"/>
      <c r="J1631" s="14"/>
      <c r="K1631" s="14"/>
      <c r="L1631" s="14"/>
      <c r="M1631" s="14"/>
      <c r="N1631" s="14"/>
      <c r="O1631" s="14"/>
      <c r="P1631" s="14"/>
      <c r="Q1631" s="14"/>
      <c r="R1631" s="14"/>
      <c r="S1631" s="14"/>
      <c r="T1631" s="14"/>
      <c r="U1631" s="14"/>
      <c r="V1631" s="14"/>
      <c r="W1631" s="14"/>
      <c r="X1631" s="14"/>
      <c r="Y1631" s="14"/>
      <c r="Z1631" s="14"/>
      <c r="AA1631" s="14"/>
      <c r="AB1631" s="14"/>
      <c r="AC1631" s="14"/>
      <c r="AD1631" s="14"/>
      <c r="AE1631" s="14"/>
    </row>
    <row r="1632" spans="1:46">
      <c r="A1632" s="1"/>
      <c r="B1632" s="1"/>
      <c r="C1632" s="1"/>
      <c r="D1632" s="464"/>
      <c r="E1632" s="14"/>
      <c r="F1632" s="14"/>
      <c r="G1632" s="14"/>
      <c r="H1632" s="14"/>
      <c r="I1632" s="14"/>
      <c r="J1632" s="14"/>
      <c r="K1632" s="14"/>
      <c r="L1632" s="14"/>
      <c r="M1632" s="14"/>
      <c r="N1632" s="14"/>
      <c r="O1632" s="14"/>
      <c r="P1632" s="14"/>
      <c r="Q1632" s="14"/>
      <c r="R1632" s="14"/>
      <c r="S1632" s="14"/>
      <c r="T1632" s="14"/>
      <c r="U1632" s="14"/>
      <c r="V1632" s="14"/>
      <c r="W1632" s="14"/>
      <c r="X1632" s="14"/>
      <c r="Y1632" s="14"/>
      <c r="Z1632" s="14"/>
      <c r="AA1632" s="14"/>
      <c r="AB1632" s="14"/>
      <c r="AC1632" s="14"/>
      <c r="AD1632" s="14"/>
      <c r="AE1632" s="14"/>
      <c r="AH1632" s="1628"/>
      <c r="AI1632" s="1628"/>
      <c r="AJ1632" s="1628"/>
      <c r="AK1632" s="1628"/>
      <c r="AL1632" s="1628"/>
      <c r="AM1632" s="1628"/>
      <c r="AN1632" s="1628"/>
      <c r="AO1632" s="1628"/>
      <c r="AP1632" s="1628"/>
      <c r="AQ1632" s="1628"/>
      <c r="AR1632" s="1628"/>
      <c r="AS1632" s="1628"/>
      <c r="AT1632" s="2603"/>
    </row>
    <row r="1633" spans="1:49">
      <c r="A1633" s="1"/>
      <c r="B1633" s="1"/>
      <c r="C1633" s="1"/>
      <c r="D1633" s="71" t="s">
        <v>892</v>
      </c>
      <c r="E1633" s="9"/>
      <c r="F1633" s="9"/>
      <c r="G1633" s="9"/>
      <c r="H1633" s="9"/>
      <c r="I1633" s="9">
        <v>1998</v>
      </c>
      <c r="J1633" s="9">
        <v>1999</v>
      </c>
      <c r="K1633" s="9">
        <v>2000</v>
      </c>
      <c r="L1633" s="9">
        <v>2001</v>
      </c>
      <c r="M1633" s="9">
        <v>2002</v>
      </c>
      <c r="N1633" s="9">
        <v>2003</v>
      </c>
      <c r="O1633" s="9">
        <v>2004</v>
      </c>
      <c r="P1633" s="9">
        <v>2005</v>
      </c>
      <c r="Q1633" s="9">
        <v>2006</v>
      </c>
      <c r="R1633" s="9">
        <v>2007</v>
      </c>
      <c r="S1633" s="9">
        <v>2008</v>
      </c>
      <c r="T1633" s="9">
        <v>2009</v>
      </c>
      <c r="U1633" s="9">
        <v>2010</v>
      </c>
      <c r="V1633" s="9"/>
      <c r="W1633" s="9"/>
      <c r="X1633" s="9"/>
      <c r="Y1633" s="9"/>
      <c r="Z1633" s="9"/>
      <c r="AA1633" s="9"/>
      <c r="AB1633" s="9"/>
      <c r="AC1633" s="9"/>
      <c r="AD1633" s="9"/>
      <c r="AE1633" s="9"/>
    </row>
    <row r="1634" spans="1:49">
      <c r="A1634" s="1"/>
      <c r="B1634" s="1"/>
      <c r="C1634" s="1"/>
      <c r="D1634" s="2143" t="s">
        <v>642</v>
      </c>
      <c r="E1634" s="80"/>
      <c r="F1634" s="80"/>
      <c r="G1634" s="80"/>
      <c r="H1634" s="80"/>
      <c r="I1634" s="80"/>
      <c r="J1634" s="80"/>
      <c r="K1634" s="80"/>
      <c r="L1634" s="80"/>
      <c r="M1634" s="80"/>
      <c r="N1634" s="80"/>
      <c r="O1634" s="80"/>
      <c r="P1634" s="80"/>
      <c r="Q1634" s="80"/>
      <c r="R1634" s="80"/>
      <c r="S1634" s="80"/>
      <c r="T1634" s="80"/>
      <c r="U1634" s="2"/>
      <c r="V1634" s="530" t="s">
        <v>708</v>
      </c>
      <c r="W1634" s="905">
        <v>2012</v>
      </c>
      <c r="X1634" s="905">
        <v>2013</v>
      </c>
      <c r="Y1634" s="905">
        <v>2014</v>
      </c>
      <c r="Z1634" s="905">
        <v>2015</v>
      </c>
      <c r="AA1634" s="905">
        <v>2016</v>
      </c>
      <c r="AB1634" s="905">
        <v>2017</v>
      </c>
      <c r="AC1634" s="905">
        <v>2018</v>
      </c>
      <c r="AD1634" s="905">
        <v>2019</v>
      </c>
      <c r="AE1634" s="905">
        <v>2020</v>
      </c>
      <c r="AF1634" s="905">
        <f t="shared" ref="AF1634:AH1635" si="1972">+AE1634+1</f>
        <v>2021</v>
      </c>
      <c r="AG1634" s="905">
        <f t="shared" si="1972"/>
        <v>2022</v>
      </c>
      <c r="AH1634" s="905">
        <f t="shared" si="1972"/>
        <v>2023</v>
      </c>
      <c r="AI1634" s="905">
        <f t="shared" ref="AI1634:AM1635" si="1973">+AH1634+1</f>
        <v>2024</v>
      </c>
      <c r="AJ1634" s="905">
        <f t="shared" si="1973"/>
        <v>2025</v>
      </c>
      <c r="AK1634" s="905">
        <f t="shared" si="1973"/>
        <v>2026</v>
      </c>
      <c r="AL1634" s="905">
        <f t="shared" si="1973"/>
        <v>2027</v>
      </c>
      <c r="AM1634" s="905">
        <f t="shared" si="1973"/>
        <v>2028</v>
      </c>
      <c r="AN1634" s="905">
        <f t="shared" ref="AN1634:AN1635" si="1974">+AM1634+1</f>
        <v>2029</v>
      </c>
      <c r="AO1634" s="905">
        <f t="shared" ref="AO1634:AO1635" si="1975">+AN1634+1</f>
        <v>2030</v>
      </c>
      <c r="AP1634" s="905">
        <f t="shared" ref="AP1634:AP1635" si="1976">+AO1634+1</f>
        <v>2031</v>
      </c>
      <c r="AQ1634" s="905">
        <f t="shared" ref="AQ1634:AQ1635" si="1977">+AP1634+1</f>
        <v>2032</v>
      </c>
      <c r="AR1634" s="905">
        <f t="shared" ref="AR1634:AR1635" si="1978">+AQ1634+1</f>
        <v>2033</v>
      </c>
      <c r="AS1634" s="905">
        <f t="shared" ref="AS1634:AS1635" si="1979">+AR1634+1</f>
        <v>2034</v>
      </c>
      <c r="AT1634" s="904">
        <f t="shared" ref="AT1634:AT1635" si="1980">+AS1634+1</f>
        <v>2035</v>
      </c>
      <c r="AV1634" s="904"/>
      <c r="AW1634" s="904"/>
    </row>
    <row r="1635" spans="1:49">
      <c r="A1635" s="1"/>
      <c r="B1635" s="1"/>
      <c r="C1635" s="1"/>
      <c r="D1635" s="973" t="s">
        <v>303</v>
      </c>
      <c r="E1635" s="974"/>
      <c r="F1635" s="974"/>
      <c r="G1635" s="974"/>
      <c r="H1635" s="974"/>
      <c r="I1635" s="975">
        <v>1998</v>
      </c>
      <c r="J1635" s="976">
        <v>1999</v>
      </c>
      <c r="K1635" s="976">
        <v>2000</v>
      </c>
      <c r="L1635" s="976">
        <v>2001</v>
      </c>
      <c r="M1635" s="976">
        <v>2002</v>
      </c>
      <c r="N1635" s="976">
        <v>2003</v>
      </c>
      <c r="O1635" s="976">
        <v>2004</v>
      </c>
      <c r="P1635" s="976">
        <v>2005</v>
      </c>
      <c r="Q1635" s="976">
        <v>2006</v>
      </c>
      <c r="R1635" s="976">
        <v>2007</v>
      </c>
      <c r="S1635" s="976">
        <v>2008</v>
      </c>
      <c r="T1635" s="976">
        <v>2009</v>
      </c>
      <c r="U1635" s="976">
        <v>2010</v>
      </c>
      <c r="V1635" s="976">
        <v>2011</v>
      </c>
      <c r="W1635" s="976">
        <v>2012</v>
      </c>
      <c r="X1635" s="976">
        <v>2013</v>
      </c>
      <c r="Y1635" s="976">
        <v>2014</v>
      </c>
      <c r="Z1635" s="976">
        <v>2015</v>
      </c>
      <c r="AA1635" s="976">
        <v>2016</v>
      </c>
      <c r="AB1635" s="976">
        <v>2017</v>
      </c>
      <c r="AC1635" s="976">
        <v>2018</v>
      </c>
      <c r="AD1635" s="976">
        <v>2019</v>
      </c>
      <c r="AE1635" s="976">
        <v>2020</v>
      </c>
      <c r="AF1635" s="976">
        <f t="shared" si="1972"/>
        <v>2021</v>
      </c>
      <c r="AG1635" s="976">
        <f t="shared" si="1972"/>
        <v>2022</v>
      </c>
      <c r="AH1635" s="976">
        <f t="shared" si="1972"/>
        <v>2023</v>
      </c>
      <c r="AI1635" s="976">
        <f t="shared" si="1973"/>
        <v>2024</v>
      </c>
      <c r="AJ1635" s="976">
        <f t="shared" si="1973"/>
        <v>2025</v>
      </c>
      <c r="AK1635" s="976">
        <f t="shared" si="1973"/>
        <v>2026</v>
      </c>
      <c r="AL1635" s="1002">
        <f t="shared" si="1973"/>
        <v>2027</v>
      </c>
      <c r="AM1635" s="1002">
        <f t="shared" si="1973"/>
        <v>2028</v>
      </c>
      <c r="AN1635" s="1002">
        <f t="shared" si="1974"/>
        <v>2029</v>
      </c>
      <c r="AO1635" s="1002">
        <f t="shared" si="1975"/>
        <v>2030</v>
      </c>
      <c r="AP1635" s="1002">
        <f t="shared" si="1976"/>
        <v>2031</v>
      </c>
      <c r="AQ1635" s="1002">
        <f t="shared" si="1977"/>
        <v>2032</v>
      </c>
      <c r="AR1635" s="1002">
        <f t="shared" si="1978"/>
        <v>2033</v>
      </c>
      <c r="AS1635" s="1002">
        <f t="shared" si="1979"/>
        <v>2034</v>
      </c>
      <c r="AT1635" s="1002">
        <f t="shared" si="1980"/>
        <v>2035</v>
      </c>
      <c r="AV1635" s="1002"/>
      <c r="AW1635" s="1002"/>
    </row>
    <row r="1636" spans="1:49">
      <c r="A1636" s="1"/>
      <c r="B1636" s="1"/>
      <c r="C1636" s="1"/>
      <c r="D1636" s="973" t="s">
        <v>3215</v>
      </c>
      <c r="E1636" s="974"/>
      <c r="F1636" s="974"/>
      <c r="G1636" s="974"/>
      <c r="H1636" s="974"/>
      <c r="I1636" s="975"/>
      <c r="J1636" s="977">
        <f t="shared" ref="J1636:T1636" si="1981">(J1060+K1060)/2</f>
        <v>0</v>
      </c>
      <c r="K1636" s="977">
        <f t="shared" si="1981"/>
        <v>0</v>
      </c>
      <c r="L1636" s="977">
        <f t="shared" si="1981"/>
        <v>0</v>
      </c>
      <c r="M1636" s="977">
        <f t="shared" si="1981"/>
        <v>0</v>
      </c>
      <c r="N1636" s="977">
        <f t="shared" si="1981"/>
        <v>0</v>
      </c>
      <c r="O1636" s="977">
        <f t="shared" si="1981"/>
        <v>0</v>
      </c>
      <c r="P1636" s="977">
        <f t="shared" si="1981"/>
        <v>0</v>
      </c>
      <c r="Q1636" s="977">
        <f t="shared" si="1981"/>
        <v>0</v>
      </c>
      <c r="R1636" s="977">
        <f t="shared" si="1981"/>
        <v>0</v>
      </c>
      <c r="S1636" s="977">
        <f t="shared" si="1981"/>
        <v>0</v>
      </c>
      <c r="T1636" s="977">
        <f t="shared" si="1981"/>
        <v>0</v>
      </c>
      <c r="U1636" s="977">
        <f t="shared" ref="U1636:AT1636" si="1982">(U1061+U1132+V1061+V1132)/2</f>
        <v>100.7613663705</v>
      </c>
      <c r="V1636" s="977">
        <f t="shared" si="1982"/>
        <v>232.36136637049998</v>
      </c>
      <c r="W1636" s="977">
        <f t="shared" si="1982"/>
        <v>314.86897682</v>
      </c>
      <c r="X1636" s="977">
        <f t="shared" si="1982"/>
        <v>615.50589260083621</v>
      </c>
      <c r="Y1636" s="977">
        <f t="shared" si="1982"/>
        <v>933.62656257083358</v>
      </c>
      <c r="Z1636" s="977">
        <f t="shared" si="1982"/>
        <v>1085.3713956162085</v>
      </c>
      <c r="AA1636" s="977">
        <f t="shared" si="1982"/>
        <v>1216.7659808487049</v>
      </c>
      <c r="AB1636" s="977">
        <f t="shared" si="1982"/>
        <v>1344.1052199093508</v>
      </c>
      <c r="AC1636" s="977">
        <f t="shared" si="1982"/>
        <v>1546.45964467762</v>
      </c>
      <c r="AD1636" s="977">
        <f t="shared" si="1982"/>
        <v>1717.9045284508557</v>
      </c>
      <c r="AE1636" s="977">
        <f t="shared" si="1982"/>
        <v>1886.3173863035956</v>
      </c>
      <c r="AF1636" s="977">
        <f t="shared" si="1982"/>
        <v>2142.5508375984141</v>
      </c>
      <c r="AG1636" s="977">
        <f t="shared" si="1982"/>
        <v>2483.1292918106042</v>
      </c>
      <c r="AH1636" s="977">
        <f t="shared" si="1982"/>
        <v>2870.7984449253991</v>
      </c>
      <c r="AI1636" s="977">
        <f t="shared" si="1982"/>
        <v>3306.357776738912</v>
      </c>
      <c r="AJ1636" s="977">
        <f t="shared" si="1982"/>
        <v>3950.1048436945389</v>
      </c>
      <c r="AK1636" s="977">
        <f t="shared" si="1982"/>
        <v>4747.9521177881152</v>
      </c>
      <c r="AL1636" s="977">
        <f t="shared" si="1982"/>
        <v>5541.1862566343671</v>
      </c>
      <c r="AM1636" s="977">
        <f t="shared" si="1982"/>
        <v>6338.4673768797593</v>
      </c>
      <c r="AN1636" s="977">
        <f t="shared" si="1982"/>
        <v>7235.2942992607213</v>
      </c>
      <c r="AO1636" s="977">
        <f t="shared" si="1982"/>
        <v>8206.7919255157703</v>
      </c>
      <c r="AP1636" s="977">
        <f t="shared" si="1982"/>
        <v>9180.6098382269829</v>
      </c>
      <c r="AQ1636" s="977">
        <f t="shared" si="1982"/>
        <v>10270.022536346885</v>
      </c>
      <c r="AR1636" s="977">
        <f t="shared" si="1982"/>
        <v>11552.549650103534</v>
      </c>
      <c r="AS1636" s="977">
        <f t="shared" si="1982"/>
        <v>14169.767503554907</v>
      </c>
      <c r="AT1636" s="977">
        <f t="shared" si="1982"/>
        <v>18735.822052076172</v>
      </c>
      <c r="AV1636" s="977"/>
      <c r="AW1636" s="977"/>
    </row>
    <row r="1637" spans="1:49">
      <c r="A1637" s="1"/>
      <c r="B1637" s="1"/>
      <c r="C1637" s="1"/>
      <c r="D1637" s="980" t="s">
        <v>3255</v>
      </c>
      <c r="E1637" s="981"/>
      <c r="F1637" s="981"/>
      <c r="G1637" s="981"/>
      <c r="H1637" s="981"/>
      <c r="I1637" s="982"/>
      <c r="J1637" s="983">
        <f t="shared" ref="J1637:AT1637" si="1983">(K1062+J1062+K1069+J1069)/2</f>
        <v>0</v>
      </c>
      <c r="K1637" s="983">
        <f t="shared" si="1983"/>
        <v>0</v>
      </c>
      <c r="L1637" s="983">
        <f t="shared" si="1983"/>
        <v>0</v>
      </c>
      <c r="M1637" s="983">
        <f t="shared" si="1983"/>
        <v>0</v>
      </c>
      <c r="N1637" s="983">
        <f t="shared" si="1983"/>
        <v>0</v>
      </c>
      <c r="O1637" s="983">
        <f t="shared" si="1983"/>
        <v>0</v>
      </c>
      <c r="P1637" s="983">
        <f t="shared" si="1983"/>
        <v>0</v>
      </c>
      <c r="Q1637" s="983">
        <f t="shared" si="1983"/>
        <v>0</v>
      </c>
      <c r="R1637" s="983">
        <f t="shared" si="1983"/>
        <v>0</v>
      </c>
      <c r="S1637" s="983">
        <f t="shared" si="1983"/>
        <v>0</v>
      </c>
      <c r="T1637" s="983">
        <f t="shared" si="1983"/>
        <v>0</v>
      </c>
      <c r="U1637" s="983">
        <f t="shared" si="1983"/>
        <v>90.45</v>
      </c>
      <c r="V1637" s="983">
        <f t="shared" si="1983"/>
        <v>204.7</v>
      </c>
      <c r="W1637" s="983">
        <f t="shared" si="1983"/>
        <v>255.26897681999998</v>
      </c>
      <c r="X1637" s="983">
        <f t="shared" si="1983"/>
        <v>284.96146723499999</v>
      </c>
      <c r="Y1637" s="983">
        <f t="shared" si="1983"/>
        <v>314.90186935000003</v>
      </c>
      <c r="Z1637" s="983">
        <f t="shared" si="1983"/>
        <v>374.45291135195737</v>
      </c>
      <c r="AA1637" s="983">
        <f t="shared" si="1983"/>
        <v>414.04996827595608</v>
      </c>
      <c r="AB1637" s="983">
        <f t="shared" si="1983"/>
        <v>446.26967297048122</v>
      </c>
      <c r="AC1637" s="983">
        <f t="shared" si="1983"/>
        <v>533.40016347358255</v>
      </c>
      <c r="AD1637" s="983">
        <f t="shared" si="1983"/>
        <v>618.42469833566201</v>
      </c>
      <c r="AE1637" s="983">
        <f t="shared" si="1983"/>
        <v>672.01407575380085</v>
      </c>
      <c r="AF1637" s="983">
        <f t="shared" si="1983"/>
        <v>778.05472682293657</v>
      </c>
      <c r="AG1637" s="983">
        <f t="shared" si="1983"/>
        <v>938.14948570918716</v>
      </c>
      <c r="AH1637" s="983">
        <f t="shared" si="1983"/>
        <v>1100.6569870709932</v>
      </c>
      <c r="AI1637" s="983">
        <f t="shared" si="1983"/>
        <v>1267.9941359953498</v>
      </c>
      <c r="AJ1637" s="983">
        <f t="shared" si="1983"/>
        <v>1461.5032296731238</v>
      </c>
      <c r="AK1637" s="983">
        <f t="shared" si="1983"/>
        <v>1720.0912215616281</v>
      </c>
      <c r="AL1637" s="983">
        <f t="shared" si="1983"/>
        <v>2027.3470239920473</v>
      </c>
      <c r="AM1637" s="983">
        <f t="shared" si="1983"/>
        <v>2339.7521511068207</v>
      </c>
      <c r="AN1637" s="983">
        <f t="shared" si="1983"/>
        <v>2672.1357906470739</v>
      </c>
      <c r="AO1637" s="983">
        <f t="shared" si="1983"/>
        <v>3042.7299422296574</v>
      </c>
      <c r="AP1637" s="983">
        <f t="shared" si="1983"/>
        <v>3487.0489931337215</v>
      </c>
      <c r="AQ1637" s="983">
        <f t="shared" si="1983"/>
        <v>4016.0731001918321</v>
      </c>
      <c r="AR1637" s="983">
        <f t="shared" si="1983"/>
        <v>4598.3171915838375</v>
      </c>
      <c r="AS1637" s="983">
        <f t="shared" si="1983"/>
        <v>5728.0914675903505</v>
      </c>
      <c r="AT1637" s="983">
        <f t="shared" si="1983"/>
        <v>7676.9723525958361</v>
      </c>
      <c r="AV1637" s="983"/>
      <c r="AW1637" s="983"/>
    </row>
    <row r="1638" spans="1:49">
      <c r="A1638" s="1"/>
      <c r="B1638" s="1"/>
      <c r="C1638" s="1"/>
      <c r="D1638" s="984" t="s">
        <v>3029</v>
      </c>
      <c r="E1638" s="981"/>
      <c r="F1638" s="981"/>
      <c r="G1638" s="981"/>
      <c r="H1638" s="981"/>
      <c r="I1638" s="982"/>
      <c r="J1638" s="983">
        <f t="shared" ref="J1638:AT1638" si="1984">(K1063+J1063+K1069+J1069)/2</f>
        <v>0</v>
      </c>
      <c r="K1638" s="983">
        <f t="shared" si="1984"/>
        <v>0</v>
      </c>
      <c r="L1638" s="983">
        <f t="shared" si="1984"/>
        <v>0</v>
      </c>
      <c r="M1638" s="983">
        <f t="shared" si="1984"/>
        <v>0</v>
      </c>
      <c r="N1638" s="983">
        <f t="shared" si="1984"/>
        <v>0</v>
      </c>
      <c r="O1638" s="983">
        <f t="shared" si="1984"/>
        <v>0</v>
      </c>
      <c r="P1638" s="983">
        <f t="shared" si="1984"/>
        <v>0</v>
      </c>
      <c r="Q1638" s="983">
        <f t="shared" si="1984"/>
        <v>0</v>
      </c>
      <c r="R1638" s="983">
        <f t="shared" si="1984"/>
        <v>0</v>
      </c>
      <c r="S1638" s="983">
        <f t="shared" si="1984"/>
        <v>0</v>
      </c>
      <c r="T1638" s="983">
        <f t="shared" si="1984"/>
        <v>0</v>
      </c>
      <c r="U1638" s="983">
        <f t="shared" si="1984"/>
        <v>90.45</v>
      </c>
      <c r="V1638" s="983">
        <f t="shared" si="1984"/>
        <v>204.7</v>
      </c>
      <c r="W1638" s="983">
        <f t="shared" si="1984"/>
        <v>255.26897681999998</v>
      </c>
      <c r="X1638" s="983">
        <f t="shared" si="1984"/>
        <v>258.24533691600004</v>
      </c>
      <c r="Y1638" s="983">
        <f t="shared" si="1984"/>
        <v>250.55011652000002</v>
      </c>
      <c r="Z1638" s="983">
        <f t="shared" si="1984"/>
        <v>296.83430954304993</v>
      </c>
      <c r="AA1638" s="983">
        <f t="shared" si="1984"/>
        <v>334.30724673465892</v>
      </c>
      <c r="AB1638" s="983">
        <f t="shared" si="1984"/>
        <v>357.45324648186852</v>
      </c>
      <c r="AC1638" s="983">
        <f t="shared" si="1984"/>
        <v>347.10716246232857</v>
      </c>
      <c r="AD1638" s="983">
        <f t="shared" si="1984"/>
        <v>411.31059895812768</v>
      </c>
      <c r="AE1638" s="983">
        <f t="shared" si="1984"/>
        <v>527.34674071849327</v>
      </c>
      <c r="AF1638" s="983">
        <f t="shared" si="1984"/>
        <v>603.0492054621875</v>
      </c>
      <c r="AG1638" s="983">
        <f t="shared" si="1984"/>
        <v>699.58916655530538</v>
      </c>
      <c r="AH1638" s="983">
        <f t="shared" si="1984"/>
        <v>781.44758900604222</v>
      </c>
      <c r="AI1638" s="983">
        <f t="shared" si="1984"/>
        <v>880.87060776033582</v>
      </c>
      <c r="AJ1638" s="983">
        <f t="shared" si="1984"/>
        <v>863.8453230270037</v>
      </c>
      <c r="AK1638" s="983">
        <f t="shared" si="1984"/>
        <v>843.44920683107557</v>
      </c>
      <c r="AL1638" s="983">
        <f t="shared" si="1984"/>
        <v>975.04600755226829</v>
      </c>
      <c r="AM1638" s="983">
        <f t="shared" si="1984"/>
        <v>1119.4291081184904</v>
      </c>
      <c r="AN1638" s="983">
        <f t="shared" si="1984"/>
        <v>1276.1126186794336</v>
      </c>
      <c r="AO1638" s="983">
        <f t="shared" si="1984"/>
        <v>1445.0768213806614</v>
      </c>
      <c r="AP1638" s="983">
        <f t="shared" si="1984"/>
        <v>1633.3761980664121</v>
      </c>
      <c r="AQ1638" s="983">
        <f t="shared" si="1984"/>
        <v>1851.2236239209847</v>
      </c>
      <c r="AR1638" s="983">
        <f t="shared" si="1984"/>
        <v>2088.7647183526697</v>
      </c>
      <c r="AS1638" s="983">
        <f t="shared" si="1984"/>
        <v>2519.1031615875354</v>
      </c>
      <c r="AT1638" s="983">
        <f t="shared" si="1984"/>
        <v>3221.0929012541401</v>
      </c>
      <c r="AV1638" s="983"/>
      <c r="AW1638" s="983"/>
    </row>
    <row r="1639" spans="1:49">
      <c r="A1639" s="1"/>
      <c r="B1639" s="1"/>
      <c r="C1639" s="1"/>
      <c r="D1639" s="984" t="s">
        <v>3256</v>
      </c>
      <c r="E1639" s="981"/>
      <c r="F1639" s="981"/>
      <c r="G1639" s="981"/>
      <c r="H1639" s="981"/>
      <c r="I1639" s="982"/>
      <c r="J1639" s="983"/>
      <c r="K1639" s="983"/>
      <c r="L1639" s="983"/>
      <c r="M1639" s="983"/>
      <c r="N1639" s="983"/>
      <c r="O1639" s="983"/>
      <c r="P1639" s="983"/>
      <c r="Q1639" s="983"/>
      <c r="R1639" s="983"/>
      <c r="S1639" s="983"/>
      <c r="T1639" s="983"/>
      <c r="U1639" s="983">
        <f t="shared" ref="U1639:AT1639" si="1985">(V1067+U1067)/2</f>
        <v>0</v>
      </c>
      <c r="V1639" s="983">
        <f t="shared" si="1985"/>
        <v>0</v>
      </c>
      <c r="W1639" s="983">
        <f t="shared" si="1985"/>
        <v>0</v>
      </c>
      <c r="X1639" s="983">
        <f t="shared" si="1985"/>
        <v>25.865908916999999</v>
      </c>
      <c r="Y1639" s="983">
        <f t="shared" si="1985"/>
        <v>58.441880345999998</v>
      </c>
      <c r="Z1639" s="983">
        <f t="shared" si="1985"/>
        <v>70.932923868513313</v>
      </c>
      <c r="AA1639" s="983">
        <f t="shared" si="1985"/>
        <v>78.116694682903059</v>
      </c>
      <c r="AB1639" s="983">
        <f t="shared" si="1985"/>
        <v>88.816426488612606</v>
      </c>
      <c r="AC1639" s="983">
        <f t="shared" si="1985"/>
        <v>134.6551008229996</v>
      </c>
      <c r="AD1639" s="983">
        <f t="shared" si="1985"/>
        <v>154.37630368577999</v>
      </c>
      <c r="AE1639" s="983">
        <f t="shared" si="1985"/>
        <v>141.58989771208317</v>
      </c>
      <c r="AF1639" s="983">
        <f t="shared" si="1985"/>
        <v>169.60066980888217</v>
      </c>
      <c r="AG1639" s="983">
        <f t="shared" si="1985"/>
        <v>232.93005147823578</v>
      </c>
      <c r="AH1639" s="983">
        <f t="shared" si="1985"/>
        <v>314.69747875794747</v>
      </c>
      <c r="AI1639" s="983">
        <f t="shared" si="1985"/>
        <v>382.42616716701389</v>
      </c>
      <c r="AJ1639" s="983">
        <f t="shared" si="1985"/>
        <v>595.26950694161997</v>
      </c>
      <c r="AK1639" s="983">
        <f t="shared" si="1985"/>
        <v>876.64201473055232</v>
      </c>
      <c r="AL1639" s="983">
        <f t="shared" si="1985"/>
        <v>1052.301016439779</v>
      </c>
      <c r="AM1639" s="983">
        <f t="shared" si="1985"/>
        <v>1220.3230429883304</v>
      </c>
      <c r="AN1639" s="983">
        <f t="shared" si="1985"/>
        <v>1396.0231719676406</v>
      </c>
      <c r="AO1639" s="983">
        <f t="shared" si="1985"/>
        <v>1597.653120848996</v>
      </c>
      <c r="AP1639" s="983">
        <f t="shared" si="1985"/>
        <v>1853.6727950673098</v>
      </c>
      <c r="AQ1639" s="983">
        <f t="shared" si="1985"/>
        <v>2164.8494762708474</v>
      </c>
      <c r="AR1639" s="983">
        <f t="shared" si="1985"/>
        <v>2509.5524732311683</v>
      </c>
      <c r="AS1639" s="983">
        <f t="shared" si="1985"/>
        <v>3208.9883060028151</v>
      </c>
      <c r="AT1639" s="983">
        <f t="shared" si="1985"/>
        <v>4455.879451341696</v>
      </c>
      <c r="AV1639" s="983"/>
      <c r="AW1639" s="983"/>
    </row>
    <row r="1640" spans="1:49">
      <c r="A1640" s="1"/>
      <c r="B1640" s="1"/>
      <c r="C1640" s="1"/>
      <c r="D1640" s="1617" t="s">
        <v>3253</v>
      </c>
      <c r="E1640" s="981"/>
      <c r="F1640" s="981"/>
      <c r="G1640" s="981"/>
      <c r="H1640" s="981"/>
      <c r="I1640" s="982"/>
      <c r="J1640" s="983">
        <f t="shared" ref="J1640:T1640" si="1986">(K1068+J1068)/2</f>
        <v>0</v>
      </c>
      <c r="K1640" s="983">
        <f t="shared" si="1986"/>
        <v>0</v>
      </c>
      <c r="L1640" s="983">
        <f t="shared" si="1986"/>
        <v>0</v>
      </c>
      <c r="M1640" s="983">
        <f t="shared" si="1986"/>
        <v>0</v>
      </c>
      <c r="N1640" s="983">
        <f t="shared" si="1986"/>
        <v>0</v>
      </c>
      <c r="O1640" s="983">
        <f t="shared" si="1986"/>
        <v>0</v>
      </c>
      <c r="P1640" s="983">
        <f t="shared" si="1986"/>
        <v>0</v>
      </c>
      <c r="Q1640" s="983">
        <f t="shared" si="1986"/>
        <v>0</v>
      </c>
      <c r="R1640" s="983">
        <f t="shared" si="1986"/>
        <v>0</v>
      </c>
      <c r="S1640" s="983">
        <f t="shared" si="1986"/>
        <v>0</v>
      </c>
      <c r="T1640" s="983">
        <f t="shared" si="1986"/>
        <v>0</v>
      </c>
      <c r="U1640" s="983">
        <f t="shared" ref="U1640:AT1640" si="1987">(V1068+U1068)/2</f>
        <v>0</v>
      </c>
      <c r="V1640" s="983">
        <f t="shared" si="1987"/>
        <v>0</v>
      </c>
      <c r="W1640" s="983">
        <f t="shared" si="1987"/>
        <v>0</v>
      </c>
      <c r="X1640" s="983">
        <f t="shared" si="1987"/>
        <v>0.85022140199999996</v>
      </c>
      <c r="Y1640" s="983">
        <f t="shared" si="1987"/>
        <v>2.2397256169999999</v>
      </c>
      <c r="Z1640" s="983">
        <f t="shared" si="1987"/>
        <v>3.0155310733940541</v>
      </c>
      <c r="AA1640" s="983">
        <f t="shared" si="1987"/>
        <v>1.626026858394054</v>
      </c>
      <c r="AB1640" s="983">
        <f t="shared" si="1987"/>
        <v>0</v>
      </c>
      <c r="AC1640" s="983">
        <f t="shared" si="1987"/>
        <v>51.637900188254292</v>
      </c>
      <c r="AD1640" s="983">
        <f t="shared" si="1987"/>
        <v>51.811071078754296</v>
      </c>
      <c r="AE1640" s="983">
        <f t="shared" si="1987"/>
        <v>2.1507127102243233</v>
      </c>
      <c r="AF1640" s="983">
        <f t="shared" si="1987"/>
        <v>5.404851551866817</v>
      </c>
      <c r="AG1640" s="983">
        <f t="shared" si="1987"/>
        <v>5.6302676756459764</v>
      </c>
      <c r="AH1640" s="983">
        <f t="shared" si="1987"/>
        <v>4.5119193070034829</v>
      </c>
      <c r="AI1640" s="983">
        <f t="shared" si="1987"/>
        <v>4.6973610680000002</v>
      </c>
      <c r="AJ1640" s="983">
        <f t="shared" si="1987"/>
        <v>2.3883997045000003</v>
      </c>
      <c r="AK1640" s="983">
        <f t="shared" si="1987"/>
        <v>0</v>
      </c>
      <c r="AL1640" s="983">
        <f t="shared" si="1987"/>
        <v>0</v>
      </c>
      <c r="AM1640" s="983">
        <f t="shared" si="1987"/>
        <v>0</v>
      </c>
      <c r="AN1640" s="983">
        <f t="shared" si="1987"/>
        <v>0</v>
      </c>
      <c r="AO1640" s="983">
        <f t="shared" si="1987"/>
        <v>0</v>
      </c>
      <c r="AP1640" s="983">
        <f t="shared" si="1987"/>
        <v>0</v>
      </c>
      <c r="AQ1640" s="983">
        <f t="shared" si="1987"/>
        <v>0</v>
      </c>
      <c r="AR1640" s="983">
        <f t="shared" si="1987"/>
        <v>0</v>
      </c>
      <c r="AS1640" s="983">
        <f t="shared" si="1987"/>
        <v>0</v>
      </c>
      <c r="AT1640" s="983">
        <f t="shared" si="1987"/>
        <v>0</v>
      </c>
      <c r="AV1640" s="983"/>
      <c r="AW1640" s="983"/>
    </row>
    <row r="1641" spans="1:49">
      <c r="A1641" s="1"/>
      <c r="B1641" s="1"/>
      <c r="C1641" s="1"/>
      <c r="D1641" s="980" t="s">
        <v>3254</v>
      </c>
      <c r="E1641" s="981"/>
      <c r="F1641" s="981"/>
      <c r="G1641" s="981"/>
      <c r="H1641" s="981"/>
      <c r="I1641" s="982"/>
      <c r="J1641" s="983"/>
      <c r="K1641" s="983"/>
      <c r="L1641" s="983"/>
      <c r="M1641" s="983"/>
      <c r="N1641" s="983"/>
      <c r="O1641" s="983"/>
      <c r="P1641" s="983"/>
      <c r="Q1641" s="983"/>
      <c r="R1641" s="983"/>
      <c r="S1641" s="983"/>
      <c r="T1641" s="983"/>
      <c r="U1641" s="983">
        <f t="shared" ref="U1641:AT1641" si="1988">(U1077+V1077)/2</f>
        <v>0</v>
      </c>
      <c r="V1641" s="983">
        <f t="shared" si="1988"/>
        <v>0</v>
      </c>
      <c r="W1641" s="983">
        <f t="shared" si="1988"/>
        <v>0</v>
      </c>
      <c r="X1641" s="983">
        <f t="shared" si="1988"/>
        <v>191.4444231416</v>
      </c>
      <c r="Y1641" s="983">
        <f t="shared" si="1988"/>
        <v>402.72452520299998</v>
      </c>
      <c r="Z1641" s="983">
        <f t="shared" si="1988"/>
        <v>469.66459039125237</v>
      </c>
      <c r="AA1641" s="983">
        <f t="shared" si="1988"/>
        <v>523.3978191671581</v>
      </c>
      <c r="AB1641" s="983">
        <f t="shared" si="1988"/>
        <v>567.58441466575471</v>
      </c>
      <c r="AC1641" s="983">
        <f t="shared" si="1988"/>
        <v>640.58640198878766</v>
      </c>
      <c r="AD1641" s="983">
        <f t="shared" si="1988"/>
        <v>694.11972225087879</v>
      </c>
      <c r="AE1641" s="983">
        <f t="shared" si="1988"/>
        <v>744.07951410111423</v>
      </c>
      <c r="AF1641" s="983">
        <f t="shared" si="1988"/>
        <v>824.51995606879802</v>
      </c>
      <c r="AG1641" s="983">
        <f t="shared" si="1988"/>
        <v>951.75634546921151</v>
      </c>
      <c r="AH1641" s="983">
        <f t="shared" si="1988"/>
        <v>1110.0923652781835</v>
      </c>
      <c r="AI1641" s="983">
        <f t="shared" si="1988"/>
        <v>1304.5136212505422</v>
      </c>
      <c r="AJ1641" s="983">
        <f t="shared" si="1988"/>
        <v>1651.4091328443237</v>
      </c>
      <c r="AK1641" s="983">
        <f t="shared" si="1988"/>
        <v>2074.4958935757436</v>
      </c>
      <c r="AL1641" s="983">
        <f t="shared" si="1988"/>
        <v>2438.1430475567272</v>
      </c>
      <c r="AM1641" s="983">
        <f t="shared" si="1988"/>
        <v>2794.775196680323</v>
      </c>
      <c r="AN1641" s="983">
        <f t="shared" si="1988"/>
        <v>3200.4084702755099</v>
      </c>
      <c r="AO1641" s="983">
        <f t="shared" si="1988"/>
        <v>3623.0110102910935</v>
      </c>
      <c r="AP1641" s="983">
        <f t="shared" si="1988"/>
        <v>3996.7860246061955</v>
      </c>
      <c r="AQ1641" s="983">
        <f t="shared" si="1988"/>
        <v>4395.5624236851399</v>
      </c>
      <c r="AR1641" s="983">
        <f t="shared" si="1988"/>
        <v>4899.8988541807057</v>
      </c>
      <c r="AS1641" s="983">
        <f t="shared" si="1988"/>
        <v>5911.6132878992048</v>
      </c>
      <c r="AT1641" s="983">
        <f t="shared" si="1988"/>
        <v>7593.3258279841066</v>
      </c>
      <c r="AV1641" s="983"/>
      <c r="AW1641" s="983"/>
    </row>
    <row r="1642" spans="1:49">
      <c r="A1642" s="1"/>
      <c r="B1642" s="1"/>
      <c r="C1642" s="1"/>
      <c r="D1642" s="980" t="s">
        <v>3257</v>
      </c>
      <c r="E1642" s="981"/>
      <c r="F1642" s="981"/>
      <c r="G1642" s="981"/>
      <c r="H1642" s="981"/>
      <c r="I1642" s="982"/>
      <c r="J1642" s="983">
        <f t="shared" ref="J1642:AT1642" si="1989">(J1099+K1099)/2</f>
        <v>0</v>
      </c>
      <c r="K1642" s="983">
        <f t="shared" si="1989"/>
        <v>0</v>
      </c>
      <c r="L1642" s="983">
        <f t="shared" si="1989"/>
        <v>0</v>
      </c>
      <c r="M1642" s="983">
        <f t="shared" si="1989"/>
        <v>0</v>
      </c>
      <c r="N1642" s="983">
        <f t="shared" si="1989"/>
        <v>0</v>
      </c>
      <c r="O1642" s="983">
        <f t="shared" si="1989"/>
        <v>0</v>
      </c>
      <c r="P1642" s="983">
        <f t="shared" si="1989"/>
        <v>0</v>
      </c>
      <c r="Q1642" s="983">
        <f t="shared" si="1989"/>
        <v>0</v>
      </c>
      <c r="R1642" s="983">
        <f t="shared" si="1989"/>
        <v>0</v>
      </c>
      <c r="S1642" s="983">
        <f t="shared" si="1989"/>
        <v>0</v>
      </c>
      <c r="T1642" s="983">
        <f t="shared" si="1989"/>
        <v>0</v>
      </c>
      <c r="U1642" s="983">
        <f t="shared" si="1989"/>
        <v>0</v>
      </c>
      <c r="V1642" s="983">
        <f t="shared" si="1989"/>
        <v>0</v>
      </c>
      <c r="W1642" s="983">
        <f t="shared" si="1989"/>
        <v>0</v>
      </c>
      <c r="X1642" s="983">
        <f t="shared" si="1989"/>
        <v>28.086198660499999</v>
      </c>
      <c r="Y1642" s="983">
        <f t="shared" si="1989"/>
        <v>60.228374403000004</v>
      </c>
      <c r="Z1642" s="983">
        <f t="shared" si="1989"/>
        <v>70.048250723734043</v>
      </c>
      <c r="AA1642" s="983">
        <f t="shared" si="1989"/>
        <v>78.236002759255939</v>
      </c>
      <c r="AB1642" s="983">
        <f t="shared" si="1989"/>
        <v>82.101437994018511</v>
      </c>
      <c r="AC1642" s="983">
        <f t="shared" si="1989"/>
        <v>97.644194587996594</v>
      </c>
      <c r="AD1642" s="983">
        <f t="shared" si="1989"/>
        <v>114.51342643269001</v>
      </c>
      <c r="AE1642" s="983">
        <f t="shared" si="1989"/>
        <v>120.51213200364558</v>
      </c>
      <c r="AF1642" s="983">
        <f t="shared" si="1989"/>
        <v>128.3813595127213</v>
      </c>
      <c r="AG1642" s="983">
        <f t="shared" si="1989"/>
        <v>172.32528329059807</v>
      </c>
      <c r="AH1642" s="983">
        <f t="shared" si="1989"/>
        <v>203.05847387356943</v>
      </c>
      <c r="AI1642" s="983">
        <f t="shared" si="1989"/>
        <v>218.44511663962709</v>
      </c>
      <c r="AJ1642" s="983">
        <f t="shared" si="1989"/>
        <v>259.02719451566338</v>
      </c>
      <c r="AK1642" s="983">
        <f t="shared" si="1989"/>
        <v>300.19630828549282</v>
      </c>
      <c r="AL1642" s="983">
        <f t="shared" si="1989"/>
        <v>347.06585571757955</v>
      </c>
      <c r="AM1642" s="983">
        <f t="shared" si="1989"/>
        <v>395.09736134749176</v>
      </c>
      <c r="AN1642" s="983">
        <f t="shared" si="1989"/>
        <v>448.89570489019445</v>
      </c>
      <c r="AO1642" s="983">
        <f t="shared" si="1989"/>
        <v>507.65812696797616</v>
      </c>
      <c r="AP1642" s="983">
        <f t="shared" si="1989"/>
        <v>563.18341338891764</v>
      </c>
      <c r="AQ1642" s="983">
        <f t="shared" si="1989"/>
        <v>617.00014049318338</v>
      </c>
      <c r="AR1642" s="983">
        <f t="shared" si="1989"/>
        <v>678.11159810450931</v>
      </c>
      <c r="AS1642" s="983">
        <f t="shared" si="1989"/>
        <v>813.96881194359321</v>
      </c>
      <c r="AT1642" s="983">
        <f t="shared" si="1989"/>
        <v>1052.1732450117743</v>
      </c>
      <c r="AV1642" s="983"/>
      <c r="AW1642" s="983"/>
    </row>
    <row r="1643" spans="1:49">
      <c r="A1643" s="1"/>
      <c r="B1643" s="1"/>
      <c r="C1643" s="1"/>
      <c r="D1643" s="980" t="s">
        <v>3259</v>
      </c>
      <c r="E1643" s="981"/>
      <c r="F1643" s="981"/>
      <c r="G1643" s="981"/>
      <c r="H1643" s="981"/>
      <c r="I1643" s="983">
        <f t="shared" ref="I1643:AT1643" si="1990">(J1132+I1132+I1070+J1070+I1108+J1108)/2</f>
        <v>0</v>
      </c>
      <c r="J1643" s="983">
        <f t="shared" si="1990"/>
        <v>0</v>
      </c>
      <c r="K1643" s="983">
        <f t="shared" si="1990"/>
        <v>0</v>
      </c>
      <c r="L1643" s="983">
        <f t="shared" si="1990"/>
        <v>0</v>
      </c>
      <c r="M1643" s="983">
        <f t="shared" si="1990"/>
        <v>0</v>
      </c>
      <c r="N1643" s="983">
        <f t="shared" si="1990"/>
        <v>0</v>
      </c>
      <c r="O1643" s="983">
        <f t="shared" si="1990"/>
        <v>0</v>
      </c>
      <c r="P1643" s="983">
        <f t="shared" si="1990"/>
        <v>0</v>
      </c>
      <c r="Q1643" s="983">
        <f t="shared" si="1990"/>
        <v>0</v>
      </c>
      <c r="R1643" s="983">
        <f t="shared" si="1990"/>
        <v>0</v>
      </c>
      <c r="S1643" s="983">
        <f t="shared" si="1990"/>
        <v>0</v>
      </c>
      <c r="T1643" s="983">
        <f t="shared" si="1990"/>
        <v>0</v>
      </c>
      <c r="U1643" s="983">
        <f t="shared" si="1990"/>
        <v>10.3113663705</v>
      </c>
      <c r="V1643" s="983">
        <f t="shared" si="1990"/>
        <v>27.661366370500001</v>
      </c>
      <c r="W1643" s="983">
        <f t="shared" si="1990"/>
        <v>59.6</v>
      </c>
      <c r="X1643" s="983">
        <f t="shared" si="1990"/>
        <v>111.01380356373619</v>
      </c>
      <c r="Y1643" s="983">
        <f t="shared" si="1990"/>
        <v>155.77179361483354</v>
      </c>
      <c r="Z1643" s="983">
        <f t="shared" si="1990"/>
        <v>171.2056431492648</v>
      </c>
      <c r="AA1643" s="983">
        <f t="shared" si="1990"/>
        <v>211.08788139655994</v>
      </c>
      <c r="AB1643" s="983">
        <f t="shared" si="1990"/>
        <v>277.58627510363249</v>
      </c>
      <c r="AC1643" s="983">
        <f t="shared" si="1990"/>
        <v>294.2597747015642</v>
      </c>
      <c r="AD1643" s="983">
        <f t="shared" si="1990"/>
        <v>290.84668143162497</v>
      </c>
      <c r="AE1643" s="983">
        <f t="shared" si="1990"/>
        <v>349.71166444503524</v>
      </c>
      <c r="AF1643" s="983">
        <f t="shared" si="1990"/>
        <v>411.59479519395791</v>
      </c>
      <c r="AG1643" s="983">
        <f t="shared" si="1990"/>
        <v>420.89817734160721</v>
      </c>
      <c r="AH1643" s="983">
        <f t="shared" si="1990"/>
        <v>456.99061870265274</v>
      </c>
      <c r="AI1643" s="983">
        <f t="shared" si="1990"/>
        <v>515.4049028533932</v>
      </c>
      <c r="AJ1643" s="983">
        <f t="shared" si="1990"/>
        <v>578.16528666142813</v>
      </c>
      <c r="AK1643" s="983">
        <f t="shared" si="1990"/>
        <v>653.16869436525099</v>
      </c>
      <c r="AL1643" s="983">
        <f t="shared" si="1990"/>
        <v>728.63032936801289</v>
      </c>
      <c r="AM1643" s="983">
        <f t="shared" si="1990"/>
        <v>808.84266774512389</v>
      </c>
      <c r="AN1643" s="983">
        <f t="shared" si="1990"/>
        <v>913.85433344794262</v>
      </c>
      <c r="AO1643" s="983">
        <f t="shared" si="1990"/>
        <v>1033.3928460270433</v>
      </c>
      <c r="AP1643" s="983">
        <f t="shared" si="1990"/>
        <v>1133.591407098148</v>
      </c>
      <c r="AQ1643" s="983">
        <f t="shared" si="1990"/>
        <v>1241.3868719767308</v>
      </c>
      <c r="AR1643" s="983">
        <f t="shared" si="1990"/>
        <v>1376.2220062344813</v>
      </c>
      <c r="AS1643" s="983">
        <f t="shared" si="1990"/>
        <v>1716.0939361217595</v>
      </c>
      <c r="AT1643" s="983">
        <f t="shared" si="1990"/>
        <v>2413.3506264844573</v>
      </c>
      <c r="AV1643" s="983"/>
      <c r="AW1643" s="983"/>
    </row>
    <row r="1644" spans="1:49">
      <c r="A1644" s="1"/>
      <c r="B1644" s="1"/>
      <c r="C1644" s="1"/>
      <c r="D1644" s="1616" t="s">
        <v>3258</v>
      </c>
      <c r="E1644" s="981"/>
      <c r="F1644" s="981"/>
      <c r="G1644" s="981"/>
      <c r="H1644" s="981"/>
      <c r="I1644" s="982"/>
      <c r="J1644" s="983">
        <f t="shared" ref="J1644:AT1644" si="1991">(J1145+K1145)/2</f>
        <v>0</v>
      </c>
      <c r="K1644" s="983">
        <f t="shared" si="1991"/>
        <v>0</v>
      </c>
      <c r="L1644" s="983">
        <f t="shared" si="1991"/>
        <v>0</v>
      </c>
      <c r="M1644" s="983">
        <f t="shared" si="1991"/>
        <v>0</v>
      </c>
      <c r="N1644" s="983">
        <f t="shared" si="1991"/>
        <v>0</v>
      </c>
      <c r="O1644" s="983">
        <f t="shared" si="1991"/>
        <v>0</v>
      </c>
      <c r="P1644" s="983">
        <f t="shared" si="1991"/>
        <v>0</v>
      </c>
      <c r="Q1644" s="983">
        <f t="shared" si="1991"/>
        <v>0</v>
      </c>
      <c r="R1644" s="983">
        <f t="shared" si="1991"/>
        <v>0</v>
      </c>
      <c r="S1644" s="983">
        <f t="shared" si="1991"/>
        <v>0</v>
      </c>
      <c r="T1644" s="983">
        <f t="shared" si="1991"/>
        <v>0</v>
      </c>
      <c r="U1644" s="983">
        <f t="shared" si="1991"/>
        <v>0</v>
      </c>
      <c r="V1644" s="983">
        <f t="shared" si="1991"/>
        <v>0</v>
      </c>
      <c r="W1644" s="983">
        <f t="shared" si="1991"/>
        <v>0</v>
      </c>
      <c r="X1644" s="983">
        <f t="shared" si="1991"/>
        <v>44.771312142836194</v>
      </c>
      <c r="Y1644" s="983">
        <f t="shared" si="1991"/>
        <v>102.67992750143354</v>
      </c>
      <c r="Z1644" s="983">
        <f t="shared" si="1991"/>
        <v>120.25116260382063</v>
      </c>
      <c r="AA1644" s="983">
        <f t="shared" si="1991"/>
        <v>132.01592243065562</v>
      </c>
      <c r="AB1644" s="983">
        <f t="shared" si="1991"/>
        <v>150.09013796043232</v>
      </c>
      <c r="AC1644" s="983">
        <f t="shared" si="1991"/>
        <v>161.73354542827417</v>
      </c>
      <c r="AD1644" s="983">
        <f t="shared" si="1991"/>
        <v>158.29365788117494</v>
      </c>
      <c r="AE1644" s="983">
        <f t="shared" si="1991"/>
        <v>189.15526524758195</v>
      </c>
      <c r="AF1644" s="983">
        <f t="shared" si="1991"/>
        <v>193.35267046362577</v>
      </c>
      <c r="AG1644" s="983">
        <f t="shared" si="1991"/>
        <v>154.40101706864019</v>
      </c>
      <c r="AH1644" s="983">
        <f t="shared" si="1991"/>
        <v>194.04001011015947</v>
      </c>
      <c r="AI1644" s="983">
        <f t="shared" si="1991"/>
        <v>234.53462976925533</v>
      </c>
      <c r="AJ1644" s="983">
        <f t="shared" si="1991"/>
        <v>222.79227672786959</v>
      </c>
      <c r="AK1644" s="983">
        <f t="shared" si="1991"/>
        <v>233.84204887879957</v>
      </c>
      <c r="AL1644" s="983">
        <f t="shared" si="1991"/>
        <v>256.21627707978149</v>
      </c>
      <c r="AM1644" s="983">
        <f t="shared" si="1991"/>
        <v>269.90548709153552</v>
      </c>
      <c r="AN1644" s="983">
        <f t="shared" si="1991"/>
        <v>283.4203342516256</v>
      </c>
      <c r="AO1644" s="983">
        <f t="shared" si="1991"/>
        <v>300.4804960625703</v>
      </c>
      <c r="AP1644" s="983">
        <f t="shared" si="1991"/>
        <v>317.06466025362511</v>
      </c>
      <c r="AQ1644" s="983">
        <f t="shared" si="1991"/>
        <v>329.42613837297796</v>
      </c>
      <c r="AR1644" s="983">
        <f t="shared" si="1991"/>
        <v>342.43847194375832</v>
      </c>
      <c r="AS1644" s="983">
        <f t="shared" si="1991"/>
        <v>356.14870204146001</v>
      </c>
      <c r="AT1644" s="983">
        <f t="shared" si="1991"/>
        <v>370.50371502912969</v>
      </c>
      <c r="AV1644" s="983"/>
      <c r="AW1644" s="983"/>
    </row>
    <row r="1645" spans="1:49">
      <c r="A1645" s="1"/>
      <c r="B1645" s="1"/>
      <c r="C1645" s="1"/>
      <c r="D1645" s="973" t="s">
        <v>3106</v>
      </c>
      <c r="E1645" s="974"/>
      <c r="F1645" s="974"/>
      <c r="G1645" s="974"/>
      <c r="H1645" s="974"/>
      <c r="I1645" s="1618">
        <f t="shared" ref="I1645:T1645" si="1992">(I1156+J1156-I1210-I1215-J1210-J1215)/2</f>
        <v>0</v>
      </c>
      <c r="J1645" s="1618">
        <f t="shared" si="1992"/>
        <v>0</v>
      </c>
      <c r="K1645" s="1618">
        <f t="shared" si="1992"/>
        <v>0</v>
      </c>
      <c r="L1645" s="1618">
        <f t="shared" si="1992"/>
        <v>0</v>
      </c>
      <c r="M1645" s="1618">
        <f t="shared" si="1992"/>
        <v>0</v>
      </c>
      <c r="N1645" s="1618">
        <f t="shared" si="1992"/>
        <v>0</v>
      </c>
      <c r="O1645" s="1618">
        <f t="shared" si="1992"/>
        <v>0</v>
      </c>
      <c r="P1645" s="1618">
        <f t="shared" si="1992"/>
        <v>0</v>
      </c>
      <c r="Q1645" s="1618">
        <f t="shared" si="1992"/>
        <v>0</v>
      </c>
      <c r="R1645" s="1618">
        <f t="shared" si="1992"/>
        <v>0</v>
      </c>
      <c r="S1645" s="1618">
        <f t="shared" si="1992"/>
        <v>0</v>
      </c>
      <c r="T1645" s="1618">
        <f t="shared" si="1992"/>
        <v>0</v>
      </c>
      <c r="U1645" s="1618">
        <f>(U1156+V1156-U1210-U1215-V1210-V1215)/2 + ((U1210+V1210+U1215+V1215+U1228+V1228)/2)*0.2</f>
        <v>312.25630221806654</v>
      </c>
      <c r="V1645" s="1618">
        <f>(V1156+W1156-V1210-V1215-W1210-W1215)/2 + ((V1210+W1210+V1215+W1215+V1228+W1228)/2)*0.2</f>
        <v>614.87525804569327</v>
      </c>
      <c r="W1645" s="1618">
        <f t="shared" ref="W1645:AT1645" si="1993">(W1156+X1156-W1210-W1215-X1210-X1215)/2</f>
        <v>601.60570056187419</v>
      </c>
      <c r="X1645" s="1618">
        <f t="shared" si="1993"/>
        <v>730.52031214451461</v>
      </c>
      <c r="Y1645" s="1618">
        <f t="shared" si="1993"/>
        <v>870.1850063366378</v>
      </c>
      <c r="Z1645" s="1618">
        <f t="shared" si="1993"/>
        <v>982.51806201803174</v>
      </c>
      <c r="AA1645" s="1618">
        <f t="shared" si="1993"/>
        <v>1144.1674589631737</v>
      </c>
      <c r="AB1645" s="1618">
        <f t="shared" si="1993"/>
        <v>1282.6980552354898</v>
      </c>
      <c r="AC1645" s="1618">
        <f t="shared" si="1993"/>
        <v>1444.4736645641042</v>
      </c>
      <c r="AD1645" s="1618">
        <f t="shared" si="1993"/>
        <v>1656.1048392927498</v>
      </c>
      <c r="AE1645" s="1618">
        <f t="shared" si="1993"/>
        <v>1834.2279368681823</v>
      </c>
      <c r="AF1645" s="1618">
        <f t="shared" si="1993"/>
        <v>2117.4212819452969</v>
      </c>
      <c r="AG1645" s="1618">
        <f t="shared" si="1993"/>
        <v>2473.1333404098109</v>
      </c>
      <c r="AH1645" s="1618">
        <f t="shared" si="1993"/>
        <v>2772.8367689426609</v>
      </c>
      <c r="AI1645" s="1618">
        <f t="shared" si="1993"/>
        <v>3059.2354114386603</v>
      </c>
      <c r="AJ1645" s="1618">
        <f t="shared" si="1993"/>
        <v>3403.3057860141303</v>
      </c>
      <c r="AK1645" s="1618">
        <f t="shared" si="1993"/>
        <v>3884.8727307141094</v>
      </c>
      <c r="AL1645" s="1618">
        <f t="shared" si="1993"/>
        <v>4386.9001849789784</v>
      </c>
      <c r="AM1645" s="1618">
        <f t="shared" si="1993"/>
        <v>4820.9708304880187</v>
      </c>
      <c r="AN1645" s="1618">
        <f t="shared" si="1993"/>
        <v>5375.2483033021826</v>
      </c>
      <c r="AO1645" s="1618">
        <f t="shared" si="1993"/>
        <v>6132.3399067635582</v>
      </c>
      <c r="AP1645" s="1618">
        <f t="shared" si="1993"/>
        <v>7105.8922074165021</v>
      </c>
      <c r="AQ1645" s="1618">
        <f t="shared" si="1993"/>
        <v>8130.3508773015519</v>
      </c>
      <c r="AR1645" s="1618">
        <f t="shared" si="1993"/>
        <v>9149.5354582826785</v>
      </c>
      <c r="AS1645" s="1618">
        <f t="shared" si="1993"/>
        <v>11102.837441563332</v>
      </c>
      <c r="AT1645" s="1618">
        <f t="shared" si="1993"/>
        <v>14250.958602045021</v>
      </c>
      <c r="AV1645" s="1618"/>
      <c r="AW1645" s="1618"/>
    </row>
    <row r="1646" spans="1:49">
      <c r="A1646" s="1"/>
      <c r="B1646" s="1"/>
      <c r="C1646" s="1"/>
      <c r="D1646" s="985" t="s">
        <v>3260</v>
      </c>
      <c r="E1646" s="977"/>
      <c r="F1646" s="977">
        <f t="shared" ref="F1646:AT1646" si="1994">(G1157+F1157+F1209+F1213+G1209+G1213)/2</f>
        <v>0</v>
      </c>
      <c r="G1646" s="977">
        <f t="shared" si="1994"/>
        <v>0</v>
      </c>
      <c r="H1646" s="977">
        <f t="shared" si="1994"/>
        <v>0</v>
      </c>
      <c r="I1646" s="977">
        <f t="shared" si="1994"/>
        <v>0</v>
      </c>
      <c r="J1646" s="977">
        <f t="shared" si="1994"/>
        <v>0</v>
      </c>
      <c r="K1646" s="977">
        <f t="shared" si="1994"/>
        <v>0</v>
      </c>
      <c r="L1646" s="977">
        <f t="shared" si="1994"/>
        <v>0</v>
      </c>
      <c r="M1646" s="977">
        <f t="shared" si="1994"/>
        <v>0</v>
      </c>
      <c r="N1646" s="977">
        <f t="shared" si="1994"/>
        <v>0</v>
      </c>
      <c r="O1646" s="977">
        <f t="shared" si="1994"/>
        <v>0</v>
      </c>
      <c r="P1646" s="977">
        <f t="shared" si="1994"/>
        <v>0</v>
      </c>
      <c r="Q1646" s="977">
        <f t="shared" si="1994"/>
        <v>0</v>
      </c>
      <c r="R1646" s="977">
        <f t="shared" si="1994"/>
        <v>0</v>
      </c>
      <c r="S1646" s="977">
        <f t="shared" si="1994"/>
        <v>0</v>
      </c>
      <c r="T1646" s="977">
        <f t="shared" si="1994"/>
        <v>0</v>
      </c>
      <c r="U1646" s="977">
        <f t="shared" si="1994"/>
        <v>128.59195128131657</v>
      </c>
      <c r="V1646" s="977">
        <f t="shared" si="1994"/>
        <v>278.87667522750496</v>
      </c>
      <c r="W1646" s="977">
        <f t="shared" si="1994"/>
        <v>318.61274837842507</v>
      </c>
      <c r="X1646" s="977">
        <f t="shared" si="1994"/>
        <v>335.98964623994846</v>
      </c>
      <c r="Y1646" s="977">
        <f t="shared" si="1994"/>
        <v>354.38773711673343</v>
      </c>
      <c r="Z1646" s="977">
        <f t="shared" si="1994"/>
        <v>395.17046706342734</v>
      </c>
      <c r="AA1646" s="977">
        <f t="shared" si="1994"/>
        <v>434.77894318119428</v>
      </c>
      <c r="AB1646" s="977">
        <f t="shared" si="1994"/>
        <v>468.06360657203584</v>
      </c>
      <c r="AC1646" s="977">
        <f t="shared" si="1994"/>
        <v>493.28755791465267</v>
      </c>
      <c r="AD1646" s="977">
        <f t="shared" si="1994"/>
        <v>478.19678965640537</v>
      </c>
      <c r="AE1646" s="977">
        <f t="shared" si="1994"/>
        <v>502.37385927150001</v>
      </c>
      <c r="AF1646" s="977">
        <f t="shared" si="1994"/>
        <v>600.22728551378623</v>
      </c>
      <c r="AG1646" s="977">
        <f t="shared" si="1994"/>
        <v>739.6341987060498</v>
      </c>
      <c r="AH1646" s="977">
        <f t="shared" si="1994"/>
        <v>917.34299313376357</v>
      </c>
      <c r="AI1646" s="977">
        <f t="shared" si="1994"/>
        <v>1095.5812292624998</v>
      </c>
      <c r="AJ1646" s="977">
        <f t="shared" si="1994"/>
        <v>1306.5734397487254</v>
      </c>
      <c r="AK1646" s="977">
        <f t="shared" si="1994"/>
        <v>1517.3085131377486</v>
      </c>
      <c r="AL1646" s="977">
        <f t="shared" si="1994"/>
        <v>1716.0317346820882</v>
      </c>
      <c r="AM1646" s="977">
        <f t="shared" si="1994"/>
        <v>1947.1154062989872</v>
      </c>
      <c r="AN1646" s="977">
        <f t="shared" si="1994"/>
        <v>2175.5919672399577</v>
      </c>
      <c r="AO1646" s="977">
        <f t="shared" si="1994"/>
        <v>2467.4904921271345</v>
      </c>
      <c r="AP1646" s="977">
        <f t="shared" si="1994"/>
        <v>2813.5366496781644</v>
      </c>
      <c r="AQ1646" s="977">
        <f t="shared" si="1994"/>
        <v>3145.9049246342934</v>
      </c>
      <c r="AR1646" s="977">
        <f t="shared" si="1994"/>
        <v>3514.4143527139108</v>
      </c>
      <c r="AS1646" s="977">
        <f t="shared" si="1994"/>
        <v>4089.7189829867657</v>
      </c>
      <c r="AT1646" s="977">
        <f t="shared" si="1994"/>
        <v>4819.4904768287906</v>
      </c>
      <c r="AV1646" s="977"/>
      <c r="AW1646" s="977"/>
    </row>
    <row r="1647" spans="1:49">
      <c r="A1647" s="1"/>
      <c r="B1647" s="1"/>
      <c r="C1647" s="1"/>
      <c r="D1647" s="986" t="s">
        <v>3374</v>
      </c>
      <c r="E1647" s="987" t="s">
        <v>309</v>
      </c>
      <c r="F1647" s="988"/>
      <c r="G1647" s="988"/>
      <c r="H1647" s="988"/>
      <c r="I1647" s="988"/>
      <c r="J1647" s="989">
        <f t="shared" ref="J1647:S1647" si="1995">+(J372+K372)/2</f>
        <v>0</v>
      </c>
      <c r="K1647" s="989">
        <f t="shared" si="1995"/>
        <v>0</v>
      </c>
      <c r="L1647" s="989">
        <f t="shared" si="1995"/>
        <v>0</v>
      </c>
      <c r="M1647" s="989">
        <f t="shared" si="1995"/>
        <v>0</v>
      </c>
      <c r="N1647" s="989">
        <f t="shared" si="1995"/>
        <v>0</v>
      </c>
      <c r="O1647" s="989">
        <f t="shared" si="1995"/>
        <v>0</v>
      </c>
      <c r="P1647" s="989">
        <f t="shared" si="1995"/>
        <v>0</v>
      </c>
      <c r="Q1647" s="989">
        <f t="shared" si="1995"/>
        <v>0</v>
      </c>
      <c r="R1647" s="989">
        <f t="shared" si="1995"/>
        <v>0</v>
      </c>
      <c r="S1647" s="989">
        <f t="shared" si="1995"/>
        <v>0</v>
      </c>
      <c r="T1647" s="989">
        <f t="shared" ref="T1647:AT1647" si="1996">+(T654+U654)/2</f>
        <v>0</v>
      </c>
      <c r="U1647" s="989">
        <f t="shared" si="1996"/>
        <v>2.75E-2</v>
      </c>
      <c r="V1647" s="989">
        <f t="shared" si="1996"/>
        <v>7.5009173283971636E-2</v>
      </c>
      <c r="W1647" s="989">
        <f t="shared" si="1996"/>
        <v>8.6872864828125285E-2</v>
      </c>
      <c r="X1647" s="989">
        <f t="shared" si="1996"/>
        <v>-0.12911347224383929</v>
      </c>
      <c r="Y1647" s="989">
        <f t="shared" si="1996"/>
        <v>-0.13971667401658849</v>
      </c>
      <c r="Z1647" s="989">
        <f t="shared" si="1996"/>
        <v>7.9405486716275342E-2</v>
      </c>
      <c r="AA1647" s="989">
        <f t="shared" si="1996"/>
        <v>7.6146415360150876E-2</v>
      </c>
      <c r="AB1647" s="989">
        <f t="shared" si="1996"/>
        <v>3.1267412147415907E-2</v>
      </c>
      <c r="AC1647" s="989">
        <f t="shared" si="1996"/>
        <v>-3.6640942507598473E-2</v>
      </c>
      <c r="AD1647" s="989">
        <f t="shared" si="1996"/>
        <v>-2.814704157480924E-2</v>
      </c>
      <c r="AE1647" s="989">
        <f t="shared" si="1996"/>
        <v>4.9302767526119395E-2</v>
      </c>
      <c r="AF1647" s="989">
        <f t="shared" si="1996"/>
        <v>5.205092125217381E-2</v>
      </c>
      <c r="AG1647" s="989">
        <f t="shared" si="1996"/>
        <v>5.0327376939574675E-2</v>
      </c>
      <c r="AH1647" s="989">
        <f t="shared" si="1996"/>
        <v>9.3135066540549483E-2</v>
      </c>
      <c r="AI1647" s="989">
        <f t="shared" si="1996"/>
        <v>0.10761975337555785</v>
      </c>
      <c r="AJ1647" s="989">
        <f t="shared" si="1996"/>
        <v>8.0690530062276E-2</v>
      </c>
      <c r="AK1647" s="989">
        <f t="shared" si="1996"/>
        <v>4.9209392838523769E-2</v>
      </c>
      <c r="AL1647" s="989">
        <f t="shared" si="1996"/>
        <v>3.2645756319702457E-2</v>
      </c>
      <c r="AM1647" s="989">
        <f t="shared" si="1996"/>
        <v>3.2645756319702457E-2</v>
      </c>
      <c r="AN1647" s="989">
        <f t="shared" si="1996"/>
        <v>3.342995571465901E-2</v>
      </c>
      <c r="AO1647" s="989">
        <f t="shared" si="1996"/>
        <v>3.7107077554807785E-2</v>
      </c>
      <c r="AP1647" s="989">
        <f t="shared" si="1996"/>
        <v>0.04</v>
      </c>
      <c r="AQ1647" s="989">
        <f t="shared" si="1996"/>
        <v>0.04</v>
      </c>
      <c r="AR1647" s="989">
        <f t="shared" si="1996"/>
        <v>0.04</v>
      </c>
      <c r="AS1647" s="989">
        <f t="shared" si="1996"/>
        <v>0.04</v>
      </c>
      <c r="AT1647" s="989">
        <f t="shared" si="1996"/>
        <v>0.02</v>
      </c>
      <c r="AV1647" s="989"/>
      <c r="AW1647" s="989"/>
    </row>
    <row r="1648" spans="1:49">
      <c r="A1648" s="1"/>
      <c r="B1648" s="1"/>
      <c r="C1648" s="1"/>
      <c r="D1648" s="1684" t="s">
        <v>3375</v>
      </c>
      <c r="E1648" s="987"/>
      <c r="F1648" s="988"/>
      <c r="G1648" s="988"/>
      <c r="H1648" s="988"/>
      <c r="I1648" s="988"/>
      <c r="J1648" s="989"/>
      <c r="K1648" s="989"/>
      <c r="L1648" s="989"/>
      <c r="M1648" s="989"/>
      <c r="N1648" s="989"/>
      <c r="O1648" s="989"/>
      <c r="P1648" s="989"/>
      <c r="Q1648" s="989"/>
      <c r="R1648" s="989"/>
      <c r="S1648" s="989"/>
      <c r="T1648" s="989"/>
      <c r="U1648" s="989"/>
      <c r="V1648" s="989"/>
      <c r="W1648" s="989">
        <v>0.03</v>
      </c>
      <c r="X1648" s="989">
        <v>0.03</v>
      </c>
      <c r="Y1648" s="989">
        <v>0.03</v>
      </c>
      <c r="Z1648" s="989">
        <v>0.03</v>
      </c>
      <c r="AA1648" s="989">
        <v>0.03</v>
      </c>
      <c r="AB1648" s="989">
        <v>0.03</v>
      </c>
      <c r="AC1648" s="989">
        <v>0.03</v>
      </c>
      <c r="AD1648" s="989">
        <v>0.03</v>
      </c>
      <c r="AE1648" s="989">
        <v>0.03</v>
      </c>
      <c r="AF1648" s="989">
        <v>0.03</v>
      </c>
      <c r="AG1648" s="989">
        <v>0.03</v>
      </c>
      <c r="AH1648" s="989">
        <v>0.03</v>
      </c>
      <c r="AI1648" s="989">
        <v>0.03</v>
      </c>
      <c r="AJ1648" s="989">
        <v>0.03</v>
      </c>
      <c r="AK1648" s="989">
        <v>0.03</v>
      </c>
      <c r="AL1648" s="989">
        <v>0.03</v>
      </c>
      <c r="AM1648" s="989">
        <v>0.03</v>
      </c>
      <c r="AN1648" s="989">
        <v>0.03</v>
      </c>
      <c r="AO1648" s="989">
        <v>0.03</v>
      </c>
      <c r="AP1648" s="989">
        <v>0.03</v>
      </c>
      <c r="AQ1648" s="989">
        <v>0.03</v>
      </c>
      <c r="AR1648" s="989">
        <v>0.03</v>
      </c>
      <c r="AS1648" s="989">
        <v>0.03</v>
      </c>
      <c r="AT1648" s="989">
        <v>0.03</v>
      </c>
      <c r="AV1648" s="989"/>
      <c r="AW1648" s="989"/>
    </row>
    <row r="1649" spans="1:52">
      <c r="A1649" s="1"/>
      <c r="B1649" s="1"/>
      <c r="C1649" s="1"/>
      <c r="D1649" s="1684" t="s">
        <v>3376</v>
      </c>
      <c r="E1649" s="987"/>
      <c r="F1649" s="988"/>
      <c r="G1649" s="988"/>
      <c r="H1649" s="988"/>
      <c r="I1649" s="988"/>
      <c r="J1649" s="989"/>
      <c r="K1649" s="989"/>
      <c r="L1649" s="989"/>
      <c r="M1649" s="989"/>
      <c r="N1649" s="989"/>
      <c r="O1649" s="989"/>
      <c r="P1649" s="989"/>
      <c r="Q1649" s="989"/>
      <c r="R1649" s="989"/>
      <c r="S1649" s="989"/>
      <c r="T1649" s="989"/>
      <c r="U1649" s="989"/>
      <c r="V1649" s="989"/>
      <c r="W1649" s="989">
        <v>2.5000000000000001E-2</v>
      </c>
      <c r="X1649" s="989">
        <v>2.5000000000000001E-2</v>
      </c>
      <c r="Y1649" s="989">
        <v>2.5000000000000001E-2</v>
      </c>
      <c r="Z1649" s="989">
        <v>2.5000000000000001E-2</v>
      </c>
      <c r="AA1649" s="989">
        <v>2.5000000000000001E-2</v>
      </c>
      <c r="AB1649" s="989">
        <v>2.5000000000000001E-2</v>
      </c>
      <c r="AC1649" s="989">
        <v>2.5000000000000001E-2</v>
      </c>
      <c r="AD1649" s="989">
        <v>2.5000000000000001E-2</v>
      </c>
      <c r="AE1649" s="989">
        <v>2.5000000000000001E-2</v>
      </c>
      <c r="AF1649" s="989">
        <v>2.5000000000000001E-2</v>
      </c>
      <c r="AG1649" s="989">
        <v>2.5000000000000001E-2</v>
      </c>
      <c r="AH1649" s="989">
        <v>2.5000000000000001E-2</v>
      </c>
      <c r="AI1649" s="989">
        <v>2.5000000000000001E-2</v>
      </c>
      <c r="AJ1649" s="989">
        <v>2.5000000000000001E-2</v>
      </c>
      <c r="AK1649" s="989">
        <v>2.5000000000000001E-2</v>
      </c>
      <c r="AL1649" s="989">
        <v>2.5000000000000001E-2</v>
      </c>
      <c r="AM1649" s="989">
        <v>2.5000000000000001E-2</v>
      </c>
      <c r="AN1649" s="989">
        <v>2.5000000000000001E-2</v>
      </c>
      <c r="AO1649" s="989">
        <v>2.5000000000000001E-2</v>
      </c>
      <c r="AP1649" s="989">
        <v>2.5000000000000001E-2</v>
      </c>
      <c r="AQ1649" s="989">
        <v>2.5000000000000001E-2</v>
      </c>
      <c r="AR1649" s="989">
        <v>2.5000000000000001E-2</v>
      </c>
      <c r="AS1649" s="989">
        <v>2.5000000000000001E-2</v>
      </c>
      <c r="AT1649" s="989">
        <v>2.5000000000000001E-2</v>
      </c>
      <c r="AV1649" s="989"/>
      <c r="AW1649" s="989"/>
    </row>
    <row r="1650" spans="1:52">
      <c r="A1650" s="1"/>
      <c r="B1650" s="1"/>
      <c r="C1650" s="1"/>
      <c r="D1650" s="986" t="s">
        <v>97</v>
      </c>
      <c r="E1650" s="987" t="s">
        <v>249</v>
      </c>
      <c r="F1650" s="988"/>
      <c r="G1650" s="988"/>
      <c r="H1650" s="988"/>
      <c r="I1650" s="988"/>
      <c r="J1650" s="989">
        <f t="shared" ref="J1650:S1650" si="1997">+(J373+K373)/2</f>
        <v>0</v>
      </c>
      <c r="K1650" s="989">
        <f t="shared" si="1997"/>
        <v>0</v>
      </c>
      <c r="L1650" s="989">
        <f t="shared" si="1997"/>
        <v>0</v>
      </c>
      <c r="M1650" s="989">
        <f t="shared" si="1997"/>
        <v>0</v>
      </c>
      <c r="N1650" s="989">
        <f t="shared" si="1997"/>
        <v>0</v>
      </c>
      <c r="O1650" s="989">
        <f t="shared" si="1997"/>
        <v>0</v>
      </c>
      <c r="P1650" s="989">
        <f t="shared" si="1997"/>
        <v>0</v>
      </c>
      <c r="Q1650" s="989">
        <f t="shared" si="1997"/>
        <v>0</v>
      </c>
      <c r="R1650" s="989">
        <f t="shared" si="1997"/>
        <v>0</v>
      </c>
      <c r="S1650" s="989">
        <f t="shared" si="1997"/>
        <v>0</v>
      </c>
      <c r="T1650" s="989">
        <f t="shared" ref="T1650:AT1650" si="1998">+(T655+U655)/2</f>
        <v>0</v>
      </c>
      <c r="U1650" s="989">
        <f t="shared" si="1998"/>
        <v>0</v>
      </c>
      <c r="V1650" s="989">
        <f t="shared" si="1998"/>
        <v>4.1871657754010701E-2</v>
      </c>
      <c r="W1650" s="989">
        <f t="shared" si="1998"/>
        <v>0.10176470588235295</v>
      </c>
      <c r="X1650" s="989">
        <f t="shared" si="1998"/>
        <v>7.7139037433155075E-2</v>
      </c>
      <c r="Y1650" s="989">
        <f t="shared" si="1998"/>
        <v>1.7245989304812834E-2</v>
      </c>
      <c r="Z1650" s="989">
        <f t="shared" si="1998"/>
        <v>0.02</v>
      </c>
      <c r="AA1650" s="989">
        <f t="shared" si="1998"/>
        <v>4.4999999999999998E-2</v>
      </c>
      <c r="AB1650" s="989">
        <f t="shared" si="1998"/>
        <v>0.05</v>
      </c>
      <c r="AC1650" s="989">
        <f t="shared" si="1998"/>
        <v>0.05</v>
      </c>
      <c r="AD1650" s="989">
        <f t="shared" si="1998"/>
        <v>6.0249999999999998E-2</v>
      </c>
      <c r="AE1650" s="989">
        <f t="shared" si="1998"/>
        <v>6.5549999999999997E-2</v>
      </c>
      <c r="AF1650" s="989">
        <f t="shared" si="1998"/>
        <v>3.8600000000000002E-2</v>
      </c>
      <c r="AG1650" s="989">
        <f t="shared" si="1998"/>
        <v>5.0800000000000005E-2</v>
      </c>
      <c r="AH1650" s="989">
        <f t="shared" si="1998"/>
        <v>0.11015</v>
      </c>
      <c r="AI1650" s="989">
        <f t="shared" si="1998"/>
        <v>0.11783</v>
      </c>
      <c r="AJ1650" s="989">
        <f t="shared" si="1998"/>
        <v>0.10018000000000001</v>
      </c>
      <c r="AK1650" s="989">
        <f t="shared" si="1998"/>
        <v>0.09</v>
      </c>
      <c r="AL1650" s="989">
        <f t="shared" si="1998"/>
        <v>7.8421759570421121E-2</v>
      </c>
      <c r="AM1650" s="989">
        <f t="shared" si="1998"/>
        <v>7.5549267504532086E-2</v>
      </c>
      <c r="AN1650" s="989">
        <f t="shared" si="1998"/>
        <v>7.7127507934110967E-2</v>
      </c>
      <c r="AO1650" s="989">
        <f t="shared" si="1998"/>
        <v>0.08</v>
      </c>
      <c r="AP1650" s="989">
        <f t="shared" si="1998"/>
        <v>0.08</v>
      </c>
      <c r="AQ1650" s="989">
        <f t="shared" si="1998"/>
        <v>0.08</v>
      </c>
      <c r="AR1650" s="989">
        <f t="shared" si="1998"/>
        <v>0.08</v>
      </c>
      <c r="AS1650" s="989">
        <f t="shared" si="1998"/>
        <v>0.08</v>
      </c>
      <c r="AT1650" s="989">
        <f t="shared" si="1998"/>
        <v>0.04</v>
      </c>
      <c r="AV1650" s="989"/>
      <c r="AW1650" s="989"/>
    </row>
    <row r="1651" spans="1:52">
      <c r="A1651" s="1"/>
      <c r="B1651" s="1"/>
      <c r="C1651" s="1"/>
      <c r="D1651" s="1684" t="s">
        <v>3375</v>
      </c>
      <c r="E1651" s="988"/>
      <c r="F1651" s="988"/>
      <c r="G1651" s="988"/>
      <c r="H1651" s="988"/>
      <c r="I1651" s="988"/>
      <c r="J1651" s="989"/>
      <c r="K1651" s="989"/>
      <c r="L1651" s="989"/>
      <c r="M1651" s="989"/>
      <c r="N1651" s="989"/>
      <c r="O1651" s="989"/>
      <c r="P1651" s="989"/>
      <c r="Q1651" s="989"/>
      <c r="R1651" s="989"/>
      <c r="S1651" s="989"/>
      <c r="T1651" s="989"/>
      <c r="U1651" s="989"/>
      <c r="V1651" s="989"/>
      <c r="W1651" s="989">
        <f t="shared" ref="W1651:AT1651" si="1999">(W1213/V1213-1)-W1648</f>
        <v>9.6403375572962996E-2</v>
      </c>
      <c r="X1651" s="989">
        <f t="shared" si="1999"/>
        <v>-0.12718670076726321</v>
      </c>
      <c r="Y1651" s="989">
        <f t="shared" si="1999"/>
        <v>0.99177703922096261</v>
      </c>
      <c r="Z1651" s="989">
        <f t="shared" si="1999"/>
        <v>0.1467563196916615</v>
      </c>
      <c r="AA1651" s="989">
        <f t="shared" si="1999"/>
        <v>5.7035523984499098E-2</v>
      </c>
      <c r="AB1651" s="989">
        <f t="shared" si="1999"/>
        <v>3.6993998334381689E-2</v>
      </c>
      <c r="AC1651" s="989">
        <f t="shared" si="1999"/>
        <v>4.4508152005289042E-2</v>
      </c>
      <c r="AD1651" s="989">
        <f t="shared" si="1999"/>
        <v>9.7255009214461535E-2</v>
      </c>
      <c r="AE1651" s="989">
        <f t="shared" si="1999"/>
        <v>-0.33203154426654313</v>
      </c>
      <c r="AF1651" s="989">
        <f t="shared" si="1999"/>
        <v>0.3257100918299205</v>
      </c>
      <c r="AG1651" s="989">
        <f t="shared" si="1999"/>
        <v>0.29651228519587769</v>
      </c>
      <c r="AH1651" s="989">
        <f t="shared" si="1999"/>
        <v>0.38185593342829804</v>
      </c>
      <c r="AI1651" s="989">
        <f t="shared" si="1999"/>
        <v>0.12627720508374643</v>
      </c>
      <c r="AJ1651" s="989">
        <f t="shared" si="1999"/>
        <v>0.12332330770614089</v>
      </c>
      <c r="AK1651" s="989">
        <f t="shared" si="1999"/>
        <v>0.19858793886843487</v>
      </c>
      <c r="AL1651" s="989">
        <f t="shared" si="1999"/>
        <v>9.9567757453245004E-2</v>
      </c>
      <c r="AM1651" s="989">
        <f t="shared" si="1999"/>
        <v>0.11058222922707131</v>
      </c>
      <c r="AN1651" s="989">
        <f t="shared" si="1999"/>
        <v>0.11495451579850505</v>
      </c>
      <c r="AO1651" s="989">
        <f t="shared" si="1999"/>
        <v>5.0877459312468593E-2</v>
      </c>
      <c r="AP1651" s="989">
        <f t="shared" si="1999"/>
        <v>0.18356878283957448</v>
      </c>
      <c r="AQ1651" s="989">
        <f t="shared" si="1999"/>
        <v>9.1369835533693849E-2</v>
      </c>
      <c r="AR1651" s="989">
        <f t="shared" si="1999"/>
        <v>8.3881812597089073E-2</v>
      </c>
      <c r="AS1651" s="989">
        <f t="shared" si="1999"/>
        <v>8.6154538404802833E-2</v>
      </c>
      <c r="AT1651" s="989">
        <f t="shared" si="1999"/>
        <v>0.25357729447510935</v>
      </c>
      <c r="AV1651" s="989"/>
      <c r="AW1651" s="989"/>
    </row>
    <row r="1652" spans="1:52">
      <c r="A1652" s="1"/>
      <c r="B1652" s="1"/>
      <c r="C1652" s="1"/>
      <c r="D1652" s="1684" t="s">
        <v>3376</v>
      </c>
      <c r="E1652" s="988"/>
      <c r="F1652" s="988"/>
      <c r="G1652" s="988"/>
      <c r="H1652" s="988"/>
      <c r="I1652" s="988"/>
      <c r="J1652" s="989"/>
      <c r="K1652" s="989"/>
      <c r="L1652" s="989"/>
      <c r="M1652" s="989"/>
      <c r="N1652" s="989"/>
      <c r="O1652" s="989"/>
      <c r="P1652" s="989"/>
      <c r="Q1652" s="989"/>
      <c r="R1652" s="989"/>
      <c r="S1652" s="989"/>
      <c r="T1652" s="989"/>
      <c r="U1652" s="989"/>
      <c r="V1652" s="989"/>
      <c r="W1652" s="989">
        <f t="shared" ref="W1652:AT1652" si="2000">(W1213/V1213-1)-W1649</f>
        <v>0.101403375572963</v>
      </c>
      <c r="X1652" s="989">
        <f t="shared" si="2000"/>
        <v>-0.12218670076726321</v>
      </c>
      <c r="Y1652" s="989">
        <f t="shared" si="2000"/>
        <v>0.99677703922096261</v>
      </c>
      <c r="Z1652" s="989">
        <f t="shared" si="2000"/>
        <v>0.15175631969166151</v>
      </c>
      <c r="AA1652" s="989">
        <f t="shared" si="2000"/>
        <v>6.2035523984499095E-2</v>
      </c>
      <c r="AB1652" s="989">
        <f t="shared" si="2000"/>
        <v>4.1993998334381687E-2</v>
      </c>
      <c r="AC1652" s="989">
        <f t="shared" si="2000"/>
        <v>4.950815200528904E-2</v>
      </c>
      <c r="AD1652" s="989">
        <f t="shared" si="2000"/>
        <v>0.10225500921446154</v>
      </c>
      <c r="AE1652" s="989">
        <f t="shared" si="2000"/>
        <v>-0.32703154426654313</v>
      </c>
      <c r="AF1652" s="989">
        <f t="shared" si="2000"/>
        <v>0.33071009182992051</v>
      </c>
      <c r="AG1652" s="989">
        <f t="shared" si="2000"/>
        <v>0.30151228519587769</v>
      </c>
      <c r="AH1652" s="989">
        <f t="shared" si="2000"/>
        <v>0.38685593342829805</v>
      </c>
      <c r="AI1652" s="989">
        <f t="shared" si="2000"/>
        <v>0.13127720508374643</v>
      </c>
      <c r="AJ1652" s="989">
        <f t="shared" si="2000"/>
        <v>0.12832330770614089</v>
      </c>
      <c r="AK1652" s="989">
        <f t="shared" si="2000"/>
        <v>0.20358793886843488</v>
      </c>
      <c r="AL1652" s="989">
        <f t="shared" si="2000"/>
        <v>0.10456775745324501</v>
      </c>
      <c r="AM1652" s="989">
        <f t="shared" si="2000"/>
        <v>0.11558222922707131</v>
      </c>
      <c r="AN1652" s="989">
        <f t="shared" si="2000"/>
        <v>0.11995451579850505</v>
      </c>
      <c r="AO1652" s="989">
        <f t="shared" si="2000"/>
        <v>5.587745931246859E-2</v>
      </c>
      <c r="AP1652" s="989">
        <f t="shared" si="2000"/>
        <v>0.18856878283957448</v>
      </c>
      <c r="AQ1652" s="989">
        <f t="shared" si="2000"/>
        <v>9.6369835533693854E-2</v>
      </c>
      <c r="AR1652" s="989">
        <f t="shared" si="2000"/>
        <v>8.8881812597089077E-2</v>
      </c>
      <c r="AS1652" s="989">
        <f t="shared" si="2000"/>
        <v>9.1154538404802837E-2</v>
      </c>
      <c r="AT1652" s="989">
        <f t="shared" si="2000"/>
        <v>0.25857729447510935</v>
      </c>
      <c r="AV1652" s="989"/>
      <c r="AW1652" s="989"/>
    </row>
    <row r="1653" spans="1:52">
      <c r="D1653" s="985" t="s">
        <v>3107</v>
      </c>
      <c r="E1653" s="974"/>
      <c r="F1653" s="974"/>
      <c r="G1653" s="974"/>
      <c r="H1653" s="974"/>
      <c r="I1653" s="974"/>
      <c r="J1653" s="977">
        <f t="shared" ref="J1653:AT1653" si="2001">(K1159+J1159+J1208-J1209+J1212-J1213+K1208-K1209+K1212-K1213)/2</f>
        <v>0</v>
      </c>
      <c r="K1653" s="977">
        <f t="shared" si="2001"/>
        <v>0</v>
      </c>
      <c r="L1653" s="977">
        <f t="shared" si="2001"/>
        <v>0</v>
      </c>
      <c r="M1653" s="977">
        <f t="shared" si="2001"/>
        <v>0</v>
      </c>
      <c r="N1653" s="977">
        <f t="shared" si="2001"/>
        <v>0</v>
      </c>
      <c r="O1653" s="977">
        <f t="shared" si="2001"/>
        <v>0</v>
      </c>
      <c r="P1653" s="977">
        <f t="shared" si="2001"/>
        <v>0</v>
      </c>
      <c r="Q1653" s="977">
        <f t="shared" si="2001"/>
        <v>0</v>
      </c>
      <c r="R1653" s="977">
        <f t="shared" si="2001"/>
        <v>0</v>
      </c>
      <c r="S1653" s="977">
        <f t="shared" si="2001"/>
        <v>0</v>
      </c>
      <c r="T1653" s="977">
        <f t="shared" si="2001"/>
        <v>0</v>
      </c>
      <c r="U1653" s="977">
        <f t="shared" si="2001"/>
        <v>110.35896774126658</v>
      </c>
      <c r="V1653" s="977">
        <f t="shared" si="2001"/>
        <v>239.06043857961149</v>
      </c>
      <c r="W1653" s="977">
        <f t="shared" si="2001"/>
        <v>244.94295218344908</v>
      </c>
      <c r="X1653" s="977">
        <f t="shared" si="2001"/>
        <v>284.84683377993485</v>
      </c>
      <c r="Y1653" s="977">
        <f t="shared" si="2001"/>
        <v>331.56637002473116</v>
      </c>
      <c r="Z1653" s="977">
        <f t="shared" si="2001"/>
        <v>365.32161207981437</v>
      </c>
      <c r="AA1653" s="977">
        <f t="shared" si="2001"/>
        <v>455.95048852263324</v>
      </c>
      <c r="AB1653" s="977">
        <f t="shared" si="2001"/>
        <v>517.78541601483084</v>
      </c>
      <c r="AC1653" s="977">
        <f t="shared" si="2001"/>
        <v>553.66549721984723</v>
      </c>
      <c r="AD1653" s="977">
        <f t="shared" si="2001"/>
        <v>630.40663157223582</v>
      </c>
      <c r="AE1653" s="977">
        <f t="shared" si="2001"/>
        <v>697.31858506200001</v>
      </c>
      <c r="AF1653" s="977">
        <f t="shared" si="2001"/>
        <v>791.58256679733006</v>
      </c>
      <c r="AG1653" s="977">
        <f t="shared" si="2001"/>
        <v>942.31207444218262</v>
      </c>
      <c r="AH1653" s="977">
        <f t="shared" si="2001"/>
        <v>1010.8063753378527</v>
      </c>
      <c r="AI1653" s="977">
        <f t="shared" si="2001"/>
        <v>997.369023707</v>
      </c>
      <c r="AJ1653" s="977">
        <f t="shared" si="2001"/>
        <v>988.50125954267389</v>
      </c>
      <c r="AK1653" s="977">
        <f t="shared" si="2001"/>
        <v>1095.4316890894399</v>
      </c>
      <c r="AL1653" s="977">
        <f t="shared" si="2001"/>
        <v>1293.944845939817</v>
      </c>
      <c r="AM1653" s="977">
        <f t="shared" si="2001"/>
        <v>1468.3166388362833</v>
      </c>
      <c r="AN1653" s="977">
        <f t="shared" si="2001"/>
        <v>1750.4222090049507</v>
      </c>
      <c r="AO1653" s="977">
        <f t="shared" si="2001"/>
        <v>2040.7656549774379</v>
      </c>
      <c r="AP1653" s="977">
        <f t="shared" si="2001"/>
        <v>2376.8561437314688</v>
      </c>
      <c r="AQ1653" s="977">
        <f t="shared" si="2001"/>
        <v>2871.3384838289867</v>
      </c>
      <c r="AR1653" s="977">
        <f t="shared" si="2001"/>
        <v>3414.4574590677248</v>
      </c>
      <c r="AS1653" s="977">
        <f t="shared" si="2001"/>
        <v>4469.6890705990136</v>
      </c>
      <c r="AT1653" s="977">
        <f t="shared" si="2001"/>
        <v>6293.5040907548246</v>
      </c>
      <c r="AV1653" s="977"/>
      <c r="AW1653" s="977"/>
    </row>
    <row r="1654" spans="1:52">
      <c r="D1654" s="985" t="s">
        <v>3261</v>
      </c>
      <c r="E1654" s="974"/>
      <c r="F1654" s="974"/>
      <c r="G1654" s="974"/>
      <c r="H1654" s="974"/>
      <c r="I1654" s="974"/>
      <c r="J1654" s="977">
        <f t="shared" ref="J1654:AT1654" si="2002">(J1198+J1222+K1198+K1222)/2</f>
        <v>0</v>
      </c>
      <c r="K1654" s="977">
        <f t="shared" si="2002"/>
        <v>0</v>
      </c>
      <c r="L1654" s="977">
        <f t="shared" si="2002"/>
        <v>0</v>
      </c>
      <c r="M1654" s="977">
        <f t="shared" si="2002"/>
        <v>0</v>
      </c>
      <c r="N1654" s="977">
        <f t="shared" si="2002"/>
        <v>0</v>
      </c>
      <c r="O1654" s="977">
        <f t="shared" si="2002"/>
        <v>0</v>
      </c>
      <c r="P1654" s="977">
        <f t="shared" si="2002"/>
        <v>0</v>
      </c>
      <c r="Q1654" s="977">
        <f t="shared" si="2002"/>
        <v>0</v>
      </c>
      <c r="R1654" s="977">
        <f t="shared" si="2002"/>
        <v>0</v>
      </c>
      <c r="S1654" s="977">
        <f t="shared" si="2002"/>
        <v>0</v>
      </c>
      <c r="T1654" s="977">
        <f t="shared" si="2002"/>
        <v>0</v>
      </c>
      <c r="U1654" s="977">
        <f t="shared" si="2002"/>
        <v>0</v>
      </c>
      <c r="V1654" s="977">
        <f t="shared" si="2002"/>
        <v>0</v>
      </c>
      <c r="W1654" s="977">
        <f t="shared" si="2002"/>
        <v>13.5</v>
      </c>
      <c r="X1654" s="977">
        <f t="shared" si="2002"/>
        <v>56.440751832499998</v>
      </c>
      <c r="Y1654" s="977">
        <f t="shared" si="2002"/>
        <v>89.563135699499995</v>
      </c>
      <c r="Z1654" s="977">
        <f t="shared" si="2002"/>
        <v>101.1126434295</v>
      </c>
      <c r="AA1654" s="977">
        <f t="shared" si="2002"/>
        <v>109.44159242149999</v>
      </c>
      <c r="AB1654" s="977">
        <f t="shared" si="2002"/>
        <v>117.304254786</v>
      </c>
      <c r="AC1654" s="977">
        <f t="shared" si="2002"/>
        <v>161.27611092500001</v>
      </c>
      <c r="AD1654" s="977">
        <f t="shared" si="2002"/>
        <v>238.23144387150001</v>
      </c>
      <c r="AE1654" s="977">
        <f t="shared" si="2002"/>
        <v>289.90642664600006</v>
      </c>
      <c r="AF1654" s="977">
        <f t="shared" si="2002"/>
        <v>370.01808412300005</v>
      </c>
      <c r="AG1654" s="977">
        <f t="shared" si="2002"/>
        <v>391.90888422400002</v>
      </c>
      <c r="AH1654" s="977">
        <f t="shared" si="2002"/>
        <v>350.66501275299998</v>
      </c>
      <c r="AI1654" s="977">
        <f t="shared" si="2002"/>
        <v>372.4331668415</v>
      </c>
      <c r="AJ1654" s="977">
        <f t="shared" si="2002"/>
        <v>428.48922836751575</v>
      </c>
      <c r="AK1654" s="977">
        <f t="shared" si="2002"/>
        <v>490.89593493273833</v>
      </c>
      <c r="AL1654" s="977">
        <f t="shared" si="2002"/>
        <v>511.37784618166501</v>
      </c>
      <c r="AM1654" s="977">
        <f t="shared" si="2002"/>
        <v>501.31667417275668</v>
      </c>
      <c r="AN1654" s="977">
        <f t="shared" si="2002"/>
        <v>515.26205170452147</v>
      </c>
      <c r="AO1654" s="977">
        <f t="shared" si="2002"/>
        <v>568.56493212861346</v>
      </c>
      <c r="AP1654" s="977">
        <f t="shared" si="2002"/>
        <v>639.42416731864864</v>
      </c>
      <c r="AQ1654" s="977">
        <f t="shared" si="2002"/>
        <v>724.92260664345963</v>
      </c>
      <c r="AR1654" s="977">
        <f t="shared" si="2002"/>
        <v>823.26326933790415</v>
      </c>
      <c r="AS1654" s="977">
        <f t="shared" si="2002"/>
        <v>1015.0432657649196</v>
      </c>
      <c r="AT1654" s="977">
        <f t="shared" si="2002"/>
        <v>1338.1727071464672</v>
      </c>
      <c r="AV1654" s="977"/>
      <c r="AW1654" s="977"/>
    </row>
    <row r="1655" spans="1:52" s="2116" customFormat="1">
      <c r="A1655" s="2416"/>
      <c r="B1655" s="2417"/>
      <c r="C1655" s="2417"/>
      <c r="D1655" s="2420" t="s">
        <v>3872</v>
      </c>
      <c r="E1655" s="2418"/>
      <c r="F1655" s="2418"/>
      <c r="G1655" s="2418"/>
      <c r="H1655" s="2418"/>
      <c r="I1655" s="2418"/>
      <c r="J1655" s="2419"/>
      <c r="K1655" s="2419"/>
      <c r="L1655" s="2419"/>
      <c r="M1655" s="2419"/>
      <c r="N1655" s="2419"/>
      <c r="O1655" s="2419"/>
      <c r="P1655" s="2419"/>
      <c r="Q1655" s="2419"/>
      <c r="R1655" s="2419"/>
      <c r="S1655" s="2419"/>
      <c r="T1655" s="2419"/>
      <c r="U1655" s="2419"/>
      <c r="V1655" s="2419"/>
      <c r="W1655" s="2419"/>
      <c r="X1655" s="2419"/>
      <c r="Y1655" s="2419"/>
      <c r="Z1655" s="2419"/>
      <c r="AA1655" s="2419"/>
      <c r="AB1655" s="2419"/>
      <c r="AC1655" s="2419"/>
      <c r="AD1655" s="2419"/>
      <c r="AE1655" s="2419"/>
      <c r="AF1655" s="2419"/>
      <c r="AG1655" s="2419"/>
      <c r="AH1655" s="2419"/>
      <c r="AI1655" s="2419"/>
      <c r="AJ1655" s="2419"/>
      <c r="AK1655" s="2419"/>
      <c r="AL1655" s="2419"/>
      <c r="AM1655" s="2419"/>
      <c r="AN1655" s="2419"/>
      <c r="AO1655" s="2419"/>
      <c r="AP1655" s="2419"/>
      <c r="AQ1655" s="2419"/>
      <c r="AR1655" s="2419"/>
      <c r="AS1655" s="2419"/>
      <c r="AT1655" s="2419"/>
      <c r="AU1655" s="1"/>
      <c r="AV1655" s="2419"/>
      <c r="AW1655" s="2419"/>
      <c r="AX1655" s="1"/>
      <c r="AY1655" s="1"/>
      <c r="AZ1655" s="1"/>
    </row>
    <row r="1656" spans="1:52">
      <c r="A1656" s="783"/>
      <c r="B1656"/>
      <c r="C1656" s="32"/>
      <c r="D1656" s="985" t="s">
        <v>745</v>
      </c>
      <c r="E1656" s="977"/>
      <c r="F1656" s="977"/>
      <c r="G1656" s="977"/>
      <c r="H1656" s="977"/>
      <c r="I1656" s="977"/>
      <c r="J1656" s="990">
        <f t="shared" ref="J1656:AT1656" si="2003">(J1196+K1196)/2</f>
        <v>0</v>
      </c>
      <c r="K1656" s="990">
        <f t="shared" si="2003"/>
        <v>0</v>
      </c>
      <c r="L1656" s="990">
        <f t="shared" si="2003"/>
        <v>0</v>
      </c>
      <c r="M1656" s="990">
        <f t="shared" si="2003"/>
        <v>0</v>
      </c>
      <c r="N1656" s="990">
        <f t="shared" si="2003"/>
        <v>0</v>
      </c>
      <c r="O1656" s="990">
        <f t="shared" si="2003"/>
        <v>0</v>
      </c>
      <c r="P1656" s="990">
        <f t="shared" si="2003"/>
        <v>0</v>
      </c>
      <c r="Q1656" s="990">
        <f t="shared" si="2003"/>
        <v>0</v>
      </c>
      <c r="R1656" s="990">
        <f t="shared" si="2003"/>
        <v>0</v>
      </c>
      <c r="S1656" s="990">
        <f t="shared" si="2003"/>
        <v>0</v>
      </c>
      <c r="T1656" s="990">
        <f t="shared" si="2003"/>
        <v>0</v>
      </c>
      <c r="U1656" s="990">
        <f t="shared" si="2003"/>
        <v>0</v>
      </c>
      <c r="V1656" s="990">
        <f t="shared" si="2003"/>
        <v>2.6</v>
      </c>
      <c r="W1656" s="990">
        <f t="shared" si="2003"/>
        <v>10.1</v>
      </c>
      <c r="X1656" s="990">
        <f t="shared" si="2003"/>
        <v>16.522676295432507</v>
      </c>
      <c r="Y1656" s="990">
        <f t="shared" si="2003"/>
        <v>18.153487942040332</v>
      </c>
      <c r="Z1656" s="990">
        <f t="shared" si="2003"/>
        <v>21.878222980546397</v>
      </c>
      <c r="AA1656" s="990">
        <f t="shared" si="2003"/>
        <v>30.374038981938572</v>
      </c>
      <c r="AB1656" s="990">
        <f t="shared" si="2003"/>
        <v>42.076633911999998</v>
      </c>
      <c r="AC1656" s="990">
        <f t="shared" si="2003"/>
        <v>51.751750747136597</v>
      </c>
      <c r="AD1656" s="990">
        <f t="shared" si="2003"/>
        <v>66.452639685136603</v>
      </c>
      <c r="AE1656" s="990">
        <f t="shared" si="2003"/>
        <v>95.90533590285267</v>
      </c>
      <c r="AF1656" s="990">
        <f t="shared" si="2003"/>
        <v>131.93816038635265</v>
      </c>
      <c r="AG1656" s="990">
        <f t="shared" si="2003"/>
        <v>176.51061672399999</v>
      </c>
      <c r="AH1656" s="990">
        <f t="shared" si="2003"/>
        <v>218.56130107299998</v>
      </c>
      <c r="AI1656" s="990">
        <f t="shared" si="2003"/>
        <v>248.01459228667306</v>
      </c>
      <c r="AJ1656" s="990">
        <f t="shared" si="2003"/>
        <v>275.20401608567306</v>
      </c>
      <c r="AK1656" s="990">
        <f t="shared" si="2003"/>
        <v>310.66853723600002</v>
      </c>
      <c r="AL1656" s="990">
        <f t="shared" si="2003"/>
        <v>333.88187959449999</v>
      </c>
      <c r="AM1656" s="990">
        <f t="shared" si="2003"/>
        <v>319.14810631299997</v>
      </c>
      <c r="AN1656" s="990">
        <f t="shared" si="2003"/>
        <v>296.64141792149996</v>
      </c>
      <c r="AO1656" s="990">
        <f t="shared" si="2003"/>
        <v>350.08703641149998</v>
      </c>
      <c r="AP1656" s="990">
        <f t="shared" si="2003"/>
        <v>396.14015365349997</v>
      </c>
      <c r="AQ1656" s="990">
        <f t="shared" si="2003"/>
        <v>364.31451232724999</v>
      </c>
      <c r="AR1656" s="990">
        <f t="shared" si="2003"/>
        <v>335.28753979799978</v>
      </c>
      <c r="AS1656" s="990">
        <f t="shared" si="2003"/>
        <v>332.12047182387431</v>
      </c>
      <c r="AT1656" s="990">
        <f t="shared" si="2003"/>
        <v>348.11079701977019</v>
      </c>
      <c r="AV1656" s="990"/>
      <c r="AW1656" s="990"/>
    </row>
    <row r="1657" spans="1:52">
      <c r="A1657"/>
      <c r="B1657"/>
      <c r="C1657"/>
      <c r="D1657" s="995" t="s">
        <v>1106</v>
      </c>
      <c r="E1657" s="977"/>
      <c r="F1657" s="977"/>
      <c r="G1657" s="977"/>
      <c r="H1657" s="977"/>
      <c r="I1657" s="977"/>
      <c r="J1657" s="990">
        <f t="shared" ref="J1657:AT1657" si="2004">(K1189+J1189)/2</f>
        <v>0</v>
      </c>
      <c r="K1657" s="990">
        <f t="shared" si="2004"/>
        <v>0</v>
      </c>
      <c r="L1657" s="990">
        <f t="shared" si="2004"/>
        <v>0</v>
      </c>
      <c r="M1657" s="990">
        <f t="shared" si="2004"/>
        <v>0</v>
      </c>
      <c r="N1657" s="990">
        <f t="shared" si="2004"/>
        <v>0</v>
      </c>
      <c r="O1657" s="990">
        <f t="shared" si="2004"/>
        <v>0</v>
      </c>
      <c r="P1657" s="990">
        <f t="shared" si="2004"/>
        <v>0</v>
      </c>
      <c r="Q1657" s="990">
        <f t="shared" si="2004"/>
        <v>0</v>
      </c>
      <c r="R1657" s="990">
        <f t="shared" si="2004"/>
        <v>0</v>
      </c>
      <c r="S1657" s="990">
        <f t="shared" si="2004"/>
        <v>0</v>
      </c>
      <c r="T1657" s="990">
        <f t="shared" si="2004"/>
        <v>0</v>
      </c>
      <c r="U1657" s="990">
        <f t="shared" si="2004"/>
        <v>0</v>
      </c>
      <c r="V1657" s="990">
        <f t="shared" si="2004"/>
        <v>6.6</v>
      </c>
      <c r="W1657" s="990">
        <f t="shared" si="2004"/>
        <v>14.45</v>
      </c>
      <c r="X1657" s="990">
        <f t="shared" si="2004"/>
        <v>20.615726104848861</v>
      </c>
      <c r="Y1657" s="990">
        <f t="shared" si="2004"/>
        <v>26.571052244783026</v>
      </c>
      <c r="Z1657" s="990">
        <f t="shared" si="2004"/>
        <v>29.478945922243788</v>
      </c>
      <c r="AA1657" s="990">
        <f t="shared" si="2004"/>
        <v>34.142929483907452</v>
      </c>
      <c r="AB1657" s="990">
        <f t="shared" si="2004"/>
        <v>39.808594763623134</v>
      </c>
      <c r="AC1657" s="990">
        <f t="shared" si="2004"/>
        <v>45.283775648468037</v>
      </c>
      <c r="AD1657" s="990">
        <f t="shared" si="2004"/>
        <v>54.352997547472413</v>
      </c>
      <c r="AE1657" s="990">
        <f t="shared" si="2004"/>
        <v>63.99700421132961</v>
      </c>
      <c r="AF1657" s="990">
        <f t="shared" si="2004"/>
        <v>68.572257764827611</v>
      </c>
      <c r="AG1657" s="990">
        <f t="shared" si="2004"/>
        <v>85.408291936578379</v>
      </c>
      <c r="AH1657" s="990">
        <f t="shared" si="2004"/>
        <v>142.05046981254443</v>
      </c>
      <c r="AI1657" s="990">
        <f t="shared" si="2004"/>
        <v>203.78013138798707</v>
      </c>
      <c r="AJ1657" s="990">
        <f t="shared" si="2004"/>
        <v>255.54956690624959</v>
      </c>
      <c r="AK1657" s="990">
        <f t="shared" si="2004"/>
        <v>309.74668958689909</v>
      </c>
      <c r="AL1657" s="990">
        <f t="shared" si="2004"/>
        <v>352.3856875419508</v>
      </c>
      <c r="AM1657" s="990">
        <f t="shared" si="2004"/>
        <v>383.2136032486984</v>
      </c>
      <c r="AN1657" s="990">
        <f t="shared" si="2004"/>
        <v>409.06746883846728</v>
      </c>
      <c r="AO1657" s="990">
        <f t="shared" si="2004"/>
        <v>444.54231173228351</v>
      </c>
      <c r="AP1657" s="990">
        <f t="shared" si="2004"/>
        <v>578.54243269750646</v>
      </c>
      <c r="AQ1657" s="990">
        <f t="shared" si="2004"/>
        <v>674.12269999678756</v>
      </c>
      <c r="AR1657" s="990">
        <f t="shared" si="2004"/>
        <v>656.12223139357548</v>
      </c>
      <c r="AS1657" s="990">
        <f t="shared" si="2004"/>
        <v>651.09083194764321</v>
      </c>
      <c r="AT1657" s="990">
        <f t="shared" si="2004"/>
        <v>641.78787633492516</v>
      </c>
      <c r="AV1657" s="990"/>
      <c r="AW1657" s="990"/>
    </row>
    <row r="1658" spans="1:52">
      <c r="A1658"/>
      <c r="B1658"/>
      <c r="C1658"/>
      <c r="D1658" s="995" t="s">
        <v>3262</v>
      </c>
      <c r="E1658" s="977"/>
      <c r="F1658" s="977"/>
      <c r="G1658" s="977"/>
      <c r="H1658" s="977"/>
      <c r="I1658" s="977"/>
      <c r="J1658" s="990">
        <f t="shared" ref="J1658:AT1658" si="2005">(J1224+K1224)/2</f>
        <v>0</v>
      </c>
      <c r="K1658" s="990">
        <f t="shared" si="2005"/>
        <v>0</v>
      </c>
      <c r="L1658" s="990">
        <f t="shared" si="2005"/>
        <v>0</v>
      </c>
      <c r="M1658" s="990">
        <f t="shared" si="2005"/>
        <v>0</v>
      </c>
      <c r="N1658" s="990">
        <f t="shared" si="2005"/>
        <v>0</v>
      </c>
      <c r="O1658" s="990">
        <f t="shared" si="2005"/>
        <v>0</v>
      </c>
      <c r="P1658" s="990">
        <f t="shared" si="2005"/>
        <v>0</v>
      </c>
      <c r="Q1658" s="990">
        <f t="shared" si="2005"/>
        <v>0</v>
      </c>
      <c r="R1658" s="990">
        <f t="shared" si="2005"/>
        <v>0</v>
      </c>
      <c r="S1658" s="990">
        <f t="shared" si="2005"/>
        <v>0</v>
      </c>
      <c r="T1658" s="990">
        <f t="shared" si="2005"/>
        <v>0</v>
      </c>
      <c r="U1658" s="990">
        <f t="shared" si="2005"/>
        <v>0</v>
      </c>
      <c r="V1658" s="990">
        <f t="shared" si="2005"/>
        <v>0</v>
      </c>
      <c r="W1658" s="990">
        <f t="shared" si="2005"/>
        <v>0</v>
      </c>
      <c r="X1658" s="990">
        <f t="shared" si="2005"/>
        <v>16.104677891850002</v>
      </c>
      <c r="Y1658" s="990">
        <f t="shared" si="2005"/>
        <v>49.943223308850001</v>
      </c>
      <c r="Z1658" s="990">
        <f t="shared" si="2005"/>
        <v>69.556170542499999</v>
      </c>
      <c r="AA1658" s="990">
        <f t="shared" si="2005"/>
        <v>79.47946637199999</v>
      </c>
      <c r="AB1658" s="990">
        <f t="shared" si="2005"/>
        <v>97.659549186999996</v>
      </c>
      <c r="AC1658" s="990">
        <f t="shared" si="2005"/>
        <v>139.208972109</v>
      </c>
      <c r="AD1658" s="990">
        <f t="shared" si="2005"/>
        <v>157.48623317800002</v>
      </c>
      <c r="AE1658" s="990">
        <f t="shared" si="2005"/>
        <v>138.30571995849999</v>
      </c>
      <c r="AF1658" s="990">
        <f t="shared" si="2005"/>
        <v>139.640025326</v>
      </c>
      <c r="AG1658" s="990">
        <f t="shared" si="2005"/>
        <v>137.35927437700002</v>
      </c>
      <c r="AH1658" s="990">
        <f t="shared" si="2005"/>
        <v>133.41061683250001</v>
      </c>
      <c r="AI1658" s="990">
        <f t="shared" si="2005"/>
        <v>142.05726795300001</v>
      </c>
      <c r="AJ1658" s="990">
        <f t="shared" si="2005"/>
        <v>148.98827536329298</v>
      </c>
      <c r="AK1658" s="990">
        <f t="shared" si="2005"/>
        <v>160.82136673128394</v>
      </c>
      <c r="AL1658" s="990">
        <f t="shared" si="2005"/>
        <v>179.27819103895848</v>
      </c>
      <c r="AM1658" s="990">
        <f t="shared" si="2005"/>
        <v>201.86040161829391</v>
      </c>
      <c r="AN1658" s="990">
        <f t="shared" si="2005"/>
        <v>228.26318859278734</v>
      </c>
      <c r="AO1658" s="990">
        <f t="shared" si="2005"/>
        <v>260.8894793865901</v>
      </c>
      <c r="AP1658" s="990">
        <f t="shared" si="2005"/>
        <v>301.39266033721526</v>
      </c>
      <c r="AQ1658" s="990">
        <f t="shared" si="2005"/>
        <v>349.74764987077788</v>
      </c>
      <c r="AR1658" s="990">
        <f t="shared" si="2005"/>
        <v>405.99060597156591</v>
      </c>
      <c r="AS1658" s="990">
        <f t="shared" si="2005"/>
        <v>545.1748184411174</v>
      </c>
      <c r="AT1658" s="990">
        <f t="shared" si="2005"/>
        <v>817.59071674764482</v>
      </c>
      <c r="AV1658" s="990"/>
      <c r="AW1658" s="990"/>
    </row>
    <row r="1659" spans="1:52">
      <c r="D1659" s="973" t="s">
        <v>3264</v>
      </c>
      <c r="E1659" s="974"/>
      <c r="F1659" s="974"/>
      <c r="G1659" s="974"/>
      <c r="H1659" s="974"/>
      <c r="I1659" s="974"/>
      <c r="J1659" s="977">
        <f t="shared" ref="J1659:T1659" si="2006">(K1228+J1228+J1210+J1215+K1210+K1215)/2</f>
        <v>62.269932459000003</v>
      </c>
      <c r="K1659" s="977">
        <f t="shared" si="2006"/>
        <v>62.237228729500004</v>
      </c>
      <c r="L1659" s="977">
        <f t="shared" si="2006"/>
        <v>57.846825000000003</v>
      </c>
      <c r="M1659" s="977">
        <f t="shared" si="2006"/>
        <v>56.052075000000002</v>
      </c>
      <c r="N1659" s="977">
        <f t="shared" si="2006"/>
        <v>60.348399999999998</v>
      </c>
      <c r="O1659" s="977">
        <f t="shared" si="2006"/>
        <v>81.111818139999997</v>
      </c>
      <c r="P1659" s="977">
        <f t="shared" si="2006"/>
        <v>107.17084180575</v>
      </c>
      <c r="Q1659" s="977">
        <f t="shared" si="2006"/>
        <v>125.07089866575001</v>
      </c>
      <c r="R1659" s="977">
        <f t="shared" si="2006"/>
        <v>160</v>
      </c>
      <c r="S1659" s="977">
        <f t="shared" si="2006"/>
        <v>247.45</v>
      </c>
      <c r="T1659" s="977">
        <f t="shared" si="2006"/>
        <v>311.70000000000005</v>
      </c>
      <c r="U1659" s="977">
        <f>(V1228+U1228+U1210+U1215+V1210+V1215)/2*0.8</f>
        <v>293.22153278193349</v>
      </c>
      <c r="V1659" s="977">
        <f>(W1228+V1228+V1210+V1215+W1210+W1215)/2*0.8</f>
        <v>350.95257695430683</v>
      </c>
      <c r="W1659" s="977">
        <f t="shared" ref="W1659:AT1659" si="2007">(X1228+W1228+W1210+W1215+X1210+X1215)/2</f>
        <v>456.16012345662585</v>
      </c>
      <c r="X1659" s="977">
        <f t="shared" si="2007"/>
        <v>581.76532198245627</v>
      </c>
      <c r="Y1659" s="977">
        <f t="shared" si="2007"/>
        <v>714.6938846840942</v>
      </c>
      <c r="Z1659" s="977">
        <f t="shared" si="2007"/>
        <v>711.33787929582877</v>
      </c>
      <c r="AA1659" s="977">
        <f t="shared" si="2007"/>
        <v>703.1909627966478</v>
      </c>
      <c r="AB1659" s="977">
        <f t="shared" si="2007"/>
        <v>741.30893922625728</v>
      </c>
      <c r="AC1659" s="977">
        <f t="shared" si="2007"/>
        <v>905.14254779361499</v>
      </c>
      <c r="AD1659" s="977">
        <f t="shared" si="2007"/>
        <v>1101.7806773086568</v>
      </c>
      <c r="AE1659" s="977">
        <f t="shared" si="2007"/>
        <v>1304.9936973203376</v>
      </c>
      <c r="AF1659" s="977">
        <f t="shared" si="2007"/>
        <v>1584.4471301053195</v>
      </c>
      <c r="AG1659" s="977">
        <f t="shared" si="2007"/>
        <v>1744.1875984054286</v>
      </c>
      <c r="AH1659" s="977">
        <f t="shared" si="2007"/>
        <v>1878.6893955622077</v>
      </c>
      <c r="AI1659" s="977">
        <f t="shared" si="2007"/>
        <v>1998.9008770565542</v>
      </c>
      <c r="AJ1659" s="977">
        <f t="shared" si="2007"/>
        <v>2124.1454458123703</v>
      </c>
      <c r="AK1659" s="977">
        <f t="shared" si="2007"/>
        <v>2382.4347239565673</v>
      </c>
      <c r="AL1659" s="977">
        <f t="shared" si="2007"/>
        <v>2732.8927857216736</v>
      </c>
      <c r="AM1659" s="977">
        <f t="shared" si="2007"/>
        <v>3162.8226194622825</v>
      </c>
      <c r="AN1659" s="977">
        <f t="shared" si="2007"/>
        <v>3590.213642995996</v>
      </c>
      <c r="AO1659" s="977">
        <f t="shared" si="2007"/>
        <v>4014.2126613467171</v>
      </c>
      <c r="AP1659" s="977">
        <f t="shared" si="2007"/>
        <v>4358.6622750220731</v>
      </c>
      <c r="AQ1659" s="977">
        <f t="shared" si="2007"/>
        <v>4625.2722403594462</v>
      </c>
      <c r="AR1659" s="977">
        <f t="shared" si="2007"/>
        <v>5190.0117922147183</v>
      </c>
      <c r="AS1659" s="977">
        <f t="shared" si="2007"/>
        <v>6446.0458830972912</v>
      </c>
      <c r="AT1659" s="977">
        <f t="shared" si="2007"/>
        <v>8363.8986732022713</v>
      </c>
      <c r="AV1659" s="977"/>
      <c r="AW1659" s="977"/>
    </row>
    <row r="1660" spans="1:52">
      <c r="D1660" s="985" t="s">
        <v>1102</v>
      </c>
      <c r="E1660" s="974"/>
      <c r="F1660" s="974"/>
      <c r="G1660" s="974"/>
      <c r="H1660" s="974"/>
      <c r="I1660" s="974"/>
      <c r="J1660" s="994">
        <f t="shared" ref="J1660:AT1660" si="2008">(K1123+K1126+K1130+J1123+J1126+J1130)/2</f>
        <v>0</v>
      </c>
      <c r="K1660" s="994">
        <f t="shared" si="2008"/>
        <v>0</v>
      </c>
      <c r="L1660" s="994">
        <f t="shared" si="2008"/>
        <v>0</v>
      </c>
      <c r="M1660" s="994">
        <f t="shared" si="2008"/>
        <v>0</v>
      </c>
      <c r="N1660" s="994">
        <f t="shared" si="2008"/>
        <v>0</v>
      </c>
      <c r="O1660" s="994">
        <f t="shared" si="2008"/>
        <v>0</v>
      </c>
      <c r="P1660" s="994">
        <f t="shared" si="2008"/>
        <v>0</v>
      </c>
      <c r="Q1660" s="994">
        <f t="shared" si="2008"/>
        <v>0</v>
      </c>
      <c r="R1660" s="994">
        <f t="shared" si="2008"/>
        <v>0</v>
      </c>
      <c r="S1660" s="994">
        <f t="shared" si="2008"/>
        <v>0</v>
      </c>
      <c r="T1660" s="994">
        <f t="shared" si="2008"/>
        <v>0</v>
      </c>
      <c r="U1660" s="994">
        <f t="shared" si="2008"/>
        <v>82</v>
      </c>
      <c r="V1660" s="994">
        <f t="shared" si="2008"/>
        <v>177.85</v>
      </c>
      <c r="W1660" s="994">
        <f t="shared" si="2008"/>
        <v>183.3</v>
      </c>
      <c r="X1660" s="994">
        <f t="shared" si="2008"/>
        <v>239.08088762328447</v>
      </c>
      <c r="Y1660" s="1749">
        <f t="shared" si="2008"/>
        <v>272.14273864346393</v>
      </c>
      <c r="Z1660" s="1749">
        <f t="shared" si="2008"/>
        <v>204.96514877809057</v>
      </c>
      <c r="AA1660" s="1749">
        <f t="shared" si="2008"/>
        <v>157.45329775791112</v>
      </c>
      <c r="AB1660" s="1749">
        <f t="shared" si="2008"/>
        <v>157.35500000000002</v>
      </c>
      <c r="AC1660" s="1749">
        <f t="shared" si="2008"/>
        <v>200.89276599708484</v>
      </c>
      <c r="AD1660" s="1749">
        <f t="shared" si="2008"/>
        <v>246.45168733820987</v>
      </c>
      <c r="AE1660" s="1749">
        <f t="shared" si="2008"/>
        <v>277.28808273132501</v>
      </c>
      <c r="AF1660" s="1749">
        <f t="shared" si="2008"/>
        <v>335.90089415401997</v>
      </c>
      <c r="AG1660" s="1749">
        <f t="shared" si="2008"/>
        <v>389.16918513532062</v>
      </c>
      <c r="AH1660" s="1749">
        <f t="shared" si="2008"/>
        <v>452.68277694427042</v>
      </c>
      <c r="AI1660" s="1749">
        <f t="shared" si="2008"/>
        <v>477.17064764961941</v>
      </c>
      <c r="AJ1660" s="1749">
        <f t="shared" si="2008"/>
        <v>502.95961509927378</v>
      </c>
      <c r="AK1660" s="1749">
        <f t="shared" si="2008"/>
        <v>501.15470964930535</v>
      </c>
      <c r="AL1660" s="1749">
        <f t="shared" si="2008"/>
        <v>457.32492183202208</v>
      </c>
      <c r="AM1660" s="1749">
        <f t="shared" si="2008"/>
        <v>479.08510032872175</v>
      </c>
      <c r="AN1660" s="1749">
        <f t="shared" si="2008"/>
        <v>499.92082822272664</v>
      </c>
      <c r="AO1660" s="1749">
        <f t="shared" si="2008"/>
        <v>567.9426489466</v>
      </c>
      <c r="AP1660" s="1749">
        <f t="shared" si="2008"/>
        <v>677.45899355246615</v>
      </c>
      <c r="AQ1660" s="1749">
        <f t="shared" si="2008"/>
        <v>739.63370071117424</v>
      </c>
      <c r="AR1660" s="1749">
        <f t="shared" si="2008"/>
        <v>761.82271173250956</v>
      </c>
      <c r="AS1660" s="1749">
        <f t="shared" si="2008"/>
        <v>784.67739308448495</v>
      </c>
      <c r="AT1660" s="1749">
        <f t="shared" si="2008"/>
        <v>808.21771487701938</v>
      </c>
      <c r="AV1660" s="1749"/>
      <c r="AW1660" s="1749"/>
    </row>
    <row r="1661" spans="1:52">
      <c r="D1661" s="995" t="s">
        <v>1105</v>
      </c>
      <c r="E1661" s="974"/>
      <c r="F1661" s="974"/>
      <c r="G1661" s="974"/>
      <c r="H1661" s="974"/>
      <c r="I1661" s="974"/>
      <c r="J1661" s="994">
        <f t="shared" ref="J1661:V1661" si="2009">(J1360+K1360)/2</f>
        <v>0</v>
      </c>
      <c r="K1661" s="994">
        <f t="shared" si="2009"/>
        <v>0</v>
      </c>
      <c r="L1661" s="994">
        <f t="shared" si="2009"/>
        <v>0</v>
      </c>
      <c r="M1661" s="994">
        <f t="shared" si="2009"/>
        <v>0</v>
      </c>
      <c r="N1661" s="994">
        <f t="shared" si="2009"/>
        <v>0</v>
      </c>
      <c r="O1661" s="994">
        <f t="shared" si="2009"/>
        <v>0</v>
      </c>
      <c r="P1661" s="994">
        <f t="shared" si="2009"/>
        <v>0</v>
      </c>
      <c r="Q1661" s="994">
        <f t="shared" si="2009"/>
        <v>0</v>
      </c>
      <c r="R1661" s="994">
        <f t="shared" si="2009"/>
        <v>0</v>
      </c>
      <c r="S1661" s="994">
        <f t="shared" si="2009"/>
        <v>0</v>
      </c>
      <c r="T1661" s="994">
        <f t="shared" si="2009"/>
        <v>0</v>
      </c>
      <c r="U1661" s="994">
        <f t="shared" si="2009"/>
        <v>0</v>
      </c>
      <c r="V1661" s="994">
        <f t="shared" si="2009"/>
        <v>0</v>
      </c>
      <c r="W1661" s="994">
        <f>(W1360+X1360-W1362-X1362)/2</f>
        <v>0</v>
      </c>
      <c r="X1661" s="994">
        <f t="shared" ref="X1661:AT1661" si="2010">(X1360+Y1360-X1362-Y1362)/2</f>
        <v>33.354639702555005</v>
      </c>
      <c r="Y1661" s="1749">
        <f t="shared" si="2010"/>
        <v>82.971240236441005</v>
      </c>
      <c r="Z1661" s="1749">
        <f t="shared" si="2010"/>
        <v>101.0506082047025</v>
      </c>
      <c r="AA1661" s="1749">
        <f t="shared" si="2010"/>
        <v>131.808596255731</v>
      </c>
      <c r="AB1661" s="1749">
        <f t="shared" si="2010"/>
        <v>165.54979633799451</v>
      </c>
      <c r="AC1661" s="1749">
        <f t="shared" si="2010"/>
        <v>192.63943987288599</v>
      </c>
      <c r="AD1661" s="1749">
        <f t="shared" si="2010"/>
        <v>251.449757467864</v>
      </c>
      <c r="AE1661" s="1749">
        <f t="shared" si="2010"/>
        <v>339.2705442725125</v>
      </c>
      <c r="AF1661" s="1749">
        <f t="shared" si="2010"/>
        <v>369.56116121979949</v>
      </c>
      <c r="AG1661" s="1749">
        <f t="shared" si="2010"/>
        <v>359.36901741499247</v>
      </c>
      <c r="AH1661" s="1749">
        <f t="shared" si="2010"/>
        <v>481.93200638025843</v>
      </c>
      <c r="AI1661" s="1749">
        <f t="shared" si="2010"/>
        <v>645.47877173237157</v>
      </c>
      <c r="AJ1661" s="1749">
        <f t="shared" si="2010"/>
        <v>730.1333435654052</v>
      </c>
      <c r="AK1661" s="1749">
        <f t="shared" si="2010"/>
        <v>791.76131990944907</v>
      </c>
      <c r="AL1661" s="1749">
        <f t="shared" si="2010"/>
        <v>840.62842279333404</v>
      </c>
      <c r="AM1661" s="1749">
        <f t="shared" si="2010"/>
        <v>902.81969069278273</v>
      </c>
      <c r="AN1661" s="1749">
        <f t="shared" si="2010"/>
        <v>972.65827743086197</v>
      </c>
      <c r="AO1661" s="1749">
        <f t="shared" si="2010"/>
        <v>1040.6508185861755</v>
      </c>
      <c r="AP1661" s="1749">
        <f t="shared" si="2010"/>
        <v>1041.4857040436043</v>
      </c>
      <c r="AQ1661" s="1749">
        <f t="shared" si="2010"/>
        <v>777.01334596261972</v>
      </c>
      <c r="AR1661" s="1749">
        <f t="shared" si="2010"/>
        <v>560.23750761285214</v>
      </c>
      <c r="AS1661" s="1749">
        <f t="shared" si="2010"/>
        <v>577.04463284123767</v>
      </c>
      <c r="AT1661" s="1749">
        <f t="shared" si="2010"/>
        <v>594.35597182647507</v>
      </c>
      <c r="AV1661" s="1749"/>
      <c r="AW1661" s="1749"/>
    </row>
    <row r="1662" spans="1:52">
      <c r="D1662" s="973" t="s">
        <v>3263</v>
      </c>
      <c r="E1662" s="974"/>
      <c r="F1662" s="974"/>
      <c r="G1662" s="974"/>
      <c r="H1662" s="974"/>
      <c r="I1662" s="974"/>
      <c r="J1662" s="983">
        <f t="shared" ref="J1662:AT1662" si="2011">+(J1233+K1233+J1210+J1215+K1210+K1215)/2</f>
        <v>0</v>
      </c>
      <c r="K1662" s="983">
        <f t="shared" si="2011"/>
        <v>0</v>
      </c>
      <c r="L1662" s="983">
        <f t="shared" si="2011"/>
        <v>0</v>
      </c>
      <c r="M1662" s="983">
        <f t="shared" si="2011"/>
        <v>0</v>
      </c>
      <c r="N1662" s="983">
        <f t="shared" si="2011"/>
        <v>0</v>
      </c>
      <c r="O1662" s="983">
        <f t="shared" si="2011"/>
        <v>0</v>
      </c>
      <c r="P1662" s="983">
        <f t="shared" si="2011"/>
        <v>0</v>
      </c>
      <c r="Q1662" s="983">
        <f t="shared" si="2011"/>
        <v>0</v>
      </c>
      <c r="R1662" s="983">
        <f t="shared" si="2011"/>
        <v>0</v>
      </c>
      <c r="S1662" s="983">
        <f t="shared" si="2011"/>
        <v>0</v>
      </c>
      <c r="T1662" s="983">
        <f t="shared" si="2011"/>
        <v>0</v>
      </c>
      <c r="U1662" s="983">
        <f t="shared" si="2011"/>
        <v>126.17691597741687</v>
      </c>
      <c r="V1662" s="983">
        <f t="shared" si="2011"/>
        <v>260.84072119288351</v>
      </c>
      <c r="W1662" s="983">
        <f t="shared" si="2011"/>
        <v>272.86012345662584</v>
      </c>
      <c r="X1662" s="983">
        <f t="shared" si="2011"/>
        <v>309.32979465661668</v>
      </c>
      <c r="Y1662" s="1750">
        <f t="shared" si="2011"/>
        <v>359.57990580418914</v>
      </c>
      <c r="Z1662" s="1750">
        <f t="shared" si="2011"/>
        <v>405.32212231303578</v>
      </c>
      <c r="AA1662" s="1750">
        <f t="shared" si="2011"/>
        <v>413.9290687830055</v>
      </c>
      <c r="AB1662" s="1750">
        <f t="shared" si="2011"/>
        <v>418.40414288826264</v>
      </c>
      <c r="AC1662" s="1750">
        <f t="shared" si="2011"/>
        <v>511.61034192364423</v>
      </c>
      <c r="AD1662" s="1750">
        <f t="shared" si="2011"/>
        <v>603.87923250258291</v>
      </c>
      <c r="AE1662" s="1750">
        <f t="shared" si="2011"/>
        <v>688.43507031650006</v>
      </c>
      <c r="AF1662" s="1750">
        <f t="shared" si="2011"/>
        <v>847.43342394950002</v>
      </c>
      <c r="AG1662" s="1750">
        <f t="shared" si="2011"/>
        <v>964.09774507311556</v>
      </c>
      <c r="AH1662" s="1750">
        <f t="shared" si="2011"/>
        <v>944.05785100011553</v>
      </c>
      <c r="AI1662" s="1750">
        <f t="shared" si="2011"/>
        <v>876.23469643700014</v>
      </c>
      <c r="AJ1662" s="1750">
        <f t="shared" si="2011"/>
        <v>891.05248714769164</v>
      </c>
      <c r="AK1662" s="1750">
        <f t="shared" si="2011"/>
        <v>1089.5186943978129</v>
      </c>
      <c r="AL1662" s="1750">
        <f t="shared" si="2011"/>
        <v>1434.9394410963178</v>
      </c>
      <c r="AM1662" s="1750">
        <f t="shared" si="2011"/>
        <v>1780.9178284407781</v>
      </c>
      <c r="AN1662" s="1750">
        <f t="shared" si="2011"/>
        <v>2117.6345373424074</v>
      </c>
      <c r="AO1662" s="1750">
        <f t="shared" si="2011"/>
        <v>2405.6191938139418</v>
      </c>
      <c r="AP1662" s="1750">
        <f t="shared" si="2011"/>
        <v>2823.5461015599476</v>
      </c>
      <c r="AQ1662" s="1750">
        <f t="shared" si="2011"/>
        <v>3481.79709767756</v>
      </c>
      <c r="AR1662" s="1750">
        <f t="shared" si="2011"/>
        <v>4252.3186339810218</v>
      </c>
      <c r="AS1662" s="1750">
        <f t="shared" si="2011"/>
        <v>5480.2219301165842</v>
      </c>
      <c r="AT1662" s="1750">
        <f t="shared" si="2011"/>
        <v>7369.1000016321432</v>
      </c>
      <c r="AV1662" s="1750"/>
      <c r="AW1662" s="1750"/>
    </row>
    <row r="1663" spans="1:52">
      <c r="D1663" s="986" t="s">
        <v>194</v>
      </c>
      <c r="E1663" s="991">
        <v>0.4</v>
      </c>
      <c r="F1663" s="988"/>
      <c r="G1663" s="988"/>
      <c r="H1663" s="988"/>
      <c r="I1663" s="988"/>
      <c r="J1663" s="992">
        <f t="shared" ref="J1663:U1663" si="2012">+$E1663*J1662</f>
        <v>0</v>
      </c>
      <c r="K1663" s="992">
        <f t="shared" si="2012"/>
        <v>0</v>
      </c>
      <c r="L1663" s="992">
        <f t="shared" si="2012"/>
        <v>0</v>
      </c>
      <c r="M1663" s="992">
        <f t="shared" si="2012"/>
        <v>0</v>
      </c>
      <c r="N1663" s="992">
        <f t="shared" si="2012"/>
        <v>0</v>
      </c>
      <c r="O1663" s="992">
        <f t="shared" si="2012"/>
        <v>0</v>
      </c>
      <c r="P1663" s="992">
        <f t="shared" si="2012"/>
        <v>0</v>
      </c>
      <c r="Q1663" s="992">
        <f t="shared" si="2012"/>
        <v>0</v>
      </c>
      <c r="R1663" s="992">
        <f t="shared" si="2012"/>
        <v>0</v>
      </c>
      <c r="S1663" s="992">
        <f t="shared" si="2012"/>
        <v>0</v>
      </c>
      <c r="T1663" s="992">
        <f t="shared" si="2012"/>
        <v>0</v>
      </c>
      <c r="U1663" s="992">
        <f t="shared" si="2012"/>
        <v>50.470766390966752</v>
      </c>
      <c r="V1663" s="993">
        <f>+$E1663*V1662</f>
        <v>104.3362884771534</v>
      </c>
      <c r="W1663" s="993">
        <f t="shared" ref="W1663:AS1663" si="2013">+$E1663*W1662</f>
        <v>109.14404938265034</v>
      </c>
      <c r="X1663" s="993">
        <f t="shared" si="2013"/>
        <v>123.73191786264668</v>
      </c>
      <c r="Y1663" s="993">
        <f t="shared" si="2013"/>
        <v>143.83196232167566</v>
      </c>
      <c r="Z1663" s="993">
        <f t="shared" si="2013"/>
        <v>162.12884892521433</v>
      </c>
      <c r="AA1663" s="993">
        <f t="shared" si="2013"/>
        <v>165.5716275132022</v>
      </c>
      <c r="AB1663" s="993">
        <f t="shared" si="2013"/>
        <v>167.36165715530507</v>
      </c>
      <c r="AC1663" s="993">
        <f t="shared" si="2013"/>
        <v>204.6441367694577</v>
      </c>
      <c r="AD1663" s="993">
        <f t="shared" si="2013"/>
        <v>241.55169300103319</v>
      </c>
      <c r="AE1663" s="993">
        <f t="shared" si="2013"/>
        <v>275.37402812660002</v>
      </c>
      <c r="AF1663" s="993">
        <f t="shared" si="2013"/>
        <v>338.97336957980002</v>
      </c>
      <c r="AG1663" s="993">
        <f t="shared" si="2013"/>
        <v>385.63909802924627</v>
      </c>
      <c r="AH1663" s="993">
        <f t="shared" si="2013"/>
        <v>377.62314040004622</v>
      </c>
      <c r="AI1663" s="993">
        <f t="shared" si="2013"/>
        <v>350.49387857480008</v>
      </c>
      <c r="AJ1663" s="993">
        <f t="shared" si="2013"/>
        <v>356.4209948590767</v>
      </c>
      <c r="AK1663" s="993">
        <f t="shared" si="2013"/>
        <v>435.80747775912516</v>
      </c>
      <c r="AL1663" s="993">
        <f t="shared" si="2013"/>
        <v>573.97577643852708</v>
      </c>
      <c r="AM1663" s="993">
        <f t="shared" si="2013"/>
        <v>712.36713137631125</v>
      </c>
      <c r="AN1663" s="993">
        <f t="shared" si="2013"/>
        <v>847.05381493696302</v>
      </c>
      <c r="AO1663" s="993">
        <f t="shared" si="2013"/>
        <v>962.24767752557682</v>
      </c>
      <c r="AP1663" s="993">
        <f t="shared" si="2013"/>
        <v>1129.418440623979</v>
      </c>
      <c r="AQ1663" s="993">
        <f t="shared" si="2013"/>
        <v>1392.7188390710241</v>
      </c>
      <c r="AR1663" s="993">
        <f t="shared" si="2013"/>
        <v>1700.9274535924087</v>
      </c>
      <c r="AS1663" s="993">
        <f t="shared" si="2013"/>
        <v>2192.0887720466339</v>
      </c>
      <c r="AT1663" s="993">
        <f t="shared" ref="AT1663" si="2014">+$E1663*AT1662</f>
        <v>2947.6400006528575</v>
      </c>
      <c r="AV1663" s="993"/>
      <c r="AW1663" s="993"/>
    </row>
    <row r="1664" spans="1:52">
      <c r="D1664" s="973" t="s">
        <v>3705</v>
      </c>
      <c r="E1664" s="991"/>
      <c r="F1664" s="988"/>
      <c r="G1664" s="988"/>
      <c r="H1664" s="988"/>
      <c r="I1664" s="988"/>
      <c r="J1664" s="977">
        <f t="shared" ref="J1664:AC1664" si="2015">+(J1288+K1288+J1300+J1308+J1309+J1310+K1300+K1308+K1309+K1310)/2</f>
        <v>0</v>
      </c>
      <c r="K1664" s="977">
        <f t="shared" si="2015"/>
        <v>0</v>
      </c>
      <c r="L1664" s="977">
        <f t="shared" si="2015"/>
        <v>0</v>
      </c>
      <c r="M1664" s="977">
        <f t="shared" si="2015"/>
        <v>0</v>
      </c>
      <c r="N1664" s="977">
        <f t="shared" si="2015"/>
        <v>0</v>
      </c>
      <c r="O1664" s="977">
        <f t="shared" si="2015"/>
        <v>0</v>
      </c>
      <c r="P1664" s="977">
        <f t="shared" si="2015"/>
        <v>0</v>
      </c>
      <c r="Q1664" s="977">
        <f t="shared" si="2015"/>
        <v>0</v>
      </c>
      <c r="R1664" s="977">
        <f t="shared" si="2015"/>
        <v>0</v>
      </c>
      <c r="S1664" s="977">
        <f t="shared" si="2015"/>
        <v>0</v>
      </c>
      <c r="T1664" s="977">
        <f t="shared" si="2015"/>
        <v>0</v>
      </c>
      <c r="U1664" s="977">
        <f t="shared" si="2015"/>
        <v>-9.350365</v>
      </c>
      <c r="V1664" s="977">
        <f t="shared" si="2015"/>
        <v>-9.9003650000000007</v>
      </c>
      <c r="W1664" s="977">
        <f t="shared" si="2015"/>
        <v>-55.650000000000006</v>
      </c>
      <c r="X1664" s="977">
        <f t="shared" si="2015"/>
        <v>-42.089095280000009</v>
      </c>
      <c r="Y1664" s="977">
        <f t="shared" si="2015"/>
        <v>44.851456014999997</v>
      </c>
      <c r="Z1664" s="977">
        <f t="shared" si="2015"/>
        <v>57.014912131000003</v>
      </c>
      <c r="AA1664" s="977">
        <f t="shared" si="2015"/>
        <v>38.393427641000002</v>
      </c>
      <c r="AB1664" s="977">
        <f t="shared" si="2015"/>
        <v>41.724177166499999</v>
      </c>
      <c r="AC1664" s="977">
        <f t="shared" si="2015"/>
        <v>43.489489227500002</v>
      </c>
      <c r="AD1664" s="977">
        <f t="shared" ref="AD1664:AT1664" si="2016">+(AD1288+AE1288+AD1300+AE1300)/2</f>
        <v>66.808160831999999</v>
      </c>
      <c r="AE1664" s="977">
        <f t="shared" si="2016"/>
        <v>106.6554927695</v>
      </c>
      <c r="AF1664" s="977">
        <f t="shared" si="2016"/>
        <v>133.296978287</v>
      </c>
      <c r="AG1664" s="977">
        <f t="shared" si="2016"/>
        <v>149.182850797485</v>
      </c>
      <c r="AH1664" s="977">
        <f t="shared" si="2016"/>
        <v>126.42050547348501</v>
      </c>
      <c r="AI1664" s="977">
        <f t="shared" si="2016"/>
        <v>137.68125942345301</v>
      </c>
      <c r="AJ1664" s="977">
        <f t="shared" si="2016"/>
        <v>377.73256315113815</v>
      </c>
      <c r="AK1664" s="977">
        <f t="shared" si="2016"/>
        <v>547.38090388694172</v>
      </c>
      <c r="AL1664" s="977">
        <f t="shared" si="2016"/>
        <v>454.30372527997497</v>
      </c>
      <c r="AM1664" s="977">
        <f t="shared" si="2016"/>
        <v>237.64276042969158</v>
      </c>
      <c r="AN1664" s="977">
        <f t="shared" si="2016"/>
        <v>67.842032204390108</v>
      </c>
      <c r="AO1664" s="977">
        <f t="shared" si="2016"/>
        <v>55.658387652736934</v>
      </c>
      <c r="AP1664" s="977">
        <f t="shared" si="2016"/>
        <v>45.564137195640001</v>
      </c>
      <c r="AQ1664" s="977">
        <f t="shared" si="2016"/>
        <v>45.564137195640001</v>
      </c>
      <c r="AR1664" s="977">
        <f t="shared" si="2016"/>
        <v>45.564137195640001</v>
      </c>
      <c r="AS1664" s="977">
        <f t="shared" si="2016"/>
        <v>45.564137195640001</v>
      </c>
      <c r="AT1664" s="977">
        <f t="shared" si="2016"/>
        <v>45.564137195640001</v>
      </c>
      <c r="AV1664" s="977"/>
      <c r="AW1664" s="977"/>
    </row>
    <row r="1665" spans="1:49">
      <c r="D1665" s="1003" t="s">
        <v>3265</v>
      </c>
      <c r="E1665" s="991"/>
      <c r="F1665" s="988"/>
      <c r="G1665" s="988"/>
      <c r="H1665" s="988"/>
      <c r="I1665" s="988"/>
      <c r="J1665" s="979">
        <f t="shared" ref="J1665:V1665" si="2017">+(J1366+K1366)/2</f>
        <v>0</v>
      </c>
      <c r="K1665" s="979">
        <f t="shared" si="2017"/>
        <v>0</v>
      </c>
      <c r="L1665" s="979">
        <f t="shared" si="2017"/>
        <v>0</v>
      </c>
      <c r="M1665" s="979">
        <f t="shared" si="2017"/>
        <v>0</v>
      </c>
      <c r="N1665" s="979">
        <f t="shared" si="2017"/>
        <v>0</v>
      </c>
      <c r="O1665" s="979">
        <f t="shared" si="2017"/>
        <v>0</v>
      </c>
      <c r="P1665" s="979">
        <f t="shared" si="2017"/>
        <v>0</v>
      </c>
      <c r="Q1665" s="979">
        <f t="shared" si="2017"/>
        <v>0</v>
      </c>
      <c r="R1665" s="979">
        <f t="shared" si="2017"/>
        <v>0</v>
      </c>
      <c r="S1665" s="979">
        <f t="shared" si="2017"/>
        <v>0</v>
      </c>
      <c r="T1665" s="979">
        <f t="shared" si="2017"/>
        <v>0</v>
      </c>
      <c r="U1665" s="979">
        <f t="shared" si="2017"/>
        <v>-156.85358371199999</v>
      </c>
      <c r="V1665" s="979">
        <f t="shared" si="2017"/>
        <v>-291.30358371199998</v>
      </c>
      <c r="W1665" s="979">
        <f>+(W1366+X1366)/2</f>
        <v>-414.7076289997085</v>
      </c>
      <c r="X1665" s="979">
        <f t="shared" ref="X1665:AT1665" si="2018">+(X1366+Y1366)/2</f>
        <v>-286.5199030661401</v>
      </c>
      <c r="Y1665" s="979">
        <f t="shared" si="2018"/>
        <v>22.514264834203004</v>
      </c>
      <c r="Z1665" s="979">
        <f t="shared" si="2018"/>
        <v>37.286756855217121</v>
      </c>
      <c r="AA1665" s="979">
        <f t="shared" si="2018"/>
        <v>7.7476289278477601</v>
      </c>
      <c r="AB1665" s="979">
        <f t="shared" si="2018"/>
        <v>2.7167122493831428</v>
      </c>
      <c r="AC1665" s="979">
        <f t="shared" si="2018"/>
        <v>-10.953633167009237</v>
      </c>
      <c r="AD1665" s="1751">
        <f t="shared" si="2018"/>
        <v>-10.666313007461486</v>
      </c>
      <c r="AE1665" s="979">
        <f t="shared" si="2018"/>
        <v>-5.289225499333611</v>
      </c>
      <c r="AF1665" s="1751">
        <f t="shared" si="2018"/>
        <v>-27.558976189888881</v>
      </c>
      <c r="AG1665" s="1751">
        <f t="shared" si="2018"/>
        <v>-28.599436448175197</v>
      </c>
      <c r="AH1665" s="1751">
        <f t="shared" si="2018"/>
        <v>22.861003401808944</v>
      </c>
      <c r="AI1665" s="1751">
        <f t="shared" si="2018"/>
        <v>38.107749228135617</v>
      </c>
      <c r="AJ1665" s="1990">
        <f t="shared" si="2018"/>
        <v>5.1504386330410625</v>
      </c>
      <c r="AK1665" s="1990">
        <f t="shared" si="2018"/>
        <v>0</v>
      </c>
      <c r="AL1665" s="1990">
        <f t="shared" si="2018"/>
        <v>0</v>
      </c>
      <c r="AM1665" s="1990">
        <f t="shared" si="2018"/>
        <v>0</v>
      </c>
      <c r="AN1665" s="1990">
        <f t="shared" si="2018"/>
        <v>0</v>
      </c>
      <c r="AO1665" s="1990">
        <f t="shared" si="2018"/>
        <v>0</v>
      </c>
      <c r="AP1665" s="1990">
        <f t="shared" si="2018"/>
        <v>0</v>
      </c>
      <c r="AQ1665" s="1990">
        <f t="shared" si="2018"/>
        <v>0</v>
      </c>
      <c r="AR1665" s="1990">
        <f t="shared" si="2018"/>
        <v>0</v>
      </c>
      <c r="AS1665" s="1990">
        <f t="shared" si="2018"/>
        <v>0</v>
      </c>
      <c r="AT1665" s="1990">
        <f t="shared" si="2018"/>
        <v>110.53579450125517</v>
      </c>
      <c r="AV1665" s="979"/>
      <c r="AW1665" s="979"/>
    </row>
    <row r="1666" spans="1:49">
      <c r="D1666" s="1003" t="s">
        <v>3266</v>
      </c>
      <c r="E1666" s="991"/>
      <c r="F1666" s="988"/>
      <c r="G1666" s="988"/>
      <c r="H1666" s="988"/>
      <c r="I1666" s="988"/>
      <c r="J1666" s="977"/>
      <c r="K1666" s="977"/>
      <c r="L1666" s="977"/>
      <c r="M1666" s="977"/>
      <c r="N1666" s="977"/>
      <c r="O1666" s="977"/>
      <c r="P1666" s="977"/>
      <c r="Q1666" s="977"/>
      <c r="R1666" s="977"/>
      <c r="S1666" s="977"/>
      <c r="T1666" s="977"/>
      <c r="U1666" s="978">
        <f>(U1061-U1156-U1228+V1061-V1156-V1228)/2</f>
        <v>-515.0278350000001</v>
      </c>
      <c r="V1666" s="978">
        <f>(V1061-V1156-V1228+W1061-W1156-W1228)/2</f>
        <v>-761.127835</v>
      </c>
      <c r="W1666" s="978">
        <f t="shared" ref="W1666:AT1666" si="2019">(W1254+X1254)/2</f>
        <v>-300.69684719850005</v>
      </c>
      <c r="X1666" s="978">
        <f t="shared" si="2019"/>
        <v>-654.69064624613475</v>
      </c>
      <c r="Y1666" s="978">
        <f t="shared" si="2019"/>
        <v>-696.10378446489835</v>
      </c>
      <c r="Z1666" s="978">
        <f t="shared" si="2019"/>
        <v>-665.49945782865234</v>
      </c>
      <c r="AA1666" s="978">
        <f t="shared" si="2019"/>
        <v>-668.98586855211624</v>
      </c>
      <c r="AB1666" s="978">
        <f t="shared" si="2019"/>
        <v>-721.62595171889586</v>
      </c>
      <c r="AC1666" s="978">
        <f t="shared" si="2019"/>
        <v>-846.64605690759936</v>
      </c>
      <c r="AD1666" s="978">
        <f t="shared" si="2019"/>
        <v>-1106.7891489825511</v>
      </c>
      <c r="AE1666" s="978">
        <f t="shared" si="2019"/>
        <v>-1359.5597406544241</v>
      </c>
      <c r="AF1666" s="978">
        <f t="shared" si="2019"/>
        <v>-1692.6145527392018</v>
      </c>
      <c r="AG1666" s="978">
        <f t="shared" si="2019"/>
        <v>-1883.37449780212</v>
      </c>
      <c r="AH1666" s="978">
        <f t="shared" si="2019"/>
        <v>-1907.1482250529548</v>
      </c>
      <c r="AI1666" s="978">
        <f t="shared" si="2019"/>
        <v>-1889.4597711797555</v>
      </c>
      <c r="AJ1666" s="978">
        <f t="shared" si="2019"/>
        <v>-1955.0789512831004</v>
      </c>
      <c r="AK1666" s="978">
        <f t="shared" si="2019"/>
        <v>-2066.7362407695032</v>
      </c>
      <c r="AL1666" s="978">
        <f t="shared" si="2019"/>
        <v>-2032.9104393462615</v>
      </c>
      <c r="AM1666" s="978">
        <f t="shared" si="2019"/>
        <v>-1882.9688335002345</v>
      </c>
      <c r="AN1666" s="978">
        <f t="shared" si="2019"/>
        <v>-1798.0096792418485</v>
      </c>
      <c r="AO1666" s="978">
        <f t="shared" si="2019"/>
        <v>-1995.4190302472434</v>
      </c>
      <c r="AP1666" s="978">
        <f t="shared" si="2019"/>
        <v>-2329.5087814072326</v>
      </c>
      <c r="AQ1666" s="978">
        <f t="shared" si="2019"/>
        <v>-2531.1647185097522</v>
      </c>
      <c r="AR1666" s="978">
        <f t="shared" si="2019"/>
        <v>-2832.5617375895031</v>
      </c>
      <c r="AS1666" s="978">
        <f t="shared" si="2019"/>
        <v>-3424.6799583013558</v>
      </c>
      <c r="AT1666" s="978">
        <f t="shared" si="2019"/>
        <v>-3924.5993603667584</v>
      </c>
      <c r="AV1666" s="978"/>
      <c r="AW1666" s="978"/>
    </row>
    <row r="1667" spans="1:49">
      <c r="D1667" s="995" t="s">
        <v>587</v>
      </c>
      <c r="E1667" s="991"/>
      <c r="F1667" s="988"/>
      <c r="G1667" s="988"/>
      <c r="H1667" s="988"/>
      <c r="I1667" s="988"/>
      <c r="J1667" s="979">
        <f t="shared" ref="J1667:AT1667" si="2020">+(J1119+K1119)/2</f>
        <v>0</v>
      </c>
      <c r="K1667" s="979">
        <f t="shared" si="2020"/>
        <v>0</v>
      </c>
      <c r="L1667" s="979">
        <f t="shared" si="2020"/>
        <v>0</v>
      </c>
      <c r="M1667" s="979">
        <f t="shared" si="2020"/>
        <v>0</v>
      </c>
      <c r="N1667" s="979">
        <f t="shared" si="2020"/>
        <v>0</v>
      </c>
      <c r="O1667" s="979">
        <f t="shared" si="2020"/>
        <v>0</v>
      </c>
      <c r="P1667" s="979">
        <f t="shared" si="2020"/>
        <v>0</v>
      </c>
      <c r="Q1667" s="979">
        <f t="shared" si="2020"/>
        <v>0</v>
      </c>
      <c r="R1667" s="979">
        <f t="shared" si="2020"/>
        <v>0</v>
      </c>
      <c r="S1667" s="979">
        <f t="shared" si="2020"/>
        <v>0</v>
      </c>
      <c r="T1667" s="979">
        <f t="shared" si="2020"/>
        <v>0</v>
      </c>
      <c r="U1667" s="979">
        <f t="shared" si="2020"/>
        <v>189.5128849175</v>
      </c>
      <c r="V1667" s="979">
        <f t="shared" si="2020"/>
        <v>418.21288491749999</v>
      </c>
      <c r="W1667" s="979">
        <f t="shared" si="2020"/>
        <v>411.15</v>
      </c>
      <c r="X1667" s="979">
        <f t="shared" si="2020"/>
        <v>419.60832861131007</v>
      </c>
      <c r="Y1667" s="979">
        <f t="shared" si="2020"/>
        <v>445.12203210895984</v>
      </c>
      <c r="Z1667" s="979">
        <f t="shared" si="2020"/>
        <v>394.82050639442446</v>
      </c>
      <c r="AA1667" s="979">
        <f t="shared" si="2020"/>
        <v>351.94784487003398</v>
      </c>
      <c r="AB1667" s="979">
        <f t="shared" si="2020"/>
        <v>344.54538040761452</v>
      </c>
      <c r="AC1667" s="979">
        <f t="shared" si="2020"/>
        <v>376.82936736246313</v>
      </c>
      <c r="AD1667" s="979">
        <f t="shared" si="2020"/>
        <v>416.15423125004162</v>
      </c>
      <c r="AE1667" s="979">
        <f t="shared" si="2020"/>
        <v>499.32328622247485</v>
      </c>
      <c r="AF1667" s="979">
        <f t="shared" si="2020"/>
        <v>692.63626361368176</v>
      </c>
      <c r="AG1667" s="979">
        <f t="shared" si="2020"/>
        <v>767.74580259061668</v>
      </c>
      <c r="AH1667" s="979">
        <f t="shared" si="2020"/>
        <v>734.54932764329203</v>
      </c>
      <c r="AI1667" s="979">
        <f t="shared" si="2020"/>
        <v>686.19194062035535</v>
      </c>
      <c r="AJ1667" s="979">
        <f t="shared" si="2020"/>
        <v>641.43435100237048</v>
      </c>
      <c r="AK1667" s="979">
        <f t="shared" si="2020"/>
        <v>606.12868737301631</v>
      </c>
      <c r="AL1667" s="979">
        <f t="shared" si="2020"/>
        <v>574.58175966199201</v>
      </c>
      <c r="AM1667" s="979">
        <f t="shared" si="2020"/>
        <v>611.16846523698246</v>
      </c>
      <c r="AN1667" s="979">
        <f t="shared" si="2020"/>
        <v>621.61631109229165</v>
      </c>
      <c r="AO1667" s="979">
        <f t="shared" si="2020"/>
        <v>670.25871225654055</v>
      </c>
      <c r="AP1667" s="979">
        <f t="shared" si="2020"/>
        <v>794.03711545849876</v>
      </c>
      <c r="AQ1667" s="979">
        <f t="shared" si="2020"/>
        <v>886.18544134403101</v>
      </c>
      <c r="AR1667" s="979">
        <f t="shared" si="2020"/>
        <v>912.26459762717104</v>
      </c>
      <c r="AS1667" s="979">
        <f t="shared" si="2020"/>
        <v>940.0024969212227</v>
      </c>
      <c r="AT1667" s="979">
        <f t="shared" si="2020"/>
        <v>968.85843279616211</v>
      </c>
      <c r="AV1667" s="979"/>
      <c r="AW1667" s="979"/>
    </row>
    <row r="1668" spans="1:49">
      <c r="D1668" s="995" t="s">
        <v>1081</v>
      </c>
      <c r="E1668" s="991"/>
      <c r="F1668" s="988"/>
      <c r="G1668" s="988"/>
      <c r="H1668" s="988"/>
      <c r="I1668" s="988"/>
      <c r="J1668" s="979">
        <f t="shared" ref="J1668:AT1668" si="2021">(J1344+K1344-J1311-K1311)/2</f>
        <v>0</v>
      </c>
      <c r="K1668" s="979">
        <f t="shared" si="2021"/>
        <v>0</v>
      </c>
      <c r="L1668" s="979">
        <f t="shared" si="2021"/>
        <v>0</v>
      </c>
      <c r="M1668" s="979">
        <f t="shared" si="2021"/>
        <v>0</v>
      </c>
      <c r="N1668" s="979">
        <f t="shared" si="2021"/>
        <v>0</v>
      </c>
      <c r="O1668" s="979">
        <f t="shared" si="2021"/>
        <v>0</v>
      </c>
      <c r="P1668" s="979">
        <f t="shared" si="2021"/>
        <v>0</v>
      </c>
      <c r="Q1668" s="979">
        <f t="shared" si="2021"/>
        <v>0</v>
      </c>
      <c r="R1668" s="979">
        <f t="shared" si="2021"/>
        <v>0</v>
      </c>
      <c r="S1668" s="979">
        <f t="shared" si="2021"/>
        <v>0</v>
      </c>
      <c r="T1668" s="979">
        <f t="shared" si="2021"/>
        <v>0</v>
      </c>
      <c r="U1668" s="979">
        <f t="shared" si="2021"/>
        <v>34.265606365499998</v>
      </c>
      <c r="V1668" s="979">
        <f t="shared" si="2021"/>
        <v>81.765606365499991</v>
      </c>
      <c r="W1668" s="979">
        <f t="shared" si="2021"/>
        <v>47.85</v>
      </c>
      <c r="X1668" s="979">
        <f t="shared" si="2021"/>
        <v>52.928457686369185</v>
      </c>
      <c r="Y1668" s="979">
        <f t="shared" si="2021"/>
        <v>146.67174708948528</v>
      </c>
      <c r="Z1668" s="979">
        <f t="shared" si="2021"/>
        <v>206.2973532329608</v>
      </c>
      <c r="AA1668" s="979">
        <f t="shared" si="2021"/>
        <v>273.69853102553031</v>
      </c>
      <c r="AB1668" s="979">
        <f t="shared" si="2021"/>
        <v>339.50903263429888</v>
      </c>
      <c r="AC1668" s="979">
        <f t="shared" si="2021"/>
        <v>402.17054876048496</v>
      </c>
      <c r="AD1668" s="979">
        <f t="shared" si="2021"/>
        <v>701.16582911092121</v>
      </c>
      <c r="AE1668" s="979">
        <f t="shared" si="2021"/>
        <v>805.64606585379283</v>
      </c>
      <c r="AF1668" s="979">
        <f t="shared" si="2021"/>
        <v>767.53841017194009</v>
      </c>
      <c r="AG1668" s="979">
        <f t="shared" si="2021"/>
        <v>877.2136639744939</v>
      </c>
      <c r="AH1668" s="979">
        <f t="shared" si="2021"/>
        <v>1091.9185505599953</v>
      </c>
      <c r="AI1668" s="979">
        <f t="shared" si="2021"/>
        <v>1331.1970088892301</v>
      </c>
      <c r="AJ1668" s="979">
        <f t="shared" si="2021"/>
        <v>1386.9348862417282</v>
      </c>
      <c r="AK1668" s="979">
        <f t="shared" si="2021"/>
        <v>1382.3552625403076</v>
      </c>
      <c r="AL1668" s="979">
        <f t="shared" si="2021"/>
        <v>1239.7939647777978</v>
      </c>
      <c r="AM1668" s="979">
        <f t="shared" si="2021"/>
        <v>1051.0089543225338</v>
      </c>
      <c r="AN1668" s="979">
        <f t="shared" si="2021"/>
        <v>881.77774312712052</v>
      </c>
      <c r="AO1668" s="979">
        <f t="shared" si="2021"/>
        <v>891.70679264850276</v>
      </c>
      <c r="AP1668" s="979">
        <f t="shared" si="2021"/>
        <v>300.64154200541907</v>
      </c>
      <c r="AQ1668" s="979">
        <f t="shared" si="2021"/>
        <v>-84.097560482980271</v>
      </c>
      <c r="AR1668" s="979">
        <f t="shared" si="2021"/>
        <v>174.9204020762038</v>
      </c>
      <c r="AS1668" s="979">
        <f t="shared" si="2021"/>
        <v>65.985341938750366</v>
      </c>
      <c r="AT1668" s="979">
        <f t="shared" si="2021"/>
        <v>0.48370492651526897</v>
      </c>
      <c r="AV1668" s="979"/>
      <c r="AW1668" s="979"/>
    </row>
    <row r="1669" spans="1:49">
      <c r="D1669" s="995" t="s">
        <v>828</v>
      </c>
      <c r="E1669" s="991"/>
      <c r="F1669" s="988"/>
      <c r="G1669" s="988"/>
      <c r="H1669" s="988"/>
      <c r="I1669" s="988"/>
      <c r="J1669" s="979">
        <f t="shared" ref="J1669:T1669" si="2022">+(J1269+J1269+K1314+K1314)/2</f>
        <v>0</v>
      </c>
      <c r="K1669" s="979">
        <f t="shared" si="2022"/>
        <v>0</v>
      </c>
      <c r="L1669" s="979">
        <f t="shared" si="2022"/>
        <v>0</v>
      </c>
      <c r="M1669" s="979">
        <f t="shared" si="2022"/>
        <v>0</v>
      </c>
      <c r="N1669" s="979">
        <f t="shared" si="2022"/>
        <v>0</v>
      </c>
      <c r="O1669" s="979">
        <f t="shared" si="2022"/>
        <v>0</v>
      </c>
      <c r="P1669" s="979">
        <f t="shared" si="2022"/>
        <v>0</v>
      </c>
      <c r="Q1669" s="979">
        <f t="shared" si="2022"/>
        <v>0</v>
      </c>
      <c r="R1669" s="979">
        <f t="shared" si="2022"/>
        <v>0</v>
      </c>
      <c r="S1669" s="979">
        <f t="shared" si="2022"/>
        <v>0</v>
      </c>
      <c r="T1669" s="979">
        <f t="shared" si="2022"/>
        <v>0</v>
      </c>
      <c r="U1669" s="979">
        <f>+(U1269+V1269-(U1314+V1314))/2</f>
        <v>0</v>
      </c>
      <c r="V1669" s="979">
        <f>+(V1269+W1269-(V1314+W1314))/2</f>
        <v>26.550000000000011</v>
      </c>
      <c r="W1669" s="979">
        <f t="shared" ref="W1669:AC1669" si="2023">(-(W1271+X1271)+(W1313+X1313))/2-W1668</f>
        <v>-190.96078180120847</v>
      </c>
      <c r="X1669" s="979">
        <f t="shared" si="2023"/>
        <v>-105.86604311768465</v>
      </c>
      <c r="Y1669" s="979">
        <f t="shared" si="2023"/>
        <v>126.82427010065635</v>
      </c>
      <c r="Z1669" s="979">
        <f t="shared" si="2023"/>
        <v>101.66835505648402</v>
      </c>
      <c r="AA1669" s="979">
        <f t="shared" si="2023"/>
        <v>51.087121584399597</v>
      </c>
      <c r="AB1669" s="979">
        <f t="shared" si="2023"/>
        <v>40.288250926365549</v>
      </c>
      <c r="AC1669" s="979">
        <f t="shared" si="2023"/>
        <v>56.69250761764215</v>
      </c>
      <c r="AD1669" s="979">
        <f t="shared" ref="AD1669:AT1669" si="2024">(-(AD1268+AE1268)+(AD1313+AE1313))/2-AD1668+AD1664</f>
        <v>-16.13298232349257</v>
      </c>
      <c r="AE1669" s="979">
        <f t="shared" si="2024"/>
        <v>54.365405141203354</v>
      </c>
      <c r="AF1669" s="979">
        <f t="shared" si="2024"/>
        <v>111.08939027449742</v>
      </c>
      <c r="AG1669" s="979">
        <f t="shared" si="2024"/>
        <v>116.02408229964044</v>
      </c>
      <c r="AH1669" s="979">
        <f t="shared" si="2024"/>
        <v>103.54135025147636</v>
      </c>
      <c r="AI1669" s="979">
        <f t="shared" si="2024"/>
        <v>-89.821429101694264</v>
      </c>
      <c r="AJ1669" s="979">
        <f t="shared" si="2024"/>
        <v>-68.139847327957227</v>
      </c>
      <c r="AK1669" s="979">
        <f t="shared" si="2024"/>
        <v>78.252290856179343</v>
      </c>
      <c r="AL1669" s="979">
        <f t="shared" si="2024"/>
        <v>218.53471490647189</v>
      </c>
      <c r="AM1669" s="979">
        <f t="shared" si="2024"/>
        <v>220.79141394071843</v>
      </c>
      <c r="AN1669" s="979">
        <f t="shared" si="2024"/>
        <v>294.61562502243589</v>
      </c>
      <c r="AO1669" s="979">
        <f t="shared" si="2024"/>
        <v>433.45352534220046</v>
      </c>
      <c r="AP1669" s="979">
        <f t="shared" si="2024"/>
        <v>1234.8301239433154</v>
      </c>
      <c r="AQ1669" s="979">
        <f t="shared" si="2024"/>
        <v>1729.0768376487017</v>
      </c>
      <c r="AR1669" s="979">
        <f t="shared" si="2024"/>
        <v>1745.3767378861289</v>
      </c>
      <c r="AS1669" s="979">
        <f t="shared" si="2024"/>
        <v>2418.6921194413831</v>
      </c>
      <c r="AT1669" s="979">
        <f t="shared" si="2024"/>
        <v>3065.7930171453363</v>
      </c>
      <c r="AV1669" s="979"/>
      <c r="AW1669" s="979"/>
    </row>
    <row r="1670" spans="1:49">
      <c r="D1670" s="996" t="s">
        <v>95</v>
      </c>
      <c r="E1670" s="119"/>
      <c r="F1670" s="241"/>
      <c r="G1670" s="241"/>
      <c r="H1670" s="241"/>
      <c r="I1670" s="241"/>
      <c r="J1670" s="972" t="str">
        <f t="shared" ref="J1670:AB1670" si="2025">+IF(ABS(J1666+J1667+J1668+J1669)&gt;0.1,(J1666+J1667+J1668+J1669),"")</f>
        <v/>
      </c>
      <c r="K1670" s="972" t="str">
        <f t="shared" si="2025"/>
        <v/>
      </c>
      <c r="L1670" s="972" t="str">
        <f t="shared" si="2025"/>
        <v/>
      </c>
      <c r="M1670" s="972" t="str">
        <f t="shared" si="2025"/>
        <v/>
      </c>
      <c r="N1670" s="972" t="str">
        <f t="shared" si="2025"/>
        <v/>
      </c>
      <c r="O1670" s="972" t="str">
        <f t="shared" si="2025"/>
        <v/>
      </c>
      <c r="P1670" s="972" t="str">
        <f t="shared" si="2025"/>
        <v/>
      </c>
      <c r="Q1670" s="972" t="str">
        <f t="shared" si="2025"/>
        <v/>
      </c>
      <c r="R1670" s="972" t="str">
        <f t="shared" si="2025"/>
        <v/>
      </c>
      <c r="S1670" s="972" t="str">
        <f t="shared" si="2025"/>
        <v/>
      </c>
      <c r="T1670" s="972" t="str">
        <f t="shared" si="2025"/>
        <v/>
      </c>
      <c r="U1670" s="972">
        <f t="shared" si="2025"/>
        <v>-291.2493437170001</v>
      </c>
      <c r="V1670" s="972">
        <f t="shared" si="2025"/>
        <v>-234.59934371700001</v>
      </c>
      <c r="W1670" s="972">
        <f t="shared" si="2025"/>
        <v>-32.65762899970855</v>
      </c>
      <c r="X1670" s="972">
        <f>+IF(ABS(X1666+X1667+X1668+X1669)&gt;0.1,(X1666+X1667+X1668+X1669),"")</f>
        <v>-288.01990306614016</v>
      </c>
      <c r="Y1670" s="972">
        <f t="shared" si="2025"/>
        <v>22.514264834203118</v>
      </c>
      <c r="Z1670" s="972">
        <f t="shared" si="2025"/>
        <v>37.286756855216936</v>
      </c>
      <c r="AA1670" s="972">
        <f t="shared" si="2025"/>
        <v>7.7476289278476429</v>
      </c>
      <c r="AB1670" s="972">
        <f t="shared" si="2025"/>
        <v>2.7167122493830789</v>
      </c>
      <c r="AC1670" s="972">
        <f t="shared" ref="AC1670:AL1670" si="2026">+IF(ABS(AC1666+AC1667+AC1668+AC1669)&gt;0.1,(AC1666+AC1667+AC1668+AC1669),"")</f>
        <v>-10.953633167009116</v>
      </c>
      <c r="AD1670" s="972">
        <f t="shared" si="2026"/>
        <v>-5.6020709450807544</v>
      </c>
      <c r="AE1670" s="972">
        <f t="shared" si="2026"/>
        <v>-0.22498343695306744</v>
      </c>
      <c r="AF1670" s="972">
        <f>+IF(ABS(AF1666+AF1667+AF1668+AF1669)&gt;0.1,(AF1666+AF1667+AF1668+AF1669),"")</f>
        <v>-121.35048867908256</v>
      </c>
      <c r="AG1670" s="972">
        <f t="shared" si="2026"/>
        <v>-122.39094893736899</v>
      </c>
      <c r="AH1670" s="972">
        <f t="shared" si="2026"/>
        <v>22.861003401809029</v>
      </c>
      <c r="AI1670" s="972">
        <f t="shared" si="2026"/>
        <v>38.107749228135674</v>
      </c>
      <c r="AJ1670" s="972">
        <f t="shared" si="2026"/>
        <v>5.1504386330410625</v>
      </c>
      <c r="AK1670" s="972" t="str">
        <f t="shared" si="2026"/>
        <v/>
      </c>
      <c r="AL1670" s="972" t="str">
        <f t="shared" si="2026"/>
        <v/>
      </c>
      <c r="AM1670" s="972" t="str">
        <f>+IF(ABS(AM1666+AM1667+AM1668+AM1669)&gt;0.1,(AM1666+AM1667+AM1668+AM1669),"")</f>
        <v/>
      </c>
      <c r="AN1670" s="972" t="str">
        <f>+IF(ABS(AN1666+AN1667+AN1668+AN1669)&gt;0.1,(AN1666+AN1667+AN1668+AN1669),"")</f>
        <v/>
      </c>
      <c r="AO1670" s="972" t="str">
        <f t="shared" ref="AO1670:AS1670" si="2027">+IF(ABS(AO1666+AO1667+AO1668+AO1669)&gt;0.1,(AO1666+AO1667+AO1668+AO1669),"")</f>
        <v/>
      </c>
      <c r="AP1670" s="972" t="str">
        <f t="shared" si="2027"/>
        <v/>
      </c>
      <c r="AQ1670" s="972" t="str">
        <f t="shared" si="2027"/>
        <v/>
      </c>
      <c r="AR1670" s="972" t="str">
        <f t="shared" si="2027"/>
        <v/>
      </c>
      <c r="AS1670" s="972" t="str">
        <f t="shared" si="2027"/>
        <v/>
      </c>
      <c r="AT1670" s="972">
        <f t="shared" ref="AT1670" si="2028">+IF(ABS(AT1666+AT1667+AT1668+AT1669)&gt;0.1,(AT1666+AT1667+AT1668+AT1669),"")</f>
        <v>110.53579450125517</v>
      </c>
      <c r="AV1670" s="972"/>
      <c r="AW1670" s="972"/>
    </row>
    <row r="1671" spans="1:49">
      <c r="D1671" s="973" t="s">
        <v>1107</v>
      </c>
      <c r="E1671" s="970" t="s">
        <v>193</v>
      </c>
      <c r="F1671" s="971"/>
      <c r="G1671" s="971"/>
      <c r="H1671" s="971"/>
      <c r="I1671" s="971"/>
      <c r="J1671" s="997">
        <f t="shared" ref="J1671:AT1671" si="2029">+(J1077+K1077)/2</f>
        <v>0</v>
      </c>
      <c r="K1671" s="997">
        <f t="shared" si="2029"/>
        <v>0</v>
      </c>
      <c r="L1671" s="997">
        <f t="shared" si="2029"/>
        <v>0</v>
      </c>
      <c r="M1671" s="997">
        <f t="shared" si="2029"/>
        <v>0</v>
      </c>
      <c r="N1671" s="997">
        <f t="shared" si="2029"/>
        <v>0</v>
      </c>
      <c r="O1671" s="997">
        <f t="shared" si="2029"/>
        <v>0</v>
      </c>
      <c r="P1671" s="997">
        <f t="shared" si="2029"/>
        <v>0</v>
      </c>
      <c r="Q1671" s="997">
        <f t="shared" si="2029"/>
        <v>0</v>
      </c>
      <c r="R1671" s="997">
        <f t="shared" si="2029"/>
        <v>0</v>
      </c>
      <c r="S1671" s="997">
        <f t="shared" si="2029"/>
        <v>0</v>
      </c>
      <c r="T1671" s="997">
        <f t="shared" si="2029"/>
        <v>0</v>
      </c>
      <c r="U1671" s="997">
        <f t="shared" si="2029"/>
        <v>0</v>
      </c>
      <c r="V1671" s="997">
        <f t="shared" si="2029"/>
        <v>0</v>
      </c>
      <c r="W1671" s="997">
        <f t="shared" si="2029"/>
        <v>0</v>
      </c>
      <c r="X1671" s="997">
        <f t="shared" si="2029"/>
        <v>191.4444231416</v>
      </c>
      <c r="Y1671" s="997">
        <f t="shared" si="2029"/>
        <v>402.72452520299998</v>
      </c>
      <c r="Z1671" s="997">
        <f t="shared" si="2029"/>
        <v>469.66459039125237</v>
      </c>
      <c r="AA1671" s="997">
        <f t="shared" si="2029"/>
        <v>523.3978191671581</v>
      </c>
      <c r="AB1671" s="997">
        <f t="shared" si="2029"/>
        <v>567.58441466575471</v>
      </c>
      <c r="AC1671" s="997">
        <f t="shared" si="2029"/>
        <v>640.58640198878766</v>
      </c>
      <c r="AD1671" s="997">
        <f t="shared" si="2029"/>
        <v>694.11972225087879</v>
      </c>
      <c r="AE1671" s="997">
        <f t="shared" si="2029"/>
        <v>744.07951410111423</v>
      </c>
      <c r="AF1671" s="997">
        <f t="shared" si="2029"/>
        <v>824.51995606879802</v>
      </c>
      <c r="AG1671" s="997">
        <f t="shared" si="2029"/>
        <v>951.75634546921151</v>
      </c>
      <c r="AH1671" s="997">
        <f t="shared" si="2029"/>
        <v>1110.0923652781835</v>
      </c>
      <c r="AI1671" s="997">
        <f t="shared" si="2029"/>
        <v>1304.5136212505422</v>
      </c>
      <c r="AJ1671" s="997">
        <f t="shared" si="2029"/>
        <v>1651.4091328443237</v>
      </c>
      <c r="AK1671" s="997">
        <f t="shared" si="2029"/>
        <v>2074.4958935757436</v>
      </c>
      <c r="AL1671" s="997">
        <f t="shared" si="2029"/>
        <v>2438.1430475567272</v>
      </c>
      <c r="AM1671" s="997">
        <f t="shared" si="2029"/>
        <v>2794.775196680323</v>
      </c>
      <c r="AN1671" s="997">
        <f t="shared" si="2029"/>
        <v>3200.4084702755099</v>
      </c>
      <c r="AO1671" s="997">
        <f t="shared" si="2029"/>
        <v>3623.0110102910935</v>
      </c>
      <c r="AP1671" s="997">
        <f t="shared" si="2029"/>
        <v>3996.7860246061955</v>
      </c>
      <c r="AQ1671" s="997">
        <f t="shared" si="2029"/>
        <v>4395.5624236851399</v>
      </c>
      <c r="AR1671" s="997">
        <f t="shared" si="2029"/>
        <v>4899.8988541807057</v>
      </c>
      <c r="AS1671" s="997">
        <f t="shared" si="2029"/>
        <v>5911.6132878992048</v>
      </c>
      <c r="AT1671" s="997">
        <f t="shared" si="2029"/>
        <v>7593.3258279841066</v>
      </c>
      <c r="AV1671" s="997"/>
      <c r="AW1671" s="997"/>
    </row>
    <row r="1672" spans="1:49">
      <c r="D1672" s="985" t="s">
        <v>3377</v>
      </c>
      <c r="E1672" s="132">
        <v>0.25</v>
      </c>
      <c r="F1672" s="62"/>
      <c r="G1672" s="62"/>
      <c r="H1672" s="62"/>
      <c r="I1672" s="62"/>
      <c r="J1672" s="136">
        <f t="shared" ref="J1672:M1673" si="2030">+(J754+K754)/2</f>
        <v>0</v>
      </c>
      <c r="K1672" s="136">
        <f t="shared" si="2030"/>
        <v>0</v>
      </c>
      <c r="L1672" s="136">
        <f t="shared" si="2030"/>
        <v>0</v>
      </c>
      <c r="M1672" s="136">
        <f t="shared" si="2030"/>
        <v>0</v>
      </c>
      <c r="N1672" s="998">
        <f t="shared" ref="N1672:AG1672" si="2031">+(N499+O499)/2</f>
        <v>0</v>
      </c>
      <c r="O1672" s="998">
        <f t="shared" si="2031"/>
        <v>12.979217166750002</v>
      </c>
      <c r="P1672" s="998">
        <f t="shared" si="2031"/>
        <v>26.750090798150001</v>
      </c>
      <c r="Q1672" s="998">
        <f t="shared" si="2031"/>
        <v>30.591239663750002</v>
      </c>
      <c r="R1672" s="998">
        <f t="shared" si="2031"/>
        <v>37.722625608205078</v>
      </c>
      <c r="S1672" s="998">
        <f t="shared" si="2031"/>
        <v>49.373375643235534</v>
      </c>
      <c r="T1672" s="998">
        <f t="shared" si="2031"/>
        <v>54.32468341563046</v>
      </c>
      <c r="U1672" s="998">
        <f t="shared" si="2031"/>
        <v>52.046019991350001</v>
      </c>
      <c r="V1672" s="998">
        <f t="shared" si="2031"/>
        <v>60.605649277650002</v>
      </c>
      <c r="W1672" s="998">
        <f t="shared" si="2031"/>
        <v>72.328798574100006</v>
      </c>
      <c r="X1672" s="998">
        <f t="shared" si="2031"/>
        <v>83.193997567949992</v>
      </c>
      <c r="Y1672" s="998">
        <f t="shared" si="2031"/>
        <v>95.16374118089999</v>
      </c>
      <c r="Z1672" s="998">
        <f t="shared" si="2031"/>
        <v>104.43237545124833</v>
      </c>
      <c r="AA1672" s="998">
        <f t="shared" si="2031"/>
        <v>116.58140742254835</v>
      </c>
      <c r="AB1672" s="998">
        <f t="shared" si="2031"/>
        <v>127.43301091639999</v>
      </c>
      <c r="AC1672" s="998">
        <f t="shared" si="2031"/>
        <v>140.82299477163997</v>
      </c>
      <c r="AD1672" s="998">
        <f t="shared" si="2031"/>
        <v>150.23365618613997</v>
      </c>
      <c r="AE1672" s="998">
        <f t="shared" si="2031"/>
        <v>156.71527720769998</v>
      </c>
      <c r="AF1672" s="998">
        <f t="shared" si="2031"/>
        <v>174.39046495552915</v>
      </c>
      <c r="AG1672" s="998">
        <f t="shared" si="2031"/>
        <v>202.86238751335409</v>
      </c>
      <c r="AH1672" s="998">
        <f t="shared" ref="AH1672:AO1672" si="2032">(AH1080+AI1080)/2</f>
        <v>228.45546769756987</v>
      </c>
      <c r="AI1672" s="998">
        <f t="shared" si="2032"/>
        <v>267.91516831562484</v>
      </c>
      <c r="AJ1672" s="998">
        <f t="shared" si="2032"/>
        <v>331.08402124429807</v>
      </c>
      <c r="AK1672" s="998">
        <f t="shared" si="2032"/>
        <v>400.65006282426464</v>
      </c>
      <c r="AL1672" s="998">
        <f t="shared" si="2032"/>
        <v>479.03999078613521</v>
      </c>
      <c r="AM1672" s="998">
        <f t="shared" si="2032"/>
        <v>573.01672393745105</v>
      </c>
      <c r="AN1672" s="998">
        <f t="shared" si="2032"/>
        <v>682.80660665446601</v>
      </c>
      <c r="AO1672" s="998">
        <f t="shared" si="2032"/>
        <v>774.11372164748434</v>
      </c>
      <c r="AP1672" s="998">
        <f>+(AP499+AQ499)/2</f>
        <v>1.5</v>
      </c>
      <c r="AQ1672" s="998">
        <f>+(AQ499+AR499)/2</f>
        <v>2.5</v>
      </c>
      <c r="AR1672" s="998">
        <f>+(AR499+AS499)/2</f>
        <v>3.5</v>
      </c>
      <c r="AS1672" s="998">
        <f>+(AS499+AT499)/2</f>
        <v>4.5</v>
      </c>
      <c r="AT1672" s="998">
        <f>+(AT499+AU499)/2</f>
        <v>2.5</v>
      </c>
      <c r="AV1672" s="998"/>
      <c r="AW1672" s="998"/>
    </row>
    <row r="1673" spans="1:49">
      <c r="D1673" s="1685" t="s">
        <v>3378</v>
      </c>
      <c r="E1673" s="132">
        <v>0.1</v>
      </c>
      <c r="F1673" s="62"/>
      <c r="G1673" s="62"/>
      <c r="H1673" s="62"/>
      <c r="I1673" s="62"/>
      <c r="J1673" s="136">
        <f t="shared" si="2030"/>
        <v>0</v>
      </c>
      <c r="K1673" s="136">
        <f t="shared" si="2030"/>
        <v>0</v>
      </c>
      <c r="L1673" s="136">
        <f t="shared" si="2030"/>
        <v>0</v>
      </c>
      <c r="M1673" s="136">
        <f t="shared" si="2030"/>
        <v>0</v>
      </c>
      <c r="N1673" s="1414">
        <f t="shared" ref="N1673:U1673" si="2033">+(N500+O500)/2</f>
        <v>0</v>
      </c>
      <c r="O1673" s="1414">
        <f t="shared" si="2033"/>
        <v>3.8167472029999998</v>
      </c>
      <c r="P1673" s="1414">
        <f t="shared" si="2033"/>
        <v>8.2332601524999998</v>
      </c>
      <c r="Q1673" s="1414">
        <f t="shared" si="2033"/>
        <v>8.8040729669999997</v>
      </c>
      <c r="R1673" s="1414">
        <f t="shared" si="2033"/>
        <v>7.0696897520000004</v>
      </c>
      <c r="S1673" s="1414">
        <f t="shared" si="2033"/>
        <v>10.470829098399999</v>
      </c>
      <c r="T1673" s="1414">
        <f t="shared" si="2033"/>
        <v>20.074773546049997</v>
      </c>
      <c r="U1673" s="998">
        <f t="shared" si="2033"/>
        <v>37.267065793949996</v>
      </c>
      <c r="V1673" s="998">
        <f t="shared" ref="V1673:AG1673" si="2034">+(V500+W500+V1088+W1088+V1089+W1089)/2</f>
        <v>46.498908531199994</v>
      </c>
      <c r="W1673" s="998">
        <f t="shared" si="2034"/>
        <v>41.791818971499993</v>
      </c>
      <c r="X1673" s="998">
        <f t="shared" si="2034"/>
        <v>42.262017500500001</v>
      </c>
      <c r="Y1673" s="998">
        <f t="shared" si="2034"/>
        <v>45.652544415850002</v>
      </c>
      <c r="Z1673" s="998">
        <f t="shared" si="2034"/>
        <v>48.728033161950002</v>
      </c>
      <c r="AA1673" s="998">
        <f t="shared" si="2034"/>
        <v>49.644179047000002</v>
      </c>
      <c r="AB1673" s="998">
        <f t="shared" si="2034"/>
        <v>50.994142981200163</v>
      </c>
      <c r="AC1673" s="998">
        <f t="shared" si="2034"/>
        <v>55.313804557233311</v>
      </c>
      <c r="AD1673" s="998">
        <f t="shared" si="2034"/>
        <v>56.072584201533147</v>
      </c>
      <c r="AE1673" s="998">
        <f t="shared" si="2034"/>
        <v>56.462739192777917</v>
      </c>
      <c r="AF1673" s="998">
        <f t="shared" si="2034"/>
        <v>77.095994805048591</v>
      </c>
      <c r="AG1673" s="998">
        <f t="shared" si="2034"/>
        <v>120.0779491031231</v>
      </c>
      <c r="AH1673" s="998">
        <f t="shared" ref="AH1673:AO1673" si="2035">+(AH1087+AI1087)/2</f>
        <v>147.34799776203852</v>
      </c>
      <c r="AI1673" s="998">
        <f t="shared" si="2035"/>
        <v>123.57319986300453</v>
      </c>
      <c r="AJ1673" s="998">
        <f t="shared" si="2035"/>
        <v>96.66796909268146</v>
      </c>
      <c r="AK1673" s="998">
        <f t="shared" si="2035"/>
        <v>110.14007995771158</v>
      </c>
      <c r="AL1673" s="998">
        <f t="shared" si="2035"/>
        <v>123.07427694416953</v>
      </c>
      <c r="AM1673" s="998">
        <f t="shared" si="2035"/>
        <v>129.27781323188182</v>
      </c>
      <c r="AN1673" s="998">
        <f t="shared" si="2035"/>
        <v>137.7829188439861</v>
      </c>
      <c r="AO1673" s="998">
        <f t="shared" si="2035"/>
        <v>148.05101811351483</v>
      </c>
      <c r="AP1673" s="998">
        <f>+(AP500+AQ500+AP1088+AQ1088+AP1089+AQ1089)/2</f>
        <v>133.8075071230972</v>
      </c>
      <c r="AQ1673" s="998">
        <f>+(AQ500+AR500+AQ1088+AR1088+AQ1089+AR1089)/2</f>
        <v>133.8075071230972</v>
      </c>
      <c r="AR1673" s="998">
        <f>+(AR500+AS500+AR1088+AS1088+AR1089+AS1089)/2</f>
        <v>133.8075071230972</v>
      </c>
      <c r="AS1673" s="998">
        <f>+(AS500+AT500+AS1088+AT1088+AS1089+AT1089)/2</f>
        <v>133.8075071230972</v>
      </c>
      <c r="AT1673" s="998">
        <f>+(AT500+AU500+AT1088+AU1088+AT1089+AU1089)/2</f>
        <v>133.8075071230972</v>
      </c>
      <c r="AV1673" s="998"/>
      <c r="AW1673" s="998"/>
    </row>
    <row r="1674" spans="1:49">
      <c r="D1674" s="1685" t="s">
        <v>3379</v>
      </c>
      <c r="E1674" s="132"/>
      <c r="F1674" s="62"/>
      <c r="G1674" s="62"/>
      <c r="H1674" s="62"/>
      <c r="I1674" s="62"/>
      <c r="J1674" s="136"/>
      <c r="K1674" s="136"/>
      <c r="L1674" s="136"/>
      <c r="M1674" s="136"/>
      <c r="N1674" s="1414"/>
      <c r="O1674" s="1414"/>
      <c r="P1674" s="1414"/>
      <c r="Q1674" s="1414"/>
      <c r="R1674" s="1414"/>
      <c r="S1674" s="1414"/>
      <c r="T1674" s="1414"/>
      <c r="U1674" s="998"/>
      <c r="V1674" s="998"/>
      <c r="W1674" s="998"/>
      <c r="X1674" s="998"/>
      <c r="Y1674" s="998"/>
      <c r="Z1674" s="998"/>
      <c r="AA1674" s="998"/>
      <c r="AB1674" s="998"/>
      <c r="AC1674" s="998"/>
      <c r="AD1674" s="998"/>
      <c r="AE1674" s="998">
        <f t="shared" ref="AE1674:AO1674" si="2036">(AE1086+AF1086)/2</f>
        <v>0</v>
      </c>
      <c r="AF1674" s="998">
        <f t="shared" si="2036"/>
        <v>0</v>
      </c>
      <c r="AG1674" s="998">
        <f t="shared" si="2036"/>
        <v>28.23798420229339</v>
      </c>
      <c r="AH1674" s="998">
        <f t="shared" si="2036"/>
        <v>70.681922553288715</v>
      </c>
      <c r="AI1674" s="998">
        <f t="shared" si="2036"/>
        <v>52.729044202995325</v>
      </c>
      <c r="AJ1674" s="998">
        <f t="shared" si="2036"/>
        <v>22.237908408323616</v>
      </c>
      <c r="AK1674" s="998">
        <f t="shared" si="2036"/>
        <v>24.810896895336651</v>
      </c>
      <c r="AL1674" s="998">
        <f t="shared" si="2036"/>
        <v>26.598493424092837</v>
      </c>
      <c r="AM1674" s="998">
        <f t="shared" si="2036"/>
        <v>28.253593071220717</v>
      </c>
      <c r="AN1674" s="998">
        <f t="shared" si="2036"/>
        <v>29.746346569661164</v>
      </c>
      <c r="AO1674" s="998">
        <f t="shared" si="2036"/>
        <v>31.798333677704317</v>
      </c>
      <c r="AP1674" s="998"/>
      <c r="AQ1674" s="998"/>
      <c r="AR1674" s="998"/>
      <c r="AS1674" s="998"/>
      <c r="AT1674" s="998"/>
      <c r="AV1674" s="998"/>
      <c r="AW1674" s="998"/>
    </row>
    <row r="1675" spans="1:49">
      <c r="D1675" s="1686" t="s">
        <v>3380</v>
      </c>
      <c r="E1675" s="132"/>
      <c r="F1675" s="62"/>
      <c r="G1675" s="62"/>
      <c r="H1675" s="62"/>
      <c r="I1675" s="62"/>
      <c r="J1675" s="136"/>
      <c r="K1675" s="136"/>
      <c r="L1675" s="136"/>
      <c r="M1675" s="136"/>
      <c r="N1675" s="1414"/>
      <c r="O1675" s="1414"/>
      <c r="P1675" s="1414"/>
      <c r="Q1675" s="1414"/>
      <c r="R1675" s="1414"/>
      <c r="S1675" s="1414"/>
      <c r="T1675" s="1414"/>
      <c r="U1675" s="998"/>
      <c r="V1675" s="998">
        <f t="shared" ref="V1675:AT1675" si="2037">(V1085+W1085)/2-V1674-V1673</f>
        <v>-46.498908531199994</v>
      </c>
      <c r="W1675" s="998">
        <f t="shared" si="2037"/>
        <v>-41.791818971499993</v>
      </c>
      <c r="X1675" s="998">
        <f t="shared" si="2037"/>
        <v>20.617333440999992</v>
      </c>
      <c r="Y1675" s="998">
        <f t="shared" si="2037"/>
        <v>85.736539522649991</v>
      </c>
      <c r="Z1675" s="998">
        <f t="shared" si="2037"/>
        <v>103.2399535870847</v>
      </c>
      <c r="AA1675" s="998">
        <f t="shared" si="2037"/>
        <v>114.601955852744</v>
      </c>
      <c r="AB1675" s="998">
        <f t="shared" si="2037"/>
        <v>118.7369738980515</v>
      </c>
      <c r="AC1675" s="998">
        <f t="shared" si="2037"/>
        <v>141.11845338930908</v>
      </c>
      <c r="AD1675" s="998">
        <f t="shared" si="2037"/>
        <v>158.07035730173527</v>
      </c>
      <c r="AE1675" s="998">
        <f t="shared" si="2037"/>
        <v>171.82855041719051</v>
      </c>
      <c r="AF1675" s="998">
        <f t="shared" si="2037"/>
        <v>173.93338276451942</v>
      </c>
      <c r="AG1675" s="998">
        <f t="shared" si="2037"/>
        <v>146.05111766826252</v>
      </c>
      <c r="AH1675" s="998">
        <f t="shared" si="2037"/>
        <v>136.20864795098834</v>
      </c>
      <c r="AI1675" s="998">
        <f t="shared" si="2037"/>
        <v>227.65951083250454</v>
      </c>
      <c r="AJ1675" s="998">
        <f t="shared" si="2037"/>
        <v>364.25672322640179</v>
      </c>
      <c r="AK1675" s="998">
        <f t="shared" si="2037"/>
        <v>444.69026009176184</v>
      </c>
      <c r="AL1675" s="998">
        <f t="shared" si="2037"/>
        <v>513.71707243723154</v>
      </c>
      <c r="AM1675" s="998">
        <f t="shared" si="2037"/>
        <v>593.00115125767525</v>
      </c>
      <c r="AN1675" s="998">
        <f t="shared" si="2037"/>
        <v>692.03707145111764</v>
      </c>
      <c r="AO1675" s="998">
        <f t="shared" si="2037"/>
        <v>778.38115457801462</v>
      </c>
      <c r="AP1675" s="998">
        <f t="shared" si="2037"/>
        <v>890.46119463979107</v>
      </c>
      <c r="AQ1675" s="998">
        <f t="shared" si="2037"/>
        <v>966.52146888961238</v>
      </c>
      <c r="AR1675" s="998">
        <f t="shared" si="2037"/>
        <v>1130.0519873465034</v>
      </c>
      <c r="AS1675" s="998">
        <f t="shared" si="2037"/>
        <v>1493.6563661913387</v>
      </c>
      <c r="AT1675" s="998">
        <f t="shared" si="2037"/>
        <v>2072.8041090749216</v>
      </c>
      <c r="AV1675" s="998"/>
      <c r="AW1675" s="998"/>
    </row>
    <row r="1676" spans="1:49">
      <c r="D1676" s="973" t="s">
        <v>3111</v>
      </c>
      <c r="E1676" s="62"/>
      <c r="F1676" s="62"/>
      <c r="G1676" s="62"/>
      <c r="H1676" s="62"/>
      <c r="I1676" s="62"/>
      <c r="J1676" s="118">
        <f>+(J758+K758)/2</f>
        <v>12.4893</v>
      </c>
      <c r="K1676" s="118">
        <f>+(K758+L758)/2</f>
        <v>12.116275</v>
      </c>
      <c r="L1676" s="118">
        <f>+(L758+M758)/2</f>
        <v>14.0609</v>
      </c>
      <c r="M1676" s="118">
        <f>+(M758+N758)/2</f>
        <v>17.373550000000002</v>
      </c>
      <c r="N1676" s="118">
        <f t="shared" ref="N1676:AT1676" si="2038">+(N1099+O1099)/2</f>
        <v>0</v>
      </c>
      <c r="O1676" s="118">
        <f t="shared" si="2038"/>
        <v>0</v>
      </c>
      <c r="P1676" s="118">
        <f t="shared" si="2038"/>
        <v>0</v>
      </c>
      <c r="Q1676" s="118">
        <f t="shared" si="2038"/>
        <v>0</v>
      </c>
      <c r="R1676" s="118">
        <f t="shared" si="2038"/>
        <v>0</v>
      </c>
      <c r="S1676" s="118">
        <f t="shared" si="2038"/>
        <v>0</v>
      </c>
      <c r="T1676" s="118">
        <f t="shared" si="2038"/>
        <v>0</v>
      </c>
      <c r="U1676" s="118">
        <f t="shared" si="2038"/>
        <v>0</v>
      </c>
      <c r="V1676" s="118">
        <f t="shared" si="2038"/>
        <v>0</v>
      </c>
      <c r="W1676" s="118">
        <f t="shared" si="2038"/>
        <v>0</v>
      </c>
      <c r="X1676" s="118">
        <f t="shared" si="2038"/>
        <v>28.086198660499999</v>
      </c>
      <c r="Y1676" s="118">
        <f t="shared" si="2038"/>
        <v>60.228374403000004</v>
      </c>
      <c r="Z1676" s="118">
        <f t="shared" si="2038"/>
        <v>70.048250723734043</v>
      </c>
      <c r="AA1676" s="118">
        <f t="shared" si="2038"/>
        <v>78.236002759255939</v>
      </c>
      <c r="AB1676" s="118">
        <f t="shared" si="2038"/>
        <v>82.101437994018511</v>
      </c>
      <c r="AC1676" s="118">
        <f t="shared" si="2038"/>
        <v>97.644194587996594</v>
      </c>
      <c r="AD1676" s="118">
        <f t="shared" si="2038"/>
        <v>114.51342643269001</v>
      </c>
      <c r="AE1676" s="118">
        <f t="shared" si="2038"/>
        <v>120.51213200364558</v>
      </c>
      <c r="AF1676" s="118">
        <f t="shared" si="2038"/>
        <v>128.3813595127213</v>
      </c>
      <c r="AG1676" s="118">
        <f t="shared" si="2038"/>
        <v>172.32528329059807</v>
      </c>
      <c r="AH1676" s="118">
        <f t="shared" si="2038"/>
        <v>203.05847387356943</v>
      </c>
      <c r="AI1676" s="118">
        <f t="shared" si="2038"/>
        <v>218.44511663962709</v>
      </c>
      <c r="AJ1676" s="118">
        <f t="shared" si="2038"/>
        <v>259.02719451566338</v>
      </c>
      <c r="AK1676" s="118">
        <f t="shared" si="2038"/>
        <v>300.19630828549282</v>
      </c>
      <c r="AL1676" s="118">
        <f t="shared" si="2038"/>
        <v>347.06585571757955</v>
      </c>
      <c r="AM1676" s="118">
        <f t="shared" si="2038"/>
        <v>395.09736134749176</v>
      </c>
      <c r="AN1676" s="118">
        <f t="shared" si="2038"/>
        <v>448.89570489019445</v>
      </c>
      <c r="AO1676" s="118">
        <f t="shared" si="2038"/>
        <v>507.65812696797616</v>
      </c>
      <c r="AP1676" s="118">
        <f t="shared" si="2038"/>
        <v>563.18341338891764</v>
      </c>
      <c r="AQ1676" s="118">
        <f t="shared" si="2038"/>
        <v>617.00014049318338</v>
      </c>
      <c r="AR1676" s="118">
        <f t="shared" si="2038"/>
        <v>678.11159810450931</v>
      </c>
      <c r="AS1676" s="118">
        <f t="shared" si="2038"/>
        <v>813.96881194359321</v>
      </c>
      <c r="AT1676" s="118">
        <f t="shared" si="2038"/>
        <v>1052.1732450117743</v>
      </c>
      <c r="AV1676" s="118"/>
      <c r="AW1676" s="118"/>
    </row>
    <row r="1677" spans="1:49">
      <c r="A1677" s="1"/>
      <c r="B1677" s="1"/>
      <c r="C1677" s="1"/>
      <c r="D1677" s="985" t="s">
        <v>293</v>
      </c>
      <c r="E1677" s="132">
        <v>0.75</v>
      </c>
      <c r="F1677" s="63"/>
      <c r="G1677" s="63"/>
      <c r="H1677" s="63"/>
      <c r="I1677" s="63"/>
      <c r="J1677" s="118">
        <f t="shared" ref="J1677:U1677" si="2039">+(J1672+J1676)*$E1677</f>
        <v>9.3669750000000001</v>
      </c>
      <c r="K1677" s="118">
        <f t="shared" si="2039"/>
        <v>9.0872062499999995</v>
      </c>
      <c r="L1677" s="118">
        <f t="shared" si="2039"/>
        <v>10.545674999999999</v>
      </c>
      <c r="M1677" s="118">
        <f t="shared" si="2039"/>
        <v>13.030162500000001</v>
      </c>
      <c r="N1677" s="118">
        <f t="shared" si="2039"/>
        <v>0</v>
      </c>
      <c r="O1677" s="118">
        <f t="shared" si="2039"/>
        <v>9.7344128750625014</v>
      </c>
      <c r="P1677" s="118">
        <f t="shared" si="2039"/>
        <v>20.062568098612502</v>
      </c>
      <c r="Q1677" s="118">
        <f t="shared" si="2039"/>
        <v>22.943429747812502</v>
      </c>
      <c r="R1677" s="118">
        <f t="shared" si="2039"/>
        <v>28.291969206153809</v>
      </c>
      <c r="S1677" s="118">
        <f t="shared" si="2039"/>
        <v>37.03003173242665</v>
      </c>
      <c r="T1677" s="118">
        <f t="shared" si="2039"/>
        <v>40.743512561722845</v>
      </c>
      <c r="U1677" s="999">
        <f t="shared" si="2039"/>
        <v>39.034514993512502</v>
      </c>
      <c r="V1677" s="999">
        <f>+(V1672+V1676)*$E1677</f>
        <v>45.454236958237502</v>
      </c>
      <c r="W1677" s="999">
        <f>+(W1672+W1676)*$E1677</f>
        <v>54.246598930575004</v>
      </c>
      <c r="X1677" s="999">
        <f t="shared" ref="X1677:AS1677" si="2040">+(X1672+X1676)*$E1677</f>
        <v>83.460147171337496</v>
      </c>
      <c r="Y1677" s="999">
        <f t="shared" si="2040"/>
        <v>116.54408668792499</v>
      </c>
      <c r="Z1677" s="1000">
        <f t="shared" si="2040"/>
        <v>130.86046963123678</v>
      </c>
      <c r="AA1677" s="1000">
        <f t="shared" si="2040"/>
        <v>146.11305763635323</v>
      </c>
      <c r="AB1677" s="1000">
        <f t="shared" si="2040"/>
        <v>157.15083668281389</v>
      </c>
      <c r="AC1677" s="1000">
        <f t="shared" si="2040"/>
        <v>178.85039201972742</v>
      </c>
      <c r="AD1677" s="1000">
        <f t="shared" si="2040"/>
        <v>198.56031196412246</v>
      </c>
      <c r="AE1677" s="1000">
        <f t="shared" si="2040"/>
        <v>207.92055690850918</v>
      </c>
      <c r="AF1677" s="1000">
        <f t="shared" si="2040"/>
        <v>227.07886835118782</v>
      </c>
      <c r="AG1677" s="1000">
        <f t="shared" si="2040"/>
        <v>281.39075310296414</v>
      </c>
      <c r="AH1677" s="1000">
        <f t="shared" si="2040"/>
        <v>323.6354561783545</v>
      </c>
      <c r="AI1677" s="1000">
        <f t="shared" si="2040"/>
        <v>364.77021371643895</v>
      </c>
      <c r="AJ1677" s="1000">
        <f t="shared" si="2040"/>
        <v>442.58341181997105</v>
      </c>
      <c r="AK1677" s="1000">
        <f t="shared" si="2040"/>
        <v>525.63477833231809</v>
      </c>
      <c r="AL1677" s="1000">
        <f t="shared" si="2040"/>
        <v>619.57938487778597</v>
      </c>
      <c r="AM1677" s="1000">
        <f t="shared" si="2040"/>
        <v>726.08556396370705</v>
      </c>
      <c r="AN1677" s="1000">
        <f t="shared" si="2040"/>
        <v>848.77673365849535</v>
      </c>
      <c r="AO1677" s="1000">
        <f t="shared" si="2040"/>
        <v>961.32888646159529</v>
      </c>
      <c r="AP1677" s="1000">
        <f t="shared" si="2040"/>
        <v>423.51256004168823</v>
      </c>
      <c r="AQ1677" s="1000">
        <f t="shared" si="2040"/>
        <v>464.62510536988754</v>
      </c>
      <c r="AR1677" s="1000">
        <f t="shared" si="2040"/>
        <v>511.20869857838198</v>
      </c>
      <c r="AS1677" s="1000">
        <f t="shared" si="2040"/>
        <v>613.85160895769491</v>
      </c>
      <c r="AT1677" s="1000">
        <f t="shared" ref="AT1677" si="2041">+(AT1672+AT1676)*$E1677</f>
        <v>791.0049337588307</v>
      </c>
      <c r="AV1677" s="1000"/>
      <c r="AW1677" s="1000"/>
    </row>
    <row r="1678" spans="1:49">
      <c r="A1678" s="1"/>
      <c r="B1678" s="1"/>
      <c r="C1678" s="1"/>
      <c r="D1678" s="985" t="s">
        <v>319</v>
      </c>
      <c r="E1678" s="234" t="s">
        <v>306</v>
      </c>
      <c r="F1678" s="63"/>
      <c r="G1678" s="63"/>
      <c r="H1678" s="235" t="e">
        <f t="shared" ref="H1678:AT1678" si="2042">+(H1671-H1672-H1673-H1674)/(H213-H1646)</f>
        <v>#DIV/0!</v>
      </c>
      <c r="I1678" s="235" t="e">
        <f t="shared" si="2042"/>
        <v>#DIV/0!</v>
      </c>
      <c r="J1678" s="235">
        <f t="shared" si="2042"/>
        <v>0</v>
      </c>
      <c r="K1678" s="235">
        <f t="shared" si="2042"/>
        <v>0</v>
      </c>
      <c r="L1678" s="235">
        <f t="shared" si="2042"/>
        <v>0</v>
      </c>
      <c r="M1678" s="235">
        <f t="shared" si="2042"/>
        <v>0</v>
      </c>
      <c r="N1678" s="235">
        <f t="shared" si="2042"/>
        <v>0</v>
      </c>
      <c r="O1678" s="235">
        <f t="shared" si="2042"/>
        <v>-1.2241956537718661E-2</v>
      </c>
      <c r="P1678" s="235">
        <f t="shared" si="2042"/>
        <v>-2.1383466351253055E-2</v>
      </c>
      <c r="Q1678" s="235">
        <f t="shared" si="2042"/>
        <v>-2.1813572885243632E-2</v>
      </c>
      <c r="R1678" s="235">
        <f t="shared" si="2042"/>
        <v>-2.038794508885074E-2</v>
      </c>
      <c r="S1678" s="235">
        <f t="shared" si="2042"/>
        <v>-2.1380566181363178E-2</v>
      </c>
      <c r="T1678" s="235">
        <f t="shared" si="2042"/>
        <v>-2.3359327146524476E-2</v>
      </c>
      <c r="U1678" s="235">
        <f t="shared" si="2042"/>
        <v>-2.6265402418087527E-2</v>
      </c>
      <c r="V1678" s="235">
        <f t="shared" si="2042"/>
        <v>-2.8147460323182476E-2</v>
      </c>
      <c r="W1678" s="235">
        <f t="shared" si="2042"/>
        <v>-2.6396112793920259E-2</v>
      </c>
      <c r="X1678" s="235">
        <f t="shared" si="2042"/>
        <v>1.4184922873143211E-2</v>
      </c>
      <c r="Y1678" s="235">
        <f t="shared" si="2042"/>
        <v>5.0428916590097926E-2</v>
      </c>
      <c r="Z1678" s="235">
        <f t="shared" si="2042"/>
        <v>5.566543631753737E-2</v>
      </c>
      <c r="AA1678" s="235">
        <f t="shared" si="2042"/>
        <v>5.6396615481004275E-2</v>
      </c>
      <c r="AB1678" s="235">
        <f t="shared" si="2042"/>
        <v>5.4405245533248096E-2</v>
      </c>
      <c r="AC1678" s="235">
        <f t="shared" si="2042"/>
        <v>5.6858891247807478E-2</v>
      </c>
      <c r="AD1678" s="235">
        <f t="shared" si="2042"/>
        <v>5.4305262003457234E-2</v>
      </c>
      <c r="AE1678" s="235">
        <f t="shared" si="2042"/>
        <v>5.6535260774363064E-2</v>
      </c>
      <c r="AF1678" s="235">
        <f t="shared" si="2042"/>
        <v>5.4446163528025782E-2</v>
      </c>
      <c r="AG1678" s="235">
        <f t="shared" si="2042"/>
        <v>4.4737906694448999E-2</v>
      </c>
      <c r="AH1678" s="235">
        <f t="shared" si="2042"/>
        <v>4.0815608385430399E-2</v>
      </c>
      <c r="AI1678" s="235">
        <f t="shared" si="2042"/>
        <v>4.5705932874386332E-2</v>
      </c>
      <c r="AJ1678" s="235">
        <f t="shared" si="2042"/>
        <v>5.4411051834559687E-2</v>
      </c>
      <c r="AK1678" s="235">
        <f t="shared" si="2042"/>
        <v>5.9951312748304307E-2</v>
      </c>
      <c r="AL1678" s="235">
        <f t="shared" si="2042"/>
        <v>6.283545991007404E-2</v>
      </c>
      <c r="AM1678" s="235">
        <f t="shared" si="2042"/>
        <v>6.3447531919754038E-2</v>
      </c>
      <c r="AN1678" s="235">
        <f t="shared" si="2042"/>
        <v>6.4082642050122915E-2</v>
      </c>
      <c r="AO1678" s="235">
        <f t="shared" si="2042"/>
        <v>6.4835173392682827E-2</v>
      </c>
      <c r="AP1678" s="235">
        <f t="shared" si="2042"/>
        <v>8.4869093316399441E-2</v>
      </c>
      <c r="AQ1678" s="235">
        <f t="shared" si="2042"/>
        <v>8.3209931460109077E-2</v>
      </c>
      <c r="AR1678" s="235">
        <f t="shared" si="2042"/>
        <v>8.3552347773921773E-2</v>
      </c>
      <c r="AS1678" s="235">
        <f t="shared" si="2042"/>
        <v>9.0799212989322892E-2</v>
      </c>
      <c r="AT1678" s="235">
        <f t="shared" si="2042"/>
        <v>0.10497568845519602</v>
      </c>
      <c r="AV1678" s="235"/>
      <c r="AW1678" s="235"/>
    </row>
    <row r="1679" spans="1:49">
      <c r="A1679" s="1"/>
      <c r="B1679" s="1"/>
      <c r="C1679" s="1"/>
      <c r="D1679" s="985" t="s">
        <v>3871</v>
      </c>
      <c r="E1679" s="234" t="str">
        <f>+E1678</f>
        <v>used for DEFL</v>
      </c>
      <c r="F1679" s="63"/>
      <c r="G1679" s="63"/>
      <c r="H1679" s="63"/>
      <c r="I1679" s="63"/>
      <c r="J1679" s="235">
        <f t="shared" ref="J1679:U1679" si="2043">+J292</f>
        <v>0</v>
      </c>
      <c r="K1679" s="235">
        <f t="shared" si="2043"/>
        <v>0</v>
      </c>
      <c r="L1679" s="235">
        <f t="shared" si="2043"/>
        <v>0</v>
      </c>
      <c r="M1679" s="235">
        <f t="shared" si="2043"/>
        <v>0</v>
      </c>
      <c r="N1679" s="235">
        <f t="shared" si="2043"/>
        <v>0</v>
      </c>
      <c r="O1679" s="235">
        <f t="shared" si="2043"/>
        <v>0</v>
      </c>
      <c r="P1679" s="235">
        <f t="shared" si="2043"/>
        <v>0</v>
      </c>
      <c r="Q1679" s="235">
        <f t="shared" si="2043"/>
        <v>0</v>
      </c>
      <c r="R1679" s="235">
        <f t="shared" si="2043"/>
        <v>0</v>
      </c>
      <c r="S1679" s="235">
        <f t="shared" si="2043"/>
        <v>0</v>
      </c>
      <c r="T1679" s="235">
        <f t="shared" si="2043"/>
        <v>0</v>
      </c>
      <c r="U1679" s="235">
        <f t="shared" si="2043"/>
        <v>0</v>
      </c>
      <c r="V1679" s="1001">
        <f t="shared" ref="V1679:AD1679" si="2044">+((V1671-V1672+V1675)/(V213-V231-V1646))</f>
        <v>-4.0502586359348954E-2</v>
      </c>
      <c r="W1679" s="1001">
        <f t="shared" si="2044"/>
        <v>-3.7988795491057409E-2</v>
      </c>
      <c r="X1679" s="1001">
        <f t="shared" si="2044"/>
        <v>3.984354729809534E-2</v>
      </c>
      <c r="Y1679" s="1001">
        <f t="shared" si="2044"/>
        <v>0.10874221952060607</v>
      </c>
      <c r="Z1679" s="1001">
        <f t="shared" si="2044"/>
        <v>0.11837529432223491</v>
      </c>
      <c r="AA1679" s="1001">
        <f t="shared" si="2044"/>
        <v>0.11824478774857865</v>
      </c>
      <c r="AB1679" s="1001">
        <f t="shared" si="2044"/>
        <v>0.11207058940186219</v>
      </c>
      <c r="AC1679" s="1001">
        <f t="shared" si="2044"/>
        <v>0.11748772769958316</v>
      </c>
      <c r="AD1679" s="1001">
        <f t="shared" si="2044"/>
        <v>0.11153066384571612</v>
      </c>
      <c r="AE1679" s="1001">
        <f t="shared" ref="AE1679:AT1679" si="2045">+((AE1673)/(AE247*AE256/1000))</f>
        <v>0.17129223556645895</v>
      </c>
      <c r="AF1679" s="1001">
        <f t="shared" si="2045"/>
        <v>0.19595710665074517</v>
      </c>
      <c r="AG1679" s="1001">
        <f t="shared" si="2045"/>
        <v>0.15233804816495802</v>
      </c>
      <c r="AH1679" s="1001">
        <f t="shared" si="2045"/>
        <v>0.18551096241560489</v>
      </c>
      <c r="AI1679" s="1001">
        <f t="shared" si="2045"/>
        <v>0.12622506001082737</v>
      </c>
      <c r="AJ1679" s="1001">
        <f t="shared" si="2045"/>
        <v>0.10483334248174378</v>
      </c>
      <c r="AK1679" s="1001">
        <f t="shared" si="2045"/>
        <v>0.1139689276184836</v>
      </c>
      <c r="AL1679" s="1001">
        <f t="shared" si="2045"/>
        <v>0.11869619027536399</v>
      </c>
      <c r="AM1679" s="1001">
        <f t="shared" si="2045"/>
        <v>0.11231016166481153</v>
      </c>
      <c r="AN1679" s="1001">
        <f t="shared" si="2045"/>
        <v>0.1075614392994039</v>
      </c>
      <c r="AO1679" s="1001">
        <f t="shared" si="2045"/>
        <v>0.10489455158196399</v>
      </c>
      <c r="AP1679" s="1001">
        <f t="shared" si="2045"/>
        <v>8.437279918270485E-2</v>
      </c>
      <c r="AQ1679" s="1001">
        <f t="shared" si="2045"/>
        <v>7.7762017671543449E-2</v>
      </c>
      <c r="AR1679" s="1001">
        <f t="shared" si="2045"/>
        <v>7.1651768552111958E-2</v>
      </c>
      <c r="AS1679" s="1001">
        <f t="shared" si="2045"/>
        <v>6.6081173021376699E-2</v>
      </c>
      <c r="AT1679" s="1001">
        <f t="shared" si="2045"/>
        <v>6.1032524107249735E-2</v>
      </c>
      <c r="AV1679" s="1001"/>
      <c r="AW1679" s="1001"/>
    </row>
    <row r="1680" spans="1:49">
      <c r="A1680" s="1"/>
      <c r="B1680" s="1"/>
      <c r="C1680" s="1"/>
      <c r="D1680" s="985" t="s">
        <v>307</v>
      </c>
      <c r="E1680" s="132"/>
      <c r="F1680" s="63"/>
      <c r="G1680" s="63"/>
      <c r="H1680" s="63"/>
      <c r="I1680" s="63"/>
      <c r="J1680" s="235">
        <f t="shared" ref="J1680:AD1680" si="2046">+(J1676+J1673+J1672)/J232</f>
        <v>7.9046202531645571E-2</v>
      </c>
      <c r="K1680" s="235">
        <f t="shared" si="2046"/>
        <v>6.8068960674157297E-2</v>
      </c>
      <c r="L1680" s="235">
        <f t="shared" si="2046"/>
        <v>7.3617277486910992E-2</v>
      </c>
      <c r="M1680" s="235">
        <f t="shared" si="2046"/>
        <v>8.6867750000000007E-2</v>
      </c>
      <c r="N1680" s="235">
        <f t="shared" si="2046"/>
        <v>0</v>
      </c>
      <c r="O1680" s="235">
        <f t="shared" si="2046"/>
        <v>5.2984114731072562E-2</v>
      </c>
      <c r="P1680" s="235">
        <f t="shared" si="2046"/>
        <v>9.086584662506493E-2</v>
      </c>
      <c r="Q1680" s="235">
        <f t="shared" si="2046"/>
        <v>5.0415728095646629E-2</v>
      </c>
      <c r="R1680" s="235">
        <f t="shared" si="2046"/>
        <v>4.7120804163347539E-2</v>
      </c>
      <c r="S1680" s="235">
        <f t="shared" si="2046"/>
        <v>4.9414959062472938E-2</v>
      </c>
      <c r="T1680" s="235">
        <f t="shared" si="2046"/>
        <v>5.3988289406413842E-2</v>
      </c>
      <c r="U1680" s="235">
        <f t="shared" si="2046"/>
        <v>5.8492835468805175E-2</v>
      </c>
      <c r="V1680" s="1001">
        <f t="shared" si="2046"/>
        <v>6.0612396758938203E-2</v>
      </c>
      <c r="W1680" s="1001">
        <f t="shared" si="2046"/>
        <v>5.6819605655719058E-2</v>
      </c>
      <c r="X1680" s="1001">
        <f t="shared" si="2046"/>
        <v>7.1144378745080714E-2</v>
      </c>
      <c r="Y1680" s="1001">
        <f t="shared" si="2046"/>
        <v>8.3752027242720045E-2</v>
      </c>
      <c r="Z1680" s="1001">
        <f t="shared" si="2046"/>
        <v>8.4835040954101507E-2</v>
      </c>
      <c r="AA1680" s="1001">
        <f t="shared" si="2046"/>
        <v>8.348136066060198E-2</v>
      </c>
      <c r="AB1680" s="1001">
        <f t="shared" si="2046"/>
        <v>7.9010110440966189E-2</v>
      </c>
      <c r="AC1680" s="1001">
        <f t="shared" si="2046"/>
        <v>8.1707497681876129E-2</v>
      </c>
      <c r="AD1680" s="1001">
        <f t="shared" si="2046"/>
        <v>7.8372405932585973E-2</v>
      </c>
      <c r="AE1680" s="1001">
        <f t="shared" ref="AE1680:AQ1680" si="2047">+(AE1676+AE1673+AE1672+AE1674)/AE232</f>
        <v>7.7956909597737933E-2</v>
      </c>
      <c r="AF1680" s="1001">
        <f t="shared" si="2047"/>
        <v>7.8917209856407877E-2</v>
      </c>
      <c r="AG1680" s="1001">
        <f t="shared" si="2047"/>
        <v>8.5422641362230337E-2</v>
      </c>
      <c r="AH1680" s="1001">
        <f t="shared" si="2047"/>
        <v>8.7402869273831174E-2</v>
      </c>
      <c r="AI1680" s="1001">
        <f t="shared" si="2047"/>
        <v>7.6892843933772534E-2</v>
      </c>
      <c r="AJ1680" s="1001">
        <f t="shared" si="2047"/>
        <v>8.6328636705341105E-2</v>
      </c>
      <c r="AK1680" s="1001">
        <f t="shared" si="2047"/>
        <v>8.3709319502065921E-2</v>
      </c>
      <c r="AL1680" s="1001">
        <f t="shared" si="2047"/>
        <v>9.0042146370652235E-2</v>
      </c>
      <c r="AM1680" s="1001">
        <f t="shared" si="2047"/>
        <v>0.10273225012965498</v>
      </c>
      <c r="AN1680" s="1001">
        <f t="shared" si="2047"/>
        <v>0.10964667334505804</v>
      </c>
      <c r="AO1680" s="1001">
        <f t="shared" si="2047"/>
        <v>0.11915439284524842</v>
      </c>
      <c r="AP1680" s="1001">
        <f t="shared" si="2047"/>
        <v>5.3903526775104862E-2</v>
      </c>
      <c r="AQ1680" s="1001">
        <f t="shared" si="2047"/>
        <v>4.9140804156242952E-2</v>
      </c>
      <c r="AR1680" s="1001">
        <f>+(AR1676+AR1673+AR1672)/AR232</f>
        <v>4.9713579904950088E-2</v>
      </c>
      <c r="AS1680" s="1001">
        <f>+(AS1676+AS1673+AS1672)/AS232</f>
        <v>5.4651902921956139E-2</v>
      </c>
      <c r="AT1680" s="1001">
        <f>+(AT1676+AT1673+AT1672)/AT232</f>
        <v>6.4766843722125114E-2</v>
      </c>
      <c r="AV1680" s="1001"/>
      <c r="AW1680" s="1001"/>
    </row>
    <row r="1681" spans="1:46">
      <c r="D1681" s="2143" t="s">
        <v>3876</v>
      </c>
      <c r="X1681" s="1"/>
      <c r="Z1681" s="1"/>
    </row>
    <row r="1683" spans="1:46" hidden="1">
      <c r="A1683" s="1"/>
      <c r="B1683" s="1"/>
      <c r="C1683" s="1"/>
      <c r="D1683" s="481" t="s">
        <v>1067</v>
      </c>
      <c r="E1683" s="9"/>
      <c r="F1683" s="9"/>
      <c r="G1683" s="9"/>
      <c r="H1683" s="9"/>
      <c r="I1683" s="80">
        <v>1998</v>
      </c>
      <c r="J1683" s="80">
        <v>1999</v>
      </c>
      <c r="K1683" s="80">
        <v>2000</v>
      </c>
      <c r="L1683" s="80">
        <v>2001</v>
      </c>
      <c r="M1683" s="80">
        <v>2002</v>
      </c>
      <c r="N1683" s="80">
        <v>2003</v>
      </c>
      <c r="O1683" s="80">
        <v>2004</v>
      </c>
      <c r="P1683" s="80">
        <v>2005</v>
      </c>
      <c r="Q1683" s="80">
        <v>2006</v>
      </c>
      <c r="R1683" s="80">
        <v>2007</v>
      </c>
      <c r="S1683" s="80">
        <v>2008</v>
      </c>
      <c r="T1683" s="80"/>
      <c r="U1683" s="80"/>
      <c r="V1683" s="530" t="s">
        <v>691</v>
      </c>
      <c r="W1683" s="74">
        <v>2012</v>
      </c>
      <c r="X1683" s="74">
        <v>2013</v>
      </c>
      <c r="Y1683" s="74">
        <v>2014</v>
      </c>
      <c r="Z1683" s="74">
        <v>2015</v>
      </c>
      <c r="AA1683" s="74">
        <v>2016</v>
      </c>
      <c r="AB1683" s="74">
        <v>2017</v>
      </c>
      <c r="AC1683" s="74">
        <v>2018</v>
      </c>
      <c r="AD1683" s="74">
        <v>2019</v>
      </c>
      <c r="AE1683" s="74">
        <v>2020</v>
      </c>
      <c r="AF1683" s="74">
        <v>2021</v>
      </c>
      <c r="AG1683" s="74">
        <v>2022</v>
      </c>
      <c r="AH1683" s="74">
        <v>2023</v>
      </c>
      <c r="AI1683" s="74">
        <v>2024</v>
      </c>
      <c r="AJ1683" s="74">
        <v>2025</v>
      </c>
      <c r="AK1683" s="74">
        <v>2026</v>
      </c>
      <c r="AL1683" s="74">
        <v>2027</v>
      </c>
      <c r="AM1683" s="74">
        <v>2028</v>
      </c>
      <c r="AN1683" s="74"/>
      <c r="AO1683" s="74"/>
      <c r="AP1683" s="74"/>
      <c r="AQ1683" s="74"/>
      <c r="AR1683" s="74"/>
      <c r="AS1683" s="74"/>
      <c r="AT1683" s="530"/>
    </row>
    <row r="1684" spans="1:46" hidden="1">
      <c r="A1684" s="1"/>
      <c r="B1684" s="1"/>
      <c r="C1684" s="1"/>
      <c r="D1684" s="81" t="s">
        <v>105</v>
      </c>
      <c r="E1684" s="82"/>
      <c r="F1684" s="82"/>
      <c r="G1684" s="82"/>
      <c r="H1684" s="82"/>
      <c r="I1684" s="83"/>
      <c r="J1684" s="84"/>
      <c r="K1684" s="84"/>
      <c r="L1684" s="84"/>
      <c r="M1684" s="84"/>
      <c r="N1684" s="84"/>
      <c r="O1684" s="84"/>
      <c r="P1684" s="84"/>
      <c r="Q1684" s="84"/>
      <c r="R1684" s="84"/>
      <c r="S1684" s="84"/>
      <c r="T1684" s="82">
        <v>2009</v>
      </c>
      <c r="U1684" s="85">
        <v>2010</v>
      </c>
      <c r="V1684" s="909">
        <v>2011</v>
      </c>
      <c r="W1684" s="909">
        <v>2012</v>
      </c>
      <c r="X1684" s="909">
        <v>2013</v>
      </c>
      <c r="Y1684" s="909">
        <v>2014</v>
      </c>
      <c r="Z1684" s="909">
        <v>2015</v>
      </c>
      <c r="AA1684" s="909">
        <v>2016</v>
      </c>
      <c r="AB1684" s="909">
        <v>2017</v>
      </c>
      <c r="AC1684" s="909">
        <v>2018</v>
      </c>
      <c r="AD1684" s="909">
        <v>2019</v>
      </c>
      <c r="AE1684" s="910">
        <v>2020</v>
      </c>
      <c r="AF1684" s="910">
        <f t="shared" ref="AF1684:AM1684" si="2048">+AE1684+1</f>
        <v>2021</v>
      </c>
      <c r="AG1684" s="910">
        <f t="shared" si="2048"/>
        <v>2022</v>
      </c>
      <c r="AH1684" s="910">
        <f t="shared" si="2048"/>
        <v>2023</v>
      </c>
      <c r="AI1684" s="910">
        <f t="shared" si="2048"/>
        <v>2024</v>
      </c>
      <c r="AJ1684" s="910">
        <f t="shared" si="2048"/>
        <v>2025</v>
      </c>
      <c r="AK1684" s="910">
        <f t="shared" si="2048"/>
        <v>2026</v>
      </c>
      <c r="AL1684" s="910">
        <f t="shared" si="2048"/>
        <v>2027</v>
      </c>
      <c r="AM1684" s="910">
        <f t="shared" si="2048"/>
        <v>2028</v>
      </c>
      <c r="AN1684" s="910"/>
      <c r="AO1684" s="910"/>
      <c r="AP1684" s="910"/>
      <c r="AQ1684" s="910"/>
      <c r="AR1684" s="910"/>
      <c r="AS1684" s="910"/>
      <c r="AT1684" s="2708"/>
    </row>
    <row r="1685" spans="1:46" hidden="1">
      <c r="A1685" s="1"/>
      <c r="B1685" s="1"/>
      <c r="C1685" s="1"/>
      <c r="D1685" s="81" t="s">
        <v>3135</v>
      </c>
      <c r="E1685" s="82"/>
      <c r="F1685" s="82"/>
      <c r="G1685" s="82"/>
      <c r="H1685" s="82"/>
      <c r="I1685" s="86"/>
      <c r="J1685" s="87"/>
      <c r="K1685" s="87"/>
      <c r="L1685" s="87"/>
      <c r="M1685" s="87"/>
      <c r="N1685" s="87"/>
      <c r="O1685" s="87"/>
      <c r="P1685" s="87"/>
      <c r="Q1685" s="87"/>
      <c r="R1685" s="87"/>
      <c r="S1685" s="87"/>
      <c r="T1685" s="87"/>
      <c r="U1685" s="87"/>
      <c r="V1685" s="84"/>
      <c r="W1685" s="82"/>
      <c r="X1685" s="546"/>
      <c r="Y1685" s="546">
        <f>Y1686+Y1687</f>
        <v>-64.180285204720164</v>
      </c>
      <c r="Z1685" s="546">
        <f t="shared" ref="Z1685:AK1685" si="2049">Z1686+Z1687</f>
        <v>85.471414164484315</v>
      </c>
      <c r="AA1685" s="546">
        <f t="shared" si="2049"/>
        <v>29.49900591688958</v>
      </c>
      <c r="AB1685" s="546">
        <f t="shared" si="2049"/>
        <v>100.60016206800481</v>
      </c>
      <c r="AC1685" s="546">
        <f t="shared" si="2049"/>
        <v>120.35307362560157</v>
      </c>
      <c r="AD1685" s="546">
        <f t="shared" si="2049"/>
        <v>172.98741758862229</v>
      </c>
      <c r="AE1685" s="546">
        <f t="shared" si="2049"/>
        <v>490.32380832820502</v>
      </c>
      <c r="AF1685" s="546">
        <f t="shared" si="2049"/>
        <v>-5.5595162537740919</v>
      </c>
      <c r="AG1685" s="546">
        <f t="shared" si="2049"/>
        <v>145.83162508475169</v>
      </c>
      <c r="AH1685" s="546">
        <f t="shared" si="2049"/>
        <v>316.5118118606585</v>
      </c>
      <c r="AI1685" s="546">
        <f t="shared" si="2049"/>
        <v>674.3361912527871</v>
      </c>
      <c r="AJ1685" s="546">
        <f t="shared" si="2049"/>
        <v>-14.676981599755436</v>
      </c>
      <c r="AK1685" s="546">
        <f t="shared" si="2049"/>
        <v>728.07583976942783</v>
      </c>
      <c r="AL1685" s="546">
        <f>AL1686+AL1687</f>
        <v>1064.374503803396</v>
      </c>
      <c r="AM1685" s="546">
        <f>AM1686+AM1687</f>
        <v>954.29437545038286</v>
      </c>
      <c r="AN1685" s="546"/>
      <c r="AO1685" s="546"/>
      <c r="AP1685" s="546"/>
      <c r="AQ1685" s="546"/>
      <c r="AR1685" s="546"/>
      <c r="AS1685" s="546"/>
      <c r="AT1685" s="2709"/>
    </row>
    <row r="1686" spans="1:46" hidden="1">
      <c r="A1686" s="1"/>
      <c r="B1686" s="1"/>
      <c r="C1686" s="1"/>
      <c r="D1686" s="88" t="s">
        <v>106</v>
      </c>
      <c r="E1686" s="82"/>
      <c r="F1686" s="82"/>
      <c r="G1686" s="82"/>
      <c r="H1686" s="82"/>
      <c r="I1686" s="86"/>
      <c r="J1686" s="87"/>
      <c r="K1686" s="87"/>
      <c r="L1686" s="87"/>
      <c r="M1686" s="87"/>
      <c r="N1686" s="87"/>
      <c r="O1686" s="87"/>
      <c r="P1686" s="87"/>
      <c r="Q1686" s="87"/>
      <c r="R1686" s="87"/>
      <c r="S1686" s="87"/>
      <c r="T1686" s="87"/>
      <c r="U1686" s="87"/>
      <c r="V1686" s="84"/>
      <c r="W1686" s="84"/>
      <c r="X1686" s="546"/>
      <c r="Y1686" s="546">
        <f>FISCinyear!IC948</f>
        <v>-117.94118653012882</v>
      </c>
      <c r="Z1686" s="546">
        <f>FISCinyear!IF948</f>
        <v>-35.466425543534484</v>
      </c>
      <c r="AA1686" s="546">
        <f>FISCinyear!II948</f>
        <v>-41.432714187721849</v>
      </c>
      <c r="AB1686" s="546">
        <f>FISCinyear!IL948</f>
        <v>-41.68863330270753</v>
      </c>
      <c r="AC1686" s="546">
        <f>FISCinyear!IO948</f>
        <v>-37.092242064925316</v>
      </c>
      <c r="AD1686" s="546">
        <f>FISCinyear!IR948</f>
        <v>-88.840718518665369</v>
      </c>
      <c r="AE1686" s="546">
        <f>FISCinyear!IU948</f>
        <v>149.36188579634697</v>
      </c>
      <c r="AF1686" s="546">
        <f>FISCinyear!IX948</f>
        <v>-188.13447992189938</v>
      </c>
      <c r="AG1686" s="546">
        <f>FISCinyear!JA948</f>
        <v>183.06512256649353</v>
      </c>
      <c r="AH1686" s="546">
        <f>FISCinyear!JD948</f>
        <v>100.82468476738475</v>
      </c>
      <c r="AI1686" s="546">
        <f>FISCinyear!JG948</f>
        <v>-116.87862506134815</v>
      </c>
      <c r="AJ1686" s="546">
        <f>FISCinyear!JJ948</f>
        <v>-426.36461213121481</v>
      </c>
      <c r="AK1686" s="546">
        <f>FISCinyear!JM947</f>
        <v>421.28167401131424</v>
      </c>
      <c r="AL1686" s="546">
        <f>FISCinyear!JN947</f>
        <v>723.66845986924022</v>
      </c>
      <c r="AM1686" s="546">
        <f>FISCinyear!JO947</f>
        <v>306.79416575811354</v>
      </c>
      <c r="AN1686" s="546"/>
      <c r="AO1686" s="546"/>
      <c r="AP1686" s="546"/>
      <c r="AQ1686" s="546"/>
      <c r="AR1686" s="546"/>
      <c r="AS1686" s="546"/>
      <c r="AT1686" s="2709"/>
    </row>
    <row r="1687" spans="1:46" hidden="1">
      <c r="A1687" s="1"/>
      <c r="B1687" s="1"/>
      <c r="C1687" s="1"/>
      <c r="D1687" s="88" t="s">
        <v>107</v>
      </c>
      <c r="E1687" s="82"/>
      <c r="F1687" s="82"/>
      <c r="G1687" s="82"/>
      <c r="H1687" s="82"/>
      <c r="I1687" s="89"/>
      <c r="J1687" s="90"/>
      <c r="K1687" s="90"/>
      <c r="L1687" s="90"/>
      <c r="M1687" s="90"/>
      <c r="N1687" s="90"/>
      <c r="O1687" s="90"/>
      <c r="P1687" s="90"/>
      <c r="Q1687" s="90"/>
      <c r="R1687" s="90"/>
      <c r="S1687" s="91"/>
      <c r="T1687" s="90"/>
      <c r="U1687" s="90"/>
      <c r="V1687" s="88"/>
      <c r="W1687" s="90"/>
      <c r="X1687" s="546">
        <f>FISCinyear!IB948</f>
        <v>52.629301348999995</v>
      </c>
      <c r="Y1687" s="546">
        <f>FISCinyear!IE948</f>
        <v>53.760901325408653</v>
      </c>
      <c r="Z1687" s="546">
        <f>FISCinyear!IH948</f>
        <v>120.9378397080188</v>
      </c>
      <c r="AA1687" s="546">
        <f>FISCinyear!IK948</f>
        <v>70.931720104611429</v>
      </c>
      <c r="AB1687" s="546">
        <f>FISCinyear!IN948</f>
        <v>142.28879537071234</v>
      </c>
      <c r="AC1687" s="546">
        <f>FISCinyear!IQ948</f>
        <v>157.44531569052688</v>
      </c>
      <c r="AD1687" s="546">
        <f>FISCinyear!IT948</f>
        <v>261.82813610728766</v>
      </c>
      <c r="AE1687" s="546">
        <f>FISCinyear!IW948</f>
        <v>340.96192253185802</v>
      </c>
      <c r="AF1687" s="546">
        <f>FISCinyear!IZ947</f>
        <v>182.57496366812529</v>
      </c>
      <c r="AG1687" s="546">
        <f>FISCinyear!JC948</f>
        <v>-37.233497481741836</v>
      </c>
      <c r="AH1687" s="546">
        <f>FISCinyear!JF948</f>
        <v>215.68712709327374</v>
      </c>
      <c r="AI1687" s="546">
        <f>FISCinyear!JI948</f>
        <v>791.21481631413519</v>
      </c>
      <c r="AJ1687" s="546">
        <f>FISCinyear!JL948</f>
        <v>411.68763053145938</v>
      </c>
      <c r="AK1687" s="546">
        <f>FISCinyear!JO947</f>
        <v>306.79416575811354</v>
      </c>
      <c r="AL1687" s="546">
        <f>FISCinyear!JP947</f>
        <v>340.70604393415584</v>
      </c>
      <c r="AM1687" s="546">
        <f>FISCinyear!JQ947</f>
        <v>647.50020969226932</v>
      </c>
      <c r="AN1687" s="546"/>
      <c r="AO1687" s="546"/>
      <c r="AP1687" s="546"/>
      <c r="AQ1687" s="546"/>
      <c r="AR1687" s="546"/>
      <c r="AS1687" s="546"/>
      <c r="AT1687" s="2709"/>
    </row>
    <row r="1688" spans="1:46" hidden="1">
      <c r="A1688" s="1"/>
      <c r="B1688" s="1"/>
      <c r="C1688" s="1"/>
      <c r="D1688" s="265" t="s">
        <v>3134</v>
      </c>
      <c r="E1688" s="95"/>
      <c r="F1688" s="95"/>
      <c r="G1688" s="95"/>
      <c r="H1688" s="95"/>
      <c r="I1688" s="257"/>
      <c r="J1688" s="258"/>
      <c r="K1688" s="258"/>
      <c r="L1688" s="258"/>
      <c r="M1688" s="258"/>
      <c r="N1688" s="258"/>
      <c r="O1688" s="258"/>
      <c r="P1688" s="258"/>
      <c r="Q1688" s="258"/>
      <c r="R1688" s="258"/>
      <c r="S1688" s="259">
        <f t="shared" ref="S1688:AM1688" si="2050">S1269</f>
        <v>0</v>
      </c>
      <c r="T1688" s="259">
        <f t="shared" si="2050"/>
        <v>0</v>
      </c>
      <c r="U1688" s="259">
        <f t="shared" si="2050"/>
        <v>0</v>
      </c>
      <c r="V1688" s="259">
        <f t="shared" si="2050"/>
        <v>0</v>
      </c>
      <c r="W1688" s="259">
        <f t="shared" si="2050"/>
        <v>3.0000000000000155</v>
      </c>
      <c r="X1688" s="259">
        <f t="shared" si="2050"/>
        <v>1.5000000000000426</v>
      </c>
      <c r="Y1688" s="259">
        <f t="shared" si="2050"/>
        <v>-65.311885181128815</v>
      </c>
      <c r="Z1688" s="259">
        <f t="shared" si="2050"/>
        <v>18.294475781874169</v>
      </c>
      <c r="AA1688" s="259">
        <f t="shared" si="2050"/>
        <v>79.505125520296957</v>
      </c>
      <c r="AB1688" s="259">
        <f t="shared" si="2050"/>
        <v>29.2430868019039</v>
      </c>
      <c r="AC1688" s="259">
        <f t="shared" si="2050"/>
        <v>105.19655330578702</v>
      </c>
      <c r="AD1688" s="259">
        <f t="shared" si="2050"/>
        <v>68.604597171861514</v>
      </c>
      <c r="AE1688" s="259">
        <f t="shared" si="2050"/>
        <v>411.1900219036346</v>
      </c>
      <c r="AF1688" s="259">
        <f t="shared" si="2050"/>
        <v>152.82744260995864</v>
      </c>
      <c r="AG1688" s="259">
        <f t="shared" si="2050"/>
        <v>365.64008623461882</v>
      </c>
      <c r="AH1688" s="259">
        <f t="shared" si="2050"/>
        <v>63.591187285642917</v>
      </c>
      <c r="AI1688" s="259">
        <f t="shared" si="2050"/>
        <v>98.808502031925599</v>
      </c>
      <c r="AJ1688" s="259">
        <f t="shared" si="2050"/>
        <v>364.85020418292038</v>
      </c>
      <c r="AK1688" s="259">
        <f t="shared" si="2050"/>
        <v>723.66845986924022</v>
      </c>
      <c r="AL1688" s="259">
        <f t="shared" si="2050"/>
        <v>647.50020969226932</v>
      </c>
      <c r="AM1688" s="259">
        <f t="shared" si="2050"/>
        <v>535.34182764827369</v>
      </c>
      <c r="AN1688" s="259"/>
      <c r="AO1688" s="259"/>
      <c r="AP1688" s="259"/>
      <c r="AQ1688" s="259"/>
      <c r="AR1688" s="259"/>
      <c r="AS1688" s="259"/>
      <c r="AT1688" s="2710"/>
    </row>
    <row r="1689" spans="1:46" hidden="1">
      <c r="A1689" s="1"/>
      <c r="B1689" s="1"/>
      <c r="C1689" s="1"/>
      <c r="D1689" s="81" t="s">
        <v>3133</v>
      </c>
      <c r="E1689" s="82"/>
      <c r="F1689" s="82"/>
      <c r="G1689" s="82"/>
      <c r="H1689" s="82"/>
      <c r="I1689" s="89"/>
      <c r="J1689" s="90"/>
      <c r="K1689" s="90"/>
      <c r="L1689" s="90"/>
      <c r="M1689" s="90"/>
      <c r="N1689" s="90"/>
      <c r="O1689" s="90"/>
      <c r="P1689" s="90"/>
      <c r="Q1689" s="90"/>
      <c r="R1689" s="90"/>
      <c r="S1689" s="91"/>
      <c r="T1689" s="90"/>
      <c r="U1689" s="87"/>
      <c r="V1689" s="87"/>
      <c r="W1689" s="87"/>
      <c r="X1689" s="87"/>
      <c r="Y1689" s="254">
        <f t="shared" ref="Y1689:AK1689" si="2051">+Y1690+Y1691</f>
        <v>38.602300000000007</v>
      </c>
      <c r="Z1689" s="254">
        <f t="shared" si="2051"/>
        <v>29.683299999999996</v>
      </c>
      <c r="AA1689" s="254">
        <f t="shared" si="2051"/>
        <v>86.998343921577913</v>
      </c>
      <c r="AB1689" s="254">
        <f t="shared" si="2051"/>
        <v>1.5391121568442756</v>
      </c>
      <c r="AC1689" s="254">
        <f t="shared" si="2051"/>
        <v>99.590099999999865</v>
      </c>
      <c r="AD1689" s="254">
        <f t="shared" si="2051"/>
        <v>56.959999999999951</v>
      </c>
      <c r="AE1689" s="254">
        <f t="shared" si="2051"/>
        <v>182.46279999999996</v>
      </c>
      <c r="AF1689" s="254">
        <f t="shared" si="2051"/>
        <v>88.683799999999948</v>
      </c>
      <c r="AG1689" s="254">
        <f t="shared" si="2051"/>
        <v>162.75593499999985</v>
      </c>
      <c r="AH1689" s="254">
        <f t="shared" si="2051"/>
        <v>194.06760000000014</v>
      </c>
      <c r="AI1689" s="254">
        <f t="shared" si="2051"/>
        <v>120.90009999999992</v>
      </c>
      <c r="AJ1689" s="254">
        <f t="shared" si="2051"/>
        <v>122.90809999999998</v>
      </c>
      <c r="AK1689" s="254">
        <f t="shared" si="2051"/>
        <v>147.1328494301155</v>
      </c>
      <c r="AL1689" s="254">
        <f>+AL1690+AL1691</f>
        <v>296.83574943011541</v>
      </c>
      <c r="AM1689" s="254">
        <f>+AM1690+AM1691</f>
        <v>335.76794530719354</v>
      </c>
      <c r="AN1689" s="254"/>
      <c r="AO1689" s="254"/>
      <c r="AP1689" s="254"/>
      <c r="AQ1689" s="254"/>
      <c r="AR1689" s="254"/>
      <c r="AS1689" s="254"/>
      <c r="AT1689" s="2711"/>
    </row>
    <row r="1690" spans="1:46" hidden="1">
      <c r="A1690" s="1"/>
      <c r="B1690" s="1"/>
      <c r="C1690" s="1"/>
      <c r="D1690" s="88" t="s">
        <v>106</v>
      </c>
      <c r="E1690" s="82"/>
      <c r="F1690" s="82"/>
      <c r="G1690" s="82"/>
      <c r="H1690" s="82"/>
      <c r="I1690" s="89"/>
      <c r="J1690" s="90"/>
      <c r="K1690" s="90"/>
      <c r="L1690" s="90"/>
      <c r="M1690" s="90"/>
      <c r="N1690" s="90"/>
      <c r="O1690" s="90"/>
      <c r="P1690" s="90"/>
      <c r="Q1690" s="90"/>
      <c r="R1690" s="90"/>
      <c r="S1690" s="91"/>
      <c r="T1690" s="90"/>
      <c r="U1690" s="87"/>
      <c r="V1690" s="87"/>
      <c r="W1690" s="87"/>
      <c r="X1690" s="87"/>
      <c r="Y1690" s="546">
        <f>FISCinyear!IC1003</f>
        <v>20.575200000000002</v>
      </c>
      <c r="Z1690" s="546">
        <f>FISCinyear!IF1003</f>
        <v>12.880599999999996</v>
      </c>
      <c r="AA1690" s="546">
        <f>FISCinyear!II1003</f>
        <v>42.454099999999983</v>
      </c>
      <c r="AB1690" s="546">
        <f>FISCinyear!IL1003</f>
        <v>14.192256078422098</v>
      </c>
      <c r="AC1690" s="546">
        <f>FISCinyear!IO1003</f>
        <v>35.90549999999989</v>
      </c>
      <c r="AD1690" s="546">
        <f>FISCinyear!IR1003</f>
        <v>51.732900000000001</v>
      </c>
      <c r="AE1690" s="546">
        <f>FISCinyear!IU1003</f>
        <v>84.88360000000003</v>
      </c>
      <c r="AF1690" s="546">
        <f>FISCinyear!IX1003</f>
        <v>56.695709999999949</v>
      </c>
      <c r="AG1690" s="546">
        <f>FISCinyear!JA1003</f>
        <v>-4.5811000000000632</v>
      </c>
      <c r="AH1690" s="546">
        <f>FISCinyear!JD1003</f>
        <v>85.089600000000132</v>
      </c>
      <c r="AI1690" s="546">
        <f>FISCinyear!JG1003</f>
        <v>9.7720000000000198</v>
      </c>
      <c r="AJ1690" s="546">
        <f>FISCinyear!JJ1003</f>
        <v>-26.794799999999967</v>
      </c>
      <c r="AK1690" s="546">
        <f>FISCinyear!JM1003</f>
        <v>35.210200994384309</v>
      </c>
      <c r="AL1690" s="546">
        <f>FISCinyear!JN1003</f>
        <v>184.91310099438425</v>
      </c>
      <c r="AM1690" s="546">
        <f>FISCinyear!JO1003</f>
        <v>111.92264843573119</v>
      </c>
      <c r="AN1690" s="546"/>
      <c r="AO1690" s="546"/>
      <c r="AP1690" s="546"/>
      <c r="AQ1690" s="546"/>
      <c r="AR1690" s="546"/>
      <c r="AS1690" s="546"/>
      <c r="AT1690" s="2709"/>
    </row>
    <row r="1691" spans="1:46" hidden="1">
      <c r="A1691" s="1"/>
      <c r="B1691" s="1"/>
      <c r="C1691" s="1"/>
      <c r="D1691" s="88" t="s">
        <v>107</v>
      </c>
      <c r="E1691" s="82"/>
      <c r="F1691" s="82"/>
      <c r="G1691" s="82"/>
      <c r="H1691" s="82"/>
      <c r="I1691" s="89"/>
      <c r="J1691" s="90"/>
      <c r="K1691" s="90"/>
      <c r="L1691" s="90"/>
      <c r="M1691" s="90"/>
      <c r="N1691" s="90"/>
      <c r="O1691" s="90"/>
      <c r="P1691" s="90"/>
      <c r="Q1691" s="90"/>
      <c r="R1691" s="90"/>
      <c r="S1691" s="91"/>
      <c r="T1691" s="90"/>
      <c r="U1691" s="87"/>
      <c r="V1691" s="87"/>
      <c r="W1691" s="87"/>
      <c r="X1691" s="87"/>
      <c r="Y1691" s="546">
        <f>FISCinyear!IE1003</f>
        <v>18.027100000000004</v>
      </c>
      <c r="Z1691" s="1040">
        <f>FISCinyear!IH1003</f>
        <v>16.802700000000002</v>
      </c>
      <c r="AA1691" s="1040">
        <f>FISCinyear!IK1003</f>
        <v>44.544243921577923</v>
      </c>
      <c r="AB1691" s="546">
        <f>FISCinyear!IN1003</f>
        <v>-12.653143921577822</v>
      </c>
      <c r="AC1691" s="546">
        <f>FISCinyear!IQ1003</f>
        <v>63.684599999999975</v>
      </c>
      <c r="AD1691" s="546">
        <f>FISCinyear!IT1003</f>
        <v>5.2270999999999503</v>
      </c>
      <c r="AE1691" s="546">
        <f>FISCinyear!IW1003</f>
        <v>97.579199999999943</v>
      </c>
      <c r="AF1691" s="546">
        <f>FISCinyear!IZ1003</f>
        <v>31.98809</v>
      </c>
      <c r="AG1691" s="546">
        <f>FISCinyear!JC1003</f>
        <v>167.33703499999993</v>
      </c>
      <c r="AH1691" s="546">
        <f>FISCinyear!JF1003</f>
        <v>108.97799999999999</v>
      </c>
      <c r="AI1691" s="546">
        <f>FISCinyear!JI1003</f>
        <v>111.1280999999999</v>
      </c>
      <c r="AJ1691" s="546">
        <f>FISCinyear!JL1003</f>
        <v>149.70289999999994</v>
      </c>
      <c r="AK1691" s="546">
        <f>FISCinyear!JO1003</f>
        <v>111.92264843573119</v>
      </c>
      <c r="AL1691" s="546">
        <f>FISCinyear!JP1003</f>
        <v>111.92264843573116</v>
      </c>
      <c r="AM1691" s="546">
        <f>FISCinyear!JQ1003</f>
        <v>223.84529687146235</v>
      </c>
      <c r="AN1691" s="546"/>
      <c r="AO1691" s="546"/>
      <c r="AP1691" s="546"/>
      <c r="AQ1691" s="546"/>
      <c r="AR1691" s="546"/>
      <c r="AS1691" s="546"/>
      <c r="AT1691" s="2709"/>
    </row>
    <row r="1692" spans="1:46" hidden="1">
      <c r="A1692" s="1"/>
      <c r="B1692" s="1"/>
      <c r="C1692" s="1"/>
      <c r="D1692" s="543" t="s">
        <v>3132</v>
      </c>
      <c r="E1692" s="82"/>
      <c r="F1692" s="82"/>
      <c r="G1692" s="82"/>
      <c r="H1692" s="82"/>
      <c r="I1692" s="89"/>
      <c r="J1692" s="90"/>
      <c r="K1692" s="90"/>
      <c r="L1692" s="90"/>
      <c r="M1692" s="90"/>
      <c r="N1692" s="90"/>
      <c r="O1692" s="90"/>
      <c r="P1692" s="90"/>
      <c r="Q1692" s="90"/>
      <c r="R1692" s="90"/>
      <c r="S1692" s="91"/>
      <c r="T1692" s="90"/>
      <c r="U1692" s="87"/>
      <c r="V1692" s="87"/>
      <c r="W1692" s="87"/>
      <c r="X1692" s="87"/>
      <c r="Y1692" s="259">
        <f t="shared" ref="Y1692:AM1692" si="2052">Y1329</f>
        <v>-11.653900000000029</v>
      </c>
      <c r="Z1692" s="259">
        <f t="shared" si="2052"/>
        <v>30.907699999999998</v>
      </c>
      <c r="AA1692" s="259">
        <f t="shared" si="2052"/>
        <v>59.256799999999984</v>
      </c>
      <c r="AB1692" s="259">
        <f t="shared" si="2052"/>
        <v>58.736500000000021</v>
      </c>
      <c r="AC1692" s="259">
        <f t="shared" si="2052"/>
        <v>23.252356078422068</v>
      </c>
      <c r="AD1692" s="259">
        <f t="shared" si="2052"/>
        <v>115.41749999999998</v>
      </c>
      <c r="AE1692" s="259">
        <f t="shared" si="2052"/>
        <v>90.11069999999998</v>
      </c>
      <c r="AF1692" s="259">
        <f t="shared" si="2052"/>
        <v>154.27490999999989</v>
      </c>
      <c r="AG1692" s="259">
        <f t="shared" si="2052"/>
        <v>27.406989999999936</v>
      </c>
      <c r="AH1692" s="259">
        <f t="shared" si="2052"/>
        <v>252.42663500000006</v>
      </c>
      <c r="AI1692" s="259">
        <f t="shared" si="2052"/>
        <v>118.75000000000001</v>
      </c>
      <c r="AJ1692" s="259">
        <f t="shared" si="2052"/>
        <v>84.333299999999937</v>
      </c>
      <c r="AK1692" s="259">
        <f t="shared" si="2052"/>
        <v>184.91310099438425</v>
      </c>
      <c r="AL1692" s="259">
        <f t="shared" si="2052"/>
        <v>223.84529687146235</v>
      </c>
      <c r="AM1692" s="259">
        <f t="shared" si="2052"/>
        <v>316.39468225054674</v>
      </c>
      <c r="AN1692" s="259"/>
      <c r="AO1692" s="259"/>
      <c r="AP1692" s="259"/>
      <c r="AQ1692" s="259"/>
      <c r="AR1692" s="259"/>
      <c r="AS1692" s="259"/>
      <c r="AT1692" s="2710"/>
    </row>
    <row r="1693" spans="1:46" hidden="1">
      <c r="A1693" s="1"/>
      <c r="B1693" s="1"/>
      <c r="C1693" s="1"/>
      <c r="D1693" s="545" t="s">
        <v>3129</v>
      </c>
      <c r="E1693" s="250"/>
      <c r="F1693" s="250"/>
      <c r="G1693" s="250"/>
      <c r="H1693" s="250"/>
      <c r="I1693" s="251"/>
      <c r="J1693" s="252"/>
      <c r="K1693" s="252"/>
      <c r="L1693" s="252"/>
      <c r="M1693" s="252"/>
      <c r="N1693" s="252"/>
      <c r="O1693" s="252"/>
      <c r="P1693" s="252"/>
      <c r="Q1693" s="252"/>
      <c r="R1693" s="252"/>
      <c r="S1693" s="253"/>
      <c r="T1693" s="252"/>
      <c r="U1693" s="263"/>
      <c r="V1693" s="263"/>
      <c r="W1693" s="263"/>
      <c r="X1693" s="263"/>
      <c r="Y1693" s="263"/>
      <c r="Z1693" s="254">
        <f>+Z1694+Z1695</f>
        <v>110.1198</v>
      </c>
      <c r="AA1693" s="254">
        <f t="shared" ref="AA1693:AK1693" si="2053">+AA1694+AA1695</f>
        <v>68.842742365996457</v>
      </c>
      <c r="AB1693" s="254">
        <f>+AB1694+AB1695</f>
        <v>108.94586832442576</v>
      </c>
      <c r="AC1693" s="254">
        <f>+AC1694+AC1695</f>
        <v>70.084645387999842</v>
      </c>
      <c r="AD1693" s="254">
        <f t="shared" si="2053"/>
        <v>201.87969999999993</v>
      </c>
      <c r="AE1693" s="254">
        <f t="shared" si="2053"/>
        <v>379.82150000000001</v>
      </c>
      <c r="AF1693" s="254">
        <f t="shared" si="2053"/>
        <v>199.13878500000004</v>
      </c>
      <c r="AG1693" s="254">
        <f t="shared" si="2053"/>
        <v>392.94913499999996</v>
      </c>
      <c r="AH1693" s="254">
        <f t="shared" si="2053"/>
        <v>244.04310000000015</v>
      </c>
      <c r="AI1693" s="254">
        <f t="shared" si="2053"/>
        <v>310.24409999999989</v>
      </c>
      <c r="AJ1693" s="254">
        <f t="shared" si="2053"/>
        <v>172.8827</v>
      </c>
      <c r="AK1693" s="254">
        <f t="shared" si="2053"/>
        <v>656.81507283462963</v>
      </c>
      <c r="AL1693" s="254">
        <f>+AL1694+AL1695</f>
        <v>162.39256294651642</v>
      </c>
      <c r="AM1693" s="254">
        <f>+AM1694+AM1695</f>
        <v>966.40641626502224</v>
      </c>
      <c r="AN1693" s="254"/>
      <c r="AO1693" s="254"/>
      <c r="AP1693" s="254"/>
      <c r="AQ1693" s="254"/>
      <c r="AR1693" s="254"/>
      <c r="AS1693" s="254"/>
      <c r="AT1693" s="2711"/>
    </row>
    <row r="1694" spans="1:46" hidden="1">
      <c r="A1694" s="1"/>
      <c r="B1694" s="1"/>
      <c r="C1694" s="1"/>
      <c r="D1694" s="88" t="s">
        <v>106</v>
      </c>
      <c r="E1694" s="82"/>
      <c r="F1694" s="82"/>
      <c r="G1694" s="82"/>
      <c r="H1694" s="82"/>
      <c r="I1694" s="89"/>
      <c r="J1694" s="90"/>
      <c r="K1694" s="90"/>
      <c r="L1694" s="90"/>
      <c r="M1694" s="90"/>
      <c r="N1694" s="90"/>
      <c r="O1694" s="90"/>
      <c r="P1694" s="90"/>
      <c r="Q1694" s="90"/>
      <c r="R1694" s="90"/>
      <c r="S1694" s="91"/>
      <c r="T1694" s="90"/>
      <c r="U1694" s="94"/>
      <c r="V1694" s="94"/>
      <c r="W1694" s="94"/>
      <c r="X1694" s="94"/>
      <c r="Y1694" s="546">
        <f>FISCinyear!IC993</f>
        <v>24.990999999999993</v>
      </c>
      <c r="Z1694" s="546">
        <f>FISCinyear!IF993</f>
        <v>73.578599999999994</v>
      </c>
      <c r="AA1694" s="546">
        <f>FISCinyear!II993</f>
        <v>55.127499999999984</v>
      </c>
      <c r="AB1694" s="546">
        <f>FISCinyear!IL993</f>
        <v>42.354757634003555</v>
      </c>
      <c r="AC1694" s="546">
        <f>FISCinyear!IO993</f>
        <v>19.927145387999872</v>
      </c>
      <c r="AD1694" s="546">
        <f>FISCinyear!IR993</f>
        <v>155.33709999999996</v>
      </c>
      <c r="AE1694" s="546">
        <f>FISCinyear!IU993</f>
        <v>224.8456000000001</v>
      </c>
      <c r="AF1694" s="546">
        <f>FISCinyear!IX993</f>
        <v>122.28672999999996</v>
      </c>
      <c r="AG1694" s="546">
        <f>FISCinyear!JA993</f>
        <v>146.95281499999999</v>
      </c>
      <c r="AH1694" s="546">
        <f>FISCinyear!JD993</f>
        <v>48.633000000000152</v>
      </c>
      <c r="AI1694" s="546">
        <f>FISCinyear!JG993</f>
        <v>-40.92259999999996</v>
      </c>
      <c r="AJ1694" s="546">
        <f>FISCinyear!JJ993</f>
        <v>-146.08489999999989</v>
      </c>
      <c r="AK1694" s="546">
        <f>FISCinyear!JM993</f>
        <v>89.831462208982217</v>
      </c>
      <c r="AL1694" s="546">
        <f>FISCinyear!JN993</f>
        <v>329.95336793278915</v>
      </c>
      <c r="AM1694" s="546">
        <f>FISCinyear!JO993</f>
        <v>566.98361062564743</v>
      </c>
      <c r="AN1694" s="546"/>
      <c r="AO1694" s="546"/>
      <c r="AP1694" s="546"/>
      <c r="AQ1694" s="546"/>
      <c r="AR1694" s="546"/>
      <c r="AS1694" s="546"/>
      <c r="AT1694" s="2709"/>
    </row>
    <row r="1695" spans="1:46" hidden="1">
      <c r="A1695" s="1"/>
      <c r="B1695" s="1"/>
      <c r="C1695" s="1"/>
      <c r="D1695" s="88" t="s">
        <v>107</v>
      </c>
      <c r="E1695" s="82"/>
      <c r="F1695" s="82"/>
      <c r="G1695" s="82"/>
      <c r="H1695" s="82"/>
      <c r="I1695" s="89"/>
      <c r="J1695" s="90"/>
      <c r="K1695" s="90"/>
      <c r="L1695" s="90"/>
      <c r="M1695" s="90"/>
      <c r="N1695" s="90"/>
      <c r="O1695" s="90"/>
      <c r="P1695" s="90"/>
      <c r="Q1695" s="90"/>
      <c r="R1695" s="90"/>
      <c r="S1695" s="91"/>
      <c r="T1695" s="90"/>
      <c r="U1695" s="94"/>
      <c r="V1695" s="94"/>
      <c r="W1695" s="94"/>
      <c r="X1695" s="546">
        <f>FISCinyear!IB993</f>
        <v>10.375399999999974</v>
      </c>
      <c r="Y1695" s="546">
        <f>FISCinyear!IE993</f>
        <v>37.426400000000015</v>
      </c>
      <c r="Z1695" s="546">
        <f>FISCinyear!IH993</f>
        <v>36.541199999999996</v>
      </c>
      <c r="AA1695" s="546">
        <f>FISCinyear!IK993</f>
        <v>13.715242365996481</v>
      </c>
      <c r="AB1695" s="546">
        <f>FISCinyear!IN993</f>
        <v>66.591110690422198</v>
      </c>
      <c r="AC1695" s="546">
        <f>FISCinyear!IQ993</f>
        <v>50.15749999999997</v>
      </c>
      <c r="AD1695" s="546">
        <f>FISCinyear!IT993</f>
        <v>46.542599999999965</v>
      </c>
      <c r="AE1695" s="546">
        <f>FISCinyear!IW993</f>
        <v>154.97589999999991</v>
      </c>
      <c r="AF1695" s="546">
        <f>FISCinyear!IZ993</f>
        <v>76.852055000000064</v>
      </c>
      <c r="AG1695" s="546">
        <f>FISCinyear!JC993</f>
        <v>245.99631999999994</v>
      </c>
      <c r="AH1695" s="546">
        <f>FISCinyear!JF993</f>
        <v>195.4101</v>
      </c>
      <c r="AI1695" s="546">
        <f>FISCinyear!JI993</f>
        <v>351.16669999999988</v>
      </c>
      <c r="AJ1695" s="546">
        <f>FISCinyear!JL993</f>
        <v>318.96759999999989</v>
      </c>
      <c r="AK1695" s="546">
        <f>FISCinyear!JO993</f>
        <v>566.98361062564743</v>
      </c>
      <c r="AL1695" s="546">
        <f>FISCinyear!JP993</f>
        <v>-167.56080498627273</v>
      </c>
      <c r="AM1695" s="546">
        <f>FISCinyear!JQ993</f>
        <v>399.42280563937487</v>
      </c>
      <c r="AN1695" s="546"/>
      <c r="AO1695" s="546"/>
      <c r="AP1695" s="546"/>
      <c r="AQ1695" s="546"/>
      <c r="AR1695" s="546"/>
      <c r="AS1695" s="546"/>
      <c r="AT1695" s="2709"/>
    </row>
    <row r="1696" spans="1:46" hidden="1">
      <c r="A1696" s="1"/>
      <c r="B1696" s="1"/>
      <c r="C1696" s="1"/>
      <c r="D1696" s="543" t="s">
        <v>3131</v>
      </c>
      <c r="E1696" s="82"/>
      <c r="F1696" s="82"/>
      <c r="G1696" s="82"/>
      <c r="H1696" s="82"/>
      <c r="I1696" s="89"/>
      <c r="J1696" s="90"/>
      <c r="K1696" s="90"/>
      <c r="L1696" s="90"/>
      <c r="M1696" s="90"/>
      <c r="N1696" s="90"/>
      <c r="O1696" s="90"/>
      <c r="P1696" s="90"/>
      <c r="Q1696" s="90"/>
      <c r="R1696" s="90"/>
      <c r="S1696" s="91"/>
      <c r="T1696" s="90"/>
      <c r="U1696" s="255"/>
      <c r="V1696" s="255"/>
      <c r="W1696" s="255"/>
      <c r="X1696" s="259">
        <f t="shared" ref="X1696:AM1696" si="2054">X1319</f>
        <v>-216.29712944561442</v>
      </c>
      <c r="Y1696" s="259">
        <f t="shared" si="2054"/>
        <v>35.36639999999997</v>
      </c>
      <c r="Z1696" s="259">
        <f t="shared" si="2054"/>
        <v>111.00500000000001</v>
      </c>
      <c r="AA1696" s="259">
        <f t="shared" si="2054"/>
        <v>91.668699999999973</v>
      </c>
      <c r="AB1696" s="259">
        <f t="shared" si="2054"/>
        <v>56.070000000000036</v>
      </c>
      <c r="AC1696" s="259">
        <f t="shared" si="2054"/>
        <v>86.51825607842207</v>
      </c>
      <c r="AD1696" s="259">
        <f t="shared" si="2054"/>
        <v>205.49459999999993</v>
      </c>
      <c r="AE1696" s="259">
        <f t="shared" si="2054"/>
        <v>271.3882000000001</v>
      </c>
      <c r="AF1696" s="259">
        <f t="shared" si="2054"/>
        <v>277.26262999999989</v>
      </c>
      <c r="AG1696" s="259">
        <f t="shared" si="2054"/>
        <v>223.80487000000005</v>
      </c>
      <c r="AH1696" s="259">
        <f t="shared" si="2054"/>
        <v>294.62932000000012</v>
      </c>
      <c r="AI1696" s="259">
        <f t="shared" si="2054"/>
        <v>154.48750000000004</v>
      </c>
      <c r="AJ1696" s="259">
        <f t="shared" si="2054"/>
        <v>205.08179999999999</v>
      </c>
      <c r="AK1696" s="259">
        <f t="shared" si="2054"/>
        <v>329.95336793278915</v>
      </c>
      <c r="AL1696" s="259">
        <f t="shared" si="2054"/>
        <v>399.42280563937487</v>
      </c>
      <c r="AM1696" s="259">
        <f t="shared" si="2054"/>
        <v>564.56514137288207</v>
      </c>
      <c r="AN1696" s="259"/>
      <c r="AO1696" s="259"/>
      <c r="AP1696" s="259"/>
      <c r="AQ1696" s="259"/>
      <c r="AR1696" s="259"/>
      <c r="AS1696" s="259"/>
      <c r="AT1696" s="2710"/>
    </row>
    <row r="1697" spans="1:46" hidden="1">
      <c r="A1697" s="1"/>
      <c r="B1697" s="1"/>
      <c r="C1697" s="1"/>
      <c r="D1697" s="249" t="s">
        <v>3136</v>
      </c>
      <c r="E1697" s="250"/>
      <c r="F1697" s="250"/>
      <c r="G1697" s="250"/>
      <c r="H1697" s="250"/>
      <c r="I1697" s="251"/>
      <c r="J1697" s="252"/>
      <c r="K1697" s="252"/>
      <c r="L1697" s="252"/>
      <c r="M1697" s="252"/>
      <c r="N1697" s="252"/>
      <c r="O1697" s="252"/>
      <c r="P1697" s="252"/>
      <c r="Q1697" s="252"/>
      <c r="R1697" s="252"/>
      <c r="S1697" s="253"/>
      <c r="T1697" s="252"/>
      <c r="U1697" s="252"/>
      <c r="V1697" s="254"/>
      <c r="W1697" s="254"/>
      <c r="X1697" s="254">
        <f>+X280-W280</f>
        <v>0</v>
      </c>
      <c r="Y1697" s="254">
        <f t="shared" ref="Y1697:AK1697" si="2055">+Y1698+Y1699</f>
        <v>-114.46077778072018</v>
      </c>
      <c r="Z1697" s="254">
        <f t="shared" si="2055"/>
        <v>12.956570700484306</v>
      </c>
      <c r="AA1697" s="254">
        <f t="shared" si="2055"/>
        <v>-4.4331474191104121</v>
      </c>
      <c r="AB1697" s="254">
        <f t="shared" si="2055"/>
        <v>50.497794455004794</v>
      </c>
      <c r="AC1697" s="254">
        <f t="shared" si="2055"/>
        <v>73.255690738601572</v>
      </c>
      <c r="AD1697" s="603">
        <f>+AD1698+AD1699</f>
        <v>70.452174275622326</v>
      </c>
      <c r="AE1697" s="603">
        <f>+AE1698+AE1699</f>
        <v>419.61410910720497</v>
      </c>
      <c r="AF1697" s="603">
        <f t="shared" si="2055"/>
        <v>-55.15872858776126</v>
      </c>
      <c r="AG1697" s="603">
        <f t="shared" si="2055"/>
        <v>-70.275305601218292</v>
      </c>
      <c r="AH1697" s="603">
        <f>+AH1698+AH1699</f>
        <v>217.79729290165847</v>
      </c>
      <c r="AI1697" s="603">
        <f t="shared" si="2055"/>
        <v>508.57318111412997</v>
      </c>
      <c r="AJ1697" s="603">
        <f t="shared" si="2055"/>
        <v>-306.22363300849543</v>
      </c>
      <c r="AK1697" s="603">
        <f t="shared" si="2055"/>
        <v>138.20343089381316</v>
      </c>
      <c r="AL1697" s="603">
        <f>+AL1698+AL1699</f>
        <v>204.28343494124817</v>
      </c>
      <c r="AM1697" s="603">
        <f>+AM1698+AM1699</f>
        <v>216.3702805391344</v>
      </c>
      <c r="AN1697" s="603"/>
      <c r="AO1697" s="603"/>
      <c r="AP1697" s="603"/>
      <c r="AQ1697" s="603"/>
      <c r="AR1697" s="603"/>
      <c r="AS1697" s="603"/>
      <c r="AT1697" s="2712"/>
    </row>
    <row r="1698" spans="1:46" hidden="1">
      <c r="A1698" s="1"/>
      <c r="B1698" s="1"/>
      <c r="C1698" s="1"/>
      <c r="D1698" s="93" t="str">
        <f>+D1686</f>
        <v xml:space="preserve">     Jan-June </v>
      </c>
      <c r="E1698" s="82" t="s">
        <v>726</v>
      </c>
      <c r="F1698" s="82"/>
      <c r="G1698" s="82"/>
      <c r="H1698" s="82"/>
      <c r="I1698" s="89"/>
      <c r="J1698" s="90"/>
      <c r="K1698" s="90"/>
      <c r="L1698" s="90"/>
      <c r="M1698" s="90"/>
      <c r="N1698" s="90"/>
      <c r="O1698" s="90"/>
      <c r="P1698" s="90"/>
      <c r="Q1698" s="90"/>
      <c r="R1698" s="90"/>
      <c r="S1698" s="91"/>
      <c r="T1698" s="90"/>
      <c r="U1698" s="90"/>
      <c r="V1698" s="558" t="s">
        <v>738</v>
      </c>
      <c r="W1698" s="90"/>
      <c r="X1698" s="539">
        <f>+X281-W280</f>
        <v>0</v>
      </c>
      <c r="Y1698" s="539">
        <f>FISCinyear!IC950</f>
        <v>-158.07500854512884</v>
      </c>
      <c r="Z1698" s="539">
        <f>FISCinyear!IF950</f>
        <v>-89.000857572534485</v>
      </c>
      <c r="AA1698" s="262">
        <f>FISCinyear!II950</f>
        <v>-72.801024424721845</v>
      </c>
      <c r="AB1698" s="261">
        <f>FISCinyear!IL950</f>
        <v>-65.562923813707528</v>
      </c>
      <c r="AC1698" s="261">
        <f>FISCinyear!IO950</f>
        <v>-67.874385685925319</v>
      </c>
      <c r="AD1698" s="641">
        <f>FISCinyear!IR950</f>
        <v>-102.49423698466535</v>
      </c>
      <c r="AE1698" s="641">
        <f>FISCinyear!IU950</f>
        <v>134.59604671134696</v>
      </c>
      <c r="AF1698" s="641">
        <f>FISCinyear!IX950+44.6237355240128</f>
        <v>-197.23030586888657</v>
      </c>
      <c r="AG1698" s="641">
        <f>FISCinyear!JA950</f>
        <v>66.637973986493535</v>
      </c>
      <c r="AH1698" s="641">
        <f>FISCinyear!JD950</f>
        <v>59.069300245384738</v>
      </c>
      <c r="AI1698" s="641">
        <f>FISCinyear!JG950</f>
        <v>-171.32533494334814</v>
      </c>
      <c r="AJ1698" s="641">
        <f>FISCinyear!JJ950</f>
        <v>-479.00498640246383</v>
      </c>
      <c r="AK1698" s="641">
        <f>FISCinyear!JM950</f>
        <v>66.080004047435011</v>
      </c>
      <c r="AL1698" s="641">
        <f>FISCinyear!JN950</f>
        <v>132.16000809487002</v>
      </c>
      <c r="AM1698" s="641">
        <f>FISCinyear!JO950</f>
        <v>72.123426846378138</v>
      </c>
      <c r="AN1698" s="641"/>
      <c r="AO1698" s="641"/>
      <c r="AP1698" s="641"/>
      <c r="AQ1698" s="641"/>
      <c r="AR1698" s="641"/>
      <c r="AS1698" s="641"/>
      <c r="AT1698" s="2713"/>
    </row>
    <row r="1699" spans="1:46" hidden="1">
      <c r="A1699" s="1"/>
      <c r="B1699" s="1"/>
      <c r="C1699" s="1"/>
      <c r="D1699" s="93" t="str">
        <f>+D1687</f>
        <v xml:space="preserve">     July-Dec </v>
      </c>
      <c r="E1699" s="82"/>
      <c r="F1699" s="82"/>
      <c r="G1699" s="82"/>
      <c r="H1699" s="82"/>
      <c r="I1699" s="94"/>
      <c r="J1699" s="94"/>
      <c r="K1699" s="94"/>
      <c r="L1699" s="94"/>
      <c r="M1699" s="94"/>
      <c r="N1699" s="94"/>
      <c r="O1699" s="94"/>
      <c r="P1699" s="94"/>
      <c r="Q1699" s="94"/>
      <c r="R1699" s="94"/>
      <c r="S1699" s="94"/>
      <c r="T1699" s="94"/>
      <c r="U1699" s="94"/>
      <c r="V1699" s="558" t="s">
        <v>726</v>
      </c>
      <c r="W1699" s="539">
        <f>+W280-W281</f>
        <v>0</v>
      </c>
      <c r="X1699" s="539">
        <f>FISCinyear!IB950</f>
        <v>66.741313923999996</v>
      </c>
      <c r="Y1699" s="539">
        <f>FISCinyear!IE950</f>
        <v>43.61423076440866</v>
      </c>
      <c r="Z1699" s="539">
        <f>FISCinyear!IH950</f>
        <v>101.95742827301879</v>
      </c>
      <c r="AA1699" s="539">
        <f>FISCinyear!IK950</f>
        <v>68.367877005611433</v>
      </c>
      <c r="AB1699" s="262">
        <f>FISCinyear!IN950</f>
        <v>116.06071826871232</v>
      </c>
      <c r="AC1699" s="557">
        <f>FISCinyear!IQ950</f>
        <v>141.13007642452689</v>
      </c>
      <c r="AD1699" s="640">
        <f>FISCinyear!IT950</f>
        <v>172.94641126028768</v>
      </c>
      <c r="AE1699" s="640">
        <f>FISCinyear!IW950</f>
        <v>285.01806239585801</v>
      </c>
      <c r="AF1699" s="640">
        <f>FISCinyear!IZ950</f>
        <v>142.07157728112531</v>
      </c>
      <c r="AG1699" s="640">
        <f>FISCinyear!JC950</f>
        <v>-136.91327958771183</v>
      </c>
      <c r="AH1699" s="640">
        <f>FISCinyear!JF950</f>
        <v>158.72799265627373</v>
      </c>
      <c r="AI1699" s="640">
        <f>FISCinyear!JI950</f>
        <v>679.8985160574781</v>
      </c>
      <c r="AJ1699" s="640">
        <f>FISCinyear!JL950</f>
        <v>172.7813533939684</v>
      </c>
      <c r="AK1699" s="640">
        <f>FISCinyear!JO950</f>
        <v>72.123426846378138</v>
      </c>
      <c r="AL1699" s="640">
        <f>FISCinyear!JP950</f>
        <v>72.123426846378138</v>
      </c>
      <c r="AM1699" s="640">
        <f>FISCinyear!JQ950</f>
        <v>144.24685369275628</v>
      </c>
      <c r="AN1699" s="640"/>
      <c r="AO1699" s="640"/>
      <c r="AP1699" s="640"/>
      <c r="AQ1699" s="640"/>
      <c r="AR1699" s="640"/>
      <c r="AS1699" s="640"/>
      <c r="AT1699" s="640"/>
    </row>
    <row r="1700" spans="1:46" hidden="1">
      <c r="A1700" s="1"/>
      <c r="B1700" s="1"/>
      <c r="C1700" s="1"/>
      <c r="D1700" s="544" t="s">
        <v>3129</v>
      </c>
      <c r="E1700" s="95"/>
      <c r="F1700" s="95"/>
      <c r="G1700" s="95"/>
      <c r="H1700" s="95"/>
      <c r="I1700" s="255"/>
      <c r="J1700" s="255"/>
      <c r="K1700" s="255"/>
      <c r="L1700" s="255"/>
      <c r="M1700" s="255"/>
      <c r="N1700" s="255"/>
      <c r="O1700" s="255"/>
      <c r="P1700" s="255"/>
      <c r="Q1700" s="255"/>
      <c r="R1700" s="255"/>
      <c r="S1700" s="255"/>
      <c r="T1700" s="255"/>
      <c r="U1700" s="259">
        <f>+U901</f>
        <v>8.4</v>
      </c>
      <c r="V1700" s="259">
        <f>+V901</f>
        <v>77.599999999999994</v>
      </c>
      <c r="W1700" s="260">
        <f>+W901</f>
        <v>-15.4</v>
      </c>
      <c r="X1700" s="259">
        <f t="shared" ref="X1700:AM1700" si="2056">+X1271</f>
        <v>111.70000000000006</v>
      </c>
      <c r="Y1700" s="259">
        <f t="shared" si="2056"/>
        <v>-91.333694621128842</v>
      </c>
      <c r="Z1700" s="259">
        <f t="shared" si="2056"/>
        <v>-45.386626808125826</v>
      </c>
      <c r="AA1700" s="259">
        <f t="shared" si="2056"/>
        <v>29.156403848296947</v>
      </c>
      <c r="AB1700" s="259">
        <f t="shared" si="2056"/>
        <v>2.8049531919039055</v>
      </c>
      <c r="AC1700" s="259">
        <f t="shared" si="2056"/>
        <v>48.186332582787003</v>
      </c>
      <c r="AD1700" s="259">
        <f t="shared" si="2056"/>
        <v>38.635839439861542</v>
      </c>
      <c r="AE1700" s="259">
        <f t="shared" si="2056"/>
        <v>307.54245797163463</v>
      </c>
      <c r="AF1700" s="259">
        <f t="shared" si="2056"/>
        <v>43.164021002958634</v>
      </c>
      <c r="AG1700" s="259">
        <f t="shared" si="2056"/>
        <v>208.70955126761885</v>
      </c>
      <c r="AH1700" s="259">
        <f t="shared" si="2056"/>
        <v>-77.843979342327088</v>
      </c>
      <c r="AI1700" s="259">
        <f t="shared" si="2056"/>
        <v>-12.597342287074412</v>
      </c>
      <c r="AJ1700" s="259">
        <f t="shared" si="2056"/>
        <v>200.89352965501428</v>
      </c>
      <c r="AK1700" s="259">
        <f t="shared" si="2056"/>
        <v>132.16000809487002</v>
      </c>
      <c r="AL1700" s="259">
        <f t="shared" si="2056"/>
        <v>144.24685369275628</v>
      </c>
      <c r="AM1700" s="259">
        <f t="shared" si="2056"/>
        <v>129.98773308783692</v>
      </c>
      <c r="AN1700" s="259"/>
      <c r="AO1700" s="259"/>
      <c r="AP1700" s="259"/>
      <c r="AQ1700" s="259"/>
      <c r="AR1700" s="259"/>
      <c r="AS1700" s="259"/>
      <c r="AT1700" s="2710"/>
    </row>
    <row r="1701" spans="1:46" hidden="1">
      <c r="A1701" s="1"/>
      <c r="B1701" s="1"/>
      <c r="C1701" s="1"/>
      <c r="D1701" s="92" t="s">
        <v>328</v>
      </c>
      <c r="E1701" s="248" t="s">
        <v>327</v>
      </c>
      <c r="F1701" s="82"/>
      <c r="G1701" s="82"/>
      <c r="H1701" s="82"/>
      <c r="I1701" s="94"/>
      <c r="J1701" s="94"/>
      <c r="K1701" s="94"/>
      <c r="L1701" s="94"/>
      <c r="M1701" s="94"/>
      <c r="N1701" s="94"/>
      <c r="O1701" s="94"/>
      <c r="P1701" s="94"/>
      <c r="Q1701" s="94"/>
      <c r="R1701" s="94"/>
      <c r="S1701" s="94"/>
      <c r="T1701" s="94"/>
      <c r="U1701" s="94"/>
      <c r="V1701" s="94"/>
      <c r="W1701" s="540">
        <f t="shared" ref="W1701:AE1701" si="2057">+W1702+W1703</f>
        <v>-75.261299999999935</v>
      </c>
      <c r="X1701" s="540">
        <f t="shared" si="2057"/>
        <v>50.19999999999996</v>
      </c>
      <c r="Y1701" s="686">
        <f t="shared" si="2057"/>
        <v>-166.14594999999997</v>
      </c>
      <c r="Z1701" s="1023">
        <f t="shared" si="2057"/>
        <v>-60.654050000000012</v>
      </c>
      <c r="AA1701" s="1024">
        <f t="shared" si="2057"/>
        <v>13.445166714427586</v>
      </c>
      <c r="AB1701" s="247">
        <f t="shared" si="2057"/>
        <v>-108.27439894684417</v>
      </c>
      <c r="AC1701" s="247">
        <f t="shared" si="2057"/>
        <v>-160.95919266345936</v>
      </c>
      <c r="AD1701" s="247" t="e">
        <f t="shared" si="2057"/>
        <v>#REF!</v>
      </c>
      <c r="AE1701" s="247" t="e">
        <f t="shared" si="2057"/>
        <v>#REF!</v>
      </c>
      <c r="AF1701" s="247">
        <f t="shared" ref="AF1701:AK1701" si="2058">+AF1702+AF1703</f>
        <v>0</v>
      </c>
      <c r="AG1701" s="247">
        <f>+AG1702+AG1703</f>
        <v>21.283423298999999</v>
      </c>
      <c r="AH1701" s="247">
        <f t="shared" si="2058"/>
        <v>44.269863409999999</v>
      </c>
      <c r="AI1701" s="247">
        <f t="shared" si="2058"/>
        <v>53.127828779000012</v>
      </c>
      <c r="AJ1701" s="247">
        <f t="shared" si="2058"/>
        <v>62.778802988370003</v>
      </c>
      <c r="AK1701" s="247">
        <f t="shared" si="2058"/>
        <v>56.651824238780051</v>
      </c>
      <c r="AL1701" s="247">
        <f>+AL1702+AL1703</f>
        <v>65.991395082942006</v>
      </c>
      <c r="AM1701" s="247">
        <f>+AM1702+AM1703</f>
        <v>111.47284499871937</v>
      </c>
      <c r="AN1701" s="247"/>
      <c r="AO1701" s="247"/>
      <c r="AP1701" s="247"/>
      <c r="AQ1701" s="247"/>
      <c r="AR1701" s="247"/>
      <c r="AS1701" s="247"/>
      <c r="AT1701" s="247"/>
    </row>
    <row r="1702" spans="1:46" hidden="1">
      <c r="A1702" s="1"/>
      <c r="B1702" s="1"/>
      <c r="C1702" s="1"/>
      <c r="D1702" s="93" t="str">
        <f>+D1698</f>
        <v xml:space="preserve">     Jan-June </v>
      </c>
      <c r="E1702" s="248" t="s">
        <v>329</v>
      </c>
      <c r="F1702" s="82"/>
      <c r="G1702" s="82"/>
      <c r="H1702" s="82"/>
      <c r="I1702" s="94"/>
      <c r="J1702" s="94"/>
      <c r="K1702" s="94"/>
      <c r="L1702" s="94"/>
      <c r="M1702" s="94"/>
      <c r="N1702" s="94"/>
      <c r="O1702" s="94"/>
      <c r="P1702" s="94"/>
      <c r="Q1702" s="94"/>
      <c r="R1702" s="94"/>
      <c r="S1702" s="94"/>
      <c r="T1702" s="94"/>
      <c r="U1702" s="94"/>
      <c r="V1702" s="558" t="s">
        <v>738</v>
      </c>
      <c r="W1702" s="539">
        <f>+-(W283-V282)</f>
        <v>-160.06129999999996</v>
      </c>
      <c r="X1702" s="539">
        <f>+-(X283-W282)</f>
        <v>26.900000000000034</v>
      </c>
      <c r="Y1702" s="539">
        <f>+-(Y283-X282)</f>
        <v>-169.04520362714757</v>
      </c>
      <c r="Z1702" s="539">
        <f>+-(Z283-Y282)+0.4</f>
        <v>-145.75405000000001</v>
      </c>
      <c r="AA1702" s="539">
        <f>+-(AA283-Z282)+5.1-0.6</f>
        <v>-80.300000000000011</v>
      </c>
      <c r="AB1702" s="539">
        <f>+-(AB283-AA282)+41.6</f>
        <v>-75.150906305344165</v>
      </c>
      <c r="AC1702" s="269">
        <f t="shared" ref="AC1702:AM1702" si="2059">+AC1704-AB1703</f>
        <v>28.889960064499991</v>
      </c>
      <c r="AD1702" s="269">
        <f t="shared" si="2059"/>
        <v>165.85108577595935</v>
      </c>
      <c r="AE1702" s="269" t="e">
        <f t="shared" si="2059"/>
        <v>#REF!</v>
      </c>
      <c r="AF1702" s="269">
        <f t="shared" si="2059"/>
        <v>0</v>
      </c>
      <c r="AG1702" s="269">
        <f t="shared" si="2059"/>
        <v>0</v>
      </c>
      <c r="AH1702" s="269">
        <f t="shared" si="2059"/>
        <v>21.363942047999998</v>
      </c>
      <c r="AI1702" s="269">
        <f t="shared" si="2059"/>
        <v>25.729018944000007</v>
      </c>
      <c r="AJ1702" s="269">
        <f t="shared" si="2059"/>
        <v>28.266564211000002</v>
      </c>
      <c r="AK1702" s="269">
        <f t="shared" si="2059"/>
        <v>23.656126697309048</v>
      </c>
      <c r="AL1702" s="269">
        <f t="shared" si="2059"/>
        <v>32.995697541471003</v>
      </c>
      <c r="AM1702" s="269">
        <f t="shared" si="2059"/>
        <v>45.481449915777361</v>
      </c>
      <c r="AN1702" s="269"/>
      <c r="AO1702" s="269"/>
      <c r="AP1702" s="269"/>
      <c r="AQ1702" s="269"/>
      <c r="AR1702" s="269"/>
      <c r="AS1702" s="269"/>
      <c r="AT1702" s="269"/>
    </row>
    <row r="1703" spans="1:46" hidden="1">
      <c r="A1703" s="1"/>
      <c r="B1703" s="1"/>
      <c r="C1703" s="1"/>
      <c r="D1703" s="93" t="str">
        <f>+D1699</f>
        <v xml:space="preserve">     July-Dec </v>
      </c>
      <c r="E1703" s="82"/>
      <c r="F1703" s="82"/>
      <c r="G1703" s="82"/>
      <c r="H1703" s="82"/>
      <c r="I1703" s="94"/>
      <c r="J1703" s="94"/>
      <c r="K1703" s="94"/>
      <c r="L1703" s="94"/>
      <c r="M1703" s="94"/>
      <c r="N1703" s="94"/>
      <c r="O1703" s="94"/>
      <c r="P1703" s="94"/>
      <c r="Q1703" s="94"/>
      <c r="R1703" s="94"/>
      <c r="S1703" s="94"/>
      <c r="T1703" s="94"/>
      <c r="U1703" s="94"/>
      <c r="V1703" s="558" t="s">
        <v>726</v>
      </c>
      <c r="W1703" s="539">
        <f>-(W282-W283)</f>
        <v>84.800000000000026</v>
      </c>
      <c r="X1703" s="539">
        <f>-(X282-X283)</f>
        <v>23.299999999999926</v>
      </c>
      <c r="Y1703" s="539">
        <f>-(Y282-Y283)</f>
        <v>2.8992536271476013</v>
      </c>
      <c r="Z1703" s="539">
        <f>-(Z282-Z283)-0.4</f>
        <v>85.1</v>
      </c>
      <c r="AA1703" s="539">
        <f>-(AA282-AA283)-5.1-0.5</f>
        <v>93.745166714427597</v>
      </c>
      <c r="AB1703" s="557">
        <f>+SUM(FISCinyear!IN683)-FISCinyear!IN684+SUM(FISCinyear!IN685:IN694)</f>
        <v>-33.1234926415</v>
      </c>
      <c r="AC1703" s="1026">
        <f>+SUM(FISCinyear!IQ683)-FISCinyear!IQ684+SUM(FISCinyear!IQ685:IQ694)</f>
        <v>-189.84915272795936</v>
      </c>
      <c r="AD1703" s="1026" t="e">
        <f>+SUM(FISCinyear!IT683)-FISCinyear!IT684+SUM(FISCinyear!IT685:IT694)</f>
        <v>#REF!</v>
      </c>
      <c r="AE1703" s="1026">
        <f>FISCinyear!IW952+FISCinyear!IW955+FISCinyear!IW961</f>
        <v>13.381292890000001</v>
      </c>
      <c r="AF1703" s="1026">
        <f>FISCinyear!IZ952+FISCinyear!IZ955+FISCinyear!IZ961</f>
        <v>0</v>
      </c>
      <c r="AG1703" s="1026">
        <f>FISCinyear!JC952+FISCinyear!JC955+FISCinyear!JC961</f>
        <v>21.283423298999999</v>
      </c>
      <c r="AH1703" s="1026">
        <f>FISCinyear!JF952+FISCinyear!JF955+FISCinyear!JF961</f>
        <v>22.905921361999997</v>
      </c>
      <c r="AI1703" s="1026">
        <f>FISCinyear!JI952+FISCinyear!JI955+FISCinyear!JI961</f>
        <v>27.398809835000002</v>
      </c>
      <c r="AJ1703" s="1026">
        <f>FISCinyear!JL952+FISCinyear!JL955+FISCinyear!JL961</f>
        <v>34.512238777370001</v>
      </c>
      <c r="AK1703" s="1026">
        <f>FISCinyear!JO952+FISCinyear!JO955+FISCinyear!JO961</f>
        <v>32.995697541471003</v>
      </c>
      <c r="AL1703" s="1026">
        <f>FISCinyear!JP952+FISCinyear!JP955+FISCinyear!JP961</f>
        <v>32.995697541471003</v>
      </c>
      <c r="AM1703" s="1026">
        <f>FISCinyear!JQ952+FISCinyear!JQ955+FISCinyear!JQ961</f>
        <v>65.991395082942006</v>
      </c>
      <c r="AN1703" s="1026"/>
      <c r="AO1703" s="1026"/>
      <c r="AP1703" s="1026"/>
      <c r="AQ1703" s="1026"/>
      <c r="AR1703" s="1026"/>
      <c r="AS1703" s="1026"/>
      <c r="AT1703" s="1026"/>
    </row>
    <row r="1704" spans="1:46" hidden="1">
      <c r="A1704" s="1"/>
      <c r="B1704" s="1"/>
      <c r="C1704" s="1"/>
      <c r="D1704" s="543" t="s">
        <v>734</v>
      </c>
      <c r="E1704" s="248" t="s">
        <v>331</v>
      </c>
      <c r="F1704" s="82"/>
      <c r="G1704" s="82"/>
      <c r="H1704" s="82"/>
      <c r="I1704" s="94"/>
      <c r="J1704" s="94"/>
      <c r="K1704" s="94"/>
      <c r="L1704" s="94"/>
      <c r="M1704" s="94"/>
      <c r="N1704" s="94"/>
      <c r="O1704" s="94"/>
      <c r="P1704" s="94"/>
      <c r="Q1704" s="94"/>
      <c r="R1704" s="94"/>
      <c r="S1704" s="94"/>
      <c r="T1704" s="94"/>
      <c r="U1704" s="94"/>
      <c r="V1704" s="94"/>
      <c r="W1704" s="538">
        <f>-(W283-V283)</f>
        <v>4.1000000000000156</v>
      </c>
      <c r="X1704" s="538">
        <f>-(X283-W283)</f>
        <v>111.70000000000006</v>
      </c>
      <c r="Y1704" s="538">
        <f>-(Y283-X283)</f>
        <v>-145.74520362714765</v>
      </c>
      <c r="Z1704" s="539">
        <f>-(Z283-Y283)+0.4</f>
        <v>-142.85479637285241</v>
      </c>
      <c r="AA1704" s="539">
        <f>+Z1703+AA1702</f>
        <v>4.7999999999999829</v>
      </c>
      <c r="AB1704" s="1025">
        <f>+AA1703+AB1702</f>
        <v>18.594260409083432</v>
      </c>
      <c r="AC1704" s="268">
        <f>+AC912+AC914+SUM(AC904:AC911)</f>
        <v>-4.233532577000009</v>
      </c>
      <c r="AD1704" s="268">
        <f>+AD912+AD914+SUM(AD904:AD911)</f>
        <v>-23.998066952000002</v>
      </c>
      <c r="AE1704" s="268">
        <f>+AE912+AE914+SUM(AE904:AE911)</f>
        <v>2.8523250630233434</v>
      </c>
      <c r="AF1704" s="268">
        <f>+(AF912+AF914+SUM(AF904:AF911))*0+AF1273+AF1276+AF1282</f>
        <v>13.381292890000001</v>
      </c>
      <c r="AG1704" s="268">
        <f t="shared" ref="AG1704:AM1704" si="2060">+AG1273+AG1276+AG1282</f>
        <v>0</v>
      </c>
      <c r="AH1704" s="268">
        <f t="shared" si="2060"/>
        <v>42.647365346999997</v>
      </c>
      <c r="AI1704" s="268">
        <f t="shared" si="2060"/>
        <v>48.634940306000004</v>
      </c>
      <c r="AJ1704" s="268">
        <f t="shared" si="2060"/>
        <v>55.665374046000004</v>
      </c>
      <c r="AK1704" s="268">
        <f t="shared" si="2060"/>
        <v>58.168365474679049</v>
      </c>
      <c r="AL1704" s="268">
        <f t="shared" si="2060"/>
        <v>65.991395082942006</v>
      </c>
      <c r="AM1704" s="268">
        <f t="shared" si="2060"/>
        <v>78.477147457248364</v>
      </c>
      <c r="AN1704" s="268"/>
      <c r="AO1704" s="268"/>
      <c r="AP1704" s="268"/>
      <c r="AQ1704" s="268"/>
      <c r="AR1704" s="268"/>
      <c r="AS1704" s="268"/>
      <c r="AT1704" s="2714"/>
    </row>
    <row r="1705" spans="1:46" hidden="1">
      <c r="A1705" s="1"/>
      <c r="B1705" s="1"/>
      <c r="C1705" s="1"/>
      <c r="D1705" s="249" t="s">
        <v>744</v>
      </c>
      <c r="E1705" s="250"/>
      <c r="F1705" s="250"/>
      <c r="G1705" s="250"/>
      <c r="H1705" s="250"/>
      <c r="I1705" s="263"/>
      <c r="J1705" s="263"/>
      <c r="K1705" s="263"/>
      <c r="L1705" s="263"/>
      <c r="M1705" s="263"/>
      <c r="N1705" s="263"/>
      <c r="O1705" s="263"/>
      <c r="P1705" s="263"/>
      <c r="Q1705" s="263"/>
      <c r="R1705" s="263"/>
      <c r="S1705" s="263"/>
      <c r="T1705" s="263"/>
      <c r="U1705" s="263"/>
      <c r="V1705" s="263"/>
      <c r="W1705" s="1029"/>
      <c r="X1705" s="1030"/>
      <c r="Y1705" s="1023">
        <f t="shared" ref="Y1705:AA1708" si="2061">+Y1697-Y1701</f>
        <v>51.685172219279792</v>
      </c>
      <c r="Z1705" s="1023">
        <f t="shared" si="2061"/>
        <v>73.610620700484318</v>
      </c>
      <c r="AA1705" s="1023">
        <f t="shared" si="2061"/>
        <v>-17.878314133537998</v>
      </c>
      <c r="AB1705" s="266">
        <f t="shared" ref="AB1705:AE1708" si="2062">+AB1697-AB1701</f>
        <v>158.77219340184897</v>
      </c>
      <c r="AC1705" s="266">
        <f t="shared" si="2062"/>
        <v>234.21488340206093</v>
      </c>
      <c r="AD1705" s="266" t="e">
        <f t="shared" si="2062"/>
        <v>#REF!</v>
      </c>
      <c r="AE1705" s="266" t="e">
        <f t="shared" si="2062"/>
        <v>#REF!</v>
      </c>
      <c r="AF1705" s="266">
        <f t="shared" ref="AF1705:AH1708" si="2063">+AF1697-AF1701</f>
        <v>-55.15872858776126</v>
      </c>
      <c r="AG1705" s="266">
        <f t="shared" si="2063"/>
        <v>-91.558728900218284</v>
      </c>
      <c r="AH1705" s="266">
        <f t="shared" si="2063"/>
        <v>173.52742949165847</v>
      </c>
      <c r="AI1705" s="266">
        <f t="shared" ref="AI1705:AK1708" si="2064">+AI1697-AI1701</f>
        <v>455.44535233512994</v>
      </c>
      <c r="AJ1705" s="266">
        <f t="shared" si="2064"/>
        <v>-369.00243599686542</v>
      </c>
      <c r="AK1705" s="266">
        <f t="shared" si="2064"/>
        <v>81.551606655033112</v>
      </c>
      <c r="AL1705" s="266">
        <f t="shared" ref="AL1705:AM1708" si="2065">+AL1697-AL1701</f>
        <v>138.29203985830617</v>
      </c>
      <c r="AM1705" s="266">
        <f t="shared" si="2065"/>
        <v>104.89743554041503</v>
      </c>
      <c r="AN1705" s="266"/>
      <c r="AO1705" s="266"/>
      <c r="AP1705" s="266"/>
      <c r="AQ1705" s="266"/>
      <c r="AR1705" s="266"/>
      <c r="AS1705" s="266"/>
      <c r="AT1705" s="266"/>
    </row>
    <row r="1706" spans="1:46" hidden="1">
      <c r="A1706" s="1"/>
      <c r="B1706" s="1"/>
      <c r="C1706" s="1"/>
      <c r="D1706" s="93" t="str">
        <f>+D1702</f>
        <v xml:space="preserve">     Jan-June </v>
      </c>
      <c r="E1706" s="82"/>
      <c r="F1706" s="82"/>
      <c r="G1706" s="82"/>
      <c r="H1706" s="82"/>
      <c r="I1706" s="94"/>
      <c r="J1706" s="94"/>
      <c r="K1706" s="94"/>
      <c r="L1706" s="94"/>
      <c r="M1706" s="94"/>
      <c r="N1706" s="94"/>
      <c r="O1706" s="94"/>
      <c r="P1706" s="94"/>
      <c r="Q1706" s="94"/>
      <c r="R1706" s="94"/>
      <c r="S1706" s="94"/>
      <c r="T1706" s="94"/>
      <c r="U1706" s="94"/>
      <c r="V1706" s="94"/>
      <c r="W1706" s="1031"/>
      <c r="X1706" s="1028"/>
      <c r="Y1706" s="1028">
        <f t="shared" si="2061"/>
        <v>10.970195082018734</v>
      </c>
      <c r="Z1706" s="1028">
        <f t="shared" si="2061"/>
        <v>56.753192427465521</v>
      </c>
      <c r="AA1706" s="1028">
        <f t="shared" si="2061"/>
        <v>7.4989755752781662</v>
      </c>
      <c r="AB1706" s="1028">
        <f t="shared" si="2062"/>
        <v>9.5879824916366374</v>
      </c>
      <c r="AC1706" s="100">
        <f t="shared" si="2062"/>
        <v>-96.764345750425306</v>
      </c>
      <c r="AD1706" s="100">
        <f t="shared" si="2062"/>
        <v>-268.3453227606247</v>
      </c>
      <c r="AE1706" s="100" t="e">
        <f t="shared" si="2062"/>
        <v>#REF!</v>
      </c>
      <c r="AF1706" s="100">
        <f t="shared" si="2063"/>
        <v>-197.23030586888657</v>
      </c>
      <c r="AG1706" s="100">
        <f t="shared" si="2063"/>
        <v>66.637973986493535</v>
      </c>
      <c r="AH1706" s="100">
        <f t="shared" si="2063"/>
        <v>37.70535819738474</v>
      </c>
      <c r="AI1706" s="100">
        <f t="shared" si="2064"/>
        <v>-197.05435388734816</v>
      </c>
      <c r="AJ1706" s="100">
        <f t="shared" si="2064"/>
        <v>-507.27155061346383</v>
      </c>
      <c r="AK1706" s="100">
        <f t="shared" si="2064"/>
        <v>42.423877350125963</v>
      </c>
      <c r="AL1706" s="100">
        <f t="shared" si="2065"/>
        <v>99.164310553399019</v>
      </c>
      <c r="AM1706" s="100">
        <f t="shared" si="2065"/>
        <v>26.641976930600777</v>
      </c>
      <c r="AN1706" s="100"/>
      <c r="AO1706" s="100"/>
      <c r="AP1706" s="100"/>
      <c r="AQ1706" s="100"/>
      <c r="AR1706" s="100"/>
      <c r="AS1706" s="100"/>
      <c r="AT1706" s="100"/>
    </row>
    <row r="1707" spans="1:46" hidden="1">
      <c r="A1707" s="1"/>
      <c r="B1707" s="1"/>
      <c r="C1707" s="1"/>
      <c r="D1707" s="93" t="str">
        <f>+D1703</f>
        <v xml:space="preserve">     July-Dec </v>
      </c>
      <c r="E1707" s="82"/>
      <c r="F1707" s="82"/>
      <c r="G1707" s="82"/>
      <c r="H1707" s="82"/>
      <c r="I1707" s="94"/>
      <c r="J1707" s="94"/>
      <c r="K1707" s="94"/>
      <c r="L1707" s="94"/>
      <c r="M1707" s="94"/>
      <c r="N1707" s="94"/>
      <c r="O1707" s="94"/>
      <c r="P1707" s="94"/>
      <c r="Q1707" s="94"/>
      <c r="R1707" s="94"/>
      <c r="S1707" s="94"/>
      <c r="T1707" s="94"/>
      <c r="U1707" s="94"/>
      <c r="V1707" s="94"/>
      <c r="W1707" s="1031"/>
      <c r="X1707" s="1028"/>
      <c r="Y1707" s="1028">
        <f t="shared" si="2061"/>
        <v>40.714977137261059</v>
      </c>
      <c r="Z1707" s="1028">
        <f t="shared" si="2061"/>
        <v>16.857428273018797</v>
      </c>
      <c r="AA1707" s="1028">
        <f t="shared" si="2061"/>
        <v>-25.377289708816164</v>
      </c>
      <c r="AB1707" s="100">
        <f t="shared" si="2062"/>
        <v>149.18421091021233</v>
      </c>
      <c r="AC1707" s="100">
        <f t="shared" si="2062"/>
        <v>330.97922915248625</v>
      </c>
      <c r="AD1707" s="100" t="e">
        <f t="shared" si="2062"/>
        <v>#REF!</v>
      </c>
      <c r="AE1707" s="100">
        <f t="shared" si="2062"/>
        <v>271.63676950585801</v>
      </c>
      <c r="AF1707" s="100">
        <f t="shared" si="2063"/>
        <v>142.07157728112531</v>
      </c>
      <c r="AG1707" s="100">
        <f t="shared" si="2063"/>
        <v>-158.19670288671182</v>
      </c>
      <c r="AH1707" s="100">
        <f t="shared" si="2063"/>
        <v>135.82207129427374</v>
      </c>
      <c r="AI1707" s="100">
        <f t="shared" si="2064"/>
        <v>652.49970622247815</v>
      </c>
      <c r="AJ1707" s="100">
        <f t="shared" si="2064"/>
        <v>138.26911461659842</v>
      </c>
      <c r="AK1707" s="100">
        <f t="shared" si="2064"/>
        <v>39.127729304907135</v>
      </c>
      <c r="AL1707" s="100">
        <f t="shared" si="2065"/>
        <v>39.127729304907135</v>
      </c>
      <c r="AM1707" s="100">
        <f t="shared" si="2065"/>
        <v>78.255458609814269</v>
      </c>
      <c r="AN1707" s="100"/>
      <c r="AO1707" s="100"/>
      <c r="AP1707" s="100"/>
      <c r="AQ1707" s="100"/>
      <c r="AR1707" s="100"/>
      <c r="AS1707" s="100"/>
      <c r="AT1707" s="100"/>
    </row>
    <row r="1708" spans="1:46" hidden="1">
      <c r="A1708" s="1"/>
      <c r="B1708" s="1"/>
      <c r="C1708" s="1"/>
      <c r="D1708" s="264" t="s">
        <v>3130</v>
      </c>
      <c r="E1708" s="95"/>
      <c r="F1708" s="95"/>
      <c r="G1708" s="95"/>
      <c r="H1708" s="95"/>
      <c r="I1708" s="255"/>
      <c r="J1708" s="255"/>
      <c r="K1708" s="255"/>
      <c r="L1708" s="255"/>
      <c r="M1708" s="255"/>
      <c r="N1708" s="255"/>
      <c r="O1708" s="255"/>
      <c r="P1708" s="255"/>
      <c r="Q1708" s="255"/>
      <c r="R1708" s="255"/>
      <c r="S1708" s="255"/>
      <c r="T1708" s="255"/>
      <c r="U1708" s="255"/>
      <c r="V1708" s="255"/>
      <c r="W1708" s="1032"/>
      <c r="X1708" s="1027"/>
      <c r="Y1708" s="1027">
        <f t="shared" si="2061"/>
        <v>54.411509006018804</v>
      </c>
      <c r="Z1708" s="1027">
        <f t="shared" si="2061"/>
        <v>97.46816956472658</v>
      </c>
      <c r="AA1708" s="1027">
        <f t="shared" si="2061"/>
        <v>24.356403848296964</v>
      </c>
      <c r="AB1708" s="1027">
        <f t="shared" si="2062"/>
        <v>-15.789307217179527</v>
      </c>
      <c r="AC1708" s="256">
        <f t="shared" si="2062"/>
        <v>52.419865159787008</v>
      </c>
      <c r="AD1708" s="256">
        <f t="shared" si="2062"/>
        <v>62.633906391861544</v>
      </c>
      <c r="AE1708" s="256">
        <f t="shared" si="2062"/>
        <v>304.6901329086113</v>
      </c>
      <c r="AF1708" s="256">
        <f t="shared" si="2063"/>
        <v>29.782728112958633</v>
      </c>
      <c r="AG1708" s="256">
        <f t="shared" si="2063"/>
        <v>208.70955126761885</v>
      </c>
      <c r="AH1708" s="256">
        <f t="shared" si="2063"/>
        <v>-120.49134468932709</v>
      </c>
      <c r="AI1708" s="256">
        <f t="shared" si="2064"/>
        <v>-61.232282593074416</v>
      </c>
      <c r="AJ1708" s="256">
        <f t="shared" si="2064"/>
        <v>145.22815560901427</v>
      </c>
      <c r="AK1708" s="256">
        <f t="shared" si="2064"/>
        <v>73.991642620190973</v>
      </c>
      <c r="AL1708" s="256">
        <f t="shared" si="2065"/>
        <v>78.255458609814269</v>
      </c>
      <c r="AM1708" s="256">
        <f t="shared" si="2065"/>
        <v>51.510585630588551</v>
      </c>
      <c r="AN1708" s="256"/>
      <c r="AO1708" s="256"/>
      <c r="AP1708" s="256"/>
      <c r="AQ1708" s="256"/>
      <c r="AR1708" s="256"/>
      <c r="AS1708" s="256"/>
      <c r="AT1708" s="256"/>
    </row>
    <row r="1709" spans="1:46" hidden="1">
      <c r="A1709" s="1"/>
      <c r="B1709" s="1"/>
      <c r="C1709" s="1"/>
      <c r="D1709" s="940" t="s">
        <v>817</v>
      </c>
      <c r="E1709" s="941"/>
      <c r="F1709" s="941"/>
      <c r="G1709" s="941"/>
      <c r="H1709" s="941"/>
      <c r="I1709" s="942"/>
      <c r="J1709" s="942"/>
      <c r="K1709" s="942"/>
      <c r="L1709" s="942"/>
      <c r="M1709" s="942"/>
      <c r="N1709" s="942"/>
      <c r="O1709" s="942"/>
      <c r="P1709" s="942"/>
      <c r="Q1709" s="942"/>
      <c r="R1709" s="942"/>
      <c r="S1709" s="942"/>
      <c r="T1709" s="942"/>
      <c r="U1709" s="942"/>
      <c r="V1709" s="942"/>
      <c r="W1709" s="1033"/>
      <c r="X1709" s="1034"/>
      <c r="Y1709" s="1035">
        <f t="shared" ref="Y1709:AM1709" si="2066">+Y189</f>
        <v>0</v>
      </c>
      <c r="Z1709" s="1035">
        <f t="shared" si="2066"/>
        <v>0</v>
      </c>
      <c r="AA1709" s="1035">
        <f t="shared" si="2066"/>
        <v>0</v>
      </c>
      <c r="AB1709" s="943">
        <f t="shared" si="2066"/>
        <v>0</v>
      </c>
      <c r="AC1709" s="943">
        <f t="shared" si="2066"/>
        <v>0</v>
      </c>
      <c r="AD1709" s="943">
        <f t="shared" si="2066"/>
        <v>0</v>
      </c>
      <c r="AE1709" s="943">
        <f t="shared" si="2066"/>
        <v>200</v>
      </c>
      <c r="AF1709" s="943">
        <f t="shared" si="2066"/>
        <v>300</v>
      </c>
      <c r="AG1709" s="943">
        <f t="shared" si="2066"/>
        <v>400</v>
      </c>
      <c r="AH1709" s="943">
        <f t="shared" si="2066"/>
        <v>400</v>
      </c>
      <c r="AI1709" s="943">
        <f t="shared" si="2066"/>
        <v>400</v>
      </c>
      <c r="AJ1709" s="943">
        <f t="shared" si="2066"/>
        <v>369.25743919963998</v>
      </c>
      <c r="AK1709" s="943">
        <f t="shared" si="2066"/>
        <v>293.11484502228001</v>
      </c>
      <c r="AL1709" s="943">
        <f t="shared" si="2066"/>
        <v>288.01677898992</v>
      </c>
      <c r="AM1709" s="943">
        <f t="shared" si="2066"/>
        <v>282.56351460356001</v>
      </c>
      <c r="AN1709" s="943"/>
      <c r="AO1709" s="943"/>
      <c r="AP1709" s="943"/>
      <c r="AQ1709" s="943"/>
      <c r="AR1709" s="943"/>
      <c r="AS1709" s="943"/>
      <c r="AT1709" s="943"/>
    </row>
    <row r="1710" spans="1:46" hidden="1">
      <c r="A1710" s="1"/>
      <c r="B1710" s="1"/>
      <c r="C1710" s="1"/>
      <c r="E1710" s="1"/>
      <c r="F1710" s="1"/>
      <c r="G1710" s="1"/>
      <c r="H1710" s="1"/>
      <c r="I1710" s="1"/>
      <c r="J1710" s="1"/>
      <c r="K1710" s="1"/>
      <c r="L1710" s="1"/>
      <c r="M1710" s="1"/>
      <c r="N1710" s="1"/>
      <c r="O1710" s="1"/>
      <c r="P1710" s="1"/>
      <c r="Q1710" s="1"/>
      <c r="R1710" s="1"/>
      <c r="S1710" s="1"/>
      <c r="T1710" s="1"/>
      <c r="V1710" s="1"/>
      <c r="X1710" s="1"/>
      <c r="Z1710" s="1"/>
    </row>
    <row r="1711" spans="1:46" hidden="1">
      <c r="A1711" s="1"/>
      <c r="B1711" s="1"/>
      <c r="C1711" s="1"/>
      <c r="E1711" s="1"/>
      <c r="F1711" s="1"/>
      <c r="G1711" s="1"/>
      <c r="H1711" s="1"/>
      <c r="I1711" s="1"/>
      <c r="J1711" s="1"/>
      <c r="K1711" s="1"/>
      <c r="L1711" s="1"/>
      <c r="M1711" s="1"/>
      <c r="N1711" s="1"/>
      <c r="O1711" s="1"/>
      <c r="P1711" s="1"/>
      <c r="Q1711" s="1"/>
      <c r="R1711" s="1"/>
      <c r="S1711" s="1"/>
      <c r="T1711" s="1"/>
      <c r="V1711" s="1"/>
      <c r="X1711" s="1"/>
      <c r="Z1711" s="1"/>
    </row>
    <row r="1712" spans="1:46" hidden="1">
      <c r="A1712" s="1"/>
      <c r="B1712" s="1"/>
      <c r="C1712" s="1"/>
      <c r="E1712" s="1"/>
      <c r="F1712" s="1"/>
      <c r="G1712" s="1"/>
      <c r="H1712" s="1"/>
      <c r="I1712" s="1"/>
      <c r="J1712" s="1"/>
      <c r="K1712" s="1"/>
      <c r="L1712" s="1"/>
      <c r="M1712" s="1"/>
      <c r="N1712" s="1"/>
      <c r="O1712" s="1"/>
      <c r="P1712" s="1"/>
      <c r="Q1712" s="1"/>
      <c r="R1712" s="1"/>
      <c r="S1712" s="1"/>
      <c r="T1712" s="1"/>
      <c r="V1712" s="1"/>
      <c r="X1712" s="1"/>
      <c r="Z1712" s="1"/>
    </row>
    <row r="1713" spans="1:76" ht="17.25" hidden="1" customHeight="1">
      <c r="A1713" s="1"/>
      <c r="B1713" s="1"/>
      <c r="C1713" s="1"/>
      <c r="D1713" s="74" t="s">
        <v>869</v>
      </c>
    </row>
    <row r="1714" spans="1:76" ht="17.25" customHeight="1">
      <c r="A1714" s="1"/>
      <c r="B1714" s="1"/>
      <c r="C1714" s="1"/>
      <c r="D1714" s="74"/>
    </row>
    <row r="1715" spans="1:76" ht="17.25" customHeight="1">
      <c r="A1715" s="1"/>
      <c r="B1715" s="1"/>
      <c r="C1715" s="1"/>
      <c r="D1715" s="74" t="s">
        <v>3704</v>
      </c>
      <c r="AE1715" s="2075">
        <f>IF(ABS(AD1720+AE1719+AD1744+AE1743-(AE1721+AE1745))&gt;0.01,AD1720+AE1719+AD1744+AE1743-(AE1721+AE1745),"-")</f>
        <v>187.60768573828753</v>
      </c>
      <c r="AF1715" s="2075" t="str">
        <f>IF(ABS(AE1720+AF1719+AE1744+AF1743-(AF1721+AF1745))&gt;0.01,"Check","-")</f>
        <v>-</v>
      </c>
      <c r="AG1715" s="2075">
        <f>IF(ABS(AF1720+AG1719+AF1744+AG1743-(AG1721+AG1745))&gt;0.01,AF1720+AG1719+AF1744+AG1743-(AG1721+AG1745),"-")</f>
        <v>1.9999999999999716</v>
      </c>
      <c r="AH1715" s="2075" t="str">
        <f t="shared" ref="AH1715:BX1715" si="2067">IF(ABS(AG1720+AH1719+AG1744+AH1743-(AH1721+AH1745))&gt;0.01,"Check","-")</f>
        <v>-</v>
      </c>
      <c r="AI1715" s="2075" t="str">
        <f t="shared" si="2067"/>
        <v>-</v>
      </c>
      <c r="AJ1715" s="2075" t="str">
        <f t="shared" si="2067"/>
        <v>-</v>
      </c>
      <c r="AK1715" s="2075" t="str">
        <f t="shared" si="2067"/>
        <v>Check</v>
      </c>
      <c r="AL1715" s="2075" t="str">
        <f t="shared" si="2067"/>
        <v>-</v>
      </c>
      <c r="AM1715" s="2075" t="str">
        <f t="shared" si="2067"/>
        <v>-</v>
      </c>
      <c r="AN1715" s="2075" t="str">
        <f t="shared" si="2067"/>
        <v>-</v>
      </c>
      <c r="AO1715" s="2075" t="str">
        <f t="shared" ref="AO1715" si="2068">IF(ABS(AN1720+AO1719+AN1744+AO1743-(AO1721+AO1745))&gt;0.01,"Check","-")</f>
        <v>-</v>
      </c>
      <c r="AP1715" s="2075" t="str">
        <f t="shared" ref="AP1715" si="2069">IF(ABS(AO1720+AP1719+AO1744+AP1743-(AP1721+AP1745))&gt;0.01,"Check","-")</f>
        <v>Check</v>
      </c>
      <c r="AQ1715" s="2075" t="str">
        <f t="shared" ref="AQ1715" si="2070">IF(ABS(AP1720+AQ1719+AP1744+AQ1743-(AQ1721+AQ1745))&gt;0.01,"Check","-")</f>
        <v>Check</v>
      </c>
      <c r="AR1715" s="2075" t="str">
        <f t="shared" ref="AR1715" si="2071">IF(ABS(AQ1720+AR1719+AQ1744+AR1743-(AR1721+AR1745))&gt;0.01,"Check","-")</f>
        <v>Check</v>
      </c>
      <c r="AS1715" s="2075" t="str">
        <f t="shared" ref="AS1715" si="2072">IF(ABS(AR1720+AS1719+AR1744+AS1743-(AS1721+AS1745))&gt;0.01,"Check","-")</f>
        <v>Check</v>
      </c>
      <c r="AT1715" s="2075" t="str">
        <f t="shared" ref="AT1715" si="2073">IF(ABS(AS1720+AT1719+AS1744+AT1743-(AT1721+AT1745))&gt;0.01,"Check","-")</f>
        <v>Check</v>
      </c>
      <c r="AU1715" s="2075" t="str">
        <f t="shared" ref="AU1715" si="2074">IF(ABS(AT1720+AU1719+AT1744+AU1743-(AU1721+AU1745))&gt;0.01,"Check","-")</f>
        <v>Check</v>
      </c>
      <c r="AV1715" s="2075" t="str">
        <f t="shared" si="2067"/>
        <v>-</v>
      </c>
      <c r="AW1715" s="2075" t="str">
        <f t="shared" si="2067"/>
        <v>-</v>
      </c>
      <c r="AX1715" s="2075"/>
      <c r="AY1715" s="2075"/>
      <c r="AZ1715" s="2075" t="str">
        <f t="shared" si="2067"/>
        <v>-</v>
      </c>
      <c r="BA1715" s="2075" t="str">
        <f t="shared" si="2067"/>
        <v>-</v>
      </c>
      <c r="BB1715" s="2075" t="str">
        <f t="shared" si="2067"/>
        <v>-</v>
      </c>
      <c r="BC1715" s="2075" t="str">
        <f t="shared" si="2067"/>
        <v>-</v>
      </c>
      <c r="BD1715" s="2075" t="str">
        <f t="shared" si="2067"/>
        <v>-</v>
      </c>
      <c r="BE1715" s="2075" t="str">
        <f t="shared" si="2067"/>
        <v>-</v>
      </c>
      <c r="BF1715" s="2075" t="str">
        <f t="shared" si="2067"/>
        <v>-</v>
      </c>
      <c r="BG1715" s="2075" t="str">
        <f t="shared" si="2067"/>
        <v>-</v>
      </c>
      <c r="BH1715" s="2075" t="str">
        <f t="shared" si="2067"/>
        <v>-</v>
      </c>
      <c r="BI1715" s="2075" t="str">
        <f t="shared" si="2067"/>
        <v>-</v>
      </c>
      <c r="BJ1715" s="2075" t="str">
        <f t="shared" si="2067"/>
        <v>-</v>
      </c>
      <c r="BK1715" s="2075" t="str">
        <f t="shared" si="2067"/>
        <v>-</v>
      </c>
      <c r="BL1715" s="2075" t="str">
        <f t="shared" si="2067"/>
        <v>-</v>
      </c>
      <c r="BM1715" s="2075" t="str">
        <f t="shared" si="2067"/>
        <v>-</v>
      </c>
      <c r="BN1715" s="2075" t="str">
        <f t="shared" si="2067"/>
        <v>-</v>
      </c>
      <c r="BO1715" s="2075" t="str">
        <f t="shared" si="2067"/>
        <v>-</v>
      </c>
      <c r="BP1715" s="2075" t="str">
        <f t="shared" si="2067"/>
        <v>-</v>
      </c>
      <c r="BQ1715" s="2075" t="str">
        <f t="shared" si="2067"/>
        <v>-</v>
      </c>
      <c r="BR1715" s="2075" t="str">
        <f t="shared" si="2067"/>
        <v>-</v>
      </c>
      <c r="BS1715" s="2075" t="str">
        <f t="shared" si="2067"/>
        <v>-</v>
      </c>
      <c r="BT1715" s="2075" t="str">
        <f t="shared" si="2067"/>
        <v>-</v>
      </c>
      <c r="BU1715" s="2075" t="str">
        <f t="shared" si="2067"/>
        <v>-</v>
      </c>
      <c r="BV1715" s="2075" t="str">
        <f t="shared" si="2067"/>
        <v>-</v>
      </c>
      <c r="BW1715" s="2075" t="str">
        <f t="shared" si="2067"/>
        <v>-</v>
      </c>
      <c r="BX1715" s="2075" t="str">
        <f t="shared" si="2067"/>
        <v>-</v>
      </c>
    </row>
    <row r="1716" spans="1:76" ht="17.25" customHeight="1">
      <c r="A1716" s="1"/>
      <c r="B1716" s="1"/>
      <c r="C1716" s="1"/>
      <c r="D1716" s="481" t="s">
        <v>1067</v>
      </c>
    </row>
    <row r="1717" spans="1:76">
      <c r="A1717" s="1"/>
      <c r="B1717" s="1"/>
      <c r="C1717" s="1"/>
      <c r="D1717" s="81" t="s">
        <v>3229</v>
      </c>
      <c r="E1717" s="82"/>
      <c r="F1717" s="82"/>
      <c r="G1717" s="82"/>
      <c r="H1717" s="82"/>
      <c r="I1717" s="83"/>
      <c r="J1717" s="84"/>
      <c r="K1717" s="84"/>
      <c r="L1717" s="84"/>
      <c r="M1717" s="84"/>
      <c r="N1717" s="84"/>
      <c r="O1717" s="84"/>
      <c r="P1717" s="84"/>
      <c r="Q1717" s="84"/>
      <c r="R1717" s="84"/>
      <c r="S1717" s="84"/>
      <c r="T1717" s="82"/>
      <c r="U1717" s="85"/>
      <c r="V1717" s="909"/>
      <c r="W1717" s="909"/>
      <c r="X1717" s="909"/>
      <c r="Y1717" s="909"/>
      <c r="Z1717" s="909"/>
      <c r="AA1717" s="909"/>
      <c r="AB1717" s="909"/>
      <c r="AC1717" s="909"/>
      <c r="AD1717" s="909"/>
      <c r="AE1717" s="910">
        <v>2020</v>
      </c>
      <c r="AF1717" s="910">
        <v>2021</v>
      </c>
      <c r="AG1717" s="910">
        <v>2022</v>
      </c>
      <c r="AH1717" s="910">
        <v>2023</v>
      </c>
      <c r="AI1717" s="910">
        <v>2024</v>
      </c>
      <c r="AJ1717" s="910">
        <v>2025</v>
      </c>
      <c r="AK1717" s="910">
        <v>2026</v>
      </c>
      <c r="AL1717" s="910">
        <v>2027</v>
      </c>
      <c r="AM1717" s="910">
        <v>2028</v>
      </c>
      <c r="AN1717" s="910">
        <v>2029</v>
      </c>
      <c r="AO1717" s="910">
        <v>2030</v>
      </c>
      <c r="AP1717" s="910">
        <v>2031</v>
      </c>
      <c r="AQ1717" s="910">
        <v>2032</v>
      </c>
      <c r="AR1717" s="910">
        <v>2033</v>
      </c>
      <c r="AS1717" s="910">
        <v>2034</v>
      </c>
      <c r="AT1717" s="2708">
        <v>2035</v>
      </c>
    </row>
    <row r="1718" spans="1:76">
      <c r="A1718" s="1"/>
      <c r="B1718" s="1"/>
      <c r="C1718" s="1"/>
      <c r="D1718" s="545" t="s">
        <v>3697</v>
      </c>
      <c r="E1718" s="250"/>
      <c r="F1718" s="250">
        <f t="shared" ref="F1718:AD1718" si="2075">F1719+F1720</f>
        <v>0</v>
      </c>
      <c r="G1718" s="250">
        <f t="shared" si="2075"/>
        <v>0</v>
      </c>
      <c r="H1718" s="250">
        <f t="shared" si="2075"/>
        <v>0</v>
      </c>
      <c r="I1718" s="251">
        <f t="shared" si="2075"/>
        <v>0</v>
      </c>
      <c r="J1718" s="252">
        <f t="shared" si="2075"/>
        <v>0</v>
      </c>
      <c r="K1718" s="252">
        <f t="shared" si="2075"/>
        <v>0</v>
      </c>
      <c r="L1718" s="252">
        <f t="shared" si="2075"/>
        <v>0</v>
      </c>
      <c r="M1718" s="252">
        <f t="shared" si="2075"/>
        <v>0</v>
      </c>
      <c r="N1718" s="252">
        <f t="shared" si="2075"/>
        <v>0</v>
      </c>
      <c r="O1718" s="252">
        <f t="shared" si="2075"/>
        <v>0</v>
      </c>
      <c r="P1718" s="252">
        <f t="shared" si="2075"/>
        <v>0</v>
      </c>
      <c r="Q1718" s="252">
        <f t="shared" si="2075"/>
        <v>0</v>
      </c>
      <c r="R1718" s="252">
        <f t="shared" si="2075"/>
        <v>0</v>
      </c>
      <c r="S1718" s="253">
        <f t="shared" si="2075"/>
        <v>0</v>
      </c>
      <c r="T1718" s="252">
        <f t="shared" si="2075"/>
        <v>0</v>
      </c>
      <c r="U1718" s="263">
        <f t="shared" si="2075"/>
        <v>0</v>
      </c>
      <c r="V1718" s="263">
        <f t="shared" si="2075"/>
        <v>0</v>
      </c>
      <c r="W1718" s="263">
        <f t="shared" si="2075"/>
        <v>0</v>
      </c>
      <c r="X1718" s="263">
        <f t="shared" si="2075"/>
        <v>0</v>
      </c>
      <c r="Y1718" s="263">
        <f t="shared" si="2075"/>
        <v>0</v>
      </c>
      <c r="Z1718" s="254">
        <f t="shared" si="2075"/>
        <v>0</v>
      </c>
      <c r="AA1718" s="254">
        <f t="shared" si="2075"/>
        <v>0</v>
      </c>
      <c r="AB1718" s="254">
        <f t="shared" si="2075"/>
        <v>0</v>
      </c>
      <c r="AC1718" s="254">
        <f t="shared" si="2075"/>
        <v>0</v>
      </c>
      <c r="AD1718" s="254">
        <f t="shared" si="2075"/>
        <v>0</v>
      </c>
      <c r="AE1718" s="1575">
        <f>AE1719+AE1720</f>
        <v>-222.25540910720494</v>
      </c>
      <c r="AF1718" s="1575">
        <f t="shared" ref="AF1718:AL1718" si="2076">AF1719+AF1720</f>
        <v>210.23744911177414</v>
      </c>
      <c r="AG1718" s="1575">
        <f t="shared" si="2076"/>
        <v>299.88721975321835</v>
      </c>
      <c r="AH1718" s="1575">
        <f t="shared" si="2076"/>
        <v>-289.77538684065848</v>
      </c>
      <c r="AI1718" s="1575">
        <f t="shared" si="2076"/>
        <v>-342.73780220412999</v>
      </c>
      <c r="AJ1718" s="1575">
        <f>AJ1719+AJ1720</f>
        <v>422.89303808149555</v>
      </c>
      <c r="AK1718" s="1575">
        <f t="shared" si="2076"/>
        <v>233.80770663220204</v>
      </c>
      <c r="AL1718" s="1575">
        <f t="shared" si="2076"/>
        <v>-77.018057021270693</v>
      </c>
      <c r="AM1718" s="1575">
        <f>AM1719+AM1720</f>
        <v>-192.26714351729055</v>
      </c>
      <c r="AN1718" s="1575">
        <f>AN1719+AN1720</f>
        <v>197.60833701162034</v>
      </c>
      <c r="AO1718" s="1575">
        <f>AO1719+AO1720</f>
        <v>136.31108961064325</v>
      </c>
      <c r="AP1718" s="1575">
        <f>AP1719+AP1720</f>
        <v>175.52348526713067</v>
      </c>
      <c r="AQ1718" s="1575">
        <f t="shared" ref="AQ1718:AT1718" si="2077">AQ1719+AQ1720</f>
        <v>412.91547266878803</v>
      </c>
      <c r="AR1718" s="1575">
        <f t="shared" si="2077"/>
        <v>339.08634266461712</v>
      </c>
      <c r="AS1718" s="1575">
        <f t="shared" si="2077"/>
        <v>258.28844965302426</v>
      </c>
      <c r="AT1718" s="2715">
        <f t="shared" si="2077"/>
        <v>1116.2806168191212</v>
      </c>
    </row>
    <row r="1719" spans="1:76">
      <c r="A1719" s="1"/>
      <c r="B1719" s="1"/>
      <c r="C1719" s="1"/>
      <c r="D1719" s="88" t="s">
        <v>106</v>
      </c>
      <c r="E1719" s="82"/>
      <c r="F1719" s="82"/>
      <c r="G1719" s="82"/>
      <c r="H1719" s="82"/>
      <c r="I1719" s="89"/>
      <c r="J1719" s="90"/>
      <c r="K1719" s="90"/>
      <c r="L1719" s="90"/>
      <c r="M1719" s="90"/>
      <c r="N1719" s="90"/>
      <c r="O1719" s="90"/>
      <c r="P1719" s="90"/>
      <c r="Q1719" s="90"/>
      <c r="R1719" s="90"/>
      <c r="S1719" s="91"/>
      <c r="T1719" s="90"/>
      <c r="U1719" s="94"/>
      <c r="V1719" s="94"/>
      <c r="W1719" s="94"/>
      <c r="X1719" s="94"/>
      <c r="Y1719" s="546"/>
      <c r="Z1719" s="546"/>
      <c r="AA1719" s="546"/>
      <c r="AB1719" s="546"/>
      <c r="AC1719" s="546"/>
      <c r="AD1719" s="546"/>
      <c r="AE1719" s="546">
        <f>FISCinyear!IU994+FISCinyear!IU1009-FISCinyear!IU950</f>
        <v>5.3659532886530883</v>
      </c>
      <c r="AF1719" s="546">
        <f>FISCinyear!IX994+FISCinyear!IX1009-FISCinyear!IX950</f>
        <v>307.44506139289939</v>
      </c>
      <c r="AG1719" s="546">
        <f>FISCinyear!JA994+FISCinyear!JA1009-FISCinyear!JA950</f>
        <v>84.895941013506501</v>
      </c>
      <c r="AH1719" s="546">
        <f>FISCinyear!JD994+FISCinyear!JD1009-FISCinyear!JD950</f>
        <v>-183.49164548738472</v>
      </c>
      <c r="AI1719" s="546">
        <f>FISCinyear!JG994+FISCinyear!JG1009-FISCinyear!JG950</f>
        <v>123.82995756334816</v>
      </c>
      <c r="AJ1719" s="546">
        <f>FISCinyear!JJ994+FISCinyear!JJ1009-FISCinyear!JJ950</f>
        <v>355.68016931346392</v>
      </c>
      <c r="AK1719" s="546">
        <f>FISCinyear!JM994+FISCinyear!JM1009-FISCinyear!JM950</f>
        <v>-146.62962903465603</v>
      </c>
      <c r="AL1719" s="546">
        <f>FISCinyear!JP994+FISCinyear!JP1009-FISCinyear!JP950</f>
        <v>-384.84754662406203</v>
      </c>
      <c r="AM1719" s="546">
        <f>FISCinyear!JS994+FISCinyear!JS1009-FISCinyear!JS950</f>
        <v>-268.16842795465277</v>
      </c>
      <c r="AN1719" s="546">
        <f>FISCinyear!JV994+FISCinyear!JV1009-FISCinyear!JV950</f>
        <v>-112.20303351860815</v>
      </c>
      <c r="AO1719" s="546">
        <f>FISCinyear!JY994+FISCinyear!JY1009-FISCinyear!JY950</f>
        <v>-199.17751674280873</v>
      </c>
      <c r="AP1719" s="546">
        <f>FISCinyear!JZ994+FISCinyear!JZ1009-FISCinyear!JZ950</f>
        <v>110.63385378741931</v>
      </c>
      <c r="AQ1719" s="546">
        <f>FISCinyear!KA994+FISCinyear!KA1009-FISCinyear!KA950</f>
        <v>335.48860635345198</v>
      </c>
      <c r="AR1719" s="546">
        <f>FISCinyear!KB994+FISCinyear!KB1009-FISCinyear!KB950</f>
        <v>64.889631479711355</v>
      </c>
      <c r="AS1719" s="546">
        <f>FISCinyear!KC994+FISCinyear!KC1009-FISCinyear!KC950</f>
        <v>77.426866315336042</v>
      </c>
      <c r="AT1719" s="2709">
        <f>FISCinyear!KD994+FISCinyear!KD1009-FISCinyear!KD950</f>
        <v>274.19671118490578</v>
      </c>
    </row>
    <row r="1720" spans="1:76">
      <c r="A1720" s="1"/>
      <c r="B1720" s="1"/>
      <c r="C1720" s="1"/>
      <c r="D1720" s="88" t="s">
        <v>107</v>
      </c>
      <c r="E1720" s="82"/>
      <c r="F1720" s="82"/>
      <c r="G1720" s="82"/>
      <c r="H1720" s="82"/>
      <c r="I1720" s="89"/>
      <c r="J1720" s="90"/>
      <c r="K1720" s="90"/>
      <c r="L1720" s="90"/>
      <c r="M1720" s="90"/>
      <c r="N1720" s="90"/>
      <c r="O1720" s="90"/>
      <c r="P1720" s="90"/>
      <c r="Q1720" s="90"/>
      <c r="R1720" s="90"/>
      <c r="S1720" s="91"/>
      <c r="T1720" s="90"/>
      <c r="U1720" s="94"/>
      <c r="V1720" s="94"/>
      <c r="W1720" s="94"/>
      <c r="X1720" s="546"/>
      <c r="Y1720" s="546"/>
      <c r="Z1720" s="546"/>
      <c r="AA1720" s="546"/>
      <c r="AB1720" s="546"/>
      <c r="AC1720" s="546"/>
      <c r="AD1720" s="546"/>
      <c r="AE1720" s="546">
        <f>FISCinyear!IW994+FISCinyear!IW1009-FISCinyear!IW950</f>
        <v>-227.62136239585803</v>
      </c>
      <c r="AF1720" s="546">
        <f>FISCinyear!IZ994+FISCinyear!IZ1009-FISCinyear!IZ950</f>
        <v>-97.20761228112525</v>
      </c>
      <c r="AG1720" s="546">
        <f>FISCinyear!JC994+FISCinyear!JC1009-FISCinyear!JC950</f>
        <v>214.99127873971184</v>
      </c>
      <c r="AH1720" s="546">
        <f>FISCinyear!JF994+FISCinyear!JF1009-FISCinyear!JF950</f>
        <v>-106.28374135327374</v>
      </c>
      <c r="AI1720" s="546">
        <f>FISCinyear!JI994+FISCinyear!JI1009-FISCinyear!JI950</f>
        <v>-466.56775976747815</v>
      </c>
      <c r="AJ1720" s="546">
        <f>FISCinyear!JL994+FISCinyear!JL1009-FISCinyear!JL950</f>
        <v>67.212868768031626</v>
      </c>
      <c r="AK1720" s="546">
        <f>FISCinyear!JO994+FISCinyear!JO1009-FISCinyear!JO950</f>
        <v>380.43733566685808</v>
      </c>
      <c r="AL1720" s="546">
        <f>FISCinyear!JR994+FISCinyear!JR1009-FISCinyear!JR950</f>
        <v>307.82948960279134</v>
      </c>
      <c r="AM1720" s="546">
        <f>FISCinyear!JU994+FISCinyear!JU1009-FISCinyear!JU950</f>
        <v>75.901284437362222</v>
      </c>
      <c r="AN1720" s="546">
        <f>FISCinyear!JX994+FISCinyear!JX1009-FISCinyear!JX950</f>
        <v>309.81137053022849</v>
      </c>
      <c r="AO1720" s="546">
        <f>FISCinyear!KA994+FISCinyear!KA1009-FISCinyear!KA950</f>
        <v>335.48860635345198</v>
      </c>
      <c r="AP1720" s="546">
        <f>FISCinyear!KB994+FISCinyear!KB1009-FISCinyear!KB950</f>
        <v>64.889631479711355</v>
      </c>
      <c r="AQ1720" s="546">
        <f>FISCinyear!KC994+FISCinyear!KC1009-FISCinyear!KC950</f>
        <v>77.426866315336042</v>
      </c>
      <c r="AR1720" s="546">
        <f>FISCinyear!KD994+FISCinyear!KD1009-FISCinyear!KD950</f>
        <v>274.19671118490578</v>
      </c>
      <c r="AS1720" s="546">
        <f>FISCinyear!KE994+FISCinyear!KE1009-FISCinyear!KE950</f>
        <v>180.86158333768822</v>
      </c>
      <c r="AT1720" s="2709">
        <f>FISCinyear!KF994+FISCinyear!KF1009-FISCinyear!KF950</f>
        <v>842.0839056342154</v>
      </c>
    </row>
    <row r="1721" spans="1:76">
      <c r="A1721" s="1"/>
      <c r="B1721" s="1"/>
      <c r="C1721" s="1"/>
      <c r="D1721" s="543" t="s">
        <v>3696</v>
      </c>
      <c r="E1721" s="82"/>
      <c r="F1721" s="82">
        <f t="shared" ref="F1721:AC1721" si="2078">F1340</f>
        <v>0</v>
      </c>
      <c r="G1721" s="82">
        <f t="shared" si="2078"/>
        <v>0</v>
      </c>
      <c r="H1721" s="82">
        <f t="shared" si="2078"/>
        <v>0</v>
      </c>
      <c r="I1721" s="89">
        <f t="shared" si="2078"/>
        <v>0</v>
      </c>
      <c r="J1721" s="90">
        <f t="shared" si="2078"/>
        <v>0</v>
      </c>
      <c r="K1721" s="90">
        <f t="shared" si="2078"/>
        <v>0</v>
      </c>
      <c r="L1721" s="90">
        <f t="shared" si="2078"/>
        <v>0</v>
      </c>
      <c r="M1721" s="90">
        <f t="shared" si="2078"/>
        <v>0</v>
      </c>
      <c r="N1721" s="90">
        <f t="shared" si="2078"/>
        <v>0</v>
      </c>
      <c r="O1721" s="90">
        <f t="shared" si="2078"/>
        <v>0</v>
      </c>
      <c r="P1721" s="90">
        <f t="shared" si="2078"/>
        <v>0</v>
      </c>
      <c r="Q1721" s="90">
        <f t="shared" si="2078"/>
        <v>0</v>
      </c>
      <c r="R1721" s="90">
        <f t="shared" si="2078"/>
        <v>0</v>
      </c>
      <c r="S1721" s="91">
        <f t="shared" si="2078"/>
        <v>0</v>
      </c>
      <c r="T1721" s="90">
        <f t="shared" si="2078"/>
        <v>0</v>
      </c>
      <c r="U1721" s="255">
        <f t="shared" si="2078"/>
        <v>0</v>
      </c>
      <c r="V1721" s="255">
        <f t="shared" si="2078"/>
        <v>0</v>
      </c>
      <c r="W1721" s="255">
        <f t="shared" si="2078"/>
        <v>0</v>
      </c>
      <c r="X1721" s="259">
        <f t="shared" si="2078"/>
        <v>0</v>
      </c>
      <c r="Y1721" s="259">
        <f t="shared" si="2078"/>
        <v>0</v>
      </c>
      <c r="Z1721" s="259">
        <f t="shared" si="2078"/>
        <v>0</v>
      </c>
      <c r="AA1721" s="259">
        <f t="shared" si="2078"/>
        <v>0</v>
      </c>
      <c r="AB1721" s="259">
        <f t="shared" si="2078"/>
        <v>0</v>
      </c>
      <c r="AC1721" s="259">
        <f t="shared" si="2078"/>
        <v>0</v>
      </c>
      <c r="AD1721" s="259">
        <f t="shared" ref="AD1721:AT1721" si="2079">AD1320+AD1335-AD1271</f>
        <v>51.441260560138431</v>
      </c>
      <c r="AE1721" s="259">
        <f t="shared" si="2079"/>
        <v>-126.26495797163457</v>
      </c>
      <c r="AF1721" s="259">
        <f t="shared" si="2079"/>
        <v>79.823698997041362</v>
      </c>
      <c r="AG1721" s="259">
        <f t="shared" si="2079"/>
        <v>-12.311671267618749</v>
      </c>
      <c r="AH1721" s="259">
        <f t="shared" si="2079"/>
        <v>31.499633252327129</v>
      </c>
      <c r="AI1721" s="259">
        <f t="shared" si="2079"/>
        <v>17.546216210074427</v>
      </c>
      <c r="AJ1721" s="259">
        <f t="shared" si="2079"/>
        <v>-110.88759045401424</v>
      </c>
      <c r="AK1721" s="259">
        <f t="shared" si="2079"/>
        <v>-51.561105196284018</v>
      </c>
      <c r="AL1721" s="259">
        <f t="shared" si="2079"/>
        <v>-4.4102109572037591</v>
      </c>
      <c r="AM1721" s="259">
        <f t="shared" si="2079"/>
        <v>39.661061648138428</v>
      </c>
      <c r="AN1721" s="259">
        <f t="shared" si="2079"/>
        <v>-36.301749081245859</v>
      </c>
      <c r="AO1721" s="259">
        <f t="shared" si="2079"/>
        <v>110.63385378741931</v>
      </c>
      <c r="AP1721" s="259">
        <f t="shared" si="2079"/>
        <v>77.426866315336042</v>
      </c>
      <c r="AQ1721" s="259">
        <f t="shared" si="2079"/>
        <v>842.0839056342154</v>
      </c>
      <c r="AR1721" s="259">
        <f t="shared" si="2079"/>
        <v>500.23144122043766</v>
      </c>
      <c r="AS1721" s="259">
        <f t="shared" si="2079"/>
        <v>805.67883136142621</v>
      </c>
      <c r="AT1721" s="2710">
        <f t="shared" si="2079"/>
        <v>1069.1973184858537</v>
      </c>
    </row>
    <row r="1722" spans="1:76">
      <c r="A1722" s="1"/>
      <c r="B1722" s="1"/>
      <c r="C1722" s="1"/>
      <c r="D1722" s="545" t="s">
        <v>3702</v>
      </c>
      <c r="E1722" s="250"/>
      <c r="F1722" s="250">
        <f t="shared" ref="F1722:AL1722" si="2080">F1723+F1724</f>
        <v>0</v>
      </c>
      <c r="G1722" s="250">
        <f t="shared" si="2080"/>
        <v>0</v>
      </c>
      <c r="H1722" s="250">
        <f t="shared" si="2080"/>
        <v>0</v>
      </c>
      <c r="I1722" s="251">
        <f t="shared" si="2080"/>
        <v>0</v>
      </c>
      <c r="J1722" s="252">
        <f t="shared" si="2080"/>
        <v>0</v>
      </c>
      <c r="K1722" s="252">
        <f t="shared" si="2080"/>
        <v>0</v>
      </c>
      <c r="L1722" s="252">
        <f t="shared" si="2080"/>
        <v>0</v>
      </c>
      <c r="M1722" s="252">
        <f t="shared" si="2080"/>
        <v>0</v>
      </c>
      <c r="N1722" s="252">
        <f t="shared" si="2080"/>
        <v>0</v>
      </c>
      <c r="O1722" s="252">
        <f t="shared" si="2080"/>
        <v>0</v>
      </c>
      <c r="P1722" s="252">
        <f t="shared" si="2080"/>
        <v>0</v>
      </c>
      <c r="Q1722" s="252">
        <f t="shared" si="2080"/>
        <v>0</v>
      </c>
      <c r="R1722" s="252">
        <f t="shared" si="2080"/>
        <v>0</v>
      </c>
      <c r="S1722" s="253">
        <f t="shared" si="2080"/>
        <v>0</v>
      </c>
      <c r="T1722" s="252">
        <f t="shared" si="2080"/>
        <v>0</v>
      </c>
      <c r="U1722" s="263">
        <f t="shared" si="2080"/>
        <v>0</v>
      </c>
      <c r="V1722" s="263">
        <f t="shared" si="2080"/>
        <v>0</v>
      </c>
      <c r="W1722" s="263">
        <f t="shared" si="2080"/>
        <v>0</v>
      </c>
      <c r="X1722" s="263">
        <f t="shared" si="2080"/>
        <v>0</v>
      </c>
      <c r="Y1722" s="263">
        <f t="shared" si="2080"/>
        <v>0</v>
      </c>
      <c r="Z1722" s="254">
        <f t="shared" si="2080"/>
        <v>0</v>
      </c>
      <c r="AA1722" s="254">
        <f t="shared" si="2080"/>
        <v>0</v>
      </c>
      <c r="AB1722" s="254">
        <f t="shared" si="2080"/>
        <v>0</v>
      </c>
      <c r="AC1722" s="254">
        <f t="shared" si="2080"/>
        <v>0</v>
      </c>
      <c r="AD1722" s="254">
        <f t="shared" si="2080"/>
        <v>0</v>
      </c>
      <c r="AE1722" s="1575">
        <f>AE1723+AE1724</f>
        <v>-419.61410910720497</v>
      </c>
      <c r="AF1722" s="1575">
        <f t="shared" si="2080"/>
        <v>99.782464111774061</v>
      </c>
      <c r="AG1722" s="1575">
        <f t="shared" si="2080"/>
        <v>70.275305601218292</v>
      </c>
      <c r="AH1722" s="1575">
        <f t="shared" si="2080"/>
        <v>-217.79729290165847</v>
      </c>
      <c r="AI1722" s="1575">
        <f t="shared" si="2080"/>
        <v>-508.57318111412997</v>
      </c>
      <c r="AJ1722" s="1575">
        <f t="shared" si="2080"/>
        <v>306.22363300849543</v>
      </c>
      <c r="AK1722" s="1575">
        <f t="shared" si="2080"/>
        <v>-138.20343089381316</v>
      </c>
      <c r="AL1722" s="1575">
        <f t="shared" si="2080"/>
        <v>-137.1172933902966</v>
      </c>
      <c r="AM1722" s="1575">
        <f>AM1723+AM1724</f>
        <v>-129.15729468430641</v>
      </c>
      <c r="AN1722" s="1575">
        <f>AN1723+AN1724</f>
        <v>-126.02513691220145</v>
      </c>
      <c r="AO1722" s="1575">
        <f>AO1723+AO1724</f>
        <v>-130.8219022967404</v>
      </c>
      <c r="AP1722" s="1575">
        <f t="shared" ref="AP1722:AT1722" si="2081">AP1723+AP1724</f>
        <v>-192.68361106855392</v>
      </c>
      <c r="AQ1722" s="1575">
        <f t="shared" si="2081"/>
        <v>-206.88058057478071</v>
      </c>
      <c r="AR1722" s="1575">
        <f t="shared" si="2081"/>
        <v>-146.29007439634591</v>
      </c>
      <c r="AS1722" s="1575">
        <f t="shared" si="2081"/>
        <v>-215.25026792127281</v>
      </c>
      <c r="AT1722" s="2715">
        <f t="shared" si="2081"/>
        <v>-231.98964261425698</v>
      </c>
    </row>
    <row r="1723" spans="1:76">
      <c r="A1723" s="1"/>
      <c r="B1723" s="1"/>
      <c r="C1723" s="1"/>
      <c r="D1723" s="88" t="str">
        <f>+D1727</f>
        <v xml:space="preserve">     Jan-June </v>
      </c>
      <c r="E1723" s="82"/>
      <c r="F1723" s="82"/>
      <c r="G1723" s="82"/>
      <c r="H1723" s="82"/>
      <c r="I1723" s="89"/>
      <c r="J1723" s="90"/>
      <c r="K1723" s="90"/>
      <c r="L1723" s="90"/>
      <c r="M1723" s="90"/>
      <c r="N1723" s="90"/>
      <c r="O1723" s="90"/>
      <c r="P1723" s="90"/>
      <c r="Q1723" s="90"/>
      <c r="R1723" s="90"/>
      <c r="S1723" s="91"/>
      <c r="T1723" s="90"/>
      <c r="U1723" s="94"/>
      <c r="V1723" s="94"/>
      <c r="W1723" s="94"/>
      <c r="X1723" s="94"/>
      <c r="Y1723" s="546"/>
      <c r="Z1723" s="546"/>
      <c r="AA1723" s="546"/>
      <c r="AB1723" s="546"/>
      <c r="AC1723" s="546"/>
      <c r="AD1723" s="546"/>
      <c r="AE1723" s="546">
        <f>-FISCinyear!IU950</f>
        <v>-134.59604671134696</v>
      </c>
      <c r="AF1723" s="546">
        <f>-FISCinyear!IX950</f>
        <v>241.85404139289938</v>
      </c>
      <c r="AG1723" s="546">
        <f>-FISCinyear!JA950</f>
        <v>-66.637973986493535</v>
      </c>
      <c r="AH1723" s="546">
        <f>-FISCinyear!JD950</f>
        <v>-59.069300245384738</v>
      </c>
      <c r="AI1723" s="546">
        <f>-FISCinyear!JG950</f>
        <v>171.32533494334814</v>
      </c>
      <c r="AJ1723" s="546">
        <f>-FISCinyear!JJ950</f>
        <v>479.00498640246383</v>
      </c>
      <c r="AK1723" s="546">
        <f>-FISCinyear!JM950</f>
        <v>-66.080004047435011</v>
      </c>
      <c r="AL1723" s="546">
        <f>-FISCinyear!JP950</f>
        <v>-72.123426846378138</v>
      </c>
      <c r="AM1723" s="546">
        <f>-FISCinyear!JS950</f>
        <v>-64.993866543918458</v>
      </c>
      <c r="AN1723" s="546">
        <f>-FISCinyear!JV950</f>
        <v>-64.163428140387936</v>
      </c>
      <c r="AO1723" s="546">
        <f>-FISCinyear!JY950</f>
        <v>-61.861708771813504</v>
      </c>
      <c r="AP1723" s="546">
        <f>-FISCinyear!JZ950</f>
        <v>-123.72341754362701</v>
      </c>
      <c r="AQ1723" s="546">
        <f>-FISCinyear!KA950</f>
        <v>-68.960193524926908</v>
      </c>
      <c r="AR1723" s="546">
        <f>-FISCinyear!KB950</f>
        <v>-68.960193524926908</v>
      </c>
      <c r="AS1723" s="546">
        <f>-FISCinyear!KC950</f>
        <v>-137.92038704985382</v>
      </c>
      <c r="AT1723" s="2709">
        <f>-FISCinyear!KD950</f>
        <v>-77.329880871418993</v>
      </c>
    </row>
    <row r="1724" spans="1:76">
      <c r="A1724" s="1"/>
      <c r="B1724" s="1"/>
      <c r="C1724" s="1"/>
      <c r="D1724" s="88" t="str">
        <f>+D1728</f>
        <v xml:space="preserve">     July-Dec </v>
      </c>
      <c r="E1724" s="82"/>
      <c r="F1724" s="82"/>
      <c r="G1724" s="82"/>
      <c r="H1724" s="82"/>
      <c r="I1724" s="89"/>
      <c r="J1724" s="90"/>
      <c r="K1724" s="90"/>
      <c r="L1724" s="90"/>
      <c r="M1724" s="90"/>
      <c r="N1724" s="90"/>
      <c r="O1724" s="90"/>
      <c r="P1724" s="90"/>
      <c r="Q1724" s="90"/>
      <c r="R1724" s="90"/>
      <c r="S1724" s="91"/>
      <c r="T1724" s="90"/>
      <c r="U1724" s="94"/>
      <c r="V1724" s="94"/>
      <c r="W1724" s="94"/>
      <c r="X1724" s="546"/>
      <c r="Y1724" s="546"/>
      <c r="Z1724" s="546"/>
      <c r="AA1724" s="546"/>
      <c r="AB1724" s="546"/>
      <c r="AC1724" s="546"/>
      <c r="AD1724" s="546"/>
      <c r="AE1724" s="546">
        <f>-FISCinyear!IW950</f>
        <v>-285.01806239585801</v>
      </c>
      <c r="AF1724" s="546">
        <f>-FISCinyear!IZ950</f>
        <v>-142.07157728112531</v>
      </c>
      <c r="AG1724" s="546">
        <f>-FISCinyear!JC950</f>
        <v>136.91327958771183</v>
      </c>
      <c r="AH1724" s="546">
        <f>-FISCinyear!JF950</f>
        <v>-158.72799265627373</v>
      </c>
      <c r="AI1724" s="546">
        <f>-FISCinyear!JI950</f>
        <v>-679.8985160574781</v>
      </c>
      <c r="AJ1724" s="546">
        <f>-FISCinyear!JL950</f>
        <v>-172.7813533939684</v>
      </c>
      <c r="AK1724" s="546">
        <f>-FISCinyear!JO950</f>
        <v>-72.123426846378138</v>
      </c>
      <c r="AL1724" s="546">
        <f>-FISCinyear!JR950</f>
        <v>-64.993866543918458</v>
      </c>
      <c r="AM1724" s="546">
        <f>-FISCinyear!JU950</f>
        <v>-64.163428140387936</v>
      </c>
      <c r="AN1724" s="546">
        <f>-FISCinyear!JX950</f>
        <v>-61.861708771813504</v>
      </c>
      <c r="AO1724" s="546">
        <f>-FISCinyear!KA950</f>
        <v>-68.960193524926908</v>
      </c>
      <c r="AP1724" s="546">
        <f>-FISCinyear!KB950</f>
        <v>-68.960193524926908</v>
      </c>
      <c r="AQ1724" s="546">
        <f>-FISCinyear!KC950</f>
        <v>-137.92038704985382</v>
      </c>
      <c r="AR1724" s="546">
        <f>-FISCinyear!KD950</f>
        <v>-77.329880871418993</v>
      </c>
      <c r="AS1724" s="546">
        <f>-FISCinyear!KE950</f>
        <v>-77.329880871418993</v>
      </c>
      <c r="AT1724" s="2709">
        <f>-FISCinyear!KF950</f>
        <v>-154.65976174283799</v>
      </c>
    </row>
    <row r="1725" spans="1:76">
      <c r="A1725" s="1"/>
      <c r="B1725" s="1"/>
      <c r="C1725" s="1"/>
      <c r="D1725" s="543" t="s">
        <v>3239</v>
      </c>
      <c r="E1725" s="82"/>
      <c r="F1725" s="82">
        <f t="shared" ref="F1725:AD1725" si="2082">F1271</f>
        <v>0</v>
      </c>
      <c r="G1725" s="82">
        <f t="shared" si="2082"/>
        <v>0</v>
      </c>
      <c r="H1725" s="82">
        <f t="shared" si="2082"/>
        <v>0</v>
      </c>
      <c r="I1725" s="89">
        <f t="shared" si="2082"/>
        <v>0</v>
      </c>
      <c r="J1725" s="90">
        <f t="shared" si="2082"/>
        <v>0</v>
      </c>
      <c r="K1725" s="90">
        <f t="shared" si="2082"/>
        <v>0</v>
      </c>
      <c r="L1725" s="90">
        <f t="shared" si="2082"/>
        <v>0</v>
      </c>
      <c r="M1725" s="90">
        <f t="shared" si="2082"/>
        <v>0</v>
      </c>
      <c r="N1725" s="90">
        <f t="shared" si="2082"/>
        <v>0</v>
      </c>
      <c r="O1725" s="90">
        <f t="shared" si="2082"/>
        <v>0</v>
      </c>
      <c r="P1725" s="90">
        <f t="shared" si="2082"/>
        <v>0</v>
      </c>
      <c r="Q1725" s="90">
        <f t="shared" si="2082"/>
        <v>0</v>
      </c>
      <c r="R1725" s="90">
        <f t="shared" si="2082"/>
        <v>0</v>
      </c>
      <c r="S1725" s="91">
        <f t="shared" si="2082"/>
        <v>0</v>
      </c>
      <c r="T1725" s="90">
        <f t="shared" si="2082"/>
        <v>0</v>
      </c>
      <c r="U1725" s="255">
        <f t="shared" si="2082"/>
        <v>0</v>
      </c>
      <c r="V1725" s="255" t="str">
        <f t="shared" si="2082"/>
        <v>Mon Survey</v>
      </c>
      <c r="W1725" s="255">
        <f t="shared" si="2082"/>
        <v>4.1000000000000156</v>
      </c>
      <c r="X1725" s="259">
        <f t="shared" si="2082"/>
        <v>111.70000000000006</v>
      </c>
      <c r="Y1725" s="259">
        <f t="shared" si="2082"/>
        <v>-91.333694621128842</v>
      </c>
      <c r="Z1725" s="259">
        <f t="shared" si="2082"/>
        <v>-45.386626808125826</v>
      </c>
      <c r="AA1725" s="259">
        <f t="shared" si="2082"/>
        <v>29.156403848296947</v>
      </c>
      <c r="AB1725" s="259">
        <f t="shared" si="2082"/>
        <v>2.8049531919039055</v>
      </c>
      <c r="AC1725" s="259">
        <f t="shared" si="2082"/>
        <v>48.186332582787003</v>
      </c>
      <c r="AD1725" s="259">
        <f t="shared" si="2082"/>
        <v>38.635839439861542</v>
      </c>
      <c r="AE1725" s="259">
        <f t="shared" ref="AE1725:AT1725" si="2083">-AE1271</f>
        <v>-307.54245797163463</v>
      </c>
      <c r="AF1725" s="259">
        <f t="shared" si="2083"/>
        <v>-43.164021002958634</v>
      </c>
      <c r="AG1725" s="259">
        <f t="shared" si="2083"/>
        <v>-208.70955126761885</v>
      </c>
      <c r="AH1725" s="259">
        <f t="shared" si="2083"/>
        <v>77.843979342327088</v>
      </c>
      <c r="AI1725" s="259">
        <f t="shared" si="2083"/>
        <v>12.597342287074412</v>
      </c>
      <c r="AJ1725" s="259">
        <f t="shared" si="2083"/>
        <v>-200.89352965501428</v>
      </c>
      <c r="AK1725" s="259">
        <f t="shared" si="2083"/>
        <v>-132.16000809487002</v>
      </c>
      <c r="AL1725" s="259">
        <f t="shared" si="2083"/>
        <v>-144.24685369275628</v>
      </c>
      <c r="AM1725" s="259">
        <f t="shared" si="2083"/>
        <v>-129.98773308783692</v>
      </c>
      <c r="AN1725" s="259">
        <f t="shared" si="2083"/>
        <v>-128.32685628077587</v>
      </c>
      <c r="AO1725" s="259">
        <f t="shared" si="2083"/>
        <v>-123.72341754362701</v>
      </c>
      <c r="AP1725" s="259">
        <f t="shared" si="2083"/>
        <v>-137.92038704985382</v>
      </c>
      <c r="AQ1725" s="259">
        <f t="shared" si="2083"/>
        <v>-154.65976174283799</v>
      </c>
      <c r="AR1725" s="259">
        <f t="shared" si="2083"/>
        <v>-172.27269574594627</v>
      </c>
      <c r="AS1725" s="259">
        <f t="shared" si="2083"/>
        <v>-192.28295120006771</v>
      </c>
      <c r="AT1725" s="2710">
        <f t="shared" si="2083"/>
        <v>-246.81003027507239</v>
      </c>
    </row>
    <row r="1726" spans="1:76">
      <c r="A1726" s="1"/>
      <c r="B1726" s="1"/>
      <c r="C1726" s="1"/>
      <c r="D1726" s="545" t="s">
        <v>3703</v>
      </c>
      <c r="E1726" s="250"/>
      <c r="F1726" s="250">
        <f t="shared" ref="F1726:AL1726" si="2084">F1727+F1728</f>
        <v>0</v>
      </c>
      <c r="G1726" s="250">
        <f t="shared" si="2084"/>
        <v>0</v>
      </c>
      <c r="H1726" s="250">
        <f t="shared" si="2084"/>
        <v>0</v>
      </c>
      <c r="I1726" s="251">
        <f t="shared" si="2084"/>
        <v>0</v>
      </c>
      <c r="J1726" s="252">
        <f t="shared" si="2084"/>
        <v>0</v>
      </c>
      <c r="K1726" s="252">
        <f t="shared" si="2084"/>
        <v>0</v>
      </c>
      <c r="L1726" s="252">
        <f t="shared" si="2084"/>
        <v>0</v>
      </c>
      <c r="M1726" s="252">
        <f t="shared" si="2084"/>
        <v>0</v>
      </c>
      <c r="N1726" s="252">
        <f t="shared" si="2084"/>
        <v>0</v>
      </c>
      <c r="O1726" s="252">
        <f t="shared" si="2084"/>
        <v>0</v>
      </c>
      <c r="P1726" s="252">
        <f t="shared" si="2084"/>
        <v>0</v>
      </c>
      <c r="Q1726" s="252">
        <f t="shared" si="2084"/>
        <v>0</v>
      </c>
      <c r="R1726" s="252">
        <f t="shared" si="2084"/>
        <v>0</v>
      </c>
      <c r="S1726" s="253">
        <f t="shared" si="2084"/>
        <v>0</v>
      </c>
      <c r="T1726" s="252">
        <f t="shared" si="2084"/>
        <v>0</v>
      </c>
      <c r="U1726" s="263">
        <f t="shared" si="2084"/>
        <v>0</v>
      </c>
      <c r="V1726" s="263">
        <f t="shared" si="2084"/>
        <v>0</v>
      </c>
      <c r="W1726" s="263">
        <f t="shared" si="2084"/>
        <v>0</v>
      </c>
      <c r="X1726" s="263">
        <f t="shared" si="2084"/>
        <v>0</v>
      </c>
      <c r="Y1726" s="263">
        <f t="shared" si="2084"/>
        <v>0</v>
      </c>
      <c r="Z1726" s="254">
        <f t="shared" si="2084"/>
        <v>0</v>
      </c>
      <c r="AA1726" s="254">
        <f t="shared" si="2084"/>
        <v>0</v>
      </c>
      <c r="AB1726" s="254">
        <f t="shared" si="2084"/>
        <v>0</v>
      </c>
      <c r="AC1726" s="254">
        <f t="shared" si="2084"/>
        <v>0</v>
      </c>
      <c r="AD1726" s="254">
        <f t="shared" si="2084"/>
        <v>0</v>
      </c>
      <c r="AE1726" s="1575">
        <f t="shared" si="2084"/>
        <v>-13.381292890000001</v>
      </c>
      <c r="AF1726" s="1575">
        <f>AF1727+AF1728</f>
        <v>0</v>
      </c>
      <c r="AG1726" s="1575">
        <f t="shared" si="2084"/>
        <v>-21.283423298999999</v>
      </c>
      <c r="AH1726" s="1575">
        <f t="shared" si="2084"/>
        <v>-44.269863409999999</v>
      </c>
      <c r="AI1726" s="1575">
        <f t="shared" si="2084"/>
        <v>-53.127828779000005</v>
      </c>
      <c r="AJ1726" s="1575">
        <f t="shared" si="2084"/>
        <v>-62.778802988370003</v>
      </c>
      <c r="AK1726" s="1575">
        <f t="shared" si="2084"/>
        <v>-56.651824238780051</v>
      </c>
      <c r="AL1726" s="1575">
        <f t="shared" si="2084"/>
        <v>-72.234271270095178</v>
      </c>
      <c r="AM1726" s="1575">
        <f>AM1727+AM1728</f>
        <v>-79.08700235345529</v>
      </c>
      <c r="AN1726" s="1575">
        <f>AN1727+AN1728</f>
        <v>-80.245756377049759</v>
      </c>
      <c r="AO1726" s="1575">
        <f>AO1727+AO1728</f>
        <v>-81.29465550443733</v>
      </c>
      <c r="AP1726" s="1575">
        <f t="shared" ref="AP1726:AT1726" si="2085">AP1727+AP1728</f>
        <v>-121.69198325665599</v>
      </c>
      <c r="AQ1726" s="1575">
        <f t="shared" si="2085"/>
        <v>-122.69198325665599</v>
      </c>
      <c r="AR1726" s="1575">
        <f t="shared" si="2085"/>
        <v>-82.29465550443733</v>
      </c>
      <c r="AS1726" s="1575">
        <f t="shared" si="2085"/>
        <v>-123.19198325665599</v>
      </c>
      <c r="AT1726" s="2715">
        <f t="shared" si="2085"/>
        <v>-124.19198325665599</v>
      </c>
    </row>
    <row r="1727" spans="1:76">
      <c r="A1727" s="1"/>
      <c r="B1727" s="1"/>
      <c r="C1727" s="1"/>
      <c r="D1727" s="88" t="s">
        <v>106</v>
      </c>
      <c r="E1727" s="82"/>
      <c r="F1727" s="82"/>
      <c r="G1727" s="82"/>
      <c r="H1727" s="82"/>
      <c r="I1727" s="89"/>
      <c r="J1727" s="90"/>
      <c r="K1727" s="90"/>
      <c r="L1727" s="90"/>
      <c r="M1727" s="90"/>
      <c r="N1727" s="90"/>
      <c r="O1727" s="90"/>
      <c r="P1727" s="90"/>
      <c r="Q1727" s="90"/>
      <c r="R1727" s="90"/>
      <c r="S1727" s="91"/>
      <c r="T1727" s="90"/>
      <c r="U1727" s="94"/>
      <c r="V1727" s="94"/>
      <c r="W1727" s="94"/>
      <c r="X1727" s="94"/>
      <c r="Y1727" s="546"/>
      <c r="Z1727" s="546"/>
      <c r="AA1727" s="546"/>
      <c r="AB1727" s="546"/>
      <c r="AC1727" s="546"/>
      <c r="AD1727" s="546"/>
      <c r="AE1727" s="546">
        <f>-(FISCinyear!IU952+FISCinyear!IU955+FISCinyear!IU961)</f>
        <v>0</v>
      </c>
      <c r="AF1727" s="546">
        <f>-(FISCinyear!IX952+FISCinyear!IX955+FISCinyear!IX961)</f>
        <v>0</v>
      </c>
      <c r="AG1727" s="546">
        <f>-(FISCinyear!JA952+FISCinyear!JA955+FISCinyear!JA961)</f>
        <v>0</v>
      </c>
      <c r="AH1727" s="546">
        <f>-(FISCinyear!JD952+FISCinyear!JD955+FISCinyear!JD961)</f>
        <v>-21.363942047999998</v>
      </c>
      <c r="AI1727" s="546">
        <f>-(FISCinyear!JG952+FISCinyear!JG955+FISCinyear!JG961)</f>
        <v>-25.729018944000003</v>
      </c>
      <c r="AJ1727" s="546">
        <f>-(FISCinyear!JJ952+FISCinyear!JJ955+FISCinyear!JJ961)</f>
        <v>-28.266564210999999</v>
      </c>
      <c r="AK1727" s="546">
        <f>-(FISCinyear!JM952+FISCinyear!JM955+FISCinyear!JM961)</f>
        <v>-23.656126697309048</v>
      </c>
      <c r="AL1727" s="546">
        <f>-(FISCinyear!JP952+FISCinyear!JP955+FISCinyear!JP961)</f>
        <v>-32.995697541471003</v>
      </c>
      <c r="AM1727" s="546">
        <f>-(FISCinyear!JS952 FISCinyear!JS952+FISCinyear!JS955+FISCinyear!JS961)</f>
        <v>-39.238573728624182</v>
      </c>
      <c r="AN1727" s="546">
        <f>-(FISCinyear!JV952+FISCinyear!JV955+FISCinyear!JV961)</f>
        <v>-39.848428624831101</v>
      </c>
      <c r="AO1727" s="546">
        <f>-(FISCinyear!JY952+FISCinyear!JY955+FISCinyear!JY961)</f>
        <v>-40.397327752218665</v>
      </c>
      <c r="AP1727" s="546">
        <f>-(FISCinyear!JZ952+FISCinyear!JZ955+FISCinyear!JZ961)</f>
        <v>-80.79465550443733</v>
      </c>
      <c r="AQ1727" s="546">
        <f>-(FISCinyear!KA952+FISCinyear!KA955+FISCinyear!KA961)</f>
        <v>-40.897327752218665</v>
      </c>
      <c r="AR1727" s="546">
        <f>-(FISCinyear!KB952+FISCinyear!KB955+FISCinyear!KB961)</f>
        <v>-40.897327752218665</v>
      </c>
      <c r="AS1727" s="546">
        <f>-(FISCinyear!KC952+FISCinyear!KC955+FISCinyear!KC961)</f>
        <v>-81.79465550443733</v>
      </c>
      <c r="AT1727" s="2709">
        <f>-(FISCinyear!KD952+FISCinyear!KD955+FISCinyear!KD961)</f>
        <v>-41.397327752218665</v>
      </c>
    </row>
    <row r="1728" spans="1:76">
      <c r="A1728" s="1"/>
      <c r="B1728" s="1"/>
      <c r="C1728" s="1"/>
      <c r="D1728" s="88" t="s">
        <v>107</v>
      </c>
      <c r="E1728" s="82"/>
      <c r="F1728" s="82"/>
      <c r="G1728" s="82"/>
      <c r="H1728" s="82"/>
      <c r="I1728" s="89"/>
      <c r="J1728" s="90"/>
      <c r="K1728" s="90"/>
      <c r="L1728" s="90"/>
      <c r="M1728" s="90"/>
      <c r="N1728" s="90"/>
      <c r="O1728" s="90"/>
      <c r="P1728" s="90"/>
      <c r="Q1728" s="90"/>
      <c r="R1728" s="90"/>
      <c r="S1728" s="91"/>
      <c r="T1728" s="90"/>
      <c r="U1728" s="94"/>
      <c r="V1728" s="94"/>
      <c r="W1728" s="94"/>
      <c r="X1728" s="546"/>
      <c r="Y1728" s="546"/>
      <c r="Z1728" s="546"/>
      <c r="AA1728" s="546"/>
      <c r="AB1728" s="546"/>
      <c r="AC1728" s="546"/>
      <c r="AD1728" s="546"/>
      <c r="AE1728" s="546">
        <f>-(FISCinyear!IW952+FISCinyear!IW955+FISCinyear!IW961)</f>
        <v>-13.381292890000001</v>
      </c>
      <c r="AF1728" s="546">
        <f>-(FISCinyear!IZ952+FISCinyear!IZ955+FISCinyear!IZ961)</f>
        <v>0</v>
      </c>
      <c r="AG1728" s="546">
        <f>-(FISCinyear!JC952+FISCinyear!JC955+FISCinyear!JC961)</f>
        <v>-21.283423298999999</v>
      </c>
      <c r="AH1728" s="546">
        <f>-(FISCinyear!JF952+FISCinyear!JF955+FISCinyear!JF961)</f>
        <v>-22.905921361999997</v>
      </c>
      <c r="AI1728" s="546">
        <f>-(FISCinyear!JI952+FISCinyear!JI955+FISCinyear!JI961)</f>
        <v>-27.398809835000002</v>
      </c>
      <c r="AJ1728" s="546">
        <f>-(FISCinyear!JL952+FISCinyear!JL955+FISCinyear!JL961)</f>
        <v>-34.512238777370001</v>
      </c>
      <c r="AK1728" s="546">
        <f>-(FISCinyear!JO952+FISCinyear!JO955+FISCinyear!JO961)</f>
        <v>-32.995697541471003</v>
      </c>
      <c r="AL1728" s="546">
        <f>-(FISCinyear!JR952+FISCinyear!JR955+FISCinyear!JR961)</f>
        <v>-39.238573728624182</v>
      </c>
      <c r="AM1728" s="546">
        <f>-(FISCinyear!JU952+FISCinyear!JU955+FISCinyear!JU961)</f>
        <v>-39.848428624831101</v>
      </c>
      <c r="AN1728" s="546">
        <f>-(FISCinyear!JX952+FISCinyear!JX955+FISCinyear!JX961)</f>
        <v>-40.397327752218665</v>
      </c>
      <c r="AO1728" s="546">
        <f>-(FISCinyear!KA952+FISCinyear!KA955+FISCinyear!KA961)</f>
        <v>-40.897327752218665</v>
      </c>
      <c r="AP1728" s="546">
        <f>-(FISCinyear!KB952+FISCinyear!KB955+FISCinyear!KB961)</f>
        <v>-40.897327752218665</v>
      </c>
      <c r="AQ1728" s="546">
        <f>-(FISCinyear!KC952+FISCinyear!KC955+FISCinyear!KC961)</f>
        <v>-81.79465550443733</v>
      </c>
      <c r="AR1728" s="546">
        <f>-(FISCinyear!KD952+FISCinyear!KD955+FISCinyear!KD961)</f>
        <v>-41.397327752218665</v>
      </c>
      <c r="AS1728" s="546">
        <f>-(FISCinyear!KE952+FISCinyear!KE955+FISCinyear!KE961)</f>
        <v>-41.397327752218665</v>
      </c>
      <c r="AT1728" s="2709">
        <f>-(FISCinyear!KF952+FISCinyear!KF955+FISCinyear!KF961)</f>
        <v>-82.79465550443733</v>
      </c>
    </row>
    <row r="1729" spans="1:46">
      <c r="A1729" s="1"/>
      <c r="B1729" s="1"/>
      <c r="C1729" s="1"/>
      <c r="D1729" s="543" t="s">
        <v>3240</v>
      </c>
      <c r="E1729" s="82"/>
      <c r="F1729" s="82" t="e">
        <f>F1733+F1737+F1741+#REF!</f>
        <v>#REF!</v>
      </c>
      <c r="G1729" s="82" t="e">
        <f>G1733+G1737+G1741+#REF!</f>
        <v>#REF!</v>
      </c>
      <c r="H1729" s="82" t="e">
        <f>H1733+H1737+H1741+#REF!</f>
        <v>#REF!</v>
      </c>
      <c r="I1729" s="89" t="e">
        <f>I1733+I1737+I1741+#REF!</f>
        <v>#REF!</v>
      </c>
      <c r="J1729" s="90" t="e">
        <f>J1733+J1737+J1741+#REF!</f>
        <v>#REF!</v>
      </c>
      <c r="K1729" s="90" t="e">
        <f>K1733+K1737+K1741+#REF!</f>
        <v>#REF!</v>
      </c>
      <c r="L1729" s="90" t="e">
        <f>L1733+L1737+L1741+#REF!</f>
        <v>#REF!</v>
      </c>
      <c r="M1729" s="90" t="e">
        <f>M1733+M1737+M1741+#REF!</f>
        <v>#REF!</v>
      </c>
      <c r="N1729" s="90" t="e">
        <f>N1733+N1737+N1741+#REF!</f>
        <v>#REF!</v>
      </c>
      <c r="O1729" s="90" t="e">
        <f>O1733+O1737+O1741+#REF!</f>
        <v>#REF!</v>
      </c>
      <c r="P1729" s="90" t="e">
        <f>P1733+P1737+P1741+#REF!</f>
        <v>#REF!</v>
      </c>
      <c r="Q1729" s="90" t="e">
        <f>Q1733+Q1737+Q1741+#REF!</f>
        <v>#REF!</v>
      </c>
      <c r="R1729" s="90" t="e">
        <f>R1733+R1737+R1741+#REF!</f>
        <v>#REF!</v>
      </c>
      <c r="S1729" s="91" t="e">
        <f>S1733+S1737+S1741+#REF!</f>
        <v>#REF!</v>
      </c>
      <c r="T1729" s="90" t="e">
        <f>T1733+T1737+T1741+#REF!</f>
        <v>#REF!</v>
      </c>
      <c r="U1729" s="255" t="e">
        <f>U1733+U1737+U1741+#REF!</f>
        <v>#REF!</v>
      </c>
      <c r="V1729" s="255" t="e">
        <f>V1733+V1737+V1741+#REF!</f>
        <v>#REF!</v>
      </c>
      <c r="W1729" s="255" t="e">
        <f>W1733+W1737+W1741+#REF!</f>
        <v>#REF!</v>
      </c>
      <c r="X1729" s="259" t="e">
        <f>X1733+X1737+X1741+#REF!</f>
        <v>#REF!</v>
      </c>
      <c r="Y1729" s="259" t="e">
        <f>Y1733+Y1737+Y1741+#REF!</f>
        <v>#REF!</v>
      </c>
      <c r="Z1729" s="259" t="e">
        <f>Z1733+Z1737+Z1741+#REF!</f>
        <v>#REF!</v>
      </c>
      <c r="AA1729" s="259" t="e">
        <f>AA1733+AA1737+AA1741+#REF!</f>
        <v>#REF!</v>
      </c>
      <c r="AB1729" s="259" t="e">
        <f>AB1733+AB1737+AB1741+#REF!</f>
        <v>#REF!</v>
      </c>
      <c r="AC1729" s="259" t="e">
        <f>AC1733+AC1737+AC1741+#REF!</f>
        <v>#REF!</v>
      </c>
      <c r="AD1729" s="259" t="e">
        <f>AD1733+AD1737+AD1741+#REF!</f>
        <v>#REF!</v>
      </c>
      <c r="AE1729" s="259">
        <f t="shared" ref="AE1729:AT1729" si="2086">-(AE1273+AE1276+AE1282)</f>
        <v>0</v>
      </c>
      <c r="AF1729" s="259">
        <f t="shared" si="2086"/>
        <v>-13.381292890000001</v>
      </c>
      <c r="AG1729" s="259">
        <f t="shared" si="2086"/>
        <v>0</v>
      </c>
      <c r="AH1729" s="259">
        <f t="shared" si="2086"/>
        <v>-42.647365346999997</v>
      </c>
      <c r="AI1729" s="259">
        <f t="shared" si="2086"/>
        <v>-48.634940306000004</v>
      </c>
      <c r="AJ1729" s="259">
        <f t="shared" si="2086"/>
        <v>-55.665374046000004</v>
      </c>
      <c r="AK1729" s="259">
        <f t="shared" si="2086"/>
        <v>-58.168365474679049</v>
      </c>
      <c r="AL1729" s="259">
        <f t="shared" si="2086"/>
        <v>-65.991395082942006</v>
      </c>
      <c r="AM1729" s="259">
        <f t="shared" si="2086"/>
        <v>-78.477147457248364</v>
      </c>
      <c r="AN1729" s="259">
        <f t="shared" si="2086"/>
        <v>-79.696857249662202</v>
      </c>
      <c r="AO1729" s="259">
        <f t="shared" si="2086"/>
        <v>-80.79465550443733</v>
      </c>
      <c r="AP1729" s="259">
        <f t="shared" si="2086"/>
        <v>-81.79465550443733</v>
      </c>
      <c r="AQ1729" s="259">
        <f t="shared" si="2086"/>
        <v>-82.79465550443733</v>
      </c>
      <c r="AR1729" s="259">
        <f t="shared" si="2086"/>
        <v>-83.79465550443733</v>
      </c>
      <c r="AS1729" s="259">
        <f t="shared" si="2086"/>
        <v>-84.79465550443733</v>
      </c>
      <c r="AT1729" s="2710">
        <f t="shared" si="2086"/>
        <v>-85.79465550443733</v>
      </c>
    </row>
    <row r="1730" spans="1:46">
      <c r="A1730" s="1"/>
      <c r="B1730" s="1"/>
      <c r="C1730" s="1"/>
      <c r="D1730" s="545" t="s">
        <v>3875</v>
      </c>
      <c r="E1730" s="250"/>
      <c r="F1730" s="250">
        <f t="shared" ref="F1730:AL1730" si="2087">F1731+F1732</f>
        <v>0</v>
      </c>
      <c r="G1730" s="250">
        <f t="shared" si="2087"/>
        <v>0</v>
      </c>
      <c r="H1730" s="250">
        <f t="shared" si="2087"/>
        <v>0</v>
      </c>
      <c r="I1730" s="251">
        <f t="shared" si="2087"/>
        <v>0</v>
      </c>
      <c r="J1730" s="252">
        <f t="shared" si="2087"/>
        <v>0</v>
      </c>
      <c r="K1730" s="252">
        <f t="shared" si="2087"/>
        <v>0</v>
      </c>
      <c r="L1730" s="252">
        <f t="shared" si="2087"/>
        <v>0</v>
      </c>
      <c r="M1730" s="252">
        <f t="shared" si="2087"/>
        <v>0</v>
      </c>
      <c r="N1730" s="252">
        <f t="shared" si="2087"/>
        <v>0</v>
      </c>
      <c r="O1730" s="252">
        <f t="shared" si="2087"/>
        <v>0</v>
      </c>
      <c r="P1730" s="252">
        <f t="shared" si="2087"/>
        <v>0</v>
      </c>
      <c r="Q1730" s="252">
        <f t="shared" si="2087"/>
        <v>0</v>
      </c>
      <c r="R1730" s="252">
        <f t="shared" si="2087"/>
        <v>0</v>
      </c>
      <c r="S1730" s="253">
        <f t="shared" si="2087"/>
        <v>0</v>
      </c>
      <c r="T1730" s="252">
        <f t="shared" si="2087"/>
        <v>0</v>
      </c>
      <c r="U1730" s="263">
        <f t="shared" si="2087"/>
        <v>0</v>
      </c>
      <c r="V1730" s="263">
        <f t="shared" si="2087"/>
        <v>0</v>
      </c>
      <c r="W1730" s="263">
        <f t="shared" si="2087"/>
        <v>0</v>
      </c>
      <c r="X1730" s="263">
        <f t="shared" si="2087"/>
        <v>0</v>
      </c>
      <c r="Y1730" s="263">
        <f t="shared" si="2087"/>
        <v>0</v>
      </c>
      <c r="Z1730" s="254">
        <f t="shared" si="2087"/>
        <v>0</v>
      </c>
      <c r="AA1730" s="254">
        <f t="shared" si="2087"/>
        <v>0</v>
      </c>
      <c r="AB1730" s="254">
        <f t="shared" si="2087"/>
        <v>0</v>
      </c>
      <c r="AC1730" s="254">
        <f t="shared" si="2087"/>
        <v>0</v>
      </c>
      <c r="AD1730" s="254">
        <f t="shared" si="2087"/>
        <v>0</v>
      </c>
      <c r="AE1730" s="1575">
        <f t="shared" si="2087"/>
        <v>0</v>
      </c>
      <c r="AF1730" s="1575">
        <f t="shared" si="2087"/>
        <v>0</v>
      </c>
      <c r="AG1730" s="1575">
        <f t="shared" si="2087"/>
        <v>0</v>
      </c>
      <c r="AH1730" s="1575">
        <f t="shared" si="2087"/>
        <v>0</v>
      </c>
      <c r="AI1730" s="1575">
        <f t="shared" si="2087"/>
        <v>0</v>
      </c>
      <c r="AJ1730" s="1575">
        <f t="shared" si="2087"/>
        <v>0</v>
      </c>
      <c r="AK1730" s="1575">
        <f t="shared" si="2087"/>
        <v>0</v>
      </c>
      <c r="AL1730" s="1575">
        <f t="shared" si="2087"/>
        <v>0</v>
      </c>
      <c r="AM1730" s="1575">
        <f>AM1731+AM1732</f>
        <v>0</v>
      </c>
      <c r="AN1730" s="1575">
        <f>AN1731+AN1732</f>
        <v>0</v>
      </c>
      <c r="AO1730" s="1575">
        <f>AO1731+AO1732</f>
        <v>0</v>
      </c>
      <c r="AP1730" s="1575">
        <f t="shared" ref="AP1730:AT1730" si="2088">AP1731+AP1732</f>
        <v>0</v>
      </c>
      <c r="AQ1730" s="1575">
        <f t="shared" si="2088"/>
        <v>0</v>
      </c>
      <c r="AR1730" s="1575">
        <f t="shared" si="2088"/>
        <v>0</v>
      </c>
      <c r="AS1730" s="1575">
        <f t="shared" si="2088"/>
        <v>0</v>
      </c>
      <c r="AT1730" s="2715">
        <f t="shared" si="2088"/>
        <v>0</v>
      </c>
    </row>
    <row r="1731" spans="1:46">
      <c r="A1731" s="1"/>
      <c r="B1731" s="1"/>
      <c r="C1731" s="1"/>
      <c r="D1731" s="88" t="str">
        <f>+D1727</f>
        <v xml:space="preserve">     Jan-June </v>
      </c>
      <c r="E1731" s="82"/>
      <c r="F1731" s="82"/>
      <c r="G1731" s="82"/>
      <c r="H1731" s="82"/>
      <c r="I1731" s="89"/>
      <c r="J1731" s="90"/>
      <c r="K1731" s="90"/>
      <c r="L1731" s="90"/>
      <c r="M1731" s="90"/>
      <c r="N1731" s="90"/>
      <c r="O1731" s="90"/>
      <c r="P1731" s="90"/>
      <c r="Q1731" s="90"/>
      <c r="R1731" s="90"/>
      <c r="S1731" s="91"/>
      <c r="T1731" s="90"/>
      <c r="U1731" s="94"/>
      <c r="V1731" s="94"/>
      <c r="W1731" s="94"/>
      <c r="X1731" s="94"/>
      <c r="Y1731" s="546"/>
      <c r="Z1731" s="546"/>
      <c r="AA1731" s="546"/>
      <c r="AB1731" s="546"/>
      <c r="AC1731" s="546"/>
      <c r="AD1731" s="546"/>
      <c r="AE1731" s="546">
        <f>FISCinyear!IU996+FISCinyear!IU999+FISCinyear!IU1010</f>
        <v>0</v>
      </c>
      <c r="AF1731" s="546">
        <f>FISCinyear!IX996+FISCinyear!IX999+FISCinyear!IX1010</f>
        <v>0</v>
      </c>
      <c r="AG1731" s="546">
        <f>FISCinyear!JA996+FISCinyear!JA999+FISCinyear!JA1010</f>
        <v>0</v>
      </c>
      <c r="AH1731" s="546">
        <f>FISCinyear!JD996+FISCinyear!JD999+FISCinyear!JD1010</f>
        <v>0</v>
      </c>
      <c r="AI1731" s="1040">
        <f>FISCinyear!JG996+FISCinyear!JG999+FISCinyear!JG1010</f>
        <v>0</v>
      </c>
      <c r="AJ1731" s="546">
        <f>FISCinyear!JJ996+FISCinyear!JJ999+FISCinyear!JJ1010</f>
        <v>0</v>
      </c>
      <c r="AK1731" s="546">
        <f>FISCinyear!JM996+FISCinyear!JM999+FISCinyear!JM1010</f>
        <v>0</v>
      </c>
      <c r="AL1731" s="546">
        <f>FISCinyear!JP996+FISCinyear!JP999+FISCinyear!JP1010</f>
        <v>0</v>
      </c>
      <c r="AM1731" s="546">
        <f>FISCinyear!JS996+FISCinyear!JS999+FISCinyear!JS1010</f>
        <v>0</v>
      </c>
      <c r="AN1731" s="546">
        <f>FISCinyear!JV996+FISCinyear!JV999+FISCinyear!JV1010</f>
        <v>0</v>
      </c>
      <c r="AO1731" s="546">
        <f>FISCinyear!JY996+FISCinyear!JY999+FISCinyear!JY1010</f>
        <v>0</v>
      </c>
      <c r="AP1731" s="546">
        <f>FISCinyear!JZ996+FISCinyear!JZ999+FISCinyear!JZ1010</f>
        <v>0</v>
      </c>
      <c r="AQ1731" s="546">
        <f>FISCinyear!KA996+FISCinyear!KA999+FISCinyear!KA1010</f>
        <v>0</v>
      </c>
      <c r="AR1731" s="546">
        <f>FISCinyear!KB996+FISCinyear!KB999+FISCinyear!KB1010</f>
        <v>0</v>
      </c>
      <c r="AS1731" s="546">
        <f>FISCinyear!KC996+FISCinyear!KC999+FISCinyear!KC1010</f>
        <v>0</v>
      </c>
      <c r="AT1731" s="2709">
        <f>FISCinyear!KD996+FISCinyear!KD999+FISCinyear!KD1010</f>
        <v>0</v>
      </c>
    </row>
    <row r="1732" spans="1:46">
      <c r="A1732" s="1"/>
      <c r="B1732" s="1"/>
      <c r="C1732" s="1"/>
      <c r="D1732" s="88" t="str">
        <f>+D1728</f>
        <v xml:space="preserve">     July-Dec </v>
      </c>
      <c r="E1732" s="82"/>
      <c r="F1732" s="82"/>
      <c r="G1732" s="82"/>
      <c r="H1732" s="82"/>
      <c r="I1732" s="89"/>
      <c r="J1732" s="90"/>
      <c r="K1732" s="90"/>
      <c r="L1732" s="90"/>
      <c r="M1732" s="90"/>
      <c r="N1732" s="90"/>
      <c r="O1732" s="90"/>
      <c r="P1732" s="90"/>
      <c r="Q1732" s="90"/>
      <c r="R1732" s="90"/>
      <c r="S1732" s="91"/>
      <c r="T1732" s="90"/>
      <c r="U1732" s="94"/>
      <c r="V1732" s="94"/>
      <c r="W1732" s="94"/>
      <c r="X1732" s="546"/>
      <c r="Y1732" s="546"/>
      <c r="Z1732" s="546"/>
      <c r="AA1732" s="546"/>
      <c r="AB1732" s="546"/>
      <c r="AC1732" s="546"/>
      <c r="AD1732" s="546"/>
      <c r="AE1732" s="546">
        <f>FISCinyear!IW996+FISCinyear!IW999+FISCinyear!IW1010</f>
        <v>0</v>
      </c>
      <c r="AF1732" s="546">
        <f>FISCinyear!IZ996+FISCinyear!IZ999+FISCinyear!IZ1010</f>
        <v>0</v>
      </c>
      <c r="AG1732" s="546">
        <f>FISCinyear!JC996+FISCinyear!JC999+FISCinyear!JC1010</f>
        <v>0</v>
      </c>
      <c r="AH1732" s="546">
        <f>FISCinyear!JF996+FISCinyear!JF999++FISCinyear!JF1010</f>
        <v>0</v>
      </c>
      <c r="AI1732" s="1040">
        <f>FISCinyear!JI996+FISCinyear!JI999+FISCinyear!JI1010</f>
        <v>0</v>
      </c>
      <c r="AJ1732" s="546">
        <f>FISCinyear!JL996+FISCinyear!JL999+FISCinyear!JL1010</f>
        <v>0</v>
      </c>
      <c r="AK1732" s="546">
        <f>FISCinyear!JO996+FISCinyear!JO999+FISCinyear!JO1010</f>
        <v>0</v>
      </c>
      <c r="AL1732" s="546">
        <f>FISCinyear!JR996+FISCinyear!JR999+FISCinyear!JR1010</f>
        <v>0</v>
      </c>
      <c r="AM1732" s="546">
        <f>FISCinyear!JU996+FISCinyear!JU999+FISCinyear!JU1010</f>
        <v>0</v>
      </c>
      <c r="AN1732" s="546">
        <f>FISCinyear!JX996+FISCinyear!JX999+FISCinyear!JX1010</f>
        <v>0</v>
      </c>
      <c r="AO1732" s="546">
        <f>FISCinyear!KA996+FISCinyear!KA999+FISCinyear!KA1010</f>
        <v>0</v>
      </c>
      <c r="AP1732" s="546">
        <f>FISCinyear!KB996+FISCinyear!KB999+FISCinyear!KB1010</f>
        <v>0</v>
      </c>
      <c r="AQ1732" s="546">
        <f>FISCinyear!KC996+FISCinyear!KC999+FISCinyear!KC1010</f>
        <v>0</v>
      </c>
      <c r="AR1732" s="546">
        <f>FISCinyear!KD996+FISCinyear!KD999+FISCinyear!KD1010</f>
        <v>0</v>
      </c>
      <c r="AS1732" s="546">
        <f>FISCinyear!KE996+FISCinyear!KE999+FISCinyear!KE1010</f>
        <v>0</v>
      </c>
      <c r="AT1732" s="2709">
        <f>FISCinyear!KF996+FISCinyear!KF999+FISCinyear!KF1010</f>
        <v>0</v>
      </c>
    </row>
    <row r="1733" spans="1:46">
      <c r="A1733" s="1"/>
      <c r="B1733" s="1"/>
      <c r="C1733" s="1"/>
      <c r="D1733" s="543" t="s">
        <v>3753</v>
      </c>
      <c r="E1733" s="82"/>
      <c r="F1733" s="82">
        <f t="shared" ref="F1733:AT1733" si="2089">F1322+F1325</f>
        <v>0</v>
      </c>
      <c r="G1733" s="82">
        <f t="shared" si="2089"/>
        <v>0</v>
      </c>
      <c r="H1733" s="82">
        <f t="shared" si="2089"/>
        <v>0</v>
      </c>
      <c r="I1733" s="89">
        <f t="shared" si="2089"/>
        <v>0</v>
      </c>
      <c r="J1733" s="90">
        <f t="shared" si="2089"/>
        <v>0</v>
      </c>
      <c r="K1733" s="90">
        <f t="shared" si="2089"/>
        <v>0</v>
      </c>
      <c r="L1733" s="90">
        <f t="shared" si="2089"/>
        <v>0</v>
      </c>
      <c r="M1733" s="90">
        <f t="shared" si="2089"/>
        <v>0</v>
      </c>
      <c r="N1733" s="90">
        <f t="shared" si="2089"/>
        <v>0</v>
      </c>
      <c r="O1733" s="90">
        <f t="shared" si="2089"/>
        <v>0</v>
      </c>
      <c r="P1733" s="90">
        <f t="shared" si="2089"/>
        <v>0</v>
      </c>
      <c r="Q1733" s="90">
        <f t="shared" si="2089"/>
        <v>0</v>
      </c>
      <c r="R1733" s="90">
        <f t="shared" si="2089"/>
        <v>0</v>
      </c>
      <c r="S1733" s="91">
        <f t="shared" si="2089"/>
        <v>0</v>
      </c>
      <c r="T1733" s="90">
        <f t="shared" si="2089"/>
        <v>0</v>
      </c>
      <c r="U1733" s="255">
        <f t="shared" si="2089"/>
        <v>0</v>
      </c>
      <c r="V1733" s="255">
        <f t="shared" si="2089"/>
        <v>0</v>
      </c>
      <c r="W1733" s="255">
        <f t="shared" si="2089"/>
        <v>0</v>
      </c>
      <c r="X1733" s="259">
        <f t="shared" si="2089"/>
        <v>0</v>
      </c>
      <c r="Y1733" s="259">
        <f t="shared" si="2089"/>
        <v>0</v>
      </c>
      <c r="Z1733" s="259">
        <f t="shared" si="2089"/>
        <v>0</v>
      </c>
      <c r="AA1733" s="259">
        <f t="shared" si="2089"/>
        <v>0</v>
      </c>
      <c r="AB1733" s="259">
        <f t="shared" si="2089"/>
        <v>0</v>
      </c>
      <c r="AC1733" s="259">
        <f t="shared" si="2089"/>
        <v>0</v>
      </c>
      <c r="AD1733" s="259">
        <f t="shared" si="2089"/>
        <v>0</v>
      </c>
      <c r="AE1733" s="259">
        <f t="shared" si="2089"/>
        <v>0</v>
      </c>
      <c r="AF1733" s="259">
        <f t="shared" si="2089"/>
        <v>0</v>
      </c>
      <c r="AG1733" s="259">
        <f t="shared" si="2089"/>
        <v>0</v>
      </c>
      <c r="AH1733" s="259">
        <f t="shared" si="2089"/>
        <v>0</v>
      </c>
      <c r="AI1733" s="259">
        <f t="shared" si="2089"/>
        <v>0</v>
      </c>
      <c r="AJ1733" s="259">
        <f t="shared" si="2089"/>
        <v>0</v>
      </c>
      <c r="AK1733" s="259">
        <f t="shared" si="2089"/>
        <v>0</v>
      </c>
      <c r="AL1733" s="259">
        <f t="shared" si="2089"/>
        <v>0</v>
      </c>
      <c r="AM1733" s="259">
        <f t="shared" si="2089"/>
        <v>0</v>
      </c>
      <c r="AN1733" s="259">
        <f t="shared" si="2089"/>
        <v>0</v>
      </c>
      <c r="AO1733" s="259">
        <f t="shared" si="2089"/>
        <v>0</v>
      </c>
      <c r="AP1733" s="259">
        <f t="shared" si="2089"/>
        <v>0</v>
      </c>
      <c r="AQ1733" s="259">
        <f t="shared" si="2089"/>
        <v>0</v>
      </c>
      <c r="AR1733" s="259">
        <f t="shared" si="2089"/>
        <v>0</v>
      </c>
      <c r="AS1733" s="259">
        <f t="shared" si="2089"/>
        <v>0</v>
      </c>
      <c r="AT1733" s="2710">
        <f t="shared" si="2089"/>
        <v>0</v>
      </c>
    </row>
    <row r="1734" spans="1:46">
      <c r="A1734" s="1"/>
      <c r="B1734" s="1"/>
      <c r="C1734" s="1"/>
      <c r="D1734" s="545" t="s">
        <v>3754</v>
      </c>
      <c r="E1734" s="250"/>
      <c r="F1734" s="250">
        <f t="shared" ref="F1734:AL1734" si="2090">F1735+F1736</f>
        <v>0</v>
      </c>
      <c r="G1734" s="250">
        <f t="shared" si="2090"/>
        <v>0</v>
      </c>
      <c r="H1734" s="250">
        <f t="shared" si="2090"/>
        <v>0</v>
      </c>
      <c r="I1734" s="251">
        <f t="shared" si="2090"/>
        <v>0</v>
      </c>
      <c r="J1734" s="252">
        <f t="shared" si="2090"/>
        <v>0</v>
      </c>
      <c r="K1734" s="252">
        <f t="shared" si="2090"/>
        <v>0</v>
      </c>
      <c r="L1734" s="252">
        <f t="shared" si="2090"/>
        <v>0</v>
      </c>
      <c r="M1734" s="252">
        <f t="shared" si="2090"/>
        <v>0</v>
      </c>
      <c r="N1734" s="252">
        <f t="shared" si="2090"/>
        <v>0</v>
      </c>
      <c r="O1734" s="252">
        <f t="shared" si="2090"/>
        <v>0</v>
      </c>
      <c r="P1734" s="252">
        <f t="shared" si="2090"/>
        <v>0</v>
      </c>
      <c r="Q1734" s="252">
        <f t="shared" si="2090"/>
        <v>0</v>
      </c>
      <c r="R1734" s="252">
        <f t="shared" si="2090"/>
        <v>0</v>
      </c>
      <c r="S1734" s="253">
        <f t="shared" si="2090"/>
        <v>0</v>
      </c>
      <c r="T1734" s="252">
        <f t="shared" si="2090"/>
        <v>0</v>
      </c>
      <c r="U1734" s="263">
        <f t="shared" si="2090"/>
        <v>0</v>
      </c>
      <c r="V1734" s="263">
        <f t="shared" si="2090"/>
        <v>0</v>
      </c>
      <c r="W1734" s="263">
        <f t="shared" si="2090"/>
        <v>0</v>
      </c>
      <c r="X1734" s="263">
        <f t="shared" si="2090"/>
        <v>0</v>
      </c>
      <c r="Y1734" s="263">
        <f t="shared" si="2090"/>
        <v>0</v>
      </c>
      <c r="Z1734" s="254">
        <f t="shared" si="2090"/>
        <v>0</v>
      </c>
      <c r="AA1734" s="254">
        <f t="shared" si="2090"/>
        <v>0</v>
      </c>
      <c r="AB1734" s="254">
        <f t="shared" si="2090"/>
        <v>0</v>
      </c>
      <c r="AC1734" s="254">
        <f t="shared" si="2090"/>
        <v>0</v>
      </c>
      <c r="AD1734" s="254">
        <f t="shared" si="2090"/>
        <v>0</v>
      </c>
      <c r="AE1734" s="1575">
        <f t="shared" si="2090"/>
        <v>59.634900000000016</v>
      </c>
      <c r="AF1734" s="1575">
        <f t="shared" si="2090"/>
        <v>110.45498500000008</v>
      </c>
      <c r="AG1734" s="1575">
        <f t="shared" si="2090"/>
        <v>230.19320000000005</v>
      </c>
      <c r="AH1734" s="1575">
        <f t="shared" si="2090"/>
        <v>49.975500000000011</v>
      </c>
      <c r="AI1734" s="1575">
        <f t="shared" si="2090"/>
        <v>189.34399999999999</v>
      </c>
      <c r="AJ1734" s="1575">
        <f>AJ1735+AJ1736</f>
        <v>49.974600000000066</v>
      </c>
      <c r="AK1734" s="1575">
        <f t="shared" si="2090"/>
        <v>509.6822234045141</v>
      </c>
      <c r="AL1734" s="1575">
        <f t="shared" si="2090"/>
        <v>96.015480711385919</v>
      </c>
      <c r="AM1734" s="1575">
        <f>AM1735+AM1736</f>
        <v>15.617980284375832</v>
      </c>
      <c r="AN1734" s="1575">
        <f>AN1735+AN1736</f>
        <v>392.25913797718175</v>
      </c>
      <c r="AO1734" s="1575">
        <f>AO1735+AO1736</f>
        <v>348.45656048174362</v>
      </c>
      <c r="AP1734" s="1575">
        <f t="shared" ref="AP1734:AT1734" si="2091">AP1735+AP1736</f>
        <v>521.44541831972458</v>
      </c>
      <c r="AQ1734" s="1575">
        <f t="shared" si="2091"/>
        <v>698.72112744360879</v>
      </c>
      <c r="AR1734" s="1575">
        <f t="shared" si="2091"/>
        <v>561.23291442932305</v>
      </c>
      <c r="AS1734" s="1575">
        <f t="shared" si="2091"/>
        <v>574.03851781933713</v>
      </c>
      <c r="AT1734" s="2715">
        <f t="shared" si="2091"/>
        <v>1380.5711489284181</v>
      </c>
    </row>
    <row r="1735" spans="1:46">
      <c r="A1735" s="1"/>
      <c r="B1735" s="1"/>
      <c r="C1735" s="1"/>
      <c r="D1735" s="88" t="str">
        <f>+D1723</f>
        <v xml:space="preserve">     Jan-June </v>
      </c>
      <c r="E1735" s="82"/>
      <c r="F1735" s="82"/>
      <c r="G1735" s="82"/>
      <c r="H1735" s="82"/>
      <c r="I1735" s="89"/>
      <c r="J1735" s="90"/>
      <c r="K1735" s="90"/>
      <c r="L1735" s="90"/>
      <c r="M1735" s="90"/>
      <c r="N1735" s="90"/>
      <c r="O1735" s="90"/>
      <c r="P1735" s="90"/>
      <c r="Q1735" s="90"/>
      <c r="R1735" s="90"/>
      <c r="S1735" s="91"/>
      <c r="T1735" s="90"/>
      <c r="U1735" s="94"/>
      <c r="V1735" s="94"/>
      <c r="W1735" s="94"/>
      <c r="X1735" s="94"/>
      <c r="Y1735" s="546"/>
      <c r="Z1735" s="546"/>
      <c r="AA1735" s="546"/>
      <c r="AB1735" s="546"/>
      <c r="AC1735" s="546"/>
      <c r="AD1735" s="546"/>
      <c r="AE1735" s="546">
        <f>FISCinyear!IU997+FISCinyear!IU1000</f>
        <v>62.254500000000064</v>
      </c>
      <c r="AF1735" s="546">
        <f>FISCinyear!IX997+FISCinyear!IX1000</f>
        <v>65.591020000000015</v>
      </c>
      <c r="AG1735" s="546">
        <f>FISCinyear!JA997+FISCinyear!JA1000</f>
        <v>151.53391500000004</v>
      </c>
      <c r="AH1735" s="546">
        <f>FISCinyear!JD997+FISCinyear!JD1000</f>
        <v>-36.45659999999998</v>
      </c>
      <c r="AI1735" s="546">
        <f>FISCinyear!JG997+FISCinyear!JG1000</f>
        <v>-50.69459999999998</v>
      </c>
      <c r="AJ1735" s="546">
        <f>FISCinyear!JJ997+FISCinyear!JJ1000</f>
        <v>-119.29009999999994</v>
      </c>
      <c r="AK1735" s="546">
        <f>FISCinyear!JM997+FISCinyear!JM1000</f>
        <v>54.621261214597908</v>
      </c>
      <c r="AL1735" s="546">
        <f>FISCinyear!JP997+FISCinyear!JP1000</f>
        <v>-279.48345342200389</v>
      </c>
      <c r="AM1735" s="546">
        <f>FISCinyear!JS997+FISCinyear!JS1000</f>
        <v>-127.32847501105432</v>
      </c>
      <c r="AN1735" s="546">
        <f>FISCinyear!JV997+FISCinyear!JV1000</f>
        <v>17.478389197459769</v>
      </c>
      <c r="AO1735" s="546">
        <f>FISCinyear!JY997+FISCinyear!JY1000</f>
        <v>-59.364902819315233</v>
      </c>
      <c r="AP1735" s="546">
        <f>FISCinyear!JZ997+FISCinyear!JZ1000</f>
        <v>315.41584596040633</v>
      </c>
      <c r="AQ1735" s="546">
        <f>FISCinyear!KA997+FISCinyear!KA1000</f>
        <v>407.82146330105888</v>
      </c>
      <c r="AR1735" s="546">
        <f>FISCinyear!KB997+FISCinyear!KB1000</f>
        <v>206.02957235931825</v>
      </c>
      <c r="AS1735" s="546">
        <f>FISCinyear!KC997+FISCinyear!KC1000</f>
        <v>290.89966414254985</v>
      </c>
      <c r="AT1735" s="2709">
        <f>FISCinyear!KD997+FISCinyear!KD1000</f>
        <v>355.20334207000479</v>
      </c>
    </row>
    <row r="1736" spans="1:46">
      <c r="A1736" s="1"/>
      <c r="B1736" s="1"/>
      <c r="C1736" s="1"/>
      <c r="D1736" s="88" t="str">
        <f>+D1724</f>
        <v xml:space="preserve">     July-Dec </v>
      </c>
      <c r="E1736" s="82"/>
      <c r="F1736" s="82"/>
      <c r="G1736" s="82"/>
      <c r="H1736" s="82"/>
      <c r="I1736" s="89"/>
      <c r="J1736" s="90"/>
      <c r="K1736" s="90"/>
      <c r="L1736" s="90"/>
      <c r="M1736" s="90"/>
      <c r="N1736" s="90"/>
      <c r="O1736" s="90"/>
      <c r="P1736" s="90"/>
      <c r="Q1736" s="90"/>
      <c r="R1736" s="90"/>
      <c r="S1736" s="91"/>
      <c r="T1736" s="90"/>
      <c r="U1736" s="94"/>
      <c r="V1736" s="94"/>
      <c r="W1736" s="94"/>
      <c r="X1736" s="546"/>
      <c r="Y1736" s="546"/>
      <c r="Z1736" s="546"/>
      <c r="AA1736" s="546"/>
      <c r="AB1736" s="546"/>
      <c r="AC1736" s="546"/>
      <c r="AD1736" s="546"/>
      <c r="AE1736" s="546">
        <f>FISCinyear!IW997+FISCinyear!IW1000</f>
        <v>-2.6196000000000481</v>
      </c>
      <c r="AF1736" s="546">
        <f>FISCinyear!IZ997+FISCinyear!IZ1000</f>
        <v>44.863965000000064</v>
      </c>
      <c r="AG1736" s="546">
        <f>FISCinyear!JC997+FISCinyear!JC1000</f>
        <v>78.659285000000011</v>
      </c>
      <c r="AH1736" s="546">
        <f>FISCinyear!JF997+FISCinyear!JF1000</f>
        <v>86.432099999999991</v>
      </c>
      <c r="AI1736" s="546">
        <f>FISCinyear!JI997+FISCinyear!JI1000</f>
        <v>240.03859999999997</v>
      </c>
      <c r="AJ1736" s="546">
        <f>FISCinyear!JL997+FISCinyear!JL1000</f>
        <v>169.2647</v>
      </c>
      <c r="AK1736" s="546">
        <f>FISCinyear!JO997+FISCinyear!JO1000</f>
        <v>455.06096218991621</v>
      </c>
      <c r="AL1736" s="546">
        <f>FISCinyear!JR997+FISCinyear!JR1000</f>
        <v>375.49893413338981</v>
      </c>
      <c r="AM1736" s="546">
        <f>FISCinyear!JU997+FISCinyear!JU1000</f>
        <v>142.94645529543016</v>
      </c>
      <c r="AN1736" s="546">
        <f>FISCinyear!JX997+FISCinyear!JX1000</f>
        <v>374.78074877972199</v>
      </c>
      <c r="AO1736" s="546">
        <f>FISCinyear!KA997+FISCinyear!KA1000</f>
        <v>407.82146330105888</v>
      </c>
      <c r="AP1736" s="546">
        <f>FISCinyear!KB997+FISCinyear!KB1000</f>
        <v>206.02957235931825</v>
      </c>
      <c r="AQ1736" s="546">
        <f>FISCinyear!KC997+FISCinyear!KC1000</f>
        <v>290.89966414254985</v>
      </c>
      <c r="AR1736" s="546">
        <f>FISCinyear!KD997+FISCinyear!KD1000</f>
        <v>355.20334207000479</v>
      </c>
      <c r="AS1736" s="546">
        <f>FISCinyear!KE997+FISCinyear!KE1000</f>
        <v>283.13885367678722</v>
      </c>
      <c r="AT1736" s="2709">
        <f>FISCinyear!KF997+FISCinyear!KF1000</f>
        <v>1025.3678068584134</v>
      </c>
    </row>
    <row r="1737" spans="1:46">
      <c r="A1737" s="1"/>
      <c r="B1737" s="1"/>
      <c r="C1737" s="1"/>
      <c r="D1737" s="543" t="s">
        <v>3752</v>
      </c>
      <c r="E1737" s="82"/>
      <c r="F1737" s="82">
        <f t="shared" ref="F1737:AT1737" si="2092">F1323+F1326</f>
        <v>0</v>
      </c>
      <c r="G1737" s="82">
        <f t="shared" si="2092"/>
        <v>0</v>
      </c>
      <c r="H1737" s="82">
        <f t="shared" si="2092"/>
        <v>0</v>
      </c>
      <c r="I1737" s="89">
        <f t="shared" si="2092"/>
        <v>0</v>
      </c>
      <c r="J1737" s="90">
        <f t="shared" si="2092"/>
        <v>0</v>
      </c>
      <c r="K1737" s="90">
        <f t="shared" si="2092"/>
        <v>0</v>
      </c>
      <c r="L1737" s="90">
        <f t="shared" si="2092"/>
        <v>0</v>
      </c>
      <c r="M1737" s="90">
        <f t="shared" si="2092"/>
        <v>0</v>
      </c>
      <c r="N1737" s="90">
        <f t="shared" si="2092"/>
        <v>0</v>
      </c>
      <c r="O1737" s="90">
        <f t="shared" si="2092"/>
        <v>0</v>
      </c>
      <c r="P1737" s="90">
        <f t="shared" si="2092"/>
        <v>0</v>
      </c>
      <c r="Q1737" s="90">
        <f t="shared" si="2092"/>
        <v>0</v>
      </c>
      <c r="R1737" s="90">
        <f t="shared" si="2092"/>
        <v>0</v>
      </c>
      <c r="S1737" s="91">
        <f t="shared" si="2092"/>
        <v>0</v>
      </c>
      <c r="T1737" s="90">
        <f t="shared" si="2092"/>
        <v>0</v>
      </c>
      <c r="U1737" s="255">
        <f t="shared" si="2092"/>
        <v>0</v>
      </c>
      <c r="V1737" s="255">
        <f t="shared" si="2092"/>
        <v>0</v>
      </c>
      <c r="W1737" s="255">
        <f t="shared" si="2092"/>
        <v>0</v>
      </c>
      <c r="X1737" s="259">
        <f t="shared" si="2092"/>
        <v>0</v>
      </c>
      <c r="Y1737" s="259">
        <f t="shared" si="2092"/>
        <v>0</v>
      </c>
      <c r="Z1737" s="259">
        <f t="shared" si="2092"/>
        <v>0</v>
      </c>
      <c r="AA1737" s="259">
        <f t="shared" si="2092"/>
        <v>0</v>
      </c>
      <c r="AB1737" s="259">
        <f t="shared" si="2092"/>
        <v>0</v>
      </c>
      <c r="AC1737" s="259">
        <f t="shared" si="2092"/>
        <v>0</v>
      </c>
      <c r="AD1737" s="259">
        <f t="shared" si="2092"/>
        <v>0</v>
      </c>
      <c r="AE1737" s="259">
        <f t="shared" si="2092"/>
        <v>0</v>
      </c>
      <c r="AF1737" s="259">
        <f t="shared" si="2092"/>
        <v>62.971419999999966</v>
      </c>
      <c r="AG1737" s="259">
        <f t="shared" si="2092"/>
        <v>196.3978800000001</v>
      </c>
      <c r="AH1737" s="259">
        <f t="shared" si="2092"/>
        <v>42.202685000000031</v>
      </c>
      <c r="AI1737" s="259">
        <f t="shared" si="2092"/>
        <v>35.737500000000011</v>
      </c>
      <c r="AJ1737" s="259">
        <f t="shared" si="2092"/>
        <v>120.74850000000004</v>
      </c>
      <c r="AK1737" s="259">
        <f t="shared" si="2092"/>
        <v>145.04026693840493</v>
      </c>
      <c r="AL1737" s="259">
        <f t="shared" si="2092"/>
        <v>175.57750876791252</v>
      </c>
      <c r="AM1737" s="259">
        <f t="shared" si="2092"/>
        <v>248.17045912233536</v>
      </c>
      <c r="AN1737" s="259">
        <f t="shared" si="2092"/>
        <v>160.42484449289</v>
      </c>
      <c r="AO1737" s="259">
        <f t="shared" si="2092"/>
        <v>315.41584596040633</v>
      </c>
      <c r="AP1737" s="259">
        <f t="shared" si="2092"/>
        <v>290.89966414254985</v>
      </c>
      <c r="AQ1737" s="259">
        <f t="shared" si="2092"/>
        <v>1025.3678068584134</v>
      </c>
      <c r="AR1737" s="259">
        <f t="shared" si="2092"/>
        <v>741.59573651974392</v>
      </c>
      <c r="AS1737" s="259">
        <f t="shared" si="2092"/>
        <v>1022.106769272854</v>
      </c>
      <c r="AT1737" s="2710">
        <f t="shared" si="2092"/>
        <v>1357.4153429382861</v>
      </c>
    </row>
    <row r="1738" spans="1:46">
      <c r="A1738" s="1"/>
      <c r="B1738" s="1"/>
      <c r="C1738" s="1"/>
      <c r="D1738" s="249" t="s">
        <v>3756</v>
      </c>
      <c r="E1738" s="250"/>
      <c r="F1738" s="250">
        <f t="shared" ref="F1738:AL1738" si="2093">F1739+F1740</f>
        <v>0</v>
      </c>
      <c r="G1738" s="250">
        <f t="shared" si="2093"/>
        <v>0</v>
      </c>
      <c r="H1738" s="250">
        <f t="shared" si="2093"/>
        <v>0</v>
      </c>
      <c r="I1738" s="263">
        <f t="shared" si="2093"/>
        <v>0</v>
      </c>
      <c r="J1738" s="263">
        <f t="shared" si="2093"/>
        <v>0</v>
      </c>
      <c r="K1738" s="263">
        <f t="shared" si="2093"/>
        <v>0</v>
      </c>
      <c r="L1738" s="263">
        <f t="shared" si="2093"/>
        <v>0</v>
      </c>
      <c r="M1738" s="263">
        <f t="shared" si="2093"/>
        <v>0</v>
      </c>
      <c r="N1738" s="263">
        <f t="shared" si="2093"/>
        <v>0</v>
      </c>
      <c r="O1738" s="263">
        <f t="shared" si="2093"/>
        <v>0</v>
      </c>
      <c r="P1738" s="263">
        <f t="shared" si="2093"/>
        <v>0</v>
      </c>
      <c r="Q1738" s="263">
        <f t="shared" si="2093"/>
        <v>0</v>
      </c>
      <c r="R1738" s="263">
        <f t="shared" si="2093"/>
        <v>0</v>
      </c>
      <c r="S1738" s="263">
        <f t="shared" si="2093"/>
        <v>0</v>
      </c>
      <c r="T1738" s="263">
        <f t="shared" si="2093"/>
        <v>0</v>
      </c>
      <c r="U1738" s="263">
        <f t="shared" si="2093"/>
        <v>0</v>
      </c>
      <c r="V1738" s="263">
        <f t="shared" si="2093"/>
        <v>0</v>
      </c>
      <c r="W1738" s="1029">
        <f t="shared" si="2093"/>
        <v>0</v>
      </c>
      <c r="X1738" s="1030">
        <f t="shared" si="2093"/>
        <v>0</v>
      </c>
      <c r="Y1738" s="1023">
        <f t="shared" si="2093"/>
        <v>0</v>
      </c>
      <c r="Z1738" s="1023">
        <f t="shared" si="2093"/>
        <v>0</v>
      </c>
      <c r="AA1738" s="1023">
        <f t="shared" si="2093"/>
        <v>0</v>
      </c>
      <c r="AB1738" s="266">
        <f t="shared" si="2093"/>
        <v>0</v>
      </c>
      <c r="AC1738" s="266">
        <f t="shared" si="2093"/>
        <v>0</v>
      </c>
      <c r="AD1738" s="266">
        <f t="shared" si="2093"/>
        <v>0</v>
      </c>
      <c r="AE1738" s="1574">
        <f t="shared" si="2093"/>
        <v>0</v>
      </c>
      <c r="AF1738" s="1574">
        <f t="shared" si="2093"/>
        <v>0</v>
      </c>
      <c r="AG1738" s="1574">
        <f t="shared" si="2093"/>
        <v>-0.58128584800000005</v>
      </c>
      <c r="AH1738" s="1574">
        <f t="shared" si="2093"/>
        <v>-121.953593939</v>
      </c>
      <c r="AI1738" s="1574">
        <f t="shared" si="2093"/>
        <v>-23.508621089999998</v>
      </c>
      <c r="AJ1738" s="1574">
        <f t="shared" si="2093"/>
        <v>66.694805073000012</v>
      </c>
      <c r="AK1738" s="1574">
        <f t="shared" si="2093"/>
        <v>-137.67108587849893</v>
      </c>
      <c r="AL1738" s="1574">
        <f t="shared" si="2093"/>
        <v>-35.916244342360002</v>
      </c>
      <c r="AM1738" s="1574">
        <f>AM1739+AM1740</f>
        <v>-78.727829117360002</v>
      </c>
      <c r="AN1738" s="1574">
        <f>AN1739+AN1740</f>
        <v>-68.625664053359998</v>
      </c>
      <c r="AO1738" s="1574">
        <f>AO1739+AO1740</f>
        <v>-81.323568574359996</v>
      </c>
      <c r="AP1738" s="1574">
        <f t="shared" ref="AP1738:AT1738" si="2094">AP1739+AP1740</f>
        <v>-153.23832198404</v>
      </c>
      <c r="AQ1738" s="1574">
        <f t="shared" si="2094"/>
        <v>-78.925074200040001</v>
      </c>
      <c r="AR1738" s="1574">
        <f t="shared" si="2094"/>
        <v>-75.856497368359996</v>
      </c>
      <c r="AS1738" s="1574">
        <f t="shared" si="2094"/>
        <v>-100.49980024503999</v>
      </c>
      <c r="AT1738" s="1574">
        <f t="shared" si="2094"/>
        <v>-32.300889495040003</v>
      </c>
    </row>
    <row r="1739" spans="1:46">
      <c r="A1739" s="1"/>
      <c r="B1739" s="1"/>
      <c r="C1739" s="1"/>
      <c r="D1739" s="93" t="str">
        <f>+D1731</f>
        <v xml:space="preserve">     Jan-June </v>
      </c>
      <c r="E1739" s="82"/>
      <c r="F1739" s="82"/>
      <c r="G1739" s="82"/>
      <c r="H1739" s="82"/>
      <c r="I1739" s="94"/>
      <c r="J1739" s="94"/>
      <c r="K1739" s="94"/>
      <c r="L1739" s="94"/>
      <c r="M1739" s="94"/>
      <c r="N1739" s="94"/>
      <c r="O1739" s="94"/>
      <c r="P1739" s="94"/>
      <c r="Q1739" s="94"/>
      <c r="R1739" s="94"/>
      <c r="S1739" s="94"/>
      <c r="T1739" s="94"/>
      <c r="U1739" s="94"/>
      <c r="V1739" s="94"/>
      <c r="W1739" s="1031"/>
      <c r="X1739" s="1028"/>
      <c r="Y1739" s="1028"/>
      <c r="Z1739" s="1028"/>
      <c r="AA1739" s="1028"/>
      <c r="AB1739" s="1028"/>
      <c r="AC1739" s="100"/>
      <c r="AD1739" s="100"/>
      <c r="AE1739" s="100">
        <f>FISCinyear!IU1011</f>
        <v>0</v>
      </c>
      <c r="AF1739" s="100">
        <f>FISCinyear!IX1011</f>
        <v>0</v>
      </c>
      <c r="AG1739" s="100">
        <f>FISCinyear!JA1011</f>
        <v>0</v>
      </c>
      <c r="AH1739" s="100">
        <f>FISCinyear!JD1011</f>
        <v>-87.965745241999997</v>
      </c>
      <c r="AI1739" s="100">
        <f>FISCinyear!JG1011</f>
        <v>3.1992226199999987</v>
      </c>
      <c r="AJ1739" s="100">
        <f>FISCinyear!JJ1011</f>
        <v>-4.0347170889999999</v>
      </c>
      <c r="AK1739" s="100">
        <f>FISCinyear!JM1011</f>
        <v>-135.17088620181892</v>
      </c>
      <c r="AL1739" s="100">
        <f>FISCinyear!JP1011</f>
        <v>-33.240666355680005</v>
      </c>
      <c r="AM1739" s="100">
        <f>FISCinyear!JS1011</f>
        <v>-75.846086399680004</v>
      </c>
      <c r="AN1739" s="100">
        <f>FISCinyear!JV1011</f>
        <v>-65.517994575679992</v>
      </c>
      <c r="AO1739" s="100">
        <f>FISCinyear!JY1011</f>
        <v>-77.95090515167999</v>
      </c>
      <c r="AP1739" s="100">
        <f>FISCinyear!JZ1011</f>
        <v>-81.058574629359995</v>
      </c>
      <c r="AQ1739" s="100">
        <f>FISCinyear!KA1011</f>
        <v>-3.3726634226800005</v>
      </c>
      <c r="AR1739" s="100">
        <f>FISCinyear!KB1011</f>
        <v>-72.179747354679989</v>
      </c>
      <c r="AS1739" s="100">
        <f>FISCinyear!KC1011</f>
        <v>-75.552410777359995</v>
      </c>
      <c r="AT1739" s="100">
        <f>FISCinyear!KD1011</f>
        <v>-3.6767500136800004</v>
      </c>
    </row>
    <row r="1740" spans="1:46">
      <c r="A1740" s="1"/>
      <c r="B1740" s="1"/>
      <c r="C1740" s="1"/>
      <c r="D1740" s="93" t="str">
        <f>+D1732</f>
        <v xml:space="preserve">     July-Dec </v>
      </c>
      <c r="E1740" s="82"/>
      <c r="F1740" s="82"/>
      <c r="G1740" s="82"/>
      <c r="H1740" s="82"/>
      <c r="I1740" s="94"/>
      <c r="J1740" s="94"/>
      <c r="K1740" s="94"/>
      <c r="L1740" s="94"/>
      <c r="M1740" s="94"/>
      <c r="N1740" s="94"/>
      <c r="O1740" s="94"/>
      <c r="P1740" s="94"/>
      <c r="Q1740" s="94"/>
      <c r="R1740" s="94"/>
      <c r="S1740" s="94"/>
      <c r="T1740" s="94"/>
      <c r="U1740" s="94"/>
      <c r="V1740" s="94"/>
      <c r="W1740" s="1031"/>
      <c r="X1740" s="1028"/>
      <c r="Y1740" s="1028"/>
      <c r="Z1740" s="1028"/>
      <c r="AA1740" s="1028"/>
      <c r="AB1740" s="100"/>
      <c r="AC1740" s="100"/>
      <c r="AD1740" s="100"/>
      <c r="AE1740" s="100">
        <f>FISCinyear!IW1011</f>
        <v>0</v>
      </c>
      <c r="AF1740" s="100">
        <f>FISCinyear!IZ1011</f>
        <v>0</v>
      </c>
      <c r="AG1740" s="100">
        <f>FISCinyear!JC1011</f>
        <v>-0.58128584800000005</v>
      </c>
      <c r="AH1740" s="100">
        <f>FISCinyear!JF1011</f>
        <v>-33.987848696999997</v>
      </c>
      <c r="AI1740" s="100">
        <f>FISCinyear!JI1011</f>
        <v>-26.707843709999999</v>
      </c>
      <c r="AJ1740" s="100">
        <f>FISCinyear!JL1011</f>
        <v>70.729522162000009</v>
      </c>
      <c r="AK1740" s="100">
        <f>FISCinyear!JO1011</f>
        <v>-2.5001996766800003</v>
      </c>
      <c r="AL1740" s="100">
        <f>FISCinyear!JR1011</f>
        <v>-2.6755779866800005</v>
      </c>
      <c r="AM1740" s="100">
        <f>FISCinyear!JU1011</f>
        <v>-2.8817427176800003</v>
      </c>
      <c r="AN1740" s="100">
        <f>FISCinyear!JX1011</f>
        <v>-3.1076694776800005</v>
      </c>
      <c r="AO1740" s="100">
        <f>FISCinyear!KA1011</f>
        <v>-3.3726634226800005</v>
      </c>
      <c r="AP1740" s="100">
        <f>FISCinyear!KB1011</f>
        <v>-72.179747354679989</v>
      </c>
      <c r="AQ1740" s="100">
        <f>FISCinyear!KC1011</f>
        <v>-75.552410777359995</v>
      </c>
      <c r="AR1740" s="100">
        <f>FISCinyear!KD1011</f>
        <v>-3.6767500136800004</v>
      </c>
      <c r="AS1740" s="100">
        <f>FISCinyear!KE1011</f>
        <v>-24.947389467680001</v>
      </c>
      <c r="AT1740" s="100">
        <f>FISCinyear!KF1011</f>
        <v>-28.62413948136</v>
      </c>
    </row>
    <row r="1741" spans="1:46">
      <c r="A1741" s="1"/>
      <c r="B1741" s="1"/>
      <c r="C1741" s="1"/>
      <c r="D1741" s="264" t="s">
        <v>3755</v>
      </c>
      <c r="E1741" s="95"/>
      <c r="F1741" s="95">
        <f t="shared" ref="F1741:AT1741" si="2095">F1337</f>
        <v>0</v>
      </c>
      <c r="G1741" s="95">
        <f t="shared" si="2095"/>
        <v>0</v>
      </c>
      <c r="H1741" s="95">
        <f t="shared" si="2095"/>
        <v>0</v>
      </c>
      <c r="I1741" s="255">
        <f t="shared" si="2095"/>
        <v>0</v>
      </c>
      <c r="J1741" s="255">
        <f t="shared" si="2095"/>
        <v>0</v>
      </c>
      <c r="K1741" s="255">
        <f t="shared" si="2095"/>
        <v>0</v>
      </c>
      <c r="L1741" s="255">
        <f t="shared" si="2095"/>
        <v>0</v>
      </c>
      <c r="M1741" s="255">
        <f t="shared" si="2095"/>
        <v>0</v>
      </c>
      <c r="N1741" s="255">
        <f t="shared" si="2095"/>
        <v>0</v>
      </c>
      <c r="O1741" s="255">
        <f t="shared" si="2095"/>
        <v>0</v>
      </c>
      <c r="P1741" s="255">
        <f t="shared" si="2095"/>
        <v>0</v>
      </c>
      <c r="Q1741" s="255">
        <f t="shared" si="2095"/>
        <v>0</v>
      </c>
      <c r="R1741" s="255">
        <f t="shared" si="2095"/>
        <v>0</v>
      </c>
      <c r="S1741" s="255">
        <f t="shared" si="2095"/>
        <v>0</v>
      </c>
      <c r="T1741" s="255">
        <f t="shared" si="2095"/>
        <v>0</v>
      </c>
      <c r="U1741" s="255">
        <f t="shared" si="2095"/>
        <v>0</v>
      </c>
      <c r="V1741" s="255">
        <f t="shared" si="2095"/>
        <v>0</v>
      </c>
      <c r="W1741" s="1032">
        <f t="shared" si="2095"/>
        <v>0</v>
      </c>
      <c r="X1741" s="1027">
        <f t="shared" si="2095"/>
        <v>0</v>
      </c>
      <c r="Y1741" s="1027">
        <f t="shared" si="2095"/>
        <v>0</v>
      </c>
      <c r="Z1741" s="1027">
        <f t="shared" si="2095"/>
        <v>0</v>
      </c>
      <c r="AA1741" s="1027">
        <f t="shared" si="2095"/>
        <v>0</v>
      </c>
      <c r="AB1741" s="1027">
        <f t="shared" si="2095"/>
        <v>0</v>
      </c>
      <c r="AC1741" s="256">
        <f t="shared" si="2095"/>
        <v>0</v>
      </c>
      <c r="AD1741" s="256">
        <f t="shared" si="2095"/>
        <v>0</v>
      </c>
      <c r="AE1741" s="256">
        <f t="shared" si="2095"/>
        <v>0</v>
      </c>
      <c r="AF1741" s="256">
        <f t="shared" si="2095"/>
        <v>0</v>
      </c>
      <c r="AG1741" s="256">
        <f t="shared" si="2095"/>
        <v>0</v>
      </c>
      <c r="AH1741" s="256">
        <f t="shared" si="2095"/>
        <v>-88.54703108999999</v>
      </c>
      <c r="AI1741" s="256">
        <f t="shared" si="2095"/>
        <v>-30.788626076999996</v>
      </c>
      <c r="AJ1741" s="256">
        <f t="shared" si="2095"/>
        <v>-30.742560799</v>
      </c>
      <c r="AK1741" s="256">
        <f t="shared" si="2095"/>
        <v>-64.441364039818922</v>
      </c>
      <c r="AL1741" s="256">
        <f t="shared" si="2095"/>
        <v>-35.740866032360003</v>
      </c>
      <c r="AM1741" s="256">
        <f t="shared" si="2095"/>
        <v>-78.521664386360001</v>
      </c>
      <c r="AN1741" s="256">
        <f t="shared" si="2095"/>
        <v>-68.399737293359991</v>
      </c>
      <c r="AO1741" s="256">
        <f t="shared" si="2095"/>
        <v>-81.058574629359995</v>
      </c>
      <c r="AP1741" s="256">
        <f t="shared" si="2095"/>
        <v>-75.552410777359995</v>
      </c>
      <c r="AQ1741" s="256">
        <f t="shared" si="2095"/>
        <v>-28.62413948136</v>
      </c>
      <c r="AR1741" s="256">
        <f t="shared" si="2095"/>
        <v>-69.091599553359998</v>
      </c>
      <c r="AS1741" s="256">
        <f t="shared" si="2095"/>
        <v>-24.144986711359998</v>
      </c>
      <c r="AT1741" s="256">
        <f t="shared" si="2095"/>
        <v>-41.407994177360003</v>
      </c>
    </row>
    <row r="1742" spans="1:46">
      <c r="A1742" s="1"/>
      <c r="B1742" s="1"/>
      <c r="C1742" s="1"/>
      <c r="D1742" s="545" t="s">
        <v>3757</v>
      </c>
      <c r="E1742" s="250"/>
      <c r="F1742" s="82">
        <f t="shared" ref="F1742:AL1742" si="2096">F1743+F1744</f>
        <v>0</v>
      </c>
      <c r="G1742" s="82">
        <f t="shared" si="2096"/>
        <v>0</v>
      </c>
      <c r="H1742" s="82">
        <f t="shared" si="2096"/>
        <v>0</v>
      </c>
      <c r="I1742" s="89">
        <f t="shared" si="2096"/>
        <v>0</v>
      </c>
      <c r="J1742" s="90">
        <f t="shared" si="2096"/>
        <v>0</v>
      </c>
      <c r="K1742" s="90">
        <f t="shared" si="2096"/>
        <v>0</v>
      </c>
      <c r="L1742" s="90">
        <f t="shared" si="2096"/>
        <v>0</v>
      </c>
      <c r="M1742" s="90">
        <f t="shared" si="2096"/>
        <v>0</v>
      </c>
      <c r="N1742" s="90">
        <f t="shared" si="2096"/>
        <v>0</v>
      </c>
      <c r="O1742" s="90">
        <f t="shared" si="2096"/>
        <v>0</v>
      </c>
      <c r="P1742" s="90">
        <f t="shared" si="2096"/>
        <v>0</v>
      </c>
      <c r="Q1742" s="90">
        <f t="shared" si="2096"/>
        <v>0</v>
      </c>
      <c r="R1742" s="90">
        <f t="shared" si="2096"/>
        <v>0</v>
      </c>
      <c r="S1742" s="91">
        <f t="shared" si="2096"/>
        <v>0</v>
      </c>
      <c r="T1742" s="90">
        <f t="shared" si="2096"/>
        <v>0</v>
      </c>
      <c r="U1742" s="87">
        <f t="shared" si="2096"/>
        <v>0</v>
      </c>
      <c r="V1742" s="87">
        <f t="shared" si="2096"/>
        <v>0</v>
      </c>
      <c r="W1742" s="87">
        <f t="shared" si="2096"/>
        <v>0</v>
      </c>
      <c r="X1742" s="87">
        <f t="shared" si="2096"/>
        <v>0</v>
      </c>
      <c r="Y1742" s="254">
        <f t="shared" si="2096"/>
        <v>0</v>
      </c>
      <c r="Z1742" s="254">
        <f t="shared" si="2096"/>
        <v>0</v>
      </c>
      <c r="AA1742" s="254">
        <f t="shared" si="2096"/>
        <v>0</v>
      </c>
      <c r="AB1742" s="254">
        <f t="shared" si="2096"/>
        <v>0</v>
      </c>
      <c r="AC1742" s="254">
        <f t="shared" si="2096"/>
        <v>0</v>
      </c>
      <c r="AD1742" s="254">
        <f t="shared" si="2096"/>
        <v>0</v>
      </c>
      <c r="AE1742" s="1575">
        <f>AE1743+AE1744</f>
        <v>176.44003295999997</v>
      </c>
      <c r="AF1742" s="1575">
        <f t="shared" si="2096"/>
        <v>-0.42364543000005028</v>
      </c>
      <c r="AG1742" s="1575">
        <f t="shared" si="2096"/>
        <v>-41.027859720397657</v>
      </c>
      <c r="AH1742" s="1575">
        <f t="shared" si="2096"/>
        <v>-121.96520038776708</v>
      </c>
      <c r="AI1742" s="1575">
        <f t="shared" si="2096"/>
        <v>-189.78441266933856</v>
      </c>
      <c r="AJ1742" s="1575">
        <f t="shared" si="2096"/>
        <v>-273.63855140874006</v>
      </c>
      <c r="AK1742" s="1575">
        <f t="shared" si="2096"/>
        <v>-588.19535944549909</v>
      </c>
      <c r="AL1742" s="1575">
        <f t="shared" si="2096"/>
        <v>-338.54483417856068</v>
      </c>
      <c r="AM1742" s="1575">
        <f>AM1743+AM1744</f>
        <v>54.804518026479485</v>
      </c>
      <c r="AN1742" s="1575">
        <f>AN1743+AN1744</f>
        <v>165.41780879594643</v>
      </c>
      <c r="AO1742" s="1575">
        <f>AO1743+AO1744</f>
        <v>338.72004374306903</v>
      </c>
      <c r="AP1742" s="1575">
        <f t="shared" ref="AP1742:AT1742" si="2097">AP1743+AP1744</f>
        <v>424.68471885721971</v>
      </c>
      <c r="AQ1742" s="1575">
        <f t="shared" si="2097"/>
        <v>428.27301753025637</v>
      </c>
      <c r="AR1742" s="1575">
        <f t="shared" si="2097"/>
        <v>763.61810077289965</v>
      </c>
      <c r="AS1742" s="1575">
        <f t="shared" si="2097"/>
        <v>837.98644546525179</v>
      </c>
      <c r="AT1742" s="2715">
        <f t="shared" si="2097"/>
        <v>1794.6277765150426</v>
      </c>
    </row>
    <row r="1743" spans="1:46">
      <c r="A1743" s="1"/>
      <c r="B1743" s="1"/>
      <c r="C1743" s="1"/>
      <c r="D1743" s="88" t="s">
        <v>106</v>
      </c>
      <c r="E1743" s="82"/>
      <c r="F1743" s="82"/>
      <c r="G1743" s="82"/>
      <c r="H1743" s="82"/>
      <c r="I1743" s="89"/>
      <c r="J1743" s="90"/>
      <c r="K1743" s="90"/>
      <c r="L1743" s="90"/>
      <c r="M1743" s="90"/>
      <c r="N1743" s="90"/>
      <c r="O1743" s="90"/>
      <c r="P1743" s="90"/>
      <c r="Q1743" s="90"/>
      <c r="R1743" s="90"/>
      <c r="S1743" s="91"/>
      <c r="T1743" s="90"/>
      <c r="U1743" s="87"/>
      <c r="V1743" s="87"/>
      <c r="W1743" s="87"/>
      <c r="X1743" s="87"/>
      <c r="Y1743" s="546"/>
      <c r="Z1743" s="546"/>
      <c r="AA1743" s="546"/>
      <c r="AB1743" s="546"/>
      <c r="AC1743" s="546"/>
      <c r="AD1743" s="546"/>
      <c r="AE1743" s="546">
        <f>(FISCinyear!IU1003+FISCinyear!IU1014+FISCinyear!IU1015+FISCinyear!IU1016+FISCinyear!IU1017+FISCinyear!IU1018)-(FISCinyear!IU967+FISCinyear!IU976+FISCinyear!IU982+FISCinyear!IU983+FISCinyear!IU984)</f>
        <v>-22.976905401999964</v>
      </c>
      <c r="AF1743" s="546">
        <f>(FISCinyear!IX1003+FISCinyear!IX1014+FISCinyear!IX1015+FISCinyear!IU1016+FISCinyear!IX1017+FISCinyear!IX1018)-(FISCinyear!IX967+FISCinyear!IX976+FISCinyear!IX982+FISCinyear!IX983+FISCinyear!IX984)</f>
        <v>-131.90217476400005</v>
      </c>
      <c r="AG1743" s="546">
        <f>(FISCinyear!JA1003+FISCinyear!JA1014+FISCinyear!JA1015+FISCinyear!JA1016+FISCinyear!JA1017+FISCinyear!JA1018)-(FISCinyear!JA967+FISCinyear!JA976+FISCinyear!JA982+FISCinyear!JA983+FISCinyear!JA984)</f>
        <v>-182.78511261442759</v>
      </c>
      <c r="AH1743" s="546">
        <f>(FISCinyear!JD1003+FISCinyear!JD1014+FISCinyear!JD1015+FISCinyear!JD1016+FISCinyear!JD1017+FISCinyear!JD1018)-(FISCinyear!JD967+FISCinyear!JD976+FISCinyear!JD982+FISCinyear!JD983+FISCinyear!JD984)</f>
        <v>-94.520784521999872</v>
      </c>
      <c r="AI1743" s="1040">
        <f>(FISCinyear!JG1003+FISCinyear!JG1014+FISCinyear!JG1015+FISCinyear!JG1016+FISCinyear!JG1017+FISCinyear!JG1018)-(FISCinyear!JG967+FISCinyear!JG976+FISCinyear!JG982+FISCinyear!JG983+FISCinyear!JG984)</f>
        <v>-114.59621241268147</v>
      </c>
      <c r="AJ1743" s="546">
        <f>(FISCinyear!JJ1003+FISCinyear!JJ1014+FISCinyear!JJ1015+FISCinyear!JJ1016+FISCinyear!JJ1017+FISCinyear!JJ1018)-(FISCinyear!JJ967+FISCinyear!JJ976+FISCinyear!JJ982+FISCinyear!JJ983+FISCinyear!JJ984)</f>
        <v>-144.43517427124897</v>
      </c>
      <c r="AK1743" s="546">
        <f>(FISCinyear!JM1003+FISCinyear!JM1014+FISCinyear!JM1015+FISCinyear!JM1016+FISCinyear!JM1017+FISCinyear!JM1018)-(FISCinyear!JM967+FISCinyear!JM976+FISCinyear!JM982+FISCinyear!JM983+FISCinyear!JM984)</f>
        <v>-383.06886896949493</v>
      </c>
      <c r="AL1743" s="546">
        <f>(FISCinyear!JP1003+FISCinyear!JP1014+FISCinyear!JP1015+FISCinyear!JP1016+FISCinyear!JP1017+FISCinyear!JP1018)-(FISCinyear!JP967+FISCinyear!JP976+FISCinyear!JP982+FISCinyear!JP983+FISCinyear!JP984)</f>
        <v>-167.48666865204655</v>
      </c>
      <c r="AM1743" s="546">
        <f>(FISCinyear!JS1003+FISCinyear!JS1014+FISCinyear!JS1015+FISCinyear!JS1016+FISCinyear!JS1017+FISCinyear!JS1018)-(FISCinyear!JS967+FISCinyear!JS976+FISCinyear!JS982+FISCinyear!JS983+FISCinyear!JS984)</f>
        <v>36.882453216624072</v>
      </c>
      <c r="AN1743" s="546">
        <f>(FISCinyear!JV1003+FISCinyear!JV1014+FISCinyear!JV1015+FISCinyear!JV1016+FISCinyear!JV1017+FISCinyear!JV1018)-(FISCinyear!JV967+FISCinyear!JV976+FISCinyear!JV982+FISCinyear!JV983+FISCinyear!JV984)</f>
        <v>79.191641955195706</v>
      </c>
      <c r="AO1743" s="546">
        <f>(FISCinyear!JY1003+FISCinyear!JY1014+FISCinyear!JY1015+FISCinyear!JY1016+FISCinyear!JY1017+FISCinyear!JY1018)-(FISCinyear!JY967+FISCinyear!JY976+FISCinyear!JY982+FISCinyear!JY983+FISCinyear!JY984)</f>
        <v>195.87520732411687</v>
      </c>
      <c r="AP1743" s="546">
        <f>(FISCinyear!JZ1003+FISCinyear!JZ1014+FISCinyear!JZ1015+FISCinyear!JZ1016+FISCinyear!JZ1017+FISCinyear!JZ1018)-(FISCinyear!JZ967+FISCinyear!JZ976+FISCinyear!JZ982+FISCinyear!JZ983+FISCinyear!JZ984)</f>
        <v>282.10137416486759</v>
      </c>
      <c r="AQ1743" s="546">
        <f>(FISCinyear!KA1003+FISCinyear!KA1014+FISCinyear!KA1015+FISCinyear!KA1016+FISCinyear!KA1017+FISCinyear!KA1018)-(FISCinyear!KA967+FISCinyear!KA976+FISCinyear!KA982+FISCinyear!KA983+FISCinyear!KA984)</f>
        <v>142.84483641895213</v>
      </c>
      <c r="AR1743" s="546">
        <f>(FISCinyear!KB1003+FISCinyear!KB1014+FISCinyear!KB1015+FISCinyear!KB1016+FISCinyear!KB1017+FISCinyear!KB1018)-(FISCinyear!KB967+FISCinyear!KB976+FISCinyear!KB982+FISCinyear!KB983+FISCinyear!KB984)</f>
        <v>142.58334469235211</v>
      </c>
      <c r="AS1743" s="546">
        <f>(FISCinyear!KC1003+FISCinyear!KC1014+FISCinyear!KC1015+FISCinyear!KC1016+FISCinyear!KC1017+FISCinyear!KC1018)-(FISCinyear!KC967+FISCinyear!KC976+FISCinyear!KC982+FISCinyear!KC983+FISCinyear!KC984)</f>
        <v>285.42818111130424</v>
      </c>
      <c r="AT1743" s="2709">
        <f>(FISCinyear!KD1003+FISCinyear!KD1014+FISCinyear!KD1015+FISCinyear!KD1016+FISCinyear!KD1017+FISCinyear!KD1018)-(FISCinyear!KD967+FISCinyear!KD976+FISCinyear!KD982+FISCinyear!KD983+FISCinyear!KD984)</f>
        <v>621.0347560805476</v>
      </c>
    </row>
    <row r="1744" spans="1:46">
      <c r="A1744" s="1"/>
      <c r="B1744" s="1"/>
      <c r="C1744" s="1"/>
      <c r="D1744" s="88" t="s">
        <v>107</v>
      </c>
      <c r="E1744" s="82"/>
      <c r="F1744" s="82"/>
      <c r="G1744" s="82"/>
      <c r="H1744" s="82"/>
      <c r="I1744" s="89"/>
      <c r="J1744" s="90"/>
      <c r="K1744" s="90"/>
      <c r="L1744" s="90"/>
      <c r="M1744" s="90"/>
      <c r="N1744" s="90"/>
      <c r="O1744" s="90"/>
      <c r="P1744" s="90"/>
      <c r="Q1744" s="90"/>
      <c r="R1744" s="90"/>
      <c r="S1744" s="91"/>
      <c r="T1744" s="90"/>
      <c r="U1744" s="87"/>
      <c r="V1744" s="87"/>
      <c r="W1744" s="87"/>
      <c r="X1744" s="87"/>
      <c r="Y1744" s="546"/>
      <c r="Z1744" s="1040"/>
      <c r="AA1744" s="1040"/>
      <c r="AB1744" s="546"/>
      <c r="AC1744" s="546"/>
      <c r="AD1744" s="546"/>
      <c r="AE1744" s="546">
        <f>(FISCinyear!IW1003+FISCinyear!IW1014+FISCinyear!IW1015+FISCinyear!IW1016+FISCinyear!IW1017+FISCinyear!IW1018)-(FISCinyear!IW967+FISCinyear!IW976+FISCinyear!IW982+FISCinyear!IW983+FISCinyear!IW984)</f>
        <v>199.41693836199994</v>
      </c>
      <c r="AF1744" s="546">
        <f>(FISCinyear!IZ1003+FISCinyear!IZ1014+FISCinyear!IZ1015+FISCinyear!IZ1016+FISCinyear!IZ1017+FISCinyear!IZ1018)-(FISCinyear!IZ967+FISCinyear!IZ976+FISCinyear!IZ982+FISCinyear!IZ983+FISCinyear!IZ984)</f>
        <v>131.478529334</v>
      </c>
      <c r="AG1744" s="546">
        <f>(FISCinyear!JC1003+FISCinyear!JC1014+FISCinyear!JC1015+FISCinyear!JC1016+FISCinyear!JC1017+FISCinyear!JC1018)-(FISCinyear!JC967+FISCinyear!JC976+FISCinyear!JC982+FISCinyear!JC983+FISCinyear!JC984)</f>
        <v>141.75725289402993</v>
      </c>
      <c r="AH1744" s="546">
        <f>(FISCinyear!JF1003+FISCinyear!JF1014+FISCinyear!JF1015+FISCinyear!JF1016+FISCinyear!JF1017+FISCinyear!JF1018)-(FISCinyear!JF967+FISCinyear!JF976+FISCinyear!JF982+FISCinyear!JF983+FISCinyear!JF984)</f>
        <v>-27.444415865767212</v>
      </c>
      <c r="AI1744" s="1040">
        <f>(FISCinyear!JI1003+FISCinyear!JI1014+FISCinyear!JI1015+FISCinyear!JI1016+FISCinyear!JI1017+FISCinyear!JI1018)-(FISCinyear!JI967+FISCinyear!JI976+FISCinyear!JI982+FISCinyear!JI983+FISCinyear!JI984)</f>
        <v>-75.188200256657097</v>
      </c>
      <c r="AJ1744" s="546">
        <f>(FISCinyear!JL1003+FISCinyear!JL1014+FISCinyear!JL1015+FISCinyear!JL1016+FISCinyear!JL1017+FISCinyear!JL1018)-(FISCinyear!JL967+FISCinyear!JL976+FISCinyear!JL982+FISCinyear!JL983+FISCinyear!JL984)</f>
        <v>-129.20337713749109</v>
      </c>
      <c r="AK1744" s="546">
        <f>(FISCinyear!JO1003+FISCinyear!JO1014+FISCinyear!JO1015+FISCinyear!JO1016+FISCinyear!JO1017+FISCinyear!JO1018)-(FISCinyear!JO967+FISCinyear!JO976+FISCinyear!JO982+FISCinyear!JO983+FISCinyear!JO984)</f>
        <v>-205.12649047600419</v>
      </c>
      <c r="AL1744" s="546">
        <f>(FISCinyear!JR1003+FISCinyear!JR1014+FISCinyear!JR1015+FISCinyear!JR1016+FISCinyear!JR1017+FISCinyear!JR1018)-(FISCinyear!JR967+FISCinyear!JR976+FISCinyear!JR982+FISCinyear!JR983+FISCinyear!JR984)</f>
        <v>-171.05816552651416</v>
      </c>
      <c r="AM1744" s="546">
        <f>(FISCinyear!JU1003+FISCinyear!JU1014+FISCinyear!JU1015+FISCinyear!JU1016+FISCinyear!JU1017+FISCinyear!JU1018)-(FISCinyear!JU967+FISCinyear!JU976+FISCinyear!JU982+FISCinyear!JU983+FISCinyear!JU984)</f>
        <v>17.922064809855414</v>
      </c>
      <c r="AN1744" s="546">
        <f>(FISCinyear!JX1003+FISCinyear!JX1014+FISCinyear!JX1015+FISCinyear!JX1016+FISCinyear!JX1017+FISCinyear!JX1018)-(FISCinyear!JX967+FISCinyear!JX976+FISCinyear!JX982+FISCinyear!JX983+FISCinyear!JX984)</f>
        <v>86.226166840750736</v>
      </c>
      <c r="AO1744" s="546">
        <f>(FISCinyear!KA1003+FISCinyear!KA1014+FISCinyear!KA1015+FISCinyear!KA1016+FISCinyear!KA1017+FISCinyear!KA1018)-(FISCinyear!KA967+FISCinyear!KA976+FISCinyear!KA982+FISCinyear!KA983+FISCinyear!KA984)</f>
        <v>142.84483641895213</v>
      </c>
      <c r="AP1744" s="546">
        <f>(FISCinyear!KB1003+FISCinyear!KB1014+FISCinyear!KB1015+FISCinyear!KB1016+FISCinyear!KB1017+FISCinyear!KB1018)-(FISCinyear!KB967+FISCinyear!KB976+FISCinyear!KB982+FISCinyear!KB983+FISCinyear!KB984)</f>
        <v>142.58334469235211</v>
      </c>
      <c r="AQ1744" s="546">
        <f>(FISCinyear!KC1003+FISCinyear!KC1014+FISCinyear!KC1015+FISCinyear!KC1016+FISCinyear!KC1017+FISCinyear!KC1018)-(FISCinyear!KC967+FISCinyear!KC976+FISCinyear!KC982+FISCinyear!KC983+FISCinyear!KC984)</f>
        <v>285.42818111130424</v>
      </c>
      <c r="AR1744" s="546">
        <f>(FISCinyear!KD1003+FISCinyear!KD1014+FISCinyear!KD1015+FISCinyear!KD1016+FISCinyear!KD1017+FISCinyear!KD1018)-(FISCinyear!KD967+FISCinyear!KD976+FISCinyear!KD982+FISCinyear!KD983+FISCinyear!KD984)</f>
        <v>621.0347560805476</v>
      </c>
      <c r="AS1744" s="546">
        <f>(FISCinyear!KE1003+FISCinyear!KE1014+FISCinyear!KE1015+FISCinyear!KE1016+FISCinyear!KE1017+FISCinyear!KE1018)-(FISCinyear!KE967+FISCinyear!KE976+FISCinyear!KE982+FISCinyear!KE983+FISCinyear!KE984)</f>
        <v>552.55826435394749</v>
      </c>
      <c r="AT1744" s="2709">
        <f>(FISCinyear!KF1003+FISCinyear!KF1014+FISCinyear!KF1015+FISCinyear!KF1016+FISCinyear!KF1017+FISCinyear!KF1018)-(FISCinyear!KF967+FISCinyear!KF976+FISCinyear!KF982+FISCinyear!KF983+FISCinyear!KF984)</f>
        <v>1173.593020434495</v>
      </c>
    </row>
    <row r="1745" spans="1:116">
      <c r="A1745" s="1"/>
      <c r="B1745" s="1"/>
      <c r="C1745" s="1"/>
      <c r="D1745" s="543" t="s">
        <v>3758</v>
      </c>
      <c r="E1745" s="82"/>
      <c r="F1745" s="82"/>
      <c r="G1745" s="82"/>
      <c r="H1745" s="82"/>
      <c r="I1745" s="89"/>
      <c r="J1745" s="90"/>
      <c r="K1745" s="90"/>
      <c r="L1745" s="90"/>
      <c r="M1745" s="90"/>
      <c r="N1745" s="90"/>
      <c r="O1745" s="90"/>
      <c r="P1745" s="90"/>
      <c r="Q1745" s="90"/>
      <c r="R1745" s="90"/>
      <c r="S1745" s="91"/>
      <c r="T1745" s="90"/>
      <c r="U1745" s="87"/>
      <c r="V1745" s="87"/>
      <c r="W1745" s="87"/>
      <c r="X1745" s="87"/>
      <c r="Y1745" s="259"/>
      <c r="Z1745" s="259"/>
      <c r="AA1745" s="259"/>
      <c r="AB1745" s="259"/>
      <c r="AC1745" s="259"/>
      <c r="AD1745" s="259"/>
      <c r="AE1745" s="259">
        <f t="shared" ref="AE1745:AT1745" si="2098">(AE1329+AE1339+AE1340+AE1341+AE1342+AE1343)-(AE1288+AE1300+AE1340+AE1308+AE1309+AE1310)</f>
        <v>-78.953679879999825</v>
      </c>
      <c r="AF1745" s="259">
        <f t="shared" si="2098"/>
        <v>67.514763597999888</v>
      </c>
      <c r="AG1745" s="259">
        <f t="shared" si="2098"/>
        <v>-53.30658328042756</v>
      </c>
      <c r="AH1745" s="259">
        <f t="shared" si="2098"/>
        <v>47.236468372030089</v>
      </c>
      <c r="AI1745" s="2115">
        <f t="shared" si="2098"/>
        <v>-142.04062827844868</v>
      </c>
      <c r="AJ1745" s="259">
        <f t="shared" si="2098"/>
        <v>-219.62337452790604</v>
      </c>
      <c r="AK1745" s="259">
        <f t="shared" si="2098"/>
        <v>-509.67275077998607</v>
      </c>
      <c r="AL1745" s="259">
        <f t="shared" si="2098"/>
        <v>-372.61315912805071</v>
      </c>
      <c r="AM1745" s="259">
        <f t="shared" si="2098"/>
        <v>-134.17571230989006</v>
      </c>
      <c r="AN1745" s="259">
        <f t="shared" si="2098"/>
        <v>97.11370676505112</v>
      </c>
      <c r="AO1745" s="259">
        <f t="shared" si="2098"/>
        <v>282.10137416486759</v>
      </c>
      <c r="AP1745" s="259">
        <f t="shared" si="2098"/>
        <v>285.42818111130424</v>
      </c>
      <c r="AQ1745" s="259">
        <f t="shared" si="2098"/>
        <v>1173.593020434495</v>
      </c>
      <c r="AR1745" s="259">
        <f t="shared" si="2098"/>
        <v>851.11703361697573</v>
      </c>
      <c r="AS1745" s="259">
        <f t="shared" si="2098"/>
        <v>1242.597895182138</v>
      </c>
      <c r="AT1745" s="2710">
        <f t="shared" si="2098"/>
        <v>1628.7819194620679</v>
      </c>
    </row>
    <row r="1746" spans="1:116">
      <c r="A1746" s="1"/>
      <c r="B1746" s="1"/>
      <c r="C1746" s="1"/>
      <c r="D1746" s="545" t="s">
        <v>3759</v>
      </c>
      <c r="E1746" s="250"/>
      <c r="F1746" s="250">
        <f t="shared" ref="F1746:AL1746" si="2099">F1747+F1748</f>
        <v>0</v>
      </c>
      <c r="G1746" s="250">
        <f t="shared" si="2099"/>
        <v>0</v>
      </c>
      <c r="H1746" s="250">
        <f t="shared" si="2099"/>
        <v>0</v>
      </c>
      <c r="I1746" s="251">
        <f t="shared" si="2099"/>
        <v>0</v>
      </c>
      <c r="J1746" s="252">
        <f t="shared" si="2099"/>
        <v>0</v>
      </c>
      <c r="K1746" s="252">
        <f t="shared" si="2099"/>
        <v>0</v>
      </c>
      <c r="L1746" s="252">
        <f t="shared" si="2099"/>
        <v>0</v>
      </c>
      <c r="M1746" s="252">
        <f t="shared" si="2099"/>
        <v>0</v>
      </c>
      <c r="N1746" s="252">
        <f t="shared" si="2099"/>
        <v>0</v>
      </c>
      <c r="O1746" s="252">
        <f t="shared" si="2099"/>
        <v>0</v>
      </c>
      <c r="P1746" s="252">
        <f t="shared" si="2099"/>
        <v>0</v>
      </c>
      <c r="Q1746" s="252">
        <f t="shared" si="2099"/>
        <v>0</v>
      </c>
      <c r="R1746" s="252">
        <f t="shared" si="2099"/>
        <v>0</v>
      </c>
      <c r="S1746" s="253">
        <f t="shared" si="2099"/>
        <v>0</v>
      </c>
      <c r="T1746" s="252">
        <f t="shared" si="2099"/>
        <v>0</v>
      </c>
      <c r="U1746" s="263">
        <f t="shared" si="2099"/>
        <v>0</v>
      </c>
      <c r="V1746" s="263">
        <f t="shared" si="2099"/>
        <v>0</v>
      </c>
      <c r="W1746" s="263">
        <f t="shared" si="2099"/>
        <v>0</v>
      </c>
      <c r="X1746" s="263">
        <f t="shared" si="2099"/>
        <v>0</v>
      </c>
      <c r="Y1746" s="263">
        <f t="shared" si="2099"/>
        <v>0</v>
      </c>
      <c r="Z1746" s="254">
        <f t="shared" si="2099"/>
        <v>0</v>
      </c>
      <c r="AA1746" s="254">
        <f t="shared" si="2099"/>
        <v>0</v>
      </c>
      <c r="AB1746" s="254">
        <f t="shared" si="2099"/>
        <v>0</v>
      </c>
      <c r="AC1746" s="254">
        <f t="shared" si="2099"/>
        <v>0</v>
      </c>
      <c r="AD1746" s="254">
        <f t="shared" si="2099"/>
        <v>0</v>
      </c>
      <c r="AE1746" s="1575">
        <f>AE1747+AE1748</f>
        <v>182.46279999999996</v>
      </c>
      <c r="AF1746" s="1575">
        <f t="shared" si="2099"/>
        <v>88.683799999999948</v>
      </c>
      <c r="AG1746" s="1575">
        <f t="shared" si="2099"/>
        <v>162.75593499999985</v>
      </c>
      <c r="AH1746" s="1575">
        <f t="shared" si="2099"/>
        <v>194.06760000000014</v>
      </c>
      <c r="AI1746" s="1575">
        <f t="shared" si="2099"/>
        <v>120.90009999999992</v>
      </c>
      <c r="AJ1746" s="1575">
        <f t="shared" si="2099"/>
        <v>122.90809999999998</v>
      </c>
      <c r="AK1746" s="1575">
        <f t="shared" si="2099"/>
        <v>147.1328494301155</v>
      </c>
      <c r="AL1746" s="1575">
        <f t="shared" si="2099"/>
        <v>270.11998956100456</v>
      </c>
      <c r="AM1746" s="1575">
        <f>AM1747+AM1748</f>
        <v>260.46085765727213</v>
      </c>
      <c r="AN1746" s="1575">
        <f>AN1747+AN1748</f>
        <v>303.32672266934946</v>
      </c>
      <c r="AO1746" s="1575">
        <f>AO1747+AO1748</f>
        <v>386.49846529082288</v>
      </c>
      <c r="AP1746" s="1575">
        <f t="shared" ref="AP1746:AT1746" si="2100">AP1747+AP1748</f>
        <v>587.56167142817355</v>
      </c>
      <c r="AQ1746" s="1575">
        <f t="shared" si="2100"/>
        <v>556.30577746041638</v>
      </c>
      <c r="AR1746" s="1575">
        <f t="shared" si="2100"/>
        <v>839.06043796853965</v>
      </c>
      <c r="AS1746" s="1575">
        <f t="shared" si="2100"/>
        <v>1024.4956971220117</v>
      </c>
      <c r="AT1746" s="2715">
        <f t="shared" si="2100"/>
        <v>1960.8755364452027</v>
      </c>
    </row>
    <row r="1747" spans="1:116">
      <c r="A1747" s="1"/>
      <c r="B1747" s="1"/>
      <c r="C1747" s="1"/>
      <c r="D1747" s="88" t="s">
        <v>106</v>
      </c>
      <c r="E1747" s="82"/>
      <c r="F1747" s="82"/>
      <c r="G1747" s="82"/>
      <c r="H1747" s="82"/>
      <c r="I1747" s="89"/>
      <c r="J1747" s="90"/>
      <c r="K1747" s="90"/>
      <c r="L1747" s="90"/>
      <c r="M1747" s="90"/>
      <c r="N1747" s="90"/>
      <c r="O1747" s="90"/>
      <c r="P1747" s="90"/>
      <c r="Q1747" s="90"/>
      <c r="R1747" s="90"/>
      <c r="S1747" s="91"/>
      <c r="T1747" s="90"/>
      <c r="U1747" s="94"/>
      <c r="V1747" s="94"/>
      <c r="W1747" s="94"/>
      <c r="X1747" s="94"/>
      <c r="Y1747" s="546"/>
      <c r="Z1747" s="546"/>
      <c r="AA1747" s="546"/>
      <c r="AB1747" s="546"/>
      <c r="AC1747" s="546"/>
      <c r="AD1747" s="546"/>
      <c r="AE1747" s="546">
        <f>FISCinyear!IU1003</f>
        <v>84.88360000000003</v>
      </c>
      <c r="AF1747" s="546">
        <f>FISCinyear!IX1003</f>
        <v>56.695709999999949</v>
      </c>
      <c r="AG1747" s="546">
        <f>FISCinyear!JA1003</f>
        <v>-4.5811000000000632</v>
      </c>
      <c r="AH1747" s="546">
        <f>FISCinyear!JD1003</f>
        <v>85.089600000000132</v>
      </c>
      <c r="AI1747" s="546">
        <f>FISCinyear!JG1003</f>
        <v>9.7720000000000198</v>
      </c>
      <c r="AJ1747" s="546">
        <f>FISCinyear!JJ1003</f>
        <v>-26.794799999999967</v>
      </c>
      <c r="AK1747" s="546">
        <f>FISCinyear!JM1003</f>
        <v>35.210200994384309</v>
      </c>
      <c r="AL1747" s="546">
        <f>FISCinyear!JP1003</f>
        <v>111.92264843573116</v>
      </c>
      <c r="AM1747" s="546">
        <f>FISCinyear!JS1003</f>
        <v>158.19734112527337</v>
      </c>
      <c r="AN1747" s="546">
        <f>FISCinyear!JV1003</f>
        <v>102.26351653199872</v>
      </c>
      <c r="AO1747" s="546">
        <f>FISCinyear!JY1003</f>
        <v>201.06320613735073</v>
      </c>
      <c r="AP1747" s="546">
        <f>FISCinyear!JZ1003</f>
        <v>402.12641227470147</v>
      </c>
      <c r="AQ1747" s="546">
        <f>FISCinyear!KA1003</f>
        <v>185.43525915347212</v>
      </c>
      <c r="AR1747" s="546">
        <f>FISCinyear!KB1003</f>
        <v>185.43525915347212</v>
      </c>
      <c r="AS1747" s="546">
        <f>FISCinyear!KC1003</f>
        <v>370.87051830694423</v>
      </c>
      <c r="AT1747" s="2709">
        <f>FISCinyear!KD1003</f>
        <v>653.62517881506756</v>
      </c>
    </row>
    <row r="1748" spans="1:116">
      <c r="A1748" s="1"/>
      <c r="B1748" s="1"/>
      <c r="C1748" s="1"/>
      <c r="D1748" s="88" t="s">
        <v>107</v>
      </c>
      <c r="E1748" s="82"/>
      <c r="F1748" s="82"/>
      <c r="G1748" s="82"/>
      <c r="H1748" s="82"/>
      <c r="I1748" s="89"/>
      <c r="J1748" s="90"/>
      <c r="K1748" s="90"/>
      <c r="L1748" s="90"/>
      <c r="M1748" s="90"/>
      <c r="N1748" s="90"/>
      <c r="O1748" s="90"/>
      <c r="P1748" s="90"/>
      <c r="Q1748" s="90"/>
      <c r="R1748" s="90"/>
      <c r="S1748" s="91"/>
      <c r="T1748" s="90"/>
      <c r="U1748" s="94"/>
      <c r="V1748" s="94"/>
      <c r="W1748" s="94"/>
      <c r="X1748" s="546"/>
      <c r="Y1748" s="546"/>
      <c r="Z1748" s="546"/>
      <c r="AA1748" s="546"/>
      <c r="AB1748" s="546"/>
      <c r="AC1748" s="546"/>
      <c r="AD1748" s="546"/>
      <c r="AE1748" s="546">
        <f>FISCinyear!IW1003</f>
        <v>97.579199999999943</v>
      </c>
      <c r="AF1748" s="546">
        <f>FISCinyear!IZ1003</f>
        <v>31.98809</v>
      </c>
      <c r="AG1748" s="546">
        <f>FISCinyear!JC1003</f>
        <v>167.33703499999993</v>
      </c>
      <c r="AH1748" s="546">
        <f>FISCinyear!JF1003</f>
        <v>108.97799999999999</v>
      </c>
      <c r="AI1748" s="546">
        <f>FISCinyear!JI1003</f>
        <v>111.1280999999999</v>
      </c>
      <c r="AJ1748" s="546">
        <f>FISCinyear!JL1003</f>
        <v>149.70289999999994</v>
      </c>
      <c r="AK1748" s="546">
        <f>FISCinyear!JO1003</f>
        <v>111.92264843573119</v>
      </c>
      <c r="AL1748" s="546">
        <f>FISCinyear!JR1003</f>
        <v>158.19734112527337</v>
      </c>
      <c r="AM1748" s="546">
        <f>FISCinyear!JU1003</f>
        <v>102.26351653199875</v>
      </c>
      <c r="AN1748" s="546">
        <f>FISCinyear!JX1003</f>
        <v>201.06320613735073</v>
      </c>
      <c r="AO1748" s="546">
        <f>FISCinyear!KA1003</f>
        <v>185.43525915347212</v>
      </c>
      <c r="AP1748" s="546">
        <f>FISCinyear!KB1003</f>
        <v>185.43525915347212</v>
      </c>
      <c r="AQ1748" s="546">
        <f>FISCinyear!KC1003</f>
        <v>370.87051830694423</v>
      </c>
      <c r="AR1748" s="546">
        <f>FISCinyear!KD1003</f>
        <v>653.62517881506756</v>
      </c>
      <c r="AS1748" s="546">
        <f>FISCinyear!KE1003</f>
        <v>653.62517881506756</v>
      </c>
      <c r="AT1748" s="2709">
        <f>FISCinyear!KF1003</f>
        <v>1307.2503576301351</v>
      </c>
    </row>
    <row r="1749" spans="1:116">
      <c r="A1749" s="1"/>
      <c r="B1749" s="1"/>
      <c r="C1749" s="1"/>
      <c r="D1749" s="543" t="s">
        <v>3695</v>
      </c>
      <c r="E1749" s="82"/>
      <c r="F1749" s="82">
        <f t="shared" ref="F1749:AT1749" si="2101">F1329</f>
        <v>0</v>
      </c>
      <c r="G1749" s="82">
        <f t="shared" si="2101"/>
        <v>0</v>
      </c>
      <c r="H1749" s="82">
        <f t="shared" si="2101"/>
        <v>0</v>
      </c>
      <c r="I1749" s="89">
        <f t="shared" si="2101"/>
        <v>0</v>
      </c>
      <c r="J1749" s="90">
        <f t="shared" si="2101"/>
        <v>0</v>
      </c>
      <c r="K1749" s="90">
        <f t="shared" si="2101"/>
        <v>0</v>
      </c>
      <c r="L1749" s="90">
        <f t="shared" si="2101"/>
        <v>0</v>
      </c>
      <c r="M1749" s="90">
        <f t="shared" si="2101"/>
        <v>0</v>
      </c>
      <c r="N1749" s="90">
        <f t="shared" si="2101"/>
        <v>0</v>
      </c>
      <c r="O1749" s="90">
        <f t="shared" si="2101"/>
        <v>0</v>
      </c>
      <c r="P1749" s="90">
        <f t="shared" si="2101"/>
        <v>0</v>
      </c>
      <c r="Q1749" s="90">
        <f t="shared" si="2101"/>
        <v>0</v>
      </c>
      <c r="R1749" s="90">
        <f t="shared" si="2101"/>
        <v>0</v>
      </c>
      <c r="S1749" s="91">
        <f t="shared" si="2101"/>
        <v>0</v>
      </c>
      <c r="T1749" s="90">
        <f t="shared" si="2101"/>
        <v>0</v>
      </c>
      <c r="U1749" s="255">
        <f t="shared" si="2101"/>
        <v>0</v>
      </c>
      <c r="V1749" s="255">
        <f t="shared" si="2101"/>
        <v>0</v>
      </c>
      <c r="W1749" s="255">
        <f t="shared" si="2101"/>
        <v>0</v>
      </c>
      <c r="X1749" s="259">
        <f t="shared" si="2101"/>
        <v>39.700000000000003</v>
      </c>
      <c r="Y1749" s="259">
        <f t="shared" si="2101"/>
        <v>-11.653900000000029</v>
      </c>
      <c r="Z1749" s="259">
        <f t="shared" si="2101"/>
        <v>30.907699999999998</v>
      </c>
      <c r="AA1749" s="259">
        <f t="shared" si="2101"/>
        <v>59.256799999999984</v>
      </c>
      <c r="AB1749" s="259">
        <f t="shared" si="2101"/>
        <v>58.736500000000021</v>
      </c>
      <c r="AC1749" s="259">
        <f t="shared" si="2101"/>
        <v>23.252356078422068</v>
      </c>
      <c r="AD1749" s="259">
        <f t="shared" si="2101"/>
        <v>115.41749999999998</v>
      </c>
      <c r="AE1749" s="259">
        <f t="shared" si="2101"/>
        <v>90.11069999999998</v>
      </c>
      <c r="AF1749" s="259">
        <f t="shared" si="2101"/>
        <v>154.27490999999989</v>
      </c>
      <c r="AG1749" s="259">
        <f t="shared" si="2101"/>
        <v>27.406989999999936</v>
      </c>
      <c r="AH1749" s="259">
        <f t="shared" si="2101"/>
        <v>252.42663500000006</v>
      </c>
      <c r="AI1749" s="259">
        <f t="shared" si="2101"/>
        <v>118.75000000000001</v>
      </c>
      <c r="AJ1749" s="259">
        <f t="shared" si="2101"/>
        <v>84.333299999999937</v>
      </c>
      <c r="AK1749" s="259">
        <f t="shared" si="2101"/>
        <v>184.91310099438425</v>
      </c>
      <c r="AL1749" s="259">
        <f t="shared" si="2101"/>
        <v>223.84529687146235</v>
      </c>
      <c r="AM1749" s="259">
        <f t="shared" si="2101"/>
        <v>316.39468225054674</v>
      </c>
      <c r="AN1749" s="259">
        <f t="shared" si="2101"/>
        <v>204.52703306399746</v>
      </c>
      <c r="AO1749" s="259">
        <f t="shared" si="2101"/>
        <v>402.12641227470147</v>
      </c>
      <c r="AP1749" s="259">
        <f t="shared" si="2101"/>
        <v>370.87051830694423</v>
      </c>
      <c r="AQ1749" s="259">
        <f t="shared" si="2101"/>
        <v>1307.2503576301351</v>
      </c>
      <c r="AR1749" s="259">
        <f t="shared" si="2101"/>
        <v>945.46687081261575</v>
      </c>
      <c r="AS1749" s="259">
        <f t="shared" si="2101"/>
        <v>1303.092832377778</v>
      </c>
      <c r="AT1749" s="2710">
        <f t="shared" si="2101"/>
        <v>1730.580656657708</v>
      </c>
    </row>
    <row r="1750" spans="1:116">
      <c r="A1750" s="1"/>
      <c r="B1750" s="1"/>
      <c r="C1750" s="1"/>
      <c r="D1750" s="545" t="s">
        <v>3760</v>
      </c>
      <c r="E1750" s="250"/>
      <c r="F1750" s="250">
        <f t="shared" ref="F1750:AD1750" si="2102">F1751+F1752</f>
        <v>0</v>
      </c>
      <c r="G1750" s="250">
        <f t="shared" si="2102"/>
        <v>0</v>
      </c>
      <c r="H1750" s="250">
        <f t="shared" si="2102"/>
        <v>0</v>
      </c>
      <c r="I1750" s="251">
        <f t="shared" si="2102"/>
        <v>0</v>
      </c>
      <c r="J1750" s="252">
        <f t="shared" si="2102"/>
        <v>0</v>
      </c>
      <c r="K1750" s="252">
        <f t="shared" si="2102"/>
        <v>0</v>
      </c>
      <c r="L1750" s="252">
        <f t="shared" si="2102"/>
        <v>0</v>
      </c>
      <c r="M1750" s="252">
        <f t="shared" si="2102"/>
        <v>0</v>
      </c>
      <c r="N1750" s="252">
        <f t="shared" si="2102"/>
        <v>0</v>
      </c>
      <c r="O1750" s="252">
        <f t="shared" si="2102"/>
        <v>0</v>
      </c>
      <c r="P1750" s="252">
        <f t="shared" si="2102"/>
        <v>0</v>
      </c>
      <c r="Q1750" s="252">
        <f t="shared" si="2102"/>
        <v>0</v>
      </c>
      <c r="R1750" s="252">
        <f t="shared" si="2102"/>
        <v>0</v>
      </c>
      <c r="S1750" s="253">
        <f t="shared" si="2102"/>
        <v>0</v>
      </c>
      <c r="T1750" s="252">
        <f t="shared" si="2102"/>
        <v>0</v>
      </c>
      <c r="U1750" s="263">
        <f t="shared" si="2102"/>
        <v>0</v>
      </c>
      <c r="V1750" s="263">
        <f t="shared" si="2102"/>
        <v>0</v>
      </c>
      <c r="W1750" s="263">
        <f t="shared" si="2102"/>
        <v>0</v>
      </c>
      <c r="X1750" s="263">
        <f t="shared" si="2102"/>
        <v>0</v>
      </c>
      <c r="Y1750" s="263">
        <f t="shared" si="2102"/>
        <v>0</v>
      </c>
      <c r="Z1750" s="254">
        <f t="shared" si="2102"/>
        <v>0</v>
      </c>
      <c r="AA1750" s="254">
        <f t="shared" si="2102"/>
        <v>0</v>
      </c>
      <c r="AB1750" s="254">
        <f t="shared" si="2102"/>
        <v>0</v>
      </c>
      <c r="AC1750" s="254">
        <f t="shared" si="2102"/>
        <v>0</v>
      </c>
      <c r="AD1750" s="254">
        <f t="shared" si="2102"/>
        <v>0</v>
      </c>
      <c r="AE1750" s="1575">
        <f>AE1751+AE1752</f>
        <v>0</v>
      </c>
      <c r="AF1750" s="1575">
        <f t="shared" ref="AF1750:AL1750" si="2103">AF1751+AF1752</f>
        <v>0</v>
      </c>
      <c r="AG1750" s="1575">
        <f t="shared" si="2103"/>
        <v>-40</v>
      </c>
      <c r="AH1750" s="1575">
        <f t="shared" si="2103"/>
        <v>-93.555000000000007</v>
      </c>
      <c r="AI1750" s="1575">
        <f t="shared" si="2103"/>
        <v>-120</v>
      </c>
      <c r="AJ1750" s="1575">
        <f t="shared" si="2103"/>
        <v>-70</v>
      </c>
      <c r="AK1750" s="1575">
        <f t="shared" si="2103"/>
        <v>-65.455799999999996</v>
      </c>
      <c r="AL1750" s="1575">
        <f t="shared" si="2103"/>
        <v>-85.826700000000002</v>
      </c>
      <c r="AM1750" s="1575">
        <f>AM1751+AM1752</f>
        <v>-60.216300000000004</v>
      </c>
      <c r="AN1750" s="1575">
        <f>AN1751+AN1752</f>
        <v>-110.4601</v>
      </c>
      <c r="AO1750" s="1575">
        <f>AO1751+AO1752</f>
        <v>-31.294200000000004</v>
      </c>
      <c r="AP1750" s="1575">
        <f t="shared" ref="AP1750:AT1750" si="2104">AP1751+AP1752</f>
        <v>-134.1506</v>
      </c>
      <c r="AQ1750" s="1575">
        <f t="shared" si="2104"/>
        <v>-119.87820000000001</v>
      </c>
      <c r="AR1750" s="1575">
        <f t="shared" si="2104"/>
        <v>-69.878200000000007</v>
      </c>
      <c r="AS1750" s="1575">
        <f t="shared" si="2104"/>
        <v>-177.97140000000002</v>
      </c>
      <c r="AT1750" s="2715">
        <f t="shared" si="2104"/>
        <v>-158.0932</v>
      </c>
    </row>
    <row r="1751" spans="1:116">
      <c r="A1751" s="1"/>
      <c r="B1751" s="1"/>
      <c r="C1751" s="1"/>
      <c r="D1751" s="88" t="s">
        <v>106</v>
      </c>
      <c r="E1751" s="82"/>
      <c r="F1751" s="82"/>
      <c r="G1751" s="82"/>
      <c r="H1751" s="82"/>
      <c r="I1751" s="89"/>
      <c r="J1751" s="90"/>
      <c r="K1751" s="90"/>
      <c r="L1751" s="90"/>
      <c r="M1751" s="90"/>
      <c r="N1751" s="90"/>
      <c r="O1751" s="90"/>
      <c r="P1751" s="90"/>
      <c r="Q1751" s="90"/>
      <c r="R1751" s="90"/>
      <c r="S1751" s="91"/>
      <c r="T1751" s="90"/>
      <c r="U1751" s="94"/>
      <c r="V1751" s="94"/>
      <c r="W1751" s="94"/>
      <c r="X1751" s="94"/>
      <c r="Y1751" s="546"/>
      <c r="Z1751" s="546"/>
      <c r="AA1751" s="546"/>
      <c r="AB1751" s="546"/>
      <c r="AC1751" s="546"/>
      <c r="AD1751" s="546"/>
      <c r="AE1751" s="546">
        <f>FISCinyear!IU1014</f>
        <v>0</v>
      </c>
      <c r="AF1751" s="546">
        <f>FISCinyear!IX1014</f>
        <v>0</v>
      </c>
      <c r="AG1751" s="546">
        <f>FISCinyear!JA1014</f>
        <v>0</v>
      </c>
      <c r="AH1751" s="546">
        <f>FISCinyear!JD1014</f>
        <v>-93.555000000000007</v>
      </c>
      <c r="AI1751" s="546">
        <f>FISCinyear!JG1014</f>
        <v>-65</v>
      </c>
      <c r="AJ1751" s="546">
        <f>FISCinyear!JJ1014</f>
        <v>-10</v>
      </c>
      <c r="AK1751" s="546">
        <f>FISCinyear!JM1014</f>
        <v>-3.0773999999999972</v>
      </c>
      <c r="AL1751" s="546">
        <f>FISCinyear!JP1014</f>
        <v>9.1732999999999976</v>
      </c>
      <c r="AM1751" s="546">
        <f>FISCinyear!JS1014</f>
        <v>9.7836999999999961</v>
      </c>
      <c r="AN1751" s="546">
        <f>FISCinyear!JV1014</f>
        <v>-7.481899999999996</v>
      </c>
      <c r="AO1751" s="546">
        <f>FISCinyear!JY1014</f>
        <v>8.7057999999999964</v>
      </c>
      <c r="AP1751" s="546">
        <f>FISCinyear!JZ1014</f>
        <v>-94.272400000000005</v>
      </c>
      <c r="AQ1751" s="546">
        <f>FISCinyear!KA1014</f>
        <v>-40</v>
      </c>
      <c r="AR1751" s="546">
        <f>FISCinyear!KB1014</f>
        <v>-39.878200000000007</v>
      </c>
      <c r="AS1751" s="546">
        <f>FISCinyear!KC1014</f>
        <v>-79.878200000000007</v>
      </c>
      <c r="AT1751" s="2709">
        <f>FISCinyear!KD1014</f>
        <v>-30</v>
      </c>
    </row>
    <row r="1752" spans="1:116">
      <c r="A1752" s="1"/>
      <c r="B1752" s="1"/>
      <c r="C1752" s="1"/>
      <c r="D1752" s="88" t="s">
        <v>107</v>
      </c>
      <c r="E1752" s="82"/>
      <c r="F1752" s="82"/>
      <c r="G1752" s="82"/>
      <c r="H1752" s="82"/>
      <c r="I1752" s="89"/>
      <c r="J1752" s="90"/>
      <c r="K1752" s="90"/>
      <c r="L1752" s="90"/>
      <c r="M1752" s="90"/>
      <c r="N1752" s="90"/>
      <c r="O1752" s="90"/>
      <c r="P1752" s="90"/>
      <c r="Q1752" s="90"/>
      <c r="R1752" s="90"/>
      <c r="S1752" s="91"/>
      <c r="T1752" s="90"/>
      <c r="U1752" s="94"/>
      <c r="V1752" s="94"/>
      <c r="W1752" s="94"/>
      <c r="X1752" s="546"/>
      <c r="Y1752" s="546"/>
      <c r="Z1752" s="546"/>
      <c r="AA1752" s="546"/>
      <c r="AB1752" s="546"/>
      <c r="AC1752" s="546"/>
      <c r="AD1752" s="546"/>
      <c r="AE1752" s="546">
        <f>FISCinyear!IW1014</f>
        <v>0</v>
      </c>
      <c r="AF1752" s="546">
        <f>FISCinyear!IZ1014</f>
        <v>0</v>
      </c>
      <c r="AG1752" s="546">
        <f>FISCinyear!JC1014</f>
        <v>-40</v>
      </c>
      <c r="AH1752" s="546">
        <f>FISCinyear!JF1014</f>
        <v>0</v>
      </c>
      <c r="AI1752" s="546">
        <f>FISCinyear!JI1014</f>
        <v>-55</v>
      </c>
      <c r="AJ1752" s="546">
        <f>FISCinyear!JL1014</f>
        <v>-60</v>
      </c>
      <c r="AK1752" s="546">
        <f>FISCinyear!JO1014</f>
        <v>-62.378399999999999</v>
      </c>
      <c r="AL1752" s="546">
        <f>FISCinyear!JR1014</f>
        <v>-95</v>
      </c>
      <c r="AM1752" s="546">
        <f>FISCinyear!JU1014</f>
        <v>-70</v>
      </c>
      <c r="AN1752" s="546">
        <f>FISCinyear!JX1014</f>
        <v>-102.9782</v>
      </c>
      <c r="AO1752" s="546">
        <f>FISCinyear!KA1014</f>
        <v>-40</v>
      </c>
      <c r="AP1752" s="546">
        <f>FISCinyear!KB1014</f>
        <v>-39.878200000000007</v>
      </c>
      <c r="AQ1752" s="546">
        <f>FISCinyear!KC1014</f>
        <v>-79.878200000000007</v>
      </c>
      <c r="AR1752" s="546">
        <f>FISCinyear!KD1014</f>
        <v>-30</v>
      </c>
      <c r="AS1752" s="546">
        <f>FISCinyear!KE1014</f>
        <v>-98.093199999999996</v>
      </c>
      <c r="AT1752" s="2709">
        <f>FISCinyear!KF1014</f>
        <v>-128.0932</v>
      </c>
    </row>
    <row r="1753" spans="1:116">
      <c r="A1753" s="1"/>
      <c r="B1753" s="1"/>
      <c r="C1753" s="1"/>
      <c r="D1753" s="544" t="s">
        <v>3761</v>
      </c>
      <c r="E1753" s="82"/>
      <c r="F1753" s="82">
        <f t="shared" ref="F1753:AC1753" si="2105">F1335</f>
        <v>0</v>
      </c>
      <c r="G1753" s="82">
        <f t="shared" si="2105"/>
        <v>0</v>
      </c>
      <c r="H1753" s="82">
        <f t="shared" si="2105"/>
        <v>0</v>
      </c>
      <c r="I1753" s="89">
        <f t="shared" si="2105"/>
        <v>0</v>
      </c>
      <c r="J1753" s="90">
        <f t="shared" si="2105"/>
        <v>0</v>
      </c>
      <c r="K1753" s="90">
        <f t="shared" si="2105"/>
        <v>0</v>
      </c>
      <c r="L1753" s="90">
        <f t="shared" si="2105"/>
        <v>0</v>
      </c>
      <c r="M1753" s="90">
        <f t="shared" si="2105"/>
        <v>0</v>
      </c>
      <c r="N1753" s="90">
        <f t="shared" si="2105"/>
        <v>0</v>
      </c>
      <c r="O1753" s="90">
        <f t="shared" si="2105"/>
        <v>0</v>
      </c>
      <c r="P1753" s="90">
        <f t="shared" si="2105"/>
        <v>0</v>
      </c>
      <c r="Q1753" s="90">
        <f t="shared" si="2105"/>
        <v>0</v>
      </c>
      <c r="R1753" s="90">
        <f t="shared" si="2105"/>
        <v>0</v>
      </c>
      <c r="S1753" s="91">
        <f t="shared" si="2105"/>
        <v>0</v>
      </c>
      <c r="T1753" s="90">
        <f t="shared" si="2105"/>
        <v>0</v>
      </c>
      <c r="U1753" s="255">
        <f t="shared" si="2105"/>
        <v>0</v>
      </c>
      <c r="V1753" s="255">
        <f t="shared" si="2105"/>
        <v>0</v>
      </c>
      <c r="W1753" s="255">
        <f t="shared" si="2105"/>
        <v>0</v>
      </c>
      <c r="X1753" s="259">
        <f t="shared" si="2105"/>
        <v>0</v>
      </c>
      <c r="Y1753" s="259">
        <f t="shared" si="2105"/>
        <v>0</v>
      </c>
      <c r="Z1753" s="259">
        <f t="shared" si="2105"/>
        <v>0</v>
      </c>
      <c r="AA1753" s="259">
        <f t="shared" si="2105"/>
        <v>0</v>
      </c>
      <c r="AB1753" s="259">
        <f t="shared" si="2105"/>
        <v>0</v>
      </c>
      <c r="AC1753" s="259">
        <f t="shared" si="2105"/>
        <v>0</v>
      </c>
      <c r="AD1753" s="259">
        <f t="shared" ref="AD1753:AT1753" si="2106">AD1339</f>
        <v>0</v>
      </c>
      <c r="AE1753" s="259">
        <f t="shared" si="2106"/>
        <v>-38.554066509999998</v>
      </c>
      <c r="AF1753" s="259">
        <f t="shared" si="2106"/>
        <v>0</v>
      </c>
      <c r="AG1753" s="259">
        <f t="shared" si="2106"/>
        <v>0</v>
      </c>
      <c r="AH1753" s="259">
        <f t="shared" si="2106"/>
        <v>-133.55500000000001</v>
      </c>
      <c r="AI1753" s="259">
        <f t="shared" si="2106"/>
        <v>-65</v>
      </c>
      <c r="AJ1753" s="259">
        <f t="shared" si="2106"/>
        <v>-65</v>
      </c>
      <c r="AK1753" s="259">
        <f t="shared" si="2106"/>
        <v>-63.077399999999997</v>
      </c>
      <c r="AL1753" s="259">
        <f t="shared" si="2106"/>
        <v>-53.205100000000002</v>
      </c>
      <c r="AM1753" s="259">
        <f t="shared" si="2106"/>
        <v>-85.216300000000004</v>
      </c>
      <c r="AN1753" s="259">
        <f t="shared" si="2106"/>
        <v>-77.481899999999996</v>
      </c>
      <c r="AO1753" s="259">
        <f t="shared" si="2106"/>
        <v>-94.272400000000005</v>
      </c>
      <c r="AP1753" s="259">
        <f t="shared" si="2106"/>
        <v>-79.878200000000007</v>
      </c>
      <c r="AQ1753" s="259">
        <f t="shared" si="2106"/>
        <v>-128.0932</v>
      </c>
      <c r="AR1753" s="259">
        <f t="shared" si="2106"/>
        <v>-88.785700000000006</v>
      </c>
      <c r="AS1753" s="259">
        <f t="shared" si="2106"/>
        <v>-54.930799999999998</v>
      </c>
      <c r="AT1753" s="2710">
        <f t="shared" si="2106"/>
        <v>-96.2346</v>
      </c>
    </row>
    <row r="1754" spans="1:116" s="2116" customFormat="1">
      <c r="D1754" s="135" t="s">
        <v>869</v>
      </c>
      <c r="E1754" s="2117"/>
      <c r="F1754" s="2117"/>
      <c r="G1754" s="2117"/>
      <c r="H1754" s="2117"/>
      <c r="I1754" s="2118"/>
      <c r="J1754" s="2119"/>
      <c r="K1754" s="2119"/>
      <c r="L1754" s="2119"/>
      <c r="M1754" s="2119"/>
      <c r="N1754" s="2119"/>
      <c r="O1754" s="2119"/>
      <c r="P1754" s="2119"/>
      <c r="Q1754" s="2119"/>
      <c r="R1754" s="2119"/>
      <c r="S1754" s="2120"/>
      <c r="T1754" s="2119"/>
      <c r="U1754" s="2121"/>
      <c r="V1754" s="2121"/>
      <c r="W1754" s="2121"/>
      <c r="X1754" s="2121"/>
      <c r="Y1754" s="2122"/>
      <c r="Z1754" s="2122"/>
      <c r="AA1754" s="2122"/>
      <c r="AB1754" s="2122"/>
      <c r="AC1754" s="2122"/>
      <c r="AD1754" s="2122"/>
      <c r="AE1754" s="2122"/>
      <c r="AF1754" s="2122"/>
      <c r="AG1754" s="2122"/>
      <c r="AH1754" s="2122"/>
      <c r="AI1754" s="2122"/>
      <c r="AJ1754" s="2122"/>
      <c r="AK1754" s="2122"/>
      <c r="AL1754" s="2122"/>
      <c r="AM1754" s="2122"/>
      <c r="AN1754" s="2122"/>
      <c r="AO1754" s="2122"/>
      <c r="AP1754" s="2122"/>
      <c r="AQ1754" s="2122"/>
      <c r="AR1754" s="2122"/>
      <c r="AS1754" s="2122"/>
      <c r="AT1754" s="2716"/>
      <c r="AU1754" s="1"/>
      <c r="AV1754" s="1"/>
      <c r="AW1754" s="1"/>
      <c r="AX1754" s="1"/>
      <c r="AY1754" s="1"/>
      <c r="AZ1754" s="1"/>
      <c r="BA1754" s="1"/>
      <c r="BB1754" s="1"/>
      <c r="BC1754" s="1"/>
      <c r="BD1754" s="1"/>
      <c r="BE1754" s="1"/>
      <c r="BF1754" s="1"/>
      <c r="BG1754" s="1"/>
      <c r="BH1754" s="1"/>
      <c r="BI1754" s="1"/>
      <c r="BJ1754" s="1"/>
      <c r="BK1754" s="1"/>
      <c r="BL1754" s="1"/>
      <c r="BM1754" s="1"/>
      <c r="BN1754" s="1"/>
      <c r="BO1754" s="1"/>
      <c r="BP1754" s="1"/>
      <c r="BQ1754" s="1"/>
      <c r="BR1754" s="1"/>
      <c r="BS1754" s="1"/>
      <c r="BT1754" s="1"/>
      <c r="BU1754" s="1"/>
      <c r="BV1754" s="1"/>
      <c r="BW1754" s="1"/>
      <c r="BX1754" s="1"/>
      <c r="BY1754" s="1"/>
      <c r="BZ1754" s="1"/>
      <c r="CA1754" s="1"/>
      <c r="CB1754" s="1"/>
      <c r="CC1754" s="1"/>
      <c r="CD1754" s="1"/>
      <c r="CE1754" s="1"/>
      <c r="CF1754" s="1"/>
      <c r="CG1754" s="1"/>
      <c r="CH1754" s="1"/>
      <c r="CI1754" s="1"/>
      <c r="CJ1754" s="1"/>
      <c r="CK1754" s="1"/>
      <c r="CL1754" s="1"/>
      <c r="CM1754" s="1"/>
      <c r="CN1754" s="1"/>
      <c r="CO1754" s="1"/>
      <c r="CP1754" s="1"/>
      <c r="CQ1754" s="1"/>
      <c r="CR1754" s="1"/>
      <c r="CS1754" s="1"/>
      <c r="CT1754" s="1"/>
      <c r="CU1754" s="1"/>
      <c r="CV1754" s="1"/>
      <c r="CW1754" s="1"/>
      <c r="CX1754" s="1"/>
      <c r="CY1754" s="1"/>
      <c r="CZ1754" s="1"/>
      <c r="DA1754" s="1"/>
      <c r="DB1754" s="1"/>
      <c r="DC1754" s="1"/>
      <c r="DD1754" s="1"/>
      <c r="DE1754" s="1"/>
      <c r="DF1754" s="1"/>
      <c r="DG1754" s="1"/>
      <c r="DH1754" s="1"/>
      <c r="DI1754" s="1"/>
      <c r="DJ1754" s="1"/>
      <c r="DK1754" s="1"/>
      <c r="DL1754" s="1"/>
    </row>
    <row r="1755" spans="1:116" s="2064" customFormat="1">
      <c r="D1755" s="2065" t="s">
        <v>108</v>
      </c>
      <c r="E1755" s="2066"/>
      <c r="F1755" s="2066"/>
      <c r="G1755" s="2066"/>
      <c r="H1755" s="2066"/>
      <c r="I1755" s="2067"/>
      <c r="J1755" s="2067"/>
      <c r="K1755" s="2067"/>
      <c r="L1755" s="2067"/>
      <c r="M1755" s="2067"/>
      <c r="N1755" s="2067"/>
      <c r="O1755" s="2067"/>
      <c r="P1755" s="2067"/>
      <c r="Q1755" s="2067"/>
      <c r="R1755" s="2067"/>
      <c r="S1755" s="2067"/>
      <c r="T1755" s="2067"/>
      <c r="U1755" s="2067"/>
      <c r="V1755" s="2067"/>
      <c r="W1755" s="2067"/>
      <c r="X1755" s="2067"/>
      <c r="Y1755" s="2068">
        <f t="shared" ref="Y1755:AC1757" si="2107">+Y308</f>
        <v>105.3</v>
      </c>
      <c r="Z1755" s="2068">
        <f t="shared" si="2107"/>
        <v>159.31</v>
      </c>
      <c r="AA1755" s="2068">
        <f t="shared" si="2107"/>
        <v>164.43</v>
      </c>
      <c r="AB1755" s="2068">
        <f t="shared" si="2107"/>
        <v>175.1</v>
      </c>
      <c r="AC1755" s="2068">
        <f t="shared" si="2107"/>
        <v>165.5</v>
      </c>
      <c r="AD1755" s="2068">
        <f t="shared" ref="AD1755:AT1755" si="2108">+AD430</f>
        <v>157.38596526999999</v>
      </c>
      <c r="AE1755" s="2069">
        <f t="shared" si="2108"/>
        <v>211.45</v>
      </c>
      <c r="AF1755" s="2069">
        <f t="shared" si="2108"/>
        <v>173.64198012</v>
      </c>
      <c r="AG1755" s="2069">
        <f t="shared" si="2108"/>
        <v>171.106168</v>
      </c>
      <c r="AH1755" s="2069">
        <f t="shared" si="2108"/>
        <v>188.92539241999998</v>
      </c>
      <c r="AI1755" s="2069">
        <f t="shared" si="2108"/>
        <v>152</v>
      </c>
      <c r="AJ1755" s="2069">
        <f t="shared" si="2108"/>
        <v>141.89079649999999</v>
      </c>
      <c r="AK1755" s="2069">
        <f t="shared" si="2108"/>
        <v>138.94388049999998</v>
      </c>
      <c r="AL1755" s="2069">
        <f t="shared" si="2108"/>
        <v>146.106168</v>
      </c>
      <c r="AM1755" s="2069">
        <f t="shared" si="2108"/>
        <v>146.106168</v>
      </c>
      <c r="AN1755" s="2069">
        <f t="shared" si="2108"/>
        <v>146.106168</v>
      </c>
      <c r="AO1755" s="2069">
        <f t="shared" si="2108"/>
        <v>146.106168</v>
      </c>
      <c r="AP1755" s="2069">
        <f t="shared" si="2108"/>
        <v>146.106168</v>
      </c>
      <c r="AQ1755" s="2069">
        <f t="shared" si="2108"/>
        <v>146.106168</v>
      </c>
      <c r="AR1755" s="2069">
        <f t="shared" si="2108"/>
        <v>146.106168</v>
      </c>
      <c r="AS1755" s="2069">
        <f t="shared" si="2108"/>
        <v>146.106168</v>
      </c>
      <c r="AT1755" s="2069">
        <f t="shared" si="2108"/>
        <v>146.106168</v>
      </c>
      <c r="AU1755" s="1"/>
      <c r="AV1755" s="1"/>
      <c r="AW1755" s="1"/>
      <c r="AX1755" s="1"/>
      <c r="AY1755" s="1"/>
      <c r="AZ1755" s="1"/>
      <c r="BA1755" s="1"/>
      <c r="BB1755" s="1"/>
      <c r="BC1755" s="1"/>
      <c r="BD1755" s="1"/>
      <c r="BE1755" s="1"/>
      <c r="BF1755" s="1"/>
      <c r="BG1755" s="1"/>
      <c r="BH1755" s="1"/>
      <c r="BI1755" s="1"/>
      <c r="BJ1755" s="1"/>
      <c r="BK1755" s="1"/>
      <c r="BL1755" s="1"/>
      <c r="BM1755" s="1"/>
      <c r="BN1755" s="1"/>
      <c r="BO1755" s="1"/>
      <c r="BP1755" s="1"/>
      <c r="BQ1755" s="1"/>
      <c r="BR1755" s="1"/>
      <c r="BS1755" s="1"/>
      <c r="BT1755" s="1"/>
      <c r="BU1755" s="1"/>
      <c r="BV1755" s="1"/>
      <c r="BW1755" s="1"/>
      <c r="BX1755" s="1"/>
      <c r="BY1755" s="1"/>
      <c r="BZ1755" s="1"/>
      <c r="CA1755" s="1"/>
      <c r="CB1755" s="1"/>
      <c r="CC1755" s="1"/>
      <c r="CD1755" s="1"/>
      <c r="CE1755" s="1"/>
      <c r="CF1755" s="1"/>
      <c r="CG1755" s="1"/>
      <c r="CH1755" s="1"/>
      <c r="CI1755" s="1"/>
      <c r="CJ1755" s="1"/>
      <c r="CK1755" s="1"/>
      <c r="CL1755" s="1"/>
      <c r="CM1755" s="1"/>
      <c r="CN1755" s="1"/>
      <c r="CO1755" s="1"/>
      <c r="CP1755" s="1"/>
      <c r="CQ1755" s="1"/>
      <c r="CR1755" s="1"/>
      <c r="CS1755" s="1"/>
      <c r="CT1755" s="1"/>
      <c r="CU1755" s="1"/>
      <c r="CV1755" s="1"/>
      <c r="CW1755" s="1"/>
      <c r="CX1755" s="1"/>
      <c r="CY1755" s="1"/>
      <c r="CZ1755" s="1"/>
      <c r="DA1755" s="1"/>
      <c r="DB1755" s="1"/>
      <c r="DC1755" s="1"/>
      <c r="DD1755" s="1"/>
      <c r="DE1755" s="1"/>
      <c r="DF1755" s="1"/>
      <c r="DG1755" s="1"/>
      <c r="DH1755" s="1"/>
      <c r="DI1755" s="1"/>
      <c r="DJ1755" s="1"/>
      <c r="DK1755" s="1"/>
      <c r="DL1755" s="1"/>
    </row>
    <row r="1756" spans="1:116" s="2064" customFormat="1">
      <c r="D1756" s="2070" t="str">
        <f>+D1686</f>
        <v xml:space="preserve">     Jan-June </v>
      </c>
      <c r="E1756" s="2066"/>
      <c r="F1756" s="2066"/>
      <c r="G1756" s="2066"/>
      <c r="H1756" s="2066"/>
      <c r="I1756" s="2067"/>
      <c r="J1756" s="2067"/>
      <c r="K1756" s="2067"/>
      <c r="L1756" s="2067"/>
      <c r="M1756" s="2067"/>
      <c r="N1756" s="2067"/>
      <c r="O1756" s="2067"/>
      <c r="P1756" s="2067"/>
      <c r="Q1756" s="2067"/>
      <c r="R1756" s="2067"/>
      <c r="S1756" s="2067"/>
      <c r="T1756" s="2067"/>
      <c r="U1756" s="2067"/>
      <c r="V1756" s="2067"/>
      <c r="W1756" s="2067"/>
      <c r="X1756" s="2067"/>
      <c r="Y1756" s="2071">
        <f t="shared" si="2107"/>
        <v>52.65</v>
      </c>
      <c r="Z1756" s="2071">
        <f t="shared" si="2107"/>
        <v>83.26</v>
      </c>
      <c r="AA1756" s="2071">
        <f t="shared" si="2107"/>
        <v>84.98</v>
      </c>
      <c r="AB1756" s="2071">
        <f t="shared" si="2107"/>
        <v>75.599999999999994</v>
      </c>
      <c r="AC1756" s="2071">
        <f t="shared" si="2107"/>
        <v>51.8</v>
      </c>
      <c r="AD1756" s="2071">
        <f t="shared" ref="AD1756:AT1756" si="2109">+AD431</f>
        <v>58.285965269999998</v>
      </c>
      <c r="AE1756" s="2071">
        <f t="shared" si="2109"/>
        <v>84.490000000000009</v>
      </c>
      <c r="AF1756" s="2071">
        <f t="shared" si="2109"/>
        <v>88.088896120000001</v>
      </c>
      <c r="AG1756" s="2071">
        <f t="shared" si="2109"/>
        <v>85.553083999999998</v>
      </c>
      <c r="AH1756" s="2071">
        <f t="shared" si="2109"/>
        <v>85.553083999999998</v>
      </c>
      <c r="AI1756" s="2071">
        <f t="shared" si="2109"/>
        <v>76</v>
      </c>
      <c r="AJ1756" s="2071">
        <f t="shared" si="2109"/>
        <v>76</v>
      </c>
      <c r="AK1756" s="2071">
        <f t="shared" si="2109"/>
        <v>65.890796499999993</v>
      </c>
      <c r="AL1756" s="2071">
        <f t="shared" si="2109"/>
        <v>73.053083999999998</v>
      </c>
      <c r="AM1756" s="2071">
        <f t="shared" si="2109"/>
        <v>73.053083999999998</v>
      </c>
      <c r="AN1756" s="2071">
        <f t="shared" si="2109"/>
        <v>73.053083999999998</v>
      </c>
      <c r="AO1756" s="2071">
        <f t="shared" si="2109"/>
        <v>73.053083999999998</v>
      </c>
      <c r="AP1756" s="2071">
        <f t="shared" si="2109"/>
        <v>73.053083999999998</v>
      </c>
      <c r="AQ1756" s="2071">
        <f t="shared" si="2109"/>
        <v>73.053083999999998</v>
      </c>
      <c r="AR1756" s="2071">
        <f t="shared" si="2109"/>
        <v>73.053083999999998</v>
      </c>
      <c r="AS1756" s="2071">
        <f t="shared" si="2109"/>
        <v>73.053083999999998</v>
      </c>
      <c r="AT1756" s="2071">
        <f t="shared" si="2109"/>
        <v>73.053083999999998</v>
      </c>
      <c r="AU1756" s="1"/>
      <c r="AV1756" s="1"/>
      <c r="AW1756" s="1"/>
      <c r="AX1756" s="1"/>
      <c r="AY1756" s="1"/>
      <c r="AZ1756" s="1"/>
      <c r="BA1756" s="1"/>
      <c r="BB1756" s="1"/>
      <c r="BC1756" s="1"/>
      <c r="BD1756" s="1"/>
      <c r="BE1756" s="1"/>
      <c r="BF1756" s="1"/>
      <c r="BG1756" s="1"/>
      <c r="BH1756" s="1"/>
      <c r="BI1756" s="1"/>
      <c r="BJ1756" s="1"/>
      <c r="BK1756" s="1"/>
      <c r="BL1756" s="1"/>
      <c r="BM1756" s="1"/>
      <c r="BN1756" s="1"/>
      <c r="BO1756" s="1"/>
      <c r="BP1756" s="1"/>
      <c r="BQ1756" s="1"/>
      <c r="BR1756" s="1"/>
      <c r="BS1756" s="1"/>
      <c r="BT1756" s="1"/>
      <c r="BU1756" s="1"/>
      <c r="BV1756" s="1"/>
      <c r="BW1756" s="1"/>
      <c r="BX1756" s="1"/>
      <c r="BY1756" s="1"/>
      <c r="BZ1756" s="1"/>
      <c r="CA1756" s="1"/>
      <c r="CB1756" s="1"/>
      <c r="CC1756" s="1"/>
      <c r="CD1756" s="1"/>
      <c r="CE1756" s="1"/>
      <c r="CF1756" s="1"/>
      <c r="CG1756" s="1"/>
      <c r="CH1756" s="1"/>
      <c r="CI1756" s="1"/>
      <c r="CJ1756" s="1"/>
      <c r="CK1756" s="1"/>
      <c r="CL1756" s="1"/>
      <c r="CM1756" s="1"/>
      <c r="CN1756" s="1"/>
      <c r="CO1756" s="1"/>
      <c r="CP1756" s="1"/>
      <c r="CQ1756" s="1"/>
      <c r="CR1756" s="1"/>
      <c r="CS1756" s="1"/>
      <c r="CT1756" s="1"/>
      <c r="CU1756" s="1"/>
      <c r="CV1756" s="1"/>
      <c r="CW1756" s="1"/>
      <c r="CX1756" s="1"/>
      <c r="CY1756" s="1"/>
      <c r="CZ1756" s="1"/>
      <c r="DA1756" s="1"/>
      <c r="DB1756" s="1"/>
      <c r="DC1756" s="1"/>
      <c r="DD1756" s="1"/>
      <c r="DE1756" s="1"/>
      <c r="DF1756" s="1"/>
      <c r="DG1756" s="1"/>
      <c r="DH1756" s="1"/>
      <c r="DI1756" s="1"/>
      <c r="DJ1756" s="1"/>
      <c r="DK1756" s="1"/>
      <c r="DL1756" s="1"/>
    </row>
    <row r="1757" spans="1:116" s="2064" customFormat="1">
      <c r="D1757" s="2072" t="str">
        <f>+D1687</f>
        <v xml:space="preserve">     July-Dec </v>
      </c>
      <c r="E1757" s="2073"/>
      <c r="F1757" s="2073"/>
      <c r="G1757" s="2073"/>
      <c r="H1757" s="2073"/>
      <c r="I1757" s="2073"/>
      <c r="J1757" s="2073"/>
      <c r="K1757" s="2073"/>
      <c r="L1757" s="2073"/>
      <c r="M1757" s="2073"/>
      <c r="N1757" s="2073"/>
      <c r="O1757" s="2073"/>
      <c r="P1757" s="2073"/>
      <c r="Q1757" s="2073"/>
      <c r="R1757" s="2073"/>
      <c r="S1757" s="2073"/>
      <c r="T1757" s="2073"/>
      <c r="U1757" s="2073"/>
      <c r="V1757" s="2073"/>
      <c r="W1757" s="2073"/>
      <c r="X1757" s="2073"/>
      <c r="Y1757" s="2074">
        <f t="shared" si="2107"/>
        <v>52.65</v>
      </c>
      <c r="Z1757" s="2074">
        <f t="shared" si="2107"/>
        <v>76.05</v>
      </c>
      <c r="AA1757" s="2074">
        <f t="shared" si="2107"/>
        <v>85.8</v>
      </c>
      <c r="AB1757" s="2074">
        <f t="shared" si="2107"/>
        <v>99.5</v>
      </c>
      <c r="AC1757" s="2074">
        <f t="shared" si="2107"/>
        <v>113.7</v>
      </c>
      <c r="AD1757" s="2074">
        <f t="shared" ref="AD1757:AT1757" si="2110">+AD432</f>
        <v>99.1</v>
      </c>
      <c r="AE1757" s="2074">
        <f t="shared" si="2110"/>
        <v>126.96</v>
      </c>
      <c r="AF1757" s="2074">
        <f t="shared" si="2110"/>
        <v>85.553083999999998</v>
      </c>
      <c r="AG1757" s="2074">
        <f t="shared" si="2110"/>
        <v>85.553083999999998</v>
      </c>
      <c r="AH1757" s="2074">
        <f t="shared" si="2110"/>
        <v>103.37230842</v>
      </c>
      <c r="AI1757" s="2074">
        <f t="shared" si="2110"/>
        <v>76</v>
      </c>
      <c r="AJ1757" s="2074">
        <f t="shared" si="2110"/>
        <v>65.890796499999993</v>
      </c>
      <c r="AK1757" s="2074">
        <f t="shared" si="2110"/>
        <v>73.053083999999998</v>
      </c>
      <c r="AL1757" s="2074">
        <f t="shared" si="2110"/>
        <v>73.053083999999998</v>
      </c>
      <c r="AM1757" s="2074">
        <f t="shared" si="2110"/>
        <v>73.053083999999998</v>
      </c>
      <c r="AN1757" s="2074">
        <f t="shared" si="2110"/>
        <v>73.053083999999998</v>
      </c>
      <c r="AO1757" s="2074">
        <f t="shared" si="2110"/>
        <v>73.053083999999998</v>
      </c>
      <c r="AP1757" s="2074">
        <f t="shared" si="2110"/>
        <v>73.053083999999998</v>
      </c>
      <c r="AQ1757" s="2074">
        <f t="shared" si="2110"/>
        <v>73.053083999999998</v>
      </c>
      <c r="AR1757" s="2074">
        <f t="shared" si="2110"/>
        <v>73.053083999999998</v>
      </c>
      <c r="AS1757" s="2074">
        <f t="shared" si="2110"/>
        <v>73.053083999999998</v>
      </c>
      <c r="AT1757" s="2074">
        <f t="shared" si="2110"/>
        <v>73.053083999999998</v>
      </c>
      <c r="AU1757" s="1"/>
      <c r="AV1757" s="1"/>
      <c r="AW1757" s="1"/>
      <c r="AX1757" s="1"/>
      <c r="AY1757" s="1"/>
      <c r="AZ1757" s="1"/>
      <c r="BA1757" s="1"/>
      <c r="BB1757" s="1"/>
      <c r="BC1757" s="1"/>
      <c r="BD1757" s="1"/>
      <c r="BE1757" s="1"/>
      <c r="BF1757" s="1"/>
      <c r="BG1757" s="1"/>
      <c r="BH1757" s="1"/>
      <c r="BI1757" s="1"/>
      <c r="BJ1757" s="1"/>
      <c r="BK1757" s="1"/>
      <c r="BL1757" s="1"/>
      <c r="BM1757" s="1"/>
      <c r="BN1757" s="1"/>
      <c r="BO1757" s="1"/>
      <c r="BP1757" s="1"/>
      <c r="BQ1757" s="1"/>
      <c r="BR1757" s="1"/>
      <c r="BS1757" s="1"/>
      <c r="BT1757" s="1"/>
      <c r="BU1757" s="1"/>
      <c r="BV1757" s="1"/>
      <c r="BW1757" s="1"/>
      <c r="BX1757" s="1"/>
      <c r="BY1757" s="1"/>
      <c r="BZ1757" s="1"/>
      <c r="CA1757" s="1"/>
      <c r="CB1757" s="1"/>
      <c r="CC1757" s="1"/>
      <c r="CD1757" s="1"/>
      <c r="CE1757" s="1"/>
      <c r="CF1757" s="1"/>
      <c r="CG1757" s="1"/>
      <c r="CH1757" s="1"/>
      <c r="CI1757" s="1"/>
      <c r="CJ1757" s="1"/>
      <c r="CK1757" s="1"/>
      <c r="CL1757" s="1"/>
      <c r="CM1757" s="1"/>
      <c r="CN1757" s="1"/>
      <c r="CO1757" s="1"/>
      <c r="CP1757" s="1"/>
      <c r="CQ1757" s="1"/>
      <c r="CR1757" s="1"/>
      <c r="CS1757" s="1"/>
      <c r="CT1757" s="1"/>
      <c r="CU1757" s="1"/>
      <c r="CV1757" s="1"/>
      <c r="CW1757" s="1"/>
      <c r="CX1757" s="1"/>
      <c r="CY1757" s="1"/>
      <c r="CZ1757" s="1"/>
      <c r="DA1757" s="1"/>
      <c r="DB1757" s="1"/>
      <c r="DC1757" s="1"/>
      <c r="DD1757" s="1"/>
      <c r="DE1757" s="1"/>
      <c r="DF1757" s="1"/>
      <c r="DG1757" s="1"/>
      <c r="DH1757" s="1"/>
      <c r="DI1757" s="1"/>
      <c r="DJ1757" s="1"/>
      <c r="DK1757" s="1"/>
      <c r="DL1757" s="1"/>
    </row>
    <row r="1758" spans="1:116" ht="17.25" customHeight="1">
      <c r="A1758" s="1"/>
      <c r="B1758" s="1"/>
      <c r="C1758" s="1"/>
      <c r="D1758" s="74"/>
    </row>
    <row r="1759" spans="1:116" ht="17.25" customHeight="1">
      <c r="A1759" s="1"/>
      <c r="B1759" s="1"/>
      <c r="C1759" s="1"/>
      <c r="D1759" s="74"/>
    </row>
    <row r="1760" spans="1:116" ht="17.25" customHeight="1">
      <c r="A1760" s="1"/>
      <c r="B1760" s="1"/>
      <c r="C1760" s="1"/>
      <c r="D1760" s="74"/>
    </row>
    <row r="1761" spans="1:46" ht="16.5" customHeight="1"/>
    <row r="1762" spans="1:46">
      <c r="A1762" s="1"/>
      <c r="B1762" s="1"/>
      <c r="C1762" s="1"/>
      <c r="D1762" s="464" t="s">
        <v>693</v>
      </c>
      <c r="E1762" s="96"/>
      <c r="F1762" s="96"/>
      <c r="G1762" s="96"/>
      <c r="H1762" s="96"/>
      <c r="I1762" s="96"/>
      <c r="J1762" s="96"/>
      <c r="K1762" s="96"/>
      <c r="L1762" s="96"/>
      <c r="M1762" s="96"/>
      <c r="N1762" s="96"/>
      <c r="O1762" s="96"/>
      <c r="P1762" s="96"/>
      <c r="Q1762" s="96"/>
      <c r="R1762" s="96"/>
      <c r="S1762" s="96"/>
      <c r="T1762" s="96"/>
      <c r="U1762" s="96"/>
      <c r="V1762" s="74" t="s">
        <v>692</v>
      </c>
      <c r="W1762" s="96"/>
      <c r="X1762" s="96"/>
      <c r="Y1762" s="96"/>
      <c r="Z1762" s="96"/>
      <c r="AA1762" s="967">
        <v>2016</v>
      </c>
      <c r="AB1762" s="967">
        <v>2017</v>
      </c>
      <c r="AC1762" s="967">
        <v>2018</v>
      </c>
      <c r="AD1762" s="967">
        <v>2019</v>
      </c>
      <c r="AE1762" s="967">
        <v>2020</v>
      </c>
      <c r="AF1762" s="967">
        <v>2021</v>
      </c>
      <c r="AG1762" s="967">
        <v>2022</v>
      </c>
      <c r="AH1762" s="967">
        <v>2023</v>
      </c>
      <c r="AI1762" s="967">
        <v>2024</v>
      </c>
      <c r="AJ1762" s="967">
        <v>2025</v>
      </c>
      <c r="AK1762" s="967">
        <v>2026</v>
      </c>
      <c r="AL1762" s="967">
        <v>2027</v>
      </c>
      <c r="AM1762" s="967">
        <v>2028</v>
      </c>
      <c r="AN1762" s="967">
        <v>2029</v>
      </c>
      <c r="AO1762" s="967">
        <v>2030</v>
      </c>
      <c r="AP1762" s="967">
        <v>2031</v>
      </c>
      <c r="AQ1762" s="967">
        <v>2032</v>
      </c>
      <c r="AR1762" s="967">
        <v>2033</v>
      </c>
      <c r="AS1762" s="967">
        <v>2034</v>
      </c>
      <c r="AT1762" s="2717">
        <v>2035</v>
      </c>
    </row>
    <row r="1763" spans="1:46">
      <c r="A1763" s="1"/>
      <c r="B1763" s="1"/>
      <c r="C1763" s="1"/>
      <c r="D1763" s="97" t="s">
        <v>112</v>
      </c>
      <c r="E1763" s="82"/>
      <c r="F1763" s="82"/>
      <c r="G1763" s="82"/>
      <c r="H1763" s="82"/>
      <c r="I1763" s="82"/>
      <c r="J1763" s="82"/>
      <c r="K1763" s="82"/>
      <c r="L1763" s="82"/>
      <c r="M1763" s="82"/>
      <c r="N1763" s="82"/>
      <c r="O1763" s="82"/>
      <c r="P1763" s="82"/>
      <c r="Q1763" s="82"/>
      <c r="R1763" s="82"/>
      <c r="S1763" s="82"/>
      <c r="T1763" s="82"/>
      <c r="U1763" s="82"/>
      <c r="V1763" s="102">
        <v>2011</v>
      </c>
      <c r="W1763" s="102">
        <v>2012</v>
      </c>
      <c r="X1763" s="102">
        <v>2013</v>
      </c>
      <c r="Y1763" s="102">
        <v>2014</v>
      </c>
      <c r="Z1763" s="102">
        <v>2015</v>
      </c>
      <c r="AA1763" s="102">
        <v>2016</v>
      </c>
      <c r="AB1763" s="102">
        <v>2017</v>
      </c>
      <c r="AC1763" s="102">
        <v>2018</v>
      </c>
      <c r="AD1763" s="102">
        <v>2019</v>
      </c>
      <c r="AE1763" s="102">
        <v>2020</v>
      </c>
      <c r="AF1763" s="102">
        <f t="shared" ref="AF1763:AO1763" si="2111">+AE1763+1</f>
        <v>2021</v>
      </c>
      <c r="AG1763" s="102">
        <f t="shared" si="2111"/>
        <v>2022</v>
      </c>
      <c r="AH1763" s="102">
        <f t="shared" si="2111"/>
        <v>2023</v>
      </c>
      <c r="AI1763" s="102">
        <f t="shared" si="2111"/>
        <v>2024</v>
      </c>
      <c r="AJ1763" s="102">
        <f t="shared" si="2111"/>
        <v>2025</v>
      </c>
      <c r="AK1763" s="102">
        <f t="shared" si="2111"/>
        <v>2026</v>
      </c>
      <c r="AL1763" s="102">
        <f t="shared" si="2111"/>
        <v>2027</v>
      </c>
      <c r="AM1763" s="102">
        <f t="shared" si="2111"/>
        <v>2028</v>
      </c>
      <c r="AN1763" s="102">
        <f t="shared" si="2111"/>
        <v>2029</v>
      </c>
      <c r="AO1763" s="102">
        <f t="shared" si="2111"/>
        <v>2030</v>
      </c>
      <c r="AP1763" s="102">
        <f t="shared" ref="AP1763" si="2112">+AO1763+1</f>
        <v>2031</v>
      </c>
      <c r="AQ1763" s="102">
        <f t="shared" ref="AQ1763" si="2113">+AP1763+1</f>
        <v>2032</v>
      </c>
      <c r="AR1763" s="102">
        <f t="shared" ref="AR1763" si="2114">+AQ1763+1</f>
        <v>2033</v>
      </c>
      <c r="AS1763" s="102">
        <f t="shared" ref="AS1763" si="2115">+AR1763+1</f>
        <v>2034</v>
      </c>
      <c r="AT1763" s="2718">
        <f t="shared" ref="AT1763" si="2116">+AS1763+1</f>
        <v>2035</v>
      </c>
    </row>
    <row r="1764" spans="1:46">
      <c r="A1764" s="1"/>
      <c r="B1764" s="1"/>
      <c r="C1764" s="1"/>
      <c r="D1764" s="97" t="s">
        <v>111</v>
      </c>
      <c r="E1764" s="82"/>
      <c r="F1764" s="82"/>
      <c r="G1764" s="82"/>
      <c r="H1764" s="82"/>
      <c r="I1764" s="94"/>
      <c r="J1764" s="94"/>
      <c r="K1764" s="94"/>
      <c r="L1764" s="94"/>
      <c r="M1764" s="94"/>
      <c r="N1764" s="94"/>
      <c r="O1764" s="94"/>
      <c r="P1764" s="94"/>
      <c r="Q1764" s="94"/>
      <c r="R1764" s="94"/>
      <c r="S1764" s="94"/>
      <c r="T1764" s="94"/>
      <c r="U1764" s="94"/>
      <c r="V1764" s="94"/>
      <c r="W1764" s="94"/>
      <c r="X1764" s="94"/>
      <c r="Y1764" s="101">
        <f t="shared" ref="Y1764:AT1764" si="2117">Y430</f>
        <v>105.3</v>
      </c>
      <c r="Z1764" s="101">
        <f t="shared" si="2117"/>
        <v>159.31</v>
      </c>
      <c r="AA1764" s="101">
        <f t="shared" si="2117"/>
        <v>164.43</v>
      </c>
      <c r="AB1764" s="101">
        <f t="shared" si="2117"/>
        <v>175.1</v>
      </c>
      <c r="AC1764" s="101">
        <f t="shared" si="2117"/>
        <v>165.5</v>
      </c>
      <c r="AD1764" s="101">
        <f t="shared" si="2117"/>
        <v>157.38596526999999</v>
      </c>
      <c r="AE1764" s="101">
        <f t="shared" si="2117"/>
        <v>211.45</v>
      </c>
      <c r="AF1764" s="101">
        <f t="shared" si="2117"/>
        <v>173.64198012</v>
      </c>
      <c r="AG1764" s="101">
        <f t="shared" si="2117"/>
        <v>171.106168</v>
      </c>
      <c r="AH1764" s="101">
        <f t="shared" si="2117"/>
        <v>188.92539241999998</v>
      </c>
      <c r="AI1764" s="101">
        <f t="shared" si="2117"/>
        <v>152</v>
      </c>
      <c r="AJ1764" s="101">
        <f t="shared" si="2117"/>
        <v>141.89079649999999</v>
      </c>
      <c r="AK1764" s="101">
        <f t="shared" si="2117"/>
        <v>138.94388049999998</v>
      </c>
      <c r="AL1764" s="101">
        <f t="shared" si="2117"/>
        <v>146.106168</v>
      </c>
      <c r="AM1764" s="101">
        <f t="shared" si="2117"/>
        <v>146.106168</v>
      </c>
      <c r="AN1764" s="101">
        <f t="shared" si="2117"/>
        <v>146.106168</v>
      </c>
      <c r="AO1764" s="101">
        <f t="shared" si="2117"/>
        <v>146.106168</v>
      </c>
      <c r="AP1764" s="101">
        <f t="shared" si="2117"/>
        <v>146.106168</v>
      </c>
      <c r="AQ1764" s="101">
        <f t="shared" si="2117"/>
        <v>146.106168</v>
      </c>
      <c r="AR1764" s="101">
        <f t="shared" si="2117"/>
        <v>146.106168</v>
      </c>
      <c r="AS1764" s="101">
        <f t="shared" si="2117"/>
        <v>146.106168</v>
      </c>
      <c r="AT1764" s="101">
        <f t="shared" si="2117"/>
        <v>146.106168</v>
      </c>
    </row>
    <row r="1765" spans="1:46">
      <c r="A1765" s="1"/>
      <c r="B1765" s="1"/>
      <c r="C1765" s="1"/>
      <c r="D1765" s="98" t="s">
        <v>106</v>
      </c>
      <c r="E1765" s="82"/>
      <c r="F1765" s="82"/>
      <c r="G1765" s="82"/>
      <c r="H1765" s="82"/>
      <c r="I1765" s="94"/>
      <c r="J1765" s="94"/>
      <c r="K1765" s="94"/>
      <c r="L1765" s="94"/>
      <c r="M1765" s="94"/>
      <c r="N1765" s="94"/>
      <c r="O1765" s="94"/>
      <c r="P1765" s="94"/>
      <c r="Q1765" s="94"/>
      <c r="R1765" s="94"/>
      <c r="S1765" s="94"/>
      <c r="T1765" s="94"/>
      <c r="U1765" s="94"/>
      <c r="V1765" s="94"/>
      <c r="W1765" s="94"/>
      <c r="X1765" s="94"/>
      <c r="Y1765" s="100">
        <f t="shared" ref="Y1765:AT1765" si="2118">Y431</f>
        <v>52.65</v>
      </c>
      <c r="Z1765" s="100">
        <f t="shared" si="2118"/>
        <v>83.26</v>
      </c>
      <c r="AA1765" s="100">
        <f t="shared" si="2118"/>
        <v>84.98</v>
      </c>
      <c r="AB1765" s="100">
        <f t="shared" si="2118"/>
        <v>75.599999999999994</v>
      </c>
      <c r="AC1765" s="100">
        <f t="shared" si="2118"/>
        <v>51.8</v>
      </c>
      <c r="AD1765" s="100">
        <f t="shared" si="2118"/>
        <v>58.285965269999998</v>
      </c>
      <c r="AE1765" s="100">
        <f t="shared" si="2118"/>
        <v>84.490000000000009</v>
      </c>
      <c r="AF1765" s="100">
        <f t="shared" si="2118"/>
        <v>88.088896120000001</v>
      </c>
      <c r="AG1765" s="100">
        <f t="shared" si="2118"/>
        <v>85.553083999999998</v>
      </c>
      <c r="AH1765" s="100">
        <f t="shared" si="2118"/>
        <v>85.553083999999998</v>
      </c>
      <c r="AI1765" s="100">
        <f t="shared" si="2118"/>
        <v>76</v>
      </c>
      <c r="AJ1765" s="100">
        <f t="shared" si="2118"/>
        <v>76</v>
      </c>
      <c r="AK1765" s="100">
        <f t="shared" si="2118"/>
        <v>65.890796499999993</v>
      </c>
      <c r="AL1765" s="100">
        <f t="shared" si="2118"/>
        <v>73.053083999999998</v>
      </c>
      <c r="AM1765" s="100">
        <f t="shared" si="2118"/>
        <v>73.053083999999998</v>
      </c>
      <c r="AN1765" s="100">
        <f t="shared" si="2118"/>
        <v>73.053083999999998</v>
      </c>
      <c r="AO1765" s="100">
        <f t="shared" si="2118"/>
        <v>73.053083999999998</v>
      </c>
      <c r="AP1765" s="100">
        <f t="shared" si="2118"/>
        <v>73.053083999999998</v>
      </c>
      <c r="AQ1765" s="100">
        <f t="shared" si="2118"/>
        <v>73.053083999999998</v>
      </c>
      <c r="AR1765" s="100">
        <f t="shared" si="2118"/>
        <v>73.053083999999998</v>
      </c>
      <c r="AS1765" s="100">
        <f t="shared" si="2118"/>
        <v>73.053083999999998</v>
      </c>
      <c r="AT1765" s="100">
        <f t="shared" si="2118"/>
        <v>73.053083999999998</v>
      </c>
    </row>
    <row r="1766" spans="1:46">
      <c r="A1766" s="1"/>
      <c r="B1766" s="1"/>
      <c r="C1766" s="1"/>
      <c r="D1766" s="99" t="s">
        <v>107</v>
      </c>
      <c r="E1766" s="82"/>
      <c r="F1766" s="82"/>
      <c r="G1766" s="82"/>
      <c r="H1766" s="82"/>
      <c r="I1766" s="82"/>
      <c r="J1766" s="82"/>
      <c r="K1766" s="82"/>
      <c r="L1766" s="82"/>
      <c r="M1766" s="82"/>
      <c r="N1766" s="82"/>
      <c r="O1766" s="82"/>
      <c r="P1766" s="82"/>
      <c r="Q1766" s="82"/>
      <c r="R1766" s="82"/>
      <c r="S1766" s="82"/>
      <c r="T1766" s="82"/>
      <c r="U1766" s="82"/>
      <c r="V1766" s="82"/>
      <c r="W1766" s="82"/>
      <c r="X1766" s="82"/>
      <c r="Y1766" s="100"/>
      <c r="Z1766" s="100">
        <f t="shared" ref="Z1766:AT1766" si="2119">Z432</f>
        <v>76.05</v>
      </c>
      <c r="AA1766" s="100">
        <f t="shared" si="2119"/>
        <v>85.8</v>
      </c>
      <c r="AB1766" s="100">
        <f t="shared" si="2119"/>
        <v>99.5</v>
      </c>
      <c r="AC1766" s="100">
        <f t="shared" si="2119"/>
        <v>113.7</v>
      </c>
      <c r="AD1766" s="100">
        <f t="shared" si="2119"/>
        <v>99.1</v>
      </c>
      <c r="AE1766" s="100">
        <f t="shared" si="2119"/>
        <v>126.96</v>
      </c>
      <c r="AF1766" s="100">
        <f t="shared" si="2119"/>
        <v>85.553083999999998</v>
      </c>
      <c r="AG1766" s="100">
        <f t="shared" si="2119"/>
        <v>85.553083999999998</v>
      </c>
      <c r="AH1766" s="100">
        <f t="shared" si="2119"/>
        <v>103.37230842</v>
      </c>
      <c r="AI1766" s="100">
        <f t="shared" si="2119"/>
        <v>76</v>
      </c>
      <c r="AJ1766" s="100">
        <f t="shared" si="2119"/>
        <v>65.890796499999993</v>
      </c>
      <c r="AK1766" s="100">
        <f t="shared" si="2119"/>
        <v>73.053083999999998</v>
      </c>
      <c r="AL1766" s="100">
        <f t="shared" si="2119"/>
        <v>73.053083999999998</v>
      </c>
      <c r="AM1766" s="100">
        <f t="shared" si="2119"/>
        <v>73.053083999999998</v>
      </c>
      <c r="AN1766" s="100">
        <f t="shared" si="2119"/>
        <v>73.053083999999998</v>
      </c>
      <c r="AO1766" s="100">
        <f t="shared" si="2119"/>
        <v>73.053083999999998</v>
      </c>
      <c r="AP1766" s="100">
        <f t="shared" si="2119"/>
        <v>73.053083999999998</v>
      </c>
      <c r="AQ1766" s="100">
        <f t="shared" si="2119"/>
        <v>73.053083999999998</v>
      </c>
      <c r="AR1766" s="100">
        <f t="shared" si="2119"/>
        <v>73.053083999999998</v>
      </c>
      <c r="AS1766" s="100">
        <f t="shared" si="2119"/>
        <v>73.053083999999998</v>
      </c>
      <c r="AT1766" s="100">
        <f t="shared" si="2119"/>
        <v>73.053083999999998</v>
      </c>
    </row>
    <row r="1767" spans="1:46">
      <c r="A1767" s="1"/>
      <c r="B1767" s="1"/>
      <c r="C1767" s="1"/>
      <c r="D1767" s="98" t="s">
        <v>616</v>
      </c>
      <c r="E1767" s="94"/>
      <c r="F1767" s="94"/>
      <c r="G1767" s="94"/>
      <c r="H1767" s="94"/>
      <c r="I1767" s="94"/>
      <c r="J1767" s="94"/>
      <c r="K1767" s="94"/>
      <c r="L1767" s="94"/>
      <c r="M1767" s="94"/>
      <c r="N1767" s="94"/>
      <c r="O1767" s="94"/>
      <c r="P1767" s="94"/>
      <c r="Q1767" s="94"/>
      <c r="R1767" s="94"/>
      <c r="S1767" s="94"/>
      <c r="T1767" s="94"/>
      <c r="U1767" s="94"/>
      <c r="V1767" s="94"/>
      <c r="W1767" s="94"/>
      <c r="X1767" s="94"/>
      <c r="Y1767" s="100"/>
      <c r="Z1767" s="100">
        <f t="shared" ref="Z1767:AT1767" si="2120">Z433</f>
        <v>95.839250323148988</v>
      </c>
      <c r="AA1767" s="100">
        <f t="shared" si="2120"/>
        <v>121.6195684522404</v>
      </c>
      <c r="AB1767" s="100">
        <f t="shared" si="2120"/>
        <v>132.01834234264999</v>
      </c>
      <c r="AC1767" s="100">
        <f t="shared" si="2120"/>
        <v>128.04260530427499</v>
      </c>
      <c r="AD1767" s="100">
        <f t="shared" si="2120"/>
        <v>151.47193310323161</v>
      </c>
      <c r="AE1767" s="100">
        <f t="shared" si="2120"/>
        <v>169.21778673992497</v>
      </c>
      <c r="AF1767" s="100">
        <f t="shared" si="2120"/>
        <v>208.58993856364663</v>
      </c>
      <c r="AG1767" s="100">
        <f t="shared" si="2120"/>
        <v>172.4766347794959</v>
      </c>
      <c r="AH1767" s="100">
        <f t="shared" si="2120"/>
        <v>184.97643097518889</v>
      </c>
      <c r="AI1767" s="100">
        <f t="shared" si="2120"/>
        <v>225.460820182871</v>
      </c>
      <c r="AJ1767" s="100">
        <f t="shared" si="2120"/>
        <v>209.09148632379157</v>
      </c>
      <c r="AK1767" s="100">
        <f t="shared" si="2120"/>
        <v>192.15719841386465</v>
      </c>
      <c r="AL1767" s="100">
        <f t="shared" si="2120"/>
        <v>222.32415278363686</v>
      </c>
      <c r="AM1767" s="100">
        <f t="shared" si="2120"/>
        <v>232.9503827957335</v>
      </c>
      <c r="AN1767" s="100">
        <f t="shared" si="2120"/>
        <v>243.98677094912571</v>
      </c>
      <c r="AO1767" s="100">
        <f t="shared" si="2120"/>
        <v>253.69269507209239</v>
      </c>
      <c r="AP1767" s="100">
        <f t="shared" si="2120"/>
        <v>271.2538131002209</v>
      </c>
      <c r="AQ1767" s="100">
        <f t="shared" si="2120"/>
        <v>279.39142749322752</v>
      </c>
      <c r="AR1767" s="100">
        <f t="shared" si="2120"/>
        <v>287.77317031802437</v>
      </c>
      <c r="AS1767" s="100">
        <f t="shared" si="2120"/>
        <v>296.40636542756511</v>
      </c>
      <c r="AT1767" s="100">
        <f t="shared" si="2120"/>
        <v>305.29855639039209</v>
      </c>
    </row>
    <row r="1768" spans="1:46">
      <c r="D1768" s="464" t="s">
        <v>1066</v>
      </c>
    </row>
    <row r="1770" spans="1:46">
      <c r="A1770" s="1"/>
      <c r="B1770" s="1"/>
      <c r="C1770" s="1"/>
      <c r="D1770" s="74" t="s">
        <v>658</v>
      </c>
      <c r="X1770" s="573">
        <f>+X1773</f>
        <v>2013</v>
      </c>
      <c r="Y1770" s="573">
        <f t="shared" ref="Y1770:AE1770" si="2121">+Y1773</f>
        <v>2014</v>
      </c>
      <c r="Z1770" s="573">
        <f t="shared" si="2121"/>
        <v>2015</v>
      </c>
      <c r="AA1770" s="573">
        <f t="shared" si="2121"/>
        <v>2016</v>
      </c>
      <c r="AB1770" s="573">
        <f t="shared" si="2121"/>
        <v>2017</v>
      </c>
      <c r="AC1770" s="573">
        <f t="shared" si="2121"/>
        <v>2018</v>
      </c>
      <c r="AD1770" s="573">
        <f t="shared" si="2121"/>
        <v>2019</v>
      </c>
      <c r="AE1770" s="573">
        <f t="shared" si="2121"/>
        <v>2020</v>
      </c>
      <c r="AF1770" s="1">
        <f>+AF1773</f>
        <v>2021</v>
      </c>
    </row>
    <row r="1771" spans="1:46">
      <c r="A1771" s="1"/>
      <c r="B1771" s="1"/>
      <c r="C1771" s="1"/>
      <c r="D1771" s="465" t="s">
        <v>702</v>
      </c>
      <c r="E1771" s="450"/>
      <c r="F1771" s="450"/>
      <c r="G1771" s="450"/>
      <c r="H1771" s="450"/>
      <c r="I1771" s="450"/>
      <c r="J1771" s="450"/>
      <c r="K1771" s="450"/>
      <c r="L1771" s="450"/>
      <c r="M1771" s="450"/>
      <c r="N1771" s="450"/>
      <c r="O1771" s="450"/>
      <c r="P1771" s="450"/>
      <c r="Q1771" s="450"/>
      <c r="R1771" s="450"/>
      <c r="S1771" s="450"/>
      <c r="T1771" s="450"/>
      <c r="U1771" s="450"/>
      <c r="V1771" s="450"/>
      <c r="W1771" s="450"/>
      <c r="X1771" s="450"/>
      <c r="Y1771" s="450"/>
      <c r="Z1771" s="450"/>
      <c r="AA1771" s="450"/>
      <c r="AB1771" s="450"/>
      <c r="AC1771" s="450"/>
      <c r="AD1771" s="450"/>
      <c r="AE1771" s="450"/>
    </row>
    <row r="1772" spans="1:46">
      <c r="A1772" s="1"/>
      <c r="B1772" s="1"/>
      <c r="C1772" s="1"/>
      <c r="D1772" s="465"/>
      <c r="E1772" s="450"/>
      <c r="F1772" s="450"/>
      <c r="G1772" s="450"/>
      <c r="H1772" s="450"/>
      <c r="I1772" s="450"/>
      <c r="J1772" s="450"/>
      <c r="K1772" s="450"/>
      <c r="L1772" s="450"/>
      <c r="M1772" s="450"/>
      <c r="N1772" s="450"/>
      <c r="O1772" s="450"/>
      <c r="P1772" s="450"/>
      <c r="Q1772" s="450"/>
      <c r="R1772" s="450"/>
      <c r="S1772" s="450"/>
      <c r="T1772" s="450"/>
      <c r="U1772" s="450"/>
      <c r="V1772" s="450"/>
      <c r="W1772" s="450"/>
      <c r="X1772" s="450"/>
      <c r="Y1772" s="450"/>
      <c r="Z1772" s="450"/>
      <c r="AA1772" s="450"/>
      <c r="AB1772" s="450"/>
      <c r="AC1772" s="450"/>
      <c r="AD1772" s="450"/>
      <c r="AE1772" s="450"/>
    </row>
    <row r="1773" spans="1:46">
      <c r="A1773" s="1"/>
      <c r="B1773" s="1"/>
      <c r="C1773" s="1"/>
      <c r="D1773" s="466" t="str">
        <f>+FISCinyear!D1166</f>
        <v>Domestic debt central government end-period (bln RWF)</v>
      </c>
      <c r="E1773" s="450"/>
      <c r="F1773" s="450"/>
      <c r="G1773" s="450"/>
      <c r="H1773" s="450"/>
      <c r="I1773" s="450"/>
      <c r="J1773" s="450"/>
      <c r="K1773" s="450"/>
      <c r="L1773" s="450"/>
      <c r="M1773" s="450"/>
      <c r="N1773" s="450"/>
      <c r="O1773" s="450"/>
      <c r="P1773" s="450"/>
      <c r="Q1773" s="450"/>
      <c r="R1773" s="450"/>
      <c r="S1773" s="450"/>
      <c r="T1773" s="450"/>
      <c r="U1773" s="450"/>
      <c r="V1773" s="450"/>
      <c r="W1773" s="450"/>
      <c r="X1773" s="911">
        <f>+X1763</f>
        <v>2013</v>
      </c>
      <c r="Y1773" s="911">
        <f>+Y1763</f>
        <v>2014</v>
      </c>
      <c r="Z1773" s="911">
        <f t="shared" ref="Z1773:AE1773" si="2122">+Z1763</f>
        <v>2015</v>
      </c>
      <c r="AA1773" s="911">
        <f t="shared" si="2122"/>
        <v>2016</v>
      </c>
      <c r="AB1773" s="911">
        <f t="shared" si="2122"/>
        <v>2017</v>
      </c>
      <c r="AC1773" s="911">
        <f t="shared" si="2122"/>
        <v>2018</v>
      </c>
      <c r="AD1773" s="911">
        <f t="shared" si="2122"/>
        <v>2019</v>
      </c>
      <c r="AE1773" s="911">
        <f t="shared" si="2122"/>
        <v>2020</v>
      </c>
      <c r="AF1773" s="1">
        <f>+AF1763</f>
        <v>2021</v>
      </c>
    </row>
    <row r="1774" spans="1:46">
      <c r="A1774" s="1"/>
      <c r="B1774" s="1"/>
      <c r="C1774" s="1"/>
      <c r="D1774" s="479"/>
      <c r="E1774" s="450"/>
      <c r="F1774" s="450"/>
      <c r="G1774" s="450"/>
      <c r="H1774" s="450"/>
      <c r="I1774" s="450"/>
      <c r="J1774" s="450"/>
      <c r="K1774" s="450"/>
      <c r="L1774" s="450"/>
      <c r="M1774" s="450"/>
      <c r="N1774" s="450"/>
      <c r="O1774" s="450"/>
      <c r="P1774" s="450"/>
      <c r="Q1774" s="450"/>
      <c r="R1774" s="450"/>
      <c r="S1774" s="450"/>
      <c r="T1774" s="450"/>
      <c r="U1774" s="450"/>
      <c r="V1774" s="450"/>
      <c r="W1774" s="450"/>
      <c r="X1774" s="450"/>
      <c r="Y1774" s="450"/>
      <c r="Z1774" s="450"/>
      <c r="AA1774" s="687" t="s">
        <v>816</v>
      </c>
      <c r="AB1774" s="450"/>
      <c r="AC1774" s="450"/>
      <c r="AD1774" s="450"/>
      <c r="AE1774" s="450"/>
    </row>
    <row r="1775" spans="1:46">
      <c r="A1775" s="1"/>
      <c r="B1775" s="1"/>
      <c r="C1775" s="1"/>
      <c r="D1775" s="466" t="str">
        <f>+FISCinyear!D1168</f>
        <v>Central Bank NBR</v>
      </c>
      <c r="E1775" s="450"/>
      <c r="F1775" s="450"/>
      <c r="G1775" s="450"/>
      <c r="H1775" s="450"/>
      <c r="I1775" s="450"/>
      <c r="J1775" s="450"/>
      <c r="K1775" s="450"/>
      <c r="L1775" s="450"/>
      <c r="M1775" s="450"/>
      <c r="N1775" s="450"/>
      <c r="O1775" s="450"/>
      <c r="P1775" s="450"/>
      <c r="Q1775" s="450"/>
      <c r="R1775" s="450"/>
      <c r="S1775" s="450"/>
      <c r="T1775" s="450"/>
      <c r="U1775" s="450"/>
      <c r="V1775" s="450"/>
      <c r="W1775" s="450"/>
      <c r="X1775" s="486">
        <f>+X1776+X1777</f>
        <v>80.672805901000004</v>
      </c>
      <c r="Y1775" s="486">
        <f>+Y1776+Y1777</f>
        <v>87.002805901000002</v>
      </c>
      <c r="Z1775" s="486">
        <f>+Z1776+Z1777</f>
        <v>103.80080590099999</v>
      </c>
      <c r="AA1775" s="486">
        <f>+AA1776+AA1777</f>
        <v>113.08680590099999</v>
      </c>
      <c r="AB1775" s="450"/>
      <c r="AC1775" s="450"/>
      <c r="AD1775" s="450"/>
      <c r="AE1775" s="450"/>
    </row>
    <row r="1776" spans="1:46">
      <c r="A1776" s="1"/>
      <c r="B1776" s="1"/>
      <c r="C1776" s="1"/>
      <c r="D1776" s="479" t="str">
        <f>+FISCinyear!D1169</f>
        <v xml:space="preserve">Consolidated debt </v>
      </c>
      <c r="E1776" s="450"/>
      <c r="F1776" s="450"/>
      <c r="G1776" s="450"/>
      <c r="H1776" s="450"/>
      <c r="I1776" s="450"/>
      <c r="J1776" s="450"/>
      <c r="K1776" s="450"/>
      <c r="L1776" s="450"/>
      <c r="M1776" s="450"/>
      <c r="N1776" s="450"/>
      <c r="O1776" s="450"/>
      <c r="P1776" s="450"/>
      <c r="Q1776" s="450"/>
      <c r="R1776" s="450"/>
      <c r="S1776" s="450"/>
      <c r="T1776" s="450"/>
      <c r="U1776" s="450"/>
      <c r="V1776" s="450"/>
      <c r="W1776" s="450"/>
      <c r="X1776" s="483">
        <f>+FISCinyear!CJ1169</f>
        <v>38.572805901000002</v>
      </c>
      <c r="Y1776" s="483">
        <f>+FISCinyear!CV1169</f>
        <v>38.572805901000002</v>
      </c>
      <c r="Z1776" s="483">
        <f>+FISCinyear!DH1169</f>
        <v>38.572805901000002</v>
      </c>
      <c r="AA1776" s="483">
        <f>+FISCinyear!IJ1169</f>
        <v>38.572805901000002</v>
      </c>
      <c r="AB1776" s="450"/>
      <c r="AC1776" s="450"/>
      <c r="AD1776" s="450"/>
      <c r="AE1776" s="450"/>
    </row>
    <row r="1777" spans="1:31">
      <c r="A1777" s="1"/>
      <c r="B1777" s="1"/>
      <c r="C1777" s="1"/>
      <c r="D1777" s="479" t="str">
        <f>+FISCinyear!D1170</f>
        <v>overdraft</v>
      </c>
      <c r="E1777" s="450"/>
      <c r="F1777" s="450"/>
      <c r="G1777" s="450"/>
      <c r="H1777" s="450"/>
      <c r="I1777" s="450"/>
      <c r="J1777" s="450"/>
      <c r="K1777" s="450"/>
      <c r="L1777" s="450"/>
      <c r="M1777" s="450"/>
      <c r="N1777" s="450"/>
      <c r="O1777" s="450"/>
      <c r="P1777" s="450"/>
      <c r="Q1777" s="450"/>
      <c r="R1777" s="450"/>
      <c r="S1777" s="450"/>
      <c r="T1777" s="450"/>
      <c r="U1777" s="450"/>
      <c r="V1777" s="450"/>
      <c r="W1777" s="450"/>
      <c r="X1777" s="483">
        <f>+FISCinyear!CJ1170</f>
        <v>42.1</v>
      </c>
      <c r="Y1777" s="483">
        <f>+FISCinyear!CV1170</f>
        <v>48.43</v>
      </c>
      <c r="Z1777" s="483">
        <f>+FISCinyear!DH1170</f>
        <v>65.227999999999994</v>
      </c>
      <c r="AA1777" s="483">
        <f>+FISCinyear!IJ1170</f>
        <v>74.513999999999996</v>
      </c>
      <c r="AB1777" s="450"/>
      <c r="AC1777" s="450"/>
      <c r="AD1777" s="450"/>
      <c r="AE1777" s="450"/>
    </row>
    <row r="1778" spans="1:31">
      <c r="A1778" s="1"/>
      <c r="B1778" s="1"/>
      <c r="C1778" s="1"/>
      <c r="D1778" s="485" t="str">
        <f>+FISCinyear!D1171</f>
        <v>memorandum: monetary policy instruments</v>
      </c>
      <c r="E1778" s="450"/>
      <c r="F1778" s="450"/>
      <c r="G1778" s="450"/>
      <c r="H1778" s="450"/>
      <c r="I1778" s="450"/>
      <c r="J1778" s="450"/>
      <c r="K1778" s="450"/>
      <c r="L1778" s="450"/>
      <c r="M1778" s="450"/>
      <c r="N1778" s="450"/>
      <c r="O1778" s="450"/>
      <c r="P1778" s="450"/>
      <c r="Q1778" s="450"/>
      <c r="R1778" s="450"/>
      <c r="S1778" s="450"/>
      <c r="T1778" s="450"/>
      <c r="U1778" s="450"/>
      <c r="V1778" s="450"/>
      <c r="W1778" s="450"/>
      <c r="X1778" s="484">
        <f>-X286</f>
        <v>0</v>
      </c>
      <c r="Y1778" s="484">
        <f>-Y286</f>
        <v>0</v>
      </c>
      <c r="Z1778" s="484">
        <f>-Z286</f>
        <v>0</v>
      </c>
      <c r="AA1778" s="484">
        <f>-AA286</f>
        <v>0</v>
      </c>
      <c r="AB1778" s="450"/>
      <c r="AC1778" s="450"/>
      <c r="AD1778" s="450"/>
      <c r="AE1778" s="450"/>
    </row>
    <row r="1779" spans="1:31">
      <c r="A1779" s="1"/>
      <c r="B1779" s="1"/>
      <c r="C1779" s="1"/>
      <c r="D1779" s="479"/>
      <c r="E1779" s="450"/>
      <c r="F1779" s="450"/>
      <c r="G1779" s="450"/>
      <c r="H1779" s="450"/>
      <c r="I1779" s="450"/>
      <c r="J1779" s="450"/>
      <c r="K1779" s="450"/>
      <c r="L1779" s="450"/>
      <c r="M1779" s="450"/>
      <c r="N1779" s="450"/>
      <c r="O1779" s="450"/>
      <c r="P1779" s="450"/>
      <c r="Q1779" s="450"/>
      <c r="R1779" s="450"/>
      <c r="S1779" s="450"/>
      <c r="T1779" s="450"/>
      <c r="U1779" s="450"/>
      <c r="V1779" s="450"/>
      <c r="W1779" s="450"/>
      <c r="X1779" s="483"/>
      <c r="Y1779" s="483"/>
      <c r="Z1779" s="450"/>
      <c r="AA1779" s="450"/>
      <c r="AB1779" s="450"/>
      <c r="AC1779" s="450"/>
      <c r="AD1779" s="450"/>
      <c r="AE1779" s="450"/>
    </row>
    <row r="1780" spans="1:31">
      <c r="A1780" s="1"/>
      <c r="B1780" s="1"/>
      <c r="C1780" s="1"/>
      <c r="D1780" s="466" t="str">
        <f>+FISCinyear!D1173</f>
        <v>Commercial banks</v>
      </c>
      <c r="E1780" s="450"/>
      <c r="F1780" s="450"/>
      <c r="G1780" s="450"/>
      <c r="H1780" s="450"/>
      <c r="I1780" s="450"/>
      <c r="J1780" s="450"/>
      <c r="K1780" s="450"/>
      <c r="L1780" s="450"/>
      <c r="M1780" s="450"/>
      <c r="N1780" s="450"/>
      <c r="O1780" s="450"/>
      <c r="P1780" s="450"/>
      <c r="Q1780" s="450"/>
      <c r="R1780" s="450"/>
      <c r="S1780" s="450"/>
      <c r="T1780" s="450"/>
      <c r="U1780" s="450"/>
      <c r="V1780" s="450"/>
      <c r="W1780" s="450"/>
      <c r="X1780" s="486">
        <f>+X1781</f>
        <v>273.20000000000005</v>
      </c>
      <c r="Y1780" s="486">
        <f>+Y1781</f>
        <v>185.4</v>
      </c>
      <c r="Z1780" s="486">
        <f>+Z1782+Z1785</f>
        <v>257.41891953599998</v>
      </c>
      <c r="AA1780" s="486">
        <f>+AA1782+AA1785</f>
        <v>270.09231953599999</v>
      </c>
      <c r="AB1780" s="450"/>
      <c r="AC1780" s="450"/>
      <c r="AD1780" s="450"/>
      <c r="AE1780" s="450"/>
    </row>
    <row r="1781" spans="1:31">
      <c r="A1781" s="1"/>
      <c r="B1781" s="1"/>
      <c r="C1781" s="1"/>
      <c r="D1781" s="479" t="str">
        <f>+FISCinyear!D1174</f>
        <v>Claims on government (monetary survey)</v>
      </c>
      <c r="E1781" s="450"/>
      <c r="F1781" s="450"/>
      <c r="G1781" s="450"/>
      <c r="H1781" s="450"/>
      <c r="I1781" s="450"/>
      <c r="J1781" s="450"/>
      <c r="K1781" s="450"/>
      <c r="L1781" s="450"/>
      <c r="M1781" s="450"/>
      <c r="N1781" s="450"/>
      <c r="O1781" s="450"/>
      <c r="P1781" s="450"/>
      <c r="Q1781" s="450"/>
      <c r="R1781" s="450"/>
      <c r="S1781" s="450"/>
      <c r="T1781" s="450"/>
      <c r="U1781" s="450"/>
      <c r="V1781" s="450"/>
      <c r="W1781" s="450"/>
      <c r="X1781" s="483">
        <f>+X285</f>
        <v>273.20000000000005</v>
      </c>
      <c r="Y1781" s="613">
        <f>+Y285</f>
        <v>185.4</v>
      </c>
      <c r="Z1781" s="614">
        <f>+Z285</f>
        <v>136</v>
      </c>
      <c r="AA1781" s="483">
        <f>+FISCinyear!IJ1174</f>
        <v>0</v>
      </c>
      <c r="AB1781" s="450"/>
      <c r="AC1781" s="450"/>
      <c r="AD1781" s="450"/>
      <c r="AE1781" s="450"/>
    </row>
    <row r="1782" spans="1:31">
      <c r="A1782" s="1"/>
      <c r="B1782" s="1"/>
      <c r="C1782" s="1"/>
      <c r="D1782" s="479" t="str">
        <f>+FISCinyear!D1175</f>
        <v>Banks holding of securities</v>
      </c>
      <c r="E1782" s="450"/>
      <c r="F1782" s="450"/>
      <c r="G1782" s="450"/>
      <c r="H1782" s="450"/>
      <c r="I1782" s="450"/>
      <c r="J1782" s="450"/>
      <c r="K1782" s="450"/>
      <c r="L1782" s="450"/>
      <c r="M1782" s="450"/>
      <c r="N1782" s="450"/>
      <c r="O1782" s="450"/>
      <c r="P1782" s="450"/>
      <c r="Q1782" s="450"/>
      <c r="R1782" s="450"/>
      <c r="S1782" s="450"/>
      <c r="T1782" s="450"/>
      <c r="U1782" s="450"/>
      <c r="V1782" s="450"/>
      <c r="W1782" s="450"/>
      <c r="X1782" s="486">
        <f>+X1783+X1784</f>
        <v>152.5566</v>
      </c>
      <c r="Y1782" s="486">
        <f>+Y1783+Y1784</f>
        <v>176.3717</v>
      </c>
      <c r="Z1782" s="486">
        <f>+Z1783+Z1784</f>
        <v>256.8082</v>
      </c>
      <c r="AA1782" s="483">
        <f>+FISCinyear!IJ1175</f>
        <v>269.48160000000001</v>
      </c>
      <c r="AB1782" s="450"/>
      <c r="AC1782" s="450"/>
      <c r="AD1782" s="450"/>
      <c r="AE1782" s="450"/>
    </row>
    <row r="1783" spans="1:31">
      <c r="A1783" s="1"/>
      <c r="B1783" s="1"/>
      <c r="C1783" s="1"/>
      <c r="D1783" s="479" t="str">
        <f>+FISCinyear!D1176</f>
        <v xml:space="preserve">T bills </v>
      </c>
      <c r="E1783" s="450"/>
      <c r="F1783" s="450"/>
      <c r="G1783" s="450"/>
      <c r="H1783" s="450"/>
      <c r="I1783" s="450"/>
      <c r="J1783" s="450"/>
      <c r="K1783" s="450"/>
      <c r="L1783" s="450"/>
      <c r="M1783" s="450"/>
      <c r="N1783" s="450"/>
      <c r="O1783" s="450"/>
      <c r="P1783" s="450"/>
      <c r="Q1783" s="450"/>
      <c r="R1783" s="450"/>
      <c r="S1783" s="450"/>
      <c r="T1783" s="450"/>
      <c r="U1783" s="450"/>
      <c r="V1783" s="450"/>
      <c r="W1783" s="450"/>
      <c r="X1783" s="483">
        <f>+FISCinyear!CJ1176</f>
        <v>145.6336</v>
      </c>
      <c r="Y1783" s="483">
        <f>+FISCinyear!CV1176</f>
        <v>152.07040000000001</v>
      </c>
      <c r="Z1783" s="483">
        <f>+FISCinyear!DH1176</f>
        <v>210.6105</v>
      </c>
      <c r="AA1783" s="483">
        <f>+FISCinyear!IJ1176</f>
        <v>214.0017</v>
      </c>
      <c r="AB1783" s="450"/>
      <c r="AC1783" s="450"/>
      <c r="AD1783" s="450"/>
      <c r="AE1783" s="450"/>
    </row>
    <row r="1784" spans="1:31">
      <c r="A1784" s="1"/>
      <c r="B1784" s="1"/>
      <c r="C1784" s="1"/>
      <c r="D1784" s="479" t="str">
        <f>+FISCinyear!D1177</f>
        <v>T bonds</v>
      </c>
      <c r="E1784" s="450"/>
      <c r="F1784" s="450"/>
      <c r="G1784" s="450"/>
      <c r="H1784" s="450"/>
      <c r="I1784" s="450"/>
      <c r="J1784" s="450"/>
      <c r="K1784" s="450"/>
      <c r="L1784" s="450"/>
      <c r="M1784" s="450"/>
      <c r="N1784" s="450"/>
      <c r="O1784" s="450"/>
      <c r="P1784" s="450"/>
      <c r="Q1784" s="450"/>
      <c r="R1784" s="450"/>
      <c r="S1784" s="450"/>
      <c r="T1784" s="450"/>
      <c r="U1784" s="450"/>
      <c r="V1784" s="450"/>
      <c r="W1784" s="450"/>
      <c r="X1784" s="483">
        <f>+FISCinyear!CJ1177</f>
        <v>6.923</v>
      </c>
      <c r="Y1784" s="483">
        <f>+FISCinyear!CV1177</f>
        <v>24.301300000000001</v>
      </c>
      <c r="Z1784" s="483">
        <f>+FISCinyear!DH1177</f>
        <v>46.197699999999998</v>
      </c>
      <c r="AA1784" s="483">
        <f>+FISCinyear!IJ1177</f>
        <v>55.479899999999994</v>
      </c>
      <c r="AB1784" s="450"/>
      <c r="AC1784" s="450"/>
      <c r="AD1784" s="450"/>
      <c r="AE1784" s="450"/>
    </row>
    <row r="1785" spans="1:31">
      <c r="A1785" s="1"/>
      <c r="B1785" s="1"/>
      <c r="C1785" s="1"/>
      <c r="D1785" s="480" t="str">
        <f>+FISCinyear!D1178</f>
        <v>Corporate bonds</v>
      </c>
      <c r="E1785" s="450"/>
      <c r="F1785" s="450"/>
      <c r="G1785" s="450"/>
      <c r="H1785" s="450"/>
      <c r="I1785" s="450"/>
      <c r="J1785" s="450"/>
      <c r="K1785" s="450"/>
      <c r="L1785" s="450"/>
      <c r="M1785" s="450"/>
      <c r="N1785" s="450"/>
      <c r="O1785" s="450"/>
      <c r="P1785" s="450"/>
      <c r="Q1785" s="450"/>
      <c r="R1785" s="450"/>
      <c r="S1785" s="450"/>
      <c r="T1785" s="450"/>
      <c r="U1785" s="450"/>
      <c r="V1785" s="450"/>
      <c r="W1785" s="450"/>
      <c r="X1785" s="487">
        <f>+X1786+X1787+X1788</f>
        <v>1.6489876489999999</v>
      </c>
      <c r="Y1785" s="487">
        <f>+Y1786+Y1787+Y1788</f>
        <v>1.2199557209999998</v>
      </c>
      <c r="Z1785" s="487">
        <f>+Z1786+Z1787+Z1788</f>
        <v>0.61071953599999995</v>
      </c>
      <c r="AA1785" s="487">
        <f>+AA1786+AA1787+AA1788</f>
        <v>0.61071953599999995</v>
      </c>
      <c r="AB1785" s="450"/>
      <c r="AC1785" s="450"/>
      <c r="AD1785" s="450"/>
      <c r="AE1785" s="450"/>
    </row>
    <row r="1786" spans="1:31">
      <c r="A1786" s="1"/>
      <c r="B1786" s="1"/>
      <c r="C1786" s="1"/>
      <c r="D1786" s="479" t="str">
        <f>+FISCinyear!D1179</f>
        <v>BANCOR</v>
      </c>
      <c r="E1786" s="450"/>
      <c r="F1786" s="450"/>
      <c r="G1786" s="450"/>
      <c r="H1786" s="450"/>
      <c r="I1786" s="450"/>
      <c r="J1786" s="450"/>
      <c r="K1786" s="450"/>
      <c r="L1786" s="450"/>
      <c r="M1786" s="450"/>
      <c r="N1786" s="450"/>
      <c r="O1786" s="450"/>
      <c r="P1786" s="450"/>
      <c r="Q1786" s="450"/>
      <c r="R1786" s="450"/>
      <c r="S1786" s="450"/>
      <c r="T1786" s="450"/>
      <c r="U1786" s="450"/>
      <c r="V1786" s="450"/>
      <c r="W1786" s="450"/>
      <c r="X1786" s="483">
        <f>+FISCinyear!CJ1179</f>
        <v>0.89935816700000004</v>
      </c>
      <c r="Y1786" s="483">
        <f>+FISCinyear!CV1179</f>
        <v>0.47032623899999992</v>
      </c>
      <c r="Z1786" s="483">
        <f>+FISCinyear!DH1179</f>
        <v>4.1252308999999932E-2</v>
      </c>
      <c r="AA1786" s="483">
        <f>+FISCinyear!IJ1179</f>
        <v>4.1252308999999932E-2</v>
      </c>
      <c r="AB1786" s="450"/>
      <c r="AC1786" s="450"/>
      <c r="AD1786" s="450"/>
      <c r="AE1786" s="450"/>
    </row>
    <row r="1787" spans="1:31">
      <c r="A1787" s="1"/>
      <c r="B1787" s="1"/>
      <c r="C1787" s="1"/>
      <c r="D1787" s="479" t="str">
        <f>+FISCinyear!D1180</f>
        <v>BCR</v>
      </c>
      <c r="E1787" s="450"/>
      <c r="F1787" s="450"/>
      <c r="G1787" s="450"/>
      <c r="H1787" s="450"/>
      <c r="I1787" s="450"/>
      <c r="J1787" s="450"/>
      <c r="K1787" s="450"/>
      <c r="L1787" s="450"/>
      <c r="M1787" s="450"/>
      <c r="N1787" s="450"/>
      <c r="O1787" s="450"/>
      <c r="P1787" s="450"/>
      <c r="Q1787" s="450"/>
      <c r="R1787" s="450"/>
      <c r="S1787" s="450"/>
      <c r="T1787" s="450"/>
      <c r="U1787" s="450"/>
      <c r="V1787" s="450"/>
      <c r="W1787" s="450"/>
      <c r="X1787" s="483">
        <f>+FISCinyear!CJ1180</f>
        <v>0.74962948200000001</v>
      </c>
      <c r="Y1787" s="483">
        <f>+FISCinyear!CV1180</f>
        <v>0.74962948200000001</v>
      </c>
      <c r="Z1787" s="483">
        <f>+FISCinyear!DH1180</f>
        <v>0.56946722700000008</v>
      </c>
      <c r="AA1787" s="483">
        <f>+FISCinyear!IJ1180</f>
        <v>0.56946722700000008</v>
      </c>
      <c r="AB1787" s="450"/>
      <c r="AC1787" s="450"/>
      <c r="AD1787" s="450"/>
      <c r="AE1787" s="450"/>
    </row>
    <row r="1788" spans="1:31">
      <c r="A1788" s="1"/>
      <c r="B1788" s="1"/>
      <c r="C1788" s="1"/>
      <c r="D1788" s="479" t="str">
        <f>+FISCinyear!D1181</f>
        <v>BK/ONATRACOM</v>
      </c>
      <c r="E1788" s="450"/>
      <c r="F1788" s="450"/>
      <c r="G1788" s="450"/>
      <c r="H1788" s="450"/>
      <c r="I1788" s="450"/>
      <c r="J1788" s="450"/>
      <c r="K1788" s="450"/>
      <c r="L1788" s="450"/>
      <c r="M1788" s="450"/>
      <c r="N1788" s="450"/>
      <c r="O1788" s="450"/>
      <c r="P1788" s="450"/>
      <c r="Q1788" s="450"/>
      <c r="R1788" s="450"/>
      <c r="S1788" s="450"/>
      <c r="T1788" s="450"/>
      <c r="U1788" s="450"/>
      <c r="V1788" s="450"/>
      <c r="W1788" s="450"/>
      <c r="X1788" s="483">
        <f>+FISCinyear!CJ1181</f>
        <v>0</v>
      </c>
      <c r="Y1788" s="483">
        <f>+FISCinyear!CV1181</f>
        <v>0</v>
      </c>
      <c r="Z1788" s="483">
        <f>+FISCinyear!DH1181</f>
        <v>0</v>
      </c>
      <c r="AA1788" s="483">
        <f>+FISCinyear!IJ1181</f>
        <v>0</v>
      </c>
      <c r="AB1788" s="450"/>
      <c r="AC1788" s="450"/>
      <c r="AD1788" s="450"/>
      <c r="AE1788" s="450"/>
    </row>
    <row r="1789" spans="1:31">
      <c r="A1789" s="1"/>
      <c r="B1789" s="1"/>
      <c r="C1789" s="1"/>
      <c r="D1789" s="479"/>
      <c r="E1789" s="450"/>
      <c r="F1789" s="450"/>
      <c r="G1789" s="450"/>
      <c r="H1789" s="450"/>
      <c r="I1789" s="450"/>
      <c r="J1789" s="450"/>
      <c r="K1789" s="450"/>
      <c r="L1789" s="450"/>
      <c r="M1789" s="450"/>
      <c r="N1789" s="450"/>
      <c r="O1789" s="450"/>
      <c r="P1789" s="450"/>
      <c r="Q1789" s="450"/>
      <c r="R1789" s="450"/>
      <c r="S1789" s="450"/>
      <c r="T1789" s="450"/>
      <c r="U1789" s="450"/>
      <c r="V1789" s="450"/>
      <c r="W1789" s="450"/>
      <c r="X1789" s="483"/>
      <c r="Y1789" s="483"/>
      <c r="Z1789" s="450"/>
      <c r="AA1789" s="450"/>
      <c r="AB1789" s="450"/>
      <c r="AC1789" s="450"/>
      <c r="AD1789" s="450"/>
      <c r="AE1789" s="450"/>
    </row>
    <row r="1790" spans="1:31">
      <c r="A1790" s="1"/>
      <c r="B1790" s="1"/>
      <c r="C1790" s="1"/>
      <c r="D1790" s="466" t="str">
        <f>+FISCinyear!D1183</f>
        <v xml:space="preserve">Non banks </v>
      </c>
      <c r="E1790" s="450"/>
      <c r="F1790" s="450"/>
      <c r="G1790" s="450"/>
      <c r="H1790" s="450"/>
      <c r="I1790" s="450"/>
      <c r="J1790" s="450"/>
      <c r="K1790" s="450"/>
      <c r="L1790" s="450"/>
      <c r="M1790" s="450"/>
      <c r="N1790" s="450"/>
      <c r="O1790" s="450"/>
      <c r="P1790" s="450"/>
      <c r="Q1790" s="450"/>
      <c r="R1790" s="450"/>
      <c r="S1790" s="450"/>
      <c r="T1790" s="450"/>
      <c r="U1790" s="450"/>
      <c r="V1790" s="450"/>
      <c r="W1790" s="450"/>
      <c r="X1790" s="486">
        <f>+X1791+X1794</f>
        <v>13.637188379600367</v>
      </c>
      <c r="Y1790" s="486">
        <f>+Y1791+Y1794</f>
        <v>53.905492418999998</v>
      </c>
      <c r="Z1790" s="486">
        <f>+Z1791+Z1794</f>
        <v>83.588792419000001</v>
      </c>
      <c r="AA1790" s="486">
        <f>+AA1791+AA1794</f>
        <v>124.48579699267981</v>
      </c>
      <c r="AB1790" s="450"/>
      <c r="AC1790" s="450"/>
      <c r="AD1790" s="450"/>
      <c r="AE1790" s="450"/>
    </row>
    <row r="1791" spans="1:31">
      <c r="A1791" s="1"/>
      <c r="B1791" s="1"/>
      <c r="C1791" s="1"/>
      <c r="D1791" s="479" t="str">
        <f>+D1782</f>
        <v>Banks holding of securities</v>
      </c>
      <c r="E1791" s="450"/>
      <c r="F1791" s="450"/>
      <c r="G1791" s="450"/>
      <c r="H1791" s="450"/>
      <c r="I1791" s="450"/>
      <c r="J1791" s="450"/>
      <c r="K1791" s="450"/>
      <c r="L1791" s="450"/>
      <c r="M1791" s="450"/>
      <c r="N1791" s="450"/>
      <c r="O1791" s="450"/>
      <c r="P1791" s="450"/>
      <c r="Q1791" s="450"/>
      <c r="R1791" s="450"/>
      <c r="S1791" s="450"/>
      <c r="T1791" s="450"/>
      <c r="U1791" s="450"/>
      <c r="V1791" s="450"/>
      <c r="W1791" s="450"/>
      <c r="X1791" s="486">
        <f>+X1792+X1793</f>
        <v>12.4474</v>
      </c>
      <c r="Y1791" s="486">
        <f>+Y1792+Y1793</f>
        <v>51.049700000000001</v>
      </c>
      <c r="Z1791" s="486">
        <f>+Z1792+Z1793</f>
        <v>80.733000000000004</v>
      </c>
      <c r="AA1791" s="483">
        <f>+FISCinyear!IJ1184</f>
        <v>123.18709999999999</v>
      </c>
      <c r="AB1791" s="450"/>
      <c r="AC1791" s="450"/>
      <c r="AD1791" s="450"/>
      <c r="AE1791" s="450"/>
    </row>
    <row r="1792" spans="1:31">
      <c r="A1792" s="1"/>
      <c r="B1792" s="1"/>
      <c r="C1792" s="1"/>
      <c r="D1792" s="479" t="str">
        <f>+FISCinyear!D1185</f>
        <v xml:space="preserve">T bills </v>
      </c>
      <c r="E1792" s="450"/>
      <c r="F1792" s="450"/>
      <c r="G1792" s="450"/>
      <c r="H1792" s="450"/>
      <c r="I1792" s="450"/>
      <c r="J1792" s="450"/>
      <c r="K1792" s="450"/>
      <c r="L1792" s="450"/>
      <c r="M1792" s="450"/>
      <c r="N1792" s="450"/>
      <c r="O1792" s="450"/>
      <c r="P1792" s="450"/>
      <c r="Q1792" s="450"/>
      <c r="R1792" s="450"/>
      <c r="S1792" s="450"/>
      <c r="T1792" s="450"/>
      <c r="U1792" s="450"/>
      <c r="V1792" s="450"/>
      <c r="W1792" s="450"/>
      <c r="X1792" s="483">
        <f>+FISCinyear!CJ1185</f>
        <v>10.8704</v>
      </c>
      <c r="Y1792" s="483">
        <f>+FISCinyear!CV1185</f>
        <v>11.851000000000001</v>
      </c>
      <c r="Z1792" s="483">
        <f>+FISCinyear!DH1185</f>
        <v>11.9307</v>
      </c>
      <c r="AA1792" s="483">
        <f>+FISCinyear!IJ1185</f>
        <v>38.667000000000002</v>
      </c>
      <c r="AB1792" s="450"/>
      <c r="AC1792" s="450"/>
      <c r="AD1792" s="450"/>
      <c r="AE1792" s="450"/>
    </row>
    <row r="1793" spans="1:31">
      <c r="A1793" s="1"/>
      <c r="B1793" s="1"/>
      <c r="C1793" s="1"/>
      <c r="D1793" s="479" t="str">
        <f>+FISCinyear!D1186</f>
        <v>T bonds</v>
      </c>
      <c r="E1793" s="450"/>
      <c r="F1793" s="450"/>
      <c r="G1793" s="450"/>
      <c r="H1793" s="450"/>
      <c r="I1793" s="450"/>
      <c r="J1793" s="450"/>
      <c r="K1793" s="450"/>
      <c r="L1793" s="450"/>
      <c r="M1793" s="450"/>
      <c r="N1793" s="450"/>
      <c r="O1793" s="450"/>
      <c r="P1793" s="450"/>
      <c r="Q1793" s="450"/>
      <c r="R1793" s="450"/>
      <c r="S1793" s="450"/>
      <c r="T1793" s="450"/>
      <c r="U1793" s="450"/>
      <c r="V1793" s="450"/>
      <c r="W1793" s="450"/>
      <c r="X1793" s="483">
        <f>+FISCinyear!CJ1186</f>
        <v>1.577</v>
      </c>
      <c r="Y1793" s="483">
        <f>+FISCinyear!CV1186</f>
        <v>39.198700000000002</v>
      </c>
      <c r="Z1793" s="483">
        <f>+FISCinyear!DH1186</f>
        <v>68.802300000000002</v>
      </c>
      <c r="AA1793" s="483">
        <f>+FISCinyear!IJ1186</f>
        <v>84.520099999999985</v>
      </c>
      <c r="AB1793" s="450"/>
      <c r="AC1793" s="450"/>
      <c r="AD1793" s="450"/>
      <c r="AE1793" s="450"/>
    </row>
    <row r="1794" spans="1:31">
      <c r="A1794" s="1"/>
      <c r="B1794" s="1"/>
      <c r="C1794" s="1"/>
      <c r="D1794" s="480" t="str">
        <f>+FISCinyear!D1187</f>
        <v>Corporate bonds</v>
      </c>
      <c r="E1794" s="450"/>
      <c r="F1794" s="450"/>
      <c r="G1794" s="450"/>
      <c r="H1794" s="450"/>
      <c r="I1794" s="450"/>
      <c r="J1794" s="450"/>
      <c r="K1794" s="450"/>
      <c r="L1794" s="450"/>
      <c r="M1794" s="450"/>
      <c r="N1794" s="450"/>
      <c r="O1794" s="450"/>
      <c r="P1794" s="450"/>
      <c r="Q1794" s="450"/>
      <c r="R1794" s="450"/>
      <c r="S1794" s="450"/>
      <c r="T1794" s="450"/>
      <c r="U1794" s="450"/>
      <c r="V1794" s="450"/>
      <c r="W1794" s="450"/>
      <c r="X1794" s="487">
        <f>+X1795+X1796</f>
        <v>1.189788379600367</v>
      </c>
      <c r="Y1794" s="487">
        <f>+Y1795+Y1796</f>
        <v>2.8557924190000001</v>
      </c>
      <c r="Z1794" s="487">
        <f>+Z1795+Z1796</f>
        <v>2.8557924190000001</v>
      </c>
      <c r="AA1794" s="487">
        <f>+AA1795+AA1796</f>
        <v>1.2986969926798162</v>
      </c>
      <c r="AB1794" s="450"/>
      <c r="AC1794" s="450"/>
      <c r="AD1794" s="450"/>
      <c r="AE1794" s="450"/>
    </row>
    <row r="1795" spans="1:31">
      <c r="A1795" s="1"/>
      <c r="B1795" s="1"/>
      <c r="C1795" s="1"/>
      <c r="D1795" s="479" t="str">
        <f>+FISCinyear!D1188</f>
        <v>SODEPARAL</v>
      </c>
      <c r="E1795" s="450"/>
      <c r="F1795" s="450"/>
      <c r="G1795" s="450"/>
      <c r="H1795" s="450"/>
      <c r="I1795" s="450"/>
      <c r="J1795" s="450"/>
      <c r="K1795" s="450"/>
      <c r="L1795" s="450"/>
      <c r="M1795" s="450"/>
      <c r="N1795" s="450"/>
      <c r="O1795" s="450"/>
      <c r="P1795" s="450"/>
      <c r="Q1795" s="450"/>
      <c r="R1795" s="450"/>
      <c r="S1795" s="450"/>
      <c r="T1795" s="450"/>
      <c r="U1795" s="450"/>
      <c r="V1795" s="450"/>
      <c r="W1795" s="450"/>
      <c r="X1795" s="483">
        <f>+FISCinyear!CJ1188</f>
        <v>1.7016389999999999E-2</v>
      </c>
      <c r="Y1795" s="483">
        <f>+FISCinyear!CV1188</f>
        <v>1.7016389999999999E-2</v>
      </c>
      <c r="Z1795" s="483">
        <f>+FISCinyear!DH1188</f>
        <v>1.7016389999999999E-2</v>
      </c>
      <c r="AA1795" s="483">
        <f>+FISCinyear!IJ1188</f>
        <v>1.7016389999999999E-2</v>
      </c>
      <c r="AB1795" s="450"/>
      <c r="AC1795" s="450"/>
      <c r="AD1795" s="450"/>
      <c r="AE1795" s="450"/>
    </row>
    <row r="1796" spans="1:31">
      <c r="A1796" s="1"/>
      <c r="B1796" s="1"/>
      <c r="C1796" s="1"/>
      <c r="D1796" s="479" t="str">
        <f>+FISCinyear!D1189</f>
        <v>NATIONAL POST OFFICE</v>
      </c>
      <c r="E1796" s="450"/>
      <c r="F1796" s="450"/>
      <c r="G1796" s="450"/>
      <c r="H1796" s="450"/>
      <c r="I1796" s="450"/>
      <c r="J1796" s="450"/>
      <c r="K1796" s="450"/>
      <c r="L1796" s="450"/>
      <c r="M1796" s="450"/>
      <c r="N1796" s="450"/>
      <c r="O1796" s="450"/>
      <c r="P1796" s="450"/>
      <c r="Q1796" s="450"/>
      <c r="R1796" s="450"/>
      <c r="S1796" s="450"/>
      <c r="T1796" s="450"/>
      <c r="U1796" s="450"/>
      <c r="V1796" s="450"/>
      <c r="W1796" s="450"/>
      <c r="X1796" s="483">
        <f>+FISCinyear!CJ1189</f>
        <v>1.172771989600367</v>
      </c>
      <c r="Y1796" s="483">
        <f>+FISCinyear!CV1189</f>
        <v>2.8387760289999999</v>
      </c>
      <c r="Z1796" s="483">
        <f>+FISCinyear!DH1189</f>
        <v>2.8387760289999999</v>
      </c>
      <c r="AA1796" s="483">
        <f>+FISCinyear!IJ1189</f>
        <v>1.2816806026798162</v>
      </c>
      <c r="AB1796" s="450"/>
      <c r="AC1796" s="450"/>
      <c r="AD1796" s="450"/>
      <c r="AE1796" s="450"/>
    </row>
    <row r="1797" spans="1:31">
      <c r="A1797" s="1"/>
      <c r="B1797" s="1"/>
      <c r="C1797" s="1"/>
      <c r="D1797" s="479"/>
      <c r="E1797" s="450"/>
      <c r="F1797" s="450"/>
      <c r="G1797" s="450"/>
      <c r="H1797" s="450"/>
      <c r="I1797" s="450"/>
      <c r="J1797" s="450"/>
      <c r="K1797" s="450"/>
      <c r="L1797" s="450"/>
      <c r="M1797" s="450"/>
      <c r="N1797" s="450"/>
      <c r="O1797" s="450"/>
      <c r="P1797" s="450"/>
      <c r="Q1797" s="450"/>
      <c r="R1797" s="450"/>
      <c r="S1797" s="450"/>
      <c r="T1797" s="450"/>
      <c r="U1797" s="450"/>
      <c r="V1797" s="450"/>
      <c r="W1797" s="450"/>
      <c r="X1797" s="483"/>
      <c r="Y1797" s="483"/>
      <c r="Z1797" s="450"/>
      <c r="AA1797" s="450"/>
      <c r="AB1797" s="450"/>
      <c r="AC1797" s="450"/>
      <c r="AD1797" s="450"/>
      <c r="AE1797" s="450"/>
    </row>
    <row r="1798" spans="1:31">
      <c r="A1798" s="1"/>
      <c r="B1798" s="1"/>
      <c r="C1798" s="1"/>
      <c r="D1798" s="466" t="str">
        <f>+FISCinyear!D1191</f>
        <v>debt to RSSB</v>
      </c>
      <c r="E1798" s="450"/>
      <c r="F1798" s="450"/>
      <c r="G1798" s="450"/>
      <c r="H1798" s="450"/>
      <c r="I1798" s="450"/>
      <c r="J1798" s="450"/>
      <c r="K1798" s="450"/>
      <c r="L1798" s="450"/>
      <c r="M1798" s="450"/>
      <c r="N1798" s="450"/>
      <c r="O1798" s="450"/>
      <c r="P1798" s="450"/>
      <c r="Q1798" s="450"/>
      <c r="R1798" s="450"/>
      <c r="S1798" s="450"/>
      <c r="T1798" s="450"/>
      <c r="U1798" s="450"/>
      <c r="V1798" s="450"/>
      <c r="W1798" s="450"/>
      <c r="X1798" s="486">
        <f>+X1799+X1800</f>
        <v>68.013805340000005</v>
      </c>
      <c r="Y1798" s="486">
        <f>+Y1799+Y1800</f>
        <v>51.450574210642365</v>
      </c>
      <c r="Z1798" s="486">
        <f>+Z1799+Z1800</f>
        <v>40.407519905401493</v>
      </c>
      <c r="AA1798" s="486">
        <f>+AA1799+AA1800</f>
        <v>38.309395838296489</v>
      </c>
      <c r="AB1798" s="450"/>
      <c r="AC1798" s="450"/>
      <c r="AD1798" s="450"/>
      <c r="AE1798" s="450"/>
    </row>
    <row r="1799" spans="1:31">
      <c r="A1799" s="1"/>
      <c r="B1799" s="1"/>
      <c r="C1799" s="1"/>
      <c r="D1799" s="479" t="str">
        <f>+FISCinyear!D1192</f>
        <v>Old consolidated debt</v>
      </c>
      <c r="E1799" s="450"/>
      <c r="F1799" s="450"/>
      <c r="G1799" s="450"/>
      <c r="H1799" s="450"/>
      <c r="I1799" s="450"/>
      <c r="J1799" s="450"/>
      <c r="K1799" s="450"/>
      <c r="L1799" s="450"/>
      <c r="M1799" s="450"/>
      <c r="N1799" s="450"/>
      <c r="O1799" s="450"/>
      <c r="P1799" s="450"/>
      <c r="Q1799" s="450"/>
      <c r="R1799" s="450"/>
      <c r="S1799" s="450"/>
      <c r="T1799" s="450"/>
      <c r="U1799" s="450"/>
      <c r="V1799" s="450"/>
      <c r="W1799" s="450"/>
      <c r="X1799" s="483">
        <f>+FISCinyear!CJ1192</f>
        <v>41.716166811999997</v>
      </c>
      <c r="Y1799" s="483">
        <f>+FISCinyear!CV1192</f>
        <v>34</v>
      </c>
      <c r="Z1799" s="483">
        <f>+FISCinyear!DH1192</f>
        <v>27</v>
      </c>
      <c r="AA1799" s="483">
        <f>+FISCinyear!IJ1192</f>
        <v>25.944422052894996</v>
      </c>
      <c r="AB1799" s="450"/>
      <c r="AC1799" s="450"/>
      <c r="AD1799" s="450"/>
      <c r="AE1799" s="450"/>
    </row>
    <row r="1800" spans="1:31">
      <c r="A1800" s="1"/>
      <c r="B1800" s="1"/>
      <c r="C1800" s="1"/>
      <c r="D1800" s="479" t="str">
        <f>+FISCinyear!D1193</f>
        <v>New loan</v>
      </c>
      <c r="E1800" s="450"/>
      <c r="F1800" s="450"/>
      <c r="G1800" s="450"/>
      <c r="H1800" s="450"/>
      <c r="I1800" s="450"/>
      <c r="J1800" s="450"/>
      <c r="K1800" s="450"/>
      <c r="L1800" s="450"/>
      <c r="M1800" s="450"/>
      <c r="N1800" s="450"/>
      <c r="O1800" s="450"/>
      <c r="P1800" s="450"/>
      <c r="Q1800" s="450"/>
      <c r="R1800" s="450"/>
      <c r="S1800" s="450"/>
      <c r="T1800" s="450"/>
      <c r="U1800" s="450"/>
      <c r="V1800" s="450"/>
      <c r="W1800" s="450"/>
      <c r="X1800" s="483">
        <f>+FISCinyear!CJ1193</f>
        <v>26.297638528000007</v>
      </c>
      <c r="Y1800" s="483">
        <f>+FISCinyear!CV1193</f>
        <v>17.450574210642365</v>
      </c>
      <c r="Z1800" s="483">
        <f>+FISCinyear!DH1193</f>
        <v>13.407519905401491</v>
      </c>
      <c r="AA1800" s="483">
        <f>+FISCinyear!IJ1193</f>
        <v>12.364973785401492</v>
      </c>
      <c r="AB1800" s="450"/>
      <c r="AC1800" s="450"/>
      <c r="AD1800" s="450"/>
      <c r="AE1800" s="450"/>
    </row>
    <row r="1801" spans="1:31">
      <c r="A1801" s="1"/>
      <c r="B1801" s="1"/>
      <c r="C1801" s="1"/>
      <c r="D1801" s="479"/>
      <c r="E1801" s="450"/>
      <c r="F1801" s="450"/>
      <c r="G1801" s="450"/>
      <c r="H1801" s="450"/>
      <c r="I1801" s="450"/>
      <c r="J1801" s="450"/>
      <c r="K1801" s="450"/>
      <c r="L1801" s="450"/>
      <c r="M1801" s="450"/>
      <c r="N1801" s="450"/>
      <c r="O1801" s="450"/>
      <c r="P1801" s="450"/>
      <c r="Q1801" s="450"/>
      <c r="R1801" s="450"/>
      <c r="S1801" s="450"/>
      <c r="T1801" s="450"/>
      <c r="U1801" s="450"/>
      <c r="V1801" s="450"/>
      <c r="W1801" s="450"/>
      <c r="X1801" s="483"/>
      <c r="Y1801" s="483"/>
      <c r="Z1801" s="450"/>
      <c r="AA1801" s="450"/>
      <c r="AB1801" s="450"/>
      <c r="AC1801" s="450"/>
      <c r="AD1801" s="450"/>
      <c r="AE1801" s="450"/>
    </row>
    <row r="1802" spans="1:31">
      <c r="A1802" s="1"/>
      <c r="B1802" s="1"/>
      <c r="C1802" s="1"/>
      <c r="D1802" s="466" t="str">
        <f>+FISCinyear!D1195</f>
        <v>Central government debt (excl. NBR mon.policy instruments)</v>
      </c>
      <c r="E1802" s="450"/>
      <c r="F1802" s="450"/>
      <c r="G1802" s="450"/>
      <c r="H1802" s="450"/>
      <c r="I1802" s="450"/>
      <c r="J1802" s="450"/>
      <c r="K1802" s="450"/>
      <c r="L1802" s="450"/>
      <c r="M1802" s="450"/>
      <c r="N1802" s="450"/>
      <c r="O1802" s="450"/>
      <c r="P1802" s="450"/>
      <c r="Q1802" s="450"/>
      <c r="R1802" s="450"/>
      <c r="S1802" s="450"/>
      <c r="T1802" s="450"/>
      <c r="U1802" s="450"/>
      <c r="V1802" s="450"/>
      <c r="W1802" s="450"/>
      <c r="X1802" s="486">
        <f>+X1775+X1780+X1790+X1798</f>
        <v>435.52379962060047</v>
      </c>
      <c r="Y1802" s="486">
        <f>+Y1775+Y1780+Y1790+Y1798</f>
        <v>377.75887253064235</v>
      </c>
      <c r="Z1802" s="486">
        <f>+Z1775+Z1780+Z1790+Z1798</f>
        <v>485.21603776140148</v>
      </c>
      <c r="AA1802" s="486">
        <f>+AA1775+AA1780+AA1790+AA1798</f>
        <v>545.97431826797629</v>
      </c>
      <c r="AB1802" s="450"/>
      <c r="AC1802" s="450"/>
      <c r="AD1802" s="450"/>
      <c r="AE1802" s="450"/>
    </row>
    <row r="1803" spans="1:31">
      <c r="A1803" s="1"/>
      <c r="B1803" s="1"/>
      <c r="C1803" s="1"/>
      <c r="D1803" s="466"/>
      <c r="E1803" s="450"/>
      <c r="F1803" s="450"/>
      <c r="G1803" s="450"/>
      <c r="H1803" s="450"/>
      <c r="I1803" s="450"/>
      <c r="J1803" s="450"/>
      <c r="K1803" s="450"/>
      <c r="L1803" s="450"/>
      <c r="M1803" s="450"/>
      <c r="N1803" s="450"/>
      <c r="O1803" s="450"/>
      <c r="P1803" s="450"/>
      <c r="Q1803" s="450"/>
      <c r="R1803" s="450"/>
      <c r="S1803" s="450"/>
      <c r="T1803" s="450"/>
      <c r="U1803" s="450"/>
      <c r="V1803" s="450"/>
      <c r="W1803" s="450"/>
      <c r="X1803" s="486"/>
      <c r="Y1803" s="486"/>
      <c r="Z1803" s="450"/>
      <c r="AA1803" s="450"/>
      <c r="AB1803" s="450"/>
      <c r="AC1803" s="450"/>
      <c r="AD1803" s="450"/>
      <c r="AE1803" s="450"/>
    </row>
    <row r="1804" spans="1:31">
      <c r="A1804" s="1"/>
      <c r="B1804" s="1"/>
      <c r="C1804" s="1"/>
      <c r="D1804" s="479" t="s">
        <v>688</v>
      </c>
      <c r="E1804" s="450"/>
      <c r="F1804" s="450"/>
      <c r="G1804" s="450"/>
      <c r="H1804" s="450"/>
      <c r="I1804" s="450"/>
      <c r="J1804" s="450"/>
      <c r="K1804" s="450"/>
      <c r="L1804" s="450"/>
      <c r="M1804" s="450"/>
      <c r="N1804" s="450"/>
      <c r="O1804" s="450"/>
      <c r="P1804" s="450"/>
      <c r="Q1804" s="450"/>
      <c r="R1804" s="450"/>
      <c r="S1804" s="450"/>
      <c r="T1804" s="450"/>
      <c r="U1804" s="450"/>
      <c r="V1804" s="450"/>
      <c r="W1804" s="450"/>
      <c r="X1804" s="486">
        <f>+X198</f>
        <v>0</v>
      </c>
      <c r="Y1804" s="486">
        <f>+Y198</f>
        <v>0</v>
      </c>
      <c r="Z1804" s="486">
        <f>+Z198</f>
        <v>0</v>
      </c>
      <c r="AA1804" s="486">
        <f>+AA198</f>
        <v>0</v>
      </c>
      <c r="AB1804" s="486"/>
      <c r="AC1804" s="486"/>
      <c r="AD1804" s="486"/>
      <c r="AE1804" s="486"/>
    </row>
    <row r="1805" spans="1:31">
      <c r="A1805" s="1"/>
      <c r="B1805" s="1"/>
      <c r="C1805" s="1"/>
      <c r="D1805" s="479"/>
      <c r="E1805" s="450"/>
      <c r="F1805" s="450"/>
      <c r="G1805" s="450"/>
      <c r="H1805" s="450"/>
      <c r="I1805" s="450"/>
      <c r="J1805" s="450"/>
      <c r="K1805" s="450"/>
      <c r="L1805" s="450"/>
      <c r="M1805" s="450"/>
      <c r="N1805" s="450"/>
      <c r="O1805" s="450"/>
      <c r="P1805" s="450"/>
      <c r="Q1805" s="450"/>
      <c r="R1805" s="450"/>
      <c r="S1805" s="450"/>
      <c r="T1805" s="450"/>
      <c r="U1805" s="450"/>
      <c r="V1805" s="450"/>
      <c r="W1805" s="450"/>
      <c r="X1805" s="486"/>
      <c r="Y1805" s="486"/>
      <c r="Z1805" s="450"/>
      <c r="AA1805" s="450"/>
      <c r="AB1805" s="450"/>
      <c r="AC1805" s="450"/>
      <c r="AD1805" s="450"/>
      <c r="AE1805" s="450"/>
    </row>
    <row r="1806" spans="1:31">
      <c r="A1806" s="1"/>
      <c r="B1806" s="1"/>
      <c r="C1806" s="1"/>
      <c r="D1806" s="466" t="s">
        <v>687</v>
      </c>
      <c r="E1806" s="450"/>
      <c r="F1806" s="450"/>
      <c r="G1806" s="450"/>
      <c r="H1806" s="450"/>
      <c r="I1806" s="450"/>
      <c r="J1806" s="450"/>
      <c r="K1806" s="450"/>
      <c r="L1806" s="450"/>
      <c r="M1806" s="450"/>
      <c r="N1806" s="450"/>
      <c r="O1806" s="450"/>
      <c r="P1806" s="450"/>
      <c r="Q1806" s="450"/>
      <c r="R1806" s="450"/>
      <c r="S1806" s="450"/>
      <c r="T1806" s="450"/>
      <c r="U1806" s="450"/>
      <c r="V1806" s="450"/>
      <c r="W1806" s="450"/>
      <c r="X1806" s="486"/>
      <c r="Y1806" s="486"/>
      <c r="Z1806" s="450"/>
      <c r="AA1806" s="450"/>
      <c r="AB1806" s="450"/>
      <c r="AC1806" s="450"/>
      <c r="AD1806" s="450"/>
      <c r="AE1806" s="450"/>
    </row>
    <row r="1807" spans="1:31">
      <c r="A1807" s="1"/>
      <c r="B1807" s="1"/>
      <c r="C1807" s="1"/>
      <c r="D1807" s="479"/>
      <c r="E1807" s="450"/>
      <c r="F1807" s="450"/>
      <c r="G1807" s="450"/>
      <c r="H1807" s="450"/>
      <c r="I1807" s="450"/>
      <c r="J1807" s="450"/>
      <c r="K1807" s="450"/>
      <c r="L1807" s="450"/>
      <c r="M1807" s="450"/>
      <c r="N1807" s="450"/>
      <c r="O1807" s="450"/>
      <c r="P1807" s="450"/>
      <c r="Q1807" s="450"/>
      <c r="R1807" s="450"/>
      <c r="S1807" s="450"/>
      <c r="T1807" s="450"/>
      <c r="U1807" s="450"/>
      <c r="V1807" s="450"/>
      <c r="W1807" s="450"/>
      <c r="X1807" s="486"/>
      <c r="Y1807" s="486"/>
      <c r="Z1807" s="450"/>
      <c r="AA1807" s="450"/>
      <c r="AB1807" s="450"/>
      <c r="AC1807" s="450"/>
      <c r="AD1807" s="450"/>
      <c r="AE1807" s="450"/>
    </row>
    <row r="1808" spans="1:31">
      <c r="A1808" s="1"/>
      <c r="B1808" s="1"/>
      <c r="C1808" s="1"/>
      <c r="D1808" s="466" t="s">
        <v>656</v>
      </c>
      <c r="E1808" s="450"/>
      <c r="F1808" s="450"/>
      <c r="G1808" s="450"/>
      <c r="H1808" s="450"/>
      <c r="I1808" s="450"/>
      <c r="J1808" s="450"/>
      <c r="K1808" s="450"/>
      <c r="L1808" s="450"/>
      <c r="M1808" s="450"/>
      <c r="N1808" s="450"/>
      <c r="O1808" s="450"/>
      <c r="P1808" s="450"/>
      <c r="Q1808" s="450"/>
      <c r="R1808" s="450"/>
      <c r="S1808" s="450"/>
      <c r="T1808" s="450"/>
      <c r="U1808" s="450"/>
      <c r="V1808" s="450"/>
      <c r="W1808" s="450"/>
      <c r="X1808" s="486">
        <f>+X1802+X1804+X1806</f>
        <v>435.52379962060047</v>
      </c>
      <c r="Y1808" s="486">
        <f>+Y1802+Y1804+Y1806</f>
        <v>377.75887253064235</v>
      </c>
      <c r="Z1808" s="486">
        <f>+Z1802+Z1804+Z1806</f>
        <v>485.21603776140148</v>
      </c>
      <c r="AA1808" s="450"/>
      <c r="AB1808" s="450"/>
      <c r="AC1808" s="450"/>
      <c r="AD1808" s="450"/>
      <c r="AE1808" s="450"/>
    </row>
    <row r="1809" spans="1:35">
      <c r="A1809" s="1"/>
      <c r="B1809" s="1"/>
      <c r="C1809" s="1"/>
      <c r="D1809" s="466"/>
      <c r="E1809" s="450"/>
      <c r="F1809" s="450"/>
      <c r="G1809" s="450"/>
      <c r="H1809" s="450"/>
      <c r="I1809" s="450"/>
      <c r="J1809" s="450"/>
      <c r="K1809" s="450"/>
      <c r="L1809" s="450"/>
      <c r="M1809" s="450"/>
      <c r="N1809" s="450"/>
      <c r="O1809" s="450"/>
      <c r="P1809" s="450"/>
      <c r="Q1809" s="450"/>
      <c r="R1809" s="450"/>
      <c r="S1809" s="450"/>
      <c r="T1809" s="450"/>
      <c r="U1809" s="450"/>
      <c r="V1809" s="450"/>
      <c r="W1809" s="450"/>
      <c r="X1809" s="486"/>
      <c r="Y1809" s="486"/>
      <c r="Z1809" s="450"/>
      <c r="AA1809" s="450"/>
      <c r="AB1809" s="450"/>
      <c r="AC1809" s="450"/>
      <c r="AD1809" s="450"/>
      <c r="AE1809" s="450"/>
    </row>
    <row r="1810" spans="1:35">
      <c r="A1810" s="1"/>
      <c r="B1810" s="1"/>
      <c r="C1810" s="1"/>
      <c r="D1810" s="472" t="s">
        <v>661</v>
      </c>
      <c r="E1810" s="450"/>
      <c r="F1810" s="450"/>
      <c r="G1810" s="450"/>
      <c r="H1810" s="450"/>
      <c r="I1810" s="450"/>
      <c r="J1810" s="450"/>
      <c r="K1810" s="450"/>
      <c r="L1810" s="450"/>
      <c r="M1810" s="450"/>
      <c r="N1810" s="450"/>
      <c r="O1810" s="450"/>
      <c r="P1810" s="450"/>
      <c r="Q1810" s="450"/>
      <c r="R1810" s="450"/>
      <c r="S1810" s="450"/>
      <c r="T1810" s="450"/>
      <c r="U1810" s="450"/>
      <c r="V1810" s="450"/>
      <c r="W1810" s="450"/>
      <c r="X1810" s="486"/>
      <c r="Y1810" s="486"/>
      <c r="Z1810" s="617">
        <f t="shared" ref="Z1810:AE1810" si="2123">+Z1811+Z1814+Z1815</f>
        <v>152.75967070048429</v>
      </c>
      <c r="AA1810" s="617">
        <f t="shared" si="2123"/>
        <v>151.40793886846396</v>
      </c>
      <c r="AB1810" s="617">
        <f t="shared" si="2123"/>
        <v>160.98277493627484</v>
      </c>
      <c r="AC1810" s="617">
        <f t="shared" si="2123"/>
        <v>242.93043612660128</v>
      </c>
      <c r="AD1810" s="617">
        <f t="shared" si="2123"/>
        <v>329.29187427562221</v>
      </c>
      <c r="AE1810" s="617">
        <f t="shared" si="2123"/>
        <v>981.898409107205</v>
      </c>
    </row>
    <row r="1811" spans="1:35">
      <c r="A1811" s="1"/>
      <c r="B1811" s="1"/>
      <c r="C1811" s="1"/>
      <c r="D1811" s="479" t="str">
        <f>+D1697</f>
        <v>Bank financing, Calendar Year, bln RWF</v>
      </c>
      <c r="E1811" s="450"/>
      <c r="F1811" s="450"/>
      <c r="G1811" s="450"/>
      <c r="H1811" s="450"/>
      <c r="I1811" s="450"/>
      <c r="J1811" s="450"/>
      <c r="K1811" s="450"/>
      <c r="L1811" s="450"/>
      <c r="M1811" s="450"/>
      <c r="N1811" s="450"/>
      <c r="O1811" s="450"/>
      <c r="P1811" s="450"/>
      <c r="Q1811" s="450"/>
      <c r="R1811" s="450"/>
      <c r="S1811" s="450"/>
      <c r="T1811" s="450"/>
      <c r="U1811" s="450"/>
      <c r="V1811" s="450"/>
      <c r="W1811" s="450"/>
      <c r="X1811" s="486"/>
      <c r="Y1811" s="486"/>
      <c r="Z1811" s="618">
        <f t="shared" ref="Z1811:AE1811" si="2124">+Z1697</f>
        <v>12.956570700484306</v>
      </c>
      <c r="AA1811" s="618">
        <f t="shared" si="2124"/>
        <v>-4.4331474191104121</v>
      </c>
      <c r="AB1811" s="618">
        <f t="shared" si="2124"/>
        <v>50.497794455004794</v>
      </c>
      <c r="AC1811" s="618">
        <f t="shared" si="2124"/>
        <v>73.255690738601572</v>
      </c>
      <c r="AD1811" s="618">
        <f t="shared" si="2124"/>
        <v>70.452174275622326</v>
      </c>
      <c r="AE1811" s="618">
        <f t="shared" si="2124"/>
        <v>419.61410910720497</v>
      </c>
    </row>
    <row r="1812" spans="1:35">
      <c r="A1812" s="1"/>
      <c r="B1812" s="1"/>
      <c r="C1812" s="1"/>
      <c r="D1812" s="479" t="str">
        <f>+D1701</f>
        <v xml:space="preserve"> Use (+)  govt deposits at NBR (treasury, line ministries) CY, bln RWF</v>
      </c>
      <c r="E1812" s="466"/>
      <c r="F1812" s="466"/>
      <c r="G1812" s="466"/>
      <c r="H1812" s="466"/>
      <c r="I1812" s="466"/>
      <c r="J1812" s="466"/>
      <c r="K1812" s="466"/>
      <c r="L1812" s="466"/>
      <c r="M1812" s="466"/>
      <c r="N1812" s="466"/>
      <c r="O1812" s="466"/>
      <c r="P1812" s="466"/>
      <c r="Q1812" s="466"/>
      <c r="R1812" s="466"/>
      <c r="S1812" s="466"/>
      <c r="T1812" s="466"/>
      <c r="U1812" s="466"/>
      <c r="V1812" s="466"/>
      <c r="W1812" s="466"/>
      <c r="X1812" s="466"/>
      <c r="Y1812" s="466"/>
      <c r="Z1812" s="465">
        <f t="shared" ref="Z1812:AE1812" si="2125">+Z1701</f>
        <v>-60.654050000000012</v>
      </c>
      <c r="AA1812" s="465">
        <f t="shared" si="2125"/>
        <v>13.445166714427586</v>
      </c>
      <c r="AB1812" s="465">
        <f t="shared" si="2125"/>
        <v>-108.27439894684417</v>
      </c>
      <c r="AC1812" s="465">
        <f t="shared" si="2125"/>
        <v>-160.95919266345936</v>
      </c>
      <c r="AD1812" s="465" t="e">
        <f t="shared" si="2125"/>
        <v>#REF!</v>
      </c>
      <c r="AE1812" s="465" t="e">
        <f t="shared" si="2125"/>
        <v>#REF!</v>
      </c>
    </row>
    <row r="1813" spans="1:35">
      <c r="A1813" s="1"/>
      <c r="B1813" s="1"/>
      <c r="C1813" s="1"/>
      <c r="D1813" s="479" t="str">
        <f>+D1705</f>
        <v>Net issuance T bills/bonds to banks CY, bln RWF (if no change other credit govt)</v>
      </c>
      <c r="E1813" s="466"/>
      <c r="F1813" s="466"/>
      <c r="G1813" s="466"/>
      <c r="H1813" s="466"/>
      <c r="I1813" s="466"/>
      <c r="J1813" s="466"/>
      <c r="K1813" s="466"/>
      <c r="L1813" s="466"/>
      <c r="M1813" s="466"/>
      <c r="N1813" s="466"/>
      <c r="O1813" s="466"/>
      <c r="P1813" s="466"/>
      <c r="Q1813" s="466"/>
      <c r="R1813" s="466"/>
      <c r="S1813" s="466"/>
      <c r="T1813" s="466"/>
      <c r="U1813" s="466"/>
      <c r="V1813" s="466"/>
      <c r="W1813" s="466"/>
      <c r="X1813" s="466"/>
      <c r="Y1813" s="466"/>
      <c r="Z1813" s="465">
        <f t="shared" ref="Z1813:AE1813" si="2126">+Z1705</f>
        <v>73.610620700484318</v>
      </c>
      <c r="AA1813" s="465">
        <f t="shared" si="2126"/>
        <v>-17.878314133537998</v>
      </c>
      <c r="AB1813" s="465">
        <f t="shared" si="2126"/>
        <v>158.77219340184897</v>
      </c>
      <c r="AC1813" s="465">
        <f t="shared" si="2126"/>
        <v>234.21488340206093</v>
      </c>
      <c r="AD1813" s="465" t="e">
        <f t="shared" si="2126"/>
        <v>#REF!</v>
      </c>
      <c r="AE1813" s="465" t="e">
        <f t="shared" si="2126"/>
        <v>#REF!</v>
      </c>
    </row>
    <row r="1814" spans="1:35">
      <c r="A1814" s="1"/>
      <c r="B1814" s="1"/>
      <c r="C1814" s="1"/>
      <c r="D1814" s="479" t="str">
        <f>+D1689</f>
        <v xml:space="preserve">Nonbank financing debt repayment Calendar Year (bln RWF)  </v>
      </c>
      <c r="E1814" s="466"/>
      <c r="F1814" s="466"/>
      <c r="G1814" s="466"/>
      <c r="H1814" s="466"/>
      <c r="I1814" s="466"/>
      <c r="J1814" s="466"/>
      <c r="K1814" s="466"/>
      <c r="L1814" s="466"/>
      <c r="M1814" s="466"/>
      <c r="N1814" s="466"/>
      <c r="O1814" s="466"/>
      <c r="P1814" s="466"/>
      <c r="Q1814" s="466"/>
      <c r="R1814" s="466"/>
      <c r="S1814" s="466"/>
      <c r="T1814" s="466"/>
      <c r="U1814" s="466"/>
      <c r="V1814" s="466"/>
      <c r="W1814" s="466"/>
      <c r="X1814" s="466"/>
      <c r="Y1814" s="466"/>
      <c r="Z1814" s="465">
        <f t="shared" ref="Z1814:AE1814" si="2127">+Z1689</f>
        <v>29.683299999999996</v>
      </c>
      <c r="AA1814" s="465">
        <f t="shared" si="2127"/>
        <v>86.998343921577913</v>
      </c>
      <c r="AB1814" s="465">
        <f t="shared" si="2127"/>
        <v>1.5391121568442756</v>
      </c>
      <c r="AC1814" s="465">
        <f t="shared" si="2127"/>
        <v>99.590099999999865</v>
      </c>
      <c r="AD1814" s="465">
        <f t="shared" si="2127"/>
        <v>56.959999999999951</v>
      </c>
      <c r="AE1814" s="465">
        <f t="shared" si="2127"/>
        <v>182.46279999999996</v>
      </c>
    </row>
    <row r="1815" spans="1:35">
      <c r="A1815" s="1"/>
      <c r="B1815" s="1"/>
      <c r="C1815" s="1"/>
      <c r="D1815" s="479" t="str">
        <f>+D1693</f>
        <v>Bank financing Budget Fiscal Year (curr + prev CY) bln RWF</v>
      </c>
      <c r="E1815" s="466"/>
      <c r="F1815" s="466"/>
      <c r="G1815" s="466"/>
      <c r="H1815" s="466"/>
      <c r="I1815" s="466"/>
      <c r="J1815" s="466"/>
      <c r="K1815" s="466"/>
      <c r="L1815" s="466"/>
      <c r="M1815" s="466"/>
      <c r="N1815" s="466"/>
      <c r="O1815" s="466"/>
      <c r="P1815" s="466"/>
      <c r="Q1815" s="466"/>
      <c r="R1815" s="466"/>
      <c r="S1815" s="466"/>
      <c r="T1815" s="466"/>
      <c r="U1815" s="466"/>
      <c r="V1815" s="466"/>
      <c r="W1815" s="466"/>
      <c r="X1815" s="466"/>
      <c r="Y1815" s="466"/>
      <c r="Z1815" s="465">
        <f t="shared" ref="Z1815:AE1815" si="2128">+Z1693</f>
        <v>110.1198</v>
      </c>
      <c r="AA1815" s="465">
        <f t="shared" si="2128"/>
        <v>68.842742365996457</v>
      </c>
      <c r="AB1815" s="465">
        <f t="shared" si="2128"/>
        <v>108.94586832442576</v>
      </c>
      <c r="AC1815" s="465">
        <f t="shared" si="2128"/>
        <v>70.084645387999842</v>
      </c>
      <c r="AD1815" s="465">
        <f t="shared" si="2128"/>
        <v>201.87969999999993</v>
      </c>
      <c r="AE1815" s="465">
        <f t="shared" si="2128"/>
        <v>379.82150000000001</v>
      </c>
    </row>
    <row r="1816" spans="1:35">
      <c r="A1816" s="1"/>
      <c r="B1816" s="1"/>
      <c r="C1816" s="1"/>
      <c r="D1816" s="616" t="s">
        <v>95</v>
      </c>
      <c r="E1816" s="466"/>
      <c r="F1816" s="466"/>
      <c r="G1816" s="466"/>
      <c r="H1816" s="466"/>
      <c r="I1816" s="466"/>
      <c r="J1816" s="466"/>
      <c r="K1816" s="466"/>
      <c r="L1816" s="466"/>
      <c r="M1816" s="466"/>
      <c r="N1816" s="466"/>
      <c r="O1816" s="466"/>
      <c r="P1816" s="466"/>
      <c r="Q1816" s="466"/>
      <c r="R1816" s="466"/>
      <c r="S1816" s="466"/>
      <c r="T1816" s="466"/>
      <c r="U1816" s="466"/>
      <c r="V1816" s="466"/>
      <c r="W1816" s="466"/>
      <c r="X1816" s="466"/>
      <c r="Y1816" s="466"/>
      <c r="Z1816" s="466" t="str">
        <f t="shared" ref="Z1816:AE1816" si="2129">+IF(ABS(Z1811-Z1812-Z1813)&gt;0.001,"check","")</f>
        <v/>
      </c>
      <c r="AA1816" s="466" t="str">
        <f t="shared" si="2129"/>
        <v/>
      </c>
      <c r="AB1816" s="466" t="str">
        <f t="shared" si="2129"/>
        <v/>
      </c>
      <c r="AC1816" s="466" t="str">
        <f t="shared" si="2129"/>
        <v/>
      </c>
      <c r="AD1816" s="466" t="e">
        <f t="shared" si="2129"/>
        <v>#REF!</v>
      </c>
      <c r="AE1816" s="466" t="e">
        <f t="shared" si="2129"/>
        <v>#REF!</v>
      </c>
    </row>
    <row r="1817" spans="1:35">
      <c r="A1817" s="1"/>
      <c r="B1817" s="1"/>
      <c r="C1817" s="1"/>
      <c r="D1817" s="466" t="s">
        <v>770</v>
      </c>
      <c r="E1817" s="466"/>
      <c r="F1817" s="466"/>
      <c r="G1817" s="466"/>
      <c r="H1817" s="466"/>
      <c r="I1817" s="466"/>
      <c r="J1817" s="466"/>
      <c r="K1817" s="466"/>
      <c r="L1817" s="466"/>
      <c r="M1817" s="466"/>
      <c r="N1817" s="466"/>
      <c r="O1817" s="466"/>
      <c r="P1817" s="466"/>
      <c r="Q1817" s="466"/>
      <c r="R1817" s="466"/>
      <c r="S1817" s="466"/>
      <c r="T1817" s="466"/>
      <c r="U1817" s="466"/>
      <c r="V1817" s="466"/>
      <c r="W1817" s="466"/>
      <c r="X1817" s="466"/>
      <c r="Y1817" s="466"/>
      <c r="Z1817" s="466">
        <f t="shared" ref="Z1817:AE1817" si="2130">+Z1813+Z1815</f>
        <v>183.73042070048433</v>
      </c>
      <c r="AA1817" s="466">
        <f t="shared" si="2130"/>
        <v>50.964428232458459</v>
      </c>
      <c r="AB1817" s="466">
        <f t="shared" si="2130"/>
        <v>267.71806172627475</v>
      </c>
      <c r="AC1817" s="466">
        <f t="shared" si="2130"/>
        <v>304.29952879006078</v>
      </c>
      <c r="AD1817" s="466" t="e">
        <f t="shared" si="2130"/>
        <v>#REF!</v>
      </c>
      <c r="AE1817" s="466" t="e">
        <f t="shared" si="2130"/>
        <v>#REF!</v>
      </c>
    </row>
    <row r="1818" spans="1:35">
      <c r="A1818" s="1"/>
      <c r="B1818" s="1"/>
      <c r="C1818" s="1"/>
      <c r="AC1818"/>
      <c r="AD1818"/>
      <c r="AE1818"/>
      <c r="AF1818"/>
      <c r="AH1818"/>
      <c r="AI1818"/>
    </row>
    <row r="1819" spans="1:35">
      <c r="A1819" s="1"/>
      <c r="B1819" s="1"/>
      <c r="C1819" s="1"/>
      <c r="D1819" s="74" t="s">
        <v>746</v>
      </c>
      <c r="X1819" s="573"/>
      <c r="Y1819" s="573"/>
      <c r="Z1819" s="573">
        <f t="shared" ref="Z1819:AF1819" si="2131">+Z1820</f>
        <v>2015</v>
      </c>
      <c r="AA1819" s="573">
        <f t="shared" si="2131"/>
        <v>2016</v>
      </c>
      <c r="AB1819" s="573">
        <f t="shared" si="2131"/>
        <v>2017</v>
      </c>
      <c r="AC1819" s="573">
        <f t="shared" si="2131"/>
        <v>2018</v>
      </c>
      <c r="AD1819" s="573">
        <f t="shared" si="2131"/>
        <v>2019</v>
      </c>
      <c r="AE1819" s="573">
        <f t="shared" si="2131"/>
        <v>2020</v>
      </c>
      <c r="AF1819">
        <f t="shared" si="2131"/>
        <v>2021</v>
      </c>
      <c r="AH1819"/>
      <c r="AI1819"/>
    </row>
    <row r="1820" spans="1:35">
      <c r="D1820" s="574"/>
      <c r="E1820" s="466"/>
      <c r="F1820" s="466"/>
      <c r="G1820" s="466"/>
      <c r="H1820" s="466"/>
      <c r="I1820" s="466"/>
      <c r="J1820" s="466"/>
      <c r="K1820" s="466"/>
      <c r="L1820" s="466"/>
      <c r="M1820" s="466"/>
      <c r="N1820" s="466"/>
      <c r="O1820" s="466"/>
      <c r="P1820" s="466"/>
      <c r="Q1820" s="466"/>
      <c r="R1820" s="466"/>
      <c r="S1820" s="466"/>
      <c r="T1820" s="466"/>
      <c r="U1820" s="466"/>
      <c r="V1820" s="466"/>
      <c r="W1820" s="466"/>
      <c r="X1820" s="467"/>
      <c r="Y1820" s="467"/>
      <c r="Z1820" s="467">
        <v>2015</v>
      </c>
      <c r="AA1820" s="467">
        <f t="shared" ref="AA1820:AF1820" si="2132">+Z1820+1</f>
        <v>2016</v>
      </c>
      <c r="AB1820" s="467">
        <f t="shared" si="2132"/>
        <v>2017</v>
      </c>
      <c r="AC1820" s="467">
        <f t="shared" si="2132"/>
        <v>2018</v>
      </c>
      <c r="AD1820" s="467">
        <f t="shared" si="2132"/>
        <v>2019</v>
      </c>
      <c r="AE1820" s="467">
        <f t="shared" si="2132"/>
        <v>2020</v>
      </c>
      <c r="AF1820">
        <f t="shared" si="2132"/>
        <v>2021</v>
      </c>
      <c r="AH1820"/>
      <c r="AI1820"/>
    </row>
    <row r="1821" spans="1:35">
      <c r="D1821" s="894" t="s">
        <v>630</v>
      </c>
      <c r="E1821" s="466"/>
      <c r="F1821" s="466"/>
      <c r="G1821" s="466"/>
      <c r="H1821" s="466"/>
      <c r="I1821" s="466"/>
      <c r="J1821" s="466"/>
      <c r="K1821" s="466"/>
      <c r="L1821" s="466"/>
      <c r="M1821" s="466"/>
      <c r="N1821" s="466"/>
      <c r="O1821" s="466"/>
      <c r="P1821" s="466"/>
      <c r="Q1821" s="466"/>
      <c r="R1821" s="466"/>
      <c r="S1821" s="466"/>
      <c r="T1821" s="466"/>
      <c r="U1821" s="466"/>
      <c r="V1821" s="466"/>
      <c r="W1821" s="466"/>
      <c r="X1821" s="466"/>
      <c r="Y1821" s="467"/>
      <c r="Z1821" s="467"/>
      <c r="AA1821" s="688" t="str">
        <f>+AA1774</f>
        <v>June</v>
      </c>
      <c r="AB1821" s="466"/>
      <c r="AC1821" s="466"/>
      <c r="AD1821" s="466"/>
      <c r="AE1821" s="466"/>
      <c r="AF1821"/>
      <c r="AH1821"/>
      <c r="AI1821"/>
    </row>
    <row r="1822" spans="1:35">
      <c r="D1822" s="479" t="str">
        <f>+D1775</f>
        <v>Central Bank NBR</v>
      </c>
      <c r="E1822" s="466"/>
      <c r="F1822" s="466"/>
      <c r="G1822" s="466"/>
      <c r="H1822" s="466"/>
      <c r="I1822" s="466"/>
      <c r="J1822" s="466"/>
      <c r="K1822" s="466"/>
      <c r="L1822" s="466"/>
      <c r="M1822" s="466"/>
      <c r="N1822" s="466"/>
      <c r="O1822" s="466"/>
      <c r="P1822" s="466"/>
      <c r="Q1822" s="466"/>
      <c r="R1822" s="466"/>
      <c r="S1822" s="466"/>
      <c r="T1822" s="466"/>
      <c r="U1822" s="466"/>
      <c r="V1822" s="466"/>
      <c r="W1822" s="466"/>
      <c r="X1822" s="479"/>
      <c r="Y1822" s="479"/>
      <c r="Z1822" s="479"/>
      <c r="AA1822" s="479">
        <f>+AA1775</f>
        <v>113.08680590099999</v>
      </c>
      <c r="AB1822" s="466"/>
      <c r="AC1822" s="466"/>
      <c r="AD1822" s="466"/>
      <c r="AE1822" s="466"/>
      <c r="AF1822"/>
      <c r="AH1822"/>
      <c r="AI1822"/>
    </row>
    <row r="1823" spans="1:35">
      <c r="D1823" s="479" t="str">
        <f>+D1780</f>
        <v>Commercial banks</v>
      </c>
      <c r="E1823" s="466"/>
      <c r="F1823" s="466"/>
      <c r="G1823" s="466"/>
      <c r="H1823" s="466"/>
      <c r="I1823" s="466"/>
      <c r="J1823" s="466"/>
      <c r="K1823" s="466"/>
      <c r="L1823" s="466"/>
      <c r="M1823" s="466"/>
      <c r="N1823" s="466"/>
      <c r="O1823" s="466"/>
      <c r="P1823" s="466"/>
      <c r="Q1823" s="466"/>
      <c r="R1823" s="466"/>
      <c r="S1823" s="466"/>
      <c r="T1823" s="466"/>
      <c r="U1823" s="466"/>
      <c r="V1823" s="466"/>
      <c r="W1823" s="466"/>
      <c r="X1823" s="479"/>
      <c r="Y1823" s="479"/>
      <c r="Z1823" s="479"/>
      <c r="AA1823" s="479">
        <f>+AA1780</f>
        <v>270.09231953599999</v>
      </c>
      <c r="AB1823" s="466"/>
      <c r="AC1823" s="466"/>
      <c r="AD1823" s="466"/>
      <c r="AE1823" s="466"/>
    </row>
    <row r="1824" spans="1:35">
      <c r="D1824" s="479" t="str">
        <f>+D1790</f>
        <v xml:space="preserve">Non banks </v>
      </c>
      <c r="E1824" s="466"/>
      <c r="F1824" s="466"/>
      <c r="G1824" s="466"/>
      <c r="H1824" s="466"/>
      <c r="I1824" s="466"/>
      <c r="J1824" s="466"/>
      <c r="K1824" s="466"/>
      <c r="L1824" s="466"/>
      <c r="M1824" s="466"/>
      <c r="N1824" s="466"/>
      <c r="O1824" s="466"/>
      <c r="P1824" s="466"/>
      <c r="Q1824" s="466"/>
      <c r="R1824" s="466"/>
      <c r="S1824" s="466"/>
      <c r="T1824" s="466"/>
      <c r="U1824" s="466"/>
      <c r="V1824" s="466"/>
      <c r="W1824" s="466"/>
      <c r="X1824" s="479"/>
      <c r="Y1824" s="479"/>
      <c r="Z1824" s="479"/>
      <c r="AA1824" s="479">
        <f>+AA1790</f>
        <v>124.48579699267981</v>
      </c>
      <c r="AB1824" s="466"/>
      <c r="AC1824" s="466"/>
      <c r="AD1824" s="466"/>
      <c r="AE1824" s="466"/>
    </row>
    <row r="1825" spans="1:46">
      <c r="D1825" s="479" t="str">
        <f>+D1798</f>
        <v>debt to RSSB</v>
      </c>
      <c r="E1825" s="466"/>
      <c r="F1825" s="466"/>
      <c r="G1825" s="466"/>
      <c r="H1825" s="466"/>
      <c r="I1825" s="466"/>
      <c r="J1825" s="466"/>
      <c r="K1825" s="466"/>
      <c r="L1825" s="466"/>
      <c r="M1825" s="466"/>
      <c r="N1825" s="466"/>
      <c r="O1825" s="466"/>
      <c r="P1825" s="466"/>
      <c r="Q1825" s="466"/>
      <c r="R1825" s="466"/>
      <c r="S1825" s="466"/>
      <c r="T1825" s="466"/>
      <c r="U1825" s="466"/>
      <c r="V1825" s="466"/>
      <c r="W1825" s="466"/>
      <c r="X1825" s="479"/>
      <c r="Y1825" s="479"/>
      <c r="Z1825" s="479"/>
      <c r="AA1825" s="479">
        <f>+AA1798</f>
        <v>38.309395838296489</v>
      </c>
      <c r="AB1825" s="466"/>
      <c r="AC1825" s="466"/>
      <c r="AD1825" s="466"/>
      <c r="AE1825" s="466"/>
    </row>
    <row r="1826" spans="1:46">
      <c r="D1826" s="479" t="str">
        <f>+D1806</f>
        <v>Other public sector debt</v>
      </c>
      <c r="E1826" s="466"/>
      <c r="F1826" s="466"/>
      <c r="G1826" s="466"/>
      <c r="H1826" s="466"/>
      <c r="I1826" s="466"/>
      <c r="J1826" s="466"/>
      <c r="K1826" s="466"/>
      <c r="L1826" s="466"/>
      <c r="M1826" s="466"/>
      <c r="N1826" s="466"/>
      <c r="O1826" s="466"/>
      <c r="P1826" s="466"/>
      <c r="Q1826" s="466"/>
      <c r="R1826" s="466"/>
      <c r="S1826" s="466"/>
      <c r="T1826" s="466"/>
      <c r="U1826" s="466"/>
      <c r="V1826" s="466"/>
      <c r="W1826" s="466"/>
      <c r="X1826" s="479"/>
      <c r="Y1826" s="479"/>
      <c r="Z1826" s="479"/>
      <c r="AA1826" s="479">
        <f>+AA1806</f>
        <v>0</v>
      </c>
      <c r="AB1826" s="466"/>
      <c r="AC1826" s="466"/>
      <c r="AD1826" s="466"/>
      <c r="AE1826" s="466"/>
    </row>
    <row r="1827" spans="1:46">
      <c r="D1827" s="479" t="str">
        <f>+D1804</f>
        <v xml:space="preserve">Govenment guaranteed domestic debt </v>
      </c>
      <c r="E1827" s="466"/>
      <c r="F1827" s="466"/>
      <c r="G1827" s="466"/>
      <c r="H1827" s="466"/>
      <c r="I1827" s="466"/>
      <c r="J1827" s="466"/>
      <c r="K1827" s="466"/>
      <c r="L1827" s="466"/>
      <c r="M1827" s="466"/>
      <c r="N1827" s="466"/>
      <c r="O1827" s="466"/>
      <c r="P1827" s="466"/>
      <c r="Q1827" s="466"/>
      <c r="R1827" s="466"/>
      <c r="S1827" s="466"/>
      <c r="T1827" s="466"/>
      <c r="U1827" s="466"/>
      <c r="V1827" s="466"/>
      <c r="W1827" s="466"/>
      <c r="X1827" s="479"/>
      <c r="Y1827" s="479"/>
      <c r="Z1827" s="479"/>
      <c r="AA1827" s="479">
        <f>+AA1804</f>
        <v>0</v>
      </c>
      <c r="AB1827" s="466"/>
      <c r="AC1827" s="466"/>
      <c r="AD1827" s="466"/>
      <c r="AE1827" s="466"/>
    </row>
    <row r="1828" spans="1:46">
      <c r="D1828" s="466"/>
      <c r="E1828" s="466"/>
      <c r="F1828" s="466"/>
      <c r="G1828" s="466"/>
      <c r="H1828" s="466"/>
      <c r="I1828" s="466"/>
      <c r="J1828" s="466"/>
      <c r="K1828" s="466"/>
      <c r="L1828" s="466"/>
      <c r="M1828" s="466"/>
      <c r="N1828" s="466"/>
      <c r="O1828" s="466"/>
      <c r="P1828" s="466"/>
      <c r="Q1828" s="466"/>
      <c r="R1828" s="466"/>
      <c r="S1828" s="466"/>
      <c r="T1828" s="466"/>
      <c r="U1828" s="466"/>
      <c r="V1828" s="466"/>
      <c r="W1828" s="466"/>
      <c r="X1828" s="466"/>
      <c r="Y1828" s="466"/>
      <c r="Z1828" s="466"/>
      <c r="AA1828" s="466">
        <f>+AA1822+AA1823+AA1824+AA1825+AA1826+AA1827</f>
        <v>545.97431826797629</v>
      </c>
      <c r="AB1828" s="466"/>
      <c r="AC1828" s="466"/>
      <c r="AD1828" s="466"/>
      <c r="AE1828" s="466"/>
    </row>
    <row r="1829" spans="1:46">
      <c r="D1829" s="74" t="s">
        <v>747</v>
      </c>
    </row>
    <row r="1830" spans="1:46" ht="15.9" thickBot="1">
      <c r="A1830" s="587"/>
      <c r="B1830" s="588"/>
      <c r="C1830" s="588"/>
      <c r="D1830" s="589"/>
      <c r="E1830" s="590"/>
      <c r="F1830" s="590"/>
      <c r="G1830" s="590"/>
      <c r="H1830" s="590"/>
      <c r="I1830" s="590"/>
      <c r="J1830" s="590"/>
      <c r="K1830" s="590"/>
      <c r="L1830" s="590"/>
      <c r="M1830" s="590"/>
      <c r="N1830" s="590"/>
      <c r="O1830" s="590"/>
      <c r="P1830" s="590"/>
      <c r="Q1830" s="590"/>
      <c r="R1830" s="590"/>
      <c r="S1830" s="590"/>
      <c r="T1830" s="590"/>
      <c r="U1830" s="589"/>
      <c r="V1830" s="590"/>
      <c r="W1830" s="589"/>
      <c r="X1830" s="590"/>
      <c r="Y1830" s="589"/>
      <c r="Z1830" s="590"/>
      <c r="AA1830" s="589"/>
      <c r="AB1830" s="589"/>
      <c r="AC1830" s="589"/>
      <c r="AD1830" s="589"/>
      <c r="AE1830" s="589"/>
    </row>
    <row r="1831" spans="1:46" ht="15.9" thickTop="1"/>
    <row r="1832" spans="1:46">
      <c r="D1832" s="575" t="s">
        <v>893</v>
      </c>
      <c r="Z1832" s="135"/>
      <c r="AA1832" s="135" t="s">
        <v>790</v>
      </c>
      <c r="AB1832" s="135"/>
      <c r="AD1832" s="135"/>
      <c r="AE1832" s="135"/>
    </row>
    <row r="1833" spans="1:46">
      <c r="D1833" s="576"/>
      <c r="E1833" s="577"/>
      <c r="F1833" s="577"/>
      <c r="G1833" s="577"/>
      <c r="H1833" s="577"/>
      <c r="I1833" s="577"/>
      <c r="J1833" s="577"/>
      <c r="K1833" s="577"/>
      <c r="L1833" s="577"/>
      <c r="M1833" s="577"/>
      <c r="N1833" s="577"/>
      <c r="O1833" s="577"/>
      <c r="P1833" s="577"/>
      <c r="Q1833" s="577"/>
      <c r="R1833" s="577"/>
      <c r="S1833" s="577"/>
      <c r="T1833" s="577"/>
      <c r="U1833" s="578"/>
      <c r="V1833" s="577"/>
      <c r="W1833" s="578"/>
      <c r="X1833" s="577"/>
      <c r="Y1833" s="579" t="s">
        <v>1069</v>
      </c>
      <c r="Z1833" s="577"/>
      <c r="AA1833" s="578"/>
      <c r="AB1833" s="578"/>
      <c r="AC1833" s="578"/>
      <c r="AD1833" s="578"/>
      <c r="AE1833" s="578"/>
      <c r="AF1833" s="578"/>
      <c r="AG1833" s="578"/>
      <c r="AH1833" s="578"/>
      <c r="AI1833" s="578"/>
    </row>
    <row r="1834" spans="1:46">
      <c r="D1834" s="576"/>
      <c r="E1834" s="577"/>
      <c r="F1834" s="577"/>
      <c r="G1834" s="577"/>
      <c r="H1834" s="577"/>
      <c r="I1834" s="577"/>
      <c r="J1834" s="577"/>
      <c r="K1834" s="577"/>
      <c r="L1834" s="577"/>
      <c r="M1834" s="577"/>
      <c r="N1834" s="577"/>
      <c r="O1834" s="577"/>
      <c r="P1834" s="577"/>
      <c r="Q1834" s="577"/>
      <c r="R1834" s="577"/>
      <c r="S1834" s="577"/>
      <c r="T1834" s="577"/>
      <c r="U1834" s="578"/>
      <c r="V1834" s="577"/>
      <c r="W1834" s="577"/>
      <c r="X1834" s="579"/>
      <c r="Y1834" s="580"/>
      <c r="Z1834" s="914" t="s">
        <v>787</v>
      </c>
      <c r="AA1834" s="626"/>
      <c r="AB1834" s="632" t="str">
        <f>+AD1834</f>
        <v>6th review</v>
      </c>
      <c r="AC1834" s="633"/>
      <c r="AD1834" s="632" t="s">
        <v>1068</v>
      </c>
      <c r="AE1834" s="633" t="s">
        <v>1103</v>
      </c>
      <c r="AF1834" s="632" t="s">
        <v>1068</v>
      </c>
      <c r="AG1834" s="633" t="str">
        <f>+AE1834</f>
        <v>7th review</v>
      </c>
      <c r="AH1834" s="632" t="s">
        <v>1068</v>
      </c>
      <c r="AI1834" s="632" t="str">
        <f>+AE1834</f>
        <v>7th review</v>
      </c>
    </row>
    <row r="1835" spans="1:46">
      <c r="D1835" s="581"/>
      <c r="E1835" s="581"/>
      <c r="F1835" s="581"/>
      <c r="G1835" s="581"/>
      <c r="H1835" s="581"/>
      <c r="I1835" s="581"/>
      <c r="J1835" s="581"/>
      <c r="K1835" s="581"/>
      <c r="L1835" s="581"/>
      <c r="M1835" s="581"/>
      <c r="N1835" s="581"/>
      <c r="O1835" s="581"/>
      <c r="P1835" s="581"/>
      <c r="Q1835" s="581"/>
      <c r="R1835" s="581"/>
      <c r="S1835" s="581"/>
      <c r="T1835" s="581"/>
      <c r="U1835" s="581"/>
      <c r="V1835" s="581"/>
      <c r="W1835" s="581"/>
      <c r="X1835" s="582" t="s">
        <v>748</v>
      </c>
      <c r="Y1835" s="582" t="s">
        <v>748</v>
      </c>
      <c r="Z1835" s="634" t="s">
        <v>749</v>
      </c>
      <c r="AA1835" s="582" t="s">
        <v>748</v>
      </c>
      <c r="AB1835" s="634" t="s">
        <v>749</v>
      </c>
      <c r="AC1835" s="635" t="s">
        <v>788</v>
      </c>
      <c r="AD1835" s="634" t="s">
        <v>749</v>
      </c>
      <c r="AE1835" s="635" t="s">
        <v>788</v>
      </c>
      <c r="AF1835" s="634" t="s">
        <v>749</v>
      </c>
      <c r="AG1835" s="635" t="s">
        <v>788</v>
      </c>
      <c r="AH1835" s="634" t="s">
        <v>749</v>
      </c>
      <c r="AI1835" s="634" t="s">
        <v>788</v>
      </c>
    </row>
    <row r="1836" spans="1:46">
      <c r="A1836" s="1"/>
      <c r="B1836" s="1"/>
      <c r="C1836" s="1"/>
      <c r="D1836" s="583" t="s">
        <v>894</v>
      </c>
      <c r="E1836" s="581"/>
      <c r="F1836" s="581"/>
      <c r="G1836" s="581"/>
      <c r="H1836" s="581"/>
      <c r="I1836" s="581"/>
      <c r="J1836" s="581"/>
      <c r="K1836" s="581"/>
      <c r="L1836" s="581"/>
      <c r="M1836" s="581"/>
      <c r="N1836" s="581"/>
      <c r="O1836" s="581"/>
      <c r="P1836" s="581"/>
      <c r="Q1836" s="581"/>
      <c r="R1836" s="581"/>
      <c r="S1836" s="581"/>
      <c r="T1836" s="581"/>
      <c r="U1836" s="581"/>
      <c r="V1836" s="581"/>
      <c r="W1836" s="581"/>
      <c r="X1836" s="584" t="str">
        <f>+Y1393</f>
        <v>2013/14</v>
      </c>
      <c r="Y1836" s="584" t="str">
        <f>+Z1393</f>
        <v>2014/15</v>
      </c>
      <c r="Z1836" s="915" t="str">
        <f>+AA1393</f>
        <v>2015/16</v>
      </c>
      <c r="AA1836" s="585" t="str">
        <f>+AA943</f>
        <v>2015/16</v>
      </c>
      <c r="AB1836" s="636" t="str">
        <f>+AB943</f>
        <v>2016/17</v>
      </c>
      <c r="AC1836" s="637" t="str">
        <f>+AB943</f>
        <v>2016/17</v>
      </c>
      <c r="AD1836" s="636" t="str">
        <f>+AC943</f>
        <v>2017/18</v>
      </c>
      <c r="AE1836" s="637" t="str">
        <f>+AC943</f>
        <v>2017/18</v>
      </c>
      <c r="AF1836" s="636" t="str">
        <f>+AG1836</f>
        <v>2018/19</v>
      </c>
      <c r="AG1836" s="637" t="str">
        <f>+AD943</f>
        <v>2018/19</v>
      </c>
      <c r="AH1836" s="636" t="str">
        <f>+AI1836</f>
        <v>2019/20</v>
      </c>
      <c r="AI1836" s="636" t="str">
        <f>+AE943</f>
        <v>2019/20</v>
      </c>
      <c r="AJ1836" s="636" t="str">
        <f>+AK1836</f>
        <v>2021/22</v>
      </c>
      <c r="AK1836" s="637" t="str">
        <f>+AG943</f>
        <v>2021/22</v>
      </c>
      <c r="AL1836" s="636" t="str">
        <f>+AM1836</f>
        <v>2023/24</v>
      </c>
      <c r="AM1836" s="637" t="str">
        <f>+AI943</f>
        <v>2023/24</v>
      </c>
      <c r="AN1836" s="637"/>
      <c r="AO1836" s="637"/>
      <c r="AP1836" s="637"/>
      <c r="AQ1836" s="637"/>
      <c r="AR1836" s="637"/>
      <c r="AS1836" s="637"/>
      <c r="AT1836" s="637"/>
    </row>
    <row r="1837" spans="1:46">
      <c r="A1837" s="1"/>
      <c r="B1837" s="1"/>
      <c r="C1837" s="1"/>
      <c r="D1837" s="928" t="str">
        <f>+D944</f>
        <v>Revenue and grants</v>
      </c>
      <c r="E1837" s="929"/>
      <c r="F1837" s="929"/>
      <c r="G1837" s="929"/>
      <c r="H1837" s="929"/>
      <c r="I1837" s="929"/>
      <c r="J1837" s="929"/>
      <c r="K1837" s="929"/>
      <c r="L1837" s="929"/>
      <c r="M1837" s="929"/>
      <c r="N1837" s="929"/>
      <c r="O1837" s="929"/>
      <c r="P1837" s="929"/>
      <c r="Q1837" s="929"/>
      <c r="R1837" s="929"/>
      <c r="S1837" s="929"/>
      <c r="T1837" s="929"/>
      <c r="U1837" s="929"/>
      <c r="V1837" s="929"/>
      <c r="W1837" s="929"/>
      <c r="X1837" s="926">
        <f t="shared" ref="X1837:Y1840" si="2133">+Y944</f>
        <v>1336.3605712034318</v>
      </c>
      <c r="Y1837" s="926">
        <f t="shared" si="2133"/>
        <v>1418.6704994724025</v>
      </c>
      <c r="Z1837" s="916">
        <f>+Z1838+Z1841</f>
        <v>1478.9</v>
      </c>
      <c r="AA1837" s="918">
        <f>+AA944</f>
        <v>1492.9051249731833</v>
      </c>
      <c r="AB1837" s="916">
        <f>+AB1838+AB1841</f>
        <v>1567.1</v>
      </c>
      <c r="AC1837" s="920">
        <f>+AB944</f>
        <v>1615.7619294919559</v>
      </c>
      <c r="AD1837" s="916">
        <f>+AD1838+AD1841</f>
        <v>1742</v>
      </c>
      <c r="AE1837" s="920">
        <f>+AC944</f>
        <v>1820.4124327910465</v>
      </c>
      <c r="AF1837" s="916">
        <f>+AF1838+AF1841</f>
        <v>1933.6999999999998</v>
      </c>
      <c r="AG1837" s="920">
        <f>+AD944</f>
        <v>2000.3545430907363</v>
      </c>
      <c r="AH1837" s="916"/>
      <c r="AI1837" s="916">
        <f>+AE944</f>
        <v>2082.0309719952802</v>
      </c>
    </row>
    <row r="1838" spans="1:46">
      <c r="A1838" s="1"/>
      <c r="B1838" s="1"/>
      <c r="C1838" s="1"/>
      <c r="D1838" s="929" t="str">
        <f>+D945</f>
        <v>Total revenue</v>
      </c>
      <c r="E1838" s="929"/>
      <c r="F1838" s="929"/>
      <c r="G1838" s="929"/>
      <c r="H1838" s="929"/>
      <c r="I1838" s="929"/>
      <c r="J1838" s="929"/>
      <c r="K1838" s="929"/>
      <c r="L1838" s="929"/>
      <c r="M1838" s="929"/>
      <c r="N1838" s="929"/>
      <c r="O1838" s="929"/>
      <c r="P1838" s="929"/>
      <c r="Q1838" s="929"/>
      <c r="R1838" s="929"/>
      <c r="S1838" s="929"/>
      <c r="T1838" s="929"/>
      <c r="U1838" s="929"/>
      <c r="V1838" s="929"/>
      <c r="W1838" s="929"/>
      <c r="X1838" s="927">
        <f t="shared" si="2133"/>
        <v>862.07143003969168</v>
      </c>
      <c r="Y1838" s="927">
        <f t="shared" si="2133"/>
        <v>1002.7568019579999</v>
      </c>
      <c r="Z1838" s="917">
        <f>+Z1839+Z1840</f>
        <v>1104.2</v>
      </c>
      <c r="AA1838" s="919">
        <f>+AA945</f>
        <v>1045.0337105420001</v>
      </c>
      <c r="AB1838" s="917">
        <f>+AB1839+AB1840</f>
        <v>1240.5</v>
      </c>
      <c r="AC1838" s="921">
        <f>+AB945</f>
        <v>1285.5798455454374</v>
      </c>
      <c r="AD1838" s="917">
        <f>+AD1839+AD1840</f>
        <v>1401.7</v>
      </c>
      <c r="AE1838" s="921">
        <f>+AC945</f>
        <v>1461.503755922336</v>
      </c>
      <c r="AF1838" s="917">
        <f>+AF1839+AF1840</f>
        <v>1559.6</v>
      </c>
      <c r="AG1838" s="921">
        <f>+AD945</f>
        <v>1519.1752360943751</v>
      </c>
      <c r="AH1838" s="917"/>
      <c r="AI1838" s="917">
        <f>+AE945</f>
        <v>1649.9486941171201</v>
      </c>
    </row>
    <row r="1839" spans="1:46">
      <c r="A1839" s="1"/>
      <c r="B1839" s="1"/>
      <c r="C1839" s="1"/>
      <c r="D1839" s="929" t="str">
        <f>+D946</f>
        <v>Tax revenue</v>
      </c>
      <c r="E1839" s="929"/>
      <c r="F1839" s="929"/>
      <c r="G1839" s="929"/>
      <c r="H1839" s="929"/>
      <c r="I1839" s="929"/>
      <c r="J1839" s="929"/>
      <c r="K1839" s="929"/>
      <c r="L1839" s="929"/>
      <c r="M1839" s="929"/>
      <c r="N1839" s="929"/>
      <c r="O1839" s="929"/>
      <c r="P1839" s="929"/>
      <c r="Q1839" s="929"/>
      <c r="R1839" s="929"/>
      <c r="S1839" s="929"/>
      <c r="T1839" s="929"/>
      <c r="U1839" s="929"/>
      <c r="V1839" s="929"/>
      <c r="W1839" s="929"/>
      <c r="X1839" s="927">
        <f t="shared" si="2133"/>
        <v>761.02287438134351</v>
      </c>
      <c r="Y1839" s="927">
        <f t="shared" si="2133"/>
        <v>871.55680195799994</v>
      </c>
      <c r="Z1839" s="917">
        <v>975.3</v>
      </c>
      <c r="AA1839" s="919">
        <f>+AA946</f>
        <v>1000.3139498321091</v>
      </c>
      <c r="AB1839" s="917">
        <v>1101.4000000000001</v>
      </c>
      <c r="AC1839" s="921">
        <f>+AB946</f>
        <v>1104.143145074856</v>
      </c>
      <c r="AD1839" s="917">
        <v>1227.8</v>
      </c>
      <c r="AE1839" s="921">
        <f>+AC946</f>
        <v>1252.8836310898428</v>
      </c>
      <c r="AF1839" s="917">
        <v>1385</v>
      </c>
      <c r="AG1839" s="921">
        <f>+AD946</f>
        <v>1418.7907824792755</v>
      </c>
      <c r="AH1839" s="917"/>
      <c r="AI1839" s="917">
        <f>+AE946</f>
        <v>1408.2817965614299</v>
      </c>
    </row>
    <row r="1840" spans="1:46">
      <c r="A1840" s="1"/>
      <c r="B1840" s="1"/>
      <c r="C1840" s="1"/>
      <c r="D1840" s="929" t="str">
        <f>+D947</f>
        <v>Non-tax revenue</v>
      </c>
      <c r="E1840" s="929"/>
      <c r="F1840" s="929"/>
      <c r="G1840" s="929"/>
      <c r="H1840" s="929"/>
      <c r="I1840" s="929"/>
      <c r="J1840" s="929"/>
      <c r="K1840" s="929"/>
      <c r="L1840" s="929"/>
      <c r="M1840" s="929"/>
      <c r="N1840" s="929"/>
      <c r="O1840" s="929"/>
      <c r="P1840" s="929"/>
      <c r="Q1840" s="929"/>
      <c r="R1840" s="929"/>
      <c r="S1840" s="929"/>
      <c r="T1840" s="929"/>
      <c r="U1840" s="929"/>
      <c r="V1840" s="929"/>
      <c r="W1840" s="929"/>
      <c r="X1840" s="927">
        <f t="shared" si="2133"/>
        <v>101.04855565834818</v>
      </c>
      <c r="Y1840" s="927">
        <f t="shared" si="2133"/>
        <v>131.19999999999999</v>
      </c>
      <c r="Z1840" s="917">
        <v>128.9</v>
      </c>
      <c r="AA1840" s="919">
        <f>+AA947</f>
        <v>44.719760709890934</v>
      </c>
      <c r="AB1840" s="917">
        <v>139.1</v>
      </c>
      <c r="AC1840" s="921">
        <f>+AB947</f>
        <v>181.4367004705814</v>
      </c>
      <c r="AD1840" s="917">
        <v>173.9</v>
      </c>
      <c r="AE1840" s="921">
        <f>+AC947</f>
        <v>208.62012483249333</v>
      </c>
      <c r="AF1840" s="917">
        <v>174.6</v>
      </c>
      <c r="AG1840" s="921">
        <f>+AD947</f>
        <v>100.3844536151</v>
      </c>
      <c r="AH1840" s="917"/>
      <c r="AI1840" s="917">
        <f>+AE947</f>
        <v>241.66689755569263</v>
      </c>
    </row>
    <row r="1841" spans="1:35">
      <c r="A1841" s="1"/>
      <c r="B1841" s="1"/>
      <c r="C1841" s="1"/>
      <c r="D1841" s="928" t="str">
        <f>+D949</f>
        <v>Total Grants</v>
      </c>
      <c r="E1841" s="929"/>
      <c r="F1841" s="929"/>
      <c r="G1841" s="929"/>
      <c r="H1841" s="929"/>
      <c r="I1841" s="929"/>
      <c r="J1841" s="929"/>
      <c r="K1841" s="929"/>
      <c r="L1841" s="929"/>
      <c r="M1841" s="929"/>
      <c r="N1841" s="929"/>
      <c r="O1841" s="929"/>
      <c r="P1841" s="929"/>
      <c r="Q1841" s="929"/>
      <c r="R1841" s="929"/>
      <c r="S1841" s="929"/>
      <c r="T1841" s="929"/>
      <c r="U1841" s="929"/>
      <c r="V1841" s="929"/>
      <c r="W1841" s="929"/>
      <c r="X1841" s="926">
        <f t="shared" ref="X1841:Y1843" si="2134">+Y949</f>
        <v>474.28914116374006</v>
      </c>
      <c r="Y1841" s="926">
        <f t="shared" si="2134"/>
        <v>415.91369751440271</v>
      </c>
      <c r="Z1841" s="916">
        <f>+Z1842+Z1843</f>
        <v>374.70000000000005</v>
      </c>
      <c r="AA1841" s="918">
        <f>+AA949</f>
        <v>447.87141443118315</v>
      </c>
      <c r="AB1841" s="916">
        <f>+AB1842+AB1843</f>
        <v>326.60000000000002</v>
      </c>
      <c r="AC1841" s="920">
        <f>+AB949</f>
        <v>330.18208394651856</v>
      </c>
      <c r="AD1841" s="916">
        <f>+AD1842+AD1843</f>
        <v>340.3</v>
      </c>
      <c r="AE1841" s="920">
        <f>+AC949</f>
        <v>358.90867686871047</v>
      </c>
      <c r="AF1841" s="916">
        <f>+AF1842+AF1843</f>
        <v>374.1</v>
      </c>
      <c r="AG1841" s="920">
        <f>+AD949</f>
        <v>481.17930699636122</v>
      </c>
      <c r="AH1841" s="916"/>
      <c r="AI1841" s="916">
        <f>+AE949</f>
        <v>432.08227787815542</v>
      </c>
    </row>
    <row r="1842" spans="1:35">
      <c r="A1842" s="1"/>
      <c r="B1842" s="1"/>
      <c r="C1842" s="1"/>
      <c r="D1842" s="929" t="str">
        <f>+D950</f>
        <v>Budgetary grants</v>
      </c>
      <c r="E1842" s="929"/>
      <c r="F1842" s="929"/>
      <c r="G1842" s="929"/>
      <c r="H1842" s="929"/>
      <c r="I1842" s="929"/>
      <c r="J1842" s="929"/>
      <c r="K1842" s="929"/>
      <c r="L1842" s="929"/>
      <c r="M1842" s="929"/>
      <c r="N1842" s="929"/>
      <c r="O1842" s="929"/>
      <c r="P1842" s="929"/>
      <c r="Q1842" s="929"/>
      <c r="R1842" s="929"/>
      <c r="S1842" s="929"/>
      <c r="T1842" s="929"/>
      <c r="U1842" s="929"/>
      <c r="V1842" s="929"/>
      <c r="W1842" s="929"/>
      <c r="X1842" s="927">
        <f t="shared" si="2134"/>
        <v>171.02736591717107</v>
      </c>
      <c r="Y1842" s="927">
        <f t="shared" si="2134"/>
        <v>174.88</v>
      </c>
      <c r="Z1842" s="917">
        <v>205.8</v>
      </c>
      <c r="AA1842" s="919">
        <f>+AA950</f>
        <v>278.93141443118316</v>
      </c>
      <c r="AB1842" s="917">
        <v>180.6</v>
      </c>
      <c r="AC1842" s="921">
        <f>+AB950</f>
        <v>184.18208394651853</v>
      </c>
      <c r="AD1842" s="917">
        <v>164.5</v>
      </c>
      <c r="AE1842" s="921">
        <f>+AC950</f>
        <v>190.19867686871044</v>
      </c>
      <c r="AF1842" s="917">
        <v>181.9</v>
      </c>
      <c r="AG1842" s="921">
        <f>+AD950</f>
        <v>248.10377500219158</v>
      </c>
      <c r="AH1842" s="917"/>
      <c r="AI1842" s="917">
        <f>+AE950</f>
        <v>172.38765230665402</v>
      </c>
    </row>
    <row r="1843" spans="1:35">
      <c r="A1843" s="1"/>
      <c r="B1843" s="1"/>
      <c r="C1843" s="1"/>
      <c r="D1843" s="929" t="str">
        <f>+D951</f>
        <v>Capital grants</v>
      </c>
      <c r="E1843" s="929"/>
      <c r="F1843" s="929"/>
      <c r="G1843" s="929"/>
      <c r="H1843" s="929"/>
      <c r="I1843" s="929"/>
      <c r="J1843" s="929"/>
      <c r="K1843" s="929"/>
      <c r="L1843" s="929"/>
      <c r="M1843" s="929"/>
      <c r="N1843" s="929"/>
      <c r="O1843" s="929"/>
      <c r="P1843" s="929"/>
      <c r="Q1843" s="929"/>
      <c r="R1843" s="929"/>
      <c r="S1843" s="929"/>
      <c r="T1843" s="929"/>
      <c r="U1843" s="929"/>
      <c r="V1843" s="929"/>
      <c r="W1843" s="929"/>
      <c r="X1843" s="927">
        <f t="shared" si="2134"/>
        <v>303.26177524656896</v>
      </c>
      <c r="Y1843" s="927">
        <f t="shared" si="2134"/>
        <v>241.03369751440272</v>
      </c>
      <c r="Z1843" s="917">
        <v>168.9</v>
      </c>
      <c r="AA1843" s="919">
        <f>+AA951</f>
        <v>168.94</v>
      </c>
      <c r="AB1843" s="917">
        <v>146</v>
      </c>
      <c r="AC1843" s="921">
        <f>+AB951</f>
        <v>146</v>
      </c>
      <c r="AD1843" s="917">
        <v>175.8</v>
      </c>
      <c r="AE1843" s="921">
        <f>+AC951</f>
        <v>168.71</v>
      </c>
      <c r="AF1843" s="917">
        <v>192.2</v>
      </c>
      <c r="AG1843" s="921">
        <f>+AD951</f>
        <v>233.07553199416967</v>
      </c>
      <c r="AH1843" s="917"/>
      <c r="AI1843" s="917">
        <f>+AE951</f>
        <v>259.69462557150138</v>
      </c>
    </row>
    <row r="1844" spans="1:35">
      <c r="A1844" s="1"/>
      <c r="B1844" s="1"/>
      <c r="C1844" s="1"/>
      <c r="D1844" s="928" t="str">
        <f>+D953</f>
        <v>Total expenditure and net lending</v>
      </c>
      <c r="E1844" s="929"/>
      <c r="F1844" s="929"/>
      <c r="G1844" s="929"/>
      <c r="H1844" s="929"/>
      <c r="I1844" s="929"/>
      <c r="J1844" s="929"/>
      <c r="K1844" s="929"/>
      <c r="L1844" s="929"/>
      <c r="M1844" s="929"/>
      <c r="N1844" s="929"/>
      <c r="O1844" s="929"/>
      <c r="P1844" s="929"/>
      <c r="Q1844" s="929"/>
      <c r="R1844" s="929"/>
      <c r="S1844" s="929"/>
      <c r="T1844" s="929"/>
      <c r="U1844" s="929"/>
      <c r="V1844" s="929"/>
      <c r="W1844" s="929"/>
      <c r="X1844" s="926">
        <f>+Y953</f>
        <v>1540.0094161169768</v>
      </c>
      <c r="Y1844" s="926">
        <f>+Z953</f>
        <v>1720.73</v>
      </c>
      <c r="Z1844" s="916">
        <f>+Z1845+Z1846+Z1847</f>
        <v>1784.8999999999999</v>
      </c>
      <c r="AA1844" s="918">
        <f>+AA953</f>
        <v>1744.0807153961293</v>
      </c>
      <c r="AB1844" s="916">
        <f>+AB1845+AB1846+AB1847</f>
        <v>1891.3</v>
      </c>
      <c r="AC1844" s="920">
        <f>+AB953</f>
        <v>1942.9</v>
      </c>
      <c r="AD1844" s="916">
        <f>+AD1845+AD1846+AD1847</f>
        <v>2026.8999999999999</v>
      </c>
      <c r="AE1844" s="920">
        <f>+AC953</f>
        <v>2187.5397808880507</v>
      </c>
      <c r="AF1844" s="916">
        <f>+AF1845+AF1846+AF1847</f>
        <v>2281</v>
      </c>
      <c r="AG1844" s="920">
        <f>+AD953</f>
        <v>2611.6378944459902</v>
      </c>
      <c r="AH1844" s="916"/>
      <c r="AI1844" s="916">
        <f>+AE953</f>
        <v>3253.1281054531019</v>
      </c>
    </row>
    <row r="1845" spans="1:35">
      <c r="A1845" s="1"/>
      <c r="B1845" s="1"/>
      <c r="C1845" s="1"/>
      <c r="D1845" s="929" t="str">
        <f>+D954</f>
        <v>Current expenditure</v>
      </c>
      <c r="E1845" s="929"/>
      <c r="F1845" s="929"/>
      <c r="G1845" s="929"/>
      <c r="H1845" s="929"/>
      <c r="I1845" s="929"/>
      <c r="J1845" s="929"/>
      <c r="K1845" s="929"/>
      <c r="L1845" s="929"/>
      <c r="M1845" s="929"/>
      <c r="N1845" s="929"/>
      <c r="O1845" s="929"/>
      <c r="P1845" s="929"/>
      <c r="Q1845" s="929"/>
      <c r="R1845" s="929"/>
      <c r="S1845" s="929"/>
      <c r="T1845" s="929"/>
      <c r="U1845" s="929"/>
      <c r="V1845" s="929"/>
      <c r="W1845" s="929"/>
      <c r="X1845" s="927">
        <f>+Y954</f>
        <v>777.76349406485224</v>
      </c>
      <c r="Y1845" s="927">
        <f>+Z954</f>
        <v>834.73</v>
      </c>
      <c r="Z1845" s="917">
        <v>899.9</v>
      </c>
      <c r="AA1845" s="919">
        <f>+AA954</f>
        <v>936.97330172549641</v>
      </c>
      <c r="AB1845" s="917">
        <v>1023.6</v>
      </c>
      <c r="AC1845" s="921">
        <f>+AB954</f>
        <v>1069.5999999999999</v>
      </c>
      <c r="AD1845" s="917">
        <v>1089.5999999999999</v>
      </c>
      <c r="AE1845" s="921">
        <f>+AC954</f>
        <v>1177.2772642778905</v>
      </c>
      <c r="AF1845" s="917">
        <v>1212.0999999999999</v>
      </c>
      <c r="AG1845" s="921">
        <f>+AD954</f>
        <v>1343.6050912542087</v>
      </c>
      <c r="AH1845" s="917"/>
      <c r="AI1845" s="917">
        <f>+AE954</f>
        <v>1558.3598845633098</v>
      </c>
    </row>
    <row r="1846" spans="1:35">
      <c r="A1846" s="1"/>
      <c r="B1846" s="1"/>
      <c r="C1846" s="1"/>
      <c r="D1846" s="929" t="str">
        <f>+D958</f>
        <v>Capital expenditure</v>
      </c>
      <c r="E1846" s="929"/>
      <c r="F1846" s="929"/>
      <c r="G1846" s="929"/>
      <c r="H1846" s="929"/>
      <c r="I1846" s="929"/>
      <c r="J1846" s="929"/>
      <c r="K1846" s="929"/>
      <c r="L1846" s="929"/>
      <c r="M1846" s="929"/>
      <c r="N1846" s="929"/>
      <c r="O1846" s="929"/>
      <c r="P1846" s="929"/>
      <c r="Q1846" s="929"/>
      <c r="R1846" s="929"/>
      <c r="S1846" s="929"/>
      <c r="T1846" s="929"/>
      <c r="U1846" s="929"/>
      <c r="V1846" s="929"/>
      <c r="W1846" s="929"/>
      <c r="X1846" s="927">
        <f>+Y958</f>
        <v>712.02636734912699</v>
      </c>
      <c r="Y1846" s="927">
        <f>+Z958</f>
        <v>769.8</v>
      </c>
      <c r="Z1846" s="917">
        <v>776.3</v>
      </c>
      <c r="AA1846" s="919">
        <f>+AA958</f>
        <v>718.68553264663296</v>
      </c>
      <c r="AB1846" s="917">
        <v>741.9</v>
      </c>
      <c r="AC1846" s="921">
        <f>+AB958</f>
        <v>759.45977511682895</v>
      </c>
      <c r="AD1846" s="917">
        <v>799.3</v>
      </c>
      <c r="AE1846" s="921">
        <f>+AC958</f>
        <v>850.21990038716001</v>
      </c>
      <c r="AF1846" s="917">
        <v>901.5</v>
      </c>
      <c r="AG1846" s="921">
        <f>+AD958</f>
        <v>1071.7092455117818</v>
      </c>
      <c r="AH1846" s="917"/>
      <c r="AI1846" s="917">
        <f>+AE958</f>
        <v>1294.7440302694517</v>
      </c>
    </row>
    <row r="1847" spans="1:35">
      <c r="A1847" s="1"/>
      <c r="B1847" s="1"/>
      <c r="C1847" s="1"/>
      <c r="D1847" s="929" t="str">
        <f>+D961</f>
        <v>Net lending</v>
      </c>
      <c r="E1847" s="929"/>
      <c r="F1847" s="929"/>
      <c r="G1847" s="929"/>
      <c r="H1847" s="929"/>
      <c r="I1847" s="929"/>
      <c r="J1847" s="929"/>
      <c r="K1847" s="929"/>
      <c r="L1847" s="929"/>
      <c r="M1847" s="929"/>
      <c r="N1847" s="929"/>
      <c r="O1847" s="929"/>
      <c r="P1847" s="929"/>
      <c r="Q1847" s="929"/>
      <c r="R1847" s="929"/>
      <c r="S1847" s="929"/>
      <c r="T1847" s="929"/>
      <c r="U1847" s="929"/>
      <c r="V1847" s="929"/>
      <c r="W1847" s="929"/>
      <c r="X1847" s="927">
        <f>+Y961</f>
        <v>50.219554702997584</v>
      </c>
      <c r="Y1847" s="927">
        <f>+Z961</f>
        <v>116.19999999999999</v>
      </c>
      <c r="Z1847" s="917">
        <v>108.7</v>
      </c>
      <c r="AA1847" s="919">
        <f>+AA961</f>
        <v>88.421881023999987</v>
      </c>
      <c r="AB1847" s="917">
        <v>125.8</v>
      </c>
      <c r="AC1847" s="921">
        <f>+AB961</f>
        <v>113.83692121199999</v>
      </c>
      <c r="AD1847" s="917">
        <v>138</v>
      </c>
      <c r="AE1847" s="921">
        <f>+AC961</f>
        <v>160.04261622299998</v>
      </c>
      <c r="AF1847" s="917">
        <v>167.4</v>
      </c>
      <c r="AG1847" s="921">
        <f>+AD961</f>
        <v>195.14388571000001</v>
      </c>
      <c r="AH1847" s="917"/>
      <c r="AI1847" s="917">
        <f>+AE961</f>
        <v>400.02419062033982</v>
      </c>
    </row>
    <row r="1848" spans="1:35">
      <c r="A1848" s="1"/>
      <c r="B1848" s="1"/>
      <c r="C1848" s="1"/>
      <c r="D1848" s="928" t="str">
        <f>+D962</f>
        <v>Overall deficit (payment order)</v>
      </c>
      <c r="E1848" s="929"/>
      <c r="F1848" s="929"/>
      <c r="G1848" s="929"/>
      <c r="H1848" s="929"/>
      <c r="I1848" s="929"/>
      <c r="J1848" s="929"/>
      <c r="K1848" s="929"/>
      <c r="L1848" s="929"/>
      <c r="M1848" s="929"/>
      <c r="N1848" s="929"/>
      <c r="O1848" s="929"/>
      <c r="P1848" s="929"/>
      <c r="Q1848" s="929"/>
      <c r="R1848" s="929"/>
      <c r="S1848" s="929"/>
      <c r="T1848" s="929"/>
      <c r="U1848" s="929"/>
      <c r="V1848" s="929"/>
      <c r="W1848" s="929"/>
      <c r="X1848" s="926"/>
      <c r="Y1848" s="926"/>
      <c r="Z1848" s="916"/>
      <c r="AA1848" s="918"/>
      <c r="AB1848" s="916"/>
      <c r="AC1848" s="920"/>
      <c r="AD1848" s="916"/>
      <c r="AE1848" s="920"/>
      <c r="AF1848" s="916"/>
      <c r="AG1848" s="920"/>
      <c r="AH1848" s="916"/>
      <c r="AI1848" s="916"/>
    </row>
    <row r="1849" spans="1:35">
      <c r="A1849" s="1"/>
      <c r="B1849" s="1"/>
      <c r="C1849" s="1"/>
      <c r="D1849" s="929" t="str">
        <f>+D963</f>
        <v>Including grants</v>
      </c>
      <c r="E1849" s="929"/>
      <c r="F1849" s="929"/>
      <c r="G1849" s="929"/>
      <c r="H1849" s="929"/>
      <c r="I1849" s="929"/>
      <c r="J1849" s="929"/>
      <c r="K1849" s="929"/>
      <c r="L1849" s="929"/>
      <c r="M1849" s="929"/>
      <c r="N1849" s="929"/>
      <c r="O1849" s="929"/>
      <c r="P1849" s="929"/>
      <c r="Q1849" s="929"/>
      <c r="R1849" s="929"/>
      <c r="S1849" s="929"/>
      <c r="T1849" s="929"/>
      <c r="U1849" s="929"/>
      <c r="V1849" s="929"/>
      <c r="W1849" s="929"/>
      <c r="X1849" s="927">
        <f>+Y963</f>
        <v>-203.64884491354496</v>
      </c>
      <c r="Y1849" s="927">
        <f>+Z963</f>
        <v>-302.05950052759749</v>
      </c>
      <c r="Z1849" s="917">
        <f>+Z1837-Z1844</f>
        <v>-305.99999999999977</v>
      </c>
      <c r="AA1849" s="919">
        <f>+AA963</f>
        <v>-251.17559042294602</v>
      </c>
      <c r="AB1849" s="917">
        <f>+AB1837-AB1844</f>
        <v>-324.20000000000005</v>
      </c>
      <c r="AC1849" s="921">
        <f>+AB963</f>
        <v>-327.13213778888797</v>
      </c>
      <c r="AD1849" s="917">
        <f>+AD1837-AD1844</f>
        <v>-284.89999999999986</v>
      </c>
      <c r="AE1849" s="921">
        <f>+AC963</f>
        <v>-367.12734809700419</v>
      </c>
      <c r="AF1849" s="917">
        <f>+AF1837-AF1844</f>
        <v>-347.30000000000018</v>
      </c>
      <c r="AG1849" s="921">
        <f>+AD963</f>
        <v>-611.2833513552539</v>
      </c>
      <c r="AH1849" s="917"/>
      <c r="AI1849" s="917">
        <f>+AE963</f>
        <v>-1171.0971334578217</v>
      </c>
    </row>
    <row r="1850" spans="1:35">
      <c r="A1850" s="1"/>
      <c r="B1850" s="1"/>
      <c r="C1850" s="1"/>
      <c r="D1850" s="929" t="str">
        <f>+D964</f>
        <v>Excluding grants</v>
      </c>
      <c r="E1850" s="929"/>
      <c r="F1850" s="929"/>
      <c r="G1850" s="929"/>
      <c r="H1850" s="929"/>
      <c r="I1850" s="929"/>
      <c r="J1850" s="929"/>
      <c r="K1850" s="929"/>
      <c r="L1850" s="929"/>
      <c r="M1850" s="929"/>
      <c r="N1850" s="929"/>
      <c r="O1850" s="929"/>
      <c r="P1850" s="929"/>
      <c r="Q1850" s="929"/>
      <c r="R1850" s="929"/>
      <c r="S1850" s="929"/>
      <c r="T1850" s="929"/>
      <c r="U1850" s="929"/>
      <c r="V1850" s="929"/>
      <c r="W1850" s="929"/>
      <c r="X1850" s="927">
        <f>+Y964</f>
        <v>-677.93798607728513</v>
      </c>
      <c r="Y1850" s="927">
        <f>+Z964</f>
        <v>-717.97319804200015</v>
      </c>
      <c r="Z1850" s="917">
        <f>+Z1849-Z1841</f>
        <v>-680.69999999999982</v>
      </c>
      <c r="AA1850" s="919">
        <f>+AA964</f>
        <v>-699.04700485412923</v>
      </c>
      <c r="AB1850" s="917">
        <f>+AB1849-AB1841</f>
        <v>-650.80000000000007</v>
      </c>
      <c r="AC1850" s="921">
        <f>+AB964</f>
        <v>-657.31422173540705</v>
      </c>
      <c r="AD1850" s="917">
        <f>+AD1849-AD1841</f>
        <v>-625.19999999999982</v>
      </c>
      <c r="AE1850" s="921">
        <f>+AC964</f>
        <v>-726.03602496571466</v>
      </c>
      <c r="AF1850" s="917">
        <f>+AF1849-AF1841</f>
        <v>-721.4000000000002</v>
      </c>
      <c r="AG1850" s="921">
        <f>+AD964</f>
        <v>-1092.4626583516151</v>
      </c>
      <c r="AH1850" s="917"/>
      <c r="AI1850" s="917">
        <f>+AE964</f>
        <v>-1603.1794113359817</v>
      </c>
    </row>
    <row r="1851" spans="1:35">
      <c r="A1851" s="1"/>
      <c r="B1851" s="1"/>
      <c r="C1851" s="1"/>
      <c r="D1851" s="929" t="str">
        <f>+D969</f>
        <v>Change in arrears (net reduction-)</v>
      </c>
      <c r="E1851" s="929"/>
      <c r="F1851" s="929"/>
      <c r="G1851" s="929"/>
      <c r="H1851" s="929"/>
      <c r="I1851" s="929"/>
      <c r="J1851" s="929"/>
      <c r="K1851" s="929"/>
      <c r="L1851" s="929"/>
      <c r="M1851" s="929"/>
      <c r="N1851" s="929"/>
      <c r="O1851" s="929"/>
      <c r="P1851" s="929"/>
      <c r="Q1851" s="929"/>
      <c r="R1851" s="929"/>
      <c r="S1851" s="929"/>
      <c r="T1851" s="929"/>
      <c r="U1851" s="929"/>
      <c r="V1851" s="929"/>
      <c r="W1851" s="929"/>
      <c r="X1851" s="927">
        <f>+Y969</f>
        <v>-16.126089724000028</v>
      </c>
      <c r="Y1851" s="927">
        <f>+Z969</f>
        <v>5</v>
      </c>
      <c r="Z1851" s="917">
        <f>+Z1852</f>
        <v>-26.4</v>
      </c>
      <c r="AA1851" s="919">
        <f>+AA969</f>
        <v>-27.618025554000013</v>
      </c>
      <c r="AB1851" s="917">
        <f>+AB1852</f>
        <v>-20</v>
      </c>
      <c r="AC1851" s="921">
        <f>+AB969</f>
        <v>39.965229826000012</v>
      </c>
      <c r="AD1851" s="917">
        <f>+AD1852</f>
        <v>-24.2</v>
      </c>
      <c r="AE1851" s="921">
        <f>+AC969</f>
        <v>-25.061232288000014</v>
      </c>
      <c r="AF1851" s="917">
        <f>+AF1852</f>
        <v>-37.5</v>
      </c>
      <c r="AG1851" s="921">
        <f>+AD969</f>
        <v>55.122620192000042</v>
      </c>
      <c r="AH1851" s="917"/>
      <c r="AI1851" s="917">
        <f>+AE969</f>
        <v>-55.1</v>
      </c>
    </row>
    <row r="1852" spans="1:35">
      <c r="A1852" s="1"/>
      <c r="B1852" s="1"/>
      <c r="C1852" s="1"/>
      <c r="D1852" s="929"/>
      <c r="E1852" s="929"/>
      <c r="F1852" s="929"/>
      <c r="G1852" s="929"/>
      <c r="H1852" s="929"/>
      <c r="I1852" s="929"/>
      <c r="J1852" s="929"/>
      <c r="K1852" s="929"/>
      <c r="L1852" s="929"/>
      <c r="M1852" s="929"/>
      <c r="N1852" s="929"/>
      <c r="O1852" s="929"/>
      <c r="P1852" s="929"/>
      <c r="Q1852" s="929"/>
      <c r="R1852" s="929"/>
      <c r="S1852" s="929"/>
      <c r="T1852" s="929"/>
      <c r="U1852" s="929"/>
      <c r="V1852" s="929"/>
      <c r="W1852" s="929"/>
      <c r="X1852" s="927">
        <f>+Y970</f>
        <v>-16.126089724000028</v>
      </c>
      <c r="Y1852" s="927">
        <f>+Z970</f>
        <v>5</v>
      </c>
      <c r="Z1852" s="917">
        <v>-26.4</v>
      </c>
      <c r="AA1852" s="919">
        <f>+AA970</f>
        <v>-27.618025554000013</v>
      </c>
      <c r="AB1852" s="917">
        <v>-20</v>
      </c>
      <c r="AC1852" s="921">
        <f>+AB970</f>
        <v>39.965229826000012</v>
      </c>
      <c r="AD1852" s="917">
        <v>-24.2</v>
      </c>
      <c r="AE1852" s="921">
        <f>+AC970</f>
        <v>-25.061232288000014</v>
      </c>
      <c r="AF1852" s="917">
        <v>-37.5</v>
      </c>
      <c r="AG1852" s="921">
        <f>+AD970</f>
        <v>55.122620192000042</v>
      </c>
      <c r="AH1852" s="917"/>
      <c r="AI1852" s="917">
        <f>+AE970</f>
        <v>-55.1</v>
      </c>
    </row>
    <row r="1853" spans="1:35">
      <c r="A1853" s="1"/>
      <c r="B1853" s="1"/>
      <c r="C1853" s="1"/>
      <c r="D1853" s="928" t="str">
        <f>+D972</f>
        <v>Overall Deficit (cash basis)</v>
      </c>
      <c r="E1853" s="929"/>
      <c r="F1853" s="929"/>
      <c r="G1853" s="929"/>
      <c r="H1853" s="929"/>
      <c r="I1853" s="929"/>
      <c r="J1853" s="929"/>
      <c r="K1853" s="929"/>
      <c r="L1853" s="929"/>
      <c r="M1853" s="929"/>
      <c r="N1853" s="929"/>
      <c r="O1853" s="929"/>
      <c r="P1853" s="929"/>
      <c r="Q1853" s="929"/>
      <c r="R1853" s="929"/>
      <c r="S1853" s="929"/>
      <c r="T1853" s="929"/>
      <c r="U1853" s="929"/>
      <c r="V1853" s="929"/>
      <c r="W1853" s="929"/>
      <c r="X1853" s="926"/>
      <c r="Y1853" s="926"/>
      <c r="Z1853" s="916"/>
      <c r="AA1853" s="918"/>
      <c r="AB1853" s="916"/>
      <c r="AC1853" s="920"/>
      <c r="AD1853" s="916"/>
      <c r="AE1853" s="920"/>
      <c r="AF1853" s="916"/>
      <c r="AG1853" s="920"/>
      <c r="AH1853" s="916"/>
      <c r="AI1853" s="916"/>
    </row>
    <row r="1854" spans="1:35">
      <c r="A1854" s="1"/>
      <c r="B1854" s="1"/>
      <c r="C1854" s="1"/>
      <c r="D1854" s="929" t="str">
        <f>+D973</f>
        <v>Including grants</v>
      </c>
      <c r="E1854" s="929"/>
      <c r="F1854" s="929"/>
      <c r="G1854" s="929"/>
      <c r="H1854" s="929"/>
      <c r="I1854" s="929"/>
      <c r="J1854" s="929"/>
      <c r="K1854" s="929"/>
      <c r="L1854" s="929"/>
      <c r="M1854" s="929"/>
      <c r="N1854" s="929"/>
      <c r="O1854" s="929"/>
      <c r="P1854" s="929"/>
      <c r="Q1854" s="929"/>
      <c r="R1854" s="929"/>
      <c r="S1854" s="929"/>
      <c r="T1854" s="929"/>
      <c r="U1854" s="929"/>
      <c r="V1854" s="929"/>
      <c r="W1854" s="929"/>
      <c r="X1854" s="927">
        <f t="shared" ref="X1854:Y1857" si="2135">+Y973</f>
        <v>-219.77493463754499</v>
      </c>
      <c r="Y1854" s="927">
        <f t="shared" si="2135"/>
        <v>-297.05950052759749</v>
      </c>
      <c r="Z1854" s="917">
        <f>+Z1849+Z1851</f>
        <v>-332.39999999999975</v>
      </c>
      <c r="AA1854" s="919">
        <f>+AA973</f>
        <v>-278.79361597694606</v>
      </c>
      <c r="AB1854" s="917">
        <f>+AB1849+AB1851</f>
        <v>-344.20000000000005</v>
      </c>
      <c r="AC1854" s="921">
        <f>+AB973</f>
        <v>-347.24742086788802</v>
      </c>
      <c r="AD1854" s="917">
        <f>+AD1849+AD1851</f>
        <v>-309.09999999999985</v>
      </c>
      <c r="AE1854" s="921">
        <f>+AC973</f>
        <v>-392.18858038500423</v>
      </c>
      <c r="AF1854" s="917">
        <f>+AF1849+AF1851</f>
        <v>-384.80000000000018</v>
      </c>
      <c r="AG1854" s="921">
        <f>+AD973</f>
        <v>-556.1607311632539</v>
      </c>
      <c r="AH1854" s="917"/>
      <c r="AI1854" s="917">
        <f>+AE973</f>
        <v>-1226.1971334578216</v>
      </c>
    </row>
    <row r="1855" spans="1:35">
      <c r="A1855" s="1"/>
      <c r="B1855" s="1"/>
      <c r="C1855" s="1"/>
      <c r="D1855" s="929" t="str">
        <f>+D974</f>
        <v>Excluding grants</v>
      </c>
      <c r="E1855" s="929"/>
      <c r="F1855" s="929"/>
      <c r="G1855" s="929"/>
      <c r="H1855" s="929"/>
      <c r="I1855" s="929"/>
      <c r="J1855" s="929"/>
      <c r="K1855" s="929"/>
      <c r="L1855" s="929"/>
      <c r="M1855" s="929"/>
      <c r="N1855" s="929"/>
      <c r="O1855" s="929"/>
      <c r="P1855" s="929"/>
      <c r="Q1855" s="929"/>
      <c r="R1855" s="929"/>
      <c r="S1855" s="929"/>
      <c r="T1855" s="929"/>
      <c r="U1855" s="929"/>
      <c r="V1855" s="929"/>
      <c r="W1855" s="929"/>
      <c r="X1855" s="927">
        <f t="shared" si="2135"/>
        <v>-694.06407580128518</v>
      </c>
      <c r="Y1855" s="927">
        <f t="shared" si="2135"/>
        <v>-712.97319804200015</v>
      </c>
      <c r="Z1855" s="917">
        <f>+Z1850+Z1851</f>
        <v>-707.0999999999998</v>
      </c>
      <c r="AA1855" s="919">
        <f>+AA974</f>
        <v>-597.22220111559091</v>
      </c>
      <c r="AB1855" s="917">
        <f>+AB1850+AB1851</f>
        <v>-670.80000000000007</v>
      </c>
      <c r="AC1855" s="921">
        <f>+AB974</f>
        <v>-677.42950481440698</v>
      </c>
      <c r="AD1855" s="917">
        <f>+AD1850+AD1851</f>
        <v>-649.39999999999986</v>
      </c>
      <c r="AE1855" s="921">
        <f>+AC974</f>
        <v>-751.0972572537147</v>
      </c>
      <c r="AF1855" s="917">
        <f>+AF1850+AF1851</f>
        <v>-758.9000000000002</v>
      </c>
      <c r="AG1855" s="921">
        <f>+AD974</f>
        <v>-1037.340038159615</v>
      </c>
      <c r="AH1855" s="917"/>
      <c r="AI1855" s="917">
        <f>+AE974</f>
        <v>-1658.2794113359816</v>
      </c>
    </row>
    <row r="1856" spans="1:35">
      <c r="A1856" s="1"/>
      <c r="B1856" s="1"/>
      <c r="C1856" s="1"/>
      <c r="D1856" s="928" t="str">
        <f>+D975</f>
        <v>Financing</v>
      </c>
      <c r="E1856" s="929"/>
      <c r="F1856" s="929"/>
      <c r="G1856" s="929"/>
      <c r="H1856" s="929"/>
      <c r="I1856" s="929"/>
      <c r="J1856" s="929"/>
      <c r="K1856" s="929"/>
      <c r="L1856" s="929"/>
      <c r="M1856" s="929"/>
      <c r="N1856" s="929"/>
      <c r="O1856" s="929"/>
      <c r="P1856" s="929"/>
      <c r="Q1856" s="929"/>
      <c r="R1856" s="929"/>
      <c r="S1856" s="929"/>
      <c r="T1856" s="929"/>
      <c r="U1856" s="929"/>
      <c r="V1856" s="929"/>
      <c r="W1856" s="929"/>
      <c r="X1856" s="926">
        <f t="shared" si="2135"/>
        <v>224.60345991403199</v>
      </c>
      <c r="Y1856" s="926">
        <f t="shared" si="2135"/>
        <v>197.61254199818421</v>
      </c>
      <c r="Z1856" s="916">
        <f>+Z1857+Z1858</f>
        <v>332.5</v>
      </c>
      <c r="AA1856" s="918">
        <f>+AA975</f>
        <v>274.21022987848482</v>
      </c>
      <c r="AB1856" s="916">
        <f>+AB1857+AB1858</f>
        <v>344</v>
      </c>
      <c r="AC1856" s="920">
        <f>+AB975</f>
        <v>347.24742086788802</v>
      </c>
      <c r="AD1856" s="916">
        <f>+AD1857+AD1858</f>
        <v>308.90000000000003</v>
      </c>
      <c r="AE1856" s="920">
        <f>+AC975</f>
        <v>398.9867656101726</v>
      </c>
      <c r="AF1856" s="916">
        <f>+AF1857+AF1858</f>
        <v>384.8</v>
      </c>
      <c r="AG1856" s="920">
        <f>+AD975</f>
        <v>522.45525002266504</v>
      </c>
      <c r="AH1856" s="916"/>
      <c r="AI1856" s="916">
        <f>+AE975</f>
        <v>1226.1509467500846</v>
      </c>
    </row>
    <row r="1857" spans="1:35">
      <c r="A1857" s="1"/>
      <c r="B1857" s="1"/>
      <c r="C1857" s="1"/>
      <c r="D1857" s="929" t="str">
        <f>+D976</f>
        <v>Foreign financing (net)</v>
      </c>
      <c r="E1857" s="929"/>
      <c r="F1857" s="929"/>
      <c r="G1857" s="929"/>
      <c r="H1857" s="929"/>
      <c r="I1857" s="929"/>
      <c r="J1857" s="929"/>
      <c r="K1857" s="929"/>
      <c r="L1857" s="929"/>
      <c r="M1857" s="929"/>
      <c r="N1857" s="929"/>
      <c r="O1857" s="929"/>
      <c r="P1857" s="929"/>
      <c r="Q1857" s="929"/>
      <c r="R1857" s="929"/>
      <c r="S1857" s="929"/>
      <c r="T1857" s="929"/>
      <c r="U1857" s="929"/>
      <c r="V1857" s="929"/>
      <c r="W1857" s="929"/>
      <c r="X1857" s="927">
        <f t="shared" si="2135"/>
        <v>104.73128333288437</v>
      </c>
      <c r="Y1857" s="927">
        <f t="shared" si="2135"/>
        <v>188.3125419981842</v>
      </c>
      <c r="Z1857" s="917">
        <v>239.7</v>
      </c>
      <c r="AA1857" s="919">
        <f>+AA976</f>
        <v>224.4081276596894</v>
      </c>
      <c r="AB1857" s="917">
        <v>350.1</v>
      </c>
      <c r="AC1857" s="921">
        <f>+AB976</f>
        <v>161.93697496867668</v>
      </c>
      <c r="AD1857" s="917">
        <v>333.3</v>
      </c>
      <c r="AE1857" s="921">
        <f>+AC976</f>
        <v>356.02913087722652</v>
      </c>
      <c r="AF1857" s="917">
        <v>408.6</v>
      </c>
      <c r="AG1857" s="921">
        <f>+AD976</f>
        <v>448.31196664374346</v>
      </c>
      <c r="AH1857" s="917"/>
      <c r="AI1857" s="917">
        <f>+AE976</f>
        <v>1137.4986216870611</v>
      </c>
    </row>
    <row r="1858" spans="1:35">
      <c r="A1858" s="1"/>
      <c r="B1858" s="1"/>
      <c r="C1858" s="1"/>
      <c r="D1858" s="929" t="str">
        <f>+D980</f>
        <v>Domestic financing (net)</v>
      </c>
      <c r="E1858" s="929"/>
      <c r="F1858" s="929"/>
      <c r="G1858" s="929"/>
      <c r="H1858" s="929"/>
      <c r="I1858" s="929"/>
      <c r="J1858" s="929"/>
      <c r="K1858" s="929"/>
      <c r="L1858" s="929"/>
      <c r="M1858" s="929"/>
      <c r="N1858" s="929"/>
      <c r="O1858" s="929"/>
      <c r="P1858" s="929"/>
      <c r="Q1858" s="929"/>
      <c r="R1858" s="929"/>
      <c r="S1858" s="929"/>
      <c r="T1858" s="929"/>
      <c r="U1858" s="929"/>
      <c r="V1858" s="929"/>
      <c r="W1858" s="929"/>
      <c r="X1858" s="927">
        <f>+Y980</f>
        <v>119.8721765811476</v>
      </c>
      <c r="Y1858" s="927">
        <f>+Z980</f>
        <v>9.2999999999999972</v>
      </c>
      <c r="Z1858" s="917">
        <v>92.8</v>
      </c>
      <c r="AA1858" s="919">
        <f>+AA980</f>
        <v>49.802102218795412</v>
      </c>
      <c r="AB1858" s="917">
        <v>-6.1</v>
      </c>
      <c r="AC1858" s="921">
        <f>+AB980</f>
        <v>24.5612687293828</v>
      </c>
      <c r="AD1858" s="917">
        <v>-24.4</v>
      </c>
      <c r="AE1858" s="921">
        <f>+AC980</f>
        <v>42.957634732946076</v>
      </c>
      <c r="AF1858" s="917">
        <v>-23.8</v>
      </c>
      <c r="AG1858" s="921">
        <f>+AD980</f>
        <v>74.143283378921595</v>
      </c>
      <c r="AH1858" s="917"/>
      <c r="AI1858" s="917">
        <f>+AE980</f>
        <v>88.652325063023426</v>
      </c>
    </row>
    <row r="1859" spans="1:35">
      <c r="A1859" s="1"/>
      <c r="B1859" s="1"/>
      <c r="C1859" s="1"/>
      <c r="D1859" s="929"/>
      <c r="E1859" s="929"/>
      <c r="F1859" s="929"/>
      <c r="G1859" s="929"/>
      <c r="H1859" s="929"/>
      <c r="I1859" s="929"/>
      <c r="J1859" s="929"/>
      <c r="K1859" s="929"/>
      <c r="L1859" s="929"/>
      <c r="M1859" s="929"/>
      <c r="N1859" s="929"/>
      <c r="O1859" s="929"/>
      <c r="P1859" s="929"/>
      <c r="Q1859" s="929"/>
      <c r="R1859" s="929"/>
      <c r="S1859" s="929"/>
      <c r="T1859" s="929"/>
      <c r="U1859" s="929"/>
      <c r="V1859" s="929"/>
      <c r="W1859" s="929"/>
      <c r="X1859" s="145">
        <f>+Y991</f>
        <v>4.8285252764869995</v>
      </c>
      <c r="Y1859" s="145">
        <f>+Z991</f>
        <v>-99.44695852941328</v>
      </c>
      <c r="Z1859" s="638">
        <f>+Z1854+Z1856</f>
        <v>0.10000000000025011</v>
      </c>
      <c r="AA1859" s="145">
        <f>+AA991</f>
        <v>-4.5833860984612329</v>
      </c>
      <c r="AB1859" s="638">
        <f t="shared" ref="AB1859:AG1859" si="2136">+AB1854+AB1856</f>
        <v>-0.20000000000004547</v>
      </c>
      <c r="AC1859" s="638">
        <f>+AC1854+AC1856</f>
        <v>0</v>
      </c>
      <c r="AD1859" s="638">
        <f t="shared" si="2136"/>
        <v>-0.1999999999998181</v>
      </c>
      <c r="AE1859" s="922">
        <f t="shared" si="2136"/>
        <v>6.7981852251683677</v>
      </c>
      <c r="AF1859" s="638">
        <f t="shared" si="2136"/>
        <v>0</v>
      </c>
      <c r="AG1859" s="922">
        <f t="shared" si="2136"/>
        <v>-33.705481140588859</v>
      </c>
      <c r="AH1859" s="638"/>
      <c r="AI1859" s="638">
        <f>+AI1854+AI1856</f>
        <v>-4.618670773697886E-2</v>
      </c>
    </row>
    <row r="1860" spans="1:35">
      <c r="A1860" s="1"/>
      <c r="B1860" s="1"/>
      <c r="C1860" s="1"/>
      <c r="D1860" s="929"/>
      <c r="E1860" s="929"/>
      <c r="F1860" s="929"/>
      <c r="G1860" s="929"/>
      <c r="H1860" s="929"/>
      <c r="I1860" s="929"/>
      <c r="J1860" s="929"/>
      <c r="K1860" s="929"/>
      <c r="L1860" s="929"/>
      <c r="M1860" s="929"/>
      <c r="N1860" s="929"/>
      <c r="O1860" s="929"/>
      <c r="P1860" s="929"/>
      <c r="Q1860" s="929"/>
      <c r="R1860" s="929"/>
      <c r="S1860" s="929"/>
      <c r="T1860" s="929"/>
      <c r="U1860" s="929"/>
      <c r="V1860" s="929"/>
      <c r="W1860" s="929"/>
      <c r="X1860" s="705"/>
      <c r="Y1860" s="705"/>
      <c r="Z1860" s="916" t="s">
        <v>1070</v>
      </c>
      <c r="AA1860" s="919"/>
      <c r="AB1860" s="917"/>
      <c r="AC1860" s="919"/>
      <c r="AD1860" s="917"/>
      <c r="AE1860" s="921"/>
      <c r="AF1860" s="917"/>
      <c r="AG1860" s="921"/>
      <c r="AH1860" s="917"/>
      <c r="AI1860" s="917"/>
    </row>
    <row r="1861" spans="1:35">
      <c r="A1861" s="1"/>
      <c r="B1861" s="1"/>
      <c r="C1861" s="1"/>
      <c r="D1861" s="929" t="s">
        <v>117</v>
      </c>
      <c r="E1861" s="929"/>
      <c r="F1861" s="929"/>
      <c r="G1861" s="929"/>
      <c r="H1861" s="929"/>
      <c r="I1861" s="929"/>
      <c r="J1861" s="929"/>
      <c r="K1861" s="929"/>
      <c r="L1861" s="929"/>
      <c r="M1861" s="929"/>
      <c r="N1861" s="929"/>
      <c r="O1861" s="929"/>
      <c r="P1861" s="929"/>
      <c r="Q1861" s="929"/>
      <c r="R1861" s="929"/>
      <c r="S1861" s="929"/>
      <c r="T1861" s="929"/>
      <c r="U1861" s="929"/>
      <c r="V1861" s="929"/>
      <c r="W1861" s="929"/>
      <c r="X1861" s="705"/>
      <c r="Y1861" s="705"/>
      <c r="Z1861" s="917"/>
      <c r="AA1861" s="923">
        <f t="shared" ref="AA1861:AG1861" si="2137">+AA1839/AA$1868</f>
        <v>0.15525592888904377</v>
      </c>
      <c r="AB1861" s="924">
        <f t="shared" si="2137"/>
        <v>0.16076485184644579</v>
      </c>
      <c r="AC1861" s="923">
        <f t="shared" si="2137"/>
        <v>0.15256917853735746</v>
      </c>
      <c r="AD1861" s="924">
        <f t="shared" si="2137"/>
        <v>0.16022445517421374</v>
      </c>
      <c r="AE1861" s="925">
        <f t="shared" si="2137"/>
        <v>0.15696362203581091</v>
      </c>
      <c r="AF1861" s="924">
        <f t="shared" si="2137"/>
        <v>0.16130910784998836</v>
      </c>
      <c r="AG1861" s="925">
        <f t="shared" si="2137"/>
        <v>0.16151989782323264</v>
      </c>
      <c r="AH1861" s="924"/>
      <c r="AI1861" s="924">
        <f>+AI1839/AI$1868</f>
        <v>0.14608732329475413</v>
      </c>
    </row>
    <row r="1862" spans="1:35">
      <c r="A1862" s="1"/>
      <c r="B1862" s="1"/>
      <c r="C1862" s="1"/>
      <c r="D1862" s="929" t="s">
        <v>1077</v>
      </c>
      <c r="E1862" s="929"/>
      <c r="F1862" s="929"/>
      <c r="G1862" s="929"/>
      <c r="H1862" s="929"/>
      <c r="I1862" s="929"/>
      <c r="J1862" s="929"/>
      <c r="K1862" s="929"/>
      <c r="L1862" s="929"/>
      <c r="M1862" s="929"/>
      <c r="N1862" s="929"/>
      <c r="O1862" s="929"/>
      <c r="P1862" s="929"/>
      <c r="Q1862" s="929"/>
      <c r="R1862" s="929"/>
      <c r="S1862" s="929"/>
      <c r="T1862" s="929"/>
      <c r="U1862" s="929"/>
      <c r="V1862" s="929"/>
      <c r="W1862" s="929"/>
      <c r="X1862" s="705"/>
      <c r="Y1862" s="705"/>
      <c r="Z1862" s="917"/>
      <c r="AA1862" s="923">
        <f t="shared" ref="AA1862:AG1862" si="2138">+(AA1845+AA1847)/AA1868</f>
        <v>0.1591487168631843</v>
      </c>
      <c r="AB1862" s="924">
        <f t="shared" si="2138"/>
        <v>0.16777112830243762</v>
      </c>
      <c r="AC1862" s="923">
        <f t="shared" si="2138"/>
        <v>0.1635258976388006</v>
      </c>
      <c r="AD1862" s="924">
        <f t="shared" si="2138"/>
        <v>0.16019835573535168</v>
      </c>
      <c r="AE1862" s="925">
        <f t="shared" si="2138"/>
        <v>0.16754195446014666</v>
      </c>
      <c r="AF1862" s="924">
        <f t="shared" si="2138"/>
        <v>0.16066853016538551</v>
      </c>
      <c r="AG1862" s="925">
        <f t="shared" si="2138"/>
        <v>0.17517634072907656</v>
      </c>
      <c r="AH1862" s="924"/>
      <c r="AI1862" s="924">
        <f>+(AI1845+AI1847)/AI1868</f>
        <v>0.2031518750190508</v>
      </c>
    </row>
    <row r="1863" spans="1:35">
      <c r="A1863" s="1"/>
      <c r="B1863" s="1"/>
      <c r="C1863" s="1"/>
      <c r="D1863" s="929" t="s">
        <v>1078</v>
      </c>
      <c r="E1863" s="929"/>
      <c r="F1863" s="929"/>
      <c r="G1863" s="929"/>
      <c r="H1863" s="929"/>
      <c r="I1863" s="929"/>
      <c r="J1863" s="929"/>
      <c r="K1863" s="929"/>
      <c r="L1863" s="929"/>
      <c r="M1863" s="929"/>
      <c r="N1863" s="929"/>
      <c r="O1863" s="929"/>
      <c r="P1863" s="929"/>
      <c r="Q1863" s="929"/>
      <c r="R1863" s="929"/>
      <c r="S1863" s="929"/>
      <c r="T1863" s="929"/>
      <c r="U1863" s="929"/>
      <c r="V1863" s="929"/>
      <c r="W1863" s="929"/>
      <c r="X1863" s="705"/>
      <c r="Y1863" s="705"/>
      <c r="Z1863" s="917"/>
      <c r="AA1863" s="923">
        <f t="shared" ref="AA1863:AG1863" si="2139">+AA1846/AA1868</f>
        <v>0.11154517036266226</v>
      </c>
      <c r="AB1863" s="924">
        <f t="shared" si="2139"/>
        <v>0.10829076047292366</v>
      </c>
      <c r="AC1863" s="923">
        <f t="shared" si="2139"/>
        <v>0.10494124293447961</v>
      </c>
      <c r="AD1863" s="924">
        <f t="shared" si="2139"/>
        <v>0.10430640741224063</v>
      </c>
      <c r="AE1863" s="925">
        <f t="shared" si="2139"/>
        <v>0.10651715113845653</v>
      </c>
      <c r="AF1863" s="924">
        <f t="shared" si="2139"/>
        <v>0.10499650593990216</v>
      </c>
      <c r="AG1863" s="925">
        <f t="shared" si="2139"/>
        <v>0.12200697239432852</v>
      </c>
      <c r="AH1863" s="924"/>
      <c r="AI1863" s="924">
        <f>+AI1846/AI1868</f>
        <v>0.13430954670844936</v>
      </c>
    </row>
    <row r="1864" spans="1:35">
      <c r="A1864" s="1"/>
      <c r="B1864" s="1"/>
      <c r="C1864" s="1"/>
      <c r="D1864" s="929" t="s">
        <v>1079</v>
      </c>
      <c r="E1864" s="929"/>
      <c r="F1864" s="929"/>
      <c r="G1864" s="929"/>
      <c r="H1864" s="929"/>
      <c r="I1864" s="929"/>
      <c r="J1864" s="929"/>
      <c r="K1864" s="929"/>
      <c r="L1864" s="929"/>
      <c r="M1864" s="929"/>
      <c r="N1864" s="929"/>
      <c r="O1864" s="929"/>
      <c r="P1864" s="929"/>
      <c r="Q1864" s="929"/>
      <c r="R1864" s="929"/>
      <c r="S1864" s="929"/>
      <c r="T1864" s="929"/>
      <c r="U1864" s="929"/>
      <c r="V1864" s="929"/>
      <c r="W1864" s="929"/>
      <c r="X1864" s="705"/>
      <c r="Y1864" s="705"/>
      <c r="Z1864" s="917"/>
      <c r="AA1864" s="923">
        <f t="shared" ref="AA1864:AE1865" si="2140">+AA1849/AA$1868</f>
        <v>-3.8984260503328573E-2</v>
      </c>
      <c r="AB1864" s="924">
        <f t="shared" si="2140"/>
        <v>-4.7321558896511462E-2</v>
      </c>
      <c r="AC1864" s="923">
        <f t="shared" si="2140"/>
        <v>-4.5202727344049738E-2</v>
      </c>
      <c r="AD1864" s="924">
        <f t="shared" si="2140"/>
        <v>-3.7178650659010812E-2</v>
      </c>
      <c r="AE1864" s="925">
        <f t="shared" si="2140"/>
        <v>-4.5994405925457803E-2</v>
      </c>
      <c r="AF1864" s="924">
        <f>+AF1849/AF$1868</f>
        <v>-4.0449569065921287E-2</v>
      </c>
      <c r="AG1864" s="925">
        <f>+AG1849/AG$1868</f>
        <v>-6.9590545463940556E-2</v>
      </c>
      <c r="AH1864" s="924"/>
      <c r="AI1864" s="924">
        <f>+AI1849/AI$1868</f>
        <v>-0.12148310513047943</v>
      </c>
    </row>
    <row r="1865" spans="1:35">
      <c r="A1865" s="1"/>
      <c r="B1865" s="1"/>
      <c r="C1865" s="1"/>
      <c r="D1865" s="929" t="s">
        <v>1080</v>
      </c>
      <c r="E1865" s="929"/>
      <c r="F1865" s="929"/>
      <c r="G1865" s="929"/>
      <c r="H1865" s="929"/>
      <c r="I1865" s="929"/>
      <c r="J1865" s="929"/>
      <c r="K1865" s="929"/>
      <c r="L1865" s="929"/>
      <c r="M1865" s="929"/>
      <c r="N1865" s="929"/>
      <c r="O1865" s="929"/>
      <c r="P1865" s="929"/>
      <c r="Q1865" s="929"/>
      <c r="R1865" s="929"/>
      <c r="S1865" s="929"/>
      <c r="T1865" s="929"/>
      <c r="U1865" s="929"/>
      <c r="V1865" s="929"/>
      <c r="W1865" s="929"/>
      <c r="X1865" s="705"/>
      <c r="Y1865" s="705"/>
      <c r="Z1865" s="917"/>
      <c r="AA1865" s="923">
        <f t="shared" si="2140"/>
        <v>-0.10849712942016596</v>
      </c>
      <c r="AB1865" s="924">
        <f t="shared" si="2140"/>
        <v>-9.4993431615822521E-2</v>
      </c>
      <c r="AC1865" s="923">
        <f t="shared" si="2140"/>
        <v>-9.0826892598508638E-2</v>
      </c>
      <c r="AD1865" s="924">
        <f t="shared" si="2140"/>
        <v>-8.1586845882813494E-2</v>
      </c>
      <c r="AE1865" s="925">
        <f t="shared" si="2140"/>
        <v>-9.0959161233489683E-2</v>
      </c>
      <c r="AF1865" s="924">
        <f>+AF1850/AF$1868</f>
        <v>-8.4020498485907313E-2</v>
      </c>
      <c r="AG1865" s="925">
        <f>+AG1850/AG$1868</f>
        <v>-0.12436961046808004</v>
      </c>
      <c r="AH1865" s="924"/>
      <c r="AI1865" s="924">
        <f>+AI1850/AI$1868</f>
        <v>-0.16630491818837984</v>
      </c>
    </row>
    <row r="1866" spans="1:35">
      <c r="A1866" s="1"/>
      <c r="B1866" s="1"/>
      <c r="C1866" s="1"/>
      <c r="D1866" s="929" t="s">
        <v>1081</v>
      </c>
      <c r="E1866" s="929"/>
      <c r="F1866" s="929"/>
      <c r="G1866" s="929"/>
      <c r="H1866" s="929"/>
      <c r="I1866" s="929"/>
      <c r="J1866" s="929"/>
      <c r="K1866" s="929"/>
      <c r="L1866" s="929"/>
      <c r="M1866" s="929"/>
      <c r="N1866" s="929"/>
      <c r="O1866" s="929"/>
      <c r="P1866" s="929"/>
      <c r="Q1866" s="929"/>
      <c r="R1866" s="929"/>
      <c r="S1866" s="929"/>
      <c r="T1866" s="929"/>
      <c r="U1866" s="929"/>
      <c r="V1866" s="929"/>
      <c r="W1866" s="929"/>
      <c r="X1866" s="705"/>
      <c r="Y1866" s="705"/>
      <c r="Z1866" s="917"/>
      <c r="AA1866" s="923">
        <f t="shared" ref="AA1866:AG1866" si="2141">+AA1857/AA1868</f>
        <v>3.4829757513532421E-2</v>
      </c>
      <c r="AB1866" s="924">
        <f t="shared" si="2141"/>
        <v>5.1102028900890384E-2</v>
      </c>
      <c r="AC1866" s="923">
        <f t="shared" si="2141"/>
        <v>2.2376257422782462E-2</v>
      </c>
      <c r="AD1866" s="924">
        <f t="shared" si="2141"/>
        <v>4.3494714863630435E-2</v>
      </c>
      <c r="AE1866" s="925">
        <f t="shared" si="2141"/>
        <v>4.4604000360464358E-2</v>
      </c>
      <c r="AF1866" s="924">
        <f t="shared" si="2141"/>
        <v>4.758909853249476E-2</v>
      </c>
      <c r="AG1866" s="925">
        <f t="shared" si="2141"/>
        <v>5.1037336821919792E-2</v>
      </c>
      <c r="AH1866" s="924"/>
      <c r="AI1866" s="924">
        <f>+AI1857/AI1868</f>
        <v>0.1179977823326827</v>
      </c>
    </row>
    <row r="1867" spans="1:35">
      <c r="A1867" s="1"/>
      <c r="B1867" s="1"/>
      <c r="C1867" s="1"/>
      <c r="D1867" s="929" t="s">
        <v>828</v>
      </c>
      <c r="E1867" s="929"/>
      <c r="F1867" s="929"/>
      <c r="G1867" s="929"/>
      <c r="H1867" s="929"/>
      <c r="I1867" s="929"/>
      <c r="J1867" s="929"/>
      <c r="K1867" s="929"/>
      <c r="L1867" s="929"/>
      <c r="M1867" s="929"/>
      <c r="N1867" s="929"/>
      <c r="O1867" s="929"/>
      <c r="P1867" s="929"/>
      <c r="Q1867" s="929"/>
      <c r="R1867" s="929"/>
      <c r="S1867" s="929"/>
      <c r="T1867" s="929"/>
      <c r="U1867" s="929"/>
      <c r="V1867" s="929"/>
      <c r="W1867" s="929"/>
      <c r="X1867" s="705"/>
      <c r="Y1867" s="705"/>
      <c r="Z1867" s="917"/>
      <c r="AA1867" s="923">
        <f t="shared" ref="AA1867:AG1867" si="2142">+AA1858/AA1868</f>
        <v>7.7296449198813308E-3</v>
      </c>
      <c r="AB1867" s="924">
        <f t="shared" si="2142"/>
        <v>-8.9038096628229449E-4</v>
      </c>
      <c r="AC1867" s="923">
        <f t="shared" si="2142"/>
        <v>3.3938467223135001E-3</v>
      </c>
      <c r="AD1867" s="924">
        <f t="shared" si="2142"/>
        <v>-3.1841315411718645E-3</v>
      </c>
      <c r="AE1867" s="925">
        <f t="shared" si="2142"/>
        <v>5.3818134218173485E-3</v>
      </c>
      <c r="AF1867" s="924">
        <f t="shared" si="2142"/>
        <v>-2.7719543442813882E-3</v>
      </c>
      <c r="AG1867" s="925">
        <f t="shared" si="2142"/>
        <v>8.4407198746495448E-3</v>
      </c>
      <c r="AH1867" s="924"/>
      <c r="AI1867" s="924">
        <f>+AI1858/AI1868</f>
        <v>9.1962992803966206E-3</v>
      </c>
    </row>
    <row r="1868" spans="1:35">
      <c r="A1868" s="1"/>
      <c r="B1868" s="1"/>
      <c r="C1868" s="1"/>
      <c r="D1868" s="929" t="s">
        <v>204</v>
      </c>
      <c r="E1868" s="929"/>
      <c r="F1868" s="929"/>
      <c r="G1868" s="929"/>
      <c r="H1868" s="929"/>
      <c r="I1868" s="929"/>
      <c r="J1868" s="929"/>
      <c r="K1868" s="929"/>
      <c r="L1868" s="929"/>
      <c r="M1868" s="929"/>
      <c r="N1868" s="929"/>
      <c r="O1868" s="929"/>
      <c r="P1868" s="929"/>
      <c r="Q1868" s="929"/>
      <c r="R1868" s="929"/>
      <c r="S1868" s="929"/>
      <c r="T1868" s="929"/>
      <c r="U1868" s="929"/>
      <c r="V1868" s="929"/>
      <c r="W1868" s="929"/>
      <c r="X1868" s="705"/>
      <c r="Y1868" s="705"/>
      <c r="Z1868" s="917"/>
      <c r="AA1868" s="921">
        <f>+AA303</f>
        <v>6443</v>
      </c>
      <c r="AB1868" s="917">
        <v>6851</v>
      </c>
      <c r="AC1868" s="921">
        <f>+AB303</f>
        <v>7237</v>
      </c>
      <c r="AD1868" s="917">
        <v>7663</v>
      </c>
      <c r="AE1868" s="921">
        <f>+AC303</f>
        <v>7982</v>
      </c>
      <c r="AF1868" s="917">
        <v>8586</v>
      </c>
      <c r="AG1868" s="921">
        <f>+AD303</f>
        <v>8784</v>
      </c>
      <c r="AH1868" s="917"/>
      <c r="AI1868" s="917">
        <f>+AE303</f>
        <v>9640</v>
      </c>
    </row>
    <row r="1869" spans="1:35">
      <c r="A1869" s="1"/>
      <c r="B1869" s="1"/>
      <c r="C1869" s="1"/>
      <c r="D1869" s="575" t="s">
        <v>789</v>
      </c>
    </row>
    <row r="1872" spans="1:35" ht="15.9" thickBot="1">
      <c r="D1872" s="74" t="s">
        <v>3208</v>
      </c>
      <c r="E1872" s="1537" t="s">
        <v>3201</v>
      </c>
    </row>
    <row r="1873" spans="3:37">
      <c r="D1873" s="1521" t="s">
        <v>3185</v>
      </c>
      <c r="E1873" s="1539" t="s">
        <v>3207</v>
      </c>
      <c r="F1873" s="1522"/>
      <c r="G1873" s="1522"/>
      <c r="H1873" s="1522"/>
      <c r="I1873" s="1522"/>
      <c r="J1873" s="1522"/>
      <c r="K1873" s="1522"/>
      <c r="L1873" s="1522"/>
      <c r="M1873" s="1522"/>
      <c r="N1873" s="1522"/>
      <c r="O1873" s="1522"/>
      <c r="P1873" s="1522"/>
      <c r="Q1873" s="1522"/>
      <c r="R1873" s="1522"/>
      <c r="S1873" s="1522"/>
      <c r="T1873" s="1522"/>
      <c r="U1873" s="1523"/>
      <c r="V1873" s="1522"/>
      <c r="W1873" s="1523"/>
      <c r="X1873" s="1522"/>
      <c r="Y1873" s="1523"/>
      <c r="Z1873" s="1522"/>
      <c r="AA1873" s="1523"/>
      <c r="AB1873" s="1523"/>
      <c r="AC1873" s="1524" t="s">
        <v>180</v>
      </c>
      <c r="AD1873" s="1524" t="s">
        <v>181</v>
      </c>
      <c r="AE1873" s="1524" t="s">
        <v>182</v>
      </c>
      <c r="AF1873" s="1524" t="s">
        <v>1062</v>
      </c>
      <c r="AG1873" s="1524" t="s">
        <v>1088</v>
      </c>
      <c r="AH1873" s="1524" t="s">
        <v>1089</v>
      </c>
      <c r="AI1873" s="1524" t="s">
        <v>1090</v>
      </c>
      <c r="AJ1873" s="1524" t="s">
        <v>1091</v>
      </c>
      <c r="AK1873" s="1524" t="s">
        <v>1092</v>
      </c>
    </row>
    <row r="1874" spans="3:37">
      <c r="D1874" s="1525" t="s">
        <v>3202</v>
      </c>
      <c r="E1874" s="1526"/>
      <c r="F1874" s="1526"/>
      <c r="G1874" s="1526"/>
      <c r="H1874" s="1526"/>
      <c r="I1874" s="1526"/>
      <c r="J1874" s="1526"/>
      <c r="K1874" s="1526"/>
      <c r="L1874" s="1526"/>
      <c r="M1874" s="1526"/>
      <c r="N1874" s="1526"/>
      <c r="O1874" s="1526"/>
      <c r="P1874" s="1526"/>
      <c r="Q1874" s="1526"/>
      <c r="R1874" s="1526"/>
      <c r="S1874" s="1526"/>
      <c r="T1874" s="1526"/>
      <c r="U1874" s="1527"/>
      <c r="V1874" s="1526"/>
      <c r="W1874" s="1527"/>
      <c r="X1874" s="1526"/>
      <c r="Y1874" s="1527"/>
      <c r="Z1874" s="1526"/>
      <c r="AA1874" s="1527"/>
      <c r="AB1874" s="1527"/>
      <c r="AC1874" s="1528">
        <f t="shared" ref="AC1874:AK1874" si="2143">+AC1875+AC1132</f>
        <v>1422.6419757737144</v>
      </c>
      <c r="AD1874" s="1528">
        <f t="shared" si="2143"/>
        <v>1670.2773135815255</v>
      </c>
      <c r="AE1874" s="1528">
        <f t="shared" si="2143"/>
        <v>1765.5317433201858</v>
      </c>
      <c r="AF1874" s="1528">
        <f t="shared" si="2143"/>
        <v>2007.1030292870055</v>
      </c>
      <c r="AG1874" s="1528">
        <f t="shared" si="2143"/>
        <v>2277.9986459098222</v>
      </c>
      <c r="AH1874" s="1528">
        <f t="shared" si="2143"/>
        <v>2688.2599377113861</v>
      </c>
      <c r="AI1874" s="1528">
        <f t="shared" si="2143"/>
        <v>3053.3369521394116</v>
      </c>
      <c r="AJ1874" s="1528">
        <f t="shared" si="2143"/>
        <v>3559.3786013384124</v>
      </c>
      <c r="AK1874" s="1528">
        <f t="shared" si="2143"/>
        <v>4340.8310860506645</v>
      </c>
    </row>
    <row r="1875" spans="3:37">
      <c r="D1875" s="1529" t="s">
        <v>117</v>
      </c>
      <c r="E1875" s="1526"/>
      <c r="F1875" s="1526"/>
      <c r="G1875" s="1526"/>
      <c r="H1875" s="1526"/>
      <c r="I1875" s="1526"/>
      <c r="J1875" s="1526"/>
      <c r="K1875" s="1526"/>
      <c r="L1875" s="1526"/>
      <c r="M1875" s="1526"/>
      <c r="N1875" s="1526"/>
      <c r="O1875" s="1526"/>
      <c r="P1875" s="1526"/>
      <c r="Q1875" s="1526"/>
      <c r="R1875" s="1526"/>
      <c r="S1875" s="1526"/>
      <c r="T1875" s="1526"/>
      <c r="U1875" s="1527"/>
      <c r="V1875" s="1526"/>
      <c r="W1875" s="1527"/>
      <c r="X1875" s="1526"/>
      <c r="Y1875" s="1527"/>
      <c r="Z1875" s="1526"/>
      <c r="AA1875" s="1527"/>
      <c r="AB1875" s="1527"/>
      <c r="AC1875" s="1528">
        <f t="shared" ref="AC1875:AK1875" si="2144">+AC1061</f>
        <v>1160.1116623119058</v>
      </c>
      <c r="AD1875" s="1528">
        <f t="shared" si="2144"/>
        <v>1402.5222584188773</v>
      </c>
      <c r="AE1875" s="1528">
        <f t="shared" si="2144"/>
        <v>1475.6087142883362</v>
      </c>
      <c r="AF1875" s="1528">
        <f t="shared" si="2144"/>
        <v>1621.6892824968349</v>
      </c>
      <c r="AG1875" s="1528">
        <f t="shared" si="2144"/>
        <v>1876.7735911488621</v>
      </c>
      <c r="AH1875" s="1528">
        <f t="shared" si="2144"/>
        <v>2287.3717968127403</v>
      </c>
      <c r="AI1875" s="1528">
        <f t="shared" si="2144"/>
        <v>2593.3215244053272</v>
      </c>
      <c r="AJ1875" s="1528">
        <f t="shared" si="2144"/>
        <v>3065.0665560333864</v>
      </c>
      <c r="AK1875" s="1528">
        <f t="shared" si="2144"/>
        <v>3786.9470845257852</v>
      </c>
    </row>
    <row r="1876" spans="3:37">
      <c r="D1876" s="1529" t="s">
        <v>3186</v>
      </c>
      <c r="E1876" s="1526"/>
      <c r="F1876" s="1526"/>
      <c r="G1876" s="1526"/>
      <c r="H1876" s="1526"/>
      <c r="I1876" s="1526"/>
      <c r="J1876" s="1526"/>
      <c r="K1876" s="1526"/>
      <c r="L1876" s="1526"/>
      <c r="M1876" s="1526"/>
      <c r="N1876" s="1526"/>
      <c r="O1876" s="1526"/>
      <c r="P1876" s="1526"/>
      <c r="Q1876" s="1526"/>
      <c r="R1876" s="1526"/>
      <c r="S1876" s="1526"/>
      <c r="T1876" s="1526"/>
      <c r="U1876" s="1527"/>
      <c r="V1876" s="1526"/>
      <c r="W1876" s="1527"/>
      <c r="X1876" s="1526"/>
      <c r="Y1876" s="1527"/>
      <c r="Z1876" s="1526"/>
      <c r="AA1876" s="1527"/>
      <c r="AB1876" s="1527"/>
      <c r="AC1876" s="1526"/>
      <c r="AD1876" s="1526"/>
      <c r="AE1876" s="1526"/>
      <c r="AF1876" s="1526"/>
      <c r="AG1876" s="1526"/>
      <c r="AH1876" s="1526"/>
      <c r="AI1876" s="1526"/>
      <c r="AJ1876" s="1526"/>
      <c r="AK1876" s="1526"/>
    </row>
    <row r="1877" spans="3:37" ht="16.5">
      <c r="C1877" s="666"/>
      <c r="D1877" s="1525" t="s">
        <v>587</v>
      </c>
      <c r="E1877" s="1526"/>
      <c r="F1877" s="1526"/>
      <c r="G1877" s="1526"/>
      <c r="H1877" s="1526"/>
      <c r="I1877" s="1526"/>
      <c r="J1877" s="1526"/>
      <c r="K1877" s="1526"/>
      <c r="L1877" s="1526"/>
      <c r="M1877" s="1526"/>
      <c r="N1877" s="1526"/>
      <c r="O1877" s="1526"/>
      <c r="P1877" s="1526"/>
      <c r="Q1877" s="1526"/>
      <c r="R1877" s="1526"/>
      <c r="S1877" s="1526"/>
      <c r="T1877" s="1526"/>
      <c r="U1877" s="1527"/>
      <c r="V1877" s="1526"/>
      <c r="W1877" s="1527"/>
      <c r="X1877" s="1526"/>
      <c r="Y1877" s="1527"/>
      <c r="Z1877" s="1526"/>
      <c r="AA1877" s="1527"/>
      <c r="AB1877" s="1527"/>
      <c r="AC1877" s="1528">
        <f t="shared" ref="AC1877:AK1877" si="2145">+AC1119</f>
        <v>358.90867686871047</v>
      </c>
      <c r="AD1877" s="1528">
        <f t="shared" si="2145"/>
        <v>394.75005785621573</v>
      </c>
      <c r="AE1877" s="1528">
        <f t="shared" si="2145"/>
        <v>437.5584046438675</v>
      </c>
      <c r="AF1877" s="1528">
        <f t="shared" si="2145"/>
        <v>561.08816780108214</v>
      </c>
      <c r="AG1877" s="1528">
        <f t="shared" si="2145"/>
        <v>824.18435942628139</v>
      </c>
      <c r="AH1877" s="1528">
        <f t="shared" si="2145"/>
        <v>711.30724575495196</v>
      </c>
      <c r="AI1877" s="1528">
        <f t="shared" si="2145"/>
        <v>757.7914095316321</v>
      </c>
      <c r="AJ1877" s="1528">
        <f t="shared" si="2145"/>
        <v>614.59247170907861</v>
      </c>
      <c r="AK1877" s="1528">
        <f t="shared" si="2145"/>
        <v>668.27623029566234</v>
      </c>
    </row>
    <row r="1878" spans="3:37" ht="16.5">
      <c r="C1878" s="665"/>
      <c r="D1878" s="1529" t="s">
        <v>3187</v>
      </c>
      <c r="E1878" s="1526"/>
      <c r="F1878" s="1526"/>
      <c r="G1878" s="1526"/>
      <c r="H1878" s="1526"/>
      <c r="I1878" s="1526"/>
      <c r="J1878" s="1526"/>
      <c r="K1878" s="1526"/>
      <c r="L1878" s="1526"/>
      <c r="M1878" s="1526"/>
      <c r="N1878" s="1526"/>
      <c r="O1878" s="1526"/>
      <c r="P1878" s="1526"/>
      <c r="Q1878" s="1526"/>
      <c r="R1878" s="1526"/>
      <c r="S1878" s="1526"/>
      <c r="T1878" s="1526"/>
      <c r="U1878" s="1527"/>
      <c r="V1878" s="1526"/>
      <c r="W1878" s="1527"/>
      <c r="X1878" s="1526"/>
      <c r="Y1878" s="1527"/>
      <c r="Z1878" s="1526"/>
      <c r="AA1878" s="1527"/>
      <c r="AB1878" s="1527"/>
      <c r="AC1878" s="1526"/>
      <c r="AD1878" s="1526"/>
      <c r="AE1878" s="1526"/>
      <c r="AF1878" s="1526"/>
      <c r="AG1878" s="1526"/>
      <c r="AH1878" s="1526"/>
      <c r="AI1878" s="1526"/>
      <c r="AJ1878" s="1526"/>
      <c r="AK1878" s="1526"/>
    </row>
    <row r="1879" spans="3:37" ht="16.5">
      <c r="C1879" s="667"/>
      <c r="D1879" s="1525" t="s">
        <v>3203</v>
      </c>
      <c r="E1879" s="1526"/>
      <c r="F1879" s="1526"/>
      <c r="G1879" s="1526"/>
      <c r="H1879" s="1526"/>
      <c r="I1879" s="1526"/>
      <c r="J1879" s="1526"/>
      <c r="K1879" s="1526"/>
      <c r="L1879" s="1526"/>
      <c r="M1879" s="1526"/>
      <c r="N1879" s="1526"/>
      <c r="O1879" s="1526"/>
      <c r="P1879" s="1526"/>
      <c r="Q1879" s="1526"/>
      <c r="R1879" s="1526"/>
      <c r="S1879" s="1526"/>
      <c r="T1879" s="1526"/>
      <c r="U1879" s="1527"/>
      <c r="V1879" s="1526"/>
      <c r="W1879" s="1527"/>
      <c r="X1879" s="1526"/>
      <c r="Y1879" s="1527"/>
      <c r="Z1879" s="1526"/>
      <c r="AA1879" s="1527"/>
      <c r="AB1879" s="1527"/>
      <c r="AC1879" s="1528">
        <f t="shared" ref="AC1879:AK1879" si="2146">+AC1156</f>
        <v>1436.9221960448904</v>
      </c>
      <c r="AD1879" s="1528">
        <f t="shared" si="2146"/>
        <v>1666.8635925906065</v>
      </c>
      <c r="AE1879" s="1528">
        <f t="shared" si="2146"/>
        <v>1901.1315501950596</v>
      </c>
      <c r="AF1879" s="1528">
        <f t="shared" si="2146"/>
        <v>2089.3574379793054</v>
      </c>
      <c r="AG1879" s="1528">
        <f t="shared" si="2146"/>
        <v>2467.9009633912874</v>
      </c>
      <c r="AH1879" s="1528">
        <f t="shared" si="2146"/>
        <v>2856.6946330541014</v>
      </c>
      <c r="AI1879" s="1528">
        <f t="shared" si="2146"/>
        <v>3172.9419577729877</v>
      </c>
      <c r="AJ1879" s="1528">
        <f t="shared" si="2146"/>
        <v>3416.753044465333</v>
      </c>
      <c r="AK1879" s="1528">
        <f t="shared" si="2146"/>
        <v>3895.9269711552479</v>
      </c>
    </row>
    <row r="1880" spans="3:37" ht="16.5">
      <c r="C1880" s="668"/>
      <c r="D1880" s="1529" t="s">
        <v>3188</v>
      </c>
      <c r="E1880" s="1526"/>
      <c r="F1880" s="1526"/>
      <c r="G1880" s="1526"/>
      <c r="H1880" s="1526"/>
      <c r="I1880" s="1526"/>
      <c r="J1880" s="1526"/>
      <c r="K1880" s="1526"/>
      <c r="L1880" s="1526"/>
      <c r="M1880" s="1526"/>
      <c r="N1880" s="1526"/>
      <c r="O1880" s="1526"/>
      <c r="P1880" s="1526"/>
      <c r="Q1880" s="1526"/>
      <c r="R1880" s="1526"/>
      <c r="S1880" s="1526"/>
      <c r="T1880" s="1526"/>
      <c r="U1880" s="1527"/>
      <c r="V1880" s="1526"/>
      <c r="W1880" s="1527"/>
      <c r="X1880" s="1526"/>
      <c r="Y1880" s="1527"/>
      <c r="Z1880" s="1526"/>
      <c r="AA1880" s="1527"/>
      <c r="AB1880" s="1527"/>
      <c r="AC1880" s="1526"/>
      <c r="AD1880" s="1526"/>
      <c r="AE1880" s="1538">
        <f t="shared" ref="AE1880:AK1880" si="2147">+AE1158+AE1162+AE1164+AE1204+AE1216+AE1223</f>
        <v>97.6</v>
      </c>
      <c r="AF1880" s="1538">
        <f t="shared" si="2147"/>
        <v>54.219483155067408</v>
      </c>
      <c r="AG1880" s="1538">
        <f t="shared" si="2147"/>
        <v>0</v>
      </c>
      <c r="AH1880" s="1538">
        <f t="shared" si="2147"/>
        <v>0</v>
      </c>
      <c r="AI1880" s="1538">
        <f t="shared" si="2147"/>
        <v>1.2</v>
      </c>
      <c r="AJ1880" s="1538">
        <f t="shared" si="2147"/>
        <v>0</v>
      </c>
      <c r="AK1880" s="1538">
        <f t="shared" si="2147"/>
        <v>66.523810514311663</v>
      </c>
    </row>
    <row r="1881" spans="3:37" ht="16.5">
      <c r="C1881" s="669"/>
      <c r="D1881" s="1529" t="s">
        <v>3189</v>
      </c>
      <c r="E1881" s="1526"/>
      <c r="F1881" s="1526"/>
      <c r="G1881" s="1526"/>
      <c r="H1881" s="1526"/>
      <c r="I1881" s="1526"/>
      <c r="J1881" s="1526"/>
      <c r="K1881" s="1526"/>
      <c r="L1881" s="1526"/>
      <c r="M1881" s="1526"/>
      <c r="N1881" s="1526"/>
      <c r="O1881" s="1526"/>
      <c r="P1881" s="1526"/>
      <c r="Q1881" s="1526"/>
      <c r="R1881" s="1526"/>
      <c r="S1881" s="1526"/>
      <c r="T1881" s="1526"/>
      <c r="U1881" s="1527"/>
      <c r="V1881" s="1526"/>
      <c r="W1881" s="1527"/>
      <c r="X1881" s="1526"/>
      <c r="Y1881" s="1527"/>
      <c r="Z1881" s="1526"/>
      <c r="AA1881" s="1527"/>
      <c r="AB1881" s="1527"/>
      <c r="AC1881" s="1526"/>
      <c r="AD1881" s="1526"/>
      <c r="AE1881" s="1526"/>
      <c r="AF1881" s="1526"/>
      <c r="AG1881" s="1526"/>
      <c r="AH1881" s="1526"/>
      <c r="AI1881" s="1526"/>
      <c r="AJ1881" s="1526"/>
      <c r="AK1881" s="1526"/>
    </row>
    <row r="1882" spans="3:37" ht="16.5">
      <c r="C1882" s="670"/>
      <c r="D1882" s="1529" t="s">
        <v>3190</v>
      </c>
      <c r="E1882" s="1526"/>
      <c r="F1882" s="1526"/>
      <c r="G1882" s="1526"/>
      <c r="H1882" s="1526"/>
      <c r="I1882" s="1526"/>
      <c r="J1882" s="1526"/>
      <c r="K1882" s="1526"/>
      <c r="L1882" s="1526"/>
      <c r="M1882" s="1526"/>
      <c r="N1882" s="1526"/>
      <c r="O1882" s="1526"/>
      <c r="P1882" s="1526"/>
      <c r="Q1882" s="1526"/>
      <c r="R1882" s="1526"/>
      <c r="S1882" s="1526"/>
      <c r="T1882" s="1526"/>
      <c r="U1882" s="1527"/>
      <c r="V1882" s="1526"/>
      <c r="W1882" s="1527"/>
      <c r="X1882" s="1526"/>
      <c r="Y1882" s="1527"/>
      <c r="Z1882" s="1526"/>
      <c r="AA1882" s="1527"/>
      <c r="AB1882" s="1527"/>
      <c r="AC1882" s="1526"/>
      <c r="AD1882" s="1526"/>
      <c r="AE1882" s="1526"/>
      <c r="AF1882" s="1526"/>
      <c r="AG1882" s="1526"/>
      <c r="AH1882" s="1526"/>
      <c r="AI1882" s="1526"/>
      <c r="AJ1882" s="1526"/>
      <c r="AK1882" s="1526"/>
    </row>
    <row r="1883" spans="3:37" ht="16.5">
      <c r="C1883" s="669"/>
      <c r="D1883" s="1525" t="s">
        <v>3204</v>
      </c>
      <c r="E1883" s="1526"/>
      <c r="F1883" s="1526"/>
      <c r="G1883" s="1526"/>
      <c r="H1883" s="1526"/>
      <c r="I1883" s="1526"/>
      <c r="J1883" s="1526"/>
      <c r="K1883" s="1526"/>
      <c r="L1883" s="1526"/>
      <c r="M1883" s="1526"/>
      <c r="N1883" s="1526"/>
      <c r="O1883" s="1526"/>
      <c r="P1883" s="1526"/>
      <c r="Q1883" s="1526"/>
      <c r="R1883" s="1526"/>
      <c r="S1883" s="1526"/>
      <c r="T1883" s="1526"/>
      <c r="U1883" s="1527"/>
      <c r="V1883" s="1526"/>
      <c r="W1883" s="1527"/>
      <c r="X1883" s="1526"/>
      <c r="Y1883" s="1527"/>
      <c r="Z1883" s="1526"/>
      <c r="AA1883" s="1527"/>
      <c r="AB1883" s="1527"/>
      <c r="AC1883" s="1528">
        <f t="shared" ref="AC1883:AK1883" si="2148">+AC1228</f>
        <v>680.76867016215999</v>
      </c>
      <c r="AD1883" s="1528">
        <f t="shared" si="2148"/>
        <v>914.67796591778165</v>
      </c>
      <c r="AE1883" s="1528">
        <f t="shared" si="2148"/>
        <v>1033.0979244993659</v>
      </c>
      <c r="AF1883" s="1528">
        <f t="shared" si="2148"/>
        <v>1254.856355703309</v>
      </c>
      <c r="AG1883" s="1528">
        <f t="shared" si="2148"/>
        <v>1591.6220670273301</v>
      </c>
      <c r="AH1883" s="1528">
        <f t="shared" si="2148"/>
        <v>1518.4242141577595</v>
      </c>
      <c r="AI1883" s="1528">
        <f t="shared" si="2148"/>
        <v>1754.9915240248883</v>
      </c>
      <c r="AJ1883" s="1528">
        <f t="shared" si="2148"/>
        <v>1771.5860507272205</v>
      </c>
      <c r="AK1883" s="1528">
        <f t="shared" si="2148"/>
        <v>1970.6363973052012</v>
      </c>
    </row>
    <row r="1884" spans="3:37" ht="16.5">
      <c r="C1884" s="670"/>
      <c r="D1884" s="1529" t="s">
        <v>3191</v>
      </c>
      <c r="E1884" s="1526"/>
      <c r="F1884" s="1526"/>
      <c r="G1884" s="1526"/>
      <c r="H1884" s="1526"/>
      <c r="I1884" s="1526"/>
      <c r="J1884" s="1526"/>
      <c r="K1884" s="1526"/>
      <c r="L1884" s="1526"/>
      <c r="M1884" s="1526"/>
      <c r="N1884" s="1526"/>
      <c r="O1884" s="1526"/>
      <c r="P1884" s="1526"/>
      <c r="Q1884" s="1526"/>
      <c r="R1884" s="1526"/>
      <c r="S1884" s="1526"/>
      <c r="T1884" s="1526"/>
      <c r="U1884" s="1527"/>
      <c r="V1884" s="1526"/>
      <c r="W1884" s="1527"/>
      <c r="X1884" s="1526"/>
      <c r="Y1884" s="1527"/>
      <c r="Z1884" s="1526"/>
      <c r="AA1884" s="1527"/>
      <c r="AB1884" s="1527"/>
      <c r="AC1884" s="1526"/>
      <c r="AD1884" s="1526"/>
      <c r="AE1884" s="1538">
        <f t="shared" ref="AE1884:AK1884" si="2149">+AE1230+AE1235</f>
        <v>136.05026087600001</v>
      </c>
      <c r="AF1884" s="1538">
        <f t="shared" si="2149"/>
        <v>0</v>
      </c>
      <c r="AG1884" s="1538">
        <f t="shared" si="2149"/>
        <v>0</v>
      </c>
      <c r="AH1884" s="1538">
        <f t="shared" si="2149"/>
        <v>0</v>
      </c>
      <c r="AI1884" s="1538">
        <f t="shared" si="2149"/>
        <v>0</v>
      </c>
      <c r="AJ1884" s="1538">
        <f t="shared" si="2149"/>
        <v>0</v>
      </c>
      <c r="AK1884" s="1538">
        <f t="shared" si="2149"/>
        <v>0</v>
      </c>
    </row>
    <row r="1885" spans="3:37" ht="16.5">
      <c r="C1885" s="669"/>
      <c r="D1885" s="1525" t="s">
        <v>3205</v>
      </c>
      <c r="E1885" s="1526"/>
      <c r="F1885" s="1526"/>
      <c r="G1885" s="1526"/>
      <c r="H1885" s="1526"/>
      <c r="I1885" s="1526"/>
      <c r="J1885" s="1526"/>
      <c r="K1885" s="1526"/>
      <c r="L1885" s="1526"/>
      <c r="M1885" s="1526"/>
      <c r="N1885" s="1526"/>
      <c r="O1885" s="1526"/>
      <c r="P1885" s="1526"/>
      <c r="Q1885" s="1526"/>
      <c r="R1885" s="1526"/>
      <c r="S1885" s="1526"/>
      <c r="T1885" s="1526"/>
      <c r="U1885" s="1527"/>
      <c r="V1885" s="1526"/>
      <c r="W1885" s="1527"/>
      <c r="X1885" s="1526"/>
      <c r="Y1885" s="1527"/>
      <c r="Z1885" s="1526"/>
      <c r="AA1885" s="1527"/>
      <c r="AB1885" s="1527"/>
      <c r="AC1885" s="1528">
        <f t="shared" ref="AC1885:AK1885" si="2150">+AC1288+AC1300</f>
        <v>57.010220723000003</v>
      </c>
      <c r="AD1885" s="1528">
        <f t="shared" si="2150"/>
        <v>29.968757732</v>
      </c>
      <c r="AE1885" s="1528">
        <f t="shared" si="2150"/>
        <v>103.647563932</v>
      </c>
      <c r="AF1885" s="1528">
        <f t="shared" si="2150"/>
        <v>109.663421607</v>
      </c>
      <c r="AG1885" s="1528">
        <f t="shared" si="2150"/>
        <v>156.930534967</v>
      </c>
      <c r="AH1885" s="1528">
        <f t="shared" si="2150"/>
        <v>141.43516662796998</v>
      </c>
      <c r="AI1885" s="1528">
        <f t="shared" si="2150"/>
        <v>111.405844319</v>
      </c>
      <c r="AJ1885" s="1528">
        <f t="shared" si="2150"/>
        <v>163.95667452790599</v>
      </c>
      <c r="AK1885" s="1528">
        <f t="shared" si="2150"/>
        <v>591.50845177437031</v>
      </c>
    </row>
    <row r="1886" spans="3:37" ht="16.5">
      <c r="C1886" s="669"/>
      <c r="D1886" s="1529" t="s">
        <v>3192</v>
      </c>
      <c r="E1886" s="1526"/>
      <c r="F1886" s="1526"/>
      <c r="G1886" s="1526"/>
      <c r="H1886" s="1526"/>
      <c r="I1886" s="1526"/>
      <c r="J1886" s="1526"/>
      <c r="K1886" s="1526"/>
      <c r="L1886" s="1526"/>
      <c r="M1886" s="1526"/>
      <c r="N1886" s="1526"/>
      <c r="O1886" s="1526"/>
      <c r="P1886" s="1526"/>
      <c r="Q1886" s="1526"/>
      <c r="R1886" s="1526"/>
      <c r="S1886" s="1526"/>
      <c r="T1886" s="1526"/>
      <c r="U1886" s="1527"/>
      <c r="V1886" s="1526"/>
      <c r="W1886" s="1527"/>
      <c r="X1886" s="1526"/>
      <c r="Y1886" s="1527"/>
      <c r="Z1886" s="1526"/>
      <c r="AA1886" s="1527"/>
      <c r="AB1886" s="1527"/>
      <c r="AC1886" s="1526"/>
      <c r="AD1886" s="1526"/>
      <c r="AE1886" s="1538">
        <f t="shared" ref="AE1886:AK1886" si="2151">+AE1295</f>
        <v>0</v>
      </c>
      <c r="AF1886" s="1538">
        <f t="shared" si="2151"/>
        <v>88.975439265999995</v>
      </c>
      <c r="AG1886" s="1538">
        <f t="shared" si="2151"/>
        <v>63.103301563999999</v>
      </c>
      <c r="AH1886" s="1538">
        <f t="shared" si="2151"/>
        <v>56.285983673969994</v>
      </c>
      <c r="AI1886" s="1538">
        <f t="shared" si="2151"/>
        <v>46.3</v>
      </c>
      <c r="AJ1886" s="1538">
        <f t="shared" si="2151"/>
        <v>41.682182651905997</v>
      </c>
      <c r="AK1886" s="1538">
        <f t="shared" si="2151"/>
        <v>24.792840755990309</v>
      </c>
    </row>
    <row r="1887" spans="3:37" ht="16.5">
      <c r="C1887" s="1061"/>
      <c r="D1887" s="1529" t="s">
        <v>3193</v>
      </c>
      <c r="E1887" s="1542" t="s">
        <v>3206</v>
      </c>
      <c r="F1887" s="1526"/>
      <c r="G1887" s="1526"/>
      <c r="H1887" s="1526"/>
      <c r="I1887" s="1526"/>
      <c r="J1887" s="1526"/>
      <c r="K1887" s="1526"/>
      <c r="L1887" s="1526"/>
      <c r="M1887" s="1526"/>
      <c r="N1887" s="1526"/>
      <c r="O1887" s="1526"/>
      <c r="P1887" s="1526"/>
      <c r="Q1887" s="1526"/>
      <c r="R1887" s="1526"/>
      <c r="S1887" s="1526"/>
      <c r="T1887" s="1526"/>
      <c r="U1887" s="1527"/>
      <c r="V1887" s="1526"/>
      <c r="W1887" s="1527"/>
      <c r="X1887" s="1526"/>
      <c r="Y1887" s="1527"/>
      <c r="Z1887" s="1526"/>
      <c r="AA1887" s="1527"/>
      <c r="AB1887" s="1527"/>
      <c r="AC1887" s="1540">
        <f>+AC1874+AC1877+-AC1879-AC1883-AC1885</f>
        <v>-393.15043428762544</v>
      </c>
      <c r="AD1887" s="1540">
        <f>+AD1874+AD1877+-AD1879-AD1883-AD1885</f>
        <v>-546.48294480264678</v>
      </c>
      <c r="AE1887" s="1541">
        <f>+AE1874+AE1877-AE1879-AE1883-AE1885</f>
        <v>-834.78689066237223</v>
      </c>
      <c r="AF1887" s="1540">
        <f t="shared" ref="AF1887:AK1887" si="2152">+AF1874+AF1877+-AF1879-AF1883-AF1885</f>
        <v>-885.68601820152696</v>
      </c>
      <c r="AG1887" s="1540">
        <f t="shared" si="2152"/>
        <v>-1114.270560049514</v>
      </c>
      <c r="AH1887" s="1540">
        <f t="shared" si="2152"/>
        <v>-1116.9868303734927</v>
      </c>
      <c r="AI1887" s="1540">
        <f t="shared" si="2152"/>
        <v>-1228.2109644458326</v>
      </c>
      <c r="AJ1887" s="1540">
        <f t="shared" si="2152"/>
        <v>-1178.3246966729687</v>
      </c>
      <c r="AK1887" s="1540">
        <f t="shared" si="2152"/>
        <v>-1448.9645038884923</v>
      </c>
    </row>
    <row r="1888" spans="3:37" ht="16.5">
      <c r="C1888" s="670"/>
      <c r="D1888" s="1525" t="s">
        <v>3195</v>
      </c>
      <c r="E1888" s="1526"/>
      <c r="F1888" s="1526"/>
      <c r="G1888" s="1526"/>
      <c r="H1888" s="1526"/>
      <c r="I1888" s="1526"/>
      <c r="J1888" s="1526"/>
      <c r="K1888" s="1526"/>
      <c r="L1888" s="1526"/>
      <c r="M1888" s="1526"/>
      <c r="N1888" s="1526"/>
      <c r="O1888" s="1526"/>
      <c r="P1888" s="1526"/>
      <c r="Q1888" s="1526"/>
      <c r="R1888" s="1526"/>
      <c r="S1888" s="1526"/>
      <c r="T1888" s="1526"/>
      <c r="U1888" s="1527"/>
      <c r="V1888" s="1526"/>
      <c r="W1888" s="1527"/>
      <c r="X1888" s="1526"/>
      <c r="Y1888" s="1527"/>
      <c r="Z1888" s="1526"/>
      <c r="AA1888" s="1527"/>
      <c r="AB1888" s="1527"/>
      <c r="AC1888" s="1530">
        <f>+(AC1874-AC1879-AC1883-AC1885)/AC1893</f>
        <v>-9.4219382505178639E-2</v>
      </c>
      <c r="AD1888" s="1530">
        <f>+(AD1874-AD1879-AD1883-AD1885)/AD1893</f>
        <v>-0.10715311961052625</v>
      </c>
      <c r="AE1888" s="1530">
        <f t="shared" ref="AE1888:AK1888" si="2153">+(AE1874-AE1879-AE1883-AE1885)/AE1893</f>
        <v>-0.13198602648404975</v>
      </c>
      <c r="AF1888" s="1530">
        <f t="shared" si="2153"/>
        <v>-0.1378011416327849</v>
      </c>
      <c r="AG1888" s="1530">
        <f t="shared" si="2153"/>
        <v>-0.15684561206212438</v>
      </c>
      <c r="AH1888" s="1530">
        <f t="shared" si="2153"/>
        <v>-0.11571481494483828</v>
      </c>
      <c r="AI1888" s="1530">
        <f t="shared" si="2153"/>
        <v>-0.10707655338872972</v>
      </c>
      <c r="AJ1888" s="1530">
        <f t="shared" si="2153"/>
        <v>-8.2804164340470943E-2</v>
      </c>
      <c r="AK1888" s="1530">
        <f t="shared" si="2153"/>
        <v>-8.3729444615515375E-2</v>
      </c>
    </row>
    <row r="1889" spans="3:46" ht="16.5">
      <c r="C1889" s="1061"/>
      <c r="D1889" s="1529" t="s">
        <v>3194</v>
      </c>
      <c r="E1889" s="1526"/>
      <c r="F1889" s="1526"/>
      <c r="G1889" s="1526"/>
      <c r="H1889" s="1526"/>
      <c r="I1889" s="1526"/>
      <c r="J1889" s="1526"/>
      <c r="K1889" s="1526"/>
      <c r="L1889" s="1526"/>
      <c r="M1889" s="1526"/>
      <c r="N1889" s="1526"/>
      <c r="O1889" s="1526"/>
      <c r="P1889" s="1526"/>
      <c r="Q1889" s="1526"/>
      <c r="R1889" s="1526"/>
      <c r="S1889" s="1526"/>
      <c r="T1889" s="1526"/>
      <c r="U1889" s="1527"/>
      <c r="V1889" s="1526"/>
      <c r="W1889" s="1527"/>
      <c r="X1889" s="1526"/>
      <c r="Y1889" s="1527"/>
      <c r="Z1889" s="1526"/>
      <c r="AA1889" s="1527"/>
      <c r="AB1889" s="1527"/>
      <c r="AC1889" s="1530">
        <f>+(AC1874+AC1877-AC1879-AC1883-AC1885)/AC1893</f>
        <v>-4.9254627197146759E-2</v>
      </c>
      <c r="AD1889" s="1530">
        <f>+(AD1874+AD1877-AD1879-AD1883-AD1885)/AD1893</f>
        <v>-6.2213450000301318E-2</v>
      </c>
      <c r="AE1889" s="1530">
        <f t="shared" ref="AE1889:AK1889" si="2154">+(AE1874+AE1877-AE1879-AE1883-AE1885)/AE1893</f>
        <v>-8.6596150483648576E-2</v>
      </c>
      <c r="AF1889" s="1530">
        <f t="shared" si="2154"/>
        <v>-8.4359083550959807E-2</v>
      </c>
      <c r="AG1889" s="1530">
        <f t="shared" si="2154"/>
        <v>-9.0158634197711307E-2</v>
      </c>
      <c r="AH1889" s="1530">
        <f t="shared" si="2154"/>
        <v>-7.0695369010980544E-2</v>
      </c>
      <c r="AI1889" s="1530">
        <f t="shared" si="2154"/>
        <v>-6.6219758158556824E-2</v>
      </c>
      <c r="AJ1889" s="1530">
        <f t="shared" si="2154"/>
        <v>-5.4419798945755396E-2</v>
      </c>
      <c r="AK1889" s="1530">
        <f t="shared" si="2154"/>
        <v>-5.7301463749198242E-2</v>
      </c>
    </row>
    <row r="1890" spans="3:46" ht="16.5">
      <c r="C1890" s="1061"/>
      <c r="D1890" s="1525" t="s">
        <v>1081</v>
      </c>
      <c r="E1890" s="1526"/>
      <c r="F1890" s="1526"/>
      <c r="G1890" s="1526"/>
      <c r="H1890" s="1526"/>
      <c r="I1890" s="1526"/>
      <c r="J1890" s="1526"/>
      <c r="K1890" s="1526"/>
      <c r="L1890" s="1526"/>
      <c r="M1890" s="1526"/>
      <c r="N1890" s="1526"/>
      <c r="O1890" s="1526"/>
      <c r="P1890" s="1526"/>
      <c r="Q1890" s="1526"/>
      <c r="R1890" s="1526"/>
      <c r="S1890" s="1526"/>
      <c r="T1890" s="1526"/>
      <c r="U1890" s="1527"/>
      <c r="V1890" s="1526"/>
      <c r="W1890" s="1527"/>
      <c r="X1890" s="1526"/>
      <c r="Y1890" s="1527"/>
      <c r="Z1890" s="1526"/>
      <c r="AA1890" s="1527"/>
      <c r="AB1890" s="1527"/>
      <c r="AC1890" s="1528">
        <f t="shared" ref="AC1890:AK1890" si="2155">+AC1344</f>
        <v>356.02913087722652</v>
      </c>
      <c r="AD1890" s="1528">
        <f t="shared" si="2155"/>
        <v>448.31196664374346</v>
      </c>
      <c r="AE1890" s="1528">
        <f t="shared" si="2155"/>
        <v>954.0196915780989</v>
      </c>
      <c r="AF1890" s="1528">
        <f t="shared" si="2155"/>
        <v>657.27244012948665</v>
      </c>
      <c r="AG1890" s="1528">
        <f t="shared" si="2155"/>
        <v>1031.6527436893934</v>
      </c>
      <c r="AH1890" s="1528">
        <f t="shared" si="2155"/>
        <v>808.50862296057437</v>
      </c>
      <c r="AI1890" s="1528">
        <f t="shared" si="2155"/>
        <v>1307.214153385396</v>
      </c>
      <c r="AJ1890" s="1528">
        <f t="shared" si="2155"/>
        <v>1355.1798643930642</v>
      </c>
      <c r="AK1890" s="1528">
        <f t="shared" si="2155"/>
        <v>1418.689908090392</v>
      </c>
    </row>
    <row r="1891" spans="3:46" ht="16.5">
      <c r="C1891" s="669"/>
      <c r="D1891" s="1529" t="s">
        <v>3196</v>
      </c>
      <c r="E1891" s="1526"/>
      <c r="F1891" s="1526"/>
      <c r="G1891" s="1526"/>
      <c r="H1891" s="1526"/>
      <c r="I1891" s="1526"/>
      <c r="J1891" s="1526"/>
      <c r="K1891" s="1526"/>
      <c r="L1891" s="1526"/>
      <c r="M1891" s="1526"/>
      <c r="N1891" s="1526"/>
      <c r="O1891" s="1526"/>
      <c r="P1891" s="1526"/>
      <c r="Q1891" s="1526"/>
      <c r="R1891" s="1526"/>
      <c r="S1891" s="1526"/>
      <c r="T1891" s="1526"/>
      <c r="U1891" s="1527"/>
      <c r="V1891" s="1526"/>
      <c r="W1891" s="1527"/>
      <c r="X1891" s="1526"/>
      <c r="Y1891" s="1527"/>
      <c r="Z1891" s="1526"/>
      <c r="AA1891" s="1527"/>
      <c r="AB1891" s="1527"/>
      <c r="AC1891" s="1526"/>
      <c r="AD1891" s="1526"/>
      <c r="AE1891" s="1526"/>
      <c r="AF1891" s="1526"/>
      <c r="AG1891" s="1526"/>
      <c r="AH1891" s="1526"/>
      <c r="AI1891" s="1526"/>
      <c r="AJ1891" s="1526"/>
      <c r="AK1891" s="1526"/>
    </row>
    <row r="1892" spans="3:46" ht="16.5">
      <c r="C1892" s="669"/>
      <c r="D1892" s="1525" t="s">
        <v>3197</v>
      </c>
      <c r="E1892" s="1526"/>
      <c r="F1892" s="1526"/>
      <c r="G1892" s="1526"/>
      <c r="H1892" s="1526"/>
      <c r="I1892" s="1526"/>
      <c r="J1892" s="1526"/>
      <c r="K1892" s="1526"/>
      <c r="L1892" s="1526"/>
      <c r="M1892" s="1526"/>
      <c r="N1892" s="1526"/>
      <c r="O1892" s="1526"/>
      <c r="P1892" s="1526"/>
      <c r="Q1892" s="1526"/>
      <c r="R1892" s="1526"/>
      <c r="S1892" s="1526"/>
      <c r="T1892" s="1526"/>
      <c r="U1892" s="1527"/>
      <c r="V1892" s="1526"/>
      <c r="W1892" s="1527"/>
      <c r="X1892" s="1526"/>
      <c r="Y1892" s="1527"/>
      <c r="Z1892" s="1526"/>
      <c r="AA1892" s="1527"/>
      <c r="AB1892" s="1527"/>
      <c r="AC1892" s="1528">
        <f>+AC1314-(AC1269-AC1885)</f>
        <v>44.079905962635067</v>
      </c>
      <c r="AD1892" s="1528">
        <f>+AD1314-(AD1269-AD1885)</f>
        <v>69.305109272649247</v>
      </c>
      <c r="AE1892" s="1528">
        <f>+AE1314-(AE1269-AE1885)</f>
        <v>-101.5710739196343</v>
      </c>
      <c r="AF1892" s="1528">
        <f>+AF1314-(AF1269-AF1885)</f>
        <v>210.30188420204124</v>
      </c>
      <c r="AG1892" s="1528">
        <f>+AG1314-(AG1269-AG1885)</f>
        <v>11.876896346953714</v>
      </c>
      <c r="AH1892" s="1528" t="e">
        <f>+#REF!-(AH1269-AH1885)</f>
        <v>#REF!</v>
      </c>
      <c r="AI1892" s="1528">
        <f>+AI1314-(AI1269-AI1885)</f>
        <v>-13.088567749374263</v>
      </c>
      <c r="AJ1892" s="1528">
        <f>+AJ1314-(AJ1269-AJ1885)</f>
        <v>-166.55429045401445</v>
      </c>
      <c r="AK1892" s="1528">
        <f>+AK1314-(AK1269-AK1885)</f>
        <v>30.274595798100336</v>
      </c>
    </row>
    <row r="1893" spans="3:46" ht="16.5">
      <c r="C1893" s="668"/>
      <c r="D1893" s="1531" t="s">
        <v>3198</v>
      </c>
      <c r="E1893" s="1526"/>
      <c r="F1893" s="1526"/>
      <c r="G1893" s="1526"/>
      <c r="H1893" s="1526"/>
      <c r="I1893" s="1526"/>
      <c r="J1893" s="1526"/>
      <c r="K1893" s="1526"/>
      <c r="L1893" s="1526"/>
      <c r="M1893" s="1526"/>
      <c r="N1893" s="1526"/>
      <c r="O1893" s="1526"/>
      <c r="P1893" s="1526"/>
      <c r="Q1893" s="1526"/>
      <c r="R1893" s="1526"/>
      <c r="S1893" s="1526"/>
      <c r="T1893" s="1526"/>
      <c r="U1893" s="1527"/>
      <c r="V1893" s="1526"/>
      <c r="W1893" s="1527"/>
      <c r="X1893" s="1526"/>
      <c r="Y1893" s="1527"/>
      <c r="Z1893" s="1526"/>
      <c r="AA1893" s="1527"/>
      <c r="AB1893" s="1527"/>
      <c r="AC1893" s="1532">
        <f t="shared" ref="AC1893:AK1893" si="2156">+AC421</f>
        <v>7982</v>
      </c>
      <c r="AD1893" s="1532">
        <f t="shared" si="2156"/>
        <v>8784</v>
      </c>
      <c r="AE1893" s="1532">
        <f t="shared" si="2156"/>
        <v>9640</v>
      </c>
      <c r="AF1893" s="1532">
        <f t="shared" si="2156"/>
        <v>10499</v>
      </c>
      <c r="AG1893" s="1532">
        <f t="shared" si="2156"/>
        <v>12359</v>
      </c>
      <c r="AH1893" s="1532">
        <f t="shared" si="2156"/>
        <v>15800</v>
      </c>
      <c r="AI1893" s="1532">
        <f t="shared" si="2156"/>
        <v>18547.5</v>
      </c>
      <c r="AJ1893" s="1532">
        <f t="shared" si="2156"/>
        <v>21652.5</v>
      </c>
      <c r="AK1893" s="1532">
        <f t="shared" si="2156"/>
        <v>25286.692679098727</v>
      </c>
    </row>
    <row r="1894" spans="3:46" ht="16.8" thickBot="1">
      <c r="C1894" s="670"/>
      <c r="D1894" s="1533" t="s">
        <v>3199</v>
      </c>
      <c r="E1894" s="1534"/>
      <c r="F1894" s="1534"/>
      <c r="G1894" s="1534"/>
      <c r="H1894" s="1534"/>
      <c r="I1894" s="1534"/>
      <c r="J1894" s="1534"/>
      <c r="K1894" s="1534"/>
      <c r="L1894" s="1534"/>
      <c r="M1894" s="1534"/>
      <c r="N1894" s="1534"/>
      <c r="O1894" s="1534"/>
      <c r="P1894" s="1534"/>
      <c r="Q1894" s="1534"/>
      <c r="R1894" s="1534"/>
      <c r="S1894" s="1534"/>
      <c r="T1894" s="1534"/>
      <c r="U1894" s="1535"/>
      <c r="V1894" s="1534"/>
      <c r="W1894" s="1535"/>
      <c r="X1894" s="1534"/>
      <c r="Y1894" s="1535"/>
      <c r="Z1894" s="1534"/>
      <c r="AA1894" s="1535"/>
      <c r="AB1894" s="1535"/>
      <c r="AC1894" s="1536">
        <f t="shared" ref="AC1894:AK1894" si="2157">+AC1874+AC1877-AC1879-AC1883-AC1885+AC1890+AC1892</f>
        <v>6.9586025522361439</v>
      </c>
      <c r="AD1894" s="1536">
        <f t="shared" si="2157"/>
        <v>-28.865868886254077</v>
      </c>
      <c r="AE1894" s="1536">
        <f t="shared" si="2157"/>
        <v>17.661726996092369</v>
      </c>
      <c r="AF1894" s="1536">
        <f t="shared" si="2157"/>
        <v>-18.111693869999073</v>
      </c>
      <c r="AG1894" s="1536">
        <f t="shared" si="2157"/>
        <v>-70.7409200131668</v>
      </c>
      <c r="AH1894" s="1536" t="e">
        <f t="shared" si="2157"/>
        <v>#REF!</v>
      </c>
      <c r="AI1894" s="1536">
        <f t="shared" si="2157"/>
        <v>65.914621190189152</v>
      </c>
      <c r="AJ1894" s="1536">
        <f t="shared" si="2157"/>
        <v>10.300877266081102</v>
      </c>
      <c r="AK1894" s="1536">
        <f t="shared" si="2157"/>
        <v>0</v>
      </c>
    </row>
    <row r="1895" spans="3:46" ht="16.5">
      <c r="C1895" s="670"/>
      <c r="D1895" s="74" t="s">
        <v>3200</v>
      </c>
    </row>
    <row r="1896" spans="3:46" ht="16.5">
      <c r="C1896" s="670"/>
      <c r="E1896" s="1"/>
      <c r="F1896" s="1"/>
      <c r="G1896" s="1"/>
      <c r="H1896" s="1"/>
      <c r="I1896" s="1"/>
      <c r="J1896" s="1"/>
      <c r="K1896" s="1"/>
      <c r="L1896" s="1"/>
      <c r="M1896" s="1"/>
      <c r="N1896" s="1"/>
      <c r="O1896" s="1"/>
      <c r="P1896" s="1"/>
      <c r="Q1896" s="1"/>
      <c r="R1896" s="1"/>
      <c r="S1896" s="1"/>
      <c r="T1896" s="1"/>
      <c r="V1896" s="1"/>
      <c r="X1896" s="1"/>
      <c r="Z1896" s="1"/>
    </row>
    <row r="1897" spans="3:46" ht="16.5">
      <c r="C1897" s="674"/>
      <c r="E1897" s="1"/>
      <c r="F1897" s="1"/>
      <c r="G1897" s="1"/>
      <c r="H1897" s="1"/>
      <c r="I1897" s="1"/>
      <c r="J1897" s="1"/>
      <c r="K1897" s="1"/>
      <c r="L1897" s="1"/>
      <c r="M1897" s="1"/>
      <c r="N1897" s="1"/>
      <c r="O1897" s="1"/>
      <c r="P1897" s="1"/>
      <c r="Q1897" s="1"/>
      <c r="R1897" s="1"/>
      <c r="S1897" s="1"/>
      <c r="T1897" s="1"/>
      <c r="V1897" s="1"/>
      <c r="X1897" s="1"/>
      <c r="Z1897" s="1"/>
    </row>
    <row r="1898" spans="3:46" ht="16.5">
      <c r="C1898" s="674"/>
      <c r="D1898" s="74" t="s">
        <v>3395</v>
      </c>
      <c r="E1898" s="1"/>
      <c r="F1898" s="1"/>
      <c r="G1898" s="1"/>
      <c r="H1898" s="1"/>
      <c r="I1898" s="1"/>
      <c r="J1898" s="1"/>
      <c r="K1898" s="1"/>
      <c r="L1898" s="1"/>
      <c r="M1898" s="1"/>
      <c r="N1898" s="1"/>
      <c r="O1898" s="1"/>
      <c r="P1898" s="1"/>
      <c r="Q1898" s="1"/>
      <c r="R1898" s="1"/>
      <c r="S1898" s="1"/>
      <c r="T1898" s="1"/>
      <c r="V1898" s="1"/>
      <c r="X1898" s="1"/>
      <c r="Z1898" s="1"/>
      <c r="AC1898" s="74" t="s">
        <v>3396</v>
      </c>
    </row>
    <row r="1899" spans="3:46" ht="16.5">
      <c r="C1899" s="674"/>
      <c r="D1899" s="1704"/>
      <c r="E1899" s="1704"/>
      <c r="J1899" s="1705" t="s">
        <v>182</v>
      </c>
      <c r="K1899" s="1705" t="s">
        <v>1062</v>
      </c>
      <c r="L1899" s="1705" t="s">
        <v>1088</v>
      </c>
      <c r="M1899" s="1"/>
      <c r="N1899" s="1"/>
      <c r="O1899" s="1"/>
      <c r="P1899" s="1"/>
      <c r="Q1899" s="1"/>
      <c r="R1899" s="1"/>
      <c r="S1899" s="1"/>
      <c r="T1899" s="1"/>
      <c r="V1899" s="1"/>
      <c r="X1899" s="1"/>
      <c r="Z1899" s="1"/>
      <c r="AA1899" s="1706" t="s">
        <v>178</v>
      </c>
      <c r="AB1899" s="1706" t="s">
        <v>179</v>
      </c>
      <c r="AC1899" s="1706" t="s">
        <v>180</v>
      </c>
      <c r="AD1899" s="1705" t="s">
        <v>181</v>
      </c>
      <c r="AE1899" s="1705" t="s">
        <v>182</v>
      </c>
      <c r="AF1899" s="1705" t="s">
        <v>1062</v>
      </c>
      <c r="AG1899" s="1705" t="s">
        <v>1088</v>
      </c>
      <c r="AH1899" s="1705" t="s">
        <v>1089</v>
      </c>
      <c r="AI1899" s="1705" t="s">
        <v>1090</v>
      </c>
      <c r="AJ1899" s="1705" t="s">
        <v>1091</v>
      </c>
      <c r="AK1899" s="1705" t="s">
        <v>1092</v>
      </c>
      <c r="AL1899" s="1705" t="s">
        <v>3216</v>
      </c>
      <c r="AM1899" s="1705" t="s">
        <v>3305</v>
      </c>
      <c r="AN1899" s="1705"/>
      <c r="AO1899" s="1705"/>
      <c r="AP1899" s="1705"/>
      <c r="AQ1899" s="1705"/>
      <c r="AR1899" s="1705"/>
      <c r="AS1899" s="1705"/>
      <c r="AT1899" s="1705"/>
    </row>
    <row r="1900" spans="3:46" ht="16.5">
      <c r="C1900" s="670"/>
      <c r="D1900" s="1707" t="s">
        <v>3397</v>
      </c>
      <c r="E1900" s="1708"/>
      <c r="J1900" s="1709"/>
      <c r="K1900" s="1709"/>
      <c r="L1900" s="1709"/>
      <c r="M1900" s="1"/>
      <c r="N1900" s="1"/>
      <c r="O1900" s="1"/>
      <c r="P1900" s="1"/>
      <c r="Q1900" s="1"/>
      <c r="R1900" s="1"/>
      <c r="S1900" s="1"/>
      <c r="T1900" s="1"/>
      <c r="V1900" s="1"/>
      <c r="X1900" s="1"/>
      <c r="Z1900" s="1"/>
      <c r="AA1900" s="1708"/>
      <c r="AB1900" s="1708"/>
      <c r="AC1900" s="1708"/>
      <c r="AD1900" s="1710"/>
      <c r="AE1900" s="1711"/>
      <c r="AF1900" s="1710"/>
      <c r="AG1900" s="1710"/>
      <c r="AH1900" s="1710"/>
      <c r="AI1900" s="1710"/>
      <c r="AJ1900" s="1710"/>
      <c r="AK1900" s="1710"/>
      <c r="AL1900" s="1710"/>
      <c r="AM1900" s="1710"/>
      <c r="AN1900" s="1710"/>
      <c r="AO1900" s="1710"/>
      <c r="AP1900" s="1710"/>
      <c r="AQ1900" s="1710"/>
      <c r="AR1900" s="1710"/>
      <c r="AS1900" s="1710"/>
      <c r="AT1900" s="2719"/>
    </row>
    <row r="1901" spans="3:46" ht="16.5">
      <c r="C1901" s="667"/>
      <c r="D1901" s="1712" t="s">
        <v>3398</v>
      </c>
      <c r="E1901" s="1713" t="s">
        <v>3399</v>
      </c>
      <c r="J1901" s="1714">
        <v>2192.9616638392927</v>
      </c>
      <c r="K1901" s="1714">
        <v>2991.9045512284342</v>
      </c>
      <c r="L1901" s="1714">
        <v>3365.3856157414302</v>
      </c>
      <c r="M1901" s="1"/>
      <c r="N1901" s="1"/>
      <c r="O1901" s="1"/>
      <c r="P1901" s="1"/>
      <c r="Q1901" s="1"/>
      <c r="R1901" s="1"/>
      <c r="S1901" s="1"/>
      <c r="T1901" s="1"/>
      <c r="V1901" s="1"/>
      <c r="X1901" s="1"/>
      <c r="Z1901" s="1"/>
      <c r="AA1901" s="1715">
        <v>1000456.927441</v>
      </c>
      <c r="AB1901" s="1715">
        <v>1103747.104853</v>
      </c>
      <c r="AC1901" s="1715">
        <v>1252754.266598</v>
      </c>
      <c r="AD1901" s="1716">
        <f t="shared" ref="AD1901:AM1901" si="2158">AD1061</f>
        <v>1402.5222584188773</v>
      </c>
      <c r="AE1901" s="1716">
        <f t="shared" si="2158"/>
        <v>1475.6087142883362</v>
      </c>
      <c r="AF1901" s="1716">
        <f t="shared" si="2158"/>
        <v>1621.6892824968349</v>
      </c>
      <c r="AG1901" s="1716">
        <f t="shared" si="2158"/>
        <v>1876.7735911488621</v>
      </c>
      <c r="AH1901" s="1716">
        <f t="shared" si="2158"/>
        <v>2287.3717968127403</v>
      </c>
      <c r="AI1901" s="1716">
        <f t="shared" si="2158"/>
        <v>2593.3215244053272</v>
      </c>
      <c r="AJ1901" s="1716">
        <f t="shared" si="2158"/>
        <v>3065.0665560333864</v>
      </c>
      <c r="AK1901" s="1716">
        <f t="shared" si="2158"/>
        <v>3786.9470845257852</v>
      </c>
      <c r="AL1901" s="1716">
        <f t="shared" si="2158"/>
        <v>4541.2918521605025</v>
      </c>
      <c r="AM1901" s="1716">
        <f t="shared" si="2158"/>
        <v>5236.6446374345378</v>
      </c>
      <c r="AN1901" s="1716"/>
      <c r="AO1901" s="1716"/>
      <c r="AP1901" s="1716"/>
      <c r="AQ1901" s="1716"/>
      <c r="AR1901" s="1716"/>
      <c r="AS1901" s="1716"/>
      <c r="AT1901" s="2720"/>
    </row>
    <row r="1902" spans="3:46" ht="16.5">
      <c r="C1902" s="671"/>
      <c r="D1902" s="1717" t="s">
        <v>3400</v>
      </c>
      <c r="E1902" s="1718" t="s">
        <v>3401</v>
      </c>
      <c r="J1902" s="1719">
        <v>1475.6087142883362</v>
      </c>
      <c r="K1902" s="1719">
        <v>1849.1356349240589</v>
      </c>
      <c r="L1902" s="1719">
        <v>2110.4965351470682</v>
      </c>
      <c r="M1902" s="1"/>
      <c r="N1902" s="1"/>
      <c r="O1902" s="1"/>
      <c r="P1902" s="1"/>
      <c r="Q1902" s="1"/>
      <c r="R1902" s="1"/>
      <c r="S1902" s="1"/>
      <c r="T1902" s="1"/>
      <c r="V1902" s="1"/>
      <c r="X1902" s="1"/>
      <c r="Z1902" s="1"/>
      <c r="AA1902" s="1720">
        <v>381280.25289599999</v>
      </c>
      <c r="AB1902" s="1720">
        <v>446375.679519</v>
      </c>
      <c r="AC1902" s="1720">
        <v>511930.24092399998</v>
      </c>
      <c r="AD1902" s="1721">
        <f t="shared" ref="AD1902:AM1902" si="2159">AD1062</f>
        <v>595.37385272420011</v>
      </c>
      <c r="AE1902" s="1721">
        <f t="shared" si="2159"/>
        <v>641.47554394712381</v>
      </c>
      <c r="AF1902" s="1721">
        <f t="shared" si="2159"/>
        <v>702.55260756047778</v>
      </c>
      <c r="AG1902" s="1721">
        <f t="shared" si="2159"/>
        <v>853.55684608539536</v>
      </c>
      <c r="AH1902" s="1721">
        <f t="shared" si="2159"/>
        <v>1022.742125332979</v>
      </c>
      <c r="AI1902" s="1721">
        <f t="shared" si="2159"/>
        <v>1178.5718488090074</v>
      </c>
      <c r="AJ1902" s="1721">
        <f t="shared" si="2159"/>
        <v>1357.4164231816922</v>
      </c>
      <c r="AK1902" s="1721">
        <f t="shared" si="2159"/>
        <v>1565.5900361645552</v>
      </c>
      <c r="AL1902" s="1721">
        <f t="shared" si="2159"/>
        <v>1874.5924069587008</v>
      </c>
      <c r="AM1902" s="1721">
        <f t="shared" si="2159"/>
        <v>2180.1016410253937</v>
      </c>
      <c r="AN1902" s="1721"/>
      <c r="AO1902" s="1721"/>
      <c r="AP1902" s="1721"/>
      <c r="AQ1902" s="1721"/>
      <c r="AR1902" s="1721"/>
      <c r="AS1902" s="1721"/>
      <c r="AT1902" s="1721"/>
    </row>
    <row r="1903" spans="3:46" ht="16.5">
      <c r="C1903" s="670"/>
      <c r="D1903" s="1717" t="s">
        <v>3402</v>
      </c>
      <c r="E1903" s="1718" t="s">
        <v>3403</v>
      </c>
      <c r="J1903" s="1719">
        <v>641.47554394712381</v>
      </c>
      <c r="K1903" s="1719">
        <v>828.03786965296592</v>
      </c>
      <c r="L1903" s="1719">
        <v>916.67794580876125</v>
      </c>
      <c r="M1903" s="1"/>
      <c r="N1903" s="1"/>
      <c r="O1903" s="1"/>
      <c r="P1903" s="1"/>
      <c r="Q1903" s="1"/>
      <c r="R1903" s="1"/>
      <c r="S1903" s="1"/>
      <c r="T1903" s="1"/>
      <c r="V1903" s="1"/>
      <c r="X1903" s="1"/>
      <c r="Z1903" s="1"/>
      <c r="AA1903" s="1720">
        <v>0</v>
      </c>
      <c r="AB1903" s="1720">
        <v>0</v>
      </c>
      <c r="AC1903" s="1720">
        <v>0</v>
      </c>
      <c r="AD1903" s="1721">
        <f t="shared" ref="AD1903:AM1903" si="2160">AC1069</f>
        <v>0</v>
      </c>
      <c r="AE1903" s="1721">
        <f t="shared" si="2160"/>
        <v>0</v>
      </c>
      <c r="AF1903" s="1721">
        <f t="shared" si="2160"/>
        <v>0</v>
      </c>
      <c r="AG1903" s="1721">
        <f t="shared" si="2160"/>
        <v>0</v>
      </c>
      <c r="AH1903" s="1721">
        <f t="shared" si="2160"/>
        <v>0</v>
      </c>
      <c r="AI1903" s="1721">
        <f t="shared" si="2160"/>
        <v>0</v>
      </c>
      <c r="AJ1903" s="1721">
        <f t="shared" si="2160"/>
        <v>0</v>
      </c>
      <c r="AK1903" s="1721">
        <f t="shared" si="2160"/>
        <v>0</v>
      </c>
      <c r="AL1903" s="1721">
        <f t="shared" si="2160"/>
        <v>0</v>
      </c>
      <c r="AM1903" s="1721">
        <f t="shared" si="2160"/>
        <v>0</v>
      </c>
      <c r="AN1903" s="1721"/>
      <c r="AO1903" s="1721"/>
      <c r="AP1903" s="1721"/>
      <c r="AQ1903" s="1721"/>
      <c r="AR1903" s="1721"/>
      <c r="AS1903" s="1721"/>
      <c r="AT1903" s="1721"/>
    </row>
    <row r="1904" spans="3:46" ht="16.5">
      <c r="C1904" s="670"/>
      <c r="D1904" s="1717" t="s">
        <v>3404</v>
      </c>
      <c r="E1904" s="1722"/>
      <c r="J1904" s="1719">
        <v>0</v>
      </c>
      <c r="K1904" s="1719">
        <v>0</v>
      </c>
      <c r="L1904" s="1719">
        <v>0</v>
      </c>
      <c r="M1904" s="1"/>
      <c r="N1904" s="1"/>
      <c r="O1904" s="1"/>
      <c r="P1904" s="1"/>
      <c r="Q1904" s="1"/>
      <c r="R1904" s="1"/>
      <c r="S1904" s="1"/>
      <c r="T1904" s="1"/>
      <c r="V1904" s="1"/>
      <c r="X1904" s="1"/>
      <c r="Z1904" s="1"/>
      <c r="AA1904" s="1720">
        <v>1594.101997</v>
      </c>
      <c r="AB1904" s="1720">
        <v>1235.2098309999999</v>
      </c>
      <c r="AC1904" s="1720">
        <v>1119.4774500000001</v>
      </c>
      <c r="AD1904" s="1716">
        <f t="shared" ref="AD1904:AM1904" si="2161">AD1070</f>
        <v>19.372400629999998</v>
      </c>
      <c r="AE1904" s="1716">
        <f t="shared" si="2161"/>
        <v>4.6428780387518458</v>
      </c>
      <c r="AF1904" s="1716">
        <f t="shared" si="2161"/>
        <v>19.443675029298234</v>
      </c>
      <c r="AG1904" s="1716">
        <f t="shared" si="2161"/>
        <v>17.107113807486726</v>
      </c>
      <c r="AH1904" s="1716">
        <f t="shared" si="2161"/>
        <v>22.576045216121535</v>
      </c>
      <c r="AI1904" s="1716">
        <f t="shared" si="2161"/>
        <v>30.501623556453502</v>
      </c>
      <c r="AJ1904" s="1716">
        <f t="shared" si="2161"/>
        <v>45.980709111222225</v>
      </c>
      <c r="AK1904" s="1716">
        <f t="shared" si="2161"/>
        <v>62.153817381728253</v>
      </c>
      <c r="AL1904" s="1716">
        <f t="shared" si="2161"/>
        <v>76.518272458830737</v>
      </c>
      <c r="AM1904" s="1716">
        <f t="shared" si="2161"/>
        <v>76.306362603500943</v>
      </c>
      <c r="AN1904" s="1716"/>
      <c r="AO1904" s="1716"/>
      <c r="AP1904" s="1716"/>
      <c r="AQ1904" s="1716"/>
      <c r="AR1904" s="1716"/>
      <c r="AS1904" s="1716"/>
      <c r="AT1904" s="2720"/>
    </row>
    <row r="1905" spans="3:46" ht="16.5">
      <c r="C1905" s="670"/>
      <c r="D1905" s="1717" t="s">
        <v>3405</v>
      </c>
      <c r="E1905" s="1722"/>
      <c r="J1905" s="1719">
        <v>4.6428780387518458</v>
      </c>
      <c r="K1905" s="1719">
        <v>28.234302750689814</v>
      </c>
      <c r="L1905" s="1719">
        <v>33.717346942522362</v>
      </c>
      <c r="M1905" s="1"/>
      <c r="N1905" s="1"/>
      <c r="O1905" s="1"/>
      <c r="P1905" s="1"/>
      <c r="Q1905" s="1"/>
      <c r="R1905" s="1"/>
      <c r="S1905" s="1"/>
      <c r="T1905" s="1"/>
      <c r="V1905" s="1"/>
      <c r="X1905" s="1"/>
      <c r="Z1905" s="1"/>
      <c r="AA1905" s="1720">
        <v>446824.55323800002</v>
      </c>
      <c r="AB1905" s="1720">
        <v>486867.52510199999</v>
      </c>
      <c r="AC1905" s="1720">
        <v>557176.72265600006</v>
      </c>
      <c r="AD1905" s="1716">
        <f t="shared" ref="AD1905:AM1905" si="2162">AD1077</f>
        <v>676.03063632067722</v>
      </c>
      <c r="AE1905" s="1716">
        <f t="shared" si="2162"/>
        <v>712.20880818108037</v>
      </c>
      <c r="AF1905" s="1716">
        <f t="shared" si="2162"/>
        <v>775.95022002114797</v>
      </c>
      <c r="AG1905" s="1716">
        <f t="shared" si="2162"/>
        <v>873.08969211644808</v>
      </c>
      <c r="AH1905" s="1716">
        <f t="shared" si="2162"/>
        <v>1030.4229988219749</v>
      </c>
      <c r="AI1905" s="1716">
        <f t="shared" si="2162"/>
        <v>1189.7617317343922</v>
      </c>
      <c r="AJ1905" s="1716">
        <f t="shared" si="2162"/>
        <v>1419.2655107666924</v>
      </c>
      <c r="AK1905" s="1716">
        <f t="shared" si="2162"/>
        <v>1883.5527549219553</v>
      </c>
      <c r="AL1905" s="1716">
        <f t="shared" si="2162"/>
        <v>2265.4390322295317</v>
      </c>
      <c r="AM1905" s="1716">
        <f t="shared" si="2162"/>
        <v>2610.8470628839227</v>
      </c>
      <c r="AN1905" s="1716"/>
      <c r="AO1905" s="1716"/>
      <c r="AP1905" s="1716"/>
      <c r="AQ1905" s="1716"/>
      <c r="AR1905" s="1716"/>
      <c r="AS1905" s="1716"/>
      <c r="AT1905" s="2720"/>
    </row>
    <row r="1906" spans="3:46" ht="16.5">
      <c r="C1906" s="674"/>
      <c r="D1906" s="1717" t="s">
        <v>3406</v>
      </c>
      <c r="E1906" s="1722"/>
      <c r="J1906" s="1719">
        <v>712.20880818108037</v>
      </c>
      <c r="K1906" s="1719">
        <v>860.21500106614053</v>
      </c>
      <c r="L1906" s="1719">
        <v>980.81615787550891</v>
      </c>
      <c r="M1906" s="1"/>
      <c r="N1906" s="1"/>
      <c r="O1906" s="1"/>
      <c r="P1906" s="1"/>
      <c r="Q1906" s="1"/>
      <c r="R1906" s="1"/>
      <c r="S1906" s="1"/>
      <c r="T1906" s="1"/>
      <c r="V1906" s="1"/>
      <c r="X1906" s="1"/>
      <c r="Z1906" s="1"/>
      <c r="AA1906" s="1720">
        <v>170758.01931</v>
      </c>
      <c r="AB1906" s="1720">
        <v>169268.690401</v>
      </c>
      <c r="AC1906" s="1720">
        <v>182527.82556900001</v>
      </c>
      <c r="AD1906" s="1721">
        <f t="shared" ref="AD1906:AM1906" si="2163">AD1099</f>
        <v>111.745368744</v>
      </c>
      <c r="AE1906" s="1721">
        <f t="shared" si="2163"/>
        <v>117.28148412138</v>
      </c>
      <c r="AF1906" s="1721">
        <f t="shared" si="2163"/>
        <v>123.74277988591115</v>
      </c>
      <c r="AG1906" s="1721">
        <f t="shared" si="2163"/>
        <v>133.01993913953143</v>
      </c>
      <c r="AH1906" s="1721">
        <f t="shared" si="2163"/>
        <v>211.6306274416647</v>
      </c>
      <c r="AI1906" s="1721">
        <f t="shared" si="2163"/>
        <v>194.48632030547415</v>
      </c>
      <c r="AJ1906" s="1721">
        <f t="shared" si="2163"/>
        <v>242.40391297378</v>
      </c>
      <c r="AK1906" s="1721">
        <f t="shared" si="2163"/>
        <v>275.65047605754671</v>
      </c>
      <c r="AL1906" s="1721">
        <f t="shared" si="2163"/>
        <v>324.74214051343898</v>
      </c>
      <c r="AM1906" s="1721">
        <f t="shared" si="2163"/>
        <v>369.38957092172012</v>
      </c>
      <c r="AN1906" s="1721"/>
      <c r="AO1906" s="1721"/>
      <c r="AP1906" s="1721"/>
      <c r="AQ1906" s="1721"/>
      <c r="AR1906" s="1721"/>
      <c r="AS1906" s="1721"/>
      <c r="AT1906" s="1721"/>
    </row>
    <row r="1907" spans="3:46" ht="16.5">
      <c r="C1907" s="671"/>
      <c r="D1907" s="1723" t="s">
        <v>3407</v>
      </c>
      <c r="E1907" s="9" t="s">
        <v>3408</v>
      </c>
      <c r="J1907" s="1714">
        <v>117.28148412138</v>
      </c>
      <c r="K1907" s="1714">
        <v>132.64846145426256</v>
      </c>
      <c r="L1907" s="1714">
        <v>179.28508452027566</v>
      </c>
      <c r="M1907" s="1"/>
      <c r="N1907" s="1"/>
      <c r="O1907" s="1"/>
      <c r="P1907" s="1"/>
      <c r="Q1907" s="1"/>
      <c r="R1907" s="1"/>
      <c r="S1907" s="1"/>
      <c r="T1907" s="1"/>
      <c r="V1907" s="1"/>
      <c r="X1907" s="1"/>
      <c r="Z1907" s="1"/>
      <c r="AA1907" s="1724">
        <v>121089.838986</v>
      </c>
      <c r="AB1907" s="1724">
        <v>200132.98153799999</v>
      </c>
      <c r="AC1907" s="1724">
        <v>203275.627634</v>
      </c>
      <c r="AD1907" s="1716">
        <f t="shared" ref="AD1907:AM1907" si="2164">AD1132</f>
        <v>267.75505516264832</v>
      </c>
      <c r="AE1907" s="1716">
        <f t="shared" si="2164"/>
        <v>289.92302903184969</v>
      </c>
      <c r="AF1907" s="1716">
        <f t="shared" si="2164"/>
        <v>385.41374679017065</v>
      </c>
      <c r="AG1907" s="1716">
        <f t="shared" si="2164"/>
        <v>401.22505476096023</v>
      </c>
      <c r="AH1907" s="1716">
        <f t="shared" si="2164"/>
        <v>400.88814089864593</v>
      </c>
      <c r="AI1907" s="1716">
        <f t="shared" si="2164"/>
        <v>460.01542773408448</v>
      </c>
      <c r="AJ1907" s="1716">
        <f t="shared" si="2164"/>
        <v>494.31204530502617</v>
      </c>
      <c r="AK1907" s="1716">
        <f t="shared" si="2164"/>
        <v>553.88400152487952</v>
      </c>
      <c r="AL1907" s="1716">
        <f t="shared" si="2164"/>
        <v>613.78129736506344</v>
      </c>
      <c r="AM1907" s="1716">
        <f t="shared" si="2164"/>
        <v>690.65472630863064</v>
      </c>
      <c r="AN1907" s="1716"/>
      <c r="AO1907" s="1716"/>
      <c r="AP1907" s="1716"/>
      <c r="AQ1907" s="1716"/>
      <c r="AR1907" s="1716"/>
      <c r="AS1907" s="1716"/>
      <c r="AT1907" s="2720"/>
    </row>
    <row r="1908" spans="3:46" ht="16.5">
      <c r="C1908" s="670"/>
      <c r="D1908" s="1725" t="s">
        <v>3409</v>
      </c>
      <c r="E1908" s="1726"/>
      <c r="J1908" s="1719" t="s">
        <v>115</v>
      </c>
      <c r="K1908" s="1719" t="s">
        <v>115</v>
      </c>
      <c r="L1908" s="1719" t="s">
        <v>115</v>
      </c>
      <c r="M1908" s="1"/>
      <c r="N1908" s="1"/>
      <c r="O1908" s="1"/>
      <c r="P1908" s="1"/>
      <c r="Q1908" s="1"/>
      <c r="R1908" s="1"/>
      <c r="S1908" s="1"/>
      <c r="T1908" s="1"/>
      <c r="V1908" s="1"/>
      <c r="X1908" s="1"/>
      <c r="Z1908" s="1"/>
      <c r="AA1908" s="1727">
        <v>7993.0875649999998</v>
      </c>
      <c r="AB1908" s="1727">
        <v>5406.4619009999997</v>
      </c>
      <c r="AC1908" s="1727">
        <v>5702.8888770000003</v>
      </c>
      <c r="AD1908" s="1721">
        <f t="shared" ref="AD1908:AM1908" si="2165">AD1133</f>
        <v>4.7370362420000003</v>
      </c>
      <c r="AE1908" s="1721">
        <f t="shared" si="2165"/>
        <v>20.327638891539998</v>
      </c>
      <c r="AF1908" s="1721">
        <f t="shared" si="2165"/>
        <v>19.584410687289058</v>
      </c>
      <c r="AG1908" s="1721">
        <f t="shared" si="2165"/>
        <v>13.349443622742999</v>
      </c>
      <c r="AH1908" s="1721">
        <f t="shared" si="2165"/>
        <v>14.630219605303161</v>
      </c>
      <c r="AI1908" s="1721">
        <f t="shared" si="2165"/>
        <v>24.476467754939073</v>
      </c>
      <c r="AJ1908" s="1721">
        <f t="shared" si="2165"/>
        <v>12.840608534999999</v>
      </c>
      <c r="AK1908" s="1721">
        <f t="shared" si="2165"/>
        <v>44.396938397542485</v>
      </c>
      <c r="AL1908" s="1721">
        <f t="shared" si="2165"/>
        <v>29.476193147379906</v>
      </c>
      <c r="AM1908" s="1721">
        <f t="shared" si="2165"/>
        <v>31.974271472554108</v>
      </c>
      <c r="AN1908" s="1721"/>
      <c r="AO1908" s="1721"/>
      <c r="AP1908" s="1721"/>
      <c r="AQ1908" s="1721"/>
      <c r="AR1908" s="1721"/>
      <c r="AS1908" s="1721"/>
      <c r="AT1908" s="1721"/>
    </row>
    <row r="1909" spans="3:46" ht="16.5">
      <c r="C1909" s="674"/>
      <c r="D1909" s="1725" t="s">
        <v>3410</v>
      </c>
      <c r="E1909" s="77" t="s">
        <v>3411</v>
      </c>
      <c r="J1909" s="1719">
        <v>20.327638891540001</v>
      </c>
      <c r="K1909" s="1719">
        <v>23.207013504204046</v>
      </c>
      <c r="L1909" s="1719">
        <v>20.332439271619215</v>
      </c>
      <c r="M1909" s="1"/>
      <c r="N1909" s="1"/>
      <c r="O1909" s="1"/>
      <c r="P1909" s="1"/>
      <c r="Q1909" s="1"/>
      <c r="R1909" s="1"/>
      <c r="S1909" s="1"/>
      <c r="T1909" s="1"/>
      <c r="V1909" s="1"/>
      <c r="X1909" s="1"/>
      <c r="Z1909" s="1"/>
      <c r="AA1909" s="1727">
        <v>86958.988882999998</v>
      </c>
      <c r="AB1909" s="1727">
        <v>78892.601433000003</v>
      </c>
      <c r="AC1909" s="1727">
        <v>96343.689440999995</v>
      </c>
      <c r="AD1909" s="1721">
        <f t="shared" ref="AD1909:AM1909" si="2166">AD1139</f>
        <v>254.60815363064833</v>
      </c>
      <c r="AE1909" s="1721">
        <f t="shared" si="2166"/>
        <v>239.49112674760897</v>
      </c>
      <c r="AF1909" s="1721">
        <f t="shared" si="2166"/>
        <v>301.35411425052644</v>
      </c>
      <c r="AG1909" s="1721">
        <f t="shared" si="2166"/>
        <v>328.663104256206</v>
      </c>
      <c r="AH1909" s="1721">
        <f t="shared" si="2166"/>
        <v>321.33059108164434</v>
      </c>
      <c r="AI1909" s="1721">
        <f t="shared" si="2166"/>
        <v>395.34517266296109</v>
      </c>
      <c r="AJ1909" s="1721">
        <f t="shared" si="2166"/>
        <v>382.59057551751607</v>
      </c>
      <c r="AK1909" s="1721">
        <f t="shared" si="2166"/>
        <v>467.69614147937727</v>
      </c>
      <c r="AL1909" s="1721">
        <f t="shared" si="2166"/>
        <v>537.67062361354385</v>
      </c>
      <c r="AM1909" s="1721">
        <f t="shared" si="2166"/>
        <v>606.37400325512499</v>
      </c>
      <c r="AN1909" s="1721"/>
      <c r="AO1909" s="1721"/>
      <c r="AP1909" s="1721"/>
      <c r="AQ1909" s="1721"/>
      <c r="AR1909" s="1721"/>
      <c r="AS1909" s="1721"/>
      <c r="AT1909" s="1721"/>
    </row>
    <row r="1910" spans="3:46" ht="16.5">
      <c r="C1910" s="665"/>
      <c r="D1910" s="1725" t="s">
        <v>3026</v>
      </c>
      <c r="E1910" s="1726"/>
      <c r="J1910" s="1719">
        <v>239.49112674760897</v>
      </c>
      <c r="K1910" s="1719">
        <v>369.2452313928253</v>
      </c>
      <c r="L1910" s="1719">
        <v>311.54929588351865</v>
      </c>
      <c r="M1910" s="1"/>
      <c r="N1910" s="1"/>
      <c r="O1910" s="1"/>
      <c r="P1910" s="1"/>
      <c r="Q1910" s="1"/>
      <c r="R1910" s="1"/>
      <c r="S1910" s="1"/>
      <c r="T1910" s="1"/>
      <c r="V1910" s="1"/>
      <c r="X1910" s="1"/>
      <c r="Z1910" s="1"/>
      <c r="AA1910" s="1727">
        <v>26137.762537999999</v>
      </c>
      <c r="AB1910" s="1727">
        <v>115833.918204</v>
      </c>
      <c r="AC1910" s="1727">
        <v>101229.049316</v>
      </c>
      <c r="AD1910" s="1721">
        <f t="shared" ref="AD1910:AM1910" si="2167">AD1149</f>
        <v>8.4098652900000008</v>
      </c>
      <c r="AE1910" s="1721">
        <f t="shared" si="2167"/>
        <v>19.975779267939984</v>
      </c>
      <c r="AF1910" s="1721">
        <f t="shared" si="2167"/>
        <v>29.170397677880317</v>
      </c>
      <c r="AG1910" s="1721">
        <f t="shared" si="2167"/>
        <v>36.726644461011233</v>
      </c>
      <c r="AH1910" s="1721">
        <f t="shared" si="2167"/>
        <v>64.927330211698447</v>
      </c>
      <c r="AI1910" s="1721">
        <f t="shared" si="2167"/>
        <v>40.193787316184228</v>
      </c>
      <c r="AJ1910" s="1721">
        <f t="shared" si="2167"/>
        <v>46.810282605510196</v>
      </c>
      <c r="AK1910" s="1721">
        <f t="shared" si="2167"/>
        <v>41.79092164795977</v>
      </c>
      <c r="AL1910" s="1721">
        <f t="shared" si="2167"/>
        <v>46.634480604139682</v>
      </c>
      <c r="AM1910" s="1721">
        <f t="shared" si="2167"/>
        <v>52.306451580951517</v>
      </c>
      <c r="AN1910" s="1721"/>
      <c r="AO1910" s="1721"/>
      <c r="AP1910" s="1721"/>
      <c r="AQ1910" s="1721"/>
      <c r="AR1910" s="1721"/>
      <c r="AS1910" s="1721"/>
      <c r="AT1910" s="1721"/>
    </row>
    <row r="1911" spans="3:46" ht="16.5">
      <c r="C1911" s="666"/>
      <c r="D1911" s="1712" t="s">
        <v>3412</v>
      </c>
      <c r="E1911" s="1713" t="s">
        <v>3413</v>
      </c>
      <c r="J1911" s="1714">
        <v>19.975779267939984</v>
      </c>
      <c r="K1911" s="1714">
        <v>17.989358514286071</v>
      </c>
      <c r="L1911" s="1714">
        <v>16.151581897251315</v>
      </c>
      <c r="M1911" s="1"/>
      <c r="N1911" s="1"/>
      <c r="O1911" s="1"/>
      <c r="P1911" s="1"/>
      <c r="Q1911" s="1"/>
      <c r="R1911" s="1"/>
      <c r="S1911" s="1"/>
      <c r="T1911" s="1"/>
      <c r="V1911" s="1"/>
      <c r="X1911" s="1"/>
      <c r="Z1911" s="1"/>
      <c r="AA1911" s="1715">
        <v>335883.79083499999</v>
      </c>
      <c r="AB1911" s="1715">
        <v>386526.67440600001</v>
      </c>
      <c r="AC1911" s="1715">
        <v>465174.91532999999</v>
      </c>
      <c r="AD1911" s="1716">
        <f>+AD1912+AD1913</f>
        <v>487.64831818439268</v>
      </c>
      <c r="AE1911" s="1716">
        <f t="shared" ref="AE1911:AM1911" si="2168">+AE1912+AE1913</f>
        <v>748.8010537264646</v>
      </c>
      <c r="AF1911" s="1716">
        <f t="shared" si="2168"/>
        <v>757.91090272452789</v>
      </c>
      <c r="AG1911" s="1716">
        <f t="shared" si="2168"/>
        <v>886.59910506934716</v>
      </c>
      <c r="AH1911" s="1716">
        <f t="shared" si="2168"/>
        <v>887.24472458493142</v>
      </c>
      <c r="AI1911" s="1716">
        <f t="shared" si="2168"/>
        <v>1182.7197413170218</v>
      </c>
      <c r="AJ1911" s="1716">
        <f t="shared" si="2168"/>
        <v>1024.6688994111437</v>
      </c>
      <c r="AK1911" s="1716">
        <f t="shared" si="2168"/>
        <v>857.45605211412203</v>
      </c>
      <c r="AL1911" s="1716">
        <f t="shared" si="2168"/>
        <v>968.99724690496862</v>
      </c>
      <c r="AM1911" s="1716">
        <f t="shared" si="2168"/>
        <v>1039.0526619036209</v>
      </c>
      <c r="AN1911" s="1716"/>
      <c r="AO1911" s="1716"/>
      <c r="AP1911" s="1716"/>
      <c r="AQ1911" s="1716"/>
      <c r="AR1911" s="1716"/>
      <c r="AS1911" s="1716"/>
      <c r="AT1911" s="2720"/>
    </row>
    <row r="1912" spans="3:46" ht="16.5">
      <c r="C1912" s="666"/>
      <c r="D1912" s="1717" t="s">
        <v>3414</v>
      </c>
      <c r="E1912" s="1722" t="s">
        <v>3413</v>
      </c>
      <c r="J1912" s="1728" t="s">
        <v>115</v>
      </c>
      <c r="K1912" s="1728" t="s">
        <v>115</v>
      </c>
      <c r="L1912" s="1728" t="s">
        <v>115</v>
      </c>
      <c r="M1912" s="1"/>
      <c r="N1912" s="1"/>
      <c r="O1912" s="1"/>
      <c r="P1912" s="1"/>
      <c r="Q1912" s="1"/>
      <c r="R1912" s="1"/>
      <c r="S1912" s="1"/>
      <c r="T1912" s="1"/>
      <c r="V1912" s="1"/>
      <c r="X1912" s="1"/>
      <c r="Z1912" s="1"/>
      <c r="AA1912" s="1729">
        <v>90301.172871000002</v>
      </c>
      <c r="AB1912" s="1729">
        <v>52989.249921000002</v>
      </c>
      <c r="AC1912" s="1729">
        <v>88820.985992999995</v>
      </c>
      <c r="AD1912" s="1730">
        <f t="shared" ref="AD1912:AM1912" si="2169">AD1468-AD1464</f>
        <v>39.336351540649247</v>
      </c>
      <c r="AE1912" s="1730">
        <f t="shared" si="2169"/>
        <v>-205.21863785163433</v>
      </c>
      <c r="AF1912" s="1730">
        <f t="shared" si="2169"/>
        <v>100.63846259504123</v>
      </c>
      <c r="AG1912" s="1730">
        <f t="shared" si="2169"/>
        <v>-145.05363862004629</v>
      </c>
      <c r="AH1912" s="1730">
        <f t="shared" si="2169"/>
        <v>78.736101624357104</v>
      </c>
      <c r="AI1912" s="1730">
        <f t="shared" si="2169"/>
        <v>-124.49441206837426</v>
      </c>
      <c r="AJ1912" s="1730">
        <f t="shared" si="2169"/>
        <v>-330.51096498192044</v>
      </c>
      <c r="AK1912" s="1730">
        <f t="shared" si="2169"/>
        <v>-561.23385597626998</v>
      </c>
      <c r="AL1912" s="1730">
        <f t="shared" si="2169"/>
        <v>-377.02337008525444</v>
      </c>
      <c r="AM1912" s="1730">
        <f t="shared" si="2169"/>
        <v>-94.514650661751602</v>
      </c>
      <c r="AN1912" s="1730"/>
      <c r="AO1912" s="1730"/>
      <c r="AP1912" s="1730"/>
      <c r="AQ1912" s="1730"/>
      <c r="AR1912" s="1730"/>
      <c r="AS1912" s="1730"/>
      <c r="AT1912" s="1721"/>
    </row>
    <row r="1913" spans="3:46" ht="16.5">
      <c r="C1913" s="667"/>
      <c r="D1913" s="1717" t="s">
        <v>3415</v>
      </c>
      <c r="E1913" s="1722" t="s">
        <v>3413</v>
      </c>
      <c r="J1913" s="1728" t="s">
        <v>115</v>
      </c>
      <c r="K1913" s="1728" t="s">
        <v>115</v>
      </c>
      <c r="L1913" s="1728" t="s">
        <v>115</v>
      </c>
      <c r="M1913" s="1"/>
      <c r="N1913" s="1"/>
      <c r="O1913" s="1"/>
      <c r="P1913" s="1"/>
      <c r="Q1913" s="1"/>
      <c r="R1913" s="1"/>
      <c r="S1913" s="1"/>
      <c r="T1913" s="1"/>
      <c r="V1913" s="1"/>
      <c r="X1913" s="1"/>
      <c r="Z1913" s="1"/>
      <c r="AA1913" s="1729">
        <v>245582.617964</v>
      </c>
      <c r="AB1913" s="1729">
        <v>333537.42448500003</v>
      </c>
      <c r="AC1913" s="1729">
        <v>376353.92933700001</v>
      </c>
      <c r="AD1913" s="1730">
        <f t="shared" ref="AD1913:AM1913" si="2170">AD1469</f>
        <v>448.31196664374346</v>
      </c>
      <c r="AE1913" s="1730">
        <f t="shared" si="2170"/>
        <v>954.0196915780989</v>
      </c>
      <c r="AF1913" s="1730">
        <f t="shared" si="2170"/>
        <v>657.27244012948665</v>
      </c>
      <c r="AG1913" s="1730">
        <f t="shared" si="2170"/>
        <v>1031.6527436893934</v>
      </c>
      <c r="AH1913" s="1730">
        <f t="shared" si="2170"/>
        <v>808.50862296057437</v>
      </c>
      <c r="AI1913" s="1730">
        <f t="shared" si="2170"/>
        <v>1307.214153385396</v>
      </c>
      <c r="AJ1913" s="1730">
        <f t="shared" si="2170"/>
        <v>1355.1798643930642</v>
      </c>
      <c r="AK1913" s="1730">
        <f t="shared" si="2170"/>
        <v>1418.689908090392</v>
      </c>
      <c r="AL1913" s="1730">
        <f t="shared" si="2170"/>
        <v>1346.0206169902231</v>
      </c>
      <c r="AM1913" s="1730">
        <f t="shared" si="2170"/>
        <v>1133.5673125653725</v>
      </c>
      <c r="AN1913" s="1730"/>
      <c r="AO1913" s="1730"/>
      <c r="AP1913" s="1730"/>
      <c r="AQ1913" s="1730"/>
      <c r="AR1913" s="1730"/>
      <c r="AS1913" s="1730"/>
      <c r="AT1913" s="1721"/>
    </row>
    <row r="1914" spans="3:46" ht="16.5">
      <c r="C1914" s="671"/>
      <c r="D1914" s="1712" t="s">
        <v>3416</v>
      </c>
      <c r="E1914" s="1713" t="s">
        <v>3417</v>
      </c>
      <c r="J1914" s="1714" t="s">
        <v>115</v>
      </c>
      <c r="K1914" s="1714" t="s">
        <v>115</v>
      </c>
      <c r="L1914" s="1714" t="s">
        <v>115</v>
      </c>
      <c r="M1914" s="1"/>
      <c r="N1914" s="1"/>
      <c r="O1914" s="1"/>
      <c r="P1914" s="1"/>
      <c r="Q1914" s="1"/>
      <c r="R1914" s="1"/>
      <c r="S1914" s="1"/>
      <c r="T1914" s="1"/>
      <c r="V1914" s="1"/>
      <c r="X1914" s="1"/>
      <c r="Z1914" s="1"/>
      <c r="AA1914" s="1715">
        <v>442748.10274599999</v>
      </c>
      <c r="AB1914" s="1715">
        <v>357350.90285499999</v>
      </c>
      <c r="AC1914" s="1715">
        <v>333536.18981900002</v>
      </c>
      <c r="AD1914" s="1716">
        <f t="shared" ref="AD1914:AM1914" si="2171">AD1119</f>
        <v>394.75005785621573</v>
      </c>
      <c r="AE1914" s="1716">
        <f t="shared" si="2171"/>
        <v>437.5584046438675</v>
      </c>
      <c r="AF1914" s="1716">
        <f t="shared" si="2171"/>
        <v>561.08816780108214</v>
      </c>
      <c r="AG1914" s="1716">
        <f t="shared" si="2171"/>
        <v>824.18435942628139</v>
      </c>
      <c r="AH1914" s="1716">
        <f t="shared" si="2171"/>
        <v>711.30724575495196</v>
      </c>
      <c r="AI1914" s="1716">
        <f t="shared" si="2171"/>
        <v>757.7914095316321</v>
      </c>
      <c r="AJ1914" s="1716">
        <f t="shared" si="2171"/>
        <v>614.59247170907861</v>
      </c>
      <c r="AK1914" s="1716">
        <f t="shared" si="2171"/>
        <v>668.27623029566234</v>
      </c>
      <c r="AL1914" s="1716">
        <f t="shared" si="2171"/>
        <v>543.98114445037027</v>
      </c>
      <c r="AM1914" s="1716">
        <f t="shared" si="2171"/>
        <v>605.18237487361375</v>
      </c>
      <c r="AN1914" s="1716"/>
      <c r="AO1914" s="1716"/>
      <c r="AP1914" s="1716"/>
      <c r="AQ1914" s="1716"/>
      <c r="AR1914" s="1716"/>
      <c r="AS1914" s="1716"/>
      <c r="AT1914" s="2720"/>
    </row>
    <row r="1915" spans="3:46" ht="16.5">
      <c r="C1915" s="670"/>
      <c r="D1915" s="1712" t="s">
        <v>3418</v>
      </c>
      <c r="E1915" s="1713" t="s">
        <v>3419</v>
      </c>
      <c r="J1915" s="1714">
        <v>437.55840464386756</v>
      </c>
      <c r="K1915" s="1714">
        <v>700.25471549015879</v>
      </c>
      <c r="L1915" s="1714">
        <v>906.85576354197303</v>
      </c>
      <c r="M1915" s="1"/>
      <c r="N1915" s="1"/>
      <c r="O1915" s="1"/>
      <c r="P1915" s="1"/>
      <c r="Q1915" s="1"/>
      <c r="R1915" s="1"/>
      <c r="S1915" s="1"/>
      <c r="T1915" s="1"/>
      <c r="V1915" s="1"/>
      <c r="X1915" s="1"/>
      <c r="Z1915" s="1"/>
      <c r="AA1915" s="1715">
        <v>6142.0213000000003</v>
      </c>
      <c r="AB1915" s="1715">
        <v>28842.124072999999</v>
      </c>
      <c r="AC1915" s="1715">
        <v>4459.639991</v>
      </c>
      <c r="AD1915" s="1716"/>
      <c r="AE1915" s="1716"/>
      <c r="AF1915" s="1716"/>
      <c r="AG1915" s="1716"/>
      <c r="AH1915" s="1716"/>
      <c r="AI1915" s="1716"/>
      <c r="AJ1915" s="1716"/>
      <c r="AK1915" s="1716"/>
      <c r="AL1915" s="1716"/>
      <c r="AM1915" s="1716"/>
      <c r="AN1915" s="1716"/>
      <c r="AO1915" s="1716"/>
      <c r="AP1915" s="1716"/>
      <c r="AQ1915" s="1716"/>
      <c r="AR1915" s="1716"/>
      <c r="AS1915" s="1716"/>
      <c r="AT1915" s="2720"/>
    </row>
    <row r="1916" spans="3:46" ht="16.5">
      <c r="C1916" s="669"/>
      <c r="D1916" s="1717" t="s">
        <v>3420</v>
      </c>
      <c r="E1916" s="1731"/>
      <c r="J1916" s="1728">
        <v>259.81007959673127</v>
      </c>
      <c r="K1916" s="1728">
        <v>377.05346552764001</v>
      </c>
      <c r="L1916" s="1728">
        <v>408.09607925995732</v>
      </c>
      <c r="M1916" s="1"/>
      <c r="N1916" s="1"/>
      <c r="O1916" s="1"/>
      <c r="P1916" s="1"/>
      <c r="Q1916" s="1"/>
      <c r="R1916" s="1"/>
      <c r="S1916" s="1"/>
      <c r="T1916" s="1"/>
      <c r="V1916" s="1"/>
      <c r="X1916" s="1"/>
      <c r="Z1916" s="1"/>
      <c r="AA1916" s="1729">
        <v>1843.733665</v>
      </c>
      <c r="AB1916" s="1729">
        <v>2728.2849230000002</v>
      </c>
      <c r="AC1916" s="1729">
        <v>228.94989799999999</v>
      </c>
      <c r="AD1916" s="1730"/>
      <c r="AE1916" s="1730"/>
      <c r="AF1916" s="1730"/>
      <c r="AG1916" s="1730"/>
      <c r="AH1916" s="1730"/>
      <c r="AI1916" s="1730"/>
      <c r="AJ1916" s="1730"/>
      <c r="AK1916" s="1730"/>
      <c r="AL1916" s="1730"/>
      <c r="AM1916" s="1730"/>
      <c r="AN1916" s="1730"/>
      <c r="AO1916" s="1730"/>
      <c r="AP1916" s="1730"/>
      <c r="AQ1916" s="1730"/>
      <c r="AR1916" s="1730"/>
      <c r="AS1916" s="1730"/>
      <c r="AT1916" s="1721"/>
    </row>
    <row r="1917" spans="3:46" ht="16.5">
      <c r="C1917" s="670"/>
      <c r="D1917" s="1717" t="s">
        <v>3421</v>
      </c>
      <c r="E1917" s="1731"/>
      <c r="J1917" s="1728" t="s">
        <v>115</v>
      </c>
      <c r="K1917" s="1728" t="s">
        <v>115</v>
      </c>
      <c r="L1917" s="1728" t="s">
        <v>115</v>
      </c>
      <c r="M1917" s="1"/>
      <c r="N1917" s="1"/>
      <c r="O1917" s="1"/>
      <c r="P1917" s="1"/>
      <c r="Q1917" s="1"/>
      <c r="R1917" s="1"/>
      <c r="S1917" s="1"/>
      <c r="T1917" s="1"/>
      <c r="V1917" s="1"/>
      <c r="X1917" s="1"/>
      <c r="Z1917" s="1"/>
      <c r="AA1917" s="1729">
        <v>42.820844000000001</v>
      </c>
      <c r="AB1917" s="1729">
        <v>2011.473857</v>
      </c>
      <c r="AC1917" s="1729">
        <v>1713.6012000000001</v>
      </c>
      <c r="AD1917" s="1730"/>
      <c r="AE1917" s="1730"/>
      <c r="AF1917" s="1730"/>
      <c r="AG1917" s="1730"/>
      <c r="AH1917" s="1730"/>
      <c r="AI1917" s="1730"/>
      <c r="AJ1917" s="1730"/>
      <c r="AK1917" s="1730"/>
      <c r="AL1917" s="1730"/>
      <c r="AM1917" s="1730"/>
      <c r="AN1917" s="1730"/>
      <c r="AO1917" s="1730"/>
      <c r="AP1917" s="1730"/>
      <c r="AQ1917" s="1730"/>
      <c r="AR1917" s="1730"/>
      <c r="AS1917" s="1730"/>
      <c r="AT1917" s="1721"/>
    </row>
    <row r="1918" spans="3:46" ht="16.5">
      <c r="C1918" s="671"/>
      <c r="D1918" s="1717" t="s">
        <v>3422</v>
      </c>
      <c r="E1918" s="1731"/>
      <c r="J1918" s="1728" t="s">
        <v>115</v>
      </c>
      <c r="K1918" s="1728" t="s">
        <v>115</v>
      </c>
      <c r="L1918" s="1728" t="s">
        <v>115</v>
      </c>
      <c r="M1918" s="1"/>
      <c r="N1918" s="1"/>
      <c r="O1918" s="1"/>
      <c r="P1918" s="1"/>
      <c r="Q1918" s="1"/>
      <c r="R1918" s="1"/>
      <c r="S1918" s="1"/>
      <c r="T1918" s="1"/>
      <c r="V1918" s="1"/>
      <c r="X1918" s="1"/>
      <c r="Z1918" s="1"/>
      <c r="AA1918" s="1729">
        <v>0</v>
      </c>
      <c r="AB1918" s="1729">
        <v>1611.9811360000001</v>
      </c>
      <c r="AC1918" s="1729">
        <v>2262.0888930000001</v>
      </c>
      <c r="AD1918" s="1730"/>
      <c r="AE1918" s="1730"/>
      <c r="AF1918" s="1730"/>
      <c r="AG1918" s="1730"/>
      <c r="AH1918" s="1730"/>
      <c r="AI1918" s="1730"/>
      <c r="AJ1918" s="1730"/>
      <c r="AK1918" s="1730"/>
      <c r="AL1918" s="1730"/>
      <c r="AM1918" s="1730"/>
      <c r="AN1918" s="1730"/>
      <c r="AO1918" s="1730"/>
      <c r="AP1918" s="1730"/>
      <c r="AQ1918" s="1730"/>
      <c r="AR1918" s="1730"/>
      <c r="AS1918" s="1730"/>
      <c r="AT1918" s="1721"/>
    </row>
    <row r="1919" spans="3:46" ht="16.5">
      <c r="C1919" s="671"/>
      <c r="D1919" s="1717" t="s">
        <v>3423</v>
      </c>
      <c r="E1919" s="1731"/>
      <c r="J1919" s="1728" t="s">
        <v>115</v>
      </c>
      <c r="K1919" s="1728" t="s">
        <v>115</v>
      </c>
      <c r="L1919" s="1728" t="s">
        <v>115</v>
      </c>
      <c r="M1919" s="1"/>
      <c r="N1919" s="1"/>
      <c r="O1919" s="1"/>
      <c r="P1919" s="1"/>
      <c r="Q1919" s="1"/>
      <c r="R1919" s="1"/>
      <c r="S1919" s="1"/>
      <c r="T1919" s="1"/>
      <c r="V1919" s="1"/>
      <c r="X1919" s="1"/>
      <c r="Z1919" s="1"/>
      <c r="AA1919" s="1729">
        <v>4255.4667909999998</v>
      </c>
      <c r="AB1919" s="1729">
        <v>22490.384157</v>
      </c>
      <c r="AC1919" s="1729">
        <v>255</v>
      </c>
      <c r="AD1919" s="1730"/>
      <c r="AE1919" s="1730"/>
      <c r="AF1919" s="1730"/>
      <c r="AG1919" s="1730"/>
      <c r="AH1919" s="1730"/>
      <c r="AI1919" s="1730"/>
      <c r="AJ1919" s="1730"/>
      <c r="AK1919" s="1730"/>
      <c r="AL1919" s="1730"/>
      <c r="AM1919" s="1730"/>
      <c r="AN1919" s="1730"/>
      <c r="AO1919" s="1730"/>
      <c r="AP1919" s="1730"/>
      <c r="AQ1919" s="1730"/>
      <c r="AR1919" s="1730"/>
      <c r="AS1919" s="1730"/>
      <c r="AT1919" s="1721"/>
    </row>
    <row r="1920" spans="3:46" ht="16.5">
      <c r="C1920" s="1067"/>
      <c r="D1920" s="1732" t="s">
        <v>3424</v>
      </c>
      <c r="E1920" s="1733" t="s">
        <v>3425</v>
      </c>
      <c r="J1920" s="1714" t="s">
        <v>115</v>
      </c>
      <c r="K1920" s="1714" t="s">
        <v>115</v>
      </c>
      <c r="L1920" s="1714" t="s">
        <v>115</v>
      </c>
      <c r="M1920" s="1"/>
      <c r="N1920" s="1"/>
      <c r="O1920" s="1"/>
      <c r="P1920" s="1"/>
      <c r="Q1920" s="1"/>
      <c r="R1920" s="1"/>
      <c r="S1920" s="1"/>
      <c r="T1920" s="1"/>
      <c r="V1920" s="1"/>
      <c r="X1920" s="1"/>
      <c r="Z1920" s="1"/>
      <c r="AA1920" s="1714">
        <v>45687.686365000001</v>
      </c>
      <c r="AB1920" s="1714">
        <v>41274.145465000001</v>
      </c>
      <c r="AC1920" s="1714">
        <v>54140.402488</v>
      </c>
      <c r="AD1920" s="1716"/>
      <c r="AE1920" s="1716"/>
      <c r="AF1920" s="1716"/>
      <c r="AG1920" s="1716"/>
      <c r="AH1920" s="1716"/>
      <c r="AI1920" s="1716"/>
      <c r="AJ1920" s="1716"/>
      <c r="AK1920" s="1716"/>
      <c r="AL1920" s="1716"/>
      <c r="AM1920" s="1716"/>
      <c r="AN1920" s="1716"/>
      <c r="AO1920" s="1716"/>
      <c r="AP1920" s="1716"/>
      <c r="AQ1920" s="1716"/>
      <c r="AR1920" s="1716"/>
      <c r="AS1920" s="1716"/>
      <c r="AT1920" s="2720"/>
    </row>
    <row r="1921" spans="3:46" ht="16.5">
      <c r="C1921" s="1061"/>
      <c r="D1921" s="1734" t="s">
        <v>3027</v>
      </c>
      <c r="E1921" s="1735"/>
      <c r="J1921" s="1728">
        <v>279.79454490708895</v>
      </c>
      <c r="K1921" s="1728">
        <v>442.51420081421674</v>
      </c>
      <c r="L1921" s="1728">
        <v>348.03331705238918</v>
      </c>
      <c r="M1921" s="1"/>
      <c r="N1921" s="1"/>
      <c r="O1921" s="1"/>
      <c r="P1921" s="1"/>
      <c r="Q1921" s="1"/>
      <c r="R1921" s="1"/>
      <c r="S1921" s="1"/>
      <c r="T1921" s="1"/>
      <c r="V1921" s="1"/>
      <c r="X1921" s="1"/>
      <c r="Z1921" s="1"/>
      <c r="AA1921" s="1728">
        <v>18688.331973</v>
      </c>
      <c r="AB1921" s="1728">
        <v>5853.7855179999997</v>
      </c>
      <c r="AC1921" s="1728">
        <v>1402.549548</v>
      </c>
      <c r="AD1921" s="1730"/>
      <c r="AE1921" s="1730"/>
      <c r="AF1921" s="1730"/>
      <c r="AG1921" s="1730"/>
      <c r="AH1921" s="1730"/>
      <c r="AI1921" s="1730"/>
      <c r="AJ1921" s="1730"/>
      <c r="AK1921" s="1730"/>
      <c r="AL1921" s="1730"/>
      <c r="AM1921" s="1730"/>
      <c r="AN1921" s="1730"/>
      <c r="AO1921" s="1730"/>
      <c r="AP1921" s="1730"/>
      <c r="AQ1921" s="1730"/>
      <c r="AR1921" s="1730"/>
      <c r="AS1921" s="1730"/>
      <c r="AT1921" s="1721"/>
    </row>
    <row r="1922" spans="3:46" ht="16.5">
      <c r="C1922" s="1061"/>
      <c r="D1922" s="1734" t="s">
        <v>3426</v>
      </c>
      <c r="E1922" s="1735"/>
      <c r="J1922" s="1728" t="s">
        <v>115</v>
      </c>
      <c r="K1922" s="1728" t="s">
        <v>115</v>
      </c>
      <c r="L1922" s="1728" t="s">
        <v>115</v>
      </c>
      <c r="M1922" s="1"/>
      <c r="N1922" s="1"/>
      <c r="O1922" s="1"/>
      <c r="P1922" s="1"/>
      <c r="Q1922" s="1"/>
      <c r="R1922" s="1"/>
      <c r="S1922" s="1"/>
      <c r="T1922" s="1"/>
      <c r="V1922" s="1"/>
      <c r="X1922" s="1"/>
      <c r="Z1922" s="1"/>
      <c r="AA1922" s="1728">
        <v>26999.354392000001</v>
      </c>
      <c r="AB1922" s="1728">
        <v>35420.359946999997</v>
      </c>
      <c r="AC1922" s="1728">
        <v>52737.852939999997</v>
      </c>
      <c r="AD1922" s="1730"/>
      <c r="AE1922" s="1730"/>
      <c r="AF1922" s="1730"/>
      <c r="AG1922" s="1730"/>
      <c r="AH1922" s="1730"/>
      <c r="AI1922" s="1730"/>
      <c r="AJ1922" s="1730"/>
      <c r="AK1922" s="1730"/>
      <c r="AL1922" s="1730"/>
      <c r="AM1922" s="1730"/>
      <c r="AN1922" s="1730"/>
      <c r="AO1922" s="1730"/>
      <c r="AP1922" s="1730"/>
      <c r="AQ1922" s="1730"/>
      <c r="AR1922" s="1730"/>
      <c r="AS1922" s="1730"/>
      <c r="AT1922" s="1721"/>
    </row>
    <row r="1923" spans="3:46" ht="16.5">
      <c r="C1923" s="671"/>
      <c r="D1923" s="1736" t="s">
        <v>3427</v>
      </c>
      <c r="E1923" s="1737" t="s">
        <v>3428</v>
      </c>
      <c r="J1923" s="1738">
        <v>0</v>
      </c>
      <c r="K1923" s="1738">
        <v>0</v>
      </c>
      <c r="L1923" s="1738">
        <v>0</v>
      </c>
      <c r="M1923" s="1"/>
      <c r="N1923" s="1"/>
      <c r="O1923" s="1"/>
      <c r="P1923" s="1"/>
      <c r="Q1923" s="1"/>
      <c r="R1923" s="1"/>
      <c r="S1923" s="1"/>
      <c r="T1923" s="1"/>
      <c r="V1923" s="1"/>
      <c r="X1923" s="1"/>
      <c r="Z1923" s="1"/>
      <c r="AA1923" s="1739">
        <v>1952008.3677729999</v>
      </c>
      <c r="AB1923" s="1739">
        <v>2117873.9331899998</v>
      </c>
      <c r="AC1923" s="1739">
        <v>2313341.0418600002</v>
      </c>
      <c r="AD1923" s="1740">
        <f>+AD1901+AD1907+AD1914+AD1915+AD1920</f>
        <v>2065.0273714377413</v>
      </c>
      <c r="AE1923" s="1740">
        <f t="shared" ref="AE1923:AM1923" si="2172">+AE1901+AE1907+AE1914+AE1915+AE1920</f>
        <v>2203.0901479640534</v>
      </c>
      <c r="AF1923" s="1740">
        <f t="shared" si="2172"/>
        <v>2568.1911970880874</v>
      </c>
      <c r="AG1923" s="1740">
        <f t="shared" si="2172"/>
        <v>3102.1830053361036</v>
      </c>
      <c r="AH1923" s="1740">
        <f t="shared" si="2172"/>
        <v>3399.5671834663381</v>
      </c>
      <c r="AI1923" s="1740">
        <f t="shared" si="2172"/>
        <v>3811.1283616710434</v>
      </c>
      <c r="AJ1923" s="1740">
        <f t="shared" si="2172"/>
        <v>4173.9710730474908</v>
      </c>
      <c r="AK1923" s="1740">
        <f t="shared" si="2172"/>
        <v>5009.107316346327</v>
      </c>
      <c r="AL1923" s="1740">
        <f t="shared" si="2172"/>
        <v>5699.0542939759362</v>
      </c>
      <c r="AM1923" s="1740">
        <f t="shared" si="2172"/>
        <v>6532.4817386167815</v>
      </c>
      <c r="AN1923" s="1740"/>
      <c r="AO1923" s="1740"/>
      <c r="AP1923" s="1740"/>
      <c r="AQ1923" s="1740"/>
      <c r="AR1923" s="1740"/>
      <c r="AS1923" s="1740"/>
      <c r="AT1923" s="2721"/>
    </row>
    <row r="1924" spans="3:46" ht="16.5">
      <c r="C1924" s="670"/>
      <c r="D1924" s="1707" t="s">
        <v>3429</v>
      </c>
      <c r="E1924" s="1741"/>
      <c r="J1924" s="1709" t="s">
        <v>115</v>
      </c>
      <c r="K1924" s="1709" t="s">
        <v>115</v>
      </c>
      <c r="L1924" s="1709" t="s">
        <v>115</v>
      </c>
      <c r="M1924" s="1"/>
      <c r="N1924" s="1"/>
      <c r="O1924" s="1"/>
      <c r="P1924" s="1"/>
      <c r="Q1924" s="1"/>
      <c r="R1924" s="1"/>
      <c r="S1924" s="1"/>
      <c r="T1924" s="1"/>
      <c r="V1924" s="1"/>
      <c r="X1924" s="1"/>
      <c r="Z1924" s="1"/>
      <c r="AA1924" s="1708"/>
      <c r="AB1924" s="1708"/>
      <c r="AC1924" s="1708"/>
      <c r="AD1924" s="1710"/>
      <c r="AE1924" s="1710"/>
      <c r="AF1924" s="1710"/>
      <c r="AG1924" s="1710"/>
      <c r="AH1924" s="1710"/>
      <c r="AI1924" s="1710"/>
      <c r="AJ1924" s="1710"/>
      <c r="AK1924" s="1710"/>
      <c r="AL1924" s="1710"/>
      <c r="AM1924" s="1710"/>
      <c r="AN1924" s="1710"/>
      <c r="AO1924" s="1710"/>
      <c r="AP1924" s="1710"/>
      <c r="AQ1924" s="1710"/>
      <c r="AR1924" s="1710"/>
      <c r="AS1924" s="1710"/>
      <c r="AT1924" s="2719"/>
    </row>
    <row r="1925" spans="3:46" ht="16.5">
      <c r="C1925" s="672"/>
      <c r="D1925" s="1712" t="s">
        <v>3430</v>
      </c>
      <c r="E1925" s="1713" t="s">
        <v>3431</v>
      </c>
      <c r="J1925" s="1714">
        <v>1901.1315501950594</v>
      </c>
      <c r="K1925" s="1714">
        <v>2426.8518539186493</v>
      </c>
      <c r="L1925" s="1714">
        <v>2644.2543881986458</v>
      </c>
      <c r="M1925" s="1"/>
      <c r="N1925" s="1"/>
      <c r="O1925" s="1"/>
      <c r="P1925" s="1"/>
      <c r="Q1925" s="1"/>
      <c r="R1925" s="1"/>
      <c r="S1925" s="1"/>
      <c r="T1925" s="1"/>
      <c r="V1925" s="1"/>
      <c r="X1925" s="1"/>
      <c r="Z1925" s="1"/>
      <c r="AA1925" s="1715">
        <v>374376.48894499999</v>
      </c>
      <c r="AB1925" s="1715">
        <v>405730.88387399999</v>
      </c>
      <c r="AC1925" s="1715">
        <v>429673.62001499999</v>
      </c>
      <c r="AD1925" s="1716">
        <f t="shared" ref="AD1925:AM1925" si="2173">AD1157+AD1209+AD1213</f>
        <v>503.11708553881073</v>
      </c>
      <c r="AE1925" s="1716">
        <f t="shared" si="2173"/>
        <v>453.27649377400002</v>
      </c>
      <c r="AF1925" s="1716">
        <f t="shared" si="2173"/>
        <v>551.47122476899995</v>
      </c>
      <c r="AG1925" s="1716">
        <f t="shared" si="2173"/>
        <v>648.98334625857251</v>
      </c>
      <c r="AH1925" s="1716">
        <f t="shared" si="2173"/>
        <v>830.28505115352709</v>
      </c>
      <c r="AI1925" s="1716">
        <f t="shared" si="2173"/>
        <v>1004.400935114</v>
      </c>
      <c r="AJ1925" s="1716">
        <f t="shared" si="2173"/>
        <v>1186.7615234109999</v>
      </c>
      <c r="AK1925" s="1716">
        <f t="shared" si="2173"/>
        <v>1426.3853560864504</v>
      </c>
      <c r="AL1925" s="1716">
        <f t="shared" si="2173"/>
        <v>1608.2316701890468</v>
      </c>
      <c r="AM1925" s="1716">
        <f t="shared" si="2173"/>
        <v>1823.8317991751296</v>
      </c>
      <c r="AN1925" s="1716"/>
      <c r="AO1925" s="1716"/>
      <c r="AP1925" s="1716"/>
      <c r="AQ1925" s="1716"/>
      <c r="AR1925" s="1716"/>
      <c r="AS1925" s="1716"/>
      <c r="AT1925" s="2720"/>
    </row>
    <row r="1926" spans="3:46" ht="16.5">
      <c r="C1926" s="670"/>
      <c r="D1926" s="1717" t="s">
        <v>3432</v>
      </c>
      <c r="E1926" s="1722"/>
      <c r="J1926" s="1728">
        <v>266.32706490700002</v>
      </c>
      <c r="K1926" s="1728">
        <v>313.42654967115055</v>
      </c>
      <c r="L1926" s="1728">
        <v>366.2483260872296</v>
      </c>
      <c r="M1926" s="1"/>
      <c r="N1926" s="1"/>
      <c r="O1926" s="1"/>
      <c r="P1926" s="1"/>
      <c r="Q1926" s="1"/>
      <c r="R1926" s="1"/>
      <c r="S1926" s="1"/>
      <c r="T1926" s="1"/>
      <c r="V1926" s="1"/>
      <c r="X1926" s="1"/>
      <c r="Z1926" s="1"/>
      <c r="AA1926" s="1729">
        <v>345883.83355099999</v>
      </c>
      <c r="AB1926" s="1729">
        <v>373592.81421400001</v>
      </c>
      <c r="AC1926" s="1729">
        <v>391767.13016100001</v>
      </c>
      <c r="AD1926" s="1730"/>
      <c r="AE1926" s="1730"/>
      <c r="AF1926" s="1730"/>
      <c r="AG1926" s="1730"/>
      <c r="AH1926" s="1730"/>
      <c r="AI1926" s="1730"/>
      <c r="AJ1926" s="1730"/>
      <c r="AK1926" s="1730"/>
      <c r="AL1926" s="1730"/>
      <c r="AM1926" s="1730"/>
      <c r="AN1926" s="1730"/>
      <c r="AO1926" s="1730"/>
      <c r="AP1926" s="1730"/>
      <c r="AQ1926" s="1730"/>
      <c r="AR1926" s="1730"/>
      <c r="AS1926" s="1730"/>
      <c r="AT1926" s="1721"/>
    </row>
    <row r="1927" spans="3:46" ht="16.5">
      <c r="C1927" s="672"/>
      <c r="D1927" s="1717" t="s">
        <v>3433</v>
      </c>
      <c r="E1927" s="1722"/>
      <c r="J1927" s="1728" t="s">
        <v>115</v>
      </c>
      <c r="K1927" s="1728" t="s">
        <v>115</v>
      </c>
      <c r="L1927" s="1728" t="s">
        <v>115</v>
      </c>
      <c r="M1927" s="1"/>
      <c r="N1927" s="1"/>
      <c r="O1927" s="1"/>
      <c r="P1927" s="1"/>
      <c r="Q1927" s="1"/>
      <c r="R1927" s="1"/>
      <c r="S1927" s="1"/>
      <c r="T1927" s="1"/>
      <c r="V1927" s="1"/>
      <c r="X1927" s="1"/>
      <c r="Z1927" s="1"/>
      <c r="AA1927" s="1729">
        <v>28492.655394000001</v>
      </c>
      <c r="AB1927" s="1729">
        <v>32138.069660000001</v>
      </c>
      <c r="AC1927" s="1729">
        <v>37667.662934</v>
      </c>
      <c r="AD1927" s="1730"/>
      <c r="AE1927" s="1730"/>
      <c r="AF1927" s="1730"/>
      <c r="AG1927" s="1730"/>
      <c r="AH1927" s="1730"/>
      <c r="AI1927" s="1730"/>
      <c r="AJ1927" s="1730"/>
      <c r="AK1927" s="1730"/>
      <c r="AL1927" s="1730"/>
      <c r="AM1927" s="1730"/>
      <c r="AN1927" s="1730"/>
      <c r="AO1927" s="1730"/>
      <c r="AP1927" s="1730"/>
      <c r="AQ1927" s="1730"/>
      <c r="AR1927" s="1730"/>
      <c r="AS1927" s="1730"/>
      <c r="AT1927" s="1721"/>
    </row>
    <row r="1928" spans="3:46" ht="16.5">
      <c r="C1928" s="671"/>
      <c r="D1928" s="1717" t="s">
        <v>3434</v>
      </c>
      <c r="E1928" s="1722"/>
      <c r="J1928" s="1728">
        <v>26.669207106000002</v>
      </c>
      <c r="K1928" s="1728">
        <v>58.981328523299041</v>
      </c>
      <c r="L1928" s="1728">
        <v>45.479714312620004</v>
      </c>
      <c r="M1928" s="1"/>
      <c r="N1928" s="1"/>
      <c r="O1928" s="1"/>
      <c r="P1928" s="1"/>
      <c r="Q1928" s="1"/>
      <c r="R1928" s="1"/>
      <c r="S1928" s="1"/>
      <c r="T1928" s="1"/>
      <c r="V1928" s="1"/>
      <c r="X1928" s="1"/>
      <c r="Z1928" s="1"/>
      <c r="AA1928" s="1729">
        <v>0</v>
      </c>
      <c r="AB1928" s="1729">
        <v>0</v>
      </c>
      <c r="AC1928" s="1729">
        <v>238.82692</v>
      </c>
      <c r="AD1928" s="1730"/>
      <c r="AE1928" s="1730"/>
      <c r="AF1928" s="1730"/>
      <c r="AG1928" s="1730"/>
      <c r="AH1928" s="1730"/>
      <c r="AI1928" s="1730"/>
      <c r="AJ1928" s="1730"/>
      <c r="AK1928" s="1730"/>
      <c r="AL1928" s="1730"/>
      <c r="AM1928" s="1730"/>
      <c r="AN1928" s="1730"/>
      <c r="AO1928" s="1730"/>
      <c r="AP1928" s="1730"/>
      <c r="AQ1928" s="1730"/>
      <c r="AR1928" s="1730"/>
      <c r="AS1928" s="1730"/>
      <c r="AT1928" s="1721"/>
    </row>
    <row r="1929" spans="3:46" ht="16.5">
      <c r="C1929" s="669"/>
      <c r="D1929" s="1712" t="s">
        <v>3435</v>
      </c>
      <c r="E1929" s="860" t="s">
        <v>3436</v>
      </c>
      <c r="J1929" s="1742" t="s">
        <v>115</v>
      </c>
      <c r="K1929" s="1742" t="s">
        <v>115</v>
      </c>
      <c r="L1929" s="1742" t="s">
        <v>115</v>
      </c>
      <c r="M1929" s="1"/>
      <c r="N1929" s="1"/>
      <c r="O1929" s="1"/>
      <c r="P1929" s="1"/>
      <c r="Q1929" s="1"/>
      <c r="R1929" s="1"/>
      <c r="S1929" s="1"/>
      <c r="T1929" s="1"/>
      <c r="V1929" s="1"/>
      <c r="X1929" s="1"/>
      <c r="Z1929" s="1"/>
      <c r="AA1929" s="1743">
        <v>639287.25106499996</v>
      </c>
      <c r="AB1929" s="1743">
        <v>782912.527336</v>
      </c>
      <c r="AC1929" s="1743">
        <v>812371.26676499995</v>
      </c>
      <c r="AD1929" s="1716">
        <f t="shared" ref="AD1929:AM1929" si="2174">AD1159+AD1208-AD1209+AD1212-AD1213</f>
        <v>578.93995047547151</v>
      </c>
      <c r="AE1929" s="1716">
        <f t="shared" si="2174"/>
        <v>681.87331266900014</v>
      </c>
      <c r="AF1929" s="1716">
        <f t="shared" si="2174"/>
        <v>712.76385745499999</v>
      </c>
      <c r="AG1929" s="1716">
        <f t="shared" si="2174"/>
        <v>870.40127613966001</v>
      </c>
      <c r="AH1929" s="1716">
        <f t="shared" si="2174"/>
        <v>1014.2228727447052</v>
      </c>
      <c r="AI1929" s="1716">
        <f t="shared" si="2174"/>
        <v>1007.389877931</v>
      </c>
      <c r="AJ1929" s="1716">
        <f t="shared" si="2174"/>
        <v>987.34816948299988</v>
      </c>
      <c r="AK1929" s="1716">
        <f t="shared" si="2174"/>
        <v>989.65434960234802</v>
      </c>
      <c r="AL1929" s="1716">
        <f t="shared" si="2174"/>
        <v>1201.2090285765316</v>
      </c>
      <c r="AM1929" s="1716">
        <f t="shared" si="2174"/>
        <v>1386.6806633031019</v>
      </c>
      <c r="AN1929" s="1716"/>
      <c r="AO1929" s="1716"/>
      <c r="AP1929" s="1716"/>
      <c r="AQ1929" s="1716"/>
      <c r="AR1929" s="1716"/>
      <c r="AS1929" s="1716"/>
      <c r="AT1929" s="2720"/>
    </row>
    <row r="1930" spans="3:46" ht="16.5">
      <c r="C1930" s="1061"/>
      <c r="D1930" s="1717" t="s">
        <v>3437</v>
      </c>
      <c r="E1930" s="1722"/>
      <c r="J1930" s="1728">
        <v>572.34668941100017</v>
      </c>
      <c r="K1930" s="1728">
        <v>663.40450638507548</v>
      </c>
      <c r="L1930" s="1728">
        <v>714.0269954331394</v>
      </c>
      <c r="M1930" s="1"/>
      <c r="N1930" s="1"/>
      <c r="O1930" s="1"/>
      <c r="P1930" s="1"/>
      <c r="Q1930" s="1"/>
      <c r="R1930" s="1"/>
      <c r="S1930" s="1"/>
      <c r="T1930" s="1"/>
      <c r="V1930" s="1"/>
      <c r="X1930" s="1"/>
      <c r="Z1930" s="1"/>
      <c r="AA1930" s="1729">
        <v>119957.298796</v>
      </c>
      <c r="AB1930" s="1729">
        <v>130467.85288599999</v>
      </c>
      <c r="AC1930" s="1729">
        <v>135158.95517299999</v>
      </c>
      <c r="AD1930" s="1730"/>
      <c r="AE1930" s="1730"/>
      <c r="AF1930" s="1730"/>
      <c r="AG1930" s="1730"/>
      <c r="AH1930" s="1730"/>
      <c r="AI1930" s="1730"/>
      <c r="AJ1930" s="1730"/>
      <c r="AK1930" s="1730"/>
      <c r="AL1930" s="1730"/>
      <c r="AM1930" s="1730"/>
      <c r="AN1930" s="1730"/>
      <c r="AO1930" s="1730"/>
      <c r="AP1930" s="1730"/>
      <c r="AQ1930" s="1730"/>
      <c r="AR1930" s="1730"/>
      <c r="AS1930" s="1730"/>
      <c r="AT1930" s="1721"/>
    </row>
    <row r="1931" spans="3:46" ht="16.5">
      <c r="C1931" s="1068"/>
      <c r="D1931" s="1717" t="s">
        <v>3438</v>
      </c>
      <c r="E1931" s="1722"/>
      <c r="J1931" s="1728" t="s">
        <v>115</v>
      </c>
      <c r="K1931" s="1728" t="s">
        <v>115</v>
      </c>
      <c r="L1931" s="1728" t="s">
        <v>115</v>
      </c>
      <c r="M1931" s="1"/>
      <c r="N1931" s="1"/>
      <c r="O1931" s="1"/>
      <c r="P1931" s="1"/>
      <c r="Q1931" s="1"/>
      <c r="R1931" s="1"/>
      <c r="S1931" s="1"/>
      <c r="T1931" s="1"/>
      <c r="V1931" s="1"/>
      <c r="X1931" s="1"/>
      <c r="Z1931" s="1"/>
      <c r="AA1931" s="1729">
        <v>140819.799405</v>
      </c>
      <c r="AB1931" s="1729">
        <v>150037.222033</v>
      </c>
      <c r="AC1931" s="1729">
        <v>170722.34461299999</v>
      </c>
      <c r="AD1931" s="1730"/>
      <c r="AE1931" s="1730"/>
      <c r="AF1931" s="1730"/>
      <c r="AG1931" s="1730"/>
      <c r="AH1931" s="1730"/>
      <c r="AI1931" s="1730"/>
      <c r="AJ1931" s="1730"/>
      <c r="AK1931" s="1730"/>
      <c r="AL1931" s="1730"/>
      <c r="AM1931" s="1730"/>
      <c r="AN1931" s="1730"/>
      <c r="AO1931" s="1730"/>
      <c r="AP1931" s="1730"/>
      <c r="AQ1931" s="1730"/>
      <c r="AR1931" s="1730"/>
      <c r="AS1931" s="1730"/>
      <c r="AT1931" s="1721"/>
    </row>
    <row r="1932" spans="3:46" ht="16.5">
      <c r="C1932" s="671"/>
      <c r="D1932" s="1717" t="s">
        <v>3439</v>
      </c>
      <c r="E1932" s="1722"/>
      <c r="J1932" s="1728" t="s">
        <v>115</v>
      </c>
      <c r="K1932" s="1728" t="s">
        <v>115</v>
      </c>
      <c r="L1932" s="1728" t="s">
        <v>115</v>
      </c>
      <c r="M1932" s="1"/>
      <c r="N1932" s="1"/>
      <c r="O1932" s="1"/>
      <c r="P1932" s="1"/>
      <c r="Q1932" s="1"/>
      <c r="R1932" s="1"/>
      <c r="S1932" s="1"/>
      <c r="T1932" s="1"/>
      <c r="V1932" s="1"/>
      <c r="X1932" s="1"/>
      <c r="Z1932" s="1"/>
      <c r="AA1932" s="1729">
        <v>64027.359506000001</v>
      </c>
      <c r="AB1932" s="1729">
        <v>70233.157103000005</v>
      </c>
      <c r="AC1932" s="1729">
        <v>76031.232827999993</v>
      </c>
      <c r="AD1932" s="1730"/>
      <c r="AE1932" s="1730"/>
      <c r="AF1932" s="1730"/>
      <c r="AG1932" s="1730"/>
      <c r="AH1932" s="1730"/>
      <c r="AI1932" s="1730"/>
      <c r="AJ1932" s="1730"/>
      <c r="AK1932" s="1730"/>
      <c r="AL1932" s="1730"/>
      <c r="AM1932" s="1730"/>
      <c r="AN1932" s="1730"/>
      <c r="AO1932" s="1730"/>
      <c r="AP1932" s="1730"/>
      <c r="AQ1932" s="1730"/>
      <c r="AR1932" s="1730"/>
      <c r="AS1932" s="1730"/>
      <c r="AT1932" s="1721"/>
    </row>
    <row r="1933" spans="3:46" ht="16.5">
      <c r="C1933" s="670"/>
      <c r="D1933" s="1717" t="s">
        <v>3440</v>
      </c>
      <c r="E1933" s="1722"/>
      <c r="J1933" s="1728" t="s">
        <v>115</v>
      </c>
      <c r="K1933" s="1728" t="s">
        <v>115</v>
      </c>
      <c r="L1933" s="1728" t="s">
        <v>115</v>
      </c>
      <c r="M1933" s="1"/>
      <c r="N1933" s="1"/>
      <c r="O1933" s="1"/>
      <c r="P1933" s="1"/>
      <c r="Q1933" s="1"/>
      <c r="R1933" s="1"/>
      <c r="S1933" s="1"/>
      <c r="T1933" s="1"/>
      <c r="V1933" s="1"/>
      <c r="X1933" s="1"/>
      <c r="Z1933" s="1"/>
      <c r="AA1933" s="1729">
        <v>53160.518553000002</v>
      </c>
      <c r="AB1933" s="1729">
        <v>64493.223254999997</v>
      </c>
      <c r="AC1933" s="1729">
        <v>70698.746834000005</v>
      </c>
      <c r="AD1933" s="1730"/>
      <c r="AE1933" s="1730"/>
      <c r="AF1933" s="1730"/>
      <c r="AG1933" s="1730"/>
      <c r="AH1933" s="1730"/>
      <c r="AI1933" s="1730"/>
      <c r="AJ1933" s="1730"/>
      <c r="AK1933" s="1730"/>
      <c r="AL1933" s="1730"/>
      <c r="AM1933" s="1730"/>
      <c r="AN1933" s="1730"/>
      <c r="AO1933" s="1730"/>
      <c r="AP1933" s="1730"/>
      <c r="AQ1933" s="1730"/>
      <c r="AR1933" s="1730"/>
      <c r="AS1933" s="1730"/>
      <c r="AT1933" s="1721"/>
    </row>
    <row r="1934" spans="3:46" ht="16.5">
      <c r="C1934" s="670"/>
      <c r="D1934" s="1717" t="s">
        <v>3441</v>
      </c>
      <c r="E1934" s="1722"/>
      <c r="J1934" s="1728" t="s">
        <v>115</v>
      </c>
      <c r="K1934" s="1728" t="s">
        <v>115</v>
      </c>
      <c r="L1934" s="1728" t="s">
        <v>115</v>
      </c>
      <c r="M1934" s="1"/>
      <c r="N1934" s="1"/>
      <c r="O1934" s="1"/>
      <c r="P1934" s="1"/>
      <c r="Q1934" s="1"/>
      <c r="R1934" s="1"/>
      <c r="S1934" s="1"/>
      <c r="T1934" s="1"/>
      <c r="V1934" s="1"/>
      <c r="X1934" s="1"/>
      <c r="Z1934" s="1"/>
      <c r="AA1934" s="1729">
        <v>112.256995</v>
      </c>
      <c r="AB1934" s="1729">
        <v>185.52444399999999</v>
      </c>
      <c r="AC1934" s="1729">
        <v>1890.1327409999999</v>
      </c>
      <c r="AD1934" s="1730"/>
      <c r="AE1934" s="1730"/>
      <c r="AF1934" s="1730"/>
      <c r="AG1934" s="1730"/>
      <c r="AH1934" s="1730"/>
      <c r="AI1934" s="1730"/>
      <c r="AJ1934" s="1730"/>
      <c r="AK1934" s="1730"/>
      <c r="AL1934" s="1730"/>
      <c r="AM1934" s="1730"/>
      <c r="AN1934" s="1730"/>
      <c r="AO1934" s="1730"/>
      <c r="AP1934" s="1730"/>
      <c r="AQ1934" s="1730"/>
      <c r="AR1934" s="1730"/>
      <c r="AS1934" s="1730"/>
      <c r="AT1934" s="1721"/>
    </row>
    <row r="1935" spans="3:46" ht="16.5">
      <c r="C1935" s="670"/>
      <c r="D1935" s="1717" t="s">
        <v>3442</v>
      </c>
      <c r="E1935" s="1722"/>
      <c r="J1935" s="1728" t="s">
        <v>115</v>
      </c>
      <c r="K1935" s="1728" t="s">
        <v>115</v>
      </c>
      <c r="L1935" s="1728" t="s">
        <v>115</v>
      </c>
      <c r="M1935" s="1"/>
      <c r="N1935" s="1"/>
      <c r="O1935" s="1"/>
      <c r="P1935" s="1"/>
      <c r="Q1935" s="1"/>
      <c r="R1935" s="1"/>
      <c r="S1935" s="1"/>
      <c r="T1935" s="1"/>
      <c r="V1935" s="1"/>
      <c r="X1935" s="1"/>
      <c r="Z1935" s="1"/>
      <c r="AA1935" s="1729">
        <v>18972.550325</v>
      </c>
      <c r="AB1935" s="1729">
        <v>22005.46917</v>
      </c>
      <c r="AC1935" s="1729">
        <v>32036.116279999998</v>
      </c>
      <c r="AD1935" s="1730"/>
      <c r="AE1935" s="1730"/>
      <c r="AF1935" s="1730"/>
      <c r="AG1935" s="1730"/>
      <c r="AH1935" s="1730"/>
      <c r="AI1935" s="1730"/>
      <c r="AJ1935" s="1730"/>
      <c r="AK1935" s="1730"/>
      <c r="AL1935" s="1730"/>
      <c r="AM1935" s="1730"/>
      <c r="AN1935" s="1730"/>
      <c r="AO1935" s="1730"/>
      <c r="AP1935" s="1730"/>
      <c r="AQ1935" s="1730"/>
      <c r="AR1935" s="1730"/>
      <c r="AS1935" s="1730"/>
      <c r="AT1935" s="1721"/>
    </row>
    <row r="1936" spans="3:46" ht="16.5">
      <c r="C1936" s="667"/>
      <c r="D1936" s="1717" t="s">
        <v>3443</v>
      </c>
      <c r="E1936" s="1722"/>
      <c r="J1936" s="1728" t="s">
        <v>115</v>
      </c>
      <c r="K1936" s="1728" t="s">
        <v>115</v>
      </c>
      <c r="L1936" s="1728" t="s">
        <v>115</v>
      </c>
      <c r="M1936" s="1"/>
      <c r="N1936" s="1"/>
      <c r="O1936" s="1"/>
      <c r="P1936" s="1"/>
      <c r="Q1936" s="1"/>
      <c r="R1936" s="1"/>
      <c r="S1936" s="1"/>
      <c r="T1936" s="1"/>
      <c r="V1936" s="1"/>
      <c r="X1936" s="1"/>
      <c r="Z1936" s="1"/>
      <c r="AA1936" s="1729">
        <v>211201.171868</v>
      </c>
      <c r="AB1936" s="1729">
        <v>329912.84917</v>
      </c>
      <c r="AC1936" s="1729">
        <v>307381.37842600001</v>
      </c>
      <c r="AD1936" s="1730"/>
      <c r="AE1936" s="1730"/>
      <c r="AF1936" s="1730"/>
      <c r="AG1936" s="1730"/>
      <c r="AH1936" s="1730"/>
      <c r="AI1936" s="1730"/>
      <c r="AJ1936" s="1730"/>
      <c r="AK1936" s="1730"/>
      <c r="AL1936" s="1730"/>
      <c r="AM1936" s="1730"/>
      <c r="AN1936" s="1730"/>
      <c r="AO1936" s="1730"/>
      <c r="AP1936" s="1730"/>
      <c r="AQ1936" s="1730"/>
      <c r="AR1936" s="1730"/>
      <c r="AS1936" s="1730"/>
      <c r="AT1936" s="1721"/>
    </row>
    <row r="1937" spans="3:46" ht="16.5">
      <c r="C1937" s="671"/>
      <c r="D1937" s="1717" t="s">
        <v>3444</v>
      </c>
      <c r="E1937" s="1722"/>
      <c r="J1937" s="1728" t="s">
        <v>115</v>
      </c>
      <c r="K1937" s="1728" t="s">
        <v>115</v>
      </c>
      <c r="L1937" s="1728" t="s">
        <v>115</v>
      </c>
      <c r="M1937" s="1"/>
      <c r="N1937" s="1"/>
      <c r="O1937" s="1"/>
      <c r="P1937" s="1"/>
      <c r="Q1937" s="1"/>
      <c r="R1937" s="1"/>
      <c r="S1937" s="1"/>
      <c r="T1937" s="1"/>
      <c r="V1937" s="1"/>
      <c r="X1937" s="1"/>
      <c r="Z1937" s="1"/>
      <c r="AA1937" s="1729">
        <v>6617.6331540000001</v>
      </c>
      <c r="AB1937" s="1729">
        <v>0</v>
      </c>
      <c r="AC1937" s="1729">
        <v>1490.0689420000001</v>
      </c>
      <c r="AD1937" s="1730"/>
      <c r="AE1937" s="1730"/>
      <c r="AF1937" s="1730"/>
      <c r="AG1937" s="1730"/>
      <c r="AH1937" s="1730"/>
      <c r="AI1937" s="1730"/>
      <c r="AJ1937" s="1730"/>
      <c r="AK1937" s="1730"/>
      <c r="AL1937" s="1730"/>
      <c r="AM1937" s="1730"/>
      <c r="AN1937" s="1730"/>
      <c r="AO1937" s="1730"/>
      <c r="AP1937" s="1730"/>
      <c r="AQ1937" s="1730"/>
      <c r="AR1937" s="1730"/>
      <c r="AS1937" s="1730"/>
      <c r="AT1937" s="1721"/>
    </row>
    <row r="1938" spans="3:46" ht="16.5">
      <c r="C1938" s="674"/>
      <c r="D1938" s="1717" t="s">
        <v>3445</v>
      </c>
      <c r="E1938" s="1722"/>
      <c r="J1938" s="1728" t="s">
        <v>115</v>
      </c>
      <c r="K1938" s="1728" t="s">
        <v>115</v>
      </c>
      <c r="L1938" s="1728" t="s">
        <v>115</v>
      </c>
      <c r="M1938" s="1"/>
      <c r="N1938" s="1"/>
      <c r="O1938" s="1"/>
      <c r="P1938" s="1"/>
      <c r="Q1938" s="1"/>
      <c r="R1938" s="1"/>
      <c r="S1938" s="1"/>
      <c r="T1938" s="1"/>
      <c r="V1938" s="1"/>
      <c r="X1938" s="1"/>
      <c r="Z1938" s="1"/>
      <c r="AA1938" s="1729">
        <v>24418.662464000001</v>
      </c>
      <c r="AB1938" s="1729">
        <v>15577.229018</v>
      </c>
      <c r="AC1938" s="1729">
        <v>16962.290927999999</v>
      </c>
      <c r="AD1938" s="1730"/>
      <c r="AE1938" s="1730"/>
      <c r="AF1938" s="1730"/>
      <c r="AG1938" s="1730"/>
      <c r="AH1938" s="1730"/>
      <c r="AI1938" s="1730"/>
      <c r="AJ1938" s="1730"/>
      <c r="AK1938" s="1730"/>
      <c r="AL1938" s="1730"/>
      <c r="AM1938" s="1730"/>
      <c r="AN1938" s="1730"/>
      <c r="AO1938" s="1730"/>
      <c r="AP1938" s="1730"/>
      <c r="AQ1938" s="1730"/>
      <c r="AR1938" s="1730"/>
      <c r="AS1938" s="1730"/>
      <c r="AT1938" s="1721"/>
    </row>
    <row r="1939" spans="3:46" ht="16.5">
      <c r="C1939" s="674"/>
      <c r="D1939" s="1712" t="s">
        <v>3446</v>
      </c>
      <c r="E1939" s="860" t="s">
        <v>3447</v>
      </c>
      <c r="J1939" s="1742" t="s">
        <v>115</v>
      </c>
      <c r="K1939" s="1742" t="s">
        <v>115</v>
      </c>
      <c r="L1939" s="1742" t="s">
        <v>115</v>
      </c>
      <c r="M1939" s="1"/>
      <c r="N1939" s="1"/>
      <c r="O1939" s="1"/>
      <c r="P1939" s="1"/>
      <c r="Q1939" s="1"/>
      <c r="R1939" s="1"/>
      <c r="S1939" s="1"/>
      <c r="T1939" s="1"/>
      <c r="V1939" s="1"/>
      <c r="X1939" s="1"/>
      <c r="Z1939" s="1"/>
      <c r="AA1939" s="1743">
        <v>28664.716510999999</v>
      </c>
      <c r="AB1939" s="1743">
        <v>12461.816631</v>
      </c>
      <c r="AC1939" s="1743">
        <v>13934.446581</v>
      </c>
      <c r="AD1939" s="1716">
        <f t="shared" ref="AD1939:AM1939" si="2175">AD1198</f>
        <v>172.02613069400002</v>
      </c>
      <c r="AE1939" s="1716">
        <f t="shared" si="2175"/>
        <v>251.94730264100002</v>
      </c>
      <c r="AF1939" s="1716">
        <f t="shared" si="2175"/>
        <v>260.16227530600003</v>
      </c>
      <c r="AG1939" s="1716">
        <f t="shared" si="2175"/>
        <v>382.17384569900003</v>
      </c>
      <c r="AH1939" s="1716">
        <f t="shared" si="2175"/>
        <v>298.87794374700002</v>
      </c>
      <c r="AI1939" s="1716">
        <f t="shared" si="2175"/>
        <v>307.42047619799996</v>
      </c>
      <c r="AJ1939" s="1716">
        <f t="shared" si="2175"/>
        <v>321.64494011700003</v>
      </c>
      <c r="AK1939" s="1716">
        <f t="shared" si="2175"/>
        <v>384.83560886366604</v>
      </c>
      <c r="AL1939" s="1716">
        <f t="shared" si="2175"/>
        <v>426.77955283879146</v>
      </c>
      <c r="AM1939" s="1716">
        <f t="shared" si="2175"/>
        <v>411.93722749300707</v>
      </c>
      <c r="AN1939" s="1716"/>
      <c r="AO1939" s="1716"/>
      <c r="AP1939" s="1716"/>
      <c r="AQ1939" s="1716"/>
      <c r="AR1939" s="1716"/>
      <c r="AS1939" s="1716"/>
      <c r="AT1939" s="2720"/>
    </row>
    <row r="1940" spans="3:46" ht="16.5">
      <c r="C1940" s="671"/>
      <c r="D1940" s="1717" t="s">
        <v>3448</v>
      </c>
      <c r="E1940" s="1722"/>
      <c r="J1940" s="1728">
        <v>251.94730264100002</v>
      </c>
      <c r="K1940" s="1728">
        <v>381.91507433434532</v>
      </c>
      <c r="L1940" s="1728">
        <v>299.22226462423851</v>
      </c>
      <c r="M1940" s="1"/>
      <c r="N1940" s="1"/>
      <c r="O1940" s="1"/>
      <c r="P1940" s="1"/>
      <c r="Q1940" s="1"/>
      <c r="R1940" s="1"/>
      <c r="S1940" s="1"/>
      <c r="T1940" s="1"/>
      <c r="V1940" s="1"/>
      <c r="X1940" s="1"/>
      <c r="Z1940" s="1"/>
      <c r="AA1940" s="1729">
        <v>26347.803317000002</v>
      </c>
      <c r="AB1940" s="1729">
        <v>6300.102519</v>
      </c>
      <c r="AC1940" s="1729">
        <v>12764.408176999999</v>
      </c>
      <c r="AD1940" s="1730"/>
      <c r="AE1940" s="1730"/>
      <c r="AF1940" s="1730"/>
      <c r="AG1940" s="1730"/>
      <c r="AH1940" s="1730"/>
      <c r="AI1940" s="1730"/>
      <c r="AJ1940" s="1730"/>
      <c r="AK1940" s="1730"/>
      <c r="AL1940" s="1730"/>
      <c r="AM1940" s="1730"/>
      <c r="AN1940" s="1730"/>
      <c r="AO1940" s="1730"/>
      <c r="AP1940" s="1730"/>
      <c r="AQ1940" s="1730"/>
      <c r="AR1940" s="1730"/>
      <c r="AS1940" s="1730"/>
      <c r="AT1940" s="1721"/>
    </row>
    <row r="1941" spans="3:46" ht="16.5">
      <c r="C1941" s="674"/>
      <c r="D1941" s="1717" t="s">
        <v>3449</v>
      </c>
      <c r="E1941" s="1722"/>
      <c r="J1941" s="1728" t="s">
        <v>115</v>
      </c>
      <c r="K1941" s="1728" t="s">
        <v>115</v>
      </c>
      <c r="L1941" s="1728" t="s">
        <v>115</v>
      </c>
      <c r="M1941" s="1"/>
      <c r="N1941" s="1"/>
      <c r="O1941" s="1"/>
      <c r="P1941" s="1"/>
      <c r="Q1941" s="1"/>
      <c r="R1941" s="1"/>
      <c r="S1941" s="1"/>
      <c r="T1941" s="1"/>
      <c r="V1941" s="1"/>
      <c r="X1941" s="1"/>
      <c r="Z1941" s="1"/>
      <c r="AA1941" s="1729">
        <v>2316.9131940000002</v>
      </c>
      <c r="AB1941" s="1729">
        <v>6161.7141119999997</v>
      </c>
      <c r="AC1941" s="1729">
        <v>1170.0384039999999</v>
      </c>
      <c r="AD1941" s="1730"/>
      <c r="AE1941" s="1730"/>
      <c r="AF1941" s="1730"/>
      <c r="AG1941" s="1730"/>
      <c r="AH1941" s="1730"/>
      <c r="AI1941" s="1730"/>
      <c r="AJ1941" s="1730"/>
      <c r="AK1941" s="1730"/>
      <c r="AL1941" s="1730"/>
      <c r="AM1941" s="1730"/>
      <c r="AN1941" s="1730"/>
      <c r="AO1941" s="1730"/>
      <c r="AP1941" s="1730"/>
      <c r="AQ1941" s="1730"/>
      <c r="AR1941" s="1730"/>
      <c r="AS1941" s="1730"/>
      <c r="AT1941" s="1721"/>
    </row>
    <row r="1942" spans="3:46" ht="16.5">
      <c r="C1942" s="670"/>
      <c r="D1942" s="1712" t="s">
        <v>3450</v>
      </c>
      <c r="E1942" s="860" t="s">
        <v>3451</v>
      </c>
      <c r="J1942" s="1742" t="s">
        <v>115</v>
      </c>
      <c r="K1942" s="1742" t="s">
        <v>115</v>
      </c>
      <c r="L1942" s="1742" t="s">
        <v>115</v>
      </c>
      <c r="M1942" s="1"/>
      <c r="N1942" s="1"/>
      <c r="O1942" s="1"/>
      <c r="P1942" s="1"/>
      <c r="Q1942" s="1"/>
      <c r="R1942" s="1"/>
      <c r="S1942" s="1"/>
      <c r="T1942" s="1"/>
      <c r="V1942" s="1"/>
      <c r="X1942" s="1"/>
      <c r="Z1942" s="1"/>
      <c r="AA1942" s="1743">
        <v>67241.527207000006</v>
      </c>
      <c r="AB1942" s="1743">
        <v>56572.689231999997</v>
      </c>
      <c r="AC1942" s="1743">
        <v>60162.606031000003</v>
      </c>
      <c r="AD1942" s="1716">
        <f t="shared" ref="AD1942:AM1942" si="2176">AD1206-AD1207-AD1211</f>
        <v>0</v>
      </c>
      <c r="AE1942" s="1716">
        <f t="shared" si="2176"/>
        <v>0</v>
      </c>
      <c r="AF1942" s="1716">
        <f t="shared" si="2176"/>
        <v>177.57301783399987</v>
      </c>
      <c r="AG1942" s="1716">
        <f t="shared" si="2176"/>
        <v>0</v>
      </c>
      <c r="AH1942" s="1716">
        <f t="shared" si="2176"/>
        <v>0</v>
      </c>
      <c r="AI1942" s="1716">
        <f t="shared" si="2176"/>
        <v>0</v>
      </c>
      <c r="AJ1942" s="1716">
        <f t="shared" si="2176"/>
        <v>0</v>
      </c>
      <c r="AK1942" s="1716">
        <f t="shared" si="2176"/>
        <v>0</v>
      </c>
      <c r="AL1942" s="1716">
        <f t="shared" si="2176"/>
        <v>0</v>
      </c>
      <c r="AM1942" s="1716">
        <f t="shared" si="2176"/>
        <v>0</v>
      </c>
      <c r="AN1942" s="1716"/>
      <c r="AO1942" s="1716"/>
      <c r="AP1942" s="1716"/>
      <c r="AQ1942" s="1716"/>
      <c r="AR1942" s="1716"/>
      <c r="AS1942" s="1716"/>
      <c r="AT1942" s="2720"/>
    </row>
    <row r="1943" spans="3:46" ht="16.5">
      <c r="C1943" s="667"/>
      <c r="D1943" s="1717" t="s">
        <v>3452</v>
      </c>
      <c r="E1943" s="1722"/>
      <c r="J1943" s="1728">
        <v>437.55840464386756</v>
      </c>
      <c r="K1943" s="1728">
        <v>700.25471549015879</v>
      </c>
      <c r="L1943" s="1728">
        <v>906.85576354197303</v>
      </c>
      <c r="M1943" s="1"/>
      <c r="N1943" s="1"/>
      <c r="O1943" s="1"/>
      <c r="P1943" s="1"/>
      <c r="Q1943" s="1"/>
      <c r="R1943" s="1"/>
      <c r="S1943" s="1"/>
      <c r="T1943" s="1"/>
      <c r="V1943" s="1"/>
      <c r="X1943" s="1"/>
      <c r="Z1943" s="1"/>
      <c r="AA1943" s="1729">
        <v>0</v>
      </c>
      <c r="AB1943" s="1729">
        <v>0</v>
      </c>
      <c r="AC1943" s="1729">
        <v>0</v>
      </c>
      <c r="AD1943" s="1730"/>
      <c r="AE1943" s="1730"/>
      <c r="AF1943" s="1730"/>
      <c r="AG1943" s="1730"/>
      <c r="AH1943" s="1730"/>
      <c r="AI1943" s="1730"/>
      <c r="AJ1943" s="1730"/>
      <c r="AK1943" s="1730"/>
      <c r="AL1943" s="1730"/>
      <c r="AM1943" s="1730"/>
      <c r="AN1943" s="1730"/>
      <c r="AO1943" s="1730"/>
      <c r="AP1943" s="1730"/>
      <c r="AQ1943" s="1730"/>
      <c r="AR1943" s="1730"/>
      <c r="AS1943" s="1730"/>
      <c r="AT1943" s="1721"/>
    </row>
    <row r="1944" spans="3:46" ht="16.5">
      <c r="C1944" s="671"/>
      <c r="D1944" s="1717" t="s">
        <v>3453</v>
      </c>
      <c r="E1944" s="1722"/>
      <c r="J1944" s="1728" t="s">
        <v>115</v>
      </c>
      <c r="K1944" s="1728" t="s">
        <v>115</v>
      </c>
      <c r="L1944" s="1728" t="s">
        <v>115</v>
      </c>
      <c r="M1944" s="1"/>
      <c r="N1944" s="1"/>
      <c r="O1944" s="1"/>
      <c r="P1944" s="1"/>
      <c r="Q1944" s="1"/>
      <c r="R1944" s="1"/>
      <c r="S1944" s="1"/>
      <c r="T1944" s="1"/>
      <c r="V1944" s="1"/>
      <c r="X1944" s="1"/>
      <c r="Z1944" s="1"/>
      <c r="AA1944" s="1729">
        <v>0</v>
      </c>
      <c r="AB1944" s="1729">
        <v>0</v>
      </c>
      <c r="AC1944" s="1729">
        <v>0</v>
      </c>
      <c r="AD1944" s="1730"/>
      <c r="AE1944" s="1730"/>
      <c r="AF1944" s="1730"/>
      <c r="AG1944" s="1730"/>
      <c r="AH1944" s="1730"/>
      <c r="AI1944" s="1730"/>
      <c r="AJ1944" s="1730"/>
      <c r="AK1944" s="1730"/>
      <c r="AL1944" s="1730"/>
      <c r="AM1944" s="1730"/>
      <c r="AN1944" s="1730"/>
      <c r="AO1944" s="1730"/>
      <c r="AP1944" s="1730"/>
      <c r="AQ1944" s="1730"/>
      <c r="AR1944" s="1730"/>
      <c r="AS1944" s="1730"/>
      <c r="AT1944" s="1721"/>
    </row>
    <row r="1945" spans="3:46" ht="16.5">
      <c r="C1945" s="670"/>
      <c r="D1945" s="1717" t="s">
        <v>3454</v>
      </c>
      <c r="E1945" s="1722"/>
      <c r="J1945" s="1728" t="s">
        <v>115</v>
      </c>
      <c r="K1945" s="1728" t="s">
        <v>115</v>
      </c>
      <c r="L1945" s="1728" t="s">
        <v>115</v>
      </c>
      <c r="M1945" s="1"/>
      <c r="N1945" s="1"/>
      <c r="O1945" s="1"/>
      <c r="P1945" s="1"/>
      <c r="Q1945" s="1"/>
      <c r="R1945" s="1"/>
      <c r="S1945" s="1"/>
      <c r="T1945" s="1"/>
      <c r="V1945" s="1"/>
      <c r="X1945" s="1"/>
      <c r="Z1945" s="1"/>
      <c r="AA1945" s="1729">
        <v>67241.527207000006</v>
      </c>
      <c r="AB1945" s="1729">
        <v>56572.689231999997</v>
      </c>
      <c r="AC1945" s="1729">
        <v>60162.606031000003</v>
      </c>
      <c r="AD1945" s="1730"/>
      <c r="AE1945" s="1730"/>
      <c r="AF1945" s="1730"/>
      <c r="AG1945" s="1730"/>
      <c r="AH1945" s="1730"/>
      <c r="AI1945" s="1730"/>
      <c r="AJ1945" s="1730"/>
      <c r="AK1945" s="1730"/>
      <c r="AL1945" s="1730"/>
      <c r="AM1945" s="1730"/>
      <c r="AN1945" s="1730"/>
      <c r="AO1945" s="1730"/>
      <c r="AP1945" s="1730"/>
      <c r="AQ1945" s="1730"/>
      <c r="AR1945" s="1730"/>
      <c r="AS1945" s="1730"/>
      <c r="AT1945" s="1721"/>
    </row>
    <row r="1946" spans="3:46" ht="16.5">
      <c r="C1946" s="670"/>
      <c r="D1946" s="1712" t="s">
        <v>3455</v>
      </c>
      <c r="E1946" s="860" t="s">
        <v>3456</v>
      </c>
      <c r="J1946" s="1742" t="s">
        <v>115</v>
      </c>
      <c r="K1946" s="1742" t="s">
        <v>115</v>
      </c>
      <c r="L1946" s="1742" t="s">
        <v>115</v>
      </c>
      <c r="M1946" s="1"/>
      <c r="N1946" s="1"/>
      <c r="O1946" s="1"/>
      <c r="P1946" s="1"/>
      <c r="Q1946" s="1"/>
      <c r="R1946" s="1"/>
      <c r="S1946" s="1"/>
      <c r="T1946" s="1"/>
      <c r="V1946" s="1"/>
      <c r="X1946" s="1"/>
      <c r="Z1946" s="1"/>
      <c r="AA1946" s="1743">
        <v>70101.945282999994</v>
      </c>
      <c r="AB1946" s="1743">
        <v>70085.724533000001</v>
      </c>
      <c r="AC1946" s="1743">
        <v>109512.232645</v>
      </c>
      <c r="AD1946" s="1716">
        <f t="shared" ref="AD1946:AM1946" si="2177">AD1222</f>
        <v>25.820247301999999</v>
      </c>
      <c r="AE1946" s="1716">
        <f t="shared" si="2177"/>
        <v>26.669207106000002</v>
      </c>
      <c r="AF1946" s="1716">
        <f t="shared" si="2177"/>
        <v>41.034068239</v>
      </c>
      <c r="AG1946" s="1716">
        <f t="shared" si="2177"/>
        <v>56.665979002000007</v>
      </c>
      <c r="AH1946" s="1716">
        <f t="shared" si="2177"/>
        <v>46.100000000000009</v>
      </c>
      <c r="AI1946" s="1716">
        <f t="shared" si="2177"/>
        <v>48.931605560999998</v>
      </c>
      <c r="AJ1946" s="1716">
        <f t="shared" si="2177"/>
        <v>66.869311807000003</v>
      </c>
      <c r="AK1946" s="1716">
        <f t="shared" si="2177"/>
        <v>83.628595947365383</v>
      </c>
      <c r="AL1946" s="1716">
        <f t="shared" si="2177"/>
        <v>86.548112215653759</v>
      </c>
      <c r="AM1946" s="1716">
        <f t="shared" si="2177"/>
        <v>97.490799815877679</v>
      </c>
      <c r="AN1946" s="1716"/>
      <c r="AO1946" s="1716"/>
      <c r="AP1946" s="1716"/>
      <c r="AQ1946" s="1716"/>
      <c r="AR1946" s="1716"/>
      <c r="AS1946" s="1716"/>
      <c r="AT1946" s="2720"/>
    </row>
    <row r="1947" spans="3:46" ht="16.5">
      <c r="C1947" s="670"/>
      <c r="D1947" s="1717" t="s">
        <v>3457</v>
      </c>
      <c r="E1947" s="1722"/>
      <c r="J1947" s="1728">
        <v>0</v>
      </c>
      <c r="K1947" s="1728">
        <v>0</v>
      </c>
      <c r="L1947" s="1728">
        <v>0</v>
      </c>
      <c r="M1947" s="1"/>
      <c r="N1947" s="1"/>
      <c r="O1947" s="1"/>
      <c r="P1947" s="1"/>
      <c r="Q1947" s="1"/>
      <c r="R1947" s="1"/>
      <c r="S1947" s="1"/>
      <c r="T1947" s="1"/>
      <c r="V1947" s="1"/>
      <c r="X1947" s="1"/>
      <c r="Z1947" s="1"/>
      <c r="AA1947" s="1729">
        <v>65018.161994000002</v>
      </c>
      <c r="AB1947" s="1729">
        <v>67367.477343000006</v>
      </c>
      <c r="AC1947" s="1729">
        <v>103719.803275</v>
      </c>
      <c r="AD1947" s="1730"/>
      <c r="AE1947" s="1730"/>
      <c r="AF1947" s="1730"/>
      <c r="AG1947" s="1730"/>
      <c r="AH1947" s="1730"/>
      <c r="AI1947" s="1730"/>
      <c r="AJ1947" s="1730"/>
      <c r="AK1947" s="1730"/>
      <c r="AL1947" s="1730"/>
      <c r="AM1947" s="1730"/>
      <c r="AN1947" s="1730"/>
      <c r="AO1947" s="1730"/>
      <c r="AP1947" s="1730"/>
      <c r="AQ1947" s="1730"/>
      <c r="AR1947" s="1730"/>
      <c r="AS1947" s="1730"/>
      <c r="AT1947" s="1721"/>
    </row>
    <row r="1948" spans="3:46" ht="16.5">
      <c r="C1948" s="670"/>
      <c r="D1948" s="1717" t="s">
        <v>3458</v>
      </c>
      <c r="E1948" s="1722"/>
      <c r="J1948" s="1728" t="s">
        <v>115</v>
      </c>
      <c r="K1948" s="1728" t="s">
        <v>115</v>
      </c>
      <c r="L1948" s="1728" t="s">
        <v>115</v>
      </c>
      <c r="M1948" s="1"/>
      <c r="N1948" s="1"/>
      <c r="O1948" s="1"/>
      <c r="P1948" s="1"/>
      <c r="Q1948" s="1"/>
      <c r="R1948" s="1"/>
      <c r="S1948" s="1"/>
      <c r="T1948" s="1"/>
      <c r="V1948" s="1"/>
      <c r="X1948" s="1"/>
      <c r="Z1948" s="1"/>
      <c r="AA1948" s="1729">
        <v>5083.783289</v>
      </c>
      <c r="AB1948" s="1729">
        <v>2718.24719</v>
      </c>
      <c r="AC1948" s="1729">
        <v>5792.4293699999998</v>
      </c>
      <c r="AD1948" s="1730"/>
      <c r="AE1948" s="1730"/>
      <c r="AF1948" s="1730"/>
      <c r="AG1948" s="1730"/>
      <c r="AH1948" s="1730"/>
      <c r="AI1948" s="1730"/>
      <c r="AJ1948" s="1730"/>
      <c r="AK1948" s="1730"/>
      <c r="AL1948" s="1730"/>
      <c r="AM1948" s="1730"/>
      <c r="AN1948" s="1730"/>
      <c r="AO1948" s="1730"/>
      <c r="AP1948" s="1730"/>
      <c r="AQ1948" s="1730"/>
      <c r="AR1948" s="1730"/>
      <c r="AS1948" s="1730"/>
      <c r="AT1948" s="1721"/>
    </row>
    <row r="1949" spans="3:46" ht="16.5">
      <c r="C1949" s="670"/>
      <c r="D1949" s="1712" t="s">
        <v>3459</v>
      </c>
      <c r="E1949" s="860" t="s">
        <v>3460</v>
      </c>
      <c r="J1949" s="1742" t="s">
        <v>115</v>
      </c>
      <c r="K1949" s="1742" t="s">
        <v>115</v>
      </c>
      <c r="L1949" s="1742" t="s">
        <v>115</v>
      </c>
      <c r="M1949" s="1"/>
      <c r="N1949" s="1"/>
      <c r="O1949" s="1"/>
      <c r="P1949" s="1"/>
      <c r="Q1949" s="1"/>
      <c r="R1949" s="1"/>
      <c r="S1949" s="1"/>
      <c r="T1949" s="1"/>
      <c r="V1949" s="1"/>
      <c r="X1949" s="1"/>
      <c r="Z1949" s="1"/>
      <c r="AA1949" s="1743">
        <v>60908.271142999998</v>
      </c>
      <c r="AB1949" s="1743">
        <v>82257.333933999995</v>
      </c>
      <c r="AC1949" s="1743">
        <v>92278.030673999994</v>
      </c>
      <c r="AD1949" s="1716">
        <f>+AD1950+AD1951</f>
        <v>102.49247013915866</v>
      </c>
      <c r="AE1949" s="1716">
        <f t="shared" ref="AE1949:AM1949" si="2178">+AE1950+AE1951</f>
        <v>139.11880432605938</v>
      </c>
      <c r="AF1949" s="1716">
        <f t="shared" si="2178"/>
        <v>180.68587590230516</v>
      </c>
      <c r="AG1949" s="1716">
        <f t="shared" si="2178"/>
        <v>220.33496040005537</v>
      </c>
      <c r="AH1949" s="1716">
        <f t="shared" si="2178"/>
        <v>303.50285692110134</v>
      </c>
      <c r="AI1949" s="1716">
        <f t="shared" si="2178"/>
        <v>417.72068484998749</v>
      </c>
      <c r="AJ1949" s="1716">
        <f t="shared" si="2178"/>
        <v>485.86876249933277</v>
      </c>
      <c r="AK1949" s="1716">
        <f t="shared" si="2178"/>
        <v>575.63840348451254</v>
      </c>
      <c r="AL1949" s="1716">
        <f t="shared" si="2178"/>
        <v>665.19205016128569</v>
      </c>
      <c r="AM1949" s="1716">
        <f t="shared" si="2178"/>
        <v>707.34308411161601</v>
      </c>
      <c r="AN1949" s="1716"/>
      <c r="AO1949" s="1716"/>
      <c r="AP1949" s="1716"/>
      <c r="AQ1949" s="1716"/>
      <c r="AR1949" s="1716"/>
      <c r="AS1949" s="1716"/>
      <c r="AT1949" s="2720"/>
    </row>
    <row r="1950" spans="3:46">
      <c r="C1950" s="1074"/>
      <c r="D1950" s="1717" t="s">
        <v>3461</v>
      </c>
      <c r="E1950" s="1722"/>
      <c r="J1950" s="1728" t="s">
        <v>115</v>
      </c>
      <c r="K1950" s="1728" t="s">
        <v>115</v>
      </c>
      <c r="L1950" s="1728" t="s">
        <v>115</v>
      </c>
      <c r="M1950" s="1"/>
      <c r="N1950" s="1"/>
      <c r="O1950" s="1"/>
      <c r="P1950" s="1"/>
      <c r="Q1950" s="1"/>
      <c r="R1950" s="1"/>
      <c r="S1950" s="1"/>
      <c r="T1950" s="1"/>
      <c r="V1950" s="1"/>
      <c r="X1950" s="1"/>
      <c r="Z1950" s="1"/>
      <c r="AA1950" s="1729">
        <v>31113.178805</v>
      </c>
      <c r="AB1950" s="1729">
        <v>45540.311555</v>
      </c>
      <c r="AC1950" s="1729">
        <v>42328.926555999999</v>
      </c>
      <c r="AD1950" s="1730">
        <f t="shared" ref="AD1950:AM1950" si="2179">AD1196</f>
        <v>54.603488966273204</v>
      </c>
      <c r="AE1950" s="1730">
        <f t="shared" si="2179"/>
        <v>78.301790404000002</v>
      </c>
      <c r="AF1950" s="1730">
        <f t="shared" si="2179"/>
        <v>113.50888140170532</v>
      </c>
      <c r="AG1950" s="1730">
        <f t="shared" si="2179"/>
        <v>150.36743937099999</v>
      </c>
      <c r="AH1950" s="1730">
        <f t="shared" si="2179"/>
        <v>202.65379407699999</v>
      </c>
      <c r="AI1950" s="1730">
        <f t="shared" si="2179"/>
        <v>234.46880806899998</v>
      </c>
      <c r="AJ1950" s="1730">
        <f t="shared" si="2179"/>
        <v>261.56037650434615</v>
      </c>
      <c r="AK1950" s="1730">
        <f t="shared" si="2179"/>
        <v>288.84765566700003</v>
      </c>
      <c r="AL1950" s="1730">
        <f t="shared" si="2179"/>
        <v>332.48941880500001</v>
      </c>
      <c r="AM1950" s="1730">
        <f t="shared" si="2179"/>
        <v>335.27434038399997</v>
      </c>
      <c r="AN1950" s="1730"/>
      <c r="AO1950" s="1730"/>
      <c r="AP1950" s="1730"/>
      <c r="AQ1950" s="1730"/>
      <c r="AR1950" s="1730"/>
      <c r="AS1950" s="1730"/>
      <c r="AT1950" s="1721"/>
    </row>
    <row r="1951" spans="3:46">
      <c r="C1951" s="1074"/>
      <c r="D1951" s="1717" t="s">
        <v>3462</v>
      </c>
      <c r="E1951" s="1722"/>
      <c r="J1951" s="1728">
        <v>78.301790404000002</v>
      </c>
      <c r="K1951" s="1728">
        <v>157.403956545</v>
      </c>
      <c r="L1951" s="1728">
        <v>186.62527323</v>
      </c>
      <c r="M1951" s="1"/>
      <c r="N1951" s="1"/>
      <c r="O1951" s="1"/>
      <c r="P1951" s="1"/>
      <c r="Q1951" s="1"/>
      <c r="R1951" s="1"/>
      <c r="S1951" s="1"/>
      <c r="T1951" s="1"/>
      <c r="V1951" s="1"/>
      <c r="X1951" s="1"/>
      <c r="Z1951" s="1"/>
      <c r="AA1951" s="1729">
        <v>29795.092337999999</v>
      </c>
      <c r="AB1951" s="1729">
        <v>36717.022379000002</v>
      </c>
      <c r="AC1951" s="1729">
        <v>49949.104118000003</v>
      </c>
      <c r="AD1951" s="1730">
        <f t="shared" ref="AD1951:AM1951" si="2180">AD1189</f>
        <v>47.888981172885451</v>
      </c>
      <c r="AE1951" s="1730">
        <f t="shared" si="2180"/>
        <v>60.817013922059381</v>
      </c>
      <c r="AF1951" s="1730">
        <f t="shared" si="2180"/>
        <v>67.176994500599847</v>
      </c>
      <c r="AG1951" s="1730">
        <f t="shared" si="2180"/>
        <v>69.967521029055391</v>
      </c>
      <c r="AH1951" s="1730">
        <f t="shared" si="2180"/>
        <v>100.84906284410137</v>
      </c>
      <c r="AI1951" s="1730">
        <f t="shared" si="2180"/>
        <v>183.25187678098752</v>
      </c>
      <c r="AJ1951" s="1730">
        <f t="shared" si="2180"/>
        <v>224.30838599498665</v>
      </c>
      <c r="AK1951" s="1730">
        <f t="shared" si="2180"/>
        <v>286.79074781751251</v>
      </c>
      <c r="AL1951" s="1730">
        <f t="shared" si="2180"/>
        <v>332.70263135628568</v>
      </c>
      <c r="AM1951" s="1730">
        <f t="shared" si="2180"/>
        <v>372.06874372761598</v>
      </c>
      <c r="AN1951" s="1730"/>
      <c r="AO1951" s="1730"/>
      <c r="AP1951" s="1730"/>
      <c r="AQ1951" s="1730"/>
      <c r="AR1951" s="1730"/>
      <c r="AS1951" s="1730"/>
      <c r="AT1951" s="1721"/>
    </row>
    <row r="1952" spans="3:46" ht="16.5">
      <c r="C1952" s="670"/>
      <c r="D1952" s="1712" t="s">
        <v>3463</v>
      </c>
      <c r="E1952" s="860" t="s">
        <v>3464</v>
      </c>
      <c r="J1952" s="1742">
        <v>60.817013922059381</v>
      </c>
      <c r="K1952" s="1742">
        <v>83.841743317253304</v>
      </c>
      <c r="L1952" s="1742">
        <v>109.5344837004652</v>
      </c>
      <c r="M1952" s="1"/>
      <c r="N1952" s="1"/>
      <c r="O1952" s="1"/>
      <c r="P1952" s="1"/>
      <c r="Q1952" s="1"/>
      <c r="R1952" s="1"/>
      <c r="S1952" s="1"/>
      <c r="T1952" s="1"/>
      <c r="V1952" s="1"/>
      <c r="X1952" s="1"/>
      <c r="Z1952" s="1"/>
      <c r="AA1952" s="1743">
        <v>115089.06663</v>
      </c>
      <c r="AB1952" s="1743">
        <v>135353.023139</v>
      </c>
      <c r="AC1952" s="1743">
        <v>137726.71072800001</v>
      </c>
      <c r="AD1952" s="1716">
        <f t="shared" ref="AD1952:AM1952" si="2181">AD1224</f>
        <v>170.62252833700001</v>
      </c>
      <c r="AE1952" s="1716">
        <f t="shared" si="2181"/>
        <v>144.34993801900001</v>
      </c>
      <c r="AF1952" s="1716">
        <f t="shared" si="2181"/>
        <v>132.26150189800001</v>
      </c>
      <c r="AG1952" s="1716">
        <f t="shared" si="2181"/>
        <v>147.01854875399999</v>
      </c>
      <c r="AH1952" s="1716">
        <f t="shared" si="2181"/>
        <v>127.70000000000002</v>
      </c>
      <c r="AI1952" s="1716">
        <f t="shared" si="2181"/>
        <v>139.12123366500001</v>
      </c>
      <c r="AJ1952" s="1716">
        <f t="shared" si="2181"/>
        <v>144.99330224100001</v>
      </c>
      <c r="AK1952" s="1716">
        <f t="shared" si="2181"/>
        <v>152.98324848558599</v>
      </c>
      <c r="AL1952" s="1716">
        <f t="shared" si="2181"/>
        <v>168.65948497698193</v>
      </c>
      <c r="AM1952" s="1716">
        <f t="shared" si="2181"/>
        <v>189.89689710093501</v>
      </c>
      <c r="AN1952" s="1716"/>
      <c r="AO1952" s="1716"/>
      <c r="AP1952" s="1716"/>
      <c r="AQ1952" s="1716"/>
      <c r="AR1952" s="1716"/>
      <c r="AS1952" s="1716"/>
      <c r="AT1952" s="2720"/>
    </row>
    <row r="1953" spans="3:46" ht="16.5">
      <c r="C1953" s="670"/>
      <c r="D1953" s="1717" t="s">
        <v>3465</v>
      </c>
      <c r="E1953" s="1722"/>
      <c r="J1953" s="1728">
        <v>144.34993801899998</v>
      </c>
      <c r="K1953" s="1728">
        <v>116.324949218626</v>
      </c>
      <c r="L1953" s="1728">
        <v>125.94107323560688</v>
      </c>
      <c r="M1953" s="1"/>
      <c r="N1953" s="1"/>
      <c r="O1953" s="1"/>
      <c r="P1953" s="1"/>
      <c r="Q1953" s="1"/>
      <c r="R1953" s="1"/>
      <c r="S1953" s="1"/>
      <c r="T1953" s="1"/>
      <c r="V1953" s="1"/>
      <c r="X1953" s="1"/>
      <c r="Z1953" s="1"/>
      <c r="AA1953" s="1729">
        <v>87327.781654999999</v>
      </c>
      <c r="AB1953" s="1729">
        <v>76220.217460999993</v>
      </c>
      <c r="AC1953" s="1729">
        <v>92741.097785999998</v>
      </c>
      <c r="AD1953" s="1730"/>
      <c r="AE1953" s="1730"/>
      <c r="AF1953" s="1730"/>
      <c r="AG1953" s="1730"/>
      <c r="AH1953" s="1730"/>
      <c r="AI1953" s="1730"/>
      <c r="AJ1953" s="1730"/>
      <c r="AK1953" s="1730"/>
      <c r="AL1953" s="1730"/>
      <c r="AM1953" s="1730"/>
      <c r="AN1953" s="1730"/>
      <c r="AO1953" s="1730"/>
      <c r="AP1953" s="1730"/>
      <c r="AQ1953" s="1730"/>
      <c r="AR1953" s="1730"/>
      <c r="AS1953" s="1730"/>
      <c r="AT1953" s="1721"/>
    </row>
    <row r="1954" spans="3:46" ht="16.5">
      <c r="C1954" s="670"/>
      <c r="D1954" s="1717" t="s">
        <v>3466</v>
      </c>
      <c r="E1954" s="1722"/>
      <c r="J1954" s="1728" t="s">
        <v>115</v>
      </c>
      <c r="K1954" s="1728" t="s">
        <v>115</v>
      </c>
      <c r="L1954" s="1728" t="s">
        <v>115</v>
      </c>
      <c r="M1954" s="1"/>
      <c r="N1954" s="1"/>
      <c r="O1954" s="1"/>
      <c r="P1954" s="1"/>
      <c r="Q1954" s="1"/>
      <c r="R1954" s="1"/>
      <c r="S1954" s="1"/>
      <c r="T1954" s="1"/>
      <c r="V1954" s="1"/>
      <c r="X1954" s="1"/>
      <c r="Z1954" s="1"/>
      <c r="AA1954" s="1729">
        <v>1.4881439999999999</v>
      </c>
      <c r="AB1954" s="1729">
        <v>0</v>
      </c>
      <c r="AC1954" s="1729">
        <v>0</v>
      </c>
      <c r="AD1954" s="1730"/>
      <c r="AE1954" s="1730"/>
      <c r="AF1954" s="1730"/>
      <c r="AG1954" s="1730"/>
      <c r="AH1954" s="1730"/>
      <c r="AI1954" s="1730"/>
      <c r="AJ1954" s="1730"/>
      <c r="AK1954" s="1730"/>
      <c r="AL1954" s="1730"/>
      <c r="AM1954" s="1730"/>
      <c r="AN1954" s="1730"/>
      <c r="AO1954" s="1730"/>
      <c r="AP1954" s="1730"/>
      <c r="AQ1954" s="1730"/>
      <c r="AR1954" s="1730"/>
      <c r="AS1954" s="1730"/>
      <c r="AT1954" s="1721"/>
    </row>
    <row r="1955" spans="3:46" ht="16.5">
      <c r="C1955" s="665"/>
      <c r="D1955" s="1717" t="s">
        <v>3467</v>
      </c>
      <c r="E1955" s="1722"/>
      <c r="J1955" s="1728" t="s">
        <v>115</v>
      </c>
      <c r="K1955" s="1728" t="s">
        <v>115</v>
      </c>
      <c r="L1955" s="1728" t="s">
        <v>115</v>
      </c>
      <c r="M1955" s="1"/>
      <c r="N1955" s="1"/>
      <c r="O1955" s="1"/>
      <c r="P1955" s="1"/>
      <c r="Q1955" s="1"/>
      <c r="R1955" s="1"/>
      <c r="S1955" s="1"/>
      <c r="T1955" s="1"/>
      <c r="V1955" s="1"/>
      <c r="X1955" s="1"/>
      <c r="Z1955" s="1"/>
      <c r="AA1955" s="1729">
        <v>0</v>
      </c>
      <c r="AB1955" s="1729">
        <v>0.6</v>
      </c>
      <c r="AC1955" s="1729">
        <v>47.176124999999999</v>
      </c>
      <c r="AD1955" s="1730"/>
      <c r="AE1955" s="1730"/>
      <c r="AF1955" s="1730"/>
      <c r="AG1955" s="1730"/>
      <c r="AH1955" s="1730"/>
      <c r="AI1955" s="1730"/>
      <c r="AJ1955" s="1730"/>
      <c r="AK1955" s="1730"/>
      <c r="AL1955" s="1730"/>
      <c r="AM1955" s="1730"/>
      <c r="AN1955" s="1730"/>
      <c r="AO1955" s="1730"/>
      <c r="AP1955" s="1730"/>
      <c r="AQ1955" s="1730"/>
      <c r="AR1955" s="1730"/>
      <c r="AS1955" s="1730"/>
      <c r="AT1955" s="1721"/>
    </row>
    <row r="1956" spans="3:46" ht="16.5">
      <c r="C1956" s="665"/>
      <c r="D1956" s="1717" t="s">
        <v>3158</v>
      </c>
      <c r="E1956" s="1722"/>
      <c r="J1956" s="1728" t="s">
        <v>115</v>
      </c>
      <c r="K1956" s="1728" t="s">
        <v>115</v>
      </c>
      <c r="L1956" s="1728" t="s">
        <v>115</v>
      </c>
      <c r="M1956" s="1"/>
      <c r="N1956" s="1"/>
      <c r="O1956" s="1"/>
      <c r="P1956" s="1"/>
      <c r="Q1956" s="1"/>
      <c r="R1956" s="1"/>
      <c r="S1956" s="1"/>
      <c r="T1956" s="1"/>
      <c r="V1956" s="1"/>
      <c r="X1956" s="1"/>
      <c r="Z1956" s="1"/>
      <c r="AA1956" s="1729">
        <v>24910.728912999999</v>
      </c>
      <c r="AB1956" s="1729">
        <v>58269.236934</v>
      </c>
      <c r="AC1956" s="1729">
        <v>42329.063367000002</v>
      </c>
      <c r="AD1956" s="1730"/>
      <c r="AE1956" s="1730"/>
      <c r="AF1956" s="1730"/>
      <c r="AG1956" s="1730"/>
      <c r="AH1956" s="1730"/>
      <c r="AI1956" s="1730"/>
      <c r="AJ1956" s="1730"/>
      <c r="AK1956" s="1730"/>
      <c r="AL1956" s="1730"/>
      <c r="AM1956" s="1730"/>
      <c r="AN1956" s="1730"/>
      <c r="AO1956" s="1730"/>
      <c r="AP1956" s="1730"/>
      <c r="AQ1956" s="1730"/>
      <c r="AR1956" s="1730"/>
      <c r="AS1956" s="1730"/>
      <c r="AT1956" s="1721"/>
    </row>
    <row r="1957" spans="3:46" ht="16.5">
      <c r="C1957" s="665"/>
      <c r="D1957" s="1717" t="s">
        <v>3468</v>
      </c>
      <c r="E1957" s="1722"/>
      <c r="J1957" s="1728">
        <v>0</v>
      </c>
      <c r="K1957" s="1728">
        <v>32.072597402901316</v>
      </c>
      <c r="L1957" s="1728">
        <v>0</v>
      </c>
      <c r="M1957" s="1"/>
      <c r="N1957" s="1"/>
      <c r="O1957" s="1"/>
      <c r="P1957" s="1"/>
      <c r="Q1957" s="1"/>
      <c r="R1957" s="1"/>
      <c r="S1957" s="1"/>
      <c r="T1957" s="1"/>
      <c r="V1957" s="1"/>
      <c r="X1957" s="1"/>
      <c r="Z1957" s="1"/>
      <c r="AA1957" s="1729">
        <v>2849.0679180000002</v>
      </c>
      <c r="AB1957" s="1729">
        <v>862.96874400000002</v>
      </c>
      <c r="AC1957" s="1729">
        <v>2609.37345</v>
      </c>
      <c r="AD1957" s="1730"/>
      <c r="AE1957" s="1730"/>
      <c r="AF1957" s="1730"/>
      <c r="AG1957" s="1730"/>
      <c r="AH1957" s="1730"/>
      <c r="AI1957" s="1730"/>
      <c r="AJ1957" s="1730"/>
      <c r="AK1957" s="1730"/>
      <c r="AL1957" s="1730"/>
      <c r="AM1957" s="1730"/>
      <c r="AN1957" s="1730"/>
      <c r="AO1957" s="1730"/>
      <c r="AP1957" s="1730"/>
      <c r="AQ1957" s="1730"/>
      <c r="AR1957" s="1730"/>
      <c r="AS1957" s="1730"/>
      <c r="AT1957" s="1721"/>
    </row>
    <row r="1958" spans="3:46" ht="16.5">
      <c r="C1958" s="665"/>
      <c r="D1958" s="1744" t="s">
        <v>3469</v>
      </c>
      <c r="E1958" s="860" t="s">
        <v>3470</v>
      </c>
      <c r="J1958" s="1742" t="s">
        <v>115</v>
      </c>
      <c r="K1958" s="1742" t="s">
        <v>115</v>
      </c>
      <c r="L1958" s="1742" t="s">
        <v>115</v>
      </c>
      <c r="M1958" s="1"/>
      <c r="N1958" s="1"/>
      <c r="O1958" s="1"/>
      <c r="P1958" s="1"/>
      <c r="Q1958" s="1"/>
      <c r="R1958" s="1"/>
      <c r="S1958" s="1"/>
      <c r="T1958" s="1"/>
      <c r="V1958" s="1"/>
      <c r="X1958" s="1"/>
      <c r="Z1958" s="1"/>
      <c r="AA1958" s="1743">
        <v>29937.647161000001</v>
      </c>
      <c r="AB1958" s="1743">
        <v>39333.804078000001</v>
      </c>
      <c r="AC1958" s="1743">
        <v>48494.987569999998</v>
      </c>
      <c r="AD1958" s="1711"/>
      <c r="AE1958" s="1711"/>
      <c r="AF1958" s="1711"/>
      <c r="AG1958" s="1711"/>
      <c r="AH1958" s="1711"/>
      <c r="AI1958" s="1711"/>
      <c r="AJ1958" s="1711"/>
      <c r="AK1958" s="1711"/>
      <c r="AL1958" s="1711"/>
      <c r="AM1958" s="1711"/>
      <c r="AN1958" s="1711"/>
      <c r="AO1958" s="1711"/>
      <c r="AP1958" s="1711"/>
      <c r="AQ1958" s="1711"/>
      <c r="AR1958" s="1711"/>
      <c r="AS1958" s="1711"/>
      <c r="AT1958" s="2722"/>
    </row>
    <row r="1959" spans="3:46" ht="16.5">
      <c r="C1959" s="673"/>
      <c r="D1959" s="1717" t="s">
        <v>3471</v>
      </c>
      <c r="E1959" s="1722"/>
      <c r="J1959" s="1728" t="s">
        <v>115</v>
      </c>
      <c r="K1959" s="1728" t="s">
        <v>115</v>
      </c>
      <c r="L1959" s="1728" t="s">
        <v>115</v>
      </c>
      <c r="M1959" s="1"/>
      <c r="N1959" s="1"/>
      <c r="O1959" s="1"/>
      <c r="P1959" s="1"/>
      <c r="Q1959" s="1"/>
      <c r="R1959" s="1"/>
      <c r="S1959" s="1"/>
      <c r="T1959" s="1"/>
      <c r="V1959" s="1"/>
      <c r="X1959" s="1"/>
      <c r="Z1959" s="1"/>
      <c r="AA1959" s="1729">
        <v>15039.4406</v>
      </c>
      <c r="AB1959" s="1729">
        <v>18559.683917999999</v>
      </c>
      <c r="AC1959" s="1729">
        <v>23786.032458000001</v>
      </c>
      <c r="AD1959" s="1730"/>
      <c r="AE1959" s="1730"/>
      <c r="AF1959" s="1730"/>
      <c r="AG1959" s="1730"/>
      <c r="AH1959" s="1730"/>
      <c r="AI1959" s="1730"/>
      <c r="AJ1959" s="1730"/>
      <c r="AK1959" s="1730"/>
      <c r="AL1959" s="1730"/>
      <c r="AM1959" s="1730"/>
      <c r="AN1959" s="1730"/>
      <c r="AO1959" s="1730"/>
      <c r="AP1959" s="1730"/>
      <c r="AQ1959" s="1730"/>
      <c r="AR1959" s="1730"/>
      <c r="AS1959" s="1730"/>
      <c r="AT1959" s="1721"/>
    </row>
    <row r="1960" spans="3:46" ht="16.5">
      <c r="C1960" s="667"/>
      <c r="D1960" s="1717" t="s">
        <v>3472</v>
      </c>
      <c r="E1960" s="1722"/>
      <c r="J1960" s="1728" t="s">
        <v>115</v>
      </c>
      <c r="K1960" s="1728" t="s">
        <v>115</v>
      </c>
      <c r="L1960" s="1728" t="s">
        <v>115</v>
      </c>
      <c r="M1960" s="1"/>
      <c r="N1960" s="1"/>
      <c r="O1960" s="1"/>
      <c r="P1960" s="1"/>
      <c r="Q1960" s="1"/>
      <c r="R1960" s="1"/>
      <c r="S1960" s="1"/>
      <c r="T1960" s="1"/>
      <c r="V1960" s="1"/>
      <c r="X1960" s="1"/>
      <c r="Z1960" s="1"/>
      <c r="AA1960" s="1729">
        <v>14898.206561000001</v>
      </c>
      <c r="AB1960" s="1729">
        <v>20774.120159999999</v>
      </c>
      <c r="AC1960" s="1729">
        <v>24708.955112</v>
      </c>
      <c r="AD1960" s="1730"/>
      <c r="AE1960" s="1730"/>
      <c r="AF1960" s="1730"/>
      <c r="AG1960" s="1730"/>
      <c r="AH1960" s="1730"/>
      <c r="AI1960" s="1730"/>
      <c r="AJ1960" s="1730"/>
      <c r="AK1960" s="1730"/>
      <c r="AL1960" s="1730"/>
      <c r="AM1960" s="1730"/>
      <c r="AN1960" s="1730"/>
      <c r="AO1960" s="1730"/>
      <c r="AP1960" s="1730"/>
      <c r="AQ1960" s="1730"/>
      <c r="AR1960" s="1730"/>
      <c r="AS1960" s="1730"/>
      <c r="AT1960" s="1721"/>
    </row>
    <row r="1961" spans="3:46" ht="16.5">
      <c r="C1961" s="673"/>
      <c r="D1961" s="1712" t="s">
        <v>3473</v>
      </c>
      <c r="E1961" s="860" t="s">
        <v>3474</v>
      </c>
      <c r="J1961" s="1742" t="s">
        <v>115</v>
      </c>
      <c r="K1961" s="1742" t="s">
        <v>115</v>
      </c>
      <c r="L1961" s="1742" t="s">
        <v>115</v>
      </c>
      <c r="M1961" s="1"/>
      <c r="N1961" s="1"/>
      <c r="O1961" s="1"/>
      <c r="P1961" s="1"/>
      <c r="Q1961" s="1"/>
      <c r="R1961" s="1"/>
      <c r="S1961" s="1"/>
      <c r="T1961" s="1"/>
      <c r="V1961" s="1"/>
      <c r="X1961" s="1"/>
      <c r="Z1961" s="1"/>
      <c r="AA1961" s="1743">
        <v>537525.27005299996</v>
      </c>
      <c r="AB1961" s="1743">
        <v>596099.425666</v>
      </c>
      <c r="AC1961" s="1743">
        <v>609695.32883100002</v>
      </c>
      <c r="AD1961" s="1711">
        <f>+AD1962</f>
        <v>1028.5231460219475</v>
      </c>
      <c r="AE1961" s="1711">
        <f t="shared" ref="AE1961:AM1961" si="2182">+AE1962</f>
        <v>1175.0382085953659</v>
      </c>
      <c r="AF1961" s="1711">
        <f t="shared" si="2182"/>
        <v>1434.949186045309</v>
      </c>
      <c r="AG1961" s="1711">
        <f t="shared" si="2182"/>
        <v>1733.9450741653302</v>
      </c>
      <c r="AH1961" s="1711">
        <f t="shared" si="2182"/>
        <v>1754.4301226455273</v>
      </c>
      <c r="AI1961" s="1711">
        <f t="shared" si="2182"/>
        <v>2002.9486684788885</v>
      </c>
      <c r="AJ1961" s="1711">
        <f t="shared" si="2182"/>
        <v>1994.8530856342204</v>
      </c>
      <c r="AK1961" s="1711">
        <f t="shared" si="2182"/>
        <v>2253.4378059905207</v>
      </c>
      <c r="AL1961" s="1711">
        <f t="shared" si="2182"/>
        <v>2511.4316419226138</v>
      </c>
      <c r="AM1961" s="1711">
        <f t="shared" si="2182"/>
        <v>2954.3539295207338</v>
      </c>
      <c r="AN1961" s="1711"/>
      <c r="AO1961" s="1711"/>
      <c r="AP1961" s="1711"/>
      <c r="AQ1961" s="1711"/>
      <c r="AR1961" s="1711"/>
      <c r="AS1961" s="1711"/>
      <c r="AT1961" s="2722"/>
    </row>
    <row r="1962" spans="3:46" ht="16.5">
      <c r="C1962" s="665"/>
      <c r="D1962" s="1717" t="s">
        <v>3475</v>
      </c>
      <c r="E1962" s="1722"/>
      <c r="J1962" s="1728">
        <v>422.64972231496813</v>
      </c>
      <c r="K1962" s="1728">
        <v>134.58066987922223</v>
      </c>
      <c r="L1962" s="1728">
        <v>178.08861808850509</v>
      </c>
      <c r="M1962" s="1"/>
      <c r="N1962" s="1"/>
      <c r="O1962" s="1"/>
      <c r="P1962" s="1"/>
      <c r="Q1962" s="1"/>
      <c r="R1962" s="1"/>
      <c r="S1962" s="1"/>
      <c r="T1962" s="1"/>
      <c r="V1962" s="1"/>
      <c r="X1962" s="1"/>
      <c r="Z1962" s="1"/>
      <c r="AA1962" s="1729">
        <v>398936.10491300002</v>
      </c>
      <c r="AB1962" s="1729">
        <v>219927.978087</v>
      </c>
      <c r="AC1962" s="1729">
        <v>542605.40342999995</v>
      </c>
      <c r="AD1962" s="1730">
        <f>+AD1210+AD1215+AD1228</f>
        <v>1028.5231460219475</v>
      </c>
      <c r="AE1962" s="1730">
        <f>+AE1210+AE1215+AE1228</f>
        <v>1175.0382085953659</v>
      </c>
      <c r="AF1962" s="1730">
        <f>+AF1210+AF1215+AF1228</f>
        <v>1434.949186045309</v>
      </c>
      <c r="AG1962" s="1730">
        <f t="shared" ref="AG1962:AM1962" si="2183">AG1210+AG1215+AG1228</f>
        <v>1733.9450741653302</v>
      </c>
      <c r="AH1962" s="1730">
        <f t="shared" si="2183"/>
        <v>1754.4301226455273</v>
      </c>
      <c r="AI1962" s="1730">
        <f t="shared" si="2183"/>
        <v>2002.9486684788885</v>
      </c>
      <c r="AJ1962" s="1730">
        <f t="shared" si="2183"/>
        <v>1994.8530856342204</v>
      </c>
      <c r="AK1962" s="1730">
        <f t="shared" si="2183"/>
        <v>2253.4378059905207</v>
      </c>
      <c r="AL1962" s="1730">
        <f t="shared" si="2183"/>
        <v>2511.4316419226138</v>
      </c>
      <c r="AM1962" s="1730">
        <f t="shared" si="2183"/>
        <v>2954.3539295207338</v>
      </c>
      <c r="AN1962" s="1730"/>
      <c r="AO1962" s="1730"/>
      <c r="AP1962" s="1730"/>
      <c r="AQ1962" s="1730"/>
      <c r="AR1962" s="1730"/>
      <c r="AS1962" s="1730"/>
      <c r="AT1962" s="1721"/>
    </row>
    <row r="1963" spans="3:46" ht="16.5">
      <c r="C1963" s="665"/>
      <c r="D1963" s="1717" t="s">
        <v>3476</v>
      </c>
      <c r="E1963" s="1722"/>
      <c r="J1963" s="1728">
        <v>0</v>
      </c>
      <c r="K1963" s="1728">
        <v>0</v>
      </c>
      <c r="L1963" s="1728">
        <v>0</v>
      </c>
      <c r="M1963" s="1"/>
      <c r="N1963" s="1"/>
      <c r="O1963" s="1"/>
      <c r="P1963" s="1"/>
      <c r="Q1963" s="1"/>
      <c r="R1963" s="1"/>
      <c r="S1963" s="1"/>
      <c r="T1963" s="1"/>
      <c r="V1963" s="1"/>
      <c r="X1963" s="1"/>
      <c r="Z1963" s="1"/>
      <c r="AA1963" s="1729">
        <v>254.01560699999999</v>
      </c>
      <c r="AB1963" s="1729">
        <v>1245.6161790000001</v>
      </c>
      <c r="AC1963" s="1729">
        <v>892.58522700000003</v>
      </c>
      <c r="AD1963" s="1730"/>
      <c r="AE1963" s="1730"/>
      <c r="AF1963" s="1730"/>
      <c r="AG1963" s="1730"/>
      <c r="AH1963" s="1730"/>
      <c r="AI1963" s="1730"/>
      <c r="AJ1963" s="1730"/>
      <c r="AK1963" s="1730"/>
      <c r="AL1963" s="1730"/>
      <c r="AM1963" s="1730"/>
      <c r="AN1963" s="1730"/>
      <c r="AO1963" s="1730"/>
      <c r="AP1963" s="1730"/>
      <c r="AQ1963" s="1730"/>
      <c r="AR1963" s="1730"/>
      <c r="AS1963" s="1730"/>
      <c r="AT1963" s="1721"/>
    </row>
    <row r="1964" spans="3:46" ht="16.5">
      <c r="C1964" s="673"/>
      <c r="D1964" s="1717" t="s">
        <v>3477</v>
      </c>
      <c r="E1964" s="1722"/>
      <c r="J1964" s="1728" t="s">
        <v>115</v>
      </c>
      <c r="K1964" s="1728" t="s">
        <v>115</v>
      </c>
      <c r="L1964" s="1728" t="s">
        <v>115</v>
      </c>
      <c r="M1964" s="1"/>
      <c r="N1964" s="1"/>
      <c r="O1964" s="1"/>
      <c r="P1964" s="1"/>
      <c r="Q1964" s="1"/>
      <c r="R1964" s="1"/>
      <c r="S1964" s="1"/>
      <c r="T1964" s="1"/>
      <c r="V1964" s="1"/>
      <c r="X1964" s="1"/>
      <c r="Z1964" s="1"/>
      <c r="AA1964" s="1729">
        <v>6120.1249230000003</v>
      </c>
      <c r="AB1964" s="1729">
        <v>115749.01530899999</v>
      </c>
      <c r="AC1964" s="1729">
        <v>23.396176000000001</v>
      </c>
      <c r="AD1964" s="1730"/>
      <c r="AE1964" s="1730"/>
      <c r="AF1964" s="1730"/>
      <c r="AG1964" s="1730"/>
      <c r="AH1964" s="1730"/>
      <c r="AI1964" s="1730"/>
      <c r="AJ1964" s="1730"/>
      <c r="AK1964" s="1730"/>
      <c r="AL1964" s="1730"/>
      <c r="AM1964" s="1730"/>
      <c r="AN1964" s="1730"/>
      <c r="AO1964" s="1730"/>
      <c r="AP1964" s="1730"/>
      <c r="AQ1964" s="1730"/>
      <c r="AR1964" s="1730"/>
      <c r="AS1964" s="1730"/>
      <c r="AT1964" s="1721"/>
    </row>
    <row r="1965" spans="3:46" ht="16.5">
      <c r="C1965" s="665"/>
      <c r="D1965" s="1717" t="s">
        <v>3478</v>
      </c>
      <c r="E1965" s="1722"/>
      <c r="J1965" s="1728" t="s">
        <v>115</v>
      </c>
      <c r="K1965" s="1728" t="s">
        <v>115</v>
      </c>
      <c r="L1965" s="1728" t="s">
        <v>115</v>
      </c>
      <c r="M1965" s="1"/>
      <c r="N1965" s="1"/>
      <c r="O1965" s="1"/>
      <c r="P1965" s="1"/>
      <c r="Q1965" s="1"/>
      <c r="R1965" s="1"/>
      <c r="S1965" s="1"/>
      <c r="T1965" s="1"/>
      <c r="V1965" s="1"/>
      <c r="X1965" s="1"/>
      <c r="Z1965" s="1"/>
      <c r="AA1965" s="1729">
        <v>130840.84448099999</v>
      </c>
      <c r="AB1965" s="1729">
        <v>247673.937293</v>
      </c>
      <c r="AC1965" s="1729">
        <v>48930.247314</v>
      </c>
      <c r="AD1965" s="1730"/>
      <c r="AE1965" s="1730"/>
      <c r="AF1965" s="1730"/>
      <c r="AG1965" s="1730"/>
      <c r="AH1965" s="1730"/>
      <c r="AI1965" s="1730"/>
      <c r="AJ1965" s="1730"/>
      <c r="AK1965" s="1730"/>
      <c r="AL1965" s="1730"/>
      <c r="AM1965" s="1730"/>
      <c r="AN1965" s="1730"/>
      <c r="AO1965" s="1730"/>
      <c r="AP1965" s="1730"/>
      <c r="AQ1965" s="1730"/>
      <c r="AR1965" s="1730"/>
      <c r="AS1965" s="1730"/>
      <c r="AT1965" s="1721"/>
    </row>
    <row r="1966" spans="3:46" ht="16.5">
      <c r="C1966" s="1062"/>
      <c r="D1966" s="1717" t="s">
        <v>3479</v>
      </c>
      <c r="E1966" s="1722"/>
      <c r="J1966" s="1728" t="s">
        <v>115</v>
      </c>
      <c r="K1966" s="1728" t="s">
        <v>115</v>
      </c>
      <c r="L1966" s="1728" t="s">
        <v>115</v>
      </c>
      <c r="M1966" s="1"/>
      <c r="N1966" s="1"/>
      <c r="O1966" s="1"/>
      <c r="P1966" s="1"/>
      <c r="Q1966" s="1"/>
      <c r="R1966" s="1"/>
      <c r="S1966" s="1"/>
      <c r="T1966" s="1"/>
      <c r="V1966" s="1"/>
      <c r="X1966" s="1"/>
      <c r="Z1966" s="1"/>
      <c r="AA1966" s="1729">
        <v>0</v>
      </c>
      <c r="AB1966" s="1729">
        <v>2910.021217</v>
      </c>
      <c r="AC1966" s="1729">
        <v>5949.6135979999999</v>
      </c>
      <c r="AD1966" s="1730"/>
      <c r="AE1966" s="1730"/>
      <c r="AF1966" s="1730"/>
      <c r="AG1966" s="1730"/>
      <c r="AH1966" s="1730"/>
      <c r="AI1966" s="1730"/>
      <c r="AJ1966" s="1730"/>
      <c r="AK1966" s="1730"/>
      <c r="AL1966" s="1730"/>
      <c r="AM1966" s="1730"/>
      <c r="AN1966" s="1730"/>
      <c r="AO1966" s="1730"/>
      <c r="AP1966" s="1730"/>
      <c r="AQ1966" s="1730"/>
      <c r="AR1966" s="1730"/>
      <c r="AS1966" s="1730"/>
      <c r="AT1966" s="1721"/>
    </row>
    <row r="1967" spans="3:46" ht="16.5">
      <c r="C1967" s="667"/>
      <c r="D1967" s="1717" t="s">
        <v>3480</v>
      </c>
      <c r="E1967" s="1722"/>
      <c r="J1967" s="1728" t="s">
        <v>115</v>
      </c>
      <c r="K1967" s="1728" t="s">
        <v>115</v>
      </c>
      <c r="L1967" s="1728" t="s">
        <v>115</v>
      </c>
      <c r="M1967" s="1"/>
      <c r="N1967" s="1"/>
      <c r="O1967" s="1"/>
      <c r="P1967" s="1"/>
      <c r="Q1967" s="1"/>
      <c r="R1967" s="1"/>
      <c r="S1967" s="1"/>
      <c r="T1967" s="1"/>
      <c r="V1967" s="1"/>
      <c r="X1967" s="1"/>
      <c r="Z1967" s="1"/>
      <c r="AA1967" s="1729">
        <v>1200.0252290000001</v>
      </c>
      <c r="AB1967" s="1729">
        <v>26.701032999999999</v>
      </c>
      <c r="AC1967" s="1729">
        <v>10494.203810000001</v>
      </c>
      <c r="AD1967" s="1730"/>
      <c r="AE1967" s="1730"/>
      <c r="AF1967" s="1730"/>
      <c r="AG1967" s="1730"/>
      <c r="AH1967" s="1730"/>
      <c r="AI1967" s="1730"/>
      <c r="AJ1967" s="1730"/>
      <c r="AK1967" s="1730"/>
      <c r="AL1967" s="1730"/>
      <c r="AM1967" s="1730"/>
      <c r="AN1967" s="1730"/>
      <c r="AO1967" s="1730"/>
      <c r="AP1967" s="1730"/>
      <c r="AQ1967" s="1730"/>
      <c r="AR1967" s="1730"/>
      <c r="AS1967" s="1730"/>
      <c r="AT1967" s="1721"/>
    </row>
    <row r="1968" spans="3:46" ht="16.5">
      <c r="C1968" s="673"/>
      <c r="D1968" s="1717" t="s">
        <v>3481</v>
      </c>
      <c r="E1968" s="1722"/>
      <c r="J1968" s="1728" t="s">
        <v>115</v>
      </c>
      <c r="K1968" s="1728" t="s">
        <v>115</v>
      </c>
      <c r="L1968" s="1728" t="s">
        <v>115</v>
      </c>
      <c r="M1968" s="1"/>
      <c r="N1968" s="1"/>
      <c r="O1968" s="1"/>
      <c r="P1968" s="1"/>
      <c r="Q1968" s="1"/>
      <c r="R1968" s="1"/>
      <c r="S1968" s="1"/>
      <c r="T1968" s="1"/>
      <c r="V1968" s="1"/>
      <c r="X1968" s="1"/>
      <c r="Z1968" s="1"/>
      <c r="AA1968" s="1729">
        <v>174.1549</v>
      </c>
      <c r="AB1968" s="1729">
        <v>8566.1565480000008</v>
      </c>
      <c r="AC1968" s="1729">
        <v>799.879276</v>
      </c>
      <c r="AD1968" s="1730"/>
      <c r="AE1968" s="1730"/>
      <c r="AF1968" s="1730"/>
      <c r="AG1968" s="1730"/>
      <c r="AH1968" s="1730"/>
      <c r="AI1968" s="1730"/>
      <c r="AJ1968" s="1730"/>
      <c r="AK1968" s="1730"/>
      <c r="AL1968" s="1730"/>
      <c r="AM1968" s="1730"/>
      <c r="AN1968" s="1730"/>
      <c r="AO1968" s="1730"/>
      <c r="AP1968" s="1730"/>
      <c r="AQ1968" s="1730"/>
      <c r="AR1968" s="1730"/>
      <c r="AS1968" s="1730"/>
      <c r="AT1968" s="1721"/>
    </row>
    <row r="1969" spans="3:46" ht="16.5">
      <c r="C1969" s="665"/>
      <c r="D1969" s="1736" t="s">
        <v>3482</v>
      </c>
      <c r="E1969" s="1737" t="s">
        <v>3483</v>
      </c>
      <c r="J1969" s="1738" t="s">
        <v>115</v>
      </c>
      <c r="K1969" s="1738" t="s">
        <v>115</v>
      </c>
      <c r="L1969" s="1738" t="s">
        <v>115</v>
      </c>
      <c r="M1969" s="1"/>
      <c r="N1969" s="1"/>
      <c r="O1969" s="1"/>
      <c r="P1969" s="1"/>
      <c r="Q1969" s="1"/>
      <c r="R1969" s="1"/>
      <c r="S1969" s="1"/>
      <c r="T1969" s="1"/>
      <c r="V1969" s="1"/>
      <c r="X1969" s="1"/>
      <c r="Z1969" s="1"/>
      <c r="AA1969" s="1739">
        <v>1923132.1839980001</v>
      </c>
      <c r="AB1969" s="1739">
        <v>2180807.2284229998</v>
      </c>
      <c r="AC1969" s="1739">
        <v>2313849.2298400002</v>
      </c>
      <c r="AD1969" s="1740">
        <f>+AD1925+AD1929+AD1939+AD1942+AD1946+AD1949+AD1952+AD1961</f>
        <v>2581.5415585083883</v>
      </c>
      <c r="AE1969" s="1740">
        <f t="shared" ref="AE1969:AG1969" si="2184">+AE1925+AE1929+AE1939+AE1942+AE1946+AE1949+AE1952+AE1961</f>
        <v>2872.2732671304257</v>
      </c>
      <c r="AF1969" s="1740">
        <f t="shared" si="2184"/>
        <v>3490.9010074486141</v>
      </c>
      <c r="AG1969" s="1740">
        <f t="shared" si="2184"/>
        <v>4059.523030418618</v>
      </c>
      <c r="AH1969" s="1740">
        <f t="shared" ref="AH1969:AM1969" si="2185">+AH1925+AH1929+AH1939+AH1942+AH1946+AH1949+AH1952+AH1961</f>
        <v>4375.1188472118611</v>
      </c>
      <c r="AI1969" s="1740">
        <f t="shared" si="2185"/>
        <v>4927.9334817978761</v>
      </c>
      <c r="AJ1969" s="1740">
        <f t="shared" si="2185"/>
        <v>5188.339095192553</v>
      </c>
      <c r="AK1969" s="1740">
        <f t="shared" si="2185"/>
        <v>5866.5633684604491</v>
      </c>
      <c r="AL1969" s="1740">
        <f t="shared" si="2185"/>
        <v>6668.051540880906</v>
      </c>
      <c r="AM1969" s="1740">
        <f t="shared" si="2185"/>
        <v>7571.5344005204015</v>
      </c>
      <c r="AN1969" s="1740"/>
      <c r="AO1969" s="1740"/>
      <c r="AP1969" s="1740"/>
      <c r="AQ1969" s="1740"/>
      <c r="AR1969" s="1740"/>
      <c r="AS1969" s="1740"/>
      <c r="AT1969" s="2721"/>
    </row>
    <row r="1970" spans="3:46" ht="16.5">
      <c r="C1970" s="666"/>
      <c r="D1970" s="1707" t="s">
        <v>3484</v>
      </c>
      <c r="E1970" s="1745" t="s">
        <v>3485</v>
      </c>
      <c r="J1970" s="1714" t="s">
        <v>115</v>
      </c>
      <c r="K1970" s="1714" t="s">
        <v>115</v>
      </c>
      <c r="L1970" s="1714" t="s">
        <v>115</v>
      </c>
      <c r="M1970" s="1"/>
      <c r="N1970" s="1"/>
      <c r="O1970" s="1"/>
      <c r="P1970" s="1"/>
      <c r="Q1970" s="1"/>
      <c r="R1970" s="1"/>
      <c r="S1970" s="1"/>
      <c r="T1970" s="1"/>
      <c r="V1970" s="1"/>
      <c r="X1970" s="1"/>
      <c r="Z1970" s="1"/>
      <c r="AA1970" s="1746">
        <v>28876.183774000001</v>
      </c>
      <c r="AB1970" s="1746">
        <v>-62933.295232999997</v>
      </c>
      <c r="AC1970" s="1746">
        <v>-508.18797999999998</v>
      </c>
      <c r="AD1970" s="1716">
        <f t="shared" ref="AD1970:AM1970" si="2186">+AD1923-AD1969-(AD1288+AD1300+AD1308+AD1309+AD1310)</f>
        <v>-546.48294480264701</v>
      </c>
      <c r="AE1970" s="1716">
        <f t="shared" si="2186"/>
        <v>-772.83068309837233</v>
      </c>
      <c r="AF1970" s="1716">
        <f t="shared" si="2186"/>
        <v>-1032.3732319675266</v>
      </c>
      <c r="AG1970" s="1716">
        <f t="shared" si="2186"/>
        <v>-1116.2705600495144</v>
      </c>
      <c r="AH1970" s="1716">
        <f t="shared" si="2186"/>
        <v>-1116.9868303734929</v>
      </c>
      <c r="AI1970" s="1716">
        <f t="shared" si="2186"/>
        <v>-1228.2109644458326</v>
      </c>
      <c r="AJ1970" s="1716">
        <f t="shared" si="2186"/>
        <v>-1178.3246966729682</v>
      </c>
      <c r="AK1970" s="1716">
        <f t="shared" si="2186"/>
        <v>-1448.9645038884923</v>
      </c>
      <c r="AL1970" s="1716">
        <f t="shared" si="2186"/>
        <v>-1472.250602904483</v>
      </c>
      <c r="AM1970" s="1716">
        <f t="shared" si="2186"/>
        <v>-1444.4067564640568</v>
      </c>
      <c r="AN1970" s="1716"/>
      <c r="AO1970" s="1716"/>
      <c r="AP1970" s="1716"/>
      <c r="AQ1970" s="1716"/>
      <c r="AR1970" s="1716"/>
      <c r="AS1970" s="1716"/>
      <c r="AT1970" s="2720"/>
    </row>
    <row r="1971" spans="3:46" ht="16.5">
      <c r="C1971" s="665"/>
      <c r="D1971" s="74" t="s">
        <v>3486</v>
      </c>
      <c r="E1971" s="1"/>
      <c r="F1971" s="1"/>
      <c r="G1971" s="1"/>
      <c r="H1971" s="1"/>
      <c r="I1971" s="1"/>
      <c r="J1971" s="1"/>
      <c r="K1971" s="1"/>
      <c r="L1971" s="1"/>
      <c r="M1971" s="1"/>
      <c r="N1971" s="1"/>
      <c r="O1971" s="1"/>
      <c r="P1971" s="1"/>
      <c r="Q1971" s="1"/>
      <c r="R1971" s="1"/>
      <c r="S1971" s="1"/>
      <c r="T1971" s="1"/>
      <c r="V1971" s="1"/>
      <c r="X1971" s="1"/>
      <c r="Z1971" s="1"/>
      <c r="AD1971" s="1747" t="str">
        <f t="shared" ref="AD1971:AM1971" si="2187">IF(ABS(AD1970-AD1253)&gt;0.01,AD1970-AD1253,"")</f>
        <v/>
      </c>
      <c r="AE1971" s="1747">
        <f t="shared" si="2187"/>
        <v>61.956207563999897</v>
      </c>
      <c r="AF1971" s="1747">
        <f t="shared" si="2187"/>
        <v>-146.68721376600013</v>
      </c>
      <c r="AG1971" s="1747">
        <f t="shared" si="2187"/>
        <v>-2.0000000000004547</v>
      </c>
      <c r="AH1971" s="1747" t="str">
        <f t="shared" si="2187"/>
        <v/>
      </c>
      <c r="AI1971" s="1747" t="str">
        <f t="shared" si="2187"/>
        <v/>
      </c>
      <c r="AJ1971" s="1747" t="str">
        <f t="shared" si="2187"/>
        <v/>
      </c>
      <c r="AK1971" s="1747" t="str">
        <f t="shared" si="2187"/>
        <v/>
      </c>
      <c r="AL1971" s="1747" t="str">
        <f t="shared" si="2187"/>
        <v/>
      </c>
      <c r="AM1971" s="1747" t="str">
        <f t="shared" si="2187"/>
        <v/>
      </c>
      <c r="AN1971" s="1747"/>
      <c r="AO1971" s="1747"/>
      <c r="AP1971" s="1747"/>
      <c r="AQ1971" s="1747"/>
      <c r="AR1971" s="1747"/>
      <c r="AS1971" s="1747"/>
      <c r="AT1971" s="2723"/>
    </row>
    <row r="1972" spans="3:46" ht="16.5">
      <c r="C1972" s="671"/>
      <c r="E1972" s="1"/>
      <c r="F1972" s="1"/>
      <c r="G1972" s="1"/>
      <c r="H1972" s="1"/>
      <c r="I1972" s="1"/>
      <c r="J1972" s="1"/>
      <c r="K1972" s="1"/>
      <c r="L1972" s="1"/>
      <c r="M1972" s="1"/>
      <c r="N1972" s="1"/>
      <c r="O1972" s="1"/>
      <c r="P1972" s="1"/>
      <c r="Q1972" s="1"/>
      <c r="R1972" s="1"/>
      <c r="S1972" s="1"/>
      <c r="T1972" s="1"/>
      <c r="V1972" s="1"/>
      <c r="X1972" s="1"/>
      <c r="Z1972" s="1"/>
    </row>
    <row r="1973" spans="3:46" ht="16.5">
      <c r="C1973" s="670"/>
      <c r="E1973" s="1"/>
      <c r="F1973" s="1"/>
      <c r="G1973" s="1"/>
      <c r="H1973" s="1"/>
      <c r="I1973" s="1"/>
      <c r="J1973" s="1"/>
      <c r="K1973" s="1"/>
      <c r="L1973" s="1"/>
      <c r="M1973" s="1"/>
      <c r="N1973" s="1"/>
      <c r="O1973" s="1"/>
      <c r="P1973" s="1"/>
      <c r="Q1973" s="1"/>
      <c r="R1973" s="1"/>
      <c r="S1973" s="1"/>
      <c r="T1973" s="1"/>
      <c r="V1973" s="1"/>
      <c r="X1973" s="1"/>
      <c r="Z1973" s="1"/>
    </row>
    <row r="1974" spans="3:46" ht="16.5">
      <c r="C1974" s="672"/>
      <c r="E1974" s="1"/>
      <c r="F1974" s="1"/>
      <c r="G1974" s="1"/>
      <c r="H1974" s="1"/>
      <c r="I1974" s="1"/>
      <c r="J1974" s="1"/>
      <c r="K1974" s="1"/>
      <c r="L1974" s="1"/>
      <c r="M1974" s="1"/>
      <c r="N1974" s="1"/>
      <c r="O1974" s="1"/>
      <c r="P1974" s="1"/>
      <c r="Q1974" s="1"/>
      <c r="R1974" s="1"/>
      <c r="S1974" s="1"/>
      <c r="T1974" s="1"/>
      <c r="V1974" s="1"/>
      <c r="X1974" s="1"/>
      <c r="Z1974" s="1"/>
    </row>
    <row r="1975" spans="3:46" ht="16.5">
      <c r="C1975" s="672"/>
      <c r="E1975" s="1"/>
      <c r="F1975" s="1"/>
      <c r="G1975" s="1"/>
      <c r="H1975" s="1"/>
      <c r="I1975" s="1"/>
      <c r="J1975" s="1"/>
      <c r="K1975" s="1"/>
      <c r="L1975" s="1"/>
      <c r="M1975" s="1"/>
      <c r="N1975" s="1"/>
      <c r="O1975" s="1"/>
      <c r="P1975" s="1"/>
      <c r="Q1975" s="1"/>
      <c r="R1975" s="1"/>
      <c r="S1975" s="1"/>
      <c r="T1975" s="1"/>
      <c r="V1975" s="1"/>
      <c r="X1975" s="1"/>
      <c r="Z1975" s="1"/>
    </row>
    <row r="1976" spans="3:46" ht="16.5">
      <c r="C1976" s="672"/>
      <c r="E1976" s="1"/>
      <c r="F1976" s="1"/>
      <c r="G1976" s="1"/>
      <c r="H1976" s="1"/>
      <c r="I1976" s="1"/>
      <c r="J1976" s="1"/>
      <c r="K1976" s="1"/>
      <c r="L1976" s="1"/>
      <c r="M1976" s="1"/>
      <c r="N1976" s="1"/>
      <c r="O1976" s="1"/>
      <c r="P1976" s="1"/>
      <c r="Q1976" s="1"/>
      <c r="R1976" s="1"/>
      <c r="S1976" s="1"/>
      <c r="T1976" s="1"/>
      <c r="V1976" s="1"/>
      <c r="X1976" s="1"/>
      <c r="Z1976" s="1"/>
      <c r="AE1976" s="958">
        <f>AE1977+AE1978</f>
        <v>232.57558034203169</v>
      </c>
      <c r="AF1976" s="958">
        <f t="shared" ref="AF1976:AM1976" si="2188">AF1977+AF1978</f>
        <v>303.75511621690532</v>
      </c>
      <c r="AG1976" s="958">
        <f t="shared" si="2188"/>
        <v>396.92142349457174</v>
      </c>
      <c r="AH1976" s="958">
        <f t="shared" si="2188"/>
        <v>610.82058181981176</v>
      </c>
      <c r="AI1976" s="958">
        <f t="shared" si="2188"/>
        <v>638.25152475523601</v>
      </c>
      <c r="AJ1976" s="958">
        <f t="shared" si="2188"/>
        <v>753.72050938172993</v>
      </c>
      <c r="AK1976" s="958">
        <f t="shared" si="2188"/>
        <v>1021.5923081499971</v>
      </c>
      <c r="AL1976" s="958">
        <f t="shared" si="2188"/>
        <v>1208.846792253755</v>
      </c>
      <c r="AM1976" s="958">
        <f t="shared" si="2188"/>
        <v>1408.6794645119849</v>
      </c>
    </row>
    <row r="1977" spans="3:46" ht="16.5">
      <c r="C1977" s="672"/>
      <c r="D1977" s="1" t="s">
        <v>3541</v>
      </c>
      <c r="E1977" s="1"/>
      <c r="F1977" s="1"/>
      <c r="G1977" s="1"/>
      <c r="H1977" s="1"/>
      <c r="I1977" s="1"/>
      <c r="J1977" s="1"/>
      <c r="K1977" s="1"/>
      <c r="L1977" s="1"/>
      <c r="M1977" s="1"/>
      <c r="N1977" s="1"/>
      <c r="O1977" s="1"/>
      <c r="P1977" s="1"/>
      <c r="Q1977" s="1"/>
      <c r="R1977" s="1"/>
      <c r="S1977" s="1"/>
      <c r="T1977" s="1"/>
      <c r="V1977" s="1"/>
      <c r="X1977" s="1"/>
      <c r="Z1977" s="1"/>
      <c r="AE1977" s="958">
        <f t="shared" ref="AE1977:AM1977" si="2189">AE1189+AE1363</f>
        <v>115.71972342803167</v>
      </c>
      <c r="AF1977" s="958">
        <f t="shared" si="2189"/>
        <v>143.54623481519999</v>
      </c>
      <c r="AG1977" s="958">
        <f t="shared" si="2189"/>
        <v>165.11860005157172</v>
      </c>
      <c r="AH1977" s="958">
        <f t="shared" si="2189"/>
        <v>186.06475665281187</v>
      </c>
      <c r="AI1977" s="958">
        <f t="shared" si="2189"/>
        <v>307.99409060923603</v>
      </c>
      <c r="AJ1977" s="958">
        <f t="shared" si="2189"/>
        <v>396.41757207838384</v>
      </c>
      <c r="AK1977" s="958">
        <f t="shared" si="2189"/>
        <v>605.22588844317806</v>
      </c>
      <c r="AL1977" s="958">
        <f t="shared" si="2189"/>
        <v>787.41140741639492</v>
      </c>
      <c r="AM1977" s="958">
        <f t="shared" si="2189"/>
        <v>909.66715974162503</v>
      </c>
    </row>
    <row r="1978" spans="3:46" ht="16.5">
      <c r="C1978" s="670"/>
      <c r="D1978" s="1" t="s">
        <v>3542</v>
      </c>
      <c r="E1978" s="1"/>
      <c r="F1978" s="1"/>
      <c r="G1978" s="1"/>
      <c r="H1978" s="1"/>
      <c r="I1978" s="1"/>
      <c r="J1978" s="1"/>
      <c r="K1978" s="1"/>
      <c r="L1978" s="1"/>
      <c r="M1978" s="1"/>
      <c r="N1978" s="1"/>
      <c r="O1978" s="1"/>
      <c r="P1978" s="1"/>
      <c r="Q1978" s="1"/>
      <c r="R1978" s="1"/>
      <c r="S1978" s="1"/>
      <c r="T1978" s="1"/>
      <c r="V1978" s="1"/>
      <c r="X1978" s="1"/>
      <c r="Z1978" s="1"/>
      <c r="AE1978" s="958">
        <f t="shared" ref="AE1978:AM1978" si="2190">AE1196-AE1334</f>
        <v>116.855856914</v>
      </c>
      <c r="AF1978" s="958">
        <f t="shared" si="2190"/>
        <v>160.20888140170533</v>
      </c>
      <c r="AG1978" s="958">
        <f t="shared" si="2190"/>
        <v>231.80282344299999</v>
      </c>
      <c r="AH1978" s="958">
        <f t="shared" si="2190"/>
        <v>424.7558251669999</v>
      </c>
      <c r="AI1978" s="958">
        <f t="shared" si="2190"/>
        <v>330.25743414599998</v>
      </c>
      <c r="AJ1978" s="958">
        <f t="shared" si="2190"/>
        <v>357.30293730334614</v>
      </c>
      <c r="AK1978" s="958">
        <f t="shared" si="2190"/>
        <v>416.36641970681893</v>
      </c>
      <c r="AL1978" s="958">
        <f t="shared" si="2190"/>
        <v>421.43538483736</v>
      </c>
      <c r="AM1978" s="958">
        <f t="shared" si="2190"/>
        <v>499.01230477035995</v>
      </c>
    </row>
    <row r="1979" spans="3:46" ht="16.5">
      <c r="C1979" s="672"/>
      <c r="E1979" s="1"/>
      <c r="F1979" s="1"/>
      <c r="G1979" s="1"/>
      <c r="H1979" s="1"/>
      <c r="I1979" s="1"/>
      <c r="J1979" s="1"/>
      <c r="K1979" s="1"/>
      <c r="L1979" s="1"/>
      <c r="M1979" s="1"/>
      <c r="N1979" s="1"/>
      <c r="O1979" s="1"/>
      <c r="P1979" s="1"/>
      <c r="Q1979" s="1"/>
      <c r="R1979" s="1"/>
      <c r="S1979" s="1"/>
      <c r="T1979" s="1"/>
      <c r="V1979" s="1"/>
      <c r="X1979" s="1"/>
      <c r="Z1979" s="1"/>
    </row>
    <row r="1980" spans="3:46" ht="16.5">
      <c r="C1980" s="671"/>
      <c r="E1980" s="1"/>
      <c r="F1980" s="1"/>
      <c r="G1980" s="1"/>
      <c r="H1980" s="1"/>
      <c r="I1980" s="1"/>
      <c r="J1980" s="1"/>
      <c r="K1980" s="1"/>
      <c r="L1980" s="1"/>
      <c r="M1980" s="1"/>
      <c r="N1980" s="1"/>
      <c r="O1980" s="1"/>
      <c r="P1980" s="1"/>
      <c r="Q1980" s="1"/>
      <c r="R1980" s="1"/>
      <c r="S1980" s="1"/>
      <c r="T1980" s="1"/>
      <c r="V1980" s="1"/>
      <c r="X1980" s="1"/>
      <c r="Z1980" s="1"/>
    </row>
    <row r="1981" spans="3:46" ht="16.5">
      <c r="C1981" s="667"/>
      <c r="E1981" s="1"/>
      <c r="F1981" s="1"/>
      <c r="G1981" s="1"/>
      <c r="H1981" s="1"/>
      <c r="I1981" s="1"/>
      <c r="J1981" s="1"/>
      <c r="K1981" s="1"/>
      <c r="L1981" s="1"/>
      <c r="M1981" s="1"/>
      <c r="N1981" s="1"/>
      <c r="O1981" s="1"/>
      <c r="P1981" s="1"/>
      <c r="Q1981" s="1"/>
      <c r="R1981" s="1"/>
      <c r="S1981" s="1"/>
      <c r="T1981" s="1"/>
      <c r="V1981" s="1"/>
      <c r="X1981" s="1"/>
      <c r="Z1981" s="1"/>
    </row>
    <row r="1982" spans="3:46" ht="16.5">
      <c r="C1982" s="668"/>
      <c r="E1982" s="1"/>
      <c r="F1982" s="1"/>
      <c r="G1982" s="1"/>
      <c r="H1982" s="1"/>
      <c r="I1982" s="1"/>
      <c r="J1982" s="1"/>
      <c r="K1982" s="1"/>
      <c r="L1982" s="1"/>
      <c r="M1982" s="1"/>
      <c r="N1982" s="1"/>
      <c r="O1982" s="1"/>
      <c r="P1982" s="1"/>
      <c r="Q1982" s="1"/>
      <c r="R1982" s="1"/>
      <c r="S1982" s="1"/>
      <c r="T1982" s="1"/>
      <c r="V1982" s="1"/>
      <c r="X1982" s="1"/>
      <c r="Z1982" s="1"/>
    </row>
    <row r="1983" spans="3:46" ht="16.5">
      <c r="C1983" s="1069"/>
      <c r="E1983" s="1"/>
      <c r="F1983" s="1"/>
      <c r="G1983" s="1"/>
      <c r="H1983" s="1"/>
      <c r="I1983" s="1"/>
      <c r="J1983" s="1"/>
      <c r="K1983" s="1"/>
      <c r="L1983" s="1"/>
      <c r="M1983" s="1"/>
      <c r="N1983" s="1"/>
      <c r="O1983" s="1"/>
      <c r="P1983" s="1"/>
      <c r="Q1983" s="1"/>
      <c r="R1983" s="1"/>
      <c r="S1983" s="1"/>
      <c r="T1983" s="1"/>
      <c r="V1983" s="1"/>
      <c r="X1983" s="1"/>
      <c r="Z1983" s="1"/>
    </row>
    <row r="1984" spans="3:46" ht="16.5">
      <c r="C1984" s="1070"/>
      <c r="E1984" s="1"/>
      <c r="F1984" s="1"/>
      <c r="G1984" s="1"/>
      <c r="H1984" s="1"/>
      <c r="I1984" s="1"/>
      <c r="J1984" s="1"/>
      <c r="K1984" s="1"/>
      <c r="L1984" s="1"/>
      <c r="M1984" s="1"/>
      <c r="N1984" s="1"/>
      <c r="O1984" s="1"/>
      <c r="P1984" s="1"/>
      <c r="Q1984" s="1"/>
      <c r="R1984" s="1"/>
      <c r="S1984" s="1"/>
      <c r="T1984" s="1"/>
      <c r="V1984" s="1"/>
      <c r="X1984" s="1"/>
      <c r="Z1984" s="1"/>
    </row>
    <row r="1985" spans="3:26" ht="16.5">
      <c r="C1985" s="672"/>
      <c r="E1985" s="1"/>
      <c r="F1985" s="1"/>
      <c r="G1985" s="1"/>
      <c r="H1985" s="1"/>
      <c r="I1985" s="1"/>
      <c r="J1985" s="1"/>
      <c r="K1985" s="1"/>
      <c r="L1985" s="1"/>
      <c r="M1985" s="1"/>
      <c r="N1985" s="1"/>
      <c r="O1985" s="1"/>
      <c r="P1985" s="1"/>
      <c r="Q1985" s="1"/>
      <c r="R1985" s="1"/>
      <c r="S1985" s="1"/>
      <c r="T1985" s="1"/>
      <c r="V1985" s="1"/>
      <c r="X1985" s="1"/>
      <c r="Z1985" s="1"/>
    </row>
    <row r="1986" spans="3:26" ht="16.5">
      <c r="C1986" s="672"/>
      <c r="E1986" s="1"/>
      <c r="F1986" s="1"/>
      <c r="G1986" s="1"/>
      <c r="H1986" s="1"/>
      <c r="I1986" s="1"/>
      <c r="J1986" s="1"/>
      <c r="K1986" s="1"/>
      <c r="L1986" s="1"/>
      <c r="M1986" s="1"/>
      <c r="N1986" s="1"/>
      <c r="O1986" s="1"/>
      <c r="P1986" s="1"/>
      <c r="Q1986" s="1"/>
      <c r="R1986" s="1"/>
      <c r="S1986" s="1"/>
      <c r="T1986" s="1"/>
      <c r="V1986" s="1"/>
      <c r="X1986" s="1"/>
      <c r="Z1986" s="1"/>
    </row>
    <row r="1987" spans="3:26" ht="16.5">
      <c r="C1987" s="672"/>
      <c r="E1987" s="1"/>
      <c r="F1987" s="1"/>
      <c r="G1987" s="1"/>
      <c r="H1987" s="1"/>
      <c r="I1987" s="1"/>
      <c r="J1987" s="1"/>
      <c r="K1987" s="1"/>
      <c r="L1987" s="1"/>
      <c r="M1987" s="1"/>
      <c r="N1987" s="1"/>
      <c r="O1987" s="1"/>
      <c r="P1987" s="1"/>
      <c r="Q1987" s="1"/>
      <c r="R1987" s="1"/>
      <c r="S1987" s="1"/>
      <c r="T1987" s="1"/>
      <c r="V1987" s="1"/>
      <c r="X1987" s="1"/>
      <c r="Z1987" s="1"/>
    </row>
    <row r="1988" spans="3:26" ht="16.5">
      <c r="C1988" s="672"/>
      <c r="E1988" s="1"/>
      <c r="F1988" s="1"/>
      <c r="G1988" s="1"/>
      <c r="H1988" s="1"/>
      <c r="I1988" s="1"/>
      <c r="J1988" s="1"/>
      <c r="K1988" s="1"/>
      <c r="L1988" s="1"/>
      <c r="M1988" s="1"/>
      <c r="N1988" s="1"/>
      <c r="O1988" s="1"/>
      <c r="P1988" s="1"/>
      <c r="Q1988" s="1"/>
      <c r="R1988" s="1"/>
      <c r="S1988" s="1"/>
      <c r="T1988" s="1"/>
      <c r="V1988" s="1"/>
      <c r="X1988" s="1"/>
      <c r="Z1988" s="1"/>
    </row>
    <row r="1989" spans="3:26" ht="16.5">
      <c r="C1989" s="672"/>
      <c r="E1989" s="1"/>
      <c r="F1989" s="1"/>
      <c r="G1989" s="1"/>
      <c r="H1989" s="1"/>
      <c r="I1989" s="1"/>
      <c r="J1989" s="1"/>
      <c r="K1989" s="1"/>
      <c r="L1989" s="1"/>
      <c r="M1989" s="1"/>
      <c r="N1989" s="1"/>
      <c r="O1989" s="1"/>
      <c r="P1989" s="1"/>
      <c r="Q1989" s="1"/>
      <c r="R1989" s="1"/>
      <c r="S1989" s="1"/>
      <c r="T1989" s="1"/>
      <c r="V1989" s="1"/>
      <c r="X1989" s="1"/>
      <c r="Z1989" s="1"/>
    </row>
    <row r="1990" spans="3:26" ht="16.5">
      <c r="C1990" s="671"/>
      <c r="E1990" s="1"/>
      <c r="F1990" s="1"/>
      <c r="G1990" s="1"/>
      <c r="H1990" s="1"/>
      <c r="I1990" s="1"/>
      <c r="J1990" s="1"/>
      <c r="K1990" s="1"/>
      <c r="L1990" s="1"/>
      <c r="M1990" s="1"/>
      <c r="N1990" s="1"/>
      <c r="O1990" s="1"/>
      <c r="P1990" s="1"/>
      <c r="Q1990" s="1"/>
      <c r="R1990" s="1"/>
      <c r="S1990" s="1"/>
      <c r="T1990" s="1"/>
      <c r="V1990" s="1"/>
      <c r="X1990" s="1"/>
      <c r="Z1990" s="1"/>
    </row>
    <row r="1991" spans="3:26" ht="16.5">
      <c r="C1991" s="670"/>
      <c r="E1991" s="1"/>
      <c r="F1991" s="1"/>
      <c r="G1991" s="1"/>
      <c r="H1991" s="1"/>
      <c r="I1991" s="1"/>
      <c r="J1991" s="1"/>
      <c r="K1991" s="1"/>
      <c r="L1991" s="1"/>
      <c r="M1991" s="1"/>
      <c r="N1991" s="1"/>
      <c r="O1991" s="1"/>
      <c r="P1991" s="1"/>
      <c r="Q1991" s="1"/>
      <c r="R1991" s="1"/>
      <c r="S1991" s="1"/>
      <c r="T1991" s="1"/>
      <c r="V1991" s="1"/>
      <c r="X1991" s="1"/>
      <c r="Z1991" s="1"/>
    </row>
    <row r="1992" spans="3:26" ht="16.5">
      <c r="C1992" s="672"/>
      <c r="E1992" s="1"/>
      <c r="F1992" s="1"/>
      <c r="G1992" s="1"/>
      <c r="H1992" s="1"/>
      <c r="I1992" s="1"/>
      <c r="J1992" s="1"/>
      <c r="K1992" s="1"/>
      <c r="L1992" s="1"/>
      <c r="M1992" s="1"/>
      <c r="N1992" s="1"/>
      <c r="O1992" s="1"/>
      <c r="P1992" s="1"/>
      <c r="Q1992" s="1"/>
      <c r="R1992" s="1"/>
      <c r="S1992" s="1"/>
      <c r="T1992" s="1"/>
      <c r="V1992" s="1"/>
      <c r="X1992" s="1"/>
      <c r="Z1992" s="1"/>
    </row>
    <row r="1993" spans="3:26" ht="16.5">
      <c r="C1993" s="672"/>
      <c r="E1993" s="1"/>
      <c r="F1993" s="1"/>
      <c r="G1993" s="1"/>
      <c r="H1993" s="1"/>
      <c r="I1993" s="1"/>
      <c r="J1993" s="1"/>
      <c r="K1993" s="1"/>
      <c r="L1993" s="1"/>
      <c r="M1993" s="1"/>
      <c r="N1993" s="1"/>
      <c r="O1993" s="1"/>
      <c r="P1993" s="1"/>
      <c r="Q1993" s="1"/>
      <c r="R1993" s="1"/>
      <c r="S1993" s="1"/>
      <c r="T1993" s="1"/>
      <c r="V1993" s="1"/>
      <c r="X1993" s="1"/>
      <c r="Z1993" s="1"/>
    </row>
    <row r="1994" spans="3:26" ht="16.5">
      <c r="C1994" s="670"/>
      <c r="E1994" s="1"/>
      <c r="F1994" s="1"/>
      <c r="G1994" s="1"/>
      <c r="H1994" s="1"/>
      <c r="I1994" s="1"/>
      <c r="J1994" s="1"/>
      <c r="K1994" s="1"/>
      <c r="L1994" s="1"/>
      <c r="M1994" s="1"/>
      <c r="N1994" s="1"/>
      <c r="O1994" s="1"/>
      <c r="P1994" s="1"/>
      <c r="Q1994" s="1"/>
      <c r="R1994" s="1"/>
      <c r="S1994" s="1"/>
      <c r="T1994" s="1"/>
      <c r="V1994" s="1"/>
      <c r="X1994" s="1"/>
      <c r="Z1994" s="1"/>
    </row>
    <row r="1995" spans="3:26" ht="16.8" thickBot="1">
      <c r="C1995" s="1075"/>
      <c r="E1995" s="1"/>
      <c r="F1995" s="1"/>
      <c r="G1995" s="1"/>
      <c r="H1995" s="1"/>
      <c r="I1995" s="1"/>
      <c r="J1995" s="1"/>
      <c r="K1995" s="1"/>
      <c r="L1995" s="1"/>
      <c r="M1995" s="1"/>
      <c r="N1995" s="1"/>
      <c r="O1995" s="1"/>
      <c r="P1995" s="1"/>
      <c r="Q1995" s="1"/>
      <c r="R1995" s="1"/>
      <c r="S1995" s="1"/>
      <c r="T1995" s="1"/>
      <c r="V1995" s="1"/>
      <c r="X1995" s="1"/>
      <c r="Z1995" s="1"/>
    </row>
    <row r="1996" spans="3:26">
      <c r="E1996" s="1"/>
      <c r="F1996" s="1"/>
      <c r="G1996" s="1"/>
      <c r="H1996" s="1"/>
      <c r="I1996" s="1"/>
      <c r="J1996" s="1"/>
      <c r="K1996" s="1"/>
      <c r="L1996" s="1"/>
      <c r="M1996" s="1"/>
      <c r="N1996" s="1"/>
      <c r="O1996" s="1"/>
      <c r="P1996" s="1"/>
      <c r="Q1996" s="1"/>
      <c r="R1996" s="1"/>
      <c r="S1996" s="1"/>
      <c r="T1996" s="1"/>
      <c r="V1996" s="1"/>
      <c r="X1996" s="1"/>
      <c r="Z1996" s="1"/>
    </row>
    <row r="1997" spans="3:26">
      <c r="E1997" s="1"/>
      <c r="F1997" s="1"/>
      <c r="G1997" s="1"/>
      <c r="H1997" s="1"/>
      <c r="I1997" s="1"/>
      <c r="J1997" s="1"/>
      <c r="K1997" s="1"/>
      <c r="L1997" s="1"/>
      <c r="M1997" s="1"/>
      <c r="N1997" s="1"/>
      <c r="O1997" s="1"/>
      <c r="P1997" s="1"/>
      <c r="Q1997" s="1"/>
      <c r="R1997" s="1"/>
      <c r="S1997" s="1"/>
      <c r="T1997" s="1"/>
      <c r="V1997" s="1"/>
      <c r="X1997" s="1"/>
      <c r="Z1997" s="1"/>
    </row>
    <row r="1998" spans="3:26">
      <c r="E1998" s="1"/>
      <c r="F1998" s="1"/>
      <c r="G1998" s="1"/>
      <c r="H1998" s="1"/>
      <c r="I1998" s="1"/>
      <c r="J1998" s="1"/>
      <c r="K1998" s="1"/>
      <c r="L1998" s="1"/>
      <c r="M1998" s="1"/>
      <c r="N1998" s="1"/>
      <c r="O1998" s="1"/>
      <c r="P1998" s="1"/>
      <c r="Q1998" s="1"/>
      <c r="R1998" s="1"/>
      <c r="S1998" s="1"/>
      <c r="T1998" s="1"/>
      <c r="V1998" s="1"/>
      <c r="X1998" s="1"/>
      <c r="Z1998" s="1"/>
    </row>
    <row r="1999" spans="3:26" ht="15.75" customHeight="1">
      <c r="E1999" s="1"/>
      <c r="F1999" s="1"/>
      <c r="G1999" s="1"/>
      <c r="H1999" s="1"/>
      <c r="I1999" s="1"/>
      <c r="J1999" s="1"/>
      <c r="K1999" s="1"/>
      <c r="L1999" s="1"/>
      <c r="M1999" s="1"/>
      <c r="N1999" s="1"/>
      <c r="O1999" s="1"/>
      <c r="P1999" s="1"/>
      <c r="Q1999" s="1"/>
      <c r="R1999" s="1"/>
      <c r="S1999" s="1"/>
      <c r="T1999" s="1"/>
      <c r="V1999" s="1"/>
      <c r="X1999" s="1"/>
      <c r="Z1999" s="1"/>
    </row>
    <row r="2000" spans="3:26" ht="15.75" customHeight="1">
      <c r="E2000" s="1"/>
      <c r="F2000" s="1"/>
      <c r="G2000" s="1"/>
      <c r="H2000" s="1"/>
      <c r="I2000" s="1"/>
      <c r="J2000" s="1"/>
      <c r="K2000" s="1"/>
      <c r="L2000" s="1"/>
      <c r="M2000" s="1"/>
      <c r="N2000" s="1"/>
      <c r="O2000" s="1"/>
      <c r="P2000" s="1"/>
      <c r="Q2000" s="1"/>
      <c r="R2000" s="1"/>
      <c r="S2000" s="1"/>
      <c r="T2000" s="1"/>
      <c r="V2000" s="1"/>
      <c r="X2000" s="1"/>
      <c r="Z2000" s="1"/>
    </row>
    <row r="2001" spans="5:26" ht="15.75" customHeight="1">
      <c r="E2001" s="1"/>
      <c r="F2001" s="1"/>
      <c r="G2001" s="1"/>
      <c r="H2001" s="1"/>
      <c r="I2001" s="1"/>
      <c r="J2001" s="1"/>
      <c r="K2001" s="1"/>
      <c r="L2001" s="1"/>
      <c r="M2001" s="1"/>
      <c r="N2001" s="1"/>
      <c r="O2001" s="1"/>
      <c r="P2001" s="1"/>
      <c r="Q2001" s="1"/>
      <c r="R2001" s="1"/>
      <c r="S2001" s="1"/>
      <c r="T2001" s="1"/>
      <c r="V2001" s="1"/>
      <c r="X2001" s="1"/>
      <c r="Z2001" s="1"/>
    </row>
    <row r="2002" spans="5:26" ht="15.75" customHeight="1">
      <c r="E2002" s="1"/>
      <c r="F2002" s="1"/>
      <c r="G2002" s="1"/>
      <c r="H2002" s="1"/>
      <c r="I2002" s="1"/>
      <c r="J2002" s="1"/>
      <c r="K2002" s="1"/>
      <c r="L2002" s="1"/>
      <c r="M2002" s="1"/>
      <c r="N2002" s="1"/>
      <c r="O2002" s="1"/>
      <c r="P2002" s="1"/>
      <c r="Q2002" s="1"/>
      <c r="R2002" s="1"/>
      <c r="S2002" s="1"/>
      <c r="T2002" s="1"/>
      <c r="V2002" s="1"/>
      <c r="X2002" s="1"/>
      <c r="Z2002" s="1"/>
    </row>
    <row r="2003" spans="5:26" ht="15.75" customHeight="1">
      <c r="E2003" s="1"/>
      <c r="F2003" s="1"/>
      <c r="G2003" s="1"/>
      <c r="H2003" s="1"/>
      <c r="I2003" s="1"/>
      <c r="J2003" s="1"/>
      <c r="K2003" s="1"/>
      <c r="L2003" s="1"/>
      <c r="M2003" s="1"/>
      <c r="N2003" s="1"/>
      <c r="O2003" s="1"/>
      <c r="P2003" s="1"/>
      <c r="Q2003" s="1"/>
      <c r="R2003" s="1"/>
      <c r="S2003" s="1"/>
      <c r="T2003" s="1"/>
      <c r="V2003" s="1"/>
      <c r="X2003" s="1"/>
      <c r="Z2003" s="1"/>
    </row>
    <row r="2004" spans="5:26" ht="15.75" customHeight="1">
      <c r="E2004" s="1"/>
      <c r="F2004" s="1"/>
      <c r="G2004" s="1"/>
      <c r="H2004" s="1"/>
      <c r="I2004" s="1"/>
      <c r="J2004" s="1"/>
      <c r="K2004" s="1"/>
      <c r="L2004" s="1"/>
      <c r="M2004" s="1"/>
      <c r="N2004" s="1"/>
      <c r="O2004" s="1"/>
      <c r="P2004" s="1"/>
      <c r="Q2004" s="1"/>
      <c r="R2004" s="1"/>
      <c r="S2004" s="1"/>
      <c r="T2004" s="1"/>
      <c r="V2004" s="1"/>
      <c r="X2004" s="1"/>
      <c r="Z2004" s="1"/>
    </row>
    <row r="2005" spans="5:26" ht="15.75" customHeight="1">
      <c r="E2005" s="1"/>
      <c r="F2005" s="1"/>
      <c r="G2005" s="1"/>
      <c r="H2005" s="1"/>
      <c r="I2005" s="1"/>
      <c r="J2005" s="1"/>
      <c r="K2005" s="1"/>
      <c r="L2005" s="1"/>
      <c r="M2005" s="1"/>
      <c r="N2005" s="1"/>
      <c r="O2005" s="1"/>
      <c r="P2005" s="1"/>
      <c r="Q2005" s="1"/>
      <c r="R2005" s="1"/>
      <c r="S2005" s="1"/>
      <c r="T2005" s="1"/>
      <c r="V2005" s="1"/>
      <c r="X2005" s="1"/>
      <c r="Z2005" s="1"/>
    </row>
    <row r="2006" spans="5:26" ht="15.75" customHeight="1">
      <c r="E2006" s="1"/>
      <c r="F2006" s="1"/>
      <c r="G2006" s="1"/>
      <c r="H2006" s="1"/>
      <c r="I2006" s="1"/>
      <c r="J2006" s="1"/>
      <c r="K2006" s="1"/>
      <c r="L2006" s="1"/>
      <c r="M2006" s="1"/>
      <c r="N2006" s="1"/>
      <c r="O2006" s="1"/>
      <c r="P2006" s="1"/>
      <c r="Q2006" s="1"/>
      <c r="R2006" s="1"/>
      <c r="S2006" s="1"/>
      <c r="T2006" s="1"/>
      <c r="V2006" s="1"/>
      <c r="X2006" s="1"/>
      <c r="Z2006" s="1"/>
    </row>
    <row r="2007" spans="5:26" ht="15.75" customHeight="1">
      <c r="E2007" s="1"/>
      <c r="F2007" s="1"/>
      <c r="G2007" s="1"/>
      <c r="H2007" s="1"/>
      <c r="I2007" s="1"/>
      <c r="J2007" s="1"/>
      <c r="K2007" s="1"/>
      <c r="L2007" s="1"/>
      <c r="M2007" s="1"/>
      <c r="N2007" s="1"/>
      <c r="O2007" s="1"/>
      <c r="P2007" s="1"/>
      <c r="Q2007" s="1"/>
      <c r="R2007" s="1"/>
      <c r="S2007" s="1"/>
      <c r="T2007" s="1"/>
      <c r="V2007" s="1"/>
      <c r="X2007" s="1"/>
      <c r="Z2007" s="1"/>
    </row>
    <row r="2008" spans="5:26" ht="15.75" customHeight="1">
      <c r="E2008" s="1"/>
      <c r="F2008" s="1"/>
      <c r="G2008" s="1"/>
      <c r="H2008" s="1"/>
      <c r="I2008" s="1"/>
      <c r="J2008" s="1"/>
      <c r="K2008" s="1"/>
      <c r="L2008" s="1"/>
      <c r="M2008" s="1"/>
      <c r="N2008" s="1"/>
      <c r="O2008" s="1"/>
      <c r="P2008" s="1"/>
      <c r="Q2008" s="1"/>
      <c r="R2008" s="1"/>
      <c r="S2008" s="1"/>
      <c r="T2008" s="1"/>
      <c r="V2008" s="1"/>
      <c r="X2008" s="1"/>
      <c r="Z2008" s="1"/>
    </row>
    <row r="2009" spans="5:26" ht="15.75" customHeight="1">
      <c r="E2009" s="1"/>
      <c r="F2009" s="1"/>
      <c r="G2009" s="1"/>
      <c r="H2009" s="1"/>
      <c r="I2009" s="1"/>
      <c r="J2009" s="1"/>
      <c r="K2009" s="1"/>
      <c r="L2009" s="1"/>
      <c r="M2009" s="1"/>
      <c r="N2009" s="1"/>
      <c r="O2009" s="1"/>
      <c r="P2009" s="1"/>
      <c r="Q2009" s="1"/>
      <c r="R2009" s="1"/>
      <c r="S2009" s="1"/>
      <c r="T2009" s="1"/>
      <c r="V2009" s="1"/>
      <c r="X2009" s="1"/>
      <c r="Z2009" s="1"/>
    </row>
    <row r="2010" spans="5:26" ht="15.75" customHeight="1">
      <c r="E2010" s="1"/>
      <c r="F2010" s="1"/>
      <c r="G2010" s="1"/>
      <c r="H2010" s="1"/>
      <c r="I2010" s="1"/>
      <c r="J2010" s="1"/>
      <c r="K2010" s="1"/>
      <c r="L2010" s="1"/>
      <c r="M2010" s="1"/>
      <c r="N2010" s="1"/>
      <c r="O2010" s="1"/>
      <c r="P2010" s="1"/>
      <c r="Q2010" s="1"/>
      <c r="R2010" s="1"/>
      <c r="S2010" s="1"/>
      <c r="T2010" s="1"/>
      <c r="V2010" s="1"/>
      <c r="X2010" s="1"/>
      <c r="Z2010" s="1"/>
    </row>
    <row r="2011" spans="5:26" ht="15.75" customHeight="1">
      <c r="E2011" s="1"/>
      <c r="F2011" s="1"/>
      <c r="G2011" s="1"/>
      <c r="H2011" s="1"/>
      <c r="I2011" s="1"/>
      <c r="J2011" s="1"/>
      <c r="K2011" s="1"/>
      <c r="L2011" s="1"/>
      <c r="M2011" s="1"/>
      <c r="N2011" s="1"/>
      <c r="O2011" s="1"/>
      <c r="P2011" s="1"/>
      <c r="Q2011" s="1"/>
      <c r="R2011" s="1"/>
      <c r="S2011" s="1"/>
      <c r="T2011" s="1"/>
      <c r="V2011" s="1"/>
      <c r="X2011" s="1"/>
      <c r="Z2011" s="1"/>
    </row>
    <row r="2012" spans="5:26" ht="15.75" customHeight="1">
      <c r="E2012" s="1"/>
      <c r="F2012" s="1"/>
      <c r="G2012" s="1"/>
      <c r="H2012" s="1"/>
      <c r="I2012" s="1"/>
      <c r="J2012" s="1"/>
      <c r="K2012" s="1"/>
      <c r="L2012" s="1"/>
      <c r="M2012" s="1"/>
      <c r="N2012" s="1"/>
      <c r="O2012" s="1"/>
      <c r="P2012" s="1"/>
      <c r="Q2012" s="1"/>
      <c r="R2012" s="1"/>
      <c r="S2012" s="1"/>
      <c r="T2012" s="1"/>
      <c r="V2012" s="1"/>
      <c r="X2012" s="1"/>
      <c r="Z2012" s="1"/>
    </row>
    <row r="2013" spans="5:26" ht="15.75" customHeight="1">
      <c r="E2013" s="1"/>
      <c r="F2013" s="1"/>
      <c r="G2013" s="1"/>
      <c r="H2013" s="1"/>
      <c r="I2013" s="1"/>
      <c r="J2013" s="1"/>
      <c r="K2013" s="1"/>
      <c r="L2013" s="1"/>
      <c r="M2013" s="1"/>
      <c r="N2013" s="1"/>
      <c r="O2013" s="1"/>
      <c r="P2013" s="1"/>
      <c r="Q2013" s="1"/>
      <c r="R2013" s="1"/>
      <c r="S2013" s="1"/>
      <c r="T2013" s="1"/>
      <c r="V2013" s="1"/>
      <c r="X2013" s="1"/>
      <c r="Z2013" s="1"/>
    </row>
    <row r="2014" spans="5:26" ht="15.75" customHeight="1">
      <c r="E2014" s="1"/>
      <c r="F2014" s="1"/>
      <c r="G2014" s="1"/>
      <c r="H2014" s="1"/>
      <c r="I2014" s="1"/>
      <c r="J2014" s="1"/>
      <c r="K2014" s="1"/>
      <c r="L2014" s="1"/>
      <c r="M2014" s="1"/>
      <c r="N2014" s="1"/>
      <c r="O2014" s="1"/>
      <c r="P2014" s="1"/>
      <c r="Q2014" s="1"/>
      <c r="R2014" s="1"/>
      <c r="S2014" s="1"/>
      <c r="T2014" s="1"/>
      <c r="V2014" s="1"/>
      <c r="X2014" s="1"/>
      <c r="Z2014" s="1"/>
    </row>
    <row r="2015" spans="5:26" ht="15.75" customHeight="1">
      <c r="E2015" s="1"/>
      <c r="F2015" s="1"/>
      <c r="G2015" s="1"/>
      <c r="H2015" s="1"/>
      <c r="I2015" s="1"/>
      <c r="J2015" s="1"/>
      <c r="K2015" s="1"/>
      <c r="L2015" s="1"/>
      <c r="M2015" s="1"/>
      <c r="N2015" s="1"/>
      <c r="O2015" s="1"/>
      <c r="P2015" s="1"/>
      <c r="Q2015" s="1"/>
      <c r="R2015" s="1"/>
      <c r="S2015" s="1"/>
      <c r="T2015" s="1"/>
      <c r="V2015" s="1"/>
      <c r="X2015" s="1"/>
      <c r="Z2015" s="1"/>
    </row>
    <row r="2016" spans="5:26" ht="15.75" customHeight="1">
      <c r="E2016" s="1"/>
      <c r="F2016" s="1"/>
      <c r="G2016" s="1"/>
      <c r="H2016" s="1"/>
      <c r="I2016" s="1"/>
      <c r="J2016" s="1"/>
      <c r="K2016" s="1"/>
      <c r="L2016" s="1"/>
      <c r="M2016" s="1"/>
      <c r="N2016" s="1"/>
      <c r="O2016" s="1"/>
      <c r="P2016" s="1"/>
      <c r="Q2016" s="1"/>
      <c r="R2016" s="1"/>
      <c r="S2016" s="1"/>
      <c r="T2016" s="1"/>
      <c r="V2016" s="1"/>
      <c r="X2016" s="1"/>
      <c r="Z2016" s="1"/>
    </row>
    <row r="2017" spans="5:26" ht="15.75" customHeight="1">
      <c r="E2017" s="1"/>
      <c r="F2017" s="1"/>
      <c r="G2017" s="1"/>
      <c r="H2017" s="1"/>
      <c r="I2017" s="1"/>
      <c r="J2017" s="1"/>
      <c r="K2017" s="1"/>
      <c r="L2017" s="1"/>
      <c r="M2017" s="1"/>
      <c r="N2017" s="1"/>
      <c r="O2017" s="1"/>
      <c r="P2017" s="1"/>
      <c r="Q2017" s="1"/>
      <c r="R2017" s="1"/>
      <c r="S2017" s="1"/>
      <c r="T2017" s="1"/>
      <c r="V2017" s="1"/>
      <c r="X2017" s="1"/>
      <c r="Z2017" s="1"/>
    </row>
    <row r="2018" spans="5:26" ht="15.75" customHeight="1">
      <c r="E2018" s="1"/>
      <c r="F2018" s="1"/>
      <c r="G2018" s="1"/>
      <c r="H2018" s="1"/>
      <c r="I2018" s="1"/>
      <c r="J2018" s="1"/>
      <c r="K2018" s="1"/>
      <c r="L2018" s="1"/>
      <c r="M2018" s="1"/>
      <c r="N2018" s="1"/>
      <c r="O2018" s="1"/>
      <c r="P2018" s="1"/>
      <c r="Q2018" s="1"/>
      <c r="R2018" s="1"/>
      <c r="S2018" s="1"/>
      <c r="T2018" s="1"/>
      <c r="V2018" s="1"/>
      <c r="X2018" s="1"/>
      <c r="Z2018" s="1"/>
    </row>
    <row r="2019" spans="5:26" ht="15.75" customHeight="1">
      <c r="E2019" s="1"/>
      <c r="F2019" s="1"/>
      <c r="G2019" s="1"/>
      <c r="H2019" s="1"/>
      <c r="I2019" s="1"/>
      <c r="J2019" s="1"/>
      <c r="K2019" s="1"/>
      <c r="L2019" s="1"/>
      <c r="M2019" s="1"/>
      <c r="N2019" s="1"/>
      <c r="O2019" s="1"/>
      <c r="P2019" s="1"/>
      <c r="Q2019" s="1"/>
      <c r="R2019" s="1"/>
      <c r="S2019" s="1"/>
      <c r="T2019" s="1"/>
      <c r="V2019" s="1"/>
      <c r="X2019" s="1"/>
      <c r="Z2019" s="1"/>
    </row>
    <row r="2020" spans="5:26" ht="15.75" customHeight="1">
      <c r="E2020" s="1"/>
      <c r="F2020" s="1"/>
      <c r="G2020" s="1"/>
      <c r="H2020" s="1"/>
      <c r="I2020" s="1"/>
      <c r="J2020" s="1"/>
      <c r="K2020" s="1"/>
      <c r="L2020" s="1"/>
      <c r="M2020" s="1"/>
      <c r="N2020" s="1"/>
      <c r="O2020" s="1"/>
      <c r="P2020" s="1"/>
      <c r="Q2020" s="1"/>
      <c r="R2020" s="1"/>
      <c r="S2020" s="1"/>
      <c r="T2020" s="1"/>
      <c r="V2020" s="1"/>
      <c r="X2020" s="1"/>
      <c r="Z2020" s="1"/>
    </row>
    <row r="2021" spans="5:26" ht="15.75" customHeight="1">
      <c r="E2021" s="1"/>
      <c r="F2021" s="1"/>
      <c r="G2021" s="1"/>
      <c r="H2021" s="1"/>
      <c r="I2021" s="1"/>
      <c r="J2021" s="1"/>
      <c r="K2021" s="1"/>
      <c r="L2021" s="1"/>
      <c r="M2021" s="1"/>
      <c r="N2021" s="1"/>
      <c r="O2021" s="1"/>
      <c r="P2021" s="1"/>
      <c r="Q2021" s="1"/>
      <c r="R2021" s="1"/>
      <c r="S2021" s="1"/>
      <c r="T2021" s="1"/>
      <c r="V2021" s="1"/>
      <c r="X2021" s="1"/>
      <c r="Z2021" s="1"/>
    </row>
    <row r="2022" spans="5:26" ht="15.75" customHeight="1">
      <c r="E2022" s="1"/>
      <c r="F2022" s="1"/>
      <c r="G2022" s="1"/>
      <c r="H2022" s="1"/>
      <c r="I2022" s="1"/>
      <c r="J2022" s="1"/>
      <c r="K2022" s="1"/>
      <c r="L2022" s="1"/>
      <c r="M2022" s="1"/>
      <c r="N2022" s="1"/>
      <c r="O2022" s="1"/>
      <c r="P2022" s="1"/>
      <c r="Q2022" s="1"/>
      <c r="R2022" s="1"/>
      <c r="S2022" s="1"/>
      <c r="T2022" s="1"/>
      <c r="V2022" s="1"/>
      <c r="X2022" s="1"/>
      <c r="Z2022" s="1"/>
    </row>
  </sheetData>
  <phoneticPr fontId="76" type="noConversion"/>
  <pageMargins left="0.25" right="0.25" top="0.25" bottom="0.25" header="0.3" footer="0.3"/>
  <pageSetup scale="62" fitToHeight="0" orientation="landscape" horizontalDpi="4294967295" verticalDpi="4294967295" r:id="rId1"/>
  <drawing r:id="rId2"/>
  <legacyDrawing r:id="rId3"/>
  <controls>
    <mc:AlternateContent xmlns:mc="http://schemas.openxmlformats.org/markup-compatibility/2006">
      <mc:Choice Requires="x14">
        <control shapeId="1171" r:id="rId4" name="CommandButton1">
          <controlPr autoFill="0" autoLine="0" r:id="rId5">
            <anchor moveWithCells="1">
              <from>
                <xdr:col>33</xdr:col>
                <xdr:colOff>0</xdr:colOff>
                <xdr:row>0</xdr:row>
                <xdr:rowOff>0</xdr:rowOff>
              </from>
              <to>
                <xdr:col>35</xdr:col>
                <xdr:colOff>38100</xdr:colOff>
                <xdr:row>1</xdr:row>
                <xdr:rowOff>106680</xdr:rowOff>
              </to>
            </anchor>
          </controlPr>
        </control>
      </mc:Choice>
      <mc:Fallback>
        <control shapeId="1171" r:id="rId4" name="CommandButton1"/>
      </mc:Fallback>
    </mc:AlternateContent>
    <mc:AlternateContent xmlns:mc="http://schemas.openxmlformats.org/markup-compatibility/2006">
      <mc:Choice Requires="x14">
        <control shapeId="1180" r:id="rId6" name="CommandButton2">
          <controlPr autoFill="0" autoLine="0" r:id="rId7">
            <anchor moveWithCells="1">
              <from>
                <xdr:col>33</xdr:col>
                <xdr:colOff>0</xdr:colOff>
                <xdr:row>0</xdr:row>
                <xdr:rowOff>0</xdr:rowOff>
              </from>
              <to>
                <xdr:col>35</xdr:col>
                <xdr:colOff>38100</xdr:colOff>
                <xdr:row>1</xdr:row>
                <xdr:rowOff>106680</xdr:rowOff>
              </to>
            </anchor>
          </controlPr>
        </control>
      </mc:Choice>
      <mc:Fallback>
        <control shapeId="1180" r:id="rId6" name="CommandButton2"/>
      </mc:Fallback>
    </mc:AlternateContent>
    <mc:AlternateContent xmlns:mc="http://schemas.openxmlformats.org/markup-compatibility/2006">
      <mc:Choice Requires="x14">
        <control shapeId="1181" r:id="rId8" name="CommandButton3">
          <controlPr autoFill="0" autoLine="0" r:id="rId9">
            <anchor moveWithCells="1">
              <from>
                <xdr:col>33</xdr:col>
                <xdr:colOff>0</xdr:colOff>
                <xdr:row>0</xdr:row>
                <xdr:rowOff>0</xdr:rowOff>
              </from>
              <to>
                <xdr:col>34</xdr:col>
                <xdr:colOff>209550</xdr:colOff>
                <xdr:row>1</xdr:row>
                <xdr:rowOff>106680</xdr:rowOff>
              </to>
            </anchor>
          </controlPr>
        </control>
      </mc:Choice>
      <mc:Fallback>
        <control shapeId="1181" r:id="rId8" name="CommandButton3"/>
      </mc:Fallback>
    </mc:AlternateContent>
    <mc:AlternateContent xmlns:mc="http://schemas.openxmlformats.org/markup-compatibility/2006">
      <mc:Choice Requires="x14">
        <control shapeId="1184" r:id="rId10" name="CommandButton4">
          <controlPr autoFill="0" autoLine="0" r:id="rId11">
            <anchor moveWithCells="1">
              <from>
                <xdr:col>33</xdr:col>
                <xdr:colOff>0</xdr:colOff>
                <xdr:row>0</xdr:row>
                <xdr:rowOff>0</xdr:rowOff>
              </from>
              <to>
                <xdr:col>34</xdr:col>
                <xdr:colOff>361950</xdr:colOff>
                <xdr:row>1</xdr:row>
                <xdr:rowOff>106680</xdr:rowOff>
              </to>
            </anchor>
          </controlPr>
        </control>
      </mc:Choice>
      <mc:Fallback>
        <control shapeId="1184" r:id="rId10" name="CommandButton4"/>
      </mc:Fallback>
    </mc:AlternateContent>
    <mc:AlternateContent xmlns:mc="http://schemas.openxmlformats.org/markup-compatibility/2006">
      <mc:Choice Requires="x14">
        <control shapeId="1206" r:id="rId12" name="CommandButton5">
          <controlPr autoFill="0" autoLine="0" r:id="rId13">
            <anchor moveWithCells="1">
              <from>
                <xdr:col>33</xdr:col>
                <xdr:colOff>0</xdr:colOff>
                <xdr:row>0</xdr:row>
                <xdr:rowOff>0</xdr:rowOff>
              </from>
              <to>
                <xdr:col>35</xdr:col>
                <xdr:colOff>68580</xdr:colOff>
                <xdr:row>1</xdr:row>
                <xdr:rowOff>106680</xdr:rowOff>
              </to>
            </anchor>
          </controlPr>
        </control>
      </mc:Choice>
      <mc:Fallback>
        <control shapeId="1206" r:id="rId12" name="CommandButton5"/>
      </mc:Fallback>
    </mc:AlternateContent>
    <mc:AlternateContent xmlns:mc="http://schemas.openxmlformats.org/markup-compatibility/2006">
      <mc:Choice Requires="x14">
        <control shapeId="1207" r:id="rId14" name="CommandButton6">
          <controlPr autoFill="0" autoLine="0" r:id="rId15">
            <anchor moveWithCells="1">
              <from>
                <xdr:col>35</xdr:col>
                <xdr:colOff>285750</xdr:colOff>
                <xdr:row>0</xdr:row>
                <xdr:rowOff>0</xdr:rowOff>
              </from>
              <to>
                <xdr:col>37</xdr:col>
                <xdr:colOff>68580</xdr:colOff>
                <xdr:row>1</xdr:row>
                <xdr:rowOff>106680</xdr:rowOff>
              </to>
            </anchor>
          </controlPr>
        </control>
      </mc:Choice>
      <mc:Fallback>
        <control shapeId="1207" r:id="rId14" name="CommandButton6"/>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25B6F-61CE-4BF2-AEFD-3F53308405CF}">
  <sheetPr codeName="Sheet7"/>
  <dimension ref="A1:BS135"/>
  <sheetViews>
    <sheetView zoomScale="120" zoomScaleNormal="120" workbookViewId="0">
      <pane xSplit="1" ySplit="3" topLeftCell="AK45" activePane="bottomRight" state="frozen"/>
      <selection pane="topRight" activeCell="B1" sqref="B1"/>
      <selection pane="bottomLeft" activeCell="A4" sqref="A4"/>
      <selection pane="bottomRight" activeCell="AT62" sqref="AT62"/>
    </sheetView>
  </sheetViews>
  <sheetFormatPr defaultColWidth="8.7890625" defaultRowHeight="12.6"/>
  <cols>
    <col min="1" max="1" width="40.47265625" style="1775" bestFit="1" customWidth="1"/>
    <col min="2" max="2" width="8.3671875" style="1852" hidden="1" customWidth="1"/>
    <col min="3" max="3" width="6.62890625" style="1861" hidden="1" customWidth="1"/>
    <col min="4" max="4" width="8.3671875" style="1853" hidden="1" customWidth="1"/>
    <col min="5" max="5" width="6.62890625" style="1862" hidden="1" customWidth="1"/>
    <col min="6" max="6" width="6.26171875" style="1851" hidden="1" customWidth="1"/>
    <col min="7" max="7" width="8.26171875" style="1851" hidden="1" customWidth="1"/>
    <col min="8" max="8" width="8.3671875" style="1874" hidden="1" customWidth="1"/>
    <col min="9" max="9" width="6.62890625" style="1874" hidden="1" customWidth="1"/>
    <col min="10" max="11" width="9.62890625" style="1851" hidden="1" customWidth="1"/>
    <col min="12" max="12" width="5.26171875" style="1851" hidden="1" customWidth="1"/>
    <col min="13" max="13" width="7.47265625" style="1851" hidden="1" customWidth="1"/>
    <col min="14" max="14" width="8.47265625" style="1851" hidden="1" customWidth="1"/>
    <col min="15" max="15" width="8.3671875" style="1853" hidden="1" customWidth="1"/>
    <col min="16" max="16" width="6.62890625" style="1853" hidden="1" customWidth="1"/>
    <col min="17" max="17" width="9" style="1851" hidden="1" customWidth="1"/>
    <col min="18" max="18" width="10.26171875" style="1851" hidden="1" customWidth="1"/>
    <col min="19" max="19" width="11" style="1874" bestFit="1" customWidth="1"/>
    <col min="20" max="20" width="8.41796875" style="1874" bestFit="1" customWidth="1"/>
    <col min="21" max="21" width="6.26171875" style="1851" hidden="1" customWidth="1"/>
    <col min="22" max="22" width="7.7890625" style="1851" hidden="1" customWidth="1"/>
    <col min="23" max="23" width="12.3125" style="1853" bestFit="1" customWidth="1"/>
    <col min="24" max="24" width="8.89453125" style="1853" customWidth="1"/>
    <col min="25" max="25" width="8.89453125" style="2838" hidden="1" customWidth="1"/>
    <col min="26" max="27" width="8.89453125" style="1851" customWidth="1"/>
    <col min="28" max="28" width="10.83984375" style="1874" bestFit="1" customWidth="1"/>
    <col min="29" max="29" width="6.68359375" style="1874" bestFit="1" customWidth="1"/>
    <col min="30" max="30" width="7.5234375" style="1851" hidden="1" customWidth="1"/>
    <col min="31" max="31" width="6.26171875" style="1851" hidden="1" customWidth="1"/>
    <col min="32" max="32" width="12.83984375" style="1853" bestFit="1" customWidth="1"/>
    <col min="33" max="33" width="7.05078125" style="1862" bestFit="1" customWidth="1"/>
    <col min="34" max="34" width="8.578125" style="2838" hidden="1" customWidth="1"/>
    <col min="35" max="36" width="8.68359375" style="1851" bestFit="1" customWidth="1"/>
    <col min="37" max="37" width="11" style="1874" bestFit="1" customWidth="1"/>
    <col min="38" max="38" width="6.5234375" style="1874" bestFit="1" customWidth="1"/>
    <col min="39" max="39" width="7.5234375" style="1851" hidden="1" customWidth="1"/>
    <col min="40" max="40" width="7.7890625" style="1851" hidden="1" customWidth="1"/>
    <col min="41" max="41" width="12.15625" style="1853" bestFit="1" customWidth="1"/>
    <col min="42" max="42" width="6.5234375" style="1862" bestFit="1" customWidth="1"/>
    <col min="43" max="43" width="7.15625" style="2838" bestFit="1" customWidth="1"/>
    <col min="44" max="45" width="8.68359375" style="1851" bestFit="1" customWidth="1"/>
    <col min="46" max="46" width="10.83984375" style="1874" bestFit="1" customWidth="1"/>
    <col min="47" max="47" width="7.89453125" style="1874" bestFit="1" customWidth="1"/>
    <col min="48" max="49" width="6.26171875" style="1851" hidden="1" customWidth="1"/>
    <col min="50" max="50" width="12.578125" style="1853" bestFit="1" customWidth="1"/>
    <col min="51" max="51" width="7.05078125" style="1862" bestFit="1" customWidth="1"/>
    <col min="52" max="52" width="7.15625" style="2838" bestFit="1" customWidth="1"/>
    <col min="53" max="54" width="8.68359375" style="1851" bestFit="1" customWidth="1"/>
    <col min="55" max="55" width="11" style="1874" bestFit="1" customWidth="1"/>
    <col min="56" max="56" width="6.62890625" style="1874" customWidth="1"/>
    <col min="57" max="58" width="6.26171875" style="1851" hidden="1" customWidth="1"/>
    <col min="59" max="59" width="12.3125" style="1853" bestFit="1" customWidth="1"/>
    <col min="60" max="60" width="6.5234375" style="1862" bestFit="1" customWidth="1"/>
    <col min="61" max="61" width="7.15625" style="2838" bestFit="1" customWidth="1"/>
    <col min="62" max="62" width="9.3125" style="1851" bestFit="1" customWidth="1"/>
    <col min="63" max="63" width="8.41796875" style="1851" bestFit="1" customWidth="1"/>
    <col min="64" max="64" width="12.3125" style="1853" bestFit="1" customWidth="1"/>
    <col min="65" max="65" width="6.5234375" style="1862" bestFit="1" customWidth="1"/>
    <col min="66" max="66" width="8.7890625" style="1775"/>
    <col min="67" max="67" width="9.62890625" style="1775" bestFit="1" customWidth="1"/>
    <col min="68" max="16384" width="8.7890625" style="1775"/>
  </cols>
  <sheetData>
    <row r="1" spans="1:71">
      <c r="A1" s="1933"/>
      <c r="B1" s="3123" t="s">
        <v>1090</v>
      </c>
      <c r="C1" s="3123"/>
      <c r="D1" s="3123"/>
      <c r="E1" s="3123"/>
      <c r="F1" s="3123"/>
      <c r="G1" s="1870"/>
      <c r="H1" s="3123" t="s">
        <v>1091</v>
      </c>
      <c r="I1" s="3123"/>
      <c r="J1" s="3123"/>
      <c r="K1" s="3123"/>
      <c r="L1" s="3123"/>
      <c r="M1" s="3123"/>
      <c r="N1" s="3123"/>
      <c r="O1" s="3123"/>
      <c r="P1" s="3123"/>
      <c r="Q1" s="3123"/>
      <c r="R1" s="3123"/>
      <c r="S1" s="3123" t="s">
        <v>1092</v>
      </c>
      <c r="T1" s="3123"/>
      <c r="U1" s="3123"/>
      <c r="V1" s="3123"/>
      <c r="W1" s="3123"/>
      <c r="X1" s="3123"/>
      <c r="Y1" s="3123"/>
      <c r="Z1" s="3123"/>
      <c r="AA1" s="2033"/>
      <c r="AB1" s="3123" t="s">
        <v>3216</v>
      </c>
      <c r="AC1" s="3123"/>
      <c r="AD1" s="3123"/>
      <c r="AE1" s="3123"/>
      <c r="AF1" s="3123"/>
      <c r="AG1" s="3123"/>
      <c r="AH1" s="3123"/>
      <c r="AI1" s="3123"/>
      <c r="AJ1" s="3123"/>
      <c r="AK1" s="3145" t="s">
        <v>3305</v>
      </c>
      <c r="AL1" s="3145"/>
      <c r="AM1" s="3145"/>
      <c r="AN1" s="3145"/>
      <c r="AO1" s="3145"/>
      <c r="AP1" s="3145"/>
      <c r="AQ1" s="3145"/>
      <c r="AR1" s="3145"/>
      <c r="AS1" s="3145"/>
      <c r="AT1" s="3123" t="s">
        <v>3487</v>
      </c>
      <c r="AU1" s="3123"/>
      <c r="AV1" s="3123"/>
      <c r="AW1" s="3123"/>
      <c r="AX1" s="3123"/>
      <c r="AY1" s="3123"/>
      <c r="AZ1" s="3123"/>
      <c r="BA1" s="3123"/>
      <c r="BB1" s="3123"/>
      <c r="BC1" s="3123" t="s">
        <v>3488</v>
      </c>
      <c r="BD1" s="3123"/>
      <c r="BE1" s="3123"/>
      <c r="BF1" s="3123"/>
      <c r="BG1" s="3123"/>
      <c r="BH1" s="3123"/>
      <c r="BI1" s="3123"/>
      <c r="BJ1" s="3123"/>
      <c r="BK1" s="3123"/>
      <c r="BL1" s="3123" t="s">
        <v>3611</v>
      </c>
      <c r="BM1" s="3123"/>
    </row>
    <row r="2" spans="1:71" ht="49.2">
      <c r="A2" s="3124" t="s">
        <v>3562</v>
      </c>
      <c r="B2" s="3137" t="s">
        <v>3577</v>
      </c>
      <c r="C2" s="3139" t="s">
        <v>3563</v>
      </c>
      <c r="D2" s="3119" t="s">
        <v>3578</v>
      </c>
      <c r="E2" s="3121" t="s">
        <v>3563</v>
      </c>
      <c r="F2" s="3136" t="s">
        <v>3580</v>
      </c>
      <c r="G2" s="3136" t="s">
        <v>3581</v>
      </c>
      <c r="H2" s="1937" t="s">
        <v>3632</v>
      </c>
      <c r="I2" s="1938" t="s">
        <v>3563</v>
      </c>
      <c r="J2" s="1962" t="s">
        <v>3638</v>
      </c>
      <c r="K2" s="1962" t="s">
        <v>3639</v>
      </c>
      <c r="L2" s="1962" t="s">
        <v>3640</v>
      </c>
      <c r="M2" s="1962" t="s">
        <v>3641</v>
      </c>
      <c r="N2" s="1962" t="s">
        <v>3642</v>
      </c>
      <c r="O2" s="3141" t="s">
        <v>3633</v>
      </c>
      <c r="P2" s="3143" t="s">
        <v>3563</v>
      </c>
      <c r="Q2" s="1871" t="s">
        <v>3580</v>
      </c>
      <c r="R2" s="1923" t="s">
        <v>3579</v>
      </c>
      <c r="S2" s="3132" t="s">
        <v>4003</v>
      </c>
      <c r="T2" s="3134" t="s">
        <v>3563</v>
      </c>
      <c r="U2" s="2852" t="s">
        <v>3588</v>
      </c>
      <c r="V2" s="2852" t="s">
        <v>3589</v>
      </c>
      <c r="W2" s="3130" t="s">
        <v>4004</v>
      </c>
      <c r="X2" s="3131" t="s">
        <v>3563</v>
      </c>
      <c r="Y2" s="2840" t="s">
        <v>4174</v>
      </c>
      <c r="Z2" s="3128" t="s">
        <v>3564</v>
      </c>
      <c r="AA2" s="3126" t="s">
        <v>3579</v>
      </c>
      <c r="AB2" s="3132" t="s">
        <v>4003</v>
      </c>
      <c r="AC2" s="3134" t="s">
        <v>3563</v>
      </c>
      <c r="AD2" s="2852" t="s">
        <v>3590</v>
      </c>
      <c r="AE2" s="2852" t="s">
        <v>3591</v>
      </c>
      <c r="AF2" s="3130" t="s">
        <v>4004</v>
      </c>
      <c r="AG2" s="3131" t="s">
        <v>3563</v>
      </c>
      <c r="AH2" s="2840" t="s">
        <v>4174</v>
      </c>
      <c r="AI2" s="3128" t="s">
        <v>3564</v>
      </c>
      <c r="AJ2" s="3126" t="s">
        <v>3579</v>
      </c>
      <c r="AK2" s="3132" t="s">
        <v>4003</v>
      </c>
      <c r="AL2" s="3134" t="s">
        <v>3563</v>
      </c>
      <c r="AM2" s="2852" t="s">
        <v>3682</v>
      </c>
      <c r="AN2" s="2852" t="s">
        <v>3683</v>
      </c>
      <c r="AO2" s="3130" t="s">
        <v>4004</v>
      </c>
      <c r="AP2" s="3131" t="s">
        <v>3563</v>
      </c>
      <c r="AQ2" s="2840" t="s">
        <v>4174</v>
      </c>
      <c r="AR2" s="3128" t="s">
        <v>3564</v>
      </c>
      <c r="AS2" s="3126" t="s">
        <v>3579</v>
      </c>
      <c r="AT2" s="3132" t="s">
        <v>4003</v>
      </c>
      <c r="AU2" s="3134" t="s">
        <v>3563</v>
      </c>
      <c r="AV2" s="2852" t="s">
        <v>3684</v>
      </c>
      <c r="AW2" s="2852" t="s">
        <v>3685</v>
      </c>
      <c r="AX2" s="3130" t="s">
        <v>4004</v>
      </c>
      <c r="AY2" s="3131" t="s">
        <v>3563</v>
      </c>
      <c r="AZ2" s="2840" t="s">
        <v>4174</v>
      </c>
      <c r="BA2" s="3128" t="s">
        <v>3564</v>
      </c>
      <c r="BB2" s="3126" t="s">
        <v>3579</v>
      </c>
      <c r="BC2" s="3146" t="s">
        <v>3988</v>
      </c>
      <c r="BD2" s="3147" t="s">
        <v>3563</v>
      </c>
      <c r="BE2" s="1962" t="s">
        <v>3684</v>
      </c>
      <c r="BF2" s="1962" t="s">
        <v>3685</v>
      </c>
      <c r="BG2" s="3119" t="s">
        <v>4205</v>
      </c>
      <c r="BH2" s="3121" t="s">
        <v>3563</v>
      </c>
      <c r="BI2" s="2840" t="s">
        <v>4174</v>
      </c>
      <c r="BJ2" s="3148" t="s">
        <v>3564</v>
      </c>
      <c r="BK2" s="3136" t="s">
        <v>3579</v>
      </c>
      <c r="BL2" s="3119" t="s">
        <v>4004</v>
      </c>
      <c r="BM2" s="3121" t="s">
        <v>3563</v>
      </c>
      <c r="BO2" s="1933"/>
      <c r="BQ2" s="1933"/>
      <c r="BS2" s="1933"/>
    </row>
    <row r="3" spans="1:71" ht="6.7" customHeight="1">
      <c r="A3" s="3125"/>
      <c r="B3" s="3138"/>
      <c r="C3" s="3140"/>
      <c r="D3" s="3120"/>
      <c r="E3" s="3122"/>
      <c r="F3" s="3127"/>
      <c r="G3" s="3127"/>
      <c r="H3" s="1875"/>
      <c r="I3" s="1875"/>
      <c r="J3" s="1963"/>
      <c r="K3" s="1963"/>
      <c r="L3" s="1963"/>
      <c r="M3" s="1963"/>
      <c r="N3" s="1963"/>
      <c r="O3" s="3142"/>
      <c r="P3" s="3144"/>
      <c r="Q3" s="1872"/>
      <c r="R3" s="1872"/>
      <c r="S3" s="3133"/>
      <c r="T3" s="3135"/>
      <c r="U3" s="1963"/>
      <c r="V3" s="1963"/>
      <c r="W3" s="3120"/>
      <c r="X3" s="3122"/>
      <c r="Y3" s="2841"/>
      <c r="Z3" s="3129"/>
      <c r="AA3" s="3127"/>
      <c r="AB3" s="3133"/>
      <c r="AC3" s="3135"/>
      <c r="AD3" s="1963"/>
      <c r="AE3" s="1963"/>
      <c r="AF3" s="3120"/>
      <c r="AG3" s="3122"/>
      <c r="AH3" s="2841"/>
      <c r="AI3" s="3129"/>
      <c r="AJ3" s="3127"/>
      <c r="AK3" s="3133"/>
      <c r="AL3" s="3135"/>
      <c r="AM3" s="1963"/>
      <c r="AN3" s="1963"/>
      <c r="AO3" s="3120"/>
      <c r="AP3" s="3122"/>
      <c r="AQ3" s="2841"/>
      <c r="AR3" s="3129"/>
      <c r="AS3" s="3127"/>
      <c r="AT3" s="3133"/>
      <c r="AU3" s="3135"/>
      <c r="AV3" s="1963"/>
      <c r="AW3" s="1963"/>
      <c r="AX3" s="3120"/>
      <c r="AY3" s="3122"/>
      <c r="AZ3" s="2841"/>
      <c r="BA3" s="3129"/>
      <c r="BB3" s="3127"/>
      <c r="BC3" s="3133"/>
      <c r="BD3" s="3135"/>
      <c r="BE3" s="1963"/>
      <c r="BF3" s="1963"/>
      <c r="BG3" s="3120"/>
      <c r="BH3" s="3122"/>
      <c r="BI3" s="2841"/>
      <c r="BJ3" s="3129"/>
      <c r="BK3" s="3127"/>
      <c r="BL3" s="3120"/>
      <c r="BM3" s="3122"/>
    </row>
    <row r="4" spans="1:71">
      <c r="A4" s="1776" t="s">
        <v>624</v>
      </c>
      <c r="B4" s="1777">
        <f>B5+B10+B18</f>
        <v>3845.4943783462686</v>
      </c>
      <c r="C4" s="1778">
        <f t="shared" ref="C4:C25" si="0">B4/$B$111</f>
        <v>0.22268996064565741</v>
      </c>
      <c r="D4" s="1779">
        <f>D5+D10+D18</f>
        <v>3811.1283616710434</v>
      </c>
      <c r="E4" s="1780">
        <f t="shared" ref="E4:E25" si="1">D4/$D$111</f>
        <v>0.20547935633756806</v>
      </c>
      <c r="F4" s="1781">
        <f>D4-B4</f>
        <v>-34.366016675225183</v>
      </c>
      <c r="G4" s="1781">
        <f>E4-C4</f>
        <v>-1.721060430808935E-2</v>
      </c>
      <c r="H4" s="1939">
        <v>4192.7772888186018</v>
      </c>
      <c r="I4" s="1940">
        <f t="shared" ref="I4:I25" si="2">H4/$H$111</f>
        <v>0.21344715898832856</v>
      </c>
      <c r="J4" s="1971">
        <v>2058.5202412032399</v>
      </c>
      <c r="K4" s="1971">
        <f>FISCinyear!JI754</f>
        <v>2146.2359158825038</v>
      </c>
      <c r="L4" s="1971">
        <f>K4-J4</f>
        <v>87.715674679263884</v>
      </c>
      <c r="M4" s="1971">
        <v>2134.2570476153619</v>
      </c>
      <c r="N4" s="1971">
        <f t="shared" ref="N4:N8" si="3">O4-K4</f>
        <v>2027.735157164987</v>
      </c>
      <c r="O4" s="1779">
        <f>O5+O10+O18</f>
        <v>4173.9710730474908</v>
      </c>
      <c r="P4" s="1887">
        <f t="shared" ref="P4:P34" si="4">O4/$O$111</f>
        <v>0.19277086124223489</v>
      </c>
      <c r="Q4" s="1781">
        <f t="shared" ref="Q4:Q29" si="5">O4-H4</f>
        <v>-18.806215771111056</v>
      </c>
      <c r="R4" s="1935">
        <f t="shared" ref="R4:R30" si="6">P4-I4</f>
        <v>-2.0676297746093669E-2</v>
      </c>
      <c r="S4" s="1939">
        <v>4952.8832808100224</v>
      </c>
      <c r="T4" s="1940">
        <f t="shared" ref="T4:T36" si="7">S4/$S$111</f>
        <v>0.20287511488860085</v>
      </c>
      <c r="U4" s="1986">
        <f>FISCinyear!JL754</f>
        <v>2394.2768928700616</v>
      </c>
      <c r="V4" s="1986">
        <f>W4-U4</f>
        <v>2614.8304234762654</v>
      </c>
      <c r="W4" s="1779">
        <f>W5+W10+W18</f>
        <v>5009.107316346327</v>
      </c>
      <c r="X4" s="1887">
        <f t="shared" ref="X4:X35" si="8">W4/$W$111</f>
        <v>0.19809262444537537</v>
      </c>
      <c r="Y4" s="2828">
        <f t="shared" ref="Y4:Y35" si="9">W4/$S$111</f>
        <v>0.2051781083213601</v>
      </c>
      <c r="Z4" s="1781">
        <f>W4-S4</f>
        <v>56.224035536304655</v>
      </c>
      <c r="AA4" s="1935">
        <f>X4-T4</f>
        <v>-4.7824904432254844E-3</v>
      </c>
      <c r="AB4" s="1939">
        <v>5706.5706807325541</v>
      </c>
      <c r="AC4" s="1940">
        <f t="shared" ref="AC4:AC29" si="10">AB4/$AB$111</f>
        <v>0.20607346045064759</v>
      </c>
      <c r="AD4" s="1986">
        <f>FISCinyear!JO754</f>
        <v>2773.6306849119305</v>
      </c>
      <c r="AE4" s="1986">
        <f>AF4-AD4</f>
        <v>2925.4236090640056</v>
      </c>
      <c r="AF4" s="1779">
        <f>AF5+AF10+AF18</f>
        <v>5699.0542939759362</v>
      </c>
      <c r="AG4" s="1780">
        <f t="shared" ref="AG4:AG36" si="11">AF4/$AF$111</f>
        <v>0.19754518549551314</v>
      </c>
      <c r="AH4" s="2828">
        <f t="shared" ref="AH4:AH36" si="12">AF4/$AB$111</f>
        <v>0.20580203161611979</v>
      </c>
      <c r="AI4" s="1781">
        <f>AF4-AB4</f>
        <v>-7.5163867566179761</v>
      </c>
      <c r="AJ4" s="1935">
        <f>AG4-AC4</f>
        <v>-8.5282749551344461E-3</v>
      </c>
      <c r="AK4" s="1939">
        <v>6559.9266504421612</v>
      </c>
      <c r="AL4" s="1940">
        <f t="shared" ref="AL4:AL25" si="13">AK4/$AK$111</f>
        <v>0.21061617292598342</v>
      </c>
      <c r="AM4" s="1986">
        <f>FISCinyear!JR754</f>
        <v>3167.5144080122377</v>
      </c>
      <c r="AN4" s="1986">
        <f>AO4-AM4</f>
        <v>3364.9673306045438</v>
      </c>
      <c r="AO4" s="1779">
        <f>AO5+AO10+AO18</f>
        <v>6532.4817386167815</v>
      </c>
      <c r="AP4" s="1780">
        <f t="shared" ref="AP4:AP29" si="14">AO4/$AO$111</f>
        <v>0.20101840638154903</v>
      </c>
      <c r="AQ4" s="2828">
        <f t="shared" ref="AQ4:AQ36" si="15">AO4/$AK$111</f>
        <v>0.20973501333335856</v>
      </c>
      <c r="AR4" s="1781">
        <f>AO4-AK4</f>
        <v>-27.444911825379677</v>
      </c>
      <c r="AS4" s="1935">
        <f>AP4-AL4</f>
        <v>-9.597766544434394E-3</v>
      </c>
      <c r="AT4" s="1939">
        <v>7393.1629962924253</v>
      </c>
      <c r="AU4" s="1940">
        <f t="shared" ref="AU4:AU36" si="16">AT4/$AT$111</f>
        <v>0.211754354728279</v>
      </c>
      <c r="AV4" s="1986">
        <f>FISCinyear!JU754</f>
        <v>3579.6872464456842</v>
      </c>
      <c r="AW4" s="1986">
        <f>AX4-AV4</f>
        <v>3787.1026991710182</v>
      </c>
      <c r="AX4" s="1779">
        <f>AX5+AX10+AX18</f>
        <v>7366.7899456167024</v>
      </c>
      <c r="AY4" s="1780">
        <f t="shared" ref="AY4:AY36" si="17">AX4/$AX$111</f>
        <v>0.20092259373395885</v>
      </c>
      <c r="AZ4" s="2828">
        <f t="shared" ref="AZ4:AZ35" si="18">AX4/$AT$111</f>
        <v>0.21099898002183001</v>
      </c>
      <c r="BA4" s="1781">
        <f t="shared" ref="BA4:BA23" si="19">AX4-AT4</f>
        <v>-26.37305067572288</v>
      </c>
      <c r="BB4" s="1935">
        <f>AY4-AU4</f>
        <v>-1.083176099432015E-2</v>
      </c>
      <c r="BC4" s="1939">
        <v>8361.9176219517049</v>
      </c>
      <c r="BD4" s="1940">
        <f t="shared" ref="BD4:BD33" si="20">BC4/$BC$111</f>
        <v>0.21356111288914373</v>
      </c>
      <c r="BE4" s="1986">
        <f>FISCinyear!JX754</f>
        <v>4047.1053546120961</v>
      </c>
      <c r="BF4" s="1986">
        <f>BG4-BE4</f>
        <v>4299.9259204772279</v>
      </c>
      <c r="BG4" s="1779">
        <f>BG5+BG10+BG18</f>
        <v>8347.0312750893245</v>
      </c>
      <c r="BH4" s="1780">
        <f t="shared" ref="BH4:BH37" si="21">BG4/$BG$111</f>
        <v>0.20239574950666112</v>
      </c>
      <c r="BI4" s="2828">
        <f t="shared" ref="BI4:BI35" si="22">BG4/$BC$111</f>
        <v>0.21318091961930838</v>
      </c>
      <c r="BJ4" s="1781">
        <f t="shared" ref="BJ4:BJ25" si="23">BG4-BC4</f>
        <v>-14.886346862380378</v>
      </c>
      <c r="BK4" s="1935">
        <f t="shared" ref="BK4:BK25" si="24">BH4-BD4</f>
        <v>-1.1165363382482613E-2</v>
      </c>
      <c r="BL4" s="1779">
        <f>BL5+BL10+BL18</f>
        <v>9407.0700004552964</v>
      </c>
      <c r="BM4" s="1780">
        <f t="shared" ref="BM4:BM35" si="25">BL4/$BL$111</f>
        <v>0.20461956789002358</v>
      </c>
    </row>
    <row r="5" spans="1:71">
      <c r="A5" s="1782" t="s">
        <v>462</v>
      </c>
      <c r="B5" s="1777">
        <v>2616.2570325193747</v>
      </c>
      <c r="C5" s="1783">
        <f t="shared" si="0"/>
        <v>0.15150566306671176</v>
      </c>
      <c r="D5" s="1784">
        <f>FISC!AI1061</f>
        <v>2593.3215244053272</v>
      </c>
      <c r="E5" s="1785">
        <f t="shared" si="1"/>
        <v>0.13982054316783002</v>
      </c>
      <c r="F5" s="1786">
        <f>D5-B5</f>
        <v>-22.935508114047479</v>
      </c>
      <c r="G5" s="1879">
        <f t="shared" ref="G5:G77" si="26">E5-C5</f>
        <v>-1.1685119898881741E-2</v>
      </c>
      <c r="H5" s="1939">
        <v>3017.9199664052967</v>
      </c>
      <c r="I5" s="1941">
        <f t="shared" si="2"/>
        <v>0.1536371713807077</v>
      </c>
      <c r="J5" s="1972">
        <v>1448.6015838745423</v>
      </c>
      <c r="K5" s="1972">
        <f>FISCinyear!JI755</f>
        <v>1472.5745143095064</v>
      </c>
      <c r="L5" s="1972">
        <f t="shared" ref="L5:L71" si="27">K5-J5</f>
        <v>23.972930434964155</v>
      </c>
      <c r="M5" s="1972">
        <v>1569.3183825307544</v>
      </c>
      <c r="N5" s="1972">
        <f t="shared" si="3"/>
        <v>1592.49204172388</v>
      </c>
      <c r="O5" s="1784">
        <f>FISC!AJ1061</f>
        <v>3065.0665560333864</v>
      </c>
      <c r="P5" s="1888">
        <f t="shared" si="4"/>
        <v>0.1415571668875828</v>
      </c>
      <c r="Q5" s="1786">
        <f t="shared" si="5"/>
        <v>47.146589628089714</v>
      </c>
      <c r="R5" s="1879">
        <f t="shared" si="6"/>
        <v>-1.2080004493124907E-2</v>
      </c>
      <c r="S5" s="1939">
        <v>3745.2396294230261</v>
      </c>
      <c r="T5" s="1941">
        <f t="shared" si="7"/>
        <v>0.1534088079661495</v>
      </c>
      <c r="U5" s="1987">
        <f>FISCinyear!JL755</f>
        <v>1853.138232335695</v>
      </c>
      <c r="V5" s="1987">
        <f t="shared" ref="V5:V69" si="28">W5-U5</f>
        <v>1933.8088521900902</v>
      </c>
      <c r="W5" s="1784">
        <f>FISC!AK1061</f>
        <v>3786.9470845257852</v>
      </c>
      <c r="X5" s="1888">
        <f t="shared" si="8"/>
        <v>0.1497604741190994</v>
      </c>
      <c r="Y5" s="2829">
        <f t="shared" si="9"/>
        <v>0.15511718756363915</v>
      </c>
      <c r="Z5" s="1786">
        <f t="shared" ref="Z5:Z64" si="29">W5-S5</f>
        <v>41.707455102759013</v>
      </c>
      <c r="AA5" s="1879">
        <f>X5-T5</f>
        <v>-3.6483338470501003E-3</v>
      </c>
      <c r="AB5" s="1939">
        <v>4490.635747232277</v>
      </c>
      <c r="AC5" s="1941">
        <f t="shared" si="10"/>
        <v>0.16216409115548552</v>
      </c>
      <c r="AD5" s="1987">
        <f>FISCinyear!JO755</f>
        <v>2196.4482102375368</v>
      </c>
      <c r="AE5" s="1987">
        <f t="shared" ref="AE5:AE69" si="30">AF5-AD5</f>
        <v>2344.8436419229656</v>
      </c>
      <c r="AF5" s="1784">
        <f>FISC!AL1061</f>
        <v>4541.2918521605025</v>
      </c>
      <c r="AG5" s="1785">
        <f t="shared" si="11"/>
        <v>0.1574138962446068</v>
      </c>
      <c r="AH5" s="2829">
        <f t="shared" si="12"/>
        <v>0.16399336471039933</v>
      </c>
      <c r="AI5" s="1786">
        <f t="shared" ref="AI5:AI64" si="31">AF5-AB5</f>
        <v>50.656104928225432</v>
      </c>
      <c r="AJ5" s="1879">
        <f t="shared" ref="AJ5:AJ73" si="32">AG5-AC5</f>
        <v>-4.7501949108787189E-3</v>
      </c>
      <c r="AK5" s="1939">
        <v>5168.1718706807942</v>
      </c>
      <c r="AL5" s="1941">
        <f t="shared" si="13"/>
        <v>0.16593182186772482</v>
      </c>
      <c r="AM5" s="1987">
        <f>FISCinyear!JR755</f>
        <v>2528.3650088054469</v>
      </c>
      <c r="AN5" s="1987">
        <f t="shared" ref="AN5:AN69" si="33">AO5-AM5</f>
        <v>2708.2796286290909</v>
      </c>
      <c r="AO5" s="1784">
        <f>FISC!AM1061</f>
        <v>5236.6446374345378</v>
      </c>
      <c r="AP5" s="1785">
        <f t="shared" si="14"/>
        <v>0.16114273287298481</v>
      </c>
      <c r="AQ5" s="2829">
        <f t="shared" si="15"/>
        <v>0.1681302415836457</v>
      </c>
      <c r="AR5" s="1786">
        <f>AO5-AK5</f>
        <v>68.472766753743599</v>
      </c>
      <c r="AS5" s="1879">
        <f t="shared" ref="AS5:AS73" si="34">AP5-AL5</f>
        <v>-4.7890889947400095E-3</v>
      </c>
      <c r="AT5" s="1939">
        <v>5868.6238280045854</v>
      </c>
      <c r="AU5" s="1941">
        <f t="shared" si="16"/>
        <v>0.16808863168109708</v>
      </c>
      <c r="AV5" s="1987">
        <f>FISCinyear!JU755</f>
        <v>2889.7514492958562</v>
      </c>
      <c r="AW5" s="1987">
        <f t="shared" ref="AW5:AW69" si="35">AX5-AV5</f>
        <v>3095.4969740894066</v>
      </c>
      <c r="AX5" s="1784">
        <f>FISC!AN1061</f>
        <v>5985.2484233852629</v>
      </c>
      <c r="AY5" s="1785">
        <f t="shared" si="17"/>
        <v>0.16324228683677813</v>
      </c>
      <c r="AZ5" s="2829">
        <f t="shared" si="18"/>
        <v>0.17142898356467742</v>
      </c>
      <c r="BA5" s="1786">
        <f t="shared" si="19"/>
        <v>116.62459538067742</v>
      </c>
      <c r="BB5" s="1879">
        <f t="shared" ref="BB5:BB71" si="36">AY5-AU5</f>
        <v>-4.8463448443189505E-3</v>
      </c>
      <c r="BC5" s="1939">
        <v>6660.9717813986626</v>
      </c>
      <c r="BD5" s="1941">
        <f t="shared" si="20"/>
        <v>0.17011941648698731</v>
      </c>
      <c r="BE5" s="1987">
        <f>FISCinyear!JX755</f>
        <v>3302.4700215201187</v>
      </c>
      <c r="BF5" s="1987">
        <f t="shared" ref="BF5:BF69" si="37">BG5-BE5</f>
        <v>3537.9270018128686</v>
      </c>
      <c r="BG5" s="1784">
        <f>FISC!AO1061</f>
        <v>6840.3970233329874</v>
      </c>
      <c r="BH5" s="1785">
        <f t="shared" si="21"/>
        <v>0.16586343537400944</v>
      </c>
      <c r="BI5" s="2829">
        <f t="shared" si="22"/>
        <v>0.17470188860406549</v>
      </c>
      <c r="BJ5" s="1786">
        <f t="shared" si="23"/>
        <v>179.42524193432473</v>
      </c>
      <c r="BK5" s="1879">
        <f t="shared" si="24"/>
        <v>-4.2559811129778691E-3</v>
      </c>
      <c r="BL5" s="1784">
        <f>FISC!AP1061</f>
        <v>7709.322597918529</v>
      </c>
      <c r="BM5" s="1785">
        <f t="shared" si="25"/>
        <v>0.16769071120280113</v>
      </c>
      <c r="BO5" s="2827"/>
    </row>
    <row r="6" spans="1:71">
      <c r="A6" s="1787" t="s">
        <v>463</v>
      </c>
      <c r="B6" s="1777">
        <v>1215.0519384294253</v>
      </c>
      <c r="C6" s="1788">
        <f t="shared" si="0"/>
        <v>7.0362830296904419E-2</v>
      </c>
      <c r="D6" s="1789">
        <f>FISC!AI1062</f>
        <v>1178.5718488090074</v>
      </c>
      <c r="E6" s="1790">
        <f t="shared" si="1"/>
        <v>6.3543434360911574E-2</v>
      </c>
      <c r="F6" s="1791">
        <f>D6-B6</f>
        <v>-36.480089620417857</v>
      </c>
      <c r="G6" s="1880">
        <f t="shared" si="26"/>
        <v>-6.8193959359928447E-3</v>
      </c>
      <c r="H6" s="1939">
        <v>1397.3398588499435</v>
      </c>
      <c r="I6" s="1942">
        <f t="shared" si="2"/>
        <v>7.1136195048583803E-2</v>
      </c>
      <c r="J6" s="1973">
        <v>670.7231322479729</v>
      </c>
      <c r="K6" s="1973">
        <f>FISCinyear!JI756</f>
        <v>635.67032145469204</v>
      </c>
      <c r="L6" s="1964">
        <f t="shared" si="27"/>
        <v>-35.052810793280855</v>
      </c>
      <c r="M6" s="1973">
        <v>726.61672660197064</v>
      </c>
      <c r="N6" s="1973">
        <f t="shared" si="3"/>
        <v>721.74610172700011</v>
      </c>
      <c r="O6" s="1789">
        <f>FISC!AJ1062</f>
        <v>1357.4164231816922</v>
      </c>
      <c r="P6" s="1889">
        <f t="shared" si="4"/>
        <v>6.2690979017743551E-2</v>
      </c>
      <c r="Q6" s="1791">
        <f t="shared" si="5"/>
        <v>-39.923435668251386</v>
      </c>
      <c r="R6" s="1880">
        <f t="shared" si="6"/>
        <v>-8.4452160308402524E-3</v>
      </c>
      <c r="S6" s="1939">
        <v>1583.7722414529567</v>
      </c>
      <c r="T6" s="1942">
        <f t="shared" si="7"/>
        <v>6.4872914871031834E-2</v>
      </c>
      <c r="U6" s="1975">
        <f>FISCinyear!JL756</f>
        <v>745.81942769311001</v>
      </c>
      <c r="V6" s="1975">
        <f t="shared" si="28"/>
        <v>819.77060847144514</v>
      </c>
      <c r="W6" s="1789">
        <f>FISC!AK1062</f>
        <v>1565.5900361645552</v>
      </c>
      <c r="X6" s="1889">
        <f t="shared" si="8"/>
        <v>6.1913594475667751E-2</v>
      </c>
      <c r="Y6" s="2830">
        <f t="shared" si="9"/>
        <v>6.4128153329586976E-2</v>
      </c>
      <c r="Z6" s="1791">
        <f t="shared" si="29"/>
        <v>-18.182205288401519</v>
      </c>
      <c r="AA6" s="1880">
        <f t="shared" ref="AA6:AA75" si="38">X6-T6</f>
        <v>-2.9593203953640831E-3</v>
      </c>
      <c r="AB6" s="1939">
        <v>1931.9923966981914</v>
      </c>
      <c r="AC6" s="1942">
        <f t="shared" si="10"/>
        <v>6.976735784525992E-2</v>
      </c>
      <c r="AD6" s="1975">
        <f>FISCinyear!JO756</f>
        <v>881.05843127058938</v>
      </c>
      <c r="AE6" s="1975">
        <f t="shared" si="30"/>
        <v>993.53397568811147</v>
      </c>
      <c r="AF6" s="1789">
        <f>FISC!AL1062</f>
        <v>1874.5924069587008</v>
      </c>
      <c r="AG6" s="1790">
        <f t="shared" si="11"/>
        <v>6.4978623760888254E-2</v>
      </c>
      <c r="AH6" s="2830">
        <f t="shared" si="12"/>
        <v>6.7694551745549947E-2</v>
      </c>
      <c r="AI6" s="1791">
        <f t="shared" si="31"/>
        <v>-57.399989739490593</v>
      </c>
      <c r="AJ6" s="1880">
        <f t="shared" si="32"/>
        <v>-4.7887340843716653E-3</v>
      </c>
      <c r="AK6" s="1939">
        <v>2221.7371562732569</v>
      </c>
      <c r="AL6" s="1942">
        <f t="shared" si="13"/>
        <v>7.1332166049477189E-2</v>
      </c>
      <c r="AM6" s="1975">
        <f>FISCinyear!JR756</f>
        <v>1046.4487876921889</v>
      </c>
      <c r="AN6" s="1975">
        <f t="shared" si="33"/>
        <v>1133.6528533332048</v>
      </c>
      <c r="AO6" s="1789">
        <f>FISC!AM1062</f>
        <v>2180.1016410253937</v>
      </c>
      <c r="AP6" s="1790">
        <f t="shared" si="14"/>
        <v>6.7086380821865049E-2</v>
      </c>
      <c r="AQ6" s="2830">
        <f t="shared" si="15"/>
        <v>6.9995396090515027E-2</v>
      </c>
      <c r="AR6" s="1791">
        <f>AO6-AK6</f>
        <v>-41.635515247863168</v>
      </c>
      <c r="AS6" s="1880">
        <f t="shared" si="34"/>
        <v>-4.2457852276121394E-3</v>
      </c>
      <c r="AT6" s="1939">
        <v>2535.4767354319902</v>
      </c>
      <c r="AU6" s="1942">
        <f t="shared" si="16"/>
        <v>7.262091209259311E-2</v>
      </c>
      <c r="AV6" s="1975">
        <f>FISCinyear!JU756</f>
        <v>1199.7132773703588</v>
      </c>
      <c r="AW6" s="1975">
        <f t="shared" si="35"/>
        <v>1299.6893838178889</v>
      </c>
      <c r="AX6" s="1789">
        <f>FISC!AN1062</f>
        <v>2499.4026611882477</v>
      </c>
      <c r="AY6" s="1790">
        <f t="shared" si="17"/>
        <v>6.8168967647883966E-2</v>
      </c>
      <c r="AZ6" s="2830">
        <f t="shared" si="18"/>
        <v>7.1587681482401702E-2</v>
      </c>
      <c r="BA6" s="1791">
        <f t="shared" si="19"/>
        <v>-36.074074243742416</v>
      </c>
      <c r="BB6" s="1880">
        <f t="shared" si="36"/>
        <v>-4.4519444447091439E-3</v>
      </c>
      <c r="BC6" s="1939">
        <v>2855.2452592017812</v>
      </c>
      <c r="BD6" s="1942">
        <f t="shared" si="20"/>
        <v>7.292219114020182E-2</v>
      </c>
      <c r="BE6" s="1975">
        <f>FISCinyear!JX756</f>
        <v>1365.5370816508323</v>
      </c>
      <c r="BF6" s="1975">
        <f t="shared" si="37"/>
        <v>1479.3318384550682</v>
      </c>
      <c r="BG6" s="1789">
        <f>FISC!AO1062</f>
        <v>2844.8689201059005</v>
      </c>
      <c r="BH6" s="1790">
        <f t="shared" si="21"/>
        <v>6.8981336999588236E-2</v>
      </c>
      <c r="BI6" s="2830">
        <f t="shared" si="22"/>
        <v>7.2657182248077115E-2</v>
      </c>
      <c r="BJ6" s="1791">
        <f t="shared" si="23"/>
        <v>-10.376339095880667</v>
      </c>
      <c r="BK6" s="1880">
        <f t="shared" si="24"/>
        <v>-3.9408541406135839E-3</v>
      </c>
      <c r="BL6" s="1789">
        <f>FISC!AP1062</f>
        <v>3240.5909643534137</v>
      </c>
      <c r="BM6" s="1790">
        <f t="shared" si="25"/>
        <v>7.0488294740255711E-2</v>
      </c>
    </row>
    <row r="7" spans="1:71">
      <c r="A7" s="1787" t="s">
        <v>468</v>
      </c>
      <c r="B7" s="1792">
        <v>32.532917350397426</v>
      </c>
      <c r="C7" s="1788">
        <f t="shared" si="0"/>
        <v>1.8839590886527288E-3</v>
      </c>
      <c r="D7" s="1789">
        <f>FISC!AI1070</f>
        <v>30.501623556453502</v>
      </c>
      <c r="E7" s="1790">
        <f t="shared" si="1"/>
        <v>1.6445140076265536E-3</v>
      </c>
      <c r="F7" s="1791">
        <f>D7-B7</f>
        <v>-2.0312937939439237</v>
      </c>
      <c r="G7" s="1880">
        <f t="shared" si="26"/>
        <v>-2.3944508102617516E-4</v>
      </c>
      <c r="H7" s="1943">
        <v>38.319353890824445</v>
      </c>
      <c r="I7" s="1942">
        <f t="shared" si="2"/>
        <v>1.9507731173981509E-3</v>
      </c>
      <c r="J7" s="1973">
        <v>18.393289867595733</v>
      </c>
      <c r="K7" s="1973">
        <f>FISCinyear!JI764</f>
        <v>26.283544553222221</v>
      </c>
      <c r="L7" s="1973">
        <f t="shared" si="27"/>
        <v>7.8902546856264877</v>
      </c>
      <c r="M7" s="1973">
        <v>19.926064023228712</v>
      </c>
      <c r="N7" s="1973">
        <f t="shared" si="3"/>
        <v>19.697164558000004</v>
      </c>
      <c r="O7" s="1789">
        <f>FISC!AJ1070</f>
        <v>45.980709111222225</v>
      </c>
      <c r="P7" s="1889">
        <f t="shared" si="4"/>
        <v>2.1235750657532491E-3</v>
      </c>
      <c r="Q7" s="1791">
        <f t="shared" si="5"/>
        <v>7.6613552203977804</v>
      </c>
      <c r="R7" s="1880">
        <f t="shared" si="6"/>
        <v>1.7280194835509822E-4</v>
      </c>
      <c r="S7" s="1943">
        <v>59.299244693434211</v>
      </c>
      <c r="T7" s="1942">
        <f t="shared" si="7"/>
        <v>2.4289571140509916E-3</v>
      </c>
      <c r="U7" s="1975">
        <f>FISCinyear!JL764</f>
        <v>42.467142219999999</v>
      </c>
      <c r="V7" s="1975">
        <f t="shared" si="28"/>
        <v>19.686675161728253</v>
      </c>
      <c r="W7" s="1789">
        <f>FISC!AK1070</f>
        <v>62.153817381728253</v>
      </c>
      <c r="X7" s="1889">
        <f t="shared" si="8"/>
        <v>2.4579654670736305E-3</v>
      </c>
      <c r="Y7" s="2830">
        <f t="shared" si="9"/>
        <v>2.5458833021441631E-3</v>
      </c>
      <c r="Z7" s="1791">
        <f t="shared" si="29"/>
        <v>2.8545726882940414</v>
      </c>
      <c r="AA7" s="1880">
        <f t="shared" si="38"/>
        <v>2.9008353022638971E-5</v>
      </c>
      <c r="AB7" s="1943">
        <v>68.614231081120423</v>
      </c>
      <c r="AC7" s="1942">
        <f t="shared" si="10"/>
        <v>2.4777704204711195E-3</v>
      </c>
      <c r="AD7" s="1975">
        <f>FISCinyear!JO764</f>
        <v>46.676146199886752</v>
      </c>
      <c r="AE7" s="1975">
        <f t="shared" si="30"/>
        <v>29.842126258943985</v>
      </c>
      <c r="AF7" s="1789">
        <f>FISC!AL1070</f>
        <v>76.518272458830737</v>
      </c>
      <c r="AG7" s="1790">
        <f t="shared" si="11"/>
        <v>2.6523376593646044E-3</v>
      </c>
      <c r="AH7" s="2830">
        <f t="shared" si="12"/>
        <v>2.7631980878702689E-3</v>
      </c>
      <c r="AI7" s="1791">
        <f t="shared" si="31"/>
        <v>7.904041377710314</v>
      </c>
      <c r="AJ7" s="1880">
        <f t="shared" si="32"/>
        <v>1.7456723889348489E-4</v>
      </c>
      <c r="AK7" s="1943">
        <v>78.592941579027496</v>
      </c>
      <c r="AL7" s="1942">
        <f t="shared" si="13"/>
        <v>2.5233429360455493E-3</v>
      </c>
      <c r="AM7" s="1975">
        <f>FISCinyear!JR764</f>
        <v>36.627054049680453</v>
      </c>
      <c r="AN7" s="1975">
        <f t="shared" si="33"/>
        <v>39.679308553820491</v>
      </c>
      <c r="AO7" s="1789">
        <f>FISC!AM1070</f>
        <v>76.306362603500943</v>
      </c>
      <c r="AP7" s="1790">
        <f t="shared" si="14"/>
        <v>2.3481096497602054E-3</v>
      </c>
      <c r="AQ7" s="2830">
        <f t="shared" si="15"/>
        <v>2.4499289272340396E-3</v>
      </c>
      <c r="AR7" s="1791">
        <f>AO7-AK7</f>
        <v>-2.2865789755265524</v>
      </c>
      <c r="AS7" s="1880">
        <f t="shared" si="34"/>
        <v>-1.7523328628534385E-4</v>
      </c>
      <c r="AT7" s="1943">
        <v>88.974326015685492</v>
      </c>
      <c r="AU7" s="1942">
        <f t="shared" si="16"/>
        <v>2.5483951865099383E-3</v>
      </c>
      <c r="AV7" s="1975">
        <f>FISCinyear!JU764</f>
        <v>41.441894374573508</v>
      </c>
      <c r="AW7" s="1975">
        <f t="shared" si="35"/>
        <v>44.895385572454643</v>
      </c>
      <c r="AX7" s="1789">
        <f>FISC!AN1070</f>
        <v>86.337279947028151</v>
      </c>
      <c r="AY7" s="1790">
        <f t="shared" si="17"/>
        <v>2.3547719360742024E-3</v>
      </c>
      <c r="AZ7" s="2830">
        <f t="shared" si="18"/>
        <v>2.4728651340902479E-3</v>
      </c>
      <c r="BA7" s="1791">
        <f t="shared" si="19"/>
        <v>-2.6370460686573409</v>
      </c>
      <c r="BB7" s="1880">
        <f t="shared" si="36"/>
        <v>-1.9362325043573592E-4</v>
      </c>
      <c r="BC7" s="1943">
        <v>99.06640025847139</v>
      </c>
      <c r="BD7" s="1942">
        <f t="shared" si="20"/>
        <v>2.530129050013583E-3</v>
      </c>
      <c r="BE7" s="1975">
        <f>FISCinyear!JU764</f>
        <v>41.441894374573508</v>
      </c>
      <c r="BF7" s="1975">
        <f t="shared" si="37"/>
        <v>54.986340771090241</v>
      </c>
      <c r="BG7" s="1789">
        <f>FISC!AO1070</f>
        <v>96.428235145663749</v>
      </c>
      <c r="BH7" s="1790">
        <f t="shared" si="21"/>
        <v>2.3381564394225085E-3</v>
      </c>
      <c r="BI7" s="2830">
        <f t="shared" si="22"/>
        <v>2.4627510270589618E-3</v>
      </c>
      <c r="BJ7" s="1791">
        <f t="shared" si="23"/>
        <v>-2.6381651128076413</v>
      </c>
      <c r="BK7" s="1880">
        <f t="shared" si="24"/>
        <v>-1.9197261059107455E-4</v>
      </c>
      <c r="BL7" s="1789">
        <f>FISC!AP1070</f>
        <v>106.49322712839842</v>
      </c>
      <c r="BM7" s="1790">
        <f t="shared" si="25"/>
        <v>2.3164065024680767E-3</v>
      </c>
      <c r="BO7" s="2035"/>
    </row>
    <row r="8" spans="1:71">
      <c r="A8" s="1787" t="s">
        <v>475</v>
      </c>
      <c r="B8" s="1793">
        <v>1181.7777265860495</v>
      </c>
      <c r="C8" s="1788">
        <f t="shared" si="0"/>
        <v>6.8435943348989239E-2</v>
      </c>
      <c r="D8" s="1789">
        <f>FISC!AI1077</f>
        <v>1189.7617317343922</v>
      </c>
      <c r="E8" s="1790">
        <f t="shared" si="1"/>
        <v>6.4146743859517033E-2</v>
      </c>
      <c r="F8" s="1791">
        <f t="shared" ref="F8:F23" si="39">D8-B8</f>
        <v>7.9840051483427033</v>
      </c>
      <c r="G8" s="1880">
        <f t="shared" si="26"/>
        <v>-4.2891994894722063E-3</v>
      </c>
      <c r="H8" s="1944">
        <v>1373.0664928466858</v>
      </c>
      <c r="I8" s="1942">
        <f t="shared" si="2"/>
        <v>6.9900479279397534E-2</v>
      </c>
      <c r="J8" s="1973">
        <v>659.07191656640919</v>
      </c>
      <c r="K8" s="1973">
        <f>FISCinyear!JI771</f>
        <v>685.43199657127229</v>
      </c>
      <c r="L8" s="1973">
        <f t="shared" si="27"/>
        <v>26.360080004863107</v>
      </c>
      <c r="M8" s="1973">
        <v>713.99457628027665</v>
      </c>
      <c r="N8" s="1973">
        <f t="shared" si="3"/>
        <v>733.83351419542009</v>
      </c>
      <c r="O8" s="1789">
        <f>FISC!AJ1077</f>
        <v>1419.2655107666924</v>
      </c>
      <c r="P8" s="1889">
        <f t="shared" si="4"/>
        <v>6.5547419963823683E-2</v>
      </c>
      <c r="Q8" s="1791">
        <f t="shared" si="5"/>
        <v>46.199017920006554</v>
      </c>
      <c r="R8" s="1880">
        <f t="shared" si="6"/>
        <v>-4.3530593155738512E-3</v>
      </c>
      <c r="S8" s="1944">
        <v>1849.7273395682669</v>
      </c>
      <c r="T8" s="1942">
        <f t="shared" si="7"/>
        <v>7.5766705018359609E-2</v>
      </c>
      <c r="U8" s="1975">
        <f>FISCinyear!JL771</f>
        <v>930.63431408421513</v>
      </c>
      <c r="V8" s="1975">
        <f t="shared" si="28"/>
        <v>952.91844083774015</v>
      </c>
      <c r="W8" s="1789">
        <f>FISC!AK1077</f>
        <v>1883.5527549219553</v>
      </c>
      <c r="X8" s="1889">
        <f t="shared" si="8"/>
        <v>7.4487904718312459E-2</v>
      </c>
      <c r="Y8" s="2830">
        <f t="shared" si="9"/>
        <v>7.7152228285710236E-2</v>
      </c>
      <c r="Z8" s="1791">
        <f t="shared" si="29"/>
        <v>33.825415353688413</v>
      </c>
      <c r="AA8" s="1880">
        <f t="shared" si="38"/>
        <v>-1.2788003000471504E-3</v>
      </c>
      <c r="AB8" s="1944">
        <v>2183.0908788551592</v>
      </c>
      <c r="AC8" s="1942">
        <f t="shared" si="10"/>
        <v>7.8834928550499839E-2</v>
      </c>
      <c r="AD8" s="1975">
        <f>FISCinyear!JO771</f>
        <v>1111.3111172601966</v>
      </c>
      <c r="AE8" s="1975">
        <f t="shared" si="30"/>
        <v>1154.1279149693351</v>
      </c>
      <c r="AF8" s="1789">
        <f>FISC!AL1077</f>
        <v>2265.4390322295317</v>
      </c>
      <c r="AG8" s="1790">
        <f t="shared" si="11"/>
        <v>7.8526462596365684E-2</v>
      </c>
      <c r="AH8" s="2830">
        <f t="shared" si="12"/>
        <v>8.1808653030049999E-2</v>
      </c>
      <c r="AI8" s="1791">
        <f t="shared" si="31"/>
        <v>82.348153374372487</v>
      </c>
      <c r="AJ8" s="1880">
        <f t="shared" si="32"/>
        <v>-3.0846595413415445E-4</v>
      </c>
      <c r="AK8" s="1944">
        <v>2514.6878320863761</v>
      </c>
      <c r="AL8" s="1942">
        <f t="shared" si="13"/>
        <v>8.0737781917404744E-2</v>
      </c>
      <c r="AM8" s="1975">
        <f>FISCinyear!JR771</f>
        <v>1253.206590184283</v>
      </c>
      <c r="AN8" s="1975">
        <f t="shared" si="33"/>
        <v>1357.6404726996398</v>
      </c>
      <c r="AO8" s="1789">
        <f>FISC!AM1077</f>
        <v>2610.8470628839227</v>
      </c>
      <c r="AP8" s="1790">
        <f t="shared" si="14"/>
        <v>8.0341336858907722E-2</v>
      </c>
      <c r="AQ8" s="2830">
        <f t="shared" si="15"/>
        <v>8.3825116618124376E-2</v>
      </c>
      <c r="AR8" s="1791">
        <f t="shared" ref="AR8:AR23" si="40">AO8-AK8</f>
        <v>96.15923079754657</v>
      </c>
      <c r="AS8" s="1880">
        <f t="shared" si="34"/>
        <v>-3.9644505849702194E-4</v>
      </c>
      <c r="AT8" s="1944">
        <v>2840.001948740357</v>
      </c>
      <c r="AU8" s="1942">
        <f t="shared" si="16"/>
        <v>8.1343097722064939E-2</v>
      </c>
      <c r="AV8" s="1975">
        <f>FISCinyear!JU771</f>
        <v>1429.777598628827</v>
      </c>
      <c r="AW8" s="1975">
        <f t="shared" si="35"/>
        <v>1548.9257318478963</v>
      </c>
      <c r="AX8" s="1789">
        <f>FISC!AN1077</f>
        <v>2978.7033304767233</v>
      </c>
      <c r="AY8" s="1790">
        <f t="shared" si="17"/>
        <v>8.1241463858959403E-2</v>
      </c>
      <c r="AZ8" s="2830">
        <f t="shared" si="18"/>
        <v>8.5315771069620502E-2</v>
      </c>
      <c r="BA8" s="1791">
        <f t="shared" si="19"/>
        <v>138.70138173636633</v>
      </c>
      <c r="BB8" s="1880">
        <f t="shared" si="36"/>
        <v>-1.0163386310553524E-4</v>
      </c>
      <c r="BC8" s="1944">
        <v>3248.01049041125</v>
      </c>
      <c r="BD8" s="1942">
        <f t="shared" si="20"/>
        <v>8.295330884232506E-2</v>
      </c>
      <c r="BE8" s="1975">
        <f>FISCinyear!JX771</f>
        <v>1642.6145328356624</v>
      </c>
      <c r="BF8" s="1975">
        <f t="shared" si="37"/>
        <v>1779.4990772386345</v>
      </c>
      <c r="BG8" s="1789">
        <f>FISC!AO1077</f>
        <v>3422.113610074297</v>
      </c>
      <c r="BH8" s="1790">
        <f t="shared" si="21"/>
        <v>8.2978154290013872E-2</v>
      </c>
      <c r="BI8" s="2830">
        <f t="shared" si="22"/>
        <v>8.7399855397041495E-2</v>
      </c>
      <c r="BJ8" s="1791">
        <f t="shared" si="23"/>
        <v>174.10311966304698</v>
      </c>
      <c r="BK8" s="1880">
        <f t="shared" si="24"/>
        <v>2.4845447688812139E-5</v>
      </c>
      <c r="BL8" s="1789">
        <f>FISC!AP1077</f>
        <v>3823.90841050789</v>
      </c>
      <c r="BM8" s="1790">
        <f t="shared" si="25"/>
        <v>8.3176428640509892E-2</v>
      </c>
    </row>
    <row r="9" spans="1:71">
      <c r="A9" s="1787" t="s">
        <v>487</v>
      </c>
      <c r="B9" s="1793">
        <v>186.89445015350239</v>
      </c>
      <c r="C9" s="1788">
        <f t="shared" si="0"/>
        <v>1.0822930332165366E-2</v>
      </c>
      <c r="D9" s="1789">
        <f>FISC!AI1099</f>
        <v>194.48632030547415</v>
      </c>
      <c r="E9" s="1790">
        <f t="shared" si="1"/>
        <v>1.0485850939774857E-2</v>
      </c>
      <c r="F9" s="1791">
        <f t="shared" si="39"/>
        <v>7.5918701519717615</v>
      </c>
      <c r="G9" s="1880">
        <f t="shared" si="26"/>
        <v>-3.3707939239050952E-4</v>
      </c>
      <c r="H9" s="1944">
        <v>209.19426081784277</v>
      </c>
      <c r="I9" s="1942">
        <f t="shared" si="2"/>
        <v>1.0649723935328204E-2</v>
      </c>
      <c r="J9" s="1973">
        <v>100.41324519256453</v>
      </c>
      <c r="K9" s="1973">
        <f>FISCinyear!JI793</f>
        <v>125.18865173032</v>
      </c>
      <c r="L9" s="1973">
        <f t="shared" si="27"/>
        <v>24.775406537755472</v>
      </c>
      <c r="M9" s="1973">
        <v>108.78101562527824</v>
      </c>
      <c r="N9" s="1973">
        <f>O9-K9</f>
        <v>117.21526124345999</v>
      </c>
      <c r="O9" s="1789">
        <f>FISC!AJ1099</f>
        <v>242.40391297378</v>
      </c>
      <c r="P9" s="1889">
        <f t="shared" si="4"/>
        <v>1.1195192840262325E-2</v>
      </c>
      <c r="Q9" s="1791">
        <f t="shared" si="5"/>
        <v>33.209652155937221</v>
      </c>
      <c r="R9" s="1880">
        <f t="shared" si="6"/>
        <v>5.4546890493412103E-4</v>
      </c>
      <c r="S9" s="1944">
        <v>252.44080370836795</v>
      </c>
      <c r="T9" s="1942">
        <f t="shared" si="7"/>
        <v>1.0340230962707052E-2</v>
      </c>
      <c r="U9" s="1975">
        <f>FISCinyear!JL793</f>
        <v>134.21734833837002</v>
      </c>
      <c r="V9" s="1975">
        <f t="shared" si="28"/>
        <v>141.4331277191767</v>
      </c>
      <c r="W9" s="1789">
        <f>FISC!AK1099</f>
        <v>275.65047605754671</v>
      </c>
      <c r="X9" s="1889">
        <f t="shared" si="8"/>
        <v>1.0901009458045563E-2</v>
      </c>
      <c r="Y9" s="2830">
        <f t="shared" si="9"/>
        <v>1.1290922646197793E-2</v>
      </c>
      <c r="Z9" s="1791">
        <f t="shared" si="29"/>
        <v>23.20967234917876</v>
      </c>
      <c r="AA9" s="1880">
        <f t="shared" si="38"/>
        <v>5.6077849533851115E-4</v>
      </c>
      <c r="AB9" s="1944">
        <v>306.93824059780576</v>
      </c>
      <c r="AC9" s="1942">
        <f t="shared" si="10"/>
        <v>1.1084034339254626E-2</v>
      </c>
      <c r="AD9" s="1975">
        <f>FISCinyear!JO793</f>
        <v>157.40251550686389</v>
      </c>
      <c r="AE9" s="1975">
        <f t="shared" si="30"/>
        <v>167.33962500657509</v>
      </c>
      <c r="AF9" s="1789">
        <f>FISC!AL1099</f>
        <v>324.74214051343898</v>
      </c>
      <c r="AG9" s="1790">
        <f t="shared" si="11"/>
        <v>1.1256472227988248E-2</v>
      </c>
      <c r="AH9" s="2830">
        <f t="shared" si="12"/>
        <v>1.1726961846929087E-2</v>
      </c>
      <c r="AI9" s="1791">
        <f t="shared" si="31"/>
        <v>17.803899915633224</v>
      </c>
      <c r="AJ9" s="1880">
        <f t="shared" si="32"/>
        <v>1.724378887336224E-4</v>
      </c>
      <c r="AK9" s="1944">
        <v>353.15394074213447</v>
      </c>
      <c r="AL9" s="1942">
        <f t="shared" si="13"/>
        <v>1.1338530964797363E-2</v>
      </c>
      <c r="AM9" s="1975">
        <f>FISCinyear!JR793</f>
        <v>192.08257687929446</v>
      </c>
      <c r="AN9" s="1975">
        <f t="shared" si="33"/>
        <v>177.30699404242566</v>
      </c>
      <c r="AO9" s="1789">
        <f>FISC!AM1099</f>
        <v>369.38957092172012</v>
      </c>
      <c r="AP9" s="1790">
        <f t="shared" si="14"/>
        <v>1.1366905542451814E-2</v>
      </c>
      <c r="AQ9" s="2830">
        <f t="shared" si="15"/>
        <v>1.1859799947772264E-2</v>
      </c>
      <c r="AR9" s="1791">
        <f t="shared" si="40"/>
        <v>16.235630179585655</v>
      </c>
      <c r="AS9" s="1880">
        <f t="shared" si="34"/>
        <v>2.8374577654451463E-5</v>
      </c>
      <c r="AT9" s="1944">
        <v>404.17081781655253</v>
      </c>
      <c r="AU9" s="1942">
        <f t="shared" si="16"/>
        <v>1.1576226679929092E-2</v>
      </c>
      <c r="AV9" s="1975">
        <f>FISCinyear!JU793</f>
        <v>218.81867892209698</v>
      </c>
      <c r="AW9" s="1975">
        <f t="shared" si="35"/>
        <v>201.98647285116641</v>
      </c>
      <c r="AX9" s="1789">
        <f>FISC!AN1099</f>
        <v>420.80515177326339</v>
      </c>
      <c r="AY9" s="1790">
        <f t="shared" si="17"/>
        <v>1.1477083393860547E-2</v>
      </c>
      <c r="AZ9" s="2830">
        <f t="shared" si="18"/>
        <v>1.2052665878564973E-2</v>
      </c>
      <c r="BA9" s="1791">
        <f t="shared" si="19"/>
        <v>16.634333956710861</v>
      </c>
      <c r="BB9" s="1880">
        <f t="shared" si="36"/>
        <v>-9.9143286068545042E-5</v>
      </c>
      <c r="BC9" s="1944">
        <v>458.64963152715961</v>
      </c>
      <c r="BD9" s="1942">
        <f t="shared" si="20"/>
        <v>1.171378745444685E-2</v>
      </c>
      <c r="BE9" s="1975">
        <f>FISCinyear!JX793</f>
        <v>248.03285416370528</v>
      </c>
      <c r="BF9" s="1975">
        <f t="shared" si="37"/>
        <v>228.95340384342023</v>
      </c>
      <c r="BG9" s="1789">
        <f>FISC!AO1099</f>
        <v>476.98625800712551</v>
      </c>
      <c r="BH9" s="1790">
        <f t="shared" si="21"/>
        <v>1.1565787644984797E-2</v>
      </c>
      <c r="BI9" s="2830">
        <f t="shared" si="22"/>
        <v>1.2182099931887885E-2</v>
      </c>
      <c r="BJ9" s="1791">
        <f t="shared" si="23"/>
        <v>18.336626479965901</v>
      </c>
      <c r="BK9" s="1880">
        <f t="shared" si="24"/>
        <v>-1.479998094620523E-4</v>
      </c>
      <c r="BL9" s="1789">
        <f>FISC!AP1099</f>
        <v>538.32999592882686</v>
      </c>
      <c r="BM9" s="1790">
        <f t="shared" si="25"/>
        <v>1.1709581319567451E-2</v>
      </c>
      <c r="BO9" s="2827"/>
    </row>
    <row r="10" spans="1:71">
      <c r="A10" s="1803" t="s">
        <v>504</v>
      </c>
      <c r="B10" s="1804">
        <v>766.04295137792633</v>
      </c>
      <c r="C10" s="1805">
        <f t="shared" si="0"/>
        <v>4.4361025634523196E-2</v>
      </c>
      <c r="D10" s="1806">
        <f>FISC!AI1119</f>
        <v>757.7914095316321</v>
      </c>
      <c r="E10" s="1807">
        <f t="shared" si="1"/>
        <v>4.085679523017291E-2</v>
      </c>
      <c r="F10" s="1808">
        <f t="shared" si="39"/>
        <v>-8.2515418462942307</v>
      </c>
      <c r="G10" s="1882">
        <f t="shared" si="26"/>
        <v>-3.5042304043502864E-3</v>
      </c>
      <c r="H10" s="1945">
        <v>621.21836669312574</v>
      </c>
      <c r="I10" s="1946">
        <f t="shared" si="2"/>
        <v>3.1625170226816247E-2</v>
      </c>
      <c r="J10" s="1974">
        <v>317.0952576865717</v>
      </c>
      <c r="K10" s="1974">
        <f>FISCinyear!JI813</f>
        <v>362.96966204594213</v>
      </c>
      <c r="L10" s="1965">
        <f t="shared" si="27"/>
        <v>45.87440435937043</v>
      </c>
      <c r="M10" s="1965">
        <v>304.12310900655405</v>
      </c>
      <c r="N10" s="1965">
        <f t="shared" ref="N10:N74" si="41">O10-K10</f>
        <v>251.62280966313648</v>
      </c>
      <c r="O10" s="1806">
        <f>FISC!AJ1119</f>
        <v>614.59247170907861</v>
      </c>
      <c r="P10" s="1891">
        <f t="shared" si="4"/>
        <v>2.8384365394715557E-2</v>
      </c>
      <c r="Q10" s="1808">
        <f t="shared" si="5"/>
        <v>-6.6258949840471359</v>
      </c>
      <c r="R10" s="1882">
        <f t="shared" si="6"/>
        <v>-3.2408048321006903E-3</v>
      </c>
      <c r="S10" s="1945">
        <v>649.60772424180232</v>
      </c>
      <c r="T10" s="1946">
        <f t="shared" si="7"/>
        <v>2.660859023242006E-2</v>
      </c>
      <c r="U10" s="1974">
        <f>FISCinyear!JL813</f>
        <v>320.09319599473065</v>
      </c>
      <c r="V10" s="1974">
        <f t="shared" si="28"/>
        <v>348.18303430093169</v>
      </c>
      <c r="W10" s="1806">
        <f>FISC!AK1119</f>
        <v>668.27623029566234</v>
      </c>
      <c r="X10" s="1891">
        <f t="shared" si="8"/>
        <v>2.6427980866317119E-2</v>
      </c>
      <c r="Y10" s="2831">
        <f t="shared" si="9"/>
        <v>2.7373271145687206E-2</v>
      </c>
      <c r="Z10" s="1808">
        <f t="shared" si="29"/>
        <v>18.668506053860028</v>
      </c>
      <c r="AA10" s="1882">
        <f>X10-T10</f>
        <v>-1.8060936610294134E-4</v>
      </c>
      <c r="AB10" s="1945">
        <v>615.74269786461502</v>
      </c>
      <c r="AC10" s="1946">
        <f t="shared" si="10"/>
        <v>2.2235460768864096E-2</v>
      </c>
      <c r="AD10" s="1974">
        <f>FISCinyear!JO813</f>
        <v>270.29182599186208</v>
      </c>
      <c r="AE10" s="1974">
        <f t="shared" si="30"/>
        <v>273.68931845850818</v>
      </c>
      <c r="AF10" s="1806">
        <f>FISC!AL1119</f>
        <v>543.98114445037027</v>
      </c>
      <c r="AG10" s="1807">
        <f t="shared" si="11"/>
        <v>1.8855910216559812E-2</v>
      </c>
      <c r="AH10" s="2831">
        <f t="shared" si="12"/>
        <v>1.964403546867154E-2</v>
      </c>
      <c r="AI10" s="1808">
        <f t="shared" si="31"/>
        <v>-71.761553414244759</v>
      </c>
      <c r="AJ10" s="1882">
        <f t="shared" si="32"/>
        <v>-3.3795505523042842E-3</v>
      </c>
      <c r="AK10" s="1945">
        <v>708.54277736067968</v>
      </c>
      <c r="AL10" s="1946">
        <f t="shared" si="13"/>
        <v>2.274881657586748E-2</v>
      </c>
      <c r="AM10" s="1974">
        <f>FISCinyear!JR813</f>
        <v>293.8220360524756</v>
      </c>
      <c r="AN10" s="1974">
        <f t="shared" si="33"/>
        <v>311.36033882113816</v>
      </c>
      <c r="AO10" s="1806">
        <f>FISC!AM1119</f>
        <v>605.18237487361375</v>
      </c>
      <c r="AP10" s="1807">
        <f t="shared" si="14"/>
        <v>1.8622753409036606E-2</v>
      </c>
      <c r="AQ10" s="2831">
        <f t="shared" si="15"/>
        <v>1.9430277579330409E-2</v>
      </c>
      <c r="AR10" s="1808">
        <f t="shared" si="40"/>
        <v>-103.36040248706593</v>
      </c>
      <c r="AS10" s="1882">
        <f t="shared" si="34"/>
        <v>-4.1260631668308748E-3</v>
      </c>
      <c r="AT10" s="1945">
        <v>764.54691240094007</v>
      </c>
      <c r="AU10" s="1946">
        <f t="shared" si="16"/>
        <v>2.1898088568606956E-2</v>
      </c>
      <c r="AV10" s="1974">
        <f>FISCinyear!JU813</f>
        <v>307.74231383428355</v>
      </c>
      <c r="AW10" s="1974">
        <f t="shared" si="35"/>
        <v>309.41224176606761</v>
      </c>
      <c r="AX10" s="1806">
        <f>FISC!AN1119</f>
        <v>617.15455560035116</v>
      </c>
      <c r="AY10" s="1807">
        <f t="shared" si="17"/>
        <v>1.6832337417158529E-2</v>
      </c>
      <c r="AZ10" s="2831">
        <f t="shared" si="18"/>
        <v>1.7676489041876534E-2</v>
      </c>
      <c r="BA10" s="1808">
        <f t="shared" si="19"/>
        <v>-147.39235680058891</v>
      </c>
      <c r="BB10" s="1882">
        <f t="shared" si="36"/>
        <v>-5.065751151448427E-3</v>
      </c>
      <c r="BC10" s="1945">
        <v>822.8348610210777</v>
      </c>
      <c r="BD10" s="1946">
        <f t="shared" si="20"/>
        <v>2.1014979648009285E-2</v>
      </c>
      <c r="BE10" s="1974">
        <f>FISCinyear!JX813</f>
        <v>304.35724050592478</v>
      </c>
      <c r="BF10" s="1974">
        <f t="shared" si="37"/>
        <v>321.72082607830737</v>
      </c>
      <c r="BG10" s="1806">
        <f>FISC!AO1119</f>
        <v>626.07806658423215</v>
      </c>
      <c r="BH10" s="1807">
        <f t="shared" si="21"/>
        <v>1.5180911076032949E-2</v>
      </c>
      <c r="BI10" s="2831">
        <f t="shared" si="22"/>
        <v>1.5989864370848053E-2</v>
      </c>
      <c r="BJ10" s="1808">
        <f t="shared" si="23"/>
        <v>-196.75679443684555</v>
      </c>
      <c r="BK10" s="1882">
        <f t="shared" si="24"/>
        <v>-5.8340685719763356E-3</v>
      </c>
      <c r="BL10" s="1806">
        <f>FISC!AP1119</f>
        <v>714.43935792884895</v>
      </c>
      <c r="BM10" s="1807">
        <f t="shared" si="25"/>
        <v>1.5540255647715127E-2</v>
      </c>
    </row>
    <row r="11" spans="1:71">
      <c r="A11" s="1787" t="s">
        <v>505</v>
      </c>
      <c r="B11" s="1795">
        <v>23.58017573743324</v>
      </c>
      <c r="C11" s="1788">
        <f t="shared" si="0"/>
        <v>1.3655119187158671E-3</v>
      </c>
      <c r="D11" s="1796">
        <v>23.58017573743324</v>
      </c>
      <c r="E11" s="1790">
        <f t="shared" si="1"/>
        <v>1.2713398429671514E-3</v>
      </c>
      <c r="F11" s="1791">
        <f t="shared" si="39"/>
        <v>0</v>
      </c>
      <c r="G11" s="1880">
        <f t="shared" si="26"/>
        <v>-9.4172075748715682E-5</v>
      </c>
      <c r="H11" s="1947">
        <v>317.26694238582718</v>
      </c>
      <c r="I11" s="1942">
        <f t="shared" si="2"/>
        <v>1.6151520299865461E-2</v>
      </c>
      <c r="J11" s="1975">
        <v>157.60233104202129</v>
      </c>
      <c r="K11" s="1975">
        <f>FISCinyear!JI814</f>
        <v>189.39986122976237</v>
      </c>
      <c r="L11" s="1964">
        <f t="shared" si="27"/>
        <v>31.797530187741074</v>
      </c>
      <c r="M11" s="1964">
        <v>159.66461134380589</v>
      </c>
      <c r="N11" s="1964">
        <f t="shared" si="41"/>
        <v>135.73675965879667</v>
      </c>
      <c r="O11" s="1796">
        <f>FISC!AJ1120</f>
        <v>325.13662088855904</v>
      </c>
      <c r="P11" s="1889">
        <f t="shared" si="4"/>
        <v>1.5016123814273596E-2</v>
      </c>
      <c r="Q11" s="1791">
        <f t="shared" si="5"/>
        <v>7.8696785027318583</v>
      </c>
      <c r="R11" s="1880">
        <f t="shared" si="6"/>
        <v>-1.1353964855918657E-3</v>
      </c>
      <c r="S11" s="1947">
        <v>280.81452107410792</v>
      </c>
      <c r="T11" s="1942">
        <f t="shared" si="7"/>
        <v>1.1502447159622915E-2</v>
      </c>
      <c r="U11" s="1975">
        <f>FISCinyear!JL814</f>
        <v>139.21306421580169</v>
      </c>
      <c r="V11" s="1975">
        <f t="shared" si="28"/>
        <v>141.13675161612485</v>
      </c>
      <c r="W11" s="1796">
        <f>FISC!AK1120</f>
        <v>280.34981583192655</v>
      </c>
      <c r="X11" s="1889">
        <f t="shared" si="8"/>
        <v>1.1086851862745018E-2</v>
      </c>
      <c r="Y11" s="2830">
        <f t="shared" si="9"/>
        <v>1.1483412362303512E-2</v>
      </c>
      <c r="Z11" s="1791">
        <f t="shared" si="29"/>
        <v>-0.46470524218136688</v>
      </c>
      <c r="AA11" s="1880">
        <f t="shared" si="38"/>
        <v>-4.1559529687789677E-4</v>
      </c>
      <c r="AB11" s="1947">
        <v>297.83090865884435</v>
      </c>
      <c r="AC11" s="1942">
        <f t="shared" si="10"/>
        <v>1.0755153911212059E-2</v>
      </c>
      <c r="AD11" s="1975">
        <f>FISCinyear!JO814</f>
        <v>146.28051136800309</v>
      </c>
      <c r="AE11" s="1975">
        <f t="shared" si="30"/>
        <v>146.28051136800309</v>
      </c>
      <c r="AF11" s="1796">
        <f>FISC!AL1120</f>
        <v>292.56102273600618</v>
      </c>
      <c r="AG11" s="1790">
        <f t="shared" si="11"/>
        <v>1.0140984543037485E-2</v>
      </c>
      <c r="AH11" s="2830">
        <f t="shared" si="12"/>
        <v>1.0564849840859248E-2</v>
      </c>
      <c r="AI11" s="1791">
        <f t="shared" si="31"/>
        <v>-5.2698859228381707</v>
      </c>
      <c r="AJ11" s="1880">
        <f t="shared" si="32"/>
        <v>-6.1416936817457364E-4</v>
      </c>
      <c r="AK11" s="1947">
        <v>315.65569238060311</v>
      </c>
      <c r="AL11" s="1942">
        <f t="shared" si="13"/>
        <v>1.0134594094435951E-2</v>
      </c>
      <c r="AM11" s="1975">
        <f>FISCinyear!JR814</f>
        <v>153.27215101048608</v>
      </c>
      <c r="AN11" s="1975">
        <f t="shared" si="33"/>
        <v>153.27215101048608</v>
      </c>
      <c r="AO11" s="1796">
        <f>FISC!AM1120</f>
        <v>306.54430202097217</v>
      </c>
      <c r="AP11" s="1790">
        <f t="shared" si="14"/>
        <v>9.433022478015838E-3</v>
      </c>
      <c r="AQ11" s="2830">
        <f t="shared" si="15"/>
        <v>9.8420593955226912E-3</v>
      </c>
      <c r="AR11" s="1791">
        <f t="shared" si="40"/>
        <v>-9.1113903596309456</v>
      </c>
      <c r="AS11" s="1880">
        <f t="shared" si="34"/>
        <v>-7.0157161642011266E-4</v>
      </c>
      <c r="AT11" s="1947">
        <v>332.13982651598377</v>
      </c>
      <c r="AU11" s="1942">
        <f t="shared" si="16"/>
        <v>9.5131210658719791E-3</v>
      </c>
      <c r="AV11" s="1975">
        <f>FISCinyear!JU814</f>
        <v>160.53365850987643</v>
      </c>
      <c r="AW11" s="1975">
        <f t="shared" si="35"/>
        <v>160.53365850987643</v>
      </c>
      <c r="AX11" s="1796">
        <f>FISC!AN1120</f>
        <v>321.06731701975286</v>
      </c>
      <c r="AY11" s="1790">
        <f t="shared" si="17"/>
        <v>8.7568233348632053E-3</v>
      </c>
      <c r="AZ11" s="2830">
        <f t="shared" si="18"/>
        <v>9.1959831771533176E-3</v>
      </c>
      <c r="BA11" s="1791">
        <f t="shared" si="19"/>
        <v>-11.072509496230907</v>
      </c>
      <c r="BB11" s="1880">
        <f t="shared" si="36"/>
        <v>-7.5629773100877387E-4</v>
      </c>
      <c r="BC11" s="1947">
        <v>345.74341235595534</v>
      </c>
      <c r="BD11" s="1942">
        <f t="shared" si="20"/>
        <v>8.8301931751862944E-3</v>
      </c>
      <c r="BE11" s="1975">
        <f>FISCinyear!JX814</f>
        <v>166.91977322674356</v>
      </c>
      <c r="BF11" s="1975">
        <f t="shared" si="37"/>
        <v>166.91977322674356</v>
      </c>
      <c r="BG11" s="1796">
        <f>FISC!AO1120</f>
        <v>333.83954645348712</v>
      </c>
      <c r="BH11" s="1790">
        <f t="shared" si="21"/>
        <v>8.0948187436489828E-3</v>
      </c>
      <c r="BI11" s="2830">
        <f t="shared" si="22"/>
        <v>8.5261716618505907E-3</v>
      </c>
      <c r="BJ11" s="1791">
        <f t="shared" si="23"/>
        <v>-11.903865902468226</v>
      </c>
      <c r="BK11" s="1880">
        <f t="shared" si="24"/>
        <v>-7.3537443153731154E-4</v>
      </c>
      <c r="BL11" s="1796">
        <f>FISC!AP1120</f>
        <v>356.94859055134964</v>
      </c>
      <c r="BM11" s="1790">
        <f t="shared" si="25"/>
        <v>7.7642311956895287E-3</v>
      </c>
      <c r="BO11" s="2827"/>
    </row>
    <row r="12" spans="1:71">
      <c r="A12" s="1809" t="s">
        <v>506</v>
      </c>
      <c r="B12" s="1795">
        <v>23.58017573743324</v>
      </c>
      <c r="C12" s="1788">
        <f t="shared" si="0"/>
        <v>1.3655119187158671E-3</v>
      </c>
      <c r="D12" s="1796">
        <v>23.58017573743324</v>
      </c>
      <c r="E12" s="1790">
        <f t="shared" si="1"/>
        <v>1.2713398429671514E-3</v>
      </c>
      <c r="F12" s="1791">
        <f t="shared" si="39"/>
        <v>0</v>
      </c>
      <c r="G12" s="1880">
        <f t="shared" si="26"/>
        <v>-9.4172075748715682E-5</v>
      </c>
      <c r="H12" s="1947">
        <v>34.371338363075999</v>
      </c>
      <c r="I12" s="1942">
        <f t="shared" si="2"/>
        <v>1.7497863632752869E-3</v>
      </c>
      <c r="J12" s="1975">
        <v>6.8742676726152006</v>
      </c>
      <c r="K12" s="1975">
        <f>FISCinyear!JI815</f>
        <v>36.051834947437044</v>
      </c>
      <c r="L12" s="1964">
        <f t="shared" si="27"/>
        <v>29.177567274821843</v>
      </c>
      <c r="M12" s="1964">
        <v>27.497070690460799</v>
      </c>
      <c r="N12" s="1964">
        <f t="shared" si="41"/>
        <v>0</v>
      </c>
      <c r="O12" s="1796">
        <f>FISC!AJ1121</f>
        <v>36.051834947437044</v>
      </c>
      <c r="P12" s="1889">
        <f t="shared" si="4"/>
        <v>1.6650195103307722E-3</v>
      </c>
      <c r="Q12" s="1791">
        <f t="shared" si="5"/>
        <v>1.6804965843610447</v>
      </c>
      <c r="R12" s="1880">
        <f t="shared" si="6"/>
        <v>-8.4766852944514722E-5</v>
      </c>
      <c r="S12" s="1947">
        <v>0</v>
      </c>
      <c r="T12" s="1942">
        <f t="shared" si="7"/>
        <v>0</v>
      </c>
      <c r="U12" s="1975">
        <f>FISCinyear!JL815</f>
        <v>0</v>
      </c>
      <c r="V12" s="1975">
        <f t="shared" si="28"/>
        <v>0</v>
      </c>
      <c r="W12" s="1796">
        <f>FISC!AK1121</f>
        <v>0</v>
      </c>
      <c r="X12" s="1889">
        <f t="shared" si="8"/>
        <v>0</v>
      </c>
      <c r="Y12" s="2830">
        <f t="shared" si="9"/>
        <v>0</v>
      </c>
      <c r="Z12" s="1791">
        <f t="shared" si="29"/>
        <v>0</v>
      </c>
      <c r="AA12" s="1880">
        <f t="shared" si="38"/>
        <v>0</v>
      </c>
      <c r="AB12" s="1947">
        <v>0</v>
      </c>
      <c r="AC12" s="1942">
        <f t="shared" si="10"/>
        <v>0</v>
      </c>
      <c r="AD12" s="1975">
        <f>FISCinyear!JO815</f>
        <v>0</v>
      </c>
      <c r="AE12" s="1975">
        <f t="shared" si="30"/>
        <v>0</v>
      </c>
      <c r="AF12" s="1796">
        <f>FISC!AL1121</f>
        <v>0</v>
      </c>
      <c r="AG12" s="1790">
        <f t="shared" si="11"/>
        <v>0</v>
      </c>
      <c r="AH12" s="2830">
        <f t="shared" si="12"/>
        <v>0</v>
      </c>
      <c r="AI12" s="1791">
        <f t="shared" si="31"/>
        <v>0</v>
      </c>
      <c r="AJ12" s="1880">
        <f t="shared" si="32"/>
        <v>0</v>
      </c>
      <c r="AK12" s="1947">
        <v>0</v>
      </c>
      <c r="AL12" s="1942">
        <f t="shared" si="13"/>
        <v>0</v>
      </c>
      <c r="AM12" s="1975">
        <f>FISCinyear!JR815</f>
        <v>0</v>
      </c>
      <c r="AN12" s="1975">
        <f t="shared" si="33"/>
        <v>0</v>
      </c>
      <c r="AO12" s="1796">
        <f>FISC!AM1121</f>
        <v>0</v>
      </c>
      <c r="AP12" s="1790">
        <f t="shared" si="14"/>
        <v>0</v>
      </c>
      <c r="AQ12" s="2830">
        <f t="shared" si="15"/>
        <v>0</v>
      </c>
      <c r="AR12" s="1791">
        <f t="shared" si="40"/>
        <v>0</v>
      </c>
      <c r="AS12" s="1880">
        <f t="shared" si="34"/>
        <v>0</v>
      </c>
      <c r="AT12" s="1947">
        <v>0</v>
      </c>
      <c r="AU12" s="1942">
        <f t="shared" si="16"/>
        <v>0</v>
      </c>
      <c r="AV12" s="1975">
        <f>FISCinyear!JU815</f>
        <v>0</v>
      </c>
      <c r="AW12" s="1975">
        <f t="shared" si="35"/>
        <v>0</v>
      </c>
      <c r="AX12" s="1796">
        <f>FISC!AN1121</f>
        <v>0</v>
      </c>
      <c r="AY12" s="1790">
        <f t="shared" si="17"/>
        <v>0</v>
      </c>
      <c r="AZ12" s="2830">
        <f t="shared" si="18"/>
        <v>0</v>
      </c>
      <c r="BA12" s="1791">
        <f t="shared" si="19"/>
        <v>0</v>
      </c>
      <c r="BB12" s="1880">
        <f t="shared" si="36"/>
        <v>0</v>
      </c>
      <c r="BC12" s="1947">
        <v>0</v>
      </c>
      <c r="BD12" s="1942">
        <f t="shared" si="20"/>
        <v>0</v>
      </c>
      <c r="BE12" s="1975">
        <f>FISCinyear!JX815</f>
        <v>0</v>
      </c>
      <c r="BF12" s="1975">
        <f t="shared" si="37"/>
        <v>0</v>
      </c>
      <c r="BG12" s="1796">
        <f>FISC!AO1121</f>
        <v>0</v>
      </c>
      <c r="BH12" s="1790">
        <f t="shared" si="21"/>
        <v>0</v>
      </c>
      <c r="BI12" s="2830">
        <f t="shared" si="22"/>
        <v>0</v>
      </c>
      <c r="BJ12" s="1791">
        <f t="shared" si="23"/>
        <v>0</v>
      </c>
      <c r="BK12" s="1880">
        <f t="shared" si="24"/>
        <v>0</v>
      </c>
      <c r="BL12" s="1796">
        <f>FISC!AP1121</f>
        <v>0</v>
      </c>
      <c r="BM12" s="1790">
        <f t="shared" si="25"/>
        <v>0</v>
      </c>
    </row>
    <row r="13" spans="1:71">
      <c r="A13" s="1809" t="s">
        <v>507</v>
      </c>
      <c r="B13" s="1814">
        <v>0</v>
      </c>
      <c r="C13" s="1788">
        <f t="shared" si="0"/>
        <v>0</v>
      </c>
      <c r="D13" s="1796">
        <v>0</v>
      </c>
      <c r="E13" s="1790">
        <f t="shared" si="1"/>
        <v>0</v>
      </c>
      <c r="F13" s="1791">
        <f t="shared" si="39"/>
        <v>0</v>
      </c>
      <c r="G13" s="1880">
        <f t="shared" si="26"/>
        <v>0</v>
      </c>
      <c r="H13" s="1947">
        <v>282.89560402275117</v>
      </c>
      <c r="I13" s="1942">
        <f t="shared" si="2"/>
        <v>1.4401733936590175E-2</v>
      </c>
      <c r="J13" s="1975">
        <v>150.7280633694061</v>
      </c>
      <c r="K13" s="1975">
        <f>FISCinyear!JI817</f>
        <v>153.34802628232532</v>
      </c>
      <c r="L13" s="1964">
        <f t="shared" si="27"/>
        <v>2.6199629129192203</v>
      </c>
      <c r="M13" s="1964">
        <v>132.16754065334507</v>
      </c>
      <c r="N13" s="1964">
        <f t="shared" si="41"/>
        <v>135.73675965879661</v>
      </c>
      <c r="O13" s="1796">
        <f>FISC!AJ1123</f>
        <v>289.08478594112194</v>
      </c>
      <c r="P13" s="1889">
        <f t="shared" si="4"/>
        <v>1.3351104303942821E-2</v>
      </c>
      <c r="Q13" s="1791">
        <f t="shared" si="5"/>
        <v>6.1891819183707639</v>
      </c>
      <c r="R13" s="1880">
        <f t="shared" si="6"/>
        <v>-1.0506296326473537E-3</v>
      </c>
      <c r="S13" s="1947">
        <v>280.81452107410792</v>
      </c>
      <c r="T13" s="1942">
        <f t="shared" si="7"/>
        <v>1.1502447159622915E-2</v>
      </c>
      <c r="U13" s="1975">
        <f>FISCinyear!JL817</f>
        <v>139.21306421580169</v>
      </c>
      <c r="V13" s="1975">
        <f t="shared" si="28"/>
        <v>141.13675161612485</v>
      </c>
      <c r="W13" s="1796">
        <f>FISC!AK1123</f>
        <v>280.34981583192655</v>
      </c>
      <c r="X13" s="1889">
        <f t="shared" si="8"/>
        <v>1.1086851862745018E-2</v>
      </c>
      <c r="Y13" s="2830">
        <f t="shared" si="9"/>
        <v>1.1483412362303512E-2</v>
      </c>
      <c r="Z13" s="1791">
        <f t="shared" si="29"/>
        <v>-0.46470524218136688</v>
      </c>
      <c r="AA13" s="1880">
        <f t="shared" si="38"/>
        <v>-4.1559529687789677E-4</v>
      </c>
      <c r="AB13" s="1947">
        <v>297.83090865884435</v>
      </c>
      <c r="AC13" s="1942">
        <f t="shared" si="10"/>
        <v>1.0755153911212059E-2</v>
      </c>
      <c r="AD13" s="1975">
        <f>FISCinyear!JO817</f>
        <v>146.28051136800309</v>
      </c>
      <c r="AE13" s="1975">
        <f t="shared" si="30"/>
        <v>146.28051136800309</v>
      </c>
      <c r="AF13" s="1796">
        <f>FISC!AL1123</f>
        <v>292.56102273600618</v>
      </c>
      <c r="AG13" s="1790">
        <f t="shared" si="11"/>
        <v>1.0140984543037485E-2</v>
      </c>
      <c r="AH13" s="2830">
        <f t="shared" si="12"/>
        <v>1.0564849840859248E-2</v>
      </c>
      <c r="AI13" s="1791">
        <f t="shared" si="31"/>
        <v>-5.2698859228381707</v>
      </c>
      <c r="AJ13" s="1880">
        <f t="shared" si="32"/>
        <v>-6.1416936817457364E-4</v>
      </c>
      <c r="AK13" s="1958">
        <v>315.65569238060311</v>
      </c>
      <c r="AL13" s="1942">
        <f t="shared" si="13"/>
        <v>1.0134594094435951E-2</v>
      </c>
      <c r="AM13" s="1975">
        <f>FISCinyear!JR817</f>
        <v>153.27215101048608</v>
      </c>
      <c r="AN13" s="1975">
        <f t="shared" si="33"/>
        <v>153.27215101048608</v>
      </c>
      <c r="AO13" s="1796">
        <f>FISC!AM1123</f>
        <v>306.54430202097217</v>
      </c>
      <c r="AP13" s="1790">
        <f t="shared" si="14"/>
        <v>9.433022478015838E-3</v>
      </c>
      <c r="AQ13" s="2830">
        <f t="shared" si="15"/>
        <v>9.8420593955226912E-3</v>
      </c>
      <c r="AR13" s="1791">
        <f t="shared" si="40"/>
        <v>-9.1113903596309456</v>
      </c>
      <c r="AS13" s="1880">
        <f t="shared" si="34"/>
        <v>-7.0157161642011266E-4</v>
      </c>
      <c r="AT13" s="1958">
        <v>332.13982651598377</v>
      </c>
      <c r="AU13" s="1942">
        <f t="shared" si="16"/>
        <v>9.5131210658719791E-3</v>
      </c>
      <c r="AV13" s="1975">
        <f>FISCinyear!JU817</f>
        <v>160.53365850987643</v>
      </c>
      <c r="AW13" s="1975">
        <f t="shared" si="35"/>
        <v>160.53365850987643</v>
      </c>
      <c r="AX13" s="1796">
        <f>FISC!AN1123</f>
        <v>321.06731701975286</v>
      </c>
      <c r="AY13" s="1790">
        <f t="shared" si="17"/>
        <v>8.7568233348632053E-3</v>
      </c>
      <c r="AZ13" s="2830">
        <f t="shared" si="18"/>
        <v>9.1959831771533176E-3</v>
      </c>
      <c r="BA13" s="1791">
        <f t="shared" si="19"/>
        <v>-11.072509496230907</v>
      </c>
      <c r="BB13" s="1880">
        <f t="shared" si="36"/>
        <v>-7.5629773100877387E-4</v>
      </c>
      <c r="BC13" s="1958">
        <v>345.74341235595534</v>
      </c>
      <c r="BD13" s="1942">
        <f t="shared" si="20"/>
        <v>8.8301931751862944E-3</v>
      </c>
      <c r="BE13" s="1975">
        <f>FISCinyear!JX817</f>
        <v>166.91977322674356</v>
      </c>
      <c r="BF13" s="1975">
        <f t="shared" si="37"/>
        <v>166.91977322674356</v>
      </c>
      <c r="BG13" s="1796">
        <f>FISC!AO1123</f>
        <v>333.83954645348712</v>
      </c>
      <c r="BH13" s="1790">
        <f t="shared" si="21"/>
        <v>8.0948187436489828E-3</v>
      </c>
      <c r="BI13" s="2830">
        <f t="shared" si="22"/>
        <v>8.5261716618505907E-3</v>
      </c>
      <c r="BJ13" s="1791">
        <f t="shared" si="23"/>
        <v>-11.903865902468226</v>
      </c>
      <c r="BK13" s="1880">
        <f t="shared" si="24"/>
        <v>-7.3537443153731154E-4</v>
      </c>
      <c r="BL13" s="1796">
        <f>FISC!AP1123</f>
        <v>356.94859055134964</v>
      </c>
      <c r="BM13" s="1790">
        <f t="shared" si="25"/>
        <v>7.7642311956895287E-3</v>
      </c>
    </row>
    <row r="14" spans="1:71">
      <c r="A14" s="1787" t="s">
        <v>508</v>
      </c>
      <c r="B14" s="1795">
        <v>462.97874841539107</v>
      </c>
      <c r="C14" s="1788">
        <f t="shared" si="0"/>
        <v>2.6810784029474254E-2</v>
      </c>
      <c r="D14" s="1796">
        <v>462.97874841539107</v>
      </c>
      <c r="E14" s="1790">
        <f t="shared" si="1"/>
        <v>2.4961787217435829E-2</v>
      </c>
      <c r="F14" s="1791">
        <f t="shared" si="39"/>
        <v>0</v>
      </c>
      <c r="G14" s="1880">
        <f t="shared" si="26"/>
        <v>-1.8489968120384247E-3</v>
      </c>
      <c r="H14" s="1947">
        <v>303.95142430729857</v>
      </c>
      <c r="I14" s="1942">
        <f t="shared" si="2"/>
        <v>1.5473649926950784E-2</v>
      </c>
      <c r="J14" s="1975">
        <v>159.49292664455038</v>
      </c>
      <c r="K14" s="1975">
        <f>FISCinyear!JI818</f>
        <v>173.56980081617976</v>
      </c>
      <c r="L14" s="1964">
        <f t="shared" si="27"/>
        <v>14.076874171629385</v>
      </c>
      <c r="M14" s="1964">
        <v>144.45849766274819</v>
      </c>
      <c r="N14" s="1964">
        <f t="shared" si="41"/>
        <v>115.88605000433986</v>
      </c>
      <c r="O14" s="1796">
        <f>FISC!AJ1124</f>
        <v>289.45585082051963</v>
      </c>
      <c r="P14" s="1889">
        <f t="shared" si="4"/>
        <v>1.3368241580441965E-2</v>
      </c>
      <c r="Q14" s="1791">
        <f t="shared" si="5"/>
        <v>-14.495573486778937</v>
      </c>
      <c r="R14" s="1880">
        <f t="shared" si="6"/>
        <v>-2.1054083465088195E-3</v>
      </c>
      <c r="S14" s="1947">
        <v>368.7932031676944</v>
      </c>
      <c r="T14" s="1942">
        <f t="shared" si="7"/>
        <v>1.5106143072797144E-2</v>
      </c>
      <c r="U14" s="1975">
        <f>FISCinyear!JL818</f>
        <v>180.88013177892896</v>
      </c>
      <c r="V14" s="1975">
        <f t="shared" si="28"/>
        <v>207.04628268480684</v>
      </c>
      <c r="W14" s="1796">
        <f>FISC!AK1124</f>
        <v>387.9264144637358</v>
      </c>
      <c r="X14" s="1889">
        <f t="shared" si="8"/>
        <v>1.5341129003572101E-2</v>
      </c>
      <c r="Y14" s="2830">
        <f t="shared" si="9"/>
        <v>1.5889858783383694E-2</v>
      </c>
      <c r="Z14" s="1791">
        <f t="shared" si="29"/>
        <v>19.133211296041395</v>
      </c>
      <c r="AA14" s="1880">
        <f t="shared" si="38"/>
        <v>2.3498593077495716E-4</v>
      </c>
      <c r="AB14" s="1947">
        <v>255.94893880609396</v>
      </c>
      <c r="AC14" s="1942">
        <f t="shared" si="10"/>
        <v>9.2427285088269549E-3</v>
      </c>
      <c r="AD14" s="1975">
        <f>FISCinyear!JO818</f>
        <v>124.01131462385896</v>
      </c>
      <c r="AE14" s="1975">
        <f t="shared" si="30"/>
        <v>127.40880709050518</v>
      </c>
      <c r="AF14" s="1796">
        <f>FISC!AL1124</f>
        <v>251.42012171436414</v>
      </c>
      <c r="AG14" s="1790">
        <f t="shared" si="11"/>
        <v>8.7149256735223283E-3</v>
      </c>
      <c r="AH14" s="2830">
        <f t="shared" si="12"/>
        <v>9.0791856278122935E-3</v>
      </c>
      <c r="AI14" s="1791">
        <f t="shared" si="31"/>
        <v>-4.5288170917298203</v>
      </c>
      <c r="AJ14" s="1880">
        <f t="shared" si="32"/>
        <v>-5.2780283530462664E-4</v>
      </c>
      <c r="AK14" s="1947">
        <v>294.38021811628596</v>
      </c>
      <c r="AL14" s="1942">
        <f t="shared" si="13"/>
        <v>9.4515134434604246E-3</v>
      </c>
      <c r="AM14" s="1975">
        <f>FISCinyear!JR818</f>
        <v>140.54988504198951</v>
      </c>
      <c r="AN14" s="1975">
        <f t="shared" si="33"/>
        <v>158.08818781065202</v>
      </c>
      <c r="AO14" s="1796">
        <f>FISC!AM1124</f>
        <v>298.63807285264153</v>
      </c>
      <c r="AP14" s="1790">
        <f t="shared" si="14"/>
        <v>9.1897309310207641E-3</v>
      </c>
      <c r="AQ14" s="2830">
        <f t="shared" si="15"/>
        <v>9.5882181838077181E-3</v>
      </c>
      <c r="AR14" s="1791">
        <f t="shared" si="40"/>
        <v>4.2578547363555685</v>
      </c>
      <c r="AS14" s="1880">
        <f t="shared" si="34"/>
        <v>-2.6178251243966048E-4</v>
      </c>
      <c r="AT14" s="1947">
        <v>311.48082497065502</v>
      </c>
      <c r="AU14" s="1942">
        <f t="shared" si="16"/>
        <v>8.9214076755740196E-3</v>
      </c>
      <c r="AV14" s="1975">
        <f>FISCinyear!JU818</f>
        <v>147.20865532440715</v>
      </c>
      <c r="AW14" s="1975">
        <f t="shared" si="35"/>
        <v>148.87858325619121</v>
      </c>
      <c r="AX14" s="1796">
        <f>FISC!AN1124</f>
        <v>296.08723858059835</v>
      </c>
      <c r="AY14" s="1790">
        <f t="shared" si="17"/>
        <v>8.0755140822953275E-3</v>
      </c>
      <c r="AZ14" s="2830">
        <f t="shared" si="18"/>
        <v>8.4805058647232194E-3</v>
      </c>
      <c r="BA14" s="1791">
        <f t="shared" si="19"/>
        <v>-15.393586390056669</v>
      </c>
      <c r="BB14" s="1880">
        <f t="shared" si="36"/>
        <v>-8.4589359327869214E-4</v>
      </c>
      <c r="BC14" s="1947">
        <v>315.24690833802265</v>
      </c>
      <c r="BD14" s="1942">
        <f t="shared" si="20"/>
        <v>8.0513207165291596E-3</v>
      </c>
      <c r="BE14" s="1975">
        <f>FISCinyear!JX818</f>
        <v>137.43746727918119</v>
      </c>
      <c r="BF14" s="1975">
        <f t="shared" si="37"/>
        <v>154.8010528515639</v>
      </c>
      <c r="BG14" s="1796">
        <f>FISC!AO1124</f>
        <v>292.23852013074509</v>
      </c>
      <c r="BH14" s="1790">
        <f t="shared" si="21"/>
        <v>7.0860923323839671E-3</v>
      </c>
      <c r="BI14" s="2830">
        <f t="shared" si="22"/>
        <v>7.4636927089974641E-3</v>
      </c>
      <c r="BJ14" s="1791">
        <f t="shared" si="23"/>
        <v>-23.008388207277562</v>
      </c>
      <c r="BK14" s="1880">
        <f t="shared" si="24"/>
        <v>-9.6522838414519248E-4</v>
      </c>
      <c r="BL14" s="1796">
        <f>FISC!AP1124</f>
        <v>357.49076737749925</v>
      </c>
      <c r="BM14" s="1790">
        <f t="shared" si="25"/>
        <v>7.7760244520255978E-3</v>
      </c>
    </row>
    <row r="15" spans="1:71">
      <c r="A15" s="1809" t="s">
        <v>506</v>
      </c>
      <c r="B15" s="1795">
        <v>16.262190163747064</v>
      </c>
      <c r="C15" s="1788">
        <f t="shared" si="0"/>
        <v>9.4173235773508085E-4</v>
      </c>
      <c r="D15" s="1796">
        <v>16.262190163747064</v>
      </c>
      <c r="E15" s="1790">
        <f t="shared" si="1"/>
        <v>8.767860985980355E-4</v>
      </c>
      <c r="F15" s="1791">
        <f t="shared" si="39"/>
        <v>0</v>
      </c>
      <c r="G15" s="1880">
        <f t="shared" si="26"/>
        <v>-6.4946259137045343E-5</v>
      </c>
      <c r="H15" s="1947">
        <v>146.18770914736928</v>
      </c>
      <c r="I15" s="1942">
        <f t="shared" si="2"/>
        <v>7.4421675770215369E-3</v>
      </c>
      <c r="J15" s="1975">
        <v>71.340916317167768</v>
      </c>
      <c r="K15" s="1975">
        <f>FISCinyear!JI819</f>
        <v>83.88552773298251</v>
      </c>
      <c r="L15" s="1964">
        <f t="shared" si="27"/>
        <v>12.544611415814742</v>
      </c>
      <c r="M15" s="1964">
        <v>74.846792830201508</v>
      </c>
      <c r="N15" s="1964">
        <f t="shared" si="41"/>
        <v>44.394462874959871</v>
      </c>
      <c r="O15" s="1796">
        <f>FISC!AJ1125</f>
        <v>128.27999060794238</v>
      </c>
      <c r="P15" s="1889">
        <f t="shared" si="4"/>
        <v>5.9244886552565473E-3</v>
      </c>
      <c r="Q15" s="1791">
        <f t="shared" si="5"/>
        <v>-17.907718539426895</v>
      </c>
      <c r="R15" s="1880">
        <f t="shared" si="6"/>
        <v>-1.5176789217649896E-3</v>
      </c>
      <c r="S15" s="1947">
        <v>93.028085706147692</v>
      </c>
      <c r="T15" s="1942">
        <f t="shared" si="7"/>
        <v>3.8105245985959736E-3</v>
      </c>
      <c r="U15" s="1975">
        <f>FISCinyear!JL819</f>
        <v>44.045062921414932</v>
      </c>
      <c r="V15" s="1975">
        <f t="shared" si="28"/>
        <v>68.572583329399095</v>
      </c>
      <c r="W15" s="1796">
        <f>FISC!AK1125</f>
        <v>112.61764625081402</v>
      </c>
      <c r="X15" s="1889">
        <f t="shared" si="8"/>
        <v>4.4536328922089767E-3</v>
      </c>
      <c r="Y15" s="2830">
        <f t="shared" si="9"/>
        <v>4.6129328365438734E-3</v>
      </c>
      <c r="Z15" s="1791">
        <f t="shared" si="29"/>
        <v>19.589560544666327</v>
      </c>
      <c r="AA15" s="1880">
        <f t="shared" si="38"/>
        <v>6.4310829361300314E-4</v>
      </c>
      <c r="AB15" s="1947">
        <v>99.083514806514259</v>
      </c>
      <c r="AC15" s="1942">
        <f t="shared" si="10"/>
        <v>3.5780653411919615E-3</v>
      </c>
      <c r="AD15" s="1975">
        <f>FISCinyear!JO819</f>
        <v>46.966408364980857</v>
      </c>
      <c r="AE15" s="1975">
        <f t="shared" si="30"/>
        <v>50.363900831627099</v>
      </c>
      <c r="AF15" s="1796">
        <f>FISC!AL1125</f>
        <v>97.330309196607956</v>
      </c>
      <c r="AG15" s="1790">
        <f t="shared" si="11"/>
        <v>3.373741149457586E-3</v>
      </c>
      <c r="AH15" s="2830">
        <f t="shared" si="12"/>
        <v>3.5147542622396368E-3</v>
      </c>
      <c r="AI15" s="1791">
        <f t="shared" si="31"/>
        <v>-1.7532056099063027</v>
      </c>
      <c r="AJ15" s="1880">
        <f t="shared" si="32"/>
        <v>-2.0432419173437542E-4</v>
      </c>
      <c r="AK15" s="1947">
        <v>128.12660714576518</v>
      </c>
      <c r="AL15" s="1942">
        <f t="shared" si="13"/>
        <v>4.1136947232806491E-3</v>
      </c>
      <c r="AM15" s="1975">
        <f>FISCinyear!JR819</f>
        <v>59.822531847334673</v>
      </c>
      <c r="AN15" s="1975">
        <f t="shared" si="33"/>
        <v>77.360834615997177</v>
      </c>
      <c r="AO15" s="1796">
        <f>FISC!AM1125</f>
        <v>137.18336646333185</v>
      </c>
      <c r="AP15" s="1790">
        <f t="shared" si="14"/>
        <v>4.2214249977152113E-3</v>
      </c>
      <c r="AQ15" s="2830">
        <f t="shared" si="15"/>
        <v>4.4044754115752449E-3</v>
      </c>
      <c r="AR15" s="1791">
        <f t="shared" si="40"/>
        <v>9.056759317566673</v>
      </c>
      <c r="AS15" s="1880">
        <f t="shared" si="34"/>
        <v>1.0773027443456221E-4</v>
      </c>
      <c r="AT15" s="1947">
        <v>136.54513764326299</v>
      </c>
      <c r="AU15" s="1942">
        <f t="shared" si="16"/>
        <v>3.9109143850112865E-3</v>
      </c>
      <c r="AV15" s="1975">
        <f>FISCinyear!JU819</f>
        <v>62.656717710702758</v>
      </c>
      <c r="AW15" s="1975">
        <f t="shared" si="35"/>
        <v>64.326645642486795</v>
      </c>
      <c r="AX15" s="1796">
        <f>FISC!AN1125</f>
        <v>126.98336335318955</v>
      </c>
      <c r="AY15" s="1790">
        <f t="shared" si="17"/>
        <v>3.4633574344230499E-3</v>
      </c>
      <c r="AZ15" s="2830">
        <f t="shared" si="18"/>
        <v>3.6370468474137344E-3</v>
      </c>
      <c r="BA15" s="1791">
        <f t="shared" si="19"/>
        <v>-9.5617742900734441</v>
      </c>
      <c r="BB15" s="1880">
        <f t="shared" si="36"/>
        <v>-4.4755695058823659E-4</v>
      </c>
      <c r="BC15" s="1947">
        <v>133.14630897946816</v>
      </c>
      <c r="BD15" s="1942">
        <f t="shared" si="20"/>
        <v>3.4005206949288503E-3</v>
      </c>
      <c r="BE15" s="1975">
        <f>FISCinyear!JX819</f>
        <v>49.522008406778937</v>
      </c>
      <c r="BF15" s="1975">
        <f t="shared" si="37"/>
        <v>66.885593979161655</v>
      </c>
      <c r="BG15" s="1796">
        <f>FISC!AO1125</f>
        <v>116.40760238594059</v>
      </c>
      <c r="BH15" s="1790">
        <f t="shared" si="21"/>
        <v>2.8226088002675791E-3</v>
      </c>
      <c r="BI15" s="2830">
        <f t="shared" si="22"/>
        <v>2.9730186589061328E-3</v>
      </c>
      <c r="BJ15" s="1791">
        <f t="shared" si="23"/>
        <v>-16.738706593527567</v>
      </c>
      <c r="BK15" s="1880">
        <f t="shared" si="24"/>
        <v>-5.7791189466127124E-4</v>
      </c>
      <c r="BL15" s="1796">
        <f>FISC!AP1125</f>
        <v>88.224524233940471</v>
      </c>
      <c r="BM15" s="1790">
        <f t="shared" si="25"/>
        <v>1.9190315395950157E-3</v>
      </c>
    </row>
    <row r="16" spans="1:71">
      <c r="A16" s="1809" t="s">
        <v>507</v>
      </c>
      <c r="B16" s="1795">
        <v>446.71655825164402</v>
      </c>
      <c r="C16" s="1788">
        <f t="shared" si="0"/>
        <v>2.5869051671739172E-2</v>
      </c>
      <c r="D16" s="1796">
        <v>446.71655825164402</v>
      </c>
      <c r="E16" s="1790">
        <f t="shared" si="1"/>
        <v>2.4085001118837795E-2</v>
      </c>
      <c r="F16" s="1791">
        <f t="shared" si="39"/>
        <v>0</v>
      </c>
      <c r="G16" s="1880">
        <f t="shared" si="26"/>
        <v>-1.7840505529013763E-3</v>
      </c>
      <c r="H16" s="1947">
        <v>157.76371515992932</v>
      </c>
      <c r="I16" s="1942">
        <f t="shared" si="2"/>
        <v>8.03148234992925E-3</v>
      </c>
      <c r="J16" s="1975">
        <v>88.152010327382598</v>
      </c>
      <c r="K16" s="1975">
        <f>FISCinyear!JI820</f>
        <v>89.684273083197269</v>
      </c>
      <c r="L16" s="1964">
        <f t="shared" si="27"/>
        <v>1.5322627558146706</v>
      </c>
      <c r="M16" s="1964">
        <v>69.611704832546721</v>
      </c>
      <c r="N16" s="1964">
        <f t="shared" si="41"/>
        <v>71.491587129380008</v>
      </c>
      <c r="O16" s="1796">
        <f>FISC!AJ1126</f>
        <v>161.17586021257728</v>
      </c>
      <c r="P16" s="1889">
        <f t="shared" si="4"/>
        <v>7.4437529251854184E-3</v>
      </c>
      <c r="Q16" s="1791">
        <f t="shared" si="5"/>
        <v>3.4121450526479578</v>
      </c>
      <c r="R16" s="1880">
        <f t="shared" si="6"/>
        <v>-5.8772942474383163E-4</v>
      </c>
      <c r="S16" s="1947">
        <v>275.76511746154671</v>
      </c>
      <c r="T16" s="1942">
        <f t="shared" si="7"/>
        <v>1.1295618474201172E-2</v>
      </c>
      <c r="U16" s="1975">
        <f>FISCinyear!JL820</f>
        <v>136.83506885751405</v>
      </c>
      <c r="V16" s="1975">
        <f t="shared" si="28"/>
        <v>138.47369935540775</v>
      </c>
      <c r="W16" s="1796">
        <f>FISC!AK1126</f>
        <v>275.30876821292179</v>
      </c>
      <c r="X16" s="1889">
        <f t="shared" si="8"/>
        <v>1.0887496111363125E-2</v>
      </c>
      <c r="Y16" s="2830">
        <f t="shared" si="9"/>
        <v>1.1276925946839822E-2</v>
      </c>
      <c r="Z16" s="1791">
        <f t="shared" si="29"/>
        <v>-0.45634924862491744</v>
      </c>
      <c r="AA16" s="1880">
        <f t="shared" si="38"/>
        <v>-4.0812236283804641E-4</v>
      </c>
      <c r="AB16" s="1947">
        <v>156.86542399957972</v>
      </c>
      <c r="AC16" s="1942">
        <f t="shared" si="10"/>
        <v>5.6646631676349939E-3</v>
      </c>
      <c r="AD16" s="1975">
        <f>FISCinyear!JO820</f>
        <v>77.0449062588781</v>
      </c>
      <c r="AE16" s="1975">
        <f t="shared" si="30"/>
        <v>77.0449062588781</v>
      </c>
      <c r="AF16" s="1796">
        <f>FISC!AL1126</f>
        <v>154.0898125177562</v>
      </c>
      <c r="AG16" s="1790">
        <f t="shared" si="11"/>
        <v>5.3411845240647427E-3</v>
      </c>
      <c r="AH16" s="2830">
        <f t="shared" si="12"/>
        <v>5.5644313655726571E-3</v>
      </c>
      <c r="AI16" s="1791">
        <f t="shared" si="31"/>
        <v>-2.7756114818235176</v>
      </c>
      <c r="AJ16" s="1880">
        <f t="shared" si="32"/>
        <v>-3.2347864357025122E-4</v>
      </c>
      <c r="AK16" s="1947">
        <v>166.25361097052075</v>
      </c>
      <c r="AL16" s="1942">
        <f t="shared" si="13"/>
        <v>5.3378187201797746E-3</v>
      </c>
      <c r="AM16" s="1975">
        <f>FISCinyear!JR820</f>
        <v>80.727353194654839</v>
      </c>
      <c r="AN16" s="1975">
        <f t="shared" si="33"/>
        <v>80.727353194654839</v>
      </c>
      <c r="AO16" s="1796">
        <f>FISC!AM1126</f>
        <v>161.45470638930968</v>
      </c>
      <c r="AP16" s="1790">
        <f t="shared" si="14"/>
        <v>4.9683059333055536E-3</v>
      </c>
      <c r="AQ16" s="2830">
        <f t="shared" si="15"/>
        <v>5.1837427722324731E-3</v>
      </c>
      <c r="AR16" s="1791">
        <f t="shared" si="40"/>
        <v>-4.798904581211076</v>
      </c>
      <c r="AS16" s="1880">
        <f t="shared" si="34"/>
        <v>-3.6951278687422096E-4</v>
      </c>
      <c r="AT16" s="1947">
        <v>174.935687327392</v>
      </c>
      <c r="AU16" s="1942">
        <f t="shared" si="16"/>
        <v>5.0104932905627331E-3</v>
      </c>
      <c r="AV16" s="1975">
        <f>FISCinyear!JU820</f>
        <v>84.551937613704396</v>
      </c>
      <c r="AW16" s="1975">
        <f t="shared" si="35"/>
        <v>84.551937613704396</v>
      </c>
      <c r="AX16" s="1796">
        <f>FISC!AN1126</f>
        <v>169.10387522740879</v>
      </c>
      <c r="AY16" s="1790">
        <f t="shared" si="17"/>
        <v>4.6121566478722776E-3</v>
      </c>
      <c r="AZ16" s="2830">
        <f t="shared" si="18"/>
        <v>4.8434590173094842E-3</v>
      </c>
      <c r="BA16" s="1791">
        <f t="shared" si="19"/>
        <v>-5.8318120999832104</v>
      </c>
      <c r="BB16" s="1880">
        <f t="shared" si="36"/>
        <v>-3.9833664269045554E-4</v>
      </c>
      <c r="BC16" s="1947">
        <v>182.10059935855452</v>
      </c>
      <c r="BD16" s="1942">
        <f t="shared" si="20"/>
        <v>4.6508000216003093E-3</v>
      </c>
      <c r="BE16" s="1975">
        <f>FISCinyear!JX820</f>
        <v>87.91545887240224</v>
      </c>
      <c r="BF16" s="1975">
        <f t="shared" si="37"/>
        <v>87.91545887240224</v>
      </c>
      <c r="BG16" s="1796">
        <f>FISC!AO1126</f>
        <v>175.83091774480448</v>
      </c>
      <c r="BH16" s="1790">
        <f t="shared" si="21"/>
        <v>4.2634835321163876E-3</v>
      </c>
      <c r="BI16" s="2830">
        <f t="shared" si="22"/>
        <v>4.4906740500913313E-3</v>
      </c>
      <c r="BJ16" s="1791">
        <f t="shared" si="23"/>
        <v>-6.2696816137500377</v>
      </c>
      <c r="BK16" s="1880">
        <f t="shared" si="24"/>
        <v>-3.8731648948392167E-4</v>
      </c>
      <c r="BL16" s="1796">
        <f>FISC!AP1126</f>
        <v>269.26624314355877</v>
      </c>
      <c r="BM16" s="1790">
        <f t="shared" si="25"/>
        <v>5.8569929124305817E-3</v>
      </c>
    </row>
    <row r="17" spans="1:67">
      <c r="A17" s="1896" t="s">
        <v>3116</v>
      </c>
      <c r="B17" s="1816">
        <v>0</v>
      </c>
      <c r="C17" s="1799">
        <f t="shared" si="0"/>
        <v>0</v>
      </c>
      <c r="D17" s="1817">
        <v>0</v>
      </c>
      <c r="E17" s="1801">
        <f t="shared" si="1"/>
        <v>0</v>
      </c>
      <c r="F17" s="1802">
        <f t="shared" si="39"/>
        <v>0</v>
      </c>
      <c r="G17" s="1881">
        <f t="shared" si="26"/>
        <v>0</v>
      </c>
      <c r="H17" s="1948">
        <v>0</v>
      </c>
      <c r="I17" s="1949">
        <f t="shared" si="2"/>
        <v>0</v>
      </c>
      <c r="J17" s="1976">
        <v>0</v>
      </c>
      <c r="K17" s="1976">
        <f>FISCinyear!JI825</f>
        <v>0</v>
      </c>
      <c r="L17" s="1966">
        <f t="shared" si="27"/>
        <v>0</v>
      </c>
      <c r="M17" s="1966">
        <v>0</v>
      </c>
      <c r="N17" s="1966">
        <f t="shared" si="41"/>
        <v>0</v>
      </c>
      <c r="O17" s="1817">
        <f>H17</f>
        <v>0</v>
      </c>
      <c r="P17" s="1890">
        <f t="shared" si="4"/>
        <v>0</v>
      </c>
      <c r="Q17" s="1802">
        <f t="shared" si="5"/>
        <v>0</v>
      </c>
      <c r="R17" s="1881">
        <f t="shared" si="6"/>
        <v>0</v>
      </c>
      <c r="S17" s="1948">
        <v>0</v>
      </c>
      <c r="T17" s="1949">
        <f t="shared" si="7"/>
        <v>0</v>
      </c>
      <c r="U17" s="1976">
        <f>FISCinyear!JL825</f>
        <v>0</v>
      </c>
      <c r="V17" s="1976">
        <f t="shared" si="28"/>
        <v>0</v>
      </c>
      <c r="W17" s="1817">
        <f>FISC!AK1131</f>
        <v>0</v>
      </c>
      <c r="X17" s="1890">
        <f t="shared" si="8"/>
        <v>0</v>
      </c>
      <c r="Y17" s="2832">
        <f t="shared" si="9"/>
        <v>0</v>
      </c>
      <c r="Z17" s="1802">
        <f t="shared" si="29"/>
        <v>0</v>
      </c>
      <c r="AA17" s="1881">
        <f t="shared" si="38"/>
        <v>0</v>
      </c>
      <c r="AB17" s="1948">
        <v>61.962850399676768</v>
      </c>
      <c r="AC17" s="1949">
        <f t="shared" si="10"/>
        <v>2.2375783488250839E-3</v>
      </c>
      <c r="AD17" s="1976">
        <f>FISCinyear!JO825</f>
        <v>0</v>
      </c>
      <c r="AE17" s="1976">
        <f t="shared" si="30"/>
        <v>0</v>
      </c>
      <c r="AF17" s="1817">
        <f>FISC!AL1131</f>
        <v>0</v>
      </c>
      <c r="AG17" s="1801">
        <f t="shared" si="11"/>
        <v>0</v>
      </c>
      <c r="AH17" s="2832">
        <f t="shared" si="12"/>
        <v>0</v>
      </c>
      <c r="AI17" s="1802">
        <f t="shared" si="31"/>
        <v>-61.962850399676768</v>
      </c>
      <c r="AJ17" s="1881">
        <f t="shared" si="32"/>
        <v>-2.2375783488250839E-3</v>
      </c>
      <c r="AK17" s="1948">
        <v>98.506866863790577</v>
      </c>
      <c r="AL17" s="1949">
        <f t="shared" si="13"/>
        <v>3.1627090379711055E-3</v>
      </c>
      <c r="AM17" s="1976">
        <f>FISCinyear!JR825</f>
        <v>0</v>
      </c>
      <c r="AN17" s="1976">
        <f t="shared" si="33"/>
        <v>0</v>
      </c>
      <c r="AO17" s="1817">
        <f>FISC!AM1131</f>
        <v>0</v>
      </c>
      <c r="AP17" s="1801">
        <f t="shared" si="14"/>
        <v>0</v>
      </c>
      <c r="AQ17" s="2832">
        <f t="shared" si="15"/>
        <v>0</v>
      </c>
      <c r="AR17" s="1802">
        <f t="shared" si="40"/>
        <v>-98.506866863790577</v>
      </c>
      <c r="AS17" s="1881">
        <f t="shared" si="34"/>
        <v>-3.1627090379711055E-3</v>
      </c>
      <c r="AT17" s="1948">
        <v>120.92626091430137</v>
      </c>
      <c r="AU17" s="1949">
        <f t="shared" si="16"/>
        <v>3.4635598271609593E-3</v>
      </c>
      <c r="AV17" s="1976">
        <f>FISCinyear!JU825</f>
        <v>0</v>
      </c>
      <c r="AW17" s="1976">
        <f t="shared" si="35"/>
        <v>0</v>
      </c>
      <c r="AX17" s="1817">
        <f>FISC!AN1131</f>
        <v>0</v>
      </c>
      <c r="AY17" s="1801">
        <f t="shared" si="17"/>
        <v>0</v>
      </c>
      <c r="AZ17" s="2832">
        <f t="shared" si="18"/>
        <v>0</v>
      </c>
      <c r="BA17" s="1802">
        <f t="shared" si="19"/>
        <v>-120.92626091430137</v>
      </c>
      <c r="BB17" s="1881">
        <f t="shared" si="36"/>
        <v>-3.4635598271609593E-3</v>
      </c>
      <c r="BC17" s="1948">
        <v>161.84454032709974</v>
      </c>
      <c r="BD17" s="1949">
        <f t="shared" si="20"/>
        <v>4.1334657562938316E-3</v>
      </c>
      <c r="BE17" s="1976">
        <f>FISCinyear!JX825</f>
        <v>0</v>
      </c>
      <c r="BF17" s="1976">
        <f t="shared" si="37"/>
        <v>0</v>
      </c>
      <c r="BG17" s="1817">
        <f>FISC!AO1131</f>
        <v>0</v>
      </c>
      <c r="BH17" s="1801">
        <f t="shared" si="21"/>
        <v>0</v>
      </c>
      <c r="BI17" s="2832">
        <f t="shared" si="22"/>
        <v>0</v>
      </c>
      <c r="BJ17" s="1802">
        <f t="shared" si="23"/>
        <v>-161.84454032709974</v>
      </c>
      <c r="BK17" s="1881">
        <f t="shared" si="24"/>
        <v>-4.1334657562938316E-3</v>
      </c>
      <c r="BL17" s="1817">
        <f>FISC!AP1131</f>
        <v>0</v>
      </c>
      <c r="BM17" s="1801">
        <f t="shared" si="25"/>
        <v>0</v>
      </c>
      <c r="BO17" s="2035">
        <f>AR17</f>
        <v>-98.506866863790577</v>
      </c>
    </row>
    <row r="18" spans="1:67">
      <c r="A18" s="1782" t="s">
        <v>510</v>
      </c>
      <c r="B18" s="1804">
        <v>463.19439444896761</v>
      </c>
      <c r="C18" s="1805">
        <f t="shared" si="0"/>
        <v>2.6823271944422449E-2</v>
      </c>
      <c r="D18" s="1806">
        <f>FISC!AI1132</f>
        <v>460.01542773408448</v>
      </c>
      <c r="E18" s="1807">
        <f t="shared" si="1"/>
        <v>2.4802017939565144E-2</v>
      </c>
      <c r="F18" s="1808">
        <f t="shared" si="39"/>
        <v>-3.1789667148831313</v>
      </c>
      <c r="G18" s="1882">
        <f t="shared" si="26"/>
        <v>-2.0212540048573056E-3</v>
      </c>
      <c r="H18" s="1945">
        <v>553.63895572017907</v>
      </c>
      <c r="I18" s="1946">
        <f t="shared" si="2"/>
        <v>2.8184817380804583E-2</v>
      </c>
      <c r="J18" s="1974">
        <v>292.82339964212593</v>
      </c>
      <c r="K18" s="1974">
        <f>FISCinyear!JI826</f>
        <v>310.69173952705512</v>
      </c>
      <c r="L18" s="1965">
        <f t="shared" si="27"/>
        <v>17.868339884929185</v>
      </c>
      <c r="M18" s="1965">
        <v>260.81555607805313</v>
      </c>
      <c r="N18" s="1965">
        <f t="shared" si="41"/>
        <v>183.62030577797105</v>
      </c>
      <c r="O18" s="1806">
        <f>FISC!AJ1132</f>
        <v>494.31204530502617</v>
      </c>
      <c r="P18" s="1891">
        <f t="shared" si="4"/>
        <v>2.282932895993655E-2</v>
      </c>
      <c r="Q18" s="1808">
        <f t="shared" si="5"/>
        <v>-59.326910415152895</v>
      </c>
      <c r="R18" s="1882">
        <f t="shared" si="6"/>
        <v>-5.3554884208680334E-3</v>
      </c>
      <c r="S18" s="1945">
        <v>558.03592714519368</v>
      </c>
      <c r="T18" s="1946">
        <f t="shared" si="7"/>
        <v>2.2857716690031265E-2</v>
      </c>
      <c r="U18" s="1974">
        <f>FISCinyear!JL826</f>
        <v>221.04546453963582</v>
      </c>
      <c r="V18" s="1974">
        <f t="shared" si="28"/>
        <v>332.83853698524371</v>
      </c>
      <c r="W18" s="1806">
        <f>FISC!AK1132</f>
        <v>553.88400152487952</v>
      </c>
      <c r="X18" s="1891">
        <f t="shared" si="8"/>
        <v>2.1904169459958857E-2</v>
      </c>
      <c r="Y18" s="2831">
        <f t="shared" si="9"/>
        <v>2.268764961203374E-2</v>
      </c>
      <c r="Z18" s="1808">
        <f t="shared" si="29"/>
        <v>-4.1519256203141595</v>
      </c>
      <c r="AA18" s="1882">
        <f t="shared" si="38"/>
        <v>-9.5354723007240808E-4</v>
      </c>
      <c r="AB18" s="1945">
        <v>600.19223563566209</v>
      </c>
      <c r="AC18" s="1946">
        <f t="shared" si="10"/>
        <v>2.167390852629798E-2</v>
      </c>
      <c r="AD18" s="1974">
        <f>FISCinyear!JO826</f>
        <v>306.89064868253172</v>
      </c>
      <c r="AE18" s="1974">
        <f t="shared" si="30"/>
        <v>306.89064868253172</v>
      </c>
      <c r="AF18" s="1806">
        <f>FISC!AL1132</f>
        <v>613.78129736506344</v>
      </c>
      <c r="AG18" s="1807">
        <f t="shared" si="11"/>
        <v>2.1275379034346523E-2</v>
      </c>
      <c r="AH18" s="2831">
        <f t="shared" si="12"/>
        <v>2.2164631437048946E-2</v>
      </c>
      <c r="AI18" s="1808">
        <f t="shared" si="31"/>
        <v>13.589061729401351</v>
      </c>
      <c r="AJ18" s="1882">
        <f t="shared" si="32"/>
        <v>-3.985294919514569E-4</v>
      </c>
      <c r="AK18" s="1945">
        <v>683.21200240068674</v>
      </c>
      <c r="AL18" s="1946">
        <f t="shared" si="13"/>
        <v>2.1935534482391109E-2</v>
      </c>
      <c r="AM18" s="1974">
        <f>FISCinyear!JR826</f>
        <v>345.32736315431532</v>
      </c>
      <c r="AN18" s="1974">
        <f t="shared" si="33"/>
        <v>345.32736315431532</v>
      </c>
      <c r="AO18" s="1806">
        <f>FISC!AM1132</f>
        <v>690.65472630863064</v>
      </c>
      <c r="AP18" s="1807">
        <f t="shared" si="14"/>
        <v>2.1252920099527634E-2</v>
      </c>
      <c r="AQ18" s="2831">
        <f t="shared" si="15"/>
        <v>2.2174494170382471E-2</v>
      </c>
      <c r="AR18" s="1808">
        <f t="shared" si="40"/>
        <v>7.4427239079439005</v>
      </c>
      <c r="AS18" s="1882">
        <f t="shared" si="34"/>
        <v>-6.8261438286347509E-4</v>
      </c>
      <c r="AT18" s="1945">
        <v>759.99225588690058</v>
      </c>
      <c r="AU18" s="1946">
        <f t="shared" si="16"/>
        <v>2.1767634478574983E-2</v>
      </c>
      <c r="AV18" s="1974">
        <f>FISCinyear!JU826</f>
        <v>382.19348331554403</v>
      </c>
      <c r="AW18" s="1974">
        <f t="shared" si="35"/>
        <v>382.19348331554403</v>
      </c>
      <c r="AX18" s="1806">
        <f>FISC!AN1132</f>
        <v>764.38696663108806</v>
      </c>
      <c r="AY18" s="1807">
        <f t="shared" si="17"/>
        <v>2.0847969480022179E-2</v>
      </c>
      <c r="AZ18" s="2831">
        <f t="shared" si="18"/>
        <v>2.1893507415276032E-2</v>
      </c>
      <c r="BA18" s="1808">
        <f t="shared" si="19"/>
        <v>4.3947107441874778</v>
      </c>
      <c r="BB18" s="1882">
        <f t="shared" si="36"/>
        <v>-9.1966499855280354E-4</v>
      </c>
      <c r="BC18" s="1945">
        <v>878.11097953196509</v>
      </c>
      <c r="BD18" s="1946">
        <f t="shared" si="20"/>
        <v>2.2426716754147147E-2</v>
      </c>
      <c r="BE18" s="1974">
        <f>FISCinyear!JX826</f>
        <v>440.27809258605254</v>
      </c>
      <c r="BF18" s="1974">
        <f t="shared" si="37"/>
        <v>440.27809258605254</v>
      </c>
      <c r="BG18" s="1806">
        <f>FISC!AO1132</f>
        <v>880.55618517210507</v>
      </c>
      <c r="BH18" s="1807">
        <f t="shared" si="21"/>
        <v>2.1351403056618749E-2</v>
      </c>
      <c r="BI18" s="2831">
        <f t="shared" si="22"/>
        <v>2.2489166644394838E-2</v>
      </c>
      <c r="BJ18" s="1808">
        <f t="shared" si="23"/>
        <v>2.4452056401399886</v>
      </c>
      <c r="BK18" s="1882">
        <f t="shared" si="24"/>
        <v>-1.0753136975283975E-3</v>
      </c>
      <c r="BL18" s="1806">
        <f>FISC!AP1132</f>
        <v>983.3080446079191</v>
      </c>
      <c r="BM18" s="1807">
        <f t="shared" si="25"/>
        <v>2.1388601039507339E-2</v>
      </c>
    </row>
    <row r="19" spans="1:67">
      <c r="A19" s="1787" t="s">
        <v>511</v>
      </c>
      <c r="B19" s="1795">
        <v>22.609286810444505</v>
      </c>
      <c r="C19" s="1788">
        <f t="shared" si="0"/>
        <v>1.3092884021350408E-3</v>
      </c>
      <c r="D19" s="1796">
        <f>FISC!AI1133</f>
        <v>24.476467754939073</v>
      </c>
      <c r="E19" s="1790">
        <f t="shared" si="1"/>
        <v>1.3196639846307628E-3</v>
      </c>
      <c r="F19" s="1791">
        <f t="shared" si="39"/>
        <v>1.8671809444945673</v>
      </c>
      <c r="G19" s="1880">
        <f t="shared" si="26"/>
        <v>1.037558249572198E-5</v>
      </c>
      <c r="H19" s="1947">
        <v>24.536088380129197</v>
      </c>
      <c r="I19" s="1942">
        <f t="shared" si="2"/>
        <v>1.249090518447449E-3</v>
      </c>
      <c r="J19" s="1975">
        <v>11.777322422462014</v>
      </c>
      <c r="K19" s="1975">
        <f>FISCinyear!JI827</f>
        <v>3.6416889182000003</v>
      </c>
      <c r="L19" s="1964">
        <f t="shared" si="27"/>
        <v>-8.1356335042620138</v>
      </c>
      <c r="M19" s="1964">
        <v>12.758765957667183</v>
      </c>
      <c r="N19" s="1964">
        <f t="shared" si="41"/>
        <v>9.1989196167999996</v>
      </c>
      <c r="O19" s="1796">
        <f>FISC!AJ1133</f>
        <v>12.840608534999999</v>
      </c>
      <c r="P19" s="1889">
        <f t="shared" si="4"/>
        <v>5.930312220297887E-4</v>
      </c>
      <c r="Q19" s="1791">
        <f t="shared" si="5"/>
        <v>-11.695479845129197</v>
      </c>
      <c r="R19" s="1880">
        <f t="shared" si="6"/>
        <v>-6.5605929641766034E-4</v>
      </c>
      <c r="S19" s="1947">
        <v>44.396938397542492</v>
      </c>
      <c r="T19" s="1942">
        <f t="shared" si="7"/>
        <v>1.8185435568411994E-3</v>
      </c>
      <c r="U19" s="1975">
        <f>FISCinyear!JL827</f>
        <v>19.466727659450001</v>
      </c>
      <c r="V19" s="1975">
        <f t="shared" si="28"/>
        <v>24.930210738092484</v>
      </c>
      <c r="W19" s="1796">
        <f>FISC!AK1133</f>
        <v>44.396938397542485</v>
      </c>
      <c r="X19" s="1889">
        <f t="shared" si="8"/>
        <v>1.7557431871760656E-3</v>
      </c>
      <c r="Y19" s="2830">
        <f t="shared" si="9"/>
        <v>1.8185435568411992E-3</v>
      </c>
      <c r="Z19" s="1791">
        <f t="shared" si="29"/>
        <v>0</v>
      </c>
      <c r="AA19" s="1880">
        <f t="shared" si="38"/>
        <v>-6.2800369665133799E-5</v>
      </c>
      <c r="AB19" s="1947">
        <v>29.476193147379906</v>
      </c>
      <c r="AC19" s="1942">
        <f t="shared" si="10"/>
        <v>1.0644328201000199E-3</v>
      </c>
      <c r="AD19" s="1975">
        <f>FISCinyear!JR827</f>
        <v>15.987135736277054</v>
      </c>
      <c r="AE19" s="1975">
        <f t="shared" si="30"/>
        <v>13.489057411102852</v>
      </c>
      <c r="AF19" s="1796">
        <f>FISC!AL1133</f>
        <v>29.476193147379906</v>
      </c>
      <c r="AG19" s="1790">
        <f t="shared" si="11"/>
        <v>1.0217274204872356E-3</v>
      </c>
      <c r="AH19" s="2830">
        <f t="shared" si="12"/>
        <v>1.0644328201000199E-3</v>
      </c>
      <c r="AI19" s="1791">
        <f t="shared" si="31"/>
        <v>0</v>
      </c>
      <c r="AJ19" s="1880">
        <f t="shared" si="32"/>
        <v>-4.2705399612784356E-5</v>
      </c>
      <c r="AK19" s="1947">
        <v>31.974271472554108</v>
      </c>
      <c r="AL19" s="1942">
        <f t="shared" si="13"/>
        <v>1.0265814007526868E-3</v>
      </c>
      <c r="AM19" s="1975">
        <f>FISCinyear!JR827</f>
        <v>15.987135736277054</v>
      </c>
      <c r="AN19" s="1975">
        <f t="shared" si="33"/>
        <v>15.987135736277054</v>
      </c>
      <c r="AO19" s="1796">
        <f>FISC!AM1133</f>
        <v>31.974271472554108</v>
      </c>
      <c r="AP19" s="1790">
        <f t="shared" si="14"/>
        <v>9.8391658083453329E-4</v>
      </c>
      <c r="AQ19" s="2830">
        <f t="shared" si="15"/>
        <v>1.0265814007526868E-3</v>
      </c>
      <c r="AR19" s="1791">
        <f t="shared" si="40"/>
        <v>0</v>
      </c>
      <c r="AS19" s="1880">
        <f t="shared" si="34"/>
        <v>-4.2664819918153537E-5</v>
      </c>
      <c r="AT19" s="1947">
        <v>36.130926763986118</v>
      </c>
      <c r="AU19" s="1942">
        <f t="shared" si="16"/>
        <v>1.0348589753099455E-3</v>
      </c>
      <c r="AV19" s="1975">
        <f>FISCinyear!JU827</f>
        <v>18.065463381993059</v>
      </c>
      <c r="AW19" s="1975">
        <f t="shared" si="35"/>
        <v>18.065463381993059</v>
      </c>
      <c r="AX19" s="1796">
        <f>FISC!AN1133</f>
        <v>36.130926763986118</v>
      </c>
      <c r="AY19" s="1790">
        <f t="shared" si="17"/>
        <v>9.8543864736516272E-4</v>
      </c>
      <c r="AZ19" s="2830">
        <f t="shared" si="18"/>
        <v>1.0348589753099455E-3</v>
      </c>
      <c r="BA19" s="1791">
        <f t="shared" si="19"/>
        <v>0</v>
      </c>
      <c r="BB19" s="1880">
        <f t="shared" si="36"/>
        <v>-4.9420327944782764E-5</v>
      </c>
      <c r="BC19" s="1947">
        <v>40.827947243304322</v>
      </c>
      <c r="BD19" s="1942">
        <f t="shared" si="20"/>
        <v>1.04273472240022E-3</v>
      </c>
      <c r="BE19" s="1975">
        <f>FISCinyear!JX827</f>
        <v>20.372052361737477</v>
      </c>
      <c r="BF19" s="1975">
        <f t="shared" si="37"/>
        <v>20.372052361737477</v>
      </c>
      <c r="BG19" s="1796">
        <f>FISC!AO1133</f>
        <v>40.744104723474955</v>
      </c>
      <c r="BH19" s="1790">
        <f t="shared" si="21"/>
        <v>9.8794809096930782E-4</v>
      </c>
      <c r="BI19" s="2830">
        <f t="shared" si="22"/>
        <v>1.0405934071359816E-3</v>
      </c>
      <c r="BJ19" s="1791">
        <f t="shared" si="23"/>
        <v>-8.3842519829367745E-2</v>
      </c>
      <c r="BK19" s="1880">
        <f t="shared" si="24"/>
        <v>-5.4786631430912142E-5</v>
      </c>
      <c r="BL19" s="1796">
        <f>FISC!AP1133</f>
        <v>46.825856454800963</v>
      </c>
      <c r="BM19" s="1790">
        <f t="shared" si="25"/>
        <v>1.0185410030326028E-3</v>
      </c>
    </row>
    <row r="20" spans="1:67">
      <c r="A20" s="1787" t="s">
        <v>517</v>
      </c>
      <c r="B20" s="1795">
        <v>412.44366364680627</v>
      </c>
      <c r="C20" s="1788">
        <f t="shared" si="0"/>
        <v>2.3884331685216587E-2</v>
      </c>
      <c r="D20" s="1796">
        <f>FISC!AI1139</f>
        <v>395.34517266296109</v>
      </c>
      <c r="E20" s="1790">
        <f t="shared" si="1"/>
        <v>2.1315280909177038E-2</v>
      </c>
      <c r="F20" s="1791">
        <f t="shared" si="39"/>
        <v>-17.098490983845181</v>
      </c>
      <c r="G20" s="1880">
        <f t="shared" si="26"/>
        <v>-2.5690507760395484E-3</v>
      </c>
      <c r="H20" s="1947">
        <v>440.40229530523266</v>
      </c>
      <c r="I20" s="1942">
        <f t="shared" si="2"/>
        <v>2.2420131638169579E-2</v>
      </c>
      <c r="J20" s="1975">
        <v>211.39310174651166</v>
      </c>
      <c r="K20" s="1975">
        <f>FISCinyear!JI833</f>
        <v>231.60648306320502</v>
      </c>
      <c r="L20" s="1964">
        <f t="shared" si="27"/>
        <v>20.213381316693358</v>
      </c>
      <c r="M20" s="1964">
        <v>229.00919355872099</v>
      </c>
      <c r="N20" s="1964">
        <f t="shared" si="41"/>
        <v>150.98409245431105</v>
      </c>
      <c r="O20" s="1796">
        <f>FISC!AJ1139</f>
        <v>382.59057551751607</v>
      </c>
      <c r="P20" s="1889">
        <f t="shared" si="4"/>
        <v>1.7669579749105928E-2</v>
      </c>
      <c r="Q20" s="1791">
        <f t="shared" si="5"/>
        <v>-57.811719787716584</v>
      </c>
      <c r="R20" s="1880">
        <f t="shared" si="6"/>
        <v>-4.7505518890636513E-3</v>
      </c>
      <c r="S20" s="1947">
        <v>471.84806709969143</v>
      </c>
      <c r="T20" s="1942">
        <f t="shared" si="7"/>
        <v>1.9327374661483751E-2</v>
      </c>
      <c r="U20" s="1975">
        <f>FISCinyear!JL833</f>
        <v>177.22071765653578</v>
      </c>
      <c r="V20" s="1975">
        <f t="shared" si="28"/>
        <v>290.47542382284149</v>
      </c>
      <c r="W20" s="1796">
        <f>FISC!AK1139</f>
        <v>467.69614147937727</v>
      </c>
      <c r="X20" s="1889">
        <f t="shared" si="8"/>
        <v>1.8495741907203302E-2</v>
      </c>
      <c r="Y20" s="2830">
        <f t="shared" si="9"/>
        <v>1.9157307583486227E-2</v>
      </c>
      <c r="Z20" s="1791">
        <f t="shared" si="29"/>
        <v>-4.1519256203141595</v>
      </c>
      <c r="AA20" s="1880">
        <f t="shared" si="38"/>
        <v>-8.3163275428044942E-4</v>
      </c>
      <c r="AB20" s="1947">
        <v>524.0815618841425</v>
      </c>
      <c r="AC20" s="1942">
        <f t="shared" si="10"/>
        <v>1.8925429484381952E-2</v>
      </c>
      <c r="AD20" s="1975">
        <f>FISCinyear!JO833</f>
        <v>268.83531180677193</v>
      </c>
      <c r="AE20" s="1975">
        <f t="shared" si="30"/>
        <v>268.83531180677193</v>
      </c>
      <c r="AF20" s="1796">
        <f>FISC!AL1139</f>
        <v>537.67062361354385</v>
      </c>
      <c r="AG20" s="1790">
        <f t="shared" si="11"/>
        <v>1.8637169887905303E-2</v>
      </c>
      <c r="AH20" s="2830">
        <f t="shared" si="12"/>
        <v>1.9416152395132915E-2</v>
      </c>
      <c r="AI20" s="1791">
        <f t="shared" si="31"/>
        <v>13.589061729401351</v>
      </c>
      <c r="AJ20" s="1880">
        <f t="shared" si="32"/>
        <v>-2.8825959647664837E-4</v>
      </c>
      <c r="AK20" s="1947">
        <v>598.93127934718109</v>
      </c>
      <c r="AL20" s="1942">
        <f t="shared" si="13"/>
        <v>1.9229576887611052E-2</v>
      </c>
      <c r="AM20" s="1975">
        <f>FISCinyear!JR833</f>
        <v>303.18700162756249</v>
      </c>
      <c r="AN20" s="1975">
        <f t="shared" si="33"/>
        <v>303.18700162756249</v>
      </c>
      <c r="AO20" s="1796">
        <f>FISC!AM1139</f>
        <v>606.37400325512499</v>
      </c>
      <c r="AP20" s="1790">
        <f t="shared" si="14"/>
        <v>1.8659422357812133E-2</v>
      </c>
      <c r="AQ20" s="2830">
        <f t="shared" si="15"/>
        <v>1.9468536575602415E-2</v>
      </c>
      <c r="AR20" s="1791">
        <f t="shared" si="40"/>
        <v>7.4427239079439005</v>
      </c>
      <c r="AS20" s="1880">
        <f t="shared" si="34"/>
        <v>-5.7015452979891981E-4</v>
      </c>
      <c r="AT20" s="1947">
        <v>668.42528564402824</v>
      </c>
      <c r="AU20" s="1942">
        <f t="shared" si="16"/>
        <v>1.9144980993466291E-2</v>
      </c>
      <c r="AV20" s="1975">
        <f>FISCinyear!JU833</f>
        <v>336.40999819410786</v>
      </c>
      <c r="AW20" s="1975">
        <f t="shared" si="35"/>
        <v>336.40999819410786</v>
      </c>
      <c r="AX20" s="1796">
        <f>FISC!AN1139</f>
        <v>672.81999638821571</v>
      </c>
      <c r="AY20" s="1790">
        <f t="shared" si="17"/>
        <v>1.8350562427917345E-2</v>
      </c>
      <c r="AZ20" s="2830">
        <f t="shared" si="18"/>
        <v>1.927085393016734E-2</v>
      </c>
      <c r="BA20" s="1791">
        <f t="shared" si="19"/>
        <v>4.3947107441874778</v>
      </c>
      <c r="BB20" s="1880">
        <f t="shared" si="36"/>
        <v>-7.9441856554894608E-4</v>
      </c>
      <c r="BC20" s="1947">
        <v>778.36223907465637</v>
      </c>
      <c r="BD20" s="1942">
        <f t="shared" si="20"/>
        <v>1.987916092013247E-2</v>
      </c>
      <c r="BE20" s="1975">
        <f>FISCinyear!JX833</f>
        <v>390.50614222313266</v>
      </c>
      <c r="BF20" s="1975">
        <f t="shared" si="37"/>
        <v>390.50614222313266</v>
      </c>
      <c r="BG20" s="1796">
        <f>FISC!AO1139</f>
        <v>781.01228444626531</v>
      </c>
      <c r="BH20" s="1790">
        <f t="shared" si="21"/>
        <v>1.8937699102214024E-2</v>
      </c>
      <c r="BI20" s="2830">
        <f t="shared" si="22"/>
        <v>1.9946842361681451E-2</v>
      </c>
      <c r="BJ20" s="1791">
        <f t="shared" si="23"/>
        <v>2.6500453716089396</v>
      </c>
      <c r="BK20" s="1880">
        <f t="shared" si="24"/>
        <v>-9.4146181791844585E-4</v>
      </c>
      <c r="BL20" s="1796">
        <f>FISC!AP1139</f>
        <v>875.43718412141823</v>
      </c>
      <c r="BM20" s="1790">
        <f t="shared" si="25"/>
        <v>1.9042228698320916E-2</v>
      </c>
    </row>
    <row r="21" spans="1:67">
      <c r="A21" s="1809" t="s">
        <v>3050</v>
      </c>
      <c r="B21" s="1795">
        <v>247.18529048895536</v>
      </c>
      <c r="C21" s="1788">
        <f t="shared" si="0"/>
        <v>1.4314331837573227E-2</v>
      </c>
      <c r="D21" s="1796">
        <v>247.18529048895536</v>
      </c>
      <c r="E21" s="1790">
        <f t="shared" si="1"/>
        <v>1.3327148698690139E-2</v>
      </c>
      <c r="F21" s="1791">
        <f t="shared" si="39"/>
        <v>0</v>
      </c>
      <c r="G21" s="1880">
        <f t="shared" si="26"/>
        <v>-9.8718313888308817E-4</v>
      </c>
      <c r="H21" s="1947">
        <v>208.97773724750209</v>
      </c>
      <c r="I21" s="1942">
        <f t="shared" si="2"/>
        <v>1.0638701088713745E-2</v>
      </c>
      <c r="J21" s="1975">
        <v>104.48886862375105</v>
      </c>
      <c r="K21" s="1975">
        <f>FISCinyear!JI840</f>
        <v>136.90248644169188</v>
      </c>
      <c r="L21" s="1964">
        <f t="shared" si="27"/>
        <v>32.413617817940832</v>
      </c>
      <c r="M21" s="1964">
        <v>104.48886862375105</v>
      </c>
      <c r="N21" s="1964">
        <f t="shared" si="41"/>
        <v>59.577780996054003</v>
      </c>
      <c r="O21" s="1796">
        <f>FISC!AJ1146</f>
        <v>196.48026743774588</v>
      </c>
      <c r="P21" s="1889">
        <f t="shared" si="4"/>
        <v>9.0742532011428654E-3</v>
      </c>
      <c r="Q21" s="1791">
        <f t="shared" si="5"/>
        <v>-12.497469809756211</v>
      </c>
      <c r="R21" s="1880">
        <f t="shared" si="6"/>
        <v>-1.5644478875708797E-3</v>
      </c>
      <c r="S21" s="1947">
        <v>192.47571639526876</v>
      </c>
      <c r="T21" s="1942">
        <f t="shared" si="7"/>
        <v>7.8840002606662858E-3</v>
      </c>
      <c r="U21" s="1975">
        <f>FISCinyear!JL840</f>
        <v>69.925030717445807</v>
      </c>
      <c r="V21" s="1975">
        <f t="shared" si="28"/>
        <v>122.23216769641884</v>
      </c>
      <c r="W21" s="1796">
        <f>FISC!AK1146</f>
        <v>192.15719841386465</v>
      </c>
      <c r="X21" s="1889">
        <f t="shared" si="8"/>
        <v>7.5991431877802038E-3</v>
      </c>
      <c r="Y21" s="2830">
        <f t="shared" si="9"/>
        <v>7.8709534415898463E-3</v>
      </c>
      <c r="Z21" s="1791">
        <f t="shared" si="29"/>
        <v>-0.31851798140411347</v>
      </c>
      <c r="AA21" s="1880">
        <f t="shared" si="38"/>
        <v>-2.8485707288608206E-4</v>
      </c>
      <c r="AB21" s="1947">
        <v>204.13907831225228</v>
      </c>
      <c r="AC21" s="1942">
        <f t="shared" si="10"/>
        <v>7.3717909817619812E-3</v>
      </c>
      <c r="AD21" s="1975">
        <f>FISCinyear!JO840</f>
        <v>111.16207639181843</v>
      </c>
      <c r="AE21" s="1975">
        <f t="shared" si="30"/>
        <v>111.16207639181843</v>
      </c>
      <c r="AF21" s="1796">
        <f>FISC!AL1146</f>
        <v>222.32415278363686</v>
      </c>
      <c r="AG21" s="1790">
        <f t="shared" si="11"/>
        <v>7.7063778894333503E-3</v>
      </c>
      <c r="AH21" s="2830">
        <f t="shared" si="12"/>
        <v>8.0284833167090855E-3</v>
      </c>
      <c r="AI21" s="1791">
        <f t="shared" si="31"/>
        <v>18.185074471384581</v>
      </c>
      <c r="AJ21" s="1880">
        <f t="shared" si="32"/>
        <v>3.3458690767136905E-4</v>
      </c>
      <c r="AK21" s="1947">
        <v>216.35653061248723</v>
      </c>
      <c r="AL21" s="1942">
        <f t="shared" si="13"/>
        <v>6.9464472536554947E-3</v>
      </c>
      <c r="AM21" s="1975">
        <f>FISCinyear!JR840</f>
        <v>116.47519139786675</v>
      </c>
      <c r="AN21" s="1975">
        <f t="shared" si="33"/>
        <v>116.47519139786675</v>
      </c>
      <c r="AO21" s="1796">
        <f>FISC!AM1146</f>
        <v>232.9503827957335</v>
      </c>
      <c r="AP21" s="1790">
        <f t="shared" si="14"/>
        <v>7.168380500591434E-3</v>
      </c>
      <c r="AQ21" s="2830">
        <f t="shared" si="15"/>
        <v>7.4792174852706958E-3</v>
      </c>
      <c r="AR21" s="1791">
        <f t="shared" si="40"/>
        <v>16.59385218324627</v>
      </c>
      <c r="AS21" s="1880">
        <f t="shared" si="34"/>
        <v>2.2193324693593926E-4</v>
      </c>
      <c r="AT21" s="1947">
        <v>227.65507569743241</v>
      </c>
      <c r="AU21" s="1942">
        <f t="shared" si="16"/>
        <v>6.5204775924867977E-3</v>
      </c>
      <c r="AV21" s="1975">
        <f>FISCinyear!JU840</f>
        <v>121.99338547456286</v>
      </c>
      <c r="AW21" s="1975">
        <f t="shared" si="35"/>
        <v>121.99338547456286</v>
      </c>
      <c r="AX21" s="1796">
        <f>FISC!AN1146</f>
        <v>243.98677094912571</v>
      </c>
      <c r="AY21" s="1790">
        <f t="shared" si="17"/>
        <v>6.6545205194890079E-3</v>
      </c>
      <c r="AZ21" s="2830">
        <f t="shared" si="18"/>
        <v>6.9882486387055145E-3</v>
      </c>
      <c r="BA21" s="1791">
        <f t="shared" si="19"/>
        <v>16.331695251693304</v>
      </c>
      <c r="BB21" s="1880">
        <f t="shared" si="36"/>
        <v>1.3404292700221025E-4</v>
      </c>
      <c r="BC21" s="1947">
        <v>236.97923714064379</v>
      </c>
      <c r="BD21" s="1942">
        <f t="shared" si="20"/>
        <v>6.0523855775038984E-3</v>
      </c>
      <c r="BE21" s="1975">
        <f>FISCinyear!JX840</f>
        <v>126.8463475360462</v>
      </c>
      <c r="BF21" s="1975">
        <f t="shared" si="37"/>
        <v>126.8463475360462</v>
      </c>
      <c r="BG21" s="1796">
        <f>FISC!AO1146</f>
        <v>253.69269507209239</v>
      </c>
      <c r="BH21" s="1790">
        <f t="shared" si="21"/>
        <v>6.1514473195659015E-3</v>
      </c>
      <c r="BI21" s="2830">
        <f t="shared" si="22"/>
        <v>6.4792427695307374E-3</v>
      </c>
      <c r="BJ21" s="1791">
        <f t="shared" si="23"/>
        <v>16.713457931448602</v>
      </c>
      <c r="BK21" s="1880">
        <f t="shared" si="24"/>
        <v>9.9061742062003105E-5</v>
      </c>
      <c r="BL21" s="1796">
        <f>FISC!AP1146</f>
        <v>271.2538131002209</v>
      </c>
      <c r="BM21" s="1790">
        <f t="shared" si="25"/>
        <v>5.9002258963101227E-3</v>
      </c>
    </row>
    <row r="22" spans="1:67">
      <c r="A22" s="1787" t="s">
        <v>522</v>
      </c>
      <c r="B22" s="1795">
        <v>28.141443991716802</v>
      </c>
      <c r="C22" s="1788">
        <f t="shared" si="0"/>
        <v>1.6296518570708177E-3</v>
      </c>
      <c r="D22" s="1796">
        <f>FISC!AI1149</f>
        <v>40.193787316184228</v>
      </c>
      <c r="E22" s="1790">
        <f t="shared" si="1"/>
        <v>2.1670730457573379E-3</v>
      </c>
      <c r="F22" s="1791">
        <f t="shared" si="39"/>
        <v>12.052343324467426</v>
      </c>
      <c r="G22" s="1880">
        <f t="shared" si="26"/>
        <v>5.3742118868652013E-4</v>
      </c>
      <c r="H22" s="1947">
        <v>36.629993387817201</v>
      </c>
      <c r="I22" s="1942">
        <f t="shared" si="2"/>
        <v>1.8647706481433165E-3</v>
      </c>
      <c r="J22" s="1975">
        <v>17.582396826152255</v>
      </c>
      <c r="K22" s="1975">
        <f>FISCinyear!JI843</f>
        <v>23.372988898650188</v>
      </c>
      <c r="L22" s="1964">
        <f t="shared" si="27"/>
        <v>5.7905920724979332</v>
      </c>
      <c r="M22" s="1964">
        <v>19.047596561664946</v>
      </c>
      <c r="N22" s="1964">
        <f t="shared" si="41"/>
        <v>23.437293706860007</v>
      </c>
      <c r="O22" s="1796">
        <f>FISC!AJ1149</f>
        <v>46.810282605510196</v>
      </c>
      <c r="P22" s="1889">
        <f t="shared" si="4"/>
        <v>2.1618881240277193E-3</v>
      </c>
      <c r="Q22" s="1791">
        <f t="shared" si="5"/>
        <v>10.180289217692994</v>
      </c>
      <c r="R22" s="1880">
        <f t="shared" si="6"/>
        <v>2.971174758844028E-4</v>
      </c>
      <c r="S22" s="1947">
        <v>41.79092164795977</v>
      </c>
      <c r="T22" s="1942">
        <f t="shared" si="7"/>
        <v>1.7117984717063147E-3</v>
      </c>
      <c r="U22" s="1975">
        <f>FISCinyear!JL843</f>
        <v>24.358019223650004</v>
      </c>
      <c r="V22" s="1975">
        <f t="shared" si="28"/>
        <v>17.432902424309766</v>
      </c>
      <c r="W22" s="1796">
        <f>FISC!AK1149</f>
        <v>41.79092164795977</v>
      </c>
      <c r="X22" s="1889">
        <f t="shared" si="8"/>
        <v>1.6526843655794883E-3</v>
      </c>
      <c r="Y22" s="2830">
        <f t="shared" si="9"/>
        <v>1.7117984717063147E-3</v>
      </c>
      <c r="Z22" s="1791">
        <f t="shared" si="29"/>
        <v>0</v>
      </c>
      <c r="AA22" s="1880">
        <f t="shared" si="38"/>
        <v>-5.9114106126826379E-5</v>
      </c>
      <c r="AB22" s="1947">
        <v>46.634480604139682</v>
      </c>
      <c r="AC22" s="1942">
        <f t="shared" si="10"/>
        <v>1.6840462218160094E-3</v>
      </c>
      <c r="AD22" s="1975">
        <f>FISCinyear!JO843</f>
        <v>23.317240302069841</v>
      </c>
      <c r="AE22" s="1975">
        <f t="shared" si="30"/>
        <v>23.317240302069841</v>
      </c>
      <c r="AF22" s="1796">
        <f>FISC!AL1149</f>
        <v>46.634480604139682</v>
      </c>
      <c r="AG22" s="1790">
        <f t="shared" si="11"/>
        <v>1.6164817259539837E-3</v>
      </c>
      <c r="AH22" s="2830">
        <f t="shared" si="12"/>
        <v>1.6840462218160094E-3</v>
      </c>
      <c r="AI22" s="1791">
        <f t="shared" si="31"/>
        <v>0</v>
      </c>
      <c r="AJ22" s="1880">
        <f t="shared" si="32"/>
        <v>-6.7564495862025694E-5</v>
      </c>
      <c r="AK22" s="1947">
        <v>52.306451580951517</v>
      </c>
      <c r="AL22" s="1942">
        <f t="shared" si="13"/>
        <v>1.679376194027369E-3</v>
      </c>
      <c r="AM22" s="1975">
        <f>FISCinyear!JR843</f>
        <v>26.153225790475759</v>
      </c>
      <c r="AN22" s="1975">
        <f t="shared" si="33"/>
        <v>26.153225790475759</v>
      </c>
      <c r="AO22" s="1796">
        <f>FISC!AM1149</f>
        <v>52.306451580951517</v>
      </c>
      <c r="AP22" s="1790">
        <f t="shared" si="14"/>
        <v>1.6095811608809688E-3</v>
      </c>
      <c r="AQ22" s="2830">
        <f t="shared" si="15"/>
        <v>1.679376194027369E-3</v>
      </c>
      <c r="AR22" s="1791">
        <f t="shared" si="40"/>
        <v>0</v>
      </c>
      <c r="AS22" s="1880">
        <f t="shared" si="34"/>
        <v>-6.9795033146400221E-5</v>
      </c>
      <c r="AT22" s="1947">
        <v>55.436043478886212</v>
      </c>
      <c r="AU22" s="1942">
        <f t="shared" si="16"/>
        <v>1.5877945097987473E-3</v>
      </c>
      <c r="AV22" s="1975">
        <f>FISCinyear!JU843</f>
        <v>27.718021739443103</v>
      </c>
      <c r="AW22" s="1975">
        <f t="shared" si="35"/>
        <v>27.718021739443103</v>
      </c>
      <c r="AX22" s="1796">
        <f>FISC!AN1149</f>
        <v>55.436043478886205</v>
      </c>
      <c r="AY22" s="1790">
        <f t="shared" si="17"/>
        <v>1.5119684047396709E-3</v>
      </c>
      <c r="AZ22" s="2830">
        <f t="shared" si="18"/>
        <v>1.5877945097987471E-3</v>
      </c>
      <c r="BA22" s="1791">
        <f t="shared" si="19"/>
        <v>0</v>
      </c>
      <c r="BB22" s="1880">
        <f t="shared" si="36"/>
        <v>-7.5826105059076431E-5</v>
      </c>
      <c r="BC22" s="1947">
        <v>58.920793214004348</v>
      </c>
      <c r="BD22" s="1942">
        <f t="shared" si="20"/>
        <v>1.5048211116144565E-3</v>
      </c>
      <c r="BE22" s="1975">
        <f>FISCinyear!JX843</f>
        <v>29.399898001182386</v>
      </c>
      <c r="BF22" s="1975">
        <f t="shared" si="37"/>
        <v>29.399898001182386</v>
      </c>
      <c r="BG22" s="1796">
        <f>FISC!AO1149</f>
        <v>58.799796002364772</v>
      </c>
      <c r="BH22" s="1790">
        <f t="shared" si="21"/>
        <v>1.4257558634354153E-3</v>
      </c>
      <c r="BI22" s="2830">
        <f t="shared" si="22"/>
        <v>1.5017308755774026E-3</v>
      </c>
      <c r="BJ22" s="1791">
        <f t="shared" si="23"/>
        <v>-0.12099721163957611</v>
      </c>
      <c r="BK22" s="1880">
        <f t="shared" si="24"/>
        <v>-7.9065248179041245E-5</v>
      </c>
      <c r="BL22" s="1796">
        <f>FISC!AP1149</f>
        <v>61.045004031699968</v>
      </c>
      <c r="BM22" s="1790">
        <f t="shared" si="25"/>
        <v>1.3278313381538181E-3</v>
      </c>
    </row>
    <row r="23" spans="1:67">
      <c r="A23" s="1815" t="s">
        <v>82</v>
      </c>
      <c r="B23" s="1798">
        <v>0</v>
      </c>
      <c r="C23" s="1799">
        <f t="shared" si="0"/>
        <v>0</v>
      </c>
      <c r="D23" s="1800">
        <f>FISC!AI1155</f>
        <v>0</v>
      </c>
      <c r="E23" s="1801">
        <f t="shared" si="1"/>
        <v>0</v>
      </c>
      <c r="F23" s="1802">
        <f t="shared" si="39"/>
        <v>0</v>
      </c>
      <c r="G23" s="1881">
        <f t="shared" si="26"/>
        <v>0</v>
      </c>
      <c r="H23" s="1950">
        <v>52.070578646999998</v>
      </c>
      <c r="I23" s="1949">
        <f t="shared" si="2"/>
        <v>2.6508245760442366E-3</v>
      </c>
      <c r="J23" s="1976">
        <v>52.070578646999998</v>
      </c>
      <c r="K23" s="1976">
        <f>FISCinyear!JI845</f>
        <v>52.070578646999998</v>
      </c>
      <c r="L23" s="1966">
        <f t="shared" si="27"/>
        <v>0</v>
      </c>
      <c r="M23" s="1966">
        <v>0</v>
      </c>
      <c r="N23" s="1966">
        <f t="shared" si="41"/>
        <v>0</v>
      </c>
      <c r="O23" s="1800">
        <f>FISC!AJ1151</f>
        <v>52.070578646999998</v>
      </c>
      <c r="P23" s="1890">
        <f t="shared" si="4"/>
        <v>2.404829864773121E-3</v>
      </c>
      <c r="Q23" s="1802">
        <f t="shared" si="5"/>
        <v>0</v>
      </c>
      <c r="R23" s="1881">
        <f t="shared" si="6"/>
        <v>-2.459947112711156E-4</v>
      </c>
      <c r="S23" s="1950">
        <v>0</v>
      </c>
      <c r="T23" s="1949">
        <f t="shared" si="7"/>
        <v>0</v>
      </c>
      <c r="U23" s="1976">
        <f>FISCinyear!JL849</f>
        <v>0</v>
      </c>
      <c r="V23" s="1976">
        <f t="shared" si="28"/>
        <v>0</v>
      </c>
      <c r="W23" s="1800">
        <f>FISC!AK1155</f>
        <v>0</v>
      </c>
      <c r="X23" s="1890">
        <f t="shared" si="8"/>
        <v>0</v>
      </c>
      <c r="Y23" s="2832">
        <f t="shared" si="9"/>
        <v>0</v>
      </c>
      <c r="Z23" s="1802">
        <f t="shared" si="29"/>
        <v>0</v>
      </c>
      <c r="AA23" s="1881">
        <f t="shared" si="38"/>
        <v>0</v>
      </c>
      <c r="AB23" s="1950">
        <v>0</v>
      </c>
      <c r="AC23" s="1949">
        <f t="shared" si="10"/>
        <v>0</v>
      </c>
      <c r="AD23" s="1976">
        <f>FISCinyear!JO845</f>
        <v>0</v>
      </c>
      <c r="AE23" s="1976">
        <f t="shared" si="30"/>
        <v>0</v>
      </c>
      <c r="AF23" s="1800">
        <v>0</v>
      </c>
      <c r="AG23" s="1801">
        <f t="shared" si="11"/>
        <v>0</v>
      </c>
      <c r="AH23" s="2832">
        <f t="shared" si="12"/>
        <v>0</v>
      </c>
      <c r="AI23" s="1802">
        <f t="shared" si="31"/>
        <v>0</v>
      </c>
      <c r="AJ23" s="1881">
        <f t="shared" si="32"/>
        <v>0</v>
      </c>
      <c r="AK23" s="1950">
        <v>0</v>
      </c>
      <c r="AL23" s="1949">
        <f t="shared" si="13"/>
        <v>0</v>
      </c>
      <c r="AM23" s="1976">
        <f>FISCinyear!JR845</f>
        <v>0</v>
      </c>
      <c r="AN23" s="1976">
        <f t="shared" si="33"/>
        <v>0</v>
      </c>
      <c r="AO23" s="1800">
        <v>0</v>
      </c>
      <c r="AP23" s="1801">
        <f t="shared" si="14"/>
        <v>0</v>
      </c>
      <c r="AQ23" s="2832">
        <f t="shared" si="15"/>
        <v>0</v>
      </c>
      <c r="AR23" s="1802">
        <f t="shared" si="40"/>
        <v>0</v>
      </c>
      <c r="AS23" s="1881">
        <f t="shared" si="34"/>
        <v>0</v>
      </c>
      <c r="AT23" s="1950">
        <v>0</v>
      </c>
      <c r="AU23" s="1949">
        <f t="shared" si="16"/>
        <v>0</v>
      </c>
      <c r="AV23" s="1976">
        <f>FISCinyear!JZ845</f>
        <v>0</v>
      </c>
      <c r="AW23" s="1976">
        <f t="shared" si="35"/>
        <v>0</v>
      </c>
      <c r="AX23" s="1800">
        <v>0</v>
      </c>
      <c r="AY23" s="1801">
        <f t="shared" si="17"/>
        <v>0</v>
      </c>
      <c r="AZ23" s="2832">
        <f t="shared" si="18"/>
        <v>0</v>
      </c>
      <c r="BA23" s="1802">
        <f t="shared" si="19"/>
        <v>0</v>
      </c>
      <c r="BB23" s="1881">
        <f t="shared" si="36"/>
        <v>0</v>
      </c>
      <c r="BC23" s="1950">
        <v>0</v>
      </c>
      <c r="BD23" s="1949">
        <f t="shared" si="20"/>
        <v>0</v>
      </c>
      <c r="BE23" s="1976">
        <v>0</v>
      </c>
      <c r="BF23" s="1976">
        <f t="shared" si="37"/>
        <v>0</v>
      </c>
      <c r="BG23" s="1800">
        <v>0</v>
      </c>
      <c r="BH23" s="1801">
        <f t="shared" si="21"/>
        <v>0</v>
      </c>
      <c r="BI23" s="2832">
        <f t="shared" si="22"/>
        <v>0</v>
      </c>
      <c r="BJ23" s="1802">
        <f t="shared" si="23"/>
        <v>0</v>
      </c>
      <c r="BK23" s="1881">
        <f t="shared" si="24"/>
        <v>0</v>
      </c>
      <c r="BL23" s="1800">
        <v>0</v>
      </c>
      <c r="BM23" s="1801">
        <f t="shared" si="25"/>
        <v>0</v>
      </c>
    </row>
    <row r="24" spans="1:67">
      <c r="A24" s="1818" t="s">
        <v>557</v>
      </c>
      <c r="B24" s="1820">
        <v>3214.7330120331312</v>
      </c>
      <c r="C24" s="1821">
        <f t="shared" si="0"/>
        <v>0.18616299947467801</v>
      </c>
      <c r="D24" s="1822">
        <f>FISC!AI1156</f>
        <v>3172.9419577729877</v>
      </c>
      <c r="E24" s="1823">
        <f t="shared" si="1"/>
        <v>0.17107113938660132</v>
      </c>
      <c r="F24" s="1824">
        <f t="shared" ref="F24:F57" si="42">D24-B24</f>
        <v>-41.791054260143483</v>
      </c>
      <c r="G24" s="1885">
        <f t="shared" si="26"/>
        <v>-1.5091860088076697E-2</v>
      </c>
      <c r="H24" s="1951">
        <v>3440.6427815221341</v>
      </c>
      <c r="I24" s="1952">
        <f t="shared" si="2"/>
        <v>0.17515727075895568</v>
      </c>
      <c r="J24" s="1977">
        <v>1715.827280431758</v>
      </c>
      <c r="K24" s="1977">
        <f>FISCinyear!JI850</f>
        <v>1720.5215581550947</v>
      </c>
      <c r="L24" s="1967">
        <f t="shared" si="27"/>
        <v>4.6942777233366542</v>
      </c>
      <c r="M24" s="1967">
        <v>1724.8155010903761</v>
      </c>
      <c r="N24" s="1967">
        <f t="shared" si="41"/>
        <v>1696.2314863102383</v>
      </c>
      <c r="O24" s="1822">
        <f>FISC!AJ1156</f>
        <v>3416.753044465333</v>
      </c>
      <c r="P24" s="1894">
        <f t="shared" si="4"/>
        <v>0.15779947093708963</v>
      </c>
      <c r="Q24" s="1824">
        <f t="shared" si="5"/>
        <v>-23.889737056801096</v>
      </c>
      <c r="R24" s="1885">
        <f t="shared" si="6"/>
        <v>-1.7357799821866055E-2</v>
      </c>
      <c r="S24" s="1951">
        <v>3853.8591667967021</v>
      </c>
      <c r="T24" s="1952">
        <f t="shared" si="7"/>
        <v>0.15785797421426412</v>
      </c>
      <c r="U24" s="1977">
        <f>FISCinyear!JL850</f>
        <v>1884.4943437632749</v>
      </c>
      <c r="V24" s="1977">
        <f t="shared" si="28"/>
        <v>2011.432627391973</v>
      </c>
      <c r="W24" s="1822">
        <f>FISC!AK1156</f>
        <v>3895.9269711552479</v>
      </c>
      <c r="X24" s="1894">
        <f t="shared" si="8"/>
        <v>0.15407024637806874</v>
      </c>
      <c r="Y24" s="2833">
        <f t="shared" si="9"/>
        <v>0.15958111408219081</v>
      </c>
      <c r="Z24" s="1824">
        <f t="shared" si="29"/>
        <v>42.0678043585458</v>
      </c>
      <c r="AA24" s="1885">
        <f t="shared" si="38"/>
        <v>-3.7877278361953814E-3</v>
      </c>
      <c r="AB24" s="1951">
        <v>4343.6920021110391</v>
      </c>
      <c r="AC24" s="1952">
        <f t="shared" si="10"/>
        <v>0.15685771579577049</v>
      </c>
      <c r="AD24" s="1977">
        <f>FISCinyear!JO850</f>
        <v>2464.7480025445948</v>
      </c>
      <c r="AE24" s="1977">
        <f t="shared" si="30"/>
        <v>2024.9461992453307</v>
      </c>
      <c r="AF24" s="1822">
        <f>FISC!AL1156</f>
        <v>4489.6942017899255</v>
      </c>
      <c r="AG24" s="1823">
        <f t="shared" si="11"/>
        <v>0.15562537715217378</v>
      </c>
      <c r="AH24" s="2833">
        <f t="shared" si="12"/>
        <v>0.16213009043275162</v>
      </c>
      <c r="AI24" s="1824">
        <f t="shared" si="31"/>
        <v>146.00219967888643</v>
      </c>
      <c r="AJ24" s="1885">
        <f t="shared" si="32"/>
        <v>-1.2323386435967032E-3</v>
      </c>
      <c r="AK24" s="1951">
        <v>4912.289624487008</v>
      </c>
      <c r="AL24" s="1952">
        <f t="shared" si="13"/>
        <v>0.15771634290205575</v>
      </c>
      <c r="AM24" s="1977">
        <f>FISCinyear!JR850</f>
        <v>2694.9171572736018</v>
      </c>
      <c r="AN24" s="1977">
        <f t="shared" si="33"/>
        <v>2338.8856298565165</v>
      </c>
      <c r="AO24" s="1822">
        <f>FISC!AM1156</f>
        <v>5033.8027871301183</v>
      </c>
      <c r="AP24" s="1823">
        <f t="shared" si="14"/>
        <v>0.1549008561824404</v>
      </c>
      <c r="AQ24" s="2833">
        <f t="shared" si="15"/>
        <v>0.16161770318240271</v>
      </c>
      <c r="AR24" s="1824">
        <f t="shared" ref="AR24:AR57" si="43">AO24-AK24</f>
        <v>121.51316264311026</v>
      </c>
      <c r="AS24" s="1885">
        <f t="shared" si="34"/>
        <v>-2.8154867196153455E-3</v>
      </c>
      <c r="AT24" s="1951">
        <v>5445.9750688918166</v>
      </c>
      <c r="AU24" s="1952">
        <f t="shared" si="16"/>
        <v>0.15598316135567425</v>
      </c>
      <c r="AV24" s="1977">
        <f>FISCinyear!JU850</f>
        <v>2914.7278894956148</v>
      </c>
      <c r="AW24" s="1977">
        <f t="shared" si="35"/>
        <v>2573.8916740490154</v>
      </c>
      <c r="AX24" s="1822">
        <f>FISC!AN1156</f>
        <v>5488.6195635446302</v>
      </c>
      <c r="AY24" s="1823">
        <f t="shared" si="17"/>
        <v>0.14969717975771843</v>
      </c>
      <c r="AZ24" s="2833">
        <f t="shared" si="18"/>
        <v>0.15720458139638599</v>
      </c>
      <c r="BA24" s="1824">
        <f t="shared" ref="BA24:BA29" si="44">AX24-AT24</f>
        <v>42.644494652813592</v>
      </c>
      <c r="BB24" s="1885">
        <f t="shared" si="36"/>
        <v>-6.2859815979558198E-3</v>
      </c>
      <c r="BC24" s="1951">
        <v>6169.9823069720505</v>
      </c>
      <c r="BD24" s="1952">
        <f t="shared" si="20"/>
        <v>0.15757967819775395</v>
      </c>
      <c r="BE24" s="1977">
        <f>FISCinyear!JX850</f>
        <v>3367.4340980222369</v>
      </c>
      <c r="BF24" s="1977">
        <f t="shared" si="37"/>
        <v>2917.533222204429</v>
      </c>
      <c r="BG24" s="1822">
        <f>FISC!AO1156</f>
        <v>6284.9673202266658</v>
      </c>
      <c r="BH24" s="1823">
        <f t="shared" si="21"/>
        <v>0.15239557987501789</v>
      </c>
      <c r="BI24" s="2833">
        <f t="shared" si="22"/>
        <v>0.16051636431527361</v>
      </c>
      <c r="BJ24" s="1824">
        <f t="shared" si="23"/>
        <v>114.9850132546153</v>
      </c>
      <c r="BK24" s="1885">
        <f t="shared" si="24"/>
        <v>-5.1840983227360582E-3</v>
      </c>
      <c r="BL24" s="1822">
        <f>FISC!AP1156</f>
        <v>7156.0094859466881</v>
      </c>
      <c r="BM24" s="1823">
        <f t="shared" si="25"/>
        <v>0.15565522195119755</v>
      </c>
    </row>
    <row r="25" spans="1:67">
      <c r="A25" s="1787" t="s">
        <v>527</v>
      </c>
      <c r="B25" s="1795">
        <v>467.56137557676493</v>
      </c>
      <c r="C25" s="1788">
        <f t="shared" si="0"/>
        <v>2.7076160847593261E-2</v>
      </c>
      <c r="D25" s="1796">
        <f>FISC!AI1157</f>
        <v>467.40752950900003</v>
      </c>
      <c r="E25" s="1790">
        <f t="shared" si="1"/>
        <v>2.5200567705027634E-2</v>
      </c>
      <c r="F25" s="1791">
        <f t="shared" si="42"/>
        <v>-0.15384606776490273</v>
      </c>
      <c r="G25" s="1880">
        <f t="shared" si="26"/>
        <v>-1.8755931425656278E-3</v>
      </c>
      <c r="H25" s="1947">
        <v>550.16441264770879</v>
      </c>
      <c r="I25" s="1942">
        <f t="shared" si="2"/>
        <v>2.8007934303904896E-2</v>
      </c>
      <c r="J25" s="1975">
        <v>284.30514802870675</v>
      </c>
      <c r="K25" s="1975">
        <f>FISCinyear!JI851</f>
        <v>274.84850028599999</v>
      </c>
      <c r="L25" s="1964">
        <f t="shared" si="27"/>
        <v>-9.4566477427067639</v>
      </c>
      <c r="M25" s="1964">
        <v>265.85926461900203</v>
      </c>
      <c r="N25" s="1964">
        <f t="shared" si="41"/>
        <v>294.22261179399993</v>
      </c>
      <c r="O25" s="1796">
        <f>FISC!AJ1157</f>
        <v>569.07111207999992</v>
      </c>
      <c r="P25" s="1889">
        <f t="shared" si="4"/>
        <v>2.6282004945387363E-2</v>
      </c>
      <c r="Q25" s="1791">
        <f t="shared" si="5"/>
        <v>18.906699432291134</v>
      </c>
      <c r="R25" s="1880">
        <f t="shared" si="6"/>
        <v>-1.7259293585175327E-3</v>
      </c>
      <c r="S25" s="1947">
        <v>673.21571377579289</v>
      </c>
      <c r="T25" s="1942">
        <f t="shared" si="7"/>
        <v>2.7575597391170211E-2</v>
      </c>
      <c r="U25" s="1975">
        <f>FISCinyear!JL851</f>
        <v>336.01676903199996</v>
      </c>
      <c r="V25" s="1975">
        <f t="shared" si="28"/>
        <v>337.19894474379294</v>
      </c>
      <c r="W25" s="1796">
        <f>FISC!AK1157</f>
        <v>673.21571377579289</v>
      </c>
      <c r="X25" s="1889">
        <f t="shared" si="8"/>
        <v>2.6623320112252331E-2</v>
      </c>
      <c r="Y25" s="2830">
        <f t="shared" si="9"/>
        <v>2.7575597391170211E-2</v>
      </c>
      <c r="Z25" s="1791">
        <f t="shared" si="29"/>
        <v>0</v>
      </c>
      <c r="AA25" s="1880">
        <f t="shared" si="38"/>
        <v>-9.5227727891787975E-4</v>
      </c>
      <c r="AB25" s="1947">
        <v>757.76075141096021</v>
      </c>
      <c r="AC25" s="1942">
        <f t="shared" si="10"/>
        <v>2.7363961470620729E-2</v>
      </c>
      <c r="AD25" s="1975">
        <f>FISCinyear!JO851</f>
        <v>378.88037570548011</v>
      </c>
      <c r="AE25" s="1975">
        <f t="shared" si="30"/>
        <v>378.88037570548011</v>
      </c>
      <c r="AF25" s="1796">
        <f>FISC!AL1157</f>
        <v>757.76075141096021</v>
      </c>
      <c r="AG25" s="1790">
        <f t="shared" si="11"/>
        <v>2.6266110213571097E-2</v>
      </c>
      <c r="AH25" s="2830">
        <f t="shared" si="12"/>
        <v>2.7363961470620729E-2</v>
      </c>
      <c r="AI25" s="1791">
        <f t="shared" si="31"/>
        <v>0</v>
      </c>
      <c r="AJ25" s="1880">
        <f t="shared" si="32"/>
        <v>-1.097851257049632E-3</v>
      </c>
      <c r="AK25" s="1947">
        <v>858.11722363675824</v>
      </c>
      <c r="AL25" s="1942">
        <f t="shared" si="13"/>
        <v>2.755112597974891E-2</v>
      </c>
      <c r="AM25" s="1975">
        <f>FISCinyear!JR851</f>
        <v>429.13916268835305</v>
      </c>
      <c r="AN25" s="1975">
        <f t="shared" si="33"/>
        <v>429.13916268835305</v>
      </c>
      <c r="AO25" s="1796">
        <f>FISC!AM1157</f>
        <v>858.27832537670611</v>
      </c>
      <c r="AP25" s="1790">
        <f t="shared" si="14"/>
        <v>2.6411056027778858E-2</v>
      </c>
      <c r="AQ25" s="2830">
        <f t="shared" si="15"/>
        <v>2.7556298390010118E-2</v>
      </c>
      <c r="AR25" s="1791">
        <f t="shared" si="43"/>
        <v>0.16110173994786692</v>
      </c>
      <c r="AS25" s="1880">
        <f t="shared" si="34"/>
        <v>-1.1400699519700519E-3</v>
      </c>
      <c r="AT25" s="1947">
        <v>969.3213635383795</v>
      </c>
      <c r="AU25" s="1942">
        <f t="shared" si="16"/>
        <v>2.7763221230661262E-2</v>
      </c>
      <c r="AV25" s="1975">
        <f>FISCinyear!JU851</f>
        <v>484.91772629092952</v>
      </c>
      <c r="AW25" s="1975">
        <f t="shared" si="35"/>
        <v>484.91772629092952</v>
      </c>
      <c r="AX25" s="1796">
        <f>FISC!AN1157</f>
        <v>969.83545258185904</v>
      </c>
      <c r="AY25" s="1790">
        <f t="shared" si="17"/>
        <v>2.6451392813750488E-2</v>
      </c>
      <c r="AZ25" s="2830">
        <f t="shared" si="18"/>
        <v>2.7777945725945552E-2</v>
      </c>
      <c r="BA25" s="1791">
        <f t="shared" si="44"/>
        <v>0.51408904347954376</v>
      </c>
      <c r="BB25" s="1880">
        <f t="shared" si="36"/>
        <v>-1.3118284169107743E-3</v>
      </c>
      <c r="BC25" s="1947">
        <v>1092.709603773485</v>
      </c>
      <c r="BD25" s="1942">
        <f t="shared" si="20"/>
        <v>2.7907507535580522E-2</v>
      </c>
      <c r="BE25" s="1975">
        <f>FISCinyear!JX851</f>
        <v>546.64456648707801</v>
      </c>
      <c r="BF25" s="1975">
        <f t="shared" si="37"/>
        <v>546.64456648707801</v>
      </c>
      <c r="BG25" s="1796">
        <f>FISC!AO1157</f>
        <v>1093.289132974156</v>
      </c>
      <c r="BH25" s="1790">
        <f t="shared" si="21"/>
        <v>2.6509673463925538E-2</v>
      </c>
      <c r="BI25" s="2830">
        <f t="shared" si="22"/>
        <v>2.7922308554514521E-2</v>
      </c>
      <c r="BJ25" s="1791">
        <f t="shared" si="23"/>
        <v>0.57952920067100422</v>
      </c>
      <c r="BK25" s="1880">
        <f t="shared" si="24"/>
        <v>-1.3978340716549846E-3</v>
      </c>
      <c r="BL25" s="1796">
        <f>FISC!AP1157</f>
        <v>1227.9823541565722</v>
      </c>
      <c r="BM25" s="1790">
        <f t="shared" si="25"/>
        <v>2.6710678104014368E-2</v>
      </c>
    </row>
    <row r="26" spans="1:67">
      <c r="A26" s="1809" t="s">
        <v>3626</v>
      </c>
      <c r="B26" s="1795"/>
      <c r="C26" s="1788"/>
      <c r="D26" s="1796"/>
      <c r="E26" s="1790"/>
      <c r="F26" s="1791"/>
      <c r="G26" s="1880"/>
      <c r="H26" s="1947">
        <v>0</v>
      </c>
      <c r="I26" s="1942"/>
      <c r="J26" s="1975">
        <v>0</v>
      </c>
      <c r="K26" s="1975">
        <v>0</v>
      </c>
      <c r="L26" s="1964">
        <f t="shared" si="27"/>
        <v>0</v>
      </c>
      <c r="M26" s="1964">
        <v>0</v>
      </c>
      <c r="N26" s="1964">
        <f t="shared" si="41"/>
        <v>18.44588340970472</v>
      </c>
      <c r="O26" s="1796">
        <v>18.44588340970472</v>
      </c>
      <c r="P26" s="1889">
        <f t="shared" si="4"/>
        <v>8.5190548018495421E-4</v>
      </c>
      <c r="Q26" s="1791">
        <f t="shared" si="5"/>
        <v>18.44588340970472</v>
      </c>
      <c r="R26" s="1880">
        <f t="shared" si="6"/>
        <v>8.5190548018495421E-4</v>
      </c>
      <c r="S26" s="1947">
        <v>36.891766819409327</v>
      </c>
      <c r="T26" s="1942">
        <f t="shared" si="7"/>
        <v>1.5111241286322207E-3</v>
      </c>
      <c r="U26" s="1975">
        <f>W26/2</f>
        <v>18.445883409704663</v>
      </c>
      <c r="V26" s="1975">
        <f t="shared" si="28"/>
        <v>18.445883409704663</v>
      </c>
      <c r="W26" s="1796">
        <v>36.891766819409327</v>
      </c>
      <c r="X26" s="1889">
        <f t="shared" si="8"/>
        <v>1.4589399763577239E-3</v>
      </c>
      <c r="Y26" s="2830">
        <f t="shared" si="9"/>
        <v>1.5111241286322207E-3</v>
      </c>
      <c r="Z26" s="1791">
        <f t="shared" ref="Z26" si="45">W26-S26</f>
        <v>0</v>
      </c>
      <c r="AA26" s="1880">
        <f t="shared" ref="AA26" si="46">X26-T26</f>
        <v>-5.2184152274496872E-5</v>
      </c>
      <c r="AB26" s="1947">
        <v>43.040394622644158</v>
      </c>
      <c r="AC26" s="1942">
        <f t="shared" si="10"/>
        <v>1.5542579870247305E-3</v>
      </c>
      <c r="AD26" s="1975">
        <f>AF26/2</f>
        <v>21.520197311322079</v>
      </c>
      <c r="AE26" s="1975">
        <f t="shared" si="30"/>
        <v>21.520197311322079</v>
      </c>
      <c r="AF26" s="1796">
        <v>43.040394622644158</v>
      </c>
      <c r="AG26" s="1790">
        <f t="shared" si="11"/>
        <v>1.4919006384125225E-3</v>
      </c>
      <c r="AH26" s="2830">
        <f t="shared" si="12"/>
        <v>1.5542579870247305E-3</v>
      </c>
      <c r="AI26" s="1791">
        <f t="shared" ref="AI26" si="47">AF26-AB26</f>
        <v>0</v>
      </c>
      <c r="AJ26" s="1880">
        <f t="shared" ref="AJ26" si="48">AG26-AC26</f>
        <v>-6.2357348612207975E-5</v>
      </c>
      <c r="AK26" s="1947">
        <v>55.337650229114047</v>
      </c>
      <c r="AL26" s="1942"/>
      <c r="AM26" s="1975">
        <f>AO26/2</f>
        <v>27.668825114557023</v>
      </c>
      <c r="AN26" s="1975">
        <f t="shared" si="33"/>
        <v>27.668825114557023</v>
      </c>
      <c r="AO26" s="1796">
        <v>55.337650229114047</v>
      </c>
      <c r="AP26" s="1790">
        <f t="shared" si="14"/>
        <v>1.7028576132401851E-3</v>
      </c>
      <c r="AQ26" s="2830">
        <f t="shared" si="15"/>
        <v>1.7766973216365284E-3</v>
      </c>
      <c r="AR26" s="1791">
        <f t="shared" ref="AR26" si="49">AO26-AK26</f>
        <v>0</v>
      </c>
      <c r="AS26" s="1880">
        <f t="shared" ref="AS26" si="50">AP26-AL26</f>
        <v>1.7028576132401851E-3</v>
      </c>
      <c r="AT26" s="1947">
        <v>67.634905835583822</v>
      </c>
      <c r="AU26" s="1942">
        <f t="shared" si="16"/>
        <v>1.9371933027182348E-3</v>
      </c>
      <c r="AV26" s="1975">
        <f>AX26/2</f>
        <v>33.817452917791911</v>
      </c>
      <c r="AW26" s="1975">
        <f t="shared" si="35"/>
        <v>33.817452917791911</v>
      </c>
      <c r="AX26" s="1796">
        <v>67.634905835583822</v>
      </c>
      <c r="AY26" s="1790">
        <f t="shared" si="17"/>
        <v>1.8446814430379353E-3</v>
      </c>
      <c r="AZ26" s="2830">
        <f t="shared" si="18"/>
        <v>1.9371933027182348E-3</v>
      </c>
      <c r="BA26" s="1791">
        <f t="shared" si="44"/>
        <v>0</v>
      </c>
      <c r="BB26" s="1880">
        <f t="shared" si="36"/>
        <v>-9.2511859680299586E-5</v>
      </c>
      <c r="BC26" s="1947">
        <v>79.932161442053598</v>
      </c>
      <c r="BD26" s="1942">
        <f t="shared" si="20"/>
        <v>2.0414457693754906E-3</v>
      </c>
      <c r="BE26" s="1975">
        <f>BG26/2</f>
        <v>39.966080721026799</v>
      </c>
      <c r="BF26" s="1975">
        <f t="shared" si="37"/>
        <v>39.966080721026799</v>
      </c>
      <c r="BG26" s="1796">
        <v>79.932161442053598</v>
      </c>
      <c r="BH26" s="1790">
        <f t="shared" si="21"/>
        <v>1.9381657012635012E-3</v>
      </c>
      <c r="BI26" s="2830">
        <f t="shared" si="22"/>
        <v>2.0414457693754906E-3</v>
      </c>
      <c r="BJ26" s="1791">
        <f t="shared" ref="BJ26" si="51">BG26-BC26</f>
        <v>0</v>
      </c>
      <c r="BK26" s="1880">
        <f t="shared" ref="BK26" si="52">BH26-BD26</f>
        <v>-1.0328006811198944E-4</v>
      </c>
      <c r="BL26" s="1796"/>
      <c r="BM26" s="1790">
        <f t="shared" si="25"/>
        <v>0</v>
      </c>
    </row>
    <row r="27" spans="1:67">
      <c r="A27" s="1787" t="s">
        <v>528</v>
      </c>
      <c r="B27" s="1795">
        <v>827.93485814831979</v>
      </c>
      <c r="C27" s="1788">
        <f>B27/$B$111</f>
        <v>4.7945143806842769E-2</v>
      </c>
      <c r="D27" s="1796">
        <f>FISC!AI1159</f>
        <v>798.7</v>
      </c>
      <c r="E27" s="1790">
        <f>D27/$D$111</f>
        <v>4.3062407332524602E-2</v>
      </c>
      <c r="F27" s="1791">
        <f t="shared" si="42"/>
        <v>-29.234858148319745</v>
      </c>
      <c r="G27" s="1880">
        <f t="shared" si="26"/>
        <v>-4.8827364743181667E-3</v>
      </c>
      <c r="H27" s="1947">
        <v>831.40441245975239</v>
      </c>
      <c r="I27" s="1942">
        <f t="shared" ref="I27:I36" si="53">H27/$H$111</f>
        <v>4.2325384246654746E-2</v>
      </c>
      <c r="J27" s="1975">
        <v>429.24210333842518</v>
      </c>
      <c r="K27" s="1975">
        <f>FISCinyear!JI853</f>
        <v>454.28589356200007</v>
      </c>
      <c r="L27" s="1964">
        <f t="shared" si="27"/>
        <v>25.043790223574888</v>
      </c>
      <c r="M27" s="1964">
        <v>402.16230912132721</v>
      </c>
      <c r="N27" s="1964">
        <f t="shared" si="41"/>
        <v>349.56831004899993</v>
      </c>
      <c r="O27" s="1796">
        <f>FISC!AJ1159</f>
        <v>803.854203611</v>
      </c>
      <c r="P27" s="1889">
        <f t="shared" si="4"/>
        <v>3.7125237437293616E-2</v>
      </c>
      <c r="Q27" s="1791">
        <f t="shared" si="5"/>
        <v>-27.550208848752391</v>
      </c>
      <c r="R27" s="1880">
        <f t="shared" si="6"/>
        <v>-5.2001468093611294E-3</v>
      </c>
      <c r="S27" s="1947">
        <v>870.06093973790553</v>
      </c>
      <c r="T27" s="1942">
        <f t="shared" si="7"/>
        <v>3.5638577188627701E-2</v>
      </c>
      <c r="U27" s="1975">
        <f>FISCinyear!JL853</f>
        <v>425.39581931199996</v>
      </c>
      <c r="V27" s="1975">
        <f t="shared" si="28"/>
        <v>444.64135493152878</v>
      </c>
      <c r="W27" s="1796">
        <f>FISC!AK1159</f>
        <v>870.03717424352874</v>
      </c>
      <c r="X27" s="1889">
        <f t="shared" si="8"/>
        <v>3.4406918503924286E-2</v>
      </c>
      <c r="Y27" s="2830">
        <f t="shared" si="9"/>
        <v>3.5637603729911087E-2</v>
      </c>
      <c r="Z27" s="1791">
        <f t="shared" si="29"/>
        <v>-2.376549437678932E-2</v>
      </c>
      <c r="AA27" s="1880">
        <f t="shared" si="38"/>
        <v>-1.2316586847034156E-3</v>
      </c>
      <c r="AB27" s="1947">
        <v>986.17476181014888</v>
      </c>
      <c r="AC27" s="1942">
        <f t="shared" si="10"/>
        <v>3.561235935646425E-2</v>
      </c>
      <c r="AD27" s="1975">
        <f>FISCinyear!JO853</f>
        <v>621.03074974938613</v>
      </c>
      <c r="AE27" s="1975">
        <f t="shared" si="30"/>
        <v>414.02049983292409</v>
      </c>
      <c r="AF27" s="1796">
        <f>FISC!AL1159</f>
        <v>1035.0512495823102</v>
      </c>
      <c r="AG27" s="1790">
        <f t="shared" si="11"/>
        <v>3.5877775600809798E-2</v>
      </c>
      <c r="AH27" s="2830">
        <f t="shared" si="12"/>
        <v>3.7377368068945503E-2</v>
      </c>
      <c r="AI27" s="1791">
        <f t="shared" si="31"/>
        <v>48.87648777216134</v>
      </c>
      <c r="AJ27" s="1880">
        <f t="shared" si="32"/>
        <v>2.6541624434554822E-4</v>
      </c>
      <c r="AK27" s="1947">
        <v>1173.3228128865546</v>
      </c>
      <c r="AL27" s="1942">
        <f>AK27/$AK$111</f>
        <v>3.7671268845705631E-2</v>
      </c>
      <c r="AM27" s="1975">
        <f>FISCinyear!JR853</f>
        <v>652.69132951659117</v>
      </c>
      <c r="AN27" s="1975">
        <f t="shared" si="33"/>
        <v>534.02017869539259</v>
      </c>
      <c r="AO27" s="1796">
        <f>FISC!AM1159</f>
        <v>1186.7115082119838</v>
      </c>
      <c r="AP27" s="1790">
        <f t="shared" si="14"/>
        <v>3.6517646089268573E-2</v>
      </c>
      <c r="AQ27" s="2830">
        <f t="shared" si="15"/>
        <v>3.8101132763425478E-2</v>
      </c>
      <c r="AR27" s="1791">
        <f t="shared" si="43"/>
        <v>13.388695325429126</v>
      </c>
      <c r="AS27" s="1880">
        <f t="shared" si="34"/>
        <v>-1.1536227564370588E-3</v>
      </c>
      <c r="AT27" s="1947">
        <v>1318.2793235717331</v>
      </c>
      <c r="AU27" s="1942">
        <f t="shared" si="16"/>
        <v>3.7758045866776536E-2</v>
      </c>
      <c r="AV27" s="1975">
        <f>FISCinyear!JU853</f>
        <v>737.23026646379469</v>
      </c>
      <c r="AW27" s="1975">
        <f t="shared" si="35"/>
        <v>603.18839983401369</v>
      </c>
      <c r="AX27" s="1796">
        <f>FISC!AN1159</f>
        <v>1340.4186662978084</v>
      </c>
      <c r="AY27" s="1790">
        <f t="shared" si="17"/>
        <v>3.6558717855423209E-2</v>
      </c>
      <c r="AZ27" s="2830">
        <f t="shared" si="18"/>
        <v>3.8392159065067898E-2</v>
      </c>
      <c r="BA27" s="1791">
        <f t="shared" si="44"/>
        <v>22.139342726075256</v>
      </c>
      <c r="BB27" s="1880">
        <f t="shared" si="36"/>
        <v>-1.1993280113533275E-3</v>
      </c>
      <c r="BC27" s="1947">
        <v>1514.7943685237824</v>
      </c>
      <c r="BD27" s="1942">
        <f t="shared" si="20"/>
        <v>3.8687438188925886E-2</v>
      </c>
      <c r="BE27" s="1975">
        <f>FISCinyear!JX853</f>
        <v>847.15102483506098</v>
      </c>
      <c r="BF27" s="1975">
        <f t="shared" si="37"/>
        <v>693.12356577414062</v>
      </c>
      <c r="BG27" s="1796">
        <f>FISC!AO1159</f>
        <v>1540.2745906092016</v>
      </c>
      <c r="BH27" s="1790">
        <f t="shared" si="21"/>
        <v>3.7348012717141631E-2</v>
      </c>
      <c r="BI27" s="2830">
        <f t="shared" si="22"/>
        <v>3.9338196164696825E-2</v>
      </c>
      <c r="BJ27" s="1791">
        <f t="shared" ref="BJ27:BK29" si="54">BG27-BC27</f>
        <v>25.4802220854192</v>
      </c>
      <c r="BK27" s="1880">
        <f t="shared" si="54"/>
        <v>-1.3394254717842558E-3</v>
      </c>
      <c r="BL27" s="1796">
        <f>FISC!AP1159</f>
        <v>1766.5812188242917</v>
      </c>
      <c r="BM27" s="1790">
        <f t="shared" si="25"/>
        <v>3.8426107770109345E-2</v>
      </c>
      <c r="BO27" s="3087">
        <f>AR27-AR28</f>
        <v>-3.2051568578171441</v>
      </c>
    </row>
    <row r="28" spans="1:67">
      <c r="A28" s="1825" t="s">
        <v>3565</v>
      </c>
      <c r="B28" s="1793">
        <v>253.80743503078881</v>
      </c>
      <c r="C28" s="1826">
        <f>B28/$B$111</f>
        <v>1.4697815718271274E-2</v>
      </c>
      <c r="D28" s="1789">
        <f>B28</f>
        <v>253.80743503078881</v>
      </c>
      <c r="E28" s="1827">
        <f>D28/$D$111</f>
        <v>1.3684185740977965E-2</v>
      </c>
      <c r="F28" s="1828">
        <f t="shared" si="42"/>
        <v>0</v>
      </c>
      <c r="G28" s="1883">
        <f t="shared" si="26"/>
        <v>-1.013629977293309E-3</v>
      </c>
      <c r="H28" s="1944">
        <v>208.97773724750209</v>
      </c>
      <c r="I28" s="1944">
        <f t="shared" si="53"/>
        <v>1.0638701088713745E-2</v>
      </c>
      <c r="J28" s="1813">
        <v>104.48886862375105</v>
      </c>
      <c r="K28" s="1813">
        <f>FISCinyear!JI860</f>
        <v>136.90248644169188</v>
      </c>
      <c r="L28" s="1964">
        <f t="shared" si="27"/>
        <v>32.413617817940832</v>
      </c>
      <c r="M28" s="1964">
        <v>104.48886862375105</v>
      </c>
      <c r="N28" s="1964">
        <f t="shared" si="41"/>
        <v>59.577780996054003</v>
      </c>
      <c r="O28" s="1789">
        <f>O21</f>
        <v>196.48026743774588</v>
      </c>
      <c r="P28" s="1789">
        <f t="shared" si="4"/>
        <v>9.0742532011428654E-3</v>
      </c>
      <c r="Q28" s="1791">
        <f t="shared" si="5"/>
        <v>-12.497469809756211</v>
      </c>
      <c r="R28" s="1880">
        <f t="shared" si="6"/>
        <v>-1.5644478875708797E-3</v>
      </c>
      <c r="S28" s="1944">
        <v>192.47571639526876</v>
      </c>
      <c r="T28" s="1944">
        <f t="shared" si="7"/>
        <v>7.8840002606662858E-3</v>
      </c>
      <c r="U28" s="1813">
        <f>U21</f>
        <v>69.925030717445807</v>
      </c>
      <c r="V28" s="1813">
        <f t="shared" si="28"/>
        <v>122.23216769641884</v>
      </c>
      <c r="W28" s="1789">
        <f>W21</f>
        <v>192.15719841386465</v>
      </c>
      <c r="X28" s="1889">
        <f t="shared" si="8"/>
        <v>7.5991431877802038E-3</v>
      </c>
      <c r="Y28" s="2830">
        <f t="shared" si="9"/>
        <v>7.8709534415898463E-3</v>
      </c>
      <c r="Z28" s="1828">
        <f t="shared" si="29"/>
        <v>-0.31851798140411347</v>
      </c>
      <c r="AA28" s="1883">
        <f t="shared" si="38"/>
        <v>-2.8485707288608206E-4</v>
      </c>
      <c r="AB28" s="1944">
        <v>204.13907831225228</v>
      </c>
      <c r="AC28" s="1944">
        <f t="shared" si="10"/>
        <v>7.3717909817619812E-3</v>
      </c>
      <c r="AD28" s="1813">
        <f>AD21</f>
        <v>111.16207639181843</v>
      </c>
      <c r="AE28" s="1813">
        <f t="shared" si="30"/>
        <v>111.16207639181843</v>
      </c>
      <c r="AF28" s="1789">
        <f>AF21</f>
        <v>222.32415278363686</v>
      </c>
      <c r="AG28" s="1790">
        <f t="shared" si="11"/>
        <v>7.7063778894333503E-3</v>
      </c>
      <c r="AH28" s="2830">
        <f t="shared" si="12"/>
        <v>8.0284833167090855E-3</v>
      </c>
      <c r="AI28" s="1828">
        <f t="shared" si="31"/>
        <v>18.185074471384581</v>
      </c>
      <c r="AJ28" s="1883">
        <f t="shared" si="32"/>
        <v>3.3458690767136905E-4</v>
      </c>
      <c r="AK28" s="1944">
        <v>216.35653061248723</v>
      </c>
      <c r="AL28" s="1944">
        <f>AK28/$AK$111</f>
        <v>6.9464472536554947E-3</v>
      </c>
      <c r="AM28" s="1813">
        <f>FISCinyear!JR860</f>
        <v>116.47519139786675</v>
      </c>
      <c r="AN28" s="1813">
        <f t="shared" si="33"/>
        <v>116.47519139786675</v>
      </c>
      <c r="AO28" s="1789">
        <f>AO21</f>
        <v>232.9503827957335</v>
      </c>
      <c r="AP28" s="1827">
        <f t="shared" si="14"/>
        <v>7.168380500591434E-3</v>
      </c>
      <c r="AQ28" s="2830">
        <f t="shared" si="15"/>
        <v>7.4792174852706958E-3</v>
      </c>
      <c r="AR28" s="1828">
        <f t="shared" si="43"/>
        <v>16.59385218324627</v>
      </c>
      <c r="AS28" s="1883">
        <f t="shared" si="34"/>
        <v>2.2193324693593926E-4</v>
      </c>
      <c r="AT28" s="1944">
        <v>227.65507569743241</v>
      </c>
      <c r="AU28" s="1944">
        <f t="shared" si="16"/>
        <v>6.5204775924867977E-3</v>
      </c>
      <c r="AV28" s="1813">
        <f>FISCinyear!JU860</f>
        <v>121.99338547456286</v>
      </c>
      <c r="AW28" s="1813">
        <f t="shared" si="35"/>
        <v>121.99338547456286</v>
      </c>
      <c r="AX28" s="1789">
        <f>AX21</f>
        <v>243.98677094912571</v>
      </c>
      <c r="AY28" s="1827">
        <f t="shared" si="17"/>
        <v>6.6545205194890079E-3</v>
      </c>
      <c r="AZ28" s="2830">
        <f t="shared" si="18"/>
        <v>6.9882486387055145E-3</v>
      </c>
      <c r="BA28" s="1828">
        <f t="shared" si="44"/>
        <v>16.331695251693304</v>
      </c>
      <c r="BB28" s="1883">
        <f t="shared" si="36"/>
        <v>1.3404292700221025E-4</v>
      </c>
      <c r="BC28" s="1944">
        <v>236.97923714064379</v>
      </c>
      <c r="BD28" s="1944">
        <f t="shared" si="20"/>
        <v>6.0523855775038984E-3</v>
      </c>
      <c r="BE28" s="1813">
        <f>FISCinyear!JX860</f>
        <v>126.8463475360462</v>
      </c>
      <c r="BF28" s="1813">
        <f t="shared" si="37"/>
        <v>126.8463475360462</v>
      </c>
      <c r="BG28" s="1789">
        <f>BG21</f>
        <v>253.69269507209239</v>
      </c>
      <c r="BH28" s="1827">
        <f t="shared" si="21"/>
        <v>6.1514473195659015E-3</v>
      </c>
      <c r="BI28" s="2830">
        <f t="shared" si="22"/>
        <v>6.4792427695307374E-3</v>
      </c>
      <c r="BJ28" s="1828">
        <f t="shared" si="54"/>
        <v>16.713457931448602</v>
      </c>
      <c r="BK28" s="1883">
        <f t="shared" si="54"/>
        <v>9.9061742062003105E-5</v>
      </c>
      <c r="BL28" s="1789">
        <f>BL21</f>
        <v>271.2538131002209</v>
      </c>
      <c r="BM28" s="1827">
        <f t="shared" si="25"/>
        <v>5.9002258963101227E-3</v>
      </c>
    </row>
    <row r="29" spans="1:67">
      <c r="A29" s="1825" t="s">
        <v>4206</v>
      </c>
      <c r="B29" s="1793">
        <v>0</v>
      </c>
      <c r="C29" s="1810">
        <f>B29/$B$111</f>
        <v>0</v>
      </c>
      <c r="D29" s="1811">
        <v>0</v>
      </c>
      <c r="E29" s="1812">
        <f>D29/$D$111</f>
        <v>0</v>
      </c>
      <c r="F29" s="1813">
        <f t="shared" si="42"/>
        <v>0</v>
      </c>
      <c r="G29" s="1883">
        <f t="shared" si="26"/>
        <v>0</v>
      </c>
      <c r="H29" s="1944">
        <v>82.8</v>
      </c>
      <c r="I29" s="1953">
        <f t="shared" si="53"/>
        <v>4.215207139994178E-3</v>
      </c>
      <c r="J29" s="1978">
        <v>82.973828088359994</v>
      </c>
      <c r="K29" s="1978">
        <v>82.083810964999998</v>
      </c>
      <c r="L29" s="1964">
        <f t="shared" si="27"/>
        <v>-0.89001712335999628</v>
      </c>
      <c r="M29" s="1964">
        <v>-0.17382808835999697</v>
      </c>
      <c r="N29" s="1964">
        <f t="shared" si="41"/>
        <v>-82.083810964999998</v>
      </c>
      <c r="O29" s="1811">
        <f>FISC!AJ1160</f>
        <v>0</v>
      </c>
      <c r="P29" s="1892">
        <f t="shared" si="4"/>
        <v>0</v>
      </c>
      <c r="Q29" s="1791">
        <f t="shared" si="5"/>
        <v>-82.8</v>
      </c>
      <c r="R29" s="1880">
        <f t="shared" si="6"/>
        <v>-4.215207139994178E-3</v>
      </c>
      <c r="S29" s="1944">
        <v>0</v>
      </c>
      <c r="T29" s="1953">
        <f t="shared" si="7"/>
        <v>0</v>
      </c>
      <c r="U29" s="1978">
        <f>FISCinyear!JL854</f>
        <v>0</v>
      </c>
      <c r="V29" s="1978">
        <f t="shared" si="28"/>
        <v>0</v>
      </c>
      <c r="W29" s="1811">
        <f>S29</f>
        <v>0</v>
      </c>
      <c r="X29" s="1889">
        <f t="shared" si="8"/>
        <v>0</v>
      </c>
      <c r="Y29" s="2830">
        <f t="shared" si="9"/>
        <v>0</v>
      </c>
      <c r="Z29" s="1813">
        <f t="shared" si="29"/>
        <v>0</v>
      </c>
      <c r="AA29" s="1883">
        <f t="shared" si="38"/>
        <v>0</v>
      </c>
      <c r="AB29" s="1944">
        <v>0</v>
      </c>
      <c r="AC29" s="1953">
        <f t="shared" si="10"/>
        <v>0</v>
      </c>
      <c r="AD29" s="1978">
        <f>FISCinyear!JO854</f>
        <v>0</v>
      </c>
      <c r="AE29" s="1978">
        <f t="shared" si="30"/>
        <v>30.7</v>
      </c>
      <c r="AF29" s="1811">
        <v>30.7</v>
      </c>
      <c r="AG29" s="1790">
        <f t="shared" si="11"/>
        <v>1.0641479940141558E-3</v>
      </c>
      <c r="AH29" s="2830">
        <f t="shared" si="12"/>
        <v>1.1086264570761002E-3</v>
      </c>
      <c r="AI29" s="1813">
        <f t="shared" si="31"/>
        <v>30.7</v>
      </c>
      <c r="AJ29" s="1883">
        <f t="shared" si="32"/>
        <v>1.0641479940141558E-3</v>
      </c>
      <c r="AK29" s="1944">
        <v>0</v>
      </c>
      <c r="AL29" s="1953">
        <f>AK29/$AK$111</f>
        <v>0</v>
      </c>
      <c r="AM29" s="1978">
        <v>0</v>
      </c>
      <c r="AN29" s="1978">
        <f t="shared" si="33"/>
        <v>0</v>
      </c>
      <c r="AO29" s="1811">
        <f>AK29</f>
        <v>0</v>
      </c>
      <c r="AP29" s="1812">
        <f t="shared" si="14"/>
        <v>0</v>
      </c>
      <c r="AQ29" s="2830">
        <f t="shared" si="15"/>
        <v>0</v>
      </c>
      <c r="AR29" s="1813">
        <f t="shared" si="43"/>
        <v>0</v>
      </c>
      <c r="AS29" s="1883">
        <f t="shared" si="34"/>
        <v>0</v>
      </c>
      <c r="AT29" s="1944">
        <v>0</v>
      </c>
      <c r="AU29" s="1953">
        <f t="shared" si="16"/>
        <v>0</v>
      </c>
      <c r="AV29" s="1978">
        <v>0</v>
      </c>
      <c r="AW29" s="1978">
        <f t="shared" si="35"/>
        <v>0</v>
      </c>
      <c r="AX29" s="1811">
        <f>AP29</f>
        <v>0</v>
      </c>
      <c r="AY29" s="1812">
        <f t="shared" si="17"/>
        <v>0</v>
      </c>
      <c r="AZ29" s="2830">
        <f t="shared" si="18"/>
        <v>0</v>
      </c>
      <c r="BA29" s="1813">
        <f t="shared" si="44"/>
        <v>0</v>
      </c>
      <c r="BB29" s="1883">
        <f t="shared" si="36"/>
        <v>0</v>
      </c>
      <c r="BC29" s="1944">
        <v>0</v>
      </c>
      <c r="BD29" s="1953">
        <f t="shared" si="20"/>
        <v>0</v>
      </c>
      <c r="BE29" s="1978">
        <v>0</v>
      </c>
      <c r="BF29" s="1978">
        <f t="shared" si="37"/>
        <v>0</v>
      </c>
      <c r="BG29" s="1811">
        <f>AY29</f>
        <v>0</v>
      </c>
      <c r="BH29" s="1812">
        <f t="shared" si="21"/>
        <v>0</v>
      </c>
      <c r="BI29" s="2830">
        <f t="shared" si="22"/>
        <v>0</v>
      </c>
      <c r="BJ29" s="1813">
        <f t="shared" si="54"/>
        <v>0</v>
      </c>
      <c r="BK29" s="1883">
        <f t="shared" si="54"/>
        <v>0</v>
      </c>
      <c r="BL29" s="1811">
        <f>BD29</f>
        <v>0</v>
      </c>
      <c r="BM29" s="1812">
        <f t="shared" si="25"/>
        <v>0</v>
      </c>
    </row>
    <row r="30" spans="1:67" hidden="1">
      <c r="A30" s="1825" t="s">
        <v>3586</v>
      </c>
      <c r="B30" s="1793"/>
      <c r="C30" s="1810"/>
      <c r="D30" s="1811"/>
      <c r="E30" s="1812"/>
      <c r="F30" s="1813"/>
      <c r="G30" s="1883"/>
      <c r="H30" s="1944">
        <v>20</v>
      </c>
      <c r="I30" s="1953">
        <f t="shared" si="53"/>
        <v>1.0181659758440045E-3</v>
      </c>
      <c r="J30" s="1978">
        <v>20</v>
      </c>
      <c r="K30" s="1978">
        <v>50</v>
      </c>
      <c r="L30" s="1964">
        <f t="shared" si="27"/>
        <v>30</v>
      </c>
      <c r="M30" s="1964">
        <v>0</v>
      </c>
      <c r="N30" s="1964">
        <f t="shared" si="41"/>
        <v>-50</v>
      </c>
      <c r="O30" s="1811">
        <f>FISC!AJ1161</f>
        <v>0</v>
      </c>
      <c r="P30" s="1892">
        <f t="shared" si="4"/>
        <v>0</v>
      </c>
      <c r="Q30" s="1791">
        <f t="shared" ref="Q30:Q40" si="55">O30-H30</f>
        <v>-20</v>
      </c>
      <c r="R30" s="1880">
        <f t="shared" si="6"/>
        <v>-1.0181659758440045E-3</v>
      </c>
      <c r="S30" s="1944">
        <v>0</v>
      </c>
      <c r="T30" s="1953">
        <f t="shared" si="7"/>
        <v>0</v>
      </c>
      <c r="U30" s="1978">
        <f>FISCinyear!JL855</f>
        <v>0</v>
      </c>
      <c r="V30" s="1978">
        <f t="shared" si="28"/>
        <v>0</v>
      </c>
      <c r="W30" s="1811">
        <f>FISCinyear!JN855</f>
        <v>0</v>
      </c>
      <c r="X30" s="1889">
        <f t="shared" si="8"/>
        <v>0</v>
      </c>
      <c r="Y30" s="2830">
        <f t="shared" si="9"/>
        <v>0</v>
      </c>
      <c r="Z30" s="1813">
        <f t="shared" ref="Z30:Z31" si="56">W30-S30</f>
        <v>0</v>
      </c>
      <c r="AA30" s="1883">
        <f t="shared" ref="AA30:AA31" si="57">X30-T30</f>
        <v>0</v>
      </c>
      <c r="AB30" s="1944"/>
      <c r="AC30" s="1953"/>
      <c r="AD30" s="1978">
        <f>FISCinyear!JO855</f>
        <v>0</v>
      </c>
      <c r="AE30" s="1978">
        <f t="shared" si="30"/>
        <v>0</v>
      </c>
      <c r="AF30" s="1811"/>
      <c r="AG30" s="1790">
        <f t="shared" si="11"/>
        <v>0</v>
      </c>
      <c r="AH30" s="2830">
        <f t="shared" si="12"/>
        <v>0</v>
      </c>
      <c r="AI30" s="1813"/>
      <c r="AJ30" s="1883">
        <f t="shared" si="32"/>
        <v>0</v>
      </c>
      <c r="AK30" s="1944"/>
      <c r="AL30" s="1953"/>
      <c r="AM30" s="1978">
        <v>0</v>
      </c>
      <c r="AN30" s="1978">
        <f t="shared" si="33"/>
        <v>0</v>
      </c>
      <c r="AO30" s="1811"/>
      <c r="AP30" s="1812"/>
      <c r="AQ30" s="2830">
        <f t="shared" si="15"/>
        <v>0</v>
      </c>
      <c r="AR30" s="1813"/>
      <c r="AS30" s="1883">
        <f t="shared" si="34"/>
        <v>0</v>
      </c>
      <c r="AT30" s="1944"/>
      <c r="AU30" s="1953">
        <f t="shared" si="16"/>
        <v>0</v>
      </c>
      <c r="AV30" s="1978">
        <v>0</v>
      </c>
      <c r="AW30" s="1978">
        <f t="shared" si="35"/>
        <v>0</v>
      </c>
      <c r="AX30" s="1811"/>
      <c r="AY30" s="1812">
        <f t="shared" si="17"/>
        <v>0</v>
      </c>
      <c r="AZ30" s="2830">
        <f t="shared" si="18"/>
        <v>0</v>
      </c>
      <c r="BA30" s="1813"/>
      <c r="BB30" s="1883">
        <f t="shared" si="36"/>
        <v>0</v>
      </c>
      <c r="BC30" s="1944"/>
      <c r="BD30" s="1953">
        <f t="shared" si="20"/>
        <v>0</v>
      </c>
      <c r="BE30" s="1978">
        <v>0</v>
      </c>
      <c r="BF30" s="1978">
        <f t="shared" si="37"/>
        <v>0</v>
      </c>
      <c r="BG30" s="1811"/>
      <c r="BH30" s="1812">
        <f t="shared" si="21"/>
        <v>0</v>
      </c>
      <c r="BI30" s="2830">
        <f t="shared" si="22"/>
        <v>0</v>
      </c>
      <c r="BJ30" s="1813"/>
      <c r="BK30" s="1883">
        <f>BH30-BD30</f>
        <v>0</v>
      </c>
      <c r="BL30" s="1811"/>
      <c r="BM30" s="1812">
        <f t="shared" si="25"/>
        <v>0</v>
      </c>
    </row>
    <row r="31" spans="1:67">
      <c r="A31" s="1787" t="s">
        <v>529</v>
      </c>
      <c r="B31" s="1829">
        <v>0</v>
      </c>
      <c r="C31" s="1830">
        <f>B31/$B$111</f>
        <v>0</v>
      </c>
      <c r="D31" s="1831">
        <v>0</v>
      </c>
      <c r="E31" s="1832">
        <f>D31/$D$111</f>
        <v>0</v>
      </c>
      <c r="F31" s="1819">
        <f t="shared" si="42"/>
        <v>0</v>
      </c>
      <c r="G31" s="1884">
        <f t="shared" si="26"/>
        <v>0</v>
      </c>
      <c r="H31" s="1954">
        <v>0</v>
      </c>
      <c r="I31" s="1955">
        <f t="shared" si="53"/>
        <v>0</v>
      </c>
      <c r="J31" s="1979">
        <v>0</v>
      </c>
      <c r="K31" s="1979">
        <v>0</v>
      </c>
      <c r="L31" s="1964">
        <f t="shared" si="27"/>
        <v>0</v>
      </c>
      <c r="M31" s="1964">
        <v>0</v>
      </c>
      <c r="N31" s="1964">
        <f t="shared" si="41"/>
        <v>0</v>
      </c>
      <c r="O31" s="1831">
        <f>FISC!AJ1187</f>
        <v>0</v>
      </c>
      <c r="P31" s="1893">
        <f t="shared" si="4"/>
        <v>0</v>
      </c>
      <c r="Q31" s="1791">
        <f t="shared" si="55"/>
        <v>0</v>
      </c>
      <c r="R31" s="1880">
        <f t="shared" ref="R31:R64" si="58">P31-I31</f>
        <v>0</v>
      </c>
      <c r="S31" s="1954">
        <v>0</v>
      </c>
      <c r="T31" s="1955">
        <f t="shared" si="7"/>
        <v>0</v>
      </c>
      <c r="U31" s="1979">
        <f>FISCinyear!JL868</f>
        <v>0</v>
      </c>
      <c r="V31" s="1979">
        <f t="shared" si="28"/>
        <v>0</v>
      </c>
      <c r="W31" s="1831">
        <f>FISC!AK1187</f>
        <v>0</v>
      </c>
      <c r="X31" s="1889">
        <f t="shared" si="8"/>
        <v>0</v>
      </c>
      <c r="Y31" s="2830">
        <f t="shared" si="9"/>
        <v>0</v>
      </c>
      <c r="Z31" s="1813">
        <f t="shared" si="56"/>
        <v>0</v>
      </c>
      <c r="AA31" s="1883">
        <f t="shared" si="57"/>
        <v>0</v>
      </c>
      <c r="AB31" s="1954">
        <v>0</v>
      </c>
      <c r="AC31" s="1955">
        <f t="shared" ref="AC31:AC36" si="59">AB31/$AB$111</f>
        <v>0</v>
      </c>
      <c r="AD31" s="1979">
        <v>0</v>
      </c>
      <c r="AE31" s="1979">
        <f t="shared" si="30"/>
        <v>0</v>
      </c>
      <c r="AF31" s="1831">
        <f>FISC!AL1187</f>
        <v>0</v>
      </c>
      <c r="AG31" s="1790">
        <f t="shared" si="11"/>
        <v>0</v>
      </c>
      <c r="AH31" s="2830">
        <f t="shared" si="12"/>
        <v>0</v>
      </c>
      <c r="AI31" s="1819">
        <f t="shared" si="31"/>
        <v>0</v>
      </c>
      <c r="AJ31" s="1883">
        <f t="shared" si="32"/>
        <v>0</v>
      </c>
      <c r="AK31" s="1954">
        <v>0</v>
      </c>
      <c r="AL31" s="1955">
        <f t="shared" ref="AL31:AL36" si="60">AK31/$AK$111</f>
        <v>0</v>
      </c>
      <c r="AM31" s="1979">
        <v>0</v>
      </c>
      <c r="AN31" s="1979">
        <f t="shared" si="33"/>
        <v>0</v>
      </c>
      <c r="AO31" s="1831">
        <f>FISC!AM1187</f>
        <v>0</v>
      </c>
      <c r="AP31" s="1832">
        <f t="shared" ref="AP31:AP37" si="61">AO31/$AO$111</f>
        <v>0</v>
      </c>
      <c r="AQ31" s="2830">
        <f t="shared" si="15"/>
        <v>0</v>
      </c>
      <c r="AR31" s="1819">
        <f t="shared" si="43"/>
        <v>0</v>
      </c>
      <c r="AS31" s="1883">
        <f t="shared" si="34"/>
        <v>0</v>
      </c>
      <c r="AT31" s="1954">
        <v>0</v>
      </c>
      <c r="AU31" s="1955">
        <f t="shared" si="16"/>
        <v>0</v>
      </c>
      <c r="AV31" s="1979">
        <v>0</v>
      </c>
      <c r="AW31" s="1979">
        <f t="shared" si="35"/>
        <v>0</v>
      </c>
      <c r="AX31" s="1831">
        <f>FISC!AN1187</f>
        <v>0</v>
      </c>
      <c r="AY31" s="1832">
        <f t="shared" si="17"/>
        <v>0</v>
      </c>
      <c r="AZ31" s="2830">
        <f t="shared" si="18"/>
        <v>0</v>
      </c>
      <c r="BA31" s="1819">
        <f t="shared" ref="BA31:BA57" si="62">AX31-AT31</f>
        <v>0</v>
      </c>
      <c r="BB31" s="1883">
        <f t="shared" si="36"/>
        <v>0</v>
      </c>
      <c r="BC31" s="1954">
        <v>0</v>
      </c>
      <c r="BD31" s="1955">
        <f t="shared" si="20"/>
        <v>0</v>
      </c>
      <c r="BE31" s="1979">
        <v>0</v>
      </c>
      <c r="BF31" s="1979">
        <f t="shared" si="37"/>
        <v>0</v>
      </c>
      <c r="BG31" s="1831">
        <f>FISC!AO1187</f>
        <v>0</v>
      </c>
      <c r="BH31" s="1832">
        <f t="shared" si="21"/>
        <v>0</v>
      </c>
      <c r="BI31" s="2830">
        <f t="shared" si="22"/>
        <v>0</v>
      </c>
      <c r="BJ31" s="1819">
        <f>BG31-BC31</f>
        <v>0</v>
      </c>
      <c r="BK31" s="1883">
        <f>BH31-BD31</f>
        <v>0</v>
      </c>
      <c r="BL31" s="1831">
        <f>FISC!AP1187</f>
        <v>0</v>
      </c>
      <c r="BM31" s="1832">
        <f t="shared" si="25"/>
        <v>0</v>
      </c>
    </row>
    <row r="32" spans="1:67">
      <c r="A32" s="1833" t="s">
        <v>512</v>
      </c>
      <c r="B32" s="1829">
        <v>420.80651242233085</v>
      </c>
      <c r="C32" s="1830">
        <f>B32/$B$111</f>
        <v>2.4368618562657828E-2</v>
      </c>
      <c r="D32" s="1834">
        <f>FISC!AI1188</f>
        <v>417.72068484998749</v>
      </c>
      <c r="E32" s="1832">
        <f>D32/$D$111</f>
        <v>2.2521670567461249E-2</v>
      </c>
      <c r="F32" s="1819">
        <f t="shared" si="42"/>
        <v>-3.0858275723433621</v>
      </c>
      <c r="G32" s="1884">
        <f t="shared" si="26"/>
        <v>-1.8469479951965795E-3</v>
      </c>
      <c r="H32" s="1954">
        <v>500.05423578942782</v>
      </c>
      <c r="I32" s="1955">
        <f t="shared" si="53"/>
        <v>2.5456910447873533E-2</v>
      </c>
      <c r="J32" s="1979">
        <v>243.28092977545765</v>
      </c>
      <c r="K32" s="1979">
        <f>FISCinyear!JI869</f>
        <v>232.64025640709463</v>
      </c>
      <c r="L32" s="1964">
        <f t="shared" si="27"/>
        <v>-10.640673368363025</v>
      </c>
      <c r="M32" s="1964">
        <v>256.77330601397017</v>
      </c>
      <c r="N32" s="1964">
        <f t="shared" si="41"/>
        <v>253.22850609223815</v>
      </c>
      <c r="O32" s="1834">
        <f>FISC!AJ1188</f>
        <v>485.86876249933277</v>
      </c>
      <c r="P32" s="1893">
        <f t="shared" si="4"/>
        <v>2.2439384020290165E-2</v>
      </c>
      <c r="Q32" s="1791">
        <f t="shared" si="55"/>
        <v>-14.185473290095047</v>
      </c>
      <c r="R32" s="1880">
        <f t="shared" si="58"/>
        <v>-3.0175264275833676E-3</v>
      </c>
      <c r="S32" s="1954">
        <v>536.43480775809053</v>
      </c>
      <c r="T32" s="1955">
        <f t="shared" si="7"/>
        <v>2.1972912964823305E-2</v>
      </c>
      <c r="U32" s="1979">
        <f>FISCinyear!JL869</f>
        <v>261.023338519275</v>
      </c>
      <c r="V32" s="1979">
        <f t="shared" si="28"/>
        <v>314.61506496523754</v>
      </c>
      <c r="W32" s="1834">
        <f>FISC!AK1188</f>
        <v>575.63840348451254</v>
      </c>
      <c r="X32" s="1889">
        <f t="shared" si="8"/>
        <v>2.2764479751846676E-2</v>
      </c>
      <c r="Y32" s="2830">
        <f t="shared" si="9"/>
        <v>2.3578731946639363E-2</v>
      </c>
      <c r="Z32" s="1819">
        <f t="shared" si="29"/>
        <v>39.203595726422009</v>
      </c>
      <c r="AA32" s="1884">
        <f t="shared" si="38"/>
        <v>7.9156678702337058E-4</v>
      </c>
      <c r="AB32" s="1954">
        <v>620.62532160413048</v>
      </c>
      <c r="AC32" s="1955">
        <f t="shared" si="59"/>
        <v>2.2411780177905617E-2</v>
      </c>
      <c r="AD32" s="1979">
        <f>FISCinyear!JO869</f>
        <v>341.72544281744979</v>
      </c>
      <c r="AE32" s="1979">
        <f t="shared" si="30"/>
        <v>323.4666073438359</v>
      </c>
      <c r="AF32" s="1831">
        <f>FISC!AL1188</f>
        <v>665.19205016128569</v>
      </c>
      <c r="AG32" s="1790">
        <f t="shared" si="11"/>
        <v>2.3057419733332113E-2</v>
      </c>
      <c r="AH32" s="2830">
        <f t="shared" si="12"/>
        <v>2.4021156542198493E-2</v>
      </c>
      <c r="AI32" s="1819">
        <f t="shared" si="31"/>
        <v>44.566728557155216</v>
      </c>
      <c r="AJ32" s="1884">
        <f t="shared" si="32"/>
        <v>6.456395554264964E-4</v>
      </c>
      <c r="AK32" s="1954">
        <v>663.20113126165734</v>
      </c>
      <c r="AL32" s="1955">
        <f t="shared" si="60"/>
        <v>2.1293055790051873E-2</v>
      </c>
      <c r="AM32" s="1979">
        <f>FISCinyear!JR869</f>
        <v>346.02101554831893</v>
      </c>
      <c r="AN32" s="1979">
        <f t="shared" si="33"/>
        <v>361.32206856329708</v>
      </c>
      <c r="AO32" s="1834">
        <f>FISC!AM1188</f>
        <v>707.34308411161601</v>
      </c>
      <c r="AP32" s="1832">
        <f t="shared" si="61"/>
        <v>2.1766456489664035E-2</v>
      </c>
      <c r="AQ32" s="2830">
        <f t="shared" si="15"/>
        <v>2.2710298645063194E-2</v>
      </c>
      <c r="AR32" s="1819">
        <f t="shared" si="43"/>
        <v>44.14195284995867</v>
      </c>
      <c r="AS32" s="1884">
        <f t="shared" si="34"/>
        <v>4.7340069961216216E-4</v>
      </c>
      <c r="AT32" s="1954">
        <v>682.70233023177559</v>
      </c>
      <c r="AU32" s="1955">
        <f t="shared" si="16"/>
        <v>1.9553902907621493E-2</v>
      </c>
      <c r="AV32" s="1979">
        <f>FISCinyear!JU869</f>
        <v>322.19273451191486</v>
      </c>
      <c r="AW32" s="1979">
        <f t="shared" si="35"/>
        <v>375.18760049986599</v>
      </c>
      <c r="AX32" s="1834">
        <f>FISC!AN1188</f>
        <v>697.38033501178086</v>
      </c>
      <c r="AY32" s="1832">
        <f t="shared" si="17"/>
        <v>1.9020423653181035E-2</v>
      </c>
      <c r="AZ32" s="2830">
        <f t="shared" si="18"/>
        <v>1.997430908998854E-2</v>
      </c>
      <c r="BA32" s="1819">
        <f t="shared" si="62"/>
        <v>14.678004780005267</v>
      </c>
      <c r="BB32" s="1884">
        <f t="shared" si="36"/>
        <v>-5.3347925444045818E-4</v>
      </c>
      <c r="BC32" s="1954">
        <v>681.12382669988529</v>
      </c>
      <c r="BD32" s="1955">
        <f t="shared" si="20"/>
        <v>1.7395718185918754E-2</v>
      </c>
      <c r="BE32" s="1979">
        <f>FISCinyear!JX869</f>
        <v>331.265113369711</v>
      </c>
      <c r="BF32" s="1979">
        <f t="shared" si="37"/>
        <v>382.77232513844262</v>
      </c>
      <c r="BG32" s="1834">
        <f>FISC!AO1188</f>
        <v>714.03743850815363</v>
      </c>
      <c r="BH32" s="1832">
        <f t="shared" si="21"/>
        <v>1.7313717629640447E-2</v>
      </c>
      <c r="BI32" s="2830">
        <f t="shared" si="22"/>
        <v>1.8236322923344334E-2</v>
      </c>
      <c r="BJ32" s="1819">
        <f>BG32-BC32</f>
        <v>32.913611808268342</v>
      </c>
      <c r="BK32" s="1884">
        <f>BH32-BD32</f>
        <v>-8.200055627830688E-5</v>
      </c>
      <c r="BL32" s="1834">
        <f>FISC!AP1188</f>
        <v>875.22125777941335</v>
      </c>
      <c r="BM32" s="1832">
        <f t="shared" si="25"/>
        <v>1.9037531937821105E-2</v>
      </c>
    </row>
    <row r="33" spans="1:65">
      <c r="A33" s="1835" t="s">
        <v>530</v>
      </c>
      <c r="B33" s="1829">
        <v>305.21703016014465</v>
      </c>
      <c r="C33" s="1788">
        <f>B33/$B$111</f>
        <v>1.767491036197447E-2</v>
      </c>
      <c r="D33" s="1796">
        <v>299.97083397306216</v>
      </c>
      <c r="E33" s="1790">
        <f>D33/$D$111</f>
        <v>1.61731141109617E-2</v>
      </c>
      <c r="F33" s="1791">
        <f t="shared" si="42"/>
        <v>-5.2461961870824894</v>
      </c>
      <c r="G33" s="1880">
        <f t="shared" si="26"/>
        <v>-1.5017962510127693E-3</v>
      </c>
      <c r="H33" s="1954">
        <v>237.81321847454316</v>
      </c>
      <c r="I33" s="1942">
        <f t="shared" si="53"/>
        <v>1.2106666382836834E-2</v>
      </c>
      <c r="J33" s="1975">
        <v>116.24217673557304</v>
      </c>
      <c r="K33" s="1975">
        <f>FISCinyear!JI870</f>
        <v>107.10094033021005</v>
      </c>
      <c r="L33" s="1964">
        <f t="shared" si="27"/>
        <v>-9.1412364053629886</v>
      </c>
      <c r="M33" s="1964">
        <v>121.57104173897012</v>
      </c>
      <c r="N33" s="1964">
        <f t="shared" si="41"/>
        <v>117.2074456647766</v>
      </c>
      <c r="O33" s="1796">
        <f>FISC!AJ1189</f>
        <v>224.30838599498665</v>
      </c>
      <c r="P33" s="1889">
        <f t="shared" si="4"/>
        <v>1.0359468236692607E-2</v>
      </c>
      <c r="Q33" s="1791">
        <f t="shared" si="55"/>
        <v>-13.504832479556512</v>
      </c>
      <c r="R33" s="1880">
        <f t="shared" si="58"/>
        <v>-1.7471981461442271E-3</v>
      </c>
      <c r="S33" s="1954">
        <v>251.11788637609055</v>
      </c>
      <c r="T33" s="1942">
        <f t="shared" si="7"/>
        <v>1.0286042929079496E-2</v>
      </c>
      <c r="U33" s="1975">
        <f>FISCinyear!JL870</f>
        <v>123.08513080081346</v>
      </c>
      <c r="V33" s="1975">
        <f t="shared" si="28"/>
        <v>163.70561701669905</v>
      </c>
      <c r="W33" s="1796">
        <f>FISC!AK1189</f>
        <v>286.79074781751251</v>
      </c>
      <c r="X33" s="1889">
        <f t="shared" si="8"/>
        <v>1.1341568130598816E-2</v>
      </c>
      <c r="Y33" s="2830">
        <f t="shared" si="9"/>
        <v>1.1747239459063141E-2</v>
      </c>
      <c r="Z33" s="1791">
        <f t="shared" si="29"/>
        <v>35.672861441421958</v>
      </c>
      <c r="AA33" s="1880">
        <f t="shared" si="38"/>
        <v>1.0555252015193202E-3</v>
      </c>
      <c r="AB33" s="1954">
        <v>291.05283609913056</v>
      </c>
      <c r="AC33" s="1942">
        <f t="shared" si="59"/>
        <v>1.0510386791743648E-2</v>
      </c>
      <c r="AD33" s="1979">
        <f>FISCinyear!JO870</f>
        <v>166.2848260275378</v>
      </c>
      <c r="AE33" s="1979">
        <f t="shared" si="30"/>
        <v>166.41780532874787</v>
      </c>
      <c r="AF33" s="1796">
        <f>FISC!AL1189</f>
        <v>332.70263135628568</v>
      </c>
      <c r="AG33" s="1790">
        <f t="shared" si="11"/>
        <v>1.1532405138795523E-2</v>
      </c>
      <c r="AH33" s="2830">
        <f t="shared" si="12"/>
        <v>1.2014427995453252E-2</v>
      </c>
      <c r="AI33" s="1791">
        <f t="shared" si="31"/>
        <v>41.64979525715512</v>
      </c>
      <c r="AJ33" s="1880">
        <f t="shared" si="32"/>
        <v>1.0220183470518746E-3</v>
      </c>
      <c r="AK33" s="1954">
        <v>348.51680022765737</v>
      </c>
      <c r="AL33" s="1942">
        <f t="shared" si="60"/>
        <v>1.1189648692094914E-2</v>
      </c>
      <c r="AM33" s="1975">
        <f>FISCinyear!JR870</f>
        <v>167.3631548126279</v>
      </c>
      <c r="AN33" s="1975">
        <f t="shared" si="33"/>
        <v>204.70558891498808</v>
      </c>
      <c r="AO33" s="1834">
        <f>FISC!AM1189</f>
        <v>372.06874372761598</v>
      </c>
      <c r="AP33" s="1790">
        <f t="shared" si="61"/>
        <v>1.1449349408261382E-2</v>
      </c>
      <c r="AQ33" s="2830">
        <f t="shared" si="15"/>
        <v>1.1945818763691055E-2</v>
      </c>
      <c r="AR33" s="1791">
        <f t="shared" si="43"/>
        <v>23.551943499958611</v>
      </c>
      <c r="AS33" s="1880">
        <f t="shared" si="34"/>
        <v>2.59700716166468E-4</v>
      </c>
      <c r="AT33" s="1954">
        <v>384.53506733977559</v>
      </c>
      <c r="AU33" s="1942">
        <f t="shared" si="16"/>
        <v>1.1013821160951552E-2</v>
      </c>
      <c r="AV33" s="1975">
        <f>FISCinyear!JU870</f>
        <v>160.19321238052683</v>
      </c>
      <c r="AW33" s="1975">
        <f t="shared" si="35"/>
        <v>234.16525038925406</v>
      </c>
      <c r="AX33" s="1834">
        <f>FISC!AN1189</f>
        <v>394.35846276978089</v>
      </c>
      <c r="AY33" s="1790">
        <f t="shared" si="17"/>
        <v>1.0755773652510205E-2</v>
      </c>
      <c r="AZ33" s="2830">
        <f t="shared" si="18"/>
        <v>1.1295182029305822E-2</v>
      </c>
      <c r="BA33" s="1791">
        <f t="shared" si="62"/>
        <v>9.8233954300052915</v>
      </c>
      <c r="BB33" s="1880">
        <f t="shared" si="36"/>
        <v>-2.5804750844134715E-4</v>
      </c>
      <c r="BC33" s="1954">
        <v>399.84967244888526</v>
      </c>
      <c r="BD33" s="1942">
        <f t="shared" si="20"/>
        <v>1.0212052413954852E-2</v>
      </c>
      <c r="BE33" s="1975">
        <f>FISCinyear!JX870</f>
        <v>173.91445411538399</v>
      </c>
      <c r="BF33" s="1975">
        <f t="shared" si="37"/>
        <v>249.86202079176968</v>
      </c>
      <c r="BG33" s="1834">
        <f>FISC!AO1189</f>
        <v>423.77647490715367</v>
      </c>
      <c r="BH33" s="1790">
        <f t="shared" si="21"/>
        <v>1.0275576361873196E-2</v>
      </c>
      <c r="BI33" s="2830">
        <f t="shared" si="22"/>
        <v>1.0823136472885566E-2</v>
      </c>
      <c r="BJ33" s="1791">
        <f>BG33-BC33</f>
        <v>23.926802458268412</v>
      </c>
      <c r="BK33" s="1880">
        <f>BH33-BD33</f>
        <v>6.352394791834387E-5</v>
      </c>
      <c r="BL33" s="1834">
        <f>FISC!AP1189</f>
        <v>465.30814855741335</v>
      </c>
      <c r="BM33" s="1790">
        <f t="shared" si="25"/>
        <v>1.0121233528496828E-2</v>
      </c>
    </row>
    <row r="34" spans="1:65">
      <c r="A34" s="1930" t="s">
        <v>3992</v>
      </c>
      <c r="B34" s="1829"/>
      <c r="C34" s="1788"/>
      <c r="D34" s="1796"/>
      <c r="E34" s="1790"/>
      <c r="F34" s="1791"/>
      <c r="G34" s="1880"/>
      <c r="H34" s="1954">
        <v>0</v>
      </c>
      <c r="I34" s="1942">
        <f t="shared" si="53"/>
        <v>0</v>
      </c>
      <c r="J34" s="1975"/>
      <c r="K34" s="1975"/>
      <c r="L34" s="1964"/>
      <c r="M34" s="1964"/>
      <c r="N34" s="1964">
        <f t="shared" si="41"/>
        <v>0</v>
      </c>
      <c r="O34" s="1796">
        <f>FISC!AJ1190+FISC!AJ1191+FISC!AJ1192</f>
        <v>0</v>
      </c>
      <c r="P34" s="1889">
        <f t="shared" si="4"/>
        <v>0</v>
      </c>
      <c r="Q34" s="1791">
        <f t="shared" ref="Q34" si="63">O34-H34</f>
        <v>0</v>
      </c>
      <c r="R34" s="1880">
        <f t="shared" ref="R34" si="64">P34-I34</f>
        <v>0</v>
      </c>
      <c r="S34" s="1954">
        <v>0</v>
      </c>
      <c r="T34" s="1942">
        <f t="shared" si="7"/>
        <v>0</v>
      </c>
      <c r="U34" s="1975">
        <f>FISCinyear!JL872+FISCinyear!JL874+FISCinyear!JL873</f>
        <v>0</v>
      </c>
      <c r="V34" s="1975">
        <f t="shared" si="28"/>
        <v>0</v>
      </c>
      <c r="W34" s="1796">
        <f>FISC!AK1190+FISC!AK1191+FISC!AK1192</f>
        <v>0</v>
      </c>
      <c r="X34" s="1889">
        <f t="shared" si="8"/>
        <v>0</v>
      </c>
      <c r="Y34" s="2830">
        <f t="shared" si="9"/>
        <v>0</v>
      </c>
      <c r="Z34" s="1791">
        <f t="shared" ref="Z34:Z35" si="65">W34-S34</f>
        <v>0</v>
      </c>
      <c r="AA34" s="1880">
        <f t="shared" ref="AA34:AA35" si="66">X34-T34</f>
        <v>0</v>
      </c>
      <c r="AB34" s="1954">
        <v>32.844690024612078</v>
      </c>
      <c r="AC34" s="1942">
        <f t="shared" si="59"/>
        <v>1.1860746689168866E-3</v>
      </c>
      <c r="AD34" s="1979">
        <f>FISCinyear!JO872+FISCinyear!JO873+FISCinyear!JO874</f>
        <v>11.443199394367804</v>
      </c>
      <c r="AE34" s="1979">
        <f t="shared" si="30"/>
        <v>17.175905762709078</v>
      </c>
      <c r="AF34" s="1796">
        <f>FISC!AL1190+FISC!AL1191+FISC!AL1192</f>
        <v>28.619105157076881</v>
      </c>
      <c r="AG34" s="1790">
        <f t="shared" si="11"/>
        <v>9.920183499473466E-4</v>
      </c>
      <c r="AH34" s="2830">
        <f t="shared" si="12"/>
        <v>1.0334819920188433E-3</v>
      </c>
      <c r="AI34" s="1791">
        <f t="shared" ref="AI34" si="67">AF34-AB34</f>
        <v>-4.225584867535197</v>
      </c>
      <c r="AJ34" s="1880">
        <f t="shared" si="32"/>
        <v>-1.9405631896953998E-4</v>
      </c>
      <c r="AK34" s="1954">
        <v>73.921851291753967</v>
      </c>
      <c r="AL34" s="1942">
        <f t="shared" si="60"/>
        <v>2.373370655542844E-3</v>
      </c>
      <c r="AM34" s="1975">
        <f>FISCinyear!JR872+FISCinyear!JR873+FISCinyear!JR874</f>
        <v>24.911749573337325</v>
      </c>
      <c r="AN34" s="1975">
        <f t="shared" si="33"/>
        <v>33.598947402510341</v>
      </c>
      <c r="AO34" s="1834">
        <f>FISC!AM1190+FISC!AM1191+FISC!AM1192</f>
        <v>58.510696975847665</v>
      </c>
      <c r="AP34" s="1790">
        <f t="shared" si="61"/>
        <v>1.8004990343607299E-3</v>
      </c>
      <c r="AQ34" s="2830">
        <f t="shared" si="15"/>
        <v>1.8785726927989836E-3</v>
      </c>
      <c r="AR34" s="1791">
        <f t="shared" ref="AR34" si="68">AO34-AK34</f>
        <v>-15.411154315906302</v>
      </c>
      <c r="AS34" s="1880">
        <f t="shared" ref="AS34" si="69">AP34-AL34</f>
        <v>-5.7287162118211418E-4</v>
      </c>
      <c r="AT34" s="1954">
        <v>92.240889239921671</v>
      </c>
      <c r="AU34" s="1942">
        <f t="shared" si="16"/>
        <v>2.6419558165236604E-3</v>
      </c>
      <c r="AV34" s="1975">
        <f>FISCinyear!JU872+FISCinyear!JU873+FISCinyear!JU874</f>
        <v>38.464021364350081</v>
      </c>
      <c r="AW34" s="1975">
        <f t="shared" si="35"/>
        <v>42.914962107402637</v>
      </c>
      <c r="AX34" s="1834">
        <f>FISC!AN1190+FISC!AN1191+FISC!AN1192</f>
        <v>81.378983471752719</v>
      </c>
      <c r="AY34" s="1790">
        <f t="shared" si="17"/>
        <v>2.2195388432795513E-3</v>
      </c>
      <c r="AZ34" s="2830">
        <f t="shared" si="18"/>
        <v>2.3308500221280227E-3</v>
      </c>
      <c r="BA34" s="1791">
        <f t="shared" si="62"/>
        <v>-10.861905768168953</v>
      </c>
      <c r="BB34" s="1880">
        <f t="shared" si="36"/>
        <v>-4.2241697324410911E-4</v>
      </c>
      <c r="BC34" s="1954">
        <v>96.356612828728544</v>
      </c>
      <c r="BD34" s="1942"/>
      <c r="BE34" s="1975">
        <f>FISCinyear!JX872+FISCinyear!JX873+FISCinyear!JX874</f>
        <v>48.036625352878133</v>
      </c>
      <c r="BF34" s="1975">
        <f t="shared" si="37"/>
        <v>49.323635151805831</v>
      </c>
      <c r="BG34" s="1834">
        <f>FISC!AO1190+FISC!AO1191+FISC!AO1192</f>
        <v>97.360260504683964</v>
      </c>
      <c r="BH34" s="1790">
        <f t="shared" si="21"/>
        <v>2.3607558481082143E-3</v>
      </c>
      <c r="BI34" s="2830">
        <f t="shared" si="22"/>
        <v>2.4865547024731671E-3</v>
      </c>
      <c r="BJ34" s="1791">
        <f t="shared" ref="BJ34" si="70">BG34-BC34</f>
        <v>1.0036476759554205</v>
      </c>
      <c r="BK34" s="1880">
        <f t="shared" ref="BK34" si="71">BH34-BD34</f>
        <v>2.3607558481082143E-3</v>
      </c>
      <c r="BL34" s="1834">
        <f>FISC!AP1190+FISC!AP1191+FISC!AP1192</f>
        <v>50.464401824145042</v>
      </c>
      <c r="BM34" s="1790">
        <f t="shared" si="25"/>
        <v>1.0976854742853306E-3</v>
      </c>
    </row>
    <row r="35" spans="1:65">
      <c r="A35" s="1930" t="s">
        <v>4176</v>
      </c>
      <c r="B35" s="1829"/>
      <c r="C35" s="1788"/>
      <c r="D35" s="1796"/>
      <c r="E35" s="1790"/>
      <c r="F35" s="1791"/>
      <c r="G35" s="1880"/>
      <c r="H35" s="1954">
        <v>0</v>
      </c>
      <c r="I35" s="1942">
        <f t="shared" si="53"/>
        <v>0</v>
      </c>
      <c r="J35" s="1975"/>
      <c r="K35" s="1975"/>
      <c r="L35" s="1964"/>
      <c r="M35" s="1964"/>
      <c r="N35" s="1964">
        <f t="shared" si="41"/>
        <v>0</v>
      </c>
      <c r="O35" s="1796">
        <v>0</v>
      </c>
      <c r="P35" s="1889">
        <v>0</v>
      </c>
      <c r="Q35" s="1791">
        <v>0</v>
      </c>
      <c r="R35" s="1880">
        <v>0</v>
      </c>
      <c r="S35" s="1954">
        <v>0</v>
      </c>
      <c r="T35" s="1942">
        <f t="shared" si="7"/>
        <v>0</v>
      </c>
      <c r="U35" s="1975">
        <f>FISCinyear!JL875</f>
        <v>0</v>
      </c>
      <c r="V35" s="1975">
        <f t="shared" si="28"/>
        <v>40.828172077023005</v>
      </c>
      <c r="W35" s="1796">
        <f>FISC!AK1193</f>
        <v>40.828172077023005</v>
      </c>
      <c r="X35" s="1889">
        <f t="shared" si="8"/>
        <v>1.6146109969838178E-3</v>
      </c>
      <c r="Y35" s="2830">
        <f t="shared" si="9"/>
        <v>1.6723632743194698E-3</v>
      </c>
      <c r="Z35" s="1791">
        <f t="shared" si="65"/>
        <v>40.828172077023005</v>
      </c>
      <c r="AA35" s="1880">
        <f t="shared" si="66"/>
        <v>1.6146109969838178E-3</v>
      </c>
      <c r="AB35" s="1954">
        <v>0</v>
      </c>
      <c r="AC35" s="1942">
        <f t="shared" si="59"/>
        <v>0</v>
      </c>
      <c r="AD35" s="1979">
        <v>0</v>
      </c>
      <c r="AE35" s="1979">
        <f t="shared" si="30"/>
        <v>35.397157248888973</v>
      </c>
      <c r="AF35" s="1796">
        <f>FISC!AL1193</f>
        <v>35.397157248888973</v>
      </c>
      <c r="AG35" s="1790">
        <f t="shared" si="11"/>
        <v>1.2269646215051738E-3</v>
      </c>
      <c r="AH35" s="2830">
        <f t="shared" si="12"/>
        <v>1.2782483723583512E-3</v>
      </c>
      <c r="AI35" s="1791">
        <f t="shared" ref="AI35" si="72">AF35-AB35</f>
        <v>35.397157248888973</v>
      </c>
      <c r="AJ35" s="1880">
        <f t="shared" ref="AJ35" si="73">AG35-AC35</f>
        <v>1.2269646215051738E-3</v>
      </c>
      <c r="AK35" s="1954">
        <v>0</v>
      </c>
      <c r="AL35" s="1942">
        <f t="shared" si="60"/>
        <v>0</v>
      </c>
      <c r="AM35" s="1975">
        <v>0</v>
      </c>
      <c r="AN35" s="1975">
        <f t="shared" si="33"/>
        <v>20.265153442851901</v>
      </c>
      <c r="AO35" s="1834">
        <f>FISC!AM1193</f>
        <v>20.265153442851901</v>
      </c>
      <c r="AP35" s="1790">
        <f t="shared" si="61"/>
        <v>6.2360202648223991E-4</v>
      </c>
      <c r="AQ35" s="2830">
        <f t="shared" si="15"/>
        <v>6.5064280278249683E-4</v>
      </c>
      <c r="AR35" s="1791">
        <f t="shared" ref="AR35" si="74">AO35-AK35</f>
        <v>20.265153442851901</v>
      </c>
      <c r="AS35" s="1880">
        <f t="shared" ref="AS35" si="75">AP35-AL35</f>
        <v>6.2360202648223991E-4</v>
      </c>
      <c r="AT35" s="1954">
        <v>0</v>
      </c>
      <c r="AU35" s="1942">
        <f t="shared" si="16"/>
        <v>0</v>
      </c>
      <c r="AV35" s="1975">
        <v>0</v>
      </c>
      <c r="AW35" s="1975">
        <f t="shared" si="35"/>
        <v>0.50335476725579309</v>
      </c>
      <c r="AX35" s="1834">
        <f>FISC!AN1193</f>
        <v>0.50335476725579309</v>
      </c>
      <c r="AY35" s="1790">
        <f t="shared" si="17"/>
        <v>1.3728550176127046E-5</v>
      </c>
      <c r="AZ35" s="2830">
        <f t="shared" si="18"/>
        <v>1.4417045044604832E-5</v>
      </c>
      <c r="BA35" s="1791">
        <f t="shared" si="62"/>
        <v>0.50335476725579309</v>
      </c>
      <c r="BB35" s="1880">
        <f t="shared" si="36"/>
        <v>1.3728550176127046E-5</v>
      </c>
      <c r="BC35" s="1954">
        <v>0</v>
      </c>
      <c r="BD35" s="1942"/>
      <c r="BE35" s="1975">
        <v>0</v>
      </c>
      <c r="BF35" s="1975">
        <f t="shared" si="37"/>
        <v>0.11321709045740443</v>
      </c>
      <c r="BG35" s="1834">
        <f>FISC!AO1193</f>
        <v>0.11321709045740443</v>
      </c>
      <c r="BH35" s="1790">
        <f t="shared" si="21"/>
        <v>2.7452464385123085E-6</v>
      </c>
      <c r="BI35" s="2830">
        <f t="shared" si="22"/>
        <v>2.8915338477719569E-6</v>
      </c>
      <c r="BJ35" s="1791"/>
      <c r="BK35" s="1880"/>
      <c r="BL35" s="1834">
        <f>FISC!AP1193</f>
        <v>0</v>
      </c>
      <c r="BM35" s="1790">
        <f t="shared" si="25"/>
        <v>0</v>
      </c>
    </row>
    <row r="36" spans="1:65">
      <c r="A36" s="1809" t="s">
        <v>531</v>
      </c>
      <c r="B36" s="1836">
        <v>286.90411235925882</v>
      </c>
      <c r="C36" s="1830">
        <f>B36/$B$111</f>
        <v>1.6614421763330313E-2</v>
      </c>
      <c r="D36" s="1834">
        <v>288.28340167012408</v>
      </c>
      <c r="E36" s="1832">
        <f>D36/$D$111</f>
        <v>1.5542978928164123E-2</v>
      </c>
      <c r="F36" s="1819">
        <f t="shared" si="42"/>
        <v>1.3792893108652606</v>
      </c>
      <c r="G36" s="1884">
        <f t="shared" si="26"/>
        <v>-1.0714428351661903E-3</v>
      </c>
      <c r="H36" s="1956">
        <v>262.24101731488463</v>
      </c>
      <c r="I36" s="1955">
        <f t="shared" si="53"/>
        <v>1.3350244065036699E-2</v>
      </c>
      <c r="J36" s="1979">
        <v>127.03875303988461</v>
      </c>
      <c r="K36" s="1979">
        <f>FISCinyear!JI876</f>
        <v>125.5393160768846</v>
      </c>
      <c r="L36" s="1964">
        <f t="shared" si="27"/>
        <v>-1.4994369630000079</v>
      </c>
      <c r="M36" s="1964">
        <v>135.202264275</v>
      </c>
      <c r="N36" s="1964">
        <f t="shared" si="41"/>
        <v>136.02106042746155</v>
      </c>
      <c r="O36" s="1834">
        <f>FISC!AJ1196</f>
        <v>261.56037650434615</v>
      </c>
      <c r="P36" s="1893">
        <f>O36/$O$111</f>
        <v>1.2079915783597558E-2</v>
      </c>
      <c r="Q36" s="1791">
        <f t="shared" si="55"/>
        <v>-0.68064081053847758</v>
      </c>
      <c r="R36" s="1880">
        <f t="shared" si="58"/>
        <v>-1.2703282814391405E-3</v>
      </c>
      <c r="S36" s="1956">
        <v>285.31692138200003</v>
      </c>
      <c r="T36" s="1955">
        <f t="shared" si="7"/>
        <v>1.1686870035743811E-2</v>
      </c>
      <c r="U36" s="1979">
        <f>FISCinyear!JL876</f>
        <v>137.93820771846151</v>
      </c>
      <c r="V36" s="1979">
        <f t="shared" si="28"/>
        <v>150.90944794853851</v>
      </c>
      <c r="W36" s="1834">
        <f>FISC!AK1196</f>
        <v>288.84765566700003</v>
      </c>
      <c r="X36" s="1889">
        <f t="shared" ref="X36:X57" si="76">W36/$W$111</f>
        <v>1.142291162124786E-2</v>
      </c>
      <c r="Y36" s="2830">
        <f t="shared" ref="Y36:Y57" si="77">W36/$S$111</f>
        <v>1.1831492487576221E-2</v>
      </c>
      <c r="Z36" s="1819">
        <f t="shared" si="29"/>
        <v>3.5307342849999941</v>
      </c>
      <c r="AA36" s="1884">
        <f t="shared" si="38"/>
        <v>-2.6395841449595135E-4</v>
      </c>
      <c r="AB36" s="1956">
        <v>329.57248550499997</v>
      </c>
      <c r="AC36" s="1955">
        <f t="shared" si="59"/>
        <v>1.1901393386161972E-2</v>
      </c>
      <c r="AD36" s="1979">
        <f>FISCinyear!JO876</f>
        <v>175.44061678991201</v>
      </c>
      <c r="AE36" s="1979">
        <f t="shared" si="30"/>
        <v>157.048802015088</v>
      </c>
      <c r="AF36" s="1834">
        <f>FISC!AL1196</f>
        <v>332.48941880500001</v>
      </c>
      <c r="AG36" s="1790">
        <f t="shared" si="11"/>
        <v>1.1525014594536588E-2</v>
      </c>
      <c r="AH36" s="2830">
        <f t="shared" si="12"/>
        <v>1.2006728546745239E-2</v>
      </c>
      <c r="AI36" s="1819">
        <f t="shared" si="31"/>
        <v>2.9169333000000393</v>
      </c>
      <c r="AJ36" s="1884">
        <f t="shared" si="32"/>
        <v>-3.7637879162538343E-4</v>
      </c>
      <c r="AK36" s="1956">
        <v>314.68433103400002</v>
      </c>
      <c r="AL36" s="1955">
        <f t="shared" si="60"/>
        <v>1.010340709795696E-2</v>
      </c>
      <c r="AM36" s="1979">
        <f>FISCinyear!JR876</f>
        <v>178.657860735691</v>
      </c>
      <c r="AN36" s="1979">
        <f t="shared" si="33"/>
        <v>156.61647964830897</v>
      </c>
      <c r="AO36" s="1834">
        <f>FISC!AM1196</f>
        <v>335.27434038399997</v>
      </c>
      <c r="AP36" s="1832">
        <f t="shared" si="61"/>
        <v>1.0317107081402651E-2</v>
      </c>
      <c r="AQ36" s="2830">
        <f t="shared" si="15"/>
        <v>1.0764479881372139E-2</v>
      </c>
      <c r="AR36" s="1819">
        <f t="shared" si="43"/>
        <v>20.590009349999946</v>
      </c>
      <c r="AS36" s="1884">
        <f t="shared" si="34"/>
        <v>2.1369998344569069E-4</v>
      </c>
      <c r="AT36" s="1956">
        <v>298.167262892</v>
      </c>
      <c r="AU36" s="1955">
        <f t="shared" si="16"/>
        <v>8.5400817466699409E-3</v>
      </c>
      <c r="AV36" s="1979">
        <f>FISCinyear!JU876</f>
        <v>161.99952213138801</v>
      </c>
      <c r="AW36" s="1979">
        <f t="shared" si="35"/>
        <v>141.02235011061197</v>
      </c>
      <c r="AX36" s="1834">
        <f>FISC!AN1196</f>
        <v>303.02187224199997</v>
      </c>
      <c r="AY36" s="1832">
        <f t="shared" si="17"/>
        <v>8.2646500006708298E-3</v>
      </c>
      <c r="AZ36" s="2830">
        <f t="shared" ref="AZ36:AZ57" si="78">AX36/$AT$111</f>
        <v>8.6791270606827158E-3</v>
      </c>
      <c r="BA36" s="1819">
        <f t="shared" si="62"/>
        <v>4.8546093499999756</v>
      </c>
      <c r="BB36" s="1884">
        <f t="shared" si="36"/>
        <v>-2.7543174599911104E-4</v>
      </c>
      <c r="BC36" s="1956">
        <v>281.27415425099997</v>
      </c>
      <c r="BD36" s="1955">
        <f>BC36/$BC$111</f>
        <v>7.1836657719639005E-3</v>
      </c>
      <c r="BE36" s="1979">
        <f>FISCinyear!JX876</f>
        <v>157.35065925432701</v>
      </c>
      <c r="BF36" s="1979">
        <f t="shared" si="37"/>
        <v>132.910304346673</v>
      </c>
      <c r="BG36" s="1834">
        <f>FISC!AO1196</f>
        <v>290.26096360100001</v>
      </c>
      <c r="BH36" s="1832">
        <f t="shared" si="21"/>
        <v>7.0381412677672523E-3</v>
      </c>
      <c r="BI36" s="2830">
        <f t="shared" ref="BI36:BI64" si="79">BG36/$BC$111</f>
        <v>7.4131864504587705E-3</v>
      </c>
      <c r="BJ36" s="1819">
        <f t="shared" ref="BJ36:BJ57" si="80">BG36-BC36</f>
        <v>8.9868093500000441</v>
      </c>
      <c r="BK36" s="1884">
        <f t="shared" ref="BK36:BK57" si="81">BH36-BD36</f>
        <v>-1.4552450419664815E-4</v>
      </c>
      <c r="BL36" s="1834">
        <f>FISC!AP1196</f>
        <v>409.913109222</v>
      </c>
      <c r="BM36" s="1832">
        <f t="shared" ref="BM36:BM67" si="82">BL36/$BL$111</f>
        <v>8.9162984093242772E-3</v>
      </c>
    </row>
    <row r="37" spans="1:65">
      <c r="A37" s="1930" t="s">
        <v>3992</v>
      </c>
      <c r="B37" s="1836"/>
      <c r="C37" s="1830"/>
      <c r="D37" s="1834"/>
      <c r="E37" s="1832"/>
      <c r="F37" s="1819"/>
      <c r="G37" s="1884"/>
      <c r="H37" s="1956"/>
      <c r="I37" s="1955"/>
      <c r="J37" s="1979"/>
      <c r="K37" s="1979"/>
      <c r="L37" s="1964"/>
      <c r="M37" s="1964"/>
      <c r="N37" s="1964"/>
      <c r="O37" s="1834"/>
      <c r="P37" s="1893"/>
      <c r="Q37" s="1791"/>
      <c r="R37" s="1880"/>
      <c r="S37" s="1956">
        <v>9.1750000000000007</v>
      </c>
      <c r="T37" s="1955"/>
      <c r="U37" s="1979">
        <v>0</v>
      </c>
      <c r="V37" s="1979">
        <f t="shared" si="28"/>
        <v>9.1750000000000007</v>
      </c>
      <c r="W37" s="1834">
        <v>9.1750000000000007</v>
      </c>
      <c r="X37" s="1889">
        <f t="shared" si="76"/>
        <v>3.6283906782257053E-4</v>
      </c>
      <c r="Y37" s="2830">
        <f t="shared" si="77"/>
        <v>3.7581729137749686E-4</v>
      </c>
      <c r="Z37" s="1819">
        <f t="shared" ref="Z37" si="83">W37-S37</f>
        <v>0</v>
      </c>
      <c r="AA37" s="1884">
        <f t="shared" ref="AA37" si="84">X37-T37</f>
        <v>3.6283906782257053E-4</v>
      </c>
      <c r="AB37" s="1956">
        <v>38.793999999999997</v>
      </c>
      <c r="AC37" s="1955"/>
      <c r="AD37" s="1979"/>
      <c r="AE37" s="1979"/>
      <c r="AF37" s="1834">
        <f>FISC!AL1197</f>
        <v>38.793999999999997</v>
      </c>
      <c r="AG37" s="1790">
        <f t="shared" ref="AG37" si="85">AF37/$AF$111</f>
        <v>1.344708706181927E-3</v>
      </c>
      <c r="AH37" s="2830">
        <f t="shared" ref="AH37" si="86">AF37/$AB$111</f>
        <v>1.4009138363456101E-3</v>
      </c>
      <c r="AI37" s="1819">
        <f t="shared" ref="AI37" si="87">AF37-AB37</f>
        <v>0</v>
      </c>
      <c r="AJ37" s="1884">
        <f t="shared" ref="AJ37" si="88">AG37-AC37</f>
        <v>1.344708706181927E-3</v>
      </c>
      <c r="AK37" s="1956">
        <v>58.241199999999999</v>
      </c>
      <c r="AL37" s="1955"/>
      <c r="AM37" s="1979"/>
      <c r="AN37" s="1979"/>
      <c r="AO37" s="1834">
        <f>FISC!AM1197</f>
        <v>58.241199999999999</v>
      </c>
      <c r="AP37" s="1832">
        <f t="shared" si="61"/>
        <v>1.7922060371848947E-3</v>
      </c>
      <c r="AQ37" s="2830">
        <f t="shared" ref="AQ37" si="89">AO37/$AK$111</f>
        <v>1.8699200927482901E-3</v>
      </c>
      <c r="AR37" s="1819"/>
      <c r="AS37" s="1884"/>
      <c r="AT37" s="1956">
        <v>60</v>
      </c>
      <c r="AU37" s="2850"/>
      <c r="AV37" s="1979"/>
      <c r="AW37" s="1979"/>
      <c r="AX37" s="1834">
        <f>FISC!AN1197</f>
        <v>60</v>
      </c>
      <c r="AY37" s="1832"/>
      <c r="AZ37" s="2830">
        <f t="shared" si="78"/>
        <v>1.7185149698536691E-3</v>
      </c>
      <c r="BA37" s="1819"/>
      <c r="BB37" s="1884"/>
      <c r="BC37" s="1956">
        <v>60</v>
      </c>
      <c r="BD37" s="1955"/>
      <c r="BE37" s="1979"/>
      <c r="BF37" s="1979"/>
      <c r="BG37" s="1834">
        <f>FISC!AO1197</f>
        <v>60</v>
      </c>
      <c r="BH37" s="1832">
        <f t="shared" si="21"/>
        <v>1.4548579692807864E-3</v>
      </c>
      <c r="BI37" s="2830">
        <f t="shared" si="79"/>
        <v>1.5323837608385651E-3</v>
      </c>
      <c r="BJ37" s="1819"/>
      <c r="BK37" s="1884"/>
      <c r="BL37" s="1834">
        <f>FISC!AP1197</f>
        <v>0</v>
      </c>
      <c r="BM37" s="1832">
        <f t="shared" si="82"/>
        <v>0</v>
      </c>
    </row>
    <row r="38" spans="1:65">
      <c r="A38" s="1787" t="s">
        <v>532</v>
      </c>
      <c r="B38" s="1836">
        <v>307.99850444249296</v>
      </c>
      <c r="C38" s="1830">
        <f>B38/$B$111</f>
        <v>1.7835983643464854E-2</v>
      </c>
      <c r="D38" s="1834">
        <f>FISC!AI1198</f>
        <v>307.42047619799996</v>
      </c>
      <c r="E38" s="1832">
        <f>D38/$D$111</f>
        <v>1.6574766205580266E-2</v>
      </c>
      <c r="F38" s="1819">
        <f t="shared" si="42"/>
        <v>-0.57802824449299806</v>
      </c>
      <c r="G38" s="1884">
        <f t="shared" si="26"/>
        <v>-1.2612174378845882E-3</v>
      </c>
      <c r="H38" s="1956">
        <v>322.57291333448478</v>
      </c>
      <c r="I38" s="1955">
        <f t="shared" ref="I38:I57" si="90">H38/$H$111</f>
        <v>1.6421638254302456E-2</v>
      </c>
      <c r="J38" s="1979">
        <v>161.28645666724239</v>
      </c>
      <c r="K38" s="1979">
        <f>FISCinyear!JI877</f>
        <v>153.111125754</v>
      </c>
      <c r="L38" s="1964">
        <f t="shared" si="27"/>
        <v>-8.1753309132423908</v>
      </c>
      <c r="M38" s="1964">
        <v>161.28645666724239</v>
      </c>
      <c r="N38" s="1964">
        <f t="shared" si="41"/>
        <v>168.53381436300003</v>
      </c>
      <c r="O38" s="1834">
        <f>FISC!AJ1198</f>
        <v>321.64494011700003</v>
      </c>
      <c r="P38" s="1893">
        <f>O38/$O$111</f>
        <v>1.4854863877935574E-2</v>
      </c>
      <c r="Q38" s="1791">
        <f t="shared" si="55"/>
        <v>-0.92797321748474815</v>
      </c>
      <c r="R38" s="1880">
        <f t="shared" si="58"/>
        <v>-1.566774376366882E-3</v>
      </c>
      <c r="S38" s="1956">
        <v>384.83560886366604</v>
      </c>
      <c r="T38" s="1955">
        <f t="shared" ref="T38:T57" si="91">S38/$S$111</f>
        <v>1.5763256255994854E-2</v>
      </c>
      <c r="U38" s="1979">
        <f>FISCinyear!JL877</f>
        <v>170.21353904</v>
      </c>
      <c r="V38" s="1979">
        <f t="shared" si="28"/>
        <v>214.62206982366604</v>
      </c>
      <c r="W38" s="1834">
        <f>FISC!AK1198</f>
        <v>384.83560886366604</v>
      </c>
      <c r="X38" s="1889">
        <f t="shared" si="76"/>
        <v>1.5218898483381356E-2</v>
      </c>
      <c r="Y38" s="2830">
        <f t="shared" si="77"/>
        <v>1.5763256255994854E-2</v>
      </c>
      <c r="Z38" s="1819">
        <f t="shared" si="29"/>
        <v>0</v>
      </c>
      <c r="AA38" s="1884">
        <f>X38-T38</f>
        <v>-5.4435777261349801E-4</v>
      </c>
      <c r="AB38" s="1956">
        <v>377.69290860551644</v>
      </c>
      <c r="AC38" s="1955">
        <f>AB38/$AB$111</f>
        <v>1.3639099385345309E-2</v>
      </c>
      <c r="AD38" s="1979">
        <f>FISCinyear!JO877</f>
        <v>223.9199905706879</v>
      </c>
      <c r="AE38" s="1979">
        <f t="shared" si="30"/>
        <v>202.85956226810356</v>
      </c>
      <c r="AF38" s="1834">
        <f>FISC!AL1198</f>
        <v>426.77955283879146</v>
      </c>
      <c r="AG38" s="1790">
        <f t="shared" ref="AG38:AG57" si="92">AF38/$AF$111</f>
        <v>1.4793374756992128E-2</v>
      </c>
      <c r="AH38" s="2830">
        <f t="shared" ref="AH38:AH57" si="93">AF38/$AB$111</f>
        <v>1.5411697186195169E-2</v>
      </c>
      <c r="AI38" s="1819">
        <f t="shared" si="31"/>
        <v>49.086644233275024</v>
      </c>
      <c r="AJ38" s="1884">
        <f t="shared" si="32"/>
        <v>1.154275371646819E-3</v>
      </c>
      <c r="AK38" s="1956">
        <v>352.16754160810285</v>
      </c>
      <c r="AL38" s="1955">
        <f t="shared" ref="AL38:AL57" si="94">AK38/$AK$111</f>
        <v>1.130686115785322E-2</v>
      </c>
      <c r="AM38" s="1979">
        <f>FISCinyear!JR877</f>
        <v>239.19266651693985</v>
      </c>
      <c r="AN38" s="1979">
        <f t="shared" si="33"/>
        <v>172.74456097606722</v>
      </c>
      <c r="AO38" s="1834">
        <f>FISC!AM1198</f>
        <v>411.93722749300707</v>
      </c>
      <c r="AP38" s="1832">
        <f t="shared" ref="AP38:AP57" si="95">AO38/$AO$111</f>
        <v>1.2676187751182576E-2</v>
      </c>
      <c r="AQ38" s="2830">
        <f t="shared" ref="AQ38:AQ64" si="96">AO38/$AK$111</f>
        <v>1.3225855556550986E-2</v>
      </c>
      <c r="AR38" s="1819">
        <f t="shared" si="43"/>
        <v>59.76968588490422</v>
      </c>
      <c r="AS38" s="1884">
        <f t="shared" si="34"/>
        <v>1.3693265933293567E-3</v>
      </c>
      <c r="AT38" s="1956">
        <v>383.15066733626122</v>
      </c>
      <c r="AU38" s="1955">
        <f t="shared" ref="AU38:AU57" si="97">AT38/$AT$111</f>
        <v>1.0974169292113136E-2</v>
      </c>
      <c r="AV38" s="1979">
        <f>FISCinyear!JU877</f>
        <v>217.06037405819291</v>
      </c>
      <c r="AW38" s="1979">
        <f t="shared" si="35"/>
        <v>166.1504987377707</v>
      </c>
      <c r="AX38" s="1834">
        <f>FISC!AN1198</f>
        <v>383.21087279596361</v>
      </c>
      <c r="AY38" s="1832">
        <f t="shared" ref="AY38:AY57" si="98">AX38/$AX$111</f>
        <v>1.045173312631674E-2</v>
      </c>
      <c r="AZ38" s="2830">
        <f t="shared" si="78"/>
        <v>1.0975893691842561E-2</v>
      </c>
      <c r="BA38" s="1819">
        <f t="shared" si="62"/>
        <v>6.0205459702387998E-2</v>
      </c>
      <c r="BB38" s="1884">
        <f t="shared" si="36"/>
        <v>-5.2243616579639683E-4</v>
      </c>
      <c r="BC38" s="1956">
        <v>391.49197795198683</v>
      </c>
      <c r="BD38" s="1955">
        <f t="shared" ref="BD38:BD57" si="99">BC38/$BC$111</f>
        <v>9.9985991585365697E-3</v>
      </c>
      <c r="BE38" s="1979">
        <f>FISCinyear!JX877</f>
        <v>248.15721889727237</v>
      </c>
      <c r="BF38" s="1979">
        <f t="shared" si="37"/>
        <v>165.43814593151492</v>
      </c>
      <c r="BG38" s="1834">
        <f>FISC!AO1198</f>
        <v>413.5953648287873</v>
      </c>
      <c r="BH38" s="1832">
        <f t="shared" ref="BH38:BH57" si="100">BG38/$BG$111</f>
        <v>1.0028708542979258E-2</v>
      </c>
      <c r="BI38" s="2830">
        <f t="shared" si="79"/>
        <v>1.0563113677028925E-2</v>
      </c>
      <c r="BJ38" s="1819">
        <f t="shared" si="80"/>
        <v>22.103386876800471</v>
      </c>
      <c r="BK38" s="1884">
        <f t="shared" si="81"/>
        <v>3.0109384442688139E-5</v>
      </c>
      <c r="BL38" s="1834">
        <f>FISC!AP1198</f>
        <v>461.89069483495882</v>
      </c>
      <c r="BM38" s="1832">
        <f t="shared" si="82"/>
        <v>1.0046898171798201E-2</v>
      </c>
    </row>
    <row r="39" spans="1:65">
      <c r="A39" s="1809" t="s">
        <v>3566</v>
      </c>
      <c r="B39" s="1795">
        <v>178.42929748547007</v>
      </c>
      <c r="C39" s="1788">
        <f>B39/$B$111</f>
        <v>1.0332719105978558E-2</v>
      </c>
      <c r="D39" s="1796">
        <f>FISC!AI1199</f>
        <v>176.54582574299999</v>
      </c>
      <c r="E39" s="1790">
        <f>D39/$D$111</f>
        <v>9.5185780155276987E-3</v>
      </c>
      <c r="F39" s="1791">
        <f t="shared" si="42"/>
        <v>-1.8834717424700784</v>
      </c>
      <c r="G39" s="1880">
        <f t="shared" si="26"/>
        <v>-8.1414109045085947E-4</v>
      </c>
      <c r="H39" s="1947">
        <v>161.84644263661758</v>
      </c>
      <c r="I39" s="1942">
        <f t="shared" si="90"/>
        <v>8.2393270601996207E-3</v>
      </c>
      <c r="J39" s="1975">
        <v>80.923221318308791</v>
      </c>
      <c r="K39" s="1975">
        <f>FISCinyear!JI878</f>
        <v>79.773593396999999</v>
      </c>
      <c r="L39" s="1964">
        <f t="shared" si="27"/>
        <v>-1.1496279213087917</v>
      </c>
      <c r="M39" s="1964">
        <v>80.923221318308791</v>
      </c>
      <c r="N39" s="1964">
        <f t="shared" si="41"/>
        <v>93.949823099000028</v>
      </c>
      <c r="O39" s="1796">
        <f>FISC!AJ1199</f>
        <v>173.72341649600003</v>
      </c>
      <c r="P39" s="1889">
        <f>O39/$O$111</f>
        <v>8.0232498093060853E-3</v>
      </c>
      <c r="Q39" s="1791">
        <f t="shared" si="55"/>
        <v>11.876973859382446</v>
      </c>
      <c r="R39" s="1880">
        <f t="shared" si="58"/>
        <v>-2.160772508935354E-4</v>
      </c>
      <c r="S39" s="1947">
        <v>185.49188415258524</v>
      </c>
      <c r="T39" s="1942">
        <f t="shared" si="91"/>
        <v>7.5979354195894301E-3</v>
      </c>
      <c r="U39" s="1979">
        <f>FISCinyear!JL878</f>
        <v>78.926271202999999</v>
      </c>
      <c r="V39" s="1979">
        <f t="shared" si="28"/>
        <v>106.25865214635436</v>
      </c>
      <c r="W39" s="1834">
        <f>FISC!AK1199</f>
        <v>185.18492334935436</v>
      </c>
      <c r="X39" s="1889">
        <f t="shared" si="76"/>
        <v>7.3234141648908894E-3</v>
      </c>
      <c r="Y39" s="2830">
        <f t="shared" si="77"/>
        <v>7.5853619942347385E-3</v>
      </c>
      <c r="Z39" s="1819">
        <f t="shared" ref="Z39:Z41" si="101">W39-S39</f>
        <v>-0.30696080323087926</v>
      </c>
      <c r="AA39" s="1884">
        <f t="shared" ref="AA39:AA41" si="102">X39-T39</f>
        <v>-2.745212546985407E-4</v>
      </c>
      <c r="AB39" s="1947">
        <v>153.82277611719758</v>
      </c>
      <c r="AC39" s="1942">
        <f>AB39/$AB$111</f>
        <v>5.5547882509582704E-3</v>
      </c>
      <c r="AD39" s="1979">
        <f>FISCinyear!JO878</f>
        <v>0</v>
      </c>
      <c r="AE39" s="1979">
        <f t="shared" si="30"/>
        <v>208.46764615275004</v>
      </c>
      <c r="AF39" s="1834">
        <f>FISC!AL1199</f>
        <v>208.46764615275004</v>
      </c>
      <c r="AG39" s="1790">
        <f t="shared" si="92"/>
        <v>7.2260725560358893E-3</v>
      </c>
      <c r="AH39" s="2830">
        <f t="shared" si="93"/>
        <v>7.528102539717179E-3</v>
      </c>
      <c r="AI39" s="1791">
        <f t="shared" si="31"/>
        <v>54.644870035552458</v>
      </c>
      <c r="AJ39" s="1884">
        <f t="shared" si="32"/>
        <v>1.6712843050776189E-3</v>
      </c>
      <c r="AK39" s="1947">
        <v>93.095556310739667</v>
      </c>
      <c r="AL39" s="1942">
        <f t="shared" si="94"/>
        <v>2.988970888151892E-3</v>
      </c>
      <c r="AM39" s="1979">
        <f>FISCinyear!JR878</f>
        <v>110.82612958633912</v>
      </c>
      <c r="AN39" s="1979">
        <f t="shared" si="33"/>
        <v>47.496912679859619</v>
      </c>
      <c r="AO39" s="1796">
        <f>FISC!AM1199</f>
        <v>158.32304226619874</v>
      </c>
      <c r="AP39" s="1790">
        <f t="shared" si="95"/>
        <v>4.8719379438432004E-3</v>
      </c>
      <c r="AQ39" s="2830">
        <f t="shared" si="96"/>
        <v>5.0831960515683363E-3</v>
      </c>
      <c r="AR39" s="1791">
        <f t="shared" si="43"/>
        <v>65.227485955459073</v>
      </c>
      <c r="AS39" s="1884">
        <f t="shared" si="34"/>
        <v>1.8829670556913085E-3</v>
      </c>
      <c r="AT39" s="1947">
        <v>97.848347777813487</v>
      </c>
      <c r="AU39" s="1942">
        <f t="shared" si="97"/>
        <v>2.8025641738603415E-3</v>
      </c>
      <c r="AV39" s="1979">
        <f>FISCinyear!JU878</f>
        <v>37.876637377551987</v>
      </c>
      <c r="AW39" s="1979">
        <f t="shared" si="35"/>
        <v>56.814956066327966</v>
      </c>
      <c r="AX39" s="1796">
        <f>FISC!AN1199</f>
        <v>94.691593443879952</v>
      </c>
      <c r="AY39" s="1790">
        <f t="shared" si="98"/>
        <v>2.5826283496608073E-3</v>
      </c>
      <c r="AZ39" s="2830">
        <f t="shared" si="78"/>
        <v>2.7121486808767544E-3</v>
      </c>
      <c r="BA39" s="1791">
        <f t="shared" si="62"/>
        <v>-3.1567543339335344</v>
      </c>
      <c r="BB39" s="1884">
        <f t="shared" si="36"/>
        <v>-2.1993582419953424E-4</v>
      </c>
      <c r="BC39" s="1947">
        <v>74.536603911310621</v>
      </c>
      <c r="BD39" s="1942">
        <f t="shared" si="99"/>
        <v>1.9036446903624778E-3</v>
      </c>
      <c r="BE39" s="1979">
        <f>FISCinyear!JX878</f>
        <v>39.339634016213154</v>
      </c>
      <c r="BF39" s="1979">
        <f t="shared" si="37"/>
        <v>59.009451024319745</v>
      </c>
      <c r="BG39" s="1796">
        <f>FISC!AO1199</f>
        <v>98.349085040532898</v>
      </c>
      <c r="BH39" s="1790">
        <f t="shared" si="100"/>
        <v>2.3847325023782177E-3</v>
      </c>
      <c r="BI39" s="2830">
        <f t="shared" si="79"/>
        <v>2.5118090134907279E-3</v>
      </c>
      <c r="BJ39" s="1791">
        <f t="shared" si="80"/>
        <v>23.812481129222277</v>
      </c>
      <c r="BK39" s="1884">
        <f t="shared" si="81"/>
        <v>4.8108781201573986E-4</v>
      </c>
      <c r="BL39" s="1796">
        <f>FISC!AP1199</f>
        <v>142.86592589829942</v>
      </c>
      <c r="BM39" s="1790">
        <f t="shared" si="82"/>
        <v>3.1075737739916136E-3</v>
      </c>
    </row>
    <row r="40" spans="1:65" hidden="1">
      <c r="A40" s="1930" t="s">
        <v>3634</v>
      </c>
      <c r="B40" s="1795"/>
      <c r="C40" s="1788"/>
      <c r="D40" s="1796"/>
      <c r="E40" s="1790"/>
      <c r="F40" s="1791"/>
      <c r="G40" s="1880"/>
      <c r="H40" s="1947">
        <f>H39</f>
        <v>161.84644263661758</v>
      </c>
      <c r="I40" s="1942">
        <f t="shared" si="90"/>
        <v>8.2393270601996207E-3</v>
      </c>
      <c r="J40" s="1975">
        <v>80.923221318308791</v>
      </c>
      <c r="K40" s="1975">
        <f>FISCinyear!JI878</f>
        <v>79.773593396999999</v>
      </c>
      <c r="L40" s="1964">
        <f t="shared" si="27"/>
        <v>-1.1496279213087917</v>
      </c>
      <c r="M40" s="1964">
        <v>80.923221318308791</v>
      </c>
      <c r="N40" s="1964">
        <f t="shared" si="41"/>
        <v>93.949823099000028</v>
      </c>
      <c r="O40" s="1796">
        <f>O39</f>
        <v>173.72341649600003</v>
      </c>
      <c r="P40" s="1889">
        <f>O40/$O$111</f>
        <v>8.0232498093060853E-3</v>
      </c>
      <c r="Q40" s="1791">
        <f t="shared" si="55"/>
        <v>11.876973859382446</v>
      </c>
      <c r="R40" s="1880">
        <f t="shared" si="58"/>
        <v>-2.160772508935354E-4</v>
      </c>
      <c r="S40" s="1947">
        <v>149.43554173586898</v>
      </c>
      <c r="T40" s="1942">
        <f t="shared" si="91"/>
        <v>6.1210311205126067E-3</v>
      </c>
      <c r="U40" s="1979"/>
      <c r="V40" s="1979"/>
      <c r="W40" s="1834">
        <f>FISC!AK1200</f>
        <v>149.43554173586898</v>
      </c>
      <c r="X40" s="1889">
        <f t="shared" si="76"/>
        <v>5.9096515164036544E-3</v>
      </c>
      <c r="Y40" s="2830">
        <f t="shared" si="77"/>
        <v>6.1210311205126067E-3</v>
      </c>
      <c r="Z40" s="1819">
        <f t="shared" si="101"/>
        <v>0</v>
      </c>
      <c r="AA40" s="1884">
        <f t="shared" si="102"/>
        <v>-2.1137960410895235E-4</v>
      </c>
      <c r="AB40" s="1947">
        <v>166.63249823306981</v>
      </c>
      <c r="AC40" s="1942">
        <f>AB40/$AB$111</f>
        <v>6.0173679527644203E-3</v>
      </c>
      <c r="AD40" s="1979"/>
      <c r="AE40" s="1979"/>
      <c r="AF40" s="1834">
        <f>AB40</f>
        <v>166.63249823306981</v>
      </c>
      <c r="AG40" s="1790">
        <f t="shared" si="92"/>
        <v>5.7759491443742216E-3</v>
      </c>
      <c r="AH40" s="2830">
        <f t="shared" si="93"/>
        <v>6.0173679527644203E-3</v>
      </c>
      <c r="AI40" s="1819">
        <f t="shared" ref="AI40:AI41" si="103">AF40-AB40</f>
        <v>0</v>
      </c>
      <c r="AJ40" s="1884">
        <f t="shared" ref="AJ40:AJ41" si="104">AG40-AC40</f>
        <v>-2.4141880839019872E-4</v>
      </c>
      <c r="AK40" s="1947">
        <v>178.75097689140489</v>
      </c>
      <c r="AL40" s="1942">
        <f t="shared" si="94"/>
        <v>5.739065185600971E-3</v>
      </c>
      <c r="AM40" s="1979"/>
      <c r="AN40" s="1979"/>
      <c r="AO40" s="1796">
        <f>AK40</f>
        <v>178.75097689140489</v>
      </c>
      <c r="AP40" s="1790">
        <f t="shared" si="95"/>
        <v>5.5005490947554895E-3</v>
      </c>
      <c r="AQ40" s="2830">
        <f t="shared" si="96"/>
        <v>5.739065185600971E-3</v>
      </c>
      <c r="AR40" s="1791">
        <f t="shared" si="43"/>
        <v>0</v>
      </c>
      <c r="AS40" s="1884">
        <f t="shared" si="34"/>
        <v>-2.3851609084548156E-4</v>
      </c>
      <c r="AT40" s="1947">
        <v>201.27359997972187</v>
      </c>
      <c r="AU40" s="1942">
        <f t="shared" si="97"/>
        <v>5.7648615766915197E-3</v>
      </c>
      <c r="AV40" s="1979"/>
      <c r="AW40" s="1979"/>
      <c r="AX40" s="1796">
        <f>AT40</f>
        <v>201.27359997972187</v>
      </c>
      <c r="AY40" s="1790">
        <f t="shared" si="98"/>
        <v>5.489557060352911E-3</v>
      </c>
      <c r="AZ40" s="2830">
        <f t="shared" si="78"/>
        <v>5.7648615766915197E-3</v>
      </c>
      <c r="BA40" s="1791">
        <f t="shared" si="62"/>
        <v>0</v>
      </c>
      <c r="BB40" s="1884">
        <f t="shared" si="36"/>
        <v>-2.7530451633860867E-4</v>
      </c>
      <c r="BC40" s="1947">
        <v>226.63407357716679</v>
      </c>
      <c r="BD40" s="1942">
        <f t="shared" si="99"/>
        <v>5.7881729000390488E-3</v>
      </c>
      <c r="BE40" s="1979"/>
      <c r="BF40" s="1979"/>
      <c r="BG40" s="1796">
        <f>BC40</f>
        <v>226.63407357716679</v>
      </c>
      <c r="BH40" s="1790">
        <f t="shared" si="100"/>
        <v>5.4953398009051531E-3</v>
      </c>
      <c r="BI40" s="2830">
        <f t="shared" si="79"/>
        <v>5.7881729000390488E-3</v>
      </c>
      <c r="BJ40" s="1791">
        <f t="shared" si="80"/>
        <v>0</v>
      </c>
      <c r="BK40" s="1884">
        <f t="shared" si="81"/>
        <v>-2.9283309913389569E-4</v>
      </c>
      <c r="BL40" s="1796">
        <f>BH40</f>
        <v>5.4953398009051531E-3</v>
      </c>
      <c r="BM40" s="1790">
        <f t="shared" si="82"/>
        <v>1.1953286787656918E-7</v>
      </c>
    </row>
    <row r="41" spans="1:65" hidden="1">
      <c r="A41" s="1930" t="s">
        <v>3637</v>
      </c>
      <c r="B41" s="1795"/>
      <c r="C41" s="1788"/>
      <c r="D41" s="1796"/>
      <c r="E41" s="1790"/>
      <c r="F41" s="1791"/>
      <c r="G41" s="1880"/>
      <c r="H41" s="1947">
        <v>0</v>
      </c>
      <c r="I41" s="1942">
        <f t="shared" si="90"/>
        <v>0</v>
      </c>
      <c r="J41" s="1975"/>
      <c r="K41" s="1975"/>
      <c r="L41" s="1964">
        <f t="shared" si="27"/>
        <v>0</v>
      </c>
      <c r="M41" s="1964"/>
      <c r="N41" s="1964">
        <f t="shared" si="41"/>
        <v>0</v>
      </c>
      <c r="O41" s="1796">
        <v>0</v>
      </c>
      <c r="P41" s="1889">
        <v>0</v>
      </c>
      <c r="Q41" s="1791">
        <v>0</v>
      </c>
      <c r="R41" s="1880">
        <f t="shared" si="58"/>
        <v>0</v>
      </c>
      <c r="S41" s="1947">
        <v>36.056342416716262</v>
      </c>
      <c r="T41" s="1942">
        <f t="shared" si="91"/>
        <v>1.4769042990768234E-3</v>
      </c>
      <c r="U41" s="1979"/>
      <c r="V41" s="1979"/>
      <c r="W41" s="1834">
        <f>W39-W40</f>
        <v>35.749381613485383</v>
      </c>
      <c r="X41" s="1889">
        <f t="shared" si="76"/>
        <v>1.4137626484872347E-3</v>
      </c>
      <c r="Y41" s="2830">
        <f t="shared" si="77"/>
        <v>1.4643308737221324E-3</v>
      </c>
      <c r="Z41" s="1819">
        <f t="shared" si="101"/>
        <v>-0.30696080323087926</v>
      </c>
      <c r="AA41" s="1884">
        <f t="shared" si="102"/>
        <v>-6.3141650589588778E-5</v>
      </c>
      <c r="AB41" s="1947">
        <v>-12.809722115872233</v>
      </c>
      <c r="AC41" s="1942">
        <f>AB41/$AB$111</f>
        <v>-4.6257970180614983E-4</v>
      </c>
      <c r="AD41" s="1979"/>
      <c r="AE41" s="1979"/>
      <c r="AF41" s="1834">
        <f>AF39-AF40</f>
        <v>41.835147919680225</v>
      </c>
      <c r="AG41" s="1790">
        <f t="shared" si="92"/>
        <v>1.4501234116616674E-3</v>
      </c>
      <c r="AH41" s="2830">
        <f t="shared" si="93"/>
        <v>1.510734586952758E-3</v>
      </c>
      <c r="AI41" s="1791">
        <f t="shared" si="103"/>
        <v>54.644870035552458</v>
      </c>
      <c r="AJ41" s="1884">
        <f t="shared" si="104"/>
        <v>1.9127031134678171E-3</v>
      </c>
      <c r="AK41" s="1947">
        <v>-85.655420580665222</v>
      </c>
      <c r="AL41" s="1942">
        <f t="shared" si="94"/>
        <v>-2.7500942974490791E-3</v>
      </c>
      <c r="AM41" s="1979"/>
      <c r="AN41" s="1979"/>
      <c r="AO41" s="1796">
        <f>AO39-AO40</f>
        <v>-20.427934625206149</v>
      </c>
      <c r="AP41" s="1790">
        <f t="shared" si="95"/>
        <v>-6.2861115091228902E-4</v>
      </c>
      <c r="AQ41" s="2830">
        <f t="shared" si="96"/>
        <v>-6.5586913403263471E-4</v>
      </c>
      <c r="AR41" s="1791">
        <f t="shared" si="43"/>
        <v>65.227485955459073</v>
      </c>
      <c r="AS41" s="1884">
        <f t="shared" si="34"/>
        <v>2.12148314653679E-3</v>
      </c>
      <c r="AT41" s="1947">
        <v>-103.42525220190838</v>
      </c>
      <c r="AU41" s="1942">
        <f t="shared" si="97"/>
        <v>-2.9622974028311786E-3</v>
      </c>
      <c r="AV41" s="1979"/>
      <c r="AW41" s="1979"/>
      <c r="AX41" s="1796">
        <f>AX39-AX40</f>
        <v>-106.58200653584191</v>
      </c>
      <c r="AY41" s="1790">
        <f t="shared" si="98"/>
        <v>-2.9069287106921033E-3</v>
      </c>
      <c r="AZ41" s="2830">
        <f t="shared" si="78"/>
        <v>-3.0527128958147656E-3</v>
      </c>
      <c r="BA41" s="1791">
        <f t="shared" si="62"/>
        <v>-3.1567543339335344</v>
      </c>
      <c r="BB41" s="1884">
        <f t="shared" si="36"/>
        <v>5.5368692139075304E-5</v>
      </c>
      <c r="BC41" s="1947">
        <v>-152.09746966585618</v>
      </c>
      <c r="BD41" s="1942">
        <f t="shared" si="99"/>
        <v>-3.8845282096765712E-3</v>
      </c>
      <c r="BE41" s="1979"/>
      <c r="BF41" s="1979"/>
      <c r="BG41" s="1796">
        <f>BG39-BG40</f>
        <v>-128.28498853663388</v>
      </c>
      <c r="BH41" s="1790">
        <f t="shared" si="100"/>
        <v>-3.1106072985269354E-3</v>
      </c>
      <c r="BI41" s="2830">
        <f t="shared" si="79"/>
        <v>-3.2763638865483205E-3</v>
      </c>
      <c r="BJ41" s="1791">
        <f t="shared" si="80"/>
        <v>23.812481129222306</v>
      </c>
      <c r="BK41" s="1884">
        <f t="shared" si="81"/>
        <v>7.7392091114963577E-4</v>
      </c>
      <c r="BL41" s="1796">
        <f>BL39-BL40</f>
        <v>142.86043055849851</v>
      </c>
      <c r="BM41" s="1790">
        <f t="shared" si="82"/>
        <v>3.1074542411237368E-3</v>
      </c>
    </row>
    <row r="42" spans="1:65">
      <c r="A42" s="1809" t="s">
        <v>3567</v>
      </c>
      <c r="B42" s="1795">
        <v>0</v>
      </c>
      <c r="C42" s="1788">
        <f>B42/$B$111</f>
        <v>0</v>
      </c>
      <c r="D42" s="1796">
        <f>FISC!K1202</f>
        <v>0</v>
      </c>
      <c r="E42" s="1790">
        <f>D42/$D$111</f>
        <v>0</v>
      </c>
      <c r="F42" s="1791">
        <f t="shared" si="42"/>
        <v>0</v>
      </c>
      <c r="G42" s="1880">
        <f t="shared" si="26"/>
        <v>0</v>
      </c>
      <c r="H42" s="1947"/>
      <c r="I42" s="1942">
        <f t="shared" si="90"/>
        <v>0</v>
      </c>
      <c r="J42" s="1975"/>
      <c r="K42" s="1975"/>
      <c r="L42" s="1964">
        <f t="shared" si="27"/>
        <v>0</v>
      </c>
      <c r="M42" s="1964"/>
      <c r="N42" s="1964">
        <f t="shared" si="41"/>
        <v>0</v>
      </c>
      <c r="O42" s="1796">
        <f>FISC!AJ1202</f>
        <v>0</v>
      </c>
      <c r="P42" s="1889">
        <f t="shared" ref="P42:P57" si="105">O42/$O$111</f>
        <v>0</v>
      </c>
      <c r="Q42" s="1791">
        <f t="shared" ref="Q42:Q57" si="106">O42-H42</f>
        <v>0</v>
      </c>
      <c r="R42" s="1880">
        <f t="shared" si="58"/>
        <v>0</v>
      </c>
      <c r="S42" s="1947">
        <v>0</v>
      </c>
      <c r="T42" s="1942">
        <f t="shared" si="91"/>
        <v>0</v>
      </c>
      <c r="U42" s="1979">
        <f>FISCinyear!JL881</f>
        <v>0</v>
      </c>
      <c r="V42" s="1979">
        <f t="shared" si="28"/>
        <v>0</v>
      </c>
      <c r="W42" s="1834">
        <f>FISC!AK1202</f>
        <v>0</v>
      </c>
      <c r="X42" s="1889">
        <f t="shared" si="76"/>
        <v>0</v>
      </c>
      <c r="Y42" s="2830">
        <f t="shared" si="77"/>
        <v>0</v>
      </c>
      <c r="Z42" s="1791">
        <f t="shared" si="29"/>
        <v>0</v>
      </c>
      <c r="AA42" s="1880">
        <f t="shared" si="38"/>
        <v>0</v>
      </c>
      <c r="AB42" s="1947">
        <v>8.2800000000000011</v>
      </c>
      <c r="AC42" s="1942">
        <v>0</v>
      </c>
      <c r="AD42" s="1979">
        <f>FISCinyear!JO881</f>
        <v>0</v>
      </c>
      <c r="AE42" s="1979">
        <f t="shared" si="30"/>
        <v>0</v>
      </c>
      <c r="AF42" s="1834">
        <f>FISC!AL1202</f>
        <v>0</v>
      </c>
      <c r="AG42" s="1790">
        <f t="shared" si="92"/>
        <v>0</v>
      </c>
      <c r="AH42" s="2830">
        <f t="shared" si="93"/>
        <v>0</v>
      </c>
      <c r="AI42" s="1791">
        <f t="shared" si="31"/>
        <v>-8.2800000000000011</v>
      </c>
      <c r="AJ42" s="1880">
        <f t="shared" si="32"/>
        <v>0</v>
      </c>
      <c r="AK42" s="1947">
        <v>16.425000000000001</v>
      </c>
      <c r="AL42" s="1942">
        <f t="shared" si="94"/>
        <v>5.2734898187864715E-4</v>
      </c>
      <c r="AM42" s="1979">
        <f>FISCinyear!JR881</f>
        <v>4.5540000000000012</v>
      </c>
      <c r="AN42" s="1979">
        <f t="shared" si="33"/>
        <v>3.726</v>
      </c>
      <c r="AO42" s="1796">
        <f>FISC!AM1202</f>
        <v>8.2800000000000011</v>
      </c>
      <c r="AP42" s="1790">
        <f t="shared" si="95"/>
        <v>2.5479327328233156E-4</v>
      </c>
      <c r="AQ42" s="2830">
        <f t="shared" si="96"/>
        <v>2.6584167853608518E-4</v>
      </c>
      <c r="AR42" s="1791">
        <f t="shared" si="43"/>
        <v>-8.1449999999999996</v>
      </c>
      <c r="AS42" s="1880">
        <f t="shared" si="34"/>
        <v>-2.7255570859631558E-4</v>
      </c>
      <c r="AT42" s="1947">
        <v>16.470000000000002</v>
      </c>
      <c r="AU42" s="1942">
        <f t="shared" si="97"/>
        <v>4.7173235922483227E-4</v>
      </c>
      <c r="AV42" s="1979">
        <f>FISCinyear!JR881</f>
        <v>4.5540000000000012</v>
      </c>
      <c r="AW42" s="1979">
        <f t="shared" si="35"/>
        <v>11.870999999999999</v>
      </c>
      <c r="AX42" s="1796">
        <f>FISC!AN1202</f>
        <v>16.425000000000001</v>
      </c>
      <c r="AY42" s="1790">
        <f t="shared" si="98"/>
        <v>4.4797715510320633E-4</v>
      </c>
      <c r="AZ42" s="2830">
        <f t="shared" si="78"/>
        <v>4.7044347299744196E-4</v>
      </c>
      <c r="BA42" s="1791">
        <f t="shared" si="62"/>
        <v>-4.5000000000001705E-2</v>
      </c>
      <c r="BB42" s="1880">
        <f t="shared" si="36"/>
        <v>-2.3755204121625939E-5</v>
      </c>
      <c r="BC42" s="1947">
        <v>21.344999999999999</v>
      </c>
      <c r="BD42" s="1942">
        <f t="shared" si="99"/>
        <v>5.4514552291831946E-4</v>
      </c>
      <c r="BE42" s="1979">
        <f>FISCinyear!JX881</f>
        <v>9.0585000000000022</v>
      </c>
      <c r="BF42" s="1979">
        <f t="shared" si="37"/>
        <v>7.4115000000000002</v>
      </c>
      <c r="BG42" s="1796">
        <f>FISC!AO1202</f>
        <v>16.470000000000002</v>
      </c>
      <c r="BH42" s="1790">
        <f t="shared" si="100"/>
        <v>3.9935851256757594E-4</v>
      </c>
      <c r="BI42" s="2830">
        <f t="shared" si="79"/>
        <v>4.2063934235018617E-4</v>
      </c>
      <c r="BJ42" s="1791">
        <f t="shared" si="80"/>
        <v>-4.8749999999999964</v>
      </c>
      <c r="BK42" s="1880">
        <f t="shared" si="81"/>
        <v>-1.4578701035074352E-4</v>
      </c>
      <c r="BL42" s="1796">
        <f>FISC!AP1202</f>
        <v>21.344999999999999</v>
      </c>
      <c r="BM42" s="1790">
        <f t="shared" si="82"/>
        <v>4.6428959031889457E-4</v>
      </c>
    </row>
    <row r="43" spans="1:65">
      <c r="A43" s="1809" t="s">
        <v>3568</v>
      </c>
      <c r="B43" s="1795">
        <v>120.75</v>
      </c>
      <c r="C43" s="1788">
        <f>B43/$B$111</f>
        <v>6.9925502685371059E-3</v>
      </c>
      <c r="D43" s="1796">
        <f>FISC!AI1203</f>
        <v>119.62825384899998</v>
      </c>
      <c r="E43" s="1790">
        <f>D43/$D$111</f>
        <v>6.4498317212023171E-3</v>
      </c>
      <c r="F43" s="1791">
        <f t="shared" si="42"/>
        <v>-1.1217461510000248</v>
      </c>
      <c r="G43" s="1880">
        <f t="shared" si="26"/>
        <v>-5.427185473347888E-4</v>
      </c>
      <c r="H43" s="1947">
        <v>126.78750000000001</v>
      </c>
      <c r="I43" s="1942">
        <f t="shared" si="90"/>
        <v>6.4545359331160861E-3</v>
      </c>
      <c r="J43" s="1975">
        <v>63.393750000000004</v>
      </c>
      <c r="K43" s="1975">
        <f>FISCinyear!JI882</f>
        <v>63.676061394999991</v>
      </c>
      <c r="L43" s="1964">
        <f t="shared" si="27"/>
        <v>0.28231139499998648</v>
      </c>
      <c r="M43" s="1964">
        <v>63.393750000000004</v>
      </c>
      <c r="N43" s="1964">
        <f t="shared" si="41"/>
        <v>49.908785351000006</v>
      </c>
      <c r="O43" s="1796">
        <f>FISC!AJ1203</f>
        <v>113.584846746</v>
      </c>
      <c r="P43" s="1889">
        <f t="shared" si="105"/>
        <v>5.2458074931763079E-3</v>
      </c>
      <c r="Q43" s="1791">
        <f t="shared" si="106"/>
        <v>-13.202653254000012</v>
      </c>
      <c r="R43" s="1880">
        <f t="shared" si="58"/>
        <v>-1.2087284399397782E-3</v>
      </c>
      <c r="S43" s="1947">
        <v>133.12687500000001</v>
      </c>
      <c r="T43" s="1942">
        <f t="shared" si="91"/>
        <v>5.453011615482355E-3</v>
      </c>
      <c r="U43" s="1975">
        <f>FISCinyear!JL882</f>
        <v>74.885179710999992</v>
      </c>
      <c r="V43" s="1975">
        <f t="shared" si="28"/>
        <v>58.24169528900002</v>
      </c>
      <c r="W43" s="1834">
        <f>FISC!AK1203</f>
        <v>133.12687500000001</v>
      </c>
      <c r="X43" s="1889">
        <f t="shared" si="76"/>
        <v>5.2647009511860351E-3</v>
      </c>
      <c r="Y43" s="2830">
        <f t="shared" si="77"/>
        <v>5.453011615482355E-3</v>
      </c>
      <c r="Z43" s="1791">
        <f t="shared" si="29"/>
        <v>0</v>
      </c>
      <c r="AA43" s="1880">
        <f t="shared" si="38"/>
        <v>-1.883106642963199E-4</v>
      </c>
      <c r="AB43" s="1947">
        <v>148.43646562500001</v>
      </c>
      <c r="AC43" s="1942">
        <f t="shared" ref="AC43:AC57" si="107">AB43/$AB$111</f>
        <v>5.3602799018482765E-3</v>
      </c>
      <c r="AD43" s="1979">
        <f>FISCinyear!JO882</f>
        <v>81.640056093750019</v>
      </c>
      <c r="AE43" s="1979">
        <f t="shared" si="30"/>
        <v>66.796409531249992</v>
      </c>
      <c r="AF43" s="1834">
        <f>FISC!AL1203</f>
        <v>148.43646562500001</v>
      </c>
      <c r="AG43" s="1790">
        <f t="shared" si="92"/>
        <v>5.145223685126871E-3</v>
      </c>
      <c r="AH43" s="2830">
        <f t="shared" si="93"/>
        <v>5.3602799018482765E-3</v>
      </c>
      <c r="AI43" s="1791">
        <f t="shared" si="31"/>
        <v>0</v>
      </c>
      <c r="AJ43" s="1880">
        <f t="shared" si="32"/>
        <v>-2.1505621672140551E-4</v>
      </c>
      <c r="AK43" s="1947">
        <v>155.85828890625001</v>
      </c>
      <c r="AL43" s="1942">
        <f t="shared" si="94"/>
        <v>5.0040614899274881E-3</v>
      </c>
      <c r="AM43" s="1979">
        <f>FISCinyear!JR882</f>
        <v>85.72205889843751</v>
      </c>
      <c r="AN43" s="1979">
        <f t="shared" si="33"/>
        <v>70.1362300078125</v>
      </c>
      <c r="AO43" s="1796">
        <f>FISC!AM1203</f>
        <v>155.85828890625001</v>
      </c>
      <c r="AP43" s="1790">
        <f t="shared" si="95"/>
        <v>4.7960922220539543E-3</v>
      </c>
      <c r="AQ43" s="2830">
        <f t="shared" si="96"/>
        <v>5.0040614899274881E-3</v>
      </c>
      <c r="AR43" s="1791">
        <f t="shared" si="43"/>
        <v>0</v>
      </c>
      <c r="AS43" s="1880">
        <f t="shared" si="34"/>
        <v>-2.0796926787353381E-4</v>
      </c>
      <c r="AT43" s="1947">
        <v>163.65120335156251</v>
      </c>
      <c r="AU43" s="1942">
        <f t="shared" si="97"/>
        <v>4.6872840465704523E-3</v>
      </c>
      <c r="AV43" s="1979">
        <f>FISCinyear!JU882</f>
        <v>90.008161843359389</v>
      </c>
      <c r="AW43" s="1979">
        <f t="shared" si="35"/>
        <v>73.643041508203126</v>
      </c>
      <c r="AX43" s="1796">
        <f>FISC!AN1203</f>
        <v>163.65120335156251</v>
      </c>
      <c r="AY43" s="1790">
        <f t="shared" si="98"/>
        <v>4.4634399090806255E-3</v>
      </c>
      <c r="AZ43" s="2830">
        <f t="shared" si="78"/>
        <v>4.6872840465704523E-3</v>
      </c>
      <c r="BA43" s="1791">
        <f t="shared" si="62"/>
        <v>0</v>
      </c>
      <c r="BB43" s="1880">
        <f t="shared" si="36"/>
        <v>-2.2384413748982677E-4</v>
      </c>
      <c r="BC43" s="1947">
        <v>171.83376351914066</v>
      </c>
      <c r="BD43" s="1942">
        <f t="shared" si="99"/>
        <v>4.388587813008423E-3</v>
      </c>
      <c r="BE43" s="1979">
        <f>FISCinyear!JX882</f>
        <v>94.508569935527376</v>
      </c>
      <c r="BF43" s="1979">
        <f t="shared" si="37"/>
        <v>77.325193583613284</v>
      </c>
      <c r="BG43" s="1796">
        <f>FISC!AO1203</f>
        <v>171.83376351914066</v>
      </c>
      <c r="BH43" s="1790">
        <f t="shared" si="100"/>
        <v>4.1665620041221978E-3</v>
      </c>
      <c r="BI43" s="2830">
        <f t="shared" si="79"/>
        <v>4.388587813008423E-3</v>
      </c>
      <c r="BJ43" s="1791">
        <f t="shared" si="80"/>
        <v>0</v>
      </c>
      <c r="BK43" s="1880">
        <f t="shared" si="81"/>
        <v>-2.2202580888622519E-4</v>
      </c>
      <c r="BL43" s="1796">
        <f>FISC!AP1203</f>
        <v>0</v>
      </c>
      <c r="BM43" s="1790">
        <f t="shared" si="82"/>
        <v>0</v>
      </c>
    </row>
    <row r="44" spans="1:65">
      <c r="A44" s="1787" t="s">
        <v>504</v>
      </c>
      <c r="B44" s="1795">
        <v>1002.1224607769241</v>
      </c>
      <c r="C44" s="1788">
        <f>B44/$B$111</f>
        <v>5.8032229252279466E-2</v>
      </c>
      <c r="D44" s="1796">
        <f>FISC!AI1206</f>
        <v>993.64042799000003</v>
      </c>
      <c r="E44" s="1790">
        <f>D44/$D$111</f>
        <v>5.357274177058903E-2</v>
      </c>
      <c r="F44" s="1791">
        <f t="shared" si="42"/>
        <v>-8.4820327869240373</v>
      </c>
      <c r="G44" s="1880">
        <f t="shared" si="26"/>
        <v>-4.4594874816904356E-3</v>
      </c>
      <c r="H44" s="1947">
        <v>1025.8761176367395</v>
      </c>
      <c r="I44" s="1942">
        <f t="shared" si="90"/>
        <v>5.222560792043348E-2</v>
      </c>
      <c r="J44" s="1975">
        <v>492.42729779491594</v>
      </c>
      <c r="K44" s="1975">
        <f>FISCinyear!JI885</f>
        <v>500.48857944999997</v>
      </c>
      <c r="L44" s="1964">
        <f t="shared" si="27"/>
        <v>8.0612816550840307</v>
      </c>
      <c r="M44" s="1964">
        <v>533.44881984182359</v>
      </c>
      <c r="N44" s="1964">
        <f t="shared" si="41"/>
        <v>523.96283266000012</v>
      </c>
      <c r="O44" s="1796">
        <f>FISC!AJ1206</f>
        <v>1024.4514121100001</v>
      </c>
      <c r="P44" s="1889">
        <f t="shared" si="105"/>
        <v>4.7313308491398226E-2</v>
      </c>
      <c r="Q44" s="1791">
        <f t="shared" si="106"/>
        <v>-1.4247055267394444</v>
      </c>
      <c r="R44" s="1880">
        <f t="shared" si="58"/>
        <v>-4.9122994290352537E-3</v>
      </c>
      <c r="S44" s="1947">
        <v>1155.5882263547962</v>
      </c>
      <c r="T44" s="1942">
        <f t="shared" si="91"/>
        <v>4.7334063997426186E-2</v>
      </c>
      <c r="U44" s="1975">
        <f>FISCinyear!JL885</f>
        <v>577.30079286400007</v>
      </c>
      <c r="V44" s="1975">
        <f t="shared" si="28"/>
        <v>578.28743349079616</v>
      </c>
      <c r="W44" s="1796">
        <f>FISC!AK1206</f>
        <v>1155.5882263547962</v>
      </c>
      <c r="X44" s="1889">
        <f t="shared" si="76"/>
        <v>4.5699461017690665E-2</v>
      </c>
      <c r="Y44" s="2830">
        <f t="shared" si="77"/>
        <v>4.7334063997426186E-2</v>
      </c>
      <c r="Z44" s="1791">
        <f t="shared" si="29"/>
        <v>0</v>
      </c>
      <c r="AA44" s="1880">
        <f t="shared" si="38"/>
        <v>-1.6346029797355208E-3</v>
      </c>
      <c r="AB44" s="1947">
        <v>1349.7030006039429</v>
      </c>
      <c r="AC44" s="1942">
        <f t="shared" si="107"/>
        <v>4.8739949695913054E-2</v>
      </c>
      <c r="AD44" s="1975">
        <f>FISCinyear!JO885</f>
        <v>701.84556031405032</v>
      </c>
      <c r="AE44" s="1975">
        <f t="shared" si="30"/>
        <v>647.85744028989257</v>
      </c>
      <c r="AF44" s="1796">
        <f>FISC!AL1206</f>
        <v>1349.7030006039429</v>
      </c>
      <c r="AG44" s="1790">
        <f t="shared" si="92"/>
        <v>4.6784486664741783E-2</v>
      </c>
      <c r="AH44" s="2830">
        <f t="shared" si="93"/>
        <v>4.8739949695913054E-2</v>
      </c>
      <c r="AI44" s="1791">
        <f t="shared" si="31"/>
        <v>0</v>
      </c>
      <c r="AJ44" s="1880">
        <f t="shared" si="32"/>
        <v>-1.9554630311712715E-3</v>
      </c>
      <c r="AK44" s="1947">
        <v>1582.1449450199918</v>
      </c>
      <c r="AL44" s="1942">
        <f t="shared" si="94"/>
        <v>5.0797109646316035E-2</v>
      </c>
      <c r="AM44" s="1975">
        <f>FISCinyear!JR885</f>
        <v>874.68428968994556</v>
      </c>
      <c r="AN44" s="1975">
        <f t="shared" si="33"/>
        <v>707.46065533004628</v>
      </c>
      <c r="AO44" s="1796">
        <f>FISC!AM1206</f>
        <v>1582.1449450199918</v>
      </c>
      <c r="AP44" s="1790">
        <f t="shared" si="95"/>
        <v>4.868597697448529E-2</v>
      </c>
      <c r="AQ44" s="2830">
        <f t="shared" si="96"/>
        <v>5.0797109646316035E-2</v>
      </c>
      <c r="AR44" s="1791">
        <f t="shared" si="43"/>
        <v>0</v>
      </c>
      <c r="AS44" s="1880">
        <f t="shared" si="34"/>
        <v>-2.1111326718307455E-3</v>
      </c>
      <c r="AT44" s="1947">
        <v>1773.9558824809005</v>
      </c>
      <c r="AU44" s="1942">
        <f t="shared" si="97"/>
        <v>5.0809495665056735E-2</v>
      </c>
      <c r="AV44" s="1975">
        <f>FISCinyear!JU885</f>
        <v>980.72641567584094</v>
      </c>
      <c r="AW44" s="1975">
        <f t="shared" si="35"/>
        <v>793.22946680505959</v>
      </c>
      <c r="AX44" s="1796">
        <f>FISC!AN1206</f>
        <v>1773.9558824809005</v>
      </c>
      <c r="AY44" s="1790">
        <f t="shared" si="98"/>
        <v>4.8383056895731601E-2</v>
      </c>
      <c r="AZ44" s="2830">
        <f t="shared" si="78"/>
        <v>5.0809495665056735E-2</v>
      </c>
      <c r="BA44" s="1791">
        <f t="shared" si="62"/>
        <v>0</v>
      </c>
      <c r="BB44" s="1880">
        <f t="shared" si="36"/>
        <v>-2.4264387693251344E-3</v>
      </c>
      <c r="BC44" s="1947">
        <v>2131.6327634776467</v>
      </c>
      <c r="BD44" s="1942">
        <f t="shared" si="99"/>
        <v>5.4441323847076326E-2</v>
      </c>
      <c r="BE44" s="1975">
        <f>FISCinyear!JX885</f>
        <v>1192.6819357066627</v>
      </c>
      <c r="BF44" s="1975">
        <f t="shared" si="37"/>
        <v>964.66296900615612</v>
      </c>
      <c r="BG44" s="1796">
        <f>FISC!AO1206</f>
        <v>2157.3449047128188</v>
      </c>
      <c r="BH44" s="1790">
        <f t="shared" si="100"/>
        <v>5.2310507118479052E-2</v>
      </c>
      <c r="BI44" s="2830">
        <f t="shared" si="79"/>
        <v>5.5098004975162415E-2</v>
      </c>
      <c r="BJ44" s="1791">
        <f t="shared" si="80"/>
        <v>25.712141235172112</v>
      </c>
      <c r="BK44" s="1880">
        <f t="shared" si="81"/>
        <v>-2.1308167285972734E-3</v>
      </c>
      <c r="BL44" s="1796">
        <f>FISC!AP1206</f>
        <v>2407.3370855783401</v>
      </c>
      <c r="BM44" s="1790">
        <f t="shared" si="82"/>
        <v>5.2363623763066254E-2</v>
      </c>
    </row>
    <row r="45" spans="1:65">
      <c r="A45" s="1809" t="s">
        <v>3627</v>
      </c>
      <c r="B45" s="1795"/>
      <c r="C45" s="1788"/>
      <c r="D45" s="1796"/>
      <c r="E45" s="1790"/>
      <c r="F45" s="1791"/>
      <c r="G45" s="1880"/>
      <c r="H45" s="1947">
        <v>88.228735028536619</v>
      </c>
      <c r="I45" s="1942">
        <f t="shared" si="90"/>
        <v>4.4915748048906037E-3</v>
      </c>
      <c r="J45" s="1975">
        <v>43.713344159898107</v>
      </c>
      <c r="K45" s="1975">
        <f>FISCinyear!JI886</f>
        <v>38.739124261000001</v>
      </c>
      <c r="L45" s="1964">
        <f t="shared" si="27"/>
        <v>-4.9742198988981059</v>
      </c>
      <c r="M45" s="1964">
        <v>47.356122839889615</v>
      </c>
      <c r="N45" s="1964">
        <f t="shared" si="41"/>
        <v>48.502710618999998</v>
      </c>
      <c r="O45" s="1796">
        <f>FISC!AJ1207</f>
        <v>87.241834879999999</v>
      </c>
      <c r="P45" s="1889">
        <f t="shared" si="105"/>
        <v>4.0291806895277685E-3</v>
      </c>
      <c r="Q45" s="1791">
        <f t="shared" si="106"/>
        <v>-0.98690014853661978</v>
      </c>
      <c r="R45" s="1880">
        <f t="shared" si="58"/>
        <v>-4.6239411536283526E-4</v>
      </c>
      <c r="S45" s="1947">
        <v>103.25700218717095</v>
      </c>
      <c r="T45" s="1942">
        <f t="shared" si="91"/>
        <v>4.2295113763207472E-3</v>
      </c>
      <c r="U45" s="1975">
        <f>FISCinyear!JL886</f>
        <v>48.356171027999999</v>
      </c>
      <c r="V45" s="1975">
        <f t="shared" si="28"/>
        <v>54.900831159170956</v>
      </c>
      <c r="W45" s="1796">
        <f>FISC!AK1207</f>
        <v>103.25700218717095</v>
      </c>
      <c r="X45" s="1889">
        <f t="shared" si="76"/>
        <v>4.0834522528333771E-3</v>
      </c>
      <c r="Y45" s="2830">
        <f t="shared" si="77"/>
        <v>4.2295113763207472E-3</v>
      </c>
      <c r="Z45" s="1791">
        <f t="shared" ref="Z45:Z55" si="108">W45-S45</f>
        <v>0</v>
      </c>
      <c r="AA45" s="1880">
        <f t="shared" ref="AA45:AA55" si="109">X45-T45</f>
        <v>-1.460591234873701E-4</v>
      </c>
      <c r="AB45" s="1947">
        <v>115.32837459958596</v>
      </c>
      <c r="AC45" s="1942">
        <f t="shared" si="107"/>
        <v>4.1646933984587717E-3</v>
      </c>
      <c r="AD45" s="1975">
        <f>FISCinyear!JO886</f>
        <v>59.970754791784699</v>
      </c>
      <c r="AE45" s="1975">
        <f t="shared" si="30"/>
        <v>55.357619807801257</v>
      </c>
      <c r="AF45" s="1796">
        <f>FISC!AL1207</f>
        <v>115.32837459958596</v>
      </c>
      <c r="AG45" s="1790">
        <f t="shared" si="92"/>
        <v>3.9976045108489414E-3</v>
      </c>
      <c r="AH45" s="2830">
        <f t="shared" si="93"/>
        <v>4.1646933984587717E-3</v>
      </c>
      <c r="AI45" s="1791">
        <f t="shared" ref="AI45:AI55" si="110">AF45-AB45</f>
        <v>0</v>
      </c>
      <c r="AJ45" s="1880">
        <f t="shared" si="32"/>
        <v>-1.6708888760983039E-4</v>
      </c>
      <c r="AK45" s="1947">
        <v>117.22219591375337</v>
      </c>
      <c r="AL45" s="1942">
        <f t="shared" si="94"/>
        <v>3.7635924303620794E-3</v>
      </c>
      <c r="AM45" s="1975">
        <f>FISCinyear!JR886</f>
        <v>64.472207752564358</v>
      </c>
      <c r="AN45" s="1975">
        <f t="shared" si="33"/>
        <v>52.749988161189009</v>
      </c>
      <c r="AO45" s="1796">
        <f>FISC!AM1207</f>
        <v>117.22219591375337</v>
      </c>
      <c r="AP45" s="1790">
        <f t="shared" si="95"/>
        <v>3.6071771736966149E-3</v>
      </c>
      <c r="AQ45" s="2830">
        <f t="shared" si="96"/>
        <v>3.7635924303620794E-3</v>
      </c>
      <c r="AR45" s="1791">
        <f t="shared" si="43"/>
        <v>0</v>
      </c>
      <c r="AS45" s="1880">
        <f t="shared" si="34"/>
        <v>-1.5641525666546452E-4</v>
      </c>
      <c r="AT45" s="1947">
        <v>119.11601722792081</v>
      </c>
      <c r="AU45" s="1942">
        <f t="shared" si="97"/>
        <v>3.4117109792588243E-3</v>
      </c>
      <c r="AV45" s="1975">
        <f>FISCinyear!JU886</f>
        <v>65.513809475356453</v>
      </c>
      <c r="AW45" s="1975">
        <f t="shared" si="35"/>
        <v>53.602207752564354</v>
      </c>
      <c r="AX45" s="1796">
        <f>FISC!AN1207</f>
        <v>119.11601722792081</v>
      </c>
      <c r="AY45" s="1790">
        <f t="shared" si="98"/>
        <v>3.2487826194817944E-3</v>
      </c>
      <c r="AZ45" s="2830">
        <f t="shared" si="78"/>
        <v>3.4117109792588243E-3</v>
      </c>
      <c r="BA45" s="1791">
        <f t="shared" si="62"/>
        <v>0</v>
      </c>
      <c r="BB45" s="1880">
        <f t="shared" si="36"/>
        <v>-1.629283597770299E-4</v>
      </c>
      <c r="BC45" s="1947">
        <v>121.0098385420882</v>
      </c>
      <c r="BD45" s="1942">
        <f t="shared" si="99"/>
        <v>3.0905585247265445E-3</v>
      </c>
      <c r="BE45" s="1975">
        <f>FISCinyear!JX886</f>
        <v>66.555411198148519</v>
      </c>
      <c r="BF45" s="1975">
        <f t="shared" si="37"/>
        <v>54.454427343939685</v>
      </c>
      <c r="BG45" s="1796">
        <f>FISC!AO1207</f>
        <v>121.0098385420882</v>
      </c>
      <c r="BH45" s="1790">
        <f t="shared" si="100"/>
        <v>2.9342021327389712E-3</v>
      </c>
      <c r="BI45" s="2830">
        <f t="shared" si="79"/>
        <v>3.0905585247265445E-3</v>
      </c>
      <c r="BJ45" s="1791">
        <f t="shared" si="80"/>
        <v>0</v>
      </c>
      <c r="BK45" s="1880">
        <f t="shared" si="81"/>
        <v>-1.5635639198757333E-4</v>
      </c>
      <c r="BL45" s="1796">
        <f>FISC!AP1207</f>
        <v>106.30295248816181</v>
      </c>
      <c r="BM45" s="1790">
        <f t="shared" si="82"/>
        <v>2.3122677095534115E-3</v>
      </c>
    </row>
    <row r="46" spans="1:65">
      <c r="A46" s="1930" t="s">
        <v>553</v>
      </c>
      <c r="B46" s="1795"/>
      <c r="C46" s="1788"/>
      <c r="D46" s="1796"/>
      <c r="E46" s="1790"/>
      <c r="F46" s="1791"/>
      <c r="G46" s="1880"/>
      <c r="H46" s="1947">
        <v>48.929941479171745</v>
      </c>
      <c r="I46" s="1942">
        <f t="shared" si="90"/>
        <v>2.4909400807065466E-3</v>
      </c>
      <c r="J46" s="1975">
        <v>24.849923256202953</v>
      </c>
      <c r="K46" s="1975">
        <f>FISCinyear!JI887</f>
        <v>22.914165186999998</v>
      </c>
      <c r="L46" s="1964">
        <f t="shared" si="27"/>
        <v>-1.9357580692029543</v>
      </c>
      <c r="M46" s="1964">
        <v>26.920750194219867</v>
      </c>
      <c r="N46" s="1964">
        <f t="shared" si="41"/>
        <v>29.711018626000001</v>
      </c>
      <c r="O46" s="1796">
        <f>FISC!AJ1208</f>
        <v>52.625183813</v>
      </c>
      <c r="P46" s="1889">
        <f t="shared" si="105"/>
        <v>2.4304437738367395E-3</v>
      </c>
      <c r="Q46" s="1791">
        <f t="shared" si="106"/>
        <v>3.6952423338282543</v>
      </c>
      <c r="R46" s="1880">
        <f t="shared" si="58"/>
        <v>-6.049630686980707E-5</v>
      </c>
      <c r="S46" s="1947">
        <v>59.504399569591151</v>
      </c>
      <c r="T46" s="1942">
        <f t="shared" si="91"/>
        <v>2.4373604655354808E-3</v>
      </c>
      <c r="U46" s="1975">
        <f>FISCinyear!JL887</f>
        <v>32.913303419999998</v>
      </c>
      <c r="V46" s="1975">
        <f t="shared" si="28"/>
        <v>26.591096149591152</v>
      </c>
      <c r="W46" s="1796">
        <f>FISC!AK1208</f>
        <v>59.504399569591151</v>
      </c>
      <c r="X46" s="1889">
        <f t="shared" si="76"/>
        <v>2.3531902856863455E-3</v>
      </c>
      <c r="Y46" s="2830">
        <f t="shared" si="77"/>
        <v>2.4373604655354808E-3</v>
      </c>
      <c r="Z46" s="1791">
        <f t="shared" si="108"/>
        <v>0</v>
      </c>
      <c r="AA46" s="1880">
        <f t="shared" si="109"/>
        <v>-8.4170179849135315E-5</v>
      </c>
      <c r="AB46" s="1947">
        <v>66.628374599585953</v>
      </c>
      <c r="AC46" s="1942">
        <f t="shared" si="107"/>
        <v>2.4060579437484757E-3</v>
      </c>
      <c r="AD46" s="1975">
        <f>FISCinyear!JO887</f>
        <v>34.646754791784694</v>
      </c>
      <c r="AE46" s="1975">
        <f t="shared" si="30"/>
        <v>31.981619807801259</v>
      </c>
      <c r="AF46" s="1796">
        <f>FISC!AL1208</f>
        <v>66.628374599585953</v>
      </c>
      <c r="AG46" s="1790">
        <f t="shared" si="92"/>
        <v>2.3095260968916324E-3</v>
      </c>
      <c r="AH46" s="2830">
        <f t="shared" si="93"/>
        <v>2.4060579437484757E-3</v>
      </c>
      <c r="AI46" s="1791">
        <f t="shared" si="110"/>
        <v>0</v>
      </c>
      <c r="AJ46" s="1880">
        <f t="shared" si="32"/>
        <v>-9.6531846856843292E-5</v>
      </c>
      <c r="AK46" s="1947">
        <v>68.522195913753364</v>
      </c>
      <c r="AL46" s="1942">
        <f t="shared" si="94"/>
        <v>2.2000067124022548E-3</v>
      </c>
      <c r="AM46" s="1975">
        <f>FISCinyear!JR887</f>
        <v>37.687207752564355</v>
      </c>
      <c r="AN46" s="1975">
        <f t="shared" si="33"/>
        <v>30.83498816118901</v>
      </c>
      <c r="AO46" s="1796">
        <f>FISC!AM1208</f>
        <v>68.522195913753364</v>
      </c>
      <c r="AP46" s="1790">
        <f t="shared" si="95"/>
        <v>2.1085742257679254E-3</v>
      </c>
      <c r="AQ46" s="2830">
        <f t="shared" si="96"/>
        <v>2.2000067124022548E-3</v>
      </c>
      <c r="AR46" s="1791">
        <f t="shared" si="43"/>
        <v>0</v>
      </c>
      <c r="AS46" s="1880">
        <f t="shared" si="34"/>
        <v>-9.1432486634329419E-5</v>
      </c>
      <c r="AT46" s="1947">
        <v>70.416017227920804</v>
      </c>
      <c r="AU46" s="1942">
        <f t="shared" si="97"/>
        <v>2.0168496620609293E-3</v>
      </c>
      <c r="AV46" s="1975">
        <f>FISCinyear!JU887</f>
        <v>38.728809475356442</v>
      </c>
      <c r="AW46" s="1975">
        <f t="shared" si="35"/>
        <v>31.687207752564362</v>
      </c>
      <c r="AX46" s="1796">
        <f>FISC!AN1208</f>
        <v>70.416017227920804</v>
      </c>
      <c r="AY46" s="1790">
        <f t="shared" si="98"/>
        <v>1.920533763863764E-3</v>
      </c>
      <c r="AZ46" s="2830">
        <f t="shared" si="78"/>
        <v>2.0168496620609293E-3</v>
      </c>
      <c r="BA46" s="1791">
        <f t="shared" si="62"/>
        <v>0</v>
      </c>
      <c r="BB46" s="1880">
        <f t="shared" si="36"/>
        <v>-9.6315898197165328E-5</v>
      </c>
      <c r="BC46" s="1947">
        <v>72.309838542088201</v>
      </c>
      <c r="BD46" s="1942">
        <f t="shared" si="99"/>
        <v>1.8467737055125758E-3</v>
      </c>
      <c r="BE46" s="1975">
        <f>FISCinyear!JX887</f>
        <v>39.770411198148516</v>
      </c>
      <c r="BF46" s="1975">
        <f t="shared" si="37"/>
        <v>32.539427343939685</v>
      </c>
      <c r="BG46" s="1796">
        <f>FISC!AO1208</f>
        <v>72.309838542088201</v>
      </c>
      <c r="BH46" s="1790">
        <f t="shared" si="100"/>
        <v>1.7533424143393996E-3</v>
      </c>
      <c r="BI46" s="2830">
        <f t="shared" si="79"/>
        <v>1.8467737055125758E-3</v>
      </c>
      <c r="BJ46" s="1791">
        <f t="shared" si="80"/>
        <v>0</v>
      </c>
      <c r="BK46" s="1880">
        <f t="shared" si="81"/>
        <v>-9.3431291173176221E-5</v>
      </c>
      <c r="BL46" s="1796">
        <f>FISC!AP1208</f>
        <v>66.132774169177097</v>
      </c>
      <c r="BM46" s="1790">
        <f t="shared" si="82"/>
        <v>1.4384988815019542E-3</v>
      </c>
    </row>
    <row r="47" spans="1:65">
      <c r="A47" s="1931" t="s">
        <v>3126</v>
      </c>
      <c r="B47" s="1795"/>
      <c r="C47" s="1788"/>
      <c r="D47" s="1796"/>
      <c r="E47" s="1790"/>
      <c r="F47" s="1791"/>
      <c r="G47" s="1880"/>
      <c r="H47" s="1947">
        <v>34.5</v>
      </c>
      <c r="I47" s="1942">
        <f t="shared" si="90"/>
        <v>1.7563363083309075E-3</v>
      </c>
      <c r="J47" s="1975">
        <v>18.670365985625558</v>
      </c>
      <c r="K47" s="1975">
        <f>FISCinyear!JI888</f>
        <v>17.209826144999997</v>
      </c>
      <c r="L47" s="1964">
        <f t="shared" si="27"/>
        <v>-1.460539840625561</v>
      </c>
      <c r="M47" s="1964">
        <v>18.670365985625558</v>
      </c>
      <c r="N47" s="1964">
        <f t="shared" si="41"/>
        <v>20.311957595000006</v>
      </c>
      <c r="O47" s="1796">
        <f>FISC!AJ1209</f>
        <v>37.521783740000004</v>
      </c>
      <c r="P47" s="1889">
        <f t="shared" si="105"/>
        <v>1.7329076891813881E-3</v>
      </c>
      <c r="Q47" s="1791">
        <f t="shared" si="106"/>
        <v>3.0217837400000036</v>
      </c>
      <c r="R47" s="1880">
        <f t="shared" si="58"/>
        <v>-2.3428619149519448E-5</v>
      </c>
      <c r="S47" s="1947">
        <v>40.381463942502251</v>
      </c>
      <c r="T47" s="1942">
        <f t="shared" si="91"/>
        <v>1.6540656567552317E-3</v>
      </c>
      <c r="U47" s="1975">
        <f>FISCinyear!JL888</f>
        <v>20.365128537999997</v>
      </c>
      <c r="V47" s="1975">
        <f t="shared" si="28"/>
        <v>20.016335404502254</v>
      </c>
      <c r="W47" s="1796">
        <f>FISC!AK1209</f>
        <v>40.381463942502251</v>
      </c>
      <c r="X47" s="1889">
        <f t="shared" si="76"/>
        <v>1.5969452571344151E-3</v>
      </c>
      <c r="Y47" s="2830">
        <f t="shared" si="77"/>
        <v>1.6540656567552317E-3</v>
      </c>
      <c r="Z47" s="1791">
        <f t="shared" si="108"/>
        <v>0</v>
      </c>
      <c r="AA47" s="1880">
        <f t="shared" si="109"/>
        <v>-5.7120399620816604E-5</v>
      </c>
      <c r="AB47" s="1947">
        <v>45.328374599585956</v>
      </c>
      <c r="AC47" s="1942">
        <f t="shared" si="107"/>
        <v>1.6368806298813444E-3</v>
      </c>
      <c r="AD47" s="1975">
        <f>FISCinyear!JO888</f>
        <v>22.664187299792978</v>
      </c>
      <c r="AE47" s="1975">
        <f t="shared" si="30"/>
        <v>22.664187299792978</v>
      </c>
      <c r="AF47" s="1796">
        <f>FISC!AL1209</f>
        <v>45.328374599585956</v>
      </c>
      <c r="AG47" s="1790">
        <f t="shared" si="92"/>
        <v>1.5712084332922347E-3</v>
      </c>
      <c r="AH47" s="2830">
        <f t="shared" si="93"/>
        <v>1.6368806298813444E-3</v>
      </c>
      <c r="AI47" s="1791">
        <f t="shared" si="110"/>
        <v>0</v>
      </c>
      <c r="AJ47" s="1880">
        <f t="shared" si="32"/>
        <v>-6.5672196589109701E-5</v>
      </c>
      <c r="AK47" s="1947">
        <v>47.222195913753374</v>
      </c>
      <c r="AL47" s="1942">
        <f t="shared" si="94"/>
        <v>1.5161386263130505E-3</v>
      </c>
      <c r="AM47" s="1975">
        <f>FISCinyear!JR888</f>
        <v>23.611097956876687</v>
      </c>
      <c r="AN47" s="1975">
        <f t="shared" si="33"/>
        <v>23.611097956876687</v>
      </c>
      <c r="AO47" s="1796">
        <f>FISC!AM1209</f>
        <v>47.222195913753374</v>
      </c>
      <c r="AP47" s="1790">
        <f t="shared" si="95"/>
        <v>1.4531277618894641E-3</v>
      </c>
      <c r="AQ47" s="2830">
        <f t="shared" si="96"/>
        <v>1.5161386263130505E-3</v>
      </c>
      <c r="AR47" s="1791">
        <f t="shared" si="43"/>
        <v>0</v>
      </c>
      <c r="AS47" s="1880">
        <f t="shared" si="34"/>
        <v>-6.3010864423586376E-5</v>
      </c>
      <c r="AT47" s="1947">
        <v>49.116017227920807</v>
      </c>
      <c r="AU47" s="1942">
        <f t="shared" si="97"/>
        <v>1.406776847762877E-3</v>
      </c>
      <c r="AV47" s="1975">
        <f>FISCinyear!JU888</f>
        <v>24.558008613960403</v>
      </c>
      <c r="AW47" s="1975">
        <f t="shared" si="35"/>
        <v>24.558008613960403</v>
      </c>
      <c r="AX47" s="1796">
        <f>FISC!AN1209</f>
        <v>49.116017227920807</v>
      </c>
      <c r="AY47" s="1790">
        <f t="shared" si="98"/>
        <v>1.3395953526796976E-3</v>
      </c>
      <c r="AZ47" s="2830">
        <f t="shared" si="78"/>
        <v>1.406776847762877E-3</v>
      </c>
      <c r="BA47" s="1791">
        <f t="shared" si="62"/>
        <v>0</v>
      </c>
      <c r="BB47" s="1880">
        <f t="shared" si="36"/>
        <v>-6.7181495083179455E-5</v>
      </c>
      <c r="BC47" s="1947">
        <v>51.009838542088204</v>
      </c>
      <c r="BD47" s="1942">
        <f t="shared" si="99"/>
        <v>1.3027774704148852E-3</v>
      </c>
      <c r="BE47" s="1975">
        <f>FISCinyear!JX888</f>
        <v>28.055411198148516</v>
      </c>
      <c r="BF47" s="1975">
        <f t="shared" si="37"/>
        <v>22.954427343939688</v>
      </c>
      <c r="BG47" s="1796">
        <f>FISC!AO1209</f>
        <v>51.009838542088204</v>
      </c>
      <c r="BH47" s="1790">
        <f t="shared" si="100"/>
        <v>1.2368678352447206E-3</v>
      </c>
      <c r="BI47" s="2830">
        <f t="shared" si="79"/>
        <v>1.3027774704148852E-3</v>
      </c>
      <c r="BJ47" s="1791">
        <f t="shared" si="80"/>
        <v>0</v>
      </c>
      <c r="BK47" s="1880">
        <f t="shared" si="81"/>
        <v>-6.5909635170164575E-5</v>
      </c>
      <c r="BL47" s="1796">
        <f>FISC!AP1209</f>
        <v>47.009838542088204</v>
      </c>
      <c r="BM47" s="1790">
        <f t="shared" si="82"/>
        <v>1.0225429223548145E-3</v>
      </c>
    </row>
    <row r="48" spans="1:65">
      <c r="A48" s="1932" t="s">
        <v>3628</v>
      </c>
      <c r="B48" s="1795"/>
      <c r="C48" s="1788"/>
      <c r="D48" s="1796"/>
      <c r="E48" s="1790"/>
      <c r="F48" s="1791"/>
      <c r="G48" s="1880"/>
      <c r="H48" s="1947">
        <v>0</v>
      </c>
      <c r="I48" s="1942">
        <f t="shared" si="90"/>
        <v>0</v>
      </c>
      <c r="J48" s="1975">
        <v>0</v>
      </c>
      <c r="K48" s="1975">
        <v>0</v>
      </c>
      <c r="L48" s="1964">
        <f t="shared" si="27"/>
        <v>0</v>
      </c>
      <c r="M48" s="1964">
        <v>0</v>
      </c>
      <c r="N48" s="1964">
        <f t="shared" si="41"/>
        <v>2.8407319712511026</v>
      </c>
      <c r="O48" s="1796">
        <v>2.8407319712511026</v>
      </c>
      <c r="P48" s="1889">
        <f t="shared" si="105"/>
        <v>1.3119648868496029E-4</v>
      </c>
      <c r="Q48" s="1791">
        <f t="shared" si="106"/>
        <v>2.8407319712511026</v>
      </c>
      <c r="R48" s="1880">
        <f t="shared" si="58"/>
        <v>1.3119648868496029E-4</v>
      </c>
      <c r="S48" s="1947">
        <v>5.6814639425022477</v>
      </c>
      <c r="T48" s="1942">
        <f t="shared" si="91"/>
        <v>2.3271851661363588E-4</v>
      </c>
      <c r="U48" s="1975">
        <f>W48/2</f>
        <v>2.8407319712511239</v>
      </c>
      <c r="V48" s="1975">
        <f t="shared" si="28"/>
        <v>2.8407319712511239</v>
      </c>
      <c r="W48" s="1796">
        <v>5.6814639425022477</v>
      </c>
      <c r="X48" s="1889">
        <f t="shared" si="76"/>
        <v>2.2468197065559256E-4</v>
      </c>
      <c r="Y48" s="2830">
        <f t="shared" si="77"/>
        <v>2.3271851661363588E-4</v>
      </c>
      <c r="Z48" s="1791">
        <f t="shared" si="108"/>
        <v>0</v>
      </c>
      <c r="AA48" s="1880">
        <f t="shared" si="109"/>
        <v>-8.0365459580433165E-6</v>
      </c>
      <c r="AB48" s="1947">
        <v>6.6283745995859533</v>
      </c>
      <c r="AC48" s="1942">
        <f t="shared" si="107"/>
        <v>2.3936128496782378E-4</v>
      </c>
      <c r="AD48" s="1975">
        <f>AF48/2</f>
        <v>3.3141872997929767</v>
      </c>
      <c r="AE48" s="1975">
        <f t="shared" si="30"/>
        <v>3.3141872997929767</v>
      </c>
      <c r="AF48" s="1796">
        <v>6.6283745995859533</v>
      </c>
      <c r="AG48" s="1790">
        <f t="shared" si="92"/>
        <v>2.2975803041445521E-4</v>
      </c>
      <c r="AH48" s="2830">
        <f t="shared" si="93"/>
        <v>2.3936128496782378E-4</v>
      </c>
      <c r="AI48" s="1791">
        <f t="shared" si="110"/>
        <v>0</v>
      </c>
      <c r="AJ48" s="1880">
        <f t="shared" si="32"/>
        <v>-9.6032545533685735E-6</v>
      </c>
      <c r="AK48" s="1947">
        <v>8.5221959137533716</v>
      </c>
      <c r="AL48" s="1942">
        <f t="shared" si="94"/>
        <v>2.7361773750308723E-4</v>
      </c>
      <c r="AM48" s="1975">
        <f>AO48/2</f>
        <v>4.2610979568766858</v>
      </c>
      <c r="AN48" s="1975">
        <f t="shared" si="33"/>
        <v>4.2610979568766858</v>
      </c>
      <c r="AO48" s="1796">
        <v>8.5221959137533716</v>
      </c>
      <c r="AP48" s="1790">
        <f t="shared" si="95"/>
        <v>2.6224615850465363E-4</v>
      </c>
      <c r="AQ48" s="2830">
        <f t="shared" si="96"/>
        <v>2.7361773750308723E-4</v>
      </c>
      <c r="AR48" s="1791">
        <f t="shared" si="43"/>
        <v>0</v>
      </c>
      <c r="AS48" s="1880">
        <f t="shared" si="34"/>
        <v>-1.1371578998433599E-5</v>
      </c>
      <c r="AT48" s="1947">
        <v>10.416017227920804</v>
      </c>
      <c r="AU48" s="1942">
        <f t="shared" si="97"/>
        <v>2.9833469220726035E-4</v>
      </c>
      <c r="AV48" s="1975">
        <f>AX48/2</f>
        <v>5.208008613960402</v>
      </c>
      <c r="AW48" s="1975">
        <f t="shared" si="35"/>
        <v>5.208008613960402</v>
      </c>
      <c r="AX48" s="1796">
        <v>10.416017227920804</v>
      </c>
      <c r="AY48" s="1790">
        <f t="shared" si="98"/>
        <v>2.8408753517625247E-4</v>
      </c>
      <c r="AZ48" s="2830">
        <f t="shared" si="78"/>
        <v>2.9833469220726035E-4</v>
      </c>
      <c r="BA48" s="1791">
        <f t="shared" si="62"/>
        <v>0</v>
      </c>
      <c r="BB48" s="1880">
        <f t="shared" si="36"/>
        <v>-1.4247157031007881E-5</v>
      </c>
      <c r="BC48" s="1947">
        <v>12.309838542088201</v>
      </c>
      <c r="BD48" s="1942">
        <f t="shared" si="99"/>
        <v>3.1438994467401061E-4</v>
      </c>
      <c r="BE48" s="1975">
        <f>BG48/2</f>
        <v>6.1549192710441005</v>
      </c>
      <c r="BF48" s="1975">
        <f t="shared" si="37"/>
        <v>6.1549192710441005</v>
      </c>
      <c r="BG48" s="1796">
        <v>12.309838542088201</v>
      </c>
      <c r="BH48" s="1790">
        <f t="shared" si="100"/>
        <v>2.9848444505861329E-4</v>
      </c>
      <c r="BI48" s="2830">
        <f t="shared" si="79"/>
        <v>3.1438994467401061E-4</v>
      </c>
      <c r="BJ48" s="1791">
        <f t="shared" si="80"/>
        <v>0</v>
      </c>
      <c r="BK48" s="1880">
        <f t="shared" si="81"/>
        <v>-1.5905499615397316E-5</v>
      </c>
      <c r="BL48" s="1796"/>
      <c r="BM48" s="1790">
        <f t="shared" si="82"/>
        <v>0</v>
      </c>
    </row>
    <row r="49" spans="1:65">
      <c r="A49" s="1930" t="s">
        <v>554</v>
      </c>
      <c r="B49" s="1795"/>
      <c r="C49" s="1788"/>
      <c r="D49" s="1796"/>
      <c r="E49" s="1790"/>
      <c r="F49" s="1791"/>
      <c r="G49" s="1880"/>
      <c r="H49" s="1947">
        <v>39.298793549364873</v>
      </c>
      <c r="I49" s="1942">
        <f t="shared" si="90"/>
        <v>2.0006347241840576E-3</v>
      </c>
      <c r="J49" s="1975">
        <v>15.863523308000001</v>
      </c>
      <c r="K49" s="1975">
        <f>FISCinyear!JI889</f>
        <v>15.824959074000001</v>
      </c>
      <c r="L49" s="1964">
        <f t="shared" si="27"/>
        <v>-3.8564234000000752E-2</v>
      </c>
      <c r="M49" s="1964">
        <v>23.435270241364901</v>
      </c>
      <c r="N49" s="1964">
        <f t="shared" si="41"/>
        <v>18.791691993000001</v>
      </c>
      <c r="O49" s="1796">
        <f>FISC!AJ1210</f>
        <v>34.616651066999999</v>
      </c>
      <c r="P49" s="1889">
        <f t="shared" si="105"/>
        <v>1.5987369156910288E-3</v>
      </c>
      <c r="Q49" s="1791">
        <f t="shared" si="106"/>
        <v>-4.6821424823648741</v>
      </c>
      <c r="R49" s="1880">
        <f t="shared" si="58"/>
        <v>-4.0189780849302884E-4</v>
      </c>
      <c r="S49" s="1947">
        <v>43.752602617579804</v>
      </c>
      <c r="T49" s="1942">
        <f t="shared" si="91"/>
        <v>1.7921509107852666E-3</v>
      </c>
      <c r="U49" s="1975">
        <f>FISCinyear!JL889</f>
        <v>15.442867608</v>
      </c>
      <c r="V49" s="1975">
        <f t="shared" si="28"/>
        <v>28.309735009579803</v>
      </c>
      <c r="W49" s="1796">
        <f>FISC!AK1210</f>
        <v>43.752602617579804</v>
      </c>
      <c r="X49" s="1889">
        <f t="shared" si="76"/>
        <v>1.7302619671470316E-3</v>
      </c>
      <c r="Y49" s="2830">
        <f t="shared" si="77"/>
        <v>1.7921509107852666E-3</v>
      </c>
      <c r="Z49" s="1791">
        <f t="shared" si="108"/>
        <v>0</v>
      </c>
      <c r="AA49" s="1880">
        <f t="shared" si="109"/>
        <v>-6.1888943638235003E-5</v>
      </c>
      <c r="AB49" s="1947">
        <v>48.7</v>
      </c>
      <c r="AC49" s="1942">
        <f t="shared" si="107"/>
        <v>1.7586354547102958E-3</v>
      </c>
      <c r="AD49" s="1975">
        <f>FISCinyear!JO889</f>
        <v>25.324000000000002</v>
      </c>
      <c r="AE49" s="1975">
        <f t="shared" si="30"/>
        <v>23.376000000000001</v>
      </c>
      <c r="AF49" s="1796">
        <f>FISC!AL1210</f>
        <v>48.7</v>
      </c>
      <c r="AG49" s="1790">
        <f t="shared" si="92"/>
        <v>1.6880784139573092E-3</v>
      </c>
      <c r="AH49" s="2830">
        <f t="shared" si="93"/>
        <v>1.7586354547102958E-3</v>
      </c>
      <c r="AI49" s="1791">
        <f t="shared" si="110"/>
        <v>0</v>
      </c>
      <c r="AJ49" s="1880">
        <f t="shared" si="32"/>
        <v>-7.0557040752986661E-5</v>
      </c>
      <c r="AK49" s="1947">
        <v>48.7</v>
      </c>
      <c r="AL49" s="1942">
        <f t="shared" si="94"/>
        <v>1.5635857179598246E-3</v>
      </c>
      <c r="AM49" s="1975">
        <f>FISCinyear!JR889</f>
        <v>26.785000000000004</v>
      </c>
      <c r="AN49" s="1975">
        <f t="shared" si="33"/>
        <v>21.914999999999999</v>
      </c>
      <c r="AO49" s="1796">
        <f>FISC!AM1210</f>
        <v>48.7</v>
      </c>
      <c r="AP49" s="1790">
        <f t="shared" si="95"/>
        <v>1.4986029479286892E-3</v>
      </c>
      <c r="AQ49" s="2830">
        <f t="shared" si="96"/>
        <v>1.5635857179598246E-3</v>
      </c>
      <c r="AR49" s="1791">
        <f t="shared" si="43"/>
        <v>0</v>
      </c>
      <c r="AS49" s="1880">
        <f t="shared" si="34"/>
        <v>-6.4982770031135314E-5</v>
      </c>
      <c r="AT49" s="1947">
        <v>48.7</v>
      </c>
      <c r="AU49" s="1942">
        <f t="shared" si="97"/>
        <v>1.394861317197895E-3</v>
      </c>
      <c r="AV49" s="1975">
        <f>FISCinyear!JU889</f>
        <v>26.785000000000004</v>
      </c>
      <c r="AW49" s="1975">
        <f t="shared" si="35"/>
        <v>21.914999999999999</v>
      </c>
      <c r="AX49" s="1796">
        <f>FISC!AN1210</f>
        <v>48.7</v>
      </c>
      <c r="AY49" s="1790">
        <f t="shared" si="98"/>
        <v>1.3282488556180304E-3</v>
      </c>
      <c r="AZ49" s="2830">
        <f t="shared" si="78"/>
        <v>1.394861317197895E-3</v>
      </c>
      <c r="BA49" s="1791">
        <f t="shared" si="62"/>
        <v>0</v>
      </c>
      <c r="BB49" s="1880">
        <f t="shared" si="36"/>
        <v>-6.6612461579864573E-5</v>
      </c>
      <c r="BC49" s="1947">
        <v>48.7</v>
      </c>
      <c r="BD49" s="1942">
        <f t="shared" si="99"/>
        <v>1.2437848192139687E-3</v>
      </c>
      <c r="BE49" s="1975">
        <f>FISCinyear!JX889</f>
        <v>26.785000000000004</v>
      </c>
      <c r="BF49" s="1975">
        <f t="shared" si="37"/>
        <v>21.914999999999999</v>
      </c>
      <c r="BG49" s="1796">
        <f>FISC!AO1210</f>
        <v>48.7</v>
      </c>
      <c r="BH49" s="1790">
        <f t="shared" si="100"/>
        <v>1.1808597183995716E-3</v>
      </c>
      <c r="BI49" s="2830">
        <f t="shared" si="79"/>
        <v>1.2437848192139687E-3</v>
      </c>
      <c r="BJ49" s="1791">
        <f t="shared" si="80"/>
        <v>0</v>
      </c>
      <c r="BK49" s="1880">
        <f t="shared" si="81"/>
        <v>-6.2925100814397112E-5</v>
      </c>
      <c r="BL49" s="1796">
        <f>FISC!AP1210</f>
        <v>40.170178318984711</v>
      </c>
      <c r="BM49" s="1790">
        <f t="shared" si="82"/>
        <v>8.7376882805145718E-4</v>
      </c>
    </row>
    <row r="50" spans="1:65">
      <c r="A50" s="1809" t="s">
        <v>3629</v>
      </c>
      <c r="B50" s="1795"/>
      <c r="C50" s="1788"/>
      <c r="D50" s="1796"/>
      <c r="E50" s="1790"/>
      <c r="F50" s="1791"/>
      <c r="G50" s="1880"/>
      <c r="H50" s="1947">
        <v>937.64738260820286</v>
      </c>
      <c r="I50" s="1942">
        <f t="shared" si="90"/>
        <v>4.7734033115542869E-2</v>
      </c>
      <c r="J50" s="1975">
        <v>448.71395363501784</v>
      </c>
      <c r="K50" s="1975">
        <f>FISCinyear!JI890</f>
        <v>461.749455189</v>
      </c>
      <c r="L50" s="1964">
        <f t="shared" si="27"/>
        <v>13.035501553982158</v>
      </c>
      <c r="M50" s="1964">
        <v>488.93342897318502</v>
      </c>
      <c r="N50" s="1964">
        <f t="shared" si="41"/>
        <v>475.46012204100015</v>
      </c>
      <c r="O50" s="1796">
        <f>FISC!AJ1211</f>
        <v>937.20957723000015</v>
      </c>
      <c r="P50" s="1889">
        <f t="shared" si="105"/>
        <v>4.3284127801870458E-2</v>
      </c>
      <c r="Q50" s="1791">
        <f t="shared" si="106"/>
        <v>-0.43780537820271093</v>
      </c>
      <c r="R50" s="1880">
        <f t="shared" si="58"/>
        <v>-4.4499053136724115E-3</v>
      </c>
      <c r="S50" s="1947">
        <v>1052.3312241676254</v>
      </c>
      <c r="T50" s="1942">
        <f t="shared" si="91"/>
        <v>4.3104552621105442E-2</v>
      </c>
      <c r="U50" s="1975">
        <f>FISCinyear!JL890</f>
        <v>528.9446218359999</v>
      </c>
      <c r="V50" s="1975">
        <f t="shared" si="28"/>
        <v>523.38660233162545</v>
      </c>
      <c r="W50" s="1796">
        <f>FISC!AK1211</f>
        <v>1052.3312241676254</v>
      </c>
      <c r="X50" s="1889">
        <f t="shared" si="76"/>
        <v>4.1616008764857292E-2</v>
      </c>
      <c r="Y50" s="2830">
        <f t="shared" si="77"/>
        <v>4.3104552621105442E-2</v>
      </c>
      <c r="Z50" s="1791">
        <f t="shared" si="108"/>
        <v>0</v>
      </c>
      <c r="AA50" s="1880">
        <f t="shared" si="109"/>
        <v>-1.4885438562481507E-3</v>
      </c>
      <c r="AB50" s="1947">
        <v>1234.374626004357</v>
      </c>
      <c r="AC50" s="1942">
        <f t="shared" si="107"/>
        <v>4.4575256297454284E-2</v>
      </c>
      <c r="AD50" s="1975">
        <f>FISCinyear!JO890</f>
        <v>641.87480552226566</v>
      </c>
      <c r="AE50" s="1975">
        <f t="shared" si="30"/>
        <v>592.49982048209131</v>
      </c>
      <c r="AF50" s="1796">
        <f>FISC!AL1211</f>
        <v>1234.374626004357</v>
      </c>
      <c r="AG50" s="1790">
        <f t="shared" si="92"/>
        <v>4.2786882153892841E-2</v>
      </c>
      <c r="AH50" s="2830">
        <f t="shared" si="93"/>
        <v>4.4575256297454284E-2</v>
      </c>
      <c r="AI50" s="1791">
        <f t="shared" si="110"/>
        <v>0</v>
      </c>
      <c r="AJ50" s="1880">
        <f t="shared" si="32"/>
        <v>-1.7883741435614428E-3</v>
      </c>
      <c r="AK50" s="1947">
        <v>1464.9227491062384</v>
      </c>
      <c r="AL50" s="1942">
        <f t="shared" si="94"/>
        <v>4.7033517215953953E-2</v>
      </c>
      <c r="AM50" s="1975">
        <f>FISCinyear!JR890</f>
        <v>810.29582604349764</v>
      </c>
      <c r="AN50" s="1975">
        <f t="shared" si="33"/>
        <v>654.62692306274073</v>
      </c>
      <c r="AO50" s="1796">
        <f>FISC!AM1211</f>
        <v>1464.9227491062384</v>
      </c>
      <c r="AP50" s="1790">
        <f t="shared" si="95"/>
        <v>4.5078799800788674E-2</v>
      </c>
      <c r="AQ50" s="2830">
        <f t="shared" si="96"/>
        <v>4.7033517215953953E-2</v>
      </c>
      <c r="AR50" s="1791">
        <f t="shared" si="43"/>
        <v>0</v>
      </c>
      <c r="AS50" s="1880">
        <f t="shared" si="34"/>
        <v>-1.9547174151652788E-3</v>
      </c>
      <c r="AT50" s="1947">
        <v>1654.8398652529797</v>
      </c>
      <c r="AU50" s="1942">
        <f t="shared" si="97"/>
        <v>4.739778468579791E-2</v>
      </c>
      <c r="AV50" s="1975">
        <f>FISCinyear!JU890</f>
        <v>915.34508314719938</v>
      </c>
      <c r="AW50" s="1975">
        <f t="shared" si="35"/>
        <v>739.49478210578036</v>
      </c>
      <c r="AX50" s="1796">
        <f>FISC!AN1211</f>
        <v>1654.8398652529797</v>
      </c>
      <c r="AY50" s="1790">
        <f t="shared" si="98"/>
        <v>4.513427427624981E-2</v>
      </c>
      <c r="AZ50" s="2830">
        <f t="shared" si="78"/>
        <v>4.739778468579791E-2</v>
      </c>
      <c r="BA50" s="1791">
        <f t="shared" si="62"/>
        <v>0</v>
      </c>
      <c r="BB50" s="1880">
        <f t="shared" si="36"/>
        <v>-2.2635104095481001E-3</v>
      </c>
      <c r="BC50" s="1947">
        <v>2010.6229249355586</v>
      </c>
      <c r="BD50" s="1942">
        <f t="shared" si="99"/>
        <v>5.1350765322349785E-2</v>
      </c>
      <c r="BE50" s="1975">
        <f>FISCinyear!JX890</f>
        <v>1126.3623324512178</v>
      </c>
      <c r="BF50" s="1975">
        <f t="shared" si="37"/>
        <v>909.97273371951292</v>
      </c>
      <c r="BG50" s="1796">
        <f>FISC!AO1211</f>
        <v>2036.3350661707307</v>
      </c>
      <c r="BH50" s="1790">
        <f t="shared" si="100"/>
        <v>4.9376304985740083E-2</v>
      </c>
      <c r="BI50" s="2830">
        <f t="shared" si="79"/>
        <v>5.2007446450435875E-2</v>
      </c>
      <c r="BJ50" s="1791">
        <f t="shared" si="80"/>
        <v>25.712141235172112</v>
      </c>
      <c r="BK50" s="1880">
        <f t="shared" si="81"/>
        <v>-1.9744603366097027E-3</v>
      </c>
      <c r="BL50" s="1796">
        <f>FISC!AP1211</f>
        <v>2301.0341330901783</v>
      </c>
      <c r="BM50" s="1790">
        <f t="shared" si="82"/>
        <v>5.0051356053512845E-2</v>
      </c>
    </row>
    <row r="51" spans="1:65">
      <c r="A51" s="1930" t="s">
        <v>553</v>
      </c>
      <c r="B51" s="1795"/>
      <c r="C51" s="1788"/>
      <c r="D51" s="1796"/>
      <c r="E51" s="1790"/>
      <c r="F51" s="1791"/>
      <c r="G51" s="1880"/>
      <c r="H51" s="1947">
        <v>728.48423912646035</v>
      </c>
      <c r="I51" s="1942">
        <f t="shared" si="90"/>
        <v>3.708589331085848E-2</v>
      </c>
      <c r="J51" s="1975">
        <v>348.62686365309463</v>
      </c>
      <c r="K51" s="1975">
        <f>FISCinyear!JI891</f>
        <v>365.76462476199998</v>
      </c>
      <c r="L51" s="1964">
        <f t="shared" si="27"/>
        <v>17.137761108905352</v>
      </c>
      <c r="M51" s="1964">
        <v>379.85737547336572</v>
      </c>
      <c r="N51" s="1964">
        <f t="shared" si="41"/>
        <v>382.79456862800004</v>
      </c>
      <c r="O51" s="1796">
        <f>FISC!AJ1212</f>
        <v>748.55919339000002</v>
      </c>
      <c r="P51" s="1889">
        <f t="shared" si="105"/>
        <v>3.4571490284724629E-2</v>
      </c>
      <c r="Q51" s="1791">
        <f t="shared" si="106"/>
        <v>20.074954263539666</v>
      </c>
      <c r="R51" s="1880">
        <f t="shared" si="58"/>
        <v>-2.5144030261338504E-3</v>
      </c>
      <c r="S51" s="1947">
        <v>813.2824180998856</v>
      </c>
      <c r="T51" s="1942">
        <f t="shared" si="91"/>
        <v>3.3312871443622882E-2</v>
      </c>
      <c r="U51" s="1975">
        <f>FISCinyear!JL891</f>
        <v>418.14738736799995</v>
      </c>
      <c r="V51" s="1975">
        <f t="shared" si="28"/>
        <v>395.13503073188565</v>
      </c>
      <c r="W51" s="1796">
        <f>FISC!AK1212</f>
        <v>813.2824180998856</v>
      </c>
      <c r="X51" s="1889">
        <f t="shared" si="76"/>
        <v>3.2162466971100659E-2</v>
      </c>
      <c r="Y51" s="2830">
        <f t="shared" si="77"/>
        <v>3.3312871443622882E-2</v>
      </c>
      <c r="Z51" s="1791">
        <f t="shared" si="108"/>
        <v>0</v>
      </c>
      <c r="AA51" s="1880">
        <f t="shared" si="109"/>
        <v>-1.1504044725222234E-3</v>
      </c>
      <c r="AB51" s="1947">
        <v>950.00032317272212</v>
      </c>
      <c r="AC51" s="1942">
        <f t="shared" si="107"/>
        <v>3.4306042100981274E-2</v>
      </c>
      <c r="AD51" s="1975">
        <f>FISCinyear!JO891</f>
        <v>494.0001680498155</v>
      </c>
      <c r="AE51" s="1975">
        <f t="shared" si="30"/>
        <v>456.00015512290662</v>
      </c>
      <c r="AF51" s="1796">
        <f>FISC!AL1212</f>
        <v>950.00032317272212</v>
      </c>
      <c r="AG51" s="1790">
        <f t="shared" si="92"/>
        <v>3.2929672254627097E-2</v>
      </c>
      <c r="AH51" s="2830">
        <f t="shared" si="93"/>
        <v>3.4306042100981274E-2</v>
      </c>
      <c r="AI51" s="1791">
        <f t="shared" si="110"/>
        <v>0</v>
      </c>
      <c r="AJ51" s="1880">
        <f t="shared" si="32"/>
        <v>-1.3763698463541765E-3</v>
      </c>
      <c r="AK51" s="1947">
        <v>1097.0004329757885</v>
      </c>
      <c r="AL51" s="1942">
        <f t="shared" si="94"/>
        <v>3.5220825659069539E-2</v>
      </c>
      <c r="AM51" s="1975">
        <f>FISCinyear!JR891</f>
        <v>607.82889344252794</v>
      </c>
      <c r="AN51" s="1975">
        <f t="shared" si="33"/>
        <v>489.17153953326056</v>
      </c>
      <c r="AO51" s="1796">
        <f>FISC!AM1212</f>
        <v>1097.0004329757885</v>
      </c>
      <c r="AP51" s="1790">
        <f t="shared" si="95"/>
        <v>3.3757044820052672E-2</v>
      </c>
      <c r="AQ51" s="2830">
        <f t="shared" si="96"/>
        <v>3.5220825659069539E-2</v>
      </c>
      <c r="AR51" s="1791">
        <f t="shared" si="43"/>
        <v>0</v>
      </c>
      <c r="AS51" s="1880">
        <f t="shared" si="34"/>
        <v>-1.4637808390168677E-3</v>
      </c>
      <c r="AT51" s="1947">
        <v>1239.6814916847211</v>
      </c>
      <c r="AU51" s="1942">
        <f t="shared" si="97"/>
        <v>3.5506853355178669E-2</v>
      </c>
      <c r="AV51" s="1975">
        <f>FISCinyear!JU891</f>
        <v>686.88599079936466</v>
      </c>
      <c r="AW51" s="1975">
        <f t="shared" si="35"/>
        <v>552.79550088535643</v>
      </c>
      <c r="AX51" s="1796">
        <f>FISC!AN1212</f>
        <v>1239.6814916847211</v>
      </c>
      <c r="AY51" s="1790">
        <f t="shared" si="98"/>
        <v>3.3811201697352841E-2</v>
      </c>
      <c r="AZ51" s="2830">
        <f t="shared" si="78"/>
        <v>3.5506853355178669E-2</v>
      </c>
      <c r="BA51" s="1791">
        <f t="shared" si="62"/>
        <v>0</v>
      </c>
      <c r="BB51" s="1880">
        <f t="shared" si="36"/>
        <v>-1.6956516578258279E-3</v>
      </c>
      <c r="BC51" s="1947">
        <v>1506.5373418017598</v>
      </c>
      <c r="BD51" s="1942">
        <f t="shared" si="99"/>
        <v>3.8476555961231923E-2</v>
      </c>
      <c r="BE51" s="1975">
        <f>FISCinyear!JX891</f>
        <v>845.42104090286568</v>
      </c>
      <c r="BF51" s="1975">
        <f t="shared" si="37"/>
        <v>680.38212166919527</v>
      </c>
      <c r="BG51" s="1796">
        <f>FISC!AO1212</f>
        <v>1525.803162572061</v>
      </c>
      <c r="BH51" s="1790">
        <f t="shared" si="100"/>
        <v>3.6997114843696506E-2</v>
      </c>
      <c r="BI51" s="2830">
        <f t="shared" si="79"/>
        <v>3.896859980935919E-2</v>
      </c>
      <c r="BJ51" s="1791">
        <f t="shared" si="80"/>
        <v>19.265820770301161</v>
      </c>
      <c r="BK51" s="1880">
        <f t="shared" si="81"/>
        <v>-1.4794411175354169E-3</v>
      </c>
      <c r="BL51" s="1796">
        <f>FISC!AP1212</f>
        <v>1724.1392223615971</v>
      </c>
      <c r="BM51" s="1790">
        <f t="shared" si="82"/>
        <v>3.7502923082829868E-2</v>
      </c>
    </row>
    <row r="52" spans="1:65">
      <c r="A52" s="1931" t="s">
        <v>3126</v>
      </c>
      <c r="B52" s="1795"/>
      <c r="C52" s="1788"/>
      <c r="D52" s="1796"/>
      <c r="E52" s="1790"/>
      <c r="F52" s="1791"/>
      <c r="G52" s="1880"/>
      <c r="H52" s="1947">
        <v>560.60132816494161</v>
      </c>
      <c r="I52" s="1942">
        <f t="shared" si="90"/>
        <v>2.8539259917525137E-2</v>
      </c>
      <c r="J52" s="1975">
        <v>285.26661411100002</v>
      </c>
      <c r="K52" s="1975">
        <f>FISCinyear!JI892</f>
        <v>285.14946823299999</v>
      </c>
      <c r="L52" s="1964">
        <f t="shared" si="27"/>
        <v>-0.11714587800003073</v>
      </c>
      <c r="M52" s="1964">
        <v>275.33471405394158</v>
      </c>
      <c r="N52" s="1964">
        <f t="shared" si="41"/>
        <v>295.01915935800002</v>
      </c>
      <c r="O52" s="1796">
        <f>FISC!AJ1213</f>
        <v>580.16862759100002</v>
      </c>
      <c r="P52" s="1889">
        <f t="shared" si="105"/>
        <v>2.6794533083523843E-2</v>
      </c>
      <c r="Q52" s="1791">
        <f t="shared" si="106"/>
        <v>19.567299426058412</v>
      </c>
      <c r="R52" s="1880">
        <f t="shared" si="58"/>
        <v>-1.7447268340012936E-3</v>
      </c>
      <c r="S52" s="1947">
        <v>713.61040074492382</v>
      </c>
      <c r="T52" s="1942">
        <f t="shared" si="91"/>
        <v>2.9230204676486904E-2</v>
      </c>
      <c r="U52" s="1975">
        <f>FISCinyear!JL892</f>
        <v>350.44996004699999</v>
      </c>
      <c r="V52" s="1975">
        <f t="shared" si="28"/>
        <v>362.3382183211553</v>
      </c>
      <c r="W52" s="1796">
        <f>FISC!AK1213</f>
        <v>712.78817836815529</v>
      </c>
      <c r="X52" s="1889">
        <f t="shared" si="76"/>
        <v>2.8188272282730197E-2</v>
      </c>
      <c r="Y52" s="2830">
        <f t="shared" si="77"/>
        <v>2.9196525615282857E-2</v>
      </c>
      <c r="Z52" s="1791">
        <f t="shared" si="108"/>
        <v>-0.82222237676853638</v>
      </c>
      <c r="AA52" s="1880">
        <f t="shared" si="109"/>
        <v>-1.0419323937567067E-3</v>
      </c>
      <c r="AB52" s="1947">
        <v>810.29173487567823</v>
      </c>
      <c r="AC52" s="1942">
        <f t="shared" si="107"/>
        <v>2.9260939909878499E-2</v>
      </c>
      <c r="AD52" s="1975">
        <f>FISCinyear!JO892</f>
        <v>402.57127208925039</v>
      </c>
      <c r="AE52" s="1975">
        <f t="shared" si="30"/>
        <v>402.57127208925039</v>
      </c>
      <c r="AF52" s="1796">
        <f>FISC!AL1213</f>
        <v>805.14254417850077</v>
      </c>
      <c r="AG52" s="1790">
        <f t="shared" si="92"/>
        <v>2.7908495872410601E-2</v>
      </c>
      <c r="AH52" s="2830">
        <f t="shared" si="93"/>
        <v>2.9074994338561852E-2</v>
      </c>
      <c r="AI52" s="1791">
        <f t="shared" si="110"/>
        <v>-5.1491906971774597</v>
      </c>
      <c r="AJ52" s="1880">
        <f t="shared" si="32"/>
        <v>-1.3524440374678981E-3</v>
      </c>
      <c r="AK52" s="1947">
        <v>923.00792181362181</v>
      </c>
      <c r="AL52" s="1942">
        <f t="shared" si="94"/>
        <v>2.96345380721059E-2</v>
      </c>
      <c r="AM52" s="1975">
        <f>FISCinyear!JR892</f>
        <v>459.16563894233508</v>
      </c>
      <c r="AN52" s="1975">
        <f t="shared" si="33"/>
        <v>459.16563894233508</v>
      </c>
      <c r="AO52" s="1796">
        <f>FISC!AM1213</f>
        <v>918.33127788467016</v>
      </c>
      <c r="AP52" s="1790">
        <f t="shared" si="95"/>
        <v>2.8259013556736899E-2</v>
      </c>
      <c r="AQ52" s="2830">
        <f t="shared" si="96"/>
        <v>2.9484387483701541E-2</v>
      </c>
      <c r="AR52" s="1791">
        <f t="shared" si="43"/>
        <v>-4.6766439289516484</v>
      </c>
      <c r="AS52" s="1880">
        <f t="shared" si="34"/>
        <v>-1.3755245153690004E-3</v>
      </c>
      <c r="AT52" s="1947">
        <v>1050.4287686729467</v>
      </c>
      <c r="AU52" s="1942">
        <f t="shared" si="97"/>
        <v>3.0086292728823599E-2</v>
      </c>
      <c r="AV52" s="1975">
        <f>FISCinyear!JU892</f>
        <v>525.72377180653245</v>
      </c>
      <c r="AW52" s="1975">
        <f t="shared" si="35"/>
        <v>525.72377180653245</v>
      </c>
      <c r="AX52" s="1796">
        <f>FISC!AN1213</f>
        <v>1051.4475436130649</v>
      </c>
      <c r="AY52" s="1790">
        <f t="shared" si="98"/>
        <v>2.86772894568058E-2</v>
      </c>
      <c r="AZ52" s="2830">
        <f t="shared" si="78"/>
        <v>3.0115472395248678E-2</v>
      </c>
      <c r="BA52" s="1791">
        <f t="shared" si="62"/>
        <v>1.0187749401181918</v>
      </c>
      <c r="BB52" s="1880">
        <f t="shared" si="36"/>
        <v>-1.4090032720177996E-3</v>
      </c>
      <c r="BC52" s="1947">
        <v>1132.2843657333551</v>
      </c>
      <c r="BD52" s="1942">
        <f t="shared" si="99"/>
        <v>2.89182362450198E-2</v>
      </c>
      <c r="BE52" s="1975">
        <f>FISCinyear!JX892</f>
        <v>568.24297477041284</v>
      </c>
      <c r="BF52" s="1975">
        <f t="shared" si="37"/>
        <v>568.24297477041284</v>
      </c>
      <c r="BG52" s="1796">
        <f>FISC!AO1213</f>
        <v>1136.4859495408257</v>
      </c>
      <c r="BH52" s="1790">
        <f t="shared" si="100"/>
        <v>2.7557094011085199E-2</v>
      </c>
      <c r="BI52" s="2830">
        <f t="shared" si="79"/>
        <v>2.9025543558292635E-2</v>
      </c>
      <c r="BJ52" s="1791">
        <f t="shared" si="80"/>
        <v>4.2015838074705698</v>
      </c>
      <c r="BK52" s="1880">
        <f t="shared" si="81"/>
        <v>-1.3611422339346001E-3</v>
      </c>
      <c r="BL52" s="1796">
        <f>FISC!AP1213</f>
        <v>1379.203870498538</v>
      </c>
      <c r="BM52" s="1790">
        <f t="shared" si="82"/>
        <v>0.03</v>
      </c>
    </row>
    <row r="53" spans="1:65">
      <c r="A53" s="1932" t="s">
        <v>3628</v>
      </c>
      <c r="B53" s="1795"/>
      <c r="C53" s="1788"/>
      <c r="D53" s="1796"/>
      <c r="E53" s="1790"/>
      <c r="F53" s="1791"/>
      <c r="G53" s="1880"/>
      <c r="H53" s="1947">
        <v>0</v>
      </c>
      <c r="I53" s="1942">
        <f t="shared" si="90"/>
        <v>0</v>
      </c>
      <c r="J53" s="1975">
        <v>0</v>
      </c>
      <c r="K53" s="1975">
        <v>0</v>
      </c>
      <c r="L53" s="1964">
        <f t="shared" si="27"/>
        <v>0</v>
      </c>
      <c r="M53" s="1964">
        <v>0</v>
      </c>
      <c r="N53" s="1964">
        <f t="shared" si="41"/>
        <v>19.375567509328903</v>
      </c>
      <c r="O53" s="1796">
        <v>19.375567509328903</v>
      </c>
      <c r="P53" s="1889">
        <f t="shared" si="105"/>
        <v>8.9484205100237395E-4</v>
      </c>
      <c r="Q53" s="1791">
        <f t="shared" si="106"/>
        <v>19.375567509328903</v>
      </c>
      <c r="R53" s="1880">
        <f t="shared" si="58"/>
        <v>8.9484205100237395E-4</v>
      </c>
      <c r="S53" s="1947">
        <v>38.738840030563097</v>
      </c>
      <c r="T53" s="1942">
        <f t="shared" si="91"/>
        <v>1.5867821178629285E-3</v>
      </c>
      <c r="U53" s="1975">
        <f>W53/2</f>
        <v>19.369420015281548</v>
      </c>
      <c r="V53" s="1975">
        <f t="shared" si="28"/>
        <v>19.369420015281548</v>
      </c>
      <c r="W53" s="1796">
        <v>38.738840030563097</v>
      </c>
      <c r="X53" s="1889">
        <f t="shared" si="76"/>
        <v>1.5319852430754433E-3</v>
      </c>
      <c r="Y53" s="2830">
        <f t="shared" si="77"/>
        <v>1.5867821178629285E-3</v>
      </c>
      <c r="Z53" s="1791">
        <f t="shared" si="108"/>
        <v>0</v>
      </c>
      <c r="AA53" s="1880">
        <f t="shared" si="109"/>
        <v>-5.4796874787485256E-5</v>
      </c>
      <c r="AB53" s="1947">
        <v>45.209657882245097</v>
      </c>
      <c r="AC53" s="1942">
        <f t="shared" si="107"/>
        <v>1.6325935779679468E-3</v>
      </c>
      <c r="AD53" s="1975">
        <f>AF53/2</f>
        <v>22.604828941122548</v>
      </c>
      <c r="AE53" s="1975">
        <f t="shared" si="30"/>
        <v>22.604828941122548</v>
      </c>
      <c r="AF53" s="1796">
        <v>45.209657882245097</v>
      </c>
      <c r="AG53" s="1790">
        <f t="shared" si="92"/>
        <v>1.5670933793308596E-3</v>
      </c>
      <c r="AH53" s="2830">
        <f t="shared" si="93"/>
        <v>1.6325935779679468E-3</v>
      </c>
      <c r="AI53" s="1791">
        <f t="shared" si="110"/>
        <v>0</v>
      </c>
      <c r="AJ53" s="1880">
        <f t="shared" si="32"/>
        <v>-6.5500198637087267E-5</v>
      </c>
      <c r="AK53" s="1947">
        <v>58.126702527985572</v>
      </c>
      <c r="AL53" s="1942">
        <f t="shared" si="94"/>
        <v>1.8662439816192497E-3</v>
      </c>
      <c r="AM53" s="1975">
        <f>AO53/2</f>
        <v>29.063351263992786</v>
      </c>
      <c r="AN53" s="1975">
        <f t="shared" si="33"/>
        <v>29.063351263992786</v>
      </c>
      <c r="AO53" s="1796">
        <v>58.126702527985572</v>
      </c>
      <c r="AP53" s="1790">
        <f t="shared" si="95"/>
        <v>1.7886827055813791E-3</v>
      </c>
      <c r="AQ53" s="2830">
        <f t="shared" si="96"/>
        <v>1.8662439816192497E-3</v>
      </c>
      <c r="AR53" s="1791">
        <f t="shared" si="43"/>
        <v>0</v>
      </c>
      <c r="AS53" s="1880">
        <f t="shared" si="34"/>
        <v>-7.7561276037870592E-5</v>
      </c>
      <c r="AT53" s="1947">
        <v>71.043747534206062</v>
      </c>
      <c r="AU53" s="1942">
        <f t="shared" si="97"/>
        <v>2.034829060867297E-3</v>
      </c>
      <c r="AV53" s="1975">
        <f>AX53/2</f>
        <v>35.521873767103031</v>
      </c>
      <c r="AW53" s="1975">
        <f t="shared" si="35"/>
        <v>35.521873767103031</v>
      </c>
      <c r="AX53" s="1796">
        <v>71.043747534206062</v>
      </c>
      <c r="AY53" s="1790">
        <f t="shared" si="98"/>
        <v>1.9376545454029869E-3</v>
      </c>
      <c r="AZ53" s="2830">
        <f t="shared" si="78"/>
        <v>2.034829060867297E-3</v>
      </c>
      <c r="BA53" s="1791">
        <f t="shared" si="62"/>
        <v>0</v>
      </c>
      <c r="BB53" s="1880">
        <f t="shared" si="36"/>
        <v>-9.7174515464310126E-5</v>
      </c>
      <c r="BC53" s="1947">
        <v>83.960792540425359</v>
      </c>
      <c r="BD53" s="1942">
        <f t="shared" si="99"/>
        <v>2.1443359172680591E-3</v>
      </c>
      <c r="BE53" s="1975">
        <f>BG53/2</f>
        <v>41.98039627021268</v>
      </c>
      <c r="BF53" s="1975">
        <f t="shared" si="37"/>
        <v>41.98039627021268</v>
      </c>
      <c r="BG53" s="1796">
        <v>83.960792540425359</v>
      </c>
      <c r="BH53" s="1790">
        <f t="shared" si="100"/>
        <v>2.0358504689094773E-3</v>
      </c>
      <c r="BI53" s="2830">
        <f t="shared" si="79"/>
        <v>2.1443359172680591E-3</v>
      </c>
      <c r="BJ53" s="1791">
        <f t="shared" si="80"/>
        <v>0</v>
      </c>
      <c r="BK53" s="1880">
        <f t="shared" si="81"/>
        <v>-1.0848544835858178E-4</v>
      </c>
      <c r="BL53" s="1796"/>
      <c r="BM53" s="1790">
        <f t="shared" si="82"/>
        <v>0</v>
      </c>
    </row>
    <row r="54" spans="1:65">
      <c r="A54" s="1930" t="s">
        <v>554</v>
      </c>
      <c r="B54" s="1795"/>
      <c r="C54" s="1788"/>
      <c r="D54" s="1796"/>
      <c r="E54" s="1790"/>
      <c r="F54" s="1791"/>
      <c r="G54" s="1880"/>
      <c r="H54" s="1947">
        <v>209.16314348174251</v>
      </c>
      <c r="I54" s="1942">
        <f t="shared" si="90"/>
        <v>1.0648139804684393E-2</v>
      </c>
      <c r="J54" s="1975">
        <v>100.08708998192321</v>
      </c>
      <c r="K54" s="1975">
        <f>FISCinyear!JI894</f>
        <v>95.98483042700002</v>
      </c>
      <c r="L54" s="1964">
        <f t="shared" si="27"/>
        <v>-4.1022595549231937</v>
      </c>
      <c r="M54" s="1964">
        <v>109.0760534998193</v>
      </c>
      <c r="N54" s="1964">
        <f t="shared" si="41"/>
        <v>92.665553412999998</v>
      </c>
      <c r="O54" s="1796">
        <f>FISC!AJ1215</f>
        <v>188.65038384000002</v>
      </c>
      <c r="P54" s="1889">
        <f t="shared" si="105"/>
        <v>8.7126375171458267E-3</v>
      </c>
      <c r="Q54" s="1791">
        <f t="shared" si="106"/>
        <v>-20.512759641742491</v>
      </c>
      <c r="R54" s="1880">
        <f t="shared" si="58"/>
        <v>-1.9355022875385663E-3</v>
      </c>
      <c r="S54" s="1947">
        <v>239.04880606773975</v>
      </c>
      <c r="T54" s="1942">
        <f t="shared" si="91"/>
        <v>9.7916811774825599E-3</v>
      </c>
      <c r="U54" s="1975">
        <f>FISCinyear!JL894</f>
        <v>110.79723446799998</v>
      </c>
      <c r="V54" s="1975">
        <f t="shared" si="28"/>
        <v>128.25157159973975</v>
      </c>
      <c r="W54" s="1796">
        <f>FISC!AK1215</f>
        <v>239.04880606773975</v>
      </c>
      <c r="X54" s="1889">
        <f t="shared" si="76"/>
        <v>9.4535417937566344E-3</v>
      </c>
      <c r="Y54" s="2830">
        <f t="shared" si="77"/>
        <v>9.7916811774825599E-3</v>
      </c>
      <c r="Z54" s="1791">
        <f t="shared" si="108"/>
        <v>0</v>
      </c>
      <c r="AA54" s="1880">
        <f t="shared" si="109"/>
        <v>-3.3813938372592549E-4</v>
      </c>
      <c r="AB54" s="1947">
        <v>284.37430283163485</v>
      </c>
      <c r="AC54" s="1942">
        <f t="shared" si="107"/>
        <v>1.0269214196473008E-2</v>
      </c>
      <c r="AD54" s="1975">
        <f>FISCinyear!JO894</f>
        <v>147.87463747245013</v>
      </c>
      <c r="AE54" s="1975">
        <f t="shared" si="30"/>
        <v>136.49966535918472</v>
      </c>
      <c r="AF54" s="1796">
        <f>FISC!AL1215</f>
        <v>284.37430283163485</v>
      </c>
      <c r="AG54" s="1790">
        <f t="shared" si="92"/>
        <v>9.8572098992657422E-3</v>
      </c>
      <c r="AH54" s="2830">
        <f t="shared" si="93"/>
        <v>1.0269214196473008E-2</v>
      </c>
      <c r="AI54" s="1791">
        <f t="shared" si="110"/>
        <v>0</v>
      </c>
      <c r="AJ54" s="1880">
        <f t="shared" si="32"/>
        <v>-4.1200429720726628E-4</v>
      </c>
      <c r="AK54" s="1947">
        <v>367.92231613044987</v>
      </c>
      <c r="AL54" s="1942">
        <f t="shared" si="94"/>
        <v>1.1812691556884414E-2</v>
      </c>
      <c r="AM54" s="1975">
        <f>FISCinyear!JR894</f>
        <v>202.35727387174745</v>
      </c>
      <c r="AN54" s="1975">
        <f t="shared" si="33"/>
        <v>165.56504225870242</v>
      </c>
      <c r="AO54" s="1796">
        <f>FISC!AM1215</f>
        <v>367.92231613044987</v>
      </c>
      <c r="AP54" s="1790">
        <f t="shared" si="95"/>
        <v>1.1321754980736001E-2</v>
      </c>
      <c r="AQ54" s="2830">
        <f t="shared" si="96"/>
        <v>1.1812691556884414E-2</v>
      </c>
      <c r="AR54" s="1791">
        <f t="shared" si="43"/>
        <v>0</v>
      </c>
      <c r="AS54" s="1880">
        <f t="shared" si="34"/>
        <v>-4.9093657614841281E-4</v>
      </c>
      <c r="AT54" s="1947">
        <v>415.15837356825864</v>
      </c>
      <c r="AU54" s="1942">
        <f t="shared" si="97"/>
        <v>1.1890931330619239E-2</v>
      </c>
      <c r="AV54" s="1975">
        <f>FISCinyear!JU894</f>
        <v>228.33710546254227</v>
      </c>
      <c r="AW54" s="1975">
        <f t="shared" si="35"/>
        <v>186.82126810571637</v>
      </c>
      <c r="AX54" s="1796">
        <f>FISC!AN1215</f>
        <v>415.15837356825864</v>
      </c>
      <c r="AY54" s="1790">
        <f t="shared" si="98"/>
        <v>1.1323072578896965E-2</v>
      </c>
      <c r="AZ54" s="2830">
        <f t="shared" si="78"/>
        <v>1.1890931330619239E-2</v>
      </c>
      <c r="BA54" s="1791">
        <f t="shared" si="62"/>
        <v>0</v>
      </c>
      <c r="BB54" s="1880">
        <f t="shared" si="36"/>
        <v>-5.6785875172227392E-4</v>
      </c>
      <c r="BC54" s="1947">
        <v>504.08558313379876</v>
      </c>
      <c r="BD54" s="1942">
        <f t="shared" si="99"/>
        <v>1.2874209361117862E-2</v>
      </c>
      <c r="BE54" s="1975">
        <f>FISCinyear!JX894</f>
        <v>280.79254697926837</v>
      </c>
      <c r="BF54" s="1975">
        <f t="shared" si="37"/>
        <v>229.73935661940135</v>
      </c>
      <c r="BG54" s="1796">
        <f>FISC!AO1215</f>
        <v>510.53190359866971</v>
      </c>
      <c r="BH54" s="1790">
        <f t="shared" si="100"/>
        <v>1.237919014204358E-2</v>
      </c>
      <c r="BI54" s="2830">
        <f t="shared" si="79"/>
        <v>1.3038846641076688E-2</v>
      </c>
      <c r="BJ54" s="1791">
        <f t="shared" si="80"/>
        <v>6.4463204648709507</v>
      </c>
      <c r="BK54" s="1880">
        <f t="shared" si="81"/>
        <v>-4.9501921907428234E-4</v>
      </c>
      <c r="BL54" s="1796">
        <f>FISC!AP1215</f>
        <v>576.89491072858118</v>
      </c>
      <c r="BM54" s="1790">
        <f t="shared" si="82"/>
        <v>1.2548432970682982E-2</v>
      </c>
    </row>
    <row r="55" spans="1:65">
      <c r="A55" s="1931" t="s">
        <v>3628</v>
      </c>
      <c r="B55" s="1795"/>
      <c r="C55" s="1788"/>
      <c r="D55" s="1796"/>
      <c r="E55" s="1790"/>
      <c r="F55" s="1791"/>
      <c r="G55" s="1880"/>
      <c r="H55" s="1947">
        <v>0</v>
      </c>
      <c r="I55" s="1942">
        <f t="shared" si="90"/>
        <v>0</v>
      </c>
      <c r="J55" s="1975">
        <v>0</v>
      </c>
      <c r="K55" s="1975">
        <v>0</v>
      </c>
      <c r="L55" s="1964">
        <f t="shared" si="27"/>
        <v>0</v>
      </c>
      <c r="M55" s="1964">
        <v>0</v>
      </c>
      <c r="N55" s="1964">
        <f t="shared" si="41"/>
        <v>4.2519032123844909</v>
      </c>
      <c r="O55" s="1796">
        <v>4.2519032123844909</v>
      </c>
      <c r="P55" s="1889">
        <f t="shared" si="105"/>
        <v>1.9637008254864293E-4</v>
      </c>
      <c r="Q55" s="1791">
        <f t="shared" si="106"/>
        <v>4.2519032123844909</v>
      </c>
      <c r="R55" s="1880">
        <f t="shared" si="58"/>
        <v>1.9637008254864293E-4</v>
      </c>
      <c r="S55" s="1947">
        <v>8.5038064247680722</v>
      </c>
      <c r="T55" s="1942">
        <f t="shared" si="91"/>
        <v>3.4832452282887108E-4</v>
      </c>
      <c r="U55" s="1975">
        <f>W55/2</f>
        <v>4.2519032123840361</v>
      </c>
      <c r="V55" s="1975">
        <f t="shared" si="28"/>
        <v>4.2519032123840361</v>
      </c>
      <c r="W55" s="1796">
        <v>8.5038064247680722</v>
      </c>
      <c r="X55" s="1889">
        <f t="shared" si="76"/>
        <v>3.3629571619688648E-4</v>
      </c>
      <c r="Y55" s="2830">
        <f t="shared" si="77"/>
        <v>3.4832452282887108E-4</v>
      </c>
      <c r="Z55" s="1791">
        <f t="shared" si="108"/>
        <v>0</v>
      </c>
      <c r="AA55" s="1880">
        <f t="shared" si="109"/>
        <v>-1.2028806631984596E-5</v>
      </c>
      <c r="AB55" s="1947">
        <v>9.9211074955633194</v>
      </c>
      <c r="AC55" s="1942">
        <f t="shared" si="107"/>
        <v>3.5826717436734544E-4</v>
      </c>
      <c r="AD55" s="1975">
        <f>AF55/2</f>
        <v>4.9605537477816597</v>
      </c>
      <c r="AE55" s="1975">
        <f t="shared" si="30"/>
        <v>4.9605537477816597</v>
      </c>
      <c r="AF55" s="1796">
        <v>9.9211074955633194</v>
      </c>
      <c r="AG55" s="1790">
        <f t="shared" si="92"/>
        <v>3.4389337588933264E-4</v>
      </c>
      <c r="AH55" s="2830">
        <f t="shared" si="93"/>
        <v>3.5826717436734544E-4</v>
      </c>
      <c r="AI55" s="1791">
        <f t="shared" si="110"/>
        <v>0</v>
      </c>
      <c r="AJ55" s="1880">
        <f t="shared" si="32"/>
        <v>-1.43737984780128E-5</v>
      </c>
      <c r="AK55" s="1947">
        <v>12.812261197291264</v>
      </c>
      <c r="AL55" s="1942">
        <f t="shared" si="94"/>
        <v>4.1135664523317167E-4</v>
      </c>
      <c r="AM55" s="1975">
        <f>AO55/2</f>
        <v>6.4061305986456318</v>
      </c>
      <c r="AN55" s="1975">
        <f t="shared" si="33"/>
        <v>6.4061305986456318</v>
      </c>
      <c r="AO55" s="1796">
        <v>12.812261197291264</v>
      </c>
      <c r="AP55" s="1790">
        <f t="shared" si="95"/>
        <v>3.9426062422778324E-4</v>
      </c>
      <c r="AQ55" s="2830">
        <f t="shared" si="96"/>
        <v>4.1135664523317167E-4</v>
      </c>
      <c r="AR55" s="1791">
        <f t="shared" si="43"/>
        <v>0</v>
      </c>
      <c r="AS55" s="1880">
        <f t="shared" si="34"/>
        <v>-1.7096021005388428E-5</v>
      </c>
      <c r="AT55" s="1947">
        <v>15.590311778741469</v>
      </c>
      <c r="AU55" s="1942">
        <f t="shared" si="97"/>
        <v>4.4653640294088669E-4</v>
      </c>
      <c r="AV55" s="1975">
        <f>AX55/2</f>
        <v>7.7951558893707347</v>
      </c>
      <c r="AW55" s="1975">
        <f t="shared" si="35"/>
        <v>7.7951558893707347</v>
      </c>
      <c r="AX55" s="1796">
        <v>15.590311778741469</v>
      </c>
      <c r="AY55" s="1790">
        <f t="shared" si="98"/>
        <v>4.2521178190639948E-4</v>
      </c>
      <c r="AZ55" s="2830">
        <f t="shared" si="78"/>
        <v>4.4653640294088669E-4</v>
      </c>
      <c r="BA55" s="1791">
        <f t="shared" si="62"/>
        <v>0</v>
      </c>
      <c r="BB55" s="1880">
        <f t="shared" si="36"/>
        <v>-2.1324621034487211E-5</v>
      </c>
      <c r="BC55" s="1947">
        <v>18.424913920330827</v>
      </c>
      <c r="BD55" s="1942">
        <f t="shared" si="99"/>
        <v>4.7056731477272305E-4</v>
      </c>
      <c r="BE55" s="1975">
        <f>BG55/2</f>
        <v>9.2124569601654134</v>
      </c>
      <c r="BF55" s="1975">
        <f t="shared" si="37"/>
        <v>9.2124569601654134</v>
      </c>
      <c r="BG55" s="1796">
        <v>18.424913920330827</v>
      </c>
      <c r="BH55" s="1790">
        <f t="shared" si="100"/>
        <v>4.4676054750509664E-4</v>
      </c>
      <c r="BI55" s="2830">
        <f t="shared" si="79"/>
        <v>4.7056731477272305E-4</v>
      </c>
      <c r="BJ55" s="1791">
        <f t="shared" si="80"/>
        <v>0</v>
      </c>
      <c r="BK55" s="1880">
        <f t="shared" si="81"/>
        <v>-2.3806767267626409E-5</v>
      </c>
      <c r="BL55" s="1796"/>
      <c r="BM55" s="1790">
        <f t="shared" si="82"/>
        <v>0</v>
      </c>
    </row>
    <row r="56" spans="1:65">
      <c r="A56" s="1787" t="s">
        <v>533</v>
      </c>
      <c r="B56" s="1795">
        <v>49.610660862409667</v>
      </c>
      <c r="C56" s="1788">
        <f t="shared" ref="C56:C67" si="111">B56/$B$111</f>
        <v>2.8729195853892009E-3</v>
      </c>
      <c r="D56" s="1796">
        <f>FISC!AI1222</f>
        <v>48.931605560999998</v>
      </c>
      <c r="E56" s="1790">
        <f t="shared" ref="E56:E67" si="112">D56/$D$111</f>
        <v>2.6381779517994338E-3</v>
      </c>
      <c r="F56" s="1791">
        <f t="shared" si="42"/>
        <v>-0.67905530140966874</v>
      </c>
      <c r="G56" s="1880">
        <f t="shared" si="26"/>
        <v>-2.3474163358976714E-4</v>
      </c>
      <c r="H56" s="1947">
        <v>66.27357396158753</v>
      </c>
      <c r="I56" s="1942">
        <f t="shared" si="90"/>
        <v>3.3738749052634786E-3</v>
      </c>
      <c r="J56" s="1975">
        <v>33.136786980793765</v>
      </c>
      <c r="K56" s="1975">
        <f>FISCinyear!JI901</f>
        <v>32.385070469999995</v>
      </c>
      <c r="L56" s="1964">
        <f t="shared" si="27"/>
        <v>-0.75171651079377</v>
      </c>
      <c r="M56" s="1964">
        <v>33.136786980793765</v>
      </c>
      <c r="N56" s="1964">
        <f t="shared" si="41"/>
        <v>34.484241337000007</v>
      </c>
      <c r="O56" s="1796">
        <f>FISC!AJ1222</f>
        <v>66.869311807000003</v>
      </c>
      <c r="P56" s="1889">
        <f t="shared" si="105"/>
        <v>3.0882951994919755E-3</v>
      </c>
      <c r="Q56" s="1791">
        <f t="shared" si="106"/>
        <v>0.59573784541247221</v>
      </c>
      <c r="R56" s="1880">
        <f t="shared" si="58"/>
        <v>-2.8557970577150309E-4</v>
      </c>
      <c r="S56" s="1947">
        <v>80.7406218208654</v>
      </c>
      <c r="T56" s="1942">
        <f t="shared" si="91"/>
        <v>3.3072176345343273E-3</v>
      </c>
      <c r="U56" s="1975">
        <f>FISCinyear!JL901</f>
        <v>37.698513517999999</v>
      </c>
      <c r="V56" s="1975">
        <f t="shared" si="28"/>
        <v>45.930082429365385</v>
      </c>
      <c r="W56" s="1796">
        <f>FISC!AK1222</f>
        <v>83.628595947365383</v>
      </c>
      <c r="X56" s="1889">
        <f t="shared" si="76"/>
        <v>3.3072176345343273E-3</v>
      </c>
      <c r="Y56" s="2830">
        <f t="shared" si="77"/>
        <v>3.4255119793615224E-3</v>
      </c>
      <c r="Z56" s="1791">
        <f t="shared" si="29"/>
        <v>2.8879741264999836</v>
      </c>
      <c r="AA56" s="1880">
        <f t="shared" si="38"/>
        <v>0</v>
      </c>
      <c r="AB56" s="1947">
        <v>83.07577309935867</v>
      </c>
      <c r="AC56" s="1942">
        <f t="shared" si="107"/>
        <v>3.0000000000000001E-3</v>
      </c>
      <c r="AD56" s="1975">
        <f>FISCinyear!JO901</f>
        <v>43.27405610782688</v>
      </c>
      <c r="AE56" s="1975">
        <f t="shared" si="30"/>
        <v>43.27405610782688</v>
      </c>
      <c r="AF56" s="1796">
        <f>FISC!AL1222</f>
        <v>86.548112215653759</v>
      </c>
      <c r="AG56" s="1790">
        <f t="shared" si="92"/>
        <v>3.0000000000000001E-3</v>
      </c>
      <c r="AH56" s="2830">
        <f t="shared" si="93"/>
        <v>3.1253917593571652E-3</v>
      </c>
      <c r="AI56" s="1791">
        <f t="shared" si="31"/>
        <v>3.472339116295089</v>
      </c>
      <c r="AJ56" s="1880">
        <f t="shared" si="32"/>
        <v>0</v>
      </c>
      <c r="AK56" s="1947">
        <v>93.439072973007271</v>
      </c>
      <c r="AL56" s="1942">
        <f t="shared" si="94"/>
        <v>3.0000000000000001E-3</v>
      </c>
      <c r="AM56" s="1975">
        <f>FISCinyear!JR901</f>
        <v>48.74539990793884</v>
      </c>
      <c r="AN56" s="1975">
        <f t="shared" si="33"/>
        <v>48.74539990793884</v>
      </c>
      <c r="AO56" s="1796">
        <f>FISC!AM1222</f>
        <v>97.490799815877679</v>
      </c>
      <c r="AP56" s="1790">
        <f t="shared" si="95"/>
        <v>3.0000000000000001E-3</v>
      </c>
      <c r="AQ56" s="2830">
        <f t="shared" si="96"/>
        <v>3.1300866986568093E-3</v>
      </c>
      <c r="AR56" s="1791">
        <f t="shared" si="43"/>
        <v>4.0517268428704085</v>
      </c>
      <c r="AS56" s="1880">
        <f t="shared" si="34"/>
        <v>0</v>
      </c>
      <c r="AT56" s="1947">
        <v>104.74159559711426</v>
      </c>
      <c r="AU56" s="1942">
        <f t="shared" si="97"/>
        <v>3.0000000000000001E-3</v>
      </c>
      <c r="AV56" s="1975">
        <f>FISCinyear!JU901</f>
        <v>54.997224120332525</v>
      </c>
      <c r="AW56" s="1975">
        <f t="shared" si="35"/>
        <v>54.997224120332525</v>
      </c>
      <c r="AX56" s="1796">
        <f>FISC!AN1222</f>
        <v>109.99444824066505</v>
      </c>
      <c r="AY56" s="1790">
        <f t="shared" si="98"/>
        <v>3.0000000000000001E-3</v>
      </c>
      <c r="AZ56" s="2830">
        <f t="shared" si="78"/>
        <v>3.1504517650396248E-3</v>
      </c>
      <c r="BA56" s="1791">
        <f t="shared" si="62"/>
        <v>5.2528526435507956</v>
      </c>
      <c r="BB56" s="1880">
        <f t="shared" si="36"/>
        <v>0</v>
      </c>
      <c r="BC56" s="1947">
        <v>117.46404823651926</v>
      </c>
      <c r="BD56" s="1942">
        <f t="shared" si="99"/>
        <v>3.0000000000000001E-3</v>
      </c>
      <c r="BE56" s="1975">
        <f>FISCinyear!JX901</f>
        <v>68.047879648994865</v>
      </c>
      <c r="BF56" s="1975">
        <f t="shared" si="37"/>
        <v>55.675537894632143</v>
      </c>
      <c r="BG56" s="1796">
        <f>FISC!AO1222</f>
        <v>123.72341754362701</v>
      </c>
      <c r="BH56" s="1790">
        <f t="shared" si="100"/>
        <v>3.0000000000000001E-3</v>
      </c>
      <c r="BI56" s="2830">
        <f t="shared" si="79"/>
        <v>3.1598625979883878E-3</v>
      </c>
      <c r="BJ56" s="1791">
        <f t="shared" si="80"/>
        <v>6.2593693071077467</v>
      </c>
      <c r="BK56" s="1880">
        <f t="shared" si="81"/>
        <v>0</v>
      </c>
      <c r="BL56" s="1796">
        <f>FISC!AP1222</f>
        <v>137.92038704985382</v>
      </c>
      <c r="BM56" s="1790">
        <f t="shared" si="82"/>
        <v>3.0000000000000005E-3</v>
      </c>
    </row>
    <row r="57" spans="1:65">
      <c r="A57" s="1787" t="s">
        <v>534</v>
      </c>
      <c r="B57" s="1836">
        <v>138.69863980388931</v>
      </c>
      <c r="C57" s="1830">
        <f t="shared" si="111"/>
        <v>8.0319437764506622E-3</v>
      </c>
      <c r="D57" s="1834">
        <f>FISC!AI1224</f>
        <v>139.12123366500001</v>
      </c>
      <c r="E57" s="1832">
        <f t="shared" si="112"/>
        <v>7.5008078536190868E-3</v>
      </c>
      <c r="F57" s="1819">
        <f t="shared" si="42"/>
        <v>0.4225938611106983</v>
      </c>
      <c r="G57" s="1884">
        <f t="shared" si="26"/>
        <v>-5.3113592283157533E-4</v>
      </c>
      <c r="H57" s="1956">
        <v>144.29711569243307</v>
      </c>
      <c r="I57" s="1955">
        <f t="shared" si="90"/>
        <v>7.3459206805230656E-3</v>
      </c>
      <c r="J57" s="1979">
        <v>72.148557846216534</v>
      </c>
      <c r="K57" s="1979">
        <f>FISCinyear!JI903</f>
        <v>72.762132226000006</v>
      </c>
      <c r="L57" s="1964">
        <f t="shared" si="27"/>
        <v>0.61357437978347207</v>
      </c>
      <c r="M57" s="1964">
        <v>72.148557846216534</v>
      </c>
      <c r="N57" s="1964">
        <f t="shared" si="41"/>
        <v>72.231170015000004</v>
      </c>
      <c r="O57" s="1834">
        <f>FISC!AJ1224</f>
        <v>144.99330224100001</v>
      </c>
      <c r="P57" s="1893">
        <f t="shared" si="105"/>
        <v>6.6963769652926917E-3</v>
      </c>
      <c r="Q57" s="1791">
        <f t="shared" si="106"/>
        <v>0.69618654856694207</v>
      </c>
      <c r="R57" s="1880">
        <f t="shared" si="58"/>
        <v>-6.4954371523037388E-4</v>
      </c>
      <c r="S57" s="1956">
        <v>152.98324848558599</v>
      </c>
      <c r="T57" s="1955">
        <f t="shared" si="91"/>
        <v>6.266348781687572E-3</v>
      </c>
      <c r="U57" s="1979">
        <f>FISCinyear!JL903</f>
        <v>76.845571477999982</v>
      </c>
      <c r="V57" s="1979">
        <f t="shared" si="28"/>
        <v>76.137677007586007</v>
      </c>
      <c r="W57" s="1834">
        <f>FISC!AK1224</f>
        <v>152.98324848558599</v>
      </c>
      <c r="X57" s="1893">
        <f t="shared" si="76"/>
        <v>6.0499508744390942E-3</v>
      </c>
      <c r="Y57" s="2834">
        <f t="shared" si="77"/>
        <v>6.266348781687572E-3</v>
      </c>
      <c r="Z57" s="1819">
        <f t="shared" si="29"/>
        <v>0</v>
      </c>
      <c r="AA57" s="1884">
        <f t="shared" si="38"/>
        <v>-2.1639790724847785E-4</v>
      </c>
      <c r="AB57" s="1956">
        <v>168.65948497698193</v>
      </c>
      <c r="AC57" s="1955">
        <f t="shared" si="107"/>
        <v>6.0905657095215379E-3</v>
      </c>
      <c r="AD57" s="1979">
        <f>FISCinyear!JO903</f>
        <v>84.329742488490965</v>
      </c>
      <c r="AE57" s="1979">
        <f t="shared" si="30"/>
        <v>84.329742488490965</v>
      </c>
      <c r="AF57" s="1834">
        <f>FISC!AL1224</f>
        <v>168.65948497698193</v>
      </c>
      <c r="AG57" s="1832">
        <f t="shared" si="92"/>
        <v>5.846210182726904E-3</v>
      </c>
      <c r="AH57" s="2834">
        <f t="shared" si="93"/>
        <v>6.0905657095215379E-3</v>
      </c>
      <c r="AI57" s="1819">
        <f t="shared" si="31"/>
        <v>0</v>
      </c>
      <c r="AJ57" s="1884">
        <f t="shared" si="32"/>
        <v>-2.4435552679463388E-4</v>
      </c>
      <c r="AK57" s="1956">
        <v>189.89689710093501</v>
      </c>
      <c r="AL57" s="1955">
        <f t="shared" si="94"/>
        <v>6.0969214823800482E-3</v>
      </c>
      <c r="AM57" s="1979">
        <f>FISCinyear!JR903</f>
        <v>104.44329340551427</v>
      </c>
      <c r="AN57" s="1979">
        <f t="shared" si="33"/>
        <v>85.453603695420739</v>
      </c>
      <c r="AO57" s="1834">
        <f>FISC!AM1224</f>
        <v>189.89689710093501</v>
      </c>
      <c r="AP57" s="1832">
        <f t="shared" si="95"/>
        <v>5.8435328500610296E-3</v>
      </c>
      <c r="AQ57" s="2834">
        <f t="shared" si="96"/>
        <v>6.0969214823800482E-3</v>
      </c>
      <c r="AR57" s="1819">
        <f t="shared" si="43"/>
        <v>0</v>
      </c>
      <c r="AS57" s="1884">
        <f t="shared" si="34"/>
        <v>-2.5338863231901855E-4</v>
      </c>
      <c r="AT57" s="1956">
        <v>213.82390613565281</v>
      </c>
      <c r="AU57" s="1955">
        <f t="shared" si="97"/>
        <v>6.1243263934450867E-3</v>
      </c>
      <c r="AV57" s="1979">
        <f>FISCinyear!JU903</f>
        <v>117.60314837460905</v>
      </c>
      <c r="AW57" s="1979">
        <f t="shared" si="35"/>
        <v>96.220757761043757</v>
      </c>
      <c r="AX57" s="1834">
        <f>FISC!AN1224</f>
        <v>213.82390613565281</v>
      </c>
      <c r="AY57" s="1832">
        <f t="shared" si="98"/>
        <v>5.831855413315358E-3</v>
      </c>
      <c r="AZ57" s="2834">
        <f t="shared" si="78"/>
        <v>6.1243263934450867E-3</v>
      </c>
      <c r="BA57" s="1819">
        <f t="shared" si="62"/>
        <v>0</v>
      </c>
      <c r="BB57" s="1884">
        <f t="shared" si="36"/>
        <v>-2.9247098012972865E-4</v>
      </c>
      <c r="BC57" s="1956">
        <v>240.76571830874502</v>
      </c>
      <c r="BD57" s="1955">
        <f t="shared" si="99"/>
        <v>6.1490912817158874E-3</v>
      </c>
      <c r="BE57" s="1979">
        <f>FISCinyear!JX903</f>
        <v>133.48635907745705</v>
      </c>
      <c r="BF57" s="1979">
        <f t="shared" si="37"/>
        <v>109.21611197246483</v>
      </c>
      <c r="BG57" s="1834">
        <f>FISC!AO1224</f>
        <v>242.70247104992188</v>
      </c>
      <c r="BH57" s="1832">
        <f t="shared" si="100"/>
        <v>5.8849604028519704E-3</v>
      </c>
      <c r="BI57" s="2834">
        <f t="shared" si="79"/>
        <v>6.1985554225382046E-3</v>
      </c>
      <c r="BJ57" s="1819">
        <f t="shared" si="80"/>
        <v>1.9367527411768606</v>
      </c>
      <c r="BK57" s="1884">
        <f t="shared" si="81"/>
        <v>-2.6413087886391698E-4</v>
      </c>
      <c r="BL57" s="1834">
        <f>FISC!AP1224</f>
        <v>279.07648772325837</v>
      </c>
      <c r="BM57" s="1832">
        <f t="shared" si="82"/>
        <v>6.0703822043882711E-3</v>
      </c>
    </row>
    <row r="58" spans="1:65">
      <c r="A58" s="1803" t="s">
        <v>558</v>
      </c>
      <c r="B58" s="1837"/>
      <c r="C58" s="1805">
        <f t="shared" si="111"/>
        <v>0</v>
      </c>
      <c r="D58" s="1806"/>
      <c r="E58" s="1807">
        <f t="shared" si="112"/>
        <v>0</v>
      </c>
      <c r="F58" s="1838"/>
      <c r="G58" s="1886">
        <f t="shared" si="26"/>
        <v>0</v>
      </c>
      <c r="H58" s="1957"/>
      <c r="I58" s="1946"/>
      <c r="J58" s="1974"/>
      <c r="K58" s="1974"/>
      <c r="L58" s="1968"/>
      <c r="M58" s="1968"/>
      <c r="N58" s="1968">
        <f t="shared" si="41"/>
        <v>0</v>
      </c>
      <c r="O58" s="1806"/>
      <c r="P58" s="1891"/>
      <c r="Q58" s="1838"/>
      <c r="R58" s="1886"/>
      <c r="S58" s="1957"/>
      <c r="T58" s="1946"/>
      <c r="U58" s="1974"/>
      <c r="V58" s="1974"/>
      <c r="W58" s="1806"/>
      <c r="X58" s="1891"/>
      <c r="Y58" s="2831"/>
      <c r="Z58" s="1838"/>
      <c r="AA58" s="1886"/>
      <c r="AB58" s="1957"/>
      <c r="AC58" s="1946"/>
      <c r="AD58" s="1974"/>
      <c r="AE58" s="1974"/>
      <c r="AF58" s="1806"/>
      <c r="AG58" s="1807"/>
      <c r="AH58" s="2831"/>
      <c r="AI58" s="1838"/>
      <c r="AJ58" s="1886"/>
      <c r="AK58" s="1957"/>
      <c r="AL58" s="1946"/>
      <c r="AM58" s="1974"/>
      <c r="AN58" s="1974">
        <f t="shared" si="33"/>
        <v>0</v>
      </c>
      <c r="AO58" s="1806"/>
      <c r="AP58" s="1807"/>
      <c r="AQ58" s="2831">
        <f t="shared" si="96"/>
        <v>0</v>
      </c>
      <c r="AR58" s="1838"/>
      <c r="AS58" s="1886"/>
      <c r="AT58" s="1957"/>
      <c r="AU58" s="1946"/>
      <c r="AV58" s="1974"/>
      <c r="AW58" s="1974">
        <f t="shared" si="35"/>
        <v>0</v>
      </c>
      <c r="AX58" s="1806"/>
      <c r="AY58" s="1807"/>
      <c r="AZ58" s="2831"/>
      <c r="BA58" s="1838"/>
      <c r="BB58" s="1886"/>
      <c r="BC58" s="1957"/>
      <c r="BD58" s="1946"/>
      <c r="BE58" s="1974"/>
      <c r="BF58" s="1974">
        <f t="shared" si="37"/>
        <v>0</v>
      </c>
      <c r="BG58" s="1806"/>
      <c r="BH58" s="1807"/>
      <c r="BI58" s="2831">
        <f t="shared" si="79"/>
        <v>0</v>
      </c>
      <c r="BJ58" s="1838"/>
      <c r="BK58" s="1886"/>
      <c r="BL58" s="1806"/>
      <c r="BM58" s="1807">
        <f t="shared" si="82"/>
        <v>0</v>
      </c>
    </row>
    <row r="59" spans="1:65">
      <c r="A59" s="1794" t="s">
        <v>559</v>
      </c>
      <c r="B59" s="1795">
        <f>B4-B24</f>
        <v>630.76136631313739</v>
      </c>
      <c r="C59" s="1788">
        <f t="shared" si="111"/>
        <v>3.6526961170979387E-2</v>
      </c>
      <c r="D59" s="1796">
        <f>D4-D24</f>
        <v>638.18640389805569</v>
      </c>
      <c r="E59" s="1790">
        <f t="shared" si="112"/>
        <v>3.4408216950966741E-2</v>
      </c>
      <c r="F59" s="1791">
        <f t="shared" ref="F59:F64" si="113">D59-B59</f>
        <v>7.4250375849183001</v>
      </c>
      <c r="G59" s="1880">
        <f t="shared" si="26"/>
        <v>-2.1187442200126458E-3</v>
      </c>
      <c r="H59" s="1947">
        <f>H4-H24</f>
        <v>752.13450729646775</v>
      </c>
      <c r="I59" s="1942">
        <f t="shared" ref="I59:I64" si="114">H59/$H$111</f>
        <v>3.8289888229372876E-2</v>
      </c>
      <c r="J59" s="1975">
        <f>J4-J24</f>
        <v>342.69296077148192</v>
      </c>
      <c r="K59" s="1975">
        <f>K4-K24</f>
        <v>425.71435772740915</v>
      </c>
      <c r="L59" s="1964">
        <f t="shared" si="27"/>
        <v>83.02139695592723</v>
      </c>
      <c r="M59" s="1964">
        <f>M4-M24</f>
        <v>409.44154652498582</v>
      </c>
      <c r="N59" s="1964">
        <f t="shared" si="41"/>
        <v>331.50367085474863</v>
      </c>
      <c r="O59" s="1796">
        <f>O4-O24</f>
        <v>757.21802858215779</v>
      </c>
      <c r="P59" s="1889">
        <f t="shared" ref="P59:P64" si="115">O59/$O$111</f>
        <v>3.4971390305145261E-2</v>
      </c>
      <c r="Q59" s="1791">
        <f t="shared" ref="Q59:Q64" si="116">O59-H59</f>
        <v>5.0835212856900398</v>
      </c>
      <c r="R59" s="1880">
        <f t="shared" si="58"/>
        <v>-3.3184979242276147E-3</v>
      </c>
      <c r="S59" s="1947">
        <v>1099.0241140133203</v>
      </c>
      <c r="T59" s="1942">
        <f t="shared" ref="T59:T64" si="117">S59/$S$111</f>
        <v>4.5017140674336709E-2</v>
      </c>
      <c r="U59" s="1975">
        <f>U4-U24</f>
        <v>509.78254910678675</v>
      </c>
      <c r="V59" s="1975">
        <f t="shared" si="28"/>
        <v>603.39779608429239</v>
      </c>
      <c r="W59" s="1796">
        <f>W4-W24</f>
        <v>1113.1803451910791</v>
      </c>
      <c r="X59" s="1889">
        <f t="shared" ref="X59:X64" si="118">W59/$W$111</f>
        <v>4.402237806730664E-2</v>
      </c>
      <c r="Y59" s="2830">
        <f t="shared" ref="Y59:Y64" si="119">W59/$S$111</f>
        <v>4.5596994239169297E-2</v>
      </c>
      <c r="Z59" s="1791">
        <f t="shared" si="29"/>
        <v>14.156231177758855</v>
      </c>
      <c r="AA59" s="1880">
        <f t="shared" si="38"/>
        <v>-9.947626070300683E-4</v>
      </c>
      <c r="AB59" s="1947">
        <v>1362.8786786215151</v>
      </c>
      <c r="AC59" s="1942">
        <f t="shared" ref="AC59:AC64" si="120">AB59/$AB$111</f>
        <v>4.921574465487711E-2</v>
      </c>
      <c r="AD59" s="1975">
        <f>AD4-AD24</f>
        <v>308.88268236733575</v>
      </c>
      <c r="AE59" s="1975">
        <f t="shared" si="30"/>
        <v>900.47740981867491</v>
      </c>
      <c r="AF59" s="1796">
        <f>AF4-AF24</f>
        <v>1209.3600921860107</v>
      </c>
      <c r="AG59" s="1790">
        <f t="shared" ref="AG59:AG64" si="121">AF59/$AF$111</f>
        <v>4.1919808343339339E-2</v>
      </c>
      <c r="AH59" s="2830">
        <f t="shared" ref="AH59:AH64" si="122">AF59/$AB$111</f>
        <v>4.3671941183368174E-2</v>
      </c>
      <c r="AI59" s="1791">
        <f t="shared" si="31"/>
        <v>-153.5185864355044</v>
      </c>
      <c r="AJ59" s="1880">
        <f t="shared" si="32"/>
        <v>-7.2959363115377707E-3</v>
      </c>
      <c r="AK59" s="1947">
        <v>1647.6370259551531</v>
      </c>
      <c r="AL59" s="1942">
        <f t="shared" ref="AL59:AL64" si="123">AK59/$AK$111</f>
        <v>5.2899830023927681E-2</v>
      </c>
      <c r="AM59" s="1975">
        <f>AM4-AM24</f>
        <v>472.59725073863592</v>
      </c>
      <c r="AN59" s="1975">
        <f t="shared" si="33"/>
        <v>1026.0817007480273</v>
      </c>
      <c r="AO59" s="1796">
        <f>AO4-AO24</f>
        <v>1498.6789514866632</v>
      </c>
      <c r="AP59" s="1790">
        <f t="shared" ref="AP59:AP64" si="124">AO59/$AO$111</f>
        <v>4.6117550199108633E-2</v>
      </c>
      <c r="AQ59" s="2830">
        <f t="shared" si="96"/>
        <v>4.8117310150955876E-2</v>
      </c>
      <c r="AR59" s="1791">
        <f t="shared" ref="AR59:AR63" si="125">AO59-AK59</f>
        <v>-148.95807446848994</v>
      </c>
      <c r="AS59" s="1880">
        <f t="shared" si="34"/>
        <v>-6.7822798248190486E-3</v>
      </c>
      <c r="AT59" s="1947">
        <v>1947.1879274006087</v>
      </c>
      <c r="AU59" s="1942">
        <f t="shared" ref="AU59:AU64" si="126">AT59/$AT$111</f>
        <v>5.5771193372604763E-2</v>
      </c>
      <c r="AV59" s="1975">
        <f>AV4-AV24</f>
        <v>664.95935695006938</v>
      </c>
      <c r="AW59" s="1975">
        <f t="shared" si="35"/>
        <v>1213.2110251220029</v>
      </c>
      <c r="AX59" s="1796">
        <f>AX4-AX24</f>
        <v>1878.1703820720722</v>
      </c>
      <c r="AY59" s="1790">
        <f t="shared" ref="AY59:AY64" si="127">AX59/$AX$111</f>
        <v>5.1225413976240419E-2</v>
      </c>
      <c r="AZ59" s="2830">
        <f t="shared" ref="AZ59:AZ64" si="128">AX59/$AT$111</f>
        <v>5.3794398625444023E-2</v>
      </c>
      <c r="BA59" s="1791">
        <f t="shared" ref="BA59:BA64" si="129">AX59-AT59</f>
        <v>-69.017545328536471</v>
      </c>
      <c r="BB59" s="1880">
        <f t="shared" si="36"/>
        <v>-4.5457793963643439E-3</v>
      </c>
      <c r="BC59" s="1947">
        <v>2191.9353149796543</v>
      </c>
      <c r="BD59" s="1942">
        <f t="shared" ref="BD59:BD64" si="130">BC59/$BC$111</f>
        <v>5.5981434691389789E-2</v>
      </c>
      <c r="BE59" s="1975">
        <f>BE4-BE24</f>
        <v>679.67125658985924</v>
      </c>
      <c r="BF59" s="1975">
        <f t="shared" si="37"/>
        <v>1382.3926982727994</v>
      </c>
      <c r="BG59" s="1796">
        <f>BG4-BG24</f>
        <v>2062.0639548626586</v>
      </c>
      <c r="BH59" s="1790">
        <f t="shared" ref="BH59:BH64" si="131">BG59/$BG$111</f>
        <v>5.0000169631643249E-2</v>
      </c>
      <c r="BI59" s="2830">
        <f t="shared" si="79"/>
        <v>5.2664555304034764E-2</v>
      </c>
      <c r="BJ59" s="1791">
        <f t="shared" ref="BJ59:BJ64" si="132">BG59-BC59</f>
        <v>-129.87136011699567</v>
      </c>
      <c r="BK59" s="1880">
        <f t="shared" ref="BK59:BK110" si="133">BH59-BD59</f>
        <v>-5.9812650597465405E-3</v>
      </c>
      <c r="BL59" s="1796">
        <f>BL4-BL24</f>
        <v>2251.0605145086083</v>
      </c>
      <c r="BM59" s="1790">
        <f t="shared" si="82"/>
        <v>4.8964345938826044E-2</v>
      </c>
    </row>
    <row r="60" spans="1:65">
      <c r="A60" s="1797" t="s">
        <v>560</v>
      </c>
      <c r="B60" s="1816">
        <f>B59-B10</f>
        <v>-135.28158506478894</v>
      </c>
      <c r="C60" s="1799">
        <f t="shared" si="111"/>
        <v>-7.8340644635438109E-3</v>
      </c>
      <c r="D60" s="1817">
        <f>D59-D10</f>
        <v>-119.60500563357641</v>
      </c>
      <c r="E60" s="1801">
        <f t="shared" si="112"/>
        <v>-6.4485782792061686E-3</v>
      </c>
      <c r="F60" s="1802">
        <f t="shared" si="113"/>
        <v>15.676579431212531</v>
      </c>
      <c r="G60" s="1881">
        <f t="shared" si="26"/>
        <v>1.3854861843376424E-3</v>
      </c>
      <c r="H60" s="1948">
        <f>H5-H25</f>
        <v>2467.7555537575881</v>
      </c>
      <c r="I60" s="1949">
        <f t="shared" si="114"/>
        <v>0.12562923707680282</v>
      </c>
      <c r="J60" s="1976">
        <f>J5-J25</f>
        <v>1164.2964358458355</v>
      </c>
      <c r="K60" s="1976">
        <f>K5-K25</f>
        <v>1197.7260140235064</v>
      </c>
      <c r="L60" s="1966">
        <f t="shared" si="27"/>
        <v>33.429578177670919</v>
      </c>
      <c r="M60" s="1966">
        <f>M5-M25</f>
        <v>1303.4591179117524</v>
      </c>
      <c r="N60" s="1966">
        <f t="shared" si="41"/>
        <v>-1055.1004571504272</v>
      </c>
      <c r="O60" s="1817">
        <f>O59-O10</f>
        <v>142.62555687307918</v>
      </c>
      <c r="P60" s="1890">
        <f t="shared" si="115"/>
        <v>6.5870249104297042E-3</v>
      </c>
      <c r="Q60" s="1802">
        <f t="shared" si="116"/>
        <v>-2325.1299968845087</v>
      </c>
      <c r="R60" s="1881">
        <f t="shared" si="58"/>
        <v>-0.11904221216637312</v>
      </c>
      <c r="S60" s="1948">
        <v>449.41638977151797</v>
      </c>
      <c r="T60" s="1949">
        <f t="shared" si="117"/>
        <v>1.8408550441916648E-2</v>
      </c>
      <c r="U60" s="1976">
        <f>U59-U10</f>
        <v>189.6893531120561</v>
      </c>
      <c r="V60" s="1976">
        <f t="shared" si="28"/>
        <v>255.2147617833607</v>
      </c>
      <c r="W60" s="1817">
        <f>W59-W10</f>
        <v>444.9041148954168</v>
      </c>
      <c r="X60" s="1890">
        <f t="shared" si="118"/>
        <v>1.7594397200989518E-2</v>
      </c>
      <c r="Y60" s="2832">
        <f t="shared" si="119"/>
        <v>1.8223723093482091E-2</v>
      </c>
      <c r="Z60" s="1802">
        <f t="shared" si="29"/>
        <v>-4.5122748761011735</v>
      </c>
      <c r="AA60" s="1881">
        <f t="shared" si="38"/>
        <v>-8.1415324092713043E-4</v>
      </c>
      <c r="AB60" s="1948">
        <v>747.13598075690004</v>
      </c>
      <c r="AC60" s="1949">
        <f t="shared" si="120"/>
        <v>2.6980283886013014E-2</v>
      </c>
      <c r="AD60" s="1976">
        <f>AD59-AD10</f>
        <v>38.590856375473663</v>
      </c>
      <c r="AE60" s="1976">
        <f t="shared" si="30"/>
        <v>626.78809136016673</v>
      </c>
      <c r="AF60" s="1817">
        <f>AF59-AF10</f>
        <v>665.37894773564039</v>
      </c>
      <c r="AG60" s="1801">
        <f t="shared" si="121"/>
        <v>2.3063898126779527E-2</v>
      </c>
      <c r="AH60" s="2832">
        <f t="shared" si="122"/>
        <v>2.4027905714696634E-2</v>
      </c>
      <c r="AI60" s="1802">
        <f t="shared" si="31"/>
        <v>-81.757033021259645</v>
      </c>
      <c r="AJ60" s="1881">
        <f t="shared" si="32"/>
        <v>-3.9163857592334865E-3</v>
      </c>
      <c r="AK60" s="1948">
        <v>939.09424859447347</v>
      </c>
      <c r="AL60" s="1949">
        <f t="shared" si="123"/>
        <v>3.0151013448060197E-2</v>
      </c>
      <c r="AM60" s="1976">
        <f>AM59-AM10</f>
        <v>178.77521468616033</v>
      </c>
      <c r="AN60" s="1976">
        <f t="shared" si="33"/>
        <v>714.72136192688913</v>
      </c>
      <c r="AO60" s="1817">
        <f>AO59-AO10</f>
        <v>893.49657661304946</v>
      </c>
      <c r="AP60" s="1801">
        <f t="shared" si="124"/>
        <v>2.7494796790072027E-2</v>
      </c>
      <c r="AQ60" s="2832">
        <f t="shared" si="96"/>
        <v>2.8687032571625467E-2</v>
      </c>
      <c r="AR60" s="1802">
        <f t="shared" si="125"/>
        <v>-45.597671981424014</v>
      </c>
      <c r="AS60" s="1881">
        <f t="shared" si="34"/>
        <v>-2.6562166579881703E-3</v>
      </c>
      <c r="AT60" s="1948">
        <v>1182.6410149996686</v>
      </c>
      <c r="AU60" s="1949">
        <f t="shared" si="126"/>
        <v>3.3873104803997807E-2</v>
      </c>
      <c r="AV60" s="1976">
        <f>AV59-AV10</f>
        <v>357.21704311578583</v>
      </c>
      <c r="AW60" s="1976">
        <f t="shared" si="35"/>
        <v>903.79878335593526</v>
      </c>
      <c r="AX60" s="1817">
        <f>AX59-AX10</f>
        <v>1261.0158264717211</v>
      </c>
      <c r="AY60" s="1801">
        <f t="shared" si="127"/>
        <v>3.4393076559081893E-2</v>
      </c>
      <c r="AZ60" s="2832">
        <f t="shared" si="128"/>
        <v>3.611790958356749E-2</v>
      </c>
      <c r="BA60" s="1802">
        <f t="shared" si="129"/>
        <v>78.374811472052443</v>
      </c>
      <c r="BB60" s="1881">
        <f t="shared" si="36"/>
        <v>5.1997175508408655E-4</v>
      </c>
      <c r="BC60" s="1948">
        <v>1369.1004539585765</v>
      </c>
      <c r="BD60" s="1949">
        <f t="shared" si="130"/>
        <v>3.4966455043380501E-2</v>
      </c>
      <c r="BE60" s="1976">
        <f>BE59-BE10</f>
        <v>375.31401608393446</v>
      </c>
      <c r="BF60" s="1976">
        <f t="shared" si="37"/>
        <v>1060.6718721944922</v>
      </c>
      <c r="BG60" s="1817">
        <f>BG59-BG10</f>
        <v>1435.9858882784265</v>
      </c>
      <c r="BH60" s="1801">
        <f t="shared" si="131"/>
        <v>3.48192585556103E-2</v>
      </c>
      <c r="BI60" s="2832">
        <f t="shared" si="79"/>
        <v>3.6674690933186711E-2</v>
      </c>
      <c r="BJ60" s="1802">
        <f t="shared" si="132"/>
        <v>66.885434319849992</v>
      </c>
      <c r="BK60" s="1881">
        <f t="shared" si="133"/>
        <v>-1.4719648777020145E-4</v>
      </c>
      <c r="BL60" s="1817">
        <f>BL59-BL10</f>
        <v>1536.6211565797594</v>
      </c>
      <c r="BM60" s="1801">
        <f t="shared" si="82"/>
        <v>3.3424090291110917E-2</v>
      </c>
    </row>
    <row r="61" spans="1:65">
      <c r="A61" s="1803" t="str">
        <f>FISC!D1228</f>
        <v xml:space="preserve">Net Investment in nonfinancial assets </v>
      </c>
      <c r="B61" s="1804">
        <v>1676.4540072234172</v>
      </c>
      <c r="C61" s="1805">
        <f t="shared" si="111"/>
        <v>9.7082309883231577E-2</v>
      </c>
      <c r="D61" s="1806">
        <f>FISC!AI1228</f>
        <v>1754.9915240248883</v>
      </c>
      <c r="E61" s="1807">
        <f t="shared" si="112"/>
        <v>9.4621459712893291E-2</v>
      </c>
      <c r="F61" s="1808">
        <f t="shared" si="113"/>
        <v>78.537516801471156</v>
      </c>
      <c r="G61" s="1882">
        <f t="shared" si="26"/>
        <v>-2.4608501703382857E-3</v>
      </c>
      <c r="H61" s="1945">
        <v>1719.2096581314629</v>
      </c>
      <c r="I61" s="1946">
        <f t="shared" si="114"/>
        <v>8.7522038962592905E-2</v>
      </c>
      <c r="J61" s="1974">
        <v>863.46848014253271</v>
      </c>
      <c r="K61" s="1974">
        <f>FISCinyear!JI907</f>
        <v>922.45083113405076</v>
      </c>
      <c r="L61" s="1965">
        <f t="shared" si="27"/>
        <v>58.982350991518047</v>
      </c>
      <c r="M61" s="1965">
        <v>855.74117798893019</v>
      </c>
      <c r="N61" s="1965">
        <f t="shared" si="41"/>
        <v>849.13521959316972</v>
      </c>
      <c r="O61" s="1806">
        <f>FISC!AJ1228</f>
        <v>1771.5860507272205</v>
      </c>
      <c r="P61" s="1891">
        <f t="shared" si="115"/>
        <v>8.18190070766526E-2</v>
      </c>
      <c r="Q61" s="1808">
        <f t="shared" si="116"/>
        <v>52.376392595757579</v>
      </c>
      <c r="R61" s="1882">
        <f t="shared" si="58"/>
        <v>-5.7030318859403045E-3</v>
      </c>
      <c r="S61" s="1945">
        <v>1919.5897244917437</v>
      </c>
      <c r="T61" s="1946">
        <f t="shared" si="117"/>
        <v>7.8628339053358309E-2</v>
      </c>
      <c r="U61" s="1974">
        <f>FISCinyear!JL907</f>
        <v>979.32194894490681</v>
      </c>
      <c r="V61" s="1974">
        <f t="shared" si="28"/>
        <v>991.31444836029436</v>
      </c>
      <c r="W61" s="1806">
        <f>FISC!AK1228</f>
        <v>1970.6363973052012</v>
      </c>
      <c r="X61" s="1891">
        <f t="shared" si="118"/>
        <v>7.7931757320484782E-2</v>
      </c>
      <c r="Y61" s="2831">
        <f t="shared" si="119"/>
        <v>8.0719262465956343E-2</v>
      </c>
      <c r="Z61" s="1808">
        <f>W61-S61</f>
        <v>51.046672813457462</v>
      </c>
      <c r="AA61" s="1882">
        <f t="shared" si="38"/>
        <v>-6.9658173287352743E-4</v>
      </c>
      <c r="AB61" s="1945">
        <v>2195.3814414360322</v>
      </c>
      <c r="AC61" s="1946">
        <f t="shared" si="120"/>
        <v>7.9278760565141701E-2</v>
      </c>
      <c r="AD61" s="1974">
        <f>FISCinyear!JO907</f>
        <v>1177.6302175826238</v>
      </c>
      <c r="AE61" s="1974">
        <f t="shared" si="30"/>
        <v>1000.7271215083554</v>
      </c>
      <c r="AF61" s="1806">
        <f>FISC!AL1228</f>
        <v>2178.3573390909792</v>
      </c>
      <c r="AG61" s="1807">
        <f t="shared" si="121"/>
        <v>7.5507967186960248E-2</v>
      </c>
      <c r="AH61" s="2831">
        <f t="shared" si="122"/>
        <v>7.8663992803978941E-2</v>
      </c>
      <c r="AI61" s="1808">
        <f>AF61-AB61</f>
        <v>-17.024102345053052</v>
      </c>
      <c r="AJ61" s="1882">
        <f t="shared" si="32"/>
        <v>-3.7707933781814529E-3</v>
      </c>
      <c r="AK61" s="1945">
        <v>2581.6782553682588</v>
      </c>
      <c r="AL61" s="1946">
        <f t="shared" si="123"/>
        <v>8.2888608797972191E-2</v>
      </c>
      <c r="AM61" s="1974">
        <f>FISCinyear!JR907</f>
        <v>1389.3025221003832</v>
      </c>
      <c r="AN61" s="1974">
        <f t="shared" si="33"/>
        <v>1148.429091289901</v>
      </c>
      <c r="AO61" s="1806">
        <f>FISC!AM1228</f>
        <v>2537.7316133902841</v>
      </c>
      <c r="AP61" s="1807">
        <f t="shared" si="124"/>
        <v>7.8091418416396469E-2</v>
      </c>
      <c r="AQ61" s="2831">
        <f t="shared" si="96"/>
        <v>8.1477636688135333E-2</v>
      </c>
      <c r="AR61" s="1808">
        <f t="shared" si="125"/>
        <v>-43.94664197797465</v>
      </c>
      <c r="AS61" s="1882">
        <f t="shared" si="34"/>
        <v>-4.7971903815757222E-3</v>
      </c>
      <c r="AT61" s="1945">
        <v>2924.2356954807715</v>
      </c>
      <c r="AU61" s="1946">
        <f t="shared" si="126"/>
        <v>8.3755713634402693E-2</v>
      </c>
      <c r="AV61" s="1974">
        <f>FISCinyear!JU907</f>
        <v>1516.3234477121457</v>
      </c>
      <c r="AW61" s="1974">
        <f t="shared" si="35"/>
        <v>1391.1094881234269</v>
      </c>
      <c r="AX61" s="1806">
        <f>FISC!AN1228</f>
        <v>2907.4329358355726</v>
      </c>
      <c r="AY61" s="1807">
        <f t="shared" si="127"/>
        <v>7.9297627716833047E-2</v>
      </c>
      <c r="AZ61" s="2831">
        <f t="shared" si="128"/>
        <v>8.3274450401317229E-2</v>
      </c>
      <c r="BA61" s="1808">
        <f t="shared" si="129"/>
        <v>-16.802759645198876</v>
      </c>
      <c r="BB61" s="1882">
        <f t="shared" si="36"/>
        <v>-4.4580859175696458E-3</v>
      </c>
      <c r="BC61" s="1945">
        <v>3291.9252906845832</v>
      </c>
      <c r="BD61" s="1946">
        <f t="shared" si="130"/>
        <v>8.4074880955647135E-2</v>
      </c>
      <c r="BE61" s="1974">
        <f>FISCinyear!JX907</f>
        <v>1663.4167146759335</v>
      </c>
      <c r="BF61" s="1974">
        <f t="shared" si="37"/>
        <v>1586.4873583135579</v>
      </c>
      <c r="BG61" s="1806">
        <f>FISC!AO1228</f>
        <v>3249.9040729894914</v>
      </c>
      <c r="BH61" s="1807">
        <f t="shared" si="131"/>
        <v>7.8802480666447461E-2</v>
      </c>
      <c r="BI61" s="2831">
        <f t="shared" si="79"/>
        <v>8.300167042887012E-2</v>
      </c>
      <c r="BJ61" s="1808">
        <f t="shared" si="132"/>
        <v>-42.021217695091764</v>
      </c>
      <c r="BK61" s="1882">
        <f t="shared" si="133"/>
        <v>-5.2724002891996746E-3</v>
      </c>
      <c r="BL61" s="1806">
        <f>FISC!AP1228</f>
        <v>3602.2242570577082</v>
      </c>
      <c r="BM61" s="1807">
        <f t="shared" si="82"/>
        <v>7.8354426073839675E-2</v>
      </c>
    </row>
    <row r="62" spans="1:65">
      <c r="A62" s="1787" t="s">
        <v>561</v>
      </c>
      <c r="B62" s="1795">
        <v>1016.6207796657466</v>
      </c>
      <c r="C62" s="1788">
        <f t="shared" si="111"/>
        <v>5.8871817025690422E-2</v>
      </c>
      <c r="D62" s="1796">
        <f>FISC!AI1229</f>
        <v>1097.7924341418884</v>
      </c>
      <c r="E62" s="1790">
        <f t="shared" si="112"/>
        <v>5.9188161970178642E-2</v>
      </c>
      <c r="F62" s="1791">
        <f t="shared" si="113"/>
        <v>81.171654476141839</v>
      </c>
      <c r="G62" s="1880">
        <f t="shared" si="26"/>
        <v>3.1634494448821993E-4</v>
      </c>
      <c r="H62" s="1947">
        <v>1075.6204436966025</v>
      </c>
      <c r="I62" s="1942">
        <f t="shared" si="114"/>
        <v>5.4758006934705616E-2</v>
      </c>
      <c r="J62" s="1975">
        <v>541.6738729251025</v>
      </c>
      <c r="K62" s="1975">
        <f>FISCinyear!JI908</f>
        <v>585.45637019305082</v>
      </c>
      <c r="L62" s="1964">
        <f t="shared" si="27"/>
        <v>43.782497267948315</v>
      </c>
      <c r="M62" s="1964">
        <v>533.94657077149998</v>
      </c>
      <c r="N62" s="1964">
        <f t="shared" si="41"/>
        <v>562.08355690416965</v>
      </c>
      <c r="O62" s="1796">
        <f>FISC!AJ1229</f>
        <v>1147.5399270972205</v>
      </c>
      <c r="P62" s="1889">
        <f t="shared" si="115"/>
        <v>5.2998033811209815E-2</v>
      </c>
      <c r="Q62" s="1791">
        <f t="shared" si="116"/>
        <v>71.919483400617992</v>
      </c>
      <c r="R62" s="1880">
        <f t="shared" si="58"/>
        <v>-1.7599731234958019E-3</v>
      </c>
      <c r="S62" s="1947">
        <v>1287.3993174186799</v>
      </c>
      <c r="T62" s="1942">
        <f t="shared" si="117"/>
        <v>5.2733179770411615E-2</v>
      </c>
      <c r="U62" s="1975">
        <f>FISCinyear!JL908</f>
        <v>677.21028916490673</v>
      </c>
      <c r="V62" s="1975">
        <f t="shared" si="28"/>
        <v>641.43570106723087</v>
      </c>
      <c r="W62" s="1796">
        <f>FISC!AK1229</f>
        <v>1318.6459902321376</v>
      </c>
      <c r="X62" s="1889">
        <f t="shared" si="118"/>
        <v>5.2147823638561221E-2</v>
      </c>
      <c r="Y62" s="2830">
        <f t="shared" si="119"/>
        <v>5.4013075131862577E-2</v>
      </c>
      <c r="Z62" s="1791">
        <f t="shared" si="29"/>
        <v>31.246672813457735</v>
      </c>
      <c r="AA62" s="1880">
        <f t="shared" si="38"/>
        <v>-5.8535613185039387E-4</v>
      </c>
      <c r="AB62" s="1947">
        <v>1253.2287460305859</v>
      </c>
      <c r="AC62" s="1942">
        <f t="shared" si="120"/>
        <v>4.5256108945205611E-2</v>
      </c>
      <c r="AD62" s="1975">
        <f>FISCinyear!JO908</f>
        <v>630.92745545925914</v>
      </c>
      <c r="AE62" s="1975">
        <f t="shared" si="30"/>
        <v>636.25861342611211</v>
      </c>
      <c r="AF62" s="1796">
        <f>FISC!AL1229</f>
        <v>1267.1860688853712</v>
      </c>
      <c r="AG62" s="1790">
        <f t="shared" si="121"/>
        <v>4.3924218672542398E-2</v>
      </c>
      <c r="AH62" s="2830">
        <f t="shared" si="122"/>
        <v>4.576013035845538E-2</v>
      </c>
      <c r="AI62" s="1791">
        <f t="shared" si="31"/>
        <v>13.957322854785389</v>
      </c>
      <c r="AJ62" s="1880">
        <f t="shared" si="32"/>
        <v>-1.3318902726632137E-3</v>
      </c>
      <c r="AK62" s="1947">
        <v>1333.3571429469898</v>
      </c>
      <c r="AL62" s="1942">
        <f t="shared" si="123"/>
        <v>4.2809408329602248E-2</v>
      </c>
      <c r="AM62" s="1975">
        <f>FISCinyear!JR908</f>
        <v>663.89592628541709</v>
      </c>
      <c r="AN62" s="1975">
        <f t="shared" si="33"/>
        <v>664.8246940799238</v>
      </c>
      <c r="AO62" s="1796">
        <f>FISC!AM1229</f>
        <v>1328.7206203653409</v>
      </c>
      <c r="AP62" s="1790">
        <f t="shared" si="124"/>
        <v>4.0887569582199926E-2</v>
      </c>
      <c r="AQ62" s="2830">
        <f t="shared" si="96"/>
        <v>4.2660545896549586E-2</v>
      </c>
      <c r="AR62" s="1791">
        <f t="shared" si="125"/>
        <v>-4.6365225816489328</v>
      </c>
      <c r="AS62" s="1880">
        <f t="shared" si="34"/>
        <v>-1.9218387474023227E-3</v>
      </c>
      <c r="AT62" s="1947">
        <v>1436.2572714027076</v>
      </c>
      <c r="AU62" s="1942">
        <f t="shared" si="126"/>
        <v>4.1137160357778951E-2</v>
      </c>
      <c r="AV62" s="1975">
        <f>FISCinyear!JU908</f>
        <v>706.53426192529832</v>
      </c>
      <c r="AW62" s="1975">
        <f t="shared" si="35"/>
        <v>728.55469975236974</v>
      </c>
      <c r="AX62" s="1796">
        <f>FISC!AN1229</f>
        <v>1435.0889616776681</v>
      </c>
      <c r="AY62" s="1790">
        <f t="shared" si="127"/>
        <v>3.9140765319474947E-2</v>
      </c>
      <c r="AZ62" s="2830">
        <f t="shared" si="128"/>
        <v>4.1103697728580517E-2</v>
      </c>
      <c r="BA62" s="1791">
        <f t="shared" si="129"/>
        <v>-1.1683097250395349</v>
      </c>
      <c r="BB62" s="1880">
        <f t="shared" si="36"/>
        <v>-1.9963950383040038E-3</v>
      </c>
      <c r="BC62" s="1947">
        <v>1493.5565475021785</v>
      </c>
      <c r="BD62" s="1942">
        <f t="shared" si="130"/>
        <v>3.8145029988107523E-2</v>
      </c>
      <c r="BE62" s="1975">
        <f>FISCinyear!JX908</f>
        <v>706.50756182794294</v>
      </c>
      <c r="BF62" s="1975">
        <f t="shared" si="37"/>
        <v>803.56168780156599</v>
      </c>
      <c r="BG62" s="1796">
        <f>FISC!AO1229</f>
        <v>1510.0692496295089</v>
      </c>
      <c r="BH62" s="1790">
        <f t="shared" si="131"/>
        <v>3.6615604699822474E-2</v>
      </c>
      <c r="BI62" s="2830">
        <f t="shared" si="79"/>
        <v>3.8566759931232278E-2</v>
      </c>
      <c r="BJ62" s="1791">
        <f t="shared" si="132"/>
        <v>16.512702127330385</v>
      </c>
      <c r="BK62" s="1880">
        <f>BH62-BD62</f>
        <v>-1.5294252882850495E-3</v>
      </c>
      <c r="BL62" s="1796">
        <f>FISC!AP1229</f>
        <v>1707.1176854360424</v>
      </c>
      <c r="BM62" s="1790">
        <f t="shared" si="82"/>
        <v>3.7132676073892701E-2</v>
      </c>
    </row>
    <row r="63" spans="1:65">
      <c r="A63" s="1787" t="s">
        <v>562</v>
      </c>
      <c r="B63" s="1795">
        <v>659.83322755767051</v>
      </c>
      <c r="C63" s="1788">
        <f t="shared" si="111"/>
        <v>3.8210492857541155E-2</v>
      </c>
      <c r="D63" s="1796">
        <f>FISC!AI1233</f>
        <v>657.19908988299994</v>
      </c>
      <c r="E63" s="1790">
        <f t="shared" si="112"/>
        <v>3.5433297742714649E-2</v>
      </c>
      <c r="F63" s="1791">
        <f t="shared" si="113"/>
        <v>-2.6341376746705691</v>
      </c>
      <c r="G63" s="1880">
        <f t="shared" si="26"/>
        <v>-2.7771951148265056E-3</v>
      </c>
      <c r="H63" s="1947">
        <v>643.58921443486042</v>
      </c>
      <c r="I63" s="1942">
        <f t="shared" si="114"/>
        <v>3.2764032027887295E-2</v>
      </c>
      <c r="J63" s="1975">
        <v>321.79460721743021</v>
      </c>
      <c r="K63" s="1975">
        <f>FISCinyear!JI912</f>
        <v>336.99446094100006</v>
      </c>
      <c r="L63" s="1964">
        <f t="shared" si="27"/>
        <v>15.199853723569845</v>
      </c>
      <c r="M63" s="1964">
        <v>321.79460721743021</v>
      </c>
      <c r="N63" s="1964">
        <f t="shared" si="41"/>
        <v>287.05166268899995</v>
      </c>
      <c r="O63" s="1796">
        <f>FISC!AJ1233</f>
        <v>624.04612363000001</v>
      </c>
      <c r="P63" s="1889">
        <f t="shared" si="115"/>
        <v>2.8820973265442789E-2</v>
      </c>
      <c r="Q63" s="1791">
        <f t="shared" si="116"/>
        <v>-19.543090804860412</v>
      </c>
      <c r="R63" s="1880">
        <f t="shared" si="58"/>
        <v>-3.9430587624445061E-3</v>
      </c>
      <c r="S63" s="1947">
        <v>632.19040707306374</v>
      </c>
      <c r="T63" s="1942">
        <f t="shared" si="117"/>
        <v>2.5895159282946695E-2</v>
      </c>
      <c r="U63" s="1975">
        <f>FISCinyear!JL912</f>
        <v>302.11165977999997</v>
      </c>
      <c r="V63" s="1975">
        <f t="shared" si="28"/>
        <v>349.87874729306361</v>
      </c>
      <c r="W63" s="1796">
        <f>FISC!AK1233</f>
        <v>651.99040707306358</v>
      </c>
      <c r="X63" s="1889">
        <f t="shared" si="118"/>
        <v>2.5783933681923561E-2</v>
      </c>
      <c r="Y63" s="2830">
        <f t="shared" si="119"/>
        <v>2.6706187334093766E-2</v>
      </c>
      <c r="Z63" s="1791">
        <f t="shared" si="29"/>
        <v>19.799999999999841</v>
      </c>
      <c r="AA63" s="1880">
        <f t="shared" si="38"/>
        <v>-1.1122560102313356E-4</v>
      </c>
      <c r="AB63" s="1947">
        <v>942.15269540544637</v>
      </c>
      <c r="AC63" s="1942">
        <f t="shared" si="120"/>
        <v>3.4022651619936096E-2</v>
      </c>
      <c r="AD63" s="1975">
        <f>FISCinyear!JO912</f>
        <v>546.70276212336466</v>
      </c>
      <c r="AE63" s="1975">
        <f t="shared" si="30"/>
        <v>364.46850808224315</v>
      </c>
      <c r="AF63" s="1796">
        <f>FISC!AL1233</f>
        <v>911.17127020560781</v>
      </c>
      <c r="AG63" s="1790">
        <f t="shared" si="121"/>
        <v>3.1583748514417843E-2</v>
      </c>
      <c r="AH63" s="2830">
        <f t="shared" si="122"/>
        <v>3.2903862445523548E-2</v>
      </c>
      <c r="AI63" s="1791">
        <f t="shared" si="31"/>
        <v>-30.981425199838554</v>
      </c>
      <c r="AJ63" s="1880">
        <f t="shared" si="32"/>
        <v>-2.4389031055182531E-3</v>
      </c>
      <c r="AK63" s="1947">
        <v>1248.3211124212692</v>
      </c>
      <c r="AL63" s="1942">
        <f t="shared" si="123"/>
        <v>4.0079200468369956E-2</v>
      </c>
      <c r="AM63" s="1975">
        <f>FISCinyear!JR912</f>
        <v>725.40659581496607</v>
      </c>
      <c r="AN63" s="1975">
        <f t="shared" si="33"/>
        <v>483.60439720997738</v>
      </c>
      <c r="AO63" s="1796">
        <f>FISC!AM1233</f>
        <v>1209.0109930249434</v>
      </c>
      <c r="AP63" s="1790">
        <f t="shared" si="124"/>
        <v>3.720384883419655E-2</v>
      </c>
      <c r="AQ63" s="2830">
        <f t="shared" si="96"/>
        <v>3.8817090791585761E-2</v>
      </c>
      <c r="AR63" s="1791">
        <f t="shared" si="125"/>
        <v>-39.310119396325717</v>
      </c>
      <c r="AS63" s="1880">
        <f t="shared" si="34"/>
        <v>-2.8753516341734064E-3</v>
      </c>
      <c r="AT63" s="1947">
        <v>1487.9784240780639</v>
      </c>
      <c r="AU63" s="1942">
        <f t="shared" si="126"/>
        <v>4.2618553276623734E-2</v>
      </c>
      <c r="AV63" s="1975">
        <f>FISCinyear!JU912</f>
        <v>809.78918578684738</v>
      </c>
      <c r="AW63" s="1975">
        <f t="shared" si="35"/>
        <v>662.55478837105693</v>
      </c>
      <c r="AX63" s="1796">
        <f>FISC!AN1233</f>
        <v>1472.3439741579043</v>
      </c>
      <c r="AY63" s="1790">
        <f t="shared" si="127"/>
        <v>4.0156862397358092E-2</v>
      </c>
      <c r="AZ63" s="2830">
        <f t="shared" si="128"/>
        <v>4.2170752672736705E-2</v>
      </c>
      <c r="BA63" s="1791">
        <f t="shared" si="129"/>
        <v>-15.634449920159568</v>
      </c>
      <c r="BB63" s="1880">
        <f t="shared" si="36"/>
        <v>-2.461690879265642E-3</v>
      </c>
      <c r="BC63" s="1947">
        <v>1798.3687431824046</v>
      </c>
      <c r="BD63" s="1942">
        <f t="shared" si="130"/>
        <v>4.5929850967539612E-2</v>
      </c>
      <c r="BE63" s="1975">
        <f>FISCinyear!JX912</f>
        <v>956.90915284799053</v>
      </c>
      <c r="BF63" s="1975">
        <f t="shared" si="37"/>
        <v>782.92567051199217</v>
      </c>
      <c r="BG63" s="1796">
        <f>FISC!AO1233</f>
        <v>1739.8348233599827</v>
      </c>
      <c r="BH63" s="1790">
        <f t="shared" si="131"/>
        <v>4.2186875966625001E-2</v>
      </c>
      <c r="BI63" s="2830">
        <f t="shared" si="79"/>
        <v>4.4434910497637849E-2</v>
      </c>
      <c r="BJ63" s="1791">
        <f t="shared" si="132"/>
        <v>-58.533919822421922</v>
      </c>
      <c r="BK63" s="1880">
        <f t="shared" si="133"/>
        <v>-3.7429750009146112E-3</v>
      </c>
      <c r="BL63" s="1796">
        <f>FISC!AP1233</f>
        <v>1895.1065716216658</v>
      </c>
      <c r="BM63" s="1790">
        <f t="shared" si="82"/>
        <v>4.1221749999946974E-2</v>
      </c>
    </row>
    <row r="64" spans="1:65" hidden="1">
      <c r="A64" s="1825" t="s">
        <v>3571</v>
      </c>
      <c r="B64" s="1795">
        <v>0</v>
      </c>
      <c r="C64" s="1788">
        <f t="shared" si="111"/>
        <v>0</v>
      </c>
      <c r="D64" s="1796">
        <v>0</v>
      </c>
      <c r="E64" s="1790">
        <f t="shared" si="112"/>
        <v>0</v>
      </c>
      <c r="F64" s="1791">
        <f t="shared" si="113"/>
        <v>0</v>
      </c>
      <c r="G64" s="1880">
        <f t="shared" si="26"/>
        <v>0</v>
      </c>
      <c r="H64" s="1947">
        <v>20</v>
      </c>
      <c r="I64" s="1942">
        <f t="shared" si="114"/>
        <v>1.0181659758440045E-3</v>
      </c>
      <c r="J64" s="1975">
        <v>20</v>
      </c>
      <c r="K64" s="1975">
        <v>20</v>
      </c>
      <c r="L64" s="1964">
        <f t="shared" si="27"/>
        <v>0</v>
      </c>
      <c r="M64" s="1964">
        <v>0</v>
      </c>
      <c r="N64" s="1964">
        <f t="shared" si="41"/>
        <v>-20</v>
      </c>
      <c r="O64" s="1796">
        <f>FISC!AJ1234</f>
        <v>0</v>
      </c>
      <c r="P64" s="1889">
        <f t="shared" si="115"/>
        <v>0</v>
      </c>
      <c r="Q64" s="1791">
        <f t="shared" si="116"/>
        <v>-20</v>
      </c>
      <c r="R64" s="1880">
        <f t="shared" si="58"/>
        <v>-1.0181659758440045E-3</v>
      </c>
      <c r="S64" s="1947">
        <v>0</v>
      </c>
      <c r="T64" s="1942">
        <f t="shared" si="117"/>
        <v>0</v>
      </c>
      <c r="U64" s="1975">
        <f>FISCinyear!JL913</f>
        <v>0</v>
      </c>
      <c r="V64" s="1975">
        <f t="shared" si="28"/>
        <v>0</v>
      </c>
      <c r="W64" s="1796">
        <v>0</v>
      </c>
      <c r="X64" s="1889">
        <f t="shared" si="118"/>
        <v>0</v>
      </c>
      <c r="Y64" s="2830">
        <f t="shared" si="119"/>
        <v>0</v>
      </c>
      <c r="Z64" s="1791">
        <f t="shared" si="29"/>
        <v>0</v>
      </c>
      <c r="AA64" s="1880">
        <f t="shared" si="38"/>
        <v>0</v>
      </c>
      <c r="AB64" s="1947">
        <v>0</v>
      </c>
      <c r="AC64" s="1942">
        <f t="shared" si="120"/>
        <v>0</v>
      </c>
      <c r="AD64" s="1975">
        <v>0</v>
      </c>
      <c r="AE64" s="1975">
        <f t="shared" si="30"/>
        <v>0</v>
      </c>
      <c r="AF64" s="1796">
        <v>0</v>
      </c>
      <c r="AG64" s="1790">
        <f t="shared" si="121"/>
        <v>0</v>
      </c>
      <c r="AH64" s="2830">
        <f t="shared" si="122"/>
        <v>0</v>
      </c>
      <c r="AI64" s="1791">
        <f t="shared" si="31"/>
        <v>0</v>
      </c>
      <c r="AJ64" s="1880">
        <f t="shared" si="32"/>
        <v>0</v>
      </c>
      <c r="AK64" s="1947">
        <v>0</v>
      </c>
      <c r="AL64" s="1942">
        <f t="shared" si="123"/>
        <v>0</v>
      </c>
      <c r="AM64" s="1975">
        <v>0</v>
      </c>
      <c r="AN64" s="1975">
        <f t="shared" si="33"/>
        <v>0</v>
      </c>
      <c r="AO64" s="1796">
        <v>0</v>
      </c>
      <c r="AP64" s="1790">
        <f t="shared" si="124"/>
        <v>0</v>
      </c>
      <c r="AQ64" s="2830">
        <f t="shared" si="96"/>
        <v>0</v>
      </c>
      <c r="AR64" s="1791">
        <f t="shared" ref="AR64" si="134">AO64-AK64</f>
        <v>0</v>
      </c>
      <c r="AS64" s="1880">
        <f t="shared" si="34"/>
        <v>0</v>
      </c>
      <c r="AT64" s="1947">
        <v>0</v>
      </c>
      <c r="AU64" s="1942">
        <f t="shared" si="126"/>
        <v>0</v>
      </c>
      <c r="AV64" s="1975">
        <v>0</v>
      </c>
      <c r="AW64" s="1975">
        <f t="shared" si="35"/>
        <v>0</v>
      </c>
      <c r="AX64" s="1796">
        <v>0</v>
      </c>
      <c r="AY64" s="1790">
        <f t="shared" si="127"/>
        <v>0</v>
      </c>
      <c r="AZ64" s="2830">
        <f t="shared" si="128"/>
        <v>0</v>
      </c>
      <c r="BA64" s="1791">
        <f t="shared" si="129"/>
        <v>0</v>
      </c>
      <c r="BB64" s="1880">
        <f t="shared" si="36"/>
        <v>0</v>
      </c>
      <c r="BC64" s="1947">
        <v>0</v>
      </c>
      <c r="BD64" s="1942">
        <f t="shared" si="130"/>
        <v>0</v>
      </c>
      <c r="BE64" s="1975">
        <v>0</v>
      </c>
      <c r="BF64" s="1975">
        <f t="shared" si="37"/>
        <v>0</v>
      </c>
      <c r="BG64" s="1796">
        <v>0</v>
      </c>
      <c r="BH64" s="1790">
        <f t="shared" si="131"/>
        <v>0</v>
      </c>
      <c r="BI64" s="2830">
        <f t="shared" si="79"/>
        <v>0</v>
      </c>
      <c r="BJ64" s="1791">
        <f t="shared" si="132"/>
        <v>0</v>
      </c>
      <c r="BK64" s="1880">
        <f t="shared" si="133"/>
        <v>0</v>
      </c>
      <c r="BL64" s="1796">
        <v>0</v>
      </c>
      <c r="BM64" s="1790">
        <f t="shared" si="82"/>
        <v>0</v>
      </c>
    </row>
    <row r="65" spans="1:67" s="1839" customFormat="1" ht="11.4" customHeight="1" thickBot="1">
      <c r="A65" s="2027" t="s">
        <v>3172</v>
      </c>
      <c r="B65" s="1902"/>
      <c r="C65" s="2029">
        <f t="shared" si="111"/>
        <v>0</v>
      </c>
      <c r="D65" s="1902"/>
      <c r="E65" s="2029">
        <f t="shared" si="112"/>
        <v>0</v>
      </c>
      <c r="F65" s="1903"/>
      <c r="G65" s="2030"/>
      <c r="H65" s="1902"/>
      <c r="I65" s="2029"/>
      <c r="J65" s="2031"/>
      <c r="K65" s="2031"/>
      <c r="L65" s="1904"/>
      <c r="M65" s="1904"/>
      <c r="N65" s="1904"/>
      <c r="O65" s="1902"/>
      <c r="P65" s="2029"/>
      <c r="Q65" s="1903"/>
      <c r="R65" s="2030"/>
      <c r="S65" s="1902"/>
      <c r="T65" s="2029"/>
      <c r="U65" s="2031"/>
      <c r="V65" s="2031"/>
      <c r="W65" s="1902"/>
      <c r="X65" s="2029"/>
      <c r="Y65" s="2029"/>
      <c r="Z65" s="1903"/>
      <c r="AA65" s="2030"/>
      <c r="AB65" s="1902"/>
      <c r="AC65" s="2029"/>
      <c r="AD65" s="2031"/>
      <c r="AE65" s="2031"/>
      <c r="AF65" s="2029"/>
      <c r="AG65" s="2029"/>
      <c r="AH65" s="2029"/>
      <c r="AI65" s="1903"/>
      <c r="AJ65" s="2030"/>
      <c r="AK65" s="1902"/>
      <c r="AL65" s="2029"/>
      <c r="AM65" s="2031"/>
      <c r="AN65" s="2031"/>
      <c r="AO65" s="1902"/>
      <c r="AP65" s="2029"/>
      <c r="AQ65" s="2029"/>
      <c r="AR65" s="1903"/>
      <c r="AS65" s="2030"/>
      <c r="AT65" s="1902"/>
      <c r="AU65" s="2029"/>
      <c r="AV65" s="2031"/>
      <c r="AW65" s="2031"/>
      <c r="AX65" s="1902"/>
      <c r="AY65" s="2029"/>
      <c r="AZ65" s="2029"/>
      <c r="BA65" s="1903"/>
      <c r="BB65" s="2030"/>
      <c r="BC65" s="1902"/>
      <c r="BD65" s="2029"/>
      <c r="BE65" s="2031"/>
      <c r="BF65" s="2031"/>
      <c r="BG65" s="1902"/>
      <c r="BH65" s="2029"/>
      <c r="BI65" s="2029"/>
      <c r="BJ65" s="1903"/>
      <c r="BK65" s="2030"/>
      <c r="BL65" s="1902"/>
      <c r="BM65" s="2029"/>
    </row>
    <row r="66" spans="1:67" s="1839" customFormat="1">
      <c r="A66" s="2028" t="s">
        <v>559</v>
      </c>
      <c r="B66" s="1905">
        <f>B4-B24-B61-B74-B77</f>
        <v>-1156.8461635955439</v>
      </c>
      <c r="C66" s="1906">
        <f t="shared" si="111"/>
        <v>-6.6992173514750647E-2</v>
      </c>
      <c r="D66" s="1905">
        <f>D4-D24-D61-D74-D77</f>
        <v>-1228.2109644458326</v>
      </c>
      <c r="E66" s="1906">
        <f t="shared" si="112"/>
        <v>-6.6219758158556824E-2</v>
      </c>
      <c r="F66" s="1905">
        <f>F4-F24-F61-F74-F77</f>
        <v>-71.364800850288759</v>
      </c>
      <c r="G66" s="1906">
        <f t="shared" si="26"/>
        <v>7.7241535619382296E-4</v>
      </c>
      <c r="H66" s="1905">
        <v>-1097.9928311851368</v>
      </c>
      <c r="I66" s="1906">
        <f>H66/$H$111</f>
        <v>-5.5896947121666797E-2</v>
      </c>
      <c r="J66" s="2032">
        <f>J4-J24-J61-J74-J77</f>
        <v>-603.95892328562161</v>
      </c>
      <c r="K66" s="2032">
        <f>K4-K24-K61-K74-K77</f>
        <v>-608.05277366329858</v>
      </c>
      <c r="L66" s="1907">
        <f t="shared" si="27"/>
        <v>-4.0938503776769721</v>
      </c>
      <c r="M66" s="1907">
        <f>M4-M24-M61-M74-M77</f>
        <v>-494.03390789951516</v>
      </c>
      <c r="N66" s="1907">
        <f t="shared" si="41"/>
        <v>-570.2719230096701</v>
      </c>
      <c r="O66" s="1905">
        <f>O4-O24-O61-O74-O77</f>
        <v>-1178.3246966729687</v>
      </c>
      <c r="P66" s="1906">
        <f t="shared" ref="P66:P85" si="135">O66/$O$111</f>
        <v>-5.4419798945755396E-2</v>
      </c>
      <c r="Q66" s="1905">
        <f>Q4-Q24-Q61-Q74-Q77</f>
        <v>-80.331865487832005</v>
      </c>
      <c r="R66" s="1906">
        <f>P66-I66</f>
        <v>1.4771481759114011E-3</v>
      </c>
      <c r="S66" s="1905">
        <v>-1412.8935941689506</v>
      </c>
      <c r="T66" s="1906">
        <f>S66/$S$111</f>
        <v>-5.7873552432173438E-2</v>
      </c>
      <c r="U66" s="2032">
        <f>U4-U24-U61-U74-U77</f>
        <v>-708.44567697561115</v>
      </c>
      <c r="V66" s="2032">
        <f t="shared" si="28"/>
        <v>-740.5188269128812</v>
      </c>
      <c r="W66" s="1905">
        <f>W4-W24-W61-W74-W77</f>
        <v>-1448.9645038884923</v>
      </c>
      <c r="X66" s="1906">
        <f t="shared" ref="X66:X110" si="136">W66/$W$111</f>
        <v>-5.7301463749198242E-2</v>
      </c>
      <c r="Y66" s="1906">
        <f>W66/$S$111</f>
        <v>-5.935105342272607E-2</v>
      </c>
      <c r="Z66" s="1905">
        <f>Z4-Z24-Z61-Z74-Z77</f>
        <v>-36.07090971954176</v>
      </c>
      <c r="AA66" s="1906">
        <f>X66-T66</f>
        <v>5.7208868297519561E-4</v>
      </c>
      <c r="AB66" s="1905">
        <v>-1343.5875653845223</v>
      </c>
      <c r="AC66" s="1906">
        <f>AB66/$AB$111</f>
        <v>-4.8519111478297919E-2</v>
      </c>
      <c r="AD66" s="2032">
        <f>AD4-AD24-AD61-AD74-AD77</f>
        <v>-1103.4182741270236</v>
      </c>
      <c r="AE66" s="2032">
        <f t="shared" si="30"/>
        <v>-368.83232877745809</v>
      </c>
      <c r="AF66" s="1905">
        <f>AF4-AF24-AF61-AF74-AF77</f>
        <v>-1472.2506029044816</v>
      </c>
      <c r="AG66" s="1906">
        <f t="shared" ref="AG66:AG108" si="137">AF66/$AF$111</f>
        <v>-5.1032329829541874E-2</v>
      </c>
      <c r="AH66" s="1906">
        <f>AF66/$AB$111</f>
        <v>-5.3165341036682343E-2</v>
      </c>
      <c r="AI66" s="1905">
        <f>AI4-AI24-AI61-AI74-AI77</f>
        <v>-128.66303751995929</v>
      </c>
      <c r="AJ66" s="1906">
        <f t="shared" si="32"/>
        <v>-2.5132183512439552E-3</v>
      </c>
      <c r="AK66" s="1905">
        <v>-1349.4812594017567</v>
      </c>
      <c r="AL66" s="1906">
        <f>AK66/$AK$111</f>
        <v>-4.3327096999076463E-2</v>
      </c>
      <c r="AM66" s="2032">
        <f>AM4-AM24-AM61-AM74-AM77</f>
        <v>-1170.9607780135348</v>
      </c>
      <c r="AN66" s="2032">
        <f t="shared" si="33"/>
        <v>-273.44597845052294</v>
      </c>
      <c r="AO66" s="1905">
        <f>AO4-AO24-AO61-AO74-AO77</f>
        <v>-1444.4067564640577</v>
      </c>
      <c r="AP66" s="1906">
        <f t="shared" ref="AP66:AP108" si="138">AO66/$AO$111</f>
        <v>-4.4447478916738253E-2</v>
      </c>
      <c r="AQ66" s="1906">
        <f>AO66/$AK$111</f>
        <v>-4.6374820848703799E-2</v>
      </c>
      <c r="AR66" s="1905">
        <f>AR4-AR24-AR61-AR74-AR77</f>
        <v>-94.925497062300963</v>
      </c>
      <c r="AS66" s="1906">
        <f t="shared" si="34"/>
        <v>-1.1203819176617905E-3</v>
      </c>
      <c r="AT66" s="1905">
        <v>-1047.1140127593796</v>
      </c>
      <c r="AU66" s="1906">
        <f>AT66/$AT$111</f>
        <v>-2.9991351767842331E-2</v>
      </c>
      <c r="AV66" s="2032">
        <f>AV4-AV24-AV61-AV74-AV77</f>
        <v>-885.70554248421968</v>
      </c>
      <c r="AW66" s="2032">
        <f t="shared" si="35"/>
        <v>-213.48843757822715</v>
      </c>
      <c r="AX66" s="1905">
        <f>AX4-AX24-AX61-AX74-AX77</f>
        <v>-1099.1939800624468</v>
      </c>
      <c r="AY66" s="1906">
        <f t="shared" ref="AY66:AY85" si="139">AX66/$AX$111</f>
        <v>-2.9979530721153447E-2</v>
      </c>
      <c r="AZ66" s="1906">
        <f>AX66/$AT$111</f>
        <v>-3.1483021825172507E-2</v>
      </c>
      <c r="BA66" s="1905">
        <f>BA4-BA24-BA61-BA74-BA77</f>
        <v>-52.079967303067093</v>
      </c>
      <c r="BB66" s="1906">
        <f t="shared" si="36"/>
        <v>1.1821046688884063E-5</v>
      </c>
      <c r="BC66" s="1905">
        <v>-1165.7739673986694</v>
      </c>
      <c r="BD66" s="1906">
        <f>BC66/$BC$111</f>
        <v>-2.9773551607501128E-2</v>
      </c>
      <c r="BE66" s="2032">
        <f>BE4-BE24-BE61-BE74-BE77</f>
        <v>-1015.6042973826743</v>
      </c>
      <c r="BF66" s="2032">
        <f t="shared" si="37"/>
        <v>-237.98845885399237</v>
      </c>
      <c r="BG66" s="1905">
        <f>BG4-BG24-BG61-BG74-BG77</f>
        <v>-1253.5927562366667</v>
      </c>
      <c r="BH66" s="1906">
        <f t="shared" ref="BH66:BH85" si="140">BG66/$BG$111</f>
        <v>-3.0396656860726345E-2</v>
      </c>
      <c r="BI66" s="1906">
        <f>BG66/$BC$111</f>
        <v>-3.2016419706032098E-2</v>
      </c>
      <c r="BJ66" s="1905">
        <f>BJ4-BJ24-BJ61-BJ74-BJ77</f>
        <v>-87.81878883799736</v>
      </c>
      <c r="BK66" s="1906">
        <f t="shared" si="133"/>
        <v>-6.2310525322521737E-4</v>
      </c>
      <c r="BL66" s="1905">
        <f>BL4-BL24-BL61-BL74-BL77</f>
        <v>-1396.72787974474</v>
      </c>
      <c r="BM66" s="1906">
        <f>BL66/$BL$111</f>
        <v>-3.0381176625610851E-2</v>
      </c>
      <c r="BO66" s="3113"/>
    </row>
    <row r="67" spans="1:67" s="1839" customFormat="1">
      <c r="A67" s="1840" t="s">
        <v>560</v>
      </c>
      <c r="B67" s="1908">
        <f>B66-B10</f>
        <v>-1922.8891149734702</v>
      </c>
      <c r="C67" s="1909">
        <f t="shared" si="111"/>
        <v>-0.11135319914927384</v>
      </c>
      <c r="D67" s="1908">
        <f>D66-D10</f>
        <v>-1986.0023739774647</v>
      </c>
      <c r="E67" s="1909">
        <f t="shared" si="112"/>
        <v>-0.10707655338872973</v>
      </c>
      <c r="F67" s="1908">
        <f>F66-F10</f>
        <v>-63.113259003994528</v>
      </c>
      <c r="G67" s="1909">
        <f t="shared" si="26"/>
        <v>4.2766457605441094E-3</v>
      </c>
      <c r="H67" s="1908">
        <v>-1719.2111978782625</v>
      </c>
      <c r="I67" s="1909">
        <f>H67/$H$111</f>
        <v>-8.7522117348483044E-2</v>
      </c>
      <c r="J67" s="1911">
        <f>J66-J10</f>
        <v>-921.05418097219331</v>
      </c>
      <c r="K67" s="1911">
        <f>K66-K10</f>
        <v>-971.02243570924065</v>
      </c>
      <c r="L67" s="1910">
        <f t="shared" si="27"/>
        <v>-49.968254737047346</v>
      </c>
      <c r="M67" s="1910">
        <f>M66-M10</f>
        <v>-798.1570169060692</v>
      </c>
      <c r="N67" s="1910">
        <f t="shared" si="41"/>
        <v>-821.89473267280664</v>
      </c>
      <c r="O67" s="1908">
        <f>O66-O10</f>
        <v>-1792.9171683820473</v>
      </c>
      <c r="P67" s="1909">
        <f t="shared" si="135"/>
        <v>-8.2804164340470957E-2</v>
      </c>
      <c r="Q67" s="1908">
        <f>Q66-Q10</f>
        <v>-73.705970503784869</v>
      </c>
      <c r="R67" s="1909">
        <f>P67-I67</f>
        <v>4.7179530080120879E-3</v>
      </c>
      <c r="S67" s="1908">
        <v>-2062.5013184107529</v>
      </c>
      <c r="T67" s="1909">
        <f>S67/$S$111</f>
        <v>-8.4482142664593501E-2</v>
      </c>
      <c r="U67" s="1911">
        <f>U66-U10</f>
        <v>-1028.5388729703418</v>
      </c>
      <c r="V67" s="1911">
        <f t="shared" si="28"/>
        <v>-1088.7018612138127</v>
      </c>
      <c r="W67" s="1908">
        <f>W66-W10</f>
        <v>-2117.2407341841545</v>
      </c>
      <c r="X67" s="1909">
        <f t="shared" si="136"/>
        <v>-8.3729444615515361E-2</v>
      </c>
      <c r="Y67" s="1909">
        <f>W67/$S$111</f>
        <v>-8.6724324568413266E-2</v>
      </c>
      <c r="Z67" s="1908">
        <f>Z66-Z10</f>
        <v>-54.739415773401788</v>
      </c>
      <c r="AA67" s="1906">
        <f t="shared" si="38"/>
        <v>7.5269804907814042E-4</v>
      </c>
      <c r="AB67" s="1908">
        <v>-1959.3302632491373</v>
      </c>
      <c r="AC67" s="1906">
        <f>AB67/$AB$111</f>
        <v>-7.0754572247162015E-2</v>
      </c>
      <c r="AD67" s="1911">
        <f>AD66-AD10</f>
        <v>-1373.7101001188857</v>
      </c>
      <c r="AE67" s="1911">
        <f t="shared" si="30"/>
        <v>-642.52164723596616</v>
      </c>
      <c r="AF67" s="1908">
        <f>AF66-AF10</f>
        <v>-2016.2317473548519</v>
      </c>
      <c r="AG67" s="1906">
        <f t="shared" si="137"/>
        <v>-6.9888240046101682E-2</v>
      </c>
      <c r="AH67" s="1909">
        <f>AF67/$AB$111</f>
        <v>-7.2809376505353879E-2</v>
      </c>
      <c r="AI67" s="1905">
        <f>AI5-AI25-AI62-AI75-AI78</f>
        <v>44.530228643932105</v>
      </c>
      <c r="AJ67" s="1906">
        <f t="shared" ref="AJ67:AJ69" si="141">AG67-AC67</f>
        <v>8.6633220106033249E-4</v>
      </c>
      <c r="AK67" s="1908">
        <v>-2058.0240367624365</v>
      </c>
      <c r="AL67" s="1906">
        <f>AK67/$AK$111</f>
        <v>-6.6075913574943954E-2</v>
      </c>
      <c r="AM67" s="1911">
        <f>AM66-AM10</f>
        <v>-1464.7828140660104</v>
      </c>
      <c r="AN67" s="1911">
        <f t="shared" si="33"/>
        <v>-584.8063172716611</v>
      </c>
      <c r="AO67" s="1908">
        <f>AO66-AO10</f>
        <v>-2049.5891313376715</v>
      </c>
      <c r="AP67" s="1906">
        <f t="shared" si="138"/>
        <v>-6.3070232325774855E-2</v>
      </c>
      <c r="AQ67" s="1909">
        <f>AO67/$AK$111</f>
        <v>-6.5805098428034212E-2</v>
      </c>
      <c r="AR67" s="1905">
        <f>AR5-AR25-AR62-AR75-AR78</f>
        <v>83.034123023658992</v>
      </c>
      <c r="AS67" s="1906">
        <f t="shared" ref="AS67:AS68" si="142">AP67-AL67</f>
        <v>3.0056812491690982E-3</v>
      </c>
      <c r="AT67" s="1908">
        <v>-1811.6609251603197</v>
      </c>
      <c r="AU67" s="1906">
        <f>AT67/$AT$111</f>
        <v>-5.1889440336449287E-2</v>
      </c>
      <c r="AV67" s="1911">
        <f>AV66-AV10</f>
        <v>-1193.4478563185032</v>
      </c>
      <c r="AW67" s="1911">
        <f t="shared" si="35"/>
        <v>-522.90067934429476</v>
      </c>
      <c r="AX67" s="1908">
        <f>AX66-AX10</f>
        <v>-1716.348535662798</v>
      </c>
      <c r="AY67" s="1906">
        <f t="shared" si="139"/>
        <v>-4.6811868138311979E-2</v>
      </c>
      <c r="AZ67" s="1909">
        <f>AX67/$AT$111</f>
        <v>-4.915951086704904E-2</v>
      </c>
      <c r="BA67" s="1905">
        <f>BA5-BA25-BA62-BA75-BA78</f>
        <v>117.41363444250791</v>
      </c>
      <c r="BB67" s="1906">
        <f t="shared" ref="BB67" si="143">AY67-AU67</f>
        <v>5.0775721981373076E-3</v>
      </c>
      <c r="BC67" s="1908">
        <v>-1988.6088284197472</v>
      </c>
      <c r="BD67" s="1906">
        <f>BC67/$BC$111</f>
        <v>-5.0788531255510416E-2</v>
      </c>
      <c r="BE67" s="1911">
        <f>BE66-BE10</f>
        <v>-1319.9615378885992</v>
      </c>
      <c r="BF67" s="1911">
        <f t="shared" si="37"/>
        <v>-559.70928493229962</v>
      </c>
      <c r="BG67" s="1908">
        <f>BG66-BG10</f>
        <v>-1879.6708228208988</v>
      </c>
      <c r="BH67" s="1906">
        <f t="shared" si="140"/>
        <v>-4.5577567936759295E-2</v>
      </c>
      <c r="BI67" s="1909">
        <f>BG67/$BC$111</f>
        <v>-4.8006284076880151E-2</v>
      </c>
      <c r="BJ67" s="1905">
        <f>BJ5-BJ25-BJ62-BJ75-BJ78</f>
        <v>162.36436419022988</v>
      </c>
      <c r="BK67" s="1906">
        <f t="shared" ref="BK67" si="144">BH67-BD67</f>
        <v>5.2109633187511217E-3</v>
      </c>
      <c r="BL67" s="1908">
        <f>BL66-BL10</f>
        <v>-2111.1672376735887</v>
      </c>
      <c r="BM67" s="1906">
        <f>BL67/$BL$111</f>
        <v>-4.5921432273325971E-2</v>
      </c>
    </row>
    <row r="68" spans="1:67" s="1874" customFormat="1">
      <c r="A68" s="2039" t="s">
        <v>3630</v>
      </c>
      <c r="B68" s="2040"/>
      <c r="C68" s="2041"/>
      <c r="D68" s="2040"/>
      <c r="E68" s="2041"/>
      <c r="F68" s="2040"/>
      <c r="G68" s="2041"/>
      <c r="H68" s="2040">
        <f>H66</f>
        <v>-1097.9928311851368</v>
      </c>
      <c r="I68" s="2041">
        <f>H68/$H$111</f>
        <v>-5.5896947121666797E-2</v>
      </c>
      <c r="J68" s="2042">
        <f>J66</f>
        <v>-603.95892328562161</v>
      </c>
      <c r="K68" s="2042">
        <f t="shared" ref="K68:M68" si="145">K66</f>
        <v>-608.05277366329858</v>
      </c>
      <c r="L68" s="2042">
        <f t="shared" si="145"/>
        <v>-4.0938503776769721</v>
      </c>
      <c r="M68" s="2042">
        <f t="shared" si="145"/>
        <v>-494.03390789951516</v>
      </c>
      <c r="N68" s="2042">
        <f t="shared" si="41"/>
        <v>-570.2719230096701</v>
      </c>
      <c r="O68" s="2040">
        <f>O66</f>
        <v>-1178.3246966729687</v>
      </c>
      <c r="P68" s="2041">
        <f t="shared" si="135"/>
        <v>-5.4419798945755396E-2</v>
      </c>
      <c r="Q68" s="2040">
        <f>Q67-Q11</f>
        <v>-81.575649006516727</v>
      </c>
      <c r="R68" s="2041">
        <f>P68-I68</f>
        <v>1.4771481759114011E-3</v>
      </c>
      <c r="S68" s="2040">
        <v>-872.43120710058952</v>
      </c>
      <c r="T68" s="2041">
        <f>S68/$S$111</f>
        <v>-3.5735665740135536E-2</v>
      </c>
      <c r="U68" s="2042">
        <f t="shared" ref="U68:V68" si="146">U66+U41+U42+U80+U34+U35</f>
        <v>-516.38577974093118</v>
      </c>
      <c r="V68" s="2042">
        <f t="shared" si="146"/>
        <v>-397.33903933505019</v>
      </c>
      <c r="W68" s="2040">
        <f>W66+W41+W42+W80+W34+W35+W37</f>
        <v>-868.80043746249589</v>
      </c>
      <c r="X68" s="2041">
        <f t="shared" si="136"/>
        <v>-3.4358009902205285E-2</v>
      </c>
      <c r="Y68" s="2041">
        <f>W68/$S$111</f>
        <v>-3.5586945738936192E-2</v>
      </c>
      <c r="Z68" s="2040">
        <f>W68-S68</f>
        <v>3.630769638093625</v>
      </c>
      <c r="AA68" s="1952">
        <f t="shared" si="38"/>
        <v>1.3776558379302514E-3</v>
      </c>
      <c r="AB68" s="2040">
        <v>-833.87948198167112</v>
      </c>
      <c r="AC68" s="1952">
        <f>AB68/$AB$111</f>
        <v>-3.0112731457257128E-2</v>
      </c>
      <c r="AD68" s="2042">
        <f t="shared" ref="AD68:AE68" si="147">AD66+AD41+AD42+AD80+AD34+AD35</f>
        <v>-1091.9750747326557</v>
      </c>
      <c r="AE68" s="2042">
        <f t="shared" si="147"/>
        <v>-316.25926576586005</v>
      </c>
      <c r="AF68" s="2040">
        <f>AF66+AF41+AF42+AF80+AF34+AF35+AF37</f>
        <v>-892.83752365521616</v>
      </c>
      <c r="AG68" s="1952">
        <f t="shared" si="137"/>
        <v>-3.0948249504178002E-2</v>
      </c>
      <c r="AH68" s="2041">
        <f>AF68/$AB$111</f>
        <v>-3.2241801322295802E-2</v>
      </c>
      <c r="AI68" s="2043">
        <f>AF68-AB68</f>
        <v>-58.95804167354504</v>
      </c>
      <c r="AJ68" s="1952">
        <f t="shared" si="141"/>
        <v>-8.3551804692087381E-4</v>
      </c>
      <c r="AK68" s="2040">
        <v>-937.13072371265673</v>
      </c>
      <c r="AL68" s="1952">
        <f>AL66+AL41+AL42+AL80+AL34+AL35</f>
        <v>-3.1957891662737298E-2</v>
      </c>
      <c r="AM68" s="2042">
        <f t="shared" ref="AM68:AN68" si="148">AM66+AM41+AM42+AM80+AM34+AM35</f>
        <v>-1141.4950284401973</v>
      </c>
      <c r="AN68" s="2042">
        <f t="shared" si="148"/>
        <v>-215.85587760516071</v>
      </c>
      <c r="AO68" s="2040">
        <f>AO66+AO41+AO42+AO80+AO34+AO35+AO37</f>
        <v>-980.20567112076731</v>
      </c>
      <c r="AP68" s="1952">
        <f t="shared" si="138"/>
        <v>-3.0163020704681746E-2</v>
      </c>
      <c r="AQ68" s="2041">
        <f>AO68/$AK$111</f>
        <v>-3.1470956633011429E-2</v>
      </c>
      <c r="AR68" s="2043">
        <f>AO68-AK68</f>
        <v>-43.074947408110575</v>
      </c>
      <c r="AS68" s="1952">
        <f t="shared" si="142"/>
        <v>1.7948709580555521E-3</v>
      </c>
      <c r="AT68" s="2040">
        <v>-977.91112034878938</v>
      </c>
      <c r="AU68" s="3114">
        <f t="shared" ref="AU68:AU85" si="149">AT68/$AT$111</f>
        <v>-2.8009248325096128E-2</v>
      </c>
      <c r="AV68" s="2042"/>
      <c r="AW68" s="2042"/>
      <c r="AX68" s="2040">
        <f>AX66+AX41+AX42+AX80+AX34+AX35+AX37</f>
        <v>-1043.6862113669738</v>
      </c>
      <c r="AY68" s="1952">
        <f t="shared" si="139"/>
        <v>-2.8465606075410689E-2</v>
      </c>
      <c r="AZ68" s="2041">
        <f t="shared" ref="AZ68" si="150">AX68/$AT$111</f>
        <v>-2.989317296773342E-2</v>
      </c>
      <c r="BA68" s="2043">
        <f>BA6-BA26-BA63-BA76-BA79</f>
        <v>-20.439624323582848</v>
      </c>
      <c r="BB68" s="1952">
        <f t="shared" ref="BB68" si="151">AY68-AU68</f>
        <v>-4.5635775031456147E-4</v>
      </c>
      <c r="BC68" s="2040">
        <v>-1139.3860352046963</v>
      </c>
      <c r="BD68" s="1952">
        <f t="shared" ref="BD68:BD85" si="152">BC68/$BC$111</f>
        <v>-2.9099610961231905E-2</v>
      </c>
      <c r="BE68" s="2042"/>
      <c r="BF68" s="2042"/>
      <c r="BG68" s="2040">
        <f>BG66+BG41+BG42+BG80+BG34+BG35+BG37</f>
        <v>-1207.1818317309651</v>
      </c>
      <c r="BH68" s="1952">
        <f t="shared" si="140"/>
        <v>-2.9271301804412866E-2</v>
      </c>
      <c r="BI68" s="2041">
        <f t="shared" ref="BI68" si="153">BG68/$BC$111</f>
        <v>-3.0831097255398069E-2</v>
      </c>
      <c r="BJ68" s="2043">
        <f>BJ6-BJ26-BJ63-BJ76-BJ79</f>
        <v>48.157580726541255</v>
      </c>
      <c r="BK68" s="1952">
        <f t="shared" ref="BK68" si="154">BH68-BD68</f>
        <v>-1.716908431809612E-4</v>
      </c>
      <c r="BL68" s="2040">
        <f>BL66+BL41+BL42+BL80+BL34+BL35+BL37</f>
        <v>-1182.1849116580963</v>
      </c>
      <c r="BM68" s="1952">
        <f>BL68/$BL$111</f>
        <v>-2.5714506831338309E-2</v>
      </c>
    </row>
    <row r="69" spans="1:67" s="1839" customFormat="1" ht="12.7" hidden="1" customHeight="1">
      <c r="A69" s="1841" t="s">
        <v>3631</v>
      </c>
      <c r="B69" s="1980"/>
      <c r="C69" s="1981">
        <f t="shared" ref="C69:C75" si="155">B69/$B$111</f>
        <v>0</v>
      </c>
      <c r="D69" s="1980"/>
      <c r="E69" s="1981">
        <f t="shared" ref="E69:E75" si="156">D69/$D$111</f>
        <v>0</v>
      </c>
      <c r="F69" s="1980"/>
      <c r="G69" s="1981">
        <f t="shared" si="26"/>
        <v>0</v>
      </c>
      <c r="H69" s="1980"/>
      <c r="I69" s="1981"/>
      <c r="J69" s="1911">
        <f>J67</f>
        <v>-921.05418097219331</v>
      </c>
      <c r="K69" s="1982"/>
      <c r="L69" s="1983">
        <f t="shared" si="27"/>
        <v>921.05418097219331</v>
      </c>
      <c r="M69" s="1983"/>
      <c r="N69" s="1983">
        <f t="shared" si="41"/>
        <v>-692.455934173635</v>
      </c>
      <c r="O69" s="1980">
        <f>FISC!AJ1258</f>
        <v>-692.455934173635</v>
      </c>
      <c r="P69" s="1909">
        <f t="shared" si="135"/>
        <v>-3.1980414925465189E-2</v>
      </c>
      <c r="Q69" s="1908">
        <f>Q68-Q12</f>
        <v>-83.256145590877765</v>
      </c>
      <c r="R69" s="1909">
        <f>P69-I69</f>
        <v>-3.1980414925465189E-2</v>
      </c>
      <c r="S69" s="1980">
        <v>-876.45878641086006</v>
      </c>
      <c r="T69" s="1984"/>
      <c r="U69" s="2003"/>
      <c r="V69" s="2003">
        <f t="shared" si="28"/>
        <v>-873.32610040397981</v>
      </c>
      <c r="W69" s="1980">
        <f>FISC!AK1258</f>
        <v>-873.32610040397981</v>
      </c>
      <c r="X69" s="1909">
        <f t="shared" si="136"/>
        <v>-3.453698399735157E-2</v>
      </c>
      <c r="Y69" s="2835">
        <f t="shared" ref="Y69:Y110" si="157">W69/$S$111</f>
        <v>-3.5772321476086708E-2</v>
      </c>
      <c r="Z69" s="1908">
        <f>Z68-Z12</f>
        <v>3.630769638093625</v>
      </c>
      <c r="AA69" s="1906">
        <f t="shared" ref="AA69" si="158">X69-T69</f>
        <v>-3.453698399735157E-2</v>
      </c>
      <c r="AB69" s="1980">
        <v>-722.96224378039187</v>
      </c>
      <c r="AC69" s="1981"/>
      <c r="AD69" s="1982"/>
      <c r="AE69" s="1982">
        <f t="shared" si="30"/>
        <v>-807.05855274319595</v>
      </c>
      <c r="AF69" s="1980">
        <f>FISC!AL1258</f>
        <v>-807.05855274319595</v>
      </c>
      <c r="AG69" s="1906">
        <f t="shared" si="137"/>
        <v>-2.7974910096209761E-2</v>
      </c>
      <c r="AH69" s="2835">
        <f t="shared" ref="AH69:AH110" si="159">AF69/$AB$111</f>
        <v>-2.9144184494483853E-2</v>
      </c>
      <c r="AI69" s="1905">
        <f>AI7-AI27-AI64-AI77-AI82</f>
        <v>-33.140999823958964</v>
      </c>
      <c r="AJ69" s="1885">
        <f t="shared" si="141"/>
        <v>-2.7974910096209761E-2</v>
      </c>
      <c r="AK69" s="1980">
        <v>-686.28012814009935</v>
      </c>
      <c r="AL69" s="1981"/>
      <c r="AM69" s="1982"/>
      <c r="AN69" s="1982">
        <f t="shared" si="33"/>
        <v>-737.0636723524417</v>
      </c>
      <c r="AO69" s="1980">
        <f>FISC!AM1258</f>
        <v>-737.0636723524417</v>
      </c>
      <c r="AP69" s="1981">
        <f t="shared" si="138"/>
        <v>-2.2681022427074222E-2</v>
      </c>
      <c r="AQ69" s="2835">
        <f t="shared" ref="AQ69:AQ108" si="160">AO69/$AK$111</f>
        <v>-2.3664522203640601E-2</v>
      </c>
      <c r="AR69" s="1980">
        <f>AR7-AR27-AR64-AR77-AR82</f>
        <v>-5.5893388727413509</v>
      </c>
      <c r="AS69" s="2811">
        <f t="shared" ref="AS69" si="161">AP69-AL69</f>
        <v>-2.2681022427074222E-2</v>
      </c>
      <c r="AT69" s="1980">
        <v>-364.41168252760406</v>
      </c>
      <c r="AU69" s="1981"/>
      <c r="AV69" s="1982"/>
      <c r="AW69" s="1982">
        <f t="shared" si="35"/>
        <v>-401.81364505066597</v>
      </c>
      <c r="AX69" s="1980">
        <f>FISC!AN1258</f>
        <v>-401.81364505066597</v>
      </c>
      <c r="AY69" s="1981">
        <f t="shared" si="139"/>
        <v>-1.0959107067972412E-2</v>
      </c>
      <c r="AZ69" s="2835">
        <f t="shared" ref="AZ69:AZ110" si="162">AX69/$AT$111</f>
        <v>-1.150871273518397E-2</v>
      </c>
      <c r="BA69" s="1980">
        <f>BA7-BA27-BA64-BA77-BA82</f>
        <v>-24.641570414462095</v>
      </c>
      <c r="BB69" s="2811">
        <f t="shared" ref="BB69" si="163">AY69-AU69</f>
        <v>-1.0959107067972412E-2</v>
      </c>
      <c r="BC69" s="1980">
        <v>-484.65014069878407</v>
      </c>
      <c r="BD69" s="1981"/>
      <c r="BE69" s="1982"/>
      <c r="BF69" s="1982">
        <f t="shared" si="37"/>
        <v>-539.55531772851305</v>
      </c>
      <c r="BG69" s="1980">
        <f>FISC!AO1258</f>
        <v>-539.55531772851305</v>
      </c>
      <c r="BH69" s="1981">
        <f t="shared" si="140"/>
        <v>-1.3082939231085899E-2</v>
      </c>
      <c r="BI69" s="2835">
        <f t="shared" ref="BI69:BI111" si="164">BG69/$BC$111</f>
        <v>-1.3780096782687762E-2</v>
      </c>
      <c r="BJ69" s="1980">
        <f>BJ7-BJ27-BJ64-BJ77-BJ82</f>
        <v>-28.087033614320291</v>
      </c>
      <c r="BK69" s="2811">
        <f t="shared" ref="BK69" si="165">BH69-BD69</f>
        <v>-1.3082939231085899E-2</v>
      </c>
      <c r="BL69" s="1980">
        <f>FISC!AT1258</f>
        <v>-2744.5037450143154</v>
      </c>
      <c r="BM69" s="1981">
        <f t="shared" ref="BM69:BM111" si="166">BL69/$BL$111</f>
        <v>-5.9697564741221294E-2</v>
      </c>
    </row>
    <row r="70" spans="1:67">
      <c r="A70" s="1803" t="s">
        <v>563</v>
      </c>
      <c r="B70" s="1804">
        <v>184.95865616137789</v>
      </c>
      <c r="C70" s="1805">
        <f t="shared" si="155"/>
        <v>1.0710829820368573E-2</v>
      </c>
      <c r="D70" s="1806">
        <f>FISC!AI1268</f>
        <v>98.808502031925599</v>
      </c>
      <c r="E70" s="1807">
        <f t="shared" si="156"/>
        <v>5.327321851027125E-3</v>
      </c>
      <c r="F70" s="1842">
        <f t="shared" ref="F70:F102" si="167">D70-B70</f>
        <v>-86.150154129452289</v>
      </c>
      <c r="G70" s="1886">
        <f t="shared" si="26"/>
        <v>-5.3835079693414483E-3</v>
      </c>
      <c r="H70" s="1945">
        <v>300.63460676457822</v>
      </c>
      <c r="I70" s="1946">
        <f t="shared" ref="I70:I85" si="168">H70/$H$111</f>
        <v>1.5304796388446765E-2</v>
      </c>
      <c r="J70" s="1974">
        <v>168.0418671217891</v>
      </c>
      <c r="K70" s="1974">
        <f>FISCinyear!JI947</f>
        <v>791.21481631413519</v>
      </c>
      <c r="L70" s="1968">
        <f t="shared" si="27"/>
        <v>623.1729491923461</v>
      </c>
      <c r="M70" s="1968">
        <v>132.59273964278913</v>
      </c>
      <c r="N70" s="1968">
        <f t="shared" si="41"/>
        <v>-426.36461213121481</v>
      </c>
      <c r="O70" s="1806">
        <f>FISC!AJ1268</f>
        <v>364.85020418292038</v>
      </c>
      <c r="P70" s="1891">
        <f t="shared" si="135"/>
        <v>1.6850257669226203E-2</v>
      </c>
      <c r="Q70" s="1842">
        <f t="shared" ref="Q70:Q110" si="169">O70-H70</f>
        <v>64.215597418342156</v>
      </c>
      <c r="R70" s="1886">
        <f t="shared" ref="R70:R110" si="170">P70-I70</f>
        <v>1.5454612807794376E-3</v>
      </c>
      <c r="S70" s="1945">
        <v>698.68790344691581</v>
      </c>
      <c r="T70" s="1946">
        <f t="shared" ref="T70:T85" si="171">S70/$S$111</f>
        <v>2.8618964075383318E-2</v>
      </c>
      <c r="U70" s="1974">
        <f>FISCinyear!JL947</f>
        <v>411.68763053145938</v>
      </c>
      <c r="V70" s="1974">
        <f t="shared" ref="V70:V110" si="172">W70-U70</f>
        <v>311.98082933778085</v>
      </c>
      <c r="W70" s="1806">
        <f>FISC!AK1268</f>
        <v>723.66845986924022</v>
      </c>
      <c r="X70" s="1891">
        <f t="shared" si="136"/>
        <v>2.8618549252485057E-2</v>
      </c>
      <c r="Y70" s="2831">
        <f t="shared" si="157"/>
        <v>2.964219296385642E-2</v>
      </c>
      <c r="Z70" s="1842">
        <f t="shared" ref="Z70:Z110" si="173">W70-S70</f>
        <v>24.980556422324412</v>
      </c>
      <c r="AA70" s="1886">
        <f t="shared" si="38"/>
        <v>-4.1482289826061391E-7</v>
      </c>
      <c r="AB70" s="1945">
        <v>649.54442440226956</v>
      </c>
      <c r="AC70" s="1946">
        <f t="shared" ref="AC70:AC85" si="174">AB70/$AB$111</f>
        <v>2.3456095568033318E-2</v>
      </c>
      <c r="AD70" s="1974">
        <f>FISCinyear!JO947</f>
        <v>306.79416575811354</v>
      </c>
      <c r="AE70" s="1974">
        <f t="shared" ref="AE70:AE110" si="175">AF70-AD70</f>
        <v>340.70604393415579</v>
      </c>
      <c r="AF70" s="1806">
        <f>FISC!AL1268</f>
        <v>647.50020969226932</v>
      </c>
      <c r="AG70" s="1807">
        <f t="shared" si="137"/>
        <v>2.2444170985920966E-2</v>
      </c>
      <c r="AH70" s="2831">
        <f t="shared" si="159"/>
        <v>2.3382275681666856E-2</v>
      </c>
      <c r="AI70" s="1842">
        <f t="shared" ref="AI70:AI110" si="176">AF70-AB70</f>
        <v>-2.044214710000233</v>
      </c>
      <c r="AJ70" s="1886">
        <f t="shared" si="32"/>
        <v>-1.0119245821123522E-3</v>
      </c>
      <c r="AK70" s="1945">
        <v>540.02546061932753</v>
      </c>
      <c r="AL70" s="1946">
        <f t="shared" ref="AL70:AL85" si="177">AK70/$AK$111</f>
        <v>1.7338318225031953E-2</v>
      </c>
      <c r="AM70" s="1974">
        <f>FISCinyear!JR947</f>
        <v>319.24937319570597</v>
      </c>
      <c r="AN70" s="1974">
        <f t="shared" ref="AN70:AN110" si="178">AO70-AM70</f>
        <v>216.09245445256772</v>
      </c>
      <c r="AO70" s="1806">
        <f>FISC!AM1268</f>
        <v>535.34182764827369</v>
      </c>
      <c r="AP70" s="1807">
        <f t="shared" si="138"/>
        <v>1.6473610699450414E-2</v>
      </c>
      <c r="AQ70" s="2831">
        <f t="shared" si="160"/>
        <v>1.7187943243066748E-2</v>
      </c>
      <c r="AR70" s="1842">
        <f t="shared" ref="AR70:AR78" si="179">AO70-AK70</f>
        <v>-4.6836329710538394</v>
      </c>
      <c r="AS70" s="1886">
        <f t="shared" si="34"/>
        <v>-8.6470752558153938E-4</v>
      </c>
      <c r="AT70" s="1945">
        <v>192.26477287585013</v>
      </c>
      <c r="AU70" s="1946">
        <f t="shared" si="149"/>
        <v>5.5068315060444019E-3</v>
      </c>
      <c r="AV70" s="1974">
        <f>FISCinyear!JU947</f>
        <v>98.504879862531254</v>
      </c>
      <c r="AW70" s="1974">
        <f t="shared" ref="AW70:AW110" si="180">AX70-AV70</f>
        <v>99.753402717190966</v>
      </c>
      <c r="AX70" s="1806">
        <f>FISC!AN1268</f>
        <v>198.25828257972222</v>
      </c>
      <c r="AY70" s="1807">
        <f t="shared" si="139"/>
        <v>5.4073169805608232E-3</v>
      </c>
      <c r="AZ70" s="2831">
        <f t="shared" si="162"/>
        <v>5.6784971085121925E-3</v>
      </c>
      <c r="BA70" s="1842">
        <f t="shared" ref="BA70:BA96" si="181">AX70-AT70</f>
        <v>5.9935097038720926</v>
      </c>
      <c r="BB70" s="1886">
        <f t="shared" si="36"/>
        <v>-9.9514525483578725E-5</v>
      </c>
      <c r="BC70" s="1945">
        <v>183.24803993025967</v>
      </c>
      <c r="BD70" s="1946">
        <f t="shared" si="152"/>
        <v>4.680105343243781E-3</v>
      </c>
      <c r="BE70" s="1974">
        <f>FISCinyear!JX947</f>
        <v>93.720548068413507</v>
      </c>
      <c r="BF70" s="1974">
        <f t="shared" ref="BF70:BF110" si="182">BG70-BE70</f>
        <v>95.755507585047383</v>
      </c>
      <c r="BG70" s="1806">
        <f>FISC!AO1268</f>
        <v>189.47605565346089</v>
      </c>
      <c r="BH70" s="1807">
        <f t="shared" si="140"/>
        <v>4.5943458259221229E-3</v>
      </c>
      <c r="BI70" s="2831">
        <f t="shared" si="164"/>
        <v>4.8391671791851278E-3</v>
      </c>
      <c r="BJ70" s="1842">
        <f t="shared" ref="BJ70:BJ95" si="183">BG70-BC70</f>
        <v>6.2280157232012243</v>
      </c>
      <c r="BK70" s="1886">
        <f t="shared" si="133"/>
        <v>-8.5759517321658089E-5</v>
      </c>
      <c r="BL70" s="1806">
        <f>FISC!AP1268</f>
        <v>183.48452424549382</v>
      </c>
      <c r="BM70" s="1807">
        <f t="shared" si="166"/>
        <v>3.9910964905972178E-3</v>
      </c>
    </row>
    <row r="71" spans="1:67">
      <c r="A71" s="1818" t="s">
        <v>564</v>
      </c>
      <c r="B71" s="1795">
        <v>184.95865616137789</v>
      </c>
      <c r="C71" s="1788">
        <f t="shared" si="155"/>
        <v>1.0710829820368573E-2</v>
      </c>
      <c r="D71" s="1796">
        <f>FISC!AI1269</f>
        <v>98.808502031925599</v>
      </c>
      <c r="E71" s="1790">
        <f t="shared" si="156"/>
        <v>5.327321851027125E-3</v>
      </c>
      <c r="F71" s="1791">
        <f t="shared" si="167"/>
        <v>-86.150154129452289</v>
      </c>
      <c r="G71" s="1880">
        <f t="shared" si="26"/>
        <v>-5.3835079693414483E-3</v>
      </c>
      <c r="H71" s="1947">
        <v>300.63460676457822</v>
      </c>
      <c r="I71" s="1942">
        <f t="shared" si="168"/>
        <v>1.5304796388446765E-2</v>
      </c>
      <c r="J71" s="1975">
        <v>168.0418671217891</v>
      </c>
      <c r="K71" s="1975">
        <f>FISCinyear!JI948</f>
        <v>791.21481631413519</v>
      </c>
      <c r="L71" s="1964">
        <f t="shared" si="27"/>
        <v>623.1729491923461</v>
      </c>
      <c r="M71" s="1964">
        <v>132.59273964278913</v>
      </c>
      <c r="N71" s="1964">
        <f t="shared" si="41"/>
        <v>-426.36461213121481</v>
      </c>
      <c r="O71" s="1796">
        <f>FISC!AJ1269</f>
        <v>364.85020418292038</v>
      </c>
      <c r="P71" s="1889">
        <f t="shared" si="135"/>
        <v>1.6850257669226203E-2</v>
      </c>
      <c r="Q71" s="1791">
        <f t="shared" si="169"/>
        <v>64.215597418342156</v>
      </c>
      <c r="R71" s="1880">
        <f t="shared" si="170"/>
        <v>1.5454612807794376E-3</v>
      </c>
      <c r="S71" s="1947">
        <v>698.68790344691581</v>
      </c>
      <c r="T71" s="1942">
        <f t="shared" si="171"/>
        <v>2.8618964075383318E-2</v>
      </c>
      <c r="U71" s="1975">
        <f>FISCinyear!JL948</f>
        <v>411.68763053145938</v>
      </c>
      <c r="V71" s="1975">
        <f t="shared" si="172"/>
        <v>311.98082933778085</v>
      </c>
      <c r="W71" s="1796">
        <f>FISC!AK1269</f>
        <v>723.66845986924022</v>
      </c>
      <c r="X71" s="1889">
        <f t="shared" si="136"/>
        <v>2.8618549252485057E-2</v>
      </c>
      <c r="Y71" s="2830">
        <f t="shared" si="157"/>
        <v>2.964219296385642E-2</v>
      </c>
      <c r="Z71" s="1791">
        <f t="shared" si="173"/>
        <v>24.980556422324412</v>
      </c>
      <c r="AA71" s="1880">
        <f t="shared" si="38"/>
        <v>-4.1482289826061391E-7</v>
      </c>
      <c r="AB71" s="1947">
        <v>649.54442440226956</v>
      </c>
      <c r="AC71" s="1942">
        <f t="shared" si="174"/>
        <v>2.3456095568033318E-2</v>
      </c>
      <c r="AD71" s="1975">
        <f>FISCinyear!JO948</f>
        <v>306.79416575811354</v>
      </c>
      <c r="AE71" s="1975">
        <f t="shared" si="175"/>
        <v>340.70604393415579</v>
      </c>
      <c r="AF71" s="1796">
        <f>FISC!AL1269</f>
        <v>647.50020969226932</v>
      </c>
      <c r="AG71" s="1790">
        <f t="shared" si="137"/>
        <v>2.2444170985920966E-2</v>
      </c>
      <c r="AH71" s="2830">
        <f t="shared" si="159"/>
        <v>2.3382275681666856E-2</v>
      </c>
      <c r="AI71" s="1791">
        <f t="shared" si="176"/>
        <v>-2.044214710000233</v>
      </c>
      <c r="AJ71" s="1880">
        <f t="shared" si="32"/>
        <v>-1.0119245821123522E-3</v>
      </c>
      <c r="AK71" s="1947">
        <v>540.02546061932753</v>
      </c>
      <c r="AL71" s="1942">
        <f t="shared" si="177"/>
        <v>1.7338318225031953E-2</v>
      </c>
      <c r="AM71" s="1975">
        <f>FISCinyear!JR948</f>
        <v>319.24937319570597</v>
      </c>
      <c r="AN71" s="1975">
        <f t="shared" si="178"/>
        <v>216.09245445256772</v>
      </c>
      <c r="AO71" s="1796">
        <f>FISC!AM1269</f>
        <v>535.34182764827369</v>
      </c>
      <c r="AP71" s="1790">
        <f t="shared" si="138"/>
        <v>1.6473610699450414E-2</v>
      </c>
      <c r="AQ71" s="2830">
        <f t="shared" si="160"/>
        <v>1.7187943243066748E-2</v>
      </c>
      <c r="AR71" s="1791">
        <f t="shared" si="179"/>
        <v>-4.6836329710538394</v>
      </c>
      <c r="AS71" s="1880">
        <f t="shared" si="34"/>
        <v>-8.6470752558153938E-4</v>
      </c>
      <c r="AT71" s="1947">
        <v>192.26477287585013</v>
      </c>
      <c r="AU71" s="1942">
        <f t="shared" si="149"/>
        <v>5.5068315060444019E-3</v>
      </c>
      <c r="AV71" s="1975">
        <f>FISCinyear!JU948</f>
        <v>98.504879862531254</v>
      </c>
      <c r="AW71" s="1975">
        <f t="shared" si="180"/>
        <v>99.753402717190966</v>
      </c>
      <c r="AX71" s="1796">
        <f>FISC!AN1269</f>
        <v>198.25828257972222</v>
      </c>
      <c r="AY71" s="1790">
        <f t="shared" si="139"/>
        <v>5.4073169805608232E-3</v>
      </c>
      <c r="AZ71" s="2830">
        <f t="shared" si="162"/>
        <v>5.6784971085121925E-3</v>
      </c>
      <c r="BA71" s="1791">
        <f t="shared" si="181"/>
        <v>5.9935097038720926</v>
      </c>
      <c r="BB71" s="1880">
        <f t="shared" si="36"/>
        <v>-9.9514525483578725E-5</v>
      </c>
      <c r="BC71" s="1947">
        <v>183.24803993025967</v>
      </c>
      <c r="BD71" s="1942">
        <f t="shared" si="152"/>
        <v>4.680105343243781E-3</v>
      </c>
      <c r="BE71" s="1975">
        <f>FISCinyear!JX948</f>
        <v>93.720548068413507</v>
      </c>
      <c r="BF71" s="1975">
        <f t="shared" si="182"/>
        <v>95.755507585047383</v>
      </c>
      <c r="BG71" s="1796">
        <f>FISC!AO1269</f>
        <v>189.47605565346089</v>
      </c>
      <c r="BH71" s="1790">
        <f t="shared" si="140"/>
        <v>4.5943458259221229E-3</v>
      </c>
      <c r="BI71" s="2830">
        <f t="shared" si="164"/>
        <v>4.8391671791851278E-3</v>
      </c>
      <c r="BJ71" s="1791">
        <f t="shared" si="183"/>
        <v>6.2280157232012243</v>
      </c>
      <c r="BK71" s="1880">
        <f t="shared" si="133"/>
        <v>-8.5759517321658089E-5</v>
      </c>
      <c r="BL71" s="1796">
        <f>FISC!AP1269</f>
        <v>183.48452424549382</v>
      </c>
      <c r="BM71" s="1790">
        <f t="shared" si="166"/>
        <v>3.9910964905972178E-3</v>
      </c>
    </row>
    <row r="72" spans="1:67">
      <c r="A72" s="1787" t="s">
        <v>565</v>
      </c>
      <c r="B72" s="1795">
        <v>73.805133476113781</v>
      </c>
      <c r="C72" s="1788">
        <f t="shared" si="155"/>
        <v>4.2740050178701151E-3</v>
      </c>
      <c r="D72" s="1796">
        <f>FISC!AI1271</f>
        <v>-12.597342287074412</v>
      </c>
      <c r="E72" s="1790">
        <f t="shared" si="156"/>
        <v>-6.7919354560314928E-4</v>
      </c>
      <c r="F72" s="1791">
        <f t="shared" si="167"/>
        <v>-86.402475763188193</v>
      </c>
      <c r="G72" s="1880">
        <f t="shared" si="26"/>
        <v>-4.9531985634732644E-3</v>
      </c>
      <c r="H72" s="1947">
        <v>169.71692641443667</v>
      </c>
      <c r="I72" s="1942">
        <f t="shared" si="168"/>
        <v>8.6400000000000001E-3</v>
      </c>
      <c r="J72" s="1975">
        <v>84.858463207218335</v>
      </c>
      <c r="K72" s="1975">
        <f>FISCinyear!JI950</f>
        <v>679.8985160574781</v>
      </c>
      <c r="L72" s="1964">
        <f t="shared" ref="L72:L110" si="184">K72-J72</f>
        <v>595.04005285025983</v>
      </c>
      <c r="M72" s="1964">
        <v>84.858463207218335</v>
      </c>
      <c r="N72" s="1964">
        <f t="shared" si="41"/>
        <v>-479.00498640246383</v>
      </c>
      <c r="O72" s="1796">
        <f>FISC!AJ1271</f>
        <v>200.89352965501428</v>
      </c>
      <c r="P72" s="1889">
        <f t="shared" si="135"/>
        <v>9.2780754949781455E-3</v>
      </c>
      <c r="Q72" s="1791">
        <f t="shared" si="169"/>
        <v>31.176603240577606</v>
      </c>
      <c r="R72" s="1880">
        <f t="shared" si="170"/>
        <v>6.3807549497814538E-4</v>
      </c>
      <c r="S72" s="1947">
        <v>106.35991975638872</v>
      </c>
      <c r="T72" s="1942">
        <f t="shared" si="171"/>
        <v>4.3566100222314904E-3</v>
      </c>
      <c r="U72" s="1975">
        <f>FISCinyear!JL950</f>
        <v>172.7813533939684</v>
      </c>
      <c r="V72" s="1975">
        <f t="shared" si="172"/>
        <v>-40.62134529909838</v>
      </c>
      <c r="W72" s="1796">
        <f>FISC!AK1271</f>
        <v>132.16000809487002</v>
      </c>
      <c r="X72" s="1889">
        <f t="shared" si="136"/>
        <v>5.2264647564649602E-3</v>
      </c>
      <c r="Y72" s="2830">
        <f t="shared" si="157"/>
        <v>5.4134077679173958E-3</v>
      </c>
      <c r="Z72" s="1791">
        <f t="shared" si="173"/>
        <v>25.800088338481302</v>
      </c>
      <c r="AA72" s="1880">
        <f t="shared" si="38"/>
        <v>8.698547342334698E-4</v>
      </c>
      <c r="AB72" s="1947">
        <v>138.45962183226445</v>
      </c>
      <c r="AC72" s="1942">
        <f t="shared" si="174"/>
        <v>4.9999999999999992E-3</v>
      </c>
      <c r="AD72" s="1975">
        <f>FISCinyear!JO950</f>
        <v>72.123426846378138</v>
      </c>
      <c r="AE72" s="1975">
        <f t="shared" si="175"/>
        <v>72.123426846378138</v>
      </c>
      <c r="AF72" s="1796">
        <f>FISC!AL1271</f>
        <v>144.24685369275628</v>
      </c>
      <c r="AG72" s="1790">
        <f t="shared" si="137"/>
        <v>5.0000000000000001E-3</v>
      </c>
      <c r="AH72" s="2830">
        <f t="shared" si="159"/>
        <v>5.2089862655952763E-3</v>
      </c>
      <c r="AI72" s="1791">
        <f t="shared" si="176"/>
        <v>5.7872318604918291</v>
      </c>
      <c r="AJ72" s="1880">
        <f t="shared" si="32"/>
        <v>0</v>
      </c>
      <c r="AK72" s="1947">
        <v>124.58543063067637</v>
      </c>
      <c r="AL72" s="1942">
        <f t="shared" si="177"/>
        <v>4.0000000000000001E-3</v>
      </c>
      <c r="AM72" s="1975">
        <f>FISCinyear!JR950</f>
        <v>64.993866543918458</v>
      </c>
      <c r="AN72" s="1975">
        <f t="shared" si="178"/>
        <v>64.993866543918458</v>
      </c>
      <c r="AO72" s="1796">
        <f>FISC!AM1271</f>
        <v>129.98773308783692</v>
      </c>
      <c r="AP72" s="1790">
        <f t="shared" si="138"/>
        <v>4.0000000000000001E-3</v>
      </c>
      <c r="AQ72" s="2830">
        <f t="shared" si="160"/>
        <v>4.1734489315424133E-3</v>
      </c>
      <c r="AR72" s="1791">
        <f t="shared" si="179"/>
        <v>5.4023024571605447</v>
      </c>
      <c r="AS72" s="1880">
        <f t="shared" si="34"/>
        <v>0</v>
      </c>
      <c r="AT72" s="1947">
        <v>122.19852819663329</v>
      </c>
      <c r="AU72" s="1942">
        <f t="shared" si="149"/>
        <v>3.5000000000000001E-3</v>
      </c>
      <c r="AV72" s="1975">
        <f>FISCinyear!JU950</f>
        <v>64.163428140387936</v>
      </c>
      <c r="AW72" s="1975">
        <f t="shared" si="180"/>
        <v>64.163428140387936</v>
      </c>
      <c r="AX72" s="1796">
        <f>FISC!AN1271</f>
        <v>128.32685628077587</v>
      </c>
      <c r="AY72" s="1790">
        <f t="shared" si="139"/>
        <v>3.4999999999999996E-3</v>
      </c>
      <c r="AZ72" s="2830">
        <f t="shared" si="162"/>
        <v>3.6755270592128946E-3</v>
      </c>
      <c r="BA72" s="1791">
        <f t="shared" si="181"/>
        <v>6.1283280841425807</v>
      </c>
      <c r="BB72" s="1880">
        <f t="shared" ref="BB72:BB110" si="185">AY72-AU72</f>
        <v>0</v>
      </c>
      <c r="BC72" s="1947">
        <v>117.46404823651926</v>
      </c>
      <c r="BD72" s="1942">
        <f t="shared" si="152"/>
        <v>3.0000000000000001E-3</v>
      </c>
      <c r="BE72" s="1975">
        <f>FISCinyear!JX950</f>
        <v>61.861708771813504</v>
      </c>
      <c r="BF72" s="1975">
        <f t="shared" si="182"/>
        <v>61.861708771813504</v>
      </c>
      <c r="BG72" s="1796">
        <f>FISC!AO1271</f>
        <v>123.72341754362701</v>
      </c>
      <c r="BH72" s="1790">
        <f t="shared" si="140"/>
        <v>3.0000000000000001E-3</v>
      </c>
      <c r="BI72" s="2830">
        <f t="shared" si="164"/>
        <v>3.1598625979883878E-3</v>
      </c>
      <c r="BJ72" s="1791">
        <f t="shared" si="183"/>
        <v>6.2593693071077467</v>
      </c>
      <c r="BK72" s="1880">
        <f t="shared" si="133"/>
        <v>0</v>
      </c>
      <c r="BL72" s="1796">
        <f>FISC!AP1271</f>
        <v>137.92038704985382</v>
      </c>
      <c r="BM72" s="1790">
        <f t="shared" si="166"/>
        <v>3.0000000000000005E-3</v>
      </c>
    </row>
    <row r="73" spans="1:67">
      <c r="A73" s="1787" t="s">
        <v>567</v>
      </c>
      <c r="B73" s="1814">
        <v>0</v>
      </c>
      <c r="C73" s="1788">
        <f t="shared" si="155"/>
        <v>0</v>
      </c>
      <c r="D73" s="1843">
        <f t="shared" ref="D73" si="186">B73</f>
        <v>0</v>
      </c>
      <c r="E73" s="1790">
        <f t="shared" si="156"/>
        <v>0</v>
      </c>
      <c r="F73" s="1791">
        <f t="shared" si="167"/>
        <v>0</v>
      </c>
      <c r="G73" s="1880">
        <f t="shared" si="26"/>
        <v>0</v>
      </c>
      <c r="H73" s="1958">
        <v>0</v>
      </c>
      <c r="I73" s="1942">
        <f t="shared" si="168"/>
        <v>0</v>
      </c>
      <c r="J73" s="1975">
        <v>0</v>
      </c>
      <c r="K73" s="1975">
        <f>FISCinyear!JI966</f>
        <v>0</v>
      </c>
      <c r="L73" s="1964">
        <f t="shared" si="184"/>
        <v>0</v>
      </c>
      <c r="M73" s="1964">
        <v>0</v>
      </c>
      <c r="N73" s="1964">
        <f t="shared" si="41"/>
        <v>0</v>
      </c>
      <c r="O73" s="1843">
        <f>H73</f>
        <v>0</v>
      </c>
      <c r="P73" s="1889">
        <f t="shared" si="135"/>
        <v>0</v>
      </c>
      <c r="Q73" s="1791">
        <f t="shared" si="169"/>
        <v>0</v>
      </c>
      <c r="R73" s="1880">
        <f t="shared" si="170"/>
        <v>0</v>
      </c>
      <c r="S73" s="1958">
        <v>0</v>
      </c>
      <c r="T73" s="1942">
        <f t="shared" si="171"/>
        <v>0</v>
      </c>
      <c r="U73" s="1975">
        <f>FISCinyear!JL966</f>
        <v>0</v>
      </c>
      <c r="V73" s="1975">
        <f t="shared" si="172"/>
        <v>0</v>
      </c>
      <c r="W73" s="1843">
        <f>S73</f>
        <v>0</v>
      </c>
      <c r="X73" s="1889">
        <f t="shared" si="136"/>
        <v>0</v>
      </c>
      <c r="Y73" s="2830">
        <f t="shared" si="157"/>
        <v>0</v>
      </c>
      <c r="Z73" s="1791">
        <f t="shared" si="173"/>
        <v>0</v>
      </c>
      <c r="AA73" s="1880">
        <f t="shared" si="38"/>
        <v>0</v>
      </c>
      <c r="AB73" s="1958">
        <v>0</v>
      </c>
      <c r="AC73" s="1942">
        <f t="shared" si="174"/>
        <v>0</v>
      </c>
      <c r="AD73" s="1975">
        <f>FISCinyear!JO966</f>
        <v>0</v>
      </c>
      <c r="AE73" s="1975">
        <f t="shared" si="175"/>
        <v>0</v>
      </c>
      <c r="AF73" s="1843">
        <f>AB73</f>
        <v>0</v>
      </c>
      <c r="AG73" s="1790">
        <f t="shared" si="137"/>
        <v>0</v>
      </c>
      <c r="AH73" s="2830">
        <f t="shared" si="159"/>
        <v>0</v>
      </c>
      <c r="AI73" s="1791">
        <f t="shared" si="176"/>
        <v>0</v>
      </c>
      <c r="AJ73" s="1880">
        <f t="shared" si="32"/>
        <v>0</v>
      </c>
      <c r="AK73" s="1958">
        <v>0</v>
      </c>
      <c r="AL73" s="1942">
        <f t="shared" si="177"/>
        <v>0</v>
      </c>
      <c r="AM73" s="1975">
        <f>FISCinyear!JR966</f>
        <v>0</v>
      </c>
      <c r="AN73" s="1975">
        <f t="shared" si="178"/>
        <v>0</v>
      </c>
      <c r="AO73" s="1843">
        <f>AK73</f>
        <v>0</v>
      </c>
      <c r="AP73" s="1790">
        <f t="shared" si="138"/>
        <v>0</v>
      </c>
      <c r="AQ73" s="2830">
        <f t="shared" si="160"/>
        <v>0</v>
      </c>
      <c r="AR73" s="1791">
        <f t="shared" si="179"/>
        <v>0</v>
      </c>
      <c r="AS73" s="1880">
        <f t="shared" si="34"/>
        <v>0</v>
      </c>
      <c r="AT73" s="1958">
        <v>0</v>
      </c>
      <c r="AU73" s="1942">
        <f t="shared" si="149"/>
        <v>0</v>
      </c>
      <c r="AV73" s="1975">
        <f>FISCinyear!JU966</f>
        <v>0</v>
      </c>
      <c r="AW73" s="1975">
        <f t="shared" si="180"/>
        <v>0</v>
      </c>
      <c r="AX73" s="1843">
        <f>AP73</f>
        <v>0</v>
      </c>
      <c r="AY73" s="1790">
        <f t="shared" si="139"/>
        <v>0</v>
      </c>
      <c r="AZ73" s="2830">
        <f t="shared" si="162"/>
        <v>0</v>
      </c>
      <c r="BA73" s="1791">
        <f t="shared" si="181"/>
        <v>0</v>
      </c>
      <c r="BB73" s="1880">
        <f t="shared" si="185"/>
        <v>0</v>
      </c>
      <c r="BC73" s="1958">
        <v>0</v>
      </c>
      <c r="BD73" s="1942">
        <f t="shared" si="152"/>
        <v>0</v>
      </c>
      <c r="BE73" s="1975">
        <f>FISCinyear!JX966</f>
        <v>0</v>
      </c>
      <c r="BF73" s="1975">
        <f t="shared" si="182"/>
        <v>0</v>
      </c>
      <c r="BG73" s="1843">
        <f>AY73</f>
        <v>0</v>
      </c>
      <c r="BH73" s="1790">
        <f t="shared" si="140"/>
        <v>0</v>
      </c>
      <c r="BI73" s="2830">
        <f t="shared" si="164"/>
        <v>0</v>
      </c>
      <c r="BJ73" s="1791">
        <f t="shared" si="183"/>
        <v>0</v>
      </c>
      <c r="BK73" s="1880">
        <f t="shared" si="133"/>
        <v>0</v>
      </c>
      <c r="BL73" s="1843">
        <f>BD73</f>
        <v>0</v>
      </c>
      <c r="BM73" s="1790">
        <f t="shared" si="166"/>
        <v>0</v>
      </c>
    </row>
    <row r="74" spans="1:67">
      <c r="A74" s="1787" t="s">
        <v>568</v>
      </c>
      <c r="B74" s="1814">
        <v>81.638807056264099</v>
      </c>
      <c r="C74" s="1788">
        <f t="shared" si="155"/>
        <v>4.7276477201186624E-3</v>
      </c>
      <c r="D74" s="1796">
        <f>FISC!AI1288</f>
        <v>82.891332118999998</v>
      </c>
      <c r="E74" s="1790">
        <f t="shared" si="156"/>
        <v>4.4691377338724894E-3</v>
      </c>
      <c r="F74" s="1791">
        <f t="shared" si="167"/>
        <v>1.2525250627358986</v>
      </c>
      <c r="G74" s="1880">
        <f t="shared" si="26"/>
        <v>-2.5850998624617292E-4</v>
      </c>
      <c r="H74" s="1958">
        <v>91.108972023501536</v>
      </c>
      <c r="I74" s="1942">
        <f t="shared" si="168"/>
        <v>4.6382027704226269E-3</v>
      </c>
      <c r="J74" s="1975">
        <v>63.279049751250774</v>
      </c>
      <c r="K74" s="1975">
        <f>FISCinyear!JI967</f>
        <v>91.024680720657003</v>
      </c>
      <c r="L74" s="1964">
        <f t="shared" si="184"/>
        <v>27.745630969406228</v>
      </c>
      <c r="M74" s="1964">
        <v>27.829922272250762</v>
      </c>
      <c r="N74" s="1964">
        <f t="shared" si="41"/>
        <v>23.264494242249</v>
      </c>
      <c r="O74" s="1796">
        <f>FISC!AJ1288</f>
        <v>114.289174962906</v>
      </c>
      <c r="P74" s="1889">
        <f t="shared" si="135"/>
        <v>5.2783362181228963E-3</v>
      </c>
      <c r="Q74" s="1791">
        <f t="shared" si="169"/>
        <v>23.180202939404467</v>
      </c>
      <c r="R74" s="1880">
        <f t="shared" si="170"/>
        <v>6.4013344770026941E-4</v>
      </c>
      <c r="S74" s="1958">
        <v>58.762517943990304</v>
      </c>
      <c r="T74" s="1942">
        <f t="shared" si="171"/>
        <v>2.4069722428590725E-3</v>
      </c>
      <c r="U74" s="1975">
        <f>FISCinyear!JL967</f>
        <v>26.746525820491001</v>
      </c>
      <c r="V74" s="1975">
        <f t="shared" si="172"/>
        <v>32.015992123499302</v>
      </c>
      <c r="W74" s="1796">
        <f>FISC!AK1288</f>
        <v>58.762517943990304</v>
      </c>
      <c r="X74" s="1889">
        <f t="shared" si="136"/>
        <v>2.3238514696135712E-3</v>
      </c>
      <c r="Y74" s="2830">
        <f t="shared" si="157"/>
        <v>2.4069722428590725E-3</v>
      </c>
      <c r="Z74" s="1791">
        <f t="shared" si="173"/>
        <v>0</v>
      </c>
      <c r="AA74" s="1880">
        <f t="shared" si="38"/>
        <v>-8.3120773245501378E-5</v>
      </c>
      <c r="AB74" s="1958">
        <v>32.503843045253639</v>
      </c>
      <c r="AC74" s="1942">
        <f t="shared" si="174"/>
        <v>1.1737661353946965E-3</v>
      </c>
      <c r="AD74" s="1975">
        <f>FISCinyear!JO967</f>
        <v>16.251921522626819</v>
      </c>
      <c r="AE74" s="1975">
        <f t="shared" si="175"/>
        <v>16.251921522626819</v>
      </c>
      <c r="AF74" s="1796">
        <f>FISC!AL1288</f>
        <v>32.503843045253639</v>
      </c>
      <c r="AG74" s="1790">
        <f t="shared" si="137"/>
        <v>1.1266742467217468E-3</v>
      </c>
      <c r="AH74" s="2830">
        <f t="shared" si="159"/>
        <v>1.1737661353946965E-3</v>
      </c>
      <c r="AI74" s="1791">
        <f t="shared" si="176"/>
        <v>0</v>
      </c>
      <c r="AJ74" s="1880">
        <f t="shared" ref="AJ74:AJ110" si="187">AG74-AC74</f>
        <v>-4.7091888672949654E-5</v>
      </c>
      <c r="AK74" s="1958">
        <v>30.040280979999999</v>
      </c>
      <c r="AL74" s="1942">
        <f t="shared" si="177"/>
        <v>9.6448776804575274E-4</v>
      </c>
      <c r="AM74" s="1975">
        <f>FISCinyear!JR967</f>
        <v>15.020140489999999</v>
      </c>
      <c r="AN74" s="1975">
        <f t="shared" si="178"/>
        <v>15.020140489999999</v>
      </c>
      <c r="AO74" s="1796">
        <f>FISC!AM1288</f>
        <v>30.040280979999999</v>
      </c>
      <c r="AP74" s="1790">
        <f t="shared" si="138"/>
        <v>9.2440356536415053E-4</v>
      </c>
      <c r="AQ74" s="2830">
        <f t="shared" si="160"/>
        <v>9.6448776804575274E-4</v>
      </c>
      <c r="AR74" s="1791">
        <f t="shared" si="179"/>
        <v>0</v>
      </c>
      <c r="AS74" s="1880">
        <f>AP74-AL74</f>
        <v>-4.0084202681602205E-5</v>
      </c>
      <c r="AT74" s="1958">
        <v>30.040280979999999</v>
      </c>
      <c r="AU74" s="1942">
        <f t="shared" si="149"/>
        <v>8.6041120937900746E-4</v>
      </c>
      <c r="AV74" s="1975">
        <f>FISCinyear!JU967</f>
        <v>14.419334870399998</v>
      </c>
      <c r="AW74" s="1975">
        <f t="shared" si="180"/>
        <v>15.6209461096</v>
      </c>
      <c r="AX74" s="1796">
        <f>FISC!AN1288</f>
        <v>30.040280979999999</v>
      </c>
      <c r="AY74" s="1790">
        <f t="shared" si="139"/>
        <v>8.1932174197390302E-4</v>
      </c>
      <c r="AZ74" s="2830">
        <f t="shared" si="162"/>
        <v>8.6041120937900746E-4</v>
      </c>
      <c r="BA74" s="1791">
        <f t="shared" ref="BA74:BA82" si="188">AX74-AT74</f>
        <v>0</v>
      </c>
      <c r="BB74" s="1880">
        <f t="shared" ref="BB74:BB82" si="189">AY74-AU74</f>
        <v>-4.1089467405104434E-5</v>
      </c>
      <c r="BC74" s="1958">
        <v>28.891494336000001</v>
      </c>
      <c r="BD74" s="1942">
        <f t="shared" si="152"/>
        <v>7.3788094578076306E-4</v>
      </c>
      <c r="BE74" s="1975">
        <f>FISCinyear!JX967</f>
        <v>13.86791728128</v>
      </c>
      <c r="BF74" s="1975">
        <f t="shared" si="182"/>
        <v>15.02357705472</v>
      </c>
      <c r="BG74" s="1796">
        <f>FISC!AO1288</f>
        <v>28.891494336000001</v>
      </c>
      <c r="BH74" s="1790">
        <f t="shared" si="140"/>
        <v>7.0055034631933842E-4</v>
      </c>
      <c r="BI74" s="2830">
        <f t="shared" si="164"/>
        <v>7.3788094578076306E-4</v>
      </c>
      <c r="BJ74" s="1791">
        <f t="shared" si="183"/>
        <v>0</v>
      </c>
      <c r="BK74" s="1880">
        <f t="shared" si="133"/>
        <v>-3.7330599461424642E-5</v>
      </c>
      <c r="BL74" s="1796">
        <f>FISC!AP1288</f>
        <v>9.5822931649999994</v>
      </c>
      <c r="BM74" s="1790">
        <f t="shared" si="166"/>
        <v>2.0843096593550685E-4</v>
      </c>
    </row>
    <row r="75" spans="1:67" ht="12.7" customHeight="1">
      <c r="A75" s="1809" t="s">
        <v>3068</v>
      </c>
      <c r="B75" s="1795">
        <v>32.099911483331297</v>
      </c>
      <c r="C75" s="1788">
        <f t="shared" si="155"/>
        <v>1.8588840137704812E-3</v>
      </c>
      <c r="D75" s="1796">
        <v>32.099911483331297</v>
      </c>
      <c r="E75" s="1790">
        <f t="shared" si="156"/>
        <v>1.7306866954215554E-3</v>
      </c>
      <c r="F75" s="1791">
        <f t="shared" si="167"/>
        <v>0</v>
      </c>
      <c r="G75" s="1880">
        <f t="shared" si="26"/>
        <v>-1.2819731834892581E-4</v>
      </c>
      <c r="H75" s="1947">
        <v>34.567770112860906</v>
      </c>
      <c r="I75" s="1942">
        <f t="shared" si="168"/>
        <v>1.7597863694856118E-3</v>
      </c>
      <c r="J75" s="1975">
        <v>17.283885056430453</v>
      </c>
      <c r="K75" s="1975">
        <f>FISCinyear!JI968</f>
        <v>17.294035967999999</v>
      </c>
      <c r="L75" s="1964">
        <f t="shared" si="184"/>
        <v>1.0150911569546395E-2</v>
      </c>
      <c r="M75" s="1964">
        <v>17.283885056430453</v>
      </c>
      <c r="N75" s="1964">
        <f t="shared" ref="N75:N110" si="190">O75-K75</f>
        <v>17.273734144860907</v>
      </c>
      <c r="O75" s="1796">
        <v>34.567770112860906</v>
      </c>
      <c r="P75" s="1889">
        <f t="shared" si="135"/>
        <v>1.596479395583E-3</v>
      </c>
      <c r="Q75" s="1791">
        <f t="shared" si="169"/>
        <v>0</v>
      </c>
      <c r="R75" s="1880">
        <f t="shared" si="170"/>
        <v>-1.6330697390261177E-4</v>
      </c>
      <c r="S75" s="1947">
        <v>33.969677187999999</v>
      </c>
      <c r="T75" s="1942">
        <f t="shared" si="171"/>
        <v>1.391432378175706E-3</v>
      </c>
      <c r="U75" s="1975">
        <f>FISCinyear!JL968</f>
        <v>17.255754125999999</v>
      </c>
      <c r="V75" s="1975">
        <f t="shared" si="172"/>
        <v>16.713923061999999</v>
      </c>
      <c r="W75" s="1796">
        <f>FISC!AK1289</f>
        <v>33.969677187999999</v>
      </c>
      <c r="X75" s="1889">
        <f t="shared" si="136"/>
        <v>1.3433815809403332E-3</v>
      </c>
      <c r="Y75" s="2830">
        <f t="shared" si="157"/>
        <v>1.391432378175706E-3</v>
      </c>
      <c r="Z75" s="1791">
        <f t="shared" si="173"/>
        <v>0</v>
      </c>
      <c r="AA75" s="1880">
        <f t="shared" si="38"/>
        <v>-4.8050797235372773E-5</v>
      </c>
      <c r="AB75" s="1947">
        <v>32.503843045253639</v>
      </c>
      <c r="AC75" s="1942">
        <f t="shared" si="174"/>
        <v>1.1737661353946965E-3</v>
      </c>
      <c r="AD75" s="1975">
        <f>FISCinyear!JO968</f>
        <v>16.251921522626819</v>
      </c>
      <c r="AE75" s="1975">
        <f t="shared" si="175"/>
        <v>16.251921522626819</v>
      </c>
      <c r="AF75" s="1796">
        <f>FISCinyear!JQ968</f>
        <v>32.503843045253639</v>
      </c>
      <c r="AG75" s="1790">
        <f t="shared" si="137"/>
        <v>1.1266742467217468E-3</v>
      </c>
      <c r="AH75" s="2830">
        <f t="shared" si="159"/>
        <v>1.1737661353946965E-3</v>
      </c>
      <c r="AI75" s="1791">
        <f t="shared" si="176"/>
        <v>0</v>
      </c>
      <c r="AJ75" s="1880">
        <f t="shared" si="187"/>
        <v>-4.7091888672949654E-5</v>
      </c>
      <c r="AK75" s="1947">
        <v>30.040280979999999</v>
      </c>
      <c r="AL75" s="1942">
        <f t="shared" si="177"/>
        <v>9.6448776804575274E-4</v>
      </c>
      <c r="AM75" s="1975">
        <f>FISCinyear!JR968</f>
        <v>15.020140489999999</v>
      </c>
      <c r="AN75" s="1975">
        <f t="shared" si="178"/>
        <v>15.020140489999999</v>
      </c>
      <c r="AO75" s="1796">
        <f>FISC!AM1289</f>
        <v>30.040280979999999</v>
      </c>
      <c r="AP75" s="1790">
        <f t="shared" si="138"/>
        <v>9.2440356536415053E-4</v>
      </c>
      <c r="AQ75" s="2830">
        <f t="shared" si="160"/>
        <v>9.6448776804575274E-4</v>
      </c>
      <c r="AR75" s="1791">
        <f t="shared" si="179"/>
        <v>0</v>
      </c>
      <c r="AS75" s="1880">
        <f>AP75-AL75</f>
        <v>-4.0084202681602205E-5</v>
      </c>
      <c r="AT75" s="1947">
        <v>30.040280979999999</v>
      </c>
      <c r="AU75" s="1942">
        <f t="shared" si="149"/>
        <v>8.6041120937900746E-4</v>
      </c>
      <c r="AV75" s="1975">
        <f>FISCinyear!JU968</f>
        <v>14.419334870399998</v>
      </c>
      <c r="AW75" s="1975">
        <f t="shared" si="180"/>
        <v>15.6209461096</v>
      </c>
      <c r="AX75" s="1796">
        <f>FISC!AN1289</f>
        <v>30.040280979999999</v>
      </c>
      <c r="AY75" s="1790">
        <f t="shared" si="139"/>
        <v>8.1932174197390302E-4</v>
      </c>
      <c r="AZ75" s="2830">
        <f t="shared" si="162"/>
        <v>8.6041120937900746E-4</v>
      </c>
      <c r="BA75" s="1791">
        <f t="shared" si="188"/>
        <v>0</v>
      </c>
      <c r="BB75" s="1880">
        <f t="shared" si="189"/>
        <v>-4.1089467405104434E-5</v>
      </c>
      <c r="BC75" s="1947">
        <v>28.891494336000001</v>
      </c>
      <c r="BD75" s="1942">
        <f t="shared" si="152"/>
        <v>7.3788094578076306E-4</v>
      </c>
      <c r="BE75" s="1975">
        <f>FISCinyear!JX968</f>
        <v>13.86791728128</v>
      </c>
      <c r="BF75" s="1975">
        <f t="shared" si="182"/>
        <v>15.02357705472</v>
      </c>
      <c r="BG75" s="1796">
        <f>FISC!AO1289</f>
        <v>28.891494336000001</v>
      </c>
      <c r="BH75" s="1790">
        <f t="shared" si="140"/>
        <v>7.0055034631933842E-4</v>
      </c>
      <c r="BI75" s="2830">
        <f t="shared" si="164"/>
        <v>7.3788094578076306E-4</v>
      </c>
      <c r="BJ75" s="1791">
        <f t="shared" ref="BJ75:BJ82" si="191">BG75-BC75</f>
        <v>0</v>
      </c>
      <c r="BK75" s="1880">
        <f t="shared" ref="BK75:BK82" si="192">BH75-BD75</f>
        <v>-3.7330599461424642E-5</v>
      </c>
      <c r="BL75" s="1796">
        <f>FISC!AP1289</f>
        <v>9.5822931649999994</v>
      </c>
      <c r="BM75" s="1790">
        <f t="shared" si="166"/>
        <v>2.0843096593550685E-4</v>
      </c>
    </row>
    <row r="76" spans="1:67" ht="12.7" customHeight="1">
      <c r="A76" s="1809" t="s">
        <v>3128</v>
      </c>
      <c r="B76" s="1795"/>
      <c r="C76" s="1788"/>
      <c r="D76" s="1796"/>
      <c r="E76" s="1790"/>
      <c r="F76" s="1791"/>
      <c r="G76" s="1880"/>
      <c r="H76" s="1947">
        <v>21.092074431640629</v>
      </c>
      <c r="I76" s="1942">
        <f t="shared" si="168"/>
        <v>1.0737616273132878E-3</v>
      </c>
      <c r="J76" s="1975">
        <v>10.546037215820315</v>
      </c>
      <c r="K76" s="1975">
        <f>FISCinyear!JI974</f>
        <v>38.037262263656999</v>
      </c>
      <c r="L76" s="1964">
        <f t="shared" si="184"/>
        <v>27.491225047836686</v>
      </c>
      <c r="M76" s="1964">
        <v>10.546037215820315</v>
      </c>
      <c r="N76" s="1964">
        <f t="shared" si="190"/>
        <v>3.6449203882489982</v>
      </c>
      <c r="O76" s="1796">
        <f>FISC!AJ1295</f>
        <v>41.682182651905997</v>
      </c>
      <c r="P76" s="1889">
        <f t="shared" si="135"/>
        <v>1.9250517331442557E-3</v>
      </c>
      <c r="Q76" s="1791">
        <f>O76-H76</f>
        <v>20.590108220265368</v>
      </c>
      <c r="R76" s="1880">
        <f t="shared" si="170"/>
        <v>8.5129010583096789E-4</v>
      </c>
      <c r="S76" s="1947">
        <v>24.792840755990309</v>
      </c>
      <c r="T76" s="1942">
        <f t="shared" si="171"/>
        <v>1.0155398646833666E-3</v>
      </c>
      <c r="U76" s="1975">
        <f>FISCinyear!JL974</f>
        <v>6.8912763674909998</v>
      </c>
      <c r="V76" s="1975">
        <f t="shared" si="172"/>
        <v>17.90156438849931</v>
      </c>
      <c r="W76" s="1796">
        <f>FISC!AK1295</f>
        <v>24.792840755990309</v>
      </c>
      <c r="X76" s="1889">
        <f t="shared" si="136"/>
        <v>9.8046988867323795E-4</v>
      </c>
      <c r="Y76" s="2830">
        <f t="shared" si="157"/>
        <v>1.0155398646833666E-3</v>
      </c>
      <c r="Z76" s="1791">
        <f t="shared" ref="Z76:Z80" si="193">W76-S76</f>
        <v>0</v>
      </c>
      <c r="AA76" s="1880">
        <f t="shared" ref="AA76:AA80" si="194">X76-T76</f>
        <v>-3.5069976010128606E-5</v>
      </c>
      <c r="AB76" s="1947">
        <v>0</v>
      </c>
      <c r="AC76" s="1942">
        <f t="shared" si="174"/>
        <v>0</v>
      </c>
      <c r="AD76" s="1975">
        <v>0</v>
      </c>
      <c r="AE76" s="1975">
        <f t="shared" si="175"/>
        <v>0</v>
      </c>
      <c r="AF76" s="1796">
        <f>FISC!AL1295</f>
        <v>0</v>
      </c>
      <c r="AG76" s="1790">
        <f t="shared" si="137"/>
        <v>0</v>
      </c>
      <c r="AH76" s="2830">
        <f t="shared" si="159"/>
        <v>0</v>
      </c>
      <c r="AI76" s="1791">
        <f t="shared" ref="AI76:AI78" si="195">AF76-AB76</f>
        <v>0</v>
      </c>
      <c r="AJ76" s="1880">
        <f t="shared" ref="AJ76:AJ78" si="196">AG76-AC76</f>
        <v>0</v>
      </c>
      <c r="AK76" s="1947">
        <v>0</v>
      </c>
      <c r="AL76" s="1942">
        <f t="shared" si="177"/>
        <v>0</v>
      </c>
      <c r="AM76" s="1975">
        <v>0</v>
      </c>
      <c r="AN76" s="1975">
        <f t="shared" si="178"/>
        <v>0</v>
      </c>
      <c r="AO76" s="1796">
        <f>FISC!AM1295</f>
        <v>0</v>
      </c>
      <c r="AP76" s="1790">
        <f t="shared" si="138"/>
        <v>0</v>
      </c>
      <c r="AQ76" s="2830">
        <f t="shared" si="160"/>
        <v>0</v>
      </c>
      <c r="AR76" s="1791">
        <f t="shared" si="179"/>
        <v>0</v>
      </c>
      <c r="AS76" s="1880">
        <f>AP76-AL76</f>
        <v>0</v>
      </c>
      <c r="AT76" s="1947">
        <v>0</v>
      </c>
      <c r="AU76" s="1942">
        <f t="shared" si="149"/>
        <v>0</v>
      </c>
      <c r="AV76" s="1975">
        <v>0</v>
      </c>
      <c r="AW76" s="1975">
        <f t="shared" si="180"/>
        <v>0</v>
      </c>
      <c r="AX76" s="1796">
        <v>0</v>
      </c>
      <c r="AY76" s="1790">
        <f t="shared" si="139"/>
        <v>0</v>
      </c>
      <c r="AZ76" s="2830">
        <f t="shared" si="162"/>
        <v>0</v>
      </c>
      <c r="BA76" s="1791">
        <f t="shared" si="188"/>
        <v>0</v>
      </c>
      <c r="BB76" s="1880">
        <f t="shared" si="189"/>
        <v>0</v>
      </c>
      <c r="BC76" s="1947">
        <v>0</v>
      </c>
      <c r="BD76" s="1942">
        <f t="shared" si="152"/>
        <v>0</v>
      </c>
      <c r="BE76" s="1975">
        <v>0</v>
      </c>
      <c r="BF76" s="1975">
        <f t="shared" si="182"/>
        <v>0</v>
      </c>
      <c r="BG76" s="1796">
        <v>0</v>
      </c>
      <c r="BH76" s="1790">
        <f t="shared" si="140"/>
        <v>0</v>
      </c>
      <c r="BI76" s="2830">
        <f t="shared" si="164"/>
        <v>0</v>
      </c>
      <c r="BJ76" s="1791">
        <f t="shared" si="191"/>
        <v>0</v>
      </c>
      <c r="BK76" s="1880">
        <f t="shared" si="192"/>
        <v>0</v>
      </c>
      <c r="BL76" s="1796">
        <v>0</v>
      </c>
      <c r="BM76" s="1790">
        <f t="shared" si="166"/>
        <v>0</v>
      </c>
    </row>
    <row r="77" spans="1:67">
      <c r="A77" s="1787" t="s">
        <v>3062</v>
      </c>
      <c r="B77" s="1795">
        <v>29.514715629000001</v>
      </c>
      <c r="C77" s="1788">
        <f>B77/$B$111</f>
        <v>1.7091770823797951E-3</v>
      </c>
      <c r="D77" s="1796">
        <f>FISC!AI1300</f>
        <v>28.514512200000002</v>
      </c>
      <c r="E77" s="1790">
        <f>D77/$D$111</f>
        <v>1.5373776627577841E-3</v>
      </c>
      <c r="F77" s="1791">
        <f t="shared" si="167"/>
        <v>-1.000203428999999</v>
      </c>
      <c r="G77" s="1880">
        <f t="shared" si="26"/>
        <v>-1.7179941962201101E-4</v>
      </c>
      <c r="H77" s="1947">
        <v>39.808708326640001</v>
      </c>
      <c r="I77" s="1942">
        <f t="shared" si="168"/>
        <v>2.0265936180241381E-3</v>
      </c>
      <c r="J77" s="1975">
        <v>19.904354163320001</v>
      </c>
      <c r="K77" s="1975">
        <f>FISCinyear!JI976</f>
        <v>20.291619535999999</v>
      </c>
      <c r="L77" s="1964">
        <f t="shared" si="184"/>
        <v>0.38726537267999817</v>
      </c>
      <c r="M77" s="1964">
        <v>19.904354163320001</v>
      </c>
      <c r="N77" s="1964">
        <f t="shared" si="190"/>
        <v>29.375880029000001</v>
      </c>
      <c r="O77" s="1796">
        <f>FISC!AJ1300</f>
        <v>49.667499565</v>
      </c>
      <c r="P77" s="1889">
        <f t="shared" si="135"/>
        <v>2.2938459561251587E-3</v>
      </c>
      <c r="Q77" s="1791">
        <f t="shared" si="169"/>
        <v>9.8587912383599985</v>
      </c>
      <c r="R77" s="1880">
        <f t="shared" si="170"/>
        <v>2.6725233810102065E-4</v>
      </c>
      <c r="S77" s="1947">
        <v>533.5654657465368</v>
      </c>
      <c r="T77" s="1942">
        <f t="shared" si="171"/>
        <v>2.1855381810292757E-2</v>
      </c>
      <c r="U77" s="1975">
        <f>FISCinyear!JL976</f>
        <v>212.15975131700003</v>
      </c>
      <c r="V77" s="1975">
        <f t="shared" si="172"/>
        <v>320.58618251337992</v>
      </c>
      <c r="W77" s="1796">
        <f>FISC!AK1300</f>
        <v>532.74593383037995</v>
      </c>
      <c r="X77" s="1889">
        <f t="shared" si="136"/>
        <v>2.1068233026406528E-2</v>
      </c>
      <c r="Y77" s="2830">
        <f t="shared" si="157"/>
        <v>2.1821812953079951E-2</v>
      </c>
      <c r="Z77" s="1791">
        <f t="shared" si="193"/>
        <v>-0.81953191615684773</v>
      </c>
      <c r="AA77" s="1880">
        <f t="shared" si="194"/>
        <v>-7.8714878388622816E-4</v>
      </c>
      <c r="AB77" s="1947">
        <v>478.58095952475151</v>
      </c>
      <c r="AC77" s="1942">
        <f t="shared" si="174"/>
        <v>1.7282329432638625E-2</v>
      </c>
      <c r="AD77" s="1975">
        <f>FISCinyear!JO976</f>
        <v>218.41881738910857</v>
      </c>
      <c r="AE77" s="1975">
        <f t="shared" si="175"/>
        <v>252.33069556515088</v>
      </c>
      <c r="AF77" s="1796">
        <f>FISC!AL1300</f>
        <v>470.74951295425944</v>
      </c>
      <c r="AG77" s="1790">
        <f t="shared" si="137"/>
        <v>1.631749673919922E-2</v>
      </c>
      <c r="AH77" s="2830">
        <f t="shared" si="159"/>
        <v>1.6999523280676887E-2</v>
      </c>
      <c r="AI77" s="1791">
        <f t="shared" si="195"/>
        <v>-7.8314465704920622</v>
      </c>
      <c r="AJ77" s="1880">
        <f t="shared" si="196"/>
        <v>-9.6483269343940539E-4</v>
      </c>
      <c r="AK77" s="1947">
        <v>385.39974900865116</v>
      </c>
      <c r="AL77" s="1942">
        <f t="shared" si="177"/>
        <v>1.2373830456986199E-2</v>
      </c>
      <c r="AM77" s="1975">
        <f>FISCinyear!JR976</f>
        <v>239.23536616178754</v>
      </c>
      <c r="AN77" s="1975">
        <f t="shared" si="178"/>
        <v>136.07844741864929</v>
      </c>
      <c r="AO77" s="1796">
        <f>FISC!AM1300</f>
        <v>375.31381358043683</v>
      </c>
      <c r="AP77" s="1790">
        <f t="shared" si="138"/>
        <v>1.1549207134086265E-2</v>
      </c>
      <c r="AQ77" s="2830">
        <f t="shared" si="160"/>
        <v>1.2050006543478584E-2</v>
      </c>
      <c r="AR77" s="1791">
        <f t="shared" si="179"/>
        <v>-10.085935428214327</v>
      </c>
      <c r="AS77" s="1880">
        <f>AP77-AL77</f>
        <v>-8.2462332289993424E-4</v>
      </c>
      <c r="AT77" s="1947">
        <v>40.025963699216845</v>
      </c>
      <c r="AU77" s="1942">
        <f t="shared" si="149"/>
        <v>1.1464202966653949E-3</v>
      </c>
      <c r="AV77" s="1975">
        <f>FISCinyear!JU976</f>
        <v>19.922116851743333</v>
      </c>
      <c r="AW77" s="1975">
        <f t="shared" si="180"/>
        <v>19.96902846720301</v>
      </c>
      <c r="AX77" s="1796">
        <f>FISC!AN1300</f>
        <v>39.891145318946343</v>
      </c>
      <c r="AY77" s="1790">
        <f t="shared" si="139"/>
        <v>1.0879952385869204E-3</v>
      </c>
      <c r="AZ77" s="2830">
        <f t="shared" si="162"/>
        <v>1.1425588399202901E-3</v>
      </c>
      <c r="BA77" s="1791">
        <f t="shared" si="188"/>
        <v>-0.1348183802705023</v>
      </c>
      <c r="BB77" s="1880">
        <f t="shared" si="189"/>
        <v>-5.8425058078474508E-5</v>
      </c>
      <c r="BC77" s="1947">
        <v>36.892497357740417</v>
      </c>
      <c r="BD77" s="1942">
        <f t="shared" si="152"/>
        <v>9.4222439746301809E-4</v>
      </c>
      <c r="BE77" s="1975">
        <f>FISCinyear!JX976</f>
        <v>17.990922015319999</v>
      </c>
      <c r="BF77" s="1975">
        <f t="shared" si="182"/>
        <v>18.870221758513868</v>
      </c>
      <c r="BG77" s="1796">
        <f>FISC!AO1300</f>
        <v>36.861143773833867</v>
      </c>
      <c r="BH77" s="1790">
        <f t="shared" si="140"/>
        <v>8.9379547960278399E-4</v>
      </c>
      <c r="BI77" s="2830">
        <f t="shared" si="164"/>
        <v>9.4142363541597661E-4</v>
      </c>
      <c r="BJ77" s="1791">
        <f t="shared" si="191"/>
        <v>-3.1353583906550853E-2</v>
      </c>
      <c r="BK77" s="1880">
        <f t="shared" si="192"/>
        <v>-4.8428917860234098E-5</v>
      </c>
      <c r="BL77" s="1796">
        <f>FISC!AP1300</f>
        <v>35.981844030639998</v>
      </c>
      <c r="BM77" s="1790">
        <f t="shared" si="166"/>
        <v>7.8266552466171044E-4</v>
      </c>
    </row>
    <row r="78" spans="1:67">
      <c r="A78" s="1809" t="s">
        <v>3596</v>
      </c>
      <c r="B78" s="1795"/>
      <c r="C78" s="1788"/>
      <c r="D78" s="1796"/>
      <c r="E78" s="1790"/>
      <c r="F78" s="1791"/>
      <c r="G78" s="1880"/>
      <c r="H78" s="1947">
        <v>35.808708326640001</v>
      </c>
      <c r="I78" s="1942">
        <f t="shared" si="168"/>
        <v>1.8229604228553371E-3</v>
      </c>
      <c r="J78" s="1975"/>
      <c r="K78" s="1975"/>
      <c r="L78" s="1964">
        <f t="shared" si="184"/>
        <v>0</v>
      </c>
      <c r="M78" s="1964"/>
      <c r="N78" s="1964">
        <f t="shared" si="190"/>
        <v>36.150092620999999</v>
      </c>
      <c r="O78" s="1796">
        <f>FISC!AJ1303</f>
        <v>36.150092620999999</v>
      </c>
      <c r="P78" s="1889">
        <f t="shared" si="135"/>
        <v>1.6695574469922641E-3</v>
      </c>
      <c r="Q78" s="1791">
        <f t="shared" si="169"/>
        <v>0.3413842943599974</v>
      </c>
      <c r="R78" s="1880">
        <f t="shared" si="170"/>
        <v>-1.5340297586307304E-4</v>
      </c>
      <c r="S78" s="1947">
        <v>531.21288868228487</v>
      </c>
      <c r="T78" s="1942">
        <f t="shared" si="171"/>
        <v>2.1759017871323384E-2</v>
      </c>
      <c r="U78" s="1975">
        <f>FISCinyear!JL978</f>
        <v>210.05081925000002</v>
      </c>
      <c r="V78" s="1975">
        <f t="shared" si="172"/>
        <v>320.342537516128</v>
      </c>
      <c r="W78" s="1796">
        <f>FISC!AK1303</f>
        <v>530.39335676612802</v>
      </c>
      <c r="X78" s="1889">
        <f t="shared" si="136"/>
        <v>2.0975196855401196E-2</v>
      </c>
      <c r="Y78" s="2830">
        <f t="shared" si="157"/>
        <v>2.1725449014110582E-2</v>
      </c>
      <c r="Z78" s="1791">
        <f t="shared" si="193"/>
        <v>-0.81953191615684773</v>
      </c>
      <c r="AA78" s="1880">
        <f t="shared" si="194"/>
        <v>-7.838210159221877E-4</v>
      </c>
      <c r="AB78" s="1947">
        <v>478.58095952475151</v>
      </c>
      <c r="AC78" s="1942">
        <f t="shared" si="174"/>
        <v>1.7282329432638625E-2</v>
      </c>
      <c r="AD78" s="1975">
        <f>FISCinyear!JO978</f>
        <v>218.41881738910857</v>
      </c>
      <c r="AE78" s="1975">
        <f t="shared" si="175"/>
        <v>252.33069556515088</v>
      </c>
      <c r="AF78" s="1796">
        <f>FISC!AL1303</f>
        <v>470.74951295425944</v>
      </c>
      <c r="AG78" s="1790">
        <f t="shared" si="137"/>
        <v>1.631749673919922E-2</v>
      </c>
      <c r="AH78" s="2830">
        <f t="shared" si="159"/>
        <v>1.6999523280676887E-2</v>
      </c>
      <c r="AI78" s="1791">
        <f t="shared" si="195"/>
        <v>-7.8314465704920622</v>
      </c>
      <c r="AJ78" s="1880">
        <f t="shared" si="196"/>
        <v>-9.6483269343940539E-4</v>
      </c>
      <c r="AK78" s="1947">
        <v>385.39974900865116</v>
      </c>
      <c r="AL78" s="1942">
        <f t="shared" si="177"/>
        <v>1.2373830456986199E-2</v>
      </c>
      <c r="AM78" s="1975">
        <f>FISCinyear!JR978</f>
        <v>239.23536616178754</v>
      </c>
      <c r="AN78" s="1975">
        <f t="shared" si="178"/>
        <v>136.07844741864929</v>
      </c>
      <c r="AO78" s="1796">
        <f>FISC!AM1303</f>
        <v>375.31381358043683</v>
      </c>
      <c r="AP78" s="1790">
        <f t="shared" si="138"/>
        <v>1.1549207134086265E-2</v>
      </c>
      <c r="AQ78" s="2830">
        <f t="shared" si="160"/>
        <v>1.2050006543478584E-2</v>
      </c>
      <c r="AR78" s="1791">
        <f t="shared" si="179"/>
        <v>-10.085935428214327</v>
      </c>
      <c r="AS78" s="1880">
        <f>AP78-AL78</f>
        <v>-8.2462332289993424E-4</v>
      </c>
      <c r="AT78" s="1947">
        <v>40.025963699216845</v>
      </c>
      <c r="AU78" s="1942">
        <f t="shared" si="149"/>
        <v>1.1464202966653949E-3</v>
      </c>
      <c r="AV78" s="1975">
        <f>FISCinyear!JU978</f>
        <v>19.922116851743333</v>
      </c>
      <c r="AW78" s="1975">
        <f t="shared" si="180"/>
        <v>19.96902846720301</v>
      </c>
      <c r="AX78" s="1796">
        <f>FISC!AN1303</f>
        <v>39.891145318946343</v>
      </c>
      <c r="AY78" s="1790">
        <f t="shared" si="139"/>
        <v>1.0879952385869204E-3</v>
      </c>
      <c r="AZ78" s="2830">
        <f t="shared" si="162"/>
        <v>1.1425588399202901E-3</v>
      </c>
      <c r="BA78" s="1791">
        <f t="shared" si="188"/>
        <v>-0.1348183802705023</v>
      </c>
      <c r="BB78" s="1880">
        <f t="shared" si="189"/>
        <v>-5.8425058078474508E-5</v>
      </c>
      <c r="BC78" s="1947">
        <v>36.892497357740417</v>
      </c>
      <c r="BD78" s="1942">
        <f t="shared" si="152"/>
        <v>9.4222439746301809E-4</v>
      </c>
      <c r="BE78" s="1975">
        <f>FISCinyear!JX978</f>
        <v>17.990922015319999</v>
      </c>
      <c r="BF78" s="1975">
        <f t="shared" si="182"/>
        <v>18.870221758513868</v>
      </c>
      <c r="BG78" s="1796">
        <f>FISC!AO1303</f>
        <v>36.861143773833867</v>
      </c>
      <c r="BH78" s="1790">
        <f t="shared" si="140"/>
        <v>8.9379547960278399E-4</v>
      </c>
      <c r="BI78" s="2830">
        <f t="shared" si="164"/>
        <v>9.4142363541597661E-4</v>
      </c>
      <c r="BJ78" s="1791">
        <f t="shared" si="191"/>
        <v>-3.1353583906550853E-2</v>
      </c>
      <c r="BK78" s="1880">
        <f t="shared" si="192"/>
        <v>-4.8428917860234098E-5</v>
      </c>
      <c r="BL78" s="1796">
        <f>FISC!AP1303</f>
        <v>35.981844030639998</v>
      </c>
      <c r="BM78" s="1790">
        <f t="shared" si="166"/>
        <v>7.8266552466171044E-4</v>
      </c>
    </row>
    <row r="79" spans="1:67">
      <c r="A79" s="1930" t="s">
        <v>3635</v>
      </c>
      <c r="B79" s="1795"/>
      <c r="C79" s="1788"/>
      <c r="D79" s="1796"/>
      <c r="E79" s="1790"/>
      <c r="F79" s="1791"/>
      <c r="G79" s="1880"/>
      <c r="H79" s="1947">
        <v>35.808708326640001</v>
      </c>
      <c r="I79" s="1942">
        <f t="shared" si="168"/>
        <v>1.8229604228553371E-3</v>
      </c>
      <c r="J79" s="1975"/>
      <c r="K79" s="1975"/>
      <c r="L79" s="1964">
        <f t="shared" si="184"/>
        <v>0</v>
      </c>
      <c r="M79" s="1964"/>
      <c r="N79" s="1964">
        <f t="shared" si="190"/>
        <v>35.808708326640001</v>
      </c>
      <c r="O79" s="1796">
        <v>35.808708326640001</v>
      </c>
      <c r="P79" s="1889">
        <f t="shared" si="135"/>
        <v>1.6537909399210254E-3</v>
      </c>
      <c r="Q79" s="1791">
        <f t="shared" si="169"/>
        <v>0</v>
      </c>
      <c r="R79" s="1880">
        <f t="shared" si="170"/>
        <v>-1.6916948293431173E-4</v>
      </c>
      <c r="S79" s="1947">
        <v>35.981844030639998</v>
      </c>
      <c r="T79" s="1942">
        <f t="shared" si="171"/>
        <v>1.4738527697398013E-3</v>
      </c>
      <c r="U79" s="1975">
        <f>W79/2</f>
        <v>17.990922015319999</v>
      </c>
      <c r="V79" s="1975">
        <f>W79-U79</f>
        <v>17.990922015319999</v>
      </c>
      <c r="W79" s="1796">
        <f>FISC!AK1304</f>
        <v>35.981844030639998</v>
      </c>
      <c r="X79" s="1889">
        <f t="shared" si="136"/>
        <v>1.4229557217018572E-3</v>
      </c>
      <c r="Y79" s="2830">
        <f t="shared" si="157"/>
        <v>1.4738527697398013E-3</v>
      </c>
      <c r="Z79" s="1791">
        <f t="shared" si="193"/>
        <v>0</v>
      </c>
      <c r="AA79" s="1880">
        <f t="shared" si="194"/>
        <v>-5.0897048037944117E-5</v>
      </c>
      <c r="AB79" s="1947">
        <v>35.981844030639998</v>
      </c>
      <c r="AC79" s="1942">
        <f t="shared" si="174"/>
        <v>1.2993623539659038E-3</v>
      </c>
      <c r="AD79" s="1975"/>
      <c r="AE79" s="1975"/>
      <c r="AF79" s="1796">
        <f>FISC!AL1304</f>
        <v>35.981844030639998</v>
      </c>
      <c r="AG79" s="1790">
        <f t="shared" si="137"/>
        <v>1.2472315031314587E-3</v>
      </c>
      <c r="AH79" s="2830">
        <f t="shared" si="159"/>
        <v>1.2993623539659038E-3</v>
      </c>
      <c r="AI79" s="1791">
        <f t="shared" ref="AI79:AI80" si="197">AF79-AB79</f>
        <v>0</v>
      </c>
      <c r="AJ79" s="1880">
        <f t="shared" ref="AJ79:AJ80" si="198">AG79-AC79</f>
        <v>-5.2130850834445058E-5</v>
      </c>
      <c r="AK79" s="1947">
        <v>35.981844030639998</v>
      </c>
      <c r="AL79" s="1942">
        <f t="shared" si="177"/>
        <v>1.1552504606194387E-3</v>
      </c>
      <c r="AM79" s="1975"/>
      <c r="AN79" s="1975"/>
      <c r="AO79" s="1796">
        <f>FISC!AM1304</f>
        <v>35.981844030639998</v>
      </c>
      <c r="AP79" s="1790">
        <f t="shared" si="138"/>
        <v>1.1072381424276675E-3</v>
      </c>
      <c r="AQ79" s="2830">
        <f t="shared" si="160"/>
        <v>1.1552504606194387E-3</v>
      </c>
      <c r="AR79" s="1791">
        <f t="shared" ref="AR79:AR80" si="199">AO79-AK79</f>
        <v>0</v>
      </c>
      <c r="AS79" s="1880">
        <f t="shared" ref="AS79:AS80" si="200">AP79-AL79</f>
        <v>-4.8012318191771163E-5</v>
      </c>
      <c r="AT79" s="1947">
        <v>36.108708326639999</v>
      </c>
      <c r="AU79" s="1942">
        <f t="shared" si="149"/>
        <v>1.034222596690178E-3</v>
      </c>
      <c r="AV79" s="1975"/>
      <c r="AW79" s="1975"/>
      <c r="AX79" s="1796">
        <v>36.108708326639999</v>
      </c>
      <c r="AY79" s="1790">
        <f t="shared" si="139"/>
        <v>9.8483265939845613E-4</v>
      </c>
      <c r="AZ79" s="2830">
        <f t="shared" si="162"/>
        <v>1.034222596690178E-3</v>
      </c>
      <c r="BA79" s="1791">
        <f t="shared" si="188"/>
        <v>0</v>
      </c>
      <c r="BB79" s="1880">
        <f t="shared" si="189"/>
        <v>-4.9389937291721827E-5</v>
      </c>
      <c r="BC79" s="1947">
        <v>36.108708326639999</v>
      </c>
      <c r="BD79" s="1942">
        <f t="shared" si="152"/>
        <v>9.222066377433235E-4</v>
      </c>
      <c r="BE79" s="1975"/>
      <c r="BF79" s="1975"/>
      <c r="BG79" s="1796">
        <v>36.108708326639999</v>
      </c>
      <c r="BH79" s="1790">
        <f t="shared" si="140"/>
        <v>8.7555070115746152E-4</v>
      </c>
      <c r="BI79" s="2830">
        <f t="shared" si="164"/>
        <v>9.222066377433235E-4</v>
      </c>
      <c r="BJ79" s="1791">
        <f t="shared" ref="BJ79:BJ80" si="201">BG79-BC79</f>
        <v>0</v>
      </c>
      <c r="BK79" s="1880">
        <f t="shared" ref="BK79:BK80" si="202">BH79-BD79</f>
        <v>-4.6655936585861973E-5</v>
      </c>
      <c r="BL79" s="1796">
        <v>36.108708326639999</v>
      </c>
      <c r="BM79" s="1790">
        <f t="shared" si="166"/>
        <v>7.854250361171302E-4</v>
      </c>
    </row>
    <row r="80" spans="1:67">
      <c r="A80" s="1930" t="s">
        <v>3636</v>
      </c>
      <c r="B80" s="1795"/>
      <c r="C80" s="1788"/>
      <c r="D80" s="1796"/>
      <c r="E80" s="1790"/>
      <c r="F80" s="1791"/>
      <c r="G80" s="1880"/>
      <c r="H80" s="1947">
        <v>0</v>
      </c>
      <c r="I80" s="1942">
        <f t="shared" si="168"/>
        <v>0</v>
      </c>
      <c r="J80" s="1975"/>
      <c r="K80" s="1975"/>
      <c r="L80" s="1964">
        <f t="shared" si="184"/>
        <v>0</v>
      </c>
      <c r="M80" s="1964"/>
      <c r="N80" s="1964">
        <f t="shared" si="190"/>
        <v>0</v>
      </c>
      <c r="O80" s="1796">
        <v>0</v>
      </c>
      <c r="P80" s="1889">
        <f t="shared" si="135"/>
        <v>0</v>
      </c>
      <c r="Q80" s="1791">
        <f t="shared" si="169"/>
        <v>0</v>
      </c>
      <c r="R80" s="1880">
        <f t="shared" si="170"/>
        <v>0</v>
      </c>
      <c r="S80" s="1947">
        <v>495.23104465164488</v>
      </c>
      <c r="T80" s="1942">
        <f t="shared" si="171"/>
        <v>2.0285165101583583E-2</v>
      </c>
      <c r="U80" s="1975">
        <f>U78-U79</f>
        <v>192.05989723468002</v>
      </c>
      <c r="V80" s="1975">
        <f t="shared" si="172"/>
        <v>302.35161550080801</v>
      </c>
      <c r="W80" s="1796">
        <f>W78-W79</f>
        <v>494.41151273548803</v>
      </c>
      <c r="X80" s="1889">
        <f t="shared" si="136"/>
        <v>1.9552241133699338E-2</v>
      </c>
      <c r="Y80" s="2830">
        <f t="shared" si="157"/>
        <v>2.0251596244370781E-2</v>
      </c>
      <c r="Z80" s="1791">
        <f t="shared" si="193"/>
        <v>-0.81953191615684773</v>
      </c>
      <c r="AA80" s="1880">
        <f t="shared" si="194"/>
        <v>-7.3292396788424488E-4</v>
      </c>
      <c r="AB80" s="1947">
        <v>442.59911549411152</v>
      </c>
      <c r="AC80" s="1942">
        <f t="shared" si="174"/>
        <v>1.5982967078672722E-2</v>
      </c>
      <c r="AD80" s="1975"/>
      <c r="AE80" s="1975"/>
      <c r="AF80" s="1796">
        <f>AF78-AF79</f>
        <v>434.76766892361945</v>
      </c>
      <c r="AG80" s="1790">
        <f t="shared" si="137"/>
        <v>1.507026523606776E-2</v>
      </c>
      <c r="AH80" s="2830">
        <f t="shared" si="159"/>
        <v>1.5700160926710983E-2</v>
      </c>
      <c r="AI80" s="1791">
        <f t="shared" si="197"/>
        <v>-7.8314465704920622</v>
      </c>
      <c r="AJ80" s="1880">
        <f t="shared" si="198"/>
        <v>-9.1270184260496164E-4</v>
      </c>
      <c r="AK80" s="1947">
        <v>349.41790497801117</v>
      </c>
      <c r="AL80" s="1942">
        <f t="shared" si="177"/>
        <v>1.1218579996366761E-2</v>
      </c>
      <c r="AM80" s="1975"/>
      <c r="AN80" s="1975"/>
      <c r="AO80" s="1796">
        <f>AO78-AO79</f>
        <v>339.33196954979684</v>
      </c>
      <c r="AP80" s="1790">
        <f t="shared" si="138"/>
        <v>1.0441968991658598E-2</v>
      </c>
      <c r="AQ80" s="2830">
        <f t="shared" si="160"/>
        <v>1.0894756082859145E-2</v>
      </c>
      <c r="AR80" s="1791">
        <f t="shared" si="199"/>
        <v>-10.085935428214327</v>
      </c>
      <c r="AS80" s="1880">
        <f t="shared" si="200"/>
        <v>-7.7661100470816265E-4</v>
      </c>
      <c r="AT80" s="1947">
        <v>3.9172553725768466</v>
      </c>
      <c r="AU80" s="1942">
        <f t="shared" si="149"/>
        <v>1.1219769997521705E-4</v>
      </c>
      <c r="AV80" s="1975"/>
      <c r="AW80" s="1975"/>
      <c r="AX80" s="1796">
        <f>AX78-AX79</f>
        <v>3.7824369923063443</v>
      </c>
      <c r="AY80" s="1790">
        <f t="shared" si="139"/>
        <v>1.0316257918846418E-4</v>
      </c>
      <c r="AZ80" s="2830">
        <f t="shared" si="162"/>
        <v>1.0833624323011235E-4</v>
      </c>
      <c r="BA80" s="1791">
        <f t="shared" si="188"/>
        <v>-0.1348183802705023</v>
      </c>
      <c r="BB80" s="1880">
        <f t="shared" si="189"/>
        <v>-9.0351207867528708E-6</v>
      </c>
      <c r="BC80" s="1947">
        <v>0.78378903110041875</v>
      </c>
      <c r="BD80" s="1942">
        <f t="shared" si="152"/>
        <v>2.0017759719694579E-5</v>
      </c>
      <c r="BE80" s="1975"/>
      <c r="BF80" s="1975"/>
      <c r="BG80" s="1796">
        <f>BG78-BG79</f>
        <v>0.7524354471938679</v>
      </c>
      <c r="BH80" s="1790">
        <f t="shared" si="140"/>
        <v>1.8244778445322519E-5</v>
      </c>
      <c r="BI80" s="2830">
        <f t="shared" si="164"/>
        <v>1.9216997672653113E-5</v>
      </c>
      <c r="BJ80" s="1791">
        <f t="shared" si="201"/>
        <v>-3.1353583906550853E-2</v>
      </c>
      <c r="BK80" s="1880">
        <f t="shared" si="202"/>
        <v>-1.7729812743720603E-6</v>
      </c>
      <c r="BL80" s="1796">
        <f>BL78-BL79</f>
        <v>-0.12686429600000082</v>
      </c>
      <c r="BM80" s="1790">
        <f t="shared" si="166"/>
        <v>-2.7595114554197876E-6</v>
      </c>
    </row>
    <row r="81" spans="1:65">
      <c r="A81" s="1818" t="s">
        <v>569</v>
      </c>
      <c r="B81" s="1814">
        <v>0</v>
      </c>
      <c r="C81" s="1788">
        <f>B81/$B$111</f>
        <v>0</v>
      </c>
      <c r="D81" s="1843">
        <f>0</f>
        <v>0</v>
      </c>
      <c r="E81" s="1790">
        <f>D81/$D$111</f>
        <v>0</v>
      </c>
      <c r="F81" s="1791">
        <f t="shared" si="167"/>
        <v>0</v>
      </c>
      <c r="G81" s="1880">
        <f t="shared" ref="G81:G110" si="203">E81-C81</f>
        <v>0</v>
      </c>
      <c r="H81" s="1958">
        <v>0</v>
      </c>
      <c r="I81" s="1942">
        <f t="shared" si="168"/>
        <v>0</v>
      </c>
      <c r="J81" s="1975">
        <v>0</v>
      </c>
      <c r="K81" s="1975">
        <v>0</v>
      </c>
      <c r="L81" s="1975">
        <f t="shared" si="184"/>
        <v>0</v>
      </c>
      <c r="M81" s="1975">
        <v>0</v>
      </c>
      <c r="N81" s="1964">
        <f t="shared" si="190"/>
        <v>0</v>
      </c>
      <c r="O81" s="1843">
        <f>H81</f>
        <v>0</v>
      </c>
      <c r="P81" s="1889">
        <f t="shared" si="135"/>
        <v>0</v>
      </c>
      <c r="Q81" s="1791">
        <f t="shared" si="169"/>
        <v>0</v>
      </c>
      <c r="R81" s="1880">
        <f t="shared" si="170"/>
        <v>0</v>
      </c>
      <c r="S81" s="1958">
        <v>0</v>
      </c>
      <c r="T81" s="1942">
        <f t="shared" si="171"/>
        <v>0</v>
      </c>
      <c r="U81" s="1975">
        <f>FISCinyear!JL985</f>
        <v>0</v>
      </c>
      <c r="V81" s="1975">
        <f t="shared" si="172"/>
        <v>0</v>
      </c>
      <c r="W81" s="1843">
        <f>FISC!AK1311</f>
        <v>0</v>
      </c>
      <c r="X81" s="1889">
        <f t="shared" si="136"/>
        <v>0</v>
      </c>
      <c r="Y81" s="2830">
        <f t="shared" si="157"/>
        <v>0</v>
      </c>
      <c r="Z81" s="1791">
        <f t="shared" si="173"/>
        <v>0</v>
      </c>
      <c r="AA81" s="1880">
        <f t="shared" ref="AA81:AA110" si="204">X81-T81</f>
        <v>0</v>
      </c>
      <c r="AB81" s="1958">
        <v>0</v>
      </c>
      <c r="AC81" s="1942">
        <f t="shared" si="174"/>
        <v>0</v>
      </c>
      <c r="AD81" s="1975">
        <v>0</v>
      </c>
      <c r="AE81" s="1975">
        <f t="shared" si="175"/>
        <v>0</v>
      </c>
      <c r="AF81" s="1843">
        <f>FISC!AL1311</f>
        <v>0</v>
      </c>
      <c r="AG81" s="1790">
        <f t="shared" si="137"/>
        <v>0</v>
      </c>
      <c r="AH81" s="2830">
        <f t="shared" si="159"/>
        <v>0</v>
      </c>
      <c r="AI81" s="1791">
        <f t="shared" si="176"/>
        <v>0</v>
      </c>
      <c r="AJ81" s="1880">
        <f t="shared" si="187"/>
        <v>0</v>
      </c>
      <c r="AK81" s="1958">
        <v>0</v>
      </c>
      <c r="AL81" s="1942">
        <f t="shared" si="177"/>
        <v>0</v>
      </c>
      <c r="AM81" s="1975"/>
      <c r="AN81" s="1975">
        <f t="shared" si="178"/>
        <v>0</v>
      </c>
      <c r="AO81" s="1843">
        <f>FISC!AU1311</f>
        <v>0</v>
      </c>
      <c r="AP81" s="1790">
        <f t="shared" si="138"/>
        <v>0</v>
      </c>
      <c r="AQ81" s="2830">
        <f t="shared" si="160"/>
        <v>0</v>
      </c>
      <c r="AR81" s="1791">
        <f t="shared" ref="AR81:AS85" si="205">AO81-AK81</f>
        <v>0</v>
      </c>
      <c r="AS81" s="1880">
        <f t="shared" si="205"/>
        <v>0</v>
      </c>
      <c r="AT81" s="1958">
        <v>0</v>
      </c>
      <c r="AU81" s="1942">
        <f t="shared" si="149"/>
        <v>0</v>
      </c>
      <c r="AV81" s="1975"/>
      <c r="AW81" s="1975">
        <f t="shared" si="180"/>
        <v>0</v>
      </c>
      <c r="AX81" s="1843">
        <f>FISC!AZ1311</f>
        <v>0</v>
      </c>
      <c r="AY81" s="1790">
        <f t="shared" si="139"/>
        <v>0</v>
      </c>
      <c r="AZ81" s="2830">
        <f t="shared" si="162"/>
        <v>0</v>
      </c>
      <c r="BA81" s="1791">
        <f t="shared" si="188"/>
        <v>0</v>
      </c>
      <c r="BB81" s="1880">
        <f t="shared" si="189"/>
        <v>0</v>
      </c>
      <c r="BC81" s="1958">
        <v>0</v>
      </c>
      <c r="BD81" s="1942">
        <f t="shared" si="152"/>
        <v>0</v>
      </c>
      <c r="BE81" s="1975"/>
      <c r="BF81" s="1975">
        <f t="shared" si="182"/>
        <v>0</v>
      </c>
      <c r="BG81" s="1843">
        <f>FISC!BE1311</f>
        <v>0</v>
      </c>
      <c r="BH81" s="1790">
        <f t="shared" si="140"/>
        <v>0</v>
      </c>
      <c r="BI81" s="2830">
        <f t="shared" si="164"/>
        <v>0</v>
      </c>
      <c r="BJ81" s="1791">
        <f t="shared" si="191"/>
        <v>0</v>
      </c>
      <c r="BK81" s="1880">
        <f t="shared" si="192"/>
        <v>0</v>
      </c>
      <c r="BL81" s="1843">
        <f>FISC!AP1311</f>
        <v>0</v>
      </c>
      <c r="BM81" s="1790">
        <f t="shared" si="166"/>
        <v>0</v>
      </c>
    </row>
    <row r="82" spans="1:65" ht="12.6" customHeight="1">
      <c r="A82" s="1797" t="s">
        <v>3217</v>
      </c>
      <c r="B82" s="1816">
        <v>0</v>
      </c>
      <c r="C82" s="1799">
        <f>B82/$B$111</f>
        <v>0</v>
      </c>
      <c r="D82" s="1817">
        <f t="shared" ref="D82" si="206">B82</f>
        <v>0</v>
      </c>
      <c r="E82" s="1801">
        <f>D82/$D$111</f>
        <v>0</v>
      </c>
      <c r="F82" s="1802">
        <f t="shared" si="167"/>
        <v>0</v>
      </c>
      <c r="G82" s="1881">
        <f t="shared" si="203"/>
        <v>0</v>
      </c>
      <c r="H82" s="1948">
        <v>0</v>
      </c>
      <c r="I82" s="1942">
        <f t="shared" si="168"/>
        <v>0</v>
      </c>
      <c r="J82" s="1975">
        <v>0</v>
      </c>
      <c r="K82" s="1975">
        <v>0</v>
      </c>
      <c r="L82" s="1975">
        <f t="shared" si="184"/>
        <v>0</v>
      </c>
      <c r="M82" s="1975">
        <v>0</v>
      </c>
      <c r="N82" s="1966">
        <f t="shared" si="190"/>
        <v>0</v>
      </c>
      <c r="O82" s="1817">
        <f>H82</f>
        <v>0</v>
      </c>
      <c r="P82" s="1890">
        <f t="shared" si="135"/>
        <v>0</v>
      </c>
      <c r="Q82" s="1791">
        <f t="shared" si="169"/>
        <v>0</v>
      </c>
      <c r="R82" s="1880">
        <f t="shared" si="170"/>
        <v>0</v>
      </c>
      <c r="S82" s="1948">
        <v>0</v>
      </c>
      <c r="T82" s="1949">
        <f t="shared" si="171"/>
        <v>0</v>
      </c>
      <c r="U82" s="1976">
        <v>0</v>
      </c>
      <c r="V82" s="1976">
        <f t="shared" si="172"/>
        <v>0</v>
      </c>
      <c r="W82" s="1817">
        <f>S82</f>
        <v>0</v>
      </c>
      <c r="X82" s="1890">
        <f t="shared" si="136"/>
        <v>0</v>
      </c>
      <c r="Y82" s="2832">
        <f t="shared" si="157"/>
        <v>0</v>
      </c>
      <c r="Z82" s="1802">
        <f t="shared" si="173"/>
        <v>0</v>
      </c>
      <c r="AA82" s="1881">
        <f t="shared" si="204"/>
        <v>0</v>
      </c>
      <c r="AB82" s="1948">
        <v>0</v>
      </c>
      <c r="AC82" s="1949">
        <f t="shared" si="174"/>
        <v>0</v>
      </c>
      <c r="AD82" s="1976">
        <v>0</v>
      </c>
      <c r="AE82" s="1976">
        <f t="shared" si="175"/>
        <v>0</v>
      </c>
      <c r="AF82" s="1817">
        <f>AB82</f>
        <v>0</v>
      </c>
      <c r="AG82" s="1801">
        <f t="shared" si="137"/>
        <v>0</v>
      </c>
      <c r="AH82" s="2832">
        <f t="shared" si="159"/>
        <v>0</v>
      </c>
      <c r="AI82" s="1802">
        <f t="shared" si="176"/>
        <v>0</v>
      </c>
      <c r="AJ82" s="1881">
        <f t="shared" si="187"/>
        <v>0</v>
      </c>
      <c r="AK82" s="1948">
        <v>0</v>
      </c>
      <c r="AL82" s="1949">
        <f t="shared" si="177"/>
        <v>0</v>
      </c>
      <c r="AM82" s="1976"/>
      <c r="AN82" s="1976">
        <f t="shared" si="178"/>
        <v>0</v>
      </c>
      <c r="AO82" s="1817">
        <f>AK82</f>
        <v>0</v>
      </c>
      <c r="AP82" s="1801">
        <f t="shared" si="138"/>
        <v>0</v>
      </c>
      <c r="AQ82" s="2832">
        <f t="shared" si="160"/>
        <v>0</v>
      </c>
      <c r="AR82" s="1802">
        <f t="shared" si="205"/>
        <v>0</v>
      </c>
      <c r="AS82" s="1881">
        <f t="shared" si="205"/>
        <v>0</v>
      </c>
      <c r="AT82" s="1948">
        <v>0</v>
      </c>
      <c r="AU82" s="1949">
        <f t="shared" si="149"/>
        <v>0</v>
      </c>
      <c r="AV82" s="1976"/>
      <c r="AW82" s="1976">
        <f t="shared" si="180"/>
        <v>0</v>
      </c>
      <c r="AX82" s="1817">
        <f>AP82</f>
        <v>0</v>
      </c>
      <c r="AY82" s="1790">
        <f t="shared" si="139"/>
        <v>0</v>
      </c>
      <c r="AZ82" s="2832">
        <f t="shared" si="162"/>
        <v>0</v>
      </c>
      <c r="BA82" s="1791">
        <f t="shared" si="188"/>
        <v>0</v>
      </c>
      <c r="BB82" s="1880">
        <f t="shared" si="189"/>
        <v>0</v>
      </c>
      <c r="BC82" s="1948">
        <v>0</v>
      </c>
      <c r="BD82" s="1949">
        <f t="shared" si="152"/>
        <v>0</v>
      </c>
      <c r="BE82" s="1976"/>
      <c r="BF82" s="1976">
        <f t="shared" si="182"/>
        <v>0</v>
      </c>
      <c r="BG82" s="1817">
        <f>AY82</f>
        <v>0</v>
      </c>
      <c r="BH82" s="1790">
        <f t="shared" si="140"/>
        <v>0</v>
      </c>
      <c r="BI82" s="2832">
        <f t="shared" si="164"/>
        <v>0</v>
      </c>
      <c r="BJ82" s="1791">
        <f t="shared" si="191"/>
        <v>0</v>
      </c>
      <c r="BK82" s="1880">
        <f t="shared" si="192"/>
        <v>0</v>
      </c>
      <c r="BL82" s="1817">
        <f>BD82</f>
        <v>0</v>
      </c>
      <c r="BM82" s="1790">
        <f t="shared" si="166"/>
        <v>0</v>
      </c>
    </row>
    <row r="83" spans="1:65">
      <c r="A83" s="1803" t="s">
        <v>570</v>
      </c>
      <c r="B83" s="1804">
        <v>1299.0381424499506</v>
      </c>
      <c r="C83" s="1805">
        <f>B83/$B$111</f>
        <v>7.5226414176632256E-2</v>
      </c>
      <c r="D83" s="1806">
        <f>FISC!AI1313</f>
        <v>1281.5282433489474</v>
      </c>
      <c r="E83" s="1807">
        <f>D83/$D$111</f>
        <v>6.9094392416711004E-2</v>
      </c>
      <c r="F83" s="1808">
        <f t="shared" si="167"/>
        <v>-17.509899101003157</v>
      </c>
      <c r="G83" s="1882">
        <f t="shared" si="203"/>
        <v>-6.1320217599212523E-3</v>
      </c>
      <c r="H83" s="1945">
        <v>1267.7097575995733</v>
      </c>
      <c r="I83" s="1946">
        <f t="shared" si="168"/>
        <v>6.4536947121666799E-2</v>
      </c>
      <c r="J83" s="1974">
        <v>688.81738649283989</v>
      </c>
      <c r="K83" s="1974">
        <f>FISCinyear!JI987</f>
        <v>1303.5570455253387</v>
      </c>
      <c r="L83" s="1965">
        <f t="shared" si="184"/>
        <v>614.73965903249882</v>
      </c>
      <c r="M83" s="1965">
        <v>578.89237110673344</v>
      </c>
      <c r="N83" s="1965">
        <f t="shared" si="190"/>
        <v>85.962058068725582</v>
      </c>
      <c r="O83" s="1806">
        <f>FISC!AJ1313</f>
        <v>1389.5191035940643</v>
      </c>
      <c r="P83" s="1891">
        <f t="shared" si="135"/>
        <v>6.4173610603582232E-2</v>
      </c>
      <c r="Q83" s="1808">
        <f t="shared" si="169"/>
        <v>121.80934599449097</v>
      </c>
      <c r="R83" s="1882">
        <f t="shared" si="170"/>
        <v>-3.6333651808456713E-4</v>
      </c>
      <c r="S83" s="1945">
        <v>1519.2535139253391</v>
      </c>
      <c r="T83" s="1946">
        <f t="shared" si="171"/>
        <v>6.2230162454404922E-2</v>
      </c>
      <c r="U83" s="1974">
        <f>FISCinyear!JL987</f>
        <v>851.33239272685853</v>
      </c>
      <c r="V83" s="1974">
        <f t="shared" si="172"/>
        <v>729.79211925650372</v>
      </c>
      <c r="W83" s="1806">
        <f>FISC!AK1313</f>
        <v>1581.1245119833623</v>
      </c>
      <c r="X83" s="1891">
        <f t="shared" si="136"/>
        <v>6.2527928505663202E-2</v>
      </c>
      <c r="Y83" s="2831">
        <f t="shared" si="157"/>
        <v>6.4764461190643455E-2</v>
      </c>
      <c r="Z83" s="1808">
        <f t="shared" si="173"/>
        <v>61.870998058023133</v>
      </c>
      <c r="AA83" s="1882">
        <f t="shared" si="204"/>
        <v>2.9776605125828026E-4</v>
      </c>
      <c r="AB83" s="1945">
        <v>1482.0471872167868</v>
      </c>
      <c r="AC83" s="1946">
        <f t="shared" si="174"/>
        <v>5.3519111478297923E-2</v>
      </c>
      <c r="AD83" s="1974">
        <f>FISCinyear!JO987</f>
        <v>1175.5417009734015</v>
      </c>
      <c r="AE83" s="1974">
        <f t="shared" si="175"/>
        <v>440.95575562383647</v>
      </c>
      <c r="AF83" s="1806">
        <f>FISC!AL1313</f>
        <v>1616.4974565972379</v>
      </c>
      <c r="AG83" s="1807">
        <f t="shared" si="137"/>
        <v>5.6032329829541878E-2</v>
      </c>
      <c r="AH83" s="2831">
        <f t="shared" si="159"/>
        <v>5.8374327302277623E-2</v>
      </c>
      <c r="AI83" s="1808">
        <f t="shared" si="176"/>
        <v>134.45026938045112</v>
      </c>
      <c r="AJ83" s="1882">
        <f t="shared" si="187"/>
        <v>2.5132183512439552E-3</v>
      </c>
      <c r="AK83" s="1945">
        <v>1474.0666900324331</v>
      </c>
      <c r="AL83" s="1946">
        <f t="shared" si="177"/>
        <v>4.7327096999076466E-2</v>
      </c>
      <c r="AM83" s="1974">
        <f>FISCinyear!JR987</f>
        <v>1235.9546445574533</v>
      </c>
      <c r="AN83" s="1974">
        <f t="shared" si="178"/>
        <v>338.43984499444127</v>
      </c>
      <c r="AO83" s="1806">
        <f>FISC!AM1313</f>
        <v>1574.3944895518946</v>
      </c>
      <c r="AP83" s="1807">
        <f t="shared" si="138"/>
        <v>4.8447478916738257E-2</v>
      </c>
      <c r="AQ83" s="2831">
        <f t="shared" si="160"/>
        <v>5.0548269780246208E-2</v>
      </c>
      <c r="AR83" s="1808">
        <f t="shared" si="205"/>
        <v>100.32779951946145</v>
      </c>
      <c r="AS83" s="1882">
        <f t="shared" si="205"/>
        <v>1.1203819176617905E-3</v>
      </c>
      <c r="AT83" s="1945">
        <v>1169.312540956013</v>
      </c>
      <c r="AU83" s="1946">
        <f t="shared" si="149"/>
        <v>3.3491351767842334E-2</v>
      </c>
      <c r="AV83" s="1974">
        <f>FISCinyear!JU987</f>
        <v>949.86897062460753</v>
      </c>
      <c r="AW83" s="1974">
        <f t="shared" si="180"/>
        <v>277.651865718615</v>
      </c>
      <c r="AX83" s="1806">
        <f>FISC!AN1313</f>
        <v>1227.5208363432225</v>
      </c>
      <c r="AY83" s="1807">
        <f t="shared" si="139"/>
        <v>3.3479530721153443E-2</v>
      </c>
      <c r="AZ83" s="2831">
        <f t="shared" si="162"/>
        <v>3.5158548884385396E-2</v>
      </c>
      <c r="BA83" s="1808">
        <f t="shared" si="181"/>
        <v>58.208295387209546</v>
      </c>
      <c r="BB83" s="1882">
        <f t="shared" si="185"/>
        <v>-1.1821046688891002E-5</v>
      </c>
      <c r="BC83" s="1945">
        <v>1283.2380156351885</v>
      </c>
      <c r="BD83" s="1946">
        <f t="shared" si="152"/>
        <v>3.2773551607501124E-2</v>
      </c>
      <c r="BE83" s="1974">
        <f>FISCinyear!JX987</f>
        <v>1077.4660061544878</v>
      </c>
      <c r="BF83" s="1974">
        <f t="shared" si="182"/>
        <v>299.85016762580585</v>
      </c>
      <c r="BG83" s="1806">
        <f>FISC!AO1313</f>
        <v>1377.3161737802936</v>
      </c>
      <c r="BH83" s="1807">
        <f t="shared" si="140"/>
        <v>3.3396656860726348E-2</v>
      </c>
      <c r="BI83" s="2831">
        <f t="shared" si="164"/>
        <v>3.5176282304020486E-2</v>
      </c>
      <c r="BJ83" s="1808">
        <f t="shared" si="183"/>
        <v>94.078158145105135</v>
      </c>
      <c r="BK83" s="1882">
        <f t="shared" si="133"/>
        <v>6.2310525322522431E-4</v>
      </c>
      <c r="BL83" s="1806">
        <f>FISC!AP1313</f>
        <v>1534.6482667945936</v>
      </c>
      <c r="BM83" s="1807">
        <f t="shared" si="166"/>
        <v>3.3381176625610846E-2</v>
      </c>
    </row>
    <row r="84" spans="1:65">
      <c r="A84" s="1818" t="s">
        <v>564</v>
      </c>
      <c r="B84" s="1795">
        <v>90.706809400701559</v>
      </c>
      <c r="C84" s="1788">
        <f>B84/$B$111</f>
        <v>5.2527695605219023E-3</v>
      </c>
      <c r="D84" s="1796">
        <f>FISC!AI1314</f>
        <v>-25.685910036448661</v>
      </c>
      <c r="E84" s="1790">
        <f>D84/$D$111</f>
        <v>-1.3848718175737248E-3</v>
      </c>
      <c r="F84" s="1791">
        <f t="shared" si="167"/>
        <v>-116.39271943715022</v>
      </c>
      <c r="G84" s="1880">
        <f t="shared" si="203"/>
        <v>-6.6376413780956274E-3</v>
      </c>
      <c r="H84" s="1958">
        <v>-48.544990256820029</v>
      </c>
      <c r="I84" s="1942">
        <f t="shared" si="168"/>
        <v>-2.4713428688586427E-3</v>
      </c>
      <c r="J84" s="1975">
        <v>-273.33116587324889</v>
      </c>
      <c r="K84" s="1975">
        <f>FISCinyear!JI988</f>
        <v>249.45885628999986</v>
      </c>
      <c r="L84" s="1964">
        <f t="shared" si="184"/>
        <v>522.79002216324875</v>
      </c>
      <c r="M84" s="1964">
        <v>224.78617561642886</v>
      </c>
      <c r="N84" s="1964">
        <f t="shared" si="190"/>
        <v>-215.11961708899992</v>
      </c>
      <c r="O84" s="1843">
        <f>FISC!AJ1314</f>
        <v>34.339239200999941</v>
      </c>
      <c r="P84" s="1889">
        <f t="shared" si="135"/>
        <v>1.5859249140284006E-3</v>
      </c>
      <c r="Q84" s="1791">
        <f t="shared" si="169"/>
        <v>82.88422945781997</v>
      </c>
      <c r="R84" s="1880">
        <f t="shared" si="170"/>
        <v>4.0572677828870432E-3</v>
      </c>
      <c r="S84" s="1958">
        <v>226.57158829042964</v>
      </c>
      <c r="T84" s="1942">
        <f t="shared" si="171"/>
        <v>9.2806017018426876E-3</v>
      </c>
      <c r="U84" s="1975">
        <f>FISCinyear!JL988</f>
        <v>349.69712216199991</v>
      </c>
      <c r="V84" s="1975">
        <f t="shared" si="172"/>
        <v>-187.26251826902967</v>
      </c>
      <c r="W84" s="1843">
        <f>FISC!AK1314</f>
        <v>162.43460389297024</v>
      </c>
      <c r="X84" s="1889">
        <f t="shared" si="136"/>
        <v>6.4237188292810684E-3</v>
      </c>
      <c r="Y84" s="2830">
        <f t="shared" si="157"/>
        <v>6.6534858704122811E-3</v>
      </c>
      <c r="Z84" s="1791">
        <f t="shared" si="173"/>
        <v>-64.1369843974594</v>
      </c>
      <c r="AA84" s="1880">
        <f t="shared" si="204"/>
        <v>-2.8568828725616191E-3</v>
      </c>
      <c r="AB84" s="1958">
        <v>-21.035274977788049</v>
      </c>
      <c r="AC84" s="1942">
        <f t="shared" si="174"/>
        <v>-7.5961766684842693E-4</v>
      </c>
      <c r="AD84" s="1975">
        <f>FISCinyear!JO988</f>
        <v>482.10501094896745</v>
      </c>
      <c r="AE84" s="1975">
        <f t="shared" si="175"/>
        <v>-211.62817134195257</v>
      </c>
      <c r="AF84" s="1843">
        <f>FISC!AL1314</f>
        <v>270.47683960701488</v>
      </c>
      <c r="AG84" s="1790">
        <f t="shared" si="137"/>
        <v>9.3754848956056503E-3</v>
      </c>
      <c r="AH84" s="2830">
        <f t="shared" si="159"/>
        <v>9.7673544109011575E-3</v>
      </c>
      <c r="AI84" s="1791">
        <f t="shared" si="176"/>
        <v>291.51211458480293</v>
      </c>
      <c r="AJ84" s="1880">
        <f t="shared" si="187"/>
        <v>1.0135102562454076E-2</v>
      </c>
      <c r="AK84" s="1947">
        <v>183.82985063301157</v>
      </c>
      <c r="AL84" s="1942">
        <f t="shared" si="177"/>
        <v>5.9021299586132382E-3</v>
      </c>
      <c r="AM84" s="1975">
        <f>FISCinyear!JR988</f>
        <v>456.02069727198318</v>
      </c>
      <c r="AN84" s="1975">
        <f t="shared" si="178"/>
        <v>-15.193520285461091</v>
      </c>
      <c r="AO84" s="1796">
        <f>FISC!AM1314</f>
        <v>440.82717698652209</v>
      </c>
      <c r="AP84" s="1790">
        <f t="shared" si="138"/>
        <v>1.3565193161377494E-2</v>
      </c>
      <c r="AQ84" s="2830">
        <f t="shared" si="160"/>
        <v>1.4153410226379337E-2</v>
      </c>
      <c r="AR84" s="1791">
        <f t="shared" si="205"/>
        <v>256.99732635351052</v>
      </c>
      <c r="AS84" s="1880">
        <f t="shared" si="205"/>
        <v>7.6630632027642562E-3</v>
      </c>
      <c r="AT84" s="1947">
        <v>234.23461018270086</v>
      </c>
      <c r="AU84" s="1942">
        <f t="shared" si="149"/>
        <v>6.7089280676135019E-3</v>
      </c>
      <c r="AV84" s="1975">
        <f>FISCinyear!JU988</f>
        <v>192.32822910974892</v>
      </c>
      <c r="AW84" s="1975">
        <f t="shared" si="180"/>
        <v>66.742011153778549</v>
      </c>
      <c r="AX84" s="1796">
        <f>FISC!AN1314</f>
        <v>259.07024026352747</v>
      </c>
      <c r="AY84" s="1790">
        <f t="shared" si="139"/>
        <v>7.0659086274069503E-3</v>
      </c>
      <c r="AZ84" s="2830">
        <f t="shared" si="162"/>
        <v>7.4202681022743121E-3</v>
      </c>
      <c r="BA84" s="1791">
        <f t="shared" si="181"/>
        <v>24.835630080826604</v>
      </c>
      <c r="BB84" s="1880">
        <f t="shared" si="185"/>
        <v>3.5698055979344837E-4</v>
      </c>
      <c r="BC84" s="1947">
        <v>810.26367758733284</v>
      </c>
      <c r="BD84" s="1942">
        <f t="shared" si="152"/>
        <v>2.069391502553606E-2</v>
      </c>
      <c r="BE84" s="1975">
        <f>FISCinyear!JX988</f>
        <v>489.75808543939274</v>
      </c>
      <c r="BF84" s="1975">
        <f t="shared" si="182"/>
        <v>92.453198166354923</v>
      </c>
      <c r="BG84" s="1796">
        <f>FISC!AO1314</f>
        <v>582.21128360574767</v>
      </c>
      <c r="BH84" s="1790">
        <f t="shared" si="140"/>
        <v>1.4117245429316968E-2</v>
      </c>
      <c r="BI84" s="2830">
        <f t="shared" si="164"/>
        <v>1.48695186062404E-2</v>
      </c>
      <c r="BJ84" s="1791">
        <f t="shared" si="183"/>
        <v>-228.05239398158517</v>
      </c>
      <c r="BK84" s="1880">
        <f t="shared" si="133"/>
        <v>-6.5766695962190917E-3</v>
      </c>
      <c r="BL84" s="1796">
        <f>FISC!AP1314</f>
        <v>546.33957167213407</v>
      </c>
      <c r="BM84" s="1790">
        <f t="shared" si="166"/>
        <v>1.1883803040836518E-2</v>
      </c>
    </row>
    <row r="85" spans="1:65">
      <c r="A85" s="1787" t="s">
        <v>3162</v>
      </c>
      <c r="B85" s="1795">
        <v>219.34147124206154</v>
      </c>
      <c r="C85" s="1788">
        <f>B85/$B$111</f>
        <v>1.2701915226790901E-2</v>
      </c>
      <c r="D85" s="1796">
        <f>FISC!AI1319</f>
        <v>154.48750000000004</v>
      </c>
      <c r="E85" s="1790">
        <f>D85/$D$111</f>
        <v>8.3292896616794735E-3</v>
      </c>
      <c r="F85" s="1791">
        <f t="shared" si="167"/>
        <v>-64.853971242061505</v>
      </c>
      <c r="G85" s="1880">
        <f t="shared" si="203"/>
        <v>-4.3726255651114279E-3</v>
      </c>
      <c r="H85" s="1947">
        <v>110.47832671353997</v>
      </c>
      <c r="I85" s="1942">
        <f t="shared" si="168"/>
        <v>5.6242636663952081E-3</v>
      </c>
      <c r="J85" s="1975">
        <v>-167.31524305556889</v>
      </c>
      <c r="K85" s="1975">
        <f>FISCinyear!JI993</f>
        <v>351.16669999999988</v>
      </c>
      <c r="L85" s="1964">
        <f t="shared" si="184"/>
        <v>518.48194305556876</v>
      </c>
      <c r="M85" s="1964">
        <v>277.79356976910884</v>
      </c>
      <c r="N85" s="1964">
        <f t="shared" si="190"/>
        <v>-146.08489999999989</v>
      </c>
      <c r="O85" s="1796">
        <f>FISC!AJ1319</f>
        <v>205.08179999999999</v>
      </c>
      <c r="P85" s="1889">
        <f t="shared" si="135"/>
        <v>9.4715067544163482E-3</v>
      </c>
      <c r="Q85" s="1791">
        <f t="shared" si="169"/>
        <v>94.603473286460016</v>
      </c>
      <c r="R85" s="1880">
        <f t="shared" si="170"/>
        <v>3.84724308802114E-3</v>
      </c>
      <c r="S85" s="1947">
        <v>395.35950162031514</v>
      </c>
      <c r="T85" s="1942">
        <f t="shared" si="171"/>
        <v>1.6194325560687076E-2</v>
      </c>
      <c r="U85" s="1975">
        <f>FISCinyear!JL993</f>
        <v>318.96759999999989</v>
      </c>
      <c r="V85" s="1975">
        <f t="shared" si="172"/>
        <v>10.985767932789258</v>
      </c>
      <c r="W85" s="1843">
        <f>FISC!AK1319</f>
        <v>329.95336793278915</v>
      </c>
      <c r="X85" s="1889">
        <f t="shared" si="136"/>
        <v>1.3048498359199001E-2</v>
      </c>
      <c r="Y85" s="2830">
        <f t="shared" si="157"/>
        <v>1.3515224089088115E-2</v>
      </c>
      <c r="Z85" s="1791">
        <f t="shared" si="173"/>
        <v>-65.406133687525994</v>
      </c>
      <c r="AA85" s="1880">
        <f t="shared" si="204"/>
        <v>-3.1458272014880748E-3</v>
      </c>
      <c r="AB85" s="1947">
        <v>107.91069105457196</v>
      </c>
      <c r="AC85" s="1942">
        <f t="shared" si="174"/>
        <v>3.8968288959108704E-3</v>
      </c>
      <c r="AD85" s="1975">
        <f>FISCinyear!JO993</f>
        <v>566.98361062564743</v>
      </c>
      <c r="AE85" s="1975">
        <f t="shared" si="175"/>
        <v>-167.56080498627256</v>
      </c>
      <c r="AF85" s="1843">
        <f>FISC!AL1319</f>
        <v>399.42280563937487</v>
      </c>
      <c r="AG85" s="1790">
        <f t="shared" si="137"/>
        <v>1.3845113269858203E-2</v>
      </c>
      <c r="AH85" s="2830">
        <f t="shared" si="159"/>
        <v>1.4423800973660455E-2</v>
      </c>
      <c r="AI85" s="1791">
        <f t="shared" si="176"/>
        <v>291.51211458480293</v>
      </c>
      <c r="AJ85" s="1880">
        <f t="shared" si="187"/>
        <v>9.9482843739473331E-3</v>
      </c>
      <c r="AK85" s="1947">
        <v>307.56781501937155</v>
      </c>
      <c r="AL85" s="1942">
        <f t="shared" si="177"/>
        <v>9.8749207981190662E-3</v>
      </c>
      <c r="AM85" s="1975">
        <f>FISCinyear!JR993</f>
        <v>533.69627525866315</v>
      </c>
      <c r="AN85" s="1975">
        <f t="shared" si="178"/>
        <v>30.868866114218918</v>
      </c>
      <c r="AO85" s="1796">
        <f>FISC!AM1319</f>
        <v>564.56514137288207</v>
      </c>
      <c r="AP85" s="1790">
        <f t="shared" si="138"/>
        <v>1.7372874438586823E-2</v>
      </c>
      <c r="AQ85" s="2830">
        <f t="shared" si="160"/>
        <v>1.8126201065885167E-2</v>
      </c>
      <c r="AR85" s="1791">
        <f t="shared" si="205"/>
        <v>256.99732635351052</v>
      </c>
      <c r="AS85" s="1880">
        <f t="shared" si="205"/>
        <v>7.4979536404677569E-3</v>
      </c>
      <c r="AT85" s="1947">
        <v>340.11624747606083</v>
      </c>
      <c r="AU85" s="1942">
        <f t="shared" si="149"/>
        <v>9.7415810463010958E-3</v>
      </c>
      <c r="AV85" s="1975">
        <f>FISCinyear!JU993</f>
        <v>245.20997182742889</v>
      </c>
      <c r="AW85" s="1975">
        <f t="shared" si="180"/>
        <v>119.74190572945855</v>
      </c>
      <c r="AX85" s="1796">
        <f>FISC!AN1319</f>
        <v>364.95187755688744</v>
      </c>
      <c r="AY85" s="1790">
        <f t="shared" si="139"/>
        <v>9.953735394673249E-3</v>
      </c>
      <c r="AZ85" s="2830">
        <f t="shared" si="162"/>
        <v>1.0452921080961906E-2</v>
      </c>
      <c r="BA85" s="1791">
        <f t="shared" si="181"/>
        <v>24.835630080826604</v>
      </c>
      <c r="BB85" s="1880">
        <f t="shared" si="185"/>
        <v>2.1215434837215316E-4</v>
      </c>
      <c r="BC85" s="1947">
        <v>945.59465221669279</v>
      </c>
      <c r="BD85" s="1942">
        <f t="shared" si="152"/>
        <v>2.4150231489877511E-2</v>
      </c>
      <c r="BE85" s="1975">
        <f>FISCinyear!JX993</f>
        <v>575.84395491707278</v>
      </c>
      <c r="BF85" s="1975">
        <f t="shared" si="182"/>
        <v>141.69830331803496</v>
      </c>
      <c r="BG85" s="1796">
        <f>FISC!AO1319</f>
        <v>717.54225823510774</v>
      </c>
      <c r="BH85" s="1790">
        <f t="shared" si="140"/>
        <v>1.7398701211484641E-2</v>
      </c>
      <c r="BI85" s="2830">
        <f t="shared" si="164"/>
        <v>1.8325835070581855E-2</v>
      </c>
      <c r="BJ85" s="1791">
        <f t="shared" si="183"/>
        <v>-228.05239398158506</v>
      </c>
      <c r="BK85" s="1880">
        <f t="shared" si="133"/>
        <v>-6.7515302783928699E-3</v>
      </c>
      <c r="BL85" s="1796">
        <f>FISC!AP1319</f>
        <v>661.77018244949409</v>
      </c>
      <c r="BM85" s="1790">
        <f t="shared" si="166"/>
        <v>1.4394612644400832E-2</v>
      </c>
    </row>
    <row r="86" spans="1:65">
      <c r="A86" s="1930" t="s">
        <v>4000</v>
      </c>
      <c r="B86" s="1795"/>
      <c r="C86" s="1788"/>
      <c r="D86" s="1796"/>
      <c r="E86" s="1790"/>
      <c r="F86" s="1791"/>
      <c r="G86" s="1880"/>
      <c r="H86" s="1947"/>
      <c r="I86" s="1942"/>
      <c r="J86" s="1975"/>
      <c r="K86" s="1975"/>
      <c r="L86" s="1964"/>
      <c r="M86" s="1964"/>
      <c r="N86" s="1964"/>
      <c r="O86" s="1796"/>
      <c r="P86" s="1889"/>
      <c r="Q86" s="1791"/>
      <c r="R86" s="1880"/>
      <c r="S86" s="1947">
        <v>177.61372277807513</v>
      </c>
      <c r="T86" s="1942"/>
      <c r="U86" s="1975">
        <f>W86*55%</f>
        <v>97.525889522299636</v>
      </c>
      <c r="V86" s="1975">
        <f>W86-U86</f>
        <v>79.793909609154227</v>
      </c>
      <c r="W86" s="1843">
        <f>FISC!AK708</f>
        <v>177.31979913145386</v>
      </c>
      <c r="X86" s="1889">
        <f t="shared" si="136"/>
        <v>7.0123760897375653E-3</v>
      </c>
      <c r="Y86" s="2830">
        <f t="shared" si="157"/>
        <v>7.2631985413825406E-3</v>
      </c>
      <c r="Z86" s="1791">
        <f t="shared" ref="Z86" si="207">W86-S86</f>
        <v>-0.29392364662126624</v>
      </c>
      <c r="AA86" s="1880">
        <f t="shared" ref="AA86" si="208">X86-T86</f>
        <v>7.0123760897375653E-3</v>
      </c>
      <c r="AB86" s="1947">
        <v>162.73536969180157</v>
      </c>
      <c r="AC86" s="1942"/>
      <c r="AD86" s="1975">
        <f>AF86*56%</f>
        <v>89.519300692390928</v>
      </c>
      <c r="AE86" s="1975">
        <f>AF86-AD86</f>
        <v>70.336593401164279</v>
      </c>
      <c r="AF86" s="1843">
        <f>FISC!AL708</f>
        <v>159.85589409355521</v>
      </c>
      <c r="AG86" s="1790">
        <f t="shared" si="137"/>
        <v>5.5410530628988959E-3</v>
      </c>
      <c r="AH86" s="2830">
        <f t="shared" si="159"/>
        <v>5.7726538603149972E-3</v>
      </c>
      <c r="AI86" s="1791">
        <f t="shared" ref="AI86" si="209">AF86-AB86</f>
        <v>-2.8794755982463585</v>
      </c>
      <c r="AJ86" s="1880">
        <f t="shared" ref="AJ86" si="210">AG86-AC86</f>
        <v>5.5410530628988959E-3</v>
      </c>
      <c r="AK86" s="1947">
        <v>187.35066706985879</v>
      </c>
      <c r="AL86" s="1942"/>
      <c r="AM86" s="1975">
        <f>AO86*68%</f>
        <v>123.72110176481429</v>
      </c>
      <c r="AN86" s="1975">
        <f>AO86-AM86</f>
        <v>58.221694948147885</v>
      </c>
      <c r="AO86" s="1796">
        <f>FISC!AM708</f>
        <v>181.94279671296218</v>
      </c>
      <c r="AP86" s="1790">
        <f t="shared" si="138"/>
        <v>5.5987682034586306E-3</v>
      </c>
      <c r="AQ86" s="2830">
        <f t="shared" si="160"/>
        <v>5.8415432941695145E-3</v>
      </c>
      <c r="AR86" s="1791">
        <f t="shared" ref="AR86" si="211">AO86-AK86</f>
        <v>-5.4078703568966091</v>
      </c>
      <c r="AS86" s="1880">
        <f t="shared" ref="AS86" si="212">AP86-AL86</f>
        <v>5.5987682034586306E-3</v>
      </c>
      <c r="AT86" s="1947"/>
      <c r="AU86" s="1942"/>
      <c r="AV86" s="1975"/>
      <c r="AW86" s="1975"/>
      <c r="AX86" s="1796"/>
      <c r="AY86" s="1790"/>
      <c r="AZ86" s="2830">
        <f t="shared" si="162"/>
        <v>0</v>
      </c>
      <c r="BA86" s="1791"/>
      <c r="BB86" s="1880"/>
      <c r="BC86" s="1947"/>
      <c r="BD86" s="1942"/>
      <c r="BE86" s="1975"/>
      <c r="BF86" s="1975"/>
      <c r="BG86" s="1796"/>
      <c r="BH86" s="1790"/>
      <c r="BI86" s="2830">
        <f t="shared" si="164"/>
        <v>0</v>
      </c>
      <c r="BJ86" s="1791"/>
      <c r="BK86" s="1880"/>
      <c r="BL86" s="1796"/>
      <c r="BM86" s="1790">
        <f t="shared" si="166"/>
        <v>0</v>
      </c>
    </row>
    <row r="87" spans="1:65">
      <c r="A87" s="1787" t="s">
        <v>571</v>
      </c>
      <c r="B87" s="1795">
        <v>194.63887996167909</v>
      </c>
      <c r="C87" s="1788">
        <f>B87/$B$111</f>
        <v>1.1271404988354456E-2</v>
      </c>
      <c r="D87" s="1796">
        <v>205.34307552212306</v>
      </c>
      <c r="E87" s="1790">
        <f>D87/$D$111</f>
        <v>1.1071199650741236E-2</v>
      </c>
      <c r="F87" s="1791">
        <f t="shared" si="167"/>
        <v>10.704195560443964</v>
      </c>
      <c r="G87" s="1880">
        <f t="shared" si="203"/>
        <v>-2.0020533761322054E-4</v>
      </c>
      <c r="H87" s="1947">
        <v>-38.544990256820014</v>
      </c>
      <c r="I87" s="1942">
        <f t="shared" ref="I87:I103" si="213">H87/$H$111</f>
        <v>-1.9622598809366397E-3</v>
      </c>
      <c r="J87" s="1975">
        <v>-167.31524305556889</v>
      </c>
      <c r="K87" s="1975">
        <f>FISCinyear!JI994</f>
        <v>240.03859999999997</v>
      </c>
      <c r="L87" s="1964">
        <f t="shared" si="184"/>
        <v>407.35384305556886</v>
      </c>
      <c r="M87" s="1964">
        <v>128.77025279874886</v>
      </c>
      <c r="N87" s="1964">
        <f t="shared" si="190"/>
        <v>-119.29009999999994</v>
      </c>
      <c r="O87" s="1796">
        <f>FISC!AJ1320</f>
        <v>120.74850000000004</v>
      </c>
      <c r="P87" s="1889">
        <f t="shared" ref="P87:P110" si="214">O87/$O$111</f>
        <v>5.5766539660547301E-3</v>
      </c>
      <c r="Q87" s="1791">
        <f t="shared" si="169"/>
        <v>159.29349025682006</v>
      </c>
      <c r="R87" s="1880">
        <f t="shared" si="170"/>
        <v>7.5389138469913698E-3</v>
      </c>
      <c r="S87" s="1947">
        <v>173.79136940140555</v>
      </c>
      <c r="T87" s="1942">
        <f t="shared" ref="T87:T103" si="215">S87/$S$111</f>
        <v>7.1186704864547373E-3</v>
      </c>
      <c r="U87" s="1975">
        <f>FISCinyear!JL994</f>
        <v>169.2647</v>
      </c>
      <c r="V87" s="1975">
        <f t="shared" si="172"/>
        <v>-24.224433061595079</v>
      </c>
      <c r="W87" s="1796">
        <f>FISC!AK1320</f>
        <v>145.04026693840493</v>
      </c>
      <c r="X87" s="1889">
        <f t="shared" si="136"/>
        <v>5.7358338150046472E-3</v>
      </c>
      <c r="Y87" s="2830">
        <f t="shared" si="157"/>
        <v>5.9409962137831548E-3</v>
      </c>
      <c r="Z87" s="1791">
        <f t="shared" si="173"/>
        <v>-28.75110246300062</v>
      </c>
      <c r="AA87" s="1880">
        <f t="shared" si="204"/>
        <v>-1.3828366714500901E-3</v>
      </c>
      <c r="AB87" s="1947">
        <v>47.435174049355417</v>
      </c>
      <c r="AC87" s="1942">
        <f t="shared" ref="AC87:AC108" si="216">AB87/$AB$111</f>
        <v>1.7129605520236177E-3</v>
      </c>
      <c r="AD87" s="1975">
        <f>FISCinyear!JO994</f>
        <v>455.06096218991621</v>
      </c>
      <c r="AE87" s="1975">
        <f t="shared" si="175"/>
        <v>-279.48345342200366</v>
      </c>
      <c r="AF87" s="1796">
        <f>FISC!AL1320</f>
        <v>175.57750876791252</v>
      </c>
      <c r="AG87" s="1790">
        <f t="shared" si="137"/>
        <v>6.0860082654520184E-3</v>
      </c>
      <c r="AH87" s="2830">
        <f t="shared" si="159"/>
        <v>6.3403866934077782E-3</v>
      </c>
      <c r="AI87" s="1791">
        <f t="shared" si="176"/>
        <v>128.14233471855709</v>
      </c>
      <c r="AJ87" s="1880">
        <f t="shared" si="187"/>
        <v>4.3730477134284011E-3</v>
      </c>
      <c r="AK87" s="1947">
        <v>135.20006863866445</v>
      </c>
      <c r="AL87" s="1942">
        <f t="shared" ref="AL87:AL103" si="217">AK87/$AK$111</f>
        <v>4.3407986938522316E-3</v>
      </c>
      <c r="AM87" s="1975">
        <f>FISCinyear!JR994</f>
        <v>375.49893413338981</v>
      </c>
      <c r="AN87" s="1975">
        <f t="shared" si="178"/>
        <v>-127.32847501105445</v>
      </c>
      <c r="AO87" s="1796">
        <f>FISC!AM1320</f>
        <v>248.17045912233536</v>
      </c>
      <c r="AP87" s="1790">
        <f t="shared" si="138"/>
        <v>7.6367347357196719E-3</v>
      </c>
      <c r="AQ87" s="2830">
        <f t="shared" si="160"/>
        <v>7.9678806058155228E-3</v>
      </c>
      <c r="AR87" s="1791">
        <f t="shared" ref="AR87:AR103" si="218">AO87-AK87</f>
        <v>112.97039048367091</v>
      </c>
      <c r="AS87" s="1880">
        <f t="shared" ref="AS87:AS103" si="219">AP87-AL87</f>
        <v>3.2959360418674402E-3</v>
      </c>
      <c r="AT87" s="1947">
        <v>149.50764598367422</v>
      </c>
      <c r="AU87" s="1942">
        <f t="shared" ref="AU87:AU103" si="220">AT87/$AT$111</f>
        <v>4.2821854621754489E-3</v>
      </c>
      <c r="AV87" s="1975">
        <f>FISCinyear!JU994</f>
        <v>142.94645529543016</v>
      </c>
      <c r="AW87" s="1975">
        <f t="shared" si="180"/>
        <v>17.478389197459848</v>
      </c>
      <c r="AX87" s="1796">
        <f>FISC!AN1320</f>
        <v>160.42484449289</v>
      </c>
      <c r="AY87" s="1790">
        <f t="shared" ref="AY87:AY106" si="221">AX87/$AX$111</f>
        <v>4.3754438626361723E-3</v>
      </c>
      <c r="AZ87" s="2830">
        <f t="shared" si="162"/>
        <v>4.5948749466246403E-3</v>
      </c>
      <c r="BA87" s="1791">
        <f t="shared" si="181"/>
        <v>10.91719850921578</v>
      </c>
      <c r="BB87" s="1880">
        <f t="shared" si="185"/>
        <v>9.3258400460723319E-5</v>
      </c>
      <c r="BC87" s="1947">
        <v>415.6626787363914</v>
      </c>
      <c r="BD87" s="1942">
        <f t="shared" ref="BD87:BD103" si="222">BC87/$BC$111</f>
        <v>1.0615912314705062E-2</v>
      </c>
      <c r="BE87" s="1975">
        <f>FISCinyear!JX994</f>
        <v>374.78074877972199</v>
      </c>
      <c r="BF87" s="1975">
        <f t="shared" si="182"/>
        <v>-59.36490281931566</v>
      </c>
      <c r="BG87" s="1796">
        <f>FISC!AO1320</f>
        <v>315.41584596040633</v>
      </c>
      <c r="BH87" s="1790">
        <f t="shared" ref="BH87:BH106" si="223">BG87/$BG$111</f>
        <v>7.6480876188823018E-3</v>
      </c>
      <c r="BI87" s="2830">
        <f t="shared" si="164"/>
        <v>8.055635337681416E-3</v>
      </c>
      <c r="BJ87" s="1791">
        <f t="shared" si="183"/>
        <v>-100.24683277598507</v>
      </c>
      <c r="BK87" s="1880">
        <f t="shared" si="133"/>
        <v>-2.9678246958227605E-3</v>
      </c>
      <c r="BL87" s="1796">
        <f>FISC!AP1320</f>
        <v>290.89966414254985</v>
      </c>
      <c r="BM87" s="1790">
        <f t="shared" si="166"/>
        <v>6.3275561437642781E-3</v>
      </c>
    </row>
    <row r="88" spans="1:65">
      <c r="A88" s="1809" t="s">
        <v>3592</v>
      </c>
      <c r="B88" s="1795"/>
      <c r="C88" s="1788"/>
      <c r="D88" s="1796"/>
      <c r="E88" s="1790"/>
      <c r="F88" s="1791"/>
      <c r="G88" s="1880"/>
      <c r="H88" s="1947">
        <v>-30.065092400319614</v>
      </c>
      <c r="I88" s="1942">
        <f t="shared" si="213"/>
        <v>-1.530562707130579E-3</v>
      </c>
      <c r="J88" s="1975">
        <v>-1.1209999999999809</v>
      </c>
      <c r="K88" s="1975">
        <f>FISCinyear!JI995</f>
        <v>207.52760000000001</v>
      </c>
      <c r="L88" s="1964">
        <f t="shared" si="184"/>
        <v>208.64859999999999</v>
      </c>
      <c r="M88" s="1964">
        <v>-28.944092400319633</v>
      </c>
      <c r="N88" s="1964">
        <f t="shared" si="190"/>
        <v>-138.39710000000002</v>
      </c>
      <c r="O88" s="1796">
        <f>FISC!AJ1321</f>
        <v>69.130499999999984</v>
      </c>
      <c r="P88" s="1889">
        <f t="shared" si="214"/>
        <v>3.1927260131624515E-3</v>
      </c>
      <c r="Q88" s="1791">
        <f t="shared" si="169"/>
        <v>99.195592400319597</v>
      </c>
      <c r="R88" s="1880">
        <f t="shared" si="170"/>
        <v>4.7232887202930309E-3</v>
      </c>
      <c r="S88" s="1947">
        <v>94.244612693124296</v>
      </c>
      <c r="T88" s="1942">
        <f t="shared" si="215"/>
        <v>3.8603547759401887E-3</v>
      </c>
      <c r="U88" s="1975">
        <f>FISCinyear!JL995</f>
        <v>97.240600000000029</v>
      </c>
      <c r="V88" s="1975">
        <f t="shared" si="172"/>
        <v>-18.587305365181521</v>
      </c>
      <c r="W88" s="1796">
        <f>FISC!AK1321</f>
        <v>78.653294634818508</v>
      </c>
      <c r="X88" s="1889">
        <f t="shared" si="136"/>
        <v>3.1104619189614752E-3</v>
      </c>
      <c r="Y88" s="2830">
        <f t="shared" si="157"/>
        <v>3.2217185991905936E-3</v>
      </c>
      <c r="Z88" s="1791">
        <f t="shared" si="173"/>
        <v>-15.591318058305788</v>
      </c>
      <c r="AA88" s="1880">
        <f t="shared" si="204"/>
        <v>-7.4989285697871352E-4</v>
      </c>
      <c r="AB88" s="1947">
        <v>25.723427013149976</v>
      </c>
      <c r="AC88" s="1942">
        <f t="shared" si="216"/>
        <v>9.2891438936300026E-4</v>
      </c>
      <c r="AD88" s="1975">
        <f>FISCinyear!JO995</f>
        <v>414.87881326758225</v>
      </c>
      <c r="AE88" s="1975">
        <f t="shared" si="175"/>
        <v>-319.66560234433763</v>
      </c>
      <c r="AF88" s="1796">
        <f>FISCinyear!JQ995</f>
        <v>95.213210923244631</v>
      </c>
      <c r="AG88" s="1790">
        <f t="shared" si="137"/>
        <v>3.3003565930820027E-3</v>
      </c>
      <c r="AH88" s="2830">
        <f t="shared" si="159"/>
        <v>3.4383024329861936E-3</v>
      </c>
      <c r="AI88" s="1791">
        <f t="shared" si="176"/>
        <v>69.489783910094658</v>
      </c>
      <c r="AJ88" s="1880">
        <f t="shared" si="187"/>
        <v>2.3714422037190023E-3</v>
      </c>
      <c r="AK88" s="1947">
        <v>73.317093644074248</v>
      </c>
      <c r="AL88" s="1942">
        <f t="shared" si="217"/>
        <v>2.3539540144599078E-3</v>
      </c>
      <c r="AM88" s="1975">
        <f>FISCinyear!JR995</f>
        <v>318.703377478356</v>
      </c>
      <c r="AN88" s="1975">
        <f t="shared" si="178"/>
        <v>-184.12403166608823</v>
      </c>
      <c r="AO88" s="1796">
        <f>FISC!AM1321</f>
        <v>134.57934581226777</v>
      </c>
      <c r="AP88" s="1790">
        <f t="shared" si="138"/>
        <v>4.1412937241186651E-3</v>
      </c>
      <c r="AQ88" s="2830">
        <f t="shared" si="160"/>
        <v>4.320869467031585E-3</v>
      </c>
      <c r="AR88" s="1791">
        <f t="shared" si="218"/>
        <v>61.262252168193527</v>
      </c>
      <c r="AS88" s="1880">
        <f t="shared" si="219"/>
        <v>1.7873397096587573E-3</v>
      </c>
      <c r="AT88" s="1947">
        <v>81.075891391636389</v>
      </c>
      <c r="AU88" s="1942">
        <f t="shared" si="220"/>
        <v>2.3221688841792896E-3</v>
      </c>
      <c r="AV88" s="1975">
        <f>FISCinyear!JU995</f>
        <v>106.23210026504576</v>
      </c>
      <c r="AW88" s="1975">
        <f t="shared" si="180"/>
        <v>-19.235965832924563</v>
      </c>
      <c r="AX88" s="1796">
        <f>FISC!AN1321</f>
        <v>86.996134432121195</v>
      </c>
      <c r="AY88" s="1790">
        <f t="shared" si="221"/>
        <v>2.3727416016972752E-3</v>
      </c>
      <c r="AZ88" s="2830">
        <f t="shared" si="162"/>
        <v>2.4917359890167085E-3</v>
      </c>
      <c r="BA88" s="1791">
        <f t="shared" si="181"/>
        <v>5.9202430404848059</v>
      </c>
      <c r="BB88" s="1880">
        <f t="shared" si="185"/>
        <v>5.0572717517985595E-5</v>
      </c>
      <c r="BC88" s="1947">
        <v>225.40801826595731</v>
      </c>
      <c r="BD88" s="1942">
        <f t="shared" si="222"/>
        <v>5.7568597792259273E-3</v>
      </c>
      <c r="BE88" s="1975">
        <f>FISCinyear!JX995</f>
        <v>302.59561194879529</v>
      </c>
      <c r="BF88" s="1975">
        <f t="shared" si="182"/>
        <v>-131.5500396502423</v>
      </c>
      <c r="BG88" s="1796">
        <f>FISC!AO1321</f>
        <v>171.045572298553</v>
      </c>
      <c r="BH88" s="1790">
        <f t="shared" si="223"/>
        <v>4.1474502328123792E-3</v>
      </c>
      <c r="BI88" s="2830">
        <f t="shared" si="164"/>
        <v>4.3684576225606888E-3</v>
      </c>
      <c r="BJ88" s="1791">
        <f t="shared" si="183"/>
        <v>-54.362445967404312</v>
      </c>
      <c r="BK88" s="1880">
        <f t="shared" si="133"/>
        <v>-1.6094095464135481E-3</v>
      </c>
      <c r="BL88" s="1796">
        <f>FISC!AP1321</f>
        <v>157.75079207962568</v>
      </c>
      <c r="BM88" s="1790">
        <f t="shared" si="166"/>
        <v>3.4313446065650285E-3</v>
      </c>
    </row>
    <row r="89" spans="1:65">
      <c r="A89" s="1809" t="s">
        <v>3593</v>
      </c>
      <c r="B89" s="1795"/>
      <c r="C89" s="1788"/>
      <c r="D89" s="1796"/>
      <c r="E89" s="1790"/>
      <c r="F89" s="1791"/>
      <c r="G89" s="1880"/>
      <c r="H89" s="1947">
        <v>-8.4798978565004006</v>
      </c>
      <c r="I89" s="1942">
        <f t="shared" si="213"/>
        <v>-4.3169717380606056E-4</v>
      </c>
      <c r="J89" s="1975">
        <v>0.92319999999995161</v>
      </c>
      <c r="K89" s="1975">
        <f>FISCinyear!JI998</f>
        <v>32.510999999999967</v>
      </c>
      <c r="L89" s="1964">
        <f t="shared" si="184"/>
        <v>31.587800000000016</v>
      </c>
      <c r="M89" s="1964">
        <v>-9.4030978565003522</v>
      </c>
      <c r="N89" s="1964">
        <f t="shared" si="190"/>
        <v>19.107000000000085</v>
      </c>
      <c r="O89" s="1796">
        <f>FISC!AJ1324</f>
        <v>51.618000000000052</v>
      </c>
      <c r="P89" s="1889">
        <f t="shared" si="214"/>
        <v>2.3839279528922782E-3</v>
      </c>
      <c r="Q89" s="1791">
        <f t="shared" si="169"/>
        <v>60.097897856500452</v>
      </c>
      <c r="R89" s="1880">
        <f t="shared" si="170"/>
        <v>2.8156251266983389E-3</v>
      </c>
      <c r="S89" s="1947">
        <v>79.546756708281251</v>
      </c>
      <c r="T89" s="1942">
        <f t="shared" si="215"/>
        <v>3.258315710514549E-3</v>
      </c>
      <c r="U89" s="1975">
        <f>FISCinyear!JL998</f>
        <v>72.024099999999976</v>
      </c>
      <c r="V89" s="1975">
        <f t="shared" si="172"/>
        <v>-5.6371276964135575</v>
      </c>
      <c r="W89" s="1796">
        <f>FISC!AK1324</f>
        <v>66.386972303586418</v>
      </c>
      <c r="X89" s="1889">
        <f t="shared" si="136"/>
        <v>2.625371896043172E-3</v>
      </c>
      <c r="Y89" s="2830">
        <f t="shared" si="157"/>
        <v>2.7192776145925613E-3</v>
      </c>
      <c r="Z89" s="1791">
        <f t="shared" si="173"/>
        <v>-13.159784404694832</v>
      </c>
      <c r="AA89" s="1880">
        <f t="shared" si="204"/>
        <v>-6.3294381447137702E-4</v>
      </c>
      <c r="AB89" s="1947">
        <v>21.711747036205441</v>
      </c>
      <c r="AC89" s="1942">
        <f t="shared" si="216"/>
        <v>7.8404616266061755E-4</v>
      </c>
      <c r="AD89" s="1975">
        <f>FISCinyear!JO998</f>
        <v>40.182148922333944</v>
      </c>
      <c r="AE89" s="1975">
        <f t="shared" si="175"/>
        <v>40.182148922333944</v>
      </c>
      <c r="AF89" s="1796">
        <f>FISCinyear!JQ998</f>
        <v>80.364297844667888</v>
      </c>
      <c r="AG89" s="1790">
        <f t="shared" si="137"/>
        <v>2.7856516723700157E-3</v>
      </c>
      <c r="AH89" s="2830">
        <f t="shared" si="159"/>
        <v>2.9020842604215841E-3</v>
      </c>
      <c r="AI89" s="1791">
        <f t="shared" si="176"/>
        <v>58.652550808462451</v>
      </c>
      <c r="AJ89" s="1880">
        <f t="shared" si="187"/>
        <v>2.001605509709398E-3</v>
      </c>
      <c r="AK89" s="1947">
        <v>61.882974994590199</v>
      </c>
      <c r="AL89" s="1942">
        <f t="shared" si="217"/>
        <v>1.9868446793923238E-3</v>
      </c>
      <c r="AM89" s="1975">
        <f>FISCinyear!JR998</f>
        <v>56.795556655033792</v>
      </c>
      <c r="AN89" s="1975">
        <f t="shared" si="178"/>
        <v>56.795556655033792</v>
      </c>
      <c r="AO89" s="1796">
        <f>FISC!AM1324</f>
        <v>113.59111331006758</v>
      </c>
      <c r="AP89" s="1790">
        <f t="shared" si="138"/>
        <v>3.4954410116010068E-3</v>
      </c>
      <c r="AQ89" s="2830">
        <f t="shared" si="160"/>
        <v>3.6470111387839383E-3</v>
      </c>
      <c r="AR89" s="1791">
        <f t="shared" si="218"/>
        <v>51.708138315477385</v>
      </c>
      <c r="AS89" s="1880">
        <f t="shared" si="219"/>
        <v>1.5085963322086829E-3</v>
      </c>
      <c r="AT89" s="1947">
        <v>68.431754592037834</v>
      </c>
      <c r="AU89" s="1942">
        <f t="shared" si="220"/>
        <v>1.9600165779961598E-3</v>
      </c>
      <c r="AV89" s="1975">
        <f>FISCinyear!JU998</f>
        <v>36.714355030384404</v>
      </c>
      <c r="AW89" s="1975">
        <f t="shared" si="180"/>
        <v>36.714355030384404</v>
      </c>
      <c r="AX89" s="1796">
        <f>FISC!AN1324</f>
        <v>73.428710060768807</v>
      </c>
      <c r="AY89" s="1790">
        <f t="shared" si="221"/>
        <v>2.0027022609388975E-3</v>
      </c>
      <c r="AZ89" s="2830">
        <f t="shared" si="162"/>
        <v>2.1031389576079322E-3</v>
      </c>
      <c r="BA89" s="1791">
        <f t="shared" si="181"/>
        <v>4.9969554687309738</v>
      </c>
      <c r="BB89" s="1880">
        <f t="shared" si="185"/>
        <v>4.2685682942737724E-5</v>
      </c>
      <c r="BC89" s="1947">
        <v>190.25466047043409</v>
      </c>
      <c r="BD89" s="1942">
        <f t="shared" si="222"/>
        <v>4.859052535479135E-3</v>
      </c>
      <c r="BE89" s="1975">
        <f>FISCinyear!JX998</f>
        <v>72.185136830926666</v>
      </c>
      <c r="BF89" s="1975">
        <f t="shared" si="182"/>
        <v>72.185136830926666</v>
      </c>
      <c r="BG89" s="1796">
        <f>FISC!AO1324</f>
        <v>144.37027366185333</v>
      </c>
      <c r="BH89" s="1790">
        <f t="shared" si="223"/>
        <v>3.5006373860699221E-3</v>
      </c>
      <c r="BI89" s="2830">
        <f t="shared" si="164"/>
        <v>3.6871777151207276E-3</v>
      </c>
      <c r="BJ89" s="1791">
        <f t="shared" si="183"/>
        <v>-45.884386808580757</v>
      </c>
      <c r="BK89" s="1880">
        <f t="shared" si="133"/>
        <v>-1.3584151494092128E-3</v>
      </c>
      <c r="BL89" s="1796">
        <f>FISC!AP1324</f>
        <v>133.14887206292417</v>
      </c>
      <c r="BM89" s="1790">
        <f t="shared" si="166"/>
        <v>2.8962115371992492E-3</v>
      </c>
    </row>
    <row r="90" spans="1:65">
      <c r="A90" s="1787" t="s">
        <v>574</v>
      </c>
      <c r="B90" s="1795">
        <v>160.64853764336911</v>
      </c>
      <c r="C90" s="1788">
        <f>B90/$B$111</f>
        <v>9.3030474123249191E-3</v>
      </c>
      <c r="D90" s="1796">
        <v>190.89690647836912</v>
      </c>
      <c r="E90" s="1790">
        <f>D90/$D$111</f>
        <v>1.0292325460486272E-2</v>
      </c>
      <c r="F90" s="1791">
        <f t="shared" si="167"/>
        <v>30.248368835000008</v>
      </c>
      <c r="G90" s="1880">
        <f t="shared" si="203"/>
        <v>9.8927804816135306E-4</v>
      </c>
      <c r="H90" s="1947">
        <v>149.02331697035999</v>
      </c>
      <c r="I90" s="1942">
        <f t="shared" si="213"/>
        <v>7.5865235473318478E-3</v>
      </c>
      <c r="J90" s="1975">
        <v>74.511658485179993</v>
      </c>
      <c r="K90" s="1975">
        <f>FISCinyear!JI1003</f>
        <v>111.1280999999999</v>
      </c>
      <c r="L90" s="1964">
        <f t="shared" si="184"/>
        <v>36.616441514819911</v>
      </c>
      <c r="M90" s="1964">
        <v>74.511658485179993</v>
      </c>
      <c r="N90" s="1964">
        <f t="shared" si="190"/>
        <v>37.895216970360082</v>
      </c>
      <c r="O90" s="1796">
        <v>149.02331697035999</v>
      </c>
      <c r="P90" s="1889">
        <f t="shared" si="214"/>
        <v>6.8824993405084854E-3</v>
      </c>
      <c r="Q90" s="1791">
        <f t="shared" si="169"/>
        <v>0</v>
      </c>
      <c r="R90" s="1880">
        <f t="shared" si="170"/>
        <v>-7.040242068233624E-4</v>
      </c>
      <c r="S90" s="1947">
        <v>221.56813221890962</v>
      </c>
      <c r="T90" s="1942">
        <f t="shared" si="215"/>
        <v>9.0756550742323392E-3</v>
      </c>
      <c r="U90" s="1975">
        <f>FISCinyear!JL1003</f>
        <v>149.70289999999994</v>
      </c>
      <c r="V90" s="1975">
        <f t="shared" si="172"/>
        <v>35.210200994384309</v>
      </c>
      <c r="W90" s="1796">
        <f>FISC!AK1329</f>
        <v>184.91310099438425</v>
      </c>
      <c r="X90" s="1889">
        <f t="shared" si="136"/>
        <v>7.3126645441943562E-3</v>
      </c>
      <c r="Y90" s="2830">
        <f t="shared" si="157"/>
        <v>7.5742278753049598E-3</v>
      </c>
      <c r="Z90" s="1791">
        <f t="shared" si="173"/>
        <v>-36.655031224525374</v>
      </c>
      <c r="AA90" s="1880">
        <f t="shared" si="204"/>
        <v>-1.762990530037983E-3</v>
      </c>
      <c r="AB90" s="1947">
        <v>60.475517005216545</v>
      </c>
      <c r="AC90" s="1942">
        <f t="shared" si="216"/>
        <v>2.1838683438872531E-3</v>
      </c>
      <c r="AD90" s="1975">
        <f>FISCinyear!JO1003</f>
        <v>111.92264843573119</v>
      </c>
      <c r="AE90" s="1975">
        <f t="shared" si="175"/>
        <v>111.92264843573116</v>
      </c>
      <c r="AF90" s="1796">
        <f>FISC!AL1329</f>
        <v>223.84529687146235</v>
      </c>
      <c r="AG90" s="1790">
        <f t="shared" si="137"/>
        <v>7.7591050044061834E-3</v>
      </c>
      <c r="AH90" s="2830">
        <f t="shared" si="159"/>
        <v>8.0834142802526758E-3</v>
      </c>
      <c r="AI90" s="1791">
        <f t="shared" si="176"/>
        <v>163.36977986624581</v>
      </c>
      <c r="AJ90" s="1880">
        <f t="shared" si="187"/>
        <v>5.5752366605189303E-3</v>
      </c>
      <c r="AK90" s="1947">
        <v>172.36774638070713</v>
      </c>
      <c r="AL90" s="1942">
        <f t="shared" si="217"/>
        <v>5.5341221042668354E-3</v>
      </c>
      <c r="AM90" s="1975">
        <f>FISCinyear!JR1003</f>
        <v>158.19734112527337</v>
      </c>
      <c r="AN90" s="1975">
        <f t="shared" si="178"/>
        <v>158.19734112527337</v>
      </c>
      <c r="AO90" s="1796">
        <f>FISC!AM1329</f>
        <v>316.39468225054674</v>
      </c>
      <c r="AP90" s="1790">
        <f t="shared" si="138"/>
        <v>9.7361397028671512E-3</v>
      </c>
      <c r="AQ90" s="2830">
        <f t="shared" si="160"/>
        <v>1.0158320460069644E-2</v>
      </c>
      <c r="AR90" s="1791">
        <f t="shared" si="218"/>
        <v>144.0269358698396</v>
      </c>
      <c r="AS90" s="1880">
        <f t="shared" si="219"/>
        <v>4.2020175986003157E-3</v>
      </c>
      <c r="AT90" s="1947">
        <v>190.60860149238661</v>
      </c>
      <c r="AU90" s="1942">
        <f t="shared" si="220"/>
        <v>5.4593955841256469E-3</v>
      </c>
      <c r="AV90" s="1975">
        <f>FISCinyear!JU1003</f>
        <v>102.26351653199875</v>
      </c>
      <c r="AW90" s="1975">
        <f t="shared" si="180"/>
        <v>102.26351653199872</v>
      </c>
      <c r="AX90" s="1796">
        <f>FISC!AN1329</f>
        <v>204.52703306399746</v>
      </c>
      <c r="AY90" s="1790">
        <f t="shared" si="221"/>
        <v>5.5782915320370776E-3</v>
      </c>
      <c r="AZ90" s="2830">
        <f t="shared" si="162"/>
        <v>5.8580461343372666E-3</v>
      </c>
      <c r="BA90" s="1791">
        <f t="shared" si="181"/>
        <v>13.918431571610853</v>
      </c>
      <c r="BB90" s="1880">
        <f t="shared" si="185"/>
        <v>1.1889594791143071E-4</v>
      </c>
      <c r="BC90" s="1947">
        <v>529.93197348030151</v>
      </c>
      <c r="BD90" s="1942">
        <f t="shared" si="222"/>
        <v>1.3534319175172452E-2</v>
      </c>
      <c r="BE90" s="1975">
        <f>FISCinyear!JX1003</f>
        <v>201.06320613735073</v>
      </c>
      <c r="BF90" s="1975">
        <f t="shared" si="182"/>
        <v>201.06320613735073</v>
      </c>
      <c r="BG90" s="1796">
        <f>FISC!AO1329</f>
        <v>402.12641227470147</v>
      </c>
      <c r="BH90" s="1790">
        <f t="shared" si="223"/>
        <v>9.7506135926023405E-3</v>
      </c>
      <c r="BI90" s="2830">
        <f t="shared" si="164"/>
        <v>1.0270199732900439E-2</v>
      </c>
      <c r="BJ90" s="1791">
        <f t="shared" si="183"/>
        <v>-127.80556120560004</v>
      </c>
      <c r="BK90" s="1880">
        <f t="shared" si="133"/>
        <v>-3.783705582570112E-3</v>
      </c>
      <c r="BL90" s="1796">
        <f>FISC!AP1329</f>
        <v>370.87051830694423</v>
      </c>
      <c r="BM90" s="1790">
        <f t="shared" si="166"/>
        <v>8.0670565006365543E-3</v>
      </c>
    </row>
    <row r="91" spans="1:65">
      <c r="A91" s="1809" t="s">
        <v>3592</v>
      </c>
      <c r="B91" s="1795"/>
      <c r="C91" s="1788"/>
      <c r="D91" s="1796"/>
      <c r="E91" s="1790"/>
      <c r="F91" s="1791"/>
      <c r="G91" s="1880"/>
      <c r="H91" s="1947">
        <v>79.02331697036</v>
      </c>
      <c r="I91" s="1942">
        <f t="shared" si="213"/>
        <v>4.0229426318778329E-3</v>
      </c>
      <c r="J91" s="1975">
        <v>-2.7152999999999992</v>
      </c>
      <c r="K91" s="1975">
        <f>FISCinyear!JI1004</f>
        <v>-16.360900000000015</v>
      </c>
      <c r="L91" s="1964">
        <f t="shared" si="184"/>
        <v>-13.645600000000016</v>
      </c>
      <c r="M91" s="1964">
        <v>81.738616970359999</v>
      </c>
      <c r="N91" s="1964">
        <f t="shared" si="190"/>
        <v>-78.68780000000001</v>
      </c>
      <c r="O91" s="1796">
        <f>FISC!AJ1330</f>
        <v>-95.048700000000025</v>
      </c>
      <c r="P91" s="1889">
        <f t="shared" si="214"/>
        <v>-4.3897332871492912E-3</v>
      </c>
      <c r="Q91" s="1791">
        <f t="shared" si="169"/>
        <v>-174.07201697036004</v>
      </c>
      <c r="R91" s="1880">
        <f t="shared" si="170"/>
        <v>-8.4126759190271232E-3</v>
      </c>
      <c r="S91" s="1947">
        <v>18.999943290680879</v>
      </c>
      <c r="T91" s="1942">
        <f t="shared" si="215"/>
        <v>7.7825691812858115E-4</v>
      </c>
      <c r="U91" s="1975">
        <f>FISCinyear!JL1004</f>
        <v>36.727000000000004</v>
      </c>
      <c r="V91" s="1975">
        <f t="shared" si="172"/>
        <v>-20.870304375892548</v>
      </c>
      <c r="W91" s="1796">
        <f>FISC!AK1330</f>
        <v>15.856695624107456</v>
      </c>
      <c r="X91" s="1889">
        <f t="shared" si="136"/>
        <v>6.2707669307873368E-4</v>
      </c>
      <c r="Y91" s="2830">
        <f t="shared" si="157"/>
        <v>6.4950631058849817E-4</v>
      </c>
      <c r="Z91" s="1791">
        <f t="shared" si="173"/>
        <v>-3.1432476665734228</v>
      </c>
      <c r="AA91" s="1880">
        <f t="shared" si="204"/>
        <v>-1.5118022504984746E-4</v>
      </c>
      <c r="AB91" s="1947">
        <v>5.1859054913117051</v>
      </c>
      <c r="AC91" s="1942">
        <f t="shared" si="216"/>
        <v>1.8727140167962178E-4</v>
      </c>
      <c r="AD91" s="1975">
        <f>FISCinyear!JO1004</f>
        <v>9.5976075256196882</v>
      </c>
      <c r="AE91" s="1975">
        <f t="shared" si="175"/>
        <v>9.5976075256196882</v>
      </c>
      <c r="AF91" s="1796">
        <f>FISCinyear!JQ1004</f>
        <v>19.195215051239376</v>
      </c>
      <c r="AG91" s="1790">
        <f t="shared" si="137"/>
        <v>6.6535992154549554E-4</v>
      </c>
      <c r="AH91" s="2830">
        <f t="shared" si="159"/>
        <v>6.931701386016073E-4</v>
      </c>
      <c r="AI91" s="1791">
        <f t="shared" si="176"/>
        <v>14.009309559927672</v>
      </c>
      <c r="AJ91" s="1880">
        <f t="shared" si="187"/>
        <v>4.7808851986587376E-4</v>
      </c>
      <c r="AK91" s="1947">
        <v>14.78090451717225</v>
      </c>
      <c r="AL91" s="1942">
        <f t="shared" si="217"/>
        <v>4.7456285834863212E-4</v>
      </c>
      <c r="AM91" s="1975">
        <f>FISCinyear!JR1004</f>
        <v>13.565761826917491</v>
      </c>
      <c r="AN91" s="1975">
        <f t="shared" si="178"/>
        <v>13.565761826917491</v>
      </c>
      <c r="AO91" s="1796">
        <f>FISC!AM1330</f>
        <v>27.131523653834982</v>
      </c>
      <c r="AP91" s="1790">
        <f t="shared" si="138"/>
        <v>8.3489489382821487E-4</v>
      </c>
      <c r="AQ91" s="2830">
        <f t="shared" si="160"/>
        <v>8.7109780064939491E-4</v>
      </c>
      <c r="AR91" s="1791">
        <f t="shared" si="218"/>
        <v>12.350619136662733</v>
      </c>
      <c r="AS91" s="1880">
        <f t="shared" si="219"/>
        <v>3.6033203547958275E-4</v>
      </c>
      <c r="AT91" s="1947">
        <v>16.345097026377587</v>
      </c>
      <c r="AU91" s="1942">
        <f t="shared" si="220"/>
        <v>4.6815489872567627E-4</v>
      </c>
      <c r="AV91" s="1975">
        <f>FISCinyear!JU1004</f>
        <v>8.7693162159885638</v>
      </c>
      <c r="AW91" s="1975">
        <f t="shared" si="180"/>
        <v>8.7693162159885638</v>
      </c>
      <c r="AX91" s="1796">
        <f>FISC!AN1330</f>
        <v>17.538632431977128</v>
      </c>
      <c r="AY91" s="1790">
        <f t="shared" si="221"/>
        <v>4.783504816607575E-4</v>
      </c>
      <c r="AZ91" s="2830">
        <f t="shared" si="162"/>
        <v>5.0234003975189599E-4</v>
      </c>
      <c r="BA91" s="1791">
        <f t="shared" si="181"/>
        <v>1.1935354055995404</v>
      </c>
      <c r="BB91" s="1880">
        <f t="shared" si="185"/>
        <v>1.0195582935081235E-5</v>
      </c>
      <c r="BC91" s="1947">
        <v>45.442805078559147</v>
      </c>
      <c r="BD91" s="1942">
        <f t="shared" si="222"/>
        <v>1.1605969424889385E-3</v>
      </c>
      <c r="BE91" s="1975">
        <f>FISCinyear!JX1004</f>
        <v>17.241601832332957</v>
      </c>
      <c r="BF91" s="1975">
        <f t="shared" si="182"/>
        <v>17.241601832332957</v>
      </c>
      <c r="BG91" s="1796">
        <f>FISC!AO1330</f>
        <v>34.483203664665915</v>
      </c>
      <c r="BH91" s="1790">
        <f t="shared" si="223"/>
        <v>8.3613606096452707E-4</v>
      </c>
      <c r="BI91" s="2830">
        <f t="shared" si="164"/>
        <v>8.8069168862371574E-4</v>
      </c>
      <c r="BJ91" s="1791">
        <f t="shared" si="183"/>
        <v>-10.959601413893232</v>
      </c>
      <c r="BK91" s="1880">
        <f t="shared" si="133"/>
        <v>-3.2446088152441146E-4</v>
      </c>
      <c r="BL91" s="1796">
        <f>FISC!AP1330</f>
        <v>31.802943615805699</v>
      </c>
      <c r="BM91" s="1790">
        <f t="shared" si="166"/>
        <v>6.9176742386120084E-4</v>
      </c>
    </row>
    <row r="92" spans="1:65">
      <c r="A92" s="1809" t="s">
        <v>3593</v>
      </c>
      <c r="B92" s="1795"/>
      <c r="C92" s="1788"/>
      <c r="D92" s="1796"/>
      <c r="E92" s="1790"/>
      <c r="F92" s="1791"/>
      <c r="G92" s="1880"/>
      <c r="H92" s="1947">
        <v>70</v>
      </c>
      <c r="I92" s="1942">
        <f t="shared" si="213"/>
        <v>3.5635809154540153E-3</v>
      </c>
      <c r="J92" s="1975">
        <v>59.076800000000048</v>
      </c>
      <c r="K92" s="1975">
        <f>FISCinyear!JI1005</f>
        <v>127.48899999999992</v>
      </c>
      <c r="L92" s="1964">
        <f t="shared" si="184"/>
        <v>68.412199999999871</v>
      </c>
      <c r="M92" s="1964">
        <v>10.923199999999952</v>
      </c>
      <c r="N92" s="1964">
        <f t="shared" si="190"/>
        <v>51.893000000000029</v>
      </c>
      <c r="O92" s="1796">
        <f>FISC!AJ1331</f>
        <v>179.38199999999995</v>
      </c>
      <c r="P92" s="1889">
        <f t="shared" si="214"/>
        <v>8.2845860755109083E-3</v>
      </c>
      <c r="Q92" s="1791">
        <f t="shared" si="169"/>
        <v>109.38199999999995</v>
      </c>
      <c r="R92" s="1880">
        <f t="shared" si="170"/>
        <v>4.7210051600568934E-3</v>
      </c>
      <c r="S92" s="1947">
        <v>202.56818892822875</v>
      </c>
      <c r="T92" s="1942">
        <f t="shared" si="215"/>
        <v>8.2973981561037576E-3</v>
      </c>
      <c r="U92" s="1975">
        <f>FISCinyear!JL1005</f>
        <v>112.97589999999991</v>
      </c>
      <c r="V92" s="1975">
        <f t="shared" si="172"/>
        <v>56.080505370276882</v>
      </c>
      <c r="W92" s="1796">
        <f>FISC!AK1331</f>
        <v>169.05640537027679</v>
      </c>
      <c r="X92" s="1889">
        <f t="shared" si="136"/>
        <v>6.6855878511156222E-3</v>
      </c>
      <c r="Y92" s="2830">
        <f t="shared" si="157"/>
        <v>6.924721564716462E-3</v>
      </c>
      <c r="Z92" s="1791">
        <f t="shared" si="173"/>
        <v>-33.511783557951958</v>
      </c>
      <c r="AA92" s="1880">
        <f t="shared" si="204"/>
        <v>-1.6118103049881354E-3</v>
      </c>
      <c r="AB92" s="1947">
        <v>55.289611513904845</v>
      </c>
      <c r="AC92" s="1942">
        <f t="shared" si="216"/>
        <v>1.9965969422076316E-3</v>
      </c>
      <c r="AD92" s="1975">
        <f>FISCinyear!JO1005</f>
        <v>102.3250409101115</v>
      </c>
      <c r="AE92" s="1975">
        <f t="shared" si="175"/>
        <v>102.3250409101115</v>
      </c>
      <c r="AF92" s="1796">
        <f>FISCinyear!JQ1005</f>
        <v>204.65008182022299</v>
      </c>
      <c r="AG92" s="1790">
        <f t="shared" si="137"/>
        <v>7.0937450828606891E-3</v>
      </c>
      <c r="AH92" s="2830">
        <f t="shared" si="159"/>
        <v>7.39024414165107E-3</v>
      </c>
      <c r="AI92" s="1791">
        <f t="shared" si="176"/>
        <v>149.36047030631815</v>
      </c>
      <c r="AJ92" s="1880">
        <f t="shared" si="187"/>
        <v>5.0971481406530579E-3</v>
      </c>
      <c r="AK92" s="1947">
        <v>157.58684186353489</v>
      </c>
      <c r="AL92" s="1942">
        <f t="shared" si="217"/>
        <v>5.0595592459182033E-3</v>
      </c>
      <c r="AM92" s="1975">
        <f>FISCinyear!JR1005</f>
        <v>144.63157929835589</v>
      </c>
      <c r="AN92" s="1975">
        <f t="shared" si="178"/>
        <v>144.63157929835589</v>
      </c>
      <c r="AO92" s="1796">
        <f>FISC!AM1331</f>
        <v>289.26315859671178</v>
      </c>
      <c r="AP92" s="1790">
        <f t="shared" si="138"/>
        <v>8.9012448090389357E-3</v>
      </c>
      <c r="AQ92" s="2830">
        <f t="shared" si="160"/>
        <v>9.2872226594202488E-3</v>
      </c>
      <c r="AR92" s="1791">
        <f t="shared" si="218"/>
        <v>131.67631673317689</v>
      </c>
      <c r="AS92" s="1880">
        <f t="shared" si="219"/>
        <v>3.8416855631207324E-3</v>
      </c>
      <c r="AT92" s="1947">
        <v>174.26350446600904</v>
      </c>
      <c r="AU92" s="1942">
        <f t="shared" si="220"/>
        <v>4.9912406853999712E-3</v>
      </c>
      <c r="AV92" s="1975">
        <f>FISCinyear!JU1005</f>
        <v>93.494200316010179</v>
      </c>
      <c r="AW92" s="1975">
        <f t="shared" si="180"/>
        <v>93.494200316010179</v>
      </c>
      <c r="AX92" s="1796">
        <f>FISC!AN1331</f>
        <v>186.98840063202036</v>
      </c>
      <c r="AY92" s="1790">
        <f t="shared" si="221"/>
        <v>5.0999410503763205E-3</v>
      </c>
      <c r="AZ92" s="2830">
        <f t="shared" si="162"/>
        <v>5.3557060945853717E-3</v>
      </c>
      <c r="BA92" s="1791">
        <f t="shared" si="181"/>
        <v>12.72489616601132</v>
      </c>
      <c r="BB92" s="1880">
        <f t="shared" si="185"/>
        <v>1.0870036497634926E-4</v>
      </c>
      <c r="BC92" s="1947">
        <v>484.4891684017424</v>
      </c>
      <c r="BD92" s="1942">
        <f t="shared" si="222"/>
        <v>1.2373722232683515E-2</v>
      </c>
      <c r="BE92" s="1975">
        <f>FISCinyear!JX1005</f>
        <v>183.82160430501779</v>
      </c>
      <c r="BF92" s="1975">
        <f t="shared" si="182"/>
        <v>183.82160430501779</v>
      </c>
      <c r="BG92" s="1796">
        <f>FISC!AO1331</f>
        <v>367.64320861003557</v>
      </c>
      <c r="BH92" s="1790">
        <f t="shared" si="223"/>
        <v>8.9144775316378141E-3</v>
      </c>
      <c r="BI92" s="2830">
        <f t="shared" si="164"/>
        <v>9.3895080442767242E-3</v>
      </c>
      <c r="BJ92" s="1791">
        <f t="shared" si="183"/>
        <v>-116.84595979170683</v>
      </c>
      <c r="BK92" s="1880">
        <f t="shared" si="133"/>
        <v>-3.4592447010457009E-3</v>
      </c>
      <c r="BL92" s="1796">
        <f>FISC!AP1331</f>
        <v>339.06757469113853</v>
      </c>
      <c r="BM92" s="1790">
        <f t="shared" si="166"/>
        <v>7.3752890767753527E-3</v>
      </c>
    </row>
    <row r="93" spans="1:65">
      <c r="A93" s="1787" t="s">
        <v>575</v>
      </c>
      <c r="B93" s="1814">
        <v>-105.43466184136</v>
      </c>
      <c r="C93" s="1788">
        <f>B93/$B$111</f>
        <v>-6.105649465605969E-3</v>
      </c>
      <c r="D93" s="1843">
        <f>FISC!AI1334</f>
        <v>-95.788626077000004</v>
      </c>
      <c r="E93" s="1790">
        <f>D93/$D$111</f>
        <v>-5.1645033603989754E-3</v>
      </c>
      <c r="F93" s="1791">
        <f t="shared" si="167"/>
        <v>9.6460357643599934</v>
      </c>
      <c r="G93" s="1880">
        <f t="shared" si="203"/>
        <v>9.4114610520699363E-4</v>
      </c>
      <c r="H93" s="1958">
        <v>-79.02331697036</v>
      </c>
      <c r="I93" s="1942">
        <f t="shared" si="213"/>
        <v>-4.0229426318778329E-3</v>
      </c>
      <c r="J93" s="1975">
        <v>-66.015922817680007</v>
      </c>
      <c r="K93" s="1975">
        <f>FISCinyear!JI1008</f>
        <v>-81.707843709999992</v>
      </c>
      <c r="L93" s="1964">
        <f t="shared" si="184"/>
        <v>-15.691920892319985</v>
      </c>
      <c r="M93" s="1964">
        <v>-13.007394152679993</v>
      </c>
      <c r="N93" s="1964">
        <f t="shared" si="190"/>
        <v>-14.034717088999997</v>
      </c>
      <c r="O93" s="1843">
        <f>FISC!AJ1334</f>
        <v>-95.742560798999989</v>
      </c>
      <c r="P93" s="1889">
        <f t="shared" si="214"/>
        <v>-4.4217785844128847E-3</v>
      </c>
      <c r="Q93" s="1791">
        <f t="shared" si="169"/>
        <v>-16.719243828639989</v>
      </c>
      <c r="R93" s="1880">
        <f t="shared" si="170"/>
        <v>-3.9883595253505186E-4</v>
      </c>
      <c r="S93" s="1958">
        <v>-128.7879133298855</v>
      </c>
      <c r="T93" s="1942">
        <f t="shared" si="215"/>
        <v>-5.2752833514765549E-3</v>
      </c>
      <c r="U93" s="1975">
        <f>FISCinyear!JL1008</f>
        <v>10.729522162000002</v>
      </c>
      <c r="V93" s="1975">
        <f t="shared" si="172"/>
        <v>-138.24828620181893</v>
      </c>
      <c r="W93" s="1843">
        <f>FISC!AK1334</f>
        <v>-127.51876403981892</v>
      </c>
      <c r="X93" s="1889">
        <f t="shared" si="136"/>
        <v>-5.0429198336887438E-3</v>
      </c>
      <c r="Y93" s="2830">
        <f t="shared" si="157"/>
        <v>-5.2232977113079995E-3</v>
      </c>
      <c r="Z93" s="1791">
        <f t="shared" si="173"/>
        <v>1.2691492900665793</v>
      </c>
      <c r="AA93" s="1880">
        <f t="shared" si="204"/>
        <v>2.3236351778781108E-4</v>
      </c>
      <c r="AB93" s="1958">
        <v>-88.945966032360005</v>
      </c>
      <c r="AC93" s="1942">
        <f t="shared" si="216"/>
        <v>-3.2119821235721963E-3</v>
      </c>
      <c r="AD93" s="1975">
        <f>FISCinyear!JO1008</f>
        <v>-64.878599676679997</v>
      </c>
      <c r="AE93" s="1975">
        <f t="shared" si="175"/>
        <v>-24.067366355680008</v>
      </c>
      <c r="AF93" s="1843">
        <f>FISC!AL1334</f>
        <v>-88.945966032360005</v>
      </c>
      <c r="AG93" s="1790">
        <f t="shared" si="137"/>
        <v>-3.0831163299344343E-3</v>
      </c>
      <c r="AH93" s="2830">
        <f t="shared" si="159"/>
        <v>-3.2119821235721963E-3</v>
      </c>
      <c r="AI93" s="1791">
        <f t="shared" si="176"/>
        <v>0</v>
      </c>
      <c r="AJ93" s="1880">
        <f t="shared" si="187"/>
        <v>1.2886579363776199E-4</v>
      </c>
      <c r="AK93" s="1958">
        <v>-163.73796438636001</v>
      </c>
      <c r="AL93" s="1942">
        <f t="shared" si="217"/>
        <v>-5.2570501561052746E-3</v>
      </c>
      <c r="AM93" s="1975">
        <f>FISCinyear!JR1008</f>
        <v>-97.675577986679997</v>
      </c>
      <c r="AN93" s="1975">
        <f t="shared" si="178"/>
        <v>-66.062386399680008</v>
      </c>
      <c r="AO93" s="1843">
        <f>FISC!AM1334</f>
        <v>-163.73796438636001</v>
      </c>
      <c r="AP93" s="1790">
        <f t="shared" si="138"/>
        <v>-5.0385666553848423E-3</v>
      </c>
      <c r="AQ93" s="2830">
        <f t="shared" si="160"/>
        <v>-5.2570501561052746E-3</v>
      </c>
      <c r="AR93" s="1791">
        <f t="shared" si="218"/>
        <v>0</v>
      </c>
      <c r="AS93" s="1880">
        <f t="shared" si="219"/>
        <v>2.1848350072043235E-4</v>
      </c>
      <c r="AT93" s="1958">
        <v>-145.88163729336</v>
      </c>
      <c r="AU93" s="1942">
        <f t="shared" si="220"/>
        <v>-4.1783296252567081E-3</v>
      </c>
      <c r="AV93" s="1975">
        <f>FISCinyear!JU1008</f>
        <v>-72.881742717679998</v>
      </c>
      <c r="AW93" s="1975">
        <f t="shared" si="180"/>
        <v>-72.999894575679974</v>
      </c>
      <c r="AX93" s="1843">
        <f>FISC!AN1334</f>
        <v>-145.88163729335997</v>
      </c>
      <c r="AY93" s="1790">
        <f t="shared" si="221"/>
        <v>-3.9787909197246396E-3</v>
      </c>
      <c r="AZ93" s="2830">
        <f t="shared" si="162"/>
        <v>-4.1783296252567072E-3</v>
      </c>
      <c r="BA93" s="1791">
        <f t="shared" si="181"/>
        <v>0</v>
      </c>
      <c r="BB93" s="1880">
        <f t="shared" si="185"/>
        <v>1.995387055320685E-4</v>
      </c>
      <c r="BC93" s="1958">
        <v>-175.33097462935999</v>
      </c>
      <c r="BD93" s="1942">
        <f t="shared" si="222"/>
        <v>-4.4779056382338285E-3</v>
      </c>
      <c r="BE93" s="1975">
        <f>FISCinyear!JX1008</f>
        <v>-106.08586947768001</v>
      </c>
      <c r="BF93" s="1975">
        <f t="shared" si="182"/>
        <v>-69.245105151680008</v>
      </c>
      <c r="BG93" s="1843">
        <f>FISC!AO1334</f>
        <v>-175.33097462936001</v>
      </c>
      <c r="BH93" s="1790">
        <f t="shared" si="223"/>
        <v>-4.2513610950215301E-3</v>
      </c>
      <c r="BI93" s="2830">
        <f t="shared" si="164"/>
        <v>-4.4779056382338294E-3</v>
      </c>
      <c r="BJ93" s="1791">
        <f t="shared" si="183"/>
        <v>0</v>
      </c>
      <c r="BK93" s="1880">
        <f t="shared" si="133"/>
        <v>2.2654454321229846E-4</v>
      </c>
      <c r="BL93" s="1843">
        <f>FISC!AP1334</f>
        <v>-155.43061077736002</v>
      </c>
      <c r="BM93" s="1790">
        <f t="shared" si="166"/>
        <v>-3.3808767674320004E-3</v>
      </c>
    </row>
    <row r="94" spans="1:65" hidden="1">
      <c r="A94" s="1809" t="s">
        <v>3594</v>
      </c>
      <c r="B94" s="1814"/>
      <c r="C94" s="1788"/>
      <c r="D94" s="1843"/>
      <c r="E94" s="1790"/>
      <c r="F94" s="1791"/>
      <c r="G94" s="1880"/>
      <c r="H94" s="1958">
        <v>-13.45119197036</v>
      </c>
      <c r="I94" s="1942">
        <f t="shared" si="213"/>
        <v>-6.8477729993833125E-4</v>
      </c>
      <c r="J94" s="1975">
        <v>-17.756314396</v>
      </c>
      <c r="K94" s="1975">
        <f>FISCinyear!JI1009</f>
        <v>-26.707843709999999</v>
      </c>
      <c r="L94" s="1964">
        <f t="shared" si="184"/>
        <v>-8.9515293139999983</v>
      </c>
      <c r="M94" s="1964">
        <v>4.3051224256400005</v>
      </c>
      <c r="N94" s="1964">
        <f t="shared" si="190"/>
        <v>-4.0347170890000008</v>
      </c>
      <c r="O94" s="1843">
        <f>FISC!AJ1335</f>
        <v>-30.742560799</v>
      </c>
      <c r="P94" s="1889">
        <f t="shared" si="214"/>
        <v>-1.4198157625678327E-3</v>
      </c>
      <c r="Q94" s="1791">
        <f t="shared" si="169"/>
        <v>-17.29136882864</v>
      </c>
      <c r="R94" s="1880">
        <f t="shared" si="170"/>
        <v>-7.3503846262950147E-4</v>
      </c>
      <c r="S94" s="1958">
        <v>-65.710513329885487</v>
      </c>
      <c r="T94" s="1942">
        <f t="shared" si="215"/>
        <v>-2.6915691699904592E-3</v>
      </c>
      <c r="U94" s="1975">
        <f>FISCinyear!JL1009</f>
        <v>70.729522162000009</v>
      </c>
      <c r="V94" s="1975">
        <f t="shared" si="172"/>
        <v>-135.17088620181892</v>
      </c>
      <c r="W94" s="1843">
        <f>FISC!AK1335</f>
        <v>-64.441364039818922</v>
      </c>
      <c r="X94" s="1889">
        <f t="shared" si="136"/>
        <v>-2.5484299136155656E-3</v>
      </c>
      <c r="Y94" s="2830">
        <f t="shared" si="157"/>
        <v>-2.6395835298219047E-3</v>
      </c>
      <c r="Z94" s="1791">
        <f t="shared" si="173"/>
        <v>1.2691492900665651</v>
      </c>
      <c r="AA94" s="1880">
        <f t="shared" si="204"/>
        <v>1.4313925637489356E-4</v>
      </c>
      <c r="AB94" s="1958">
        <v>-35.740866032360003</v>
      </c>
      <c r="AC94" s="1942">
        <f t="shared" si="216"/>
        <v>-1.2906602502373553E-3</v>
      </c>
      <c r="AD94" s="1975">
        <f>FISCinyear!JO1009</f>
        <v>-2.5001996766800003</v>
      </c>
      <c r="AE94" s="1975">
        <f t="shared" si="175"/>
        <v>-33.240666355680005</v>
      </c>
      <c r="AF94" s="1843">
        <f>FISCinyear!JQ1009</f>
        <v>-35.740866032360003</v>
      </c>
      <c r="AG94" s="1790">
        <f t="shared" si="137"/>
        <v>-1.2388785307056865E-3</v>
      </c>
      <c r="AH94" s="2830">
        <f t="shared" si="159"/>
        <v>-1.2906602502373553E-3</v>
      </c>
      <c r="AI94" s="1791">
        <f t="shared" si="176"/>
        <v>0</v>
      </c>
      <c r="AJ94" s="1880">
        <f t="shared" si="187"/>
        <v>5.1781719531668715E-5</v>
      </c>
      <c r="AK94" s="1958">
        <v>-78.521664386360001</v>
      </c>
      <c r="AL94" s="1942">
        <f t="shared" si="217"/>
        <v>-2.5210544760769422E-3</v>
      </c>
      <c r="AM94" s="1975">
        <f>FISCinyear!JR1008</f>
        <v>-97.675577986679997</v>
      </c>
      <c r="AN94" s="1975">
        <f t="shared" si="178"/>
        <v>19.153913600319996</v>
      </c>
      <c r="AO94" s="1843">
        <f>FISC!AM1335</f>
        <v>-78.521664386360001</v>
      </c>
      <c r="AP94" s="1790">
        <f t="shared" si="138"/>
        <v>-2.4162792140793895E-3</v>
      </c>
      <c r="AQ94" s="2830">
        <f t="shared" si="160"/>
        <v>-2.5210544760769422E-3</v>
      </c>
      <c r="AR94" s="1791">
        <f t="shared" si="218"/>
        <v>0</v>
      </c>
      <c r="AS94" s="1880">
        <f t="shared" si="219"/>
        <v>1.0477526199755265E-4</v>
      </c>
      <c r="AT94" s="1958">
        <v>-68.399737293360005</v>
      </c>
      <c r="AU94" s="1942">
        <f t="shared" si="220"/>
        <v>-1.9590995412116243E-3</v>
      </c>
      <c r="AV94" s="1975">
        <f>FISCinyear!JU1009</f>
        <v>-2.8817427176800003</v>
      </c>
      <c r="AW94" s="1975">
        <f t="shared" si="180"/>
        <v>-65.517994575679992</v>
      </c>
      <c r="AX94" s="1843">
        <f>FISC!AN1335</f>
        <v>-68.399737293359991</v>
      </c>
      <c r="AY94" s="1790">
        <f t="shared" si="221"/>
        <v>-1.8655415356155917E-3</v>
      </c>
      <c r="AZ94" s="2830">
        <f t="shared" si="162"/>
        <v>-1.9590995412116239E-3</v>
      </c>
      <c r="BA94" s="1791">
        <f t="shared" si="181"/>
        <v>0</v>
      </c>
      <c r="BB94" s="1880">
        <f t="shared" si="185"/>
        <v>9.3558005596032631E-5</v>
      </c>
      <c r="BC94" s="1958">
        <v>-82.058474629359992</v>
      </c>
      <c r="BD94" s="1942">
        <f t="shared" si="222"/>
        <v>-2.0957512326869108E-3</v>
      </c>
      <c r="BE94" s="1975">
        <f>FISCinyear!JX1009</f>
        <v>-3.1076694776800005</v>
      </c>
      <c r="BF94" s="1975">
        <f t="shared" si="182"/>
        <v>-77.95090515167999</v>
      </c>
      <c r="BG94" s="1843">
        <f>FISC!AO1335</f>
        <v>-81.058574629359995</v>
      </c>
      <c r="BH94" s="1790">
        <f t="shared" si="223"/>
        <v>-1.9654785546344292E-3</v>
      </c>
      <c r="BI94" s="2830">
        <f t="shared" si="164"/>
        <v>-2.0702140573125361E-3</v>
      </c>
      <c r="BJ94" s="1791">
        <f t="shared" si="183"/>
        <v>0.99989999999999668</v>
      </c>
      <c r="BK94" s="1880">
        <f t="shared" si="133"/>
        <v>1.3027267805248164E-4</v>
      </c>
      <c r="BL94" s="1843">
        <f>FISC!AT1335</f>
        <v>-41.407994177360003</v>
      </c>
      <c r="BM94" s="1790">
        <f t="shared" si="166"/>
        <v>-9.0069340138363319E-4</v>
      </c>
    </row>
    <row r="95" spans="1:65" hidden="1">
      <c r="A95" s="1809" t="s">
        <v>3595</v>
      </c>
      <c r="B95" s="1814"/>
      <c r="C95" s="1788"/>
      <c r="D95" s="1843"/>
      <c r="E95" s="1790"/>
      <c r="F95" s="1791"/>
      <c r="G95" s="1880"/>
      <c r="H95" s="1958">
        <v>-65.572125</v>
      </c>
      <c r="I95" s="1942">
        <f t="shared" si="213"/>
        <v>-3.3381653319395021E-3</v>
      </c>
      <c r="J95" s="1975">
        <v>-17.756314396</v>
      </c>
      <c r="K95" s="1975">
        <f>FISCinyear!JI1014</f>
        <v>-55</v>
      </c>
      <c r="L95" s="1964">
        <f t="shared" si="184"/>
        <v>-37.243685604</v>
      </c>
      <c r="M95" s="1964">
        <v>-47.815810603999999</v>
      </c>
      <c r="N95" s="1964">
        <f t="shared" si="190"/>
        <v>-10</v>
      </c>
      <c r="O95" s="1843">
        <f>FISC!AJ1339</f>
        <v>-65</v>
      </c>
      <c r="P95" s="1889">
        <f t="shared" si="214"/>
        <v>-3.0019628218450525E-3</v>
      </c>
      <c r="Q95" s="1791">
        <f t="shared" si="169"/>
        <v>0.57212499999999977</v>
      </c>
      <c r="R95" s="1880">
        <f t="shared" si="170"/>
        <v>3.3620251009444961E-4</v>
      </c>
      <c r="S95" s="1958">
        <v>-63.077399999999997</v>
      </c>
      <c r="T95" s="1942">
        <f t="shared" si="215"/>
        <v>-2.5837141814860948E-3</v>
      </c>
      <c r="U95" s="1975">
        <f>FISCinyear!JL1014</f>
        <v>-60</v>
      </c>
      <c r="V95" s="1975">
        <f t="shared" si="172"/>
        <v>-3.0773999999999972</v>
      </c>
      <c r="W95" s="1843">
        <f>FISC!AK1339</f>
        <v>-63.077399999999997</v>
      </c>
      <c r="X95" s="1889">
        <f t="shared" si="136"/>
        <v>-2.4944899200731777E-3</v>
      </c>
      <c r="Y95" s="2830">
        <f t="shared" si="157"/>
        <v>-2.5837141814860948E-3</v>
      </c>
      <c r="Z95" s="1791">
        <f t="shared" si="173"/>
        <v>0</v>
      </c>
      <c r="AA95" s="1880">
        <f t="shared" si="204"/>
        <v>8.9224261412917082E-5</v>
      </c>
      <c r="AB95" s="1958">
        <v>-53.205100000000002</v>
      </c>
      <c r="AC95" s="1942">
        <f t="shared" si="216"/>
        <v>-1.921321873334841E-3</v>
      </c>
      <c r="AD95" s="1975">
        <f>FISCinyear!JO1014</f>
        <v>-62.378399999999999</v>
      </c>
      <c r="AE95" s="1975">
        <f t="shared" si="175"/>
        <v>9.1732999999999976</v>
      </c>
      <c r="AF95" s="1843">
        <f>FISCinyear!JQ1014</f>
        <v>-53.205100000000002</v>
      </c>
      <c r="AG95" s="1790">
        <f t="shared" si="137"/>
        <v>-1.8442377992287479E-3</v>
      </c>
      <c r="AH95" s="2830">
        <f t="shared" si="159"/>
        <v>-1.921321873334841E-3</v>
      </c>
      <c r="AI95" s="1791">
        <f t="shared" si="176"/>
        <v>0</v>
      </c>
      <c r="AJ95" s="1880">
        <f t="shared" si="187"/>
        <v>7.7084074106093057E-5</v>
      </c>
      <c r="AK95" s="1958">
        <v>-85.216300000000004</v>
      </c>
      <c r="AL95" s="1942">
        <f t="shared" si="217"/>
        <v>-2.7359956800283324E-3</v>
      </c>
      <c r="AM95" s="1975">
        <f>FISCinyear!JR1014</f>
        <v>-95</v>
      </c>
      <c r="AN95" s="1975">
        <f t="shared" si="178"/>
        <v>9.7836999999999961</v>
      </c>
      <c r="AO95" s="1843">
        <f>FISC!AM1339</f>
        <v>-85.216300000000004</v>
      </c>
      <c r="AP95" s="1790">
        <f t="shared" si="138"/>
        <v>-2.6222874413054527E-3</v>
      </c>
      <c r="AQ95" s="2830">
        <f t="shared" si="160"/>
        <v>-2.7359956800283324E-3</v>
      </c>
      <c r="AR95" s="1791">
        <f t="shared" si="218"/>
        <v>0</v>
      </c>
      <c r="AS95" s="1880">
        <f t="shared" si="219"/>
        <v>1.137082387228797E-4</v>
      </c>
      <c r="AT95" s="1958">
        <v>-77.481899999999996</v>
      </c>
      <c r="AU95" s="1942">
        <f t="shared" si="220"/>
        <v>-2.2192300840450834E-3</v>
      </c>
      <c r="AV95" s="1975">
        <f>FISCinyear!JU1014</f>
        <v>-70</v>
      </c>
      <c r="AW95" s="1975">
        <f t="shared" si="180"/>
        <v>-7.481899999999996</v>
      </c>
      <c r="AX95" s="1843">
        <f>FISC!AN1339</f>
        <v>-77.481899999999996</v>
      </c>
      <c r="AY95" s="1790">
        <f t="shared" si="221"/>
        <v>-2.1132493841090482E-3</v>
      </c>
      <c r="AZ95" s="2830">
        <f t="shared" si="162"/>
        <v>-2.2192300840450834E-3</v>
      </c>
      <c r="BA95" s="1791">
        <f t="shared" si="181"/>
        <v>0</v>
      </c>
      <c r="BB95" s="1880">
        <f t="shared" si="185"/>
        <v>1.0598069993603522E-4</v>
      </c>
      <c r="BC95" s="1958">
        <v>-93.272499999999994</v>
      </c>
      <c r="BD95" s="1942">
        <f t="shared" si="222"/>
        <v>-2.3821544055469177E-3</v>
      </c>
      <c r="BE95" s="1975">
        <f>FISCinyear!JX1014</f>
        <v>-102.9782</v>
      </c>
      <c r="BF95" s="1975">
        <f t="shared" si="182"/>
        <v>8.7057999999999964</v>
      </c>
      <c r="BG95" s="1843">
        <f>FISC!AO1339</f>
        <v>-94.272400000000005</v>
      </c>
      <c r="BH95" s="1790">
        <f t="shared" si="223"/>
        <v>-2.2858825403871E-3</v>
      </c>
      <c r="BI95" s="2830">
        <f t="shared" si="164"/>
        <v>-2.4076915809212924E-3</v>
      </c>
      <c r="BJ95" s="1791">
        <f t="shared" si="183"/>
        <v>-0.99990000000001089</v>
      </c>
      <c r="BK95" s="1880">
        <f t="shared" si="133"/>
        <v>9.6271865159817688E-5</v>
      </c>
      <c r="BL95" s="1843">
        <f>FISC!AT1339</f>
        <v>-96.2346</v>
      </c>
      <c r="BM95" s="1790">
        <f t="shared" si="166"/>
        <v>-2.0932641371985334E-3</v>
      </c>
    </row>
    <row r="96" spans="1:65">
      <c r="A96" s="1787" t="s">
        <v>576</v>
      </c>
      <c r="B96" s="1814">
        <v>-23.2</v>
      </c>
      <c r="C96" s="1788">
        <f t="shared" ref="C96:C103" si="224">B96/$B$111</f>
        <v>-1.3434962006630298E-3</v>
      </c>
      <c r="D96" s="1843">
        <f>FISC!AI1343</f>
        <v>-84.384783959448697</v>
      </c>
      <c r="E96" s="1790">
        <f t="shared" ref="E96:E103" si="225">D96/$D$111</f>
        <v>-4.5496581188542232E-3</v>
      </c>
      <c r="F96" s="1791">
        <f t="shared" si="167"/>
        <v>-61.184783959448694</v>
      </c>
      <c r="G96" s="1880">
        <f t="shared" si="203"/>
        <v>-3.2061619181911931E-3</v>
      </c>
      <c r="H96" s="1958">
        <v>-80</v>
      </c>
      <c r="I96" s="1942">
        <f t="shared" si="213"/>
        <v>-4.0726639033760179E-3</v>
      </c>
      <c r="J96" s="1975">
        <v>-40</v>
      </c>
      <c r="K96" s="1975">
        <f>FISCinyear!JI1018</f>
        <v>-20</v>
      </c>
      <c r="L96" s="1964">
        <f t="shared" si="184"/>
        <v>20</v>
      </c>
      <c r="M96" s="1964">
        <v>-40</v>
      </c>
      <c r="N96" s="1964">
        <f t="shared" si="190"/>
        <v>-55</v>
      </c>
      <c r="O96" s="1843">
        <f>FISC!AJ1343</f>
        <v>-75</v>
      </c>
      <c r="P96" s="1889">
        <f t="shared" si="214"/>
        <v>-3.4638032559750607E-3</v>
      </c>
      <c r="Q96" s="1791">
        <f t="shared" si="169"/>
        <v>5</v>
      </c>
      <c r="R96" s="1880">
        <f t="shared" si="170"/>
        <v>6.0886064740095719E-4</v>
      </c>
      <c r="S96" s="1958">
        <v>-40</v>
      </c>
      <c r="T96" s="1942">
        <f t="shared" si="215"/>
        <v>-1.6384405073678336E-3</v>
      </c>
      <c r="U96" s="1975">
        <f>FISCinyear!JL1018</f>
        <v>20</v>
      </c>
      <c r="V96" s="1975">
        <f t="shared" si="172"/>
        <v>-60</v>
      </c>
      <c r="W96" s="1843">
        <f>FISC!AK1343</f>
        <v>-40</v>
      </c>
      <c r="X96" s="1889">
        <f t="shared" si="136"/>
        <v>-1.5818596962291901E-3</v>
      </c>
      <c r="Y96" s="2830">
        <f t="shared" si="157"/>
        <v>-1.6384405073678336E-3</v>
      </c>
      <c r="Z96" s="1791">
        <f t="shared" si="173"/>
        <v>0</v>
      </c>
      <c r="AA96" s="1880">
        <f t="shared" si="204"/>
        <v>5.6580811138643534E-5</v>
      </c>
      <c r="AB96" s="1958">
        <v>-40</v>
      </c>
      <c r="AC96" s="1942">
        <f t="shared" si="216"/>
        <v>-1.4444644391871013E-3</v>
      </c>
      <c r="AD96" s="1975">
        <f>FISCinyear!JO1018</f>
        <v>-20</v>
      </c>
      <c r="AE96" s="1975">
        <f t="shared" si="175"/>
        <v>-20</v>
      </c>
      <c r="AF96" s="1843">
        <f>FISC!AL1343</f>
        <v>-40</v>
      </c>
      <c r="AG96" s="1790">
        <f t="shared" si="137"/>
        <v>-1.3865120443181183E-3</v>
      </c>
      <c r="AH96" s="2830">
        <f t="shared" si="159"/>
        <v>-1.4444644391871013E-3</v>
      </c>
      <c r="AI96" s="1791">
        <f t="shared" si="176"/>
        <v>0</v>
      </c>
      <c r="AJ96" s="1880">
        <f t="shared" si="187"/>
        <v>5.7952394868983001E-5</v>
      </c>
      <c r="AK96" s="1958">
        <v>40</v>
      </c>
      <c r="AL96" s="1942">
        <f t="shared" si="217"/>
        <v>1.2842593165994451E-3</v>
      </c>
      <c r="AM96" s="1975">
        <f>FISCinyear!JR1018</f>
        <v>20</v>
      </c>
      <c r="AN96" s="1975">
        <f t="shared" si="178"/>
        <v>20</v>
      </c>
      <c r="AO96" s="1843">
        <f>FISC!AM1343</f>
        <v>40</v>
      </c>
      <c r="AP96" s="1790">
        <f t="shared" si="138"/>
        <v>1.2308853781755147E-3</v>
      </c>
      <c r="AQ96" s="2830">
        <f t="shared" si="160"/>
        <v>1.2842593165994451E-3</v>
      </c>
      <c r="AR96" s="1791">
        <f t="shared" si="218"/>
        <v>0</v>
      </c>
      <c r="AS96" s="1880">
        <f t="shared" si="219"/>
        <v>-5.3373938423930366E-5</v>
      </c>
      <c r="AT96" s="1958">
        <v>40</v>
      </c>
      <c r="AU96" s="1942">
        <f t="shared" si="220"/>
        <v>1.1456766465691129E-3</v>
      </c>
      <c r="AV96" s="1975">
        <f>FISCinyear!JU1018</f>
        <v>20</v>
      </c>
      <c r="AW96" s="1975">
        <f t="shared" si="180"/>
        <v>20</v>
      </c>
      <c r="AX96" s="1843">
        <f>FISC!AN1343</f>
        <v>40</v>
      </c>
      <c r="AY96" s="1790">
        <f t="shared" si="221"/>
        <v>1.0909641524583411E-3</v>
      </c>
      <c r="AZ96" s="2830">
        <f t="shared" si="162"/>
        <v>1.1456766465691129E-3</v>
      </c>
      <c r="BA96" s="1791">
        <f t="shared" si="181"/>
        <v>0</v>
      </c>
      <c r="BB96" s="1880">
        <f t="shared" si="185"/>
        <v>-5.4712494110771776E-5</v>
      </c>
      <c r="BC96" s="1958">
        <v>40</v>
      </c>
      <c r="BD96" s="1942">
        <f t="shared" si="222"/>
        <v>1.0215891738923767E-3</v>
      </c>
      <c r="BE96" s="1975">
        <f>FISCinyear!JX1018</f>
        <v>20</v>
      </c>
      <c r="BF96" s="1975">
        <f t="shared" si="182"/>
        <v>20</v>
      </c>
      <c r="BG96" s="1843">
        <f>FISC!AO1343</f>
        <v>40</v>
      </c>
      <c r="BH96" s="1790">
        <f t="shared" si="223"/>
        <v>9.6990531285385758E-4</v>
      </c>
      <c r="BI96" s="2830">
        <f t="shared" si="164"/>
        <v>1.0215891738923767E-3</v>
      </c>
      <c r="BJ96" s="1791">
        <f t="shared" ref="BJ96:BJ110" si="226">BG96-BC96</f>
        <v>0</v>
      </c>
      <c r="BK96" s="1880">
        <f t="shared" si="133"/>
        <v>-5.1683861038519089E-5</v>
      </c>
      <c r="BL96" s="1843">
        <f>FISC!AP1343</f>
        <v>40</v>
      </c>
      <c r="BM96" s="1790">
        <f t="shared" si="166"/>
        <v>8.700671638676873E-4</v>
      </c>
    </row>
    <row r="97" spans="1:67">
      <c r="A97" s="1818" t="s">
        <v>569</v>
      </c>
      <c r="B97" s="1814">
        <v>1208.331333049249</v>
      </c>
      <c r="C97" s="1788">
        <f t="shared" si="224"/>
        <v>6.9973644616110359E-2</v>
      </c>
      <c r="D97" s="1843">
        <f>FISC!AI1344</f>
        <v>1307.214153385396</v>
      </c>
      <c r="E97" s="1790">
        <f t="shared" si="225"/>
        <v>7.047926423428473E-2</v>
      </c>
      <c r="F97" s="1791">
        <f t="shared" si="167"/>
        <v>98.882820336147006</v>
      </c>
      <c r="G97" s="1880">
        <f t="shared" si="203"/>
        <v>5.0561961817437162E-4</v>
      </c>
      <c r="H97" s="1958">
        <v>1316.2547478563934</v>
      </c>
      <c r="I97" s="1942">
        <f t="shared" si="213"/>
        <v>6.7008289990525438E-2</v>
      </c>
      <c r="J97" s="1975">
        <v>962.14855236608878</v>
      </c>
      <c r="K97" s="1975">
        <f>FISCinyear!JI1019</f>
        <v>1054.0981892353389</v>
      </c>
      <c r="L97" s="1964">
        <f t="shared" si="184"/>
        <v>91.949636869250071</v>
      </c>
      <c r="M97" s="1964">
        <v>354.10619549030457</v>
      </c>
      <c r="N97" s="1964">
        <f t="shared" si="190"/>
        <v>301.08167515772539</v>
      </c>
      <c r="O97" s="1843">
        <f>FISC!AJ1344</f>
        <v>1355.1798643930642</v>
      </c>
      <c r="P97" s="1889">
        <f t="shared" si="214"/>
        <v>6.2587685689553821E-2</v>
      </c>
      <c r="Q97" s="1791">
        <f t="shared" si="169"/>
        <v>38.925116536670885</v>
      </c>
      <c r="R97" s="1880">
        <f t="shared" si="170"/>
        <v>-4.4206043009716173E-3</v>
      </c>
      <c r="S97" s="1958">
        <v>1292.6819256349095</v>
      </c>
      <c r="T97" s="1942">
        <f t="shared" si="215"/>
        <v>5.2949560752562234E-2</v>
      </c>
      <c r="U97" s="1975">
        <f>FISCinyear!JL1019</f>
        <v>501.63527056485856</v>
      </c>
      <c r="V97" s="1975">
        <f t="shared" si="172"/>
        <v>917.05463752553351</v>
      </c>
      <c r="W97" s="1843">
        <f>FISC!AK1344</f>
        <v>1418.689908090392</v>
      </c>
      <c r="X97" s="1889">
        <f t="shared" si="136"/>
        <v>5.6104209676382133E-2</v>
      </c>
      <c r="Y97" s="2830">
        <f t="shared" si="157"/>
        <v>5.8110975320231177E-2</v>
      </c>
      <c r="Z97" s="1791">
        <f t="shared" si="173"/>
        <v>126.00798245548253</v>
      </c>
      <c r="AA97" s="1880">
        <f t="shared" si="204"/>
        <v>3.1546489238198985E-3</v>
      </c>
      <c r="AB97" s="1958">
        <v>1503.0824621945749</v>
      </c>
      <c r="AC97" s="1942">
        <f t="shared" si="216"/>
        <v>5.4278729145146351E-2</v>
      </c>
      <c r="AD97" s="1975">
        <f>FISCinyear!JO1019</f>
        <v>693.43669002443403</v>
      </c>
      <c r="AE97" s="1975">
        <f t="shared" si="175"/>
        <v>652.58392696578903</v>
      </c>
      <c r="AF97" s="1843">
        <f>FISC!AL1344</f>
        <v>1346.0206169902231</v>
      </c>
      <c r="AG97" s="1790">
        <f t="shared" si="137"/>
        <v>4.665684493393623E-2</v>
      </c>
      <c r="AH97" s="2830">
        <f t="shared" si="159"/>
        <v>4.8606972891376464E-2</v>
      </c>
      <c r="AI97" s="1791">
        <f t="shared" si="176"/>
        <v>-157.06184520435181</v>
      </c>
      <c r="AJ97" s="1880">
        <f t="shared" si="187"/>
        <v>-7.6218842112101212E-3</v>
      </c>
      <c r="AK97" s="1958">
        <v>1290.2368393994216</v>
      </c>
      <c r="AL97" s="1942">
        <f t="shared" si="217"/>
        <v>4.142496704046323E-2</v>
      </c>
      <c r="AM97" s="1975">
        <f>FISCinyear!JR1019</f>
        <v>779.93394728547014</v>
      </c>
      <c r="AN97" s="1975">
        <f t="shared" si="178"/>
        <v>353.63336527990236</v>
      </c>
      <c r="AO97" s="1843">
        <f>FISC!AM1344</f>
        <v>1133.5673125653725</v>
      </c>
      <c r="AP97" s="1790">
        <f t="shared" si="138"/>
        <v>3.4882285755360759E-2</v>
      </c>
      <c r="AQ97" s="2830">
        <f t="shared" si="160"/>
        <v>3.6394859553866871E-2</v>
      </c>
      <c r="AR97" s="1791">
        <f t="shared" si="218"/>
        <v>-156.66952683404907</v>
      </c>
      <c r="AS97" s="1880">
        <f t="shared" si="219"/>
        <v>-6.542681285102471E-3</v>
      </c>
      <c r="AT97" s="1958">
        <v>935.07793077331212</v>
      </c>
      <c r="AU97" s="1942">
        <f t="shared" si="220"/>
        <v>2.6782423700228829E-2</v>
      </c>
      <c r="AV97" s="1975">
        <f>FISCinyear!JU1019</f>
        <v>757.54074151485861</v>
      </c>
      <c r="AW97" s="1975">
        <f>AX97-AV97</f>
        <v>210.90985456483645</v>
      </c>
      <c r="AX97" s="1843">
        <f>FISC!AN1344</f>
        <v>968.45059607969506</v>
      </c>
      <c r="AY97" s="1790">
        <f t="shared" si="221"/>
        <v>2.6413622093746491E-2</v>
      </c>
      <c r="AZ97" s="2830">
        <f t="shared" si="162"/>
        <v>2.7738280782111085E-2</v>
      </c>
      <c r="BA97" s="1791">
        <f t="shared" ref="BA97:BA110" si="227">AX97-AT97</f>
        <v>33.372665306382942</v>
      </c>
      <c r="BB97" s="1880">
        <f t="shared" si="185"/>
        <v>-3.6880160648233851E-4</v>
      </c>
      <c r="BC97" s="1958">
        <v>472.97433804785567</v>
      </c>
      <c r="BD97" s="1942">
        <f t="shared" si="222"/>
        <v>1.2079636581965064E-2</v>
      </c>
      <c r="BE97" s="1975">
        <f>FISCinyear!JX1019</f>
        <v>587.70792071509504</v>
      </c>
      <c r="BF97" s="1975">
        <f t="shared" si="182"/>
        <v>207.39696945945093</v>
      </c>
      <c r="BG97" s="1843">
        <f>FISC!AO1352</f>
        <v>795.10489017454597</v>
      </c>
      <c r="BH97" s="1790">
        <f t="shared" si="223"/>
        <v>1.9279411431409377E-2</v>
      </c>
      <c r="BI97" s="2830">
        <f t="shared" si="164"/>
        <v>2.0306763697780082E-2</v>
      </c>
      <c r="BJ97" s="1791">
        <f t="shared" si="226"/>
        <v>322.1305521266903</v>
      </c>
      <c r="BK97" s="1880">
        <f t="shared" si="133"/>
        <v>7.1997748494443126E-3</v>
      </c>
      <c r="BL97" s="1843">
        <f>FISC!AP1352</f>
        <v>988.30869512245954</v>
      </c>
      <c r="BM97" s="1790">
        <f t="shared" si="166"/>
        <v>2.149737358477433E-2</v>
      </c>
    </row>
    <row r="98" spans="1:67" ht="12.7" customHeight="1">
      <c r="A98" s="1818" t="s">
        <v>3165</v>
      </c>
      <c r="B98" s="1814">
        <v>0</v>
      </c>
      <c r="C98" s="1788">
        <f t="shared" si="224"/>
        <v>0</v>
      </c>
      <c r="D98" s="1843"/>
      <c r="E98" s="1790">
        <f t="shared" si="225"/>
        <v>0</v>
      </c>
      <c r="F98" s="1791">
        <f t="shared" si="167"/>
        <v>0</v>
      </c>
      <c r="G98" s="1880">
        <f t="shared" si="203"/>
        <v>0</v>
      </c>
      <c r="H98" s="1958">
        <v>0</v>
      </c>
      <c r="I98" s="1942">
        <f t="shared" si="213"/>
        <v>0</v>
      </c>
      <c r="J98" s="1975">
        <v>0</v>
      </c>
      <c r="K98" s="1975">
        <v>0</v>
      </c>
      <c r="L98" s="1964">
        <f t="shared" si="184"/>
        <v>0</v>
      </c>
      <c r="M98" s="1964">
        <v>0</v>
      </c>
      <c r="N98" s="1964">
        <f t="shared" si="190"/>
        <v>0</v>
      </c>
      <c r="O98" s="1843">
        <f>H98</f>
        <v>0</v>
      </c>
      <c r="P98" s="1889">
        <f t="shared" si="214"/>
        <v>0</v>
      </c>
      <c r="Q98" s="1791">
        <f t="shared" si="169"/>
        <v>0</v>
      </c>
      <c r="R98" s="1880">
        <f t="shared" si="170"/>
        <v>0</v>
      </c>
      <c r="S98" s="1958">
        <v>0</v>
      </c>
      <c r="T98" s="1942">
        <f t="shared" si="215"/>
        <v>0</v>
      </c>
      <c r="U98" s="1975">
        <v>0</v>
      </c>
      <c r="V98" s="1975">
        <f t="shared" si="172"/>
        <v>0</v>
      </c>
      <c r="W98" s="1843">
        <f>S98</f>
        <v>0</v>
      </c>
      <c r="X98" s="1889">
        <f t="shared" si="136"/>
        <v>0</v>
      </c>
      <c r="Y98" s="2830">
        <f t="shared" si="157"/>
        <v>0</v>
      </c>
      <c r="Z98" s="1791">
        <f t="shared" si="173"/>
        <v>0</v>
      </c>
      <c r="AA98" s="1880">
        <f t="shared" si="204"/>
        <v>0</v>
      </c>
      <c r="AB98" s="1958">
        <v>0</v>
      </c>
      <c r="AC98" s="1942">
        <f t="shared" si="216"/>
        <v>0</v>
      </c>
      <c r="AD98" s="1975"/>
      <c r="AE98" s="1975">
        <f t="shared" si="175"/>
        <v>0</v>
      </c>
      <c r="AF98" s="1843">
        <f>AB98</f>
        <v>0</v>
      </c>
      <c r="AG98" s="1790">
        <f t="shared" si="137"/>
        <v>0</v>
      </c>
      <c r="AH98" s="2830">
        <f t="shared" si="159"/>
        <v>0</v>
      </c>
      <c r="AI98" s="1791">
        <f t="shared" si="176"/>
        <v>0</v>
      </c>
      <c r="AJ98" s="1880">
        <f t="shared" si="187"/>
        <v>0</v>
      </c>
      <c r="AK98" s="1958">
        <v>0</v>
      </c>
      <c r="AL98" s="1942">
        <f t="shared" si="217"/>
        <v>0</v>
      </c>
      <c r="AM98" s="1975"/>
      <c r="AN98" s="1975">
        <f t="shared" si="178"/>
        <v>0</v>
      </c>
      <c r="AO98" s="1843">
        <f>AK98</f>
        <v>0</v>
      </c>
      <c r="AP98" s="1790">
        <f t="shared" si="138"/>
        <v>0</v>
      </c>
      <c r="AQ98" s="2830">
        <f t="shared" si="160"/>
        <v>0</v>
      </c>
      <c r="AR98" s="1791">
        <f t="shared" si="218"/>
        <v>0</v>
      </c>
      <c r="AS98" s="1880">
        <f t="shared" si="219"/>
        <v>0</v>
      </c>
      <c r="AT98" s="1958">
        <v>0</v>
      </c>
      <c r="AU98" s="1942">
        <f t="shared" si="220"/>
        <v>0</v>
      </c>
      <c r="AV98" s="1975"/>
      <c r="AW98" s="1975">
        <f t="shared" si="180"/>
        <v>0</v>
      </c>
      <c r="AX98" s="1843">
        <f>AP98</f>
        <v>0</v>
      </c>
      <c r="AY98" s="1790">
        <f t="shared" si="221"/>
        <v>0</v>
      </c>
      <c r="AZ98" s="2830">
        <f t="shared" si="162"/>
        <v>0</v>
      </c>
      <c r="BA98" s="1791">
        <f t="shared" si="227"/>
        <v>0</v>
      </c>
      <c r="BB98" s="1880">
        <f t="shared" si="185"/>
        <v>0</v>
      </c>
      <c r="BC98" s="1958">
        <v>0</v>
      </c>
      <c r="BD98" s="1942">
        <f t="shared" si="222"/>
        <v>0</v>
      </c>
      <c r="BE98" s="1975">
        <v>0</v>
      </c>
      <c r="BF98" s="1975">
        <f t="shared" si="182"/>
        <v>0</v>
      </c>
      <c r="BG98" s="1843">
        <f>AY98</f>
        <v>0</v>
      </c>
      <c r="BH98" s="1790">
        <f t="shared" si="223"/>
        <v>0</v>
      </c>
      <c r="BI98" s="2830">
        <f t="shared" si="164"/>
        <v>0</v>
      </c>
      <c r="BJ98" s="1791">
        <f t="shared" si="226"/>
        <v>0</v>
      </c>
      <c r="BK98" s="1880">
        <f t="shared" si="133"/>
        <v>0</v>
      </c>
      <c r="BL98" s="1843">
        <f>BD98</f>
        <v>0</v>
      </c>
      <c r="BM98" s="1790">
        <f t="shared" si="166"/>
        <v>0</v>
      </c>
    </row>
    <row r="99" spans="1:67" ht="12.7" customHeight="1">
      <c r="A99" s="1794" t="s">
        <v>3166</v>
      </c>
      <c r="B99" s="1814">
        <v>0</v>
      </c>
      <c r="C99" s="1788">
        <f t="shared" si="224"/>
        <v>0</v>
      </c>
      <c r="D99" s="1843">
        <f>B99</f>
        <v>0</v>
      </c>
      <c r="E99" s="1790">
        <f t="shared" si="225"/>
        <v>0</v>
      </c>
      <c r="F99" s="1791">
        <f t="shared" si="167"/>
        <v>0</v>
      </c>
      <c r="G99" s="1880">
        <f t="shared" si="203"/>
        <v>0</v>
      </c>
      <c r="H99" s="1958">
        <v>0</v>
      </c>
      <c r="I99" s="1942">
        <f t="shared" si="213"/>
        <v>0</v>
      </c>
      <c r="J99" s="1975">
        <v>0</v>
      </c>
      <c r="K99" s="1975">
        <v>0</v>
      </c>
      <c r="L99" s="1964">
        <f t="shared" si="184"/>
        <v>0</v>
      </c>
      <c r="M99" s="1964">
        <v>0</v>
      </c>
      <c r="N99" s="1964">
        <f t="shared" si="190"/>
        <v>0</v>
      </c>
      <c r="O99" s="1843">
        <f>H99</f>
        <v>0</v>
      </c>
      <c r="P99" s="1889">
        <f t="shared" si="214"/>
        <v>0</v>
      </c>
      <c r="Q99" s="1791">
        <f t="shared" si="169"/>
        <v>0</v>
      </c>
      <c r="R99" s="1880">
        <f t="shared" si="170"/>
        <v>0</v>
      </c>
      <c r="S99" s="1958">
        <v>0</v>
      </c>
      <c r="T99" s="1942">
        <f t="shared" si="215"/>
        <v>0</v>
      </c>
      <c r="U99" s="1975">
        <v>0</v>
      </c>
      <c r="V99" s="1975">
        <f t="shared" si="172"/>
        <v>0</v>
      </c>
      <c r="W99" s="1843">
        <f>S99</f>
        <v>0</v>
      </c>
      <c r="X99" s="1889">
        <f t="shared" si="136"/>
        <v>0</v>
      </c>
      <c r="Y99" s="2830">
        <f t="shared" si="157"/>
        <v>0</v>
      </c>
      <c r="Z99" s="1791">
        <f t="shared" si="173"/>
        <v>0</v>
      </c>
      <c r="AA99" s="1880">
        <f t="shared" si="204"/>
        <v>0</v>
      </c>
      <c r="AB99" s="1958">
        <v>0</v>
      </c>
      <c r="AC99" s="1942">
        <f t="shared" si="216"/>
        <v>0</v>
      </c>
      <c r="AD99" s="1975"/>
      <c r="AE99" s="1975">
        <f t="shared" si="175"/>
        <v>0</v>
      </c>
      <c r="AF99" s="1843">
        <f>AB99</f>
        <v>0</v>
      </c>
      <c r="AG99" s="1790">
        <f t="shared" si="137"/>
        <v>0</v>
      </c>
      <c r="AH99" s="2830">
        <f t="shared" si="159"/>
        <v>0</v>
      </c>
      <c r="AI99" s="1791">
        <f t="shared" si="176"/>
        <v>0</v>
      </c>
      <c r="AJ99" s="1880">
        <f t="shared" si="187"/>
        <v>0</v>
      </c>
      <c r="AK99" s="1958">
        <v>0</v>
      </c>
      <c r="AL99" s="1942">
        <f t="shared" si="217"/>
        <v>0</v>
      </c>
      <c r="AM99" s="1975"/>
      <c r="AN99" s="1975">
        <f t="shared" si="178"/>
        <v>0</v>
      </c>
      <c r="AO99" s="1843">
        <f>AK99</f>
        <v>0</v>
      </c>
      <c r="AP99" s="1790">
        <f t="shared" si="138"/>
        <v>0</v>
      </c>
      <c r="AQ99" s="2830">
        <f t="shared" si="160"/>
        <v>0</v>
      </c>
      <c r="AR99" s="1791">
        <f t="shared" si="218"/>
        <v>0</v>
      </c>
      <c r="AS99" s="1880">
        <f t="shared" si="219"/>
        <v>0</v>
      </c>
      <c r="AT99" s="1958">
        <v>0</v>
      </c>
      <c r="AU99" s="1942">
        <f t="shared" si="220"/>
        <v>0</v>
      </c>
      <c r="AV99" s="1975"/>
      <c r="AW99" s="1975">
        <f t="shared" si="180"/>
        <v>0</v>
      </c>
      <c r="AX99" s="1843">
        <f>AP99</f>
        <v>0</v>
      </c>
      <c r="AY99" s="1790">
        <f t="shared" si="221"/>
        <v>0</v>
      </c>
      <c r="AZ99" s="2830">
        <f t="shared" si="162"/>
        <v>0</v>
      </c>
      <c r="BA99" s="1791">
        <f t="shared" si="227"/>
        <v>0</v>
      </c>
      <c r="BB99" s="1880">
        <f t="shared" si="185"/>
        <v>0</v>
      </c>
      <c r="BC99" s="1958">
        <v>0</v>
      </c>
      <c r="BD99" s="1942">
        <f t="shared" si="222"/>
        <v>0</v>
      </c>
      <c r="BE99" s="1975">
        <v>0</v>
      </c>
      <c r="BF99" s="1975">
        <f t="shared" si="182"/>
        <v>0</v>
      </c>
      <c r="BG99" s="1843">
        <f>AY99</f>
        <v>0</v>
      </c>
      <c r="BH99" s="1790">
        <f t="shared" si="223"/>
        <v>0</v>
      </c>
      <c r="BI99" s="2830">
        <f t="shared" si="164"/>
        <v>0</v>
      </c>
      <c r="BJ99" s="1791">
        <f t="shared" si="226"/>
        <v>0</v>
      </c>
      <c r="BK99" s="1880">
        <f t="shared" si="133"/>
        <v>0</v>
      </c>
      <c r="BL99" s="1843">
        <f>BD99</f>
        <v>0</v>
      </c>
      <c r="BM99" s="1790">
        <f t="shared" si="166"/>
        <v>0</v>
      </c>
    </row>
    <row r="100" spans="1:67" ht="12.7" customHeight="1">
      <c r="A100" s="1794" t="s">
        <v>3167</v>
      </c>
      <c r="B100" s="1814">
        <v>0</v>
      </c>
      <c r="C100" s="1788">
        <f t="shared" si="224"/>
        <v>0</v>
      </c>
      <c r="D100" s="1843">
        <f>B100</f>
        <v>0</v>
      </c>
      <c r="E100" s="1790">
        <f t="shared" si="225"/>
        <v>0</v>
      </c>
      <c r="F100" s="1791">
        <f t="shared" si="167"/>
        <v>0</v>
      </c>
      <c r="G100" s="1880">
        <f t="shared" si="203"/>
        <v>0</v>
      </c>
      <c r="H100" s="1958">
        <v>0</v>
      </c>
      <c r="I100" s="1942">
        <f t="shared" si="213"/>
        <v>0</v>
      </c>
      <c r="J100" s="1975">
        <v>0</v>
      </c>
      <c r="K100" s="1975">
        <v>0</v>
      </c>
      <c r="L100" s="1964">
        <f t="shared" si="184"/>
        <v>0</v>
      </c>
      <c r="M100" s="1964">
        <v>0</v>
      </c>
      <c r="N100" s="1964">
        <f t="shared" si="190"/>
        <v>0</v>
      </c>
      <c r="O100" s="1843">
        <f>H100</f>
        <v>0</v>
      </c>
      <c r="P100" s="1889">
        <f t="shared" si="214"/>
        <v>0</v>
      </c>
      <c r="Q100" s="1791">
        <f t="shared" si="169"/>
        <v>0</v>
      </c>
      <c r="R100" s="1880">
        <f t="shared" si="170"/>
        <v>0</v>
      </c>
      <c r="S100" s="1958">
        <v>0</v>
      </c>
      <c r="T100" s="1942">
        <f t="shared" si="215"/>
        <v>0</v>
      </c>
      <c r="U100" s="1975">
        <v>0</v>
      </c>
      <c r="V100" s="1975">
        <f t="shared" si="172"/>
        <v>0</v>
      </c>
      <c r="W100" s="1843">
        <f>S100</f>
        <v>0</v>
      </c>
      <c r="X100" s="1889">
        <f t="shared" si="136"/>
        <v>0</v>
      </c>
      <c r="Y100" s="2830">
        <f t="shared" si="157"/>
        <v>0</v>
      </c>
      <c r="Z100" s="1791">
        <f t="shared" si="173"/>
        <v>0</v>
      </c>
      <c r="AA100" s="1880">
        <f t="shared" si="204"/>
        <v>0</v>
      </c>
      <c r="AB100" s="1958">
        <v>0</v>
      </c>
      <c r="AC100" s="1942">
        <f t="shared" si="216"/>
        <v>0</v>
      </c>
      <c r="AD100" s="1975"/>
      <c r="AE100" s="1975">
        <f t="shared" si="175"/>
        <v>0</v>
      </c>
      <c r="AF100" s="1843">
        <f>AB100</f>
        <v>0</v>
      </c>
      <c r="AG100" s="1790">
        <f t="shared" si="137"/>
        <v>0</v>
      </c>
      <c r="AH100" s="2830">
        <f t="shared" si="159"/>
        <v>0</v>
      </c>
      <c r="AI100" s="1791">
        <f t="shared" si="176"/>
        <v>0</v>
      </c>
      <c r="AJ100" s="1880">
        <f t="shared" si="187"/>
        <v>0</v>
      </c>
      <c r="AK100" s="1958">
        <v>0</v>
      </c>
      <c r="AL100" s="1942">
        <f t="shared" si="217"/>
        <v>0</v>
      </c>
      <c r="AM100" s="1975"/>
      <c r="AN100" s="1975">
        <f t="shared" si="178"/>
        <v>0</v>
      </c>
      <c r="AO100" s="1843">
        <f>AK100</f>
        <v>0</v>
      </c>
      <c r="AP100" s="1790">
        <f t="shared" si="138"/>
        <v>0</v>
      </c>
      <c r="AQ100" s="2830">
        <f t="shared" si="160"/>
        <v>0</v>
      </c>
      <c r="AR100" s="1791">
        <f t="shared" si="218"/>
        <v>0</v>
      </c>
      <c r="AS100" s="1880">
        <f t="shared" si="219"/>
        <v>0</v>
      </c>
      <c r="AT100" s="1958">
        <v>0</v>
      </c>
      <c r="AU100" s="1942">
        <f t="shared" si="220"/>
        <v>0</v>
      </c>
      <c r="AV100" s="1975"/>
      <c r="AW100" s="1975">
        <f t="shared" si="180"/>
        <v>0</v>
      </c>
      <c r="AX100" s="1843">
        <f>AP100</f>
        <v>0</v>
      </c>
      <c r="AY100" s="1790">
        <f t="shared" si="221"/>
        <v>0</v>
      </c>
      <c r="AZ100" s="2830">
        <f t="shared" si="162"/>
        <v>0</v>
      </c>
      <c r="BA100" s="1791">
        <f t="shared" si="227"/>
        <v>0</v>
      </c>
      <c r="BB100" s="1880">
        <f t="shared" si="185"/>
        <v>0</v>
      </c>
      <c r="BC100" s="1958">
        <v>0</v>
      </c>
      <c r="BD100" s="1942">
        <f t="shared" si="222"/>
        <v>0</v>
      </c>
      <c r="BE100" s="1975">
        <v>0</v>
      </c>
      <c r="BF100" s="1975">
        <f t="shared" si="182"/>
        <v>0</v>
      </c>
      <c r="BG100" s="1843">
        <f>AY100</f>
        <v>0</v>
      </c>
      <c r="BH100" s="1790">
        <f t="shared" si="223"/>
        <v>0</v>
      </c>
      <c r="BI100" s="2830">
        <f t="shared" si="164"/>
        <v>0</v>
      </c>
      <c r="BJ100" s="1791">
        <f t="shared" si="226"/>
        <v>0</v>
      </c>
      <c r="BK100" s="1880">
        <f t="shared" si="133"/>
        <v>0</v>
      </c>
      <c r="BL100" s="1843">
        <f>BD100</f>
        <v>0</v>
      </c>
      <c r="BM100" s="1790">
        <f t="shared" si="166"/>
        <v>0</v>
      </c>
    </row>
    <row r="101" spans="1:67">
      <c r="A101" s="1818" t="s">
        <v>568</v>
      </c>
      <c r="B101" s="1795">
        <v>1208.331333049249</v>
      </c>
      <c r="C101" s="1788">
        <f t="shared" si="224"/>
        <v>6.9973644616110359E-2</v>
      </c>
      <c r="D101" s="1796">
        <f>FISC!AI1352</f>
        <v>1307.214153385396</v>
      </c>
      <c r="E101" s="1790">
        <f t="shared" si="225"/>
        <v>7.047926423428473E-2</v>
      </c>
      <c r="F101" s="1791">
        <f t="shared" si="167"/>
        <v>98.882820336147006</v>
      </c>
      <c r="G101" s="1880">
        <f t="shared" si="203"/>
        <v>5.0561961817437162E-4</v>
      </c>
      <c r="H101" s="1947">
        <v>1316.2547478563934</v>
      </c>
      <c r="I101" s="1942">
        <f t="shared" si="213"/>
        <v>6.7008289990525438E-2</v>
      </c>
      <c r="J101" s="1975">
        <v>962.14855236608878</v>
      </c>
      <c r="K101" s="1975">
        <f>FISCinyear!JI1027</f>
        <v>1054.0981892353389</v>
      </c>
      <c r="L101" s="1964">
        <f t="shared" si="184"/>
        <v>91.949636869250071</v>
      </c>
      <c r="M101" s="1964">
        <v>354.10619549030457</v>
      </c>
      <c r="N101" s="1964">
        <f t="shared" si="190"/>
        <v>301.08167515772539</v>
      </c>
      <c r="O101" s="1796">
        <f>FISC!AJ1352</f>
        <v>1355.1798643930642</v>
      </c>
      <c r="P101" s="1889">
        <f t="shared" si="214"/>
        <v>6.2587685689553821E-2</v>
      </c>
      <c r="Q101" s="1791">
        <f t="shared" si="169"/>
        <v>38.925116536670885</v>
      </c>
      <c r="R101" s="1880">
        <f t="shared" si="170"/>
        <v>-4.4206043009716173E-3</v>
      </c>
      <c r="S101" s="1947">
        <v>1292.6819256349095</v>
      </c>
      <c r="T101" s="1942">
        <f t="shared" si="215"/>
        <v>5.2949560752562234E-2</v>
      </c>
      <c r="U101" s="1975">
        <f>FISCinyear!JL1027</f>
        <v>501.63527056485856</v>
      </c>
      <c r="V101" s="1975">
        <f t="shared" si="172"/>
        <v>917.05463752553351</v>
      </c>
      <c r="W101" s="1796">
        <f>FISC!AK1352</f>
        <v>1418.689908090392</v>
      </c>
      <c r="X101" s="1889">
        <f t="shared" si="136"/>
        <v>5.6104209676382133E-2</v>
      </c>
      <c r="Y101" s="2830">
        <f t="shared" si="157"/>
        <v>5.8110975320231177E-2</v>
      </c>
      <c r="Z101" s="1791">
        <f t="shared" si="173"/>
        <v>126.00798245548253</v>
      </c>
      <c r="AA101" s="1880">
        <f t="shared" si="204"/>
        <v>3.1546489238198985E-3</v>
      </c>
      <c r="AB101" s="1947">
        <v>1503.0824621945749</v>
      </c>
      <c r="AC101" s="1942">
        <f t="shared" si="216"/>
        <v>5.4278729145146351E-2</v>
      </c>
      <c r="AD101" s="1975">
        <f>FISCinyear!JO1027</f>
        <v>693.43669002443403</v>
      </c>
      <c r="AE101" s="1975">
        <f t="shared" si="175"/>
        <v>652.58392696578903</v>
      </c>
      <c r="AF101" s="1796">
        <f>FISC!AL1352</f>
        <v>1346.0206169902231</v>
      </c>
      <c r="AG101" s="1790">
        <f t="shared" si="137"/>
        <v>4.665684493393623E-2</v>
      </c>
      <c r="AH101" s="2830">
        <f t="shared" si="159"/>
        <v>4.8606972891376464E-2</v>
      </c>
      <c r="AI101" s="1791">
        <f t="shared" si="176"/>
        <v>-157.06184520435181</v>
      </c>
      <c r="AJ101" s="1880">
        <f t="shared" si="187"/>
        <v>-7.6218842112101212E-3</v>
      </c>
      <c r="AK101" s="1947">
        <v>1290.2368393994216</v>
      </c>
      <c r="AL101" s="1942">
        <f t="shared" si="217"/>
        <v>4.142496704046323E-2</v>
      </c>
      <c r="AM101" s="1975">
        <f>FISCinyear!JR1027</f>
        <v>779.93394728547014</v>
      </c>
      <c r="AN101" s="1975">
        <f t="shared" si="178"/>
        <v>353.63336527990236</v>
      </c>
      <c r="AO101" s="1796">
        <f>FISC!AM1352</f>
        <v>1133.5673125653725</v>
      </c>
      <c r="AP101" s="1790">
        <f t="shared" si="138"/>
        <v>3.4882285755360759E-2</v>
      </c>
      <c r="AQ101" s="2830">
        <f t="shared" si="160"/>
        <v>3.6394859553866871E-2</v>
      </c>
      <c r="AR101" s="1791">
        <f t="shared" si="218"/>
        <v>-156.66952683404907</v>
      </c>
      <c r="AS101" s="1880">
        <f t="shared" si="219"/>
        <v>-6.542681285102471E-3</v>
      </c>
      <c r="AT101" s="1947">
        <v>935.07793077331212</v>
      </c>
      <c r="AU101" s="1942">
        <f t="shared" si="220"/>
        <v>2.6782423700228829E-2</v>
      </c>
      <c r="AV101" s="1975">
        <f>FISCinyear!JU1027</f>
        <v>757.54074151485861</v>
      </c>
      <c r="AW101" s="1975">
        <f t="shared" si="180"/>
        <v>210.90985456483645</v>
      </c>
      <c r="AX101" s="1796">
        <f>FISC!AN1352</f>
        <v>968.45059607969506</v>
      </c>
      <c r="AY101" s="1790">
        <f t="shared" si="221"/>
        <v>2.6413622093746491E-2</v>
      </c>
      <c r="AZ101" s="2830">
        <f t="shared" si="162"/>
        <v>2.7738280782111085E-2</v>
      </c>
      <c r="BA101" s="1791">
        <f t="shared" si="227"/>
        <v>33.372665306382942</v>
      </c>
      <c r="BB101" s="1880">
        <f t="shared" si="185"/>
        <v>-3.6880160648233851E-4</v>
      </c>
      <c r="BC101" s="1947">
        <v>472.97433804785567</v>
      </c>
      <c r="BD101" s="1942">
        <f t="shared" si="222"/>
        <v>1.2079636581965064E-2</v>
      </c>
      <c r="BE101" s="1975">
        <f>FISCinyear!JX1027</f>
        <v>587.70792071509504</v>
      </c>
      <c r="BF101" s="1975">
        <f t="shared" si="182"/>
        <v>207.39696945945093</v>
      </c>
      <c r="BG101" s="1796">
        <f>FISC!AO1352</f>
        <v>795.10489017454597</v>
      </c>
      <c r="BH101" s="1790">
        <f t="shared" si="223"/>
        <v>1.9279411431409377E-2</v>
      </c>
      <c r="BI101" s="2830">
        <f t="shared" si="164"/>
        <v>2.0306763697780082E-2</v>
      </c>
      <c r="BJ101" s="1791">
        <f t="shared" si="226"/>
        <v>322.1305521266903</v>
      </c>
      <c r="BK101" s="1880">
        <f t="shared" si="133"/>
        <v>7.1997748494443126E-3</v>
      </c>
      <c r="BL101" s="1796">
        <f>FISC!AP1352</f>
        <v>988.30869512245954</v>
      </c>
      <c r="BM101" s="1790">
        <f t="shared" si="166"/>
        <v>2.149737358477433E-2</v>
      </c>
    </row>
    <row r="102" spans="1:67">
      <c r="A102" s="1844" t="s">
        <v>577</v>
      </c>
      <c r="B102" s="1795">
        <v>1334.907565264964</v>
      </c>
      <c r="C102" s="1788">
        <f t="shared" si="224"/>
        <v>7.7303588024560971E-2</v>
      </c>
      <c r="D102" s="1796">
        <f>FISC!AI1353</f>
        <v>1431.9563672136446</v>
      </c>
      <c r="E102" s="1790">
        <f t="shared" si="225"/>
        <v>7.7204818288914664E-2</v>
      </c>
      <c r="F102" s="1791">
        <f t="shared" si="167"/>
        <v>97.048801948680648</v>
      </c>
      <c r="G102" s="1880">
        <f t="shared" si="203"/>
        <v>-9.8769735646306311E-5</v>
      </c>
      <c r="H102" s="1947">
        <v>1503.4698272221285</v>
      </c>
      <c r="I102" s="1942">
        <f t="shared" si="213"/>
        <v>7.653909118928176E-2</v>
      </c>
      <c r="J102" s="1975">
        <v>1050.2182405450476</v>
      </c>
      <c r="K102" s="1975">
        <f>FISCinyear!JI1028</f>
        <v>1133.9117482250194</v>
      </c>
      <c r="L102" s="1964">
        <f t="shared" si="184"/>
        <v>83.693507679971844</v>
      </c>
      <c r="M102" s="1964">
        <v>453.25158667708092</v>
      </c>
      <c r="N102" s="1964">
        <f t="shared" si="190"/>
        <v>393.37730225144196</v>
      </c>
      <c r="O102" s="1796">
        <f>FISC!AJ1353</f>
        <v>1527.2890504764614</v>
      </c>
      <c r="P102" s="1889">
        <f t="shared" si="214"/>
        <v>7.0536383811405673E-2</v>
      </c>
      <c r="Q102" s="1791">
        <f t="shared" si="169"/>
        <v>23.819223254332883</v>
      </c>
      <c r="R102" s="1880">
        <f t="shared" si="170"/>
        <v>-6.0027073778760875E-3</v>
      </c>
      <c r="S102" s="1947">
        <v>1639.7549255416311</v>
      </c>
      <c r="T102" s="1942">
        <f t="shared" si="215"/>
        <v>6.7166022304083361E-2</v>
      </c>
      <c r="U102" s="1975">
        <f>FISCinyear!JL1028</f>
        <v>640.99390842604998</v>
      </c>
      <c r="V102" s="1975">
        <f t="shared" si="172"/>
        <v>1096.1311402900076</v>
      </c>
      <c r="W102" s="1796">
        <f>FISC!AK1353</f>
        <v>1737.1250487160576</v>
      </c>
      <c r="X102" s="1889">
        <f t="shared" si="136"/>
        <v>6.8697202546852507E-2</v>
      </c>
      <c r="Y102" s="2830">
        <f t="shared" si="157"/>
        <v>7.1154401154492758E-2</v>
      </c>
      <c r="Z102" s="1791">
        <f t="shared" si="173"/>
        <v>97.370123174426453</v>
      </c>
      <c r="AA102" s="1880">
        <f t="shared" si="204"/>
        <v>1.5311802427691451E-3</v>
      </c>
      <c r="AB102" s="1947">
        <v>1976.1336194999503</v>
      </c>
      <c r="AC102" s="1942">
        <f t="shared" si="216"/>
        <v>7.1361368511244305E-2</v>
      </c>
      <c r="AD102" s="1975">
        <f>FISCinyear!JO1028</f>
        <v>911.15456863817758</v>
      </c>
      <c r="AE102" s="1975">
        <f t="shared" si="175"/>
        <v>889.57482441215461</v>
      </c>
      <c r="AF102" s="1796">
        <f>FISC!AL1353</f>
        <v>1800.7293930503322</v>
      </c>
      <c r="AG102" s="1790">
        <f t="shared" si="137"/>
        <v>6.2418324800548507E-2</v>
      </c>
      <c r="AH102" s="2830">
        <f t="shared" si="159"/>
        <v>6.5027239321504435E-2</v>
      </c>
      <c r="AI102" s="1791">
        <f t="shared" si="176"/>
        <v>-175.40422644961814</v>
      </c>
      <c r="AJ102" s="1880">
        <f t="shared" si="187"/>
        <v>-8.9430437106957986E-3</v>
      </c>
      <c r="AK102" s="1947">
        <v>1916.9690153348295</v>
      </c>
      <c r="AL102" s="1942">
        <f t="shared" si="217"/>
        <v>6.1547132939405481E-2</v>
      </c>
      <c r="AM102" s="1975">
        <f>FISCinyear!JR1028</f>
        <v>1038.8346611038196</v>
      </c>
      <c r="AN102" s="1975">
        <f t="shared" si="178"/>
        <v>632.33106747556189</v>
      </c>
      <c r="AO102" s="1796">
        <f>FISC!AM1353</f>
        <v>1671.1657285793815</v>
      </c>
      <c r="AP102" s="1790">
        <f t="shared" si="138"/>
        <v>5.1425336495409792E-2</v>
      </c>
      <c r="AQ102" s="2830">
        <f t="shared" si="160"/>
        <v>5.3655253912744255E-2</v>
      </c>
      <c r="AR102" s="1791">
        <f t="shared" si="218"/>
        <v>-245.80328675544797</v>
      </c>
      <c r="AS102" s="1880">
        <f t="shared" si="219"/>
        <v>-1.012179644399569E-2</v>
      </c>
      <c r="AT102" s="1947">
        <v>1738.6395327317964</v>
      </c>
      <c r="AU102" s="1942">
        <f t="shared" si="220"/>
        <v>4.9797967736316347E-2</v>
      </c>
      <c r="AV102" s="1975">
        <f>FISCinyear!JU1028</f>
        <v>1060.491779293603</v>
      </c>
      <c r="AW102" s="1975">
        <f t="shared" si="180"/>
        <v>542.26292429428077</v>
      </c>
      <c r="AX102" s="1796">
        <f>FISC!AN1353</f>
        <v>1602.7547035878838</v>
      </c>
      <c r="AY102" s="1790">
        <f t="shared" si="221"/>
        <v>4.3713698169959382E-2</v>
      </c>
      <c r="AZ102" s="2830">
        <f t="shared" si="162"/>
        <v>4.5905965851985975E-2</v>
      </c>
      <c r="BA102" s="1791">
        <f t="shared" si="227"/>
        <v>-135.88482914391261</v>
      </c>
      <c r="BB102" s="1880">
        <f t="shared" si="185"/>
        <v>-6.0842695663569646E-3</v>
      </c>
      <c r="BC102" s="1947">
        <v>1438.3631683099022</v>
      </c>
      <c r="BD102" s="1942">
        <f t="shared" si="222"/>
        <v>3.6735406021773366E-2</v>
      </c>
      <c r="BE102" s="1975">
        <f>FISCinyear!JX1028</f>
        <v>962.35016317340205</v>
      </c>
      <c r="BF102" s="1975">
        <f t="shared" si="182"/>
        <v>625.09949229912263</v>
      </c>
      <c r="BG102" s="1796">
        <f>FISC!AO1353</f>
        <v>1587.4496554725247</v>
      </c>
      <c r="BH102" s="1790">
        <f t="shared" si="223"/>
        <v>3.8491896368270689E-2</v>
      </c>
      <c r="BI102" s="2830">
        <f t="shared" si="164"/>
        <v>4.0543034553247863E-2</v>
      </c>
      <c r="BJ102" s="1791">
        <f t="shared" si="226"/>
        <v>149.08648716262246</v>
      </c>
      <c r="BK102" s="1880">
        <f t="shared" si="133"/>
        <v>1.7564903464973233E-3</v>
      </c>
      <c r="BL102" s="1796">
        <f>FISC!AP1353</f>
        <v>1853.8779148555454</v>
      </c>
      <c r="BM102" s="1790">
        <f t="shared" si="166"/>
        <v>4.0324957488382655E-2</v>
      </c>
    </row>
    <row r="103" spans="1:67">
      <c r="A103" s="1809" t="s">
        <v>506</v>
      </c>
      <c r="B103" s="1795">
        <v>775.99502296359105</v>
      </c>
      <c r="C103" s="1788">
        <f t="shared" si="224"/>
        <v>4.4937343322629532E-2</v>
      </c>
      <c r="D103" s="1796">
        <f>FISC!AI1354</f>
        <v>791.94458221729565</v>
      </c>
      <c r="E103" s="1790">
        <f t="shared" si="225"/>
        <v>4.2698184780552401E-2</v>
      </c>
      <c r="F103" s="1791">
        <f>D103-B103</f>
        <v>15.949559253704592</v>
      </c>
      <c r="G103" s="1880">
        <f t="shared" si="203"/>
        <v>-2.2391585420771312E-3</v>
      </c>
      <c r="H103" s="1947">
        <v>847.41662827656592</v>
      </c>
      <c r="I103" s="1942">
        <f t="shared" si="213"/>
        <v>4.3140538913782285E-2</v>
      </c>
      <c r="J103" s="1975">
        <v>736.8784041009136</v>
      </c>
      <c r="K103" s="1975">
        <f>FISCinyear!JI1029</f>
        <v>753.45041513383433</v>
      </c>
      <c r="L103" s="1964">
        <f t="shared" si="184"/>
        <v>16.572011032920727</v>
      </c>
      <c r="M103" s="1964">
        <v>110.53822417565232</v>
      </c>
      <c r="N103" s="1964">
        <f t="shared" si="190"/>
        <v>34.877171747199895</v>
      </c>
      <c r="O103" s="1796">
        <f>FISC!AJ1354</f>
        <v>788.32758688103422</v>
      </c>
      <c r="P103" s="1889">
        <f t="shared" si="214"/>
        <v>3.6408155496179852E-2</v>
      </c>
      <c r="Q103" s="1791">
        <f t="shared" si="169"/>
        <v>-59.089041395531694</v>
      </c>
      <c r="R103" s="1880">
        <f t="shared" si="170"/>
        <v>-6.7323834176024333E-3</v>
      </c>
      <c r="S103" s="1947">
        <v>884.14240590261568</v>
      </c>
      <c r="T103" s="1942">
        <f t="shared" si="215"/>
        <v>3.6215368302812467E-2</v>
      </c>
      <c r="U103" s="1975">
        <f>FISCinyear!JL1029</f>
        <v>232.94047596696799</v>
      </c>
      <c r="V103" s="1975">
        <f t="shared" si="172"/>
        <v>716.40432580581023</v>
      </c>
      <c r="W103" s="1796">
        <f>FISC!AK1354</f>
        <v>949.34480177277817</v>
      </c>
      <c r="X103" s="1889">
        <f t="shared" si="136"/>
        <v>3.7543256993726189E-2</v>
      </c>
      <c r="Y103" s="2830">
        <f t="shared" si="157"/>
        <v>3.8886124467090152E-2</v>
      </c>
      <c r="Z103" s="1791">
        <f t="shared" si="173"/>
        <v>65.202395870162491</v>
      </c>
      <c r="AA103" s="1880">
        <f t="shared" si="204"/>
        <v>1.3278886909137214E-3</v>
      </c>
      <c r="AB103" s="1947">
        <v>1177.6012061277886</v>
      </c>
      <c r="AC103" s="1942">
        <f t="shared" si="216"/>
        <v>4.2525076644885758E-2</v>
      </c>
      <c r="AD103" s="1975">
        <f>FISCinyear!JO1029</f>
        <v>503.55253080579968</v>
      </c>
      <c r="AE103" s="1975">
        <f t="shared" si="175"/>
        <v>476.64162861292351</v>
      </c>
      <c r="AF103" s="1796">
        <f>FISC!AL1354</f>
        <v>980.19415941872319</v>
      </c>
      <c r="AG103" s="1790">
        <f t="shared" si="137"/>
        <v>3.3976275195108332E-2</v>
      </c>
      <c r="AH103" s="2830">
        <f t="shared" si="159"/>
        <v>3.539639016948095E-2</v>
      </c>
      <c r="AI103" s="1791">
        <f t="shared" si="176"/>
        <v>-197.40704670906541</v>
      </c>
      <c r="AJ103" s="1880">
        <f t="shared" si="187"/>
        <v>-8.5488014497774253E-3</v>
      </c>
      <c r="AK103" s="1947">
        <v>1065.5211757389636</v>
      </c>
      <c r="AL103" s="1942">
        <f t="shared" si="217"/>
        <v>3.4210137424418967E-2</v>
      </c>
      <c r="AM103" s="1975">
        <f>FISCinyear!JR1029</f>
        <v>608.93823902354336</v>
      </c>
      <c r="AN103" s="1975">
        <f t="shared" si="178"/>
        <v>201.50587760077917</v>
      </c>
      <c r="AO103" s="1796">
        <f>FISC!AM1354</f>
        <v>810.44411662432253</v>
      </c>
      <c r="AP103" s="1790">
        <f t="shared" si="138"/>
        <v>2.4939095324531254E-2</v>
      </c>
      <c r="AQ103" s="2830">
        <f t="shared" si="160"/>
        <v>2.6020510183949835E-2</v>
      </c>
      <c r="AR103" s="1791">
        <f t="shared" si="218"/>
        <v>-255.07705911464109</v>
      </c>
      <c r="AS103" s="1880">
        <f t="shared" si="219"/>
        <v>-9.2710420998877129E-3</v>
      </c>
      <c r="AT103" s="1947">
        <v>809.45777517246472</v>
      </c>
      <c r="AU103" s="1942">
        <f t="shared" si="220"/>
        <v>2.3184421734972104E-2</v>
      </c>
      <c r="AV103" s="1975">
        <f>FISCinyear!JU1029</f>
        <v>599.04311349188538</v>
      </c>
      <c r="AW103" s="1975">
        <f t="shared" si="180"/>
        <v>58.793820665491921</v>
      </c>
      <c r="AX103" s="1796">
        <f>FISC!AN1354</f>
        <v>657.8369341573773</v>
      </c>
      <c r="AY103" s="1790">
        <f t="shared" si="221"/>
        <v>1.7941912833219914E-2</v>
      </c>
      <c r="AZ103" s="2830">
        <f t="shared" si="162"/>
        <v>1.8841710317868257E-2</v>
      </c>
      <c r="BA103" s="1791">
        <f t="shared" si="227"/>
        <v>-151.62084101508742</v>
      </c>
      <c r="BB103" s="1880">
        <f t="shared" si="185"/>
        <v>-5.2425089017521902E-3</v>
      </c>
      <c r="BC103" s="1947">
        <v>472.65063252223359</v>
      </c>
      <c r="BD103" s="1942">
        <f t="shared" si="222"/>
        <v>1.2071369230452449E-2</v>
      </c>
      <c r="BE103" s="1975">
        <f>FISCinyear!JX1029</f>
        <v>510.67783344460497</v>
      </c>
      <c r="BF103" s="1975">
        <f t="shared" si="182"/>
        <v>76.373036596702491</v>
      </c>
      <c r="BG103" s="1796">
        <f>FISC!AO1354</f>
        <v>587.05087004130746</v>
      </c>
      <c r="BH103" s="1790">
        <f t="shared" si="223"/>
        <v>1.423459394421359E-2</v>
      </c>
      <c r="BI103" s="2830">
        <f t="shared" si="164"/>
        <v>1.4993120333957508E-2</v>
      </c>
      <c r="BJ103" s="1791">
        <f t="shared" si="226"/>
        <v>114.40023751907387</v>
      </c>
      <c r="BK103" s="1880">
        <f t="shared" si="133"/>
        <v>2.1632247137611405E-3</v>
      </c>
      <c r="BL103" s="1796">
        <f>FISC!AP1354</f>
        <v>772.97506311441145</v>
      </c>
      <c r="BM103" s="1790">
        <f t="shared" si="166"/>
        <v>1.6813505522610062E-2</v>
      </c>
    </row>
    <row r="104" spans="1:67">
      <c r="A104" s="1930" t="s">
        <v>3668</v>
      </c>
      <c r="B104" s="1795"/>
      <c r="C104" s="1788"/>
      <c r="D104" s="1796"/>
      <c r="E104" s="1790"/>
      <c r="F104" s="1791"/>
      <c r="G104" s="1880"/>
      <c r="H104" s="1947"/>
      <c r="I104" s="1942"/>
      <c r="J104" s="1975"/>
      <c r="K104" s="1975"/>
      <c r="L104" s="1964"/>
      <c r="M104" s="1964"/>
      <c r="N104" s="1964">
        <f t="shared" si="190"/>
        <v>0</v>
      </c>
      <c r="O104" s="1796">
        <f>FISC!AJ1356+FISC!AJ1357</f>
        <v>0</v>
      </c>
      <c r="P104" s="1889">
        <f t="shared" si="214"/>
        <v>0</v>
      </c>
      <c r="Q104" s="1791">
        <f t="shared" ref="Q104" si="228">O104-H104</f>
        <v>0</v>
      </c>
      <c r="R104" s="1880">
        <f t="shared" ref="R104" si="229">P104-I104</f>
        <v>0</v>
      </c>
      <c r="S104" s="1947">
        <v>317.61732187356972</v>
      </c>
      <c r="T104" s="1942"/>
      <c r="U104" s="1975"/>
      <c r="V104" s="1975">
        <f t="shared" si="172"/>
        <v>357.91988568105711</v>
      </c>
      <c r="W104" s="1796">
        <f>FISC!AK1356+FISC!AK1357</f>
        <v>357.91988568105711</v>
      </c>
      <c r="X104" s="1889">
        <f t="shared" si="136"/>
        <v>1.4154476040945586E-2</v>
      </c>
      <c r="Y104" s="2830">
        <f t="shared" si="157"/>
        <v>1.4660760977307705E-2</v>
      </c>
      <c r="Z104" s="1791">
        <f t="shared" ref="Z104" si="230">W104-S104</f>
        <v>40.302563807487388</v>
      </c>
      <c r="AA104" s="1880">
        <f t="shared" ref="AA104" si="231">X104-T104</f>
        <v>1.4154476040945586E-2</v>
      </c>
      <c r="AB104" s="1947">
        <v>433.68652191950753</v>
      </c>
      <c r="AC104" s="1942">
        <f t="shared" si="216"/>
        <v>1.5661118966686649E-2</v>
      </c>
      <c r="AD104" s="1975">
        <f>FISCinyear!JO1030+FISCinyear!JO1031</f>
        <v>145.96204287954967</v>
      </c>
      <c r="AE104" s="1975">
        <f t="shared" si="175"/>
        <v>164.34688919940353</v>
      </c>
      <c r="AF104" s="1796">
        <f>FISC!AL1356+FISC!AL1357</f>
        <v>310.30893207895321</v>
      </c>
      <c r="AG104" s="1790">
        <f t="shared" si="137"/>
        <v>1.0756176794674038E-2</v>
      </c>
      <c r="AH104" s="2830">
        <f t="shared" si="159"/>
        <v>1.1205755438754336E-2</v>
      </c>
      <c r="AI104" s="1791">
        <f t="shared" ref="AI104" si="232">AF104-AB104</f>
        <v>-123.37758984055432</v>
      </c>
      <c r="AJ104" s="1880">
        <f t="shared" ref="AJ104" si="233">AG104-AC104</f>
        <v>-4.9049421720126114E-3</v>
      </c>
      <c r="AK104" s="1947">
        <v>255.16279421889203</v>
      </c>
      <c r="AL104" s="1942"/>
      <c r="AM104" s="1975">
        <f>FISCinyear!JR1030+FISCinyear!JR1031</f>
        <v>229.47314275611828</v>
      </c>
      <c r="AN104" s="1975">
        <f t="shared" si="178"/>
        <v>106.50422578976699</v>
      </c>
      <c r="AO104" s="1796">
        <f>FISC!AM1356+FISC!AM1357</f>
        <v>335.97736854588527</v>
      </c>
      <c r="AP104" s="1790">
        <f t="shared" si="138"/>
        <v>1.0338740758525406E-2</v>
      </c>
      <c r="AQ104" s="2830">
        <f t="shared" si="160"/>
        <v>1.0787051643040464E-2</v>
      </c>
      <c r="AR104" s="1791">
        <f>AO104-AK104</f>
        <v>80.814574326993238</v>
      </c>
      <c r="AS104" s="1880">
        <f t="shared" ref="AS104" si="234">AP104-AL104</f>
        <v>1.0338740758525406E-2</v>
      </c>
      <c r="AT104" s="1947">
        <v>101.89246744639034</v>
      </c>
      <c r="AU104" s="1942"/>
      <c r="AV104" s="1975">
        <f>FISCinyear!JU1030+FISCinyear!JU1031</f>
        <v>40.310428833950084</v>
      </c>
      <c r="AW104" s="1975">
        <f t="shared" si="180"/>
        <v>58.793820665492007</v>
      </c>
      <c r="AX104" s="1796">
        <f>FISC!AN1356+FISC!AN1357</f>
        <v>99.104249499442091</v>
      </c>
      <c r="AY104" s="1790">
        <f t="shared" si="221"/>
        <v>2.7029795890044701E-3</v>
      </c>
      <c r="AZ104" s="2830">
        <f t="shared" si="162"/>
        <v>2.8385356056817371E-3</v>
      </c>
      <c r="BA104" s="1791">
        <f t="shared" ref="BA104" si="235">AX104-AT104</f>
        <v>-2.7882179469482509</v>
      </c>
      <c r="BB104" s="1880">
        <f t="shared" ref="BB104" si="236">AY104-AU104</f>
        <v>2.7029795890044701E-3</v>
      </c>
      <c r="BC104" s="1947">
        <v>75.447257238411041</v>
      </c>
      <c r="BD104" s="1942"/>
      <c r="BE104" s="1975">
        <f>FISCinyear!JX1030+FISCinyear!JX1031</f>
        <v>40.005302944542194</v>
      </c>
      <c r="BF104" s="1975">
        <f t="shared" si="182"/>
        <v>59.33629892964197</v>
      </c>
      <c r="BG104" s="1796">
        <f>FISC!AO1356+FISC!AO1357</f>
        <v>99.341601874184164</v>
      </c>
      <c r="BH104" s="1790">
        <f t="shared" si="223"/>
        <v>2.4087986861295991E-3</v>
      </c>
      <c r="BI104" s="2830">
        <f t="shared" si="164"/>
        <v>2.5371576247948295E-3</v>
      </c>
      <c r="BJ104" s="1791">
        <f t="shared" ref="BJ104" si="237">BG104-BC104</f>
        <v>23.894344635773123</v>
      </c>
      <c r="BK104" s="1880">
        <f t="shared" ref="BK104" si="238">BH104-BD104</f>
        <v>2.4087986861295991E-3</v>
      </c>
      <c r="BL104" s="1796">
        <f>FISC!AP1356+FISC!AP1357</f>
        <v>76.952256383803416</v>
      </c>
      <c r="BM104" s="1790">
        <f t="shared" si="166"/>
        <v>1.6738407866268743E-3</v>
      </c>
      <c r="BO104" s="3086"/>
    </row>
    <row r="105" spans="1:67">
      <c r="A105" s="1897" t="s">
        <v>3582</v>
      </c>
      <c r="B105" s="1795"/>
      <c r="C105" s="1788"/>
      <c r="D105" s="1796"/>
      <c r="E105" s="1790"/>
      <c r="F105" s="1791"/>
      <c r="G105" s="1880"/>
      <c r="H105" s="1947">
        <v>0</v>
      </c>
      <c r="I105" s="1942">
        <f>H105/$H$111</f>
        <v>0</v>
      </c>
      <c r="J105" s="1975">
        <v>0</v>
      </c>
      <c r="K105" s="1975">
        <v>0</v>
      </c>
      <c r="L105" s="1964">
        <f t="shared" si="184"/>
        <v>0</v>
      </c>
      <c r="M105" s="1964">
        <v>0</v>
      </c>
      <c r="N105" s="1964">
        <f t="shared" si="190"/>
        <v>0</v>
      </c>
      <c r="O105" s="1796">
        <v>0</v>
      </c>
      <c r="P105" s="1889">
        <f t="shared" si="214"/>
        <v>0</v>
      </c>
      <c r="Q105" s="1791">
        <f t="shared" si="169"/>
        <v>0</v>
      </c>
      <c r="R105" s="1880">
        <f t="shared" si="170"/>
        <v>0</v>
      </c>
      <c r="S105" s="1947">
        <v>0</v>
      </c>
      <c r="T105" s="1942">
        <f>S105/$S$111</f>
        <v>0</v>
      </c>
      <c r="U105" s="1975">
        <f>FISCinyear!JL1032</f>
        <v>0</v>
      </c>
      <c r="V105" s="1975">
        <f t="shared" si="172"/>
        <v>0</v>
      </c>
      <c r="W105" s="1796">
        <f>FISC!AK1358</f>
        <v>0</v>
      </c>
      <c r="X105" s="1889">
        <f t="shared" si="136"/>
        <v>0</v>
      </c>
      <c r="Y105" s="2830">
        <f>W105/$S$111</f>
        <v>0</v>
      </c>
      <c r="Z105" s="1791">
        <f t="shared" si="173"/>
        <v>0</v>
      </c>
      <c r="AA105" s="1880">
        <f t="shared" si="204"/>
        <v>0</v>
      </c>
      <c r="AB105" s="1947">
        <v>139.41641339927276</v>
      </c>
      <c r="AC105" s="1942">
        <f t="shared" si="216"/>
        <v>5.0345512848564396E-3</v>
      </c>
      <c r="AD105" s="1975">
        <f>FISCinyear!JO1032</f>
        <v>0</v>
      </c>
      <c r="AE105" s="1975">
        <f t="shared" si="175"/>
        <v>0</v>
      </c>
      <c r="AF105" s="1796">
        <f>FISC!AL1358</f>
        <v>0</v>
      </c>
      <c r="AG105" s="1790">
        <f t="shared" si="137"/>
        <v>0</v>
      </c>
      <c r="AH105" s="2830">
        <f t="shared" si="159"/>
        <v>0</v>
      </c>
      <c r="AI105" s="1791">
        <f t="shared" si="176"/>
        <v>-139.41641339927276</v>
      </c>
      <c r="AJ105" s="1880">
        <f t="shared" si="187"/>
        <v>-5.0345512848564396E-3</v>
      </c>
      <c r="AK105" s="1947">
        <v>223.28223155792529</v>
      </c>
      <c r="AL105" s="1942">
        <f t="shared" ref="AL105:AL110" si="239">AK105/$AK$111</f>
        <v>7.1688071527345049E-3</v>
      </c>
      <c r="AM105" s="1975">
        <f>FISCinyear!JR1032</f>
        <v>0</v>
      </c>
      <c r="AN105" s="1975">
        <f t="shared" si="178"/>
        <v>0</v>
      </c>
      <c r="AO105" s="1796">
        <f>FISC!AM1358</f>
        <v>0</v>
      </c>
      <c r="AP105" s="1790">
        <f t="shared" si="138"/>
        <v>0</v>
      </c>
      <c r="AQ105" s="2830">
        <f t="shared" si="160"/>
        <v>0</v>
      </c>
      <c r="AR105" s="1791">
        <f>AO105-AK105</f>
        <v>-223.28223155792529</v>
      </c>
      <c r="AS105" s="1880">
        <f>AP105-AL105</f>
        <v>-7.1688071527345049E-3</v>
      </c>
      <c r="AT105" s="1947">
        <v>397.32914300413307</v>
      </c>
      <c r="AU105" s="1942">
        <f t="shared" ref="AU105:AU110" si="240">AT105/$AT$111</f>
        <v>1.1380268003528865E-2</v>
      </c>
      <c r="AV105" s="1975">
        <f>FISCinyear!JU1032</f>
        <v>0</v>
      </c>
      <c r="AW105" s="1975">
        <f t="shared" si="180"/>
        <v>0</v>
      </c>
      <c r="AX105" s="1796">
        <f>FISC!AN1358</f>
        <v>0</v>
      </c>
      <c r="AY105" s="1790">
        <f t="shared" si="221"/>
        <v>0</v>
      </c>
      <c r="AZ105" s="2830">
        <f t="shared" si="162"/>
        <v>0</v>
      </c>
      <c r="BA105" s="1791">
        <f t="shared" si="227"/>
        <v>-397.32914300413307</v>
      </c>
      <c r="BB105" s="1880">
        <f t="shared" si="185"/>
        <v>-1.1380268003528865E-2</v>
      </c>
      <c r="BC105" s="1947">
        <v>143.86181362408865</v>
      </c>
      <c r="BD105" s="1942">
        <f>BC105/$BC$111</f>
        <v>3.6741917833722948E-3</v>
      </c>
      <c r="BE105" s="1975">
        <f>FISCinyear!JX1032</f>
        <v>0</v>
      </c>
      <c r="BF105" s="1975">
        <f t="shared" si="182"/>
        <v>0</v>
      </c>
      <c r="BG105" s="1796">
        <f>FISC!AO1358</f>
        <v>0</v>
      </c>
      <c r="BH105" s="1790">
        <f t="shared" si="223"/>
        <v>0</v>
      </c>
      <c r="BI105" s="2830">
        <f t="shared" si="164"/>
        <v>0</v>
      </c>
      <c r="BJ105" s="1791">
        <f t="shared" si="226"/>
        <v>-143.86181362408865</v>
      </c>
      <c r="BK105" s="1880">
        <f t="shared" si="133"/>
        <v>-3.6741917833722948E-3</v>
      </c>
      <c r="BL105" s="1796">
        <f>FISC!AP1358</f>
        <v>0</v>
      </c>
      <c r="BM105" s="1790">
        <f t="shared" si="166"/>
        <v>0</v>
      </c>
    </row>
    <row r="106" spans="1:67">
      <c r="A106" s="1809" t="s">
        <v>507</v>
      </c>
      <c r="B106" s="1795">
        <v>558.91254230137281</v>
      </c>
      <c r="C106" s="1788">
        <f>B106/$B$111</f>
        <v>3.2366244701931439E-2</v>
      </c>
      <c r="D106" s="1796">
        <f>FISC!AI1360</f>
        <v>640.01178499634898</v>
      </c>
      <c r="E106" s="1790">
        <f>D106/$D$111</f>
        <v>3.4506633508362257E-2</v>
      </c>
      <c r="F106" s="1791">
        <f t="shared" ref="F106:F110" si="241">D106-B106</f>
        <v>81.099242694976169</v>
      </c>
      <c r="G106" s="1880">
        <f t="shared" si="203"/>
        <v>2.140388806430818E-3</v>
      </c>
      <c r="H106" s="1947">
        <v>656.05319894556249</v>
      </c>
      <c r="I106" s="1942">
        <f>H106/$H$111</f>
        <v>3.3398552275499468E-2</v>
      </c>
      <c r="J106" s="1975">
        <v>313.33983644413405</v>
      </c>
      <c r="K106" s="1975">
        <f>FISCinyear!JI1035</f>
        <v>380.46133309118517</v>
      </c>
      <c r="L106" s="1964">
        <f t="shared" si="184"/>
        <v>67.121496647051117</v>
      </c>
      <c r="M106" s="1964">
        <v>342.71336250142843</v>
      </c>
      <c r="N106" s="1964">
        <f t="shared" si="190"/>
        <v>358.50013050424201</v>
      </c>
      <c r="O106" s="1796">
        <f>FISC!AJ1360</f>
        <v>738.96146359542718</v>
      </c>
      <c r="P106" s="1889">
        <f t="shared" si="214"/>
        <v>3.4128228315225828E-2</v>
      </c>
      <c r="Q106" s="1791">
        <f t="shared" si="169"/>
        <v>82.908264649864691</v>
      </c>
      <c r="R106" s="1880">
        <f t="shared" si="170"/>
        <v>7.2967603972635964E-4</v>
      </c>
      <c r="S106" s="1947">
        <v>755.61251963901555</v>
      </c>
      <c r="T106" s="1942">
        <f>S106/$S$111</f>
        <v>3.0950654001270894E-2</v>
      </c>
      <c r="U106" s="1975">
        <f>FISCinyear!JL1035</f>
        <v>408.05343245908199</v>
      </c>
      <c r="V106" s="1975">
        <f t="shared" si="172"/>
        <v>379.7268144841974</v>
      </c>
      <c r="W106" s="1796">
        <f>FISC!AK1360</f>
        <v>787.78024694327939</v>
      </c>
      <c r="X106" s="1889">
        <f t="shared" si="136"/>
        <v>3.1153945553126311E-2</v>
      </c>
      <c r="Y106" s="2830">
        <f t="shared" si="157"/>
        <v>3.2268276687402599E-2</v>
      </c>
      <c r="Z106" s="1791">
        <f t="shared" si="173"/>
        <v>32.167727304263849</v>
      </c>
      <c r="AA106" s="1880">
        <f t="shared" si="204"/>
        <v>2.0329155185541681E-4</v>
      </c>
      <c r="AB106" s="1947">
        <v>798.53241337216173</v>
      </c>
      <c r="AC106" s="1942">
        <f t="shared" si="216"/>
        <v>2.8836291866358554E-2</v>
      </c>
      <c r="AD106" s="1975">
        <f>FISCinyear!JO1035</f>
        <v>407.60203783237796</v>
      </c>
      <c r="AE106" s="1975">
        <f t="shared" si="175"/>
        <v>412.93319579923104</v>
      </c>
      <c r="AF106" s="1796">
        <f>FISC!AL1360</f>
        <v>820.535233631609</v>
      </c>
      <c r="AG106" s="1790">
        <f t="shared" si="137"/>
        <v>2.8442049605440174E-2</v>
      </c>
      <c r="AH106" s="2830">
        <f t="shared" si="159"/>
        <v>2.9630849152023481E-2</v>
      </c>
      <c r="AI106" s="1791">
        <f t="shared" si="176"/>
        <v>22.002820259447276</v>
      </c>
      <c r="AJ106" s="1880">
        <f t="shared" si="187"/>
        <v>-3.9424226091838016E-4</v>
      </c>
      <c r="AK106" s="1947">
        <v>851.44783959586584</v>
      </c>
      <c r="AL106" s="1942">
        <f t="shared" si="239"/>
        <v>2.7336995514986515E-2</v>
      </c>
      <c r="AM106" s="1975">
        <f>FISCinyear!JR1035</f>
        <v>429.89642208027624</v>
      </c>
      <c r="AN106" s="1975">
        <f t="shared" si="178"/>
        <v>430.82518987478272</v>
      </c>
      <c r="AO106" s="1796">
        <f>FISC!AM1360</f>
        <v>860.72161195505896</v>
      </c>
      <c r="AP106" s="1790">
        <f t="shared" si="138"/>
        <v>2.6486241170878534E-2</v>
      </c>
      <c r="AQ106" s="2830">
        <f t="shared" si="160"/>
        <v>2.763474372879442E-2</v>
      </c>
      <c r="AR106" s="1791">
        <f>AO106-AK106</f>
        <v>9.2737723591931172</v>
      </c>
      <c r="AS106" s="1880">
        <f>AP106-AL106</f>
        <v>-8.507543441079804E-4</v>
      </c>
      <c r="AT106" s="1947">
        <v>929.1817575593318</v>
      </c>
      <c r="AU106" s="1942">
        <f t="shared" si="240"/>
        <v>2.6613546001344243E-2</v>
      </c>
      <c r="AV106" s="1975">
        <f>FISCinyear!JU1035</f>
        <v>461.44866580171754</v>
      </c>
      <c r="AW106" s="1975">
        <f t="shared" si="180"/>
        <v>483.46910362878896</v>
      </c>
      <c r="AX106" s="1796">
        <f>FISC!AN1360</f>
        <v>944.9177694305065</v>
      </c>
      <c r="AY106" s="1790">
        <f t="shared" si="221"/>
        <v>2.5771785336739465E-2</v>
      </c>
      <c r="AZ106" s="2830">
        <f t="shared" si="162"/>
        <v>2.7064255534117721E-2</v>
      </c>
      <c r="BA106" s="1791">
        <f t="shared" si="227"/>
        <v>15.736011871174696</v>
      </c>
      <c r="BB106" s="1880">
        <f t="shared" si="185"/>
        <v>-8.4176066460477789E-4</v>
      </c>
      <c r="BC106" s="1947">
        <v>965.71253578766857</v>
      </c>
      <c r="BD106" s="1942">
        <f>BC106/$BC$111</f>
        <v>2.4664036791320915E-2</v>
      </c>
      <c r="BE106" s="1975">
        <f>FISCinyear!JX1035</f>
        <v>451.67232972879708</v>
      </c>
      <c r="BF106" s="1975">
        <f t="shared" si="182"/>
        <v>548.72645570242025</v>
      </c>
      <c r="BG106" s="1796">
        <f>FISC!AO1360</f>
        <v>1000.3987854312173</v>
      </c>
      <c r="BH106" s="1790">
        <f t="shared" si="223"/>
        <v>2.42573024240571E-2</v>
      </c>
      <c r="BI106" s="2830">
        <f t="shared" si="164"/>
        <v>2.554991421929036E-2</v>
      </c>
      <c r="BJ106" s="1791">
        <f t="shared" si="226"/>
        <v>34.686249643548763</v>
      </c>
      <c r="BK106" s="1880">
        <f t="shared" si="133"/>
        <v>-4.0673436726381546E-4</v>
      </c>
      <c r="BL106" s="1796">
        <f>FISC!AP1360</f>
        <v>1080.9028517411339</v>
      </c>
      <c r="BM106" s="1790">
        <f t="shared" si="166"/>
        <v>2.351145196577259E-2</v>
      </c>
    </row>
    <row r="107" spans="1:67">
      <c r="A107" s="1930" t="s">
        <v>3128</v>
      </c>
      <c r="B107" s="1795"/>
      <c r="C107" s="1788"/>
      <c r="D107" s="1796"/>
      <c r="E107" s="1790"/>
      <c r="F107" s="1791"/>
      <c r="G107" s="1880"/>
      <c r="H107" s="1947">
        <v>21.092074431640629</v>
      </c>
      <c r="I107" s="1942">
        <f>H107/$H$111</f>
        <v>1.0737616273132878E-3</v>
      </c>
      <c r="J107" s="1975">
        <v>10.546037215820315</v>
      </c>
      <c r="K107" s="1975">
        <f>FISCinyear!JI1037</f>
        <v>38.037262263656999</v>
      </c>
      <c r="L107" s="1964">
        <f t="shared" si="184"/>
        <v>27.491225047836686</v>
      </c>
      <c r="M107" s="1964">
        <v>10.546037215820315</v>
      </c>
      <c r="N107" s="1964">
        <f t="shared" si="190"/>
        <v>3.6449203882489982</v>
      </c>
      <c r="O107" s="1796">
        <f>FISC!AJ1362</f>
        <v>41.682182651905997</v>
      </c>
      <c r="P107" s="1889">
        <f t="shared" si="214"/>
        <v>1.9250517331442557E-3</v>
      </c>
      <c r="Q107" s="1791">
        <f t="shared" si="169"/>
        <v>20.590108220265368</v>
      </c>
      <c r="R107" s="1880">
        <f t="shared" si="170"/>
        <v>8.5129010583096789E-4</v>
      </c>
      <c r="S107" s="1947">
        <v>24.792840755990309</v>
      </c>
      <c r="T107" s="1942">
        <f t="shared" ref="T107:T108" si="242">S107/$S$111</f>
        <v>1.0155398646833666E-3</v>
      </c>
      <c r="U107" s="1975">
        <f>FISCinyear!JL1037</f>
        <v>6.8912763674909998</v>
      </c>
      <c r="V107" s="1975">
        <f t="shared" si="172"/>
        <v>17.90156438849931</v>
      </c>
      <c r="W107" s="1796">
        <f>FISC!AK1362</f>
        <v>24.792840755990309</v>
      </c>
      <c r="X107" s="1889">
        <f t="shared" si="136"/>
        <v>9.8046988867323795E-4</v>
      </c>
      <c r="Y107" s="2830">
        <f t="shared" si="157"/>
        <v>1.0155398646833666E-3</v>
      </c>
      <c r="Z107" s="1791">
        <f t="shared" ref="Z107" si="243">W107-S107</f>
        <v>0</v>
      </c>
      <c r="AA107" s="1880">
        <f t="shared" ref="AA107" si="244">X107-T107</f>
        <v>-3.5069976010128606E-5</v>
      </c>
      <c r="AB107" s="1947">
        <v>0</v>
      </c>
      <c r="AC107" s="1942">
        <f t="shared" si="216"/>
        <v>0</v>
      </c>
      <c r="AD107" s="1975">
        <f>FISCinyear!JO1037</f>
        <v>0</v>
      </c>
      <c r="AE107" s="1975">
        <f t="shared" si="175"/>
        <v>0</v>
      </c>
      <c r="AF107" s="1796">
        <f>FISC!AL1362</f>
        <v>0</v>
      </c>
      <c r="AG107" s="1790">
        <f t="shared" si="137"/>
        <v>0</v>
      </c>
      <c r="AH107" s="2830">
        <f t="shared" si="159"/>
        <v>0</v>
      </c>
      <c r="AI107" s="1791">
        <f t="shared" ref="AI107" si="245">AF107-AB107</f>
        <v>0</v>
      </c>
      <c r="AJ107" s="1880">
        <f t="shared" ref="AJ107" si="246">AG107-AC107</f>
        <v>0</v>
      </c>
      <c r="AK107" s="1947">
        <v>0</v>
      </c>
      <c r="AL107" s="1942">
        <f t="shared" si="239"/>
        <v>0</v>
      </c>
      <c r="AM107" s="1975"/>
      <c r="AN107" s="1975">
        <f t="shared" si="178"/>
        <v>0</v>
      </c>
      <c r="AO107" s="1796">
        <f>FISC!AM1362</f>
        <v>0</v>
      </c>
      <c r="AP107" s="1790">
        <f t="shared" si="138"/>
        <v>0</v>
      </c>
      <c r="AQ107" s="2830">
        <f t="shared" si="160"/>
        <v>0</v>
      </c>
      <c r="AR107" s="1791">
        <f>AO107-AK107</f>
        <v>0</v>
      </c>
      <c r="AS107" s="1880">
        <f>AP107-AL107</f>
        <v>0</v>
      </c>
      <c r="AT107" s="1947">
        <v>0</v>
      </c>
      <c r="AU107" s="1942">
        <f t="shared" si="240"/>
        <v>0</v>
      </c>
      <c r="AV107" s="1975">
        <v>0</v>
      </c>
      <c r="AW107" s="1975">
        <f t="shared" si="180"/>
        <v>0</v>
      </c>
      <c r="AX107" s="1796">
        <v>0</v>
      </c>
      <c r="AY107" s="1790">
        <f t="shared" ref="AY107" si="247">AX107/$AX$111</f>
        <v>0</v>
      </c>
      <c r="AZ107" s="2830">
        <f t="shared" si="162"/>
        <v>0</v>
      </c>
      <c r="BA107" s="1791">
        <f t="shared" ref="BA107" si="248">AX107-AT107</f>
        <v>0</v>
      </c>
      <c r="BB107" s="1880">
        <f t="shared" ref="BB107" si="249">AY107-AU107</f>
        <v>0</v>
      </c>
      <c r="BC107" s="1947">
        <v>0</v>
      </c>
      <c r="BD107" s="1942">
        <f>BC107/$BC$111</f>
        <v>0</v>
      </c>
      <c r="BE107" s="1975">
        <v>0</v>
      </c>
      <c r="BF107" s="1975">
        <f t="shared" si="182"/>
        <v>0</v>
      </c>
      <c r="BG107" s="1796">
        <v>0</v>
      </c>
      <c r="BH107" s="1790">
        <f t="shared" ref="BH107" si="250">BG107/$BG$111</f>
        <v>0</v>
      </c>
      <c r="BI107" s="2830">
        <f t="shared" si="164"/>
        <v>0</v>
      </c>
      <c r="BJ107" s="1791">
        <f t="shared" ref="BJ107" si="251">BG107-BC107</f>
        <v>0</v>
      </c>
      <c r="BK107" s="1880">
        <f t="shared" ref="BK107" si="252">BH107-BD107</f>
        <v>0</v>
      </c>
      <c r="BL107" s="1796">
        <v>0</v>
      </c>
      <c r="BM107" s="1790">
        <f t="shared" si="166"/>
        <v>0</v>
      </c>
      <c r="BO107" s="3085"/>
    </row>
    <row r="108" spans="1:67">
      <c r="A108" s="1845" t="s">
        <v>578</v>
      </c>
      <c r="B108" s="1798">
        <v>126.57623221571507</v>
      </c>
      <c r="C108" s="1799">
        <f>B108/$B$111</f>
        <v>7.3299434084506286E-3</v>
      </c>
      <c r="D108" s="1800">
        <f>FISC!AI1363</f>
        <v>124.74221382824851</v>
      </c>
      <c r="E108" s="1801">
        <f>D108/$D$111</f>
        <v>6.7255540546299238E-3</v>
      </c>
      <c r="F108" s="1802">
        <f t="shared" si="241"/>
        <v>-1.834018387466557</v>
      </c>
      <c r="G108" s="1881">
        <f t="shared" si="203"/>
        <v>-6.0438935382070482E-4</v>
      </c>
      <c r="H108" s="1950">
        <v>187.21507936573525</v>
      </c>
      <c r="I108" s="1949">
        <f>H108/$H$111</f>
        <v>9.5308011987563276E-3</v>
      </c>
      <c r="J108" s="1976">
        <v>88.069688178958842</v>
      </c>
      <c r="K108" s="1976">
        <f>FISCinyear!JI1038</f>
        <v>79.813558989680743</v>
      </c>
      <c r="L108" s="1966">
        <f t="shared" si="184"/>
        <v>-8.2561291892780986</v>
      </c>
      <c r="M108" s="1966">
        <v>99.145391186776408</v>
      </c>
      <c r="N108" s="1966">
        <f t="shared" si="190"/>
        <v>92.295627093716476</v>
      </c>
      <c r="O108" s="1800">
        <f>FISC!AJ1363</f>
        <v>172.10918608339722</v>
      </c>
      <c r="P108" s="1890">
        <f t="shared" si="214"/>
        <v>7.9486981218518521E-3</v>
      </c>
      <c r="Q108" s="1802">
        <f t="shared" si="169"/>
        <v>-15.10589328233803</v>
      </c>
      <c r="R108" s="1881">
        <f t="shared" si="170"/>
        <v>-1.5821030769044755E-3</v>
      </c>
      <c r="S108" s="1950">
        <v>347.07299990672158</v>
      </c>
      <c r="T108" s="1942">
        <f t="shared" si="242"/>
        <v>1.4216461551521125E-2</v>
      </c>
      <c r="U108" s="1976">
        <f>FISCinyear!JL1038</f>
        <v>139.35863786119143</v>
      </c>
      <c r="V108" s="1976">
        <f t="shared" si="172"/>
        <v>179.07650276447418</v>
      </c>
      <c r="W108" s="1800">
        <f>FISC!AK1363</f>
        <v>318.43514062566561</v>
      </c>
      <c r="X108" s="1890">
        <f t="shared" si="136"/>
        <v>1.2592992870470372E-2</v>
      </c>
      <c r="Y108" s="2832">
        <f t="shared" si="157"/>
        <v>1.3043425834261576E-2</v>
      </c>
      <c r="Z108" s="1802">
        <f t="shared" si="173"/>
        <v>-28.637859281055967</v>
      </c>
      <c r="AA108" s="1881">
        <f t="shared" si="204"/>
        <v>-1.6234686810507534E-3</v>
      </c>
      <c r="AB108" s="1950">
        <v>473.05115730537534</v>
      </c>
      <c r="AC108" s="1949">
        <f t="shared" si="216"/>
        <v>1.7082639366097954E-2</v>
      </c>
      <c r="AD108" s="1976">
        <f>FISCinyear!JO1038</f>
        <v>217.71787861374358</v>
      </c>
      <c r="AE108" s="1976">
        <f t="shared" si="175"/>
        <v>236.99089744636566</v>
      </c>
      <c r="AF108" s="1800">
        <f>FISC!AL1363</f>
        <v>454.70877606010924</v>
      </c>
      <c r="AG108" s="1801">
        <f t="shared" si="137"/>
        <v>1.5761479866612287E-2</v>
      </c>
      <c r="AH108" s="2832">
        <f t="shared" si="159"/>
        <v>1.6420266430127974E-2</v>
      </c>
      <c r="AI108" s="1802">
        <f t="shared" si="176"/>
        <v>-18.342381245266097</v>
      </c>
      <c r="AJ108" s="1881">
        <f t="shared" si="187"/>
        <v>-1.3211594994856669E-3</v>
      </c>
      <c r="AK108" s="1950">
        <v>626.73217593540778</v>
      </c>
      <c r="AL108" s="1949">
        <f t="shared" si="239"/>
        <v>2.0122165898942251E-2</v>
      </c>
      <c r="AM108" s="1976">
        <f>FISCinyear!JR1038</f>
        <v>258.90071381834946</v>
      </c>
      <c r="AN108" s="1976">
        <f t="shared" si="178"/>
        <v>278.69770219565953</v>
      </c>
      <c r="AO108" s="1800">
        <f>FISC!AM1363</f>
        <v>537.59841601400899</v>
      </c>
      <c r="AP108" s="1801">
        <f t="shared" si="138"/>
        <v>1.6543050740049029E-2</v>
      </c>
      <c r="AQ108" s="2832">
        <f t="shared" si="160"/>
        <v>1.7260394358877384E-2</v>
      </c>
      <c r="AR108" s="1802">
        <f>AO108-AK108</f>
        <v>-89.133759921398791</v>
      </c>
      <c r="AS108" s="1881">
        <f>AP108-AL108</f>
        <v>-3.5791151588932223E-3</v>
      </c>
      <c r="AT108" s="1950">
        <v>803.56160195848429</v>
      </c>
      <c r="AU108" s="1949">
        <f t="shared" si="240"/>
        <v>2.3015544036087514E-2</v>
      </c>
      <c r="AV108" s="1976">
        <f>FISCinyear!JU1038</f>
        <v>302.95103777874436</v>
      </c>
      <c r="AW108" s="1976">
        <f t="shared" si="180"/>
        <v>331.35306972944437</v>
      </c>
      <c r="AX108" s="1800">
        <f>FISC!AN1363</f>
        <v>634.30410750818874</v>
      </c>
      <c r="AY108" s="1801">
        <f>AX108/$AX$111</f>
        <v>1.7300076076212888E-2</v>
      </c>
      <c r="AZ108" s="2832">
        <f t="shared" si="162"/>
        <v>1.8167685069874893E-2</v>
      </c>
      <c r="BA108" s="1802">
        <f t="shared" si="227"/>
        <v>-169.25749445029555</v>
      </c>
      <c r="BB108" s="1881">
        <f t="shared" si="185"/>
        <v>-5.7154679598746261E-3</v>
      </c>
      <c r="BC108" s="1950">
        <v>965.38883026204655</v>
      </c>
      <c r="BD108" s="1949">
        <f>BC108/$BC$111</f>
        <v>2.4655769439808302E-2</v>
      </c>
      <c r="BE108" s="1976">
        <f>FISCinyear!JX1038</f>
        <v>374.64224245830695</v>
      </c>
      <c r="BF108" s="1976">
        <f t="shared" si="182"/>
        <v>417.70252283967176</v>
      </c>
      <c r="BG108" s="1800">
        <f>FISC!AO1363</f>
        <v>792.34476529797871</v>
      </c>
      <c r="BH108" s="1801">
        <f>BG108/$BG$111</f>
        <v>1.9212484936861309E-2</v>
      </c>
      <c r="BI108" s="2832">
        <f t="shared" si="164"/>
        <v>2.0236270855467781E-2</v>
      </c>
      <c r="BJ108" s="1802">
        <f t="shared" si="226"/>
        <v>-173.04406496406784</v>
      </c>
      <c r="BK108" s="1881">
        <f t="shared" si="133"/>
        <v>-5.4432845029469927E-3</v>
      </c>
      <c r="BL108" s="1800">
        <f>FISC!AP1363</f>
        <v>865.5692197330859</v>
      </c>
      <c r="BM108" s="1801">
        <f t="shared" si="166"/>
        <v>1.8827583903608325E-2</v>
      </c>
      <c r="BO108" s="3087"/>
    </row>
    <row r="109" spans="1:67">
      <c r="A109" s="1930" t="s">
        <v>3668</v>
      </c>
      <c r="B109" s="1795"/>
      <c r="C109" s="1788"/>
      <c r="D109" s="1796"/>
      <c r="E109" s="1790"/>
      <c r="F109" s="1791"/>
      <c r="G109" s="1880"/>
      <c r="H109" s="1947"/>
      <c r="I109" s="1942"/>
      <c r="J109" s="1975"/>
      <c r="K109" s="1975"/>
      <c r="L109" s="1964"/>
      <c r="M109" s="1964"/>
      <c r="N109" s="1964">
        <f t="shared" si="190"/>
        <v>0</v>
      </c>
      <c r="O109" s="1796">
        <f>FISC!AJ1364+FISC!AJ1365</f>
        <v>0</v>
      </c>
      <c r="P109" s="1890">
        <f t="shared" si="214"/>
        <v>0</v>
      </c>
      <c r="Q109" s="1802">
        <f t="shared" ref="Q109" si="253">O109-H109</f>
        <v>0</v>
      </c>
      <c r="R109" s="1881">
        <f t="shared" ref="R109" si="254">P109-I109</f>
        <v>0</v>
      </c>
      <c r="S109" s="1947">
        <v>0</v>
      </c>
      <c r="T109" s="1942"/>
      <c r="U109" s="1975">
        <f>FISCinyear!JL1040+FISCinyear!JL1039</f>
        <v>0</v>
      </c>
      <c r="V109" s="1975">
        <f t="shared" si="172"/>
        <v>0</v>
      </c>
      <c r="W109" s="1796">
        <f>FISC!AK1364+FISC!AK1365</f>
        <v>0</v>
      </c>
      <c r="X109" s="1889">
        <f t="shared" si="136"/>
        <v>0</v>
      </c>
      <c r="Y109" s="2830">
        <f t="shared" si="157"/>
        <v>0</v>
      </c>
      <c r="Z109" s="1802">
        <f t="shared" ref="Z109" si="255">W109-S109</f>
        <v>0</v>
      </c>
      <c r="AA109" s="1881">
        <f t="shared" ref="AA109" si="256">X109-T109</f>
        <v>0</v>
      </c>
      <c r="AB109" s="1947">
        <v>0</v>
      </c>
      <c r="AC109" s="1942"/>
      <c r="AD109" s="1975">
        <f>FISCinyear!JO1040+FISCinyear!JO1039</f>
        <v>0</v>
      </c>
      <c r="AE109" s="1975">
        <f t="shared" si="175"/>
        <v>0</v>
      </c>
      <c r="AF109" s="1796">
        <f>FISC!AL1364+FISC!AL1365</f>
        <v>0</v>
      </c>
      <c r="AG109" s="1801">
        <f t="shared" ref="AG109" si="257">AF109/$AF$111</f>
        <v>0</v>
      </c>
      <c r="AH109" s="2830">
        <f t="shared" si="159"/>
        <v>0</v>
      </c>
      <c r="AI109" s="1802">
        <f t="shared" ref="AI109" si="258">AF109-AB109</f>
        <v>0</v>
      </c>
      <c r="AJ109" s="1881">
        <f t="shared" ref="AJ109" si="259">AG109-AC109</f>
        <v>0</v>
      </c>
      <c r="AK109" s="1947">
        <v>39.630543875138748</v>
      </c>
      <c r="AL109" s="1942">
        <f t="shared" si="239"/>
        <v>1.2723973798387503E-3</v>
      </c>
      <c r="AM109" s="1975">
        <f>FISCinyear!JR1040+FISCinyear!JR1039</f>
        <v>0</v>
      </c>
      <c r="AN109" s="1975">
        <f t="shared" si="178"/>
        <v>0</v>
      </c>
      <c r="AO109" s="1796">
        <f>FISC!AM1364+FISC!AM1365</f>
        <v>0</v>
      </c>
      <c r="AP109" s="1801">
        <f t="shared" ref="AP109" si="260">AO109/$AO$111</f>
        <v>0</v>
      </c>
      <c r="AQ109" s="2830">
        <f>AO109/$AK$111</f>
        <v>0</v>
      </c>
      <c r="AR109" s="1802">
        <f t="shared" ref="AR109" si="261">AO109-AK109</f>
        <v>-39.630543875138748</v>
      </c>
      <c r="AS109" s="1881">
        <f t="shared" ref="AS109" si="262">AP109-AL109</f>
        <v>-1.2723973798387503E-3</v>
      </c>
      <c r="AT109" s="1947">
        <v>83.400250875574073</v>
      </c>
      <c r="AU109" s="1942">
        <f t="shared" si="240"/>
        <v>2.3887429936537605E-3</v>
      </c>
      <c r="AV109" s="1975">
        <f>FISCinyear!JU1040+FISCinyear!JU1039</f>
        <v>0</v>
      </c>
      <c r="AW109" s="1975">
        <f t="shared" si="180"/>
        <v>0</v>
      </c>
      <c r="AX109" s="1796">
        <f>FISC!AN1364+FISC!AN1365</f>
        <v>0</v>
      </c>
      <c r="AY109" s="1801">
        <f t="shared" ref="AY109" si="263">AX109/$AX$111</f>
        <v>0</v>
      </c>
      <c r="AZ109" s="2830">
        <f t="shared" si="162"/>
        <v>0</v>
      </c>
      <c r="BA109" s="1802">
        <f t="shared" ref="BA109" si="264">AX109-AT109</f>
        <v>-83.400250875574073</v>
      </c>
      <c r="BB109" s="1881">
        <f t="shared" ref="BB109" si="265">AY109-AU109</f>
        <v>-2.3887429936537605E-3</v>
      </c>
      <c r="BC109" s="1947">
        <v>86.816108840461752</v>
      </c>
      <c r="BD109" s="1942"/>
      <c r="BE109" s="1975">
        <f>FISCinyear!JX1040+FISCinyear!JX1039</f>
        <v>0</v>
      </c>
      <c r="BF109" s="1975">
        <f t="shared" si="182"/>
        <v>0</v>
      </c>
      <c r="BG109" s="1796">
        <f>FISC!AO1364+FISC!AO1365</f>
        <v>0</v>
      </c>
      <c r="BH109" s="1801">
        <f t="shared" ref="BH109" si="266">BG109/$BG$111</f>
        <v>0</v>
      </c>
      <c r="BI109" s="2830">
        <f t="shared" si="164"/>
        <v>0</v>
      </c>
      <c r="BJ109" s="1802">
        <f t="shared" ref="BJ109" si="267">BG109-BC109</f>
        <v>-86.816108840461752</v>
      </c>
      <c r="BK109" s="1881">
        <f t="shared" ref="BK109" si="268">BH109-BD109</f>
        <v>0</v>
      </c>
      <c r="BL109" s="1796">
        <f>FISC!AP1364+FISC!AP1365</f>
        <v>0</v>
      </c>
      <c r="BM109" s="1801">
        <f t="shared" si="166"/>
        <v>0</v>
      </c>
    </row>
    <row r="110" spans="1:67">
      <c r="A110" s="1776" t="s">
        <v>579</v>
      </c>
      <c r="B110" s="1846">
        <v>68.386845378292946</v>
      </c>
      <c r="C110" s="1847">
        <f>B110/$B$111</f>
        <v>3.9602356440114938E-3</v>
      </c>
      <c r="D110" s="1848">
        <f>FISC!K1366</f>
        <v>0</v>
      </c>
      <c r="E110" s="1849">
        <f>D110/$D$111</f>
        <v>0</v>
      </c>
      <c r="F110" s="1850">
        <f t="shared" si="241"/>
        <v>-68.386845378292946</v>
      </c>
      <c r="G110" s="1886">
        <f t="shared" si="203"/>
        <v>-3.9602356440114938E-3</v>
      </c>
      <c r="H110" s="1959">
        <v>0</v>
      </c>
      <c r="I110" s="1960">
        <f>H110/$H$111</f>
        <v>0</v>
      </c>
      <c r="J110" s="1969">
        <v>0</v>
      </c>
      <c r="K110" s="1969">
        <f>FISCinyear!JI1041</f>
        <v>15.605755804562058</v>
      </c>
      <c r="L110" s="1969">
        <f t="shared" si="184"/>
        <v>15.605755804562058</v>
      </c>
      <c r="M110" s="1969">
        <v>0</v>
      </c>
      <c r="N110" s="1969">
        <f t="shared" si="190"/>
        <v>-5.3048785384799331</v>
      </c>
      <c r="O110" s="1848">
        <f>FISC!AJ1366</f>
        <v>10.300877266082125</v>
      </c>
      <c r="P110" s="1900">
        <f t="shared" si="214"/>
        <v>4.7573616284872993E-4</v>
      </c>
      <c r="Q110" s="1850">
        <f t="shared" si="169"/>
        <v>10.300877266082125</v>
      </c>
      <c r="R110" s="1936">
        <f t="shared" si="170"/>
        <v>4.7573616284872993E-4</v>
      </c>
      <c r="S110" s="1959">
        <v>0</v>
      </c>
      <c r="T110" s="1960">
        <f>S110/$S$111</f>
        <v>0</v>
      </c>
      <c r="U110" s="1988">
        <f>FISCinyear!JL1041</f>
        <v>-29.894637642721023</v>
      </c>
      <c r="V110" s="1988">
        <f t="shared" si="172"/>
        <v>29.894637642721023</v>
      </c>
      <c r="W110" s="1848">
        <f>FISC!AK1366</f>
        <v>0</v>
      </c>
      <c r="X110" s="1900">
        <f t="shared" si="136"/>
        <v>0</v>
      </c>
      <c r="Y110" s="2836">
        <f t="shared" si="157"/>
        <v>0</v>
      </c>
      <c r="Z110" s="1850">
        <f t="shared" si="173"/>
        <v>0</v>
      </c>
      <c r="AA110" s="1936">
        <f t="shared" si="204"/>
        <v>0</v>
      </c>
      <c r="AB110" s="1959">
        <v>0</v>
      </c>
      <c r="AC110" s="1960">
        <f>AB110/$AB$111</f>
        <v>0</v>
      </c>
      <c r="AD110" s="1988">
        <f>FISCinyear!JO1041</f>
        <v>0</v>
      </c>
      <c r="AE110" s="1988">
        <f t="shared" si="175"/>
        <v>0</v>
      </c>
      <c r="AF110" s="1848">
        <f>FISC!AL1366</f>
        <v>0</v>
      </c>
      <c r="AG110" s="1849">
        <f>AF110/$AF$111</f>
        <v>0</v>
      </c>
      <c r="AH110" s="2836">
        <f t="shared" si="159"/>
        <v>0</v>
      </c>
      <c r="AI110" s="1850">
        <f t="shared" si="176"/>
        <v>0</v>
      </c>
      <c r="AJ110" s="1936">
        <f t="shared" si="187"/>
        <v>0</v>
      </c>
      <c r="AK110" s="1959">
        <v>0</v>
      </c>
      <c r="AL110" s="1960">
        <f t="shared" si="239"/>
        <v>0</v>
      </c>
      <c r="AM110" s="1988">
        <f>FISCinyear!JR1041</f>
        <v>0</v>
      </c>
      <c r="AN110" s="1988">
        <f t="shared" si="178"/>
        <v>0</v>
      </c>
      <c r="AO110" s="1848">
        <f>FISC!AM1366</f>
        <v>0</v>
      </c>
      <c r="AP110" s="1849">
        <f>AO110/$AO$111</f>
        <v>0</v>
      </c>
      <c r="AQ110" s="2836">
        <f>AO110/$AK$111</f>
        <v>0</v>
      </c>
      <c r="AR110" s="1850">
        <f>AO110-AK110</f>
        <v>0</v>
      </c>
      <c r="AS110" s="1936">
        <f>AP110-AL110</f>
        <v>0</v>
      </c>
      <c r="AT110" s="1959">
        <v>0</v>
      </c>
      <c r="AU110" s="1960">
        <f t="shared" si="240"/>
        <v>0</v>
      </c>
      <c r="AV110" s="1988">
        <f>FISCinyear!JU1041</f>
        <v>0</v>
      </c>
      <c r="AW110" s="1988">
        <f t="shared" si="180"/>
        <v>0</v>
      </c>
      <c r="AX110" s="1848">
        <f>FISC!AN1366</f>
        <v>0</v>
      </c>
      <c r="AY110" s="1849">
        <f>AX110/$AX$111</f>
        <v>0</v>
      </c>
      <c r="AZ110" s="2836">
        <f t="shared" si="162"/>
        <v>0</v>
      </c>
      <c r="BA110" s="1850">
        <f t="shared" si="227"/>
        <v>0</v>
      </c>
      <c r="BB110" s="1936">
        <f t="shared" si="185"/>
        <v>0</v>
      </c>
      <c r="BC110" s="1959">
        <v>0</v>
      </c>
      <c r="BD110" s="1960">
        <f>BC110/$BC$111</f>
        <v>0</v>
      </c>
      <c r="BE110" s="1988">
        <f>FISCinyear!KC1041</f>
        <v>0</v>
      </c>
      <c r="BF110" s="1988">
        <f t="shared" si="182"/>
        <v>0</v>
      </c>
      <c r="BG110" s="1848">
        <f>FISC!AO1366</f>
        <v>0</v>
      </c>
      <c r="BH110" s="1849">
        <f>BG110/$BG$111</f>
        <v>0</v>
      </c>
      <c r="BI110" s="2836">
        <f t="shared" si="164"/>
        <v>0</v>
      </c>
      <c r="BJ110" s="1850">
        <f t="shared" si="226"/>
        <v>0</v>
      </c>
      <c r="BK110" s="1936">
        <f t="shared" si="133"/>
        <v>0</v>
      </c>
      <c r="BL110" s="1848">
        <f>FISC!AP1366</f>
        <v>0</v>
      </c>
      <c r="BM110" s="1849">
        <f t="shared" si="166"/>
        <v>0</v>
      </c>
      <c r="BO110" s="3087"/>
    </row>
    <row r="111" spans="1:67">
      <c r="A111" s="1855" t="s">
        <v>3569</v>
      </c>
      <c r="B111" s="1856">
        <v>17268.377825371259</v>
      </c>
      <c r="C111" s="1857">
        <v>0</v>
      </c>
      <c r="D111" s="1858">
        <f>FISC!AI421</f>
        <v>18547.5</v>
      </c>
      <c r="E111" s="1859">
        <v>0</v>
      </c>
      <c r="F111" s="1860">
        <f>D111-B111</f>
        <v>1279.122174628741</v>
      </c>
      <c r="G111" s="1860"/>
      <c r="H111" s="1876">
        <v>19643.162779448689</v>
      </c>
      <c r="I111" s="1876">
        <v>0</v>
      </c>
      <c r="J111" s="1970"/>
      <c r="K111" s="1970"/>
      <c r="L111" s="1860"/>
      <c r="M111" s="1860"/>
      <c r="N111" s="1860"/>
      <c r="O111" s="1858">
        <f>FISC!AJ421</f>
        <v>21652.5</v>
      </c>
      <c r="P111" s="1934">
        <v>0</v>
      </c>
      <c r="Q111" s="1860">
        <f>O111-H111</f>
        <v>2009.3372205513115</v>
      </c>
      <c r="R111" s="1860"/>
      <c r="S111" s="1876">
        <v>24413.458908105418</v>
      </c>
      <c r="T111" s="1876">
        <v>0</v>
      </c>
      <c r="U111" s="1970"/>
      <c r="V111" s="1970"/>
      <c r="W111" s="1858">
        <f>FISC!AK421</f>
        <v>25286.692679098727</v>
      </c>
      <c r="X111" s="1934">
        <v>0</v>
      </c>
      <c r="Y111" s="2837"/>
      <c r="Z111" s="1860">
        <f>W111-S111</f>
        <v>873.23377099330901</v>
      </c>
      <c r="AA111" s="1860"/>
      <c r="AB111" s="1876">
        <v>27691.924366452891</v>
      </c>
      <c r="AC111" s="1876">
        <v>0</v>
      </c>
      <c r="AD111" s="1970"/>
      <c r="AE111" s="1970"/>
      <c r="AF111" s="1858">
        <f>FISC!AL421</f>
        <v>28849.370738551253</v>
      </c>
      <c r="AG111" s="1859">
        <v>0</v>
      </c>
      <c r="AH111" s="2837"/>
      <c r="AI111" s="1860">
        <f>AF111-AB111</f>
        <v>1157.4463720983622</v>
      </c>
      <c r="AJ111" s="1860"/>
      <c r="AK111" s="1876">
        <v>31146.35765766909</v>
      </c>
      <c r="AL111" s="1876">
        <v>0</v>
      </c>
      <c r="AM111" s="1970"/>
      <c r="AN111" s="1970"/>
      <c r="AO111" s="1858">
        <f>FISC!AM421</f>
        <v>32496.933271959228</v>
      </c>
      <c r="AP111" s="1859">
        <v>0</v>
      </c>
      <c r="AQ111" s="2837"/>
      <c r="AR111" s="1860">
        <f>AO111-AK111</f>
        <v>1350.5756142901373</v>
      </c>
      <c r="AS111" s="1860"/>
      <c r="AT111" s="1876">
        <v>34913.865199038082</v>
      </c>
      <c r="AU111" s="1876">
        <v>0</v>
      </c>
      <c r="AV111" s="1970"/>
      <c r="AW111" s="1970"/>
      <c r="AX111" s="1858">
        <f>FISC!AN421</f>
        <v>36664.816080221681</v>
      </c>
      <c r="AY111" s="1859">
        <v>0</v>
      </c>
      <c r="AZ111" s="2837"/>
      <c r="BA111" s="1860">
        <f>AX111-AT111</f>
        <v>1750.9508811835985</v>
      </c>
      <c r="BB111" s="1860"/>
      <c r="BC111" s="1876">
        <v>39154.682745506419</v>
      </c>
      <c r="BD111" s="1876">
        <v>0</v>
      </c>
      <c r="BE111" s="1970"/>
      <c r="BF111" s="1970"/>
      <c r="BG111" s="1858">
        <f>FISC!AO421</f>
        <v>41241.139181209001</v>
      </c>
      <c r="BH111" s="1859">
        <v>0</v>
      </c>
      <c r="BI111" s="2837">
        <f t="shared" si="164"/>
        <v>1.0532875326627957</v>
      </c>
      <c r="BJ111" s="1860">
        <f>BG111-BC111</f>
        <v>2086.4564357025811</v>
      </c>
      <c r="BK111" s="1860"/>
      <c r="BL111" s="1858">
        <f>FISC!AP421</f>
        <v>45973.462349951267</v>
      </c>
      <c r="BM111" s="1859">
        <f t="shared" si="166"/>
        <v>1</v>
      </c>
    </row>
    <row r="112" spans="1:67">
      <c r="AO112" s="1853">
        <f>AR17*40%</f>
        <v>-39.402746745516232</v>
      </c>
    </row>
    <row r="113" spans="2:65">
      <c r="P113" s="1899"/>
      <c r="AA113" s="2004"/>
      <c r="AF113" s="1863"/>
      <c r="AI113" s="1854"/>
      <c r="AX113" s="3111"/>
      <c r="BG113" s="3112"/>
      <c r="BL113" s="3112"/>
    </row>
    <row r="114" spans="2:65" s="2849" customFormat="1">
      <c r="B114" s="2844"/>
      <c r="C114" s="2845"/>
      <c r="D114" s="1898"/>
      <c r="E114" s="2846"/>
      <c r="F114" s="2812"/>
      <c r="G114" s="2812"/>
      <c r="H114" s="2847"/>
      <c r="I114" s="2847"/>
      <c r="J114" s="2812"/>
      <c r="K114" s="2812"/>
      <c r="L114" s="2812"/>
      <c r="M114" s="2812"/>
      <c r="N114" s="2812"/>
      <c r="O114" s="1898"/>
      <c r="P114" s="1898"/>
      <c r="Q114" s="2812"/>
      <c r="R114" s="2812"/>
      <c r="S114" s="2847"/>
      <c r="T114" s="2847"/>
      <c r="U114" s="2812"/>
      <c r="V114" s="2812"/>
      <c r="W114" s="1898"/>
      <c r="X114" s="1898"/>
      <c r="Y114" s="2848"/>
      <c r="Z114" s="2812"/>
      <c r="AA114" s="2812"/>
      <c r="AB114" s="2847"/>
      <c r="AC114" s="2847"/>
      <c r="AD114" s="2812"/>
      <c r="AE114" s="2812"/>
      <c r="AF114" s="1898">
        <f>AF39+AF42+AF43</f>
        <v>356.90411177775002</v>
      </c>
      <c r="AG114" s="2846"/>
      <c r="AH114" s="2848"/>
      <c r="AI114" s="2812">
        <f>AI103-AI104</f>
        <v>-74.02945686851109</v>
      </c>
      <c r="AJ114" s="2812"/>
      <c r="AK114" s="2847"/>
      <c r="AL114" s="2847"/>
      <c r="AM114" s="2812"/>
      <c r="AN114" s="2812"/>
      <c r="AO114" s="1898"/>
      <c r="AP114" s="2846"/>
      <c r="AQ114" s="2848"/>
      <c r="AR114" s="2812"/>
      <c r="AS114" s="2812"/>
      <c r="AT114" s="2847"/>
      <c r="AU114" s="2847"/>
      <c r="AV114" s="2812"/>
      <c r="AW114" s="2812"/>
      <c r="AX114" s="1868"/>
      <c r="AY114" s="2846"/>
      <c r="AZ114" s="2848"/>
      <c r="BA114" s="2812"/>
      <c r="BB114" s="2812"/>
      <c r="BC114" s="2847"/>
      <c r="BD114" s="2847"/>
      <c r="BE114" s="2812"/>
      <c r="BF114" s="2812"/>
      <c r="BG114" s="3112"/>
      <c r="BH114" s="2846"/>
      <c r="BI114" s="2848"/>
      <c r="BJ114" s="2812"/>
      <c r="BK114" s="2812"/>
      <c r="BL114" s="3112"/>
      <c r="BM114" s="2846"/>
    </row>
    <row r="115" spans="2:65">
      <c r="F115" s="1854"/>
      <c r="G115" s="1854"/>
      <c r="L115" s="1877"/>
      <c r="M115" s="1877"/>
      <c r="N115" s="1877"/>
      <c r="O115" s="1863"/>
      <c r="P115" s="1869"/>
      <c r="Q115" s="1877"/>
      <c r="R115" s="1877"/>
      <c r="Z115" s="3050">
        <f>Z103-Z108+Z72+(Z4-Z24)-Z93</f>
        <v>132.52742537739203</v>
      </c>
      <c r="AA115" s="1877"/>
      <c r="AF115" s="1853">
        <v>69.875441061041386</v>
      </c>
      <c r="AI115" s="1854"/>
      <c r="AP115" s="1895"/>
      <c r="AR115" s="1854"/>
      <c r="AX115" s="3111"/>
      <c r="AY115" s="1895"/>
      <c r="BA115" s="1854"/>
      <c r="BG115" s="3111"/>
      <c r="BH115" s="1895"/>
      <c r="BJ115" s="1854"/>
      <c r="BL115" s="3111"/>
      <c r="BM115" s="1895"/>
    </row>
    <row r="116" spans="2:65">
      <c r="N116" s="1878"/>
      <c r="O116" s="1868"/>
      <c r="P116" s="1868"/>
      <c r="Q116" s="1878"/>
      <c r="R116" s="1878"/>
      <c r="W116" s="1863"/>
      <c r="Z116" s="1989"/>
      <c r="AA116" s="1877"/>
      <c r="AF116" s="3051">
        <f>AF114+AF115</f>
        <v>426.7795528387914</v>
      </c>
      <c r="AG116" s="1867"/>
      <c r="AI116" s="1854"/>
      <c r="AO116" s="3051">
        <f>AO5-'[2]March 2026 version'!$I$26</f>
        <v>0</v>
      </c>
      <c r="AP116" s="1867"/>
      <c r="AX116" s="3051">
        <f>AX5-'[2]March 2026 version'!$J$26</f>
        <v>0</v>
      </c>
      <c r="AY116" s="1867"/>
      <c r="BG116" s="3051">
        <f>BG5-'[2]March 2026 version'!$K$26</f>
        <v>-2.7384937552051269</v>
      </c>
      <c r="BH116" s="1867"/>
      <c r="BL116" s="3051"/>
      <c r="BM116" s="1867"/>
    </row>
    <row r="117" spans="2:65">
      <c r="H117" s="1961"/>
      <c r="O117" s="1863"/>
      <c r="P117" s="1863"/>
      <c r="Q117" s="1877"/>
      <c r="R117" s="1877"/>
      <c r="W117" s="1898"/>
      <c r="Z117" s="2812"/>
      <c r="AA117" s="1854"/>
      <c r="AI117" s="1854"/>
      <c r="AJ117" s="1854"/>
      <c r="AS117" s="1854"/>
      <c r="BB117" s="1854"/>
      <c r="BK117" s="1854"/>
    </row>
    <row r="118" spans="2:65">
      <c r="W118" s="1863"/>
      <c r="Z118" s="2823"/>
      <c r="AF118" s="1863"/>
      <c r="AI118" s="1854">
        <f>AI103-AI108</f>
        <v>-179.06466546379932</v>
      </c>
      <c r="AO118" s="1863"/>
      <c r="AX118" s="1863"/>
      <c r="BG118" s="1863"/>
      <c r="BL118" s="1863"/>
    </row>
    <row r="119" spans="2:65">
      <c r="W119" s="1863"/>
      <c r="Z119" s="2823"/>
      <c r="AF119" s="1863"/>
      <c r="AI119" s="2823"/>
      <c r="AO119" s="1863"/>
      <c r="AR119" s="2823"/>
      <c r="AX119" s="1863"/>
      <c r="BA119" s="2823"/>
      <c r="BG119" s="1863"/>
      <c r="BJ119" s="2823"/>
      <c r="BL119" s="1863"/>
    </row>
    <row r="120" spans="2:65">
      <c r="P120" s="1863"/>
      <c r="S120" s="2825"/>
      <c r="W120" s="1863"/>
      <c r="Z120" s="2823"/>
      <c r="AP120" s="1867"/>
      <c r="AY120" s="1867"/>
      <c r="BH120" s="1867"/>
      <c r="BM120" s="1867"/>
    </row>
    <row r="121" spans="2:65">
      <c r="P121" s="1863"/>
      <c r="W121" s="1863"/>
      <c r="Z121" s="2824">
        <f>Z66+Z32</f>
        <v>3.1326860068802489</v>
      </c>
      <c r="AI121" s="2824"/>
      <c r="AP121" s="1867"/>
      <c r="AR121" s="2824"/>
      <c r="AY121" s="1867"/>
      <c r="BA121" s="2824"/>
      <c r="BH121" s="1867"/>
      <c r="BJ121" s="2824"/>
      <c r="BM121" s="1867"/>
    </row>
    <row r="122" spans="2:65">
      <c r="P122" s="1863"/>
      <c r="Q122" s="1877"/>
      <c r="R122" s="1877"/>
      <c r="Z122" s="1877"/>
      <c r="AI122" s="1877"/>
      <c r="AR122" s="1877"/>
      <c r="BA122" s="1877"/>
      <c r="BJ122" s="1877"/>
    </row>
    <row r="123" spans="2:65">
      <c r="W123" s="1869"/>
      <c r="Z123" s="1877"/>
    </row>
    <row r="124" spans="2:65">
      <c r="Q124" s="1877"/>
      <c r="R124" s="1877"/>
      <c r="Y124" s="2842"/>
      <c r="AH124" s="2842"/>
      <c r="AQ124" s="2842"/>
      <c r="AZ124" s="2842"/>
      <c r="BI124" s="2842"/>
    </row>
    <row r="125" spans="2:65">
      <c r="Y125" s="2839"/>
      <c r="AH125" s="2839"/>
      <c r="AQ125" s="2839"/>
      <c r="AZ125" s="2839"/>
      <c r="BI125" s="2839"/>
    </row>
    <row r="126" spans="2:65">
      <c r="W126" s="1863"/>
    </row>
    <row r="127" spans="2:65">
      <c r="Y127" s="2843"/>
      <c r="AH127" s="2843"/>
      <c r="AQ127" s="2843"/>
      <c r="AZ127" s="2843"/>
      <c r="BI127" s="2843"/>
    </row>
    <row r="128" spans="2:65">
      <c r="Y128" s="2839"/>
      <c r="AH128" s="2839"/>
      <c r="AQ128" s="2839"/>
      <c r="AZ128" s="2839"/>
      <c r="BI128" s="2839"/>
    </row>
    <row r="131" spans="23:61">
      <c r="W131" s="1863"/>
      <c r="X131" s="1863"/>
      <c r="Y131" s="2839"/>
      <c r="AH131" s="2839"/>
      <c r="AQ131" s="2839"/>
      <c r="AZ131" s="2839"/>
      <c r="BI131" s="2839"/>
    </row>
    <row r="135" spans="23:61">
      <c r="Z135" s="1854"/>
    </row>
  </sheetData>
  <mergeCells count="49">
    <mergeCell ref="BC1:BK1"/>
    <mergeCell ref="BK2:BK3"/>
    <mergeCell ref="AI2:AI3"/>
    <mergeCell ref="AK2:AK3"/>
    <mergeCell ref="AL2:AL3"/>
    <mergeCell ref="AY2:AY3"/>
    <mergeCell ref="BB2:BB3"/>
    <mergeCell ref="BC2:BC3"/>
    <mergeCell ref="BD2:BD3"/>
    <mergeCell ref="BG2:BG3"/>
    <mergeCell ref="BH2:BH3"/>
    <mergeCell ref="BJ2:BJ3"/>
    <mergeCell ref="G2:G3"/>
    <mergeCell ref="B1:F1"/>
    <mergeCell ref="B2:B3"/>
    <mergeCell ref="C2:C3"/>
    <mergeCell ref="D2:D3"/>
    <mergeCell ref="E2:E3"/>
    <mergeCell ref="F2:F3"/>
    <mergeCell ref="AT2:AT3"/>
    <mergeCell ref="AU2:AU3"/>
    <mergeCell ref="AX2:AX3"/>
    <mergeCell ref="H1:R1"/>
    <mergeCell ref="AA2:AA3"/>
    <mergeCell ref="S2:S3"/>
    <mergeCell ref="T2:T3"/>
    <mergeCell ref="W2:W3"/>
    <mergeCell ref="O2:O3"/>
    <mergeCell ref="P2:P3"/>
    <mergeCell ref="S1:Z1"/>
    <mergeCell ref="AK1:AS1"/>
    <mergeCell ref="AB1:AJ1"/>
    <mergeCell ref="AT1:BB1"/>
    <mergeCell ref="BL2:BL3"/>
    <mergeCell ref="BM2:BM3"/>
    <mergeCell ref="BL1:BM1"/>
    <mergeCell ref="A2:A3"/>
    <mergeCell ref="AJ2:AJ3"/>
    <mergeCell ref="BA2:BA3"/>
    <mergeCell ref="AO2:AO3"/>
    <mergeCell ref="AP2:AP3"/>
    <mergeCell ref="AR2:AR3"/>
    <mergeCell ref="AS2:AS3"/>
    <mergeCell ref="AF2:AF3"/>
    <mergeCell ref="AG2:AG3"/>
    <mergeCell ref="AB2:AB3"/>
    <mergeCell ref="AC2:AC3"/>
    <mergeCell ref="X2:X3"/>
    <mergeCell ref="Z2:Z3"/>
  </mergeCells>
  <phoneticPr fontId="76" type="noConversion"/>
  <pageMargins left="0.70866141732283472" right="0.70866141732283472" top="0.74803149606299213" bottom="0.74803149606299213" header="0.31496062992125984" footer="0.31496062992125984"/>
  <pageSetup paperSize="9" scale="65" fitToHeight="0" orientation="landscape" r:id="rId1"/>
  <colBreaks count="1" manualBreakCount="1">
    <brk id="45" max="110"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4EEC7-3CBC-440A-9402-865B41F9AA0A}">
  <sheetPr>
    <tabColor rgb="FFFF0000"/>
    <pageSetUpPr fitToPage="1"/>
  </sheetPr>
  <dimension ref="A1:AB219"/>
  <sheetViews>
    <sheetView zoomScale="90" zoomScaleNormal="90" zoomScaleSheetLayoutView="70" workbookViewId="0">
      <pane xSplit="4" ySplit="4" topLeftCell="P47" activePane="bottomRight" state="frozen"/>
      <selection pane="topRight" activeCell="E1" sqref="E1"/>
      <selection pane="bottomLeft" activeCell="A5" sqref="A5"/>
      <selection pane="bottomRight" activeCell="P50" sqref="P50"/>
    </sheetView>
  </sheetViews>
  <sheetFormatPr defaultColWidth="9.1015625" defaultRowHeight="20.399999999999999"/>
  <cols>
    <col min="1" max="1" width="95.47265625" style="2854" bestFit="1" customWidth="1"/>
    <col min="2" max="2" width="23.3671875" style="2854" hidden="1" customWidth="1"/>
    <col min="3" max="3" width="19.83984375" style="2854" hidden="1" customWidth="1"/>
    <col min="4" max="4" width="19.68359375" style="2854" hidden="1" customWidth="1"/>
    <col min="5" max="5" width="11.26171875" style="2855" hidden="1" customWidth="1"/>
    <col min="6" max="6" width="20.20703125" style="2854" hidden="1" customWidth="1"/>
    <col min="7" max="7" width="27" style="2854" hidden="1" customWidth="1"/>
    <col min="8" max="8" width="18.7890625" style="2854" hidden="1" customWidth="1"/>
    <col min="9" max="9" width="25.41796875" style="2854" hidden="1" customWidth="1"/>
    <col min="10" max="10" width="27.3125" style="2854" hidden="1" customWidth="1"/>
    <col min="11" max="11" width="26" style="2854" hidden="1" customWidth="1"/>
    <col min="12" max="12" width="27.3125" style="2854" hidden="1" customWidth="1"/>
    <col min="13" max="13" width="26.62890625" style="2854" hidden="1" customWidth="1"/>
    <col min="14" max="14" width="27.3125" style="2854" hidden="1" customWidth="1"/>
    <col min="15" max="15" width="27.3125" style="2854" bestFit="1" customWidth="1"/>
    <col min="16" max="23" width="27.3125" style="2854" customWidth="1"/>
    <col min="24" max="25" width="24" style="2854" customWidth="1"/>
    <col min="26" max="28" width="15.3671875" style="2854" bestFit="1" customWidth="1"/>
    <col min="29" max="29" width="10.47265625" style="2854" customWidth="1"/>
    <col min="30" max="16384" width="9.1015625" style="2854"/>
  </cols>
  <sheetData>
    <row r="1" spans="1:28">
      <c r="A1" s="2853" t="s">
        <v>4005</v>
      </c>
      <c r="L1" s="2856">
        <f>L6/L58</f>
        <v>0.51273127360795945</v>
      </c>
      <c r="O1" s="2856">
        <f>O6/O58</f>
        <v>0.51588090326206271</v>
      </c>
      <c r="P1" s="2856">
        <f>P6/P58</f>
        <v>0.5257878808773101</v>
      </c>
      <c r="Q1" s="2856"/>
    </row>
    <row r="2" spans="1:28">
      <c r="A2" s="2857" t="s">
        <v>4006</v>
      </c>
    </row>
    <row r="3" spans="1:28">
      <c r="A3" s="3154" t="s">
        <v>4007</v>
      </c>
      <c r="B3" s="2858" t="s">
        <v>1088</v>
      </c>
      <c r="C3" s="2858" t="s">
        <v>1089</v>
      </c>
      <c r="D3" s="2858" t="s">
        <v>1089</v>
      </c>
      <c r="E3" s="2859"/>
      <c r="F3" s="2858" t="s">
        <v>1090</v>
      </c>
      <c r="G3" s="2858" t="s">
        <v>1090</v>
      </c>
      <c r="H3" s="2858"/>
      <c r="I3" s="2858" t="s">
        <v>1161</v>
      </c>
      <c r="J3" s="3152" t="s">
        <v>1161</v>
      </c>
      <c r="K3" s="3152"/>
      <c r="L3" s="3152"/>
      <c r="M3" s="3152"/>
      <c r="N3" s="3156" t="s">
        <v>1162</v>
      </c>
      <c r="O3" s="3156"/>
      <c r="P3" s="3156"/>
      <c r="Q3" s="3156"/>
      <c r="R3" s="3156"/>
      <c r="S3" s="3152" t="s">
        <v>1163</v>
      </c>
      <c r="T3" s="3152"/>
      <c r="U3" s="3152"/>
      <c r="V3" s="2858" t="s">
        <v>1164</v>
      </c>
      <c r="W3" s="2858" t="s">
        <v>3489</v>
      </c>
    </row>
    <row r="4" spans="1:28" ht="61.2">
      <c r="A4" s="3155"/>
      <c r="B4" s="2860" t="s">
        <v>4008</v>
      </c>
      <c r="C4" s="2860" t="s">
        <v>4009</v>
      </c>
      <c r="D4" s="2860" t="s">
        <v>4010</v>
      </c>
      <c r="E4" s="2861" t="s">
        <v>4011</v>
      </c>
      <c r="F4" s="2862" t="s">
        <v>4012</v>
      </c>
      <c r="G4" s="2863" t="s">
        <v>4013</v>
      </c>
      <c r="H4" s="2864" t="s">
        <v>4014</v>
      </c>
      <c r="I4" s="2862" t="s">
        <v>4015</v>
      </c>
      <c r="J4" s="2863" t="s">
        <v>4016</v>
      </c>
      <c r="K4" s="2864" t="s">
        <v>4017</v>
      </c>
      <c r="L4" s="2865" t="s">
        <v>4018</v>
      </c>
      <c r="M4" s="2866" t="s">
        <v>4011</v>
      </c>
      <c r="N4" s="2867" t="s">
        <v>4019</v>
      </c>
      <c r="O4" s="2868" t="s">
        <v>4020</v>
      </c>
      <c r="P4" s="2868" t="s">
        <v>4021</v>
      </c>
      <c r="Q4" s="2868" t="s">
        <v>4155</v>
      </c>
      <c r="R4" s="2869" t="s">
        <v>4022</v>
      </c>
      <c r="S4" s="2868" t="s">
        <v>4156</v>
      </c>
      <c r="T4" s="2868" t="s">
        <v>4020</v>
      </c>
      <c r="U4" s="2869" t="s">
        <v>4022</v>
      </c>
      <c r="V4" s="2860" t="s">
        <v>4023</v>
      </c>
      <c r="W4" s="2860" t="s">
        <v>4023</v>
      </c>
      <c r="Z4" s="2870"/>
      <c r="AA4" s="2870"/>
    </row>
    <row r="5" spans="1:28" s="2873" customFormat="1">
      <c r="A5" s="2871" t="s">
        <v>4024</v>
      </c>
      <c r="B5" s="2872">
        <f>B6+B17</f>
        <v>2147.9583512642648</v>
      </c>
      <c r="C5" s="2872">
        <f>C6+C17</f>
        <v>2372.3624522773939</v>
      </c>
      <c r="D5" s="2872">
        <v>2601.787512422386</v>
      </c>
      <c r="E5" s="2872">
        <f t="shared" ref="E5" si="0">E6+E17</f>
        <v>229.42506014499233</v>
      </c>
      <c r="F5" s="2872">
        <v>2956.1174395961043</v>
      </c>
      <c r="G5" s="2872">
        <v>2970.7123401945037</v>
      </c>
      <c r="H5" s="2872">
        <f>G5-F5</f>
        <v>14.594900598399363</v>
      </c>
      <c r="I5" s="2872">
        <v>3414.3834684629082</v>
      </c>
      <c r="J5" s="2872">
        <v>3442.8215853839697</v>
      </c>
      <c r="K5" s="2872">
        <f>J5-I5</f>
        <v>28.438116921061464</v>
      </c>
      <c r="L5" s="2872">
        <f>L6+L17</f>
        <v>3526.3515503135509</v>
      </c>
      <c r="M5" s="2872">
        <f>L5-J5</f>
        <v>83.529964929581183</v>
      </c>
      <c r="N5" s="2872">
        <v>4037.3600981911268</v>
      </c>
      <c r="O5" s="2872">
        <f t="shared" ref="O5:P5" si="1">O6+O17</f>
        <v>4105.170981784212</v>
      </c>
      <c r="P5" s="2872">
        <f t="shared" si="1"/>
        <v>4146.1557032819537</v>
      </c>
      <c r="Q5" s="2872">
        <f t="shared" ref="Q5" si="2">Q6+Q17</f>
        <v>4177.7211375468551</v>
      </c>
      <c r="R5" s="2872">
        <f>Q5-P5</f>
        <v>31.565434264901342</v>
      </c>
      <c r="S5" s="2872">
        <f t="shared" ref="S5:V5" si="3">S6+S17</f>
        <v>4957.8762965964797</v>
      </c>
      <c r="T5" s="2872">
        <f t="shared" si="3"/>
        <v>5007.153300602733</v>
      </c>
      <c r="U5" s="2872">
        <f>T5-S5</f>
        <v>49.277004006253264</v>
      </c>
      <c r="V5" s="2872">
        <f t="shared" si="3"/>
        <v>5775.2104660030072</v>
      </c>
      <c r="W5" s="2872">
        <f t="shared" ref="W5" si="4">W6+W17</f>
        <v>6580.5103989005129</v>
      </c>
      <c r="Y5" s="2874"/>
      <c r="AB5" s="2875"/>
    </row>
    <row r="6" spans="1:28" ht="18.899999999999999" customHeight="1">
      <c r="A6" s="3042" t="s">
        <v>4161</v>
      </c>
      <c r="B6" s="2877">
        <v>1759.577292905986</v>
      </c>
      <c r="C6" s="2877">
        <f>C7+C8+C9+C12</f>
        <v>2067.7401928151539</v>
      </c>
      <c r="D6" s="2877">
        <v>2245.87170765374</v>
      </c>
      <c r="E6" s="2877">
        <f t="shared" ref="E6" si="5">E7+E8+E9+E12</f>
        <v>178.13151483858618</v>
      </c>
      <c r="F6" s="2877">
        <v>2566.4846311503966</v>
      </c>
      <c r="G6" s="2877">
        <v>2558.016562259465</v>
      </c>
      <c r="H6" s="2877">
        <f t="shared" ref="H6:H51" si="6">G6-F6</f>
        <v>-8.4680688909315904</v>
      </c>
      <c r="I6" s="2877">
        <v>2970.3781699362967</v>
      </c>
      <c r="J6" s="2877">
        <v>2950.3781699362967</v>
      </c>
      <c r="K6" s="2878">
        <f t="shared" ref="K6:K76" si="7">J6-I6</f>
        <v>-20</v>
      </c>
      <c r="L6" s="2878">
        <f>L7+L8+L9+L12</f>
        <v>3034.5993372652301</v>
      </c>
      <c r="M6" s="2878">
        <f t="shared" ref="M6:M47" si="8">L6-J6</f>
        <v>84.221167328933461</v>
      </c>
      <c r="N6" s="2877">
        <v>3543.15715576205</v>
      </c>
      <c r="O6" s="2877">
        <f t="shared" ref="O6" si="9">O7+O8+O9+O12</f>
        <v>3627.9512255964291</v>
      </c>
      <c r="P6" s="2877">
        <f>P7+P8+P9+P12</f>
        <v>3655.3287224955698</v>
      </c>
      <c r="Q6" s="2877">
        <f>Q7+Q8+Q9+Q12</f>
        <v>3691.0460823807857</v>
      </c>
      <c r="R6" s="2877">
        <f t="shared" ref="R6:R70" si="10">Q6-P6</f>
        <v>35.717359885215956</v>
      </c>
      <c r="S6" s="2877">
        <f>S7+S8+S9+S12</f>
        <v>4390.8761382810153</v>
      </c>
      <c r="T6" s="2877">
        <f>T7+T8+T9+T12</f>
        <v>4426.5640805578669</v>
      </c>
      <c r="U6" s="2877">
        <f t="shared" ref="U6:U70" si="11">T6-S6</f>
        <v>35.687942276851572</v>
      </c>
      <c r="V6" s="2877">
        <f>V7+V8+V9+V12</f>
        <v>5119.5843378557565</v>
      </c>
      <c r="W6" s="2877">
        <f>W7+W8+W9+W12</f>
        <v>5853.8013369270875</v>
      </c>
      <c r="Z6" s="2879"/>
      <c r="AB6" s="2880"/>
    </row>
    <row r="7" spans="1:28">
      <c r="A7" s="2881" t="s">
        <v>463</v>
      </c>
      <c r="B7" s="2882">
        <v>795.69815768740898</v>
      </c>
      <c r="C7" s="2883">
        <v>903.43892373246274</v>
      </c>
      <c r="D7" s="2883">
        <v>1009.4954021109789</v>
      </c>
      <c r="E7" s="2884">
        <f t="shared" ref="E7:E85" si="12">D7-C7</f>
        <v>106.0564783785162</v>
      </c>
      <c r="F7" s="2883">
        <v>1106.7198944702955</v>
      </c>
      <c r="G7" s="2883">
        <v>1200.1197066034254</v>
      </c>
      <c r="H7" s="2883">
        <f t="shared" si="6"/>
        <v>93.399812133129899</v>
      </c>
      <c r="I7" s="2883">
        <v>1401.4480315584819</v>
      </c>
      <c r="J7" s="2883">
        <v>1381.4690962109435</v>
      </c>
      <c r="K7" s="2883">
        <f t="shared" si="7"/>
        <v>-19.978935347538481</v>
      </c>
      <c r="L7" s="2883">
        <v>1354.0825431810279</v>
      </c>
      <c r="M7" s="2883">
        <f t="shared" si="8"/>
        <v>-27.386553029915603</v>
      </c>
      <c r="N7" s="2883">
        <v>1652.2862154091508</v>
      </c>
      <c r="O7" s="2883">
        <v>1591.1624892315231</v>
      </c>
      <c r="P7" s="2883">
        <v>1561.3800083481963</v>
      </c>
      <c r="Q7" s="2883">
        <f>FISC!AK1062-FISC!AK1066</f>
        <v>1540.5621212199203</v>
      </c>
      <c r="R7" s="2883">
        <f t="shared" si="10"/>
        <v>-20.81788712827597</v>
      </c>
      <c r="S7" s="2883">
        <v>1908.4625838044963</v>
      </c>
      <c r="T7" s="2883">
        <f>FISC!AL1062-FISC!AL1066</f>
        <v>1844.9808453241799</v>
      </c>
      <c r="U7" s="2883">
        <f t="shared" si="11"/>
        <v>-63.48173848031638</v>
      </c>
      <c r="V7" s="2883">
        <f>FISC!AM1062-FISC!AM1066</f>
        <v>2149.9547020184618</v>
      </c>
      <c r="W7" s="2883">
        <f>FISC!AN1062-FISC!AN1066</f>
        <v>2465.552499816205</v>
      </c>
      <c r="X7" s="2856"/>
      <c r="Y7" s="2856"/>
    </row>
    <row r="8" spans="1:28">
      <c r="A8" s="2881" t="s">
        <v>4025</v>
      </c>
      <c r="B8" s="2883">
        <v>4.4565531410000006</v>
      </c>
      <c r="C8" s="2883">
        <v>12.741256783949087</v>
      </c>
      <c r="D8" s="2883">
        <v>1.7226792781215359</v>
      </c>
      <c r="E8" s="2884">
        <f t="shared" si="12"/>
        <v>-11.018577505827551</v>
      </c>
      <c r="F8" s="2883">
        <v>18.946946622512783</v>
      </c>
      <c r="G8" s="2883">
        <v>6.6732939594874274</v>
      </c>
      <c r="H8" s="2883">
        <f t="shared" si="6"/>
        <v>-12.273652663025356</v>
      </c>
      <c r="I8" s="2883">
        <v>7.0706170328244369</v>
      </c>
      <c r="J8" s="2883">
        <v>7.070617032824444</v>
      </c>
      <c r="K8" s="2883">
        <f t="shared" si="7"/>
        <v>7.1054273576010019E-15</v>
      </c>
      <c r="L8" s="2883">
        <v>7.2785764565400513</v>
      </c>
      <c r="M8" s="2883">
        <f t="shared" si="8"/>
        <v>0.20795942371560727</v>
      </c>
      <c r="N8" s="2883">
        <v>8.4582658944597213</v>
      </c>
      <c r="O8" s="2883">
        <v>9.7693483313387759</v>
      </c>
      <c r="P8" s="2883">
        <v>14.172803975498688</v>
      </c>
      <c r="Q8" s="2883">
        <f>FISC!AK1070-FISC!AK1072</f>
        <v>11.52919348194348</v>
      </c>
      <c r="R8" s="2883">
        <f t="shared" si="10"/>
        <v>-2.6436104935552081</v>
      </c>
      <c r="S8" s="2883">
        <v>15.914247917249398</v>
      </c>
      <c r="T8" s="2883">
        <f>FISC!AL1070-FISC!AL1072</f>
        <v>13.927875384411102</v>
      </c>
      <c r="U8" s="2883">
        <f t="shared" si="11"/>
        <v>-1.9863725328382955</v>
      </c>
      <c r="V8" s="2883">
        <f>FISC!AM1070-FISC!AM1072</f>
        <v>16.032836993694424</v>
      </c>
      <c r="W8" s="2883">
        <f>FISC!AN1070-FISC!AN1072</f>
        <v>18.490211891286137</v>
      </c>
      <c r="X8" s="2856"/>
      <c r="Y8" s="2856"/>
    </row>
    <row r="9" spans="1:28">
      <c r="A9" s="2881" t="s">
        <v>475</v>
      </c>
      <c r="B9" s="2883">
        <v>830.17090463177294</v>
      </c>
      <c r="C9" s="2883">
        <v>972.27492777846646</v>
      </c>
      <c r="D9" s="2883">
        <v>1023.022998822975</v>
      </c>
      <c r="E9" s="2884">
        <f t="shared" si="12"/>
        <v>50.748071044508492</v>
      </c>
      <c r="F9" s="2883">
        <v>1187.453182559412</v>
      </c>
      <c r="G9" s="2883">
        <v>1164.3291115430495</v>
      </c>
      <c r="H9" s="2883">
        <f t="shared" si="6"/>
        <v>-23.12407101636245</v>
      </c>
      <c r="I9" s="2883">
        <v>1352.6652605271474</v>
      </c>
      <c r="J9" s="2883">
        <v>1352.6441958746859</v>
      </c>
      <c r="K9" s="2883">
        <f t="shared" si="7"/>
        <v>-2.1064652461518563E-2</v>
      </c>
      <c r="L9" s="2883">
        <v>1450.5012654831655</v>
      </c>
      <c r="M9" s="2883">
        <f t="shared" si="8"/>
        <v>97.857069608479605</v>
      </c>
      <c r="N9" s="2883">
        <v>1642.1628485411311</v>
      </c>
      <c r="O9" s="2883">
        <v>1787.9455033701854</v>
      </c>
      <c r="P9" s="2883">
        <v>1827.3351064635065</v>
      </c>
      <c r="Q9" s="2883">
        <f>FISC!AK1077-FISC!AK1096</f>
        <v>1863.3042916213751</v>
      </c>
      <c r="R9" s="2883">
        <f t="shared" si="10"/>
        <v>35.969185157868651</v>
      </c>
      <c r="S9" s="2883">
        <v>2159.561065961464</v>
      </c>
      <c r="T9" s="2883">
        <f>FISC!AL1077-FISC!AL1096</f>
        <v>2242.9132193358364</v>
      </c>
      <c r="U9" s="2883">
        <f t="shared" si="11"/>
        <v>83.352153374372392</v>
      </c>
      <c r="V9" s="2883">
        <f>FISC!AM1077-FISC!AM1096</f>
        <v>2584.2072279218801</v>
      </c>
      <c r="W9" s="2883">
        <f>FISC!AN1077-FISC!AN1096</f>
        <v>2948.9534734463327</v>
      </c>
      <c r="X9" s="2856"/>
      <c r="Y9" s="2856"/>
    </row>
    <row r="10" spans="1:28" s="2855" customFormat="1">
      <c r="A10" s="2885" t="s">
        <v>4026</v>
      </c>
      <c r="B10" s="2886">
        <v>13.138528067999999</v>
      </c>
      <c r="C10" s="2886">
        <v>13.416344653787307</v>
      </c>
      <c r="D10" s="2886">
        <v>15.130781493000001</v>
      </c>
      <c r="E10" s="2884">
        <f t="shared" si="12"/>
        <v>1.7144368392126932</v>
      </c>
      <c r="F10" s="2886">
        <v>16.909879241836641</v>
      </c>
      <c r="G10" s="2886">
        <v>16.488193297069611</v>
      </c>
      <c r="H10" s="2886">
        <f t="shared" si="6"/>
        <v>-0.42168594476703092</v>
      </c>
      <c r="I10" s="2886">
        <v>17.800620953516621</v>
      </c>
      <c r="J10" s="2886">
        <v>17.800620953516621</v>
      </c>
      <c r="K10" s="2886">
        <f t="shared" si="7"/>
        <v>0</v>
      </c>
      <c r="L10" s="2886">
        <v>17.796982810055678</v>
      </c>
      <c r="M10" s="2886">
        <f t="shared" si="8"/>
        <v>-3.6381434609431551E-3</v>
      </c>
      <c r="N10" s="2886">
        <v>21.294094194660524</v>
      </c>
      <c r="O10" s="2886">
        <v>20.330243796216074</v>
      </c>
      <c r="P10" s="2886">
        <v>20.330243796216074</v>
      </c>
      <c r="Q10" s="2886">
        <f>FISC!AK1088</f>
        <v>20.330243796216074</v>
      </c>
      <c r="R10" s="2886">
        <f t="shared" si="10"/>
        <v>0</v>
      </c>
      <c r="S10" s="2886">
        <v>21.510252886349313</v>
      </c>
      <c r="T10" s="2886">
        <f>FISC!AL1088</f>
        <v>21.510252886349313</v>
      </c>
      <c r="U10" s="2886">
        <f t="shared" si="11"/>
        <v>0</v>
      </c>
      <c r="V10" s="2886">
        <f>FISC!AM1088</f>
        <v>25.661199018147244</v>
      </c>
      <c r="W10" s="2886">
        <f>FISC!AN1088</f>
        <v>28.715416217827794</v>
      </c>
      <c r="X10" s="2887"/>
      <c r="Y10" s="2887"/>
    </row>
    <row r="11" spans="1:28" s="2855" customFormat="1">
      <c r="A11" s="2888" t="s">
        <v>4027</v>
      </c>
      <c r="B11" s="2886"/>
      <c r="C11" s="2886"/>
      <c r="D11" s="2886"/>
      <c r="E11" s="2884"/>
      <c r="F11" s="2886">
        <v>33</v>
      </c>
      <c r="G11" s="2886">
        <v>33</v>
      </c>
      <c r="H11" s="2886">
        <f t="shared" si="6"/>
        <v>0</v>
      </c>
      <c r="I11" s="2886"/>
      <c r="J11" s="2886"/>
      <c r="K11" s="2886">
        <f t="shared" si="7"/>
        <v>0</v>
      </c>
      <c r="L11" s="2886"/>
      <c r="M11" s="2886">
        <f t="shared" si="8"/>
        <v>0</v>
      </c>
      <c r="N11" s="2886"/>
      <c r="O11" s="2886"/>
      <c r="P11" s="2886"/>
      <c r="Q11" s="2886"/>
      <c r="R11" s="2886"/>
      <c r="S11" s="2886"/>
      <c r="T11" s="2886"/>
      <c r="U11" s="2886">
        <f t="shared" si="11"/>
        <v>0</v>
      </c>
      <c r="V11" s="2886"/>
      <c r="W11" s="2886"/>
      <c r="X11" s="2887"/>
      <c r="Y11" s="2887"/>
    </row>
    <row r="12" spans="1:28">
      <c r="A12" s="2881" t="s">
        <v>487</v>
      </c>
      <c r="B12" s="2883">
        <v>129.25167744580421</v>
      </c>
      <c r="C12" s="2883">
        <v>179.28508452027566</v>
      </c>
      <c r="D12" s="2883">
        <v>211.6306274416647</v>
      </c>
      <c r="E12" s="2884">
        <f t="shared" si="12"/>
        <v>32.34554292138904</v>
      </c>
      <c r="F12" s="2883">
        <v>253.36460749817653</v>
      </c>
      <c r="G12" s="2883">
        <v>186.89445015350239</v>
      </c>
      <c r="H12" s="2883">
        <f t="shared" si="6"/>
        <v>-66.470157344674135</v>
      </c>
      <c r="I12" s="2883">
        <v>209.19426081784277</v>
      </c>
      <c r="J12" s="2883">
        <v>209.19426081784277</v>
      </c>
      <c r="K12" s="2883">
        <f t="shared" si="7"/>
        <v>0</v>
      </c>
      <c r="L12" s="2883">
        <v>222.73695214449668</v>
      </c>
      <c r="M12" s="2883">
        <f t="shared" si="8"/>
        <v>13.542691326653909</v>
      </c>
      <c r="N12" s="2883">
        <v>240.24982591730819</v>
      </c>
      <c r="O12" s="2883">
        <v>239.07388466338222</v>
      </c>
      <c r="P12" s="2883">
        <v>252.44080370836795</v>
      </c>
      <c r="Q12" s="2883">
        <f>FISC!AK1099</f>
        <v>275.65047605754671</v>
      </c>
      <c r="R12" s="2883">
        <f t="shared" si="10"/>
        <v>23.20967234917876</v>
      </c>
      <c r="S12" s="2883">
        <v>306.93824059780576</v>
      </c>
      <c r="T12" s="2883">
        <f>FISC!AL1099</f>
        <v>324.74214051343898</v>
      </c>
      <c r="U12" s="2883">
        <f t="shared" si="11"/>
        <v>17.803899915633224</v>
      </c>
      <c r="V12" s="2883">
        <f>FISC!AM1099</f>
        <v>369.38957092172012</v>
      </c>
      <c r="W12" s="2883">
        <f>FISC!AN1099</f>
        <v>420.80515177326339</v>
      </c>
      <c r="X12" s="2856"/>
      <c r="Y12" s="2856"/>
    </row>
    <row r="13" spans="1:28" s="2855" customFormat="1">
      <c r="A13" s="2885" t="s">
        <v>4028</v>
      </c>
      <c r="B13" s="2886">
        <v>15.45468017</v>
      </c>
      <c r="C13" s="2886">
        <v>16.046724808369117</v>
      </c>
      <c r="D13" s="2886">
        <v>24.438329283999998</v>
      </c>
      <c r="E13" s="2884">
        <f t="shared" si="12"/>
        <v>8.3916044756308814</v>
      </c>
      <c r="F13" s="2886">
        <v>28.849729651789662</v>
      </c>
      <c r="G13" s="2886">
        <v>27.514765861411309</v>
      </c>
      <c r="H13" s="2886">
        <f t="shared" si="6"/>
        <v>-1.3349637903783531</v>
      </c>
      <c r="I13" s="2886">
        <v>29.407058795600001</v>
      </c>
      <c r="J13" s="2886">
        <v>29.407058795600001</v>
      </c>
      <c r="K13" s="2886">
        <f t="shared" si="7"/>
        <v>0</v>
      </c>
      <c r="L13" s="2886">
        <v>29.407058795600001</v>
      </c>
      <c r="M13" s="2886">
        <f t="shared" si="8"/>
        <v>0</v>
      </c>
      <c r="N13" s="2886">
        <v>32.178361564837296</v>
      </c>
      <c r="O13" s="2886">
        <v>32.178361564837296</v>
      </c>
      <c r="P13" s="2886">
        <v>33.077344602047049</v>
      </c>
      <c r="Q13" s="2886">
        <f>FISC!AK1101</f>
        <v>33.077344602047049</v>
      </c>
      <c r="R13" s="2886">
        <f t="shared" si="10"/>
        <v>0</v>
      </c>
      <c r="S13" s="2886">
        <v>38.631627322603606</v>
      </c>
      <c r="T13" s="2886">
        <f>FISC!AL1101</f>
        <v>38.631627322603606</v>
      </c>
      <c r="U13" s="2886">
        <f t="shared" si="11"/>
        <v>0</v>
      </c>
      <c r="V13" s="2886">
        <f>FISC!AM1101</f>
        <v>45.131254741065213</v>
      </c>
      <c r="W13" s="2886">
        <f>FISC!AN1101</f>
        <v>41.881441031834413</v>
      </c>
    </row>
    <row r="14" spans="1:28" s="2855" customFormat="1">
      <c r="A14" s="2885" t="s">
        <v>4029</v>
      </c>
      <c r="B14" s="2886">
        <v>1.917872054</v>
      </c>
      <c r="C14" s="2886">
        <v>2.0103747037074857</v>
      </c>
      <c r="D14" s="2886">
        <v>3.0782545700000004</v>
      </c>
      <c r="E14" s="2884">
        <f t="shared" si="12"/>
        <v>1.0678798662925146</v>
      </c>
      <c r="F14" s="2886">
        <v>3.6514302857359549</v>
      </c>
      <c r="G14" s="2886">
        <v>3.4868714070560447</v>
      </c>
      <c r="H14" s="2886">
        <f t="shared" si="6"/>
        <v>-0.16455887867991015</v>
      </c>
      <c r="I14" s="2886">
        <v>3.7787016397007713</v>
      </c>
      <c r="J14" s="2886">
        <v>3.7787016397007713</v>
      </c>
      <c r="K14" s="2886">
        <f t="shared" si="7"/>
        <v>0</v>
      </c>
      <c r="L14" s="2886">
        <v>3.7787016397007713</v>
      </c>
      <c r="M14" s="2886">
        <f t="shared" si="8"/>
        <v>0</v>
      </c>
      <c r="N14" s="2886">
        <v>4.0202933571488826</v>
      </c>
      <c r="O14" s="2886">
        <v>4.0202933571488826</v>
      </c>
      <c r="P14" s="2886">
        <v>4.7607770764159261</v>
      </c>
      <c r="Q14" s="2886">
        <f>FISC!AK1102</f>
        <v>4.7607770764159261</v>
      </c>
      <c r="R14" s="2886">
        <f t="shared" si="10"/>
        <v>0</v>
      </c>
      <c r="S14" s="2886">
        <v>4.8495148739890839</v>
      </c>
      <c r="T14" s="2886">
        <f>FISC!AL1102</f>
        <v>4.8495148739890839</v>
      </c>
      <c r="U14" s="2886">
        <f t="shared" si="11"/>
        <v>0</v>
      </c>
      <c r="V14" s="2886">
        <f>FISC!AM1102</f>
        <v>5.6846936980359057</v>
      </c>
      <c r="W14" s="2886">
        <f>FISC!AN1102</f>
        <v>6.1</v>
      </c>
    </row>
    <row r="15" spans="1:28">
      <c r="A15" s="2889" t="s">
        <v>494</v>
      </c>
      <c r="B15" s="2877"/>
      <c r="E15" s="2884">
        <f t="shared" si="12"/>
        <v>0</v>
      </c>
      <c r="H15" s="2854">
        <f t="shared" si="6"/>
        <v>0</v>
      </c>
      <c r="K15" s="2854">
        <f t="shared" si="7"/>
        <v>0</v>
      </c>
      <c r="M15" s="2854">
        <f t="shared" si="8"/>
        <v>0</v>
      </c>
      <c r="R15" s="2854">
        <f t="shared" si="10"/>
        <v>0</v>
      </c>
      <c r="U15" s="2854">
        <f t="shared" si="11"/>
        <v>0</v>
      </c>
    </row>
    <row r="16" spans="1:28" s="3006" customFormat="1">
      <c r="A16" s="3105" t="s">
        <v>4203</v>
      </c>
      <c r="B16" s="3106"/>
      <c r="E16" s="3107"/>
      <c r="P16" s="3006">
        <v>0</v>
      </c>
      <c r="Q16" s="3006">
        <v>84.4</v>
      </c>
      <c r="R16" s="3006">
        <f>Q16-P16</f>
        <v>84.4</v>
      </c>
      <c r="S16" s="3006">
        <v>0</v>
      </c>
      <c r="T16" s="3006">
        <v>84.4</v>
      </c>
      <c r="U16" s="3006">
        <f>T16-S16</f>
        <v>84.4</v>
      </c>
    </row>
    <row r="17" spans="1:28" ht="18.899999999999999" customHeight="1">
      <c r="A17" s="3042" t="s">
        <v>4160</v>
      </c>
      <c r="B17" s="2877">
        <v>388.38105835827866</v>
      </c>
      <c r="C17" s="2877">
        <v>304.62225946223981</v>
      </c>
      <c r="D17" s="2877">
        <v>355.91580476864601</v>
      </c>
      <c r="E17" s="2877">
        <f t="shared" ref="E17" si="13">E18+E19+E29</f>
        <v>51.293545306406145</v>
      </c>
      <c r="F17" s="2877">
        <v>389.63280844570778</v>
      </c>
      <c r="G17" s="2877">
        <v>412.69577793503868</v>
      </c>
      <c r="H17" s="2877">
        <f t="shared" si="6"/>
        <v>23.062969489330897</v>
      </c>
      <c r="I17" s="2877">
        <v>444.00529852661145</v>
      </c>
      <c r="J17" s="2877">
        <v>492.44341544767286</v>
      </c>
      <c r="K17" s="2878">
        <f t="shared" si="7"/>
        <v>48.438116921061408</v>
      </c>
      <c r="L17" s="2878">
        <f>L18+L19+L29+L31+L32</f>
        <v>491.75221304832058</v>
      </c>
      <c r="M17" s="2878">
        <f t="shared" si="8"/>
        <v>-0.69120239935227801</v>
      </c>
      <c r="N17" s="2877">
        <v>494.20294242907659</v>
      </c>
      <c r="O17" s="2877">
        <f>O18+O19+O29+O31+O32</f>
        <v>477.21975618778254</v>
      </c>
      <c r="P17" s="2877">
        <f>P18+P19+P29+P31+P32</f>
        <v>490.8269807863839</v>
      </c>
      <c r="Q17" s="2877">
        <f>Q18+Q19+Q29+Q31+Q32</f>
        <v>486.67505516606974</v>
      </c>
      <c r="R17" s="2877">
        <f t="shared" si="10"/>
        <v>-4.1519256203141595</v>
      </c>
      <c r="S17" s="2877">
        <f>S18+S19+S29+S31+S32</f>
        <v>567.00015831546432</v>
      </c>
      <c r="T17" s="2877">
        <f>T18+T19+T29+T31+T32</f>
        <v>580.58922004486567</v>
      </c>
      <c r="U17" s="2877">
        <f t="shared" si="11"/>
        <v>13.589061729401351</v>
      </c>
      <c r="V17" s="2877">
        <f>V18+V19+V29+V31+V32</f>
        <v>655.62612814725026</v>
      </c>
      <c r="W17" s="2877">
        <f>W18+W19+W29+W31+W32</f>
        <v>726.70906197342583</v>
      </c>
      <c r="Z17" s="2879"/>
      <c r="AB17" s="2880"/>
    </row>
    <row r="18" spans="1:28">
      <c r="A18" s="2890" t="s">
        <v>511</v>
      </c>
      <c r="B18" s="2877"/>
      <c r="C18" s="2891">
        <v>20.120576668150495</v>
      </c>
      <c r="D18" s="2891">
        <v>14.630219605303161</v>
      </c>
      <c r="E18" s="2884">
        <f t="shared" si="12"/>
        <v>-5.4903570628473339</v>
      </c>
      <c r="F18" s="2891">
        <v>22.639923787423207</v>
      </c>
      <c r="G18" s="2891">
        <v>22.609286810444505</v>
      </c>
      <c r="H18" s="2891">
        <f t="shared" si="6"/>
        <v>-3.0636976978701824E-2</v>
      </c>
      <c r="I18" s="2891">
        <v>24.536088380129197</v>
      </c>
      <c r="J18" s="2891">
        <v>24.536088380129197</v>
      </c>
      <c r="K18" s="2891">
        <f t="shared" si="7"/>
        <v>0</v>
      </c>
      <c r="L18" s="2891">
        <v>24.536088380129197</v>
      </c>
      <c r="M18" s="2891">
        <f t="shared" si="8"/>
        <v>0</v>
      </c>
      <c r="N18" s="2891">
        <v>26.396938397542488</v>
      </c>
      <c r="O18" s="2891">
        <v>26.396938397542488</v>
      </c>
      <c r="P18" s="2891">
        <v>44.396938397542492</v>
      </c>
      <c r="Q18" s="2891">
        <f>FISC!AK1133</f>
        <v>44.396938397542485</v>
      </c>
      <c r="R18" s="2891">
        <f t="shared" si="10"/>
        <v>0</v>
      </c>
      <c r="S18" s="2891">
        <v>29.476193147379906</v>
      </c>
      <c r="T18" s="2891">
        <f>FISC!AL1133</f>
        <v>29.476193147379906</v>
      </c>
      <c r="U18" s="2891">
        <f t="shared" si="11"/>
        <v>0</v>
      </c>
      <c r="V18" s="2891">
        <f>FISC!AM1133</f>
        <v>31.974271472554108</v>
      </c>
      <c r="W18" s="2891">
        <f>FISC!AN1133</f>
        <v>36.130926763986118</v>
      </c>
    </row>
    <row r="19" spans="1:28">
      <c r="A19" s="2890" t="s">
        <v>517</v>
      </c>
      <c r="B19" s="2891">
        <v>332.03040170437737</v>
      </c>
      <c r="C19" s="2891">
        <v>268.47783606019345</v>
      </c>
      <c r="D19" s="2891">
        <v>276.35825495164437</v>
      </c>
      <c r="E19" s="2884">
        <f t="shared" si="12"/>
        <v>7.8804188914509155</v>
      </c>
      <c r="F19" s="2891">
        <v>338.93757301784149</v>
      </c>
      <c r="G19" s="2891">
        <v>361.94504713287733</v>
      </c>
      <c r="H19" s="2891">
        <f t="shared" si="6"/>
        <v>23.007474115035848</v>
      </c>
      <c r="I19" s="2891">
        <v>382.83921675866509</v>
      </c>
      <c r="J19" s="2891">
        <v>379.20675503272651</v>
      </c>
      <c r="K19" s="2891">
        <f t="shared" si="7"/>
        <v>-3.6324617259385832</v>
      </c>
      <c r="L19" s="2891">
        <v>378.32359083147412</v>
      </c>
      <c r="M19" s="2891">
        <f t="shared" si="8"/>
        <v>-0.88316420125238437</v>
      </c>
      <c r="N19" s="2891">
        <v>429.49044328177058</v>
      </c>
      <c r="O19" s="2891">
        <v>409.03189614228029</v>
      </c>
      <c r="P19" s="2891">
        <v>404.63912074088165</v>
      </c>
      <c r="Q19" s="2891">
        <f>FISC!AK1139-FISC!AK1143</f>
        <v>400.48719512056749</v>
      </c>
      <c r="R19" s="2891">
        <f t="shared" si="10"/>
        <v>-4.1519256203141595</v>
      </c>
      <c r="S19" s="2891">
        <v>490.88948456394479</v>
      </c>
      <c r="T19" s="2891">
        <f>FISC!AL1139-FISC!AL1143</f>
        <v>504.47854629334614</v>
      </c>
      <c r="U19" s="2891">
        <f t="shared" si="11"/>
        <v>13.589061729401351</v>
      </c>
      <c r="V19" s="2891">
        <f>FISC!AM1139-FISC!AM1143</f>
        <v>571.34540509374472</v>
      </c>
      <c r="W19" s="2891">
        <f>FISC!AN1139-FISC!AN1143</f>
        <v>635.14209173055349</v>
      </c>
    </row>
    <row r="20" spans="1:28">
      <c r="A20" s="2890" t="s">
        <v>4030</v>
      </c>
      <c r="B20" s="2892">
        <v>174.58297555279938</v>
      </c>
      <c r="C20" s="2892">
        <v>185.48361187014359</v>
      </c>
      <c r="D20" s="2892">
        <v>146.45347324939121</v>
      </c>
      <c r="E20" s="2884">
        <f t="shared" si="12"/>
        <v>-39.030138620752382</v>
      </c>
      <c r="F20" s="2892">
        <v>208.3458693706676</v>
      </c>
      <c r="G20" s="2892">
        <v>224.80882562677158</v>
      </c>
      <c r="H20" s="2892">
        <f t="shared" si="6"/>
        <v>16.462956256103979</v>
      </c>
      <c r="I20" s="2892">
        <v>212.61019897344079</v>
      </c>
      <c r="J20" s="2892">
        <v>208.97773724750209</v>
      </c>
      <c r="K20" s="2892">
        <f t="shared" si="7"/>
        <v>-3.6324617259386969</v>
      </c>
      <c r="L20" s="2892">
        <v>209.99611745433467</v>
      </c>
      <c r="M20" s="2892">
        <f t="shared" si="8"/>
        <v>1.0183802068325747</v>
      </c>
      <c r="N20" s="2892">
        <v>225.23364466325103</v>
      </c>
      <c r="O20" s="2892">
        <v>197.24899460437902</v>
      </c>
      <c r="P20" s="2892">
        <v>192.47571639526876</v>
      </c>
      <c r="Q20" s="2892">
        <f>FISC!AK1146</f>
        <v>192.15719841386465</v>
      </c>
      <c r="R20" s="2892">
        <f t="shared" si="10"/>
        <v>-0.31851798140411347</v>
      </c>
      <c r="S20" s="2892">
        <v>204.13907831225228</v>
      </c>
      <c r="T20" s="2892">
        <f>FISC!AL1146</f>
        <v>222.32415278363686</v>
      </c>
      <c r="U20" s="2892">
        <f t="shared" si="11"/>
        <v>18.185074471384581</v>
      </c>
      <c r="V20" s="2892">
        <f>FISC!AM1146</f>
        <v>232.9503827957335</v>
      </c>
      <c r="W20" s="2892">
        <f>FISC!AN1146</f>
        <v>243.98677094912571</v>
      </c>
    </row>
    <row r="21" spans="1:28">
      <c r="A21" s="2893" t="s">
        <v>4031</v>
      </c>
      <c r="B21" s="2891">
        <v>83.367922247692093</v>
      </c>
      <c r="C21" s="2891">
        <v>88.573260271501198</v>
      </c>
      <c r="D21" s="2891">
        <v>88.573260271501198</v>
      </c>
      <c r="E21" s="2884">
        <f t="shared" si="12"/>
        <v>0</v>
      </c>
      <c r="F21" s="2891">
        <v>94.183966518235337</v>
      </c>
      <c r="G21" s="2891">
        <v>94.183966518235337</v>
      </c>
      <c r="H21" s="2891">
        <f t="shared" si="6"/>
        <v>0</v>
      </c>
      <c r="I21" s="2891">
        <v>99.086425878235346</v>
      </c>
      <c r="J21" s="2894">
        <v>97.393526613286568</v>
      </c>
      <c r="K21" s="2894">
        <f t="shared" si="7"/>
        <v>-1.6928992649487782</v>
      </c>
      <c r="L21" s="2894">
        <v>97.393526613286568</v>
      </c>
      <c r="M21" s="2894">
        <f t="shared" si="8"/>
        <v>0</v>
      </c>
      <c r="N21" s="2891">
        <v>104.96954964986382</v>
      </c>
      <c r="O21" s="2891">
        <f>O20*(J21/J20)</f>
        <v>91.927376851120698</v>
      </c>
      <c r="P21" s="2891">
        <f>P20*(K21/K20)</f>
        <v>89.70280305481711</v>
      </c>
      <c r="Q21" s="2891">
        <f>Q20*(L21/L20)</f>
        <v>89.120063001760073</v>
      </c>
      <c r="R21" s="2891">
        <f t="shared" si="10"/>
        <v>-0.58274005305703724</v>
      </c>
      <c r="S21" s="2891">
        <f>S20*($K$21/$K$20)</f>
        <v>95.138482300959893</v>
      </c>
      <c r="T21" s="2891">
        <f>T20*(O21/O20)</f>
        <v>103.61358858654378</v>
      </c>
      <c r="U21" s="2891">
        <f t="shared" si="11"/>
        <v>8.475106285583891</v>
      </c>
      <c r="V21" s="2891">
        <f>V20*($K$21/$K$20)</f>
        <v>108.5659152272343</v>
      </c>
      <c r="W21" s="2891">
        <f>W20*($K$21/$K$20)</f>
        <v>113.7093949944544</v>
      </c>
    </row>
    <row r="22" spans="1:28">
      <c r="A22" s="2893" t="s">
        <v>4032</v>
      </c>
      <c r="B22" s="2891">
        <v>91.21505330510729</v>
      </c>
      <c r="C22" s="2891">
        <v>96.910351598642407</v>
      </c>
      <c r="D22" s="2891">
        <v>93.814606957395441</v>
      </c>
      <c r="E22" s="2884">
        <f t="shared" si="12"/>
        <v>-3.0957446412469665</v>
      </c>
      <c r="F22" s="2891">
        <v>103.04917400871297</v>
      </c>
      <c r="G22" s="2891">
        <v>103.04917400871297</v>
      </c>
      <c r="H22" s="2891">
        <f t="shared" si="6"/>
        <v>0</v>
      </c>
      <c r="I22" s="2891">
        <v>108.41308472871297</v>
      </c>
      <c r="J22" s="2891">
        <v>111.58421063421552</v>
      </c>
      <c r="K22" s="2891">
        <f t="shared" si="7"/>
        <v>3.1711259055025494</v>
      </c>
      <c r="L22" s="2891">
        <f>L20-L21</f>
        <v>112.6025908410481</v>
      </c>
      <c r="M22" s="2891">
        <f t="shared" si="8"/>
        <v>1.0183802068325747</v>
      </c>
      <c r="N22" s="2891">
        <v>120.26409501338721</v>
      </c>
      <c r="O22" s="2891">
        <f>O20-O21</f>
        <v>105.32161775325832</v>
      </c>
      <c r="P22" s="2891">
        <f>P20-P21</f>
        <v>102.77291334045165</v>
      </c>
      <c r="Q22" s="2891">
        <f>Q20-Q21</f>
        <v>103.03713541210458</v>
      </c>
      <c r="R22" s="2891">
        <f t="shared" si="10"/>
        <v>0.26422207165292377</v>
      </c>
      <c r="S22" s="2891">
        <f>S20-S21</f>
        <v>109.00059601129239</v>
      </c>
      <c r="T22" s="2891">
        <f>T20-T21</f>
        <v>118.71056419709308</v>
      </c>
      <c r="U22" s="2891">
        <f t="shared" si="11"/>
        <v>9.7099681858006903</v>
      </c>
      <c r="V22" s="2891">
        <f>V20-V21</f>
        <v>124.3844675684992</v>
      </c>
      <c r="W22" s="2891">
        <f>W20-W21</f>
        <v>130.2773759546713</v>
      </c>
      <c r="X22" s="2883"/>
      <c r="Y22" s="2883"/>
    </row>
    <row r="23" spans="1:28">
      <c r="A23" s="2893" t="s">
        <v>4033</v>
      </c>
      <c r="B23" s="2877">
        <v>22.499928768</v>
      </c>
      <c r="C23" s="2891">
        <v>25.643684239999999</v>
      </c>
      <c r="D23" s="2891">
        <v>49.911585083000006</v>
      </c>
      <c r="E23" s="2884">
        <f t="shared" si="12"/>
        <v>24.267900843000007</v>
      </c>
      <c r="F23" s="2891">
        <v>37.490908083270007</v>
      </c>
      <c r="G23" s="2891">
        <v>30.2592</v>
      </c>
      <c r="H23" s="2891">
        <f t="shared" si="6"/>
        <v>-7.2317080832700071</v>
      </c>
      <c r="I23" s="2891">
        <v>53.634300000000003</v>
      </c>
      <c r="J23" s="2891">
        <v>53.634300000000003</v>
      </c>
      <c r="K23" s="2891">
        <f t="shared" si="7"/>
        <v>0</v>
      </c>
      <c r="L23" s="2891">
        <v>53.634300000000003</v>
      </c>
      <c r="M23" s="2891">
        <f t="shared" si="8"/>
        <v>0</v>
      </c>
      <c r="N23" s="2891">
        <v>84.018880981048355</v>
      </c>
      <c r="O23" s="2891">
        <v>57.181269366000002</v>
      </c>
      <c r="P23" s="2891">
        <f>O23</f>
        <v>57.181269366000002</v>
      </c>
      <c r="Q23" s="2891">
        <f>P23</f>
        <v>57.181269366000002</v>
      </c>
      <c r="R23" s="2891">
        <f t="shared" si="10"/>
        <v>0</v>
      </c>
      <c r="S23" s="2891">
        <v>82.694752855768201</v>
      </c>
      <c r="T23" s="2891">
        <f>FISC!AL1144</f>
        <v>51.891186961000002</v>
      </c>
      <c r="U23" s="2891">
        <f t="shared" si="11"/>
        <v>-30.803565894768198</v>
      </c>
      <c r="V23" s="2891">
        <f>FISC!AM1144</f>
        <v>56.867303503000002</v>
      </c>
      <c r="W23" s="2891">
        <f>FISC!AN1144</f>
        <v>61.613916245483651</v>
      </c>
      <c r="X23" s="2895"/>
      <c r="Y23" s="2895"/>
    </row>
    <row r="24" spans="1:28">
      <c r="A24" s="2896" t="s">
        <v>4034</v>
      </c>
      <c r="B24" s="2897"/>
      <c r="C24" s="2898">
        <v>10</v>
      </c>
      <c r="D24" s="2898"/>
      <c r="E24" s="2884">
        <f t="shared" si="12"/>
        <v>-10</v>
      </c>
      <c r="F24" s="2898">
        <v>7</v>
      </c>
      <c r="G24" s="2898">
        <v>7</v>
      </c>
      <c r="H24" s="2898">
        <f t="shared" si="6"/>
        <v>0</v>
      </c>
      <c r="I24" s="2898">
        <v>7</v>
      </c>
      <c r="J24" s="2898">
        <v>7</v>
      </c>
      <c r="K24" s="2898">
        <f t="shared" si="7"/>
        <v>0</v>
      </c>
      <c r="L24" s="2898">
        <v>7</v>
      </c>
      <c r="M24" s="2898">
        <f t="shared" si="8"/>
        <v>0</v>
      </c>
      <c r="N24" s="2898">
        <v>61.81</v>
      </c>
      <c r="O24" s="2898">
        <v>39</v>
      </c>
      <c r="P24" s="2898">
        <v>39</v>
      </c>
      <c r="Q24" s="2898">
        <v>39</v>
      </c>
      <c r="R24" s="2898">
        <f t="shared" si="10"/>
        <v>0</v>
      </c>
      <c r="S24" s="2898"/>
      <c r="T24" s="2898"/>
      <c r="U24" s="2898">
        <f t="shared" si="11"/>
        <v>0</v>
      </c>
      <c r="V24" s="2898"/>
      <c r="W24" s="2898"/>
    </row>
    <row r="25" spans="1:28">
      <c r="A25" s="2896" t="s">
        <v>4035</v>
      </c>
      <c r="B25" s="2897"/>
      <c r="C25" s="2898">
        <v>6.8390000000000004</v>
      </c>
      <c r="D25" s="2898"/>
      <c r="E25" s="2884">
        <f t="shared" si="12"/>
        <v>-6.8390000000000004</v>
      </c>
      <c r="F25" s="2898">
        <v>7.9029999999999996</v>
      </c>
      <c r="G25" s="2898">
        <v>7.9029999999999996</v>
      </c>
      <c r="H25" s="2898">
        <f t="shared" si="6"/>
        <v>0</v>
      </c>
      <c r="I25" s="2898">
        <v>7.9029999999999996</v>
      </c>
      <c r="J25" s="2898">
        <v>7.9029999999999996</v>
      </c>
      <c r="K25" s="2898">
        <f t="shared" si="7"/>
        <v>0</v>
      </c>
      <c r="L25" s="2898">
        <v>7.9029999999999996</v>
      </c>
      <c r="M25" s="2898">
        <f t="shared" si="8"/>
        <v>0</v>
      </c>
      <c r="N25" s="2898">
        <v>11.466079249507203</v>
      </c>
      <c r="O25" s="2898">
        <v>14.962375528999999</v>
      </c>
      <c r="P25" s="2898">
        <v>14.962375528999999</v>
      </c>
      <c r="Q25" s="2898">
        <v>14.962375528999999</v>
      </c>
      <c r="R25" s="2898">
        <f t="shared" si="10"/>
        <v>0</v>
      </c>
      <c r="S25" s="2898"/>
      <c r="T25" s="2898"/>
      <c r="U25" s="2898">
        <f t="shared" si="11"/>
        <v>0</v>
      </c>
      <c r="V25" s="2898"/>
      <c r="W25" s="2898"/>
    </row>
    <row r="26" spans="1:28">
      <c r="A26" s="2896" t="s">
        <v>4036</v>
      </c>
      <c r="B26" s="2897"/>
      <c r="C26" s="2898">
        <v>1.1276390970000001</v>
      </c>
      <c r="D26" s="2898"/>
      <c r="E26" s="2884">
        <f t="shared" si="12"/>
        <v>-1.1276390970000001</v>
      </c>
      <c r="F26" s="2898">
        <v>10.150191877999999</v>
      </c>
      <c r="G26" s="2898">
        <v>10.150191877999999</v>
      </c>
      <c r="H26" s="2898">
        <f t="shared" si="6"/>
        <v>0</v>
      </c>
      <c r="I26" s="2898">
        <v>10.150191877999999</v>
      </c>
      <c r="J26" s="2898">
        <v>10.150191877999999</v>
      </c>
      <c r="K26" s="2898">
        <f t="shared" si="7"/>
        <v>0</v>
      </c>
      <c r="L26" s="2898">
        <v>10.150191877999999</v>
      </c>
      <c r="M26" s="2898">
        <f t="shared" si="8"/>
        <v>0</v>
      </c>
      <c r="N26" s="2899">
        <v>2.4353118729999998</v>
      </c>
      <c r="O26" s="2899">
        <v>2.5835230839999999</v>
      </c>
      <c r="P26" s="2899">
        <v>2.5835230839999999</v>
      </c>
      <c r="Q26" s="2899">
        <v>2.5835230839999999</v>
      </c>
      <c r="R26" s="2899">
        <f t="shared" si="10"/>
        <v>0</v>
      </c>
      <c r="S26" s="2900"/>
      <c r="T26" s="2900"/>
      <c r="U26" s="2898">
        <f t="shared" si="11"/>
        <v>0</v>
      </c>
      <c r="V26" s="2900"/>
      <c r="W26" s="2900"/>
      <c r="Y26" s="2895">
        <f>R17+R20+R6</f>
        <v>31.246916283497683</v>
      </c>
    </row>
    <row r="27" spans="1:28">
      <c r="A27" s="2896" t="s">
        <v>4037</v>
      </c>
      <c r="B27" s="2897"/>
      <c r="C27" s="2898">
        <v>0.32879485600000002</v>
      </c>
      <c r="D27" s="2898"/>
      <c r="E27" s="2884">
        <f t="shared" si="12"/>
        <v>-0.32879485600000002</v>
      </c>
      <c r="F27" s="2898">
        <v>0.33450000000000002</v>
      </c>
      <c r="G27" s="2898">
        <v>0.33450000000000002</v>
      </c>
      <c r="H27" s="2898">
        <f t="shared" si="6"/>
        <v>0</v>
      </c>
      <c r="I27" s="2898">
        <v>0.33450000000000002</v>
      </c>
      <c r="J27" s="2898">
        <v>0.33450000000000002</v>
      </c>
      <c r="K27" s="2898">
        <f t="shared" si="7"/>
        <v>0</v>
      </c>
      <c r="L27" s="2898">
        <v>0.33450000000000002</v>
      </c>
      <c r="M27" s="2898">
        <f t="shared" si="8"/>
        <v>0</v>
      </c>
      <c r="N27" s="2899">
        <v>0.63537075300000001</v>
      </c>
      <c r="O27" s="2899">
        <v>0.63537075300000001</v>
      </c>
      <c r="P27" s="2899">
        <v>0.63537075300000001</v>
      </c>
      <c r="Q27" s="2899">
        <v>0.63537075300000001</v>
      </c>
      <c r="R27" s="2899">
        <f t="shared" si="10"/>
        <v>0</v>
      </c>
      <c r="S27" s="2900"/>
      <c r="T27" s="2900"/>
      <c r="U27" s="2898">
        <f t="shared" si="11"/>
        <v>0</v>
      </c>
      <c r="V27" s="2900"/>
      <c r="W27" s="2900"/>
    </row>
    <row r="28" spans="1:28">
      <c r="A28" s="2896" t="s">
        <v>4038</v>
      </c>
      <c r="B28" s="2897"/>
      <c r="C28" s="2898">
        <v>7.3482502859999999</v>
      </c>
      <c r="D28" s="2898"/>
      <c r="E28" s="2884">
        <f t="shared" si="12"/>
        <v>-7.3482502859999999</v>
      </c>
      <c r="F28" s="2898">
        <v>6.6146285779999996</v>
      </c>
      <c r="G28" s="2898">
        <v>6.6146285779999996</v>
      </c>
      <c r="H28" s="2898">
        <f t="shared" si="6"/>
        <v>0</v>
      </c>
      <c r="I28" s="2898">
        <v>6.6146285779999996</v>
      </c>
      <c r="J28" s="2898">
        <v>6.6146285779999996</v>
      </c>
      <c r="K28" s="2898">
        <f t="shared" si="7"/>
        <v>0</v>
      </c>
      <c r="L28" s="2898">
        <v>6.6146285779999996</v>
      </c>
      <c r="M28" s="2898">
        <f t="shared" si="8"/>
        <v>0</v>
      </c>
      <c r="N28" s="2898">
        <v>7.6721191055411442</v>
      </c>
      <c r="O28" s="2898">
        <v>0</v>
      </c>
      <c r="P28" s="2898">
        <v>0</v>
      </c>
      <c r="Q28" s="2898">
        <v>0</v>
      </c>
      <c r="R28" s="2898">
        <f t="shared" si="10"/>
        <v>0</v>
      </c>
      <c r="S28" s="2898"/>
      <c r="T28" s="2898"/>
      <c r="U28" s="2898">
        <f t="shared" si="11"/>
        <v>0</v>
      </c>
      <c r="V28" s="2898"/>
      <c r="W28" s="2898"/>
    </row>
    <row r="29" spans="1:28">
      <c r="A29" s="2890" t="s">
        <v>4039</v>
      </c>
      <c r="B29" s="2891">
        <v>24.278059251000002</v>
      </c>
      <c r="C29" s="2891">
        <v>16.023846733895883</v>
      </c>
      <c r="D29" s="2891">
        <v>64.927330211698447</v>
      </c>
      <c r="E29" s="2884">
        <f t="shared" si="12"/>
        <v>48.903483477802567</v>
      </c>
      <c r="F29" s="2891">
        <v>28.055311640443133</v>
      </c>
      <c r="G29" s="2891">
        <v>28.141443991716802</v>
      </c>
      <c r="H29" s="2891">
        <f t="shared" si="6"/>
        <v>8.6132351273668917E-2</v>
      </c>
      <c r="I29" s="2891">
        <v>36.629993387817201</v>
      </c>
      <c r="J29" s="2891">
        <v>36.629993387817201</v>
      </c>
      <c r="K29" s="2891">
        <f t="shared" si="7"/>
        <v>0</v>
      </c>
      <c r="L29" s="2891">
        <v>36.821955189717301</v>
      </c>
      <c r="M29" s="2891">
        <f t="shared" si="8"/>
        <v>0.19196180190009926</v>
      </c>
      <c r="N29" s="2891">
        <v>38.315560749763499</v>
      </c>
      <c r="O29" s="2891">
        <v>41.790921647959763</v>
      </c>
      <c r="P29" s="2891">
        <v>41.79092164795977</v>
      </c>
      <c r="Q29" s="2891">
        <f>FISC!AK1149</f>
        <v>41.79092164795977</v>
      </c>
      <c r="R29" s="2891">
        <f t="shared" si="10"/>
        <v>0</v>
      </c>
      <c r="S29" s="2891">
        <v>46.634480604139682</v>
      </c>
      <c r="T29" s="2891">
        <f>FISC!AL1149</f>
        <v>46.634480604139682</v>
      </c>
      <c r="U29" s="2891">
        <f t="shared" si="11"/>
        <v>0</v>
      </c>
      <c r="V29" s="2891">
        <f>FISC!AM1149</f>
        <v>52.306451580951517</v>
      </c>
      <c r="W29" s="2891">
        <f>FISC!AN1149</f>
        <v>55.436043478886205</v>
      </c>
    </row>
    <row r="30" spans="1:28">
      <c r="A30" s="2901" t="s">
        <v>4040</v>
      </c>
      <c r="B30" s="2891">
        <v>13.143000000000001</v>
      </c>
      <c r="C30" s="2891">
        <v>14.143000000000001</v>
      </c>
      <c r="D30" s="2891">
        <v>23.225637565</v>
      </c>
      <c r="E30" s="2884">
        <f t="shared" si="12"/>
        <v>9.0826375649999989</v>
      </c>
      <c r="F30" s="2891">
        <v>24.626877910000001</v>
      </c>
      <c r="G30" s="2891">
        <v>24.626877910000001</v>
      </c>
      <c r="H30" s="2891">
        <f t="shared" si="6"/>
        <v>0</v>
      </c>
      <c r="I30" s="2891">
        <v>26.011753918</v>
      </c>
      <c r="J30" s="2891">
        <v>26.011753918</v>
      </c>
      <c r="K30" s="2891">
        <f t="shared" si="7"/>
        <v>0</v>
      </c>
      <c r="L30" s="2891">
        <v>26.011753918</v>
      </c>
      <c r="M30" s="2891">
        <f t="shared" si="8"/>
        <v>0</v>
      </c>
      <c r="N30" s="2891">
        <v>26.271871457</v>
      </c>
      <c r="O30" s="2891">
        <v>29.065873368999998</v>
      </c>
      <c r="P30" s="2891">
        <v>29.065873368999998</v>
      </c>
      <c r="Q30" s="2891">
        <f>FISC!AK1150</f>
        <v>26.790357521569998</v>
      </c>
      <c r="R30" s="2891">
        <f t="shared" si="10"/>
        <v>-2.2755158474300003</v>
      </c>
      <c r="S30" s="2891">
        <v>31.859875281000001</v>
      </c>
      <c r="T30" s="2891">
        <f>FISC!AL1150</f>
        <v>26.790357521569998</v>
      </c>
      <c r="U30" s="2891">
        <f t="shared" si="11"/>
        <v>-5.0695177594300027</v>
      </c>
      <c r="V30" s="2891">
        <f>FISC!AM1150</f>
        <v>26.790357521569998</v>
      </c>
      <c r="W30" s="2891">
        <f>FISC!AN1150</f>
        <v>26.790357521569998</v>
      </c>
    </row>
    <row r="31" spans="1:28">
      <c r="A31" s="2890" t="s">
        <v>4041</v>
      </c>
      <c r="B31" s="2882">
        <v>32.072597402901316</v>
      </c>
      <c r="C31" s="2882">
        <v>0</v>
      </c>
      <c r="D31" s="2882"/>
      <c r="E31" s="2884">
        <f t="shared" si="12"/>
        <v>0</v>
      </c>
      <c r="F31" s="2882">
        <v>0</v>
      </c>
      <c r="G31" s="2882">
        <v>0</v>
      </c>
      <c r="H31" s="2882">
        <f t="shared" si="6"/>
        <v>0</v>
      </c>
      <c r="I31" s="2882">
        <v>0</v>
      </c>
      <c r="J31" s="2882">
        <v>52.070578646999998</v>
      </c>
      <c r="K31" s="2882">
        <f>J31-I31</f>
        <v>52.070578646999998</v>
      </c>
      <c r="L31" s="2882">
        <v>52.070578646999998</v>
      </c>
      <c r="M31" s="2882">
        <f t="shared" si="8"/>
        <v>0</v>
      </c>
      <c r="N31" s="2882">
        <v>0</v>
      </c>
      <c r="O31" s="2882">
        <v>0</v>
      </c>
      <c r="P31" s="2882">
        <v>0</v>
      </c>
      <c r="Q31" s="2882">
        <f>FISC!AK1151</f>
        <v>0</v>
      </c>
      <c r="R31" s="2882">
        <f t="shared" si="10"/>
        <v>0</v>
      </c>
      <c r="S31" s="2882">
        <v>0</v>
      </c>
      <c r="T31" s="2882">
        <f>FISC!AL1151</f>
        <v>0</v>
      </c>
      <c r="U31" s="2882">
        <f t="shared" si="11"/>
        <v>0</v>
      </c>
      <c r="V31" s="2882">
        <f>FISC!AM1151</f>
        <v>0</v>
      </c>
      <c r="W31" s="2882">
        <f>FISC!AN1151</f>
        <v>0</v>
      </c>
    </row>
    <row r="32" spans="1:28">
      <c r="A32" s="2890" t="s">
        <v>524</v>
      </c>
      <c r="B32" s="2877"/>
      <c r="E32" s="2884">
        <f t="shared" si="12"/>
        <v>0</v>
      </c>
      <c r="H32" s="2854">
        <f t="shared" si="6"/>
        <v>0</v>
      </c>
      <c r="K32" s="2854">
        <f t="shared" si="7"/>
        <v>0</v>
      </c>
      <c r="M32" s="2854">
        <f t="shared" si="8"/>
        <v>0</v>
      </c>
      <c r="N32" s="2854">
        <v>0</v>
      </c>
      <c r="O32" s="2854">
        <v>0</v>
      </c>
      <c r="P32" s="2854">
        <v>0</v>
      </c>
      <c r="Q32" s="2854">
        <f>FISC!AK1155</f>
        <v>0</v>
      </c>
      <c r="R32" s="2854">
        <f t="shared" si="10"/>
        <v>0</v>
      </c>
      <c r="S32" s="2854">
        <v>0</v>
      </c>
      <c r="T32" s="2854">
        <f>FISC!AL1155</f>
        <v>0</v>
      </c>
      <c r="U32" s="2854">
        <f t="shared" si="11"/>
        <v>0</v>
      </c>
      <c r="V32" s="2854">
        <f>FISC!AM1155</f>
        <v>0</v>
      </c>
      <c r="W32" s="2854">
        <f>FISC!AN1155</f>
        <v>0</v>
      </c>
      <c r="Z32" s="2883"/>
    </row>
    <row r="33" spans="1:28" s="2873" customFormat="1">
      <c r="A33" s="2871" t="s">
        <v>4162</v>
      </c>
      <c r="B33" s="2872">
        <v>162.4547042382394</v>
      </c>
      <c r="C33" s="2872">
        <v>390.39385314884191</v>
      </c>
      <c r="D33" s="2872">
        <v>77.843979342327088</v>
      </c>
      <c r="E33" s="2872">
        <f t="shared" si="12"/>
        <v>-312.54987380651482</v>
      </c>
      <c r="F33" s="2872">
        <v>1.7127718643904686</v>
      </c>
      <c r="G33" s="2872">
        <v>26.315302910576818</v>
      </c>
      <c r="H33" s="2872">
        <f t="shared" si="6"/>
        <v>24.60253104618635</v>
      </c>
      <c r="I33" s="2872">
        <v>83.843264637530069</v>
      </c>
      <c r="J33" s="2872">
        <v>138.42134651061929</v>
      </c>
      <c r="K33" s="2872">
        <f t="shared" si="7"/>
        <v>54.578081873089218</v>
      </c>
      <c r="L33" s="2872">
        <f>L34+L35</f>
        <v>138.40568193330054</v>
      </c>
      <c r="M33" s="2872">
        <f t="shared" si="8"/>
        <v>-1.5664577318744932E-2</v>
      </c>
      <c r="N33" s="2872">
        <v>52.811465093384641</v>
      </c>
      <c r="O33" s="2872">
        <f>O34</f>
        <v>53.710383596693667</v>
      </c>
      <c r="P33" s="2872">
        <f>P34</f>
        <v>48.191554281709671</v>
      </c>
      <c r="Q33" s="2872">
        <f>Q34</f>
        <v>73.991642620190973</v>
      </c>
      <c r="R33" s="2872">
        <f t="shared" si="10"/>
        <v>25.800088338481302</v>
      </c>
      <c r="S33" s="2872">
        <f>S34+S35</f>
        <v>73.46822674932244</v>
      </c>
      <c r="T33" s="2872">
        <f>T34+T35</f>
        <v>93.520345130730931</v>
      </c>
      <c r="U33" s="2872">
        <f t="shared" si="11"/>
        <v>20.052118381408491</v>
      </c>
      <c r="V33" s="2872">
        <f t="shared" ref="V33:W33" si="14">V34+V35</f>
        <v>69.589130082310774</v>
      </c>
      <c r="W33" s="2872">
        <f t="shared" si="14"/>
        <v>67.499246394335898</v>
      </c>
      <c r="Y33" s="2874"/>
      <c r="AB33" s="2875"/>
    </row>
    <row r="34" spans="1:28">
      <c r="A34" s="2876" t="s">
        <v>4042</v>
      </c>
      <c r="B34" s="2883">
        <v>75.863019189793164</v>
      </c>
      <c r="C34" s="2883">
        <v>107.82306910297352</v>
      </c>
      <c r="D34" s="2883">
        <v>77.843979342327088</v>
      </c>
      <c r="E34" s="2884">
        <f t="shared" si="12"/>
        <v>-29.979089760646431</v>
      </c>
      <c r="F34" s="2883">
        <v>1.7127718643904686</v>
      </c>
      <c r="G34" s="2883">
        <v>26.315302910576818</v>
      </c>
      <c r="H34" s="2883">
        <f t="shared" si="6"/>
        <v>24.60253104618635</v>
      </c>
      <c r="I34" s="2883">
        <v>83.843264637530069</v>
      </c>
      <c r="J34" s="2883">
        <v>118.73054502561928</v>
      </c>
      <c r="K34" s="2903">
        <f t="shared" si="7"/>
        <v>34.887280388089209</v>
      </c>
      <c r="L34" s="2903">
        <v>118.71488044830055</v>
      </c>
      <c r="M34" s="2903">
        <f t="shared" si="8"/>
        <v>-1.5664577318730721E-2</v>
      </c>
      <c r="N34" s="2883">
        <v>52.811465093384641</v>
      </c>
      <c r="O34" s="2883">
        <v>53.710383596693667</v>
      </c>
      <c r="P34" s="2883">
        <v>48.191554281709671</v>
      </c>
      <c r="Q34" s="2883">
        <f>FISC!AK1271-(Q10+Q13+Q14)</f>
        <v>73.991642620190973</v>
      </c>
      <c r="R34" s="2883">
        <f t="shared" si="10"/>
        <v>25.800088338481302</v>
      </c>
      <c r="S34" s="2883">
        <v>73.46822674932244</v>
      </c>
      <c r="T34" s="2883">
        <f>FISC!AL1271-(T10+T13+T14)</f>
        <v>79.255458609814269</v>
      </c>
      <c r="U34" s="2883">
        <f t="shared" si="11"/>
        <v>5.7872318604918291</v>
      </c>
      <c r="V34" s="2883">
        <f>FISC!AM1271-(V10+V13+V14)</f>
        <v>53.510585630588551</v>
      </c>
      <c r="W34" s="2883">
        <f>FISC!AN1271-(W10+W13+W14)</f>
        <v>51.62999903111367</v>
      </c>
    </row>
    <row r="35" spans="1:28">
      <c r="A35" s="2904" t="s">
        <v>4200</v>
      </c>
      <c r="B35" s="2883"/>
      <c r="C35" s="2883"/>
      <c r="D35" s="2883"/>
      <c r="E35" s="2884"/>
      <c r="F35" s="2883"/>
      <c r="G35" s="2883"/>
      <c r="H35" s="2883"/>
      <c r="I35" s="2883"/>
      <c r="J35" s="2883">
        <v>19.690801485000001</v>
      </c>
      <c r="K35" s="2903">
        <f t="shared" si="7"/>
        <v>19.690801485000001</v>
      </c>
      <c r="L35" s="2903">
        <v>19.690801485000001</v>
      </c>
      <c r="M35" s="2903">
        <f t="shared" si="8"/>
        <v>0</v>
      </c>
      <c r="N35" s="2883"/>
      <c r="O35" s="2883"/>
      <c r="P35" s="2883"/>
      <c r="Q35" s="2883"/>
      <c r="R35" s="2883">
        <f t="shared" si="10"/>
        <v>0</v>
      </c>
      <c r="S35" s="2883">
        <v>0</v>
      </c>
      <c r="T35" s="2883">
        <f>-FISC!AL1297</f>
        <v>14.264886520916667</v>
      </c>
      <c r="U35" s="2883">
        <f t="shared" si="11"/>
        <v>14.264886520916667</v>
      </c>
      <c r="V35" s="2883">
        <f>-FISC!AM1297</f>
        <v>16.078544451722223</v>
      </c>
      <c r="W35" s="2883">
        <f>-FISC!AN1297</f>
        <v>15.869247363222222</v>
      </c>
    </row>
    <row r="36" spans="1:28" s="2873" customFormat="1">
      <c r="A36" s="2871" t="s">
        <v>4163</v>
      </c>
      <c r="B36" s="2872">
        <v>185.35470423823944</v>
      </c>
      <c r="C36" s="2872">
        <v>282.57078404586838</v>
      </c>
      <c r="D36" s="2872">
        <v>294.62932000000012</v>
      </c>
      <c r="E36" s="2872">
        <f t="shared" si="12"/>
        <v>12.058535954131742</v>
      </c>
      <c r="F36" s="2872">
        <v>194.94267964001165</v>
      </c>
      <c r="G36" s="2872">
        <v>219.34147124206154</v>
      </c>
      <c r="H36" s="2872">
        <f t="shared" si="6"/>
        <v>24.398791602049897</v>
      </c>
      <c r="I36" s="2872">
        <v>148.45216535327728</v>
      </c>
      <c r="J36" s="2872">
        <v>110.47832671353997</v>
      </c>
      <c r="K36" s="2872">
        <f t="shared" si="7"/>
        <v>-37.973838639737309</v>
      </c>
      <c r="L36" s="2872">
        <v>155.22174208680832</v>
      </c>
      <c r="M36" s="2872">
        <f t="shared" si="8"/>
        <v>44.743415373268348</v>
      </c>
      <c r="N36" s="2872">
        <v>-54.718692353601796</v>
      </c>
      <c r="O36" s="2872">
        <v>136.58524019660587</v>
      </c>
      <c r="P36" s="2872">
        <v>468.38780246778964</v>
      </c>
      <c r="Q36" s="2872">
        <f>FISC!AK1319+FISC!AK1338</f>
        <v>402.8608180703302</v>
      </c>
      <c r="R36" s="2872">
        <f t="shared" si="10"/>
        <v>-65.526984397459444</v>
      </c>
      <c r="S36" s="2872">
        <v>107.91069105457196</v>
      </c>
      <c r="T36" s="2872">
        <f>FISC!AL1319+FISC!AL1338</f>
        <v>399.42280563937487</v>
      </c>
      <c r="U36" s="2872">
        <f t="shared" si="11"/>
        <v>291.51211458480293</v>
      </c>
      <c r="V36" s="2872">
        <f>FISC!AM1319+FISC!AM1338</f>
        <v>564.56514137288207</v>
      </c>
      <c r="W36" s="2872">
        <f>FISC!AN1319+FISC!AN1338</f>
        <v>364.95187755688744</v>
      </c>
      <c r="Y36" s="2874">
        <f>P36-P37-P38-P83</f>
        <v>32.2538946896548</v>
      </c>
      <c r="AB36" s="2875"/>
    </row>
    <row r="37" spans="1:28" s="2907" customFormat="1">
      <c r="A37" s="2909" t="s">
        <v>4043</v>
      </c>
      <c r="B37" s="2905"/>
      <c r="C37" s="2905"/>
      <c r="D37" s="2905"/>
      <c r="E37" s="2884"/>
      <c r="F37" s="2905"/>
      <c r="G37" s="2905"/>
      <c r="H37" s="2905"/>
      <c r="I37" s="2905"/>
      <c r="J37" s="2905"/>
      <c r="K37" s="2906"/>
      <c r="L37" s="2906"/>
      <c r="M37" s="2906"/>
      <c r="N37" s="2882"/>
      <c r="O37" s="2882">
        <v>0</v>
      </c>
      <c r="P37" s="2882">
        <v>177.61372277807513</v>
      </c>
      <c r="Q37" s="2882">
        <f>FISC!AK1306</f>
        <v>177.61372277807513</v>
      </c>
      <c r="R37" s="2882">
        <f t="shared" si="10"/>
        <v>0</v>
      </c>
      <c r="S37" s="2882">
        <v>162.73536969180157</v>
      </c>
      <c r="T37" s="2882">
        <f>FISC!AL1306</f>
        <v>162.73536969180157</v>
      </c>
      <c r="U37" s="2882">
        <f t="shared" si="11"/>
        <v>0</v>
      </c>
      <c r="V37" s="2882">
        <f>FISC!AM1306</f>
        <v>187.35066706985879</v>
      </c>
      <c r="W37" s="2882">
        <f>FISC!AN1306</f>
        <v>0</v>
      </c>
    </row>
    <row r="38" spans="1:28" s="2907" customFormat="1">
      <c r="A38" s="2909" t="s">
        <v>4044</v>
      </c>
      <c r="B38" s="2905"/>
      <c r="C38" s="2905"/>
      <c r="D38" s="2905"/>
      <c r="E38" s="2884"/>
      <c r="F38" s="2905"/>
      <c r="G38" s="2905"/>
      <c r="H38" s="2905"/>
      <c r="I38" s="2905"/>
      <c r="J38" s="2905"/>
      <c r="K38" s="2906"/>
      <c r="L38" s="2906"/>
      <c r="M38" s="2906"/>
      <c r="N38" s="2882"/>
      <c r="O38" s="2882"/>
      <c r="P38" s="2882">
        <v>73.028300847474497</v>
      </c>
      <c r="Q38" s="2882">
        <f>FISC!AK1338</f>
        <v>72.907450137541076</v>
      </c>
      <c r="R38" s="2882">
        <f t="shared" si="10"/>
        <v>-0.12085070993342129</v>
      </c>
      <c r="S38" s="2882"/>
      <c r="T38" s="2882">
        <f>FISC!AL1338</f>
        <v>0</v>
      </c>
      <c r="U38" s="2882">
        <f t="shared" si="11"/>
        <v>0</v>
      </c>
      <c r="V38" s="2882">
        <f>FISC!AM1338</f>
        <v>0</v>
      </c>
      <c r="W38" s="2882">
        <f>FISC!AN1338</f>
        <v>0</v>
      </c>
    </row>
    <row r="39" spans="1:28" s="2873" customFormat="1">
      <c r="A39" s="2871" t="s">
        <v>4164</v>
      </c>
      <c r="B39" s="2872">
        <f>B40+B41</f>
        <v>637.55385903801312</v>
      </c>
      <c r="C39" s="2872">
        <f t="shared" ref="C39:E39" si="15">C40+C41</f>
        <v>906.85576354197246</v>
      </c>
      <c r="D39" s="2872">
        <v>711.30724575495185</v>
      </c>
      <c r="E39" s="2872">
        <f t="shared" si="15"/>
        <v>-195.54851778702067</v>
      </c>
      <c r="F39" s="2872">
        <v>652.13854081150896</v>
      </c>
      <c r="G39" s="2872">
        <v>766.04295137792633</v>
      </c>
      <c r="H39" s="2872">
        <f t="shared" si="6"/>
        <v>113.90441056641737</v>
      </c>
      <c r="I39" s="2872">
        <v>725.33109528069485</v>
      </c>
      <c r="J39" s="2872">
        <v>621.21836669312574</v>
      </c>
      <c r="K39" s="2872">
        <f t="shared" si="7"/>
        <v>-104.11272858756911</v>
      </c>
      <c r="L39" s="2872">
        <f>L40+L41+L42</f>
        <v>625.76873923411313</v>
      </c>
      <c r="M39" s="2872">
        <f t="shared" si="8"/>
        <v>4.5503725409873823</v>
      </c>
      <c r="N39" s="2872">
        <v>790.18425344425236</v>
      </c>
      <c r="O39" s="2872">
        <f>O40+O41+O42</f>
        <v>585.21500835131974</v>
      </c>
      <c r="P39" s="2872">
        <f>P40+P41+P42</f>
        <v>649.60772424180232</v>
      </c>
      <c r="Q39" s="2872">
        <f>Q40+Q41+Q42</f>
        <v>668.27623029566234</v>
      </c>
      <c r="R39" s="2872">
        <f t="shared" si="10"/>
        <v>18.668506053860028</v>
      </c>
      <c r="S39" s="2872">
        <f>S40+S41+S42</f>
        <v>553.77984746493837</v>
      </c>
      <c r="T39" s="2872">
        <f>T40+T41+T42</f>
        <v>543.98114445037027</v>
      </c>
      <c r="U39" s="2872">
        <f t="shared" si="11"/>
        <v>-9.7987030145681047</v>
      </c>
      <c r="V39" s="2872">
        <f>V40+V41+V42</f>
        <v>605.18237487361364</v>
      </c>
      <c r="W39" s="2872">
        <f>W40+W41+W42</f>
        <v>617.15455560035127</v>
      </c>
      <c r="Y39" s="2874"/>
      <c r="AB39" s="2875"/>
    </row>
    <row r="40" spans="1:28">
      <c r="A40" s="2911" t="s">
        <v>4045</v>
      </c>
      <c r="B40" s="2883">
        <v>304.32619251904816</v>
      </c>
      <c r="C40" s="2883">
        <v>498.7596842820152</v>
      </c>
      <c r="D40" s="2883">
        <v>310.02234101195063</v>
      </c>
      <c r="E40" s="2884">
        <f t="shared" si="12"/>
        <v>-188.73734327006457</v>
      </c>
      <c r="F40" s="2883">
        <v>162.40336854768671</v>
      </c>
      <c r="G40" s="2883">
        <v>261.96230223238672</v>
      </c>
      <c r="H40" s="2883">
        <f t="shared" si="6"/>
        <v>99.558933684700008</v>
      </c>
      <c r="I40" s="2883">
        <v>277.01221325561676</v>
      </c>
      <c r="J40" s="2883">
        <v>180.55904751044528</v>
      </c>
      <c r="K40" s="2883">
        <f t="shared" si="7"/>
        <v>-96.453165745171475</v>
      </c>
      <c r="L40" s="2883">
        <v>182.96202035937614</v>
      </c>
      <c r="M40" s="2883">
        <f t="shared" si="8"/>
        <v>2.4029728489308582</v>
      </c>
      <c r="N40" s="2883">
        <v>166.63204433817663</v>
      </c>
      <c r="O40" s="2883">
        <v>145.86554518785539</v>
      </c>
      <c r="P40" s="2883">
        <v>93.028085706147692</v>
      </c>
      <c r="Q40" s="2883">
        <f>FISC!AK1121+FISC!AK1125</f>
        <v>112.61764625081402</v>
      </c>
      <c r="R40" s="2883">
        <f t="shared" si="10"/>
        <v>19.589560544666327</v>
      </c>
      <c r="S40" s="2883">
        <v>99.083514806514259</v>
      </c>
      <c r="T40" s="2883">
        <f>FISC!AL1121+FISC!AL1125</f>
        <v>97.330309196607956</v>
      </c>
      <c r="U40" s="2883">
        <f t="shared" si="11"/>
        <v>-1.7532056099063027</v>
      </c>
      <c r="V40" s="2883">
        <f>FISC!AM1121+FISC!AM1125</f>
        <v>137.18336646333185</v>
      </c>
      <c r="W40" s="2883">
        <f>FISC!AN1121+FISC!AN1125</f>
        <v>126.98336335318955</v>
      </c>
    </row>
    <row r="41" spans="1:28">
      <c r="A41" s="2911" t="s">
        <v>4046</v>
      </c>
      <c r="B41" s="2883">
        <v>333.22766651896495</v>
      </c>
      <c r="C41" s="2883">
        <v>408.09607925995732</v>
      </c>
      <c r="D41" s="2883">
        <v>401.28490474300122</v>
      </c>
      <c r="E41" s="2884">
        <f t="shared" si="12"/>
        <v>-6.8111745169561004</v>
      </c>
      <c r="F41" s="2883">
        <v>489.73517226382228</v>
      </c>
      <c r="G41" s="2883">
        <v>504.08064914553961</v>
      </c>
      <c r="H41" s="2883">
        <f t="shared" si="6"/>
        <v>14.345476881717332</v>
      </c>
      <c r="I41" s="2883">
        <v>448.3188820250781</v>
      </c>
      <c r="J41" s="2883">
        <v>440.65931918268052</v>
      </c>
      <c r="K41" s="2883">
        <f t="shared" si="7"/>
        <v>-7.6595628423975768</v>
      </c>
      <c r="L41" s="2883">
        <v>442.80671887473699</v>
      </c>
      <c r="M41" s="2883">
        <f t="shared" si="8"/>
        <v>2.1473996920564673</v>
      </c>
      <c r="N41" s="2883">
        <v>459.44115801362705</v>
      </c>
      <c r="O41" s="2883">
        <v>439.34946316346429</v>
      </c>
      <c r="P41" s="2883">
        <v>556.57963853565457</v>
      </c>
      <c r="Q41" s="2883">
        <f>FISC!AK1123+FISC!AK1126</f>
        <v>555.65858404484834</v>
      </c>
      <c r="R41" s="2883">
        <f t="shared" si="10"/>
        <v>-0.92105449080622748</v>
      </c>
      <c r="S41" s="2883">
        <v>454.69633265842407</v>
      </c>
      <c r="T41" s="2883">
        <f>FISC!AL1123+FISC!AL1126</f>
        <v>446.65083525376235</v>
      </c>
      <c r="U41" s="2883">
        <f t="shared" si="11"/>
        <v>-8.0454974046617167</v>
      </c>
      <c r="V41" s="2883">
        <f>FISC!AM1123+FISC!AM1126</f>
        <v>467.99900841028182</v>
      </c>
      <c r="W41" s="2883">
        <f>FISC!AN1123+FISC!AN1126</f>
        <v>490.17119224716168</v>
      </c>
    </row>
    <row r="42" spans="1:28">
      <c r="A42" s="2911" t="s">
        <v>3101</v>
      </c>
      <c r="B42" s="2883">
        <v>0</v>
      </c>
      <c r="C42" s="2883">
        <v>0</v>
      </c>
      <c r="D42" s="2883">
        <v>0</v>
      </c>
      <c r="E42" s="2884">
        <f t="shared" si="12"/>
        <v>0</v>
      </c>
      <c r="F42" s="2883">
        <v>0</v>
      </c>
      <c r="G42" s="2883">
        <v>0</v>
      </c>
      <c r="H42" s="2883">
        <f t="shared" si="6"/>
        <v>0</v>
      </c>
      <c r="I42" s="2883">
        <v>0</v>
      </c>
      <c r="J42" s="2883">
        <v>0</v>
      </c>
      <c r="K42" s="2883">
        <f t="shared" si="7"/>
        <v>0</v>
      </c>
      <c r="L42" s="2883">
        <v>0</v>
      </c>
      <c r="M42" s="2883">
        <f t="shared" si="8"/>
        <v>0</v>
      </c>
      <c r="N42" s="2883">
        <v>164.11105109244869</v>
      </c>
      <c r="O42" s="2883">
        <v>0</v>
      </c>
      <c r="P42" s="2883">
        <v>0</v>
      </c>
      <c r="Q42" s="2883">
        <f>FISC!AK1131</f>
        <v>0</v>
      </c>
      <c r="R42" s="2883">
        <f t="shared" si="10"/>
        <v>0</v>
      </c>
      <c r="S42" s="2883">
        <f>61.9628503996768*0</f>
        <v>0</v>
      </c>
      <c r="T42" s="2883">
        <f>FISC!AL1131</f>
        <v>0</v>
      </c>
      <c r="U42" s="2883">
        <f t="shared" si="11"/>
        <v>0</v>
      </c>
      <c r="V42" s="2883">
        <f>FISC!AM1131</f>
        <v>0</v>
      </c>
      <c r="W42" s="2883">
        <f>FISC!AN1131</f>
        <v>0</v>
      </c>
    </row>
    <row r="43" spans="1:28" s="2873" customFormat="1">
      <c r="A43" s="2871" t="s">
        <v>4165</v>
      </c>
      <c r="B43" s="2872">
        <f>SUM(B44:B51)</f>
        <v>1469.7313330797519</v>
      </c>
      <c r="C43" s="2872">
        <f>SUM(C44:C51)</f>
        <v>1096.6533038822115</v>
      </c>
      <c r="D43" s="2872">
        <v>1029.9529663173248</v>
      </c>
      <c r="E43" s="2872">
        <f t="shared" ref="E43" si="16">SUM(E44:E51)</f>
        <v>15.265069601600118</v>
      </c>
      <c r="F43" s="2872">
        <v>1225.1466599108119</v>
      </c>
      <c r="G43" s="2872">
        <v>1334.907565264964</v>
      </c>
      <c r="H43" s="2872">
        <f t="shared" si="6"/>
        <v>109.7609053541521</v>
      </c>
      <c r="I43" s="2872">
        <v>1318.1342844615228</v>
      </c>
      <c r="J43" s="2872">
        <v>1503.4698272221285</v>
      </c>
      <c r="K43" s="2872">
        <f t="shared" si="7"/>
        <v>185.33554276060568</v>
      </c>
      <c r="L43" s="2872">
        <f>L44+L45+L46+L47+L50</f>
        <v>1472.7509103049756</v>
      </c>
      <c r="M43" s="2872">
        <f t="shared" si="8"/>
        <v>-30.71891691715291</v>
      </c>
      <c r="N43" s="2872">
        <v>1403.1259249112591</v>
      </c>
      <c r="O43" s="2872">
        <f>O44+O45+O46+O47+O50</f>
        <v>2151.8547770401988</v>
      </c>
      <c r="P43" s="2872">
        <f>P44+P45+P46+P47+P50</f>
        <v>1639.7549255416311</v>
      </c>
      <c r="Q43" s="2872">
        <f>Q44+Q45+Q46+Q47+Q50</f>
        <v>1737.1250487160576</v>
      </c>
      <c r="R43" s="2872">
        <f t="shared" si="10"/>
        <v>97.370123174426453</v>
      </c>
      <c r="S43" s="2872">
        <f>S44+S45+S46+S47+S50</f>
        <v>1836.7172061006786</v>
      </c>
      <c r="T43" s="2872">
        <f>T44+T45+T46+T47+T50</f>
        <v>1800.7293930503322</v>
      </c>
      <c r="U43" s="2872">
        <f t="shared" si="11"/>
        <v>-35.987813050346404</v>
      </c>
      <c r="V43" s="2872">
        <f>V44+V45+V46+V47+V50</f>
        <v>1671.1657285793815</v>
      </c>
      <c r="W43" s="2872">
        <f>W44+W45+W46+W47+W50</f>
        <v>1602.7547035878838</v>
      </c>
      <c r="Y43" s="2874"/>
      <c r="AB43" s="2875"/>
    </row>
    <row r="44" spans="1:28" s="2910" customFormat="1">
      <c r="A44" s="2912" t="s">
        <v>4047</v>
      </c>
      <c r="B44" s="2905">
        <v>154.06514021723456</v>
      </c>
      <c r="C44" s="2905">
        <v>68.258259999999993</v>
      </c>
      <c r="D44" s="2905">
        <v>68.114324774020005</v>
      </c>
      <c r="E44" s="2884">
        <f t="shared" si="12"/>
        <v>-0.14393522597998754</v>
      </c>
      <c r="F44" s="2905">
        <v>0</v>
      </c>
      <c r="G44" s="2905">
        <v>0</v>
      </c>
      <c r="H44" s="2905">
        <f t="shared" si="6"/>
        <v>0</v>
      </c>
      <c r="I44" s="2905">
        <v>0</v>
      </c>
      <c r="J44" s="2905">
        <v>0</v>
      </c>
      <c r="K44" s="2905">
        <f t="shared" si="7"/>
        <v>0</v>
      </c>
      <c r="L44" s="2905">
        <v>0</v>
      </c>
      <c r="M44" s="2905">
        <f t="shared" si="8"/>
        <v>0</v>
      </c>
      <c r="N44" s="2905">
        <v>0</v>
      </c>
      <c r="O44" s="2905">
        <v>0</v>
      </c>
      <c r="P44" s="2905">
        <v>0</v>
      </c>
      <c r="Q44" s="2905">
        <v>0</v>
      </c>
      <c r="R44" s="2905">
        <f t="shared" si="10"/>
        <v>0</v>
      </c>
      <c r="S44" s="2905">
        <v>0</v>
      </c>
      <c r="T44" s="2905">
        <v>0</v>
      </c>
      <c r="U44" s="2905">
        <f t="shared" si="11"/>
        <v>0</v>
      </c>
      <c r="V44" s="2905">
        <v>0</v>
      </c>
      <c r="W44" s="2905">
        <v>0</v>
      </c>
    </row>
    <row r="45" spans="1:28" s="2910" customFormat="1">
      <c r="A45" s="2911" t="s">
        <v>4048</v>
      </c>
      <c r="B45" s="2905">
        <v>632.58526116828182</v>
      </c>
      <c r="C45" s="2905">
        <v>0</v>
      </c>
      <c r="D45" s="2905"/>
      <c r="E45" s="2884">
        <f t="shared" si="12"/>
        <v>0</v>
      </c>
      <c r="F45" s="2905">
        <v>0</v>
      </c>
      <c r="G45" s="2913">
        <v>0</v>
      </c>
      <c r="H45" s="2913">
        <f t="shared" si="6"/>
        <v>0</v>
      </c>
      <c r="I45" s="2913">
        <v>0</v>
      </c>
      <c r="J45" s="2913">
        <v>0</v>
      </c>
      <c r="K45" s="2913">
        <f t="shared" si="7"/>
        <v>0</v>
      </c>
      <c r="L45" s="2913">
        <v>0</v>
      </c>
      <c r="M45" s="2913">
        <f t="shared" si="8"/>
        <v>0</v>
      </c>
      <c r="N45" s="2913">
        <v>0</v>
      </c>
      <c r="O45" s="2913">
        <v>0</v>
      </c>
      <c r="P45" s="2913">
        <v>0</v>
      </c>
      <c r="Q45" s="2913">
        <v>0</v>
      </c>
      <c r="R45" s="2913">
        <f t="shared" si="10"/>
        <v>0</v>
      </c>
      <c r="S45" s="2913">
        <v>0</v>
      </c>
      <c r="T45" s="2913">
        <v>0</v>
      </c>
      <c r="U45" s="2913">
        <f t="shared" si="11"/>
        <v>0</v>
      </c>
      <c r="V45" s="2913">
        <v>0</v>
      </c>
      <c r="W45" s="2913">
        <v>0</v>
      </c>
    </row>
    <row r="46" spans="1:28" s="2910" customFormat="1">
      <c r="A46" s="2911" t="s">
        <v>4049</v>
      </c>
      <c r="B46" s="2905"/>
      <c r="C46" s="2905">
        <v>216.80528999999999</v>
      </c>
      <c r="D46" s="2883">
        <v>0</v>
      </c>
      <c r="E46" s="2884">
        <f t="shared" si="12"/>
        <v>-216.80528999999999</v>
      </c>
      <c r="F46" s="2883">
        <v>0</v>
      </c>
      <c r="G46" s="2883">
        <v>0</v>
      </c>
      <c r="H46" s="2883">
        <f t="shared" si="6"/>
        <v>0</v>
      </c>
      <c r="I46" s="2883">
        <v>0</v>
      </c>
      <c r="J46" s="2883">
        <v>0</v>
      </c>
      <c r="K46" s="2883">
        <f t="shared" si="7"/>
        <v>0</v>
      </c>
      <c r="L46" s="2883">
        <v>0</v>
      </c>
      <c r="M46" s="2883">
        <f t="shared" si="8"/>
        <v>0</v>
      </c>
      <c r="N46" s="2883">
        <v>0</v>
      </c>
      <c r="O46" s="2883">
        <v>0</v>
      </c>
      <c r="P46" s="2883">
        <v>0</v>
      </c>
      <c r="Q46" s="2883">
        <v>0</v>
      </c>
      <c r="R46" s="2883">
        <f t="shared" si="10"/>
        <v>0</v>
      </c>
      <c r="S46" s="2883">
        <v>0</v>
      </c>
      <c r="T46" s="2883">
        <v>0</v>
      </c>
      <c r="U46" s="2883">
        <f t="shared" si="11"/>
        <v>0</v>
      </c>
      <c r="V46" s="2883">
        <v>0</v>
      </c>
      <c r="W46" s="2883">
        <v>0</v>
      </c>
      <c r="AA46" s="2914"/>
    </row>
    <row r="47" spans="1:28">
      <c r="A47" s="2911" t="s">
        <v>4050</v>
      </c>
      <c r="B47" s="2882">
        <v>261.00298974702582</v>
      </c>
      <c r="C47" s="2882">
        <v>330.62806724999984</v>
      </c>
      <c r="D47" s="2882">
        <v>535.3669076300398</v>
      </c>
      <c r="E47" s="2884">
        <f t="shared" si="12"/>
        <v>204.73884038003996</v>
      </c>
      <c r="F47" s="2882">
        <v>682.36596354213339</v>
      </c>
      <c r="G47" s="2882">
        <v>775.99502296359105</v>
      </c>
      <c r="H47" s="2882">
        <f t="shared" si="6"/>
        <v>93.629059421457669</v>
      </c>
      <c r="I47" s="2882">
        <v>726.32555824424185</v>
      </c>
      <c r="J47" s="2882">
        <v>847.41662827656592</v>
      </c>
      <c r="K47" s="2882">
        <f t="shared" si="7"/>
        <v>121.09107003232407</v>
      </c>
      <c r="L47" s="2882">
        <v>864.07628736920913</v>
      </c>
      <c r="M47" s="2882">
        <f t="shared" si="8"/>
        <v>16.65965909264321</v>
      </c>
      <c r="N47" s="2882">
        <v>648.2585081486119</v>
      </c>
      <c r="O47" s="2882">
        <v>1529.5376053660839</v>
      </c>
      <c r="P47" s="2882">
        <v>884.14240590261568</v>
      </c>
      <c r="Q47" s="2882">
        <f>FISC!AK1354</f>
        <v>949.34480177277817</v>
      </c>
      <c r="R47" s="2882">
        <f t="shared" si="10"/>
        <v>65.202395870162491</v>
      </c>
      <c r="S47" s="2882">
        <f>1177.60120612779-139.416413399273</f>
        <v>1038.1847927285169</v>
      </c>
      <c r="T47" s="2882">
        <f>FISC!AL1354</f>
        <v>980.19415941872319</v>
      </c>
      <c r="U47" s="2882">
        <f t="shared" si="11"/>
        <v>-57.990633309793679</v>
      </c>
      <c r="V47" s="2882">
        <f>FISC!AM1354</f>
        <v>810.44411662432253</v>
      </c>
      <c r="W47" s="2882">
        <f>FISC!AN1354</f>
        <v>657.8369341573773</v>
      </c>
    </row>
    <row r="48" spans="1:28">
      <c r="A48" s="2909" t="s">
        <v>4051</v>
      </c>
      <c r="B48" s="2882"/>
      <c r="C48" s="2882"/>
      <c r="D48" s="2882"/>
      <c r="E48" s="2884"/>
      <c r="F48" s="2882"/>
      <c r="G48" s="2882"/>
      <c r="H48" s="2882"/>
      <c r="I48" s="2882"/>
      <c r="J48" s="2882"/>
      <c r="K48" s="2882"/>
      <c r="L48" s="2882"/>
      <c r="M48" s="2882"/>
      <c r="N48" s="2882">
        <v>0</v>
      </c>
      <c r="O48" s="2882">
        <v>972.91164550459166</v>
      </c>
      <c r="P48" s="2882">
        <v>317.61732187356972</v>
      </c>
      <c r="Q48" s="2882">
        <f>FISC!AK1356</f>
        <v>357.91988568105711</v>
      </c>
      <c r="R48" s="2882">
        <f t="shared" si="10"/>
        <v>40.302563807487388</v>
      </c>
      <c r="S48" s="2882">
        <v>433.68652191950753</v>
      </c>
      <c r="T48" s="2882">
        <f>FISC!AL1356+FISC!AL1357</f>
        <v>310.30893207895321</v>
      </c>
      <c r="U48" s="2882">
        <f t="shared" si="11"/>
        <v>-123.37758984055432</v>
      </c>
      <c r="V48" s="2882">
        <f>FISC!AN1356+FISC!AN1357</f>
        <v>99.104249499442091</v>
      </c>
      <c r="W48" s="2882">
        <f>FISC!AO1356+FISC!AO1357</f>
        <v>99.341601874184164</v>
      </c>
    </row>
    <row r="49" spans="1:28">
      <c r="A49" s="2915" t="s">
        <v>4052</v>
      </c>
      <c r="B49" s="2882"/>
      <c r="C49" s="2882"/>
      <c r="D49" s="2882"/>
      <c r="E49" s="2884"/>
      <c r="F49" s="2882"/>
      <c r="G49" s="2882"/>
      <c r="H49" s="2882"/>
      <c r="I49" s="2882"/>
      <c r="J49" s="2882">
        <v>0</v>
      </c>
      <c r="K49" s="2882"/>
      <c r="L49" s="2882"/>
      <c r="M49" s="2882"/>
      <c r="N49" s="2882">
        <v>88.90801763023066</v>
      </c>
      <c r="O49" s="2882">
        <v>0</v>
      </c>
      <c r="P49" s="2882">
        <v>0</v>
      </c>
      <c r="Q49" s="2882">
        <f>FISC!AK1358</f>
        <v>0</v>
      </c>
      <c r="R49" s="2882">
        <f t="shared" si="10"/>
        <v>0</v>
      </c>
      <c r="S49" s="2882">
        <f>139.416413399273*0</f>
        <v>0</v>
      </c>
      <c r="T49" s="2882">
        <f>FISC!AL1358</f>
        <v>0</v>
      </c>
      <c r="U49" s="2882">
        <f t="shared" si="11"/>
        <v>0</v>
      </c>
      <c r="V49" s="2882">
        <f>FISC!AM1358</f>
        <v>0</v>
      </c>
      <c r="W49" s="2882">
        <f>FISC!AN1358</f>
        <v>0</v>
      </c>
    </row>
    <row r="50" spans="1:28">
      <c r="A50" s="2911" t="s">
        <v>4053</v>
      </c>
      <c r="B50" s="2882">
        <v>422.07794194720975</v>
      </c>
      <c r="C50" s="2882">
        <v>398.99627946572485</v>
      </c>
      <c r="D50" s="2882">
        <v>426.47173391326498</v>
      </c>
      <c r="E50" s="2884">
        <f t="shared" si="12"/>
        <v>27.47545444754013</v>
      </c>
      <c r="F50" s="2882">
        <v>542.78069636867849</v>
      </c>
      <c r="G50" s="2882">
        <v>558.91254230137281</v>
      </c>
      <c r="H50" s="2882">
        <f t="shared" si="6"/>
        <v>16.131845932694318</v>
      </c>
      <c r="I50" s="2882">
        <v>591.80872621728088</v>
      </c>
      <c r="J50" s="2882">
        <v>656.05319894556249</v>
      </c>
      <c r="K50" s="2882">
        <f t="shared" si="7"/>
        <v>64.244472728281607</v>
      </c>
      <c r="L50" s="2882">
        <v>608.67462293576659</v>
      </c>
      <c r="M50" s="2882">
        <f t="shared" ref="M50:M58" si="17">L50-J50</f>
        <v>-47.378576009795893</v>
      </c>
      <c r="N50" s="2882">
        <v>754.86741676264728</v>
      </c>
      <c r="O50" s="2882">
        <v>622.31717167411489</v>
      </c>
      <c r="P50" s="2882">
        <v>755.61251963901555</v>
      </c>
      <c r="Q50" s="2882">
        <f>FISC!AK1360</f>
        <v>787.78024694327939</v>
      </c>
      <c r="R50" s="2882">
        <f t="shared" si="10"/>
        <v>32.167727304263849</v>
      </c>
      <c r="S50" s="2882">
        <v>798.53241337216173</v>
      </c>
      <c r="T50" s="2882">
        <f>FISC!AL1360</f>
        <v>820.535233631609</v>
      </c>
      <c r="U50" s="2882">
        <f t="shared" si="11"/>
        <v>22.002820259447276</v>
      </c>
      <c r="V50" s="2882">
        <f>FISC!AM1360</f>
        <v>860.72161195505896</v>
      </c>
      <c r="W50" s="2882">
        <f>FISC!AN1360</f>
        <v>944.9177694305065</v>
      </c>
    </row>
    <row r="51" spans="1:28">
      <c r="A51" s="2915" t="s">
        <v>4054</v>
      </c>
      <c r="B51" s="2882"/>
      <c r="C51" s="2882">
        <v>81.965407166486713</v>
      </c>
      <c r="D51" s="2882"/>
      <c r="E51" s="2884"/>
      <c r="F51" s="2882"/>
      <c r="G51" s="2882">
        <v>46.372411781166001</v>
      </c>
      <c r="H51" s="2882">
        <f t="shared" si="6"/>
        <v>46.372411781166001</v>
      </c>
      <c r="I51" s="2882">
        <v>26.158467598200954</v>
      </c>
      <c r="J51" s="2882">
        <v>21.092074431640629</v>
      </c>
      <c r="K51" s="2882">
        <f t="shared" si="7"/>
        <v>-5.0663931665603243</v>
      </c>
      <c r="L51" s="2882">
        <v>43.666260758371628</v>
      </c>
      <c r="M51" s="2882">
        <f t="shared" si="17"/>
        <v>22.574186326730999</v>
      </c>
      <c r="N51" s="2882">
        <v>12.688062913955042</v>
      </c>
      <c r="O51" s="2882">
        <v>24.792840755990309</v>
      </c>
      <c r="P51" s="2882">
        <v>24.792840755990309</v>
      </c>
      <c r="Q51" s="2882">
        <f>FISC!AK1362</f>
        <v>24.792840755990309</v>
      </c>
      <c r="R51" s="2882">
        <f t="shared" si="10"/>
        <v>0</v>
      </c>
      <c r="S51" s="2882">
        <v>0</v>
      </c>
      <c r="T51" s="2882">
        <f>FISC!AL1362</f>
        <v>0</v>
      </c>
      <c r="U51" s="2882">
        <f t="shared" si="11"/>
        <v>0</v>
      </c>
      <c r="V51" s="2882">
        <f>FISC!AM1362</f>
        <v>0</v>
      </c>
      <c r="W51" s="2882">
        <f>FISC!AN1362</f>
        <v>0</v>
      </c>
    </row>
    <row r="52" spans="1:28" hidden="1">
      <c r="A52" s="2902" t="s">
        <v>4055</v>
      </c>
      <c r="B52" s="2877"/>
      <c r="E52" s="2884">
        <f t="shared" si="12"/>
        <v>0</v>
      </c>
      <c r="H52" s="2854">
        <f t="shared" ref="H52:H57" si="18">G52-D52</f>
        <v>0</v>
      </c>
      <c r="K52" s="2854">
        <f t="shared" si="7"/>
        <v>0</v>
      </c>
      <c r="M52" s="2854">
        <f t="shared" si="17"/>
        <v>0</v>
      </c>
      <c r="R52" s="2854">
        <f t="shared" si="10"/>
        <v>0</v>
      </c>
      <c r="U52" s="2854">
        <f t="shared" si="11"/>
        <v>0</v>
      </c>
    </row>
    <row r="53" spans="1:28" hidden="1">
      <c r="A53" s="2916" t="s">
        <v>4056</v>
      </c>
      <c r="B53" s="2877"/>
      <c r="E53" s="2884">
        <f t="shared" si="12"/>
        <v>0</v>
      </c>
      <c r="H53" s="2854">
        <f t="shared" si="18"/>
        <v>0</v>
      </c>
      <c r="K53" s="2854">
        <f t="shared" si="7"/>
        <v>0</v>
      </c>
      <c r="M53" s="2854">
        <f t="shared" si="17"/>
        <v>0</v>
      </c>
      <c r="R53" s="2854">
        <f t="shared" si="10"/>
        <v>0</v>
      </c>
      <c r="U53" s="2854">
        <f t="shared" si="11"/>
        <v>0</v>
      </c>
    </row>
    <row r="54" spans="1:28" hidden="1">
      <c r="A54" s="2916" t="s">
        <v>4057</v>
      </c>
      <c r="B54" s="2877"/>
      <c r="E54" s="2884">
        <f t="shared" si="12"/>
        <v>0</v>
      </c>
      <c r="H54" s="2854">
        <f t="shared" si="18"/>
        <v>0</v>
      </c>
      <c r="K54" s="2854">
        <f t="shared" si="7"/>
        <v>0</v>
      </c>
      <c r="M54" s="2854">
        <f t="shared" si="17"/>
        <v>0</v>
      </c>
      <c r="R54" s="2854">
        <f t="shared" si="10"/>
        <v>0</v>
      </c>
      <c r="U54" s="2854">
        <f t="shared" si="11"/>
        <v>0</v>
      </c>
    </row>
    <row r="55" spans="1:28" hidden="1">
      <c r="A55" s="2876" t="s">
        <v>4058</v>
      </c>
      <c r="B55" s="2877"/>
      <c r="E55" s="2884">
        <f t="shared" si="12"/>
        <v>0</v>
      </c>
      <c r="H55" s="2854">
        <f t="shared" si="18"/>
        <v>0</v>
      </c>
      <c r="K55" s="2854">
        <f t="shared" si="7"/>
        <v>0</v>
      </c>
      <c r="M55" s="2854">
        <f t="shared" si="17"/>
        <v>0</v>
      </c>
      <c r="R55" s="2854">
        <f t="shared" si="10"/>
        <v>0</v>
      </c>
      <c r="U55" s="2854">
        <f t="shared" si="11"/>
        <v>0</v>
      </c>
    </row>
    <row r="56" spans="1:28" s="2910" customFormat="1" hidden="1">
      <c r="A56" s="2902" t="s">
        <v>4059</v>
      </c>
      <c r="B56" s="2905">
        <v>0</v>
      </c>
      <c r="C56" s="2910">
        <v>0</v>
      </c>
      <c r="E56" s="2884">
        <f t="shared" si="12"/>
        <v>0</v>
      </c>
      <c r="F56" s="2910">
        <v>0</v>
      </c>
      <c r="G56" s="2910">
        <v>0</v>
      </c>
      <c r="H56" s="2910">
        <f t="shared" si="18"/>
        <v>0</v>
      </c>
      <c r="I56" s="2910">
        <v>1</v>
      </c>
      <c r="K56" s="2910">
        <f t="shared" si="7"/>
        <v>-1</v>
      </c>
      <c r="M56" s="2910">
        <f t="shared" si="17"/>
        <v>0</v>
      </c>
      <c r="R56" s="2910">
        <f t="shared" si="10"/>
        <v>0</v>
      </c>
      <c r="U56" s="2910">
        <f t="shared" si="11"/>
        <v>0</v>
      </c>
    </row>
    <row r="57" spans="1:28">
      <c r="A57" s="2917" t="s">
        <v>4060</v>
      </c>
      <c r="B57" s="2918">
        <v>4417.6982476202684</v>
      </c>
      <c r="C57" s="2918">
        <v>4766.2653728504201</v>
      </c>
      <c r="D57" s="2918"/>
      <c r="E57" s="2884">
        <f t="shared" si="12"/>
        <v>-4766.2653728504201</v>
      </c>
      <c r="F57" s="2918">
        <v>4510.6368248092685</v>
      </c>
      <c r="G57" s="2918">
        <v>4510.6368248092685</v>
      </c>
      <c r="H57" s="2918">
        <f t="shared" si="18"/>
        <v>4510.6368248092685</v>
      </c>
      <c r="I57" s="2918">
        <v>4967.7632828971882</v>
      </c>
      <c r="J57" s="2918"/>
      <c r="K57" s="2918">
        <f t="shared" si="7"/>
        <v>-4967.7632828971882</v>
      </c>
      <c r="L57" s="2918"/>
      <c r="M57" s="2918">
        <f t="shared" si="17"/>
        <v>0</v>
      </c>
      <c r="N57" s="2918"/>
      <c r="O57" s="2918"/>
      <c r="P57" s="2918"/>
      <c r="Q57" s="2918"/>
      <c r="R57" s="2918"/>
      <c r="S57" s="2918"/>
      <c r="T57" s="2918"/>
      <c r="U57" s="2918">
        <f t="shared" si="11"/>
        <v>0</v>
      </c>
      <c r="V57" s="2918"/>
      <c r="W57" s="2918"/>
    </row>
    <row r="58" spans="1:28">
      <c r="A58" s="2919" t="s">
        <v>4061</v>
      </c>
      <c r="B58" s="2920">
        <f>B5+B36+B39+B43</f>
        <v>4440.5982476202698</v>
      </c>
      <c r="C58" s="2920">
        <f>C5+C36+C39+C43</f>
        <v>4658.4423037474462</v>
      </c>
      <c r="D58" s="2920">
        <v>4715.52102383699</v>
      </c>
      <c r="E58" s="2920">
        <f t="shared" ref="E58" si="19">E5+E36+E39+E43+E33</f>
        <v>-251.34972589281131</v>
      </c>
      <c r="F58" s="2920">
        <v>5030.058091822827</v>
      </c>
      <c r="G58" s="2920">
        <v>5317.3196309900331</v>
      </c>
      <c r="H58" s="2920">
        <f>G58-F58</f>
        <v>287.26153916720614</v>
      </c>
      <c r="I58" s="2920">
        <v>5690.144278195934</v>
      </c>
      <c r="J58" s="2920">
        <v>5816.4094525233832</v>
      </c>
      <c r="K58" s="2920">
        <f t="shared" si="7"/>
        <v>126.26517432744913</v>
      </c>
      <c r="L58" s="2920">
        <f>L5+L36+L39+L43+L33</f>
        <v>5918.4986238727497</v>
      </c>
      <c r="M58" s="2920">
        <f t="shared" si="17"/>
        <v>102.08917134936655</v>
      </c>
      <c r="N58" s="2920">
        <v>6228.7630492864209</v>
      </c>
      <c r="O58" s="2920">
        <f>O5+O36+O39+O43+O33</f>
        <v>7032.5363909690295</v>
      </c>
      <c r="P58" s="2920">
        <f>P5+P36+P39+P43+P33</f>
        <v>6952.0977098148869</v>
      </c>
      <c r="Q58" s="2920">
        <f>Q5+Q36+Q39+Q43+Q33</f>
        <v>7059.9748772490966</v>
      </c>
      <c r="R58" s="2920">
        <f t="shared" si="10"/>
        <v>107.8771674342097</v>
      </c>
      <c r="S58" s="2920">
        <f>S5+S36+S39+S43+S33</f>
        <v>7529.7522679659905</v>
      </c>
      <c r="T58" s="2920">
        <f>T5+T36+T39+T43+T33</f>
        <v>7844.8069888735408</v>
      </c>
      <c r="U58" s="2920">
        <f t="shared" si="11"/>
        <v>315.05472090755029</v>
      </c>
      <c r="V58" s="2920">
        <f>V5+V36+V39+V43+V33</f>
        <v>8685.7128409111956</v>
      </c>
      <c r="W58" s="2920">
        <f>W5+W36+W39+W43+W33</f>
        <v>9232.8707820399723</v>
      </c>
      <c r="X58" s="2895"/>
      <c r="AB58" s="2883"/>
    </row>
    <row r="59" spans="1:28">
      <c r="A59" s="2921"/>
      <c r="B59" s="2877"/>
      <c r="C59" s="2877"/>
      <c r="D59" s="2922"/>
      <c r="E59" s="2922"/>
      <c r="F59" s="2922"/>
      <c r="G59" s="2922"/>
      <c r="H59" s="2922"/>
      <c r="I59" s="2922"/>
      <c r="J59" s="2922"/>
      <c r="K59" s="2922"/>
      <c r="L59" s="2922"/>
      <c r="M59" s="2922"/>
      <c r="N59" s="2922"/>
      <c r="O59" s="2922"/>
      <c r="P59" s="2922"/>
      <c r="Q59" s="2922"/>
      <c r="R59" s="2922">
        <f t="shared" si="10"/>
        <v>0</v>
      </c>
      <c r="S59" s="2922"/>
      <c r="T59" s="2922" t="e">
        <f t="shared" ref="T59" si="20">(S59-S66)*(1+#REF!)+T66</f>
        <v>#REF!</v>
      </c>
      <c r="U59" s="2922" t="e">
        <f t="shared" ref="U59" si="21">(T59-T66)*(1+#REF!)+U66</f>
        <v>#REF!</v>
      </c>
      <c r="V59" s="2922" t="e">
        <f t="shared" ref="V59" si="22">(U59-U66)*(1+#REF!)+V66</f>
        <v>#REF!</v>
      </c>
      <c r="W59" s="2922" t="e">
        <f t="shared" ref="W59" si="23">(V59-V66)*(1+#REF!)+W66</f>
        <v>#REF!</v>
      </c>
      <c r="X59" s="2854" t="e">
        <f t="shared" ref="X59" si="24">(W59-W66)*(1+#REF!)+X66</f>
        <v>#REF!</v>
      </c>
    </row>
    <row r="60" spans="1:28" s="2873" customFormat="1">
      <c r="A60" s="2871" t="s">
        <v>4166</v>
      </c>
      <c r="B60" s="2872">
        <v>2837.8626519533232</v>
      </c>
      <c r="C60" s="2872">
        <f>C61+C62+C69+C70+C76+C82+C87+C95+C96</f>
        <v>2885.7836707526394</v>
      </c>
      <c r="D60" s="2872">
        <v>3145.6542574378323</v>
      </c>
      <c r="E60" s="2872">
        <f>E61+E62+E69+E70+E76+E82+E87+E95+E96</f>
        <v>259.87058668519342</v>
      </c>
      <c r="F60" s="2872">
        <v>3251.3709077106237</v>
      </c>
      <c r="G60" s="2872">
        <v>3338.0048193163675</v>
      </c>
      <c r="H60" s="2872">
        <f>G60-F60</f>
        <v>86.633911605743833</v>
      </c>
      <c r="I60" s="2872">
        <f>I61+I62+I69+I70+I76+I82+I87+I95+I96</f>
        <v>3569.4760706812494</v>
      </c>
      <c r="J60" s="2872">
        <v>3578.1438411167228</v>
      </c>
      <c r="K60" s="2872">
        <f t="shared" si="7"/>
        <v>8.6677704354733578</v>
      </c>
      <c r="L60" s="2872">
        <f>L61+L62+L69+L70+L76+L82+L87+L95+L96</f>
        <v>3762.1858112859281</v>
      </c>
      <c r="M60" s="2872">
        <f t="shared" ref="M60:M71" si="25">L60-J60</f>
        <v>184.04197016920534</v>
      </c>
      <c r="N60" s="2872">
        <v>4183.6952392459452</v>
      </c>
      <c r="O60" s="2872">
        <f>O61+O62+O69+O70+O76+O82+O87+O95+O96</f>
        <v>4359.438380780578</v>
      </c>
      <c r="P60" s="2872">
        <f>P61+P62+P69+P70+P76+P82+P87+P95+P96</f>
        <v>4245.6285275945174</v>
      </c>
      <c r="Q60" s="2872">
        <f>Q61+Q62+Q69+Q70+Q76+Q82+Q87+Q95+Q96</f>
        <v>4251.6783774544647</v>
      </c>
      <c r="R60" s="2872">
        <f t="shared" si="10"/>
        <v>6.0498498599472441</v>
      </c>
      <c r="S60" s="2872">
        <f>S61+S62+S69+S70+S76+S82+S87+S95+S96</f>
        <v>4772.7374391773155</v>
      </c>
      <c r="T60" s="2872">
        <f>T61+T62+T69+T70+T76+T82+T87+T95+T96</f>
        <v>4885.4290949595616</v>
      </c>
      <c r="U60" s="2872">
        <f t="shared" si="11"/>
        <v>112.69165578224602</v>
      </c>
      <c r="V60" s="2872">
        <f>V61+V62+V69+V70+V76+V82+V87+V95+V96</f>
        <v>5735.1391675304867</v>
      </c>
      <c r="W60" s="2872">
        <f>W61+W62+W69+W70+W76+W82+W87+W95+W96</f>
        <v>6268.8053083461791</v>
      </c>
      <c r="Y60" s="2874"/>
      <c r="AB60" s="2875"/>
    </row>
    <row r="61" spans="1:28">
      <c r="A61" s="2876" t="s">
        <v>4062</v>
      </c>
      <c r="B61" s="2895">
        <v>313.43555349100001</v>
      </c>
      <c r="C61" s="2895">
        <v>366.2483260872296</v>
      </c>
      <c r="D61" s="2895">
        <v>367.71383238600004</v>
      </c>
      <c r="E61" s="2884">
        <f t="shared" si="12"/>
        <v>1.4655062987704355</v>
      </c>
      <c r="F61" s="2895">
        <v>467.58729612137495</v>
      </c>
      <c r="G61" s="2895">
        <v>467.56137557676493</v>
      </c>
      <c r="H61" s="2895">
        <f t="shared" ref="H61:H121" si="26">G61-F61</f>
        <v>-2.5920544610016805E-2</v>
      </c>
      <c r="I61" s="2895">
        <v>550.16544379991205</v>
      </c>
      <c r="J61" s="2895">
        <v>550.16441264770879</v>
      </c>
      <c r="K61" s="2895">
        <f t="shared" si="7"/>
        <v>-1.0311522032679932E-3</v>
      </c>
      <c r="L61" s="2895">
        <v>568.61029605741351</v>
      </c>
      <c r="M61" s="2895">
        <f t="shared" si="25"/>
        <v>18.44588340970472</v>
      </c>
      <c r="N61" s="2895">
        <v>635.77879788629457</v>
      </c>
      <c r="O61" s="2895">
        <v>672.6705647057039</v>
      </c>
      <c r="P61" s="2895">
        <v>673.21571377579289</v>
      </c>
      <c r="Q61" s="2895">
        <f>FISC!AK1157</f>
        <v>673.21571377579289</v>
      </c>
      <c r="R61" s="2895">
        <f t="shared" si="10"/>
        <v>0</v>
      </c>
      <c r="S61" s="2895">
        <v>757.76075141096021</v>
      </c>
      <c r="T61" s="2895">
        <f>FISC!AL1157</f>
        <v>757.76075141096021</v>
      </c>
      <c r="U61" s="2895">
        <f t="shared" si="11"/>
        <v>0</v>
      </c>
      <c r="V61" s="2895">
        <f>FISC!AM1157</f>
        <v>858.27832537670611</v>
      </c>
      <c r="W61" s="2895">
        <f>FISC!AN1157</f>
        <v>969.83545258185904</v>
      </c>
    </row>
    <row r="62" spans="1:28">
      <c r="A62" s="2876" t="s">
        <v>4063</v>
      </c>
      <c r="B62" s="2895">
        <v>643.8922482253447</v>
      </c>
      <c r="C62" s="2895">
        <v>713.97033103131366</v>
      </c>
      <c r="D62" s="2895">
        <v>743.2</v>
      </c>
      <c r="E62" s="2884">
        <f t="shared" si="12"/>
        <v>29.229668968686383</v>
      </c>
      <c r="F62" s="2895">
        <v>749.64033061407008</v>
      </c>
      <c r="G62" s="2895">
        <v>827.93485814831979</v>
      </c>
      <c r="H62" s="2895">
        <f t="shared" si="26"/>
        <v>78.29452753424971</v>
      </c>
      <c r="I62" s="2895">
        <v>778.33504555123204</v>
      </c>
      <c r="J62" s="2895">
        <v>831.40441245975239</v>
      </c>
      <c r="K62" s="2895">
        <f>J62-I62</f>
        <v>53.069366908520351</v>
      </c>
      <c r="L62" s="2895">
        <v>866.23772227569987</v>
      </c>
      <c r="M62" s="2895">
        <f t="shared" si="25"/>
        <v>34.833309815947473</v>
      </c>
      <c r="N62" s="2895">
        <v>833.02349289673111</v>
      </c>
      <c r="O62" s="2895">
        <v>889.35801738094347</v>
      </c>
      <c r="P62" s="2895">
        <v>870.06093973790553</v>
      </c>
      <c r="Q62" s="2895">
        <f>FISC!AK1159</f>
        <v>870.03717424352874</v>
      </c>
      <c r="R62" s="2895">
        <f t="shared" si="10"/>
        <v>-2.376549437678932E-2</v>
      </c>
      <c r="S62" s="2895">
        <v>986.17476181014888</v>
      </c>
      <c r="T62" s="2895">
        <f>FISC!AL1159</f>
        <v>1035.0512495823102</v>
      </c>
      <c r="U62" s="2895">
        <f t="shared" si="11"/>
        <v>48.87648777216134</v>
      </c>
      <c r="V62" s="2895">
        <f>FISC!AM1159</f>
        <v>1186.7115082119838</v>
      </c>
      <c r="W62" s="2895">
        <f>FISC!AN1159</f>
        <v>1340.4186662978084</v>
      </c>
      <c r="X62" s="2895">
        <f>R62-R64</f>
        <v>0.29475248702732415</v>
      </c>
    </row>
    <row r="63" spans="1:28">
      <c r="A63" s="2924" t="s">
        <v>4064</v>
      </c>
      <c r="B63" s="2883"/>
      <c r="C63" s="2883"/>
      <c r="D63" s="2883"/>
      <c r="E63" s="2884"/>
      <c r="F63" s="2883"/>
      <c r="G63" s="2883"/>
      <c r="H63" s="2883"/>
      <c r="I63" s="2883">
        <v>0</v>
      </c>
      <c r="J63" s="2883">
        <v>20</v>
      </c>
      <c r="K63" s="2883">
        <f t="shared" si="7"/>
        <v>20</v>
      </c>
      <c r="L63" s="2883">
        <v>50</v>
      </c>
      <c r="M63" s="2883">
        <f t="shared" si="25"/>
        <v>30</v>
      </c>
      <c r="N63" s="2883">
        <v>20</v>
      </c>
      <c r="O63" s="2883">
        <v>0</v>
      </c>
      <c r="P63" s="2883">
        <v>0</v>
      </c>
      <c r="Q63" s="2883">
        <v>0</v>
      </c>
      <c r="R63" s="2883">
        <f t="shared" si="10"/>
        <v>0</v>
      </c>
      <c r="S63" s="2883">
        <v>0</v>
      </c>
      <c r="T63" s="2883">
        <v>0</v>
      </c>
      <c r="U63" s="2883">
        <f t="shared" si="11"/>
        <v>0</v>
      </c>
      <c r="V63" s="2883">
        <v>0</v>
      </c>
      <c r="W63" s="2883">
        <v>1</v>
      </c>
    </row>
    <row r="64" spans="1:28">
      <c r="A64" s="2890" t="s">
        <v>4065</v>
      </c>
      <c r="B64" s="2883">
        <v>174.58297555279938</v>
      </c>
      <c r="C64" s="2883">
        <v>185.48361187014359</v>
      </c>
      <c r="D64" s="2883">
        <v>146.45347324939121</v>
      </c>
      <c r="E64" s="2884">
        <f t="shared" si="12"/>
        <v>-39.030138620752382</v>
      </c>
      <c r="F64" s="2883">
        <v>208.3458693706676</v>
      </c>
      <c r="G64" s="2883">
        <v>224.80882562677158</v>
      </c>
      <c r="H64" s="2883">
        <f>G64-F64</f>
        <v>16.462956256103979</v>
      </c>
      <c r="I64" s="2883">
        <v>212.61019897344079</v>
      </c>
      <c r="J64" s="2883">
        <v>208.97773724750209</v>
      </c>
      <c r="K64" s="2883">
        <f t="shared" si="7"/>
        <v>-3.6324617259386969</v>
      </c>
      <c r="L64" s="2883">
        <v>209.99611745433467</v>
      </c>
      <c r="M64" s="2883">
        <f t="shared" si="25"/>
        <v>1.0183802068325747</v>
      </c>
      <c r="N64" s="2883">
        <v>225.23364466325103</v>
      </c>
      <c r="O64" s="2883">
        <v>197.24899460437902</v>
      </c>
      <c r="P64" s="2883">
        <f t="shared" ref="P64:Q66" si="27">P20</f>
        <v>192.47571639526876</v>
      </c>
      <c r="Q64" s="2883">
        <f t="shared" si="27"/>
        <v>192.15719841386465</v>
      </c>
      <c r="R64" s="2883">
        <f t="shared" si="10"/>
        <v>-0.31851798140411347</v>
      </c>
      <c r="S64" s="2883">
        <f>S20</f>
        <v>204.13907831225228</v>
      </c>
      <c r="T64" s="2883">
        <f>T20</f>
        <v>222.32415278363686</v>
      </c>
      <c r="U64" s="2883">
        <f t="shared" si="11"/>
        <v>18.185074471384581</v>
      </c>
      <c r="V64" s="2883">
        <f t="shared" ref="V64:W66" si="28">V20</f>
        <v>232.9503827957335</v>
      </c>
      <c r="W64" s="2883">
        <f t="shared" si="28"/>
        <v>243.98677094912571</v>
      </c>
      <c r="X64" s="2895"/>
      <c r="Y64" s="2895">
        <f>R62+R70-R72+R87+R76+R61+R86+R101</f>
        <v>23.268836536676361</v>
      </c>
    </row>
    <row r="65" spans="1:25">
      <c r="A65" s="2923" t="s">
        <v>4031</v>
      </c>
      <c r="B65" s="2883">
        <v>83.367922247692093</v>
      </c>
      <c r="C65" s="2883">
        <v>88.573260271501198</v>
      </c>
      <c r="D65" s="2883">
        <v>88.573260271501198</v>
      </c>
      <c r="E65" s="2884">
        <f t="shared" si="12"/>
        <v>0</v>
      </c>
      <c r="F65" s="2883">
        <v>94.183966518235337</v>
      </c>
      <c r="G65" s="2883">
        <v>94.183966518235337</v>
      </c>
      <c r="H65" s="2883">
        <f t="shared" si="26"/>
        <v>0</v>
      </c>
      <c r="I65" s="2883">
        <v>99.086425878235346</v>
      </c>
      <c r="J65" s="2883">
        <v>97.393526613286568</v>
      </c>
      <c r="K65" s="2883">
        <f t="shared" si="7"/>
        <v>-1.6928992649487782</v>
      </c>
      <c r="L65" s="2883">
        <v>97.393526613286568</v>
      </c>
      <c r="M65" s="2883">
        <f t="shared" si="25"/>
        <v>0</v>
      </c>
      <c r="N65" s="2883">
        <v>104.96954964986382</v>
      </c>
      <c r="O65" s="2883">
        <f>O21</f>
        <v>91.927376851120698</v>
      </c>
      <c r="P65" s="2883">
        <f t="shared" si="27"/>
        <v>89.70280305481711</v>
      </c>
      <c r="Q65" s="2883">
        <f t="shared" si="27"/>
        <v>89.120063001760073</v>
      </c>
      <c r="R65" s="2883">
        <f t="shared" si="10"/>
        <v>-0.58274005305703724</v>
      </c>
      <c r="S65" s="2883">
        <f t="shared" ref="S65:S66" si="29">S21</f>
        <v>95.138482300959893</v>
      </c>
      <c r="T65" s="2883">
        <f>T21</f>
        <v>103.61358858654378</v>
      </c>
      <c r="U65" s="2883">
        <f t="shared" si="11"/>
        <v>8.475106285583891</v>
      </c>
      <c r="V65" s="2883">
        <f t="shared" si="28"/>
        <v>108.5659152272343</v>
      </c>
      <c r="W65" s="2883">
        <f t="shared" si="28"/>
        <v>113.7093949944544</v>
      </c>
    </row>
    <row r="66" spans="1:25">
      <c r="A66" s="2923" t="s">
        <v>4032</v>
      </c>
      <c r="B66" s="2883">
        <v>91.21505330510729</v>
      </c>
      <c r="C66" s="2883">
        <v>96.910351598642407</v>
      </c>
      <c r="D66" s="2883">
        <v>93.810351598642413</v>
      </c>
      <c r="E66" s="2884">
        <f t="shared" si="12"/>
        <v>-3.0999999999999943</v>
      </c>
      <c r="F66" s="2883">
        <v>103.04917400871297</v>
      </c>
      <c r="G66" s="2883">
        <v>103.04917400871297</v>
      </c>
      <c r="H66" s="2883">
        <f t="shared" si="26"/>
        <v>0</v>
      </c>
      <c r="I66" s="2883">
        <v>108.41308472871297</v>
      </c>
      <c r="J66" s="2883">
        <v>111.58421063421552</v>
      </c>
      <c r="K66" s="2883">
        <f t="shared" si="7"/>
        <v>3.1711259055025494</v>
      </c>
      <c r="L66" s="2883">
        <f>L64-L65</f>
        <v>112.6025908410481</v>
      </c>
      <c r="M66" s="2883">
        <f t="shared" si="25"/>
        <v>1.0183802068325747</v>
      </c>
      <c r="N66" s="2883">
        <v>120.26409501338721</v>
      </c>
      <c r="O66" s="2883">
        <f>O64-O65</f>
        <v>105.32161775325832</v>
      </c>
      <c r="P66" s="2883">
        <f t="shared" si="27"/>
        <v>102.77291334045165</v>
      </c>
      <c r="Q66" s="2883">
        <f t="shared" si="27"/>
        <v>103.03713541210458</v>
      </c>
      <c r="R66" s="2883">
        <f t="shared" si="10"/>
        <v>0.26422207165292377</v>
      </c>
      <c r="S66" s="2883">
        <f t="shared" si="29"/>
        <v>109.00059601129239</v>
      </c>
      <c r="T66" s="2883">
        <f>T22</f>
        <v>118.71056419709308</v>
      </c>
      <c r="U66" s="2883">
        <f t="shared" si="11"/>
        <v>9.7099681858006903</v>
      </c>
      <c r="V66" s="2883">
        <f t="shared" si="28"/>
        <v>124.3844675684992</v>
      </c>
      <c r="W66" s="2883">
        <f t="shared" si="28"/>
        <v>130.2773759546713</v>
      </c>
    </row>
    <row r="67" spans="1:25">
      <c r="A67" s="2924" t="s">
        <v>4066</v>
      </c>
      <c r="B67" s="2883"/>
      <c r="C67" s="2883"/>
      <c r="D67" s="2883"/>
      <c r="E67" s="2884"/>
      <c r="F67" s="2883"/>
      <c r="G67" s="2883">
        <v>27.194808282</v>
      </c>
      <c r="H67" s="2883">
        <f>G67-F67</f>
        <v>27.194808282</v>
      </c>
      <c r="I67" s="2883">
        <v>25.9</v>
      </c>
      <c r="J67" s="2883">
        <v>44.632027822022501</v>
      </c>
      <c r="K67" s="2883">
        <f t="shared" si="7"/>
        <v>18.732027822022502</v>
      </c>
      <c r="L67" s="2883">
        <v>40.645215962722908</v>
      </c>
      <c r="M67" s="2883">
        <f t="shared" si="25"/>
        <v>-3.9868118592995927</v>
      </c>
      <c r="N67" s="2883">
        <v>46.133089753488214</v>
      </c>
      <c r="O67" s="2883">
        <v>57.075150136318676</v>
      </c>
      <c r="P67" s="2883">
        <v>58.080130322318681</v>
      </c>
      <c r="Q67" s="2883">
        <f>SUM(FISC!AK1170:AK1183)</f>
        <v>58.080130322318681</v>
      </c>
      <c r="R67" s="2883">
        <f t="shared" si="10"/>
        <v>0</v>
      </c>
      <c r="S67" s="2883">
        <v>33.160709556782884</v>
      </c>
      <c r="T67" s="2883">
        <f>SUM(FISC!AL1170:AL1183)</f>
        <v>82.018622528782856</v>
      </c>
      <c r="U67" s="2883">
        <f t="shared" si="11"/>
        <v>48.857912971999973</v>
      </c>
      <c r="V67" s="2883">
        <f>SUM(FISC!AN1170:AN1183)</f>
        <v>60.425743339067139</v>
      </c>
      <c r="W67" s="2883">
        <f>SUM(FISC!AO1170:AO1183)</f>
        <v>55.480624407676657</v>
      </c>
    </row>
    <row r="68" spans="1:25" s="2910" customFormat="1">
      <c r="A68" s="2925" t="s">
        <v>4067</v>
      </c>
      <c r="B68" s="2926"/>
      <c r="C68" s="2926"/>
      <c r="D68" s="2926"/>
      <c r="E68" s="2927"/>
      <c r="F68" s="2926"/>
      <c r="G68" s="2926"/>
      <c r="H68" s="2926"/>
      <c r="I68" s="2926"/>
      <c r="J68" s="2926">
        <v>60</v>
      </c>
      <c r="K68" s="2926">
        <f t="shared" ref="K68:M68" si="30">K198+K205</f>
        <v>0</v>
      </c>
      <c r="L68" s="2926">
        <f t="shared" si="30"/>
        <v>0</v>
      </c>
      <c r="M68" s="2926">
        <f t="shared" si="30"/>
        <v>0</v>
      </c>
      <c r="N68" s="2926">
        <v>100</v>
      </c>
      <c r="O68" s="2926">
        <f>O198+O205</f>
        <v>120.97019115542366</v>
      </c>
      <c r="P68" s="2926">
        <f>P198+P205</f>
        <v>152.93750895630524</v>
      </c>
      <c r="Q68" s="2926">
        <f>Q198+Q205</f>
        <v>127.2509150383994</v>
      </c>
      <c r="R68" s="2926">
        <f t="shared" si="10"/>
        <v>-25.686593917905839</v>
      </c>
      <c r="S68" s="2926">
        <f>S198+S205</f>
        <v>116.18700866209068</v>
      </c>
      <c r="T68" s="2926">
        <f>T198+T205</f>
        <v>116.18700866209068</v>
      </c>
      <c r="U68" s="2926">
        <f t="shared" si="11"/>
        <v>0</v>
      </c>
      <c r="V68" s="2926">
        <f>V198+V205</f>
        <v>50</v>
      </c>
      <c r="W68" s="2926">
        <f>W198+W205</f>
        <v>0</v>
      </c>
    </row>
    <row r="69" spans="1:25">
      <c r="A69" s="2876" t="s">
        <v>4068</v>
      </c>
      <c r="B69" s="2877">
        <v>0</v>
      </c>
      <c r="C69" s="2895">
        <v>0</v>
      </c>
      <c r="D69" s="2895"/>
      <c r="E69" s="2884">
        <f t="shared" si="12"/>
        <v>0</v>
      </c>
      <c r="F69" s="2895"/>
      <c r="G69" s="2895">
        <v>0</v>
      </c>
      <c r="H69" s="2895">
        <f t="shared" si="26"/>
        <v>0</v>
      </c>
      <c r="I69" s="2895">
        <v>0</v>
      </c>
      <c r="J69" s="2895">
        <v>0</v>
      </c>
      <c r="K69" s="2895">
        <f t="shared" si="7"/>
        <v>0</v>
      </c>
      <c r="L69" s="2895">
        <v>0</v>
      </c>
      <c r="M69" s="2895">
        <f t="shared" si="25"/>
        <v>0</v>
      </c>
      <c r="N69" s="2895"/>
      <c r="O69" s="2895"/>
      <c r="P69" s="2895"/>
      <c r="Q69" s="2895"/>
      <c r="R69" s="2895">
        <f t="shared" si="10"/>
        <v>0</v>
      </c>
      <c r="S69" s="2895"/>
      <c r="T69" s="2895"/>
      <c r="U69" s="2895">
        <f t="shared" si="11"/>
        <v>0</v>
      </c>
      <c r="V69" s="2895"/>
      <c r="W69" s="2895"/>
      <c r="Y69" s="2883"/>
    </row>
    <row r="70" spans="1:25" s="2910" customFormat="1">
      <c r="A70" s="2902" t="s">
        <v>4069</v>
      </c>
      <c r="B70" s="2877">
        <v>252.85178144404313</v>
      </c>
      <c r="C70" s="2877">
        <f>C71+C74</f>
        <v>296.15975693046522</v>
      </c>
      <c r="D70" s="2877">
        <v>303.50285692110134</v>
      </c>
      <c r="E70" s="2877">
        <f t="shared" ref="E70:O70" si="31">E71+E74</f>
        <v>7.3430999906361478</v>
      </c>
      <c r="F70" s="2877">
        <v>467.65553346815346</v>
      </c>
      <c r="G70" s="2877">
        <v>420.80651242233085</v>
      </c>
      <c r="H70" s="2877">
        <f t="shared" si="26"/>
        <v>-46.84902104582261</v>
      </c>
      <c r="I70" s="2877">
        <v>504.11056021598336</v>
      </c>
      <c r="J70" s="2877">
        <v>500.05423578942782</v>
      </c>
      <c r="K70" s="2877">
        <f t="shared" si="7"/>
        <v>-4.056324426555534</v>
      </c>
      <c r="L70" s="2877">
        <f t="shared" ref="L70" si="32">L71+L74</f>
        <v>502.94296772257599</v>
      </c>
      <c r="M70" s="2877">
        <f t="shared" si="25"/>
        <v>2.8887319331481649</v>
      </c>
      <c r="N70" s="2877">
        <v>558.57737525581888</v>
      </c>
      <c r="O70" s="2877">
        <f t="shared" si="31"/>
        <v>604.0949919615241</v>
      </c>
      <c r="P70" s="2877">
        <f>P71+P74</f>
        <v>536.43480775809053</v>
      </c>
      <c r="Q70" s="2877">
        <f>Q71+Q74</f>
        <v>575.63840348451254</v>
      </c>
      <c r="R70" s="2877">
        <f t="shared" si="10"/>
        <v>39.203595726422009</v>
      </c>
      <c r="S70" s="2877">
        <f>S71+S74</f>
        <v>620.62532160413048</v>
      </c>
      <c r="T70" s="2877">
        <f>T71+T74</f>
        <v>665.19205016128569</v>
      </c>
      <c r="U70" s="2877">
        <f t="shared" si="11"/>
        <v>44.566728557155216</v>
      </c>
      <c r="V70" s="2877">
        <f>V71+V74</f>
        <v>707.34308411161601</v>
      </c>
      <c r="W70" s="2877">
        <f>W71+W74</f>
        <v>697.38033501178086</v>
      </c>
    </row>
    <row r="71" spans="1:25">
      <c r="A71" s="2876" t="s">
        <v>4070</v>
      </c>
      <c r="B71" s="2895">
        <v>84.73195960891313</v>
      </c>
      <c r="C71" s="2895">
        <v>109.5344837004652</v>
      </c>
      <c r="D71" s="2895">
        <v>100.84906284410137</v>
      </c>
      <c r="E71" s="2884">
        <f t="shared" si="12"/>
        <v>-8.6854208563638338</v>
      </c>
      <c r="F71" s="2895">
        <v>156.58454199720711</v>
      </c>
      <c r="G71" s="2895">
        <v>184.36689967573625</v>
      </c>
      <c r="H71" s="2895">
        <f t="shared" si="26"/>
        <v>27.782357678529138</v>
      </c>
      <c r="I71" s="2895">
        <v>241.9056103280009</v>
      </c>
      <c r="J71" s="2895">
        <v>237.81321847454316</v>
      </c>
      <c r="K71" s="2895">
        <f t="shared" si="7"/>
        <v>-4.092391853457741</v>
      </c>
      <c r="L71" s="2895">
        <v>238.97211835453751</v>
      </c>
      <c r="M71" s="2895">
        <f t="shared" si="25"/>
        <v>1.1588998799943511</v>
      </c>
      <c r="N71" s="2895">
        <v>257.67256226724072</v>
      </c>
      <c r="O71" s="2895">
        <v>327.79301948552416</v>
      </c>
      <c r="P71" s="2895">
        <v>251.11788637609055</v>
      </c>
      <c r="Q71" s="2895">
        <f>FISC!AK1189</f>
        <v>286.79074781751251</v>
      </c>
      <c r="R71" s="2895">
        <f t="shared" ref="R71:R136" si="33">Q71-P71</f>
        <v>35.672861441421958</v>
      </c>
      <c r="S71" s="2895">
        <v>291.05283609913056</v>
      </c>
      <c r="T71" s="2895">
        <f>FISC!AL1189</f>
        <v>332.70263135628568</v>
      </c>
      <c r="U71" s="2895">
        <f t="shared" ref="U71:U136" si="34">T71-S71</f>
        <v>41.64979525715512</v>
      </c>
      <c r="V71" s="2895">
        <f>FISC!AM1189</f>
        <v>372.06874372761598</v>
      </c>
      <c r="W71" s="2895">
        <f>FISC!AN1189</f>
        <v>394.35846276978089</v>
      </c>
    </row>
    <row r="72" spans="1:25" ht="23.1">
      <c r="A72" s="2928" t="s">
        <v>4071</v>
      </c>
      <c r="B72" s="2895"/>
      <c r="C72" s="2895"/>
      <c r="D72" s="2895"/>
      <c r="E72" s="2884"/>
      <c r="F72" s="2895"/>
      <c r="G72" s="2895"/>
      <c r="H72" s="2895"/>
      <c r="I72" s="2895"/>
      <c r="J72" s="2895"/>
      <c r="K72" s="2895"/>
      <c r="L72" s="2895"/>
      <c r="M72" s="2895"/>
      <c r="N72" s="2895"/>
      <c r="O72" s="2895">
        <v>18.270806904184909</v>
      </c>
      <c r="P72" s="2895">
        <v>0</v>
      </c>
      <c r="Q72" s="2895">
        <v>0</v>
      </c>
      <c r="R72" s="2895">
        <f t="shared" si="33"/>
        <v>0</v>
      </c>
      <c r="S72" s="2895">
        <v>0</v>
      </c>
      <c r="T72" s="2895">
        <v>0</v>
      </c>
      <c r="U72" s="2895">
        <f t="shared" si="34"/>
        <v>0</v>
      </c>
      <c r="V72" s="2895">
        <v>0</v>
      </c>
      <c r="W72" s="2895">
        <v>0</v>
      </c>
    </row>
    <row r="73" spans="1:25" ht="23.1">
      <c r="A73" s="2928" t="s">
        <v>4072</v>
      </c>
      <c r="B73" s="2895"/>
      <c r="C73" s="2895"/>
      <c r="D73" s="2895"/>
      <c r="E73" s="2884"/>
      <c r="F73" s="2895"/>
      <c r="G73" s="2895"/>
      <c r="H73" s="2895"/>
      <c r="I73" s="2895"/>
      <c r="J73" s="2895"/>
      <c r="K73" s="2895"/>
      <c r="L73" s="2895"/>
      <c r="M73" s="2895"/>
      <c r="N73" s="2895"/>
      <c r="O73" s="2895">
        <v>58.374698730275497</v>
      </c>
      <c r="P73" s="2895">
        <v>0</v>
      </c>
      <c r="Q73" s="2895">
        <v>0</v>
      </c>
      <c r="R73" s="2895">
        <f t="shared" si="33"/>
        <v>0</v>
      </c>
      <c r="S73" s="2895">
        <v>32.844690024612078</v>
      </c>
      <c r="T73" s="2895">
        <v>0</v>
      </c>
      <c r="U73" s="2895">
        <f t="shared" si="34"/>
        <v>-32.844690024612078</v>
      </c>
      <c r="V73" s="2895">
        <v>0</v>
      </c>
      <c r="W73" s="2895">
        <v>0</v>
      </c>
    </row>
    <row r="74" spans="1:25">
      <c r="A74" s="2876" t="s">
        <v>4073</v>
      </c>
      <c r="B74" s="2895">
        <v>168.11982183513001</v>
      </c>
      <c r="C74" s="2895">
        <v>186.62527323</v>
      </c>
      <c r="D74" s="2895">
        <v>202.65379407699999</v>
      </c>
      <c r="E74" s="2884">
        <f t="shared" si="12"/>
        <v>16.028520846999982</v>
      </c>
      <c r="F74" s="2895">
        <v>311.07099147094635</v>
      </c>
      <c r="G74" s="2895">
        <v>236.43961274659461</v>
      </c>
      <c r="H74" s="2895">
        <f t="shared" si="26"/>
        <v>-74.631378724351748</v>
      </c>
      <c r="I74" s="2895">
        <v>262.20494988798242</v>
      </c>
      <c r="J74" s="2895">
        <v>262.24101731488463</v>
      </c>
      <c r="K74" s="2895">
        <f t="shared" si="7"/>
        <v>3.6067426902206989E-2</v>
      </c>
      <c r="L74" s="2895">
        <v>263.97084936803844</v>
      </c>
      <c r="M74" s="2895">
        <f>L74-J74</f>
        <v>1.7298320531538138</v>
      </c>
      <c r="N74" s="2895">
        <v>300.9048129885781</v>
      </c>
      <c r="O74" s="2895">
        <v>276.301972476</v>
      </c>
      <c r="P74" s="2895">
        <v>285.31692138200003</v>
      </c>
      <c r="Q74" s="2895">
        <f>FISC!AK1196</f>
        <v>288.84765566700003</v>
      </c>
      <c r="R74" s="2895">
        <f t="shared" si="33"/>
        <v>3.5307342849999941</v>
      </c>
      <c r="S74" s="2895">
        <v>329.57248550499997</v>
      </c>
      <c r="T74" s="2895">
        <f>FISC!AL1196</f>
        <v>332.48941880500001</v>
      </c>
      <c r="U74" s="2895">
        <f t="shared" si="34"/>
        <v>2.9169333000000393</v>
      </c>
      <c r="V74" s="2895">
        <f>FISC!AM1196</f>
        <v>335.27434038399997</v>
      </c>
      <c r="W74" s="2895">
        <f>FISC!AN1196</f>
        <v>303.02187224199997</v>
      </c>
      <c r="X74" s="2883"/>
    </row>
    <row r="75" spans="1:25" ht="23.1">
      <c r="A75" s="2928" t="s">
        <v>3686</v>
      </c>
      <c r="B75" s="2895"/>
      <c r="C75" s="2895"/>
      <c r="D75" s="2895"/>
      <c r="E75" s="2884"/>
      <c r="F75" s="2895"/>
      <c r="G75" s="2895"/>
      <c r="H75" s="2895"/>
      <c r="I75" s="2895"/>
      <c r="J75" s="2895"/>
      <c r="K75" s="2895"/>
      <c r="L75" s="2895"/>
      <c r="M75" s="2895"/>
      <c r="N75" s="2895"/>
      <c r="O75" s="2895">
        <v>0</v>
      </c>
      <c r="P75" s="2895">
        <v>9.1750000000000007</v>
      </c>
      <c r="Q75" s="2895">
        <f>FISC!AK1197</f>
        <v>9.1750000000000007</v>
      </c>
      <c r="R75" s="2895">
        <f t="shared" si="33"/>
        <v>0</v>
      </c>
      <c r="S75" s="2895">
        <v>38.793999999999997</v>
      </c>
      <c r="T75" s="2895">
        <f>FISC!AL1197</f>
        <v>38.793999999999997</v>
      </c>
      <c r="U75" s="2895">
        <f t="shared" si="34"/>
        <v>0</v>
      </c>
      <c r="V75" s="2895">
        <f>FISC!AM1197</f>
        <v>58.241199999999999</v>
      </c>
      <c r="W75" s="2895">
        <f>FISC!AN1197</f>
        <v>60</v>
      </c>
      <c r="X75" s="2883"/>
    </row>
    <row r="76" spans="1:25" s="2910" customFormat="1">
      <c r="A76" s="2902" t="s">
        <v>4074</v>
      </c>
      <c r="B76" s="2877">
        <v>512.31469951719521</v>
      </c>
      <c r="C76" s="2877">
        <f>C77+C79+C81</f>
        <v>327.79724939472487</v>
      </c>
      <c r="D76" s="2877">
        <v>375.43204967273039</v>
      </c>
      <c r="E76" s="2877">
        <f t="shared" ref="E76:O76" si="35">E77+E79+E81</f>
        <v>47.634800278005528</v>
      </c>
      <c r="F76" s="2877">
        <v>198.39379043508771</v>
      </c>
      <c r="G76" s="2877">
        <v>232.01089405707506</v>
      </c>
      <c r="H76" s="2877">
        <f t="shared" si="26"/>
        <v>33.617103621987354</v>
      </c>
      <c r="I76" s="2877">
        <v>258.59684613289585</v>
      </c>
      <c r="J76" s="2877">
        <v>266.23839633609526</v>
      </c>
      <c r="K76" s="2877">
        <f t="shared" si="7"/>
        <v>7.6415502031994151</v>
      </c>
      <c r="L76" s="2877">
        <f t="shared" ref="L76" si="36">L77+L79+L81</f>
        <v>284.44209264058048</v>
      </c>
      <c r="M76" s="2877">
        <f>L76-J76</f>
        <v>18.20369630448522</v>
      </c>
      <c r="N76" s="2877">
        <v>477.13471441280848</v>
      </c>
      <c r="O76" s="2877">
        <f t="shared" si="35"/>
        <v>466.99357881177832</v>
      </c>
      <c r="P76" s="2877">
        <f>P77+P79+P81</f>
        <v>548.88921408408157</v>
      </c>
      <c r="Q76" s="2877">
        <f>Q77+Q79+Q81</f>
        <v>518.86135480302562</v>
      </c>
      <c r="R76" s="2877">
        <f t="shared" si="33"/>
        <v>-30.027859281055953</v>
      </c>
      <c r="S76" s="2877">
        <f>S77+S79+S81</f>
        <v>561.99712333773539</v>
      </c>
      <c r="T76" s="2877">
        <f>T77+T79+T81</f>
        <v>543.65474209246929</v>
      </c>
      <c r="U76" s="2877">
        <f t="shared" si="34"/>
        <v>-18.342381245266097</v>
      </c>
      <c r="V76" s="2877">
        <f>V77+V79+V81</f>
        <v>701.33638040036897</v>
      </c>
      <c r="W76" s="2877">
        <f>W77+W79+W81</f>
        <v>780.18574480154871</v>
      </c>
    </row>
    <row r="77" spans="1:25">
      <c r="A77" s="2911" t="s">
        <v>569</v>
      </c>
      <c r="B77" s="2895">
        <v>98.131002331310413</v>
      </c>
      <c r="C77" s="2895">
        <v>101.79870516777629</v>
      </c>
      <c r="D77" s="2895">
        <v>85.215693808710483</v>
      </c>
      <c r="E77" s="2884">
        <f t="shared" si="12"/>
        <v>-16.583011359065807</v>
      </c>
      <c r="F77" s="2895">
        <v>129.73113443208771</v>
      </c>
      <c r="G77" s="2895">
        <v>126.57623221571507</v>
      </c>
      <c r="H77" s="2895">
        <f t="shared" si="26"/>
        <v>-3.1549022163726477</v>
      </c>
      <c r="I77" s="2895">
        <v>188.73099603453585</v>
      </c>
      <c r="J77" s="2895">
        <v>187.21507936573525</v>
      </c>
      <c r="K77" s="2895">
        <f t="shared" ref="K77:K149" si="37">J77-I77</f>
        <v>-1.5159166688005996</v>
      </c>
      <c r="L77" s="2895">
        <v>188.12740684022049</v>
      </c>
      <c r="M77" s="2895">
        <f>L77-J77</f>
        <v>0.9123274744852381</v>
      </c>
      <c r="N77" s="2895">
        <v>345.88878703360666</v>
      </c>
      <c r="O77" s="2895">
        <v>340.06736463441831</v>
      </c>
      <c r="P77" s="2895">
        <v>347.07299990672158</v>
      </c>
      <c r="Q77" s="2895">
        <f>FISC!AK1363</f>
        <v>318.43514062566561</v>
      </c>
      <c r="R77" s="2895">
        <f t="shared" si="33"/>
        <v>-28.637859281055967</v>
      </c>
      <c r="S77" s="2895">
        <v>473.05115730537534</v>
      </c>
      <c r="T77" s="2895">
        <f>FISC!AL1363</f>
        <v>454.70877606010924</v>
      </c>
      <c r="U77" s="2895">
        <f t="shared" si="34"/>
        <v>-18.342381245266097</v>
      </c>
      <c r="V77" s="2895">
        <f>FISC!AM1363</f>
        <v>537.59841601400899</v>
      </c>
      <c r="W77" s="2895">
        <f>FISC!AN1363</f>
        <v>634.30410750818874</v>
      </c>
    </row>
    <row r="78" spans="1:25" ht="23.1">
      <c r="A78" s="2928" t="s">
        <v>4072</v>
      </c>
      <c r="B78" s="2895"/>
      <c r="C78" s="2895"/>
      <c r="D78" s="2895"/>
      <c r="E78" s="2884"/>
      <c r="F78" s="2895"/>
      <c r="G78" s="2895"/>
      <c r="H78" s="2895"/>
      <c r="I78" s="2895"/>
      <c r="J78" s="2895"/>
      <c r="K78" s="2895"/>
      <c r="L78" s="2895"/>
      <c r="M78" s="2895"/>
      <c r="N78" s="2895"/>
      <c r="O78" s="2895">
        <v>0</v>
      </c>
      <c r="P78" s="2895">
        <v>0</v>
      </c>
      <c r="Q78" s="2895">
        <f>FISC!AK1364</f>
        <v>0</v>
      </c>
      <c r="R78" s="2895">
        <f t="shared" si="33"/>
        <v>0</v>
      </c>
      <c r="S78" s="2895">
        <v>0</v>
      </c>
      <c r="T78" s="2895">
        <f>FISC!AL1364</f>
        <v>0</v>
      </c>
      <c r="U78" s="2895">
        <f t="shared" si="34"/>
        <v>0</v>
      </c>
      <c r="V78" s="2895">
        <f>FISC!AM1364</f>
        <v>0</v>
      </c>
      <c r="W78" s="2895">
        <f>FISC!AN1364</f>
        <v>0</v>
      </c>
    </row>
    <row r="79" spans="1:25">
      <c r="A79" s="2911" t="s">
        <v>4075</v>
      </c>
      <c r="B79" s="2895">
        <v>346.49347531088478</v>
      </c>
      <c r="C79" s="2895">
        <v>65.475197579999929</v>
      </c>
      <c r="D79" s="2895">
        <v>68.114324774020005</v>
      </c>
      <c r="E79" s="2884">
        <f t="shared" si="12"/>
        <v>2.6391271940200767</v>
      </c>
      <c r="F79" s="2895">
        <v>0</v>
      </c>
      <c r="G79" s="2895">
        <v>0</v>
      </c>
      <c r="H79" s="2895">
        <f t="shared" si="26"/>
        <v>0</v>
      </c>
      <c r="I79" s="2895">
        <v>0</v>
      </c>
      <c r="J79" s="2895">
        <v>0</v>
      </c>
      <c r="K79" s="2895">
        <f t="shared" si="37"/>
        <v>0</v>
      </c>
      <c r="L79" s="2895">
        <v>0</v>
      </c>
      <c r="M79" s="2895">
        <f t="shared" ref="M79:M144" si="38">L79-J79</f>
        <v>0</v>
      </c>
      <c r="N79" s="2895">
        <v>0</v>
      </c>
      <c r="O79" s="2895">
        <v>0</v>
      </c>
      <c r="P79" s="2895">
        <v>0</v>
      </c>
      <c r="Q79" s="2895">
        <f>FISC!AK1350</f>
        <v>0</v>
      </c>
      <c r="R79" s="2895">
        <f t="shared" si="33"/>
        <v>0</v>
      </c>
      <c r="S79" s="2895">
        <v>0</v>
      </c>
      <c r="T79" s="2895">
        <f>FISC!AL1350</f>
        <v>0</v>
      </c>
      <c r="U79" s="2895">
        <f t="shared" si="34"/>
        <v>0</v>
      </c>
      <c r="V79" s="2895">
        <f>FISC!AM1350</f>
        <v>0</v>
      </c>
      <c r="W79" s="2895">
        <f>FISC!AN1350</f>
        <v>0</v>
      </c>
    </row>
    <row r="80" spans="1:25">
      <c r="A80" s="2915" t="s">
        <v>4076</v>
      </c>
      <c r="B80" s="2895"/>
      <c r="C80" s="2895"/>
      <c r="D80" s="2895"/>
      <c r="E80" s="2884"/>
      <c r="F80" s="2895"/>
      <c r="G80" s="2895"/>
      <c r="H80" s="2895"/>
      <c r="I80" s="2895"/>
      <c r="J80" s="2895"/>
      <c r="K80" s="2895"/>
      <c r="L80" s="2895"/>
      <c r="M80" s="2895"/>
      <c r="N80" s="2895"/>
      <c r="O80" s="2895"/>
      <c r="P80" s="2895">
        <f>P38</f>
        <v>73.028300847474497</v>
      </c>
      <c r="Q80" s="2895"/>
      <c r="R80" s="2895">
        <f t="shared" si="33"/>
        <v>-73.028300847474497</v>
      </c>
      <c r="S80" s="2895"/>
      <c r="T80" s="2895"/>
      <c r="U80" s="2895">
        <f t="shared" si="34"/>
        <v>0</v>
      </c>
      <c r="V80" s="2895"/>
      <c r="W80" s="2895"/>
    </row>
    <row r="81" spans="1:28">
      <c r="A81" s="2911" t="s">
        <v>35</v>
      </c>
      <c r="B81" s="2895">
        <v>67.690221875000006</v>
      </c>
      <c r="C81" s="2895">
        <v>160.52334664694868</v>
      </c>
      <c r="D81" s="2895">
        <v>222.10203108999994</v>
      </c>
      <c r="E81" s="2884">
        <f t="shared" si="12"/>
        <v>61.578684443051259</v>
      </c>
      <c r="F81" s="2895">
        <v>68.662656002999995</v>
      </c>
      <c r="G81" s="2895">
        <v>105.43466184136</v>
      </c>
      <c r="H81" s="2895">
        <f t="shared" si="26"/>
        <v>36.772005838360002</v>
      </c>
      <c r="I81" s="2895">
        <v>69.865850098359999</v>
      </c>
      <c r="J81" s="2895">
        <v>79.02331697036</v>
      </c>
      <c r="K81" s="2895">
        <f t="shared" si="37"/>
        <v>9.1574668720000005</v>
      </c>
      <c r="L81" s="2895">
        <v>96.314685800359996</v>
      </c>
      <c r="M81" s="2895">
        <f t="shared" si="38"/>
        <v>17.291368829999996</v>
      </c>
      <c r="N81" s="2895">
        <v>131.24592737920182</v>
      </c>
      <c r="O81" s="2895">
        <v>126.92621417736</v>
      </c>
      <c r="P81" s="2895">
        <v>201.81621417736</v>
      </c>
      <c r="Q81" s="2895">
        <f>-FISC!AK1334+FISC!AK1338</f>
        <v>200.42621417736001</v>
      </c>
      <c r="R81" s="2895">
        <f t="shared" si="33"/>
        <v>-1.3899999999999864</v>
      </c>
      <c r="S81" s="2895">
        <v>88.945966032360005</v>
      </c>
      <c r="T81" s="2895">
        <f>-FISC!AL1334+FISC!AL1338</f>
        <v>88.945966032360005</v>
      </c>
      <c r="U81" s="2895">
        <f t="shared" si="34"/>
        <v>0</v>
      </c>
      <c r="V81" s="2895">
        <f>-FISC!AM1334+FISC!AM1338</f>
        <v>163.73796438636001</v>
      </c>
      <c r="W81" s="2895">
        <f>-FISC!AN1334+FISC!AN1338</f>
        <v>145.88163729335997</v>
      </c>
    </row>
    <row r="82" spans="1:28" s="2910" customFormat="1">
      <c r="A82" s="2902" t="s">
        <v>4077</v>
      </c>
      <c r="B82" s="2913">
        <v>376.19020460102882</v>
      </c>
      <c r="C82" s="2913">
        <f>C83+C85+C86</f>
        <v>299.23472521925021</v>
      </c>
      <c r="D82" s="2913">
        <v>298.87794374700002</v>
      </c>
      <c r="E82" s="2884">
        <f t="shared" si="12"/>
        <v>-0.35678147225019075</v>
      </c>
      <c r="F82" s="2913">
        <v>307.95699930652796</v>
      </c>
      <c r="G82" s="2913">
        <v>307.99850444249296</v>
      </c>
      <c r="H82" s="2913">
        <f t="shared" si="26"/>
        <v>4.1505135964996498E-2</v>
      </c>
      <c r="I82" s="2913">
        <v>322.58881537566896</v>
      </c>
      <c r="J82" s="2913">
        <v>322.57291333448478</v>
      </c>
      <c r="K82" s="2913">
        <f t="shared" si="37"/>
        <v>-1.5902041184176596E-2</v>
      </c>
      <c r="L82" s="2913">
        <v>322.57291333448478</v>
      </c>
      <c r="M82" s="2913">
        <f t="shared" si="38"/>
        <v>0</v>
      </c>
      <c r="N82" s="2913">
        <v>349.77830596088694</v>
      </c>
      <c r="O82" s="2913">
        <v>490.28749774375359</v>
      </c>
      <c r="P82" s="2913">
        <v>384.83560886366604</v>
      </c>
      <c r="Q82" s="2913">
        <f>FISC!AK1198</f>
        <v>384.83560886366604</v>
      </c>
      <c r="R82" s="2913">
        <f t="shared" si="33"/>
        <v>0</v>
      </c>
      <c r="S82" s="2913">
        <v>377.69290860551644</v>
      </c>
      <c r="T82" s="2913">
        <f>FISC!AL1198</f>
        <v>426.77955283879146</v>
      </c>
      <c r="U82" s="2913">
        <f t="shared" si="34"/>
        <v>49.086644233275024</v>
      </c>
      <c r="V82" s="2913">
        <f>FISC!AM1198</f>
        <v>411.93722749300707</v>
      </c>
      <c r="W82" s="2913">
        <f>FISC!AN1198</f>
        <v>383.21087279596361</v>
      </c>
      <c r="Z82" s="2913"/>
    </row>
    <row r="83" spans="1:28">
      <c r="A83" s="2911" t="s">
        <v>4078</v>
      </c>
      <c r="B83" s="2895">
        <v>162.02156004902801</v>
      </c>
      <c r="C83" s="2895">
        <v>174.95116018740632</v>
      </c>
      <c r="D83" s="2895">
        <v>177.2</v>
      </c>
      <c r="E83" s="2884">
        <f t="shared" si="12"/>
        <v>2.2488398125936726</v>
      </c>
      <c r="F83" s="2895">
        <v>179.38103519584993</v>
      </c>
      <c r="G83" s="2895">
        <v>178.42929748547007</v>
      </c>
      <c r="H83" s="2895">
        <f t="shared" si="26"/>
        <v>-0.95173771037985944</v>
      </c>
      <c r="I83" s="2895">
        <v>161.49873750441265</v>
      </c>
      <c r="J83" s="2895">
        <v>161.84644263661758</v>
      </c>
      <c r="K83" s="2895">
        <f t="shared" si="37"/>
        <v>0.34770513220493626</v>
      </c>
      <c r="L83" s="2895">
        <v>161.82803506374094</v>
      </c>
      <c r="M83" s="2895">
        <f t="shared" si="38"/>
        <v>-1.8407572876640188E-2</v>
      </c>
      <c r="N83" s="2895">
        <v>149.43554173586898</v>
      </c>
      <c r="O83" s="2895">
        <v>169.39295807671687</v>
      </c>
      <c r="P83" s="2895">
        <v>185.49188415258524</v>
      </c>
      <c r="Q83" s="2895">
        <f>FISC!AK1199</f>
        <v>185.18492334935436</v>
      </c>
      <c r="R83" s="2895">
        <f t="shared" si="33"/>
        <v>-0.30696080323087926</v>
      </c>
      <c r="S83" s="2895">
        <v>153.82277611719758</v>
      </c>
      <c r="T83" s="2895">
        <f>FISC!AL1199</f>
        <v>208.46764615275004</v>
      </c>
      <c r="U83" s="2895">
        <f t="shared" si="34"/>
        <v>54.644870035552458</v>
      </c>
      <c r="V83" s="2895">
        <f>FISC!AM1199</f>
        <v>158.32304226619874</v>
      </c>
      <c r="W83" s="2895">
        <f>FISC!AN1199</f>
        <v>94.691593443879952</v>
      </c>
    </row>
    <row r="84" spans="1:28">
      <c r="A84" s="2911" t="s">
        <v>4079</v>
      </c>
      <c r="B84" s="2895">
        <v>101.09002099999999</v>
      </c>
      <c r="C84" s="2895">
        <v>0</v>
      </c>
      <c r="D84" s="2895"/>
      <c r="E84" s="2884">
        <f t="shared" si="12"/>
        <v>0</v>
      </c>
      <c r="F84" s="2895">
        <v>0</v>
      </c>
      <c r="G84" s="2895">
        <v>0</v>
      </c>
      <c r="H84" s="2895">
        <f t="shared" si="26"/>
        <v>0</v>
      </c>
      <c r="I84" s="2895">
        <v>0</v>
      </c>
      <c r="J84" s="2895">
        <v>0</v>
      </c>
      <c r="K84" s="2895">
        <f t="shared" si="37"/>
        <v>0</v>
      </c>
      <c r="L84" s="2895">
        <v>0</v>
      </c>
      <c r="M84" s="2895">
        <f t="shared" si="38"/>
        <v>0</v>
      </c>
      <c r="N84" s="2895">
        <v>0</v>
      </c>
      <c r="O84" s="2895">
        <v>121.82599314474984</v>
      </c>
      <c r="P84" s="2895">
        <v>0</v>
      </c>
      <c r="Q84" s="2895">
        <f>FISC!AK1202</f>
        <v>0</v>
      </c>
      <c r="R84" s="2895">
        <f t="shared" si="33"/>
        <v>0</v>
      </c>
      <c r="S84" s="2895">
        <v>8.2800000000000011</v>
      </c>
      <c r="T84" s="2895">
        <f>FISC!AL1202</f>
        <v>0</v>
      </c>
      <c r="U84" s="2895">
        <f t="shared" si="34"/>
        <v>-8.2800000000000011</v>
      </c>
      <c r="V84" s="2895">
        <f>FISC!AM1202</f>
        <v>8.2800000000000011</v>
      </c>
      <c r="W84" s="2895">
        <f>FISC!AN1202</f>
        <v>16.425000000000001</v>
      </c>
    </row>
    <row r="85" spans="1:28">
      <c r="A85" s="2911" t="s">
        <v>4080</v>
      </c>
      <c r="B85" s="2895">
        <v>101.5626402884471</v>
      </c>
      <c r="C85" s="2895">
        <v>115</v>
      </c>
      <c r="D85" s="2895">
        <v>113.3</v>
      </c>
      <c r="E85" s="2884">
        <f t="shared" si="12"/>
        <v>-1.7000000000000028</v>
      </c>
      <c r="F85" s="2895">
        <v>120.75</v>
      </c>
      <c r="G85" s="2895">
        <v>120.75</v>
      </c>
      <c r="H85" s="2895">
        <f t="shared" si="26"/>
        <v>0</v>
      </c>
      <c r="I85" s="2895">
        <v>126.78750000000001</v>
      </c>
      <c r="J85" s="2895">
        <v>126.78750000000001</v>
      </c>
      <c r="K85" s="2895">
        <f t="shared" si="37"/>
        <v>0</v>
      </c>
      <c r="L85" s="2895">
        <v>126.78750000000001</v>
      </c>
      <c r="M85" s="2895">
        <f t="shared" si="38"/>
        <v>0</v>
      </c>
      <c r="N85" s="2895">
        <v>133.12687500000001</v>
      </c>
      <c r="O85" s="2895">
        <v>133.12687500000001</v>
      </c>
      <c r="P85" s="2895">
        <v>133.12687500000001</v>
      </c>
      <c r="Q85" s="2895">
        <f>FISC!AK1203</f>
        <v>133.12687500000001</v>
      </c>
      <c r="R85" s="2895">
        <f t="shared" si="33"/>
        <v>0</v>
      </c>
      <c r="S85" s="2895">
        <v>148.43646562500001</v>
      </c>
      <c r="T85" s="2895">
        <f>FISC!AL1203</f>
        <v>148.43646562500001</v>
      </c>
      <c r="U85" s="2895">
        <f t="shared" si="34"/>
        <v>0</v>
      </c>
      <c r="V85" s="2895">
        <f>FISC!AM1203</f>
        <v>155.85828890625001</v>
      </c>
      <c r="W85" s="2895">
        <f>FISC!AN1203</f>
        <v>163.65120335156251</v>
      </c>
    </row>
    <row r="86" spans="1:28">
      <c r="A86" s="2911" t="s">
        <v>4081</v>
      </c>
      <c r="B86" s="2895">
        <v>11.515983263553728</v>
      </c>
      <c r="C86" s="2895">
        <v>9.2835650318438923</v>
      </c>
      <c r="D86" s="2895">
        <v>8.3779437470000317</v>
      </c>
      <c r="E86" s="2884">
        <f t="shared" ref="E86:E163" si="39">D86-C86</f>
        <v>-0.90562128484386051</v>
      </c>
      <c r="F86" s="2895">
        <v>7.8259641106780293</v>
      </c>
      <c r="G86" s="2895">
        <v>8.8192069570228853</v>
      </c>
      <c r="H86" s="2895">
        <f t="shared" si="26"/>
        <v>0.99324284634485593</v>
      </c>
      <c r="I86" s="2895">
        <v>34.302577871256304</v>
      </c>
      <c r="J86" s="2895">
        <v>33.938970697867191</v>
      </c>
      <c r="K86" s="2895">
        <f t="shared" si="37"/>
        <v>-0.36360717338911286</v>
      </c>
      <c r="L86" s="2895">
        <f t="shared" ref="L86" si="40">L82-L83-L85</f>
        <v>33.957378270743831</v>
      </c>
      <c r="M86" s="2895">
        <f t="shared" si="38"/>
        <v>1.8407572876640188E-2</v>
      </c>
      <c r="N86" s="2895">
        <v>67.215889225017946</v>
      </c>
      <c r="O86" s="2895">
        <f>O82-O83-O85-O84</f>
        <v>65.941671522286867</v>
      </c>
      <c r="P86" s="2895">
        <f>P82-P83-P85-P84</f>
        <v>66.216849711080783</v>
      </c>
      <c r="Q86" s="2895">
        <f>Q82-Q83-Q85-Q84</f>
        <v>66.523810514311663</v>
      </c>
      <c r="R86" s="2895">
        <f t="shared" si="33"/>
        <v>0.30696080323087926</v>
      </c>
      <c r="S86" s="2895">
        <f>S82-S83-S85-S84</f>
        <v>67.153666863318847</v>
      </c>
      <c r="T86" s="2895">
        <f>T82-T83-T85-T84</f>
        <v>69.875441061041414</v>
      </c>
      <c r="U86" s="2895">
        <f t="shared" si="34"/>
        <v>2.7217741977225671</v>
      </c>
      <c r="V86" s="2895">
        <f>V82-V83-V85-V84</f>
        <v>89.47589632055832</v>
      </c>
      <c r="W86" s="2895">
        <f>W82-W83-W85-W84</f>
        <v>108.44307600052117</v>
      </c>
      <c r="X86" s="2929"/>
      <c r="Y86" s="2929"/>
      <c r="Z86" s="2929"/>
      <c r="AA86" s="2929"/>
      <c r="AB86" s="2929"/>
    </row>
    <row r="87" spans="1:28">
      <c r="A87" s="2902" t="s">
        <v>4082</v>
      </c>
      <c r="B87" s="2877">
        <v>563.47085065171109</v>
      </c>
      <c r="C87" s="2877">
        <f>C88+C91</f>
        <v>710.96864351613999</v>
      </c>
      <c r="D87" s="2877">
        <v>883.12757471100008</v>
      </c>
      <c r="E87" s="2884">
        <f t="shared" si="39"/>
        <v>172.15893119486009</v>
      </c>
      <c r="F87" s="2877">
        <v>871.80196398537009</v>
      </c>
      <c r="G87" s="2877">
        <v>893.38337400308512</v>
      </c>
      <c r="H87" s="2930">
        <f t="shared" si="26"/>
        <v>21.581410017715029</v>
      </c>
      <c r="I87" s="2877">
        <f>I88+I91</f>
        <v>946.24981728437774</v>
      </c>
      <c r="J87" s="2877">
        <v>897.13878089523337</v>
      </c>
      <c r="K87" s="2877">
        <f t="shared" si="37"/>
        <v>-49.111036389144374</v>
      </c>
      <c r="L87" s="2877">
        <f>L88+L91</f>
        <v>1005.6375484702605</v>
      </c>
      <c r="M87" s="2877">
        <f t="shared" si="38"/>
        <v>108.49876757502716</v>
      </c>
      <c r="N87" s="2877">
        <v>1103.459295868046</v>
      </c>
      <c r="O87" s="2877">
        <f>O88+O91</f>
        <v>1008.1305055924159</v>
      </c>
      <c r="P87" s="2877">
        <f>P88+P91</f>
        <v>998.46837306853024</v>
      </c>
      <c r="Q87" s="2877">
        <f>Q88+Q91</f>
        <v>992.47827785098661</v>
      </c>
      <c r="R87" s="2877">
        <f t="shared" si="33"/>
        <v>-5.9900952175436259</v>
      </c>
      <c r="S87" s="2877">
        <f>S88+S91</f>
        <v>1216.7513143324838</v>
      </c>
      <c r="T87" s="2877">
        <f>T88+T91</f>
        <v>1201.7831516811095</v>
      </c>
      <c r="U87" s="2877">
        <f t="shared" si="34"/>
        <v>-14.968162651374314</v>
      </c>
      <c r="V87" s="2877">
        <f>V88+V91</f>
        <v>1582.1449450199918</v>
      </c>
      <c r="W87" s="2877">
        <f>W88+W91</f>
        <v>1773.9558824809005</v>
      </c>
    </row>
    <row r="88" spans="1:28">
      <c r="A88" s="2911" t="s">
        <v>4083</v>
      </c>
      <c r="B88" s="2895">
        <v>36.475685865000003</v>
      </c>
      <c r="C88" s="2895">
        <v>60.949108039590001</v>
      </c>
      <c r="D88" s="2895">
        <v>52.557892147159194</v>
      </c>
      <c r="E88" s="2884">
        <f t="shared" si="39"/>
        <v>-8.3912158924308073</v>
      </c>
      <c r="F88" s="2895">
        <v>70</v>
      </c>
      <c r="G88" s="2895">
        <v>70</v>
      </c>
      <c r="H88" s="2895">
        <f t="shared" si="26"/>
        <v>0</v>
      </c>
      <c r="I88" s="2895">
        <v>88.228735028536619</v>
      </c>
      <c r="J88" s="2895">
        <v>88.228735028536619</v>
      </c>
      <c r="K88" s="2895">
        <f>J88-I88</f>
        <v>0</v>
      </c>
      <c r="L88" s="2895">
        <v>91.069466999787721</v>
      </c>
      <c r="M88" s="2895">
        <f t="shared" si="38"/>
        <v>2.8407319712511026</v>
      </c>
      <c r="N88" s="2895">
        <v>97.575538244668749</v>
      </c>
      <c r="O88" s="2895">
        <v>103.25700218717095</v>
      </c>
      <c r="P88" s="2895">
        <v>103.25700218717095</v>
      </c>
      <c r="Q88" s="2895">
        <f>FISC!AK1207</f>
        <v>103.25700218717095</v>
      </c>
      <c r="R88" s="2895">
        <f t="shared" si="33"/>
        <v>0</v>
      </c>
      <c r="S88" s="2895">
        <v>115.32837459958596</v>
      </c>
      <c r="T88" s="2895">
        <f>FISC!AL1207</f>
        <v>115.32837459958596</v>
      </c>
      <c r="U88" s="2895">
        <f t="shared" si="34"/>
        <v>0</v>
      </c>
      <c r="V88" s="2895">
        <f>FISC!AM1207</f>
        <v>117.22219591375337</v>
      </c>
      <c r="W88" s="2895">
        <f>FISC!AN1207</f>
        <v>119.11601722792081</v>
      </c>
    </row>
    <row r="89" spans="1:28">
      <c r="A89" s="2931" t="s">
        <v>4084</v>
      </c>
      <c r="B89" s="2895">
        <v>24.651685939</v>
      </c>
      <c r="C89" s="2895">
        <v>32.427090986000003</v>
      </c>
      <c r="D89" s="2895">
        <v>27.519180298459524</v>
      </c>
      <c r="E89" s="2884">
        <f t="shared" si="39"/>
        <v>-4.907910687540479</v>
      </c>
      <c r="F89" s="2895">
        <v>34.200000000000003</v>
      </c>
      <c r="G89" s="2895">
        <v>34.200000000000003</v>
      </c>
      <c r="H89" s="2895">
        <f t="shared" si="26"/>
        <v>0</v>
      </c>
      <c r="I89" s="2895">
        <v>34.5</v>
      </c>
      <c r="J89" s="2895">
        <v>34.5</v>
      </c>
      <c r="K89" s="2895">
        <f t="shared" si="37"/>
        <v>0</v>
      </c>
      <c r="L89" s="2895">
        <v>37.340731971251117</v>
      </c>
      <c r="M89" s="2895">
        <f t="shared" si="38"/>
        <v>2.8407319712511168</v>
      </c>
      <c r="N89" s="2895">
        <v>34.700000000000003</v>
      </c>
      <c r="O89" s="2895">
        <v>40.381463942502251</v>
      </c>
      <c r="P89" s="2895">
        <v>40.381463942502251</v>
      </c>
      <c r="Q89" s="2895">
        <f>FISC!AK1209</f>
        <v>40.381463942502251</v>
      </c>
      <c r="R89" s="2895">
        <f t="shared" si="33"/>
        <v>0</v>
      </c>
      <c r="S89" s="2895">
        <v>45.328374599585956</v>
      </c>
      <c r="T89" s="2895">
        <f>FISC!AL1209</f>
        <v>45.328374599585956</v>
      </c>
      <c r="U89" s="2895">
        <f t="shared" si="34"/>
        <v>0</v>
      </c>
      <c r="V89" s="2895">
        <f>FISC!AM1209</f>
        <v>47.222195913753374</v>
      </c>
      <c r="W89" s="2895">
        <f>FISC!AN1209</f>
        <v>49.116017227920807</v>
      </c>
    </row>
    <row r="90" spans="1:28">
      <c r="A90" s="2911" t="s">
        <v>4085</v>
      </c>
      <c r="B90" s="2895">
        <v>5.5214165460000002</v>
      </c>
      <c r="C90" s="2895">
        <v>20.468864128886899</v>
      </c>
      <c r="D90" s="2895">
        <v>15.227945918183609</v>
      </c>
      <c r="E90" s="2884">
        <f t="shared" si="39"/>
        <v>-5.2409182107032901</v>
      </c>
      <c r="F90" s="2895">
        <v>24.667531643132001</v>
      </c>
      <c r="G90" s="2895">
        <v>24.667531643132001</v>
      </c>
      <c r="H90" s="2895">
        <f t="shared" si="26"/>
        <v>0</v>
      </c>
      <c r="I90" s="2895">
        <v>39.298793549364873</v>
      </c>
      <c r="J90" s="2895">
        <v>39.298793549364873</v>
      </c>
      <c r="K90" s="2895">
        <f t="shared" si="37"/>
        <v>0</v>
      </c>
      <c r="L90" s="2895">
        <v>39.298793549364902</v>
      </c>
      <c r="M90" s="2895">
        <f t="shared" si="38"/>
        <v>0</v>
      </c>
      <c r="N90" s="2895">
        <v>43.752602617579825</v>
      </c>
      <c r="O90" s="2895">
        <v>43.752602617579804</v>
      </c>
      <c r="P90" s="2895">
        <v>43.752602617579804</v>
      </c>
      <c r="Q90" s="2895">
        <f>FISC!AK1210</f>
        <v>43.752602617579804</v>
      </c>
      <c r="R90" s="2895">
        <f t="shared" si="33"/>
        <v>0</v>
      </c>
      <c r="S90" s="2895">
        <v>48.7</v>
      </c>
      <c r="T90" s="2895">
        <f>FISC!AL1210</f>
        <v>48.7</v>
      </c>
      <c r="U90" s="2895">
        <f t="shared" si="34"/>
        <v>0</v>
      </c>
      <c r="V90" s="2895">
        <f>FISC!AM1210</f>
        <v>48.7</v>
      </c>
      <c r="W90" s="2895">
        <f>FISC!AN1210</f>
        <v>48.7</v>
      </c>
      <c r="X90" s="2895"/>
    </row>
    <row r="91" spans="1:28">
      <c r="A91" s="2911" t="s">
        <v>4086</v>
      </c>
      <c r="B91" s="2895">
        <v>526.99516478671103</v>
      </c>
      <c r="C91" s="2895">
        <v>650.01953547655</v>
      </c>
      <c r="D91" s="2895">
        <v>830.56968256384084</v>
      </c>
      <c r="E91" s="2884">
        <f t="shared" si="39"/>
        <v>180.55014708729084</v>
      </c>
      <c r="F91" s="2895">
        <v>801.80196398537009</v>
      </c>
      <c r="G91" s="2895">
        <v>823.38337400308512</v>
      </c>
      <c r="H91" s="2895">
        <f t="shared" si="26"/>
        <v>21.581410017715029</v>
      </c>
      <c r="I91" s="2895">
        <v>858.02108225584107</v>
      </c>
      <c r="J91" s="2895">
        <v>808.91004586669669</v>
      </c>
      <c r="K91" s="2895">
        <f t="shared" si="37"/>
        <v>-49.111036389144374</v>
      </c>
      <c r="L91" s="2895">
        <v>914.56808147047286</v>
      </c>
      <c r="M91" s="2895">
        <f t="shared" si="38"/>
        <v>105.65803560377617</v>
      </c>
      <c r="N91" s="2895">
        <v>1005.8837576233772</v>
      </c>
      <c r="O91" s="2895">
        <v>904.87350340524495</v>
      </c>
      <c r="P91" s="2895">
        <v>895.21137088135924</v>
      </c>
      <c r="Q91" s="2895">
        <f>FISC!AK1211-(FISC!AK1066+FISC!AK1072+FISC!AK1096+FISC!AK1143)</f>
        <v>889.22127566381562</v>
      </c>
      <c r="R91" s="2895">
        <f t="shared" si="33"/>
        <v>-5.9900952175436259</v>
      </c>
      <c r="S91" s="2895">
        <v>1101.4229397328979</v>
      </c>
      <c r="T91" s="2895">
        <f>FISC!AL1211-(FISC!AL1066+FISC!AL1072+FISC!AL1096+FISC!AL1143)</f>
        <v>1086.4547770815236</v>
      </c>
      <c r="U91" s="2895">
        <f t="shared" si="34"/>
        <v>-14.968162651374314</v>
      </c>
      <c r="V91" s="2895">
        <f>FISC!AM1211</f>
        <v>1464.9227491062384</v>
      </c>
      <c r="W91" s="2895">
        <f>FISC!AN1211</f>
        <v>1654.8398652529797</v>
      </c>
      <c r="X91" s="2895"/>
      <c r="Y91" s="2895"/>
    </row>
    <row r="92" spans="1:28">
      <c r="A92" s="2932" t="s">
        <v>4084</v>
      </c>
      <c r="B92" s="2895">
        <v>300.91592813900002</v>
      </c>
      <c r="C92" s="2895">
        <v>366.68961856083996</v>
      </c>
      <c r="D92" s="2895">
        <v>435.05203846906761</v>
      </c>
      <c r="E92" s="2884">
        <f t="shared" si="39"/>
        <v>68.36241990822765</v>
      </c>
      <c r="F92" s="2895">
        <v>468.499099488882</v>
      </c>
      <c r="G92" s="2895">
        <v>503.2171198607378</v>
      </c>
      <c r="H92" s="2895">
        <f t="shared" si="26"/>
        <v>34.7180203718558</v>
      </c>
      <c r="I92" s="2895">
        <v>570.61060734011983</v>
      </c>
      <c r="J92" s="2895">
        <v>570.61060734011983</v>
      </c>
      <c r="K92" s="2895">
        <f t="shared" si="37"/>
        <v>0</v>
      </c>
      <c r="L92" s="2895">
        <v>579.97689567427051</v>
      </c>
      <c r="M92" s="2895">
        <f t="shared" si="38"/>
        <v>9.3662883341506813</v>
      </c>
      <c r="N92" s="2895">
        <v>661.82528526018802</v>
      </c>
      <c r="O92" s="2895">
        <v>700.24952601853454</v>
      </c>
      <c r="P92" s="2895">
        <v>713.61040074492382</v>
      </c>
      <c r="Q92" s="2895">
        <f>FISC!AK1213</f>
        <v>712.78817836815529</v>
      </c>
      <c r="R92" s="2895">
        <f t="shared" si="33"/>
        <v>-0.82222237676853638</v>
      </c>
      <c r="S92" s="2895">
        <v>810.29173487567823</v>
      </c>
      <c r="T92" s="2895">
        <f>FISC!AL1213</f>
        <v>805.14254417850077</v>
      </c>
      <c r="U92" s="2895">
        <f t="shared" si="34"/>
        <v>-5.1491906971774597</v>
      </c>
      <c r="V92" s="2895">
        <f>FISC!AM1213</f>
        <v>918.33127788467016</v>
      </c>
      <c r="W92" s="2895">
        <f>FISC!AN1213</f>
        <v>1051.4475436130649</v>
      </c>
      <c r="X92" s="2895"/>
    </row>
    <row r="93" spans="1:28">
      <c r="A93" s="2911" t="s">
        <v>4085</v>
      </c>
      <c r="B93" s="2895">
        <v>135.22425280300001</v>
      </c>
      <c r="C93" s="2895">
        <v>187.5107258384852</v>
      </c>
      <c r="D93" s="2895">
        <v>220.77796256958413</v>
      </c>
      <c r="E93" s="2884">
        <f t="shared" si="39"/>
        <v>33.267236731098933</v>
      </c>
      <c r="F93" s="2895">
        <v>206.8685433644788</v>
      </c>
      <c r="G93" s="2895">
        <v>213.76754433488622</v>
      </c>
      <c r="H93" s="2895">
        <f t="shared" si="26"/>
        <v>6.8990009704074282</v>
      </c>
      <c r="I93" s="2895">
        <v>226.34147904332485</v>
      </c>
      <c r="J93" s="2895">
        <v>209.16314348174251</v>
      </c>
      <c r="K93" s="2895">
        <f t="shared" si="37"/>
        <v>-17.178335561582344</v>
      </c>
      <c r="L93" s="2895">
        <v>219.1405701301868</v>
      </c>
      <c r="M93" s="2895">
        <f t="shared" si="38"/>
        <v>9.9774266484442933</v>
      </c>
      <c r="N93" s="2933">
        <v>230.72842659652508</v>
      </c>
      <c r="O93" s="2933">
        <v>239.04880606773975</v>
      </c>
      <c r="P93" s="2933">
        <v>239.04880606773975</v>
      </c>
      <c r="Q93" s="2933">
        <f>FISC!AK1215</f>
        <v>239.04880606773975</v>
      </c>
      <c r="R93" s="2933">
        <f t="shared" si="33"/>
        <v>0</v>
      </c>
      <c r="S93" s="2933">
        <v>284.37430283163485</v>
      </c>
      <c r="T93" s="2933">
        <f>FISC!AL1215</f>
        <v>284.37430283163485</v>
      </c>
      <c r="U93" s="2933">
        <f t="shared" si="34"/>
        <v>0</v>
      </c>
      <c r="V93" s="2933">
        <f>FISC!AM1215</f>
        <v>367.92231613044987</v>
      </c>
      <c r="W93" s="2933">
        <f>FISC!AN1215</f>
        <v>415.15837356825864</v>
      </c>
    </row>
    <row r="94" spans="1:28" s="2935" customFormat="1">
      <c r="A94" s="2925" t="s">
        <v>4067</v>
      </c>
      <c r="B94" s="2934"/>
      <c r="C94" s="2934"/>
      <c r="D94" s="2934"/>
      <c r="E94" s="2927"/>
      <c r="F94" s="2934"/>
      <c r="G94" s="2934"/>
      <c r="H94" s="2934"/>
      <c r="I94" s="2934">
        <v>40</v>
      </c>
      <c r="J94" s="2934">
        <v>40</v>
      </c>
      <c r="K94" s="2934">
        <f t="shared" ref="K94:M94" si="41">K199+K206</f>
        <v>0</v>
      </c>
      <c r="L94" s="2934">
        <f t="shared" si="41"/>
        <v>0</v>
      </c>
      <c r="M94" s="2934">
        <f t="shared" si="41"/>
        <v>0</v>
      </c>
      <c r="N94" s="2934">
        <v>70</v>
      </c>
      <c r="O94" s="2934">
        <f>O199+O206</f>
        <v>90.970191155423663</v>
      </c>
      <c r="P94" s="2934">
        <f>P199+P206</f>
        <v>122.93750895630524</v>
      </c>
      <c r="Q94" s="2934">
        <f>Q199+Q206</f>
        <v>97.250915038399398</v>
      </c>
      <c r="R94" s="2934">
        <f t="shared" si="33"/>
        <v>-25.686593917905839</v>
      </c>
      <c r="S94" s="2934">
        <f>S199+S206</f>
        <v>106.18700866209068</v>
      </c>
      <c r="T94" s="2934">
        <f>T199+T206</f>
        <v>106.18700866209068</v>
      </c>
      <c r="U94" s="2934">
        <f t="shared" si="34"/>
        <v>0</v>
      </c>
      <c r="V94" s="2934">
        <f>V199+V206</f>
        <v>40</v>
      </c>
      <c r="W94" s="2934">
        <f>W199+W206</f>
        <v>0</v>
      </c>
    </row>
    <row r="95" spans="1:28" s="2910" customFormat="1">
      <c r="A95" s="2902" t="s">
        <v>4087</v>
      </c>
      <c r="B95" s="2913">
        <v>58.519069143000003</v>
      </c>
      <c r="C95" s="2913">
        <v>45.479714312620004</v>
      </c>
      <c r="D95" s="2913">
        <v>46.100000000000009</v>
      </c>
      <c r="E95" s="2884">
        <f t="shared" si="39"/>
        <v>0.62028568738000445</v>
      </c>
      <c r="F95" s="2913">
        <v>49.598767864064193</v>
      </c>
      <c r="G95" s="2913">
        <v>49.610660862409667</v>
      </c>
      <c r="H95" s="2913">
        <f t="shared" si="26"/>
        <v>1.1892998345473416E-2</v>
      </c>
      <c r="I95" s="2913">
        <v>65.128219634533224</v>
      </c>
      <c r="J95" s="2913">
        <v>66.27357396158753</v>
      </c>
      <c r="K95" s="2913">
        <f t="shared" si="37"/>
        <v>1.1453543270543065</v>
      </c>
      <c r="L95" s="2913">
        <v>67.445155092479808</v>
      </c>
      <c r="M95" s="2913">
        <f t="shared" si="38"/>
        <v>1.1715811308922781</v>
      </c>
      <c r="N95" s="2913">
        <v>72.960008479773521</v>
      </c>
      <c r="O95" s="2913">
        <v>74.919976098871814</v>
      </c>
      <c r="P95" s="2913">
        <v>80.7406218208654</v>
      </c>
      <c r="Q95" s="2913">
        <f>FISC!AK1222</f>
        <v>83.628595947365383</v>
      </c>
      <c r="R95" s="2913">
        <f t="shared" si="33"/>
        <v>2.8879741264999836</v>
      </c>
      <c r="S95" s="2913">
        <v>83.07577309935867</v>
      </c>
      <c r="T95" s="2913">
        <f>FISC!AL1222</f>
        <v>86.548112215653759</v>
      </c>
      <c r="U95" s="2913">
        <f t="shared" si="34"/>
        <v>3.472339116295089</v>
      </c>
      <c r="V95" s="2913">
        <f>FISC!AM1222</f>
        <v>97.490799815877679</v>
      </c>
      <c r="W95" s="2913">
        <f>FISC!AN1222</f>
        <v>109.99444824066505</v>
      </c>
    </row>
    <row r="96" spans="1:28" s="2910" customFormat="1">
      <c r="A96" s="2902" t="s">
        <v>4088</v>
      </c>
      <c r="B96" s="2913">
        <v>117.18824488</v>
      </c>
      <c r="C96" s="2913">
        <v>125.92492426089507</v>
      </c>
      <c r="D96" s="2913">
        <v>127.70000000000002</v>
      </c>
      <c r="E96" s="2884">
        <f t="shared" si="39"/>
        <v>1.775075739104949</v>
      </c>
      <c r="F96" s="2913">
        <v>138.73622591597538</v>
      </c>
      <c r="G96" s="2913">
        <v>138.69863980388931</v>
      </c>
      <c r="H96" s="2913">
        <f t="shared" si="26"/>
        <v>-3.7586112086074763E-2</v>
      </c>
      <c r="I96" s="2913">
        <v>144.30132268664642</v>
      </c>
      <c r="J96" s="2913">
        <v>144.29711569243307</v>
      </c>
      <c r="K96" s="2913">
        <f t="shared" si="37"/>
        <v>-4.2069942133480254E-3</v>
      </c>
      <c r="L96" s="2913">
        <v>144.29711569243307</v>
      </c>
      <c r="M96" s="2913">
        <f t="shared" si="38"/>
        <v>0</v>
      </c>
      <c r="N96" s="2913">
        <v>152.98324848558599</v>
      </c>
      <c r="O96" s="2913">
        <v>152.98324848558599</v>
      </c>
      <c r="P96" s="2913">
        <v>152.98324848558599</v>
      </c>
      <c r="Q96" s="2913">
        <f>FISC!AK1224</f>
        <v>152.98324848558599</v>
      </c>
      <c r="R96" s="2913">
        <f t="shared" si="33"/>
        <v>0</v>
      </c>
      <c r="S96" s="2913">
        <v>168.65948497698193</v>
      </c>
      <c r="T96" s="2913">
        <f>FISC!AL1224</f>
        <v>168.65948497698193</v>
      </c>
      <c r="U96" s="2913">
        <f t="shared" si="34"/>
        <v>0</v>
      </c>
      <c r="V96" s="2913">
        <f>FISC!AM1224</f>
        <v>189.89689710093501</v>
      </c>
      <c r="W96" s="2913">
        <f>FISC!AN1224</f>
        <v>213.82390613565281</v>
      </c>
    </row>
    <row r="97" spans="1:28" s="2873" customFormat="1">
      <c r="A97" s="2871" t="s">
        <v>4167</v>
      </c>
      <c r="B97" s="2872">
        <v>1400.7215624236071</v>
      </c>
      <c r="C97" s="2872">
        <f>C98+C101+C108</f>
        <v>1504.7523719703443</v>
      </c>
      <c r="D97" s="2872">
        <v>1518.4242141577595</v>
      </c>
      <c r="E97" s="2872">
        <f t="shared" ref="E97" si="42">E98+E101+E108</f>
        <v>13.671842187415283</v>
      </c>
      <c r="F97" s="2872">
        <v>1544.6574617602823</v>
      </c>
      <c r="G97" s="2872">
        <v>1683.3240348493014</v>
      </c>
      <c r="H97" s="2872">
        <f t="shared" si="26"/>
        <v>138.66657308901904</v>
      </c>
      <c r="I97" s="2872">
        <f>I98+I101+I108</f>
        <v>1721.438307964904</v>
      </c>
      <c r="J97" s="2872">
        <v>1719.2096581314629</v>
      </c>
      <c r="K97" s="2872">
        <f t="shared" si="37"/>
        <v>-2.228649833441068</v>
      </c>
      <c r="L97" s="2872">
        <f>L98+L101+L108</f>
        <v>1674.3381377769977</v>
      </c>
      <c r="M97" s="2872">
        <f t="shared" si="38"/>
        <v>-44.871520354465247</v>
      </c>
      <c r="N97" s="2872">
        <v>1901.3172533901177</v>
      </c>
      <c r="O97" s="2872">
        <f>O98+O101+O108</f>
        <v>1708.6295175800399</v>
      </c>
      <c r="P97" s="2872">
        <f>P98+P101+P108</f>
        <v>1919.5897244917437</v>
      </c>
      <c r="Q97" s="2872">
        <f>Q98+Q101+Q108</f>
        <v>1970.6363973052014</v>
      </c>
      <c r="R97" s="2872">
        <f t="shared" si="33"/>
        <v>51.04667281345769</v>
      </c>
      <c r="S97" s="2872">
        <f>S98+S101+S108</f>
        <v>2195.3814414360322</v>
      </c>
      <c r="T97" s="2872">
        <f>T98+T101+T108</f>
        <v>2178.3573390909792</v>
      </c>
      <c r="U97" s="2872">
        <f t="shared" si="34"/>
        <v>-17.024102345053052</v>
      </c>
      <c r="V97" s="2872">
        <f>V98+V101+V108</f>
        <v>2537.7316133902841</v>
      </c>
      <c r="W97" s="2872">
        <f>W98+W101+W108</f>
        <v>2907.4329358355722</v>
      </c>
      <c r="Y97" s="2874"/>
      <c r="AB97" s="2875"/>
    </row>
    <row r="98" spans="1:28">
      <c r="A98" s="2911" t="s">
        <v>561</v>
      </c>
      <c r="B98" s="2905">
        <v>667.05996666858243</v>
      </c>
      <c r="C98" s="2895">
        <v>807.09235872568217</v>
      </c>
      <c r="D98" s="2895">
        <v>771.47065498229631</v>
      </c>
      <c r="E98" s="2884">
        <f t="shared" si="39"/>
        <v>-35.621703743385865</v>
      </c>
      <c r="F98" s="2895">
        <v>962.04986007408718</v>
      </c>
      <c r="G98" s="2895">
        <v>1016.6207796657466</v>
      </c>
      <c r="H98" s="2895">
        <f t="shared" si="26"/>
        <v>54.57091959165939</v>
      </c>
      <c r="I98" s="2895">
        <v>1013.9691406441581</v>
      </c>
      <c r="J98" s="2895">
        <v>1075.6204436966025</v>
      </c>
      <c r="K98" s="2895">
        <f t="shared" si="37"/>
        <v>61.651303052444405</v>
      </c>
      <c r="L98" s="2895">
        <v>1007.815081052132</v>
      </c>
      <c r="M98" s="2895">
        <f t="shared" si="38"/>
        <v>-67.805362644470506</v>
      </c>
      <c r="N98" s="2895">
        <v>1201.6205118623193</v>
      </c>
      <c r="O98" s="2895">
        <v>1036.873794081589</v>
      </c>
      <c r="P98" s="2895">
        <v>1287.3993174186799</v>
      </c>
      <c r="Q98" s="2895">
        <f>FISC!AK1229</f>
        <v>1318.6459902321376</v>
      </c>
      <c r="R98" s="2895">
        <f t="shared" si="33"/>
        <v>31.246672813457735</v>
      </c>
      <c r="S98" s="2895">
        <v>1253.2287460305859</v>
      </c>
      <c r="T98" s="2895">
        <f>FISC!AL1229</f>
        <v>1267.1860688853712</v>
      </c>
      <c r="U98" s="2895">
        <f t="shared" si="34"/>
        <v>13.957322854785389</v>
      </c>
      <c r="V98" s="2895">
        <f>FISC!AM1229</f>
        <v>1328.7206203653409</v>
      </c>
      <c r="W98" s="2895">
        <f>FISC!AN1229</f>
        <v>1435.0889616776681</v>
      </c>
      <c r="X98" s="2935"/>
      <c r="Y98" s="2935"/>
    </row>
    <row r="99" spans="1:28" s="2943" customFormat="1" ht="21" customHeight="1">
      <c r="A99" s="2936" t="s">
        <v>587</v>
      </c>
      <c r="B99" s="2937"/>
      <c r="C99" s="2938"/>
      <c r="D99" s="2938"/>
      <c r="E99" s="2939"/>
      <c r="F99" s="2940">
        <v>489.73517226382228</v>
      </c>
      <c r="G99" s="2940">
        <v>504.08064914553961</v>
      </c>
      <c r="H99" s="2940">
        <f t="shared" si="26"/>
        <v>14.345476881717332</v>
      </c>
      <c r="I99" s="2941">
        <v>448.3188820250781</v>
      </c>
      <c r="J99" s="2941">
        <v>440.65931918268052</v>
      </c>
      <c r="K99" s="2941">
        <f t="shared" si="37"/>
        <v>-7.6595628423975768</v>
      </c>
      <c r="L99" s="2941">
        <f>L41</f>
        <v>442.80671887473699</v>
      </c>
      <c r="M99" s="2941">
        <f t="shared" si="38"/>
        <v>2.1473996920564673</v>
      </c>
      <c r="N99" s="2941">
        <v>459.44115801362705</v>
      </c>
      <c r="O99" s="2941">
        <f>O41</f>
        <v>439.34946316346429</v>
      </c>
      <c r="P99" s="2941">
        <f>P41</f>
        <v>556.57963853565457</v>
      </c>
      <c r="Q99" s="2941">
        <f>Q41</f>
        <v>555.65858404484834</v>
      </c>
      <c r="R99" s="2941">
        <f t="shared" si="33"/>
        <v>-0.92105449080622748</v>
      </c>
      <c r="S99" s="2941">
        <f>S41</f>
        <v>454.69633265842407</v>
      </c>
      <c r="T99" s="2941">
        <f>T41</f>
        <v>446.65083525376235</v>
      </c>
      <c r="U99" s="2941">
        <f t="shared" si="34"/>
        <v>-8.0454974046617167</v>
      </c>
      <c r="V99" s="2941">
        <f>V41</f>
        <v>467.99900841028182</v>
      </c>
      <c r="W99" s="2941">
        <f>W41</f>
        <v>490.17119224716168</v>
      </c>
      <c r="X99" s="2942"/>
      <c r="Y99" s="2942"/>
    </row>
    <row r="100" spans="1:28" s="2943" customFormat="1">
      <c r="A100" s="2936" t="s">
        <v>575</v>
      </c>
      <c r="B100" s="2937"/>
      <c r="C100" s="2938"/>
      <c r="D100" s="2938"/>
      <c r="E100" s="2939"/>
      <c r="F100" s="2944">
        <v>472.3146878102649</v>
      </c>
      <c r="G100" s="2944">
        <v>512.54013052020684</v>
      </c>
      <c r="H100" s="2944">
        <f t="shared" si="26"/>
        <v>40.225442709941944</v>
      </c>
      <c r="I100" s="2938">
        <v>565.65025861907998</v>
      </c>
      <c r="J100" s="2938">
        <v>634.96112451392185</v>
      </c>
      <c r="K100" s="2938">
        <f t="shared" si="37"/>
        <v>69.310865894841868</v>
      </c>
      <c r="L100" s="2938">
        <f>L50-L118</f>
        <v>565.00836217739493</v>
      </c>
      <c r="M100" s="2938">
        <f t="shared" si="38"/>
        <v>-69.952762336526916</v>
      </c>
      <c r="N100" s="2938">
        <v>742.17935384869224</v>
      </c>
      <c r="O100" s="2938">
        <f>O50-O118</f>
        <v>597.52433091812463</v>
      </c>
      <c r="P100" s="2938">
        <f>P50-P118</f>
        <v>730.81967888302529</v>
      </c>
      <c r="Q100" s="2938">
        <f>Q50-Q118</f>
        <v>762.98740618728914</v>
      </c>
      <c r="R100" s="2938">
        <f t="shared" si="33"/>
        <v>32.167727304263849</v>
      </c>
      <c r="S100" s="2938">
        <f>S50-S118</f>
        <v>798.53241337216173</v>
      </c>
      <c r="T100" s="2938">
        <f>T50-T118</f>
        <v>820.535233631609</v>
      </c>
      <c r="U100" s="2938">
        <f t="shared" si="34"/>
        <v>22.002820259447276</v>
      </c>
      <c r="V100" s="2938">
        <f>V50-V118</f>
        <v>860.72161195505896</v>
      </c>
      <c r="W100" s="2938">
        <f>W50-W118</f>
        <v>944.9177694305065</v>
      </c>
      <c r="X100" s="2942"/>
      <c r="Y100" s="2942"/>
    </row>
    <row r="101" spans="1:28">
      <c r="A101" s="2911" t="s">
        <v>4089</v>
      </c>
      <c r="B101" s="2895">
        <v>727.93847082702462</v>
      </c>
      <c r="C101" s="2895">
        <v>691.93688831666202</v>
      </c>
      <c r="D101" s="2895">
        <v>746.95355917546317</v>
      </c>
      <c r="E101" s="2884">
        <f t="shared" si="39"/>
        <v>55.016670858801149</v>
      </c>
      <c r="F101" s="2895">
        <v>576.88447675819509</v>
      </c>
      <c r="G101" s="2895">
        <v>660.98013025555474</v>
      </c>
      <c r="H101" s="2895">
        <f t="shared" si="26"/>
        <v>84.095653497359649</v>
      </c>
      <c r="I101" s="2945">
        <v>701.74604239274584</v>
      </c>
      <c r="J101" s="2945">
        <v>637.86608950686048</v>
      </c>
      <c r="K101" s="2945">
        <f t="shared" si="37"/>
        <v>-63.879952885885359</v>
      </c>
      <c r="L101" s="2945">
        <v>660.79993179686551</v>
      </c>
      <c r="M101" s="2945">
        <f t="shared" si="38"/>
        <v>22.933842290005032</v>
      </c>
      <c r="N101" s="2945">
        <v>693.97361659979845</v>
      </c>
      <c r="O101" s="2945">
        <v>666.03259857045089</v>
      </c>
      <c r="P101" s="2945">
        <v>626.46728214506379</v>
      </c>
      <c r="Q101" s="2945">
        <f>FISC!AK1233-Q108</f>
        <v>646.26728214506363</v>
      </c>
      <c r="R101" s="2945">
        <f t="shared" si="33"/>
        <v>19.799999999999841</v>
      </c>
      <c r="S101" s="2945">
        <v>936.42957047744642</v>
      </c>
      <c r="T101" s="2945">
        <f>FISC!AL1233-T108</f>
        <v>905.44814527760786</v>
      </c>
      <c r="U101" s="2945">
        <f t="shared" si="34"/>
        <v>-30.981425199838554</v>
      </c>
      <c r="V101" s="2945">
        <f>FISC!AM1233-V108</f>
        <v>1203.2878680969434</v>
      </c>
      <c r="W101" s="2945">
        <f>FISC!AN1233-W108</f>
        <v>1466.6208492299043</v>
      </c>
      <c r="Y101" s="2895"/>
      <c r="Z101" s="2895"/>
    </row>
    <row r="102" spans="1:28" s="2910" customFormat="1" ht="23.1">
      <c r="A102" s="2946" t="s">
        <v>4067</v>
      </c>
      <c r="B102" s="2947"/>
      <c r="C102" s="2947"/>
      <c r="D102" s="2947"/>
      <c r="E102" s="2948"/>
      <c r="F102" s="2947"/>
      <c r="G102" s="2947"/>
      <c r="H102" s="2947"/>
      <c r="I102" s="2949">
        <v>100</v>
      </c>
      <c r="J102" s="2949">
        <v>100</v>
      </c>
      <c r="K102" s="2949">
        <f t="shared" ref="K102:M102" si="43">K200+K207</f>
        <v>0</v>
      </c>
      <c r="L102" s="2949">
        <f t="shared" si="43"/>
        <v>0</v>
      </c>
      <c r="M102" s="2949">
        <f t="shared" si="43"/>
        <v>0</v>
      </c>
      <c r="N102" s="2949">
        <v>180</v>
      </c>
      <c r="O102" s="2949">
        <f>O200+O207</f>
        <v>221.94038231084733</v>
      </c>
      <c r="P102" s="2949">
        <f>P200+P207</f>
        <v>285.87501791261047</v>
      </c>
      <c r="Q102" s="2949">
        <f>Q200+Q207</f>
        <v>234.5018300767988</v>
      </c>
      <c r="R102" s="2949">
        <f t="shared" si="33"/>
        <v>-51.373187835811677</v>
      </c>
      <c r="S102" s="2949">
        <f>S200+S207</f>
        <v>322.37401732418135</v>
      </c>
      <c r="T102" s="2949">
        <f>T200+T207</f>
        <v>322.37401732418135</v>
      </c>
      <c r="U102" s="2949">
        <f t="shared" si="34"/>
        <v>0</v>
      </c>
      <c r="V102" s="2949">
        <f>V200+V207</f>
        <v>96</v>
      </c>
      <c r="W102" s="2949">
        <f>W200+W207</f>
        <v>0</v>
      </c>
    </row>
    <row r="103" spans="1:28" s="2970" customFormat="1">
      <c r="A103" s="3043" t="s">
        <v>4090</v>
      </c>
      <c r="B103" s="3044"/>
      <c r="C103" s="3044"/>
      <c r="D103" s="3044"/>
      <c r="E103" s="3045"/>
      <c r="F103" s="3044"/>
      <c r="G103" s="3044"/>
      <c r="H103" s="3044"/>
      <c r="I103" s="3044">
        <v>0</v>
      </c>
      <c r="J103" s="3044">
        <v>20</v>
      </c>
      <c r="K103" s="3044">
        <f t="shared" si="37"/>
        <v>20</v>
      </c>
      <c r="L103" s="3044">
        <v>20</v>
      </c>
      <c r="M103" s="3044">
        <f t="shared" si="38"/>
        <v>0</v>
      </c>
      <c r="N103" s="3044">
        <v>0</v>
      </c>
      <c r="O103" s="3044">
        <v>0</v>
      </c>
      <c r="P103" s="3044">
        <v>0</v>
      </c>
      <c r="Q103" s="3044">
        <v>0</v>
      </c>
      <c r="R103" s="3044">
        <f t="shared" si="33"/>
        <v>0</v>
      </c>
      <c r="S103" s="3044">
        <v>0</v>
      </c>
      <c r="T103" s="3044">
        <v>0</v>
      </c>
      <c r="U103" s="3044">
        <f t="shared" si="34"/>
        <v>0</v>
      </c>
      <c r="V103" s="3044">
        <v>0</v>
      </c>
      <c r="W103" s="3044">
        <v>1</v>
      </c>
    </row>
    <row r="104" spans="1:28" ht="20.399999999999999" hidden="1" customHeight="1">
      <c r="A104" s="2950" t="s">
        <v>4091</v>
      </c>
      <c r="B104" s="2895">
        <v>99.642693254999998</v>
      </c>
      <c r="C104" s="2883">
        <v>80.401464549535348</v>
      </c>
      <c r="D104" s="2883"/>
      <c r="E104" s="2884"/>
      <c r="F104" s="2883"/>
      <c r="H104" s="2854">
        <f t="shared" si="26"/>
        <v>0</v>
      </c>
      <c r="K104" s="2854">
        <f t="shared" si="37"/>
        <v>0</v>
      </c>
      <c r="M104" s="2854">
        <f t="shared" si="38"/>
        <v>0</v>
      </c>
      <c r="R104" s="2854">
        <f t="shared" si="33"/>
        <v>0</v>
      </c>
      <c r="U104" s="2854">
        <f t="shared" si="34"/>
        <v>0</v>
      </c>
    </row>
    <row r="105" spans="1:28" ht="20.399999999999999" hidden="1" customHeight="1">
      <c r="A105" s="2951" t="s">
        <v>4092</v>
      </c>
      <c r="B105" s="2895">
        <v>64.5</v>
      </c>
      <c r="C105" s="2895">
        <v>17.899999999999999</v>
      </c>
      <c r="D105" s="2895"/>
      <c r="E105" s="2884"/>
      <c r="F105" s="2895">
        <v>0</v>
      </c>
      <c r="G105" s="2895">
        <v>0</v>
      </c>
      <c r="H105" s="2895">
        <f t="shared" si="26"/>
        <v>0</v>
      </c>
      <c r="I105" s="2895">
        <v>0</v>
      </c>
      <c r="J105" s="2895"/>
      <c r="K105" s="2895">
        <f t="shared" si="37"/>
        <v>0</v>
      </c>
      <c r="L105" s="2895"/>
      <c r="M105" s="2895">
        <f t="shared" si="38"/>
        <v>0</v>
      </c>
      <c r="N105" s="2895"/>
      <c r="O105" s="2895"/>
      <c r="P105" s="2895"/>
      <c r="Q105" s="2895"/>
      <c r="R105" s="2895">
        <f t="shared" si="33"/>
        <v>0</v>
      </c>
      <c r="S105" s="2895"/>
      <c r="T105" s="2895"/>
      <c r="U105" s="2895">
        <f t="shared" si="34"/>
        <v>0</v>
      </c>
      <c r="V105" s="2895"/>
      <c r="W105" s="2895"/>
    </row>
    <row r="106" spans="1:28" ht="20.399999999999999" hidden="1" customHeight="1">
      <c r="A106" s="2888" t="s">
        <v>4027</v>
      </c>
      <c r="B106" s="2895"/>
      <c r="C106" s="2895"/>
      <c r="E106" s="2884"/>
      <c r="F106" s="2854">
        <v>33</v>
      </c>
      <c r="G106" s="2886">
        <v>33</v>
      </c>
      <c r="H106" s="2886">
        <f t="shared" si="26"/>
        <v>0</v>
      </c>
      <c r="I106" s="2895"/>
      <c r="J106" s="2895"/>
      <c r="K106" s="2895">
        <f t="shared" si="37"/>
        <v>0</v>
      </c>
      <c r="L106" s="2895"/>
      <c r="M106" s="2895">
        <f t="shared" si="38"/>
        <v>0</v>
      </c>
      <c r="N106" s="2895"/>
      <c r="O106" s="2895"/>
      <c r="P106" s="2895"/>
      <c r="Q106" s="2895"/>
      <c r="R106" s="2895">
        <f t="shared" si="33"/>
        <v>0</v>
      </c>
      <c r="S106" s="2895"/>
      <c r="T106" s="2895"/>
      <c r="U106" s="2895">
        <f t="shared" si="34"/>
        <v>0</v>
      </c>
      <c r="V106" s="2895"/>
      <c r="W106" s="2895"/>
    </row>
    <row r="107" spans="1:28" s="3006" customFormat="1" ht="20.399999999999999" customHeight="1">
      <c r="A107" s="3108" t="s">
        <v>4204</v>
      </c>
      <c r="B107" s="3109"/>
      <c r="C107" s="3109"/>
      <c r="E107" s="3107"/>
      <c r="G107" s="3110"/>
      <c r="H107" s="3110"/>
      <c r="I107" s="3109"/>
      <c r="J107" s="3109"/>
      <c r="K107" s="3109"/>
      <c r="L107" s="3109"/>
      <c r="M107" s="3109"/>
      <c r="N107" s="3109"/>
      <c r="O107" s="3109"/>
      <c r="P107" s="3109">
        <f>P16</f>
        <v>0</v>
      </c>
      <c r="Q107" s="3109">
        <f>Q16</f>
        <v>84.4</v>
      </c>
      <c r="R107" s="3109">
        <f>Q107-P107</f>
        <v>84.4</v>
      </c>
      <c r="S107" s="3109">
        <f>S16</f>
        <v>0</v>
      </c>
      <c r="T107" s="3109">
        <f>T16</f>
        <v>84.4</v>
      </c>
      <c r="U107" s="3109">
        <f>T107-S107</f>
        <v>84.4</v>
      </c>
      <c r="V107" s="3109"/>
      <c r="W107" s="3109"/>
    </row>
    <row r="108" spans="1:28">
      <c r="A108" s="2911" t="s">
        <v>4168</v>
      </c>
      <c r="B108" s="2905">
        <v>5.7231249279999998</v>
      </c>
      <c r="C108" s="2895">
        <v>5.7231249279999998</v>
      </c>
      <c r="D108" s="2895">
        <v>0</v>
      </c>
      <c r="E108" s="2884">
        <f t="shared" si="39"/>
        <v>-5.7231249279999998</v>
      </c>
      <c r="F108" s="2895">
        <v>5.7231249279999998</v>
      </c>
      <c r="G108" s="2895">
        <v>5.7231249279999998</v>
      </c>
      <c r="H108" s="2895">
        <f t="shared" si="26"/>
        <v>0</v>
      </c>
      <c r="I108" s="2895">
        <v>5.7231249279999998</v>
      </c>
      <c r="J108" s="2895">
        <v>5.7231249279999998</v>
      </c>
      <c r="K108" s="2895">
        <f t="shared" si="37"/>
        <v>0</v>
      </c>
      <c r="L108" s="2895">
        <v>5.7231249279999998</v>
      </c>
      <c r="M108" s="2895">
        <f t="shared" si="38"/>
        <v>0</v>
      </c>
      <c r="N108" s="2895">
        <v>5.7231249279999998</v>
      </c>
      <c r="O108" s="2895">
        <v>5.7231249279999998</v>
      </c>
      <c r="P108" s="2895">
        <v>5.7231249279999998</v>
      </c>
      <c r="Q108" s="2895">
        <f>FISC!AK1241</f>
        <v>5.7231249279999998</v>
      </c>
      <c r="R108" s="2895">
        <f t="shared" si="33"/>
        <v>0</v>
      </c>
      <c r="S108" s="2895">
        <v>5.7231249279999998</v>
      </c>
      <c r="T108" s="2895">
        <f>FISC!AL1241</f>
        <v>5.7231249279999998</v>
      </c>
      <c r="U108" s="2895">
        <f t="shared" si="34"/>
        <v>0</v>
      </c>
      <c r="V108" s="2895">
        <f>FISC!AM1241</f>
        <v>5.7231249279999998</v>
      </c>
      <c r="W108" s="2895">
        <f>FISC!AN1241</f>
        <v>5.7231249279999998</v>
      </c>
      <c r="X108" s="2935"/>
      <c r="Y108" s="2935"/>
    </row>
    <row r="109" spans="1:28" s="2873" customFormat="1">
      <c r="A109" s="2871" t="s">
        <v>4169</v>
      </c>
      <c r="B109" s="2872">
        <v>64.131449058713002</v>
      </c>
      <c r="C109" s="2872">
        <v>44.424926686255787</v>
      </c>
      <c r="D109" s="2872">
        <v>49.352330901000002</v>
      </c>
      <c r="E109" s="2872">
        <f t="shared" si="39"/>
        <v>4.9274042147442145</v>
      </c>
      <c r="F109" s="2872">
        <v>25.493547458193515</v>
      </c>
      <c r="G109" s="2872">
        <v>29.514715629000001</v>
      </c>
      <c r="H109" s="2872">
        <f t="shared" si="26"/>
        <v>4.0211681708064866</v>
      </c>
      <c r="I109" s="2872">
        <v>39.830751174839996</v>
      </c>
      <c r="J109" s="2872">
        <v>39.808708326640001</v>
      </c>
      <c r="K109" s="2872">
        <f t="shared" si="37"/>
        <v>-2.204284819999458E-2</v>
      </c>
      <c r="L109" s="2872">
        <v>39.981844029999998</v>
      </c>
      <c r="M109" s="2872">
        <f t="shared" si="38"/>
        <v>0.17313570335999628</v>
      </c>
      <c r="N109" s="2872">
        <v>38.461284790891888</v>
      </c>
      <c r="O109" s="2872">
        <v>701.75630875283366</v>
      </c>
      <c r="P109" s="2872">
        <v>533.5654657465368</v>
      </c>
      <c r="Q109" s="2872">
        <f>FISC!AK1300</f>
        <v>532.74593383037995</v>
      </c>
      <c r="R109" s="2872">
        <f t="shared" si="33"/>
        <v>-0.81953191615684773</v>
      </c>
      <c r="S109" s="2872">
        <v>478.58095952475151</v>
      </c>
      <c r="T109" s="2872">
        <f>FISC!AL1300</f>
        <v>470.74951295425944</v>
      </c>
      <c r="U109" s="2872">
        <f t="shared" si="34"/>
        <v>-7.8314465704920622</v>
      </c>
      <c r="V109" s="2872">
        <f>FISC!AM1300</f>
        <v>375.31381358043683</v>
      </c>
      <c r="W109" s="2872">
        <f>FISC!AN1300</f>
        <v>39.891145318946343</v>
      </c>
      <c r="Y109" s="2874"/>
      <c r="AB109" s="2875"/>
    </row>
    <row r="110" spans="1:28" s="2910" customFormat="1">
      <c r="A110" s="2952" t="s">
        <v>4093</v>
      </c>
      <c r="B110" s="2913"/>
      <c r="C110" s="2913"/>
      <c r="D110" s="2913"/>
      <c r="E110" s="2884"/>
      <c r="F110" s="2913"/>
      <c r="G110" s="2913"/>
      <c r="H110" s="2913"/>
      <c r="I110" s="2913"/>
      <c r="J110" s="2913">
        <v>35.808708326640001</v>
      </c>
      <c r="K110" s="2913"/>
      <c r="L110" s="2913">
        <v>35.981844029999998</v>
      </c>
      <c r="M110" s="2913">
        <f>L110-J110</f>
        <v>0.17313570335999628</v>
      </c>
      <c r="N110" s="2913">
        <v>36.108707726639999</v>
      </c>
      <c r="O110" s="2913">
        <v>699.40373168858173</v>
      </c>
      <c r="P110" s="2913">
        <v>531.21288868228487</v>
      </c>
      <c r="Q110" s="2913">
        <f>FISC!AK1303</f>
        <v>530.39335676612802</v>
      </c>
      <c r="R110" s="2913">
        <f t="shared" si="33"/>
        <v>-0.81953191615684773</v>
      </c>
      <c r="S110" s="2913">
        <v>478.58095952475151</v>
      </c>
      <c r="T110" s="2913">
        <f>FISC!AL1303</f>
        <v>470.74951295425944</v>
      </c>
      <c r="U110" s="2913">
        <f t="shared" si="34"/>
        <v>-7.8314465704920622</v>
      </c>
      <c r="V110" s="2913">
        <f>FISC!AM1303</f>
        <v>375.31381358043683</v>
      </c>
      <c r="W110" s="2913">
        <f>FISC!AN1303</f>
        <v>39.891145318946343</v>
      </c>
    </row>
    <row r="111" spans="1:28" s="2910" customFormat="1">
      <c r="A111" s="2953" t="s">
        <v>4094</v>
      </c>
      <c r="B111" s="2913"/>
      <c r="C111" s="2913"/>
      <c r="D111" s="2913"/>
      <c r="E111" s="2884"/>
      <c r="F111" s="2913"/>
      <c r="G111" s="2913"/>
      <c r="H111" s="2913"/>
      <c r="I111" s="2913"/>
      <c r="J111" s="2913">
        <v>0</v>
      </c>
      <c r="K111" s="2913"/>
      <c r="L111" s="2913">
        <v>0</v>
      </c>
      <c r="M111" s="2913">
        <f>L111-J111</f>
        <v>0</v>
      </c>
      <c r="N111" s="2913">
        <v>0</v>
      </c>
      <c r="O111" s="2913">
        <v>663.42188765794174</v>
      </c>
      <c r="P111" s="2913">
        <v>495.23104465164488</v>
      </c>
      <c r="Q111" s="2913">
        <f>FISC!AK1305</f>
        <v>494.41151273548797</v>
      </c>
      <c r="R111" s="2913">
        <f t="shared" si="33"/>
        <v>-0.81953191615690457</v>
      </c>
      <c r="S111" s="2913">
        <v>442.59911549411152</v>
      </c>
      <c r="T111" s="2913">
        <f>FISC!AL1305</f>
        <v>434.76766892361945</v>
      </c>
      <c r="U111" s="2913">
        <f t="shared" si="34"/>
        <v>-7.8314465704920622</v>
      </c>
      <c r="V111" s="2913">
        <f>FISC!AM1305</f>
        <v>339.33196954979684</v>
      </c>
      <c r="W111" s="2913">
        <f>FISC!AN1305</f>
        <v>3.909301288306346</v>
      </c>
    </row>
    <row r="112" spans="1:28" s="2910" customFormat="1">
      <c r="A112" s="2954" t="s">
        <v>4095</v>
      </c>
      <c r="B112" s="2913"/>
      <c r="C112" s="2913"/>
      <c r="D112" s="2913"/>
      <c r="E112" s="2884"/>
      <c r="F112" s="2913"/>
      <c r="G112" s="2913"/>
      <c r="H112" s="2913"/>
      <c r="I112" s="2913"/>
      <c r="J112" s="2913"/>
      <c r="K112" s="2913"/>
      <c r="L112" s="2913"/>
      <c r="M112" s="2913"/>
      <c r="N112" s="2913"/>
      <c r="O112" s="2913"/>
      <c r="P112" s="2913">
        <f>P38+P37</f>
        <v>250.64202362554963</v>
      </c>
      <c r="Q112" s="2913">
        <f>Q38+Q37</f>
        <v>250.52117291561621</v>
      </c>
      <c r="R112" s="2913">
        <f t="shared" si="33"/>
        <v>-0.12085070993342129</v>
      </c>
      <c r="S112" s="2913"/>
      <c r="T112" s="2913">
        <f>T38+T37</f>
        <v>162.73536969180157</v>
      </c>
      <c r="U112" s="2913">
        <f t="shared" si="34"/>
        <v>162.73536969180157</v>
      </c>
      <c r="V112" s="2913">
        <f>V38+V37</f>
        <v>187.35066706985879</v>
      </c>
      <c r="W112" s="2913">
        <f>W38+W37</f>
        <v>0</v>
      </c>
    </row>
    <row r="113" spans="1:28" s="2910" customFormat="1">
      <c r="A113" s="2954" t="s">
        <v>4096</v>
      </c>
      <c r="B113" s="2913"/>
      <c r="C113" s="2913"/>
      <c r="D113" s="2913"/>
      <c r="E113" s="2884"/>
      <c r="F113" s="2913"/>
      <c r="G113" s="2913"/>
      <c r="H113" s="2913"/>
      <c r="I113" s="2913"/>
      <c r="J113" s="2913"/>
      <c r="K113" s="2913"/>
      <c r="L113" s="2913"/>
      <c r="M113" s="2913"/>
      <c r="N113" s="2913"/>
      <c r="O113" s="2913"/>
      <c r="P113" s="2913">
        <f>P111-P112</f>
        <v>244.58902102609525</v>
      </c>
      <c r="Q113" s="2913">
        <f>Q111-Q112</f>
        <v>243.89033981987177</v>
      </c>
      <c r="R113" s="2913">
        <f t="shared" si="33"/>
        <v>-0.69868120622348329</v>
      </c>
      <c r="S113" s="2913"/>
      <c r="T113" s="2913">
        <f>T111-T112</f>
        <v>272.03229923181789</v>
      </c>
      <c r="U113" s="2913">
        <f t="shared" si="34"/>
        <v>272.03229923181789</v>
      </c>
      <c r="V113" s="2913">
        <f>V111-V112</f>
        <v>151.98130247993805</v>
      </c>
      <c r="W113" s="2913">
        <f>W111-W112</f>
        <v>3.909301288306346</v>
      </c>
    </row>
    <row r="114" spans="1:28">
      <c r="A114" s="2915" t="s">
        <v>4097</v>
      </c>
      <c r="B114" s="2895">
        <v>32.950062578996402</v>
      </c>
      <c r="C114" s="2895">
        <v>35.90084239428716</v>
      </c>
      <c r="D114" s="2895">
        <v>35.796852052999995</v>
      </c>
      <c r="E114" s="2884">
        <f t="shared" ref="E114" si="44">D114-C114</f>
        <v>-0.10399034128716522</v>
      </c>
      <c r="F114" s="2895">
        <v>35.266395275098091</v>
      </c>
      <c r="G114" s="2895">
        <v>35.266395275098098</v>
      </c>
      <c r="H114" s="2895">
        <f t="shared" ref="H114" si="45">G114-F114</f>
        <v>0</v>
      </c>
      <c r="I114" s="2895">
        <v>34.567770112860906</v>
      </c>
      <c r="J114" s="2895">
        <v>4</v>
      </c>
      <c r="K114" s="2895">
        <f t="shared" ref="K114" si="46">J114-I114</f>
        <v>-30.567770112860906</v>
      </c>
      <c r="L114" s="2895">
        <v>4</v>
      </c>
      <c r="M114" s="2895">
        <f t="shared" ref="M114" si="47">L114-J114</f>
        <v>0</v>
      </c>
      <c r="N114" s="2895">
        <v>2.3525770642518919</v>
      </c>
      <c r="O114" s="2895">
        <v>2.3525770642518919</v>
      </c>
      <c r="P114" s="2895">
        <v>2.3525770642518919</v>
      </c>
      <c r="Q114" s="2895">
        <f>FISC!AK1301</f>
        <v>2.3525770642518919</v>
      </c>
      <c r="R114" s="2895">
        <f t="shared" si="33"/>
        <v>0</v>
      </c>
      <c r="S114" s="2895">
        <v>0</v>
      </c>
      <c r="T114" s="2895">
        <f>FISC!AL1301</f>
        <v>0</v>
      </c>
      <c r="U114" s="2895">
        <f t="shared" si="34"/>
        <v>0</v>
      </c>
      <c r="V114" s="2895">
        <f>FISC!AM1301</f>
        <v>0</v>
      </c>
      <c r="W114" s="2895">
        <f>FISC!AN1301</f>
        <v>0</v>
      </c>
    </row>
    <row r="115" spans="1:28" s="2873" customFormat="1">
      <c r="A115" s="2871" t="s">
        <v>4170</v>
      </c>
      <c r="B115" s="2872">
        <v>63.566251018625401</v>
      </c>
      <c r="C115" s="2872">
        <f>C116+C118</f>
        <v>117.86624956077387</v>
      </c>
      <c r="D115" s="2872">
        <v>92.082835726969989</v>
      </c>
      <c r="E115" s="2872">
        <f t="shared" si="39"/>
        <v>-25.783413833803877</v>
      </c>
      <c r="F115" s="2872">
        <v>105.73240383351165</v>
      </c>
      <c r="G115" s="2872">
        <v>81.638807056264099</v>
      </c>
      <c r="H115" s="2872">
        <f t="shared" si="26"/>
        <v>-24.093596777247555</v>
      </c>
      <c r="I115" s="2872">
        <v>60.726237711061856</v>
      </c>
      <c r="J115" s="2872">
        <v>110.79977350850154</v>
      </c>
      <c r="K115" s="2872">
        <f t="shared" si="37"/>
        <v>50.073535797439689</v>
      </c>
      <c r="L115" s="2872">
        <f>L116+L118+L117</f>
        <v>134.77586691037163</v>
      </c>
      <c r="M115" s="2872">
        <f t="shared" si="38"/>
        <v>23.976093401870088</v>
      </c>
      <c r="N115" s="2872">
        <v>47.179797608428935</v>
      </c>
      <c r="O115" s="2872">
        <f>O116+O118</f>
        <v>58.762517943990304</v>
      </c>
      <c r="P115" s="2872">
        <f>P116+P118</f>
        <v>58.762517943990304</v>
      </c>
      <c r="Q115" s="2872">
        <f>Q116+Q118</f>
        <v>58.762517943990304</v>
      </c>
      <c r="R115" s="2872">
        <f t="shared" si="33"/>
        <v>0</v>
      </c>
      <c r="S115" s="2872">
        <f>S116+S118</f>
        <v>32.503843045253639</v>
      </c>
      <c r="T115" s="2872">
        <f>T116+T118</f>
        <v>32.503843045253639</v>
      </c>
      <c r="U115" s="2872">
        <f t="shared" si="34"/>
        <v>0</v>
      </c>
      <c r="V115" s="2872">
        <f>V116+V118</f>
        <v>30.040280979999999</v>
      </c>
      <c r="W115" s="2872">
        <f>W116+W118</f>
        <v>30.040280979999999</v>
      </c>
      <c r="Y115" s="2874"/>
      <c r="AB115" s="2875"/>
    </row>
    <row r="116" spans="1:28">
      <c r="A116" s="2911" t="s">
        <v>4098</v>
      </c>
      <c r="B116" s="2895">
        <v>32.950062578996402</v>
      </c>
      <c r="C116" s="2895">
        <v>35.90084239428716</v>
      </c>
      <c r="D116" s="2895">
        <v>35.796852052999995</v>
      </c>
      <c r="E116" s="2884">
        <f t="shared" si="39"/>
        <v>-0.10399034128716522</v>
      </c>
      <c r="F116" s="2895">
        <v>35.266395275098091</v>
      </c>
      <c r="G116" s="2895">
        <v>35.266395275098098</v>
      </c>
      <c r="H116" s="2895">
        <f t="shared" si="26"/>
        <v>0</v>
      </c>
      <c r="I116" s="2895">
        <v>34.567770112860906</v>
      </c>
      <c r="J116" s="2895">
        <v>34.567770112860906</v>
      </c>
      <c r="K116" s="2895">
        <f t="shared" si="37"/>
        <v>0</v>
      </c>
      <c r="L116" s="2895">
        <v>35.969677187999999</v>
      </c>
      <c r="M116" s="2895">
        <f t="shared" si="38"/>
        <v>1.4019070751390927</v>
      </c>
      <c r="N116" s="2895">
        <v>34.491734694473891</v>
      </c>
      <c r="O116" s="2895">
        <v>33.969677187999999</v>
      </c>
      <c r="P116" s="2895">
        <v>33.969677187999999</v>
      </c>
      <c r="Q116" s="2895">
        <f>FISC!AK1289</f>
        <v>33.969677187999999</v>
      </c>
      <c r="R116" s="2895">
        <f t="shared" si="33"/>
        <v>0</v>
      </c>
      <c r="S116" s="2895">
        <v>32.503843045253639</v>
      </c>
      <c r="T116" s="2895">
        <f>FISC!AL1289</f>
        <v>32.503843045253639</v>
      </c>
      <c r="U116" s="2895">
        <f t="shared" si="34"/>
        <v>0</v>
      </c>
      <c r="V116" s="2895">
        <f>FISC!AM1289</f>
        <v>30.040280979999999</v>
      </c>
      <c r="W116" s="2895">
        <f>FISC!AN1289</f>
        <v>30.040280979999999</v>
      </c>
    </row>
    <row r="117" spans="1:28">
      <c r="A117" s="2911" t="s">
        <v>4099</v>
      </c>
      <c r="B117" s="2895"/>
      <c r="C117" s="2895"/>
      <c r="D117" s="2895"/>
      <c r="E117" s="2884"/>
      <c r="F117" s="2895"/>
      <c r="G117" s="2895"/>
      <c r="H117" s="2895"/>
      <c r="I117" s="2895"/>
      <c r="J117" s="2895">
        <v>55.139928963999999</v>
      </c>
      <c r="K117" s="2895">
        <f t="shared" si="37"/>
        <v>55.139928963999999</v>
      </c>
      <c r="L117" s="2895">
        <v>55.139928963999999</v>
      </c>
      <c r="M117" s="2895">
        <f t="shared" si="38"/>
        <v>0</v>
      </c>
      <c r="N117" s="2895">
        <v>0</v>
      </c>
      <c r="O117" s="2895">
        <v>0</v>
      </c>
      <c r="P117" s="2895">
        <v>0</v>
      </c>
      <c r="Q117" s="2895">
        <v>0</v>
      </c>
      <c r="R117" s="2895">
        <f t="shared" si="33"/>
        <v>0</v>
      </c>
      <c r="S117" s="2895">
        <v>0</v>
      </c>
      <c r="T117" s="2895">
        <v>0</v>
      </c>
      <c r="U117" s="2895">
        <f t="shared" si="34"/>
        <v>0</v>
      </c>
      <c r="V117" s="2895">
        <v>0</v>
      </c>
      <c r="W117" s="2895">
        <v>0</v>
      </c>
    </row>
    <row r="118" spans="1:28">
      <c r="A118" s="2911" t="s">
        <v>4100</v>
      </c>
      <c r="B118" s="2895">
        <v>30.616188439628999</v>
      </c>
      <c r="C118" s="2895">
        <v>81.965407166486713</v>
      </c>
      <c r="D118" s="2895">
        <v>56.285983673969994</v>
      </c>
      <c r="E118" s="2884">
        <f t="shared" si="39"/>
        <v>-25.679423492516719</v>
      </c>
      <c r="F118" s="2895">
        <v>70.466008558413563</v>
      </c>
      <c r="G118" s="2895">
        <v>46.372411781166001</v>
      </c>
      <c r="H118" s="2895">
        <f t="shared" si="26"/>
        <v>-24.093596777247562</v>
      </c>
      <c r="I118" s="2895">
        <v>26.158467598200954</v>
      </c>
      <c r="J118" s="2895">
        <v>21.092074431640629</v>
      </c>
      <c r="K118" s="2895">
        <f t="shared" si="37"/>
        <v>-5.0663931665603243</v>
      </c>
      <c r="L118" s="2895">
        <v>43.666260758371628</v>
      </c>
      <c r="M118" s="2895">
        <f t="shared" si="38"/>
        <v>22.574186326730999</v>
      </c>
      <c r="N118" s="2895">
        <v>12.688062913955042</v>
      </c>
      <c r="O118" s="2895">
        <v>24.792840755990309</v>
      </c>
      <c r="P118" s="2895">
        <v>24.792840755990309</v>
      </c>
      <c r="Q118" s="2895">
        <f>FISC!AK1295</f>
        <v>24.792840755990309</v>
      </c>
      <c r="R118" s="2895">
        <f t="shared" si="33"/>
        <v>0</v>
      </c>
      <c r="S118" s="2895">
        <v>0</v>
      </c>
      <c r="T118" s="2895">
        <f>FISC!AL1296</f>
        <v>0</v>
      </c>
      <c r="U118" s="2895">
        <f t="shared" si="34"/>
        <v>0</v>
      </c>
      <c r="V118" s="2895">
        <f>FISC!AM1296</f>
        <v>0</v>
      </c>
      <c r="W118" s="2895">
        <f>FISC!AN1296</f>
        <v>0</v>
      </c>
    </row>
    <row r="119" spans="1:28">
      <c r="A119" s="2911" t="s">
        <v>4202</v>
      </c>
      <c r="B119" s="2895"/>
      <c r="C119" s="2895"/>
      <c r="D119" s="2895"/>
      <c r="E119" s="2884"/>
      <c r="F119" s="2895"/>
      <c r="G119" s="2895"/>
      <c r="H119" s="2895"/>
      <c r="I119" s="2895"/>
      <c r="J119" s="2895"/>
      <c r="K119" s="2895"/>
      <c r="L119" s="2895"/>
      <c r="M119" s="2895"/>
      <c r="N119" s="2895"/>
      <c r="O119" s="2895"/>
      <c r="P119" s="2895">
        <v>0</v>
      </c>
      <c r="Q119" s="2895">
        <f>FISC!AK1298</f>
        <v>21.932028332305556</v>
      </c>
      <c r="R119" s="2895">
        <f t="shared" si="33"/>
        <v>21.932028332305556</v>
      </c>
      <c r="S119" s="2895">
        <v>0</v>
      </c>
      <c r="T119" s="2895">
        <f>FISC!AL1298</f>
        <v>14.264886520916667</v>
      </c>
      <c r="U119" s="2895">
        <f t="shared" si="34"/>
        <v>14.264886520916667</v>
      </c>
      <c r="V119" s="2895">
        <f>FISC!AM1298</f>
        <v>16.078544451722223</v>
      </c>
      <c r="W119" s="2895">
        <f>FISC!AN1298</f>
        <v>15.869247363222222</v>
      </c>
    </row>
    <row r="120" spans="1:28" s="2873" customFormat="1">
      <c r="A120" s="2871" t="s">
        <v>4171</v>
      </c>
      <c r="B120" s="2872">
        <v>40</v>
      </c>
      <c r="C120" s="2872">
        <v>40</v>
      </c>
      <c r="D120" s="2872">
        <v>-69.800000000000011</v>
      </c>
      <c r="E120" s="2872">
        <f t="shared" si="39"/>
        <v>-109.80000000000001</v>
      </c>
      <c r="F120" s="2872">
        <v>57.044162166589956</v>
      </c>
      <c r="G120" s="2872">
        <v>23.2</v>
      </c>
      <c r="H120" s="2872">
        <f t="shared" si="26"/>
        <v>-33.844162166589953</v>
      </c>
      <c r="I120" s="2872">
        <v>80</v>
      </c>
      <c r="J120" s="2872">
        <v>80</v>
      </c>
      <c r="K120" s="2872">
        <f t="shared" si="37"/>
        <v>0</v>
      </c>
      <c r="L120" s="2872">
        <v>80</v>
      </c>
      <c r="M120" s="2872">
        <f t="shared" si="38"/>
        <v>0</v>
      </c>
      <c r="N120" s="2872">
        <v>40</v>
      </c>
      <c r="O120" s="2872">
        <v>40</v>
      </c>
      <c r="P120" s="2872">
        <v>40</v>
      </c>
      <c r="Q120" s="2872">
        <f>-FISC!AK1343</f>
        <v>40</v>
      </c>
      <c r="R120" s="2872">
        <f t="shared" si="33"/>
        <v>0</v>
      </c>
      <c r="S120" s="2872">
        <v>40</v>
      </c>
      <c r="T120" s="2872">
        <f>-FISC!AL1343</f>
        <v>40</v>
      </c>
      <c r="U120" s="2872">
        <f t="shared" si="34"/>
        <v>0</v>
      </c>
      <c r="V120" s="2872">
        <f>-FISC!AM1343</f>
        <v>-40</v>
      </c>
      <c r="W120" s="2872">
        <f>-FISC!AN1343</f>
        <v>-40</v>
      </c>
      <c r="Y120" s="2874"/>
      <c r="AB120" s="2875"/>
    </row>
    <row r="121" spans="1:28" s="2873" customFormat="1">
      <c r="A121" s="2871" t="s">
        <v>4172</v>
      </c>
      <c r="B121" s="2872">
        <v>28.593208237999999</v>
      </c>
      <c r="C121" s="2872">
        <v>29.463069462156426</v>
      </c>
      <c r="D121" s="2872">
        <v>39.569110776999999</v>
      </c>
      <c r="E121" s="2872">
        <f t="shared" si="39"/>
        <v>10.106041314843573</v>
      </c>
      <c r="F121" s="2872">
        <v>45.759608893626307</v>
      </c>
      <c r="G121" s="2872">
        <v>44.00295915848092</v>
      </c>
      <c r="H121" s="2872">
        <f t="shared" si="26"/>
        <v>-1.7566497351453876</v>
      </c>
      <c r="I121" s="2872">
        <v>50.986381388817392</v>
      </c>
      <c r="J121" s="2872">
        <v>50.986381388817392</v>
      </c>
      <c r="K121" s="2872">
        <f t="shared" si="37"/>
        <v>0</v>
      </c>
      <c r="L121" s="2872">
        <v>50.982743245356446</v>
      </c>
      <c r="M121" s="2872">
        <f t="shared" si="38"/>
        <v>-3.6381434609467078E-3</v>
      </c>
      <c r="N121" s="2872">
        <v>57.492749116646699</v>
      </c>
      <c r="O121" s="2872">
        <v>56.52889871820225</v>
      </c>
      <c r="P121" s="2872">
        <v>58.168365474679049</v>
      </c>
      <c r="Q121" s="2872">
        <f>FISC!AK1273+FISC!AK1276+FISC!AK1282</f>
        <v>58.168365474679049</v>
      </c>
      <c r="R121" s="2872">
        <f t="shared" si="33"/>
        <v>0</v>
      </c>
      <c r="S121" s="2872">
        <v>65.991395082942006</v>
      </c>
      <c r="T121" s="2872">
        <f>FISC!AL1273+FISC!AL1276+FISC!AL1282</f>
        <v>65.991395082942006</v>
      </c>
      <c r="U121" s="2872">
        <f t="shared" si="34"/>
        <v>0</v>
      </c>
      <c r="V121" s="2872">
        <f>FISC!AM1273+FISC!AM1276+FISC!AM1282</f>
        <v>78.477147457248364</v>
      </c>
      <c r="W121" s="2872">
        <f>FISC!AN1273+FISC!AN1276+FISC!AN1282</f>
        <v>79.696857249662202</v>
      </c>
      <c r="Y121" s="2874"/>
      <c r="AB121" s="2875"/>
    </row>
    <row r="122" spans="1:28">
      <c r="A122" s="2955" t="s">
        <v>4173</v>
      </c>
      <c r="B122" s="2895"/>
      <c r="C122" s="2895">
        <v>36.152015315275101</v>
      </c>
      <c r="D122" s="2895"/>
      <c r="E122" s="2884">
        <f t="shared" si="39"/>
        <v>-36.152015315275101</v>
      </c>
      <c r="F122" s="2895"/>
      <c r="G122" s="2895"/>
      <c r="H122" s="2895"/>
      <c r="I122" s="2956">
        <v>167.68652927506099</v>
      </c>
      <c r="J122" s="2956">
        <v>237.46109005123799</v>
      </c>
      <c r="K122" s="2956">
        <f t="shared" si="37"/>
        <v>69.774560776176997</v>
      </c>
      <c r="L122" s="2956">
        <v>176.23409805218901</v>
      </c>
      <c r="M122" s="2956">
        <f t="shared" si="38"/>
        <v>-61.226991999048977</v>
      </c>
      <c r="N122" s="2956">
        <v>-39.3832748656096</v>
      </c>
      <c r="O122" s="2956">
        <v>107.420767193386</v>
      </c>
      <c r="P122" s="2956">
        <v>96.383108563420095</v>
      </c>
      <c r="Q122" s="2956">
        <v>104.245942062404</v>
      </c>
      <c r="R122" s="2956">
        <f t="shared" si="33"/>
        <v>7.8628334989839033</v>
      </c>
      <c r="S122" s="2956">
        <v>-55.442810300303798</v>
      </c>
      <c r="T122" s="2956">
        <v>157.51091721962601</v>
      </c>
      <c r="U122" s="2956">
        <f t="shared" si="34"/>
        <v>212.9537275199298</v>
      </c>
      <c r="V122" s="2956">
        <v>-46.024293710295801</v>
      </c>
      <c r="W122" s="2956">
        <v>-69.134281819800904</v>
      </c>
    </row>
    <row r="123" spans="1:28">
      <c r="A123" s="2919" t="s">
        <v>4101</v>
      </c>
      <c r="B123" s="2920">
        <v>4440.5982476202698</v>
      </c>
      <c r="C123" s="2920">
        <f>C60+C97+C109+C115+C120+C121+C122</f>
        <v>4658.4423037474453</v>
      </c>
      <c r="D123" s="2920">
        <v>4775.2827490005611</v>
      </c>
      <c r="E123" s="2920">
        <f>E60+E97+E109+E115+E120+E121+E122</f>
        <v>116.84044525311751</v>
      </c>
      <c r="F123" s="2920">
        <v>5030.058091822827</v>
      </c>
      <c r="G123" s="2920">
        <v>5199.6853360094146</v>
      </c>
      <c r="H123" s="2920">
        <f>G123-F123</f>
        <v>169.62724418658763</v>
      </c>
      <c r="I123" s="2920">
        <v>5690.1442781959304</v>
      </c>
      <c r="J123" s="2920">
        <v>5816.4094525233832</v>
      </c>
      <c r="K123" s="2920">
        <f t="shared" si="37"/>
        <v>126.26517432745277</v>
      </c>
      <c r="L123" s="2920">
        <f>L60+L97+L109+L115+L120+L121+L122</f>
        <v>5918.4985013008427</v>
      </c>
      <c r="M123" s="2920">
        <f t="shared" si="38"/>
        <v>102.08904877745954</v>
      </c>
      <c r="N123" s="2920">
        <v>6228.7630492864209</v>
      </c>
      <c r="O123" s="2920">
        <f>O60+O97+O109+O115+O120+O121+O122</f>
        <v>7032.5363909690295</v>
      </c>
      <c r="P123" s="2920">
        <f>P60+P97+P109+P115+P120+P121+P122</f>
        <v>6952.0977098148869</v>
      </c>
      <c r="Q123" s="2920">
        <f>Q60+Q97+Q109+Q115+Q120+Q121+Q122</f>
        <v>7016.2375340711187</v>
      </c>
      <c r="R123" s="2920">
        <f t="shared" si="33"/>
        <v>64.139824256231805</v>
      </c>
      <c r="S123" s="2920">
        <f>S60+S97+S109+S115+S120+S121+S122</f>
        <v>7529.7522679659905</v>
      </c>
      <c r="T123" s="2920">
        <f>T60+T97+T109+T115+T120+T121+T122</f>
        <v>7830.5421023526214</v>
      </c>
      <c r="U123" s="2920">
        <f t="shared" si="34"/>
        <v>300.7898343866309</v>
      </c>
      <c r="V123" s="2920">
        <f>V60+V97+V109+V115+V120+V121+V122</f>
        <v>8670.6777292281586</v>
      </c>
      <c r="W123" s="2920">
        <f>W60+W97+W109+W115+W120+W121+W122</f>
        <v>9216.7322459105599</v>
      </c>
      <c r="X123" s="2895"/>
      <c r="AB123" s="2883"/>
    </row>
    <row r="124" spans="1:28" ht="20.399999999999999" hidden="1" customHeight="1">
      <c r="A124" s="2910" t="s">
        <v>4102</v>
      </c>
      <c r="B124" s="2957"/>
      <c r="C124" s="2957">
        <v>4736.1438869529929</v>
      </c>
      <c r="D124" s="2957"/>
      <c r="E124" s="2884">
        <f t="shared" si="39"/>
        <v>-4736.1438869529929</v>
      </c>
      <c r="F124" s="2957"/>
      <c r="G124" s="2957"/>
      <c r="H124" s="2957"/>
      <c r="I124" s="2957"/>
      <c r="J124" s="2957"/>
      <c r="K124" s="2957">
        <f t="shared" si="37"/>
        <v>0</v>
      </c>
      <c r="L124" s="2957"/>
      <c r="M124" s="2957">
        <f t="shared" si="38"/>
        <v>0</v>
      </c>
      <c r="N124" s="2957"/>
      <c r="O124" s="2957"/>
      <c r="P124" s="2957"/>
      <c r="Q124" s="2957"/>
      <c r="R124" s="2957">
        <f t="shared" si="33"/>
        <v>0</v>
      </c>
      <c r="S124" s="2957"/>
      <c r="T124" s="2957"/>
      <c r="U124" s="2957">
        <f t="shared" si="34"/>
        <v>0</v>
      </c>
      <c r="V124" s="2957"/>
      <c r="W124" s="2957"/>
    </row>
    <row r="125" spans="1:28" ht="20.399999999999999" hidden="1" customHeight="1">
      <c r="A125" s="2855" t="s">
        <v>4103</v>
      </c>
      <c r="B125" s="2957">
        <v>632.58526116828182</v>
      </c>
      <c r="C125" s="2957">
        <v>77.701583205547649</v>
      </c>
      <c r="D125" s="2957"/>
      <c r="E125" s="2884">
        <f t="shared" si="39"/>
        <v>-77.701583205547649</v>
      </c>
      <c r="F125" s="2957">
        <v>57.836786080065394</v>
      </c>
      <c r="G125" s="2957">
        <v>57.836786080065394</v>
      </c>
      <c r="H125" s="2957"/>
      <c r="I125" s="2854">
        <v>74.577721939088406</v>
      </c>
      <c r="K125" s="2854">
        <f t="shared" si="37"/>
        <v>-74.577721939088406</v>
      </c>
      <c r="M125" s="2854">
        <f t="shared" si="38"/>
        <v>0</v>
      </c>
      <c r="R125" s="2854">
        <f t="shared" si="33"/>
        <v>0</v>
      </c>
      <c r="U125" s="2854">
        <f t="shared" si="34"/>
        <v>0</v>
      </c>
    </row>
    <row r="126" spans="1:28" ht="20.399999999999999" hidden="1" customHeight="1">
      <c r="A126" s="2855" t="s">
        <v>4104</v>
      </c>
      <c r="B126" s="2957">
        <v>154.06514021723456</v>
      </c>
      <c r="C126" s="2957"/>
      <c r="D126" s="2957"/>
      <c r="E126" s="2884">
        <f t="shared" si="39"/>
        <v>0</v>
      </c>
      <c r="F126" s="2957">
        <v>63.559911008064773</v>
      </c>
      <c r="G126" s="2957">
        <v>63.559911008064773</v>
      </c>
      <c r="H126" s="2957"/>
      <c r="K126" s="2854">
        <f t="shared" si="37"/>
        <v>0</v>
      </c>
      <c r="M126" s="2854">
        <f t="shared" si="38"/>
        <v>0</v>
      </c>
      <c r="R126" s="2854">
        <f t="shared" si="33"/>
        <v>0</v>
      </c>
      <c r="U126" s="2854">
        <f t="shared" si="34"/>
        <v>0</v>
      </c>
    </row>
    <row r="127" spans="1:28" ht="20.399999999999999" hidden="1" customHeight="1">
      <c r="A127" s="2958" t="s">
        <v>1185</v>
      </c>
      <c r="B127" s="2959">
        <v>786.65040138551637</v>
      </c>
      <c r="C127" s="2957"/>
      <c r="D127" s="2957"/>
      <c r="E127" s="2884">
        <f t="shared" si="39"/>
        <v>0</v>
      </c>
      <c r="F127" s="2957"/>
      <c r="G127" s="2957"/>
      <c r="H127" s="2957"/>
      <c r="K127" s="2854">
        <f t="shared" si="37"/>
        <v>0</v>
      </c>
      <c r="M127" s="2854">
        <f t="shared" si="38"/>
        <v>0</v>
      </c>
      <c r="R127" s="2854">
        <f t="shared" si="33"/>
        <v>0</v>
      </c>
      <c r="U127" s="2854">
        <f t="shared" si="34"/>
        <v>0</v>
      </c>
    </row>
    <row r="128" spans="1:28" ht="20.399999999999999" hidden="1" customHeight="1">
      <c r="B128" s="2957"/>
      <c r="C128" s="2957"/>
      <c r="D128" s="2957"/>
      <c r="E128" s="2884">
        <f t="shared" si="39"/>
        <v>0</v>
      </c>
      <c r="F128" s="2957"/>
      <c r="G128" s="2957"/>
      <c r="H128" s="2957"/>
      <c r="K128" s="2854">
        <f t="shared" si="37"/>
        <v>0</v>
      </c>
      <c r="M128" s="2854">
        <f t="shared" si="38"/>
        <v>0</v>
      </c>
      <c r="R128" s="2854">
        <f t="shared" si="33"/>
        <v>0</v>
      </c>
      <c r="U128" s="2854">
        <f t="shared" si="34"/>
        <v>0</v>
      </c>
    </row>
    <row r="129" spans="1:21" ht="20.399999999999999" hidden="1" customHeight="1">
      <c r="B129" s="2957"/>
      <c r="C129" s="2957"/>
      <c r="D129" s="2957"/>
      <c r="E129" s="2884">
        <f t="shared" si="39"/>
        <v>0</v>
      </c>
      <c r="F129" s="2957"/>
      <c r="G129" s="2957"/>
      <c r="H129" s="2957"/>
      <c r="K129" s="2854">
        <f t="shared" si="37"/>
        <v>0</v>
      </c>
      <c r="M129" s="2854">
        <f t="shared" si="38"/>
        <v>0</v>
      </c>
      <c r="R129" s="2854">
        <f t="shared" si="33"/>
        <v>0</v>
      </c>
      <c r="U129" s="2854">
        <f t="shared" si="34"/>
        <v>0</v>
      </c>
    </row>
    <row r="130" spans="1:21" ht="20.399999999999999" hidden="1" customHeight="1">
      <c r="B130" s="2957"/>
      <c r="C130" s="2957"/>
      <c r="D130" s="2957"/>
      <c r="E130" s="2884">
        <f t="shared" si="39"/>
        <v>0</v>
      </c>
      <c r="F130" s="2957"/>
      <c r="G130" s="2957"/>
      <c r="H130" s="2957"/>
      <c r="K130" s="2854">
        <f t="shared" si="37"/>
        <v>0</v>
      </c>
      <c r="M130" s="2854">
        <f t="shared" si="38"/>
        <v>0</v>
      </c>
      <c r="R130" s="2854">
        <f t="shared" si="33"/>
        <v>0</v>
      </c>
      <c r="U130" s="2854">
        <f t="shared" si="34"/>
        <v>0</v>
      </c>
    </row>
    <row r="131" spans="1:21" ht="20.399999999999999" hidden="1" customHeight="1">
      <c r="B131" s="2957"/>
      <c r="C131" s="2957"/>
      <c r="D131" s="2957"/>
      <c r="E131" s="2884">
        <f t="shared" si="39"/>
        <v>0</v>
      </c>
      <c r="F131" s="2957"/>
      <c r="G131" s="2957"/>
      <c r="H131" s="2957"/>
      <c r="K131" s="2854">
        <f t="shared" si="37"/>
        <v>0</v>
      </c>
      <c r="M131" s="2854">
        <f t="shared" si="38"/>
        <v>0</v>
      </c>
      <c r="R131" s="2854">
        <f t="shared" si="33"/>
        <v>0</v>
      </c>
      <c r="U131" s="2854">
        <f t="shared" si="34"/>
        <v>0</v>
      </c>
    </row>
    <row r="132" spans="1:21" ht="20.399999999999999" hidden="1" customHeight="1">
      <c r="B132" s="2957"/>
      <c r="C132" s="2957"/>
      <c r="D132" s="2957"/>
      <c r="E132" s="2884">
        <f t="shared" si="39"/>
        <v>0</v>
      </c>
      <c r="F132" s="2957"/>
      <c r="G132" s="2957"/>
      <c r="H132" s="2957"/>
      <c r="K132" s="2854">
        <f t="shared" si="37"/>
        <v>0</v>
      </c>
      <c r="M132" s="2854">
        <f t="shared" si="38"/>
        <v>0</v>
      </c>
      <c r="R132" s="2854">
        <f t="shared" si="33"/>
        <v>0</v>
      </c>
      <c r="U132" s="2854">
        <f t="shared" si="34"/>
        <v>0</v>
      </c>
    </row>
    <row r="133" spans="1:21" ht="20.399999999999999" hidden="1" customHeight="1">
      <c r="A133" s="2960" t="s">
        <v>4105</v>
      </c>
      <c r="C133" s="2895">
        <v>-217.84405612717546</v>
      </c>
      <c r="D133" s="2895"/>
      <c r="E133" s="2884">
        <f t="shared" si="39"/>
        <v>217.84405612717546</v>
      </c>
      <c r="F133" s="2895"/>
      <c r="K133" s="2854">
        <f t="shared" si="37"/>
        <v>0</v>
      </c>
      <c r="M133" s="2854">
        <f t="shared" si="38"/>
        <v>0</v>
      </c>
      <c r="R133" s="2854">
        <f t="shared" si="33"/>
        <v>0</v>
      </c>
      <c r="U133" s="2854">
        <f t="shared" si="34"/>
        <v>0</v>
      </c>
    </row>
    <row r="134" spans="1:21" ht="20.399999999999999" hidden="1" customHeight="1">
      <c r="A134" s="2961" t="s">
        <v>4106</v>
      </c>
      <c r="B134" s="2854" t="s">
        <v>4008</v>
      </c>
      <c r="C134" s="2895"/>
      <c r="D134" s="2895"/>
      <c r="E134" s="2884">
        <f t="shared" si="39"/>
        <v>0</v>
      </c>
      <c r="F134" s="2895"/>
      <c r="K134" s="2854">
        <f t="shared" si="37"/>
        <v>0</v>
      </c>
      <c r="M134" s="2854">
        <f t="shared" si="38"/>
        <v>0</v>
      </c>
      <c r="R134" s="2854">
        <f t="shared" si="33"/>
        <v>0</v>
      </c>
      <c r="U134" s="2854">
        <f t="shared" si="34"/>
        <v>0</v>
      </c>
    </row>
    <row r="135" spans="1:21" ht="20.399999999999999" hidden="1" customHeight="1">
      <c r="A135" s="2962"/>
      <c r="B135" s="2963" t="s">
        <v>1088</v>
      </c>
      <c r="E135" s="2884">
        <f t="shared" si="39"/>
        <v>0</v>
      </c>
      <c r="K135" s="2854">
        <f t="shared" si="37"/>
        <v>0</v>
      </c>
      <c r="M135" s="2854">
        <f t="shared" si="38"/>
        <v>0</v>
      </c>
      <c r="R135" s="2854">
        <f t="shared" si="33"/>
        <v>0</v>
      </c>
      <c r="U135" s="2854">
        <f t="shared" si="34"/>
        <v>0</v>
      </c>
    </row>
    <row r="136" spans="1:21" ht="20.399999999999999" hidden="1" customHeight="1">
      <c r="A136" s="2961" t="s">
        <v>4107</v>
      </c>
      <c r="B136" s="2964">
        <v>43.008528103188972</v>
      </c>
      <c r="E136" s="2884">
        <f t="shared" si="39"/>
        <v>0</v>
      </c>
      <c r="K136" s="2854">
        <f t="shared" si="37"/>
        <v>0</v>
      </c>
      <c r="M136" s="2854">
        <f t="shared" si="38"/>
        <v>0</v>
      </c>
      <c r="R136" s="2854">
        <f t="shared" si="33"/>
        <v>0</v>
      </c>
      <c r="U136" s="2854">
        <f t="shared" si="34"/>
        <v>0</v>
      </c>
    </row>
    <row r="137" spans="1:21" ht="20.399999999999999" hidden="1" customHeight="1">
      <c r="A137" s="2961" t="s">
        <v>4108</v>
      </c>
      <c r="B137" s="2891">
        <v>45.407436716900001</v>
      </c>
      <c r="E137" s="2884">
        <f t="shared" si="39"/>
        <v>0</v>
      </c>
      <c r="K137" s="2854">
        <f t="shared" si="37"/>
        <v>0</v>
      </c>
      <c r="M137" s="2854">
        <f t="shared" si="38"/>
        <v>0</v>
      </c>
      <c r="R137" s="2854">
        <f t="shared" ref="R137:R195" si="48">Q137-P137</f>
        <v>0</v>
      </c>
      <c r="U137" s="2854">
        <f t="shared" ref="U137:U191" si="49">T137-S137</f>
        <v>0</v>
      </c>
    </row>
    <row r="138" spans="1:21" ht="20.399999999999999" hidden="1" customHeight="1">
      <c r="A138" s="2965" t="s">
        <v>353</v>
      </c>
      <c r="B138" s="2966">
        <v>88.415964820088973</v>
      </c>
      <c r="E138" s="2884">
        <f t="shared" si="39"/>
        <v>0</v>
      </c>
      <c r="K138" s="2854">
        <f t="shared" si="37"/>
        <v>0</v>
      </c>
      <c r="M138" s="2854">
        <f t="shared" si="38"/>
        <v>0</v>
      </c>
      <c r="R138" s="2854">
        <f t="shared" si="48"/>
        <v>0</v>
      </c>
      <c r="U138" s="2854">
        <f t="shared" si="49"/>
        <v>0</v>
      </c>
    </row>
    <row r="139" spans="1:21" ht="20.399999999999999" hidden="1" customHeight="1">
      <c r="A139" s="2961" t="s">
        <v>4109</v>
      </c>
      <c r="E139" s="2884">
        <f t="shared" si="39"/>
        <v>0</v>
      </c>
      <c r="K139" s="2854">
        <f t="shared" si="37"/>
        <v>0</v>
      </c>
      <c r="M139" s="2854">
        <f t="shared" si="38"/>
        <v>0</v>
      </c>
      <c r="R139" s="2854">
        <f t="shared" si="48"/>
        <v>0</v>
      </c>
      <c r="U139" s="2854">
        <f t="shared" si="49"/>
        <v>0</v>
      </c>
    </row>
    <row r="140" spans="1:21" ht="20.399999999999999" hidden="1" customHeight="1">
      <c r="A140" s="2967" t="s">
        <v>4110</v>
      </c>
      <c r="E140" s="2884">
        <f t="shared" si="39"/>
        <v>0</v>
      </c>
      <c r="K140" s="2854">
        <f t="shared" si="37"/>
        <v>0</v>
      </c>
      <c r="M140" s="2854">
        <f t="shared" si="38"/>
        <v>0</v>
      </c>
      <c r="R140" s="2854">
        <f t="shared" si="48"/>
        <v>0</v>
      </c>
      <c r="U140" s="2854">
        <f t="shared" si="49"/>
        <v>0</v>
      </c>
    </row>
    <row r="141" spans="1:21" ht="20.399999999999999" hidden="1" customHeight="1">
      <c r="A141" s="2968" t="s">
        <v>4111</v>
      </c>
      <c r="B141" s="2969">
        <v>263.11158104902802</v>
      </c>
      <c r="E141" s="2884">
        <f t="shared" si="39"/>
        <v>0</v>
      </c>
      <c r="K141" s="2854">
        <f t="shared" si="37"/>
        <v>0</v>
      </c>
      <c r="M141" s="2854">
        <f t="shared" si="38"/>
        <v>0</v>
      </c>
      <c r="R141" s="2854">
        <f t="shared" si="48"/>
        <v>0</v>
      </c>
      <c r="U141" s="2854">
        <f t="shared" si="49"/>
        <v>0</v>
      </c>
    </row>
    <row r="142" spans="1:21" ht="20.399999999999999" hidden="1" customHeight="1">
      <c r="A142" s="2968" t="s">
        <v>4112</v>
      </c>
      <c r="B142" s="2969">
        <v>4.6550000000000002</v>
      </c>
      <c r="C142" s="2969"/>
      <c r="D142" s="2969"/>
      <c r="E142" s="2884">
        <f t="shared" si="39"/>
        <v>0</v>
      </c>
      <c r="F142" s="2969">
        <v>0.28164683587363931</v>
      </c>
      <c r="G142" s="2969">
        <v>0.28164683587363931</v>
      </c>
      <c r="H142" s="2969"/>
      <c r="K142" s="2854">
        <f t="shared" si="37"/>
        <v>0</v>
      </c>
      <c r="M142" s="2854">
        <f t="shared" si="38"/>
        <v>0</v>
      </c>
      <c r="R142" s="2854">
        <f t="shared" si="48"/>
        <v>0</v>
      </c>
      <c r="U142" s="2854">
        <f t="shared" si="49"/>
        <v>0</v>
      </c>
    </row>
    <row r="143" spans="1:21" ht="20.399999999999999" hidden="1" customHeight="1">
      <c r="A143" s="2968" t="s">
        <v>4113</v>
      </c>
      <c r="B143" s="2969">
        <v>5.7231249279999998</v>
      </c>
      <c r="C143" s="2969"/>
      <c r="D143" s="2969"/>
      <c r="E143" s="2884">
        <f t="shared" si="39"/>
        <v>0</v>
      </c>
      <c r="F143" s="2969">
        <v>6.2221905202029992</v>
      </c>
      <c r="G143" s="2969">
        <v>6.2221905202029992</v>
      </c>
      <c r="H143" s="2969"/>
      <c r="K143" s="2854">
        <f t="shared" si="37"/>
        <v>0</v>
      </c>
      <c r="M143" s="2854">
        <f t="shared" si="38"/>
        <v>0</v>
      </c>
      <c r="R143" s="2854">
        <f t="shared" si="48"/>
        <v>0</v>
      </c>
      <c r="U143" s="2854">
        <f t="shared" si="49"/>
        <v>0</v>
      </c>
    </row>
    <row r="144" spans="1:21" ht="20.399999999999999" hidden="1" customHeight="1">
      <c r="A144" s="2968" t="s">
        <v>4114</v>
      </c>
      <c r="B144" s="2969">
        <v>32.950062578996402</v>
      </c>
      <c r="C144" s="2969"/>
      <c r="D144" s="2969"/>
      <c r="E144" s="2884">
        <f t="shared" si="39"/>
        <v>0</v>
      </c>
      <c r="F144" s="2969">
        <v>1.6393370857022208E-2</v>
      </c>
      <c r="G144" s="2969">
        <v>1.6393370857022208E-2</v>
      </c>
      <c r="H144" s="2969"/>
      <c r="K144" s="2854">
        <f t="shared" si="37"/>
        <v>0</v>
      </c>
      <c r="M144" s="2854">
        <f t="shared" si="38"/>
        <v>0</v>
      </c>
      <c r="R144" s="2854">
        <f t="shared" si="48"/>
        <v>0</v>
      </c>
      <c r="U144" s="2854">
        <f t="shared" si="49"/>
        <v>0</v>
      </c>
    </row>
    <row r="145" spans="1:21" ht="20.399999999999999" hidden="1" customHeight="1">
      <c r="A145" s="2970" t="s">
        <v>151</v>
      </c>
      <c r="B145" s="2969">
        <v>101.5626402884471</v>
      </c>
      <c r="C145" s="2969"/>
      <c r="D145" s="2969"/>
      <c r="E145" s="2884">
        <f t="shared" si="39"/>
        <v>0</v>
      </c>
      <c r="F145" s="2969">
        <v>120.75</v>
      </c>
      <c r="G145" s="2969">
        <v>120.75</v>
      </c>
      <c r="H145" s="2969"/>
      <c r="K145" s="2854">
        <f t="shared" si="37"/>
        <v>0</v>
      </c>
      <c r="M145" s="2854">
        <f t="shared" ref="M145:M183" si="50">L145-J145</f>
        <v>0</v>
      </c>
      <c r="R145" s="2854">
        <f t="shared" si="48"/>
        <v>0</v>
      </c>
      <c r="U145" s="2854">
        <f t="shared" si="49"/>
        <v>0</v>
      </c>
    </row>
    <row r="146" spans="1:21" ht="20.399999999999999" hidden="1" customHeight="1">
      <c r="A146" s="2970" t="s">
        <v>4115</v>
      </c>
      <c r="B146" s="2908">
        <v>30.616188439628999</v>
      </c>
      <c r="C146" s="2908"/>
      <c r="D146" s="2908"/>
      <c r="E146" s="2884">
        <f t="shared" si="39"/>
        <v>0</v>
      </c>
      <c r="F146" s="2908">
        <v>0</v>
      </c>
      <c r="G146" s="2908">
        <v>0</v>
      </c>
      <c r="H146" s="2908"/>
      <c r="K146" s="2854">
        <f t="shared" si="37"/>
        <v>0</v>
      </c>
      <c r="M146" s="2854">
        <f t="shared" si="50"/>
        <v>0</v>
      </c>
      <c r="R146" s="2854">
        <f t="shared" si="48"/>
        <v>0</v>
      </c>
      <c r="U146" s="2854">
        <f t="shared" si="49"/>
        <v>0</v>
      </c>
    </row>
    <row r="147" spans="1:21" ht="20.399999999999999" hidden="1" customHeight="1">
      <c r="A147" s="2970" t="s">
        <v>4116</v>
      </c>
      <c r="B147" s="2969">
        <v>22.6734880480595</v>
      </c>
      <c r="C147" s="2969"/>
      <c r="D147" s="2969"/>
      <c r="E147" s="2884">
        <f t="shared" si="39"/>
        <v>0</v>
      </c>
      <c r="F147" s="2969">
        <v>0.26169760921878171</v>
      </c>
      <c r="G147" s="2969">
        <v>0.26169760921878171</v>
      </c>
      <c r="H147" s="2969"/>
      <c r="K147" s="2854">
        <f t="shared" si="37"/>
        <v>0</v>
      </c>
      <c r="M147" s="2854">
        <f t="shared" si="50"/>
        <v>0</v>
      </c>
      <c r="R147" s="2854">
        <f t="shared" si="48"/>
        <v>0</v>
      </c>
      <c r="U147" s="2854">
        <f t="shared" si="49"/>
        <v>0</v>
      </c>
    </row>
    <row r="148" spans="1:21" ht="20.399999999999999" hidden="1" customHeight="1">
      <c r="A148" s="2970" t="s">
        <v>4117</v>
      </c>
      <c r="B148" s="2908">
        <v>36.802961010653505</v>
      </c>
      <c r="C148" s="2908"/>
      <c r="D148" s="2908"/>
      <c r="E148" s="2884">
        <f t="shared" si="39"/>
        <v>0</v>
      </c>
      <c r="F148" s="2908">
        <v>0.54817558127770183</v>
      </c>
      <c r="G148" s="2908">
        <v>0.54817558127770183</v>
      </c>
      <c r="H148" s="2908"/>
      <c r="K148" s="2854">
        <f t="shared" si="37"/>
        <v>0</v>
      </c>
      <c r="M148" s="2854">
        <f t="shared" si="50"/>
        <v>0</v>
      </c>
      <c r="R148" s="2854">
        <f t="shared" si="48"/>
        <v>0</v>
      </c>
      <c r="U148" s="2854">
        <f t="shared" si="49"/>
        <v>0</v>
      </c>
    </row>
    <row r="149" spans="1:21" s="2910" customFormat="1" ht="20.399999999999999" hidden="1" customHeight="1">
      <c r="A149" s="2965" t="s">
        <v>353</v>
      </c>
      <c r="B149" s="2966">
        <v>498.09504634281348</v>
      </c>
      <c r="C149" s="2966"/>
      <c r="D149" s="2966"/>
      <c r="E149" s="2884">
        <f t="shared" si="39"/>
        <v>0</v>
      </c>
      <c r="F149" s="2966">
        <v>128.08010391743014</v>
      </c>
      <c r="G149" s="2966">
        <v>128.08010391743014</v>
      </c>
      <c r="H149" s="2966"/>
      <c r="K149" s="2910">
        <f t="shared" si="37"/>
        <v>0</v>
      </c>
      <c r="M149" s="2910">
        <f t="shared" si="50"/>
        <v>0</v>
      </c>
      <c r="R149" s="2910">
        <f t="shared" si="48"/>
        <v>0</v>
      </c>
      <c r="U149" s="2910">
        <f t="shared" si="49"/>
        <v>0</v>
      </c>
    </row>
    <row r="150" spans="1:21" s="2910" customFormat="1" ht="20.399999999999999" hidden="1" customHeight="1">
      <c r="A150" s="2961"/>
      <c r="E150" s="2884">
        <f t="shared" si="39"/>
        <v>0</v>
      </c>
      <c r="K150" s="2910">
        <f t="shared" ref="K150:K183" si="51">J150-I150</f>
        <v>0</v>
      </c>
      <c r="M150" s="2910">
        <f t="shared" si="50"/>
        <v>0</v>
      </c>
      <c r="R150" s="2910">
        <f t="shared" si="48"/>
        <v>0</v>
      </c>
      <c r="U150" s="2910">
        <f t="shared" si="49"/>
        <v>0</v>
      </c>
    </row>
    <row r="151" spans="1:21" s="2910" customFormat="1" ht="20.399999999999999" hidden="1" customHeight="1">
      <c r="A151" s="2970" t="s">
        <v>4118</v>
      </c>
      <c r="B151" s="2969">
        <v>36.802961010653505</v>
      </c>
      <c r="C151" s="2969"/>
      <c r="D151" s="2969"/>
      <c r="E151" s="2884">
        <f t="shared" si="39"/>
        <v>0</v>
      </c>
      <c r="F151" s="2969"/>
      <c r="G151" s="2969"/>
      <c r="H151" s="2969"/>
      <c r="K151" s="2910">
        <f t="shared" si="51"/>
        <v>0</v>
      </c>
      <c r="M151" s="2910">
        <f t="shared" si="50"/>
        <v>0</v>
      </c>
      <c r="R151" s="2910">
        <f t="shared" si="48"/>
        <v>0</v>
      </c>
      <c r="U151" s="2910">
        <f t="shared" si="49"/>
        <v>0</v>
      </c>
    </row>
    <row r="152" spans="1:21" s="2910" customFormat="1" ht="20.399999999999999" hidden="1" customHeight="1">
      <c r="A152" s="2970" t="s">
        <v>4119</v>
      </c>
      <c r="B152" s="2969">
        <v>64.5</v>
      </c>
      <c r="C152" s="2969"/>
      <c r="D152" s="2969"/>
      <c r="E152" s="2884">
        <f t="shared" si="39"/>
        <v>0</v>
      </c>
      <c r="F152" s="2969"/>
      <c r="G152" s="2969"/>
      <c r="H152" s="2969"/>
      <c r="K152" s="2910">
        <f t="shared" si="51"/>
        <v>0</v>
      </c>
      <c r="M152" s="2910">
        <f t="shared" si="50"/>
        <v>0</v>
      </c>
      <c r="R152" s="2910">
        <f t="shared" si="48"/>
        <v>0</v>
      </c>
      <c r="U152" s="2910">
        <f t="shared" si="49"/>
        <v>0</v>
      </c>
    </row>
    <row r="153" spans="1:21" s="2910" customFormat="1" ht="20.7" hidden="1" customHeight="1" thickBot="1">
      <c r="A153" s="2971" t="s">
        <v>4120</v>
      </c>
      <c r="B153" s="2972">
        <v>101.3029610106535</v>
      </c>
      <c r="C153" s="2969"/>
      <c r="D153" s="2969"/>
      <c r="E153" s="2884">
        <f t="shared" si="39"/>
        <v>0</v>
      </c>
      <c r="F153" s="2969"/>
      <c r="G153" s="2969"/>
      <c r="H153" s="2969"/>
      <c r="K153" s="2910">
        <f t="shared" si="51"/>
        <v>0</v>
      </c>
      <c r="M153" s="2910">
        <f t="shared" si="50"/>
        <v>0</v>
      </c>
      <c r="R153" s="2910">
        <f t="shared" si="48"/>
        <v>0</v>
      </c>
      <c r="U153" s="2910">
        <f t="shared" si="49"/>
        <v>0</v>
      </c>
    </row>
    <row r="154" spans="1:21" ht="20.399999999999999" hidden="1" customHeight="1">
      <c r="A154" s="2960" t="s">
        <v>4121</v>
      </c>
      <c r="B154" s="2895"/>
      <c r="E154" s="2884">
        <f t="shared" si="39"/>
        <v>0</v>
      </c>
      <c r="K154" s="2854">
        <f t="shared" si="51"/>
        <v>0</v>
      </c>
      <c r="M154" s="2854">
        <f t="shared" si="50"/>
        <v>0</v>
      </c>
      <c r="R154" s="2854">
        <f t="shared" si="48"/>
        <v>0</v>
      </c>
      <c r="U154" s="2854">
        <f t="shared" si="49"/>
        <v>0</v>
      </c>
    </row>
    <row r="155" spans="1:21" ht="20.399999999999999" hidden="1" customHeight="1">
      <c r="A155" s="2961" t="s">
        <v>4122</v>
      </c>
      <c r="B155" s="2913">
        <v>14.783168048</v>
      </c>
      <c r="E155" s="2884">
        <f t="shared" si="39"/>
        <v>0</v>
      </c>
      <c r="K155" s="2854">
        <f t="shared" si="51"/>
        <v>0</v>
      </c>
      <c r="M155" s="2854">
        <f t="shared" si="50"/>
        <v>0</v>
      </c>
      <c r="R155" s="2854">
        <f t="shared" si="48"/>
        <v>0</v>
      </c>
      <c r="U155" s="2854">
        <f t="shared" si="49"/>
        <v>0</v>
      </c>
    </row>
    <row r="156" spans="1:21" ht="20.399999999999999" hidden="1" customHeight="1">
      <c r="A156" s="2961" t="s">
        <v>4123</v>
      </c>
      <c r="B156" s="2969">
        <v>25.944875715999999</v>
      </c>
      <c r="E156" s="2884">
        <f t="shared" si="39"/>
        <v>0</v>
      </c>
      <c r="F156" s="2854">
        <v>93187663443.459</v>
      </c>
      <c r="G156" s="2973">
        <v>93187663443.459</v>
      </c>
      <c r="H156" s="2973"/>
      <c r="K156" s="2854">
        <f t="shared" si="51"/>
        <v>0</v>
      </c>
      <c r="M156" s="2854">
        <f t="shared" si="50"/>
        <v>0</v>
      </c>
      <c r="R156" s="2854">
        <f t="shared" si="48"/>
        <v>0</v>
      </c>
      <c r="U156" s="2854">
        <f t="shared" si="49"/>
        <v>0</v>
      </c>
    </row>
    <row r="157" spans="1:21" ht="20.399999999999999" hidden="1" customHeight="1">
      <c r="A157" s="2965" t="s">
        <v>353</v>
      </c>
      <c r="B157" s="2966">
        <v>40.728043763999999</v>
      </c>
      <c r="E157" s="2884">
        <f t="shared" si="39"/>
        <v>0</v>
      </c>
      <c r="K157" s="2854">
        <f t="shared" si="51"/>
        <v>0</v>
      </c>
      <c r="M157" s="2854">
        <f t="shared" si="50"/>
        <v>0</v>
      </c>
      <c r="R157" s="2854">
        <f t="shared" si="48"/>
        <v>0</v>
      </c>
      <c r="U157" s="2854">
        <f t="shared" si="49"/>
        <v>0</v>
      </c>
    </row>
    <row r="158" spans="1:21" ht="20.399999999999999" hidden="1" customHeight="1">
      <c r="E158" s="2884">
        <f t="shared" si="39"/>
        <v>0</v>
      </c>
      <c r="K158" s="2854">
        <f t="shared" si="51"/>
        <v>0</v>
      </c>
      <c r="M158" s="2854">
        <f t="shared" si="50"/>
        <v>0</v>
      </c>
      <c r="R158" s="2854">
        <f t="shared" si="48"/>
        <v>0</v>
      </c>
      <c r="U158" s="2854">
        <f t="shared" si="49"/>
        <v>0</v>
      </c>
    </row>
    <row r="159" spans="1:21" ht="20.399999999999999" hidden="1" customHeight="1">
      <c r="A159" s="2854" t="s">
        <v>4124</v>
      </c>
      <c r="B159" s="2895">
        <v>639.00316756899997</v>
      </c>
      <c r="E159" s="2884">
        <f t="shared" si="39"/>
        <v>0</v>
      </c>
      <c r="K159" s="2854">
        <f t="shared" si="51"/>
        <v>0</v>
      </c>
      <c r="M159" s="2854">
        <f t="shared" si="50"/>
        <v>0</v>
      </c>
      <c r="R159" s="2854">
        <f t="shared" si="48"/>
        <v>0</v>
      </c>
      <c r="U159" s="2854">
        <f t="shared" si="49"/>
        <v>0</v>
      </c>
    </row>
    <row r="160" spans="1:21" ht="20.399999999999999" hidden="1" customHeight="1">
      <c r="A160" s="2854" t="s">
        <v>4125</v>
      </c>
      <c r="B160" s="2913">
        <v>1960.956247810612</v>
      </c>
      <c r="E160" s="2884">
        <f t="shared" si="39"/>
        <v>0</v>
      </c>
      <c r="K160" s="2854">
        <f t="shared" si="51"/>
        <v>0</v>
      </c>
      <c r="M160" s="2854">
        <f t="shared" si="50"/>
        <v>0</v>
      </c>
      <c r="R160" s="2854">
        <f t="shared" si="48"/>
        <v>0</v>
      </c>
      <c r="U160" s="2854">
        <f t="shared" si="49"/>
        <v>0</v>
      </c>
    </row>
    <row r="161" spans="1:21" ht="20.399999999999999" hidden="1" customHeight="1">
      <c r="A161" s="2854" t="s">
        <v>4126</v>
      </c>
      <c r="B161" s="2895"/>
      <c r="E161" s="2884">
        <f t="shared" si="39"/>
        <v>0</v>
      </c>
      <c r="K161" s="2854">
        <f t="shared" si="51"/>
        <v>0</v>
      </c>
      <c r="M161" s="2854">
        <f t="shared" si="50"/>
        <v>0</v>
      </c>
      <c r="R161" s="2854">
        <f t="shared" si="48"/>
        <v>0</v>
      </c>
      <c r="U161" s="2854">
        <f t="shared" si="49"/>
        <v>0</v>
      </c>
    </row>
    <row r="162" spans="1:21" ht="20.399999999999999" hidden="1" customHeight="1">
      <c r="A162" s="2854" t="s">
        <v>4127</v>
      </c>
      <c r="B162" s="2895"/>
      <c r="E162" s="2884">
        <f t="shared" si="39"/>
        <v>0</v>
      </c>
      <c r="K162" s="2854">
        <f t="shared" si="51"/>
        <v>0</v>
      </c>
      <c r="M162" s="2854">
        <f t="shared" si="50"/>
        <v>0</v>
      </c>
      <c r="R162" s="2854">
        <f t="shared" si="48"/>
        <v>0</v>
      </c>
      <c r="U162" s="2854">
        <f t="shared" si="49"/>
        <v>0</v>
      </c>
    </row>
    <row r="163" spans="1:21" ht="20.399999999999999" hidden="1" customHeight="1">
      <c r="A163" s="2854" t="s">
        <v>4128</v>
      </c>
      <c r="B163" s="2883">
        <v>874.40726510402453</v>
      </c>
      <c r="E163" s="2884">
        <f t="shared" si="39"/>
        <v>0</v>
      </c>
      <c r="K163" s="2854">
        <f t="shared" si="51"/>
        <v>0</v>
      </c>
      <c r="M163" s="2854">
        <f t="shared" si="50"/>
        <v>0</v>
      </c>
      <c r="R163" s="2854">
        <f t="shared" si="48"/>
        <v>0</v>
      </c>
      <c r="U163" s="2854">
        <f t="shared" si="49"/>
        <v>0</v>
      </c>
    </row>
    <row r="164" spans="1:21" ht="20.399999999999999" hidden="1" customHeight="1">
      <c r="A164" s="2970" t="s">
        <v>4129</v>
      </c>
      <c r="B164" s="2964">
        <v>5.5214165460000002</v>
      </c>
      <c r="C164" s="2883"/>
      <c r="D164" s="2883"/>
      <c r="E164" s="2884">
        <f t="shared" ref="E164:E182" si="52">D164-C164</f>
        <v>0</v>
      </c>
      <c r="F164" s="2883"/>
      <c r="G164" s="2883"/>
      <c r="H164" s="2883"/>
      <c r="K164" s="2854">
        <f t="shared" si="51"/>
        <v>0</v>
      </c>
      <c r="M164" s="2854">
        <f t="shared" si="50"/>
        <v>0</v>
      </c>
      <c r="R164" s="2854">
        <f t="shared" si="48"/>
        <v>0</v>
      </c>
      <c r="U164" s="2854">
        <f t="shared" si="49"/>
        <v>0</v>
      </c>
    </row>
    <row r="165" spans="1:21" ht="20.399999999999999" hidden="1" customHeight="1">
      <c r="A165" s="2970" t="s">
        <v>4130</v>
      </c>
      <c r="B165" s="2883">
        <v>135.22425280300001</v>
      </c>
      <c r="E165" s="2884">
        <f t="shared" si="52"/>
        <v>0</v>
      </c>
      <c r="G165" s="2883"/>
      <c r="H165" s="2883"/>
      <c r="K165" s="2854">
        <f t="shared" si="51"/>
        <v>0</v>
      </c>
      <c r="M165" s="2854">
        <f t="shared" si="50"/>
        <v>0</v>
      </c>
      <c r="R165" s="2854">
        <f t="shared" si="48"/>
        <v>0</v>
      </c>
      <c r="U165" s="2854">
        <f t="shared" si="49"/>
        <v>0</v>
      </c>
    </row>
    <row r="166" spans="1:21" ht="20.399999999999999" hidden="1" customHeight="1">
      <c r="A166" s="2970" t="s">
        <v>4131</v>
      </c>
      <c r="B166" s="2895">
        <v>667.05996666858243</v>
      </c>
      <c r="E166" s="2884">
        <f t="shared" si="52"/>
        <v>0</v>
      </c>
      <c r="F166" s="2854">
        <v>574.41978898085483</v>
      </c>
      <c r="G166" s="2883">
        <v>574.41978898085483</v>
      </c>
      <c r="H166" s="2883"/>
      <c r="K166" s="2854">
        <f t="shared" si="51"/>
        <v>0</v>
      </c>
      <c r="M166" s="2854">
        <f t="shared" si="50"/>
        <v>0</v>
      </c>
      <c r="R166" s="2854">
        <f t="shared" si="48"/>
        <v>0</v>
      </c>
      <c r="U166" s="2854">
        <f t="shared" si="49"/>
        <v>0</v>
      </c>
    </row>
    <row r="167" spans="1:21" ht="20.399999999999999" hidden="1" customHeight="1">
      <c r="B167" s="2883"/>
      <c r="E167" s="2884">
        <f t="shared" si="52"/>
        <v>0</v>
      </c>
      <c r="F167" s="2854">
        <v>403.49152046596703</v>
      </c>
      <c r="G167" s="2895">
        <v>403.49152046596703</v>
      </c>
      <c r="H167" s="2895"/>
      <c r="K167" s="2854">
        <f t="shared" si="51"/>
        <v>0</v>
      </c>
      <c r="M167" s="2854">
        <f t="shared" si="50"/>
        <v>0</v>
      </c>
      <c r="R167" s="2854">
        <f t="shared" si="48"/>
        <v>0</v>
      </c>
      <c r="U167" s="2854">
        <f t="shared" si="49"/>
        <v>0</v>
      </c>
    </row>
    <row r="168" spans="1:21" ht="20.399999999999999" hidden="1" customHeight="1">
      <c r="B168" s="2883"/>
      <c r="E168" s="2884">
        <f t="shared" si="52"/>
        <v>0</v>
      </c>
      <c r="F168" s="2854">
        <v>403.49152046596703</v>
      </c>
      <c r="G168" s="2933">
        <v>403.49152046596703</v>
      </c>
      <c r="H168" s="2933"/>
      <c r="K168" s="2854">
        <f t="shared" si="51"/>
        <v>0</v>
      </c>
      <c r="M168" s="2854">
        <f t="shared" si="50"/>
        <v>0</v>
      </c>
      <c r="R168" s="2854">
        <f t="shared" si="48"/>
        <v>0</v>
      </c>
      <c r="U168" s="2854">
        <f t="shared" si="49"/>
        <v>0</v>
      </c>
    </row>
    <row r="169" spans="1:21" ht="20.399999999999999" hidden="1" customHeight="1">
      <c r="A169" s="2974" t="s">
        <v>4132</v>
      </c>
      <c r="B169" s="2886"/>
      <c r="E169" s="2884">
        <f t="shared" si="52"/>
        <v>0</v>
      </c>
      <c r="F169" s="2854">
        <v>741.65724411819428</v>
      </c>
      <c r="G169" s="2895">
        <v>741.65724411819428</v>
      </c>
      <c r="H169" s="2895"/>
      <c r="K169" s="2854">
        <f t="shared" si="51"/>
        <v>0</v>
      </c>
      <c r="M169" s="2854">
        <f t="shared" si="50"/>
        <v>0</v>
      </c>
      <c r="R169" s="2854">
        <f t="shared" si="48"/>
        <v>0</v>
      </c>
      <c r="U169" s="2854">
        <f t="shared" si="49"/>
        <v>0</v>
      </c>
    </row>
    <row r="170" spans="1:21" ht="40.799999999999997" hidden="1" customHeight="1">
      <c r="A170" s="2975"/>
      <c r="B170" s="2976" t="s">
        <v>4133</v>
      </c>
      <c r="C170" s="2977"/>
      <c r="D170" s="2977"/>
      <c r="E170" s="2884">
        <f t="shared" si="52"/>
        <v>0</v>
      </c>
      <c r="F170" s="2977"/>
      <c r="G170" s="2977"/>
      <c r="H170" s="2977"/>
      <c r="K170" s="2854">
        <f t="shared" si="51"/>
        <v>0</v>
      </c>
      <c r="M170" s="2854">
        <f t="shared" si="50"/>
        <v>0</v>
      </c>
      <c r="R170" s="2854">
        <f t="shared" si="48"/>
        <v>0</v>
      </c>
      <c r="U170" s="2854">
        <f t="shared" si="49"/>
        <v>0</v>
      </c>
    </row>
    <row r="171" spans="1:21" ht="20.399999999999999" hidden="1" customHeight="1">
      <c r="A171" s="2978" t="s">
        <v>4134</v>
      </c>
      <c r="B171" s="2979">
        <v>41.545415360999996</v>
      </c>
      <c r="C171" s="2980"/>
      <c r="D171" s="2980"/>
      <c r="E171" s="2884">
        <f t="shared" si="52"/>
        <v>0</v>
      </c>
      <c r="F171" s="2980">
        <v>0</v>
      </c>
      <c r="G171" s="2980">
        <v>0</v>
      </c>
      <c r="H171" s="2980"/>
      <c r="K171" s="2854">
        <f t="shared" si="51"/>
        <v>0</v>
      </c>
      <c r="M171" s="2854">
        <f t="shared" si="50"/>
        <v>0</v>
      </c>
      <c r="R171" s="2854">
        <f t="shared" si="48"/>
        <v>0</v>
      </c>
      <c r="U171" s="2854">
        <f t="shared" si="49"/>
        <v>0</v>
      </c>
    </row>
    <row r="172" spans="1:21" ht="20.399999999999999" hidden="1" customHeight="1">
      <c r="A172" s="2981" t="s">
        <v>4135</v>
      </c>
      <c r="B172" s="2982">
        <v>14.274430000000001</v>
      </c>
      <c r="C172" s="2983"/>
      <c r="D172" s="2983"/>
      <c r="E172" s="2884">
        <f t="shared" si="52"/>
        <v>0</v>
      </c>
      <c r="F172" s="2983"/>
      <c r="G172" s="2983"/>
      <c r="H172" s="2983"/>
      <c r="K172" s="2854">
        <f t="shared" si="51"/>
        <v>0</v>
      </c>
      <c r="M172" s="2854">
        <f t="shared" si="50"/>
        <v>0</v>
      </c>
      <c r="R172" s="2854">
        <f t="shared" si="48"/>
        <v>0</v>
      </c>
      <c r="U172" s="2854">
        <f t="shared" si="49"/>
        <v>0</v>
      </c>
    </row>
    <row r="173" spans="1:21" ht="20.399999999999999" hidden="1" customHeight="1">
      <c r="A173" s="2981" t="s">
        <v>4136</v>
      </c>
      <c r="B173" s="2982">
        <v>12</v>
      </c>
      <c r="C173" s="2984"/>
      <c r="D173" s="2984"/>
      <c r="E173" s="2884">
        <f t="shared" si="52"/>
        <v>0</v>
      </c>
      <c r="F173" s="2984"/>
      <c r="G173" s="2984"/>
      <c r="H173" s="2984"/>
      <c r="K173" s="2854">
        <f t="shared" si="51"/>
        <v>0</v>
      </c>
      <c r="M173" s="2854">
        <f t="shared" si="50"/>
        <v>0</v>
      </c>
      <c r="R173" s="2854">
        <f t="shared" si="48"/>
        <v>0</v>
      </c>
      <c r="U173" s="2854">
        <f t="shared" si="49"/>
        <v>0</v>
      </c>
    </row>
    <row r="174" spans="1:21" ht="20.399999999999999" hidden="1" customHeight="1">
      <c r="A174" s="2981" t="s">
        <v>395</v>
      </c>
      <c r="B174" s="2985">
        <v>7.5228999999999999</v>
      </c>
      <c r="C174" s="2984"/>
      <c r="D174" s="2984"/>
      <c r="E174" s="2884">
        <f t="shared" si="52"/>
        <v>0</v>
      </c>
      <c r="F174" s="2984"/>
      <c r="G174" s="2984"/>
      <c r="H174" s="2984"/>
      <c r="K174" s="2854">
        <f t="shared" si="51"/>
        <v>0</v>
      </c>
      <c r="M174" s="2854">
        <f t="shared" si="50"/>
        <v>0</v>
      </c>
      <c r="R174" s="2854">
        <f t="shared" si="48"/>
        <v>0</v>
      </c>
      <c r="U174" s="2854">
        <f t="shared" si="49"/>
        <v>0</v>
      </c>
    </row>
    <row r="175" spans="1:21" ht="20.399999999999999" hidden="1" customHeight="1">
      <c r="A175" s="2981" t="s">
        <v>4137</v>
      </c>
      <c r="B175" s="2985">
        <v>1.1276390970000001</v>
      </c>
      <c r="C175" s="2984"/>
      <c r="D175" s="2984"/>
      <c r="E175" s="2884">
        <f t="shared" si="52"/>
        <v>0</v>
      </c>
      <c r="F175" s="2984"/>
      <c r="G175" s="2984"/>
      <c r="H175" s="2984"/>
      <c r="K175" s="2854">
        <f t="shared" si="51"/>
        <v>0</v>
      </c>
      <c r="M175" s="2854">
        <f t="shared" si="50"/>
        <v>0</v>
      </c>
      <c r="R175" s="2854">
        <f t="shared" si="48"/>
        <v>0</v>
      </c>
      <c r="U175" s="2854">
        <f t="shared" si="49"/>
        <v>0</v>
      </c>
    </row>
    <row r="176" spans="1:21" ht="20.399999999999999" hidden="1" customHeight="1">
      <c r="A176" s="2981" t="s">
        <v>4138</v>
      </c>
      <c r="B176" s="2985">
        <v>0.32079999999999997</v>
      </c>
      <c r="C176" s="2984"/>
      <c r="D176" s="2984"/>
      <c r="E176" s="2884">
        <f t="shared" si="52"/>
        <v>0</v>
      </c>
      <c r="F176" s="2984"/>
      <c r="G176" s="2984"/>
      <c r="H176" s="2984"/>
      <c r="K176" s="2854">
        <f t="shared" si="51"/>
        <v>0</v>
      </c>
      <c r="M176" s="2854">
        <f t="shared" si="50"/>
        <v>0</v>
      </c>
      <c r="R176" s="2854">
        <f t="shared" si="48"/>
        <v>0</v>
      </c>
      <c r="U176" s="2854">
        <f t="shared" si="49"/>
        <v>0</v>
      </c>
    </row>
    <row r="177" spans="1:23" ht="20.399999999999999" hidden="1" customHeight="1">
      <c r="A177" s="2981" t="s">
        <v>4139</v>
      </c>
      <c r="B177" s="2985">
        <v>6.2996462639999997</v>
      </c>
      <c r="C177" s="2984"/>
      <c r="D177" s="2984"/>
      <c r="E177" s="2884">
        <f t="shared" si="52"/>
        <v>0</v>
      </c>
      <c r="F177" s="2984"/>
      <c r="G177" s="2984"/>
      <c r="H177" s="2984"/>
      <c r="K177" s="2854">
        <f t="shared" si="51"/>
        <v>0</v>
      </c>
      <c r="M177" s="2854">
        <f t="shared" si="50"/>
        <v>0</v>
      </c>
      <c r="R177" s="2854">
        <f t="shared" si="48"/>
        <v>0</v>
      </c>
      <c r="U177" s="2854">
        <f t="shared" si="49"/>
        <v>0</v>
      </c>
    </row>
    <row r="178" spans="1:23" ht="20.399999999999999" hidden="1" customHeight="1">
      <c r="B178" s="2895"/>
      <c r="E178" s="2884">
        <f t="shared" si="52"/>
        <v>0</v>
      </c>
      <c r="K178" s="2854">
        <f t="shared" si="51"/>
        <v>0</v>
      </c>
      <c r="M178" s="2854">
        <f t="shared" si="50"/>
        <v>0</v>
      </c>
      <c r="R178" s="2854">
        <f t="shared" si="48"/>
        <v>0</v>
      </c>
      <c r="U178" s="2854">
        <f t="shared" si="49"/>
        <v>0</v>
      </c>
    </row>
    <row r="179" spans="1:23" ht="20.399999999999999" hidden="1" customHeight="1">
      <c r="E179" s="2884">
        <f t="shared" si="52"/>
        <v>0</v>
      </c>
      <c r="K179" s="2854">
        <f t="shared" si="51"/>
        <v>0</v>
      </c>
      <c r="M179" s="2854">
        <f t="shared" si="50"/>
        <v>0</v>
      </c>
      <c r="R179" s="2854">
        <f t="shared" si="48"/>
        <v>0</v>
      </c>
      <c r="U179" s="2854">
        <f t="shared" si="49"/>
        <v>0</v>
      </c>
    </row>
    <row r="180" spans="1:23" ht="20.399999999999999" hidden="1" customHeight="1">
      <c r="C180" s="2895"/>
      <c r="D180" s="2895"/>
      <c r="E180" s="2884">
        <f t="shared" si="52"/>
        <v>0</v>
      </c>
      <c r="F180" s="2895"/>
      <c r="K180" s="2854">
        <f t="shared" si="51"/>
        <v>0</v>
      </c>
      <c r="M180" s="2854">
        <f t="shared" si="50"/>
        <v>0</v>
      </c>
      <c r="R180" s="2854">
        <f t="shared" si="48"/>
        <v>0</v>
      </c>
      <c r="U180" s="2854">
        <f t="shared" si="49"/>
        <v>0</v>
      </c>
    </row>
    <row r="181" spans="1:23" ht="20.399999999999999" hidden="1" customHeight="1">
      <c r="C181" s="2895"/>
      <c r="D181" s="2895"/>
      <c r="E181" s="2884">
        <f t="shared" si="52"/>
        <v>0</v>
      </c>
      <c r="F181" s="2895"/>
      <c r="G181" s="2895"/>
      <c r="H181" s="2895"/>
      <c r="K181" s="2854">
        <f t="shared" si="51"/>
        <v>0</v>
      </c>
      <c r="M181" s="2854">
        <f t="shared" si="50"/>
        <v>0</v>
      </c>
      <c r="R181" s="2854">
        <f t="shared" si="48"/>
        <v>0</v>
      </c>
      <c r="U181" s="2854">
        <f t="shared" si="49"/>
        <v>0</v>
      </c>
    </row>
    <row r="182" spans="1:23" ht="20.399999999999999" hidden="1" customHeight="1">
      <c r="E182" s="2884">
        <f t="shared" si="52"/>
        <v>0</v>
      </c>
      <c r="K182" s="2854">
        <f t="shared" si="51"/>
        <v>0</v>
      </c>
      <c r="M182" s="2854">
        <f t="shared" si="50"/>
        <v>0</v>
      </c>
      <c r="R182" s="2854">
        <f t="shared" si="48"/>
        <v>0</v>
      </c>
      <c r="U182" s="2854">
        <f t="shared" si="49"/>
        <v>0</v>
      </c>
    </row>
    <row r="183" spans="1:23" s="2907" customFormat="1">
      <c r="A183" s="2986" t="s">
        <v>3388</v>
      </c>
      <c r="B183" s="2987"/>
      <c r="C183" s="2988">
        <f>C123-C58</f>
        <v>0</v>
      </c>
      <c r="D183" s="2988">
        <v>59.7617251635711</v>
      </c>
      <c r="E183" s="2988">
        <f>E123-E58</f>
        <v>368.19017114592884</v>
      </c>
      <c r="F183" s="2988">
        <v>0</v>
      </c>
      <c r="G183" s="2988">
        <v>-117.63429498061851</v>
      </c>
      <c r="H183" s="2988">
        <f>H123-H58</f>
        <v>-117.63429498061851</v>
      </c>
      <c r="I183" s="2988">
        <v>0</v>
      </c>
      <c r="J183" s="2988">
        <v>0</v>
      </c>
      <c r="K183" s="2988">
        <f t="shared" si="51"/>
        <v>0</v>
      </c>
      <c r="L183" s="2988">
        <f>L123-L58</f>
        <v>-1.2257190701348009E-4</v>
      </c>
      <c r="M183" s="2988">
        <f t="shared" si="50"/>
        <v>-1.2257190701348009E-4</v>
      </c>
      <c r="N183" s="2988">
        <v>0</v>
      </c>
      <c r="O183" s="2988">
        <f>O123-O58</f>
        <v>0</v>
      </c>
      <c r="P183" s="2988">
        <f>P123-P58</f>
        <v>0</v>
      </c>
      <c r="Q183" s="2988">
        <f>Q123-Q58</f>
        <v>-43.737343177977891</v>
      </c>
      <c r="R183" s="2988">
        <f t="shared" si="48"/>
        <v>-43.737343177977891</v>
      </c>
      <c r="S183" s="2988">
        <f>S123-S58</f>
        <v>0</v>
      </c>
      <c r="T183" s="2988">
        <f>T123-T58</f>
        <v>-14.26488652091939</v>
      </c>
      <c r="U183" s="2988">
        <f t="shared" si="49"/>
        <v>-14.26488652091939</v>
      </c>
      <c r="V183" s="2988">
        <f>V123-V58</f>
        <v>-15.03511168303703</v>
      </c>
      <c r="W183" s="2988">
        <f t="shared" ref="W183" si="53">W123-W58</f>
        <v>-16.138536129412387</v>
      </c>
    </row>
    <row r="184" spans="1:23" ht="20.7" thickBot="1">
      <c r="C184" s="2989"/>
      <c r="D184" s="2989"/>
      <c r="E184" s="2933"/>
      <c r="F184" s="2989"/>
      <c r="G184" s="2895"/>
      <c r="H184" s="2895"/>
      <c r="I184" s="2895"/>
      <c r="J184" s="2895"/>
      <c r="K184" s="2895"/>
      <c r="L184" s="2895"/>
      <c r="M184" s="2895"/>
      <c r="N184" s="2895"/>
      <c r="O184" s="2895"/>
      <c r="P184" s="2895"/>
      <c r="Q184" s="2895"/>
      <c r="R184" s="2895"/>
      <c r="S184" s="2895"/>
      <c r="T184" s="2895"/>
      <c r="U184" s="2895">
        <f t="shared" si="49"/>
        <v>0</v>
      </c>
      <c r="V184" s="2895"/>
      <c r="W184" s="2895"/>
    </row>
    <row r="185" spans="1:23">
      <c r="A185" s="2990" t="s">
        <v>4140</v>
      </c>
      <c r="B185" s="2991"/>
      <c r="C185" s="2991"/>
      <c r="D185" s="2992"/>
      <c r="E185" s="2993"/>
      <c r="F185" s="2992"/>
      <c r="G185" s="2994"/>
      <c r="H185" s="2994"/>
      <c r="I185" s="2994">
        <f t="shared" ref="I185:P185" si="54">I58</f>
        <v>5690.144278195934</v>
      </c>
      <c r="J185" s="2994">
        <v>5816.4094525233832</v>
      </c>
      <c r="K185" s="2994">
        <f t="shared" si="54"/>
        <v>126.26517432744913</v>
      </c>
      <c r="L185" s="2994">
        <f t="shared" si="54"/>
        <v>5918.4986238727497</v>
      </c>
      <c r="M185" s="2994">
        <f t="shared" si="54"/>
        <v>102.08917134936655</v>
      </c>
      <c r="N185" s="2994">
        <v>6228.7630492864209</v>
      </c>
      <c r="O185" s="2994">
        <f t="shared" si="54"/>
        <v>7032.5363909690295</v>
      </c>
      <c r="P185" s="2994">
        <f t="shared" si="54"/>
        <v>6952.0977098148869</v>
      </c>
      <c r="Q185" s="2994">
        <f t="shared" ref="Q185" si="55">Q58</f>
        <v>7059.9748772490966</v>
      </c>
      <c r="R185" s="2994">
        <f t="shared" si="48"/>
        <v>107.8771674342097</v>
      </c>
      <c r="S185" s="2994">
        <f>S58</f>
        <v>7529.7522679659905</v>
      </c>
      <c r="T185" s="2994">
        <f>T58</f>
        <v>7844.8069888735408</v>
      </c>
      <c r="U185" s="2994">
        <f t="shared" si="49"/>
        <v>315.05472090755029</v>
      </c>
      <c r="V185" s="2994">
        <f>V58</f>
        <v>8685.7128409111956</v>
      </c>
      <c r="W185" s="2995">
        <f>W58</f>
        <v>9232.8707820399723</v>
      </c>
    </row>
    <row r="186" spans="1:23" s="2962" customFormat="1">
      <c r="A186" s="2996" t="s">
        <v>4141</v>
      </c>
      <c r="B186" s="2997"/>
      <c r="C186" s="2997"/>
      <c r="D186" s="2998"/>
      <c r="E186" s="2998"/>
      <c r="F186" s="2998"/>
      <c r="G186" s="2999"/>
      <c r="H186" s="2999"/>
      <c r="I186" s="2999"/>
      <c r="J186" s="2999">
        <v>5816.4094525233832</v>
      </c>
      <c r="K186" s="2999"/>
      <c r="L186" s="2999"/>
      <c r="M186" s="2999"/>
      <c r="N186" s="2999">
        <v>5975.7439805637414</v>
      </c>
      <c r="O186" s="2999">
        <f>O185-O48-O208-N201-(N186*15%)</f>
        <v>4729.3823837581822</v>
      </c>
      <c r="P186" s="2999">
        <f>P185-P48-P208-O201-(O186*15%)</f>
        <v>5363.322994552369</v>
      </c>
      <c r="Q186" s="2999">
        <f>Q185-Q48-Q208-P201-(P186*15%)</f>
        <v>5438.5528822315864</v>
      </c>
      <c r="R186" s="2999">
        <f t="shared" si="48"/>
        <v>75.229887679217427</v>
      </c>
      <c r="S186" s="2999">
        <f>S185-S42-S49-S48-S208-(S211*15%)</f>
        <v>5934.2723601421721</v>
      </c>
      <c r="T186" s="2999">
        <f>T185-T42-T49-T48-T208-(T211*15%)</f>
        <v>7389.7500221462251</v>
      </c>
      <c r="U186" s="2999">
        <f t="shared" si="49"/>
        <v>1455.4776620040529</v>
      </c>
      <c r="V186" s="2999">
        <f>V185-V42-V49-V48-V208-(V211*15%)</f>
        <v>7359.6419170474737</v>
      </c>
      <c r="W186" s="3000">
        <f>W185-W42-W49-W48-W208-(W211*15%)</f>
        <v>7765.8524470696193</v>
      </c>
    </row>
    <row r="187" spans="1:23" s="3006" customFormat="1">
      <c r="A187" s="3001" t="s">
        <v>4142</v>
      </c>
      <c r="B187" s="3002"/>
      <c r="C187" s="3003"/>
      <c r="D187" s="3003"/>
      <c r="E187" s="3003"/>
      <c r="F187" s="3003"/>
      <c r="G187" s="3002"/>
      <c r="H187" s="3002"/>
      <c r="I187" s="3004">
        <f>I185-I42</f>
        <v>5690.144278195934</v>
      </c>
      <c r="J187" s="3004">
        <v>5816.4094525233832</v>
      </c>
      <c r="K187" s="3004">
        <f>K185-K42</f>
        <v>126.26517432744913</v>
      </c>
      <c r="L187" s="3004">
        <f>L185-L42</f>
        <v>5918.4986238727497</v>
      </c>
      <c r="M187" s="3004">
        <f>M185-M42</f>
        <v>102.08917134936655</v>
      </c>
      <c r="N187" s="3004">
        <v>5975.7439805637414</v>
      </c>
      <c r="O187" s="3004">
        <f>O185-O42-O49</f>
        <v>7032.5363909690295</v>
      </c>
      <c r="P187" s="3004">
        <f>P185-P42-P49</f>
        <v>6952.0977098148869</v>
      </c>
      <c r="Q187" s="3004">
        <f>Q185-Q42-Q49</f>
        <v>7059.9748772490966</v>
      </c>
      <c r="R187" s="3004">
        <f t="shared" si="48"/>
        <v>107.8771674342097</v>
      </c>
      <c r="S187" s="3004">
        <f>S185-S42-S49</f>
        <v>7529.7522679659905</v>
      </c>
      <c r="T187" s="3004">
        <f>T185-T42-T49</f>
        <v>7844.8069888735408</v>
      </c>
      <c r="U187" s="3004">
        <f t="shared" si="49"/>
        <v>315.05472090755029</v>
      </c>
      <c r="V187" s="3004">
        <f>V185-V42-V49</f>
        <v>8685.7128409111956</v>
      </c>
      <c r="W187" s="3005">
        <f>W185-W42-W49</f>
        <v>9232.8707820399723</v>
      </c>
    </row>
    <row r="188" spans="1:23" ht="40.799999999999997">
      <c r="A188" s="3007" t="s">
        <v>4143</v>
      </c>
      <c r="B188" s="3008"/>
      <c r="C188" s="3009"/>
      <c r="D188" s="3009"/>
      <c r="E188" s="3010"/>
      <c r="F188" s="3009"/>
      <c r="G188" s="3008"/>
      <c r="H188" s="3008"/>
      <c r="I188" s="3011">
        <f>I187-I48</f>
        <v>5690.144278195934</v>
      </c>
      <c r="J188" s="3011">
        <v>5816.4094525233832</v>
      </c>
      <c r="K188" s="3011">
        <f>K187-K48</f>
        <v>126.26517432744913</v>
      </c>
      <c r="L188" s="3011">
        <f>L187-L48</f>
        <v>5918.4986238727497</v>
      </c>
      <c r="M188" s="3011">
        <f>M187-M48</f>
        <v>102.08917134936655</v>
      </c>
      <c r="N188" s="3011">
        <v>5975.7439805637414</v>
      </c>
      <c r="O188" s="3011">
        <f>O187-O83-O84-O111-O72</f>
        <v>6059.624745185436</v>
      </c>
      <c r="P188" s="3011">
        <f>P187-P83-P84-P111-P72</f>
        <v>6271.374781010657</v>
      </c>
      <c r="Q188" s="3011">
        <f>Q187-Q83-Q84-Q111-Q72</f>
        <v>6380.3784411642546</v>
      </c>
      <c r="R188" s="3011">
        <f t="shared" si="48"/>
        <v>109.00366015359759</v>
      </c>
      <c r="S188" s="3011">
        <f>S187-S83-S84-S111</f>
        <v>6925.0503763546822</v>
      </c>
      <c r="T188" s="3011">
        <f>T187-T83-T84-T111</f>
        <v>7201.5716737971716</v>
      </c>
      <c r="U188" s="3011">
        <f t="shared" si="49"/>
        <v>276.52129744248941</v>
      </c>
      <c r="V188" s="3011">
        <f>V187-V83-V84-V111</f>
        <v>8179.7778290952001</v>
      </c>
      <c r="W188" s="3012">
        <f>W187-W83-W84-W111</f>
        <v>9117.8448873077868</v>
      </c>
    </row>
    <row r="189" spans="1:23" ht="20.7" thickBot="1">
      <c r="A189" s="3013" t="s">
        <v>4144</v>
      </c>
      <c r="B189" s="3014"/>
      <c r="C189" s="3015"/>
      <c r="D189" s="3015"/>
      <c r="E189" s="3016"/>
      <c r="F189" s="3015"/>
      <c r="G189" s="3014"/>
      <c r="H189" s="3014"/>
      <c r="I189" s="3017">
        <f>I188-$J$188</f>
        <v>-126.26517432744913</v>
      </c>
      <c r="J189" s="3017">
        <v>0</v>
      </c>
      <c r="K189" s="3017">
        <f t="shared" ref="K189:L189" si="56">K188-$J$188</f>
        <v>-5690.144278195934</v>
      </c>
      <c r="L189" s="3017">
        <f t="shared" si="56"/>
        <v>102.08917134936655</v>
      </c>
      <c r="M189" s="3017"/>
      <c r="N189" s="3017">
        <v>159.33452804035824</v>
      </c>
      <c r="O189" s="3017">
        <f>O188-$J$188</f>
        <v>243.21529266205289</v>
      </c>
      <c r="P189" s="3017">
        <f>P188-$J$188</f>
        <v>454.96532848727384</v>
      </c>
      <c r="Q189" s="3017">
        <f>Q188-$J$188</f>
        <v>563.96898864087143</v>
      </c>
      <c r="R189" s="3017">
        <f t="shared" si="48"/>
        <v>109.00366015359759</v>
      </c>
      <c r="S189" s="3017">
        <f>S188-$J$188</f>
        <v>1108.640923831299</v>
      </c>
      <c r="T189" s="3017">
        <f>T188-$J$188</f>
        <v>1385.1622212737884</v>
      </c>
      <c r="U189" s="3017">
        <f t="shared" si="49"/>
        <v>276.52129744248941</v>
      </c>
      <c r="V189" s="3017">
        <f>V188-$J$188</f>
        <v>2363.368376571817</v>
      </c>
      <c r="W189" s="3018">
        <f>W188-$J$188</f>
        <v>3301.4354347844037</v>
      </c>
    </row>
    <row r="190" spans="1:23" ht="20.7" thickBot="1">
      <c r="A190" s="3013" t="s">
        <v>4145</v>
      </c>
      <c r="B190" s="3008"/>
      <c r="C190" s="3009"/>
      <c r="D190" s="3009"/>
      <c r="E190" s="3010"/>
      <c r="F190" s="3009"/>
      <c r="G190" s="3008"/>
      <c r="H190" s="3008"/>
      <c r="I190" s="3011"/>
      <c r="J190" s="3011"/>
      <c r="K190" s="3011"/>
      <c r="L190" s="3011"/>
      <c r="M190" s="3011"/>
      <c r="N190" s="3011"/>
      <c r="O190" s="3011">
        <f>O188-N188</f>
        <v>83.880764621694652</v>
      </c>
      <c r="P190" s="3011">
        <f>P188-O188</f>
        <v>211.75003582522095</v>
      </c>
      <c r="Q190" s="3011">
        <f>Q188-P188</f>
        <v>109.00366015359759</v>
      </c>
      <c r="R190" s="3011">
        <f t="shared" si="48"/>
        <v>-102.74637567162335</v>
      </c>
      <c r="S190" s="3011">
        <v>144.7480346483627</v>
      </c>
      <c r="T190" s="3011">
        <v>144.7480346483627</v>
      </c>
      <c r="U190" s="3011">
        <f t="shared" si="49"/>
        <v>0</v>
      </c>
      <c r="V190" s="3011"/>
      <c r="W190" s="3011"/>
    </row>
    <row r="191" spans="1:23">
      <c r="A191" s="3008" t="s">
        <v>4146</v>
      </c>
      <c r="B191" s="3008"/>
      <c r="C191" s="3009"/>
      <c r="D191" s="3009"/>
      <c r="E191" s="3010"/>
      <c r="F191" s="3009"/>
      <c r="G191" s="3008"/>
      <c r="H191" s="3008"/>
      <c r="I191" s="3011"/>
      <c r="J191" s="3011"/>
      <c r="K191" s="3011"/>
      <c r="L191" s="3011"/>
      <c r="M191" s="3011"/>
      <c r="N191" s="3011"/>
      <c r="O191" s="3011"/>
      <c r="P191" s="3011">
        <v>-80.438681154142614</v>
      </c>
      <c r="Q191" s="3011"/>
      <c r="R191" s="3011">
        <f t="shared" si="48"/>
        <v>80.438681154142614</v>
      </c>
      <c r="S191" s="3011">
        <v>-6.6925522258816272</v>
      </c>
      <c r="T191" s="3011">
        <v>-6.6925522258816272</v>
      </c>
      <c r="U191" s="3011">
        <f t="shared" si="49"/>
        <v>0</v>
      </c>
      <c r="V191" s="3011">
        <v>319.56654932406491</v>
      </c>
      <c r="W191" s="3011">
        <v>98.654652445584361</v>
      </c>
    </row>
    <row r="192" spans="1:23" ht="23.1" hidden="1" customHeight="1">
      <c r="C192" s="2989"/>
      <c r="D192" s="2989"/>
      <c r="E192" s="3019"/>
      <c r="F192" s="2989"/>
      <c r="J192" s="2895"/>
      <c r="K192" s="2895"/>
      <c r="L192" s="2895"/>
      <c r="M192" s="2895"/>
      <c r="N192" s="2895"/>
      <c r="O192" s="3020">
        <f>O123-O84-O83-O111-O72-O73</f>
        <v>6001.2500464551604</v>
      </c>
      <c r="P192" s="3020">
        <f>P123-P84-P83-P111</f>
        <v>6271.374781010657</v>
      </c>
      <c r="Q192" s="3020"/>
      <c r="R192" s="3020">
        <f t="shared" si="48"/>
        <v>-6271.374781010657</v>
      </c>
      <c r="S192" s="3020"/>
      <c r="T192" s="3020"/>
      <c r="U192" s="3020"/>
      <c r="V192" s="3020"/>
      <c r="W192" s="3020"/>
    </row>
    <row r="193" spans="1:27" ht="23.1">
      <c r="C193" s="2989"/>
      <c r="D193" s="2989"/>
      <c r="E193" s="3019"/>
      <c r="F193" s="2989"/>
      <c r="J193" s="2895"/>
      <c r="K193" s="2895"/>
      <c r="L193" s="2895"/>
      <c r="M193" s="2895"/>
      <c r="N193" s="2895"/>
      <c r="O193" s="3020">
        <f>O188-O100-O99</f>
        <v>5022.7509511038479</v>
      </c>
      <c r="P193" s="3020">
        <f>P188-P100-P99</f>
        <v>4983.9754635919771</v>
      </c>
      <c r="Q193" s="3020">
        <f>Q188-Q100-Q99</f>
        <v>5061.732450932117</v>
      </c>
      <c r="R193" s="3020">
        <f t="shared" si="48"/>
        <v>77.756987340139858</v>
      </c>
      <c r="S193" s="3020"/>
      <c r="T193" s="3020"/>
      <c r="U193" s="3020"/>
      <c r="V193" s="3020"/>
      <c r="W193" s="3020"/>
    </row>
    <row r="194" spans="1:27" ht="23.1">
      <c r="C194" s="2989"/>
      <c r="D194" s="2989"/>
      <c r="E194" s="3019"/>
      <c r="F194" s="2989"/>
      <c r="J194" s="2895"/>
      <c r="K194" s="2895"/>
      <c r="L194" s="2895"/>
      <c r="M194" s="2895"/>
      <c r="N194" s="2895"/>
      <c r="O194" s="3020">
        <f>O61+O62+O70-O72+O76+O85+O86+O87+O95+O96+O97+O109-O111+O115+O120+O121+O122</f>
        <v>6059.6247451854351</v>
      </c>
      <c r="P194" s="3020">
        <f>P61+P62+P70-P72+P76+P85+P86+P87+P95+P96+P97+P109-P111+P115+P120+P121+P122</f>
        <v>6271.374781010657</v>
      </c>
      <c r="Q194" s="3020">
        <f>Q61+Q62+Q70-Q72+Q76+Q85+Q86+Q87+Q95+Q96+Q97+Q109-Q111+Q115+Q120+Q121+Q122</f>
        <v>6336.6410979862758</v>
      </c>
      <c r="R194" s="3020">
        <f t="shared" si="48"/>
        <v>65.266316975618793</v>
      </c>
      <c r="S194" s="3020"/>
      <c r="T194" s="3020"/>
      <c r="U194" s="3020"/>
      <c r="V194" s="3020">
        <f>R61+R62+R70-R72+R76+R85+R86+R87+R95+R97+R109-R111+R115+R120+R121+R122</f>
        <v>65.266316975618153</v>
      </c>
      <c r="W194" s="3020"/>
    </row>
    <row r="195" spans="1:27" ht="20.7" thickBot="1">
      <c r="O195" s="2973">
        <f>(O72+O83+O84+O111)/650*1000</f>
        <v>1496.7871473593743</v>
      </c>
      <c r="P195" s="2973">
        <v>1460.5660169494899</v>
      </c>
      <c r="Q195" s="2973">
        <v>1460.5660169494899</v>
      </c>
      <c r="R195" s="2854">
        <f t="shared" si="48"/>
        <v>0</v>
      </c>
    </row>
    <row r="196" spans="1:27" ht="30.9" thickTop="1">
      <c r="A196" s="3021" t="s">
        <v>4147</v>
      </c>
      <c r="B196" s="3021"/>
      <c r="C196" s="3021"/>
      <c r="D196" s="3021"/>
      <c r="E196" s="3022"/>
      <c r="F196" s="3021"/>
      <c r="G196" s="3021"/>
      <c r="H196" s="3021"/>
      <c r="I196" s="3021"/>
      <c r="J196" s="3021"/>
      <c r="K196" s="3021"/>
      <c r="L196" s="3021"/>
      <c r="M196" s="3021"/>
      <c r="N196" s="3021"/>
      <c r="O196" s="3021"/>
      <c r="P196" s="3021"/>
      <c r="Q196" s="3021"/>
      <c r="R196" s="3021"/>
      <c r="S196" s="3021"/>
      <c r="T196" s="3021"/>
      <c r="U196" s="3021"/>
      <c r="V196" s="3021"/>
      <c r="W196" s="3021"/>
      <c r="X196" s="3023"/>
      <c r="Y196" s="3024"/>
    </row>
    <row r="197" spans="1:27" ht="30.6">
      <c r="A197" s="3025" t="s">
        <v>4148</v>
      </c>
      <c r="B197" s="3025"/>
      <c r="C197" s="3025"/>
      <c r="D197" s="3025"/>
      <c r="E197" s="3026"/>
      <c r="F197" s="3025"/>
      <c r="G197" s="3025"/>
      <c r="H197" s="3025"/>
      <c r="I197" s="3025" t="s">
        <v>4149</v>
      </c>
      <c r="J197" s="3151" t="s">
        <v>4150</v>
      </c>
      <c r="K197" s="3151"/>
      <c r="L197" s="3151"/>
      <c r="M197" s="3151"/>
      <c r="N197" s="3151" t="s">
        <v>1092</v>
      </c>
      <c r="O197" s="3151"/>
      <c r="P197" s="3041"/>
      <c r="Q197" s="3041"/>
      <c r="R197" s="3025">
        <f t="shared" ref="R197:R200" si="57">Q197-P197</f>
        <v>0</v>
      </c>
      <c r="S197" s="3025" t="s">
        <v>3216</v>
      </c>
      <c r="T197" s="3025"/>
      <c r="U197" s="3025"/>
      <c r="V197" s="3025" t="s">
        <v>3305</v>
      </c>
      <c r="W197" s="3025" t="s">
        <v>3487</v>
      </c>
      <c r="X197" s="3027"/>
      <c r="Y197" s="3024"/>
    </row>
    <row r="198" spans="1:27" ht="30.6">
      <c r="A198" s="3028" t="s">
        <v>4151</v>
      </c>
      <c r="B198" s="3028"/>
      <c r="C198" s="3028"/>
      <c r="D198" s="3028"/>
      <c r="E198" s="3029"/>
      <c r="F198" s="3028"/>
      <c r="G198" s="3028"/>
      <c r="H198" s="3028"/>
      <c r="I198" s="3030" t="e">
        <f>#REF!</f>
        <v>#REF!</v>
      </c>
      <c r="J198" s="3153">
        <v>60</v>
      </c>
      <c r="K198" s="3153"/>
      <c r="L198" s="3153"/>
      <c r="M198" s="3153"/>
      <c r="N198" s="3031">
        <v>100</v>
      </c>
      <c r="O198" s="3031">
        <f>100</f>
        <v>100</v>
      </c>
      <c r="P198" s="3030">
        <v>100</v>
      </c>
      <c r="Q198" s="3030">
        <v>100</v>
      </c>
      <c r="R198" s="3030">
        <f t="shared" si="57"/>
        <v>0</v>
      </c>
      <c r="S198" s="3030">
        <v>80</v>
      </c>
      <c r="T198" s="3030">
        <v>80</v>
      </c>
      <c r="U198" s="3030"/>
      <c r="V198" s="3030">
        <v>50</v>
      </c>
      <c r="W198" s="3030"/>
      <c r="X198" s="3032"/>
      <c r="Y198" s="3032"/>
    </row>
    <row r="199" spans="1:27" ht="30.6">
      <c r="A199" s="3028" t="s">
        <v>4086</v>
      </c>
      <c r="B199" s="3028"/>
      <c r="C199" s="3028"/>
      <c r="D199" s="3028"/>
      <c r="E199" s="3029"/>
      <c r="F199" s="3028"/>
      <c r="G199" s="3028"/>
      <c r="H199" s="3028"/>
      <c r="I199" s="3030">
        <f>I94</f>
        <v>40</v>
      </c>
      <c r="J199" s="3149">
        <v>40</v>
      </c>
      <c r="K199" s="3149"/>
      <c r="L199" s="3149"/>
      <c r="M199" s="3149"/>
      <c r="N199" s="3030">
        <v>70</v>
      </c>
      <c r="O199" s="3030">
        <v>70</v>
      </c>
      <c r="P199" s="3030">
        <v>70</v>
      </c>
      <c r="Q199" s="3030">
        <v>70</v>
      </c>
      <c r="R199" s="3030">
        <f t="shared" si="57"/>
        <v>0</v>
      </c>
      <c r="S199" s="3030">
        <v>70</v>
      </c>
      <c r="T199" s="3030">
        <v>70</v>
      </c>
      <c r="U199" s="3030"/>
      <c r="V199" s="3030">
        <v>40</v>
      </c>
      <c r="W199" s="3030"/>
      <c r="X199" s="3032"/>
      <c r="Y199" s="3032"/>
    </row>
    <row r="200" spans="1:27" ht="30.6">
      <c r="A200" s="3028" t="s">
        <v>442</v>
      </c>
      <c r="B200" s="3028"/>
      <c r="C200" s="3028"/>
      <c r="D200" s="3028"/>
      <c r="E200" s="3029"/>
      <c r="F200" s="3028"/>
      <c r="G200" s="3028"/>
      <c r="H200" s="3028"/>
      <c r="I200" s="3030">
        <f>I102</f>
        <v>100</v>
      </c>
      <c r="J200" s="3149">
        <v>100</v>
      </c>
      <c r="K200" s="3149"/>
      <c r="L200" s="3149"/>
      <c r="M200" s="3149"/>
      <c r="N200" s="3030">
        <v>180</v>
      </c>
      <c r="O200" s="3030">
        <v>180</v>
      </c>
      <c r="P200" s="3030">
        <v>180</v>
      </c>
      <c r="Q200" s="3030">
        <v>180</v>
      </c>
      <c r="R200" s="3030">
        <f t="shared" si="57"/>
        <v>0</v>
      </c>
      <c r="S200" s="3030">
        <v>250</v>
      </c>
      <c r="T200" s="3030">
        <v>250</v>
      </c>
      <c r="U200" s="3030"/>
      <c r="V200" s="3030">
        <v>96</v>
      </c>
      <c r="W200" s="3030"/>
      <c r="X200" s="3032"/>
      <c r="Y200" s="3032"/>
    </row>
    <row r="201" spans="1:27" ht="30.9" thickBot="1">
      <c r="A201" s="3033" t="s">
        <v>1185</v>
      </c>
      <c r="B201" s="3033"/>
      <c r="C201" s="3033"/>
      <c r="D201" s="3033"/>
      <c r="E201" s="3034"/>
      <c r="F201" s="3033"/>
      <c r="G201" s="3033"/>
      <c r="H201" s="3033"/>
      <c r="I201" s="3035" t="e">
        <f>SUM(I198:I200)</f>
        <v>#REF!</v>
      </c>
      <c r="J201" s="3150">
        <v>200</v>
      </c>
      <c r="K201" s="3150"/>
      <c r="L201" s="3150"/>
      <c r="M201" s="3150"/>
      <c r="N201" s="3035">
        <v>350</v>
      </c>
      <c r="O201" s="3035">
        <f>SUM(O198:O200)</f>
        <v>350</v>
      </c>
      <c r="P201" s="3035">
        <v>350</v>
      </c>
      <c r="Q201" s="3035">
        <v>350</v>
      </c>
      <c r="R201" s="3035">
        <f t="shared" ref="R201" si="58">Q201-P201</f>
        <v>0</v>
      </c>
      <c r="S201" s="3035">
        <f>SUM(S198:S200)</f>
        <v>400</v>
      </c>
      <c r="T201" s="3035">
        <f>SUM(T198:T200)</f>
        <v>400</v>
      </c>
      <c r="U201" s="3035"/>
      <c r="V201" s="3035">
        <f>SUM(V198:V200)</f>
        <v>186</v>
      </c>
      <c r="W201" s="3035"/>
      <c r="X201" s="3035"/>
      <c r="Y201" s="3032"/>
      <c r="AA201" s="2895"/>
    </row>
    <row r="202" spans="1:27" ht="26.4" thickTop="1" thickBot="1">
      <c r="A202" s="3036"/>
      <c r="B202" s="3036"/>
      <c r="C202" s="3036"/>
      <c r="D202" s="3036"/>
      <c r="E202" s="3037"/>
      <c r="F202" s="3036"/>
      <c r="G202" s="3036"/>
      <c r="H202" s="3036"/>
      <c r="I202" s="3036"/>
      <c r="J202" s="3036"/>
      <c r="K202" s="3036"/>
      <c r="L202" s="3036"/>
      <c r="M202" s="3036"/>
      <c r="N202" s="3036"/>
      <c r="O202" s="3038"/>
      <c r="P202" s="3038"/>
      <c r="Q202" s="3038"/>
      <c r="R202" s="3036"/>
      <c r="S202" s="3036"/>
      <c r="T202" s="3036"/>
      <c r="U202" s="3036"/>
      <c r="V202" s="3036"/>
      <c r="W202" s="3036"/>
    </row>
    <row r="203" spans="1:27" ht="30.9" thickTop="1">
      <c r="A203" s="3021" t="s">
        <v>4152</v>
      </c>
      <c r="B203" s="3021"/>
      <c r="C203" s="3021"/>
      <c r="D203" s="3021"/>
      <c r="E203" s="3022"/>
      <c r="F203" s="3021"/>
      <c r="G203" s="3021"/>
      <c r="H203" s="3021"/>
      <c r="I203" s="3021"/>
      <c r="J203" s="3021"/>
      <c r="K203" s="3021"/>
      <c r="L203" s="3021"/>
      <c r="M203" s="3021"/>
      <c r="N203" s="3021"/>
      <c r="O203" s="3021"/>
      <c r="P203" s="3021"/>
      <c r="Q203" s="3021"/>
      <c r="R203" s="3021"/>
      <c r="S203" s="3021"/>
      <c r="T203" s="3021"/>
      <c r="U203" s="3021"/>
      <c r="V203" s="3021"/>
      <c r="W203" s="3021"/>
      <c r="X203" s="3023"/>
      <c r="Y203" s="3024"/>
    </row>
    <row r="204" spans="1:27" ht="30.6">
      <c r="A204" s="3025" t="s">
        <v>4148</v>
      </c>
      <c r="B204" s="3025"/>
      <c r="C204" s="3025"/>
      <c r="D204" s="3025"/>
      <c r="E204" s="3026"/>
      <c r="F204" s="3025"/>
      <c r="G204" s="3025"/>
      <c r="H204" s="3025"/>
      <c r="I204" s="3025" t="s">
        <v>4149</v>
      </c>
      <c r="J204" s="3151"/>
      <c r="K204" s="3151"/>
      <c r="L204" s="3151"/>
      <c r="M204" s="3025"/>
      <c r="N204" s="3025"/>
      <c r="O204" s="3025" t="s">
        <v>1092</v>
      </c>
      <c r="P204" s="3025"/>
      <c r="Q204" s="3025"/>
      <c r="R204" s="3025"/>
      <c r="S204" s="3025" t="s">
        <v>3216</v>
      </c>
      <c r="T204" s="3025"/>
      <c r="U204" s="3025"/>
      <c r="V204" s="3025" t="s">
        <v>3305</v>
      </c>
      <c r="W204" s="3025" t="s">
        <v>3487</v>
      </c>
      <c r="X204" s="3027"/>
      <c r="Y204" s="3024"/>
    </row>
    <row r="205" spans="1:27" ht="30.6">
      <c r="A205" s="3028" t="s">
        <v>4151</v>
      </c>
      <c r="B205" s="3028"/>
      <c r="C205" s="3028"/>
      <c r="D205" s="3028"/>
      <c r="E205" s="3029"/>
      <c r="F205" s="3028"/>
      <c r="G205" s="3028"/>
      <c r="H205" s="3028"/>
      <c r="I205" s="3030" t="e">
        <f>#REF!</f>
        <v>#REF!</v>
      </c>
      <c r="J205" s="3030"/>
      <c r="K205" s="3030"/>
      <c r="L205" s="3030"/>
      <c r="M205" s="3030"/>
      <c r="N205" s="3030"/>
      <c r="O205" s="3030">
        <f>O208*25%</f>
        <v>20.970191155423663</v>
      </c>
      <c r="P205" s="3030">
        <f>P208*25%</f>
        <v>52.937508956305237</v>
      </c>
      <c r="Q205" s="3030">
        <f>Q208*25%</f>
        <v>27.250915038399398</v>
      </c>
      <c r="R205" s="3030"/>
      <c r="S205" s="3030">
        <f>S208*25%</f>
        <v>36.187008662090676</v>
      </c>
      <c r="T205" s="3030">
        <f>T208*25%</f>
        <v>36.187008662090676</v>
      </c>
      <c r="U205" s="3030"/>
      <c r="V205" s="3030">
        <f t="shared" ref="V205:W205" si="59">V208*25%</f>
        <v>0</v>
      </c>
      <c r="W205" s="3030">
        <f t="shared" si="59"/>
        <v>0</v>
      </c>
      <c r="X205" s="3030"/>
      <c r="Y205" s="3032"/>
    </row>
    <row r="206" spans="1:27" ht="30.6">
      <c r="A206" s="3028" t="s">
        <v>4086</v>
      </c>
      <c r="B206" s="3028"/>
      <c r="C206" s="3028"/>
      <c r="D206" s="3028"/>
      <c r="E206" s="3029"/>
      <c r="F206" s="3028"/>
      <c r="G206" s="3028"/>
      <c r="H206" s="3028"/>
      <c r="I206" s="3030">
        <f>I101</f>
        <v>701.74604239274584</v>
      </c>
      <c r="J206" s="3030"/>
      <c r="K206" s="3030"/>
      <c r="L206" s="3030"/>
      <c r="M206" s="3030"/>
      <c r="N206" s="3030"/>
      <c r="O206" s="3030">
        <f>O208*25%</f>
        <v>20.970191155423663</v>
      </c>
      <c r="P206" s="3030">
        <f>P208*25%</f>
        <v>52.937508956305237</v>
      </c>
      <c r="Q206" s="3030">
        <f>Q208*25%</f>
        <v>27.250915038399398</v>
      </c>
      <c r="R206" s="3030"/>
      <c r="S206" s="3030">
        <f t="shared" ref="S206:W206" si="60">S208*25%</f>
        <v>36.187008662090676</v>
      </c>
      <c r="T206" s="3030">
        <f t="shared" ref="T206" si="61">T208*25%</f>
        <v>36.187008662090676</v>
      </c>
      <c r="U206" s="3030"/>
      <c r="V206" s="3030">
        <f t="shared" si="60"/>
        <v>0</v>
      </c>
      <c r="W206" s="3030">
        <f t="shared" si="60"/>
        <v>0</v>
      </c>
      <c r="X206" s="3030"/>
      <c r="Y206" s="3032"/>
    </row>
    <row r="207" spans="1:27" ht="30.6">
      <c r="A207" s="3028" t="s">
        <v>442</v>
      </c>
      <c r="B207" s="3028"/>
      <c r="C207" s="3028"/>
      <c r="D207" s="3028"/>
      <c r="E207" s="3029"/>
      <c r="F207" s="3028"/>
      <c r="G207" s="3028"/>
      <c r="H207" s="3028"/>
      <c r="I207" s="3030">
        <f>I110</f>
        <v>0</v>
      </c>
      <c r="J207" s="3030"/>
      <c r="K207" s="3030"/>
      <c r="L207" s="3030"/>
      <c r="M207" s="3030"/>
      <c r="N207" s="3030"/>
      <c r="O207" s="3030">
        <f>O208-O205-O206</f>
        <v>41.940382310847326</v>
      </c>
      <c r="P207" s="3030">
        <f>P208-P205-P206</f>
        <v>105.87501791261047</v>
      </c>
      <c r="Q207" s="3030">
        <f>Q208-Q205-Q206</f>
        <v>54.501830076798797</v>
      </c>
      <c r="R207" s="3030"/>
      <c r="S207" s="3030">
        <f t="shared" ref="S207:W207" si="62">S208-S205-S206</f>
        <v>72.374017324181352</v>
      </c>
      <c r="T207" s="3030">
        <f t="shared" ref="T207" si="63">T208-T205-T206</f>
        <v>72.374017324181352</v>
      </c>
      <c r="U207" s="3030"/>
      <c r="V207" s="3030">
        <f t="shared" si="62"/>
        <v>0</v>
      </c>
      <c r="W207" s="3030">
        <f t="shared" si="62"/>
        <v>0</v>
      </c>
      <c r="X207" s="3030"/>
      <c r="Y207" s="3032"/>
    </row>
    <row r="208" spans="1:27" ht="30.9" thickBot="1">
      <c r="A208" s="3033" t="s">
        <v>1185</v>
      </c>
      <c r="B208" s="3033"/>
      <c r="C208" s="3033"/>
      <c r="D208" s="3033"/>
      <c r="E208" s="3034"/>
      <c r="F208" s="3033"/>
      <c r="G208" s="3033"/>
      <c r="H208" s="3033"/>
      <c r="I208" s="3035" t="e">
        <f>SUM(I205:I207)</f>
        <v>#REF!</v>
      </c>
      <c r="J208" s="3035"/>
      <c r="K208" s="3035"/>
      <c r="L208" s="3035"/>
      <c r="M208" s="3035"/>
      <c r="N208" s="3035"/>
      <c r="O208" s="3035">
        <f>O190</f>
        <v>83.880764621694652</v>
      </c>
      <c r="P208" s="3035">
        <f>P190</f>
        <v>211.75003582522095</v>
      </c>
      <c r="Q208" s="3035">
        <f>Q190</f>
        <v>109.00366015359759</v>
      </c>
      <c r="R208" s="3035"/>
      <c r="S208" s="3035">
        <f>S190</f>
        <v>144.7480346483627</v>
      </c>
      <c r="T208" s="3035">
        <f>T190</f>
        <v>144.7480346483627</v>
      </c>
      <c r="U208" s="3035"/>
      <c r="V208" s="3035">
        <f>V190</f>
        <v>0</v>
      </c>
      <c r="W208" s="3035">
        <f>W190</f>
        <v>0</v>
      </c>
      <c r="X208" s="3035"/>
      <c r="Y208" s="3032"/>
      <c r="AA208" s="2895"/>
    </row>
    <row r="209" spans="14:23" ht="20.7" thickTop="1"/>
    <row r="210" spans="14:23">
      <c r="P210" s="2883">
        <f>P48/P195*1000</f>
        <v>217.46180466182497</v>
      </c>
      <c r="Q210" s="2883"/>
    </row>
    <row r="211" spans="14:23" ht="20.399999999999999" hidden="1" customHeight="1">
      <c r="O211" s="2895">
        <f>O188-O208</f>
        <v>5975.7439805637414</v>
      </c>
      <c r="P211" s="2895"/>
      <c r="Q211" s="2895"/>
      <c r="R211" s="2895">
        <f t="shared" ref="R211:W211" si="64">R188-R208</f>
        <v>109.00366015359759</v>
      </c>
      <c r="S211" s="2895">
        <f t="shared" si="64"/>
        <v>6780.3023417063196</v>
      </c>
      <c r="T211" s="2895"/>
      <c r="U211" s="2895"/>
      <c r="V211" s="2895">
        <f t="shared" si="64"/>
        <v>8179.7778290952001</v>
      </c>
      <c r="W211" s="2895">
        <f t="shared" si="64"/>
        <v>9117.8448873077868</v>
      </c>
    </row>
    <row r="212" spans="14:23">
      <c r="N212"/>
      <c r="O212"/>
      <c r="P212"/>
      <c r="Q212"/>
    </row>
    <row r="213" spans="14:23">
      <c r="N213" s="2854" t="s">
        <v>4153</v>
      </c>
      <c r="O213" s="2883">
        <f>O111/O195*1000</f>
        <v>443.23061487289482</v>
      </c>
      <c r="P213" s="2883">
        <f>P111/P195*1000</f>
        <v>339.067894846667</v>
      </c>
      <c r="Q213" s="2883"/>
    </row>
    <row r="214" spans="14:23">
      <c r="N214" s="2854" t="s">
        <v>4154</v>
      </c>
      <c r="O214" s="2895">
        <f>(O83+O84)/O195*1000</f>
        <v>194.56270167420527</v>
      </c>
      <c r="P214" s="2895">
        <f>(P83+P84)/P195*1000</f>
        <v>127</v>
      </c>
      <c r="Q214" s="2895"/>
    </row>
    <row r="215" spans="14:23">
      <c r="O215" s="2883">
        <f>O213+O214</f>
        <v>637.79331654710006</v>
      </c>
      <c r="P215" s="2883">
        <f>P213+P214</f>
        <v>466.067894846667</v>
      </c>
      <c r="Q215" s="2883"/>
    </row>
    <row r="218" spans="14:23">
      <c r="N218" s="2854" t="s">
        <v>4153</v>
      </c>
    </row>
    <row r="219" spans="14:23">
      <c r="N219" s="2854" t="s">
        <v>4154</v>
      </c>
    </row>
  </sheetData>
  <mergeCells count="11">
    <mergeCell ref="A3:A4"/>
    <mergeCell ref="J3:M3"/>
    <mergeCell ref="N3:R3"/>
    <mergeCell ref="J197:M197"/>
    <mergeCell ref="N197:O197"/>
    <mergeCell ref="J199:M199"/>
    <mergeCell ref="J200:M200"/>
    <mergeCell ref="J201:M201"/>
    <mergeCell ref="J204:L204"/>
    <mergeCell ref="S3:U3"/>
    <mergeCell ref="J198:M198"/>
  </mergeCells>
  <pageMargins left="0.98425196850393704" right="0.98425196850393704" top="0.98425196850393704" bottom="0.98425196850393704" header="0.51181102362204722" footer="0.51181102362204722"/>
  <pageSetup scale="59" fitToHeight="0"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LX1400"/>
  <sheetViews>
    <sheetView showGridLines="0" topLeftCell="HY749" zoomScale="90" zoomScaleNormal="90" workbookViewId="0">
      <pane xSplit="8670" ySplit="1095" topLeftCell="JI820" activePane="bottomRight"/>
      <selection activeCell="ID749" sqref="ID749"/>
      <selection pane="topRight" activeCell="JA756" sqref="JA756"/>
      <selection pane="bottomLeft" activeCell="HY950" sqref="A950:XFD950"/>
      <selection pane="bottomRight" activeCell="JO853" sqref="JO853"/>
    </sheetView>
  </sheetViews>
  <sheetFormatPr defaultColWidth="9.1015625" defaultRowHeight="15" outlineLevelRow="1" outlineLevelCol="1"/>
  <cols>
    <col min="1" max="1" width="7.26171875" style="96" customWidth="1"/>
    <col min="2" max="3" width="13.26171875" style="96" customWidth="1"/>
    <col min="4" max="4" width="48.47265625" style="96" customWidth="1"/>
    <col min="5" max="8" width="9.26171875" style="279" hidden="1" customWidth="1"/>
    <col min="9" max="9" width="16.89453125" style="279" hidden="1" customWidth="1"/>
    <col min="10" max="24" width="9.26171875" style="279" hidden="1" customWidth="1"/>
    <col min="25" max="30" width="8.734375" style="279" hidden="1" customWidth="1"/>
    <col min="31" max="31" width="7.83984375" style="279" hidden="1" customWidth="1"/>
    <col min="32" max="32" width="7.578125" style="279" hidden="1" customWidth="1"/>
    <col min="33" max="33" width="8" style="279" hidden="1" customWidth="1"/>
    <col min="34" max="34" width="7.26171875" style="279" hidden="1" customWidth="1"/>
    <col min="35" max="35" width="6.62890625" style="279" hidden="1" customWidth="1"/>
    <col min="36" max="36" width="7.734375" style="279" hidden="1" customWidth="1"/>
    <col min="37" max="37" width="7.47265625" style="279" hidden="1" customWidth="1"/>
    <col min="38" max="38" width="9" style="279" hidden="1" customWidth="1"/>
    <col min="39" max="39" width="7.734375" style="279" hidden="1" customWidth="1"/>
    <col min="40" max="40" width="7.578125" style="279" hidden="1" customWidth="1"/>
    <col min="41" max="41" width="7.1015625" style="279" hidden="1" customWidth="1"/>
    <col min="42" max="42" width="7.5234375" style="279" hidden="1" customWidth="1"/>
    <col min="43" max="43" width="7.83984375" style="279" hidden="1" customWidth="1"/>
    <col min="44" max="44" width="7.578125" style="279" hidden="1" customWidth="1"/>
    <col min="45" max="45" width="8" style="279" hidden="1" customWidth="1"/>
    <col min="46" max="46" width="7.26171875" style="279" hidden="1" customWidth="1"/>
    <col min="47" max="47" width="6.7890625" style="279" hidden="1" customWidth="1"/>
    <col min="48" max="48" width="7.734375" style="279" hidden="1" customWidth="1"/>
    <col min="49" max="49" width="7.47265625" style="279" hidden="1" customWidth="1"/>
    <col min="50" max="50" width="7.26171875" style="279" hidden="1" customWidth="1"/>
    <col min="51" max="51" width="7.734375" style="279" hidden="1" customWidth="1"/>
    <col min="52" max="52" width="7.578125" style="279" hidden="1" customWidth="1"/>
    <col min="53" max="53" width="7.1015625" style="279" hidden="1" customWidth="1"/>
    <col min="54" max="54" width="7.5234375" style="279" hidden="1" customWidth="1"/>
    <col min="55" max="55" width="7.83984375" style="279" hidden="1" customWidth="1"/>
    <col min="56" max="56" width="7.578125" style="279" hidden="1" customWidth="1"/>
    <col min="57" max="57" width="8" style="279" hidden="1" customWidth="1"/>
    <col min="58" max="58" width="7.26171875" style="279" hidden="1" customWidth="1"/>
    <col min="59" max="59" width="6.62890625" style="279" hidden="1" customWidth="1"/>
    <col min="60" max="60" width="7.734375" style="279" hidden="1" customWidth="1"/>
    <col min="61" max="61" width="7.47265625" style="279" hidden="1" customWidth="1"/>
    <col min="62" max="62" width="7.26171875" style="279" hidden="1" customWidth="1"/>
    <col min="63" max="63" width="7.734375" style="279" hidden="1" customWidth="1"/>
    <col min="64" max="64" width="7.578125" style="279" hidden="1" customWidth="1"/>
    <col min="65" max="65" width="7.1015625" style="279" hidden="1" customWidth="1"/>
    <col min="66" max="66" width="7.5234375" style="279" hidden="1" customWidth="1"/>
    <col min="67" max="67" width="7.83984375" style="279" hidden="1" customWidth="1"/>
    <col min="68" max="68" width="7.578125" style="279" hidden="1" customWidth="1"/>
    <col min="69" max="69" width="8" style="279" hidden="1" customWidth="1"/>
    <col min="70" max="70" width="7.26171875" style="279" hidden="1" customWidth="1"/>
    <col min="71" max="71" width="6.62890625" style="279" hidden="1" customWidth="1"/>
    <col min="72" max="72" width="7.734375" style="279" hidden="1" customWidth="1"/>
    <col min="73" max="73" width="7.47265625" style="279" hidden="1" customWidth="1"/>
    <col min="74" max="74" width="7.26171875" style="279" hidden="1" customWidth="1"/>
    <col min="75" max="75" width="7.734375" style="279" hidden="1" customWidth="1"/>
    <col min="76" max="76" width="7.578125" style="279" hidden="1" customWidth="1"/>
    <col min="77" max="77" width="7.1015625" style="279" hidden="1" customWidth="1"/>
    <col min="78" max="78" width="7.5234375" style="279" hidden="1" customWidth="1"/>
    <col min="79" max="79" width="7.83984375" style="279" hidden="1" customWidth="1"/>
    <col min="80" max="80" width="7.578125" style="279" hidden="1" customWidth="1"/>
    <col min="81" max="81" width="8" style="279" hidden="1" customWidth="1"/>
    <col min="82" max="82" width="46.05078125" style="279" hidden="1" customWidth="1"/>
    <col min="83" max="83" width="6.7890625" style="279" hidden="1" customWidth="1" outlineLevel="1"/>
    <col min="84" max="84" width="7.734375" style="279" hidden="1" customWidth="1" outlineLevel="1"/>
    <col min="85" max="85" width="7.47265625" style="279" hidden="1" customWidth="1" outlineLevel="1"/>
    <col min="86" max="86" width="7.26171875" style="279" hidden="1" customWidth="1" outlineLevel="1"/>
    <col min="87" max="87" width="7.734375" style="279" hidden="1" customWidth="1" outlineLevel="1"/>
    <col min="88" max="88" width="7.578125" style="279" hidden="1" customWidth="1" outlineLevel="1"/>
    <col min="89" max="93" width="20.578125" style="279" hidden="1" customWidth="1" outlineLevel="1"/>
    <col min="94" max="94" width="7.26171875" style="279" hidden="1" customWidth="1" outlineLevel="1"/>
    <col min="95" max="95" width="6.62890625" style="279" hidden="1" customWidth="1" outlineLevel="1" collapsed="1"/>
    <col min="96" max="96" width="7.734375" style="279" hidden="1" customWidth="1" outlineLevel="1"/>
    <col min="97" max="97" width="7.47265625" style="279" hidden="1" customWidth="1" outlineLevel="1"/>
    <col min="98" max="98" width="7.26171875" style="279" hidden="1" customWidth="1" outlineLevel="1"/>
    <col min="99" max="99" width="7.734375" style="279" hidden="1" customWidth="1" outlineLevel="1"/>
    <col min="100" max="100" width="7.578125" style="279" hidden="1" customWidth="1" outlineLevel="1"/>
    <col min="101" max="101" width="7.1015625" style="279" hidden="1" customWidth="1" outlineLevel="1"/>
    <col min="102" max="102" width="7.5234375" style="279" hidden="1" customWidth="1" outlineLevel="1"/>
    <col min="103" max="103" width="7.83984375" style="279" hidden="1" customWidth="1" outlineLevel="1"/>
    <col min="104" max="104" width="7.578125" style="279" hidden="1" customWidth="1" outlineLevel="1"/>
    <col min="105" max="105" width="8" style="279" hidden="1" customWidth="1" outlineLevel="1"/>
    <col min="106" max="106" width="7.26171875" style="675" hidden="1" customWidth="1" outlineLevel="1"/>
    <col min="107" max="107" width="11" style="279" customWidth="1" collapsed="1"/>
    <col min="108" max="109" width="9.89453125" style="279" customWidth="1"/>
    <col min="110" max="110" width="9.47265625" style="279" customWidth="1"/>
    <col min="111" max="116" width="8.734375" style="279" customWidth="1"/>
    <col min="117" max="117" width="9" style="279" customWidth="1"/>
    <col min="118" max="118" width="10.1015625" style="280" customWidth="1"/>
    <col min="119" max="119" width="10.1015625" style="279" hidden="1" customWidth="1" outlineLevel="1"/>
    <col min="120" max="120" width="8.47265625" style="279" hidden="1" customWidth="1" outlineLevel="1"/>
    <col min="121" max="122" width="8.1015625" style="279" hidden="1" customWidth="1" outlineLevel="1"/>
    <col min="123" max="124" width="8.47265625" style="279" hidden="1" customWidth="1" outlineLevel="1"/>
    <col min="125" max="125" width="7.89453125" style="279" hidden="1" customWidth="1" outlineLevel="1"/>
    <col min="126" max="126" width="8.1015625" style="279" hidden="1" customWidth="1" outlineLevel="1"/>
    <col min="127" max="127" width="8.734375" style="279" hidden="1" customWidth="1" outlineLevel="1"/>
    <col min="128" max="128" width="8.47265625" style="279" hidden="1" customWidth="1" outlineLevel="1"/>
    <col min="129" max="129" width="9" style="279" hidden="1" customWidth="1" outlineLevel="1"/>
    <col min="130" max="130" width="9.7890625" style="280" hidden="1" customWidth="1" outlineLevel="1"/>
    <col min="131" max="131" width="9.7890625" style="355" bestFit="1" customWidth="1" collapsed="1"/>
    <col min="132" max="132" width="8.47265625" style="355" bestFit="1" customWidth="1"/>
    <col min="133" max="133" width="8.1015625" style="355" bestFit="1" customWidth="1"/>
    <col min="134" max="141" width="9.1015625" style="355" customWidth="1"/>
    <col min="142" max="142" width="9.1015625" style="1346" customWidth="1"/>
    <col min="143" max="147" width="9.1015625" style="355" customWidth="1"/>
    <col min="148" max="148" width="9.47265625" style="355" bestFit="1" customWidth="1"/>
    <col min="149" max="152" width="9.1015625" style="355" customWidth="1"/>
    <col min="153" max="153" width="9.47265625" style="355" bestFit="1" customWidth="1"/>
    <col min="154" max="154" width="9.1015625" style="1346" customWidth="1"/>
    <col min="155" max="155" width="9.1015625" style="355" customWidth="1"/>
    <col min="156" max="156" width="9.47265625" style="355" bestFit="1" customWidth="1"/>
    <col min="157" max="158" width="9.1015625" style="355" customWidth="1"/>
    <col min="159" max="159" width="9.47265625" style="355" bestFit="1" customWidth="1"/>
    <col min="160" max="161" width="9.1015625" style="355" customWidth="1"/>
    <col min="162" max="162" width="9.47265625" style="355" bestFit="1" customWidth="1"/>
    <col min="163" max="165" width="9.1015625" style="355" customWidth="1"/>
    <col min="166" max="166" width="9.1015625" style="1346" customWidth="1"/>
    <col min="167" max="167" width="9.1015625" style="355" customWidth="1"/>
    <col min="168" max="168" width="9.47265625" style="355" bestFit="1" customWidth="1"/>
    <col min="169" max="170" width="9.1015625" style="355" customWidth="1"/>
    <col min="171" max="171" width="9.47265625" style="355" bestFit="1" customWidth="1"/>
    <col min="172" max="173" width="9.1015625" style="355" customWidth="1"/>
    <col min="174" max="174" width="9.41796875" style="355" customWidth="1"/>
    <col min="175" max="176" width="9.1015625" style="355" customWidth="1"/>
    <col min="177" max="177" width="9.47265625" style="355" bestFit="1" customWidth="1"/>
    <col min="178" max="179" width="9.1015625" style="355" customWidth="1"/>
    <col min="180" max="180" width="9.47265625" style="355" bestFit="1" customWidth="1"/>
    <col min="181" max="182" width="9.1015625" style="355" customWidth="1"/>
    <col min="183" max="183" width="9.47265625" style="355" bestFit="1" customWidth="1"/>
    <col min="184" max="185" width="9.1015625" style="355" customWidth="1"/>
    <col min="186" max="186" width="9.47265625" style="355" bestFit="1" customWidth="1"/>
    <col min="187" max="188" width="9.1015625" style="355" customWidth="1"/>
    <col min="189" max="189" width="9.47265625" style="355" bestFit="1" customWidth="1"/>
    <col min="190" max="191" width="9.1015625" style="355" customWidth="1"/>
    <col min="192" max="192" width="9.47265625" style="355" bestFit="1" customWidth="1"/>
    <col min="193" max="194" width="9.1015625" style="355" customWidth="1"/>
    <col min="195" max="195" width="9.47265625" style="355" bestFit="1" customWidth="1"/>
    <col min="196" max="197" width="9.1015625" style="355" customWidth="1"/>
    <col min="198" max="198" width="9.47265625" style="355" bestFit="1" customWidth="1"/>
    <col min="199" max="200" width="9.1015625" style="355" customWidth="1"/>
    <col min="201" max="201" width="9.47265625" style="355" bestFit="1" customWidth="1"/>
    <col min="202" max="203" width="9.1015625" style="355" customWidth="1"/>
    <col min="204" max="204" width="12.26171875" style="355" bestFit="1" customWidth="1"/>
    <col min="205" max="206" width="9.1015625" style="355" customWidth="1"/>
    <col min="207" max="210" width="9.47265625" style="355" bestFit="1" customWidth="1"/>
    <col min="211" max="212" width="9.1015625" style="355" customWidth="1"/>
    <col min="213" max="213" width="9.47265625" style="355" bestFit="1" customWidth="1"/>
    <col min="214" max="214" width="9.1015625" style="355" customWidth="1"/>
    <col min="215" max="216" width="9.47265625" style="355" bestFit="1" customWidth="1"/>
    <col min="217" max="218" width="9.1015625" style="355" customWidth="1"/>
    <col min="219" max="219" width="9.47265625" style="355" bestFit="1" customWidth="1"/>
    <col min="220" max="233" width="9.1015625" style="355" customWidth="1"/>
    <col min="234" max="234" width="6.47265625" style="281" customWidth="1"/>
    <col min="235" max="235" width="59.734375" style="279" customWidth="1"/>
    <col min="236" max="236" width="12.47265625" style="279" customWidth="1"/>
    <col min="237" max="237" width="10.734375" style="279" customWidth="1"/>
    <col min="238" max="238" width="11.47265625" style="279" customWidth="1"/>
    <col min="239" max="240" width="10.47265625" style="279" customWidth="1"/>
    <col min="241" max="241" width="11.1015625" style="279" customWidth="1"/>
    <col min="242" max="243" width="10.47265625" style="279" customWidth="1"/>
    <col min="244" max="244" width="12.1015625" style="279" customWidth="1"/>
    <col min="245" max="245" width="10.1015625" style="279" customWidth="1"/>
    <col min="246" max="246" width="9.47265625" style="279" customWidth="1"/>
    <col min="247" max="247" width="11.62890625" style="279" customWidth="1"/>
    <col min="248" max="248" width="9.62890625" style="279" customWidth="1"/>
    <col min="249" max="249" width="9.89453125" style="279" customWidth="1"/>
    <col min="250" max="250" width="10.1015625" style="279" customWidth="1"/>
    <col min="251" max="252" width="10.47265625" style="279" customWidth="1"/>
    <col min="253" max="253" width="11.1015625" style="279" customWidth="1"/>
    <col min="254" max="254" width="9" style="279" customWidth="1"/>
    <col min="255" max="255" width="11.1015625" style="279" customWidth="1"/>
    <col min="256" max="256" width="11.89453125" style="279" customWidth="1"/>
    <col min="257" max="259" width="12.7890625" style="279" bestFit="1" customWidth="1"/>
    <col min="260" max="260" width="16.89453125" style="279" bestFit="1" customWidth="1"/>
    <col min="261" max="263" width="12.7890625" style="279" bestFit="1" customWidth="1"/>
    <col min="264" max="264" width="15.1015625" style="279" bestFit="1" customWidth="1"/>
    <col min="265" max="266" width="12.7890625" style="279" bestFit="1" customWidth="1"/>
    <col min="267" max="267" width="15.1015625" style="279" bestFit="1" customWidth="1"/>
    <col min="268" max="271" width="12.7890625" style="279" bestFit="1" customWidth="1"/>
    <col min="272" max="272" width="11.89453125" style="279" bestFit="1" customWidth="1"/>
    <col min="273" max="301" width="12.7890625" style="279" bestFit="1" customWidth="1"/>
    <col min="302" max="305" width="9.1015625" style="279"/>
    <col min="306" max="306" width="10.47265625" style="279" customWidth="1"/>
    <col min="307" max="307" width="5.26171875" style="281" customWidth="1"/>
    <col min="308" max="308" width="5.26171875" style="279" customWidth="1"/>
    <col min="309" max="314" width="15.734375" style="279" customWidth="1"/>
    <col min="315" max="16384" width="9.1015625" style="279"/>
  </cols>
  <sheetData>
    <row r="1" spans="1:314" s="96" customFormat="1" ht="22.5" customHeight="1">
      <c r="A1" s="270" t="s">
        <v>9</v>
      </c>
      <c r="B1" s="271" t="s">
        <v>26</v>
      </c>
      <c r="C1" s="272" t="s">
        <v>37</v>
      </c>
      <c r="E1" s="273">
        <v>39083</v>
      </c>
      <c r="F1" s="273">
        <v>39114</v>
      </c>
      <c r="G1" s="273">
        <v>39142</v>
      </c>
      <c r="H1" s="273">
        <v>39173</v>
      </c>
      <c r="I1" s="273">
        <v>39203</v>
      </c>
      <c r="J1" s="273">
        <v>39234</v>
      </c>
      <c r="K1" s="273">
        <v>39264</v>
      </c>
      <c r="L1" s="273">
        <v>39295</v>
      </c>
      <c r="M1" s="273">
        <v>39326</v>
      </c>
      <c r="N1" s="273">
        <v>39356</v>
      </c>
      <c r="O1" s="273">
        <v>39387</v>
      </c>
      <c r="P1" s="273">
        <v>39417</v>
      </c>
      <c r="Q1" s="273">
        <v>39448</v>
      </c>
      <c r="R1" s="273">
        <v>39479</v>
      </c>
      <c r="S1" s="273">
        <v>39508</v>
      </c>
      <c r="T1" s="273">
        <v>39539</v>
      </c>
      <c r="U1" s="273">
        <v>39569</v>
      </c>
      <c r="V1" s="273">
        <v>39600</v>
      </c>
      <c r="W1" s="273">
        <v>39630</v>
      </c>
      <c r="X1" s="273">
        <v>39661</v>
      </c>
      <c r="Y1" s="273">
        <v>39692</v>
      </c>
      <c r="Z1" s="273">
        <v>39722</v>
      </c>
      <c r="AA1" s="273">
        <v>39753</v>
      </c>
      <c r="AB1" s="273">
        <v>39783</v>
      </c>
      <c r="AC1" s="273">
        <v>39814</v>
      </c>
      <c r="AD1" s="273">
        <v>39845</v>
      </c>
      <c r="AE1" s="273">
        <v>39873</v>
      </c>
      <c r="AF1" s="273">
        <v>39904</v>
      </c>
      <c r="AG1" s="273">
        <v>39934</v>
      </c>
      <c r="AH1" s="273">
        <v>39965</v>
      </c>
      <c r="AI1" s="273">
        <v>39995</v>
      </c>
      <c r="AJ1" s="273">
        <v>40026</v>
      </c>
      <c r="AK1" s="273">
        <v>40057</v>
      </c>
      <c r="AL1" s="273">
        <v>40087</v>
      </c>
      <c r="AM1" s="273">
        <v>40118</v>
      </c>
      <c r="AN1" s="273">
        <v>40148</v>
      </c>
      <c r="AO1" s="273">
        <v>40179</v>
      </c>
      <c r="AP1" s="273">
        <v>40210</v>
      </c>
      <c r="AQ1" s="273">
        <v>40238</v>
      </c>
      <c r="AR1" s="273">
        <v>40269</v>
      </c>
      <c r="AS1" s="273">
        <v>40299</v>
      </c>
      <c r="AT1" s="273">
        <v>40330</v>
      </c>
      <c r="AU1" s="273">
        <v>40360</v>
      </c>
      <c r="AV1" s="273">
        <v>40391</v>
      </c>
      <c r="AW1" s="273">
        <v>40422</v>
      </c>
      <c r="AX1" s="273">
        <v>40452</v>
      </c>
      <c r="AY1" s="273">
        <v>40483</v>
      </c>
      <c r="AZ1" s="273">
        <v>40513</v>
      </c>
      <c r="BA1" s="273">
        <v>40544</v>
      </c>
      <c r="BB1" s="273">
        <v>40575</v>
      </c>
      <c r="BC1" s="273">
        <v>40603</v>
      </c>
      <c r="BD1" s="273">
        <v>40634</v>
      </c>
      <c r="BE1" s="273">
        <v>40664</v>
      </c>
      <c r="BF1" s="273">
        <v>40695</v>
      </c>
      <c r="BG1" s="273">
        <v>40725</v>
      </c>
      <c r="BH1" s="273">
        <v>40756</v>
      </c>
      <c r="BI1" s="273">
        <v>40787</v>
      </c>
      <c r="BJ1" s="273">
        <v>40817</v>
      </c>
      <c r="BK1" s="273">
        <v>40848</v>
      </c>
      <c r="BL1" s="273">
        <v>40878</v>
      </c>
      <c r="BM1" s="273">
        <v>40909</v>
      </c>
      <c r="BN1" s="273">
        <v>40940</v>
      </c>
      <c r="BO1" s="273">
        <v>40969</v>
      </c>
      <c r="BP1" s="273">
        <v>41000</v>
      </c>
      <c r="BQ1" s="273">
        <v>41030</v>
      </c>
      <c r="BR1" s="273">
        <v>41061</v>
      </c>
      <c r="BS1" s="273">
        <v>41091</v>
      </c>
      <c r="BT1" s="273">
        <v>41122</v>
      </c>
      <c r="BU1" s="273">
        <v>41153</v>
      </c>
      <c r="BV1" s="273">
        <v>41183</v>
      </c>
      <c r="BW1" s="273">
        <v>41214</v>
      </c>
      <c r="BX1" s="273">
        <v>41244</v>
      </c>
      <c r="BY1" s="273">
        <v>41275</v>
      </c>
      <c r="BZ1" s="273">
        <v>41306</v>
      </c>
      <c r="CA1" s="273">
        <v>41334</v>
      </c>
      <c r="CB1" s="273">
        <v>41365</v>
      </c>
      <c r="CC1" s="273">
        <v>41395</v>
      </c>
      <c r="CD1" s="273">
        <v>41426</v>
      </c>
      <c r="CE1" s="273">
        <v>41456</v>
      </c>
      <c r="CF1" s="273">
        <v>41487</v>
      </c>
      <c r="CG1" s="273">
        <v>41518</v>
      </c>
      <c r="CH1" s="273">
        <v>41548</v>
      </c>
      <c r="CI1" s="273">
        <v>41579</v>
      </c>
      <c r="CJ1" s="273">
        <v>41609</v>
      </c>
      <c r="CK1" s="273">
        <v>41640</v>
      </c>
      <c r="CL1" s="273">
        <v>41671</v>
      </c>
      <c r="CM1" s="273">
        <v>41699</v>
      </c>
      <c r="CN1" s="273">
        <v>41730</v>
      </c>
      <c r="CO1" s="273">
        <v>41760</v>
      </c>
      <c r="CP1" s="274">
        <v>41791</v>
      </c>
      <c r="CQ1" s="273">
        <v>41821</v>
      </c>
      <c r="CR1" s="273">
        <v>41852</v>
      </c>
      <c r="CS1" s="273">
        <v>41883</v>
      </c>
      <c r="CT1" s="273">
        <v>41913</v>
      </c>
      <c r="CU1" s="273">
        <v>41944</v>
      </c>
      <c r="CV1" s="273">
        <v>41974</v>
      </c>
      <c r="CW1" s="273">
        <v>42005</v>
      </c>
      <c r="CX1" s="273">
        <v>42036</v>
      </c>
      <c r="CY1" s="273">
        <v>42064</v>
      </c>
      <c r="CZ1" s="273">
        <v>42095</v>
      </c>
      <c r="DA1" s="273">
        <v>42125</v>
      </c>
      <c r="DB1" s="1287">
        <v>42156</v>
      </c>
      <c r="DC1" s="273">
        <v>42186</v>
      </c>
      <c r="DD1" s="273">
        <v>42217</v>
      </c>
      <c r="DE1" s="273">
        <v>42248</v>
      </c>
      <c r="DF1" s="273">
        <v>42278</v>
      </c>
      <c r="DG1" s="273">
        <v>42309</v>
      </c>
      <c r="DH1" s="273">
        <v>42339</v>
      </c>
      <c r="DI1" s="273">
        <v>42370</v>
      </c>
      <c r="DJ1" s="273">
        <v>42401</v>
      </c>
      <c r="DK1" s="273">
        <v>42430</v>
      </c>
      <c r="DL1" s="273">
        <v>42461</v>
      </c>
      <c r="DM1" s="273">
        <v>42491</v>
      </c>
      <c r="DN1" s="274">
        <v>42522</v>
      </c>
      <c r="DO1" s="273">
        <v>42552</v>
      </c>
      <c r="DP1" s="273">
        <v>42583</v>
      </c>
      <c r="DQ1" s="273">
        <v>42615</v>
      </c>
      <c r="DR1" s="273">
        <v>42646</v>
      </c>
      <c r="DS1" s="273">
        <v>42678</v>
      </c>
      <c r="DT1" s="273">
        <v>42709</v>
      </c>
      <c r="DU1" s="273">
        <v>42736</v>
      </c>
      <c r="DV1" s="273">
        <v>42767</v>
      </c>
      <c r="DW1" s="273">
        <v>42795</v>
      </c>
      <c r="DX1" s="273">
        <v>42826</v>
      </c>
      <c r="DY1" s="273">
        <v>42856</v>
      </c>
      <c r="DZ1" s="274">
        <v>42887</v>
      </c>
      <c r="EA1" s="273">
        <v>42917</v>
      </c>
      <c r="EB1" s="273">
        <v>42948</v>
      </c>
      <c r="EC1" s="273">
        <v>42979</v>
      </c>
      <c r="ED1" s="273">
        <v>43009</v>
      </c>
      <c r="EE1" s="273">
        <v>43040</v>
      </c>
      <c r="EF1" s="273">
        <v>43070</v>
      </c>
      <c r="EG1" s="273">
        <v>43101</v>
      </c>
      <c r="EH1" s="273">
        <v>43132</v>
      </c>
      <c r="EI1" s="273">
        <v>43160</v>
      </c>
      <c r="EJ1" s="273">
        <v>43191</v>
      </c>
      <c r="EK1" s="273">
        <v>43221</v>
      </c>
      <c r="EL1" s="274">
        <v>43252</v>
      </c>
      <c r="EM1" s="273">
        <v>43282</v>
      </c>
      <c r="EN1" s="273">
        <v>43313</v>
      </c>
      <c r="EO1" s="273">
        <v>43344</v>
      </c>
      <c r="EP1" s="273">
        <v>43374</v>
      </c>
      <c r="EQ1" s="273">
        <v>43405</v>
      </c>
      <c r="ER1" s="273">
        <v>43435</v>
      </c>
      <c r="ES1" s="273">
        <v>43466</v>
      </c>
      <c r="ET1" s="273">
        <v>43497</v>
      </c>
      <c r="EU1" s="273">
        <v>43525</v>
      </c>
      <c r="EV1" s="273">
        <v>43556</v>
      </c>
      <c r="EW1" s="273">
        <v>43586</v>
      </c>
      <c r="EX1" s="274">
        <v>43617</v>
      </c>
      <c r="EY1" s="273">
        <v>43647</v>
      </c>
      <c r="EZ1" s="273">
        <v>43678</v>
      </c>
      <c r="FA1" s="273">
        <v>43709</v>
      </c>
      <c r="FB1" s="273">
        <v>43739</v>
      </c>
      <c r="FC1" s="273">
        <v>43770</v>
      </c>
      <c r="FD1" s="273">
        <v>43800</v>
      </c>
      <c r="FE1" s="273">
        <v>43831</v>
      </c>
      <c r="FF1" s="273">
        <v>43862</v>
      </c>
      <c r="FG1" s="273">
        <v>43891</v>
      </c>
      <c r="FH1" s="273">
        <v>43922</v>
      </c>
      <c r="FI1" s="273">
        <v>43952</v>
      </c>
      <c r="FJ1" s="274">
        <v>43983</v>
      </c>
      <c r="FK1" s="273">
        <v>44013</v>
      </c>
      <c r="FL1" s="273">
        <v>44044</v>
      </c>
      <c r="FM1" s="273">
        <v>44075</v>
      </c>
      <c r="FN1" s="273">
        <v>44105</v>
      </c>
      <c r="FO1" s="273">
        <v>44136</v>
      </c>
      <c r="FP1" s="273">
        <v>44166</v>
      </c>
      <c r="FQ1" s="273">
        <v>44197</v>
      </c>
      <c r="FR1" s="273">
        <v>44228</v>
      </c>
      <c r="FS1" s="273">
        <v>44256</v>
      </c>
      <c r="FT1" s="273">
        <v>44287</v>
      </c>
      <c r="FU1" s="273">
        <v>44317</v>
      </c>
      <c r="FV1" s="273">
        <v>44348</v>
      </c>
      <c r="FW1" s="273">
        <v>44378</v>
      </c>
      <c r="FX1" s="273">
        <v>44409</v>
      </c>
      <c r="FY1" s="273">
        <v>44440</v>
      </c>
      <c r="FZ1" s="273">
        <v>44470</v>
      </c>
      <c r="GA1" s="273">
        <v>44501</v>
      </c>
      <c r="GB1" s="273">
        <v>44531</v>
      </c>
      <c r="GC1" s="273">
        <v>44562</v>
      </c>
      <c r="GD1" s="273">
        <v>44593</v>
      </c>
      <c r="GE1" s="273">
        <v>44621</v>
      </c>
      <c r="GF1" s="273">
        <v>44652</v>
      </c>
      <c r="GG1" s="273">
        <v>44682</v>
      </c>
      <c r="GH1" s="273">
        <v>44713</v>
      </c>
      <c r="GI1" s="273">
        <v>44743</v>
      </c>
      <c r="GJ1" s="273">
        <v>44774</v>
      </c>
      <c r="GK1" s="273">
        <v>44805</v>
      </c>
      <c r="GL1" s="273">
        <v>44835</v>
      </c>
      <c r="GM1" s="273">
        <v>44866</v>
      </c>
      <c r="GN1" s="273">
        <v>44896</v>
      </c>
      <c r="GO1" s="273">
        <v>44927</v>
      </c>
      <c r="GP1" s="273">
        <v>44958</v>
      </c>
      <c r="GQ1" s="273">
        <v>44986</v>
      </c>
      <c r="GR1" s="273">
        <v>45017</v>
      </c>
      <c r="GS1" s="273">
        <v>45047</v>
      </c>
      <c r="GT1" s="273">
        <v>45078</v>
      </c>
      <c r="GU1" s="273">
        <v>45108</v>
      </c>
      <c r="GV1" s="273">
        <v>45139</v>
      </c>
      <c r="GW1" s="273">
        <v>45170</v>
      </c>
      <c r="GX1" s="273">
        <v>45200</v>
      </c>
      <c r="GY1" s="273">
        <v>45231</v>
      </c>
      <c r="GZ1" s="273">
        <v>45261</v>
      </c>
      <c r="HA1" s="273">
        <v>45292</v>
      </c>
      <c r="HB1" s="273">
        <v>45323</v>
      </c>
      <c r="HC1" s="273">
        <v>45352</v>
      </c>
      <c r="HD1" s="273">
        <v>45383</v>
      </c>
      <c r="HE1" s="273">
        <v>45413</v>
      </c>
      <c r="HF1" s="273">
        <v>45444</v>
      </c>
      <c r="HG1" s="273">
        <v>45474</v>
      </c>
      <c r="HH1" s="273">
        <v>45505</v>
      </c>
      <c r="HI1" s="273">
        <v>45536</v>
      </c>
      <c r="HJ1" s="273">
        <v>45566</v>
      </c>
      <c r="HK1" s="273">
        <v>45597</v>
      </c>
      <c r="HL1" s="273">
        <v>45627</v>
      </c>
      <c r="HM1" s="273">
        <v>45658</v>
      </c>
      <c r="HN1" s="273">
        <v>45689</v>
      </c>
      <c r="HO1" s="273">
        <v>45717</v>
      </c>
      <c r="HP1" s="273">
        <v>45748</v>
      </c>
      <c r="HQ1" s="273">
        <v>45778</v>
      </c>
      <c r="HR1" s="273">
        <v>45809</v>
      </c>
      <c r="HS1" s="273">
        <v>45839</v>
      </c>
      <c r="HT1" s="273">
        <v>45870</v>
      </c>
      <c r="HU1" s="273">
        <v>45901</v>
      </c>
      <c r="HV1" s="273">
        <v>45931</v>
      </c>
      <c r="HW1" s="273">
        <v>45962</v>
      </c>
      <c r="HX1" s="273">
        <v>45992</v>
      </c>
      <c r="HY1" s="273"/>
      <c r="HZ1" s="275"/>
      <c r="IA1" s="3157" t="s">
        <v>332</v>
      </c>
      <c r="IB1" s="1286"/>
      <c r="IC1" s="1286"/>
      <c r="ID1" s="276">
        <v>2015</v>
      </c>
      <c r="IE1" s="277">
        <v>2014</v>
      </c>
      <c r="IF1" s="277">
        <v>2015</v>
      </c>
      <c r="IG1" s="277">
        <v>2015</v>
      </c>
      <c r="IH1" s="445">
        <v>2015</v>
      </c>
      <c r="II1" s="445">
        <v>2016</v>
      </c>
      <c r="IJ1" s="445">
        <v>2016</v>
      </c>
      <c r="IK1" s="445">
        <v>2016</v>
      </c>
      <c r="IL1" s="445">
        <v>2017</v>
      </c>
      <c r="IM1" s="445">
        <v>2017</v>
      </c>
      <c r="IN1" s="445">
        <v>2017</v>
      </c>
      <c r="IO1" s="445">
        <v>2018</v>
      </c>
      <c r="IP1" s="445">
        <v>2018</v>
      </c>
      <c r="IQ1" s="445">
        <v>2018</v>
      </c>
      <c r="IR1" s="445">
        <v>2019</v>
      </c>
      <c r="IS1" s="445">
        <v>2019</v>
      </c>
      <c r="IT1" s="445">
        <v>2019</v>
      </c>
      <c r="IU1" s="445">
        <v>2020</v>
      </c>
      <c r="IW1" s="445">
        <v>2020</v>
      </c>
      <c r="IX1" s="445">
        <v>2021</v>
      </c>
      <c r="IZ1" s="445">
        <v>2021</v>
      </c>
      <c r="JA1" s="96">
        <v>2022</v>
      </c>
      <c r="JC1" s="445">
        <v>2022</v>
      </c>
      <c r="JD1" s="445">
        <v>2023</v>
      </c>
      <c r="JF1" s="445">
        <v>2023</v>
      </c>
      <c r="JG1" s="445">
        <v>2024</v>
      </c>
      <c r="JI1" s="445">
        <v>2024</v>
      </c>
      <c r="JJ1" s="445">
        <v>2025</v>
      </c>
      <c r="JL1" s="445">
        <v>2025</v>
      </c>
      <c r="JM1" s="445">
        <v>2026</v>
      </c>
      <c r="JN1" s="445"/>
      <c r="JO1" s="445">
        <v>2026</v>
      </c>
      <c r="JP1" s="445">
        <v>2027</v>
      </c>
      <c r="JQ1" s="445"/>
      <c r="JR1" s="445">
        <v>2027</v>
      </c>
      <c r="JS1" s="445">
        <v>2028</v>
      </c>
      <c r="JT1" s="445"/>
      <c r="JU1" s="445">
        <v>2028</v>
      </c>
      <c r="JV1" s="445">
        <v>2029</v>
      </c>
      <c r="JW1" s="445"/>
      <c r="JX1" s="445">
        <v>2029</v>
      </c>
      <c r="JY1" s="445">
        <v>2030</v>
      </c>
      <c r="JZ1" s="445"/>
      <c r="KA1" s="445">
        <v>2030</v>
      </c>
      <c r="KB1" s="445">
        <v>2031</v>
      </c>
      <c r="KC1" s="445"/>
      <c r="KD1" s="445">
        <v>2031</v>
      </c>
      <c r="KE1" s="445">
        <v>2032</v>
      </c>
      <c r="KF1" s="445"/>
      <c r="KG1" s="445">
        <v>2032</v>
      </c>
      <c r="KH1" s="445">
        <v>2033</v>
      </c>
      <c r="KI1" s="445"/>
      <c r="KJ1" s="445">
        <v>2033</v>
      </c>
      <c r="KK1" s="445">
        <v>2034</v>
      </c>
      <c r="KL1" s="445"/>
      <c r="KM1" s="445">
        <v>2034</v>
      </c>
      <c r="KN1" s="445">
        <v>2035</v>
      </c>
      <c r="KO1" s="445"/>
      <c r="KP1" s="445"/>
      <c r="KQ1" s="445"/>
      <c r="KR1" s="445"/>
      <c r="KS1" s="445"/>
      <c r="KT1" s="445">
        <v>2021</v>
      </c>
      <c r="KU1" s="275"/>
      <c r="KV1" s="3157" t="s">
        <v>333</v>
      </c>
      <c r="LA1" s="277">
        <v>2018</v>
      </c>
      <c r="LB1" s="277">
        <v>2018</v>
      </c>
    </row>
    <row r="2" spans="1:314" ht="12.75" customHeight="1">
      <c r="A2" s="278"/>
      <c r="CP2" s="280"/>
      <c r="EA2" s="279"/>
      <c r="EB2" s="279"/>
      <c r="EC2" s="279"/>
      <c r="ED2" s="279"/>
      <c r="EE2" s="279"/>
      <c r="EF2" s="279"/>
      <c r="EG2" s="279"/>
      <c r="EH2" s="279"/>
      <c r="EI2" s="279"/>
      <c r="EJ2" s="279"/>
      <c r="EK2" s="279"/>
      <c r="EL2" s="280"/>
      <c r="EM2" s="1338" t="s">
        <v>3031</v>
      </c>
      <c r="EN2" s="279"/>
      <c r="EO2" s="279"/>
      <c r="EP2" s="279"/>
      <c r="EQ2" s="279"/>
      <c r="ER2" s="279"/>
      <c r="ES2" s="279"/>
      <c r="ET2" s="279"/>
      <c r="EU2" s="279"/>
      <c r="EV2" s="279"/>
      <c r="EW2" s="279"/>
      <c r="EX2" s="280"/>
      <c r="EY2" s="279"/>
      <c r="EZ2" s="279"/>
      <c r="FA2" s="279"/>
      <c r="FB2" s="279"/>
      <c r="FC2" s="279"/>
      <c r="FD2" s="279"/>
      <c r="FE2" s="279"/>
      <c r="FF2" s="279"/>
      <c r="FG2" s="279"/>
      <c r="FH2" s="279"/>
      <c r="FI2" s="279"/>
      <c r="FJ2" s="280"/>
      <c r="FK2" s="279"/>
      <c r="FL2" s="279"/>
      <c r="FM2" s="279"/>
      <c r="FN2" s="279"/>
      <c r="FO2" s="279"/>
      <c r="FP2" s="279"/>
      <c r="FQ2" s="279"/>
      <c r="FR2" s="279"/>
      <c r="FS2" s="279"/>
      <c r="FT2" s="279"/>
      <c r="FU2" s="279"/>
      <c r="FV2" s="279"/>
      <c r="FW2" s="279"/>
      <c r="FX2" s="279"/>
      <c r="FY2" s="279"/>
      <c r="FZ2" s="279"/>
      <c r="GA2" s="279"/>
      <c r="GB2" s="279"/>
      <c r="GC2" s="279"/>
      <c r="GD2" s="279"/>
      <c r="GE2" s="279"/>
      <c r="GF2" s="279"/>
      <c r="GG2" s="279"/>
      <c r="GH2" s="279"/>
      <c r="GI2" s="279"/>
      <c r="GJ2" s="279"/>
      <c r="GK2" s="279"/>
      <c r="GL2" s="279"/>
      <c r="GM2" s="279"/>
      <c r="GN2" s="279"/>
      <c r="GO2" s="279"/>
      <c r="GP2" s="279"/>
      <c r="GQ2" s="279"/>
      <c r="GR2" s="279"/>
      <c r="GS2" s="279"/>
      <c r="GT2" s="279"/>
      <c r="GU2" s="279"/>
      <c r="GV2" s="279"/>
      <c r="GW2" s="279"/>
      <c r="GX2" s="279"/>
      <c r="GY2" s="279"/>
      <c r="GZ2" s="279"/>
      <c r="HA2" s="279"/>
      <c r="HB2" s="279"/>
      <c r="HC2" s="279"/>
      <c r="HD2" s="279"/>
      <c r="HE2" s="279"/>
      <c r="HF2" s="279"/>
      <c r="HG2" s="279"/>
      <c r="HH2" s="279"/>
      <c r="HI2" s="279"/>
      <c r="HJ2" s="279"/>
      <c r="HK2" s="279"/>
      <c r="HL2" s="279"/>
      <c r="HM2" s="279"/>
      <c r="HN2" s="279"/>
      <c r="HO2" s="279"/>
      <c r="HP2" s="279"/>
      <c r="HQ2" s="279"/>
      <c r="HR2" s="279"/>
      <c r="HS2" s="279"/>
      <c r="HT2" s="279"/>
      <c r="HU2" s="279"/>
      <c r="HV2" s="279"/>
      <c r="HW2" s="279"/>
      <c r="HX2" s="279"/>
      <c r="HY2" s="279"/>
      <c r="IA2" s="3157"/>
      <c r="IB2" s="1286"/>
      <c r="IC2" s="1286"/>
      <c r="ID2" s="283" t="s">
        <v>176</v>
      </c>
      <c r="IE2" s="283" t="s">
        <v>177</v>
      </c>
      <c r="IF2" s="283" t="s">
        <v>177</v>
      </c>
      <c r="IG2" s="283" t="s">
        <v>177</v>
      </c>
      <c r="IH2" s="444" t="s">
        <v>178</v>
      </c>
      <c r="II2" s="444" t="s">
        <v>178</v>
      </c>
      <c r="IJ2" s="444" t="s">
        <v>178</v>
      </c>
      <c r="IK2" s="444" t="s">
        <v>179</v>
      </c>
      <c r="IL2" s="444" t="s">
        <v>179</v>
      </c>
      <c r="IM2" s="444" t="s">
        <v>179</v>
      </c>
      <c r="IN2" s="444" t="s">
        <v>180</v>
      </c>
      <c r="IO2" s="444" t="s">
        <v>180</v>
      </c>
      <c r="IP2" s="444" t="s">
        <v>180</v>
      </c>
      <c r="IQ2" s="952" t="s">
        <v>181</v>
      </c>
      <c r="IR2" s="952" t="s">
        <v>181</v>
      </c>
      <c r="IS2" s="444" t="s">
        <v>181</v>
      </c>
      <c r="IT2" s="952" t="s">
        <v>182</v>
      </c>
      <c r="IU2" s="952" t="s">
        <v>182</v>
      </c>
      <c r="IV2" s="444" t="s">
        <v>182</v>
      </c>
      <c r="IW2" s="444" t="s">
        <v>334</v>
      </c>
      <c r="IX2" s="444" t="s">
        <v>334</v>
      </c>
      <c r="IY2" s="444" t="s">
        <v>334</v>
      </c>
      <c r="IZ2" s="444" t="s">
        <v>1158</v>
      </c>
      <c r="JA2" s="444" t="s">
        <v>1158</v>
      </c>
      <c r="JB2" s="444" t="s">
        <v>1158</v>
      </c>
      <c r="JC2" s="444" t="s">
        <v>1159</v>
      </c>
      <c r="JD2" s="444" t="s">
        <v>1159</v>
      </c>
      <c r="JE2" s="444" t="s">
        <v>1159</v>
      </c>
      <c r="JF2" s="444" t="s">
        <v>1160</v>
      </c>
      <c r="JG2" s="444" t="s">
        <v>1160</v>
      </c>
      <c r="JH2" s="444" t="s">
        <v>1160</v>
      </c>
      <c r="JI2" s="444" t="s">
        <v>1161</v>
      </c>
      <c r="JJ2" s="444" t="s">
        <v>1161</v>
      </c>
      <c r="JK2" s="444" t="s">
        <v>1161</v>
      </c>
      <c r="JL2" s="444" t="s">
        <v>1162</v>
      </c>
      <c r="JM2" s="444" t="s">
        <v>1162</v>
      </c>
      <c r="JN2" s="444" t="s">
        <v>1162</v>
      </c>
      <c r="JO2" s="444" t="s">
        <v>1163</v>
      </c>
      <c r="JP2" s="444" t="s">
        <v>1163</v>
      </c>
      <c r="JQ2" s="444" t="s">
        <v>1163</v>
      </c>
      <c r="JR2" s="444" t="s">
        <v>1164</v>
      </c>
      <c r="JS2" s="444" t="s">
        <v>1164</v>
      </c>
      <c r="JT2" s="444" t="s">
        <v>1164</v>
      </c>
      <c r="JU2" s="444" t="s">
        <v>3489</v>
      </c>
      <c r="JV2" s="444" t="s">
        <v>3489</v>
      </c>
      <c r="JW2" s="444" t="s">
        <v>3489</v>
      </c>
      <c r="JX2" s="444" t="s">
        <v>3490</v>
      </c>
      <c r="JY2" s="444" t="s">
        <v>3490</v>
      </c>
      <c r="JZ2" s="444" t="s">
        <v>3490</v>
      </c>
      <c r="KA2" s="444" t="s">
        <v>3865</v>
      </c>
      <c r="KB2" s="444" t="s">
        <v>3865</v>
      </c>
      <c r="KC2" s="444" t="s">
        <v>3865</v>
      </c>
      <c r="KD2" s="444" t="s">
        <v>3866</v>
      </c>
      <c r="KE2" s="444" t="s">
        <v>3866</v>
      </c>
      <c r="KF2" s="444" t="s">
        <v>3866</v>
      </c>
      <c r="KG2" s="444" t="s">
        <v>3867</v>
      </c>
      <c r="KH2" s="444" t="s">
        <v>3867</v>
      </c>
      <c r="KI2" s="444" t="s">
        <v>3867</v>
      </c>
      <c r="KJ2" s="444" t="s">
        <v>3868</v>
      </c>
      <c r="KK2" s="444" t="s">
        <v>3868</v>
      </c>
      <c r="KL2" s="444" t="s">
        <v>3868</v>
      </c>
      <c r="KM2" s="444" t="s">
        <v>3869</v>
      </c>
      <c r="KN2" s="444" t="s">
        <v>3869</v>
      </c>
      <c r="KO2" s="444" t="s">
        <v>3869</v>
      </c>
      <c r="KP2" s="444"/>
      <c r="KQ2" s="444"/>
      <c r="KR2" s="952"/>
      <c r="KS2" s="444"/>
      <c r="KT2" s="444" t="s">
        <v>334</v>
      </c>
      <c r="KV2" s="3157"/>
      <c r="LA2" s="283" t="s">
        <v>180</v>
      </c>
      <c r="LB2" s="283" t="s">
        <v>180</v>
      </c>
    </row>
    <row r="3" spans="1:314" ht="15" customHeight="1">
      <c r="CP3" s="280"/>
      <c r="DB3" s="1320"/>
      <c r="EA3" s="279"/>
      <c r="EB3" s="279"/>
      <c r="EC3" s="279"/>
      <c r="ED3" s="279"/>
      <c r="EE3" s="279"/>
      <c r="EF3" s="279"/>
      <c r="EG3" s="279"/>
      <c r="EH3" s="279"/>
      <c r="EI3" s="279"/>
      <c r="EJ3" s="279"/>
      <c r="EK3" s="279"/>
      <c r="EL3" s="280"/>
      <c r="EM3" s="279"/>
      <c r="EN3" s="279"/>
      <c r="EO3" s="279"/>
      <c r="EP3" s="279"/>
      <c r="EQ3" s="279"/>
      <c r="ER3" s="279"/>
      <c r="ES3" s="279"/>
      <c r="ET3" s="279"/>
      <c r="EU3" s="279"/>
      <c r="EV3" s="279"/>
      <c r="EW3" s="279"/>
      <c r="EX3" s="280"/>
      <c r="EY3" s="279"/>
      <c r="EZ3" s="279"/>
      <c r="FA3" s="279"/>
      <c r="FB3" s="279"/>
      <c r="FC3" s="279"/>
      <c r="FD3" s="279"/>
      <c r="FE3" s="279"/>
      <c r="FF3" s="279"/>
      <c r="FG3" s="279"/>
      <c r="FH3" s="279"/>
      <c r="FI3" s="279"/>
      <c r="FJ3" s="280"/>
      <c r="FK3" s="279"/>
      <c r="FL3" s="279"/>
      <c r="FM3" s="279"/>
      <c r="FN3" s="279"/>
      <c r="FO3" s="279"/>
      <c r="FP3" s="279"/>
      <c r="FQ3" s="279"/>
      <c r="FR3" s="279"/>
      <c r="FS3" s="279"/>
      <c r="FT3" s="279"/>
      <c r="FU3" s="279"/>
      <c r="FV3" s="279"/>
      <c r="FW3" s="279"/>
      <c r="FX3" s="279"/>
      <c r="FY3" s="279"/>
      <c r="FZ3" s="279"/>
      <c r="GA3" s="279"/>
      <c r="GB3" s="279"/>
      <c r="GC3" s="279"/>
      <c r="GD3" s="279"/>
      <c r="GE3" s="279"/>
      <c r="GF3" s="279"/>
      <c r="GG3" s="279"/>
      <c r="GH3" s="279"/>
      <c r="GI3" s="279"/>
      <c r="GJ3" s="279"/>
      <c r="GK3" s="279"/>
      <c r="GL3" s="279"/>
      <c r="GM3" s="279"/>
      <c r="GN3" s="279"/>
      <c r="GO3" s="1674">
        <v>0.5238697536262662</v>
      </c>
      <c r="GP3" s="1674">
        <v>0.90779575580418537</v>
      </c>
      <c r="GQ3" s="1674">
        <v>0.91364618775367357</v>
      </c>
      <c r="GR3" s="1674">
        <v>0.6917610057084056</v>
      </c>
      <c r="GS3" s="1674">
        <v>0.63350891186110803</v>
      </c>
      <c r="GT3" s="1674">
        <v>0.96344281944936894</v>
      </c>
      <c r="GU3" s="1674"/>
      <c r="GV3" s="1674"/>
      <c r="GW3" s="1674"/>
      <c r="GX3" s="1674"/>
      <c r="GY3" s="1674"/>
      <c r="GZ3" s="1674"/>
      <c r="HA3" s="1674"/>
      <c r="HB3" s="1674"/>
      <c r="HC3" s="1674"/>
      <c r="HD3" s="1674"/>
      <c r="HE3" s="1674"/>
      <c r="HF3" s="1674"/>
      <c r="HG3" s="1674"/>
      <c r="HH3" s="1674"/>
      <c r="HI3" s="1674"/>
      <c r="HJ3" s="1674"/>
      <c r="HK3" s="1674"/>
      <c r="HL3" s="1674"/>
      <c r="HM3" s="1674"/>
      <c r="HN3" s="1674"/>
      <c r="HO3" s="1674"/>
      <c r="HP3" s="1674"/>
      <c r="HQ3" s="1674"/>
      <c r="HR3" s="1674"/>
      <c r="HS3" s="1674"/>
      <c r="HT3" s="1674"/>
      <c r="HU3" s="1674"/>
      <c r="HV3" s="1674"/>
      <c r="HW3" s="1674"/>
      <c r="HX3" s="1674"/>
      <c r="HY3" s="1674"/>
      <c r="IA3" s="3157"/>
      <c r="IB3" s="284" t="s">
        <v>335</v>
      </c>
      <c r="IC3" s="284" t="s">
        <v>336</v>
      </c>
      <c r="ID3" s="284" t="s">
        <v>223</v>
      </c>
      <c r="IE3" s="284" t="s">
        <v>335</v>
      </c>
      <c r="IF3" s="284" t="s">
        <v>336</v>
      </c>
      <c r="IG3" s="284" t="s">
        <v>1001</v>
      </c>
      <c r="IH3" s="284" t="s">
        <v>613</v>
      </c>
      <c r="II3" s="284" t="s">
        <v>614</v>
      </c>
      <c r="IJ3" s="284" t="s">
        <v>1001</v>
      </c>
      <c r="IK3" s="284" t="s">
        <v>335</v>
      </c>
      <c r="IL3" s="284" t="s">
        <v>336</v>
      </c>
      <c r="IM3" s="284" t="s">
        <v>223</v>
      </c>
      <c r="IN3" s="284" t="s">
        <v>335</v>
      </c>
      <c r="IO3" s="284" t="s">
        <v>336</v>
      </c>
      <c r="IP3" s="284" t="s">
        <v>223</v>
      </c>
      <c r="IQ3" s="284" t="s">
        <v>335</v>
      </c>
      <c r="IR3" s="284" t="s">
        <v>336</v>
      </c>
      <c r="IS3" s="284" t="s">
        <v>223</v>
      </c>
      <c r="IT3" s="284" t="s">
        <v>335</v>
      </c>
      <c r="IU3" s="284" t="s">
        <v>336</v>
      </c>
      <c r="IV3" s="284" t="s">
        <v>223</v>
      </c>
      <c r="IW3" s="284" t="s">
        <v>335</v>
      </c>
      <c r="IX3" s="284" t="s">
        <v>336</v>
      </c>
      <c r="IY3" s="285" t="s">
        <v>223</v>
      </c>
      <c r="IZ3" s="284" t="s">
        <v>335</v>
      </c>
      <c r="JA3" s="284" t="s">
        <v>336</v>
      </c>
      <c r="JB3" s="285" t="s">
        <v>223</v>
      </c>
      <c r="JC3" s="284" t="s">
        <v>335</v>
      </c>
      <c r="JD3" s="284" t="s">
        <v>336</v>
      </c>
      <c r="JE3" s="285" t="s">
        <v>223</v>
      </c>
      <c r="JF3" s="284" t="s">
        <v>335</v>
      </c>
      <c r="JG3" s="284" t="s">
        <v>336</v>
      </c>
      <c r="JH3" s="285" t="s">
        <v>223</v>
      </c>
      <c r="JI3" s="284" t="s">
        <v>335</v>
      </c>
      <c r="JJ3" s="284" t="s">
        <v>336</v>
      </c>
      <c r="JK3" s="285" t="s">
        <v>223</v>
      </c>
      <c r="JL3" s="284" t="s">
        <v>335</v>
      </c>
      <c r="JM3" s="284" t="s">
        <v>336</v>
      </c>
      <c r="JN3" s="285" t="s">
        <v>223</v>
      </c>
      <c r="JO3" s="284" t="s">
        <v>335</v>
      </c>
      <c r="JP3" s="284" t="s">
        <v>336</v>
      </c>
      <c r="JQ3" s="285" t="s">
        <v>223</v>
      </c>
      <c r="JR3" s="284" t="s">
        <v>335</v>
      </c>
      <c r="JS3" s="284" t="s">
        <v>336</v>
      </c>
      <c r="JT3" s="285" t="s">
        <v>223</v>
      </c>
      <c r="JU3" s="284" t="s">
        <v>335</v>
      </c>
      <c r="JV3" s="284" t="s">
        <v>336</v>
      </c>
      <c r="JW3" s="285" t="s">
        <v>223</v>
      </c>
      <c r="JX3" s="284" t="s">
        <v>335</v>
      </c>
      <c r="JY3" s="284" t="s">
        <v>336</v>
      </c>
      <c r="JZ3" s="285" t="s">
        <v>223</v>
      </c>
      <c r="KA3" s="284" t="s">
        <v>335</v>
      </c>
      <c r="KB3" s="284" t="s">
        <v>336</v>
      </c>
      <c r="KC3" s="285" t="s">
        <v>223</v>
      </c>
      <c r="KD3" s="284" t="s">
        <v>335</v>
      </c>
      <c r="KE3" s="284" t="s">
        <v>336</v>
      </c>
      <c r="KF3" s="285" t="s">
        <v>223</v>
      </c>
      <c r="KG3" s="284" t="s">
        <v>335</v>
      </c>
      <c r="KH3" s="284" t="s">
        <v>336</v>
      </c>
      <c r="KI3" s="285" t="s">
        <v>223</v>
      </c>
      <c r="KJ3" s="284" t="s">
        <v>335</v>
      </c>
      <c r="KK3" s="284" t="s">
        <v>336</v>
      </c>
      <c r="KL3" s="285" t="s">
        <v>223</v>
      </c>
      <c r="KM3" s="284" t="s">
        <v>335</v>
      </c>
      <c r="KN3" s="284" t="s">
        <v>336</v>
      </c>
      <c r="KO3" s="285" t="s">
        <v>223</v>
      </c>
      <c r="KP3" s="284"/>
      <c r="KQ3" s="284"/>
      <c r="KR3" s="284"/>
      <c r="KS3" s="284"/>
      <c r="KT3" s="285" t="s">
        <v>223</v>
      </c>
      <c r="KV3" s="3157"/>
      <c r="LA3" s="284" t="s">
        <v>335</v>
      </c>
      <c r="LB3" s="284" t="s">
        <v>336</v>
      </c>
    </row>
    <row r="4" spans="1:314">
      <c r="D4" s="286" t="s">
        <v>932</v>
      </c>
      <c r="E4" s="287"/>
      <c r="F4" s="287"/>
      <c r="G4" s="287"/>
      <c r="H4" s="287"/>
      <c r="I4" s="287"/>
      <c r="J4" s="287"/>
      <c r="K4" s="287"/>
      <c r="L4" s="287"/>
      <c r="M4" s="287"/>
      <c r="N4" s="287"/>
      <c r="O4" s="287"/>
      <c r="P4" s="287"/>
      <c r="Q4" s="287"/>
      <c r="R4" s="287"/>
      <c r="S4" s="287"/>
      <c r="T4" s="287"/>
      <c r="U4" s="287"/>
      <c r="V4" s="287"/>
      <c r="W4" s="287"/>
      <c r="X4" s="287"/>
      <c r="Y4" s="287"/>
      <c r="Z4" s="287"/>
      <c r="AA4" s="287"/>
      <c r="AB4" s="287"/>
      <c r="AC4" s="287"/>
      <c r="AD4" s="287"/>
      <c r="AE4" s="287"/>
      <c r="AF4" s="287"/>
      <c r="AG4" s="287"/>
      <c r="AH4" s="287"/>
      <c r="AI4" s="287"/>
      <c r="AJ4" s="287"/>
      <c r="AK4" s="287"/>
      <c r="AL4" s="287"/>
      <c r="AM4" s="287"/>
      <c r="AN4" s="287"/>
      <c r="AO4" s="287"/>
      <c r="AP4" s="287"/>
      <c r="AQ4" s="287"/>
      <c r="AR4" s="287"/>
      <c r="AS4" s="287"/>
      <c r="AT4" s="287"/>
      <c r="AU4" s="287"/>
      <c r="AV4" s="287"/>
      <c r="AW4" s="287"/>
      <c r="AX4" s="287"/>
      <c r="AY4" s="287"/>
      <c r="AZ4" s="287"/>
      <c r="BA4" s="287"/>
      <c r="BB4" s="287"/>
      <c r="BC4" s="287"/>
      <c r="BD4" s="287"/>
      <c r="BE4" s="287"/>
      <c r="BF4" s="287"/>
      <c r="BG4" s="287"/>
      <c r="BH4" s="287"/>
      <c r="BI4" s="287"/>
      <c r="BJ4" s="287"/>
      <c r="BK4" s="287"/>
      <c r="BL4" s="287"/>
      <c r="BM4" s="287"/>
      <c r="BN4" s="287"/>
      <c r="BO4" s="287"/>
      <c r="BP4" s="287"/>
      <c r="BQ4" s="287"/>
      <c r="BR4" s="287"/>
      <c r="BS4" s="287"/>
      <c r="BT4" s="287"/>
      <c r="BU4" s="287"/>
      <c r="BV4" s="287"/>
      <c r="BW4" s="287"/>
      <c r="BX4" s="287"/>
      <c r="BY4" s="287"/>
      <c r="BZ4" s="287"/>
      <c r="CA4" s="287"/>
      <c r="CB4" s="287"/>
      <c r="CC4" s="287"/>
      <c r="CD4" s="287"/>
      <c r="CE4" s="287"/>
      <c r="CF4" s="287"/>
      <c r="CG4" s="287"/>
      <c r="CH4" s="287"/>
      <c r="CI4" s="287"/>
      <c r="CJ4" s="287"/>
      <c r="CK4" s="287"/>
      <c r="CL4" s="287"/>
      <c r="CM4" s="287"/>
      <c r="CN4" s="287"/>
      <c r="CO4" s="287"/>
      <c r="CP4" s="288"/>
      <c r="CQ4" s="287"/>
      <c r="CR4" s="287"/>
      <c r="CS4" s="287"/>
      <c r="CT4" s="287"/>
      <c r="CU4" s="287"/>
      <c r="CV4" s="287"/>
      <c r="CW4" s="287"/>
      <c r="CX4" s="287"/>
      <c r="CY4" s="287"/>
      <c r="CZ4" s="287"/>
      <c r="DA4" s="287"/>
      <c r="DB4" s="290"/>
      <c r="DC4" s="810" t="s">
        <v>941</v>
      </c>
      <c r="DD4" s="287"/>
      <c r="DE4" s="287"/>
      <c r="DF4" s="287"/>
      <c r="DG4" s="287"/>
      <c r="DH4" s="287"/>
      <c r="DI4" s="287"/>
      <c r="DJ4" s="287"/>
      <c r="DK4" s="287"/>
      <c r="DL4" s="287"/>
      <c r="DM4" s="287"/>
      <c r="DN4" s="288"/>
      <c r="DO4" s="287"/>
      <c r="DP4" s="287"/>
      <c r="DQ4" s="287"/>
      <c r="DR4" s="287"/>
      <c r="DS4" s="287"/>
      <c r="DT4" s="287"/>
      <c r="DU4" s="287"/>
      <c r="DV4" s="287"/>
      <c r="DW4" s="287"/>
      <c r="DX4" s="287"/>
      <c r="DY4" s="287"/>
      <c r="DZ4" s="288"/>
      <c r="EA4" s="287"/>
      <c r="EB4" s="287"/>
      <c r="EC4" s="287"/>
      <c r="ED4" s="287"/>
      <c r="EE4" s="287"/>
      <c r="EF4" s="287"/>
      <c r="EG4" s="287"/>
      <c r="EH4" s="287"/>
      <c r="EI4" s="287"/>
      <c r="EJ4" s="287"/>
      <c r="EK4" s="287"/>
      <c r="EL4" s="288"/>
      <c r="EM4" s="287"/>
      <c r="EN4" s="287"/>
      <c r="EO4" s="287"/>
      <c r="EP4" s="287"/>
      <c r="EQ4" s="287"/>
      <c r="ER4" s="287"/>
      <c r="ES4" s="287"/>
      <c r="ET4" s="287"/>
      <c r="EU4" s="287"/>
      <c r="EV4" s="287"/>
      <c r="EW4" s="287"/>
      <c r="EX4" s="288"/>
      <c r="EY4" s="287"/>
      <c r="EZ4" s="287"/>
      <c r="FA4" s="287"/>
      <c r="FB4" s="287"/>
      <c r="FC4" s="287"/>
      <c r="FD4" s="287"/>
      <c r="FE4" s="287"/>
      <c r="FF4" s="287"/>
      <c r="FG4" s="287"/>
      <c r="FH4" s="287"/>
      <c r="FI4" s="287"/>
      <c r="FJ4" s="288"/>
      <c r="FK4" s="287"/>
      <c r="FL4" s="287"/>
      <c r="FM4" s="287"/>
      <c r="FN4" s="287"/>
      <c r="FO4" s="287"/>
      <c r="FP4" s="287"/>
      <c r="FQ4" s="287"/>
      <c r="FR4" s="287"/>
      <c r="FS4" s="287"/>
      <c r="FT4" s="287"/>
      <c r="FU4" s="287"/>
      <c r="FV4" s="287"/>
      <c r="FW4" s="287"/>
      <c r="FX4" s="287"/>
      <c r="FY4" s="287"/>
      <c r="FZ4" s="287"/>
      <c r="GA4" s="287"/>
      <c r="GB4" s="287"/>
      <c r="GC4" s="287"/>
      <c r="GD4" s="287"/>
      <c r="GE4" s="287"/>
      <c r="GF4" s="287"/>
      <c r="GG4" s="287"/>
      <c r="GH4" s="287"/>
      <c r="GI4" s="287"/>
      <c r="GJ4" s="287"/>
      <c r="GK4" s="287"/>
      <c r="GL4" s="287"/>
      <c r="GM4" s="287"/>
      <c r="GN4" s="287"/>
      <c r="GO4" s="287"/>
      <c r="GP4" s="287"/>
      <c r="GQ4" s="287"/>
      <c r="GR4" s="287"/>
      <c r="GS4" s="287"/>
      <c r="GT4" s="287"/>
      <c r="GU4" s="287"/>
      <c r="GV4" s="287"/>
      <c r="GW4" s="287"/>
      <c r="GX4" s="287"/>
      <c r="GY4" s="287"/>
      <c r="GZ4" s="287"/>
      <c r="HA4" s="287"/>
      <c r="HB4" s="287"/>
      <c r="HC4" s="287"/>
      <c r="HD4" s="287"/>
      <c r="HE4" s="287"/>
      <c r="HF4" s="287"/>
      <c r="HG4" s="287"/>
      <c r="HH4" s="287"/>
      <c r="HI4" s="287"/>
      <c r="HJ4" s="287"/>
      <c r="HK4" s="287"/>
      <c r="HL4" s="287"/>
      <c r="HM4" s="2725"/>
      <c r="HN4" s="2725"/>
      <c r="HO4" s="2725"/>
      <c r="HP4" s="2725"/>
      <c r="HQ4" s="2725"/>
      <c r="HR4" s="2725"/>
      <c r="HS4" s="2725"/>
      <c r="HT4" s="2725"/>
      <c r="HU4" s="2725"/>
      <c r="HV4" s="2725"/>
      <c r="HW4" s="2725"/>
      <c r="HX4" s="2725"/>
      <c r="HY4" s="287"/>
      <c r="HZ4" s="289"/>
      <c r="IA4" s="287"/>
      <c r="IB4" s="287"/>
      <c r="IC4" s="287"/>
      <c r="ID4" s="287"/>
      <c r="IE4" s="287"/>
      <c r="IF4" s="287"/>
      <c r="IG4" s="287"/>
      <c r="IH4" s="287"/>
      <c r="II4" s="287"/>
      <c r="IJ4" s="287"/>
      <c r="IK4" s="287"/>
      <c r="IL4" s="287"/>
      <c r="IM4" s="287"/>
      <c r="IN4" s="287"/>
      <c r="IO4" s="287"/>
      <c r="IP4" s="287"/>
      <c r="IQ4" s="287"/>
      <c r="IR4" s="287"/>
      <c r="IS4" s="287"/>
      <c r="IT4" s="287"/>
      <c r="IU4" s="287"/>
      <c r="IV4" s="287"/>
      <c r="IW4" s="287"/>
      <c r="IX4" s="287"/>
      <c r="IY4" s="287"/>
      <c r="IZ4" s="287"/>
      <c r="JA4" s="287"/>
      <c r="JB4" s="287"/>
      <c r="JC4" s="287"/>
      <c r="JD4" s="287"/>
      <c r="JE4" s="287"/>
      <c r="JF4" s="287"/>
      <c r="JG4" s="287"/>
      <c r="JH4" s="287"/>
      <c r="JI4" s="287"/>
      <c r="JJ4" s="287"/>
      <c r="JK4" s="287"/>
      <c r="JL4" s="287"/>
      <c r="JM4" s="287"/>
      <c r="JN4" s="287"/>
      <c r="JO4" s="287"/>
      <c r="JP4" s="287"/>
      <c r="JQ4" s="287"/>
      <c r="JR4" s="287"/>
      <c r="JS4" s="287"/>
      <c r="JT4" s="287"/>
      <c r="JU4" s="287"/>
      <c r="JV4" s="287"/>
      <c r="JW4" s="287"/>
      <c r="JX4" s="287"/>
      <c r="JY4" s="287"/>
      <c r="JZ4" s="287"/>
      <c r="KA4" s="287"/>
      <c r="KB4" s="287"/>
      <c r="KC4" s="287"/>
      <c r="KD4" s="287"/>
      <c r="KE4" s="287"/>
      <c r="KF4" s="287"/>
      <c r="KG4" s="287"/>
      <c r="KH4" s="287"/>
      <c r="KI4" s="287"/>
      <c r="KJ4" s="287"/>
      <c r="KK4" s="287"/>
      <c r="KL4" s="287"/>
      <c r="KM4" s="287"/>
      <c r="KN4" s="287"/>
      <c r="KO4" s="287"/>
      <c r="KP4" s="287"/>
      <c r="KQ4" s="287"/>
      <c r="KR4" s="287"/>
      <c r="KS4" s="287"/>
      <c r="KT4" s="288"/>
      <c r="KU4" s="289"/>
      <c r="KV4" s="287"/>
      <c r="LA4" s="287"/>
      <c r="LB4" s="290"/>
    </row>
    <row r="5" spans="1:314" outlineLevel="1">
      <c r="A5" s="291" t="s">
        <v>1049</v>
      </c>
      <c r="D5" s="292" t="s">
        <v>933</v>
      </c>
      <c r="E5" s="293"/>
      <c r="F5" s="293"/>
      <c r="G5" s="293"/>
      <c r="H5" s="293"/>
      <c r="I5" s="293"/>
      <c r="J5" s="293"/>
      <c r="K5" s="293"/>
      <c r="L5" s="293"/>
      <c r="M5" s="293"/>
      <c r="N5" s="293"/>
      <c r="O5" s="293"/>
      <c r="P5" s="293"/>
      <c r="Q5" s="293"/>
      <c r="R5" s="293"/>
      <c r="S5" s="293"/>
      <c r="T5" s="293"/>
      <c r="U5" s="293"/>
      <c r="V5" s="293"/>
      <c r="W5" s="293"/>
      <c r="X5" s="293"/>
      <c r="Y5" s="293"/>
      <c r="Z5" s="293"/>
      <c r="AA5" s="293"/>
      <c r="AB5" s="293"/>
      <c r="AC5" s="293"/>
      <c r="AD5" s="293"/>
      <c r="AE5" s="293"/>
      <c r="AF5" s="293"/>
      <c r="AG5" s="293"/>
      <c r="AH5" s="293"/>
      <c r="AI5" s="293"/>
      <c r="AJ5" s="293"/>
      <c r="AK5" s="293"/>
      <c r="AL5" s="293"/>
      <c r="AM5" s="293"/>
      <c r="AN5" s="293"/>
      <c r="AO5" s="293"/>
      <c r="AP5" s="293"/>
      <c r="AQ5" s="293"/>
      <c r="AR5" s="293"/>
      <c r="AS5" s="293"/>
      <c r="AT5" s="293"/>
      <c r="AU5" s="293"/>
      <c r="AV5" s="293"/>
      <c r="AW5" s="293"/>
      <c r="AX5" s="293"/>
      <c r="AY5" s="293"/>
      <c r="AZ5" s="293"/>
      <c r="BA5" s="293"/>
      <c r="BB5" s="293"/>
      <c r="BC5" s="293"/>
      <c r="BD5" s="293"/>
      <c r="BE5" s="293"/>
      <c r="BF5" s="293"/>
      <c r="BG5" s="293"/>
      <c r="BH5" s="293"/>
      <c r="BI5" s="293"/>
      <c r="BJ5" s="293"/>
      <c r="BK5" s="293"/>
      <c r="BL5" s="293"/>
      <c r="BM5" s="293"/>
      <c r="BN5" s="293"/>
      <c r="BO5" s="293"/>
      <c r="BP5" s="293"/>
      <c r="BQ5" s="293"/>
      <c r="BR5" s="293"/>
      <c r="BS5" s="293"/>
      <c r="BT5" s="293"/>
      <c r="BU5" s="293"/>
      <c r="BV5" s="293"/>
      <c r="BW5" s="293"/>
      <c r="BX5" s="293"/>
      <c r="BY5" s="293"/>
      <c r="BZ5" s="293"/>
      <c r="CA5" s="293"/>
      <c r="CB5" s="293"/>
      <c r="CC5" s="293"/>
      <c r="CD5" s="293"/>
      <c r="CE5" s="294"/>
      <c r="CF5" s="293"/>
      <c r="CG5" s="293"/>
      <c r="CH5" s="293"/>
      <c r="CI5" s="293"/>
      <c r="CJ5" s="293"/>
      <c r="CK5" s="293"/>
      <c r="CL5" s="293"/>
      <c r="CM5" s="293"/>
      <c r="CN5" s="293"/>
      <c r="CO5" s="293"/>
      <c r="CP5" s="295"/>
      <c r="CQ5" s="293"/>
      <c r="CR5" s="293"/>
      <c r="CS5" s="293"/>
      <c r="CT5" s="293"/>
      <c r="CU5" s="293"/>
      <c r="CV5" s="293"/>
      <c r="CW5" s="293"/>
      <c r="CX5" s="293"/>
      <c r="CY5" s="293"/>
      <c r="CZ5" s="293"/>
      <c r="DA5" s="293"/>
      <c r="DB5" s="1288"/>
      <c r="DC5" s="792">
        <v>42186</v>
      </c>
      <c r="DD5" s="792">
        <v>42217</v>
      </c>
      <c r="DE5" s="792">
        <v>42248</v>
      </c>
      <c r="DF5" s="792">
        <v>42278</v>
      </c>
      <c r="DG5" s="792">
        <v>42309</v>
      </c>
      <c r="DH5" s="792">
        <v>42339</v>
      </c>
      <c r="DI5" s="792">
        <v>42370</v>
      </c>
      <c r="DJ5" s="792">
        <v>42401</v>
      </c>
      <c r="DK5" s="792">
        <v>42430</v>
      </c>
      <c r="DL5" s="792">
        <v>42461</v>
      </c>
      <c r="DM5" s="792">
        <v>42491</v>
      </c>
      <c r="DN5" s="871">
        <v>42522</v>
      </c>
      <c r="DO5" s="792">
        <v>42552</v>
      </c>
      <c r="DP5" s="792">
        <v>42583</v>
      </c>
      <c r="DQ5" s="792">
        <v>42614</v>
      </c>
      <c r="DR5" s="792">
        <v>42644</v>
      </c>
      <c r="DS5" s="792">
        <v>42675</v>
      </c>
      <c r="DT5" s="792">
        <v>42705</v>
      </c>
      <c r="DU5" s="869">
        <v>42736</v>
      </c>
      <c r="DV5" s="869">
        <v>42767</v>
      </c>
      <c r="DW5" s="869">
        <v>42795</v>
      </c>
      <c r="DX5" s="869">
        <v>42826</v>
      </c>
      <c r="DY5" s="869">
        <v>42856</v>
      </c>
      <c r="DZ5" s="1322">
        <v>42887</v>
      </c>
      <c r="EA5" s="869">
        <v>42917</v>
      </c>
      <c r="EB5" s="869">
        <v>42948</v>
      </c>
      <c r="EC5" s="869">
        <v>42979</v>
      </c>
      <c r="ED5" s="869">
        <v>43009</v>
      </c>
      <c r="EE5" s="869">
        <v>43040</v>
      </c>
      <c r="EF5" s="869">
        <v>43070</v>
      </c>
      <c r="EG5" s="869">
        <v>43101</v>
      </c>
      <c r="EH5" s="869">
        <v>43132</v>
      </c>
      <c r="EI5" s="869">
        <v>43160</v>
      </c>
      <c r="EJ5" s="869">
        <v>43191</v>
      </c>
      <c r="EK5" s="869">
        <v>43221</v>
      </c>
      <c r="EL5" s="1322">
        <v>43252</v>
      </c>
      <c r="EM5" s="1079">
        <v>43282</v>
      </c>
      <c r="EN5" s="1079">
        <v>43313</v>
      </c>
      <c r="EO5" s="1079">
        <v>43344</v>
      </c>
      <c r="EP5" s="1079">
        <v>43374</v>
      </c>
      <c r="EQ5" s="1079">
        <v>43405</v>
      </c>
      <c r="ER5" s="1079">
        <v>43435</v>
      </c>
      <c r="ES5" s="1079">
        <v>43466</v>
      </c>
      <c r="ET5" s="1079">
        <v>43497</v>
      </c>
      <c r="EU5" s="1079">
        <v>43525</v>
      </c>
      <c r="EV5" s="1079">
        <v>43556</v>
      </c>
      <c r="EW5" s="1079">
        <v>43586</v>
      </c>
      <c r="EX5" s="1348">
        <v>43617</v>
      </c>
      <c r="EY5" s="1079">
        <v>43647</v>
      </c>
      <c r="EZ5" s="1079">
        <v>43678</v>
      </c>
      <c r="FA5" s="1079">
        <v>43709</v>
      </c>
      <c r="FB5" s="1079">
        <v>43739</v>
      </c>
      <c r="FC5" s="1079">
        <v>43770</v>
      </c>
      <c r="FD5" s="1079">
        <v>43800</v>
      </c>
      <c r="FE5" s="1079">
        <v>43831</v>
      </c>
      <c r="FF5" s="1079">
        <v>43862</v>
      </c>
      <c r="FG5" s="1079">
        <v>43891</v>
      </c>
      <c r="FH5" s="1079">
        <v>43922</v>
      </c>
      <c r="FI5" s="1079">
        <v>43952</v>
      </c>
      <c r="FJ5" s="1348">
        <v>43983</v>
      </c>
      <c r="FK5" s="1079">
        <v>44013</v>
      </c>
      <c r="FL5" s="1079">
        <v>44044</v>
      </c>
      <c r="FM5" s="1079">
        <v>44075</v>
      </c>
      <c r="FN5" s="1079">
        <v>44105</v>
      </c>
      <c r="FO5" s="1079">
        <v>44136</v>
      </c>
      <c r="FP5" s="1079">
        <v>44166</v>
      </c>
      <c r="FQ5" s="1079">
        <v>44197</v>
      </c>
      <c r="FR5" s="1079">
        <v>44228</v>
      </c>
      <c r="FS5" s="1079">
        <v>44256</v>
      </c>
      <c r="FT5" s="1079">
        <v>44287</v>
      </c>
      <c r="FU5" s="1079">
        <v>44317</v>
      </c>
      <c r="FV5" s="1626">
        <v>44348</v>
      </c>
      <c r="FW5" s="1079">
        <v>44378</v>
      </c>
      <c r="FX5" s="1079">
        <v>44409</v>
      </c>
      <c r="FY5" s="1079">
        <v>44440</v>
      </c>
      <c r="FZ5" s="1079">
        <v>44470</v>
      </c>
      <c r="GA5" s="1079">
        <v>44501</v>
      </c>
      <c r="GB5" s="1079">
        <v>44531</v>
      </c>
      <c r="GC5" s="1079">
        <v>44562</v>
      </c>
      <c r="GD5" s="1079">
        <v>44593</v>
      </c>
      <c r="GE5" s="1079">
        <v>44621</v>
      </c>
      <c r="GF5" s="1079">
        <v>44652</v>
      </c>
      <c r="GG5" s="1079">
        <v>44682</v>
      </c>
      <c r="GH5" s="1348">
        <v>44713</v>
      </c>
      <c r="GI5" s="1079">
        <v>44743</v>
      </c>
      <c r="GJ5" s="1079">
        <v>44774</v>
      </c>
      <c r="GK5" s="1079">
        <v>44805</v>
      </c>
      <c r="GL5" s="1079">
        <v>44835</v>
      </c>
      <c r="GM5" s="1079">
        <v>44866</v>
      </c>
      <c r="GN5" s="1079">
        <v>44896</v>
      </c>
      <c r="GO5" s="1079">
        <v>44927</v>
      </c>
      <c r="GP5" s="1079">
        <v>44958</v>
      </c>
      <c r="GQ5" s="1079">
        <v>44986</v>
      </c>
      <c r="GR5" s="1079">
        <v>45017</v>
      </c>
      <c r="GS5" s="1079">
        <v>45047</v>
      </c>
      <c r="GT5" s="1079">
        <v>45078</v>
      </c>
      <c r="GU5" s="1079">
        <v>45108</v>
      </c>
      <c r="GV5" s="1079">
        <v>45139</v>
      </c>
      <c r="GW5" s="1079">
        <v>45170</v>
      </c>
      <c r="GX5" s="1079">
        <v>45200</v>
      </c>
      <c r="GY5" s="1079">
        <v>45231</v>
      </c>
      <c r="GZ5" s="1079">
        <v>45261</v>
      </c>
      <c r="HA5" s="1079">
        <v>45292</v>
      </c>
      <c r="HB5" s="1079">
        <v>45323</v>
      </c>
      <c r="HC5" s="1079">
        <v>45352</v>
      </c>
      <c r="HD5" s="1079">
        <v>45383</v>
      </c>
      <c r="HE5" s="1079">
        <v>45413</v>
      </c>
      <c r="HF5" s="1079">
        <v>45444</v>
      </c>
      <c r="HG5" s="1079">
        <v>45474</v>
      </c>
      <c r="HH5" s="1079">
        <v>45505</v>
      </c>
      <c r="HI5" s="1079">
        <v>45536</v>
      </c>
      <c r="HJ5" s="1079">
        <v>45566</v>
      </c>
      <c r="HK5" s="1079">
        <v>45597</v>
      </c>
      <c r="HL5" s="1079">
        <v>45627</v>
      </c>
      <c r="HM5" s="1079">
        <v>45658</v>
      </c>
      <c r="HN5" s="1079">
        <v>45689</v>
      </c>
      <c r="HO5" s="1079">
        <v>45717</v>
      </c>
      <c r="HP5" s="1079">
        <v>45748</v>
      </c>
      <c r="HQ5" s="1079">
        <v>45778</v>
      </c>
      <c r="HR5" s="1079">
        <v>45809</v>
      </c>
      <c r="HS5" s="1079">
        <v>45839</v>
      </c>
      <c r="HT5" s="1079">
        <v>45870</v>
      </c>
      <c r="HU5" s="1079">
        <v>45901</v>
      </c>
      <c r="HV5" s="1079">
        <v>45931</v>
      </c>
      <c r="HW5" s="1079">
        <v>45962</v>
      </c>
      <c r="HX5" s="1079">
        <v>45992</v>
      </c>
      <c r="HY5" s="1079"/>
      <c r="KT5" s="280"/>
    </row>
    <row r="6" spans="1:314" outlineLevel="1">
      <c r="A6" s="96" t="s">
        <v>337</v>
      </c>
      <c r="B6" s="96" t="s">
        <v>338</v>
      </c>
      <c r="D6" s="296" t="s">
        <v>339</v>
      </c>
      <c r="E6" s="293"/>
      <c r="F6" s="293"/>
      <c r="G6" s="293"/>
      <c r="H6" s="293"/>
      <c r="I6" s="293"/>
      <c r="J6" s="293"/>
      <c r="K6" s="293"/>
      <c r="L6" s="293"/>
      <c r="M6" s="293"/>
      <c r="N6" s="293"/>
      <c r="O6" s="293"/>
      <c r="P6" s="293"/>
      <c r="Q6" s="293"/>
      <c r="R6" s="293"/>
      <c r="S6" s="293"/>
      <c r="T6" s="293"/>
      <c r="U6" s="293"/>
      <c r="V6" s="293"/>
      <c r="W6" s="293"/>
      <c r="X6" s="293"/>
      <c r="Y6" s="293"/>
      <c r="Z6" s="293"/>
      <c r="AA6" s="293"/>
      <c r="AB6" s="293"/>
      <c r="AC6" s="293"/>
      <c r="AD6" s="293"/>
      <c r="AE6" s="293"/>
      <c r="AF6" s="293"/>
      <c r="AG6" s="293"/>
      <c r="AH6" s="293"/>
      <c r="AI6" s="293"/>
      <c r="AJ6" s="293"/>
      <c r="AK6" s="293"/>
      <c r="AL6" s="293"/>
      <c r="AM6" s="293"/>
      <c r="AN6" s="293"/>
      <c r="AO6" s="293">
        <v>0</v>
      </c>
      <c r="AP6" s="293">
        <v>0</v>
      </c>
      <c r="AQ6" s="293">
        <v>0</v>
      </c>
      <c r="AR6" s="293">
        <v>0</v>
      </c>
      <c r="AS6" s="293">
        <v>0</v>
      </c>
      <c r="AT6" s="293">
        <v>0</v>
      </c>
      <c r="AU6" s="293">
        <v>0</v>
      </c>
      <c r="AV6" s="293">
        <v>0</v>
      </c>
      <c r="AW6" s="293">
        <v>0</v>
      </c>
      <c r="AX6" s="293">
        <v>0</v>
      </c>
      <c r="AY6" s="293">
        <v>0</v>
      </c>
      <c r="AZ6" s="293">
        <v>0</v>
      </c>
      <c r="BA6" s="293">
        <v>0</v>
      </c>
      <c r="BB6" s="293">
        <v>0</v>
      </c>
      <c r="BC6" s="293">
        <v>0</v>
      </c>
      <c r="BD6" s="293">
        <v>0</v>
      </c>
      <c r="BE6" s="293">
        <v>0</v>
      </c>
      <c r="BF6" s="293">
        <v>0</v>
      </c>
      <c r="BG6" s="293">
        <v>0</v>
      </c>
      <c r="BH6" s="293">
        <v>0</v>
      </c>
      <c r="BI6" s="293">
        <v>0</v>
      </c>
      <c r="BJ6" s="293">
        <v>0</v>
      </c>
      <c r="BK6" s="293">
        <v>0</v>
      </c>
      <c r="BL6" s="293">
        <v>0</v>
      </c>
      <c r="BM6" s="293">
        <v>0</v>
      </c>
      <c r="BN6" s="293">
        <v>0</v>
      </c>
      <c r="BO6" s="293">
        <v>0</v>
      </c>
      <c r="BP6" s="293">
        <v>0</v>
      </c>
      <c r="BQ6" s="293">
        <v>0</v>
      </c>
      <c r="BR6" s="293">
        <v>0</v>
      </c>
      <c r="BS6" s="293">
        <v>0</v>
      </c>
      <c r="BT6" s="293">
        <v>0</v>
      </c>
      <c r="BU6" s="293">
        <v>0</v>
      </c>
      <c r="BV6" s="293">
        <v>0</v>
      </c>
      <c r="BW6" s="293">
        <v>0</v>
      </c>
      <c r="BX6" s="293">
        <v>0</v>
      </c>
      <c r="BY6" s="293">
        <v>0</v>
      </c>
      <c r="BZ6" s="293">
        <v>0</v>
      </c>
      <c r="CA6" s="293">
        <v>0</v>
      </c>
      <c r="CB6" s="293">
        <v>0</v>
      </c>
      <c r="CC6" s="293">
        <v>0</v>
      </c>
      <c r="CD6" s="293">
        <v>0</v>
      </c>
      <c r="CE6" s="294">
        <v>0</v>
      </c>
      <c r="CF6" s="293">
        <v>0</v>
      </c>
      <c r="CG6" s="293">
        <v>0</v>
      </c>
      <c r="CH6" s="293">
        <v>0</v>
      </c>
      <c r="CI6" s="293">
        <v>0</v>
      </c>
      <c r="CJ6" s="293">
        <v>0</v>
      </c>
      <c r="CK6" s="293">
        <v>0</v>
      </c>
      <c r="CL6" s="293">
        <v>0</v>
      </c>
      <c r="CM6" s="293">
        <v>0</v>
      </c>
      <c r="CN6" s="293">
        <v>0</v>
      </c>
      <c r="CO6" s="293">
        <v>0</v>
      </c>
      <c r="CP6" s="295">
        <v>0</v>
      </c>
      <c r="CQ6" s="293">
        <v>0</v>
      </c>
      <c r="CR6" s="293">
        <v>0</v>
      </c>
      <c r="CS6" s="293">
        <v>0</v>
      </c>
      <c r="CT6" s="293">
        <v>0</v>
      </c>
      <c r="CU6" s="293">
        <v>0</v>
      </c>
      <c r="CV6" s="293">
        <v>0</v>
      </c>
      <c r="CW6" s="293">
        <v>0</v>
      </c>
      <c r="CX6" s="293">
        <v>0</v>
      </c>
      <c r="CY6" s="293">
        <v>0</v>
      </c>
      <c r="CZ6" s="293">
        <v>0</v>
      </c>
      <c r="DA6" s="293">
        <v>0</v>
      </c>
      <c r="DB6" s="1288">
        <v>0</v>
      </c>
      <c r="DC6" s="293">
        <v>0</v>
      </c>
      <c r="DD6" s="293">
        <v>0</v>
      </c>
      <c r="DE6" s="293">
        <v>0</v>
      </c>
      <c r="DF6" s="293">
        <v>0</v>
      </c>
      <c r="DG6" s="293">
        <v>0</v>
      </c>
      <c r="DH6" s="293">
        <v>0</v>
      </c>
      <c r="DI6" s="293">
        <v>0</v>
      </c>
      <c r="DJ6" s="293">
        <v>0</v>
      </c>
      <c r="DK6" s="293">
        <v>0</v>
      </c>
      <c r="DL6" s="293">
        <v>0</v>
      </c>
      <c r="DM6" s="293">
        <v>0</v>
      </c>
      <c r="DN6" s="295">
        <v>0</v>
      </c>
      <c r="DO6" s="293">
        <v>0</v>
      </c>
      <c r="DP6" s="293">
        <v>0</v>
      </c>
      <c r="DQ6" s="293">
        <v>0</v>
      </c>
      <c r="DR6" s="293">
        <v>0</v>
      </c>
      <c r="DS6" s="293">
        <v>0</v>
      </c>
      <c r="DT6" s="293">
        <v>0</v>
      </c>
      <c r="DU6" s="293">
        <v>0</v>
      </c>
      <c r="DV6" s="293">
        <v>0</v>
      </c>
      <c r="DW6" s="293">
        <v>0</v>
      </c>
      <c r="DX6" s="293">
        <v>0</v>
      </c>
      <c r="DY6" s="293">
        <v>0</v>
      </c>
      <c r="DZ6" s="295">
        <v>0</v>
      </c>
      <c r="EA6" s="293">
        <v>0</v>
      </c>
      <c r="EB6" s="293">
        <v>0</v>
      </c>
      <c r="EC6" s="293">
        <v>0</v>
      </c>
      <c r="ED6" s="293">
        <v>0</v>
      </c>
      <c r="EE6" s="293">
        <v>0</v>
      </c>
      <c r="EF6" s="293">
        <v>0</v>
      </c>
      <c r="EG6" s="293">
        <v>0</v>
      </c>
      <c r="EH6" s="293">
        <v>0</v>
      </c>
      <c r="EI6" s="293">
        <v>0</v>
      </c>
      <c r="EJ6" s="293">
        <v>0</v>
      </c>
      <c r="EK6" s="293">
        <v>0</v>
      </c>
      <c r="EL6" s="295">
        <v>0</v>
      </c>
      <c r="EM6" s="1080">
        <v>0</v>
      </c>
      <c r="EN6" s="1080">
        <v>0</v>
      </c>
      <c r="EO6" s="1080">
        <v>0</v>
      </c>
      <c r="EP6" s="1080">
        <v>0</v>
      </c>
      <c r="EQ6" s="1080">
        <v>0</v>
      </c>
      <c r="ER6" s="1080">
        <v>0</v>
      </c>
      <c r="ES6" s="1080">
        <v>0</v>
      </c>
      <c r="ET6" s="1080">
        <v>0</v>
      </c>
      <c r="EU6" s="1080">
        <v>0</v>
      </c>
      <c r="EV6" s="1080">
        <v>0</v>
      </c>
      <c r="EW6" s="1080">
        <v>0</v>
      </c>
      <c r="EX6" s="1340">
        <v>0</v>
      </c>
      <c r="EY6" s="1080"/>
      <c r="EZ6" s="1080"/>
      <c r="FA6" s="1080"/>
      <c r="FB6" s="1080"/>
      <c r="FC6" s="1080"/>
      <c r="FD6" s="1080"/>
      <c r="FE6" s="1080"/>
      <c r="FF6" s="1080"/>
      <c r="FG6" s="1080"/>
      <c r="FH6" s="1080"/>
      <c r="FI6" s="1080"/>
      <c r="FJ6" s="1340"/>
      <c r="FK6" s="1080"/>
      <c r="FL6" s="1080"/>
      <c r="FM6" s="1080"/>
      <c r="FN6" s="1080"/>
      <c r="FO6" s="1080"/>
      <c r="FP6" s="1080"/>
      <c r="FQ6" s="293">
        <v>0</v>
      </c>
      <c r="FR6" s="293">
        <v>0</v>
      </c>
      <c r="FS6" s="293">
        <v>0</v>
      </c>
      <c r="FT6" s="293">
        <v>0</v>
      </c>
      <c r="FU6" s="293">
        <v>0</v>
      </c>
      <c r="FV6" s="1288">
        <v>0</v>
      </c>
      <c r="FW6" s="293">
        <v>0</v>
      </c>
      <c r="FX6" s="293">
        <v>0</v>
      </c>
      <c r="FY6" s="293">
        <v>0</v>
      </c>
      <c r="FZ6" s="293">
        <v>0</v>
      </c>
      <c r="GA6" s="293">
        <v>0</v>
      </c>
      <c r="GB6" s="293">
        <v>0</v>
      </c>
      <c r="GC6" s="293">
        <v>0</v>
      </c>
      <c r="GD6" s="293">
        <v>0</v>
      </c>
      <c r="GE6" s="293">
        <v>0</v>
      </c>
      <c r="GF6" s="293">
        <v>0</v>
      </c>
      <c r="GG6" s="293">
        <v>0</v>
      </c>
      <c r="GH6" s="293">
        <v>0</v>
      </c>
      <c r="GI6" s="293"/>
      <c r="GJ6" s="293"/>
      <c r="GK6" s="293"/>
      <c r="GL6" s="293"/>
      <c r="GM6" s="293"/>
      <c r="GN6" s="293"/>
      <c r="GO6" s="293"/>
      <c r="GP6" s="293"/>
      <c r="GQ6" s="293"/>
      <c r="GR6" s="293"/>
      <c r="GS6" s="293"/>
      <c r="GT6" s="293"/>
      <c r="GU6" s="293"/>
      <c r="GV6" s="293"/>
      <c r="GW6" s="293"/>
      <c r="GX6" s="293"/>
      <c r="GY6" s="293"/>
      <c r="GZ6" s="293"/>
      <c r="HA6" s="293"/>
      <c r="HB6" s="293"/>
      <c r="HC6" s="293"/>
      <c r="HD6" s="293"/>
      <c r="HE6" s="293"/>
      <c r="HF6" s="293"/>
      <c r="HG6" s="293"/>
      <c r="HH6" s="293"/>
      <c r="HI6" s="293"/>
      <c r="HJ6" s="293"/>
      <c r="HK6" s="293"/>
      <c r="HL6" s="293"/>
      <c r="HM6" s="293"/>
      <c r="HN6" s="293"/>
      <c r="HO6" s="293"/>
      <c r="HP6" s="293"/>
      <c r="HQ6" s="293"/>
      <c r="HR6" s="293"/>
      <c r="HS6" s="293"/>
      <c r="HT6" s="293"/>
      <c r="HU6" s="293"/>
      <c r="HV6" s="293"/>
      <c r="HW6" s="293"/>
      <c r="HX6" s="293"/>
      <c r="HY6" s="293"/>
      <c r="IH6" s="279">
        <f t="shared" ref="IH6:IH11" si="0">+SUM(DC6:DH6)</f>
        <v>0</v>
      </c>
      <c r="II6" s="279">
        <f t="shared" ref="II6:II11" si="1">+SUM(DI6:DN6)</f>
        <v>0</v>
      </c>
      <c r="IJ6" s="279">
        <f t="shared" ref="IJ6:IJ24" si="2">+IH6+II6</f>
        <v>0</v>
      </c>
      <c r="IK6" s="279">
        <f t="shared" ref="IK6:IK11" si="3">SUM(DO6:DT6)</f>
        <v>0</v>
      </c>
      <c r="KT6" s="280"/>
    </row>
    <row r="7" spans="1:314" outlineLevel="1">
      <c r="B7" s="96" t="s">
        <v>338</v>
      </c>
      <c r="D7" s="296" t="s">
        <v>340</v>
      </c>
      <c r="E7" s="293"/>
      <c r="F7" s="293"/>
      <c r="G7" s="293"/>
      <c r="H7" s="293"/>
      <c r="I7" s="293"/>
      <c r="J7" s="293"/>
      <c r="K7" s="293"/>
      <c r="L7" s="293"/>
      <c r="M7" s="293"/>
      <c r="N7" s="293"/>
      <c r="O7" s="293"/>
      <c r="P7" s="293"/>
      <c r="Q7" s="293"/>
      <c r="R7" s="293"/>
      <c r="S7" s="293"/>
      <c r="T7" s="293"/>
      <c r="U7" s="293"/>
      <c r="V7" s="293"/>
      <c r="W7" s="293"/>
      <c r="X7" s="293"/>
      <c r="Y7" s="293"/>
      <c r="Z7" s="293"/>
      <c r="AA7" s="293"/>
      <c r="AB7" s="293"/>
      <c r="AC7" s="293"/>
      <c r="AD7" s="293"/>
      <c r="AE7" s="293"/>
      <c r="AF7" s="293"/>
      <c r="AG7" s="293"/>
      <c r="AH7" s="293"/>
      <c r="AI7" s="293"/>
      <c r="AJ7" s="293"/>
      <c r="AK7" s="293"/>
      <c r="AL7" s="293"/>
      <c r="AM7" s="293"/>
      <c r="AN7" s="293"/>
      <c r="AO7" s="293">
        <v>0</v>
      </c>
      <c r="AP7" s="293">
        <v>0</v>
      </c>
      <c r="AQ7" s="293">
        <v>0</v>
      </c>
      <c r="AR7" s="293">
        <v>0</v>
      </c>
      <c r="AS7" s="293">
        <v>0</v>
      </c>
      <c r="AT7" s="293">
        <v>0</v>
      </c>
      <c r="AU7" s="293">
        <v>0</v>
      </c>
      <c r="AV7" s="293">
        <v>0</v>
      </c>
      <c r="AW7" s="293">
        <v>0</v>
      </c>
      <c r="AX7" s="293">
        <v>0</v>
      </c>
      <c r="AY7" s="293">
        <v>0</v>
      </c>
      <c r="AZ7" s="293">
        <v>0</v>
      </c>
      <c r="BA7" s="293">
        <v>0</v>
      </c>
      <c r="BB7" s="293">
        <v>0</v>
      </c>
      <c r="BC7" s="293">
        <v>0</v>
      </c>
      <c r="BD7" s="293">
        <v>0</v>
      </c>
      <c r="BE7" s="293">
        <v>0</v>
      </c>
      <c r="BF7" s="293">
        <v>0</v>
      </c>
      <c r="BG7" s="293">
        <v>0</v>
      </c>
      <c r="BH7" s="293">
        <v>0</v>
      </c>
      <c r="BI7" s="293">
        <v>0</v>
      </c>
      <c r="BJ7" s="293">
        <v>0</v>
      </c>
      <c r="BK7" s="293">
        <v>0</v>
      </c>
      <c r="BL7" s="293">
        <v>0</v>
      </c>
      <c r="BM7" s="293">
        <v>0</v>
      </c>
      <c r="BN7" s="293">
        <v>0</v>
      </c>
      <c r="BO7" s="293">
        <v>0</v>
      </c>
      <c r="BP7" s="293">
        <v>0</v>
      </c>
      <c r="BQ7" s="293">
        <v>0</v>
      </c>
      <c r="BR7" s="293">
        <v>0</v>
      </c>
      <c r="BS7" s="293">
        <v>0</v>
      </c>
      <c r="BT7" s="293">
        <v>0</v>
      </c>
      <c r="BU7" s="293">
        <v>0</v>
      </c>
      <c r="BV7" s="293">
        <v>0</v>
      </c>
      <c r="BW7" s="293">
        <v>0</v>
      </c>
      <c r="BX7" s="293">
        <v>0</v>
      </c>
      <c r="BY7" s="293">
        <v>0</v>
      </c>
      <c r="BZ7" s="293">
        <v>0</v>
      </c>
      <c r="CA7" s="293">
        <v>0</v>
      </c>
      <c r="CB7" s="293">
        <v>0</v>
      </c>
      <c r="CC7" s="293">
        <v>0</v>
      </c>
      <c r="CD7" s="293">
        <v>0</v>
      </c>
      <c r="CE7" s="294">
        <v>0</v>
      </c>
      <c r="CF7" s="293">
        <v>0</v>
      </c>
      <c r="CG7" s="293">
        <v>0</v>
      </c>
      <c r="CH7" s="293">
        <v>0</v>
      </c>
      <c r="CI7" s="293">
        <v>0</v>
      </c>
      <c r="CJ7" s="293">
        <v>0</v>
      </c>
      <c r="CK7" s="293">
        <v>0</v>
      </c>
      <c r="CL7" s="293">
        <v>0</v>
      </c>
      <c r="CM7" s="293">
        <v>0</v>
      </c>
      <c r="CN7" s="293">
        <v>0</v>
      </c>
      <c r="CO7" s="293">
        <v>0</v>
      </c>
      <c r="CP7" s="295">
        <v>0</v>
      </c>
      <c r="CQ7" s="293">
        <v>0</v>
      </c>
      <c r="CR7" s="293">
        <v>0</v>
      </c>
      <c r="CS7" s="293">
        <v>0</v>
      </c>
      <c r="CT7" s="293">
        <v>0</v>
      </c>
      <c r="CU7" s="293">
        <v>0</v>
      </c>
      <c r="CV7" s="293">
        <v>0</v>
      </c>
      <c r="CW7" s="293">
        <v>0</v>
      </c>
      <c r="CX7" s="293">
        <v>0</v>
      </c>
      <c r="CY7" s="293">
        <v>0</v>
      </c>
      <c r="CZ7" s="293">
        <v>0</v>
      </c>
      <c r="DA7" s="293">
        <v>0</v>
      </c>
      <c r="DB7" s="1288">
        <v>0</v>
      </c>
      <c r="DC7" s="293">
        <v>0</v>
      </c>
      <c r="DD7" s="293">
        <v>0</v>
      </c>
      <c r="DE7" s="293">
        <v>0</v>
      </c>
      <c r="DF7" s="293">
        <v>0</v>
      </c>
      <c r="DG7" s="293">
        <v>0</v>
      </c>
      <c r="DH7" s="293">
        <v>0</v>
      </c>
      <c r="DI7" s="293">
        <v>0</v>
      </c>
      <c r="DJ7" s="293">
        <v>0</v>
      </c>
      <c r="DK7" s="293">
        <v>0</v>
      </c>
      <c r="DL7" s="293">
        <v>0</v>
      </c>
      <c r="DM7" s="293">
        <v>0</v>
      </c>
      <c r="DN7" s="295">
        <v>0</v>
      </c>
      <c r="DO7" s="293">
        <v>0</v>
      </c>
      <c r="DP7" s="293">
        <v>0</v>
      </c>
      <c r="DQ7" s="293">
        <v>0</v>
      </c>
      <c r="DR7" s="293">
        <v>0</v>
      </c>
      <c r="DS7" s="293">
        <v>0</v>
      </c>
      <c r="DT7" s="293">
        <v>0</v>
      </c>
      <c r="DU7" s="293">
        <v>0</v>
      </c>
      <c r="DV7" s="293">
        <v>0</v>
      </c>
      <c r="DW7" s="293">
        <v>0</v>
      </c>
      <c r="DX7" s="293">
        <v>0</v>
      </c>
      <c r="DY7" s="293">
        <v>0</v>
      </c>
      <c r="DZ7" s="295">
        <v>0</v>
      </c>
      <c r="EA7" s="293">
        <v>0</v>
      </c>
      <c r="EB7" s="293">
        <v>0</v>
      </c>
      <c r="EC7" s="293">
        <v>0</v>
      </c>
      <c r="ED7" s="293">
        <v>0</v>
      </c>
      <c r="EE7" s="293">
        <v>0</v>
      </c>
      <c r="EF7" s="293">
        <v>0</v>
      </c>
      <c r="EG7" s="293">
        <v>0</v>
      </c>
      <c r="EH7" s="293">
        <v>0</v>
      </c>
      <c r="EI7" s="293">
        <v>0</v>
      </c>
      <c r="EJ7" s="293">
        <v>0</v>
      </c>
      <c r="EK7" s="293">
        <v>0</v>
      </c>
      <c r="EL7" s="295">
        <v>0</v>
      </c>
      <c r="EM7" s="1080">
        <v>0</v>
      </c>
      <c r="EN7" s="1080">
        <v>0</v>
      </c>
      <c r="EO7" s="1080">
        <v>0</v>
      </c>
      <c r="EP7" s="1080">
        <v>0</v>
      </c>
      <c r="EQ7" s="1080">
        <v>0</v>
      </c>
      <c r="ER7" s="1080">
        <v>0</v>
      </c>
      <c r="ES7" s="1080">
        <v>0</v>
      </c>
      <c r="ET7" s="1080">
        <v>0</v>
      </c>
      <c r="EU7" s="1080">
        <v>0</v>
      </c>
      <c r="EV7" s="1080">
        <v>0</v>
      </c>
      <c r="EW7" s="1080">
        <v>0</v>
      </c>
      <c r="EX7" s="1340">
        <v>0</v>
      </c>
      <c r="EY7" s="1080"/>
      <c r="EZ7" s="1080"/>
      <c r="FA7" s="1080"/>
      <c r="FB7" s="1080"/>
      <c r="FC7" s="1080"/>
      <c r="FD7" s="1080"/>
      <c r="FE7" s="1080"/>
      <c r="FF7" s="1080"/>
      <c r="FG7" s="1080"/>
      <c r="FH7" s="1080"/>
      <c r="FI7" s="1080"/>
      <c r="FJ7" s="1340"/>
      <c r="FK7" s="1080"/>
      <c r="FL7" s="1080"/>
      <c r="FM7" s="1080"/>
      <c r="FN7" s="1080"/>
      <c r="FO7" s="1080"/>
      <c r="FP7" s="1080"/>
      <c r="FQ7" s="293">
        <v>0</v>
      </c>
      <c r="FR7" s="293">
        <v>0</v>
      </c>
      <c r="FS7" s="293">
        <v>0</v>
      </c>
      <c r="FT7" s="293">
        <v>0</v>
      </c>
      <c r="FU7" s="293">
        <v>0</v>
      </c>
      <c r="FV7" s="1288">
        <v>0</v>
      </c>
      <c r="FW7" s="293">
        <v>0</v>
      </c>
      <c r="FX7" s="293">
        <v>0</v>
      </c>
      <c r="FY7" s="293">
        <v>0</v>
      </c>
      <c r="FZ7" s="293">
        <v>0</v>
      </c>
      <c r="GA7" s="293">
        <v>0</v>
      </c>
      <c r="GB7" s="293">
        <v>11.40836094</v>
      </c>
      <c r="GC7" s="293">
        <v>0</v>
      </c>
      <c r="GD7" s="293">
        <v>0</v>
      </c>
      <c r="GE7" s="293">
        <v>0</v>
      </c>
      <c r="GF7" s="293">
        <v>0</v>
      </c>
      <c r="GG7" s="293">
        <v>0</v>
      </c>
      <c r="GH7" s="293">
        <v>0</v>
      </c>
      <c r="GI7" s="293"/>
      <c r="GJ7" s="293"/>
      <c r="GK7" s="293"/>
      <c r="GL7" s="293"/>
      <c r="GM7" s="293"/>
      <c r="GN7" s="293"/>
      <c r="GO7" s="293"/>
      <c r="GP7" s="293"/>
      <c r="GQ7" s="293"/>
      <c r="GR7" s="293"/>
      <c r="GS7" s="293"/>
      <c r="GT7" s="293"/>
      <c r="GU7" s="293"/>
      <c r="GV7" s="293"/>
      <c r="GW7" s="293"/>
      <c r="GX7" s="293"/>
      <c r="GY7" s="293"/>
      <c r="GZ7" s="293"/>
      <c r="HA7" s="293"/>
      <c r="HB7" s="293"/>
      <c r="HC7" s="293"/>
      <c r="HD7" s="293"/>
      <c r="HE7" s="293"/>
      <c r="HF7" s="293"/>
      <c r="HG7" s="293"/>
      <c r="HH7" s="293"/>
      <c r="HI7" s="293"/>
      <c r="HJ7" s="293"/>
      <c r="HK7" s="293"/>
      <c r="HL7" s="293"/>
      <c r="HM7" s="293"/>
      <c r="HN7" s="293"/>
      <c r="HO7" s="293"/>
      <c r="HP7" s="293"/>
      <c r="HQ7" s="293"/>
      <c r="HR7" s="293"/>
      <c r="HS7" s="293"/>
      <c r="HT7" s="293"/>
      <c r="HU7" s="293"/>
      <c r="HV7" s="293"/>
      <c r="HW7" s="293"/>
      <c r="HX7" s="293"/>
      <c r="HY7" s="293"/>
      <c r="IH7" s="279">
        <f t="shared" si="0"/>
        <v>0</v>
      </c>
      <c r="II7" s="279">
        <f t="shared" si="1"/>
        <v>0</v>
      </c>
      <c r="IJ7" s="279">
        <f t="shared" si="2"/>
        <v>0</v>
      </c>
      <c r="IK7" s="279">
        <f t="shared" si="3"/>
        <v>0</v>
      </c>
      <c r="KT7" s="280"/>
    </row>
    <row r="8" spans="1:314" outlineLevel="1">
      <c r="B8" s="96" t="s">
        <v>338</v>
      </c>
      <c r="D8" s="296" t="s">
        <v>341</v>
      </c>
      <c r="E8" s="293"/>
      <c r="F8" s="293"/>
      <c r="G8" s="293"/>
      <c r="H8" s="293"/>
      <c r="I8" s="293"/>
      <c r="J8" s="293"/>
      <c r="K8" s="293"/>
      <c r="L8" s="293"/>
      <c r="M8" s="293"/>
      <c r="N8" s="293"/>
      <c r="O8" s="293"/>
      <c r="P8" s="293"/>
      <c r="Q8" s="293"/>
      <c r="R8" s="293"/>
      <c r="S8" s="293"/>
      <c r="T8" s="293"/>
      <c r="U8" s="293"/>
      <c r="V8" s="293"/>
      <c r="W8" s="293"/>
      <c r="X8" s="293"/>
      <c r="Y8" s="293"/>
      <c r="Z8" s="293"/>
      <c r="AA8" s="293"/>
      <c r="AB8" s="293"/>
      <c r="AC8" s="293"/>
      <c r="AD8" s="293"/>
      <c r="AE8" s="293"/>
      <c r="AF8" s="293"/>
      <c r="AG8" s="293"/>
      <c r="AH8" s="293"/>
      <c r="AI8" s="293"/>
      <c r="AJ8" s="293"/>
      <c r="AK8" s="293"/>
      <c r="AL8" s="293"/>
      <c r="AM8" s="293"/>
      <c r="AN8" s="293"/>
      <c r="AO8" s="293">
        <v>0</v>
      </c>
      <c r="AP8" s="293">
        <v>2.9740689636877652E-2</v>
      </c>
      <c r="AQ8" s="293">
        <v>0</v>
      </c>
      <c r="AR8" s="293">
        <v>0</v>
      </c>
      <c r="AS8" s="293">
        <v>8.4186650112917996E-2</v>
      </c>
      <c r="AT8" s="293">
        <v>0</v>
      </c>
      <c r="AU8" s="293">
        <v>0</v>
      </c>
      <c r="AV8" s="293">
        <v>0</v>
      </c>
      <c r="AW8" s="293">
        <v>0.11930038683128376</v>
      </c>
      <c r="AX8" s="293">
        <v>0.52255340548611207</v>
      </c>
      <c r="AY8" s="293">
        <v>1.1813182578226604</v>
      </c>
      <c r="AZ8" s="293">
        <v>0</v>
      </c>
      <c r="BA8" s="293">
        <v>0.56326042561233791</v>
      </c>
      <c r="BB8" s="293">
        <v>2.2680170306444453E-2</v>
      </c>
      <c r="BC8" s="293">
        <v>0.53437029727907581</v>
      </c>
      <c r="BD8" s="293">
        <v>1.7418738991631579E-5</v>
      </c>
      <c r="BE8" s="293">
        <v>0.13447717156930089</v>
      </c>
      <c r="BF8" s="293">
        <v>0</v>
      </c>
      <c r="BG8" s="293">
        <v>0</v>
      </c>
      <c r="BH8" s="293">
        <v>0</v>
      </c>
      <c r="BI8" s="293">
        <v>0</v>
      </c>
      <c r="BJ8" s="293">
        <v>8.9378025273226108E-2</v>
      </c>
      <c r="BK8" s="293">
        <v>2.3522670214040837</v>
      </c>
      <c r="BL8" s="293">
        <v>0</v>
      </c>
      <c r="BM8" s="293">
        <v>2.1673534835526025E-2</v>
      </c>
      <c r="BN8" s="293">
        <v>0</v>
      </c>
      <c r="BO8" s="293">
        <v>0</v>
      </c>
      <c r="BP8" s="293">
        <v>0</v>
      </c>
      <c r="BQ8" s="293">
        <v>0</v>
      </c>
      <c r="BR8" s="293">
        <v>0</v>
      </c>
      <c r="BS8" s="293">
        <v>0</v>
      </c>
      <c r="BT8" s="293">
        <v>4.0670445740891549E-2</v>
      </c>
      <c r="BU8" s="293">
        <v>0</v>
      </c>
      <c r="BV8" s="293">
        <v>0</v>
      </c>
      <c r="BW8" s="293">
        <v>1.3898695798189852E-2</v>
      </c>
      <c r="BX8" s="293">
        <v>1.3947744714096788E-2</v>
      </c>
      <c r="BY8" s="293">
        <v>0</v>
      </c>
      <c r="BZ8" s="293">
        <v>0</v>
      </c>
      <c r="CA8" s="293">
        <v>0</v>
      </c>
      <c r="CB8" s="293">
        <v>0</v>
      </c>
      <c r="CC8" s="293">
        <v>0</v>
      </c>
      <c r="CD8" s="293">
        <v>0</v>
      </c>
      <c r="CE8" s="294">
        <v>0</v>
      </c>
      <c r="CF8" s="293">
        <v>0.56298837999999995</v>
      </c>
      <c r="CG8" s="293">
        <v>8.4175E-5</v>
      </c>
      <c r="CH8" s="293">
        <v>0.93616186599999995</v>
      </c>
      <c r="CI8" s="293">
        <v>0.44800588200000002</v>
      </c>
      <c r="CJ8" s="293">
        <v>1.3764000000000001E-5</v>
      </c>
      <c r="CK8" s="293">
        <v>5.4915919999999999E-6</v>
      </c>
      <c r="CL8" s="293">
        <v>-3.2321920999999997E-5</v>
      </c>
      <c r="CM8" s="293">
        <v>9.0229975828999998E-2</v>
      </c>
      <c r="CN8" s="293">
        <v>3.5773630234999999E-2</v>
      </c>
      <c r="CO8" s="293">
        <v>8.4102854673999999E-2</v>
      </c>
      <c r="CP8" s="295">
        <v>4.2000451626000003E-2</v>
      </c>
      <c r="CQ8" s="293">
        <v>1.4015645E-5</v>
      </c>
      <c r="CR8" s="293">
        <v>4.4606708092E-2</v>
      </c>
      <c r="CS8" s="293">
        <v>0</v>
      </c>
      <c r="CT8" s="293">
        <v>0.25544032971800001</v>
      </c>
      <c r="CU8" s="293">
        <v>0</v>
      </c>
      <c r="CV8" s="293">
        <v>0.96033684744000003</v>
      </c>
      <c r="CW8" s="293">
        <v>0.42288229479400002</v>
      </c>
      <c r="CX8" s="293">
        <v>1.6740283E-5</v>
      </c>
      <c r="CY8" s="293">
        <v>0</v>
      </c>
      <c r="CZ8" s="293">
        <v>4.6766319059E-2</v>
      </c>
      <c r="DA8" s="293">
        <v>0.81102829156499989</v>
      </c>
      <c r="DB8" s="1288">
        <v>2.0299747066739999</v>
      </c>
      <c r="DC8" s="293">
        <v>-0.16310685939899999</v>
      </c>
      <c r="DD8" s="293">
        <v>0</v>
      </c>
      <c r="DE8" s="293">
        <v>0</v>
      </c>
      <c r="DF8" s="293">
        <v>0.35212025449800005</v>
      </c>
      <c r="DG8" s="293">
        <v>0.351907104907</v>
      </c>
      <c r="DH8" s="293">
        <v>0.15880996319499993</v>
      </c>
      <c r="DI8" s="293">
        <v>0.30030992774100002</v>
      </c>
      <c r="DJ8" s="293">
        <v>0.17050575306400001</v>
      </c>
      <c r="DK8" s="293">
        <v>0.78136699936699994</v>
      </c>
      <c r="DL8" s="293">
        <v>0.22722779860299999</v>
      </c>
      <c r="DM8" s="293">
        <v>0.51361210264599999</v>
      </c>
      <c r="DN8" s="295">
        <v>4.3283532000000001E-5</v>
      </c>
      <c r="DO8" s="293">
        <v>3.7189919509999995E-2</v>
      </c>
      <c r="DP8" s="293">
        <v>4.4595464751E-2</v>
      </c>
      <c r="DQ8" s="293">
        <v>4.0865658273000004E-2</v>
      </c>
      <c r="DR8" s="293">
        <v>0.48902457197000004</v>
      </c>
      <c r="DS8" s="293">
        <v>0.57438125517700001</v>
      </c>
      <c r="DT8" s="293">
        <v>0.23245738453500001</v>
      </c>
      <c r="DU8" s="293">
        <v>8.0539746981999991E-2</v>
      </c>
      <c r="DV8" s="293">
        <v>-2.7181183000000001E-2</v>
      </c>
      <c r="DW8" s="293">
        <v>0.79337277396500006</v>
      </c>
      <c r="DX8" s="293">
        <v>0</v>
      </c>
      <c r="DY8" s="293">
        <v>5.8207344043999999E-2</v>
      </c>
      <c r="DZ8" s="295">
        <v>0.24950593558299999</v>
      </c>
      <c r="EA8" s="293">
        <v>1.0196884680539999</v>
      </c>
      <c r="EB8" s="293">
        <v>0</v>
      </c>
      <c r="EC8" s="293">
        <v>0</v>
      </c>
      <c r="ED8" s="293">
        <v>0</v>
      </c>
      <c r="EE8" s="293">
        <v>6.0070203394000002E-2</v>
      </c>
      <c r="EF8" s="293">
        <v>0.116146482072</v>
      </c>
      <c r="EG8" s="293">
        <v>0.68423161258700005</v>
      </c>
      <c r="EH8" s="293">
        <v>0.31273327011900004</v>
      </c>
      <c r="EI8" s="293">
        <v>0.40093740304500003</v>
      </c>
      <c r="EJ8" s="293">
        <v>1.8004320570510002</v>
      </c>
      <c r="EK8" s="293">
        <v>0.49099953851400002</v>
      </c>
      <c r="EL8" s="295">
        <v>0.63862996356500001</v>
      </c>
      <c r="EM8" s="1080">
        <v>0.72825133412499998</v>
      </c>
      <c r="EN8" s="1080">
        <v>0</v>
      </c>
      <c r="EO8" s="1080">
        <v>0.110825189947</v>
      </c>
      <c r="EP8" s="1080">
        <v>0.41299931610000001</v>
      </c>
      <c r="EQ8" s="1080">
        <v>0.92203036582200004</v>
      </c>
      <c r="ER8" s="1080">
        <v>1.084816097976</v>
      </c>
      <c r="ES8" s="1080">
        <v>0</v>
      </c>
      <c r="ET8" s="1080">
        <v>1.1552709666429999</v>
      </c>
      <c r="EU8" s="1080">
        <v>0.62394524085500003</v>
      </c>
      <c r="EV8" s="1080">
        <v>2.6132518482999998E-2</v>
      </c>
      <c r="EW8" s="1080">
        <v>2.4087729637719999</v>
      </c>
      <c r="EX8" s="1340">
        <v>3.8773516917319997</v>
      </c>
      <c r="EY8" s="1080"/>
      <c r="EZ8" s="1080"/>
      <c r="FA8" s="1080"/>
      <c r="FB8" s="1080"/>
      <c r="FC8" s="1080"/>
      <c r="FD8" s="1080"/>
      <c r="FE8" s="1080"/>
      <c r="FF8" s="1080"/>
      <c r="FG8" s="1080"/>
      <c r="FH8" s="1080"/>
      <c r="FI8" s="1080"/>
      <c r="FJ8" s="1340"/>
      <c r="FK8" s="1080">
        <v>0.36532984335300001</v>
      </c>
      <c r="FL8" s="1080" t="s">
        <v>782</v>
      </c>
      <c r="FM8" s="1080" t="s">
        <v>782</v>
      </c>
      <c r="FN8" s="1080">
        <v>5.8083137829000001E-2</v>
      </c>
      <c r="FO8" s="1080">
        <v>0.47244207650499997</v>
      </c>
      <c r="FP8" s="1080">
        <v>0.19043613252399999</v>
      </c>
      <c r="FQ8" s="293">
        <v>1.2943424177379999</v>
      </c>
      <c r="FR8" s="293">
        <v>0.12892857277399999</v>
      </c>
      <c r="FS8" s="293">
        <v>0</v>
      </c>
      <c r="FT8" s="293">
        <v>0</v>
      </c>
      <c r="FU8" s="293">
        <v>0</v>
      </c>
      <c r="FV8" s="1288">
        <v>0</v>
      </c>
      <c r="FW8" s="293">
        <v>0</v>
      </c>
      <c r="FX8" s="293">
        <v>0</v>
      </c>
      <c r="FY8" s="293">
        <v>0.41036296687400003</v>
      </c>
      <c r="FZ8" s="293">
        <v>0</v>
      </c>
      <c r="GA8" s="293">
        <v>0</v>
      </c>
      <c r="GB8" s="293">
        <v>0</v>
      </c>
      <c r="GC8" s="293">
        <v>0</v>
      </c>
      <c r="GD8" s="293">
        <v>0</v>
      </c>
      <c r="GE8" s="293">
        <v>0</v>
      </c>
      <c r="GF8" s="293">
        <v>0</v>
      </c>
      <c r="GG8" s="293">
        <v>0</v>
      </c>
      <c r="GH8" s="293">
        <v>0</v>
      </c>
      <c r="GI8" s="293"/>
      <c r="GJ8" s="293"/>
      <c r="GK8" s="293"/>
      <c r="GL8" s="293"/>
      <c r="GM8" s="293"/>
      <c r="GN8" s="293"/>
      <c r="GO8" s="293"/>
      <c r="GP8" s="293"/>
      <c r="GQ8" s="293"/>
      <c r="GR8" s="293"/>
      <c r="GS8" s="293"/>
      <c r="GT8" s="293"/>
      <c r="GU8" s="293"/>
      <c r="GV8" s="293"/>
      <c r="GW8" s="293"/>
      <c r="GX8" s="293"/>
      <c r="GY8" s="293"/>
      <c r="GZ8" s="293"/>
      <c r="HA8" s="293"/>
      <c r="HB8" s="293"/>
      <c r="HC8" s="293"/>
      <c r="HD8" s="293"/>
      <c r="HE8" s="293"/>
      <c r="HF8" s="293"/>
      <c r="HG8" s="293"/>
      <c r="HH8" s="293"/>
      <c r="HI8" s="293"/>
      <c r="HJ8" s="293"/>
      <c r="HK8" s="293"/>
      <c r="HL8" s="293"/>
      <c r="HM8" s="293"/>
      <c r="HN8" s="293"/>
      <c r="HO8" s="293"/>
      <c r="HP8" s="293"/>
      <c r="HQ8" s="293"/>
      <c r="HR8" s="293"/>
      <c r="HS8" s="293"/>
      <c r="HT8" s="293"/>
      <c r="HU8" s="293"/>
      <c r="HV8" s="293"/>
      <c r="HW8" s="293"/>
      <c r="HX8" s="293"/>
      <c r="HY8" s="293"/>
      <c r="IH8" s="279">
        <f t="shared" si="0"/>
        <v>0.69973046320099996</v>
      </c>
      <c r="II8" s="279">
        <f t="shared" si="1"/>
        <v>1.993065864953</v>
      </c>
      <c r="IJ8" s="279">
        <f t="shared" si="2"/>
        <v>2.6927963281539999</v>
      </c>
      <c r="IK8" s="279">
        <f t="shared" si="3"/>
        <v>1.4185142542160001</v>
      </c>
      <c r="KT8" s="280"/>
    </row>
    <row r="9" spans="1:314" outlineLevel="1">
      <c r="B9" s="96" t="s">
        <v>338</v>
      </c>
      <c r="D9" s="296" t="s">
        <v>342</v>
      </c>
      <c r="E9" s="293"/>
      <c r="F9" s="293"/>
      <c r="G9" s="293"/>
      <c r="H9" s="293"/>
      <c r="I9" s="293"/>
      <c r="J9" s="293"/>
      <c r="K9" s="293"/>
      <c r="L9" s="293"/>
      <c r="M9" s="293"/>
      <c r="N9" s="293"/>
      <c r="O9" s="293"/>
      <c r="P9" s="293"/>
      <c r="Q9" s="293"/>
      <c r="R9" s="293"/>
      <c r="S9" s="293"/>
      <c r="T9" s="293"/>
      <c r="U9" s="293"/>
      <c r="V9" s="293"/>
      <c r="W9" s="293"/>
      <c r="X9" s="293"/>
      <c r="Y9" s="293"/>
      <c r="Z9" s="293"/>
      <c r="AA9" s="293"/>
      <c r="AB9" s="293"/>
      <c r="AC9" s="293"/>
      <c r="AD9" s="293"/>
      <c r="AE9" s="293"/>
      <c r="AF9" s="293"/>
      <c r="AG9" s="293"/>
      <c r="AH9" s="293"/>
      <c r="AI9" s="293"/>
      <c r="AJ9" s="293"/>
      <c r="AK9" s="293"/>
      <c r="AL9" s="293"/>
      <c r="AM9" s="293"/>
      <c r="AN9" s="293"/>
      <c r="AO9" s="293">
        <v>0</v>
      </c>
      <c r="AP9" s="293">
        <v>0</v>
      </c>
      <c r="AQ9" s="293">
        <v>0</v>
      </c>
      <c r="AR9" s="293">
        <v>0</v>
      </c>
      <c r="AS9" s="293">
        <v>0</v>
      </c>
      <c r="AT9" s="293">
        <v>0</v>
      </c>
      <c r="AU9" s="293">
        <v>0</v>
      </c>
      <c r="AV9" s="293">
        <v>0</v>
      </c>
      <c r="AW9" s="293">
        <v>0</v>
      </c>
      <c r="AX9" s="293">
        <v>0</v>
      </c>
      <c r="AY9" s="293">
        <v>0</v>
      </c>
      <c r="AZ9" s="293">
        <v>0</v>
      </c>
      <c r="BA9" s="293">
        <v>0</v>
      </c>
      <c r="BB9" s="293">
        <v>0</v>
      </c>
      <c r="BC9" s="293">
        <v>0</v>
      </c>
      <c r="BD9" s="293">
        <v>0</v>
      </c>
      <c r="BE9" s="293">
        <v>0</v>
      </c>
      <c r="BF9" s="293">
        <v>0</v>
      </c>
      <c r="BG9" s="293">
        <v>0</v>
      </c>
      <c r="BH9" s="293">
        <v>0</v>
      </c>
      <c r="BI9" s="293">
        <v>0</v>
      </c>
      <c r="BJ9" s="293">
        <v>0</v>
      </c>
      <c r="BK9" s="293">
        <v>0</v>
      </c>
      <c r="BL9" s="293">
        <v>0</v>
      </c>
      <c r="BM9" s="293">
        <v>0</v>
      </c>
      <c r="BN9" s="293">
        <v>0</v>
      </c>
      <c r="BO9" s="293">
        <v>0</v>
      </c>
      <c r="BP9" s="293">
        <v>0</v>
      </c>
      <c r="BQ9" s="293">
        <v>0</v>
      </c>
      <c r="BR9" s="293">
        <v>0</v>
      </c>
      <c r="BS9" s="293">
        <v>0</v>
      </c>
      <c r="BT9" s="293">
        <v>0</v>
      </c>
      <c r="BU9" s="293">
        <v>0</v>
      </c>
      <c r="BV9" s="293">
        <v>0</v>
      </c>
      <c r="BW9" s="293">
        <v>0</v>
      </c>
      <c r="BX9" s="293">
        <v>0</v>
      </c>
      <c r="BY9" s="293">
        <v>0</v>
      </c>
      <c r="BZ9" s="293">
        <v>0</v>
      </c>
      <c r="CA9" s="293">
        <v>0</v>
      </c>
      <c r="CB9" s="293">
        <v>0</v>
      </c>
      <c r="CC9" s="293">
        <v>0</v>
      </c>
      <c r="CD9" s="293">
        <v>0</v>
      </c>
      <c r="CE9" s="294">
        <v>0</v>
      </c>
      <c r="CF9" s="293">
        <v>0</v>
      </c>
      <c r="CG9" s="293">
        <v>0</v>
      </c>
      <c r="CH9" s="293">
        <v>0</v>
      </c>
      <c r="CI9" s="293">
        <v>0</v>
      </c>
      <c r="CJ9" s="293">
        <v>0</v>
      </c>
      <c r="CK9" s="293">
        <v>0</v>
      </c>
      <c r="CL9" s="293">
        <v>0</v>
      </c>
      <c r="CM9" s="293">
        <v>0</v>
      </c>
      <c r="CN9" s="293">
        <v>0</v>
      </c>
      <c r="CO9" s="293">
        <v>0</v>
      </c>
      <c r="CP9" s="295">
        <v>0</v>
      </c>
      <c r="CQ9" s="293">
        <v>0</v>
      </c>
      <c r="CR9" s="293">
        <v>0</v>
      </c>
      <c r="CS9" s="293">
        <v>0</v>
      </c>
      <c r="CT9" s="293">
        <v>0</v>
      </c>
      <c r="CU9" s="293">
        <v>0</v>
      </c>
      <c r="CV9" s="293">
        <v>0</v>
      </c>
      <c r="CW9" s="293">
        <v>0</v>
      </c>
      <c r="CX9" s="293">
        <v>0</v>
      </c>
      <c r="CY9" s="293">
        <v>0</v>
      </c>
      <c r="CZ9" s="293">
        <v>0</v>
      </c>
      <c r="DA9" s="293">
        <v>0</v>
      </c>
      <c r="DB9" s="1288">
        <v>0</v>
      </c>
      <c r="DC9" s="293">
        <v>0</v>
      </c>
      <c r="DD9" s="293">
        <v>0</v>
      </c>
      <c r="DE9" s="293">
        <v>0</v>
      </c>
      <c r="DF9" s="293">
        <v>0</v>
      </c>
      <c r="DG9" s="293">
        <v>0</v>
      </c>
      <c r="DH9" s="293">
        <v>0</v>
      </c>
      <c r="DI9" s="293">
        <v>0</v>
      </c>
      <c r="DJ9" s="293">
        <v>0</v>
      </c>
      <c r="DK9" s="293">
        <v>0</v>
      </c>
      <c r="DL9" s="293">
        <v>0</v>
      </c>
      <c r="DM9" s="293">
        <v>0</v>
      </c>
      <c r="DN9" s="295">
        <v>0</v>
      </c>
      <c r="DO9" s="293">
        <v>0</v>
      </c>
      <c r="DP9" s="293">
        <v>0</v>
      </c>
      <c r="DQ9" s="293">
        <v>0</v>
      </c>
      <c r="DR9" s="293">
        <v>0</v>
      </c>
      <c r="DS9" s="293">
        <v>0</v>
      </c>
      <c r="DT9" s="293">
        <v>0</v>
      </c>
      <c r="DU9" s="293">
        <v>0</v>
      </c>
      <c r="DV9" s="293">
        <v>0</v>
      </c>
      <c r="DW9" s="293">
        <v>0</v>
      </c>
      <c r="DX9" s="293">
        <v>0</v>
      </c>
      <c r="DY9" s="293">
        <v>0</v>
      </c>
      <c r="DZ9" s="295">
        <v>0</v>
      </c>
      <c r="EA9" s="293">
        <v>0</v>
      </c>
      <c r="EB9" s="293">
        <v>0</v>
      </c>
      <c r="EC9" s="293">
        <v>0</v>
      </c>
      <c r="ED9" s="293">
        <v>0</v>
      </c>
      <c r="EE9" s="293">
        <v>0</v>
      </c>
      <c r="EF9" s="293">
        <v>0</v>
      </c>
      <c r="EG9" s="293">
        <v>0</v>
      </c>
      <c r="EH9" s="293">
        <v>0</v>
      </c>
      <c r="EI9" s="293">
        <v>0</v>
      </c>
      <c r="EJ9" s="293">
        <v>0</v>
      </c>
      <c r="EK9" s="293">
        <v>0</v>
      </c>
      <c r="EL9" s="295">
        <v>0</v>
      </c>
      <c r="EM9" s="1080">
        <v>0</v>
      </c>
      <c r="EN9" s="1080">
        <v>0</v>
      </c>
      <c r="EO9" s="1080">
        <v>0</v>
      </c>
      <c r="EP9" s="1080">
        <v>0</v>
      </c>
      <c r="EQ9" s="1080">
        <v>0</v>
      </c>
      <c r="ER9" s="1080">
        <v>0</v>
      </c>
      <c r="ES9" s="1080">
        <v>0</v>
      </c>
      <c r="ET9" s="1080">
        <v>0</v>
      </c>
      <c r="EU9" s="1080">
        <v>0</v>
      </c>
      <c r="EV9" s="1080">
        <v>0</v>
      </c>
      <c r="EW9" s="1080">
        <v>0</v>
      </c>
      <c r="EX9" s="1340">
        <v>0</v>
      </c>
      <c r="EY9" s="1080"/>
      <c r="EZ9" s="1080"/>
      <c r="FA9" s="1080"/>
      <c r="FB9" s="1080"/>
      <c r="FC9" s="1080"/>
      <c r="FD9" s="1080"/>
      <c r="FE9" s="1080"/>
      <c r="FF9" s="1080"/>
      <c r="FG9" s="1080"/>
      <c r="FH9" s="1080"/>
      <c r="FI9" s="1080"/>
      <c r="FJ9" s="1340"/>
      <c r="FK9" s="1080">
        <v>0</v>
      </c>
      <c r="FL9" s="1080">
        <v>0</v>
      </c>
      <c r="FM9" s="1080">
        <v>0</v>
      </c>
      <c r="FN9" s="1080">
        <v>0</v>
      </c>
      <c r="FO9" s="1080">
        <v>0</v>
      </c>
      <c r="FP9" s="1080">
        <v>0</v>
      </c>
      <c r="FQ9" s="293">
        <v>0</v>
      </c>
      <c r="FR9" s="293">
        <v>0</v>
      </c>
      <c r="FS9" s="293">
        <v>0</v>
      </c>
      <c r="FT9" s="293">
        <v>0</v>
      </c>
      <c r="FU9" s="293">
        <v>0</v>
      </c>
      <c r="FV9" s="1288">
        <v>0</v>
      </c>
      <c r="FW9" s="293">
        <v>0</v>
      </c>
      <c r="FX9" s="293">
        <v>0</v>
      </c>
      <c r="FY9" s="293">
        <v>0</v>
      </c>
      <c r="FZ9" s="293">
        <v>0</v>
      </c>
      <c r="GA9" s="293">
        <v>0</v>
      </c>
      <c r="GB9" s="293">
        <v>0</v>
      </c>
      <c r="GC9" s="293">
        <v>0</v>
      </c>
      <c r="GD9" s="293">
        <v>0</v>
      </c>
      <c r="GE9" s="293">
        <v>0</v>
      </c>
      <c r="GF9" s="293">
        <v>0</v>
      </c>
      <c r="GG9" s="293">
        <v>0</v>
      </c>
      <c r="GH9" s="293">
        <v>0</v>
      </c>
      <c r="GI9" s="293"/>
      <c r="GJ9" s="293"/>
      <c r="GK9" s="293"/>
      <c r="GL9" s="293"/>
      <c r="GM9" s="293"/>
      <c r="GN9" s="293"/>
      <c r="GO9" s="293"/>
      <c r="GP9" s="293"/>
      <c r="GQ9" s="293"/>
      <c r="GR9" s="293"/>
      <c r="GS9" s="293"/>
      <c r="GT9" s="293"/>
      <c r="GU9" s="293"/>
      <c r="GV9" s="293"/>
      <c r="GW9" s="293"/>
      <c r="GX9" s="293"/>
      <c r="GY9" s="293"/>
      <c r="GZ9" s="293"/>
      <c r="HA9" s="293"/>
      <c r="HB9" s="293"/>
      <c r="HC9" s="293"/>
      <c r="HD9" s="293"/>
      <c r="HE9" s="293"/>
      <c r="HF9" s="293"/>
      <c r="HG9" s="293"/>
      <c r="HH9" s="293"/>
      <c r="HI9" s="293"/>
      <c r="HJ9" s="293"/>
      <c r="HK9" s="293"/>
      <c r="HL9" s="293"/>
      <c r="HM9" s="293"/>
      <c r="HN9" s="293"/>
      <c r="HO9" s="293"/>
      <c r="HP9" s="293"/>
      <c r="HQ9" s="293"/>
      <c r="HR9" s="293"/>
      <c r="HS9" s="293"/>
      <c r="HT9" s="293"/>
      <c r="HU9" s="293"/>
      <c r="HV9" s="293"/>
      <c r="HW9" s="293"/>
      <c r="HX9" s="293"/>
      <c r="HY9" s="293"/>
      <c r="IH9" s="279">
        <f t="shared" si="0"/>
        <v>0</v>
      </c>
      <c r="II9" s="279">
        <f t="shared" si="1"/>
        <v>0</v>
      </c>
      <c r="IJ9" s="279">
        <f t="shared" si="2"/>
        <v>0</v>
      </c>
      <c r="IK9" s="279">
        <f t="shared" si="3"/>
        <v>0</v>
      </c>
      <c r="KT9" s="280"/>
    </row>
    <row r="10" spans="1:314" outlineLevel="1">
      <c r="B10" s="96" t="s">
        <v>338</v>
      </c>
      <c r="D10" s="296" t="s">
        <v>343</v>
      </c>
      <c r="E10" s="293"/>
      <c r="F10" s="293"/>
      <c r="G10" s="293"/>
      <c r="H10" s="293"/>
      <c r="I10" s="293"/>
      <c r="J10" s="293"/>
      <c r="K10" s="293"/>
      <c r="L10" s="293"/>
      <c r="M10" s="293"/>
      <c r="N10" s="293"/>
      <c r="O10" s="293"/>
      <c r="P10" s="293"/>
      <c r="Q10" s="293"/>
      <c r="R10" s="293"/>
      <c r="S10" s="293"/>
      <c r="T10" s="293"/>
      <c r="U10" s="293"/>
      <c r="V10" s="293"/>
      <c r="W10" s="293"/>
      <c r="X10" s="293"/>
      <c r="Y10" s="293"/>
      <c r="Z10" s="293"/>
      <c r="AA10" s="293"/>
      <c r="AB10" s="293"/>
      <c r="AC10" s="293"/>
      <c r="AD10" s="293"/>
      <c r="AE10" s="293"/>
      <c r="AF10" s="293"/>
      <c r="AG10" s="293"/>
      <c r="AH10" s="293"/>
      <c r="AI10" s="293"/>
      <c r="AJ10" s="293"/>
      <c r="AK10" s="293"/>
      <c r="AL10" s="293"/>
      <c r="AM10" s="293"/>
      <c r="AN10" s="293"/>
      <c r="AO10" s="293">
        <v>0</v>
      </c>
      <c r="AP10" s="293">
        <v>0</v>
      </c>
      <c r="AQ10" s="293">
        <v>0</v>
      </c>
      <c r="AR10" s="293">
        <v>2.2226683290031577</v>
      </c>
      <c r="AS10" s="293">
        <v>0</v>
      </c>
      <c r="AT10" s="293">
        <v>0</v>
      </c>
      <c r="AU10" s="293">
        <v>0</v>
      </c>
      <c r="AV10" s="293">
        <v>0</v>
      </c>
      <c r="AW10" s="293">
        <v>0</v>
      </c>
      <c r="AX10" s="293">
        <v>0</v>
      </c>
      <c r="AY10" s="293">
        <v>0</v>
      </c>
      <c r="AZ10" s="293">
        <v>0</v>
      </c>
      <c r="BA10" s="293">
        <v>1.2309653035512178</v>
      </c>
      <c r="BB10" s="293">
        <v>0</v>
      </c>
      <c r="BC10" s="293">
        <v>0.98233865193655889</v>
      </c>
      <c r="BD10" s="293">
        <v>0</v>
      </c>
      <c r="BE10" s="293">
        <v>1.174021434962645</v>
      </c>
      <c r="BF10" s="293">
        <v>0</v>
      </c>
      <c r="BG10" s="293">
        <v>0</v>
      </c>
      <c r="BH10" s="293">
        <v>0</v>
      </c>
      <c r="BI10" s="293">
        <v>0</v>
      </c>
      <c r="BJ10" s="293">
        <v>0.33261078512877973</v>
      </c>
      <c r="BK10" s="293">
        <v>0.48125896321101042</v>
      </c>
      <c r="BL10" s="293">
        <v>0</v>
      </c>
      <c r="BM10" s="293">
        <v>0</v>
      </c>
      <c r="BN10" s="293">
        <v>0.44777277293120821</v>
      </c>
      <c r="BO10" s="293">
        <v>0</v>
      </c>
      <c r="BP10" s="293">
        <v>0</v>
      </c>
      <c r="BQ10" s="293">
        <v>0.93852163273747502</v>
      </c>
      <c r="BR10" s="293">
        <v>0</v>
      </c>
      <c r="BS10" s="293">
        <v>0</v>
      </c>
      <c r="BT10" s="293">
        <v>0</v>
      </c>
      <c r="BU10" s="293">
        <v>0</v>
      </c>
      <c r="BV10" s="293">
        <v>0</v>
      </c>
      <c r="BW10" s="293">
        <v>0</v>
      </c>
      <c r="BX10" s="293">
        <v>0</v>
      </c>
      <c r="BY10" s="293">
        <v>0</v>
      </c>
      <c r="BZ10" s="293">
        <v>0</v>
      </c>
      <c r="CA10" s="293">
        <v>0.977959668</v>
      </c>
      <c r="CB10" s="293">
        <v>0</v>
      </c>
      <c r="CC10" s="293">
        <v>0</v>
      </c>
      <c r="CD10" s="293">
        <v>14.594761006000001</v>
      </c>
      <c r="CE10" s="294">
        <v>0</v>
      </c>
      <c r="CF10" s="293">
        <v>0</v>
      </c>
      <c r="CG10" s="293">
        <v>0</v>
      </c>
      <c r="CH10" s="293">
        <v>0</v>
      </c>
      <c r="CI10" s="293">
        <v>0</v>
      </c>
      <c r="CJ10" s="293">
        <v>0</v>
      </c>
      <c r="CK10" s="293">
        <v>0</v>
      </c>
      <c r="CL10" s="293">
        <v>0</v>
      </c>
      <c r="CM10" s="293">
        <v>0</v>
      </c>
      <c r="CN10" s="293">
        <v>0</v>
      </c>
      <c r="CO10" s="293">
        <v>1.280768916105</v>
      </c>
      <c r="CP10" s="295">
        <v>3.2802914484340002</v>
      </c>
      <c r="CQ10" s="293">
        <v>0</v>
      </c>
      <c r="CR10" s="293">
        <v>0</v>
      </c>
      <c r="CS10" s="293">
        <v>3.3668679032769999</v>
      </c>
      <c r="CT10" s="293">
        <v>4.08817388799</v>
      </c>
      <c r="CU10" s="293">
        <v>8.5026660188979992</v>
      </c>
      <c r="CV10" s="293">
        <v>0</v>
      </c>
      <c r="CW10" s="293">
        <v>1.9127015256429998</v>
      </c>
      <c r="CX10" s="293">
        <v>0</v>
      </c>
      <c r="CY10" s="293">
        <v>2.4656669982760002</v>
      </c>
      <c r="CZ10" s="293">
        <v>0</v>
      </c>
      <c r="DA10" s="293">
        <v>0</v>
      </c>
      <c r="DB10" s="1288">
        <v>5.1808096117689999</v>
      </c>
      <c r="DC10" s="293">
        <v>0</v>
      </c>
      <c r="DD10" s="293">
        <v>1.8171333582579998</v>
      </c>
      <c r="DE10" s="293">
        <v>1.463987930631</v>
      </c>
      <c r="DF10" s="293">
        <v>0</v>
      </c>
      <c r="DG10" s="293">
        <v>0</v>
      </c>
      <c r="DH10" s="293">
        <v>13.921256179095</v>
      </c>
      <c r="DI10" s="293">
        <v>2.0732012026020001</v>
      </c>
      <c r="DJ10" s="293">
        <v>0</v>
      </c>
      <c r="DK10" s="293">
        <v>0</v>
      </c>
      <c r="DL10" s="293">
        <v>0</v>
      </c>
      <c r="DM10" s="293">
        <v>0</v>
      </c>
      <c r="DN10" s="295">
        <v>0</v>
      </c>
      <c r="DO10" s="293">
        <v>0</v>
      </c>
      <c r="DP10" s="293">
        <v>3.6336942879860001</v>
      </c>
      <c r="DQ10" s="293">
        <v>0</v>
      </c>
      <c r="DR10" s="293">
        <v>0</v>
      </c>
      <c r="DS10" s="293">
        <v>0</v>
      </c>
      <c r="DT10" s="293">
        <v>12.528171557055</v>
      </c>
      <c r="DU10" s="293">
        <v>0</v>
      </c>
      <c r="DV10" s="293">
        <v>0</v>
      </c>
      <c r="DW10" s="293">
        <v>0</v>
      </c>
      <c r="DX10" s="293">
        <v>0</v>
      </c>
      <c r="DY10" s="293">
        <v>0</v>
      </c>
      <c r="DZ10" s="295">
        <v>4.7183107182110007</v>
      </c>
      <c r="EA10" s="293">
        <v>0</v>
      </c>
      <c r="EB10" s="293">
        <v>9.4682369263080002</v>
      </c>
      <c r="EC10" s="293">
        <v>0</v>
      </c>
      <c r="ED10" s="293">
        <v>3.4071670850569999</v>
      </c>
      <c r="EE10" s="293">
        <v>0</v>
      </c>
      <c r="EF10" s="293">
        <v>1.8340214268269999</v>
      </c>
      <c r="EG10" s="293">
        <v>0</v>
      </c>
      <c r="EH10" s="293">
        <v>0</v>
      </c>
      <c r="EI10" s="293">
        <v>0</v>
      </c>
      <c r="EJ10" s="293">
        <v>0</v>
      </c>
      <c r="EK10" s="293">
        <v>3.7690874845110001</v>
      </c>
      <c r="EL10" s="295">
        <v>0</v>
      </c>
      <c r="EM10" s="1080">
        <v>0</v>
      </c>
      <c r="EN10" s="1080">
        <v>0</v>
      </c>
      <c r="EO10" s="1080">
        <v>0</v>
      </c>
      <c r="EP10" s="1080">
        <v>0</v>
      </c>
      <c r="EQ10" s="1080">
        <v>0</v>
      </c>
      <c r="ER10" s="1080">
        <v>5.5544946251330005</v>
      </c>
      <c r="ES10" s="1080">
        <v>0</v>
      </c>
      <c r="ET10" s="1080">
        <v>0</v>
      </c>
      <c r="EU10" s="1080">
        <v>0</v>
      </c>
      <c r="EV10" s="1080">
        <v>0</v>
      </c>
      <c r="EW10" s="1080">
        <v>0</v>
      </c>
      <c r="EX10" s="1340">
        <v>0</v>
      </c>
      <c r="EY10" s="1080"/>
      <c r="EZ10" s="1080"/>
      <c r="FA10" s="1080"/>
      <c r="FB10" s="1080"/>
      <c r="FC10" s="1080"/>
      <c r="FD10" s="1080"/>
      <c r="FE10" s="1080"/>
      <c r="FF10" s="1080"/>
      <c r="FG10" s="1080"/>
      <c r="FH10" s="1080"/>
      <c r="FI10" s="1080"/>
      <c r="FJ10" s="1340"/>
      <c r="FK10" s="1080">
        <v>12.915484955155002</v>
      </c>
      <c r="FL10" s="1080">
        <v>14.756165214121001</v>
      </c>
      <c r="FM10" s="1080">
        <v>3.0260920412250001</v>
      </c>
      <c r="FN10" s="1080" t="s">
        <v>782</v>
      </c>
      <c r="FO10" s="1080">
        <v>8.0285703957619994</v>
      </c>
      <c r="FP10" s="1080">
        <v>1.9463766624579999</v>
      </c>
      <c r="FQ10" s="293">
        <v>0</v>
      </c>
      <c r="FR10" s="293">
        <v>1.9587643958610002</v>
      </c>
      <c r="FS10" s="293">
        <v>0</v>
      </c>
      <c r="FT10" s="293">
        <v>6.5069289194560005</v>
      </c>
      <c r="FU10" s="293">
        <v>0</v>
      </c>
      <c r="FV10" s="1288">
        <v>7.2876695831400005</v>
      </c>
      <c r="FW10" s="293">
        <v>13.288919354778001</v>
      </c>
      <c r="FX10" s="293">
        <v>0</v>
      </c>
      <c r="FY10" s="293">
        <v>0</v>
      </c>
      <c r="FZ10" s="293">
        <v>46.571288186700997</v>
      </c>
      <c r="GA10" s="293">
        <v>2.6740687166220001</v>
      </c>
      <c r="GB10" s="293">
        <v>0</v>
      </c>
      <c r="GC10" s="293">
        <v>0</v>
      </c>
      <c r="GD10" s="293">
        <v>10.444376883524999</v>
      </c>
      <c r="GE10" s="293">
        <v>0</v>
      </c>
      <c r="GF10" s="293">
        <v>0</v>
      </c>
      <c r="GG10" s="293">
        <v>4.9606885363459998</v>
      </c>
      <c r="GH10" s="293">
        <v>4.0121737968830002</v>
      </c>
      <c r="GI10" s="293"/>
      <c r="GJ10" s="293"/>
      <c r="GK10" s="293"/>
      <c r="GL10" s="293"/>
      <c r="GM10" s="293"/>
      <c r="GN10" s="293"/>
      <c r="GO10" s="293"/>
      <c r="GP10" s="293"/>
      <c r="GQ10" s="293"/>
      <c r="GR10" s="293"/>
      <c r="GS10" s="293"/>
      <c r="GT10" s="293"/>
      <c r="GU10" s="293"/>
      <c r="GV10" s="293"/>
      <c r="GW10" s="293"/>
      <c r="GX10" s="293"/>
      <c r="GY10" s="293"/>
      <c r="GZ10" s="293"/>
      <c r="HA10" s="293"/>
      <c r="HB10" s="293"/>
      <c r="HC10" s="293"/>
      <c r="HD10" s="293"/>
      <c r="HE10" s="293"/>
      <c r="HF10" s="293"/>
      <c r="HG10" s="293"/>
      <c r="HH10" s="293"/>
      <c r="HI10" s="293"/>
      <c r="HJ10" s="293"/>
      <c r="HK10" s="293"/>
      <c r="HL10" s="293"/>
      <c r="HM10" s="293"/>
      <c r="HN10" s="293"/>
      <c r="HO10" s="293"/>
      <c r="HP10" s="293"/>
      <c r="HQ10" s="293"/>
      <c r="HR10" s="293"/>
      <c r="HS10" s="293"/>
      <c r="HT10" s="293"/>
      <c r="HU10" s="293"/>
      <c r="HV10" s="293"/>
      <c r="HW10" s="293"/>
      <c r="HX10" s="293"/>
      <c r="HY10" s="293"/>
      <c r="IH10" s="279">
        <f t="shared" si="0"/>
        <v>17.202377467984</v>
      </c>
      <c r="II10" s="279">
        <f t="shared" si="1"/>
        <v>2.0732012026020001</v>
      </c>
      <c r="IJ10" s="279">
        <f t="shared" si="2"/>
        <v>19.275578670586</v>
      </c>
      <c r="IK10" s="279">
        <f t="shared" si="3"/>
        <v>16.161865845041</v>
      </c>
      <c r="KT10" s="280"/>
    </row>
    <row r="11" spans="1:314" outlineLevel="1">
      <c r="B11" s="96" t="s">
        <v>338</v>
      </c>
      <c r="D11" s="296" t="s">
        <v>344</v>
      </c>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c r="AL11" s="293"/>
      <c r="AM11" s="293"/>
      <c r="AN11" s="293"/>
      <c r="AO11" s="293">
        <v>0</v>
      </c>
      <c r="AP11" s="293">
        <v>0</v>
      </c>
      <c r="AQ11" s="293">
        <v>0</v>
      </c>
      <c r="AR11" s="293">
        <v>0</v>
      </c>
      <c r="AS11" s="293">
        <v>0</v>
      </c>
      <c r="AT11" s="293">
        <v>0.975064889792013</v>
      </c>
      <c r="AU11" s="293">
        <v>0</v>
      </c>
      <c r="AV11" s="293">
        <v>0</v>
      </c>
      <c r="AW11" s="293">
        <v>0</v>
      </c>
      <c r="AX11" s="293">
        <v>0</v>
      </c>
      <c r="AY11" s="293">
        <v>0.49465738445053337</v>
      </c>
      <c r="AZ11" s="293">
        <v>0</v>
      </c>
      <c r="BA11" s="293">
        <v>0</v>
      </c>
      <c r="BB11" s="293">
        <v>0</v>
      </c>
      <c r="BC11" s="293">
        <v>2.8168632996986274</v>
      </c>
      <c r="BD11" s="293">
        <v>0.2525325607951876</v>
      </c>
      <c r="BE11" s="293">
        <v>0</v>
      </c>
      <c r="BF11" s="293">
        <v>0.99795361821098594</v>
      </c>
      <c r="BG11" s="293">
        <v>0</v>
      </c>
      <c r="BH11" s="293">
        <v>8.7500169392668008E-3</v>
      </c>
      <c r="BI11" s="293">
        <v>0</v>
      </c>
      <c r="BJ11" s="293">
        <v>0</v>
      </c>
      <c r="BK11" s="293">
        <v>1.3323079044657018</v>
      </c>
      <c r="BL11" s="293">
        <v>0.68605026006983194</v>
      </c>
      <c r="BM11" s="293">
        <v>5.6241161977459452E-2</v>
      </c>
      <c r="BN11" s="293">
        <v>1.3466506110011838</v>
      </c>
      <c r="BO11" s="293">
        <v>1.43845327585016</v>
      </c>
      <c r="BP11" s="293">
        <v>0.45825206557696302</v>
      </c>
      <c r="BQ11" s="293">
        <v>1.9919466026667405</v>
      </c>
      <c r="BR11" s="293">
        <v>1.3323548334740791</v>
      </c>
      <c r="BS11" s="293">
        <v>0.64607868565013393</v>
      </c>
      <c r="BT11" s="293">
        <v>0</v>
      </c>
      <c r="BU11" s="293">
        <v>1.2933291113550387</v>
      </c>
      <c r="BV11" s="293">
        <v>0.67435441796462237</v>
      </c>
      <c r="BW11" s="293">
        <v>1.0223331291715785</v>
      </c>
      <c r="BX11" s="293">
        <v>2.1452337991113586</v>
      </c>
      <c r="BY11" s="293">
        <v>1.013354579</v>
      </c>
      <c r="BZ11" s="293">
        <v>1.06065483</v>
      </c>
      <c r="CA11" s="293">
        <v>1.3027897129999999</v>
      </c>
      <c r="CB11" s="293">
        <v>1.60670001</v>
      </c>
      <c r="CC11" s="293">
        <v>1.5664002589999999</v>
      </c>
      <c r="CD11" s="293">
        <v>0.14311622700000001</v>
      </c>
      <c r="CE11" s="294">
        <v>1.2964227129999999</v>
      </c>
      <c r="CF11" s="293">
        <v>0.64066841799999996</v>
      </c>
      <c r="CG11" s="293">
        <v>0.56003700199999995</v>
      </c>
      <c r="CH11" s="293">
        <v>1.8017629399999999</v>
      </c>
      <c r="CI11" s="293">
        <v>0.376599401</v>
      </c>
      <c r="CJ11" s="293">
        <v>1.7032702689999999</v>
      </c>
      <c r="CK11" s="293">
        <v>0.74655730596899994</v>
      </c>
      <c r="CL11" s="293">
        <v>0.40116545643699997</v>
      </c>
      <c r="CM11" s="293">
        <v>0.59553747507700006</v>
      </c>
      <c r="CN11" s="293">
        <v>0.95418582930200002</v>
      </c>
      <c r="CO11" s="293">
        <v>0.472726470181</v>
      </c>
      <c r="CP11" s="295">
        <v>1.5391950461E-2</v>
      </c>
      <c r="CQ11" s="293">
        <v>7.0812332867999997E-2</v>
      </c>
      <c r="CR11" s="293">
        <v>9.5260513448999995E-2</v>
      </c>
      <c r="CS11" s="293">
        <v>1.0930170474779999</v>
      </c>
      <c r="CT11" s="293">
        <v>4.8415305819999997E-2</v>
      </c>
      <c r="CU11" s="293">
        <v>0</v>
      </c>
      <c r="CV11" s="293">
        <v>0</v>
      </c>
      <c r="CW11" s="293">
        <v>1.1693384690399999</v>
      </c>
      <c r="CX11" s="293">
        <v>0</v>
      </c>
      <c r="CY11" s="293">
        <v>1.1379639478250001</v>
      </c>
      <c r="CZ11" s="293">
        <v>0</v>
      </c>
      <c r="DA11" s="293">
        <v>0</v>
      </c>
      <c r="DB11" s="1288">
        <v>0</v>
      </c>
      <c r="DC11" s="293">
        <v>0</v>
      </c>
      <c r="DD11" s="293">
        <v>0</v>
      </c>
      <c r="DE11" s="293">
        <v>0</v>
      </c>
      <c r="DF11" s="293">
        <v>0</v>
      </c>
      <c r="DG11" s="293">
        <v>0</v>
      </c>
      <c r="DH11" s="293">
        <v>0</v>
      </c>
      <c r="DI11" s="293">
        <v>0</v>
      </c>
      <c r="DJ11" s="293">
        <v>0</v>
      </c>
      <c r="DK11" s="293">
        <v>0.50194844523400006</v>
      </c>
      <c r="DL11" s="293">
        <v>0</v>
      </c>
      <c r="DM11" s="293">
        <v>0</v>
      </c>
      <c r="DN11" s="295">
        <v>0</v>
      </c>
      <c r="DO11" s="293">
        <v>0</v>
      </c>
      <c r="DP11" s="293">
        <v>0</v>
      </c>
      <c r="DQ11" s="293">
        <v>0.87141989385200003</v>
      </c>
      <c r="DR11" s="293">
        <v>0</v>
      </c>
      <c r="DS11" s="293">
        <v>0</v>
      </c>
      <c r="DT11" s="293">
        <v>0.53593706462199997</v>
      </c>
      <c r="DU11" s="293">
        <v>1.104247869792</v>
      </c>
      <c r="DV11" s="293">
        <v>6.7336388539000008E-2</v>
      </c>
      <c r="DW11" s="293">
        <v>1.2589329087019998</v>
      </c>
      <c r="DX11" s="293">
        <v>0</v>
      </c>
      <c r="DY11" s="293">
        <v>0</v>
      </c>
      <c r="DZ11" s="295">
        <v>0</v>
      </c>
      <c r="EA11" s="293">
        <v>0</v>
      </c>
      <c r="EB11" s="293">
        <v>0</v>
      </c>
      <c r="EC11" s="293">
        <v>0</v>
      </c>
      <c r="ED11" s="293">
        <v>0</v>
      </c>
      <c r="EE11" s="293">
        <v>0</v>
      </c>
      <c r="EF11" s="293">
        <v>0</v>
      </c>
      <c r="EG11" s="293">
        <v>5.2264396314699999</v>
      </c>
      <c r="EH11" s="293">
        <v>0</v>
      </c>
      <c r="EI11" s="293">
        <v>0</v>
      </c>
      <c r="EJ11" s="293">
        <v>0</v>
      </c>
      <c r="EK11" s="293">
        <v>0</v>
      </c>
      <c r="EL11" s="295">
        <v>0</v>
      </c>
      <c r="EM11" s="1080">
        <v>0</v>
      </c>
      <c r="EN11" s="1080">
        <v>0</v>
      </c>
      <c r="EO11" s="1080">
        <v>0</v>
      </c>
      <c r="EP11" s="1080">
        <v>0</v>
      </c>
      <c r="EQ11" s="1080">
        <v>0</v>
      </c>
      <c r="ER11" s="1080">
        <v>0</v>
      </c>
      <c r="ES11" s="1080">
        <v>0</v>
      </c>
      <c r="ET11" s="1080">
        <v>1.0757566319579999</v>
      </c>
      <c r="EU11" s="1080">
        <v>0.79136726268299995</v>
      </c>
      <c r="EV11" s="1080">
        <v>0</v>
      </c>
      <c r="EW11" s="1080">
        <v>0.149901381168</v>
      </c>
      <c r="EX11" s="1340">
        <v>0</v>
      </c>
      <c r="EY11" s="1080"/>
      <c r="EZ11" s="1080"/>
      <c r="FA11" s="1080"/>
      <c r="FB11" s="1080"/>
      <c r="FC11" s="1080"/>
      <c r="FD11" s="1080"/>
      <c r="FE11" s="1080"/>
      <c r="FF11" s="1080"/>
      <c r="FG11" s="1080"/>
      <c r="FH11" s="1080"/>
      <c r="FI11" s="1080"/>
      <c r="FJ11" s="1340"/>
      <c r="FK11" s="1080">
        <v>8.1193965724000006E-2</v>
      </c>
      <c r="FL11" s="1080" t="s">
        <v>782</v>
      </c>
      <c r="FM11" s="1080" t="s">
        <v>782</v>
      </c>
      <c r="FN11" s="1080" t="s">
        <v>782</v>
      </c>
      <c r="FO11" s="1080" t="s">
        <v>782</v>
      </c>
      <c r="FP11" s="1080">
        <v>0.60666125477699995</v>
      </c>
      <c r="FQ11" s="293">
        <v>0</v>
      </c>
      <c r="FR11" s="293">
        <v>0</v>
      </c>
      <c r="FS11" s="293">
        <v>6.5759950770999998E-2</v>
      </c>
      <c r="FT11" s="293">
        <v>1.8733560075639999</v>
      </c>
      <c r="FU11" s="293">
        <v>0</v>
      </c>
      <c r="FV11" s="1288">
        <v>0.47773678406499998</v>
      </c>
      <c r="FW11" s="293">
        <v>0.21331012655700002</v>
      </c>
      <c r="FX11" s="293">
        <v>0</v>
      </c>
      <c r="FY11" s="293">
        <v>2.2352624318889998</v>
      </c>
      <c r="FZ11" s="293">
        <v>0.21537995638299998</v>
      </c>
      <c r="GA11" s="293">
        <v>0.216774407083</v>
      </c>
      <c r="GB11" s="293">
        <v>7.2157075743529999</v>
      </c>
      <c r="GC11" s="293">
        <v>0.218107032891</v>
      </c>
      <c r="GD11" s="293">
        <v>0.22112596702599999</v>
      </c>
      <c r="GE11" s="293">
        <v>0.38523220053399998</v>
      </c>
      <c r="GF11" s="293">
        <v>0</v>
      </c>
      <c r="GG11" s="293">
        <v>2.1722532036389999</v>
      </c>
      <c r="GH11" s="293">
        <v>0.79496101471000002</v>
      </c>
      <c r="GI11" s="293"/>
      <c r="GJ11" s="293"/>
      <c r="GK11" s="293"/>
      <c r="GL11" s="293"/>
      <c r="GM11" s="293"/>
      <c r="GN11" s="293"/>
      <c r="GO11" s="293"/>
      <c r="GP11" s="293"/>
      <c r="GQ11" s="293"/>
      <c r="GR11" s="293"/>
      <c r="GS11" s="293"/>
      <c r="GT11" s="293"/>
      <c r="GU11" s="293"/>
      <c r="GV11" s="293"/>
      <c r="GW11" s="293"/>
      <c r="GX11" s="293"/>
      <c r="GY11" s="293"/>
      <c r="GZ11" s="293"/>
      <c r="HA11" s="293"/>
      <c r="HB11" s="293"/>
      <c r="HC11" s="293"/>
      <c r="HD11" s="293"/>
      <c r="HE11" s="293"/>
      <c r="HF11" s="293"/>
      <c r="HG11" s="293"/>
      <c r="HH11" s="293"/>
      <c r="HI11" s="293"/>
      <c r="HJ11" s="293"/>
      <c r="HK11" s="293"/>
      <c r="HL11" s="293"/>
      <c r="HM11" s="293"/>
      <c r="HN11" s="293"/>
      <c r="HO11" s="293"/>
      <c r="HP11" s="293"/>
      <c r="HQ11" s="293"/>
      <c r="HR11" s="293"/>
      <c r="HS11" s="293"/>
      <c r="HT11" s="293"/>
      <c r="HU11" s="293"/>
      <c r="HV11" s="293"/>
      <c r="HW11" s="293"/>
      <c r="HX11" s="293"/>
      <c r="HY11" s="293"/>
      <c r="IH11" s="279">
        <f t="shared" si="0"/>
        <v>0</v>
      </c>
      <c r="II11" s="279">
        <f t="shared" si="1"/>
        <v>0.50194844523400006</v>
      </c>
      <c r="IJ11" s="279">
        <f t="shared" si="2"/>
        <v>0.50194844523400006</v>
      </c>
      <c r="IK11" s="279">
        <f t="shared" si="3"/>
        <v>1.407356958474</v>
      </c>
      <c r="KT11" s="280"/>
    </row>
    <row r="12" spans="1:314" outlineLevel="1">
      <c r="D12" s="1547" t="s">
        <v>366</v>
      </c>
      <c r="E12" s="293"/>
      <c r="F12" s="293"/>
      <c r="G12" s="293"/>
      <c r="H12" s="293"/>
      <c r="I12" s="293"/>
      <c r="J12" s="293"/>
      <c r="K12" s="293"/>
      <c r="L12" s="293"/>
      <c r="M12" s="293"/>
      <c r="N12" s="293"/>
      <c r="O12" s="293"/>
      <c r="P12" s="293"/>
      <c r="Q12" s="293"/>
      <c r="R12" s="293"/>
      <c r="S12" s="293"/>
      <c r="T12" s="293"/>
      <c r="U12" s="293"/>
      <c r="V12" s="293"/>
      <c r="W12" s="293"/>
      <c r="X12" s="293"/>
      <c r="Y12" s="293"/>
      <c r="Z12" s="293"/>
      <c r="AA12" s="293"/>
      <c r="AB12" s="293"/>
      <c r="AC12" s="293"/>
      <c r="AD12" s="293"/>
      <c r="AE12" s="293"/>
      <c r="AF12" s="293"/>
      <c r="AG12" s="293"/>
      <c r="AH12" s="293"/>
      <c r="AI12" s="293"/>
      <c r="AJ12" s="293"/>
      <c r="AK12" s="293"/>
      <c r="AL12" s="293"/>
      <c r="AM12" s="293"/>
      <c r="AN12" s="293"/>
      <c r="AO12" s="646">
        <v>0</v>
      </c>
      <c r="AP12" s="646">
        <v>0.62987147756908735</v>
      </c>
      <c r="AQ12" s="646">
        <v>0.46903793163968949</v>
      </c>
      <c r="AR12" s="646">
        <v>1.5382727642693179</v>
      </c>
      <c r="AS12" s="646">
        <v>0.66772426061501222</v>
      </c>
      <c r="AT12" s="646">
        <v>0.80601616600687898</v>
      </c>
      <c r="AU12" s="646">
        <v>0.40943237950525851</v>
      </c>
      <c r="AV12" s="646">
        <v>0.14770808726970486</v>
      </c>
      <c r="AW12" s="646">
        <v>1.0854496303238198E-2</v>
      </c>
      <c r="AX12" s="646">
        <v>0.42133289425627951</v>
      </c>
      <c r="AY12" s="646">
        <v>0.47285869135073139</v>
      </c>
      <c r="AZ12" s="646">
        <v>1.8407461084819923</v>
      </c>
      <c r="BA12" s="646">
        <v>7.3301808746352856E-3</v>
      </c>
      <c r="BB12" s="646">
        <v>0.87324361303377784</v>
      </c>
      <c r="BC12" s="646">
        <v>1.9696082116248088</v>
      </c>
      <c r="BD12" s="646">
        <v>0.57534902993784531</v>
      </c>
      <c r="BE12" s="646">
        <v>0.17189124847520285</v>
      </c>
      <c r="BF12" s="646">
        <v>1.4451711138386929</v>
      </c>
      <c r="BG12" s="646">
        <v>0.84569521100331568</v>
      </c>
      <c r="BH12" s="646">
        <v>0.10832097426186578</v>
      </c>
      <c r="BI12" s="646">
        <v>1.1372708434074972</v>
      </c>
      <c r="BJ12" s="646">
        <v>0.15116915305881987</v>
      </c>
      <c r="BK12" s="646">
        <v>0.35742179334210161</v>
      </c>
      <c r="BL12" s="646">
        <v>2.2016366119144366</v>
      </c>
      <c r="BM12" s="646">
        <v>0.4265463639957266</v>
      </c>
      <c r="BN12" s="646">
        <v>1.0207255730323341</v>
      </c>
      <c r="BO12" s="646">
        <v>1.049368305890777</v>
      </c>
      <c r="BP12" s="646">
        <v>1.498617270910265</v>
      </c>
      <c r="BQ12" s="646">
        <v>0.13491215672981391</v>
      </c>
      <c r="BR12" s="646">
        <v>0.5990665543869258</v>
      </c>
      <c r="BS12" s="646">
        <v>0.20316325565785112</v>
      </c>
      <c r="BT12" s="646">
        <v>0.34687577757021076</v>
      </c>
      <c r="BU12" s="646">
        <v>1.1246205889797547</v>
      </c>
      <c r="BV12" s="646">
        <v>0.12811694454582651</v>
      </c>
      <c r="BW12" s="646">
        <v>8.8232161337934364E-2</v>
      </c>
      <c r="BX12" s="646">
        <v>2.1294989825098733E-2</v>
      </c>
      <c r="BY12" s="646">
        <v>0</v>
      </c>
      <c r="BZ12" s="646">
        <v>0.26288379299999998</v>
      </c>
      <c r="CA12" s="646">
        <v>2.2267379E-2</v>
      </c>
      <c r="CB12" s="646">
        <v>0.53933414499999999</v>
      </c>
      <c r="CC12" s="646">
        <v>0</v>
      </c>
      <c r="CD12" s="646">
        <v>0</v>
      </c>
      <c r="CE12" s="647">
        <v>0</v>
      </c>
      <c r="CF12" s="646">
        <v>0</v>
      </c>
      <c r="CG12" s="646">
        <v>0</v>
      </c>
      <c r="CH12" s="646">
        <v>0</v>
      </c>
      <c r="CI12" s="646">
        <v>2.4603709999999998E-3</v>
      </c>
      <c r="CJ12" s="646">
        <v>0</v>
      </c>
      <c r="CK12" s="646">
        <v>0.11113218389</v>
      </c>
      <c r="CL12" s="646">
        <v>0</v>
      </c>
      <c r="CM12" s="646">
        <v>7.4429138459999999E-3</v>
      </c>
      <c r="CN12" s="646">
        <v>2.6725002002999997E-2</v>
      </c>
      <c r="CO12" s="646">
        <v>0</v>
      </c>
      <c r="CP12" s="648">
        <v>0</v>
      </c>
      <c r="CQ12" s="646">
        <v>4.0366138055999999E-2</v>
      </c>
      <c r="CR12" s="646">
        <v>0</v>
      </c>
      <c r="CS12" s="646">
        <v>0</v>
      </c>
      <c r="CT12" s="646">
        <v>0</v>
      </c>
      <c r="CU12" s="646">
        <v>4.0728351676000002E-2</v>
      </c>
      <c r="CV12" s="646">
        <v>0</v>
      </c>
      <c r="CW12" s="646">
        <v>0</v>
      </c>
      <c r="CX12" s="646">
        <v>7.7267098870000004E-3</v>
      </c>
      <c r="CY12" s="646">
        <v>0</v>
      </c>
      <c r="CZ12" s="646">
        <v>0.10089830698</v>
      </c>
      <c r="DA12" s="646">
        <v>0</v>
      </c>
      <c r="DB12" s="1297">
        <v>0.17147718804499998</v>
      </c>
      <c r="DC12" s="646">
        <v>1.6090924023000001E-2</v>
      </c>
      <c r="DD12" s="646">
        <v>0</v>
      </c>
      <c r="DE12" s="646">
        <v>6.1497489998399999</v>
      </c>
      <c r="DF12" s="646">
        <v>1.6925788320999998E-2</v>
      </c>
      <c r="DG12" s="646">
        <v>1.5365522868029999</v>
      </c>
      <c r="DH12" s="646">
        <v>1.5992617926830002</v>
      </c>
      <c r="DI12" s="646" t="s">
        <v>782</v>
      </c>
      <c r="DJ12" s="646">
        <v>0.57027368294799996</v>
      </c>
      <c r="DK12" s="646">
        <v>1.9470509080999999E-2</v>
      </c>
      <c r="DL12" s="646">
        <v>0</v>
      </c>
      <c r="DM12" s="646">
        <v>1.2481807650480001</v>
      </c>
      <c r="DN12" s="648">
        <v>1.7867102900840002</v>
      </c>
      <c r="DO12" s="646">
        <v>0.25569111553500001</v>
      </c>
      <c r="DP12" s="646">
        <v>2.039985803</v>
      </c>
      <c r="DQ12" s="646">
        <v>2.7194589919999999</v>
      </c>
      <c r="DR12" s="646">
        <v>2.0883871636299998</v>
      </c>
      <c r="DS12" s="646">
        <v>4.3103186004910006</v>
      </c>
      <c r="DT12" s="646">
        <v>1.66435042402</v>
      </c>
      <c r="DU12" s="646">
        <v>2.1325078408490001</v>
      </c>
      <c r="DV12" s="646">
        <v>1.5232825937980001</v>
      </c>
      <c r="DW12" s="646">
        <v>13.489673663556999</v>
      </c>
      <c r="DX12" s="646">
        <v>3.5808020246069998</v>
      </c>
      <c r="DY12" s="646">
        <v>4.5919727956800003</v>
      </c>
      <c r="DZ12" s="648">
        <v>0.8541788837180001</v>
      </c>
      <c r="EA12" s="646">
        <v>2.6886608503030001</v>
      </c>
      <c r="EB12" s="646">
        <v>0.83068743746300011</v>
      </c>
      <c r="EC12" s="646">
        <v>2.6944973510830001</v>
      </c>
      <c r="ED12" s="646">
        <v>4.0957703531269996</v>
      </c>
      <c r="EE12" s="646">
        <v>2.6437281777020001</v>
      </c>
      <c r="EF12" s="646">
        <v>2.2218570656050001</v>
      </c>
      <c r="EG12" s="646">
        <v>5.3138598929640004</v>
      </c>
      <c r="EH12" s="646">
        <v>1.0225014096380001</v>
      </c>
      <c r="EI12" s="646">
        <v>1.955999127174</v>
      </c>
      <c r="EJ12" s="646">
        <v>4.7458401664960004</v>
      </c>
      <c r="EK12" s="646">
        <v>4.0866103111919996</v>
      </c>
      <c r="EL12" s="648">
        <v>1.7385531645599999</v>
      </c>
      <c r="EM12" s="1090">
        <v>3.0468384840140001</v>
      </c>
      <c r="EN12" s="1090">
        <v>8.1344925602000004E-2</v>
      </c>
      <c r="EO12" s="1090">
        <v>4.1602363178799999</v>
      </c>
      <c r="EP12" s="1090">
        <v>8.6083117238999987E-2</v>
      </c>
      <c r="EQ12" s="1090">
        <v>12.117729091913001</v>
      </c>
      <c r="ER12" s="1090">
        <v>8.6248222192419988</v>
      </c>
      <c r="ES12" s="1090">
        <v>5.2067549842599998</v>
      </c>
      <c r="ET12" s="1090">
        <v>5.4594286788790001</v>
      </c>
      <c r="EU12" s="1090">
        <v>3.493867046958</v>
      </c>
      <c r="EV12" s="1090">
        <v>5.6470137177569999</v>
      </c>
      <c r="EW12" s="1090">
        <v>5.0694254165959993</v>
      </c>
      <c r="EX12" s="1357">
        <v>8.607382020166007</v>
      </c>
      <c r="EY12" s="1080"/>
      <c r="EZ12" s="1080"/>
      <c r="FA12" s="1080"/>
      <c r="FB12" s="1080"/>
      <c r="FC12" s="1080"/>
      <c r="FD12" s="1080"/>
      <c r="FE12" s="1080"/>
      <c r="FF12" s="1080"/>
      <c r="FG12" s="1080"/>
      <c r="FH12" s="1080"/>
      <c r="FI12" s="1080"/>
      <c r="FJ12" s="1340"/>
      <c r="FK12" s="1090">
        <v>3.8410756129279999</v>
      </c>
      <c r="FL12" s="1090">
        <v>4.8958825017490009</v>
      </c>
      <c r="FM12" s="1090">
        <v>6.3554328568909995</v>
      </c>
      <c r="FN12" s="1090">
        <v>2.3168341295220003</v>
      </c>
      <c r="FO12" s="1090">
        <v>5.7657995125120003</v>
      </c>
      <c r="FP12" s="1090">
        <v>8.3365674637470004</v>
      </c>
      <c r="FQ12" s="1090">
        <v>0</v>
      </c>
      <c r="FR12" s="1090">
        <v>0</v>
      </c>
      <c r="FS12" s="1090">
        <v>0</v>
      </c>
      <c r="FT12" s="1090">
        <v>0.106700373859</v>
      </c>
      <c r="FU12" s="1090">
        <v>0</v>
      </c>
      <c r="FV12" s="1627">
        <v>0.86960528377400004</v>
      </c>
      <c r="FW12" s="293">
        <v>0</v>
      </c>
      <c r="FX12" s="293">
        <v>0</v>
      </c>
      <c r="FY12" s="293">
        <v>0</v>
      </c>
      <c r="FZ12" s="293">
        <v>1.03359400672</v>
      </c>
      <c r="GA12" s="293">
        <v>0.10322305306100001</v>
      </c>
      <c r="GB12" s="293">
        <v>6.7653921511210005</v>
      </c>
      <c r="GC12" s="293">
        <v>0.10210640737700001</v>
      </c>
      <c r="GD12" s="293">
        <v>0</v>
      </c>
      <c r="GE12" s="293">
        <v>0.94057824194799999</v>
      </c>
      <c r="GF12" s="293">
        <v>0</v>
      </c>
      <c r="GG12" s="293">
        <v>0.972880331303</v>
      </c>
      <c r="GH12" s="293">
        <v>0</v>
      </c>
      <c r="GI12" s="293"/>
      <c r="GJ12" s="293"/>
      <c r="GK12" s="293"/>
      <c r="GL12" s="293"/>
      <c r="GM12" s="293"/>
      <c r="GN12" s="293"/>
      <c r="GO12" s="293"/>
      <c r="GP12" s="293"/>
      <c r="GQ12" s="293"/>
      <c r="GR12" s="293"/>
      <c r="GS12" s="293"/>
      <c r="GT12" s="293"/>
      <c r="GU12" s="293"/>
      <c r="GV12" s="293"/>
      <c r="GW12" s="293"/>
      <c r="GX12" s="293"/>
      <c r="GY12" s="293"/>
      <c r="GZ12" s="293"/>
      <c r="HA12" s="293"/>
      <c r="HB12" s="293"/>
      <c r="HC12" s="293"/>
      <c r="HD12" s="293"/>
      <c r="HE12" s="293"/>
      <c r="HF12" s="293"/>
      <c r="HG12" s="293"/>
      <c r="HH12" s="293"/>
      <c r="HI12" s="293"/>
      <c r="HJ12" s="293"/>
      <c r="HK12" s="293"/>
      <c r="HL12" s="293"/>
      <c r="HM12" s="293"/>
      <c r="HN12" s="293"/>
      <c r="HO12" s="293"/>
      <c r="HP12" s="293"/>
      <c r="HQ12" s="293"/>
      <c r="HR12" s="293"/>
      <c r="HS12" s="293"/>
      <c r="HT12" s="293"/>
      <c r="HU12" s="293"/>
      <c r="HV12" s="293"/>
      <c r="HW12" s="293"/>
      <c r="HX12" s="293"/>
      <c r="HY12" s="293"/>
      <c r="KT12" s="280"/>
    </row>
    <row r="13" spans="1:314" outlineLevel="1">
      <c r="B13" s="96" t="s">
        <v>338</v>
      </c>
      <c r="D13" s="296" t="s">
        <v>345</v>
      </c>
      <c r="E13" s="293"/>
      <c r="F13" s="293"/>
      <c r="G13" s="293"/>
      <c r="H13" s="293"/>
      <c r="I13" s="293"/>
      <c r="J13" s="293"/>
      <c r="K13" s="293"/>
      <c r="L13" s="293"/>
      <c r="M13" s="293"/>
      <c r="N13" s="293"/>
      <c r="O13" s="293"/>
      <c r="P13" s="293"/>
      <c r="Q13" s="293"/>
      <c r="R13" s="293"/>
      <c r="S13" s="293"/>
      <c r="T13" s="293"/>
      <c r="U13" s="293"/>
      <c r="V13" s="293"/>
      <c r="W13" s="293"/>
      <c r="X13" s="293"/>
      <c r="Y13" s="293"/>
      <c r="Z13" s="293"/>
      <c r="AA13" s="293"/>
      <c r="AB13" s="293"/>
      <c r="AC13" s="293"/>
      <c r="AD13" s="293"/>
      <c r="AE13" s="293"/>
      <c r="AF13" s="293"/>
      <c r="AG13" s="293"/>
      <c r="AH13" s="293"/>
      <c r="AI13" s="293"/>
      <c r="AJ13" s="293"/>
      <c r="AK13" s="293"/>
      <c r="AL13" s="293"/>
      <c r="AM13" s="293"/>
      <c r="AN13" s="293"/>
      <c r="AO13" s="293">
        <v>0</v>
      </c>
      <c r="AP13" s="293">
        <v>0.62987147756908735</v>
      </c>
      <c r="AQ13" s="293">
        <v>0.46903793163968949</v>
      </c>
      <c r="AR13" s="293">
        <v>1.5382727642693179</v>
      </c>
      <c r="AS13" s="293">
        <v>0.66772426061501222</v>
      </c>
      <c r="AT13" s="293">
        <v>0.80601616600687898</v>
      </c>
      <c r="AU13" s="293">
        <v>0.40943237950525851</v>
      </c>
      <c r="AV13" s="293">
        <v>0.14770808726970486</v>
      </c>
      <c r="AW13" s="293">
        <v>1.0854496303238198E-2</v>
      </c>
      <c r="AX13" s="293">
        <v>0.42133289425627951</v>
      </c>
      <c r="AY13" s="293">
        <v>0.47285869135073139</v>
      </c>
      <c r="AZ13" s="293">
        <v>1.8407461084819923</v>
      </c>
      <c r="BA13" s="293">
        <v>7.3301808746352856E-3</v>
      </c>
      <c r="BB13" s="293">
        <v>0.87324361303377784</v>
      </c>
      <c r="BC13" s="293">
        <v>1.9696082116248088</v>
      </c>
      <c r="BD13" s="293">
        <v>0.57534902993784531</v>
      </c>
      <c r="BE13" s="293">
        <v>0.17189124847520285</v>
      </c>
      <c r="BF13" s="293">
        <v>1.4451711138386929</v>
      </c>
      <c r="BG13" s="293">
        <v>0.84569521100331568</v>
      </c>
      <c r="BH13" s="293">
        <v>0.10832097426186578</v>
      </c>
      <c r="BI13" s="293">
        <v>1.1372708434074972</v>
      </c>
      <c r="BJ13" s="293">
        <v>0.15116915305881987</v>
      </c>
      <c r="BK13" s="293">
        <v>0.35742179334210161</v>
      </c>
      <c r="BL13" s="293">
        <v>2.2016366119144366</v>
      </c>
      <c r="BM13" s="293">
        <v>0.4265463639957266</v>
      </c>
      <c r="BN13" s="293">
        <v>1.0207255730323341</v>
      </c>
      <c r="BO13" s="293">
        <v>1.049368305890777</v>
      </c>
      <c r="BP13" s="293">
        <v>1.498617270910265</v>
      </c>
      <c r="BQ13" s="293">
        <v>0.13491215672981391</v>
      </c>
      <c r="BR13" s="293">
        <v>0.5990665543869258</v>
      </c>
      <c r="BS13" s="293">
        <v>0.20316325565785112</v>
      </c>
      <c r="BT13" s="293">
        <v>0.34687577757021076</v>
      </c>
      <c r="BU13" s="293">
        <v>1.1246205889797547</v>
      </c>
      <c r="BV13" s="293">
        <v>0.12811694454582651</v>
      </c>
      <c r="BW13" s="293">
        <v>8.8232161337934364E-2</v>
      </c>
      <c r="BX13" s="293">
        <v>2.1294989825098733E-2</v>
      </c>
      <c r="BY13" s="293">
        <v>0</v>
      </c>
      <c r="BZ13" s="293">
        <v>0.26288379299999998</v>
      </c>
      <c r="CA13" s="293">
        <v>2.2267379E-2</v>
      </c>
      <c r="CB13" s="293">
        <v>0.53933414499999999</v>
      </c>
      <c r="CC13" s="293">
        <v>0</v>
      </c>
      <c r="CD13" s="293">
        <v>0</v>
      </c>
      <c r="CE13" s="294">
        <v>0</v>
      </c>
      <c r="CF13" s="293">
        <v>0</v>
      </c>
      <c r="CG13" s="293">
        <v>0</v>
      </c>
      <c r="CH13" s="293">
        <v>0</v>
      </c>
      <c r="CI13" s="293">
        <v>2.4603709999999998E-3</v>
      </c>
      <c r="CJ13" s="293">
        <v>0</v>
      </c>
      <c r="CK13" s="293">
        <v>0.11113218389</v>
      </c>
      <c r="CL13" s="293">
        <v>0</v>
      </c>
      <c r="CM13" s="293">
        <v>7.4429138459999999E-3</v>
      </c>
      <c r="CN13" s="293">
        <v>2.6725002002999997E-2</v>
      </c>
      <c r="CO13" s="293">
        <v>0</v>
      </c>
      <c r="CP13" s="295">
        <v>0</v>
      </c>
      <c r="CQ13" s="293">
        <v>4.0366138055999999E-2</v>
      </c>
      <c r="CR13" s="293">
        <v>0</v>
      </c>
      <c r="CS13" s="293">
        <v>0</v>
      </c>
      <c r="CT13" s="293">
        <v>0</v>
      </c>
      <c r="CU13" s="293">
        <v>4.0728351676000002E-2</v>
      </c>
      <c r="CV13" s="293">
        <v>0</v>
      </c>
      <c r="CW13" s="293">
        <v>0</v>
      </c>
      <c r="CX13" s="293">
        <v>7.7267098870000004E-3</v>
      </c>
      <c r="CY13" s="293">
        <v>0</v>
      </c>
      <c r="CZ13" s="293">
        <v>0.10089830698</v>
      </c>
      <c r="DA13" s="293">
        <v>0</v>
      </c>
      <c r="DB13" s="1288">
        <v>0.17147718804499998</v>
      </c>
      <c r="DC13" s="293">
        <v>1.6090924023000001E-2</v>
      </c>
      <c r="DD13" s="293">
        <v>0</v>
      </c>
      <c r="DE13" s="293">
        <v>6.1497489998399999</v>
      </c>
      <c r="DF13" s="293">
        <v>1.6925788320999998E-2</v>
      </c>
      <c r="DG13" s="293">
        <v>1.5365522868029999</v>
      </c>
      <c r="DH13" s="293">
        <v>1.5992617926830002</v>
      </c>
      <c r="DI13" s="293" t="s">
        <v>782</v>
      </c>
      <c r="DJ13" s="293">
        <v>0.57027368294799996</v>
      </c>
      <c r="DK13" s="293">
        <v>1.9470509080999999E-2</v>
      </c>
      <c r="DL13" s="293">
        <v>0</v>
      </c>
      <c r="DM13" s="293">
        <v>1.2481807650480001</v>
      </c>
      <c r="DN13" s="295">
        <v>1.7867102900840002</v>
      </c>
      <c r="DO13" s="293">
        <v>0.25569111553500001</v>
      </c>
      <c r="DP13" s="293">
        <v>2.039985803</v>
      </c>
      <c r="DQ13" s="293">
        <v>2.7194589919999999</v>
      </c>
      <c r="DR13" s="293">
        <v>2.0883871636299998</v>
      </c>
      <c r="DS13" s="293">
        <v>4.3103186004910006</v>
      </c>
      <c r="DT13" s="293">
        <v>1.66435042402</v>
      </c>
      <c r="DU13" s="293">
        <v>2.1325078408490001</v>
      </c>
      <c r="DV13" s="293">
        <v>1.5232825937980001</v>
      </c>
      <c r="DW13" s="293">
        <v>13.489673663556999</v>
      </c>
      <c r="DX13" s="293">
        <v>3.5808020246069998</v>
      </c>
      <c r="DY13" s="293">
        <v>4.5919727956800003</v>
      </c>
      <c r="DZ13" s="295">
        <v>0.8541788837180001</v>
      </c>
      <c r="EA13" s="293">
        <v>2.6886608503030001</v>
      </c>
      <c r="EB13" s="293">
        <v>0.83068743746300011</v>
      </c>
      <c r="EC13" s="293">
        <v>2.6944973510830001</v>
      </c>
      <c r="ED13" s="293">
        <v>4.0957703531269996</v>
      </c>
      <c r="EE13" s="293">
        <v>2.6437281777020001</v>
      </c>
      <c r="EF13" s="293">
        <v>2.2218570656050001</v>
      </c>
      <c r="EG13" s="293">
        <v>5.3138598929640004</v>
      </c>
      <c r="EH13" s="293">
        <v>1.0225014096380001</v>
      </c>
      <c r="EI13" s="293">
        <v>1.955999127174</v>
      </c>
      <c r="EJ13" s="293">
        <v>4.7458401664960004</v>
      </c>
      <c r="EK13" s="293">
        <v>4.0866103111919996</v>
      </c>
      <c r="EL13" s="295">
        <v>1.7385531645599999</v>
      </c>
      <c r="EM13" s="1080">
        <v>3.0468384840140001</v>
      </c>
      <c r="EN13" s="1080">
        <v>8.1344925602000004E-2</v>
      </c>
      <c r="EO13" s="1080">
        <v>4.1602363178799999</v>
      </c>
      <c r="EP13" s="1080">
        <v>8.6083117238999987E-2</v>
      </c>
      <c r="EQ13" s="1080">
        <v>12.117729091913001</v>
      </c>
      <c r="ER13" s="1080">
        <v>8.6248222192419988</v>
      </c>
      <c r="ES13" s="1080">
        <v>5.2067549842599998</v>
      </c>
      <c r="ET13" s="1080">
        <v>5.4594286788790001</v>
      </c>
      <c r="EU13" s="1080">
        <v>3.493867046958</v>
      </c>
      <c r="EV13" s="1080">
        <v>5.6470137177569999</v>
      </c>
      <c r="EW13" s="1080">
        <v>5.0694254165959993</v>
      </c>
      <c r="EX13" s="1340">
        <v>8.607382020166007</v>
      </c>
      <c r="EY13" s="1080"/>
      <c r="EZ13" s="1080"/>
      <c r="FA13" s="1080"/>
      <c r="FB13" s="1080"/>
      <c r="FC13" s="1080"/>
      <c r="FD13" s="1080"/>
      <c r="FE13" s="1080"/>
      <c r="FF13" s="1080"/>
      <c r="FG13" s="1080"/>
      <c r="FH13" s="1080"/>
      <c r="FI13" s="1080"/>
      <c r="FJ13" s="1340"/>
      <c r="FK13" s="1080">
        <v>3.8410756129279999</v>
      </c>
      <c r="FL13" s="1080">
        <v>4.8958825017490009</v>
      </c>
      <c r="FM13" s="1080">
        <v>6.3554328568909995</v>
      </c>
      <c r="FN13" s="1080">
        <v>2.3168341295220003</v>
      </c>
      <c r="FO13" s="1080">
        <v>5.7657995125120003</v>
      </c>
      <c r="FP13" s="1080">
        <v>8.3365674637470004</v>
      </c>
      <c r="FQ13" s="293">
        <v>0</v>
      </c>
      <c r="FR13" s="293">
        <v>0</v>
      </c>
      <c r="FS13" s="293">
        <v>0</v>
      </c>
      <c r="FT13" s="293">
        <v>0.106700373859</v>
      </c>
      <c r="FU13" s="293">
        <v>0</v>
      </c>
      <c r="FV13" s="1288">
        <v>0.86960528377400004</v>
      </c>
      <c r="FW13" s="293">
        <v>3.5280660226739999</v>
      </c>
      <c r="FX13" s="293">
        <v>0.61964839929799997</v>
      </c>
      <c r="FY13" s="293">
        <v>2.195106579645</v>
      </c>
      <c r="FZ13" s="293">
        <v>1.3696345967880001</v>
      </c>
      <c r="GA13" s="293">
        <v>1.260438374579</v>
      </c>
      <c r="GB13" s="293">
        <v>1.495084896944</v>
      </c>
      <c r="GC13" s="293">
        <v>0.62445635215200002</v>
      </c>
      <c r="GD13" s="293">
        <v>3.5535268257329999</v>
      </c>
      <c r="GE13" s="293">
        <v>11.140313286441</v>
      </c>
      <c r="GF13" s="293">
        <v>0.50131041203600002</v>
      </c>
      <c r="GG13" s="293">
        <v>3.925336123448</v>
      </c>
      <c r="GH13" s="293">
        <v>3.1383682738180001</v>
      </c>
      <c r="GI13" s="293"/>
      <c r="GJ13" s="293"/>
      <c r="GK13" s="293"/>
      <c r="GL13" s="293"/>
      <c r="GM13" s="293"/>
      <c r="GN13" s="293"/>
      <c r="GO13" s="293"/>
      <c r="GP13" s="293"/>
      <c r="GQ13" s="293"/>
      <c r="GR13" s="293"/>
      <c r="GS13" s="293"/>
      <c r="GT13" s="293"/>
      <c r="GU13" s="293"/>
      <c r="GV13" s="293"/>
      <c r="GW13" s="293"/>
      <c r="GX13" s="293"/>
      <c r="GY13" s="293"/>
      <c r="GZ13" s="293"/>
      <c r="HA13" s="293"/>
      <c r="HB13" s="293"/>
      <c r="HC13" s="293"/>
      <c r="HD13" s="293"/>
      <c r="HE13" s="293"/>
      <c r="HF13" s="293"/>
      <c r="HG13" s="293"/>
      <c r="HH13" s="293"/>
      <c r="HI13" s="293"/>
      <c r="HJ13" s="293"/>
      <c r="HK13" s="293"/>
      <c r="HL13" s="293"/>
      <c r="HM13" s="293"/>
      <c r="HN13" s="293"/>
      <c r="HO13" s="293"/>
      <c r="HP13" s="293"/>
      <c r="HQ13" s="293"/>
      <c r="HR13" s="293"/>
      <c r="HS13" s="293"/>
      <c r="HT13" s="293"/>
      <c r="HU13" s="293"/>
      <c r="HV13" s="293"/>
      <c r="HW13" s="293"/>
      <c r="HX13" s="293"/>
      <c r="HY13" s="293"/>
      <c r="IH13" s="279">
        <f t="shared" ref="IH13:IH20" si="4">+SUM(DC13:DH13)</f>
        <v>9.3185797916700004</v>
      </c>
      <c r="II13" s="279">
        <f t="shared" ref="II13:II20" si="5">+SUM(DI13:DN13)</f>
        <v>3.6246352471610002</v>
      </c>
      <c r="IJ13" s="279">
        <f t="shared" si="2"/>
        <v>12.943215038831001</v>
      </c>
      <c r="IK13" s="279">
        <f t="shared" ref="IK13:IK20" si="6">SUM(DO13:DT13)</f>
        <v>13.078192098675999</v>
      </c>
      <c r="KT13" s="280"/>
    </row>
    <row r="14" spans="1:314" outlineLevel="1">
      <c r="B14" s="96" t="s">
        <v>338</v>
      </c>
      <c r="D14" s="296" t="s">
        <v>346</v>
      </c>
      <c r="E14" s="293"/>
      <c r="F14" s="293"/>
      <c r="G14" s="293"/>
      <c r="H14" s="293"/>
      <c r="I14" s="293"/>
      <c r="J14" s="293"/>
      <c r="K14" s="293"/>
      <c r="L14" s="293"/>
      <c r="M14" s="293"/>
      <c r="N14" s="293"/>
      <c r="O14" s="293"/>
      <c r="P14" s="293"/>
      <c r="Q14" s="293"/>
      <c r="R14" s="293"/>
      <c r="S14" s="293"/>
      <c r="T14" s="293"/>
      <c r="U14" s="293"/>
      <c r="V14" s="293"/>
      <c r="W14" s="293"/>
      <c r="X14" s="293"/>
      <c r="Y14" s="293"/>
      <c r="Z14" s="293"/>
      <c r="AA14" s="293"/>
      <c r="AB14" s="293"/>
      <c r="AC14" s="293"/>
      <c r="AD14" s="293"/>
      <c r="AE14" s="293"/>
      <c r="AF14" s="293"/>
      <c r="AG14" s="293"/>
      <c r="AH14" s="293"/>
      <c r="AI14" s="293"/>
      <c r="AJ14" s="293"/>
      <c r="AK14" s="293"/>
      <c r="AL14" s="293"/>
      <c r="AM14" s="293"/>
      <c r="AN14" s="293"/>
      <c r="AO14" s="293">
        <v>0.15121262838337154</v>
      </c>
      <c r="AP14" s="293">
        <v>0.40405211319615802</v>
      </c>
      <c r="AQ14" s="293">
        <v>0.5903355355383838</v>
      </c>
      <c r="AR14" s="293">
        <v>0.29547137039647092</v>
      </c>
      <c r="AS14" s="293">
        <v>0.38386617255405059</v>
      </c>
      <c r="AT14" s="293">
        <v>0.46619956910663252</v>
      </c>
      <c r="AU14" s="293">
        <v>0.15337404391303955</v>
      </c>
      <c r="AV14" s="293">
        <v>0.13470263292321874</v>
      </c>
      <c r="AW14" s="293">
        <v>0.17912753577734158</v>
      </c>
      <c r="AX14" s="293">
        <v>0.43778330096598655</v>
      </c>
      <c r="AY14" s="293">
        <v>0.47100094731048531</v>
      </c>
      <c r="AZ14" s="293">
        <v>0.28099531632912206</v>
      </c>
      <c r="BA14" s="293">
        <v>4.5865264276066971E-3</v>
      </c>
      <c r="BB14" s="293">
        <v>0.48653746224311117</v>
      </c>
      <c r="BC14" s="293">
        <v>0.35666118216098935</v>
      </c>
      <c r="BD14" s="293">
        <v>2.3132367976928369E-2</v>
      </c>
      <c r="BE14" s="293">
        <v>0.52205370462431422</v>
      </c>
      <c r="BF14" s="293">
        <v>0.52306999169352297</v>
      </c>
      <c r="BG14" s="293">
        <v>0.18022409874481357</v>
      </c>
      <c r="BH14" s="293">
        <v>0.38686132493004238</v>
      </c>
      <c r="BI14" s="293">
        <v>0.81361631362272702</v>
      </c>
      <c r="BJ14" s="293">
        <v>0</v>
      </c>
      <c r="BK14" s="293">
        <v>0.21851829468552719</v>
      </c>
      <c r="BL14" s="293">
        <v>0.13400371005617012</v>
      </c>
      <c r="BM14" s="293">
        <v>0</v>
      </c>
      <c r="BN14" s="293">
        <v>1.4556381421114177</v>
      </c>
      <c r="BO14" s="293">
        <v>4.4367182043520872E-2</v>
      </c>
      <c r="BP14" s="293">
        <v>0.23068983753588582</v>
      </c>
      <c r="BQ14" s="293">
        <v>0.1497630528638855</v>
      </c>
      <c r="BR14" s="293">
        <v>9.67376121194439E-2</v>
      </c>
      <c r="BS14" s="293">
        <v>0.15879861444307972</v>
      </c>
      <c r="BT14" s="293">
        <v>8.2079498445504592E-2</v>
      </c>
      <c r="BU14" s="293">
        <v>6.0481909197479039E-3</v>
      </c>
      <c r="BV14" s="293">
        <v>0.15490046903886867</v>
      </c>
      <c r="BW14" s="293">
        <v>0.45456886589353973</v>
      </c>
      <c r="BX14" s="293">
        <v>4.66932845368421E-2</v>
      </c>
      <c r="BY14" s="293">
        <v>0.159343598</v>
      </c>
      <c r="BZ14" s="293">
        <v>8.5260111E-2</v>
      </c>
      <c r="CA14" s="293">
        <v>3.4782216999999997E-2</v>
      </c>
      <c r="CB14" s="293">
        <v>0.58702941200000003</v>
      </c>
      <c r="CC14" s="293">
        <v>0.12740231699999999</v>
      </c>
      <c r="CD14" s="293">
        <v>5.4149111999999999E-2</v>
      </c>
      <c r="CE14" s="294">
        <v>0.49624851599999997</v>
      </c>
      <c r="CF14" s="293">
        <v>1.5832816999999999E-2</v>
      </c>
      <c r="CG14" s="293">
        <v>0.91986201899999998</v>
      </c>
      <c r="CH14" s="293">
        <v>7.8370711999999995E-2</v>
      </c>
      <c r="CI14" s="293">
        <v>0.60025536000000002</v>
      </c>
      <c r="CJ14" s="293">
        <v>2.361924E-2</v>
      </c>
      <c r="CK14" s="293">
        <v>0</v>
      </c>
      <c r="CL14" s="293">
        <v>0.31045328816900003</v>
      </c>
      <c r="CM14" s="293">
        <v>1.021182253583</v>
      </c>
      <c r="CN14" s="293">
        <v>0.96312723010000001</v>
      </c>
      <c r="CO14" s="293">
        <v>0.74302963183199999</v>
      </c>
      <c r="CP14" s="295">
        <v>0</v>
      </c>
      <c r="CQ14" s="293">
        <v>0</v>
      </c>
      <c r="CR14" s="293">
        <v>0.76723446345699997</v>
      </c>
      <c r="CS14" s="293">
        <v>0.98649587605000011</v>
      </c>
      <c r="CT14" s="293">
        <v>0</v>
      </c>
      <c r="CU14" s="293">
        <v>0.68849808205999996</v>
      </c>
      <c r="CV14" s="293">
        <v>1.365995890842</v>
      </c>
      <c r="CW14" s="293">
        <v>1.047519147981</v>
      </c>
      <c r="CX14" s="293">
        <v>0.23521032178199999</v>
      </c>
      <c r="CY14" s="293">
        <v>0</v>
      </c>
      <c r="CZ14" s="293">
        <v>0.41967274927699999</v>
      </c>
      <c r="DA14" s="293">
        <v>0.41072906142900001</v>
      </c>
      <c r="DB14" s="1288">
        <v>0.76524943692299996</v>
      </c>
      <c r="DC14" s="293">
        <v>0</v>
      </c>
      <c r="DD14" s="293">
        <v>0</v>
      </c>
      <c r="DE14" s="293">
        <v>0.49584901991199998</v>
      </c>
      <c r="DF14" s="293">
        <v>0</v>
      </c>
      <c r="DG14" s="293">
        <v>0.82307524964500001</v>
      </c>
      <c r="DH14" s="293">
        <v>0</v>
      </c>
      <c r="DI14" s="293">
        <v>0.54413688209</v>
      </c>
      <c r="DJ14" s="293">
        <v>0.87984006774899992</v>
      </c>
      <c r="DK14" s="293">
        <v>0.26914333848799998</v>
      </c>
      <c r="DL14" s="293">
        <v>0.76994738925100004</v>
      </c>
      <c r="DM14" s="293">
        <v>0</v>
      </c>
      <c r="DN14" s="295">
        <v>0.62876480249</v>
      </c>
      <c r="DO14" s="293">
        <v>0</v>
      </c>
      <c r="DP14" s="293">
        <v>0</v>
      </c>
      <c r="DQ14" s="293">
        <v>1.0632502633680001</v>
      </c>
      <c r="DR14" s="293">
        <v>0</v>
      </c>
      <c r="DS14" s="293">
        <v>0.56147823166700006</v>
      </c>
      <c r="DT14" s="293">
        <v>1.580026E-2</v>
      </c>
      <c r="DU14" s="293">
        <v>1.1463625985129999</v>
      </c>
      <c r="DV14" s="293">
        <v>0.111353198485</v>
      </c>
      <c r="DW14" s="293">
        <v>0</v>
      </c>
      <c r="DX14" s="293">
        <v>0</v>
      </c>
      <c r="DY14" s="293">
        <v>0</v>
      </c>
      <c r="DZ14" s="295">
        <v>0</v>
      </c>
      <c r="EA14" s="293">
        <v>4.6218510147080005</v>
      </c>
      <c r="EB14" s="293">
        <v>0</v>
      </c>
      <c r="EC14" s="293">
        <v>0</v>
      </c>
      <c r="ED14" s="293">
        <v>0</v>
      </c>
      <c r="EE14" s="293">
        <v>1.813387635325</v>
      </c>
      <c r="EF14" s="293">
        <v>2.4034539212729999</v>
      </c>
      <c r="EG14" s="293">
        <v>0</v>
      </c>
      <c r="EH14" s="293">
        <v>0</v>
      </c>
      <c r="EI14" s="293">
        <v>0.85907526114999999</v>
      </c>
      <c r="EJ14" s="293">
        <v>0.97360889527600003</v>
      </c>
      <c r="EK14" s="293">
        <v>0</v>
      </c>
      <c r="EL14" s="295">
        <v>1.738330080328</v>
      </c>
      <c r="EM14" s="1080">
        <v>1.9306169420399999</v>
      </c>
      <c r="EN14" s="1080">
        <v>0.81286479060899997</v>
      </c>
      <c r="EO14" s="1080">
        <v>0</v>
      </c>
      <c r="EP14" s="1080">
        <v>0.78326335962899996</v>
      </c>
      <c r="EQ14" s="1080">
        <v>0</v>
      </c>
      <c r="ER14" s="1080">
        <v>0</v>
      </c>
      <c r="ES14" s="1080">
        <v>1.6214632490810001</v>
      </c>
      <c r="ET14" s="1080">
        <v>1.8948252522390001</v>
      </c>
      <c r="EU14" s="1080">
        <v>0.974874216834</v>
      </c>
      <c r="EV14" s="1080">
        <v>2.3283352503999999</v>
      </c>
      <c r="EW14" s="1080">
        <v>0.70247521909900001</v>
      </c>
      <c r="EX14" s="1340">
        <v>2.438829625546</v>
      </c>
      <c r="EY14" s="1080"/>
      <c r="EZ14" s="1080"/>
      <c r="FA14" s="1080"/>
      <c r="FB14" s="1080"/>
      <c r="FC14" s="1080"/>
      <c r="FD14" s="1080"/>
      <c r="FE14" s="1080"/>
      <c r="FF14" s="1080"/>
      <c r="FG14" s="1080"/>
      <c r="FH14" s="1080"/>
      <c r="FI14" s="1080"/>
      <c r="FJ14" s="1340"/>
      <c r="FK14" s="1080">
        <v>0.44280816804000001</v>
      </c>
      <c r="FL14" s="1080">
        <v>0.81206731599899995</v>
      </c>
      <c r="FM14" s="1080">
        <v>1.7493690011359999</v>
      </c>
      <c r="FN14" s="1080">
        <v>1.002382818689</v>
      </c>
      <c r="FO14" s="1080">
        <v>0.37275386200400001</v>
      </c>
      <c r="FP14" s="1080">
        <v>1.049282897354</v>
      </c>
      <c r="FQ14" s="293">
        <v>1.800158455117</v>
      </c>
      <c r="FR14" s="293">
        <v>0.75912669339899996</v>
      </c>
      <c r="FS14" s="293">
        <v>4.9279119313940001</v>
      </c>
      <c r="FT14" s="293">
        <v>5.3178165647190001</v>
      </c>
      <c r="FU14" s="293">
        <v>2.605270743862</v>
      </c>
      <c r="FV14" s="1288">
        <v>6.1800606386219998</v>
      </c>
      <c r="FW14" s="293">
        <v>1.989558949691</v>
      </c>
      <c r="FX14" s="293">
        <v>1.006461941889</v>
      </c>
      <c r="FY14" s="293" t="s">
        <v>782</v>
      </c>
      <c r="FZ14" s="293">
        <v>1.765058101493</v>
      </c>
      <c r="GA14" s="293">
        <v>2.1901079727150004</v>
      </c>
      <c r="GB14" s="293">
        <v>2.9452805239109998</v>
      </c>
      <c r="GC14" s="293">
        <v>0</v>
      </c>
      <c r="GD14" s="293">
        <v>2.5872853970460001</v>
      </c>
      <c r="GE14" s="293">
        <v>0</v>
      </c>
      <c r="GF14" s="293">
        <v>2.1750678848639997</v>
      </c>
      <c r="GG14" s="293">
        <v>0</v>
      </c>
      <c r="GH14" s="293">
        <v>5.0316258258820001</v>
      </c>
      <c r="GI14" s="293"/>
      <c r="GJ14" s="293"/>
      <c r="GK14" s="293"/>
      <c r="GL14" s="293"/>
      <c r="GM14" s="293"/>
      <c r="GN14" s="293"/>
      <c r="GO14" s="293"/>
      <c r="GP14" s="293"/>
      <c r="GQ14" s="293"/>
      <c r="GR14" s="293"/>
      <c r="GS14" s="293"/>
      <c r="GT14" s="293"/>
      <c r="GU14" s="293"/>
      <c r="GV14" s="293"/>
      <c r="GW14" s="293"/>
      <c r="GX14" s="293"/>
      <c r="GY14" s="293"/>
      <c r="GZ14" s="293"/>
      <c r="HA14" s="293"/>
      <c r="HB14" s="293"/>
      <c r="HC14" s="293"/>
      <c r="HD14" s="293"/>
      <c r="HE14" s="293"/>
      <c r="HF14" s="293"/>
      <c r="HG14" s="293"/>
      <c r="HH14" s="293"/>
      <c r="HI14" s="293"/>
      <c r="HJ14" s="293"/>
      <c r="HK14" s="293"/>
      <c r="HL14" s="293"/>
      <c r="HM14" s="293"/>
      <c r="HN14" s="293"/>
      <c r="HO14" s="293"/>
      <c r="HP14" s="293"/>
      <c r="HQ14" s="293"/>
      <c r="HR14" s="293"/>
      <c r="HS14" s="293"/>
      <c r="HT14" s="293"/>
      <c r="HU14" s="293"/>
      <c r="HV14" s="293"/>
      <c r="HW14" s="293"/>
      <c r="HX14" s="293"/>
      <c r="HY14" s="293"/>
      <c r="IH14" s="279">
        <f t="shared" si="4"/>
        <v>1.318924269557</v>
      </c>
      <c r="II14" s="279">
        <f t="shared" si="5"/>
        <v>3.0918324800680002</v>
      </c>
      <c r="IJ14" s="279">
        <f t="shared" si="2"/>
        <v>4.4107567496250004</v>
      </c>
      <c r="IK14" s="279">
        <f t="shared" si="6"/>
        <v>1.6405287550350003</v>
      </c>
      <c r="KT14" s="280"/>
    </row>
    <row r="15" spans="1:314" outlineLevel="1">
      <c r="B15" s="96" t="s">
        <v>338</v>
      </c>
      <c r="D15" s="296" t="s">
        <v>347</v>
      </c>
      <c r="E15" s="293"/>
      <c r="F15" s="293"/>
      <c r="G15" s="293"/>
      <c r="H15" s="293"/>
      <c r="I15" s="293"/>
      <c r="J15" s="293"/>
      <c r="K15" s="293"/>
      <c r="L15" s="293"/>
      <c r="M15" s="293"/>
      <c r="N15" s="293"/>
      <c r="O15" s="293"/>
      <c r="P15" s="293"/>
      <c r="Q15" s="293"/>
      <c r="R15" s="293"/>
      <c r="S15" s="293"/>
      <c r="T15" s="293"/>
      <c r="U15" s="293"/>
      <c r="V15" s="293"/>
      <c r="W15" s="293"/>
      <c r="X15" s="293"/>
      <c r="Y15" s="293"/>
      <c r="Z15" s="293"/>
      <c r="AA15" s="293"/>
      <c r="AB15" s="293"/>
      <c r="AC15" s="293"/>
      <c r="AD15" s="293"/>
      <c r="AE15" s="293"/>
      <c r="AF15" s="293"/>
      <c r="AG15" s="293"/>
      <c r="AH15" s="293"/>
      <c r="AI15" s="293"/>
      <c r="AJ15" s="293"/>
      <c r="AK15" s="293"/>
      <c r="AL15" s="293"/>
      <c r="AM15" s="293"/>
      <c r="AN15" s="293"/>
      <c r="AO15" s="293">
        <v>0</v>
      </c>
      <c r="AP15" s="293">
        <v>0</v>
      </c>
      <c r="AQ15" s="293">
        <v>5.5145709689639673E-2</v>
      </c>
      <c r="AR15" s="293">
        <v>0</v>
      </c>
      <c r="AS15" s="293">
        <v>0</v>
      </c>
      <c r="AT15" s="293">
        <v>3.8856512545183117E-2</v>
      </c>
      <c r="AU15" s="293">
        <v>0</v>
      </c>
      <c r="AV15" s="293">
        <v>0</v>
      </c>
      <c r="AW15" s="293">
        <v>0</v>
      </c>
      <c r="AX15" s="293">
        <v>0</v>
      </c>
      <c r="AY15" s="293">
        <v>0</v>
      </c>
      <c r="AZ15" s="293">
        <v>0</v>
      </c>
      <c r="BA15" s="293">
        <v>1.4362426939984267</v>
      </c>
      <c r="BB15" s="293">
        <v>0</v>
      </c>
      <c r="BC15" s="293">
        <v>0.56042527854030633</v>
      </c>
      <c r="BD15" s="293">
        <v>0.16064419107766489</v>
      </c>
      <c r="BE15" s="293">
        <v>6.0116321268729379E-2</v>
      </c>
      <c r="BF15" s="293">
        <v>0</v>
      </c>
      <c r="BG15" s="293">
        <v>0.83627570918513494</v>
      </c>
      <c r="BH15" s="293">
        <v>3.4356642175975165E-2</v>
      </c>
      <c r="BI15" s="293">
        <v>0</v>
      </c>
      <c r="BJ15" s="293">
        <v>0</v>
      </c>
      <c r="BK15" s="293">
        <v>1.0730895220860011</v>
      </c>
      <c r="BL15" s="293">
        <v>0.39148079538299901</v>
      </c>
      <c r="BM15" s="293">
        <v>0</v>
      </c>
      <c r="BN15" s="293">
        <v>0</v>
      </c>
      <c r="BO15" s="293">
        <v>0</v>
      </c>
      <c r="BP15" s="293">
        <v>5.9421745656795817E-2</v>
      </c>
      <c r="BQ15" s="293">
        <v>0</v>
      </c>
      <c r="BR15" s="293">
        <v>0</v>
      </c>
      <c r="BS15" s="293">
        <v>0</v>
      </c>
      <c r="BT15" s="293">
        <v>2.9062114096645008E-2</v>
      </c>
      <c r="BU15" s="293">
        <v>3.1387285514865131E-2</v>
      </c>
      <c r="BV15" s="293">
        <v>1.7091670804216429E-2</v>
      </c>
      <c r="BW15" s="293">
        <v>3.3831056593174383E-2</v>
      </c>
      <c r="BX15" s="293">
        <v>0.2363882549641034</v>
      </c>
      <c r="BY15" s="293">
        <v>9.9147664999999996E-2</v>
      </c>
      <c r="BZ15" s="293">
        <v>0</v>
      </c>
      <c r="CA15" s="293">
        <v>0</v>
      </c>
      <c r="CB15" s="293">
        <v>0.227307907</v>
      </c>
      <c r="CC15" s="293">
        <v>0.111897128</v>
      </c>
      <c r="CD15" s="293">
        <v>0.636716748</v>
      </c>
      <c r="CE15" s="294">
        <v>0</v>
      </c>
      <c r="CF15" s="293">
        <v>0.111963807</v>
      </c>
      <c r="CG15" s="293">
        <v>0.16341673200000001</v>
      </c>
      <c r="CH15" s="293">
        <v>0</v>
      </c>
      <c r="CI15" s="293">
        <v>4.7216342000000001E-2</v>
      </c>
      <c r="CJ15" s="293">
        <v>0</v>
      </c>
      <c r="CK15" s="293">
        <v>4.5068199963000002E-2</v>
      </c>
      <c r="CL15" s="293">
        <v>0</v>
      </c>
      <c r="CM15" s="293">
        <v>0.57428198502600003</v>
      </c>
      <c r="CN15" s="293">
        <v>6.4206444897000003E-2</v>
      </c>
      <c r="CO15" s="293">
        <v>0</v>
      </c>
      <c r="CP15" s="295">
        <v>0.68579579402799995</v>
      </c>
      <c r="CQ15" s="293">
        <v>0</v>
      </c>
      <c r="CR15" s="293">
        <v>0</v>
      </c>
      <c r="CS15" s="293">
        <v>0.86522042536900001</v>
      </c>
      <c r="CT15" s="293">
        <v>0.39645159378600003</v>
      </c>
      <c r="CU15" s="293">
        <v>0.28064657799999998</v>
      </c>
      <c r="CV15" s="293">
        <v>0.18965442298500002</v>
      </c>
      <c r="CW15" s="293">
        <v>0</v>
      </c>
      <c r="CX15" s="293">
        <v>8.1037126429999995E-3</v>
      </c>
      <c r="CY15" s="293">
        <v>0.43331470500000002</v>
      </c>
      <c r="CZ15" s="293">
        <v>0.72874135900000003</v>
      </c>
      <c r="DA15" s="293">
        <v>0.58992677946599992</v>
      </c>
      <c r="DB15" s="1288">
        <v>3.9106876277000005E-2</v>
      </c>
      <c r="DC15" s="293">
        <v>0.39297279852299999</v>
      </c>
      <c r="DD15" s="293">
        <v>0.31874791800000002</v>
      </c>
      <c r="DE15" s="293">
        <v>1.807316938836</v>
      </c>
      <c r="DF15" s="293">
        <v>0</v>
      </c>
      <c r="DG15" s="293">
        <v>0</v>
      </c>
      <c r="DH15" s="293">
        <v>0</v>
      </c>
      <c r="DI15" s="293">
        <v>0.39636885064999999</v>
      </c>
      <c r="DJ15" s="293">
        <v>0</v>
      </c>
      <c r="DK15" s="293">
        <v>0</v>
      </c>
      <c r="DL15" s="293">
        <v>0</v>
      </c>
      <c r="DM15" s="293">
        <v>0</v>
      </c>
      <c r="DN15" s="295">
        <v>0</v>
      </c>
      <c r="DO15" s="293">
        <v>0.69421433991900006</v>
      </c>
      <c r="DP15" s="293">
        <v>0</v>
      </c>
      <c r="DQ15" s="293">
        <v>0</v>
      </c>
      <c r="DR15" s="293">
        <v>0.83719511631099996</v>
      </c>
      <c r="DS15" s="293">
        <v>0</v>
      </c>
      <c r="DT15" s="293">
        <v>0.47036653392700001</v>
      </c>
      <c r="DU15" s="293">
        <v>0</v>
      </c>
      <c r="DV15" s="293">
        <v>0</v>
      </c>
      <c r="DW15" s="293">
        <v>0</v>
      </c>
      <c r="DX15" s="293">
        <v>0</v>
      </c>
      <c r="DY15" s="293">
        <v>0.44656365122300001</v>
      </c>
      <c r="DZ15" s="295">
        <v>0.56836205627500003</v>
      </c>
      <c r="EA15" s="293">
        <v>0.19964822262500001</v>
      </c>
      <c r="EB15" s="293">
        <v>0</v>
      </c>
      <c r="EC15" s="293">
        <v>0</v>
      </c>
      <c r="ED15" s="293">
        <v>0</v>
      </c>
      <c r="EE15" s="293">
        <v>0.34008854236699998</v>
      </c>
      <c r="EF15" s="293">
        <v>1.0501174047719999</v>
      </c>
      <c r="EG15" s="293">
        <v>0</v>
      </c>
      <c r="EH15" s="293">
        <v>0</v>
      </c>
      <c r="EI15" s="293">
        <v>0</v>
      </c>
      <c r="EJ15" s="293">
        <v>1.5901740747240001</v>
      </c>
      <c r="EK15" s="293">
        <v>0.63152250721600001</v>
      </c>
      <c r="EL15" s="295">
        <v>0</v>
      </c>
      <c r="EM15" s="1080">
        <v>0.54756133911000004</v>
      </c>
      <c r="EN15" s="1080">
        <v>0.245538131785</v>
      </c>
      <c r="EO15" s="1080">
        <v>0</v>
      </c>
      <c r="EP15" s="1080">
        <v>0.69634819987899998</v>
      </c>
      <c r="EQ15" s="1080">
        <v>5.9589602999999998E-2</v>
      </c>
      <c r="ER15" s="1080">
        <v>0</v>
      </c>
      <c r="ES15" s="1080">
        <v>1.680571919668</v>
      </c>
      <c r="ET15" s="1080">
        <v>0</v>
      </c>
      <c r="EU15" s="1080">
        <v>0.39788917029299997</v>
      </c>
      <c r="EV15" s="1080">
        <v>0.93053961782200001</v>
      </c>
      <c r="EW15" s="1080">
        <v>4.1044339999999999E-2</v>
      </c>
      <c r="EX15" s="1340">
        <v>0.58190508402100005</v>
      </c>
      <c r="EY15" s="1080"/>
      <c r="EZ15" s="1080"/>
      <c r="FA15" s="1080"/>
      <c r="FB15" s="1080"/>
      <c r="FC15" s="1080"/>
      <c r="FD15" s="1080"/>
      <c r="FE15" s="1080"/>
      <c r="FF15" s="1080"/>
      <c r="FG15" s="1080"/>
      <c r="FH15" s="1080"/>
      <c r="FI15" s="1080"/>
      <c r="FJ15" s="1340"/>
      <c r="FK15" s="1080">
        <v>0.840430022469</v>
      </c>
      <c r="FL15" s="1080">
        <v>0.17260172285800002</v>
      </c>
      <c r="FM15" s="1080">
        <v>0.33301274801800002</v>
      </c>
      <c r="FN15" s="1080">
        <v>0.48383616511400002</v>
      </c>
      <c r="FO15" s="1080">
        <v>0.44761951201599998</v>
      </c>
      <c r="FP15" s="1080">
        <v>0.8889884954809999</v>
      </c>
      <c r="FQ15" s="293">
        <v>0</v>
      </c>
      <c r="FR15" s="293">
        <v>0</v>
      </c>
      <c r="FS15" s="293">
        <v>3.9308362146799998</v>
      </c>
      <c r="FT15" s="293">
        <v>2.4134086697880002</v>
      </c>
      <c r="FU15" s="293">
        <v>0</v>
      </c>
      <c r="FV15" s="1288">
        <v>1.684519010099</v>
      </c>
      <c r="FW15" s="293">
        <v>0.99299984325599999</v>
      </c>
      <c r="FX15" s="293">
        <v>0.12528313899999999</v>
      </c>
      <c r="FY15" s="293">
        <v>2.4417442177959998</v>
      </c>
      <c r="FZ15" s="293">
        <v>0.51298695462099997</v>
      </c>
      <c r="GA15" s="293">
        <v>0</v>
      </c>
      <c r="GB15" s="293">
        <v>0.92428405999999996</v>
      </c>
      <c r="GC15" s="293">
        <v>0.49298856232900001</v>
      </c>
      <c r="GD15" s="293">
        <v>0</v>
      </c>
      <c r="GE15" s="293">
        <v>0</v>
      </c>
      <c r="GF15" s="293">
        <v>0.55951096486600005</v>
      </c>
      <c r="GG15" s="293">
        <v>0</v>
      </c>
      <c r="GH15" s="293">
        <v>0.31547917483799998</v>
      </c>
      <c r="GI15" s="293"/>
      <c r="GJ15" s="293"/>
      <c r="GK15" s="293"/>
      <c r="GL15" s="293"/>
      <c r="GM15" s="293"/>
      <c r="GN15" s="293"/>
      <c r="GO15" s="293"/>
      <c r="GP15" s="293"/>
      <c r="GQ15" s="293"/>
      <c r="GR15" s="293"/>
      <c r="GS15" s="293"/>
      <c r="GT15" s="293"/>
      <c r="GU15" s="293"/>
      <c r="GV15" s="293"/>
      <c r="GW15" s="293"/>
      <c r="GX15" s="293"/>
      <c r="GY15" s="293"/>
      <c r="GZ15" s="293"/>
      <c r="HA15" s="293"/>
      <c r="HB15" s="293"/>
      <c r="HC15" s="293"/>
      <c r="HD15" s="293"/>
      <c r="HE15" s="293"/>
      <c r="HF15" s="293"/>
      <c r="HG15" s="293"/>
      <c r="HH15" s="293"/>
      <c r="HI15" s="293"/>
      <c r="HJ15" s="293"/>
      <c r="HK15" s="293"/>
      <c r="HL15" s="293"/>
      <c r="HM15" s="293"/>
      <c r="HN15" s="293"/>
      <c r="HO15" s="293"/>
      <c r="HP15" s="293"/>
      <c r="HQ15" s="293"/>
      <c r="HR15" s="293"/>
      <c r="HS15" s="293"/>
      <c r="HT15" s="293"/>
      <c r="HU15" s="293"/>
      <c r="HV15" s="293"/>
      <c r="HW15" s="293"/>
      <c r="HX15" s="293"/>
      <c r="HY15" s="293"/>
      <c r="IH15" s="279">
        <f t="shared" si="4"/>
        <v>2.5190376553589999</v>
      </c>
      <c r="II15" s="279">
        <f t="shared" si="5"/>
        <v>0.39636885064999999</v>
      </c>
      <c r="IJ15" s="279">
        <f t="shared" si="2"/>
        <v>2.915406506009</v>
      </c>
      <c r="IK15" s="279">
        <f t="shared" si="6"/>
        <v>2.0017759901570003</v>
      </c>
      <c r="KT15" s="280"/>
    </row>
    <row r="16" spans="1:314" outlineLevel="1">
      <c r="B16" s="96" t="s">
        <v>338</v>
      </c>
      <c r="D16" s="296" t="s">
        <v>348</v>
      </c>
      <c r="E16" s="293"/>
      <c r="F16" s="293"/>
      <c r="G16" s="293"/>
      <c r="H16" s="293"/>
      <c r="I16" s="293"/>
      <c r="J16" s="293"/>
      <c r="K16" s="293"/>
      <c r="L16" s="293"/>
      <c r="M16" s="293"/>
      <c r="N16" s="293"/>
      <c r="O16" s="293"/>
      <c r="P16" s="293"/>
      <c r="Q16" s="293"/>
      <c r="R16" s="293"/>
      <c r="S16" s="293"/>
      <c r="T16" s="293"/>
      <c r="U16" s="293"/>
      <c r="V16" s="293"/>
      <c r="W16" s="293"/>
      <c r="X16" s="293"/>
      <c r="Y16" s="293"/>
      <c r="Z16" s="293"/>
      <c r="AA16" s="293"/>
      <c r="AB16" s="293"/>
      <c r="AC16" s="293"/>
      <c r="AD16" s="293"/>
      <c r="AE16" s="293"/>
      <c r="AF16" s="293"/>
      <c r="AG16" s="293"/>
      <c r="AH16" s="293"/>
      <c r="AI16" s="293"/>
      <c r="AJ16" s="293"/>
      <c r="AK16" s="293"/>
      <c r="AL16" s="293"/>
      <c r="AM16" s="293"/>
      <c r="AN16" s="293"/>
      <c r="AO16" s="293">
        <v>0</v>
      </c>
      <c r="AP16" s="293">
        <v>0</v>
      </c>
      <c r="AQ16" s="293">
        <v>0.30836062464245823</v>
      </c>
      <c r="AR16" s="293">
        <v>0</v>
      </c>
      <c r="AS16" s="293">
        <v>0</v>
      </c>
      <c r="AT16" s="293">
        <v>0</v>
      </c>
      <c r="AU16" s="293">
        <v>0</v>
      </c>
      <c r="AV16" s="293">
        <v>0</v>
      </c>
      <c r="AW16" s="293">
        <v>0</v>
      </c>
      <c r="AX16" s="293">
        <v>0.15638905726962565</v>
      </c>
      <c r="AY16" s="293">
        <v>0</v>
      </c>
      <c r="AZ16" s="293">
        <v>0</v>
      </c>
      <c r="BA16" s="293">
        <v>0</v>
      </c>
      <c r="BB16" s="293">
        <v>0</v>
      </c>
      <c r="BC16" s="293">
        <v>0</v>
      </c>
      <c r="BD16" s="293">
        <v>0</v>
      </c>
      <c r="BE16" s="293">
        <v>0</v>
      </c>
      <c r="BF16" s="293">
        <v>0</v>
      </c>
      <c r="BG16" s="293">
        <v>0</v>
      </c>
      <c r="BH16" s="293">
        <v>0</v>
      </c>
      <c r="BI16" s="293">
        <v>0</v>
      </c>
      <c r="BJ16" s="293">
        <v>0</v>
      </c>
      <c r="BK16" s="293">
        <v>0</v>
      </c>
      <c r="BL16" s="293">
        <v>0</v>
      </c>
      <c r="BM16" s="293">
        <v>0</v>
      </c>
      <c r="BN16" s="293">
        <v>0</v>
      </c>
      <c r="BO16" s="293">
        <v>0</v>
      </c>
      <c r="BP16" s="293">
        <v>0</v>
      </c>
      <c r="BQ16" s="293">
        <v>0</v>
      </c>
      <c r="BR16" s="293">
        <v>0</v>
      </c>
      <c r="BS16" s="293">
        <v>0</v>
      </c>
      <c r="BT16" s="293">
        <v>0</v>
      </c>
      <c r="BU16" s="293">
        <v>0</v>
      </c>
      <c r="BV16" s="293">
        <v>0</v>
      </c>
      <c r="BW16" s="293">
        <v>0</v>
      </c>
      <c r="BX16" s="293">
        <v>0</v>
      </c>
      <c r="BY16" s="293">
        <v>0</v>
      </c>
      <c r="BZ16" s="293">
        <v>0</v>
      </c>
      <c r="CA16" s="293">
        <v>0</v>
      </c>
      <c r="CB16" s="293">
        <v>0</v>
      </c>
      <c r="CC16" s="293">
        <v>0</v>
      </c>
      <c r="CD16" s="293">
        <v>0</v>
      </c>
      <c r="CE16" s="294">
        <v>0</v>
      </c>
      <c r="CF16" s="293">
        <v>0</v>
      </c>
      <c r="CG16" s="293">
        <v>0</v>
      </c>
      <c r="CH16" s="293">
        <v>0</v>
      </c>
      <c r="CI16" s="293">
        <v>0</v>
      </c>
      <c r="CJ16" s="293">
        <v>0.13881025699999999</v>
      </c>
      <c r="CK16" s="293">
        <v>0.10178113997400001</v>
      </c>
      <c r="CL16" s="293">
        <v>3.4927264475000004E-2</v>
      </c>
      <c r="CM16" s="293">
        <v>3.0593679925000002E-2</v>
      </c>
      <c r="CN16" s="293">
        <v>0</v>
      </c>
      <c r="CO16" s="293">
        <v>0</v>
      </c>
      <c r="CP16" s="295">
        <v>0</v>
      </c>
      <c r="CQ16" s="293">
        <v>0</v>
      </c>
      <c r="CR16" s="293">
        <v>0</v>
      </c>
      <c r="CS16" s="293">
        <v>0</v>
      </c>
      <c r="CT16" s="293">
        <v>0</v>
      </c>
      <c r="CU16" s="293">
        <v>0</v>
      </c>
      <c r="CV16" s="293">
        <v>0</v>
      </c>
      <c r="CW16" s="293">
        <v>0</v>
      </c>
      <c r="CX16" s="293">
        <v>0</v>
      </c>
      <c r="CY16" s="293">
        <v>0</v>
      </c>
      <c r="CZ16" s="293">
        <v>0</v>
      </c>
      <c r="DA16" s="293">
        <v>0</v>
      </c>
      <c r="DB16" s="1288">
        <v>0</v>
      </c>
      <c r="DC16" s="293">
        <v>0</v>
      </c>
      <c r="DD16" s="293">
        <v>0.22555105915999998</v>
      </c>
      <c r="DE16" s="293">
        <v>0</v>
      </c>
      <c r="DF16" s="293">
        <v>2.7255230151100003</v>
      </c>
      <c r="DG16" s="293">
        <v>0</v>
      </c>
      <c r="DH16" s="293">
        <v>0</v>
      </c>
      <c r="DI16" s="293">
        <v>0</v>
      </c>
      <c r="DJ16" s="293">
        <v>0.2392511618</v>
      </c>
      <c r="DK16" s="293">
        <v>0</v>
      </c>
      <c r="DL16" s="293">
        <v>0</v>
      </c>
      <c r="DM16" s="293">
        <v>0.58986174650000001</v>
      </c>
      <c r="DN16" s="295">
        <v>0</v>
      </c>
      <c r="DO16" s="293">
        <v>0</v>
      </c>
      <c r="DP16" s="293">
        <v>0</v>
      </c>
      <c r="DQ16" s="293">
        <v>0</v>
      </c>
      <c r="DR16" s="293">
        <v>0</v>
      </c>
      <c r="DS16" s="293">
        <v>1.3786968727620001</v>
      </c>
      <c r="DT16" s="293">
        <v>0.27185621597299997</v>
      </c>
      <c r="DU16" s="293">
        <v>0.56699715055299993</v>
      </c>
      <c r="DV16" s="293">
        <v>0.295197205071</v>
      </c>
      <c r="DW16" s="293">
        <v>0.9800665630319999</v>
      </c>
      <c r="DX16" s="293">
        <v>0.85589401307000001</v>
      </c>
      <c r="DY16" s="293">
        <v>0.32095934085900002</v>
      </c>
      <c r="DZ16" s="295">
        <v>0.20591534028299999</v>
      </c>
      <c r="EA16" s="293">
        <v>0.35360736174500002</v>
      </c>
      <c r="EB16" s="293">
        <v>1.5075551773410001</v>
      </c>
      <c r="EC16" s="293">
        <v>8.7778389078999999E-2</v>
      </c>
      <c r="ED16" s="293">
        <v>0.32602503338200001</v>
      </c>
      <c r="EE16" s="293">
        <v>0.50780080967300001</v>
      </c>
      <c r="EF16" s="293">
        <v>0.74201893375600003</v>
      </c>
      <c r="EG16" s="293">
        <v>0.22591377923</v>
      </c>
      <c r="EH16" s="293">
        <v>9.4684850000000001E-2</v>
      </c>
      <c r="EI16" s="293">
        <v>0.85160641731300002</v>
      </c>
      <c r="EJ16" s="293">
        <v>0.152956887806</v>
      </c>
      <c r="EK16" s="293">
        <v>0.35203509069</v>
      </c>
      <c r="EL16" s="295">
        <v>0.29074056025099998</v>
      </c>
      <c r="EM16" s="1080">
        <v>0.97738845805599994</v>
      </c>
      <c r="EN16" s="1080">
        <v>2.6186236510000002E-2</v>
      </c>
      <c r="EO16" s="1080">
        <v>0.11514031550499999</v>
      </c>
      <c r="EP16" s="1080">
        <v>0.8309283364429999</v>
      </c>
      <c r="EQ16" s="1080">
        <v>0.34972738640899997</v>
      </c>
      <c r="ER16" s="1080">
        <v>1.262201904089</v>
      </c>
      <c r="ES16" s="1080">
        <v>0.32840445906900001</v>
      </c>
      <c r="ET16" s="1080">
        <v>0.66767252266599997</v>
      </c>
      <c r="EU16" s="1080">
        <v>0</v>
      </c>
      <c r="EV16" s="1080">
        <v>0.35159372478100004</v>
      </c>
      <c r="EW16" s="1080">
        <v>0.47149621695900001</v>
      </c>
      <c r="EX16" s="1340">
        <v>2.7868466803429999</v>
      </c>
      <c r="EY16" s="1080"/>
      <c r="EZ16" s="1080"/>
      <c r="FA16" s="1080"/>
      <c r="FB16" s="1080"/>
      <c r="FC16" s="1080"/>
      <c r="FD16" s="1080"/>
      <c r="FE16" s="1080"/>
      <c r="FF16" s="1080"/>
      <c r="FG16" s="1080"/>
      <c r="FH16" s="1080"/>
      <c r="FI16" s="1080"/>
      <c r="FJ16" s="1340"/>
      <c r="FK16" s="1080">
        <v>1.8626267087969999</v>
      </c>
      <c r="FL16" s="1080">
        <v>1.811210023671</v>
      </c>
      <c r="FM16" s="1080">
        <v>0.37321769487599998</v>
      </c>
      <c r="FN16" s="1080" t="s">
        <v>782</v>
      </c>
      <c r="FO16" s="1080">
        <v>2.4209464606590001</v>
      </c>
      <c r="FP16" s="1080">
        <v>0.25096082383000001</v>
      </c>
      <c r="FQ16" s="293">
        <v>0</v>
      </c>
      <c r="FR16" s="293">
        <v>0.45617892798199999</v>
      </c>
      <c r="FS16" s="293">
        <v>0.63408395614699997</v>
      </c>
      <c r="FT16" s="293">
        <v>0.55448333623000001</v>
      </c>
      <c r="FU16" s="293">
        <v>0.37194545728899997</v>
      </c>
      <c r="FV16" s="1288">
        <v>0.68865482595000005</v>
      </c>
      <c r="FW16" s="293" t="s">
        <v>782</v>
      </c>
      <c r="FX16" s="293">
        <v>0.84203425015400002</v>
      </c>
      <c r="FY16" s="293">
        <v>1.211814815408</v>
      </c>
      <c r="FZ16" s="293">
        <v>1.661089649849</v>
      </c>
      <c r="GA16" s="293">
        <v>0</v>
      </c>
      <c r="GB16" s="293">
        <v>0</v>
      </c>
      <c r="GC16" s="293">
        <v>0</v>
      </c>
      <c r="GD16" s="293">
        <v>0</v>
      </c>
      <c r="GE16" s="293">
        <v>0</v>
      </c>
      <c r="GF16" s="293">
        <v>0</v>
      </c>
      <c r="GG16" s="293">
        <v>0</v>
      </c>
      <c r="GH16" s="293">
        <v>0</v>
      </c>
      <c r="GI16" s="293"/>
      <c r="GJ16" s="293"/>
      <c r="GK16" s="293"/>
      <c r="GL16" s="293"/>
      <c r="GM16" s="293"/>
      <c r="GN16" s="293"/>
      <c r="GO16" s="293"/>
      <c r="GP16" s="293"/>
      <c r="GQ16" s="293"/>
      <c r="GR16" s="293"/>
      <c r="GS16" s="293"/>
      <c r="GT16" s="293"/>
      <c r="GU16" s="293"/>
      <c r="GV16" s="293"/>
      <c r="GW16" s="293"/>
      <c r="GX16" s="293"/>
      <c r="GY16" s="293"/>
      <c r="GZ16" s="293"/>
      <c r="HA16" s="293"/>
      <c r="HB16" s="293"/>
      <c r="HC16" s="293"/>
      <c r="HD16" s="293"/>
      <c r="HE16" s="293"/>
      <c r="HF16" s="293"/>
      <c r="HG16" s="293"/>
      <c r="HH16" s="293"/>
      <c r="HI16" s="293"/>
      <c r="HJ16" s="293"/>
      <c r="HK16" s="293"/>
      <c r="HL16" s="293"/>
      <c r="HM16" s="293"/>
      <c r="HN16" s="293"/>
      <c r="HO16" s="293"/>
      <c r="HP16" s="293"/>
      <c r="HQ16" s="293"/>
      <c r="HR16" s="293"/>
      <c r="HS16" s="293"/>
      <c r="HT16" s="293"/>
      <c r="HU16" s="293"/>
      <c r="HV16" s="293"/>
      <c r="HW16" s="293"/>
      <c r="HX16" s="293"/>
      <c r="HY16" s="293"/>
      <c r="IH16" s="279">
        <f t="shared" si="4"/>
        <v>2.9510740742700001</v>
      </c>
      <c r="II16" s="279">
        <f t="shared" si="5"/>
        <v>0.82911290829999995</v>
      </c>
      <c r="IJ16" s="279">
        <f t="shared" si="2"/>
        <v>3.7801869825700001</v>
      </c>
      <c r="IK16" s="279">
        <f t="shared" si="6"/>
        <v>1.6505530887350002</v>
      </c>
      <c r="KT16" s="280"/>
    </row>
    <row r="17" spans="1:306" outlineLevel="1">
      <c r="B17" s="96" t="s">
        <v>338</v>
      </c>
      <c r="D17" s="296" t="s">
        <v>349</v>
      </c>
      <c r="E17" s="293"/>
      <c r="F17" s="293"/>
      <c r="G17" s="293"/>
      <c r="H17" s="293"/>
      <c r="I17" s="293"/>
      <c r="J17" s="293"/>
      <c r="K17" s="293"/>
      <c r="L17" s="293"/>
      <c r="M17" s="293"/>
      <c r="N17" s="293"/>
      <c r="O17" s="293"/>
      <c r="P17" s="293"/>
      <c r="Q17" s="293"/>
      <c r="R17" s="293"/>
      <c r="S17" s="293"/>
      <c r="T17" s="293"/>
      <c r="U17" s="293"/>
      <c r="V17" s="293"/>
      <c r="W17" s="293"/>
      <c r="X17" s="293"/>
      <c r="Y17" s="293"/>
      <c r="Z17" s="293"/>
      <c r="AA17" s="293"/>
      <c r="AB17" s="293"/>
      <c r="AC17" s="293"/>
      <c r="AD17" s="293"/>
      <c r="AE17" s="293"/>
      <c r="AF17" s="293"/>
      <c r="AG17" s="293"/>
      <c r="AH17" s="293"/>
      <c r="AI17" s="293"/>
      <c r="AJ17" s="293"/>
      <c r="AK17" s="293"/>
      <c r="AL17" s="293"/>
      <c r="AM17" s="293"/>
      <c r="AN17" s="293"/>
      <c r="AO17" s="293">
        <v>0.33855190364412385</v>
      </c>
      <c r="AP17" s="293">
        <v>0</v>
      </c>
      <c r="AQ17" s="293">
        <v>0.31134720201117783</v>
      </c>
      <c r="AR17" s="293">
        <v>0.36958119308734783</v>
      </c>
      <c r="AS17" s="293">
        <v>0.58613594179121897</v>
      </c>
      <c r="AT17" s="293">
        <v>0.55568300279352145</v>
      </c>
      <c r="AU17" s="293">
        <v>1.7681560903500004E-4</v>
      </c>
      <c r="AV17" s="293">
        <v>0.53252607878127811</v>
      </c>
      <c r="AW17" s="293">
        <v>0.18486280357499213</v>
      </c>
      <c r="AX17" s="293">
        <v>2.8548894700353085</v>
      </c>
      <c r="AY17" s="293">
        <v>1.098606121503651E-2</v>
      </c>
      <c r="AZ17" s="293">
        <v>0.1796419610325373</v>
      </c>
      <c r="BA17" s="293">
        <v>2.0074144277487482</v>
      </c>
      <c r="BB17" s="293">
        <v>2.2083189090922226</v>
      </c>
      <c r="BC17" s="293">
        <v>1.9596896386010971</v>
      </c>
      <c r="BD17" s="293">
        <v>1.6228235463462208</v>
      </c>
      <c r="BE17" s="293">
        <v>3.3886493142356215</v>
      </c>
      <c r="BF17" s="293">
        <v>0.71925519660708381</v>
      </c>
      <c r="BG17" s="293">
        <v>1.9113975608443423</v>
      </c>
      <c r="BH17" s="293">
        <v>1.7817193354440028</v>
      </c>
      <c r="BI17" s="293">
        <v>1.0014922069776067</v>
      </c>
      <c r="BJ17" s="293">
        <v>1.8563527923604279</v>
      </c>
      <c r="BK17" s="293">
        <v>1.586457867036686</v>
      </c>
      <c r="BL17" s="293">
        <v>0.44624445247085243</v>
      </c>
      <c r="BM17" s="293">
        <v>1.627721160125464</v>
      </c>
      <c r="BN17" s="293">
        <v>1.1564071394442847</v>
      </c>
      <c r="BO17" s="293">
        <v>2.291399802652589</v>
      </c>
      <c r="BP17" s="293">
        <v>0.47491831800340084</v>
      </c>
      <c r="BQ17" s="293">
        <v>1.560281435826623</v>
      </c>
      <c r="BR17" s="293">
        <v>2.9358879021649784</v>
      </c>
      <c r="BS17" s="293">
        <v>0</v>
      </c>
      <c r="BT17" s="293">
        <v>6.9158268959234119</v>
      </c>
      <c r="BU17" s="293">
        <v>2.1978313202719719</v>
      </c>
      <c r="BV17" s="293">
        <v>0.62120544830408575</v>
      </c>
      <c r="BW17" s="293">
        <v>3.6087456821974211</v>
      </c>
      <c r="BX17" s="293">
        <v>1.562985823762119</v>
      </c>
      <c r="BY17" s="293">
        <v>0.797745555</v>
      </c>
      <c r="BZ17" s="293">
        <v>2.793872291</v>
      </c>
      <c r="CA17" s="293">
        <v>2.6443026490000001</v>
      </c>
      <c r="CB17" s="293">
        <v>0.73768946899999999</v>
      </c>
      <c r="CC17" s="293">
        <v>3.9671887909999999</v>
      </c>
      <c r="CD17" s="293">
        <v>2.0971520080000001</v>
      </c>
      <c r="CE17" s="294">
        <v>4.9927896279999997</v>
      </c>
      <c r="CF17" s="293">
        <v>2.0344760169999998</v>
      </c>
      <c r="CG17" s="293">
        <v>2.233281523</v>
      </c>
      <c r="CH17" s="293">
        <v>2.9437945700000001</v>
      </c>
      <c r="CI17" s="293">
        <v>1.698187624</v>
      </c>
      <c r="CJ17" s="293">
        <v>1.9657278170000001</v>
      </c>
      <c r="CK17" s="293">
        <v>8.6240498227539995</v>
      </c>
      <c r="CL17" s="293">
        <v>0.97412893533800005</v>
      </c>
      <c r="CM17" s="293">
        <v>0.61258721095499991</v>
      </c>
      <c r="CN17" s="293">
        <v>0.55244815589199991</v>
      </c>
      <c r="CO17" s="293">
        <v>5.3929450801819998</v>
      </c>
      <c r="CP17" s="295">
        <v>4.3170867350389992</v>
      </c>
      <c r="CQ17" s="293">
        <v>5.2889461115620007</v>
      </c>
      <c r="CR17" s="293">
        <v>3.0401654257100001</v>
      </c>
      <c r="CS17" s="293">
        <v>6.679492927698</v>
      </c>
      <c r="CT17" s="293">
        <v>1.9499304969589999</v>
      </c>
      <c r="CU17" s="293">
        <v>2.5904300050170002</v>
      </c>
      <c r="CV17" s="293">
        <v>6.0595469789059999</v>
      </c>
      <c r="CW17" s="293">
        <v>3.736838548028</v>
      </c>
      <c r="CX17" s="293">
        <v>3.4641142257539999</v>
      </c>
      <c r="CY17" s="293">
        <v>5.0004132840109996</v>
      </c>
      <c r="CZ17" s="293">
        <v>2.6704488259629997</v>
      </c>
      <c r="DA17" s="293">
        <v>4.5714071228559998</v>
      </c>
      <c r="DB17" s="1288">
        <v>5.6210082731310003</v>
      </c>
      <c r="DC17" s="293">
        <v>1.5805202322160001</v>
      </c>
      <c r="DD17" s="293">
        <v>1.746338425944</v>
      </c>
      <c r="DE17" s="293">
        <v>1.777324866407997</v>
      </c>
      <c r="DF17" s="293">
        <v>2.698834795637</v>
      </c>
      <c r="DG17" s="293">
        <v>2.1883567193869999</v>
      </c>
      <c r="DH17" s="293">
        <v>6.0380495024049985</v>
      </c>
      <c r="DI17" s="293">
        <v>2.7577891864919999</v>
      </c>
      <c r="DJ17" s="293">
        <v>2.4804694308119997</v>
      </c>
      <c r="DK17" s="293">
        <v>7.7474050834709995</v>
      </c>
      <c r="DL17" s="293">
        <v>10.418803095227</v>
      </c>
      <c r="DM17" s="293">
        <v>4.5851539983269998</v>
      </c>
      <c r="DN17" s="295">
        <v>2.8197473283219998</v>
      </c>
      <c r="DO17" s="293">
        <v>1.83979213875</v>
      </c>
      <c r="DP17" s="293">
        <v>2.7107116616729998</v>
      </c>
      <c r="DQ17" s="293">
        <v>14.981349973805999</v>
      </c>
      <c r="DR17" s="293">
        <v>1.9042192160509988</v>
      </c>
      <c r="DS17" s="293">
        <v>3.9929392889819999</v>
      </c>
      <c r="DT17" s="293">
        <v>4.6062054690989989</v>
      </c>
      <c r="DU17" s="293">
        <v>5.2966603487550001</v>
      </c>
      <c r="DV17" s="293">
        <v>0.879445653371</v>
      </c>
      <c r="DW17" s="293">
        <v>5.0921869011109999</v>
      </c>
      <c r="DX17" s="293">
        <v>17.089886967251001</v>
      </c>
      <c r="DY17" s="293">
        <v>0.53169662601400003</v>
      </c>
      <c r="DZ17" s="295">
        <v>13.80472364651</v>
      </c>
      <c r="EA17" s="293">
        <v>0.76841537380700009</v>
      </c>
      <c r="EB17" s="293">
        <v>1.178340024345</v>
      </c>
      <c r="EC17" s="293">
        <v>1.3245516461759987</v>
      </c>
      <c r="ED17" s="293">
        <v>6.1345736700369997</v>
      </c>
      <c r="EE17" s="293">
        <v>2.7038618261789988</v>
      </c>
      <c r="EF17" s="293">
        <v>7.3971609489759977</v>
      </c>
      <c r="EG17" s="293">
        <v>8.7250784766609986</v>
      </c>
      <c r="EH17" s="293">
        <v>1.9588455612580002</v>
      </c>
      <c r="EI17" s="293">
        <v>13.597515409221002</v>
      </c>
      <c r="EJ17" s="293">
        <v>2.3972953954130003</v>
      </c>
      <c r="EK17" s="293">
        <v>7.1049149463099992</v>
      </c>
      <c r="EL17" s="295">
        <v>21.023927960369001</v>
      </c>
      <c r="EM17" s="1080">
        <v>0.43020289087399999</v>
      </c>
      <c r="EN17" s="1080">
        <v>0.99883471616999997</v>
      </c>
      <c r="EO17" s="1080">
        <v>8.5073556533589993</v>
      </c>
      <c r="EP17" s="1080">
        <v>0.2273989298529997</v>
      </c>
      <c r="EQ17" s="1080">
        <v>0.89324934977499992</v>
      </c>
      <c r="ER17" s="1080">
        <v>8.9367424312989954</v>
      </c>
      <c r="ES17" s="1080">
        <v>12.958628544143</v>
      </c>
      <c r="ET17" s="1080">
        <v>5.363306308936</v>
      </c>
      <c r="EU17" s="1080">
        <v>4.3981844449449996</v>
      </c>
      <c r="EV17" s="1080">
        <v>5.3981721493209998</v>
      </c>
      <c r="EW17" s="1080">
        <v>10.201897727186001</v>
      </c>
      <c r="EX17" s="1340">
        <v>27.188056232454002</v>
      </c>
      <c r="EY17" s="1080"/>
      <c r="EZ17" s="1080"/>
      <c r="FA17" s="1080"/>
      <c r="FB17" s="1080"/>
      <c r="FC17" s="1080"/>
      <c r="FD17" s="1080"/>
      <c r="FE17" s="1080"/>
      <c r="FF17" s="1080"/>
      <c r="FG17" s="1080"/>
      <c r="FH17" s="1080"/>
      <c r="FI17" s="1080"/>
      <c r="FJ17" s="1340"/>
      <c r="FK17" s="1080">
        <v>96.686721230108006</v>
      </c>
      <c r="FL17" s="1080">
        <v>21.811861975347998</v>
      </c>
      <c r="FM17" s="1080">
        <v>6.6989419774300005</v>
      </c>
      <c r="FN17" s="1080">
        <v>9.070540428695999</v>
      </c>
      <c r="FO17" s="1080">
        <v>7.5474681795159997</v>
      </c>
      <c r="FP17" s="1080">
        <v>12.457865922636</v>
      </c>
      <c r="FQ17" s="293">
        <v>0.95634603790100003</v>
      </c>
      <c r="FR17" s="293">
        <v>0.17695199337200002</v>
      </c>
      <c r="FS17" s="293">
        <v>0</v>
      </c>
      <c r="FT17" s="293">
        <v>1.8295049990599999</v>
      </c>
      <c r="FU17" s="293">
        <v>6.2484629E-2</v>
      </c>
      <c r="FV17" s="1288">
        <v>0</v>
      </c>
      <c r="FW17" s="293">
        <v>11.962703968295001</v>
      </c>
      <c r="FX17" s="293">
        <v>5.5927003425350001</v>
      </c>
      <c r="FY17" s="293">
        <v>23.856103993584</v>
      </c>
      <c r="FZ17" s="293">
        <v>8.1474089752130006</v>
      </c>
      <c r="GA17" s="293">
        <v>9.7931805755739987</v>
      </c>
      <c r="GB17" s="293">
        <v>8.1567610492969997</v>
      </c>
      <c r="GC17" s="293">
        <v>0.83453769383799981</v>
      </c>
      <c r="GD17" s="293">
        <v>2.4330393760849995</v>
      </c>
      <c r="GE17" s="293">
        <v>5.2320236857359923</v>
      </c>
      <c r="GF17" s="293">
        <v>6.4888941510620004</v>
      </c>
      <c r="GG17" s="293">
        <v>14.164006603239999</v>
      </c>
      <c r="GH17" s="293">
        <v>47.684859863566999</v>
      </c>
      <c r="GI17" s="293"/>
      <c r="GJ17" s="293"/>
      <c r="GK17" s="293"/>
      <c r="GL17" s="293"/>
      <c r="GM17" s="293"/>
      <c r="GN17" s="293"/>
      <c r="GO17" s="293"/>
      <c r="GP17" s="293"/>
      <c r="GQ17" s="293"/>
      <c r="GR17" s="293"/>
      <c r="GS17" s="293"/>
      <c r="GT17" s="293"/>
      <c r="GU17" s="293"/>
      <c r="GV17" s="293"/>
      <c r="GW17" s="293"/>
      <c r="GX17" s="293"/>
      <c r="GY17" s="293"/>
      <c r="GZ17" s="293"/>
      <c r="HA17" s="293"/>
      <c r="HB17" s="293"/>
      <c r="HC17" s="293"/>
      <c r="HD17" s="293"/>
      <c r="HE17" s="293"/>
      <c r="HF17" s="293"/>
      <c r="HG17" s="293"/>
      <c r="HH17" s="293"/>
      <c r="HI17" s="293"/>
      <c r="HJ17" s="293"/>
      <c r="HK17" s="293"/>
      <c r="HL17" s="293"/>
      <c r="HM17" s="293"/>
      <c r="HN17" s="293"/>
      <c r="HO17" s="293"/>
      <c r="HP17" s="293"/>
      <c r="HQ17" s="293"/>
      <c r="HR17" s="293"/>
      <c r="HS17" s="293"/>
      <c r="HT17" s="293"/>
      <c r="HU17" s="293"/>
      <c r="HV17" s="293"/>
      <c r="HW17" s="293"/>
      <c r="HX17" s="293"/>
      <c r="HY17" s="293"/>
      <c r="IH17" s="279">
        <f t="shared" si="4"/>
        <v>16.029424541996995</v>
      </c>
      <c r="II17" s="279">
        <f t="shared" si="5"/>
        <v>30.809368122650998</v>
      </c>
      <c r="IJ17" s="279">
        <f t="shared" si="2"/>
        <v>46.838792664647997</v>
      </c>
      <c r="IK17" s="279">
        <f t="shared" si="6"/>
        <v>30.035217748360996</v>
      </c>
      <c r="KT17" s="280"/>
    </row>
    <row r="18" spans="1:306" outlineLevel="1">
      <c r="B18" s="96" t="s">
        <v>338</v>
      </c>
      <c r="D18" s="296" t="s">
        <v>350</v>
      </c>
      <c r="E18" s="293"/>
      <c r="F18" s="293"/>
      <c r="G18" s="293"/>
      <c r="H18" s="293"/>
      <c r="I18" s="293"/>
      <c r="J18" s="293"/>
      <c r="K18" s="293"/>
      <c r="L18" s="293"/>
      <c r="M18" s="293"/>
      <c r="N18" s="293"/>
      <c r="O18" s="293"/>
      <c r="P18" s="293"/>
      <c r="Q18" s="293"/>
      <c r="R18" s="293"/>
      <c r="S18" s="293"/>
      <c r="T18" s="293"/>
      <c r="U18" s="293"/>
      <c r="V18" s="293"/>
      <c r="W18" s="293"/>
      <c r="X18" s="293"/>
      <c r="Y18" s="293"/>
      <c r="Z18" s="293"/>
      <c r="AA18" s="293"/>
      <c r="AB18" s="293"/>
      <c r="AC18" s="293"/>
      <c r="AD18" s="293"/>
      <c r="AE18" s="293"/>
      <c r="AF18" s="293"/>
      <c r="AG18" s="293"/>
      <c r="AH18" s="293"/>
      <c r="AI18" s="293"/>
      <c r="AJ18" s="293"/>
      <c r="AK18" s="293"/>
      <c r="AL18" s="293"/>
      <c r="AM18" s="293"/>
      <c r="AN18" s="293"/>
      <c r="AO18" s="293">
        <v>0</v>
      </c>
      <c r="AP18" s="293">
        <v>0.12489321485572014</v>
      </c>
      <c r="AQ18" s="293">
        <v>0.23909803229154075</v>
      </c>
      <c r="AR18" s="293">
        <v>0</v>
      </c>
      <c r="AS18" s="293">
        <v>0</v>
      </c>
      <c r="AT18" s="293">
        <v>0</v>
      </c>
      <c r="AU18" s="293">
        <v>0</v>
      </c>
      <c r="AV18" s="293">
        <v>0</v>
      </c>
      <c r="AW18" s="293">
        <v>0.37003519181093075</v>
      </c>
      <c r="AX18" s="293">
        <v>0</v>
      </c>
      <c r="AY18" s="293">
        <v>0</v>
      </c>
      <c r="AZ18" s="293">
        <v>0</v>
      </c>
      <c r="BA18" s="293">
        <v>0</v>
      </c>
      <c r="BB18" s="293">
        <v>0</v>
      </c>
      <c r="BC18" s="293">
        <v>0</v>
      </c>
      <c r="BD18" s="293">
        <v>0</v>
      </c>
      <c r="BE18" s="293">
        <v>0</v>
      </c>
      <c r="BF18" s="293">
        <v>0</v>
      </c>
      <c r="BG18" s="293">
        <v>0</v>
      </c>
      <c r="BH18" s="293">
        <v>0</v>
      </c>
      <c r="BI18" s="293">
        <v>0</v>
      </c>
      <c r="BJ18" s="293">
        <v>0</v>
      </c>
      <c r="BK18" s="293">
        <v>0</v>
      </c>
      <c r="BL18" s="293">
        <v>0</v>
      </c>
      <c r="BM18" s="293">
        <v>0</v>
      </c>
      <c r="BN18" s="293">
        <v>0</v>
      </c>
      <c r="BO18" s="293">
        <v>0</v>
      </c>
      <c r="BP18" s="293">
        <v>0</v>
      </c>
      <c r="BQ18" s="293">
        <v>0</v>
      </c>
      <c r="BR18" s="293">
        <v>0</v>
      </c>
      <c r="BS18" s="293">
        <v>0</v>
      </c>
      <c r="BT18" s="293">
        <v>0</v>
      </c>
      <c r="BU18" s="293">
        <v>0</v>
      </c>
      <c r="BV18" s="293">
        <v>0</v>
      </c>
      <c r="BW18" s="293">
        <v>0</v>
      </c>
      <c r="BX18" s="293">
        <v>0</v>
      </c>
      <c r="BY18" s="293">
        <v>0</v>
      </c>
      <c r="BZ18" s="293">
        <v>0</v>
      </c>
      <c r="CA18" s="293">
        <v>0</v>
      </c>
      <c r="CB18" s="293">
        <v>0</v>
      </c>
      <c r="CC18" s="293">
        <v>0</v>
      </c>
      <c r="CD18" s="293">
        <v>0</v>
      </c>
      <c r="CE18" s="294">
        <v>0</v>
      </c>
      <c r="CF18" s="293">
        <v>0</v>
      </c>
      <c r="CG18" s="293">
        <v>0</v>
      </c>
      <c r="CH18" s="293">
        <v>0</v>
      </c>
      <c r="CI18" s="293">
        <v>0</v>
      </c>
      <c r="CJ18" s="293">
        <v>0</v>
      </c>
      <c r="CK18" s="293">
        <v>0</v>
      </c>
      <c r="CL18" s="293">
        <v>0</v>
      </c>
      <c r="CM18" s="293">
        <v>0</v>
      </c>
      <c r="CN18" s="293">
        <v>0</v>
      </c>
      <c r="CO18" s="293">
        <v>0</v>
      </c>
      <c r="CP18" s="295">
        <v>0</v>
      </c>
      <c r="CQ18" s="293">
        <v>0</v>
      </c>
      <c r="CR18" s="293">
        <v>0</v>
      </c>
      <c r="CS18" s="293">
        <v>0</v>
      </c>
      <c r="CT18" s="293">
        <v>0</v>
      </c>
      <c r="CU18" s="293">
        <v>0</v>
      </c>
      <c r="CV18" s="293">
        <v>0</v>
      </c>
      <c r="CW18" s="293">
        <v>0</v>
      </c>
      <c r="CX18" s="293">
        <v>0</v>
      </c>
      <c r="CY18" s="293">
        <v>0</v>
      </c>
      <c r="CZ18" s="293">
        <v>0</v>
      </c>
      <c r="DA18" s="293">
        <v>0</v>
      </c>
      <c r="DB18" s="1288">
        <v>0</v>
      </c>
      <c r="DC18" s="293">
        <v>0</v>
      </c>
      <c r="DD18" s="293">
        <v>0</v>
      </c>
      <c r="DE18" s="293">
        <v>0</v>
      </c>
      <c r="DF18" s="293">
        <v>0</v>
      </c>
      <c r="DG18" s="293">
        <v>0</v>
      </c>
      <c r="DH18" s="293">
        <v>0</v>
      </c>
      <c r="DI18" s="293">
        <v>0</v>
      </c>
      <c r="DJ18" s="293">
        <v>0</v>
      </c>
      <c r="DK18" s="293">
        <v>0</v>
      </c>
      <c r="DL18" s="293">
        <v>0</v>
      </c>
      <c r="DM18" s="293">
        <v>0</v>
      </c>
      <c r="DN18" s="295">
        <v>0</v>
      </c>
      <c r="DO18" s="293">
        <v>0</v>
      </c>
      <c r="DP18" s="293">
        <v>0</v>
      </c>
      <c r="DQ18" s="293">
        <v>0</v>
      </c>
      <c r="DR18" s="293">
        <v>0</v>
      </c>
      <c r="DS18" s="293">
        <v>0</v>
      </c>
      <c r="DT18" s="293">
        <v>0</v>
      </c>
      <c r="DU18" s="293">
        <v>0</v>
      </c>
      <c r="DV18" s="293">
        <v>0</v>
      </c>
      <c r="DW18" s="293">
        <v>0</v>
      </c>
      <c r="DX18" s="293">
        <v>0</v>
      </c>
      <c r="DY18" s="293">
        <v>0</v>
      </c>
      <c r="DZ18" s="295">
        <v>0</v>
      </c>
      <c r="EA18" s="293">
        <v>0</v>
      </c>
      <c r="EB18" s="293">
        <v>0</v>
      </c>
      <c r="EC18" s="293">
        <v>0</v>
      </c>
      <c r="ED18" s="293">
        <v>0</v>
      </c>
      <c r="EE18" s="293">
        <v>0</v>
      </c>
      <c r="EF18" s="293">
        <v>0</v>
      </c>
      <c r="EG18" s="293">
        <v>0</v>
      </c>
      <c r="EH18" s="293">
        <v>0</v>
      </c>
      <c r="EI18" s="293">
        <v>0</v>
      </c>
      <c r="EJ18" s="293">
        <v>0</v>
      </c>
      <c r="EK18" s="293">
        <v>0</v>
      </c>
      <c r="EL18" s="295">
        <v>0</v>
      </c>
      <c r="EM18" s="1080">
        <v>0</v>
      </c>
      <c r="EN18" s="1080">
        <v>0</v>
      </c>
      <c r="EO18" s="1080">
        <v>0</v>
      </c>
      <c r="EP18" s="1080">
        <v>0</v>
      </c>
      <c r="EQ18" s="1080">
        <v>0</v>
      </c>
      <c r="ER18" s="1080">
        <v>0</v>
      </c>
      <c r="ES18" s="1080">
        <v>0</v>
      </c>
      <c r="ET18" s="1080">
        <v>0</v>
      </c>
      <c r="EU18" s="1080">
        <v>0</v>
      </c>
      <c r="EV18" s="1080">
        <v>0</v>
      </c>
      <c r="EW18" s="1080">
        <v>0</v>
      </c>
      <c r="EX18" s="1340">
        <v>0</v>
      </c>
      <c r="EY18" s="1080"/>
      <c r="EZ18" s="1080"/>
      <c r="FA18" s="1080"/>
      <c r="FB18" s="1080"/>
      <c r="FC18" s="1080"/>
      <c r="FD18" s="1080"/>
      <c r="FE18" s="1080"/>
      <c r="FF18" s="1080"/>
      <c r="FG18" s="1080"/>
      <c r="FH18" s="1080"/>
      <c r="FI18" s="1080"/>
      <c r="FJ18" s="1340"/>
      <c r="FK18" s="1080">
        <v>0</v>
      </c>
      <c r="FL18" s="1080">
        <v>0</v>
      </c>
      <c r="FM18" s="1080">
        <v>0</v>
      </c>
      <c r="FN18" s="1080">
        <v>0</v>
      </c>
      <c r="FO18" s="1080">
        <v>0</v>
      </c>
      <c r="FP18" s="1080">
        <v>0</v>
      </c>
      <c r="FQ18" s="293">
        <v>11.973351035448999</v>
      </c>
      <c r="FR18" s="293">
        <v>10.003837520611999</v>
      </c>
      <c r="FS18" s="293">
        <v>25.762679988261993</v>
      </c>
      <c r="FT18" s="293">
        <v>6.7727748809960007</v>
      </c>
      <c r="FU18" s="293">
        <v>5.6356721540069996</v>
      </c>
      <c r="FV18" s="1288">
        <v>22.781771527964999</v>
      </c>
      <c r="FW18" s="293">
        <v>0</v>
      </c>
      <c r="FX18" s="293">
        <v>0</v>
      </c>
      <c r="FY18" s="293">
        <v>0</v>
      </c>
      <c r="FZ18" s="293">
        <v>0</v>
      </c>
      <c r="GA18" s="293">
        <v>0</v>
      </c>
      <c r="GB18" s="293">
        <v>0</v>
      </c>
      <c r="GC18" s="293">
        <v>0</v>
      </c>
      <c r="GD18" s="293">
        <v>0</v>
      </c>
      <c r="GE18" s="293">
        <v>0</v>
      </c>
      <c r="GF18" s="293">
        <v>0</v>
      </c>
      <c r="GG18" s="293">
        <v>0</v>
      </c>
      <c r="GH18" s="293">
        <v>0</v>
      </c>
      <c r="GI18" s="293"/>
      <c r="GJ18" s="293"/>
      <c r="GK18" s="293"/>
      <c r="GL18" s="293"/>
      <c r="GM18" s="293"/>
      <c r="GN18" s="293"/>
      <c r="GO18" s="293"/>
      <c r="GP18" s="293"/>
      <c r="GQ18" s="293"/>
      <c r="GR18" s="293"/>
      <c r="GS18" s="293"/>
      <c r="GT18" s="293"/>
      <c r="GU18" s="293"/>
      <c r="GV18" s="293"/>
      <c r="GW18" s="293"/>
      <c r="GX18" s="293"/>
      <c r="GY18" s="293"/>
      <c r="GZ18" s="293"/>
      <c r="HA18" s="293"/>
      <c r="HB18" s="293"/>
      <c r="HC18" s="293"/>
      <c r="HD18" s="293"/>
      <c r="HE18" s="293"/>
      <c r="HF18" s="293"/>
      <c r="HG18" s="293"/>
      <c r="HH18" s="293"/>
      <c r="HI18" s="293"/>
      <c r="HJ18" s="293"/>
      <c r="HK18" s="293"/>
      <c r="HL18" s="293"/>
      <c r="HM18" s="293"/>
      <c r="HN18" s="293"/>
      <c r="HO18" s="293"/>
      <c r="HP18" s="293"/>
      <c r="HQ18" s="293"/>
      <c r="HR18" s="293"/>
      <c r="HS18" s="293"/>
      <c r="HT18" s="293"/>
      <c r="HU18" s="293"/>
      <c r="HV18" s="293"/>
      <c r="HW18" s="293"/>
      <c r="HX18" s="293"/>
      <c r="HY18" s="293"/>
      <c r="IH18" s="279">
        <f t="shared" si="4"/>
        <v>0</v>
      </c>
      <c r="II18" s="279">
        <f t="shared" si="5"/>
        <v>0</v>
      </c>
      <c r="IJ18" s="279">
        <f t="shared" si="2"/>
        <v>0</v>
      </c>
      <c r="IK18" s="279">
        <f t="shared" si="6"/>
        <v>0</v>
      </c>
      <c r="KT18" s="280"/>
    </row>
    <row r="19" spans="1:306" outlineLevel="1">
      <c r="B19" s="96" t="s">
        <v>338</v>
      </c>
      <c r="D19" s="296" t="s">
        <v>351</v>
      </c>
      <c r="E19" s="293"/>
      <c r="F19" s="293"/>
      <c r="G19" s="293"/>
      <c r="H19" s="293"/>
      <c r="I19" s="293"/>
      <c r="J19" s="293"/>
      <c r="K19" s="293"/>
      <c r="L19" s="293"/>
      <c r="M19" s="293"/>
      <c r="N19" s="293"/>
      <c r="O19" s="293"/>
      <c r="P19" s="293"/>
      <c r="Q19" s="293"/>
      <c r="R19" s="293"/>
      <c r="S19" s="293"/>
      <c r="T19" s="293"/>
      <c r="U19" s="293"/>
      <c r="V19" s="293"/>
      <c r="W19" s="293"/>
      <c r="X19" s="293"/>
      <c r="Y19" s="293"/>
      <c r="Z19" s="293"/>
      <c r="AA19" s="293"/>
      <c r="AB19" s="293"/>
      <c r="AC19" s="293"/>
      <c r="AD19" s="293"/>
      <c r="AE19" s="293"/>
      <c r="AF19" s="293"/>
      <c r="AG19" s="293"/>
      <c r="AH19" s="293"/>
      <c r="AI19" s="293"/>
      <c r="AJ19" s="293"/>
      <c r="AK19" s="293"/>
      <c r="AL19" s="293"/>
      <c r="AM19" s="293"/>
      <c r="AN19" s="293"/>
      <c r="AO19" s="293">
        <v>0.32514685355036577</v>
      </c>
      <c r="AP19" s="293">
        <v>0.37939195358851757</v>
      </c>
      <c r="AQ19" s="293">
        <v>0</v>
      </c>
      <c r="AR19" s="293">
        <v>0</v>
      </c>
      <c r="AS19" s="293">
        <v>0</v>
      </c>
      <c r="AT19" s="293">
        <v>0</v>
      </c>
      <c r="AU19" s="293">
        <v>0</v>
      </c>
      <c r="AV19" s="293">
        <v>0.88194894383686995</v>
      </c>
      <c r="AW19" s="293">
        <v>0</v>
      </c>
      <c r="AX19" s="293">
        <v>0.35291346957730968</v>
      </c>
      <c r="AY19" s="293">
        <v>0</v>
      </c>
      <c r="AZ19" s="293">
        <v>0</v>
      </c>
      <c r="BA19" s="293">
        <v>0</v>
      </c>
      <c r="BB19" s="293">
        <v>0</v>
      </c>
      <c r="BC19" s="293">
        <v>1.2734744369679765</v>
      </c>
      <c r="BD19" s="293">
        <v>0</v>
      </c>
      <c r="BE19" s="293">
        <v>0.26741118322995583</v>
      </c>
      <c r="BF19" s="293">
        <v>0</v>
      </c>
      <c r="BG19" s="293">
        <v>0</v>
      </c>
      <c r="BH19" s="293">
        <v>0</v>
      </c>
      <c r="BI19" s="293">
        <v>0</v>
      </c>
      <c r="BJ19" s="293">
        <v>0</v>
      </c>
      <c r="BK19" s="293">
        <v>0</v>
      </c>
      <c r="BL19" s="293">
        <v>0</v>
      </c>
      <c r="BM19" s="293">
        <v>0</v>
      </c>
      <c r="BN19" s="293">
        <v>0</v>
      </c>
      <c r="BO19" s="293">
        <v>0</v>
      </c>
      <c r="BP19" s="293">
        <v>0</v>
      </c>
      <c r="BQ19" s="293">
        <v>0</v>
      </c>
      <c r="BR19" s="293">
        <v>0</v>
      </c>
      <c r="BS19" s="293">
        <v>0</v>
      </c>
      <c r="BT19" s="293">
        <v>0</v>
      </c>
      <c r="BU19" s="293">
        <v>0</v>
      </c>
      <c r="BV19" s="293">
        <v>0</v>
      </c>
      <c r="BW19" s="293">
        <v>0</v>
      </c>
      <c r="BX19" s="293">
        <v>0</v>
      </c>
      <c r="BY19" s="293">
        <v>0</v>
      </c>
      <c r="BZ19" s="293">
        <v>0</v>
      </c>
      <c r="CA19" s="293">
        <v>0</v>
      </c>
      <c r="CB19" s="293">
        <v>0</v>
      </c>
      <c r="CC19" s="293">
        <v>0</v>
      </c>
      <c r="CD19" s="293">
        <v>0</v>
      </c>
      <c r="CE19" s="294">
        <v>0</v>
      </c>
      <c r="CF19" s="293">
        <v>0</v>
      </c>
      <c r="CG19" s="293">
        <v>0</v>
      </c>
      <c r="CH19" s="293">
        <v>0</v>
      </c>
      <c r="CI19" s="293">
        <v>0</v>
      </c>
      <c r="CJ19" s="293">
        <v>0</v>
      </c>
      <c r="CK19" s="293">
        <v>0</v>
      </c>
      <c r="CL19" s="293">
        <v>0</v>
      </c>
      <c r="CM19" s="293">
        <v>0</v>
      </c>
      <c r="CN19" s="293">
        <v>0</v>
      </c>
      <c r="CO19" s="293">
        <v>0</v>
      </c>
      <c r="CP19" s="295">
        <v>0</v>
      </c>
      <c r="CQ19" s="293">
        <v>0</v>
      </c>
      <c r="CR19" s="293">
        <v>0</v>
      </c>
      <c r="CS19" s="293">
        <v>0</v>
      </c>
      <c r="CT19" s="293">
        <v>0</v>
      </c>
      <c r="CU19" s="293">
        <v>0</v>
      </c>
      <c r="CV19" s="293">
        <v>0</v>
      </c>
      <c r="CW19" s="293">
        <v>0</v>
      </c>
      <c r="CX19" s="293">
        <v>0</v>
      </c>
      <c r="CY19" s="293">
        <v>0</v>
      </c>
      <c r="CZ19" s="293">
        <v>0</v>
      </c>
      <c r="DA19" s="293">
        <v>0</v>
      </c>
      <c r="DB19" s="1288">
        <v>0</v>
      </c>
      <c r="DC19" s="293">
        <v>0</v>
      </c>
      <c r="DD19" s="293">
        <v>0</v>
      </c>
      <c r="DE19" s="293">
        <v>0</v>
      </c>
      <c r="DF19" s="293">
        <v>0</v>
      </c>
      <c r="DG19" s="293">
        <v>0</v>
      </c>
      <c r="DH19" s="293">
        <v>0</v>
      </c>
      <c r="DI19" s="293">
        <v>0</v>
      </c>
      <c r="DJ19" s="293">
        <v>0</v>
      </c>
      <c r="DK19" s="293">
        <v>3.9726954742420002</v>
      </c>
      <c r="DL19" s="293">
        <v>1.6270050549999999</v>
      </c>
      <c r="DM19" s="293">
        <v>7.3571720000000004E-3</v>
      </c>
      <c r="DN19" s="295">
        <v>1.5443644540999999E-2</v>
      </c>
      <c r="DO19" s="293">
        <v>0</v>
      </c>
      <c r="DP19" s="293">
        <v>0</v>
      </c>
      <c r="DQ19" s="293">
        <v>0</v>
      </c>
      <c r="DR19" s="293">
        <v>0</v>
      </c>
      <c r="DS19" s="293">
        <v>0</v>
      </c>
      <c r="DT19" s="293">
        <v>0</v>
      </c>
      <c r="DU19" s="293">
        <v>0</v>
      </c>
      <c r="DV19" s="293">
        <v>0</v>
      </c>
      <c r="DW19" s="293">
        <v>0</v>
      </c>
      <c r="DX19" s="293">
        <v>0</v>
      </c>
      <c r="DY19" s="293">
        <v>0</v>
      </c>
      <c r="DZ19" s="295">
        <v>0</v>
      </c>
      <c r="EA19" s="293">
        <v>0</v>
      </c>
      <c r="EB19" s="293">
        <v>0</v>
      </c>
      <c r="EC19" s="293">
        <v>0</v>
      </c>
      <c r="ED19" s="293">
        <v>0</v>
      </c>
      <c r="EE19" s="293">
        <v>0</v>
      </c>
      <c r="EF19" s="293">
        <v>0</v>
      </c>
      <c r="EG19" s="293">
        <v>0</v>
      </c>
      <c r="EH19" s="293">
        <v>0</v>
      </c>
      <c r="EI19" s="293">
        <v>0</v>
      </c>
      <c r="EJ19" s="293">
        <v>0</v>
      </c>
      <c r="EK19" s="293">
        <v>0</v>
      </c>
      <c r="EL19" s="295">
        <v>0</v>
      </c>
      <c r="EM19" s="1080">
        <v>0</v>
      </c>
      <c r="EN19" s="1080">
        <v>0</v>
      </c>
      <c r="EO19" s="1080">
        <v>0</v>
      </c>
      <c r="EP19" s="1080">
        <v>0</v>
      </c>
      <c r="EQ19" s="1080">
        <v>0</v>
      </c>
      <c r="ER19" s="1080">
        <v>0</v>
      </c>
      <c r="ES19" s="1080">
        <v>0</v>
      </c>
      <c r="ET19" s="1080">
        <v>0</v>
      </c>
      <c r="EU19" s="1080">
        <v>0</v>
      </c>
      <c r="EV19" s="1080">
        <v>0</v>
      </c>
      <c r="EW19" s="1080">
        <v>0</v>
      </c>
      <c r="EX19" s="1340">
        <v>0</v>
      </c>
      <c r="EY19" s="1080"/>
      <c r="EZ19" s="1080"/>
      <c r="FA19" s="1080"/>
      <c r="FB19" s="1080"/>
      <c r="FC19" s="1080"/>
      <c r="FD19" s="1080"/>
      <c r="FE19" s="1080"/>
      <c r="FF19" s="1080"/>
      <c r="FG19" s="1080"/>
      <c r="FH19" s="1080"/>
      <c r="FI19" s="1080"/>
      <c r="FJ19" s="1340"/>
      <c r="FK19" s="1080">
        <v>0</v>
      </c>
      <c r="FL19" s="1080">
        <v>0</v>
      </c>
      <c r="FM19" s="1080">
        <v>0</v>
      </c>
      <c r="FN19" s="1080">
        <v>0</v>
      </c>
      <c r="FO19" s="1080">
        <v>0</v>
      </c>
      <c r="FP19" s="1080">
        <v>0</v>
      </c>
      <c r="FQ19" s="293">
        <v>0</v>
      </c>
      <c r="FR19" s="293">
        <v>0</v>
      </c>
      <c r="FS19" s="293">
        <v>0</v>
      </c>
      <c r="FT19" s="293">
        <v>0</v>
      </c>
      <c r="FU19" s="293">
        <v>0</v>
      </c>
      <c r="FV19" s="1288">
        <v>0</v>
      </c>
      <c r="FW19" s="293">
        <v>0</v>
      </c>
      <c r="FX19" s="293">
        <v>0</v>
      </c>
      <c r="FY19" s="293">
        <v>0</v>
      </c>
      <c r="FZ19" s="293">
        <v>0</v>
      </c>
      <c r="GA19" s="293">
        <v>0</v>
      </c>
      <c r="GB19" s="293">
        <v>0</v>
      </c>
      <c r="GC19" s="293">
        <v>0</v>
      </c>
      <c r="GD19" s="293">
        <v>0</v>
      </c>
      <c r="GE19" s="293">
        <v>0</v>
      </c>
      <c r="GF19" s="293">
        <v>0</v>
      </c>
      <c r="GG19" s="293">
        <v>0</v>
      </c>
      <c r="GH19" s="293">
        <v>0</v>
      </c>
      <c r="GI19" s="293"/>
      <c r="GJ19" s="293"/>
      <c r="GK19" s="293"/>
      <c r="GL19" s="293"/>
      <c r="GM19" s="293"/>
      <c r="GN19" s="293"/>
      <c r="GO19" s="293"/>
      <c r="GP19" s="293"/>
      <c r="GQ19" s="293"/>
      <c r="GR19" s="293"/>
      <c r="GS19" s="293"/>
      <c r="GT19" s="293"/>
      <c r="GU19" s="293"/>
      <c r="GV19" s="293"/>
      <c r="GW19" s="293"/>
      <c r="GX19" s="293"/>
      <c r="GY19" s="293"/>
      <c r="GZ19" s="293"/>
      <c r="HA19" s="293"/>
      <c r="HB19" s="293"/>
      <c r="HC19" s="293"/>
      <c r="HD19" s="293"/>
      <c r="HE19" s="293"/>
      <c r="HF19" s="293"/>
      <c r="HG19" s="293"/>
      <c r="HH19" s="293"/>
      <c r="HI19" s="293"/>
      <c r="HJ19" s="293"/>
      <c r="HK19" s="293"/>
      <c r="HL19" s="293"/>
      <c r="HM19" s="293"/>
      <c r="HN19" s="293"/>
      <c r="HO19" s="293"/>
      <c r="HP19" s="293"/>
      <c r="HQ19" s="293"/>
      <c r="HR19" s="293"/>
      <c r="HS19" s="293"/>
      <c r="HT19" s="293"/>
      <c r="HU19" s="293"/>
      <c r="HV19" s="293"/>
      <c r="HW19" s="293"/>
      <c r="HX19" s="293"/>
      <c r="HY19" s="293"/>
      <c r="IH19" s="279">
        <f t="shared" si="4"/>
        <v>0</v>
      </c>
      <c r="II19" s="279">
        <f t="shared" si="5"/>
        <v>5.6225013457829993</v>
      </c>
      <c r="IJ19" s="279">
        <f t="shared" si="2"/>
        <v>5.6225013457829993</v>
      </c>
      <c r="IK19" s="279">
        <f t="shared" si="6"/>
        <v>0</v>
      </c>
      <c r="KT19" s="280"/>
    </row>
    <row r="20" spans="1:306" outlineLevel="1">
      <c r="B20" s="96" t="s">
        <v>338</v>
      </c>
      <c r="D20" s="296" t="s">
        <v>352</v>
      </c>
      <c r="E20" s="293"/>
      <c r="F20" s="293"/>
      <c r="G20" s="293"/>
      <c r="H20" s="293"/>
      <c r="I20" s="293"/>
      <c r="J20" s="293"/>
      <c r="K20" s="293"/>
      <c r="L20" s="293"/>
      <c r="M20" s="293"/>
      <c r="N20" s="293"/>
      <c r="O20" s="293"/>
      <c r="P20" s="293"/>
      <c r="Q20" s="293"/>
      <c r="R20" s="293"/>
      <c r="S20" s="293"/>
      <c r="T20" s="293"/>
      <c r="U20" s="293"/>
      <c r="V20" s="293"/>
      <c r="W20" s="293"/>
      <c r="X20" s="293"/>
      <c r="Y20" s="293"/>
      <c r="Z20" s="293"/>
      <c r="AA20" s="293"/>
      <c r="AB20" s="293"/>
      <c r="AC20" s="293"/>
      <c r="AD20" s="293"/>
      <c r="AE20" s="293"/>
      <c r="AF20" s="293"/>
      <c r="AG20" s="293"/>
      <c r="AH20" s="293"/>
      <c r="AI20" s="293"/>
      <c r="AJ20" s="293"/>
      <c r="AK20" s="293"/>
      <c r="AL20" s="293"/>
      <c r="AM20" s="293"/>
      <c r="AN20" s="293"/>
      <c r="AO20" s="293">
        <v>0.12708601102244471</v>
      </c>
      <c r="AP20" s="293">
        <v>0.11424906913411614</v>
      </c>
      <c r="AQ20" s="293">
        <v>0.73751628315701701</v>
      </c>
      <c r="AR20" s="293">
        <v>9.6416481672639207E-2</v>
      </c>
      <c r="AS20" s="293">
        <v>0</v>
      </c>
      <c r="AT20" s="293">
        <v>0.19992315768901858</v>
      </c>
      <c r="AU20" s="293">
        <v>0.13307152755525281</v>
      </c>
      <c r="AV20" s="293">
        <v>0</v>
      </c>
      <c r="AW20" s="293">
        <v>0.33692375940849933</v>
      </c>
      <c r="AX20" s="293">
        <v>0.37442923162819308</v>
      </c>
      <c r="AY20" s="293">
        <v>0.9027416396807354</v>
      </c>
      <c r="AZ20" s="293">
        <v>0.40324566953420116</v>
      </c>
      <c r="BA20" s="293">
        <v>0.63825488044816447</v>
      </c>
      <c r="BB20" s="293">
        <v>7.1239729774000005E-2</v>
      </c>
      <c r="BC20" s="293">
        <v>0.85749284495987543</v>
      </c>
      <c r="BD20" s="293">
        <v>0.18690695357260884</v>
      </c>
      <c r="BE20" s="293">
        <v>0.1626014442828578</v>
      </c>
      <c r="BF20" s="293">
        <v>5.4855761871738268E-2</v>
      </c>
      <c r="BG20" s="293">
        <v>0.12367859528431648</v>
      </c>
      <c r="BH20" s="293">
        <v>7.7907117523211403E-2</v>
      </c>
      <c r="BI20" s="293">
        <v>0.15512518781541537</v>
      </c>
      <c r="BJ20" s="293">
        <v>0.49614054725108347</v>
      </c>
      <c r="BK20" s="293">
        <v>2.7975077457032788E-2</v>
      </c>
      <c r="BL20" s="293">
        <v>1.9816970453240494</v>
      </c>
      <c r="BM20" s="293">
        <v>0</v>
      </c>
      <c r="BN20" s="293">
        <v>0.69413086086903864</v>
      </c>
      <c r="BO20" s="293">
        <v>0</v>
      </c>
      <c r="BP20" s="293">
        <v>2.1191573096438394E-2</v>
      </c>
      <c r="BQ20" s="293">
        <v>0.1588985657090265</v>
      </c>
      <c r="BR20" s="293">
        <v>1.269554077035424E-2</v>
      </c>
      <c r="BS20" s="293">
        <v>4.07303254554525E-2</v>
      </c>
      <c r="BT20" s="293">
        <v>0.24956884822657513</v>
      </c>
      <c r="BU20" s="293">
        <v>0.44618773972127901</v>
      </c>
      <c r="BV20" s="293">
        <v>0</v>
      </c>
      <c r="BW20" s="293">
        <v>0.24311068085117926</v>
      </c>
      <c r="BX20" s="293">
        <v>0.66509802808989205</v>
      </c>
      <c r="BY20" s="293">
        <v>3.0502308999999998E-2</v>
      </c>
      <c r="BZ20" s="293">
        <v>0</v>
      </c>
      <c r="CA20" s="293">
        <v>0.19476104299999999</v>
      </c>
      <c r="CB20" s="293">
        <v>1.1014628310000001</v>
      </c>
      <c r="CC20" s="293">
        <v>0.27515335400000002</v>
      </c>
      <c r="CD20" s="293">
        <v>0.35636367299999999</v>
      </c>
      <c r="CE20" s="294">
        <v>3.1718713000000003E-2</v>
      </c>
      <c r="CF20" s="293">
        <v>0.53805890000000001</v>
      </c>
      <c r="CG20" s="293">
        <v>1.1538921000000001E-2</v>
      </c>
      <c r="CH20" s="293">
        <v>0.49774282800000003</v>
      </c>
      <c r="CI20" s="293">
        <v>0.34844001899999999</v>
      </c>
      <c r="CJ20" s="293">
        <v>2.908280827</v>
      </c>
      <c r="CK20" s="293">
        <v>1.5781185681450001</v>
      </c>
      <c r="CL20" s="293">
        <v>2.4277681464E-2</v>
      </c>
      <c r="CM20" s="293">
        <v>1.8013210831999998E-2</v>
      </c>
      <c r="CN20" s="293">
        <v>0.33998532403600001</v>
      </c>
      <c r="CO20" s="293">
        <v>0</v>
      </c>
      <c r="CP20" s="295">
        <v>0.42907836476099998</v>
      </c>
      <c r="CQ20" s="293">
        <v>0.36060493664600002</v>
      </c>
      <c r="CR20" s="293">
        <v>0</v>
      </c>
      <c r="CS20" s="293">
        <v>0</v>
      </c>
      <c r="CT20" s="293">
        <v>0.35861147830000001</v>
      </c>
      <c r="CU20" s="293">
        <v>0</v>
      </c>
      <c r="CV20" s="293">
        <v>3.0455430727369999</v>
      </c>
      <c r="CW20" s="293">
        <v>0.12955523312199999</v>
      </c>
      <c r="CX20" s="293">
        <v>0</v>
      </c>
      <c r="CY20" s="293">
        <v>0.259057437537</v>
      </c>
      <c r="CZ20" s="293">
        <v>0</v>
      </c>
      <c r="DA20" s="293">
        <v>0</v>
      </c>
      <c r="DB20" s="1288">
        <v>0.12535869126099999</v>
      </c>
      <c r="DC20" s="293">
        <v>0</v>
      </c>
      <c r="DD20" s="293">
        <v>0.72592760136800005</v>
      </c>
      <c r="DE20" s="293">
        <v>0</v>
      </c>
      <c r="DF20" s="293">
        <v>2.7195241193089998</v>
      </c>
      <c r="DG20" s="293">
        <v>0</v>
      </c>
      <c r="DH20" s="293">
        <v>1.029264712512</v>
      </c>
      <c r="DI20" s="293">
        <v>0.63296806264200001</v>
      </c>
      <c r="DJ20" s="293">
        <v>1.2031693864549999</v>
      </c>
      <c r="DK20" s="293">
        <v>0.50421963252299995</v>
      </c>
      <c r="DL20" s="293">
        <v>8.5136793466999997E-2</v>
      </c>
      <c r="DM20" s="293">
        <v>0</v>
      </c>
      <c r="DN20" s="295">
        <v>6.936324917E-3</v>
      </c>
      <c r="DO20" s="293">
        <v>0.47083787681</v>
      </c>
      <c r="DP20" s="293">
        <v>0</v>
      </c>
      <c r="DQ20" s="293">
        <v>0</v>
      </c>
      <c r="DR20" s="293">
        <v>0.90623592113999996</v>
      </c>
      <c r="DS20" s="293">
        <v>0.55141103813399994</v>
      </c>
      <c r="DT20" s="293">
        <v>0</v>
      </c>
      <c r="DU20" s="293">
        <v>0.89589726259800007</v>
      </c>
      <c r="DV20" s="293">
        <v>0.26887603691100004</v>
      </c>
      <c r="DW20" s="293">
        <v>0</v>
      </c>
      <c r="DX20" s="293">
        <v>0</v>
      </c>
      <c r="DY20" s="293">
        <v>0.70626172670200005</v>
      </c>
      <c r="DZ20" s="295">
        <v>0.76328087588500004</v>
      </c>
      <c r="EA20" s="293">
        <v>5.2711841581E-2</v>
      </c>
      <c r="EB20" s="293">
        <v>0.98403476142200008</v>
      </c>
      <c r="EC20" s="293">
        <v>0</v>
      </c>
      <c r="ED20" s="293">
        <v>0.53591780804400002</v>
      </c>
      <c r="EE20" s="293">
        <v>0</v>
      </c>
      <c r="EF20" s="293">
        <v>0.78215706116700001</v>
      </c>
      <c r="EG20" s="293">
        <v>0</v>
      </c>
      <c r="EH20" s="293">
        <v>0</v>
      </c>
      <c r="EI20" s="293">
        <v>4.9372558034000001E-2</v>
      </c>
      <c r="EJ20" s="293">
        <v>0.47975526163200005</v>
      </c>
      <c r="EK20" s="293">
        <v>0.611997325885</v>
      </c>
      <c r="EL20" s="295">
        <v>2.2956607287810002</v>
      </c>
      <c r="EM20" s="1080">
        <v>1.6579289656659999</v>
      </c>
      <c r="EN20" s="1080">
        <v>0</v>
      </c>
      <c r="EO20" s="1080">
        <v>0.233790132776</v>
      </c>
      <c r="EP20" s="1080">
        <v>0.43203627201400002</v>
      </c>
      <c r="EQ20" s="1080">
        <v>0</v>
      </c>
      <c r="ER20" s="1080">
        <v>0.31391317453399997</v>
      </c>
      <c r="ES20" s="1080">
        <v>0</v>
      </c>
      <c r="ET20" s="1080">
        <v>0.38983785810799998</v>
      </c>
      <c r="EU20" s="1080">
        <v>6.0804409530150005</v>
      </c>
      <c r="EV20" s="1080">
        <v>0</v>
      </c>
      <c r="EW20" s="1080">
        <v>0.56960825138100002</v>
      </c>
      <c r="EX20" s="1340">
        <v>1.2748739419840001</v>
      </c>
      <c r="EY20" s="1080"/>
      <c r="EZ20" s="1080"/>
      <c r="FA20" s="1080"/>
      <c r="FB20" s="1080"/>
      <c r="FC20" s="1080"/>
      <c r="FD20" s="1080"/>
      <c r="FE20" s="1080"/>
      <c r="FF20" s="1080"/>
      <c r="FG20" s="1080"/>
      <c r="FH20" s="1080"/>
      <c r="FI20" s="1080"/>
      <c r="FJ20" s="1340"/>
      <c r="FK20" s="1080">
        <v>0.46222976466500004</v>
      </c>
      <c r="FL20" s="1080" t="s">
        <v>782</v>
      </c>
      <c r="FM20" s="1080">
        <v>0.232099678368</v>
      </c>
      <c r="FN20" s="1080" t="s">
        <v>782</v>
      </c>
      <c r="FO20" s="1080">
        <v>0.44165510077800002</v>
      </c>
      <c r="FP20" s="1080">
        <v>1.9888326105910001</v>
      </c>
      <c r="FQ20" s="293">
        <v>0</v>
      </c>
      <c r="FR20" s="293">
        <v>0.266684633394</v>
      </c>
      <c r="FS20" s="293">
        <v>0.429994523086</v>
      </c>
      <c r="FT20" s="293">
        <v>0.68704811645000008</v>
      </c>
      <c r="FU20" s="293">
        <v>0.30363631442299999</v>
      </c>
      <c r="FV20" s="1288">
        <v>0</v>
      </c>
      <c r="FW20" s="293">
        <v>0</v>
      </c>
      <c r="FX20" s="293">
        <v>13.256808306701</v>
      </c>
      <c r="FY20" s="293">
        <v>1.2269030554979998</v>
      </c>
      <c r="FZ20" s="293">
        <v>7.4198022000000002E-2</v>
      </c>
      <c r="GA20" s="293">
        <v>0.63607283446899998</v>
      </c>
      <c r="GB20" s="293">
        <v>0</v>
      </c>
      <c r="GC20" s="293">
        <v>1.15763505905</v>
      </c>
      <c r="GD20" s="293">
        <v>0.27275886904199997</v>
      </c>
      <c r="GE20" s="293">
        <v>0.18434304047400002</v>
      </c>
      <c r="GF20" s="293">
        <v>0.35171455674400004</v>
      </c>
      <c r="GG20" s="293">
        <v>6.7756563017000004E-2</v>
      </c>
      <c r="GH20" s="293">
        <v>1.715773079671</v>
      </c>
      <c r="GI20" s="293"/>
      <c r="GJ20" s="293"/>
      <c r="GK20" s="293"/>
      <c r="GL20" s="293"/>
      <c r="GM20" s="293"/>
      <c r="GN20" s="293"/>
      <c r="GO20" s="293"/>
      <c r="GP20" s="293"/>
      <c r="GQ20" s="293"/>
      <c r="GR20" s="293"/>
      <c r="GS20" s="293"/>
      <c r="GT20" s="293"/>
      <c r="GU20" s="293"/>
      <c r="GV20" s="293"/>
      <c r="GW20" s="293"/>
      <c r="GX20" s="293"/>
      <c r="GY20" s="293"/>
      <c r="GZ20" s="293"/>
      <c r="HA20" s="293"/>
      <c r="HB20" s="293"/>
      <c r="HC20" s="293"/>
      <c r="HD20" s="293"/>
      <c r="HE20" s="293"/>
      <c r="HF20" s="293"/>
      <c r="HG20" s="293"/>
      <c r="HH20" s="293"/>
      <c r="HI20" s="293"/>
      <c r="HJ20" s="293"/>
      <c r="HK20" s="293"/>
      <c r="HL20" s="293"/>
      <c r="HM20" s="293"/>
      <c r="HN20" s="293"/>
      <c r="HO20" s="293"/>
      <c r="HP20" s="293"/>
      <c r="HQ20" s="293"/>
      <c r="HR20" s="293"/>
      <c r="HS20" s="293"/>
      <c r="HT20" s="293"/>
      <c r="HU20" s="293"/>
      <c r="HV20" s="293"/>
      <c r="HW20" s="293"/>
      <c r="HX20" s="293"/>
      <c r="HY20" s="293"/>
      <c r="IH20" s="279">
        <f t="shared" si="4"/>
        <v>4.4747164331890001</v>
      </c>
      <c r="II20" s="279">
        <f t="shared" si="5"/>
        <v>2.4324302000039997</v>
      </c>
      <c r="IJ20" s="279">
        <f t="shared" si="2"/>
        <v>6.9071466331929994</v>
      </c>
      <c r="IK20" s="279">
        <f t="shared" si="6"/>
        <v>1.9284848360839999</v>
      </c>
      <c r="KT20" s="280"/>
    </row>
    <row r="21" spans="1:306" outlineLevel="1">
      <c r="B21" s="96" t="s">
        <v>338</v>
      </c>
      <c r="D21" s="296" t="s">
        <v>1112</v>
      </c>
      <c r="E21" s="293"/>
      <c r="F21" s="293"/>
      <c r="G21" s="293"/>
      <c r="H21" s="293"/>
      <c r="I21" s="293"/>
      <c r="J21" s="293"/>
      <c r="K21" s="293"/>
      <c r="L21" s="293"/>
      <c r="M21" s="293"/>
      <c r="N21" s="293"/>
      <c r="O21" s="293"/>
      <c r="P21" s="293"/>
      <c r="Q21" s="293"/>
      <c r="R21" s="293"/>
      <c r="S21" s="293"/>
      <c r="T21" s="293"/>
      <c r="U21" s="293"/>
      <c r="V21" s="293"/>
      <c r="W21" s="293"/>
      <c r="X21" s="293"/>
      <c r="Y21" s="293"/>
      <c r="Z21" s="293"/>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c r="BN21" s="293"/>
      <c r="BO21" s="293"/>
      <c r="BP21" s="293"/>
      <c r="BQ21" s="293"/>
      <c r="BR21" s="293"/>
      <c r="BS21" s="293"/>
      <c r="BT21" s="293"/>
      <c r="BU21" s="293"/>
      <c r="BV21" s="293"/>
      <c r="BW21" s="293"/>
      <c r="BX21" s="293"/>
      <c r="BY21" s="293"/>
      <c r="BZ21" s="293"/>
      <c r="CA21" s="293"/>
      <c r="CB21" s="293"/>
      <c r="CC21" s="293"/>
      <c r="CD21" s="293"/>
      <c r="CE21" s="294"/>
      <c r="CF21" s="293"/>
      <c r="CG21" s="293"/>
      <c r="CH21" s="293"/>
      <c r="CI21" s="293"/>
      <c r="CJ21" s="293"/>
      <c r="CK21" s="293"/>
      <c r="CL21" s="293"/>
      <c r="CM21" s="293"/>
      <c r="CN21" s="293"/>
      <c r="CO21" s="293"/>
      <c r="CP21" s="295"/>
      <c r="CQ21" s="293"/>
      <c r="CR21" s="293"/>
      <c r="CS21" s="293"/>
      <c r="CT21" s="293"/>
      <c r="CU21" s="293"/>
      <c r="CV21" s="293"/>
      <c r="CW21" s="293"/>
      <c r="CX21" s="293"/>
      <c r="CY21" s="293"/>
      <c r="CZ21" s="293"/>
      <c r="DA21" s="293"/>
      <c r="DB21" s="1288"/>
      <c r="DC21" s="293"/>
      <c r="DD21" s="293"/>
      <c r="DE21" s="293"/>
      <c r="DF21" s="293"/>
      <c r="DG21" s="293"/>
      <c r="DH21" s="293"/>
      <c r="DI21" s="293"/>
      <c r="DJ21" s="293"/>
      <c r="DK21" s="293"/>
      <c r="DL21" s="293"/>
      <c r="DM21" s="293"/>
      <c r="DN21" s="295"/>
      <c r="DO21" s="293"/>
      <c r="DP21" s="293"/>
      <c r="DQ21" s="293"/>
      <c r="DR21" s="293"/>
      <c r="DS21" s="293"/>
      <c r="DT21" s="293"/>
      <c r="DU21" s="293"/>
      <c r="DV21" s="293"/>
      <c r="DW21" s="293"/>
      <c r="DX21" s="293"/>
      <c r="DY21" s="293"/>
      <c r="DZ21" s="295"/>
      <c r="EA21" s="293">
        <v>9.7045831328230019</v>
      </c>
      <c r="EB21" s="293">
        <v>13.968854326879001</v>
      </c>
      <c r="EC21" s="293">
        <v>4.1068273863379989</v>
      </c>
      <c r="ED21" s="293">
        <v>14.499453949646998</v>
      </c>
      <c r="EE21" s="293">
        <v>8.0689371946400001</v>
      </c>
      <c r="EF21" s="293">
        <v>16.546933244447995</v>
      </c>
      <c r="EG21" s="293">
        <v>20.175523392911998</v>
      </c>
      <c r="EH21" s="293">
        <v>3.3887650910150002</v>
      </c>
      <c r="EI21" s="293">
        <v>17.714506175937004</v>
      </c>
      <c r="EJ21" s="293">
        <v>12.140062738398003</v>
      </c>
      <c r="EK21" s="293">
        <v>17.047167204317997</v>
      </c>
      <c r="EL21" s="295">
        <v>27.725842457854</v>
      </c>
      <c r="EM21" s="1080">
        <v>1.158868176955</v>
      </c>
      <c r="EN21" s="1080">
        <v>0</v>
      </c>
      <c r="EO21" s="1080">
        <v>1.930759193813</v>
      </c>
      <c r="EP21" s="1080">
        <v>3.8928851979E-2</v>
      </c>
      <c r="EQ21" s="1080">
        <v>0.93881695715500002</v>
      </c>
      <c r="ER21" s="1080">
        <v>1.1947827834240001</v>
      </c>
      <c r="ES21" s="1080">
        <v>1.7800955154070002</v>
      </c>
      <c r="ET21" s="1080">
        <v>0</v>
      </c>
      <c r="EU21" s="1080">
        <v>0.96206658543200008</v>
      </c>
      <c r="EV21" s="1080">
        <v>0.17624569521700001</v>
      </c>
      <c r="EW21" s="1080">
        <v>0</v>
      </c>
      <c r="EX21" s="1340">
        <v>2.934478393649</v>
      </c>
      <c r="EY21" s="1080"/>
      <c r="EZ21" s="1080"/>
      <c r="FA21" s="1080"/>
      <c r="FB21" s="1080"/>
      <c r="FC21" s="1080"/>
      <c r="FD21" s="1080"/>
      <c r="FE21" s="1080"/>
      <c r="FF21" s="1080"/>
      <c r="FG21" s="1080"/>
      <c r="FH21" s="1080"/>
      <c r="FI21" s="1080"/>
      <c r="FJ21" s="1340"/>
      <c r="FK21" s="1080">
        <v>7.7962867796999999E-2</v>
      </c>
      <c r="FL21" s="1080" t="s">
        <v>782</v>
      </c>
      <c r="FM21" s="1080" t="s">
        <v>782</v>
      </c>
      <c r="FN21" s="1080" t="s">
        <v>782</v>
      </c>
      <c r="FO21" s="1080" t="s">
        <v>782</v>
      </c>
      <c r="FP21" s="1080" t="s">
        <v>782</v>
      </c>
      <c r="FQ21" s="293">
        <v>0</v>
      </c>
      <c r="FR21" s="293">
        <v>0</v>
      </c>
      <c r="FS21" s="293">
        <v>0</v>
      </c>
      <c r="FT21" s="293">
        <v>2.4071460131000002E-2</v>
      </c>
      <c r="FU21" s="293">
        <v>0</v>
      </c>
      <c r="FV21" s="1288">
        <v>3.2602583867949999</v>
      </c>
      <c r="FW21" s="293">
        <v>0</v>
      </c>
      <c r="FX21" s="293">
        <v>0</v>
      </c>
      <c r="FY21" s="293">
        <v>0.12068431677500001</v>
      </c>
      <c r="FZ21" s="293">
        <v>0</v>
      </c>
      <c r="GA21" s="293">
        <v>10.967254985699</v>
      </c>
      <c r="GB21" s="293">
        <v>0.80705413035599993</v>
      </c>
      <c r="GC21" s="293" t="s">
        <v>782</v>
      </c>
      <c r="GD21" s="293" t="s">
        <v>782</v>
      </c>
      <c r="GE21" s="293">
        <v>0.122969246373</v>
      </c>
      <c r="GF21" s="293">
        <v>0.86578484419400004</v>
      </c>
      <c r="GG21" s="293" t="s">
        <v>782</v>
      </c>
      <c r="GH21" s="293">
        <v>2.2342935057940001</v>
      </c>
      <c r="GI21" s="293"/>
      <c r="GJ21" s="293"/>
      <c r="GK21" s="293"/>
      <c r="GL21" s="293"/>
      <c r="GM21" s="293"/>
      <c r="GN21" s="293"/>
      <c r="GO21" s="293"/>
      <c r="GP21" s="293"/>
      <c r="GQ21" s="293"/>
      <c r="GR21" s="293"/>
      <c r="GS21" s="293"/>
      <c r="GT21" s="293"/>
      <c r="GU21" s="293"/>
      <c r="GV21" s="293"/>
      <c r="GW21" s="293"/>
      <c r="GX21" s="293"/>
      <c r="GY21" s="293"/>
      <c r="GZ21" s="293"/>
      <c r="HA21" s="293"/>
      <c r="HB21" s="293"/>
      <c r="HC21" s="293"/>
      <c r="HD21" s="293"/>
      <c r="HE21" s="293"/>
      <c r="HF21" s="293"/>
      <c r="HG21" s="293"/>
      <c r="HH21" s="293"/>
      <c r="HI21" s="293"/>
      <c r="HJ21" s="293"/>
      <c r="HK21" s="293"/>
      <c r="HL21" s="293"/>
      <c r="HM21" s="293"/>
      <c r="HN21" s="293"/>
      <c r="HO21" s="293"/>
      <c r="HP21" s="293"/>
      <c r="HQ21" s="293"/>
      <c r="HR21" s="293"/>
      <c r="HS21" s="293"/>
      <c r="HT21" s="293"/>
      <c r="HU21" s="293"/>
      <c r="HV21" s="293"/>
      <c r="HW21" s="293"/>
      <c r="HX21" s="293"/>
      <c r="HY21" s="293"/>
      <c r="KT21" s="280"/>
    </row>
    <row r="22" spans="1:306" outlineLevel="1">
      <c r="B22" s="96" t="s">
        <v>338</v>
      </c>
      <c r="D22" s="297" t="s">
        <v>3288</v>
      </c>
      <c r="E22" s="293"/>
      <c r="F22" s="293"/>
      <c r="G22" s="293"/>
      <c r="H22" s="293"/>
      <c r="I22" s="293"/>
      <c r="J22" s="293"/>
      <c r="K22" s="293"/>
      <c r="L22" s="293"/>
      <c r="M22" s="293"/>
      <c r="N22" s="293"/>
      <c r="O22" s="293"/>
      <c r="P22" s="293"/>
      <c r="Q22" s="293"/>
      <c r="R22" s="293"/>
      <c r="S22" s="293"/>
      <c r="T22" s="293"/>
      <c r="U22" s="293"/>
      <c r="V22" s="293"/>
      <c r="W22" s="293"/>
      <c r="X22" s="293"/>
      <c r="Y22" s="293"/>
      <c r="Z22" s="293"/>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c r="BN22" s="293"/>
      <c r="BO22" s="293"/>
      <c r="BP22" s="293"/>
      <c r="BQ22" s="293"/>
      <c r="BR22" s="293"/>
      <c r="BS22" s="293"/>
      <c r="BT22" s="293"/>
      <c r="BU22" s="293"/>
      <c r="BV22" s="293"/>
      <c r="BW22" s="293"/>
      <c r="BX22" s="293"/>
      <c r="BY22" s="293"/>
      <c r="BZ22" s="293"/>
      <c r="CA22" s="293"/>
      <c r="CB22" s="293"/>
      <c r="CC22" s="293"/>
      <c r="CD22" s="293"/>
      <c r="CE22" s="294"/>
      <c r="CF22" s="293"/>
      <c r="CG22" s="293"/>
      <c r="CH22" s="293"/>
      <c r="CI22" s="293"/>
      <c r="CJ22" s="293"/>
      <c r="CK22" s="293"/>
      <c r="CL22" s="293"/>
      <c r="CM22" s="293"/>
      <c r="CN22" s="293"/>
      <c r="CO22" s="293"/>
      <c r="CP22" s="295"/>
      <c r="CQ22" s="293"/>
      <c r="CR22" s="293"/>
      <c r="CS22" s="293"/>
      <c r="CT22" s="293"/>
      <c r="CU22" s="293"/>
      <c r="CV22" s="293"/>
      <c r="CW22" s="293"/>
      <c r="CX22" s="293"/>
      <c r="CY22" s="293"/>
      <c r="CZ22" s="293"/>
      <c r="DA22" s="293"/>
      <c r="DB22" s="1288"/>
      <c r="DC22" s="293"/>
      <c r="DD22" s="293"/>
      <c r="DE22" s="293"/>
      <c r="DF22" s="293"/>
      <c r="DG22" s="293"/>
      <c r="DH22" s="293"/>
      <c r="DI22" s="293"/>
      <c r="DJ22" s="293"/>
      <c r="DK22" s="293"/>
      <c r="DL22" s="293"/>
      <c r="DM22" s="293"/>
      <c r="DN22" s="295"/>
      <c r="DO22" s="293"/>
      <c r="DP22" s="293"/>
      <c r="DQ22" s="293"/>
      <c r="DR22" s="293"/>
      <c r="DS22" s="293"/>
      <c r="DT22" s="293"/>
      <c r="DU22" s="293"/>
      <c r="DV22" s="293"/>
      <c r="DW22" s="293"/>
      <c r="DX22" s="293"/>
      <c r="DY22" s="293"/>
      <c r="DZ22" s="295"/>
      <c r="EA22" s="293"/>
      <c r="EB22" s="293"/>
      <c r="EC22" s="293"/>
      <c r="ED22" s="293"/>
      <c r="EE22" s="293"/>
      <c r="EF22" s="293"/>
      <c r="EG22" s="293"/>
      <c r="EH22" s="293"/>
      <c r="EI22" s="293"/>
      <c r="EJ22" s="293"/>
      <c r="EK22" s="293"/>
      <c r="EL22" s="295"/>
      <c r="EM22" s="1080"/>
      <c r="EN22" s="1080"/>
      <c r="EO22" s="1080"/>
      <c r="EP22" s="1080"/>
      <c r="EQ22" s="1080"/>
      <c r="ER22" s="1080"/>
      <c r="ES22" s="1080"/>
      <c r="ET22" s="1080"/>
      <c r="EU22" s="1080"/>
      <c r="EV22" s="1080"/>
      <c r="EW22" s="1080"/>
      <c r="EX22" s="1340"/>
      <c r="EY22" s="1080"/>
      <c r="EZ22" s="1080"/>
      <c r="FA22" s="1080"/>
      <c r="FB22" s="1080"/>
      <c r="FC22" s="1080"/>
      <c r="FD22" s="1080"/>
      <c r="FE22" s="1080"/>
      <c r="FF22" s="1080"/>
      <c r="FG22" s="1080"/>
      <c r="FH22" s="1080"/>
      <c r="FI22" s="1080"/>
      <c r="FJ22" s="1340"/>
      <c r="FK22" s="1080"/>
      <c r="FL22" s="1080"/>
      <c r="FM22" s="1080"/>
      <c r="FN22" s="1080"/>
      <c r="FO22" s="1080"/>
      <c r="FP22" s="1080"/>
      <c r="FQ22" s="293"/>
      <c r="FR22" s="293"/>
      <c r="FS22" s="293"/>
      <c r="FT22" s="293"/>
      <c r="FU22" s="293"/>
      <c r="FV22" s="1288"/>
      <c r="FW22" s="293"/>
      <c r="FX22" s="293"/>
      <c r="FY22" s="293"/>
      <c r="FZ22" s="293"/>
      <c r="GA22" s="293"/>
      <c r="GB22" s="293"/>
      <c r="GC22" s="293">
        <v>0</v>
      </c>
      <c r="GD22" s="293">
        <v>0</v>
      </c>
      <c r="GE22" s="293">
        <v>0</v>
      </c>
      <c r="GF22" s="293">
        <v>0</v>
      </c>
      <c r="GG22" s="293">
        <v>0</v>
      </c>
      <c r="GH22" s="293">
        <v>0</v>
      </c>
      <c r="GI22" s="293"/>
      <c r="GJ22" s="293"/>
      <c r="GK22" s="293"/>
      <c r="GL22" s="293"/>
      <c r="GM22" s="293"/>
      <c r="GN22" s="293"/>
      <c r="GO22" s="293"/>
      <c r="GP22" s="293"/>
      <c r="GQ22" s="293"/>
      <c r="GR22" s="293"/>
      <c r="GS22" s="293"/>
      <c r="GT22" s="293"/>
      <c r="GU22" s="293"/>
      <c r="GV22" s="293"/>
      <c r="GW22" s="293"/>
      <c r="GX22" s="293"/>
      <c r="GY22" s="293"/>
      <c r="GZ22" s="293"/>
      <c r="HA22" s="293"/>
      <c r="HB22" s="293"/>
      <c r="HC22" s="293"/>
      <c r="HD22" s="293"/>
      <c r="HE22" s="293"/>
      <c r="HF22" s="293"/>
      <c r="HG22" s="293"/>
      <c r="HH22" s="293"/>
      <c r="HI22" s="293"/>
      <c r="HJ22" s="293"/>
      <c r="HK22" s="293"/>
      <c r="HL22" s="293"/>
      <c r="HM22" s="293"/>
      <c r="HN22" s="293"/>
      <c r="HO22" s="293"/>
      <c r="HP22" s="293"/>
      <c r="HQ22" s="293"/>
      <c r="HR22" s="293"/>
      <c r="HS22" s="293"/>
      <c r="HT22" s="293"/>
      <c r="HU22" s="293"/>
      <c r="HV22" s="293"/>
      <c r="HW22" s="293"/>
      <c r="HX22" s="293"/>
      <c r="HY22" s="293"/>
      <c r="KT22" s="280"/>
    </row>
    <row r="23" spans="1:306" outlineLevel="1">
      <c r="B23" s="96" t="s">
        <v>338</v>
      </c>
      <c r="D23" s="296" t="s">
        <v>3218</v>
      </c>
      <c r="E23" s="293"/>
      <c r="F23" s="293"/>
      <c r="G23" s="293"/>
      <c r="H23" s="293"/>
      <c r="I23" s="293"/>
      <c r="J23" s="293"/>
      <c r="K23" s="293"/>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c r="BT23" s="293"/>
      <c r="BU23" s="293"/>
      <c r="BV23" s="293"/>
      <c r="BW23" s="293"/>
      <c r="BX23" s="293"/>
      <c r="BY23" s="293"/>
      <c r="BZ23" s="293"/>
      <c r="CA23" s="293"/>
      <c r="CB23" s="293"/>
      <c r="CC23" s="293"/>
      <c r="CD23" s="293"/>
      <c r="CE23" s="294"/>
      <c r="CF23" s="293"/>
      <c r="CG23" s="293"/>
      <c r="CH23" s="293"/>
      <c r="CI23" s="293"/>
      <c r="CJ23" s="293"/>
      <c r="CK23" s="293"/>
      <c r="CL23" s="293"/>
      <c r="CM23" s="293"/>
      <c r="CN23" s="293"/>
      <c r="CO23" s="293"/>
      <c r="CP23" s="295"/>
      <c r="CQ23" s="293"/>
      <c r="CR23" s="293"/>
      <c r="CS23" s="293"/>
      <c r="CT23" s="293"/>
      <c r="CU23" s="293"/>
      <c r="CV23" s="293"/>
      <c r="CW23" s="293"/>
      <c r="CX23" s="293"/>
      <c r="CY23" s="293"/>
      <c r="CZ23" s="293"/>
      <c r="DA23" s="293"/>
      <c r="DB23" s="1288"/>
      <c r="DC23" s="293"/>
      <c r="DD23" s="293"/>
      <c r="DE23" s="293"/>
      <c r="DF23" s="293"/>
      <c r="DG23" s="293"/>
      <c r="DH23" s="293"/>
      <c r="DI23" s="293"/>
      <c r="DJ23" s="293"/>
      <c r="DK23" s="293"/>
      <c r="DL23" s="293"/>
      <c r="DM23" s="293"/>
      <c r="DN23" s="295"/>
      <c r="DO23" s="293"/>
      <c r="DP23" s="293"/>
      <c r="DQ23" s="293"/>
      <c r="DR23" s="293"/>
      <c r="DS23" s="293"/>
      <c r="DT23" s="293"/>
      <c r="DU23" s="293"/>
      <c r="DV23" s="293"/>
      <c r="DW23" s="293"/>
      <c r="DX23" s="293"/>
      <c r="DY23" s="293"/>
      <c r="DZ23" s="295"/>
      <c r="EA23" s="293"/>
      <c r="EB23" s="293"/>
      <c r="EC23" s="293"/>
      <c r="ED23" s="293"/>
      <c r="EE23" s="293"/>
      <c r="EF23" s="293"/>
      <c r="EG23" s="293"/>
      <c r="EH23" s="293"/>
      <c r="EI23" s="293"/>
      <c r="EJ23" s="293"/>
      <c r="EK23" s="293"/>
      <c r="EL23" s="295"/>
      <c r="EM23" s="1080"/>
      <c r="EN23" s="1080"/>
      <c r="EO23" s="1080"/>
      <c r="EP23" s="1080"/>
      <c r="EQ23" s="1080"/>
      <c r="ER23" s="1080"/>
      <c r="ES23" s="1080"/>
      <c r="ET23" s="1080"/>
      <c r="EU23" s="1080"/>
      <c r="EV23" s="1080"/>
      <c r="EW23" s="1080"/>
      <c r="EX23" s="1340"/>
      <c r="EY23" s="1080"/>
      <c r="EZ23" s="1080"/>
      <c r="FA23" s="1080"/>
      <c r="FB23" s="1080"/>
      <c r="FC23" s="1080"/>
      <c r="FD23" s="1080"/>
      <c r="FE23" s="1080"/>
      <c r="FF23" s="1080"/>
      <c r="FG23" s="1080"/>
      <c r="FH23" s="1080"/>
      <c r="FI23" s="1080"/>
      <c r="FJ23" s="1340"/>
      <c r="FK23" s="1080"/>
      <c r="FL23" s="1080"/>
      <c r="FM23" s="1080"/>
      <c r="FN23" s="1080"/>
      <c r="FO23" s="1080"/>
      <c r="FP23" s="1080"/>
      <c r="FQ23" s="293"/>
      <c r="FR23" s="293"/>
      <c r="FS23" s="293"/>
      <c r="FT23" s="293"/>
      <c r="FU23" s="293"/>
      <c r="FV23" s="1288"/>
      <c r="FW23" s="293"/>
      <c r="FX23" s="293"/>
      <c r="FY23" s="293"/>
      <c r="FZ23" s="293"/>
      <c r="GA23" s="293"/>
      <c r="GB23" s="293"/>
      <c r="GC23" s="293">
        <v>0</v>
      </c>
      <c r="GD23" s="293">
        <v>0</v>
      </c>
      <c r="GE23" s="293">
        <v>0</v>
      </c>
      <c r="GF23" s="293">
        <v>10.598435385886999</v>
      </c>
      <c r="GG23" s="293">
        <v>0</v>
      </c>
      <c r="GH23" s="293">
        <v>29.265513434999999</v>
      </c>
      <c r="GI23" s="293"/>
      <c r="GJ23" s="293"/>
      <c r="GK23" s="293"/>
      <c r="GL23" s="293"/>
      <c r="GM23" s="293"/>
      <c r="GN23" s="293"/>
      <c r="GO23" s="293"/>
      <c r="GP23" s="293"/>
      <c r="GQ23" s="293"/>
      <c r="GR23" s="293"/>
      <c r="GS23" s="293"/>
      <c r="GT23" s="293"/>
      <c r="GU23" s="293"/>
      <c r="GV23" s="293"/>
      <c r="GW23" s="293"/>
      <c r="GX23" s="293"/>
      <c r="GY23" s="293"/>
      <c r="GZ23" s="293"/>
      <c r="HA23" s="293"/>
      <c r="HB23" s="293"/>
      <c r="HC23" s="293"/>
      <c r="HD23" s="293"/>
      <c r="HE23" s="293"/>
      <c r="HF23" s="293"/>
      <c r="HG23" s="293"/>
      <c r="HH23" s="293"/>
      <c r="HI23" s="293"/>
      <c r="HJ23" s="293"/>
      <c r="HK23" s="293"/>
      <c r="HL23" s="293"/>
      <c r="HM23" s="293"/>
      <c r="HN23" s="293"/>
      <c r="HO23" s="293"/>
      <c r="HP23" s="293"/>
      <c r="HQ23" s="293"/>
      <c r="HR23" s="293"/>
      <c r="HS23" s="293"/>
      <c r="HT23" s="293"/>
      <c r="HU23" s="293"/>
      <c r="HV23" s="293"/>
      <c r="HW23" s="293"/>
      <c r="HX23" s="293"/>
      <c r="HY23" s="293"/>
      <c r="KT23" s="280"/>
    </row>
    <row r="24" spans="1:306" outlineLevel="1">
      <c r="B24" s="96" t="s">
        <v>338</v>
      </c>
      <c r="D24" s="292" t="s">
        <v>353</v>
      </c>
      <c r="E24" s="293">
        <f>SUM(E6:E20)</f>
        <v>0</v>
      </c>
      <c r="F24" s="293">
        <f t="shared" ref="F24:BQ24" si="7">SUM(F6:F20)</f>
        <v>0</v>
      </c>
      <c r="G24" s="293">
        <f t="shared" si="7"/>
        <v>0</v>
      </c>
      <c r="H24" s="293">
        <f t="shared" si="7"/>
        <v>0</v>
      </c>
      <c r="I24" s="293">
        <f t="shared" si="7"/>
        <v>0</v>
      </c>
      <c r="J24" s="293">
        <f t="shared" si="7"/>
        <v>0</v>
      </c>
      <c r="K24" s="293">
        <f t="shared" si="7"/>
        <v>0</v>
      </c>
      <c r="L24" s="293">
        <f t="shared" si="7"/>
        <v>0</v>
      </c>
      <c r="M24" s="293">
        <f t="shared" si="7"/>
        <v>0</v>
      </c>
      <c r="N24" s="293">
        <f t="shared" si="7"/>
        <v>0</v>
      </c>
      <c r="O24" s="293">
        <f t="shared" si="7"/>
        <v>0</v>
      </c>
      <c r="P24" s="293">
        <f t="shared" si="7"/>
        <v>0</v>
      </c>
      <c r="Q24" s="293">
        <f t="shared" si="7"/>
        <v>0</v>
      </c>
      <c r="R24" s="293">
        <f t="shared" si="7"/>
        <v>0</v>
      </c>
      <c r="S24" s="293">
        <f t="shared" si="7"/>
        <v>0</v>
      </c>
      <c r="T24" s="293">
        <f t="shared" si="7"/>
        <v>0</v>
      </c>
      <c r="U24" s="293">
        <f t="shared" si="7"/>
        <v>0</v>
      </c>
      <c r="V24" s="293">
        <f t="shared" si="7"/>
        <v>0</v>
      </c>
      <c r="W24" s="293">
        <f t="shared" si="7"/>
        <v>0</v>
      </c>
      <c r="X24" s="293">
        <f t="shared" si="7"/>
        <v>0</v>
      </c>
      <c r="Y24" s="293">
        <f t="shared" si="7"/>
        <v>0</v>
      </c>
      <c r="Z24" s="293">
        <f t="shared" si="7"/>
        <v>0</v>
      </c>
      <c r="AA24" s="293">
        <f t="shared" si="7"/>
        <v>0</v>
      </c>
      <c r="AB24" s="293">
        <f t="shared" si="7"/>
        <v>0</v>
      </c>
      <c r="AC24" s="293">
        <f t="shared" si="7"/>
        <v>0</v>
      </c>
      <c r="AD24" s="293">
        <f t="shared" si="7"/>
        <v>0</v>
      </c>
      <c r="AE24" s="293">
        <f t="shared" si="7"/>
        <v>0</v>
      </c>
      <c r="AF24" s="293">
        <f t="shared" si="7"/>
        <v>0</v>
      </c>
      <c r="AG24" s="293">
        <f t="shared" si="7"/>
        <v>0</v>
      </c>
      <c r="AH24" s="293">
        <f t="shared" si="7"/>
        <v>0</v>
      </c>
      <c r="AI24" s="293">
        <f t="shared" si="7"/>
        <v>0</v>
      </c>
      <c r="AJ24" s="293">
        <f t="shared" si="7"/>
        <v>0</v>
      </c>
      <c r="AK24" s="293">
        <f t="shared" si="7"/>
        <v>0</v>
      </c>
      <c r="AL24" s="293">
        <f t="shared" si="7"/>
        <v>0</v>
      </c>
      <c r="AM24" s="293">
        <f t="shared" si="7"/>
        <v>0</v>
      </c>
      <c r="AN24" s="293">
        <f t="shared" si="7"/>
        <v>0</v>
      </c>
      <c r="AO24" s="293">
        <f t="shared" si="7"/>
        <v>0.9419973966003059</v>
      </c>
      <c r="AP24" s="293">
        <f t="shared" si="7"/>
        <v>2.3120699955495643</v>
      </c>
      <c r="AQ24" s="293">
        <f t="shared" si="7"/>
        <v>3.1798792506095959</v>
      </c>
      <c r="AR24" s="293">
        <f t="shared" si="7"/>
        <v>6.0606829026982521</v>
      </c>
      <c r="AS24" s="293">
        <f t="shared" si="7"/>
        <v>2.3896372856882122</v>
      </c>
      <c r="AT24" s="293">
        <f t="shared" si="7"/>
        <v>3.8477594639401271</v>
      </c>
      <c r="AU24" s="293">
        <f t="shared" si="7"/>
        <v>1.1054871460878444</v>
      </c>
      <c r="AV24" s="293">
        <f t="shared" si="7"/>
        <v>1.8445938300807765</v>
      </c>
      <c r="AW24" s="293">
        <f t="shared" si="7"/>
        <v>1.211958670009524</v>
      </c>
      <c r="AX24" s="293">
        <f t="shared" si="7"/>
        <v>5.5416237234750945</v>
      </c>
      <c r="AY24" s="293">
        <f t="shared" si="7"/>
        <v>4.0064216731809141</v>
      </c>
      <c r="AZ24" s="293">
        <f t="shared" si="7"/>
        <v>4.5453751638598456</v>
      </c>
      <c r="BA24" s="293">
        <f t="shared" si="7"/>
        <v>5.895384619535772</v>
      </c>
      <c r="BB24" s="293">
        <f t="shared" si="7"/>
        <v>4.5352634974833332</v>
      </c>
      <c r="BC24" s="293">
        <f t="shared" si="7"/>
        <v>13.280532053394124</v>
      </c>
      <c r="BD24" s="293">
        <f t="shared" si="7"/>
        <v>3.3967550983832928</v>
      </c>
      <c r="BE24" s="293">
        <f t="shared" si="7"/>
        <v>6.053113071123831</v>
      </c>
      <c r="BF24" s="293">
        <f t="shared" si="7"/>
        <v>5.1854767960607164</v>
      </c>
      <c r="BG24" s="293">
        <f t="shared" si="7"/>
        <v>4.7429663860652393</v>
      </c>
      <c r="BH24" s="293">
        <f t="shared" si="7"/>
        <v>2.50623638553623</v>
      </c>
      <c r="BI24" s="293">
        <f t="shared" si="7"/>
        <v>4.2447753952307439</v>
      </c>
      <c r="BJ24" s="293">
        <f t="shared" si="7"/>
        <v>3.076820456131157</v>
      </c>
      <c r="BK24" s="293">
        <f t="shared" si="7"/>
        <v>7.7867182370302457</v>
      </c>
      <c r="BL24" s="293">
        <f t="shared" si="7"/>
        <v>8.0427494871327756</v>
      </c>
      <c r="BM24" s="293">
        <f t="shared" si="7"/>
        <v>2.5587285849299026</v>
      </c>
      <c r="BN24" s="293">
        <f t="shared" si="7"/>
        <v>7.142050672421802</v>
      </c>
      <c r="BO24" s="293">
        <f t="shared" si="7"/>
        <v>5.8729568723278245</v>
      </c>
      <c r="BP24" s="293">
        <f t="shared" si="7"/>
        <v>4.2417080816900139</v>
      </c>
      <c r="BQ24" s="293">
        <f t="shared" si="7"/>
        <v>5.0692356032633779</v>
      </c>
      <c r="BR24" s="293">
        <f t="shared" ref="BR24:CD24" si="8">SUM(BR6:BR20)</f>
        <v>5.5758089973027074</v>
      </c>
      <c r="BS24" s="293">
        <f t="shared" si="8"/>
        <v>1.2519341368643684</v>
      </c>
      <c r="BT24" s="293">
        <f t="shared" si="8"/>
        <v>8.0109593575734497</v>
      </c>
      <c r="BU24" s="293">
        <f t="shared" si="8"/>
        <v>6.2240248257424122</v>
      </c>
      <c r="BV24" s="293">
        <f t="shared" si="8"/>
        <v>1.7237858952034464</v>
      </c>
      <c r="BW24" s="293">
        <f t="shared" si="8"/>
        <v>5.5529524331809519</v>
      </c>
      <c r="BX24" s="293">
        <f t="shared" si="8"/>
        <v>4.7129369148286093</v>
      </c>
      <c r="BY24" s="293">
        <f t="shared" si="8"/>
        <v>2.100093706</v>
      </c>
      <c r="BZ24" s="293">
        <f t="shared" si="8"/>
        <v>4.4655548180000002</v>
      </c>
      <c r="CA24" s="293">
        <f t="shared" si="8"/>
        <v>5.1991300479999998</v>
      </c>
      <c r="CB24" s="293">
        <f t="shared" si="8"/>
        <v>5.3388579189999996</v>
      </c>
      <c r="CC24" s="293">
        <f t="shared" si="8"/>
        <v>6.0480418490000005</v>
      </c>
      <c r="CD24" s="293">
        <f t="shared" si="8"/>
        <v>17.882258774</v>
      </c>
      <c r="CE24" s="294">
        <v>6.8171795699999995</v>
      </c>
      <c r="CF24" s="293">
        <v>3.9039883389999996</v>
      </c>
      <c r="CG24" s="293">
        <v>3.8882203720000001</v>
      </c>
      <c r="CH24" s="293">
        <v>6.2578329159999999</v>
      </c>
      <c r="CI24" s="293">
        <v>3.5211649989999998</v>
      </c>
      <c r="CJ24" s="293">
        <v>6.7397221740000006</v>
      </c>
      <c r="CK24" s="293">
        <v>11.206712712286999</v>
      </c>
      <c r="CL24" s="293">
        <v>1.744920303962</v>
      </c>
      <c r="CM24" s="293">
        <v>2.9498687050729999</v>
      </c>
      <c r="CN24" s="293">
        <v>2.9364516164649999</v>
      </c>
      <c r="CO24" s="293">
        <v>7.9735729529739992</v>
      </c>
      <c r="CP24" s="295">
        <v>8.7696447443489998</v>
      </c>
      <c r="CQ24" s="293">
        <v>5.7607435347770011</v>
      </c>
      <c r="CR24" s="293">
        <v>3.9472671107080002</v>
      </c>
      <c r="CS24" s="293">
        <v>12.991094179872</v>
      </c>
      <c r="CT24" s="293">
        <v>7.097023092573</v>
      </c>
      <c r="CU24" s="293">
        <v>12.102969035651</v>
      </c>
      <c r="CV24" s="293">
        <v>11.621077212909999</v>
      </c>
      <c r="CW24" s="293">
        <v>8.4188352186079989</v>
      </c>
      <c r="CX24" s="293">
        <v>3.7151717103489998</v>
      </c>
      <c r="CY24" s="293">
        <v>9.2964163726490003</v>
      </c>
      <c r="CZ24" s="293">
        <v>3.9665275602789998</v>
      </c>
      <c r="DA24" s="293">
        <v>6.3830912553159997</v>
      </c>
      <c r="DB24" s="1288">
        <v>13.932984784080002</v>
      </c>
      <c r="DC24" s="293">
        <v>0.42216898336300002</v>
      </c>
      <c r="DD24" s="293">
        <v>3.7189687297299998</v>
      </c>
      <c r="DE24" s="293">
        <v>11.694227755626997</v>
      </c>
      <c r="DF24" s="293">
        <v>8.5129279728749996</v>
      </c>
      <c r="DG24" s="293">
        <v>4.8652677647420006</v>
      </c>
      <c r="DH24" s="293">
        <v>22.350273298890002</v>
      </c>
      <c r="DI24" s="293">
        <v>6.7047741122170006</v>
      </c>
      <c r="DJ24" s="293">
        <v>5.5435094828279992</v>
      </c>
      <c r="DK24" s="293">
        <v>13.796249482406001</v>
      </c>
      <c r="DL24" s="293">
        <v>13.128120131547998</v>
      </c>
      <c r="DM24" s="293">
        <v>6.8738819535209998</v>
      </c>
      <c r="DN24" s="295">
        <v>5.2576456738859996</v>
      </c>
      <c r="DO24" s="293">
        <v>3.2977253905239996</v>
      </c>
      <c r="DP24" s="293">
        <v>8.4289872174100005</v>
      </c>
      <c r="DQ24" s="293">
        <v>19.676344781299001</v>
      </c>
      <c r="DR24" s="293">
        <v>6.2250619891019987</v>
      </c>
      <c r="DS24" s="293">
        <v>11.369225287213002</v>
      </c>
      <c r="DT24" s="293">
        <v>20.325144909231</v>
      </c>
      <c r="DU24" s="293">
        <v>11.223212818042001</v>
      </c>
      <c r="DV24" s="293">
        <v>3.1183098931750002</v>
      </c>
      <c r="DW24" s="293">
        <v>21.614232810366996</v>
      </c>
      <c r="DX24" s="293">
        <v>21.526583004928</v>
      </c>
      <c r="DY24" s="293">
        <v>12.780071612072998</v>
      </c>
      <c r="DZ24" s="295">
        <v>21.164277456465001</v>
      </c>
      <c r="EA24" s="293">
        <v>9.7045831328230001</v>
      </c>
      <c r="EB24" s="293">
        <v>14.178791869796999</v>
      </c>
      <c r="EC24" s="293">
        <v>4.1068273863379989</v>
      </c>
      <c r="ED24" s="293">
        <v>14.499453949647002</v>
      </c>
      <c r="EE24" s="293">
        <v>8.0689371946400001</v>
      </c>
      <c r="EF24" s="293">
        <v>16.683415901944997</v>
      </c>
      <c r="EG24" s="293">
        <v>20.175523392911998</v>
      </c>
      <c r="EH24" s="293">
        <v>4.4105177353120002</v>
      </c>
      <c r="EI24" s="293">
        <v>18.571578294357</v>
      </c>
      <c r="EJ24" s="293">
        <v>12.140062738398001</v>
      </c>
      <c r="EK24" s="293">
        <v>19.123543562072001</v>
      </c>
      <c r="EL24" s="295">
        <v>28.687180347918996</v>
      </c>
      <c r="EM24" s="1083">
        <v>10.477656590839999</v>
      </c>
      <c r="EN24" s="1083">
        <v>2.1647688006760002</v>
      </c>
      <c r="EO24" s="1083">
        <v>15.058106803279999</v>
      </c>
      <c r="EP24" s="1083">
        <v>3.5079863831359996</v>
      </c>
      <c r="EQ24" s="1083">
        <v>15.281142754074001</v>
      </c>
      <c r="ER24" s="1083">
        <v>26.971773235696993</v>
      </c>
      <c r="ES24" s="1083">
        <v>23.575918671628003</v>
      </c>
      <c r="ET24" s="1083">
        <v>16.006098219428999</v>
      </c>
      <c r="EU24" s="1083">
        <v>17.722634921015</v>
      </c>
      <c r="EV24" s="1083">
        <v>14.858032673780999</v>
      </c>
      <c r="EW24" s="1083">
        <v>19.614621516160998</v>
      </c>
      <c r="EX24" s="1329">
        <v>49.68972366989501</v>
      </c>
      <c r="EY24" s="1080">
        <v>19.924202328219</v>
      </c>
      <c r="EZ24" s="1080">
        <v>27.841981081697003</v>
      </c>
      <c r="FA24" s="1080">
        <v>9.9377495896189991</v>
      </c>
      <c r="FB24" s="1080">
        <v>17.643032780835</v>
      </c>
      <c r="FC24" s="1080">
        <v>24.679553929534006</v>
      </c>
      <c r="FD24" s="1080">
        <v>36.914323498831997</v>
      </c>
      <c r="FE24" s="1080">
        <v>23.042271596590833</v>
      </c>
      <c r="FF24" s="1080">
        <v>23.042271596590833</v>
      </c>
      <c r="FG24" s="1080">
        <v>23.042271596590833</v>
      </c>
      <c r="FH24" s="1080">
        <v>27.301130899202501</v>
      </c>
      <c r="FI24" s="1080">
        <v>27.301130899202501</v>
      </c>
      <c r="FJ24" s="1340">
        <v>27.301130899202501</v>
      </c>
      <c r="FK24" s="1080">
        <v>117.575863139036</v>
      </c>
      <c r="FL24" s="1080">
        <v>44.259788753746001</v>
      </c>
      <c r="FM24" s="1080">
        <v>18.768165997943996</v>
      </c>
      <c r="FN24" s="1080">
        <v>12.931676679849998</v>
      </c>
      <c r="FO24" s="1080">
        <v>25.497255099752</v>
      </c>
      <c r="FP24" s="1080">
        <v>27.715972263397997</v>
      </c>
      <c r="FQ24" s="293">
        <v>16.024197946205</v>
      </c>
      <c r="FR24" s="293">
        <v>13.750472737393999</v>
      </c>
      <c r="FS24" s="293">
        <v>35.751266564339986</v>
      </c>
      <c r="FT24" s="293">
        <v>26.086093328253</v>
      </c>
      <c r="FU24" s="293">
        <v>8.9790092985810013</v>
      </c>
      <c r="FV24" s="1288">
        <v>43.230276040410004</v>
      </c>
      <c r="FW24" s="293">
        <v>31.975558265251003</v>
      </c>
      <c r="FX24" s="293">
        <v>21.442936379576999</v>
      </c>
      <c r="FY24" s="293">
        <v>33.697982377468996</v>
      </c>
      <c r="FZ24" s="293">
        <v>61.350638449767992</v>
      </c>
      <c r="GA24" s="293">
        <v>27.841120919802002</v>
      </c>
      <c r="GB24" s="293">
        <v>39.717925325982002</v>
      </c>
      <c r="GC24" s="293">
        <v>3.4298311076370003</v>
      </c>
      <c r="GD24" s="293">
        <v>20.862679986603997</v>
      </c>
      <c r="GE24" s="293">
        <v>18.005459701505991</v>
      </c>
      <c r="GF24" s="293">
        <v>21.540718199653</v>
      </c>
      <c r="GG24" s="293">
        <v>26.262921360992998</v>
      </c>
      <c r="GH24" s="293">
        <v>94.193047970162993</v>
      </c>
      <c r="GI24" s="293"/>
      <c r="GJ24" s="293"/>
      <c r="GK24" s="293"/>
      <c r="GL24" s="293"/>
      <c r="GM24" s="293"/>
      <c r="GN24" s="293"/>
      <c r="GO24" s="293"/>
      <c r="GP24" s="293"/>
      <c r="GQ24" s="293"/>
      <c r="GR24" s="293"/>
      <c r="GS24" s="293"/>
      <c r="GT24" s="293"/>
      <c r="GU24" s="293"/>
      <c r="GV24" s="293"/>
      <c r="GW24" s="293"/>
      <c r="GX24" s="293"/>
      <c r="GY24" s="293"/>
      <c r="GZ24" s="293"/>
      <c r="HA24" s="293"/>
      <c r="HB24" s="293"/>
      <c r="HC24" s="293"/>
      <c r="HD24" s="293"/>
      <c r="HE24" s="293"/>
      <c r="HF24" s="293"/>
      <c r="HG24" s="293"/>
      <c r="HH24" s="293"/>
      <c r="HI24" s="293"/>
      <c r="HJ24" s="293"/>
      <c r="HK24" s="293"/>
      <c r="HL24" s="293"/>
      <c r="HM24" s="293"/>
      <c r="HN24" s="293"/>
      <c r="HO24" s="293"/>
      <c r="HP24" s="293"/>
      <c r="HQ24" s="293"/>
      <c r="HR24" s="293"/>
      <c r="HS24" s="293"/>
      <c r="HT24" s="293"/>
      <c r="HU24" s="293"/>
      <c r="HV24" s="293"/>
      <c r="HW24" s="293"/>
      <c r="HX24" s="293"/>
      <c r="HY24" s="293"/>
      <c r="IH24" s="279">
        <f>+SUM(DC24:DH24)</f>
        <v>51.563834505227</v>
      </c>
      <c r="II24" s="279">
        <f>+SUM(DI24:DN24)</f>
        <v>51.30418083640599</v>
      </c>
      <c r="IJ24" s="279">
        <f t="shared" si="2"/>
        <v>102.868015341633</v>
      </c>
      <c r="IK24" s="279">
        <f>SUM(DO24:DT24)</f>
        <v>69.322489574778999</v>
      </c>
      <c r="KT24" s="280"/>
    </row>
    <row r="25" spans="1:306" outlineLevel="1">
      <c r="D25" s="297"/>
      <c r="E25" s="293"/>
      <c r="F25" s="293"/>
      <c r="G25" s="293"/>
      <c r="H25" s="293"/>
      <c r="I25" s="293"/>
      <c r="J25" s="293"/>
      <c r="K25" s="293"/>
      <c r="L25" s="293"/>
      <c r="M25" s="293"/>
      <c r="N25" s="293"/>
      <c r="O25" s="293"/>
      <c r="P25" s="293"/>
      <c r="Q25" s="293"/>
      <c r="R25" s="293"/>
      <c r="S25" s="293"/>
      <c r="T25" s="293"/>
      <c r="U25" s="293"/>
      <c r="V25" s="293"/>
      <c r="W25" s="293"/>
      <c r="X25" s="293"/>
      <c r="Y25" s="293"/>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c r="BT25" s="293"/>
      <c r="BU25" s="293"/>
      <c r="BV25" s="293"/>
      <c r="BW25" s="293"/>
      <c r="BX25" s="293"/>
      <c r="BY25" s="293"/>
      <c r="BZ25" s="293"/>
      <c r="CA25" s="293"/>
      <c r="CB25" s="293"/>
      <c r="CC25" s="293"/>
      <c r="CD25" s="293"/>
      <c r="CE25" s="294"/>
      <c r="CF25" s="293"/>
      <c r="CG25" s="293"/>
      <c r="CH25" s="293"/>
      <c r="CI25" s="293"/>
      <c r="CJ25" s="293"/>
      <c r="CK25" s="293"/>
      <c r="CL25" s="293"/>
      <c r="CM25" s="293"/>
      <c r="CN25" s="293"/>
      <c r="CO25" s="293"/>
      <c r="CP25" s="295"/>
      <c r="CQ25" s="293"/>
      <c r="CR25" s="293"/>
      <c r="CS25" s="293"/>
      <c r="CT25" s="293"/>
      <c r="CU25" s="293"/>
      <c r="CV25" s="293"/>
      <c r="CW25" s="293"/>
      <c r="CX25" s="293"/>
      <c r="CY25" s="293"/>
      <c r="CZ25" s="293"/>
      <c r="DA25" s="293"/>
      <c r="DB25" s="1288"/>
      <c r="DC25" s="293"/>
      <c r="DD25" s="293"/>
      <c r="DE25" s="293"/>
      <c r="DF25" s="293"/>
      <c r="DG25" s="293"/>
      <c r="DH25" s="293"/>
      <c r="DI25" s="293"/>
      <c r="DJ25" s="293"/>
      <c r="DK25" s="293"/>
      <c r="DL25" s="293"/>
      <c r="DM25" s="293"/>
      <c r="DN25" s="295"/>
      <c r="DO25" s="293"/>
      <c r="DP25" s="293"/>
      <c r="DQ25" s="293"/>
      <c r="DR25" s="293"/>
      <c r="DS25" s="293"/>
      <c r="DT25" s="293"/>
      <c r="DU25" s="293"/>
      <c r="DV25" s="293"/>
      <c r="DW25" s="293"/>
      <c r="DX25" s="293"/>
      <c r="DY25" s="293"/>
      <c r="DZ25" s="295"/>
      <c r="EA25" s="293"/>
      <c r="EB25" s="293"/>
      <c r="EC25" s="293"/>
      <c r="ED25" s="293"/>
      <c r="EE25" s="293"/>
      <c r="EF25" s="293"/>
      <c r="EG25" s="293"/>
      <c r="EH25" s="293"/>
      <c r="EI25" s="293"/>
      <c r="EJ25" s="293"/>
      <c r="EK25" s="293"/>
      <c r="EL25" s="295"/>
      <c r="EM25" s="1080"/>
      <c r="EN25" s="1080"/>
      <c r="EO25" s="1080"/>
      <c r="EP25" s="1080"/>
      <c r="EQ25" s="1080"/>
      <c r="ER25" s="1080"/>
      <c r="ES25" s="1080"/>
      <c r="ET25" s="1080"/>
      <c r="EU25" s="1080"/>
      <c r="EV25" s="1080"/>
      <c r="EW25" s="1080"/>
      <c r="EX25" s="1340"/>
      <c r="EY25" s="1080"/>
      <c r="EZ25" s="1080"/>
      <c r="FA25" s="1080"/>
      <c r="FB25" s="1080"/>
      <c r="FC25" s="1080"/>
      <c r="FD25" s="1080"/>
      <c r="FE25" s="1080"/>
      <c r="FF25" s="1080"/>
      <c r="FG25" s="1080"/>
      <c r="FH25" s="1080"/>
      <c r="FI25" s="1080"/>
      <c r="FJ25" s="1340"/>
      <c r="FK25" s="1080"/>
      <c r="FL25" s="1080"/>
      <c r="FM25" s="1080"/>
      <c r="FN25" s="1080"/>
      <c r="FO25" s="1080"/>
      <c r="FP25" s="1080"/>
      <c r="FQ25" s="293"/>
      <c r="FR25" s="293"/>
      <c r="FS25" s="293"/>
      <c r="FT25" s="293"/>
      <c r="FU25" s="293"/>
      <c r="FV25" s="1288"/>
      <c r="FW25" s="293"/>
      <c r="FX25" s="293"/>
      <c r="FY25" s="293"/>
      <c r="FZ25" s="293"/>
      <c r="GA25" s="293"/>
      <c r="GB25" s="293"/>
      <c r="GC25" s="293"/>
      <c r="GD25" s="293"/>
      <c r="GE25" s="293"/>
      <c r="GF25" s="293"/>
      <c r="GG25" s="293"/>
      <c r="GH25" s="293"/>
      <c r="GI25" s="293"/>
      <c r="GJ25" s="293"/>
      <c r="GK25" s="293"/>
      <c r="GL25" s="293"/>
      <c r="GM25" s="293"/>
      <c r="GN25" s="293"/>
      <c r="GO25" s="293"/>
      <c r="GP25" s="293"/>
      <c r="GQ25" s="293"/>
      <c r="GR25" s="293"/>
      <c r="GS25" s="293"/>
      <c r="GT25" s="293"/>
      <c r="GU25" s="293"/>
      <c r="GV25" s="293"/>
      <c r="GW25" s="293"/>
      <c r="GX25" s="293"/>
      <c r="GY25" s="293"/>
      <c r="GZ25" s="293"/>
      <c r="HA25" s="293"/>
      <c r="HB25" s="293"/>
      <c r="HC25" s="293"/>
      <c r="HD25" s="293"/>
      <c r="HE25" s="293"/>
      <c r="HF25" s="293"/>
      <c r="HG25" s="293"/>
      <c r="HH25" s="293"/>
      <c r="HI25" s="293"/>
      <c r="HJ25" s="293"/>
      <c r="HK25" s="293"/>
      <c r="HL25" s="293"/>
      <c r="HM25" s="293"/>
      <c r="HN25" s="293"/>
      <c r="HO25" s="293"/>
      <c r="HP25" s="293"/>
      <c r="HQ25" s="293"/>
      <c r="HR25" s="293"/>
      <c r="HS25" s="293"/>
      <c r="HT25" s="293"/>
      <c r="HU25" s="293"/>
      <c r="HV25" s="293"/>
      <c r="HW25" s="293"/>
      <c r="HX25" s="293"/>
      <c r="HY25" s="293"/>
      <c r="KT25" s="280"/>
    </row>
    <row r="26" spans="1:306" outlineLevel="1">
      <c r="A26" s="291"/>
      <c r="D26" s="292" t="s">
        <v>934</v>
      </c>
      <c r="E26" s="293"/>
      <c r="F26" s="293"/>
      <c r="G26" s="293"/>
      <c r="H26" s="293"/>
      <c r="I26" s="293"/>
      <c r="J26" s="293"/>
      <c r="K26" s="293"/>
      <c r="L26" s="293"/>
      <c r="M26" s="293"/>
      <c r="N26" s="293"/>
      <c r="O26" s="293"/>
      <c r="P26" s="293"/>
      <c r="Q26" s="293"/>
      <c r="R26" s="293"/>
      <c r="S26" s="293"/>
      <c r="T26" s="293"/>
      <c r="U26" s="293"/>
      <c r="V26" s="293"/>
      <c r="W26" s="293"/>
      <c r="X26" s="293"/>
      <c r="Y26" s="29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93"/>
      <c r="CB26" s="293"/>
      <c r="CC26" s="293"/>
      <c r="CD26" s="293"/>
      <c r="CE26" s="294"/>
      <c r="CF26" s="293"/>
      <c r="CG26" s="293"/>
      <c r="CH26" s="293"/>
      <c r="CI26" s="293"/>
      <c r="CJ26" s="293"/>
      <c r="CK26" s="293"/>
      <c r="CL26" s="293"/>
      <c r="CM26" s="293"/>
      <c r="CN26" s="293"/>
      <c r="CO26" s="293"/>
      <c r="CP26" s="295"/>
      <c r="CQ26" s="293"/>
      <c r="CR26" s="293"/>
      <c r="CS26" s="293"/>
      <c r="CT26" s="293"/>
      <c r="CU26" s="293"/>
      <c r="CV26" s="293"/>
      <c r="CW26" s="293"/>
      <c r="CX26" s="293"/>
      <c r="CY26" s="293"/>
      <c r="CZ26" s="293"/>
      <c r="DA26" s="293"/>
      <c r="DB26" s="1288"/>
      <c r="DC26" s="293"/>
      <c r="DD26" s="293"/>
      <c r="DE26" s="293"/>
      <c r="DF26" s="293"/>
      <c r="DG26" s="293"/>
      <c r="DH26" s="293"/>
      <c r="DI26" s="293"/>
      <c r="DJ26" s="293"/>
      <c r="DK26" s="293"/>
      <c r="DL26" s="293"/>
      <c r="DM26" s="293"/>
      <c r="DN26" s="295"/>
      <c r="DO26" s="293"/>
      <c r="DP26" s="293"/>
      <c r="DQ26" s="293"/>
      <c r="DR26" s="293"/>
      <c r="DS26" s="293"/>
      <c r="DT26" s="293"/>
      <c r="DU26" s="293"/>
      <c r="DV26" s="293"/>
      <c r="DW26" s="293"/>
      <c r="DX26" s="293"/>
      <c r="DY26" s="293"/>
      <c r="DZ26" s="295"/>
      <c r="EA26" s="293">
        <v>0</v>
      </c>
      <c r="EB26" s="293">
        <v>0</v>
      </c>
      <c r="EC26" s="293">
        <v>0</v>
      </c>
      <c r="ED26" s="293">
        <v>0</v>
      </c>
      <c r="EE26" s="293">
        <v>0</v>
      </c>
      <c r="EF26" s="293">
        <v>0</v>
      </c>
      <c r="EG26" s="293">
        <v>36.409625616</v>
      </c>
      <c r="EH26" s="293">
        <v>0</v>
      </c>
      <c r="EI26" s="293">
        <v>0</v>
      </c>
      <c r="EJ26" s="293">
        <v>0</v>
      </c>
      <c r="EK26" s="293">
        <v>0</v>
      </c>
      <c r="EL26" s="295">
        <v>0</v>
      </c>
      <c r="EM26" s="1080"/>
      <c r="EN26" s="1080"/>
      <c r="EO26" s="1080"/>
      <c r="EP26" s="1080"/>
      <c r="EQ26" s="1080"/>
      <c r="ER26" s="1080"/>
      <c r="ES26" s="1080"/>
      <c r="ET26" s="1080"/>
      <c r="EU26" s="1080"/>
      <c r="EV26" s="1080"/>
      <c r="EW26" s="1080"/>
      <c r="EX26" s="1340"/>
      <c r="EY26" s="1080"/>
      <c r="EZ26" s="1080"/>
      <c r="FA26" s="1080"/>
      <c r="FB26" s="1080"/>
      <c r="FC26" s="1080"/>
      <c r="FD26" s="1080"/>
      <c r="FE26" s="1080"/>
      <c r="FF26" s="1080"/>
      <c r="FG26" s="1080"/>
      <c r="FH26" s="1080"/>
      <c r="FI26" s="1080"/>
      <c r="FJ26" s="1340"/>
      <c r="FK26" s="1080"/>
      <c r="FL26" s="1080"/>
      <c r="FM26" s="1080"/>
      <c r="FN26" s="1080"/>
      <c r="FO26" s="1080"/>
      <c r="FP26" s="1080"/>
      <c r="FQ26" s="293"/>
      <c r="FR26" s="293"/>
      <c r="FS26" s="293"/>
      <c r="FT26" s="293"/>
      <c r="FU26" s="293"/>
      <c r="FV26" s="1288"/>
      <c r="FW26" s="293"/>
      <c r="FX26" s="293"/>
      <c r="FY26" s="293"/>
      <c r="FZ26" s="293"/>
      <c r="GA26" s="293"/>
      <c r="GB26" s="293"/>
      <c r="GC26" s="293"/>
      <c r="GD26" s="293"/>
      <c r="GE26" s="293"/>
      <c r="GF26" s="293"/>
      <c r="GG26" s="293"/>
      <c r="GH26" s="293"/>
      <c r="GI26" s="293"/>
      <c r="GJ26" s="293"/>
      <c r="GK26" s="293"/>
      <c r="GL26" s="293"/>
      <c r="GM26" s="293"/>
      <c r="GN26" s="293"/>
      <c r="GO26" s="293"/>
      <c r="GP26" s="293"/>
      <c r="GQ26" s="293"/>
      <c r="GR26" s="293"/>
      <c r="GS26" s="293"/>
      <c r="GT26" s="293"/>
      <c r="GU26" s="293"/>
      <c r="GV26" s="293"/>
      <c r="GW26" s="293"/>
      <c r="GX26" s="293"/>
      <c r="GY26" s="293"/>
      <c r="GZ26" s="293"/>
      <c r="HA26" s="293"/>
      <c r="HB26" s="293"/>
      <c r="HC26" s="293"/>
      <c r="HD26" s="293"/>
      <c r="HE26" s="293"/>
      <c r="HF26" s="293"/>
      <c r="HG26" s="293"/>
      <c r="HH26" s="293"/>
      <c r="HI26" s="293"/>
      <c r="HJ26" s="293"/>
      <c r="HK26" s="293"/>
      <c r="HL26" s="293"/>
      <c r="HM26" s="293"/>
      <c r="HN26" s="293"/>
      <c r="HO26" s="293"/>
      <c r="HP26" s="293"/>
      <c r="HQ26" s="293"/>
      <c r="HR26" s="293"/>
      <c r="HS26" s="293"/>
      <c r="HT26" s="293"/>
      <c r="HU26" s="293"/>
      <c r="HV26" s="293"/>
      <c r="HW26" s="293"/>
      <c r="HX26" s="293"/>
      <c r="HY26" s="293"/>
      <c r="IH26" s="279">
        <f>+SUM(DC26:DH26)</f>
        <v>0</v>
      </c>
      <c r="II26" s="279">
        <f>+SUM(DI26:DN26)</f>
        <v>0</v>
      </c>
      <c r="IJ26" s="279">
        <f>+IH26+II26</f>
        <v>0</v>
      </c>
      <c r="IK26" s="279">
        <f>SUM(DO26:DT26)</f>
        <v>0</v>
      </c>
      <c r="KT26" s="280"/>
    </row>
    <row r="27" spans="1:306" outlineLevel="1">
      <c r="A27" s="96" t="s">
        <v>931</v>
      </c>
      <c r="B27" s="96" t="s">
        <v>338</v>
      </c>
      <c r="D27" s="296" t="s">
        <v>345</v>
      </c>
      <c r="E27" s="293"/>
      <c r="F27" s="293"/>
      <c r="G27" s="293"/>
      <c r="H27" s="293"/>
      <c r="I27" s="293"/>
      <c r="J27" s="293"/>
      <c r="K27" s="293"/>
      <c r="L27" s="293"/>
      <c r="M27" s="293"/>
      <c r="N27" s="293"/>
      <c r="O27" s="293"/>
      <c r="P27" s="293"/>
      <c r="Q27" s="293"/>
      <c r="R27" s="293"/>
      <c r="S27" s="293"/>
      <c r="T27" s="293"/>
      <c r="U27" s="293"/>
      <c r="V27" s="293"/>
      <c r="W27" s="293"/>
      <c r="X27" s="293"/>
      <c r="Y27" s="293"/>
      <c r="Z27" s="293"/>
      <c r="AA27" s="293"/>
      <c r="AB27" s="293"/>
      <c r="AC27" s="293"/>
      <c r="AD27" s="293"/>
      <c r="AE27" s="293"/>
      <c r="AF27" s="293"/>
      <c r="AG27" s="293"/>
      <c r="AH27" s="293"/>
      <c r="AI27" s="293"/>
      <c r="AJ27" s="293"/>
      <c r="AK27" s="293"/>
      <c r="AL27" s="293"/>
      <c r="AM27" s="293"/>
      <c r="AN27" s="293"/>
      <c r="AO27" s="293">
        <v>0</v>
      </c>
      <c r="AP27" s="293">
        <v>0</v>
      </c>
      <c r="AQ27" s="293">
        <v>0</v>
      </c>
      <c r="AR27" s="293">
        <v>0</v>
      </c>
      <c r="AS27" s="293">
        <v>0</v>
      </c>
      <c r="AT27" s="293">
        <v>0</v>
      </c>
      <c r="AU27" s="293">
        <v>0</v>
      </c>
      <c r="AV27" s="293">
        <v>0</v>
      </c>
      <c r="AW27" s="293">
        <v>0</v>
      </c>
      <c r="AX27" s="293">
        <v>0</v>
      </c>
      <c r="AY27" s="293">
        <v>0</v>
      </c>
      <c r="AZ27" s="293">
        <v>0</v>
      </c>
      <c r="BA27" s="293">
        <v>0</v>
      </c>
      <c r="BB27" s="293">
        <v>0</v>
      </c>
      <c r="BC27" s="293">
        <v>0</v>
      </c>
      <c r="BD27" s="293">
        <v>0</v>
      </c>
      <c r="BE27" s="293">
        <v>0</v>
      </c>
      <c r="BF27" s="293">
        <v>0</v>
      </c>
      <c r="BG27" s="293">
        <v>0</v>
      </c>
      <c r="BH27" s="293">
        <v>0</v>
      </c>
      <c r="BI27" s="293">
        <v>0</v>
      </c>
      <c r="BJ27" s="293">
        <v>0</v>
      </c>
      <c r="BK27" s="293">
        <v>0</v>
      </c>
      <c r="BL27" s="293">
        <v>12.105659661156361</v>
      </c>
      <c r="BM27" s="293">
        <v>0</v>
      </c>
      <c r="BN27" s="293">
        <v>0</v>
      </c>
      <c r="BO27" s="293">
        <v>0</v>
      </c>
      <c r="BP27" s="293">
        <v>0</v>
      </c>
      <c r="BQ27" s="293">
        <v>0</v>
      </c>
      <c r="BR27" s="293">
        <v>0</v>
      </c>
      <c r="BS27" s="293">
        <v>0</v>
      </c>
      <c r="BT27" s="293">
        <v>0</v>
      </c>
      <c r="BU27" s="293">
        <v>8.29243541834194</v>
      </c>
      <c r="BV27" s="293">
        <v>0</v>
      </c>
      <c r="BW27" s="293">
        <v>0</v>
      </c>
      <c r="BX27" s="293">
        <v>0</v>
      </c>
      <c r="BY27" s="293">
        <v>0</v>
      </c>
      <c r="BZ27" s="293">
        <v>0</v>
      </c>
      <c r="CA27" s="293">
        <v>0</v>
      </c>
      <c r="CB27" s="293">
        <v>0</v>
      </c>
      <c r="CC27" s="293">
        <v>0</v>
      </c>
      <c r="CD27" s="293">
        <v>8.2463667340000004</v>
      </c>
      <c r="CE27" s="294">
        <v>0</v>
      </c>
      <c r="CF27" s="293">
        <v>0</v>
      </c>
      <c r="CG27" s="293">
        <v>0</v>
      </c>
      <c r="CH27" s="293">
        <v>0</v>
      </c>
      <c r="CI27" s="293">
        <v>0</v>
      </c>
      <c r="CJ27" s="293">
        <v>0</v>
      </c>
      <c r="CK27" s="293">
        <v>0</v>
      </c>
      <c r="CL27" s="293">
        <v>0</v>
      </c>
      <c r="CM27" s="293">
        <v>0</v>
      </c>
      <c r="CN27" s="293">
        <v>0</v>
      </c>
      <c r="CO27" s="293">
        <v>0</v>
      </c>
      <c r="CP27" s="295">
        <v>17.854694282301999</v>
      </c>
      <c r="CQ27" s="293">
        <v>0</v>
      </c>
      <c r="CR27" s="293">
        <v>0</v>
      </c>
      <c r="CS27" s="293">
        <v>0</v>
      </c>
      <c r="CT27" s="293">
        <v>0</v>
      </c>
      <c r="CU27" s="293">
        <v>0</v>
      </c>
      <c r="CV27" s="293">
        <v>17.141914232569</v>
      </c>
      <c r="CW27" s="293">
        <v>0</v>
      </c>
      <c r="CX27" s="293">
        <v>0</v>
      </c>
      <c r="CY27" s="293">
        <v>0</v>
      </c>
      <c r="CZ27" s="293">
        <v>0</v>
      </c>
      <c r="DA27" s="293">
        <v>0</v>
      </c>
      <c r="DB27" s="1288">
        <v>0</v>
      </c>
      <c r="DC27" s="293">
        <v>0</v>
      </c>
      <c r="DD27" s="293">
        <v>0</v>
      </c>
      <c r="DE27" s="293">
        <v>0</v>
      </c>
      <c r="DF27" s="293">
        <v>0</v>
      </c>
      <c r="DG27" s="293">
        <v>0</v>
      </c>
      <c r="DH27" s="293">
        <v>0</v>
      </c>
      <c r="DI27" s="293">
        <v>0</v>
      </c>
      <c r="DJ27" s="293">
        <v>16.048668081999999</v>
      </c>
      <c r="DK27" s="293">
        <v>0</v>
      </c>
      <c r="DL27" s="293">
        <v>0</v>
      </c>
      <c r="DM27" s="293">
        <v>0</v>
      </c>
      <c r="DN27" s="295">
        <v>0</v>
      </c>
      <c r="DO27" s="293">
        <v>0</v>
      </c>
      <c r="DP27" s="293">
        <v>0</v>
      </c>
      <c r="DQ27" s="293">
        <v>0</v>
      </c>
      <c r="DR27" s="293">
        <v>40.211763817859129</v>
      </c>
      <c r="DS27" s="293">
        <v>0</v>
      </c>
      <c r="DT27" s="293">
        <v>0</v>
      </c>
      <c r="DU27" s="293">
        <v>0</v>
      </c>
      <c r="DV27" s="293">
        <v>0</v>
      </c>
      <c r="DW27" s="293">
        <v>0</v>
      </c>
      <c r="DX27" s="293">
        <v>0</v>
      </c>
      <c r="DY27" s="293">
        <v>0</v>
      </c>
      <c r="DZ27" s="295">
        <v>0</v>
      </c>
      <c r="EA27" s="293">
        <v>0</v>
      </c>
      <c r="EB27" s="293">
        <v>0</v>
      </c>
      <c r="EC27" s="293">
        <v>0</v>
      </c>
      <c r="ED27" s="293">
        <v>0</v>
      </c>
      <c r="EE27" s="293">
        <v>0</v>
      </c>
      <c r="EF27" s="293">
        <v>0</v>
      </c>
      <c r="EG27" s="293">
        <v>0</v>
      </c>
      <c r="EH27" s="293">
        <v>0</v>
      </c>
      <c r="EI27" s="293">
        <v>0</v>
      </c>
      <c r="EJ27" s="293">
        <v>0</v>
      </c>
      <c r="EK27" s="293">
        <v>20.856450759000001</v>
      </c>
      <c r="EL27" s="295">
        <v>0</v>
      </c>
      <c r="EM27" s="1080">
        <v>0</v>
      </c>
      <c r="EN27" s="1080">
        <v>0</v>
      </c>
      <c r="EO27" s="1080">
        <v>0</v>
      </c>
      <c r="EP27" s="1080">
        <v>0</v>
      </c>
      <c r="EQ27" s="1080">
        <v>0</v>
      </c>
      <c r="ER27" s="1080">
        <v>76.131426722094361</v>
      </c>
      <c r="ES27" s="1080">
        <v>0</v>
      </c>
      <c r="ET27" s="1080">
        <v>0</v>
      </c>
      <c r="EU27" s="1080">
        <v>0</v>
      </c>
      <c r="EV27" s="1080">
        <v>5.3858014279999997</v>
      </c>
      <c r="EW27" s="1080">
        <v>0</v>
      </c>
      <c r="EX27" s="1340">
        <v>41.546851434980397</v>
      </c>
      <c r="EY27" s="1080"/>
      <c r="EZ27" s="1080"/>
      <c r="FA27" s="1080"/>
      <c r="FB27" s="1080"/>
      <c r="FC27" s="1080"/>
      <c r="FD27" s="1080"/>
      <c r="FE27" s="1080"/>
      <c r="FF27" s="1080"/>
      <c r="FG27" s="1080"/>
      <c r="FH27" s="1080"/>
      <c r="FI27" s="1080"/>
      <c r="FJ27" s="1340"/>
      <c r="FK27" s="1080"/>
      <c r="FL27" s="1080"/>
      <c r="FM27" s="1080"/>
      <c r="FN27" s="1080"/>
      <c r="FO27" s="1080"/>
      <c r="FP27" s="1080"/>
      <c r="FQ27" s="293">
        <v>0</v>
      </c>
      <c r="FR27" s="293">
        <v>21.210518928999999</v>
      </c>
      <c r="FS27" s="293">
        <v>0</v>
      </c>
      <c r="FT27" s="293">
        <v>0</v>
      </c>
      <c r="FU27" s="293">
        <v>0</v>
      </c>
      <c r="FV27" s="1288">
        <v>0</v>
      </c>
      <c r="FW27" s="293">
        <v>0</v>
      </c>
      <c r="FX27" s="293">
        <v>0</v>
      </c>
      <c r="FY27" s="293">
        <v>0</v>
      </c>
      <c r="FZ27" s="293">
        <v>0</v>
      </c>
      <c r="GA27" s="293">
        <v>0</v>
      </c>
      <c r="GB27" s="293">
        <v>0</v>
      </c>
      <c r="GC27" s="293">
        <v>0</v>
      </c>
      <c r="GD27" s="293">
        <v>0</v>
      </c>
      <c r="GE27" s="293">
        <v>0</v>
      </c>
      <c r="GF27" s="293">
        <v>0</v>
      </c>
      <c r="GG27" s="293">
        <v>0</v>
      </c>
      <c r="GH27" s="293">
        <v>0</v>
      </c>
      <c r="GI27" s="293"/>
      <c r="GJ27" s="293"/>
      <c r="GK27" s="293"/>
      <c r="GL27" s="293"/>
      <c r="GM27" s="293"/>
      <c r="GN27" s="293"/>
      <c r="GO27" s="293"/>
      <c r="GP27" s="293"/>
      <c r="GQ27" s="293"/>
      <c r="GR27" s="293"/>
      <c r="GS27" s="293"/>
      <c r="GT27" s="293"/>
      <c r="GU27" s="293"/>
      <c r="GV27" s="293"/>
      <c r="GW27" s="293"/>
      <c r="GX27" s="293"/>
      <c r="GY27" s="293"/>
      <c r="GZ27" s="293"/>
      <c r="HA27" s="293"/>
      <c r="HB27" s="293"/>
      <c r="HC27" s="293"/>
      <c r="HD27" s="293"/>
      <c r="HE27" s="293"/>
      <c r="HF27" s="293"/>
      <c r="HG27" s="293"/>
      <c r="HH27" s="293"/>
      <c r="HI27" s="293"/>
      <c r="HJ27" s="293"/>
      <c r="HK27" s="293"/>
      <c r="HL27" s="293"/>
      <c r="HM27" s="293"/>
      <c r="HN27" s="293"/>
      <c r="HO27" s="293"/>
      <c r="HP27" s="293"/>
      <c r="HQ27" s="293"/>
      <c r="HR27" s="293"/>
      <c r="HS27" s="293"/>
      <c r="HT27" s="293"/>
      <c r="HU27" s="293"/>
      <c r="HV27" s="293"/>
      <c r="HW27" s="293"/>
      <c r="HX27" s="293"/>
      <c r="HY27" s="293"/>
      <c r="IH27" s="279">
        <f>+SUM(DC27:DH27)</f>
        <v>0</v>
      </c>
      <c r="II27" s="279">
        <f>+SUM(DI27:DN27)</f>
        <v>16.048668081999999</v>
      </c>
      <c r="IJ27" s="279">
        <f>+IH27+II27</f>
        <v>16.048668081999999</v>
      </c>
      <c r="IK27" s="279">
        <f>SUM(DO27:DT27)</f>
        <v>40.211763817859129</v>
      </c>
      <c r="KT27" s="280"/>
    </row>
    <row r="28" spans="1:306" outlineLevel="1">
      <c r="B28" s="96" t="s">
        <v>338</v>
      </c>
      <c r="D28" s="296" t="s">
        <v>349</v>
      </c>
      <c r="E28" s="293"/>
      <c r="F28" s="293"/>
      <c r="G28" s="293"/>
      <c r="H28" s="293"/>
      <c r="I28" s="293"/>
      <c r="J28" s="293"/>
      <c r="K28" s="293"/>
      <c r="L28" s="293"/>
      <c r="M28" s="293"/>
      <c r="N28" s="293"/>
      <c r="O28" s="293"/>
      <c r="P28" s="293"/>
      <c r="Q28" s="293"/>
      <c r="R28" s="293"/>
      <c r="S28" s="293"/>
      <c r="T28" s="293"/>
      <c r="U28" s="293"/>
      <c r="V28" s="293"/>
      <c r="W28" s="293"/>
      <c r="X28" s="293"/>
      <c r="Y28" s="293"/>
      <c r="Z28" s="293"/>
      <c r="AA28" s="293"/>
      <c r="AB28" s="293"/>
      <c r="AC28" s="293"/>
      <c r="AD28" s="293"/>
      <c r="AE28" s="293"/>
      <c r="AF28" s="293"/>
      <c r="AG28" s="293"/>
      <c r="AH28" s="293"/>
      <c r="AI28" s="293"/>
      <c r="AJ28" s="293"/>
      <c r="AK28" s="293"/>
      <c r="AL28" s="293"/>
      <c r="AM28" s="293"/>
      <c r="AN28" s="293"/>
      <c r="AO28" s="293">
        <v>0</v>
      </c>
      <c r="AP28" s="293">
        <v>0</v>
      </c>
      <c r="AQ28" s="293">
        <v>0</v>
      </c>
      <c r="AR28" s="293">
        <v>0</v>
      </c>
      <c r="AS28" s="293">
        <v>0</v>
      </c>
      <c r="AT28" s="293">
        <v>0</v>
      </c>
      <c r="AU28" s="293">
        <v>0</v>
      </c>
      <c r="AV28" s="293">
        <v>0</v>
      </c>
      <c r="AW28" s="293">
        <v>0</v>
      </c>
      <c r="AX28" s="293">
        <v>0</v>
      </c>
      <c r="AY28" s="293">
        <v>0</v>
      </c>
      <c r="AZ28" s="293">
        <v>0</v>
      </c>
      <c r="BA28" s="293">
        <v>0</v>
      </c>
      <c r="BB28" s="293">
        <v>0</v>
      </c>
      <c r="BC28" s="293">
        <v>0</v>
      </c>
      <c r="BD28" s="293">
        <v>21.355904322269506</v>
      </c>
      <c r="BE28" s="293">
        <v>0</v>
      </c>
      <c r="BF28" s="293">
        <v>0</v>
      </c>
      <c r="BG28" s="293">
        <v>0</v>
      </c>
      <c r="BH28" s="293">
        <v>0</v>
      </c>
      <c r="BI28" s="293">
        <v>0</v>
      </c>
      <c r="BJ28" s="293">
        <v>3.7449328516212752</v>
      </c>
      <c r="BK28" s="293">
        <v>0</v>
      </c>
      <c r="BL28" s="293">
        <v>37.569468888850373</v>
      </c>
      <c r="BM28" s="293">
        <v>0</v>
      </c>
      <c r="BN28" s="293">
        <v>0</v>
      </c>
      <c r="BO28" s="293">
        <v>0</v>
      </c>
      <c r="BP28" s="293">
        <v>0</v>
      </c>
      <c r="BQ28" s="293">
        <v>0</v>
      </c>
      <c r="BR28" s="293">
        <v>0</v>
      </c>
      <c r="BS28" s="293">
        <v>0</v>
      </c>
      <c r="BT28" s="293">
        <v>0</v>
      </c>
      <c r="BU28" s="293">
        <v>0</v>
      </c>
      <c r="BV28" s="293">
        <v>0</v>
      </c>
      <c r="BW28" s="293">
        <v>0</v>
      </c>
      <c r="BX28" s="293">
        <v>0</v>
      </c>
      <c r="BY28" s="293">
        <v>0</v>
      </c>
      <c r="BZ28" s="293">
        <v>0</v>
      </c>
      <c r="CA28" s="293">
        <v>0</v>
      </c>
      <c r="CB28" s="293">
        <v>0</v>
      </c>
      <c r="CC28" s="293">
        <v>0</v>
      </c>
      <c r="CD28" s="293">
        <v>0</v>
      </c>
      <c r="CE28" s="294">
        <v>0</v>
      </c>
      <c r="CF28" s="293">
        <v>0</v>
      </c>
      <c r="CG28" s="293">
        <v>0</v>
      </c>
      <c r="CH28" s="293">
        <v>0</v>
      </c>
      <c r="CI28" s="293">
        <v>0</v>
      </c>
      <c r="CJ28" s="293">
        <v>0</v>
      </c>
      <c r="CK28" s="293">
        <v>0</v>
      </c>
      <c r="CL28" s="293">
        <v>0</v>
      </c>
      <c r="CM28" s="293">
        <v>0</v>
      </c>
      <c r="CN28" s="293">
        <v>0</v>
      </c>
      <c r="CO28" s="293">
        <v>31.631566856500001</v>
      </c>
      <c r="CP28" s="295">
        <v>0</v>
      </c>
      <c r="CQ28" s="293">
        <v>0</v>
      </c>
      <c r="CR28" s="293">
        <v>0</v>
      </c>
      <c r="CS28" s="293">
        <v>0</v>
      </c>
      <c r="CT28" s="293">
        <v>0</v>
      </c>
      <c r="CU28" s="293">
        <v>0</v>
      </c>
      <c r="CV28" s="293">
        <v>39.54042132072</v>
      </c>
      <c r="CW28" s="293">
        <v>0</v>
      </c>
      <c r="CX28" s="293">
        <v>0</v>
      </c>
      <c r="CY28" s="293">
        <v>0</v>
      </c>
      <c r="CZ28" s="293">
        <v>46.908105421953671</v>
      </c>
      <c r="DA28" s="293">
        <v>0</v>
      </c>
      <c r="DB28" s="1288">
        <v>0</v>
      </c>
      <c r="DC28" s="293">
        <v>0</v>
      </c>
      <c r="DD28" s="293">
        <v>0</v>
      </c>
      <c r="DE28" s="293">
        <v>44.87491947503694</v>
      </c>
      <c r="DF28" s="293">
        <v>7.6787741383385413</v>
      </c>
      <c r="DG28" s="293">
        <v>0</v>
      </c>
      <c r="DH28" s="293">
        <v>70.05920556739467</v>
      </c>
      <c r="DI28" s="293">
        <v>0</v>
      </c>
      <c r="DJ28" s="293">
        <v>0</v>
      </c>
      <c r="DK28" s="293">
        <v>0</v>
      </c>
      <c r="DL28" s="293">
        <v>0</v>
      </c>
      <c r="DM28" s="293">
        <v>0</v>
      </c>
      <c r="DN28" s="295">
        <v>0</v>
      </c>
      <c r="DO28" s="293">
        <v>0</v>
      </c>
      <c r="DP28" s="293">
        <v>0</v>
      </c>
      <c r="DQ28" s="293">
        <v>19.271476517449592</v>
      </c>
      <c r="DR28" s="293">
        <v>23.474741639787275</v>
      </c>
      <c r="DS28" s="293">
        <v>0</v>
      </c>
      <c r="DT28" s="293">
        <v>74.902879725146917</v>
      </c>
      <c r="DU28" s="293">
        <v>0</v>
      </c>
      <c r="DV28" s="293">
        <v>0</v>
      </c>
      <c r="DW28" s="293">
        <v>0</v>
      </c>
      <c r="DX28" s="293">
        <v>0</v>
      </c>
      <c r="DY28" s="293">
        <v>25.959476439408562</v>
      </c>
      <c r="DZ28" s="295">
        <v>0</v>
      </c>
      <c r="EA28" s="293">
        <v>0</v>
      </c>
      <c r="EB28" s="293">
        <v>0</v>
      </c>
      <c r="EC28" s="293">
        <v>0</v>
      </c>
      <c r="ED28" s="293">
        <v>0</v>
      </c>
      <c r="EE28" s="293">
        <v>0</v>
      </c>
      <c r="EF28" s="293">
        <v>0</v>
      </c>
      <c r="EG28" s="293">
        <v>36.409625616</v>
      </c>
      <c r="EH28" s="293">
        <v>0</v>
      </c>
      <c r="EI28" s="293">
        <v>0</v>
      </c>
      <c r="EJ28" s="293">
        <v>0</v>
      </c>
      <c r="EK28" s="293">
        <v>20.856450759000001</v>
      </c>
      <c r="EL28" s="295">
        <v>0</v>
      </c>
      <c r="EM28" s="1080">
        <v>0</v>
      </c>
      <c r="EN28" s="1080">
        <v>0</v>
      </c>
      <c r="EO28" s="1080">
        <v>0</v>
      </c>
      <c r="EP28" s="1080">
        <v>4.4390382572712728</v>
      </c>
      <c r="EQ28" s="1080">
        <v>0</v>
      </c>
      <c r="ER28" s="1080">
        <v>118.03590894932972</v>
      </c>
      <c r="ES28" s="1080">
        <v>0</v>
      </c>
      <c r="ET28" s="1080">
        <v>0</v>
      </c>
      <c r="EU28" s="1080">
        <v>0</v>
      </c>
      <c r="EV28" s="1080">
        <v>0</v>
      </c>
      <c r="EW28" s="1080">
        <v>0</v>
      </c>
      <c r="EX28" s="1340">
        <v>16.20009202</v>
      </c>
      <c r="EY28" s="1080"/>
      <c r="EZ28" s="1080"/>
      <c r="FA28" s="1080"/>
      <c r="FB28" s="1080"/>
      <c r="FC28" s="1080"/>
      <c r="FD28" s="1080"/>
      <c r="FE28" s="1080"/>
      <c r="FF28" s="1080"/>
      <c r="FG28" s="1080"/>
      <c r="FH28" s="1080"/>
      <c r="FI28" s="1080"/>
      <c r="FJ28" s="1340"/>
      <c r="FK28" s="1080"/>
      <c r="FL28" s="1080"/>
      <c r="FM28" s="1080"/>
      <c r="FN28" s="1080"/>
      <c r="FO28" s="1080"/>
      <c r="FP28" s="1080"/>
      <c r="FQ28" s="293">
        <v>0</v>
      </c>
      <c r="FR28" s="293">
        <v>0</v>
      </c>
      <c r="FS28" s="293">
        <v>77.391814847999996</v>
      </c>
      <c r="FT28" s="293">
        <v>0.7073382329598551</v>
      </c>
      <c r="FU28" s="293">
        <v>0</v>
      </c>
      <c r="FV28" s="1288">
        <v>3.9146463928729198</v>
      </c>
      <c r="FW28" s="293">
        <v>0</v>
      </c>
      <c r="FX28" s="293">
        <v>0</v>
      </c>
      <c r="FY28" s="293">
        <v>0</v>
      </c>
      <c r="FZ28" s="293">
        <v>0</v>
      </c>
      <c r="GA28" s="293">
        <v>0</v>
      </c>
      <c r="GB28" s="293">
        <v>0</v>
      </c>
      <c r="GC28" s="293">
        <v>0</v>
      </c>
      <c r="GD28" s="293">
        <v>0</v>
      </c>
      <c r="GE28" s="293">
        <v>0</v>
      </c>
      <c r="GF28" s="293">
        <v>0</v>
      </c>
      <c r="GG28" s="293">
        <v>0</v>
      </c>
      <c r="GH28" s="293">
        <v>0</v>
      </c>
      <c r="GI28" s="293"/>
      <c r="GJ28" s="293"/>
      <c r="GK28" s="293"/>
      <c r="GL28" s="293"/>
      <c r="GM28" s="293"/>
      <c r="GN28" s="293"/>
      <c r="GO28" s="293"/>
      <c r="GP28" s="293"/>
      <c r="GQ28" s="293"/>
      <c r="GR28" s="293"/>
      <c r="GS28" s="293"/>
      <c r="GT28" s="293"/>
      <c r="GU28" s="293"/>
      <c r="GV28" s="293"/>
      <c r="GW28" s="293"/>
      <c r="GX28" s="293"/>
      <c r="GY28" s="293"/>
      <c r="GZ28" s="293"/>
      <c r="HA28" s="293"/>
      <c r="HB28" s="293"/>
      <c r="HC28" s="293"/>
      <c r="HD28" s="293"/>
      <c r="HE28" s="293"/>
      <c r="HF28" s="293"/>
      <c r="HG28" s="293"/>
      <c r="HH28" s="293"/>
      <c r="HI28" s="293"/>
      <c r="HJ28" s="293"/>
      <c r="HK28" s="293"/>
      <c r="HL28" s="293"/>
      <c r="HM28" s="293"/>
      <c r="HN28" s="293"/>
      <c r="HO28" s="293"/>
      <c r="HP28" s="293"/>
      <c r="HQ28" s="293"/>
      <c r="HR28" s="293"/>
      <c r="HS28" s="293"/>
      <c r="HT28" s="293"/>
      <c r="HU28" s="293"/>
      <c r="HV28" s="293"/>
      <c r="HW28" s="293"/>
      <c r="HX28" s="293"/>
      <c r="HY28" s="293"/>
      <c r="IH28" s="279">
        <f>+SUM(DC28:DH28)</f>
        <v>122.61289918077014</v>
      </c>
      <c r="II28" s="279">
        <f>+SUM(DI28:DN28)</f>
        <v>0</v>
      </c>
      <c r="IJ28" s="279">
        <f>+IH28+II28</f>
        <v>122.61289918077014</v>
      </c>
      <c r="IK28" s="279">
        <f>SUM(DO28:DT28)</f>
        <v>117.64909788238378</v>
      </c>
      <c r="KT28" s="280"/>
    </row>
    <row r="29" spans="1:306" outlineLevel="1">
      <c r="D29" s="296" t="s">
        <v>3719</v>
      </c>
      <c r="E29" s="293"/>
      <c r="F29" s="293"/>
      <c r="G29" s="293"/>
      <c r="H29" s="293"/>
      <c r="I29" s="293"/>
      <c r="J29" s="293"/>
      <c r="K29" s="293"/>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3"/>
      <c r="CD29" s="293"/>
      <c r="CE29" s="294"/>
      <c r="CF29" s="293"/>
      <c r="CG29" s="293"/>
      <c r="CH29" s="293"/>
      <c r="CI29" s="293"/>
      <c r="CJ29" s="293"/>
      <c r="CK29" s="293"/>
      <c r="CL29" s="293"/>
      <c r="CM29" s="293"/>
      <c r="CN29" s="293"/>
      <c r="CO29" s="293"/>
      <c r="CP29" s="295"/>
      <c r="CQ29" s="293"/>
      <c r="CR29" s="293"/>
      <c r="CS29" s="293"/>
      <c r="CT29" s="293"/>
      <c r="CU29" s="293"/>
      <c r="CV29" s="293"/>
      <c r="CW29" s="293"/>
      <c r="CX29" s="293"/>
      <c r="CY29" s="293"/>
      <c r="CZ29" s="293"/>
      <c r="DA29" s="293"/>
      <c r="DB29" s="1288"/>
      <c r="DC29" s="293"/>
      <c r="DD29" s="293"/>
      <c r="DE29" s="293"/>
      <c r="DF29" s="293"/>
      <c r="DG29" s="293"/>
      <c r="DH29" s="293"/>
      <c r="DI29" s="293"/>
      <c r="DJ29" s="293"/>
      <c r="DK29" s="293"/>
      <c r="DL29" s="293"/>
      <c r="DM29" s="293"/>
      <c r="DN29" s="295"/>
      <c r="DO29" s="293"/>
      <c r="DP29" s="293"/>
      <c r="DQ29" s="293"/>
      <c r="DR29" s="293"/>
      <c r="DS29" s="293"/>
      <c r="DT29" s="293"/>
      <c r="DU29" s="293"/>
      <c r="DV29" s="293"/>
      <c r="DW29" s="293"/>
      <c r="DX29" s="293"/>
      <c r="DY29" s="293"/>
      <c r="DZ29" s="295"/>
      <c r="EA29" s="293"/>
      <c r="EB29" s="293"/>
      <c r="EC29" s="293"/>
      <c r="ED29" s="293"/>
      <c r="EE29" s="293"/>
      <c r="EF29" s="293"/>
      <c r="EG29" s="293"/>
      <c r="EH29" s="293"/>
      <c r="EI29" s="293"/>
      <c r="EJ29" s="293"/>
      <c r="EK29" s="293"/>
      <c r="EL29" s="295"/>
      <c r="EM29" s="1080"/>
      <c r="EN29" s="1080"/>
      <c r="EO29" s="1080"/>
      <c r="EP29" s="1080"/>
      <c r="EQ29" s="1080"/>
      <c r="ER29" s="1080"/>
      <c r="ES29" s="1080"/>
      <c r="ET29" s="1080"/>
      <c r="EU29" s="1080"/>
      <c r="EV29" s="1080"/>
      <c r="EW29" s="1080"/>
      <c r="EX29" s="1340"/>
      <c r="EY29" s="1080"/>
      <c r="EZ29" s="1080"/>
      <c r="FA29" s="1080"/>
      <c r="FB29" s="1080"/>
      <c r="FC29" s="1080"/>
      <c r="FD29" s="1080"/>
      <c r="FE29" s="1080"/>
      <c r="FF29" s="1080"/>
      <c r="FG29" s="1080"/>
      <c r="FH29" s="1080"/>
      <c r="FI29" s="1080"/>
      <c r="FJ29" s="1340"/>
      <c r="FK29" s="1080"/>
      <c r="FL29" s="1080"/>
      <c r="FM29" s="1080"/>
      <c r="FN29" s="1080"/>
      <c r="FO29" s="1080"/>
      <c r="FP29" s="1080"/>
      <c r="FQ29" s="293"/>
      <c r="FR29" s="293"/>
      <c r="FS29" s="293"/>
      <c r="FT29" s="293"/>
      <c r="FU29" s="293"/>
      <c r="FV29" s="1288"/>
      <c r="FW29" s="293"/>
      <c r="FX29" s="293"/>
      <c r="FY29" s="293"/>
      <c r="FZ29" s="293"/>
      <c r="GA29" s="293"/>
      <c r="GB29" s="293"/>
      <c r="GC29" s="293"/>
      <c r="GD29" s="293"/>
      <c r="GE29" s="293"/>
      <c r="GF29" s="293"/>
      <c r="GG29" s="293"/>
      <c r="GH29" s="293"/>
      <c r="GI29" s="293"/>
      <c r="GJ29" s="293"/>
      <c r="GK29" s="293"/>
      <c r="GL29" s="293"/>
      <c r="GM29" s="293"/>
      <c r="GN29" s="293"/>
      <c r="GO29" s="293"/>
      <c r="GP29" s="293"/>
      <c r="GQ29" s="293"/>
      <c r="GR29" s="293"/>
      <c r="GS29" s="293"/>
      <c r="GT29" s="293"/>
      <c r="GU29" s="293"/>
      <c r="GV29" s="293"/>
      <c r="GW29" s="293"/>
      <c r="GX29" s="293"/>
      <c r="GY29" s="293"/>
      <c r="GZ29" s="293"/>
      <c r="HA29" s="293"/>
      <c r="HB29" s="293"/>
      <c r="HC29" s="293"/>
      <c r="HD29" s="293"/>
      <c r="HE29" s="293"/>
      <c r="HF29" s="293"/>
      <c r="HG29" s="293"/>
      <c r="HH29" s="293"/>
      <c r="HI29" s="293"/>
      <c r="HJ29" s="293"/>
      <c r="HK29" s="293"/>
      <c r="HL29" s="293"/>
      <c r="HM29" s="293"/>
      <c r="HN29" s="293"/>
      <c r="HO29" s="293"/>
      <c r="HP29" s="293"/>
      <c r="HQ29" s="293"/>
      <c r="HR29" s="293"/>
      <c r="HS29" s="293"/>
      <c r="HT29" s="293"/>
      <c r="HU29" s="293"/>
      <c r="HV29" s="293"/>
      <c r="HW29" s="293"/>
      <c r="HX29" s="293"/>
      <c r="HY29" s="293"/>
      <c r="KT29" s="280"/>
    </row>
    <row r="30" spans="1:306" outlineLevel="1">
      <c r="D30" s="296" t="s">
        <v>1112</v>
      </c>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c r="BT30" s="293"/>
      <c r="BU30" s="293"/>
      <c r="BV30" s="293"/>
      <c r="BW30" s="293"/>
      <c r="BX30" s="293"/>
      <c r="BY30" s="293"/>
      <c r="BZ30" s="293"/>
      <c r="CA30" s="293"/>
      <c r="CB30" s="293"/>
      <c r="CC30" s="293"/>
      <c r="CD30" s="293"/>
      <c r="CE30" s="294"/>
      <c r="CF30" s="293"/>
      <c r="CG30" s="293"/>
      <c r="CH30" s="293"/>
      <c r="CI30" s="293"/>
      <c r="CJ30" s="293"/>
      <c r="CK30" s="293"/>
      <c r="CL30" s="293"/>
      <c r="CM30" s="293"/>
      <c r="CN30" s="293"/>
      <c r="CO30" s="293"/>
      <c r="CP30" s="295"/>
      <c r="CQ30" s="293"/>
      <c r="CR30" s="293"/>
      <c r="CS30" s="293"/>
      <c r="CT30" s="293"/>
      <c r="CU30" s="293"/>
      <c r="CV30" s="293"/>
      <c r="CW30" s="293"/>
      <c r="CX30" s="293"/>
      <c r="CY30" s="293"/>
      <c r="CZ30" s="293"/>
      <c r="DA30" s="293"/>
      <c r="DB30" s="1288"/>
      <c r="DC30" s="293"/>
      <c r="DD30" s="293"/>
      <c r="DE30" s="293"/>
      <c r="DF30" s="293"/>
      <c r="DG30" s="293"/>
      <c r="DH30" s="293"/>
      <c r="DI30" s="293"/>
      <c r="DJ30" s="293"/>
      <c r="DK30" s="293"/>
      <c r="DL30" s="293"/>
      <c r="DM30" s="293"/>
      <c r="DN30" s="295"/>
      <c r="DO30" s="293"/>
      <c r="DP30" s="293"/>
      <c r="DQ30" s="293"/>
      <c r="DR30" s="293"/>
      <c r="DS30" s="293"/>
      <c r="DT30" s="293"/>
      <c r="DU30" s="293"/>
      <c r="DV30" s="293"/>
      <c r="DW30" s="293"/>
      <c r="DX30" s="293"/>
      <c r="DY30" s="293"/>
      <c r="DZ30" s="295"/>
      <c r="EA30" s="293"/>
      <c r="EB30" s="293"/>
      <c r="EC30" s="293"/>
      <c r="ED30" s="293"/>
      <c r="EE30" s="293"/>
      <c r="EF30" s="293"/>
      <c r="EG30" s="293"/>
      <c r="EH30" s="293"/>
      <c r="EI30" s="293"/>
      <c r="EJ30" s="293"/>
      <c r="EK30" s="293"/>
      <c r="EL30" s="295"/>
      <c r="EM30" s="1080"/>
      <c r="EN30" s="1080"/>
      <c r="EO30" s="1080"/>
      <c r="EP30" s="1080"/>
      <c r="EQ30" s="1080"/>
      <c r="ER30" s="1080"/>
      <c r="ES30" s="1080"/>
      <c r="ET30" s="1080"/>
      <c r="EU30" s="1080"/>
      <c r="EV30" s="1080"/>
      <c r="EW30" s="1080"/>
      <c r="EX30" s="1340"/>
      <c r="EY30" s="1080"/>
      <c r="EZ30" s="1080"/>
      <c r="FA30" s="1080"/>
      <c r="FB30" s="1080"/>
      <c r="FC30" s="1080"/>
      <c r="FD30" s="1080"/>
      <c r="FE30" s="1080"/>
      <c r="FF30" s="1080"/>
      <c r="FG30" s="1080"/>
      <c r="FH30" s="1080"/>
      <c r="FI30" s="1080"/>
      <c r="FJ30" s="1340"/>
      <c r="FK30" s="1080"/>
      <c r="FL30" s="1080"/>
      <c r="FM30" s="1080"/>
      <c r="FN30" s="1080"/>
      <c r="FO30" s="1080"/>
      <c r="FP30" s="1080"/>
      <c r="FQ30" s="293"/>
      <c r="FR30" s="293"/>
      <c r="FS30" s="293"/>
      <c r="FT30" s="293"/>
      <c r="FU30" s="293"/>
      <c r="FV30" s="1288"/>
      <c r="FW30" s="293"/>
      <c r="FX30" s="293"/>
      <c r="FY30" s="293"/>
      <c r="FZ30" s="293"/>
      <c r="GA30" s="293"/>
      <c r="GB30" s="293"/>
      <c r="GC30" s="293"/>
      <c r="GD30" s="293"/>
      <c r="GE30" s="293"/>
      <c r="GF30" s="293"/>
      <c r="GG30" s="293"/>
      <c r="GH30" s="293"/>
      <c r="GI30" s="293"/>
      <c r="GJ30" s="293"/>
      <c r="GK30" s="293"/>
      <c r="GL30" s="293"/>
      <c r="GM30" s="293"/>
      <c r="GN30" s="293"/>
      <c r="GO30" s="293"/>
      <c r="GP30" s="293"/>
      <c r="GQ30" s="293"/>
      <c r="GR30" s="293"/>
      <c r="GS30" s="293"/>
      <c r="GT30" s="293"/>
      <c r="GU30" s="293"/>
      <c r="GV30" s="293"/>
      <c r="GW30" s="293"/>
      <c r="GX30" s="293"/>
      <c r="GY30" s="293"/>
      <c r="GZ30" s="293"/>
      <c r="HA30" s="293"/>
      <c r="HB30" s="293"/>
      <c r="HC30" s="293"/>
      <c r="HD30" s="293"/>
      <c r="HE30" s="293"/>
      <c r="HF30" s="293"/>
      <c r="HG30" s="293"/>
      <c r="HH30" s="293"/>
      <c r="HI30" s="293"/>
      <c r="HJ30" s="293"/>
      <c r="HK30" s="293"/>
      <c r="HL30" s="293"/>
      <c r="HM30" s="293"/>
      <c r="HN30" s="293"/>
      <c r="HO30" s="293"/>
      <c r="HP30" s="293"/>
      <c r="HQ30" s="293"/>
      <c r="HR30" s="293"/>
      <c r="HS30" s="293"/>
      <c r="HT30" s="293"/>
      <c r="HU30" s="293"/>
      <c r="HV30" s="293"/>
      <c r="HW30" s="293"/>
      <c r="HX30" s="293"/>
      <c r="HY30" s="293"/>
      <c r="KT30" s="280"/>
    </row>
    <row r="31" spans="1:306" outlineLevel="1">
      <c r="D31" s="296" t="s">
        <v>3720</v>
      </c>
      <c r="E31" s="293"/>
      <c r="F31" s="293"/>
      <c r="G31" s="293"/>
      <c r="H31" s="293"/>
      <c r="I31" s="293"/>
      <c r="J31" s="293"/>
      <c r="K31" s="293"/>
      <c r="L31" s="293"/>
      <c r="M31" s="293"/>
      <c r="N31" s="293"/>
      <c r="O31" s="293"/>
      <c r="P31" s="293"/>
      <c r="Q31" s="293"/>
      <c r="R31" s="293"/>
      <c r="S31" s="293"/>
      <c r="T31" s="293"/>
      <c r="U31" s="293"/>
      <c r="V31" s="293"/>
      <c r="W31" s="293"/>
      <c r="X31" s="293"/>
      <c r="Y31" s="29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93"/>
      <c r="CB31" s="293"/>
      <c r="CC31" s="293"/>
      <c r="CD31" s="293"/>
      <c r="CE31" s="294"/>
      <c r="CF31" s="293"/>
      <c r="CG31" s="293"/>
      <c r="CH31" s="293"/>
      <c r="CI31" s="293"/>
      <c r="CJ31" s="293"/>
      <c r="CK31" s="293"/>
      <c r="CL31" s="293"/>
      <c r="CM31" s="293"/>
      <c r="CN31" s="293"/>
      <c r="CO31" s="293"/>
      <c r="CP31" s="295"/>
      <c r="CQ31" s="293"/>
      <c r="CR31" s="293"/>
      <c r="CS31" s="293"/>
      <c r="CT31" s="293"/>
      <c r="CU31" s="293"/>
      <c r="CV31" s="293"/>
      <c r="CW31" s="293"/>
      <c r="CX31" s="293"/>
      <c r="CY31" s="293"/>
      <c r="CZ31" s="293"/>
      <c r="DA31" s="293"/>
      <c r="DB31" s="1288"/>
      <c r="DC31" s="293"/>
      <c r="DD31" s="293"/>
      <c r="DE31" s="293"/>
      <c r="DF31" s="293"/>
      <c r="DG31" s="293"/>
      <c r="DH31" s="293"/>
      <c r="DI31" s="293"/>
      <c r="DJ31" s="293"/>
      <c r="DK31" s="293"/>
      <c r="DL31" s="293"/>
      <c r="DM31" s="293"/>
      <c r="DN31" s="295"/>
      <c r="DO31" s="293"/>
      <c r="DP31" s="293"/>
      <c r="DQ31" s="293"/>
      <c r="DR31" s="293"/>
      <c r="DS31" s="293"/>
      <c r="DT31" s="293"/>
      <c r="DU31" s="293"/>
      <c r="DV31" s="293"/>
      <c r="DW31" s="293"/>
      <c r="DX31" s="293"/>
      <c r="DY31" s="293"/>
      <c r="DZ31" s="295"/>
      <c r="EA31" s="293"/>
      <c r="EB31" s="293"/>
      <c r="EC31" s="293"/>
      <c r="ED31" s="293"/>
      <c r="EE31" s="293"/>
      <c r="EF31" s="293"/>
      <c r="EG31" s="293"/>
      <c r="EH31" s="293"/>
      <c r="EI31" s="293"/>
      <c r="EJ31" s="293"/>
      <c r="EK31" s="293"/>
      <c r="EL31" s="295"/>
      <c r="EM31" s="1080"/>
      <c r="EN31" s="1080"/>
      <c r="EO31" s="1080"/>
      <c r="EP31" s="1080"/>
      <c r="EQ31" s="1080"/>
      <c r="ER31" s="1080"/>
      <c r="ES31" s="1080"/>
      <c r="ET31" s="1080"/>
      <c r="EU31" s="1080"/>
      <c r="EV31" s="1080"/>
      <c r="EW31" s="1080"/>
      <c r="EX31" s="1340"/>
      <c r="EY31" s="1080"/>
      <c r="EZ31" s="1080"/>
      <c r="FA31" s="1080"/>
      <c r="FB31" s="1080"/>
      <c r="FC31" s="1080"/>
      <c r="FD31" s="1080"/>
      <c r="FE31" s="1080"/>
      <c r="FF31" s="1080"/>
      <c r="FG31" s="1080"/>
      <c r="FH31" s="1080"/>
      <c r="FI31" s="1080"/>
      <c r="FJ31" s="1340"/>
      <c r="FK31" s="1080"/>
      <c r="FL31" s="1080"/>
      <c r="FM31" s="1080"/>
      <c r="FN31" s="1080"/>
      <c r="FO31" s="1080"/>
      <c r="FP31" s="1080"/>
      <c r="FQ31" s="293"/>
      <c r="FR31" s="293"/>
      <c r="FS31" s="293"/>
      <c r="FT31" s="293"/>
      <c r="FU31" s="293"/>
      <c r="FV31" s="1288"/>
      <c r="FW31" s="293"/>
      <c r="FX31" s="293"/>
      <c r="FY31" s="293"/>
      <c r="FZ31" s="293"/>
      <c r="GA31" s="293"/>
      <c r="GB31" s="293"/>
      <c r="GC31" s="293"/>
      <c r="GD31" s="293"/>
      <c r="GE31" s="293"/>
      <c r="GF31" s="293"/>
      <c r="GG31" s="293"/>
      <c r="GH31" s="293"/>
      <c r="GI31" s="293"/>
      <c r="GJ31" s="293"/>
      <c r="GK31" s="293"/>
      <c r="GL31" s="293"/>
      <c r="GM31" s="293"/>
      <c r="GN31" s="293"/>
      <c r="GO31" s="293"/>
      <c r="GP31" s="293"/>
      <c r="GQ31" s="293"/>
      <c r="GR31" s="293"/>
      <c r="GS31" s="293"/>
      <c r="GT31" s="293"/>
      <c r="GU31" s="293"/>
      <c r="GV31" s="293"/>
      <c r="GW31" s="293"/>
      <c r="GX31" s="293"/>
      <c r="GY31" s="293"/>
      <c r="GZ31" s="293"/>
      <c r="HA31" s="293"/>
      <c r="HB31" s="293"/>
      <c r="HC31" s="293"/>
      <c r="HD31" s="293"/>
      <c r="HE31" s="293"/>
      <c r="HF31" s="293"/>
      <c r="HG31" s="293"/>
      <c r="HH31" s="293"/>
      <c r="HI31" s="293"/>
      <c r="HJ31" s="293"/>
      <c r="HK31" s="293"/>
      <c r="HL31" s="293"/>
      <c r="HM31" s="293"/>
      <c r="HN31" s="293"/>
      <c r="HO31" s="293"/>
      <c r="HP31" s="293"/>
      <c r="HQ31" s="293"/>
      <c r="HR31" s="293"/>
      <c r="HS31" s="293"/>
      <c r="HT31" s="293"/>
      <c r="HU31" s="293"/>
      <c r="HV31" s="293"/>
      <c r="HW31" s="293"/>
      <c r="HX31" s="293"/>
      <c r="HY31" s="293"/>
      <c r="KT31" s="280"/>
    </row>
    <row r="32" spans="1:306" outlineLevel="1">
      <c r="D32" s="296" t="s">
        <v>3721</v>
      </c>
      <c r="E32" s="293"/>
      <c r="F32" s="293"/>
      <c r="G32" s="293"/>
      <c r="H32" s="293"/>
      <c r="I32" s="293"/>
      <c r="J32" s="293"/>
      <c r="K32" s="293"/>
      <c r="L32" s="293"/>
      <c r="M32" s="293"/>
      <c r="N32" s="293"/>
      <c r="O32" s="293"/>
      <c r="P32" s="293"/>
      <c r="Q32" s="293"/>
      <c r="R32" s="293"/>
      <c r="S32" s="293"/>
      <c r="T32" s="293"/>
      <c r="U32" s="293"/>
      <c r="V32" s="293"/>
      <c r="W32" s="293"/>
      <c r="X32" s="293"/>
      <c r="Y32" s="29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c r="BT32" s="293"/>
      <c r="BU32" s="293"/>
      <c r="BV32" s="293"/>
      <c r="BW32" s="293"/>
      <c r="BX32" s="293"/>
      <c r="BY32" s="293"/>
      <c r="BZ32" s="293"/>
      <c r="CA32" s="293"/>
      <c r="CB32" s="293"/>
      <c r="CC32" s="293"/>
      <c r="CD32" s="293"/>
      <c r="CE32" s="294"/>
      <c r="CF32" s="293"/>
      <c r="CG32" s="293"/>
      <c r="CH32" s="293"/>
      <c r="CI32" s="293"/>
      <c r="CJ32" s="293"/>
      <c r="CK32" s="293"/>
      <c r="CL32" s="293"/>
      <c r="CM32" s="293"/>
      <c r="CN32" s="293"/>
      <c r="CO32" s="293"/>
      <c r="CP32" s="295"/>
      <c r="CQ32" s="293"/>
      <c r="CR32" s="293"/>
      <c r="CS32" s="293"/>
      <c r="CT32" s="293"/>
      <c r="CU32" s="293"/>
      <c r="CV32" s="293"/>
      <c r="CW32" s="293"/>
      <c r="CX32" s="293"/>
      <c r="CY32" s="293"/>
      <c r="CZ32" s="293"/>
      <c r="DA32" s="293"/>
      <c r="DB32" s="1288"/>
      <c r="DC32" s="293"/>
      <c r="DD32" s="293"/>
      <c r="DE32" s="293"/>
      <c r="DF32" s="293"/>
      <c r="DG32" s="293"/>
      <c r="DH32" s="293"/>
      <c r="DI32" s="293"/>
      <c r="DJ32" s="293"/>
      <c r="DK32" s="293"/>
      <c r="DL32" s="293"/>
      <c r="DM32" s="293"/>
      <c r="DN32" s="295"/>
      <c r="DO32" s="293"/>
      <c r="DP32" s="293"/>
      <c r="DQ32" s="293"/>
      <c r="DR32" s="293"/>
      <c r="DS32" s="293"/>
      <c r="DT32" s="293"/>
      <c r="DU32" s="293"/>
      <c r="DV32" s="293"/>
      <c r="DW32" s="293"/>
      <c r="DX32" s="293"/>
      <c r="DY32" s="293"/>
      <c r="DZ32" s="295"/>
      <c r="EA32" s="293"/>
      <c r="EB32" s="293"/>
      <c r="EC32" s="293"/>
      <c r="ED32" s="293"/>
      <c r="EE32" s="293"/>
      <c r="EF32" s="293"/>
      <c r="EG32" s="293"/>
      <c r="EH32" s="293"/>
      <c r="EI32" s="293"/>
      <c r="EJ32" s="293"/>
      <c r="EK32" s="293"/>
      <c r="EL32" s="295"/>
      <c r="EM32" s="1080"/>
      <c r="EN32" s="1080"/>
      <c r="EO32" s="1080"/>
      <c r="EP32" s="1080"/>
      <c r="EQ32" s="1080"/>
      <c r="ER32" s="1080"/>
      <c r="ES32" s="1080"/>
      <c r="ET32" s="1080"/>
      <c r="EU32" s="1080"/>
      <c r="EV32" s="1080"/>
      <c r="EW32" s="1080"/>
      <c r="EX32" s="1340"/>
      <c r="EY32" s="1080"/>
      <c r="EZ32" s="1080"/>
      <c r="FA32" s="1080"/>
      <c r="FB32" s="1080"/>
      <c r="FC32" s="1080"/>
      <c r="FD32" s="1080"/>
      <c r="FE32" s="1080"/>
      <c r="FF32" s="1080"/>
      <c r="FG32" s="1080"/>
      <c r="FH32" s="1080"/>
      <c r="FI32" s="1080"/>
      <c r="FJ32" s="1340"/>
      <c r="FK32" s="1080"/>
      <c r="FL32" s="1080"/>
      <c r="FM32" s="1080"/>
      <c r="FN32" s="1080"/>
      <c r="FO32" s="1080"/>
      <c r="FP32" s="1080"/>
      <c r="FQ32" s="293"/>
      <c r="FR32" s="293"/>
      <c r="FS32" s="293"/>
      <c r="FT32" s="293"/>
      <c r="FU32" s="293"/>
      <c r="FV32" s="1288"/>
      <c r="FW32" s="293"/>
      <c r="FX32" s="293"/>
      <c r="FY32" s="293"/>
      <c r="FZ32" s="293"/>
      <c r="GA32" s="293"/>
      <c r="GB32" s="293"/>
      <c r="GC32" s="293"/>
      <c r="GD32" s="293"/>
      <c r="GE32" s="293"/>
      <c r="GF32" s="293"/>
      <c r="GG32" s="293"/>
      <c r="GH32" s="293"/>
      <c r="GI32" s="293"/>
      <c r="GJ32" s="293"/>
      <c r="GK32" s="293"/>
      <c r="GL32" s="293"/>
      <c r="GM32" s="293"/>
      <c r="GN32" s="293"/>
      <c r="GO32" s="293"/>
      <c r="GP32" s="293"/>
      <c r="GQ32" s="293"/>
      <c r="GR32" s="293"/>
      <c r="GS32" s="293"/>
      <c r="GT32" s="293"/>
      <c r="GU32" s="293"/>
      <c r="GV32" s="293"/>
      <c r="GW32" s="293"/>
      <c r="GX32" s="293"/>
      <c r="GY32" s="293"/>
      <c r="GZ32" s="293"/>
      <c r="HA32" s="293"/>
      <c r="HB32" s="293"/>
      <c r="HC32" s="293"/>
      <c r="HD32" s="293"/>
      <c r="HE32" s="293"/>
      <c r="HF32" s="293"/>
      <c r="HG32" s="293"/>
      <c r="HH32" s="293"/>
      <c r="HI32" s="293"/>
      <c r="HJ32" s="293"/>
      <c r="HK32" s="293"/>
      <c r="HL32" s="293"/>
      <c r="HM32" s="293"/>
      <c r="HN32" s="293"/>
      <c r="HO32" s="293"/>
      <c r="HP32" s="293"/>
      <c r="HQ32" s="293"/>
      <c r="HR32" s="293"/>
      <c r="HS32" s="293"/>
      <c r="HT32" s="293"/>
      <c r="HU32" s="293"/>
      <c r="HV32" s="293"/>
      <c r="HW32" s="293"/>
      <c r="HX32" s="293"/>
      <c r="HY32" s="293"/>
      <c r="KT32" s="280"/>
    </row>
    <row r="33" spans="1:306" outlineLevel="1">
      <c r="B33" s="96" t="s">
        <v>338</v>
      </c>
      <c r="D33" s="292" t="s">
        <v>353</v>
      </c>
      <c r="E33" s="293">
        <f t="shared" ref="E33:BP33" si="9">SUM(E27:E28)</f>
        <v>0</v>
      </c>
      <c r="F33" s="293">
        <f t="shared" si="9"/>
        <v>0</v>
      </c>
      <c r="G33" s="293">
        <f t="shared" si="9"/>
        <v>0</v>
      </c>
      <c r="H33" s="293">
        <f t="shared" si="9"/>
        <v>0</v>
      </c>
      <c r="I33" s="293">
        <f t="shared" si="9"/>
        <v>0</v>
      </c>
      <c r="J33" s="293">
        <f t="shared" si="9"/>
        <v>0</v>
      </c>
      <c r="K33" s="293">
        <f t="shared" si="9"/>
        <v>0</v>
      </c>
      <c r="L33" s="293">
        <f t="shared" si="9"/>
        <v>0</v>
      </c>
      <c r="M33" s="293">
        <f t="shared" si="9"/>
        <v>0</v>
      </c>
      <c r="N33" s="293">
        <f t="shared" si="9"/>
        <v>0</v>
      </c>
      <c r="O33" s="293">
        <f t="shared" si="9"/>
        <v>0</v>
      </c>
      <c r="P33" s="293">
        <f t="shared" si="9"/>
        <v>0</v>
      </c>
      <c r="Q33" s="293">
        <f t="shared" si="9"/>
        <v>0</v>
      </c>
      <c r="R33" s="293">
        <f t="shared" si="9"/>
        <v>0</v>
      </c>
      <c r="S33" s="293">
        <f t="shared" si="9"/>
        <v>0</v>
      </c>
      <c r="T33" s="293">
        <f t="shared" si="9"/>
        <v>0</v>
      </c>
      <c r="U33" s="293">
        <f t="shared" si="9"/>
        <v>0</v>
      </c>
      <c r="V33" s="293">
        <f t="shared" si="9"/>
        <v>0</v>
      </c>
      <c r="W33" s="293">
        <f t="shared" si="9"/>
        <v>0</v>
      </c>
      <c r="X33" s="293">
        <f t="shared" si="9"/>
        <v>0</v>
      </c>
      <c r="Y33" s="293">
        <f t="shared" si="9"/>
        <v>0</v>
      </c>
      <c r="Z33" s="293">
        <f t="shared" si="9"/>
        <v>0</v>
      </c>
      <c r="AA33" s="293">
        <f t="shared" si="9"/>
        <v>0</v>
      </c>
      <c r="AB33" s="293">
        <f t="shared" si="9"/>
        <v>0</v>
      </c>
      <c r="AC33" s="293">
        <f t="shared" si="9"/>
        <v>0</v>
      </c>
      <c r="AD33" s="293">
        <f t="shared" si="9"/>
        <v>0</v>
      </c>
      <c r="AE33" s="293">
        <f t="shared" si="9"/>
        <v>0</v>
      </c>
      <c r="AF33" s="293">
        <f t="shared" si="9"/>
        <v>0</v>
      </c>
      <c r="AG33" s="293">
        <f t="shared" si="9"/>
        <v>0</v>
      </c>
      <c r="AH33" s="293">
        <f t="shared" si="9"/>
        <v>0</v>
      </c>
      <c r="AI33" s="293">
        <f t="shared" si="9"/>
        <v>0</v>
      </c>
      <c r="AJ33" s="293">
        <f t="shared" si="9"/>
        <v>0</v>
      </c>
      <c r="AK33" s="293">
        <f t="shared" si="9"/>
        <v>0</v>
      </c>
      <c r="AL33" s="293">
        <f t="shared" si="9"/>
        <v>0</v>
      </c>
      <c r="AM33" s="293">
        <f t="shared" si="9"/>
        <v>0</v>
      </c>
      <c r="AN33" s="293">
        <f t="shared" si="9"/>
        <v>0</v>
      </c>
      <c r="AO33" s="293">
        <f t="shared" si="9"/>
        <v>0</v>
      </c>
      <c r="AP33" s="293">
        <f t="shared" si="9"/>
        <v>0</v>
      </c>
      <c r="AQ33" s="293">
        <f t="shared" si="9"/>
        <v>0</v>
      </c>
      <c r="AR33" s="293">
        <f t="shared" si="9"/>
        <v>0</v>
      </c>
      <c r="AS33" s="293">
        <f t="shared" si="9"/>
        <v>0</v>
      </c>
      <c r="AT33" s="293">
        <f t="shared" si="9"/>
        <v>0</v>
      </c>
      <c r="AU33" s="293">
        <f t="shared" si="9"/>
        <v>0</v>
      </c>
      <c r="AV33" s="293">
        <f t="shared" si="9"/>
        <v>0</v>
      </c>
      <c r="AW33" s="293">
        <f t="shared" si="9"/>
        <v>0</v>
      </c>
      <c r="AX33" s="293">
        <f t="shared" si="9"/>
        <v>0</v>
      </c>
      <c r="AY33" s="293">
        <f t="shared" si="9"/>
        <v>0</v>
      </c>
      <c r="AZ33" s="293">
        <f t="shared" si="9"/>
        <v>0</v>
      </c>
      <c r="BA33" s="293">
        <f t="shared" si="9"/>
        <v>0</v>
      </c>
      <c r="BB33" s="293">
        <f t="shared" si="9"/>
        <v>0</v>
      </c>
      <c r="BC33" s="293">
        <f t="shared" si="9"/>
        <v>0</v>
      </c>
      <c r="BD33" s="293">
        <f t="shared" si="9"/>
        <v>21.355904322269506</v>
      </c>
      <c r="BE33" s="293">
        <f t="shared" si="9"/>
        <v>0</v>
      </c>
      <c r="BF33" s="293">
        <f t="shared" si="9"/>
        <v>0</v>
      </c>
      <c r="BG33" s="293">
        <f t="shared" si="9"/>
        <v>0</v>
      </c>
      <c r="BH33" s="293">
        <f t="shared" si="9"/>
        <v>0</v>
      </c>
      <c r="BI33" s="293">
        <f t="shared" si="9"/>
        <v>0</v>
      </c>
      <c r="BJ33" s="293">
        <f t="shared" si="9"/>
        <v>3.7449328516212752</v>
      </c>
      <c r="BK33" s="293">
        <f t="shared" si="9"/>
        <v>0</v>
      </c>
      <c r="BL33" s="293">
        <f t="shared" si="9"/>
        <v>49.675128550006733</v>
      </c>
      <c r="BM33" s="293">
        <f t="shared" si="9"/>
        <v>0</v>
      </c>
      <c r="BN33" s="293">
        <f t="shared" si="9"/>
        <v>0</v>
      </c>
      <c r="BO33" s="293">
        <f t="shared" si="9"/>
        <v>0</v>
      </c>
      <c r="BP33" s="293">
        <f t="shared" si="9"/>
        <v>0</v>
      </c>
      <c r="BQ33" s="293">
        <f t="shared" ref="BQ33:CD33" si="10">SUM(BQ27:BQ28)</f>
        <v>0</v>
      </c>
      <c r="BR33" s="293">
        <f t="shared" si="10"/>
        <v>0</v>
      </c>
      <c r="BS33" s="293">
        <f t="shared" si="10"/>
        <v>0</v>
      </c>
      <c r="BT33" s="293">
        <f t="shared" si="10"/>
        <v>0</v>
      </c>
      <c r="BU33" s="293">
        <f t="shared" si="10"/>
        <v>8.29243541834194</v>
      </c>
      <c r="BV33" s="293">
        <f t="shared" si="10"/>
        <v>0</v>
      </c>
      <c r="BW33" s="293">
        <f t="shared" si="10"/>
        <v>0</v>
      </c>
      <c r="BX33" s="293">
        <f t="shared" si="10"/>
        <v>0</v>
      </c>
      <c r="BY33" s="293">
        <f t="shared" si="10"/>
        <v>0</v>
      </c>
      <c r="BZ33" s="293">
        <f t="shared" si="10"/>
        <v>0</v>
      </c>
      <c r="CA33" s="293">
        <f t="shared" si="10"/>
        <v>0</v>
      </c>
      <c r="CB33" s="293">
        <f t="shared" si="10"/>
        <v>0</v>
      </c>
      <c r="CC33" s="293">
        <f t="shared" si="10"/>
        <v>0</v>
      </c>
      <c r="CD33" s="293">
        <f t="shared" si="10"/>
        <v>8.2463667340000004</v>
      </c>
      <c r="CE33" s="294">
        <v>0</v>
      </c>
      <c r="CF33" s="293">
        <v>0</v>
      </c>
      <c r="CG33" s="293">
        <v>0</v>
      </c>
      <c r="CH33" s="293">
        <v>0</v>
      </c>
      <c r="CI33" s="293">
        <v>0</v>
      </c>
      <c r="CJ33" s="293">
        <v>0</v>
      </c>
      <c r="CK33" s="293">
        <v>0</v>
      </c>
      <c r="CL33" s="293">
        <v>0</v>
      </c>
      <c r="CM33" s="293">
        <v>0</v>
      </c>
      <c r="CN33" s="293">
        <v>0</v>
      </c>
      <c r="CO33" s="293">
        <v>31.631566856500001</v>
      </c>
      <c r="CP33" s="295">
        <v>17.854694282301999</v>
      </c>
      <c r="CQ33" s="293">
        <v>0</v>
      </c>
      <c r="CR33" s="293">
        <v>0</v>
      </c>
      <c r="CS33" s="293">
        <v>0</v>
      </c>
      <c r="CT33" s="293">
        <v>0</v>
      </c>
      <c r="CU33" s="293">
        <v>0</v>
      </c>
      <c r="CV33" s="293">
        <v>56.682335553289001</v>
      </c>
      <c r="CW33" s="293">
        <v>0</v>
      </c>
      <c r="CX33" s="293">
        <v>0</v>
      </c>
      <c r="CY33" s="293">
        <v>0</v>
      </c>
      <c r="CZ33" s="293">
        <v>46.908105421953671</v>
      </c>
      <c r="DA33" s="293">
        <v>0</v>
      </c>
      <c r="DB33" s="1288">
        <v>0</v>
      </c>
      <c r="DC33" s="293">
        <v>0</v>
      </c>
      <c r="DD33" s="293">
        <v>0</v>
      </c>
      <c r="DE33" s="293">
        <v>44.87491947503694</v>
      </c>
      <c r="DF33" s="293">
        <v>7.6787741383385413</v>
      </c>
      <c r="DG33" s="293">
        <v>0</v>
      </c>
      <c r="DH33" s="293">
        <v>70.05920556739467</v>
      </c>
      <c r="DI33" s="293">
        <v>0</v>
      </c>
      <c r="DJ33" s="293">
        <v>16.048668081999999</v>
      </c>
      <c r="DK33" s="293">
        <v>0</v>
      </c>
      <c r="DL33" s="293">
        <v>0</v>
      </c>
      <c r="DM33" s="293">
        <v>0</v>
      </c>
      <c r="DN33" s="295">
        <v>0</v>
      </c>
      <c r="DO33" s="293">
        <v>0</v>
      </c>
      <c r="DP33" s="293">
        <v>0</v>
      </c>
      <c r="DQ33" s="293">
        <v>19.271476517449592</v>
      </c>
      <c r="DR33" s="293">
        <v>63.686505457646405</v>
      </c>
      <c r="DS33" s="293">
        <v>0</v>
      </c>
      <c r="DT33" s="293">
        <v>74.902879725146917</v>
      </c>
      <c r="DU33" s="293">
        <v>0</v>
      </c>
      <c r="DV33" s="293">
        <v>0</v>
      </c>
      <c r="DW33" s="293">
        <v>0</v>
      </c>
      <c r="DX33" s="293">
        <v>0</v>
      </c>
      <c r="DY33" s="293">
        <v>25.959476439408562</v>
      </c>
      <c r="DZ33" s="295">
        <v>0</v>
      </c>
      <c r="EA33" s="293">
        <v>0</v>
      </c>
      <c r="EB33" s="293">
        <v>17.655663775983001</v>
      </c>
      <c r="EC33" s="293">
        <v>25.542790115999999</v>
      </c>
      <c r="ED33" s="293">
        <v>6.2556475300000001</v>
      </c>
      <c r="EE33" s="293">
        <v>104.77629606000001</v>
      </c>
      <c r="EF33" s="293">
        <v>0</v>
      </c>
      <c r="EG33" s="293">
        <v>36.409625616</v>
      </c>
      <c r="EH33" s="293">
        <v>0</v>
      </c>
      <c r="EI33" s="293">
        <v>0</v>
      </c>
      <c r="EJ33" s="293">
        <v>0</v>
      </c>
      <c r="EK33" s="293">
        <v>20.856450759000001</v>
      </c>
      <c r="EL33" s="295"/>
      <c r="EM33" s="1083">
        <v>0</v>
      </c>
      <c r="EN33" s="1083">
        <v>0</v>
      </c>
      <c r="EO33" s="1083">
        <v>0</v>
      </c>
      <c r="EP33" s="1083">
        <v>4.4390382572712728</v>
      </c>
      <c r="EQ33" s="1083">
        <v>0</v>
      </c>
      <c r="ER33" s="1083">
        <v>194.16733567142407</v>
      </c>
      <c r="ES33" s="1083">
        <v>0</v>
      </c>
      <c r="ET33" s="1083">
        <v>0</v>
      </c>
      <c r="EU33" s="1083">
        <v>0</v>
      </c>
      <c r="EV33" s="1083">
        <v>5.3858014281060003</v>
      </c>
      <c r="EW33" s="1083">
        <v>0</v>
      </c>
      <c r="EX33" s="1329">
        <v>58.056333345380395</v>
      </c>
      <c r="EY33" s="1080">
        <v>0</v>
      </c>
      <c r="EZ33" s="1080">
        <v>0</v>
      </c>
      <c r="FA33" s="1080">
        <v>21.862293567408003</v>
      </c>
      <c r="FB33" s="1080">
        <v>168.37595167678001</v>
      </c>
      <c r="FC33" s="1080">
        <v>12.978702141386998</v>
      </c>
      <c r="FD33" s="1080">
        <v>111.34618143695599</v>
      </c>
      <c r="FE33" s="1080">
        <v>46.971522584283328</v>
      </c>
      <c r="FF33" s="1080">
        <v>4.5113808899999999</v>
      </c>
      <c r="FG33" s="1080">
        <v>0</v>
      </c>
      <c r="FH33" s="1080">
        <v>102.50687064179</v>
      </c>
      <c r="FI33" s="1080">
        <v>6.9664088161651447</v>
      </c>
      <c r="FJ33" s="1340">
        <v>245.4320386331857</v>
      </c>
      <c r="FK33" s="1080">
        <v>53.911287541610434</v>
      </c>
      <c r="FL33" s="1080">
        <v>0</v>
      </c>
      <c r="FM33" s="1080">
        <v>44.669390200000002</v>
      </c>
      <c r="FN33" s="1080">
        <v>19.46088985149353</v>
      </c>
      <c r="FO33" s="1080">
        <v>0.94926956868242574</v>
      </c>
      <c r="FP33" s="1080">
        <v>120.85648703055867</v>
      </c>
      <c r="FQ33" s="293">
        <v>0</v>
      </c>
      <c r="FR33" s="293">
        <v>21.210518928999999</v>
      </c>
      <c r="FS33" s="293">
        <v>77.391814847999996</v>
      </c>
      <c r="FT33" s="293">
        <v>0.7073382329598551</v>
      </c>
      <c r="FU33" s="293">
        <v>0</v>
      </c>
      <c r="FV33" s="1288">
        <v>3.9146463928729198</v>
      </c>
      <c r="FW33" s="293">
        <v>3.9260314720886353</v>
      </c>
      <c r="FX33" s="293">
        <v>0</v>
      </c>
      <c r="FY33" s="293">
        <v>0</v>
      </c>
      <c r="FZ33" s="293">
        <v>26.227729108165409</v>
      </c>
      <c r="GA33" s="293">
        <v>45.826820963338797</v>
      </c>
      <c r="GB33" s="293">
        <v>0</v>
      </c>
      <c r="GC33" s="293">
        <v>0</v>
      </c>
      <c r="GD33" s="293">
        <v>0</v>
      </c>
      <c r="GE33" s="293">
        <v>0</v>
      </c>
      <c r="GF33" s="293">
        <v>0</v>
      </c>
      <c r="GG33" s="293">
        <v>0</v>
      </c>
      <c r="GH33" s="293">
        <v>0</v>
      </c>
      <c r="GI33" s="293"/>
      <c r="GJ33" s="293"/>
      <c r="GK33" s="293"/>
      <c r="GL33" s="293"/>
      <c r="GM33" s="293"/>
      <c r="GN33" s="293"/>
      <c r="GO33" s="293"/>
      <c r="GP33" s="293"/>
      <c r="GQ33" s="293"/>
      <c r="GR33" s="293"/>
      <c r="GS33" s="293"/>
      <c r="GT33" s="293"/>
      <c r="GU33" s="293"/>
      <c r="GV33" s="293"/>
      <c r="GW33" s="293"/>
      <c r="GX33" s="293"/>
      <c r="GY33" s="293"/>
      <c r="GZ33" s="293"/>
      <c r="HA33" s="293"/>
      <c r="HB33" s="293"/>
      <c r="HC33" s="293"/>
      <c r="HD33" s="293"/>
      <c r="HE33" s="293"/>
      <c r="HF33" s="293"/>
      <c r="HG33" s="293"/>
      <c r="HH33" s="293"/>
      <c r="HI33" s="293"/>
      <c r="HJ33" s="293"/>
      <c r="HK33" s="293"/>
      <c r="HL33" s="293"/>
      <c r="HM33" s="293"/>
      <c r="HN33" s="293"/>
      <c r="HO33" s="293"/>
      <c r="HP33" s="293"/>
      <c r="HQ33" s="293"/>
      <c r="HR33" s="293"/>
      <c r="HS33" s="293"/>
      <c r="HT33" s="293"/>
      <c r="HU33" s="293"/>
      <c r="HV33" s="293"/>
      <c r="HW33" s="293"/>
      <c r="HX33" s="293"/>
      <c r="HY33" s="293"/>
      <c r="IH33" s="279">
        <f>+SUM(DC33:DH33)</f>
        <v>122.61289918077014</v>
      </c>
      <c r="II33" s="279">
        <f>+SUM(DI33:DN33)</f>
        <v>16.048668081999999</v>
      </c>
      <c r="IJ33" s="279">
        <f>+IH33+II33</f>
        <v>138.66156726277015</v>
      </c>
      <c r="IK33" s="279">
        <f>SUM(DO33:DT33)</f>
        <v>157.86086170024294</v>
      </c>
      <c r="KT33" s="280"/>
    </row>
    <row r="34" spans="1:306" outlineLevel="1">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c r="BN34" s="96"/>
      <c r="BO34" s="96"/>
      <c r="BP34" s="96"/>
      <c r="BQ34" s="96"/>
      <c r="BR34" s="96"/>
      <c r="BS34" s="96"/>
      <c r="BT34" s="96"/>
      <c r="BU34" s="96"/>
      <c r="BV34" s="96"/>
      <c r="BW34" s="96"/>
      <c r="BX34" s="96"/>
      <c r="BY34" s="96"/>
      <c r="BZ34" s="96"/>
      <c r="CA34" s="96"/>
      <c r="CB34" s="96"/>
      <c r="CC34" s="96"/>
      <c r="CD34" s="96"/>
      <c r="CE34" s="96"/>
      <c r="CF34" s="96"/>
      <c r="CG34" s="96"/>
      <c r="CH34" s="96"/>
      <c r="CI34" s="96"/>
      <c r="CJ34" s="96"/>
      <c r="CK34" s="96"/>
      <c r="CL34" s="96"/>
      <c r="CM34" s="96"/>
      <c r="CN34" s="96"/>
      <c r="CO34" s="96"/>
      <c r="CP34" s="1271"/>
      <c r="CQ34" s="96"/>
      <c r="CR34" s="96"/>
      <c r="CS34" s="96"/>
      <c r="CT34" s="96"/>
      <c r="CU34" s="96"/>
      <c r="CV34" s="96"/>
      <c r="CW34" s="96"/>
      <c r="CX34" s="96"/>
      <c r="CY34" s="96"/>
      <c r="CZ34" s="96"/>
      <c r="DA34" s="96"/>
      <c r="DB34" s="1289"/>
      <c r="DC34" s="811" t="s">
        <v>940</v>
      </c>
      <c r="DD34" s="96"/>
      <c r="DE34" s="96"/>
      <c r="DF34" s="96"/>
      <c r="DG34" s="96"/>
      <c r="DH34" s="96"/>
      <c r="DI34" s="96"/>
      <c r="DJ34" s="96"/>
      <c r="DK34" s="96"/>
      <c r="DL34" s="96"/>
      <c r="DM34" s="96"/>
      <c r="DN34" s="1271"/>
      <c r="DO34" s="96"/>
      <c r="DP34" s="96"/>
      <c r="DQ34" s="96"/>
      <c r="DR34" s="96"/>
      <c r="DS34" s="96"/>
      <c r="DT34" s="96"/>
      <c r="DU34" s="96"/>
      <c r="DV34" s="96"/>
      <c r="DW34" s="96"/>
      <c r="DX34" s="96"/>
      <c r="DY34" s="96"/>
      <c r="DZ34" s="1271"/>
      <c r="EA34" s="96"/>
      <c r="EB34" s="96"/>
      <c r="EC34" s="96"/>
      <c r="ED34" s="96"/>
      <c r="EE34" s="96"/>
      <c r="EF34" s="96"/>
      <c r="EG34" s="96"/>
      <c r="EH34" s="96"/>
      <c r="EI34" s="96"/>
      <c r="EJ34" s="96"/>
      <c r="EK34" s="96"/>
      <c r="EL34" s="1271"/>
      <c r="EM34" s="1081"/>
      <c r="EN34" s="1081"/>
      <c r="EO34" s="1081"/>
      <c r="EP34" s="1081"/>
      <c r="EQ34" s="1081"/>
      <c r="ER34" s="1081"/>
      <c r="ES34" s="1081"/>
      <c r="ET34" s="1081"/>
      <c r="EU34" s="1081"/>
      <c r="EV34" s="1081"/>
      <c r="EW34" s="1081"/>
      <c r="EX34" s="1349"/>
      <c r="EY34" s="1081"/>
      <c r="EZ34" s="1081"/>
      <c r="FA34" s="1081"/>
      <c r="FB34" s="1081"/>
      <c r="FC34" s="1081"/>
      <c r="FD34" s="1081"/>
      <c r="FE34" s="1081"/>
      <c r="FF34" s="1081"/>
      <c r="FG34" s="1081"/>
      <c r="FH34" s="1081"/>
      <c r="FI34" s="1081"/>
      <c r="FJ34" s="1349"/>
      <c r="FK34" s="1081"/>
      <c r="FL34" s="1081"/>
      <c r="FM34" s="1081"/>
      <c r="FN34" s="1081"/>
      <c r="FO34" s="1081"/>
      <c r="FP34" s="1081"/>
      <c r="FQ34" s="96"/>
      <c r="FR34" s="96"/>
      <c r="FS34" s="96"/>
      <c r="FT34" s="96"/>
      <c r="FU34" s="96"/>
      <c r="FV34" s="96"/>
      <c r="FW34" s="96"/>
      <c r="FX34" s="96"/>
      <c r="FY34" s="96"/>
      <c r="FZ34" s="96"/>
      <c r="GA34" s="96"/>
      <c r="GB34" s="96"/>
      <c r="GC34" s="96"/>
      <c r="GD34" s="96"/>
      <c r="GE34" s="96"/>
      <c r="GF34" s="96"/>
      <c r="GG34" s="96"/>
      <c r="GH34" s="96"/>
      <c r="GI34" s="96"/>
      <c r="GJ34" s="96"/>
      <c r="GK34" s="96"/>
      <c r="GL34" s="96"/>
      <c r="GM34" s="96"/>
      <c r="GN34" s="96"/>
      <c r="GO34" s="96"/>
      <c r="GP34" s="96"/>
      <c r="GQ34" s="96"/>
      <c r="GR34" s="96"/>
      <c r="GS34" s="96"/>
      <c r="GT34" s="96"/>
      <c r="GU34" s="96"/>
      <c r="GV34" s="96"/>
      <c r="GW34" s="96"/>
      <c r="GX34" s="96"/>
      <c r="GY34" s="96"/>
      <c r="GZ34" s="96"/>
      <c r="HA34" s="96"/>
      <c r="HB34" s="96"/>
      <c r="HC34" s="96"/>
      <c r="HD34" s="96"/>
      <c r="HE34" s="96"/>
      <c r="HF34" s="96"/>
      <c r="HG34" s="96"/>
      <c r="HH34" s="96"/>
      <c r="HI34" s="96"/>
      <c r="HJ34" s="96"/>
      <c r="HK34" s="96"/>
      <c r="HL34" s="96"/>
      <c r="HM34" s="96"/>
      <c r="HN34" s="96"/>
      <c r="HO34" s="96"/>
      <c r="HP34" s="96"/>
      <c r="HQ34" s="96"/>
      <c r="HR34" s="96"/>
      <c r="HS34" s="96"/>
      <c r="HT34" s="96"/>
      <c r="HU34" s="96"/>
      <c r="HV34" s="96"/>
      <c r="HW34" s="96"/>
      <c r="HX34" s="96"/>
      <c r="HY34" s="96"/>
      <c r="KT34" s="280"/>
    </row>
    <row r="35" spans="1:306" outlineLevel="1">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c r="BN35" s="96"/>
      <c r="BO35" s="96"/>
      <c r="BP35" s="96"/>
      <c r="BQ35" s="96"/>
      <c r="BR35" s="96"/>
      <c r="BS35" s="96"/>
      <c r="BT35" s="96"/>
      <c r="BU35" s="96"/>
      <c r="BV35" s="96"/>
      <c r="BW35" s="96"/>
      <c r="BX35" s="96"/>
      <c r="BY35" s="96"/>
      <c r="BZ35" s="96"/>
      <c r="CA35" s="96"/>
      <c r="CB35" s="96"/>
      <c r="CC35" s="96"/>
      <c r="CD35" s="96"/>
      <c r="CE35" s="96"/>
      <c r="CF35" s="96"/>
      <c r="CG35" s="96"/>
      <c r="CH35" s="96"/>
      <c r="CI35" s="96"/>
      <c r="CJ35" s="96"/>
      <c r="CK35" s="96"/>
      <c r="CL35" s="96"/>
      <c r="CM35" s="96"/>
      <c r="CN35" s="96"/>
      <c r="CO35" s="96"/>
      <c r="CP35" s="1271"/>
      <c r="CQ35" s="96"/>
      <c r="CR35" s="96"/>
      <c r="CS35" s="96"/>
      <c r="CT35" s="96"/>
      <c r="CU35" s="96"/>
      <c r="CV35" s="96"/>
      <c r="CW35" s="96"/>
      <c r="CX35" s="96"/>
      <c r="CY35" s="96"/>
      <c r="CZ35" s="96"/>
      <c r="DA35" s="96"/>
      <c r="DB35" s="1289"/>
      <c r="DC35" s="811"/>
      <c r="DD35" s="96"/>
      <c r="DE35" s="96"/>
      <c r="DF35" s="96"/>
      <c r="DG35" s="96"/>
      <c r="DH35" s="96"/>
      <c r="DI35" s="96"/>
      <c r="DJ35" s="96"/>
      <c r="DK35" s="96"/>
      <c r="DL35" s="96"/>
      <c r="DM35" s="96"/>
      <c r="DN35" s="1271"/>
      <c r="DO35" s="96"/>
      <c r="DP35" s="96"/>
      <c r="DQ35" s="96"/>
      <c r="DR35" s="96"/>
      <c r="DS35" s="96"/>
      <c r="DT35" s="96"/>
      <c r="DU35" s="96"/>
      <c r="DV35" s="96"/>
      <c r="DW35" s="96"/>
      <c r="DX35" s="96"/>
      <c r="DY35" s="96"/>
      <c r="DZ35" s="1271"/>
      <c r="EA35" s="96"/>
      <c r="EB35" s="96"/>
      <c r="EC35" s="96"/>
      <c r="ED35" s="96"/>
      <c r="EE35" s="96"/>
      <c r="EF35" s="96"/>
      <c r="EG35" s="96"/>
      <c r="EH35" s="96"/>
      <c r="EI35" s="96"/>
      <c r="EJ35" s="96"/>
      <c r="EK35" s="96"/>
      <c r="EL35" s="1271"/>
      <c r="EM35" s="1081"/>
      <c r="EN35" s="1081"/>
      <c r="EO35" s="1081"/>
      <c r="EP35" s="1081"/>
      <c r="EQ35" s="1081"/>
      <c r="ER35" s="1081"/>
      <c r="ES35" s="1081"/>
      <c r="ET35" s="1081"/>
      <c r="EU35" s="1081"/>
      <c r="EV35" s="1081"/>
      <c r="EW35" s="1081"/>
      <c r="EX35" s="1349"/>
      <c r="EY35" s="1081"/>
      <c r="EZ35" s="1081"/>
      <c r="FA35" s="1081"/>
      <c r="FB35" s="1081"/>
      <c r="FC35" s="1081"/>
      <c r="FD35" s="1081"/>
      <c r="FE35" s="1081"/>
      <c r="FF35" s="1081"/>
      <c r="FG35" s="1081"/>
      <c r="FH35" s="1081"/>
      <c r="FI35" s="1081"/>
      <c r="FJ35" s="1349"/>
      <c r="FK35" s="1081"/>
      <c r="FL35" s="1081"/>
      <c r="FM35" s="1081"/>
      <c r="FN35" s="1081"/>
      <c r="FO35" s="1081"/>
      <c r="FP35" s="1081"/>
      <c r="FQ35" s="96"/>
      <c r="FR35" s="96"/>
      <c r="FS35" s="96"/>
      <c r="FT35" s="96"/>
      <c r="FU35" s="96"/>
      <c r="FV35" s="96"/>
      <c r="FW35" s="96"/>
      <c r="FX35" s="96"/>
      <c r="FY35" s="96"/>
      <c r="FZ35" s="96"/>
      <c r="GA35" s="96"/>
      <c r="GB35" s="96"/>
      <c r="GC35" s="96"/>
      <c r="GD35" s="96"/>
      <c r="GE35" s="96"/>
      <c r="GF35" s="96"/>
      <c r="GG35" s="96"/>
      <c r="GH35" s="96"/>
      <c r="GI35" s="96"/>
      <c r="GJ35" s="96"/>
      <c r="GK35" s="96"/>
      <c r="GL35" s="96"/>
      <c r="GM35" s="96"/>
      <c r="GN35" s="96"/>
      <c r="GO35" s="96"/>
      <c r="GP35" s="96"/>
      <c r="GQ35" s="96"/>
      <c r="GR35" s="96"/>
      <c r="GS35" s="96"/>
      <c r="GT35" s="96"/>
      <c r="GU35" s="96"/>
      <c r="GV35" s="96"/>
      <c r="GW35" s="96"/>
      <c r="GX35" s="96"/>
      <c r="GY35" s="96"/>
      <c r="GZ35" s="96"/>
      <c r="HA35" s="96"/>
      <c r="HB35" s="96"/>
      <c r="HC35" s="96"/>
      <c r="HD35" s="96"/>
      <c r="HE35" s="96"/>
      <c r="HF35" s="96"/>
      <c r="HG35" s="96"/>
      <c r="HH35" s="96"/>
      <c r="HI35" s="96"/>
      <c r="HJ35" s="96"/>
      <c r="HK35" s="96"/>
      <c r="HL35" s="96"/>
      <c r="HM35" s="96"/>
      <c r="HN35" s="96"/>
      <c r="HO35" s="96"/>
      <c r="HP35" s="96"/>
      <c r="HQ35" s="96"/>
      <c r="HR35" s="96"/>
      <c r="HS35" s="96"/>
      <c r="HT35" s="96"/>
      <c r="HU35" s="96"/>
      <c r="HV35" s="96"/>
      <c r="HW35" s="96"/>
      <c r="HX35" s="96"/>
      <c r="HY35" s="96"/>
      <c r="KT35" s="280"/>
    </row>
    <row r="36" spans="1:306" outlineLevel="1">
      <c r="A36" s="291" t="s">
        <v>1048</v>
      </c>
      <c r="CE36" s="793"/>
      <c r="CP36" s="280"/>
      <c r="DC36" s="812" t="s">
        <v>938</v>
      </c>
      <c r="DN36" s="625"/>
      <c r="DO36" s="878"/>
      <c r="EA36" s="279"/>
      <c r="EB36" s="279"/>
      <c r="EC36" s="279"/>
      <c r="ED36" s="279"/>
      <c r="EE36" s="279"/>
      <c r="EF36" s="279"/>
      <c r="EG36" s="279"/>
      <c r="EH36" s="279"/>
      <c r="EI36" s="279"/>
      <c r="EJ36" s="279"/>
      <c r="EK36" s="279"/>
      <c r="EL36" s="280"/>
      <c r="EM36" s="1082"/>
      <c r="EN36" s="1082"/>
      <c r="EO36" s="1082"/>
      <c r="EP36" s="1082"/>
      <c r="EQ36" s="1082"/>
      <c r="ER36" s="1082"/>
      <c r="ES36" s="1082"/>
      <c r="ET36" s="1082"/>
      <c r="EU36" s="1082"/>
      <c r="EV36" s="1082"/>
      <c r="EW36" s="1082"/>
      <c r="EX36" s="1350"/>
      <c r="EY36" s="1082"/>
      <c r="EZ36" s="1082"/>
      <c r="FA36" s="1082"/>
      <c r="FB36" s="1082"/>
      <c r="FC36" s="1082"/>
      <c r="FD36" s="1082"/>
      <c r="FE36" s="1082"/>
      <c r="FF36" s="1082"/>
      <c r="FG36" s="1082"/>
      <c r="FH36" s="1082"/>
      <c r="FI36" s="1082"/>
      <c r="FJ36" s="1350"/>
      <c r="FK36" s="1082"/>
      <c r="FL36" s="1082"/>
      <c r="FM36" s="1082"/>
      <c r="FN36" s="1082"/>
      <c r="FO36" s="1082"/>
      <c r="FP36" s="1082"/>
      <c r="FQ36" s="279"/>
      <c r="FR36" s="279"/>
      <c r="FS36" s="279"/>
      <c r="FT36" s="279"/>
      <c r="FU36" s="279"/>
      <c r="FV36" s="279"/>
      <c r="FW36" s="279"/>
      <c r="FX36" s="279"/>
      <c r="FY36" s="279"/>
      <c r="FZ36" s="279"/>
      <c r="GA36" s="279"/>
      <c r="GB36" s="279"/>
      <c r="GC36" s="279"/>
      <c r="GD36" s="279"/>
      <c r="GE36" s="279"/>
      <c r="GF36" s="279"/>
      <c r="GG36" s="279"/>
      <c r="GH36" s="279"/>
      <c r="GI36" s="279"/>
      <c r="GJ36" s="279"/>
      <c r="GK36" s="279"/>
      <c r="GL36" s="279"/>
      <c r="GM36" s="279"/>
      <c r="GN36" s="279"/>
      <c r="GO36" s="279"/>
      <c r="GP36" s="279"/>
      <c r="GQ36" s="279"/>
      <c r="GR36" s="279"/>
      <c r="GS36" s="279"/>
      <c r="GT36" s="279"/>
      <c r="GU36" s="279"/>
      <c r="GV36" s="279"/>
      <c r="GW36" s="279"/>
      <c r="GX36" s="279"/>
      <c r="GY36" s="279"/>
      <c r="GZ36" s="279"/>
      <c r="HA36" s="279"/>
      <c r="HB36" s="279"/>
      <c r="HC36" s="279"/>
      <c r="HD36" s="279"/>
      <c r="HE36" s="279"/>
      <c r="HF36" s="279"/>
      <c r="HG36" s="279"/>
      <c r="HH36" s="279"/>
      <c r="HI36" s="279"/>
      <c r="HJ36" s="279"/>
      <c r="HK36" s="279"/>
      <c r="HL36" s="279"/>
      <c r="HM36" s="279"/>
      <c r="HN36" s="279"/>
      <c r="HO36" s="279"/>
      <c r="HP36" s="279"/>
      <c r="HQ36" s="279"/>
      <c r="HR36" s="279"/>
      <c r="HS36" s="279"/>
      <c r="HT36" s="279"/>
      <c r="HU36" s="279"/>
      <c r="HV36" s="279"/>
      <c r="HW36" s="279"/>
      <c r="HX36" s="279"/>
      <c r="HY36" s="279"/>
      <c r="KT36" s="280"/>
    </row>
    <row r="37" spans="1:306" outlineLevel="1">
      <c r="A37" s="291"/>
      <c r="D37" s="296"/>
      <c r="E37" s="296"/>
      <c r="F37" s="296"/>
      <c r="G37" s="296"/>
      <c r="H37" s="296"/>
      <c r="I37" s="296"/>
      <c r="J37" s="296"/>
      <c r="K37" s="296"/>
      <c r="L37" s="296"/>
      <c r="M37" s="296"/>
      <c r="N37" s="296"/>
      <c r="O37" s="296"/>
      <c r="P37" s="296"/>
      <c r="Q37" s="296"/>
      <c r="R37" s="296"/>
      <c r="S37" s="296"/>
      <c r="T37" s="296"/>
      <c r="U37" s="296"/>
      <c r="V37" s="296"/>
      <c r="W37" s="296"/>
      <c r="X37" s="296"/>
      <c r="Y37" s="296"/>
      <c r="Z37" s="296"/>
      <c r="AA37" s="296"/>
      <c r="AB37" s="296"/>
      <c r="AC37" s="296"/>
      <c r="AD37" s="296"/>
      <c r="AE37" s="296"/>
      <c r="AF37" s="296"/>
      <c r="AG37" s="296"/>
      <c r="AH37" s="296"/>
      <c r="AI37" s="296"/>
      <c r="AJ37" s="296"/>
      <c r="AK37" s="296"/>
      <c r="AL37" s="296"/>
      <c r="AM37" s="296"/>
      <c r="AN37" s="296"/>
      <c r="AO37" s="296"/>
      <c r="AP37" s="296"/>
      <c r="AQ37" s="296"/>
      <c r="AR37" s="296"/>
      <c r="AS37" s="296"/>
      <c r="AT37" s="296"/>
      <c r="AU37" s="296"/>
      <c r="AV37" s="296"/>
      <c r="AW37" s="296"/>
      <c r="AX37" s="296"/>
      <c r="AY37" s="296"/>
      <c r="AZ37" s="296"/>
      <c r="BA37" s="296"/>
      <c r="BB37" s="296"/>
      <c r="BC37" s="296"/>
      <c r="BD37" s="296"/>
      <c r="BE37" s="296"/>
      <c r="BF37" s="296"/>
      <c r="BG37" s="296"/>
      <c r="BH37" s="296"/>
      <c r="BI37" s="296"/>
      <c r="BJ37" s="296"/>
      <c r="BK37" s="296"/>
      <c r="BL37" s="296"/>
      <c r="BM37" s="296"/>
      <c r="BN37" s="296"/>
      <c r="BO37" s="296"/>
      <c r="BP37" s="296"/>
      <c r="BQ37" s="296"/>
      <c r="BR37" s="296"/>
      <c r="BS37" s="296"/>
      <c r="BT37" s="296"/>
      <c r="BU37" s="296"/>
      <c r="BV37" s="296"/>
      <c r="BW37" s="296"/>
      <c r="BX37" s="296"/>
      <c r="BY37" s="296"/>
      <c r="BZ37" s="296"/>
      <c r="CA37" s="296"/>
      <c r="CB37" s="296"/>
      <c r="CC37" s="296"/>
      <c r="CD37" s="296"/>
      <c r="CE37" s="296"/>
      <c r="CF37" s="296"/>
      <c r="CG37" s="296"/>
      <c r="CH37" s="296"/>
      <c r="CI37" s="296"/>
      <c r="CJ37" s="296"/>
      <c r="CK37" s="296"/>
      <c r="CL37" s="296"/>
      <c r="CM37" s="296"/>
      <c r="CN37" s="296"/>
      <c r="CO37" s="296"/>
      <c r="CP37" s="1272"/>
      <c r="CQ37" s="296"/>
      <c r="CR37" s="296"/>
      <c r="CS37" s="296"/>
      <c r="CT37" s="296"/>
      <c r="CU37" s="296"/>
      <c r="CV37" s="296"/>
      <c r="CW37" s="296"/>
      <c r="CX37" s="296"/>
      <c r="CY37" s="296"/>
      <c r="CZ37" s="296"/>
      <c r="DA37" s="296"/>
      <c r="DB37" s="1290"/>
      <c r="DC37" s="792">
        <v>42186</v>
      </c>
      <c r="DD37" s="792">
        <v>42217</v>
      </c>
      <c r="DE37" s="792">
        <v>42248</v>
      </c>
      <c r="DF37" s="792">
        <v>42278</v>
      </c>
      <c r="DG37" s="792">
        <v>42309</v>
      </c>
      <c r="DH37" s="792">
        <v>42339</v>
      </c>
      <c r="DI37" s="792">
        <v>42370</v>
      </c>
      <c r="DJ37" s="792">
        <v>42401</v>
      </c>
      <c r="DK37" s="792">
        <v>42430</v>
      </c>
      <c r="DL37" s="792">
        <v>42461</v>
      </c>
      <c r="DM37" s="792">
        <v>42491</v>
      </c>
      <c r="DN37" s="1322">
        <v>42522</v>
      </c>
      <c r="DO37" s="869">
        <v>42552</v>
      </c>
      <c r="DP37" s="869">
        <v>42584</v>
      </c>
      <c r="DQ37" s="869">
        <v>42616</v>
      </c>
      <c r="DR37" s="869">
        <v>42647</v>
      </c>
      <c r="DS37" s="869">
        <v>42679</v>
      </c>
      <c r="DT37" s="869">
        <v>42705</v>
      </c>
      <c r="DU37" s="792">
        <v>42736</v>
      </c>
      <c r="DV37" s="792">
        <v>42767</v>
      </c>
      <c r="DW37" s="792">
        <v>42795</v>
      </c>
      <c r="DX37" s="792">
        <v>42826</v>
      </c>
      <c r="DY37" s="792">
        <v>42856</v>
      </c>
      <c r="DZ37" s="871">
        <v>42887</v>
      </c>
      <c r="EA37" s="792">
        <v>42917</v>
      </c>
      <c r="EB37" s="792">
        <v>42948</v>
      </c>
      <c r="EC37" s="792">
        <v>42979</v>
      </c>
      <c r="ED37" s="792">
        <v>43009</v>
      </c>
      <c r="EE37" s="792">
        <v>43040</v>
      </c>
      <c r="EF37" s="792">
        <v>43070</v>
      </c>
      <c r="EG37" s="792">
        <v>43101</v>
      </c>
      <c r="EH37" s="792">
        <v>43132</v>
      </c>
      <c r="EI37" s="792">
        <v>43160</v>
      </c>
      <c r="EJ37" s="792">
        <v>43191</v>
      </c>
      <c r="EK37" s="792">
        <v>43221</v>
      </c>
      <c r="EL37" s="871">
        <v>43252</v>
      </c>
      <c r="EM37" s="1079">
        <v>43282</v>
      </c>
      <c r="EN37" s="1079">
        <v>43313</v>
      </c>
      <c r="EO37" s="1079">
        <v>43344</v>
      </c>
      <c r="EP37" s="1079">
        <v>43374</v>
      </c>
      <c r="EQ37" s="1079">
        <v>43405</v>
      </c>
      <c r="ER37" s="1079">
        <v>43435</v>
      </c>
      <c r="ES37" s="1079">
        <v>43466</v>
      </c>
      <c r="ET37" s="1079">
        <v>43497</v>
      </c>
      <c r="EU37" s="1079">
        <v>43525</v>
      </c>
      <c r="EV37" s="1079">
        <v>43556</v>
      </c>
      <c r="EW37" s="1079">
        <v>43586</v>
      </c>
      <c r="EX37" s="1348">
        <v>43617</v>
      </c>
      <c r="EY37" s="1079">
        <v>43647</v>
      </c>
      <c r="EZ37" s="1079">
        <v>43678</v>
      </c>
      <c r="FA37" s="1079">
        <v>43709</v>
      </c>
      <c r="FB37" s="1079">
        <v>43739</v>
      </c>
      <c r="FC37" s="1079">
        <v>43770</v>
      </c>
      <c r="FD37" s="1079">
        <v>43800</v>
      </c>
      <c r="FE37" s="1079">
        <v>43831</v>
      </c>
      <c r="FF37" s="1079">
        <v>43862</v>
      </c>
      <c r="FG37" s="1079">
        <v>43891</v>
      </c>
      <c r="FH37" s="1079">
        <v>43922</v>
      </c>
      <c r="FI37" s="1079">
        <v>43952</v>
      </c>
      <c r="FJ37" s="1348">
        <v>43983</v>
      </c>
      <c r="FK37" s="1079">
        <v>44013</v>
      </c>
      <c r="FL37" s="1079">
        <v>44044</v>
      </c>
      <c r="FM37" s="1079">
        <v>44075</v>
      </c>
      <c r="FN37" s="1079">
        <v>44105</v>
      </c>
      <c r="FO37" s="1079">
        <v>44136</v>
      </c>
      <c r="FP37" s="1079">
        <v>44166</v>
      </c>
      <c r="FQ37" s="1079">
        <v>44197</v>
      </c>
      <c r="FR37" s="1079">
        <v>44228</v>
      </c>
      <c r="FS37" s="1079">
        <v>44256</v>
      </c>
      <c r="FT37" s="1079">
        <v>44287</v>
      </c>
      <c r="FU37" s="1079">
        <v>44317</v>
      </c>
      <c r="FV37" s="1079">
        <v>44348</v>
      </c>
      <c r="FW37" s="1079">
        <v>44378</v>
      </c>
      <c r="FX37" s="1079">
        <v>44409</v>
      </c>
      <c r="FY37" s="1079">
        <v>44440</v>
      </c>
      <c r="FZ37" s="1079">
        <v>44470</v>
      </c>
      <c r="GA37" s="1079">
        <v>44501</v>
      </c>
      <c r="GB37" s="1079">
        <v>44531</v>
      </c>
      <c r="GC37" s="1079">
        <v>44562</v>
      </c>
      <c r="GD37" s="1079">
        <v>44593</v>
      </c>
      <c r="GE37" s="1079">
        <v>44621</v>
      </c>
      <c r="GF37" s="1079">
        <v>44652</v>
      </c>
      <c r="GG37" s="1079">
        <v>44682</v>
      </c>
      <c r="GH37" s="1079">
        <v>44713</v>
      </c>
      <c r="GI37" s="1079">
        <v>44743</v>
      </c>
      <c r="GJ37" s="1079">
        <v>44774</v>
      </c>
      <c r="GK37" s="1079">
        <v>44805</v>
      </c>
      <c r="GL37" s="1079">
        <v>44835</v>
      </c>
      <c r="GM37" s="1079">
        <v>44866</v>
      </c>
      <c r="GN37" s="1079">
        <v>44896</v>
      </c>
      <c r="GO37" s="1079">
        <v>44927</v>
      </c>
      <c r="GP37" s="1079">
        <v>44958</v>
      </c>
      <c r="GQ37" s="1079">
        <v>44986</v>
      </c>
      <c r="GR37" s="1079">
        <v>45017</v>
      </c>
      <c r="GS37" s="869"/>
      <c r="GT37" s="869"/>
      <c r="GU37" s="869"/>
      <c r="GV37" s="869"/>
      <c r="GW37" s="869"/>
      <c r="GX37" s="869"/>
      <c r="GY37" s="869"/>
      <c r="GZ37" s="869"/>
      <c r="HA37" s="869"/>
      <c r="HB37" s="869"/>
      <c r="HC37" s="869"/>
      <c r="HD37" s="869"/>
      <c r="HE37" s="869"/>
      <c r="HF37" s="869"/>
      <c r="HG37" s="869"/>
      <c r="HH37" s="869"/>
      <c r="HI37" s="869"/>
      <c r="HJ37" s="869"/>
      <c r="HK37" s="869"/>
      <c r="HL37" s="869"/>
      <c r="HM37" s="869"/>
      <c r="HN37" s="869"/>
      <c r="HO37" s="869"/>
      <c r="HP37" s="869"/>
      <c r="HQ37" s="869"/>
      <c r="HR37" s="869"/>
      <c r="HS37" s="869"/>
      <c r="HT37" s="869"/>
      <c r="HU37" s="869"/>
      <c r="HV37" s="869"/>
      <c r="HW37" s="869"/>
      <c r="HX37" s="869"/>
      <c r="HY37" s="869"/>
      <c r="KT37" s="280"/>
    </row>
    <row r="38" spans="1:306" outlineLevel="1">
      <c r="A38" s="96" t="s">
        <v>337</v>
      </c>
      <c r="B38" s="96" t="s">
        <v>338</v>
      </c>
      <c r="D38" s="299" t="s">
        <v>935</v>
      </c>
      <c r="E38" s="293"/>
      <c r="F38" s="293"/>
      <c r="G38" s="293"/>
      <c r="H38" s="293"/>
      <c r="I38" s="293"/>
      <c r="J38" s="293"/>
      <c r="K38" s="293"/>
      <c r="L38" s="293"/>
      <c r="M38" s="293"/>
      <c r="N38" s="293"/>
      <c r="O38" s="293"/>
      <c r="P38" s="293"/>
      <c r="Q38" s="293"/>
      <c r="R38" s="293"/>
      <c r="S38" s="293"/>
      <c r="T38" s="293"/>
      <c r="U38" s="293"/>
      <c r="V38" s="293"/>
      <c r="W38" s="293"/>
      <c r="X38" s="293"/>
      <c r="Y38" s="293"/>
      <c r="Z38" s="293"/>
      <c r="AA38" s="293"/>
      <c r="AB38" s="293"/>
      <c r="AC38" s="293"/>
      <c r="AD38" s="293"/>
      <c r="AE38" s="293"/>
      <c r="AF38" s="293"/>
      <c r="AG38" s="293"/>
      <c r="AH38" s="293"/>
      <c r="AI38" s="293"/>
      <c r="AJ38" s="293"/>
      <c r="AK38" s="293"/>
      <c r="AL38" s="293"/>
      <c r="AM38" s="293"/>
      <c r="AN38" s="293"/>
      <c r="AO38" s="293">
        <v>0.50416171644470009</v>
      </c>
      <c r="AP38" s="293">
        <v>4.5415558513199991E-2</v>
      </c>
      <c r="AQ38" s="293">
        <v>0.28030969104419995</v>
      </c>
      <c r="AR38" s="293">
        <v>0.13036110185559999</v>
      </c>
      <c r="AS38" s="293">
        <v>0.8763264495396601</v>
      </c>
      <c r="AT38" s="293">
        <v>0.75793896155719986</v>
      </c>
      <c r="AU38" s="293">
        <v>1.09487848581088</v>
      </c>
      <c r="AV38" s="293">
        <v>4.4247888205200002E-2</v>
      </c>
      <c r="AW38" s="293">
        <v>0.1181440424188</v>
      </c>
      <c r="AX38" s="293">
        <v>0.55873281320259993</v>
      </c>
      <c r="AY38" s="293">
        <v>0.48578478754509002</v>
      </c>
      <c r="AZ38" s="293">
        <v>0.82678376716189994</v>
      </c>
      <c r="BA38" s="293">
        <v>1.1587666129717</v>
      </c>
      <c r="BB38" s="293">
        <v>0.1011394620086</v>
      </c>
      <c r="BC38" s="293">
        <v>0.60107188094909991</v>
      </c>
      <c r="BD38" s="293">
        <v>0.1553745045022</v>
      </c>
      <c r="BE38" s="293">
        <v>0.3793469685184</v>
      </c>
      <c r="BF38" s="293">
        <v>2.3014962661476295</v>
      </c>
      <c r="BG38" s="293">
        <v>1.2113927502194999</v>
      </c>
      <c r="BH38" s="293">
        <v>0.1036105505071</v>
      </c>
      <c r="BI38" s="293">
        <v>0.79913965341629989</v>
      </c>
      <c r="BJ38" s="293">
        <v>0.38528748443739996</v>
      </c>
      <c r="BK38" s="293">
        <v>0.94467971162808995</v>
      </c>
      <c r="BL38" s="293">
        <v>0.91084219767920005</v>
      </c>
      <c r="BM38" s="293">
        <v>1.1393097169990862</v>
      </c>
      <c r="BN38" s="293">
        <v>0.10130504225370002</v>
      </c>
      <c r="BO38" s="293">
        <v>0.9578711698304001</v>
      </c>
      <c r="BP38" s="293">
        <v>0.37928600190899997</v>
      </c>
      <c r="BQ38" s="293">
        <v>1.1134903517659409</v>
      </c>
      <c r="BR38" s="293">
        <v>1.6244805469230001</v>
      </c>
      <c r="BS38" s="293">
        <v>1.2678553357753</v>
      </c>
      <c r="BT38" s="293">
        <v>9.9735856027200004E-2</v>
      </c>
      <c r="BU38" s="293">
        <v>0.94179400166010008</v>
      </c>
      <c r="BV38" s="293">
        <v>0.38139120839280005</v>
      </c>
      <c r="BW38" s="293">
        <v>1.1547205098069999</v>
      </c>
      <c r="BX38" s="293">
        <v>0.9300369617419999</v>
      </c>
      <c r="BY38" s="293">
        <v>1.3474862237792347</v>
      </c>
      <c r="BZ38" s="293">
        <v>0.12517140289654885</v>
      </c>
      <c r="CA38" s="293">
        <v>0.45873459011050866</v>
      </c>
      <c r="CB38" s="293">
        <v>1.3895624175322565</v>
      </c>
      <c r="CC38" s="293">
        <v>1.1650459448089734</v>
      </c>
      <c r="CD38" s="606">
        <v>1.766669445009392</v>
      </c>
      <c r="CE38" s="605">
        <v>0.75231223210998577</v>
      </c>
      <c r="CF38" s="606">
        <v>0.10966848389490923</v>
      </c>
      <c r="CG38" s="606">
        <v>0.47387485241576605</v>
      </c>
      <c r="CH38" s="606">
        <v>1.4513836032679843</v>
      </c>
      <c r="CI38" s="606">
        <v>0.58777857013412638</v>
      </c>
      <c r="CJ38" s="606">
        <v>0.67328982647967961</v>
      </c>
      <c r="CK38" s="606">
        <v>0.65696933155801895</v>
      </c>
      <c r="CL38" s="606">
        <v>0.13550613930183492</v>
      </c>
      <c r="CM38" s="606">
        <v>0.94102121532754346</v>
      </c>
      <c r="CN38" s="606">
        <v>1.6646100604409304</v>
      </c>
      <c r="CO38" s="606">
        <v>1.4997860588471599</v>
      </c>
      <c r="CP38" s="622">
        <v>2.092424797395688</v>
      </c>
      <c r="CQ38" s="606">
        <v>0.81872423393511529</v>
      </c>
      <c r="CR38" s="606">
        <v>0.11637316555133259</v>
      </c>
      <c r="CS38" s="606">
        <v>0.98822693728794064</v>
      </c>
      <c r="CT38" s="606">
        <v>1.9076891664129094</v>
      </c>
      <c r="CU38" s="606">
        <v>1.6371101983136604</v>
      </c>
      <c r="CV38" s="606">
        <v>1.2823343003148511</v>
      </c>
      <c r="CW38" s="606">
        <v>0.54259925348207405</v>
      </c>
      <c r="CX38" s="606">
        <v>0.16658080707395662</v>
      </c>
      <c r="CY38" s="606">
        <v>0.64064937036626235</v>
      </c>
      <c r="CZ38" s="606">
        <v>2.6615469227826445</v>
      </c>
      <c r="DA38" s="606">
        <v>1.4873097549746874</v>
      </c>
      <c r="DB38" s="1291">
        <v>2.3879191262870338</v>
      </c>
      <c r="DC38" s="606">
        <v>0.7496316773618682</v>
      </c>
      <c r="DD38" s="606">
        <v>0.18844025208556964</v>
      </c>
      <c r="DE38" s="606">
        <v>1.1651190338380673</v>
      </c>
      <c r="DF38" s="606">
        <v>2.3537645624842876</v>
      </c>
      <c r="DG38" s="606">
        <v>0.81354493592348931</v>
      </c>
      <c r="DH38" s="606">
        <v>2.3913343737472514</v>
      </c>
      <c r="DI38" s="606">
        <v>0.82900468326802634</v>
      </c>
      <c r="DJ38" s="606">
        <v>0.11983319186926601</v>
      </c>
      <c r="DK38" s="606">
        <v>2.3683025380918479</v>
      </c>
      <c r="DL38" s="606">
        <v>2.6336685600717291</v>
      </c>
      <c r="DM38" s="606">
        <v>1.9423298927616031</v>
      </c>
      <c r="DN38" s="622">
        <v>1.5664812432107276</v>
      </c>
      <c r="DO38" s="606">
        <v>0.81482773460129687</v>
      </c>
      <c r="DP38" s="606">
        <v>0.18105762339779582</v>
      </c>
      <c r="DQ38" s="606">
        <v>4.1449209053121328</v>
      </c>
      <c r="DR38" s="606">
        <v>1.6766759256303281</v>
      </c>
      <c r="DS38" s="606">
        <v>1.6324040521808563</v>
      </c>
      <c r="DT38" s="606">
        <v>1.9212676525864625</v>
      </c>
      <c r="DU38" s="606">
        <v>0.70013142949925244</v>
      </c>
      <c r="DV38" s="606">
        <v>0.1429723286373058</v>
      </c>
      <c r="DW38" s="606">
        <v>5.3287087216909566</v>
      </c>
      <c r="DX38" s="606">
        <v>1.5963297269627943</v>
      </c>
      <c r="DY38" s="606">
        <v>2.1598769611755211</v>
      </c>
      <c r="DZ38" s="622">
        <v>1.2814078564345341</v>
      </c>
      <c r="EA38" s="606">
        <v>1.2814078564345341</v>
      </c>
      <c r="EB38" s="606">
        <v>0.1508550394771061</v>
      </c>
      <c r="EC38" s="606">
        <v>4.9908027326786346</v>
      </c>
      <c r="ED38" s="606">
        <v>2.0712650367908614</v>
      </c>
      <c r="EE38" s="606">
        <v>1.8791482955264269</v>
      </c>
      <c r="EF38" s="606">
        <v>2.1693559036259176</v>
      </c>
      <c r="EG38" s="606">
        <v>1.1618025330384665</v>
      </c>
      <c r="EH38" s="606">
        <v>0.51454785319515561</v>
      </c>
      <c r="EI38" s="606">
        <v>3.9915140101251882</v>
      </c>
      <c r="EJ38" s="606">
        <v>3.2862055830739316</v>
      </c>
      <c r="EK38" s="606">
        <v>1.5905199425173457</v>
      </c>
      <c r="EL38" s="622">
        <v>2.7303336994329461</v>
      </c>
      <c r="EM38" s="1083">
        <v>1.3470474729735158</v>
      </c>
      <c r="EN38" s="1083">
        <v>0.52934734873926026</v>
      </c>
      <c r="EO38" s="1083">
        <v>4.0709369091479815</v>
      </c>
      <c r="EP38" s="1083">
        <v>3.3849278688892088</v>
      </c>
      <c r="EQ38" s="1083">
        <v>2.1046109426230299</v>
      </c>
      <c r="ER38" s="1083">
        <v>1.862306207048356</v>
      </c>
      <c r="ES38" s="1083">
        <v>1.1961686853698605</v>
      </c>
      <c r="ET38" s="1083">
        <v>0.84681447803554177</v>
      </c>
      <c r="EU38" s="1083">
        <v>6.3283366049876717</v>
      </c>
      <c r="EV38" s="1083">
        <v>1.7937734377266965</v>
      </c>
      <c r="EW38" s="1083">
        <v>3.4748833155086563</v>
      </c>
      <c r="EX38" s="1329">
        <v>1.7258530270004859</v>
      </c>
      <c r="EY38" s="1083">
        <v>1.2138781874569999</v>
      </c>
      <c r="EZ38" s="1083">
        <v>1.4837054531594001</v>
      </c>
      <c r="FA38" s="1083">
        <v>6.13808794155341</v>
      </c>
      <c r="FB38" s="1083">
        <v>5.6781241033618901</v>
      </c>
      <c r="FC38" s="1083">
        <v>2.1977080392551098</v>
      </c>
      <c r="FD38" s="1083">
        <v>1.9407424889834901</v>
      </c>
      <c r="FE38" s="1083">
        <v>9.7877725839660599</v>
      </c>
      <c r="FF38" s="1083">
        <v>0.91229063457439197</v>
      </c>
      <c r="FG38" s="1083">
        <v>11.3366559583202</v>
      </c>
      <c r="FH38" s="1083">
        <v>5.6902335057443398</v>
      </c>
      <c r="FI38" s="1083">
        <v>1.33152815319922</v>
      </c>
      <c r="FJ38" s="1329">
        <v>7.1919824563977901</v>
      </c>
      <c r="FK38" s="1083">
        <v>6.1199881177133246</v>
      </c>
      <c r="FL38" s="1083">
        <v>1.5830492608096534</v>
      </c>
      <c r="FM38" s="1083">
        <v>16.063851876547236</v>
      </c>
      <c r="FN38" s="1083">
        <v>2.5869239420633345</v>
      </c>
      <c r="FO38" s="1083">
        <v>2.3134264672229445</v>
      </c>
      <c r="FP38" s="1083">
        <v>6.5370663809978087</v>
      </c>
      <c r="FQ38" s="606">
        <v>7.8658266829999999</v>
      </c>
      <c r="FR38" s="606">
        <v>4.2643026479999993</v>
      </c>
      <c r="FS38" s="606">
        <v>17.094426761000001</v>
      </c>
      <c r="FT38" s="606">
        <v>2.5643725678531339</v>
      </c>
      <c r="FU38" s="606">
        <v>1.4306740770765325</v>
      </c>
      <c r="FV38" s="606">
        <v>7.9453315323161871</v>
      </c>
      <c r="FW38" s="606">
        <v>8.2773949473601771</v>
      </c>
      <c r="FX38" s="606">
        <v>6.4585053852723444</v>
      </c>
      <c r="FY38" s="606">
        <v>16.285536350457846</v>
      </c>
      <c r="FZ38" s="606">
        <v>3.5614254144632755</v>
      </c>
      <c r="GA38" s="606">
        <v>2.6219920706043354</v>
      </c>
      <c r="GB38" s="606">
        <v>7.5800072149037652</v>
      </c>
      <c r="GC38" s="606"/>
      <c r="GD38" s="606"/>
      <c r="GE38" s="606"/>
      <c r="GF38" s="606"/>
      <c r="GG38" s="606"/>
      <c r="GH38" s="606"/>
      <c r="GI38" s="606"/>
      <c r="GJ38" s="606"/>
      <c r="GK38" s="606"/>
      <c r="GL38" s="606"/>
      <c r="GM38" s="606"/>
      <c r="GN38" s="606"/>
      <c r="GO38" s="606"/>
      <c r="GP38" s="606"/>
      <c r="GQ38" s="606"/>
      <c r="GR38" s="606"/>
      <c r="GS38" s="606"/>
      <c r="GT38" s="606"/>
      <c r="GU38" s="606"/>
      <c r="GV38" s="606"/>
      <c r="GW38" s="606"/>
      <c r="GX38" s="606"/>
      <c r="GY38" s="606"/>
      <c r="GZ38" s="606"/>
      <c r="HA38" s="606"/>
      <c r="HB38" s="606"/>
      <c r="HC38" s="606"/>
      <c r="HD38" s="606"/>
      <c r="HE38" s="606"/>
      <c r="HF38" s="606"/>
      <c r="HG38" s="606"/>
      <c r="HH38" s="606"/>
      <c r="HI38" s="606"/>
      <c r="HJ38" s="606"/>
      <c r="HK38" s="606"/>
      <c r="HL38" s="606"/>
      <c r="HM38" s="606"/>
      <c r="HN38" s="606"/>
      <c r="HO38" s="606"/>
      <c r="HP38" s="606"/>
      <c r="HQ38" s="606"/>
      <c r="HR38" s="606"/>
      <c r="HS38" s="606"/>
      <c r="HT38" s="606"/>
      <c r="HU38" s="606"/>
      <c r="HV38" s="606"/>
      <c r="HW38" s="606"/>
      <c r="HX38" s="606"/>
      <c r="HY38" s="606"/>
      <c r="IH38" s="679">
        <f t="shared" ref="IH38:IH76" si="11">+SUM(DC38:DH38)</f>
        <v>7.6618348354405335</v>
      </c>
      <c r="II38" s="679">
        <f t="shared" ref="II38:II76" si="12">+SUM(DI38:DN38)</f>
        <v>9.4596201092731995</v>
      </c>
      <c r="IJ38" s="679">
        <f t="shared" ref="IJ38:IJ76" si="13">+IH38+II38</f>
        <v>17.121454944713733</v>
      </c>
      <c r="IK38" s="679">
        <f t="shared" ref="IK38:IK76" si="14">SUM(DO38:DT38)</f>
        <v>10.371153893708872</v>
      </c>
      <c r="KT38" s="280"/>
    </row>
    <row r="39" spans="1:306" outlineLevel="1">
      <c r="B39" s="96" t="s">
        <v>338</v>
      </c>
      <c r="D39" s="296" t="s">
        <v>354</v>
      </c>
      <c r="E39" s="293"/>
      <c r="F39" s="293"/>
      <c r="G39" s="293"/>
      <c r="H39" s="293"/>
      <c r="I39" s="293"/>
      <c r="J39" s="293"/>
      <c r="K39" s="293"/>
      <c r="L39" s="293"/>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v>0</v>
      </c>
      <c r="AP39" s="293">
        <v>0</v>
      </c>
      <c r="AQ39" s="293">
        <v>0</v>
      </c>
      <c r="AR39" s="293">
        <v>5.5135802608000011E-3</v>
      </c>
      <c r="AS39" s="293">
        <v>0</v>
      </c>
      <c r="AT39" s="293">
        <v>0</v>
      </c>
      <c r="AU39" s="293">
        <v>0</v>
      </c>
      <c r="AV39" s="293">
        <v>0</v>
      </c>
      <c r="AW39" s="293">
        <v>0</v>
      </c>
      <c r="AX39" s="293">
        <v>0.26638057392639997</v>
      </c>
      <c r="AY39" s="293">
        <v>5.6128827664000003E-3</v>
      </c>
      <c r="AZ39" s="293">
        <v>0</v>
      </c>
      <c r="BA39" s="293">
        <v>0</v>
      </c>
      <c r="BB39" s="293">
        <v>0</v>
      </c>
      <c r="BC39" s="293">
        <v>0.28096687062469999</v>
      </c>
      <c r="BD39" s="293">
        <v>5.9459135807999998E-3</v>
      </c>
      <c r="BE39" s="293">
        <v>0</v>
      </c>
      <c r="BF39" s="293">
        <v>0.30015571833120003</v>
      </c>
      <c r="BG39" s="293">
        <v>0</v>
      </c>
      <c r="BH39" s="293">
        <v>0</v>
      </c>
      <c r="BI39" s="293">
        <v>0.32899312496189997</v>
      </c>
      <c r="BJ39" s="293">
        <v>0.23658802775089999</v>
      </c>
      <c r="BK39" s="293">
        <v>0</v>
      </c>
      <c r="BL39" s="293">
        <v>0.29776921742649998</v>
      </c>
      <c r="BM39" s="293">
        <v>0</v>
      </c>
      <c r="BN39" s="293">
        <v>0</v>
      </c>
      <c r="BO39" s="293">
        <v>0.32043694383939997</v>
      </c>
      <c r="BP39" s="293">
        <v>0.22990115686919999</v>
      </c>
      <c r="BQ39" s="293">
        <v>0</v>
      </c>
      <c r="BR39" s="293">
        <v>0.2933289262464</v>
      </c>
      <c r="BS39" s="293">
        <v>0.12144376168899999</v>
      </c>
      <c r="BT39" s="293">
        <v>0</v>
      </c>
      <c r="BU39" s="293">
        <v>0.31993610439780001</v>
      </c>
      <c r="BV39" s="293">
        <v>0.22770686700080001</v>
      </c>
      <c r="BW39" s="293">
        <v>0</v>
      </c>
      <c r="BX39" s="293">
        <v>0.30452303197000002</v>
      </c>
      <c r="BY39" s="293">
        <v>0.12393717313703749</v>
      </c>
      <c r="BZ39" s="293">
        <v>0</v>
      </c>
      <c r="CA39" s="293">
        <v>4.1856196021750114E-2</v>
      </c>
      <c r="CB39" s="293">
        <v>0.82584192957423674</v>
      </c>
      <c r="CC39" s="293">
        <v>0</v>
      </c>
      <c r="CD39" s="293">
        <v>0.30289609751252949</v>
      </c>
      <c r="CE39" s="294">
        <v>0.124691570342809</v>
      </c>
      <c r="CF39" s="293">
        <v>0</v>
      </c>
      <c r="CG39" s="293">
        <v>4.1882149670277001E-2</v>
      </c>
      <c r="CH39" s="293">
        <v>0.84882019171820111</v>
      </c>
      <c r="CI39" s="293">
        <v>0</v>
      </c>
      <c r="CJ39" s="293">
        <v>6.0071726824731395E-3</v>
      </c>
      <c r="CK39" s="293">
        <v>0</v>
      </c>
      <c r="CL39" s="293">
        <v>0</v>
      </c>
      <c r="CM39" s="293">
        <v>4.4458959986167321E-2</v>
      </c>
      <c r="CN39" s="293">
        <v>0.88524147688819099</v>
      </c>
      <c r="CO39" s="293">
        <v>0</v>
      </c>
      <c r="CP39" s="295">
        <v>0.33107713164170632</v>
      </c>
      <c r="CQ39" s="293">
        <v>0.13572506334824128</v>
      </c>
      <c r="CR39" s="293">
        <v>0</v>
      </c>
      <c r="CS39" s="293">
        <v>4.5413779879891418E-2</v>
      </c>
      <c r="CT39" s="293">
        <v>0.89314346504607545</v>
      </c>
      <c r="CU39" s="293">
        <v>0.13869996536554408</v>
      </c>
      <c r="CV39" s="293">
        <v>0.45379834019673715</v>
      </c>
      <c r="CW39" s="293">
        <v>0</v>
      </c>
      <c r="CX39" s="293">
        <v>0</v>
      </c>
      <c r="CY39" s="293">
        <v>0.20934765537276095</v>
      </c>
      <c r="CZ39" s="293">
        <v>0.95442696410567629</v>
      </c>
      <c r="DA39" s="293">
        <v>0.12476327861868908</v>
      </c>
      <c r="DB39" s="1288">
        <v>0.30861785569722866</v>
      </c>
      <c r="DC39" s="293">
        <v>0.129693904</v>
      </c>
      <c r="DD39" s="293">
        <v>0</v>
      </c>
      <c r="DE39" s="293">
        <v>0.21124853900000001</v>
      </c>
      <c r="DF39" s="293">
        <v>0.97693371973036769</v>
      </c>
      <c r="DG39" s="293">
        <v>0.13301958758717933</v>
      </c>
      <c r="DH39" s="293">
        <v>0.33106574662885846</v>
      </c>
      <c r="DI39" s="293">
        <v>0.1336837289962132</v>
      </c>
      <c r="DJ39" s="293">
        <v>0</v>
      </c>
      <c r="DK39" s="293">
        <v>0.53638662066267229</v>
      </c>
      <c r="DL39" s="293">
        <v>0.70779935435372565</v>
      </c>
      <c r="DM39" s="293">
        <v>0.13808450462584609</v>
      </c>
      <c r="DN39" s="295">
        <v>0.34477701904624963</v>
      </c>
      <c r="DO39" s="293">
        <v>0.14242003051508639</v>
      </c>
      <c r="DP39" s="293">
        <v>0</v>
      </c>
      <c r="DQ39" s="293">
        <v>0.57239811359461756</v>
      </c>
      <c r="DR39" s="293">
        <v>0.7398146366727697</v>
      </c>
      <c r="DS39" s="293">
        <v>0.14569345278690035</v>
      </c>
      <c r="DT39" s="293">
        <v>0.35421393440656351</v>
      </c>
      <c r="DU39" s="293">
        <v>0</v>
      </c>
      <c r="DV39" s="293">
        <v>0</v>
      </c>
      <c r="DW39" s="293">
        <v>0.56797615099999998</v>
      </c>
      <c r="DX39" s="293">
        <v>0.72190988716691684</v>
      </c>
      <c r="DY39" s="293">
        <v>0.14965496045952736</v>
      </c>
      <c r="DZ39" s="295">
        <v>0.35363171990259584</v>
      </c>
      <c r="EA39" s="293">
        <v>0.14560428824432203</v>
      </c>
      <c r="EB39" s="293">
        <v>0</v>
      </c>
      <c r="EC39" s="293">
        <v>0.59487636700280733</v>
      </c>
      <c r="ED39" s="293">
        <v>0.77139662767255623</v>
      </c>
      <c r="EE39" s="293">
        <v>0.15302632251071843</v>
      </c>
      <c r="EF39" s="293">
        <v>0.52685894708779757</v>
      </c>
      <c r="EG39" s="293">
        <v>0</v>
      </c>
      <c r="EH39" s="293">
        <v>0</v>
      </c>
      <c r="EI39" s="293">
        <v>0.62428633827907154</v>
      </c>
      <c r="EJ39" s="293">
        <v>0.81343956611383739</v>
      </c>
      <c r="EK39" s="293">
        <v>0.15879638206043001</v>
      </c>
      <c r="EL39" s="295">
        <v>0.39189916500681488</v>
      </c>
      <c r="EM39" s="1080">
        <v>0.15792183339521648</v>
      </c>
      <c r="EN39" s="1080">
        <v>0</v>
      </c>
      <c r="EO39" s="1080">
        <v>0.61700008003990703</v>
      </c>
      <c r="EP39" s="1080">
        <v>0.78723351456807922</v>
      </c>
      <c r="EQ39" s="1080">
        <v>0.15668338192738071</v>
      </c>
      <c r="ER39" s="1080">
        <v>0.54120740006700041</v>
      </c>
      <c r="ES39" s="1080">
        <v>0</v>
      </c>
      <c r="ET39" s="1080">
        <v>0</v>
      </c>
      <c r="EU39" s="1080">
        <v>0.6287603766595119</v>
      </c>
      <c r="EV39" s="1080">
        <v>0.79837339050917355</v>
      </c>
      <c r="EW39" s="1080">
        <v>0.16656945592177763</v>
      </c>
      <c r="EX39" s="1340">
        <v>0.39122842107326072</v>
      </c>
      <c r="EY39" s="1080"/>
      <c r="EZ39" s="1080"/>
      <c r="FA39" s="1080"/>
      <c r="FB39" s="1080"/>
      <c r="FC39" s="1080"/>
      <c r="FD39" s="1080"/>
      <c r="FE39" s="1080"/>
      <c r="FF39" s="1080"/>
      <c r="FG39" s="1080"/>
      <c r="FH39" s="1080"/>
      <c r="FI39" s="1080"/>
      <c r="FJ39" s="1340"/>
      <c r="FK39" s="1080"/>
      <c r="FL39" s="1080"/>
      <c r="FM39" s="1080"/>
      <c r="FN39" s="1080"/>
      <c r="FO39" s="1080"/>
      <c r="FP39" s="1080"/>
      <c r="FQ39" s="293"/>
      <c r="FR39" s="293"/>
      <c r="FS39" s="293"/>
      <c r="FT39" s="293"/>
      <c r="FU39" s="293"/>
      <c r="FV39" s="293"/>
      <c r="FW39" s="293"/>
      <c r="FX39" s="293"/>
      <c r="FY39" s="293"/>
      <c r="FZ39" s="293"/>
      <c r="GA39" s="293"/>
      <c r="GB39" s="293"/>
      <c r="GC39" s="293"/>
      <c r="GD39" s="293"/>
      <c r="GE39" s="293"/>
      <c r="GF39" s="293"/>
      <c r="GG39" s="293"/>
      <c r="GH39" s="293"/>
      <c r="GI39" s="293"/>
      <c r="GJ39" s="293"/>
      <c r="GK39" s="293"/>
      <c r="GL39" s="293"/>
      <c r="GM39" s="293"/>
      <c r="GN39" s="293"/>
      <c r="GO39" s="293"/>
      <c r="GP39" s="293"/>
      <c r="GQ39" s="293"/>
      <c r="GR39" s="293"/>
      <c r="GS39" s="293"/>
      <c r="GT39" s="293"/>
      <c r="GU39" s="293"/>
      <c r="GV39" s="293"/>
      <c r="GW39" s="293"/>
      <c r="GX39" s="293"/>
      <c r="GY39" s="293"/>
      <c r="GZ39" s="293"/>
      <c r="HA39" s="293"/>
      <c r="HB39" s="293"/>
      <c r="HC39" s="293"/>
      <c r="HD39" s="293"/>
      <c r="HE39" s="293"/>
      <c r="HF39" s="293"/>
      <c r="HG39" s="293"/>
      <c r="HH39" s="293"/>
      <c r="HI39" s="293"/>
      <c r="HJ39" s="293"/>
      <c r="HK39" s="293"/>
      <c r="HL39" s="293"/>
      <c r="HM39" s="293"/>
      <c r="HN39" s="293"/>
      <c r="HO39" s="293"/>
      <c r="HP39" s="293"/>
      <c r="HQ39" s="293"/>
      <c r="HR39" s="293"/>
      <c r="HS39" s="293"/>
      <c r="HT39" s="293"/>
      <c r="HU39" s="293"/>
      <c r="HV39" s="293"/>
      <c r="HW39" s="293"/>
      <c r="HX39" s="293"/>
      <c r="HY39" s="293"/>
      <c r="IH39" s="279">
        <f t="shared" si="11"/>
        <v>1.7819614969464055</v>
      </c>
      <c r="II39" s="279">
        <f t="shared" si="12"/>
        <v>1.8607312276847068</v>
      </c>
      <c r="IJ39" s="279">
        <f t="shared" si="13"/>
        <v>3.6426927246311123</v>
      </c>
      <c r="IK39" s="279">
        <f t="shared" si="14"/>
        <v>1.9545401679759373</v>
      </c>
      <c r="KT39" s="280"/>
    </row>
    <row r="40" spans="1:306" outlineLevel="1">
      <c r="B40" s="96" t="s">
        <v>338</v>
      </c>
      <c r="D40" s="296" t="s">
        <v>355</v>
      </c>
      <c r="E40" s="293"/>
      <c r="F40" s="293"/>
      <c r="G40" s="293"/>
      <c r="H40" s="293"/>
      <c r="I40" s="293"/>
      <c r="J40" s="293"/>
      <c r="K40" s="293"/>
      <c r="L40" s="293"/>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v>5.4975535028000009E-3</v>
      </c>
      <c r="AP40" s="293">
        <v>0</v>
      </c>
      <c r="AQ40" s="293">
        <v>0.15995442501569998</v>
      </c>
      <c r="AR40" s="293">
        <v>0</v>
      </c>
      <c r="AS40" s="293">
        <v>-1.7765399152000001E-2</v>
      </c>
      <c r="AT40" s="293">
        <v>0</v>
      </c>
      <c r="AU40" s="293">
        <v>5.2897562638999987E-3</v>
      </c>
      <c r="AV40" s="293">
        <v>0</v>
      </c>
      <c r="AW40" s="293">
        <v>0</v>
      </c>
      <c r="AX40" s="293">
        <v>0.1644613691904</v>
      </c>
      <c r="AY40" s="293">
        <v>0</v>
      </c>
      <c r="AZ40" s="293">
        <v>0</v>
      </c>
      <c r="BA40" s="293">
        <v>5.8897960898E-2</v>
      </c>
      <c r="BB40" s="293">
        <v>0</v>
      </c>
      <c r="BC40" s="293">
        <v>0.17332065390009999</v>
      </c>
      <c r="BD40" s="293">
        <v>0</v>
      </c>
      <c r="BE40" s="293">
        <v>0</v>
      </c>
      <c r="BF40" s="293">
        <v>0</v>
      </c>
      <c r="BG40" s="293">
        <v>6.1391313435000004E-2</v>
      </c>
      <c r="BH40" s="293">
        <v>0</v>
      </c>
      <c r="BI40" s="293">
        <v>0.17858819561440001</v>
      </c>
      <c r="BJ40" s="293">
        <v>0</v>
      </c>
      <c r="BK40" s="293">
        <v>0</v>
      </c>
      <c r="BL40" s="293">
        <v>5.9334319934999996E-3</v>
      </c>
      <c r="BM40" s="293">
        <v>5.5540855128699995E-2</v>
      </c>
      <c r="BN40" s="293">
        <v>0</v>
      </c>
      <c r="BO40" s="293">
        <v>0.21470121535600001</v>
      </c>
      <c r="BP40" s="293">
        <v>0</v>
      </c>
      <c r="BQ40" s="293">
        <v>0</v>
      </c>
      <c r="BR40" s="293">
        <v>0</v>
      </c>
      <c r="BS40" s="293">
        <v>6.0825752703900005E-2</v>
      </c>
      <c r="BT40" s="293">
        <v>0</v>
      </c>
      <c r="BU40" s="293">
        <v>0.21354290582470006</v>
      </c>
      <c r="BV40" s="293">
        <v>0</v>
      </c>
      <c r="BW40" s="293">
        <v>0</v>
      </c>
      <c r="BX40" s="293">
        <v>0</v>
      </c>
      <c r="BY40" s="293">
        <v>6.2367679355559431E-2</v>
      </c>
      <c r="BZ40" s="293">
        <v>0</v>
      </c>
      <c r="CA40" s="293">
        <v>0</v>
      </c>
      <c r="CB40" s="293">
        <v>0.21106418306569844</v>
      </c>
      <c r="CC40" s="293">
        <v>0</v>
      </c>
      <c r="CD40" s="293">
        <v>0</v>
      </c>
      <c r="CE40" s="294">
        <v>5.9730101267504804E-2</v>
      </c>
      <c r="CF40" s="293">
        <v>0</v>
      </c>
      <c r="CG40" s="293">
        <v>0</v>
      </c>
      <c r="CH40" s="293">
        <v>0.21261406994560864</v>
      </c>
      <c r="CI40" s="293">
        <v>0</v>
      </c>
      <c r="CJ40" s="293">
        <v>0</v>
      </c>
      <c r="CK40" s="293">
        <v>5.6898796936733997E-2</v>
      </c>
      <c r="CL40" s="293">
        <v>0</v>
      </c>
      <c r="CM40" s="293">
        <v>0</v>
      </c>
      <c r="CN40" s="293">
        <v>0.29192507027493914</v>
      </c>
      <c r="CO40" s="293">
        <v>5.7402181618272458E-2</v>
      </c>
      <c r="CP40" s="295">
        <v>0</v>
      </c>
      <c r="CQ40" s="293">
        <v>6.3812142257684015E-2</v>
      </c>
      <c r="CR40" s="293">
        <v>0</v>
      </c>
      <c r="CS40" s="293">
        <v>2.1637444808902909E-2</v>
      </c>
      <c r="CT40" s="293">
        <v>0.29533952562273325</v>
      </c>
      <c r="CU40" s="293">
        <v>5.5107655834798798E-2</v>
      </c>
      <c r="CV40" s="293">
        <v>5.6984434045285991E-3</v>
      </c>
      <c r="CW40" s="293">
        <v>0</v>
      </c>
      <c r="CX40" s="293">
        <v>5.5201008506487473E-2</v>
      </c>
      <c r="CY40" s="293">
        <v>2.0674629735207121E-2</v>
      </c>
      <c r="CZ40" s="293">
        <v>0.52264080281942427</v>
      </c>
      <c r="DA40" s="293">
        <v>0</v>
      </c>
      <c r="DB40" s="1288">
        <v>5.2200515035975947E-2</v>
      </c>
      <c r="DC40" s="293">
        <v>5.4098669999999996E-3</v>
      </c>
      <c r="DD40" s="293">
        <v>7.4737059999999994E-2</v>
      </c>
      <c r="DE40" s="293">
        <v>0</v>
      </c>
      <c r="DF40" s="293">
        <v>0.52723577097524166</v>
      </c>
      <c r="DG40" s="293">
        <v>0</v>
      </c>
      <c r="DH40" s="293">
        <v>5.5032217771614537E-2</v>
      </c>
      <c r="DI40" s="293">
        <v>6.1840797292858365E-2</v>
      </c>
      <c r="DJ40" s="293">
        <v>0</v>
      </c>
      <c r="DK40" s="293">
        <v>2.1065384123148602E-2</v>
      </c>
      <c r="DL40" s="293">
        <v>0.55485799410482406</v>
      </c>
      <c r="DM40" s="293">
        <v>0.24960324752265889</v>
      </c>
      <c r="DN40" s="295">
        <v>5.9176484642128872E-2</v>
      </c>
      <c r="DO40" s="293">
        <v>6.0747261821519991E-3</v>
      </c>
      <c r="DP40" s="293">
        <v>8.4569211726526525E-2</v>
      </c>
      <c r="DQ40" s="293">
        <v>0.60912252323162419</v>
      </c>
      <c r="DR40" s="293">
        <v>0</v>
      </c>
      <c r="DS40" s="293">
        <v>6.3965820951001048E-2</v>
      </c>
      <c r="DT40" s="293">
        <v>6.3400570700124798E-3</v>
      </c>
      <c r="DU40" s="293">
        <v>6.3089398328497387E-2</v>
      </c>
      <c r="DV40" s="293">
        <v>0</v>
      </c>
      <c r="DW40" s="293">
        <v>0.62073020507285137</v>
      </c>
      <c r="DX40" s="293">
        <v>6.0503638241623109E-2</v>
      </c>
      <c r="DY40" s="293">
        <v>6.1692849472604061E-2</v>
      </c>
      <c r="DZ40" s="295">
        <v>0</v>
      </c>
      <c r="EA40" s="293">
        <v>7.1218663871704849E-2</v>
      </c>
      <c r="EB40" s="293">
        <v>2.370969899920718E-2</v>
      </c>
      <c r="EC40" s="293">
        <v>0.6347144042963786</v>
      </c>
      <c r="ED40" s="293">
        <v>8.4112073727352965E-2</v>
      </c>
      <c r="EE40" s="293">
        <v>6.5017457110855909E-2</v>
      </c>
      <c r="EF40" s="293">
        <v>8.9289448642274998E-3</v>
      </c>
      <c r="EG40" s="293">
        <v>6.6886852260211599E-2</v>
      </c>
      <c r="EH40" s="293">
        <v>0</v>
      </c>
      <c r="EI40" s="293">
        <v>0</v>
      </c>
      <c r="EJ40" s="293">
        <v>0.59156723758316898</v>
      </c>
      <c r="EK40" s="293">
        <v>6.8459976006136181E-2</v>
      </c>
      <c r="EL40" s="295">
        <v>0.20991610299999999</v>
      </c>
      <c r="EM40" s="1080">
        <v>8.1716829288997275E-2</v>
      </c>
      <c r="EN40" s="1080">
        <v>2.4878428695712902E-2</v>
      </c>
      <c r="EO40" s="1080">
        <v>0</v>
      </c>
      <c r="EP40" s="1080">
        <v>0.65859046225565532</v>
      </c>
      <c r="EQ40" s="1080">
        <v>6.6935316893337191E-2</v>
      </c>
      <c r="ER40" s="1080">
        <v>1.2926018028519001E-2</v>
      </c>
      <c r="ES40" s="1080">
        <v>6.8624551475166495E-2</v>
      </c>
      <c r="ET40" s="1080">
        <v>0</v>
      </c>
      <c r="EU40" s="1080">
        <v>0.87228663869857059</v>
      </c>
      <c r="EV40" s="1080">
        <v>0</v>
      </c>
      <c r="EW40" s="1080">
        <v>6.8068332010024143E-2</v>
      </c>
      <c r="EX40" s="1340">
        <v>0</v>
      </c>
      <c r="EY40" s="1080"/>
      <c r="EZ40" s="1080"/>
      <c r="FA40" s="1080"/>
      <c r="FB40" s="1080"/>
      <c r="FC40" s="1080"/>
      <c r="FD40" s="1080"/>
      <c r="FE40" s="1080"/>
      <c r="FF40" s="1080"/>
      <c r="FG40" s="1080"/>
      <c r="FH40" s="1080"/>
      <c r="FI40" s="1080"/>
      <c r="FJ40" s="1340"/>
      <c r="FK40" s="1080"/>
      <c r="FL40" s="1080"/>
      <c r="FM40" s="1080"/>
      <c r="FN40" s="1080"/>
      <c r="FO40" s="1080"/>
      <c r="FP40" s="1080"/>
      <c r="FQ40" s="293"/>
      <c r="FR40" s="293"/>
      <c r="FS40" s="293"/>
      <c r="FT40" s="293"/>
      <c r="FU40" s="293"/>
      <c r="FV40" s="293"/>
      <c r="FW40" s="293"/>
      <c r="FX40" s="293"/>
      <c r="FY40" s="293"/>
      <c r="FZ40" s="293"/>
      <c r="GA40" s="293"/>
      <c r="GB40" s="293"/>
      <c r="GC40" s="293"/>
      <c r="GD40" s="293"/>
      <c r="GE40" s="293"/>
      <c r="GF40" s="293"/>
      <c r="GG40" s="293"/>
      <c r="GH40" s="293"/>
      <c r="GI40" s="293"/>
      <c r="GJ40" s="293"/>
      <c r="GK40" s="293"/>
      <c r="GL40" s="293"/>
      <c r="GM40" s="293"/>
      <c r="GN40" s="293"/>
      <c r="GO40" s="293"/>
      <c r="GP40" s="293"/>
      <c r="GQ40" s="293"/>
      <c r="GR40" s="293"/>
      <c r="GS40" s="293"/>
      <c r="GT40" s="293"/>
      <c r="GU40" s="293"/>
      <c r="GV40" s="293"/>
      <c r="GW40" s="293"/>
      <c r="GX40" s="293"/>
      <c r="GY40" s="293"/>
      <c r="GZ40" s="293"/>
      <c r="HA40" s="293"/>
      <c r="HB40" s="293"/>
      <c r="HC40" s="293"/>
      <c r="HD40" s="293"/>
      <c r="HE40" s="293"/>
      <c r="HF40" s="293"/>
      <c r="HG40" s="293"/>
      <c r="HH40" s="293"/>
      <c r="HI40" s="293"/>
      <c r="HJ40" s="293"/>
      <c r="HK40" s="293"/>
      <c r="HL40" s="293"/>
      <c r="HM40" s="293"/>
      <c r="HN40" s="293"/>
      <c r="HO40" s="293"/>
      <c r="HP40" s="293"/>
      <c r="HQ40" s="293"/>
      <c r="HR40" s="293"/>
      <c r="HS40" s="293"/>
      <c r="HT40" s="293"/>
      <c r="HU40" s="293"/>
      <c r="HV40" s="293"/>
      <c r="HW40" s="293"/>
      <c r="HX40" s="293"/>
      <c r="HY40" s="293"/>
      <c r="IH40" s="279">
        <f t="shared" si="11"/>
        <v>0.66241491574685618</v>
      </c>
      <c r="II40" s="279">
        <f t="shared" si="12"/>
        <v>0.94654390768561869</v>
      </c>
      <c r="IJ40" s="279">
        <f t="shared" si="13"/>
        <v>1.608958823432475</v>
      </c>
      <c r="IK40" s="279">
        <f t="shared" si="14"/>
        <v>0.77007233916131623</v>
      </c>
      <c r="KT40" s="280"/>
    </row>
    <row r="41" spans="1:306" outlineLevel="1">
      <c r="B41" s="96" t="s">
        <v>338</v>
      </c>
      <c r="D41" s="296" t="s">
        <v>356</v>
      </c>
      <c r="E41" s="293"/>
      <c r="F41" s="293"/>
      <c r="G41" s="293"/>
      <c r="H41" s="293"/>
      <c r="I41" s="293"/>
      <c r="J41" s="293"/>
      <c r="K41" s="293"/>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v>0.11271658752710001</v>
      </c>
      <c r="AP41" s="293">
        <v>0</v>
      </c>
      <c r="AQ41" s="293">
        <v>0</v>
      </c>
      <c r="AR41" s="293">
        <v>0</v>
      </c>
      <c r="AS41" s="293">
        <v>6.4073253463999988E-2</v>
      </c>
      <c r="AT41" s="293">
        <v>0</v>
      </c>
      <c r="AU41" s="293">
        <v>0.11627054629789998</v>
      </c>
      <c r="AV41" s="293">
        <v>0</v>
      </c>
      <c r="AW41" s="293">
        <v>0</v>
      </c>
      <c r="AX41" s="293">
        <v>0</v>
      </c>
      <c r="AY41" s="293">
        <v>0</v>
      </c>
      <c r="AZ41" s="293">
        <v>9.0544394861999999E-2</v>
      </c>
      <c r="BA41" s="293">
        <v>0.11762387496890001</v>
      </c>
      <c r="BB41" s="293">
        <v>0</v>
      </c>
      <c r="BC41" s="293">
        <v>0</v>
      </c>
      <c r="BD41" s="293">
        <v>0</v>
      </c>
      <c r="BE41" s="293">
        <v>0</v>
      </c>
      <c r="BF41" s="293">
        <v>0.13834084617010001</v>
      </c>
      <c r="BG41" s="293">
        <v>0.1190046624825</v>
      </c>
      <c r="BH41" s="293">
        <v>0</v>
      </c>
      <c r="BI41" s="293">
        <v>0</v>
      </c>
      <c r="BJ41" s="293">
        <v>0</v>
      </c>
      <c r="BK41" s="293">
        <v>0.14727193477770001</v>
      </c>
      <c r="BL41" s="293">
        <v>1.0720582092000001E-2</v>
      </c>
      <c r="BM41" s="293">
        <v>0.10869874861018636</v>
      </c>
      <c r="BN41" s="293">
        <v>0</v>
      </c>
      <c r="BO41" s="293">
        <v>0</v>
      </c>
      <c r="BP41" s="293">
        <v>0</v>
      </c>
      <c r="BQ41" s="293">
        <v>0.148879278231</v>
      </c>
      <c r="BR41" s="293">
        <v>0</v>
      </c>
      <c r="BS41" s="293">
        <v>0.12109153452009999</v>
      </c>
      <c r="BT41" s="293">
        <v>0</v>
      </c>
      <c r="BU41" s="293">
        <v>0</v>
      </c>
      <c r="BV41" s="293">
        <v>0</v>
      </c>
      <c r="BW41" s="293">
        <v>0.15389040782069999</v>
      </c>
      <c r="BX41" s="293">
        <v>0</v>
      </c>
      <c r="BY41" s="293">
        <v>0.12463368340039105</v>
      </c>
      <c r="BZ41" s="293">
        <v>0</v>
      </c>
      <c r="CA41" s="293">
        <v>0</v>
      </c>
      <c r="CB41" s="293">
        <v>0</v>
      </c>
      <c r="CC41" s="293">
        <v>0.15664583500388765</v>
      </c>
      <c r="CD41" s="293">
        <v>0</v>
      </c>
      <c r="CE41" s="294">
        <v>0</v>
      </c>
      <c r="CF41" s="293">
        <v>0</v>
      </c>
      <c r="CG41" s="293">
        <v>0</v>
      </c>
      <c r="CH41" s="293">
        <v>0</v>
      </c>
      <c r="CI41" s="293">
        <v>0</v>
      </c>
      <c r="CJ41" s="293">
        <v>7.5688763304832013E-2</v>
      </c>
      <c r="CK41" s="293">
        <v>0</v>
      </c>
      <c r="CL41" s="293">
        <v>0</v>
      </c>
      <c r="CM41" s="293">
        <v>0</v>
      </c>
      <c r="CN41" s="293">
        <v>0</v>
      </c>
      <c r="CO41" s="293">
        <v>0.16677519610808783</v>
      </c>
      <c r="CP41" s="295">
        <v>0</v>
      </c>
      <c r="CQ41" s="293">
        <v>0</v>
      </c>
      <c r="CR41" s="293">
        <v>0</v>
      </c>
      <c r="CS41" s="293">
        <v>0</v>
      </c>
      <c r="CT41" s="293">
        <v>0</v>
      </c>
      <c r="CU41" s="293">
        <v>0.16920595009597514</v>
      </c>
      <c r="CV41" s="293">
        <v>0</v>
      </c>
      <c r="CW41" s="293">
        <v>0</v>
      </c>
      <c r="CX41" s="293">
        <v>0</v>
      </c>
      <c r="CY41" s="293">
        <v>0</v>
      </c>
      <c r="CZ41" s="293">
        <v>0</v>
      </c>
      <c r="DA41" s="293">
        <v>0</v>
      </c>
      <c r="DB41" s="1288">
        <v>0.17497061175154366</v>
      </c>
      <c r="DC41" s="293">
        <v>0</v>
      </c>
      <c r="DD41" s="293">
        <v>0</v>
      </c>
      <c r="DE41" s="293">
        <v>0</v>
      </c>
      <c r="DF41" s="293">
        <v>0</v>
      </c>
      <c r="DG41" s="293">
        <v>0</v>
      </c>
      <c r="DH41" s="293">
        <v>0.18168287001217243</v>
      </c>
      <c r="DI41" s="293">
        <v>0</v>
      </c>
      <c r="DJ41" s="293">
        <v>0</v>
      </c>
      <c r="DK41" s="293">
        <v>0</v>
      </c>
      <c r="DL41" s="293">
        <v>0</v>
      </c>
      <c r="DM41" s="293">
        <v>0</v>
      </c>
      <c r="DN41" s="295">
        <v>0</v>
      </c>
      <c r="DO41" s="293">
        <v>0</v>
      </c>
      <c r="DP41" s="293">
        <v>0</v>
      </c>
      <c r="DQ41" s="293">
        <v>0</v>
      </c>
      <c r="DR41" s="293">
        <v>0</v>
      </c>
      <c r="DS41" s="293">
        <v>0.20000699097339683</v>
      </c>
      <c r="DT41" s="293">
        <v>0</v>
      </c>
      <c r="DU41" s="293">
        <v>0</v>
      </c>
      <c r="DV41" s="293">
        <v>0</v>
      </c>
      <c r="DW41" s="293">
        <v>0</v>
      </c>
      <c r="DX41" s="293">
        <v>0</v>
      </c>
      <c r="DY41" s="293">
        <v>0.20271680233122366</v>
      </c>
      <c r="DZ41" s="295">
        <v>0</v>
      </c>
      <c r="EA41" s="293">
        <v>0</v>
      </c>
      <c r="EB41" s="293">
        <v>0</v>
      </c>
      <c r="EC41" s="293">
        <v>0</v>
      </c>
      <c r="ED41" s="293">
        <v>0</v>
      </c>
      <c r="EE41" s="293">
        <v>0</v>
      </c>
      <c r="EF41" s="293">
        <v>0</v>
      </c>
      <c r="EG41" s="293">
        <v>0</v>
      </c>
      <c r="EH41" s="293">
        <v>0</v>
      </c>
      <c r="EI41" s="293">
        <v>0</v>
      </c>
      <c r="EJ41" s="293">
        <v>0</v>
      </c>
      <c r="EK41" s="293">
        <v>0</v>
      </c>
      <c r="EL41" s="295">
        <v>0</v>
      </c>
      <c r="EM41" s="1080">
        <v>0</v>
      </c>
      <c r="EN41" s="1080">
        <v>0</v>
      </c>
      <c r="EO41" s="1080">
        <v>0</v>
      </c>
      <c r="EP41" s="1080">
        <v>0</v>
      </c>
      <c r="EQ41" s="1080">
        <v>0.21458127057116363</v>
      </c>
      <c r="ER41" s="1080">
        <v>0</v>
      </c>
      <c r="ES41" s="1080">
        <v>0</v>
      </c>
      <c r="ET41" s="1080">
        <v>0</v>
      </c>
      <c r="EU41" s="1080">
        <v>0</v>
      </c>
      <c r="EV41" s="1080">
        <v>0</v>
      </c>
      <c r="EW41" s="1080">
        <v>0.21902283812940421</v>
      </c>
      <c r="EX41" s="1340">
        <v>0</v>
      </c>
      <c r="EY41" s="1080"/>
      <c r="EZ41" s="1080"/>
      <c r="FA41" s="1080"/>
      <c r="FB41" s="1080"/>
      <c r="FC41" s="1080"/>
      <c r="FD41" s="1080"/>
      <c r="FE41" s="1080"/>
      <c r="FF41" s="1080"/>
      <c r="FG41" s="1080"/>
      <c r="FH41" s="1080"/>
      <c r="FI41" s="1080"/>
      <c r="FJ41" s="1340"/>
      <c r="FK41" s="1080"/>
      <c r="FL41" s="1080"/>
      <c r="FM41" s="1080"/>
      <c r="FN41" s="1080"/>
      <c r="FO41" s="1080"/>
      <c r="FP41" s="1080"/>
      <c r="FQ41" s="293"/>
      <c r="FR41" s="293"/>
      <c r="FS41" s="293"/>
      <c r="FT41" s="293"/>
      <c r="FU41" s="293"/>
      <c r="FV41" s="293"/>
      <c r="FW41" s="293"/>
      <c r="FX41" s="293"/>
      <c r="FY41" s="293"/>
      <c r="FZ41" s="293"/>
      <c r="GA41" s="293"/>
      <c r="GB41" s="293"/>
      <c r="GC41" s="293"/>
      <c r="GD41" s="293"/>
      <c r="GE41" s="293"/>
      <c r="GF41" s="293"/>
      <c r="GG41" s="293"/>
      <c r="GH41" s="293"/>
      <c r="GI41" s="293"/>
      <c r="GJ41" s="293"/>
      <c r="GK41" s="293"/>
      <c r="GL41" s="293"/>
      <c r="GM41" s="293"/>
      <c r="GN41" s="293"/>
      <c r="GO41" s="293"/>
      <c r="GP41" s="293"/>
      <c r="GQ41" s="293"/>
      <c r="GR41" s="293"/>
      <c r="GS41" s="293"/>
      <c r="GT41" s="293"/>
      <c r="GU41" s="293"/>
      <c r="GV41" s="293"/>
      <c r="GW41" s="293"/>
      <c r="GX41" s="293"/>
      <c r="GY41" s="293"/>
      <c r="GZ41" s="293"/>
      <c r="HA41" s="293"/>
      <c r="HB41" s="293"/>
      <c r="HC41" s="293"/>
      <c r="HD41" s="293"/>
      <c r="HE41" s="293"/>
      <c r="HF41" s="293"/>
      <c r="HG41" s="293"/>
      <c r="HH41" s="293"/>
      <c r="HI41" s="293"/>
      <c r="HJ41" s="293"/>
      <c r="HK41" s="293"/>
      <c r="HL41" s="293"/>
      <c r="HM41" s="293"/>
      <c r="HN41" s="293"/>
      <c r="HO41" s="293"/>
      <c r="HP41" s="293"/>
      <c r="HQ41" s="293"/>
      <c r="HR41" s="293"/>
      <c r="HS41" s="293"/>
      <c r="HT41" s="293"/>
      <c r="HU41" s="293"/>
      <c r="HV41" s="293"/>
      <c r="HW41" s="293"/>
      <c r="HX41" s="293"/>
      <c r="HY41" s="293"/>
      <c r="IH41" s="279">
        <f t="shared" si="11"/>
        <v>0.18168287001217243</v>
      </c>
      <c r="II41" s="279">
        <f t="shared" si="12"/>
        <v>0</v>
      </c>
      <c r="IJ41" s="279">
        <f t="shared" si="13"/>
        <v>0.18168287001217243</v>
      </c>
      <c r="IK41" s="279">
        <f t="shared" si="14"/>
        <v>0.20000699097339683</v>
      </c>
      <c r="KT41" s="280"/>
    </row>
    <row r="42" spans="1:306" outlineLevel="1">
      <c r="B42" s="96" t="s">
        <v>338</v>
      </c>
      <c r="D42" s="296" t="s">
        <v>357</v>
      </c>
      <c r="E42" s="293"/>
      <c r="F42" s="293"/>
      <c r="G42" s="293"/>
      <c r="H42" s="293"/>
      <c r="I42" s="293"/>
      <c r="J42" s="293"/>
      <c r="K42" s="293"/>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v>0.15253256660000003</v>
      </c>
      <c r="AP42" s="293">
        <v>0</v>
      </c>
      <c r="AQ42" s="293">
        <v>5.2886115479999996E-2</v>
      </c>
      <c r="AR42" s="293">
        <v>0</v>
      </c>
      <c r="AS42" s="293">
        <v>0.12472229580000001</v>
      </c>
      <c r="AT42" s="293">
        <v>6.4650771199999998E-2</v>
      </c>
      <c r="AU42" s="293">
        <v>0.32093173349999998</v>
      </c>
      <c r="AV42" s="293">
        <v>0</v>
      </c>
      <c r="AW42" s="293">
        <v>5.3643517240000001E-2</v>
      </c>
      <c r="AX42" s="293">
        <v>0</v>
      </c>
      <c r="AY42" s="293">
        <v>0.13444943449999999</v>
      </c>
      <c r="AZ42" s="293">
        <v>6.9475253760000008E-2</v>
      </c>
      <c r="BA42" s="293">
        <v>0.33688554410000005</v>
      </c>
      <c r="BB42" s="293">
        <v>0</v>
      </c>
      <c r="BC42" s="293">
        <v>5.6834400680000001E-2</v>
      </c>
      <c r="BD42" s="293">
        <v>0</v>
      </c>
      <c r="BE42" s="293">
        <v>0.139078383</v>
      </c>
      <c r="BF42" s="293">
        <v>7.2714366719999993E-2</v>
      </c>
      <c r="BG42" s="293">
        <v>0.35587800080000004</v>
      </c>
      <c r="BH42" s="293">
        <v>0</v>
      </c>
      <c r="BI42" s="293">
        <v>5.6825440880000001E-2</v>
      </c>
      <c r="BJ42" s="293">
        <v>0</v>
      </c>
      <c r="BK42" s="293">
        <v>0.13563551925</v>
      </c>
      <c r="BL42" s="293">
        <v>7.0373880320000012E-2</v>
      </c>
      <c r="BM42" s="293">
        <v>0.34444725349999999</v>
      </c>
      <c r="BN42" s="293">
        <v>0</v>
      </c>
      <c r="BO42" s="293">
        <v>0.1905968778048</v>
      </c>
      <c r="BP42" s="293">
        <v>0</v>
      </c>
      <c r="BQ42" s="293">
        <v>0.13608738989999999</v>
      </c>
      <c r="BR42" s="293">
        <v>7.0143964160000002E-2</v>
      </c>
      <c r="BS42" s="293">
        <v>0.34332659199999999</v>
      </c>
      <c r="BT42" s="293">
        <v>0</v>
      </c>
      <c r="BU42" s="293">
        <v>0.19516369399199998</v>
      </c>
      <c r="BV42" s="293">
        <v>0</v>
      </c>
      <c r="BW42" s="293">
        <v>0.13988657634999999</v>
      </c>
      <c r="BX42" s="293">
        <v>7.332973056E-2</v>
      </c>
      <c r="BY42" s="293">
        <v>0.35924538358156</v>
      </c>
      <c r="BZ42" s="293">
        <v>0</v>
      </c>
      <c r="CA42" s="293">
        <v>0.19387480407094299</v>
      </c>
      <c r="CB42" s="293">
        <v>0.19578165737499997</v>
      </c>
      <c r="CC42" s="293">
        <v>0.13808148436985498</v>
      </c>
      <c r="CD42" s="293">
        <v>7.3653760044928004E-2</v>
      </c>
      <c r="CE42" s="294">
        <v>0.34853167734673601</v>
      </c>
      <c r="CF42" s="293">
        <v>0</v>
      </c>
      <c r="CG42" s="293">
        <v>0.201638140853871</v>
      </c>
      <c r="CH42" s="293">
        <v>0.206761823957887</v>
      </c>
      <c r="CI42" s="293">
        <v>0.14634253540970499</v>
      </c>
      <c r="CJ42" s="293">
        <v>0.17677517671172452</v>
      </c>
      <c r="CK42" s="293">
        <v>0.37089700934202396</v>
      </c>
      <c r="CL42" s="293">
        <v>0</v>
      </c>
      <c r="CM42" s="293">
        <v>0.21318909019719198</v>
      </c>
      <c r="CN42" s="293">
        <v>0.213752424657149</v>
      </c>
      <c r="CO42" s="293">
        <v>0.15316874540642</v>
      </c>
      <c r="CP42" s="295">
        <v>0.23559678939798004</v>
      </c>
      <c r="CQ42" s="293">
        <v>0.38500149893197205</v>
      </c>
      <c r="CR42" s="293">
        <v>0</v>
      </c>
      <c r="CS42" s="293">
        <v>0.21149375011510699</v>
      </c>
      <c r="CT42" s="293">
        <v>0.21075508321255598</v>
      </c>
      <c r="CU42" s="293">
        <v>0.14790563591266501</v>
      </c>
      <c r="CV42" s="293">
        <v>0.25822833660101996</v>
      </c>
      <c r="CW42" s="293">
        <v>0.30506121254082003</v>
      </c>
      <c r="CX42" s="293">
        <v>0</v>
      </c>
      <c r="CY42" s="293">
        <v>0.15242994585051897</v>
      </c>
      <c r="CZ42" s="293">
        <v>0.20239802761231704</v>
      </c>
      <c r="DA42" s="293">
        <v>0.14672966393782999</v>
      </c>
      <c r="DB42" s="1288">
        <v>0.25672739833505998</v>
      </c>
      <c r="DC42" s="293">
        <v>0.368876547</v>
      </c>
      <c r="DD42" s="293">
        <v>0</v>
      </c>
      <c r="DE42" s="293">
        <v>0.21120575</v>
      </c>
      <c r="DF42" s="293">
        <v>0.31011811049271726</v>
      </c>
      <c r="DG42" s="293">
        <v>0.14896677362943</v>
      </c>
      <c r="DH42" s="293">
        <v>0.26380707144161397</v>
      </c>
      <c r="DI42" s="293">
        <v>0.37993575394389595</v>
      </c>
      <c r="DJ42" s="293">
        <v>0</v>
      </c>
      <c r="DK42" s="293">
        <v>0.21966347298875397</v>
      </c>
      <c r="DL42" s="293">
        <v>0.32724736054603004</v>
      </c>
      <c r="DM42" s="293">
        <v>0.159864473117625</v>
      </c>
      <c r="DN42" s="295">
        <v>0.27929875337999999</v>
      </c>
      <c r="DO42" s="293">
        <v>0.39885741872000002</v>
      </c>
      <c r="DP42" s="293">
        <v>0</v>
      </c>
      <c r="DQ42" s="293">
        <v>0.23298698495999998</v>
      </c>
      <c r="DR42" s="293">
        <v>0.34089564661691063</v>
      </c>
      <c r="DS42" s="293">
        <v>0.16219620854999997</v>
      </c>
      <c r="DT42" s="293">
        <v>0.28002670391999995</v>
      </c>
      <c r="DU42" s="293">
        <v>0.3583839659092794</v>
      </c>
      <c r="DV42" s="293">
        <v>0</v>
      </c>
      <c r="DW42" s="293">
        <v>0.22939274407834656</v>
      </c>
      <c r="DX42" s="293">
        <v>0.23242945843246302</v>
      </c>
      <c r="DY42" s="293">
        <v>0.27141050729398097</v>
      </c>
      <c r="DZ42" s="295">
        <v>0.29181182465489652</v>
      </c>
      <c r="EA42" s="293">
        <v>0.42085643197448563</v>
      </c>
      <c r="EB42" s="293">
        <v>0</v>
      </c>
      <c r="EC42" s="293">
        <v>0</v>
      </c>
      <c r="ED42" s="293">
        <v>0.60313854588842863</v>
      </c>
      <c r="EE42" s="293">
        <v>0.17206899702116105</v>
      </c>
      <c r="EF42" s="293">
        <v>0.30282261033288743</v>
      </c>
      <c r="EG42" s="293">
        <v>0.43764504105279317</v>
      </c>
      <c r="EH42" s="293">
        <v>0</v>
      </c>
      <c r="EI42" s="293">
        <v>0.25418024657176796</v>
      </c>
      <c r="EJ42" s="293">
        <v>0.25706763419202128</v>
      </c>
      <c r="EK42" s="293">
        <v>0.17859772539678814</v>
      </c>
      <c r="EL42" s="295">
        <v>0.30997545201240118</v>
      </c>
      <c r="EM42" s="1080">
        <v>0.44019497307574706</v>
      </c>
      <c r="EN42" s="1080">
        <v>0</v>
      </c>
      <c r="EO42" s="1080">
        <v>0.24989694274402965</v>
      </c>
      <c r="EP42" s="1080">
        <v>0.36798252598845727</v>
      </c>
      <c r="EQ42" s="1080">
        <v>0.17588468263863968</v>
      </c>
      <c r="ER42" s="1080">
        <v>0.30932771450470675</v>
      </c>
      <c r="ES42" s="1080">
        <v>0.44567177002092262</v>
      </c>
      <c r="ET42" s="1080">
        <v>0</v>
      </c>
      <c r="EU42" s="1080">
        <v>0.2538413448965377</v>
      </c>
      <c r="EV42" s="1080">
        <v>0.37295936216598241</v>
      </c>
      <c r="EW42" s="1080">
        <v>0.18016263001178051</v>
      </c>
      <c r="EX42" s="1340">
        <v>0.31576543627962983</v>
      </c>
      <c r="EY42" s="1080"/>
      <c r="EZ42" s="1080"/>
      <c r="FA42" s="1080"/>
      <c r="FB42" s="1080"/>
      <c r="FC42" s="1080"/>
      <c r="FD42" s="1080"/>
      <c r="FE42" s="1080"/>
      <c r="FF42" s="1080"/>
      <c r="FG42" s="1080"/>
      <c r="FH42" s="1080"/>
      <c r="FI42" s="1080"/>
      <c r="FJ42" s="1340"/>
      <c r="FK42" s="1080"/>
      <c r="FL42" s="1080"/>
      <c r="FM42" s="1080"/>
      <c r="FN42" s="1080"/>
      <c r="FO42" s="1080"/>
      <c r="FP42" s="1080"/>
      <c r="FQ42" s="293"/>
      <c r="FR42" s="293"/>
      <c r="FS42" s="293"/>
      <c r="FT42" s="293"/>
      <c r="FU42" s="293"/>
      <c r="FV42" s="293"/>
      <c r="FW42" s="293"/>
      <c r="FX42" s="293"/>
      <c r="FY42" s="293"/>
      <c r="FZ42" s="293"/>
      <c r="GA42" s="293"/>
      <c r="GB42" s="293"/>
      <c r="GC42" s="293"/>
      <c r="GD42" s="293"/>
      <c r="GE42" s="293"/>
      <c r="GF42" s="293"/>
      <c r="GG42" s="293"/>
      <c r="GH42" s="293"/>
      <c r="GI42" s="293"/>
      <c r="GJ42" s="293"/>
      <c r="GK42" s="293"/>
      <c r="GL42" s="293"/>
      <c r="GM42" s="293"/>
      <c r="GN42" s="293"/>
      <c r="GO42" s="293"/>
      <c r="GP42" s="293"/>
      <c r="GQ42" s="293"/>
      <c r="GR42" s="293"/>
      <c r="GS42" s="293"/>
      <c r="GT42" s="293"/>
      <c r="GU42" s="293"/>
      <c r="GV42" s="293"/>
      <c r="GW42" s="293"/>
      <c r="GX42" s="293"/>
      <c r="GY42" s="293"/>
      <c r="GZ42" s="293"/>
      <c r="HA42" s="293"/>
      <c r="HB42" s="293"/>
      <c r="HC42" s="293"/>
      <c r="HD42" s="293"/>
      <c r="HE42" s="293"/>
      <c r="HF42" s="293"/>
      <c r="HG42" s="293"/>
      <c r="HH42" s="293"/>
      <c r="HI42" s="293"/>
      <c r="HJ42" s="293"/>
      <c r="HK42" s="293"/>
      <c r="HL42" s="293"/>
      <c r="HM42" s="293"/>
      <c r="HN42" s="293"/>
      <c r="HO42" s="293"/>
      <c r="HP42" s="293"/>
      <c r="HQ42" s="293"/>
      <c r="HR42" s="293"/>
      <c r="HS42" s="293"/>
      <c r="HT42" s="293"/>
      <c r="HU42" s="293"/>
      <c r="HV42" s="293"/>
      <c r="HW42" s="293"/>
      <c r="HX42" s="293"/>
      <c r="HY42" s="293"/>
      <c r="IH42" s="279">
        <f t="shared" si="11"/>
        <v>1.3029742525637613</v>
      </c>
      <c r="II42" s="279">
        <f t="shared" si="12"/>
        <v>1.3660098139763051</v>
      </c>
      <c r="IJ42" s="279">
        <f t="shared" si="13"/>
        <v>2.6689840665400664</v>
      </c>
      <c r="IK42" s="279">
        <f t="shared" si="14"/>
        <v>1.4149629627669105</v>
      </c>
      <c r="KT42" s="280"/>
    </row>
    <row r="43" spans="1:306" outlineLevel="1">
      <c r="B43" s="96" t="s">
        <v>338</v>
      </c>
      <c r="D43" s="296" t="s">
        <v>358</v>
      </c>
      <c r="E43" s="293"/>
      <c r="F43" s="293"/>
      <c r="G43" s="293"/>
      <c r="H43" s="293"/>
      <c r="I43" s="293"/>
      <c r="J43" s="293"/>
      <c r="K43" s="293"/>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v>7.2710600147999991E-3</v>
      </c>
      <c r="AP43" s="293">
        <v>4.5415558513199991E-2</v>
      </c>
      <c r="AQ43" s="293">
        <v>6.7469150548499987E-2</v>
      </c>
      <c r="AR43" s="293">
        <v>1.6108738594800002E-2</v>
      </c>
      <c r="AS43" s="293">
        <v>0.70529629942766003</v>
      </c>
      <c r="AT43" s="293">
        <v>0.42617804545719995</v>
      </c>
      <c r="AU43" s="293">
        <v>6.4154540575999995E-3</v>
      </c>
      <c r="AV43" s="293">
        <v>4.4247888205200002E-2</v>
      </c>
      <c r="AW43" s="293">
        <v>6.4500525178799992E-2</v>
      </c>
      <c r="AX43" s="293">
        <v>1.7141180239799998E-2</v>
      </c>
      <c r="AY43" s="293">
        <v>3.7106884020689991E-2</v>
      </c>
      <c r="AZ43" s="293">
        <v>0.15321890226049997</v>
      </c>
      <c r="BA43" s="293">
        <v>6.9748421191999999E-3</v>
      </c>
      <c r="BB43" s="293">
        <v>4.7706809008600005E-2</v>
      </c>
      <c r="BC43" s="293">
        <v>7.248339374429999E-2</v>
      </c>
      <c r="BD43" s="293">
        <v>1.8016789721399997E-2</v>
      </c>
      <c r="BE43" s="293">
        <v>3.90720973084E-2</v>
      </c>
      <c r="BF43" s="293">
        <v>0.99973722806249998</v>
      </c>
      <c r="BG43" s="293">
        <v>7.8364663019999982E-3</v>
      </c>
      <c r="BH43" s="293">
        <v>5.0298772507100006E-2</v>
      </c>
      <c r="BI43" s="293">
        <v>7.6152100260000008E-2</v>
      </c>
      <c r="BJ43" s="293">
        <v>1.73078042865E-2</v>
      </c>
      <c r="BK43" s="293">
        <v>3.8055534307999996E-2</v>
      </c>
      <c r="BL43" s="293">
        <v>0.15149236634720001</v>
      </c>
      <c r="BM43" s="293">
        <v>7.0446628349999998E-3</v>
      </c>
      <c r="BN43" s="293">
        <v>4.7420334353700015E-2</v>
      </c>
      <c r="BO43" s="293">
        <v>7.1712622704000015E-2</v>
      </c>
      <c r="BP43" s="293">
        <v>1.67284870398E-2</v>
      </c>
      <c r="BQ43" s="293">
        <v>3.6473476888199997E-2</v>
      </c>
      <c r="BR43" s="293">
        <v>0.88270971781660001</v>
      </c>
      <c r="BS43" s="293">
        <v>6.9044574009999998E-3</v>
      </c>
      <c r="BT43" s="293">
        <v>4.5162071827200001E-2</v>
      </c>
      <c r="BU43" s="293">
        <v>6.8225367845600016E-2</v>
      </c>
      <c r="BV43" s="293">
        <v>1.7088354792000004E-2</v>
      </c>
      <c r="BW43" s="293">
        <v>3.7526260302299996E-2</v>
      </c>
      <c r="BX43" s="293">
        <v>0.16034680031199999</v>
      </c>
      <c r="BY43" s="293">
        <v>7.6430867889419997E-3</v>
      </c>
      <c r="BZ43" s="293">
        <v>5.040550427099106E-2</v>
      </c>
      <c r="CA43" s="293">
        <v>7.3631789664495559E-2</v>
      </c>
      <c r="CB43" s="293">
        <v>1.7647362855121317E-2</v>
      </c>
      <c r="CC43" s="293">
        <v>3.8948420698469405E-2</v>
      </c>
      <c r="CD43" s="293">
        <v>0.99184520269815468</v>
      </c>
      <c r="CE43" s="294">
        <v>7.6397973776723988E-3</v>
      </c>
      <c r="CF43" s="293">
        <v>5.1865642008819227E-2</v>
      </c>
      <c r="CG43" s="293">
        <v>7.6824185580708054E-2</v>
      </c>
      <c r="CH43" s="293">
        <v>1.9075973806224E-2</v>
      </c>
      <c r="CI43" s="293">
        <v>4.2317036228318873E-2</v>
      </c>
      <c r="CJ43" s="293">
        <v>0</v>
      </c>
      <c r="CK43" s="293">
        <v>8.4837637189753602E-3</v>
      </c>
      <c r="CL43" s="293">
        <v>5.5732809866689124E-2</v>
      </c>
      <c r="CM43" s="293">
        <v>8.2763276184412538E-2</v>
      </c>
      <c r="CN43" s="293">
        <v>2.0029569251531178E-2</v>
      </c>
      <c r="CO43" s="293">
        <v>4.4515471269526603E-2</v>
      </c>
      <c r="CP43" s="295">
        <v>1.1019007130801717</v>
      </c>
      <c r="CQ43" s="293">
        <v>8.5888839263660796E-3</v>
      </c>
      <c r="CR43" s="293">
        <v>5.5403948276812588E-2</v>
      </c>
      <c r="CS43" s="293">
        <v>8.0667529655178899E-2</v>
      </c>
      <c r="CT43" s="293">
        <v>1.860369584279228E-2</v>
      </c>
      <c r="CU43" s="293">
        <v>4.1559748289703838E-2</v>
      </c>
      <c r="CV43" s="293">
        <v>0.1707175640345156</v>
      </c>
      <c r="CW43" s="293">
        <v>7.7535362664613488E-3</v>
      </c>
      <c r="CX43" s="293">
        <v>4.8800869057949135E-2</v>
      </c>
      <c r="CY43" s="293">
        <v>7.1124551447077813E-2</v>
      </c>
      <c r="CZ43" s="293">
        <v>1.6244705525502796E-2</v>
      </c>
      <c r="DA43" s="293">
        <v>3.9214918154772613E-2</v>
      </c>
      <c r="DB43" s="1288">
        <v>0.94654672903454562</v>
      </c>
      <c r="DC43" s="293">
        <v>7.5321553618681999E-3</v>
      </c>
      <c r="DD43" s="293">
        <v>4.9130964085569648E-2</v>
      </c>
      <c r="DE43" s="293">
        <v>7.3956599838067308E-2</v>
      </c>
      <c r="DF43" s="293">
        <v>1.8194427989999998E-2</v>
      </c>
      <c r="DG43" s="293">
        <v>3.860677429E-2</v>
      </c>
      <c r="DH43" s="293">
        <v>0.16301502700000001</v>
      </c>
      <c r="DI43" s="293">
        <v>7.61252724362788E-3</v>
      </c>
      <c r="DJ43" s="293">
        <v>5.2230806138146027E-2</v>
      </c>
      <c r="DK43" s="293">
        <v>7.527742218644648E-2</v>
      </c>
      <c r="DL43" s="293">
        <v>1.8788693631716251E-2</v>
      </c>
      <c r="DM43" s="293">
        <v>4.3034172216132351E-2</v>
      </c>
      <c r="DN43" s="295">
        <v>0.17535801121262887</v>
      </c>
      <c r="DO43" s="293">
        <v>8.1096583336919999E-3</v>
      </c>
      <c r="DP43" s="293">
        <v>5.4739512278144282E-2</v>
      </c>
      <c r="DQ43" s="293">
        <v>8.2274635221279299E-2</v>
      </c>
      <c r="DR43" s="293">
        <v>1.9517442883861584E-2</v>
      </c>
      <c r="DS43" s="293">
        <v>4.2877739811698637E-2</v>
      </c>
      <c r="DT43" s="293">
        <v>0.17293152081705962</v>
      </c>
      <c r="DU43" s="293">
        <v>8.0617926688679991E-3</v>
      </c>
      <c r="DV43" s="293">
        <v>5.3660630180701115E-2</v>
      </c>
      <c r="DW43" s="293">
        <v>8.0017292500992016E-2</v>
      </c>
      <c r="DX43" s="293">
        <v>1.9285618641511501E-2</v>
      </c>
      <c r="DY43" s="293">
        <v>4.4314308796291502E-2</v>
      </c>
      <c r="DZ43" s="295">
        <v>0.18757827730886098</v>
      </c>
      <c r="EA43" s="293">
        <v>8.9552796568032004E-3</v>
      </c>
      <c r="EB43" s="293">
        <v>6.0971156078098915E-2</v>
      </c>
      <c r="EC43" s="293">
        <v>9.1004338656000008E-2</v>
      </c>
      <c r="ED43" s="293">
        <v>2.1454756803700101E-2</v>
      </c>
      <c r="EE43" s="293">
        <v>4.8387924957650194E-2</v>
      </c>
      <c r="EF43" s="293">
        <v>0.19974909925171808</v>
      </c>
      <c r="EG43" s="293">
        <v>1.1013374463771281E-2</v>
      </c>
      <c r="EH43" s="293">
        <v>7.9532264764167512E-2</v>
      </c>
      <c r="EI43" s="293">
        <v>0.11309195508770994</v>
      </c>
      <c r="EJ43" s="293">
        <v>2.315573850159185E-2</v>
      </c>
      <c r="EK43" s="293">
        <v>5.0739999973355952E-2</v>
      </c>
      <c r="EL43" s="295">
        <v>0.2054607282231091</v>
      </c>
      <c r="EM43" s="1080">
        <v>9.5035419559667978E-3</v>
      </c>
      <c r="EN43" s="1080">
        <v>6.1483538782773905E-2</v>
      </c>
      <c r="EO43" s="1080">
        <v>9.3895499709118799E-2</v>
      </c>
      <c r="EP43" s="1080">
        <v>2.2277759446254479E-2</v>
      </c>
      <c r="EQ43" s="1080">
        <v>0</v>
      </c>
      <c r="ER43" s="1080">
        <v>0.20346838770586964</v>
      </c>
      <c r="ES43" s="1080">
        <v>9.5900531485996511E-3</v>
      </c>
      <c r="ET43" s="1080">
        <v>6.253031661754177E-2</v>
      </c>
      <c r="EU43" s="1080">
        <v>9.3548371074757219E-2</v>
      </c>
      <c r="EV43" s="1080">
        <v>2.2278795214100318E-2</v>
      </c>
      <c r="EW43" s="1080">
        <v>0</v>
      </c>
      <c r="EX43" s="1340">
        <v>0.20744093115547532</v>
      </c>
      <c r="EY43" s="1080"/>
      <c r="EZ43" s="1080"/>
      <c r="FA43" s="1080"/>
      <c r="FB43" s="1080"/>
      <c r="FC43" s="1080"/>
      <c r="FD43" s="1080"/>
      <c r="FE43" s="1080"/>
      <c r="FF43" s="1080"/>
      <c r="FG43" s="1080"/>
      <c r="FH43" s="1080"/>
      <c r="FI43" s="1080"/>
      <c r="FJ43" s="1340"/>
      <c r="FK43" s="1080"/>
      <c r="FL43" s="1080"/>
      <c r="FM43" s="1080"/>
      <c r="FN43" s="1080"/>
      <c r="FO43" s="1080"/>
      <c r="FP43" s="1080"/>
      <c r="FQ43" s="293"/>
      <c r="FR43" s="293"/>
      <c r="FS43" s="293"/>
      <c r="FT43" s="293"/>
      <c r="FU43" s="293"/>
      <c r="FV43" s="293"/>
      <c r="FW43" s="293"/>
      <c r="FX43" s="293"/>
      <c r="FY43" s="293"/>
      <c r="FZ43" s="293"/>
      <c r="GA43" s="293"/>
      <c r="GB43" s="293"/>
      <c r="GC43" s="293"/>
      <c r="GD43" s="293"/>
      <c r="GE43" s="293"/>
      <c r="GF43" s="293"/>
      <c r="GG43" s="293"/>
      <c r="GH43" s="293"/>
      <c r="GI43" s="293"/>
      <c r="GJ43" s="293"/>
      <c r="GK43" s="293"/>
      <c r="GL43" s="293"/>
      <c r="GM43" s="293"/>
      <c r="GN43" s="293"/>
      <c r="GO43" s="293"/>
      <c r="GP43" s="293"/>
      <c r="GQ43" s="293"/>
      <c r="GR43" s="293"/>
      <c r="GS43" s="293"/>
      <c r="GT43" s="293"/>
      <c r="GU43" s="293"/>
      <c r="GV43" s="293"/>
      <c r="GW43" s="293"/>
      <c r="GX43" s="293"/>
      <c r="GY43" s="293"/>
      <c r="GZ43" s="293"/>
      <c r="HA43" s="293"/>
      <c r="HB43" s="293"/>
      <c r="HC43" s="293"/>
      <c r="HD43" s="293"/>
      <c r="HE43" s="293"/>
      <c r="HF43" s="293"/>
      <c r="HG43" s="293"/>
      <c r="HH43" s="293"/>
      <c r="HI43" s="293"/>
      <c r="HJ43" s="293"/>
      <c r="HK43" s="293"/>
      <c r="HL43" s="293"/>
      <c r="HM43" s="293"/>
      <c r="HN43" s="293"/>
      <c r="HO43" s="293"/>
      <c r="HP43" s="293"/>
      <c r="HQ43" s="293"/>
      <c r="HR43" s="293"/>
      <c r="HS43" s="293"/>
      <c r="HT43" s="293"/>
      <c r="HU43" s="293"/>
      <c r="HV43" s="293"/>
      <c r="HW43" s="293"/>
      <c r="HX43" s="293"/>
      <c r="HY43" s="293"/>
      <c r="IH43" s="279">
        <f t="shared" si="11"/>
        <v>0.35043594856550514</v>
      </c>
      <c r="II43" s="279">
        <f t="shared" si="12"/>
        <v>0.37230163262869787</v>
      </c>
      <c r="IJ43" s="279">
        <f t="shared" si="13"/>
        <v>0.72273758119420295</v>
      </c>
      <c r="IK43" s="279">
        <f t="shared" si="14"/>
        <v>0.38045050934573543</v>
      </c>
      <c r="KT43" s="280"/>
    </row>
    <row r="44" spans="1:306" outlineLevel="1">
      <c r="B44" s="96" t="s">
        <v>338</v>
      </c>
      <c r="D44" s="296" t="s">
        <v>359</v>
      </c>
      <c r="E44" s="293"/>
      <c r="F44" s="293"/>
      <c r="G44" s="293"/>
      <c r="H44" s="293"/>
      <c r="I44" s="293"/>
      <c r="J44" s="293"/>
      <c r="K44" s="293"/>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v>0</v>
      </c>
      <c r="AP44" s="293">
        <v>0</v>
      </c>
      <c r="AQ44" s="293">
        <v>0</v>
      </c>
      <c r="AR44" s="293">
        <v>0</v>
      </c>
      <c r="AS44" s="293">
        <v>0</v>
      </c>
      <c r="AT44" s="293">
        <v>0</v>
      </c>
      <c r="AU44" s="293">
        <v>0</v>
      </c>
      <c r="AV44" s="293">
        <v>0</v>
      </c>
      <c r="AW44" s="293">
        <v>0</v>
      </c>
      <c r="AX44" s="293">
        <v>0</v>
      </c>
      <c r="AY44" s="293">
        <v>0</v>
      </c>
      <c r="AZ44" s="293">
        <v>0</v>
      </c>
      <c r="BA44" s="293">
        <v>0</v>
      </c>
      <c r="BB44" s="293">
        <v>0</v>
      </c>
      <c r="BC44" s="293">
        <v>1.7466562000000001E-2</v>
      </c>
      <c r="BD44" s="293">
        <v>1.8254776E-2</v>
      </c>
      <c r="BE44" s="293">
        <v>0</v>
      </c>
      <c r="BF44" s="293">
        <v>0.26779142900000003</v>
      </c>
      <c r="BG44" s="293">
        <v>0</v>
      </c>
      <c r="BH44" s="293">
        <v>0</v>
      </c>
      <c r="BI44" s="293">
        <v>1.7441808E-2</v>
      </c>
      <c r="BJ44" s="293">
        <v>1.8258893000000002E-2</v>
      </c>
      <c r="BK44" s="293">
        <v>0.26964776252850003</v>
      </c>
      <c r="BL44" s="293">
        <v>0</v>
      </c>
      <c r="BM44" s="293">
        <v>0</v>
      </c>
      <c r="BN44" s="293">
        <v>0</v>
      </c>
      <c r="BO44" s="293">
        <v>1.7639549926200003E-2</v>
      </c>
      <c r="BP44" s="293">
        <v>1.8448437000000002E-2</v>
      </c>
      <c r="BQ44" s="293">
        <v>0.272592373</v>
      </c>
      <c r="BR44" s="293">
        <v>0</v>
      </c>
      <c r="BS44" s="293">
        <v>0</v>
      </c>
      <c r="BT44" s="293">
        <v>0</v>
      </c>
      <c r="BU44" s="293">
        <v>0</v>
      </c>
      <c r="BV44" s="293">
        <v>1.9026319E-2</v>
      </c>
      <c r="BW44" s="293">
        <v>0.281766087</v>
      </c>
      <c r="BX44" s="293">
        <v>0</v>
      </c>
      <c r="BY44" s="293">
        <v>0</v>
      </c>
      <c r="BZ44" s="293">
        <v>1.8452545717707779E-2</v>
      </c>
      <c r="CA44" s="293">
        <v>0</v>
      </c>
      <c r="CB44" s="293">
        <v>1.9386222452999997E-2</v>
      </c>
      <c r="CC44" s="293">
        <v>0.28681091873998232</v>
      </c>
      <c r="CD44" s="293">
        <v>0</v>
      </c>
      <c r="CE44" s="294">
        <v>0</v>
      </c>
      <c r="CF44" s="293">
        <v>0</v>
      </c>
      <c r="CG44" s="293">
        <v>0</v>
      </c>
      <c r="CH44" s="293">
        <v>3.9384361394723517E-2</v>
      </c>
      <c r="CI44" s="293">
        <v>0</v>
      </c>
      <c r="CJ44" s="293">
        <v>0.41481871378064999</v>
      </c>
      <c r="CK44" s="293">
        <v>0</v>
      </c>
      <c r="CL44" s="293">
        <v>1.9680527660775781E-2</v>
      </c>
      <c r="CM44" s="293">
        <v>0</v>
      </c>
      <c r="CN44" s="293">
        <v>2.064228215462028E-2</v>
      </c>
      <c r="CO44" s="293">
        <v>0.30535728714149518</v>
      </c>
      <c r="CP44" s="295">
        <v>0</v>
      </c>
      <c r="CQ44" s="293">
        <v>0</v>
      </c>
      <c r="CR44" s="293">
        <v>0</v>
      </c>
      <c r="CS44" s="293">
        <v>1.99600163082954E-2</v>
      </c>
      <c r="CT44" s="293">
        <v>2.09550084522525E-2</v>
      </c>
      <c r="CU44" s="293">
        <v>0.30980787968025958</v>
      </c>
      <c r="CV44" s="293">
        <v>0</v>
      </c>
      <c r="CW44" s="293">
        <v>0</v>
      </c>
      <c r="CX44" s="293">
        <v>0</v>
      </c>
      <c r="CY44" s="293">
        <v>2.0595290408447459E-2</v>
      </c>
      <c r="CZ44" s="293">
        <v>2.1596167303579439E-2</v>
      </c>
      <c r="DA44" s="293">
        <v>0.32012953412150663</v>
      </c>
      <c r="DB44" s="1288">
        <v>0</v>
      </c>
      <c r="DC44" s="293">
        <v>0</v>
      </c>
      <c r="DD44" s="293">
        <v>0</v>
      </c>
      <c r="DE44" s="293">
        <v>2.1178250999999999E-2</v>
      </c>
      <c r="DF44" s="293">
        <v>2.2369699640000001E-2</v>
      </c>
      <c r="DG44" s="293">
        <v>0</v>
      </c>
      <c r="DH44" s="293">
        <v>0.33265251429260612</v>
      </c>
      <c r="DI44" s="293">
        <v>0</v>
      </c>
      <c r="DJ44" s="293">
        <v>0</v>
      </c>
      <c r="DK44" s="293">
        <v>2.2233530490567602E-2</v>
      </c>
      <c r="DL44" s="293">
        <v>0</v>
      </c>
      <c r="DM44" s="293">
        <v>0.34866215761874608</v>
      </c>
      <c r="DN44" s="295">
        <v>0</v>
      </c>
      <c r="DO44" s="293">
        <v>0</v>
      </c>
      <c r="DP44" s="293">
        <v>0</v>
      </c>
      <c r="DQ44" s="293">
        <v>2.35441998265392E-2</v>
      </c>
      <c r="DR44" s="293">
        <v>2.4726341478666061E-2</v>
      </c>
      <c r="DS44" s="293">
        <v>0</v>
      </c>
      <c r="DT44" s="293">
        <v>0.36629289770758677</v>
      </c>
      <c r="DU44" s="293">
        <v>0</v>
      </c>
      <c r="DV44" s="293">
        <v>2.4018772855204679E-2</v>
      </c>
      <c r="DW44" s="293">
        <v>0</v>
      </c>
      <c r="DX44" s="293">
        <v>0</v>
      </c>
      <c r="DY44" s="293">
        <v>0.396311324555295</v>
      </c>
      <c r="DZ44" s="295">
        <v>0</v>
      </c>
      <c r="EA44" s="293">
        <v>0</v>
      </c>
      <c r="EB44" s="293">
        <v>0</v>
      </c>
      <c r="EC44" s="293">
        <v>2.4336112362182759E-2</v>
      </c>
      <c r="ED44" s="293">
        <v>2.5538059601863561E-2</v>
      </c>
      <c r="EE44" s="293">
        <v>0.37798751277899201</v>
      </c>
      <c r="EF44" s="293">
        <v>0.36629289770758677</v>
      </c>
      <c r="EG44" s="293">
        <v>0</v>
      </c>
      <c r="EH44" s="293">
        <v>2.477976963098814E-2</v>
      </c>
      <c r="EI44" s="293">
        <v>0</v>
      </c>
      <c r="EJ44" s="293">
        <v>2.5980460060087984E-2</v>
      </c>
      <c r="EK44" s="293">
        <v>0</v>
      </c>
      <c r="EL44" s="295">
        <v>0.38434619470992687</v>
      </c>
      <c r="EM44" s="1080">
        <v>0</v>
      </c>
      <c r="EN44" s="1080">
        <v>2.5222648019573402E-2</v>
      </c>
      <c r="EO44" s="1080">
        <v>0</v>
      </c>
      <c r="EP44" s="1080">
        <v>2.651844083988834E-2</v>
      </c>
      <c r="EQ44" s="1080">
        <v>0.39291001621925914</v>
      </c>
      <c r="ER44" s="1080">
        <v>0</v>
      </c>
      <c r="ES44" s="1080">
        <v>0</v>
      </c>
      <c r="ET44" s="1080">
        <v>0</v>
      </c>
      <c r="EU44" s="1080">
        <v>2.5822745611982698E-2</v>
      </c>
      <c r="EV44" s="1080">
        <v>0</v>
      </c>
      <c r="EW44" s="1080">
        <v>0.42794734935121875</v>
      </c>
      <c r="EX44" s="1340">
        <v>0</v>
      </c>
      <c r="EY44" s="1080"/>
      <c r="EZ44" s="1080"/>
      <c r="FA44" s="1080"/>
      <c r="FB44" s="1080"/>
      <c r="FC44" s="1080"/>
      <c r="FD44" s="1080"/>
      <c r="FE44" s="1080"/>
      <c r="FF44" s="1080"/>
      <c r="FG44" s="1080"/>
      <c r="FH44" s="1080"/>
      <c r="FI44" s="1080"/>
      <c r="FJ44" s="1340"/>
      <c r="FK44" s="1080"/>
      <c r="FL44" s="1080"/>
      <c r="FM44" s="1080"/>
      <c r="FN44" s="1080"/>
      <c r="FO44" s="1080"/>
      <c r="FP44" s="1080"/>
      <c r="FQ44" s="293"/>
      <c r="FR44" s="293"/>
      <c r="FS44" s="293"/>
      <c r="FT44" s="293"/>
      <c r="FU44" s="293"/>
      <c r="FV44" s="293"/>
      <c r="FW44" s="293"/>
      <c r="FX44" s="293"/>
      <c r="FY44" s="293"/>
      <c r="FZ44" s="293"/>
      <c r="GA44" s="293"/>
      <c r="GB44" s="293"/>
      <c r="GC44" s="293"/>
      <c r="GD44" s="293"/>
      <c r="GE44" s="293"/>
      <c r="GF44" s="293"/>
      <c r="GG44" s="293"/>
      <c r="GH44" s="293"/>
      <c r="GI44" s="293"/>
      <c r="GJ44" s="293"/>
      <c r="GK44" s="293"/>
      <c r="GL44" s="293"/>
      <c r="GM44" s="293"/>
      <c r="GN44" s="293"/>
      <c r="GO44" s="293"/>
      <c r="GP44" s="293"/>
      <c r="GQ44" s="293"/>
      <c r="GR44" s="293"/>
      <c r="GS44" s="293"/>
      <c r="GT44" s="293"/>
      <c r="GU44" s="293"/>
      <c r="GV44" s="293"/>
      <c r="GW44" s="293"/>
      <c r="GX44" s="293"/>
      <c r="GY44" s="293"/>
      <c r="GZ44" s="293"/>
      <c r="HA44" s="293"/>
      <c r="HB44" s="293"/>
      <c r="HC44" s="293"/>
      <c r="HD44" s="293"/>
      <c r="HE44" s="293"/>
      <c r="HF44" s="293"/>
      <c r="HG44" s="293"/>
      <c r="HH44" s="293"/>
      <c r="HI44" s="293"/>
      <c r="HJ44" s="293"/>
      <c r="HK44" s="293"/>
      <c r="HL44" s="293"/>
      <c r="HM44" s="293"/>
      <c r="HN44" s="293"/>
      <c r="HO44" s="293"/>
      <c r="HP44" s="293"/>
      <c r="HQ44" s="293"/>
      <c r="HR44" s="293"/>
      <c r="HS44" s="293"/>
      <c r="HT44" s="293"/>
      <c r="HU44" s="293"/>
      <c r="HV44" s="293"/>
      <c r="HW44" s="293"/>
      <c r="HX44" s="293"/>
      <c r="HY44" s="293"/>
      <c r="IH44" s="279">
        <f t="shared" si="11"/>
        <v>0.37620046493260612</v>
      </c>
      <c r="II44" s="279">
        <f t="shared" si="12"/>
        <v>0.37089568810931367</v>
      </c>
      <c r="IJ44" s="279">
        <f t="shared" si="13"/>
        <v>0.74709615304191979</v>
      </c>
      <c r="IK44" s="279">
        <f t="shared" si="14"/>
        <v>0.41456343901279202</v>
      </c>
      <c r="KT44" s="280"/>
    </row>
    <row r="45" spans="1:306" outlineLevel="1">
      <c r="B45" s="96" t="s">
        <v>338</v>
      </c>
      <c r="D45" s="296" t="s">
        <v>360</v>
      </c>
      <c r="E45" s="293"/>
      <c r="F45" s="293"/>
      <c r="G45" s="293"/>
      <c r="H45" s="293"/>
      <c r="I45" s="293"/>
      <c r="J45" s="293"/>
      <c r="K45" s="293"/>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v>0.15309178880000002</v>
      </c>
      <c r="AP45" s="293">
        <v>0</v>
      </c>
      <c r="AQ45" s="293">
        <v>0</v>
      </c>
      <c r="AR45" s="293">
        <v>0.10873878299999999</v>
      </c>
      <c r="AS45" s="293">
        <v>0</v>
      </c>
      <c r="AT45" s="293">
        <v>0.26711014489999996</v>
      </c>
      <c r="AU45" s="293">
        <v>0.157926330738</v>
      </c>
      <c r="AV45" s="293">
        <v>0</v>
      </c>
      <c r="AW45" s="293">
        <v>0</v>
      </c>
      <c r="AX45" s="293">
        <v>0.11074968984599999</v>
      </c>
      <c r="AY45" s="293">
        <v>0.30861558625800001</v>
      </c>
      <c r="AZ45" s="293">
        <v>0.3679123473</v>
      </c>
      <c r="BA45" s="293">
        <v>0.120254</v>
      </c>
      <c r="BB45" s="293">
        <v>5.3432652999999997E-2</v>
      </c>
      <c r="BC45" s="293">
        <v>0</v>
      </c>
      <c r="BD45" s="293">
        <v>0.1131570252</v>
      </c>
      <c r="BE45" s="293">
        <v>0.20119648821</v>
      </c>
      <c r="BF45" s="293">
        <v>0.37225507680000003</v>
      </c>
      <c r="BG45" s="293">
        <v>0.121044</v>
      </c>
      <c r="BH45" s="293">
        <v>5.3311777999999997E-2</v>
      </c>
      <c r="BI45" s="293">
        <v>0.1411389837</v>
      </c>
      <c r="BJ45" s="293">
        <v>0.1131327594</v>
      </c>
      <c r="BK45" s="293">
        <v>0.20213464529999997</v>
      </c>
      <c r="BL45" s="293">
        <v>0.37455271950000002</v>
      </c>
      <c r="BM45" s="293">
        <v>0.121846</v>
      </c>
      <c r="BN45" s="293">
        <v>5.3884707899999995E-2</v>
      </c>
      <c r="BO45" s="293">
        <v>0.1427839602</v>
      </c>
      <c r="BP45" s="293">
        <v>0.114207921</v>
      </c>
      <c r="BQ45" s="293">
        <v>0.20443462229999998</v>
      </c>
      <c r="BR45" s="293">
        <v>0.3782979387</v>
      </c>
      <c r="BS45" s="293">
        <v>0.12359199999999999</v>
      </c>
      <c r="BT45" s="293">
        <v>5.4573784199999996E-2</v>
      </c>
      <c r="BU45" s="293">
        <v>0.1449259296</v>
      </c>
      <c r="BV45" s="293">
        <v>0.11756966760000001</v>
      </c>
      <c r="BW45" s="293">
        <v>0.21117455489999998</v>
      </c>
      <c r="BX45" s="293">
        <v>0.39183739889999997</v>
      </c>
      <c r="BY45" s="293">
        <v>0.12721605159999999</v>
      </c>
      <c r="BZ45" s="293">
        <v>5.6313352907850008E-2</v>
      </c>
      <c r="CA45" s="293">
        <v>0.14937180035332001</v>
      </c>
      <c r="CB45" s="293">
        <v>0.11984106220920002</v>
      </c>
      <c r="CC45" s="293">
        <v>0.21506893095585</v>
      </c>
      <c r="CD45" s="293">
        <v>0.39827438475378002</v>
      </c>
      <c r="CE45" s="294">
        <v>0.12999125019999999</v>
      </c>
      <c r="CF45" s="293">
        <v>5.7802841886090001E-2</v>
      </c>
      <c r="CG45" s="293">
        <v>0.15353037631090999</v>
      </c>
      <c r="CH45" s="293">
        <v>0.12472718244533999</v>
      </c>
      <c r="CI45" s="293">
        <v>0.22352486072903999</v>
      </c>
      <c r="CJ45" s="293">
        <v>0</v>
      </c>
      <c r="CK45" s="293">
        <v>0.13558645320000001</v>
      </c>
      <c r="CL45" s="293">
        <v>6.009280177437E-2</v>
      </c>
      <c r="CM45" s="293">
        <v>0.15920415692241</v>
      </c>
      <c r="CN45" s="293">
        <v>0.23301923721449999</v>
      </c>
      <c r="CO45" s="293">
        <v>0.22910481059565002</v>
      </c>
      <c r="CP45" s="295">
        <v>0.42385016327582997</v>
      </c>
      <c r="CQ45" s="293">
        <v>0.1380660856</v>
      </c>
      <c r="CR45" s="293">
        <v>6.0969217274520003E-2</v>
      </c>
      <c r="CS45" s="293">
        <v>0.16149602964756998</v>
      </c>
      <c r="CT45" s="293">
        <v>0.46889238823649998</v>
      </c>
      <c r="CU45" s="293">
        <v>0.23225828539392002</v>
      </c>
      <c r="CV45" s="293">
        <v>0.39389161607804996</v>
      </c>
      <c r="CW45" s="293">
        <v>0.14065986699999999</v>
      </c>
      <c r="CX45" s="293">
        <v>6.2578929509520001E-2</v>
      </c>
      <c r="CY45" s="293">
        <v>0.16647729755224999</v>
      </c>
      <c r="CZ45" s="293">
        <v>0.48279143113073997</v>
      </c>
      <c r="DA45" s="293">
        <v>0.23995261144989002</v>
      </c>
      <c r="DB45" s="1288">
        <v>0.64885601643267998</v>
      </c>
      <c r="DC45" s="293">
        <v>0.145607612</v>
      </c>
      <c r="DD45" s="293">
        <v>6.4572227999999995E-2</v>
      </c>
      <c r="DE45" s="293">
        <v>0.17154840199999999</v>
      </c>
      <c r="DF45" s="293">
        <v>0.4989128336559609</v>
      </c>
      <c r="DG45" s="293">
        <v>0.24865094513235</v>
      </c>
      <c r="DH45" s="293">
        <v>0.67380925105438005</v>
      </c>
      <c r="DI45" s="293">
        <v>0.1498114946997908</v>
      </c>
      <c r="DJ45" s="293">
        <v>6.7602385731119985E-2</v>
      </c>
      <c r="DK45" s="293">
        <v>0</v>
      </c>
      <c r="DL45" s="293">
        <v>0.52407597639556003</v>
      </c>
      <c r="DM45" s="293">
        <v>0.26122263574752003</v>
      </c>
      <c r="DN45" s="295">
        <v>0.70787097492972006</v>
      </c>
      <c r="DO45" s="293">
        <v>0.15856867199999999</v>
      </c>
      <c r="DP45" s="293">
        <v>4.1748899393125004E-2</v>
      </c>
      <c r="DQ45" s="293">
        <v>0.19057520882479001</v>
      </c>
      <c r="DR45" s="293">
        <v>0.55172185797812001</v>
      </c>
      <c r="DS45" s="293">
        <v>0.27432378973466998</v>
      </c>
      <c r="DT45" s="293">
        <v>0.74146253866524003</v>
      </c>
      <c r="DU45" s="293">
        <v>0.16567204059999999</v>
      </c>
      <c r="DV45" s="293">
        <v>6.5292925601400001E-2</v>
      </c>
      <c r="DW45" s="293">
        <v>0.4719301529819</v>
      </c>
      <c r="DX45" s="293">
        <v>0.56220112448027992</v>
      </c>
      <c r="DY45" s="293">
        <v>0.27856843495446004</v>
      </c>
      <c r="DZ45" s="295">
        <v>0.75116828743375996</v>
      </c>
      <c r="EA45" s="293">
        <v>0.167783187</v>
      </c>
      <c r="EB45" s="293">
        <v>6.6174184399799996E-2</v>
      </c>
      <c r="EC45" s="293">
        <v>0.47835246945768001</v>
      </c>
      <c r="ED45" s="293">
        <v>0.56562497309695992</v>
      </c>
      <c r="EE45" s="293">
        <v>0.28337512022046002</v>
      </c>
      <c r="EF45" s="293">
        <v>0.76470340438170004</v>
      </c>
      <c r="EG45" s="293">
        <v>0.1707834168</v>
      </c>
      <c r="EH45" s="293">
        <v>0.41023581879999999</v>
      </c>
      <c r="EI45" s="293">
        <v>0.48722399641888003</v>
      </c>
      <c r="EJ45" s="293">
        <v>0.57547487752384008</v>
      </c>
      <c r="EK45" s="293">
        <v>0.28809515001968999</v>
      </c>
      <c r="EL45" s="295">
        <v>0.77760481662037995</v>
      </c>
      <c r="EM45" s="1080">
        <v>0.17374228859999999</v>
      </c>
      <c r="EN45" s="1080">
        <v>0.41776273324120006</v>
      </c>
      <c r="EO45" s="1080">
        <v>0.49619299003340006</v>
      </c>
      <c r="EP45" s="1080">
        <v>0.58720861751103992</v>
      </c>
      <c r="EQ45" s="1080">
        <v>0.29451386516522998</v>
      </c>
      <c r="ER45" s="1080">
        <v>0.79537668674226014</v>
      </c>
      <c r="ES45" s="1080">
        <v>0.1777145802</v>
      </c>
      <c r="ET45" s="1080">
        <v>0.78428416141799995</v>
      </c>
      <c r="EU45" s="1080">
        <v>0.50773785850982001</v>
      </c>
      <c r="EV45" s="1080">
        <v>0.60016188983744001</v>
      </c>
      <c r="EW45" s="1080">
        <v>0.30059408769573004</v>
      </c>
      <c r="EX45" s="1340">
        <v>0.81141823849212003</v>
      </c>
      <c r="EY45" s="1080"/>
      <c r="EZ45" s="1080"/>
      <c r="FA45" s="1080"/>
      <c r="FB45" s="1080"/>
      <c r="FC45" s="1080"/>
      <c r="FD45" s="1080"/>
      <c r="FE45" s="1080"/>
      <c r="FF45" s="1080"/>
      <c r="FG45" s="1080"/>
      <c r="FH45" s="1080"/>
      <c r="FI45" s="1080"/>
      <c r="FJ45" s="1340"/>
      <c r="FK45" s="1080"/>
      <c r="FL45" s="1080"/>
      <c r="FM45" s="1080"/>
      <c r="FN45" s="1080"/>
      <c r="FO45" s="1080"/>
      <c r="FP45" s="1080"/>
      <c r="FQ45" s="293"/>
      <c r="FR45" s="293"/>
      <c r="FS45" s="293"/>
      <c r="FT45" s="293"/>
      <c r="FU45" s="293"/>
      <c r="FV45" s="293"/>
      <c r="FW45" s="293"/>
      <c r="FX45" s="293"/>
      <c r="FY45" s="293"/>
      <c r="FZ45" s="293"/>
      <c r="GA45" s="293"/>
      <c r="GB45" s="293"/>
      <c r="GC45" s="293"/>
      <c r="GD45" s="293"/>
      <c r="GE45" s="293"/>
      <c r="GF45" s="293"/>
      <c r="GG45" s="293"/>
      <c r="GH45" s="293"/>
      <c r="GI45" s="293"/>
      <c r="GJ45" s="293"/>
      <c r="GK45" s="293"/>
      <c r="GL45" s="293"/>
      <c r="GM45" s="293"/>
      <c r="GN45" s="293"/>
      <c r="GO45" s="293"/>
      <c r="GP45" s="293"/>
      <c r="GQ45" s="293"/>
      <c r="GR45" s="293"/>
      <c r="GS45" s="293"/>
      <c r="GT45" s="293"/>
      <c r="GU45" s="293"/>
      <c r="GV45" s="293"/>
      <c r="GW45" s="293"/>
      <c r="GX45" s="293"/>
      <c r="GY45" s="293"/>
      <c r="GZ45" s="293"/>
      <c r="HA45" s="293"/>
      <c r="HB45" s="293"/>
      <c r="HC45" s="293"/>
      <c r="HD45" s="293"/>
      <c r="HE45" s="293"/>
      <c r="HF45" s="293"/>
      <c r="HG45" s="293"/>
      <c r="HH45" s="293"/>
      <c r="HI45" s="293"/>
      <c r="HJ45" s="293"/>
      <c r="HK45" s="293"/>
      <c r="HL45" s="293"/>
      <c r="HM45" s="293"/>
      <c r="HN45" s="293"/>
      <c r="HO45" s="293"/>
      <c r="HP45" s="293"/>
      <c r="HQ45" s="293"/>
      <c r="HR45" s="293"/>
      <c r="HS45" s="293"/>
      <c r="HT45" s="293"/>
      <c r="HU45" s="293"/>
      <c r="HV45" s="293"/>
      <c r="HW45" s="293"/>
      <c r="HX45" s="293"/>
      <c r="HY45" s="293"/>
      <c r="IH45" s="279">
        <f t="shared" si="11"/>
        <v>1.8031012718426909</v>
      </c>
      <c r="II45" s="279">
        <f t="shared" si="12"/>
        <v>1.7105834675037108</v>
      </c>
      <c r="IJ45" s="279">
        <f t="shared" si="13"/>
        <v>3.5136847393464015</v>
      </c>
      <c r="IK45" s="279">
        <f t="shared" si="14"/>
        <v>1.958400966595945</v>
      </c>
      <c r="KT45" s="280"/>
    </row>
    <row r="46" spans="1:306" outlineLevel="1">
      <c r="B46" s="96" t="s">
        <v>338</v>
      </c>
      <c r="D46" s="296" t="s">
        <v>361</v>
      </c>
      <c r="E46" s="293"/>
      <c r="F46" s="293"/>
      <c r="G46" s="293"/>
      <c r="H46" s="293"/>
      <c r="I46" s="293"/>
      <c r="J46" s="293"/>
      <c r="K46" s="293"/>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v>7.3052160000000005E-2</v>
      </c>
      <c r="AP46" s="293">
        <v>0</v>
      </c>
      <c r="AQ46" s="293">
        <v>0</v>
      </c>
      <c r="AR46" s="293">
        <v>0</v>
      </c>
      <c r="AS46" s="293">
        <v>0</v>
      </c>
      <c r="AT46" s="293">
        <v>0</v>
      </c>
      <c r="AU46" s="293">
        <v>7.4320344630180002E-2</v>
      </c>
      <c r="AV46" s="293">
        <v>0</v>
      </c>
      <c r="AW46" s="293">
        <v>0</v>
      </c>
      <c r="AX46" s="293">
        <v>0</v>
      </c>
      <c r="AY46" s="293">
        <v>0</v>
      </c>
      <c r="AZ46" s="293">
        <v>0.1456328689794</v>
      </c>
      <c r="BA46" s="293">
        <v>7.6100304885600004E-2</v>
      </c>
      <c r="BB46" s="293">
        <v>0</v>
      </c>
      <c r="BC46" s="293">
        <v>0</v>
      </c>
      <c r="BD46" s="293">
        <v>0</v>
      </c>
      <c r="BE46" s="293">
        <v>0</v>
      </c>
      <c r="BF46" s="293">
        <v>0.15050160106382979</v>
      </c>
      <c r="BG46" s="293">
        <v>7.6758035200000005E-2</v>
      </c>
      <c r="BH46" s="293">
        <v>0</v>
      </c>
      <c r="BI46" s="293">
        <v>0</v>
      </c>
      <c r="BJ46" s="293">
        <v>0</v>
      </c>
      <c r="BK46" s="293">
        <v>0.15193431546389005</v>
      </c>
      <c r="BL46" s="293">
        <v>0</v>
      </c>
      <c r="BM46" s="293">
        <v>7.7541823999999995E-2</v>
      </c>
      <c r="BN46" s="293">
        <v>0</v>
      </c>
      <c r="BO46" s="293">
        <v>0</v>
      </c>
      <c r="BP46" s="293">
        <v>0</v>
      </c>
      <c r="BQ46" s="293">
        <v>0.31502321144674089</v>
      </c>
      <c r="BR46" s="293">
        <v>0</v>
      </c>
      <c r="BS46" s="293">
        <v>7.7714464211999998E-2</v>
      </c>
      <c r="BT46" s="293">
        <v>0</v>
      </c>
      <c r="BU46" s="293">
        <v>0</v>
      </c>
      <c r="BV46" s="293">
        <v>0</v>
      </c>
      <c r="BW46" s="293">
        <v>0.33047662343400003</v>
      </c>
      <c r="BX46" s="293">
        <v>0</v>
      </c>
      <c r="BY46" s="293">
        <v>8.0271712915744683E-2</v>
      </c>
      <c r="BZ46" s="293">
        <v>0</v>
      </c>
      <c r="CA46" s="293">
        <v>0</v>
      </c>
      <c r="CB46" s="293">
        <v>0</v>
      </c>
      <c r="CC46" s="293">
        <v>0.32949035504092899</v>
      </c>
      <c r="CD46" s="293">
        <v>0</v>
      </c>
      <c r="CE46" s="294">
        <v>8.1727835575263572E-2</v>
      </c>
      <c r="CF46" s="293">
        <v>0</v>
      </c>
      <c r="CG46" s="293">
        <v>0</v>
      </c>
      <c r="CH46" s="293">
        <v>0</v>
      </c>
      <c r="CI46" s="293">
        <v>0</v>
      </c>
      <c r="CJ46" s="293">
        <v>0</v>
      </c>
      <c r="CK46" s="293">
        <v>8.5103308360285637E-2</v>
      </c>
      <c r="CL46" s="293">
        <v>0</v>
      </c>
      <c r="CM46" s="293">
        <v>0</v>
      </c>
      <c r="CN46" s="293">
        <v>0</v>
      </c>
      <c r="CO46" s="293">
        <v>0.36099897195466296</v>
      </c>
      <c r="CP46" s="295">
        <v>0</v>
      </c>
      <c r="CQ46" s="293">
        <v>8.7530559870851898E-2</v>
      </c>
      <c r="CR46" s="293">
        <v>0</v>
      </c>
      <c r="CS46" s="293">
        <v>0</v>
      </c>
      <c r="CT46" s="293">
        <v>0</v>
      </c>
      <c r="CU46" s="293">
        <v>0.36340432659169702</v>
      </c>
      <c r="CV46" s="293">
        <v>0</v>
      </c>
      <c r="CW46" s="293">
        <v>8.91246376747927E-2</v>
      </c>
      <c r="CX46" s="293">
        <v>0</v>
      </c>
      <c r="CY46" s="293">
        <v>0</v>
      </c>
      <c r="CZ46" s="293">
        <v>0</v>
      </c>
      <c r="DA46" s="293">
        <v>0.37578218809629454</v>
      </c>
      <c r="DB46" s="1288">
        <v>0</v>
      </c>
      <c r="DC46" s="293">
        <v>9.2511592000000004E-2</v>
      </c>
      <c r="DD46" s="293">
        <v>0</v>
      </c>
      <c r="DE46" s="293">
        <v>0</v>
      </c>
      <c r="DF46" s="293">
        <v>0</v>
      </c>
      <c r="DG46" s="293">
        <v>0</v>
      </c>
      <c r="DH46" s="293">
        <v>0.39026967554600583</v>
      </c>
      <c r="DI46" s="293">
        <v>9.6120381091639978E-2</v>
      </c>
      <c r="DJ46" s="293">
        <v>0</v>
      </c>
      <c r="DK46" s="293">
        <v>0</v>
      </c>
      <c r="DL46" s="293">
        <v>0</v>
      </c>
      <c r="DM46" s="293">
        <v>0.40924434552112848</v>
      </c>
      <c r="DN46" s="295">
        <v>0</v>
      </c>
      <c r="DO46" s="293">
        <v>0.1007972288503664</v>
      </c>
      <c r="DP46" s="293">
        <v>0</v>
      </c>
      <c r="DQ46" s="293">
        <v>0</v>
      </c>
      <c r="DR46" s="293">
        <v>0</v>
      </c>
      <c r="DS46" s="293">
        <v>0.42976864120977398</v>
      </c>
      <c r="DT46" s="293">
        <v>0</v>
      </c>
      <c r="DU46" s="293">
        <v>0.10492423199260768</v>
      </c>
      <c r="DV46" s="293">
        <v>0</v>
      </c>
      <c r="DW46" s="293">
        <v>0</v>
      </c>
      <c r="DX46" s="293">
        <v>0</v>
      </c>
      <c r="DY46" s="293">
        <v>0.43567145231928217</v>
      </c>
      <c r="DZ46" s="295">
        <v>0</v>
      </c>
      <c r="EA46" s="293">
        <v>0.46699000568721843</v>
      </c>
      <c r="EB46" s="293">
        <v>0</v>
      </c>
      <c r="EC46" s="293">
        <v>0</v>
      </c>
      <c r="ED46" s="293">
        <v>0</v>
      </c>
      <c r="EE46" s="293">
        <v>0.44367347200352347</v>
      </c>
      <c r="EF46" s="293">
        <v>0</v>
      </c>
      <c r="EG46" s="293">
        <v>0.4754738484616905</v>
      </c>
      <c r="EH46" s="293">
        <v>0</v>
      </c>
      <c r="EI46" s="293">
        <v>0</v>
      </c>
      <c r="EJ46" s="293">
        <v>0</v>
      </c>
      <c r="EK46" s="293">
        <v>0.45113123986031423</v>
      </c>
      <c r="EL46" s="295">
        <v>0.45113123986031423</v>
      </c>
      <c r="EM46" s="1080">
        <v>0.4839680066575881</v>
      </c>
      <c r="EN46" s="1080">
        <v>0</v>
      </c>
      <c r="EO46" s="1080">
        <v>0</v>
      </c>
      <c r="EP46" s="1080">
        <v>0</v>
      </c>
      <c r="EQ46" s="1080">
        <v>0.46096690757073427</v>
      </c>
      <c r="ER46" s="1080">
        <v>0</v>
      </c>
      <c r="ES46" s="1080">
        <v>0.49456773052517178</v>
      </c>
      <c r="ET46" s="1080">
        <v>0</v>
      </c>
      <c r="EU46" s="1080">
        <v>0</v>
      </c>
      <c r="EV46" s="1080">
        <v>0</v>
      </c>
      <c r="EW46" s="1080">
        <v>1.7641744903939998</v>
      </c>
      <c r="EX46" s="1340">
        <v>0</v>
      </c>
      <c r="EY46" s="1080"/>
      <c r="EZ46" s="1080"/>
      <c r="FA46" s="1080"/>
      <c r="FB46" s="1080"/>
      <c r="FC46" s="1080"/>
      <c r="FD46" s="1080"/>
      <c r="FE46" s="1080"/>
      <c r="FF46" s="1080"/>
      <c r="FG46" s="1080"/>
      <c r="FH46" s="1080"/>
      <c r="FI46" s="1080"/>
      <c r="FJ46" s="1340"/>
      <c r="FK46" s="1080"/>
      <c r="FL46" s="1080"/>
      <c r="FM46" s="1080"/>
      <c r="FN46" s="1080"/>
      <c r="FO46" s="1080"/>
      <c r="FP46" s="1080"/>
      <c r="FQ46" s="293"/>
      <c r="FR46" s="293"/>
      <c r="FS46" s="293"/>
      <c r="FT46" s="293"/>
      <c r="FU46" s="293"/>
      <c r="FV46" s="293"/>
      <c r="FW46" s="293"/>
      <c r="FX46" s="293"/>
      <c r="FY46" s="293"/>
      <c r="FZ46" s="293"/>
      <c r="GA46" s="293"/>
      <c r="GB46" s="293"/>
      <c r="GC46" s="293"/>
      <c r="GD46" s="293"/>
      <c r="GE46" s="293"/>
      <c r="GF46" s="293"/>
      <c r="GG46" s="293"/>
      <c r="GH46" s="293"/>
      <c r="GI46" s="293"/>
      <c r="GJ46" s="293"/>
      <c r="GK46" s="293"/>
      <c r="GL46" s="293"/>
      <c r="GM46" s="293"/>
      <c r="GN46" s="293"/>
      <c r="GO46" s="293"/>
      <c r="GP46" s="293"/>
      <c r="GQ46" s="293"/>
      <c r="GR46" s="293"/>
      <c r="GS46" s="293"/>
      <c r="GT46" s="293"/>
      <c r="GU46" s="293"/>
      <c r="GV46" s="293"/>
      <c r="GW46" s="293"/>
      <c r="GX46" s="293"/>
      <c r="GY46" s="293"/>
      <c r="GZ46" s="293"/>
      <c r="HA46" s="293"/>
      <c r="HB46" s="293"/>
      <c r="HC46" s="293"/>
      <c r="HD46" s="293"/>
      <c r="HE46" s="293"/>
      <c r="HF46" s="293"/>
      <c r="HG46" s="293"/>
      <c r="HH46" s="293"/>
      <c r="HI46" s="293"/>
      <c r="HJ46" s="293"/>
      <c r="HK46" s="293"/>
      <c r="HL46" s="293"/>
      <c r="HM46" s="293"/>
      <c r="HN46" s="293"/>
      <c r="HO46" s="293"/>
      <c r="HP46" s="293"/>
      <c r="HQ46" s="293"/>
      <c r="HR46" s="293"/>
      <c r="HS46" s="293"/>
      <c r="HT46" s="293"/>
      <c r="HU46" s="293"/>
      <c r="HV46" s="293"/>
      <c r="HW46" s="293"/>
      <c r="HX46" s="293"/>
      <c r="HY46" s="293"/>
      <c r="IH46" s="279">
        <f t="shared" si="11"/>
        <v>0.48278126754600581</v>
      </c>
      <c r="II46" s="279">
        <f t="shared" si="12"/>
        <v>0.50536472661276843</v>
      </c>
      <c r="IJ46" s="279">
        <f t="shared" si="13"/>
        <v>0.98814599415877424</v>
      </c>
      <c r="IK46" s="279">
        <f t="shared" si="14"/>
        <v>0.53056587006014033</v>
      </c>
      <c r="KT46" s="280"/>
    </row>
    <row r="47" spans="1:306" outlineLevel="1">
      <c r="B47" s="96" t="s">
        <v>338</v>
      </c>
      <c r="D47" s="296" t="s">
        <v>362</v>
      </c>
      <c r="E47" s="293"/>
      <c r="F47" s="293"/>
      <c r="G47" s="293"/>
      <c r="H47" s="293"/>
      <c r="I47" s="293"/>
      <c r="J47" s="293"/>
      <c r="K47" s="293"/>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v>0</v>
      </c>
      <c r="AP47" s="293">
        <v>0</v>
      </c>
      <c r="AQ47" s="293">
        <v>0</v>
      </c>
      <c r="AR47" s="293">
        <v>0</v>
      </c>
      <c r="AS47" s="293">
        <v>0</v>
      </c>
      <c r="AT47" s="293">
        <v>0</v>
      </c>
      <c r="AU47" s="293">
        <v>0</v>
      </c>
      <c r="AV47" s="293">
        <v>0</v>
      </c>
      <c r="AW47" s="293">
        <v>0</v>
      </c>
      <c r="AX47" s="293">
        <v>0</v>
      </c>
      <c r="AY47" s="293">
        <v>0</v>
      </c>
      <c r="AZ47" s="293">
        <v>0</v>
      </c>
      <c r="BA47" s="293">
        <v>0</v>
      </c>
      <c r="BB47" s="293">
        <v>0</v>
      </c>
      <c r="BC47" s="293">
        <v>0</v>
      </c>
      <c r="BD47" s="293">
        <v>0</v>
      </c>
      <c r="BE47" s="293">
        <v>0</v>
      </c>
      <c r="BF47" s="293">
        <v>0</v>
      </c>
      <c r="BG47" s="293">
        <v>0</v>
      </c>
      <c r="BH47" s="293">
        <v>0</v>
      </c>
      <c r="BI47" s="293">
        <v>0</v>
      </c>
      <c r="BJ47" s="293">
        <v>0</v>
      </c>
      <c r="BK47" s="293">
        <v>0</v>
      </c>
      <c r="BL47" s="293">
        <v>0</v>
      </c>
      <c r="BM47" s="293">
        <v>0</v>
      </c>
      <c r="BN47" s="293">
        <v>0</v>
      </c>
      <c r="BO47" s="293">
        <v>0</v>
      </c>
      <c r="BP47" s="293">
        <v>0</v>
      </c>
      <c r="BQ47" s="293">
        <v>0</v>
      </c>
      <c r="BR47" s="293">
        <v>0</v>
      </c>
      <c r="BS47" s="293">
        <v>0</v>
      </c>
      <c r="BT47" s="293">
        <v>0</v>
      </c>
      <c r="BU47" s="293">
        <v>0</v>
      </c>
      <c r="BV47" s="293">
        <v>0</v>
      </c>
      <c r="BW47" s="293">
        <v>0</v>
      </c>
      <c r="BX47" s="293">
        <v>0</v>
      </c>
      <c r="BY47" s="293">
        <v>0</v>
      </c>
      <c r="BZ47" s="293">
        <v>0</v>
      </c>
      <c r="CA47" s="293">
        <v>0</v>
      </c>
      <c r="CB47" s="293">
        <v>0</v>
      </c>
      <c r="CC47" s="293">
        <v>0</v>
      </c>
      <c r="CD47" s="293">
        <v>0</v>
      </c>
      <c r="CE47" s="294">
        <v>0</v>
      </c>
      <c r="CF47" s="293">
        <v>0</v>
      </c>
      <c r="CG47" s="293">
        <v>0</v>
      </c>
      <c r="CH47" s="293">
        <v>0</v>
      </c>
      <c r="CI47" s="293">
        <v>0.17559413776706254</v>
      </c>
      <c r="CJ47" s="293">
        <v>0</v>
      </c>
      <c r="CK47" s="293">
        <v>0</v>
      </c>
      <c r="CL47" s="293">
        <v>0</v>
      </c>
      <c r="CM47" s="293">
        <v>0</v>
      </c>
      <c r="CN47" s="293">
        <v>0</v>
      </c>
      <c r="CO47" s="293">
        <v>0.18246339475304479</v>
      </c>
      <c r="CP47" s="295">
        <v>0</v>
      </c>
      <c r="CQ47" s="293">
        <v>0</v>
      </c>
      <c r="CR47" s="293">
        <v>0</v>
      </c>
      <c r="CS47" s="293">
        <v>0</v>
      </c>
      <c r="CT47" s="293">
        <v>0</v>
      </c>
      <c r="CU47" s="293">
        <v>0.17916075114909696</v>
      </c>
      <c r="CV47" s="293">
        <v>0</v>
      </c>
      <c r="CW47" s="293">
        <v>0</v>
      </c>
      <c r="CX47" s="293">
        <v>0</v>
      </c>
      <c r="CY47" s="293">
        <v>0</v>
      </c>
      <c r="CZ47" s="293">
        <v>0</v>
      </c>
      <c r="DA47" s="293">
        <v>0.17913511037070431</v>
      </c>
      <c r="DB47" s="1288">
        <v>0</v>
      </c>
      <c r="DC47" s="293">
        <v>0</v>
      </c>
      <c r="DD47" s="293">
        <v>0</v>
      </c>
      <c r="DE47" s="293">
        <v>0</v>
      </c>
      <c r="DF47" s="293">
        <v>0</v>
      </c>
      <c r="DG47" s="293">
        <v>0.18378016410952988</v>
      </c>
      <c r="DH47" s="293">
        <v>0</v>
      </c>
      <c r="DI47" s="293">
        <v>0</v>
      </c>
      <c r="DJ47" s="293">
        <v>0</v>
      </c>
      <c r="DK47" s="293">
        <v>0</v>
      </c>
      <c r="DL47" s="293">
        <v>0</v>
      </c>
      <c r="DM47" s="293">
        <v>0.19462686629059486</v>
      </c>
      <c r="DN47" s="295">
        <v>0</v>
      </c>
      <c r="DO47" s="293">
        <v>0</v>
      </c>
      <c r="DP47" s="293">
        <v>0</v>
      </c>
      <c r="DQ47" s="293">
        <v>0.27760942542202666</v>
      </c>
      <c r="DR47" s="293">
        <v>0</v>
      </c>
      <c r="DS47" s="293">
        <v>0.20308792657422048</v>
      </c>
      <c r="DT47" s="293">
        <v>0</v>
      </c>
      <c r="DU47" s="293">
        <v>0</v>
      </c>
      <c r="DV47" s="293">
        <v>0</v>
      </c>
      <c r="DW47" s="293">
        <v>0.27917717531143998</v>
      </c>
      <c r="DX47" s="293">
        <v>0</v>
      </c>
      <c r="DY47" s="293">
        <v>0.20535121838403858</v>
      </c>
      <c r="DZ47" s="295">
        <v>0</v>
      </c>
      <c r="EA47" s="293">
        <v>0</v>
      </c>
      <c r="EB47" s="293">
        <v>0</v>
      </c>
      <c r="EC47" s="293">
        <v>0</v>
      </c>
      <c r="ED47" s="293">
        <v>0</v>
      </c>
      <c r="EE47" s="293">
        <v>0.21041166740186593</v>
      </c>
      <c r="EF47" s="293">
        <v>0</v>
      </c>
      <c r="EG47" s="293">
        <v>0</v>
      </c>
      <c r="EH47" s="293">
        <v>0</v>
      </c>
      <c r="EI47" s="293">
        <v>0.29386883616751247</v>
      </c>
      <c r="EJ47" s="293">
        <v>0</v>
      </c>
      <c r="EK47" s="293">
        <v>0.21450138093777393</v>
      </c>
      <c r="EL47" s="295">
        <v>0</v>
      </c>
      <c r="EM47" s="1080">
        <v>0</v>
      </c>
      <c r="EN47" s="1080">
        <v>0</v>
      </c>
      <c r="EO47" s="1080">
        <v>0.29627052445114516</v>
      </c>
      <c r="EP47" s="1080">
        <v>0</v>
      </c>
      <c r="EQ47" s="1080">
        <v>0.21744960699692728</v>
      </c>
      <c r="ER47" s="1080">
        <v>0</v>
      </c>
      <c r="ES47" s="1080">
        <v>0</v>
      </c>
      <c r="ET47" s="1080">
        <v>0</v>
      </c>
      <c r="EU47" s="1080">
        <v>0.58167158037263078</v>
      </c>
      <c r="EV47" s="1080">
        <v>0</v>
      </c>
      <c r="EW47" s="1080">
        <v>0.22199149115610026</v>
      </c>
      <c r="EX47" s="1340">
        <v>0</v>
      </c>
      <c r="EY47" s="1080"/>
      <c r="EZ47" s="1080"/>
      <c r="FA47" s="1080"/>
      <c r="FB47" s="1080"/>
      <c r="FC47" s="1080"/>
      <c r="FD47" s="1080"/>
      <c r="FE47" s="1080"/>
      <c r="FF47" s="1080"/>
      <c r="FG47" s="1080"/>
      <c r="FH47" s="1080"/>
      <c r="FI47" s="1080"/>
      <c r="FJ47" s="1340"/>
      <c r="FK47" s="1080"/>
      <c r="FL47" s="1080"/>
      <c r="FM47" s="1080"/>
      <c r="FN47" s="1080"/>
      <c r="FO47" s="1080"/>
      <c r="FP47" s="1080"/>
      <c r="FQ47" s="293"/>
      <c r="FR47" s="293"/>
      <c r="FS47" s="293"/>
      <c r="FT47" s="293"/>
      <c r="FU47" s="293"/>
      <c r="FV47" s="293"/>
      <c r="FW47" s="293"/>
      <c r="FX47" s="293"/>
      <c r="FY47" s="293"/>
      <c r="FZ47" s="293"/>
      <c r="GA47" s="293"/>
      <c r="GB47" s="293"/>
      <c r="GC47" s="293"/>
      <c r="GD47" s="293"/>
      <c r="GE47" s="293"/>
      <c r="GF47" s="293"/>
      <c r="GG47" s="293"/>
      <c r="GH47" s="293"/>
      <c r="GI47" s="293"/>
      <c r="GJ47" s="293"/>
      <c r="GK47" s="293"/>
      <c r="GL47" s="293"/>
      <c r="GM47" s="293"/>
      <c r="GN47" s="293"/>
      <c r="GO47" s="293"/>
      <c r="GP47" s="293"/>
      <c r="GQ47" s="293"/>
      <c r="GR47" s="293"/>
      <c r="GS47" s="293"/>
      <c r="GT47" s="293"/>
      <c r="GU47" s="293"/>
      <c r="GV47" s="293"/>
      <c r="GW47" s="293"/>
      <c r="GX47" s="293"/>
      <c r="GY47" s="293"/>
      <c r="GZ47" s="293"/>
      <c r="HA47" s="293"/>
      <c r="HB47" s="293"/>
      <c r="HC47" s="293"/>
      <c r="HD47" s="293"/>
      <c r="HE47" s="293"/>
      <c r="HF47" s="293"/>
      <c r="HG47" s="293"/>
      <c r="HH47" s="293"/>
      <c r="HI47" s="293"/>
      <c r="HJ47" s="293"/>
      <c r="HK47" s="293"/>
      <c r="HL47" s="293"/>
      <c r="HM47" s="293"/>
      <c r="HN47" s="293"/>
      <c r="HO47" s="293"/>
      <c r="HP47" s="293"/>
      <c r="HQ47" s="293"/>
      <c r="HR47" s="293"/>
      <c r="HS47" s="293"/>
      <c r="HT47" s="293"/>
      <c r="HU47" s="293"/>
      <c r="HV47" s="293"/>
      <c r="HW47" s="293"/>
      <c r="HX47" s="293"/>
      <c r="HY47" s="293"/>
      <c r="IH47" s="279">
        <f t="shared" si="11"/>
        <v>0.18378016410952988</v>
      </c>
      <c r="II47" s="279">
        <f t="shared" si="12"/>
        <v>0.19462686629059486</v>
      </c>
      <c r="IJ47" s="279">
        <f t="shared" si="13"/>
        <v>0.37840703040012474</v>
      </c>
      <c r="IK47" s="279">
        <f t="shared" si="14"/>
        <v>0.48069735199624714</v>
      </c>
      <c r="KT47" s="280"/>
    </row>
    <row r="48" spans="1:306" outlineLevel="1">
      <c r="B48" s="96" t="s">
        <v>338</v>
      </c>
      <c r="D48" s="296" t="s">
        <v>363</v>
      </c>
      <c r="E48" s="293"/>
      <c r="F48" s="293"/>
      <c r="G48" s="293"/>
      <c r="H48" s="293"/>
      <c r="I48" s="293"/>
      <c r="J48" s="293"/>
      <c r="K48" s="293"/>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v>0</v>
      </c>
      <c r="AP48" s="293">
        <v>0</v>
      </c>
      <c r="AQ48" s="293">
        <v>0</v>
      </c>
      <c r="AR48" s="293">
        <v>0</v>
      </c>
      <c r="AS48" s="293">
        <v>0</v>
      </c>
      <c r="AT48" s="293">
        <v>0</v>
      </c>
      <c r="AU48" s="293">
        <v>0</v>
      </c>
      <c r="AV48" s="293">
        <v>0</v>
      </c>
      <c r="AW48" s="293">
        <v>0</v>
      </c>
      <c r="AX48" s="293">
        <v>0</v>
      </c>
      <c r="AY48" s="293">
        <v>0</v>
      </c>
      <c r="AZ48" s="293">
        <v>0</v>
      </c>
      <c r="BA48" s="293">
        <v>0</v>
      </c>
      <c r="BB48" s="293">
        <v>0</v>
      </c>
      <c r="BC48" s="293">
        <v>0</v>
      </c>
      <c r="BD48" s="293">
        <v>0</v>
      </c>
      <c r="BE48" s="293">
        <v>0</v>
      </c>
      <c r="BF48" s="293">
        <v>0</v>
      </c>
      <c r="BG48" s="293">
        <v>0</v>
      </c>
      <c r="BH48" s="293">
        <v>0</v>
      </c>
      <c r="BI48" s="293">
        <v>0</v>
      </c>
      <c r="BJ48" s="293">
        <v>0</v>
      </c>
      <c r="BK48" s="293">
        <v>0</v>
      </c>
      <c r="BL48" s="293">
        <v>0</v>
      </c>
      <c r="BM48" s="293">
        <v>0</v>
      </c>
      <c r="BN48" s="293">
        <v>0</v>
      </c>
      <c r="BO48" s="293">
        <v>0</v>
      </c>
      <c r="BP48" s="293">
        <v>0</v>
      </c>
      <c r="BQ48" s="293">
        <v>0</v>
      </c>
      <c r="BR48" s="293">
        <v>0</v>
      </c>
      <c r="BS48" s="293">
        <v>0</v>
      </c>
      <c r="BT48" s="293">
        <v>0</v>
      </c>
      <c r="BU48" s="293">
        <v>0</v>
      </c>
      <c r="BV48" s="293">
        <v>0</v>
      </c>
      <c r="BW48" s="293">
        <v>0</v>
      </c>
      <c r="BX48" s="293">
        <v>0</v>
      </c>
      <c r="BY48" s="293">
        <v>0</v>
      </c>
      <c r="BZ48" s="293">
        <v>0</v>
      </c>
      <c r="CA48" s="293">
        <v>0</v>
      </c>
      <c r="CB48" s="293">
        <v>0</v>
      </c>
      <c r="CC48" s="293">
        <v>0</v>
      </c>
      <c r="CD48" s="293">
        <v>0</v>
      </c>
      <c r="CE48" s="294">
        <v>0</v>
      </c>
      <c r="CF48" s="293">
        <v>0</v>
      </c>
      <c r="CG48" s="293">
        <v>0</v>
      </c>
      <c r="CH48" s="293">
        <v>0</v>
      </c>
      <c r="CI48" s="293">
        <v>0</v>
      </c>
      <c r="CJ48" s="293">
        <v>0</v>
      </c>
      <c r="CK48" s="293">
        <v>0</v>
      </c>
      <c r="CL48" s="293">
        <v>0</v>
      </c>
      <c r="CM48" s="293">
        <v>0</v>
      </c>
      <c r="CN48" s="293">
        <v>0</v>
      </c>
      <c r="CO48" s="293">
        <v>0</v>
      </c>
      <c r="CP48" s="295">
        <v>0</v>
      </c>
      <c r="CQ48" s="293">
        <v>0</v>
      </c>
      <c r="CR48" s="293">
        <v>0</v>
      </c>
      <c r="CS48" s="293">
        <v>0</v>
      </c>
      <c r="CT48" s="293">
        <v>0</v>
      </c>
      <c r="CU48" s="293">
        <v>0</v>
      </c>
      <c r="CV48" s="293">
        <v>0</v>
      </c>
      <c r="CW48" s="293">
        <v>0</v>
      </c>
      <c r="CX48" s="293">
        <v>0</v>
      </c>
      <c r="CY48" s="293">
        <v>0</v>
      </c>
      <c r="CZ48" s="293">
        <v>0</v>
      </c>
      <c r="DA48" s="293">
        <v>6.1602450225000001E-2</v>
      </c>
      <c r="DB48" s="1288">
        <v>0</v>
      </c>
      <c r="DC48" s="293">
        <v>0</v>
      </c>
      <c r="DD48" s="293">
        <v>0</v>
      </c>
      <c r="DE48" s="293">
        <v>0</v>
      </c>
      <c r="DF48" s="293">
        <v>0</v>
      </c>
      <c r="DG48" s="293">
        <v>6.0520691174999995E-2</v>
      </c>
      <c r="DH48" s="293">
        <v>0</v>
      </c>
      <c r="DI48" s="293">
        <v>0</v>
      </c>
      <c r="DJ48" s="293">
        <v>0</v>
      </c>
      <c r="DK48" s="293">
        <v>0</v>
      </c>
      <c r="DL48" s="293">
        <v>0</v>
      </c>
      <c r="DM48" s="293">
        <v>0.13798749010135142</v>
      </c>
      <c r="DN48" s="295">
        <v>0</v>
      </c>
      <c r="DO48" s="293">
        <v>0</v>
      </c>
      <c r="DP48" s="293">
        <v>0</v>
      </c>
      <c r="DQ48" s="293">
        <v>0</v>
      </c>
      <c r="DR48" s="293">
        <v>0</v>
      </c>
      <c r="DS48" s="293">
        <v>0.11048348158919513</v>
      </c>
      <c r="DT48" s="293">
        <v>0</v>
      </c>
      <c r="DU48" s="293">
        <v>0</v>
      </c>
      <c r="DV48" s="293">
        <v>0</v>
      </c>
      <c r="DW48" s="293">
        <v>0</v>
      </c>
      <c r="DX48" s="293">
        <v>0</v>
      </c>
      <c r="DY48" s="293">
        <v>0.11418510260881731</v>
      </c>
      <c r="DZ48" s="295">
        <v>0</v>
      </c>
      <c r="EA48" s="293">
        <v>0</v>
      </c>
      <c r="EB48" s="293">
        <v>0</v>
      </c>
      <c r="EC48" s="293">
        <v>0</v>
      </c>
      <c r="ED48" s="293">
        <v>0</v>
      </c>
      <c r="EE48" s="293">
        <v>0.12519982152119999</v>
      </c>
      <c r="EF48" s="293">
        <v>0</v>
      </c>
      <c r="EG48" s="293">
        <v>0</v>
      </c>
      <c r="EH48" s="293">
        <v>0</v>
      </c>
      <c r="EI48" s="293">
        <v>0</v>
      </c>
      <c r="EJ48" s="293">
        <v>0</v>
      </c>
      <c r="EK48" s="293">
        <v>0.12870967422268789</v>
      </c>
      <c r="EL48" s="295">
        <v>0</v>
      </c>
      <c r="EM48" s="1080">
        <v>0</v>
      </c>
      <c r="EN48" s="1080">
        <v>0</v>
      </c>
      <c r="EO48" s="1080">
        <v>0</v>
      </c>
      <c r="EP48" s="1080">
        <v>0</v>
      </c>
      <c r="EQ48" s="1080">
        <v>0.12468589464035797</v>
      </c>
      <c r="ER48" s="1080">
        <v>0</v>
      </c>
      <c r="ES48" s="1080">
        <v>0</v>
      </c>
      <c r="ET48" s="1080">
        <v>0</v>
      </c>
      <c r="EU48" s="1080">
        <v>0</v>
      </c>
      <c r="EV48" s="1080">
        <v>0</v>
      </c>
      <c r="EW48" s="1080">
        <v>0.12635264083862088</v>
      </c>
      <c r="EX48" s="1340">
        <v>0</v>
      </c>
      <c r="EY48" s="1080"/>
      <c r="EZ48" s="1080"/>
      <c r="FA48" s="1080"/>
      <c r="FB48" s="1080"/>
      <c r="FC48" s="1080"/>
      <c r="FD48" s="1080"/>
      <c r="FE48" s="1080"/>
      <c r="FF48" s="1080"/>
      <c r="FG48" s="1080"/>
      <c r="FH48" s="1080"/>
      <c r="FI48" s="1080"/>
      <c r="FJ48" s="1340"/>
      <c r="FK48" s="1080"/>
      <c r="FL48" s="1080"/>
      <c r="FM48" s="1080"/>
      <c r="FN48" s="1080"/>
      <c r="FO48" s="1080"/>
      <c r="FP48" s="1080"/>
      <c r="FQ48" s="293"/>
      <c r="FR48" s="293"/>
      <c r="FS48" s="293"/>
      <c r="FT48" s="293"/>
      <c r="FU48" s="293"/>
      <c r="FV48" s="293"/>
      <c r="FW48" s="293"/>
      <c r="FX48" s="293"/>
      <c r="FY48" s="293"/>
      <c r="FZ48" s="293"/>
      <c r="GA48" s="293"/>
      <c r="GB48" s="293"/>
      <c r="GC48" s="293"/>
      <c r="GD48" s="293"/>
      <c r="GE48" s="293"/>
      <c r="GF48" s="293"/>
      <c r="GG48" s="293"/>
      <c r="GH48" s="293"/>
      <c r="GI48" s="293"/>
      <c r="GJ48" s="293"/>
      <c r="GK48" s="293"/>
      <c r="GL48" s="293"/>
      <c r="GM48" s="293"/>
      <c r="GN48" s="293"/>
      <c r="GO48" s="293"/>
      <c r="GP48" s="293"/>
      <c r="GQ48" s="293"/>
      <c r="GR48" s="293"/>
      <c r="GS48" s="293"/>
      <c r="GT48" s="293"/>
      <c r="GU48" s="293"/>
      <c r="GV48" s="293"/>
      <c r="GW48" s="293"/>
      <c r="GX48" s="293"/>
      <c r="GY48" s="293"/>
      <c r="GZ48" s="293"/>
      <c r="HA48" s="293"/>
      <c r="HB48" s="293"/>
      <c r="HC48" s="293"/>
      <c r="HD48" s="293"/>
      <c r="HE48" s="293"/>
      <c r="HF48" s="293"/>
      <c r="HG48" s="293"/>
      <c r="HH48" s="293"/>
      <c r="HI48" s="293"/>
      <c r="HJ48" s="293"/>
      <c r="HK48" s="293"/>
      <c r="HL48" s="293"/>
      <c r="HM48" s="293"/>
      <c r="HN48" s="293"/>
      <c r="HO48" s="293"/>
      <c r="HP48" s="293"/>
      <c r="HQ48" s="293"/>
      <c r="HR48" s="293"/>
      <c r="HS48" s="293"/>
      <c r="HT48" s="293"/>
      <c r="HU48" s="293"/>
      <c r="HV48" s="293"/>
      <c r="HW48" s="293"/>
      <c r="HX48" s="293"/>
      <c r="HY48" s="293"/>
      <c r="IH48" s="279">
        <f t="shared" si="11"/>
        <v>6.0520691174999995E-2</v>
      </c>
      <c r="II48" s="279">
        <f t="shared" si="12"/>
        <v>0.13798749010135142</v>
      </c>
      <c r="IJ48" s="279">
        <f t="shared" si="13"/>
        <v>0.19850818127635142</v>
      </c>
      <c r="IK48" s="279">
        <f t="shared" si="14"/>
        <v>0.11048348158919513</v>
      </c>
      <c r="KT48" s="280"/>
    </row>
    <row r="49" spans="1:306" outlineLevel="1">
      <c r="B49" s="96" t="s">
        <v>338</v>
      </c>
      <c r="D49" s="296" t="s">
        <v>364</v>
      </c>
      <c r="E49" s="293"/>
      <c r="F49" s="293"/>
      <c r="G49" s="293"/>
      <c r="H49" s="293"/>
      <c r="I49" s="293"/>
      <c r="J49" s="293"/>
      <c r="K49" s="293"/>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v>0</v>
      </c>
      <c r="AP49" s="293">
        <v>0</v>
      </c>
      <c r="AQ49" s="293">
        <v>0</v>
      </c>
      <c r="AR49" s="293">
        <v>0</v>
      </c>
      <c r="AS49" s="293">
        <v>0</v>
      </c>
      <c r="AT49" s="293">
        <v>0</v>
      </c>
      <c r="AU49" s="293">
        <v>0</v>
      </c>
      <c r="AV49" s="293">
        <v>0</v>
      </c>
      <c r="AW49" s="293">
        <v>0</v>
      </c>
      <c r="AX49" s="293">
        <v>0</v>
      </c>
      <c r="AY49" s="293">
        <v>0</v>
      </c>
      <c r="AZ49" s="293">
        <v>0</v>
      </c>
      <c r="BA49" s="293">
        <v>0</v>
      </c>
      <c r="BB49" s="293">
        <v>0</v>
      </c>
      <c r="BC49" s="293">
        <v>0</v>
      </c>
      <c r="BD49" s="293">
        <v>0</v>
      </c>
      <c r="BE49" s="293">
        <v>0</v>
      </c>
      <c r="BF49" s="293">
        <v>0</v>
      </c>
      <c r="BG49" s="293">
        <v>0</v>
      </c>
      <c r="BH49" s="293">
        <v>0</v>
      </c>
      <c r="BI49" s="293">
        <v>0</v>
      </c>
      <c r="BJ49" s="293">
        <v>0</v>
      </c>
      <c r="BK49" s="293">
        <v>0</v>
      </c>
      <c r="BL49" s="293">
        <v>0</v>
      </c>
      <c r="BM49" s="293">
        <v>0</v>
      </c>
      <c r="BN49" s="293">
        <v>0</v>
      </c>
      <c r="BO49" s="293">
        <v>0</v>
      </c>
      <c r="BP49" s="293">
        <v>0</v>
      </c>
      <c r="BQ49" s="293">
        <v>0</v>
      </c>
      <c r="BR49" s="293">
        <v>0</v>
      </c>
      <c r="BS49" s="293">
        <v>0</v>
      </c>
      <c r="BT49" s="293">
        <v>0</v>
      </c>
      <c r="BU49" s="293">
        <v>0</v>
      </c>
      <c r="BV49" s="293">
        <v>0</v>
      </c>
      <c r="BW49" s="293">
        <v>0</v>
      </c>
      <c r="BX49" s="293">
        <v>0</v>
      </c>
      <c r="BY49" s="293">
        <v>0</v>
      </c>
      <c r="BZ49" s="293">
        <v>0</v>
      </c>
      <c r="CA49" s="293">
        <v>0</v>
      </c>
      <c r="CB49" s="293">
        <v>0</v>
      </c>
      <c r="CC49" s="293">
        <v>0</v>
      </c>
      <c r="CD49" s="293">
        <v>0</v>
      </c>
      <c r="CE49" s="294">
        <v>0</v>
      </c>
      <c r="CF49" s="293">
        <v>0</v>
      </c>
      <c r="CG49" s="293">
        <v>0</v>
      </c>
      <c r="CH49" s="293">
        <v>0</v>
      </c>
      <c r="CI49" s="293">
        <v>0</v>
      </c>
      <c r="CJ49" s="293">
        <v>0</v>
      </c>
      <c r="CK49" s="293">
        <v>0</v>
      </c>
      <c r="CL49" s="293">
        <v>0</v>
      </c>
      <c r="CM49" s="293">
        <v>0.44140573203736166</v>
      </c>
      <c r="CN49" s="293">
        <v>0</v>
      </c>
      <c r="CO49" s="293">
        <v>0</v>
      </c>
      <c r="CP49" s="295">
        <v>0</v>
      </c>
      <c r="CQ49" s="293">
        <v>0</v>
      </c>
      <c r="CR49" s="293">
        <v>0</v>
      </c>
      <c r="CS49" s="293">
        <v>0.44755838687299504</v>
      </c>
      <c r="CT49" s="293">
        <v>0</v>
      </c>
      <c r="CU49" s="293">
        <v>0</v>
      </c>
      <c r="CV49" s="293">
        <v>0</v>
      </c>
      <c r="CW49" s="293">
        <v>0</v>
      </c>
      <c r="CX49" s="293">
        <v>0</v>
      </c>
      <c r="CY49" s="293">
        <v>0</v>
      </c>
      <c r="CZ49" s="293">
        <v>0.46144882428540462</v>
      </c>
      <c r="DA49" s="293">
        <v>0</v>
      </c>
      <c r="DB49" s="1288">
        <v>0</v>
      </c>
      <c r="DC49" s="293">
        <v>0</v>
      </c>
      <c r="DD49" s="293">
        <v>0</v>
      </c>
      <c r="DE49" s="293">
        <v>0.47598149200000001</v>
      </c>
      <c r="DF49" s="293">
        <v>0</v>
      </c>
      <c r="DG49" s="293">
        <v>0</v>
      </c>
      <c r="DH49" s="293">
        <v>0</v>
      </c>
      <c r="DI49" s="293">
        <v>0</v>
      </c>
      <c r="DJ49" s="293">
        <v>0</v>
      </c>
      <c r="DK49" s="293">
        <v>1.4936761076402587</v>
      </c>
      <c r="DL49" s="293">
        <v>0.50089918103987296</v>
      </c>
      <c r="DM49" s="293">
        <v>0</v>
      </c>
      <c r="DN49" s="295">
        <v>0</v>
      </c>
      <c r="DO49" s="293">
        <v>0</v>
      </c>
      <c r="DP49" s="293">
        <v>0</v>
      </c>
      <c r="DQ49" s="293">
        <v>2.1076205144300606</v>
      </c>
      <c r="DR49" s="293">
        <v>0</v>
      </c>
      <c r="DS49" s="293">
        <v>0</v>
      </c>
      <c r="DT49" s="293">
        <v>0</v>
      </c>
      <c r="DU49" s="293">
        <v>0</v>
      </c>
      <c r="DV49" s="293">
        <v>0</v>
      </c>
      <c r="DW49" s="293">
        <v>2.1495803002155323</v>
      </c>
      <c r="DX49" s="293">
        <v>0</v>
      </c>
      <c r="DY49" s="293">
        <v>0</v>
      </c>
      <c r="DZ49" s="295">
        <v>0</v>
      </c>
      <c r="EA49" s="293">
        <v>0</v>
      </c>
      <c r="EB49" s="293">
        <v>0</v>
      </c>
      <c r="EC49" s="293">
        <v>2.1789612324589065</v>
      </c>
      <c r="ED49" s="293">
        <v>0</v>
      </c>
      <c r="EE49" s="293">
        <v>0</v>
      </c>
      <c r="EF49" s="293">
        <v>0</v>
      </c>
      <c r="EG49" s="293">
        <v>0</v>
      </c>
      <c r="EH49" s="293">
        <v>0</v>
      </c>
      <c r="EI49" s="293">
        <v>2.2188626376002465</v>
      </c>
      <c r="EJ49" s="293">
        <v>0</v>
      </c>
      <c r="EK49" s="293">
        <v>0</v>
      </c>
      <c r="EL49" s="295">
        <v>0</v>
      </c>
      <c r="EM49" s="1080">
        <v>0</v>
      </c>
      <c r="EN49" s="1080">
        <v>0</v>
      </c>
      <c r="EO49" s="1080">
        <v>2.2653413524157164</v>
      </c>
      <c r="EP49" s="1080">
        <v>0</v>
      </c>
      <c r="EQ49" s="1080">
        <v>0</v>
      </c>
      <c r="ER49" s="1080">
        <v>0</v>
      </c>
      <c r="ES49" s="1080">
        <v>0</v>
      </c>
      <c r="ET49" s="1080">
        <v>0</v>
      </c>
      <c r="EU49" s="1080">
        <v>2.3116276640054765</v>
      </c>
      <c r="EV49" s="1080">
        <v>0</v>
      </c>
      <c r="EW49" s="1080">
        <v>0</v>
      </c>
      <c r="EX49" s="1340">
        <v>0</v>
      </c>
      <c r="EY49" s="1080"/>
      <c r="EZ49" s="1080"/>
      <c r="FA49" s="1080"/>
      <c r="FB49" s="1080"/>
      <c r="FC49" s="1080"/>
      <c r="FD49" s="1080"/>
      <c r="FE49" s="1080"/>
      <c r="FF49" s="1080"/>
      <c r="FG49" s="1080"/>
      <c r="FH49" s="1080"/>
      <c r="FI49" s="1080"/>
      <c r="FJ49" s="1340"/>
      <c r="FK49" s="1080"/>
      <c r="FL49" s="1080"/>
      <c r="FM49" s="1080"/>
      <c r="FN49" s="1080"/>
      <c r="FO49" s="1080"/>
      <c r="FP49" s="1080"/>
      <c r="FQ49" s="293"/>
      <c r="FR49" s="293"/>
      <c r="FS49" s="293"/>
      <c r="FT49" s="293"/>
      <c r="FU49" s="293"/>
      <c r="FV49" s="293"/>
      <c r="FW49" s="293"/>
      <c r="FX49" s="293"/>
      <c r="FY49" s="293"/>
      <c r="FZ49" s="293"/>
      <c r="GA49" s="293"/>
      <c r="GB49" s="293"/>
      <c r="GC49" s="293"/>
      <c r="GD49" s="293"/>
      <c r="GE49" s="293"/>
      <c r="GF49" s="293"/>
      <c r="GG49" s="293"/>
      <c r="GH49" s="293"/>
      <c r="GI49" s="293"/>
      <c r="GJ49" s="293"/>
      <c r="GK49" s="293"/>
      <c r="GL49" s="293"/>
      <c r="GM49" s="293"/>
      <c r="GN49" s="293"/>
      <c r="GO49" s="293"/>
      <c r="GP49" s="293"/>
      <c r="GQ49" s="293"/>
      <c r="GR49" s="293"/>
      <c r="GS49" s="293"/>
      <c r="GT49" s="293"/>
      <c r="GU49" s="293"/>
      <c r="GV49" s="293"/>
      <c r="GW49" s="293"/>
      <c r="GX49" s="293"/>
      <c r="GY49" s="293"/>
      <c r="GZ49" s="293"/>
      <c r="HA49" s="293"/>
      <c r="HB49" s="293"/>
      <c r="HC49" s="293"/>
      <c r="HD49" s="293"/>
      <c r="HE49" s="293"/>
      <c r="HF49" s="293"/>
      <c r="HG49" s="293"/>
      <c r="HH49" s="293"/>
      <c r="HI49" s="293"/>
      <c r="HJ49" s="293"/>
      <c r="HK49" s="293"/>
      <c r="HL49" s="293"/>
      <c r="HM49" s="293"/>
      <c r="HN49" s="293"/>
      <c r="HO49" s="293"/>
      <c r="HP49" s="293"/>
      <c r="HQ49" s="293"/>
      <c r="HR49" s="293"/>
      <c r="HS49" s="293"/>
      <c r="HT49" s="293"/>
      <c r="HU49" s="293"/>
      <c r="HV49" s="293"/>
      <c r="HW49" s="293"/>
      <c r="HX49" s="293"/>
      <c r="HY49" s="293"/>
      <c r="IH49" s="279">
        <f t="shared" si="11"/>
        <v>0.47598149200000001</v>
      </c>
      <c r="II49" s="279">
        <f t="shared" si="12"/>
        <v>1.9945752886801316</v>
      </c>
      <c r="IJ49" s="279">
        <f t="shared" si="13"/>
        <v>2.4705567806801314</v>
      </c>
      <c r="IK49" s="279">
        <f t="shared" si="14"/>
        <v>2.1076205144300606</v>
      </c>
      <c r="KT49" s="280"/>
    </row>
    <row r="50" spans="1:306" outlineLevel="1">
      <c r="B50" s="96" t="s">
        <v>338</v>
      </c>
      <c r="D50" s="296" t="s">
        <v>365</v>
      </c>
      <c r="E50" s="293"/>
      <c r="F50" s="293"/>
      <c r="G50" s="293"/>
      <c r="H50" s="293"/>
      <c r="I50" s="293"/>
      <c r="J50" s="293"/>
      <c r="K50" s="293"/>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v>0</v>
      </c>
      <c r="AP50" s="293">
        <v>0</v>
      </c>
      <c r="AQ50" s="293">
        <v>0</v>
      </c>
      <c r="AR50" s="293">
        <v>0</v>
      </c>
      <c r="AS50" s="293">
        <v>0</v>
      </c>
      <c r="AT50" s="293">
        <v>0</v>
      </c>
      <c r="AU50" s="293">
        <v>0</v>
      </c>
      <c r="AV50" s="293">
        <v>0</v>
      </c>
      <c r="AW50" s="293">
        <v>0</v>
      </c>
      <c r="AX50" s="293">
        <v>0</v>
      </c>
      <c r="AY50" s="293">
        <v>0</v>
      </c>
      <c r="AZ50" s="293">
        <v>0</v>
      </c>
      <c r="BA50" s="293">
        <v>0</v>
      </c>
      <c r="BB50" s="293">
        <v>0</v>
      </c>
      <c r="BC50" s="293">
        <v>0</v>
      </c>
      <c r="BD50" s="293">
        <v>0</v>
      </c>
      <c r="BE50" s="293">
        <v>0</v>
      </c>
      <c r="BF50" s="293">
        <v>0</v>
      </c>
      <c r="BG50" s="293">
        <v>0</v>
      </c>
      <c r="BH50" s="293">
        <v>0</v>
      </c>
      <c r="BI50" s="293">
        <v>0</v>
      </c>
      <c r="BJ50" s="293">
        <v>0</v>
      </c>
      <c r="BK50" s="293">
        <v>0</v>
      </c>
      <c r="BL50" s="293">
        <v>0</v>
      </c>
      <c r="BM50" s="293">
        <v>0</v>
      </c>
      <c r="BN50" s="293">
        <v>0</v>
      </c>
      <c r="BO50" s="293">
        <v>0</v>
      </c>
      <c r="BP50" s="293">
        <v>0</v>
      </c>
      <c r="BQ50" s="293">
        <v>0</v>
      </c>
      <c r="BR50" s="293">
        <v>0</v>
      </c>
      <c r="BS50" s="293">
        <v>0</v>
      </c>
      <c r="BT50" s="293">
        <v>0</v>
      </c>
      <c r="BU50" s="293">
        <v>0</v>
      </c>
      <c r="BV50" s="293">
        <v>0</v>
      </c>
      <c r="BW50" s="293">
        <v>0</v>
      </c>
      <c r="BX50" s="293">
        <v>0</v>
      </c>
      <c r="BY50" s="293">
        <v>0</v>
      </c>
      <c r="BZ50" s="293">
        <v>0</v>
      </c>
      <c r="CA50" s="293">
        <v>0</v>
      </c>
      <c r="CB50" s="293">
        <v>0</v>
      </c>
      <c r="CC50" s="293">
        <v>0</v>
      </c>
      <c r="CD50" s="293">
        <v>0</v>
      </c>
      <c r="CE50" s="294">
        <v>0</v>
      </c>
      <c r="CF50" s="293">
        <v>0</v>
      </c>
      <c r="CG50" s="293">
        <v>0</v>
      </c>
      <c r="CH50" s="293">
        <v>0</v>
      </c>
      <c r="CI50" s="293">
        <v>0</v>
      </c>
      <c r="CJ50" s="293">
        <v>0</v>
      </c>
      <c r="CK50" s="293">
        <v>0</v>
      </c>
      <c r="CL50" s="293">
        <v>0</v>
      </c>
      <c r="CM50" s="293">
        <v>0</v>
      </c>
      <c r="CN50" s="293">
        <v>0</v>
      </c>
      <c r="CO50" s="293">
        <v>0</v>
      </c>
      <c r="CP50" s="295">
        <v>0</v>
      </c>
      <c r="CQ50" s="293">
        <v>0</v>
      </c>
      <c r="CR50" s="293">
        <v>0</v>
      </c>
      <c r="CS50" s="293">
        <v>0</v>
      </c>
      <c r="CT50" s="293">
        <v>0</v>
      </c>
      <c r="CU50" s="293">
        <v>0</v>
      </c>
      <c r="CV50" s="293">
        <v>0</v>
      </c>
      <c r="CW50" s="293">
        <v>0</v>
      </c>
      <c r="CX50" s="293">
        <v>0</v>
      </c>
      <c r="CY50" s="293">
        <v>0</v>
      </c>
      <c r="CZ50" s="293">
        <v>0</v>
      </c>
      <c r="DA50" s="293">
        <v>0</v>
      </c>
      <c r="DB50" s="1288">
        <v>0</v>
      </c>
      <c r="DC50" s="293">
        <v>0</v>
      </c>
      <c r="DD50" s="293">
        <v>0</v>
      </c>
      <c r="DE50" s="293">
        <v>0</v>
      </c>
      <c r="DF50" s="293">
        <v>0</v>
      </c>
      <c r="DG50" s="293">
        <v>0</v>
      </c>
      <c r="DH50" s="293">
        <v>0</v>
      </c>
      <c r="DI50" s="293">
        <v>0</v>
      </c>
      <c r="DJ50" s="293">
        <v>0</v>
      </c>
      <c r="DK50" s="293">
        <v>0</v>
      </c>
      <c r="DL50" s="293">
        <v>0</v>
      </c>
      <c r="DM50" s="293">
        <v>0</v>
      </c>
      <c r="DN50" s="295">
        <v>0</v>
      </c>
      <c r="DO50" s="293">
        <v>0</v>
      </c>
      <c r="DP50" s="293">
        <v>0</v>
      </c>
      <c r="DQ50" s="293">
        <v>0</v>
      </c>
      <c r="DR50" s="293">
        <v>0</v>
      </c>
      <c r="DS50" s="293">
        <v>0</v>
      </c>
      <c r="DT50" s="293">
        <v>0</v>
      </c>
      <c r="DU50" s="293">
        <v>0</v>
      </c>
      <c r="DV50" s="293">
        <v>0</v>
      </c>
      <c r="DW50" s="293">
        <v>0.88365095306489061</v>
      </c>
      <c r="DX50" s="293">
        <v>0</v>
      </c>
      <c r="DY50" s="293">
        <v>0</v>
      </c>
      <c r="DZ50" s="295">
        <v>0</v>
      </c>
      <c r="EA50" s="293">
        <v>0</v>
      </c>
      <c r="EB50" s="293">
        <v>0</v>
      </c>
      <c r="EC50" s="293">
        <v>0.9381165005595038</v>
      </c>
      <c r="ED50" s="293">
        <v>0</v>
      </c>
      <c r="EE50" s="293">
        <v>0</v>
      </c>
      <c r="EF50" s="293">
        <v>0</v>
      </c>
      <c r="EG50" s="293">
        <v>0</v>
      </c>
      <c r="EH50" s="293">
        <v>0</v>
      </c>
      <c r="EI50" s="293">
        <v>0</v>
      </c>
      <c r="EJ50" s="293">
        <v>0.99952006909938385</v>
      </c>
      <c r="EK50" s="293">
        <v>0</v>
      </c>
      <c r="EL50" s="295">
        <v>0</v>
      </c>
      <c r="EM50" s="1080">
        <v>0</v>
      </c>
      <c r="EN50" s="1080">
        <v>0</v>
      </c>
      <c r="EO50" s="1080">
        <v>0</v>
      </c>
      <c r="EP50" s="1080">
        <v>0.93511654827983426</v>
      </c>
      <c r="EQ50" s="1080">
        <v>0</v>
      </c>
      <c r="ER50" s="1080">
        <v>0</v>
      </c>
      <c r="ES50" s="1080">
        <v>0</v>
      </c>
      <c r="ET50" s="1080">
        <v>0</v>
      </c>
      <c r="EU50" s="1080">
        <v>0.99952006909938396</v>
      </c>
      <c r="EV50" s="1080">
        <v>0</v>
      </c>
      <c r="EW50" s="1080">
        <v>0</v>
      </c>
      <c r="EX50" s="1340">
        <v>0</v>
      </c>
      <c r="EY50" s="1080"/>
      <c r="EZ50" s="1080"/>
      <c r="FA50" s="1080"/>
      <c r="FB50" s="1080"/>
      <c r="FC50" s="1080"/>
      <c r="FD50" s="1080"/>
      <c r="FE50" s="1080"/>
      <c r="FF50" s="1080"/>
      <c r="FG50" s="1080"/>
      <c r="FH50" s="1080"/>
      <c r="FI50" s="1080"/>
      <c r="FJ50" s="1340"/>
      <c r="FK50" s="1080"/>
      <c r="FL50" s="1080"/>
      <c r="FM50" s="1080"/>
      <c r="FN50" s="1080"/>
      <c r="FO50" s="1080"/>
      <c r="FP50" s="1080"/>
      <c r="FQ50" s="293"/>
      <c r="FR50" s="293"/>
      <c r="FS50" s="293"/>
      <c r="FT50" s="293"/>
      <c r="FU50" s="293"/>
      <c r="FV50" s="293"/>
      <c r="FW50" s="293"/>
      <c r="FX50" s="293"/>
      <c r="FY50" s="293"/>
      <c r="FZ50" s="293"/>
      <c r="GA50" s="293"/>
      <c r="GB50" s="293"/>
      <c r="GC50" s="293"/>
      <c r="GD50" s="293"/>
      <c r="GE50" s="293"/>
      <c r="GF50" s="293"/>
      <c r="GG50" s="293"/>
      <c r="GH50" s="293"/>
      <c r="GI50" s="293"/>
      <c r="GJ50" s="293"/>
      <c r="GK50" s="293"/>
      <c r="GL50" s="293"/>
      <c r="GM50" s="293"/>
      <c r="GN50" s="293"/>
      <c r="GO50" s="293"/>
      <c r="GP50" s="293"/>
      <c r="GQ50" s="293"/>
      <c r="GR50" s="293"/>
      <c r="GS50" s="293"/>
      <c r="GT50" s="293"/>
      <c r="GU50" s="293"/>
      <c r="GV50" s="293"/>
      <c r="GW50" s="293"/>
      <c r="GX50" s="293"/>
      <c r="GY50" s="293"/>
      <c r="GZ50" s="293"/>
      <c r="HA50" s="293"/>
      <c r="HB50" s="293"/>
      <c r="HC50" s="293"/>
      <c r="HD50" s="293"/>
      <c r="HE50" s="293"/>
      <c r="HF50" s="293"/>
      <c r="HG50" s="293"/>
      <c r="HH50" s="293"/>
      <c r="HI50" s="293"/>
      <c r="HJ50" s="293"/>
      <c r="HK50" s="293"/>
      <c r="HL50" s="293"/>
      <c r="HM50" s="293"/>
      <c r="HN50" s="293"/>
      <c r="HO50" s="293"/>
      <c r="HP50" s="293"/>
      <c r="HQ50" s="293"/>
      <c r="HR50" s="293"/>
      <c r="HS50" s="293"/>
      <c r="HT50" s="293"/>
      <c r="HU50" s="293"/>
      <c r="HV50" s="293"/>
      <c r="HW50" s="293"/>
      <c r="HX50" s="293"/>
      <c r="HY50" s="293"/>
      <c r="IH50" s="279">
        <f t="shared" si="11"/>
        <v>0</v>
      </c>
      <c r="II50" s="279">
        <f t="shared" si="12"/>
        <v>0</v>
      </c>
      <c r="IJ50" s="279">
        <f t="shared" si="13"/>
        <v>0</v>
      </c>
      <c r="IK50" s="279">
        <f t="shared" si="14"/>
        <v>0</v>
      </c>
      <c r="KT50" s="280"/>
    </row>
    <row r="51" spans="1:306" outlineLevel="1">
      <c r="B51" s="96" t="s">
        <v>338</v>
      </c>
      <c r="D51" s="296" t="s">
        <v>366</v>
      </c>
      <c r="E51" s="293"/>
      <c r="F51" s="293"/>
      <c r="G51" s="293"/>
      <c r="H51" s="293"/>
      <c r="I51" s="293"/>
      <c r="J51" s="293"/>
      <c r="K51" s="293"/>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v>0</v>
      </c>
      <c r="AP51" s="293">
        <v>0</v>
      </c>
      <c r="AQ51" s="293">
        <v>0</v>
      </c>
      <c r="AR51" s="293">
        <v>0</v>
      </c>
      <c r="AS51" s="293">
        <v>0</v>
      </c>
      <c r="AT51" s="293">
        <v>0</v>
      </c>
      <c r="AU51" s="293">
        <v>0</v>
      </c>
      <c r="AV51" s="293">
        <v>0</v>
      </c>
      <c r="AW51" s="293">
        <v>0</v>
      </c>
      <c r="AX51" s="293">
        <v>0</v>
      </c>
      <c r="AY51" s="293">
        <v>0</v>
      </c>
      <c r="AZ51" s="293">
        <v>0</v>
      </c>
      <c r="BA51" s="293">
        <v>0</v>
      </c>
      <c r="BB51" s="293">
        <v>0</v>
      </c>
      <c r="BC51" s="293">
        <v>0</v>
      </c>
      <c r="BD51" s="293">
        <v>0</v>
      </c>
      <c r="BE51" s="293">
        <v>0</v>
      </c>
      <c r="BF51" s="293">
        <v>0</v>
      </c>
      <c r="BG51" s="293">
        <v>0</v>
      </c>
      <c r="BH51" s="293">
        <v>0</v>
      </c>
      <c r="BI51" s="293">
        <v>0</v>
      </c>
      <c r="BJ51" s="293">
        <v>0</v>
      </c>
      <c r="BK51" s="293">
        <v>0</v>
      </c>
      <c r="BL51" s="293">
        <v>0</v>
      </c>
      <c r="BM51" s="293">
        <v>0</v>
      </c>
      <c r="BN51" s="293">
        <v>0</v>
      </c>
      <c r="BO51" s="293">
        <v>0</v>
      </c>
      <c r="BP51" s="293">
        <v>0</v>
      </c>
      <c r="BQ51" s="293">
        <v>0</v>
      </c>
      <c r="BR51" s="293">
        <v>0</v>
      </c>
      <c r="BS51" s="293">
        <v>0</v>
      </c>
      <c r="BT51" s="293">
        <v>0</v>
      </c>
      <c r="BU51" s="293">
        <v>0</v>
      </c>
      <c r="BV51" s="293">
        <v>0</v>
      </c>
      <c r="BW51" s="293">
        <v>0</v>
      </c>
      <c r="BX51" s="293">
        <v>0</v>
      </c>
      <c r="BY51" s="293"/>
      <c r="BZ51" s="293"/>
      <c r="CA51" s="293"/>
      <c r="CB51" s="293"/>
      <c r="CC51" s="293"/>
      <c r="CD51" s="293"/>
      <c r="CE51" s="294"/>
      <c r="CF51" s="293"/>
      <c r="CG51" s="293"/>
      <c r="CH51" s="293"/>
      <c r="CI51" s="293"/>
      <c r="CJ51" s="293"/>
      <c r="CK51" s="293">
        <v>0</v>
      </c>
      <c r="CL51" s="293">
        <v>0</v>
      </c>
      <c r="CM51" s="293">
        <v>0</v>
      </c>
      <c r="CN51" s="293">
        <v>0</v>
      </c>
      <c r="CO51" s="293">
        <v>0</v>
      </c>
      <c r="CP51" s="295">
        <v>0</v>
      </c>
      <c r="CQ51" s="293">
        <v>0</v>
      </c>
      <c r="CR51" s="293">
        <v>0</v>
      </c>
      <c r="CS51" s="293">
        <v>0</v>
      </c>
      <c r="CT51" s="293">
        <v>0</v>
      </c>
      <c r="CU51" s="293">
        <v>0</v>
      </c>
      <c r="CV51" s="293">
        <v>0</v>
      </c>
      <c r="CW51" s="293">
        <v>0</v>
      </c>
      <c r="CX51" s="293">
        <v>0</v>
      </c>
      <c r="CY51" s="293">
        <v>0</v>
      </c>
      <c r="CZ51" s="293">
        <v>0</v>
      </c>
      <c r="DA51" s="293">
        <v>0</v>
      </c>
      <c r="DB51" s="1288">
        <v>0</v>
      </c>
      <c r="DC51" s="293">
        <v>0</v>
      </c>
      <c r="DD51" s="293">
        <v>0</v>
      </c>
      <c r="DE51" s="293">
        <v>0</v>
      </c>
      <c r="DF51" s="293">
        <v>0</v>
      </c>
      <c r="DG51" s="293">
        <v>0</v>
      </c>
      <c r="DH51" s="293">
        <v>0</v>
      </c>
      <c r="DI51" s="293">
        <v>0</v>
      </c>
      <c r="DJ51" s="293">
        <v>0</v>
      </c>
      <c r="DK51" s="293">
        <v>0</v>
      </c>
      <c r="DL51" s="293">
        <v>0</v>
      </c>
      <c r="DM51" s="293">
        <v>0</v>
      </c>
      <c r="DN51" s="295">
        <v>0</v>
      </c>
      <c r="DO51" s="293">
        <v>0</v>
      </c>
      <c r="DP51" s="293">
        <v>0</v>
      </c>
      <c r="DQ51" s="293">
        <v>0</v>
      </c>
      <c r="DR51" s="293">
        <v>0</v>
      </c>
      <c r="DS51" s="293">
        <v>0</v>
      </c>
      <c r="DT51" s="293">
        <v>0</v>
      </c>
      <c r="DU51" s="293">
        <v>0</v>
      </c>
      <c r="DV51" s="293">
        <v>0</v>
      </c>
      <c r="DW51" s="293">
        <v>0</v>
      </c>
      <c r="DX51" s="293">
        <v>0</v>
      </c>
      <c r="DY51" s="293">
        <v>0</v>
      </c>
      <c r="DZ51" s="295">
        <v>0</v>
      </c>
      <c r="EA51" s="293">
        <v>0</v>
      </c>
      <c r="EB51" s="293">
        <v>0</v>
      </c>
      <c r="EC51" s="293">
        <v>0</v>
      </c>
      <c r="ED51" s="293">
        <v>0</v>
      </c>
      <c r="EE51" s="293">
        <v>0</v>
      </c>
      <c r="EF51" s="293">
        <v>0</v>
      </c>
      <c r="EG51" s="293">
        <v>0</v>
      </c>
      <c r="EH51" s="293">
        <v>0</v>
      </c>
      <c r="EI51" s="293">
        <v>0</v>
      </c>
      <c r="EJ51" s="293">
        <v>0</v>
      </c>
      <c r="EK51" s="293">
        <v>0</v>
      </c>
      <c r="EL51" s="295">
        <v>0</v>
      </c>
      <c r="EM51" s="1080">
        <v>0</v>
      </c>
      <c r="EN51" s="1080">
        <v>0</v>
      </c>
      <c r="EO51" s="1080">
        <v>0</v>
      </c>
      <c r="EP51" s="1080">
        <v>0</v>
      </c>
      <c r="EQ51" s="1080">
        <v>0</v>
      </c>
      <c r="ER51" s="1080">
        <v>0</v>
      </c>
      <c r="ES51" s="1080">
        <v>0</v>
      </c>
      <c r="ET51" s="1080">
        <v>0</v>
      </c>
      <c r="EU51" s="1080">
        <v>0</v>
      </c>
      <c r="EV51" s="1080">
        <v>0</v>
      </c>
      <c r="EW51" s="1080">
        <v>0</v>
      </c>
      <c r="EX51" s="1340">
        <v>0</v>
      </c>
      <c r="EY51" s="1080"/>
      <c r="EZ51" s="1080"/>
      <c r="FA51" s="1080"/>
      <c r="FB51" s="1080"/>
      <c r="FC51" s="1080"/>
      <c r="FD51" s="1080"/>
      <c r="FE51" s="1080"/>
      <c r="FF51" s="1080"/>
      <c r="FG51" s="1080"/>
      <c r="FH51" s="1080"/>
      <c r="FI51" s="1080"/>
      <c r="FJ51" s="1340"/>
      <c r="FK51" s="1080"/>
      <c r="FL51" s="1080"/>
      <c r="FM51" s="1080"/>
      <c r="FN51" s="1080"/>
      <c r="FO51" s="1080"/>
      <c r="FP51" s="1080"/>
      <c r="FQ51" s="293"/>
      <c r="FR51" s="293"/>
      <c r="FS51" s="293"/>
      <c r="FT51" s="293"/>
      <c r="FU51" s="293"/>
      <c r="FV51" s="293"/>
      <c r="FW51" s="293"/>
      <c r="FX51" s="293"/>
      <c r="FY51" s="293"/>
      <c r="FZ51" s="293"/>
      <c r="GA51" s="293"/>
      <c r="GB51" s="293"/>
      <c r="GC51" s="293"/>
      <c r="GD51" s="293"/>
      <c r="GE51" s="293"/>
      <c r="GF51" s="293"/>
      <c r="GG51" s="293"/>
      <c r="GH51" s="293"/>
      <c r="GI51" s="293"/>
      <c r="GJ51" s="293"/>
      <c r="GK51" s="293"/>
      <c r="GL51" s="293"/>
      <c r="GM51" s="293"/>
      <c r="GN51" s="293"/>
      <c r="GO51" s="293"/>
      <c r="GP51" s="293"/>
      <c r="GQ51" s="293"/>
      <c r="GR51" s="293"/>
      <c r="GS51" s="293"/>
      <c r="GT51" s="293"/>
      <c r="GU51" s="293"/>
      <c r="GV51" s="293"/>
      <c r="GW51" s="293"/>
      <c r="GX51" s="293"/>
      <c r="GY51" s="293"/>
      <c r="GZ51" s="293"/>
      <c r="HA51" s="293"/>
      <c r="HB51" s="293"/>
      <c r="HC51" s="293"/>
      <c r="HD51" s="293"/>
      <c r="HE51" s="293"/>
      <c r="HF51" s="293"/>
      <c r="HG51" s="293"/>
      <c r="HH51" s="293"/>
      <c r="HI51" s="293"/>
      <c r="HJ51" s="293"/>
      <c r="HK51" s="293"/>
      <c r="HL51" s="293"/>
      <c r="HM51" s="293"/>
      <c r="HN51" s="293"/>
      <c r="HO51" s="293"/>
      <c r="HP51" s="293"/>
      <c r="HQ51" s="293"/>
      <c r="HR51" s="293"/>
      <c r="HS51" s="293"/>
      <c r="HT51" s="293"/>
      <c r="HU51" s="293"/>
      <c r="HV51" s="293"/>
      <c r="HW51" s="293"/>
      <c r="HX51" s="293"/>
      <c r="HY51" s="293"/>
      <c r="IH51" s="279">
        <f t="shared" si="11"/>
        <v>0</v>
      </c>
      <c r="II51" s="279">
        <f t="shared" si="12"/>
        <v>0</v>
      </c>
      <c r="IJ51" s="279">
        <f t="shared" si="13"/>
        <v>0</v>
      </c>
      <c r="IK51" s="279">
        <f t="shared" si="14"/>
        <v>0</v>
      </c>
      <c r="KT51" s="280"/>
    </row>
    <row r="52" spans="1:306" outlineLevel="1">
      <c r="B52" s="96" t="s">
        <v>338</v>
      </c>
      <c r="D52" s="296" t="s">
        <v>367</v>
      </c>
      <c r="E52" s="293"/>
      <c r="F52" s="293"/>
      <c r="G52" s="293"/>
      <c r="H52" s="293"/>
      <c r="I52" s="293"/>
      <c r="J52" s="293"/>
      <c r="K52" s="293"/>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v>0</v>
      </c>
      <c r="AP52" s="293">
        <v>0</v>
      </c>
      <c r="AQ52" s="293">
        <v>0</v>
      </c>
      <c r="AR52" s="293">
        <v>0</v>
      </c>
      <c r="AS52" s="293">
        <v>0</v>
      </c>
      <c r="AT52" s="293">
        <v>0</v>
      </c>
      <c r="AU52" s="293">
        <v>0.41372432032329998</v>
      </c>
      <c r="AV52" s="293">
        <v>0</v>
      </c>
      <c r="AW52" s="293">
        <v>0</v>
      </c>
      <c r="AX52" s="293">
        <v>0</v>
      </c>
      <c r="AY52" s="293">
        <v>0</v>
      </c>
      <c r="AZ52" s="293">
        <v>0</v>
      </c>
      <c r="BA52" s="293">
        <v>0.44203008599999999</v>
      </c>
      <c r="BB52" s="293">
        <v>0</v>
      </c>
      <c r="BC52" s="293">
        <v>0</v>
      </c>
      <c r="BD52" s="293">
        <v>0</v>
      </c>
      <c r="BE52" s="293">
        <v>0</v>
      </c>
      <c r="BF52" s="293">
        <v>0</v>
      </c>
      <c r="BG52" s="293">
        <v>0.46948027199999998</v>
      </c>
      <c r="BH52" s="293">
        <v>0</v>
      </c>
      <c r="BI52" s="293">
        <v>0</v>
      </c>
      <c r="BJ52" s="293">
        <v>0</v>
      </c>
      <c r="BK52" s="293">
        <v>0</v>
      </c>
      <c r="BL52" s="293">
        <v>0</v>
      </c>
      <c r="BM52" s="293">
        <v>0.42419037292520001</v>
      </c>
      <c r="BN52" s="293">
        <v>0</v>
      </c>
      <c r="BO52" s="293">
        <v>0</v>
      </c>
      <c r="BP52" s="293">
        <v>0</v>
      </c>
      <c r="BQ52" s="293">
        <v>0</v>
      </c>
      <c r="BR52" s="293">
        <v>0</v>
      </c>
      <c r="BS52" s="293">
        <v>0.41295677324930002</v>
      </c>
      <c r="BT52" s="293">
        <v>0</v>
      </c>
      <c r="BU52" s="293">
        <v>0</v>
      </c>
      <c r="BV52" s="293">
        <v>0</v>
      </c>
      <c r="BW52" s="293">
        <v>0</v>
      </c>
      <c r="BX52" s="293">
        <v>0</v>
      </c>
      <c r="BY52" s="293">
        <v>0.46217145300000001</v>
      </c>
      <c r="BZ52" s="293">
        <v>0</v>
      </c>
      <c r="CA52" s="293">
        <v>0</v>
      </c>
      <c r="CB52" s="293">
        <v>0</v>
      </c>
      <c r="CC52" s="293">
        <v>0</v>
      </c>
      <c r="CD52" s="293">
        <v>0</v>
      </c>
      <c r="CE52" s="294">
        <v>0</v>
      </c>
      <c r="CF52" s="293">
        <v>0</v>
      </c>
      <c r="CG52" s="293">
        <v>0</v>
      </c>
      <c r="CH52" s="293">
        <v>0</v>
      </c>
      <c r="CI52" s="293">
        <v>0</v>
      </c>
      <c r="CJ52" s="293">
        <v>0</v>
      </c>
      <c r="CK52" s="293">
        <v>0</v>
      </c>
      <c r="CL52" s="293">
        <v>0</v>
      </c>
      <c r="CM52" s="293">
        <v>0</v>
      </c>
      <c r="CN52" s="293">
        <v>0</v>
      </c>
      <c r="CO52" s="293">
        <v>0</v>
      </c>
      <c r="CP52" s="295">
        <v>0</v>
      </c>
      <c r="CQ52" s="293">
        <v>0</v>
      </c>
      <c r="CR52" s="293">
        <v>0</v>
      </c>
      <c r="CS52" s="293">
        <v>0</v>
      </c>
      <c r="CT52" s="293">
        <v>0</v>
      </c>
      <c r="CU52" s="293">
        <v>0</v>
      </c>
      <c r="CV52" s="293">
        <v>0</v>
      </c>
      <c r="CW52" s="293">
        <v>0</v>
      </c>
      <c r="CX52" s="293">
        <v>0</v>
      </c>
      <c r="CY52" s="293">
        <v>0</v>
      </c>
      <c r="CZ52" s="293">
        <v>0</v>
      </c>
      <c r="DA52" s="293">
        <v>0</v>
      </c>
      <c r="DB52" s="1288">
        <v>0</v>
      </c>
      <c r="DC52" s="293">
        <v>0</v>
      </c>
      <c r="DD52" s="293">
        <v>0</v>
      </c>
      <c r="DE52" s="293">
        <v>0</v>
      </c>
      <c r="DF52" s="293">
        <v>0</v>
      </c>
      <c r="DG52" s="293">
        <v>0</v>
      </c>
      <c r="DH52" s="293">
        <v>0</v>
      </c>
      <c r="DI52" s="293">
        <v>0</v>
      </c>
      <c r="DJ52" s="293">
        <v>0</v>
      </c>
      <c r="DK52" s="293">
        <v>0</v>
      </c>
      <c r="DL52" s="293">
        <v>0</v>
      </c>
      <c r="DM52" s="293">
        <v>0</v>
      </c>
      <c r="DN52" s="295">
        <v>0</v>
      </c>
      <c r="DO52" s="293">
        <v>0</v>
      </c>
      <c r="DP52" s="293">
        <v>0</v>
      </c>
      <c r="DQ52" s="293">
        <v>0</v>
      </c>
      <c r="DR52" s="293">
        <v>0</v>
      </c>
      <c r="DS52" s="293">
        <v>0</v>
      </c>
      <c r="DT52" s="293">
        <v>0</v>
      </c>
      <c r="DU52" s="293">
        <v>0</v>
      </c>
      <c r="DV52" s="293">
        <v>0</v>
      </c>
      <c r="DW52" s="293">
        <v>0</v>
      </c>
      <c r="DX52" s="293">
        <v>0</v>
      </c>
      <c r="DY52" s="293">
        <v>0</v>
      </c>
      <c r="DZ52" s="295">
        <v>0</v>
      </c>
      <c r="EA52" s="293">
        <v>0</v>
      </c>
      <c r="EB52" s="293">
        <v>0</v>
      </c>
      <c r="EC52" s="293">
        <v>0</v>
      </c>
      <c r="ED52" s="293">
        <v>0</v>
      </c>
      <c r="EE52" s="293">
        <v>0</v>
      </c>
      <c r="EF52" s="293">
        <v>0</v>
      </c>
      <c r="EG52" s="293">
        <v>0</v>
      </c>
      <c r="EH52" s="293">
        <v>0</v>
      </c>
      <c r="EI52" s="293">
        <v>0</v>
      </c>
      <c r="EJ52" s="293">
        <v>0</v>
      </c>
      <c r="EK52" s="293">
        <v>0</v>
      </c>
      <c r="EL52" s="295">
        <v>0</v>
      </c>
      <c r="EM52" s="1080">
        <v>0</v>
      </c>
      <c r="EN52" s="1080">
        <v>0</v>
      </c>
      <c r="EO52" s="1080">
        <v>0</v>
      </c>
      <c r="EP52" s="1080">
        <v>0</v>
      </c>
      <c r="EQ52" s="1080">
        <v>0</v>
      </c>
      <c r="ER52" s="1080">
        <v>0</v>
      </c>
      <c r="ES52" s="1080">
        <v>0</v>
      </c>
      <c r="ET52" s="1080">
        <v>0</v>
      </c>
      <c r="EU52" s="1080">
        <v>0</v>
      </c>
      <c r="EV52" s="1080">
        <v>0</v>
      </c>
      <c r="EW52" s="1080">
        <v>0</v>
      </c>
      <c r="EX52" s="1340">
        <v>0</v>
      </c>
      <c r="EY52" s="1080"/>
      <c r="EZ52" s="1080"/>
      <c r="FA52" s="1080"/>
      <c r="FB52" s="1080"/>
      <c r="FC52" s="1080"/>
      <c r="FD52" s="1080"/>
      <c r="FE52" s="1080"/>
      <c r="FF52" s="1080"/>
      <c r="FG52" s="1080"/>
      <c r="FH52" s="1080"/>
      <c r="FI52" s="1080"/>
      <c r="FJ52" s="1340"/>
      <c r="FK52" s="1080"/>
      <c r="FL52" s="1080"/>
      <c r="FM52" s="1080"/>
      <c r="FN52" s="1080"/>
      <c r="FO52" s="1080"/>
      <c r="FP52" s="1080"/>
      <c r="FQ52" s="293"/>
      <c r="FR52" s="293"/>
      <c r="FS52" s="293"/>
      <c r="FT52" s="293"/>
      <c r="FU52" s="293"/>
      <c r="FV52" s="293"/>
      <c r="FW52" s="293"/>
      <c r="FX52" s="293"/>
      <c r="FY52" s="293"/>
      <c r="FZ52" s="293"/>
      <c r="GA52" s="293"/>
      <c r="GB52" s="293"/>
      <c r="GC52" s="293"/>
      <c r="GD52" s="293"/>
      <c r="GE52" s="293"/>
      <c r="GF52" s="293"/>
      <c r="GG52" s="293"/>
      <c r="GH52" s="293"/>
      <c r="GI52" s="293"/>
      <c r="GJ52" s="293"/>
      <c r="GK52" s="293"/>
      <c r="GL52" s="293"/>
      <c r="GM52" s="293"/>
      <c r="GN52" s="293"/>
      <c r="GO52" s="293"/>
      <c r="GP52" s="293"/>
      <c r="GQ52" s="293"/>
      <c r="GR52" s="293"/>
      <c r="GS52" s="293"/>
      <c r="GT52" s="293"/>
      <c r="GU52" s="293"/>
      <c r="GV52" s="293"/>
      <c r="GW52" s="293"/>
      <c r="GX52" s="293"/>
      <c r="GY52" s="293"/>
      <c r="GZ52" s="293"/>
      <c r="HA52" s="293"/>
      <c r="HB52" s="293"/>
      <c r="HC52" s="293"/>
      <c r="HD52" s="293"/>
      <c r="HE52" s="293"/>
      <c r="HF52" s="293"/>
      <c r="HG52" s="293"/>
      <c r="HH52" s="293"/>
      <c r="HI52" s="293"/>
      <c r="HJ52" s="293"/>
      <c r="HK52" s="293"/>
      <c r="HL52" s="293"/>
      <c r="HM52" s="293"/>
      <c r="HN52" s="293"/>
      <c r="HO52" s="293"/>
      <c r="HP52" s="293"/>
      <c r="HQ52" s="293"/>
      <c r="HR52" s="293"/>
      <c r="HS52" s="293"/>
      <c r="HT52" s="293"/>
      <c r="HU52" s="293"/>
      <c r="HV52" s="293"/>
      <c r="HW52" s="293"/>
      <c r="HX52" s="293"/>
      <c r="HY52" s="293"/>
      <c r="IH52" s="279">
        <f t="shared" si="11"/>
        <v>0</v>
      </c>
      <c r="II52" s="279">
        <f t="shared" si="12"/>
        <v>0</v>
      </c>
      <c r="IJ52" s="279">
        <f t="shared" si="13"/>
        <v>0</v>
      </c>
      <c r="IK52" s="279">
        <f t="shared" si="14"/>
        <v>0</v>
      </c>
      <c r="KT52" s="280"/>
    </row>
    <row r="53" spans="1:306" outlineLevel="1">
      <c r="B53" s="96" t="s">
        <v>338</v>
      </c>
      <c r="D53" s="296" t="s">
        <v>368</v>
      </c>
      <c r="E53" s="293"/>
      <c r="F53" s="293"/>
      <c r="G53" s="293"/>
      <c r="H53" s="293"/>
      <c r="I53" s="293"/>
      <c r="J53" s="293"/>
      <c r="K53" s="293"/>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v>0</v>
      </c>
      <c r="AP53" s="293">
        <v>0</v>
      </c>
      <c r="AQ53" s="293">
        <v>0</v>
      </c>
      <c r="AR53" s="293">
        <v>0</v>
      </c>
      <c r="AS53" s="293">
        <v>0</v>
      </c>
      <c r="AT53" s="293">
        <v>0</v>
      </c>
      <c r="AU53" s="293">
        <v>0</v>
      </c>
      <c r="AV53" s="293">
        <v>0</v>
      </c>
      <c r="AW53" s="293">
        <v>0</v>
      </c>
      <c r="AX53" s="293">
        <v>0</v>
      </c>
      <c r="AY53" s="293">
        <v>0</v>
      </c>
      <c r="AZ53" s="293">
        <v>0</v>
      </c>
      <c r="BA53" s="293">
        <v>0</v>
      </c>
      <c r="BB53" s="293">
        <v>0</v>
      </c>
      <c r="BC53" s="293">
        <v>0</v>
      </c>
      <c r="BD53" s="293">
        <v>0</v>
      </c>
      <c r="BE53" s="293">
        <v>0</v>
      </c>
      <c r="BF53" s="293">
        <v>0</v>
      </c>
      <c r="BG53" s="293">
        <v>0</v>
      </c>
      <c r="BH53" s="293">
        <v>0</v>
      </c>
      <c r="BI53" s="293">
        <v>0</v>
      </c>
      <c r="BJ53" s="293">
        <v>0</v>
      </c>
      <c r="BK53" s="293">
        <v>0</v>
      </c>
      <c r="BL53" s="293">
        <v>0</v>
      </c>
      <c r="BM53" s="293">
        <v>0</v>
      </c>
      <c r="BN53" s="293">
        <v>0</v>
      </c>
      <c r="BO53" s="293">
        <v>0</v>
      </c>
      <c r="BP53" s="293">
        <v>0</v>
      </c>
      <c r="BQ53" s="293">
        <v>0</v>
      </c>
      <c r="BR53" s="293">
        <v>0</v>
      </c>
      <c r="BS53" s="293">
        <v>0</v>
      </c>
      <c r="BT53" s="293">
        <v>0</v>
      </c>
      <c r="BU53" s="293">
        <v>0</v>
      </c>
      <c r="BV53" s="293">
        <v>0</v>
      </c>
      <c r="BW53" s="293">
        <v>0</v>
      </c>
      <c r="BX53" s="293">
        <v>0</v>
      </c>
      <c r="BY53" s="293">
        <v>0</v>
      </c>
      <c r="BZ53" s="293">
        <v>0</v>
      </c>
      <c r="CA53" s="293">
        <v>0</v>
      </c>
      <c r="CB53" s="293">
        <v>0</v>
      </c>
      <c r="CC53" s="293">
        <v>0</v>
      </c>
      <c r="CD53" s="293">
        <v>0</v>
      </c>
      <c r="CE53" s="294">
        <v>0</v>
      </c>
      <c r="CF53" s="293">
        <v>0</v>
      </c>
      <c r="CG53" s="293">
        <v>0</v>
      </c>
      <c r="CH53" s="293">
        <v>0</v>
      </c>
      <c r="CI53" s="293">
        <v>0</v>
      </c>
      <c r="CJ53" s="293">
        <v>0</v>
      </c>
      <c r="CK53" s="293">
        <v>0</v>
      </c>
      <c r="CL53" s="293">
        <v>0</v>
      </c>
      <c r="CM53" s="293">
        <v>0</v>
      </c>
      <c r="CN53" s="293">
        <v>0</v>
      </c>
      <c r="CO53" s="293">
        <v>0</v>
      </c>
      <c r="CP53" s="295">
        <v>0</v>
      </c>
      <c r="CQ53" s="293">
        <v>0</v>
      </c>
      <c r="CR53" s="293">
        <v>0</v>
      </c>
      <c r="CS53" s="293">
        <v>0</v>
      </c>
      <c r="CT53" s="293">
        <v>0</v>
      </c>
      <c r="CU53" s="293">
        <v>0</v>
      </c>
      <c r="CV53" s="293">
        <v>0</v>
      </c>
      <c r="CW53" s="293">
        <v>0</v>
      </c>
      <c r="CX53" s="293">
        <v>0</v>
      </c>
      <c r="CY53" s="293">
        <v>0</v>
      </c>
      <c r="CZ53" s="293">
        <v>0</v>
      </c>
      <c r="DA53" s="293">
        <v>0</v>
      </c>
      <c r="DB53" s="1288">
        <v>0</v>
      </c>
      <c r="DC53" s="293">
        <v>0</v>
      </c>
      <c r="DD53" s="293">
        <v>0</v>
      </c>
      <c r="DE53" s="293">
        <v>0</v>
      </c>
      <c r="DF53" s="293">
        <v>0</v>
      </c>
      <c r="DG53" s="293">
        <v>0</v>
      </c>
      <c r="DH53" s="293">
        <v>0</v>
      </c>
      <c r="DI53" s="293">
        <v>0</v>
      </c>
      <c r="DJ53" s="293">
        <v>0</v>
      </c>
      <c r="DK53" s="293">
        <v>0</v>
      </c>
      <c r="DL53" s="293">
        <v>0</v>
      </c>
      <c r="DM53" s="293">
        <v>0</v>
      </c>
      <c r="DN53" s="295">
        <v>0</v>
      </c>
      <c r="DO53" s="293">
        <v>0</v>
      </c>
      <c r="DP53" s="293">
        <v>0</v>
      </c>
      <c r="DQ53" s="293">
        <v>4.8789299801195313E-2</v>
      </c>
      <c r="DR53" s="293">
        <v>0</v>
      </c>
      <c r="DS53" s="293">
        <v>0</v>
      </c>
      <c r="DT53" s="293">
        <v>0</v>
      </c>
      <c r="DU53" s="293">
        <v>0</v>
      </c>
      <c r="DV53" s="293">
        <v>0</v>
      </c>
      <c r="DW53" s="293">
        <v>4.6253747465003756E-2</v>
      </c>
      <c r="DX53" s="293">
        <v>0</v>
      </c>
      <c r="DY53" s="293">
        <v>0</v>
      </c>
      <c r="DZ53" s="295">
        <v>0</v>
      </c>
      <c r="EA53" s="293">
        <v>0</v>
      </c>
      <c r="EB53" s="293">
        <v>0</v>
      </c>
      <c r="EC53" s="293">
        <v>5.0441307885175264E-2</v>
      </c>
      <c r="ED53" s="293">
        <v>0</v>
      </c>
      <c r="EE53" s="293">
        <v>0</v>
      </c>
      <c r="EF53" s="293">
        <v>0</v>
      </c>
      <c r="EG53" s="293">
        <v>0</v>
      </c>
      <c r="EH53" s="293">
        <v>0</v>
      </c>
      <c r="EI53" s="293">
        <v>0</v>
      </c>
      <c r="EJ53" s="293">
        <v>0</v>
      </c>
      <c r="EK53" s="293">
        <v>5.1488414040169288E-2</v>
      </c>
      <c r="EL53" s="295">
        <v>0</v>
      </c>
      <c r="EM53" s="1080">
        <v>0</v>
      </c>
      <c r="EN53" s="1080">
        <v>0</v>
      </c>
      <c r="EO53" s="1080">
        <v>5.2339519754664457E-2</v>
      </c>
      <c r="EP53" s="1080">
        <v>0</v>
      </c>
      <c r="EQ53" s="1080">
        <v>0</v>
      </c>
      <c r="ER53" s="1080">
        <v>0</v>
      </c>
      <c r="ES53" s="1080">
        <v>0</v>
      </c>
      <c r="ET53" s="1080">
        <v>0</v>
      </c>
      <c r="EU53" s="1080">
        <v>5.3519956059E-2</v>
      </c>
      <c r="EV53" s="1080">
        <v>0</v>
      </c>
      <c r="EW53" s="1080">
        <v>0</v>
      </c>
      <c r="EX53" s="1340">
        <v>0</v>
      </c>
      <c r="EY53" s="1080"/>
      <c r="EZ53" s="1080"/>
      <c r="FA53" s="1080"/>
      <c r="FB53" s="1080"/>
      <c r="FC53" s="1080"/>
      <c r="FD53" s="1080"/>
      <c r="FE53" s="1080"/>
      <c r="FF53" s="1080"/>
      <c r="FG53" s="1080"/>
      <c r="FH53" s="1080"/>
      <c r="FI53" s="1080"/>
      <c r="FJ53" s="1340"/>
      <c r="FK53" s="1080"/>
      <c r="FL53" s="1080"/>
      <c r="FM53" s="1080"/>
      <c r="FN53" s="1080"/>
      <c r="FO53" s="1080"/>
      <c r="FP53" s="1080"/>
      <c r="FQ53" s="293"/>
      <c r="FR53" s="293"/>
      <c r="FS53" s="293"/>
      <c r="FT53" s="293"/>
      <c r="FU53" s="293"/>
      <c r="FV53" s="293"/>
      <c r="FW53" s="293"/>
      <c r="FX53" s="293"/>
      <c r="FY53" s="293"/>
      <c r="FZ53" s="293"/>
      <c r="GA53" s="293"/>
      <c r="GB53" s="293"/>
      <c r="GC53" s="293"/>
      <c r="GD53" s="293"/>
      <c r="GE53" s="293"/>
      <c r="GF53" s="293"/>
      <c r="GG53" s="293"/>
      <c r="GH53" s="293"/>
      <c r="GI53" s="293"/>
      <c r="GJ53" s="293"/>
      <c r="GK53" s="293"/>
      <c r="GL53" s="293"/>
      <c r="GM53" s="293"/>
      <c r="GN53" s="293"/>
      <c r="GO53" s="293"/>
      <c r="GP53" s="293"/>
      <c r="GQ53" s="293"/>
      <c r="GR53" s="293"/>
      <c r="GS53" s="293"/>
      <c r="GT53" s="293"/>
      <c r="GU53" s="293"/>
      <c r="GV53" s="293"/>
      <c r="GW53" s="293"/>
      <c r="GX53" s="293"/>
      <c r="GY53" s="293"/>
      <c r="GZ53" s="293"/>
      <c r="HA53" s="293"/>
      <c r="HB53" s="293"/>
      <c r="HC53" s="293"/>
      <c r="HD53" s="293"/>
      <c r="HE53" s="293"/>
      <c r="HF53" s="293"/>
      <c r="HG53" s="293"/>
      <c r="HH53" s="293"/>
      <c r="HI53" s="293"/>
      <c r="HJ53" s="293"/>
      <c r="HK53" s="293"/>
      <c r="HL53" s="293"/>
      <c r="HM53" s="293"/>
      <c r="HN53" s="293"/>
      <c r="HO53" s="293"/>
      <c r="HP53" s="293"/>
      <c r="HQ53" s="293"/>
      <c r="HR53" s="293"/>
      <c r="HS53" s="293"/>
      <c r="HT53" s="293"/>
      <c r="HU53" s="293"/>
      <c r="HV53" s="293"/>
      <c r="HW53" s="293"/>
      <c r="HX53" s="293"/>
      <c r="HY53" s="293"/>
      <c r="IH53" s="279">
        <f t="shared" si="11"/>
        <v>0</v>
      </c>
      <c r="II53" s="279">
        <f t="shared" si="12"/>
        <v>0</v>
      </c>
      <c r="IJ53" s="279">
        <f t="shared" si="13"/>
        <v>0</v>
      </c>
      <c r="IK53" s="279">
        <f t="shared" si="14"/>
        <v>4.8789299801195313E-2</v>
      </c>
      <c r="KT53" s="280"/>
    </row>
    <row r="54" spans="1:306" outlineLevel="1">
      <c r="B54" s="96" t="s">
        <v>338</v>
      </c>
      <c r="D54" s="296" t="s">
        <v>369</v>
      </c>
      <c r="E54" s="293"/>
      <c r="F54" s="293"/>
      <c r="G54" s="293"/>
      <c r="H54" s="293"/>
      <c r="I54" s="293"/>
      <c r="J54" s="293"/>
      <c r="K54" s="293"/>
      <c r="L54" s="293"/>
      <c r="M54" s="293"/>
      <c r="N54" s="293"/>
      <c r="O54" s="293"/>
      <c r="P54" s="293"/>
      <c r="Q54" s="293"/>
      <c r="R54" s="293"/>
      <c r="S54" s="293"/>
      <c r="T54" s="293"/>
      <c r="U54" s="293"/>
      <c r="V54" s="293"/>
      <c r="W54" s="293"/>
      <c r="X54" s="293"/>
      <c r="Y54" s="293"/>
      <c r="Z54" s="293"/>
      <c r="AA54" s="293"/>
      <c r="AB54" s="293"/>
      <c r="AC54" s="293"/>
      <c r="AD54" s="293"/>
      <c r="AE54" s="293"/>
      <c r="AF54" s="293"/>
      <c r="AG54" s="293"/>
      <c r="AH54" s="293"/>
      <c r="AI54" s="293"/>
      <c r="AJ54" s="293"/>
      <c r="AK54" s="293"/>
      <c r="AL54" s="293"/>
      <c r="AM54" s="293"/>
      <c r="AN54" s="293"/>
      <c r="AO54" s="293">
        <v>0</v>
      </c>
      <c r="AP54" s="293">
        <v>0</v>
      </c>
      <c r="AQ54" s="293">
        <v>0</v>
      </c>
      <c r="AR54" s="293">
        <v>0</v>
      </c>
      <c r="AS54" s="293">
        <v>0</v>
      </c>
      <c r="AT54" s="293">
        <v>0</v>
      </c>
      <c r="AU54" s="293">
        <v>0</v>
      </c>
      <c r="AV54" s="293">
        <v>0</v>
      </c>
      <c r="AW54" s="293">
        <v>0</v>
      </c>
      <c r="AX54" s="293">
        <v>0</v>
      </c>
      <c r="AY54" s="293">
        <v>0</v>
      </c>
      <c r="AZ54" s="293">
        <v>0</v>
      </c>
      <c r="BA54" s="293">
        <v>0</v>
      </c>
      <c r="BB54" s="293">
        <v>0</v>
      </c>
      <c r="BC54" s="293">
        <v>0</v>
      </c>
      <c r="BD54" s="293">
        <v>0</v>
      </c>
      <c r="BE54" s="293">
        <v>0</v>
      </c>
      <c r="BF54" s="293">
        <v>0</v>
      </c>
      <c r="BG54" s="293">
        <v>0</v>
      </c>
      <c r="BH54" s="293">
        <v>0</v>
      </c>
      <c r="BI54" s="293">
        <v>0</v>
      </c>
      <c r="BJ54" s="293">
        <v>0</v>
      </c>
      <c r="BK54" s="293">
        <v>0</v>
      </c>
      <c r="BL54" s="293">
        <v>0</v>
      </c>
      <c r="BM54" s="293">
        <v>0</v>
      </c>
      <c r="BN54" s="293">
        <v>0</v>
      </c>
      <c r="BO54" s="293">
        <v>0</v>
      </c>
      <c r="BP54" s="293">
        <v>0</v>
      </c>
      <c r="BQ54" s="293">
        <v>0</v>
      </c>
      <c r="BR54" s="293">
        <v>0</v>
      </c>
      <c r="BS54" s="293">
        <v>0</v>
      </c>
      <c r="BT54" s="293">
        <v>0</v>
      </c>
      <c r="BU54" s="293">
        <v>0</v>
      </c>
      <c r="BV54" s="293">
        <v>0</v>
      </c>
      <c r="BW54" s="293">
        <v>0</v>
      </c>
      <c r="BX54" s="293">
        <v>0</v>
      </c>
      <c r="BY54" s="293">
        <v>0</v>
      </c>
      <c r="BZ54" s="293">
        <v>0</v>
      </c>
      <c r="CA54" s="293">
        <v>0</v>
      </c>
      <c r="CB54" s="293">
        <v>0</v>
      </c>
      <c r="CC54" s="293">
        <v>0</v>
      </c>
      <c r="CD54" s="293">
        <v>0</v>
      </c>
      <c r="CE54" s="294">
        <v>0</v>
      </c>
      <c r="CF54" s="293">
        <v>0</v>
      </c>
      <c r="CG54" s="293">
        <v>0</v>
      </c>
      <c r="CH54" s="293">
        <v>0</v>
      </c>
      <c r="CI54" s="293">
        <v>0</v>
      </c>
      <c r="CJ54" s="293">
        <v>0</v>
      </c>
      <c r="CK54" s="293">
        <v>0</v>
      </c>
      <c r="CL54" s="293">
        <v>0</v>
      </c>
      <c r="CM54" s="293">
        <v>0</v>
      </c>
      <c r="CN54" s="293">
        <v>0</v>
      </c>
      <c r="CO54" s="293">
        <v>0</v>
      </c>
      <c r="CP54" s="295">
        <v>0</v>
      </c>
      <c r="CQ54" s="293">
        <v>0</v>
      </c>
      <c r="CR54" s="293">
        <v>0</v>
      </c>
      <c r="CS54" s="293">
        <v>0</v>
      </c>
      <c r="CT54" s="293">
        <v>0</v>
      </c>
      <c r="CU54" s="293">
        <v>0</v>
      </c>
      <c r="CV54" s="293">
        <v>0</v>
      </c>
      <c r="CW54" s="293">
        <v>0</v>
      </c>
      <c r="CX54" s="293">
        <v>0</v>
      </c>
      <c r="CY54" s="293">
        <v>0</v>
      </c>
      <c r="CZ54" s="293">
        <v>0</v>
      </c>
      <c r="DA54" s="293">
        <v>0</v>
      </c>
      <c r="DB54" s="1288">
        <v>0</v>
      </c>
      <c r="DC54" s="293">
        <v>0</v>
      </c>
      <c r="DD54" s="293">
        <v>0</v>
      </c>
      <c r="DE54" s="293">
        <v>0</v>
      </c>
      <c r="DF54" s="293">
        <v>0</v>
      </c>
      <c r="DG54" s="293">
        <v>0</v>
      </c>
      <c r="DH54" s="293">
        <v>0</v>
      </c>
      <c r="DI54" s="293">
        <v>0</v>
      </c>
      <c r="DJ54" s="293">
        <v>0</v>
      </c>
      <c r="DK54" s="293">
        <v>0</v>
      </c>
      <c r="DL54" s="293">
        <v>0</v>
      </c>
      <c r="DM54" s="293">
        <v>0</v>
      </c>
      <c r="DN54" s="295">
        <v>0</v>
      </c>
      <c r="DO54" s="293">
        <v>0</v>
      </c>
      <c r="DP54" s="293">
        <v>0</v>
      </c>
      <c r="DQ54" s="293">
        <v>0</v>
      </c>
      <c r="DR54" s="293">
        <v>0</v>
      </c>
      <c r="DS54" s="293">
        <v>0</v>
      </c>
      <c r="DT54" s="293">
        <v>0</v>
      </c>
      <c r="DU54" s="293">
        <v>0</v>
      </c>
      <c r="DV54" s="293">
        <v>0</v>
      </c>
      <c r="DW54" s="293">
        <v>0</v>
      </c>
      <c r="DX54" s="293">
        <v>0</v>
      </c>
      <c r="DY54" s="293">
        <v>0</v>
      </c>
      <c r="DZ54" s="295">
        <v>0</v>
      </c>
      <c r="EA54" s="293">
        <v>0</v>
      </c>
      <c r="EB54" s="293">
        <v>0</v>
      </c>
      <c r="EC54" s="293">
        <v>0</v>
      </c>
      <c r="ED54" s="293">
        <v>0</v>
      </c>
      <c r="EE54" s="293">
        <v>0</v>
      </c>
      <c r="EF54" s="293">
        <v>0</v>
      </c>
      <c r="EG54" s="293">
        <v>0</v>
      </c>
      <c r="EH54" s="293">
        <v>0</v>
      </c>
      <c r="EI54" s="293">
        <v>0</v>
      </c>
      <c r="EJ54" s="293">
        <v>0</v>
      </c>
      <c r="EK54" s="293">
        <v>0</v>
      </c>
      <c r="EL54" s="295">
        <v>0</v>
      </c>
      <c r="EM54" s="1080">
        <v>0</v>
      </c>
      <c r="EN54" s="1080">
        <v>0</v>
      </c>
      <c r="EO54" s="1080">
        <v>0</v>
      </c>
      <c r="EP54" s="1080">
        <v>0</v>
      </c>
      <c r="EQ54" s="1080">
        <v>0</v>
      </c>
      <c r="ER54" s="1080">
        <v>0</v>
      </c>
      <c r="ES54" s="1080">
        <v>0</v>
      </c>
      <c r="ET54" s="1080">
        <v>0</v>
      </c>
      <c r="EU54" s="1080">
        <v>0</v>
      </c>
      <c r="EV54" s="1080">
        <v>0</v>
      </c>
      <c r="EW54" s="1080">
        <v>0</v>
      </c>
      <c r="EX54" s="1340">
        <v>0</v>
      </c>
      <c r="EY54" s="1080"/>
      <c r="EZ54" s="1080"/>
      <c r="FA54" s="1080"/>
      <c r="FB54" s="1080"/>
      <c r="FC54" s="1080"/>
      <c r="FD54" s="1080"/>
      <c r="FE54" s="1080"/>
      <c r="FF54" s="1080"/>
      <c r="FG54" s="1080"/>
      <c r="FH54" s="1080"/>
      <c r="FI54" s="1080"/>
      <c r="FJ54" s="1340"/>
      <c r="FK54" s="1080"/>
      <c r="FL54" s="1080"/>
      <c r="FM54" s="1080"/>
      <c r="FN54" s="1080"/>
      <c r="FO54" s="1080"/>
      <c r="FP54" s="1080"/>
      <c r="FQ54" s="293"/>
      <c r="FR54" s="293"/>
      <c r="FS54" s="293"/>
      <c r="FT54" s="293"/>
      <c r="FU54" s="293"/>
      <c r="FV54" s="293"/>
      <c r="FW54" s="293"/>
      <c r="FX54" s="293"/>
      <c r="FY54" s="293"/>
      <c r="FZ54" s="293"/>
      <c r="GA54" s="293"/>
      <c r="GB54" s="293"/>
      <c r="GC54" s="293"/>
      <c r="GD54" s="293"/>
      <c r="GE54" s="293"/>
      <c r="GF54" s="293"/>
      <c r="GG54" s="293"/>
      <c r="GH54" s="293"/>
      <c r="GI54" s="293"/>
      <c r="GJ54" s="293"/>
      <c r="GK54" s="293"/>
      <c r="GL54" s="293"/>
      <c r="GM54" s="293"/>
      <c r="GN54" s="293"/>
      <c r="GO54" s="293"/>
      <c r="GP54" s="293"/>
      <c r="GQ54" s="293"/>
      <c r="GR54" s="293"/>
      <c r="GS54" s="293"/>
      <c r="GT54" s="293"/>
      <c r="GU54" s="293"/>
      <c r="GV54" s="293"/>
      <c r="GW54" s="293"/>
      <c r="GX54" s="293"/>
      <c r="GY54" s="293"/>
      <c r="GZ54" s="293"/>
      <c r="HA54" s="293"/>
      <c r="HB54" s="293"/>
      <c r="HC54" s="293"/>
      <c r="HD54" s="293"/>
      <c r="HE54" s="293"/>
      <c r="HF54" s="293"/>
      <c r="HG54" s="293"/>
      <c r="HH54" s="293"/>
      <c r="HI54" s="293"/>
      <c r="HJ54" s="293"/>
      <c r="HK54" s="293"/>
      <c r="HL54" s="293"/>
      <c r="HM54" s="293"/>
      <c r="HN54" s="293"/>
      <c r="HO54" s="293"/>
      <c r="HP54" s="293"/>
      <c r="HQ54" s="293"/>
      <c r="HR54" s="293"/>
      <c r="HS54" s="293"/>
      <c r="HT54" s="293"/>
      <c r="HU54" s="293"/>
      <c r="HV54" s="293"/>
      <c r="HW54" s="293"/>
      <c r="HX54" s="293"/>
      <c r="HY54" s="293"/>
      <c r="IH54" s="279">
        <f t="shared" si="11"/>
        <v>0</v>
      </c>
      <c r="II54" s="279">
        <f t="shared" si="12"/>
        <v>0</v>
      </c>
      <c r="IJ54" s="279">
        <f t="shared" si="13"/>
        <v>0</v>
      </c>
      <c r="IK54" s="279">
        <f t="shared" si="14"/>
        <v>0</v>
      </c>
      <c r="KT54" s="280"/>
    </row>
    <row r="55" spans="1:306" outlineLevel="1">
      <c r="A55" s="96" t="s">
        <v>337</v>
      </c>
      <c r="B55" s="96" t="s">
        <v>338</v>
      </c>
      <c r="D55" s="299" t="s">
        <v>936</v>
      </c>
      <c r="E55" s="293"/>
      <c r="F55" s="293"/>
      <c r="G55" s="293"/>
      <c r="H55" s="293"/>
      <c r="I55" s="293"/>
      <c r="J55" s="293"/>
      <c r="K55" s="293"/>
      <c r="L55" s="293"/>
      <c r="M55" s="293"/>
      <c r="N55" s="293"/>
      <c r="O55" s="293"/>
      <c r="P55" s="293"/>
      <c r="Q55" s="293"/>
      <c r="R55" s="293"/>
      <c r="S55" s="293"/>
      <c r="T55" s="293"/>
      <c r="U55" s="293"/>
      <c r="V55" s="293"/>
      <c r="W55" s="293"/>
      <c r="X55" s="293"/>
      <c r="Y55" s="293"/>
      <c r="Z55" s="293"/>
      <c r="AA55" s="293"/>
      <c r="AB55" s="293"/>
      <c r="AC55" s="293"/>
      <c r="AD55" s="293"/>
      <c r="AE55" s="293"/>
      <c r="AF55" s="293"/>
      <c r="AG55" s="293"/>
      <c r="AH55" s="293"/>
      <c r="AI55" s="293"/>
      <c r="AJ55" s="293"/>
      <c r="AK55" s="293"/>
      <c r="AL55" s="293"/>
      <c r="AM55" s="293"/>
      <c r="AN55" s="293"/>
      <c r="AO55" s="293">
        <v>0.4218368758062</v>
      </c>
      <c r="AP55" s="293">
        <v>0.15930158205101999</v>
      </c>
      <c r="AQ55" s="293">
        <v>0.61614968011050009</v>
      </c>
      <c r="AR55" s="293">
        <v>0.29238099254990002</v>
      </c>
      <c r="AS55" s="293">
        <v>0.49848143689416663</v>
      </c>
      <c r="AT55" s="293">
        <v>0.27567536453119995</v>
      </c>
      <c r="AU55" s="293">
        <v>0.41900182074452003</v>
      </c>
      <c r="AV55" s="293">
        <v>5.9318858289000003E-3</v>
      </c>
      <c r="AW55" s="293">
        <v>0.31037488525610002</v>
      </c>
      <c r="AX55" s="293">
        <v>0.79970507613979092</v>
      </c>
      <c r="AY55" s="293">
        <v>0.12941338107390002</v>
      </c>
      <c r="AZ55" s="293">
        <v>0.66349748529589991</v>
      </c>
      <c r="BA55" s="293">
        <v>0.43553760418569998</v>
      </c>
      <c r="BB55" s="293">
        <v>1.0110004030600001E-2</v>
      </c>
      <c r="BC55" s="293">
        <v>0.92716271887939983</v>
      </c>
      <c r="BD55" s="293">
        <v>0.33346708193720004</v>
      </c>
      <c r="BE55" s="293">
        <v>0.16446884016910002</v>
      </c>
      <c r="BF55" s="293">
        <v>0.46283348290624249</v>
      </c>
      <c r="BG55" s="293">
        <v>0.34485740744133997</v>
      </c>
      <c r="BH55" s="293">
        <v>9.8169443462000003E-3</v>
      </c>
      <c r="BI55" s="293">
        <v>1.2120026289219998</v>
      </c>
      <c r="BJ55" s="293">
        <v>0.33039555101270002</v>
      </c>
      <c r="BK55" s="293">
        <v>0.32488939680901541</v>
      </c>
      <c r="BL55" s="293">
        <v>0.34050568651879998</v>
      </c>
      <c r="BM55" s="293">
        <v>0.39396392489391369</v>
      </c>
      <c r="BN55" s="293">
        <v>7.2656133475500012E-2</v>
      </c>
      <c r="BO55" s="293">
        <v>1.2065038944793001</v>
      </c>
      <c r="BP55" s="293">
        <v>0.31303042793640007</v>
      </c>
      <c r="BQ55" s="293">
        <v>0.34902942384715879</v>
      </c>
      <c r="BR55" s="293">
        <v>0.31419376258039999</v>
      </c>
      <c r="BS55" s="293">
        <v>0.43520851936100008</v>
      </c>
      <c r="BT55" s="293">
        <v>0.1174770905835</v>
      </c>
      <c r="BU55" s="293">
        <v>1.4745296531095</v>
      </c>
      <c r="BV55" s="293">
        <v>0.32665665659969995</v>
      </c>
      <c r="BW55" s="293">
        <v>0.39447036437689997</v>
      </c>
      <c r="BX55" s="293">
        <v>0.29238563276329999</v>
      </c>
      <c r="BY55" s="293">
        <v>0.58962372103436689</v>
      </c>
      <c r="BZ55" s="293">
        <v>0.26209405264554808</v>
      </c>
      <c r="CA55" s="293">
        <v>1.5240433492468854</v>
      </c>
      <c r="CB55" s="293">
        <v>0.94911435578394543</v>
      </c>
      <c r="CC55" s="293">
        <v>0.83735857921354295</v>
      </c>
      <c r="CD55" s="606">
        <v>0.3171077764414989</v>
      </c>
      <c r="CE55" s="605">
        <v>0.6969246684296645</v>
      </c>
      <c r="CF55" s="606">
        <v>0.20840830560696241</v>
      </c>
      <c r="CG55" s="606">
        <v>0.97392462447706141</v>
      </c>
      <c r="CH55" s="606">
        <v>9.8554909258991508</v>
      </c>
      <c r="CI55" s="606">
        <v>0.32145879232868413</v>
      </c>
      <c r="CJ55" s="606">
        <v>0.19237510966634239</v>
      </c>
      <c r="CK55" s="606">
        <v>0.71346271088450908</v>
      </c>
      <c r="CL55" s="606">
        <v>0.21600343383900905</v>
      </c>
      <c r="CM55" s="606">
        <v>1.1769884505048114</v>
      </c>
      <c r="CN55" s="606">
        <v>10.349296616037982</v>
      </c>
      <c r="CO55" s="606">
        <v>0.49532113773663172</v>
      </c>
      <c r="CP55" s="622">
        <v>0.33179743428691255</v>
      </c>
      <c r="CQ55" s="606">
        <v>0.79099153748848061</v>
      </c>
      <c r="CR55" s="606">
        <v>0.11403729645791975</v>
      </c>
      <c r="CS55" s="606">
        <v>1.4733748898749943</v>
      </c>
      <c r="CT55" s="606">
        <v>10.366451704121625</v>
      </c>
      <c r="CU55" s="606">
        <v>0.50758294923288882</v>
      </c>
      <c r="CV55" s="606">
        <v>0.35534728540567539</v>
      </c>
      <c r="CW55" s="606">
        <v>0.24830707547233477</v>
      </c>
      <c r="CX55" s="606">
        <v>0.74359800471522997</v>
      </c>
      <c r="CY55" s="606">
        <v>1.1104098504566957</v>
      </c>
      <c r="CZ55" s="606">
        <v>11.084422587891101</v>
      </c>
      <c r="DA55" s="606">
        <v>0.40285186905315495</v>
      </c>
      <c r="DB55" s="1291">
        <v>0.41327722969822789</v>
      </c>
      <c r="DC55" s="606">
        <v>0.30581300002400003</v>
      </c>
      <c r="DD55" s="606">
        <v>1.3218321449999999</v>
      </c>
      <c r="DE55" s="606">
        <v>1.7112772300000001</v>
      </c>
      <c r="DF55" s="606">
        <v>10.920185254000002</v>
      </c>
      <c r="DG55" s="606">
        <v>0.41516584300000003</v>
      </c>
      <c r="DH55" s="606">
        <v>0.48394333900000003</v>
      </c>
      <c r="DI55" s="606">
        <v>1.017606302988461</v>
      </c>
      <c r="DJ55" s="606">
        <v>1.3759804558694047</v>
      </c>
      <c r="DK55" s="606">
        <v>1.4788225950813481</v>
      </c>
      <c r="DL55" s="606">
        <v>11.335465838468624</v>
      </c>
      <c r="DM55" s="606">
        <v>0.57451591380627609</v>
      </c>
      <c r="DN55" s="622">
        <v>0.40663164738113922</v>
      </c>
      <c r="DO55" s="606">
        <v>0.32722966209005344</v>
      </c>
      <c r="DP55" s="606">
        <v>1.9954767715179773</v>
      </c>
      <c r="DQ55" s="606">
        <v>2.9979238477775936</v>
      </c>
      <c r="DR55" s="606">
        <v>11.535534062562478</v>
      </c>
      <c r="DS55" s="606">
        <v>1.269771634989743</v>
      </c>
      <c r="DT55" s="606">
        <v>0.36580835911539161</v>
      </c>
      <c r="DU55" s="606">
        <v>1.2244464356620535</v>
      </c>
      <c r="DV55" s="606">
        <v>1.4120260280794017</v>
      </c>
      <c r="DW55" s="606">
        <v>3.1098523726815488</v>
      </c>
      <c r="DX55" s="606">
        <v>11.528777302292301</v>
      </c>
      <c r="DY55" s="606">
        <v>0.82126644185797826</v>
      </c>
      <c r="DZ55" s="622">
        <v>0.35050648456913208</v>
      </c>
      <c r="EA55" s="606">
        <v>1.3678306704717365</v>
      </c>
      <c r="EB55" s="606">
        <v>2.772290399442614</v>
      </c>
      <c r="EC55" s="606">
        <v>3.5298521251364812</v>
      </c>
      <c r="ED55" s="606">
        <v>12.121851679449437</v>
      </c>
      <c r="EE55" s="606">
        <v>0.77899620178828854</v>
      </c>
      <c r="EF55" s="606">
        <v>0.43908386018975831</v>
      </c>
      <c r="EG55" s="606">
        <v>1.1161334320857534</v>
      </c>
      <c r="EH55" s="606">
        <v>3.0604763937396848</v>
      </c>
      <c r="EI55" s="606">
        <v>2.0036299772964439</v>
      </c>
      <c r="EJ55" s="606">
        <v>13.871885997789011</v>
      </c>
      <c r="EK55" s="606">
        <v>0.75602008683280353</v>
      </c>
      <c r="EL55" s="622">
        <v>1.0089266132560877</v>
      </c>
      <c r="EM55" s="1083">
        <v>1.6198623873765028</v>
      </c>
      <c r="EN55" s="1083">
        <v>2.7373024249772246</v>
      </c>
      <c r="EO55" s="1083">
        <v>2.0123866936801722</v>
      </c>
      <c r="EP55" s="1083">
        <v>14.22283591316187</v>
      </c>
      <c r="EQ55" s="1083">
        <v>1.4073944976639343</v>
      </c>
      <c r="ER55" s="1083">
        <v>1.0850148726375077</v>
      </c>
      <c r="ES55" s="1083">
        <v>1.7520355385139252</v>
      </c>
      <c r="ET55" s="1083">
        <v>2.54408384332124</v>
      </c>
      <c r="EU55" s="1083">
        <v>4.4114107411148815</v>
      </c>
      <c r="EV55" s="1083">
        <v>12.708406492627095</v>
      </c>
      <c r="EW55" s="1083">
        <v>2.0007631160883328</v>
      </c>
      <c r="EX55" s="1329">
        <v>1.3867201917728373</v>
      </c>
      <c r="EY55" s="1083"/>
      <c r="EZ55" s="1083"/>
      <c r="FA55" s="1083"/>
      <c r="FB55" s="1083"/>
      <c r="FC55" s="1083"/>
      <c r="FD55" s="1083"/>
      <c r="FE55" s="1083"/>
      <c r="FF55" s="1083"/>
      <c r="FG55" s="1083"/>
      <c r="FH55" s="1083"/>
      <c r="FI55" s="1083"/>
      <c r="FJ55" s="1329"/>
      <c r="FK55" s="1083"/>
      <c r="FL55" s="1083"/>
      <c r="FM55" s="1083"/>
      <c r="FN55" s="1083"/>
      <c r="FO55" s="1083"/>
      <c r="FP55" s="1083"/>
      <c r="FQ55" s="293">
        <v>3.0185221513997238</v>
      </c>
      <c r="FR55" s="293">
        <v>4.1255898384212824</v>
      </c>
      <c r="FS55" s="293">
        <v>7.0408369434813949</v>
      </c>
      <c r="FT55" s="293">
        <v>14.877754502617986</v>
      </c>
      <c r="FU55" s="293">
        <v>3.4291730150068678</v>
      </c>
      <c r="FV55" s="293">
        <v>1.9037964901119935</v>
      </c>
      <c r="FW55" s="606">
        <v>3.0111710048357687</v>
      </c>
      <c r="FX55" s="606">
        <v>10.635850491463843</v>
      </c>
      <c r="FY55" s="606">
        <v>6.8643131069934533</v>
      </c>
      <c r="FZ55" s="606">
        <v>1.3540609383678777</v>
      </c>
      <c r="GA55" s="606">
        <v>4.381167408148027</v>
      </c>
      <c r="GB55" s="606">
        <v>1.5505532426927384</v>
      </c>
      <c r="GC55" s="606"/>
      <c r="GD55" s="606"/>
      <c r="GE55" s="606"/>
      <c r="GF55" s="606"/>
      <c r="GG55" s="606"/>
      <c r="GH55" s="606"/>
      <c r="GI55" s="606"/>
      <c r="GJ55" s="606"/>
      <c r="GK55" s="606"/>
      <c r="GL55" s="606"/>
      <c r="GM55" s="606"/>
      <c r="GN55" s="606"/>
      <c r="GO55" s="606"/>
      <c r="GP55" s="606"/>
      <c r="GQ55" s="606"/>
      <c r="GR55" s="606"/>
      <c r="GS55" s="606"/>
      <c r="GT55" s="606"/>
      <c r="GU55" s="606"/>
      <c r="GV55" s="606"/>
      <c r="GW55" s="606"/>
      <c r="GX55" s="606"/>
      <c r="GY55" s="606"/>
      <c r="GZ55" s="606"/>
      <c r="HA55" s="606"/>
      <c r="HB55" s="606"/>
      <c r="HC55" s="606"/>
      <c r="HD55" s="606"/>
      <c r="HE55" s="606"/>
      <c r="HF55" s="606"/>
      <c r="HG55" s="606"/>
      <c r="HH55" s="606"/>
      <c r="HI55" s="606"/>
      <c r="HJ55" s="606"/>
      <c r="HK55" s="606"/>
      <c r="HL55" s="606"/>
      <c r="HM55" s="606"/>
      <c r="HN55" s="606"/>
      <c r="HO55" s="606"/>
      <c r="HP55" s="606"/>
      <c r="HQ55" s="606"/>
      <c r="HR55" s="606"/>
      <c r="HS55" s="606"/>
      <c r="HT55" s="606"/>
      <c r="HU55" s="606"/>
      <c r="HV55" s="606"/>
      <c r="HW55" s="606"/>
      <c r="HX55" s="606"/>
      <c r="HY55" s="606"/>
      <c r="IH55" s="679">
        <f t="shared" si="11"/>
        <v>15.158216811024001</v>
      </c>
      <c r="II55" s="679">
        <f t="shared" si="12"/>
        <v>16.189022753595253</v>
      </c>
      <c r="IJ55" s="679">
        <f t="shared" si="13"/>
        <v>31.347239564619255</v>
      </c>
      <c r="IK55" s="279">
        <f t="shared" si="14"/>
        <v>18.491744338053238</v>
      </c>
      <c r="KT55" s="280"/>
    </row>
    <row r="56" spans="1:306" outlineLevel="1">
      <c r="B56" s="96" t="s">
        <v>338</v>
      </c>
      <c r="D56" s="296" t="str">
        <f t="shared" ref="D56:D71" si="15">D39</f>
        <v>IDA</v>
      </c>
      <c r="E56" s="293"/>
      <c r="F56" s="293"/>
      <c r="G56" s="293"/>
      <c r="H56" s="293"/>
      <c r="I56" s="293"/>
      <c r="J56" s="293"/>
      <c r="K56" s="293"/>
      <c r="L56" s="293"/>
      <c r="M56" s="293"/>
      <c r="N56" s="293"/>
      <c r="O56" s="293"/>
      <c r="P56" s="293"/>
      <c r="Q56" s="293"/>
      <c r="R56" s="293"/>
      <c r="S56" s="293"/>
      <c r="T56" s="293"/>
      <c r="U56" s="293"/>
      <c r="V56" s="293"/>
      <c r="W56" s="293"/>
      <c r="X56" s="293"/>
      <c r="Y56" s="293"/>
      <c r="Z56" s="293"/>
      <c r="AA56" s="293"/>
      <c r="AB56" s="293"/>
      <c r="AC56" s="293"/>
      <c r="AD56" s="293"/>
      <c r="AE56" s="293"/>
      <c r="AF56" s="293"/>
      <c r="AG56" s="293"/>
      <c r="AH56" s="293"/>
      <c r="AI56" s="293"/>
      <c r="AJ56" s="293"/>
      <c r="AK56" s="293"/>
      <c r="AL56" s="293"/>
      <c r="AM56" s="293"/>
      <c r="AN56" s="293"/>
      <c r="AO56" s="293">
        <v>4.4862295000000003E-2</v>
      </c>
      <c r="AP56" s="293">
        <v>0</v>
      </c>
      <c r="AQ56" s="293">
        <v>0.16140206625850001</v>
      </c>
      <c r="AR56" s="293">
        <v>0.21855020274180001</v>
      </c>
      <c r="AS56" s="293">
        <v>1.7004950950800003E-2</v>
      </c>
      <c r="AT56" s="293">
        <v>0.103170177</v>
      </c>
      <c r="AU56" s="293">
        <v>4.1812950000000002E-2</v>
      </c>
      <c r="AV56" s="293">
        <v>0</v>
      </c>
      <c r="AW56" s="293">
        <v>5.9111038999999997E-2</v>
      </c>
      <c r="AX56" s="293">
        <v>0.31286225245161592</v>
      </c>
      <c r="AY56" s="293">
        <v>2.7147527573199999E-2</v>
      </c>
      <c r="AZ56" s="293">
        <v>0.106218098</v>
      </c>
      <c r="BA56" s="293">
        <v>4.4547954000000001E-2</v>
      </c>
      <c r="BB56" s="293">
        <v>0</v>
      </c>
      <c r="BC56" s="293">
        <v>0.19294682986559999</v>
      </c>
      <c r="BD56" s="293">
        <v>0.24013712047980004</v>
      </c>
      <c r="BE56" s="293">
        <v>3.2391121725599999E-2</v>
      </c>
      <c r="BF56" s="293">
        <v>0.109633800576</v>
      </c>
      <c r="BG56" s="293">
        <v>4.5665788844999999E-2</v>
      </c>
      <c r="BH56" s="293">
        <v>0</v>
      </c>
      <c r="BI56" s="293">
        <v>0.29783244267769998</v>
      </c>
      <c r="BJ56" s="293">
        <v>0.24364431718690002</v>
      </c>
      <c r="BK56" s="293">
        <v>3.6504164936400005E-2</v>
      </c>
      <c r="BL56" s="293">
        <v>0.15442927169999998</v>
      </c>
      <c r="BM56" s="293">
        <v>0</v>
      </c>
      <c r="BN56" s="293">
        <v>0</v>
      </c>
      <c r="BO56" s="293">
        <v>0.38328086233590003</v>
      </c>
      <c r="BP56" s="293">
        <v>0.22099763054160002</v>
      </c>
      <c r="BQ56" s="293">
        <v>4.0685506000000003E-2</v>
      </c>
      <c r="BR56" s="293">
        <v>9.9273948684899999E-2</v>
      </c>
      <c r="BS56" s="293">
        <v>4.4520270725499994E-2</v>
      </c>
      <c r="BT56" s="293">
        <v>8.5468001579999989E-4</v>
      </c>
      <c r="BU56" s="293">
        <v>0.50159681891959995</v>
      </c>
      <c r="BV56" s="293">
        <v>0.2278344503269</v>
      </c>
      <c r="BW56" s="293">
        <v>5.8058849537299992E-2</v>
      </c>
      <c r="BX56" s="293">
        <v>0.10448431166100001</v>
      </c>
      <c r="BY56" s="293">
        <v>4.1105772397730278E-2</v>
      </c>
      <c r="BZ56" s="293">
        <v>1.7180774425698501E-3</v>
      </c>
      <c r="CA56" s="293">
        <v>0.4614079292668356</v>
      </c>
      <c r="CB56" s="293">
        <v>0.35740396864470697</v>
      </c>
      <c r="CC56" s="293">
        <v>8.8903978193477159E-2</v>
      </c>
      <c r="CD56" s="293">
        <v>0.10815191058703091</v>
      </c>
      <c r="CE56" s="294">
        <v>4.5601996963125238E-2</v>
      </c>
      <c r="CF56" s="293">
        <v>1.9928582874858699E-3</v>
      </c>
      <c r="CG56" s="293">
        <v>0.46511758053730484</v>
      </c>
      <c r="CH56" s="293">
        <v>0.32456128822444019</v>
      </c>
      <c r="CI56" s="293">
        <v>0.11992946669432353</v>
      </c>
      <c r="CJ56" s="293">
        <v>3.3237559517455902E-3</v>
      </c>
      <c r="CK56" s="293">
        <v>0</v>
      </c>
      <c r="CL56" s="293">
        <v>2.5848554639240403E-3</v>
      </c>
      <c r="CM56" s="293">
        <v>0.54578319540196685</v>
      </c>
      <c r="CN56" s="293">
        <v>0.37100998407188351</v>
      </c>
      <c r="CO56" s="293">
        <v>0.16002186442836494</v>
      </c>
      <c r="CP56" s="295">
        <v>0.11902266351261069</v>
      </c>
      <c r="CQ56" s="293">
        <v>4.9852623843655831E-2</v>
      </c>
      <c r="CR56" s="293">
        <v>6.8149563996915394E-2</v>
      </c>
      <c r="CS56" s="293">
        <v>0.60551557235916342</v>
      </c>
      <c r="CT56" s="293">
        <v>0.36094059468037942</v>
      </c>
      <c r="CU56" s="293">
        <v>0.17715602631848038</v>
      </c>
      <c r="CV56" s="293">
        <v>0.15595467803359722</v>
      </c>
      <c r="CW56" s="293">
        <v>0</v>
      </c>
      <c r="CX56" s="293">
        <v>0.12115844623030154</v>
      </c>
      <c r="CY56" s="293">
        <v>0.60689469622975956</v>
      </c>
      <c r="CZ56" s="293">
        <v>0.30164943849909465</v>
      </c>
      <c r="DA56" s="293">
        <v>0.16345511711249752</v>
      </c>
      <c r="DB56" s="1288">
        <v>9.9513475628224893E-2</v>
      </c>
      <c r="DC56" s="293">
        <v>4.2027249000000003E-2</v>
      </c>
      <c r="DD56" s="293">
        <v>0.45936125</v>
      </c>
      <c r="DE56" s="293">
        <v>0.66213271200000001</v>
      </c>
      <c r="DF56" s="293">
        <v>0.30458998500000001</v>
      </c>
      <c r="DG56" s="293">
        <v>0.231129106</v>
      </c>
      <c r="DH56" s="293">
        <v>0.123792366</v>
      </c>
      <c r="DI56" s="293">
        <v>0.18469480975335731</v>
      </c>
      <c r="DJ56" s="293">
        <v>0.50443115737986555</v>
      </c>
      <c r="DK56" s="293">
        <v>0.87571893427797454</v>
      </c>
      <c r="DL56" s="293">
        <v>0.25763075873328828</v>
      </c>
      <c r="DM56" s="293">
        <v>0.2111585688043344</v>
      </c>
      <c r="DN56" s="295">
        <v>0.10824372182507923</v>
      </c>
      <c r="DO56" s="293">
        <v>4.6805349188928001E-2</v>
      </c>
      <c r="DP56" s="293">
        <v>1.1406969198986436</v>
      </c>
      <c r="DQ56" s="293">
        <v>0.989274015895792</v>
      </c>
      <c r="DR56" s="293">
        <v>0.25665552673563174</v>
      </c>
      <c r="DS56" s="293">
        <v>0.32007712782978825</v>
      </c>
      <c r="DT56" s="293">
        <v>0.11134253080202726</v>
      </c>
      <c r="DU56" s="293">
        <v>0.25397819020673951</v>
      </c>
      <c r="DV56" s="293">
        <v>0.91942553004649019</v>
      </c>
      <c r="DW56" s="293">
        <v>1.0090457870010361</v>
      </c>
      <c r="DX56" s="293">
        <v>0.23564299655890653</v>
      </c>
      <c r="DY56" s="293">
        <v>0.33413610502526758</v>
      </c>
      <c r="DZ56" s="295">
        <v>0.10308580085413344</v>
      </c>
      <c r="EA56" s="293">
        <v>0.34736859754956884</v>
      </c>
      <c r="EB56" s="293">
        <v>1.4737939278287451</v>
      </c>
      <c r="EC56" s="293">
        <v>1.0842750617965116</v>
      </c>
      <c r="ED56" s="293">
        <v>0.46114325579141385</v>
      </c>
      <c r="EE56" s="293">
        <v>0.41449487032429494</v>
      </c>
      <c r="EF56" s="293">
        <v>0.19022861844242966</v>
      </c>
      <c r="EG56" s="293">
        <v>4.2889590908017916E-2</v>
      </c>
      <c r="EH56" s="293">
        <v>2.0795600811564015</v>
      </c>
      <c r="EI56" s="293">
        <v>1.2090638720820728</v>
      </c>
      <c r="EJ56" s="293">
        <v>0.2785973176911874</v>
      </c>
      <c r="EK56" s="293">
        <v>0.41739874938292987</v>
      </c>
      <c r="EL56" s="295">
        <v>0.5098548414471018</v>
      </c>
      <c r="EM56" s="1080">
        <v>0.42575524170428053</v>
      </c>
      <c r="EN56" s="1080">
        <v>1.9874565575865852</v>
      </c>
      <c r="EO56" s="1080">
        <v>1.2635194938092706</v>
      </c>
      <c r="EP56" s="1080">
        <v>0.25799993610598337</v>
      </c>
      <c r="EQ56" s="1080">
        <v>0.83188050439587302</v>
      </c>
      <c r="ER56" s="1080">
        <v>0.18993380102618998</v>
      </c>
      <c r="ES56" s="1080">
        <v>0.41084156822510887</v>
      </c>
      <c r="ET56" s="1080">
        <v>1.9450468567024899</v>
      </c>
      <c r="EU56" s="1080">
        <v>1.5629162924708755</v>
      </c>
      <c r="EV56" s="1080">
        <v>0.27312299590225753</v>
      </c>
      <c r="EW56" s="1080">
        <v>0.7664274166425854</v>
      </c>
      <c r="EX56" s="1340">
        <v>0.61769747335749381</v>
      </c>
      <c r="EY56" s="1080"/>
      <c r="EZ56" s="1080"/>
      <c r="FA56" s="1080"/>
      <c r="FB56" s="1080"/>
      <c r="FC56" s="1080"/>
      <c r="FD56" s="1080"/>
      <c r="FE56" s="1080"/>
      <c r="FF56" s="1080"/>
      <c r="FG56" s="1080"/>
      <c r="FH56" s="1080"/>
      <c r="FI56" s="1080"/>
      <c r="FJ56" s="1340"/>
      <c r="FK56" s="1080"/>
      <c r="FL56" s="1080"/>
      <c r="FM56" s="1080"/>
      <c r="FN56" s="1080"/>
      <c r="FO56" s="1080"/>
      <c r="FP56" s="1080"/>
      <c r="FQ56" s="293"/>
      <c r="FR56" s="293"/>
      <c r="FS56" s="293"/>
      <c r="FT56" s="293"/>
      <c r="FU56" s="293"/>
      <c r="FV56" s="293"/>
      <c r="FW56" s="293"/>
      <c r="FX56" s="293"/>
      <c r="FY56" s="293"/>
      <c r="FZ56" s="293"/>
      <c r="GA56" s="293"/>
      <c r="GB56" s="293"/>
      <c r="GC56" s="293"/>
      <c r="GD56" s="293"/>
      <c r="GE56" s="293"/>
      <c r="GF56" s="293"/>
      <c r="GG56" s="293"/>
      <c r="GH56" s="293"/>
      <c r="GI56" s="293"/>
      <c r="GJ56" s="293"/>
      <c r="GK56" s="293"/>
      <c r="GL56" s="293"/>
      <c r="GM56" s="293"/>
      <c r="GN56" s="293"/>
      <c r="GO56" s="293"/>
      <c r="GP56" s="293"/>
      <c r="GQ56" s="293"/>
      <c r="GR56" s="293"/>
      <c r="GS56" s="293"/>
      <c r="GT56" s="293"/>
      <c r="GU56" s="293"/>
      <c r="GV56" s="293"/>
      <c r="GW56" s="293"/>
      <c r="GX56" s="293"/>
      <c r="GY56" s="293"/>
      <c r="GZ56" s="293"/>
      <c r="HA56" s="293"/>
      <c r="HB56" s="293"/>
      <c r="HC56" s="293"/>
      <c r="HD56" s="293"/>
      <c r="HE56" s="293"/>
      <c r="HF56" s="293"/>
      <c r="HG56" s="293"/>
      <c r="HH56" s="293"/>
      <c r="HI56" s="293"/>
      <c r="HJ56" s="293"/>
      <c r="HK56" s="293"/>
      <c r="HL56" s="293"/>
      <c r="HM56" s="293"/>
      <c r="HN56" s="293"/>
      <c r="HO56" s="293"/>
      <c r="HP56" s="293"/>
      <c r="HQ56" s="293"/>
      <c r="HR56" s="293"/>
      <c r="HS56" s="293"/>
      <c r="HT56" s="293"/>
      <c r="HU56" s="293"/>
      <c r="HV56" s="293"/>
      <c r="HW56" s="293"/>
      <c r="HX56" s="293"/>
      <c r="HY56" s="293"/>
      <c r="IH56" s="279">
        <f t="shared" si="11"/>
        <v>1.823032668</v>
      </c>
      <c r="II56" s="279">
        <f t="shared" si="12"/>
        <v>2.1418779507738992</v>
      </c>
      <c r="IJ56" s="279">
        <f t="shared" si="13"/>
        <v>3.9649106187738994</v>
      </c>
      <c r="IK56" s="279">
        <f t="shared" si="14"/>
        <v>2.864851470350811</v>
      </c>
      <c r="KT56" s="280"/>
    </row>
    <row r="57" spans="1:306" outlineLevel="1">
      <c r="B57" s="96" t="s">
        <v>338</v>
      </c>
      <c r="D57" s="296" t="str">
        <f t="shared" si="15"/>
        <v>FAD</v>
      </c>
      <c r="E57" s="293"/>
      <c r="F57" s="293"/>
      <c r="G57" s="293"/>
      <c r="H57" s="293"/>
      <c r="I57" s="293"/>
      <c r="J57" s="293"/>
      <c r="K57" s="293"/>
      <c r="L57" s="293"/>
      <c r="M57" s="293"/>
      <c r="N57" s="293"/>
      <c r="O57" s="293"/>
      <c r="P57" s="293"/>
      <c r="Q57" s="293"/>
      <c r="R57" s="293"/>
      <c r="S57" s="293"/>
      <c r="T57" s="293"/>
      <c r="U57" s="293"/>
      <c r="V57" s="293"/>
      <c r="W57" s="293"/>
      <c r="X57" s="293"/>
      <c r="Y57" s="293"/>
      <c r="Z57" s="293"/>
      <c r="AA57" s="293"/>
      <c r="AB57" s="293"/>
      <c r="AC57" s="293"/>
      <c r="AD57" s="293"/>
      <c r="AE57" s="293"/>
      <c r="AF57" s="293"/>
      <c r="AG57" s="293"/>
      <c r="AH57" s="293"/>
      <c r="AI57" s="293"/>
      <c r="AJ57" s="293"/>
      <c r="AK57" s="293"/>
      <c r="AL57" s="293"/>
      <c r="AM57" s="293"/>
      <c r="AN57" s="293"/>
      <c r="AO57" s="293">
        <v>4.1504484580999999E-2</v>
      </c>
      <c r="AP57" s="293">
        <v>1.2206978729399999E-2</v>
      </c>
      <c r="AQ57" s="293">
        <v>0.31759151440029998</v>
      </c>
      <c r="AR57" s="293">
        <v>0</v>
      </c>
      <c r="AS57" s="293">
        <v>3.3052167387999994E-2</v>
      </c>
      <c r="AT57" s="293">
        <v>0</v>
      </c>
      <c r="AU57" s="293">
        <v>3.9746922685499994E-2</v>
      </c>
      <c r="AV57" s="293">
        <v>0</v>
      </c>
      <c r="AW57" s="293">
        <v>1.2919806000000001E-2</v>
      </c>
      <c r="AX57" s="293">
        <v>0.32730585820319996</v>
      </c>
      <c r="AY57" s="293">
        <v>0</v>
      </c>
      <c r="AZ57" s="293">
        <v>3.6599226254100004E-2</v>
      </c>
      <c r="BA57" s="293">
        <v>4.1524572736099996E-2</v>
      </c>
      <c r="BB57" s="293">
        <v>0</v>
      </c>
      <c r="BC57" s="293">
        <v>0.35894853396680004</v>
      </c>
      <c r="BD57" s="293">
        <v>0</v>
      </c>
      <c r="BE57" s="293">
        <v>0</v>
      </c>
      <c r="BF57" s="293">
        <v>3.8110704070499997E-2</v>
      </c>
      <c r="BG57" s="293">
        <v>4.3607091572399996E-2</v>
      </c>
      <c r="BH57" s="293">
        <v>0</v>
      </c>
      <c r="BI57" s="293">
        <v>0.36674657030239999</v>
      </c>
      <c r="BJ57" s="293">
        <v>0</v>
      </c>
      <c r="BK57" s="293">
        <v>2.37362281077E-2</v>
      </c>
      <c r="BL57" s="293">
        <v>2.6393525730000001E-3</v>
      </c>
      <c r="BM57" s="293">
        <v>4.0594612665800001E-2</v>
      </c>
      <c r="BN57" s="293">
        <v>1.3269068096100001E-2</v>
      </c>
      <c r="BO57" s="293">
        <v>0.38859096538119992</v>
      </c>
      <c r="BP57" s="293">
        <v>0</v>
      </c>
      <c r="BQ57" s="293">
        <v>2.1655616258999998E-2</v>
      </c>
      <c r="BR57" s="293">
        <v>0</v>
      </c>
      <c r="BS57" s="293">
        <v>3.5385176684299996E-2</v>
      </c>
      <c r="BT57" s="293">
        <v>1.9088855720999998E-2</v>
      </c>
      <c r="BU57" s="293">
        <v>0.43049112471369999</v>
      </c>
      <c r="BV57" s="293">
        <v>0</v>
      </c>
      <c r="BW57" s="293">
        <v>4.2254302946400001E-2</v>
      </c>
      <c r="BX57" s="293">
        <v>0</v>
      </c>
      <c r="BY57" s="293">
        <v>4.2766463745235309E-2</v>
      </c>
      <c r="BZ57" s="293">
        <v>3.6091077785721459E-2</v>
      </c>
      <c r="CA57" s="293">
        <v>0</v>
      </c>
      <c r="CB57" s="293">
        <v>0.48802034332142918</v>
      </c>
      <c r="CC57" s="293">
        <v>4.0373746509806782E-2</v>
      </c>
      <c r="CD57" s="293">
        <v>0</v>
      </c>
      <c r="CE57" s="294">
        <v>4.1865807513474428E-2</v>
      </c>
      <c r="CF57" s="293">
        <v>3.6374821750350998E-2</v>
      </c>
      <c r="CG57" s="293">
        <v>4.8641618447402592E-3</v>
      </c>
      <c r="CH57" s="293">
        <v>0.54395239911597182</v>
      </c>
      <c r="CI57" s="293">
        <v>0</v>
      </c>
      <c r="CJ57" s="293">
        <v>0</v>
      </c>
      <c r="CK57" s="293">
        <v>5.5637042102838E-2</v>
      </c>
      <c r="CL57" s="293">
        <v>3.4035207315957515E-2</v>
      </c>
      <c r="CM57" s="293">
        <v>5.3349474692946243E-2</v>
      </c>
      <c r="CN57" s="293">
        <v>0.7001369122657245</v>
      </c>
      <c r="CO57" s="293">
        <v>5.7090479359268032E-2</v>
      </c>
      <c r="CP57" s="295">
        <v>0</v>
      </c>
      <c r="CQ57" s="293">
        <v>4.3869850503904628E-2</v>
      </c>
      <c r="CR57" s="293">
        <v>2.5228015894947442E-2</v>
      </c>
      <c r="CS57" s="293">
        <v>0.10075924328527405</v>
      </c>
      <c r="CT57" s="293">
        <v>0.56934281517482443</v>
      </c>
      <c r="CU57" s="293">
        <v>4.1029528511663284E-2</v>
      </c>
      <c r="CV57" s="293">
        <v>2.3193443182504998E-3</v>
      </c>
      <c r="CW57" s="293">
        <v>0</v>
      </c>
      <c r="CX57" s="293">
        <v>0.11193935008985001</v>
      </c>
      <c r="CY57" s="293">
        <v>0.2220033171088488</v>
      </c>
      <c r="CZ57" s="293">
        <v>0.48136032796931449</v>
      </c>
      <c r="DA57" s="293">
        <v>0</v>
      </c>
      <c r="DB57" s="1288">
        <v>3.8457469991905649E-2</v>
      </c>
      <c r="DC57" s="293">
        <v>2.1710710000000001E-3</v>
      </c>
      <c r="DD57" s="293">
        <v>0.13682549699999999</v>
      </c>
      <c r="DE57" s="293">
        <v>0.252534908</v>
      </c>
      <c r="DF57" s="293">
        <v>0.55459566000000005</v>
      </c>
      <c r="DG57" s="293">
        <v>0</v>
      </c>
      <c r="DH57" s="293">
        <v>4.0559497999999999E-2</v>
      </c>
      <c r="DI57" s="293">
        <v>4.2690146496468025E-2</v>
      </c>
      <c r="DJ57" s="293">
        <v>0.108112289793158</v>
      </c>
      <c r="DK57" s="293">
        <v>0.2840132463625149</v>
      </c>
      <c r="DL57" s="293">
        <v>0.48513976327093833</v>
      </c>
      <c r="DM57" s="293">
        <v>9.1128486879094306E-2</v>
      </c>
      <c r="DN57" s="295">
        <v>4.3391365933202614E-2</v>
      </c>
      <c r="DO57" s="293">
        <v>2.4210899115648002E-3</v>
      </c>
      <c r="DP57" s="293">
        <v>0.20023790318974097</v>
      </c>
      <c r="DQ57" s="293">
        <v>0.79468807956308019</v>
      </c>
      <c r="DR57" s="293">
        <v>0.12651774405149455</v>
      </c>
      <c r="DS57" s="293">
        <v>4.6685651061771298E-2</v>
      </c>
      <c r="DT57" s="293">
        <v>2.5848560662984099E-3</v>
      </c>
      <c r="DU57" s="293">
        <v>8.2554074645655895E-2</v>
      </c>
      <c r="DV57" s="293">
        <v>0.153920190869162</v>
      </c>
      <c r="DW57" s="293">
        <v>1.0097716787785627</v>
      </c>
      <c r="DX57" s="293">
        <v>7.6456932045960185E-2</v>
      </c>
      <c r="DY57" s="293">
        <v>4.4527876149382702E-2</v>
      </c>
      <c r="DZ57" s="295">
        <v>0</v>
      </c>
      <c r="EA57" s="293">
        <v>9.8463281224580243E-2</v>
      </c>
      <c r="EB57" s="293">
        <v>0.34015013967126279</v>
      </c>
      <c r="EC57" s="293">
        <v>0.99073348554333285</v>
      </c>
      <c r="ED57" s="293">
        <v>6.3200405315073593E-2</v>
      </c>
      <c r="EE57" s="293">
        <v>4.6940829559234377E-2</v>
      </c>
      <c r="EF57" s="293">
        <v>2.5630400441462001E-3</v>
      </c>
      <c r="EG57" s="293">
        <v>0.10028979079945391</v>
      </c>
      <c r="EH57" s="293">
        <v>0.34505773019792002</v>
      </c>
      <c r="EI57" s="293">
        <v>0.49574062303866684</v>
      </c>
      <c r="EJ57" s="293">
        <v>0.69013969731520763</v>
      </c>
      <c r="EK57" s="293">
        <v>4.8900118926155797E-2</v>
      </c>
      <c r="EL57" s="295">
        <v>0</v>
      </c>
      <c r="EM57" s="1080">
        <v>0.10369765496283315</v>
      </c>
      <c r="EN57" s="1080">
        <v>0.37569691070852201</v>
      </c>
      <c r="EO57" s="1080">
        <v>0.51577138106914922</v>
      </c>
      <c r="EP57" s="1080">
        <v>0.68829862250255702</v>
      </c>
      <c r="EQ57" s="1080">
        <v>4.7822065191184863E-2</v>
      </c>
      <c r="ER57" s="1080">
        <v>0.2402285277000768</v>
      </c>
      <c r="ES57" s="1080">
        <v>0.10192413374764391</v>
      </c>
      <c r="ET57" s="1080">
        <v>0.37501988535409175</v>
      </c>
      <c r="EU57" s="1080">
        <v>1.0680398490813414</v>
      </c>
      <c r="EV57" s="1080">
        <v>0.17232131964008149</v>
      </c>
      <c r="EW57" s="1080">
        <v>0.11406176284495258</v>
      </c>
      <c r="EX57" s="1340">
        <v>0.25522571932212151</v>
      </c>
      <c r="EY57" s="1080"/>
      <c r="EZ57" s="1080"/>
      <c r="FA57" s="1080"/>
      <c r="FB57" s="1080"/>
      <c r="FC57" s="1080"/>
      <c r="FD57" s="1080"/>
      <c r="FE57" s="1080"/>
      <c r="FF57" s="1080"/>
      <c r="FG57" s="1080"/>
      <c r="FH57" s="1080"/>
      <c r="FI57" s="1080"/>
      <c r="FJ57" s="1340"/>
      <c r="FK57" s="1080"/>
      <c r="FL57" s="1080"/>
      <c r="FM57" s="1080"/>
      <c r="FN57" s="1080"/>
      <c r="FO57" s="1080"/>
      <c r="FP57" s="1080"/>
      <c r="FQ57" s="293"/>
      <c r="FR57" s="293"/>
      <c r="FS57" s="293"/>
      <c r="FT57" s="293"/>
      <c r="FU57" s="293"/>
      <c r="FV57" s="293"/>
      <c r="FW57" s="293"/>
      <c r="FX57" s="293"/>
      <c r="FY57" s="293"/>
      <c r="FZ57" s="293"/>
      <c r="GA57" s="293"/>
      <c r="GB57" s="293"/>
      <c r="GC57" s="293"/>
      <c r="GD57" s="293"/>
      <c r="GE57" s="293"/>
      <c r="GF57" s="293"/>
      <c r="GG57" s="293"/>
      <c r="GH57" s="293"/>
      <c r="GI57" s="293"/>
      <c r="GJ57" s="293"/>
      <c r="GK57" s="293"/>
      <c r="GL57" s="293"/>
      <c r="GM57" s="293"/>
      <c r="GN57" s="293"/>
      <c r="GO57" s="293"/>
      <c r="GP57" s="293"/>
      <c r="GQ57" s="293"/>
      <c r="GR57" s="293"/>
      <c r="GS57" s="293"/>
      <c r="GT57" s="293"/>
      <c r="GU57" s="293"/>
      <c r="GV57" s="293"/>
      <c r="GW57" s="293"/>
      <c r="GX57" s="293"/>
      <c r="GY57" s="293"/>
      <c r="GZ57" s="293"/>
      <c r="HA57" s="293"/>
      <c r="HB57" s="293"/>
      <c r="HC57" s="293"/>
      <c r="HD57" s="293"/>
      <c r="HE57" s="293"/>
      <c r="HF57" s="293"/>
      <c r="HG57" s="293"/>
      <c r="HH57" s="293"/>
      <c r="HI57" s="293"/>
      <c r="HJ57" s="293"/>
      <c r="HK57" s="293"/>
      <c r="HL57" s="293"/>
      <c r="HM57" s="293"/>
      <c r="HN57" s="293"/>
      <c r="HO57" s="293"/>
      <c r="HP57" s="293"/>
      <c r="HQ57" s="293"/>
      <c r="HR57" s="293"/>
      <c r="HS57" s="293"/>
      <c r="HT57" s="293"/>
      <c r="HU57" s="293"/>
      <c r="HV57" s="293"/>
      <c r="HW57" s="293"/>
      <c r="HX57" s="293"/>
      <c r="HY57" s="293"/>
      <c r="IH57" s="279">
        <f t="shared" si="11"/>
        <v>0.98668663400000012</v>
      </c>
      <c r="II57" s="279">
        <f t="shared" si="12"/>
        <v>1.054475298735376</v>
      </c>
      <c r="IJ57" s="279">
        <f t="shared" si="13"/>
        <v>2.0411619327353763</v>
      </c>
      <c r="IK57" s="279">
        <f t="shared" si="14"/>
        <v>1.1731353238439501</v>
      </c>
      <c r="KT57" s="280"/>
    </row>
    <row r="58" spans="1:306" outlineLevel="1">
      <c r="B58" s="96" t="s">
        <v>338</v>
      </c>
      <c r="D58" s="296" t="str">
        <f t="shared" si="15"/>
        <v>FSN</v>
      </c>
      <c r="E58" s="293"/>
      <c r="F58" s="293"/>
      <c r="G58" s="293"/>
      <c r="H58" s="293"/>
      <c r="I58" s="293"/>
      <c r="J58" s="293"/>
      <c r="K58" s="293"/>
      <c r="L58" s="293"/>
      <c r="M58" s="293"/>
      <c r="N58" s="293"/>
      <c r="O58" s="293"/>
      <c r="P58" s="293"/>
      <c r="Q58" s="293"/>
      <c r="R58" s="293"/>
      <c r="S58" s="293"/>
      <c r="T58" s="293"/>
      <c r="U58" s="293"/>
      <c r="V58" s="293"/>
      <c r="W58" s="293"/>
      <c r="X58" s="293"/>
      <c r="Y58" s="293"/>
      <c r="Z58" s="293"/>
      <c r="AA58" s="293"/>
      <c r="AB58" s="293"/>
      <c r="AC58" s="293"/>
      <c r="AD58" s="293"/>
      <c r="AE58" s="293"/>
      <c r="AF58" s="293"/>
      <c r="AG58" s="293"/>
      <c r="AH58" s="293"/>
      <c r="AI58" s="293"/>
      <c r="AJ58" s="293"/>
      <c r="AK58" s="293"/>
      <c r="AL58" s="293"/>
      <c r="AM58" s="293"/>
      <c r="AN58" s="293"/>
      <c r="AO58" s="293">
        <v>1.6703422319000003E-2</v>
      </c>
      <c r="AP58" s="293">
        <v>0</v>
      </c>
      <c r="AQ58" s="293">
        <v>0</v>
      </c>
      <c r="AR58" s="293">
        <v>0</v>
      </c>
      <c r="AS58" s="293">
        <v>3.0864557651999996E-2</v>
      </c>
      <c r="AT58" s="293">
        <v>0</v>
      </c>
      <c r="AU58" s="293">
        <v>1.35752600785E-2</v>
      </c>
      <c r="AV58" s="293">
        <v>0</v>
      </c>
      <c r="AW58" s="293">
        <v>0</v>
      </c>
      <c r="AX58" s="293">
        <v>0</v>
      </c>
      <c r="AY58" s="293">
        <v>0</v>
      </c>
      <c r="AZ58" s="293">
        <v>3.72359149848E-2</v>
      </c>
      <c r="BA58" s="293">
        <v>1.2513920680200002E-2</v>
      </c>
      <c r="BB58" s="293">
        <v>0</v>
      </c>
      <c r="BC58" s="293">
        <v>0</v>
      </c>
      <c r="BD58" s="293">
        <v>0</v>
      </c>
      <c r="BE58" s="293">
        <v>0</v>
      </c>
      <c r="BF58" s="293">
        <v>4.3282594615399995E-2</v>
      </c>
      <c r="BG58" s="293">
        <v>1.02676601325E-2</v>
      </c>
      <c r="BH58" s="293">
        <v>0</v>
      </c>
      <c r="BI58" s="293">
        <v>0</v>
      </c>
      <c r="BJ58" s="293">
        <v>0</v>
      </c>
      <c r="BK58" s="293">
        <v>5.0724060884400006E-2</v>
      </c>
      <c r="BL58" s="293">
        <v>7.345470825E-4</v>
      </c>
      <c r="BM58" s="293">
        <v>7.4448015663136505E-3</v>
      </c>
      <c r="BN58" s="293">
        <v>0</v>
      </c>
      <c r="BO58" s="293">
        <v>0</v>
      </c>
      <c r="BP58" s="293">
        <v>0</v>
      </c>
      <c r="BQ58" s="293">
        <v>4.9754228475000002E-2</v>
      </c>
      <c r="BR58" s="293">
        <v>0</v>
      </c>
      <c r="BS58" s="293">
        <v>5.9485403021999998E-3</v>
      </c>
      <c r="BT58" s="293">
        <v>0</v>
      </c>
      <c r="BU58" s="293">
        <v>0</v>
      </c>
      <c r="BV58" s="293">
        <v>0</v>
      </c>
      <c r="BW58" s="293">
        <v>4.9868927693999997E-2</v>
      </c>
      <c r="BX58" s="293">
        <v>0</v>
      </c>
      <c r="BY58" s="293">
        <v>4.1955324411146397E-3</v>
      </c>
      <c r="BZ58" s="293">
        <v>0</v>
      </c>
      <c r="CA58" s="293">
        <v>0</v>
      </c>
      <c r="CB58" s="293">
        <v>0</v>
      </c>
      <c r="CC58" s="293">
        <v>4.8942164114776525E-2</v>
      </c>
      <c r="CD58" s="293">
        <v>0</v>
      </c>
      <c r="CE58" s="294">
        <v>0</v>
      </c>
      <c r="CF58" s="293">
        <v>0</v>
      </c>
      <c r="CG58" s="293">
        <v>0</v>
      </c>
      <c r="CH58" s="293">
        <v>0</v>
      </c>
      <c r="CI58" s="293">
        <v>0</v>
      </c>
      <c r="CJ58" s="293">
        <v>6.1982484856379347E-2</v>
      </c>
      <c r="CK58" s="293">
        <v>0</v>
      </c>
      <c r="CL58" s="293">
        <v>0</v>
      </c>
      <c r="CM58" s="293">
        <v>0</v>
      </c>
      <c r="CN58" s="293">
        <v>0</v>
      </c>
      <c r="CO58" s="293">
        <v>2.435145779847853E-2</v>
      </c>
      <c r="CP58" s="295">
        <v>0</v>
      </c>
      <c r="CQ58" s="293">
        <v>0</v>
      </c>
      <c r="CR58" s="293">
        <v>7.5781357955460003E-4</v>
      </c>
      <c r="CS58" s="293">
        <v>0</v>
      </c>
      <c r="CT58" s="293">
        <v>0</v>
      </c>
      <c r="CU58" s="293">
        <v>4.7507466270618005E-2</v>
      </c>
      <c r="CV58" s="293">
        <v>0</v>
      </c>
      <c r="CW58" s="293">
        <v>0</v>
      </c>
      <c r="CX58" s="293">
        <v>1.6915844275047363E-2</v>
      </c>
      <c r="CY58" s="293">
        <v>0</v>
      </c>
      <c r="CZ58" s="293">
        <v>0</v>
      </c>
      <c r="DA58" s="293">
        <v>0</v>
      </c>
      <c r="DB58" s="1288">
        <v>4.711263465015135E-2</v>
      </c>
      <c r="DC58" s="293">
        <v>0</v>
      </c>
      <c r="DD58" s="293">
        <v>1.6639002999999999E-2</v>
      </c>
      <c r="DE58" s="293">
        <v>0</v>
      </c>
      <c r="DF58" s="293">
        <v>0</v>
      </c>
      <c r="DG58" s="293">
        <v>0</v>
      </c>
      <c r="DH58" s="293">
        <v>4.7366963999999998E-2</v>
      </c>
      <c r="DI58" s="293">
        <v>0</v>
      </c>
      <c r="DJ58" s="293">
        <v>1.738206517522272E-2</v>
      </c>
      <c r="DK58" s="293">
        <v>0</v>
      </c>
      <c r="DL58" s="293">
        <v>0</v>
      </c>
      <c r="DM58" s="293">
        <v>0</v>
      </c>
      <c r="DN58" s="295">
        <v>0</v>
      </c>
      <c r="DO58" s="293">
        <v>0</v>
      </c>
      <c r="DP58" s="293">
        <v>3.1733897942445612E-2</v>
      </c>
      <c r="DQ58" s="293">
        <v>0</v>
      </c>
      <c r="DR58" s="293">
        <v>0</v>
      </c>
      <c r="DS58" s="293">
        <v>4.8133191213607644E-2</v>
      </c>
      <c r="DT58" s="293">
        <v>0</v>
      </c>
      <c r="DU58" s="293">
        <v>5.196062052649944E-2</v>
      </c>
      <c r="DV58" s="293">
        <v>1.8326444940162522E-2</v>
      </c>
      <c r="DW58" s="293">
        <v>0</v>
      </c>
      <c r="DX58" s="293">
        <v>0</v>
      </c>
      <c r="DY58" s="293">
        <v>4.6497123428308904E-2</v>
      </c>
      <c r="DZ58" s="295">
        <v>0</v>
      </c>
      <c r="EA58" s="293">
        <v>8.1128237966747382E-2</v>
      </c>
      <c r="EB58" s="293">
        <v>9.5718851317312031E-2</v>
      </c>
      <c r="EC58" s="293">
        <v>0</v>
      </c>
      <c r="ED58" s="293">
        <v>0</v>
      </c>
      <c r="EE58" s="293">
        <v>4.5541943861147904E-2</v>
      </c>
      <c r="EF58" s="293">
        <v>0</v>
      </c>
      <c r="EG58" s="293">
        <v>0.12924144777586044</v>
      </c>
      <c r="EH58" s="293">
        <v>0.27934351498158</v>
      </c>
      <c r="EI58" s="293">
        <v>0.10764011525</v>
      </c>
      <c r="EJ58" s="293">
        <v>0</v>
      </c>
      <c r="EK58" s="293">
        <v>0</v>
      </c>
      <c r="EL58" s="295">
        <v>0.17373103409367782</v>
      </c>
      <c r="EM58" s="1080">
        <v>0.21128650166513235</v>
      </c>
      <c r="EN58" s="1080">
        <v>2.012568039407242E-2</v>
      </c>
      <c r="EO58" s="1080">
        <v>0</v>
      </c>
      <c r="EP58" s="1080">
        <v>0</v>
      </c>
      <c r="EQ58" s="1080">
        <v>0.26258815532941482</v>
      </c>
      <c r="ER58" s="1080">
        <v>0.41951590799989996</v>
      </c>
      <c r="ES58" s="1080">
        <v>0.31492971197945724</v>
      </c>
      <c r="ET58" s="1080">
        <v>2.006241678089532E-2</v>
      </c>
      <c r="EU58" s="1080">
        <v>0</v>
      </c>
      <c r="EV58" s="1080">
        <v>0</v>
      </c>
      <c r="EW58" s="1080">
        <v>0.55583548591303822</v>
      </c>
      <c r="EX58" s="1340">
        <v>0</v>
      </c>
      <c r="EY58" s="1080"/>
      <c r="EZ58" s="1080"/>
      <c r="FA58" s="1080"/>
      <c r="FB58" s="1080"/>
      <c r="FC58" s="1080"/>
      <c r="FD58" s="1080"/>
      <c r="FE58" s="1080"/>
      <c r="FF58" s="1080"/>
      <c r="FG58" s="1080"/>
      <c r="FH58" s="1080"/>
      <c r="FI58" s="1080"/>
      <c r="FJ58" s="1340"/>
      <c r="FK58" s="1080"/>
      <c r="FL58" s="1080"/>
      <c r="FM58" s="1080"/>
      <c r="FN58" s="1080"/>
      <c r="FO58" s="1080"/>
      <c r="FP58" s="1080"/>
      <c r="FQ58" s="293"/>
      <c r="FR58" s="293"/>
      <c r="FS58" s="293"/>
      <c r="FT58" s="293"/>
      <c r="FU58" s="293"/>
      <c r="FV58" s="293"/>
      <c r="FW58" s="293"/>
      <c r="FX58" s="293"/>
      <c r="FY58" s="293"/>
      <c r="FZ58" s="293"/>
      <c r="GA58" s="293"/>
      <c r="GB58" s="293"/>
      <c r="GC58" s="293"/>
      <c r="GD58" s="293"/>
      <c r="GE58" s="293"/>
      <c r="GF58" s="293"/>
      <c r="GG58" s="293"/>
      <c r="GH58" s="293"/>
      <c r="GI58" s="293"/>
      <c r="GJ58" s="293"/>
      <c r="GK58" s="293"/>
      <c r="GL58" s="293"/>
      <c r="GM58" s="293"/>
      <c r="GN58" s="293"/>
      <c r="GO58" s="293"/>
      <c r="GP58" s="293"/>
      <c r="GQ58" s="293"/>
      <c r="GR58" s="293"/>
      <c r="GS58" s="293"/>
      <c r="GT58" s="293"/>
      <c r="GU58" s="293"/>
      <c r="GV58" s="293"/>
      <c r="GW58" s="293"/>
      <c r="GX58" s="293"/>
      <c r="GY58" s="293"/>
      <c r="GZ58" s="293"/>
      <c r="HA58" s="293"/>
      <c r="HB58" s="293"/>
      <c r="HC58" s="293"/>
      <c r="HD58" s="293"/>
      <c r="HE58" s="293"/>
      <c r="HF58" s="293"/>
      <c r="HG58" s="293"/>
      <c r="HH58" s="293"/>
      <c r="HI58" s="293"/>
      <c r="HJ58" s="293"/>
      <c r="HK58" s="293"/>
      <c r="HL58" s="293"/>
      <c r="HM58" s="293"/>
      <c r="HN58" s="293"/>
      <c r="HO58" s="293"/>
      <c r="HP58" s="293"/>
      <c r="HQ58" s="293"/>
      <c r="HR58" s="293"/>
      <c r="HS58" s="293"/>
      <c r="HT58" s="293"/>
      <c r="HU58" s="293"/>
      <c r="HV58" s="293"/>
      <c r="HW58" s="293"/>
      <c r="HX58" s="293"/>
      <c r="HY58" s="293"/>
      <c r="IH58" s="279">
        <f t="shared" si="11"/>
        <v>6.4005966999999997E-2</v>
      </c>
      <c r="II58" s="279">
        <f t="shared" si="12"/>
        <v>1.738206517522272E-2</v>
      </c>
      <c r="IJ58" s="279">
        <f t="shared" si="13"/>
        <v>8.1388032175222724E-2</v>
      </c>
      <c r="IK58" s="279">
        <f t="shared" si="14"/>
        <v>7.9867089156053256E-2</v>
      </c>
      <c r="KT58" s="280"/>
    </row>
    <row r="59" spans="1:306" outlineLevel="1">
      <c r="B59" s="96" t="s">
        <v>338</v>
      </c>
      <c r="D59" s="296" t="str">
        <f t="shared" si="15"/>
        <v>FIDA</v>
      </c>
      <c r="E59" s="293"/>
      <c r="F59" s="293"/>
      <c r="G59" s="293"/>
      <c r="H59" s="293"/>
      <c r="I59" s="293"/>
      <c r="J59" s="293"/>
      <c r="K59" s="293"/>
      <c r="L59" s="293"/>
      <c r="M59" s="293"/>
      <c r="N59" s="293"/>
      <c r="O59" s="293"/>
      <c r="P59" s="293"/>
      <c r="Q59" s="293"/>
      <c r="R59" s="293"/>
      <c r="S59" s="293"/>
      <c r="T59" s="293"/>
      <c r="U59" s="293"/>
      <c r="V59" s="293"/>
      <c r="W59" s="293"/>
      <c r="X59" s="293"/>
      <c r="Y59" s="293"/>
      <c r="Z59" s="293"/>
      <c r="AA59" s="293"/>
      <c r="AB59" s="293"/>
      <c r="AC59" s="293"/>
      <c r="AD59" s="293"/>
      <c r="AE59" s="293"/>
      <c r="AF59" s="293"/>
      <c r="AG59" s="293"/>
      <c r="AH59" s="293"/>
      <c r="AI59" s="293"/>
      <c r="AJ59" s="293"/>
      <c r="AK59" s="293"/>
      <c r="AL59" s="293"/>
      <c r="AM59" s="293"/>
      <c r="AN59" s="293"/>
      <c r="AO59" s="293">
        <v>6.5569659927000007E-2</v>
      </c>
      <c r="AP59" s="293">
        <v>0</v>
      </c>
      <c r="AQ59" s="293">
        <v>4.4982318635100001E-2</v>
      </c>
      <c r="AR59" s="293">
        <v>4.5528815228100004E-2</v>
      </c>
      <c r="AS59" s="293">
        <v>3.4605596336099997E-2</v>
      </c>
      <c r="AT59" s="293">
        <v>4.4464072116500004E-2</v>
      </c>
      <c r="AU59" s="293">
        <v>6.4303834459499998E-2</v>
      </c>
      <c r="AV59" s="293">
        <v>0</v>
      </c>
      <c r="AW59" s="293">
        <v>4.54326697861E-2</v>
      </c>
      <c r="AX59" s="293">
        <v>5.2211958407199999E-2</v>
      </c>
      <c r="AY59" s="293">
        <v>3.6642754367100003E-2</v>
      </c>
      <c r="AZ59" s="293">
        <v>4.9990845979800004E-2</v>
      </c>
      <c r="BA59" s="293">
        <v>6.7544025003499999E-2</v>
      </c>
      <c r="BB59" s="293">
        <v>0</v>
      </c>
      <c r="BC59" s="293">
        <v>4.7850974449300004E-2</v>
      </c>
      <c r="BD59" s="293">
        <v>5.7504149036399999E-2</v>
      </c>
      <c r="BE59" s="293">
        <v>3.7185224575500005E-2</v>
      </c>
      <c r="BF59" s="293">
        <v>5.4081561868199991E-2</v>
      </c>
      <c r="BG59" s="293">
        <v>7.0775178084799995E-2</v>
      </c>
      <c r="BH59" s="293">
        <v>0</v>
      </c>
      <c r="BI59" s="293">
        <v>4.7559303659400004E-2</v>
      </c>
      <c r="BJ59" s="293">
        <v>6.0940423247799989E-2</v>
      </c>
      <c r="BK59" s="293">
        <v>3.5680622713499997E-2</v>
      </c>
      <c r="BL59" s="293">
        <v>5.4746628507399996E-2</v>
      </c>
      <c r="BM59" s="293">
        <v>6.9503133593500008E-2</v>
      </c>
      <c r="BN59" s="293">
        <v>0</v>
      </c>
      <c r="BO59" s="293">
        <v>4.6518845190000005E-2</v>
      </c>
      <c r="BP59" s="293">
        <v>6.4858769037300007E-2</v>
      </c>
      <c r="BQ59" s="293">
        <v>3.5032214061800002E-2</v>
      </c>
      <c r="BR59" s="293">
        <v>5.8904331197599996E-2</v>
      </c>
      <c r="BS59" s="293">
        <v>6.7736599551999996E-2</v>
      </c>
      <c r="BT59" s="293">
        <v>0</v>
      </c>
      <c r="BU59" s="293">
        <v>4.6830036934000001E-2</v>
      </c>
      <c r="BV59" s="293">
        <v>7.1155859456000004E-2</v>
      </c>
      <c r="BW59" s="293">
        <v>3.5322740971000001E-2</v>
      </c>
      <c r="BX59" s="293">
        <v>6.11969179068E-2</v>
      </c>
      <c r="BY59" s="293">
        <v>6.9384428312718405E-2</v>
      </c>
      <c r="BZ59" s="293">
        <v>0</v>
      </c>
      <c r="CA59" s="293">
        <v>4.5722642002298898E-2</v>
      </c>
      <c r="CB59" s="293">
        <v>4.3994296785556004E-2</v>
      </c>
      <c r="CC59" s="293">
        <v>6.4220255311683377E-2</v>
      </c>
      <c r="CD59" s="293">
        <v>5.9525140463907646E-2</v>
      </c>
      <c r="CE59" s="294">
        <v>6.6936374872096596E-2</v>
      </c>
      <c r="CF59" s="293">
        <v>0</v>
      </c>
      <c r="CG59" s="293">
        <v>4.6723434355322606E-2</v>
      </c>
      <c r="CH59" s="293">
        <v>8.003354533912091E-2</v>
      </c>
      <c r="CI59" s="293">
        <v>3.5492680090771556E-2</v>
      </c>
      <c r="CJ59" s="293">
        <v>1.4479858336051669E-2</v>
      </c>
      <c r="CK59" s="293">
        <v>6.9860676795523879E-2</v>
      </c>
      <c r="CL59" s="293">
        <v>0</v>
      </c>
      <c r="CM59" s="293">
        <v>4.8522368009005189E-2</v>
      </c>
      <c r="CN59" s="293">
        <v>9.104580101859823E-2</v>
      </c>
      <c r="CO59" s="293">
        <v>3.6387144946489883E-2</v>
      </c>
      <c r="CP59" s="295">
        <v>5.7423625998236555E-2</v>
      </c>
      <c r="CQ59" s="293">
        <v>7.075582366899151E-2</v>
      </c>
      <c r="CR59" s="293">
        <v>0</v>
      </c>
      <c r="CS59" s="293">
        <v>4.7265840240198531E-2</v>
      </c>
      <c r="CT59" s="293">
        <v>9.9480290228547028E-2</v>
      </c>
      <c r="CU59" s="293">
        <v>3.4398607750535042E-2</v>
      </c>
      <c r="CV59" s="293">
        <v>6.1950974795366841E-2</v>
      </c>
      <c r="CW59" s="293">
        <v>5.4930730014209242E-2</v>
      </c>
      <c r="CX59" s="293">
        <v>0</v>
      </c>
      <c r="CY59" s="293">
        <v>3.3438414892986594E-2</v>
      </c>
      <c r="CZ59" s="293">
        <v>0.10689428719256494</v>
      </c>
      <c r="DA59" s="293">
        <v>3.341001331401481E-2</v>
      </c>
      <c r="DB59" s="1288">
        <v>6.0596480481072947E-2</v>
      </c>
      <c r="DC59" s="293">
        <v>6.4741081000000006E-2</v>
      </c>
      <c r="DD59" s="293">
        <v>0</v>
      </c>
      <c r="DE59" s="293">
        <v>4.5462529000000002E-2</v>
      </c>
      <c r="DF59" s="293">
        <v>0.122449634</v>
      </c>
      <c r="DG59" s="293">
        <v>3.3143802999999999E-2</v>
      </c>
      <c r="DH59" s="293">
        <v>6.1208150000000003E-2</v>
      </c>
      <c r="DI59" s="293">
        <v>6.526280304710172E-2</v>
      </c>
      <c r="DJ59" s="293">
        <v>0</v>
      </c>
      <c r="DK59" s="293">
        <v>4.637877747717311E-2</v>
      </c>
      <c r="DL59" s="293">
        <v>0.13573058251230338</v>
      </c>
      <c r="DM59" s="293">
        <v>3.4783919837957998E-2</v>
      </c>
      <c r="DN59" s="295">
        <v>6.3651000112499995E-2</v>
      </c>
      <c r="DO59" s="293">
        <v>6.6755624310400011E-2</v>
      </c>
      <c r="DP59" s="293">
        <v>0</v>
      </c>
      <c r="DQ59" s="293">
        <v>4.8232710374399995E-2</v>
      </c>
      <c r="DR59" s="293">
        <v>0.15028947084140784</v>
      </c>
      <c r="DS59" s="293">
        <v>3.4468042579199998E-2</v>
      </c>
      <c r="DT59" s="293">
        <v>6.2662375729999983E-2</v>
      </c>
      <c r="DU59" s="293">
        <v>6.5493012959912777E-2</v>
      </c>
      <c r="DV59" s="293">
        <v>0</v>
      </c>
      <c r="DW59" s="293">
        <v>4.6544281942352397E-2</v>
      </c>
      <c r="DX59" s="293">
        <v>4.5323740470433999E-2</v>
      </c>
      <c r="DY59" s="293">
        <v>0.1451367119867594</v>
      </c>
      <c r="DZ59" s="295">
        <v>6.4096468235229687E-2</v>
      </c>
      <c r="EA59" s="293">
        <v>6.6979576767439056E-2</v>
      </c>
      <c r="EB59" s="293">
        <v>0</v>
      </c>
      <c r="EC59" s="293">
        <v>0</v>
      </c>
      <c r="ED59" s="293">
        <v>0.22253457040020747</v>
      </c>
      <c r="EE59" s="293">
        <v>3.4857938553409427E-2</v>
      </c>
      <c r="EF59" s="293">
        <v>6.5266487360313735E-2</v>
      </c>
      <c r="EG59" s="293">
        <v>6.7839297572475726E-2</v>
      </c>
      <c r="EH59" s="293">
        <v>9.7451123734767012E-3</v>
      </c>
      <c r="EI59" s="293">
        <v>4.9480944289808398E-2</v>
      </c>
      <c r="EJ59" s="293">
        <v>4.8200163642380306E-2</v>
      </c>
      <c r="EK59" s="293">
        <v>3.5279720881394083E-2</v>
      </c>
      <c r="EL59" s="295">
        <v>6.5530138672874647E-2</v>
      </c>
      <c r="EM59" s="1080">
        <v>6.6411793737534724E-2</v>
      </c>
      <c r="EN59" s="1080">
        <v>1.7907998913716788E-2</v>
      </c>
      <c r="EO59" s="1080">
        <v>4.7618356709400025E-2</v>
      </c>
      <c r="EP59" s="1080">
        <v>0.20760307365310504</v>
      </c>
      <c r="EQ59" s="1080">
        <v>3.3868901751869379E-2</v>
      </c>
      <c r="ER59" s="1080">
        <v>6.4117879129054395E-2</v>
      </c>
      <c r="ES59" s="1080">
        <v>6.5392640062050297E-2</v>
      </c>
      <c r="ET59" s="1080">
        <v>2.908202675126112E-2</v>
      </c>
      <c r="EU59" s="1080">
        <v>4.7324995376891402E-2</v>
      </c>
      <c r="EV59" s="1080">
        <v>0.21567830468606222</v>
      </c>
      <c r="EW59" s="1080">
        <v>3.3797729999112805E-2</v>
      </c>
      <c r="EX59" s="1340">
        <v>6.4150437795326989E-2</v>
      </c>
      <c r="EY59" s="1080"/>
      <c r="EZ59" s="1080"/>
      <c r="FA59" s="1080"/>
      <c r="FB59" s="1080"/>
      <c r="FC59" s="1080"/>
      <c r="FD59" s="1080"/>
      <c r="FE59" s="1080"/>
      <c r="FF59" s="1080"/>
      <c r="FG59" s="1080"/>
      <c r="FH59" s="1080"/>
      <c r="FI59" s="1080"/>
      <c r="FJ59" s="1340"/>
      <c r="FK59" s="1080"/>
      <c r="FL59" s="1080"/>
      <c r="FM59" s="1080"/>
      <c r="FN59" s="1080"/>
      <c r="FO59" s="1080"/>
      <c r="FP59" s="1080"/>
      <c r="FQ59" s="293"/>
      <c r="FR59" s="293"/>
      <c r="FS59" s="293"/>
      <c r="FT59" s="293"/>
      <c r="FU59" s="293"/>
      <c r="FV59" s="293"/>
      <c r="FW59" s="293"/>
      <c r="FX59" s="293"/>
      <c r="FY59" s="293"/>
      <c r="FZ59" s="293"/>
      <c r="GA59" s="293"/>
      <c r="GB59" s="293"/>
      <c r="GC59" s="293"/>
      <c r="GD59" s="293"/>
      <c r="GE59" s="293"/>
      <c r="GF59" s="293"/>
      <c r="GG59" s="293"/>
      <c r="GH59" s="293"/>
      <c r="GI59" s="293"/>
      <c r="GJ59" s="293"/>
      <c r="GK59" s="293"/>
      <c r="GL59" s="293"/>
      <c r="GM59" s="293"/>
      <c r="GN59" s="293"/>
      <c r="GO59" s="293"/>
      <c r="GP59" s="293"/>
      <c r="GQ59" s="293"/>
      <c r="GR59" s="293"/>
      <c r="GS59" s="293"/>
      <c r="GT59" s="293"/>
      <c r="GU59" s="293"/>
      <c r="GV59" s="293"/>
      <c r="GW59" s="293"/>
      <c r="GX59" s="293"/>
      <c r="GY59" s="293"/>
      <c r="GZ59" s="293"/>
      <c r="HA59" s="293"/>
      <c r="HB59" s="293"/>
      <c r="HC59" s="293"/>
      <c r="HD59" s="293"/>
      <c r="HE59" s="293"/>
      <c r="HF59" s="293"/>
      <c r="HG59" s="293"/>
      <c r="HH59" s="293"/>
      <c r="HI59" s="293"/>
      <c r="HJ59" s="293"/>
      <c r="HK59" s="293"/>
      <c r="HL59" s="293"/>
      <c r="HM59" s="293"/>
      <c r="HN59" s="293"/>
      <c r="HO59" s="293"/>
      <c r="HP59" s="293"/>
      <c r="HQ59" s="293"/>
      <c r="HR59" s="293"/>
      <c r="HS59" s="293"/>
      <c r="HT59" s="293"/>
      <c r="HU59" s="293"/>
      <c r="HV59" s="293"/>
      <c r="HW59" s="293"/>
      <c r="HX59" s="293"/>
      <c r="HY59" s="293"/>
      <c r="IH59" s="279">
        <f t="shared" si="11"/>
        <v>0.32700519700000003</v>
      </c>
      <c r="II59" s="279">
        <f t="shared" si="12"/>
        <v>0.34580708298703622</v>
      </c>
      <c r="IJ59" s="279">
        <f t="shared" si="13"/>
        <v>0.67281227998703619</v>
      </c>
      <c r="IK59" s="279">
        <f t="shared" si="14"/>
        <v>0.36240822383540783</v>
      </c>
      <c r="KT59" s="280"/>
    </row>
    <row r="60" spans="1:306" outlineLevel="1">
      <c r="B60" s="96" t="s">
        <v>338</v>
      </c>
      <c r="D60" s="296" t="str">
        <f t="shared" si="15"/>
        <v>BEI/CEE</v>
      </c>
      <c r="E60" s="293"/>
      <c r="F60" s="293"/>
      <c r="G60" s="293"/>
      <c r="H60" s="293"/>
      <c r="I60" s="293"/>
      <c r="J60" s="293"/>
      <c r="K60" s="293"/>
      <c r="L60" s="293"/>
      <c r="M60" s="293"/>
      <c r="N60" s="293"/>
      <c r="O60" s="293"/>
      <c r="P60" s="293"/>
      <c r="Q60" s="293"/>
      <c r="R60" s="293"/>
      <c r="S60" s="293"/>
      <c r="T60" s="293"/>
      <c r="U60" s="293"/>
      <c r="V60" s="293"/>
      <c r="W60" s="293"/>
      <c r="X60" s="293"/>
      <c r="Y60" s="293"/>
      <c r="Z60" s="293"/>
      <c r="AA60" s="293"/>
      <c r="AB60" s="293"/>
      <c r="AC60" s="293"/>
      <c r="AD60" s="293"/>
      <c r="AE60" s="293"/>
      <c r="AF60" s="293"/>
      <c r="AG60" s="293"/>
      <c r="AH60" s="293"/>
      <c r="AI60" s="293"/>
      <c r="AJ60" s="293"/>
      <c r="AK60" s="293"/>
      <c r="AL60" s="293"/>
      <c r="AM60" s="293"/>
      <c r="AN60" s="293"/>
      <c r="AO60" s="293">
        <v>1.3657561487999998E-3</v>
      </c>
      <c r="AP60" s="293">
        <v>6.2572316066999995E-3</v>
      </c>
      <c r="AQ60" s="293">
        <v>7.9993548349999999E-3</v>
      </c>
      <c r="AR60" s="293">
        <v>2.1146345600000001E-3</v>
      </c>
      <c r="AS60" s="293">
        <v>4.4442610040400003E-2</v>
      </c>
      <c r="AT60" s="293">
        <v>2.0817314668199999E-2</v>
      </c>
      <c r="AU60" s="293">
        <v>1.1735169432000002E-3</v>
      </c>
      <c r="AV60" s="293">
        <v>5.9318858289000003E-3</v>
      </c>
      <c r="AW60" s="293">
        <v>7.4054713931999989E-3</v>
      </c>
      <c r="AX60" s="293">
        <v>2.1858876236999993E-3</v>
      </c>
      <c r="AY60" s="293">
        <v>3.0915354827999999E-3</v>
      </c>
      <c r="AZ60" s="293">
        <v>1.6244378362499999E-2</v>
      </c>
      <c r="BA60" s="293">
        <v>1.2496758242000001E-3</v>
      </c>
      <c r="BB60" s="293">
        <v>6.1832520305999993E-3</v>
      </c>
      <c r="BC60" s="293">
        <v>8.0022732237000002E-3</v>
      </c>
      <c r="BD60" s="293">
        <v>1.0936347000599998E-2</v>
      </c>
      <c r="BE60" s="293">
        <v>3.042818347E-3</v>
      </c>
      <c r="BF60" s="293">
        <v>5.9484112425000006E-2</v>
      </c>
      <c r="BG60" s="293">
        <v>1.3660259526000001E-3</v>
      </c>
      <c r="BH60" s="293">
        <v>6.3331783461999993E-3</v>
      </c>
      <c r="BI60" s="293">
        <v>8.0736942825000001E-3</v>
      </c>
      <c r="BJ60" s="293">
        <v>2.0520825779999996E-3</v>
      </c>
      <c r="BK60" s="293">
        <v>2.7579618440000007E-3</v>
      </c>
      <c r="BL60" s="293">
        <v>1.4837359630399997E-2</v>
      </c>
      <c r="BM60" s="293">
        <v>1.2015837045E-3</v>
      </c>
      <c r="BN60" s="293">
        <v>5.7627666440999998E-3</v>
      </c>
      <c r="BO60" s="293">
        <v>7.3341245339999996E-3</v>
      </c>
      <c r="BP60" s="293">
        <v>1.9206477090000004E-3</v>
      </c>
      <c r="BQ60" s="293">
        <v>2.4473447379E-3</v>
      </c>
      <c r="BR60" s="293">
        <v>4.3761392876400004E-2</v>
      </c>
      <c r="BS60" s="293">
        <v>1.1445724569999999E-3</v>
      </c>
      <c r="BT60" s="293">
        <v>5.2908743881000002E-3</v>
      </c>
      <c r="BU60" s="293">
        <v>6.6820602982000012E-3</v>
      </c>
      <c r="BV60" s="293">
        <v>1.8865797480000005E-3</v>
      </c>
      <c r="BW60" s="293">
        <v>2.3175571747999996E-3</v>
      </c>
      <c r="BX60" s="293">
        <v>1.4417089192000002E-2</v>
      </c>
      <c r="BY60" s="293">
        <v>1.23066322691565E-3</v>
      </c>
      <c r="BZ60" s="293">
        <v>5.7159871144794499E-3</v>
      </c>
      <c r="CA60" s="293">
        <v>6.9354449964268297E-3</v>
      </c>
      <c r="CB60" s="293">
        <v>2.24064697772556E-3</v>
      </c>
      <c r="CC60" s="293">
        <v>2.1985608790385598E-3</v>
      </c>
      <c r="CD60" s="293">
        <v>3.9303658600096256E-2</v>
      </c>
      <c r="CE60" s="294">
        <v>1.2014856025680698E-3</v>
      </c>
      <c r="CF60" s="293">
        <v>5.6588653692111798E-3</v>
      </c>
      <c r="CG60" s="293">
        <v>6.9074871335574597E-3</v>
      </c>
      <c r="CH60" s="293">
        <v>1.950932286752E-3</v>
      </c>
      <c r="CI60" s="293">
        <v>2.1653054187703203E-3</v>
      </c>
      <c r="CJ60" s="293">
        <v>0</v>
      </c>
      <c r="CK60" s="293">
        <v>1.2943627243179399E-3</v>
      </c>
      <c r="CL60" s="293">
        <v>5.8401199238069601E-3</v>
      </c>
      <c r="CM60" s="293">
        <v>7.0896024345415498E-3</v>
      </c>
      <c r="CN60" s="293">
        <v>1.96171232139809E-3</v>
      </c>
      <c r="CO60" s="293">
        <v>2.0441078155413999E-3</v>
      </c>
      <c r="CP60" s="295">
        <v>3.2621321591739902E-2</v>
      </c>
      <c r="CQ60" s="293">
        <v>1.2781947984230801E-3</v>
      </c>
      <c r="CR60" s="293">
        <v>5.6005272070276764E-3</v>
      </c>
      <c r="CS60" s="293">
        <v>6.6076179208503011E-3</v>
      </c>
      <c r="CT60" s="293">
        <v>1.7522878738796999E-3</v>
      </c>
      <c r="CU60" s="293">
        <v>1.6914461217155501E-3</v>
      </c>
      <c r="CV60" s="293">
        <v>1.2553622810290398E-2</v>
      </c>
      <c r="CW60" s="293">
        <v>1.1178959288213998E-3</v>
      </c>
      <c r="CX60" s="293">
        <v>4.7252983152272499E-3</v>
      </c>
      <c r="CY60" s="293">
        <v>5.5270629664785501E-3</v>
      </c>
      <c r="CZ60" s="293">
        <v>1.4606138210970399E-3</v>
      </c>
      <c r="DA60" s="293">
        <v>1.3924535712258699E-3</v>
      </c>
      <c r="DB60" s="1288">
        <v>1.9032303762270705E-2</v>
      </c>
      <c r="DC60" s="293">
        <v>1.051282E-3</v>
      </c>
      <c r="DD60" s="293">
        <v>4.5762290000000002E-3</v>
      </c>
      <c r="DE60" s="293">
        <v>5.4383399999999998E-3</v>
      </c>
      <c r="DF60" s="293">
        <v>1.558565E-3</v>
      </c>
      <c r="DG60" s="293">
        <v>1.1715499999999999E-3</v>
      </c>
      <c r="DH60" s="293">
        <v>1.0703101E-2</v>
      </c>
      <c r="DI60" s="293">
        <v>1.03395719001007E-3</v>
      </c>
      <c r="DJ60" s="293">
        <v>4.6463790244332002E-3</v>
      </c>
      <c r="DK60" s="293">
        <v>5.2532020768827599E-3</v>
      </c>
      <c r="DL60" s="293">
        <v>1.5390075985963799E-3</v>
      </c>
      <c r="DM60" s="293">
        <v>1.0849472657838001E-3</v>
      </c>
      <c r="DN60" s="295">
        <v>1.0794227845524062E-2</v>
      </c>
      <c r="DO60" s="293">
        <v>1.0645728680142002E-3</v>
      </c>
      <c r="DP60" s="293">
        <v>4.6383688103753705E-3</v>
      </c>
      <c r="DQ60" s="293">
        <v>5.4018531208472401E-3</v>
      </c>
      <c r="DR60" s="293">
        <v>1.5167029307591E-3</v>
      </c>
      <c r="DS60" s="293">
        <v>8.6207197204829988E-4</v>
      </c>
      <c r="DT60" s="293">
        <v>9.9963928727512391E-3</v>
      </c>
      <c r="DU60" s="293">
        <v>1.0280622734658001E-3</v>
      </c>
      <c r="DV60" s="293">
        <v>4.3471344148693454E-3</v>
      </c>
      <c r="DW60" s="293">
        <v>4.9254916445951999E-3</v>
      </c>
      <c r="DX60" s="293">
        <v>1.4181510749571001E-3</v>
      </c>
      <c r="DY60" s="293">
        <v>6.6938075708100001E-4</v>
      </c>
      <c r="DZ60" s="295">
        <v>1.008235491572416E-2</v>
      </c>
      <c r="EA60" s="293">
        <v>1.1017478398675201E-3</v>
      </c>
      <c r="EB60" s="293">
        <v>4.6884709651272604E-3</v>
      </c>
      <c r="EC60" s="293">
        <v>5.2604626688000002E-3</v>
      </c>
      <c r="ED60" s="293">
        <v>1.49719782076768E-3</v>
      </c>
      <c r="EE60" s="293">
        <v>4.8641163635999992E-4</v>
      </c>
      <c r="EF60" s="293">
        <v>9.931337142758569E-3</v>
      </c>
      <c r="EG60" s="293">
        <v>1.3057678111109651E-3</v>
      </c>
      <c r="EH60" s="293">
        <v>5.7900718409109545E-3</v>
      </c>
      <c r="EI60" s="293">
        <v>6.0787025643157192E-3</v>
      </c>
      <c r="EJ60" s="293">
        <v>1.5203555262318503E-3</v>
      </c>
      <c r="EK60" s="293">
        <v>2.5369211221171E-4</v>
      </c>
      <c r="EL60" s="295">
        <v>9.4448831648270507E-3</v>
      </c>
      <c r="EM60" s="1080">
        <v>1.0911283004064797E-3</v>
      </c>
      <c r="EN60" s="1080">
        <v>4.2466715494525187E-3</v>
      </c>
      <c r="EO60" s="1080">
        <v>4.6684100561375187E-3</v>
      </c>
      <c r="EP60" s="1080">
        <v>1.3713143722857901E-3</v>
      </c>
      <c r="EQ60" s="1080">
        <v>0</v>
      </c>
      <c r="ER60" s="1080">
        <v>8.5422955764502401E-3</v>
      </c>
      <c r="ES60" s="1080">
        <v>1.0587555065756098E-3</v>
      </c>
      <c r="ET60" s="1080">
        <v>4.065770389507401E-3</v>
      </c>
      <c r="EU60" s="1080">
        <v>4.3002434788536091E-3</v>
      </c>
      <c r="EV60" s="1080">
        <v>0</v>
      </c>
      <c r="EW60" s="1080">
        <v>0</v>
      </c>
      <c r="EX60" s="1340">
        <v>0</v>
      </c>
      <c r="EY60" s="1080"/>
      <c r="EZ60" s="1080"/>
      <c r="FA60" s="1080"/>
      <c r="FB60" s="1080"/>
      <c r="FC60" s="1080"/>
      <c r="FD60" s="1080"/>
      <c r="FE60" s="1080"/>
      <c r="FF60" s="1080"/>
      <c r="FG60" s="1080"/>
      <c r="FH60" s="1080"/>
      <c r="FI60" s="1080"/>
      <c r="FJ60" s="1340"/>
      <c r="FK60" s="1080"/>
      <c r="FL60" s="1080"/>
      <c r="FM60" s="1080"/>
      <c r="FN60" s="1080"/>
      <c r="FO60" s="1080"/>
      <c r="FP60" s="1080"/>
      <c r="FQ60" s="293"/>
      <c r="FR60" s="293"/>
      <c r="FS60" s="293"/>
      <c r="FT60" s="293"/>
      <c r="FU60" s="293"/>
      <c r="FV60" s="293"/>
      <c r="FW60" s="293"/>
      <c r="FX60" s="293"/>
      <c r="FY60" s="293"/>
      <c r="FZ60" s="293"/>
      <c r="GA60" s="293"/>
      <c r="GB60" s="293"/>
      <c r="GC60" s="293"/>
      <c r="GD60" s="293"/>
      <c r="GE60" s="293"/>
      <c r="GF60" s="293"/>
      <c r="GG60" s="293"/>
      <c r="GH60" s="293"/>
      <c r="GI60" s="293"/>
      <c r="GJ60" s="293"/>
      <c r="GK60" s="293"/>
      <c r="GL60" s="293"/>
      <c r="GM60" s="293"/>
      <c r="GN60" s="293"/>
      <c r="GO60" s="293"/>
      <c r="GP60" s="293"/>
      <c r="GQ60" s="293"/>
      <c r="GR60" s="293"/>
      <c r="GS60" s="293"/>
      <c r="GT60" s="293"/>
      <c r="GU60" s="293"/>
      <c r="GV60" s="293"/>
      <c r="GW60" s="293"/>
      <c r="GX60" s="293"/>
      <c r="GY60" s="293"/>
      <c r="GZ60" s="293"/>
      <c r="HA60" s="293"/>
      <c r="HB60" s="293"/>
      <c r="HC60" s="293"/>
      <c r="HD60" s="293"/>
      <c r="HE60" s="293"/>
      <c r="HF60" s="293"/>
      <c r="HG60" s="293"/>
      <c r="HH60" s="293"/>
      <c r="HI60" s="293"/>
      <c r="HJ60" s="293"/>
      <c r="HK60" s="293"/>
      <c r="HL60" s="293"/>
      <c r="HM60" s="293"/>
      <c r="HN60" s="293"/>
      <c r="HO60" s="293"/>
      <c r="HP60" s="293"/>
      <c r="HQ60" s="293"/>
      <c r="HR60" s="293"/>
      <c r="HS60" s="293"/>
      <c r="HT60" s="293"/>
      <c r="HU60" s="293"/>
      <c r="HV60" s="293"/>
      <c r="HW60" s="293"/>
      <c r="HX60" s="293"/>
      <c r="HY60" s="293"/>
      <c r="IH60" s="279">
        <f t="shared" si="11"/>
        <v>2.4499066999999999E-2</v>
      </c>
      <c r="II60" s="279">
        <f t="shared" si="12"/>
        <v>2.4351721001230273E-2</v>
      </c>
      <c r="IJ60" s="279">
        <f t="shared" si="13"/>
        <v>4.8850788001230272E-2</v>
      </c>
      <c r="IK60" s="279">
        <f t="shared" si="14"/>
        <v>2.3479962574795447E-2</v>
      </c>
      <c r="KT60" s="280"/>
    </row>
    <row r="61" spans="1:306" outlineLevel="1">
      <c r="B61" s="96" t="s">
        <v>338</v>
      </c>
      <c r="D61" s="296" t="str">
        <f t="shared" si="15"/>
        <v>BADEA</v>
      </c>
      <c r="E61" s="293"/>
      <c r="F61" s="293"/>
      <c r="G61" s="293"/>
      <c r="H61" s="293"/>
      <c r="I61" s="293"/>
      <c r="J61" s="293"/>
      <c r="K61" s="293"/>
      <c r="L61" s="293"/>
      <c r="M61" s="293"/>
      <c r="N61" s="293"/>
      <c r="O61" s="293"/>
      <c r="P61" s="293"/>
      <c r="Q61" s="293"/>
      <c r="R61" s="293"/>
      <c r="S61" s="293"/>
      <c r="T61" s="293"/>
      <c r="U61" s="293"/>
      <c r="V61" s="293"/>
      <c r="W61" s="293"/>
      <c r="X61" s="293"/>
      <c r="Y61" s="293"/>
      <c r="Z61" s="293"/>
      <c r="AA61" s="293"/>
      <c r="AB61" s="293"/>
      <c r="AC61" s="293"/>
      <c r="AD61" s="293"/>
      <c r="AE61" s="293"/>
      <c r="AF61" s="293"/>
      <c r="AG61" s="293"/>
      <c r="AH61" s="293"/>
      <c r="AI61" s="293"/>
      <c r="AJ61" s="293"/>
      <c r="AK61" s="293"/>
      <c r="AL61" s="293"/>
      <c r="AM61" s="293"/>
      <c r="AN61" s="293"/>
      <c r="AO61" s="293">
        <v>0</v>
      </c>
      <c r="AP61" s="293">
        <v>0</v>
      </c>
      <c r="AQ61" s="293">
        <v>0</v>
      </c>
      <c r="AR61" s="293">
        <v>0</v>
      </c>
      <c r="AS61" s="293">
        <v>0.25869708133999997</v>
      </c>
      <c r="AT61" s="293">
        <v>0</v>
      </c>
      <c r="AU61" s="293">
        <v>0</v>
      </c>
      <c r="AV61" s="293">
        <v>0</v>
      </c>
      <c r="AW61" s="293">
        <v>0</v>
      </c>
      <c r="AX61" s="293">
        <v>0</v>
      </c>
      <c r="AY61" s="293">
        <v>0</v>
      </c>
      <c r="AZ61" s="293">
        <v>0.26522665249049998</v>
      </c>
      <c r="BA61" s="293">
        <v>0</v>
      </c>
      <c r="BB61" s="293">
        <v>0</v>
      </c>
      <c r="BC61" s="293">
        <v>0</v>
      </c>
      <c r="BD61" s="293">
        <v>0</v>
      </c>
      <c r="BE61" s="293">
        <v>0</v>
      </c>
      <c r="BF61" s="293">
        <v>0</v>
      </c>
      <c r="BG61" s="293">
        <v>0</v>
      </c>
      <c r="BH61" s="293">
        <v>0</v>
      </c>
      <c r="BI61" s="293">
        <v>0</v>
      </c>
      <c r="BJ61" s="293">
        <v>0</v>
      </c>
      <c r="BK61" s="293">
        <v>0</v>
      </c>
      <c r="BL61" s="293">
        <v>0</v>
      </c>
      <c r="BM61" s="293">
        <v>0</v>
      </c>
      <c r="BN61" s="293">
        <v>0</v>
      </c>
      <c r="BO61" s="293">
        <v>0</v>
      </c>
      <c r="BP61" s="293">
        <v>0</v>
      </c>
      <c r="BQ61" s="293">
        <v>0</v>
      </c>
      <c r="BR61" s="293">
        <v>0</v>
      </c>
      <c r="BS61" s="293">
        <v>0</v>
      </c>
      <c r="BT61" s="293">
        <v>0</v>
      </c>
      <c r="BU61" s="293">
        <v>1.7890654999999998E-2</v>
      </c>
      <c r="BV61" s="293">
        <v>0</v>
      </c>
      <c r="BW61" s="293">
        <v>0</v>
      </c>
      <c r="BX61" s="293">
        <v>0</v>
      </c>
      <c r="BY61" s="293">
        <v>0</v>
      </c>
      <c r="BZ61" s="293">
        <v>0</v>
      </c>
      <c r="CA61" s="293">
        <v>0</v>
      </c>
      <c r="CB61" s="293">
        <v>0</v>
      </c>
      <c r="CC61" s="293">
        <v>0</v>
      </c>
      <c r="CD61" s="293">
        <v>0</v>
      </c>
      <c r="CE61" s="294">
        <v>0</v>
      </c>
      <c r="CF61" s="293">
        <v>0</v>
      </c>
      <c r="CG61" s="293">
        <v>0</v>
      </c>
      <c r="CH61" s="293">
        <v>0</v>
      </c>
      <c r="CI61" s="293">
        <v>0</v>
      </c>
      <c r="CJ61" s="293">
        <v>0.1105535543378517</v>
      </c>
      <c r="CK61" s="293">
        <v>0</v>
      </c>
      <c r="CL61" s="293">
        <v>0</v>
      </c>
      <c r="CM61" s="293">
        <v>0</v>
      </c>
      <c r="CN61" s="293">
        <v>0</v>
      </c>
      <c r="CO61" s="293">
        <v>0</v>
      </c>
      <c r="CP61" s="295">
        <v>0</v>
      </c>
      <c r="CQ61" s="293">
        <v>0</v>
      </c>
      <c r="CR61" s="293">
        <v>0</v>
      </c>
      <c r="CS61" s="293">
        <v>0</v>
      </c>
      <c r="CT61" s="293">
        <v>0</v>
      </c>
      <c r="CU61" s="293">
        <v>0</v>
      </c>
      <c r="CV61" s="293">
        <v>0</v>
      </c>
      <c r="CW61" s="293">
        <v>0</v>
      </c>
      <c r="CX61" s="293">
        <v>0</v>
      </c>
      <c r="CY61" s="293">
        <v>0</v>
      </c>
      <c r="CZ61" s="293">
        <v>0</v>
      </c>
      <c r="DA61" s="293">
        <v>0</v>
      </c>
      <c r="DB61" s="1288">
        <v>0</v>
      </c>
      <c r="DC61" s="293">
        <v>0</v>
      </c>
      <c r="DD61" s="293">
        <v>0</v>
      </c>
      <c r="DE61" s="293">
        <v>0</v>
      </c>
      <c r="DF61" s="293">
        <v>0</v>
      </c>
      <c r="DG61" s="293">
        <v>0</v>
      </c>
      <c r="DH61" s="293">
        <v>0</v>
      </c>
      <c r="DI61" s="293">
        <v>0</v>
      </c>
      <c r="DJ61" s="293">
        <v>0</v>
      </c>
      <c r="DK61" s="293">
        <v>0</v>
      </c>
      <c r="DL61" s="293">
        <v>0</v>
      </c>
      <c r="DM61" s="293">
        <v>0</v>
      </c>
      <c r="DN61" s="295">
        <v>0</v>
      </c>
      <c r="DO61" s="293">
        <v>0</v>
      </c>
      <c r="DP61" s="293">
        <v>0</v>
      </c>
      <c r="DQ61" s="293">
        <v>0</v>
      </c>
      <c r="DR61" s="293">
        <v>0</v>
      </c>
      <c r="DS61" s="293">
        <v>0</v>
      </c>
      <c r="DT61" s="293">
        <v>0</v>
      </c>
      <c r="DU61" s="293">
        <v>0</v>
      </c>
      <c r="DV61" s="293">
        <v>0</v>
      </c>
      <c r="DW61" s="293">
        <v>0</v>
      </c>
      <c r="DX61" s="293">
        <v>0</v>
      </c>
      <c r="DY61" s="293">
        <v>0</v>
      </c>
      <c r="DZ61" s="295">
        <v>0</v>
      </c>
      <c r="EA61" s="293">
        <v>0</v>
      </c>
      <c r="EB61" s="293">
        <v>0</v>
      </c>
      <c r="EC61" s="293">
        <v>0</v>
      </c>
      <c r="ED61" s="293">
        <v>0</v>
      </c>
      <c r="EE61" s="293">
        <v>0</v>
      </c>
      <c r="EF61" s="293">
        <v>0</v>
      </c>
      <c r="EG61" s="293">
        <v>0</v>
      </c>
      <c r="EH61" s="293">
        <v>0</v>
      </c>
      <c r="EI61" s="293">
        <v>0</v>
      </c>
      <c r="EJ61" s="293">
        <v>0</v>
      </c>
      <c r="EK61" s="293">
        <v>0</v>
      </c>
      <c r="EL61" s="295">
        <v>0</v>
      </c>
      <c r="EM61" s="1080">
        <v>0</v>
      </c>
      <c r="EN61" s="1080">
        <v>0</v>
      </c>
      <c r="EO61" s="1080">
        <v>0</v>
      </c>
      <c r="EP61" s="1080">
        <v>0</v>
      </c>
      <c r="EQ61" s="1080">
        <v>0</v>
      </c>
      <c r="ER61" s="1080">
        <v>0</v>
      </c>
      <c r="ES61" s="1080">
        <v>0</v>
      </c>
      <c r="ET61" s="1080">
        <v>0</v>
      </c>
      <c r="EU61" s="1080">
        <v>0</v>
      </c>
      <c r="EV61" s="1080">
        <v>0</v>
      </c>
      <c r="EW61" s="1080">
        <v>0</v>
      </c>
      <c r="EX61" s="1340">
        <v>0</v>
      </c>
      <c r="EY61" s="1080"/>
      <c r="EZ61" s="1080"/>
      <c r="FA61" s="1080"/>
      <c r="FB61" s="1080"/>
      <c r="FC61" s="1080"/>
      <c r="FD61" s="1080"/>
      <c r="FE61" s="1080"/>
      <c r="FF61" s="1080"/>
      <c r="FG61" s="1080"/>
      <c r="FH61" s="1080"/>
      <c r="FI61" s="1080"/>
      <c r="FJ61" s="1340"/>
      <c r="FK61" s="1080"/>
      <c r="FL61" s="1080"/>
      <c r="FM61" s="1080"/>
      <c r="FN61" s="1080"/>
      <c r="FO61" s="1080"/>
      <c r="FP61" s="1080"/>
      <c r="FQ61" s="293"/>
      <c r="FR61" s="293"/>
      <c r="FS61" s="293"/>
      <c r="FT61" s="293"/>
      <c r="FU61" s="293"/>
      <c r="FV61" s="293"/>
      <c r="FW61" s="293"/>
      <c r="FX61" s="293"/>
      <c r="FY61" s="293"/>
      <c r="FZ61" s="293"/>
      <c r="GA61" s="293"/>
      <c r="GB61" s="293"/>
      <c r="GC61" s="293"/>
      <c r="GD61" s="293"/>
      <c r="GE61" s="293"/>
      <c r="GF61" s="293"/>
      <c r="GG61" s="293"/>
      <c r="GH61" s="293"/>
      <c r="GI61" s="293"/>
      <c r="GJ61" s="293"/>
      <c r="GK61" s="293"/>
      <c r="GL61" s="293"/>
      <c r="GM61" s="293"/>
      <c r="GN61" s="293"/>
      <c r="GO61" s="293"/>
      <c r="GP61" s="293"/>
      <c r="GQ61" s="293"/>
      <c r="GR61" s="293"/>
      <c r="GS61" s="293"/>
      <c r="GT61" s="293"/>
      <c r="GU61" s="293"/>
      <c r="GV61" s="293"/>
      <c r="GW61" s="293"/>
      <c r="GX61" s="293"/>
      <c r="GY61" s="293"/>
      <c r="GZ61" s="293"/>
      <c r="HA61" s="293"/>
      <c r="HB61" s="293"/>
      <c r="HC61" s="293"/>
      <c r="HD61" s="293"/>
      <c r="HE61" s="293"/>
      <c r="HF61" s="293"/>
      <c r="HG61" s="293"/>
      <c r="HH61" s="293"/>
      <c r="HI61" s="293"/>
      <c r="HJ61" s="293"/>
      <c r="HK61" s="293"/>
      <c r="HL61" s="293"/>
      <c r="HM61" s="293"/>
      <c r="HN61" s="293"/>
      <c r="HO61" s="293"/>
      <c r="HP61" s="293"/>
      <c r="HQ61" s="293"/>
      <c r="HR61" s="293"/>
      <c r="HS61" s="293"/>
      <c r="HT61" s="293"/>
      <c r="HU61" s="293"/>
      <c r="HV61" s="293"/>
      <c r="HW61" s="293"/>
      <c r="HX61" s="293"/>
      <c r="HY61" s="293"/>
      <c r="IH61" s="279">
        <f t="shared" si="11"/>
        <v>0</v>
      </c>
      <c r="II61" s="279">
        <f t="shared" si="12"/>
        <v>0</v>
      </c>
      <c r="IJ61" s="279">
        <f t="shared" si="13"/>
        <v>0</v>
      </c>
      <c r="IK61" s="279">
        <f t="shared" si="14"/>
        <v>0</v>
      </c>
      <c r="KT61" s="280"/>
    </row>
    <row r="62" spans="1:306" outlineLevel="1">
      <c r="B62" s="96" t="s">
        <v>338</v>
      </c>
      <c r="D62" s="296" t="str">
        <f t="shared" si="15"/>
        <v>OPEC</v>
      </c>
      <c r="E62" s="293"/>
      <c r="F62" s="293"/>
      <c r="G62" s="293"/>
      <c r="H62" s="293"/>
      <c r="I62" s="293"/>
      <c r="J62" s="293"/>
      <c r="K62" s="293"/>
      <c r="L62" s="293"/>
      <c r="M62" s="293"/>
      <c r="N62" s="293"/>
      <c r="O62" s="293"/>
      <c r="P62" s="293"/>
      <c r="Q62" s="293"/>
      <c r="R62" s="293"/>
      <c r="S62" s="293"/>
      <c r="T62" s="293"/>
      <c r="U62" s="293"/>
      <c r="V62" s="293"/>
      <c r="W62" s="293"/>
      <c r="X62" s="293"/>
      <c r="Y62" s="293"/>
      <c r="Z62" s="293"/>
      <c r="AA62" s="293"/>
      <c r="AB62" s="293"/>
      <c r="AC62" s="293"/>
      <c r="AD62" s="293"/>
      <c r="AE62" s="293"/>
      <c r="AF62" s="293"/>
      <c r="AG62" s="293"/>
      <c r="AH62" s="293"/>
      <c r="AI62" s="293"/>
      <c r="AJ62" s="293"/>
      <c r="AK62" s="293"/>
      <c r="AL62" s="293"/>
      <c r="AM62" s="293"/>
      <c r="AN62" s="293"/>
      <c r="AO62" s="293">
        <v>2.3097332390399999E-2</v>
      </c>
      <c r="AP62" s="293">
        <v>0</v>
      </c>
      <c r="AQ62" s="293">
        <v>4.33285829816E-2</v>
      </c>
      <c r="AR62" s="293">
        <v>2.6098473019999999E-2</v>
      </c>
      <c r="AS62" s="293">
        <v>0</v>
      </c>
      <c r="AT62" s="293">
        <v>9.8476375746500006E-2</v>
      </c>
      <c r="AU62" s="293">
        <v>2.2046548661999999E-2</v>
      </c>
      <c r="AV62" s="293">
        <v>0</v>
      </c>
      <c r="AW62" s="293">
        <v>4.1462394076800003E-2</v>
      </c>
      <c r="AX62" s="293">
        <v>2.5716551454074997E-2</v>
      </c>
      <c r="AY62" s="293">
        <v>7.5298718963999998E-3</v>
      </c>
      <c r="AZ62" s="293">
        <v>0.102719271051</v>
      </c>
      <c r="BA62" s="293">
        <v>2.04899467806E-2</v>
      </c>
      <c r="BB62" s="293">
        <v>3.9267520000000004E-3</v>
      </c>
      <c r="BC62" s="293">
        <v>4.0483374373999993E-2</v>
      </c>
      <c r="BD62" s="293">
        <v>2.4889465420400003E-2</v>
      </c>
      <c r="BE62" s="293">
        <v>2.4959989789999998E-2</v>
      </c>
      <c r="BF62" s="293">
        <v>0.1076924104896</v>
      </c>
      <c r="BG62" s="293">
        <v>1.9434285994200003E-2</v>
      </c>
      <c r="BH62" s="293">
        <v>3.4837660000000001E-3</v>
      </c>
      <c r="BI62" s="293">
        <v>4.2342299999999999E-2</v>
      </c>
      <c r="BJ62" s="293">
        <v>2.3758728E-2</v>
      </c>
      <c r="BK62" s="293">
        <v>3.9457612995499998E-2</v>
      </c>
      <c r="BL62" s="293">
        <v>0.1131185270255</v>
      </c>
      <c r="BM62" s="293">
        <v>1.8276899999999999E-2</v>
      </c>
      <c r="BN62" s="293">
        <v>2.9895294573000003E-3</v>
      </c>
      <c r="BO62" s="293">
        <v>4.1407960398000002E-2</v>
      </c>
      <c r="BP62" s="293">
        <v>2.5253380648499999E-2</v>
      </c>
      <c r="BQ62" s="293">
        <v>3.42419682002E-2</v>
      </c>
      <c r="BR62" s="293">
        <v>0.11225408982150001</v>
      </c>
      <c r="BS62" s="293">
        <v>1.7397866631599999E-2</v>
      </c>
      <c r="BT62" s="293">
        <v>2.6217374585999998E-3</v>
      </c>
      <c r="BU62" s="293">
        <v>4.0579881408E-2</v>
      </c>
      <c r="BV62" s="293">
        <v>2.5779767068799999E-2</v>
      </c>
      <c r="BW62" s="293">
        <v>5.2806005230600001E-2</v>
      </c>
      <c r="BX62" s="293">
        <v>0.11228731400350001</v>
      </c>
      <c r="BY62" s="293">
        <v>1.6594621521331041E-2</v>
      </c>
      <c r="BZ62" s="293">
        <v>2.3672543027773003E-3</v>
      </c>
      <c r="CA62" s="293">
        <v>4.0347625981324117E-2</v>
      </c>
      <c r="CB62" s="293">
        <v>3.8268103054527602E-2</v>
      </c>
      <c r="CC62" s="293">
        <v>5.1605239293351597E-2</v>
      </c>
      <c r="CD62" s="293">
        <v>0.11012706679046408</v>
      </c>
      <c r="CE62" s="294">
        <v>1.5649510120765289E-2</v>
      </c>
      <c r="CF62" s="293">
        <v>1.7820479229601303E-3</v>
      </c>
      <c r="CG62" s="293">
        <v>3.9918555837563596E-2</v>
      </c>
      <c r="CH62" s="293">
        <v>5.6469941182866128E-2</v>
      </c>
      <c r="CI62" s="293">
        <v>5.1423807714420962E-2</v>
      </c>
      <c r="CJ62" s="293">
        <v>0</v>
      </c>
      <c r="CK62" s="293">
        <v>1.4967232644326822E-2</v>
      </c>
      <c r="CL62" s="293">
        <v>4.5525184183626607E-3</v>
      </c>
      <c r="CM62" s="293">
        <v>3.981057114708219E-2</v>
      </c>
      <c r="CN62" s="293">
        <v>8.8191245797537302E-2</v>
      </c>
      <c r="CO62" s="293">
        <v>5.044192635084075E-2</v>
      </c>
      <c r="CP62" s="295">
        <v>0.12272982318432542</v>
      </c>
      <c r="CQ62" s="293">
        <v>1.3821954605414438E-2</v>
      </c>
      <c r="CR62" s="293">
        <v>6.6940510488988801E-3</v>
      </c>
      <c r="CS62" s="293">
        <v>3.8750762250740672E-2</v>
      </c>
      <c r="CT62" s="293">
        <v>9.8377537969097997E-2</v>
      </c>
      <c r="CU62" s="293">
        <v>4.8826554312069129E-2</v>
      </c>
      <c r="CV62" s="293">
        <v>0.12256866544817042</v>
      </c>
      <c r="CW62" s="293">
        <v>1.4081621044217051E-2</v>
      </c>
      <c r="CX62" s="293">
        <v>1.8435434880354644E-2</v>
      </c>
      <c r="CY62" s="293">
        <v>3.8290491921342498E-2</v>
      </c>
      <c r="CZ62" s="293">
        <v>9.92969846195704E-2</v>
      </c>
      <c r="DA62" s="293">
        <v>4.8017905955833315E-2</v>
      </c>
      <c r="DB62" s="1288">
        <v>0.14856486518460241</v>
      </c>
      <c r="DC62" s="293">
        <v>1.1648609024000001E-2</v>
      </c>
      <c r="DD62" s="293">
        <v>2.2872379000000002E-2</v>
      </c>
      <c r="DE62" s="293">
        <v>3.7769975999999997E-2</v>
      </c>
      <c r="DF62" s="293">
        <v>9.9118921999999998E-2</v>
      </c>
      <c r="DG62" s="293">
        <v>4.7285871E-2</v>
      </c>
      <c r="DH62" s="293">
        <v>0.14842494000000001</v>
      </c>
      <c r="DI62" s="293">
        <v>1.0588110801013141E-2</v>
      </c>
      <c r="DJ62" s="293">
        <v>4.1408564496725274E-2</v>
      </c>
      <c r="DK62" s="293">
        <v>0</v>
      </c>
      <c r="DL62" s="293">
        <v>9.9565957563668012E-2</v>
      </c>
      <c r="DM62" s="293">
        <v>4.6991830760739838E-2</v>
      </c>
      <c r="DN62" s="295">
        <v>0.18055133166483331</v>
      </c>
      <c r="DO62" s="293">
        <v>9.5141203199999996E-3</v>
      </c>
      <c r="DP62" s="293">
        <v>7.9805405977403251E-2</v>
      </c>
      <c r="DQ62" s="293">
        <v>3.8126443770337477E-2</v>
      </c>
      <c r="DR62" s="293">
        <v>0.10836224455815567</v>
      </c>
      <c r="DS62" s="293">
        <v>4.6666333939247885E-2</v>
      </c>
      <c r="DT62" s="293">
        <v>0.17866520985648959</v>
      </c>
      <c r="DU62" s="293">
        <v>8.3112195591680191E-3</v>
      </c>
      <c r="DV62" s="293">
        <v>9.021251891838164E-2</v>
      </c>
      <c r="DW62" s="293">
        <v>4.0933015808729593E-2</v>
      </c>
      <c r="DX62" s="293">
        <v>9.7487677656226249E-2</v>
      </c>
      <c r="DY62" s="293">
        <v>4.4571785306375601E-2</v>
      </c>
      <c r="DZ62" s="295">
        <v>0.17324186056404481</v>
      </c>
      <c r="EA62" s="293">
        <v>6.7206562251971996E-3</v>
      </c>
      <c r="EB62" s="293">
        <v>0.10708202122643505</v>
      </c>
      <c r="EC62" s="293">
        <v>4.8247434048769439E-2</v>
      </c>
      <c r="ED62" s="293">
        <v>9.3593240320080637E-2</v>
      </c>
      <c r="EE62" s="293">
        <v>4.2522862646055239E-2</v>
      </c>
      <c r="EF62" s="293">
        <v>0.1710943772001102</v>
      </c>
      <c r="EG62" s="293">
        <v>5.1519720995805611E-3</v>
      </c>
      <c r="EH62" s="293">
        <v>0.1259090529254</v>
      </c>
      <c r="EI62" s="293">
        <v>5.4149557008132322E-2</v>
      </c>
      <c r="EJ62" s="293">
        <v>8.9744312276268029E-2</v>
      </c>
      <c r="EK62" s="293">
        <v>4.0350192023451963E-2</v>
      </c>
      <c r="EL62" s="295">
        <v>0.16694725831067503</v>
      </c>
      <c r="EM62" s="1080">
        <v>3.4845058432461601E-3</v>
      </c>
      <c r="EN62" s="1080">
        <v>0.12778857482351832</v>
      </c>
      <c r="EO62" s="1080">
        <v>6.88373510488169E-2</v>
      </c>
      <c r="EP62" s="1080">
        <v>8.6356129797247022E-2</v>
      </c>
      <c r="EQ62" s="1080">
        <v>3.8287686021910898E-2</v>
      </c>
      <c r="ER62" s="1080">
        <v>0.16267646120583618</v>
      </c>
      <c r="ES62" s="1080">
        <v>1.777145802E-3</v>
      </c>
      <c r="ET62" s="1080">
        <v>0.15655384829763541</v>
      </c>
      <c r="EU62" s="1080">
        <v>8.8347597005720119E-2</v>
      </c>
      <c r="EV62" s="1080">
        <v>8.2948087804267143E-2</v>
      </c>
      <c r="EW62" s="1080">
        <v>3.6072192314768596E-2</v>
      </c>
      <c r="EX62" s="1340">
        <v>0.15784321842401797</v>
      </c>
      <c r="EY62" s="1080"/>
      <c r="EZ62" s="1080"/>
      <c r="FA62" s="1080"/>
      <c r="FB62" s="1080"/>
      <c r="FC62" s="1080"/>
      <c r="FD62" s="1080"/>
      <c r="FE62" s="1080"/>
      <c r="FF62" s="1080"/>
      <c r="FG62" s="1080"/>
      <c r="FH62" s="1080"/>
      <c r="FI62" s="1080"/>
      <c r="FJ62" s="1340"/>
      <c r="FK62" s="1080"/>
      <c r="FL62" s="1080"/>
      <c r="FM62" s="1080"/>
      <c r="FN62" s="1080"/>
      <c r="FO62" s="1080"/>
      <c r="FP62" s="1080"/>
      <c r="FQ62" s="293"/>
      <c r="FR62" s="293"/>
      <c r="FS62" s="293"/>
      <c r="FT62" s="293"/>
      <c r="FU62" s="293"/>
      <c r="FV62" s="293"/>
      <c r="FW62" s="293"/>
      <c r="FX62" s="293"/>
      <c r="FY62" s="293"/>
      <c r="FZ62" s="293"/>
      <c r="GA62" s="293"/>
      <c r="GB62" s="293"/>
      <c r="GC62" s="293"/>
      <c r="GD62" s="293"/>
      <c r="GE62" s="293"/>
      <c r="GF62" s="293"/>
      <c r="GG62" s="293"/>
      <c r="GH62" s="293"/>
      <c r="GI62" s="293"/>
      <c r="GJ62" s="293"/>
      <c r="GK62" s="293"/>
      <c r="GL62" s="293"/>
      <c r="GM62" s="293"/>
      <c r="GN62" s="293"/>
      <c r="GO62" s="293"/>
      <c r="GP62" s="293"/>
      <c r="GQ62" s="293"/>
      <c r="GR62" s="293"/>
      <c r="GS62" s="293"/>
      <c r="GT62" s="293"/>
      <c r="GU62" s="293"/>
      <c r="GV62" s="293"/>
      <c r="GW62" s="293"/>
      <c r="GX62" s="293"/>
      <c r="GY62" s="293"/>
      <c r="GZ62" s="293"/>
      <c r="HA62" s="293"/>
      <c r="HB62" s="293"/>
      <c r="HC62" s="293"/>
      <c r="HD62" s="293"/>
      <c r="HE62" s="293"/>
      <c r="HF62" s="293"/>
      <c r="HG62" s="293"/>
      <c r="HH62" s="293"/>
      <c r="HI62" s="293"/>
      <c r="HJ62" s="293"/>
      <c r="HK62" s="293"/>
      <c r="HL62" s="293"/>
      <c r="HM62" s="293"/>
      <c r="HN62" s="293"/>
      <c r="HO62" s="293"/>
      <c r="HP62" s="293"/>
      <c r="HQ62" s="293"/>
      <c r="HR62" s="293"/>
      <c r="HS62" s="293"/>
      <c r="HT62" s="293"/>
      <c r="HU62" s="293"/>
      <c r="HV62" s="293"/>
      <c r="HW62" s="293"/>
      <c r="HX62" s="293"/>
      <c r="HY62" s="293"/>
      <c r="IH62" s="279">
        <f t="shared" si="11"/>
        <v>0.36712069702399996</v>
      </c>
      <c r="II62" s="279">
        <f t="shared" si="12"/>
        <v>0.37910579528697957</v>
      </c>
      <c r="IJ62" s="279">
        <f t="shared" si="13"/>
        <v>0.74622649231097959</v>
      </c>
      <c r="IK62" s="279">
        <f t="shared" si="14"/>
        <v>0.46113975842163391</v>
      </c>
      <c r="KT62" s="280"/>
    </row>
    <row r="63" spans="1:306" outlineLevel="1">
      <c r="B63" s="96" t="s">
        <v>338</v>
      </c>
      <c r="D63" s="296" t="str">
        <f t="shared" si="15"/>
        <v>FSD</v>
      </c>
      <c r="E63" s="293"/>
      <c r="F63" s="293"/>
      <c r="G63" s="293"/>
      <c r="H63" s="293"/>
      <c r="I63" s="293"/>
      <c r="J63" s="293"/>
      <c r="K63" s="293"/>
      <c r="L63" s="293"/>
      <c r="M63" s="293"/>
      <c r="N63" s="293"/>
      <c r="O63" s="293"/>
      <c r="P63" s="293"/>
      <c r="Q63" s="293"/>
      <c r="R63" s="293"/>
      <c r="S63" s="293"/>
      <c r="T63" s="293"/>
      <c r="U63" s="293"/>
      <c r="V63" s="293"/>
      <c r="W63" s="293"/>
      <c r="X63" s="293"/>
      <c r="Y63" s="293"/>
      <c r="Z63" s="293"/>
      <c r="AA63" s="293"/>
      <c r="AB63" s="293"/>
      <c r="AC63" s="293"/>
      <c r="AD63" s="293"/>
      <c r="AE63" s="293"/>
      <c r="AF63" s="293"/>
      <c r="AG63" s="293"/>
      <c r="AH63" s="293"/>
      <c r="AI63" s="293"/>
      <c r="AJ63" s="293"/>
      <c r="AK63" s="293"/>
      <c r="AL63" s="293"/>
      <c r="AM63" s="293"/>
      <c r="AN63" s="293"/>
      <c r="AO63" s="293">
        <v>0.14543353343999998</v>
      </c>
      <c r="AP63" s="293">
        <v>0</v>
      </c>
      <c r="AQ63" s="293">
        <v>0</v>
      </c>
      <c r="AR63" s="293">
        <v>0</v>
      </c>
      <c r="AS63" s="293">
        <v>4.7098309060266665E-2</v>
      </c>
      <c r="AT63" s="293">
        <v>0</v>
      </c>
      <c r="AU63" s="293">
        <v>0.15089282091582001</v>
      </c>
      <c r="AV63" s="293">
        <v>0</v>
      </c>
      <c r="AW63" s="293">
        <v>0</v>
      </c>
      <c r="AX63" s="293">
        <v>0</v>
      </c>
      <c r="AY63" s="293">
        <v>0</v>
      </c>
      <c r="AZ63" s="293">
        <v>4.9263098173199994E-2</v>
      </c>
      <c r="BA63" s="293">
        <v>0.1515018361611</v>
      </c>
      <c r="BB63" s="293">
        <v>0</v>
      </c>
      <c r="BC63" s="293">
        <v>0</v>
      </c>
      <c r="BD63" s="293">
        <v>0</v>
      </c>
      <c r="BE63" s="293">
        <v>0</v>
      </c>
      <c r="BF63" s="293">
        <v>5.0548298861542551E-2</v>
      </c>
      <c r="BG63" s="293">
        <v>0.15374137685984002</v>
      </c>
      <c r="BH63" s="293">
        <v>0</v>
      </c>
      <c r="BI63" s="293">
        <v>0</v>
      </c>
      <c r="BJ63" s="293">
        <v>0</v>
      </c>
      <c r="BK63" s="293">
        <v>4.9474853835615354E-2</v>
      </c>
      <c r="BL63" s="293">
        <v>0</v>
      </c>
      <c r="BM63" s="293">
        <v>0.15437163601600001</v>
      </c>
      <c r="BN63" s="293">
        <v>0</v>
      </c>
      <c r="BO63" s="293">
        <v>0</v>
      </c>
      <c r="BP63" s="293">
        <v>0</v>
      </c>
      <c r="BQ63" s="293">
        <v>4.893401664705882E-2</v>
      </c>
      <c r="BR63" s="293">
        <v>0</v>
      </c>
      <c r="BS63" s="293">
        <v>0.15778390600840003</v>
      </c>
      <c r="BT63" s="293">
        <v>3.3899210000000002E-3</v>
      </c>
      <c r="BU63" s="293">
        <v>0</v>
      </c>
      <c r="BV63" s="293">
        <v>0</v>
      </c>
      <c r="BW63" s="293">
        <v>4.9228825625999999E-2</v>
      </c>
      <c r="BX63" s="293">
        <v>0</v>
      </c>
      <c r="BY63" s="293">
        <v>0.15980634238932154</v>
      </c>
      <c r="BZ63" s="293">
        <v>0</v>
      </c>
      <c r="CA63" s="293">
        <v>0</v>
      </c>
      <c r="CB63" s="293">
        <v>0</v>
      </c>
      <c r="CC63" s="293">
        <v>4.884110203979334E-2</v>
      </c>
      <c r="CD63" s="293">
        <v>0</v>
      </c>
      <c r="CE63" s="294">
        <v>0.16270522196837509</v>
      </c>
      <c r="CF63" s="293">
        <v>0</v>
      </c>
      <c r="CG63" s="293">
        <v>0</v>
      </c>
      <c r="CH63" s="293">
        <v>0</v>
      </c>
      <c r="CI63" s="293">
        <v>0</v>
      </c>
      <c r="CJ63" s="293">
        <v>2.0354561843140802E-3</v>
      </c>
      <c r="CK63" s="293">
        <v>0.16942517263030454</v>
      </c>
      <c r="CL63" s="293">
        <v>0</v>
      </c>
      <c r="CM63" s="293">
        <v>0</v>
      </c>
      <c r="CN63" s="293">
        <v>0</v>
      </c>
      <c r="CO63" s="293">
        <v>4.9650906266393305E-2</v>
      </c>
      <c r="CP63" s="295">
        <v>0</v>
      </c>
      <c r="CQ63" s="293">
        <v>0.17425739666953863</v>
      </c>
      <c r="CR63" s="293">
        <v>0</v>
      </c>
      <c r="CS63" s="293">
        <v>0</v>
      </c>
      <c r="CT63" s="293">
        <v>0</v>
      </c>
      <c r="CU63" s="293">
        <v>4.8610706085860399E-2</v>
      </c>
      <c r="CV63" s="293">
        <v>0</v>
      </c>
      <c r="CW63" s="293">
        <v>0.17817682848508706</v>
      </c>
      <c r="CX63" s="293">
        <v>0</v>
      </c>
      <c r="CY63" s="293">
        <v>0</v>
      </c>
      <c r="CZ63" s="293">
        <v>0</v>
      </c>
      <c r="DA63" s="293">
        <v>5.2539687565270096E-2</v>
      </c>
      <c r="DB63" s="1288">
        <v>0</v>
      </c>
      <c r="DC63" s="293">
        <v>0.18417370799999999</v>
      </c>
      <c r="DD63" s="293">
        <v>0</v>
      </c>
      <c r="DE63" s="293">
        <v>0</v>
      </c>
      <c r="DF63" s="293">
        <v>0</v>
      </c>
      <c r="DG63" s="293">
        <v>0</v>
      </c>
      <c r="DH63" s="293">
        <v>5.1888320000000002E-2</v>
      </c>
      <c r="DI63" s="293">
        <v>0.19217552840703742</v>
      </c>
      <c r="DJ63" s="293">
        <v>0</v>
      </c>
      <c r="DK63" s="293">
        <v>0</v>
      </c>
      <c r="DL63" s="293">
        <v>0</v>
      </c>
      <c r="DM63" s="293">
        <v>7.1365443635314552E-2</v>
      </c>
      <c r="DN63" s="295">
        <v>0</v>
      </c>
      <c r="DO63" s="293">
        <v>0.20066890549114638</v>
      </c>
      <c r="DP63" s="293">
        <v>0</v>
      </c>
      <c r="DQ63" s="293">
        <v>0</v>
      </c>
      <c r="DR63" s="293">
        <v>1.8737463688521597E-3</v>
      </c>
      <c r="DS63" s="293">
        <v>7.3342504605453343E-2</v>
      </c>
      <c r="DT63" s="293">
        <v>0</v>
      </c>
      <c r="DU63" s="293">
        <v>0.20922671134895893</v>
      </c>
      <c r="DV63" s="293">
        <v>0</v>
      </c>
      <c r="DW63" s="293">
        <v>2.1182273606478201E-3</v>
      </c>
      <c r="DX63" s="293">
        <v>0</v>
      </c>
      <c r="DY63" s="293">
        <v>7.8904280401858803E-2</v>
      </c>
      <c r="DZ63" s="295">
        <v>0</v>
      </c>
      <c r="EA63" s="293">
        <v>0.21184992443982908</v>
      </c>
      <c r="EB63" s="293">
        <v>0</v>
      </c>
      <c r="EC63" s="293">
        <v>7.2184396755940001E-3</v>
      </c>
      <c r="ED63" s="293">
        <v>5.5733447283212792E-3</v>
      </c>
      <c r="EE63" s="293">
        <v>8.2872862875187775E-2</v>
      </c>
      <c r="EF63" s="293">
        <v>0</v>
      </c>
      <c r="EG63" s="293">
        <v>0.21120490957483234</v>
      </c>
      <c r="EH63" s="293">
        <v>0</v>
      </c>
      <c r="EI63" s="293">
        <v>0</v>
      </c>
      <c r="EJ63" s="293">
        <v>3.1188399285879204E-2</v>
      </c>
      <c r="EK63" s="293">
        <v>8.341845756693142E-2</v>
      </c>
      <c r="EL63" s="295">
        <v>8.341845756693142E-2</v>
      </c>
      <c r="EM63" s="1080">
        <v>0.2104040214829124</v>
      </c>
      <c r="EN63" s="1080">
        <v>0</v>
      </c>
      <c r="EO63" s="1080">
        <v>2.0912249972128902E-2</v>
      </c>
      <c r="EP63" s="1080">
        <v>2.2599758681279999E-2</v>
      </c>
      <c r="EQ63" s="1080">
        <v>8.3753348728921567E-2</v>
      </c>
      <c r="ER63" s="1080">
        <v>0</v>
      </c>
      <c r="ES63" s="1080">
        <v>0.2103380560649741</v>
      </c>
      <c r="ET63" s="1080">
        <v>0</v>
      </c>
      <c r="EU63" s="1080">
        <v>2.2926246846643596E-2</v>
      </c>
      <c r="EV63" s="1080">
        <v>3.2615609844426838E-2</v>
      </c>
      <c r="EW63" s="1080">
        <v>0.3109678413226224</v>
      </c>
      <c r="EX63" s="1340">
        <v>0</v>
      </c>
      <c r="EY63" s="1080"/>
      <c r="EZ63" s="1080"/>
      <c r="FA63" s="1080"/>
      <c r="FB63" s="1080"/>
      <c r="FC63" s="1080"/>
      <c r="FD63" s="1080"/>
      <c r="FE63" s="1080"/>
      <c r="FF63" s="1080"/>
      <c r="FG63" s="1080"/>
      <c r="FH63" s="1080"/>
      <c r="FI63" s="1080"/>
      <c r="FJ63" s="1340"/>
      <c r="FK63" s="1080"/>
      <c r="FL63" s="1080"/>
      <c r="FM63" s="1080"/>
      <c r="FN63" s="1080"/>
      <c r="FO63" s="1080"/>
      <c r="FP63" s="1080"/>
      <c r="FQ63" s="293"/>
      <c r="FR63" s="293"/>
      <c r="FS63" s="293"/>
      <c r="FT63" s="293"/>
      <c r="FU63" s="293"/>
      <c r="FV63" s="293"/>
      <c r="FW63" s="293"/>
      <c r="FX63" s="293"/>
      <c r="FY63" s="293"/>
      <c r="FZ63" s="293"/>
      <c r="GA63" s="293"/>
      <c r="GB63" s="293"/>
      <c r="GC63" s="293"/>
      <c r="GD63" s="293"/>
      <c r="GE63" s="293"/>
      <c r="GF63" s="293"/>
      <c r="GG63" s="293"/>
      <c r="GH63" s="293"/>
      <c r="GI63" s="293"/>
      <c r="GJ63" s="293"/>
      <c r="GK63" s="293"/>
      <c r="GL63" s="293"/>
      <c r="GM63" s="293"/>
      <c r="GN63" s="293"/>
      <c r="GO63" s="293"/>
      <c r="GP63" s="293"/>
      <c r="GQ63" s="293"/>
      <c r="GR63" s="293"/>
      <c r="GS63" s="293"/>
      <c r="GT63" s="293"/>
      <c r="GU63" s="293"/>
      <c r="GV63" s="293"/>
      <c r="GW63" s="293"/>
      <c r="GX63" s="293"/>
      <c r="GY63" s="293"/>
      <c r="GZ63" s="293"/>
      <c r="HA63" s="293"/>
      <c r="HB63" s="293"/>
      <c r="HC63" s="293"/>
      <c r="HD63" s="293"/>
      <c r="HE63" s="293"/>
      <c r="HF63" s="293"/>
      <c r="HG63" s="293"/>
      <c r="HH63" s="293"/>
      <c r="HI63" s="293"/>
      <c r="HJ63" s="293"/>
      <c r="HK63" s="293"/>
      <c r="HL63" s="293"/>
      <c r="HM63" s="293"/>
      <c r="HN63" s="293"/>
      <c r="HO63" s="293"/>
      <c r="HP63" s="293"/>
      <c r="HQ63" s="293"/>
      <c r="HR63" s="293"/>
      <c r="HS63" s="293"/>
      <c r="HT63" s="293"/>
      <c r="HU63" s="293"/>
      <c r="HV63" s="293"/>
      <c r="HW63" s="293"/>
      <c r="HX63" s="293"/>
      <c r="HY63" s="293"/>
      <c r="IH63" s="279">
        <f t="shared" si="11"/>
        <v>0.23606202799999998</v>
      </c>
      <c r="II63" s="279">
        <f t="shared" si="12"/>
        <v>0.26354097204235194</v>
      </c>
      <c r="IJ63" s="279">
        <f t="shared" si="13"/>
        <v>0.49960300004235192</v>
      </c>
      <c r="IK63" s="279">
        <f t="shared" si="14"/>
        <v>0.27588515646545186</v>
      </c>
      <c r="KT63" s="280"/>
    </row>
    <row r="64" spans="1:306" outlineLevel="1">
      <c r="B64" s="96" t="s">
        <v>338</v>
      </c>
      <c r="D64" s="296" t="str">
        <f t="shared" si="15"/>
        <v>FKWD</v>
      </c>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v>0</v>
      </c>
      <c r="AP64" s="293">
        <v>0.14083737171492</v>
      </c>
      <c r="AQ64" s="293">
        <v>0</v>
      </c>
      <c r="AR64" s="293">
        <v>0</v>
      </c>
      <c r="AS64" s="293">
        <v>0</v>
      </c>
      <c r="AT64" s="293">
        <v>8.7474249999999996E-3</v>
      </c>
      <c r="AU64" s="293">
        <v>0</v>
      </c>
      <c r="AV64" s="293">
        <v>0</v>
      </c>
      <c r="AW64" s="293">
        <v>0.14404350499999999</v>
      </c>
      <c r="AX64" s="293">
        <v>0</v>
      </c>
      <c r="AY64" s="293">
        <v>1.6638631000000001E-2</v>
      </c>
      <c r="AZ64" s="293">
        <v>0</v>
      </c>
      <c r="BA64" s="293">
        <v>0</v>
      </c>
      <c r="BB64" s="293">
        <v>0</v>
      </c>
      <c r="BC64" s="293">
        <v>0.153160239</v>
      </c>
      <c r="BD64" s="293">
        <v>0</v>
      </c>
      <c r="BE64" s="293">
        <v>2.5537548E-2</v>
      </c>
      <c r="BF64" s="293">
        <v>0</v>
      </c>
      <c r="BG64" s="293">
        <v>0</v>
      </c>
      <c r="BH64" s="293">
        <v>0</v>
      </c>
      <c r="BI64" s="293">
        <v>0.15647524900000001</v>
      </c>
      <c r="BJ64" s="293">
        <v>0</v>
      </c>
      <c r="BK64" s="293">
        <v>4.7718736425500001E-2</v>
      </c>
      <c r="BL64" s="293">
        <v>0</v>
      </c>
      <c r="BM64" s="293">
        <v>0</v>
      </c>
      <c r="BN64" s="293">
        <v>0</v>
      </c>
      <c r="BO64" s="293">
        <v>0.15626406087210001</v>
      </c>
      <c r="BP64" s="293">
        <v>0</v>
      </c>
      <c r="BQ64" s="293">
        <v>6.4144570999999997E-2</v>
      </c>
      <c r="BR64" s="293">
        <v>0</v>
      </c>
      <c r="BS64" s="293">
        <v>0</v>
      </c>
      <c r="BT64" s="293">
        <v>0</v>
      </c>
      <c r="BU64" s="293">
        <v>0.153171793</v>
      </c>
      <c r="BV64" s="293">
        <v>0</v>
      </c>
      <c r="BW64" s="293">
        <v>6.6868828000000005E-2</v>
      </c>
      <c r="BX64" s="293">
        <v>0</v>
      </c>
      <c r="BY64" s="293">
        <v>0</v>
      </c>
      <c r="BZ64" s="293">
        <v>0.15777481700000001</v>
      </c>
      <c r="CA64" s="293">
        <v>1.736011E-3</v>
      </c>
      <c r="CB64" s="293">
        <v>0</v>
      </c>
      <c r="CC64" s="293">
        <v>6.6094199540131196E-2</v>
      </c>
      <c r="CD64" s="293">
        <v>0</v>
      </c>
      <c r="CE64" s="294">
        <v>0</v>
      </c>
      <c r="CF64" s="293">
        <v>0.16204046666979993</v>
      </c>
      <c r="CG64" s="293">
        <v>7.7114321218801195E-3</v>
      </c>
      <c r="CH64" s="293">
        <v>0</v>
      </c>
      <c r="CI64" s="293">
        <v>7.0202142462975112E-2</v>
      </c>
      <c r="CJ64" s="293">
        <v>0</v>
      </c>
      <c r="CK64" s="293">
        <v>0</v>
      </c>
      <c r="CL64" s="293">
        <v>0.16899073271695789</v>
      </c>
      <c r="CM64" s="293">
        <v>1.406184208762239E-2</v>
      </c>
      <c r="CN64" s="293">
        <v>0</v>
      </c>
      <c r="CO64" s="293">
        <v>7.1160723953687458E-2</v>
      </c>
      <c r="CP64" s="295">
        <v>0</v>
      </c>
      <c r="CQ64" s="293">
        <v>0</v>
      </c>
      <c r="CR64" s="293">
        <v>0</v>
      </c>
      <c r="CS64" s="293">
        <v>0.19437067121762588</v>
      </c>
      <c r="CT64" s="293">
        <v>0</v>
      </c>
      <c r="CU64" s="293">
        <v>6.7341231904849919E-2</v>
      </c>
      <c r="CV64" s="293">
        <v>0</v>
      </c>
      <c r="CW64" s="293">
        <v>0</v>
      </c>
      <c r="CX64" s="293">
        <v>0</v>
      </c>
      <c r="CY64" s="293">
        <v>0.20425586733727982</v>
      </c>
      <c r="CZ64" s="293">
        <v>0</v>
      </c>
      <c r="DA64" s="293">
        <v>6.5536753593734204E-2</v>
      </c>
      <c r="DB64" s="1288">
        <v>0</v>
      </c>
      <c r="DC64" s="293">
        <v>0</v>
      </c>
      <c r="DD64" s="293">
        <v>0.17072013</v>
      </c>
      <c r="DE64" s="293">
        <v>4.9137747000000002E-2</v>
      </c>
      <c r="DF64" s="293">
        <v>0</v>
      </c>
      <c r="DG64" s="293">
        <v>6.4838599999999996E-2</v>
      </c>
      <c r="DH64" s="293">
        <v>0</v>
      </c>
      <c r="DI64" s="293">
        <v>0</v>
      </c>
      <c r="DJ64" s="293">
        <v>0</v>
      </c>
      <c r="DK64" s="293">
        <v>0.25715351548278581</v>
      </c>
      <c r="DL64" s="293">
        <v>0</v>
      </c>
      <c r="DM64" s="293">
        <v>6.6878378603726404E-2</v>
      </c>
      <c r="DN64" s="295">
        <v>0</v>
      </c>
      <c r="DO64" s="293">
        <v>0</v>
      </c>
      <c r="DP64" s="293">
        <v>0</v>
      </c>
      <c r="DQ64" s="293">
        <v>0.27363580506434665</v>
      </c>
      <c r="DR64" s="293">
        <v>4.2877898261760297E-3</v>
      </c>
      <c r="DS64" s="293">
        <v>6.7944241037105155E-2</v>
      </c>
      <c r="DT64" s="293">
        <v>5.5699378782516013E-4</v>
      </c>
      <c r="DU64" s="293">
        <v>0</v>
      </c>
      <c r="DV64" s="293">
        <v>0.1923262069830024</v>
      </c>
      <c r="DW64" s="293">
        <v>7.9618246271228488E-2</v>
      </c>
      <c r="DX64" s="293">
        <v>0</v>
      </c>
      <c r="DY64" s="293">
        <v>8.5374007831791804E-2</v>
      </c>
      <c r="DZ64" s="295">
        <v>0</v>
      </c>
      <c r="EA64" s="293">
        <v>0</v>
      </c>
      <c r="EB64" s="293">
        <v>0.19663833997522506</v>
      </c>
      <c r="EC64" s="293">
        <v>0.2769379050784761</v>
      </c>
      <c r="ED64" s="293">
        <v>3.0097728539491501E-2</v>
      </c>
      <c r="EE64" s="293">
        <v>6.630046916579875E-2</v>
      </c>
      <c r="EF64" s="293">
        <v>0</v>
      </c>
      <c r="EG64" s="293">
        <v>0</v>
      </c>
      <c r="EH64" s="293">
        <v>0.2027281664998358</v>
      </c>
      <c r="EI64" s="293">
        <v>8.1476163063448168E-2</v>
      </c>
      <c r="EJ64" s="293">
        <v>4.5672784977695197E-2</v>
      </c>
      <c r="EK64" s="293">
        <v>6.6507352669881628E-2</v>
      </c>
      <c r="EL64" s="295">
        <v>0</v>
      </c>
      <c r="EM64" s="1080">
        <v>0</v>
      </c>
      <c r="EN64" s="1080">
        <v>0.20408003100135749</v>
      </c>
      <c r="EO64" s="1080">
        <v>8.026638329214561E-2</v>
      </c>
      <c r="EP64" s="1080">
        <v>6.3313834645374392E-2</v>
      </c>
      <c r="EQ64" s="1080">
        <v>6.5335585643001834E-2</v>
      </c>
      <c r="ER64" s="1080">
        <v>0</v>
      </c>
      <c r="ES64" s="1080">
        <v>0</v>
      </c>
      <c r="ET64" s="1080">
        <v>1.42530390453591E-2</v>
      </c>
      <c r="EU64" s="1080">
        <v>0.20881309535962894</v>
      </c>
      <c r="EV64" s="1080">
        <v>0</v>
      </c>
      <c r="EW64" s="1080">
        <v>0.13936441430149882</v>
      </c>
      <c r="EX64" s="1340">
        <v>0</v>
      </c>
      <c r="EY64" s="1080"/>
      <c r="EZ64" s="1080"/>
      <c r="FA64" s="1080"/>
      <c r="FB64" s="1080"/>
      <c r="FC64" s="1080"/>
      <c r="FD64" s="1080"/>
      <c r="FE64" s="1080"/>
      <c r="FF64" s="1080"/>
      <c r="FG64" s="1080"/>
      <c r="FH64" s="1080"/>
      <c r="FI64" s="1080"/>
      <c r="FJ64" s="1340"/>
      <c r="FK64" s="1080"/>
      <c r="FL64" s="1080"/>
      <c r="FM64" s="1080"/>
      <c r="FN64" s="1080"/>
      <c r="FO64" s="1080"/>
      <c r="FP64" s="1080"/>
      <c r="FQ64" s="293"/>
      <c r="FR64" s="293"/>
      <c r="FS64" s="293"/>
      <c r="FT64" s="293"/>
      <c r="FU64" s="293"/>
      <c r="FV64" s="293"/>
      <c r="FW64" s="293"/>
      <c r="FX64" s="293"/>
      <c r="FY64" s="293"/>
      <c r="FZ64" s="293"/>
      <c r="GA64" s="293"/>
      <c r="GB64" s="293"/>
      <c r="GC64" s="293"/>
      <c r="GD64" s="293"/>
      <c r="GE64" s="293"/>
      <c r="GF64" s="293"/>
      <c r="GG64" s="293"/>
      <c r="GH64" s="293"/>
      <c r="GI64" s="293"/>
      <c r="GJ64" s="293"/>
      <c r="GK64" s="293"/>
      <c r="GL64" s="293"/>
      <c r="GM64" s="293"/>
      <c r="GN64" s="293"/>
      <c r="GO64" s="293"/>
      <c r="GP64" s="293"/>
      <c r="GQ64" s="293"/>
      <c r="GR64" s="293"/>
      <c r="GS64" s="293"/>
      <c r="GT64" s="293"/>
      <c r="GU64" s="293"/>
      <c r="GV64" s="293"/>
      <c r="GW64" s="293"/>
      <c r="GX64" s="293"/>
      <c r="GY64" s="293"/>
      <c r="GZ64" s="293"/>
      <c r="HA64" s="293"/>
      <c r="HB64" s="293"/>
      <c r="HC64" s="293"/>
      <c r="HD64" s="293"/>
      <c r="HE64" s="293"/>
      <c r="HF64" s="293"/>
      <c r="HG64" s="293"/>
      <c r="HH64" s="293"/>
      <c r="HI64" s="293"/>
      <c r="HJ64" s="293"/>
      <c r="HK64" s="293"/>
      <c r="HL64" s="293"/>
      <c r="HM64" s="293"/>
      <c r="HN64" s="293"/>
      <c r="HO64" s="293"/>
      <c r="HP64" s="293"/>
      <c r="HQ64" s="293"/>
      <c r="HR64" s="293"/>
      <c r="HS64" s="293"/>
      <c r="HT64" s="293"/>
      <c r="HU64" s="293"/>
      <c r="HV64" s="293"/>
      <c r="HW64" s="293"/>
      <c r="HX64" s="293"/>
      <c r="HY64" s="293"/>
      <c r="IH64" s="279">
        <f t="shared" si="11"/>
        <v>0.284696477</v>
      </c>
      <c r="II64" s="279">
        <f t="shared" si="12"/>
        <v>0.32403189408651223</v>
      </c>
      <c r="IJ64" s="279">
        <f t="shared" si="13"/>
        <v>0.60872837108651223</v>
      </c>
      <c r="IK64" s="279">
        <f t="shared" si="14"/>
        <v>0.34642482971545296</v>
      </c>
      <c r="KT64" s="280"/>
    </row>
    <row r="65" spans="1:306" outlineLevel="1">
      <c r="B65" s="96" t="s">
        <v>338</v>
      </c>
      <c r="D65" s="296" t="str">
        <f t="shared" si="15"/>
        <v>NDF</v>
      </c>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v>0</v>
      </c>
      <c r="AP65" s="293">
        <v>0</v>
      </c>
      <c r="AQ65" s="293">
        <v>0</v>
      </c>
      <c r="AR65" s="293">
        <v>0</v>
      </c>
      <c r="AS65" s="293">
        <v>3.27161641266E-2</v>
      </c>
      <c r="AT65" s="293">
        <v>0</v>
      </c>
      <c r="AU65" s="293">
        <v>0</v>
      </c>
      <c r="AV65" s="293">
        <v>0</v>
      </c>
      <c r="AW65" s="293">
        <v>0</v>
      </c>
      <c r="AX65" s="293">
        <v>0</v>
      </c>
      <c r="AY65" s="293">
        <v>3.8363060754399998E-2</v>
      </c>
      <c r="AZ65" s="293">
        <v>0</v>
      </c>
      <c r="BA65" s="293">
        <v>0</v>
      </c>
      <c r="BB65" s="293">
        <v>0</v>
      </c>
      <c r="BC65" s="293">
        <v>0</v>
      </c>
      <c r="BD65" s="293">
        <v>0</v>
      </c>
      <c r="BE65" s="293">
        <v>4.1352137731000008E-2</v>
      </c>
      <c r="BF65" s="293">
        <v>0</v>
      </c>
      <c r="BG65" s="293">
        <v>0</v>
      </c>
      <c r="BH65" s="293">
        <v>0</v>
      </c>
      <c r="BI65" s="293">
        <v>0</v>
      </c>
      <c r="BJ65" s="293">
        <v>0</v>
      </c>
      <c r="BK65" s="293">
        <v>3.8835155066400007E-2</v>
      </c>
      <c r="BL65" s="293">
        <v>0</v>
      </c>
      <c r="BM65" s="293">
        <v>0</v>
      </c>
      <c r="BN65" s="293">
        <v>0</v>
      </c>
      <c r="BO65" s="293">
        <v>0</v>
      </c>
      <c r="BP65" s="293">
        <v>0</v>
      </c>
      <c r="BQ65" s="293">
        <v>3.70112854662E-2</v>
      </c>
      <c r="BR65" s="293">
        <v>0</v>
      </c>
      <c r="BS65" s="293">
        <v>0</v>
      </c>
      <c r="BT65" s="293">
        <v>0</v>
      </c>
      <c r="BU65" s="293">
        <v>0</v>
      </c>
      <c r="BV65" s="293">
        <v>0</v>
      </c>
      <c r="BW65" s="293">
        <v>3.7744327196799994E-2</v>
      </c>
      <c r="BX65" s="293">
        <v>0</v>
      </c>
      <c r="BY65" s="293">
        <v>0</v>
      </c>
      <c r="BZ65" s="293">
        <v>0</v>
      </c>
      <c r="CA65" s="293">
        <v>0</v>
      </c>
      <c r="CB65" s="293">
        <v>0</v>
      </c>
      <c r="CC65" s="293">
        <v>3.9074109910906714E-2</v>
      </c>
      <c r="CD65" s="293">
        <v>0</v>
      </c>
      <c r="CE65" s="294">
        <v>0</v>
      </c>
      <c r="CF65" s="293">
        <v>0</v>
      </c>
      <c r="CG65" s="293">
        <v>0</v>
      </c>
      <c r="CH65" s="293">
        <v>0</v>
      </c>
      <c r="CI65" s="293">
        <v>4.2245389947422642E-2</v>
      </c>
      <c r="CJ65" s="293">
        <v>0</v>
      </c>
      <c r="CK65" s="293">
        <v>0</v>
      </c>
      <c r="CL65" s="293">
        <v>0</v>
      </c>
      <c r="CM65" s="293">
        <v>0</v>
      </c>
      <c r="CN65" s="293">
        <v>0</v>
      </c>
      <c r="CO65" s="293">
        <v>4.4172526817567469E-2</v>
      </c>
      <c r="CP65" s="295">
        <v>0</v>
      </c>
      <c r="CQ65" s="293">
        <v>0</v>
      </c>
      <c r="CR65" s="293">
        <v>0</v>
      </c>
      <c r="CS65" s="293">
        <v>0</v>
      </c>
      <c r="CT65" s="293">
        <v>0</v>
      </c>
      <c r="CU65" s="293">
        <v>4.1021381957097099E-2</v>
      </c>
      <c r="CV65" s="293">
        <v>0</v>
      </c>
      <c r="CW65" s="293">
        <v>0</v>
      </c>
      <c r="CX65" s="293">
        <v>0</v>
      </c>
      <c r="CY65" s="293">
        <v>0</v>
      </c>
      <c r="CZ65" s="293">
        <v>0</v>
      </c>
      <c r="DA65" s="293">
        <v>3.8499937940579175E-2</v>
      </c>
      <c r="DB65" s="1288">
        <v>0</v>
      </c>
      <c r="DC65" s="293">
        <v>0</v>
      </c>
      <c r="DD65" s="293">
        <v>0</v>
      </c>
      <c r="DE65" s="293">
        <v>0</v>
      </c>
      <c r="DF65" s="293">
        <v>0</v>
      </c>
      <c r="DG65" s="293">
        <v>3.7596913000000003E-2</v>
      </c>
      <c r="DH65" s="293">
        <v>0</v>
      </c>
      <c r="DI65" s="293">
        <v>0</v>
      </c>
      <c r="DJ65" s="293">
        <v>0</v>
      </c>
      <c r="DK65" s="293">
        <v>0</v>
      </c>
      <c r="DL65" s="293">
        <v>0</v>
      </c>
      <c r="DM65" s="293">
        <v>5.1124338019324811E-2</v>
      </c>
      <c r="DN65" s="295">
        <v>0</v>
      </c>
      <c r="DO65" s="293">
        <v>0</v>
      </c>
      <c r="DP65" s="293">
        <v>0</v>
      </c>
      <c r="DQ65" s="293">
        <v>0</v>
      </c>
      <c r="DR65" s="293">
        <v>0</v>
      </c>
      <c r="DS65" s="293">
        <v>4.0519795745312129E-2</v>
      </c>
      <c r="DT65" s="293">
        <v>0</v>
      </c>
      <c r="DU65" s="293">
        <v>0</v>
      </c>
      <c r="DV65" s="293">
        <v>0</v>
      </c>
      <c r="DW65" s="293">
        <v>0</v>
      </c>
      <c r="DX65" s="293">
        <v>0</v>
      </c>
      <c r="DY65" s="293">
        <v>4.1449170971152395E-2</v>
      </c>
      <c r="DZ65" s="295">
        <v>0</v>
      </c>
      <c r="EA65" s="293">
        <v>0</v>
      </c>
      <c r="EB65" s="293">
        <v>0</v>
      </c>
      <c r="EC65" s="293">
        <v>0</v>
      </c>
      <c r="ED65" s="293">
        <v>0</v>
      </c>
      <c r="EE65" s="293">
        <v>4.4978013166800002E-2</v>
      </c>
      <c r="EF65" s="293">
        <v>0</v>
      </c>
      <c r="EG65" s="293">
        <v>0</v>
      </c>
      <c r="EH65" s="293">
        <v>0</v>
      </c>
      <c r="EI65" s="293">
        <v>0</v>
      </c>
      <c r="EJ65" s="293">
        <v>0</v>
      </c>
      <c r="EK65" s="293">
        <v>4.6721587760657296E-2</v>
      </c>
      <c r="EL65" s="295">
        <v>0</v>
      </c>
      <c r="EM65" s="1080">
        <v>0</v>
      </c>
      <c r="EN65" s="1080">
        <v>0</v>
      </c>
      <c r="EO65" s="1080">
        <v>0</v>
      </c>
      <c r="EP65" s="1080">
        <v>0</v>
      </c>
      <c r="EQ65" s="1080">
        <v>4.3858250601758152E-2</v>
      </c>
      <c r="ER65" s="1080">
        <v>0</v>
      </c>
      <c r="ES65" s="1080">
        <v>0</v>
      </c>
      <c r="ET65" s="1080">
        <v>0</v>
      </c>
      <c r="EU65" s="1080">
        <v>0</v>
      </c>
      <c r="EV65" s="1080">
        <v>0</v>
      </c>
      <c r="EW65" s="1080">
        <v>4.3970697945456473E-2</v>
      </c>
      <c r="EX65" s="1340">
        <v>0</v>
      </c>
      <c r="EY65" s="1080"/>
      <c r="EZ65" s="1080"/>
      <c r="FA65" s="1080"/>
      <c r="FB65" s="1080"/>
      <c r="FC65" s="1080"/>
      <c r="FD65" s="1080"/>
      <c r="FE65" s="1080"/>
      <c r="FF65" s="1080"/>
      <c r="FG65" s="1080"/>
      <c r="FH65" s="1080"/>
      <c r="FI65" s="1080"/>
      <c r="FJ65" s="1340"/>
      <c r="FK65" s="1080"/>
      <c r="FL65" s="1080"/>
      <c r="FM65" s="1080"/>
      <c r="FN65" s="1080"/>
      <c r="FO65" s="1080"/>
      <c r="FP65" s="1080"/>
      <c r="FQ65" s="293"/>
      <c r="FR65" s="293"/>
      <c r="FS65" s="293"/>
      <c r="FT65" s="293"/>
      <c r="FU65" s="293"/>
      <c r="FV65" s="293"/>
      <c r="FW65" s="293"/>
      <c r="FX65" s="293"/>
      <c r="FY65" s="293"/>
      <c r="FZ65" s="293"/>
      <c r="GA65" s="293"/>
      <c r="GB65" s="293"/>
      <c r="GC65" s="293"/>
      <c r="GD65" s="293"/>
      <c r="GE65" s="293"/>
      <c r="GF65" s="293"/>
      <c r="GG65" s="293"/>
      <c r="GH65" s="293"/>
      <c r="GI65" s="293"/>
      <c r="GJ65" s="293"/>
      <c r="GK65" s="293"/>
      <c r="GL65" s="293"/>
      <c r="GM65" s="293"/>
      <c r="GN65" s="293"/>
      <c r="GO65" s="293"/>
      <c r="GP65" s="293"/>
      <c r="GQ65" s="293"/>
      <c r="GR65" s="293"/>
      <c r="GS65" s="293"/>
      <c r="GT65" s="293"/>
      <c r="GU65" s="293"/>
      <c r="GV65" s="293"/>
      <c r="GW65" s="293"/>
      <c r="GX65" s="293"/>
      <c r="GY65" s="293"/>
      <c r="GZ65" s="293"/>
      <c r="HA65" s="293"/>
      <c r="HB65" s="293"/>
      <c r="HC65" s="293"/>
      <c r="HD65" s="293"/>
      <c r="HE65" s="293"/>
      <c r="HF65" s="293"/>
      <c r="HG65" s="293"/>
      <c r="HH65" s="293"/>
      <c r="HI65" s="293"/>
      <c r="HJ65" s="293"/>
      <c r="HK65" s="293"/>
      <c r="HL65" s="293"/>
      <c r="HM65" s="293"/>
      <c r="HN65" s="293"/>
      <c r="HO65" s="293"/>
      <c r="HP65" s="293"/>
      <c r="HQ65" s="293"/>
      <c r="HR65" s="293"/>
      <c r="HS65" s="293"/>
      <c r="HT65" s="293"/>
      <c r="HU65" s="293"/>
      <c r="HV65" s="293"/>
      <c r="HW65" s="293"/>
      <c r="HX65" s="293"/>
      <c r="HY65" s="293"/>
      <c r="IH65" s="279">
        <f t="shared" si="11"/>
        <v>3.7596913000000003E-2</v>
      </c>
      <c r="II65" s="279">
        <f t="shared" si="12"/>
        <v>5.1124338019324811E-2</v>
      </c>
      <c r="IJ65" s="279">
        <f t="shared" si="13"/>
        <v>8.872125101932482E-2</v>
      </c>
      <c r="IK65" s="279">
        <f t="shared" si="14"/>
        <v>4.0519795745312129E-2</v>
      </c>
      <c r="KT65" s="280"/>
    </row>
    <row r="66" spans="1:306" outlineLevel="1">
      <c r="B66" s="96" t="s">
        <v>338</v>
      </c>
      <c r="D66" s="296" t="str">
        <f t="shared" si="15"/>
        <v>EXIM-INDIA</v>
      </c>
      <c r="E66" s="293"/>
      <c r="F66" s="293"/>
      <c r="G66" s="293"/>
      <c r="H66" s="293"/>
      <c r="I66" s="293"/>
      <c r="J66" s="293"/>
      <c r="K66" s="293"/>
      <c r="L66" s="293"/>
      <c r="M66" s="293"/>
      <c r="N66" s="293"/>
      <c r="O66" s="293"/>
      <c r="P66" s="293"/>
      <c r="Q66" s="293"/>
      <c r="R66" s="293"/>
      <c r="S66" s="293"/>
      <c r="T66" s="293"/>
      <c r="U66" s="293"/>
      <c r="V66" s="293"/>
      <c r="W66" s="293"/>
      <c r="X66" s="293"/>
      <c r="Y66" s="293"/>
      <c r="Z66" s="293"/>
      <c r="AA66" s="293"/>
      <c r="AB66" s="293"/>
      <c r="AC66" s="293"/>
      <c r="AD66" s="293"/>
      <c r="AE66" s="293"/>
      <c r="AF66" s="293"/>
      <c r="AG66" s="293"/>
      <c r="AH66" s="293"/>
      <c r="AI66" s="293"/>
      <c r="AJ66" s="293"/>
      <c r="AK66" s="293"/>
      <c r="AL66" s="293"/>
      <c r="AM66" s="293"/>
      <c r="AN66" s="293"/>
      <c r="AO66" s="293">
        <v>8.3300392000000001E-2</v>
      </c>
      <c r="AP66" s="293">
        <v>0</v>
      </c>
      <c r="AQ66" s="293">
        <v>0</v>
      </c>
      <c r="AR66" s="293">
        <v>0</v>
      </c>
      <c r="AS66" s="293">
        <v>0</v>
      </c>
      <c r="AT66" s="293">
        <v>0</v>
      </c>
      <c r="AU66" s="293">
        <v>8.5449967000000002E-2</v>
      </c>
      <c r="AV66" s="293">
        <v>0</v>
      </c>
      <c r="AW66" s="293">
        <v>0</v>
      </c>
      <c r="AX66" s="293">
        <v>0</v>
      </c>
      <c r="AY66" s="293">
        <v>0</v>
      </c>
      <c r="AZ66" s="293">
        <v>0</v>
      </c>
      <c r="BA66" s="293">
        <v>9.6165672999999993E-2</v>
      </c>
      <c r="BB66" s="293">
        <v>0</v>
      </c>
      <c r="BC66" s="293">
        <v>0</v>
      </c>
      <c r="BD66" s="293">
        <v>0</v>
      </c>
      <c r="BE66" s="293">
        <v>0</v>
      </c>
      <c r="BF66" s="293">
        <v>0</v>
      </c>
      <c r="BG66" s="293">
        <v>0</v>
      </c>
      <c r="BH66" s="293">
        <v>0</v>
      </c>
      <c r="BI66" s="293">
        <v>0.122988097</v>
      </c>
      <c r="BJ66" s="293">
        <v>0</v>
      </c>
      <c r="BK66" s="293">
        <v>0</v>
      </c>
      <c r="BL66" s="293">
        <v>0</v>
      </c>
      <c r="BM66" s="293">
        <v>0.1025712573478</v>
      </c>
      <c r="BN66" s="293">
        <v>4.2522326649300002E-2</v>
      </c>
      <c r="BO66" s="293">
        <v>0</v>
      </c>
      <c r="BP66" s="293">
        <v>0</v>
      </c>
      <c r="BQ66" s="293">
        <v>1.5122673E-2</v>
      </c>
      <c r="BR66" s="293">
        <v>0</v>
      </c>
      <c r="BS66" s="293">
        <v>0.10529158700000001</v>
      </c>
      <c r="BT66" s="293">
        <v>8.6231022000000004E-2</v>
      </c>
      <c r="BU66" s="293">
        <v>7.0099557000000007E-2</v>
      </c>
      <c r="BV66" s="293">
        <v>0</v>
      </c>
      <c r="BW66" s="293">
        <v>0</v>
      </c>
      <c r="BX66" s="293">
        <v>0</v>
      </c>
      <c r="BY66" s="293">
        <v>0.25453989700000001</v>
      </c>
      <c r="BZ66" s="293">
        <v>5.8426839000000001E-2</v>
      </c>
      <c r="CA66" s="293">
        <v>0</v>
      </c>
      <c r="CB66" s="293">
        <v>0</v>
      </c>
      <c r="CC66" s="293">
        <v>0</v>
      </c>
      <c r="CD66" s="293">
        <v>0</v>
      </c>
      <c r="CE66" s="294">
        <v>0.3629642713892598</v>
      </c>
      <c r="CF66" s="293">
        <v>5.5924560715429005E-4</v>
      </c>
      <c r="CG66" s="293">
        <v>0</v>
      </c>
      <c r="CH66" s="293">
        <v>0</v>
      </c>
      <c r="CI66" s="293">
        <v>0</v>
      </c>
      <c r="CJ66" s="293">
        <v>0</v>
      </c>
      <c r="CK66" s="293">
        <v>0.40227822398719798</v>
      </c>
      <c r="CL66" s="293">
        <v>0</v>
      </c>
      <c r="CM66" s="293">
        <v>2.5680988553636541E-2</v>
      </c>
      <c r="CN66" s="293">
        <v>0</v>
      </c>
      <c r="CO66" s="293">
        <v>0</v>
      </c>
      <c r="CP66" s="295">
        <v>0</v>
      </c>
      <c r="CQ66" s="293">
        <v>0.43715569339855254</v>
      </c>
      <c r="CR66" s="293">
        <v>7.6073247305757609E-3</v>
      </c>
      <c r="CS66" s="293">
        <v>0</v>
      </c>
      <c r="CT66" s="293">
        <v>0</v>
      </c>
      <c r="CU66" s="293">
        <v>0</v>
      </c>
      <c r="CV66" s="293">
        <v>0</v>
      </c>
      <c r="CW66" s="293">
        <v>0</v>
      </c>
      <c r="CX66" s="293">
        <v>0.47042363092444917</v>
      </c>
      <c r="CY66" s="293">
        <v>0</v>
      </c>
      <c r="CZ66" s="293">
        <v>1.05451606155E-3</v>
      </c>
      <c r="DA66" s="293">
        <v>0</v>
      </c>
      <c r="DB66" s="1288">
        <v>0</v>
      </c>
      <c r="DC66" s="293">
        <v>0</v>
      </c>
      <c r="DD66" s="293">
        <v>0.51083765699999995</v>
      </c>
      <c r="DE66" s="293">
        <v>0</v>
      </c>
      <c r="DF66" s="293">
        <v>0</v>
      </c>
      <c r="DG66" s="293">
        <v>0</v>
      </c>
      <c r="DH66" s="293">
        <v>0</v>
      </c>
      <c r="DI66" s="293">
        <v>0.52116094729347329</v>
      </c>
      <c r="DJ66" s="293">
        <v>0</v>
      </c>
      <c r="DK66" s="293">
        <v>0</v>
      </c>
      <c r="DL66" s="293">
        <v>0</v>
      </c>
      <c r="DM66" s="293">
        <v>0</v>
      </c>
      <c r="DN66" s="295">
        <v>0</v>
      </c>
      <c r="DO66" s="293">
        <v>0</v>
      </c>
      <c r="DP66" s="293">
        <v>0.53836427569936873</v>
      </c>
      <c r="DQ66" s="293">
        <v>1.6221492570225361E-2</v>
      </c>
      <c r="DR66" s="293">
        <v>0</v>
      </c>
      <c r="DS66" s="293">
        <v>0</v>
      </c>
      <c r="DT66" s="293">
        <v>0</v>
      </c>
      <c r="DU66" s="293">
        <v>0.55189454414165329</v>
      </c>
      <c r="DV66" s="293">
        <v>3.3468001907333698E-2</v>
      </c>
      <c r="DW66" s="293">
        <v>0</v>
      </c>
      <c r="DX66" s="293">
        <v>0</v>
      </c>
      <c r="DY66" s="293">
        <v>0</v>
      </c>
      <c r="DZ66" s="295">
        <v>0</v>
      </c>
      <c r="EA66" s="293">
        <v>0.5542186484585071</v>
      </c>
      <c r="EB66" s="293">
        <v>0.5542186484585071</v>
      </c>
      <c r="EC66" s="293">
        <v>0</v>
      </c>
      <c r="ED66" s="293">
        <v>0</v>
      </c>
      <c r="EE66" s="293">
        <v>0</v>
      </c>
      <c r="EF66" s="293">
        <v>0</v>
      </c>
      <c r="EG66" s="293">
        <v>0.55821065554442162</v>
      </c>
      <c r="EH66" s="293">
        <v>1.2342663764159999E-2</v>
      </c>
      <c r="EI66" s="293">
        <v>0</v>
      </c>
      <c r="EJ66" s="293">
        <v>6.6558938794721596E-3</v>
      </c>
      <c r="EK66" s="293">
        <v>0</v>
      </c>
      <c r="EL66" s="295">
        <v>0</v>
      </c>
      <c r="EM66" s="1080">
        <v>0.59773153968015702</v>
      </c>
      <c r="EN66" s="1080">
        <v>0</v>
      </c>
      <c r="EO66" s="1080">
        <v>0</v>
      </c>
      <c r="EP66" s="1080">
        <v>0</v>
      </c>
      <c r="EQ66" s="1080">
        <v>0</v>
      </c>
      <c r="ER66" s="1080">
        <v>0</v>
      </c>
      <c r="ES66" s="1080">
        <v>0.64577352712611535</v>
      </c>
      <c r="ET66" s="1080">
        <v>0</v>
      </c>
      <c r="EU66" s="1080">
        <v>0</v>
      </c>
      <c r="EV66" s="1080">
        <v>0</v>
      </c>
      <c r="EW66" s="1080">
        <v>0</v>
      </c>
      <c r="EX66" s="1340">
        <v>0</v>
      </c>
      <c r="EY66" s="1080"/>
      <c r="EZ66" s="1080"/>
      <c r="FA66" s="1080"/>
      <c r="FB66" s="1080"/>
      <c r="FC66" s="1080"/>
      <c r="FD66" s="1080"/>
      <c r="FE66" s="1080"/>
      <c r="FF66" s="1080"/>
      <c r="FG66" s="1080"/>
      <c r="FH66" s="1080"/>
      <c r="FI66" s="1080"/>
      <c r="FJ66" s="1340"/>
      <c r="FK66" s="1080"/>
      <c r="FL66" s="1080"/>
      <c r="FM66" s="1080"/>
      <c r="FN66" s="1080"/>
      <c r="FO66" s="1080"/>
      <c r="FP66" s="1080"/>
      <c r="FQ66" s="293"/>
      <c r="FR66" s="293"/>
      <c r="FS66" s="293"/>
      <c r="FT66" s="293"/>
      <c r="FU66" s="293"/>
      <c r="FV66" s="293"/>
      <c r="FW66" s="293"/>
      <c r="FX66" s="293"/>
      <c r="FY66" s="293"/>
      <c r="FZ66" s="293"/>
      <c r="GA66" s="293"/>
      <c r="GB66" s="293"/>
      <c r="GC66" s="293"/>
      <c r="GD66" s="293"/>
      <c r="GE66" s="293"/>
      <c r="GF66" s="293"/>
      <c r="GG66" s="293"/>
      <c r="GH66" s="293"/>
      <c r="GI66" s="293"/>
      <c r="GJ66" s="293"/>
      <c r="GK66" s="293"/>
      <c r="GL66" s="293"/>
      <c r="GM66" s="293"/>
      <c r="GN66" s="293"/>
      <c r="GO66" s="293"/>
      <c r="GP66" s="293"/>
      <c r="GQ66" s="293"/>
      <c r="GR66" s="293"/>
      <c r="GS66" s="293"/>
      <c r="GT66" s="293"/>
      <c r="GU66" s="293"/>
      <c r="GV66" s="293"/>
      <c r="GW66" s="293"/>
      <c r="GX66" s="293"/>
      <c r="GY66" s="293"/>
      <c r="GZ66" s="293"/>
      <c r="HA66" s="293"/>
      <c r="HB66" s="293"/>
      <c r="HC66" s="293"/>
      <c r="HD66" s="293"/>
      <c r="HE66" s="293"/>
      <c r="HF66" s="293"/>
      <c r="HG66" s="293"/>
      <c r="HH66" s="293"/>
      <c r="HI66" s="293"/>
      <c r="HJ66" s="293"/>
      <c r="HK66" s="293"/>
      <c r="HL66" s="293"/>
      <c r="HM66" s="293"/>
      <c r="HN66" s="293"/>
      <c r="HO66" s="293"/>
      <c r="HP66" s="293"/>
      <c r="HQ66" s="293"/>
      <c r="HR66" s="293"/>
      <c r="HS66" s="293"/>
      <c r="HT66" s="293"/>
      <c r="HU66" s="293"/>
      <c r="HV66" s="293"/>
      <c r="HW66" s="293"/>
      <c r="HX66" s="293"/>
      <c r="HY66" s="293"/>
      <c r="IH66" s="279">
        <f t="shared" si="11"/>
        <v>0.51083765699999995</v>
      </c>
      <c r="II66" s="279">
        <f t="shared" si="12"/>
        <v>0.52116094729347329</v>
      </c>
      <c r="IJ66" s="279">
        <f t="shared" si="13"/>
        <v>1.0319986042934732</v>
      </c>
      <c r="IK66" s="279">
        <f t="shared" si="14"/>
        <v>0.55458576826959405</v>
      </c>
      <c r="KT66" s="280"/>
    </row>
    <row r="67" spans="1:306" outlineLevel="1">
      <c r="B67" s="96" t="s">
        <v>338</v>
      </c>
      <c r="D67" s="296" t="str">
        <f t="shared" si="15"/>
        <v>EXIM-CHINA</v>
      </c>
      <c r="E67" s="293"/>
      <c r="F67" s="293"/>
      <c r="G67" s="293"/>
      <c r="H67" s="293"/>
      <c r="I67" s="293"/>
      <c r="J67" s="293"/>
      <c r="K67" s="293"/>
      <c r="L67" s="293"/>
      <c r="M67" s="293"/>
      <c r="N67" s="293"/>
      <c r="O67" s="293"/>
      <c r="P67" s="293"/>
      <c r="Q67" s="293"/>
      <c r="R67" s="293"/>
      <c r="S67" s="293"/>
      <c r="T67" s="293"/>
      <c r="U67" s="293"/>
      <c r="V67" s="293"/>
      <c r="W67" s="293"/>
      <c r="X67" s="293"/>
      <c r="Y67" s="293"/>
      <c r="Z67" s="293"/>
      <c r="AA67" s="293"/>
      <c r="AB67" s="293"/>
      <c r="AC67" s="293"/>
      <c r="AD67" s="293"/>
      <c r="AE67" s="293"/>
      <c r="AF67" s="293"/>
      <c r="AG67" s="293"/>
      <c r="AH67" s="293"/>
      <c r="AI67" s="293"/>
      <c r="AJ67" s="293"/>
      <c r="AK67" s="293"/>
      <c r="AL67" s="293"/>
      <c r="AM67" s="293"/>
      <c r="AN67" s="293"/>
      <c r="AO67" s="293">
        <v>0</v>
      </c>
      <c r="AP67" s="293">
        <v>0</v>
      </c>
      <c r="AQ67" s="293">
        <v>4.0845843E-2</v>
      </c>
      <c r="AR67" s="293">
        <v>8.8867000000000001E-5</v>
      </c>
      <c r="AS67" s="293">
        <v>0</v>
      </c>
      <c r="AT67" s="293">
        <v>0</v>
      </c>
      <c r="AU67" s="293">
        <v>0</v>
      </c>
      <c r="AV67" s="293">
        <v>0</v>
      </c>
      <c r="AW67" s="293">
        <v>0</v>
      </c>
      <c r="AX67" s="293">
        <v>7.9422567999999999E-2</v>
      </c>
      <c r="AY67" s="293">
        <v>0</v>
      </c>
      <c r="AZ67" s="293">
        <v>0</v>
      </c>
      <c r="BA67" s="293">
        <v>0</v>
      </c>
      <c r="BB67" s="293">
        <v>0</v>
      </c>
      <c r="BC67" s="293">
        <v>0.12577049400000001</v>
      </c>
      <c r="BD67" s="293">
        <v>0</v>
      </c>
      <c r="BE67" s="293">
        <v>0</v>
      </c>
      <c r="BF67" s="293">
        <v>0</v>
      </c>
      <c r="BG67" s="293">
        <v>0</v>
      </c>
      <c r="BH67" s="293">
        <v>0</v>
      </c>
      <c r="BI67" s="293">
        <v>0.16998497200000001</v>
      </c>
      <c r="BJ67" s="293">
        <v>0</v>
      </c>
      <c r="BK67" s="293">
        <v>0</v>
      </c>
      <c r="BL67" s="293">
        <v>0</v>
      </c>
      <c r="BM67" s="293">
        <v>0</v>
      </c>
      <c r="BN67" s="293">
        <v>0</v>
      </c>
      <c r="BO67" s="293">
        <v>0.18310707576810004</v>
      </c>
      <c r="BP67" s="293">
        <v>0</v>
      </c>
      <c r="BQ67" s="293">
        <v>0</v>
      </c>
      <c r="BR67" s="293">
        <v>0</v>
      </c>
      <c r="BS67" s="293">
        <v>0</v>
      </c>
      <c r="BT67" s="293">
        <v>0</v>
      </c>
      <c r="BU67" s="293">
        <v>0.19884972983600002</v>
      </c>
      <c r="BV67" s="293">
        <v>0</v>
      </c>
      <c r="BW67" s="293">
        <v>0</v>
      </c>
      <c r="BX67" s="293">
        <v>0</v>
      </c>
      <c r="BY67" s="293">
        <v>0</v>
      </c>
      <c r="BZ67" s="293">
        <v>0</v>
      </c>
      <c r="CA67" s="293">
        <v>0.96789369599999997</v>
      </c>
      <c r="CB67" s="293">
        <v>1.0632450999999999E-2</v>
      </c>
      <c r="CC67" s="293">
        <v>6.151850205777E-4</v>
      </c>
      <c r="CD67" s="293">
        <v>0</v>
      </c>
      <c r="CE67" s="294">
        <v>0</v>
      </c>
      <c r="CF67" s="293">
        <v>0</v>
      </c>
      <c r="CG67" s="293">
        <v>0.39395940898347964</v>
      </c>
      <c r="CH67" s="293">
        <v>0</v>
      </c>
      <c r="CI67" s="293">
        <v>0</v>
      </c>
      <c r="CJ67" s="293">
        <v>0</v>
      </c>
      <c r="CK67" s="293">
        <v>0</v>
      </c>
      <c r="CL67" s="293">
        <v>0</v>
      </c>
      <c r="CM67" s="293">
        <v>0.44269040817801036</v>
      </c>
      <c r="CN67" s="293">
        <v>0</v>
      </c>
      <c r="CO67" s="293">
        <v>0</v>
      </c>
      <c r="CP67" s="295">
        <v>0</v>
      </c>
      <c r="CQ67" s="293">
        <v>0</v>
      </c>
      <c r="CR67" s="293">
        <v>0</v>
      </c>
      <c r="CS67" s="293">
        <v>0.48010518260114143</v>
      </c>
      <c r="CT67" s="293">
        <v>0</v>
      </c>
      <c r="CU67" s="293">
        <v>0</v>
      </c>
      <c r="CV67" s="293">
        <v>0</v>
      </c>
      <c r="CW67" s="293">
        <v>0</v>
      </c>
      <c r="CX67" s="293">
        <v>0</v>
      </c>
      <c r="CY67" s="293">
        <v>0</v>
      </c>
      <c r="CZ67" s="293">
        <v>0.57526705674101908</v>
      </c>
      <c r="DA67" s="293">
        <v>0</v>
      </c>
      <c r="DB67" s="1288">
        <v>0</v>
      </c>
      <c r="DC67" s="293">
        <v>0</v>
      </c>
      <c r="DD67" s="293">
        <v>0</v>
      </c>
      <c r="DE67" s="293">
        <v>0.64900143099999996</v>
      </c>
      <c r="DF67" s="293">
        <v>8.9394500000000005E-4</v>
      </c>
      <c r="DG67" s="293">
        <v>0</v>
      </c>
      <c r="DH67" s="293">
        <v>0</v>
      </c>
      <c r="DI67" s="293">
        <v>0</v>
      </c>
      <c r="DJ67" s="293">
        <v>0</v>
      </c>
      <c r="DK67" s="293">
        <v>0</v>
      </c>
      <c r="DL67" s="293">
        <v>6.3226372898296801E-3</v>
      </c>
      <c r="DM67" s="293">
        <v>0</v>
      </c>
      <c r="DN67" s="295">
        <v>0</v>
      </c>
      <c r="DO67" s="293">
        <v>0</v>
      </c>
      <c r="DP67" s="293">
        <v>0</v>
      </c>
      <c r="DQ67" s="293">
        <v>0.82147459839931447</v>
      </c>
      <c r="DR67" s="293">
        <v>0</v>
      </c>
      <c r="DS67" s="293">
        <v>0.59107267500620897</v>
      </c>
      <c r="DT67" s="293">
        <v>0</v>
      </c>
      <c r="DU67" s="293">
        <v>0</v>
      </c>
      <c r="DV67" s="293">
        <v>0</v>
      </c>
      <c r="DW67" s="293">
        <v>0.90677545698777851</v>
      </c>
      <c r="DX67" s="293">
        <v>3.3655539858173998E-3</v>
      </c>
      <c r="DY67" s="293">
        <v>0</v>
      </c>
      <c r="DZ67" s="295">
        <v>0</v>
      </c>
      <c r="EA67" s="293">
        <v>0</v>
      </c>
      <c r="EB67" s="293">
        <v>0</v>
      </c>
      <c r="EC67" s="293">
        <v>1.1063676012877564</v>
      </c>
      <c r="ED67" s="293">
        <v>8.1369303408123999E-4</v>
      </c>
      <c r="EE67" s="293">
        <v>0</v>
      </c>
      <c r="EF67" s="293">
        <v>0</v>
      </c>
      <c r="EG67" s="293">
        <v>0</v>
      </c>
      <c r="EH67" s="293">
        <v>0</v>
      </c>
      <c r="EI67" s="293">
        <v>0</v>
      </c>
      <c r="EJ67" s="293">
        <v>1.2419973939446898</v>
      </c>
      <c r="EK67" s="293">
        <v>6.3791109257556999E-3</v>
      </c>
      <c r="EL67" s="295">
        <v>0</v>
      </c>
      <c r="EM67" s="1080">
        <v>0</v>
      </c>
      <c r="EN67" s="1080">
        <v>0</v>
      </c>
      <c r="EO67" s="1080">
        <v>0</v>
      </c>
      <c r="EP67" s="1080">
        <v>1.2106186694040351</v>
      </c>
      <c r="EQ67" s="1080">
        <v>0</v>
      </c>
      <c r="ER67" s="1080">
        <v>0</v>
      </c>
      <c r="ES67" s="1080">
        <v>0</v>
      </c>
      <c r="ET67" s="1080">
        <v>0</v>
      </c>
      <c r="EU67" s="1080">
        <v>1.3979849494284062</v>
      </c>
      <c r="EV67" s="1080">
        <v>0</v>
      </c>
      <c r="EW67" s="1080">
        <v>0</v>
      </c>
      <c r="EX67" s="1340">
        <v>0.2918033428738771</v>
      </c>
      <c r="EY67" s="1080"/>
      <c r="EZ67" s="1080"/>
      <c r="FA67" s="1080"/>
      <c r="FB67" s="1080"/>
      <c r="FC67" s="1080"/>
      <c r="FD67" s="1080"/>
      <c r="FE67" s="1080"/>
      <c r="FF67" s="1080"/>
      <c r="FG67" s="1080"/>
      <c r="FH67" s="1080"/>
      <c r="FI67" s="1080"/>
      <c r="FJ67" s="1340"/>
      <c r="FK67" s="1080"/>
      <c r="FL67" s="1080"/>
      <c r="FM67" s="1080"/>
      <c r="FN67" s="1080"/>
      <c r="FO67" s="1080"/>
      <c r="FP67" s="1080"/>
      <c r="FQ67" s="293"/>
      <c r="FR67" s="293"/>
      <c r="FS67" s="293"/>
      <c r="FT67" s="293"/>
      <c r="FU67" s="293"/>
      <c r="FV67" s="293"/>
      <c r="FW67" s="293"/>
      <c r="FX67" s="293"/>
      <c r="FY67" s="293"/>
      <c r="FZ67" s="293"/>
      <c r="GA67" s="293"/>
      <c r="GB67" s="293"/>
      <c r="GC67" s="293"/>
      <c r="GD67" s="293"/>
      <c r="GE67" s="293"/>
      <c r="GF67" s="293"/>
      <c r="GG67" s="293"/>
      <c r="GH67" s="293"/>
      <c r="GI67" s="293"/>
      <c r="GJ67" s="293"/>
      <c r="GK67" s="293"/>
      <c r="GL67" s="293"/>
      <c r="GM67" s="293"/>
      <c r="GN67" s="293"/>
      <c r="GO67" s="293"/>
      <c r="GP67" s="293"/>
      <c r="GQ67" s="293"/>
      <c r="GR67" s="293"/>
      <c r="GS67" s="293"/>
      <c r="GT67" s="293"/>
      <c r="GU67" s="293"/>
      <c r="GV67" s="293"/>
      <c r="GW67" s="293"/>
      <c r="GX67" s="293"/>
      <c r="GY67" s="293"/>
      <c r="GZ67" s="293"/>
      <c r="HA67" s="293"/>
      <c r="HB67" s="293"/>
      <c r="HC67" s="293"/>
      <c r="HD67" s="293"/>
      <c r="HE67" s="293"/>
      <c r="HF67" s="293"/>
      <c r="HG67" s="293"/>
      <c r="HH67" s="293"/>
      <c r="HI67" s="293"/>
      <c r="HJ67" s="293"/>
      <c r="HK67" s="293"/>
      <c r="HL67" s="293"/>
      <c r="HM67" s="293"/>
      <c r="HN67" s="293"/>
      <c r="HO67" s="293"/>
      <c r="HP67" s="293"/>
      <c r="HQ67" s="293"/>
      <c r="HR67" s="293"/>
      <c r="HS67" s="293"/>
      <c r="HT67" s="293"/>
      <c r="HU67" s="293"/>
      <c r="HV67" s="293"/>
      <c r="HW67" s="293"/>
      <c r="HX67" s="293"/>
      <c r="HY67" s="293"/>
      <c r="IH67" s="279">
        <f t="shared" si="11"/>
        <v>0.64989537599999991</v>
      </c>
      <c r="II67" s="279">
        <f t="shared" si="12"/>
        <v>6.3226372898296801E-3</v>
      </c>
      <c r="IJ67" s="279">
        <f t="shared" si="13"/>
        <v>0.65621801328982965</v>
      </c>
      <c r="IK67" s="279">
        <f t="shared" si="14"/>
        <v>1.4125472734055236</v>
      </c>
      <c r="KT67" s="280"/>
    </row>
    <row r="68" spans="1:306" outlineLevel="1">
      <c r="B68" s="96" t="s">
        <v>338</v>
      </c>
      <c r="D68" s="296" t="str">
        <f t="shared" si="15"/>
        <v>EXIM-KOREA</v>
      </c>
      <c r="E68" s="293"/>
      <c r="F68" s="293"/>
      <c r="G68" s="293"/>
      <c r="H68" s="293"/>
      <c r="I68" s="293"/>
      <c r="J68" s="293"/>
      <c r="K68" s="293"/>
      <c r="L68" s="293"/>
      <c r="M68" s="293"/>
      <c r="N68" s="293"/>
      <c r="O68" s="293"/>
      <c r="P68" s="293"/>
      <c r="Q68" s="293"/>
      <c r="R68" s="293"/>
      <c r="S68" s="293"/>
      <c r="T68" s="293"/>
      <c r="U68" s="293"/>
      <c r="V68" s="293"/>
      <c r="W68" s="293"/>
      <c r="X68" s="293"/>
      <c r="Y68" s="293"/>
      <c r="Z68" s="293"/>
      <c r="AA68" s="293"/>
      <c r="AB68" s="293"/>
      <c r="AC68" s="293"/>
      <c r="AD68" s="293"/>
      <c r="AE68" s="293"/>
      <c r="AF68" s="293"/>
      <c r="AG68" s="293"/>
      <c r="AH68" s="293"/>
      <c r="AI68" s="293"/>
      <c r="AJ68" s="293"/>
      <c r="AK68" s="293"/>
      <c r="AL68" s="293"/>
      <c r="AM68" s="293"/>
      <c r="AN68" s="293"/>
      <c r="AO68" s="293">
        <v>0</v>
      </c>
      <c r="AP68" s="293">
        <v>0</v>
      </c>
      <c r="AQ68" s="293">
        <v>0</v>
      </c>
      <c r="AR68" s="293">
        <v>0</v>
      </c>
      <c r="AS68" s="293">
        <v>0</v>
      </c>
      <c r="AT68" s="293">
        <v>0</v>
      </c>
      <c r="AU68" s="293">
        <v>0</v>
      </c>
      <c r="AV68" s="293">
        <v>0</v>
      </c>
      <c r="AW68" s="293">
        <v>0</v>
      </c>
      <c r="AX68" s="293">
        <v>0</v>
      </c>
      <c r="AY68" s="293">
        <v>0</v>
      </c>
      <c r="AZ68" s="293">
        <v>0</v>
      </c>
      <c r="BA68" s="293">
        <v>0</v>
      </c>
      <c r="BB68" s="293">
        <v>0</v>
      </c>
      <c r="BC68" s="293">
        <v>0</v>
      </c>
      <c r="BD68" s="293">
        <v>0</v>
      </c>
      <c r="BE68" s="293">
        <v>0</v>
      </c>
      <c r="BF68" s="293">
        <v>0</v>
      </c>
      <c r="BG68" s="293">
        <v>0</v>
      </c>
      <c r="BH68" s="293">
        <v>0</v>
      </c>
      <c r="BI68" s="293">
        <v>0</v>
      </c>
      <c r="BJ68" s="293">
        <v>0</v>
      </c>
      <c r="BK68" s="293">
        <v>0</v>
      </c>
      <c r="BL68" s="293">
        <v>0</v>
      </c>
      <c r="BM68" s="293">
        <v>0</v>
      </c>
      <c r="BN68" s="293">
        <v>0</v>
      </c>
      <c r="BO68" s="293">
        <v>0</v>
      </c>
      <c r="BP68" s="293">
        <v>0</v>
      </c>
      <c r="BQ68" s="293">
        <v>0</v>
      </c>
      <c r="BR68" s="293">
        <v>0</v>
      </c>
      <c r="BS68" s="293">
        <v>0</v>
      </c>
      <c r="BT68" s="293">
        <v>0</v>
      </c>
      <c r="BU68" s="293">
        <v>0</v>
      </c>
      <c r="BV68" s="293">
        <v>0</v>
      </c>
      <c r="BW68" s="293">
        <v>0</v>
      </c>
      <c r="BX68" s="293">
        <v>0</v>
      </c>
      <c r="BY68" s="293"/>
      <c r="BZ68" s="293"/>
      <c r="CA68" s="293"/>
      <c r="CB68" s="293"/>
      <c r="CC68" s="293"/>
      <c r="CD68" s="293"/>
      <c r="CE68" s="294"/>
      <c r="CF68" s="293"/>
      <c r="CG68" s="293"/>
      <c r="CH68" s="293"/>
      <c r="CI68" s="293"/>
      <c r="CJ68" s="293"/>
      <c r="CK68" s="293">
        <v>0</v>
      </c>
      <c r="CL68" s="293">
        <v>0</v>
      </c>
      <c r="CM68" s="293">
        <v>0</v>
      </c>
      <c r="CN68" s="293">
        <v>0</v>
      </c>
      <c r="CO68" s="293">
        <v>0</v>
      </c>
      <c r="CP68" s="295">
        <v>0</v>
      </c>
      <c r="CQ68" s="293">
        <v>0</v>
      </c>
      <c r="CR68" s="293">
        <v>0</v>
      </c>
      <c r="CS68" s="293">
        <v>0</v>
      </c>
      <c r="CT68" s="293">
        <v>0</v>
      </c>
      <c r="CU68" s="293">
        <v>0</v>
      </c>
      <c r="CV68" s="293">
        <v>0</v>
      </c>
      <c r="CW68" s="293">
        <v>0</v>
      </c>
      <c r="CX68" s="293">
        <v>0</v>
      </c>
      <c r="CY68" s="293">
        <v>0</v>
      </c>
      <c r="CZ68" s="293">
        <v>0</v>
      </c>
      <c r="DA68" s="293">
        <v>0</v>
      </c>
      <c r="DB68" s="1288">
        <v>0</v>
      </c>
      <c r="DC68" s="293">
        <v>0</v>
      </c>
      <c r="DD68" s="293">
        <v>0</v>
      </c>
      <c r="DE68" s="293">
        <v>9.7995870000000002E-3</v>
      </c>
      <c r="DF68" s="293">
        <v>0</v>
      </c>
      <c r="DG68" s="293">
        <v>0</v>
      </c>
      <c r="DH68" s="293">
        <v>0</v>
      </c>
      <c r="DI68" s="293">
        <v>0</v>
      </c>
      <c r="DJ68" s="293">
        <v>0</v>
      </c>
      <c r="DK68" s="293">
        <v>0</v>
      </c>
      <c r="DL68" s="293">
        <v>0</v>
      </c>
      <c r="DM68" s="293">
        <v>0</v>
      </c>
      <c r="DN68" s="295">
        <v>0</v>
      </c>
      <c r="DO68" s="293">
        <v>0</v>
      </c>
      <c r="DP68" s="293">
        <v>0</v>
      </c>
      <c r="DQ68" s="293">
        <v>0</v>
      </c>
      <c r="DR68" s="293">
        <v>0</v>
      </c>
      <c r="DS68" s="293">
        <v>0</v>
      </c>
      <c r="DT68" s="293">
        <v>0</v>
      </c>
      <c r="DU68" s="293">
        <v>0</v>
      </c>
      <c r="DV68" s="293">
        <v>0</v>
      </c>
      <c r="DW68" s="293">
        <v>0</v>
      </c>
      <c r="DX68" s="293">
        <v>0</v>
      </c>
      <c r="DY68" s="293">
        <v>0</v>
      </c>
      <c r="DZ68" s="295">
        <v>0</v>
      </c>
      <c r="EA68" s="293">
        <v>0</v>
      </c>
      <c r="EB68" s="293">
        <v>0</v>
      </c>
      <c r="EC68" s="293">
        <v>0</v>
      </c>
      <c r="ED68" s="293">
        <v>0</v>
      </c>
      <c r="EE68" s="293">
        <v>0</v>
      </c>
      <c r="EF68" s="293">
        <v>0</v>
      </c>
      <c r="EG68" s="293">
        <v>0</v>
      </c>
      <c r="EH68" s="293">
        <v>0</v>
      </c>
      <c r="EI68" s="293">
        <v>0</v>
      </c>
      <c r="EJ68" s="293">
        <v>0</v>
      </c>
      <c r="EK68" s="293">
        <v>0</v>
      </c>
      <c r="EL68" s="295">
        <v>0</v>
      </c>
      <c r="EM68" s="1080">
        <v>0</v>
      </c>
      <c r="EN68" s="1080">
        <v>0</v>
      </c>
      <c r="EO68" s="1080">
        <v>0</v>
      </c>
      <c r="EP68" s="1080">
        <v>0</v>
      </c>
      <c r="EQ68" s="1080">
        <v>0</v>
      </c>
      <c r="ER68" s="1080">
        <v>0</v>
      </c>
      <c r="ES68" s="1080">
        <v>0</v>
      </c>
      <c r="ET68" s="1080">
        <v>0</v>
      </c>
      <c r="EU68" s="1080">
        <v>0</v>
      </c>
      <c r="EV68" s="1080">
        <v>0</v>
      </c>
      <c r="EW68" s="1080">
        <v>2.6557480429744996E-4</v>
      </c>
      <c r="EX68" s="1340">
        <v>0</v>
      </c>
      <c r="EY68" s="1080"/>
      <c r="EZ68" s="1080"/>
      <c r="FA68" s="1080"/>
      <c r="FB68" s="1080"/>
      <c r="FC68" s="1080"/>
      <c r="FD68" s="1080"/>
      <c r="FE68" s="1080"/>
      <c r="FF68" s="1080"/>
      <c r="FG68" s="1080"/>
      <c r="FH68" s="1080"/>
      <c r="FI68" s="1080"/>
      <c r="FJ68" s="1340"/>
      <c r="FK68" s="1080"/>
      <c r="FL68" s="1080"/>
      <c r="FM68" s="1080"/>
      <c r="FN68" s="1080"/>
      <c r="FO68" s="1080"/>
      <c r="FP68" s="1080"/>
      <c r="FQ68" s="293"/>
      <c r="FR68" s="293"/>
      <c r="FS68" s="293"/>
      <c r="FT68" s="293"/>
      <c r="FU68" s="293"/>
      <c r="FV68" s="293"/>
      <c r="FW68" s="293"/>
      <c r="FX68" s="293"/>
      <c r="FY68" s="293"/>
      <c r="FZ68" s="293"/>
      <c r="GA68" s="293"/>
      <c r="GB68" s="293"/>
      <c r="GC68" s="293"/>
      <c r="GD68" s="293"/>
      <c r="GE68" s="293"/>
      <c r="GF68" s="293"/>
      <c r="GG68" s="293"/>
      <c r="GH68" s="293"/>
      <c r="GI68" s="293"/>
      <c r="GJ68" s="293"/>
      <c r="GK68" s="293"/>
      <c r="GL68" s="293"/>
      <c r="GM68" s="293"/>
      <c r="GN68" s="293"/>
      <c r="GO68" s="293"/>
      <c r="GP68" s="293"/>
      <c r="GQ68" s="293"/>
      <c r="GR68" s="293"/>
      <c r="GS68" s="293"/>
      <c r="GT68" s="293"/>
      <c r="GU68" s="293"/>
      <c r="GV68" s="293"/>
      <c r="GW68" s="293"/>
      <c r="GX68" s="293"/>
      <c r="GY68" s="293"/>
      <c r="GZ68" s="293"/>
      <c r="HA68" s="293"/>
      <c r="HB68" s="293"/>
      <c r="HC68" s="293"/>
      <c r="HD68" s="293"/>
      <c r="HE68" s="293"/>
      <c r="HF68" s="293"/>
      <c r="HG68" s="293"/>
      <c r="HH68" s="293"/>
      <c r="HI68" s="293"/>
      <c r="HJ68" s="293"/>
      <c r="HK68" s="293"/>
      <c r="HL68" s="293"/>
      <c r="HM68" s="293"/>
      <c r="HN68" s="293"/>
      <c r="HO68" s="293"/>
      <c r="HP68" s="293"/>
      <c r="HQ68" s="293"/>
      <c r="HR68" s="293"/>
      <c r="HS68" s="293"/>
      <c r="HT68" s="293"/>
      <c r="HU68" s="293"/>
      <c r="HV68" s="293"/>
      <c r="HW68" s="293"/>
      <c r="HX68" s="293"/>
      <c r="HY68" s="293"/>
      <c r="IH68" s="279">
        <f t="shared" si="11"/>
        <v>9.7995870000000002E-3</v>
      </c>
      <c r="II68" s="279">
        <f t="shared" si="12"/>
        <v>0</v>
      </c>
      <c r="IJ68" s="279">
        <f t="shared" si="13"/>
        <v>9.7995870000000002E-3</v>
      </c>
      <c r="IK68" s="279">
        <f t="shared" si="14"/>
        <v>0</v>
      </c>
      <c r="KT68" s="280"/>
    </row>
    <row r="69" spans="1:306" outlineLevel="1">
      <c r="B69" s="96" t="s">
        <v>338</v>
      </c>
      <c r="D69" s="296" t="str">
        <f t="shared" si="15"/>
        <v>BANQUE DE FRANCE</v>
      </c>
      <c r="E69" s="293"/>
      <c r="F69" s="293"/>
      <c r="G69" s="293"/>
      <c r="H69" s="293"/>
      <c r="I69" s="293"/>
      <c r="J69" s="293"/>
      <c r="K69" s="293"/>
      <c r="L69" s="293"/>
      <c r="M69" s="293"/>
      <c r="N69" s="293"/>
      <c r="O69" s="293"/>
      <c r="P69" s="293"/>
      <c r="Q69" s="293"/>
      <c r="R69" s="293"/>
      <c r="S69" s="293"/>
      <c r="T69" s="293"/>
      <c r="U69" s="293"/>
      <c r="V69" s="293"/>
      <c r="W69" s="293"/>
      <c r="X69" s="293"/>
      <c r="Y69" s="293"/>
      <c r="Z69" s="293"/>
      <c r="AA69" s="293"/>
      <c r="AB69" s="293"/>
      <c r="AC69" s="293"/>
      <c r="AD69" s="293"/>
      <c r="AE69" s="293"/>
      <c r="AF69" s="293"/>
      <c r="AG69" s="293"/>
      <c r="AH69" s="293"/>
      <c r="AI69" s="293"/>
      <c r="AJ69" s="293"/>
      <c r="AK69" s="293"/>
      <c r="AL69" s="293"/>
      <c r="AM69" s="293"/>
      <c r="AN69" s="293"/>
      <c r="AO69" s="293">
        <v>0</v>
      </c>
      <c r="AP69" s="293">
        <v>0</v>
      </c>
      <c r="AQ69" s="293">
        <v>0</v>
      </c>
      <c r="AR69" s="293">
        <v>0</v>
      </c>
      <c r="AS69" s="293">
        <v>0</v>
      </c>
      <c r="AT69" s="293">
        <v>0</v>
      </c>
      <c r="AU69" s="293">
        <v>0</v>
      </c>
      <c r="AV69" s="293">
        <v>0</v>
      </c>
      <c r="AW69" s="293">
        <v>0</v>
      </c>
      <c r="AX69" s="293">
        <v>0</v>
      </c>
      <c r="AY69" s="293">
        <v>0</v>
      </c>
      <c r="AZ69" s="293">
        <v>0</v>
      </c>
      <c r="BA69" s="293">
        <v>0</v>
      </c>
      <c r="BB69" s="293">
        <v>0</v>
      </c>
      <c r="BC69" s="293">
        <v>0</v>
      </c>
      <c r="BD69" s="293">
        <v>0</v>
      </c>
      <c r="BE69" s="293">
        <v>0</v>
      </c>
      <c r="BF69" s="293">
        <v>0</v>
      </c>
      <c r="BG69" s="293">
        <v>0</v>
      </c>
      <c r="BH69" s="293">
        <v>0</v>
      </c>
      <c r="BI69" s="293">
        <v>0</v>
      </c>
      <c r="BJ69" s="293">
        <v>0</v>
      </c>
      <c r="BK69" s="293">
        <v>0</v>
      </c>
      <c r="BL69" s="293">
        <v>0</v>
      </c>
      <c r="BM69" s="293">
        <v>0</v>
      </c>
      <c r="BN69" s="293">
        <v>0</v>
      </c>
      <c r="BO69" s="293">
        <v>0</v>
      </c>
      <c r="BP69" s="293">
        <v>0</v>
      </c>
      <c r="BQ69" s="293">
        <v>0</v>
      </c>
      <c r="BR69" s="293">
        <v>0</v>
      </c>
      <c r="BS69" s="293">
        <v>0</v>
      </c>
      <c r="BT69" s="293">
        <v>0</v>
      </c>
      <c r="BU69" s="293">
        <v>0</v>
      </c>
      <c r="BV69" s="293">
        <v>0</v>
      </c>
      <c r="BW69" s="293">
        <v>0</v>
      </c>
      <c r="BX69" s="293">
        <v>0</v>
      </c>
      <c r="BY69" s="293">
        <v>0</v>
      </c>
      <c r="BZ69" s="293">
        <v>0</v>
      </c>
      <c r="CA69" s="293">
        <v>0</v>
      </c>
      <c r="CB69" s="293">
        <v>0</v>
      </c>
      <c r="CC69" s="293">
        <v>0</v>
      </c>
      <c r="CD69" s="293">
        <v>0</v>
      </c>
      <c r="CE69" s="294">
        <v>0</v>
      </c>
      <c r="CF69" s="293">
        <v>0</v>
      </c>
      <c r="CG69" s="293">
        <v>0</v>
      </c>
      <c r="CH69" s="293">
        <v>0</v>
      </c>
      <c r="CI69" s="293">
        <v>0</v>
      </c>
      <c r="CJ69" s="293">
        <v>0</v>
      </c>
      <c r="CK69" s="293">
        <v>0</v>
      </c>
      <c r="CL69" s="293">
        <v>0</v>
      </c>
      <c r="CM69" s="293">
        <v>0</v>
      </c>
      <c r="CN69" s="293">
        <v>0</v>
      </c>
      <c r="CO69" s="293">
        <v>0</v>
      </c>
      <c r="CP69" s="295">
        <v>0</v>
      </c>
      <c r="CQ69" s="293">
        <v>0</v>
      </c>
      <c r="CR69" s="293">
        <v>0</v>
      </c>
      <c r="CS69" s="293">
        <v>0</v>
      </c>
      <c r="CT69" s="293">
        <v>0</v>
      </c>
      <c r="CU69" s="293">
        <v>0</v>
      </c>
      <c r="CV69" s="293">
        <v>0</v>
      </c>
      <c r="CW69" s="293">
        <v>0</v>
      </c>
      <c r="CX69" s="293">
        <v>0</v>
      </c>
      <c r="CY69" s="293">
        <v>0</v>
      </c>
      <c r="CZ69" s="293">
        <v>0</v>
      </c>
      <c r="DA69" s="293">
        <v>0</v>
      </c>
      <c r="DB69" s="1288">
        <v>0</v>
      </c>
      <c r="DC69" s="293">
        <v>0</v>
      </c>
      <c r="DD69" s="293">
        <v>0</v>
      </c>
      <c r="DE69" s="293">
        <v>0</v>
      </c>
      <c r="DF69" s="293">
        <v>0</v>
      </c>
      <c r="DG69" s="293">
        <v>0</v>
      </c>
      <c r="DH69" s="293">
        <v>0</v>
      </c>
      <c r="DI69" s="293">
        <v>0</v>
      </c>
      <c r="DJ69" s="293">
        <v>0</v>
      </c>
      <c r="DK69" s="293">
        <v>0</v>
      </c>
      <c r="DL69" s="293">
        <v>0</v>
      </c>
      <c r="DM69" s="293">
        <v>0</v>
      </c>
      <c r="DN69" s="295">
        <v>0</v>
      </c>
      <c r="DO69" s="293">
        <v>0</v>
      </c>
      <c r="DP69" s="293">
        <v>0</v>
      </c>
      <c r="DQ69" s="293">
        <v>0</v>
      </c>
      <c r="DR69" s="293">
        <v>0</v>
      </c>
      <c r="DS69" s="293">
        <v>0</v>
      </c>
      <c r="DT69" s="293">
        <v>0</v>
      </c>
      <c r="DU69" s="293">
        <v>0</v>
      </c>
      <c r="DV69" s="293">
        <v>0</v>
      </c>
      <c r="DW69" s="293">
        <v>0</v>
      </c>
      <c r="DX69" s="293">
        <v>0</v>
      </c>
      <c r="DY69" s="293">
        <v>0</v>
      </c>
      <c r="DZ69" s="295">
        <v>0</v>
      </c>
      <c r="EA69" s="293">
        <v>0</v>
      </c>
      <c r="EB69" s="293">
        <v>0</v>
      </c>
      <c r="EC69" s="293">
        <v>0</v>
      </c>
      <c r="ED69" s="293">
        <v>0</v>
      </c>
      <c r="EE69" s="293">
        <v>0</v>
      </c>
      <c r="EF69" s="293">
        <v>0</v>
      </c>
      <c r="EG69" s="293">
        <v>0</v>
      </c>
      <c r="EH69" s="293">
        <v>0</v>
      </c>
      <c r="EI69" s="293">
        <v>0</v>
      </c>
      <c r="EJ69" s="293">
        <v>0</v>
      </c>
      <c r="EK69" s="293">
        <v>0</v>
      </c>
      <c r="EL69" s="295">
        <v>0</v>
      </c>
      <c r="EM69" s="1080">
        <v>0</v>
      </c>
      <c r="EN69" s="1080">
        <v>0</v>
      </c>
      <c r="EO69" s="1080">
        <v>0</v>
      </c>
      <c r="EP69" s="1080">
        <v>0</v>
      </c>
      <c r="EQ69" s="1080">
        <v>0</v>
      </c>
      <c r="ER69" s="1080">
        <v>0</v>
      </c>
      <c r="ES69" s="1080">
        <v>0</v>
      </c>
      <c r="ET69" s="1080">
        <v>0</v>
      </c>
      <c r="EU69" s="1080">
        <v>0</v>
      </c>
      <c r="EV69" s="1080">
        <v>0</v>
      </c>
      <c r="EW69" s="1080">
        <v>0</v>
      </c>
      <c r="EX69" s="1340">
        <v>0</v>
      </c>
      <c r="EY69" s="1080"/>
      <c r="EZ69" s="1080"/>
      <c r="FA69" s="1080"/>
      <c r="FB69" s="1080"/>
      <c r="FC69" s="1080"/>
      <c r="FD69" s="1080"/>
      <c r="FE69" s="1080"/>
      <c r="FF69" s="1080"/>
      <c r="FG69" s="1080"/>
      <c r="FH69" s="1080"/>
      <c r="FI69" s="1080"/>
      <c r="FJ69" s="1340"/>
      <c r="FK69" s="1080"/>
      <c r="FL69" s="1080"/>
      <c r="FM69" s="1080"/>
      <c r="FN69" s="1080"/>
      <c r="FO69" s="1080"/>
      <c r="FP69" s="1080"/>
      <c r="FQ69" s="293"/>
      <c r="FR69" s="293"/>
      <c r="FS69" s="293"/>
      <c r="FT69" s="293"/>
      <c r="FU69" s="293"/>
      <c r="FV69" s="293"/>
      <c r="FW69" s="293"/>
      <c r="FX69" s="293"/>
      <c r="FY69" s="293"/>
      <c r="FZ69" s="293"/>
      <c r="GA69" s="293"/>
      <c r="GB69" s="293"/>
      <c r="GC69" s="293"/>
      <c r="GD69" s="293"/>
      <c r="GE69" s="293"/>
      <c r="GF69" s="293"/>
      <c r="GG69" s="293"/>
      <c r="GH69" s="293"/>
      <c r="GI69" s="293"/>
      <c r="GJ69" s="293"/>
      <c r="GK69" s="293"/>
      <c r="GL69" s="293"/>
      <c r="GM69" s="293"/>
      <c r="GN69" s="293"/>
      <c r="GO69" s="293"/>
      <c r="GP69" s="293"/>
      <c r="GQ69" s="293"/>
      <c r="GR69" s="293"/>
      <c r="GS69" s="293"/>
      <c r="GT69" s="293"/>
      <c r="GU69" s="293"/>
      <c r="GV69" s="293"/>
      <c r="GW69" s="293"/>
      <c r="GX69" s="293"/>
      <c r="GY69" s="293"/>
      <c r="GZ69" s="293"/>
      <c r="HA69" s="293"/>
      <c r="HB69" s="293"/>
      <c r="HC69" s="293"/>
      <c r="HD69" s="293"/>
      <c r="HE69" s="293"/>
      <c r="HF69" s="293"/>
      <c r="HG69" s="293"/>
      <c r="HH69" s="293"/>
      <c r="HI69" s="293"/>
      <c r="HJ69" s="293"/>
      <c r="HK69" s="293"/>
      <c r="HL69" s="293"/>
      <c r="HM69" s="293"/>
      <c r="HN69" s="293"/>
      <c r="HO69" s="293"/>
      <c r="HP69" s="293"/>
      <c r="HQ69" s="293"/>
      <c r="HR69" s="293"/>
      <c r="HS69" s="293"/>
      <c r="HT69" s="293"/>
      <c r="HU69" s="293"/>
      <c r="HV69" s="293"/>
      <c r="HW69" s="293"/>
      <c r="HX69" s="293"/>
      <c r="HY69" s="293"/>
      <c r="IH69" s="279">
        <f t="shared" si="11"/>
        <v>0</v>
      </c>
      <c r="II69" s="279">
        <f t="shared" si="12"/>
        <v>0</v>
      </c>
      <c r="IJ69" s="279">
        <f t="shared" si="13"/>
        <v>0</v>
      </c>
      <c r="IK69" s="279">
        <f t="shared" si="14"/>
        <v>0</v>
      </c>
      <c r="KT69" s="280"/>
    </row>
    <row r="70" spans="1:306" outlineLevel="1">
      <c r="B70" s="96" t="s">
        <v>338</v>
      </c>
      <c r="D70" s="296" t="str">
        <f t="shared" si="15"/>
        <v>ABU DHABI</v>
      </c>
      <c r="E70" s="293"/>
      <c r="F70" s="293"/>
      <c r="G70" s="293"/>
      <c r="H70" s="293"/>
      <c r="I70" s="293"/>
      <c r="J70" s="293"/>
      <c r="K70" s="293"/>
      <c r="L70" s="293"/>
      <c r="M70" s="293"/>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v>0</v>
      </c>
      <c r="AP70" s="293">
        <v>0</v>
      </c>
      <c r="AQ70" s="293">
        <v>0</v>
      </c>
      <c r="AR70" s="293">
        <v>0</v>
      </c>
      <c r="AS70" s="293">
        <v>0</v>
      </c>
      <c r="AT70" s="293">
        <v>0</v>
      </c>
      <c r="AU70" s="293">
        <v>0</v>
      </c>
      <c r="AV70" s="293">
        <v>0</v>
      </c>
      <c r="AW70" s="293">
        <v>0</v>
      </c>
      <c r="AX70" s="293">
        <v>0</v>
      </c>
      <c r="AY70" s="293">
        <v>0</v>
      </c>
      <c r="AZ70" s="293">
        <v>0</v>
      </c>
      <c r="BA70" s="293">
        <v>0</v>
      </c>
      <c r="BB70" s="293">
        <v>0</v>
      </c>
      <c r="BC70" s="293">
        <v>0</v>
      </c>
      <c r="BD70" s="293">
        <v>0</v>
      </c>
      <c r="BE70" s="293">
        <v>0</v>
      </c>
      <c r="BF70" s="293">
        <v>0</v>
      </c>
      <c r="BG70" s="293">
        <v>0</v>
      </c>
      <c r="BH70" s="293">
        <v>0</v>
      </c>
      <c r="BI70" s="293">
        <v>0</v>
      </c>
      <c r="BJ70" s="293">
        <v>0</v>
      </c>
      <c r="BK70" s="293">
        <v>0</v>
      </c>
      <c r="BL70" s="293">
        <v>0</v>
      </c>
      <c r="BM70" s="293">
        <v>0</v>
      </c>
      <c r="BN70" s="293">
        <v>8.112442628700001E-3</v>
      </c>
      <c r="BO70" s="293">
        <v>0</v>
      </c>
      <c r="BP70" s="293">
        <v>0</v>
      </c>
      <c r="BQ70" s="293">
        <v>0</v>
      </c>
      <c r="BR70" s="293">
        <v>0</v>
      </c>
      <c r="BS70" s="293">
        <v>0</v>
      </c>
      <c r="BT70" s="293">
        <v>0</v>
      </c>
      <c r="BU70" s="293">
        <v>8.3379960000000003E-3</v>
      </c>
      <c r="BV70" s="293">
        <v>0</v>
      </c>
      <c r="BW70" s="293">
        <v>0</v>
      </c>
      <c r="BX70" s="293">
        <v>0</v>
      </c>
      <c r="BY70" s="293">
        <v>0</v>
      </c>
      <c r="BZ70" s="293">
        <v>0</v>
      </c>
      <c r="CA70" s="293">
        <v>0</v>
      </c>
      <c r="CB70" s="293">
        <v>8.5545459999999997E-3</v>
      </c>
      <c r="CC70" s="293">
        <v>0</v>
      </c>
      <c r="CD70" s="293">
        <v>0</v>
      </c>
      <c r="CE70" s="294">
        <v>0</v>
      </c>
      <c r="CF70" s="293">
        <v>0</v>
      </c>
      <c r="CG70" s="293">
        <v>8.7225636632128813E-3</v>
      </c>
      <c r="CH70" s="293">
        <v>0</v>
      </c>
      <c r="CI70" s="293">
        <v>0</v>
      </c>
      <c r="CJ70" s="293">
        <v>0</v>
      </c>
      <c r="CK70" s="293">
        <v>0</v>
      </c>
      <c r="CL70" s="293">
        <v>0</v>
      </c>
      <c r="CM70" s="293">
        <v>0</v>
      </c>
      <c r="CN70" s="293">
        <v>8.9700200628400704E-3</v>
      </c>
      <c r="CO70" s="293">
        <v>0</v>
      </c>
      <c r="CP70" s="295">
        <v>0</v>
      </c>
      <c r="CQ70" s="293">
        <v>0</v>
      </c>
      <c r="CR70" s="293">
        <v>0</v>
      </c>
      <c r="CS70" s="293">
        <v>0</v>
      </c>
      <c r="CT70" s="293">
        <v>9.4333696948971594E-3</v>
      </c>
      <c r="CU70" s="293">
        <v>0</v>
      </c>
      <c r="CV70" s="293">
        <v>0</v>
      </c>
      <c r="CW70" s="293">
        <v>0</v>
      </c>
      <c r="CX70" s="293">
        <v>0</v>
      </c>
      <c r="CY70" s="293">
        <v>0</v>
      </c>
      <c r="CZ70" s="293">
        <v>9.500493986890601E-3</v>
      </c>
      <c r="DA70" s="293">
        <v>0</v>
      </c>
      <c r="DB70" s="1288">
        <v>0</v>
      </c>
      <c r="DC70" s="293">
        <v>0</v>
      </c>
      <c r="DD70" s="293">
        <v>0</v>
      </c>
      <c r="DE70" s="293">
        <v>0</v>
      </c>
      <c r="DF70" s="293">
        <v>0</v>
      </c>
      <c r="DG70" s="293">
        <v>0</v>
      </c>
      <c r="DH70" s="293">
        <v>0</v>
      </c>
      <c r="DI70" s="293">
        <v>0</v>
      </c>
      <c r="DJ70" s="293">
        <v>0</v>
      </c>
      <c r="DK70" s="293">
        <v>1.0304919404017E-2</v>
      </c>
      <c r="DL70" s="293">
        <v>0</v>
      </c>
      <c r="DM70" s="293">
        <v>0</v>
      </c>
      <c r="DN70" s="295">
        <v>0</v>
      </c>
      <c r="DO70" s="293">
        <v>0</v>
      </c>
      <c r="DP70" s="293">
        <v>0</v>
      </c>
      <c r="DQ70" s="293">
        <v>1.0868849019250245E-2</v>
      </c>
      <c r="DR70" s="293">
        <v>0</v>
      </c>
      <c r="DS70" s="293">
        <v>0</v>
      </c>
      <c r="DT70" s="293">
        <v>0</v>
      </c>
      <c r="DU70" s="293">
        <v>0</v>
      </c>
      <c r="DV70" s="293">
        <v>0</v>
      </c>
      <c r="DW70" s="293">
        <v>1.0120186886617238E-2</v>
      </c>
      <c r="DX70" s="293">
        <v>0</v>
      </c>
      <c r="DY70" s="293">
        <v>0</v>
      </c>
      <c r="DZ70" s="295">
        <v>0</v>
      </c>
      <c r="EA70" s="293">
        <v>0</v>
      </c>
      <c r="EB70" s="293">
        <v>0</v>
      </c>
      <c r="EC70" s="293">
        <v>1.0811735037240738E-2</v>
      </c>
      <c r="ED70" s="293">
        <v>0</v>
      </c>
      <c r="EE70" s="293">
        <v>0</v>
      </c>
      <c r="EF70" s="293">
        <v>0</v>
      </c>
      <c r="EG70" s="293">
        <v>0</v>
      </c>
      <c r="EH70" s="293">
        <v>0</v>
      </c>
      <c r="EI70" s="293">
        <v>0</v>
      </c>
      <c r="EJ70" s="293">
        <v>0</v>
      </c>
      <c r="EK70" s="293">
        <v>1.0811104583434043E-2</v>
      </c>
      <c r="EL70" s="295">
        <v>0</v>
      </c>
      <c r="EM70" s="1080">
        <v>0</v>
      </c>
      <c r="EN70" s="1080">
        <v>0</v>
      </c>
      <c r="EO70" s="1080">
        <v>1.0793067723123301E-2</v>
      </c>
      <c r="EP70" s="1080">
        <v>0</v>
      </c>
      <c r="EQ70" s="1080">
        <v>0</v>
      </c>
      <c r="ER70" s="1080">
        <v>0</v>
      </c>
      <c r="ES70" s="1080">
        <v>0</v>
      </c>
      <c r="ET70" s="1080">
        <v>0</v>
      </c>
      <c r="EU70" s="1080">
        <v>1.0757472066521239E-2</v>
      </c>
      <c r="EV70" s="1080">
        <v>0</v>
      </c>
      <c r="EW70" s="1080">
        <v>0</v>
      </c>
      <c r="EX70" s="1340">
        <v>0</v>
      </c>
      <c r="EY70" s="1080"/>
      <c r="EZ70" s="1080"/>
      <c r="FA70" s="1080"/>
      <c r="FB70" s="1080"/>
      <c r="FC70" s="1080"/>
      <c r="FD70" s="1080"/>
      <c r="FE70" s="1080"/>
      <c r="FF70" s="1080"/>
      <c r="FG70" s="1080"/>
      <c r="FH70" s="1080"/>
      <c r="FI70" s="1080"/>
      <c r="FJ70" s="1340"/>
      <c r="FK70" s="1080"/>
      <c r="FL70" s="1080"/>
      <c r="FM70" s="1080"/>
      <c r="FN70" s="1080"/>
      <c r="FO70" s="1080"/>
      <c r="FP70" s="1080"/>
      <c r="FQ70" s="293"/>
      <c r="FR70" s="293"/>
      <c r="FS70" s="293"/>
      <c r="FT70" s="293"/>
      <c r="FU70" s="293"/>
      <c r="FV70" s="293"/>
      <c r="FW70" s="293"/>
      <c r="FX70" s="293"/>
      <c r="FY70" s="293"/>
      <c r="FZ70" s="293"/>
      <c r="GA70" s="293"/>
      <c r="GB70" s="293"/>
      <c r="GC70" s="293"/>
      <c r="GD70" s="293"/>
      <c r="GE70" s="293"/>
      <c r="GF70" s="293"/>
      <c r="GG70" s="293"/>
      <c r="GH70" s="293"/>
      <c r="GI70" s="293"/>
      <c r="GJ70" s="293"/>
      <c r="GK70" s="293"/>
      <c r="GL70" s="293"/>
      <c r="GM70" s="293"/>
      <c r="GN70" s="293"/>
      <c r="GO70" s="293"/>
      <c r="GP70" s="293"/>
      <c r="GQ70" s="293"/>
      <c r="GR70" s="293"/>
      <c r="GS70" s="293"/>
      <c r="GT70" s="293"/>
      <c r="GU70" s="293"/>
      <c r="GV70" s="293"/>
      <c r="GW70" s="293"/>
      <c r="GX70" s="293"/>
      <c r="GY70" s="293"/>
      <c r="GZ70" s="293"/>
      <c r="HA70" s="293"/>
      <c r="HB70" s="293"/>
      <c r="HC70" s="293"/>
      <c r="HD70" s="293"/>
      <c r="HE70" s="293"/>
      <c r="HF70" s="293"/>
      <c r="HG70" s="293"/>
      <c r="HH70" s="293"/>
      <c r="HI70" s="293"/>
      <c r="HJ70" s="293"/>
      <c r="HK70" s="293"/>
      <c r="HL70" s="293"/>
      <c r="HM70" s="293"/>
      <c r="HN70" s="293"/>
      <c r="HO70" s="293"/>
      <c r="HP70" s="293"/>
      <c r="HQ70" s="293"/>
      <c r="HR70" s="293"/>
      <c r="HS70" s="293"/>
      <c r="HT70" s="293"/>
      <c r="HU70" s="293"/>
      <c r="HV70" s="293"/>
      <c r="HW70" s="293"/>
      <c r="HX70" s="293"/>
      <c r="HY70" s="293"/>
      <c r="IH70" s="279">
        <f t="shared" si="11"/>
        <v>0</v>
      </c>
      <c r="II70" s="279">
        <f t="shared" si="12"/>
        <v>1.0304919404017E-2</v>
      </c>
      <c r="IJ70" s="279">
        <f t="shared" si="13"/>
        <v>1.0304919404017E-2</v>
      </c>
      <c r="IK70" s="279">
        <f t="shared" si="14"/>
        <v>1.0868849019250245E-2</v>
      </c>
      <c r="KT70" s="280"/>
    </row>
    <row r="71" spans="1:306" outlineLevel="1">
      <c r="B71" s="96" t="s">
        <v>338</v>
      </c>
      <c r="D71" s="296" t="str">
        <f t="shared" si="15"/>
        <v>EURO-BONDS</v>
      </c>
      <c r="E71" s="293"/>
      <c r="F71" s="293"/>
      <c r="G71" s="293"/>
      <c r="H71" s="293"/>
      <c r="I71" s="293"/>
      <c r="J71" s="293"/>
      <c r="K71" s="293"/>
      <c r="L71" s="293"/>
      <c r="M71" s="293"/>
      <c r="N71" s="293"/>
      <c r="O71" s="293"/>
      <c r="P71" s="293"/>
      <c r="Q71" s="293"/>
      <c r="R71" s="293"/>
      <c r="S71" s="293"/>
      <c r="T71" s="293"/>
      <c r="U71" s="293"/>
      <c r="V71" s="293"/>
      <c r="W71" s="293"/>
      <c r="X71" s="293"/>
      <c r="Y71" s="293"/>
      <c r="Z71" s="293"/>
      <c r="AA71" s="293"/>
      <c r="AB71" s="293"/>
      <c r="AC71" s="293"/>
      <c r="AD71" s="293"/>
      <c r="AE71" s="293"/>
      <c r="AF71" s="293"/>
      <c r="AG71" s="293"/>
      <c r="AH71" s="293"/>
      <c r="AI71" s="293"/>
      <c r="AJ71" s="293"/>
      <c r="AK71" s="293"/>
      <c r="AL71" s="293"/>
      <c r="AM71" s="293"/>
      <c r="AN71" s="293"/>
      <c r="AO71" s="293">
        <v>0</v>
      </c>
      <c r="AP71" s="293">
        <v>0</v>
      </c>
      <c r="AQ71" s="293">
        <v>0</v>
      </c>
      <c r="AR71" s="293">
        <v>0</v>
      </c>
      <c r="AS71" s="293">
        <v>0</v>
      </c>
      <c r="AT71" s="293">
        <v>0</v>
      </c>
      <c r="AU71" s="293">
        <v>0</v>
      </c>
      <c r="AV71" s="293">
        <v>0</v>
      </c>
      <c r="AW71" s="293">
        <v>0</v>
      </c>
      <c r="AX71" s="293">
        <v>0</v>
      </c>
      <c r="AY71" s="293">
        <v>0</v>
      </c>
      <c r="AZ71" s="293">
        <v>0</v>
      </c>
      <c r="BA71" s="293">
        <v>0</v>
      </c>
      <c r="BB71" s="293">
        <v>0</v>
      </c>
      <c r="BC71" s="293">
        <v>0</v>
      </c>
      <c r="BD71" s="293">
        <v>0</v>
      </c>
      <c r="BE71" s="293">
        <v>0</v>
      </c>
      <c r="BF71" s="293">
        <v>0</v>
      </c>
      <c r="BG71" s="293">
        <v>0</v>
      </c>
      <c r="BH71" s="293">
        <v>0</v>
      </c>
      <c r="BI71" s="293">
        <v>0</v>
      </c>
      <c r="BJ71" s="293">
        <v>0</v>
      </c>
      <c r="BK71" s="293">
        <v>0</v>
      </c>
      <c r="BL71" s="293">
        <v>0</v>
      </c>
      <c r="BM71" s="293">
        <v>0</v>
      </c>
      <c r="BN71" s="293">
        <v>0</v>
      </c>
      <c r="BO71" s="293">
        <v>0</v>
      </c>
      <c r="BP71" s="293">
        <v>0</v>
      </c>
      <c r="BQ71" s="293">
        <v>0</v>
      </c>
      <c r="BR71" s="293">
        <v>0</v>
      </c>
      <c r="BS71" s="293">
        <v>0</v>
      </c>
      <c r="BT71" s="293">
        <v>0</v>
      </c>
      <c r="BU71" s="293">
        <v>0</v>
      </c>
      <c r="BV71" s="293">
        <v>0</v>
      </c>
      <c r="BW71" s="293">
        <v>0</v>
      </c>
      <c r="BX71" s="293">
        <v>0</v>
      </c>
      <c r="BY71" s="293">
        <v>0</v>
      </c>
      <c r="BZ71" s="293">
        <v>0</v>
      </c>
      <c r="CA71" s="293">
        <v>0</v>
      </c>
      <c r="CB71" s="293">
        <v>0</v>
      </c>
      <c r="CC71" s="293">
        <v>0.38649003840000001</v>
      </c>
      <c r="CD71" s="293">
        <v>0</v>
      </c>
      <c r="CE71" s="294">
        <v>0</v>
      </c>
      <c r="CF71" s="293">
        <v>0</v>
      </c>
      <c r="CG71" s="293">
        <v>0</v>
      </c>
      <c r="CH71" s="293">
        <v>8.8485228197500003</v>
      </c>
      <c r="CI71" s="293">
        <v>0</v>
      </c>
      <c r="CJ71" s="293">
        <v>0</v>
      </c>
      <c r="CK71" s="293">
        <v>0</v>
      </c>
      <c r="CL71" s="293">
        <v>0</v>
      </c>
      <c r="CM71" s="293">
        <v>0</v>
      </c>
      <c r="CN71" s="293">
        <v>9.0879809404999996</v>
      </c>
      <c r="CO71" s="293">
        <v>0</v>
      </c>
      <c r="CP71" s="295">
        <v>0</v>
      </c>
      <c r="CQ71" s="293">
        <v>0</v>
      </c>
      <c r="CR71" s="293">
        <v>0</v>
      </c>
      <c r="CS71" s="293">
        <v>0</v>
      </c>
      <c r="CT71" s="293">
        <v>9.2271248084999993</v>
      </c>
      <c r="CU71" s="293">
        <v>0</v>
      </c>
      <c r="CV71" s="293">
        <v>0</v>
      </c>
      <c r="CW71" s="293">
        <v>0</v>
      </c>
      <c r="CX71" s="293">
        <v>0</v>
      </c>
      <c r="CY71" s="293">
        <v>0</v>
      </c>
      <c r="CZ71" s="293">
        <v>9.5079388690000002</v>
      </c>
      <c r="DA71" s="293">
        <v>0</v>
      </c>
      <c r="DB71" s="1288">
        <v>0</v>
      </c>
      <c r="DC71" s="293">
        <v>0</v>
      </c>
      <c r="DD71" s="293">
        <v>0</v>
      </c>
      <c r="DE71" s="293">
        <v>0</v>
      </c>
      <c r="DF71" s="293">
        <v>9.8369785430000007</v>
      </c>
      <c r="DG71" s="293">
        <v>0</v>
      </c>
      <c r="DH71" s="293">
        <v>0</v>
      </c>
      <c r="DI71" s="293">
        <v>0</v>
      </c>
      <c r="DJ71" s="293">
        <v>0</v>
      </c>
      <c r="DK71" s="293">
        <v>0</v>
      </c>
      <c r="DL71" s="293">
        <v>10.3495371315</v>
      </c>
      <c r="DM71" s="293">
        <v>0</v>
      </c>
      <c r="DN71" s="295">
        <v>0</v>
      </c>
      <c r="DO71" s="293">
        <v>0</v>
      </c>
      <c r="DP71" s="293">
        <v>0</v>
      </c>
      <c r="DQ71" s="293">
        <v>0</v>
      </c>
      <c r="DR71" s="293">
        <v>10.886030837250001</v>
      </c>
      <c r="DS71" s="293">
        <v>0</v>
      </c>
      <c r="DT71" s="293">
        <v>0</v>
      </c>
      <c r="DU71" s="293">
        <v>0</v>
      </c>
      <c r="DV71" s="293">
        <v>0</v>
      </c>
      <c r="DW71" s="293">
        <v>0</v>
      </c>
      <c r="DX71" s="293">
        <v>11.069082250499999</v>
      </c>
      <c r="DY71" s="293">
        <v>0</v>
      </c>
      <c r="DZ71" s="295">
        <v>0</v>
      </c>
      <c r="EA71" s="293">
        <v>0</v>
      </c>
      <c r="EB71" s="293">
        <v>0</v>
      </c>
      <c r="EC71" s="293">
        <v>0</v>
      </c>
      <c r="ED71" s="293">
        <v>11.2433982435</v>
      </c>
      <c r="EE71" s="293">
        <v>0</v>
      </c>
      <c r="EF71" s="293">
        <v>0</v>
      </c>
      <c r="EG71" s="293">
        <v>0</v>
      </c>
      <c r="EH71" s="293">
        <v>0</v>
      </c>
      <c r="EI71" s="293">
        <v>0</v>
      </c>
      <c r="EJ71" s="293">
        <v>11.43816967925</v>
      </c>
      <c r="EK71" s="293">
        <v>0</v>
      </c>
      <c r="EL71" s="295">
        <v>0</v>
      </c>
      <c r="EM71" s="1080">
        <v>0</v>
      </c>
      <c r="EN71" s="1080">
        <v>0</v>
      </c>
      <c r="EO71" s="1080">
        <v>0</v>
      </c>
      <c r="EP71" s="1080">
        <v>11.684674574000001</v>
      </c>
      <c r="EQ71" s="1080">
        <v>0</v>
      </c>
      <c r="ER71" s="1080">
        <v>0</v>
      </c>
      <c r="ES71" s="1080">
        <v>0</v>
      </c>
      <c r="ET71" s="1080">
        <v>0</v>
      </c>
      <c r="EU71" s="1080">
        <v>0</v>
      </c>
      <c r="EV71" s="1080">
        <v>11.93172017475</v>
      </c>
      <c r="EW71" s="1080">
        <v>0</v>
      </c>
      <c r="EX71" s="1340">
        <v>0</v>
      </c>
      <c r="EY71" s="1080"/>
      <c r="EZ71" s="1080"/>
      <c r="FA71" s="1080"/>
      <c r="FB71" s="1080"/>
      <c r="FC71" s="1080"/>
      <c r="FD71" s="1080"/>
      <c r="FE71" s="1080"/>
      <c r="FF71" s="1080"/>
      <c r="FG71" s="1080"/>
      <c r="FH71" s="1080"/>
      <c r="FI71" s="1080"/>
      <c r="FJ71" s="1340"/>
      <c r="FK71" s="1080"/>
      <c r="FL71" s="1080"/>
      <c r="FM71" s="1080"/>
      <c r="FN71" s="1080"/>
      <c r="FO71" s="1080"/>
      <c r="FP71" s="1080"/>
      <c r="FQ71" s="293"/>
      <c r="FR71" s="293"/>
      <c r="FS71" s="293"/>
      <c r="FT71" s="293"/>
      <c r="FU71" s="293"/>
      <c r="FV71" s="293"/>
      <c r="FW71" s="293"/>
      <c r="FX71" s="293"/>
      <c r="FY71" s="293"/>
      <c r="FZ71" s="293"/>
      <c r="GA71" s="293"/>
      <c r="GB71" s="293"/>
      <c r="GC71" s="293"/>
      <c r="GD71" s="293"/>
      <c r="GE71" s="293"/>
      <c r="GF71" s="293"/>
      <c r="GG71" s="293"/>
      <c r="GH71" s="293"/>
      <c r="GI71" s="293"/>
      <c r="GJ71" s="293"/>
      <c r="GK71" s="293"/>
      <c r="GL71" s="293"/>
      <c r="GM71" s="293"/>
      <c r="GN71" s="293"/>
      <c r="GO71" s="293"/>
      <c r="GP71" s="293"/>
      <c r="GQ71" s="293"/>
      <c r="GR71" s="293"/>
      <c r="GS71" s="293"/>
      <c r="GT71" s="293"/>
      <c r="GU71" s="293"/>
      <c r="GV71" s="293"/>
      <c r="GW71" s="293"/>
      <c r="GX71" s="293"/>
      <c r="GY71" s="293"/>
      <c r="GZ71" s="293"/>
      <c r="HA71" s="293"/>
      <c r="HB71" s="293"/>
      <c r="HC71" s="293"/>
      <c r="HD71" s="293"/>
      <c r="HE71" s="293"/>
      <c r="HF71" s="293"/>
      <c r="HG71" s="293"/>
      <c r="HH71" s="293"/>
      <c r="HI71" s="293"/>
      <c r="HJ71" s="293"/>
      <c r="HK71" s="293"/>
      <c r="HL71" s="293"/>
      <c r="HM71" s="293"/>
      <c r="HN71" s="293"/>
      <c r="HO71" s="293"/>
      <c r="HP71" s="293"/>
      <c r="HQ71" s="293"/>
      <c r="HR71" s="293"/>
      <c r="HS71" s="293"/>
      <c r="HT71" s="293"/>
      <c r="HU71" s="293"/>
      <c r="HV71" s="293"/>
      <c r="HW71" s="293"/>
      <c r="HX71" s="293"/>
      <c r="HY71" s="293"/>
      <c r="IH71" s="279">
        <f t="shared" si="11"/>
        <v>9.8369785430000007</v>
      </c>
      <c r="II71" s="279">
        <f t="shared" si="12"/>
        <v>10.3495371315</v>
      </c>
      <c r="IJ71" s="279">
        <f t="shared" si="13"/>
        <v>20.186515674500001</v>
      </c>
      <c r="IK71" s="279">
        <f t="shared" si="14"/>
        <v>10.886030837250001</v>
      </c>
      <c r="KT71" s="280"/>
    </row>
    <row r="72" spans="1:306" outlineLevel="1">
      <c r="A72" s="96" t="s">
        <v>337</v>
      </c>
      <c r="B72" s="96" t="s">
        <v>338</v>
      </c>
      <c r="D72" s="299" t="s">
        <v>937</v>
      </c>
      <c r="E72" s="293"/>
      <c r="F72" s="293"/>
      <c r="G72" s="293"/>
      <c r="H72" s="293"/>
      <c r="I72" s="293"/>
      <c r="J72" s="293"/>
      <c r="K72" s="293"/>
      <c r="L72" s="293"/>
      <c r="M72" s="293"/>
      <c r="N72" s="293"/>
      <c r="O72" s="293"/>
      <c r="P72" s="293"/>
      <c r="Q72" s="293"/>
      <c r="R72" s="293"/>
      <c r="S72" s="293"/>
      <c r="T72" s="293"/>
      <c r="U72" s="293"/>
      <c r="V72" s="293"/>
      <c r="W72" s="293"/>
      <c r="X72" s="293"/>
      <c r="Y72" s="293"/>
      <c r="Z72" s="293"/>
      <c r="AA72" s="293"/>
      <c r="AB72" s="293"/>
      <c r="AC72" s="293"/>
      <c r="AD72" s="293"/>
      <c r="AE72" s="293"/>
      <c r="AF72" s="293"/>
      <c r="AG72" s="293"/>
      <c r="AH72" s="293"/>
      <c r="AI72" s="293"/>
      <c r="AJ72" s="293"/>
      <c r="AK72" s="293"/>
      <c r="AL72" s="293"/>
      <c r="AM72" s="293"/>
      <c r="AN72" s="293"/>
      <c r="AO72" s="293">
        <v>0.34454856747910001</v>
      </c>
      <c r="AP72" s="293">
        <v>5.1672790119899996E-2</v>
      </c>
      <c r="AQ72" s="293">
        <v>0.17333693949860002</v>
      </c>
      <c r="AR72" s="293">
        <v>4.9883874655699996E-2</v>
      </c>
      <c r="AS72" s="293">
        <v>0.19558843128515999</v>
      </c>
      <c r="AT72" s="293">
        <v>0.55611020344189988</v>
      </c>
      <c r="AU72" s="293">
        <v>0.51199770828600011</v>
      </c>
      <c r="AV72" s="293">
        <v>5.0179774034099997E-2</v>
      </c>
      <c r="AW72" s="293">
        <v>0.1709821835981</v>
      </c>
      <c r="AX72" s="293">
        <v>5.6368460270699999E-2</v>
      </c>
      <c r="AY72" s="293">
        <v>0.21129060837058999</v>
      </c>
      <c r="AZ72" s="293">
        <v>0.28892938036279997</v>
      </c>
      <c r="BA72" s="293">
        <v>0.53132350242689996</v>
      </c>
      <c r="BB72" s="293">
        <v>5.3890061039199993E-2</v>
      </c>
      <c r="BC72" s="293">
        <v>0.18517104209730001</v>
      </c>
      <c r="BD72" s="293">
        <v>6.8434278758399997E-2</v>
      </c>
      <c r="BE72" s="293">
        <v>0.21837852323089998</v>
      </c>
      <c r="BF72" s="293">
        <v>0.31008003899570002</v>
      </c>
      <c r="BG72" s="293">
        <v>0.55358225721940002</v>
      </c>
      <c r="BH72" s="293">
        <v>5.66319508533E-2</v>
      </c>
      <c r="BI72" s="293">
        <v>0.18861053908190001</v>
      </c>
      <c r="BJ72" s="293">
        <v>6.1729154909499998E-2</v>
      </c>
      <c r="BK72" s="293">
        <v>0.21212963811549998</v>
      </c>
      <c r="BL72" s="293">
        <v>0.29145023480499999</v>
      </c>
      <c r="BM72" s="293">
        <v>0.53834018380949999</v>
      </c>
      <c r="BN72" s="293">
        <v>5.3183100997800006E-2</v>
      </c>
      <c r="BO72" s="293">
        <v>0.31616247023280003</v>
      </c>
      <c r="BP72" s="293">
        <v>6.2301005349600001E-2</v>
      </c>
      <c r="BQ72" s="293">
        <v>0.21004042558790001</v>
      </c>
      <c r="BR72" s="293">
        <v>0.29110400593059998</v>
      </c>
      <c r="BS72" s="293">
        <v>0.53461562938820006</v>
      </c>
      <c r="BT72" s="293">
        <v>5.0452946215300006E-2</v>
      </c>
      <c r="BU72" s="293">
        <v>0.31690115906979999</v>
      </c>
      <c r="BV72" s="293">
        <v>6.3853563878400008E-2</v>
      </c>
      <c r="BW72" s="293">
        <v>0.21505313479810001</v>
      </c>
      <c r="BX72" s="293">
        <v>0.30929053797080003</v>
      </c>
      <c r="BY72" s="293">
        <v>0.55494742218001369</v>
      </c>
      <c r="BZ72" s="293">
        <v>5.6121491385470512E-2</v>
      </c>
      <c r="CA72" s="293">
        <v>0.32016468073416426</v>
      </c>
      <c r="CB72" s="293">
        <v>0.25929433510175287</v>
      </c>
      <c r="CC72" s="293">
        <v>0.21340160719269333</v>
      </c>
      <c r="CD72" s="606">
        <v>0.31486686898567862</v>
      </c>
      <c r="CE72" s="294">
        <v>0.4243093351990731</v>
      </c>
      <c r="CF72" s="293">
        <v>5.7524507378030415E-2</v>
      </c>
      <c r="CG72" s="293">
        <v>0.33209324792345918</v>
      </c>
      <c r="CH72" s="293">
        <v>0.27353477476423205</v>
      </c>
      <c r="CI72" s="293">
        <v>0.22631755714756574</v>
      </c>
      <c r="CJ72" s="293">
        <v>0.32892628320898754</v>
      </c>
      <c r="CK72" s="293">
        <v>0.4505358125808413</v>
      </c>
      <c r="CL72" s="293">
        <v>6.1572929790496084E-2</v>
      </c>
      <c r="CM72" s="293">
        <v>0.3515643368251512</v>
      </c>
      <c r="CN72" s="293">
        <v>0.28223484554143358</v>
      </c>
      <c r="CO72" s="293">
        <v>0.2361154694379779</v>
      </c>
      <c r="CP72" s="295">
        <v>0.48916696835697349</v>
      </c>
      <c r="CQ72" s="293">
        <v>0.46562440132575261</v>
      </c>
      <c r="CR72" s="293">
        <v>6.1004475483840262E-2</v>
      </c>
      <c r="CS72" s="293">
        <v>0.34603473793133477</v>
      </c>
      <c r="CT72" s="293">
        <v>0.27615995953163225</v>
      </c>
      <c r="CU72" s="293">
        <v>0.22555543807461945</v>
      </c>
      <c r="CV72" s="293">
        <v>0.5034504982411927</v>
      </c>
      <c r="CW72" s="293">
        <v>0.36886337475031195</v>
      </c>
      <c r="CX72" s="293">
        <v>5.3526167373176385E-2</v>
      </c>
      <c r="CY72" s="293">
        <v>0.26251997515706194</v>
      </c>
      <c r="CZ72" s="293">
        <v>0.262606922870877</v>
      </c>
      <c r="DA72" s="293">
        <v>0.22074704897784325</v>
      </c>
      <c r="DB72" s="1288">
        <v>0.48851233824953116</v>
      </c>
      <c r="DC72" s="606">
        <v>0.442201067</v>
      </c>
      <c r="DD72" s="606">
        <v>5.3707193E-2</v>
      </c>
      <c r="DE72" s="606">
        <v>0.33606321900000002</v>
      </c>
      <c r="DF72" s="606">
        <v>0.27488678799999999</v>
      </c>
      <c r="DG72" s="606">
        <v>0.2218889</v>
      </c>
      <c r="DH72" s="606">
        <v>0.49873335000000002</v>
      </c>
      <c r="DI72" s="606">
        <v>0.45384504142463566</v>
      </c>
      <c r="DJ72" s="606">
        <v>5.6877185162579232E-2</v>
      </c>
      <c r="DK72" s="606">
        <v>0.34657287472925635</v>
      </c>
      <c r="DL72" s="606">
        <v>0.28939252210120953</v>
      </c>
      <c r="DM72" s="606">
        <v>0.23876751243749914</v>
      </c>
      <c r="DN72" s="622">
        <v>0.52910199255065293</v>
      </c>
      <c r="DO72" s="606">
        <v>0.4747872742321062</v>
      </c>
      <c r="DP72" s="606">
        <v>5.9377881088519657E-2</v>
      </c>
      <c r="DQ72" s="606">
        <v>0.36889618367652649</v>
      </c>
      <c r="DR72" s="606">
        <v>0.3018041686636207</v>
      </c>
      <c r="DS72" s="606">
        <v>0.24040406291294691</v>
      </c>
      <c r="DT72" s="606">
        <v>0.52561699333981082</v>
      </c>
      <c r="DU72" s="606">
        <v>5.179773115333379E-2</v>
      </c>
      <c r="DV72" s="606">
        <v>5.8007764595570457E-2</v>
      </c>
      <c r="DW72" s="606">
        <v>8.4942784145587202E-2</v>
      </c>
      <c r="DX72" s="606">
        <v>2.07037697164686E-2</v>
      </c>
      <c r="DY72" s="606">
        <v>4.4983689553372501E-2</v>
      </c>
      <c r="DZ72" s="622">
        <v>0.19766063222458516</v>
      </c>
      <c r="EA72" s="606">
        <v>1.0057027E-2</v>
      </c>
      <c r="EB72" s="606">
        <v>6.5659626999999998E-2</v>
      </c>
      <c r="EC72" s="606">
        <v>9.6264800999999997E-2</v>
      </c>
      <c r="ED72" s="606">
        <v>2.2951954624467783E-2</v>
      </c>
      <c r="EE72" s="606">
        <v>4.8874336594010193E-2</v>
      </c>
      <c r="EF72" s="606">
        <v>0.20968043639447664</v>
      </c>
      <c r="EG72" s="606">
        <v>1.0672567326581978E-2</v>
      </c>
      <c r="EH72" s="606">
        <v>7.0631278071610154E-2</v>
      </c>
      <c r="EI72" s="606">
        <v>0.10086442279462024</v>
      </c>
      <c r="EJ72" s="606">
        <v>2.4676094027823697E-2</v>
      </c>
      <c r="EK72" s="606">
        <v>5.0993692085567657E-2</v>
      </c>
      <c r="EL72" s="622">
        <v>0.21490561138793615</v>
      </c>
      <c r="EM72" s="1083">
        <v>1.0594670256373279E-2</v>
      </c>
      <c r="EN72" s="1083">
        <v>6.5730210332226424E-2</v>
      </c>
      <c r="EO72" s="1083">
        <v>9.8563909765256322E-2</v>
      </c>
      <c r="EP72" s="1083">
        <v>2.364907381854027E-2</v>
      </c>
      <c r="EQ72" s="1083">
        <v>0</v>
      </c>
      <c r="ER72" s="1083">
        <v>0.21201068328231987</v>
      </c>
      <c r="ES72" s="1083">
        <v>1.0648808655175259E-2</v>
      </c>
      <c r="ET72" s="1083">
        <v>6.6596087007049165E-2</v>
      </c>
      <c r="EU72" s="1083">
        <v>9.7848614553610838E-2</v>
      </c>
      <c r="EV72" s="1083">
        <v>2.3566648099409237E-2</v>
      </c>
      <c r="EW72" s="1083">
        <v>0</v>
      </c>
      <c r="EX72" s="1329">
        <v>0.21532801592438158</v>
      </c>
      <c r="EY72" s="1083"/>
      <c r="EZ72" s="1083"/>
      <c r="FA72" s="1083"/>
      <c r="FB72" s="1083"/>
      <c r="FC72" s="1083"/>
      <c r="FD72" s="1083"/>
      <c r="FE72" s="1083"/>
      <c r="FF72" s="1083"/>
      <c r="FG72" s="1083"/>
      <c r="FH72" s="1083"/>
      <c r="FI72" s="1083"/>
      <c r="FJ72" s="1329"/>
      <c r="FK72" s="1083"/>
      <c r="FL72" s="1083"/>
      <c r="FM72" s="1083"/>
      <c r="FN72" s="1083"/>
      <c r="FO72" s="1083"/>
      <c r="FP72" s="1083"/>
      <c r="FQ72" s="606"/>
      <c r="FR72" s="606"/>
      <c r="FS72" s="606"/>
      <c r="FT72" s="606"/>
      <c r="FU72" s="606"/>
      <c r="FV72" s="606"/>
      <c r="FW72" s="606"/>
      <c r="FX72" s="606"/>
      <c r="FY72" s="606"/>
      <c r="FZ72" s="606"/>
      <c r="GA72" s="606"/>
      <c r="GB72" s="606"/>
      <c r="GC72" s="606"/>
      <c r="GD72" s="606"/>
      <c r="GE72" s="606"/>
      <c r="GF72" s="606"/>
      <c r="GG72" s="606"/>
      <c r="GH72" s="606"/>
      <c r="GI72" s="606"/>
      <c r="GJ72" s="606"/>
      <c r="GK72" s="606"/>
      <c r="GL72" s="606"/>
      <c r="GM72" s="606"/>
      <c r="GN72" s="606"/>
      <c r="GO72" s="606"/>
      <c r="GP72" s="606"/>
      <c r="GQ72" s="606"/>
      <c r="GR72" s="606"/>
      <c r="GS72" s="606"/>
      <c r="GT72" s="606"/>
      <c r="GU72" s="606"/>
      <c r="GV72" s="606"/>
      <c r="GW72" s="606"/>
      <c r="GX72" s="606"/>
      <c r="GY72" s="606"/>
      <c r="GZ72" s="606"/>
      <c r="HA72" s="606"/>
      <c r="HB72" s="606"/>
      <c r="HC72" s="606"/>
      <c r="HD72" s="606"/>
      <c r="HE72" s="606"/>
      <c r="HF72" s="606"/>
      <c r="HG72" s="606"/>
      <c r="HH72" s="606"/>
      <c r="HI72" s="606"/>
      <c r="HJ72" s="606"/>
      <c r="HK72" s="606"/>
      <c r="HL72" s="606"/>
      <c r="HM72" s="606"/>
      <c r="HN72" s="606"/>
      <c r="HO72" s="606"/>
      <c r="HP72" s="606"/>
      <c r="HQ72" s="606"/>
      <c r="HR72" s="606"/>
      <c r="HS72" s="606"/>
      <c r="HT72" s="606"/>
      <c r="HU72" s="606"/>
      <c r="HV72" s="606"/>
      <c r="HW72" s="606"/>
      <c r="HX72" s="606"/>
      <c r="HY72" s="606"/>
      <c r="IH72" s="279">
        <f t="shared" si="11"/>
        <v>1.8274805169999999</v>
      </c>
      <c r="II72" s="279">
        <f t="shared" si="12"/>
        <v>1.9145571284058329</v>
      </c>
      <c r="IJ72" s="279">
        <f t="shared" si="13"/>
        <v>3.7420376454058326</v>
      </c>
      <c r="IK72" s="279">
        <f t="shared" si="14"/>
        <v>1.9708865639135311</v>
      </c>
      <c r="KT72" s="280"/>
    </row>
    <row r="73" spans="1:306" outlineLevel="1">
      <c r="B73" s="96" t="s">
        <v>338</v>
      </c>
      <c r="D73" s="296" t="s">
        <v>355</v>
      </c>
      <c r="E73" s="293"/>
      <c r="F73" s="293"/>
      <c r="G73" s="293"/>
      <c r="H73" s="293"/>
      <c r="I73" s="293"/>
      <c r="J73" s="293"/>
      <c r="K73" s="293"/>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v>0</v>
      </c>
      <c r="AP73" s="293">
        <v>0</v>
      </c>
      <c r="AQ73" s="293">
        <v>0</v>
      </c>
      <c r="AR73" s="293">
        <v>0</v>
      </c>
      <c r="AS73" s="293">
        <v>0</v>
      </c>
      <c r="AT73" s="293">
        <v>0</v>
      </c>
      <c r="AU73" s="293">
        <v>0</v>
      </c>
      <c r="AV73" s="293">
        <v>0</v>
      </c>
      <c r="AW73" s="293">
        <v>0</v>
      </c>
      <c r="AX73" s="293">
        <v>0</v>
      </c>
      <c r="AY73" s="293">
        <v>0</v>
      </c>
      <c r="AZ73" s="293">
        <v>0</v>
      </c>
      <c r="BA73" s="293">
        <v>0</v>
      </c>
      <c r="BB73" s="293">
        <v>0</v>
      </c>
      <c r="BC73" s="293">
        <v>0</v>
      </c>
      <c r="BD73" s="293">
        <v>0</v>
      </c>
      <c r="BE73" s="293">
        <v>0</v>
      </c>
      <c r="BF73" s="293">
        <v>0</v>
      </c>
      <c r="BG73" s="293">
        <v>0</v>
      </c>
      <c r="BH73" s="293">
        <v>0</v>
      </c>
      <c r="BI73" s="293">
        <v>0</v>
      </c>
      <c r="BJ73" s="293">
        <v>0</v>
      </c>
      <c r="BK73" s="293">
        <v>0</v>
      </c>
      <c r="BL73" s="293">
        <v>0</v>
      </c>
      <c r="BM73" s="293">
        <v>0</v>
      </c>
      <c r="BN73" s="293">
        <v>0</v>
      </c>
      <c r="BO73" s="293">
        <v>0</v>
      </c>
      <c r="BP73" s="293">
        <v>0</v>
      </c>
      <c r="BQ73" s="293">
        <v>0</v>
      </c>
      <c r="BR73" s="293">
        <v>0</v>
      </c>
      <c r="BS73" s="293">
        <v>0</v>
      </c>
      <c r="BT73" s="293">
        <v>0</v>
      </c>
      <c r="BU73" s="293">
        <v>0</v>
      </c>
      <c r="BV73" s="293">
        <v>0</v>
      </c>
      <c r="BW73" s="293">
        <v>0</v>
      </c>
      <c r="BX73" s="293">
        <v>0</v>
      </c>
      <c r="BY73" s="293">
        <v>0</v>
      </c>
      <c r="BZ73" s="293">
        <v>0</v>
      </c>
      <c r="CA73" s="293">
        <v>0</v>
      </c>
      <c r="CB73" s="293">
        <v>0</v>
      </c>
      <c r="CC73" s="293">
        <v>0</v>
      </c>
      <c r="CD73" s="293">
        <v>0</v>
      </c>
      <c r="CE73" s="294">
        <v>0</v>
      </c>
      <c r="CF73" s="293">
        <v>0</v>
      </c>
      <c r="CG73" s="293">
        <v>0</v>
      </c>
      <c r="CH73" s="293">
        <v>0</v>
      </c>
      <c r="CI73" s="293">
        <v>0</v>
      </c>
      <c r="CJ73" s="293">
        <v>0</v>
      </c>
      <c r="CK73" s="293">
        <v>0</v>
      </c>
      <c r="CL73" s="293">
        <v>0</v>
      </c>
      <c r="CM73" s="293">
        <v>0</v>
      </c>
      <c r="CN73" s="293">
        <v>0</v>
      </c>
      <c r="CO73" s="293">
        <v>0</v>
      </c>
      <c r="CP73" s="295">
        <v>0</v>
      </c>
      <c r="CQ73" s="293">
        <v>0</v>
      </c>
      <c r="CR73" s="293">
        <v>0</v>
      </c>
      <c r="CS73" s="293">
        <v>0</v>
      </c>
      <c r="CT73" s="293">
        <v>0</v>
      </c>
      <c r="CU73" s="293">
        <v>0</v>
      </c>
      <c r="CV73" s="293">
        <v>0</v>
      </c>
      <c r="CW73" s="293">
        <v>0</v>
      </c>
      <c r="CX73" s="293">
        <v>0</v>
      </c>
      <c r="CY73" s="293">
        <v>0</v>
      </c>
      <c r="CZ73" s="293">
        <v>0</v>
      </c>
      <c r="DA73" s="293">
        <v>0</v>
      </c>
      <c r="DB73" s="1288">
        <v>0</v>
      </c>
      <c r="DC73" s="293">
        <v>0</v>
      </c>
      <c r="DD73" s="293">
        <v>0</v>
      </c>
      <c r="DE73" s="293">
        <v>0</v>
      </c>
      <c r="DF73" s="293">
        <v>0</v>
      </c>
      <c r="DG73" s="293">
        <v>0</v>
      </c>
      <c r="DH73" s="293">
        <v>0</v>
      </c>
      <c r="DI73" s="293">
        <v>0</v>
      </c>
      <c r="DJ73" s="293">
        <v>0</v>
      </c>
      <c r="DK73" s="293">
        <v>0</v>
      </c>
      <c r="DL73" s="293">
        <v>0</v>
      </c>
      <c r="DM73" s="293">
        <v>0</v>
      </c>
      <c r="DN73" s="295">
        <v>0</v>
      </c>
      <c r="DO73" s="293">
        <v>0</v>
      </c>
      <c r="DP73" s="293">
        <v>0</v>
      </c>
      <c r="DQ73" s="293">
        <v>0</v>
      </c>
      <c r="DR73" s="293">
        <v>0</v>
      </c>
      <c r="DS73" s="293">
        <v>0</v>
      </c>
      <c r="DT73" s="293">
        <v>0</v>
      </c>
      <c r="DU73" s="293">
        <v>0</v>
      </c>
      <c r="DV73" s="293">
        <v>0</v>
      </c>
      <c r="DW73" s="293">
        <v>0</v>
      </c>
      <c r="DX73" s="293">
        <v>0</v>
      </c>
      <c r="DY73" s="293">
        <v>0</v>
      </c>
      <c r="DZ73" s="295">
        <v>0</v>
      </c>
      <c r="EA73" s="293">
        <v>0</v>
      </c>
      <c r="EB73" s="293">
        <v>0</v>
      </c>
      <c r="EC73" s="293">
        <v>0</v>
      </c>
      <c r="ED73" s="293">
        <v>0</v>
      </c>
      <c r="EE73" s="293">
        <v>0</v>
      </c>
      <c r="EF73" s="293">
        <v>0</v>
      </c>
      <c r="EG73" s="293">
        <v>0</v>
      </c>
      <c r="EH73" s="293">
        <v>0</v>
      </c>
      <c r="EI73" s="293">
        <v>0</v>
      </c>
      <c r="EJ73" s="293">
        <v>0</v>
      </c>
      <c r="EK73" s="293">
        <v>0</v>
      </c>
      <c r="EL73" s="295">
        <v>0</v>
      </c>
      <c r="EM73" s="1080">
        <v>0</v>
      </c>
      <c r="EN73" s="1080">
        <v>0</v>
      </c>
      <c r="EO73" s="1080">
        <v>0</v>
      </c>
      <c r="EP73" s="1080">
        <v>0</v>
      </c>
      <c r="EQ73" s="1080">
        <v>0</v>
      </c>
      <c r="ER73" s="1080">
        <v>0</v>
      </c>
      <c r="ES73" s="1080">
        <v>0</v>
      </c>
      <c r="ET73" s="1080">
        <v>0</v>
      </c>
      <c r="EU73" s="1080">
        <v>0</v>
      </c>
      <c r="EV73" s="1080">
        <v>0</v>
      </c>
      <c r="EW73" s="1080">
        <v>0</v>
      </c>
      <c r="EX73" s="1340">
        <v>0</v>
      </c>
      <c r="EY73" s="1080"/>
      <c r="EZ73" s="1080"/>
      <c r="FA73" s="1080"/>
      <c r="FB73" s="1080"/>
      <c r="FC73" s="1080"/>
      <c r="FD73" s="1080"/>
      <c r="FE73" s="1080"/>
      <c r="FF73" s="1080"/>
      <c r="FG73" s="1080"/>
      <c r="FH73" s="1080"/>
      <c r="FI73" s="1080"/>
      <c r="FJ73" s="1340"/>
      <c r="FK73" s="1080"/>
      <c r="FL73" s="1080"/>
      <c r="FM73" s="1080"/>
      <c r="FN73" s="1080"/>
      <c r="FO73" s="1080"/>
      <c r="FP73" s="1080"/>
      <c r="FQ73" s="293"/>
      <c r="FR73" s="293"/>
      <c r="FS73" s="293"/>
      <c r="FT73" s="293"/>
      <c r="FU73" s="293"/>
      <c r="FV73" s="293"/>
      <c r="FW73" s="293"/>
      <c r="FX73" s="293"/>
      <c r="FY73" s="293"/>
      <c r="FZ73" s="293"/>
      <c r="GA73" s="293"/>
      <c r="GB73" s="293"/>
      <c r="GC73" s="293"/>
      <c r="GD73" s="293"/>
      <c r="GE73" s="293"/>
      <c r="GF73" s="293"/>
      <c r="GG73" s="293"/>
      <c r="GH73" s="293"/>
      <c r="GI73" s="293"/>
      <c r="GJ73" s="293"/>
      <c r="GK73" s="293"/>
      <c r="GL73" s="293"/>
      <c r="GM73" s="293"/>
      <c r="GN73" s="293"/>
      <c r="GO73" s="293"/>
      <c r="GP73" s="293"/>
      <c r="GQ73" s="293"/>
      <c r="GR73" s="293"/>
      <c r="GS73" s="293"/>
      <c r="GT73" s="293"/>
      <c r="GU73" s="293"/>
      <c r="GV73" s="293"/>
      <c r="GW73" s="293"/>
      <c r="GX73" s="293"/>
      <c r="GY73" s="293"/>
      <c r="GZ73" s="293"/>
      <c r="HA73" s="293"/>
      <c r="HB73" s="293"/>
      <c r="HC73" s="293"/>
      <c r="HD73" s="293"/>
      <c r="HE73" s="293"/>
      <c r="HF73" s="293"/>
      <c r="HG73" s="293"/>
      <c r="HH73" s="293"/>
      <c r="HI73" s="293"/>
      <c r="HJ73" s="293"/>
      <c r="HK73" s="293"/>
      <c r="HL73" s="293"/>
      <c r="HM73" s="293"/>
      <c r="HN73" s="293"/>
      <c r="HO73" s="293"/>
      <c r="HP73" s="293"/>
      <c r="HQ73" s="293"/>
      <c r="HR73" s="293"/>
      <c r="HS73" s="293"/>
      <c r="HT73" s="293"/>
      <c r="HU73" s="293"/>
      <c r="HV73" s="293"/>
      <c r="HW73" s="293"/>
      <c r="HX73" s="293"/>
      <c r="HY73" s="293"/>
      <c r="IH73" s="279">
        <f t="shared" si="11"/>
        <v>0</v>
      </c>
      <c r="II73" s="279">
        <f t="shared" si="12"/>
        <v>0</v>
      </c>
      <c r="IJ73" s="279">
        <f t="shared" si="13"/>
        <v>0</v>
      </c>
      <c r="IK73" s="279">
        <f t="shared" si="14"/>
        <v>0</v>
      </c>
      <c r="KT73" s="280"/>
    </row>
    <row r="74" spans="1:306" outlineLevel="1">
      <c r="B74" s="96" t="s">
        <v>338</v>
      </c>
      <c r="D74" s="296" t="s">
        <v>356</v>
      </c>
      <c r="E74" s="293"/>
      <c r="F74" s="293"/>
      <c r="G74" s="293"/>
      <c r="H74" s="293"/>
      <c r="I74" s="293"/>
      <c r="J74" s="293"/>
      <c r="K74" s="293"/>
      <c r="L74" s="293"/>
      <c r="M74" s="293"/>
      <c r="N74" s="293"/>
      <c r="O74" s="29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v>0.11780952478850001</v>
      </c>
      <c r="AP74" s="293">
        <v>0</v>
      </c>
      <c r="AQ74" s="293">
        <v>0</v>
      </c>
      <c r="AR74" s="293">
        <v>0</v>
      </c>
      <c r="AS74" s="293">
        <v>0</v>
      </c>
      <c r="AT74" s="293">
        <v>0</v>
      </c>
      <c r="AU74" s="293">
        <v>0.11917316932569999</v>
      </c>
      <c r="AV74" s="293">
        <v>0</v>
      </c>
      <c r="AW74" s="293">
        <v>0</v>
      </c>
      <c r="AX74" s="293">
        <v>0</v>
      </c>
      <c r="AY74" s="293">
        <v>0</v>
      </c>
      <c r="AZ74" s="293">
        <v>0</v>
      </c>
      <c r="BA74" s="293">
        <v>0.11866941538</v>
      </c>
      <c r="BB74" s="293">
        <v>0</v>
      </c>
      <c r="BC74" s="293">
        <v>0</v>
      </c>
      <c r="BD74" s="293">
        <v>0</v>
      </c>
      <c r="BE74" s="293">
        <v>0</v>
      </c>
      <c r="BF74" s="293">
        <v>0</v>
      </c>
      <c r="BG74" s="293">
        <v>0.11772658608</v>
      </c>
      <c r="BH74" s="293">
        <v>0</v>
      </c>
      <c r="BI74" s="293">
        <v>0</v>
      </c>
      <c r="BJ74" s="293">
        <v>0</v>
      </c>
      <c r="BK74" s="293">
        <v>0</v>
      </c>
      <c r="BL74" s="293">
        <v>0</v>
      </c>
      <c r="BM74" s="293">
        <v>0.11614355017650001</v>
      </c>
      <c r="BN74" s="293">
        <v>0</v>
      </c>
      <c r="BO74" s="293">
        <v>0</v>
      </c>
      <c r="BP74" s="293">
        <v>0</v>
      </c>
      <c r="BQ74" s="293">
        <v>0</v>
      </c>
      <c r="BR74" s="293">
        <v>0</v>
      </c>
      <c r="BS74" s="293">
        <v>0.11550340797820001</v>
      </c>
      <c r="BT74" s="293">
        <v>0</v>
      </c>
      <c r="BU74" s="293">
        <v>0</v>
      </c>
      <c r="BV74" s="293">
        <v>0</v>
      </c>
      <c r="BW74" s="293">
        <v>0</v>
      </c>
      <c r="BX74" s="293">
        <v>0</v>
      </c>
      <c r="BY74" s="293">
        <v>0.11744386026987767</v>
      </c>
      <c r="BZ74" s="293">
        <v>0</v>
      </c>
      <c r="CA74" s="293">
        <v>0</v>
      </c>
      <c r="CB74" s="293">
        <v>0</v>
      </c>
      <c r="CC74" s="293">
        <v>0</v>
      </c>
      <c r="CD74" s="293">
        <v>0</v>
      </c>
      <c r="CE74" s="294">
        <v>0</v>
      </c>
      <c r="CF74" s="293">
        <v>0</v>
      </c>
      <c r="CG74" s="293">
        <v>0</v>
      </c>
      <c r="CH74" s="293">
        <v>0</v>
      </c>
      <c r="CI74" s="293">
        <v>0</v>
      </c>
      <c r="CJ74" s="293">
        <v>0</v>
      </c>
      <c r="CK74" s="293">
        <v>0</v>
      </c>
      <c r="CL74" s="293">
        <v>0</v>
      </c>
      <c r="CM74" s="293">
        <v>0</v>
      </c>
      <c r="CN74" s="293">
        <v>0</v>
      </c>
      <c r="CO74" s="293">
        <v>0</v>
      </c>
      <c r="CP74" s="295">
        <v>0</v>
      </c>
      <c r="CQ74" s="293">
        <v>0</v>
      </c>
      <c r="CR74" s="293">
        <v>0</v>
      </c>
      <c r="CS74" s="293">
        <v>0</v>
      </c>
      <c r="CT74" s="293">
        <v>0</v>
      </c>
      <c r="CU74" s="293">
        <v>0</v>
      </c>
      <c r="CV74" s="293">
        <v>0</v>
      </c>
      <c r="CW74" s="293">
        <v>0</v>
      </c>
      <c r="CX74" s="293">
        <v>0</v>
      </c>
      <c r="CY74" s="293">
        <v>0</v>
      </c>
      <c r="CZ74" s="293">
        <v>0</v>
      </c>
      <c r="DA74" s="293">
        <v>0</v>
      </c>
      <c r="DB74" s="1288">
        <v>0</v>
      </c>
      <c r="DC74" s="293">
        <v>0</v>
      </c>
      <c r="DD74" s="293">
        <v>0</v>
      </c>
      <c r="DE74" s="293">
        <v>0</v>
      </c>
      <c r="DF74" s="293">
        <v>0</v>
      </c>
      <c r="DG74" s="293">
        <v>0</v>
      </c>
      <c r="DH74" s="293">
        <v>0</v>
      </c>
      <c r="DI74" s="293">
        <v>0</v>
      </c>
      <c r="DJ74" s="293">
        <v>0</v>
      </c>
      <c r="DK74" s="293">
        <v>0</v>
      </c>
      <c r="DL74" s="293">
        <v>0</v>
      </c>
      <c r="DM74" s="293">
        <v>0</v>
      </c>
      <c r="DN74" s="295">
        <v>0</v>
      </c>
      <c r="DO74" s="293">
        <v>0</v>
      </c>
      <c r="DP74" s="293">
        <v>0</v>
      </c>
      <c r="DQ74" s="293">
        <v>0</v>
      </c>
      <c r="DR74" s="293">
        <v>0</v>
      </c>
      <c r="DS74" s="293">
        <v>0</v>
      </c>
      <c r="DT74" s="293">
        <v>0</v>
      </c>
      <c r="DU74" s="293">
        <v>0</v>
      </c>
      <c r="DV74" s="293">
        <v>0</v>
      </c>
      <c r="DW74" s="293">
        <v>0</v>
      </c>
      <c r="DX74" s="293">
        <v>0</v>
      </c>
      <c r="DY74" s="293">
        <v>0</v>
      </c>
      <c r="DZ74" s="295">
        <v>0</v>
      </c>
      <c r="EA74" s="293">
        <v>0</v>
      </c>
      <c r="EB74" s="293">
        <v>0</v>
      </c>
      <c r="EC74" s="293">
        <v>0</v>
      </c>
      <c r="ED74" s="293">
        <v>0</v>
      </c>
      <c r="EE74" s="293">
        <v>0</v>
      </c>
      <c r="EF74" s="293">
        <v>0</v>
      </c>
      <c r="EG74" s="293">
        <v>0</v>
      </c>
      <c r="EH74" s="293">
        <v>0</v>
      </c>
      <c r="EI74" s="293">
        <v>0</v>
      </c>
      <c r="EJ74" s="293">
        <v>0</v>
      </c>
      <c r="EK74" s="293">
        <v>0</v>
      </c>
      <c r="EL74" s="295">
        <v>0</v>
      </c>
      <c r="EM74" s="1080">
        <v>0</v>
      </c>
      <c r="EN74" s="1080">
        <v>0</v>
      </c>
      <c r="EO74" s="1080">
        <v>0</v>
      </c>
      <c r="EP74" s="1080">
        <v>0</v>
      </c>
      <c r="EQ74" s="1080">
        <v>0</v>
      </c>
      <c r="ER74" s="1080">
        <v>0</v>
      </c>
      <c r="ES74" s="1080">
        <v>0</v>
      </c>
      <c r="ET74" s="1080">
        <v>0</v>
      </c>
      <c r="EU74" s="1080">
        <v>0</v>
      </c>
      <c r="EV74" s="1080">
        <v>0</v>
      </c>
      <c r="EW74" s="1080">
        <v>0</v>
      </c>
      <c r="EX74" s="1340">
        <v>0</v>
      </c>
      <c r="EY74" s="1080"/>
      <c r="EZ74" s="1080"/>
      <c r="FA74" s="1080"/>
      <c r="FB74" s="1080"/>
      <c r="FC74" s="1080"/>
      <c r="FD74" s="1080"/>
      <c r="FE74" s="1080"/>
      <c r="FF74" s="1080"/>
      <c r="FG74" s="1080"/>
      <c r="FH74" s="1080"/>
      <c r="FI74" s="1080"/>
      <c r="FJ74" s="1340"/>
      <c r="FK74" s="1080"/>
      <c r="FL74" s="1080"/>
      <c r="FM74" s="1080"/>
      <c r="FN74" s="1080"/>
      <c r="FO74" s="1080"/>
      <c r="FP74" s="1080"/>
      <c r="FQ74" s="293"/>
      <c r="FR74" s="293"/>
      <c r="FS74" s="293"/>
      <c r="FT74" s="293"/>
      <c r="FU74" s="293"/>
      <c r="FV74" s="293"/>
      <c r="FW74" s="293"/>
      <c r="FX74" s="293"/>
      <c r="FY74" s="293"/>
      <c r="FZ74" s="293"/>
      <c r="GA74" s="293"/>
      <c r="GB74" s="293"/>
      <c r="GC74" s="293"/>
      <c r="GD74" s="293"/>
      <c r="GE74" s="293"/>
      <c r="GF74" s="293"/>
      <c r="GG74" s="293"/>
      <c r="GH74" s="293"/>
      <c r="GI74" s="293"/>
      <c r="GJ74" s="293"/>
      <c r="GK74" s="293"/>
      <c r="GL74" s="293"/>
      <c r="GM74" s="293"/>
      <c r="GN74" s="293"/>
      <c r="GO74" s="293"/>
      <c r="GP74" s="293"/>
      <c r="GQ74" s="293"/>
      <c r="GR74" s="293"/>
      <c r="GS74" s="293"/>
      <c r="GT74" s="293"/>
      <c r="GU74" s="293"/>
      <c r="GV74" s="293"/>
      <c r="GW74" s="293"/>
      <c r="GX74" s="293"/>
      <c r="GY74" s="293"/>
      <c r="GZ74" s="293"/>
      <c r="HA74" s="293"/>
      <c r="HB74" s="293"/>
      <c r="HC74" s="293"/>
      <c r="HD74" s="293"/>
      <c r="HE74" s="293"/>
      <c r="HF74" s="293"/>
      <c r="HG74" s="293"/>
      <c r="HH74" s="293"/>
      <c r="HI74" s="293"/>
      <c r="HJ74" s="293"/>
      <c r="HK74" s="293"/>
      <c r="HL74" s="293"/>
      <c r="HM74" s="293"/>
      <c r="HN74" s="293"/>
      <c r="HO74" s="293"/>
      <c r="HP74" s="293"/>
      <c r="HQ74" s="293"/>
      <c r="HR74" s="293"/>
      <c r="HS74" s="293"/>
      <c r="HT74" s="293"/>
      <c r="HU74" s="293"/>
      <c r="HV74" s="293"/>
      <c r="HW74" s="293"/>
      <c r="HX74" s="293"/>
      <c r="HY74" s="293"/>
      <c r="IH74" s="279">
        <f t="shared" si="11"/>
        <v>0</v>
      </c>
      <c r="II74" s="279">
        <f t="shared" si="12"/>
        <v>0</v>
      </c>
      <c r="IJ74" s="279">
        <f t="shared" si="13"/>
        <v>0</v>
      </c>
      <c r="IK74" s="279">
        <f t="shared" si="14"/>
        <v>0</v>
      </c>
      <c r="KT74" s="280"/>
    </row>
    <row r="75" spans="1:306" outlineLevel="1">
      <c r="B75" s="96" t="s">
        <v>338</v>
      </c>
      <c r="D75" s="296" t="s">
        <v>357</v>
      </c>
      <c r="E75" s="293"/>
      <c r="F75" s="293"/>
      <c r="G75" s="293"/>
      <c r="H75" s="293"/>
      <c r="I75" s="293"/>
      <c r="J75" s="293"/>
      <c r="K75" s="293"/>
      <c r="L75" s="293"/>
      <c r="M75" s="293"/>
      <c r="N75" s="293"/>
      <c r="O75" s="29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v>0.21810222652700001</v>
      </c>
      <c r="AP75" s="293">
        <v>0</v>
      </c>
      <c r="AQ75" s="293">
        <v>9.7868434115100003E-2</v>
      </c>
      <c r="AR75" s="293">
        <v>3.1660501500899996E-2</v>
      </c>
      <c r="AS75" s="293">
        <v>0.15932789213609999</v>
      </c>
      <c r="AT75" s="293">
        <v>0.10911484331650001</v>
      </c>
      <c r="AU75" s="293">
        <v>0.38523556795950009</v>
      </c>
      <c r="AV75" s="293">
        <v>0</v>
      </c>
      <c r="AW75" s="293">
        <v>9.9076187026099993E-2</v>
      </c>
      <c r="AX75" s="293">
        <v>3.7041392407200002E-2</v>
      </c>
      <c r="AY75" s="293">
        <v>0.17109218886710001</v>
      </c>
      <c r="AZ75" s="293">
        <v>0.11946609973979998</v>
      </c>
      <c r="BA75" s="293">
        <v>0.40442956910350003</v>
      </c>
      <c r="BB75" s="293">
        <v>0</v>
      </c>
      <c r="BC75" s="293">
        <v>0.1046853751293</v>
      </c>
      <c r="BD75" s="293">
        <v>3.9481142036399998E-2</v>
      </c>
      <c r="BE75" s="293">
        <v>0.1762636075755</v>
      </c>
      <c r="BF75" s="293">
        <v>0.12679592858819999</v>
      </c>
      <c r="BG75" s="293">
        <v>0.42665317888479998</v>
      </c>
      <c r="BH75" s="293">
        <v>0</v>
      </c>
      <c r="BI75" s="293">
        <v>0.10438474453939998</v>
      </c>
      <c r="BJ75" s="293">
        <v>4.2369268044999991E-2</v>
      </c>
      <c r="BK75" s="293">
        <v>0.17131614196349998</v>
      </c>
      <c r="BL75" s="293">
        <v>0.1251205088274</v>
      </c>
      <c r="BM75" s="293">
        <v>0.41395038709350002</v>
      </c>
      <c r="BN75" s="293">
        <v>0</v>
      </c>
      <c r="BO75" s="293">
        <v>0.23711572299480002</v>
      </c>
      <c r="BP75" s="293">
        <v>4.3651870600800002E-2</v>
      </c>
      <c r="BQ75" s="293">
        <v>0.17111960396180001</v>
      </c>
      <c r="BR75" s="293">
        <v>0.12904829535760001</v>
      </c>
      <c r="BS75" s="293">
        <v>0.411063191552</v>
      </c>
      <c r="BT75" s="293">
        <v>0</v>
      </c>
      <c r="BU75" s="293">
        <v>0.24199373092599999</v>
      </c>
      <c r="BV75" s="293">
        <v>4.4878629338400006E-2</v>
      </c>
      <c r="BW75" s="293">
        <v>0.17520931732100001</v>
      </c>
      <c r="BX75" s="293">
        <v>0.13452664846680001</v>
      </c>
      <c r="BY75" s="293">
        <v>0.4286298118942784</v>
      </c>
      <c r="BZ75" s="293">
        <v>0</v>
      </c>
      <c r="CA75" s="293">
        <v>0.23959744607324188</v>
      </c>
      <c r="CB75" s="293">
        <v>0.239775954160556</v>
      </c>
      <c r="CC75" s="293">
        <v>0.17225462561518537</v>
      </c>
      <c r="CD75" s="293">
        <v>0.13317890050883566</v>
      </c>
      <c r="CE75" s="294">
        <v>0.41546805221883265</v>
      </c>
      <c r="CF75" s="293">
        <v>0</v>
      </c>
      <c r="CG75" s="293">
        <v>0.24836157520919364</v>
      </c>
      <c r="CH75" s="293">
        <v>0.25250786867125607</v>
      </c>
      <c r="CI75" s="293">
        <v>0.18183521550047654</v>
      </c>
      <c r="CJ75" s="293">
        <v>0.13767124816121135</v>
      </c>
      <c r="CK75" s="293">
        <v>0.44075768613754801</v>
      </c>
      <c r="CL75" s="293">
        <v>0</v>
      </c>
      <c r="CM75" s="293">
        <v>0.26171145820619712</v>
      </c>
      <c r="CN75" s="293">
        <v>0.26024356396850429</v>
      </c>
      <c r="CO75" s="293">
        <v>0.1895558903529099</v>
      </c>
      <c r="CP75" s="295">
        <v>0.29302041539621659</v>
      </c>
      <c r="CQ75" s="293">
        <v>0.45575732260096347</v>
      </c>
      <c r="CR75" s="293">
        <v>0</v>
      </c>
      <c r="CS75" s="293">
        <v>0.25875959035530555</v>
      </c>
      <c r="CT75" s="293">
        <v>0.25580397581496028</v>
      </c>
      <c r="CU75" s="293">
        <v>0.18230424366320006</v>
      </c>
      <c r="CV75" s="293">
        <v>0.32017931139638678</v>
      </c>
      <c r="CW75" s="293">
        <v>0.3599919425550292</v>
      </c>
      <c r="CX75" s="293">
        <v>0</v>
      </c>
      <c r="CY75" s="293">
        <v>0.18586836074350557</v>
      </c>
      <c r="CZ75" s="293">
        <v>0.24490160352427714</v>
      </c>
      <c r="DA75" s="293">
        <v>0.18013967725184479</v>
      </c>
      <c r="DB75" s="1288">
        <v>0.31732387881613289</v>
      </c>
      <c r="DC75" s="293">
        <v>0.433617629</v>
      </c>
      <c r="DD75" s="293">
        <v>0</v>
      </c>
      <c r="DE75" s="293">
        <v>0.256668279</v>
      </c>
      <c r="DF75" s="293">
        <v>0.25513385500000002</v>
      </c>
      <c r="DG75" s="293">
        <v>0.182110576</v>
      </c>
      <c r="DH75" s="293">
        <v>0.32501522100000002</v>
      </c>
      <c r="DI75" s="293">
        <v>0.4451985569909977</v>
      </c>
      <c r="DJ75" s="293">
        <v>0</v>
      </c>
      <c r="DK75" s="293">
        <v>0.26604225046592711</v>
      </c>
      <c r="DL75" s="293">
        <v>0.26906482087089689</v>
      </c>
      <c r="DM75" s="293">
        <v>0.19464839295558298</v>
      </c>
      <c r="DN75" s="295">
        <v>0.34294975349249995</v>
      </c>
      <c r="DO75" s="293">
        <v>0.46561304303040002</v>
      </c>
      <c r="DP75" s="293">
        <v>0</v>
      </c>
      <c r="DQ75" s="293">
        <v>0.28121969533439994</v>
      </c>
      <c r="DR75" s="293">
        <v>0.28077002284900004</v>
      </c>
      <c r="DS75" s="293">
        <v>0.19666425112919997</v>
      </c>
      <c r="DT75" s="293">
        <v>0.34268907964999995</v>
      </c>
      <c r="DU75" s="293">
        <v>4.2707876210999994E-2</v>
      </c>
      <c r="DV75" s="293">
        <v>0</v>
      </c>
      <c r="DW75" s="293">
        <v>0</v>
      </c>
      <c r="DX75" s="293">
        <v>0</v>
      </c>
      <c r="DY75" s="293">
        <v>0</v>
      </c>
      <c r="DZ75" s="295">
        <v>0</v>
      </c>
      <c r="EA75" s="293">
        <v>0</v>
      </c>
      <c r="EB75" s="293">
        <v>0</v>
      </c>
      <c r="EC75" s="293">
        <v>0</v>
      </c>
      <c r="ED75" s="293">
        <v>0</v>
      </c>
      <c r="EE75" s="293">
        <v>0</v>
      </c>
      <c r="EF75" s="293">
        <v>0</v>
      </c>
      <c r="EG75" s="293">
        <v>0</v>
      </c>
      <c r="EH75" s="293">
        <v>0</v>
      </c>
      <c r="EI75" s="293">
        <v>0</v>
      </c>
      <c r="EJ75" s="293">
        <v>0</v>
      </c>
      <c r="EK75" s="293">
        <v>0</v>
      </c>
      <c r="EL75" s="295">
        <v>0</v>
      </c>
      <c r="EM75" s="1080">
        <v>0</v>
      </c>
      <c r="EN75" s="1080">
        <v>0</v>
      </c>
      <c r="EO75" s="1080">
        <v>0</v>
      </c>
      <c r="EP75" s="1080">
        <v>0</v>
      </c>
      <c r="EQ75" s="1080">
        <v>0</v>
      </c>
      <c r="ER75" s="1080">
        <v>0</v>
      </c>
      <c r="ES75" s="1080">
        <v>0</v>
      </c>
      <c r="ET75" s="1080">
        <v>0</v>
      </c>
      <c r="EU75" s="1080">
        <v>0</v>
      </c>
      <c r="EV75" s="1080">
        <v>0</v>
      </c>
      <c r="EW75" s="1080">
        <v>0</v>
      </c>
      <c r="EX75" s="1340">
        <v>0</v>
      </c>
      <c r="EY75" s="1080"/>
      <c r="EZ75" s="1080"/>
      <c r="FA75" s="1080"/>
      <c r="FB75" s="1080"/>
      <c r="FC75" s="1080"/>
      <c r="FD75" s="1080"/>
      <c r="FE75" s="1080"/>
      <c r="FF75" s="1080"/>
      <c r="FG75" s="1080"/>
      <c r="FH75" s="1080"/>
      <c r="FI75" s="1080"/>
      <c r="FJ75" s="1340"/>
      <c r="FK75" s="1080"/>
      <c r="FL75" s="1080"/>
      <c r="FM75" s="1080"/>
      <c r="FN75" s="1080"/>
      <c r="FO75" s="1080"/>
      <c r="FP75" s="1080"/>
      <c r="FQ75" s="293"/>
      <c r="FR75" s="293"/>
      <c r="FS75" s="293"/>
      <c r="FT75" s="293"/>
      <c r="FU75" s="293"/>
      <c r="FV75" s="293"/>
      <c r="FW75" s="293"/>
      <c r="FX75" s="293"/>
      <c r="FY75" s="293"/>
      <c r="FZ75" s="293"/>
      <c r="GA75" s="293"/>
      <c r="GB75" s="293"/>
      <c r="GC75" s="293"/>
      <c r="GD75" s="293"/>
      <c r="GE75" s="293"/>
      <c r="GF75" s="293"/>
      <c r="GG75" s="293"/>
      <c r="GH75" s="293"/>
      <c r="GI75" s="293"/>
      <c r="GJ75" s="293"/>
      <c r="GK75" s="293"/>
      <c r="GL75" s="293"/>
      <c r="GM75" s="293"/>
      <c r="GN75" s="293"/>
      <c r="GO75" s="293"/>
      <c r="GP75" s="293"/>
      <c r="GQ75" s="293"/>
      <c r="GR75" s="293"/>
      <c r="GS75" s="293"/>
      <c r="GT75" s="293"/>
      <c r="GU75" s="293"/>
      <c r="GV75" s="293"/>
      <c r="GW75" s="293"/>
      <c r="GX75" s="293"/>
      <c r="GY75" s="293"/>
      <c r="GZ75" s="293"/>
      <c r="HA75" s="293"/>
      <c r="HB75" s="293"/>
      <c r="HC75" s="293"/>
      <c r="HD75" s="293"/>
      <c r="HE75" s="293"/>
      <c r="HF75" s="293"/>
      <c r="HG75" s="293"/>
      <c r="HH75" s="293"/>
      <c r="HI75" s="293"/>
      <c r="HJ75" s="293"/>
      <c r="HK75" s="293"/>
      <c r="HL75" s="293"/>
      <c r="HM75" s="293"/>
      <c r="HN75" s="293"/>
      <c r="HO75" s="293"/>
      <c r="HP75" s="293"/>
      <c r="HQ75" s="293"/>
      <c r="HR75" s="293"/>
      <c r="HS75" s="293"/>
      <c r="HT75" s="293"/>
      <c r="HU75" s="293"/>
      <c r="HV75" s="293"/>
      <c r="HW75" s="293"/>
      <c r="HX75" s="293"/>
      <c r="HY75" s="293"/>
      <c r="IH75" s="279">
        <f t="shared" si="11"/>
        <v>1.4525455599999999</v>
      </c>
      <c r="II75" s="279">
        <f t="shared" si="12"/>
        <v>1.5179037747759045</v>
      </c>
      <c r="IJ75" s="279">
        <f t="shared" si="13"/>
        <v>2.9704493347759042</v>
      </c>
      <c r="IK75" s="279">
        <f t="shared" si="14"/>
        <v>1.5669560919929999</v>
      </c>
      <c r="KT75" s="280"/>
    </row>
    <row r="76" spans="1:306" outlineLevel="1">
      <c r="B76" s="96" t="s">
        <v>338</v>
      </c>
      <c r="D76" s="296" t="s">
        <v>358</v>
      </c>
      <c r="E76" s="293"/>
      <c r="F76" s="293"/>
      <c r="G76" s="293"/>
      <c r="H76" s="293"/>
      <c r="I76" s="293"/>
      <c r="J76" s="293"/>
      <c r="K76" s="293"/>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v>8.6368161636000002E-3</v>
      </c>
      <c r="AP76" s="293">
        <v>5.1672790119899996E-2</v>
      </c>
      <c r="AQ76" s="293">
        <v>7.5468505383500001E-2</v>
      </c>
      <c r="AR76" s="293">
        <v>1.82233731548E-2</v>
      </c>
      <c r="AS76" s="293">
        <v>3.6260539149059995E-2</v>
      </c>
      <c r="AT76" s="293">
        <v>0.44699536012539992</v>
      </c>
      <c r="AU76" s="293">
        <v>7.5889710007999997E-3</v>
      </c>
      <c r="AV76" s="293">
        <v>5.0179774034099997E-2</v>
      </c>
      <c r="AW76" s="293">
        <v>7.1905996572000003E-2</v>
      </c>
      <c r="AX76" s="293">
        <v>1.9327067863499994E-2</v>
      </c>
      <c r="AY76" s="293">
        <v>4.0198419503489992E-2</v>
      </c>
      <c r="AZ76" s="293">
        <v>0.16946328062300001</v>
      </c>
      <c r="BA76" s="293">
        <v>8.2245179433999976E-3</v>
      </c>
      <c r="BB76" s="293">
        <v>5.3890061039199993E-2</v>
      </c>
      <c r="BC76" s="293">
        <v>8.0485666967999997E-2</v>
      </c>
      <c r="BD76" s="293">
        <v>2.8953136721999999E-2</v>
      </c>
      <c r="BE76" s="293">
        <v>4.2114915655399994E-2</v>
      </c>
      <c r="BF76" s="293">
        <v>0.18328411040750001</v>
      </c>
      <c r="BG76" s="293">
        <v>9.202492254599997E-3</v>
      </c>
      <c r="BH76" s="293">
        <v>5.66319508533E-2</v>
      </c>
      <c r="BI76" s="293">
        <v>8.422579454250001E-2</v>
      </c>
      <c r="BJ76" s="293">
        <v>1.9359886864500003E-2</v>
      </c>
      <c r="BK76" s="293">
        <v>4.0813496152000001E-2</v>
      </c>
      <c r="BL76" s="293">
        <v>0.16632972597759998</v>
      </c>
      <c r="BM76" s="293">
        <v>8.2462465395000007E-3</v>
      </c>
      <c r="BN76" s="293">
        <v>5.3183100997800006E-2</v>
      </c>
      <c r="BO76" s="293">
        <v>7.9046747238000009E-2</v>
      </c>
      <c r="BP76" s="293">
        <v>1.8649134748799999E-2</v>
      </c>
      <c r="BQ76" s="293">
        <v>3.89208216261E-2</v>
      </c>
      <c r="BR76" s="293">
        <v>0.16205571057299997</v>
      </c>
      <c r="BS76" s="293">
        <v>8.0490298579999984E-3</v>
      </c>
      <c r="BT76" s="293">
        <v>5.0452946215300006E-2</v>
      </c>
      <c r="BU76" s="293">
        <v>7.4907428143800012E-2</v>
      </c>
      <c r="BV76" s="293">
        <v>1.8974934540000002E-2</v>
      </c>
      <c r="BW76" s="293">
        <v>3.9843817477100002E-2</v>
      </c>
      <c r="BX76" s="293">
        <v>0.17476388950400001</v>
      </c>
      <c r="BY76" s="293">
        <v>8.87375001585765E-3</v>
      </c>
      <c r="BZ76" s="293">
        <v>5.6121491385470512E-2</v>
      </c>
      <c r="CA76" s="293">
        <v>8.0567234660922388E-2</v>
      </c>
      <c r="CB76" s="293">
        <v>1.9518380941196883E-2</v>
      </c>
      <c r="CC76" s="293">
        <v>4.1146981577507964E-2</v>
      </c>
      <c r="CD76" s="293">
        <v>0.18168796847684299</v>
      </c>
      <c r="CE76" s="294">
        <v>8.8412829802404676E-3</v>
      </c>
      <c r="CF76" s="293">
        <v>5.7524507378030415E-2</v>
      </c>
      <c r="CG76" s="293">
        <v>8.3731672714265529E-2</v>
      </c>
      <c r="CH76" s="293">
        <v>2.1026906092976E-2</v>
      </c>
      <c r="CI76" s="293">
        <v>4.4482341647089189E-2</v>
      </c>
      <c r="CJ76" s="293">
        <v>0.19125503504777619</v>
      </c>
      <c r="CK76" s="293">
        <v>9.7781264432932995E-3</v>
      </c>
      <c r="CL76" s="293">
        <v>6.1572929790496084E-2</v>
      </c>
      <c r="CM76" s="293">
        <v>8.9852878618954093E-2</v>
      </c>
      <c r="CN76" s="293">
        <v>2.1991281572929271E-2</v>
      </c>
      <c r="CO76" s="293">
        <v>4.6559579085067998E-2</v>
      </c>
      <c r="CP76" s="295">
        <v>0.19614655296075689</v>
      </c>
      <c r="CQ76" s="293">
        <v>9.8670787247891571E-3</v>
      </c>
      <c r="CR76" s="293">
        <v>6.1004475483840262E-2</v>
      </c>
      <c r="CS76" s="293">
        <v>8.7275147576029194E-2</v>
      </c>
      <c r="CT76" s="293">
        <v>2.035598371667198E-2</v>
      </c>
      <c r="CU76" s="293">
        <v>4.3251194411419391E-2</v>
      </c>
      <c r="CV76" s="293">
        <v>0.18327118684480595</v>
      </c>
      <c r="CW76" s="293">
        <v>8.8714321952827486E-3</v>
      </c>
      <c r="CX76" s="293">
        <v>5.3526167373176385E-2</v>
      </c>
      <c r="CY76" s="293">
        <v>7.6651614413556349E-2</v>
      </c>
      <c r="CZ76" s="293">
        <v>1.770531934659984E-2</v>
      </c>
      <c r="DA76" s="293">
        <v>4.0607371725998473E-2</v>
      </c>
      <c r="DB76" s="1288">
        <v>0.17118845943339828</v>
      </c>
      <c r="DC76" s="293">
        <v>8.5834380000000005E-3</v>
      </c>
      <c r="DD76" s="293">
        <v>5.3707193E-2</v>
      </c>
      <c r="DE76" s="293">
        <v>7.9394939999999997E-2</v>
      </c>
      <c r="DF76" s="293">
        <v>1.9752933E-2</v>
      </c>
      <c r="DG76" s="293">
        <v>3.9778323999999997E-2</v>
      </c>
      <c r="DH76" s="293">
        <v>0.173718129</v>
      </c>
      <c r="DI76" s="293">
        <v>8.6464844336379479E-3</v>
      </c>
      <c r="DJ76" s="293">
        <v>5.6877185162579232E-2</v>
      </c>
      <c r="DK76" s="293">
        <v>8.0530624263329242E-2</v>
      </c>
      <c r="DL76" s="293">
        <v>2.032770123031263E-2</v>
      </c>
      <c r="DM76" s="293">
        <v>4.4119119481916151E-2</v>
      </c>
      <c r="DN76" s="295">
        <v>0.18615223905815295</v>
      </c>
      <c r="DO76" s="293">
        <v>9.1742312017061983E-3</v>
      </c>
      <c r="DP76" s="293">
        <v>5.9377881088519657E-2</v>
      </c>
      <c r="DQ76" s="293">
        <v>8.7676488342126532E-2</v>
      </c>
      <c r="DR76" s="293">
        <v>2.1034145814620677E-2</v>
      </c>
      <c r="DS76" s="293">
        <v>4.3739811783746939E-2</v>
      </c>
      <c r="DT76" s="293">
        <v>0.18292791368981087</v>
      </c>
      <c r="DU76" s="293">
        <v>9.0898549423337992E-3</v>
      </c>
      <c r="DV76" s="293">
        <v>5.8007764595570457E-2</v>
      </c>
      <c r="DW76" s="293">
        <v>8.4942784145587202E-2</v>
      </c>
      <c r="DX76" s="293">
        <v>2.07037697164686E-2</v>
      </c>
      <c r="DY76" s="293">
        <v>4.4983689553372501E-2</v>
      </c>
      <c r="DZ76" s="295">
        <v>0.19766063222458516</v>
      </c>
      <c r="EA76" s="293">
        <v>1.0057027E-2</v>
      </c>
      <c r="EB76" s="293">
        <v>6.5659626999999998E-2</v>
      </c>
      <c r="EC76" s="293">
        <v>9.6264800999999997E-2</v>
      </c>
      <c r="ED76" s="293">
        <v>2.2951954624467783E-2</v>
      </c>
      <c r="EE76" s="293">
        <v>4.8874336594010193E-2</v>
      </c>
      <c r="EF76" s="293">
        <v>0.20968043639447664</v>
      </c>
      <c r="EG76" s="293">
        <v>1.0672567326581978E-2</v>
      </c>
      <c r="EH76" s="293">
        <v>7.0631278071610154E-2</v>
      </c>
      <c r="EI76" s="293">
        <v>0.10086442279462024</v>
      </c>
      <c r="EJ76" s="293">
        <v>2.4676094027823697E-2</v>
      </c>
      <c r="EK76" s="293">
        <v>5.0993692085567657E-2</v>
      </c>
      <c r="EL76" s="295">
        <v>0.21490561138793615</v>
      </c>
      <c r="EM76" s="1080">
        <v>1.0594670256373279E-2</v>
      </c>
      <c r="EN76" s="1080">
        <v>6.5730210332226424E-2</v>
      </c>
      <c r="EO76" s="1080">
        <v>9.8563909765256322E-2</v>
      </c>
      <c r="EP76" s="1080">
        <v>2.364907381854027E-2</v>
      </c>
      <c r="EQ76" s="1080">
        <v>0</v>
      </c>
      <c r="ER76" s="1080">
        <v>0.21201068328231987</v>
      </c>
      <c r="ES76" s="1080">
        <v>1.0648808655175259E-2</v>
      </c>
      <c r="ET76" s="1080">
        <v>6.6596087007049165E-2</v>
      </c>
      <c r="EU76" s="1080">
        <v>9.7848614553610838E-2</v>
      </c>
      <c r="EV76" s="1080">
        <v>2.3566648099409237E-2</v>
      </c>
      <c r="EW76" s="1080">
        <v>0</v>
      </c>
      <c r="EX76" s="1340">
        <v>0.21532801592438158</v>
      </c>
      <c r="EY76" s="1080"/>
      <c r="EZ76" s="1080"/>
      <c r="FA76" s="1080"/>
      <c r="FB76" s="1080"/>
      <c r="FC76" s="1080"/>
      <c r="FD76" s="1080"/>
      <c r="FE76" s="1080"/>
      <c r="FF76" s="1080"/>
      <c r="FG76" s="1080"/>
      <c r="FH76" s="1080"/>
      <c r="FI76" s="1080"/>
      <c r="FJ76" s="1340"/>
      <c r="FK76" s="1080"/>
      <c r="FL76" s="1080"/>
      <c r="FM76" s="1080"/>
      <c r="FN76" s="1080"/>
      <c r="FO76" s="1080"/>
      <c r="FP76" s="1080"/>
      <c r="FQ76" s="293"/>
      <c r="FR76" s="293"/>
      <c r="FS76" s="293"/>
      <c r="FT76" s="293"/>
      <c r="FU76" s="293"/>
      <c r="FV76" s="293"/>
      <c r="FW76" s="293"/>
      <c r="FX76" s="293"/>
      <c r="FY76" s="293"/>
      <c r="FZ76" s="293"/>
      <c r="GA76" s="293"/>
      <c r="GB76" s="293"/>
      <c r="GC76" s="293"/>
      <c r="GD76" s="293"/>
      <c r="GE76" s="293"/>
      <c r="GF76" s="293"/>
      <c r="GG76" s="293"/>
      <c r="GH76" s="293"/>
      <c r="GI76" s="293"/>
      <c r="GJ76" s="293"/>
      <c r="GK76" s="293"/>
      <c r="GL76" s="293"/>
      <c r="GM76" s="293"/>
      <c r="GN76" s="293"/>
      <c r="GO76" s="293"/>
      <c r="GP76" s="293"/>
      <c r="GQ76" s="293"/>
      <c r="GR76" s="293"/>
      <c r="GS76" s="293"/>
      <c r="GT76" s="293"/>
      <c r="GU76" s="293"/>
      <c r="GV76" s="293"/>
      <c r="GW76" s="293"/>
      <c r="GX76" s="293"/>
      <c r="GY76" s="293"/>
      <c r="GZ76" s="293"/>
      <c r="HA76" s="293"/>
      <c r="HB76" s="293"/>
      <c r="HC76" s="293"/>
      <c r="HD76" s="293"/>
      <c r="HE76" s="293"/>
      <c r="HF76" s="293"/>
      <c r="HG76" s="293"/>
      <c r="HH76" s="293"/>
      <c r="HI76" s="293"/>
      <c r="HJ76" s="293"/>
      <c r="HK76" s="293"/>
      <c r="HL76" s="293"/>
      <c r="HM76" s="293"/>
      <c r="HN76" s="293"/>
      <c r="HO76" s="293"/>
      <c r="HP76" s="293"/>
      <c r="HQ76" s="293"/>
      <c r="HR76" s="293"/>
      <c r="HS76" s="293"/>
      <c r="HT76" s="293"/>
      <c r="HU76" s="293"/>
      <c r="HV76" s="293"/>
      <c r="HW76" s="293"/>
      <c r="HX76" s="293"/>
      <c r="HY76" s="293"/>
      <c r="IH76" s="279">
        <f t="shared" si="11"/>
        <v>0.37493495700000001</v>
      </c>
      <c r="II76" s="279">
        <f t="shared" si="12"/>
        <v>0.39665335362992815</v>
      </c>
      <c r="IJ76" s="279">
        <f t="shared" si="13"/>
        <v>0.77158831062992816</v>
      </c>
      <c r="IK76" s="279">
        <f t="shared" si="14"/>
        <v>0.40393047192053089</v>
      </c>
      <c r="KT76" s="280"/>
    </row>
    <row r="77" spans="1:306" outlineLevel="1">
      <c r="CE77" s="793"/>
      <c r="CP77" s="280"/>
      <c r="DC77" s="812" t="s">
        <v>939</v>
      </c>
      <c r="EA77" s="279"/>
      <c r="EB77" s="279"/>
      <c r="EC77" s="279"/>
      <c r="ED77" s="279"/>
      <c r="EE77" s="279"/>
      <c r="EF77" s="279"/>
      <c r="EG77" s="279"/>
      <c r="EH77" s="279"/>
      <c r="EI77" s="279"/>
      <c r="EJ77" s="279"/>
      <c r="EK77" s="279"/>
      <c r="EL77" s="280"/>
      <c r="EM77" s="1082"/>
      <c r="EN77" s="1082"/>
      <c r="EO77" s="1082"/>
      <c r="EP77" s="1082"/>
      <c r="EQ77" s="1082"/>
      <c r="ER77" s="1082"/>
      <c r="ES77" s="1082"/>
      <c r="ET77" s="1082"/>
      <c r="EU77" s="1082"/>
      <c r="EV77" s="1082"/>
      <c r="EW77" s="1082"/>
      <c r="EX77" s="1350"/>
      <c r="EY77" s="1082"/>
      <c r="EZ77" s="1082"/>
      <c r="FA77" s="1082"/>
      <c r="FB77" s="1082"/>
      <c r="FC77" s="1082"/>
      <c r="FD77" s="1082"/>
      <c r="FE77" s="1082"/>
      <c r="FF77" s="1082"/>
      <c r="FG77" s="1082"/>
      <c r="FH77" s="1082"/>
      <c r="FI77" s="1082"/>
      <c r="FJ77" s="1350"/>
      <c r="FK77" s="1082"/>
      <c r="FL77" s="1082"/>
      <c r="FM77" s="1082"/>
      <c r="FN77" s="1082"/>
      <c r="FO77" s="1082"/>
      <c r="FP77" s="1082"/>
      <c r="FQ77" s="279"/>
      <c r="FR77" s="279"/>
      <c r="FS77" s="279"/>
      <c r="FT77" s="279"/>
      <c r="FU77" s="279"/>
      <c r="FV77" s="279"/>
      <c r="FW77" s="279"/>
      <c r="FX77" s="279"/>
      <c r="FY77" s="279"/>
      <c r="FZ77" s="279"/>
      <c r="GA77" s="279"/>
      <c r="GB77" s="279"/>
      <c r="GC77" s="279"/>
      <c r="GD77" s="279"/>
      <c r="GE77" s="279"/>
      <c r="GF77" s="279"/>
      <c r="GG77" s="279"/>
      <c r="GH77" s="279"/>
      <c r="GI77" s="279"/>
      <c r="GJ77" s="279"/>
      <c r="GK77" s="279"/>
      <c r="GL77" s="279"/>
      <c r="GM77" s="279"/>
      <c r="GN77" s="279"/>
      <c r="GO77" s="279"/>
      <c r="GP77" s="279"/>
      <c r="GQ77" s="279"/>
      <c r="GR77" s="279"/>
      <c r="GS77" s="279"/>
      <c r="GT77" s="279"/>
      <c r="GU77" s="279"/>
      <c r="GV77" s="279"/>
      <c r="GW77" s="279"/>
      <c r="GX77" s="279"/>
      <c r="GY77" s="279"/>
      <c r="GZ77" s="279"/>
      <c r="HA77" s="279"/>
      <c r="HB77" s="279"/>
      <c r="HC77" s="279"/>
      <c r="HD77" s="279"/>
      <c r="HE77" s="279"/>
      <c r="HF77" s="279"/>
      <c r="HG77" s="279"/>
      <c r="HH77" s="279"/>
      <c r="HI77" s="279"/>
      <c r="HJ77" s="279"/>
      <c r="HK77" s="279"/>
      <c r="HL77" s="279"/>
      <c r="HM77" s="279"/>
      <c r="HN77" s="279"/>
      <c r="HO77" s="279"/>
      <c r="HP77" s="279"/>
      <c r="HQ77" s="279"/>
      <c r="HR77" s="279"/>
      <c r="HS77" s="279"/>
      <c r="HT77" s="279"/>
      <c r="HU77" s="279"/>
      <c r="HV77" s="279"/>
      <c r="HW77" s="279"/>
      <c r="HX77" s="279"/>
      <c r="HY77" s="279"/>
      <c r="KT77" s="280"/>
    </row>
    <row r="78" spans="1:306" outlineLevel="1">
      <c r="CE78" s="793"/>
      <c r="CP78" s="280"/>
      <c r="DC78" s="812"/>
      <c r="EA78" s="279"/>
      <c r="EB78" s="279"/>
      <c r="EC78" s="279"/>
      <c r="ED78" s="279"/>
      <c r="EE78" s="279"/>
      <c r="EF78" s="279"/>
      <c r="EG78" s="279"/>
      <c r="EH78" s="279"/>
      <c r="EI78" s="279"/>
      <c r="EJ78" s="279"/>
      <c r="EK78" s="279"/>
      <c r="EL78" s="280"/>
      <c r="EM78" s="1082"/>
      <c r="EN78" s="1082"/>
      <c r="EO78" s="1082"/>
      <c r="EP78" s="1082"/>
      <c r="EQ78" s="1082"/>
      <c r="ER78" s="1082"/>
      <c r="ES78" s="1082"/>
      <c r="ET78" s="1082"/>
      <c r="EU78" s="1082"/>
      <c r="EV78" s="1082"/>
      <c r="EW78" s="1082"/>
      <c r="EX78" s="1350"/>
      <c r="EY78" s="1082"/>
      <c r="EZ78" s="1082"/>
      <c r="FA78" s="1082"/>
      <c r="FB78" s="1082"/>
      <c r="FC78" s="1082"/>
      <c r="FD78" s="1082"/>
      <c r="FE78" s="1082"/>
      <c r="FF78" s="1082"/>
      <c r="FG78" s="1082"/>
      <c r="FH78" s="1082"/>
      <c r="FI78" s="1082"/>
      <c r="FJ78" s="1350"/>
      <c r="FK78" s="1082"/>
      <c r="FL78" s="1082"/>
      <c r="FM78" s="1082"/>
      <c r="FN78" s="1082"/>
      <c r="FO78" s="1082"/>
      <c r="FP78" s="1082"/>
      <c r="FQ78" s="279"/>
      <c r="FR78" s="279"/>
      <c r="FS78" s="279"/>
      <c r="FT78" s="279"/>
      <c r="FU78" s="279"/>
      <c r="FV78" s="279"/>
      <c r="FW78" s="279"/>
      <c r="FX78" s="279"/>
      <c r="FY78" s="279"/>
      <c r="FZ78" s="279"/>
      <c r="GA78" s="279"/>
      <c r="GB78" s="279"/>
      <c r="GC78" s="279"/>
      <c r="GD78" s="279"/>
      <c r="GE78" s="279"/>
      <c r="GF78" s="279"/>
      <c r="GG78" s="279"/>
      <c r="GH78" s="279"/>
      <c r="GI78" s="279"/>
      <c r="GJ78" s="279"/>
      <c r="GK78" s="279"/>
      <c r="GL78" s="279"/>
      <c r="GM78" s="279"/>
      <c r="GN78" s="279"/>
      <c r="GO78" s="279"/>
      <c r="GP78" s="279"/>
      <c r="GQ78" s="279"/>
      <c r="GR78" s="279"/>
      <c r="GS78" s="279"/>
      <c r="GT78" s="279"/>
      <c r="GU78" s="279"/>
      <c r="GV78" s="279"/>
      <c r="GW78" s="279"/>
      <c r="GX78" s="279"/>
      <c r="GY78" s="279"/>
      <c r="GZ78" s="279"/>
      <c r="HA78" s="279"/>
      <c r="HB78" s="279"/>
      <c r="HC78" s="279"/>
      <c r="HD78" s="279"/>
      <c r="HE78" s="279"/>
      <c r="HF78" s="279"/>
      <c r="HG78" s="279"/>
      <c r="HH78" s="279"/>
      <c r="HI78" s="279"/>
      <c r="HJ78" s="279"/>
      <c r="HK78" s="279"/>
      <c r="HL78" s="279"/>
      <c r="HM78" s="279"/>
      <c r="HN78" s="279"/>
      <c r="HO78" s="279"/>
      <c r="HP78" s="279"/>
      <c r="HQ78" s="279"/>
      <c r="HR78" s="279"/>
      <c r="HS78" s="279"/>
      <c r="HT78" s="279"/>
      <c r="HU78" s="279"/>
      <c r="HV78" s="279"/>
      <c r="HW78" s="279"/>
      <c r="HX78" s="279"/>
      <c r="HY78" s="279"/>
      <c r="KT78" s="280"/>
    </row>
    <row r="79" spans="1:306" outlineLevel="1">
      <c r="A79" s="291" t="s">
        <v>1050</v>
      </c>
      <c r="CE79" s="793"/>
      <c r="CP79" s="280"/>
      <c r="DC79" s="812" t="s">
        <v>968</v>
      </c>
      <c r="EA79" s="279"/>
      <c r="EB79" s="279"/>
      <c r="EC79" s="279"/>
      <c r="ED79" s="279"/>
      <c r="EE79" s="279"/>
      <c r="EF79" s="279"/>
      <c r="EG79" s="279"/>
      <c r="EH79" s="279"/>
      <c r="EI79" s="279"/>
      <c r="EJ79" s="279"/>
      <c r="EK79" s="279"/>
      <c r="EL79" s="280"/>
      <c r="EM79" s="1082"/>
      <c r="EN79" s="1082"/>
      <c r="EO79" s="1082"/>
      <c r="EP79" s="1082"/>
      <c r="EQ79" s="1082"/>
      <c r="ER79" s="1082"/>
      <c r="ES79" s="1082"/>
      <c r="ET79" s="1082"/>
      <c r="EU79" s="1082"/>
      <c r="EV79" s="1082"/>
      <c r="EW79" s="1082"/>
      <c r="EX79" s="1350"/>
      <c r="EY79" s="1082"/>
      <c r="EZ79" s="1082"/>
      <c r="FA79" s="1082"/>
      <c r="FB79" s="1082"/>
      <c r="FC79" s="1082"/>
      <c r="FD79" s="1082"/>
      <c r="FE79" s="1082"/>
      <c r="FF79" s="1082"/>
      <c r="FG79" s="1082"/>
      <c r="FH79" s="1082"/>
      <c r="FI79" s="1082"/>
      <c r="FJ79" s="1350"/>
      <c r="FK79" s="1082"/>
      <c r="FL79" s="1082"/>
      <c r="FM79" s="1082"/>
      <c r="FN79" s="1082"/>
      <c r="FO79" s="1082"/>
      <c r="FP79" s="1082"/>
      <c r="FQ79" s="279"/>
      <c r="FR79" s="279"/>
      <c r="FS79" s="279"/>
      <c r="FT79" s="279"/>
      <c r="FU79" s="279"/>
      <c r="FV79" s="279"/>
      <c r="FW79" s="279"/>
      <c r="FX79" s="279"/>
      <c r="FY79" s="279"/>
      <c r="FZ79" s="279"/>
      <c r="GA79" s="279"/>
      <c r="GB79" s="279"/>
      <c r="GC79" s="279"/>
      <c r="GD79" s="279"/>
      <c r="GE79" s="279"/>
      <c r="GF79" s="279"/>
      <c r="GG79" s="279"/>
      <c r="GH79" s="279"/>
      <c r="GI79" s="279"/>
      <c r="GJ79" s="279"/>
      <c r="GK79" s="279"/>
      <c r="GL79" s="279"/>
      <c r="GM79" s="279"/>
      <c r="GN79" s="279"/>
      <c r="GO79" s="279"/>
      <c r="GP79" s="279"/>
      <c r="GQ79" s="279"/>
      <c r="GR79" s="279"/>
      <c r="GS79" s="279"/>
      <c r="GT79" s="279"/>
      <c r="GU79" s="279"/>
      <c r="GV79" s="279"/>
      <c r="GW79" s="279"/>
      <c r="GX79" s="279"/>
      <c r="GY79" s="279"/>
      <c r="GZ79" s="279"/>
      <c r="HA79" s="279"/>
      <c r="HB79" s="279"/>
      <c r="HC79" s="279"/>
      <c r="HD79" s="279"/>
      <c r="HE79" s="279"/>
      <c r="HF79" s="279"/>
      <c r="HG79" s="279"/>
      <c r="HH79" s="279"/>
      <c r="HI79" s="279"/>
      <c r="HJ79" s="279"/>
      <c r="HK79" s="279"/>
      <c r="HL79" s="279"/>
      <c r="HM79" s="279"/>
      <c r="HN79" s="279"/>
      <c r="HO79" s="279"/>
      <c r="HP79" s="279"/>
      <c r="HQ79" s="279"/>
      <c r="HR79" s="279"/>
      <c r="HS79" s="279"/>
      <c r="HT79" s="279"/>
      <c r="HU79" s="279"/>
      <c r="HV79" s="279"/>
      <c r="HW79" s="279"/>
      <c r="HX79" s="279"/>
      <c r="HY79" s="279"/>
      <c r="KT79" s="280"/>
    </row>
    <row r="80" spans="1:306" outlineLevel="1">
      <c r="A80" s="279"/>
      <c r="B80" s="291"/>
      <c r="D80" s="293"/>
      <c r="E80" s="293"/>
      <c r="F80" s="293"/>
      <c r="G80" s="293"/>
      <c r="H80" s="293"/>
      <c r="I80" s="293"/>
      <c r="J80" s="293"/>
      <c r="K80" s="293"/>
      <c r="L80" s="293"/>
      <c r="M80" s="293"/>
      <c r="N80" s="293"/>
      <c r="O80" s="29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c r="BN80" s="293"/>
      <c r="BO80" s="293"/>
      <c r="BP80" s="293"/>
      <c r="BQ80" s="293"/>
      <c r="BR80" s="293"/>
      <c r="BS80" s="293"/>
      <c r="BT80" s="293"/>
      <c r="BU80" s="293"/>
      <c r="BV80" s="293"/>
      <c r="BW80" s="293"/>
      <c r="BX80" s="293"/>
      <c r="BY80" s="293"/>
      <c r="BZ80" s="293"/>
      <c r="CA80" s="293"/>
      <c r="CB80" s="293"/>
      <c r="CC80" s="293"/>
      <c r="CD80" s="293"/>
      <c r="CE80" s="294"/>
      <c r="CF80" s="293"/>
      <c r="CG80" s="293"/>
      <c r="CH80" s="293"/>
      <c r="CI80" s="293"/>
      <c r="CJ80" s="293"/>
      <c r="CK80" s="293"/>
      <c r="CL80" s="293"/>
      <c r="CM80" s="293"/>
      <c r="CN80" s="293"/>
      <c r="CO80" s="293"/>
      <c r="CP80" s="295"/>
      <c r="CQ80" s="293"/>
      <c r="CR80" s="293"/>
      <c r="CS80" s="293"/>
      <c r="CT80" s="293"/>
      <c r="CU80" s="293"/>
      <c r="CV80" s="293"/>
      <c r="CW80" s="293"/>
      <c r="CX80" s="293"/>
      <c r="CY80" s="293"/>
      <c r="CZ80" s="293"/>
      <c r="DA80" s="293"/>
      <c r="DB80" s="1288"/>
      <c r="DC80" s="821">
        <v>42186</v>
      </c>
      <c r="DD80" s="821">
        <v>42217</v>
      </c>
      <c r="DE80" s="821">
        <v>42248</v>
      </c>
      <c r="DF80" s="821">
        <v>42278</v>
      </c>
      <c r="DG80" s="821">
        <v>42309</v>
      </c>
      <c r="DH80" s="821">
        <v>42339</v>
      </c>
      <c r="DI80" s="821">
        <v>42370</v>
      </c>
      <c r="DJ80" s="821">
        <v>42401</v>
      </c>
      <c r="DK80" s="821">
        <v>42430</v>
      </c>
      <c r="DL80" s="821">
        <v>42461</v>
      </c>
      <c r="DM80" s="821">
        <v>42491</v>
      </c>
      <c r="DN80" s="1280">
        <v>42522</v>
      </c>
      <c r="DO80" s="821">
        <v>42552</v>
      </c>
      <c r="DP80" s="821">
        <v>42583</v>
      </c>
      <c r="DQ80" s="821">
        <v>42614</v>
      </c>
      <c r="DR80" s="821">
        <v>42644</v>
      </c>
      <c r="DS80" s="821">
        <v>42675</v>
      </c>
      <c r="DT80" s="821">
        <v>42705</v>
      </c>
      <c r="DU80" s="821">
        <v>42736</v>
      </c>
      <c r="DV80" s="821">
        <v>42767</v>
      </c>
      <c r="DW80" s="821">
        <v>42795</v>
      </c>
      <c r="DX80" s="821">
        <v>42826</v>
      </c>
      <c r="DY80" s="821">
        <v>42856</v>
      </c>
      <c r="DZ80" s="1280">
        <v>42887</v>
      </c>
      <c r="EA80" s="821">
        <v>42917</v>
      </c>
      <c r="EB80" s="821">
        <v>42948</v>
      </c>
      <c r="EC80" s="821">
        <v>42979</v>
      </c>
      <c r="ED80" s="821">
        <v>43009</v>
      </c>
      <c r="EE80" s="821">
        <v>43040</v>
      </c>
      <c r="EF80" s="821">
        <v>43070</v>
      </c>
      <c r="EG80" s="821">
        <v>43101</v>
      </c>
      <c r="EH80" s="821">
        <v>43132</v>
      </c>
      <c r="EI80" s="821">
        <v>43160</v>
      </c>
      <c r="EJ80" s="821">
        <v>43191</v>
      </c>
      <c r="EK80" s="821">
        <v>43221</v>
      </c>
      <c r="EL80" s="1280">
        <v>43252</v>
      </c>
      <c r="EM80" s="1079">
        <v>43282</v>
      </c>
      <c r="EN80" s="1079">
        <v>43313</v>
      </c>
      <c r="EO80" s="1079">
        <v>43344</v>
      </c>
      <c r="EP80" s="1079">
        <v>43374</v>
      </c>
      <c r="EQ80" s="1079">
        <v>43405</v>
      </c>
      <c r="ER80" s="1079">
        <v>43435</v>
      </c>
      <c r="ES80" s="1079">
        <v>43466</v>
      </c>
      <c r="ET80" s="1079">
        <v>43497</v>
      </c>
      <c r="EU80" s="1079">
        <v>43525</v>
      </c>
      <c r="EV80" s="1079">
        <v>43556</v>
      </c>
      <c r="EW80" s="1079">
        <v>43586</v>
      </c>
      <c r="EX80" s="1348">
        <v>43617</v>
      </c>
      <c r="EY80" s="1079">
        <v>43647</v>
      </c>
      <c r="EZ80" s="1079">
        <v>43678</v>
      </c>
      <c r="FA80" s="1079">
        <v>43709</v>
      </c>
      <c r="FB80" s="1079">
        <v>43739</v>
      </c>
      <c r="FC80" s="1079">
        <v>43770</v>
      </c>
      <c r="FD80" s="1079">
        <v>43800</v>
      </c>
      <c r="FE80" s="1079">
        <v>43831</v>
      </c>
      <c r="FF80" s="1079">
        <v>43862</v>
      </c>
      <c r="FG80" s="1079">
        <v>43891</v>
      </c>
      <c r="FH80" s="1079">
        <v>43922</v>
      </c>
      <c r="FI80" s="1079">
        <v>43952</v>
      </c>
      <c r="FJ80" s="1348">
        <v>43983</v>
      </c>
      <c r="FK80" s="1079">
        <v>44013</v>
      </c>
      <c r="FL80" s="1079">
        <v>44044</v>
      </c>
      <c r="FM80" s="1079">
        <v>44075</v>
      </c>
      <c r="FN80" s="1079">
        <v>44105</v>
      </c>
      <c r="FO80" s="1079">
        <v>44136</v>
      </c>
      <c r="FP80" s="1079">
        <v>44166</v>
      </c>
      <c r="FQ80" s="821"/>
      <c r="FR80" s="821"/>
      <c r="FS80" s="821"/>
      <c r="FT80" s="821"/>
      <c r="FU80" s="821"/>
      <c r="FV80" s="821"/>
      <c r="FW80" s="821"/>
      <c r="FX80" s="821"/>
      <c r="FY80" s="821"/>
      <c r="FZ80" s="821"/>
      <c r="GA80" s="821"/>
      <c r="GB80" s="821"/>
      <c r="GC80" s="821"/>
      <c r="GD80" s="821"/>
      <c r="GE80" s="821"/>
      <c r="GF80" s="821"/>
      <c r="GG80" s="821"/>
      <c r="GH80" s="821"/>
      <c r="GI80" s="821"/>
      <c r="GJ80" s="821"/>
      <c r="GK80" s="821"/>
      <c r="GL80" s="821"/>
      <c r="GM80" s="821"/>
      <c r="GN80" s="821"/>
      <c r="GO80" s="821"/>
      <c r="GP80" s="821"/>
      <c r="GQ80" s="821"/>
      <c r="GR80" s="821"/>
      <c r="GS80" s="821"/>
      <c r="GT80" s="821"/>
      <c r="GU80" s="821"/>
      <c r="GV80" s="821"/>
      <c r="GW80" s="821"/>
      <c r="GX80" s="821"/>
      <c r="GY80" s="821"/>
      <c r="GZ80" s="821"/>
      <c r="HA80" s="821"/>
      <c r="HB80" s="821"/>
      <c r="HC80" s="821"/>
      <c r="HD80" s="821"/>
      <c r="HE80" s="821"/>
      <c r="HF80" s="821"/>
      <c r="HG80" s="821"/>
      <c r="HH80" s="821"/>
      <c r="HI80" s="821"/>
      <c r="HJ80" s="821"/>
      <c r="HK80" s="821"/>
      <c r="HL80" s="821"/>
      <c r="HM80" s="821"/>
      <c r="HN80" s="821"/>
      <c r="HO80" s="821"/>
      <c r="HP80" s="821"/>
      <c r="HQ80" s="821"/>
      <c r="HR80" s="821"/>
      <c r="HS80" s="821"/>
      <c r="HT80" s="821"/>
      <c r="HU80" s="821"/>
      <c r="HV80" s="821"/>
      <c r="HW80" s="821"/>
      <c r="HX80" s="821"/>
      <c r="HY80" s="821"/>
      <c r="KT80" s="280"/>
    </row>
    <row r="81" spans="1:306" outlineLevel="1">
      <c r="A81" s="96" t="s">
        <v>337</v>
      </c>
      <c r="D81" s="815" t="s">
        <v>3723</v>
      </c>
      <c r="E81" s="293"/>
      <c r="F81" s="293"/>
      <c r="G81" s="293"/>
      <c r="H81" s="293"/>
      <c r="I81" s="293"/>
      <c r="J81" s="293"/>
      <c r="K81" s="293"/>
      <c r="L81" s="293"/>
      <c r="M81" s="293"/>
      <c r="N81" s="293"/>
      <c r="O81" s="29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c r="BN81" s="293"/>
      <c r="BO81" s="293"/>
      <c r="BP81" s="293"/>
      <c r="BQ81" s="293"/>
      <c r="BR81" s="293"/>
      <c r="BS81" s="293"/>
      <c r="BT81" s="293"/>
      <c r="BU81" s="293"/>
      <c r="BV81" s="293"/>
      <c r="BW81" s="293"/>
      <c r="BX81" s="293"/>
      <c r="BY81" s="293"/>
      <c r="BZ81" s="293"/>
      <c r="CA81" s="293"/>
      <c r="CB81" s="293"/>
      <c r="CC81" s="293"/>
      <c r="CD81" s="293"/>
      <c r="CE81" s="294"/>
      <c r="CF81" s="293"/>
      <c r="CG81" s="293"/>
      <c r="CH81" s="293"/>
      <c r="CI81" s="293"/>
      <c r="CJ81" s="468">
        <v>109.42538726960038</v>
      </c>
      <c r="CK81" s="468">
        <v>108.21524714960037</v>
      </c>
      <c r="CL81" s="468">
        <v>109.88125118900001</v>
      </c>
      <c r="CM81" s="468">
        <v>108.05782639500001</v>
      </c>
      <c r="CN81" s="468">
        <v>107.102107762</v>
      </c>
      <c r="CO81" s="468">
        <v>101.36832824400001</v>
      </c>
      <c r="CP81" s="1273">
        <v>96.261070262000018</v>
      </c>
      <c r="CQ81" s="468">
        <v>95.29340514579745</v>
      </c>
      <c r="CR81" s="468">
        <v>95.29340514579745</v>
      </c>
      <c r="CS81" s="468">
        <v>95.186147163797443</v>
      </c>
      <c r="CT81" s="468">
        <v>94.206386233642363</v>
      </c>
      <c r="CU81" s="468">
        <v>94.206386233642363</v>
      </c>
      <c r="CV81" s="468">
        <v>94.099128251642369</v>
      </c>
      <c r="CW81" s="468">
        <v>93.107120309860335</v>
      </c>
      <c r="CX81" s="468">
        <v>93.107120309860335</v>
      </c>
      <c r="CY81" s="468">
        <v>92.999820309860326</v>
      </c>
      <c r="CZ81" s="468">
        <v>91.995412268806035</v>
      </c>
      <c r="DA81" s="468">
        <v>91.995412268806035</v>
      </c>
      <c r="DB81" s="1292">
        <v>91.888154294806043</v>
      </c>
      <c r="DC81" s="815">
        <v>90.871191153238556</v>
      </c>
      <c r="DD81" s="815">
        <v>90.871191153238556</v>
      </c>
      <c r="DE81" s="815">
        <v>90.763933171238563</v>
      </c>
      <c r="DF81" s="815">
        <v>89.734257990401488</v>
      </c>
      <c r="DG81" s="815">
        <v>82.734257990401488</v>
      </c>
      <c r="DH81" s="815">
        <v>82.446837761401497</v>
      </c>
      <c r="DI81" s="815">
        <v>79.82006843107294</v>
      </c>
      <c r="DJ81" s="815">
        <v>79.82006843107294</v>
      </c>
      <c r="DK81" s="815">
        <v>79.82006843107294</v>
      </c>
      <c r="DL81" s="815">
        <v>78.764490483967947</v>
      </c>
      <c r="DM81" s="815">
        <v>78.764490483967947</v>
      </c>
      <c r="DN81" s="820">
        <v>78.791618267976304</v>
      </c>
      <c r="DO81" s="815">
        <v>77.72284559653248</v>
      </c>
      <c r="DP81" s="815">
        <v>76.867393563532474</v>
      </c>
      <c r="DQ81" s="815">
        <v>76.003767210532473</v>
      </c>
      <c r="DR81" s="815">
        <v>74.049756098695624</v>
      </c>
      <c r="DS81" s="815">
        <v>74.049756098695624</v>
      </c>
      <c r="DT81" s="815">
        <v>73.768060605695624</v>
      </c>
      <c r="DU81" s="815">
        <v>71.804998342940124</v>
      </c>
      <c r="DV81" s="815">
        <v>70.910602202662417</v>
      </c>
      <c r="DW81" s="815">
        <v>70.007924667113656</v>
      </c>
      <c r="DX81" s="815">
        <v>67.984230988854335</v>
      </c>
      <c r="DY81" s="815">
        <v>67.984230988854335</v>
      </c>
      <c r="DZ81" s="820">
        <v>67.06991133136718</v>
      </c>
      <c r="EA81" s="815">
        <v>64.049623433009373</v>
      </c>
      <c r="EB81" s="815">
        <v>62.152557189547181</v>
      </c>
      <c r="EC81" s="815">
        <v>60.252557189547176</v>
      </c>
      <c r="ED81" s="815">
        <v>55.167198714547176</v>
      </c>
      <c r="EE81" s="815">
        <v>55.167198714547176</v>
      </c>
      <c r="EF81" s="815">
        <v>53.058998708547172</v>
      </c>
      <c r="EG81" s="815">
        <v>50.00752100854718</v>
      </c>
      <c r="EH81" s="815">
        <v>48.107521008547174</v>
      </c>
      <c r="EI81" s="815">
        <v>46.207521008547175</v>
      </c>
      <c r="EJ81" s="815">
        <v>44.141649837547178</v>
      </c>
      <c r="EK81" s="815">
        <v>44.141649837547178</v>
      </c>
      <c r="EL81" s="820">
        <v>42.241649837547179</v>
      </c>
      <c r="EM81" s="1084"/>
      <c r="EN81" s="1084"/>
      <c r="EO81" s="1084"/>
      <c r="EP81" s="1084"/>
      <c r="EQ81" s="1084"/>
      <c r="ER81" s="1084"/>
      <c r="ES81" s="1084"/>
      <c r="ET81" s="1084"/>
      <c r="EU81" s="1084"/>
      <c r="EV81" s="1084"/>
      <c r="EW81" s="1084"/>
      <c r="EX81" s="1351"/>
      <c r="EY81" s="1084"/>
      <c r="EZ81" s="1084"/>
      <c r="FA81" s="1084"/>
      <c r="FB81" s="1084"/>
      <c r="FC81" s="1084"/>
      <c r="FD81" s="1084"/>
      <c r="FE81" s="1084"/>
      <c r="FF81" s="1084"/>
      <c r="FG81" s="1084"/>
      <c r="FH81" s="1084"/>
      <c r="FI81" s="1084"/>
      <c r="FJ81" s="1351"/>
      <c r="FK81" s="1084"/>
      <c r="FL81" s="1084"/>
      <c r="FM81" s="1084"/>
      <c r="FN81" s="1084"/>
      <c r="FO81" s="1084"/>
      <c r="FP81" s="1084"/>
      <c r="FQ81" s="815"/>
      <c r="FR81" s="815"/>
      <c r="FS81" s="815"/>
      <c r="FT81" s="815"/>
      <c r="FU81" s="815"/>
      <c r="FV81" s="815"/>
      <c r="FW81" s="815"/>
      <c r="FX81" s="815"/>
      <c r="FY81" s="815"/>
      <c r="FZ81" s="815"/>
      <c r="GA81" s="815"/>
      <c r="GB81" s="815"/>
      <c r="GC81" s="815"/>
      <c r="GD81" s="815"/>
      <c r="GE81" s="815"/>
      <c r="GF81" s="815"/>
      <c r="GG81" s="815"/>
      <c r="GH81" s="815"/>
      <c r="GI81" s="815"/>
      <c r="GJ81" s="815"/>
      <c r="GK81" s="815"/>
      <c r="GL81" s="815"/>
      <c r="GM81" s="815"/>
      <c r="GN81" s="815"/>
      <c r="GO81" s="815"/>
      <c r="GP81" s="815"/>
      <c r="GQ81" s="815"/>
      <c r="GR81" s="815"/>
      <c r="GS81" s="815"/>
      <c r="GT81" s="815"/>
      <c r="GU81" s="815"/>
      <c r="GV81" s="815"/>
      <c r="GW81" s="815"/>
      <c r="GX81" s="815"/>
      <c r="GY81" s="815"/>
      <c r="GZ81" s="815"/>
      <c r="HA81" s="815"/>
      <c r="HB81" s="815"/>
      <c r="HC81" s="815"/>
      <c r="HD81" s="815"/>
      <c r="HE81" s="815"/>
      <c r="HF81" s="815"/>
      <c r="HG81" s="815"/>
      <c r="HH81" s="815"/>
      <c r="HI81" s="815"/>
      <c r="HJ81" s="815"/>
      <c r="HK81" s="815"/>
      <c r="HL81" s="815"/>
      <c r="HM81" s="815"/>
      <c r="HN81" s="815"/>
      <c r="HO81" s="815"/>
      <c r="HP81" s="815"/>
      <c r="HQ81" s="815"/>
      <c r="HR81" s="815"/>
      <c r="HS81" s="815"/>
      <c r="HT81" s="815"/>
      <c r="HU81" s="815"/>
      <c r="HV81" s="815"/>
      <c r="HW81" s="815"/>
      <c r="HX81" s="815"/>
      <c r="HY81" s="815"/>
      <c r="IH81" s="607"/>
      <c r="II81" s="607"/>
      <c r="IJ81" s="607"/>
      <c r="IK81" s="279">
        <f t="shared" ref="IK81:IK94" si="16">SUM(DO81:DT81)</f>
        <v>452.4615791736843</v>
      </c>
      <c r="KT81" s="280"/>
    </row>
    <row r="82" spans="1:306" outlineLevel="1">
      <c r="A82" s="291"/>
      <c r="B82" s="96" t="s">
        <v>338</v>
      </c>
      <c r="D82" s="293" t="s">
        <v>371</v>
      </c>
      <c r="E82" s="293"/>
      <c r="F82" s="293"/>
      <c r="G82" s="293"/>
      <c r="H82" s="293"/>
      <c r="I82" s="293"/>
      <c r="J82" s="293"/>
      <c r="K82" s="293"/>
      <c r="L82" s="293"/>
      <c r="M82" s="293"/>
      <c r="N82" s="293"/>
      <c r="O82" s="29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c r="BN82" s="293"/>
      <c r="BO82" s="293"/>
      <c r="BP82" s="293"/>
      <c r="BQ82" s="293"/>
      <c r="BR82" s="293"/>
      <c r="BS82" s="293"/>
      <c r="BT82" s="293"/>
      <c r="BU82" s="293"/>
      <c r="BV82" s="293"/>
      <c r="BW82" s="293"/>
      <c r="BX82" s="293"/>
      <c r="BY82" s="293"/>
      <c r="BZ82" s="293"/>
      <c r="CA82" s="293"/>
      <c r="CB82" s="293"/>
      <c r="CC82" s="293"/>
      <c r="CD82" s="293"/>
      <c r="CE82" s="294"/>
      <c r="CF82" s="293"/>
      <c r="CG82" s="293"/>
      <c r="CH82" s="293"/>
      <c r="CI82" s="293"/>
      <c r="CJ82" s="468">
        <v>106.58661124100001</v>
      </c>
      <c r="CK82" s="468">
        <v>105.37647112100001</v>
      </c>
      <c r="CL82" s="468">
        <v>105.37647112100001</v>
      </c>
      <c r="CM82" s="468">
        <v>103.66030430900001</v>
      </c>
      <c r="CN82" s="468">
        <v>102.70458567600001</v>
      </c>
      <c r="CO82" s="468">
        <v>96.970806158000016</v>
      </c>
      <c r="CP82" s="1273">
        <v>91.970806158000016</v>
      </c>
      <c r="CQ82" s="468">
        <v>91.003141041797448</v>
      </c>
      <c r="CR82" s="468">
        <v>91.003141041797448</v>
      </c>
      <c r="CS82" s="468">
        <v>91.003141041797448</v>
      </c>
      <c r="CT82" s="468">
        <v>90.023380111642368</v>
      </c>
      <c r="CU82" s="468">
        <v>90.023380111642368</v>
      </c>
      <c r="CV82" s="468">
        <v>90.023380111642368</v>
      </c>
      <c r="CW82" s="468">
        <v>89.031372169860333</v>
      </c>
      <c r="CX82" s="468">
        <v>89.031372169860333</v>
      </c>
      <c r="CY82" s="468">
        <v>89.031372169860333</v>
      </c>
      <c r="CZ82" s="468">
        <v>88.026964128806043</v>
      </c>
      <c r="DA82" s="468">
        <v>88.026964128806043</v>
      </c>
      <c r="DB82" s="1292">
        <v>88.026964128806043</v>
      </c>
      <c r="DC82" s="606">
        <v>87.010000987238556</v>
      </c>
      <c r="DD82" s="606">
        <v>87.010000987238556</v>
      </c>
      <c r="DE82" s="606">
        <v>87.010000987238556</v>
      </c>
      <c r="DF82" s="606">
        <v>85.980325806401495</v>
      </c>
      <c r="DG82" s="606">
        <v>78.980325806401495</v>
      </c>
      <c r="DH82" s="606">
        <v>78.980325806401495</v>
      </c>
      <c r="DI82" s="606">
        <v>77.937779686401484</v>
      </c>
      <c r="DJ82" s="606">
        <v>77.937779686401484</v>
      </c>
      <c r="DK82" s="606">
        <v>77.937779686401484</v>
      </c>
      <c r="DL82" s="606">
        <v>76.882201739296491</v>
      </c>
      <c r="DM82" s="606">
        <v>76.882201739296491</v>
      </c>
      <c r="DN82" s="622">
        <v>76.882201739296491</v>
      </c>
      <c r="DO82" s="606">
        <v>75.813429067852667</v>
      </c>
      <c r="DP82" s="606">
        <v>74.957977034852661</v>
      </c>
      <c r="DQ82" s="606">
        <v>74.09435068185266</v>
      </c>
      <c r="DR82" s="606">
        <v>72.140339570015811</v>
      </c>
      <c r="DS82" s="606">
        <v>72.140339570015811</v>
      </c>
      <c r="DT82" s="606">
        <v>72.052318502015808</v>
      </c>
      <c r="DU82" s="606">
        <v>70.068038554055988</v>
      </c>
      <c r="DV82" s="606">
        <v>69.170926322055976</v>
      </c>
      <c r="DW82" s="606">
        <v>68.265241685055969</v>
      </c>
      <c r="DX82" s="606">
        <v>66.241548006796648</v>
      </c>
      <c r="DY82" s="606">
        <v>66.241548006796648</v>
      </c>
      <c r="DZ82" s="622">
        <v>65.318472032796649</v>
      </c>
      <c r="EA82" s="606">
        <v>62.29525037752159</v>
      </c>
      <c r="EB82" s="606">
        <v>60.395250377521592</v>
      </c>
      <c r="EC82" s="606">
        <v>58.495250377521586</v>
      </c>
      <c r="ED82" s="606">
        <v>53.618736999521587</v>
      </c>
      <c r="EE82" s="606">
        <v>53.618736999521587</v>
      </c>
      <c r="EF82" s="606">
        <v>51.718736999521582</v>
      </c>
      <c r="EG82" s="606">
        <v>48.667259299521589</v>
      </c>
      <c r="EH82" s="606">
        <v>46.767259299521584</v>
      </c>
      <c r="EI82" s="606">
        <v>44.867259299521585</v>
      </c>
      <c r="EJ82" s="606">
        <v>41.801388128521587</v>
      </c>
      <c r="EK82" s="606">
        <v>41.801388128521587</v>
      </c>
      <c r="EL82" s="622">
        <v>39.901388128521589</v>
      </c>
      <c r="EM82" s="1083"/>
      <c r="EN82" s="1083"/>
      <c r="EO82" s="1083"/>
      <c r="EP82" s="1083"/>
      <c r="EQ82" s="1083"/>
      <c r="ER82" s="1083"/>
      <c r="ES82" s="1083"/>
      <c r="ET82" s="1083"/>
      <c r="EU82" s="1083"/>
      <c r="EV82" s="1083"/>
      <c r="EW82" s="1083"/>
      <c r="EX82" s="1329"/>
      <c r="EY82" s="1083"/>
      <c r="EZ82" s="1083"/>
      <c r="FA82" s="1083"/>
      <c r="FB82" s="1083"/>
      <c r="FC82" s="1083"/>
      <c r="FD82" s="1083"/>
      <c r="FE82" s="1083"/>
      <c r="FF82" s="1083"/>
      <c r="FG82" s="1083"/>
      <c r="FH82" s="1083"/>
      <c r="FI82" s="1083"/>
      <c r="FJ82" s="1329"/>
      <c r="FK82" s="1083"/>
      <c r="FL82" s="1083"/>
      <c r="FM82" s="1083"/>
      <c r="FN82" s="1083"/>
      <c r="FO82" s="1083"/>
      <c r="FP82" s="1083"/>
      <c r="FQ82" s="606"/>
      <c r="FR82" s="606"/>
      <c r="FS82" s="606"/>
      <c r="FT82" s="606"/>
      <c r="FU82" s="606"/>
      <c r="FV82" s="606"/>
      <c r="FW82" s="606"/>
      <c r="FX82" s="606"/>
      <c r="FY82" s="606"/>
      <c r="FZ82" s="606"/>
      <c r="GA82" s="606"/>
      <c r="GB82" s="606"/>
      <c r="GC82" s="606"/>
      <c r="GD82" s="606"/>
      <c r="GE82" s="606"/>
      <c r="GF82" s="606"/>
      <c r="GG82" s="606"/>
      <c r="GH82" s="606"/>
      <c r="GI82" s="606"/>
      <c r="GJ82" s="606"/>
      <c r="GK82" s="606"/>
      <c r="GL82" s="606"/>
      <c r="GM82" s="606"/>
      <c r="GN82" s="606"/>
      <c r="GO82" s="606"/>
      <c r="GP82" s="606"/>
      <c r="GQ82" s="606"/>
      <c r="GR82" s="606"/>
      <c r="GS82" s="606"/>
      <c r="GT82" s="606"/>
      <c r="GU82" s="606"/>
      <c r="GV82" s="606"/>
      <c r="GW82" s="606"/>
      <c r="GX82" s="606"/>
      <c r="GY82" s="606"/>
      <c r="GZ82" s="606"/>
      <c r="HA82" s="606"/>
      <c r="HB82" s="606"/>
      <c r="HC82" s="606"/>
      <c r="HD82" s="606"/>
      <c r="HE82" s="606"/>
      <c r="HF82" s="606"/>
      <c r="HG82" s="606"/>
      <c r="HH82" s="606"/>
      <c r="HI82" s="606"/>
      <c r="HJ82" s="606"/>
      <c r="HK82" s="606"/>
      <c r="HL82" s="606"/>
      <c r="HM82" s="606"/>
      <c r="HN82" s="606"/>
      <c r="HO82" s="606"/>
      <c r="HP82" s="606"/>
      <c r="HQ82" s="606"/>
      <c r="HR82" s="606"/>
      <c r="HS82" s="606"/>
      <c r="HT82" s="606"/>
      <c r="HU82" s="606"/>
      <c r="HV82" s="606"/>
      <c r="HW82" s="606"/>
      <c r="HX82" s="606"/>
      <c r="HY82" s="606"/>
      <c r="IK82" s="279">
        <f t="shared" si="16"/>
        <v>441.19875442660538</v>
      </c>
      <c r="KT82" s="280"/>
    </row>
    <row r="83" spans="1:306" outlineLevel="1">
      <c r="A83" s="291"/>
      <c r="B83" s="96" t="s">
        <v>338</v>
      </c>
      <c r="D83" s="293" t="s">
        <v>966</v>
      </c>
      <c r="E83" s="293"/>
      <c r="F83" s="293"/>
      <c r="G83" s="293"/>
      <c r="H83" s="293"/>
      <c r="I83" s="293"/>
      <c r="J83" s="293"/>
      <c r="K83" s="293"/>
      <c r="L83" s="293"/>
      <c r="M83" s="293"/>
      <c r="N83" s="293"/>
      <c r="O83" s="29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c r="BN83" s="293"/>
      <c r="BO83" s="293"/>
      <c r="BP83" s="293"/>
      <c r="BQ83" s="293"/>
      <c r="BR83" s="293"/>
      <c r="BS83" s="293"/>
      <c r="BT83" s="293"/>
      <c r="BU83" s="293"/>
      <c r="BV83" s="293"/>
      <c r="BW83" s="293"/>
      <c r="BX83" s="293"/>
      <c r="BY83" s="293"/>
      <c r="BZ83" s="293"/>
      <c r="CA83" s="293"/>
      <c r="CB83" s="293"/>
      <c r="CC83" s="293"/>
      <c r="CD83" s="293"/>
      <c r="CE83" s="294"/>
      <c r="CF83" s="293"/>
      <c r="CG83" s="293"/>
      <c r="CH83" s="293"/>
      <c r="CI83" s="293"/>
      <c r="CJ83" s="469">
        <v>38.572805901000002</v>
      </c>
      <c r="CK83" s="469">
        <v>38.306585419000001</v>
      </c>
      <c r="CL83" s="469">
        <v>38.306585419000001</v>
      </c>
      <c r="CM83" s="469">
        <v>38.306585419000001</v>
      </c>
      <c r="CN83" s="469">
        <v>38.306585419000001</v>
      </c>
      <c r="CO83" s="469">
        <v>38.572805901000002</v>
      </c>
      <c r="CP83" s="1274">
        <v>38.572805901000002</v>
      </c>
      <c r="CQ83" s="469">
        <v>38.572805901000002</v>
      </c>
      <c r="CR83" s="469">
        <v>38.572805901000002</v>
      </c>
      <c r="CS83" s="469">
        <v>38.572805901000002</v>
      </c>
      <c r="CT83" s="469">
        <v>38.572805901000002</v>
      </c>
      <c r="CU83" s="469">
        <v>38.572805901000002</v>
      </c>
      <c r="CV83" s="469">
        <v>38.572805901000002</v>
      </c>
      <c r="CW83" s="469">
        <v>38.572805901000002</v>
      </c>
      <c r="CX83" s="469">
        <v>38.572805901000002</v>
      </c>
      <c r="CY83" s="469">
        <v>38.572805901000002</v>
      </c>
      <c r="CZ83" s="469">
        <v>38.572805901000002</v>
      </c>
      <c r="DA83" s="469">
        <v>38.572805901000002</v>
      </c>
      <c r="DB83" s="1293">
        <v>38.572805901000002</v>
      </c>
      <c r="DC83" s="293">
        <v>38.572805901000002</v>
      </c>
      <c r="DD83" s="293">
        <v>38.572805901000002</v>
      </c>
      <c r="DE83" s="293">
        <v>38.572805901000002</v>
      </c>
      <c r="DF83" s="293">
        <v>38.572805901000002</v>
      </c>
      <c r="DG83" s="293">
        <v>38.572805901000002</v>
      </c>
      <c r="DH83" s="293">
        <v>38.572805901000002</v>
      </c>
      <c r="DI83" s="293">
        <v>38.572805901000002</v>
      </c>
      <c r="DJ83" s="293">
        <v>38.572805901000002</v>
      </c>
      <c r="DK83" s="293">
        <v>38.572805901000002</v>
      </c>
      <c r="DL83" s="293">
        <v>38.572805901000002</v>
      </c>
      <c r="DM83" s="293">
        <v>38.572805901000002</v>
      </c>
      <c r="DN83" s="295">
        <v>38.572805901000002</v>
      </c>
      <c r="DO83" s="293">
        <v>38.572805901000002</v>
      </c>
      <c r="DP83" s="293">
        <v>38.572805901000002</v>
      </c>
      <c r="DQ83" s="293">
        <v>38.572805901000002</v>
      </c>
      <c r="DR83" s="293">
        <v>38.572805901000002</v>
      </c>
      <c r="DS83" s="293">
        <v>38.572805901000002</v>
      </c>
      <c r="DT83" s="293">
        <v>38.572805901000002</v>
      </c>
      <c r="DU83" s="293">
        <v>38.572805901000002</v>
      </c>
      <c r="DV83" s="293">
        <v>38.572805901000002</v>
      </c>
      <c r="DW83" s="293">
        <v>38.572805901000002</v>
      </c>
      <c r="DX83" s="293">
        <v>38.572805901000002</v>
      </c>
      <c r="DY83" s="293">
        <v>38.572805901000002</v>
      </c>
      <c r="DZ83" s="295">
        <v>38.572805901000002</v>
      </c>
      <c r="EA83" s="293">
        <v>38.572805901000002</v>
      </c>
      <c r="EB83" s="293">
        <v>38.572805901000002</v>
      </c>
      <c r="EC83" s="293">
        <v>38.572805901000002</v>
      </c>
      <c r="ED83" s="293">
        <v>37.525743449000004</v>
      </c>
      <c r="EE83" s="293">
        <v>37.525743449000004</v>
      </c>
      <c r="EF83" s="293">
        <v>37.525743449000004</v>
      </c>
      <c r="EG83" s="293">
        <v>37.525743449000004</v>
      </c>
      <c r="EH83" s="293">
        <v>37.525743449000004</v>
      </c>
      <c r="EI83" s="293">
        <v>37.525743449000004</v>
      </c>
      <c r="EJ83" s="293">
        <v>37.525743449000004</v>
      </c>
      <c r="EK83" s="293">
        <v>37.525743449000004</v>
      </c>
      <c r="EL83" s="295">
        <v>37.525743449000004</v>
      </c>
      <c r="EM83" s="1080"/>
      <c r="EN83" s="1080"/>
      <c r="EO83" s="1080"/>
      <c r="EP83" s="1080"/>
      <c r="EQ83" s="1080"/>
      <c r="ER83" s="1080"/>
      <c r="ES83" s="1080"/>
      <c r="ET83" s="1080"/>
      <c r="EU83" s="1080"/>
      <c r="EV83" s="1080"/>
      <c r="EW83" s="1080"/>
      <c r="EX83" s="1340"/>
      <c r="EY83" s="1080"/>
      <c r="EZ83" s="1080"/>
      <c r="FA83" s="1080"/>
      <c r="FB83" s="1080"/>
      <c r="FC83" s="1080"/>
      <c r="FD83" s="1080"/>
      <c r="FE83" s="1080"/>
      <c r="FF83" s="1080"/>
      <c r="FG83" s="1080"/>
      <c r="FH83" s="1080"/>
      <c r="FI83" s="1080"/>
      <c r="FJ83" s="1340"/>
      <c r="FK83" s="1080"/>
      <c r="FL83" s="1080"/>
      <c r="FM83" s="1080"/>
      <c r="FN83" s="1080"/>
      <c r="FO83" s="1080"/>
      <c r="FP83" s="1080"/>
      <c r="FQ83" s="293"/>
      <c r="FR83" s="293"/>
      <c r="FS83" s="293"/>
      <c r="FT83" s="293"/>
      <c r="FU83" s="293"/>
      <c r="FV83" s="293"/>
      <c r="FW83" s="293"/>
      <c r="FX83" s="293"/>
      <c r="FY83" s="293"/>
      <c r="FZ83" s="293"/>
      <c r="GA83" s="293"/>
      <c r="GB83" s="293"/>
      <c r="GC83" s="293"/>
      <c r="GD83" s="293"/>
      <c r="GE83" s="293"/>
      <c r="GF83" s="293"/>
      <c r="GG83" s="293"/>
      <c r="GH83" s="293"/>
      <c r="GI83" s="293"/>
      <c r="GJ83" s="293"/>
      <c r="GK83" s="293"/>
      <c r="GL83" s="293"/>
      <c r="GM83" s="293"/>
      <c r="GN83" s="293"/>
      <c r="GO83" s="293"/>
      <c r="GP83" s="293"/>
      <c r="GQ83" s="293"/>
      <c r="GR83" s="293"/>
      <c r="GS83" s="293"/>
      <c r="GT83" s="293"/>
      <c r="GU83" s="293"/>
      <c r="GV83" s="293"/>
      <c r="GW83" s="293"/>
      <c r="GX83" s="293"/>
      <c r="GY83" s="293"/>
      <c r="GZ83" s="293"/>
      <c r="HA83" s="293"/>
      <c r="HB83" s="293"/>
      <c r="HC83" s="293"/>
      <c r="HD83" s="293"/>
      <c r="HE83" s="293"/>
      <c r="HF83" s="293"/>
      <c r="HG83" s="293"/>
      <c r="HH83" s="293"/>
      <c r="HI83" s="293"/>
      <c r="HJ83" s="293"/>
      <c r="HK83" s="293"/>
      <c r="HL83" s="293"/>
      <c r="HM83" s="293"/>
      <c r="HN83" s="293"/>
      <c r="HO83" s="293"/>
      <c r="HP83" s="293"/>
      <c r="HQ83" s="293"/>
      <c r="HR83" s="293"/>
      <c r="HS83" s="293"/>
      <c r="HT83" s="293"/>
      <c r="HU83" s="293"/>
      <c r="HV83" s="293"/>
      <c r="HW83" s="293"/>
      <c r="HX83" s="293"/>
      <c r="HY83" s="293"/>
      <c r="IK83" s="279">
        <f t="shared" si="16"/>
        <v>231.43683540600003</v>
      </c>
      <c r="KT83" s="280"/>
    </row>
    <row r="84" spans="1:306" outlineLevel="1">
      <c r="A84" s="291"/>
      <c r="B84" s="96" t="s">
        <v>338</v>
      </c>
      <c r="D84" s="298" t="s">
        <v>967</v>
      </c>
      <c r="E84" s="293"/>
      <c r="F84" s="293"/>
      <c r="G84" s="293"/>
      <c r="H84" s="293"/>
      <c r="I84" s="293"/>
      <c r="J84" s="293"/>
      <c r="K84" s="293"/>
      <c r="L84" s="293"/>
      <c r="M84" s="293"/>
      <c r="N84" s="293"/>
      <c r="O84" s="29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c r="BN84" s="293"/>
      <c r="BO84" s="293"/>
      <c r="BP84" s="293"/>
      <c r="BQ84" s="293"/>
      <c r="BR84" s="293"/>
      <c r="BS84" s="293"/>
      <c r="BT84" s="293"/>
      <c r="BU84" s="293"/>
      <c r="BV84" s="293"/>
      <c r="BW84" s="293"/>
      <c r="BX84" s="293"/>
      <c r="BY84" s="293"/>
      <c r="BZ84" s="293"/>
      <c r="CA84" s="293"/>
      <c r="CB84" s="293"/>
      <c r="CC84" s="293"/>
      <c r="CD84" s="293"/>
      <c r="CE84" s="294"/>
      <c r="CF84" s="293"/>
      <c r="CG84" s="293"/>
      <c r="CH84" s="293"/>
      <c r="CI84" s="293"/>
      <c r="CJ84" s="470">
        <v>68.013805340000005</v>
      </c>
      <c r="CK84" s="470">
        <v>67.069885702000008</v>
      </c>
      <c r="CL84" s="470">
        <v>67.069885702000008</v>
      </c>
      <c r="CM84" s="470">
        <v>65.35371889000001</v>
      </c>
      <c r="CN84" s="470">
        <v>64.398000257000007</v>
      </c>
      <c r="CO84" s="470">
        <v>58.398000257000007</v>
      </c>
      <c r="CP84" s="1275">
        <v>53.398000257000007</v>
      </c>
      <c r="CQ84" s="470">
        <v>52.430335140797453</v>
      </c>
      <c r="CR84" s="470">
        <v>52.430335140797453</v>
      </c>
      <c r="CS84" s="470">
        <v>52.430335140797453</v>
      </c>
      <c r="CT84" s="470">
        <v>51.450574210642365</v>
      </c>
      <c r="CU84" s="470">
        <v>51.450574210642365</v>
      </c>
      <c r="CV84" s="470">
        <v>51.450574210642365</v>
      </c>
      <c r="CW84" s="470">
        <v>50.458566268860338</v>
      </c>
      <c r="CX84" s="470">
        <v>50.458566268860338</v>
      </c>
      <c r="CY84" s="470">
        <v>50.458566268860338</v>
      </c>
      <c r="CZ84" s="470">
        <v>49.45415822780604</v>
      </c>
      <c r="DA84" s="470">
        <v>49.45415822780604</v>
      </c>
      <c r="DB84" s="1294">
        <v>49.45415822780604</v>
      </c>
      <c r="DC84" s="816">
        <v>48.43719508623856</v>
      </c>
      <c r="DD84" s="816">
        <v>48.43719508623856</v>
      </c>
      <c r="DE84" s="816">
        <v>48.43719508623856</v>
      </c>
      <c r="DF84" s="816">
        <v>47.407519905401493</v>
      </c>
      <c r="DG84" s="816">
        <v>40.407519905401493</v>
      </c>
      <c r="DH84" s="816">
        <v>40.407519905401493</v>
      </c>
      <c r="DI84" s="816">
        <v>39.364973785401489</v>
      </c>
      <c r="DJ84" s="816">
        <v>39.364973785401489</v>
      </c>
      <c r="DK84" s="816">
        <v>39.364973785401489</v>
      </c>
      <c r="DL84" s="816">
        <v>38.309395838296489</v>
      </c>
      <c r="DM84" s="816">
        <v>38.309395838296489</v>
      </c>
      <c r="DN84" s="817">
        <v>38.309395838296489</v>
      </c>
      <c r="DO84" s="816">
        <v>37.240623166852671</v>
      </c>
      <c r="DP84" s="816">
        <v>36.385171133852666</v>
      </c>
      <c r="DQ84" s="816">
        <v>35.521544780852665</v>
      </c>
      <c r="DR84" s="816">
        <v>33.567533669015802</v>
      </c>
      <c r="DS84" s="816">
        <v>33.567533669015802</v>
      </c>
      <c r="DT84" s="816">
        <v>33.479512601015806</v>
      </c>
      <c r="DU84" s="816">
        <v>31.495232653055979</v>
      </c>
      <c r="DV84" s="816">
        <v>30.598120421055974</v>
      </c>
      <c r="DW84" s="816">
        <v>29.692435784055974</v>
      </c>
      <c r="DX84" s="816">
        <v>27.66874210579665</v>
      </c>
      <c r="DY84" s="816">
        <v>27.66874210579665</v>
      </c>
      <c r="DZ84" s="817">
        <v>26.74566613179665</v>
      </c>
      <c r="EA84" s="816">
        <v>23.722444476521588</v>
      </c>
      <c r="EB84" s="816">
        <v>21.822444476521586</v>
      </c>
      <c r="EC84" s="816">
        <v>19.922444476521584</v>
      </c>
      <c r="ED84" s="816">
        <v>16.092993550521584</v>
      </c>
      <c r="EE84" s="816">
        <v>16.092993550521584</v>
      </c>
      <c r="EF84" s="816">
        <v>14.192993550521582</v>
      </c>
      <c r="EG84" s="816">
        <v>11.141515850521582</v>
      </c>
      <c r="EH84" s="816">
        <v>9.2415158505215818</v>
      </c>
      <c r="EI84" s="816">
        <v>7.3415158505215814</v>
      </c>
      <c r="EJ84" s="816">
        <v>4.2756446795215819</v>
      </c>
      <c r="EK84" s="816">
        <v>4.2756446795215819</v>
      </c>
      <c r="EL84" s="817">
        <v>2.3756446795215824</v>
      </c>
      <c r="EM84" s="1085"/>
      <c r="EN84" s="1085"/>
      <c r="EO84" s="1085"/>
      <c r="EP84" s="1085"/>
      <c r="EQ84" s="1085"/>
      <c r="ER84" s="1085"/>
      <c r="ES84" s="1085"/>
      <c r="ET84" s="1085"/>
      <c r="EU84" s="1085"/>
      <c r="EV84" s="1085"/>
      <c r="EW84" s="1085"/>
      <c r="EX84" s="1352"/>
      <c r="EY84" s="1085"/>
      <c r="EZ84" s="1085"/>
      <c r="FA84" s="1085"/>
      <c r="FB84" s="1085"/>
      <c r="FC84" s="1085"/>
      <c r="FD84" s="1085"/>
      <c r="FE84" s="1085"/>
      <c r="FF84" s="1085"/>
      <c r="FG84" s="1085"/>
      <c r="FH84" s="1085"/>
      <c r="FI84" s="1085"/>
      <c r="FJ84" s="1352"/>
      <c r="FK84" s="1085"/>
      <c r="FL84" s="1085"/>
      <c r="FM84" s="1085"/>
      <c r="FN84" s="1085"/>
      <c r="FO84" s="1085"/>
      <c r="FP84" s="1085"/>
      <c r="FQ84" s="816"/>
      <c r="FR84" s="816"/>
      <c r="FS84" s="816"/>
      <c r="FT84" s="816"/>
      <c r="FU84" s="816"/>
      <c r="FV84" s="816"/>
      <c r="FW84" s="816"/>
      <c r="FX84" s="816"/>
      <c r="FY84" s="816"/>
      <c r="FZ84" s="816"/>
      <c r="GA84" s="816"/>
      <c r="GB84" s="816"/>
      <c r="GC84" s="816"/>
      <c r="GD84" s="816"/>
      <c r="GE84" s="816"/>
      <c r="GF84" s="816"/>
      <c r="GG84" s="816"/>
      <c r="GH84" s="816"/>
      <c r="GI84" s="816"/>
      <c r="GJ84" s="816"/>
      <c r="GK84" s="816"/>
      <c r="GL84" s="816"/>
      <c r="GM84" s="816"/>
      <c r="GN84" s="816"/>
      <c r="GO84" s="816"/>
      <c r="GP84" s="816"/>
      <c r="GQ84" s="816"/>
      <c r="GR84" s="816"/>
      <c r="GS84" s="816"/>
      <c r="GT84" s="816"/>
      <c r="GU84" s="816"/>
      <c r="GV84" s="816"/>
      <c r="GW84" s="816"/>
      <c r="GX84" s="816"/>
      <c r="GY84" s="816"/>
      <c r="GZ84" s="816"/>
      <c r="HA84" s="816"/>
      <c r="HB84" s="816"/>
      <c r="HC84" s="816"/>
      <c r="HD84" s="816"/>
      <c r="HE84" s="816"/>
      <c r="HF84" s="816"/>
      <c r="HG84" s="816"/>
      <c r="HH84" s="816"/>
      <c r="HI84" s="816"/>
      <c r="HJ84" s="816"/>
      <c r="HK84" s="816"/>
      <c r="HL84" s="816"/>
      <c r="HM84" s="816"/>
      <c r="HN84" s="816"/>
      <c r="HO84" s="816"/>
      <c r="HP84" s="816"/>
      <c r="HQ84" s="816"/>
      <c r="HR84" s="816"/>
      <c r="HS84" s="816"/>
      <c r="HT84" s="816"/>
      <c r="HU84" s="816"/>
      <c r="HV84" s="816"/>
      <c r="HW84" s="816"/>
      <c r="HX84" s="816"/>
      <c r="HY84" s="816"/>
      <c r="IK84" s="279">
        <f t="shared" si="16"/>
        <v>209.76191902060543</v>
      </c>
      <c r="KT84" s="280"/>
    </row>
    <row r="85" spans="1:306" outlineLevel="1">
      <c r="A85" s="291"/>
      <c r="B85" s="96" t="s">
        <v>338</v>
      </c>
      <c r="D85" s="301" t="s">
        <v>374</v>
      </c>
      <c r="E85" s="293"/>
      <c r="F85" s="293"/>
      <c r="G85" s="293"/>
      <c r="H85" s="293"/>
      <c r="I85" s="293"/>
      <c r="J85" s="293"/>
      <c r="K85" s="293"/>
      <c r="L85" s="293"/>
      <c r="M85" s="293"/>
      <c r="N85" s="293"/>
      <c r="O85" s="29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c r="BN85" s="293"/>
      <c r="BO85" s="293"/>
      <c r="BP85" s="293"/>
      <c r="BQ85" s="293"/>
      <c r="BR85" s="293"/>
      <c r="BS85" s="293"/>
      <c r="BT85" s="293"/>
      <c r="BU85" s="293"/>
      <c r="BV85" s="293"/>
      <c r="BW85" s="293"/>
      <c r="BX85" s="293"/>
      <c r="BY85" s="293"/>
      <c r="BZ85" s="293"/>
      <c r="CA85" s="293"/>
      <c r="CB85" s="293"/>
      <c r="CC85" s="293"/>
      <c r="CD85" s="293"/>
      <c r="CE85" s="294"/>
      <c r="CF85" s="293"/>
      <c r="CG85" s="293"/>
      <c r="CH85" s="293"/>
      <c r="CI85" s="293"/>
      <c r="CJ85" s="470">
        <v>41.716166811999997</v>
      </c>
      <c r="CK85" s="470">
        <v>41.716166811999997</v>
      </c>
      <c r="CL85" s="470">
        <v>41.716166811999997</v>
      </c>
      <c r="CM85" s="470">
        <v>40</v>
      </c>
      <c r="CN85" s="470">
        <v>40</v>
      </c>
      <c r="CO85" s="470">
        <v>34</v>
      </c>
      <c r="CP85" s="1275">
        <v>34</v>
      </c>
      <c r="CQ85" s="470">
        <v>34</v>
      </c>
      <c r="CR85" s="470">
        <v>34</v>
      </c>
      <c r="CS85" s="470">
        <v>34</v>
      </c>
      <c r="CT85" s="470">
        <v>34</v>
      </c>
      <c r="CU85" s="470">
        <v>34</v>
      </c>
      <c r="CV85" s="470">
        <v>34</v>
      </c>
      <c r="CW85" s="470">
        <v>34</v>
      </c>
      <c r="CX85" s="470">
        <v>34</v>
      </c>
      <c r="CY85" s="470">
        <v>34</v>
      </c>
      <c r="CZ85" s="470">
        <v>34</v>
      </c>
      <c r="DA85" s="470">
        <v>34</v>
      </c>
      <c r="DB85" s="1294">
        <v>34</v>
      </c>
      <c r="DC85" s="813">
        <v>34</v>
      </c>
      <c r="DD85" s="813">
        <v>34</v>
      </c>
      <c r="DE85" s="813">
        <v>34</v>
      </c>
      <c r="DF85" s="813">
        <v>34</v>
      </c>
      <c r="DG85" s="813">
        <v>27</v>
      </c>
      <c r="DH85" s="813">
        <v>27</v>
      </c>
      <c r="DI85" s="813">
        <v>27</v>
      </c>
      <c r="DJ85" s="813">
        <v>27</v>
      </c>
      <c r="DK85" s="813">
        <v>27</v>
      </c>
      <c r="DL85" s="813">
        <v>25.944422052894996</v>
      </c>
      <c r="DM85" s="813">
        <v>25.944422052894996</v>
      </c>
      <c r="DN85" s="814">
        <v>25.944422052894996</v>
      </c>
      <c r="DO85" s="813">
        <v>25.944422052894996</v>
      </c>
      <c r="DP85" s="813">
        <v>25.088970019894997</v>
      </c>
      <c r="DQ85" s="813">
        <v>24.225343666894997</v>
      </c>
      <c r="DR85" s="813">
        <v>23.353464884894997</v>
      </c>
      <c r="DS85" s="813">
        <v>23.353464884894997</v>
      </c>
      <c r="DT85" s="813">
        <v>23.265443816894997</v>
      </c>
      <c r="DU85" s="813">
        <v>22.376822852894996</v>
      </c>
      <c r="DV85" s="813">
        <v>21.479710620894995</v>
      </c>
      <c r="DW85" s="813">
        <v>20.574025983894995</v>
      </c>
      <c r="DX85" s="813">
        <v>19.659687026894993</v>
      </c>
      <c r="DY85" s="813">
        <v>19.659687026894993</v>
      </c>
      <c r="DZ85" s="814">
        <v>18.736611052894993</v>
      </c>
      <c r="EA85" s="813">
        <v>16.836611052894995</v>
      </c>
      <c r="EB85" s="813">
        <v>14.936611052894994</v>
      </c>
      <c r="EC85" s="813">
        <v>13.036611052894994</v>
      </c>
      <c r="ED85" s="813">
        <v>11.4</v>
      </c>
      <c r="EE85" s="813">
        <v>11.4</v>
      </c>
      <c r="EF85" s="813">
        <v>9.5</v>
      </c>
      <c r="EG85" s="813">
        <v>7.6</v>
      </c>
      <c r="EH85" s="813">
        <v>5.6999999999999993</v>
      </c>
      <c r="EI85" s="813">
        <v>3.7999999999999994</v>
      </c>
      <c r="EJ85" s="813">
        <v>1.8999999999999995</v>
      </c>
      <c r="EK85" s="813">
        <v>1.8999999999999995</v>
      </c>
      <c r="EL85" s="814">
        <v>0</v>
      </c>
      <c r="EM85" s="1086"/>
      <c r="EN85" s="1086"/>
      <c r="EO85" s="1086"/>
      <c r="EP85" s="1086"/>
      <c r="EQ85" s="1086"/>
      <c r="ER85" s="1086"/>
      <c r="ES85" s="1086"/>
      <c r="ET85" s="1086"/>
      <c r="EU85" s="1086"/>
      <c r="EV85" s="1086"/>
      <c r="EW85" s="1086"/>
      <c r="EX85" s="1353"/>
      <c r="EY85" s="1086"/>
      <c r="EZ85" s="1086"/>
      <c r="FA85" s="1086"/>
      <c r="FB85" s="1086"/>
      <c r="FC85" s="1086"/>
      <c r="FD85" s="1086"/>
      <c r="FE85" s="1086"/>
      <c r="FF85" s="1086"/>
      <c r="FG85" s="1086"/>
      <c r="FH85" s="1086"/>
      <c r="FI85" s="1086"/>
      <c r="FJ85" s="1353"/>
      <c r="FK85" s="1086"/>
      <c r="FL85" s="1086"/>
      <c r="FM85" s="1086"/>
      <c r="FN85" s="1086"/>
      <c r="FO85" s="1086"/>
      <c r="FP85" s="1086"/>
      <c r="FQ85" s="813"/>
      <c r="FR85" s="813"/>
      <c r="FS85" s="813"/>
      <c r="FT85" s="813"/>
      <c r="FU85" s="813"/>
      <c r="FV85" s="813"/>
      <c r="FW85" s="813"/>
      <c r="FX85" s="813"/>
      <c r="FY85" s="813"/>
      <c r="FZ85" s="813"/>
      <c r="GA85" s="813"/>
      <c r="GB85" s="813"/>
      <c r="GC85" s="813"/>
      <c r="GD85" s="813"/>
      <c r="GE85" s="813"/>
      <c r="GF85" s="813"/>
      <c r="GG85" s="813"/>
      <c r="GH85" s="813"/>
      <c r="GI85" s="813"/>
      <c r="GJ85" s="813"/>
      <c r="GK85" s="813"/>
      <c r="GL85" s="813"/>
      <c r="GM85" s="813"/>
      <c r="GN85" s="813"/>
      <c r="GO85" s="813"/>
      <c r="GP85" s="813"/>
      <c r="GQ85" s="813"/>
      <c r="GR85" s="813"/>
      <c r="GS85" s="813"/>
      <c r="GT85" s="813"/>
      <c r="GU85" s="813"/>
      <c r="GV85" s="813"/>
      <c r="GW85" s="813"/>
      <c r="GX85" s="813"/>
      <c r="GY85" s="813"/>
      <c r="GZ85" s="813"/>
      <c r="HA85" s="813"/>
      <c r="HB85" s="813"/>
      <c r="HC85" s="813"/>
      <c r="HD85" s="813"/>
      <c r="HE85" s="813"/>
      <c r="HF85" s="813"/>
      <c r="HG85" s="813"/>
      <c r="HH85" s="813"/>
      <c r="HI85" s="813"/>
      <c r="HJ85" s="813"/>
      <c r="HK85" s="813"/>
      <c r="HL85" s="813"/>
      <c r="HM85" s="813"/>
      <c r="HN85" s="813"/>
      <c r="HO85" s="813"/>
      <c r="HP85" s="813"/>
      <c r="HQ85" s="813"/>
      <c r="HR85" s="813"/>
      <c r="HS85" s="813"/>
      <c r="HT85" s="813"/>
      <c r="HU85" s="813"/>
      <c r="HV85" s="813"/>
      <c r="HW85" s="813"/>
      <c r="HX85" s="813"/>
      <c r="HY85" s="813"/>
      <c r="IK85" s="279">
        <f t="shared" si="16"/>
        <v>145.23110932636999</v>
      </c>
      <c r="KT85" s="280"/>
    </row>
    <row r="86" spans="1:306" outlineLevel="1">
      <c r="A86" s="291"/>
      <c r="B86" s="96" t="s">
        <v>338</v>
      </c>
      <c r="D86" s="301" t="s">
        <v>375</v>
      </c>
      <c r="E86" s="293"/>
      <c r="F86" s="293"/>
      <c r="G86" s="293"/>
      <c r="H86" s="293"/>
      <c r="I86" s="293"/>
      <c r="J86" s="293"/>
      <c r="K86" s="293"/>
      <c r="L86" s="293"/>
      <c r="M86" s="293"/>
      <c r="N86" s="293"/>
      <c r="O86" s="293"/>
      <c r="P86" s="293"/>
      <c r="Q86" s="293"/>
      <c r="R86" s="293"/>
      <c r="S86" s="293"/>
      <c r="T86" s="293"/>
      <c r="U86" s="293"/>
      <c r="V86" s="293"/>
      <c r="W86" s="293"/>
      <c r="X86" s="293"/>
      <c r="Y86" s="29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c r="BN86" s="293"/>
      <c r="BO86" s="293"/>
      <c r="BP86" s="293"/>
      <c r="BQ86" s="293"/>
      <c r="BR86" s="293"/>
      <c r="BS86" s="293"/>
      <c r="BT86" s="293"/>
      <c r="BU86" s="293"/>
      <c r="BV86" s="293"/>
      <c r="BW86" s="293"/>
      <c r="BX86" s="293"/>
      <c r="BY86" s="293"/>
      <c r="BZ86" s="293"/>
      <c r="CA86" s="293"/>
      <c r="CB86" s="293"/>
      <c r="CC86" s="293"/>
      <c r="CD86" s="293"/>
      <c r="CE86" s="294"/>
      <c r="CF86" s="293"/>
      <c r="CG86" s="293"/>
      <c r="CH86" s="293"/>
      <c r="CI86" s="293"/>
      <c r="CJ86" s="470">
        <v>26.297638528000007</v>
      </c>
      <c r="CK86" s="470">
        <v>25.353718890000007</v>
      </c>
      <c r="CL86" s="470">
        <v>25.353718890000007</v>
      </c>
      <c r="CM86" s="470">
        <v>25.353718890000007</v>
      </c>
      <c r="CN86" s="470">
        <v>24.398000257000007</v>
      </c>
      <c r="CO86" s="470">
        <v>24.398000257000007</v>
      </c>
      <c r="CP86" s="1275">
        <v>19.398000257000007</v>
      </c>
      <c r="CQ86" s="470">
        <v>18.430335140797453</v>
      </c>
      <c r="CR86" s="470">
        <v>18.430335140797453</v>
      </c>
      <c r="CS86" s="470">
        <v>18.430335140797453</v>
      </c>
      <c r="CT86" s="470">
        <v>17.450574210642365</v>
      </c>
      <c r="CU86" s="470">
        <v>17.450574210642365</v>
      </c>
      <c r="CV86" s="470">
        <v>17.450574210642365</v>
      </c>
      <c r="CW86" s="470">
        <v>16.458566268860341</v>
      </c>
      <c r="CX86" s="470">
        <v>16.458566268860341</v>
      </c>
      <c r="CY86" s="470">
        <v>16.458566268860341</v>
      </c>
      <c r="CZ86" s="470">
        <v>15.45415822780604</v>
      </c>
      <c r="DA86" s="470">
        <v>15.45415822780604</v>
      </c>
      <c r="DB86" s="1294">
        <v>15.45415822780604</v>
      </c>
      <c r="DC86" s="813">
        <v>14.437195086238562</v>
      </c>
      <c r="DD86" s="813">
        <v>14.437195086238562</v>
      </c>
      <c r="DE86" s="813">
        <v>14.437195086238562</v>
      </c>
      <c r="DF86" s="813">
        <v>13.407519905401491</v>
      </c>
      <c r="DG86" s="813">
        <v>13.407519905401491</v>
      </c>
      <c r="DH86" s="813">
        <v>13.407519905401491</v>
      </c>
      <c r="DI86" s="813">
        <v>12.364973785401492</v>
      </c>
      <c r="DJ86" s="813">
        <v>12.364973785401492</v>
      </c>
      <c r="DK86" s="813">
        <v>12.364973785401492</v>
      </c>
      <c r="DL86" s="813">
        <v>12.364973785401492</v>
      </c>
      <c r="DM86" s="813">
        <v>12.364973785401492</v>
      </c>
      <c r="DN86" s="814">
        <v>12.364973785401492</v>
      </c>
      <c r="DO86" s="813">
        <v>11.296201113957672</v>
      </c>
      <c r="DP86" s="813">
        <v>11.296201113957672</v>
      </c>
      <c r="DQ86" s="813">
        <v>11.296201113957672</v>
      </c>
      <c r="DR86" s="813">
        <v>10.214068784120807</v>
      </c>
      <c r="DS86" s="813">
        <v>10.214068784120807</v>
      </c>
      <c r="DT86" s="813">
        <v>10.214068784120807</v>
      </c>
      <c r="DU86" s="813">
        <v>9.1184098001609808</v>
      </c>
      <c r="DV86" s="813">
        <v>9.1184098001609808</v>
      </c>
      <c r="DW86" s="813">
        <v>9.1184098001609808</v>
      </c>
      <c r="DX86" s="813">
        <v>8.0090550789016568</v>
      </c>
      <c r="DY86" s="813">
        <v>8.0090550789016568</v>
      </c>
      <c r="DZ86" s="814">
        <v>8.0090550789016568</v>
      </c>
      <c r="EA86" s="813">
        <v>6.8858334236265915</v>
      </c>
      <c r="EB86" s="813">
        <v>6.8858334236265915</v>
      </c>
      <c r="EC86" s="813">
        <v>6.8858334236265915</v>
      </c>
      <c r="ED86" s="813">
        <v>4.6929935505215825</v>
      </c>
      <c r="EE86" s="813">
        <v>4.6929935505215825</v>
      </c>
      <c r="EF86" s="813">
        <v>4.6929935505215825</v>
      </c>
      <c r="EG86" s="813">
        <v>3.5415158505215825</v>
      </c>
      <c r="EH86" s="813">
        <v>3.5415158505215825</v>
      </c>
      <c r="EI86" s="813">
        <v>3.5415158505215825</v>
      </c>
      <c r="EJ86" s="813">
        <v>2.3756446795215824</v>
      </c>
      <c r="EK86" s="813">
        <v>2.3756446795215824</v>
      </c>
      <c r="EL86" s="814">
        <v>2.3756446795215824</v>
      </c>
      <c r="EM86" s="1086"/>
      <c r="EN86" s="1086"/>
      <c r="EO86" s="1086"/>
      <c r="EP86" s="1086"/>
      <c r="EQ86" s="1086"/>
      <c r="ER86" s="1086"/>
      <c r="ES86" s="1086"/>
      <c r="ET86" s="1086"/>
      <c r="EU86" s="1086"/>
      <c r="EV86" s="1086"/>
      <c r="EW86" s="1086"/>
      <c r="EX86" s="1353"/>
      <c r="EY86" s="1086"/>
      <c r="EZ86" s="1086"/>
      <c r="FA86" s="1086"/>
      <c r="FB86" s="1086"/>
      <c r="FC86" s="1086"/>
      <c r="FD86" s="1086"/>
      <c r="FE86" s="1086"/>
      <c r="FF86" s="1086"/>
      <c r="FG86" s="1086"/>
      <c r="FH86" s="1086"/>
      <c r="FI86" s="1086"/>
      <c r="FJ86" s="1353"/>
      <c r="FK86" s="1086"/>
      <c r="FL86" s="1086"/>
      <c r="FM86" s="1086"/>
      <c r="FN86" s="1086"/>
      <c r="FO86" s="1086"/>
      <c r="FP86" s="1086"/>
      <c r="FQ86" s="813"/>
      <c r="FR86" s="813"/>
      <c r="FS86" s="813"/>
      <c r="FT86" s="813"/>
      <c r="FU86" s="813"/>
      <c r="FV86" s="813"/>
      <c r="FW86" s="813"/>
      <c r="FX86" s="813"/>
      <c r="FY86" s="813"/>
      <c r="FZ86" s="813"/>
      <c r="GA86" s="813"/>
      <c r="GB86" s="813"/>
      <c r="GC86" s="813"/>
      <c r="GD86" s="813"/>
      <c r="GE86" s="813"/>
      <c r="GF86" s="813"/>
      <c r="GG86" s="813"/>
      <c r="GH86" s="813"/>
      <c r="GI86" s="813"/>
      <c r="GJ86" s="813"/>
      <c r="GK86" s="813"/>
      <c r="GL86" s="813"/>
      <c r="GM86" s="813"/>
      <c r="GN86" s="813"/>
      <c r="GO86" s="813"/>
      <c r="GP86" s="813"/>
      <c r="GQ86" s="813"/>
      <c r="GR86" s="813"/>
      <c r="GS86" s="813"/>
      <c r="GT86" s="813"/>
      <c r="GU86" s="813"/>
      <c r="GV86" s="813"/>
      <c r="GW86" s="813"/>
      <c r="GX86" s="813"/>
      <c r="GY86" s="813"/>
      <c r="GZ86" s="813"/>
      <c r="HA86" s="813"/>
      <c r="HB86" s="813"/>
      <c r="HC86" s="813"/>
      <c r="HD86" s="813"/>
      <c r="HE86" s="813"/>
      <c r="HF86" s="813"/>
      <c r="HG86" s="813"/>
      <c r="HH86" s="813"/>
      <c r="HI86" s="813"/>
      <c r="HJ86" s="813"/>
      <c r="HK86" s="813"/>
      <c r="HL86" s="813"/>
      <c r="HM86" s="813"/>
      <c r="HN86" s="813"/>
      <c r="HO86" s="813"/>
      <c r="HP86" s="813"/>
      <c r="HQ86" s="813"/>
      <c r="HR86" s="813"/>
      <c r="HS86" s="813"/>
      <c r="HT86" s="813"/>
      <c r="HU86" s="813"/>
      <c r="HV86" s="813"/>
      <c r="HW86" s="813"/>
      <c r="HX86" s="813"/>
      <c r="HY86" s="813"/>
      <c r="IK86" s="279">
        <f t="shared" si="16"/>
        <v>64.53080969423543</v>
      </c>
      <c r="KT86" s="280"/>
    </row>
    <row r="87" spans="1:306" outlineLevel="1">
      <c r="A87" s="291"/>
      <c r="B87" s="96" t="s">
        <v>338</v>
      </c>
      <c r="D87" s="298" t="s">
        <v>376</v>
      </c>
      <c r="E87" s="293"/>
      <c r="F87" s="293"/>
      <c r="G87" s="293"/>
      <c r="H87" s="293"/>
      <c r="I87" s="293"/>
      <c r="J87" s="293"/>
      <c r="K87" s="293"/>
      <c r="L87" s="293"/>
      <c r="M87" s="293"/>
      <c r="N87" s="293"/>
      <c r="O87" s="293"/>
      <c r="P87" s="293"/>
      <c r="Q87" s="293"/>
      <c r="R87" s="293"/>
      <c r="S87" s="293"/>
      <c r="T87" s="293"/>
      <c r="U87" s="293"/>
      <c r="V87" s="293"/>
      <c r="W87" s="293"/>
      <c r="X87" s="293"/>
      <c r="Y87" s="29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c r="BN87" s="293"/>
      <c r="BO87" s="293"/>
      <c r="BP87" s="293"/>
      <c r="BQ87" s="293"/>
      <c r="BR87" s="293"/>
      <c r="BS87" s="293"/>
      <c r="BT87" s="293"/>
      <c r="BU87" s="293"/>
      <c r="BV87" s="293"/>
      <c r="BW87" s="293"/>
      <c r="BX87" s="293"/>
      <c r="BY87" s="293"/>
      <c r="BZ87" s="293"/>
      <c r="CA87" s="293"/>
      <c r="CB87" s="293"/>
      <c r="CC87" s="293"/>
      <c r="CD87" s="293"/>
      <c r="CE87" s="294"/>
      <c r="CF87" s="293"/>
      <c r="CG87" s="293"/>
      <c r="CH87" s="293"/>
      <c r="CI87" s="293"/>
      <c r="CJ87" s="471">
        <v>2.8387760286003667</v>
      </c>
      <c r="CK87" s="471">
        <v>2.8387760286003667</v>
      </c>
      <c r="CL87" s="471">
        <v>4.5047800679999996</v>
      </c>
      <c r="CM87" s="471">
        <v>4.3975220860000004</v>
      </c>
      <c r="CN87" s="471">
        <v>4.3975220860000004</v>
      </c>
      <c r="CO87" s="471">
        <v>4.3975220860000004</v>
      </c>
      <c r="CP87" s="1276">
        <v>4.2902641040000002</v>
      </c>
      <c r="CQ87" s="471">
        <v>4.2902641040000002</v>
      </c>
      <c r="CR87" s="471">
        <v>4.2902641040000002</v>
      </c>
      <c r="CS87" s="471">
        <v>4.1830061220000001</v>
      </c>
      <c r="CT87" s="471">
        <v>4.1830061220000001</v>
      </c>
      <c r="CU87" s="471">
        <v>4.1830061220000001</v>
      </c>
      <c r="CV87" s="471">
        <v>4.07574814</v>
      </c>
      <c r="CW87" s="471">
        <v>4.07574814</v>
      </c>
      <c r="CX87" s="471">
        <v>4.07574814</v>
      </c>
      <c r="CY87" s="471">
        <v>3.9684481399999996</v>
      </c>
      <c r="CZ87" s="471">
        <v>3.9684481399999996</v>
      </c>
      <c r="DA87" s="471">
        <v>3.9684481399999996</v>
      </c>
      <c r="DB87" s="1295">
        <v>3.8611901660000001</v>
      </c>
      <c r="DC87" s="818">
        <v>3.8611901660000001</v>
      </c>
      <c r="DD87" s="818">
        <v>3.8611901660000001</v>
      </c>
      <c r="DE87" s="818">
        <v>3.7539321839999999</v>
      </c>
      <c r="DF87" s="818">
        <v>3.7539321839999999</v>
      </c>
      <c r="DG87" s="818">
        <v>3.7539321839999999</v>
      </c>
      <c r="DH87" s="818">
        <v>3.4665119549999996</v>
      </c>
      <c r="DI87" s="818">
        <v>1.88228874467146</v>
      </c>
      <c r="DJ87" s="818">
        <v>1.88228874467146</v>
      </c>
      <c r="DK87" s="818">
        <v>1.88228874467146</v>
      </c>
      <c r="DL87" s="818">
        <v>1.88228874467146</v>
      </c>
      <c r="DM87" s="818">
        <v>1.88228874467146</v>
      </c>
      <c r="DN87" s="819">
        <v>1.9094165286798161</v>
      </c>
      <c r="DO87" s="818">
        <v>1.9094165286798161</v>
      </c>
      <c r="DP87" s="818">
        <v>1.9094165286798161</v>
      </c>
      <c r="DQ87" s="818">
        <v>1.9094165286798161</v>
      </c>
      <c r="DR87" s="818">
        <v>1.9094165286798161</v>
      </c>
      <c r="DS87" s="818">
        <v>1.9094165286798161</v>
      </c>
      <c r="DT87" s="818">
        <v>1.7157421036798162</v>
      </c>
      <c r="DU87" s="818">
        <v>1.7369597888841386</v>
      </c>
      <c r="DV87" s="818">
        <v>1.7396758806064399</v>
      </c>
      <c r="DW87" s="818">
        <v>1.7426829820576932</v>
      </c>
      <c r="DX87" s="818">
        <v>1.7426829820576932</v>
      </c>
      <c r="DY87" s="818">
        <v>1.7426829820576932</v>
      </c>
      <c r="DZ87" s="819">
        <v>1.7514392985705276</v>
      </c>
      <c r="EA87" s="818">
        <v>1.7543730554877821</v>
      </c>
      <c r="EB87" s="818">
        <v>1.7573068120255904</v>
      </c>
      <c r="EC87" s="818">
        <v>1.7573068120255904</v>
      </c>
      <c r="ED87" s="818">
        <v>1.5484617150255904</v>
      </c>
      <c r="EE87" s="818">
        <v>1.5484617150255904</v>
      </c>
      <c r="EF87" s="818">
        <v>1.3402617090255902</v>
      </c>
      <c r="EG87" s="818">
        <v>1.3402617090255902</v>
      </c>
      <c r="EH87" s="818">
        <v>1.3402617090255902</v>
      </c>
      <c r="EI87" s="818">
        <v>1.3402617090255902</v>
      </c>
      <c r="EJ87" s="818">
        <v>2.3402617090255902</v>
      </c>
      <c r="EK87" s="818">
        <v>2.3402617090255902</v>
      </c>
      <c r="EL87" s="819">
        <v>2.3402617090255902</v>
      </c>
      <c r="EM87" s="1087"/>
      <c r="EN87" s="1087"/>
      <c r="EO87" s="1087"/>
      <c r="EP87" s="1087"/>
      <c r="EQ87" s="1087"/>
      <c r="ER87" s="1087"/>
      <c r="ES87" s="1087"/>
      <c r="ET87" s="1087"/>
      <c r="EU87" s="1087"/>
      <c r="EV87" s="1087"/>
      <c r="EW87" s="1087"/>
      <c r="EX87" s="1354"/>
      <c r="EY87" s="1087"/>
      <c r="EZ87" s="1087"/>
      <c r="FA87" s="1087"/>
      <c r="FB87" s="1087"/>
      <c r="FC87" s="1087"/>
      <c r="FD87" s="1087"/>
      <c r="FE87" s="1087"/>
      <c r="FF87" s="1087"/>
      <c r="FG87" s="1087"/>
      <c r="FH87" s="1087"/>
      <c r="FI87" s="1087"/>
      <c r="FJ87" s="1354"/>
      <c r="FK87" s="1087"/>
      <c r="FL87" s="1087"/>
      <c r="FM87" s="1087"/>
      <c r="FN87" s="1087"/>
      <c r="FO87" s="1087"/>
      <c r="FP87" s="1087"/>
      <c r="FQ87" s="818"/>
      <c r="FR87" s="818"/>
      <c r="FS87" s="818"/>
      <c r="FT87" s="818"/>
      <c r="FU87" s="818"/>
      <c r="FV87" s="818"/>
      <c r="FW87" s="818"/>
      <c r="FX87" s="818"/>
      <c r="FY87" s="818"/>
      <c r="FZ87" s="818"/>
      <c r="GA87" s="818"/>
      <c r="GB87" s="818"/>
      <c r="GC87" s="818"/>
      <c r="GD87" s="818"/>
      <c r="GE87" s="818"/>
      <c r="GF87" s="818"/>
      <c r="GG87" s="818"/>
      <c r="GH87" s="818"/>
      <c r="GI87" s="818"/>
      <c r="GJ87" s="818"/>
      <c r="GK87" s="818"/>
      <c r="GL87" s="818"/>
      <c r="GM87" s="818"/>
      <c r="GN87" s="818"/>
      <c r="GO87" s="818"/>
      <c r="GP87" s="818"/>
      <c r="GQ87" s="818"/>
      <c r="GR87" s="818"/>
      <c r="GS87" s="818"/>
      <c r="GT87" s="818"/>
      <c r="GU87" s="818"/>
      <c r="GV87" s="818"/>
      <c r="GW87" s="818"/>
      <c r="GX87" s="818"/>
      <c r="GY87" s="818"/>
      <c r="GZ87" s="818"/>
      <c r="HA87" s="818"/>
      <c r="HB87" s="818"/>
      <c r="HC87" s="818"/>
      <c r="HD87" s="818"/>
      <c r="HE87" s="818"/>
      <c r="HF87" s="818"/>
      <c r="HG87" s="818"/>
      <c r="HH87" s="818"/>
      <c r="HI87" s="818"/>
      <c r="HJ87" s="818"/>
      <c r="HK87" s="818"/>
      <c r="HL87" s="818"/>
      <c r="HM87" s="818"/>
      <c r="HN87" s="818"/>
      <c r="HO87" s="818"/>
      <c r="HP87" s="818"/>
      <c r="HQ87" s="818"/>
      <c r="HR87" s="818"/>
      <c r="HS87" s="818"/>
      <c r="HT87" s="818"/>
      <c r="HU87" s="818"/>
      <c r="HV87" s="818"/>
      <c r="HW87" s="818"/>
      <c r="HX87" s="818"/>
      <c r="HY87" s="818"/>
      <c r="IK87" s="279">
        <f t="shared" si="16"/>
        <v>11.262824747078897</v>
      </c>
      <c r="KT87" s="280"/>
    </row>
    <row r="88" spans="1:306" outlineLevel="1">
      <c r="A88" s="291"/>
      <c r="B88" s="96" t="s">
        <v>338</v>
      </c>
      <c r="D88" s="300" t="s">
        <v>377</v>
      </c>
      <c r="E88" s="293"/>
      <c r="F88" s="293"/>
      <c r="G88" s="293"/>
      <c r="H88" s="293"/>
      <c r="I88" s="293"/>
      <c r="J88" s="293"/>
      <c r="K88" s="293"/>
      <c r="L88" s="293"/>
      <c r="M88" s="293"/>
      <c r="N88" s="293"/>
      <c r="O88" s="293"/>
      <c r="P88" s="293"/>
      <c r="Q88" s="293"/>
      <c r="R88" s="293"/>
      <c r="S88" s="293"/>
      <c r="T88" s="293"/>
      <c r="U88" s="293"/>
      <c r="V88" s="293"/>
      <c r="W88" s="293"/>
      <c r="X88" s="293"/>
      <c r="Y88" s="29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c r="BN88" s="293"/>
      <c r="BO88" s="293"/>
      <c r="BP88" s="293"/>
      <c r="BQ88" s="293"/>
      <c r="BR88" s="293"/>
      <c r="BS88" s="293"/>
      <c r="BT88" s="293"/>
      <c r="BU88" s="293"/>
      <c r="BV88" s="293"/>
      <c r="BW88" s="293"/>
      <c r="BX88" s="293"/>
      <c r="BY88" s="293"/>
      <c r="BZ88" s="293"/>
      <c r="CA88" s="293"/>
      <c r="CB88" s="293"/>
      <c r="CC88" s="293"/>
      <c r="CD88" s="293"/>
      <c r="CE88" s="294"/>
      <c r="CF88" s="293"/>
      <c r="CG88" s="293"/>
      <c r="CH88" s="293"/>
      <c r="CI88" s="293"/>
      <c r="CJ88" s="469">
        <v>0.89935816700000004</v>
      </c>
      <c r="CK88" s="469">
        <v>0.89935816700000004</v>
      </c>
      <c r="CL88" s="469">
        <v>0.89935816700000004</v>
      </c>
      <c r="CM88" s="469">
        <v>0.79210018500000001</v>
      </c>
      <c r="CN88" s="469">
        <v>0.79210018500000001</v>
      </c>
      <c r="CO88" s="469">
        <v>0.79210018500000001</v>
      </c>
      <c r="CP88" s="1274">
        <v>0.68484220299999998</v>
      </c>
      <c r="CQ88" s="469">
        <v>0.68484220299999998</v>
      </c>
      <c r="CR88" s="469">
        <v>0.68484220299999998</v>
      </c>
      <c r="CS88" s="469">
        <v>0.57758422099999995</v>
      </c>
      <c r="CT88" s="469">
        <v>0.57758422099999995</v>
      </c>
      <c r="CU88" s="469">
        <v>0.57758422099999995</v>
      </c>
      <c r="CV88" s="469">
        <v>0.47032623899999992</v>
      </c>
      <c r="CW88" s="469">
        <v>0.47032623899999992</v>
      </c>
      <c r="CX88" s="469">
        <v>0.47032623899999992</v>
      </c>
      <c r="CY88" s="469">
        <v>0.36302623899999992</v>
      </c>
      <c r="CZ88" s="469">
        <v>0.36302623899999992</v>
      </c>
      <c r="DA88" s="469">
        <v>0.36302623899999992</v>
      </c>
      <c r="DB88" s="1293">
        <v>0.25576826499999994</v>
      </c>
      <c r="DC88" s="813">
        <v>0.25576826499999994</v>
      </c>
      <c r="DD88" s="813">
        <v>0.25576826499999994</v>
      </c>
      <c r="DE88" s="813">
        <v>0.14851028299999994</v>
      </c>
      <c r="DF88" s="813">
        <v>0.14851028299999994</v>
      </c>
      <c r="DG88" s="813">
        <v>0.14851028299999994</v>
      </c>
      <c r="DH88" s="813">
        <v>4.1252308999999932E-2</v>
      </c>
      <c r="DI88" s="813">
        <v>4.1252308999999932E-2</v>
      </c>
      <c r="DJ88" s="813">
        <v>4.1252308999999932E-2</v>
      </c>
      <c r="DK88" s="813">
        <v>4.1252308999999932E-2</v>
      </c>
      <c r="DL88" s="813">
        <v>4.1252308999999932E-2</v>
      </c>
      <c r="DM88" s="813">
        <v>4.1252308999999932E-2</v>
      </c>
      <c r="DN88" s="814">
        <v>4.1252308999999932E-2</v>
      </c>
      <c r="DO88" s="813">
        <v>4.1252308999999932E-2</v>
      </c>
      <c r="DP88" s="813">
        <v>4.1252308999999932E-2</v>
      </c>
      <c r="DQ88" s="813">
        <v>4.1252308999999932E-2</v>
      </c>
      <c r="DR88" s="813">
        <v>4.1252308999999932E-2</v>
      </c>
      <c r="DS88" s="813">
        <v>4.1252308999999932E-2</v>
      </c>
      <c r="DT88" s="813">
        <v>4.1252308999999932E-2</v>
      </c>
      <c r="DU88" s="813">
        <v>4.1252308999999932E-2</v>
      </c>
      <c r="DV88" s="813">
        <v>4.1252308999999932E-2</v>
      </c>
      <c r="DW88" s="813">
        <v>4.1252308999999932E-2</v>
      </c>
      <c r="DX88" s="813">
        <v>4.1252308999999932E-2</v>
      </c>
      <c r="DY88" s="813">
        <v>4.1252308999999932E-2</v>
      </c>
      <c r="DZ88" s="814">
        <v>4.1252308999999932E-2</v>
      </c>
      <c r="EA88" s="813">
        <v>4.1252308999999932E-2</v>
      </c>
      <c r="EB88" s="813">
        <v>4.1252308999999932E-2</v>
      </c>
      <c r="EC88" s="813">
        <v>4.1252308999999932E-2</v>
      </c>
      <c r="ED88" s="813">
        <v>7.9999998570112751E-9</v>
      </c>
      <c r="EE88" s="813">
        <v>7.9999998570112751E-9</v>
      </c>
      <c r="EF88" s="813">
        <v>7.9999998570112751E-9</v>
      </c>
      <c r="EG88" s="813">
        <v>7.9999998570112751E-9</v>
      </c>
      <c r="EH88" s="813">
        <v>7.9999998570112751E-9</v>
      </c>
      <c r="EI88" s="813">
        <v>7.9999998570112751E-9</v>
      </c>
      <c r="EJ88" s="813">
        <v>7.9999998570112751E-9</v>
      </c>
      <c r="EK88" s="813">
        <v>7.9999998570112751E-9</v>
      </c>
      <c r="EL88" s="814">
        <v>7.9999998570112751E-9</v>
      </c>
      <c r="EM88" s="1086"/>
      <c r="EN88" s="1086"/>
      <c r="EO88" s="1086"/>
      <c r="EP88" s="1086"/>
      <c r="EQ88" s="1086"/>
      <c r="ER88" s="1086"/>
      <c r="ES88" s="1086"/>
      <c r="ET88" s="1086"/>
      <c r="EU88" s="1086"/>
      <c r="EV88" s="1086"/>
      <c r="EW88" s="1086"/>
      <c r="EX88" s="1353"/>
      <c r="EY88" s="1086"/>
      <c r="EZ88" s="1086"/>
      <c r="FA88" s="1086"/>
      <c r="FB88" s="1086"/>
      <c r="FC88" s="1086"/>
      <c r="FD88" s="1086"/>
      <c r="FE88" s="1086"/>
      <c r="FF88" s="1086"/>
      <c r="FG88" s="1086"/>
      <c r="FH88" s="1086"/>
      <c r="FI88" s="1086"/>
      <c r="FJ88" s="1353"/>
      <c r="FK88" s="1086"/>
      <c r="FL88" s="1086"/>
      <c r="FM88" s="1086"/>
      <c r="FN88" s="1086"/>
      <c r="FO88" s="1086"/>
      <c r="FP88" s="1086"/>
      <c r="FQ88" s="813"/>
      <c r="FR88" s="813"/>
      <c r="FS88" s="813"/>
      <c r="FT88" s="813"/>
      <c r="FU88" s="813"/>
      <c r="FV88" s="813"/>
      <c r="FW88" s="813"/>
      <c r="FX88" s="813"/>
      <c r="FY88" s="813"/>
      <c r="FZ88" s="813"/>
      <c r="GA88" s="813"/>
      <c r="GB88" s="813"/>
      <c r="GC88" s="813"/>
      <c r="GD88" s="813"/>
      <c r="GE88" s="813"/>
      <c r="GF88" s="813"/>
      <c r="GG88" s="813"/>
      <c r="GH88" s="813"/>
      <c r="GI88" s="813"/>
      <c r="GJ88" s="813"/>
      <c r="GK88" s="813"/>
      <c r="GL88" s="813"/>
      <c r="GM88" s="813"/>
      <c r="GN88" s="813"/>
      <c r="GO88" s="813"/>
      <c r="GP88" s="813"/>
      <c r="GQ88" s="813"/>
      <c r="GR88" s="813"/>
      <c r="GS88" s="813"/>
      <c r="GT88" s="813"/>
      <c r="GU88" s="813"/>
      <c r="GV88" s="813"/>
      <c r="GW88" s="813"/>
      <c r="GX88" s="813"/>
      <c r="GY88" s="813"/>
      <c r="GZ88" s="813"/>
      <c r="HA88" s="813"/>
      <c r="HB88" s="813"/>
      <c r="HC88" s="813"/>
      <c r="HD88" s="813"/>
      <c r="HE88" s="813"/>
      <c r="HF88" s="813"/>
      <c r="HG88" s="813"/>
      <c r="HH88" s="813"/>
      <c r="HI88" s="813"/>
      <c r="HJ88" s="813"/>
      <c r="HK88" s="813"/>
      <c r="HL88" s="813"/>
      <c r="HM88" s="813"/>
      <c r="HN88" s="813"/>
      <c r="HO88" s="813"/>
      <c r="HP88" s="813"/>
      <c r="HQ88" s="813"/>
      <c r="HR88" s="813"/>
      <c r="HS88" s="813"/>
      <c r="HT88" s="813"/>
      <c r="HU88" s="813"/>
      <c r="HV88" s="813"/>
      <c r="HW88" s="813"/>
      <c r="HX88" s="813"/>
      <c r="HY88" s="813"/>
      <c r="IK88" s="279">
        <f t="shared" si="16"/>
        <v>0.24751385399999959</v>
      </c>
      <c r="KT88" s="280"/>
    </row>
    <row r="89" spans="1:306" outlineLevel="1">
      <c r="A89" s="291"/>
      <c r="B89" s="96" t="s">
        <v>338</v>
      </c>
      <c r="D89" s="300" t="s">
        <v>378</v>
      </c>
      <c r="E89" s="293"/>
      <c r="F89" s="293"/>
      <c r="G89" s="293"/>
      <c r="H89" s="293"/>
      <c r="I89" s="293"/>
      <c r="J89" s="293"/>
      <c r="K89" s="293"/>
      <c r="L89" s="293"/>
      <c r="M89" s="293"/>
      <c r="N89" s="293"/>
      <c r="O89" s="293"/>
      <c r="P89" s="293"/>
      <c r="Q89" s="293"/>
      <c r="R89" s="293"/>
      <c r="S89" s="293"/>
      <c r="T89" s="293"/>
      <c r="U89" s="293"/>
      <c r="V89" s="293"/>
      <c r="W89" s="293"/>
      <c r="X89" s="293"/>
      <c r="Y89" s="29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c r="BN89" s="293"/>
      <c r="BO89" s="293"/>
      <c r="BP89" s="293"/>
      <c r="BQ89" s="293"/>
      <c r="BR89" s="293"/>
      <c r="BS89" s="293"/>
      <c r="BT89" s="293"/>
      <c r="BU89" s="293"/>
      <c r="BV89" s="293"/>
      <c r="BW89" s="293"/>
      <c r="BX89" s="293"/>
      <c r="BY89" s="293"/>
      <c r="BZ89" s="293"/>
      <c r="CA89" s="293"/>
      <c r="CB89" s="293"/>
      <c r="CC89" s="293"/>
      <c r="CD89" s="293"/>
      <c r="CE89" s="294"/>
      <c r="CF89" s="293"/>
      <c r="CG89" s="293"/>
      <c r="CH89" s="293"/>
      <c r="CI89" s="293"/>
      <c r="CJ89" s="469">
        <v>0.74962948200000001</v>
      </c>
      <c r="CK89" s="469">
        <v>0.74962948200000001</v>
      </c>
      <c r="CL89" s="469">
        <v>0.74962948200000001</v>
      </c>
      <c r="CM89" s="469">
        <v>0.74962948200000001</v>
      </c>
      <c r="CN89" s="469">
        <v>0.74962948200000001</v>
      </c>
      <c r="CO89" s="469">
        <v>0.74962948200000001</v>
      </c>
      <c r="CP89" s="1274">
        <v>0.74962948200000001</v>
      </c>
      <c r="CQ89" s="469">
        <v>0.74962948200000001</v>
      </c>
      <c r="CR89" s="469">
        <v>0.74962948200000001</v>
      </c>
      <c r="CS89" s="469">
        <v>0.74962948200000001</v>
      </c>
      <c r="CT89" s="469">
        <v>0.74962948200000001</v>
      </c>
      <c r="CU89" s="469">
        <v>0.74962948200000001</v>
      </c>
      <c r="CV89" s="469">
        <v>0.74962948200000001</v>
      </c>
      <c r="CW89" s="469">
        <v>0.74962948200000001</v>
      </c>
      <c r="CX89" s="469">
        <v>0.74962948200000001</v>
      </c>
      <c r="CY89" s="469">
        <v>0.74962948200000001</v>
      </c>
      <c r="CZ89" s="469">
        <v>0.74962948200000001</v>
      </c>
      <c r="DA89" s="469">
        <v>0.74962948200000001</v>
      </c>
      <c r="DB89" s="1293">
        <v>0.74962948200000001</v>
      </c>
      <c r="DC89" s="813">
        <v>0.74962948200000001</v>
      </c>
      <c r="DD89" s="813">
        <v>0.74962948200000001</v>
      </c>
      <c r="DE89" s="813">
        <v>0.74962948200000001</v>
      </c>
      <c r="DF89" s="813">
        <v>0.74962948200000001</v>
      </c>
      <c r="DG89" s="813">
        <v>0.74962948200000001</v>
      </c>
      <c r="DH89" s="813">
        <v>0.56946722700000008</v>
      </c>
      <c r="DI89" s="813">
        <v>0.56946722700000008</v>
      </c>
      <c r="DJ89" s="813">
        <v>0.56946722700000008</v>
      </c>
      <c r="DK89" s="813">
        <v>0.56946722700000008</v>
      </c>
      <c r="DL89" s="813">
        <v>0.56946722700000008</v>
      </c>
      <c r="DM89" s="813">
        <v>0.56946722700000008</v>
      </c>
      <c r="DN89" s="814">
        <v>0.56946722700000008</v>
      </c>
      <c r="DO89" s="813">
        <v>0.56946722700000008</v>
      </c>
      <c r="DP89" s="813">
        <v>0.56946722700000008</v>
      </c>
      <c r="DQ89" s="813">
        <v>0.56946722700000008</v>
      </c>
      <c r="DR89" s="813">
        <v>0.56946722700000008</v>
      </c>
      <c r="DS89" s="813">
        <v>0.56946722700000008</v>
      </c>
      <c r="DT89" s="813">
        <v>0.37579280200000009</v>
      </c>
      <c r="DU89" s="813">
        <v>0.37579280200000009</v>
      </c>
      <c r="DV89" s="813">
        <v>0.37579280200000009</v>
      </c>
      <c r="DW89" s="813">
        <v>0.37579280200000009</v>
      </c>
      <c r="DX89" s="813">
        <v>0.37579280200000009</v>
      </c>
      <c r="DY89" s="813">
        <v>0.37579280200000009</v>
      </c>
      <c r="DZ89" s="814">
        <v>0.37579280200000009</v>
      </c>
      <c r="EA89" s="813">
        <v>0.37579280200000009</v>
      </c>
      <c r="EB89" s="813">
        <v>0.37579280200000009</v>
      </c>
      <c r="EC89" s="813">
        <v>0.37579280200000009</v>
      </c>
      <c r="ED89" s="813">
        <v>0.20820000600000002</v>
      </c>
      <c r="EE89" s="813">
        <v>0.20820000600000002</v>
      </c>
      <c r="EF89" s="813">
        <v>0</v>
      </c>
      <c r="EG89" s="813">
        <v>0</v>
      </c>
      <c r="EH89" s="813">
        <v>0</v>
      </c>
      <c r="EI89" s="813">
        <v>0</v>
      </c>
      <c r="EJ89" s="813">
        <v>0</v>
      </c>
      <c r="EK89" s="813">
        <v>0</v>
      </c>
      <c r="EL89" s="814">
        <v>0</v>
      </c>
      <c r="EM89" s="1086"/>
      <c r="EN89" s="1086"/>
      <c r="EO89" s="1086"/>
      <c r="EP89" s="1086"/>
      <c r="EQ89" s="1086"/>
      <c r="ER89" s="1086"/>
      <c r="ES89" s="1086"/>
      <c r="ET89" s="1086"/>
      <c r="EU89" s="1086"/>
      <c r="EV89" s="1086"/>
      <c r="EW89" s="1086"/>
      <c r="EX89" s="1353"/>
      <c r="EY89" s="1086"/>
      <c r="EZ89" s="1086"/>
      <c r="FA89" s="1086"/>
      <c r="FB89" s="1086"/>
      <c r="FC89" s="1086"/>
      <c r="FD89" s="1086"/>
      <c r="FE89" s="1086"/>
      <c r="FF89" s="1086"/>
      <c r="FG89" s="1086"/>
      <c r="FH89" s="1086"/>
      <c r="FI89" s="1086"/>
      <c r="FJ89" s="1353"/>
      <c r="FK89" s="1086"/>
      <c r="FL89" s="1086"/>
      <c r="FM89" s="1086"/>
      <c r="FN89" s="1086"/>
      <c r="FO89" s="1086"/>
      <c r="FP89" s="1086"/>
      <c r="FQ89" s="813"/>
      <c r="FR89" s="813"/>
      <c r="FS89" s="813"/>
      <c r="FT89" s="813"/>
      <c r="FU89" s="813"/>
      <c r="FV89" s="813"/>
      <c r="FW89" s="813"/>
      <c r="FX89" s="813"/>
      <c r="FY89" s="813"/>
      <c r="FZ89" s="813"/>
      <c r="GA89" s="813"/>
      <c r="GB89" s="813"/>
      <c r="GC89" s="813"/>
      <c r="GD89" s="813"/>
      <c r="GE89" s="813"/>
      <c r="GF89" s="813"/>
      <c r="GG89" s="813"/>
      <c r="GH89" s="813"/>
      <c r="GI89" s="813"/>
      <c r="GJ89" s="813"/>
      <c r="GK89" s="813"/>
      <c r="GL89" s="813"/>
      <c r="GM89" s="813"/>
      <c r="GN89" s="813"/>
      <c r="GO89" s="813"/>
      <c r="GP89" s="813"/>
      <c r="GQ89" s="813"/>
      <c r="GR89" s="813"/>
      <c r="GS89" s="813"/>
      <c r="GT89" s="813"/>
      <c r="GU89" s="813"/>
      <c r="GV89" s="813"/>
      <c r="GW89" s="813"/>
      <c r="GX89" s="813"/>
      <c r="GY89" s="813"/>
      <c r="GZ89" s="813"/>
      <c r="HA89" s="813"/>
      <c r="HB89" s="813"/>
      <c r="HC89" s="813"/>
      <c r="HD89" s="813"/>
      <c r="HE89" s="813"/>
      <c r="HF89" s="813"/>
      <c r="HG89" s="813"/>
      <c r="HH89" s="813"/>
      <c r="HI89" s="813"/>
      <c r="HJ89" s="813"/>
      <c r="HK89" s="813"/>
      <c r="HL89" s="813"/>
      <c r="HM89" s="813"/>
      <c r="HN89" s="813"/>
      <c r="HO89" s="813"/>
      <c r="HP89" s="813"/>
      <c r="HQ89" s="813"/>
      <c r="HR89" s="813"/>
      <c r="HS89" s="813"/>
      <c r="HT89" s="813"/>
      <c r="HU89" s="813"/>
      <c r="HV89" s="813"/>
      <c r="HW89" s="813"/>
      <c r="HX89" s="813"/>
      <c r="HY89" s="813"/>
      <c r="IK89" s="279">
        <f t="shared" si="16"/>
        <v>3.2231289370000002</v>
      </c>
      <c r="KT89" s="280"/>
    </row>
    <row r="90" spans="1:306" outlineLevel="1">
      <c r="A90" s="291"/>
      <c r="B90" s="96" t="s">
        <v>338</v>
      </c>
      <c r="D90" s="300" t="s">
        <v>379</v>
      </c>
      <c r="E90" s="293"/>
      <c r="F90" s="293"/>
      <c r="G90" s="293"/>
      <c r="H90" s="293"/>
      <c r="I90" s="293"/>
      <c r="J90" s="293"/>
      <c r="K90" s="293"/>
      <c r="L90" s="293"/>
      <c r="M90" s="293"/>
      <c r="N90" s="293"/>
      <c r="O90" s="293"/>
      <c r="P90" s="293"/>
      <c r="Q90" s="293"/>
      <c r="R90" s="293"/>
      <c r="S90" s="293"/>
      <c r="T90" s="293"/>
      <c r="U90" s="293"/>
      <c r="V90" s="293"/>
      <c r="W90" s="293"/>
      <c r="X90" s="293"/>
      <c r="Y90" s="29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c r="BN90" s="293"/>
      <c r="BO90" s="293"/>
      <c r="BP90" s="293"/>
      <c r="BQ90" s="293"/>
      <c r="BR90" s="293"/>
      <c r="BS90" s="293"/>
      <c r="BT90" s="293"/>
      <c r="BU90" s="293"/>
      <c r="BV90" s="293"/>
      <c r="BW90" s="293"/>
      <c r="BX90" s="293"/>
      <c r="BY90" s="293"/>
      <c r="BZ90" s="293"/>
      <c r="CA90" s="293"/>
      <c r="CB90" s="293"/>
      <c r="CC90" s="293"/>
      <c r="CD90" s="293"/>
      <c r="CE90" s="294"/>
      <c r="CF90" s="293"/>
      <c r="CG90" s="293"/>
      <c r="CH90" s="293"/>
      <c r="CI90" s="293"/>
      <c r="CJ90" s="469">
        <v>0</v>
      </c>
      <c r="CK90" s="469">
        <v>0</v>
      </c>
      <c r="CL90" s="469">
        <v>0</v>
      </c>
      <c r="CM90" s="469">
        <v>0</v>
      </c>
      <c r="CN90" s="469">
        <v>0</v>
      </c>
      <c r="CO90" s="469">
        <v>0</v>
      </c>
      <c r="CP90" s="1274">
        <v>0</v>
      </c>
      <c r="CQ90" s="469">
        <v>0</v>
      </c>
      <c r="CR90" s="469">
        <v>0</v>
      </c>
      <c r="CS90" s="469">
        <v>0</v>
      </c>
      <c r="CT90" s="469">
        <v>0</v>
      </c>
      <c r="CU90" s="469">
        <v>0</v>
      </c>
      <c r="CV90" s="469">
        <v>0</v>
      </c>
      <c r="CW90" s="469">
        <v>0</v>
      </c>
      <c r="CX90" s="469">
        <v>0</v>
      </c>
      <c r="CY90" s="469">
        <v>0</v>
      </c>
      <c r="CZ90" s="469">
        <v>0</v>
      </c>
      <c r="DA90" s="469">
        <v>0</v>
      </c>
      <c r="DB90" s="1293">
        <v>0</v>
      </c>
      <c r="DC90" s="813">
        <v>0</v>
      </c>
      <c r="DD90" s="813">
        <v>0</v>
      </c>
      <c r="DE90" s="813">
        <v>0</v>
      </c>
      <c r="DF90" s="813">
        <v>0</v>
      </c>
      <c r="DG90" s="813">
        <v>0</v>
      </c>
      <c r="DH90" s="813">
        <v>0</v>
      </c>
      <c r="DI90" s="813">
        <v>0</v>
      </c>
      <c r="DJ90" s="813">
        <v>0</v>
      </c>
      <c r="DK90" s="813">
        <v>0</v>
      </c>
      <c r="DL90" s="813">
        <v>0</v>
      </c>
      <c r="DM90" s="813">
        <v>0</v>
      </c>
      <c r="DN90" s="814">
        <v>0</v>
      </c>
      <c r="DO90" s="813">
        <v>0</v>
      </c>
      <c r="DP90" s="813">
        <v>0</v>
      </c>
      <c r="DQ90" s="813">
        <v>0</v>
      </c>
      <c r="DR90" s="813">
        <v>0</v>
      </c>
      <c r="DS90" s="813">
        <v>0</v>
      </c>
      <c r="DT90" s="813">
        <v>0</v>
      </c>
      <c r="DU90" s="813">
        <v>0</v>
      </c>
      <c r="DV90" s="813">
        <v>0</v>
      </c>
      <c r="DW90" s="813">
        <v>0</v>
      </c>
      <c r="DX90" s="813">
        <v>0</v>
      </c>
      <c r="DY90" s="813">
        <v>0</v>
      </c>
      <c r="DZ90" s="814">
        <v>0</v>
      </c>
      <c r="EA90" s="813">
        <v>0</v>
      </c>
      <c r="EB90" s="813">
        <v>0</v>
      </c>
      <c r="EC90" s="813">
        <v>0</v>
      </c>
      <c r="ED90" s="813">
        <v>0</v>
      </c>
      <c r="EE90" s="813">
        <v>0</v>
      </c>
      <c r="EF90" s="813">
        <v>0</v>
      </c>
      <c r="EG90" s="813">
        <v>0</v>
      </c>
      <c r="EH90" s="813">
        <v>0</v>
      </c>
      <c r="EI90" s="813">
        <v>0</v>
      </c>
      <c r="EJ90" s="813">
        <v>0</v>
      </c>
      <c r="EK90" s="813">
        <v>0</v>
      </c>
      <c r="EL90" s="814">
        <v>0</v>
      </c>
      <c r="EM90" s="1086"/>
      <c r="EN90" s="1086"/>
      <c r="EO90" s="1086"/>
      <c r="EP90" s="1086"/>
      <c r="EQ90" s="1086"/>
      <c r="ER90" s="1086"/>
      <c r="ES90" s="1086"/>
      <c r="ET90" s="1086"/>
      <c r="EU90" s="1086"/>
      <c r="EV90" s="1086"/>
      <c r="EW90" s="1086"/>
      <c r="EX90" s="1353"/>
      <c r="EY90" s="1086"/>
      <c r="EZ90" s="1086"/>
      <c r="FA90" s="1086"/>
      <c r="FB90" s="1086"/>
      <c r="FC90" s="1086"/>
      <c r="FD90" s="1086"/>
      <c r="FE90" s="1086"/>
      <c r="FF90" s="1086"/>
      <c r="FG90" s="1086"/>
      <c r="FH90" s="1086"/>
      <c r="FI90" s="1086"/>
      <c r="FJ90" s="1353"/>
      <c r="FK90" s="1086"/>
      <c r="FL90" s="1086"/>
      <c r="FM90" s="1086"/>
      <c r="FN90" s="1086"/>
      <c r="FO90" s="1086"/>
      <c r="FP90" s="1086"/>
      <c r="FQ90" s="813"/>
      <c r="FR90" s="813"/>
      <c r="FS90" s="813"/>
      <c r="FT90" s="813"/>
      <c r="FU90" s="813"/>
      <c r="FV90" s="813"/>
      <c r="FW90" s="813"/>
      <c r="FX90" s="813"/>
      <c r="FY90" s="813"/>
      <c r="FZ90" s="813"/>
      <c r="GA90" s="813"/>
      <c r="GB90" s="813"/>
      <c r="GC90" s="813"/>
      <c r="GD90" s="813"/>
      <c r="GE90" s="813"/>
      <c r="GF90" s="813"/>
      <c r="GG90" s="813"/>
      <c r="GH90" s="813"/>
      <c r="GI90" s="813"/>
      <c r="GJ90" s="813"/>
      <c r="GK90" s="813"/>
      <c r="GL90" s="813"/>
      <c r="GM90" s="813"/>
      <c r="GN90" s="813"/>
      <c r="GO90" s="813"/>
      <c r="GP90" s="813"/>
      <c r="GQ90" s="813"/>
      <c r="GR90" s="813"/>
      <c r="GS90" s="813"/>
      <c r="GT90" s="813"/>
      <c r="GU90" s="813"/>
      <c r="GV90" s="813"/>
      <c r="GW90" s="813"/>
      <c r="GX90" s="813"/>
      <c r="GY90" s="813"/>
      <c r="GZ90" s="813"/>
      <c r="HA90" s="813"/>
      <c r="HB90" s="813"/>
      <c r="HC90" s="813"/>
      <c r="HD90" s="813"/>
      <c r="HE90" s="813"/>
      <c r="HF90" s="813"/>
      <c r="HG90" s="813"/>
      <c r="HH90" s="813"/>
      <c r="HI90" s="813"/>
      <c r="HJ90" s="813"/>
      <c r="HK90" s="813"/>
      <c r="HL90" s="813"/>
      <c r="HM90" s="813"/>
      <c r="HN90" s="813"/>
      <c r="HO90" s="813"/>
      <c r="HP90" s="813"/>
      <c r="HQ90" s="813"/>
      <c r="HR90" s="813"/>
      <c r="HS90" s="813"/>
      <c r="HT90" s="813"/>
      <c r="HU90" s="813"/>
      <c r="HV90" s="813"/>
      <c r="HW90" s="813"/>
      <c r="HX90" s="813"/>
      <c r="HY90" s="813"/>
      <c r="IK90" s="279">
        <f t="shared" si="16"/>
        <v>0</v>
      </c>
      <c r="KT90" s="280"/>
    </row>
    <row r="91" spans="1:306" outlineLevel="1">
      <c r="A91" s="291"/>
      <c r="B91" s="96" t="s">
        <v>338</v>
      </c>
      <c r="D91" s="300" t="s">
        <v>380</v>
      </c>
      <c r="E91" s="293"/>
      <c r="F91" s="293"/>
      <c r="G91" s="293"/>
      <c r="H91" s="293"/>
      <c r="I91" s="293"/>
      <c r="J91" s="293"/>
      <c r="K91" s="293"/>
      <c r="L91" s="293"/>
      <c r="M91" s="293"/>
      <c r="N91" s="293"/>
      <c r="O91" s="293"/>
      <c r="P91" s="293"/>
      <c r="Q91" s="293"/>
      <c r="R91" s="293"/>
      <c r="S91" s="293"/>
      <c r="T91" s="293"/>
      <c r="U91" s="293"/>
      <c r="V91" s="293"/>
      <c r="W91" s="293"/>
      <c r="X91" s="293"/>
      <c r="Y91" s="29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c r="BN91" s="293"/>
      <c r="BO91" s="293"/>
      <c r="BP91" s="293"/>
      <c r="BQ91" s="293"/>
      <c r="BR91" s="293"/>
      <c r="BS91" s="293"/>
      <c r="BT91" s="293"/>
      <c r="BU91" s="293"/>
      <c r="BV91" s="293"/>
      <c r="BW91" s="293"/>
      <c r="BX91" s="293"/>
      <c r="BY91" s="293"/>
      <c r="BZ91" s="293"/>
      <c r="CA91" s="293"/>
      <c r="CB91" s="293"/>
      <c r="CC91" s="293"/>
      <c r="CD91" s="293"/>
      <c r="CE91" s="294"/>
      <c r="CF91" s="293"/>
      <c r="CG91" s="293"/>
      <c r="CH91" s="293"/>
      <c r="CI91" s="293"/>
      <c r="CJ91" s="469">
        <v>1.7016389999999999E-2</v>
      </c>
      <c r="CK91" s="469">
        <v>1.7016389999999999E-2</v>
      </c>
      <c r="CL91" s="469">
        <v>1.7016389999999999E-2</v>
      </c>
      <c r="CM91" s="469">
        <v>1.7016389999999999E-2</v>
      </c>
      <c r="CN91" s="469">
        <v>1.7016389999999999E-2</v>
      </c>
      <c r="CO91" s="469">
        <v>1.7016389999999999E-2</v>
      </c>
      <c r="CP91" s="1274">
        <v>1.7016389999999999E-2</v>
      </c>
      <c r="CQ91" s="469">
        <v>1.7016389999999999E-2</v>
      </c>
      <c r="CR91" s="469">
        <v>1.7016389999999999E-2</v>
      </c>
      <c r="CS91" s="469">
        <v>1.7016389999999999E-2</v>
      </c>
      <c r="CT91" s="469">
        <v>1.7016389999999999E-2</v>
      </c>
      <c r="CU91" s="469">
        <v>1.7016389999999999E-2</v>
      </c>
      <c r="CV91" s="469">
        <v>1.7016389999999999E-2</v>
      </c>
      <c r="CW91" s="469">
        <v>1.7016389999999999E-2</v>
      </c>
      <c r="CX91" s="469">
        <v>1.7016389999999999E-2</v>
      </c>
      <c r="CY91" s="469">
        <v>1.7016389999999999E-2</v>
      </c>
      <c r="CZ91" s="469">
        <v>1.7016389999999999E-2</v>
      </c>
      <c r="DA91" s="469">
        <v>1.7016389999999999E-2</v>
      </c>
      <c r="DB91" s="1293">
        <v>1.7016389999999999E-2</v>
      </c>
      <c r="DC91" s="813">
        <v>1.7016389999999999E-2</v>
      </c>
      <c r="DD91" s="813">
        <v>1.7016389999999999E-2</v>
      </c>
      <c r="DE91" s="813">
        <v>1.7016389999999999E-2</v>
      </c>
      <c r="DF91" s="813">
        <v>1.7016389999999999E-2</v>
      </c>
      <c r="DG91" s="813">
        <v>1.7016389999999999E-2</v>
      </c>
      <c r="DH91" s="813">
        <v>1.7016389999999999E-2</v>
      </c>
      <c r="DI91" s="813">
        <v>1.7016389999999999E-2</v>
      </c>
      <c r="DJ91" s="813">
        <v>1.7016389999999999E-2</v>
      </c>
      <c r="DK91" s="813">
        <v>1.7016389999999999E-2</v>
      </c>
      <c r="DL91" s="813">
        <v>1.7016389999999999E-2</v>
      </c>
      <c r="DM91" s="813">
        <v>1.7016389999999999E-2</v>
      </c>
      <c r="DN91" s="814">
        <v>1.7016389999999999E-2</v>
      </c>
      <c r="DO91" s="813">
        <v>1.7016389999999999E-2</v>
      </c>
      <c r="DP91" s="813">
        <v>1.7016389999999999E-2</v>
      </c>
      <c r="DQ91" s="813">
        <v>1.7016389999999999E-2</v>
      </c>
      <c r="DR91" s="813">
        <v>1.7016389999999999E-2</v>
      </c>
      <c r="DS91" s="813">
        <v>1.7016389999999999E-2</v>
      </c>
      <c r="DT91" s="813">
        <v>1.7016389999999999E-2</v>
      </c>
      <c r="DU91" s="813">
        <v>1.7016389999999999E-2</v>
      </c>
      <c r="DV91" s="813">
        <v>1.7016389999999999E-2</v>
      </c>
      <c r="DW91" s="813">
        <v>1.7016389999999999E-2</v>
      </c>
      <c r="DX91" s="813">
        <v>1.7016389999999999E-2</v>
      </c>
      <c r="DY91" s="813">
        <v>1.7016389999999999E-2</v>
      </c>
      <c r="DZ91" s="814">
        <v>1.7016389999999999E-2</v>
      </c>
      <c r="EA91" s="813">
        <v>1.7016389999999999E-2</v>
      </c>
      <c r="EB91" s="813">
        <v>1.7016389999999999E-2</v>
      </c>
      <c r="EC91" s="813">
        <v>1.7016389999999999E-2</v>
      </c>
      <c r="ED91" s="813">
        <v>1.7016389999999999E-2</v>
      </c>
      <c r="EE91" s="813">
        <v>1.7016389999999999E-2</v>
      </c>
      <c r="EF91" s="813">
        <v>1.7016389999999999E-2</v>
      </c>
      <c r="EG91" s="813">
        <v>1.7016389999999999E-2</v>
      </c>
      <c r="EH91" s="813">
        <v>1.7016389999999999E-2</v>
      </c>
      <c r="EI91" s="813">
        <v>1.7016389999999999E-2</v>
      </c>
      <c r="EJ91" s="813">
        <v>1.7016389999999999E-2</v>
      </c>
      <c r="EK91" s="813">
        <v>1.7016389999999999E-2</v>
      </c>
      <c r="EL91" s="814">
        <v>1.7016389999999999E-2</v>
      </c>
      <c r="EM91" s="1086"/>
      <c r="EN91" s="1086"/>
      <c r="EO91" s="1086"/>
      <c r="EP91" s="1086"/>
      <c r="EQ91" s="1086"/>
      <c r="ER91" s="1086"/>
      <c r="ES91" s="1086"/>
      <c r="ET91" s="1086"/>
      <c r="EU91" s="1086"/>
      <c r="EV91" s="1086"/>
      <c r="EW91" s="1086"/>
      <c r="EX91" s="1353"/>
      <c r="EY91" s="1086"/>
      <c r="EZ91" s="1086"/>
      <c r="FA91" s="1086"/>
      <c r="FB91" s="1086"/>
      <c r="FC91" s="1086"/>
      <c r="FD91" s="1086"/>
      <c r="FE91" s="1086"/>
      <c r="FF91" s="1086"/>
      <c r="FG91" s="1086"/>
      <c r="FH91" s="1086"/>
      <c r="FI91" s="1086"/>
      <c r="FJ91" s="1353"/>
      <c r="FK91" s="1086"/>
      <c r="FL91" s="1086"/>
      <c r="FM91" s="1086"/>
      <c r="FN91" s="1086"/>
      <c r="FO91" s="1086"/>
      <c r="FP91" s="1086"/>
      <c r="FQ91" s="813"/>
      <c r="FR91" s="813"/>
      <c r="FS91" s="813"/>
      <c r="FT91" s="813"/>
      <c r="FU91" s="813"/>
      <c r="FV91" s="813"/>
      <c r="FW91" s="813"/>
      <c r="FX91" s="813"/>
      <c r="FY91" s="813"/>
      <c r="FZ91" s="813"/>
      <c r="GA91" s="813"/>
      <c r="GB91" s="813"/>
      <c r="GC91" s="813"/>
      <c r="GD91" s="813"/>
      <c r="GE91" s="813"/>
      <c r="GF91" s="813"/>
      <c r="GG91" s="813"/>
      <c r="GH91" s="813"/>
      <c r="GI91" s="813"/>
      <c r="GJ91" s="813"/>
      <c r="GK91" s="813"/>
      <c r="GL91" s="813"/>
      <c r="GM91" s="813"/>
      <c r="GN91" s="813"/>
      <c r="GO91" s="813"/>
      <c r="GP91" s="813"/>
      <c r="GQ91" s="813"/>
      <c r="GR91" s="813"/>
      <c r="GS91" s="813"/>
      <c r="GT91" s="813"/>
      <c r="GU91" s="813"/>
      <c r="GV91" s="813"/>
      <c r="GW91" s="813"/>
      <c r="GX91" s="813"/>
      <c r="GY91" s="813"/>
      <c r="GZ91" s="813"/>
      <c r="HA91" s="813"/>
      <c r="HB91" s="813"/>
      <c r="HC91" s="813"/>
      <c r="HD91" s="813"/>
      <c r="HE91" s="813"/>
      <c r="HF91" s="813"/>
      <c r="HG91" s="813"/>
      <c r="HH91" s="813"/>
      <c r="HI91" s="813"/>
      <c r="HJ91" s="813"/>
      <c r="HK91" s="813"/>
      <c r="HL91" s="813"/>
      <c r="HM91" s="813"/>
      <c r="HN91" s="813"/>
      <c r="HO91" s="813"/>
      <c r="HP91" s="813"/>
      <c r="HQ91" s="813"/>
      <c r="HR91" s="813"/>
      <c r="HS91" s="813"/>
      <c r="HT91" s="813"/>
      <c r="HU91" s="813"/>
      <c r="HV91" s="813"/>
      <c r="HW91" s="813"/>
      <c r="HX91" s="813"/>
      <c r="HY91" s="813"/>
      <c r="IK91" s="279">
        <f t="shared" si="16"/>
        <v>0.10209833999999998</v>
      </c>
      <c r="KT91" s="280"/>
    </row>
    <row r="92" spans="1:306" outlineLevel="1">
      <c r="A92" s="291"/>
      <c r="B92" s="96" t="s">
        <v>338</v>
      </c>
      <c r="D92" s="300" t="s">
        <v>381</v>
      </c>
      <c r="E92" s="293"/>
      <c r="F92" s="293"/>
      <c r="G92" s="293"/>
      <c r="H92" s="293"/>
      <c r="I92" s="293"/>
      <c r="J92" s="293"/>
      <c r="K92" s="293"/>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c r="BN92" s="293"/>
      <c r="BO92" s="293"/>
      <c r="BP92" s="293"/>
      <c r="BQ92" s="293"/>
      <c r="BR92" s="293"/>
      <c r="BS92" s="293"/>
      <c r="BT92" s="293"/>
      <c r="BU92" s="293"/>
      <c r="BV92" s="293"/>
      <c r="BW92" s="293"/>
      <c r="BX92" s="293"/>
      <c r="BY92" s="293"/>
      <c r="BZ92" s="293"/>
      <c r="CA92" s="293"/>
      <c r="CB92" s="293"/>
      <c r="CC92" s="293"/>
      <c r="CD92" s="293"/>
      <c r="CE92" s="294"/>
      <c r="CF92" s="293"/>
      <c r="CG92" s="293"/>
      <c r="CH92" s="293"/>
      <c r="CI92" s="293"/>
      <c r="CJ92" s="469">
        <v>1.172771989600367</v>
      </c>
      <c r="CK92" s="469">
        <v>1.172771989600367</v>
      </c>
      <c r="CL92" s="469">
        <v>2.8387760289999999</v>
      </c>
      <c r="CM92" s="469">
        <v>2.8387760289999999</v>
      </c>
      <c r="CN92" s="469">
        <v>2.8387760289999999</v>
      </c>
      <c r="CO92" s="469">
        <v>2.8387760289999999</v>
      </c>
      <c r="CP92" s="1274">
        <v>2.8387760289999999</v>
      </c>
      <c r="CQ92" s="469">
        <v>2.8387760289999999</v>
      </c>
      <c r="CR92" s="469">
        <v>2.8387760289999999</v>
      </c>
      <c r="CS92" s="469">
        <v>2.8387760289999999</v>
      </c>
      <c r="CT92" s="469">
        <v>2.8387760289999999</v>
      </c>
      <c r="CU92" s="469">
        <v>2.8387760289999999</v>
      </c>
      <c r="CV92" s="469">
        <v>2.8387760289999999</v>
      </c>
      <c r="CW92" s="469">
        <v>2.8387760289999999</v>
      </c>
      <c r="CX92" s="469">
        <v>2.8387760289999999</v>
      </c>
      <c r="CY92" s="469">
        <v>2.8387760289999999</v>
      </c>
      <c r="CZ92" s="469">
        <v>2.8387760289999999</v>
      </c>
      <c r="DA92" s="469">
        <v>2.8387760289999999</v>
      </c>
      <c r="DB92" s="1293">
        <v>2.8387760289999999</v>
      </c>
      <c r="DC92" s="813">
        <v>2.8387760289999999</v>
      </c>
      <c r="DD92" s="813">
        <v>2.8387760289999999</v>
      </c>
      <c r="DE92" s="813">
        <v>2.8387760289999999</v>
      </c>
      <c r="DF92" s="813">
        <v>2.8387760289999999</v>
      </c>
      <c r="DG92" s="813">
        <v>2.8387760289999999</v>
      </c>
      <c r="DH92" s="813">
        <v>2.8387760289999999</v>
      </c>
      <c r="DI92" s="813">
        <v>1.2545528186714601</v>
      </c>
      <c r="DJ92" s="813">
        <v>1.2545528186714601</v>
      </c>
      <c r="DK92" s="813">
        <v>1.2545528186714601</v>
      </c>
      <c r="DL92" s="813">
        <v>1.2545528186714601</v>
      </c>
      <c r="DM92" s="813">
        <v>1.2545528186714601</v>
      </c>
      <c r="DN92" s="814">
        <v>1.2816806026798162</v>
      </c>
      <c r="DO92" s="813">
        <v>1.2816806026798162</v>
      </c>
      <c r="DP92" s="813">
        <v>1.2816806026798162</v>
      </c>
      <c r="DQ92" s="813">
        <v>1.2816806026798162</v>
      </c>
      <c r="DR92" s="813">
        <v>1.2816806026798162</v>
      </c>
      <c r="DS92" s="813">
        <v>1.2816806026798162</v>
      </c>
      <c r="DT92" s="813">
        <v>1.2816806026798162</v>
      </c>
      <c r="DU92" s="813">
        <v>1.3028982878841386</v>
      </c>
      <c r="DV92" s="813">
        <v>1.3056143796064399</v>
      </c>
      <c r="DW92" s="813">
        <v>1.3086214810576933</v>
      </c>
      <c r="DX92" s="813">
        <v>1.3086214810576933</v>
      </c>
      <c r="DY92" s="813">
        <v>1.3086214810576933</v>
      </c>
      <c r="DZ92" s="814">
        <v>1.3173777975705276</v>
      </c>
      <c r="EA92" s="813">
        <v>1.3203115544877821</v>
      </c>
      <c r="EB92" s="813">
        <v>1.3232453110255904</v>
      </c>
      <c r="EC92" s="813">
        <v>1.3232453110255904</v>
      </c>
      <c r="ED92" s="813">
        <v>1.3232453110255904</v>
      </c>
      <c r="EE92" s="813">
        <v>1.3232453110255904</v>
      </c>
      <c r="EF92" s="813">
        <v>1.3232453110255904</v>
      </c>
      <c r="EG92" s="813">
        <v>1.3232453110255904</v>
      </c>
      <c r="EH92" s="813">
        <v>1.3232453110255904</v>
      </c>
      <c r="EI92" s="813">
        <v>1.3232453110255904</v>
      </c>
      <c r="EJ92" s="813">
        <v>2.3232453110255902</v>
      </c>
      <c r="EK92" s="813">
        <v>2.3232453110255902</v>
      </c>
      <c r="EL92" s="814">
        <v>2.3232453110255902</v>
      </c>
      <c r="EM92" s="1086"/>
      <c r="EN92" s="1086"/>
      <c r="EO92" s="1086"/>
      <c r="EP92" s="1086"/>
      <c r="EQ92" s="1086"/>
      <c r="ER92" s="1086"/>
      <c r="ES92" s="1086"/>
      <c r="ET92" s="1086"/>
      <c r="EU92" s="1086"/>
      <c r="EV92" s="1086"/>
      <c r="EW92" s="1086"/>
      <c r="EX92" s="1353"/>
      <c r="EY92" s="1086"/>
      <c r="EZ92" s="1086"/>
      <c r="FA92" s="1086"/>
      <c r="FB92" s="1086"/>
      <c r="FC92" s="1086"/>
      <c r="FD92" s="1086"/>
      <c r="FE92" s="1086"/>
      <c r="FF92" s="1086"/>
      <c r="FG92" s="1086"/>
      <c r="FH92" s="1086"/>
      <c r="FI92" s="1086"/>
      <c r="FJ92" s="1353"/>
      <c r="FK92" s="1086"/>
      <c r="FL92" s="1086"/>
      <c r="FM92" s="1086"/>
      <c r="FN92" s="1086"/>
      <c r="FO92" s="1086"/>
      <c r="FP92" s="1086"/>
      <c r="FQ92" s="813"/>
      <c r="FR92" s="813"/>
      <c r="FS92" s="813"/>
      <c r="FT92" s="813"/>
      <c r="FU92" s="813"/>
      <c r="FV92" s="813"/>
      <c r="FW92" s="813"/>
      <c r="FX92" s="813"/>
      <c r="FY92" s="813"/>
      <c r="FZ92" s="813"/>
      <c r="GA92" s="813"/>
      <c r="GB92" s="813"/>
      <c r="GC92" s="813"/>
      <c r="GD92" s="813"/>
      <c r="GE92" s="813"/>
      <c r="GF92" s="813"/>
      <c r="GG92" s="813"/>
      <c r="GH92" s="813"/>
      <c r="GI92" s="813"/>
      <c r="GJ92" s="813"/>
      <c r="GK92" s="813"/>
      <c r="GL92" s="813"/>
      <c r="GM92" s="813"/>
      <c r="GN92" s="813"/>
      <c r="GO92" s="813"/>
      <c r="GP92" s="813"/>
      <c r="GQ92" s="813"/>
      <c r="GR92" s="813"/>
      <c r="GS92" s="813"/>
      <c r="GT92" s="813"/>
      <c r="GU92" s="813"/>
      <c r="GV92" s="813"/>
      <c r="GW92" s="813"/>
      <c r="GX92" s="813"/>
      <c r="GY92" s="813"/>
      <c r="GZ92" s="813"/>
      <c r="HA92" s="813"/>
      <c r="HB92" s="813"/>
      <c r="HC92" s="813"/>
      <c r="HD92" s="813"/>
      <c r="HE92" s="813"/>
      <c r="HF92" s="813"/>
      <c r="HG92" s="813"/>
      <c r="HH92" s="813"/>
      <c r="HI92" s="813"/>
      <c r="HJ92" s="813"/>
      <c r="HK92" s="813"/>
      <c r="HL92" s="813"/>
      <c r="HM92" s="813"/>
      <c r="HN92" s="813"/>
      <c r="HO92" s="813"/>
      <c r="HP92" s="813"/>
      <c r="HQ92" s="813"/>
      <c r="HR92" s="813"/>
      <c r="HS92" s="813"/>
      <c r="HT92" s="813"/>
      <c r="HU92" s="813"/>
      <c r="HV92" s="813"/>
      <c r="HW92" s="813"/>
      <c r="HX92" s="813"/>
      <c r="HY92" s="813"/>
      <c r="IK92" s="279">
        <f t="shared" si="16"/>
        <v>7.6900836160788968</v>
      </c>
      <c r="KT92" s="280"/>
    </row>
    <row r="93" spans="1:306" outlineLevel="1">
      <c r="A93" s="96" t="s">
        <v>337</v>
      </c>
      <c r="B93" s="96" t="s">
        <v>338</v>
      </c>
      <c r="D93" s="299" t="s">
        <v>370</v>
      </c>
      <c r="E93" s="293"/>
      <c r="F93" s="293"/>
      <c r="G93" s="293"/>
      <c r="H93" s="293"/>
      <c r="I93" s="293"/>
      <c r="J93" s="293"/>
      <c r="K93" s="293"/>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c r="BN93" s="293"/>
      <c r="BO93" s="293"/>
      <c r="BP93" s="293"/>
      <c r="BQ93" s="293"/>
      <c r="BR93" s="293"/>
      <c r="BS93" s="293"/>
      <c r="BT93" s="293"/>
      <c r="BU93" s="293"/>
      <c r="BV93" s="293"/>
      <c r="BW93" s="293"/>
      <c r="BX93" s="293"/>
      <c r="BY93" s="293"/>
      <c r="BZ93" s="293"/>
      <c r="CA93" s="293"/>
      <c r="CB93" s="293"/>
      <c r="CC93" s="293"/>
      <c r="CD93" s="293"/>
      <c r="CE93" s="294">
        <v>0.36952295899999998</v>
      </c>
      <c r="CF93" s="293">
        <v>1.6176518170000023</v>
      </c>
      <c r="CG93" s="293">
        <v>0.107257982</v>
      </c>
      <c r="CH93" s="293">
        <v>0.26947505700000002</v>
      </c>
      <c r="CI93" s="293">
        <v>1.6661813710000004</v>
      </c>
      <c r="CJ93" s="293">
        <v>0.26315825700000001</v>
      </c>
      <c r="CK93" s="293">
        <v>0.94391963800000056</v>
      </c>
      <c r="CL93" s="293">
        <v>0</v>
      </c>
      <c r="CM93" s="293">
        <v>1.8234247939999972</v>
      </c>
      <c r="CN93" s="293">
        <v>0.95571863300000004</v>
      </c>
      <c r="CO93" s="293">
        <v>6</v>
      </c>
      <c r="CP93" s="295">
        <v>5.1072579820000001</v>
      </c>
      <c r="CQ93" s="293">
        <v>0.96766511620255435</v>
      </c>
      <c r="CR93" s="293">
        <v>0</v>
      </c>
      <c r="CS93" s="293">
        <v>0.107257982</v>
      </c>
      <c r="CT93" s="293">
        <v>0.97976093015508603</v>
      </c>
      <c r="CU93" s="293">
        <v>0</v>
      </c>
      <c r="CV93" s="293">
        <v>0.107257982</v>
      </c>
      <c r="CW93" s="293">
        <v>0.992007941782025</v>
      </c>
      <c r="CX93" s="293">
        <v>0</v>
      </c>
      <c r="CY93" s="293">
        <v>0.10730000000000001</v>
      </c>
      <c r="CZ93" s="293">
        <v>1.0044080410543001</v>
      </c>
      <c r="DA93" s="293">
        <v>0</v>
      </c>
      <c r="DB93" s="1288">
        <v>0.10725797400000001</v>
      </c>
      <c r="DC93" s="815">
        <v>1.0169631415674789</v>
      </c>
      <c r="DD93" s="815">
        <v>0</v>
      </c>
      <c r="DE93" s="815">
        <v>0.107257982</v>
      </c>
      <c r="DF93" s="815">
        <v>1.0296751808370701</v>
      </c>
      <c r="DG93" s="815">
        <v>7</v>
      </c>
      <c r="DH93" s="815">
        <v>0.28742022899999997</v>
      </c>
      <c r="DI93" s="815">
        <v>1.0425461199999999</v>
      </c>
      <c r="DJ93" s="815">
        <v>0</v>
      </c>
      <c r="DK93" s="815">
        <v>0</v>
      </c>
      <c r="DL93" s="815">
        <v>1.0555779471050051</v>
      </c>
      <c r="DM93" s="815">
        <v>0</v>
      </c>
      <c r="DN93" s="820">
        <v>0</v>
      </c>
      <c r="DO93" s="815">
        <v>1.0687726714438199</v>
      </c>
      <c r="DP93" s="815">
        <v>0.85545203299999995</v>
      </c>
      <c r="DQ93" s="815">
        <v>0.86362635300000001</v>
      </c>
      <c r="DR93" s="815">
        <v>1.9540111118368653</v>
      </c>
      <c r="DS93" s="815">
        <v>0</v>
      </c>
      <c r="DT93" s="815">
        <v>0.28169549300000002</v>
      </c>
      <c r="DU93" s="815">
        <v>1.9842799479598261</v>
      </c>
      <c r="DV93" s="815">
        <v>0.89711223200000001</v>
      </c>
      <c r="DW93" s="815">
        <v>0.90568463700000001</v>
      </c>
      <c r="DX93" s="815">
        <v>2.023693678259324</v>
      </c>
      <c r="DY93" s="815">
        <v>0</v>
      </c>
      <c r="DZ93" s="820">
        <v>0.92307597399999997</v>
      </c>
      <c r="EA93" s="815">
        <v>3.0232216552750653</v>
      </c>
      <c r="EB93" s="815">
        <v>1.9</v>
      </c>
      <c r="EC93" s="815">
        <v>1.9</v>
      </c>
      <c r="ED93" s="815">
        <v>3.0372619260000002</v>
      </c>
      <c r="EE93" s="815">
        <v>0</v>
      </c>
      <c r="EF93" s="815">
        <v>2.1082000059999997</v>
      </c>
      <c r="EG93" s="815">
        <v>4.2029554000000005</v>
      </c>
      <c r="EH93" s="815">
        <v>1.9</v>
      </c>
      <c r="EI93" s="815">
        <v>1.9</v>
      </c>
      <c r="EJ93" s="815">
        <v>4.2317423420000004</v>
      </c>
      <c r="EK93" s="815">
        <v>0</v>
      </c>
      <c r="EL93" s="820">
        <v>1.9</v>
      </c>
      <c r="EM93" s="1084"/>
      <c r="EN93" s="1084"/>
      <c r="EO93" s="1084"/>
      <c r="EP93" s="1084"/>
      <c r="EQ93" s="1084"/>
      <c r="ER93" s="1084"/>
      <c r="ES93" s="1084"/>
      <c r="ET93" s="1084"/>
      <c r="EU93" s="1084"/>
      <c r="EV93" s="1084"/>
      <c r="EW93" s="1084"/>
      <c r="EX93" s="1351"/>
      <c r="EY93" s="1084"/>
      <c r="EZ93" s="1084"/>
      <c r="FA93" s="1084"/>
      <c r="FB93" s="1084"/>
      <c r="FC93" s="1084"/>
      <c r="FD93" s="1084"/>
      <c r="FE93" s="1084"/>
      <c r="FF93" s="1084"/>
      <c r="FG93" s="1084"/>
      <c r="FH93" s="1084"/>
      <c r="FI93" s="1084"/>
      <c r="FJ93" s="1351"/>
      <c r="FK93" s="1084"/>
      <c r="FL93" s="1084"/>
      <c r="FM93" s="1084"/>
      <c r="FN93" s="1084"/>
      <c r="FO93" s="1084"/>
      <c r="FP93" s="1084"/>
      <c r="FQ93" s="815"/>
      <c r="FR93" s="815"/>
      <c r="FS93" s="815"/>
      <c r="FT93" s="815"/>
      <c r="FU93" s="815"/>
      <c r="FV93" s="815"/>
      <c r="FW93" s="815"/>
      <c r="FX93" s="815"/>
      <c r="FY93" s="815"/>
      <c r="FZ93" s="815"/>
      <c r="GA93" s="815"/>
      <c r="GB93" s="815"/>
      <c r="GC93" s="815"/>
      <c r="GD93" s="815"/>
      <c r="GE93" s="815"/>
      <c r="GF93" s="815"/>
      <c r="GG93" s="815"/>
      <c r="GH93" s="815"/>
      <c r="GI93" s="815"/>
      <c r="GJ93" s="815"/>
      <c r="GK93" s="815"/>
      <c r="GL93" s="815"/>
      <c r="GM93" s="815"/>
      <c r="GN93" s="815"/>
      <c r="GO93" s="815"/>
      <c r="GP93" s="815"/>
      <c r="GQ93" s="815"/>
      <c r="GR93" s="815"/>
      <c r="GS93" s="815"/>
      <c r="GT93" s="815"/>
      <c r="GU93" s="815"/>
      <c r="GV93" s="815"/>
      <c r="GW93" s="815"/>
      <c r="GX93" s="815"/>
      <c r="GY93" s="815"/>
      <c r="GZ93" s="815"/>
      <c r="HA93" s="815"/>
      <c r="HB93" s="815"/>
      <c r="HC93" s="815"/>
      <c r="HD93" s="815"/>
      <c r="HE93" s="815"/>
      <c r="HF93" s="815"/>
      <c r="HG93" s="815"/>
      <c r="HH93" s="815"/>
      <c r="HI93" s="815"/>
      <c r="HJ93" s="815"/>
      <c r="HK93" s="815"/>
      <c r="HL93" s="815"/>
      <c r="HM93" s="815"/>
      <c r="HN93" s="815"/>
      <c r="HO93" s="815"/>
      <c r="HP93" s="815"/>
      <c r="HQ93" s="815"/>
      <c r="HR93" s="815"/>
      <c r="HS93" s="815"/>
      <c r="HT93" s="815"/>
      <c r="HU93" s="815"/>
      <c r="HV93" s="815"/>
      <c r="HW93" s="815"/>
      <c r="HX93" s="815"/>
      <c r="HY93" s="815"/>
      <c r="IH93" s="279">
        <f t="shared" ref="IH93:IH117" si="17">+SUM(DC93:DH93)</f>
        <v>9.4413165334045495</v>
      </c>
      <c r="II93" s="279">
        <f t="shared" ref="II93:II117" si="18">+SUM(DI93:DN93)</f>
        <v>2.098124067105005</v>
      </c>
      <c r="IJ93" s="279">
        <f t="shared" ref="IJ93:IJ117" si="19">+IH93+II93</f>
        <v>11.539440600509554</v>
      </c>
      <c r="IK93" s="279">
        <f t="shared" si="16"/>
        <v>5.0235576622806848</v>
      </c>
      <c r="KT93" s="280"/>
    </row>
    <row r="94" spans="1:306" outlineLevel="1">
      <c r="B94" s="96" t="s">
        <v>338</v>
      </c>
      <c r="D94" s="296" t="s">
        <v>371</v>
      </c>
      <c r="E94" s="293"/>
      <c r="F94" s="293"/>
      <c r="G94" s="293"/>
      <c r="H94" s="293"/>
      <c r="I94" s="293"/>
      <c r="J94" s="293"/>
      <c r="K94" s="293"/>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c r="BN94" s="293"/>
      <c r="BO94" s="293"/>
      <c r="BP94" s="293"/>
      <c r="BQ94" s="293"/>
      <c r="BR94" s="293"/>
      <c r="BS94" s="293"/>
      <c r="BT94" s="293"/>
      <c r="BU94" s="293"/>
      <c r="BV94" s="293"/>
      <c r="BW94" s="293"/>
      <c r="BX94" s="293"/>
      <c r="BY94" s="293"/>
      <c r="BZ94" s="293"/>
      <c r="CA94" s="293"/>
      <c r="CB94" s="293"/>
      <c r="CC94" s="293"/>
      <c r="CD94" s="293"/>
      <c r="CE94" s="294">
        <v>0</v>
      </c>
      <c r="CF94" s="293">
        <v>1.6176518170000023</v>
      </c>
      <c r="CG94" s="293">
        <v>0</v>
      </c>
      <c r="CH94" s="293">
        <v>0</v>
      </c>
      <c r="CI94" s="293">
        <v>1.6661813710000004</v>
      </c>
      <c r="CJ94" s="293">
        <v>0</v>
      </c>
      <c r="CK94" s="293">
        <v>0.94391963800000056</v>
      </c>
      <c r="CL94" s="293">
        <v>0</v>
      </c>
      <c r="CM94" s="293">
        <v>1.7161668119999973</v>
      </c>
      <c r="CN94" s="293">
        <v>0.95571863300000004</v>
      </c>
      <c r="CO94" s="293">
        <v>6</v>
      </c>
      <c r="CP94" s="295">
        <v>5</v>
      </c>
      <c r="CQ94" s="293">
        <v>0.96766511620255435</v>
      </c>
      <c r="CR94" s="293">
        <v>0</v>
      </c>
      <c r="CS94" s="293">
        <v>0</v>
      </c>
      <c r="CT94" s="293">
        <v>0.97976093015508603</v>
      </c>
      <c r="CU94" s="293">
        <v>0</v>
      </c>
      <c r="CV94" s="293">
        <v>0</v>
      </c>
      <c r="CW94" s="293">
        <v>0.992007941782025</v>
      </c>
      <c r="CX94" s="293">
        <v>0</v>
      </c>
      <c r="CY94" s="293">
        <v>0</v>
      </c>
      <c r="CZ94" s="293">
        <v>1.0044080410543001</v>
      </c>
      <c r="DA94" s="293">
        <v>0</v>
      </c>
      <c r="DB94" s="1288">
        <v>0</v>
      </c>
      <c r="DC94" s="293">
        <v>1.0169631415674789</v>
      </c>
      <c r="DD94" s="293">
        <v>0</v>
      </c>
      <c r="DE94" s="293">
        <v>0</v>
      </c>
      <c r="DF94" s="293">
        <v>1.0296751808370701</v>
      </c>
      <c r="DG94" s="293">
        <v>7</v>
      </c>
      <c r="DH94" s="293">
        <v>0</v>
      </c>
      <c r="DI94" s="293">
        <v>1.0425461199999999</v>
      </c>
      <c r="DJ94" s="293">
        <v>0</v>
      </c>
      <c r="DK94" s="293">
        <v>0</v>
      </c>
      <c r="DL94" s="293">
        <v>0</v>
      </c>
      <c r="DM94" s="293">
        <v>0</v>
      </c>
      <c r="DN94" s="295">
        <v>0</v>
      </c>
      <c r="DO94" s="293">
        <v>1.0687726714438199</v>
      </c>
      <c r="DP94" s="293">
        <v>0.85545203299999995</v>
      </c>
      <c r="DQ94" s="293">
        <v>0.86362635300000001</v>
      </c>
      <c r="DR94" s="293">
        <v>1.9540111118368653</v>
      </c>
      <c r="DS94" s="293">
        <v>0</v>
      </c>
      <c r="DT94" s="293">
        <v>8.8021067999999994E-2</v>
      </c>
      <c r="DU94" s="293">
        <v>1.9842799479598261</v>
      </c>
      <c r="DV94" s="293">
        <v>0.89711223200000001</v>
      </c>
      <c r="DW94" s="293">
        <v>0.90568463700000001</v>
      </c>
      <c r="DX94" s="293">
        <v>2.023693678259324</v>
      </c>
      <c r="DY94" s="293">
        <v>0</v>
      </c>
      <c r="DZ94" s="295">
        <v>0.92307597399999997</v>
      </c>
      <c r="EA94" s="293">
        <v>3.0232216552750653</v>
      </c>
      <c r="EB94" s="293">
        <v>1.9</v>
      </c>
      <c r="EC94" s="293">
        <v>1.9</v>
      </c>
      <c r="ED94" s="293">
        <v>3.0372619260000002</v>
      </c>
      <c r="EE94" s="293">
        <v>0</v>
      </c>
      <c r="EF94" s="293">
        <v>1.9</v>
      </c>
      <c r="EG94" s="293">
        <v>3.0514777</v>
      </c>
      <c r="EH94" s="293">
        <v>1.9</v>
      </c>
      <c r="EI94" s="293">
        <v>1.9</v>
      </c>
      <c r="EJ94" s="293">
        <v>3.065871171</v>
      </c>
      <c r="EK94" s="293">
        <v>0</v>
      </c>
      <c r="EL94" s="295">
        <v>1.9</v>
      </c>
      <c r="EM94" s="1080"/>
      <c r="EN94" s="1080"/>
      <c r="EO94" s="1080"/>
      <c r="EP94" s="1080"/>
      <c r="EQ94" s="1080"/>
      <c r="ER94" s="1080"/>
      <c r="ES94" s="1080"/>
      <c r="ET94" s="1080"/>
      <c r="EU94" s="1080"/>
      <c r="EV94" s="1080"/>
      <c r="EW94" s="1080"/>
      <c r="EX94" s="1340"/>
      <c r="EY94" s="1080"/>
      <c r="EZ94" s="1080"/>
      <c r="FA94" s="1080"/>
      <c r="FB94" s="1080"/>
      <c r="FC94" s="1080"/>
      <c r="FD94" s="1080"/>
      <c r="FE94" s="1080"/>
      <c r="FF94" s="1080"/>
      <c r="FG94" s="1080"/>
      <c r="FH94" s="1080"/>
      <c r="FI94" s="1080"/>
      <c r="FJ94" s="1340"/>
      <c r="FK94" s="1080"/>
      <c r="FL94" s="1080"/>
      <c r="FM94" s="1080"/>
      <c r="FN94" s="1080"/>
      <c r="FO94" s="1080"/>
      <c r="FP94" s="1080"/>
      <c r="FQ94" s="293"/>
      <c r="FR94" s="293"/>
      <c r="FS94" s="293"/>
      <c r="FT94" s="293"/>
      <c r="FU94" s="293"/>
      <c r="FV94" s="293"/>
      <c r="FW94" s="293"/>
      <c r="FX94" s="293"/>
      <c r="FY94" s="293"/>
      <c r="FZ94" s="293"/>
      <c r="GA94" s="293"/>
      <c r="GB94" s="293"/>
      <c r="GC94" s="293"/>
      <c r="GD94" s="293"/>
      <c r="GE94" s="293"/>
      <c r="GF94" s="293"/>
      <c r="GG94" s="293"/>
      <c r="GH94" s="293"/>
      <c r="GI94" s="293"/>
      <c r="GJ94" s="293"/>
      <c r="GK94" s="293"/>
      <c r="GL94" s="293"/>
      <c r="GM94" s="293"/>
      <c r="GN94" s="293"/>
      <c r="GO94" s="293"/>
      <c r="GP94" s="293"/>
      <c r="GQ94" s="293"/>
      <c r="GR94" s="293"/>
      <c r="GS94" s="293"/>
      <c r="GT94" s="293"/>
      <c r="GU94" s="293"/>
      <c r="GV94" s="293"/>
      <c r="GW94" s="293"/>
      <c r="GX94" s="293"/>
      <c r="GY94" s="293"/>
      <c r="GZ94" s="293"/>
      <c r="HA94" s="293"/>
      <c r="HB94" s="293"/>
      <c r="HC94" s="293"/>
      <c r="HD94" s="293"/>
      <c r="HE94" s="293"/>
      <c r="HF94" s="293"/>
      <c r="HG94" s="293"/>
      <c r="HH94" s="293"/>
      <c r="HI94" s="293"/>
      <c r="HJ94" s="293"/>
      <c r="HK94" s="293"/>
      <c r="HL94" s="293"/>
      <c r="HM94" s="293"/>
      <c r="HN94" s="293"/>
      <c r="HO94" s="293"/>
      <c r="HP94" s="293"/>
      <c r="HQ94" s="293"/>
      <c r="HR94" s="293"/>
      <c r="HS94" s="293"/>
      <c r="HT94" s="293"/>
      <c r="HU94" s="293"/>
      <c r="HV94" s="293"/>
      <c r="HW94" s="293"/>
      <c r="HX94" s="293"/>
      <c r="HY94" s="293"/>
      <c r="IH94" s="279">
        <f t="shared" si="17"/>
        <v>9.046638322404549</v>
      </c>
      <c r="II94" s="279">
        <f t="shared" si="18"/>
        <v>1.0425461199999999</v>
      </c>
      <c r="IJ94" s="279">
        <f t="shared" si="19"/>
        <v>10.089184442404548</v>
      </c>
      <c r="IK94" s="279">
        <f t="shared" si="16"/>
        <v>4.8298832372806846</v>
      </c>
      <c r="KT94" s="280"/>
    </row>
    <row r="95" spans="1:306" outlineLevel="1">
      <c r="B95" s="96" t="s">
        <v>338</v>
      </c>
      <c r="D95" s="300" t="s">
        <v>372</v>
      </c>
      <c r="E95" s="293"/>
      <c r="F95" s="293"/>
      <c r="G95" s="293"/>
      <c r="H95" s="293"/>
      <c r="I95" s="293"/>
      <c r="J95" s="293"/>
      <c r="K95" s="293"/>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c r="BN95" s="293"/>
      <c r="BO95" s="293"/>
      <c r="BP95" s="293"/>
      <c r="BQ95" s="293"/>
      <c r="BR95" s="293"/>
      <c r="BS95" s="293"/>
      <c r="BT95" s="293"/>
      <c r="BU95" s="293"/>
      <c r="BV95" s="293"/>
      <c r="BW95" s="293"/>
      <c r="BX95" s="293"/>
      <c r="BY95" s="293"/>
      <c r="BZ95" s="293"/>
      <c r="CA95" s="293"/>
      <c r="CB95" s="293"/>
      <c r="CC95" s="293"/>
      <c r="CD95" s="293"/>
      <c r="CE95" s="294">
        <v>0</v>
      </c>
      <c r="CF95" s="293">
        <v>0</v>
      </c>
      <c r="CG95" s="293">
        <v>0</v>
      </c>
      <c r="CH95" s="293">
        <v>0</v>
      </c>
      <c r="CI95" s="293">
        <v>0</v>
      </c>
      <c r="CJ95" s="293">
        <v>0</v>
      </c>
      <c r="CK95" s="293">
        <v>0</v>
      </c>
      <c r="CL95" s="293">
        <v>0</v>
      </c>
      <c r="CM95" s="293">
        <v>0</v>
      </c>
      <c r="CN95" s="293">
        <v>0</v>
      </c>
      <c r="CO95" s="293">
        <v>0</v>
      </c>
      <c r="CP95" s="295">
        <v>0</v>
      </c>
      <c r="CQ95" s="293">
        <v>0</v>
      </c>
      <c r="CR95" s="293">
        <v>0</v>
      </c>
      <c r="CS95" s="293">
        <v>0</v>
      </c>
      <c r="CT95" s="293">
        <v>0</v>
      </c>
      <c r="CU95" s="293">
        <v>0</v>
      </c>
      <c r="CV95" s="293">
        <v>0</v>
      </c>
      <c r="CW95" s="293">
        <v>0</v>
      </c>
      <c r="CX95" s="293">
        <v>0</v>
      </c>
      <c r="CY95" s="293">
        <v>0</v>
      </c>
      <c r="CZ95" s="293">
        <v>0</v>
      </c>
      <c r="DA95" s="293">
        <v>0</v>
      </c>
      <c r="DB95" s="1288">
        <v>0</v>
      </c>
      <c r="DC95" s="293"/>
      <c r="DD95" s="293"/>
      <c r="DE95" s="293"/>
      <c r="DF95" s="293"/>
      <c r="DG95" s="293"/>
      <c r="DH95" s="293"/>
      <c r="DI95" s="293"/>
      <c r="DJ95" s="293"/>
      <c r="DK95" s="293"/>
      <c r="DL95" s="293"/>
      <c r="DM95" s="293"/>
      <c r="DN95" s="295"/>
      <c r="DO95" s="293"/>
      <c r="DP95" s="293"/>
      <c r="DQ95" s="293"/>
      <c r="DR95" s="293"/>
      <c r="DS95" s="293"/>
      <c r="DT95" s="293"/>
      <c r="DU95" s="293"/>
      <c r="DV95" s="293"/>
      <c r="DW95" s="293"/>
      <c r="DX95" s="293"/>
      <c r="DY95" s="293"/>
      <c r="DZ95" s="295"/>
      <c r="EA95" s="293"/>
      <c r="EB95" s="293"/>
      <c r="EC95" s="293"/>
      <c r="ED95" s="293"/>
      <c r="EE95" s="293"/>
      <c r="EF95" s="293"/>
      <c r="EG95" s="293"/>
      <c r="EH95" s="293"/>
      <c r="EI95" s="293"/>
      <c r="EJ95" s="293"/>
      <c r="EK95" s="293"/>
      <c r="EL95" s="295"/>
      <c r="EM95" s="1080"/>
      <c r="EN95" s="1080"/>
      <c r="EO95" s="1080"/>
      <c r="EP95" s="1080"/>
      <c r="EQ95" s="1080"/>
      <c r="ER95" s="1080"/>
      <c r="ES95" s="1080"/>
      <c r="ET95" s="1080"/>
      <c r="EU95" s="1080"/>
      <c r="EV95" s="1080"/>
      <c r="EW95" s="1080"/>
      <c r="EX95" s="1340"/>
      <c r="EY95" s="1080"/>
      <c r="EZ95" s="1080"/>
      <c r="FA95" s="1080"/>
      <c r="FB95" s="1080"/>
      <c r="FC95" s="1080"/>
      <c r="FD95" s="1080"/>
      <c r="FE95" s="1080"/>
      <c r="FF95" s="1080"/>
      <c r="FG95" s="1080"/>
      <c r="FH95" s="1080"/>
      <c r="FI95" s="1080"/>
      <c r="FJ95" s="1340"/>
      <c r="FK95" s="1080"/>
      <c r="FL95" s="1080"/>
      <c r="FM95" s="1080"/>
      <c r="FN95" s="1080"/>
      <c r="FO95" s="1080"/>
      <c r="FP95" s="1080"/>
      <c r="FQ95" s="293"/>
      <c r="FR95" s="293"/>
      <c r="FS95" s="293"/>
      <c r="FT95" s="293"/>
      <c r="FU95" s="293"/>
      <c r="FV95" s="293"/>
      <c r="FW95" s="293"/>
      <c r="FX95" s="293"/>
      <c r="FY95" s="293"/>
      <c r="FZ95" s="293"/>
      <c r="GA95" s="293"/>
      <c r="GB95" s="293"/>
      <c r="GC95" s="293"/>
      <c r="GD95" s="293"/>
      <c r="GE95" s="293"/>
      <c r="GF95" s="293"/>
      <c r="GG95" s="293"/>
      <c r="GH95" s="293"/>
      <c r="GI95" s="293"/>
      <c r="GJ95" s="293"/>
      <c r="GK95" s="293"/>
      <c r="GL95" s="293"/>
      <c r="GM95" s="293"/>
      <c r="GN95" s="293"/>
      <c r="GO95" s="293"/>
      <c r="GP95" s="293"/>
      <c r="GQ95" s="293"/>
      <c r="GR95" s="293"/>
      <c r="GS95" s="293"/>
      <c r="GT95" s="293"/>
      <c r="GU95" s="293"/>
      <c r="GV95" s="293"/>
      <c r="GW95" s="293"/>
      <c r="GX95" s="293"/>
      <c r="GY95" s="293"/>
      <c r="GZ95" s="293"/>
      <c r="HA95" s="293"/>
      <c r="HB95" s="293"/>
      <c r="HC95" s="293"/>
      <c r="HD95" s="293"/>
      <c r="HE95" s="293"/>
      <c r="HF95" s="293"/>
      <c r="HG95" s="293"/>
      <c r="HH95" s="293"/>
      <c r="HI95" s="293"/>
      <c r="HJ95" s="293"/>
      <c r="HK95" s="293"/>
      <c r="HL95" s="293"/>
      <c r="HM95" s="293"/>
      <c r="HN95" s="293"/>
      <c r="HO95" s="293"/>
      <c r="HP95" s="293"/>
      <c r="HQ95" s="293"/>
      <c r="HR95" s="293"/>
      <c r="HS95" s="293"/>
      <c r="HT95" s="293"/>
      <c r="HU95" s="293"/>
      <c r="HV95" s="293"/>
      <c r="HW95" s="293"/>
      <c r="HX95" s="293"/>
      <c r="HY95" s="293"/>
      <c r="IH95" s="279">
        <f t="shared" si="17"/>
        <v>0</v>
      </c>
      <c r="II95" s="279">
        <f t="shared" si="18"/>
        <v>0</v>
      </c>
      <c r="IJ95" s="279">
        <f t="shared" si="19"/>
        <v>0</v>
      </c>
      <c r="KT95" s="280"/>
    </row>
    <row r="96" spans="1:306" outlineLevel="1">
      <c r="B96" s="96" t="s">
        <v>338</v>
      </c>
      <c r="D96" s="300" t="s">
        <v>373</v>
      </c>
      <c r="E96" s="293"/>
      <c r="F96" s="293"/>
      <c r="G96" s="293"/>
      <c r="H96" s="293"/>
      <c r="I96" s="293"/>
      <c r="J96" s="293"/>
      <c r="K96" s="293"/>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c r="BN96" s="293"/>
      <c r="BO96" s="293"/>
      <c r="BP96" s="293"/>
      <c r="BQ96" s="293"/>
      <c r="BR96" s="293"/>
      <c r="BS96" s="293"/>
      <c r="BT96" s="293"/>
      <c r="BU96" s="293"/>
      <c r="BV96" s="293"/>
      <c r="BW96" s="293"/>
      <c r="BX96" s="293"/>
      <c r="BY96" s="293"/>
      <c r="BZ96" s="293"/>
      <c r="CA96" s="293"/>
      <c r="CB96" s="293"/>
      <c r="CC96" s="293"/>
      <c r="CD96" s="293"/>
      <c r="CE96" s="294">
        <v>0</v>
      </c>
      <c r="CF96" s="293">
        <v>1.6176518170000023</v>
      </c>
      <c r="CG96" s="293">
        <v>0</v>
      </c>
      <c r="CH96" s="293">
        <v>0</v>
      </c>
      <c r="CI96" s="293">
        <v>1.6661813710000004</v>
      </c>
      <c r="CJ96" s="293">
        <v>0</v>
      </c>
      <c r="CK96" s="293">
        <v>0.94391963800000056</v>
      </c>
      <c r="CL96" s="293">
        <v>0</v>
      </c>
      <c r="CM96" s="293">
        <v>1.7161668119999973</v>
      </c>
      <c r="CN96" s="293">
        <v>0.95571863300000004</v>
      </c>
      <c r="CO96" s="293">
        <v>6</v>
      </c>
      <c r="CP96" s="295">
        <v>5</v>
      </c>
      <c r="CQ96" s="293">
        <v>0.96766511620255435</v>
      </c>
      <c r="CR96" s="293">
        <v>0</v>
      </c>
      <c r="CS96" s="293">
        <v>0</v>
      </c>
      <c r="CT96" s="293">
        <v>0.97976093015508603</v>
      </c>
      <c r="CU96" s="293">
        <v>0</v>
      </c>
      <c r="CV96" s="293">
        <v>0</v>
      </c>
      <c r="CW96" s="293">
        <v>0.992007941782025</v>
      </c>
      <c r="CX96" s="293">
        <v>0</v>
      </c>
      <c r="CY96" s="293">
        <v>0</v>
      </c>
      <c r="CZ96" s="293">
        <v>1.0044080410543001</v>
      </c>
      <c r="DA96" s="293">
        <v>0</v>
      </c>
      <c r="DB96" s="1288">
        <v>0</v>
      </c>
      <c r="DC96" s="293">
        <v>1.0169631415674789</v>
      </c>
      <c r="DD96" s="293">
        <v>0</v>
      </c>
      <c r="DE96" s="293">
        <v>0</v>
      </c>
      <c r="DF96" s="293">
        <v>1.0296751808370701</v>
      </c>
      <c r="DG96" s="293">
        <v>7</v>
      </c>
      <c r="DH96" s="293">
        <v>0</v>
      </c>
      <c r="DI96" s="293">
        <v>1.0425461199999999</v>
      </c>
      <c r="DJ96" s="293">
        <v>0</v>
      </c>
      <c r="DK96" s="293">
        <v>0</v>
      </c>
      <c r="DL96" s="293">
        <v>0</v>
      </c>
      <c r="DM96" s="293">
        <v>0</v>
      </c>
      <c r="DN96" s="295">
        <v>0</v>
      </c>
      <c r="DO96" s="293">
        <v>1.0687726714438199</v>
      </c>
      <c r="DP96" s="293">
        <v>0.85545203299999995</v>
      </c>
      <c r="DQ96" s="293">
        <v>0.86362635300000001</v>
      </c>
      <c r="DR96" s="293">
        <v>1.9540111118368653</v>
      </c>
      <c r="DS96" s="293">
        <v>0</v>
      </c>
      <c r="DT96" s="293">
        <v>8.8021067999999994E-2</v>
      </c>
      <c r="DU96" s="293">
        <v>1.9842799479598261</v>
      </c>
      <c r="DV96" s="293">
        <v>0.89711223200000001</v>
      </c>
      <c r="DW96" s="293">
        <v>0.90568463700000001</v>
      </c>
      <c r="DX96" s="293">
        <v>2.023693678259324</v>
      </c>
      <c r="DY96" s="293">
        <v>0</v>
      </c>
      <c r="DZ96" s="295">
        <v>0.92307597399999997</v>
      </c>
      <c r="EA96" s="293">
        <v>3.0232216552750653</v>
      </c>
      <c r="EB96" s="293">
        <v>1.9</v>
      </c>
      <c r="EC96" s="293">
        <v>1.9</v>
      </c>
      <c r="ED96" s="293">
        <v>3.0372619260000002</v>
      </c>
      <c r="EE96" s="293">
        <v>0</v>
      </c>
      <c r="EF96" s="293">
        <v>1.9</v>
      </c>
      <c r="EG96" s="293">
        <v>0</v>
      </c>
      <c r="EH96" s="293">
        <v>0</v>
      </c>
      <c r="EI96" s="293">
        <v>0</v>
      </c>
      <c r="EJ96" s="293">
        <v>0</v>
      </c>
      <c r="EK96" s="293">
        <v>0</v>
      </c>
      <c r="EL96" s="295">
        <v>0</v>
      </c>
      <c r="EM96" s="1080"/>
      <c r="EN96" s="1080"/>
      <c r="EO96" s="1080"/>
      <c r="EP96" s="1080"/>
      <c r="EQ96" s="1080"/>
      <c r="ER96" s="1080"/>
      <c r="ES96" s="1080"/>
      <c r="ET96" s="1080"/>
      <c r="EU96" s="1080"/>
      <c r="EV96" s="1080"/>
      <c r="EW96" s="1080"/>
      <c r="EX96" s="1340"/>
      <c r="EY96" s="1080"/>
      <c r="EZ96" s="1080"/>
      <c r="FA96" s="1080"/>
      <c r="FB96" s="1080"/>
      <c r="FC96" s="1080"/>
      <c r="FD96" s="1080"/>
      <c r="FE96" s="1080"/>
      <c r="FF96" s="1080"/>
      <c r="FG96" s="1080"/>
      <c r="FH96" s="1080"/>
      <c r="FI96" s="1080"/>
      <c r="FJ96" s="1340"/>
      <c r="FK96" s="1080"/>
      <c r="FL96" s="1080"/>
      <c r="FM96" s="1080"/>
      <c r="FN96" s="1080"/>
      <c r="FO96" s="1080"/>
      <c r="FP96" s="1080"/>
      <c r="FQ96" s="293"/>
      <c r="FR96" s="293"/>
      <c r="FS96" s="293"/>
      <c r="FT96" s="293"/>
      <c r="FU96" s="293"/>
      <c r="FV96" s="293"/>
      <c r="FW96" s="293"/>
      <c r="FX96" s="293"/>
      <c r="FY96" s="293"/>
      <c r="FZ96" s="293"/>
      <c r="GA96" s="293"/>
      <c r="GB96" s="293"/>
      <c r="GC96" s="293"/>
      <c r="GD96" s="293"/>
      <c r="GE96" s="293"/>
      <c r="GF96" s="293"/>
      <c r="GG96" s="293"/>
      <c r="GH96" s="293"/>
      <c r="GI96" s="293"/>
      <c r="GJ96" s="293"/>
      <c r="GK96" s="293"/>
      <c r="GL96" s="293"/>
      <c r="GM96" s="293"/>
      <c r="GN96" s="293"/>
      <c r="GO96" s="293"/>
      <c r="GP96" s="293"/>
      <c r="GQ96" s="293"/>
      <c r="GR96" s="293"/>
      <c r="GS96" s="293"/>
      <c r="GT96" s="293"/>
      <c r="GU96" s="293"/>
      <c r="GV96" s="293"/>
      <c r="GW96" s="293"/>
      <c r="GX96" s="293"/>
      <c r="GY96" s="293"/>
      <c r="GZ96" s="293"/>
      <c r="HA96" s="293"/>
      <c r="HB96" s="293"/>
      <c r="HC96" s="293"/>
      <c r="HD96" s="293"/>
      <c r="HE96" s="293"/>
      <c r="HF96" s="293"/>
      <c r="HG96" s="293"/>
      <c r="HH96" s="293"/>
      <c r="HI96" s="293"/>
      <c r="HJ96" s="293"/>
      <c r="HK96" s="293"/>
      <c r="HL96" s="293"/>
      <c r="HM96" s="293"/>
      <c r="HN96" s="293"/>
      <c r="HO96" s="293"/>
      <c r="HP96" s="293"/>
      <c r="HQ96" s="293"/>
      <c r="HR96" s="293"/>
      <c r="HS96" s="293"/>
      <c r="HT96" s="293"/>
      <c r="HU96" s="293"/>
      <c r="HV96" s="293"/>
      <c r="HW96" s="293"/>
      <c r="HX96" s="293"/>
      <c r="HY96" s="293"/>
      <c r="IH96" s="279">
        <f t="shared" si="17"/>
        <v>9.046638322404549</v>
      </c>
      <c r="II96" s="279">
        <f t="shared" si="18"/>
        <v>1.0425461199999999</v>
      </c>
      <c r="IJ96" s="279">
        <f t="shared" si="19"/>
        <v>10.089184442404548</v>
      </c>
      <c r="IK96" s="279">
        <f t="shared" ref="IK96:IK117" si="20">SUM(DO96:DT96)</f>
        <v>4.8298832372806846</v>
      </c>
      <c r="KT96" s="280"/>
    </row>
    <row r="97" spans="1:306" outlineLevel="1">
      <c r="B97" s="96" t="s">
        <v>338</v>
      </c>
      <c r="D97" s="301" t="s">
        <v>374</v>
      </c>
      <c r="E97" s="293"/>
      <c r="F97" s="293"/>
      <c r="G97" s="293"/>
      <c r="H97" s="293"/>
      <c r="I97" s="293"/>
      <c r="J97" s="293"/>
      <c r="K97" s="293"/>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c r="BN97" s="293"/>
      <c r="BO97" s="293"/>
      <c r="BP97" s="293"/>
      <c r="BQ97" s="293"/>
      <c r="BR97" s="293"/>
      <c r="BS97" s="293"/>
      <c r="BT97" s="293"/>
      <c r="BU97" s="293"/>
      <c r="BV97" s="293"/>
      <c r="BW97" s="293"/>
      <c r="BX97" s="293"/>
      <c r="BY97" s="293"/>
      <c r="BZ97" s="293"/>
      <c r="CA97" s="293"/>
      <c r="CB97" s="293"/>
      <c r="CC97" s="293"/>
      <c r="CD97" s="293"/>
      <c r="CE97" s="294">
        <v>0</v>
      </c>
      <c r="CF97" s="293">
        <v>1.6176518170000023</v>
      </c>
      <c r="CG97" s="293">
        <v>0</v>
      </c>
      <c r="CH97" s="293">
        <v>0</v>
      </c>
      <c r="CI97" s="293">
        <v>1.6661813710000004</v>
      </c>
      <c r="CJ97" s="293">
        <v>0</v>
      </c>
      <c r="CK97" s="293">
        <v>0</v>
      </c>
      <c r="CL97" s="293">
        <v>0</v>
      </c>
      <c r="CM97" s="293">
        <v>1.7161668119999973</v>
      </c>
      <c r="CN97" s="293">
        <v>0</v>
      </c>
      <c r="CO97" s="293">
        <v>6</v>
      </c>
      <c r="CP97" s="295">
        <v>0</v>
      </c>
      <c r="CQ97" s="293">
        <v>0</v>
      </c>
      <c r="CR97" s="293">
        <v>0</v>
      </c>
      <c r="CS97" s="293">
        <v>0</v>
      </c>
      <c r="CT97" s="293">
        <v>0</v>
      </c>
      <c r="CU97" s="293">
        <v>0</v>
      </c>
      <c r="CV97" s="293">
        <v>0</v>
      </c>
      <c r="CW97" s="293">
        <v>0</v>
      </c>
      <c r="CX97" s="293">
        <v>0</v>
      </c>
      <c r="CY97" s="293">
        <v>0</v>
      </c>
      <c r="CZ97" s="293">
        <v>0</v>
      </c>
      <c r="DA97" s="293">
        <v>0</v>
      </c>
      <c r="DB97" s="1288">
        <v>0</v>
      </c>
      <c r="DC97" s="293">
        <v>0</v>
      </c>
      <c r="DD97" s="293">
        <v>0</v>
      </c>
      <c r="DE97" s="293">
        <v>0</v>
      </c>
      <c r="DF97" s="293">
        <v>0</v>
      </c>
      <c r="DG97" s="293">
        <v>7</v>
      </c>
      <c r="DH97" s="293">
        <v>0</v>
      </c>
      <c r="DI97" s="293">
        <v>0</v>
      </c>
      <c r="DJ97" s="293">
        <v>0</v>
      </c>
      <c r="DK97" s="293">
        <v>0</v>
      </c>
      <c r="DL97" s="293">
        <v>1.0555779471050051</v>
      </c>
      <c r="DM97" s="293">
        <v>0</v>
      </c>
      <c r="DN97" s="295">
        <v>0</v>
      </c>
      <c r="DO97" s="293">
        <v>0</v>
      </c>
      <c r="DP97" s="293">
        <v>0.85545203299999995</v>
      </c>
      <c r="DQ97" s="293">
        <v>0.86362635300000001</v>
      </c>
      <c r="DR97" s="293">
        <v>0.87187878200000002</v>
      </c>
      <c r="DS97" s="293">
        <v>0</v>
      </c>
      <c r="DT97" s="293">
        <v>8.8021067999999994E-2</v>
      </c>
      <c r="DU97" s="293">
        <v>0.88862096400000001</v>
      </c>
      <c r="DV97" s="293">
        <v>0.89711223200000001</v>
      </c>
      <c r="DW97" s="293">
        <v>0.90568463700000001</v>
      </c>
      <c r="DX97" s="293">
        <v>0.91433895700000001</v>
      </c>
      <c r="DY97" s="293">
        <v>0</v>
      </c>
      <c r="DZ97" s="295">
        <v>0.92307597399999997</v>
      </c>
      <c r="EA97" s="293">
        <v>1.9</v>
      </c>
      <c r="EB97" s="293">
        <v>1.9</v>
      </c>
      <c r="EC97" s="293">
        <v>1.9</v>
      </c>
      <c r="ED97" s="293">
        <v>1.9</v>
      </c>
      <c r="EE97" s="293">
        <v>0</v>
      </c>
      <c r="EF97" s="293">
        <v>1.9</v>
      </c>
      <c r="EG97" s="293">
        <v>3.0514777</v>
      </c>
      <c r="EH97" s="293">
        <v>1.9</v>
      </c>
      <c r="EI97" s="293">
        <v>1.9</v>
      </c>
      <c r="EJ97" s="293">
        <v>3.065871171</v>
      </c>
      <c r="EK97" s="293">
        <v>0</v>
      </c>
      <c r="EL97" s="295">
        <v>1.9</v>
      </c>
      <c r="EM97" s="1080"/>
      <c r="EN97" s="1080"/>
      <c r="EO97" s="1080"/>
      <c r="EP97" s="1080"/>
      <c r="EQ97" s="1080"/>
      <c r="ER97" s="1080"/>
      <c r="ES97" s="1080"/>
      <c r="ET97" s="1080"/>
      <c r="EU97" s="1080"/>
      <c r="EV97" s="1080"/>
      <c r="EW97" s="1080"/>
      <c r="EX97" s="1340"/>
      <c r="EY97" s="1080"/>
      <c r="EZ97" s="1080"/>
      <c r="FA97" s="1080"/>
      <c r="FB97" s="1080"/>
      <c r="FC97" s="1080"/>
      <c r="FD97" s="1080"/>
      <c r="FE97" s="1080"/>
      <c r="FF97" s="1080"/>
      <c r="FG97" s="1080"/>
      <c r="FH97" s="1080"/>
      <c r="FI97" s="1080"/>
      <c r="FJ97" s="1340"/>
      <c r="FK97" s="1080"/>
      <c r="FL97" s="1080"/>
      <c r="FM97" s="1080"/>
      <c r="FN97" s="1080"/>
      <c r="FO97" s="1080"/>
      <c r="FP97" s="1080"/>
      <c r="FQ97" s="293"/>
      <c r="FR97" s="293"/>
      <c r="FS97" s="293"/>
      <c r="FT97" s="293"/>
      <c r="FU97" s="293"/>
      <c r="FV97" s="293"/>
      <c r="FW97" s="293"/>
      <c r="FX97" s="293"/>
      <c r="FY97" s="293"/>
      <c r="FZ97" s="293"/>
      <c r="GA97" s="293"/>
      <c r="GB97" s="293"/>
      <c r="GC97" s="293"/>
      <c r="GD97" s="293"/>
      <c r="GE97" s="293"/>
      <c r="GF97" s="293"/>
      <c r="GG97" s="293"/>
      <c r="GH97" s="293"/>
      <c r="GI97" s="293"/>
      <c r="GJ97" s="293"/>
      <c r="GK97" s="293"/>
      <c r="GL97" s="293"/>
      <c r="GM97" s="293"/>
      <c r="GN97" s="293"/>
      <c r="GO97" s="293"/>
      <c r="GP97" s="293"/>
      <c r="GQ97" s="293"/>
      <c r="GR97" s="293"/>
      <c r="GS97" s="293"/>
      <c r="GT97" s="293"/>
      <c r="GU97" s="293"/>
      <c r="GV97" s="293"/>
      <c r="GW97" s="293"/>
      <c r="GX97" s="293"/>
      <c r="GY97" s="293"/>
      <c r="GZ97" s="293"/>
      <c r="HA97" s="293"/>
      <c r="HB97" s="293"/>
      <c r="HC97" s="293"/>
      <c r="HD97" s="293"/>
      <c r="HE97" s="293"/>
      <c r="HF97" s="293"/>
      <c r="HG97" s="293"/>
      <c r="HH97" s="293"/>
      <c r="HI97" s="293"/>
      <c r="HJ97" s="293"/>
      <c r="HK97" s="293"/>
      <c r="HL97" s="293"/>
      <c r="HM97" s="293"/>
      <c r="HN97" s="293"/>
      <c r="HO97" s="293"/>
      <c r="HP97" s="293"/>
      <c r="HQ97" s="293"/>
      <c r="HR97" s="293"/>
      <c r="HS97" s="293"/>
      <c r="HT97" s="293"/>
      <c r="HU97" s="293"/>
      <c r="HV97" s="293"/>
      <c r="HW97" s="293"/>
      <c r="HX97" s="293"/>
      <c r="HY97" s="293"/>
      <c r="IH97" s="279">
        <f t="shared" si="17"/>
        <v>7</v>
      </c>
      <c r="II97" s="279">
        <f t="shared" si="18"/>
        <v>1.0555779471050051</v>
      </c>
      <c r="IJ97" s="279">
        <f t="shared" si="19"/>
        <v>8.0555779471050055</v>
      </c>
      <c r="IK97" s="279">
        <f t="shared" si="20"/>
        <v>2.6789782360000003</v>
      </c>
      <c r="KT97" s="280"/>
    </row>
    <row r="98" spans="1:306" outlineLevel="1">
      <c r="B98" s="96" t="s">
        <v>338</v>
      </c>
      <c r="D98" s="301" t="s">
        <v>375</v>
      </c>
      <c r="E98" s="293"/>
      <c r="F98" s="293"/>
      <c r="G98" s="293"/>
      <c r="H98" s="293"/>
      <c r="I98" s="293"/>
      <c r="J98" s="293"/>
      <c r="K98" s="293"/>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c r="BN98" s="293"/>
      <c r="BO98" s="293"/>
      <c r="BP98" s="293"/>
      <c r="BQ98" s="293"/>
      <c r="BR98" s="293"/>
      <c r="BS98" s="293"/>
      <c r="BT98" s="293"/>
      <c r="BU98" s="293"/>
      <c r="BV98" s="293"/>
      <c r="BW98" s="293"/>
      <c r="BX98" s="293"/>
      <c r="BY98" s="293"/>
      <c r="BZ98" s="293"/>
      <c r="CA98" s="293"/>
      <c r="CB98" s="293"/>
      <c r="CC98" s="293"/>
      <c r="CD98" s="293"/>
      <c r="CE98" s="294">
        <v>0</v>
      </c>
      <c r="CF98" s="293">
        <v>0</v>
      </c>
      <c r="CG98" s="293">
        <v>0</v>
      </c>
      <c r="CH98" s="293">
        <v>0</v>
      </c>
      <c r="CI98" s="293">
        <v>0</v>
      </c>
      <c r="CJ98" s="293">
        <v>0</v>
      </c>
      <c r="CK98" s="293">
        <v>0.94391963800000056</v>
      </c>
      <c r="CL98" s="293">
        <v>0</v>
      </c>
      <c r="CM98" s="293">
        <v>0</v>
      </c>
      <c r="CN98" s="293">
        <v>0.95571863300000004</v>
      </c>
      <c r="CO98" s="293">
        <v>0</v>
      </c>
      <c r="CP98" s="295">
        <v>5</v>
      </c>
      <c r="CQ98" s="293">
        <v>0.96766511620255435</v>
      </c>
      <c r="CR98" s="293">
        <v>0</v>
      </c>
      <c r="CS98" s="293">
        <v>0</v>
      </c>
      <c r="CT98" s="293">
        <v>0.97976093015508603</v>
      </c>
      <c r="CU98" s="293">
        <v>0</v>
      </c>
      <c r="CV98" s="293">
        <v>0</v>
      </c>
      <c r="CW98" s="293">
        <v>0.992007941782025</v>
      </c>
      <c r="CX98" s="293">
        <v>0</v>
      </c>
      <c r="CY98" s="293">
        <v>0</v>
      </c>
      <c r="CZ98" s="293">
        <v>1.0044080410543001</v>
      </c>
      <c r="DA98" s="293">
        <v>0</v>
      </c>
      <c r="DB98" s="1288">
        <v>0</v>
      </c>
      <c r="DC98" s="293">
        <v>1.0169631415674789</v>
      </c>
      <c r="DD98" s="293">
        <v>0</v>
      </c>
      <c r="DE98" s="293">
        <v>0</v>
      </c>
      <c r="DF98" s="293">
        <v>1.0296751808370701</v>
      </c>
      <c r="DG98" s="293">
        <v>0</v>
      </c>
      <c r="DH98" s="293">
        <v>0</v>
      </c>
      <c r="DI98" s="293">
        <v>1.0425461199999999</v>
      </c>
      <c r="DJ98" s="293">
        <v>0</v>
      </c>
      <c r="DK98" s="293">
        <v>0</v>
      </c>
      <c r="DL98" s="293">
        <v>0</v>
      </c>
      <c r="DM98" s="293">
        <v>0</v>
      </c>
      <c r="DN98" s="295">
        <v>0</v>
      </c>
      <c r="DO98" s="293">
        <v>1.0687726714438199</v>
      </c>
      <c r="DP98" s="293">
        <v>0</v>
      </c>
      <c r="DQ98" s="293">
        <v>0</v>
      </c>
      <c r="DR98" s="293">
        <v>1.0821323298368652</v>
      </c>
      <c r="DS98" s="293">
        <v>0</v>
      </c>
      <c r="DT98" s="293">
        <v>0</v>
      </c>
      <c r="DU98" s="293">
        <v>1.0956589839598261</v>
      </c>
      <c r="DV98" s="293">
        <v>0</v>
      </c>
      <c r="DW98" s="293">
        <v>0</v>
      </c>
      <c r="DX98" s="293">
        <v>1.1093547212593238</v>
      </c>
      <c r="DY98" s="293">
        <v>0</v>
      </c>
      <c r="DZ98" s="295">
        <v>0</v>
      </c>
      <c r="EA98" s="293">
        <v>1.1232216552750653</v>
      </c>
      <c r="EB98" s="293">
        <v>0</v>
      </c>
      <c r="EC98" s="293">
        <v>0</v>
      </c>
      <c r="ED98" s="293">
        <v>1.1372619260000001</v>
      </c>
      <c r="EE98" s="293">
        <v>0</v>
      </c>
      <c r="EF98" s="293">
        <v>0</v>
      </c>
      <c r="EG98" s="293">
        <v>1.9</v>
      </c>
      <c r="EH98" s="293">
        <v>1.9</v>
      </c>
      <c r="EI98" s="293">
        <v>1.9</v>
      </c>
      <c r="EJ98" s="293">
        <v>1.9</v>
      </c>
      <c r="EK98" s="293">
        <v>0</v>
      </c>
      <c r="EL98" s="295">
        <v>1.9</v>
      </c>
      <c r="EM98" s="1080"/>
      <c r="EN98" s="1080"/>
      <c r="EO98" s="1080"/>
      <c r="EP98" s="1080"/>
      <c r="EQ98" s="1080"/>
      <c r="ER98" s="1080"/>
      <c r="ES98" s="1080"/>
      <c r="ET98" s="1080"/>
      <c r="EU98" s="1080"/>
      <c r="EV98" s="1080"/>
      <c r="EW98" s="1080"/>
      <c r="EX98" s="1340"/>
      <c r="EY98" s="1080"/>
      <c r="EZ98" s="1080"/>
      <c r="FA98" s="1080"/>
      <c r="FB98" s="1080"/>
      <c r="FC98" s="1080"/>
      <c r="FD98" s="1080"/>
      <c r="FE98" s="1080"/>
      <c r="FF98" s="1080"/>
      <c r="FG98" s="1080"/>
      <c r="FH98" s="1080"/>
      <c r="FI98" s="1080"/>
      <c r="FJ98" s="1340"/>
      <c r="FK98" s="1080"/>
      <c r="FL98" s="1080"/>
      <c r="FM98" s="1080"/>
      <c r="FN98" s="1080"/>
      <c r="FO98" s="1080"/>
      <c r="FP98" s="1080"/>
      <c r="FQ98" s="293"/>
      <c r="FR98" s="293"/>
      <c r="FS98" s="293"/>
      <c r="FT98" s="293"/>
      <c r="FU98" s="293"/>
      <c r="FV98" s="293"/>
      <c r="FW98" s="293"/>
      <c r="FX98" s="293"/>
      <c r="FY98" s="293"/>
      <c r="FZ98" s="293"/>
      <c r="GA98" s="293"/>
      <c r="GB98" s="293"/>
      <c r="GC98" s="293"/>
      <c r="GD98" s="293"/>
      <c r="GE98" s="293"/>
      <c r="GF98" s="293"/>
      <c r="GG98" s="293"/>
      <c r="GH98" s="293"/>
      <c r="GI98" s="293"/>
      <c r="GJ98" s="293"/>
      <c r="GK98" s="293"/>
      <c r="GL98" s="293"/>
      <c r="GM98" s="293"/>
      <c r="GN98" s="293"/>
      <c r="GO98" s="293"/>
      <c r="GP98" s="293"/>
      <c r="GQ98" s="293"/>
      <c r="GR98" s="293"/>
      <c r="GS98" s="293"/>
      <c r="GT98" s="293"/>
      <c r="GU98" s="293"/>
      <c r="GV98" s="293"/>
      <c r="GW98" s="293"/>
      <c r="GX98" s="293"/>
      <c r="GY98" s="293"/>
      <c r="GZ98" s="293"/>
      <c r="HA98" s="293"/>
      <c r="HB98" s="293"/>
      <c r="HC98" s="293"/>
      <c r="HD98" s="293"/>
      <c r="HE98" s="293"/>
      <c r="HF98" s="293"/>
      <c r="HG98" s="293"/>
      <c r="HH98" s="293"/>
      <c r="HI98" s="293"/>
      <c r="HJ98" s="293"/>
      <c r="HK98" s="293"/>
      <c r="HL98" s="293"/>
      <c r="HM98" s="293"/>
      <c r="HN98" s="293"/>
      <c r="HO98" s="293"/>
      <c r="HP98" s="293"/>
      <c r="HQ98" s="293"/>
      <c r="HR98" s="293"/>
      <c r="HS98" s="293"/>
      <c r="HT98" s="293"/>
      <c r="HU98" s="293"/>
      <c r="HV98" s="293"/>
      <c r="HW98" s="293"/>
      <c r="HX98" s="293"/>
      <c r="HY98" s="293"/>
      <c r="IH98" s="279">
        <f t="shared" si="17"/>
        <v>2.046638322404549</v>
      </c>
      <c r="II98" s="279">
        <f t="shared" si="18"/>
        <v>1.0425461199999999</v>
      </c>
      <c r="IJ98" s="279">
        <f t="shared" si="19"/>
        <v>3.0891844424045489</v>
      </c>
      <c r="IK98" s="279">
        <f t="shared" si="20"/>
        <v>2.1509050012806852</v>
      </c>
      <c r="KT98" s="280"/>
    </row>
    <row r="99" spans="1:306" outlineLevel="1">
      <c r="B99" s="96" t="s">
        <v>338</v>
      </c>
      <c r="D99" s="296" t="s">
        <v>376</v>
      </c>
      <c r="E99" s="293"/>
      <c r="F99" s="293"/>
      <c r="G99" s="293"/>
      <c r="H99" s="293"/>
      <c r="I99" s="293"/>
      <c r="J99" s="293"/>
      <c r="K99" s="293"/>
      <c r="L99" s="293"/>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c r="BN99" s="293"/>
      <c r="BO99" s="293"/>
      <c r="BP99" s="293"/>
      <c r="BQ99" s="293"/>
      <c r="BR99" s="293"/>
      <c r="BS99" s="293"/>
      <c r="BT99" s="293"/>
      <c r="BU99" s="293"/>
      <c r="BV99" s="293"/>
      <c r="BW99" s="293"/>
      <c r="BX99" s="293"/>
      <c r="BY99" s="293"/>
      <c r="BZ99" s="293"/>
      <c r="CA99" s="293"/>
      <c r="CB99" s="293"/>
      <c r="CC99" s="293"/>
      <c r="CD99" s="293"/>
      <c r="CE99" s="294">
        <v>0.36952295899999998</v>
      </c>
      <c r="CF99" s="293">
        <v>0</v>
      </c>
      <c r="CG99" s="293">
        <v>0.107257982</v>
      </c>
      <c r="CH99" s="293">
        <v>0.26947505700000002</v>
      </c>
      <c r="CI99" s="293">
        <v>0</v>
      </c>
      <c r="CJ99" s="293">
        <v>0.26315825700000001</v>
      </c>
      <c r="CK99" s="293">
        <v>0</v>
      </c>
      <c r="CL99" s="293">
        <v>0</v>
      </c>
      <c r="CM99" s="293">
        <v>0.107257982</v>
      </c>
      <c r="CN99" s="293">
        <v>0</v>
      </c>
      <c r="CO99" s="293">
        <v>0</v>
      </c>
      <c r="CP99" s="295">
        <v>0.107257982</v>
      </c>
      <c r="CQ99" s="293">
        <v>0</v>
      </c>
      <c r="CR99" s="293">
        <v>0</v>
      </c>
      <c r="CS99" s="293">
        <v>0.107257982</v>
      </c>
      <c r="CT99" s="293">
        <v>0</v>
      </c>
      <c r="CU99" s="293">
        <v>0</v>
      </c>
      <c r="CV99" s="293">
        <v>0.107257982</v>
      </c>
      <c r="CW99" s="293">
        <v>0</v>
      </c>
      <c r="CX99" s="293">
        <v>0</v>
      </c>
      <c r="CY99" s="293">
        <v>0.10730000000000001</v>
      </c>
      <c r="CZ99" s="293">
        <v>0</v>
      </c>
      <c r="DA99" s="293">
        <v>0</v>
      </c>
      <c r="DB99" s="1288">
        <v>0.10725797400000001</v>
      </c>
      <c r="DC99" s="606">
        <v>0</v>
      </c>
      <c r="DD99" s="606">
        <v>0</v>
      </c>
      <c r="DE99" s="606">
        <v>0.107257982</v>
      </c>
      <c r="DF99" s="606">
        <v>0</v>
      </c>
      <c r="DG99" s="606">
        <v>0</v>
      </c>
      <c r="DH99" s="606">
        <v>0.28742022899999997</v>
      </c>
      <c r="DI99" s="606">
        <v>0</v>
      </c>
      <c r="DJ99" s="606">
        <v>0</v>
      </c>
      <c r="DK99" s="606">
        <v>0</v>
      </c>
      <c r="DL99" s="606">
        <v>1.0555779471050051</v>
      </c>
      <c r="DM99" s="606">
        <v>0</v>
      </c>
      <c r="DN99" s="622">
        <v>0</v>
      </c>
      <c r="DO99" s="606">
        <v>0</v>
      </c>
      <c r="DP99" s="606">
        <v>0</v>
      </c>
      <c r="DQ99" s="606">
        <v>0</v>
      </c>
      <c r="DR99" s="606">
        <v>0</v>
      </c>
      <c r="DS99" s="606">
        <v>0</v>
      </c>
      <c r="DT99" s="606">
        <v>0.19367442500000001</v>
      </c>
      <c r="DU99" s="606">
        <v>0</v>
      </c>
      <c r="DV99" s="606">
        <v>0</v>
      </c>
      <c r="DW99" s="606">
        <v>0</v>
      </c>
      <c r="DX99" s="606">
        <v>0</v>
      </c>
      <c r="DY99" s="606">
        <v>0</v>
      </c>
      <c r="DZ99" s="622">
        <v>0</v>
      </c>
      <c r="EA99" s="606">
        <v>0</v>
      </c>
      <c r="EB99" s="606">
        <v>0</v>
      </c>
      <c r="EC99" s="606">
        <v>0</v>
      </c>
      <c r="ED99" s="606">
        <v>0</v>
      </c>
      <c r="EE99" s="606">
        <v>0</v>
      </c>
      <c r="EF99" s="606">
        <v>0.20820000599999999</v>
      </c>
      <c r="EG99" s="606">
        <v>1.1514777</v>
      </c>
      <c r="EH99" s="606">
        <v>0</v>
      </c>
      <c r="EI99" s="606">
        <v>0</v>
      </c>
      <c r="EJ99" s="606">
        <v>1.165871171</v>
      </c>
      <c r="EK99" s="606">
        <v>0</v>
      </c>
      <c r="EL99" s="622">
        <v>0</v>
      </c>
      <c r="EM99" s="1083"/>
      <c r="EN99" s="1083"/>
      <c r="EO99" s="1083"/>
      <c r="EP99" s="1083"/>
      <c r="EQ99" s="1083"/>
      <c r="ER99" s="1083"/>
      <c r="ES99" s="1083"/>
      <c r="ET99" s="1083"/>
      <c r="EU99" s="1083"/>
      <c r="EV99" s="1083"/>
      <c r="EW99" s="1083"/>
      <c r="EX99" s="1329"/>
      <c r="EY99" s="1083"/>
      <c r="EZ99" s="1083"/>
      <c r="FA99" s="1083"/>
      <c r="FB99" s="1083"/>
      <c r="FC99" s="1083"/>
      <c r="FD99" s="1083"/>
      <c r="FE99" s="1083"/>
      <c r="FF99" s="1083"/>
      <c r="FG99" s="1083"/>
      <c r="FH99" s="1083"/>
      <c r="FI99" s="1083"/>
      <c r="FJ99" s="1329"/>
      <c r="FK99" s="1083"/>
      <c r="FL99" s="1083"/>
      <c r="FM99" s="1083"/>
      <c r="FN99" s="1083"/>
      <c r="FO99" s="1083"/>
      <c r="FP99" s="1083"/>
      <c r="FQ99" s="606"/>
      <c r="FR99" s="606"/>
      <c r="FS99" s="606"/>
      <c r="FT99" s="606"/>
      <c r="FU99" s="606"/>
      <c r="FV99" s="606"/>
      <c r="FW99" s="606"/>
      <c r="FX99" s="606"/>
      <c r="FY99" s="606"/>
      <c r="FZ99" s="606"/>
      <c r="GA99" s="606"/>
      <c r="GB99" s="606"/>
      <c r="GC99" s="606"/>
      <c r="GD99" s="606"/>
      <c r="GE99" s="606"/>
      <c r="GF99" s="606"/>
      <c r="GG99" s="606"/>
      <c r="GH99" s="606"/>
      <c r="GI99" s="606"/>
      <c r="GJ99" s="606"/>
      <c r="GK99" s="606"/>
      <c r="GL99" s="606"/>
      <c r="GM99" s="606"/>
      <c r="GN99" s="606"/>
      <c r="GO99" s="606"/>
      <c r="GP99" s="606"/>
      <c r="GQ99" s="606"/>
      <c r="GR99" s="606"/>
      <c r="GS99" s="606"/>
      <c r="GT99" s="606"/>
      <c r="GU99" s="606"/>
      <c r="GV99" s="606"/>
      <c r="GW99" s="606"/>
      <c r="GX99" s="606"/>
      <c r="GY99" s="606"/>
      <c r="GZ99" s="606"/>
      <c r="HA99" s="606"/>
      <c r="HB99" s="606"/>
      <c r="HC99" s="606"/>
      <c r="HD99" s="606"/>
      <c r="HE99" s="606"/>
      <c r="HF99" s="606"/>
      <c r="HG99" s="606"/>
      <c r="HH99" s="606"/>
      <c r="HI99" s="606"/>
      <c r="HJ99" s="606"/>
      <c r="HK99" s="606"/>
      <c r="HL99" s="606"/>
      <c r="HM99" s="606"/>
      <c r="HN99" s="606"/>
      <c r="HO99" s="606"/>
      <c r="HP99" s="606"/>
      <c r="HQ99" s="606"/>
      <c r="HR99" s="606"/>
      <c r="HS99" s="606"/>
      <c r="HT99" s="606"/>
      <c r="HU99" s="606"/>
      <c r="HV99" s="606"/>
      <c r="HW99" s="606"/>
      <c r="HX99" s="606"/>
      <c r="HY99" s="606"/>
      <c r="IH99" s="279">
        <f t="shared" si="17"/>
        <v>0.394678211</v>
      </c>
      <c r="II99" s="279">
        <f t="shared" si="18"/>
        <v>1.0555779471050051</v>
      </c>
      <c r="IJ99" s="279">
        <f t="shared" si="19"/>
        <v>1.4502561581050051</v>
      </c>
      <c r="IK99" s="279">
        <f t="shared" si="20"/>
        <v>0.19367442500000001</v>
      </c>
      <c r="KT99" s="280"/>
    </row>
    <row r="100" spans="1:306" outlineLevel="1">
      <c r="B100" s="96" t="s">
        <v>338</v>
      </c>
      <c r="D100" s="300" t="s">
        <v>377</v>
      </c>
      <c r="E100" s="293"/>
      <c r="F100" s="293"/>
      <c r="G100" s="293"/>
      <c r="H100" s="293"/>
      <c r="I100" s="293"/>
      <c r="J100" s="293"/>
      <c r="K100" s="293"/>
      <c r="L100" s="29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c r="BN100" s="293"/>
      <c r="BO100" s="293"/>
      <c r="BP100" s="293"/>
      <c r="BQ100" s="293"/>
      <c r="BR100" s="293"/>
      <c r="BS100" s="293"/>
      <c r="BT100" s="293"/>
      <c r="BU100" s="293"/>
      <c r="BV100" s="293"/>
      <c r="BW100" s="293"/>
      <c r="BX100" s="293"/>
      <c r="BY100" s="293"/>
      <c r="BZ100" s="293"/>
      <c r="CA100" s="293"/>
      <c r="CB100" s="293"/>
      <c r="CC100" s="293"/>
      <c r="CD100" s="293"/>
      <c r="CE100" s="294">
        <v>0.107257982</v>
      </c>
      <c r="CF100" s="293">
        <v>0</v>
      </c>
      <c r="CG100" s="293">
        <v>0.107257982</v>
      </c>
      <c r="CH100" s="293">
        <v>0</v>
      </c>
      <c r="CI100" s="293">
        <v>0</v>
      </c>
      <c r="CJ100" s="293">
        <v>0.107257982</v>
      </c>
      <c r="CK100" s="293">
        <v>0</v>
      </c>
      <c r="CL100" s="293">
        <v>0</v>
      </c>
      <c r="CM100" s="293">
        <v>0.107257982</v>
      </c>
      <c r="CN100" s="293">
        <v>0</v>
      </c>
      <c r="CO100" s="293">
        <v>0</v>
      </c>
      <c r="CP100" s="295">
        <v>0.107257982</v>
      </c>
      <c r="CQ100" s="293">
        <v>0</v>
      </c>
      <c r="CR100" s="293">
        <v>0</v>
      </c>
      <c r="CS100" s="293">
        <v>0.107257982</v>
      </c>
      <c r="CT100" s="293">
        <v>0</v>
      </c>
      <c r="CU100" s="293">
        <v>0</v>
      </c>
      <c r="CV100" s="293">
        <v>0.107257982</v>
      </c>
      <c r="CW100" s="293">
        <v>0</v>
      </c>
      <c r="CX100" s="293">
        <v>0</v>
      </c>
      <c r="CY100" s="293">
        <v>0.10730000000000001</v>
      </c>
      <c r="CZ100" s="293">
        <v>0</v>
      </c>
      <c r="DA100" s="293">
        <v>0</v>
      </c>
      <c r="DB100" s="1288">
        <v>0.10725797400000001</v>
      </c>
      <c r="DC100" s="293">
        <v>0</v>
      </c>
      <c r="DD100" s="293">
        <v>0</v>
      </c>
      <c r="DE100" s="293">
        <v>0.107257982</v>
      </c>
      <c r="DF100" s="293">
        <v>0</v>
      </c>
      <c r="DG100" s="293">
        <v>0</v>
      </c>
      <c r="DH100" s="293">
        <v>0.10725797400000001</v>
      </c>
      <c r="DI100" s="293">
        <v>0</v>
      </c>
      <c r="DJ100" s="293">
        <v>0</v>
      </c>
      <c r="DK100" s="293">
        <v>0</v>
      </c>
      <c r="DL100" s="293">
        <v>0</v>
      </c>
      <c r="DM100" s="293">
        <v>0</v>
      </c>
      <c r="DN100" s="295">
        <v>0</v>
      </c>
      <c r="DO100" s="293">
        <v>0</v>
      </c>
      <c r="DP100" s="293">
        <v>0</v>
      </c>
      <c r="DQ100" s="293">
        <v>0</v>
      </c>
      <c r="DR100" s="293">
        <v>0</v>
      </c>
      <c r="DS100" s="293">
        <v>0</v>
      </c>
      <c r="DT100" s="293">
        <v>0</v>
      </c>
      <c r="DU100" s="293">
        <v>0</v>
      </c>
      <c r="DV100" s="293">
        <v>0</v>
      </c>
      <c r="DW100" s="293">
        <v>0</v>
      </c>
      <c r="DX100" s="293">
        <v>0</v>
      </c>
      <c r="DY100" s="293">
        <v>0</v>
      </c>
      <c r="DZ100" s="295">
        <v>0</v>
      </c>
      <c r="EA100" s="293">
        <v>0</v>
      </c>
      <c r="EB100" s="293">
        <v>0</v>
      </c>
      <c r="EC100" s="293">
        <v>0</v>
      </c>
      <c r="ED100" s="293">
        <v>0</v>
      </c>
      <c r="EE100" s="293">
        <v>0</v>
      </c>
      <c r="EF100" s="293">
        <v>0</v>
      </c>
      <c r="EG100" s="293">
        <v>0</v>
      </c>
      <c r="EH100" s="293">
        <v>0</v>
      </c>
      <c r="EI100" s="293">
        <v>0</v>
      </c>
      <c r="EJ100" s="293">
        <v>0</v>
      </c>
      <c r="EK100" s="293">
        <v>0</v>
      </c>
      <c r="EL100" s="295">
        <v>0</v>
      </c>
      <c r="EM100" s="1080"/>
      <c r="EN100" s="1080"/>
      <c r="EO100" s="1080"/>
      <c r="EP100" s="1080"/>
      <c r="EQ100" s="1080"/>
      <c r="ER100" s="1080"/>
      <c r="ES100" s="1080"/>
      <c r="ET100" s="1080"/>
      <c r="EU100" s="1080"/>
      <c r="EV100" s="1080"/>
      <c r="EW100" s="1080"/>
      <c r="EX100" s="1340"/>
      <c r="EY100" s="1080"/>
      <c r="EZ100" s="1080"/>
      <c r="FA100" s="1080"/>
      <c r="FB100" s="1080"/>
      <c r="FC100" s="1080"/>
      <c r="FD100" s="1080"/>
      <c r="FE100" s="1080"/>
      <c r="FF100" s="1080"/>
      <c r="FG100" s="1080"/>
      <c r="FH100" s="1080"/>
      <c r="FI100" s="1080"/>
      <c r="FJ100" s="1340"/>
      <c r="FK100" s="1080"/>
      <c r="FL100" s="1080"/>
      <c r="FM100" s="1080"/>
      <c r="FN100" s="1080"/>
      <c r="FO100" s="1080"/>
      <c r="FP100" s="1080"/>
      <c r="FQ100" s="293"/>
      <c r="FR100" s="293"/>
      <c r="FS100" s="293"/>
      <c r="FT100" s="293"/>
      <c r="FU100" s="293"/>
      <c r="FV100" s="293"/>
      <c r="FW100" s="293"/>
      <c r="FX100" s="293"/>
      <c r="FY100" s="293"/>
      <c r="FZ100" s="293"/>
      <c r="GA100" s="293"/>
      <c r="GB100" s="293"/>
      <c r="GC100" s="293"/>
      <c r="GD100" s="293"/>
      <c r="GE100" s="293"/>
      <c r="GF100" s="293"/>
      <c r="GG100" s="293"/>
      <c r="GH100" s="293"/>
      <c r="GI100" s="293"/>
      <c r="GJ100" s="293"/>
      <c r="GK100" s="293"/>
      <c r="GL100" s="293"/>
      <c r="GM100" s="293"/>
      <c r="GN100" s="293"/>
      <c r="GO100" s="293"/>
      <c r="GP100" s="293"/>
      <c r="GQ100" s="293"/>
      <c r="GR100" s="293"/>
      <c r="GS100" s="293"/>
      <c r="GT100" s="293"/>
      <c r="GU100" s="293"/>
      <c r="GV100" s="293"/>
      <c r="GW100" s="293"/>
      <c r="GX100" s="293"/>
      <c r="GY100" s="293"/>
      <c r="GZ100" s="293"/>
      <c r="HA100" s="293"/>
      <c r="HB100" s="293"/>
      <c r="HC100" s="293"/>
      <c r="HD100" s="293"/>
      <c r="HE100" s="293"/>
      <c r="HF100" s="293"/>
      <c r="HG100" s="293"/>
      <c r="HH100" s="293"/>
      <c r="HI100" s="293"/>
      <c r="HJ100" s="293"/>
      <c r="HK100" s="293"/>
      <c r="HL100" s="293"/>
      <c r="HM100" s="293"/>
      <c r="HN100" s="293"/>
      <c r="HO100" s="293"/>
      <c r="HP100" s="293"/>
      <c r="HQ100" s="293"/>
      <c r="HR100" s="293"/>
      <c r="HS100" s="293"/>
      <c r="HT100" s="293"/>
      <c r="HU100" s="293"/>
      <c r="HV100" s="293"/>
      <c r="HW100" s="293"/>
      <c r="HX100" s="293"/>
      <c r="HY100" s="293"/>
      <c r="IH100" s="279">
        <f t="shared" si="17"/>
        <v>0.21451595600000001</v>
      </c>
      <c r="II100" s="279">
        <f t="shared" si="18"/>
        <v>0</v>
      </c>
      <c r="IJ100" s="279">
        <f t="shared" si="19"/>
        <v>0.21451595600000001</v>
      </c>
      <c r="IK100" s="279">
        <f t="shared" si="20"/>
        <v>0</v>
      </c>
      <c r="KT100" s="280"/>
    </row>
    <row r="101" spans="1:306" outlineLevel="1">
      <c r="B101" s="96" t="s">
        <v>338</v>
      </c>
      <c r="D101" s="300" t="s">
        <v>378</v>
      </c>
      <c r="E101" s="293"/>
      <c r="F101" s="293"/>
      <c r="G101" s="293"/>
      <c r="H101" s="293"/>
      <c r="I101" s="293"/>
      <c r="J101" s="293"/>
      <c r="K101" s="293"/>
      <c r="L101" s="293"/>
      <c r="M101" s="293"/>
      <c r="N101" s="293"/>
      <c r="O101" s="293"/>
      <c r="P101" s="293"/>
      <c r="Q101" s="293"/>
      <c r="R101" s="293"/>
      <c r="S101" s="293"/>
      <c r="T101" s="293"/>
      <c r="U101" s="293"/>
      <c r="V101" s="293"/>
      <c r="W101" s="293"/>
      <c r="X101" s="293"/>
      <c r="Y101" s="29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c r="BN101" s="293"/>
      <c r="BO101" s="293"/>
      <c r="BP101" s="293"/>
      <c r="BQ101" s="293"/>
      <c r="BR101" s="293"/>
      <c r="BS101" s="293"/>
      <c r="BT101" s="293"/>
      <c r="BU101" s="293"/>
      <c r="BV101" s="293"/>
      <c r="BW101" s="293"/>
      <c r="BX101" s="293"/>
      <c r="BY101" s="293"/>
      <c r="BZ101" s="293"/>
      <c r="CA101" s="293"/>
      <c r="CB101" s="293"/>
      <c r="CC101" s="293"/>
      <c r="CD101" s="293"/>
      <c r="CE101" s="294">
        <v>0</v>
      </c>
      <c r="CF101" s="293">
        <v>0</v>
      </c>
      <c r="CG101" s="293">
        <v>0</v>
      </c>
      <c r="CH101" s="293">
        <v>0</v>
      </c>
      <c r="CI101" s="293">
        <v>0</v>
      </c>
      <c r="CJ101" s="293">
        <v>0.155900275</v>
      </c>
      <c r="CK101" s="293">
        <v>0</v>
      </c>
      <c r="CL101" s="293">
        <v>0</v>
      </c>
      <c r="CM101" s="293">
        <v>0</v>
      </c>
      <c r="CN101" s="293">
        <v>0</v>
      </c>
      <c r="CO101" s="293">
        <v>0</v>
      </c>
      <c r="CP101" s="295">
        <v>0</v>
      </c>
      <c r="CQ101" s="293">
        <v>0</v>
      </c>
      <c r="CR101" s="293">
        <v>0</v>
      </c>
      <c r="CS101" s="293">
        <v>0</v>
      </c>
      <c r="CT101" s="293">
        <v>0</v>
      </c>
      <c r="CU101" s="293">
        <v>0</v>
      </c>
      <c r="CV101" s="293">
        <v>0</v>
      </c>
      <c r="CW101" s="293">
        <v>0</v>
      </c>
      <c r="CX101" s="293">
        <v>0</v>
      </c>
      <c r="CY101" s="293">
        <v>0</v>
      </c>
      <c r="CZ101" s="293">
        <v>0</v>
      </c>
      <c r="DA101" s="293">
        <v>0</v>
      </c>
      <c r="DB101" s="1288">
        <v>0</v>
      </c>
      <c r="DC101" s="293">
        <v>0</v>
      </c>
      <c r="DD101" s="293">
        <v>0</v>
      </c>
      <c r="DE101" s="293">
        <v>0</v>
      </c>
      <c r="DF101" s="293">
        <v>0</v>
      </c>
      <c r="DG101" s="293">
        <v>0</v>
      </c>
      <c r="DH101" s="293">
        <v>0.18016225499999999</v>
      </c>
      <c r="DI101" s="293">
        <v>0</v>
      </c>
      <c r="DJ101" s="293">
        <v>0</v>
      </c>
      <c r="DK101" s="293">
        <v>0</v>
      </c>
      <c r="DL101" s="293">
        <v>0</v>
      </c>
      <c r="DM101" s="293">
        <v>0</v>
      </c>
      <c r="DN101" s="295">
        <v>0</v>
      </c>
      <c r="DO101" s="293">
        <v>0</v>
      </c>
      <c r="DP101" s="293">
        <v>0</v>
      </c>
      <c r="DQ101" s="293">
        <v>0</v>
      </c>
      <c r="DR101" s="293">
        <v>0</v>
      </c>
      <c r="DS101" s="293">
        <v>0</v>
      </c>
      <c r="DT101" s="293">
        <v>0.19367442500000001</v>
      </c>
      <c r="DU101" s="293">
        <v>0</v>
      </c>
      <c r="DV101" s="293">
        <v>0</v>
      </c>
      <c r="DW101" s="293">
        <v>0</v>
      </c>
      <c r="DX101" s="293">
        <v>0</v>
      </c>
      <c r="DY101" s="293">
        <v>0</v>
      </c>
      <c r="DZ101" s="295">
        <v>0</v>
      </c>
      <c r="EA101" s="293">
        <v>0</v>
      </c>
      <c r="EB101" s="293">
        <v>0</v>
      </c>
      <c r="EC101" s="293">
        <v>0</v>
      </c>
      <c r="ED101" s="293">
        <v>0</v>
      </c>
      <c r="EE101" s="293">
        <v>0</v>
      </c>
      <c r="EF101" s="293">
        <v>0.20820000599999999</v>
      </c>
      <c r="EG101" s="293">
        <v>0</v>
      </c>
      <c r="EH101" s="293">
        <v>0</v>
      </c>
      <c r="EI101" s="293">
        <v>0</v>
      </c>
      <c r="EJ101" s="293">
        <v>0</v>
      </c>
      <c r="EK101" s="293">
        <v>0</v>
      </c>
      <c r="EL101" s="295">
        <v>0</v>
      </c>
      <c r="EM101" s="1080"/>
      <c r="EN101" s="1080"/>
      <c r="EO101" s="1080"/>
      <c r="EP101" s="1080"/>
      <c r="EQ101" s="1080"/>
      <c r="ER101" s="1080"/>
      <c r="ES101" s="1080"/>
      <c r="ET101" s="1080"/>
      <c r="EU101" s="1080"/>
      <c r="EV101" s="1080"/>
      <c r="EW101" s="1080"/>
      <c r="EX101" s="1340"/>
      <c r="EY101" s="1080"/>
      <c r="EZ101" s="1080"/>
      <c r="FA101" s="1080"/>
      <c r="FB101" s="1080"/>
      <c r="FC101" s="1080"/>
      <c r="FD101" s="1080"/>
      <c r="FE101" s="1080"/>
      <c r="FF101" s="1080"/>
      <c r="FG101" s="1080"/>
      <c r="FH101" s="1080"/>
      <c r="FI101" s="1080"/>
      <c r="FJ101" s="1340"/>
      <c r="FK101" s="1080"/>
      <c r="FL101" s="1080"/>
      <c r="FM101" s="1080"/>
      <c r="FN101" s="1080"/>
      <c r="FO101" s="1080"/>
      <c r="FP101" s="1080"/>
      <c r="FQ101" s="293"/>
      <c r="FR101" s="293"/>
      <c r="FS101" s="293"/>
      <c r="FT101" s="293"/>
      <c r="FU101" s="293"/>
      <c r="FV101" s="293"/>
      <c r="FW101" s="293"/>
      <c r="FX101" s="293"/>
      <c r="FY101" s="293"/>
      <c r="FZ101" s="293"/>
      <c r="GA101" s="293"/>
      <c r="GB101" s="293"/>
      <c r="GC101" s="293"/>
      <c r="GD101" s="293"/>
      <c r="GE101" s="293"/>
      <c r="GF101" s="293"/>
      <c r="GG101" s="293"/>
      <c r="GH101" s="293"/>
      <c r="GI101" s="293"/>
      <c r="GJ101" s="293"/>
      <c r="GK101" s="293"/>
      <c r="GL101" s="293"/>
      <c r="GM101" s="293"/>
      <c r="GN101" s="293"/>
      <c r="GO101" s="293"/>
      <c r="GP101" s="293"/>
      <c r="GQ101" s="293"/>
      <c r="GR101" s="293"/>
      <c r="GS101" s="293"/>
      <c r="GT101" s="293"/>
      <c r="GU101" s="293"/>
      <c r="GV101" s="293"/>
      <c r="GW101" s="293"/>
      <c r="GX101" s="293"/>
      <c r="GY101" s="293"/>
      <c r="GZ101" s="293"/>
      <c r="HA101" s="293"/>
      <c r="HB101" s="293"/>
      <c r="HC101" s="293"/>
      <c r="HD101" s="293"/>
      <c r="HE101" s="293"/>
      <c r="HF101" s="293"/>
      <c r="HG101" s="293"/>
      <c r="HH101" s="293"/>
      <c r="HI101" s="293"/>
      <c r="HJ101" s="293"/>
      <c r="HK101" s="293"/>
      <c r="HL101" s="293"/>
      <c r="HM101" s="293"/>
      <c r="HN101" s="293"/>
      <c r="HO101" s="293"/>
      <c r="HP101" s="293"/>
      <c r="HQ101" s="293"/>
      <c r="HR101" s="293"/>
      <c r="HS101" s="293"/>
      <c r="HT101" s="293"/>
      <c r="HU101" s="293"/>
      <c r="HV101" s="293"/>
      <c r="HW101" s="293"/>
      <c r="HX101" s="293"/>
      <c r="HY101" s="293"/>
      <c r="IH101" s="279">
        <f t="shared" si="17"/>
        <v>0.18016225499999999</v>
      </c>
      <c r="II101" s="279">
        <f t="shared" si="18"/>
        <v>0</v>
      </c>
      <c r="IJ101" s="279">
        <f t="shared" si="19"/>
        <v>0.18016225499999999</v>
      </c>
      <c r="IK101" s="279">
        <f t="shared" si="20"/>
        <v>0.19367442500000001</v>
      </c>
      <c r="KT101" s="280"/>
    </row>
    <row r="102" spans="1:306" outlineLevel="1">
      <c r="B102" s="96" t="s">
        <v>338</v>
      </c>
      <c r="D102" s="300" t="s">
        <v>379</v>
      </c>
      <c r="E102" s="293"/>
      <c r="F102" s="293"/>
      <c r="G102" s="293"/>
      <c r="H102" s="293"/>
      <c r="I102" s="293"/>
      <c r="J102" s="293"/>
      <c r="K102" s="293"/>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c r="BN102" s="293"/>
      <c r="BO102" s="293"/>
      <c r="BP102" s="293"/>
      <c r="BQ102" s="293"/>
      <c r="BR102" s="293"/>
      <c r="BS102" s="293"/>
      <c r="BT102" s="293"/>
      <c r="BU102" s="293"/>
      <c r="BV102" s="293"/>
      <c r="BW102" s="293"/>
      <c r="BX102" s="293"/>
      <c r="BY102" s="293"/>
      <c r="BZ102" s="293"/>
      <c r="CA102" s="293"/>
      <c r="CB102" s="293"/>
      <c r="CC102" s="293"/>
      <c r="CD102" s="293"/>
      <c r="CE102" s="294">
        <v>0.26226497700000001</v>
      </c>
      <c r="CF102" s="293">
        <v>0</v>
      </c>
      <c r="CG102" s="293">
        <v>0</v>
      </c>
      <c r="CH102" s="293">
        <v>0.26947505700000002</v>
      </c>
      <c r="CI102" s="293">
        <v>0</v>
      </c>
      <c r="CJ102" s="293">
        <v>0</v>
      </c>
      <c r="CK102" s="293">
        <v>0</v>
      </c>
      <c r="CL102" s="293">
        <v>0</v>
      </c>
      <c r="CM102" s="293">
        <v>0</v>
      </c>
      <c r="CN102" s="293">
        <v>0</v>
      </c>
      <c r="CO102" s="293">
        <v>0</v>
      </c>
      <c r="CP102" s="295">
        <v>0</v>
      </c>
      <c r="CQ102" s="293">
        <v>0</v>
      </c>
      <c r="CR102" s="293">
        <v>0</v>
      </c>
      <c r="CS102" s="293">
        <v>0</v>
      </c>
      <c r="CT102" s="293">
        <v>0</v>
      </c>
      <c r="CU102" s="293">
        <v>0</v>
      </c>
      <c r="CV102" s="293">
        <v>0</v>
      </c>
      <c r="CW102" s="293">
        <v>0</v>
      </c>
      <c r="CX102" s="293">
        <v>0</v>
      </c>
      <c r="CY102" s="293">
        <v>0</v>
      </c>
      <c r="CZ102" s="293">
        <v>0</v>
      </c>
      <c r="DA102" s="293">
        <v>0</v>
      </c>
      <c r="DB102" s="1288">
        <v>0</v>
      </c>
      <c r="DC102" s="293">
        <v>0</v>
      </c>
      <c r="DD102" s="293">
        <v>0</v>
      </c>
      <c r="DE102" s="293">
        <v>0</v>
      </c>
      <c r="DF102" s="293">
        <v>0</v>
      </c>
      <c r="DG102" s="293">
        <v>0</v>
      </c>
      <c r="DH102" s="293">
        <v>0</v>
      </c>
      <c r="DI102" s="293">
        <v>0</v>
      </c>
      <c r="DJ102" s="293">
        <v>0</v>
      </c>
      <c r="DK102" s="293">
        <v>0</v>
      </c>
      <c r="DL102" s="293">
        <v>0</v>
      </c>
      <c r="DM102" s="293">
        <v>0</v>
      </c>
      <c r="DN102" s="295">
        <v>0</v>
      </c>
      <c r="DO102" s="293">
        <v>0</v>
      </c>
      <c r="DP102" s="293">
        <v>0</v>
      </c>
      <c r="DQ102" s="293">
        <v>0</v>
      </c>
      <c r="DR102" s="293">
        <v>0</v>
      </c>
      <c r="DS102" s="293">
        <v>0</v>
      </c>
      <c r="DT102" s="293">
        <v>0</v>
      </c>
      <c r="DU102" s="293">
        <v>0</v>
      </c>
      <c r="DV102" s="293">
        <v>0</v>
      </c>
      <c r="DW102" s="293">
        <v>0</v>
      </c>
      <c r="DX102" s="293">
        <v>0</v>
      </c>
      <c r="DY102" s="293">
        <v>0</v>
      </c>
      <c r="DZ102" s="295">
        <v>0</v>
      </c>
      <c r="EA102" s="293">
        <v>0</v>
      </c>
      <c r="EB102" s="293">
        <v>0</v>
      </c>
      <c r="EC102" s="293">
        <v>0</v>
      </c>
      <c r="ED102" s="293">
        <v>0</v>
      </c>
      <c r="EE102" s="293">
        <v>0</v>
      </c>
      <c r="EF102" s="293">
        <v>0</v>
      </c>
      <c r="EG102" s="293">
        <v>0</v>
      </c>
      <c r="EH102" s="293">
        <v>0</v>
      </c>
      <c r="EI102" s="293">
        <v>0</v>
      </c>
      <c r="EJ102" s="293">
        <v>0</v>
      </c>
      <c r="EK102" s="293">
        <v>0</v>
      </c>
      <c r="EL102" s="295">
        <v>0</v>
      </c>
      <c r="EM102" s="1080"/>
      <c r="EN102" s="1080"/>
      <c r="EO102" s="1080"/>
      <c r="EP102" s="1080"/>
      <c r="EQ102" s="1080"/>
      <c r="ER102" s="1080"/>
      <c r="ES102" s="1080"/>
      <c r="ET102" s="1080"/>
      <c r="EU102" s="1080"/>
      <c r="EV102" s="1080"/>
      <c r="EW102" s="1080"/>
      <c r="EX102" s="1340"/>
      <c r="EY102" s="1080"/>
      <c r="EZ102" s="1080"/>
      <c r="FA102" s="1080"/>
      <c r="FB102" s="1080"/>
      <c r="FC102" s="1080"/>
      <c r="FD102" s="1080"/>
      <c r="FE102" s="1080"/>
      <c r="FF102" s="1080"/>
      <c r="FG102" s="1080"/>
      <c r="FH102" s="1080"/>
      <c r="FI102" s="1080"/>
      <c r="FJ102" s="1340"/>
      <c r="FK102" s="1080"/>
      <c r="FL102" s="1080"/>
      <c r="FM102" s="1080"/>
      <c r="FN102" s="1080"/>
      <c r="FO102" s="1080"/>
      <c r="FP102" s="1080"/>
      <c r="FQ102" s="293"/>
      <c r="FR102" s="293"/>
      <c r="FS102" s="293"/>
      <c r="FT102" s="293"/>
      <c r="FU102" s="293"/>
      <c r="FV102" s="293"/>
      <c r="FW102" s="293"/>
      <c r="FX102" s="293"/>
      <c r="FY102" s="293"/>
      <c r="FZ102" s="293"/>
      <c r="GA102" s="293"/>
      <c r="GB102" s="293"/>
      <c r="GC102" s="293"/>
      <c r="GD102" s="293"/>
      <c r="GE102" s="293"/>
      <c r="GF102" s="293"/>
      <c r="GG102" s="293"/>
      <c r="GH102" s="293"/>
      <c r="GI102" s="293"/>
      <c r="GJ102" s="293"/>
      <c r="GK102" s="293"/>
      <c r="GL102" s="293"/>
      <c r="GM102" s="293"/>
      <c r="GN102" s="293"/>
      <c r="GO102" s="293"/>
      <c r="GP102" s="293"/>
      <c r="GQ102" s="293"/>
      <c r="GR102" s="293"/>
      <c r="GS102" s="293"/>
      <c r="GT102" s="293"/>
      <c r="GU102" s="293"/>
      <c r="GV102" s="293"/>
      <c r="GW102" s="293"/>
      <c r="GX102" s="293"/>
      <c r="GY102" s="293"/>
      <c r="GZ102" s="293"/>
      <c r="HA102" s="293"/>
      <c r="HB102" s="293"/>
      <c r="HC102" s="293"/>
      <c r="HD102" s="293"/>
      <c r="HE102" s="293"/>
      <c r="HF102" s="293"/>
      <c r="HG102" s="293"/>
      <c r="HH102" s="293"/>
      <c r="HI102" s="293"/>
      <c r="HJ102" s="293"/>
      <c r="HK102" s="293"/>
      <c r="HL102" s="293"/>
      <c r="HM102" s="293"/>
      <c r="HN102" s="293"/>
      <c r="HO102" s="293"/>
      <c r="HP102" s="293"/>
      <c r="HQ102" s="293"/>
      <c r="HR102" s="293"/>
      <c r="HS102" s="293"/>
      <c r="HT102" s="293"/>
      <c r="HU102" s="293"/>
      <c r="HV102" s="293"/>
      <c r="HW102" s="293"/>
      <c r="HX102" s="293"/>
      <c r="HY102" s="293"/>
      <c r="IH102" s="279">
        <f t="shared" si="17"/>
        <v>0</v>
      </c>
      <c r="II102" s="279">
        <f t="shared" si="18"/>
        <v>0</v>
      </c>
      <c r="IJ102" s="279">
        <f t="shared" si="19"/>
        <v>0</v>
      </c>
      <c r="IK102" s="279">
        <f t="shared" si="20"/>
        <v>0</v>
      </c>
      <c r="KT102" s="280"/>
    </row>
    <row r="103" spans="1:306" outlineLevel="1">
      <c r="B103" s="96" t="s">
        <v>338</v>
      </c>
      <c r="D103" s="300" t="s">
        <v>380</v>
      </c>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c r="BN103" s="293"/>
      <c r="BO103" s="293"/>
      <c r="BP103" s="293"/>
      <c r="BQ103" s="293"/>
      <c r="BR103" s="293"/>
      <c r="BS103" s="293"/>
      <c r="BT103" s="293"/>
      <c r="BU103" s="293"/>
      <c r="BV103" s="293"/>
      <c r="BW103" s="293"/>
      <c r="BX103" s="293"/>
      <c r="BY103" s="293"/>
      <c r="BZ103" s="293"/>
      <c r="CA103" s="293"/>
      <c r="CB103" s="293"/>
      <c r="CC103" s="293"/>
      <c r="CD103" s="293"/>
      <c r="CE103" s="294">
        <v>0</v>
      </c>
      <c r="CF103" s="293">
        <v>0</v>
      </c>
      <c r="CG103" s="293">
        <v>0</v>
      </c>
      <c r="CH103" s="293">
        <v>0</v>
      </c>
      <c r="CI103" s="293">
        <v>0</v>
      </c>
      <c r="CJ103" s="293">
        <v>0</v>
      </c>
      <c r="CK103" s="293">
        <v>0</v>
      </c>
      <c r="CL103" s="293">
        <v>0</v>
      </c>
      <c r="CM103" s="293">
        <v>0</v>
      </c>
      <c r="CN103" s="293">
        <v>0</v>
      </c>
      <c r="CO103" s="293">
        <v>0</v>
      </c>
      <c r="CP103" s="295">
        <v>0</v>
      </c>
      <c r="CQ103" s="293">
        <v>0</v>
      </c>
      <c r="CR103" s="293">
        <v>0</v>
      </c>
      <c r="CS103" s="293">
        <v>0</v>
      </c>
      <c r="CT103" s="293">
        <v>0</v>
      </c>
      <c r="CU103" s="293">
        <v>0</v>
      </c>
      <c r="CV103" s="293">
        <v>0</v>
      </c>
      <c r="CW103" s="293">
        <v>0</v>
      </c>
      <c r="CX103" s="293">
        <v>0</v>
      </c>
      <c r="CY103" s="293">
        <v>0</v>
      </c>
      <c r="CZ103" s="293">
        <v>0</v>
      </c>
      <c r="DA103" s="293">
        <v>0</v>
      </c>
      <c r="DB103" s="1288">
        <v>0</v>
      </c>
      <c r="DC103" s="293">
        <v>0</v>
      </c>
      <c r="DD103" s="293">
        <v>0</v>
      </c>
      <c r="DE103" s="293">
        <v>0</v>
      </c>
      <c r="DF103" s="293">
        <v>0</v>
      </c>
      <c r="DG103" s="293">
        <v>0</v>
      </c>
      <c r="DH103" s="293">
        <v>0</v>
      </c>
      <c r="DI103" s="293">
        <v>0</v>
      </c>
      <c r="DJ103" s="293">
        <v>0</v>
      </c>
      <c r="DK103" s="293">
        <v>0</v>
      </c>
      <c r="DL103" s="293">
        <v>0</v>
      </c>
      <c r="DM103" s="293">
        <v>0</v>
      </c>
      <c r="DN103" s="295">
        <v>0</v>
      </c>
      <c r="DO103" s="293">
        <v>0</v>
      </c>
      <c r="DP103" s="293">
        <v>0</v>
      </c>
      <c r="DQ103" s="293">
        <v>0</v>
      </c>
      <c r="DR103" s="293">
        <v>0</v>
      </c>
      <c r="DS103" s="293">
        <v>0</v>
      </c>
      <c r="DT103" s="293">
        <v>0</v>
      </c>
      <c r="DU103" s="293">
        <v>0</v>
      </c>
      <c r="DV103" s="293">
        <v>0</v>
      </c>
      <c r="DW103" s="293">
        <v>0</v>
      </c>
      <c r="DX103" s="293">
        <v>0</v>
      </c>
      <c r="DY103" s="293">
        <v>0</v>
      </c>
      <c r="DZ103" s="295">
        <v>0</v>
      </c>
      <c r="EA103" s="293">
        <v>0</v>
      </c>
      <c r="EB103" s="293">
        <v>0</v>
      </c>
      <c r="EC103" s="293">
        <v>0</v>
      </c>
      <c r="ED103" s="293">
        <v>0</v>
      </c>
      <c r="EE103" s="293">
        <v>0</v>
      </c>
      <c r="EF103" s="293">
        <v>0</v>
      </c>
      <c r="EG103" s="293">
        <v>0</v>
      </c>
      <c r="EH103" s="293">
        <v>0</v>
      </c>
      <c r="EI103" s="293">
        <v>0</v>
      </c>
      <c r="EJ103" s="293">
        <v>0</v>
      </c>
      <c r="EK103" s="293">
        <v>0</v>
      </c>
      <c r="EL103" s="295">
        <v>0</v>
      </c>
      <c r="EM103" s="1080"/>
      <c r="EN103" s="1080"/>
      <c r="EO103" s="1080"/>
      <c r="EP103" s="1080"/>
      <c r="EQ103" s="1080"/>
      <c r="ER103" s="1080"/>
      <c r="ES103" s="1080"/>
      <c r="ET103" s="1080"/>
      <c r="EU103" s="1080"/>
      <c r="EV103" s="1080"/>
      <c r="EW103" s="1080"/>
      <c r="EX103" s="1340"/>
      <c r="EY103" s="1080"/>
      <c r="EZ103" s="1080"/>
      <c r="FA103" s="1080"/>
      <c r="FB103" s="1080"/>
      <c r="FC103" s="1080"/>
      <c r="FD103" s="1080"/>
      <c r="FE103" s="1080"/>
      <c r="FF103" s="1080"/>
      <c r="FG103" s="1080"/>
      <c r="FH103" s="1080"/>
      <c r="FI103" s="1080"/>
      <c r="FJ103" s="1340"/>
      <c r="FK103" s="1080"/>
      <c r="FL103" s="1080"/>
      <c r="FM103" s="1080"/>
      <c r="FN103" s="1080"/>
      <c r="FO103" s="1080"/>
      <c r="FP103" s="1080"/>
      <c r="FQ103" s="293"/>
      <c r="FR103" s="293"/>
      <c r="FS103" s="293"/>
      <c r="FT103" s="293"/>
      <c r="FU103" s="293"/>
      <c r="FV103" s="293"/>
      <c r="FW103" s="293"/>
      <c r="FX103" s="293"/>
      <c r="FY103" s="293"/>
      <c r="FZ103" s="293"/>
      <c r="GA103" s="293"/>
      <c r="GB103" s="293"/>
      <c r="GC103" s="293"/>
      <c r="GD103" s="293"/>
      <c r="GE103" s="293"/>
      <c r="GF103" s="293"/>
      <c r="GG103" s="293"/>
      <c r="GH103" s="293"/>
      <c r="GI103" s="293"/>
      <c r="GJ103" s="293"/>
      <c r="GK103" s="293"/>
      <c r="GL103" s="293"/>
      <c r="GM103" s="293"/>
      <c r="GN103" s="293"/>
      <c r="GO103" s="293"/>
      <c r="GP103" s="293"/>
      <c r="GQ103" s="293"/>
      <c r="GR103" s="293"/>
      <c r="GS103" s="293"/>
      <c r="GT103" s="293"/>
      <c r="GU103" s="293"/>
      <c r="GV103" s="293"/>
      <c r="GW103" s="293"/>
      <c r="GX103" s="293"/>
      <c r="GY103" s="293"/>
      <c r="GZ103" s="293"/>
      <c r="HA103" s="293"/>
      <c r="HB103" s="293"/>
      <c r="HC103" s="293"/>
      <c r="HD103" s="293"/>
      <c r="HE103" s="293"/>
      <c r="HF103" s="293"/>
      <c r="HG103" s="293"/>
      <c r="HH103" s="293"/>
      <c r="HI103" s="293"/>
      <c r="HJ103" s="293"/>
      <c r="HK103" s="293"/>
      <c r="HL103" s="293"/>
      <c r="HM103" s="293"/>
      <c r="HN103" s="293"/>
      <c r="HO103" s="293"/>
      <c r="HP103" s="293"/>
      <c r="HQ103" s="293"/>
      <c r="HR103" s="293"/>
      <c r="HS103" s="293"/>
      <c r="HT103" s="293"/>
      <c r="HU103" s="293"/>
      <c r="HV103" s="293"/>
      <c r="HW103" s="293"/>
      <c r="HX103" s="293"/>
      <c r="HY103" s="293"/>
      <c r="IH103" s="279">
        <f t="shared" si="17"/>
        <v>0</v>
      </c>
      <c r="II103" s="279">
        <f t="shared" si="18"/>
        <v>0</v>
      </c>
      <c r="IJ103" s="279">
        <f t="shared" si="19"/>
        <v>0</v>
      </c>
      <c r="IK103" s="279">
        <f t="shared" si="20"/>
        <v>0</v>
      </c>
      <c r="KT103" s="280"/>
    </row>
    <row r="104" spans="1:306" outlineLevel="1">
      <c r="B104" s="96" t="s">
        <v>338</v>
      </c>
      <c r="D104" s="300" t="s">
        <v>381</v>
      </c>
      <c r="E104" s="293"/>
      <c r="F104" s="293"/>
      <c r="G104" s="293"/>
      <c r="H104" s="293"/>
      <c r="I104" s="293"/>
      <c r="J104" s="293"/>
      <c r="K104" s="293"/>
      <c r="L104" s="293"/>
      <c r="M104" s="293"/>
      <c r="N104" s="293"/>
      <c r="O104" s="293"/>
      <c r="P104" s="293"/>
      <c r="Q104" s="293"/>
      <c r="R104" s="293"/>
      <c r="S104" s="293"/>
      <c r="T104" s="293"/>
      <c r="U104" s="293"/>
      <c r="V104" s="293"/>
      <c r="W104" s="293"/>
      <c r="X104" s="293"/>
      <c r="Y104" s="29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c r="BN104" s="293"/>
      <c r="BO104" s="293"/>
      <c r="BP104" s="293"/>
      <c r="BQ104" s="293"/>
      <c r="BR104" s="293"/>
      <c r="BS104" s="293"/>
      <c r="BT104" s="293"/>
      <c r="BU104" s="293"/>
      <c r="BV104" s="293"/>
      <c r="BW104" s="293"/>
      <c r="BX104" s="293"/>
      <c r="BY104" s="293"/>
      <c r="BZ104" s="293"/>
      <c r="CA104" s="293"/>
      <c r="CB104" s="293"/>
      <c r="CC104" s="293"/>
      <c r="CD104" s="293"/>
      <c r="CE104" s="294">
        <v>0</v>
      </c>
      <c r="CF104" s="293">
        <v>0</v>
      </c>
      <c r="CG104" s="293">
        <v>0</v>
      </c>
      <c r="CH104" s="293">
        <v>0</v>
      </c>
      <c r="CI104" s="293">
        <v>0</v>
      </c>
      <c r="CJ104" s="293">
        <v>0</v>
      </c>
      <c r="CK104" s="293">
        <v>0</v>
      </c>
      <c r="CL104" s="293">
        <v>0</v>
      </c>
      <c r="CM104" s="293">
        <v>0</v>
      </c>
      <c r="CN104" s="293">
        <v>0</v>
      </c>
      <c r="CO104" s="293">
        <v>0</v>
      </c>
      <c r="CP104" s="295">
        <v>0</v>
      </c>
      <c r="CQ104" s="293">
        <v>0</v>
      </c>
      <c r="CR104" s="293">
        <v>0</v>
      </c>
      <c r="CS104" s="293">
        <v>0</v>
      </c>
      <c r="CT104" s="293">
        <v>0</v>
      </c>
      <c r="CU104" s="293">
        <v>0</v>
      </c>
      <c r="CV104" s="293">
        <v>0</v>
      </c>
      <c r="CW104" s="293">
        <v>0</v>
      </c>
      <c r="CX104" s="293">
        <v>0</v>
      </c>
      <c r="CY104" s="293">
        <v>0</v>
      </c>
      <c r="CZ104" s="293">
        <v>0</v>
      </c>
      <c r="DA104" s="293">
        <v>0</v>
      </c>
      <c r="DB104" s="1288">
        <v>0</v>
      </c>
      <c r="DC104" s="293">
        <v>0</v>
      </c>
      <c r="DD104" s="293">
        <v>0</v>
      </c>
      <c r="DE104" s="293">
        <v>0</v>
      </c>
      <c r="DF104" s="293">
        <v>0</v>
      </c>
      <c r="DG104" s="293">
        <v>0</v>
      </c>
      <c r="DH104" s="293">
        <v>0</v>
      </c>
      <c r="DI104" s="293">
        <v>0</v>
      </c>
      <c r="DJ104" s="293">
        <v>0</v>
      </c>
      <c r="DK104" s="293">
        <v>0</v>
      </c>
      <c r="DL104" s="293">
        <v>0</v>
      </c>
      <c r="DM104" s="293">
        <v>0</v>
      </c>
      <c r="DN104" s="295">
        <v>0</v>
      </c>
      <c r="DO104" s="293">
        <v>0</v>
      </c>
      <c r="DP104" s="293">
        <v>0</v>
      </c>
      <c r="DQ104" s="293">
        <v>0</v>
      </c>
      <c r="DR104" s="293">
        <v>0</v>
      </c>
      <c r="DS104" s="293">
        <v>0</v>
      </c>
      <c r="DT104" s="293">
        <v>0</v>
      </c>
      <c r="DU104" s="293">
        <v>0</v>
      </c>
      <c r="DV104" s="293">
        <v>0</v>
      </c>
      <c r="DW104" s="293">
        <v>0</v>
      </c>
      <c r="DX104" s="293">
        <v>0</v>
      </c>
      <c r="DY104" s="293">
        <v>0</v>
      </c>
      <c r="DZ104" s="295">
        <v>0</v>
      </c>
      <c r="EA104" s="293">
        <v>0</v>
      </c>
      <c r="EB104" s="293">
        <v>0</v>
      </c>
      <c r="EC104" s="293">
        <v>0</v>
      </c>
      <c r="ED104" s="293">
        <v>0</v>
      </c>
      <c r="EE104" s="293">
        <v>0</v>
      </c>
      <c r="EF104" s="293">
        <v>0</v>
      </c>
      <c r="EG104" s="293">
        <v>0</v>
      </c>
      <c r="EH104" s="293">
        <v>0</v>
      </c>
      <c r="EI104" s="293">
        <v>0</v>
      </c>
      <c r="EJ104" s="293">
        <v>0</v>
      </c>
      <c r="EK104" s="293">
        <v>0</v>
      </c>
      <c r="EL104" s="295">
        <v>0</v>
      </c>
      <c r="EM104" s="1080"/>
      <c r="EN104" s="1080"/>
      <c r="EO104" s="1080"/>
      <c r="EP104" s="1080"/>
      <c r="EQ104" s="1080"/>
      <c r="ER104" s="1080"/>
      <c r="ES104" s="1080"/>
      <c r="ET104" s="1080"/>
      <c r="EU104" s="1080"/>
      <c r="EV104" s="1080"/>
      <c r="EW104" s="1080"/>
      <c r="EX104" s="1340"/>
      <c r="EY104" s="1080"/>
      <c r="EZ104" s="1080"/>
      <c r="FA104" s="1080"/>
      <c r="FB104" s="1080"/>
      <c r="FC104" s="1080"/>
      <c r="FD104" s="1080"/>
      <c r="FE104" s="1080"/>
      <c r="FF104" s="1080"/>
      <c r="FG104" s="1080"/>
      <c r="FH104" s="1080"/>
      <c r="FI104" s="1080"/>
      <c r="FJ104" s="1340"/>
      <c r="FK104" s="1080"/>
      <c r="FL104" s="1080"/>
      <c r="FM104" s="1080"/>
      <c r="FN104" s="1080"/>
      <c r="FO104" s="1080"/>
      <c r="FP104" s="1080"/>
      <c r="FQ104" s="293"/>
      <c r="FR104" s="293"/>
      <c r="FS104" s="293"/>
      <c r="FT104" s="293"/>
      <c r="FU104" s="293"/>
      <c r="FV104" s="293"/>
      <c r="FW104" s="293"/>
      <c r="FX104" s="293"/>
      <c r="FY104" s="293"/>
      <c r="FZ104" s="293"/>
      <c r="GA104" s="293"/>
      <c r="GB104" s="293"/>
      <c r="GC104" s="293"/>
      <c r="GD104" s="293"/>
      <c r="GE104" s="293"/>
      <c r="GF104" s="293"/>
      <c r="GG104" s="293"/>
      <c r="GH104" s="293"/>
      <c r="GI104" s="293"/>
      <c r="GJ104" s="293"/>
      <c r="GK104" s="293"/>
      <c r="GL104" s="293"/>
      <c r="GM104" s="293"/>
      <c r="GN104" s="293"/>
      <c r="GO104" s="293"/>
      <c r="GP104" s="293"/>
      <c r="GQ104" s="293"/>
      <c r="GR104" s="293"/>
      <c r="GS104" s="293"/>
      <c r="GT104" s="293"/>
      <c r="GU104" s="293"/>
      <c r="GV104" s="293"/>
      <c r="GW104" s="293"/>
      <c r="GX104" s="293"/>
      <c r="GY104" s="293"/>
      <c r="GZ104" s="293"/>
      <c r="HA104" s="293"/>
      <c r="HB104" s="293"/>
      <c r="HC104" s="293"/>
      <c r="HD104" s="293"/>
      <c r="HE104" s="293"/>
      <c r="HF104" s="293"/>
      <c r="HG104" s="293"/>
      <c r="HH104" s="293"/>
      <c r="HI104" s="293"/>
      <c r="HJ104" s="293"/>
      <c r="HK104" s="293"/>
      <c r="HL104" s="293"/>
      <c r="HM104" s="293"/>
      <c r="HN104" s="293"/>
      <c r="HO104" s="293"/>
      <c r="HP104" s="293"/>
      <c r="HQ104" s="293"/>
      <c r="HR104" s="293"/>
      <c r="HS104" s="293"/>
      <c r="HT104" s="293"/>
      <c r="HU104" s="293"/>
      <c r="HV104" s="293"/>
      <c r="HW104" s="293"/>
      <c r="HX104" s="293"/>
      <c r="HY104" s="293"/>
      <c r="IH104" s="279">
        <f t="shared" si="17"/>
        <v>0</v>
      </c>
      <c r="II104" s="279">
        <f t="shared" si="18"/>
        <v>0</v>
      </c>
      <c r="IJ104" s="279">
        <f t="shared" si="19"/>
        <v>0</v>
      </c>
      <c r="IK104" s="279">
        <f t="shared" si="20"/>
        <v>0</v>
      </c>
      <c r="KT104" s="280"/>
    </row>
    <row r="105" spans="1:306" outlineLevel="1">
      <c r="A105" s="96" t="s">
        <v>337</v>
      </c>
      <c r="B105" s="96" t="s">
        <v>338</v>
      </c>
      <c r="D105" s="299" t="s">
        <v>382</v>
      </c>
      <c r="E105" s="293"/>
      <c r="F105" s="293"/>
      <c r="G105" s="293"/>
      <c r="H105" s="293"/>
      <c r="I105" s="293"/>
      <c r="J105" s="293"/>
      <c r="K105" s="293"/>
      <c r="L105" s="293"/>
      <c r="M105" s="293"/>
      <c r="N105" s="293"/>
      <c r="O105" s="293"/>
      <c r="P105" s="293"/>
      <c r="Q105" s="293"/>
      <c r="R105" s="293"/>
      <c r="S105" s="293"/>
      <c r="T105" s="293"/>
      <c r="U105" s="293"/>
      <c r="V105" s="293"/>
      <c r="W105" s="293"/>
      <c r="X105" s="293"/>
      <c r="Y105" s="29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c r="BN105" s="293"/>
      <c r="BO105" s="293"/>
      <c r="BP105" s="293"/>
      <c r="BQ105" s="293"/>
      <c r="BR105" s="293"/>
      <c r="BS105" s="293"/>
      <c r="BT105" s="293"/>
      <c r="BU105" s="293"/>
      <c r="BV105" s="293"/>
      <c r="BW105" s="293"/>
      <c r="BX105" s="293"/>
      <c r="BY105" s="293"/>
      <c r="BZ105" s="293"/>
      <c r="CA105" s="293"/>
      <c r="CB105" s="293"/>
      <c r="CC105" s="293"/>
      <c r="CD105" s="293"/>
      <c r="CE105" s="294">
        <v>5.6079649000000002E-2</v>
      </c>
      <c r="CF105" s="293">
        <v>0.99375000000000002</v>
      </c>
      <c r="CG105" s="293">
        <v>3.7540293000000002E-2</v>
      </c>
      <c r="CH105" s="293">
        <v>0.200439273</v>
      </c>
      <c r="CI105" s="293">
        <v>0.94522044599999999</v>
      </c>
      <c r="CJ105" s="293">
        <v>0.29456502600000001</v>
      </c>
      <c r="CK105" s="293">
        <v>0.26622048199999998</v>
      </c>
      <c r="CL105" s="293">
        <v>0</v>
      </c>
      <c r="CM105" s="293">
        <v>1.0243812699999999</v>
      </c>
      <c r="CN105" s="293">
        <v>0.25442148599999997</v>
      </c>
      <c r="CO105" s="293">
        <v>0</v>
      </c>
      <c r="CP105" s="295">
        <v>0.96914218899999993</v>
      </c>
      <c r="CQ105" s="293">
        <v>0.2424750032156216</v>
      </c>
      <c r="CR105" s="293">
        <v>0.75</v>
      </c>
      <c r="CS105" s="293">
        <v>0.21628197200000002</v>
      </c>
      <c r="CT105" s="293">
        <v>0.23037918900000001</v>
      </c>
      <c r="CU105" s="293">
        <v>0.75</v>
      </c>
      <c r="CV105" s="293">
        <v>0.13637664399999999</v>
      </c>
      <c r="CW105" s="293">
        <v>0.21813217763615109</v>
      </c>
      <c r="CX105" s="293">
        <v>0</v>
      </c>
      <c r="CY105" s="293">
        <v>0.84693273599999996</v>
      </c>
      <c r="CZ105" s="293">
        <v>0.20573207836387578</v>
      </c>
      <c r="DA105" s="293">
        <v>0</v>
      </c>
      <c r="DB105" s="1288">
        <v>0.84676914699999983</v>
      </c>
      <c r="DC105" s="815">
        <v>0.19317697785069704</v>
      </c>
      <c r="DD105" s="815">
        <v>0.63749999999999996</v>
      </c>
      <c r="DE105" s="815">
        <v>0.36529047640000001</v>
      </c>
      <c r="DF105" s="815">
        <v>0.18046493858110402</v>
      </c>
      <c r="DG105" s="815">
        <v>0.63749999999999996</v>
      </c>
      <c r="DH105" s="815">
        <v>0.28915737699999999</v>
      </c>
      <c r="DI105" s="827">
        <v>0.16759399899999999</v>
      </c>
      <c r="DJ105" s="827">
        <v>0</v>
      </c>
      <c r="DK105" s="827">
        <v>0.405059481</v>
      </c>
      <c r="DL105" s="827">
        <v>0</v>
      </c>
      <c r="DM105" s="827">
        <v>0</v>
      </c>
      <c r="DN105" s="828">
        <v>0</v>
      </c>
      <c r="DO105" s="827">
        <v>0.14136744797435799</v>
      </c>
      <c r="DP105" s="827">
        <v>0.76957410199999998</v>
      </c>
      <c r="DQ105" s="827">
        <v>0.52194975700000001</v>
      </c>
      <c r="DR105" s="827">
        <v>0.18802548558131102</v>
      </c>
      <c r="DS105" s="827">
        <v>0</v>
      </c>
      <c r="DT105" s="827">
        <v>0.81279762570000014</v>
      </c>
      <c r="DU105" s="827">
        <v>0.15775664945834986</v>
      </c>
      <c r="DV105" s="827">
        <v>3.4784245999999998E-2</v>
      </c>
      <c r="DW105" s="827">
        <v>0.402794706</v>
      </c>
      <c r="DX105" s="827">
        <v>0.11834291915885203</v>
      </c>
      <c r="DY105" s="827">
        <v>0</v>
      </c>
      <c r="DZ105" s="828">
        <v>0.67986057300000002</v>
      </c>
      <c r="EA105" s="827">
        <v>8.6918464143110483E-2</v>
      </c>
      <c r="EB105" s="827">
        <v>0.35625000000000001</v>
      </c>
      <c r="EC105" s="827">
        <v>0.56796617100000002</v>
      </c>
      <c r="ED105" s="827">
        <v>0.14575638599999999</v>
      </c>
      <c r="EE105" s="827">
        <v>0.71250000000000002</v>
      </c>
      <c r="EF105" s="827">
        <v>0.20324371824999998</v>
      </c>
      <c r="EG105" s="827">
        <v>5.8662419E-2</v>
      </c>
      <c r="EH105" s="827">
        <v>0</v>
      </c>
      <c r="EI105" s="827">
        <v>0.717188202</v>
      </c>
      <c r="EJ105" s="827">
        <v>4.4268948000000002E-2</v>
      </c>
      <c r="EK105" s="827">
        <v>0</v>
      </c>
      <c r="EL105" s="828">
        <v>0.84855444499999999</v>
      </c>
      <c r="EM105" s="1088"/>
      <c r="EN105" s="1088"/>
      <c r="EO105" s="1088"/>
      <c r="EP105" s="1088"/>
      <c r="EQ105" s="1088"/>
      <c r="ER105" s="1088"/>
      <c r="ES105" s="1088"/>
      <c r="ET105" s="1088"/>
      <c r="EU105" s="1088"/>
      <c r="EV105" s="1088"/>
      <c r="EW105" s="1088"/>
      <c r="EX105" s="1355"/>
      <c r="EY105" s="1088"/>
      <c r="EZ105" s="1088"/>
      <c r="FA105" s="1088"/>
      <c r="FB105" s="1088"/>
      <c r="FC105" s="1088"/>
      <c r="FD105" s="1088"/>
      <c r="FE105" s="1088"/>
      <c r="FF105" s="1088"/>
      <c r="FG105" s="1088"/>
      <c r="FH105" s="1088"/>
      <c r="FI105" s="1088"/>
      <c r="FJ105" s="1355"/>
      <c r="FK105" s="1088"/>
      <c r="FL105" s="1088"/>
      <c r="FM105" s="1088"/>
      <c r="FN105" s="1088"/>
      <c r="FO105" s="1088"/>
      <c r="FP105" s="1088"/>
      <c r="FQ105" s="827"/>
      <c r="FR105" s="827"/>
      <c r="FS105" s="827"/>
      <c r="FT105" s="827"/>
      <c r="FU105" s="827"/>
      <c r="FV105" s="827"/>
      <c r="FW105" s="827"/>
      <c r="FX105" s="827"/>
      <c r="FY105" s="827"/>
      <c r="FZ105" s="827"/>
      <c r="GA105" s="827"/>
      <c r="GB105" s="827"/>
      <c r="GC105" s="827"/>
      <c r="GD105" s="827"/>
      <c r="GE105" s="827"/>
      <c r="GF105" s="827"/>
      <c r="GG105" s="827"/>
      <c r="GH105" s="827"/>
      <c r="GI105" s="827"/>
      <c r="GJ105" s="827"/>
      <c r="GK105" s="827"/>
      <c r="GL105" s="827"/>
      <c r="GM105" s="827"/>
      <c r="GN105" s="827"/>
      <c r="GO105" s="827"/>
      <c r="GP105" s="827"/>
      <c r="GQ105" s="827"/>
      <c r="GR105" s="827"/>
      <c r="GS105" s="827"/>
      <c r="GT105" s="827"/>
      <c r="GU105" s="827"/>
      <c r="GV105" s="827"/>
      <c r="GW105" s="827"/>
      <c r="GX105" s="827"/>
      <c r="GY105" s="827"/>
      <c r="GZ105" s="827"/>
      <c r="HA105" s="827"/>
      <c r="HB105" s="827"/>
      <c r="HC105" s="827"/>
      <c r="HD105" s="827"/>
      <c r="HE105" s="827"/>
      <c r="HF105" s="827"/>
      <c r="HG105" s="827"/>
      <c r="HH105" s="827"/>
      <c r="HI105" s="827"/>
      <c r="HJ105" s="827"/>
      <c r="HK105" s="827"/>
      <c r="HL105" s="827"/>
      <c r="HM105" s="827"/>
      <c r="HN105" s="827"/>
      <c r="HO105" s="827"/>
      <c r="HP105" s="827"/>
      <c r="HQ105" s="827"/>
      <c r="HR105" s="827"/>
      <c r="HS105" s="827"/>
      <c r="HT105" s="827"/>
      <c r="HU105" s="827"/>
      <c r="HV105" s="827"/>
      <c r="HW105" s="827"/>
      <c r="HX105" s="827"/>
      <c r="HY105" s="827"/>
      <c r="IH105" s="279">
        <f t="shared" si="17"/>
        <v>2.3030897698318014</v>
      </c>
      <c r="II105" s="279">
        <f t="shared" si="18"/>
        <v>0.57265348000000005</v>
      </c>
      <c r="IJ105" s="279">
        <f t="shared" si="19"/>
        <v>2.8757432498318014</v>
      </c>
      <c r="IK105" s="279">
        <f t="shared" si="20"/>
        <v>2.4337144182556694</v>
      </c>
      <c r="KT105" s="280"/>
    </row>
    <row r="106" spans="1:306" outlineLevel="1">
      <c r="B106" s="96" t="s">
        <v>338</v>
      </c>
      <c r="D106" s="296" t="s">
        <v>371</v>
      </c>
      <c r="E106" s="293"/>
      <c r="F106" s="293"/>
      <c r="G106" s="293"/>
      <c r="H106" s="293"/>
      <c r="I106" s="293"/>
      <c r="J106" s="293"/>
      <c r="K106" s="293"/>
      <c r="L106" s="293"/>
      <c r="M106" s="293"/>
      <c r="N106" s="293"/>
      <c r="O106" s="293"/>
      <c r="P106" s="293"/>
      <c r="Q106" s="293"/>
      <c r="R106" s="293"/>
      <c r="S106" s="293"/>
      <c r="T106" s="293"/>
      <c r="U106" s="293"/>
      <c r="V106" s="293"/>
      <c r="W106" s="293"/>
      <c r="X106" s="293"/>
      <c r="Y106" s="29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3"/>
      <c r="BZ106" s="293"/>
      <c r="CA106" s="293"/>
      <c r="CB106" s="293"/>
      <c r="CC106" s="293"/>
      <c r="CD106" s="293"/>
      <c r="CE106" s="294">
        <v>0</v>
      </c>
      <c r="CF106" s="293">
        <v>0.99375000000000002</v>
      </c>
      <c r="CG106" s="293">
        <v>0</v>
      </c>
      <c r="CH106" s="293">
        <v>0.19286402999999999</v>
      </c>
      <c r="CI106" s="293">
        <v>0.94522044599999999</v>
      </c>
      <c r="CJ106" s="293">
        <v>0.19286402999999999</v>
      </c>
      <c r="CK106" s="293">
        <v>0.26622048199999998</v>
      </c>
      <c r="CL106" s="293">
        <v>0</v>
      </c>
      <c r="CM106" s="293">
        <v>0.99434903499999994</v>
      </c>
      <c r="CN106" s="293">
        <v>0.25442148599999997</v>
      </c>
      <c r="CO106" s="293">
        <v>0</v>
      </c>
      <c r="CP106" s="295">
        <v>0.94286398399999993</v>
      </c>
      <c r="CQ106" s="293">
        <v>0.2424750032156216</v>
      </c>
      <c r="CR106" s="293">
        <v>0.75</v>
      </c>
      <c r="CS106" s="293">
        <v>0.193</v>
      </c>
      <c r="CT106" s="293">
        <v>0.23037918900000001</v>
      </c>
      <c r="CU106" s="293">
        <v>0.75</v>
      </c>
      <c r="CV106" s="293">
        <v>0</v>
      </c>
      <c r="CW106" s="293">
        <v>0.21813217763615109</v>
      </c>
      <c r="CX106" s="293">
        <v>0</v>
      </c>
      <c r="CY106" s="293">
        <v>0.83036407999999995</v>
      </c>
      <c r="CZ106" s="293">
        <v>0.20573207836387578</v>
      </c>
      <c r="DA106" s="293">
        <v>0</v>
      </c>
      <c r="DB106" s="1288">
        <v>0.8303640699999999</v>
      </c>
      <c r="DC106" s="293">
        <v>0.19317697785069704</v>
      </c>
      <c r="DD106" s="293">
        <v>0.63749999999999996</v>
      </c>
      <c r="DE106" s="293">
        <v>0.19286417</v>
      </c>
      <c r="DF106" s="293">
        <v>0.18046493858110402</v>
      </c>
      <c r="DG106" s="293">
        <v>0.63749999999999996</v>
      </c>
      <c r="DH106" s="293">
        <v>0.19286398499999999</v>
      </c>
      <c r="DI106" s="293">
        <v>0.16759399899999999</v>
      </c>
      <c r="DJ106" s="293">
        <v>0</v>
      </c>
      <c r="DK106" s="293">
        <v>0.38071105999999999</v>
      </c>
      <c r="DL106" s="293">
        <v>0.15456217231317093</v>
      </c>
      <c r="DM106" s="293">
        <v>0</v>
      </c>
      <c r="DN106" s="295">
        <v>0.69660553000000003</v>
      </c>
      <c r="DO106" s="293">
        <v>0.14136744797435799</v>
      </c>
      <c r="DP106" s="293">
        <v>0.76957410199999998</v>
      </c>
      <c r="DQ106" s="293">
        <v>0.25862565500000001</v>
      </c>
      <c r="DR106" s="293">
        <v>0.18802548558131102</v>
      </c>
      <c r="DS106" s="293">
        <v>0</v>
      </c>
      <c r="DT106" s="293">
        <v>0.74556512700000011</v>
      </c>
      <c r="DU106" s="293">
        <v>0.15775664945834986</v>
      </c>
      <c r="DV106" s="293">
        <v>3.4784245999999998E-2</v>
      </c>
      <c r="DW106" s="293">
        <v>0.21384055800000001</v>
      </c>
      <c r="DX106" s="293">
        <v>0.11834291915885203</v>
      </c>
      <c r="DY106" s="293">
        <v>0</v>
      </c>
      <c r="DZ106" s="295">
        <v>0.19644922100000001</v>
      </c>
      <c r="EA106" s="293">
        <v>8.6918464143110483E-2</v>
      </c>
      <c r="EB106" s="293">
        <v>0.35625000000000001</v>
      </c>
      <c r="EC106" s="293">
        <v>0.187628717</v>
      </c>
      <c r="ED106" s="293">
        <v>0.14575638599999999</v>
      </c>
      <c r="EE106" s="293">
        <v>0.71250000000000002</v>
      </c>
      <c r="EF106" s="293">
        <v>0.18762871724999999</v>
      </c>
      <c r="EG106" s="293">
        <v>5.8662419E-2</v>
      </c>
      <c r="EH106" s="293">
        <v>0</v>
      </c>
      <c r="EI106" s="293">
        <v>0.37411270600000002</v>
      </c>
      <c r="EJ106" s="293">
        <v>4.4268948000000002E-2</v>
      </c>
      <c r="EK106" s="293">
        <v>0</v>
      </c>
      <c r="EL106" s="295">
        <v>0.37411270600000002</v>
      </c>
      <c r="EM106" s="1089">
        <v>2.9695558E-2</v>
      </c>
      <c r="EN106" s="1089">
        <v>0.1875</v>
      </c>
      <c r="EO106" s="1089">
        <v>0.18661270599999999</v>
      </c>
      <c r="EP106" s="1089">
        <v>1.4940001E-2</v>
      </c>
      <c r="EQ106" s="1089">
        <v>0.1875</v>
      </c>
      <c r="ER106" s="1089">
        <v>0</v>
      </c>
      <c r="ES106" s="1080"/>
      <c r="ET106" s="1080"/>
      <c r="EU106" s="1080"/>
      <c r="EV106" s="1080"/>
      <c r="EW106" s="1080"/>
      <c r="EX106" s="1340"/>
      <c r="EY106" s="1080"/>
      <c r="EZ106" s="1080"/>
      <c r="FA106" s="1080"/>
      <c r="FB106" s="1080"/>
      <c r="FC106" s="1080"/>
      <c r="FD106" s="1080"/>
      <c r="FE106" s="1080"/>
      <c r="FF106" s="1080"/>
      <c r="FG106" s="1080"/>
      <c r="FH106" s="1080"/>
      <c r="FI106" s="1080"/>
      <c r="FJ106" s="1340"/>
      <c r="FK106" s="1080"/>
      <c r="FL106" s="1080"/>
      <c r="FM106" s="1080"/>
      <c r="FN106" s="1080"/>
      <c r="FO106" s="1080"/>
      <c r="FP106" s="1080"/>
      <c r="FQ106" s="293"/>
      <c r="FR106" s="293"/>
      <c r="FS106" s="293"/>
      <c r="FT106" s="293"/>
      <c r="FU106" s="293"/>
      <c r="FV106" s="293"/>
      <c r="FW106" s="293"/>
      <c r="FX106" s="293"/>
      <c r="FY106" s="293"/>
      <c r="FZ106" s="293"/>
      <c r="GA106" s="293"/>
      <c r="GB106" s="293"/>
      <c r="GC106" s="293"/>
      <c r="GD106" s="293"/>
      <c r="GE106" s="293"/>
      <c r="GF106" s="293"/>
      <c r="GG106" s="293"/>
      <c r="GH106" s="293"/>
      <c r="GI106" s="293"/>
      <c r="GJ106" s="293"/>
      <c r="GK106" s="293"/>
      <c r="GL106" s="293"/>
      <c r="GM106" s="293"/>
      <c r="GN106" s="293"/>
      <c r="GO106" s="293"/>
      <c r="GP106" s="293"/>
      <c r="GQ106" s="293"/>
      <c r="GR106" s="293"/>
      <c r="GS106" s="293"/>
      <c r="GT106" s="293"/>
      <c r="GU106" s="293"/>
      <c r="GV106" s="293"/>
      <c r="GW106" s="293"/>
      <c r="GX106" s="293"/>
      <c r="GY106" s="293"/>
      <c r="GZ106" s="293"/>
      <c r="HA106" s="293"/>
      <c r="HB106" s="293"/>
      <c r="HC106" s="293"/>
      <c r="HD106" s="293"/>
      <c r="HE106" s="293"/>
      <c r="HF106" s="293"/>
      <c r="HG106" s="293"/>
      <c r="HH106" s="293"/>
      <c r="HI106" s="293"/>
      <c r="HJ106" s="293"/>
      <c r="HK106" s="293"/>
      <c r="HL106" s="293"/>
      <c r="HM106" s="293"/>
      <c r="HN106" s="293"/>
      <c r="HO106" s="293"/>
      <c r="HP106" s="293"/>
      <c r="HQ106" s="293"/>
      <c r="HR106" s="293"/>
      <c r="HS106" s="293"/>
      <c r="HT106" s="293"/>
      <c r="HU106" s="293"/>
      <c r="HV106" s="293"/>
      <c r="HW106" s="293"/>
      <c r="HX106" s="293"/>
      <c r="HY106" s="293"/>
      <c r="IH106" s="279">
        <f t="shared" si="17"/>
        <v>2.0343700714318009</v>
      </c>
      <c r="II106" s="279">
        <f t="shared" si="18"/>
        <v>1.399472761313171</v>
      </c>
      <c r="IJ106" s="279">
        <f t="shared" si="19"/>
        <v>3.4338428327449719</v>
      </c>
      <c r="IK106" s="279">
        <f t="shared" si="20"/>
        <v>2.1031578175556689</v>
      </c>
      <c r="KT106" s="280"/>
    </row>
    <row r="107" spans="1:306" outlineLevel="1">
      <c r="B107" s="96" t="s">
        <v>338</v>
      </c>
      <c r="D107" s="300" t="s">
        <v>372</v>
      </c>
      <c r="E107" s="293"/>
      <c r="F107" s="293"/>
      <c r="G107" s="293"/>
      <c r="H107" s="293"/>
      <c r="I107" s="293"/>
      <c r="J107" s="293"/>
      <c r="K107" s="293"/>
      <c r="L107" s="293"/>
      <c r="M107" s="293"/>
      <c r="N107" s="293"/>
      <c r="O107" s="293"/>
      <c r="P107" s="293"/>
      <c r="Q107" s="293"/>
      <c r="R107" s="293"/>
      <c r="S107" s="293"/>
      <c r="T107" s="293"/>
      <c r="U107" s="293"/>
      <c r="V107" s="293"/>
      <c r="W107" s="293"/>
      <c r="X107" s="293"/>
      <c r="Y107" s="29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c r="BN107" s="293"/>
      <c r="BO107" s="293"/>
      <c r="BP107" s="293"/>
      <c r="BQ107" s="293"/>
      <c r="BR107" s="293"/>
      <c r="BS107" s="293"/>
      <c r="BT107" s="293"/>
      <c r="BU107" s="293"/>
      <c r="BV107" s="293"/>
      <c r="BW107" s="293"/>
      <c r="BX107" s="293"/>
      <c r="BY107" s="293"/>
      <c r="BZ107" s="293"/>
      <c r="CA107" s="293"/>
      <c r="CB107" s="293"/>
      <c r="CC107" s="293"/>
      <c r="CD107" s="293"/>
      <c r="CE107" s="294">
        <v>0</v>
      </c>
      <c r="CF107" s="293">
        <v>0</v>
      </c>
      <c r="CG107" s="293">
        <v>0</v>
      </c>
      <c r="CH107" s="293">
        <v>0.19286402999999999</v>
      </c>
      <c r="CI107" s="293">
        <v>0</v>
      </c>
      <c r="CJ107" s="293">
        <v>0.19286402999999999</v>
      </c>
      <c r="CK107" s="293">
        <v>0</v>
      </c>
      <c r="CL107" s="293">
        <v>0</v>
      </c>
      <c r="CM107" s="293">
        <v>0.19286402999999999</v>
      </c>
      <c r="CN107" s="293">
        <v>0</v>
      </c>
      <c r="CO107" s="293">
        <v>0</v>
      </c>
      <c r="CP107" s="295">
        <v>0.19286398399999999</v>
      </c>
      <c r="CQ107" s="293">
        <v>0</v>
      </c>
      <c r="CR107" s="293">
        <v>0</v>
      </c>
      <c r="CS107" s="293">
        <v>0.193</v>
      </c>
      <c r="CT107" s="293">
        <v>0</v>
      </c>
      <c r="CU107" s="293">
        <v>0</v>
      </c>
      <c r="CV107" s="293">
        <v>0</v>
      </c>
      <c r="CW107" s="293">
        <v>0</v>
      </c>
      <c r="CX107" s="293">
        <v>0</v>
      </c>
      <c r="CY107" s="293">
        <v>0.19286407999999999</v>
      </c>
      <c r="CZ107" s="293">
        <v>0</v>
      </c>
      <c r="DA107" s="293">
        <v>0</v>
      </c>
      <c r="DB107" s="1288">
        <v>0.19286407</v>
      </c>
      <c r="DC107" s="293">
        <v>0</v>
      </c>
      <c r="DD107" s="293">
        <v>0</v>
      </c>
      <c r="DE107" s="293">
        <v>0.19286417</v>
      </c>
      <c r="DF107" s="293">
        <v>0</v>
      </c>
      <c r="DG107" s="293">
        <v>0</v>
      </c>
      <c r="DH107" s="293">
        <v>0.19286398499999999</v>
      </c>
      <c r="DI107" s="293">
        <v>0</v>
      </c>
      <c r="DJ107" s="293">
        <v>0</v>
      </c>
      <c r="DK107" s="293">
        <v>0.19035553</v>
      </c>
      <c r="DL107" s="293">
        <v>0</v>
      </c>
      <c r="DM107" s="293">
        <v>0</v>
      </c>
      <c r="DN107" s="295">
        <v>0.19035553</v>
      </c>
      <c r="DO107" s="293">
        <v>0</v>
      </c>
      <c r="DP107" s="293">
        <v>0</v>
      </c>
      <c r="DQ107" s="293">
        <v>0.19035553</v>
      </c>
      <c r="DR107" s="293">
        <v>0</v>
      </c>
      <c r="DS107" s="293">
        <v>0</v>
      </c>
      <c r="DT107" s="293">
        <v>0.187628717</v>
      </c>
      <c r="DU107" s="293">
        <v>0</v>
      </c>
      <c r="DV107" s="293">
        <v>0</v>
      </c>
      <c r="DW107" s="293">
        <v>0.187628717</v>
      </c>
      <c r="DX107" s="293">
        <v>0</v>
      </c>
      <c r="DY107" s="293">
        <v>0</v>
      </c>
      <c r="DZ107" s="295">
        <v>0.187628717</v>
      </c>
      <c r="EA107" s="293">
        <v>0</v>
      </c>
      <c r="EB107" s="293">
        <v>0</v>
      </c>
      <c r="EC107" s="293">
        <v>0.187628717</v>
      </c>
      <c r="ED107" s="293">
        <v>0</v>
      </c>
      <c r="EE107" s="293">
        <v>0</v>
      </c>
      <c r="EF107" s="293">
        <v>0.18762871724999999</v>
      </c>
      <c r="EG107" s="293">
        <v>0</v>
      </c>
      <c r="EH107" s="293">
        <v>0</v>
      </c>
      <c r="EI107" s="293">
        <v>0.18661270599999999</v>
      </c>
      <c r="EJ107" s="293">
        <v>0</v>
      </c>
      <c r="EK107" s="293">
        <v>0</v>
      </c>
      <c r="EL107" s="295">
        <v>0.18661270599999999</v>
      </c>
      <c r="EM107" s="1080"/>
      <c r="EN107" s="1080"/>
      <c r="EO107" s="1080"/>
      <c r="EP107" s="1080"/>
      <c r="EQ107" s="1080"/>
      <c r="ER107" s="1080"/>
      <c r="ES107" s="1080"/>
      <c r="ET107" s="1080"/>
      <c r="EU107" s="1080"/>
      <c r="EV107" s="1080"/>
      <c r="EW107" s="1080"/>
      <c r="EX107" s="1340"/>
      <c r="EY107" s="1080"/>
      <c r="EZ107" s="1080"/>
      <c r="FA107" s="1080"/>
      <c r="FB107" s="1080"/>
      <c r="FC107" s="1080"/>
      <c r="FD107" s="1080"/>
      <c r="FE107" s="1080"/>
      <c r="FF107" s="1080"/>
      <c r="FG107" s="1080"/>
      <c r="FH107" s="1080"/>
      <c r="FI107" s="1080"/>
      <c r="FJ107" s="1340"/>
      <c r="FK107" s="1080"/>
      <c r="FL107" s="1080"/>
      <c r="FM107" s="1080"/>
      <c r="FN107" s="1080"/>
      <c r="FO107" s="1080"/>
      <c r="FP107" s="1080"/>
      <c r="FQ107" s="293"/>
      <c r="FR107" s="293"/>
      <c r="FS107" s="293"/>
      <c r="FT107" s="293"/>
      <c r="FU107" s="293"/>
      <c r="FV107" s="293"/>
      <c r="FW107" s="293"/>
      <c r="FX107" s="293"/>
      <c r="FY107" s="293"/>
      <c r="FZ107" s="293"/>
      <c r="GA107" s="293"/>
      <c r="GB107" s="293"/>
      <c r="GC107" s="293"/>
      <c r="GD107" s="293"/>
      <c r="GE107" s="293"/>
      <c r="GF107" s="293"/>
      <c r="GG107" s="293"/>
      <c r="GH107" s="293"/>
      <c r="GI107" s="293"/>
      <c r="GJ107" s="293"/>
      <c r="GK107" s="293"/>
      <c r="GL107" s="293"/>
      <c r="GM107" s="293"/>
      <c r="GN107" s="293"/>
      <c r="GO107" s="293"/>
      <c r="GP107" s="293"/>
      <c r="GQ107" s="293"/>
      <c r="GR107" s="293"/>
      <c r="GS107" s="293"/>
      <c r="GT107" s="293"/>
      <c r="GU107" s="293"/>
      <c r="GV107" s="293"/>
      <c r="GW107" s="293"/>
      <c r="GX107" s="293"/>
      <c r="GY107" s="293"/>
      <c r="GZ107" s="293"/>
      <c r="HA107" s="293"/>
      <c r="HB107" s="293"/>
      <c r="HC107" s="293"/>
      <c r="HD107" s="293"/>
      <c r="HE107" s="293"/>
      <c r="HF107" s="293"/>
      <c r="HG107" s="293"/>
      <c r="HH107" s="293"/>
      <c r="HI107" s="293"/>
      <c r="HJ107" s="293"/>
      <c r="HK107" s="293"/>
      <c r="HL107" s="293"/>
      <c r="HM107" s="293"/>
      <c r="HN107" s="293"/>
      <c r="HO107" s="293"/>
      <c r="HP107" s="293"/>
      <c r="HQ107" s="293"/>
      <c r="HR107" s="293"/>
      <c r="HS107" s="293"/>
      <c r="HT107" s="293"/>
      <c r="HU107" s="293"/>
      <c r="HV107" s="293"/>
      <c r="HW107" s="293"/>
      <c r="HX107" s="293"/>
      <c r="HY107" s="293"/>
      <c r="IH107" s="279">
        <f t="shared" si="17"/>
        <v>0.38572815500000002</v>
      </c>
      <c r="II107" s="279">
        <f t="shared" si="18"/>
        <v>0.38071105999999999</v>
      </c>
      <c r="IJ107" s="279">
        <f t="shared" si="19"/>
        <v>0.76643921500000001</v>
      </c>
      <c r="IK107" s="279">
        <f t="shared" si="20"/>
        <v>0.377984247</v>
      </c>
      <c r="KT107" s="280"/>
    </row>
    <row r="108" spans="1:306" outlineLevel="1">
      <c r="B108" s="96" t="s">
        <v>338</v>
      </c>
      <c r="D108" s="300" t="s">
        <v>373</v>
      </c>
      <c r="E108" s="293"/>
      <c r="F108" s="293"/>
      <c r="G108" s="293"/>
      <c r="H108" s="293"/>
      <c r="I108" s="293"/>
      <c r="J108" s="293"/>
      <c r="K108" s="293"/>
      <c r="L108" s="293"/>
      <c r="M108" s="293"/>
      <c r="N108" s="293"/>
      <c r="O108" s="293"/>
      <c r="P108" s="293"/>
      <c r="Q108" s="293"/>
      <c r="R108" s="293"/>
      <c r="S108" s="293"/>
      <c r="T108" s="293"/>
      <c r="U108" s="293"/>
      <c r="V108" s="293"/>
      <c r="W108" s="293"/>
      <c r="X108" s="293"/>
      <c r="Y108" s="29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c r="BN108" s="293"/>
      <c r="BO108" s="293"/>
      <c r="BP108" s="293"/>
      <c r="BQ108" s="293"/>
      <c r="BR108" s="293"/>
      <c r="BS108" s="293"/>
      <c r="BT108" s="293"/>
      <c r="BU108" s="293"/>
      <c r="BV108" s="293"/>
      <c r="BW108" s="293"/>
      <c r="BX108" s="293"/>
      <c r="BY108" s="293"/>
      <c r="BZ108" s="293"/>
      <c r="CA108" s="293"/>
      <c r="CB108" s="293"/>
      <c r="CC108" s="293"/>
      <c r="CD108" s="293"/>
      <c r="CE108" s="294">
        <v>0</v>
      </c>
      <c r="CF108" s="293">
        <v>0.99375000000000002</v>
      </c>
      <c r="CG108" s="293">
        <v>0</v>
      </c>
      <c r="CH108" s="293">
        <v>0</v>
      </c>
      <c r="CI108" s="293">
        <v>0.94522044599999999</v>
      </c>
      <c r="CJ108" s="293">
        <v>0</v>
      </c>
      <c r="CK108" s="293">
        <v>0.26622048199999998</v>
      </c>
      <c r="CL108" s="293">
        <v>0</v>
      </c>
      <c r="CM108" s="293">
        <v>0.80148500499999997</v>
      </c>
      <c r="CN108" s="293">
        <v>0.25442148599999997</v>
      </c>
      <c r="CO108" s="293">
        <v>0</v>
      </c>
      <c r="CP108" s="295">
        <v>0.75</v>
      </c>
      <c r="CQ108" s="293">
        <v>0.2424750032156216</v>
      </c>
      <c r="CR108" s="293">
        <v>0.75</v>
      </c>
      <c r="CS108" s="293">
        <v>0</v>
      </c>
      <c r="CT108" s="293">
        <v>0.23037918900000001</v>
      </c>
      <c r="CU108" s="293">
        <v>0.75</v>
      </c>
      <c r="CV108" s="293">
        <v>0</v>
      </c>
      <c r="CW108" s="293">
        <v>0.21813217763615109</v>
      </c>
      <c r="CX108" s="293">
        <v>0</v>
      </c>
      <c r="CY108" s="293">
        <v>0.63749999999999996</v>
      </c>
      <c r="CZ108" s="293">
        <v>0.20573207836387578</v>
      </c>
      <c r="DA108" s="293">
        <v>0</v>
      </c>
      <c r="DB108" s="1288">
        <v>0.63749999999999996</v>
      </c>
      <c r="DC108" s="293">
        <v>0.19317697785069704</v>
      </c>
      <c r="DD108" s="293">
        <v>0.63749999999999996</v>
      </c>
      <c r="DE108" s="293">
        <v>0</v>
      </c>
      <c r="DF108" s="293">
        <v>0.18046493858110402</v>
      </c>
      <c r="DG108" s="293">
        <v>0.63749999999999996</v>
      </c>
      <c r="DH108" s="293">
        <v>0</v>
      </c>
      <c r="DI108" s="293">
        <v>0.16759399899999999</v>
      </c>
      <c r="DJ108" s="293">
        <v>0</v>
      </c>
      <c r="DK108" s="293">
        <v>0.19035553</v>
      </c>
      <c r="DL108" s="293">
        <v>0.15456217231317093</v>
      </c>
      <c r="DM108" s="293">
        <v>0</v>
      </c>
      <c r="DN108" s="295">
        <v>0.50624999999999998</v>
      </c>
      <c r="DO108" s="293">
        <v>0.14136744797435799</v>
      </c>
      <c r="DP108" s="293">
        <v>0.76957410199999998</v>
      </c>
      <c r="DQ108" s="293">
        <v>6.8270125000000001E-2</v>
      </c>
      <c r="DR108" s="293">
        <v>0.18802548558131102</v>
      </c>
      <c r="DS108" s="293">
        <v>0</v>
      </c>
      <c r="DT108" s="293">
        <v>0.55793641000000005</v>
      </c>
      <c r="DU108" s="293">
        <v>0.15775664945834986</v>
      </c>
      <c r="DV108" s="293">
        <v>3.4784245999999998E-2</v>
      </c>
      <c r="DW108" s="293">
        <v>2.6211841E-2</v>
      </c>
      <c r="DX108" s="293">
        <v>0.11834291915885203</v>
      </c>
      <c r="DY108" s="293">
        <v>0</v>
      </c>
      <c r="DZ108" s="295">
        <v>8.8205039999999998E-3</v>
      </c>
      <c r="EA108" s="293">
        <v>8.6918464143110483E-2</v>
      </c>
      <c r="EB108" s="293">
        <v>0.35625000000000001</v>
      </c>
      <c r="EC108" s="293">
        <v>0</v>
      </c>
      <c r="ED108" s="293">
        <v>7.2878192999999994E-2</v>
      </c>
      <c r="EE108" s="293">
        <v>0.35625000000000001</v>
      </c>
      <c r="EF108" s="293">
        <v>0</v>
      </c>
      <c r="EG108" s="293">
        <v>5.8662419E-2</v>
      </c>
      <c r="EH108" s="293">
        <v>0</v>
      </c>
      <c r="EI108" s="293">
        <v>0.1875</v>
      </c>
      <c r="EJ108" s="293">
        <v>4.4268948000000002E-2</v>
      </c>
      <c r="EK108" s="293">
        <v>0</v>
      </c>
      <c r="EL108" s="295">
        <v>0.1875</v>
      </c>
      <c r="EM108" s="1080"/>
      <c r="EN108" s="1080"/>
      <c r="EO108" s="1080"/>
      <c r="EP108" s="1080"/>
      <c r="EQ108" s="1080"/>
      <c r="ER108" s="1080"/>
      <c r="ES108" s="1080"/>
      <c r="ET108" s="1080"/>
      <c r="EU108" s="1080"/>
      <c r="EV108" s="1080"/>
      <c r="EW108" s="1080"/>
      <c r="EX108" s="1340"/>
      <c r="EY108" s="1080"/>
      <c r="EZ108" s="1080"/>
      <c r="FA108" s="1080"/>
      <c r="FB108" s="1080"/>
      <c r="FC108" s="1080"/>
      <c r="FD108" s="1080"/>
      <c r="FE108" s="1080"/>
      <c r="FF108" s="1080"/>
      <c r="FG108" s="1080"/>
      <c r="FH108" s="1080"/>
      <c r="FI108" s="1080"/>
      <c r="FJ108" s="1340"/>
      <c r="FK108" s="1080"/>
      <c r="FL108" s="1080"/>
      <c r="FM108" s="1080"/>
      <c r="FN108" s="1080"/>
      <c r="FO108" s="1080"/>
      <c r="FP108" s="1080"/>
      <c r="FQ108" s="293"/>
      <c r="FR108" s="293"/>
      <c r="FS108" s="293"/>
      <c r="FT108" s="293"/>
      <c r="FU108" s="293"/>
      <c r="FV108" s="293"/>
      <c r="FW108" s="293"/>
      <c r="FX108" s="293"/>
      <c r="FY108" s="293"/>
      <c r="FZ108" s="293"/>
      <c r="GA108" s="293"/>
      <c r="GB108" s="293"/>
      <c r="GC108" s="293"/>
      <c r="GD108" s="293"/>
      <c r="GE108" s="293"/>
      <c r="GF108" s="293"/>
      <c r="GG108" s="293"/>
      <c r="GH108" s="293"/>
      <c r="GI108" s="293"/>
      <c r="GJ108" s="293"/>
      <c r="GK108" s="293"/>
      <c r="GL108" s="293"/>
      <c r="GM108" s="293"/>
      <c r="GN108" s="293"/>
      <c r="GO108" s="293"/>
      <c r="GP108" s="293"/>
      <c r="GQ108" s="293"/>
      <c r="GR108" s="293"/>
      <c r="GS108" s="293"/>
      <c r="GT108" s="293"/>
      <c r="GU108" s="293"/>
      <c r="GV108" s="293"/>
      <c r="GW108" s="293"/>
      <c r="GX108" s="293"/>
      <c r="GY108" s="293"/>
      <c r="GZ108" s="293"/>
      <c r="HA108" s="293"/>
      <c r="HB108" s="293"/>
      <c r="HC108" s="293"/>
      <c r="HD108" s="293"/>
      <c r="HE108" s="293"/>
      <c r="HF108" s="293"/>
      <c r="HG108" s="293"/>
      <c r="HH108" s="293"/>
      <c r="HI108" s="293"/>
      <c r="HJ108" s="293"/>
      <c r="HK108" s="293"/>
      <c r="HL108" s="293"/>
      <c r="HM108" s="293"/>
      <c r="HN108" s="293"/>
      <c r="HO108" s="293"/>
      <c r="HP108" s="293"/>
      <c r="HQ108" s="293"/>
      <c r="HR108" s="293"/>
      <c r="HS108" s="293"/>
      <c r="HT108" s="293"/>
      <c r="HU108" s="293"/>
      <c r="HV108" s="293"/>
      <c r="HW108" s="293"/>
      <c r="HX108" s="293"/>
      <c r="HY108" s="293"/>
      <c r="IH108" s="279">
        <f t="shared" si="17"/>
        <v>1.6486419164318009</v>
      </c>
      <c r="II108" s="279">
        <f t="shared" si="18"/>
        <v>1.0187617013131709</v>
      </c>
      <c r="IJ108" s="279">
        <f t="shared" si="19"/>
        <v>2.6674036177449718</v>
      </c>
      <c r="IK108" s="279">
        <f t="shared" si="20"/>
        <v>1.7251735705556688</v>
      </c>
      <c r="KT108" s="280"/>
    </row>
    <row r="109" spans="1:306" outlineLevel="1">
      <c r="B109" s="96" t="s">
        <v>338</v>
      </c>
      <c r="D109" s="301" t="s">
        <v>374</v>
      </c>
      <c r="E109" s="293"/>
      <c r="F109" s="293"/>
      <c r="G109" s="293"/>
      <c r="H109" s="293"/>
      <c r="I109" s="293"/>
      <c r="J109" s="293"/>
      <c r="K109" s="293"/>
      <c r="L109" s="293"/>
      <c r="M109" s="293"/>
      <c r="N109" s="293"/>
      <c r="O109" s="293"/>
      <c r="P109" s="293"/>
      <c r="Q109" s="293"/>
      <c r="R109" s="293"/>
      <c r="S109" s="293"/>
      <c r="T109" s="293"/>
      <c r="U109" s="293"/>
      <c r="V109" s="293"/>
      <c r="W109" s="293"/>
      <c r="X109" s="293"/>
      <c r="Y109" s="29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c r="BN109" s="293"/>
      <c r="BO109" s="293"/>
      <c r="BP109" s="293"/>
      <c r="BQ109" s="293"/>
      <c r="BR109" s="293"/>
      <c r="BS109" s="293"/>
      <c r="BT109" s="293"/>
      <c r="BU109" s="293"/>
      <c r="BV109" s="293"/>
      <c r="BW109" s="293"/>
      <c r="BX109" s="293"/>
      <c r="BY109" s="293"/>
      <c r="BZ109" s="293"/>
      <c r="CA109" s="293"/>
      <c r="CB109" s="293"/>
      <c r="CC109" s="293"/>
      <c r="CD109" s="293"/>
      <c r="CE109" s="294">
        <v>0</v>
      </c>
      <c r="CF109" s="293">
        <v>0</v>
      </c>
      <c r="CG109" s="293">
        <v>0</v>
      </c>
      <c r="CH109" s="293">
        <v>0</v>
      </c>
      <c r="CI109" s="293">
        <v>0</v>
      </c>
      <c r="CJ109" s="293">
        <v>0</v>
      </c>
      <c r="CK109" s="293">
        <v>0</v>
      </c>
      <c r="CL109" s="293">
        <v>0</v>
      </c>
      <c r="CM109" s="293">
        <v>0</v>
      </c>
      <c r="CN109" s="293">
        <v>0</v>
      </c>
      <c r="CO109" s="293">
        <v>0</v>
      </c>
      <c r="CP109" s="295">
        <v>0</v>
      </c>
      <c r="CQ109" s="293">
        <v>0</v>
      </c>
      <c r="CR109" s="293">
        <v>0.75</v>
      </c>
      <c r="CS109" s="293">
        <v>0</v>
      </c>
      <c r="CT109" s="293">
        <v>0</v>
      </c>
      <c r="CU109" s="293">
        <v>0.75</v>
      </c>
      <c r="CV109" s="293">
        <v>0</v>
      </c>
      <c r="CW109" s="293">
        <v>0</v>
      </c>
      <c r="CX109" s="293">
        <v>0</v>
      </c>
      <c r="CY109" s="293">
        <v>0.63749999999999996</v>
      </c>
      <c r="CZ109" s="293">
        <v>0</v>
      </c>
      <c r="DA109" s="293">
        <v>0</v>
      </c>
      <c r="DB109" s="1288">
        <v>0.63749999999999996</v>
      </c>
      <c r="DC109" s="293">
        <v>0</v>
      </c>
      <c r="DD109" s="293">
        <v>0.63749999999999996</v>
      </c>
      <c r="DE109" s="293">
        <v>0</v>
      </c>
      <c r="DF109" s="293">
        <v>0</v>
      </c>
      <c r="DG109" s="293">
        <v>0.63749999999999996</v>
      </c>
      <c r="DH109" s="293">
        <v>0</v>
      </c>
      <c r="DI109" s="293">
        <v>0</v>
      </c>
      <c r="DJ109" s="293">
        <v>0</v>
      </c>
      <c r="DK109" s="293">
        <v>0.19035553</v>
      </c>
      <c r="DL109" s="293">
        <v>0</v>
      </c>
      <c r="DM109" s="293">
        <v>0</v>
      </c>
      <c r="DN109" s="295">
        <v>0.50624999999999998</v>
      </c>
      <c r="DO109" s="293">
        <v>0</v>
      </c>
      <c r="DP109" s="293">
        <v>0.76957410199999998</v>
      </c>
      <c r="DQ109" s="293">
        <v>6.8270125000000001E-2</v>
      </c>
      <c r="DR109" s="293">
        <v>6.0017696000000002E-2</v>
      </c>
      <c r="DS109" s="293">
        <v>0</v>
      </c>
      <c r="DT109" s="293">
        <v>0.55793641000000005</v>
      </c>
      <c r="DU109" s="293">
        <v>4.3275514000000001E-2</v>
      </c>
      <c r="DV109" s="293">
        <v>3.4784245999999998E-2</v>
      </c>
      <c r="DW109" s="293">
        <v>2.6211841E-2</v>
      </c>
      <c r="DX109" s="293">
        <v>1.7557521E-2</v>
      </c>
      <c r="DY109" s="293">
        <v>0</v>
      </c>
      <c r="DZ109" s="295">
        <v>8.8205039999999998E-3</v>
      </c>
      <c r="EA109" s="293">
        <v>0</v>
      </c>
      <c r="EB109" s="293">
        <v>0.35625000000000001</v>
      </c>
      <c r="EC109" s="293">
        <v>0</v>
      </c>
      <c r="ED109" s="293">
        <v>0</v>
      </c>
      <c r="EE109" s="293">
        <v>0.35625000000000001</v>
      </c>
      <c r="EF109" s="293">
        <v>0</v>
      </c>
      <c r="EG109" s="293">
        <v>0</v>
      </c>
      <c r="EH109" s="293">
        <v>0</v>
      </c>
      <c r="EI109" s="293">
        <v>0.1875</v>
      </c>
      <c r="EJ109" s="293">
        <v>0</v>
      </c>
      <c r="EK109" s="293">
        <v>0</v>
      </c>
      <c r="EL109" s="295">
        <v>0.1875</v>
      </c>
      <c r="EM109" s="1080"/>
      <c r="EN109" s="1080"/>
      <c r="EO109" s="1080"/>
      <c r="EP109" s="1080"/>
      <c r="EQ109" s="1080"/>
      <c r="ER109" s="1080"/>
      <c r="ES109" s="1080"/>
      <c r="ET109" s="1080"/>
      <c r="EU109" s="1080"/>
      <c r="EV109" s="1080"/>
      <c r="EW109" s="1080"/>
      <c r="EX109" s="1340"/>
      <c r="EY109" s="1080"/>
      <c r="EZ109" s="1080"/>
      <c r="FA109" s="1080"/>
      <c r="FB109" s="1080"/>
      <c r="FC109" s="1080"/>
      <c r="FD109" s="1080"/>
      <c r="FE109" s="1080"/>
      <c r="FF109" s="1080"/>
      <c r="FG109" s="1080"/>
      <c r="FH109" s="1080"/>
      <c r="FI109" s="1080"/>
      <c r="FJ109" s="1340"/>
      <c r="FK109" s="1080"/>
      <c r="FL109" s="1080"/>
      <c r="FM109" s="1080"/>
      <c r="FN109" s="1080"/>
      <c r="FO109" s="1080"/>
      <c r="FP109" s="1080"/>
      <c r="FQ109" s="293"/>
      <c r="FR109" s="293"/>
      <c r="FS109" s="293"/>
      <c r="FT109" s="293"/>
      <c r="FU109" s="293"/>
      <c r="FV109" s="293"/>
      <c r="FW109" s="293"/>
      <c r="FX109" s="293"/>
      <c r="FY109" s="293"/>
      <c r="FZ109" s="293"/>
      <c r="GA109" s="293"/>
      <c r="GB109" s="293"/>
      <c r="GC109" s="293"/>
      <c r="GD109" s="293"/>
      <c r="GE109" s="293"/>
      <c r="GF109" s="293"/>
      <c r="GG109" s="293"/>
      <c r="GH109" s="293"/>
      <c r="GI109" s="293"/>
      <c r="GJ109" s="293"/>
      <c r="GK109" s="293"/>
      <c r="GL109" s="293"/>
      <c r="GM109" s="293"/>
      <c r="GN109" s="293"/>
      <c r="GO109" s="293"/>
      <c r="GP109" s="293"/>
      <c r="GQ109" s="293"/>
      <c r="GR109" s="293"/>
      <c r="GS109" s="293"/>
      <c r="GT109" s="293"/>
      <c r="GU109" s="293"/>
      <c r="GV109" s="293"/>
      <c r="GW109" s="293"/>
      <c r="GX109" s="293"/>
      <c r="GY109" s="293"/>
      <c r="GZ109" s="293"/>
      <c r="HA109" s="293"/>
      <c r="HB109" s="293"/>
      <c r="HC109" s="293"/>
      <c r="HD109" s="293"/>
      <c r="HE109" s="293"/>
      <c r="HF109" s="293"/>
      <c r="HG109" s="293"/>
      <c r="HH109" s="293"/>
      <c r="HI109" s="293"/>
      <c r="HJ109" s="293"/>
      <c r="HK109" s="293"/>
      <c r="HL109" s="293"/>
      <c r="HM109" s="293"/>
      <c r="HN109" s="293"/>
      <c r="HO109" s="293"/>
      <c r="HP109" s="293"/>
      <c r="HQ109" s="293"/>
      <c r="HR109" s="293"/>
      <c r="HS109" s="293"/>
      <c r="HT109" s="293"/>
      <c r="HU109" s="293"/>
      <c r="HV109" s="293"/>
      <c r="HW109" s="293"/>
      <c r="HX109" s="293"/>
      <c r="HY109" s="293"/>
      <c r="IH109" s="279">
        <f t="shared" si="17"/>
        <v>1.2749999999999999</v>
      </c>
      <c r="II109" s="279">
        <f t="shared" si="18"/>
        <v>0.69660553000000003</v>
      </c>
      <c r="IJ109" s="279">
        <f t="shared" si="19"/>
        <v>1.9716055299999999</v>
      </c>
      <c r="IK109" s="279">
        <f t="shared" si="20"/>
        <v>1.4557983329999999</v>
      </c>
      <c r="KT109" s="280"/>
    </row>
    <row r="110" spans="1:306" outlineLevel="1">
      <c r="B110" s="96" t="s">
        <v>338</v>
      </c>
      <c r="D110" s="301" t="s">
        <v>375</v>
      </c>
      <c r="E110" s="293"/>
      <c r="F110" s="293"/>
      <c r="G110" s="293"/>
      <c r="H110" s="293"/>
      <c r="I110" s="293"/>
      <c r="J110" s="293"/>
      <c r="K110" s="293"/>
      <c r="L110" s="293"/>
      <c r="M110" s="293"/>
      <c r="N110" s="293"/>
      <c r="O110" s="293"/>
      <c r="P110" s="293"/>
      <c r="Q110" s="293"/>
      <c r="R110" s="293"/>
      <c r="S110" s="293"/>
      <c r="T110" s="293"/>
      <c r="U110" s="293"/>
      <c r="V110" s="293"/>
      <c r="W110" s="293"/>
      <c r="X110" s="293"/>
      <c r="Y110" s="29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c r="BN110" s="293"/>
      <c r="BO110" s="293"/>
      <c r="BP110" s="293"/>
      <c r="BQ110" s="293"/>
      <c r="BR110" s="293"/>
      <c r="BS110" s="293"/>
      <c r="BT110" s="293"/>
      <c r="BU110" s="293"/>
      <c r="BV110" s="293"/>
      <c r="BW110" s="293"/>
      <c r="BX110" s="293"/>
      <c r="BY110" s="293"/>
      <c r="BZ110" s="293"/>
      <c r="CA110" s="293"/>
      <c r="CB110" s="293"/>
      <c r="CC110" s="293"/>
      <c r="CD110" s="293"/>
      <c r="CE110" s="294">
        <v>0</v>
      </c>
      <c r="CF110" s="293">
        <v>0</v>
      </c>
      <c r="CG110" s="293">
        <v>0</v>
      </c>
      <c r="CH110" s="293">
        <v>0</v>
      </c>
      <c r="CI110" s="293">
        <v>0</v>
      </c>
      <c r="CJ110" s="293">
        <v>0</v>
      </c>
      <c r="CK110" s="293">
        <v>0</v>
      </c>
      <c r="CL110" s="293">
        <v>0</v>
      </c>
      <c r="CM110" s="293">
        <v>0</v>
      </c>
      <c r="CN110" s="293">
        <v>0</v>
      </c>
      <c r="CO110" s="293">
        <v>0</v>
      </c>
      <c r="CP110" s="295">
        <v>0</v>
      </c>
      <c r="CQ110" s="293">
        <v>0.2424750032156216</v>
      </c>
      <c r="CR110" s="293">
        <v>0</v>
      </c>
      <c r="CS110" s="293">
        <v>0</v>
      </c>
      <c r="CT110" s="293">
        <v>0.23037918900000001</v>
      </c>
      <c r="CU110" s="293">
        <v>0</v>
      </c>
      <c r="CV110" s="293">
        <v>0</v>
      </c>
      <c r="CW110" s="293">
        <v>0.21813217763615109</v>
      </c>
      <c r="CX110" s="293">
        <v>0</v>
      </c>
      <c r="CY110" s="293">
        <v>0</v>
      </c>
      <c r="CZ110" s="293">
        <v>0.20573207836387578</v>
      </c>
      <c r="DA110" s="293">
        <v>0</v>
      </c>
      <c r="DB110" s="1288">
        <v>0</v>
      </c>
      <c r="DC110" s="293">
        <v>0.19317697785069704</v>
      </c>
      <c r="DD110" s="293">
        <v>0</v>
      </c>
      <c r="DE110" s="293">
        <v>0</v>
      </c>
      <c r="DF110" s="293">
        <v>0.18046493858110402</v>
      </c>
      <c r="DG110" s="293">
        <v>0</v>
      </c>
      <c r="DH110" s="293">
        <v>0</v>
      </c>
      <c r="DI110" s="293">
        <v>0.16759399899999999</v>
      </c>
      <c r="DJ110" s="293">
        <v>0</v>
      </c>
      <c r="DK110" s="293">
        <v>0</v>
      </c>
      <c r="DL110" s="293">
        <v>0.15456217231317093</v>
      </c>
      <c r="DM110" s="293">
        <v>0</v>
      </c>
      <c r="DN110" s="295">
        <v>0</v>
      </c>
      <c r="DO110" s="293">
        <v>0.14136744797435799</v>
      </c>
      <c r="DP110" s="293">
        <v>0</v>
      </c>
      <c r="DQ110" s="293">
        <v>0</v>
      </c>
      <c r="DR110" s="293">
        <v>0.12800778958131101</v>
      </c>
      <c r="DS110" s="293">
        <v>0</v>
      </c>
      <c r="DT110" s="293">
        <v>0</v>
      </c>
      <c r="DU110" s="293">
        <v>0.11448113545834986</v>
      </c>
      <c r="DV110" s="293">
        <v>0</v>
      </c>
      <c r="DW110" s="293">
        <v>0</v>
      </c>
      <c r="DX110" s="293">
        <v>0.10078539815885204</v>
      </c>
      <c r="DY110" s="293">
        <v>0</v>
      </c>
      <c r="DZ110" s="295">
        <v>0</v>
      </c>
      <c r="EA110" s="293">
        <v>8.6918464143110483E-2</v>
      </c>
      <c r="EB110" s="293">
        <v>0</v>
      </c>
      <c r="EC110" s="293">
        <v>0</v>
      </c>
      <c r="ED110" s="293">
        <v>7.2878192999999994E-2</v>
      </c>
      <c r="EE110" s="293">
        <v>0</v>
      </c>
      <c r="EF110" s="293">
        <v>0</v>
      </c>
      <c r="EG110" s="293">
        <v>5.8662419E-2</v>
      </c>
      <c r="EH110" s="293">
        <v>0</v>
      </c>
      <c r="EI110" s="293">
        <v>0</v>
      </c>
      <c r="EJ110" s="293">
        <v>4.4268948000000002E-2</v>
      </c>
      <c r="EK110" s="293">
        <v>0</v>
      </c>
      <c r="EL110" s="295">
        <v>0</v>
      </c>
      <c r="EM110" s="1080"/>
      <c r="EN110" s="1080"/>
      <c r="EO110" s="1080"/>
      <c r="EP110" s="1080"/>
      <c r="EQ110" s="1080"/>
      <c r="ER110" s="1080"/>
      <c r="ES110" s="1080"/>
      <c r="ET110" s="1080"/>
      <c r="EU110" s="1080"/>
      <c r="EV110" s="1080"/>
      <c r="EW110" s="1080"/>
      <c r="EX110" s="1340"/>
      <c r="EY110" s="1080"/>
      <c r="EZ110" s="1080"/>
      <c r="FA110" s="1080"/>
      <c r="FB110" s="1080"/>
      <c r="FC110" s="1080"/>
      <c r="FD110" s="1080"/>
      <c r="FE110" s="1080"/>
      <c r="FF110" s="1080"/>
      <c r="FG110" s="1080"/>
      <c r="FH110" s="1080"/>
      <c r="FI110" s="1080"/>
      <c r="FJ110" s="1340"/>
      <c r="FK110" s="1080"/>
      <c r="FL110" s="1080"/>
      <c r="FM110" s="1080"/>
      <c r="FN110" s="1080"/>
      <c r="FO110" s="1080"/>
      <c r="FP110" s="1080"/>
      <c r="FQ110" s="293"/>
      <c r="FR110" s="293"/>
      <c r="FS110" s="293"/>
      <c r="FT110" s="293"/>
      <c r="FU110" s="293"/>
      <c r="FV110" s="293"/>
      <c r="FW110" s="293"/>
      <c r="FX110" s="293"/>
      <c r="FY110" s="293"/>
      <c r="FZ110" s="293"/>
      <c r="GA110" s="293"/>
      <c r="GB110" s="293"/>
      <c r="GC110" s="293"/>
      <c r="GD110" s="293"/>
      <c r="GE110" s="293"/>
      <c r="GF110" s="293"/>
      <c r="GG110" s="293"/>
      <c r="GH110" s="293"/>
      <c r="GI110" s="293"/>
      <c r="GJ110" s="293"/>
      <c r="GK110" s="293"/>
      <c r="GL110" s="293"/>
      <c r="GM110" s="293"/>
      <c r="GN110" s="293"/>
      <c r="GO110" s="293"/>
      <c r="GP110" s="293"/>
      <c r="GQ110" s="293"/>
      <c r="GR110" s="293"/>
      <c r="GS110" s="293"/>
      <c r="GT110" s="293"/>
      <c r="GU110" s="293"/>
      <c r="GV110" s="293"/>
      <c r="GW110" s="293"/>
      <c r="GX110" s="293"/>
      <c r="GY110" s="293"/>
      <c r="GZ110" s="293"/>
      <c r="HA110" s="293"/>
      <c r="HB110" s="293"/>
      <c r="HC110" s="293"/>
      <c r="HD110" s="293"/>
      <c r="HE110" s="293"/>
      <c r="HF110" s="293"/>
      <c r="HG110" s="293"/>
      <c r="HH110" s="293"/>
      <c r="HI110" s="293"/>
      <c r="HJ110" s="293"/>
      <c r="HK110" s="293"/>
      <c r="HL110" s="293"/>
      <c r="HM110" s="293"/>
      <c r="HN110" s="293"/>
      <c r="HO110" s="293"/>
      <c r="HP110" s="293"/>
      <c r="HQ110" s="293"/>
      <c r="HR110" s="293"/>
      <c r="HS110" s="293"/>
      <c r="HT110" s="293"/>
      <c r="HU110" s="293"/>
      <c r="HV110" s="293"/>
      <c r="HW110" s="293"/>
      <c r="HX110" s="293"/>
      <c r="HY110" s="293"/>
      <c r="IH110" s="279">
        <f t="shared" si="17"/>
        <v>0.37364191643180106</v>
      </c>
      <c r="II110" s="279">
        <f t="shared" si="18"/>
        <v>0.32215617131317092</v>
      </c>
      <c r="IJ110" s="279">
        <f t="shared" si="19"/>
        <v>0.69579808774497198</v>
      </c>
      <c r="IK110" s="279">
        <f t="shared" si="20"/>
        <v>0.269375237555669</v>
      </c>
      <c r="KT110" s="280"/>
    </row>
    <row r="111" spans="1:306" outlineLevel="1">
      <c r="B111" s="96" t="s">
        <v>338</v>
      </c>
      <c r="D111" s="296" t="s">
        <v>376</v>
      </c>
      <c r="E111" s="293"/>
      <c r="F111" s="293"/>
      <c r="G111" s="293"/>
      <c r="H111" s="293"/>
      <c r="I111" s="293"/>
      <c r="J111" s="293"/>
      <c r="K111" s="293"/>
      <c r="L111" s="293"/>
      <c r="M111" s="293"/>
      <c r="N111" s="293"/>
      <c r="O111" s="293"/>
      <c r="P111" s="293"/>
      <c r="Q111" s="293"/>
      <c r="R111" s="293"/>
      <c r="S111" s="293"/>
      <c r="T111" s="293"/>
      <c r="U111" s="293"/>
      <c r="V111" s="293"/>
      <c r="W111" s="293"/>
      <c r="X111" s="293"/>
      <c r="Y111" s="29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c r="BN111" s="293"/>
      <c r="BO111" s="293"/>
      <c r="BP111" s="293"/>
      <c r="BQ111" s="293"/>
      <c r="BR111" s="293"/>
      <c r="BS111" s="293"/>
      <c r="BT111" s="293"/>
      <c r="BU111" s="293"/>
      <c r="BV111" s="293"/>
      <c r="BW111" s="293"/>
      <c r="BX111" s="293"/>
      <c r="BY111" s="293"/>
      <c r="BZ111" s="293"/>
      <c r="CA111" s="293"/>
      <c r="CB111" s="293"/>
      <c r="CC111" s="293"/>
      <c r="CD111" s="293"/>
      <c r="CE111" s="294">
        <v>5.6079649000000002E-2</v>
      </c>
      <c r="CF111" s="293">
        <v>0</v>
      </c>
      <c r="CG111" s="293">
        <v>3.7540293000000002E-2</v>
      </c>
      <c r="CH111" s="293">
        <v>7.5752429999999997E-3</v>
      </c>
      <c r="CI111" s="293">
        <v>0</v>
      </c>
      <c r="CJ111" s="293">
        <v>0.10170099600000002</v>
      </c>
      <c r="CK111" s="293">
        <v>0</v>
      </c>
      <c r="CL111" s="293">
        <v>0</v>
      </c>
      <c r="CM111" s="293">
        <v>3.0032235000000001E-2</v>
      </c>
      <c r="CN111" s="293">
        <v>0</v>
      </c>
      <c r="CO111" s="293">
        <v>0</v>
      </c>
      <c r="CP111" s="295">
        <v>2.6278204999999999E-2</v>
      </c>
      <c r="CQ111" s="293">
        <v>0</v>
      </c>
      <c r="CR111" s="293">
        <v>0</v>
      </c>
      <c r="CS111" s="293">
        <v>2.2524175E-2</v>
      </c>
      <c r="CT111" s="293">
        <v>0</v>
      </c>
      <c r="CU111" s="293">
        <v>0</v>
      </c>
      <c r="CV111" s="293">
        <v>1.8770146000000001E-2</v>
      </c>
      <c r="CW111" s="293">
        <v>0</v>
      </c>
      <c r="CX111" s="293">
        <v>0</v>
      </c>
      <c r="CY111" s="293">
        <v>1.5016117000000001E-2</v>
      </c>
      <c r="CZ111" s="293">
        <v>0</v>
      </c>
      <c r="DA111" s="293">
        <v>0</v>
      </c>
      <c r="DB111" s="1288">
        <v>1.1262088E-2</v>
      </c>
      <c r="DC111" s="606">
        <v>0</v>
      </c>
      <c r="DD111" s="606">
        <v>0</v>
      </c>
      <c r="DE111" s="606">
        <v>7.5080584000000007E-3</v>
      </c>
      <c r="DF111" s="606">
        <v>0</v>
      </c>
      <c r="DG111" s="606">
        <v>0</v>
      </c>
      <c r="DH111" s="606">
        <v>4.7406781000000002E-2</v>
      </c>
      <c r="DI111" s="606">
        <v>0</v>
      </c>
      <c r="DJ111" s="606">
        <v>0</v>
      </c>
      <c r="DK111" s="606">
        <v>0</v>
      </c>
      <c r="DL111" s="606">
        <v>0</v>
      </c>
      <c r="DM111" s="606">
        <v>0</v>
      </c>
      <c r="DN111" s="622">
        <v>0</v>
      </c>
      <c r="DO111" s="606">
        <v>0</v>
      </c>
      <c r="DP111" s="606">
        <v>0</v>
      </c>
      <c r="DQ111" s="606">
        <v>0</v>
      </c>
      <c r="DR111" s="606">
        <v>0</v>
      </c>
      <c r="DS111" s="606">
        <v>0</v>
      </c>
      <c r="DT111" s="606">
        <v>3.0140581999999999E-2</v>
      </c>
      <c r="DU111" s="606">
        <v>0</v>
      </c>
      <c r="DV111" s="606">
        <v>0</v>
      </c>
      <c r="DW111" s="606">
        <v>0</v>
      </c>
      <c r="DX111" s="606">
        <v>0</v>
      </c>
      <c r="DY111" s="606">
        <v>0</v>
      </c>
      <c r="DZ111" s="622">
        <v>0</v>
      </c>
      <c r="EA111" s="606">
        <v>0</v>
      </c>
      <c r="EB111" s="606">
        <v>0</v>
      </c>
      <c r="EC111" s="606">
        <v>0</v>
      </c>
      <c r="ED111" s="606">
        <v>0</v>
      </c>
      <c r="EE111" s="606">
        <v>0</v>
      </c>
      <c r="EF111" s="606">
        <v>1.5615001E-2</v>
      </c>
      <c r="EG111" s="606">
        <v>0</v>
      </c>
      <c r="EH111" s="606">
        <v>0</v>
      </c>
      <c r="EI111" s="606">
        <v>0</v>
      </c>
      <c r="EJ111" s="606">
        <v>0</v>
      </c>
      <c r="EK111" s="606">
        <v>0</v>
      </c>
      <c r="EL111" s="622">
        <v>0</v>
      </c>
      <c r="EM111" s="1083"/>
      <c r="EN111" s="1083"/>
      <c r="EO111" s="1083"/>
      <c r="EP111" s="1083"/>
      <c r="EQ111" s="1083"/>
      <c r="ER111" s="1083"/>
      <c r="ES111" s="1083"/>
      <c r="ET111" s="1083"/>
      <c r="EU111" s="1083"/>
      <c r="EV111" s="1083"/>
      <c r="EW111" s="1083"/>
      <c r="EX111" s="1329"/>
      <c r="EY111" s="1083"/>
      <c r="EZ111" s="1083"/>
      <c r="FA111" s="1083"/>
      <c r="FB111" s="1083"/>
      <c r="FC111" s="1083"/>
      <c r="FD111" s="1083"/>
      <c r="FE111" s="1083"/>
      <c r="FF111" s="1083"/>
      <c r="FG111" s="1083"/>
      <c r="FH111" s="1083"/>
      <c r="FI111" s="1083"/>
      <c r="FJ111" s="1329"/>
      <c r="FK111" s="1083"/>
      <c r="FL111" s="1083"/>
      <c r="FM111" s="1083"/>
      <c r="FN111" s="1083"/>
      <c r="FO111" s="1083"/>
      <c r="FP111" s="1083"/>
      <c r="FQ111" s="606"/>
      <c r="FR111" s="606"/>
      <c r="FS111" s="606"/>
      <c r="FT111" s="606"/>
      <c r="FU111" s="606"/>
      <c r="FV111" s="606"/>
      <c r="FW111" s="606"/>
      <c r="FX111" s="606"/>
      <c r="FY111" s="606"/>
      <c r="FZ111" s="606"/>
      <c r="GA111" s="606"/>
      <c r="GB111" s="606"/>
      <c r="GC111" s="606"/>
      <c r="GD111" s="606"/>
      <c r="GE111" s="606"/>
      <c r="GF111" s="606"/>
      <c r="GG111" s="606"/>
      <c r="GH111" s="606"/>
      <c r="GI111" s="606"/>
      <c r="GJ111" s="606"/>
      <c r="GK111" s="606"/>
      <c r="GL111" s="606"/>
      <c r="GM111" s="606"/>
      <c r="GN111" s="606"/>
      <c r="GO111" s="606"/>
      <c r="GP111" s="606"/>
      <c r="GQ111" s="606"/>
      <c r="GR111" s="606"/>
      <c r="GS111" s="606"/>
      <c r="GT111" s="606"/>
      <c r="GU111" s="606"/>
      <c r="GV111" s="606"/>
      <c r="GW111" s="606"/>
      <c r="GX111" s="606"/>
      <c r="GY111" s="606"/>
      <c r="GZ111" s="606"/>
      <c r="HA111" s="606"/>
      <c r="HB111" s="606"/>
      <c r="HC111" s="606"/>
      <c r="HD111" s="606"/>
      <c r="HE111" s="606"/>
      <c r="HF111" s="606"/>
      <c r="HG111" s="606"/>
      <c r="HH111" s="606"/>
      <c r="HI111" s="606"/>
      <c r="HJ111" s="606"/>
      <c r="HK111" s="606"/>
      <c r="HL111" s="606"/>
      <c r="HM111" s="606"/>
      <c r="HN111" s="606"/>
      <c r="HO111" s="606"/>
      <c r="HP111" s="606"/>
      <c r="HQ111" s="606"/>
      <c r="HR111" s="606"/>
      <c r="HS111" s="606"/>
      <c r="HT111" s="606"/>
      <c r="HU111" s="606"/>
      <c r="HV111" s="606"/>
      <c r="HW111" s="606"/>
      <c r="HX111" s="606"/>
      <c r="HY111" s="606"/>
      <c r="IH111" s="279">
        <f t="shared" si="17"/>
        <v>5.4914839400000005E-2</v>
      </c>
      <c r="II111" s="279">
        <f t="shared" si="18"/>
        <v>0</v>
      </c>
      <c r="IJ111" s="279">
        <f t="shared" si="19"/>
        <v>5.4914839400000005E-2</v>
      </c>
      <c r="IK111" s="279">
        <f t="shared" si="20"/>
        <v>3.0140581999999999E-2</v>
      </c>
      <c r="KT111" s="280"/>
    </row>
    <row r="112" spans="1:306" outlineLevel="1">
      <c r="B112" s="96" t="s">
        <v>338</v>
      </c>
      <c r="D112" s="300" t="s">
        <v>377</v>
      </c>
      <c r="E112" s="293"/>
      <c r="F112" s="293"/>
      <c r="G112" s="293"/>
      <c r="H112" s="293"/>
      <c r="I112" s="293"/>
      <c r="J112" s="293"/>
      <c r="K112" s="293"/>
      <c r="L112" s="293"/>
      <c r="M112" s="293"/>
      <c r="N112" s="293"/>
      <c r="O112" s="293"/>
      <c r="P112" s="293"/>
      <c r="Q112" s="293"/>
      <c r="R112" s="293"/>
      <c r="S112" s="293"/>
      <c r="T112" s="293"/>
      <c r="U112" s="293"/>
      <c r="V112" s="293"/>
      <c r="W112" s="293"/>
      <c r="X112" s="293"/>
      <c r="Y112" s="29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c r="BN112" s="293"/>
      <c r="BO112" s="293"/>
      <c r="BP112" s="293"/>
      <c r="BQ112" s="293"/>
      <c r="BR112" s="293"/>
      <c r="BS112" s="293"/>
      <c r="BT112" s="293"/>
      <c r="BU112" s="293"/>
      <c r="BV112" s="293"/>
      <c r="BW112" s="293"/>
      <c r="BX112" s="293"/>
      <c r="BY112" s="293"/>
      <c r="BZ112" s="293"/>
      <c r="CA112" s="293"/>
      <c r="CB112" s="293"/>
      <c r="CC112" s="293"/>
      <c r="CD112" s="293"/>
      <c r="CE112" s="294">
        <v>4.1294322000000001E-2</v>
      </c>
      <c r="CF112" s="293">
        <v>0</v>
      </c>
      <c r="CG112" s="293">
        <v>3.7540293000000002E-2</v>
      </c>
      <c r="CH112" s="293">
        <v>0</v>
      </c>
      <c r="CI112" s="293">
        <v>0</v>
      </c>
      <c r="CJ112" s="293">
        <v>3.3786264000000003E-2</v>
      </c>
      <c r="CK112" s="293">
        <v>0</v>
      </c>
      <c r="CL112" s="293">
        <v>0</v>
      </c>
      <c r="CM112" s="293">
        <v>3.0032235000000001E-2</v>
      </c>
      <c r="CN112" s="293">
        <v>0</v>
      </c>
      <c r="CO112" s="293">
        <v>0</v>
      </c>
      <c r="CP112" s="295">
        <v>2.6278204999999999E-2</v>
      </c>
      <c r="CQ112" s="293">
        <v>0</v>
      </c>
      <c r="CR112" s="293">
        <v>0</v>
      </c>
      <c r="CS112" s="293">
        <v>2.2524175E-2</v>
      </c>
      <c r="CT112" s="293">
        <v>0</v>
      </c>
      <c r="CU112" s="293">
        <v>0</v>
      </c>
      <c r="CV112" s="293">
        <v>1.8770146000000001E-2</v>
      </c>
      <c r="CW112" s="293">
        <v>0</v>
      </c>
      <c r="CX112" s="293">
        <v>0</v>
      </c>
      <c r="CY112" s="293">
        <v>1.5016117000000001E-2</v>
      </c>
      <c r="CZ112" s="293">
        <v>0</v>
      </c>
      <c r="DA112" s="293">
        <v>0</v>
      </c>
      <c r="DB112" s="1288">
        <v>1.1262088E-2</v>
      </c>
      <c r="DC112" s="293">
        <v>0</v>
      </c>
      <c r="DD112" s="293">
        <v>0</v>
      </c>
      <c r="DE112" s="293">
        <v>7.5080584000000007E-3</v>
      </c>
      <c r="DF112" s="293">
        <v>0</v>
      </c>
      <c r="DG112" s="293">
        <v>0</v>
      </c>
      <c r="DH112" s="293">
        <v>3.7540289999999999E-3</v>
      </c>
      <c r="DI112" s="293">
        <v>0</v>
      </c>
      <c r="DJ112" s="293">
        <v>0</v>
      </c>
      <c r="DK112" s="293">
        <v>0</v>
      </c>
      <c r="DL112" s="293">
        <v>0</v>
      </c>
      <c r="DM112" s="293">
        <v>0</v>
      </c>
      <c r="DN112" s="295">
        <v>0</v>
      </c>
      <c r="DO112" s="293">
        <v>0</v>
      </c>
      <c r="DP112" s="293">
        <v>0</v>
      </c>
      <c r="DQ112" s="293">
        <v>0</v>
      </c>
      <c r="DR112" s="293">
        <v>0</v>
      </c>
      <c r="DS112" s="293">
        <v>0</v>
      </c>
      <c r="DT112" s="293">
        <v>0</v>
      </c>
      <c r="DU112" s="293">
        <v>0</v>
      </c>
      <c r="DV112" s="293">
        <v>0</v>
      </c>
      <c r="DW112" s="293">
        <v>0</v>
      </c>
      <c r="DX112" s="293">
        <v>0</v>
      </c>
      <c r="DY112" s="293">
        <v>0</v>
      </c>
      <c r="DZ112" s="295">
        <v>0</v>
      </c>
      <c r="EA112" s="293">
        <v>0</v>
      </c>
      <c r="EB112" s="293">
        <v>0</v>
      </c>
      <c r="EC112" s="293">
        <v>0</v>
      </c>
      <c r="ED112" s="293">
        <v>0</v>
      </c>
      <c r="EE112" s="293">
        <v>0</v>
      </c>
      <c r="EF112" s="293">
        <v>1.5615001E-2</v>
      </c>
      <c r="EG112" s="293">
        <v>0</v>
      </c>
      <c r="EH112" s="293">
        <v>0</v>
      </c>
      <c r="EI112" s="293">
        <v>0</v>
      </c>
      <c r="EJ112" s="293">
        <v>0</v>
      </c>
      <c r="EK112" s="293">
        <v>0</v>
      </c>
      <c r="EL112" s="295">
        <v>0</v>
      </c>
      <c r="EM112" s="1080"/>
      <c r="EN112" s="1080"/>
      <c r="EO112" s="1080"/>
      <c r="EP112" s="1080"/>
      <c r="EQ112" s="1080"/>
      <c r="ER112" s="1080"/>
      <c r="ES112" s="1080"/>
      <c r="ET112" s="1080"/>
      <c r="EU112" s="1080"/>
      <c r="EV112" s="1080"/>
      <c r="EW112" s="1080"/>
      <c r="EX112" s="1340"/>
      <c r="EY112" s="1080"/>
      <c r="EZ112" s="1080"/>
      <c r="FA112" s="1080"/>
      <c r="FB112" s="1080"/>
      <c r="FC112" s="1080"/>
      <c r="FD112" s="1080"/>
      <c r="FE112" s="1080"/>
      <c r="FF112" s="1080"/>
      <c r="FG112" s="1080"/>
      <c r="FH112" s="1080"/>
      <c r="FI112" s="1080"/>
      <c r="FJ112" s="1340"/>
      <c r="FK112" s="1080"/>
      <c r="FL112" s="1080"/>
      <c r="FM112" s="1080"/>
      <c r="FN112" s="1080"/>
      <c r="FO112" s="1080"/>
      <c r="FP112" s="1080"/>
      <c r="FQ112" s="293"/>
      <c r="FR112" s="293"/>
      <c r="FS112" s="293"/>
      <c r="FT112" s="293"/>
      <c r="FU112" s="293"/>
      <c r="FV112" s="293"/>
      <c r="FW112" s="293"/>
      <c r="FX112" s="293"/>
      <c r="FY112" s="293"/>
      <c r="FZ112" s="293"/>
      <c r="GA112" s="293"/>
      <c r="GB112" s="293"/>
      <c r="GC112" s="293"/>
      <c r="GD112" s="293"/>
      <c r="GE112" s="293"/>
      <c r="GF112" s="293"/>
      <c r="GG112" s="293"/>
      <c r="GH112" s="293"/>
      <c r="GI112" s="293"/>
      <c r="GJ112" s="293"/>
      <c r="GK112" s="293"/>
      <c r="GL112" s="293"/>
      <c r="GM112" s="293"/>
      <c r="GN112" s="293"/>
      <c r="GO112" s="293"/>
      <c r="GP112" s="293"/>
      <c r="GQ112" s="293"/>
      <c r="GR112" s="293"/>
      <c r="GS112" s="293"/>
      <c r="GT112" s="293"/>
      <c r="GU112" s="293"/>
      <c r="GV112" s="293"/>
      <c r="GW112" s="293"/>
      <c r="GX112" s="293"/>
      <c r="GY112" s="293"/>
      <c r="GZ112" s="293"/>
      <c r="HA112" s="293"/>
      <c r="HB112" s="293"/>
      <c r="HC112" s="293"/>
      <c r="HD112" s="293"/>
      <c r="HE112" s="293"/>
      <c r="HF112" s="293"/>
      <c r="HG112" s="293"/>
      <c r="HH112" s="293"/>
      <c r="HI112" s="293"/>
      <c r="HJ112" s="293"/>
      <c r="HK112" s="293"/>
      <c r="HL112" s="293"/>
      <c r="HM112" s="293"/>
      <c r="HN112" s="293"/>
      <c r="HO112" s="293"/>
      <c r="HP112" s="293"/>
      <c r="HQ112" s="293"/>
      <c r="HR112" s="293"/>
      <c r="HS112" s="293"/>
      <c r="HT112" s="293"/>
      <c r="HU112" s="293"/>
      <c r="HV112" s="293"/>
      <c r="HW112" s="293"/>
      <c r="HX112" s="293"/>
      <c r="HY112" s="293"/>
      <c r="IH112" s="279">
        <f t="shared" si="17"/>
        <v>1.1262087400000001E-2</v>
      </c>
      <c r="II112" s="279">
        <f t="shared" si="18"/>
        <v>0</v>
      </c>
      <c r="IJ112" s="279">
        <f t="shared" si="19"/>
        <v>1.1262087400000001E-2</v>
      </c>
      <c r="IK112" s="279">
        <f t="shared" si="20"/>
        <v>0</v>
      </c>
      <c r="KT112" s="280"/>
    </row>
    <row r="113" spans="1:306" outlineLevel="1">
      <c r="B113" s="96" t="s">
        <v>338</v>
      </c>
      <c r="D113" s="300" t="s">
        <v>378</v>
      </c>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c r="BN113" s="293"/>
      <c r="BO113" s="293"/>
      <c r="BP113" s="293"/>
      <c r="BQ113" s="293"/>
      <c r="BR113" s="293"/>
      <c r="BS113" s="293"/>
      <c r="BT113" s="293"/>
      <c r="BU113" s="293"/>
      <c r="BV113" s="293"/>
      <c r="BW113" s="293"/>
      <c r="BX113" s="293"/>
      <c r="BY113" s="293"/>
      <c r="BZ113" s="293"/>
      <c r="CA113" s="293"/>
      <c r="CB113" s="293"/>
      <c r="CC113" s="293"/>
      <c r="CD113" s="293"/>
      <c r="CE113" s="294">
        <v>0</v>
      </c>
      <c r="CF113" s="293">
        <v>0</v>
      </c>
      <c r="CG113" s="293">
        <v>0</v>
      </c>
      <c r="CH113" s="293">
        <v>0</v>
      </c>
      <c r="CI113" s="293">
        <v>0</v>
      </c>
      <c r="CJ113" s="293">
        <v>6.7914732000000005E-2</v>
      </c>
      <c r="CK113" s="293">
        <v>0</v>
      </c>
      <c r="CL113" s="293">
        <v>0</v>
      </c>
      <c r="CM113" s="293">
        <v>0</v>
      </c>
      <c r="CN113" s="293">
        <v>0</v>
      </c>
      <c r="CO113" s="293">
        <v>0</v>
      </c>
      <c r="CP113" s="295">
        <v>0</v>
      </c>
      <c r="CQ113" s="293">
        <v>0</v>
      </c>
      <c r="CR113" s="293">
        <v>0</v>
      </c>
      <c r="CS113" s="293">
        <v>0</v>
      </c>
      <c r="CT113" s="293">
        <v>0</v>
      </c>
      <c r="CU113" s="293">
        <v>0</v>
      </c>
      <c r="CV113" s="293">
        <v>0</v>
      </c>
      <c r="CW113" s="293">
        <v>0</v>
      </c>
      <c r="CX113" s="293">
        <v>0</v>
      </c>
      <c r="CY113" s="293">
        <v>0</v>
      </c>
      <c r="CZ113" s="293">
        <v>0</v>
      </c>
      <c r="DA113" s="293">
        <v>0</v>
      </c>
      <c r="DB113" s="1288">
        <v>0</v>
      </c>
      <c r="DC113" s="293">
        <v>0</v>
      </c>
      <c r="DD113" s="293">
        <v>0</v>
      </c>
      <c r="DE113" s="293">
        <v>0</v>
      </c>
      <c r="DF113" s="293">
        <v>0</v>
      </c>
      <c r="DG113" s="293">
        <v>0</v>
      </c>
      <c r="DH113" s="293">
        <v>4.3652752000000003E-2</v>
      </c>
      <c r="DI113" s="293">
        <v>0</v>
      </c>
      <c r="DJ113" s="293">
        <v>0</v>
      </c>
      <c r="DK113" s="293">
        <v>0</v>
      </c>
      <c r="DL113" s="293">
        <v>0</v>
      </c>
      <c r="DM113" s="293">
        <v>0</v>
      </c>
      <c r="DN113" s="295">
        <v>0</v>
      </c>
      <c r="DO113" s="293">
        <v>0</v>
      </c>
      <c r="DP113" s="293">
        <v>0</v>
      </c>
      <c r="DQ113" s="293">
        <v>0</v>
      </c>
      <c r="DR113" s="293">
        <v>0</v>
      </c>
      <c r="DS113" s="293">
        <v>0</v>
      </c>
      <c r="DT113" s="293">
        <v>3.0140581999999999E-2</v>
      </c>
      <c r="DU113" s="293">
        <v>0</v>
      </c>
      <c r="DV113" s="293">
        <v>0</v>
      </c>
      <c r="DW113" s="293">
        <v>0</v>
      </c>
      <c r="DX113" s="293">
        <v>0</v>
      </c>
      <c r="DY113" s="293">
        <v>0</v>
      </c>
      <c r="DZ113" s="295">
        <v>0</v>
      </c>
      <c r="EA113" s="293">
        <v>0</v>
      </c>
      <c r="EB113" s="293">
        <v>0</v>
      </c>
      <c r="EC113" s="293">
        <v>0</v>
      </c>
      <c r="ED113" s="293">
        <v>0</v>
      </c>
      <c r="EE113" s="293">
        <v>0</v>
      </c>
      <c r="EF113" s="293">
        <v>0</v>
      </c>
      <c r="EG113" s="293">
        <v>0</v>
      </c>
      <c r="EH113" s="293">
        <v>0</v>
      </c>
      <c r="EI113" s="293">
        <v>0</v>
      </c>
      <c r="EJ113" s="293">
        <v>0</v>
      </c>
      <c r="EK113" s="293">
        <v>0</v>
      </c>
      <c r="EL113" s="295">
        <v>0</v>
      </c>
      <c r="EM113" s="1080"/>
      <c r="EN113" s="1080"/>
      <c r="EO113" s="1080"/>
      <c r="EP113" s="1080"/>
      <c r="EQ113" s="1080"/>
      <c r="ER113" s="1080"/>
      <c r="ES113" s="1080"/>
      <c r="ET113" s="1080"/>
      <c r="EU113" s="1080"/>
      <c r="EV113" s="1080"/>
      <c r="EW113" s="1080"/>
      <c r="EX113" s="1340"/>
      <c r="EY113" s="1080"/>
      <c r="EZ113" s="1080"/>
      <c r="FA113" s="1080"/>
      <c r="FB113" s="1080"/>
      <c r="FC113" s="1080"/>
      <c r="FD113" s="1080"/>
      <c r="FE113" s="1080"/>
      <c r="FF113" s="1080"/>
      <c r="FG113" s="1080"/>
      <c r="FH113" s="1080"/>
      <c r="FI113" s="1080"/>
      <c r="FJ113" s="1340"/>
      <c r="FK113" s="1080"/>
      <c r="FL113" s="1080"/>
      <c r="FM113" s="1080"/>
      <c r="FN113" s="1080"/>
      <c r="FO113" s="1080"/>
      <c r="FP113" s="1080"/>
      <c r="FQ113" s="293"/>
      <c r="FR113" s="293"/>
      <c r="FS113" s="293"/>
      <c r="FT113" s="293"/>
      <c r="FU113" s="293"/>
      <c r="FV113" s="293"/>
      <c r="FW113" s="293"/>
      <c r="FX113" s="293"/>
      <c r="FY113" s="293"/>
      <c r="FZ113" s="293"/>
      <c r="GA113" s="293"/>
      <c r="GB113" s="293"/>
      <c r="GC113" s="293"/>
      <c r="GD113" s="293"/>
      <c r="GE113" s="293"/>
      <c r="GF113" s="293"/>
      <c r="GG113" s="293"/>
      <c r="GH113" s="293"/>
      <c r="GI113" s="293"/>
      <c r="GJ113" s="293"/>
      <c r="GK113" s="293"/>
      <c r="GL113" s="293"/>
      <c r="GM113" s="293"/>
      <c r="GN113" s="293"/>
      <c r="GO113" s="293"/>
      <c r="GP113" s="293"/>
      <c r="GQ113" s="293"/>
      <c r="GR113" s="293"/>
      <c r="GS113" s="293"/>
      <c r="GT113" s="293"/>
      <c r="GU113" s="293"/>
      <c r="GV113" s="293"/>
      <c r="GW113" s="293"/>
      <c r="GX113" s="293"/>
      <c r="GY113" s="293"/>
      <c r="GZ113" s="293"/>
      <c r="HA113" s="293"/>
      <c r="HB113" s="293"/>
      <c r="HC113" s="293"/>
      <c r="HD113" s="293"/>
      <c r="HE113" s="293"/>
      <c r="HF113" s="293"/>
      <c r="HG113" s="293"/>
      <c r="HH113" s="293"/>
      <c r="HI113" s="293"/>
      <c r="HJ113" s="293"/>
      <c r="HK113" s="293"/>
      <c r="HL113" s="293"/>
      <c r="HM113" s="293"/>
      <c r="HN113" s="293"/>
      <c r="HO113" s="293"/>
      <c r="HP113" s="293"/>
      <c r="HQ113" s="293"/>
      <c r="HR113" s="293"/>
      <c r="HS113" s="293"/>
      <c r="HT113" s="293"/>
      <c r="HU113" s="293"/>
      <c r="HV113" s="293"/>
      <c r="HW113" s="293"/>
      <c r="HX113" s="293"/>
      <c r="HY113" s="293"/>
      <c r="IH113" s="279">
        <f t="shared" si="17"/>
        <v>4.3652752000000003E-2</v>
      </c>
      <c r="II113" s="279">
        <f t="shared" si="18"/>
        <v>0</v>
      </c>
      <c r="IJ113" s="279">
        <f t="shared" si="19"/>
        <v>4.3652752000000003E-2</v>
      </c>
      <c r="IK113" s="279">
        <f t="shared" si="20"/>
        <v>3.0140581999999999E-2</v>
      </c>
      <c r="KT113" s="280"/>
    </row>
    <row r="114" spans="1:306" outlineLevel="1">
      <c r="B114" s="96" t="s">
        <v>338</v>
      </c>
      <c r="D114" s="300" t="s">
        <v>379</v>
      </c>
      <c r="E114" s="293"/>
      <c r="F114" s="293"/>
      <c r="G114" s="293"/>
      <c r="H114" s="293"/>
      <c r="I114" s="293"/>
      <c r="J114" s="293"/>
      <c r="K114" s="293"/>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c r="BN114" s="293"/>
      <c r="BO114" s="293"/>
      <c r="BP114" s="293"/>
      <c r="BQ114" s="293"/>
      <c r="BR114" s="293"/>
      <c r="BS114" s="293"/>
      <c r="BT114" s="293"/>
      <c r="BU114" s="293"/>
      <c r="BV114" s="293"/>
      <c r="BW114" s="293"/>
      <c r="BX114" s="293"/>
      <c r="BY114" s="293"/>
      <c r="BZ114" s="293"/>
      <c r="CA114" s="293"/>
      <c r="CB114" s="293"/>
      <c r="CC114" s="293"/>
      <c r="CD114" s="293"/>
      <c r="CE114" s="294">
        <v>1.4785326999999999E-2</v>
      </c>
      <c r="CF114" s="293">
        <v>0</v>
      </c>
      <c r="CG114" s="293">
        <v>0</v>
      </c>
      <c r="CH114" s="293">
        <v>7.5752429999999997E-3</v>
      </c>
      <c r="CI114" s="293">
        <v>0</v>
      </c>
      <c r="CJ114" s="293">
        <v>0</v>
      </c>
      <c r="CK114" s="293">
        <v>0</v>
      </c>
      <c r="CL114" s="293">
        <v>0</v>
      </c>
      <c r="CM114" s="293">
        <v>0</v>
      </c>
      <c r="CN114" s="293">
        <v>0</v>
      </c>
      <c r="CO114" s="293">
        <v>0</v>
      </c>
      <c r="CP114" s="295">
        <v>0</v>
      </c>
      <c r="CQ114" s="293">
        <v>0</v>
      </c>
      <c r="CR114" s="293">
        <v>0</v>
      </c>
      <c r="CS114" s="293">
        <v>0</v>
      </c>
      <c r="CT114" s="293">
        <v>0</v>
      </c>
      <c r="CU114" s="293">
        <v>0</v>
      </c>
      <c r="CV114" s="293">
        <v>0</v>
      </c>
      <c r="CW114" s="293">
        <v>0</v>
      </c>
      <c r="CX114" s="293">
        <v>0</v>
      </c>
      <c r="CY114" s="293">
        <v>0</v>
      </c>
      <c r="CZ114" s="293">
        <v>0</v>
      </c>
      <c r="DA114" s="293">
        <v>0</v>
      </c>
      <c r="DB114" s="1288">
        <v>0</v>
      </c>
      <c r="DC114" s="293">
        <v>0</v>
      </c>
      <c r="DD114" s="293">
        <v>0</v>
      </c>
      <c r="DE114" s="293">
        <v>0</v>
      </c>
      <c r="DF114" s="293">
        <v>0</v>
      </c>
      <c r="DG114" s="293">
        <v>0</v>
      </c>
      <c r="DH114" s="293">
        <v>0</v>
      </c>
      <c r="DI114" s="293">
        <v>0</v>
      </c>
      <c r="DJ114" s="293">
        <v>0</v>
      </c>
      <c r="DK114" s="293">
        <v>0</v>
      </c>
      <c r="DL114" s="293">
        <v>0</v>
      </c>
      <c r="DM114" s="293">
        <v>0</v>
      </c>
      <c r="DN114" s="295">
        <v>0</v>
      </c>
      <c r="DO114" s="293">
        <v>0</v>
      </c>
      <c r="DP114" s="293">
        <v>0</v>
      </c>
      <c r="DQ114" s="293">
        <v>0</v>
      </c>
      <c r="DR114" s="293">
        <v>0</v>
      </c>
      <c r="DS114" s="293">
        <v>0</v>
      </c>
      <c r="DT114" s="293">
        <v>0</v>
      </c>
      <c r="DU114" s="293">
        <v>0</v>
      </c>
      <c r="DV114" s="293">
        <v>0</v>
      </c>
      <c r="DW114" s="293">
        <v>0</v>
      </c>
      <c r="DX114" s="293">
        <v>0</v>
      </c>
      <c r="DY114" s="293">
        <v>0</v>
      </c>
      <c r="DZ114" s="295">
        <v>0</v>
      </c>
      <c r="EA114" s="293">
        <v>0</v>
      </c>
      <c r="EB114" s="293">
        <v>0</v>
      </c>
      <c r="EC114" s="293">
        <v>0</v>
      </c>
      <c r="ED114" s="293">
        <v>0</v>
      </c>
      <c r="EE114" s="293">
        <v>0</v>
      </c>
      <c r="EF114" s="293">
        <v>0</v>
      </c>
      <c r="EG114" s="293">
        <v>0</v>
      </c>
      <c r="EH114" s="293">
        <v>0</v>
      </c>
      <c r="EI114" s="293">
        <v>0</v>
      </c>
      <c r="EJ114" s="293">
        <v>0</v>
      </c>
      <c r="EK114" s="293">
        <v>0</v>
      </c>
      <c r="EL114" s="295">
        <v>0</v>
      </c>
      <c r="EM114" s="1080"/>
      <c r="EN114" s="1080"/>
      <c r="EO114" s="1080"/>
      <c r="EP114" s="1080"/>
      <c r="EQ114" s="1080"/>
      <c r="ER114" s="1080"/>
      <c r="ES114" s="1080"/>
      <c r="ET114" s="1080"/>
      <c r="EU114" s="1080"/>
      <c r="EV114" s="1080"/>
      <c r="EW114" s="1080"/>
      <c r="EX114" s="1340"/>
      <c r="EY114" s="1080"/>
      <c r="EZ114" s="1080"/>
      <c r="FA114" s="1080"/>
      <c r="FB114" s="1080"/>
      <c r="FC114" s="1080"/>
      <c r="FD114" s="1080"/>
      <c r="FE114" s="1080"/>
      <c r="FF114" s="1080"/>
      <c r="FG114" s="1080"/>
      <c r="FH114" s="1080"/>
      <c r="FI114" s="1080"/>
      <c r="FJ114" s="1340"/>
      <c r="FK114" s="1080"/>
      <c r="FL114" s="1080"/>
      <c r="FM114" s="1080"/>
      <c r="FN114" s="1080"/>
      <c r="FO114" s="1080"/>
      <c r="FP114" s="1080"/>
      <c r="FQ114" s="293"/>
      <c r="FR114" s="293"/>
      <c r="FS114" s="293"/>
      <c r="FT114" s="293"/>
      <c r="FU114" s="293"/>
      <c r="FV114" s="293"/>
      <c r="FW114" s="293"/>
      <c r="FX114" s="293"/>
      <c r="FY114" s="293"/>
      <c r="FZ114" s="293"/>
      <c r="GA114" s="293"/>
      <c r="GB114" s="293"/>
      <c r="GC114" s="293"/>
      <c r="GD114" s="293"/>
      <c r="GE114" s="293"/>
      <c r="GF114" s="293"/>
      <c r="GG114" s="293"/>
      <c r="GH114" s="293"/>
      <c r="GI114" s="293"/>
      <c r="GJ114" s="293"/>
      <c r="GK114" s="293"/>
      <c r="GL114" s="293"/>
      <c r="GM114" s="293"/>
      <c r="GN114" s="293"/>
      <c r="GO114" s="293"/>
      <c r="GP114" s="293"/>
      <c r="GQ114" s="293"/>
      <c r="GR114" s="293"/>
      <c r="GS114" s="293"/>
      <c r="GT114" s="293"/>
      <c r="GU114" s="293"/>
      <c r="GV114" s="293"/>
      <c r="GW114" s="293"/>
      <c r="GX114" s="293"/>
      <c r="GY114" s="293"/>
      <c r="GZ114" s="293"/>
      <c r="HA114" s="293"/>
      <c r="HB114" s="293"/>
      <c r="HC114" s="293"/>
      <c r="HD114" s="293"/>
      <c r="HE114" s="293"/>
      <c r="HF114" s="293"/>
      <c r="HG114" s="293"/>
      <c r="HH114" s="293"/>
      <c r="HI114" s="293"/>
      <c r="HJ114" s="293"/>
      <c r="HK114" s="293"/>
      <c r="HL114" s="293"/>
      <c r="HM114" s="293"/>
      <c r="HN114" s="293"/>
      <c r="HO114" s="293"/>
      <c r="HP114" s="293"/>
      <c r="HQ114" s="293"/>
      <c r="HR114" s="293"/>
      <c r="HS114" s="293"/>
      <c r="HT114" s="293"/>
      <c r="HU114" s="293"/>
      <c r="HV114" s="293"/>
      <c r="HW114" s="293"/>
      <c r="HX114" s="293"/>
      <c r="HY114" s="293"/>
      <c r="IH114" s="279">
        <f t="shared" si="17"/>
        <v>0</v>
      </c>
      <c r="II114" s="279">
        <f t="shared" si="18"/>
        <v>0</v>
      </c>
      <c r="IJ114" s="279">
        <f t="shared" si="19"/>
        <v>0</v>
      </c>
      <c r="IK114" s="279">
        <f t="shared" si="20"/>
        <v>0</v>
      </c>
      <c r="KT114" s="280"/>
    </row>
    <row r="115" spans="1:306" outlineLevel="1">
      <c r="B115" s="96" t="s">
        <v>338</v>
      </c>
      <c r="D115" s="300" t="s">
        <v>380</v>
      </c>
      <c r="E115" s="293"/>
      <c r="F115" s="293"/>
      <c r="G115" s="293"/>
      <c r="H115" s="293"/>
      <c r="I115" s="293"/>
      <c r="J115" s="293"/>
      <c r="K115" s="293"/>
      <c r="L115" s="293"/>
      <c r="M115" s="293"/>
      <c r="N115" s="293"/>
      <c r="O115" s="293"/>
      <c r="P115" s="293"/>
      <c r="Q115" s="293"/>
      <c r="R115" s="293"/>
      <c r="S115" s="293"/>
      <c r="T115" s="293"/>
      <c r="U115" s="293"/>
      <c r="V115" s="293"/>
      <c r="W115" s="293"/>
      <c r="X115" s="293"/>
      <c r="Y115" s="29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c r="BN115" s="293"/>
      <c r="BO115" s="293"/>
      <c r="BP115" s="293"/>
      <c r="BQ115" s="293"/>
      <c r="BR115" s="293"/>
      <c r="BS115" s="293"/>
      <c r="BT115" s="293"/>
      <c r="BU115" s="293"/>
      <c r="BV115" s="293"/>
      <c r="BW115" s="293"/>
      <c r="BX115" s="293"/>
      <c r="BY115" s="293"/>
      <c r="BZ115" s="293"/>
      <c r="CA115" s="293"/>
      <c r="CB115" s="293"/>
      <c r="CC115" s="293"/>
      <c r="CD115" s="293"/>
      <c r="CE115" s="294">
        <v>0</v>
      </c>
      <c r="CF115" s="293">
        <v>0</v>
      </c>
      <c r="CG115" s="293">
        <v>0</v>
      </c>
      <c r="CH115" s="293">
        <v>0</v>
      </c>
      <c r="CI115" s="293">
        <v>0</v>
      </c>
      <c r="CJ115" s="293">
        <v>0</v>
      </c>
      <c r="CK115" s="293">
        <v>0</v>
      </c>
      <c r="CL115" s="293">
        <v>0</v>
      </c>
      <c r="CM115" s="293">
        <v>0</v>
      </c>
      <c r="CN115" s="293">
        <v>0</v>
      </c>
      <c r="CO115" s="293">
        <v>0</v>
      </c>
      <c r="CP115" s="295">
        <v>0</v>
      </c>
      <c r="CQ115" s="293">
        <v>0</v>
      </c>
      <c r="CR115" s="293">
        <v>0</v>
      </c>
      <c r="CS115" s="293">
        <v>0</v>
      </c>
      <c r="CT115" s="293">
        <v>0</v>
      </c>
      <c r="CU115" s="293">
        <v>0</v>
      </c>
      <c r="CV115" s="293">
        <v>0</v>
      </c>
      <c r="CW115" s="293">
        <v>0</v>
      </c>
      <c r="CX115" s="293">
        <v>0</v>
      </c>
      <c r="CY115" s="293">
        <v>0</v>
      </c>
      <c r="CZ115" s="293">
        <v>0</v>
      </c>
      <c r="DA115" s="293">
        <v>0</v>
      </c>
      <c r="DB115" s="1288">
        <v>0</v>
      </c>
      <c r="DC115" s="293">
        <v>0</v>
      </c>
      <c r="DD115" s="293">
        <v>0</v>
      </c>
      <c r="DE115" s="293">
        <v>0</v>
      </c>
      <c r="DF115" s="293">
        <v>0</v>
      </c>
      <c r="DG115" s="293">
        <v>0</v>
      </c>
      <c r="DH115" s="293">
        <v>0</v>
      </c>
      <c r="DI115" s="293">
        <v>0</v>
      </c>
      <c r="DJ115" s="293">
        <v>0</v>
      </c>
      <c r="DK115" s="293">
        <v>0</v>
      </c>
      <c r="DL115" s="293">
        <v>0</v>
      </c>
      <c r="DM115" s="293">
        <v>0</v>
      </c>
      <c r="DN115" s="295">
        <v>0</v>
      </c>
      <c r="DO115" s="293">
        <v>0</v>
      </c>
      <c r="DP115" s="293">
        <v>0</v>
      </c>
      <c r="DQ115" s="293">
        <v>0</v>
      </c>
      <c r="DR115" s="293">
        <v>0</v>
      </c>
      <c r="DS115" s="293">
        <v>0</v>
      </c>
      <c r="DT115" s="293">
        <v>0</v>
      </c>
      <c r="DU115" s="293">
        <v>0</v>
      </c>
      <c r="DV115" s="293">
        <v>0</v>
      </c>
      <c r="DW115" s="293">
        <v>0</v>
      </c>
      <c r="DX115" s="293">
        <v>0</v>
      </c>
      <c r="DY115" s="293">
        <v>0</v>
      </c>
      <c r="DZ115" s="295">
        <v>0</v>
      </c>
      <c r="EA115" s="293">
        <v>0</v>
      </c>
      <c r="EB115" s="293">
        <v>0</v>
      </c>
      <c r="EC115" s="293">
        <v>0</v>
      </c>
      <c r="ED115" s="293">
        <v>0</v>
      </c>
      <c r="EE115" s="293">
        <v>0</v>
      </c>
      <c r="EF115" s="293">
        <v>0</v>
      </c>
      <c r="EG115" s="293">
        <v>0</v>
      </c>
      <c r="EH115" s="293">
        <v>0</v>
      </c>
      <c r="EI115" s="293">
        <v>0</v>
      </c>
      <c r="EJ115" s="293">
        <v>0</v>
      </c>
      <c r="EK115" s="293">
        <v>0</v>
      </c>
      <c r="EL115" s="295">
        <v>0</v>
      </c>
      <c r="EM115" s="1080"/>
      <c r="EN115" s="1080"/>
      <c r="EO115" s="1080"/>
      <c r="EP115" s="1080"/>
      <c r="EQ115" s="1080"/>
      <c r="ER115" s="1080"/>
      <c r="ES115" s="1080"/>
      <c r="ET115" s="1080"/>
      <c r="EU115" s="1080"/>
      <c r="EV115" s="1080"/>
      <c r="EW115" s="1080"/>
      <c r="EX115" s="1340"/>
      <c r="EY115" s="1080"/>
      <c r="EZ115" s="1080"/>
      <c r="FA115" s="1080"/>
      <c r="FB115" s="1080"/>
      <c r="FC115" s="1080"/>
      <c r="FD115" s="1080"/>
      <c r="FE115" s="1080"/>
      <c r="FF115" s="1080"/>
      <c r="FG115" s="1080"/>
      <c r="FH115" s="1080"/>
      <c r="FI115" s="1080"/>
      <c r="FJ115" s="1340"/>
      <c r="FK115" s="1080"/>
      <c r="FL115" s="1080"/>
      <c r="FM115" s="1080"/>
      <c r="FN115" s="1080"/>
      <c r="FO115" s="1080"/>
      <c r="FP115" s="1080"/>
      <c r="FQ115" s="293"/>
      <c r="FR115" s="293"/>
      <c r="FS115" s="293"/>
      <c r="FT115" s="293"/>
      <c r="FU115" s="293"/>
      <c r="FV115" s="293"/>
      <c r="FW115" s="293"/>
      <c r="FX115" s="293"/>
      <c r="FY115" s="293"/>
      <c r="FZ115" s="293"/>
      <c r="GA115" s="293"/>
      <c r="GB115" s="293"/>
      <c r="GC115" s="293"/>
      <c r="GD115" s="293"/>
      <c r="GE115" s="293"/>
      <c r="GF115" s="293"/>
      <c r="GG115" s="293"/>
      <c r="GH115" s="293"/>
      <c r="GI115" s="293"/>
      <c r="GJ115" s="293"/>
      <c r="GK115" s="293"/>
      <c r="GL115" s="293"/>
      <c r="GM115" s="293"/>
      <c r="GN115" s="293"/>
      <c r="GO115" s="293"/>
      <c r="GP115" s="293"/>
      <c r="GQ115" s="293"/>
      <c r="GR115" s="293"/>
      <c r="GS115" s="293"/>
      <c r="GT115" s="293"/>
      <c r="GU115" s="293"/>
      <c r="GV115" s="293"/>
      <c r="GW115" s="293"/>
      <c r="GX115" s="293"/>
      <c r="GY115" s="293"/>
      <c r="GZ115" s="293"/>
      <c r="HA115" s="293"/>
      <c r="HB115" s="293"/>
      <c r="HC115" s="293"/>
      <c r="HD115" s="293"/>
      <c r="HE115" s="293"/>
      <c r="HF115" s="293"/>
      <c r="HG115" s="293"/>
      <c r="HH115" s="293"/>
      <c r="HI115" s="293"/>
      <c r="HJ115" s="293"/>
      <c r="HK115" s="293"/>
      <c r="HL115" s="293"/>
      <c r="HM115" s="293"/>
      <c r="HN115" s="293"/>
      <c r="HO115" s="293"/>
      <c r="HP115" s="293"/>
      <c r="HQ115" s="293"/>
      <c r="HR115" s="293"/>
      <c r="HS115" s="293"/>
      <c r="HT115" s="293"/>
      <c r="HU115" s="293"/>
      <c r="HV115" s="293"/>
      <c r="HW115" s="293"/>
      <c r="HX115" s="293"/>
      <c r="HY115" s="293"/>
      <c r="IH115" s="279">
        <f t="shared" si="17"/>
        <v>0</v>
      </c>
      <c r="II115" s="279">
        <f t="shared" si="18"/>
        <v>0</v>
      </c>
      <c r="IJ115" s="279">
        <f t="shared" si="19"/>
        <v>0</v>
      </c>
      <c r="IK115" s="279">
        <f t="shared" si="20"/>
        <v>0</v>
      </c>
      <c r="KT115" s="280"/>
    </row>
    <row r="116" spans="1:306" outlineLevel="1">
      <c r="B116" s="96" t="s">
        <v>338</v>
      </c>
      <c r="D116" s="300" t="s">
        <v>381</v>
      </c>
      <c r="E116" s="293"/>
      <c r="F116" s="293"/>
      <c r="G116" s="293"/>
      <c r="H116" s="293"/>
      <c r="I116" s="293"/>
      <c r="J116" s="293"/>
      <c r="K116" s="293"/>
      <c r="L116" s="293"/>
      <c r="M116" s="293"/>
      <c r="N116" s="293"/>
      <c r="O116" s="293"/>
      <c r="P116" s="293"/>
      <c r="Q116" s="293"/>
      <c r="R116" s="293"/>
      <c r="S116" s="293"/>
      <c r="T116" s="293"/>
      <c r="U116" s="293"/>
      <c r="V116" s="293"/>
      <c r="W116" s="293"/>
      <c r="X116" s="293"/>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c r="BN116" s="293"/>
      <c r="BO116" s="293"/>
      <c r="BP116" s="293"/>
      <c r="BQ116" s="293"/>
      <c r="BR116" s="293"/>
      <c r="BS116" s="293"/>
      <c r="BT116" s="293"/>
      <c r="BU116" s="293"/>
      <c r="BV116" s="293"/>
      <c r="BW116" s="293"/>
      <c r="BX116" s="293"/>
      <c r="BY116" s="293"/>
      <c r="BZ116" s="293"/>
      <c r="CA116" s="293"/>
      <c r="CB116" s="293"/>
      <c r="CC116" s="293"/>
      <c r="CD116" s="293"/>
      <c r="CE116" s="294">
        <v>0</v>
      </c>
      <c r="CF116" s="293">
        <v>0</v>
      </c>
      <c r="CG116" s="293">
        <v>0</v>
      </c>
      <c r="CH116" s="293">
        <v>0</v>
      </c>
      <c r="CI116" s="293">
        <v>0</v>
      </c>
      <c r="CJ116" s="293">
        <v>0</v>
      </c>
      <c r="CK116" s="293">
        <v>0</v>
      </c>
      <c r="CL116" s="293">
        <v>0</v>
      </c>
      <c r="CM116" s="293">
        <v>0</v>
      </c>
      <c r="CN116" s="293">
        <v>0</v>
      </c>
      <c r="CO116" s="293">
        <v>0</v>
      </c>
      <c r="CP116" s="295">
        <v>0</v>
      </c>
      <c r="CQ116" s="293">
        <v>0</v>
      </c>
      <c r="CR116" s="293">
        <v>0</v>
      </c>
      <c r="CS116" s="293">
        <v>0</v>
      </c>
      <c r="CT116" s="293">
        <v>0</v>
      </c>
      <c r="CU116" s="293">
        <v>0</v>
      </c>
      <c r="CV116" s="293">
        <v>0</v>
      </c>
      <c r="CW116" s="293">
        <v>0</v>
      </c>
      <c r="CX116" s="293">
        <v>0</v>
      </c>
      <c r="CY116" s="293">
        <v>0</v>
      </c>
      <c r="CZ116" s="293">
        <v>0</v>
      </c>
      <c r="DA116" s="293">
        <v>0</v>
      </c>
      <c r="DB116" s="1288">
        <v>0</v>
      </c>
      <c r="DC116" s="293">
        <v>0</v>
      </c>
      <c r="DD116" s="293">
        <v>0</v>
      </c>
      <c r="DE116" s="293">
        <v>0</v>
      </c>
      <c r="DF116" s="293">
        <v>0</v>
      </c>
      <c r="DG116" s="293">
        <v>0</v>
      </c>
      <c r="DH116" s="293">
        <v>0</v>
      </c>
      <c r="DI116" s="293">
        <v>0</v>
      </c>
      <c r="DJ116" s="293">
        <v>0</v>
      </c>
      <c r="DK116" s="293">
        <v>0</v>
      </c>
      <c r="DL116" s="293">
        <v>0</v>
      </c>
      <c r="DM116" s="293">
        <v>0</v>
      </c>
      <c r="DN116" s="295">
        <v>0</v>
      </c>
      <c r="DO116" s="293">
        <v>0</v>
      </c>
      <c r="DP116" s="293">
        <v>0</v>
      </c>
      <c r="DQ116" s="293">
        <v>0</v>
      </c>
      <c r="DR116" s="293">
        <v>0</v>
      </c>
      <c r="DS116" s="293">
        <v>0</v>
      </c>
      <c r="DT116" s="293">
        <v>0</v>
      </c>
      <c r="DU116" s="293">
        <v>0</v>
      </c>
      <c r="DV116" s="293">
        <v>0</v>
      </c>
      <c r="DW116" s="293">
        <v>0</v>
      </c>
      <c r="DX116" s="293">
        <v>0</v>
      </c>
      <c r="DY116" s="293">
        <v>0</v>
      </c>
      <c r="DZ116" s="295">
        <v>0</v>
      </c>
      <c r="EA116" s="293">
        <v>0</v>
      </c>
      <c r="EB116" s="293">
        <v>0</v>
      </c>
      <c r="EC116" s="293">
        <v>0</v>
      </c>
      <c r="ED116" s="293">
        <v>0</v>
      </c>
      <c r="EE116" s="293">
        <v>0</v>
      </c>
      <c r="EF116" s="293">
        <v>0</v>
      </c>
      <c r="EG116" s="293">
        <v>0</v>
      </c>
      <c r="EH116" s="293">
        <v>0</v>
      </c>
      <c r="EI116" s="293">
        <v>0</v>
      </c>
      <c r="EJ116" s="293">
        <v>0</v>
      </c>
      <c r="EK116" s="293">
        <v>0</v>
      </c>
      <c r="EL116" s="295">
        <v>0</v>
      </c>
      <c r="EM116" s="1080"/>
      <c r="EN116" s="1080"/>
      <c r="EO116" s="1080"/>
      <c r="EP116" s="1080"/>
      <c r="EQ116" s="1080"/>
      <c r="ER116" s="1080"/>
      <c r="ES116" s="1080"/>
      <c r="ET116" s="1080"/>
      <c r="EU116" s="1080"/>
      <c r="EV116" s="1080"/>
      <c r="EW116" s="1080"/>
      <c r="EX116" s="1340"/>
      <c r="EY116" s="1080"/>
      <c r="EZ116" s="1080"/>
      <c r="FA116" s="1080"/>
      <c r="FB116" s="1080"/>
      <c r="FC116" s="1080"/>
      <c r="FD116" s="1080"/>
      <c r="FE116" s="1080"/>
      <c r="FF116" s="1080"/>
      <c r="FG116" s="1080"/>
      <c r="FH116" s="1080"/>
      <c r="FI116" s="1080"/>
      <c r="FJ116" s="1340"/>
      <c r="FK116" s="1080"/>
      <c r="FL116" s="1080"/>
      <c r="FM116" s="1080"/>
      <c r="FN116" s="1080"/>
      <c r="FO116" s="1080"/>
      <c r="FP116" s="1080"/>
      <c r="FQ116" s="293"/>
      <c r="FR116" s="293"/>
      <c r="FS116" s="293"/>
      <c r="FT116" s="293"/>
      <c r="FU116" s="293"/>
      <c r="FV116" s="293"/>
      <c r="FW116" s="293"/>
      <c r="FX116" s="293"/>
      <c r="FY116" s="293"/>
      <c r="FZ116" s="293"/>
      <c r="GA116" s="293"/>
      <c r="GB116" s="293"/>
      <c r="GC116" s="293"/>
      <c r="GD116" s="293"/>
      <c r="GE116" s="293"/>
      <c r="GF116" s="293"/>
      <c r="GG116" s="293"/>
      <c r="GH116" s="293"/>
      <c r="GI116" s="293"/>
      <c r="GJ116" s="293"/>
      <c r="GK116" s="293"/>
      <c r="GL116" s="293"/>
      <c r="GM116" s="293"/>
      <c r="GN116" s="293"/>
      <c r="GO116" s="293"/>
      <c r="GP116" s="293"/>
      <c r="GQ116" s="293"/>
      <c r="GR116" s="293"/>
      <c r="GS116" s="293"/>
      <c r="GT116" s="293"/>
      <c r="GU116" s="293"/>
      <c r="GV116" s="293"/>
      <c r="GW116" s="293"/>
      <c r="GX116" s="293"/>
      <c r="GY116" s="293"/>
      <c r="GZ116" s="293"/>
      <c r="HA116" s="293"/>
      <c r="HB116" s="293"/>
      <c r="HC116" s="293"/>
      <c r="HD116" s="293"/>
      <c r="HE116" s="293"/>
      <c r="HF116" s="293"/>
      <c r="HG116" s="293"/>
      <c r="HH116" s="293"/>
      <c r="HI116" s="293"/>
      <c r="HJ116" s="293"/>
      <c r="HK116" s="293"/>
      <c r="HL116" s="293"/>
      <c r="HM116" s="293"/>
      <c r="HN116" s="293"/>
      <c r="HO116" s="293"/>
      <c r="HP116" s="293"/>
      <c r="HQ116" s="293"/>
      <c r="HR116" s="293"/>
      <c r="HS116" s="293"/>
      <c r="HT116" s="293"/>
      <c r="HU116" s="293"/>
      <c r="HV116" s="293"/>
      <c r="HW116" s="293"/>
      <c r="HX116" s="293"/>
      <c r="HY116" s="293"/>
      <c r="IH116" s="279">
        <f t="shared" si="17"/>
        <v>0</v>
      </c>
      <c r="II116" s="279">
        <f t="shared" si="18"/>
        <v>0</v>
      </c>
      <c r="IJ116" s="279">
        <f t="shared" si="19"/>
        <v>0</v>
      </c>
      <c r="IK116" s="279">
        <f t="shared" si="20"/>
        <v>0</v>
      </c>
      <c r="KT116" s="280"/>
    </row>
    <row r="117" spans="1:306" outlineLevel="1">
      <c r="B117" s="96" t="s">
        <v>338</v>
      </c>
      <c r="D117" s="296" t="s">
        <v>383</v>
      </c>
      <c r="E117" s="293"/>
      <c r="F117" s="293"/>
      <c r="G117" s="293"/>
      <c r="H117" s="293"/>
      <c r="I117" s="293"/>
      <c r="J117" s="293"/>
      <c r="K117" s="293"/>
      <c r="L117" s="293"/>
      <c r="M117" s="293"/>
      <c r="N117" s="293"/>
      <c r="O117" s="293"/>
      <c r="P117" s="293"/>
      <c r="Q117" s="293"/>
      <c r="R117" s="293"/>
      <c r="S117" s="293"/>
      <c r="T117" s="293"/>
      <c r="U117" s="293"/>
      <c r="V117" s="293"/>
      <c r="W117" s="293"/>
      <c r="X117" s="293"/>
      <c r="Y117" s="29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c r="BN117" s="293"/>
      <c r="BO117" s="293"/>
      <c r="BP117" s="293"/>
      <c r="BQ117" s="293"/>
      <c r="BR117" s="293"/>
      <c r="BS117" s="293"/>
      <c r="BT117" s="293"/>
      <c r="BU117" s="293"/>
      <c r="BV117" s="293"/>
      <c r="BW117" s="293"/>
      <c r="BX117" s="293"/>
      <c r="BY117" s="293"/>
      <c r="BZ117" s="293"/>
      <c r="CA117" s="293"/>
      <c r="CB117" s="293"/>
      <c r="CC117" s="293"/>
      <c r="CD117" s="293"/>
      <c r="CE117" s="294">
        <v>0</v>
      </c>
      <c r="CF117" s="293">
        <v>0</v>
      </c>
      <c r="CG117" s="293">
        <v>0</v>
      </c>
      <c r="CH117" s="293">
        <v>0</v>
      </c>
      <c r="CI117" s="293">
        <v>0</v>
      </c>
      <c r="CJ117" s="293">
        <v>0</v>
      </c>
      <c r="CK117" s="293">
        <v>0</v>
      </c>
      <c r="CL117" s="293">
        <v>0</v>
      </c>
      <c r="CM117" s="293">
        <v>0</v>
      </c>
      <c r="CN117" s="293">
        <v>0</v>
      </c>
      <c r="CO117" s="293">
        <v>0</v>
      </c>
      <c r="CP117" s="295">
        <v>0</v>
      </c>
      <c r="CQ117" s="293">
        <v>0</v>
      </c>
      <c r="CR117" s="293">
        <v>0</v>
      </c>
      <c r="CS117" s="293">
        <v>7.5779700000000005E-4</v>
      </c>
      <c r="CT117" s="293">
        <v>0</v>
      </c>
      <c r="CU117" s="293">
        <v>0</v>
      </c>
      <c r="CV117" s="293">
        <v>0.117606498</v>
      </c>
      <c r="CW117" s="293">
        <v>0</v>
      </c>
      <c r="CX117" s="293">
        <v>0</v>
      </c>
      <c r="CY117" s="293">
        <v>1.5525389999999999E-3</v>
      </c>
      <c r="CZ117" s="293">
        <v>0</v>
      </c>
      <c r="DA117" s="293">
        <v>0</v>
      </c>
      <c r="DB117" s="1288">
        <v>5.1429889999999997E-3</v>
      </c>
      <c r="DC117" s="293">
        <v>0</v>
      </c>
      <c r="DD117" s="293">
        <v>0</v>
      </c>
      <c r="DE117" s="293">
        <v>0.16491824799999999</v>
      </c>
      <c r="DF117" s="293">
        <v>0</v>
      </c>
      <c r="DG117" s="293">
        <v>0</v>
      </c>
      <c r="DH117" s="293">
        <v>4.8886611000000003E-2</v>
      </c>
      <c r="DI117" s="293">
        <v>0</v>
      </c>
      <c r="DJ117" s="293">
        <v>0</v>
      </c>
      <c r="DK117" s="293">
        <v>2.4348420999999999E-2</v>
      </c>
      <c r="DL117" s="293">
        <v>0</v>
      </c>
      <c r="DM117" s="293">
        <v>0</v>
      </c>
      <c r="DN117" s="295">
        <v>1.0397946999999999E-2</v>
      </c>
      <c r="DO117" s="293">
        <v>0</v>
      </c>
      <c r="DP117" s="293">
        <v>0</v>
      </c>
      <c r="DQ117" s="293">
        <v>0.263324102</v>
      </c>
      <c r="DR117" s="293">
        <v>0</v>
      </c>
      <c r="DS117" s="293">
        <v>0</v>
      </c>
      <c r="DT117" s="293">
        <v>3.7091916699999998E-2</v>
      </c>
      <c r="DU117" s="293">
        <v>0</v>
      </c>
      <c r="DV117" s="293">
        <v>0</v>
      </c>
      <c r="DW117" s="293">
        <v>0.18895414799999999</v>
      </c>
      <c r="DX117" s="293">
        <v>0</v>
      </c>
      <c r="DY117" s="293">
        <v>0</v>
      </c>
      <c r="DZ117" s="295">
        <v>0.48341135200000002</v>
      </c>
      <c r="EA117" s="293">
        <v>0</v>
      </c>
      <c r="EB117" s="293">
        <v>0</v>
      </c>
      <c r="EC117" s="293">
        <v>0.38033745400000002</v>
      </c>
      <c r="ED117" s="293">
        <v>0</v>
      </c>
      <c r="EE117" s="293">
        <v>0</v>
      </c>
      <c r="EF117" s="293">
        <v>0</v>
      </c>
      <c r="EG117" s="293">
        <v>0</v>
      </c>
      <c r="EH117" s="293">
        <v>0</v>
      </c>
      <c r="EI117" s="293">
        <v>0.34307549599999998</v>
      </c>
      <c r="EJ117" s="293">
        <v>0</v>
      </c>
      <c r="EK117" s="293">
        <v>0</v>
      </c>
      <c r="EL117" s="295">
        <v>0.47444173899999997</v>
      </c>
      <c r="EM117" s="1080"/>
      <c r="EN117" s="1080"/>
      <c r="EO117" s="1080"/>
      <c r="EP117" s="1080"/>
      <c r="EQ117" s="1080"/>
      <c r="ER117" s="1080"/>
      <c r="ES117" s="1080"/>
      <c r="ET117" s="1080"/>
      <c r="EU117" s="1080"/>
      <c r="EV117" s="1080"/>
      <c r="EW117" s="1080"/>
      <c r="EX117" s="1340"/>
      <c r="EY117" s="1080"/>
      <c r="EZ117" s="1080"/>
      <c r="FA117" s="1080"/>
      <c r="FB117" s="1080"/>
      <c r="FC117" s="1080"/>
      <c r="FD117" s="1080"/>
      <c r="FE117" s="1080"/>
      <c r="FF117" s="1080"/>
      <c r="FG117" s="1080"/>
      <c r="FH117" s="1080"/>
      <c r="FI117" s="1080"/>
      <c r="FJ117" s="1340"/>
      <c r="FK117" s="1080"/>
      <c r="FL117" s="1080"/>
      <c r="FM117" s="1080"/>
      <c r="FN117" s="1080"/>
      <c r="FO117" s="1080"/>
      <c r="FP117" s="1080"/>
      <c r="FQ117" s="293"/>
      <c r="FR117" s="293"/>
      <c r="FS117" s="293"/>
      <c r="FT117" s="293"/>
      <c r="FU117" s="293"/>
      <c r="FV117" s="293"/>
      <c r="FW117" s="293"/>
      <c r="FX117" s="293"/>
      <c r="FY117" s="293"/>
      <c r="FZ117" s="293"/>
      <c r="GA117" s="293"/>
      <c r="GB117" s="293"/>
      <c r="GC117" s="293"/>
      <c r="GD117" s="293"/>
      <c r="GE117" s="293"/>
      <c r="GF117" s="293"/>
      <c r="GG117" s="293"/>
      <c r="GH117" s="293"/>
      <c r="GI117" s="293"/>
      <c r="GJ117" s="293"/>
      <c r="GK117" s="293"/>
      <c r="GL117" s="293"/>
      <c r="GM117" s="293"/>
      <c r="GN117" s="293"/>
      <c r="GO117" s="293"/>
      <c r="GP117" s="293"/>
      <c r="GQ117" s="293"/>
      <c r="GR117" s="293"/>
      <c r="GS117" s="293"/>
      <c r="GT117" s="293"/>
      <c r="GU117" s="293"/>
      <c r="GV117" s="293"/>
      <c r="GW117" s="293"/>
      <c r="GX117" s="293"/>
      <c r="GY117" s="293"/>
      <c r="GZ117" s="293"/>
      <c r="HA117" s="293"/>
      <c r="HB117" s="293"/>
      <c r="HC117" s="293"/>
      <c r="HD117" s="293"/>
      <c r="HE117" s="293"/>
      <c r="HF117" s="293"/>
      <c r="HG117" s="293"/>
      <c r="HH117" s="293"/>
      <c r="HI117" s="293"/>
      <c r="HJ117" s="293"/>
      <c r="HK117" s="293"/>
      <c r="HL117" s="293"/>
      <c r="HM117" s="293"/>
      <c r="HN117" s="293"/>
      <c r="HO117" s="293"/>
      <c r="HP117" s="293"/>
      <c r="HQ117" s="293"/>
      <c r="HR117" s="293"/>
      <c r="HS117" s="293"/>
      <c r="HT117" s="293"/>
      <c r="HU117" s="293"/>
      <c r="HV117" s="293"/>
      <c r="HW117" s="293"/>
      <c r="HX117" s="293"/>
      <c r="HY117" s="293"/>
      <c r="IH117" s="279">
        <f t="shared" si="17"/>
        <v>0.21380485899999999</v>
      </c>
      <c r="II117" s="279">
        <f t="shared" si="18"/>
        <v>3.4746368E-2</v>
      </c>
      <c r="IJ117" s="279">
        <f t="shared" si="19"/>
        <v>0.24855122699999999</v>
      </c>
      <c r="IK117" s="279">
        <f t="shared" si="20"/>
        <v>0.30041601870000001</v>
      </c>
      <c r="KT117" s="280"/>
    </row>
    <row r="118" spans="1:306" outlineLevel="1">
      <c r="B118" s="96" t="s">
        <v>338</v>
      </c>
      <c r="D118" s="299" t="s">
        <v>388</v>
      </c>
      <c r="E118" s="293"/>
      <c r="F118" s="293"/>
      <c r="G118" s="293"/>
      <c r="H118" s="293"/>
      <c r="I118" s="293"/>
      <c r="J118" s="293"/>
      <c r="K118" s="293"/>
      <c r="L118" s="293"/>
      <c r="M118" s="293"/>
      <c r="N118" s="293"/>
      <c r="O118" s="293"/>
      <c r="P118" s="293"/>
      <c r="Q118" s="293"/>
      <c r="R118" s="293"/>
      <c r="S118" s="293"/>
      <c r="T118" s="293"/>
      <c r="U118" s="293"/>
      <c r="V118" s="293"/>
      <c r="W118" s="293"/>
      <c r="X118" s="293"/>
      <c r="Y118" s="29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c r="BN118" s="293"/>
      <c r="BO118" s="293"/>
      <c r="BP118" s="293"/>
      <c r="BQ118" s="293"/>
      <c r="BR118" s="293"/>
      <c r="BS118" s="293"/>
      <c r="BT118" s="293"/>
      <c r="BU118" s="293"/>
      <c r="BV118" s="293"/>
      <c r="BW118" s="293"/>
      <c r="BX118" s="293"/>
      <c r="BY118" s="293"/>
      <c r="BZ118" s="293"/>
      <c r="CA118" s="293"/>
      <c r="CB118" s="293"/>
      <c r="CC118" s="293"/>
      <c r="CD118" s="293"/>
      <c r="CE118" s="294"/>
      <c r="CF118" s="293"/>
      <c r="CG118" s="293"/>
      <c r="CH118" s="293"/>
      <c r="CI118" s="293"/>
      <c r="CJ118" s="293"/>
      <c r="CK118" s="293"/>
      <c r="CL118" s="293"/>
      <c r="CM118" s="293"/>
      <c r="CN118" s="293"/>
      <c r="CO118" s="293"/>
      <c r="CP118" s="295"/>
      <c r="CQ118" s="293"/>
      <c r="CR118" s="293"/>
      <c r="CS118" s="293"/>
      <c r="CT118" s="293"/>
      <c r="CU118" s="293"/>
      <c r="CV118" s="293"/>
      <c r="CW118" s="293"/>
      <c r="CX118" s="293"/>
      <c r="CY118" s="293"/>
      <c r="CZ118" s="293"/>
      <c r="DA118" s="293"/>
      <c r="DB118" s="1288"/>
      <c r="DC118" s="293"/>
      <c r="DD118" s="293"/>
      <c r="DE118" s="293"/>
      <c r="DF118" s="293"/>
      <c r="DG118" s="293"/>
      <c r="DH118" s="293"/>
      <c r="DI118" s="293"/>
      <c r="DJ118" s="293"/>
      <c r="DK118" s="293"/>
      <c r="DL118" s="293"/>
      <c r="DM118" s="293"/>
      <c r="DN118" s="295"/>
      <c r="DO118" s="293"/>
      <c r="DP118" s="293"/>
      <c r="DQ118" s="293"/>
      <c r="DR118" s="293"/>
      <c r="DS118" s="293"/>
      <c r="DT118" s="293"/>
      <c r="DU118" s="293"/>
      <c r="DV118" s="293"/>
      <c r="DW118" s="293"/>
      <c r="DX118" s="293"/>
      <c r="DY118" s="293"/>
      <c r="DZ118" s="295"/>
      <c r="EA118" s="293"/>
      <c r="EB118" s="293"/>
      <c r="EC118" s="293"/>
      <c r="ED118" s="293"/>
      <c r="EE118" s="293"/>
      <c r="EF118" s="293"/>
      <c r="EG118" s="293"/>
      <c r="EH118" s="293"/>
      <c r="EI118" s="293"/>
      <c r="EJ118" s="293"/>
      <c r="EK118" s="293"/>
      <c r="EL118" s="295"/>
      <c r="EM118" s="1080"/>
      <c r="EN118" s="1080"/>
      <c r="EO118" s="1080"/>
      <c r="EP118" s="1080"/>
      <c r="EQ118" s="1080"/>
      <c r="ER118" s="1080"/>
      <c r="ES118" s="1080"/>
      <c r="ET118" s="1080"/>
      <c r="EU118" s="1080"/>
      <c r="EV118" s="1080"/>
      <c r="EW118" s="1080"/>
      <c r="EX118" s="1340"/>
      <c r="EY118" s="1080"/>
      <c r="EZ118" s="1080"/>
      <c r="FA118" s="1080"/>
      <c r="FB118" s="1080"/>
      <c r="FC118" s="1080"/>
      <c r="FD118" s="1080"/>
      <c r="FE118" s="1080"/>
      <c r="FF118" s="1080"/>
      <c r="FG118" s="1080"/>
      <c r="FH118" s="1080"/>
      <c r="FI118" s="1080"/>
      <c r="FJ118" s="1340"/>
      <c r="FK118" s="1080"/>
      <c r="FL118" s="1080"/>
      <c r="FM118" s="1080"/>
      <c r="FN118" s="1080"/>
      <c r="FO118" s="1080"/>
      <c r="FP118" s="1080"/>
      <c r="FQ118" s="293"/>
      <c r="FR118" s="293"/>
      <c r="FS118" s="293"/>
      <c r="FT118" s="293"/>
      <c r="FU118" s="293"/>
      <c r="FV118" s="293"/>
      <c r="FW118" s="293"/>
      <c r="FX118" s="293"/>
      <c r="FY118" s="293"/>
      <c r="FZ118" s="293"/>
      <c r="GA118" s="293"/>
      <c r="GB118" s="293"/>
      <c r="GC118" s="293"/>
      <c r="GD118" s="293"/>
      <c r="GE118" s="293"/>
      <c r="GF118" s="293"/>
      <c r="GG118" s="293"/>
      <c r="GH118" s="293"/>
      <c r="GI118" s="293"/>
      <c r="GJ118" s="293"/>
      <c r="GK118" s="293"/>
      <c r="GL118" s="293"/>
      <c r="GM118" s="293"/>
      <c r="GN118" s="293"/>
      <c r="GO118" s="293"/>
      <c r="GP118" s="293"/>
      <c r="GQ118" s="293"/>
      <c r="GR118" s="293"/>
      <c r="GS118" s="293"/>
      <c r="GT118" s="293"/>
      <c r="GU118" s="293"/>
      <c r="GV118" s="293"/>
      <c r="GW118" s="293"/>
      <c r="GX118" s="293"/>
      <c r="GY118" s="293"/>
      <c r="GZ118" s="293"/>
      <c r="HA118" s="293"/>
      <c r="HB118" s="293"/>
      <c r="HC118" s="293"/>
      <c r="HD118" s="293"/>
      <c r="HE118" s="293"/>
      <c r="HF118" s="293"/>
      <c r="HG118" s="293"/>
      <c r="HH118" s="293"/>
      <c r="HI118" s="293"/>
      <c r="HJ118" s="293"/>
      <c r="HK118" s="293"/>
      <c r="HL118" s="293"/>
      <c r="HM118" s="293"/>
      <c r="HN118" s="293"/>
      <c r="HO118" s="293"/>
      <c r="HP118" s="293"/>
      <c r="HQ118" s="293"/>
      <c r="HR118" s="293"/>
      <c r="HS118" s="293"/>
      <c r="HT118" s="293"/>
      <c r="HU118" s="293"/>
      <c r="HV118" s="293"/>
      <c r="HW118" s="293"/>
      <c r="HX118" s="293"/>
      <c r="HY118" s="293"/>
      <c r="KT118" s="280"/>
    </row>
    <row r="119" spans="1:306" outlineLevel="1">
      <c r="B119" s="96" t="s">
        <v>338</v>
      </c>
      <c r="D119" s="296" t="s">
        <v>384</v>
      </c>
      <c r="E119" s="293"/>
      <c r="F119" s="293"/>
      <c r="G119" s="293"/>
      <c r="H119" s="293"/>
      <c r="I119" s="293"/>
      <c r="J119" s="293"/>
      <c r="K119" s="293"/>
      <c r="L119" s="293"/>
      <c r="M119" s="293"/>
      <c r="N119" s="293"/>
      <c r="O119" s="293"/>
      <c r="P119" s="293"/>
      <c r="Q119" s="293"/>
      <c r="R119" s="293"/>
      <c r="S119" s="293"/>
      <c r="T119" s="293"/>
      <c r="U119" s="293"/>
      <c r="V119" s="293"/>
      <c r="W119" s="293"/>
      <c r="X119" s="293"/>
      <c r="Y119" s="29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c r="BN119" s="293"/>
      <c r="BO119" s="293"/>
      <c r="BP119" s="293"/>
      <c r="BQ119" s="293"/>
      <c r="BR119" s="293"/>
      <c r="BS119" s="293">
        <v>71.930000000000007</v>
      </c>
      <c r="BT119" s="293">
        <v>77.032900000000012</v>
      </c>
      <c r="BU119" s="293">
        <v>81.699299999999994</v>
      </c>
      <c r="BV119" s="293">
        <v>76.647199999999998</v>
      </c>
      <c r="BW119" s="293">
        <v>81.770090792999994</v>
      </c>
      <c r="BX119" s="293">
        <v>91.863094524000005</v>
      </c>
      <c r="BY119" s="293">
        <v>104.059472746</v>
      </c>
      <c r="BZ119" s="293">
        <v>105.611020371</v>
      </c>
      <c r="CA119" s="293">
        <v>119.070881222</v>
      </c>
      <c r="CB119" s="293">
        <v>122.91240000000002</v>
      </c>
      <c r="CC119" s="293">
        <v>124.80240000000001</v>
      </c>
      <c r="CD119" s="293">
        <v>146.12860000000003</v>
      </c>
      <c r="CE119" s="294">
        <v>143.49610000000001</v>
      </c>
      <c r="CF119" s="293">
        <v>146.39500000000001</v>
      </c>
      <c r="CG119" s="293">
        <v>146.19999999999999</v>
      </c>
      <c r="CH119" s="293">
        <v>145.994</v>
      </c>
      <c r="CI119" s="293">
        <v>156.50399999999999</v>
      </c>
      <c r="CJ119" s="293">
        <v>156.50399999999999</v>
      </c>
      <c r="CK119" s="293">
        <v>156.50400000000002</v>
      </c>
      <c r="CL119" s="293">
        <v>156.50399999999999</v>
      </c>
      <c r="CM119" s="293">
        <v>156.45400000000001</v>
      </c>
      <c r="CN119" s="293">
        <v>156.45400000000001</v>
      </c>
      <c r="CO119" s="293">
        <v>156.51499999999999</v>
      </c>
      <c r="CP119" s="295">
        <v>156.495</v>
      </c>
      <c r="CQ119" s="293">
        <v>156.4845</v>
      </c>
      <c r="CR119" s="293">
        <v>158.46550000000002</v>
      </c>
      <c r="CS119" s="293">
        <v>163.48649999999998</v>
      </c>
      <c r="CT119" s="293">
        <v>163.7225</v>
      </c>
      <c r="CU119" s="293">
        <v>163.9145</v>
      </c>
      <c r="CV119" s="293">
        <v>163.92140000000001</v>
      </c>
      <c r="CW119" s="293">
        <v>163.9349</v>
      </c>
      <c r="CX119" s="293">
        <v>163.95000000000002</v>
      </c>
      <c r="CY119" s="293">
        <v>164</v>
      </c>
      <c r="CZ119" s="293">
        <v>168</v>
      </c>
      <c r="DA119" s="293">
        <v>196.75</v>
      </c>
      <c r="DB119" s="1288">
        <v>212.5</v>
      </c>
      <c r="DC119" s="293">
        <v>217.39999999999998</v>
      </c>
      <c r="DD119" s="293">
        <v>217.39999999999998</v>
      </c>
      <c r="DE119" s="293">
        <v>207.15100000000001</v>
      </c>
      <c r="DF119" s="293">
        <v>214.053</v>
      </c>
      <c r="DG119" s="293">
        <v>217.387</v>
      </c>
      <c r="DH119" s="293">
        <v>222.5412</v>
      </c>
      <c r="DI119" s="293">
        <v>225.10170000000002</v>
      </c>
      <c r="DJ119" s="293">
        <v>225.60940000000002</v>
      </c>
      <c r="DK119" s="293">
        <v>237.10840000000002</v>
      </c>
      <c r="DL119" s="293">
        <v>218.50840000000002</v>
      </c>
      <c r="DM119" s="293">
        <v>232.26870000000002</v>
      </c>
      <c r="DN119" s="295">
        <v>252.6687</v>
      </c>
      <c r="DO119" s="293">
        <v>252.82740875099645</v>
      </c>
      <c r="DP119" s="293">
        <v>249.94540875099645</v>
      </c>
      <c r="DQ119" s="293">
        <v>240.50610875099648</v>
      </c>
      <c r="DR119" s="293">
        <v>238.93840875099647</v>
      </c>
      <c r="DS119" s="293">
        <v>236.70004236599647</v>
      </c>
      <c r="DT119" s="293">
        <v>238.88394236599646</v>
      </c>
      <c r="DU119" s="293">
        <v>238.846</v>
      </c>
      <c r="DV119" s="293">
        <v>246.75280000000001</v>
      </c>
      <c r="DW119" s="293">
        <v>258.73500000000001</v>
      </c>
      <c r="DX119" s="293">
        <v>258.78269999999998</v>
      </c>
      <c r="DY119" s="293">
        <v>263.74869999999999</v>
      </c>
      <c r="DZ119" s="295">
        <v>267.94944392157794</v>
      </c>
      <c r="EA119" s="293">
        <v>283.82994236599694</v>
      </c>
      <c r="EB119" s="293">
        <v>283.83224236599693</v>
      </c>
      <c r="EC119" s="293">
        <v>292.50470000000007</v>
      </c>
      <c r="ED119" s="293">
        <v>302.70250000000016</v>
      </c>
      <c r="EE119" s="293">
        <v>314.44065461200017</v>
      </c>
      <c r="EF119" s="293">
        <v>314.54055461200011</v>
      </c>
      <c r="EG119" s="293">
        <v>303.69139999999999</v>
      </c>
      <c r="EH119" s="293">
        <v>303.69540000000001</v>
      </c>
      <c r="EI119" s="293">
        <v>303.76569999999998</v>
      </c>
      <c r="EJ119" s="293">
        <v>303.73869999999999</v>
      </c>
      <c r="EK119" s="293">
        <v>322.03319999999997</v>
      </c>
      <c r="EL119" s="295">
        <v>323.0677</v>
      </c>
      <c r="EM119" s="1080">
        <v>323.05160000000001</v>
      </c>
      <c r="EN119" s="1080">
        <v>323.04089999999997</v>
      </c>
      <c r="EO119" s="1080">
        <v>323.04089999999997</v>
      </c>
      <c r="EP119" s="1080">
        <v>323.04089999999997</v>
      </c>
      <c r="EQ119" s="1080">
        <v>323.04089999999997</v>
      </c>
      <c r="ER119" s="1080">
        <v>323.04089999999997</v>
      </c>
      <c r="ES119" s="1080">
        <v>323.04089999999997</v>
      </c>
      <c r="ET119" s="1080">
        <v>323.04089999999997</v>
      </c>
      <c r="EU119" s="1080">
        <v>323.04089999999997</v>
      </c>
      <c r="EV119" s="1080">
        <v>376.27280000000002</v>
      </c>
      <c r="EW119" s="1080">
        <v>388.28379999999999</v>
      </c>
      <c r="EX119" s="1340">
        <v>424.27859999999998</v>
      </c>
      <c r="EY119" s="1080">
        <v>386.45249999999999</v>
      </c>
      <c r="EZ119" s="1080">
        <v>390.86590000000001</v>
      </c>
      <c r="FA119" s="1080">
        <v>390.86</v>
      </c>
      <c r="FB119" s="1080">
        <v>390.83989999999994</v>
      </c>
      <c r="FC119" s="1080">
        <v>390.85669999999999</v>
      </c>
      <c r="FD119" s="1080">
        <v>390.82120000000003</v>
      </c>
      <c r="FE119" s="1080">
        <v>390.75320000000005</v>
      </c>
      <c r="FF119" s="1080">
        <v>393.74440000000004</v>
      </c>
      <c r="FG119" s="1080">
        <v>409.73139999999995</v>
      </c>
      <c r="FH119" s="1080">
        <v>414.31230000000005</v>
      </c>
      <c r="FI119" s="1080">
        <v>420.6035</v>
      </c>
      <c r="FJ119" s="1340">
        <v>440.63610000000006</v>
      </c>
      <c r="FK119" s="1080">
        <v>446.13339999999999</v>
      </c>
      <c r="FL119" s="1080">
        <v>455.63440000000003</v>
      </c>
      <c r="FM119" s="1080">
        <v>465.61700000000008</v>
      </c>
      <c r="FN119" s="1080">
        <v>470.60050000000007</v>
      </c>
      <c r="FO119" s="1080">
        <v>475.61640000000006</v>
      </c>
      <c r="FP119" s="1080">
        <v>480.61200000000002</v>
      </c>
      <c r="FQ119" s="293">
        <v>485.65049999999997</v>
      </c>
      <c r="FR119" s="293">
        <v>485.63489999999996</v>
      </c>
      <c r="FS119" s="293">
        <v>479.137</v>
      </c>
      <c r="FT119" s="293">
        <v>450.48950000000008</v>
      </c>
      <c r="FU119" s="293">
        <v>438.77070499999996</v>
      </c>
      <c r="FV119" s="293">
        <v>477.89881000000003</v>
      </c>
      <c r="FW119" s="293">
        <v>468.34409999999997</v>
      </c>
      <c r="FX119" s="293">
        <v>418.9221</v>
      </c>
      <c r="FY119" s="293">
        <v>423.23509999999999</v>
      </c>
      <c r="FZ119" s="293">
        <v>423.56700000000006</v>
      </c>
      <c r="GA119" s="293">
        <v>423.55800000000005</v>
      </c>
      <c r="GB119" s="293">
        <v>424.75110000000006</v>
      </c>
      <c r="GC119" s="293">
        <v>429.26030000000003</v>
      </c>
      <c r="GD119" s="293">
        <v>434.76729999999998</v>
      </c>
      <c r="GE119" s="293">
        <v>420.76850000000002</v>
      </c>
      <c r="GF119" s="293">
        <v>408.15999999999997</v>
      </c>
      <c r="GG119" s="293">
        <v>414.15999999999997</v>
      </c>
      <c r="GH119" s="293">
        <v>420.17</v>
      </c>
      <c r="GI119" s="293">
        <v>424.17</v>
      </c>
      <c r="GJ119" s="293">
        <v>425.5</v>
      </c>
      <c r="GK119" s="293">
        <v>426.40999999999997</v>
      </c>
      <c r="GL119" s="293">
        <v>430.72999999999996</v>
      </c>
      <c r="GM119" s="293">
        <v>464.73</v>
      </c>
      <c r="GN119" s="293">
        <v>455.95</v>
      </c>
      <c r="GO119" s="293">
        <v>442.65199999999993</v>
      </c>
      <c r="GP119" s="293">
        <v>433.82350000000002</v>
      </c>
      <c r="GQ119" s="293">
        <v>418.12800000000004</v>
      </c>
      <c r="GR119" s="293">
        <v>415.80549999999999</v>
      </c>
      <c r="GS119" s="293">
        <v>421.75749999999999</v>
      </c>
      <c r="GT119" s="293">
        <v>410.4221</v>
      </c>
      <c r="GU119" s="293">
        <v>465.26600000000002</v>
      </c>
      <c r="GV119" s="293">
        <v>468.41500000000002</v>
      </c>
      <c r="GW119" s="293">
        <v>472.26499999999999</v>
      </c>
      <c r="GX119" s="293">
        <v>472.2921</v>
      </c>
      <c r="GY119" s="293">
        <v>472.27910000000003</v>
      </c>
      <c r="GZ119" s="293">
        <v>472.30509999999998</v>
      </c>
      <c r="HA119" s="293">
        <v>465.37279999999998</v>
      </c>
      <c r="HB119" s="293">
        <v>496.62810000000002</v>
      </c>
      <c r="HC119" s="293">
        <v>497.64060000000001</v>
      </c>
      <c r="HD119" s="293">
        <v>497.6891</v>
      </c>
      <c r="HE119" s="293">
        <v>477.59649999999999</v>
      </c>
      <c r="HF119" s="293">
        <v>436.38250000000005</v>
      </c>
      <c r="HG119" s="293">
        <v>433.95400000000001</v>
      </c>
      <c r="HH119" s="293">
        <v>509.91949999999997</v>
      </c>
      <c r="HI119" s="293">
        <v>566.45249999999999</v>
      </c>
      <c r="HJ119" s="293">
        <v>563.91449999999998</v>
      </c>
      <c r="HK119" s="293">
        <v>631.38549999999998</v>
      </c>
      <c r="HL119" s="293">
        <v>627.54920000000004</v>
      </c>
      <c r="HM119" s="293"/>
      <c r="HN119" s="293"/>
      <c r="HO119" s="293"/>
      <c r="HP119" s="293"/>
      <c r="HQ119" s="293"/>
      <c r="HR119" s="293"/>
      <c r="HS119" s="293"/>
      <c r="HT119" s="293"/>
      <c r="HU119" s="293"/>
      <c r="HV119" s="293"/>
      <c r="HW119" s="293"/>
      <c r="HX119" s="293"/>
      <c r="HY119" s="293"/>
      <c r="IH119" s="279">
        <f t="shared" ref="IH119:IH124" si="21">+SUM(DC119:DH119)</f>
        <v>1295.9322000000002</v>
      </c>
      <c r="II119" s="279">
        <f t="shared" ref="II119:II124" si="22">+SUM(DI119:DN119)</f>
        <v>1391.2653</v>
      </c>
      <c r="IJ119" s="279">
        <f t="shared" ref="IJ119:IJ124" si="23">+IH119+II119</f>
        <v>2687.1975000000002</v>
      </c>
      <c r="IK119" s="279">
        <f t="shared" ref="IK119:IK124" si="24">SUM(DO119:DT119)</f>
        <v>1457.8013197359787</v>
      </c>
      <c r="KT119" s="280"/>
    </row>
    <row r="120" spans="1:306" outlineLevel="1">
      <c r="B120" s="96" t="s">
        <v>338</v>
      </c>
      <c r="D120" s="300" t="s">
        <v>385</v>
      </c>
      <c r="E120" s="293"/>
      <c r="F120" s="293"/>
      <c r="G120" s="293"/>
      <c r="H120" s="293"/>
      <c r="I120" s="293"/>
      <c r="J120" s="293"/>
      <c r="K120" s="293"/>
      <c r="L120" s="293"/>
      <c r="M120" s="293"/>
      <c r="N120" s="293"/>
      <c r="O120" s="293"/>
      <c r="P120" s="293"/>
      <c r="Q120" s="293"/>
      <c r="R120" s="293"/>
      <c r="S120" s="293"/>
      <c r="T120" s="293"/>
      <c r="U120" s="293"/>
      <c r="V120" s="293"/>
      <c r="W120" s="293"/>
      <c r="X120" s="293"/>
      <c r="Y120" s="29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c r="BN120" s="293"/>
      <c r="BO120" s="293"/>
      <c r="BP120" s="293"/>
      <c r="BQ120" s="293"/>
      <c r="BR120" s="293"/>
      <c r="BS120" s="293">
        <v>71.705600000000004</v>
      </c>
      <c r="BT120" s="293">
        <v>64.372600000000006</v>
      </c>
      <c r="BU120" s="293">
        <v>62.764699999999998</v>
      </c>
      <c r="BV120" s="293">
        <v>56.813700000000004</v>
      </c>
      <c r="BW120" s="293"/>
      <c r="BX120" s="293"/>
      <c r="BY120" s="293"/>
      <c r="BZ120" s="293"/>
      <c r="CA120" s="293"/>
      <c r="CB120" s="293">
        <v>83.130700000000019</v>
      </c>
      <c r="CC120" s="293">
        <v>74.181200000000018</v>
      </c>
      <c r="CD120" s="293">
        <v>103.0291</v>
      </c>
      <c r="CE120" s="294">
        <v>108.0241</v>
      </c>
      <c r="CF120" s="293">
        <v>122.099</v>
      </c>
      <c r="CG120" s="293">
        <v>115.73219999999999</v>
      </c>
      <c r="CH120" s="293">
        <v>127.729</v>
      </c>
      <c r="CI120" s="293">
        <v>141.9743</v>
      </c>
      <c r="CJ120" s="293">
        <v>145.6336</v>
      </c>
      <c r="CK120" s="293">
        <v>144.55020000000002</v>
      </c>
      <c r="CL120" s="293">
        <v>143.93779999999998</v>
      </c>
      <c r="CM120" s="293">
        <v>147.45140000000001</v>
      </c>
      <c r="CN120" s="293">
        <v>147.45140000000001</v>
      </c>
      <c r="CO120" s="293">
        <v>147.27799999999999</v>
      </c>
      <c r="CP120" s="295">
        <v>145.9434</v>
      </c>
      <c r="CQ120" s="293">
        <v>145.2535</v>
      </c>
      <c r="CR120" s="293">
        <v>148.07560000000001</v>
      </c>
      <c r="CS120" s="293">
        <v>154.37549999999999</v>
      </c>
      <c r="CT120" s="293">
        <v>150.33240000000001</v>
      </c>
      <c r="CU120" s="293">
        <v>151.09739999999999</v>
      </c>
      <c r="CV120" s="293">
        <v>152.07040000000001</v>
      </c>
      <c r="CW120" s="293">
        <v>154.0429</v>
      </c>
      <c r="CX120" s="293">
        <v>154.13900000000001</v>
      </c>
      <c r="CY120" s="293">
        <v>154.166</v>
      </c>
      <c r="CZ120" s="293">
        <v>158.166</v>
      </c>
      <c r="DA120" s="293">
        <v>187.01150000000001</v>
      </c>
      <c r="DB120" s="1288">
        <v>203.46350000000001</v>
      </c>
      <c r="DC120" s="293">
        <v>211.87899999999999</v>
      </c>
      <c r="DD120" s="293">
        <v>213.92599999999999</v>
      </c>
      <c r="DE120" s="293">
        <v>204.45750000000001</v>
      </c>
      <c r="DF120" s="293">
        <v>211.5085</v>
      </c>
      <c r="DG120" s="293">
        <v>209.95079999999999</v>
      </c>
      <c r="DH120" s="293">
        <v>210.6105</v>
      </c>
      <c r="DI120" s="293">
        <v>206.94300000000001</v>
      </c>
      <c r="DJ120" s="293">
        <v>207.93720000000002</v>
      </c>
      <c r="DK120" s="293">
        <v>219.15620000000001</v>
      </c>
      <c r="DL120" s="293">
        <v>188.27770000000001</v>
      </c>
      <c r="DM120" s="293">
        <v>200.47470000000001</v>
      </c>
      <c r="DN120" s="295">
        <v>214.0017</v>
      </c>
      <c r="DO120" s="293">
        <v>210.49869844441855</v>
      </c>
      <c r="DP120" s="293">
        <v>197.03189844441854</v>
      </c>
      <c r="DQ120" s="293">
        <v>180.33169844441855</v>
      </c>
      <c r="DR120" s="293">
        <v>170.82229844441855</v>
      </c>
      <c r="DS120" s="293">
        <v>170.59499844441854</v>
      </c>
      <c r="DT120" s="293">
        <v>177.74169844441855</v>
      </c>
      <c r="DU120" s="293">
        <v>170.1995</v>
      </c>
      <c r="DV120" s="293">
        <v>172.10120000000001</v>
      </c>
      <c r="DW120" s="293">
        <v>187.2927</v>
      </c>
      <c r="DX120" s="293">
        <v>185.26570000000001</v>
      </c>
      <c r="DY120" s="293">
        <v>192.29580000000001</v>
      </c>
      <c r="DZ120" s="295">
        <v>207.91630000000001</v>
      </c>
      <c r="EA120" s="293">
        <v>236.62459844441901</v>
      </c>
      <c r="EB120" s="293">
        <v>240.69739844441901</v>
      </c>
      <c r="EC120" s="293">
        <v>253.9777</v>
      </c>
      <c r="ED120" s="293">
        <v>267.68120000000005</v>
      </c>
      <c r="EE120" s="293">
        <v>283.99295461200006</v>
      </c>
      <c r="EF120" s="293">
        <v>280.25325461200003</v>
      </c>
      <c r="EG120" s="293">
        <v>249.76879999999997</v>
      </c>
      <c r="EH120" s="293">
        <v>255.13290000000001</v>
      </c>
      <c r="EI120" s="293">
        <v>254.6738</v>
      </c>
      <c r="EJ120" s="293">
        <v>233.02860000000001</v>
      </c>
      <c r="EK120" s="293">
        <v>259.1318</v>
      </c>
      <c r="EL120" s="295">
        <v>249.52600000000001</v>
      </c>
      <c r="EM120" s="1080">
        <v>247.8306</v>
      </c>
      <c r="EN120" s="1080">
        <v>259.45679999999999</v>
      </c>
      <c r="EO120" s="1080">
        <v>256.83210000000003</v>
      </c>
      <c r="EP120" s="1080">
        <v>239.4751</v>
      </c>
      <c r="EQ120" s="1080">
        <v>242.1165</v>
      </c>
      <c r="ER120" s="1080">
        <v>232.11940000000001</v>
      </c>
      <c r="ES120" s="1080">
        <v>226.3536</v>
      </c>
      <c r="ET120" s="1080">
        <v>235.21889999999999</v>
      </c>
      <c r="EU120" s="1080">
        <v>246.95580000000001</v>
      </c>
      <c r="EV120" s="1080">
        <v>275.25650000000002</v>
      </c>
      <c r="EW120" s="1080">
        <v>272.30399999999997</v>
      </c>
      <c r="EX120" s="1340">
        <v>296.9461</v>
      </c>
      <c r="EY120" s="1080">
        <v>260.04840000000002</v>
      </c>
      <c r="EZ120" s="1080">
        <v>270.41980000000001</v>
      </c>
      <c r="FA120" s="1080">
        <v>273.57</v>
      </c>
      <c r="FB120" s="1080">
        <v>283.38889999999998</v>
      </c>
      <c r="FC120" s="1080">
        <v>303.755</v>
      </c>
      <c r="FD120" s="1080">
        <v>318.65210000000002</v>
      </c>
      <c r="FE120" s="1080">
        <v>333.51830000000007</v>
      </c>
      <c r="FF120" s="1080">
        <v>344.66</v>
      </c>
      <c r="FG120" s="1080">
        <v>358.50319999999994</v>
      </c>
      <c r="FH120" s="1080">
        <v>360.00840000000005</v>
      </c>
      <c r="FI120" s="1080">
        <v>370.06670000000003</v>
      </c>
      <c r="FJ120" s="1340">
        <v>380.90660000000008</v>
      </c>
      <c r="FK120" s="1080">
        <v>371.05</v>
      </c>
      <c r="FL120" s="1080">
        <v>367.36930000000001</v>
      </c>
      <c r="FM120" s="1080">
        <v>367.30320000000006</v>
      </c>
      <c r="FN120" s="1080">
        <v>367.30800000000005</v>
      </c>
      <c r="FO120" s="1080">
        <v>368.18020000000007</v>
      </c>
      <c r="FP120" s="1080">
        <v>378.28700000000003</v>
      </c>
      <c r="FQ120" s="293">
        <v>378.93799999999999</v>
      </c>
      <c r="FR120" s="293">
        <v>376.56549999999999</v>
      </c>
      <c r="FS120" s="293">
        <v>362.09870000000001</v>
      </c>
      <c r="FT120" s="293">
        <v>340.82600000000008</v>
      </c>
      <c r="FU120" s="293">
        <v>328.37799999999999</v>
      </c>
      <c r="FV120" s="293">
        <v>382.43700000000001</v>
      </c>
      <c r="FW120" s="293">
        <v>363.07799999999997</v>
      </c>
      <c r="FX120" s="293">
        <v>328.31200000000001</v>
      </c>
      <c r="FY120" s="293">
        <v>343.59640000000002</v>
      </c>
      <c r="FZ120" s="293">
        <v>344.85990000000004</v>
      </c>
      <c r="GA120" s="293">
        <v>358.43210000000005</v>
      </c>
      <c r="GB120" s="293">
        <v>359.97980000000007</v>
      </c>
      <c r="GC120" s="293">
        <v>363.88740000000001</v>
      </c>
      <c r="GD120" s="293">
        <v>369.86709999999999</v>
      </c>
      <c r="GE120" s="293">
        <v>349.88420000000002</v>
      </c>
      <c r="GF120" s="293">
        <v>336.89</v>
      </c>
      <c r="GG120" s="293">
        <v>342.82</v>
      </c>
      <c r="GH120" s="293">
        <v>354.13</v>
      </c>
      <c r="GI120" s="293">
        <v>366.75</v>
      </c>
      <c r="GJ120" s="293">
        <v>384.61</v>
      </c>
      <c r="GK120" s="293">
        <v>401.64</v>
      </c>
      <c r="GL120" s="293">
        <v>410.53</v>
      </c>
      <c r="GM120" s="293">
        <v>432.62</v>
      </c>
      <c r="GN120" s="293">
        <v>390.12</v>
      </c>
      <c r="GO120" s="293">
        <v>377.77979999999997</v>
      </c>
      <c r="GP120" s="293">
        <v>357.40350000000001</v>
      </c>
      <c r="GQ120" s="293">
        <v>343.17</v>
      </c>
      <c r="GR120" s="293">
        <v>341.54399999999998</v>
      </c>
      <c r="GS120" s="293">
        <v>352.84399999999999</v>
      </c>
      <c r="GT120" s="293">
        <v>335.56900000000002</v>
      </c>
      <c r="GU120" s="293">
        <v>404.76100000000002</v>
      </c>
      <c r="GV120" s="293">
        <v>401.12900000000002</v>
      </c>
      <c r="GW120" s="293">
        <v>411.01799999999997</v>
      </c>
      <c r="GX120" s="293">
        <v>394.95769999999999</v>
      </c>
      <c r="GY120" s="293">
        <v>377.80020000000002</v>
      </c>
      <c r="GZ120" s="293">
        <v>387.36669999999998</v>
      </c>
      <c r="HA120" s="293">
        <v>362.7912</v>
      </c>
      <c r="HB120" s="293">
        <v>365.27870000000001</v>
      </c>
      <c r="HC120" s="293">
        <v>374.93819999999999</v>
      </c>
      <c r="HD120" s="293">
        <v>373.79219999999998</v>
      </c>
      <c r="HE120" s="293">
        <v>370.9624</v>
      </c>
      <c r="HF120" s="293">
        <v>336.57740000000001</v>
      </c>
      <c r="HG120" s="293">
        <v>351.07769999999999</v>
      </c>
      <c r="HH120" s="293">
        <v>435.2672</v>
      </c>
      <c r="HI120" s="293">
        <v>486.72899999999998</v>
      </c>
      <c r="HJ120" s="293">
        <v>477.21499999999997</v>
      </c>
      <c r="HK120" s="293">
        <v>545.226</v>
      </c>
      <c r="HL120" s="293">
        <v>544.10500000000002</v>
      </c>
      <c r="HM120" s="293"/>
      <c r="HN120" s="293"/>
      <c r="HO120" s="293"/>
      <c r="HP120" s="293"/>
      <c r="HQ120" s="293"/>
      <c r="HR120" s="293"/>
      <c r="HS120" s="293"/>
      <c r="HT120" s="293"/>
      <c r="HU120" s="293"/>
      <c r="HV120" s="293"/>
      <c r="HW120" s="293"/>
      <c r="HX120" s="293"/>
      <c r="HY120" s="293"/>
      <c r="IH120" s="279">
        <f t="shared" si="21"/>
        <v>1262.3323</v>
      </c>
      <c r="II120" s="279">
        <f t="shared" si="22"/>
        <v>1236.7905000000001</v>
      </c>
      <c r="IJ120" s="279">
        <f t="shared" si="23"/>
        <v>2499.1228000000001</v>
      </c>
      <c r="IK120" s="279">
        <f t="shared" si="24"/>
        <v>1107.021290666511</v>
      </c>
      <c r="KT120" s="280"/>
    </row>
    <row r="121" spans="1:306" outlineLevel="1">
      <c r="B121" s="96" t="s">
        <v>338</v>
      </c>
      <c r="D121" s="300" t="s">
        <v>386</v>
      </c>
      <c r="E121" s="293"/>
      <c r="F121" s="293"/>
      <c r="G121" s="293"/>
      <c r="H121" s="293"/>
      <c r="I121" s="293"/>
      <c r="J121" s="293"/>
      <c r="K121" s="293"/>
      <c r="L121" s="293"/>
      <c r="M121" s="293"/>
      <c r="N121" s="293"/>
      <c r="O121" s="293"/>
      <c r="P121" s="293"/>
      <c r="Q121" s="293"/>
      <c r="R121" s="293"/>
      <c r="S121" s="293"/>
      <c r="T121" s="293"/>
      <c r="U121" s="293"/>
      <c r="V121" s="293"/>
      <c r="W121" s="293"/>
      <c r="X121" s="293"/>
      <c r="Y121" s="29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c r="BN121" s="293"/>
      <c r="BO121" s="293"/>
      <c r="BP121" s="293"/>
      <c r="BQ121" s="293"/>
      <c r="BR121" s="293"/>
      <c r="BS121" s="293">
        <v>0.22440000000000002</v>
      </c>
      <c r="BT121" s="293">
        <v>12.660300000000001</v>
      </c>
      <c r="BU121" s="293">
        <v>18.9346</v>
      </c>
      <c r="BV121" s="293">
        <v>19.833499999999997</v>
      </c>
      <c r="BW121" s="293"/>
      <c r="BX121" s="293"/>
      <c r="BY121" s="293"/>
      <c r="BZ121" s="293"/>
      <c r="CA121" s="293"/>
      <c r="CB121" s="293">
        <v>39.781699999999994</v>
      </c>
      <c r="CC121" s="293">
        <v>50.621199999999988</v>
      </c>
      <c r="CD121" s="293">
        <v>43.099500000000027</v>
      </c>
      <c r="CE121" s="294">
        <v>35.472000000000001</v>
      </c>
      <c r="CF121" s="293">
        <v>24.295999999999999</v>
      </c>
      <c r="CG121" s="293">
        <v>30.4678</v>
      </c>
      <c r="CH121" s="293">
        <v>18.265000000000001</v>
      </c>
      <c r="CI121" s="293">
        <v>14.529699999999998</v>
      </c>
      <c r="CJ121" s="293">
        <v>10.8704</v>
      </c>
      <c r="CK121" s="293">
        <v>11.953799999999999</v>
      </c>
      <c r="CL121" s="293">
        <v>12.5662</v>
      </c>
      <c r="CM121" s="293">
        <v>9.002600000000001</v>
      </c>
      <c r="CN121" s="293">
        <v>9.002600000000001</v>
      </c>
      <c r="CO121" s="293">
        <v>9.2370000000000001</v>
      </c>
      <c r="CP121" s="295">
        <v>10.551600000000001</v>
      </c>
      <c r="CQ121" s="293">
        <v>11.231</v>
      </c>
      <c r="CR121" s="293">
        <v>10.389900000000001</v>
      </c>
      <c r="CS121" s="293">
        <v>9.1110000000000007</v>
      </c>
      <c r="CT121" s="293">
        <v>13.3901</v>
      </c>
      <c r="CU121" s="293">
        <v>12.8171</v>
      </c>
      <c r="CV121" s="293">
        <v>11.851000000000001</v>
      </c>
      <c r="CW121" s="293">
        <v>9.8919999999999995</v>
      </c>
      <c r="CX121" s="293">
        <v>9.8109999999999999</v>
      </c>
      <c r="CY121" s="293">
        <v>9.8339999999999996</v>
      </c>
      <c r="CZ121" s="293">
        <v>9.8339999999999996</v>
      </c>
      <c r="DA121" s="293">
        <v>9.7385000000000002</v>
      </c>
      <c r="DB121" s="1288">
        <v>9.0365000000000002</v>
      </c>
      <c r="DC121" s="293">
        <v>5.5209999999999999</v>
      </c>
      <c r="DD121" s="293">
        <v>3.4740000000000002</v>
      </c>
      <c r="DE121" s="293">
        <v>2.6934999999999998</v>
      </c>
      <c r="DF121" s="293">
        <v>2.5445000000000002</v>
      </c>
      <c r="DG121" s="293">
        <v>7.4361999999999995</v>
      </c>
      <c r="DH121" s="293">
        <v>11.9307</v>
      </c>
      <c r="DI121" s="293">
        <v>18.1587</v>
      </c>
      <c r="DJ121" s="293">
        <v>17.6722</v>
      </c>
      <c r="DK121" s="293">
        <v>17.952200000000001</v>
      </c>
      <c r="DL121" s="293">
        <v>30.230700000000002</v>
      </c>
      <c r="DM121" s="293">
        <v>31.794</v>
      </c>
      <c r="DN121" s="295">
        <v>38.667000000000002</v>
      </c>
      <c r="DO121" s="293">
        <v>42.328710306577911</v>
      </c>
      <c r="DP121" s="293">
        <v>52.913510306577912</v>
      </c>
      <c r="DQ121" s="293">
        <v>60.174410306577919</v>
      </c>
      <c r="DR121" s="293">
        <v>68.116110306577923</v>
      </c>
      <c r="DS121" s="293">
        <v>66.105043921577916</v>
      </c>
      <c r="DT121" s="293">
        <v>61.142243921577922</v>
      </c>
      <c r="DU121" s="293">
        <v>68.646500000000003</v>
      </c>
      <c r="DV121" s="293">
        <v>74.651600000000002</v>
      </c>
      <c r="DW121" s="293">
        <v>71.442300000000003</v>
      </c>
      <c r="DX121" s="293">
        <v>73.516999999999996</v>
      </c>
      <c r="DY121" s="293">
        <v>71.4529</v>
      </c>
      <c r="DZ121" s="295">
        <v>60.033143921577924</v>
      </c>
      <c r="EA121" s="293">
        <v>47.205343921577928</v>
      </c>
      <c r="EB121" s="293">
        <v>43.134843921577925</v>
      </c>
      <c r="EC121" s="293">
        <v>38.5270000000001</v>
      </c>
      <c r="ED121" s="293">
        <v>35.021300000000096</v>
      </c>
      <c r="EE121" s="293">
        <v>30.447700000000097</v>
      </c>
      <c r="EF121" s="293">
        <v>34.287300000000094</v>
      </c>
      <c r="EG121" s="293">
        <v>53.922599999999996</v>
      </c>
      <c r="EH121" s="293">
        <v>48.5625</v>
      </c>
      <c r="EI121" s="293">
        <v>49.091899999999995</v>
      </c>
      <c r="EJ121" s="293">
        <v>70.710100000000011</v>
      </c>
      <c r="EK121" s="293">
        <v>62.901399999999995</v>
      </c>
      <c r="EL121" s="295">
        <v>73.541700000000006</v>
      </c>
      <c r="EM121" s="1080">
        <v>75.221000000000004</v>
      </c>
      <c r="EN121" s="1080">
        <v>63.584099999999999</v>
      </c>
      <c r="EO121" s="1080">
        <v>66.208799999999982</v>
      </c>
      <c r="EP121" s="1080">
        <v>83.585999999999999</v>
      </c>
      <c r="EQ121" s="1080">
        <v>91.070400000000006</v>
      </c>
      <c r="ER121" s="1080">
        <v>111.1058</v>
      </c>
      <c r="ES121" s="1080">
        <v>103.32210000000001</v>
      </c>
      <c r="ET121" s="1080">
        <v>113.02249999999999</v>
      </c>
      <c r="EU121" s="1080">
        <v>104.31699999999999</v>
      </c>
      <c r="EV121" s="1080">
        <v>101.0163</v>
      </c>
      <c r="EW121" s="1080">
        <v>115.9798</v>
      </c>
      <c r="EX121" s="1340">
        <v>127.3325</v>
      </c>
      <c r="EY121" s="1080">
        <v>126.4041</v>
      </c>
      <c r="EZ121" s="1080">
        <v>120.4461</v>
      </c>
      <c r="FA121" s="1080">
        <v>117.29</v>
      </c>
      <c r="FB121" s="1080">
        <v>107.45099999999999</v>
      </c>
      <c r="FC121" s="1080">
        <v>87.101699999999994</v>
      </c>
      <c r="FD121" s="1080">
        <v>72.1691</v>
      </c>
      <c r="FE121" s="1080">
        <v>57.234900000000003</v>
      </c>
      <c r="FF121" s="1080">
        <v>49.084400000000002</v>
      </c>
      <c r="FG121" s="1080">
        <v>51.228200000000001</v>
      </c>
      <c r="FH121" s="1080">
        <v>54.303899999999999</v>
      </c>
      <c r="FI121" s="1080">
        <v>50.536799999999992</v>
      </c>
      <c r="FJ121" s="1340">
        <v>59.729500000000002</v>
      </c>
      <c r="FK121" s="1080">
        <v>75.083399999999983</v>
      </c>
      <c r="FL121" s="1080">
        <v>88.265100000000004</v>
      </c>
      <c r="FM121" s="1080">
        <v>98.313800000000001</v>
      </c>
      <c r="FN121" s="1080">
        <v>103.2925</v>
      </c>
      <c r="FO121" s="1080">
        <v>107.43619999999999</v>
      </c>
      <c r="FP121" s="1080">
        <v>102.325</v>
      </c>
      <c r="FQ121" s="293">
        <v>106.71250000000001</v>
      </c>
      <c r="FR121" s="293">
        <v>109.06939999999999</v>
      </c>
      <c r="FS121" s="293">
        <v>117.03830000000001</v>
      </c>
      <c r="FT121" s="293">
        <v>109.6635</v>
      </c>
      <c r="FU121" s="293">
        <v>110.39270499999999</v>
      </c>
      <c r="FV121" s="293">
        <v>95.461810000000014</v>
      </c>
      <c r="FW121" s="293">
        <v>105.26609999999999</v>
      </c>
      <c r="FX121" s="293">
        <v>90.610099999999989</v>
      </c>
      <c r="FY121" s="293">
        <v>79.6387</v>
      </c>
      <c r="FZ121" s="293">
        <v>78.707100000000011</v>
      </c>
      <c r="GA121" s="293">
        <v>65.125899999999987</v>
      </c>
      <c r="GB121" s="293">
        <v>64.771299999999997</v>
      </c>
      <c r="GC121" s="293">
        <v>65.372899999999987</v>
      </c>
      <c r="GD121" s="293">
        <v>64.900199999999998</v>
      </c>
      <c r="GE121" s="293">
        <v>70.884299999999982</v>
      </c>
      <c r="GF121" s="293">
        <v>71.27</v>
      </c>
      <c r="GG121" s="293">
        <v>71.34</v>
      </c>
      <c r="GH121" s="293">
        <v>66.040000000000006</v>
      </c>
      <c r="GI121" s="293">
        <v>57.42</v>
      </c>
      <c r="GJ121" s="293">
        <v>40.89</v>
      </c>
      <c r="GK121" s="293">
        <v>24.77</v>
      </c>
      <c r="GL121" s="293">
        <v>20.2</v>
      </c>
      <c r="GM121" s="293">
        <v>32.11</v>
      </c>
      <c r="GN121" s="293">
        <v>65.83</v>
      </c>
      <c r="GO121" s="293">
        <v>64.872199999999992</v>
      </c>
      <c r="GP121" s="293">
        <v>76.42</v>
      </c>
      <c r="GQ121" s="293">
        <v>74.957999999999998</v>
      </c>
      <c r="GR121" s="293">
        <v>74.261499999999998</v>
      </c>
      <c r="GS121" s="293">
        <v>68.913499999999999</v>
      </c>
      <c r="GT121" s="293">
        <v>74.853099999999998</v>
      </c>
      <c r="GU121" s="293">
        <v>60.505000000000003</v>
      </c>
      <c r="GV121" s="293">
        <v>67.286000000000001</v>
      </c>
      <c r="GW121" s="293">
        <v>61.247</v>
      </c>
      <c r="GX121" s="293">
        <v>77.334400000000002</v>
      </c>
      <c r="GY121" s="293">
        <v>94.478899999999996</v>
      </c>
      <c r="GZ121" s="293">
        <v>84.938400000000001</v>
      </c>
      <c r="HA121" s="293">
        <v>102.58160000000001</v>
      </c>
      <c r="HB121" s="293">
        <v>131.3494</v>
      </c>
      <c r="HC121" s="293">
        <v>122.7024</v>
      </c>
      <c r="HD121" s="293">
        <v>123.8969</v>
      </c>
      <c r="HE121" s="293">
        <v>106.6341</v>
      </c>
      <c r="HF121" s="293">
        <v>99.80510000000001</v>
      </c>
      <c r="HG121" s="293">
        <v>82.876300000000001</v>
      </c>
      <c r="HH121" s="293">
        <v>74.652299999999997</v>
      </c>
      <c r="HI121" s="293">
        <v>79.723500000000001</v>
      </c>
      <c r="HJ121" s="293">
        <v>86.6995</v>
      </c>
      <c r="HK121" s="293">
        <v>86.159499999999994</v>
      </c>
      <c r="HL121" s="293">
        <v>83.444199999999995</v>
      </c>
      <c r="HM121" s="293"/>
      <c r="HN121" s="293"/>
      <c r="HO121" s="293"/>
      <c r="HP121" s="293"/>
      <c r="HQ121" s="293"/>
      <c r="HR121" s="293"/>
      <c r="HS121" s="293"/>
      <c r="HT121" s="293"/>
      <c r="HU121" s="293"/>
      <c r="HV121" s="293"/>
      <c r="HW121" s="293"/>
      <c r="HX121" s="293"/>
      <c r="HY121" s="293"/>
      <c r="IH121" s="279">
        <f t="shared" si="21"/>
        <v>33.599899999999998</v>
      </c>
      <c r="II121" s="279">
        <f t="shared" si="22"/>
        <v>154.47480000000002</v>
      </c>
      <c r="IJ121" s="279">
        <f t="shared" si="23"/>
        <v>188.07470000000001</v>
      </c>
      <c r="IK121" s="279">
        <f t="shared" si="24"/>
        <v>350.7800290694675</v>
      </c>
      <c r="KT121" s="280"/>
    </row>
    <row r="122" spans="1:306" outlineLevel="1">
      <c r="B122" s="96" t="s">
        <v>338</v>
      </c>
      <c r="D122" s="296" t="s">
        <v>387</v>
      </c>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c r="BN122" s="293"/>
      <c r="BO122" s="293"/>
      <c r="BP122" s="293"/>
      <c r="BQ122" s="293"/>
      <c r="BR122" s="293"/>
      <c r="BS122" s="293">
        <v>12.500000000000002</v>
      </c>
      <c r="BT122" s="293">
        <v>10</v>
      </c>
      <c r="BU122" s="293">
        <v>10</v>
      </c>
      <c r="BV122" s="293">
        <v>10</v>
      </c>
      <c r="BW122" s="293">
        <v>10</v>
      </c>
      <c r="BX122" s="293">
        <v>10</v>
      </c>
      <c r="BY122" s="293">
        <v>10</v>
      </c>
      <c r="BZ122" s="293">
        <v>10</v>
      </c>
      <c r="CA122" s="293">
        <v>8.5</v>
      </c>
      <c r="CB122" s="293">
        <v>8.5</v>
      </c>
      <c r="CC122" s="293">
        <v>8.5</v>
      </c>
      <c r="CD122" s="293">
        <v>8.5</v>
      </c>
      <c r="CE122" s="294">
        <v>8.5</v>
      </c>
      <c r="CF122" s="293">
        <v>8.5</v>
      </c>
      <c r="CG122" s="293">
        <v>8.5</v>
      </c>
      <c r="CH122" s="293">
        <v>8.5</v>
      </c>
      <c r="CI122" s="293">
        <v>8.5</v>
      </c>
      <c r="CJ122" s="293">
        <v>8.5</v>
      </c>
      <c r="CK122" s="293">
        <v>8.5</v>
      </c>
      <c r="CL122" s="293">
        <v>18.5</v>
      </c>
      <c r="CM122" s="293">
        <v>18.5</v>
      </c>
      <c r="CN122" s="293">
        <v>18.5</v>
      </c>
      <c r="CO122" s="293">
        <v>33.5</v>
      </c>
      <c r="CP122" s="295">
        <v>33.5</v>
      </c>
      <c r="CQ122" s="293">
        <v>33.5</v>
      </c>
      <c r="CR122" s="293">
        <v>48.5</v>
      </c>
      <c r="CS122" s="293">
        <v>48.5</v>
      </c>
      <c r="CT122" s="293">
        <v>48.5</v>
      </c>
      <c r="CU122" s="293">
        <v>63.5</v>
      </c>
      <c r="CV122" s="293">
        <v>63.5</v>
      </c>
      <c r="CW122" s="293">
        <v>63.5</v>
      </c>
      <c r="CX122" s="293">
        <v>78.5</v>
      </c>
      <c r="CY122" s="293">
        <v>78.5</v>
      </c>
      <c r="CZ122" s="293">
        <v>78.5</v>
      </c>
      <c r="DA122" s="293">
        <v>88.5</v>
      </c>
      <c r="DB122" s="1288">
        <v>88.5</v>
      </c>
      <c r="DC122" s="293">
        <v>88.5</v>
      </c>
      <c r="DD122" s="293">
        <v>103.5</v>
      </c>
      <c r="DE122" s="293">
        <v>103.5</v>
      </c>
      <c r="DF122" s="293">
        <v>103.5</v>
      </c>
      <c r="DG122" s="293">
        <v>115</v>
      </c>
      <c r="DH122" s="293">
        <v>115</v>
      </c>
      <c r="DI122" s="293">
        <v>115</v>
      </c>
      <c r="DJ122" s="293">
        <v>129.99999999999997</v>
      </c>
      <c r="DK122" s="293">
        <v>129.99999999999997</v>
      </c>
      <c r="DL122" s="293">
        <v>129.99999999999997</v>
      </c>
      <c r="DM122" s="293">
        <v>139.99999999999997</v>
      </c>
      <c r="DN122" s="295">
        <v>139.99999999999997</v>
      </c>
      <c r="DO122" s="293">
        <v>139.99999999999997</v>
      </c>
      <c r="DP122" s="293">
        <v>155</v>
      </c>
      <c r="DQ122" s="293">
        <v>152.5</v>
      </c>
      <c r="DR122" s="293">
        <v>152.5</v>
      </c>
      <c r="DS122" s="293">
        <v>167.5</v>
      </c>
      <c r="DT122" s="293">
        <v>167.5</v>
      </c>
      <c r="DU122" s="293">
        <v>167.5</v>
      </c>
      <c r="DV122" s="293">
        <v>165</v>
      </c>
      <c r="DW122" s="293">
        <v>165</v>
      </c>
      <c r="DX122" s="293">
        <v>165</v>
      </c>
      <c r="DY122" s="293">
        <v>175</v>
      </c>
      <c r="DZ122" s="295">
        <v>175</v>
      </c>
      <c r="EA122" s="293">
        <v>175</v>
      </c>
      <c r="EB122" s="293">
        <v>185</v>
      </c>
      <c r="EC122" s="293">
        <v>185</v>
      </c>
      <c r="ED122" s="293">
        <v>185</v>
      </c>
      <c r="EE122" s="293">
        <v>195</v>
      </c>
      <c r="EF122" s="293">
        <v>195</v>
      </c>
      <c r="EG122" s="293">
        <v>195</v>
      </c>
      <c r="EH122" s="293">
        <v>195</v>
      </c>
      <c r="EI122" s="293">
        <v>195</v>
      </c>
      <c r="EJ122" s="293">
        <v>195</v>
      </c>
      <c r="EK122" s="293">
        <v>205</v>
      </c>
      <c r="EL122" s="295">
        <v>215</v>
      </c>
      <c r="EM122" s="1080">
        <v>215</v>
      </c>
      <c r="EN122" s="1080">
        <v>215</v>
      </c>
      <c r="EO122" s="1080">
        <v>244.99999999999994</v>
      </c>
      <c r="EP122" s="1080">
        <v>244.99999999999994</v>
      </c>
      <c r="EQ122" s="1080">
        <v>245</v>
      </c>
      <c r="ER122" s="1080">
        <v>245</v>
      </c>
      <c r="ES122" s="1080">
        <v>254.99999999999997</v>
      </c>
      <c r="ET122" s="1080">
        <v>270</v>
      </c>
      <c r="EU122" s="1080">
        <v>280</v>
      </c>
      <c r="EV122" s="1080">
        <v>280</v>
      </c>
      <c r="EW122" s="1080">
        <v>285</v>
      </c>
      <c r="EX122" s="1340">
        <v>319.28369999999995</v>
      </c>
      <c r="EY122" s="1080">
        <v>339.28370000000001</v>
      </c>
      <c r="EZ122" s="1080">
        <v>339.28369999999995</v>
      </c>
      <c r="FA122" s="1080">
        <v>354.28369999999995</v>
      </c>
      <c r="FB122" s="1080">
        <v>369.28369999999995</v>
      </c>
      <c r="FC122" s="1080">
        <v>384.28369999999995</v>
      </c>
      <c r="FD122" s="1080">
        <v>399.28369999999995</v>
      </c>
      <c r="FE122" s="1080">
        <v>459.28369999999995</v>
      </c>
      <c r="FF122" s="1080">
        <v>474.28369999999995</v>
      </c>
      <c r="FG122" s="1080">
        <v>524.31439999999998</v>
      </c>
      <c r="FH122" s="1080">
        <v>539.31439999999998</v>
      </c>
      <c r="FI122" s="1080">
        <v>554.31439999999998</v>
      </c>
      <c r="FJ122" s="1340">
        <v>574.31439999999998</v>
      </c>
      <c r="FK122" s="1080">
        <v>589.31439999999998</v>
      </c>
      <c r="FL122" s="1080">
        <v>609.31439999999998</v>
      </c>
      <c r="FM122" s="1080">
        <v>629.31439999999998</v>
      </c>
      <c r="FN122" s="1080">
        <v>649.31439999999998</v>
      </c>
      <c r="FO122" s="1080">
        <v>669.31439999999998</v>
      </c>
      <c r="FP122" s="1080">
        <v>689.31439999999998</v>
      </c>
      <c r="FQ122" s="293">
        <v>709.31439999999998</v>
      </c>
      <c r="FR122" s="293">
        <v>729.31431999999995</v>
      </c>
      <c r="FS122" s="293">
        <v>749.31431999999995</v>
      </c>
      <c r="FT122" s="293">
        <v>769.31431999999995</v>
      </c>
      <c r="FU122" s="293">
        <v>789.31431999999995</v>
      </c>
      <c r="FV122" s="293">
        <v>814.31431999999995</v>
      </c>
      <c r="FW122" s="293">
        <v>834.31431999999995</v>
      </c>
      <c r="FX122" s="293">
        <v>844.31408499999998</v>
      </c>
      <c r="FY122" s="293">
        <v>869.31408499999998</v>
      </c>
      <c r="FZ122" s="293">
        <v>889.31408499999998</v>
      </c>
      <c r="GA122" s="293">
        <v>919.31408499999998</v>
      </c>
      <c r="GB122" s="293">
        <v>944.31408499999998</v>
      </c>
      <c r="GC122" s="293">
        <v>964.31408499999998</v>
      </c>
      <c r="GD122" s="293">
        <v>1004.314085</v>
      </c>
      <c r="GE122" s="293">
        <v>1024.314085</v>
      </c>
      <c r="GF122" s="293">
        <v>1045.8499999999999</v>
      </c>
      <c r="GG122" s="293">
        <v>1070.8499999999999</v>
      </c>
      <c r="GH122" s="293">
        <v>1095.848</v>
      </c>
      <c r="GI122" s="293">
        <v>1120.8499999999999</v>
      </c>
      <c r="GJ122" s="293">
        <v>1160.8499999999999</v>
      </c>
      <c r="GK122" s="293">
        <v>1190.8499999999999</v>
      </c>
      <c r="GL122" s="293">
        <v>1225.8563199999999</v>
      </c>
      <c r="GM122" s="293">
        <v>1276.06432</v>
      </c>
      <c r="GN122" s="293">
        <v>1306.06432</v>
      </c>
      <c r="GO122" s="293">
        <v>1294.62762</v>
      </c>
      <c r="GP122" s="293">
        <v>1320.7120199999999</v>
      </c>
      <c r="GQ122" s="293">
        <v>1316.3497199999999</v>
      </c>
      <c r="GR122" s="293">
        <v>1341.72462</v>
      </c>
      <c r="GS122" s="293">
        <v>1369.3773200000001</v>
      </c>
      <c r="GT122" s="293">
        <v>1400.22522</v>
      </c>
      <c r="GU122" s="293">
        <v>1430.8168000000001</v>
      </c>
      <c r="GV122" s="293">
        <v>1450.81692</v>
      </c>
      <c r="GW122" s="293">
        <v>1460.816885</v>
      </c>
      <c r="GX122" s="293">
        <v>1470.81692</v>
      </c>
      <c r="GY122" s="293">
        <v>1510.81692</v>
      </c>
      <c r="GZ122" s="293">
        <v>1533.7523200000001</v>
      </c>
      <c r="HA122" s="293">
        <v>1543.7523200000001</v>
      </c>
      <c r="HB122" s="293">
        <v>1553.7523200000001</v>
      </c>
      <c r="HC122" s="293">
        <v>1563.7523200000001</v>
      </c>
      <c r="HD122" s="293">
        <v>1573.7523200000001</v>
      </c>
      <c r="HE122" s="293">
        <v>1518.7523200000001</v>
      </c>
      <c r="HF122" s="293">
        <v>1528.7523200000001</v>
      </c>
      <c r="HG122" s="293">
        <v>1548.7523200000001</v>
      </c>
      <c r="HH122" s="293">
        <v>1588.7523200000001</v>
      </c>
      <c r="HI122" s="293">
        <v>1608.7523200000001</v>
      </c>
      <c r="HJ122" s="293">
        <v>1628.7523200000001</v>
      </c>
      <c r="HK122" s="293">
        <v>1628.7523200000001</v>
      </c>
      <c r="HL122" s="293">
        <v>1688.7523200000001</v>
      </c>
      <c r="HM122" s="293"/>
      <c r="HN122" s="293"/>
      <c r="HO122" s="293"/>
      <c r="HP122" s="293"/>
      <c r="HQ122" s="293"/>
      <c r="HR122" s="293"/>
      <c r="HS122" s="293"/>
      <c r="HT122" s="293"/>
      <c r="HU122" s="293"/>
      <c r="HV122" s="293"/>
      <c r="HW122" s="293"/>
      <c r="HX122" s="293"/>
      <c r="HY122" s="293"/>
      <c r="IH122" s="279">
        <f t="shared" si="21"/>
        <v>629</v>
      </c>
      <c r="II122" s="279">
        <f t="shared" si="22"/>
        <v>784.99999999999989</v>
      </c>
      <c r="IJ122" s="279">
        <f t="shared" si="23"/>
        <v>1414</v>
      </c>
      <c r="IK122" s="279">
        <f t="shared" si="24"/>
        <v>935</v>
      </c>
      <c r="KT122" s="280"/>
    </row>
    <row r="123" spans="1:306" outlineLevel="1">
      <c r="B123" s="96" t="s">
        <v>338</v>
      </c>
      <c r="D123" s="300" t="s">
        <v>385</v>
      </c>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c r="BN123" s="293"/>
      <c r="BO123" s="293"/>
      <c r="BP123" s="293"/>
      <c r="BQ123" s="293"/>
      <c r="BR123" s="293"/>
      <c r="BS123" s="293">
        <v>11.053400000000002</v>
      </c>
      <c r="BT123" s="293">
        <v>8.923</v>
      </c>
      <c r="BU123" s="293">
        <v>8.923</v>
      </c>
      <c r="BV123" s="293">
        <v>8.923</v>
      </c>
      <c r="BW123" s="293"/>
      <c r="BX123" s="293"/>
      <c r="BY123" s="293"/>
      <c r="BZ123" s="293"/>
      <c r="CA123" s="293"/>
      <c r="CB123" s="293">
        <v>7.423</v>
      </c>
      <c r="CC123" s="293">
        <v>7.423</v>
      </c>
      <c r="CD123" s="293">
        <v>6.923</v>
      </c>
      <c r="CE123" s="294">
        <v>6.923</v>
      </c>
      <c r="CF123" s="293">
        <v>6.923</v>
      </c>
      <c r="CG123" s="293">
        <v>6.923</v>
      </c>
      <c r="CH123" s="293">
        <v>6.923</v>
      </c>
      <c r="CI123" s="293">
        <v>6.923</v>
      </c>
      <c r="CJ123" s="293">
        <v>6.923</v>
      </c>
      <c r="CK123" s="293">
        <v>6.923</v>
      </c>
      <c r="CL123" s="293">
        <v>11.029</v>
      </c>
      <c r="CM123" s="293">
        <v>11.029</v>
      </c>
      <c r="CN123" s="293">
        <v>11.029</v>
      </c>
      <c r="CO123" s="293">
        <v>11.029</v>
      </c>
      <c r="CP123" s="295">
        <v>11.029</v>
      </c>
      <c r="CQ123" s="293">
        <v>11.029</v>
      </c>
      <c r="CR123" s="293">
        <v>16.958400000000001</v>
      </c>
      <c r="CS123" s="293">
        <v>16.958400000000001</v>
      </c>
      <c r="CT123" s="293">
        <v>16.958400000000001</v>
      </c>
      <c r="CU123" s="293">
        <v>24.301300000000001</v>
      </c>
      <c r="CV123" s="293">
        <v>24.301300000000001</v>
      </c>
      <c r="CW123" s="293">
        <v>24.301300000000001</v>
      </c>
      <c r="CX123" s="293">
        <v>31.514099999999999</v>
      </c>
      <c r="CY123" s="293">
        <v>31.514099999999999</v>
      </c>
      <c r="CZ123" s="293">
        <v>31.514099999999999</v>
      </c>
      <c r="DA123" s="293">
        <v>33.606200000000001</v>
      </c>
      <c r="DB123" s="1288">
        <v>33.606200000000001</v>
      </c>
      <c r="DC123" s="293">
        <v>33.606199999999994</v>
      </c>
      <c r="DD123" s="293">
        <v>41.156300000000002</v>
      </c>
      <c r="DE123" s="293">
        <v>41.156300000000002</v>
      </c>
      <c r="DF123" s="293">
        <v>41.156300000000002</v>
      </c>
      <c r="DG123" s="293">
        <v>46.197699999999998</v>
      </c>
      <c r="DH123" s="293">
        <v>46.197699999999998</v>
      </c>
      <c r="DI123" s="293">
        <v>46.197699999999998</v>
      </c>
      <c r="DJ123" s="293">
        <v>51.979899999999994</v>
      </c>
      <c r="DK123" s="293">
        <v>51.979899999999994</v>
      </c>
      <c r="DL123" s="293">
        <v>51.979899999999994</v>
      </c>
      <c r="DM123" s="293">
        <v>55.479899999999994</v>
      </c>
      <c r="DN123" s="295">
        <v>55.479899999999994</v>
      </c>
      <c r="DO123" s="293">
        <v>55.479899999999994</v>
      </c>
      <c r="DP123" s="293">
        <v>59.193999999999996</v>
      </c>
      <c r="DQ123" s="293">
        <v>57.270900000000005</v>
      </c>
      <c r="DR123" s="293">
        <v>57.270900000000005</v>
      </c>
      <c r="DS123" s="293">
        <v>60.910900000000005</v>
      </c>
      <c r="DT123" s="293">
        <v>60.910900000000005</v>
      </c>
      <c r="DU123" s="293">
        <v>60.910899999999998</v>
      </c>
      <c r="DV123" s="293">
        <v>57.898800000000001</v>
      </c>
      <c r="DW123" s="293">
        <v>57.898800000000001</v>
      </c>
      <c r="DX123" s="293">
        <v>57.898800000000001</v>
      </c>
      <c r="DY123" s="293">
        <v>58.898800000000001</v>
      </c>
      <c r="DZ123" s="295">
        <v>58.898800000000001</v>
      </c>
      <c r="EA123" s="293">
        <v>58.898800000000001</v>
      </c>
      <c r="EB123" s="293">
        <v>63.196100000000001</v>
      </c>
      <c r="EC123" s="293">
        <v>63.256099999999996</v>
      </c>
      <c r="ED123" s="293">
        <v>63.256100000000004</v>
      </c>
      <c r="EE123" s="293">
        <v>65.806100000000001</v>
      </c>
      <c r="EF123" s="293">
        <v>65.806100000000001</v>
      </c>
      <c r="EG123" s="293">
        <v>65.806100000000001</v>
      </c>
      <c r="EH123" s="293">
        <v>73.903300000000002</v>
      </c>
      <c r="EI123" s="293">
        <v>73.903300000000002</v>
      </c>
      <c r="EJ123" s="293">
        <v>73.903300000000002</v>
      </c>
      <c r="EK123" s="293">
        <v>76.4435</v>
      </c>
      <c r="EL123" s="295">
        <v>80.555000000000007</v>
      </c>
      <c r="EM123" s="1080">
        <v>72.245000000000005</v>
      </c>
      <c r="EN123" s="1080">
        <v>75.936099999999996</v>
      </c>
      <c r="EO123" s="1080">
        <v>80.615899999999996</v>
      </c>
      <c r="EP123" s="1080">
        <v>80.615899999999996</v>
      </c>
      <c r="EQ123" s="1080">
        <v>76.124499999999998</v>
      </c>
      <c r="ER123" s="1080">
        <v>76.124499999999998</v>
      </c>
      <c r="ES123" s="1080">
        <v>81.995499999999993</v>
      </c>
      <c r="ET123" s="1080">
        <v>87.009099999999989</v>
      </c>
      <c r="EU123" s="1080">
        <v>90.009099999999989</v>
      </c>
      <c r="EV123" s="1080">
        <v>90.009099999999989</v>
      </c>
      <c r="EW123" s="1080">
        <v>97.201999999999984</v>
      </c>
      <c r="EX123" s="1340">
        <v>114.90199999999999</v>
      </c>
      <c r="EY123" s="1080">
        <v>120.09439999999999</v>
      </c>
      <c r="EZ123" s="1080">
        <v>119.75079999999998</v>
      </c>
      <c r="FA123" s="1080">
        <v>121.68529999999998</v>
      </c>
      <c r="FB123" s="1080">
        <v>126.15379999999999</v>
      </c>
      <c r="FC123" s="1080">
        <v>130.51149999999998</v>
      </c>
      <c r="FD123" s="1080">
        <v>134.51149999999998</v>
      </c>
      <c r="FE123" s="1080">
        <v>140.41709999999998</v>
      </c>
      <c r="FF123" s="1080">
        <v>150.36589999999998</v>
      </c>
      <c r="FG123" s="1080">
        <v>184.06589999999997</v>
      </c>
      <c r="FH123" s="1080">
        <v>193.55359999999996</v>
      </c>
      <c r="FI123" s="1080">
        <v>202.37719999999996</v>
      </c>
      <c r="FJ123" s="1340">
        <v>212.21899999999997</v>
      </c>
      <c r="FK123" s="1080">
        <v>219.76359999999997</v>
      </c>
      <c r="FL123" s="1080">
        <v>238.48949999999999</v>
      </c>
      <c r="FM123" s="1080">
        <v>242.7413</v>
      </c>
      <c r="FN123" s="1080">
        <v>248.90129999999999</v>
      </c>
      <c r="FO123" s="1080">
        <v>258.29309999999998</v>
      </c>
      <c r="FP123" s="1080">
        <v>272.2353</v>
      </c>
      <c r="FQ123" s="293">
        <v>283.95830000000001</v>
      </c>
      <c r="FR123" s="293">
        <v>292.49842000000001</v>
      </c>
      <c r="FS123" s="293">
        <v>300.78082000000001</v>
      </c>
      <c r="FT123" s="293">
        <v>309.73302000000001</v>
      </c>
      <c r="FU123" s="293">
        <v>317.57742000000002</v>
      </c>
      <c r="FV123" s="293">
        <v>333.67632000000003</v>
      </c>
      <c r="FW123" s="293">
        <v>341.41982000000002</v>
      </c>
      <c r="FX123" s="293">
        <v>350.22208500000005</v>
      </c>
      <c r="FY123" s="293">
        <v>354.23288500000007</v>
      </c>
      <c r="FZ123" s="293">
        <v>360.19038500000005</v>
      </c>
      <c r="GA123" s="293">
        <v>391.68278500000002</v>
      </c>
      <c r="GB123" s="293">
        <v>400.99748500000004</v>
      </c>
      <c r="GC123" s="293">
        <v>412.03028500000005</v>
      </c>
      <c r="GD123" s="293">
        <v>436.30408500000004</v>
      </c>
      <c r="GE123" s="293">
        <v>442.61488500000007</v>
      </c>
      <c r="GF123" s="293">
        <v>416.04</v>
      </c>
      <c r="GG123" s="293">
        <v>426.11</v>
      </c>
      <c r="GH123" s="293">
        <v>431.76</v>
      </c>
      <c r="GI123" s="293">
        <v>442.23</v>
      </c>
      <c r="GJ123" s="293">
        <v>448.12</v>
      </c>
      <c r="GK123" s="293">
        <v>460.97</v>
      </c>
      <c r="GL123" s="293">
        <v>467.274585</v>
      </c>
      <c r="GM123" s="293">
        <v>474.42928499999999</v>
      </c>
      <c r="GN123" s="293">
        <v>474.42928499999999</v>
      </c>
      <c r="GO123" s="293">
        <v>476.523685</v>
      </c>
      <c r="GP123" s="293">
        <v>487.523685</v>
      </c>
      <c r="GQ123" s="293">
        <v>481.82368500000001</v>
      </c>
      <c r="GR123" s="293">
        <v>481.82368500000001</v>
      </c>
      <c r="GS123" s="293">
        <v>486.523685</v>
      </c>
      <c r="GT123" s="293">
        <v>492.523685</v>
      </c>
      <c r="GU123" s="293">
        <v>496.52359999999999</v>
      </c>
      <c r="GV123" s="293">
        <v>499.53028499999999</v>
      </c>
      <c r="GW123" s="293">
        <v>500.03028499999999</v>
      </c>
      <c r="GX123" s="293">
        <v>503.62578500000001</v>
      </c>
      <c r="GY123" s="293">
        <v>527.15808500000003</v>
      </c>
      <c r="GZ123" s="293">
        <v>527.15808500000003</v>
      </c>
      <c r="HA123" s="293">
        <v>528.15808500000003</v>
      </c>
      <c r="HB123" s="293">
        <v>530.15808500000003</v>
      </c>
      <c r="HC123" s="293">
        <v>534.23058500000002</v>
      </c>
      <c r="HD123" s="293">
        <v>537.23688500000003</v>
      </c>
      <c r="HE123" s="293">
        <v>523.96878500000003</v>
      </c>
      <c r="HF123" s="293">
        <v>527.25278500000002</v>
      </c>
      <c r="HG123" s="293">
        <v>529.48958500000003</v>
      </c>
      <c r="HH123" s="293">
        <v>546.47758499999998</v>
      </c>
      <c r="HI123" s="293">
        <v>548.33548499999995</v>
      </c>
      <c r="HJ123" s="293">
        <v>548.33548499999995</v>
      </c>
      <c r="HK123" s="293">
        <v>558.84058500000003</v>
      </c>
      <c r="HL123" s="293">
        <v>559.76378499999998</v>
      </c>
      <c r="HM123" s="293"/>
      <c r="HN123" s="293"/>
      <c r="HO123" s="293"/>
      <c r="HP123" s="293"/>
      <c r="HQ123" s="293"/>
      <c r="HR123" s="293"/>
      <c r="HS123" s="293"/>
      <c r="HT123" s="293"/>
      <c r="HU123" s="293"/>
      <c r="HV123" s="293"/>
      <c r="HW123" s="293"/>
      <c r="HX123" s="293"/>
      <c r="HY123" s="293"/>
      <c r="IH123" s="279">
        <f t="shared" si="21"/>
        <v>249.47049999999999</v>
      </c>
      <c r="II123" s="279">
        <f t="shared" si="22"/>
        <v>313.09719999999993</v>
      </c>
      <c r="IJ123" s="279">
        <f t="shared" si="23"/>
        <v>562.56769999999995</v>
      </c>
      <c r="IK123" s="279">
        <f t="shared" si="24"/>
        <v>351.03750000000002</v>
      </c>
      <c r="KT123" s="280"/>
    </row>
    <row r="124" spans="1:306" outlineLevel="1">
      <c r="B124" s="96" t="s">
        <v>338</v>
      </c>
      <c r="D124" s="300" t="s">
        <v>386</v>
      </c>
      <c r="E124" s="293"/>
      <c r="F124" s="293"/>
      <c r="G124" s="293"/>
      <c r="H124" s="293"/>
      <c r="I124" s="293"/>
      <c r="J124" s="293"/>
      <c r="K124" s="293"/>
      <c r="L124" s="293"/>
      <c r="M124" s="293"/>
      <c r="N124" s="293"/>
      <c r="O124" s="29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c r="BN124" s="293"/>
      <c r="BO124" s="293"/>
      <c r="BP124" s="293"/>
      <c r="BQ124" s="293"/>
      <c r="BR124" s="293"/>
      <c r="BS124" s="293">
        <v>1.4465999999999999</v>
      </c>
      <c r="BT124" s="293">
        <v>1.077</v>
      </c>
      <c r="BU124" s="293">
        <v>1.077</v>
      </c>
      <c r="BV124" s="293">
        <v>1.077</v>
      </c>
      <c r="BW124" s="293"/>
      <c r="BX124" s="293"/>
      <c r="BY124" s="293"/>
      <c r="BZ124" s="293"/>
      <c r="CA124" s="293"/>
      <c r="CB124" s="293">
        <v>1.077</v>
      </c>
      <c r="CC124" s="293">
        <v>1.077</v>
      </c>
      <c r="CD124" s="293">
        <v>1.577</v>
      </c>
      <c r="CE124" s="294">
        <v>1.577</v>
      </c>
      <c r="CF124" s="293">
        <v>1.577</v>
      </c>
      <c r="CG124" s="293">
        <v>1.577</v>
      </c>
      <c r="CH124" s="293">
        <v>1.577</v>
      </c>
      <c r="CI124" s="293">
        <v>1.577</v>
      </c>
      <c r="CJ124" s="293">
        <v>1.577</v>
      </c>
      <c r="CK124" s="293">
        <v>1.577</v>
      </c>
      <c r="CL124" s="293">
        <v>7.4710000000000001</v>
      </c>
      <c r="CM124" s="293">
        <v>7.4710000000000001</v>
      </c>
      <c r="CN124" s="293">
        <v>7.4710000000000001</v>
      </c>
      <c r="CO124" s="293">
        <v>22.471</v>
      </c>
      <c r="CP124" s="295">
        <v>22.471</v>
      </c>
      <c r="CQ124" s="293">
        <v>22.471</v>
      </c>
      <c r="CR124" s="293">
        <v>31.541599999999999</v>
      </c>
      <c r="CS124" s="293">
        <v>31.541599999999999</v>
      </c>
      <c r="CT124" s="293">
        <v>31.541599999999999</v>
      </c>
      <c r="CU124" s="293">
        <v>39.198700000000002</v>
      </c>
      <c r="CV124" s="293">
        <v>39.198700000000002</v>
      </c>
      <c r="CW124" s="293">
        <v>39.198700000000002</v>
      </c>
      <c r="CX124" s="293">
        <v>46.985900000000001</v>
      </c>
      <c r="CY124" s="293">
        <v>46.985900000000001</v>
      </c>
      <c r="CZ124" s="293">
        <v>46.985900000000001</v>
      </c>
      <c r="DA124" s="293">
        <v>54.893799999999999</v>
      </c>
      <c r="DB124" s="1288">
        <v>54.893799999999999</v>
      </c>
      <c r="DC124" s="293">
        <v>54.893799999999999</v>
      </c>
      <c r="DD124" s="293">
        <v>62.343699999999998</v>
      </c>
      <c r="DE124" s="293">
        <v>62.343699999999998</v>
      </c>
      <c r="DF124" s="293">
        <v>62.343699999999998</v>
      </c>
      <c r="DG124" s="293">
        <v>68.802300000000002</v>
      </c>
      <c r="DH124" s="293">
        <v>68.802300000000002</v>
      </c>
      <c r="DI124" s="293">
        <v>68.802300000000002</v>
      </c>
      <c r="DJ124" s="293">
        <v>78.020099999999985</v>
      </c>
      <c r="DK124" s="293">
        <v>78.020099999999985</v>
      </c>
      <c r="DL124" s="293">
        <v>78.020099999999985</v>
      </c>
      <c r="DM124" s="293">
        <v>84.520099999999985</v>
      </c>
      <c r="DN124" s="295">
        <v>84.520099999999985</v>
      </c>
      <c r="DO124" s="293">
        <v>84.520099999999985</v>
      </c>
      <c r="DP124" s="293">
        <v>95.805999999999997</v>
      </c>
      <c r="DQ124" s="293">
        <v>95.229099999999988</v>
      </c>
      <c r="DR124" s="293">
        <v>95.229099999999988</v>
      </c>
      <c r="DS124" s="293">
        <v>106.58909999999999</v>
      </c>
      <c r="DT124" s="293">
        <v>106.58909999999999</v>
      </c>
      <c r="DU124" s="293">
        <v>106.5891</v>
      </c>
      <c r="DV124" s="293">
        <v>107.10120000000001</v>
      </c>
      <c r="DW124" s="293">
        <v>107.10120000000001</v>
      </c>
      <c r="DX124" s="293">
        <v>107.10120000000001</v>
      </c>
      <c r="DY124" s="293">
        <v>116.10120000000001</v>
      </c>
      <c r="DZ124" s="295">
        <v>116.10120000000001</v>
      </c>
      <c r="EA124" s="293">
        <v>116.10119999999999</v>
      </c>
      <c r="EB124" s="293">
        <v>121.8039</v>
      </c>
      <c r="EC124" s="293">
        <v>121.7439</v>
      </c>
      <c r="ED124" s="293">
        <v>121.7439</v>
      </c>
      <c r="EE124" s="293">
        <v>129.19390000000001</v>
      </c>
      <c r="EF124" s="293">
        <v>129.19390000000001</v>
      </c>
      <c r="EG124" s="293">
        <v>129.19389999999999</v>
      </c>
      <c r="EH124" s="293">
        <v>121.0967</v>
      </c>
      <c r="EI124" s="293">
        <v>121.0967</v>
      </c>
      <c r="EJ124" s="293">
        <v>121.0967</v>
      </c>
      <c r="EK124" s="293">
        <v>128.5565</v>
      </c>
      <c r="EL124" s="295">
        <v>142.755</v>
      </c>
      <c r="EM124" s="1080">
        <v>142.755</v>
      </c>
      <c r="EN124" s="1080">
        <v>154.06389999999999</v>
      </c>
      <c r="EO124" s="1080">
        <v>164.38409999999996</v>
      </c>
      <c r="EP124" s="1080">
        <v>164.38409999999996</v>
      </c>
      <c r="EQ124" s="1080">
        <v>168.87549999999999</v>
      </c>
      <c r="ER124" s="1080">
        <v>168.87549999999999</v>
      </c>
      <c r="ES124" s="1080">
        <v>173.00449999999998</v>
      </c>
      <c r="ET124" s="1080">
        <v>182.99089999999998</v>
      </c>
      <c r="EU124" s="1080">
        <v>189.99089999999998</v>
      </c>
      <c r="EV124" s="1080">
        <v>189.99089999999998</v>
      </c>
      <c r="EW124" s="1080">
        <v>187.798</v>
      </c>
      <c r="EX124" s="1340">
        <v>204.3817</v>
      </c>
      <c r="EY124" s="1080">
        <v>219.1893</v>
      </c>
      <c r="EZ124" s="1080">
        <v>219.53289999999998</v>
      </c>
      <c r="FA124" s="1080">
        <v>232.59839999999997</v>
      </c>
      <c r="FB124" s="1080">
        <v>243.12989999999996</v>
      </c>
      <c r="FC124" s="1080">
        <v>253.77219999999994</v>
      </c>
      <c r="FD124" s="1080">
        <v>264.77219999999994</v>
      </c>
      <c r="FE124" s="1080">
        <v>318.86659999999995</v>
      </c>
      <c r="FF124" s="1080">
        <v>323.91779999999994</v>
      </c>
      <c r="FG124" s="1080">
        <v>340.24849999999998</v>
      </c>
      <c r="FH124" s="1080">
        <v>345.76079999999996</v>
      </c>
      <c r="FI124" s="1080">
        <v>351.93719999999996</v>
      </c>
      <c r="FJ124" s="1340">
        <v>362.09539999999998</v>
      </c>
      <c r="FK124" s="1080">
        <v>369.55079999999998</v>
      </c>
      <c r="FL124" s="1080">
        <v>370.82489999999996</v>
      </c>
      <c r="FM124" s="1080">
        <v>386.57309999999995</v>
      </c>
      <c r="FN124" s="1080">
        <v>400.41309999999993</v>
      </c>
      <c r="FO124" s="1080">
        <v>411.02129999999994</v>
      </c>
      <c r="FP124" s="1080">
        <v>417.07909999999993</v>
      </c>
      <c r="FQ124" s="293">
        <v>425.35609999999991</v>
      </c>
      <c r="FR124" s="293">
        <v>436.81589999999989</v>
      </c>
      <c r="FS124" s="293">
        <v>448.53349999999989</v>
      </c>
      <c r="FT124" s="293">
        <v>459.58129999999989</v>
      </c>
      <c r="FU124" s="293">
        <v>471.73689999999988</v>
      </c>
      <c r="FV124" s="293">
        <v>480.63799999999986</v>
      </c>
      <c r="FW124" s="293">
        <v>492.89449999999988</v>
      </c>
      <c r="FX124" s="293">
        <v>494.09199999999987</v>
      </c>
      <c r="FY124" s="293">
        <v>515.08119999999985</v>
      </c>
      <c r="FZ124" s="293">
        <v>529.12369999999987</v>
      </c>
      <c r="GA124" s="293">
        <v>527.6312999999999</v>
      </c>
      <c r="GB124" s="293">
        <v>543.31659999999988</v>
      </c>
      <c r="GC124" s="293">
        <v>552.28379999999993</v>
      </c>
      <c r="GD124" s="293">
        <v>568.00999999999988</v>
      </c>
      <c r="GE124" s="293">
        <v>581.69919999999991</v>
      </c>
      <c r="GF124" s="293">
        <v>629.80999999999995</v>
      </c>
      <c r="GG124" s="293">
        <v>644.74</v>
      </c>
      <c r="GH124" s="293">
        <v>664.08799999999997</v>
      </c>
      <c r="GI124" s="293">
        <v>678.62</v>
      </c>
      <c r="GJ124" s="293">
        <v>712.73</v>
      </c>
      <c r="GK124" s="293">
        <v>729.88</v>
      </c>
      <c r="GL124" s="293">
        <v>758.58173499999998</v>
      </c>
      <c r="GM124" s="293">
        <v>801.63503500000002</v>
      </c>
      <c r="GN124" s="293">
        <v>831.6350349999999</v>
      </c>
      <c r="GO124" s="293">
        <v>818.10393499999998</v>
      </c>
      <c r="GP124" s="293">
        <v>833.18833499999994</v>
      </c>
      <c r="GQ124" s="293">
        <v>834.52603499999987</v>
      </c>
      <c r="GR124" s="293">
        <v>859.900935</v>
      </c>
      <c r="GS124" s="293">
        <v>882.85363500000005</v>
      </c>
      <c r="GT124" s="293">
        <v>907.70153500000004</v>
      </c>
      <c r="GU124" s="293">
        <v>934.29319999999996</v>
      </c>
      <c r="GV124" s="293">
        <v>951.28663500000005</v>
      </c>
      <c r="GW124" s="293">
        <v>960.78660000000002</v>
      </c>
      <c r="GX124" s="293">
        <v>967.19113500000003</v>
      </c>
      <c r="GY124" s="293">
        <v>983.65883499999995</v>
      </c>
      <c r="GZ124" s="293">
        <v>1006.594235</v>
      </c>
      <c r="HA124" s="293">
        <v>1015.594235</v>
      </c>
      <c r="HB124" s="293">
        <v>1023.594235</v>
      </c>
      <c r="HC124" s="293">
        <v>1029.521735</v>
      </c>
      <c r="HD124" s="293">
        <v>1036.515435</v>
      </c>
      <c r="HE124" s="293">
        <v>994.78353500000003</v>
      </c>
      <c r="HF124" s="293">
        <v>1001.499535</v>
      </c>
      <c r="HG124" s="293">
        <v>1019.262735</v>
      </c>
      <c r="HH124" s="293">
        <v>1042.274735</v>
      </c>
      <c r="HI124" s="293">
        <v>1060.416835</v>
      </c>
      <c r="HJ124" s="293">
        <v>1080.416835</v>
      </c>
      <c r="HK124" s="293">
        <v>1069.9117349999999</v>
      </c>
      <c r="HL124" s="293">
        <v>1128.988535</v>
      </c>
      <c r="HM124" s="293"/>
      <c r="HN124" s="293"/>
      <c r="HO124" s="293"/>
      <c r="HP124" s="293"/>
      <c r="HQ124" s="293"/>
      <c r="HR124" s="293"/>
      <c r="HS124" s="293"/>
      <c r="HT124" s="293"/>
      <c r="HU124" s="293"/>
      <c r="HV124" s="293"/>
      <c r="HW124" s="293"/>
      <c r="HX124" s="293"/>
      <c r="HY124" s="293"/>
      <c r="IH124" s="279">
        <f t="shared" si="21"/>
        <v>379.52949999999998</v>
      </c>
      <c r="II124" s="279">
        <f t="shared" si="22"/>
        <v>471.90279999999984</v>
      </c>
      <c r="IJ124" s="279">
        <f t="shared" si="23"/>
        <v>851.43229999999983</v>
      </c>
      <c r="IK124" s="279">
        <f t="shared" si="24"/>
        <v>583.96249999999998</v>
      </c>
      <c r="KT124" s="280"/>
    </row>
    <row r="125" spans="1:306" outlineLevel="1">
      <c r="D125" s="2083" t="s">
        <v>3813</v>
      </c>
      <c r="CE125" s="793"/>
      <c r="CP125" s="280"/>
      <c r="DC125" s="812"/>
      <c r="EA125" s="279"/>
      <c r="EB125" s="279"/>
      <c r="EC125" s="279"/>
      <c r="ED125" s="279"/>
      <c r="EE125" s="279"/>
      <c r="EF125" s="279"/>
      <c r="EG125" s="279"/>
      <c r="EH125" s="279"/>
      <c r="EI125" s="279"/>
      <c r="EJ125" s="279"/>
      <c r="EK125" s="279"/>
      <c r="EL125" s="280"/>
      <c r="EM125" s="1082"/>
      <c r="EN125" s="1082"/>
      <c r="EO125" s="1082"/>
      <c r="EP125" s="1082"/>
      <c r="EQ125" s="1082"/>
      <c r="ER125" s="1082"/>
      <c r="ES125" s="1082"/>
      <c r="ET125" s="1082"/>
      <c r="EU125" s="1082"/>
      <c r="EV125" s="1082"/>
      <c r="EW125" s="1082"/>
      <c r="EX125" s="1350"/>
      <c r="EY125" s="1082"/>
      <c r="EZ125" s="1082"/>
      <c r="FA125" s="1082"/>
      <c r="FB125" s="1082"/>
      <c r="FC125" s="1082"/>
      <c r="FD125" s="1082"/>
      <c r="FE125" s="1082"/>
      <c r="FF125" s="1082"/>
      <c r="FG125" s="1082"/>
      <c r="FH125" s="1082"/>
      <c r="FI125" s="1082"/>
      <c r="FJ125" s="1350"/>
      <c r="FK125" s="1082"/>
      <c r="FL125" s="1082"/>
      <c r="FM125" s="1082"/>
      <c r="FN125" s="1082"/>
      <c r="FO125" s="1082"/>
      <c r="FP125" s="1082"/>
      <c r="FQ125" s="279"/>
      <c r="FR125" s="279"/>
      <c r="FS125" s="279"/>
      <c r="FT125" s="279"/>
      <c r="FU125" s="279"/>
      <c r="FV125" s="279"/>
      <c r="FW125" s="279"/>
      <c r="FX125" s="279"/>
      <c r="FY125" s="279"/>
      <c r="FZ125" s="279"/>
      <c r="GA125" s="279"/>
      <c r="GB125" s="279"/>
      <c r="GC125" s="279"/>
      <c r="GD125" s="279"/>
      <c r="GE125" s="279"/>
      <c r="GF125" s="279"/>
      <c r="GG125" s="279"/>
      <c r="GH125" s="279"/>
      <c r="GI125" s="279"/>
      <c r="GJ125" s="279"/>
      <c r="GK125" s="279"/>
      <c r="GL125" s="279"/>
      <c r="GM125" s="279"/>
      <c r="GN125" s="279"/>
      <c r="GO125" s="279"/>
      <c r="GP125" s="279"/>
      <c r="GQ125" s="279"/>
      <c r="GR125" s="279"/>
      <c r="GS125" s="279"/>
      <c r="GT125" s="279"/>
      <c r="GU125" s="279"/>
      <c r="GV125" s="279"/>
      <c r="GW125" s="279"/>
      <c r="GX125" s="279"/>
      <c r="GY125" s="279"/>
      <c r="GZ125" s="279"/>
      <c r="HA125" s="279"/>
      <c r="HB125" s="279"/>
      <c r="HC125" s="279"/>
      <c r="HD125" s="279"/>
      <c r="HE125" s="279"/>
      <c r="HF125" s="279"/>
      <c r="HG125" s="279"/>
      <c r="HH125" s="279"/>
      <c r="HI125" s="279"/>
      <c r="HJ125" s="279"/>
      <c r="HK125" s="279"/>
      <c r="HL125" s="279"/>
      <c r="HM125" s="279"/>
      <c r="HN125" s="279"/>
      <c r="HO125" s="279"/>
      <c r="HP125" s="279"/>
      <c r="HQ125" s="279"/>
      <c r="HR125" s="279"/>
      <c r="HS125" s="279"/>
      <c r="HT125" s="279"/>
      <c r="HU125" s="279"/>
      <c r="HV125" s="279"/>
      <c r="HW125" s="279"/>
      <c r="HX125" s="279"/>
      <c r="HY125" s="279"/>
      <c r="KT125" s="280"/>
    </row>
    <row r="126" spans="1:306" ht="11.25" customHeight="1" outlineLevel="1">
      <c r="D126" s="2057" t="s">
        <v>3689</v>
      </c>
      <c r="CE126" s="793"/>
      <c r="CP126" s="280"/>
      <c r="DC126" s="812"/>
      <c r="EA126" s="279"/>
      <c r="EB126" s="279"/>
      <c r="EC126" s="279"/>
      <c r="ED126" s="279"/>
      <c r="EE126" s="279"/>
      <c r="EF126" s="279"/>
      <c r="EG126" s="279"/>
      <c r="EH126" s="279"/>
      <c r="EI126" s="279"/>
      <c r="EJ126" s="279"/>
      <c r="EK126" s="279"/>
      <c r="EL126" s="280"/>
      <c r="EM126" s="1100"/>
      <c r="EN126" s="1082"/>
      <c r="EO126" s="1082"/>
      <c r="EP126" s="1082"/>
      <c r="EQ126" s="1082"/>
      <c r="ER126" s="1082"/>
      <c r="ES126" s="1082"/>
      <c r="ET126" s="1082"/>
      <c r="EU126" s="1082"/>
      <c r="EV126" s="1082"/>
      <c r="EW126" s="1082"/>
      <c r="EX126" s="1350"/>
      <c r="EY126" s="1082"/>
      <c r="EZ126" s="1082"/>
      <c r="FA126" s="1082"/>
      <c r="FB126" s="1082"/>
      <c r="FC126" s="1082"/>
      <c r="FD126" s="1082"/>
      <c r="FE126" s="1082"/>
      <c r="FF126" s="1082"/>
      <c r="FG126" s="1082"/>
      <c r="FH126" s="1082"/>
      <c r="FI126" s="1082"/>
      <c r="FJ126" s="1350"/>
      <c r="FK126" s="1082"/>
      <c r="FL126" s="1082"/>
      <c r="FM126" s="1082"/>
      <c r="FN126" s="1082"/>
      <c r="FO126" s="1082"/>
      <c r="FP126" s="1082"/>
      <c r="FQ126" s="279"/>
      <c r="FR126" s="279"/>
      <c r="FS126" s="279"/>
      <c r="FT126" s="279"/>
      <c r="FU126" s="279"/>
      <c r="FV126" s="279"/>
      <c r="FW126" s="279"/>
      <c r="FX126" s="279"/>
      <c r="FY126" s="279"/>
      <c r="FZ126" s="279"/>
      <c r="GA126" s="279"/>
      <c r="GB126" s="279"/>
      <c r="GC126" s="279"/>
      <c r="GD126" s="279"/>
      <c r="GE126" s="279"/>
      <c r="GF126" s="279"/>
      <c r="GG126" s="279"/>
      <c r="GH126" s="279"/>
      <c r="GI126" s="279"/>
      <c r="GJ126" s="279"/>
      <c r="GK126" s="279"/>
      <c r="GL126" s="279"/>
      <c r="GM126" s="279"/>
      <c r="GN126" s="279"/>
      <c r="GO126" s="279"/>
      <c r="GP126" s="279"/>
      <c r="GQ126" s="279"/>
      <c r="GR126" s="279"/>
      <c r="GS126" s="279"/>
      <c r="GT126" s="279"/>
      <c r="GU126" s="279"/>
      <c r="GV126" s="279"/>
      <c r="GW126" s="279"/>
      <c r="GX126" s="279"/>
      <c r="GY126" s="279"/>
      <c r="GZ126" s="279"/>
      <c r="HA126" s="279"/>
      <c r="HB126" s="279"/>
      <c r="HC126" s="279"/>
      <c r="HD126" s="279"/>
      <c r="HE126" s="279"/>
      <c r="HF126" s="279"/>
      <c r="HG126" s="279"/>
      <c r="HH126" s="279"/>
      <c r="HI126" s="279"/>
      <c r="HJ126" s="279"/>
      <c r="HK126" s="279"/>
      <c r="HL126" s="279"/>
      <c r="HM126" s="279"/>
      <c r="HN126" s="279"/>
      <c r="HO126" s="279"/>
      <c r="HP126" s="279"/>
      <c r="HQ126" s="279"/>
      <c r="HR126" s="279"/>
      <c r="HS126" s="279"/>
      <c r="HT126" s="279"/>
      <c r="HU126" s="279"/>
      <c r="HV126" s="279"/>
      <c r="HW126" s="279"/>
      <c r="HX126" s="279"/>
      <c r="HY126" s="279"/>
      <c r="KT126" s="280"/>
    </row>
    <row r="127" spans="1:306" outlineLevel="1">
      <c r="A127" s="291" t="s">
        <v>942</v>
      </c>
      <c r="D127" s="2057" t="s">
        <v>386</v>
      </c>
      <c r="CE127" s="793"/>
      <c r="CP127" s="280"/>
      <c r="DC127" s="812"/>
      <c r="EA127" s="279"/>
      <c r="EB127" s="279"/>
      <c r="EC127" s="279"/>
      <c r="ED127" s="279"/>
      <c r="EE127" s="279"/>
      <c r="EF127" s="279"/>
      <c r="EG127" s="279"/>
      <c r="EH127" s="279"/>
      <c r="EI127" s="279"/>
      <c r="EJ127" s="279"/>
      <c r="EK127" s="279"/>
      <c r="EL127" s="280"/>
      <c r="EM127" s="1082"/>
      <c r="EN127" s="1082"/>
      <c r="EO127" s="1082"/>
      <c r="EP127" s="1082"/>
      <c r="EQ127" s="1082"/>
      <c r="ER127" s="1082"/>
      <c r="ES127" s="1082"/>
      <c r="ET127" s="1082"/>
      <c r="EU127" s="1082"/>
      <c r="EV127" s="1082"/>
      <c r="EW127" s="1082"/>
      <c r="EX127" s="1350"/>
      <c r="EY127" s="1082"/>
      <c r="EZ127" s="1082"/>
      <c r="FA127" s="1082"/>
      <c r="FB127" s="1082"/>
      <c r="FC127" s="1082"/>
      <c r="FD127" s="1082"/>
      <c r="FE127" s="1082"/>
      <c r="FF127" s="1082"/>
      <c r="FG127" s="1082"/>
      <c r="FH127" s="1082"/>
      <c r="FI127" s="1082"/>
      <c r="FJ127" s="1350"/>
      <c r="FK127" s="1082"/>
      <c r="FL127" s="1082"/>
      <c r="FM127" s="1082"/>
      <c r="FN127" s="1082"/>
      <c r="FO127" s="1082"/>
      <c r="FP127" s="1082"/>
      <c r="FQ127" s="279"/>
      <c r="FR127" s="279"/>
      <c r="FS127" s="279"/>
      <c r="FT127" s="279"/>
      <c r="FU127" s="279"/>
      <c r="FV127" s="279"/>
      <c r="FW127" s="279"/>
      <c r="FX127" s="279"/>
      <c r="FY127" s="279"/>
      <c r="FZ127" s="279"/>
      <c r="GA127" s="279"/>
      <c r="GB127" s="279"/>
      <c r="GC127" s="279"/>
      <c r="GD127" s="279"/>
      <c r="GE127" s="279"/>
      <c r="GF127" s="279"/>
      <c r="GG127" s="279"/>
      <c r="GH127" s="279"/>
      <c r="GI127" s="279"/>
      <c r="GJ127" s="279"/>
      <c r="GK127" s="279"/>
      <c r="GL127" s="279"/>
      <c r="GM127" s="279"/>
      <c r="GN127" s="279"/>
      <c r="GO127" s="279"/>
      <c r="GP127" s="279"/>
      <c r="GQ127" s="279"/>
      <c r="GR127" s="279"/>
      <c r="GS127" s="279"/>
      <c r="GT127" s="279"/>
      <c r="GU127" s="279"/>
      <c r="GV127" s="279"/>
      <c r="GW127" s="279"/>
      <c r="GX127" s="279"/>
      <c r="GY127" s="279"/>
      <c r="GZ127" s="279"/>
      <c r="HA127" s="279"/>
      <c r="HB127" s="279"/>
      <c r="HC127" s="279"/>
      <c r="HD127" s="279"/>
      <c r="HE127" s="279"/>
      <c r="HF127" s="279"/>
      <c r="HG127" s="279"/>
      <c r="HH127" s="279"/>
      <c r="HI127" s="279"/>
      <c r="HJ127" s="279"/>
      <c r="HK127" s="279"/>
      <c r="HL127" s="279"/>
      <c r="HM127" s="279"/>
      <c r="HN127" s="279"/>
      <c r="HO127" s="279"/>
      <c r="HP127" s="279"/>
      <c r="HQ127" s="279"/>
      <c r="HR127" s="279"/>
      <c r="HS127" s="279"/>
      <c r="HT127" s="279"/>
      <c r="HU127" s="279"/>
      <c r="HV127" s="279"/>
      <c r="HW127" s="279"/>
      <c r="HX127" s="279"/>
      <c r="HY127" s="279"/>
      <c r="KT127" s="280"/>
    </row>
    <row r="128" spans="1:306" outlineLevel="1">
      <c r="D128" s="299" t="s">
        <v>3815</v>
      </c>
      <c r="E128" s="293"/>
      <c r="F128" s="293"/>
      <c r="G128" s="293"/>
      <c r="H128" s="293"/>
      <c r="I128" s="293"/>
      <c r="J128" s="293"/>
      <c r="K128" s="293"/>
      <c r="L128" s="293"/>
      <c r="M128" s="293"/>
      <c r="N128" s="293"/>
      <c r="O128" s="29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c r="BN128" s="293"/>
      <c r="BO128" s="293"/>
      <c r="BP128" s="293"/>
      <c r="BQ128" s="293"/>
      <c r="BR128" s="293"/>
      <c r="BS128" s="293"/>
      <c r="BT128" s="293"/>
      <c r="BU128" s="293"/>
      <c r="BV128" s="293"/>
      <c r="BW128" s="293"/>
      <c r="BX128" s="293"/>
      <c r="BY128" s="293"/>
      <c r="BZ128" s="293"/>
      <c r="CA128" s="293"/>
      <c r="CB128" s="293"/>
      <c r="CC128" s="293"/>
      <c r="CD128" s="293"/>
      <c r="CE128" s="294"/>
      <c r="CF128" s="293"/>
      <c r="CG128" s="293"/>
      <c r="CH128" s="293"/>
      <c r="CI128" s="293"/>
      <c r="CJ128" s="293"/>
      <c r="CK128" s="293"/>
      <c r="CL128" s="293"/>
      <c r="CM128" s="293"/>
      <c r="CN128" s="293"/>
      <c r="CO128" s="293"/>
      <c r="CP128" s="295"/>
      <c r="CQ128" s="293"/>
      <c r="CR128" s="293"/>
      <c r="CS128" s="293"/>
      <c r="CT128" s="293"/>
      <c r="CU128" s="293"/>
      <c r="CV128" s="293"/>
      <c r="CW128" s="293"/>
      <c r="CX128" s="293"/>
      <c r="CY128" s="293"/>
      <c r="CZ128" s="293"/>
      <c r="DA128" s="293"/>
      <c r="DB128" s="1288"/>
      <c r="DC128" s="293"/>
      <c r="DD128" s="293"/>
      <c r="DE128" s="293"/>
      <c r="DF128" s="293"/>
      <c r="DG128" s="293"/>
      <c r="DH128" s="293"/>
      <c r="DI128" s="293"/>
      <c r="DJ128" s="293"/>
      <c r="DK128" s="293"/>
      <c r="DL128" s="293"/>
      <c r="DM128" s="293"/>
      <c r="DN128" s="295"/>
      <c r="DO128" s="293"/>
      <c r="DP128" s="293"/>
      <c r="DQ128" s="293"/>
      <c r="DR128" s="293"/>
      <c r="DS128" s="293"/>
      <c r="DT128" s="293"/>
      <c r="DU128" s="293"/>
      <c r="DV128" s="293"/>
      <c r="DW128" s="293"/>
      <c r="DX128" s="293"/>
      <c r="DY128" s="293"/>
      <c r="DZ128" s="295"/>
      <c r="EA128" s="293"/>
      <c r="EB128" s="293"/>
      <c r="EC128" s="293"/>
      <c r="ED128" s="293"/>
      <c r="EE128" s="293"/>
      <c r="EF128" s="293"/>
      <c r="EG128" s="293"/>
      <c r="EH128" s="293"/>
      <c r="EI128" s="293"/>
      <c r="EJ128" s="293"/>
      <c r="EK128" s="293"/>
      <c r="EL128" s="295"/>
      <c r="EM128" s="1080"/>
      <c r="EN128" s="1080"/>
      <c r="EO128" s="1080"/>
      <c r="EP128" s="1080"/>
      <c r="EQ128" s="1080"/>
      <c r="ER128" s="1080"/>
      <c r="ES128" s="1080"/>
      <c r="ET128" s="1080"/>
      <c r="EU128" s="1080"/>
      <c r="EV128" s="1080"/>
      <c r="EW128" s="1080"/>
      <c r="EX128" s="1340"/>
      <c r="EY128" s="1080"/>
      <c r="EZ128" s="1080"/>
      <c r="FA128" s="1080"/>
      <c r="FB128" s="1080"/>
      <c r="FC128" s="1080"/>
      <c r="FD128" s="1080"/>
      <c r="FE128" s="1080"/>
      <c r="FF128" s="1080"/>
      <c r="FG128" s="1080"/>
      <c r="FH128" s="1080"/>
      <c r="FI128" s="1080"/>
      <c r="FJ128" s="1340"/>
      <c r="FK128" s="1080"/>
      <c r="FL128" s="1080"/>
      <c r="FM128" s="1080"/>
      <c r="FN128" s="1080"/>
      <c r="FO128" s="1080"/>
      <c r="FP128" s="1080"/>
      <c r="FQ128" s="293"/>
      <c r="FR128" s="293"/>
      <c r="FS128" s="293"/>
      <c r="FT128" s="293"/>
      <c r="FU128" s="293"/>
      <c r="FV128" s="293"/>
      <c r="FW128" s="293"/>
      <c r="FX128" s="293"/>
      <c r="FY128" s="293"/>
      <c r="FZ128" s="293"/>
      <c r="GA128" s="293"/>
      <c r="GB128" s="293"/>
      <c r="GC128" s="293"/>
      <c r="GD128" s="293"/>
      <c r="GE128" s="293"/>
      <c r="GF128" s="293"/>
      <c r="GG128" s="293"/>
      <c r="GH128" s="293"/>
      <c r="GI128" s="293"/>
      <c r="GJ128" s="293"/>
      <c r="GK128" s="293"/>
      <c r="GL128" s="293"/>
      <c r="GM128" s="293"/>
      <c r="GN128" s="293"/>
      <c r="GO128" s="293"/>
      <c r="GP128" s="293"/>
      <c r="GQ128" s="293"/>
      <c r="GR128" s="293"/>
      <c r="GS128" s="293"/>
      <c r="GT128" s="293"/>
      <c r="GU128" s="293"/>
      <c r="GV128" s="293"/>
      <c r="GW128" s="293"/>
      <c r="GX128" s="293"/>
      <c r="GY128" s="293"/>
      <c r="GZ128" s="293"/>
      <c r="HA128" s="293"/>
      <c r="HB128" s="293"/>
      <c r="HC128" s="293"/>
      <c r="HD128" s="293"/>
      <c r="HE128" s="293"/>
      <c r="HF128" s="293"/>
      <c r="HG128" s="293"/>
      <c r="HH128" s="293"/>
      <c r="HI128" s="293"/>
      <c r="HJ128" s="293"/>
      <c r="HK128" s="293"/>
      <c r="HL128" s="293"/>
      <c r="HM128" s="293"/>
      <c r="HN128" s="293"/>
      <c r="HO128" s="293"/>
      <c r="HP128" s="293"/>
      <c r="HQ128" s="293"/>
      <c r="HR128" s="293"/>
      <c r="HS128" s="293"/>
      <c r="HT128" s="293"/>
      <c r="HU128" s="293"/>
      <c r="HV128" s="293"/>
      <c r="HW128" s="293"/>
      <c r="HX128" s="293"/>
      <c r="HY128" s="293"/>
      <c r="KT128" s="280"/>
    </row>
    <row r="129" spans="1:306" outlineLevel="1">
      <c r="D129" s="2083" t="s">
        <v>3814</v>
      </c>
      <c r="E129" s="293"/>
      <c r="F129" s="293"/>
      <c r="G129" s="293"/>
      <c r="H129" s="293"/>
      <c r="I129" s="293"/>
      <c r="J129" s="293"/>
      <c r="K129" s="293"/>
      <c r="L129" s="293"/>
      <c r="M129" s="293"/>
      <c r="N129" s="293"/>
      <c r="O129" s="29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c r="BN129" s="293"/>
      <c r="BO129" s="293"/>
      <c r="BP129" s="293"/>
      <c r="BQ129" s="293"/>
      <c r="BR129" s="293"/>
      <c r="BS129" s="293"/>
      <c r="BT129" s="293"/>
      <c r="BU129" s="293"/>
      <c r="BV129" s="293"/>
      <c r="BW129" s="293"/>
      <c r="BX129" s="293"/>
      <c r="BY129" s="293"/>
      <c r="BZ129" s="293"/>
      <c r="CA129" s="293"/>
      <c r="CB129" s="293"/>
      <c r="CC129" s="293"/>
      <c r="CD129" s="293"/>
      <c r="CE129" s="294"/>
      <c r="CF129" s="293"/>
      <c r="CG129" s="293"/>
      <c r="CH129" s="293"/>
      <c r="CI129" s="293"/>
      <c r="CJ129" s="293"/>
      <c r="CK129" s="293"/>
      <c r="CL129" s="293"/>
      <c r="CM129" s="293"/>
      <c r="CN129" s="293"/>
      <c r="CO129" s="293"/>
      <c r="CP129" s="295"/>
      <c r="CQ129" s="293"/>
      <c r="CR129" s="293"/>
      <c r="CS129" s="293"/>
      <c r="CT129" s="293"/>
      <c r="CU129" s="293"/>
      <c r="CV129" s="293"/>
      <c r="CW129" s="293"/>
      <c r="CX129" s="293"/>
      <c r="CY129" s="293"/>
      <c r="CZ129" s="293"/>
      <c r="DA129" s="293"/>
      <c r="DB129" s="1288"/>
      <c r="DC129" s="293">
        <v>-1.016963142</v>
      </c>
      <c r="DD129" s="293">
        <v>0</v>
      </c>
      <c r="DE129" s="293">
        <v>-0.107257982</v>
      </c>
      <c r="DF129" s="293">
        <v>-1.0296751799999999</v>
      </c>
      <c r="DG129" s="293">
        <v>-10.5</v>
      </c>
      <c r="DH129" s="293">
        <v>-0.28742022900000003</v>
      </c>
      <c r="DI129" s="293">
        <v>-1.0425461199999999</v>
      </c>
      <c r="DJ129" s="293">
        <v>0</v>
      </c>
      <c r="DK129" s="293">
        <v>0</v>
      </c>
      <c r="DL129" s="293">
        <v>-1.055577947</v>
      </c>
      <c r="DM129" s="293">
        <v>0</v>
      </c>
      <c r="DN129" s="295">
        <v>0</v>
      </c>
      <c r="DO129" s="293">
        <v>-1.0687726710000001</v>
      </c>
      <c r="DP129" s="293">
        <v>-0.85545203299999995</v>
      </c>
      <c r="DQ129" s="293">
        <v>-0.86362635300000001</v>
      </c>
      <c r="DR129" s="293">
        <v>-1.9540111120000001</v>
      </c>
      <c r="DS129" s="293">
        <v>0</v>
      </c>
      <c r="DT129" s="293">
        <v>-0.88021006800000001</v>
      </c>
      <c r="DU129" s="293">
        <v>-11.413168518999999</v>
      </c>
      <c r="DV129" s="293">
        <v>-3.6473710920000002</v>
      </c>
      <c r="DW129" s="293">
        <v>-1.8781187340000001</v>
      </c>
      <c r="DX129" s="293">
        <v>-2.9293783150000001</v>
      </c>
      <c r="DY129" s="293">
        <v>0</v>
      </c>
      <c r="DZ129" s="295">
        <v>-0.92307597399999997</v>
      </c>
      <c r="EA129" s="293">
        <v>-1.123221655</v>
      </c>
      <c r="EB129" s="293">
        <v>-3.8</v>
      </c>
      <c r="EC129" s="293">
        <v>-1.9</v>
      </c>
      <c r="ED129" s="293">
        <v>-3.0372619259999998</v>
      </c>
      <c r="EE129" s="293">
        <v>0</v>
      </c>
      <c r="EF129" s="293">
        <v>-2.1082000059999997</v>
      </c>
      <c r="EG129" s="293">
        <v>0</v>
      </c>
      <c r="EH129" s="293">
        <v>-1.9</v>
      </c>
      <c r="EI129" s="293">
        <v>-2.0874999999999999</v>
      </c>
      <c r="EJ129" s="293">
        <v>-6.406892944</v>
      </c>
      <c r="EK129" s="293">
        <v>0</v>
      </c>
      <c r="EL129" s="295">
        <v>-6.7624064999999991</v>
      </c>
      <c r="EM129" s="1080">
        <v>26.768425806610708</v>
      </c>
      <c r="EN129" s="1080">
        <v>1.720469081827531</v>
      </c>
      <c r="EO129" s="1080">
        <v>-15.146247700965972</v>
      </c>
      <c r="EP129" s="1080">
        <v>10.680448875139689</v>
      </c>
      <c r="EQ129" s="1080">
        <v>-10.468546050333202</v>
      </c>
      <c r="ER129" s="1080">
        <v>-101.04947002286468</v>
      </c>
      <c r="ES129" s="1080">
        <v>15.282694472995274</v>
      </c>
      <c r="ET129" s="1080">
        <v>-32.425887677354979</v>
      </c>
      <c r="EU129" s="1080">
        <v>-4.5866968101165639E-2</v>
      </c>
      <c r="EV129" s="1080">
        <v>3.9660478675597233</v>
      </c>
      <c r="EW129" s="1080">
        <v>-11.286667326501288</v>
      </c>
      <c r="EX129" s="1340">
        <v>-40.671671837500924</v>
      </c>
      <c r="EY129" s="1080">
        <v>0</v>
      </c>
      <c r="EZ129" s="1080">
        <v>0</v>
      </c>
      <c r="FA129" s="1080">
        <v>0</v>
      </c>
      <c r="FB129" s="1080">
        <v>-10</v>
      </c>
      <c r="FC129" s="1080">
        <v>0</v>
      </c>
      <c r="FD129" s="1080">
        <v>0</v>
      </c>
      <c r="FE129" s="1080">
        <v>-6.8958996150000003</v>
      </c>
      <c r="FF129" s="1080">
        <v>-3.168919152</v>
      </c>
      <c r="FG129" s="1080">
        <v>-3.1144872079999999</v>
      </c>
      <c r="FH129" s="1080">
        <v>-11.918621296</v>
      </c>
      <c r="FI129" s="1080">
        <v>0</v>
      </c>
      <c r="FJ129" s="1340">
        <v>-3.4561392389999996</v>
      </c>
      <c r="FK129" s="1080">
        <v>0</v>
      </c>
      <c r="FL129" s="1080">
        <v>0</v>
      </c>
      <c r="FM129" s="1080">
        <v>0</v>
      </c>
      <c r="FN129" s="1080">
        <v>0</v>
      </c>
      <c r="FO129" s="1080">
        <v>0</v>
      </c>
      <c r="FP129" s="1080">
        <v>0</v>
      </c>
      <c r="FQ129" s="293">
        <v>0</v>
      </c>
      <c r="FR129" s="293">
        <v>0</v>
      </c>
      <c r="FS129" s="293">
        <v>-6.5</v>
      </c>
      <c r="FT129" s="293">
        <v>-28.5</v>
      </c>
      <c r="FU129" s="293">
        <v>-11.7</v>
      </c>
      <c r="FV129" s="293">
        <v>0</v>
      </c>
      <c r="FW129" s="293">
        <v>-26.091799999999999</v>
      </c>
      <c r="FX129" s="293">
        <v>-49.392000000000003</v>
      </c>
      <c r="FY129" s="293">
        <v>-0.123000000000001</v>
      </c>
      <c r="FZ129" s="293">
        <v>-0.33189999999999997</v>
      </c>
      <c r="GA129" s="293">
        <v>-8.9999999999999993E-3</v>
      </c>
      <c r="GB129" s="293">
        <v>0</v>
      </c>
      <c r="GC129" s="293">
        <v>0</v>
      </c>
      <c r="GD129" s="293">
        <v>0</v>
      </c>
      <c r="GE129" s="293">
        <v>-2.7047121669999998</v>
      </c>
      <c r="GF129" s="293">
        <v>0</v>
      </c>
      <c r="GG129" s="293">
        <v>0</v>
      </c>
      <c r="GH129" s="293">
        <v>-2.7829719050000001</v>
      </c>
      <c r="GI129" s="293">
        <v>0</v>
      </c>
      <c r="GJ129" s="293">
        <v>-10</v>
      </c>
      <c r="GK129" s="293">
        <v>-0.28525051699999998</v>
      </c>
      <c r="GL129" s="293">
        <v>0</v>
      </c>
      <c r="GM129" s="293">
        <v>-30</v>
      </c>
      <c r="GN129" s="293">
        <v>-0.29603533100000001</v>
      </c>
      <c r="GO129" s="293">
        <v>-114.05016187299999</v>
      </c>
      <c r="GP129" s="293">
        <v>-15</v>
      </c>
      <c r="GQ129" s="293">
        <v>-42.284721523999998</v>
      </c>
      <c r="GR129" s="293">
        <v>0</v>
      </c>
      <c r="GS129" s="293">
        <v>-9.1992606549999998</v>
      </c>
      <c r="GT129" s="293">
        <v>-0.98660119000000002</v>
      </c>
      <c r="GU129" s="293">
        <v>0</v>
      </c>
      <c r="GV129" s="293">
        <v>0</v>
      </c>
      <c r="GW129" s="293">
        <v>-0.99232490500000003</v>
      </c>
      <c r="GX129" s="293">
        <v>0</v>
      </c>
      <c r="GY129" s="293">
        <v>-9.9906587939999998</v>
      </c>
      <c r="GZ129" s="293">
        <v>-23.004864997999999</v>
      </c>
      <c r="HA129" s="293">
        <v>0</v>
      </c>
      <c r="HB129" s="293">
        <v>0</v>
      </c>
      <c r="HC129" s="293">
        <v>15.238439816999998</v>
      </c>
      <c r="HD129" s="293">
        <v>0</v>
      </c>
      <c r="HE129" s="293">
        <v>-65</v>
      </c>
      <c r="HF129" s="293">
        <v>-12.039217196999999</v>
      </c>
      <c r="HG129" s="293">
        <v>-7.4881662630000001</v>
      </c>
      <c r="HH129" s="293">
        <v>0</v>
      </c>
      <c r="HI129" s="293">
        <v>-1.463363051</v>
      </c>
      <c r="HJ129" s="293">
        <v>0</v>
      </c>
      <c r="HK129" s="293">
        <v>-55</v>
      </c>
      <c r="HL129" s="293">
        <v>-17.756314396</v>
      </c>
      <c r="HM129" s="293"/>
      <c r="HN129" s="293"/>
      <c r="HO129" s="293"/>
      <c r="HP129" s="293"/>
      <c r="HQ129" s="293"/>
      <c r="HR129" s="293"/>
      <c r="HS129" s="293"/>
      <c r="HT129" s="293"/>
      <c r="HU129" s="293"/>
      <c r="HV129" s="293"/>
      <c r="HW129" s="293"/>
      <c r="HX129" s="293"/>
      <c r="HY129" s="293"/>
      <c r="KT129" s="280"/>
    </row>
    <row r="130" spans="1:306" outlineLevel="1">
      <c r="D130" s="2057" t="s">
        <v>3689</v>
      </c>
      <c r="E130" s="293"/>
      <c r="F130" s="293"/>
      <c r="G130" s="293"/>
      <c r="H130" s="293"/>
      <c r="I130" s="293"/>
      <c r="J130" s="293"/>
      <c r="K130" s="293"/>
      <c r="L130" s="293"/>
      <c r="M130" s="293"/>
      <c r="N130" s="293"/>
      <c r="O130" s="29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c r="BN130" s="293"/>
      <c r="BO130" s="293"/>
      <c r="BP130" s="293"/>
      <c r="BQ130" s="293"/>
      <c r="BR130" s="293"/>
      <c r="BS130" s="293"/>
      <c r="BT130" s="293"/>
      <c r="BU130" s="293"/>
      <c r="BV130" s="293"/>
      <c r="BW130" s="293"/>
      <c r="BX130" s="293"/>
      <c r="BY130" s="293"/>
      <c r="BZ130" s="293"/>
      <c r="CA130" s="293"/>
      <c r="CB130" s="293"/>
      <c r="CC130" s="293"/>
      <c r="CD130" s="293"/>
      <c r="CE130" s="294"/>
      <c r="CF130" s="293"/>
      <c r="CG130" s="293"/>
      <c r="CH130" s="293"/>
      <c r="CI130" s="293"/>
      <c r="CJ130" s="293"/>
      <c r="CK130" s="293"/>
      <c r="CL130" s="293"/>
      <c r="CM130" s="293"/>
      <c r="CN130" s="293"/>
      <c r="CO130" s="293"/>
      <c r="CP130" s="295"/>
      <c r="CQ130" s="293"/>
      <c r="CR130" s="293"/>
      <c r="CS130" s="293"/>
      <c r="CT130" s="293"/>
      <c r="CU130" s="293"/>
      <c r="CV130" s="293"/>
      <c r="CW130" s="293"/>
      <c r="CX130" s="293"/>
      <c r="CY130" s="293"/>
      <c r="CZ130" s="293"/>
      <c r="DA130" s="293"/>
      <c r="DB130" s="1288"/>
      <c r="DC130" s="293"/>
      <c r="DD130" s="293"/>
      <c r="DE130" s="293"/>
      <c r="DF130" s="293"/>
      <c r="DG130" s="293"/>
      <c r="DH130" s="293"/>
      <c r="DI130" s="293"/>
      <c r="DJ130" s="293"/>
      <c r="DK130" s="293"/>
      <c r="DL130" s="293"/>
      <c r="DM130" s="293"/>
      <c r="DN130" s="295"/>
      <c r="DO130" s="293"/>
      <c r="DP130" s="293"/>
      <c r="DQ130" s="293"/>
      <c r="DR130" s="293"/>
      <c r="DS130" s="293"/>
      <c r="DT130" s="293"/>
      <c r="DU130" s="293"/>
      <c r="DV130" s="293"/>
      <c r="DW130" s="293"/>
      <c r="DX130" s="293"/>
      <c r="DY130" s="293"/>
      <c r="DZ130" s="295"/>
      <c r="EA130" s="293"/>
      <c r="EB130" s="293"/>
      <c r="EC130" s="293"/>
      <c r="ED130" s="293"/>
      <c r="EE130" s="293"/>
      <c r="EF130" s="293"/>
      <c r="EG130" s="293"/>
      <c r="EH130" s="293"/>
      <c r="EI130" s="293"/>
      <c r="EJ130" s="293"/>
      <c r="EK130" s="293"/>
      <c r="EL130" s="295"/>
      <c r="EM130" s="1080"/>
      <c r="EN130" s="1080"/>
      <c r="EO130" s="1080"/>
      <c r="EP130" s="1080"/>
      <c r="EQ130" s="1080"/>
      <c r="ER130" s="1080"/>
      <c r="ES130" s="1080"/>
      <c r="ET130" s="1080"/>
      <c r="EU130" s="1080"/>
      <c r="EV130" s="1080"/>
      <c r="EW130" s="1080"/>
      <c r="EX130" s="1340"/>
      <c r="EY130" s="1080"/>
      <c r="EZ130" s="1080"/>
      <c r="FA130" s="1080"/>
      <c r="FB130" s="1080"/>
      <c r="FC130" s="1080"/>
      <c r="FD130" s="1080"/>
      <c r="FE130" s="1080"/>
      <c r="FF130" s="1080"/>
      <c r="FG130" s="1080"/>
      <c r="FH130" s="1080"/>
      <c r="FI130" s="1080"/>
      <c r="FJ130" s="1340"/>
      <c r="FK130" s="1080"/>
      <c r="FL130" s="1080"/>
      <c r="FM130" s="1080"/>
      <c r="FN130" s="1080"/>
      <c r="FO130" s="1080"/>
      <c r="FP130" s="1080"/>
      <c r="FQ130" s="293"/>
      <c r="FR130" s="293"/>
      <c r="FS130" s="293"/>
      <c r="FT130" s="293"/>
      <c r="FU130" s="293"/>
      <c r="FV130" s="293"/>
      <c r="FW130" s="293"/>
      <c r="FX130" s="293"/>
      <c r="FY130" s="293"/>
      <c r="FZ130" s="293"/>
      <c r="GA130" s="293"/>
      <c r="GB130" s="293"/>
      <c r="GC130" s="293"/>
      <c r="GD130" s="293"/>
      <c r="GE130" s="293"/>
      <c r="GF130" s="293"/>
      <c r="GG130" s="293"/>
      <c r="GH130" s="293"/>
      <c r="GI130" s="293">
        <v>0</v>
      </c>
      <c r="GJ130" s="293">
        <v>0</v>
      </c>
      <c r="GK130" s="293">
        <v>-0.28525051699999998</v>
      </c>
      <c r="GL130" s="293">
        <v>0</v>
      </c>
      <c r="GM130" s="293">
        <v>0</v>
      </c>
      <c r="GN130" s="293">
        <v>-0.29603533100000001</v>
      </c>
      <c r="GO130" s="293">
        <v>-69.050161872999993</v>
      </c>
      <c r="GP130" s="293">
        <v>0</v>
      </c>
      <c r="GQ130" s="293">
        <v>-8.7297215240000003</v>
      </c>
      <c r="GR130" s="293">
        <v>0</v>
      </c>
      <c r="GS130" s="293">
        <v>-9.1992606549999998</v>
      </c>
      <c r="GT130" s="293">
        <v>-0.98660119000000002</v>
      </c>
      <c r="GU130" s="293">
        <v>0</v>
      </c>
      <c r="GV130" s="293">
        <v>0</v>
      </c>
      <c r="GW130" s="293">
        <v>-0.99232490500000003</v>
      </c>
      <c r="GX130" s="293">
        <v>0</v>
      </c>
      <c r="GY130" s="293">
        <v>-9.9906587939999998</v>
      </c>
      <c r="GZ130" s="293">
        <v>-23.004864997999999</v>
      </c>
      <c r="HA130" s="293">
        <v>0</v>
      </c>
      <c r="HB130" s="293">
        <v>0</v>
      </c>
      <c r="HC130" s="293">
        <v>15.238439816999998</v>
      </c>
      <c r="HD130" s="293">
        <v>0</v>
      </c>
      <c r="HE130" s="293">
        <v>0</v>
      </c>
      <c r="HF130" s="293">
        <v>-12.039217196999999</v>
      </c>
      <c r="HG130" s="293">
        <v>-7.4881662630000001</v>
      </c>
      <c r="HH130" s="293">
        <v>0</v>
      </c>
      <c r="HI130" s="293">
        <v>-1.463363051</v>
      </c>
      <c r="HJ130" s="293">
        <v>0</v>
      </c>
      <c r="HK130" s="293">
        <v>0</v>
      </c>
      <c r="HL130" s="293">
        <v>-17.756314396</v>
      </c>
      <c r="HM130" s="293"/>
      <c r="HN130" s="293"/>
      <c r="HO130" s="293"/>
      <c r="HP130" s="293"/>
      <c r="HQ130" s="293"/>
      <c r="HR130" s="293"/>
      <c r="HS130" s="293"/>
      <c r="HT130" s="293"/>
      <c r="HU130" s="293"/>
      <c r="HV130" s="293"/>
      <c r="HW130" s="293"/>
      <c r="HX130" s="293"/>
      <c r="HY130" s="293"/>
      <c r="KT130" s="280"/>
    </row>
    <row r="131" spans="1:306" outlineLevel="1">
      <c r="A131" s="96" t="s">
        <v>942</v>
      </c>
      <c r="D131" s="2057" t="s">
        <v>386</v>
      </c>
      <c r="E131" s="293"/>
      <c r="F131" s="293"/>
      <c r="G131" s="293"/>
      <c r="H131" s="293"/>
      <c r="I131" s="293"/>
      <c r="J131" s="293"/>
      <c r="K131" s="293"/>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c r="BN131" s="293"/>
      <c r="BO131" s="293"/>
      <c r="BP131" s="293"/>
      <c r="BQ131" s="293"/>
      <c r="BR131" s="293"/>
      <c r="BS131" s="293"/>
      <c r="BT131" s="293"/>
      <c r="BU131" s="293"/>
      <c r="BV131" s="293"/>
      <c r="BW131" s="293"/>
      <c r="BX131" s="293"/>
      <c r="BY131" s="293"/>
      <c r="BZ131" s="293"/>
      <c r="CA131" s="293"/>
      <c r="CB131" s="293"/>
      <c r="CC131" s="293"/>
      <c r="CD131" s="293"/>
      <c r="CE131" s="294"/>
      <c r="CF131" s="293"/>
      <c r="CG131" s="293"/>
      <c r="CH131" s="293"/>
      <c r="CI131" s="293"/>
      <c r="CJ131" s="293"/>
      <c r="CK131" s="293"/>
      <c r="CL131" s="293"/>
      <c r="CM131" s="293"/>
      <c r="CN131" s="293"/>
      <c r="CO131" s="293"/>
      <c r="CP131" s="295"/>
      <c r="CQ131" s="293"/>
      <c r="CR131" s="293"/>
      <c r="CS131" s="293"/>
      <c r="CT131" s="293"/>
      <c r="CU131" s="293"/>
      <c r="CV131" s="293"/>
      <c r="CW131" s="293"/>
      <c r="CX131" s="293"/>
      <c r="CY131" s="293"/>
      <c r="CZ131" s="293"/>
      <c r="DA131" s="293"/>
      <c r="DB131" s="1288"/>
      <c r="DC131" s="293"/>
      <c r="DD131" s="293"/>
      <c r="DE131" s="293"/>
      <c r="DF131" s="293"/>
      <c r="DG131" s="293"/>
      <c r="DH131" s="293"/>
      <c r="DI131" s="293"/>
      <c r="DJ131" s="293"/>
      <c r="DK131" s="293"/>
      <c r="DL131" s="293"/>
      <c r="DM131" s="293"/>
      <c r="DN131" s="295"/>
      <c r="DO131" s="293"/>
      <c r="DP131" s="293"/>
      <c r="DQ131" s="293"/>
      <c r="DR131" s="293"/>
      <c r="DS131" s="293"/>
      <c r="DT131" s="293"/>
      <c r="DU131" s="293"/>
      <c r="DV131" s="293"/>
      <c r="DW131" s="293"/>
      <c r="DX131" s="293"/>
      <c r="DY131" s="293"/>
      <c r="DZ131" s="295"/>
      <c r="EA131" s="293"/>
      <c r="EB131" s="293"/>
      <c r="EC131" s="293"/>
      <c r="ED131" s="293"/>
      <c r="EE131" s="293"/>
      <c r="EF131" s="293"/>
      <c r="EG131" s="293"/>
      <c r="EH131" s="293"/>
      <c r="EI131" s="293"/>
      <c r="EJ131" s="293"/>
      <c r="EK131" s="293"/>
      <c r="EL131" s="295"/>
      <c r="EM131" s="1080"/>
      <c r="EN131" s="1080"/>
      <c r="EO131" s="1080"/>
      <c r="EP131" s="1080"/>
      <c r="EQ131" s="1080"/>
      <c r="ER131" s="1080"/>
      <c r="ES131" s="1080"/>
      <c r="ET131" s="1080"/>
      <c r="EU131" s="1080"/>
      <c r="EV131" s="1080"/>
      <c r="EW131" s="1080"/>
      <c r="EX131" s="1340"/>
      <c r="EY131" s="1080"/>
      <c r="EZ131" s="1080"/>
      <c r="FA131" s="1080"/>
      <c r="FB131" s="1080"/>
      <c r="FC131" s="1080"/>
      <c r="FD131" s="1080"/>
      <c r="FE131" s="1080"/>
      <c r="FF131" s="1080"/>
      <c r="FG131" s="1080"/>
      <c r="FH131" s="1080"/>
      <c r="FI131" s="1080"/>
      <c r="FJ131" s="1340"/>
      <c r="FK131" s="1080"/>
      <c r="FL131" s="1080"/>
      <c r="FM131" s="1080"/>
      <c r="FN131" s="1080"/>
      <c r="FO131" s="1080"/>
      <c r="FP131" s="1080"/>
      <c r="FQ131" s="293"/>
      <c r="FR131" s="293"/>
      <c r="FS131" s="293"/>
      <c r="FT131" s="293"/>
      <c r="FU131" s="293"/>
      <c r="FV131" s="293"/>
      <c r="FW131" s="293"/>
      <c r="FX131" s="293"/>
      <c r="FY131" s="293"/>
      <c r="FZ131" s="293"/>
      <c r="GA131" s="293"/>
      <c r="GB131" s="293"/>
      <c r="GC131" s="293"/>
      <c r="GD131" s="293"/>
      <c r="GE131" s="293"/>
      <c r="GF131" s="293"/>
      <c r="GG131" s="293"/>
      <c r="GH131" s="293"/>
      <c r="GI131" s="293">
        <v>0</v>
      </c>
      <c r="GJ131" s="293">
        <v>-10</v>
      </c>
      <c r="GK131" s="293">
        <v>0</v>
      </c>
      <c r="GL131" s="293">
        <v>0</v>
      </c>
      <c r="GM131" s="293">
        <v>-30</v>
      </c>
      <c r="GN131" s="293">
        <v>0</v>
      </c>
      <c r="GO131" s="293">
        <v>-45</v>
      </c>
      <c r="GP131" s="293">
        <v>-15</v>
      </c>
      <c r="GQ131" s="293">
        <v>-33.555</v>
      </c>
      <c r="GR131" s="293">
        <v>0</v>
      </c>
      <c r="GS131" s="293">
        <v>0</v>
      </c>
      <c r="GT131" s="293">
        <v>0</v>
      </c>
      <c r="GU131" s="293">
        <v>0</v>
      </c>
      <c r="GV131" s="293">
        <v>0</v>
      </c>
      <c r="GW131" s="293">
        <v>0</v>
      </c>
      <c r="GX131" s="293">
        <v>0</v>
      </c>
      <c r="GY131" s="293">
        <v>0</v>
      </c>
      <c r="GZ131" s="293">
        <v>0</v>
      </c>
      <c r="HA131" s="293">
        <v>0</v>
      </c>
      <c r="HB131" s="293">
        <v>0</v>
      </c>
      <c r="HC131" s="293">
        <v>0</v>
      </c>
      <c r="HD131" s="293">
        <v>0</v>
      </c>
      <c r="HE131" s="293">
        <v>-65</v>
      </c>
      <c r="HF131" s="293">
        <v>0</v>
      </c>
      <c r="HG131" s="293">
        <v>0</v>
      </c>
      <c r="HH131" s="293">
        <v>0</v>
      </c>
      <c r="HI131" s="293">
        <v>0</v>
      </c>
      <c r="HJ131" s="293">
        <v>0</v>
      </c>
      <c r="HK131" s="293">
        <v>-55</v>
      </c>
      <c r="HL131" s="293">
        <v>0</v>
      </c>
      <c r="HM131" s="293"/>
      <c r="HN131" s="293"/>
      <c r="HO131" s="293"/>
      <c r="HP131" s="293"/>
      <c r="HQ131" s="293"/>
      <c r="HR131" s="293"/>
      <c r="HS131" s="293"/>
      <c r="HT131" s="293"/>
      <c r="HU131" s="293"/>
      <c r="HV131" s="293"/>
      <c r="HW131" s="293"/>
      <c r="HX131" s="293"/>
      <c r="HY131" s="293"/>
      <c r="KT131" s="280"/>
    </row>
    <row r="132" spans="1:306" outlineLevel="1">
      <c r="A132" s="291" t="s">
        <v>943</v>
      </c>
      <c r="D132" s="299" t="s">
        <v>3722</v>
      </c>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2"/>
      <c r="BG132" s="292"/>
      <c r="BH132" s="292"/>
      <c r="BI132" s="292"/>
      <c r="BJ132" s="292"/>
      <c r="BK132" s="292"/>
      <c r="BL132" s="292"/>
      <c r="BM132" s="292"/>
      <c r="BN132" s="292"/>
      <c r="BO132" s="292"/>
      <c r="BP132" s="292"/>
      <c r="BQ132" s="292"/>
      <c r="BR132" s="292"/>
      <c r="BS132" s="292"/>
      <c r="BT132" s="292"/>
      <c r="BU132" s="292"/>
      <c r="BV132" s="292"/>
      <c r="BW132" s="292"/>
      <c r="BX132" s="292"/>
      <c r="BY132" s="292"/>
      <c r="BZ132" s="292"/>
      <c r="CA132" s="292"/>
      <c r="CB132" s="292"/>
      <c r="CC132" s="292"/>
      <c r="CD132" s="292"/>
      <c r="CE132" s="292"/>
      <c r="CF132" s="292"/>
      <c r="CG132" s="292"/>
      <c r="CH132" s="292"/>
      <c r="CI132" s="292"/>
      <c r="CJ132" s="292"/>
      <c r="CK132" s="292"/>
      <c r="CL132" s="292"/>
      <c r="CM132" s="292"/>
      <c r="CN132" s="292"/>
      <c r="CO132" s="292"/>
      <c r="CP132" s="1277"/>
      <c r="CQ132" s="292"/>
      <c r="CR132" s="292"/>
      <c r="CS132" s="292"/>
      <c r="CT132" s="292"/>
      <c r="CU132" s="292"/>
      <c r="CV132" s="292"/>
      <c r="CW132" s="292"/>
      <c r="CX132" s="292"/>
      <c r="CY132" s="292"/>
      <c r="CZ132" s="292"/>
      <c r="DA132" s="292"/>
      <c r="DB132" s="1296"/>
      <c r="DC132" s="2123">
        <v>1.013739671850697</v>
      </c>
      <c r="DD132" s="2123">
        <v>3.8155369459999999</v>
      </c>
      <c r="DE132" s="2123">
        <v>1.2607246313999998</v>
      </c>
      <c r="DF132" s="2123">
        <v>1.327297921581104</v>
      </c>
      <c r="DG132" s="2123">
        <v>4.0140894349999998</v>
      </c>
      <c r="DH132" s="2123">
        <v>1.004022024</v>
      </c>
      <c r="DI132" s="2123">
        <v>1.1573102669999999</v>
      </c>
      <c r="DJ132" s="2123">
        <v>4.0698216370000004</v>
      </c>
      <c r="DK132" s="2123">
        <v>1.2266172930000008</v>
      </c>
      <c r="DL132" s="2123">
        <v>1.0815417723131717</v>
      </c>
      <c r="DM132" s="2123">
        <v>4.1636333206521741</v>
      </c>
      <c r="DN132" s="2124">
        <v>1.3604877480800004</v>
      </c>
      <c r="DO132" s="2123">
        <v>1.235177484</v>
      </c>
      <c r="DP132" s="2123">
        <v>0.58269444500000001</v>
      </c>
      <c r="DQ132" s="2123">
        <v>7.3106368909999997</v>
      </c>
      <c r="DR132" s="2123">
        <v>1.269235978</v>
      </c>
      <c r="DS132" s="2123">
        <v>5.6513437289999997</v>
      </c>
      <c r="DT132" s="2123">
        <v>2.5076567299999999</v>
      </c>
      <c r="DU132" s="2123">
        <v>1.8843587500000001</v>
      </c>
      <c r="DV132" s="2123">
        <v>6.8498788730000006</v>
      </c>
      <c r="DW132" s="2123">
        <v>0.35625000000000001</v>
      </c>
      <c r="DX132" s="2123">
        <v>3.566209593</v>
      </c>
      <c r="DY132" s="2123">
        <v>1.15412743</v>
      </c>
      <c r="DZ132" s="2124">
        <v>2.8856853930000002</v>
      </c>
      <c r="EA132" s="2123">
        <v>2.1337011619999999</v>
      </c>
      <c r="EB132" s="2123">
        <v>7.065974862</v>
      </c>
      <c r="EC132" s="2123">
        <v>2.810076848</v>
      </c>
      <c r="ED132" s="2123">
        <v>2.002213716</v>
      </c>
      <c r="EE132" s="2123">
        <v>7.1626959770000003</v>
      </c>
      <c r="EF132" s="2123">
        <v>2.4804715669999999</v>
      </c>
      <c r="EG132" s="2123">
        <v>2.2338352590000001</v>
      </c>
      <c r="EH132" s="2123">
        <v>7.9621197469999991</v>
      </c>
      <c r="EI132" s="2123">
        <v>0.34307549599999998</v>
      </c>
      <c r="EJ132" s="2123">
        <v>4.1642875720000001</v>
      </c>
      <c r="EK132" s="2123">
        <v>6.2518750000000001</v>
      </c>
      <c r="EL132" s="2124">
        <v>4.2896853220000004</v>
      </c>
      <c r="EM132" s="2125">
        <v>2.228758729166457</v>
      </c>
      <c r="EN132" s="2125">
        <v>7.9635574682075188</v>
      </c>
      <c r="EO132" s="2125">
        <v>2.6397766795801307</v>
      </c>
      <c r="EP132" s="2125">
        <v>2.0865679931982122</v>
      </c>
      <c r="EQ132" s="2125">
        <v>2.2005343650000002</v>
      </c>
      <c r="ER132" s="2125">
        <v>10.34234914812088</v>
      </c>
      <c r="ES132" s="2125">
        <v>2.8476184939999998</v>
      </c>
      <c r="ET132" s="2125">
        <v>8.8725304500000011</v>
      </c>
      <c r="EU132" s="2125">
        <v>2.0579719870000002</v>
      </c>
      <c r="EV132" s="2125">
        <v>1.4585385360000001</v>
      </c>
      <c r="EW132" s="2125">
        <v>10.389073190000001</v>
      </c>
      <c r="EX132" s="2126">
        <v>1.516211926</v>
      </c>
      <c r="EY132" s="2125">
        <v>1.9953984659999999</v>
      </c>
      <c r="EZ132" s="2125">
        <v>12.017003176999999</v>
      </c>
      <c r="FA132" s="2125">
        <v>1.34400919</v>
      </c>
      <c r="FB132" s="2125">
        <v>4.4300871810000002</v>
      </c>
      <c r="FC132" s="2125">
        <v>13.811664832</v>
      </c>
      <c r="FD132" s="2125">
        <v>5.4821694860000001</v>
      </c>
      <c r="FE132" s="2125">
        <v>3.1499937920000001</v>
      </c>
      <c r="FF132" s="2125">
        <v>12.751089638</v>
      </c>
      <c r="FG132" s="2125">
        <v>3.8314582430000002</v>
      </c>
      <c r="FH132" s="2125">
        <v>6.4921787229999994</v>
      </c>
      <c r="FI132" s="2125">
        <v>6.2867501839999997</v>
      </c>
      <c r="FJ132" s="2126">
        <v>6.7099874919999998</v>
      </c>
      <c r="FK132" s="2125">
        <v>4.4636755949999998</v>
      </c>
      <c r="FL132" s="2125">
        <v>16.899956773</v>
      </c>
      <c r="FM132" s="2125">
        <v>5.819656954</v>
      </c>
      <c r="FN132" s="2125">
        <v>2.1485233610000001</v>
      </c>
      <c r="FO132" s="2125">
        <v>17.866421719999998</v>
      </c>
      <c r="FP132" s="2125">
        <v>3.8656419530000004</v>
      </c>
      <c r="FQ132" s="2123">
        <v>4.7048165869999998</v>
      </c>
      <c r="FR132" s="2123">
        <v>21.759187754999658</v>
      </c>
      <c r="FS132" s="2123">
        <v>6.0728433150000001</v>
      </c>
      <c r="FT132" s="2123">
        <v>3.2050342299999999</v>
      </c>
      <c r="FU132" s="2123">
        <v>21.412382133999998</v>
      </c>
      <c r="FV132" s="2123">
        <v>5.2907410247056772</v>
      </c>
      <c r="FW132" s="2123">
        <v>7.2843680590000002</v>
      </c>
      <c r="FX132" s="2123">
        <v>28.532119584</v>
      </c>
      <c r="FY132" s="2123">
        <v>4.7649259050000001</v>
      </c>
      <c r="FZ132" s="2123">
        <v>3.1639988880000001</v>
      </c>
      <c r="GA132" s="2123">
        <v>24.844301186999999</v>
      </c>
      <c r="GB132" s="2123">
        <v>5.7843948059999999</v>
      </c>
      <c r="GC132" s="2123">
        <v>4.7383394899999995</v>
      </c>
      <c r="GD132" s="2123">
        <v>29.999293304000002</v>
      </c>
      <c r="GE132" s="2123">
        <v>4.5391355600000001</v>
      </c>
      <c r="GF132" s="2123">
        <v>1.7747785490000001</v>
      </c>
      <c r="GG132" s="2123">
        <v>30.590790138000003</v>
      </c>
      <c r="GH132" s="2123">
        <v>4.3509939009999998</v>
      </c>
      <c r="GI132" s="2123">
        <v>6.680501349</v>
      </c>
      <c r="GJ132" s="2123">
        <v>36.359391498000001</v>
      </c>
      <c r="GK132" s="2123">
        <v>7.5202888159999999</v>
      </c>
      <c r="GL132" s="2123">
        <v>2.5441111159999998</v>
      </c>
      <c r="GM132" s="2123">
        <v>36.181439558999998</v>
      </c>
      <c r="GN132" s="2123">
        <v>4.6916540769999999</v>
      </c>
      <c r="GO132" s="2123">
        <v>7.8868416830000001</v>
      </c>
      <c r="GP132" s="2123">
        <v>40.304743088999999</v>
      </c>
      <c r="GQ132" s="2123">
        <v>9.7221642589999995</v>
      </c>
      <c r="GR132" s="2123">
        <v>2.3315845300000002</v>
      </c>
      <c r="GS132" s="2123">
        <v>43.003715217</v>
      </c>
      <c r="GT132" s="2123">
        <v>5.4273588840000002</v>
      </c>
      <c r="GU132" s="2123">
        <v>8.2993290270000006</v>
      </c>
      <c r="GV132" s="2123">
        <v>41.580799589000002</v>
      </c>
      <c r="GW132" s="2123">
        <v>5.8754405619999996</v>
      </c>
      <c r="GX132" s="2123">
        <v>3.498546213</v>
      </c>
      <c r="GY132" s="2123">
        <v>44.205506296999999</v>
      </c>
      <c r="GZ132" s="2123">
        <v>10.491441803000001</v>
      </c>
      <c r="HA132" s="2123">
        <v>12.977892861000001</v>
      </c>
      <c r="HB132" s="2123">
        <v>45.146402455999997</v>
      </c>
      <c r="HC132" s="2123">
        <v>6.0679579840000004</v>
      </c>
      <c r="HD132" s="2123">
        <v>3.8733084139999998</v>
      </c>
      <c r="HE132" s="2123">
        <v>45.152003563000001</v>
      </c>
      <c r="HF132" s="2123">
        <v>7.3001792999999999</v>
      </c>
      <c r="HG132" s="2123">
        <v>11.46624254676923</v>
      </c>
      <c r="HH132" s="2123">
        <v>49.45828416803846</v>
      </c>
      <c r="HI132" s="2123">
        <v>5.7053801273076896</v>
      </c>
      <c r="HJ132" s="2123">
        <v>3.9694958993846128</v>
      </c>
      <c r="HK132" s="2123">
        <v>46.305216535</v>
      </c>
      <c r="HL132" s="2123">
        <v>8.4563577305384605</v>
      </c>
      <c r="HM132" s="2123"/>
      <c r="HN132" s="2123"/>
      <c r="HO132" s="2123"/>
      <c r="HP132" s="2123"/>
      <c r="HQ132" s="2123"/>
      <c r="HR132" s="2123"/>
      <c r="HS132" s="2123"/>
      <c r="HT132" s="2123"/>
      <c r="HU132" s="2123"/>
      <c r="HV132" s="2123"/>
      <c r="HW132" s="2123"/>
      <c r="HX132" s="2123"/>
      <c r="HY132" s="292"/>
      <c r="KT132" s="280"/>
    </row>
    <row r="133" spans="1:306" outlineLevel="1">
      <c r="A133" s="96" t="s">
        <v>337</v>
      </c>
      <c r="B133" s="96" t="s">
        <v>338</v>
      </c>
      <c r="D133" s="296" t="s">
        <v>384</v>
      </c>
      <c r="E133" s="293"/>
      <c r="F133" s="293"/>
      <c r="G133" s="293"/>
      <c r="H133" s="293"/>
      <c r="I133" s="293"/>
      <c r="J133" s="293"/>
      <c r="K133" s="293"/>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c r="BN133" s="293"/>
      <c r="BO133" s="293"/>
      <c r="BP133" s="293"/>
      <c r="BQ133" s="293"/>
      <c r="BR133" s="293"/>
      <c r="BS133" s="293"/>
      <c r="BT133" s="293"/>
      <c r="BU133" s="293"/>
      <c r="BV133" s="293"/>
      <c r="BW133" s="293"/>
      <c r="BX133" s="293"/>
      <c r="BY133" s="293"/>
      <c r="BZ133" s="293"/>
      <c r="CA133" s="293"/>
      <c r="CB133" s="293"/>
      <c r="CC133" s="293"/>
      <c r="CD133" s="293"/>
      <c r="CE133" s="294">
        <v>0.8567917237779975</v>
      </c>
      <c r="CF133" s="293">
        <v>1.5190019562175723</v>
      </c>
      <c r="CG133" s="293">
        <v>1.7827293571794505</v>
      </c>
      <c r="CH133" s="293">
        <v>0.66247898047599996</v>
      </c>
      <c r="CI133" s="293">
        <v>0.93476107363299932</v>
      </c>
      <c r="CJ133" s="293">
        <v>1.145066085240154</v>
      </c>
      <c r="CK133" s="293">
        <v>0.84615437002400196</v>
      </c>
      <c r="CL133" s="293">
        <v>0.86265607875716732</v>
      </c>
      <c r="CM133" s="293">
        <v>0.75725545859226795</v>
      </c>
      <c r="CN133" s="293">
        <v>0.76104997761199977</v>
      </c>
      <c r="CO133" s="293">
        <v>1.0063465443248494</v>
      </c>
      <c r="CP133" s="295">
        <v>0.93755087103055434</v>
      </c>
      <c r="CQ133" s="293">
        <v>0.65261801799999997</v>
      </c>
      <c r="CR133" s="293">
        <v>0.91038274600000002</v>
      </c>
      <c r="CS133" s="293">
        <v>0.69159052099999996</v>
      </c>
      <c r="CT133" s="293">
        <v>0.62745235899999996</v>
      </c>
      <c r="CU133" s="293">
        <v>0.61350729800000003</v>
      </c>
      <c r="CV133" s="293">
        <v>0.561265668</v>
      </c>
      <c r="CW133" s="293">
        <v>0.76481893000000001</v>
      </c>
      <c r="CX133" s="293">
        <v>0.66076999000000003</v>
      </c>
      <c r="CY133" s="293">
        <v>0.52192000000000005</v>
      </c>
      <c r="CZ133" s="293">
        <v>0.57971236299999995</v>
      </c>
      <c r="DA133" s="293">
        <v>0.63500577999999996</v>
      </c>
      <c r="DB133" s="1288">
        <v>0.81495256500000002</v>
      </c>
      <c r="DC133" s="606">
        <v>0.82056269400000004</v>
      </c>
      <c r="DD133" s="606">
        <v>0.70397444600000003</v>
      </c>
      <c r="DE133" s="606">
        <v>0.86835240299999994</v>
      </c>
      <c r="DF133" s="606">
        <v>1.0062079829999999</v>
      </c>
      <c r="DG133" s="606">
        <v>0.645964435</v>
      </c>
      <c r="DH133" s="606">
        <v>0.76375125799999999</v>
      </c>
      <c r="DI133" s="606">
        <v>0.98971626800000001</v>
      </c>
      <c r="DJ133" s="606">
        <v>0.699821637</v>
      </c>
      <c r="DK133" s="606">
        <v>0.65590623300000095</v>
      </c>
      <c r="DL133" s="606">
        <v>1.0676046000000008</v>
      </c>
      <c r="DM133" s="606">
        <v>0.74050832065217387</v>
      </c>
      <c r="DN133" s="622">
        <v>0.65388221808000047</v>
      </c>
      <c r="DO133" s="606">
        <v>1.0938100360622067</v>
      </c>
      <c r="DP133" s="606">
        <v>1.1335291669873961</v>
      </c>
      <c r="DQ133" s="606">
        <v>1.507544562699999</v>
      </c>
      <c r="DR133" s="606">
        <v>1.0812104925347645</v>
      </c>
      <c r="DS133" s="606">
        <v>1.0469687291111103</v>
      </c>
      <c r="DT133" s="606">
        <v>2.4559703202695027</v>
      </c>
      <c r="DU133" s="606">
        <v>1.5389733838571427</v>
      </c>
      <c r="DV133" s="606">
        <v>1.6260321274528915</v>
      </c>
      <c r="DW133" s="606">
        <v>1.6413578503420001</v>
      </c>
      <c r="DX133" s="606">
        <v>1.592668266</v>
      </c>
      <c r="DY133" s="606">
        <v>1.1541274299347808</v>
      </c>
      <c r="DZ133" s="622">
        <v>2.3329861719470024</v>
      </c>
      <c r="EA133" s="606">
        <v>2.0467826980000008</v>
      </c>
      <c r="EB133" s="606">
        <v>1.5587384066649999</v>
      </c>
      <c r="EC133" s="606">
        <v>2.2421106769999999</v>
      </c>
      <c r="ED133" s="606">
        <v>1.929335523</v>
      </c>
      <c r="EE133" s="606">
        <v>1.3424163659999999</v>
      </c>
      <c r="EF133" s="606">
        <v>1.9744015291603452</v>
      </c>
      <c r="EG133" s="606">
        <v>2.2338352585182282</v>
      </c>
      <c r="EH133" s="606">
        <v>2.261494747296958</v>
      </c>
      <c r="EI133" s="606">
        <v>2.2404231072530734</v>
      </c>
      <c r="EJ133" s="606">
        <v>1.9238644651410042</v>
      </c>
      <c r="EK133" s="606">
        <v>1.6690373550308344</v>
      </c>
      <c r="EL133" s="622">
        <v>1.9595935215465332</v>
      </c>
      <c r="EM133" s="1099">
        <v>2.1990631711664572</v>
      </c>
      <c r="EN133" s="1099">
        <v>2.056682468207518</v>
      </c>
      <c r="EO133" s="1099">
        <v>1.7641710395801309</v>
      </c>
      <c r="EP133" s="1099">
        <v>2.0716279921982124</v>
      </c>
      <c r="EQ133" s="1099">
        <v>2.0130343650000002</v>
      </c>
      <c r="ER133" s="1099">
        <v>1.9079741481208798</v>
      </c>
      <c r="ES133" s="1083"/>
      <c r="ET133" s="1083"/>
      <c r="EU133" s="1083"/>
      <c r="EV133" s="1083"/>
      <c r="EW133" s="1083"/>
      <c r="EX133" s="1329"/>
      <c r="EY133" s="1083"/>
      <c r="EZ133" s="1083"/>
      <c r="FA133" s="1083"/>
      <c r="FB133" s="1083"/>
      <c r="FC133" s="1083"/>
      <c r="FD133" s="1083"/>
      <c r="FE133" s="1083"/>
      <c r="FF133" s="1083"/>
      <c r="FG133" s="1083"/>
      <c r="FH133" s="1083"/>
      <c r="FI133" s="1083"/>
      <c r="FJ133" s="1329"/>
      <c r="FK133" s="1083"/>
      <c r="FL133" s="1083"/>
      <c r="FM133" s="1083"/>
      <c r="FN133" s="1083"/>
      <c r="FO133" s="1083"/>
      <c r="FP133" s="1083"/>
      <c r="FQ133" s="606"/>
      <c r="FR133" s="606"/>
      <c r="FS133" s="606"/>
      <c r="FT133" s="606"/>
      <c r="FU133" s="606"/>
      <c r="FV133" s="606"/>
      <c r="FW133" s="606"/>
      <c r="FX133" s="606"/>
      <c r="FY133" s="606"/>
      <c r="FZ133" s="606"/>
      <c r="GA133" s="606"/>
      <c r="GB133" s="606"/>
      <c r="GC133" s="606"/>
      <c r="GD133" s="606"/>
      <c r="GE133" s="606"/>
      <c r="GF133" s="606"/>
      <c r="GG133" s="606"/>
      <c r="GH133" s="606"/>
      <c r="GI133" s="606"/>
      <c r="GJ133" s="606"/>
      <c r="GK133" s="606"/>
      <c r="GL133" s="606"/>
      <c r="GM133" s="606"/>
      <c r="GN133" s="606"/>
      <c r="GO133" s="606"/>
      <c r="GP133" s="606"/>
      <c r="GQ133" s="606"/>
      <c r="GR133" s="606"/>
      <c r="GS133" s="606"/>
      <c r="GT133" s="606"/>
      <c r="GU133" s="606"/>
      <c r="GV133" s="606"/>
      <c r="GW133" s="606"/>
      <c r="GX133" s="606"/>
      <c r="GY133" s="606"/>
      <c r="GZ133" s="606"/>
      <c r="HA133" s="606"/>
      <c r="HB133" s="606"/>
      <c r="HC133" s="606"/>
      <c r="HD133" s="606"/>
      <c r="HE133" s="606"/>
      <c r="HF133" s="606"/>
      <c r="HG133" s="606"/>
      <c r="HH133" s="606"/>
      <c r="HI133" s="606"/>
      <c r="HJ133" s="606"/>
      <c r="HK133" s="606"/>
      <c r="HL133" s="606"/>
      <c r="HM133" s="606"/>
      <c r="HN133" s="606"/>
      <c r="HO133" s="606"/>
      <c r="HP133" s="606"/>
      <c r="HQ133" s="606"/>
      <c r="HR133" s="606"/>
      <c r="HS133" s="606"/>
      <c r="HT133" s="606"/>
      <c r="HU133" s="606"/>
      <c r="HV133" s="606"/>
      <c r="HW133" s="606"/>
      <c r="HX133" s="606"/>
      <c r="HY133" s="606"/>
      <c r="IH133" s="279">
        <f>+SUM(DC133:DH133)</f>
        <v>4.8088132190000001</v>
      </c>
      <c r="II133" s="279">
        <f>+SUM(DI133:DN133)</f>
        <v>4.8074392767321763</v>
      </c>
      <c r="IJ133" s="279">
        <f>+IH133+II133</f>
        <v>9.6162524957321764</v>
      </c>
      <c r="IK133" s="279">
        <f>SUM(DO133:DT133)</f>
        <v>8.3190333076649789</v>
      </c>
      <c r="KT133" s="280"/>
    </row>
    <row r="134" spans="1:306" outlineLevel="1">
      <c r="B134" s="96" t="s">
        <v>338</v>
      </c>
      <c r="D134" s="300" t="s">
        <v>385</v>
      </c>
      <c r="E134" s="293"/>
      <c r="F134" s="293"/>
      <c r="G134" s="293"/>
      <c r="H134" s="293"/>
      <c r="I134" s="293"/>
      <c r="J134" s="293"/>
      <c r="K134" s="293"/>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c r="BN134" s="293"/>
      <c r="BO134" s="293"/>
      <c r="BP134" s="293"/>
      <c r="BQ134" s="293"/>
      <c r="BR134" s="293"/>
      <c r="BS134" s="293"/>
      <c r="BT134" s="293"/>
      <c r="BU134" s="293"/>
      <c r="BV134" s="293"/>
      <c r="BW134" s="293"/>
      <c r="BX134" s="293"/>
      <c r="BY134" s="293"/>
      <c r="BZ134" s="293"/>
      <c r="CA134" s="293"/>
      <c r="CB134" s="293"/>
      <c r="CC134" s="293"/>
      <c r="CD134" s="293"/>
      <c r="CE134" s="294"/>
      <c r="CF134" s="293"/>
      <c r="CG134" s="293"/>
      <c r="CH134" s="293"/>
      <c r="CI134" s="293"/>
      <c r="CJ134" s="293"/>
      <c r="CK134" s="293"/>
      <c r="CL134" s="293"/>
      <c r="CM134" s="293"/>
      <c r="CN134" s="293"/>
      <c r="CO134" s="293"/>
      <c r="CP134" s="295"/>
      <c r="CQ134" s="293"/>
      <c r="CR134" s="293"/>
      <c r="CS134" s="293"/>
      <c r="CT134" s="293"/>
      <c r="CU134" s="293"/>
      <c r="CV134" s="293"/>
      <c r="CW134" s="293"/>
      <c r="CX134" s="293"/>
      <c r="CY134" s="293"/>
      <c r="CZ134" s="293"/>
      <c r="DA134" s="293"/>
      <c r="DB134" s="1288"/>
      <c r="DC134" s="293"/>
      <c r="DD134" s="293"/>
      <c r="DE134" s="293"/>
      <c r="DF134" s="293"/>
      <c r="DG134" s="293"/>
      <c r="DH134" s="293"/>
      <c r="DI134" s="293"/>
      <c r="DJ134" s="293"/>
      <c r="DK134" s="293"/>
      <c r="DL134" s="293"/>
      <c r="DM134" s="293"/>
      <c r="DN134" s="295"/>
      <c r="DO134" s="293"/>
      <c r="DP134" s="293"/>
      <c r="DQ134" s="293"/>
      <c r="DR134" s="293"/>
      <c r="DS134" s="293"/>
      <c r="DT134" s="293"/>
      <c r="DU134" s="293"/>
      <c r="DV134" s="293"/>
      <c r="DW134" s="293"/>
      <c r="DX134" s="293"/>
      <c r="DY134" s="293"/>
      <c r="DZ134" s="295"/>
      <c r="EA134" s="293"/>
      <c r="EB134" s="293"/>
      <c r="EC134" s="293"/>
      <c r="ED134" s="293"/>
      <c r="EE134" s="293"/>
      <c r="EF134" s="293"/>
      <c r="EG134" s="293"/>
      <c r="EH134" s="293"/>
      <c r="EI134" s="293"/>
      <c r="EJ134" s="293"/>
      <c r="EK134" s="293"/>
      <c r="EL134" s="295"/>
      <c r="EM134" s="1080"/>
      <c r="EN134" s="1080"/>
      <c r="EO134" s="1080"/>
      <c r="EP134" s="1080"/>
      <c r="EQ134" s="1080"/>
      <c r="ER134" s="1080"/>
      <c r="ES134" s="1080"/>
      <c r="ET134" s="1080"/>
      <c r="EU134" s="1080"/>
      <c r="EV134" s="1080"/>
      <c r="EW134" s="1080"/>
      <c r="EX134" s="1340"/>
      <c r="EY134" s="1080"/>
      <c r="EZ134" s="1080"/>
      <c r="FA134" s="1080"/>
      <c r="FB134" s="1080"/>
      <c r="FC134" s="1080"/>
      <c r="FD134" s="1080"/>
      <c r="FE134" s="1080"/>
      <c r="FF134" s="1080"/>
      <c r="FG134" s="1080"/>
      <c r="FH134" s="1080"/>
      <c r="FI134" s="1080"/>
      <c r="FJ134" s="1340"/>
      <c r="FK134" s="1080"/>
      <c r="FL134" s="1080"/>
      <c r="FM134" s="1080"/>
      <c r="FN134" s="1080"/>
      <c r="FO134" s="1080"/>
      <c r="FP134" s="1080"/>
      <c r="FQ134" s="293"/>
      <c r="FR134" s="293"/>
      <c r="FS134" s="293"/>
      <c r="FT134" s="293"/>
      <c r="FU134" s="293"/>
      <c r="FV134" s="293"/>
      <c r="FW134" s="293"/>
      <c r="FX134" s="293"/>
      <c r="FY134" s="293"/>
      <c r="FZ134" s="293"/>
      <c r="GA134" s="293"/>
      <c r="GB134" s="293"/>
      <c r="GC134" s="293"/>
      <c r="GD134" s="293"/>
      <c r="GE134" s="293"/>
      <c r="GF134" s="293"/>
      <c r="GG134" s="293"/>
      <c r="GH134" s="293"/>
      <c r="GI134" s="293"/>
      <c r="GJ134" s="293"/>
      <c r="GK134" s="293"/>
      <c r="GL134" s="293"/>
      <c r="GM134" s="293"/>
      <c r="GN134" s="293"/>
      <c r="GO134" s="293"/>
      <c r="GP134" s="293"/>
      <c r="GQ134" s="293"/>
      <c r="GR134" s="293"/>
      <c r="GS134" s="293"/>
      <c r="GT134" s="293"/>
      <c r="GU134" s="293"/>
      <c r="GV134" s="293"/>
      <c r="GW134" s="293"/>
      <c r="GX134" s="293"/>
      <c r="GY134" s="293"/>
      <c r="GZ134" s="293"/>
      <c r="HA134" s="293"/>
      <c r="HB134" s="293"/>
      <c r="HC134" s="293"/>
      <c r="HD134" s="293"/>
      <c r="HE134" s="293"/>
      <c r="HF134" s="293"/>
      <c r="HG134" s="293"/>
      <c r="HH134" s="293"/>
      <c r="HI134" s="293"/>
      <c r="HJ134" s="293"/>
      <c r="HK134" s="293"/>
      <c r="HL134" s="293"/>
      <c r="HM134" s="293"/>
      <c r="HN134" s="293"/>
      <c r="HO134" s="293"/>
      <c r="HP134" s="293"/>
      <c r="HQ134" s="293"/>
      <c r="HR134" s="293"/>
      <c r="HS134" s="293"/>
      <c r="HT134" s="293"/>
      <c r="HU134" s="293"/>
      <c r="HV134" s="293"/>
      <c r="HW134" s="293"/>
      <c r="HX134" s="293"/>
      <c r="HY134" s="293"/>
      <c r="KT134" s="280"/>
    </row>
    <row r="135" spans="1:306" outlineLevel="1">
      <c r="B135" s="96" t="s">
        <v>338</v>
      </c>
      <c r="D135" s="300" t="s">
        <v>386</v>
      </c>
      <c r="E135" s="293"/>
      <c r="F135" s="293"/>
      <c r="G135" s="293"/>
      <c r="H135" s="293"/>
      <c r="I135" s="293"/>
      <c r="J135" s="293"/>
      <c r="K135" s="293"/>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c r="BN135" s="293"/>
      <c r="BO135" s="293"/>
      <c r="BP135" s="293"/>
      <c r="BQ135" s="293"/>
      <c r="BR135" s="293"/>
      <c r="BS135" s="293"/>
      <c r="BT135" s="293"/>
      <c r="BU135" s="293"/>
      <c r="BV135" s="293"/>
      <c r="BW135" s="293"/>
      <c r="BX135" s="293"/>
      <c r="BY135" s="293"/>
      <c r="BZ135" s="293"/>
      <c r="CA135" s="293"/>
      <c r="CB135" s="293"/>
      <c r="CC135" s="293"/>
      <c r="CD135" s="293"/>
      <c r="CE135" s="294"/>
      <c r="CF135" s="293"/>
      <c r="CG135" s="293"/>
      <c r="CH135" s="293"/>
      <c r="CI135" s="293"/>
      <c r="CJ135" s="293"/>
      <c r="CK135" s="293"/>
      <c r="CL135" s="293"/>
      <c r="CM135" s="293"/>
      <c r="CN135" s="293"/>
      <c r="CO135" s="293"/>
      <c r="CP135" s="295"/>
      <c r="CQ135" s="293"/>
      <c r="CR135" s="293"/>
      <c r="CS135" s="293"/>
      <c r="CT135" s="293"/>
      <c r="CU135" s="293"/>
      <c r="CV135" s="293"/>
      <c r="CW135" s="293"/>
      <c r="CX135" s="293"/>
      <c r="CY135" s="293"/>
      <c r="CZ135" s="293"/>
      <c r="DA135" s="293"/>
      <c r="DB135" s="1288"/>
      <c r="DC135" s="293"/>
      <c r="DD135" s="293"/>
      <c r="DE135" s="293"/>
      <c r="DF135" s="293"/>
      <c r="DG135" s="293"/>
      <c r="DH135" s="293"/>
      <c r="DI135" s="293"/>
      <c r="DJ135" s="293"/>
      <c r="DK135" s="293"/>
      <c r="DL135" s="293"/>
      <c r="DM135" s="293"/>
      <c r="DN135" s="295"/>
      <c r="DO135" s="293"/>
      <c r="DP135" s="293"/>
      <c r="DQ135" s="293"/>
      <c r="DR135" s="293"/>
      <c r="DS135" s="293"/>
      <c r="DT135" s="293"/>
      <c r="DU135" s="293"/>
      <c r="DV135" s="293"/>
      <c r="DW135" s="293"/>
      <c r="DX135" s="293"/>
      <c r="DY135" s="293"/>
      <c r="DZ135" s="295"/>
      <c r="EA135" s="293"/>
      <c r="EB135" s="293"/>
      <c r="EC135" s="293"/>
      <c r="ED135" s="293"/>
      <c r="EE135" s="293"/>
      <c r="EF135" s="293"/>
      <c r="EG135" s="293"/>
      <c r="EH135" s="293"/>
      <c r="EI135" s="293"/>
      <c r="EJ135" s="293"/>
      <c r="EK135" s="293"/>
      <c r="EL135" s="295"/>
      <c r="EM135" s="1080"/>
      <c r="EN135" s="1080"/>
      <c r="EO135" s="1080"/>
      <c r="EP135" s="1080"/>
      <c r="EQ135" s="1080"/>
      <c r="ER135" s="1080"/>
      <c r="ES135" s="1080"/>
      <c r="ET135" s="1080"/>
      <c r="EU135" s="1080"/>
      <c r="EV135" s="1080"/>
      <c r="EW135" s="1080"/>
      <c r="EX135" s="1340"/>
      <c r="EY135" s="1080"/>
      <c r="EZ135" s="1080"/>
      <c r="FA135" s="1080"/>
      <c r="FB135" s="1080"/>
      <c r="FC135" s="1080"/>
      <c r="FD135" s="1080"/>
      <c r="FE135" s="1080"/>
      <c r="FF135" s="1080"/>
      <c r="FG135" s="1080"/>
      <c r="FH135" s="1080"/>
      <c r="FI135" s="1080"/>
      <c r="FJ135" s="1340"/>
      <c r="FK135" s="1080"/>
      <c r="FL135" s="1080"/>
      <c r="FM135" s="1080"/>
      <c r="FN135" s="1080"/>
      <c r="FO135" s="1080"/>
      <c r="FP135" s="1080"/>
      <c r="FQ135" s="293"/>
      <c r="FR135" s="293"/>
      <c r="FS135" s="293"/>
      <c r="FT135" s="293"/>
      <c r="FU135" s="293"/>
      <c r="FV135" s="293"/>
      <c r="FW135" s="293"/>
      <c r="FX135" s="293"/>
      <c r="FY135" s="293"/>
      <c r="FZ135" s="293"/>
      <c r="GA135" s="293"/>
      <c r="GB135" s="293"/>
      <c r="GC135" s="293"/>
      <c r="GD135" s="293"/>
      <c r="GE135" s="293"/>
      <c r="GF135" s="293"/>
      <c r="GG135" s="293"/>
      <c r="GH135" s="293"/>
      <c r="GI135" s="293"/>
      <c r="GJ135" s="293"/>
      <c r="GK135" s="293"/>
      <c r="GL135" s="293"/>
      <c r="GM135" s="293"/>
      <c r="GN135" s="293"/>
      <c r="GO135" s="293"/>
      <c r="GP135" s="293"/>
      <c r="GQ135" s="293"/>
      <c r="GR135" s="293"/>
      <c r="GS135" s="293"/>
      <c r="GT135" s="293"/>
      <c r="GU135" s="293"/>
      <c r="GV135" s="293"/>
      <c r="GW135" s="293"/>
      <c r="GX135" s="293"/>
      <c r="GY135" s="293"/>
      <c r="GZ135" s="293"/>
      <c r="HA135" s="293"/>
      <c r="HB135" s="293"/>
      <c r="HC135" s="293"/>
      <c r="HD135" s="293"/>
      <c r="HE135" s="293"/>
      <c r="HF135" s="293"/>
      <c r="HG135" s="293"/>
      <c r="HH135" s="293"/>
      <c r="HI135" s="293"/>
      <c r="HJ135" s="293"/>
      <c r="HK135" s="293"/>
      <c r="HL135" s="293"/>
      <c r="HM135" s="293"/>
      <c r="HN135" s="293"/>
      <c r="HO135" s="293"/>
      <c r="HP135" s="293"/>
      <c r="HQ135" s="293"/>
      <c r="HR135" s="293"/>
      <c r="HS135" s="293"/>
      <c r="HT135" s="293"/>
      <c r="HU135" s="293"/>
      <c r="HV135" s="293"/>
      <c r="HW135" s="293"/>
      <c r="HX135" s="293"/>
      <c r="HY135" s="293"/>
      <c r="KT135" s="280"/>
    </row>
    <row r="136" spans="1:306" outlineLevel="1">
      <c r="B136" s="96" t="s">
        <v>338</v>
      </c>
      <c r="D136" s="296" t="s">
        <v>387</v>
      </c>
      <c r="E136" s="293"/>
      <c r="F136" s="293"/>
      <c r="G136" s="293"/>
      <c r="H136" s="293"/>
      <c r="I136" s="293"/>
      <c r="J136" s="293"/>
      <c r="K136" s="293"/>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c r="BN136" s="293"/>
      <c r="BO136" s="293"/>
      <c r="BP136" s="293"/>
      <c r="BQ136" s="293"/>
      <c r="BR136" s="293"/>
      <c r="BS136" s="293"/>
      <c r="BT136" s="293"/>
      <c r="BU136" s="293"/>
      <c r="BV136" s="293"/>
      <c r="BW136" s="293"/>
      <c r="BX136" s="293"/>
      <c r="BY136" s="293"/>
      <c r="BZ136" s="293"/>
      <c r="CA136" s="293"/>
      <c r="CB136" s="293"/>
      <c r="CC136" s="293"/>
      <c r="CD136" s="293"/>
      <c r="CE136" s="294">
        <v>0</v>
      </c>
      <c r="CF136" s="293">
        <v>0.13125000000000001</v>
      </c>
      <c r="CG136" s="293">
        <v>0</v>
      </c>
      <c r="CH136" s="293">
        <v>0.140625</v>
      </c>
      <c r="CI136" s="293">
        <v>0.1925</v>
      </c>
      <c r="CJ136" s="293">
        <v>0</v>
      </c>
      <c r="CK136" s="293">
        <v>0</v>
      </c>
      <c r="CL136" s="293">
        <v>0.13125000000000001</v>
      </c>
      <c r="CM136" s="293">
        <v>0</v>
      </c>
      <c r="CN136" s="293">
        <v>0.140625</v>
      </c>
      <c r="CO136" s="293">
        <v>0.1925</v>
      </c>
      <c r="CP136" s="295">
        <v>0</v>
      </c>
      <c r="CQ136" s="293">
        <v>0</v>
      </c>
      <c r="CR136" s="293">
        <v>0.71718749999999998</v>
      </c>
      <c r="CS136" s="293">
        <v>0</v>
      </c>
      <c r="CT136" s="293">
        <v>0.140625</v>
      </c>
      <c r="CU136" s="293">
        <v>1.0804464199999999</v>
      </c>
      <c r="CV136" s="293">
        <v>0</v>
      </c>
      <c r="CW136" s="293">
        <v>0</v>
      </c>
      <c r="CX136" s="293">
        <v>1.6077999999999999</v>
      </c>
      <c r="CY136" s="293">
        <v>0</v>
      </c>
      <c r="CZ136" s="293">
        <v>0.140625</v>
      </c>
      <c r="DA136" s="293">
        <v>2.0843750000000001</v>
      </c>
      <c r="DB136" s="1288">
        <v>0</v>
      </c>
      <c r="DC136" s="606">
        <v>0</v>
      </c>
      <c r="DD136" s="606">
        <v>2.4740625000000001</v>
      </c>
      <c r="DE136" s="606">
        <v>0</v>
      </c>
      <c r="DF136" s="606">
        <v>0.140625</v>
      </c>
      <c r="DG136" s="606">
        <v>2.7306249999999999</v>
      </c>
      <c r="DH136" s="606">
        <v>0</v>
      </c>
      <c r="DI136" s="606">
        <v>0</v>
      </c>
      <c r="DJ136" s="606">
        <v>3.37</v>
      </c>
      <c r="DK136" s="606">
        <v>0</v>
      </c>
      <c r="DL136" s="606">
        <v>-0.140625</v>
      </c>
      <c r="DM136" s="606">
        <v>3.4231250000000002</v>
      </c>
      <c r="DN136" s="622">
        <v>0</v>
      </c>
      <c r="DO136" s="606">
        <v>0</v>
      </c>
      <c r="DP136" s="606">
        <v>4.2703125000000002</v>
      </c>
      <c r="DQ136" s="606">
        <v>0</v>
      </c>
      <c r="DR136" s="606">
        <v>0</v>
      </c>
      <c r="DS136" s="606">
        <v>4.0981249999999996</v>
      </c>
      <c r="DT136" s="606">
        <v>0</v>
      </c>
      <c r="DU136" s="606">
        <v>0</v>
      </c>
      <c r="DV136" s="606">
        <v>5.1890625000000004</v>
      </c>
      <c r="DW136" s="606">
        <v>0</v>
      </c>
      <c r="DX136" s="606">
        <v>0</v>
      </c>
      <c r="DY136" s="606">
        <v>4.9981249999999999</v>
      </c>
      <c r="DZ136" s="622">
        <v>0</v>
      </c>
      <c r="EA136" s="606">
        <v>0</v>
      </c>
      <c r="EB136" s="606">
        <v>5.0906250000000002</v>
      </c>
      <c r="EC136" s="606">
        <v>0</v>
      </c>
      <c r="ED136" s="606">
        <v>0</v>
      </c>
      <c r="EE136" s="606">
        <v>5.631875</v>
      </c>
      <c r="EF136" s="606">
        <v>0</v>
      </c>
      <c r="EG136" s="606">
        <v>0</v>
      </c>
      <c r="EH136" s="606">
        <v>5.7006250000000005</v>
      </c>
      <c r="EI136" s="606">
        <v>0</v>
      </c>
      <c r="EJ136" s="606">
        <v>0</v>
      </c>
      <c r="EK136" s="606">
        <v>6.2518750000000001</v>
      </c>
      <c r="EL136" s="622">
        <v>0</v>
      </c>
      <c r="EM136" s="1099">
        <v>0</v>
      </c>
      <c r="EN136" s="1099">
        <v>5.7193750000000003</v>
      </c>
      <c r="EO136" s="1099">
        <v>0</v>
      </c>
      <c r="EP136" s="1099">
        <v>0</v>
      </c>
      <c r="EQ136" s="1099">
        <v>0</v>
      </c>
      <c r="ER136" s="1099">
        <v>8.4343749999999993</v>
      </c>
      <c r="ES136" s="1083"/>
      <c r="ET136" s="1083"/>
      <c r="EU136" s="1083"/>
      <c r="EV136" s="1083"/>
      <c r="EW136" s="1083"/>
      <c r="EX136" s="1329"/>
      <c r="EY136" s="1083"/>
      <c r="EZ136" s="1083"/>
      <c r="FA136" s="1083"/>
      <c r="FB136" s="1083"/>
      <c r="FC136" s="1083"/>
      <c r="FD136" s="1083"/>
      <c r="FE136" s="1083"/>
      <c r="FF136" s="1083"/>
      <c r="FG136" s="1083"/>
      <c r="FH136" s="1083"/>
      <c r="FI136" s="1083"/>
      <c r="FJ136" s="1329"/>
      <c r="FK136" s="1083"/>
      <c r="FL136" s="1083"/>
      <c r="FM136" s="1083"/>
      <c r="FN136" s="1083"/>
      <c r="FO136" s="1083"/>
      <c r="FP136" s="1083"/>
      <c r="FQ136" s="606"/>
      <c r="FR136" s="606"/>
      <c r="FS136" s="606"/>
      <c r="FT136" s="606"/>
      <c r="FU136" s="606"/>
      <c r="FV136" s="606"/>
      <c r="FW136" s="606"/>
      <c r="FX136" s="606"/>
      <c r="FY136" s="606"/>
      <c r="FZ136" s="606"/>
      <c r="GA136" s="606"/>
      <c r="GB136" s="606"/>
      <c r="GC136" s="606"/>
      <c r="GD136" s="606"/>
      <c r="GE136" s="606"/>
      <c r="GF136" s="606"/>
      <c r="GG136" s="606"/>
      <c r="GH136" s="606"/>
      <c r="GI136" s="606"/>
      <c r="GJ136" s="606"/>
      <c r="GK136" s="606"/>
      <c r="GL136" s="606"/>
      <c r="GM136" s="606"/>
      <c r="GN136" s="606"/>
      <c r="GO136" s="606"/>
      <c r="GP136" s="606"/>
      <c r="GQ136" s="606"/>
      <c r="GR136" s="606"/>
      <c r="GS136" s="606"/>
      <c r="GT136" s="606"/>
      <c r="GU136" s="606"/>
      <c r="GV136" s="606"/>
      <c r="GW136" s="606"/>
      <c r="GX136" s="606"/>
      <c r="GY136" s="606"/>
      <c r="GZ136" s="606"/>
      <c r="HA136" s="606"/>
      <c r="HB136" s="606"/>
      <c r="HC136" s="606"/>
      <c r="HD136" s="606"/>
      <c r="HE136" s="606"/>
      <c r="HF136" s="606"/>
      <c r="HG136" s="606"/>
      <c r="HH136" s="606"/>
      <c r="HI136" s="606"/>
      <c r="HJ136" s="606"/>
      <c r="HK136" s="606"/>
      <c r="HL136" s="606"/>
      <c r="HM136" s="606"/>
      <c r="HN136" s="606"/>
      <c r="HO136" s="606"/>
      <c r="HP136" s="606"/>
      <c r="HQ136" s="606"/>
      <c r="HR136" s="606"/>
      <c r="HS136" s="606"/>
      <c r="HT136" s="606"/>
      <c r="HU136" s="606"/>
      <c r="HV136" s="606"/>
      <c r="HW136" s="606"/>
      <c r="HX136" s="606"/>
      <c r="HY136" s="606"/>
      <c r="IH136" s="279">
        <f>+SUM(DC136:DH136)</f>
        <v>5.3453125000000004</v>
      </c>
      <c r="II136" s="279">
        <f>+SUM(DI136:DN136)</f>
        <v>6.6524999999999999</v>
      </c>
      <c r="IJ136" s="279">
        <f>+IH136+II136</f>
        <v>11.9978125</v>
      </c>
      <c r="IK136" s="279">
        <f>SUM(DO136:DT136)</f>
        <v>8.3684374999999989</v>
      </c>
      <c r="KT136" s="280"/>
    </row>
    <row r="137" spans="1:306" outlineLevel="1">
      <c r="B137" s="96" t="s">
        <v>338</v>
      </c>
      <c r="D137" s="300" t="s">
        <v>385</v>
      </c>
      <c r="E137" s="293"/>
      <c r="F137" s="293"/>
      <c r="G137" s="293"/>
      <c r="H137" s="293"/>
      <c r="I137" s="293"/>
      <c r="J137" s="293"/>
      <c r="K137" s="293"/>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c r="BN137" s="293"/>
      <c r="BO137" s="293"/>
      <c r="BP137" s="293"/>
      <c r="BQ137" s="293"/>
      <c r="BR137" s="293"/>
      <c r="BS137" s="293"/>
      <c r="BT137" s="293"/>
      <c r="BU137" s="293"/>
      <c r="BV137" s="293"/>
      <c r="BW137" s="293"/>
      <c r="BX137" s="293"/>
      <c r="BY137" s="293"/>
      <c r="BZ137" s="293"/>
      <c r="CA137" s="293"/>
      <c r="CB137" s="293"/>
      <c r="CC137" s="293"/>
      <c r="CD137" s="293"/>
      <c r="CE137" s="294"/>
      <c r="CF137" s="293"/>
      <c r="CG137" s="293"/>
      <c r="CH137" s="293"/>
      <c r="CI137" s="293"/>
      <c r="CJ137" s="293"/>
      <c r="CK137" s="293"/>
      <c r="CL137" s="293"/>
      <c r="CM137" s="293"/>
      <c r="CN137" s="293"/>
      <c r="CO137" s="293"/>
      <c r="CP137" s="295"/>
      <c r="CQ137" s="293"/>
      <c r="CR137" s="293"/>
      <c r="CS137" s="293"/>
      <c r="CT137" s="293"/>
      <c r="CU137" s="293"/>
      <c r="CV137" s="293"/>
      <c r="CW137" s="293"/>
      <c r="CX137" s="293"/>
      <c r="CY137" s="293"/>
      <c r="CZ137" s="293"/>
      <c r="DA137" s="293"/>
      <c r="DB137" s="1288"/>
      <c r="DC137" s="293"/>
      <c r="DD137" s="293"/>
      <c r="DE137" s="293"/>
      <c r="DF137" s="293"/>
      <c r="DG137" s="293"/>
      <c r="DH137" s="293"/>
      <c r="DI137" s="293"/>
      <c r="DJ137" s="293"/>
      <c r="DK137" s="293"/>
      <c r="DL137" s="293"/>
      <c r="DM137" s="293"/>
      <c r="DN137" s="295"/>
      <c r="DO137" s="293"/>
      <c r="DP137" s="293"/>
      <c r="DQ137" s="293"/>
      <c r="DR137" s="293"/>
      <c r="DS137" s="293"/>
      <c r="DT137" s="293"/>
      <c r="DU137" s="293"/>
      <c r="DV137" s="293"/>
      <c r="DW137" s="293"/>
      <c r="DX137" s="293"/>
      <c r="DY137" s="293"/>
      <c r="DZ137" s="295"/>
      <c r="EA137" s="293"/>
      <c r="EB137" s="293"/>
      <c r="EC137" s="293"/>
      <c r="ED137" s="293"/>
      <c r="EE137" s="293"/>
      <c r="EF137" s="293"/>
      <c r="EG137" s="293"/>
      <c r="EH137" s="293"/>
      <c r="EI137" s="293"/>
      <c r="EJ137" s="293"/>
      <c r="EK137" s="293"/>
      <c r="EL137" s="295"/>
      <c r="EM137" s="1080"/>
      <c r="EN137" s="1080"/>
      <c r="EO137" s="1080"/>
      <c r="EP137" s="1080"/>
      <c r="EQ137" s="1080"/>
      <c r="ER137" s="1080"/>
      <c r="ES137" s="1080"/>
      <c r="ET137" s="1080"/>
      <c r="EU137" s="1080"/>
      <c r="EV137" s="1080"/>
      <c r="EW137" s="1080"/>
      <c r="EX137" s="1340"/>
      <c r="EY137" s="1080"/>
      <c r="EZ137" s="1080"/>
      <c r="FA137" s="1080"/>
      <c r="FB137" s="1080"/>
      <c r="FC137" s="1080"/>
      <c r="FD137" s="1080"/>
      <c r="FE137" s="1080"/>
      <c r="FF137" s="1080"/>
      <c r="FG137" s="1080"/>
      <c r="FH137" s="1080"/>
      <c r="FI137" s="1080"/>
      <c r="FJ137" s="1340"/>
      <c r="FK137" s="1080"/>
      <c r="FL137" s="1080"/>
      <c r="FM137" s="1080"/>
      <c r="FN137" s="1080"/>
      <c r="FO137" s="1080"/>
      <c r="FP137" s="1080"/>
      <c r="FQ137" s="293"/>
      <c r="FR137" s="293"/>
      <c r="FS137" s="293"/>
      <c r="FT137" s="293"/>
      <c r="FU137" s="293"/>
      <c r="FV137" s="293"/>
      <c r="FW137" s="293"/>
      <c r="FX137" s="293"/>
      <c r="FY137" s="293"/>
      <c r="FZ137" s="293"/>
      <c r="GA137" s="293"/>
      <c r="GB137" s="293"/>
      <c r="GC137" s="293"/>
      <c r="GD137" s="293"/>
      <c r="GE137" s="293"/>
      <c r="GF137" s="293"/>
      <c r="GG137" s="293"/>
      <c r="GH137" s="293"/>
      <c r="GI137" s="293"/>
      <c r="GJ137" s="293"/>
      <c r="GK137" s="293"/>
      <c r="GL137" s="293"/>
      <c r="GM137" s="293"/>
      <c r="GN137" s="293"/>
      <c r="GO137" s="293"/>
      <c r="GP137" s="293"/>
      <c r="GQ137" s="293"/>
      <c r="GR137" s="293"/>
      <c r="GS137" s="293"/>
      <c r="GT137" s="293"/>
      <c r="GU137" s="293"/>
      <c r="GV137" s="293"/>
      <c r="GW137" s="293"/>
      <c r="GX137" s="293"/>
      <c r="GY137" s="293"/>
      <c r="GZ137" s="293"/>
      <c r="HA137" s="293"/>
      <c r="HB137" s="293"/>
      <c r="HC137" s="293"/>
      <c r="HD137" s="293"/>
      <c r="HE137" s="293"/>
      <c r="HF137" s="293"/>
      <c r="HG137" s="293"/>
      <c r="HH137" s="293"/>
      <c r="HI137" s="293"/>
      <c r="HJ137" s="293"/>
      <c r="HK137" s="293"/>
      <c r="HL137" s="293"/>
      <c r="HM137" s="293"/>
      <c r="HN137" s="293"/>
      <c r="HO137" s="293"/>
      <c r="HP137" s="293"/>
      <c r="HQ137" s="293"/>
      <c r="HR137" s="293"/>
      <c r="HS137" s="293"/>
      <c r="HT137" s="293"/>
      <c r="HU137" s="293"/>
      <c r="HV137" s="293"/>
      <c r="HW137" s="293"/>
      <c r="HX137" s="293"/>
      <c r="HY137" s="293"/>
      <c r="KT137" s="280"/>
    </row>
    <row r="138" spans="1:306" outlineLevel="1">
      <c r="B138" s="96" t="s">
        <v>338</v>
      </c>
      <c r="D138" s="300" t="s">
        <v>386</v>
      </c>
      <c r="E138" s="293"/>
      <c r="F138" s="293"/>
      <c r="G138" s="293"/>
      <c r="H138" s="293"/>
      <c r="I138" s="293"/>
      <c r="J138" s="293"/>
      <c r="K138" s="293"/>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c r="BN138" s="293"/>
      <c r="BO138" s="293"/>
      <c r="BP138" s="293"/>
      <c r="BQ138" s="293"/>
      <c r="BR138" s="293"/>
      <c r="BS138" s="293"/>
      <c r="BT138" s="293"/>
      <c r="BU138" s="293"/>
      <c r="BV138" s="293"/>
      <c r="BW138" s="293"/>
      <c r="BX138" s="293"/>
      <c r="BY138" s="293"/>
      <c r="BZ138" s="293"/>
      <c r="CA138" s="293"/>
      <c r="CB138" s="293"/>
      <c r="CC138" s="293"/>
      <c r="CD138" s="293"/>
      <c r="CE138" s="294"/>
      <c r="CF138" s="293"/>
      <c r="CG138" s="293"/>
      <c r="CH138" s="293"/>
      <c r="CI138" s="293"/>
      <c r="CJ138" s="293"/>
      <c r="CK138" s="293"/>
      <c r="CL138" s="293"/>
      <c r="CM138" s="293"/>
      <c r="CN138" s="293"/>
      <c r="CO138" s="293"/>
      <c r="CP138" s="295"/>
      <c r="CQ138" s="293"/>
      <c r="CR138" s="293"/>
      <c r="CS138" s="293"/>
      <c r="CT138" s="293"/>
      <c r="CU138" s="293"/>
      <c r="CV138" s="293"/>
      <c r="CW138" s="293"/>
      <c r="CX138" s="293"/>
      <c r="CY138" s="293"/>
      <c r="CZ138" s="293"/>
      <c r="DA138" s="293"/>
      <c r="DB138" s="1288"/>
      <c r="DC138" s="293"/>
      <c r="DD138" s="293"/>
      <c r="DE138" s="293"/>
      <c r="DF138" s="293"/>
      <c r="DG138" s="293"/>
      <c r="DH138" s="293"/>
      <c r="DI138" s="293"/>
      <c r="DJ138" s="293"/>
      <c r="DK138" s="293"/>
      <c r="DL138" s="293"/>
      <c r="DM138" s="293"/>
      <c r="DN138" s="295"/>
      <c r="DO138" s="293"/>
      <c r="DP138" s="293"/>
      <c r="DQ138" s="293"/>
      <c r="DR138" s="293"/>
      <c r="DS138" s="293"/>
      <c r="DT138" s="293"/>
      <c r="DU138" s="293"/>
      <c r="DV138" s="293"/>
      <c r="DW138" s="293"/>
      <c r="DX138" s="293"/>
      <c r="DY138" s="293"/>
      <c r="DZ138" s="295"/>
      <c r="EA138" s="293"/>
      <c r="EB138" s="293"/>
      <c r="EC138" s="293"/>
      <c r="ED138" s="293"/>
      <c r="EE138" s="293"/>
      <c r="EF138" s="293"/>
      <c r="EG138" s="293"/>
      <c r="EH138" s="293"/>
      <c r="EI138" s="293"/>
      <c r="EJ138" s="293"/>
      <c r="EK138" s="293"/>
      <c r="EL138" s="295"/>
      <c r="EM138" s="1080"/>
      <c r="EN138" s="1080"/>
      <c r="EO138" s="1080"/>
      <c r="EP138" s="1080"/>
      <c r="EQ138" s="1080"/>
      <c r="ER138" s="1080"/>
      <c r="ES138" s="1080"/>
      <c r="ET138" s="1080"/>
      <c r="EU138" s="1080"/>
      <c r="EV138" s="1080"/>
      <c r="EW138" s="1080"/>
      <c r="EX138" s="1340"/>
      <c r="EY138" s="1080"/>
      <c r="EZ138" s="1080"/>
      <c r="FA138" s="1080"/>
      <c r="FB138" s="1080"/>
      <c r="FC138" s="1080"/>
      <c r="FD138" s="1080"/>
      <c r="FE138" s="1080"/>
      <c r="FF138" s="1080"/>
      <c r="FG138" s="1080"/>
      <c r="FH138" s="1080"/>
      <c r="FI138" s="1080"/>
      <c r="FJ138" s="1340"/>
      <c r="FK138" s="1080"/>
      <c r="FL138" s="1080"/>
      <c r="FM138" s="1080"/>
      <c r="FN138" s="1080"/>
      <c r="FO138" s="1080"/>
      <c r="FP138" s="1080"/>
      <c r="FQ138" s="293"/>
      <c r="FR138" s="293"/>
      <c r="FS138" s="293"/>
      <c r="FT138" s="293"/>
      <c r="FU138" s="293"/>
      <c r="FV138" s="293"/>
      <c r="FW138" s="293"/>
      <c r="FX138" s="293"/>
      <c r="FY138" s="293"/>
      <c r="FZ138" s="293"/>
      <c r="GA138" s="293"/>
      <c r="GB138" s="293"/>
      <c r="GC138" s="293"/>
      <c r="GD138" s="293"/>
      <c r="GE138" s="293"/>
      <c r="GF138" s="293"/>
      <c r="GG138" s="293"/>
      <c r="GH138" s="293"/>
      <c r="GI138" s="293"/>
      <c r="GJ138" s="293"/>
      <c r="GK138" s="293"/>
      <c r="GL138" s="293"/>
      <c r="GM138" s="293"/>
      <c r="GN138" s="293"/>
      <c r="GO138" s="293"/>
      <c r="GP138" s="293"/>
      <c r="GQ138" s="293"/>
      <c r="GR138" s="293"/>
      <c r="GS138" s="293"/>
      <c r="GT138" s="293"/>
      <c r="GU138" s="293"/>
      <c r="GV138" s="293"/>
      <c r="GW138" s="293"/>
      <c r="GX138" s="293"/>
      <c r="GY138" s="293"/>
      <c r="GZ138" s="293"/>
      <c r="HA138" s="293"/>
      <c r="HB138" s="293"/>
      <c r="HC138" s="293"/>
      <c r="HD138" s="293"/>
      <c r="HE138" s="293"/>
      <c r="HF138" s="293"/>
      <c r="HG138" s="293"/>
      <c r="HH138" s="293"/>
      <c r="HI138" s="293"/>
      <c r="HJ138" s="293"/>
      <c r="HK138" s="293"/>
      <c r="HL138" s="293"/>
      <c r="HM138" s="293"/>
      <c r="HN138" s="293"/>
      <c r="HO138" s="293"/>
      <c r="HP138" s="293"/>
      <c r="HQ138" s="293"/>
      <c r="HR138" s="293"/>
      <c r="HS138" s="293"/>
      <c r="HT138" s="293"/>
      <c r="HU138" s="293"/>
      <c r="HV138" s="293"/>
      <c r="HW138" s="293"/>
      <c r="HX138" s="293"/>
      <c r="HY138" s="293"/>
      <c r="KT138" s="280"/>
    </row>
    <row r="139" spans="1:306" outlineLevel="1">
      <c r="D139" s="2083" t="s">
        <v>575</v>
      </c>
      <c r="E139" s="293"/>
      <c r="F139" s="293"/>
      <c r="G139" s="293"/>
      <c r="H139" s="293"/>
      <c r="I139" s="293"/>
      <c r="J139" s="293"/>
      <c r="K139" s="293"/>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c r="BN139" s="293"/>
      <c r="BO139" s="293"/>
      <c r="BP139" s="293"/>
      <c r="BQ139" s="293"/>
      <c r="BR139" s="293"/>
      <c r="BS139" s="293"/>
      <c r="BT139" s="293"/>
      <c r="BU139" s="293"/>
      <c r="BV139" s="293"/>
      <c r="BW139" s="293"/>
      <c r="BX139" s="293"/>
      <c r="BY139" s="293"/>
      <c r="BZ139" s="293"/>
      <c r="CA139" s="293"/>
      <c r="CB139" s="293"/>
      <c r="CC139" s="293"/>
      <c r="CD139" s="293"/>
      <c r="CE139" s="294"/>
      <c r="CF139" s="293"/>
      <c r="CG139" s="293"/>
      <c r="CH139" s="293"/>
      <c r="CI139" s="293"/>
      <c r="CJ139" s="293"/>
      <c r="CK139" s="293"/>
      <c r="CL139" s="293"/>
      <c r="CM139" s="293"/>
      <c r="CN139" s="293"/>
      <c r="CO139" s="293"/>
      <c r="CP139" s="295"/>
      <c r="CQ139" s="293"/>
      <c r="CR139" s="293"/>
      <c r="CS139" s="293"/>
      <c r="CT139" s="293"/>
      <c r="CU139" s="293"/>
      <c r="CV139" s="293"/>
      <c r="CW139" s="293"/>
      <c r="CX139" s="293"/>
      <c r="CY139" s="293"/>
      <c r="CZ139" s="293"/>
      <c r="DA139" s="293"/>
      <c r="DB139" s="1288"/>
      <c r="DC139" s="293"/>
      <c r="DD139" s="293"/>
      <c r="DE139" s="293"/>
      <c r="DF139" s="293"/>
      <c r="DG139" s="293"/>
      <c r="DH139" s="293"/>
      <c r="DI139" s="293"/>
      <c r="DJ139" s="293"/>
      <c r="DK139" s="293"/>
      <c r="DL139" s="293"/>
      <c r="DM139" s="293"/>
      <c r="DN139" s="295"/>
      <c r="DO139" s="293"/>
      <c r="DP139" s="293"/>
      <c r="DQ139" s="293"/>
      <c r="DR139" s="293"/>
      <c r="DS139" s="293"/>
      <c r="DT139" s="293"/>
      <c r="DU139" s="293"/>
      <c r="DV139" s="293"/>
      <c r="DW139" s="293"/>
      <c r="DX139" s="293"/>
      <c r="DY139" s="293"/>
      <c r="DZ139" s="295"/>
      <c r="EA139" s="293"/>
      <c r="EB139" s="293"/>
      <c r="EC139" s="293"/>
      <c r="ED139" s="293"/>
      <c r="EE139" s="293"/>
      <c r="EF139" s="293"/>
      <c r="EG139" s="293"/>
      <c r="EH139" s="293"/>
      <c r="EI139" s="293"/>
      <c r="EJ139" s="293"/>
      <c r="EK139" s="293"/>
      <c r="EL139" s="295"/>
      <c r="EM139" s="1080"/>
      <c r="EN139" s="1080"/>
      <c r="EO139" s="1080"/>
      <c r="EP139" s="1080"/>
      <c r="EQ139" s="1080"/>
      <c r="ER139" s="1080"/>
      <c r="ES139" s="1080"/>
      <c r="ET139" s="1080"/>
      <c r="EU139" s="1080"/>
      <c r="EV139" s="1080"/>
      <c r="EW139" s="1080"/>
      <c r="EX139" s="1340"/>
      <c r="EY139" s="1080"/>
      <c r="EZ139" s="1080"/>
      <c r="FA139" s="1080"/>
      <c r="FB139" s="1080"/>
      <c r="FC139" s="1080"/>
      <c r="FD139" s="1080"/>
      <c r="FE139" s="1080"/>
      <c r="FF139" s="1080"/>
      <c r="FG139" s="1080"/>
      <c r="FH139" s="1080"/>
      <c r="FI139" s="1080"/>
      <c r="FJ139" s="1340"/>
      <c r="FK139" s="1080"/>
      <c r="FL139" s="1080"/>
      <c r="FM139" s="1080"/>
      <c r="FN139" s="1080"/>
      <c r="FO139" s="1080"/>
      <c r="FP139" s="1080"/>
      <c r="FQ139" s="293"/>
      <c r="FR139" s="293"/>
      <c r="FS139" s="293"/>
      <c r="FT139" s="293"/>
      <c r="FU139" s="293"/>
      <c r="FV139" s="293"/>
      <c r="FW139" s="293"/>
      <c r="FX139" s="293"/>
      <c r="FY139" s="293"/>
      <c r="FZ139" s="293"/>
      <c r="GA139" s="293"/>
      <c r="GB139" s="293"/>
      <c r="GC139" s="293"/>
      <c r="GD139" s="293"/>
      <c r="GE139" s="293"/>
      <c r="GF139" s="293"/>
      <c r="GG139" s="293"/>
      <c r="GH139" s="293"/>
      <c r="GI139" s="293"/>
      <c r="GJ139" s="293"/>
      <c r="GK139" s="293"/>
      <c r="GL139" s="293"/>
      <c r="GM139" s="293"/>
      <c r="GN139" s="293"/>
      <c r="GO139" s="293"/>
      <c r="GP139" s="293"/>
      <c r="GQ139" s="293"/>
      <c r="GR139" s="293"/>
      <c r="GS139" s="293"/>
      <c r="GT139" s="293"/>
      <c r="GU139" s="293"/>
      <c r="GV139" s="293"/>
      <c r="GW139" s="293"/>
      <c r="GX139" s="293"/>
      <c r="GY139" s="293"/>
      <c r="GZ139" s="293"/>
      <c r="HA139" s="293"/>
      <c r="HB139" s="293"/>
      <c r="HC139" s="293"/>
      <c r="HD139" s="293"/>
      <c r="HE139" s="293"/>
      <c r="HF139" s="293"/>
      <c r="HG139" s="293"/>
      <c r="HH139" s="293"/>
      <c r="HI139" s="293"/>
      <c r="HJ139" s="293"/>
      <c r="HK139" s="293"/>
      <c r="HL139" s="293"/>
      <c r="HM139" s="293"/>
      <c r="HN139" s="293"/>
      <c r="HO139" s="293"/>
      <c r="HP139" s="293"/>
      <c r="HQ139" s="293"/>
      <c r="HR139" s="293"/>
      <c r="HS139" s="293"/>
      <c r="HT139" s="293"/>
      <c r="HU139" s="293"/>
      <c r="HV139" s="293"/>
      <c r="HW139" s="293"/>
      <c r="HX139" s="293"/>
      <c r="HY139" s="293"/>
      <c r="KT139" s="280"/>
    </row>
    <row r="140" spans="1:306" outlineLevel="1">
      <c r="D140" s="2057" t="s">
        <v>3689</v>
      </c>
      <c r="E140" s="293"/>
      <c r="F140" s="293"/>
      <c r="G140" s="293"/>
      <c r="H140" s="293"/>
      <c r="I140" s="293"/>
      <c r="J140" s="293"/>
      <c r="K140" s="293"/>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c r="BN140" s="293"/>
      <c r="BO140" s="293"/>
      <c r="BP140" s="293"/>
      <c r="BQ140" s="293"/>
      <c r="BR140" s="293"/>
      <c r="BS140" s="293"/>
      <c r="BT140" s="293"/>
      <c r="BU140" s="293"/>
      <c r="BV140" s="293"/>
      <c r="BW140" s="293"/>
      <c r="BX140" s="293"/>
      <c r="BY140" s="293"/>
      <c r="BZ140" s="293"/>
      <c r="CA140" s="293"/>
      <c r="CB140" s="293"/>
      <c r="CC140" s="293"/>
      <c r="CD140" s="293"/>
      <c r="CE140" s="294"/>
      <c r="CF140" s="293"/>
      <c r="CG140" s="293"/>
      <c r="CH140" s="293"/>
      <c r="CI140" s="293"/>
      <c r="CJ140" s="293"/>
      <c r="CK140" s="293"/>
      <c r="CL140" s="293"/>
      <c r="CM140" s="293"/>
      <c r="CN140" s="293"/>
      <c r="CO140" s="293"/>
      <c r="CP140" s="295"/>
      <c r="CQ140" s="293"/>
      <c r="CR140" s="293"/>
      <c r="CS140" s="293"/>
      <c r="CT140" s="293"/>
      <c r="CU140" s="293"/>
      <c r="CV140" s="293"/>
      <c r="CW140" s="293"/>
      <c r="CX140" s="293"/>
      <c r="CY140" s="293"/>
      <c r="CZ140" s="293"/>
      <c r="DA140" s="293"/>
      <c r="DB140" s="1288"/>
      <c r="DC140" s="293"/>
      <c r="DD140" s="293"/>
      <c r="DE140" s="293"/>
      <c r="DF140" s="293"/>
      <c r="DG140" s="293"/>
      <c r="DH140" s="293"/>
      <c r="DI140" s="293"/>
      <c r="DJ140" s="293"/>
      <c r="DK140" s="293"/>
      <c r="DL140" s="293"/>
      <c r="DM140" s="293"/>
      <c r="DN140" s="295"/>
      <c r="DO140" s="293"/>
      <c r="DP140" s="293"/>
      <c r="DQ140" s="293"/>
      <c r="DR140" s="293"/>
      <c r="DS140" s="293"/>
      <c r="DT140" s="293"/>
      <c r="DU140" s="293"/>
      <c r="DV140" s="293"/>
      <c r="DW140" s="293"/>
      <c r="DX140" s="293"/>
      <c r="DY140" s="293"/>
      <c r="DZ140" s="295"/>
      <c r="EA140" s="293"/>
      <c r="EB140" s="293"/>
      <c r="EC140" s="293"/>
      <c r="ED140" s="293"/>
      <c r="EE140" s="293"/>
      <c r="EF140" s="293"/>
      <c r="EG140" s="293"/>
      <c r="EH140" s="293"/>
      <c r="EI140" s="293"/>
      <c r="EJ140" s="293"/>
      <c r="EK140" s="293"/>
      <c r="EL140" s="295"/>
      <c r="EM140" s="1080"/>
      <c r="EN140" s="1080"/>
      <c r="EO140" s="1080"/>
      <c r="EP140" s="1080"/>
      <c r="EQ140" s="1080"/>
      <c r="ER140" s="1080"/>
      <c r="ES140" s="1080"/>
      <c r="ET140" s="1080"/>
      <c r="EU140" s="1080"/>
      <c r="EV140" s="1080"/>
      <c r="EW140" s="1080"/>
      <c r="EX140" s="1340"/>
      <c r="EY140" s="1080"/>
      <c r="EZ140" s="1080"/>
      <c r="FA140" s="1080"/>
      <c r="FB140" s="1080"/>
      <c r="FC140" s="1080"/>
      <c r="FD140" s="1080"/>
      <c r="FE140" s="1080"/>
      <c r="FF140" s="1080"/>
      <c r="FG140" s="1080"/>
      <c r="FH140" s="1080"/>
      <c r="FI140" s="1080"/>
      <c r="FJ140" s="1340"/>
      <c r="FK140" s="1080"/>
      <c r="FL140" s="1080"/>
      <c r="FM140" s="1080"/>
      <c r="FN140" s="1080"/>
      <c r="FO140" s="1080"/>
      <c r="FP140" s="1080"/>
      <c r="FQ140" s="293"/>
      <c r="FR140" s="293"/>
      <c r="FS140" s="293"/>
      <c r="FT140" s="293"/>
      <c r="FU140" s="293"/>
      <c r="FV140" s="293"/>
      <c r="FW140" s="293"/>
      <c r="FX140" s="293"/>
      <c r="FY140" s="293"/>
      <c r="FZ140" s="293"/>
      <c r="GA140" s="293"/>
      <c r="GB140" s="293"/>
      <c r="GC140" s="293"/>
      <c r="GD140" s="293"/>
      <c r="GE140" s="293"/>
      <c r="GF140" s="293"/>
      <c r="GG140" s="293"/>
      <c r="GH140" s="293"/>
      <c r="GI140" s="293"/>
      <c r="GJ140" s="293"/>
      <c r="GK140" s="293"/>
      <c r="GL140" s="293"/>
      <c r="GM140" s="293"/>
      <c r="GN140" s="293"/>
      <c r="GO140" s="293"/>
      <c r="GP140" s="293"/>
      <c r="GQ140" s="293"/>
      <c r="GR140" s="293"/>
      <c r="GS140" s="293"/>
      <c r="GT140" s="293"/>
      <c r="GU140" s="293"/>
      <c r="GV140" s="293"/>
      <c r="GW140" s="293"/>
      <c r="GX140" s="293"/>
      <c r="GY140" s="293"/>
      <c r="GZ140" s="293"/>
      <c r="HA140" s="293"/>
      <c r="HB140" s="293"/>
      <c r="HC140" s="293"/>
      <c r="HD140" s="293"/>
      <c r="HE140" s="293"/>
      <c r="HF140" s="293"/>
      <c r="HG140" s="293"/>
      <c r="HH140" s="293"/>
      <c r="HI140" s="293"/>
      <c r="HJ140" s="293"/>
      <c r="HK140" s="293"/>
      <c r="HL140" s="293"/>
      <c r="HM140" s="293"/>
      <c r="HN140" s="293"/>
      <c r="HO140" s="293"/>
      <c r="HP140" s="293"/>
      <c r="HQ140" s="293"/>
      <c r="HR140" s="293"/>
      <c r="HS140" s="293"/>
      <c r="HT140" s="293"/>
      <c r="HU140" s="293"/>
      <c r="HV140" s="293"/>
      <c r="HW140" s="293"/>
      <c r="HX140" s="293"/>
      <c r="HY140" s="293"/>
      <c r="KT140" s="280"/>
    </row>
    <row r="141" spans="1:306" outlineLevel="1">
      <c r="D141" s="2057" t="s">
        <v>386</v>
      </c>
      <c r="E141" s="293"/>
      <c r="F141" s="293"/>
      <c r="G141" s="293"/>
      <c r="H141" s="293"/>
      <c r="I141" s="293"/>
      <c r="J141" s="293"/>
      <c r="K141" s="293"/>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c r="BN141" s="293"/>
      <c r="BO141" s="293"/>
      <c r="BP141" s="293"/>
      <c r="BQ141" s="293"/>
      <c r="BR141" s="293"/>
      <c r="BS141" s="293"/>
      <c r="BT141" s="293"/>
      <c r="BU141" s="293"/>
      <c r="BV141" s="293"/>
      <c r="BW141" s="293"/>
      <c r="BX141" s="293"/>
      <c r="BY141" s="293"/>
      <c r="BZ141" s="293"/>
      <c r="CA141" s="293"/>
      <c r="CB141" s="293"/>
      <c r="CC141" s="293"/>
      <c r="CD141" s="293"/>
      <c r="CE141" s="294"/>
      <c r="CF141" s="293"/>
      <c r="CG141" s="293"/>
      <c r="CH141" s="293"/>
      <c r="CI141" s="293"/>
      <c r="CJ141" s="293"/>
      <c r="CK141" s="293"/>
      <c r="CL141" s="293"/>
      <c r="CM141" s="293"/>
      <c r="CN141" s="293"/>
      <c r="CO141" s="293"/>
      <c r="CP141" s="295"/>
      <c r="CQ141" s="293"/>
      <c r="CR141" s="293"/>
      <c r="CS141" s="293"/>
      <c r="CT141" s="293"/>
      <c r="CU141" s="293"/>
      <c r="CV141" s="293"/>
      <c r="CW141" s="293"/>
      <c r="CX141" s="293"/>
      <c r="CY141" s="293"/>
      <c r="CZ141" s="293"/>
      <c r="DA141" s="293"/>
      <c r="DB141" s="1288"/>
      <c r="DC141" s="293"/>
      <c r="DD141" s="293"/>
      <c r="DE141" s="293"/>
      <c r="DF141" s="293"/>
      <c r="DG141" s="293"/>
      <c r="DH141" s="293"/>
      <c r="DI141" s="293"/>
      <c r="DJ141" s="293"/>
      <c r="DK141" s="293"/>
      <c r="DL141" s="293"/>
      <c r="DM141" s="293"/>
      <c r="DN141" s="295"/>
      <c r="DO141" s="293"/>
      <c r="DP141" s="293"/>
      <c r="DQ141" s="293"/>
      <c r="DR141" s="293"/>
      <c r="DS141" s="293"/>
      <c r="DT141" s="293"/>
      <c r="DU141" s="293"/>
      <c r="DV141" s="293"/>
      <c r="DW141" s="293"/>
      <c r="DX141" s="293"/>
      <c r="DY141" s="293"/>
      <c r="DZ141" s="295"/>
      <c r="EA141" s="293"/>
      <c r="EB141" s="293"/>
      <c r="EC141" s="293"/>
      <c r="ED141" s="293"/>
      <c r="EE141" s="293"/>
      <c r="EF141" s="293"/>
      <c r="EG141" s="293"/>
      <c r="EH141" s="293"/>
      <c r="EI141" s="293"/>
      <c r="EJ141" s="293"/>
      <c r="EK141" s="293"/>
      <c r="EL141" s="295"/>
      <c r="EM141" s="1080"/>
      <c r="EN141" s="1080"/>
      <c r="EO141" s="1080"/>
      <c r="EP141" s="1080"/>
      <c r="EQ141" s="1080"/>
      <c r="ER141" s="1080"/>
      <c r="ES141" s="1080"/>
      <c r="ET141" s="1080"/>
      <c r="EU141" s="1080"/>
      <c r="EV141" s="1080"/>
      <c r="EW141" s="1080"/>
      <c r="EX141" s="1340"/>
      <c r="EY141" s="1080"/>
      <c r="EZ141" s="1080"/>
      <c r="FA141" s="1080"/>
      <c r="FB141" s="1080"/>
      <c r="FC141" s="1080"/>
      <c r="FD141" s="1080"/>
      <c r="FE141" s="1080"/>
      <c r="FF141" s="1080"/>
      <c r="FG141" s="1080"/>
      <c r="FH141" s="1080"/>
      <c r="FI141" s="1080"/>
      <c r="FJ141" s="1340"/>
      <c r="FK141" s="1080"/>
      <c r="FL141" s="1080"/>
      <c r="FM141" s="1080"/>
      <c r="FN141" s="1080"/>
      <c r="FO141" s="1080"/>
      <c r="FP141" s="1080"/>
      <c r="FQ141" s="293"/>
      <c r="FR141" s="293"/>
      <c r="FS141" s="293"/>
      <c r="FT141" s="293"/>
      <c r="FU141" s="293"/>
      <c r="FV141" s="293"/>
      <c r="FW141" s="293"/>
      <c r="FX141" s="293"/>
      <c r="FY141" s="293"/>
      <c r="FZ141" s="293"/>
      <c r="GA141" s="293"/>
      <c r="GB141" s="293"/>
      <c r="GC141" s="293"/>
      <c r="GD141" s="293"/>
      <c r="GE141" s="293"/>
      <c r="GF141" s="293"/>
      <c r="GG141" s="293"/>
      <c r="GH141" s="293"/>
      <c r="GI141" s="293"/>
      <c r="GJ141" s="293"/>
      <c r="GK141" s="293"/>
      <c r="GL141" s="293"/>
      <c r="GM141" s="293"/>
      <c r="GN141" s="293"/>
      <c r="GO141" s="293"/>
      <c r="GP141" s="293"/>
      <c r="GQ141" s="293"/>
      <c r="GR141" s="293"/>
      <c r="GS141" s="293"/>
      <c r="GT141" s="293"/>
      <c r="GU141" s="293"/>
      <c r="GV141" s="293"/>
      <c r="GW141" s="293"/>
      <c r="GX141" s="293"/>
      <c r="GY141" s="293"/>
      <c r="GZ141" s="293"/>
      <c r="HA141" s="293"/>
      <c r="HB141" s="293"/>
      <c r="HC141" s="293"/>
      <c r="HD141" s="293"/>
      <c r="HE141" s="293"/>
      <c r="HF141" s="293"/>
      <c r="HG141" s="293"/>
      <c r="HH141" s="293"/>
      <c r="HI141" s="293"/>
      <c r="HJ141" s="293"/>
      <c r="HK141" s="293"/>
      <c r="HL141" s="293"/>
      <c r="HM141" s="293"/>
      <c r="HN141" s="293"/>
      <c r="HO141" s="293"/>
      <c r="HP141" s="293"/>
      <c r="HQ141" s="293"/>
      <c r="HR141" s="293"/>
      <c r="HS141" s="293"/>
      <c r="HT141" s="293"/>
      <c r="HU141" s="293"/>
      <c r="HV141" s="293"/>
      <c r="HW141" s="293"/>
      <c r="HX141" s="293"/>
      <c r="HY141" s="293"/>
      <c r="KT141" s="280"/>
    </row>
    <row r="142" spans="1:306" hidden="1" outlineLevel="1">
      <c r="A142" s="96" t="s">
        <v>956</v>
      </c>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c r="BN142" s="293"/>
      <c r="BO142" s="293"/>
      <c r="BP142" s="293"/>
      <c r="BQ142" s="293"/>
      <c r="BR142" s="293"/>
      <c r="BS142" s="293"/>
      <c r="BT142" s="293"/>
      <c r="BU142" s="293"/>
      <c r="BV142" s="293"/>
      <c r="BW142" s="293"/>
      <c r="BX142" s="293"/>
      <c r="BY142" s="293"/>
      <c r="BZ142" s="293"/>
      <c r="CA142" s="293"/>
      <c r="CB142" s="293"/>
      <c r="CC142" s="293"/>
      <c r="CD142" s="293"/>
      <c r="CE142" s="293"/>
      <c r="CF142" s="293"/>
      <c r="CG142" s="293"/>
      <c r="CH142" s="293"/>
      <c r="CI142" s="293"/>
      <c r="CJ142" s="293"/>
      <c r="CK142" s="293"/>
      <c r="CL142" s="293"/>
      <c r="CM142" s="293"/>
      <c r="CN142" s="293"/>
      <c r="CO142" s="293"/>
      <c r="CP142" s="295"/>
      <c r="CQ142" s="293"/>
      <c r="CR142" s="293"/>
      <c r="CS142" s="293"/>
      <c r="CT142" s="293"/>
      <c r="CU142" s="293"/>
      <c r="CV142" s="293"/>
      <c r="CW142" s="293"/>
      <c r="CX142" s="293"/>
      <c r="CY142" s="293"/>
      <c r="CZ142" s="293"/>
      <c r="DA142" s="293"/>
      <c r="DB142" s="1288"/>
      <c r="DC142" s="836">
        <v>42186</v>
      </c>
      <c r="DD142" s="836">
        <v>42217</v>
      </c>
      <c r="DE142" s="836">
        <v>42248</v>
      </c>
      <c r="DF142" s="836">
        <v>42278</v>
      </c>
      <c r="DG142" s="836">
        <v>42309</v>
      </c>
      <c r="DH142" s="836">
        <v>42339</v>
      </c>
      <c r="DI142" s="836">
        <v>42370</v>
      </c>
      <c r="DJ142" s="836">
        <v>42401</v>
      </c>
      <c r="DK142" s="836">
        <v>42430</v>
      </c>
      <c r="DL142" s="836">
        <v>42461</v>
      </c>
      <c r="DM142" s="836">
        <v>42491</v>
      </c>
      <c r="DN142" s="872">
        <v>42522</v>
      </c>
      <c r="DO142" s="836">
        <v>42552</v>
      </c>
      <c r="DP142" s="836">
        <v>42583</v>
      </c>
      <c r="DQ142" s="836">
        <v>42614</v>
      </c>
      <c r="DR142" s="836">
        <v>42644</v>
      </c>
      <c r="DS142" s="836">
        <v>42675</v>
      </c>
      <c r="DT142" s="836">
        <v>42705</v>
      </c>
      <c r="DU142" s="836">
        <v>42736</v>
      </c>
      <c r="DV142" s="836">
        <v>42767</v>
      </c>
      <c r="DW142" s="836">
        <v>42795</v>
      </c>
      <c r="DX142" s="836">
        <v>42826</v>
      </c>
      <c r="DY142" s="836">
        <v>42856</v>
      </c>
      <c r="DZ142" s="872">
        <v>42887</v>
      </c>
      <c r="EA142" s="836">
        <v>42917</v>
      </c>
      <c r="EB142" s="836">
        <v>42948</v>
      </c>
      <c r="EC142" s="836">
        <v>42979</v>
      </c>
      <c r="ED142" s="836">
        <v>43009</v>
      </c>
      <c r="EE142" s="836">
        <v>43040</v>
      </c>
      <c r="EF142" s="836">
        <v>43070</v>
      </c>
      <c r="EG142" s="836">
        <v>43101</v>
      </c>
      <c r="EH142" s="836">
        <v>43132</v>
      </c>
      <c r="EI142" s="836">
        <v>43160</v>
      </c>
      <c r="EJ142" s="836">
        <v>43191</v>
      </c>
      <c r="EK142" s="836">
        <v>43221</v>
      </c>
      <c r="EL142" s="872">
        <v>43252</v>
      </c>
      <c r="EM142" s="1079">
        <v>43282</v>
      </c>
      <c r="EN142" s="1079">
        <v>43313</v>
      </c>
      <c r="EO142" s="1079">
        <v>43344</v>
      </c>
      <c r="EP142" s="1079">
        <v>43374</v>
      </c>
      <c r="EQ142" s="1079">
        <v>43405</v>
      </c>
      <c r="ER142" s="1079">
        <v>43435</v>
      </c>
      <c r="ES142" s="1079">
        <v>43466</v>
      </c>
      <c r="ET142" s="1079">
        <v>43497</v>
      </c>
      <c r="EU142" s="1079">
        <v>43525</v>
      </c>
      <c r="EV142" s="1079">
        <v>43556</v>
      </c>
      <c r="EW142" s="1079">
        <v>43586</v>
      </c>
      <c r="EX142" s="1348">
        <v>43617</v>
      </c>
      <c r="EY142" s="1079">
        <v>43647</v>
      </c>
      <c r="EZ142" s="1079">
        <v>43678</v>
      </c>
      <c r="FA142" s="1079">
        <v>43709</v>
      </c>
      <c r="FB142" s="1079">
        <v>43739</v>
      </c>
      <c r="FC142" s="1079">
        <v>43770</v>
      </c>
      <c r="FD142" s="1079">
        <v>43800</v>
      </c>
      <c r="FE142" s="1079">
        <v>43831</v>
      </c>
      <c r="FF142" s="1079">
        <v>43862</v>
      </c>
      <c r="FG142" s="1079">
        <v>43891</v>
      </c>
      <c r="FH142" s="1079">
        <v>43922</v>
      </c>
      <c r="FI142" s="1079">
        <v>43952</v>
      </c>
      <c r="FJ142" s="1348">
        <v>43983</v>
      </c>
      <c r="FK142" s="1079">
        <v>44013</v>
      </c>
      <c r="FL142" s="1079">
        <v>44044</v>
      </c>
      <c r="FM142" s="1079">
        <v>44075</v>
      </c>
      <c r="FN142" s="1079">
        <v>44105</v>
      </c>
      <c r="FO142" s="1079">
        <v>44136</v>
      </c>
      <c r="FP142" s="1079">
        <v>44166</v>
      </c>
      <c r="FQ142" s="836"/>
      <c r="FR142" s="836"/>
      <c r="FS142" s="836"/>
      <c r="FT142" s="836"/>
      <c r="FU142" s="836"/>
      <c r="FV142" s="836"/>
      <c r="FW142" s="836"/>
      <c r="FX142" s="836"/>
      <c r="FY142" s="836"/>
      <c r="FZ142" s="836"/>
      <c r="GA142" s="836"/>
      <c r="GB142" s="836"/>
      <c r="GC142" s="836"/>
      <c r="GD142" s="836"/>
      <c r="GE142" s="836"/>
      <c r="GF142" s="836"/>
      <c r="GG142" s="836"/>
      <c r="GH142" s="836"/>
      <c r="GI142" s="836"/>
      <c r="GJ142" s="836"/>
      <c r="GK142" s="836"/>
      <c r="GL142" s="836"/>
      <c r="GM142" s="836"/>
      <c r="GN142" s="836"/>
      <c r="GO142" s="836"/>
      <c r="GP142" s="836"/>
      <c r="GQ142" s="836"/>
      <c r="GR142" s="836"/>
      <c r="GS142" s="836"/>
      <c r="GT142" s="836"/>
      <c r="GU142" s="836"/>
      <c r="GV142" s="836"/>
      <c r="GW142" s="836"/>
      <c r="GX142" s="836"/>
      <c r="GY142" s="836"/>
      <c r="GZ142" s="836"/>
      <c r="HA142" s="836"/>
      <c r="HB142" s="836"/>
      <c r="HC142" s="836"/>
      <c r="HD142" s="836"/>
      <c r="HE142" s="836"/>
      <c r="HF142" s="836"/>
      <c r="HG142" s="836"/>
      <c r="HH142" s="836"/>
      <c r="HI142" s="836"/>
      <c r="HJ142" s="836"/>
      <c r="HK142" s="836"/>
      <c r="HL142" s="836"/>
      <c r="HM142" s="836"/>
      <c r="HN142" s="836"/>
      <c r="HO142" s="836"/>
      <c r="HP142" s="836"/>
      <c r="HQ142" s="836"/>
      <c r="HR142" s="836"/>
      <c r="HS142" s="836"/>
      <c r="HT142" s="836"/>
      <c r="HU142" s="836"/>
      <c r="HV142" s="836"/>
      <c r="HW142" s="836"/>
      <c r="HX142" s="836"/>
      <c r="HY142" s="836"/>
      <c r="KT142" s="280"/>
    </row>
    <row r="143" spans="1:306" hidden="1" outlineLevel="1">
      <c r="B143" s="96" t="s">
        <v>338</v>
      </c>
      <c r="D143" s="845" t="s">
        <v>1012</v>
      </c>
      <c r="E143" s="293"/>
      <c r="F143" s="293"/>
      <c r="G143" s="293"/>
      <c r="H143" s="293"/>
      <c r="I143" s="293"/>
      <c r="J143" s="293"/>
      <c r="K143" s="293"/>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c r="BN143" s="293"/>
      <c r="BO143" s="293"/>
      <c r="BP143" s="293"/>
      <c r="BQ143" s="293"/>
      <c r="BR143" s="293"/>
      <c r="BS143" s="293"/>
      <c r="BT143" s="293"/>
      <c r="BU143" s="293"/>
      <c r="BV143" s="293"/>
      <c r="BW143" s="293"/>
      <c r="BX143" s="293"/>
      <c r="BY143" s="293">
        <v>1.7749999999999999</v>
      </c>
      <c r="BZ143" s="293">
        <v>2.165</v>
      </c>
      <c r="CA143" s="293">
        <v>1.3889999999999998</v>
      </c>
      <c r="CB143" s="293">
        <v>1.7400000000000002</v>
      </c>
      <c r="CC143" s="293">
        <v>3.875</v>
      </c>
      <c r="CD143" s="606">
        <v>1.917</v>
      </c>
      <c r="CE143" s="605">
        <v>10.472000000000001</v>
      </c>
      <c r="CF143" s="606">
        <v>2.8590000000000004</v>
      </c>
      <c r="CG143" s="606">
        <v>1.0840000000000001</v>
      </c>
      <c r="CH143" s="606">
        <v>1.286</v>
      </c>
      <c r="CI143" s="606">
        <v>1.881</v>
      </c>
      <c r="CJ143" s="606">
        <v>1.4</v>
      </c>
      <c r="CK143" s="606">
        <v>0.94499999999999995</v>
      </c>
      <c r="CL143" s="606">
        <v>1.7269999999999999</v>
      </c>
      <c r="CM143" s="606">
        <v>1.5229999999999999</v>
      </c>
      <c r="CN143" s="606">
        <v>1.4390000000000001</v>
      </c>
      <c r="CO143" s="606">
        <v>2.016</v>
      </c>
      <c r="CP143" s="622">
        <v>2.3129999999999997</v>
      </c>
      <c r="CQ143" s="606">
        <v>0.79100000000000015</v>
      </c>
      <c r="CR143" s="606">
        <v>3.1680000000000001</v>
      </c>
      <c r="CS143" s="606">
        <v>3.8839999999999999</v>
      </c>
      <c r="CT143" s="606">
        <v>1.0720000000000001</v>
      </c>
      <c r="CU143" s="606">
        <v>1.145</v>
      </c>
      <c r="CV143" s="606">
        <v>1.1459999999999999</v>
      </c>
      <c r="CW143" s="606">
        <v>1.3010000000000002</v>
      </c>
      <c r="CX143" s="606">
        <v>1.2909999999999999</v>
      </c>
      <c r="CY143" s="606">
        <v>1.127</v>
      </c>
      <c r="CZ143" s="606">
        <v>1.2749999999999999</v>
      </c>
      <c r="DA143" s="606">
        <v>1.6280000000000001</v>
      </c>
      <c r="DB143" s="1291">
        <v>6.516</v>
      </c>
      <c r="DC143" s="606">
        <v>0.93799999999999994</v>
      </c>
      <c r="DD143" s="606">
        <v>0.98799999999999999</v>
      </c>
      <c r="DE143" s="606">
        <v>2</v>
      </c>
      <c r="DF143" s="606">
        <v>1.1840000000000002</v>
      </c>
      <c r="DG143" s="606">
        <v>1.226</v>
      </c>
      <c r="DH143" s="606">
        <v>1.151</v>
      </c>
      <c r="DI143" s="606">
        <v>0.92733333333333301</v>
      </c>
      <c r="DJ143" s="606">
        <v>2.7673333333333332</v>
      </c>
      <c r="DK143" s="606">
        <v>0.59333333333333305</v>
      </c>
      <c r="DL143" s="606">
        <v>0.93233333333333301</v>
      </c>
      <c r="DM143" s="606">
        <v>0.51333333333333298</v>
      </c>
      <c r="DN143" s="622">
        <v>4.7523333333333335</v>
      </c>
      <c r="DO143" s="606">
        <v>1.4860815520000001</v>
      </c>
      <c r="DP143" s="606">
        <v>1.3032587010000001</v>
      </c>
      <c r="DQ143" s="606">
        <v>1.5029023870000002</v>
      </c>
      <c r="DR143" s="606">
        <v>1.23835596</v>
      </c>
      <c r="DS143" s="606">
        <v>1.3050289470000001</v>
      </c>
      <c r="DT143" s="606">
        <v>1.540560894</v>
      </c>
      <c r="DU143" s="606">
        <v>1.8339000000000001</v>
      </c>
      <c r="DV143" s="606">
        <v>1.9316993130000002</v>
      </c>
      <c r="DW143" s="606">
        <v>1.6109846000000001</v>
      </c>
      <c r="DX143" s="606">
        <v>1.73517739232</v>
      </c>
      <c r="DY143" s="606">
        <v>1.7491621250000002</v>
      </c>
      <c r="DZ143" s="622">
        <v>5.2529499499999996</v>
      </c>
      <c r="EA143" s="606">
        <v>1.55479996015</v>
      </c>
      <c r="EB143" s="606">
        <v>1.4133283116400002</v>
      </c>
      <c r="EC143" s="606">
        <v>1.7199213688800001</v>
      </c>
      <c r="ED143" s="606">
        <v>1.8576222599999999</v>
      </c>
      <c r="EE143" s="606">
        <v>2.2950006219999999</v>
      </c>
      <c r="EF143" s="606">
        <v>1.5531993339999999</v>
      </c>
      <c r="EG143" s="606">
        <v>1.5705239884692239</v>
      </c>
      <c r="EH143" s="606">
        <v>1.3346904903339969</v>
      </c>
      <c r="EI143" s="606">
        <v>1.4630913663813738</v>
      </c>
      <c r="EJ143" s="606">
        <v>2.1263184440811842</v>
      </c>
      <c r="EK143" s="606">
        <v>1.7899194838205601</v>
      </c>
      <c r="EL143" s="622">
        <v>4.9373663601209739</v>
      </c>
      <c r="EM143" s="1083">
        <v>2.3158661470000008</v>
      </c>
      <c r="EN143" s="1083">
        <v>1.66682098</v>
      </c>
      <c r="EO143" s="1083">
        <v>1.7825671490000001</v>
      </c>
      <c r="EP143" s="1083">
        <v>3.948518075</v>
      </c>
      <c r="EQ143" s="1083">
        <v>5.1321451089999996</v>
      </c>
      <c r="ER143" s="1083">
        <v>1.4664984159999999</v>
      </c>
      <c r="ES143" s="1083">
        <v>2.4177871260000003</v>
      </c>
      <c r="ET143" s="1083">
        <v>2.0524311001000002</v>
      </c>
      <c r="EU143" s="1083">
        <v>2.1628895949999998</v>
      </c>
      <c r="EV143" s="1083">
        <v>2.1110113689999999</v>
      </c>
      <c r="EW143" s="1083">
        <v>2.5972149390000001</v>
      </c>
      <c r="EX143" s="1329">
        <v>3.1316391920000002</v>
      </c>
      <c r="EY143" s="1083"/>
      <c r="EZ143" s="1083"/>
      <c r="FA143" s="1083"/>
      <c r="FB143" s="1083"/>
      <c r="FC143" s="1083"/>
      <c r="FD143" s="1083"/>
      <c r="FE143" s="1083"/>
      <c r="FF143" s="1083"/>
      <c r="FG143" s="1083"/>
      <c r="FH143" s="1083"/>
      <c r="FI143" s="1083"/>
      <c r="FJ143" s="1329"/>
      <c r="FK143" s="1083"/>
      <c r="FL143" s="1083"/>
      <c r="FM143" s="1083"/>
      <c r="FN143" s="1083"/>
      <c r="FO143" s="1083"/>
      <c r="FP143" s="1083"/>
      <c r="FQ143" s="606"/>
      <c r="FR143" s="606"/>
      <c r="FS143" s="606"/>
      <c r="FT143" s="606"/>
      <c r="FU143" s="606"/>
      <c r="FV143" s="606"/>
      <c r="FW143" s="606"/>
      <c r="FX143" s="606"/>
      <c r="FY143" s="606"/>
      <c r="FZ143" s="606"/>
      <c r="GA143" s="606"/>
      <c r="GB143" s="606"/>
      <c r="GC143" s="606"/>
      <c r="GD143" s="606"/>
      <c r="GE143" s="606"/>
      <c r="GF143" s="606"/>
      <c r="GG143" s="606"/>
      <c r="GH143" s="606"/>
      <c r="GI143" s="606"/>
      <c r="GJ143" s="606"/>
      <c r="GK143" s="606"/>
      <c r="GL143" s="606"/>
      <c r="GM143" s="606"/>
      <c r="GN143" s="606"/>
      <c r="GO143" s="606"/>
      <c r="GP143" s="606"/>
      <c r="GQ143" s="606"/>
      <c r="GR143" s="606"/>
      <c r="GS143" s="606"/>
      <c r="GT143" s="606"/>
      <c r="GU143" s="606"/>
      <c r="GV143" s="606"/>
      <c r="GW143" s="606"/>
      <c r="GX143" s="606"/>
      <c r="GY143" s="606"/>
      <c r="GZ143" s="606"/>
      <c r="HA143" s="606"/>
      <c r="HB143" s="606"/>
      <c r="HC143" s="606"/>
      <c r="HD143" s="606"/>
      <c r="HE143" s="606"/>
      <c r="HF143" s="606"/>
      <c r="HG143" s="606"/>
      <c r="HH143" s="606"/>
      <c r="HI143" s="606"/>
      <c r="HJ143" s="606"/>
      <c r="HK143" s="606"/>
      <c r="HL143" s="606"/>
      <c r="HM143" s="606"/>
      <c r="HN143" s="606"/>
      <c r="HO143" s="606"/>
      <c r="HP143" s="606"/>
      <c r="HQ143" s="606"/>
      <c r="HR143" s="606"/>
      <c r="HS143" s="606"/>
      <c r="HT143" s="606"/>
      <c r="HU143" s="606"/>
      <c r="HV143" s="606"/>
      <c r="HW143" s="606"/>
      <c r="HX143" s="606"/>
      <c r="HY143" s="606"/>
      <c r="IH143" s="279">
        <f>+SUM(DC143:DH143)</f>
        <v>7.4870000000000001</v>
      </c>
      <c r="II143" s="279">
        <f>+SUM(DI143:DN143)</f>
        <v>10.485999999999999</v>
      </c>
      <c r="IJ143" s="323">
        <f>+IH143+II143</f>
        <v>17.972999999999999</v>
      </c>
      <c r="IK143" s="279">
        <f>SUM(DO143:DT143)</f>
        <v>8.376188441</v>
      </c>
      <c r="KT143" s="280"/>
    </row>
    <row r="144" spans="1:306" hidden="1" outlineLevel="1">
      <c r="B144" s="96" t="s">
        <v>338</v>
      </c>
      <c r="D144" s="302" t="s">
        <v>997</v>
      </c>
      <c r="E144" s="293"/>
      <c r="F144" s="293"/>
      <c r="G144" s="293"/>
      <c r="H144" s="293"/>
      <c r="I144" s="293"/>
      <c r="J144" s="293"/>
      <c r="K144" s="293"/>
      <c r="L144" s="293"/>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c r="BN144" s="293"/>
      <c r="BO144" s="293"/>
      <c r="BP144" s="293"/>
      <c r="BQ144" s="293"/>
      <c r="BR144" s="293"/>
      <c r="BS144" s="293"/>
      <c r="BT144" s="293"/>
      <c r="BU144" s="293"/>
      <c r="BV144" s="293"/>
      <c r="BW144" s="293"/>
      <c r="BX144" s="293"/>
      <c r="BY144" s="293">
        <v>1.7749999999999999</v>
      </c>
      <c r="BZ144" s="293">
        <v>2.165</v>
      </c>
      <c r="CA144" s="293">
        <v>1.3889999999999998</v>
      </c>
      <c r="CB144" s="293">
        <v>1.7400000000000002</v>
      </c>
      <c r="CC144" s="293">
        <v>3.875</v>
      </c>
      <c r="CD144" s="293">
        <v>1.917</v>
      </c>
      <c r="CE144" s="294">
        <v>10.472000000000001</v>
      </c>
      <c r="CF144" s="293">
        <v>2.8590000000000004</v>
      </c>
      <c r="CG144" s="293">
        <v>1.0840000000000001</v>
      </c>
      <c r="CH144" s="293">
        <v>1.286</v>
      </c>
      <c r="CI144" s="293">
        <v>1.881</v>
      </c>
      <c r="CJ144" s="293">
        <v>1.4</v>
      </c>
      <c r="CK144" s="293">
        <v>0.94499999999999995</v>
      </c>
      <c r="CL144" s="293">
        <v>1.7269999999999999</v>
      </c>
      <c r="CM144" s="293">
        <v>1.5229999999999999</v>
      </c>
      <c r="CN144" s="293">
        <v>1.4390000000000001</v>
      </c>
      <c r="CO144" s="293">
        <v>2.016</v>
      </c>
      <c r="CP144" s="295">
        <v>2.3129999999999997</v>
      </c>
      <c r="CQ144" s="293">
        <v>0.79100000000000015</v>
      </c>
      <c r="CR144" s="293">
        <v>3.1680000000000001</v>
      </c>
      <c r="CS144" s="293">
        <v>3.8839999999999999</v>
      </c>
      <c r="CT144" s="293">
        <v>1.0720000000000001</v>
      </c>
      <c r="CU144" s="293">
        <v>1.145</v>
      </c>
      <c r="CV144" s="293">
        <v>1.1459999999999999</v>
      </c>
      <c r="CW144" s="293">
        <v>1.3010000000000002</v>
      </c>
      <c r="CX144" s="293">
        <v>1.2909999999999999</v>
      </c>
      <c r="CY144" s="293">
        <v>1.127</v>
      </c>
      <c r="CZ144" s="293">
        <v>1.2749999999999999</v>
      </c>
      <c r="DA144" s="293">
        <v>1.6280000000000001</v>
      </c>
      <c r="DB144" s="1288">
        <v>6.516</v>
      </c>
      <c r="DC144" s="293">
        <v>0.84399999999999997</v>
      </c>
      <c r="DD144" s="293">
        <v>0.68300000000000005</v>
      </c>
      <c r="DE144" s="293">
        <v>1.2350000000000001</v>
      </c>
      <c r="DF144" s="293">
        <v>0.65400000000000003</v>
      </c>
      <c r="DG144" s="293">
        <v>0.67200000000000004</v>
      </c>
      <c r="DH144" s="293">
        <v>0.51900000000000002</v>
      </c>
      <c r="DI144" s="293">
        <v>0.52733333333333299</v>
      </c>
      <c r="DJ144" s="293">
        <v>0.45833333333333298</v>
      </c>
      <c r="DK144" s="293">
        <v>0.39333333333333298</v>
      </c>
      <c r="DL144" s="293">
        <v>0.46033333333333298</v>
      </c>
      <c r="DM144" s="293">
        <v>0.44733333333333303</v>
      </c>
      <c r="DN144" s="295">
        <v>0.55133333333333301</v>
      </c>
      <c r="DO144" s="293">
        <v>1.2610815520000001</v>
      </c>
      <c r="DP144" s="293">
        <v>1.273258701</v>
      </c>
      <c r="DQ144" s="293">
        <v>1.4369023870000002</v>
      </c>
      <c r="DR144" s="293">
        <v>1.1573559600000001</v>
      </c>
      <c r="DS144" s="293">
        <v>0.98302894699999999</v>
      </c>
      <c r="DT144" s="293">
        <v>1.380560894</v>
      </c>
      <c r="DU144" s="293">
        <v>1.3889</v>
      </c>
      <c r="DV144" s="293">
        <v>1.2786993130000002</v>
      </c>
      <c r="DW144" s="293">
        <v>1.5199846000000001</v>
      </c>
      <c r="DX144" s="293">
        <v>0.81137739231999995</v>
      </c>
      <c r="DY144" s="293">
        <v>1.3393621250000001</v>
      </c>
      <c r="DZ144" s="295">
        <v>1.3779499500000001</v>
      </c>
      <c r="EA144" s="293">
        <v>1.4307999601499999</v>
      </c>
      <c r="EB144" s="293">
        <v>1.3013283116400001</v>
      </c>
      <c r="EC144" s="293">
        <v>1.59592136888</v>
      </c>
      <c r="ED144" s="293">
        <v>1.2846222599999999</v>
      </c>
      <c r="EE144" s="293">
        <v>1.3630006219999999</v>
      </c>
      <c r="EF144" s="293">
        <v>1.4941993339999999</v>
      </c>
      <c r="EG144" s="293">
        <v>1.281523988469224</v>
      </c>
      <c r="EH144" s="293">
        <v>1.299690490333997</v>
      </c>
      <c r="EI144" s="293">
        <v>1.3980913663813739</v>
      </c>
      <c r="EJ144" s="293">
        <v>1.6513184440811841</v>
      </c>
      <c r="EK144" s="293">
        <v>1.6609034838205601</v>
      </c>
      <c r="EL144" s="295">
        <v>2.222347445120973</v>
      </c>
      <c r="EM144" s="1080">
        <v>1.1538661470000009</v>
      </c>
      <c r="EN144" s="1080">
        <v>1.42682098</v>
      </c>
      <c r="EO144" s="1080">
        <v>1.386567149</v>
      </c>
      <c r="EP144" s="1080">
        <v>2.4215180750000003</v>
      </c>
      <c r="EQ144" s="1080">
        <v>2.1481451090000001</v>
      </c>
      <c r="ER144" s="1080">
        <v>1.2744984159999999</v>
      </c>
      <c r="ES144" s="1080">
        <v>1.7497871260000002</v>
      </c>
      <c r="ET144" s="1080">
        <v>1.8224311001</v>
      </c>
      <c r="EU144" s="1080">
        <v>1.9678895949999999</v>
      </c>
      <c r="EV144" s="1080">
        <v>1.878011369</v>
      </c>
      <c r="EW144" s="1080">
        <v>2.0192149390000003</v>
      </c>
      <c r="EX144" s="1340">
        <v>2.0186391920000002</v>
      </c>
      <c r="EY144" s="1080"/>
      <c r="EZ144" s="1080"/>
      <c r="FA144" s="1080"/>
      <c r="FB144" s="1080"/>
      <c r="FC144" s="1080"/>
      <c r="FD144" s="1080"/>
      <c r="FE144" s="1080"/>
      <c r="FF144" s="1080"/>
      <c r="FG144" s="1080"/>
      <c r="FH144" s="1080"/>
      <c r="FI144" s="1080"/>
      <c r="FJ144" s="1340"/>
      <c r="FK144" s="1080"/>
      <c r="FL144" s="1080"/>
      <c r="FM144" s="1080"/>
      <c r="FN144" s="1080"/>
      <c r="FO144" s="1080"/>
      <c r="FP144" s="1080"/>
      <c r="FQ144" s="293"/>
      <c r="FR144" s="293"/>
      <c r="FS144" s="293"/>
      <c r="FT144" s="293"/>
      <c r="FU144" s="293"/>
      <c r="FV144" s="293"/>
      <c r="FW144" s="293"/>
      <c r="FX144" s="293"/>
      <c r="FY144" s="293"/>
      <c r="FZ144" s="293"/>
      <c r="GA144" s="293"/>
      <c r="GB144" s="293"/>
      <c r="GC144" s="293"/>
      <c r="GD144" s="293"/>
      <c r="GE144" s="293"/>
      <c r="GF144" s="293"/>
      <c r="GG144" s="293"/>
      <c r="GH144" s="293"/>
      <c r="GI144" s="293"/>
      <c r="GJ144" s="293"/>
      <c r="GK144" s="293"/>
      <c r="GL144" s="293"/>
      <c r="GM144" s="293"/>
      <c r="GN144" s="293"/>
      <c r="GO144" s="293"/>
      <c r="GP144" s="293"/>
      <c r="GQ144" s="293"/>
      <c r="GR144" s="293"/>
      <c r="GS144" s="293"/>
      <c r="GT144" s="293"/>
      <c r="GU144" s="293"/>
      <c r="GV144" s="293"/>
      <c r="GW144" s="293"/>
      <c r="GX144" s="293"/>
      <c r="GY144" s="293"/>
      <c r="GZ144" s="293"/>
      <c r="HA144" s="293"/>
      <c r="HB144" s="293"/>
      <c r="HC144" s="293"/>
      <c r="HD144" s="293"/>
      <c r="HE144" s="293"/>
      <c r="HF144" s="293"/>
      <c r="HG144" s="293"/>
      <c r="HH144" s="293"/>
      <c r="HI144" s="293"/>
      <c r="HJ144" s="293"/>
      <c r="HK144" s="293"/>
      <c r="HL144" s="293"/>
      <c r="HM144" s="293"/>
      <c r="HN144" s="293"/>
      <c r="HO144" s="293"/>
      <c r="HP144" s="293"/>
      <c r="HQ144" s="293"/>
      <c r="HR144" s="293"/>
      <c r="HS144" s="293"/>
      <c r="HT144" s="293"/>
      <c r="HU144" s="293"/>
      <c r="HV144" s="293"/>
      <c r="HW144" s="293"/>
      <c r="HX144" s="293"/>
      <c r="HY144" s="293"/>
      <c r="IH144" s="279">
        <f>+SUM(DC144:DH144)</f>
        <v>4.6070000000000002</v>
      </c>
      <c r="II144" s="279">
        <f>+SUM(DI144:DN144)</f>
        <v>2.8379999999999983</v>
      </c>
      <c r="IJ144" s="323">
        <f>+IH144+II144</f>
        <v>7.4449999999999985</v>
      </c>
      <c r="IK144" s="279">
        <f>SUM(DO144:DT144)</f>
        <v>7.4921884410000006</v>
      </c>
      <c r="KT144" s="280"/>
    </row>
    <row r="145" spans="1:307" hidden="1" outlineLevel="1">
      <c r="B145" s="96" t="s">
        <v>338</v>
      </c>
      <c r="D145" s="302" t="s">
        <v>992</v>
      </c>
      <c r="E145" s="293"/>
      <c r="F145" s="293"/>
      <c r="G145" s="293"/>
      <c r="H145" s="293"/>
      <c r="I145" s="293"/>
      <c r="J145" s="293"/>
      <c r="K145" s="293"/>
      <c r="L145" s="29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c r="BN145" s="293"/>
      <c r="BO145" s="293"/>
      <c r="BP145" s="293"/>
      <c r="BQ145" s="293"/>
      <c r="BR145" s="293"/>
      <c r="BS145" s="293"/>
      <c r="BT145" s="293"/>
      <c r="BU145" s="293"/>
      <c r="BV145" s="293"/>
      <c r="BW145" s="293"/>
      <c r="BX145" s="293"/>
      <c r="BY145" s="293"/>
      <c r="BZ145" s="293"/>
      <c r="CA145" s="293"/>
      <c r="CB145" s="293"/>
      <c r="CC145" s="293"/>
      <c r="CD145" s="293"/>
      <c r="CE145" s="294"/>
      <c r="CF145" s="293"/>
      <c r="CG145" s="293"/>
      <c r="CH145" s="293"/>
      <c r="CI145" s="293"/>
      <c r="CJ145" s="293"/>
      <c r="CK145" s="293"/>
      <c r="CL145" s="293"/>
      <c r="CM145" s="293"/>
      <c r="CN145" s="293"/>
      <c r="CO145" s="293"/>
      <c r="CP145" s="295"/>
      <c r="CQ145" s="293"/>
      <c r="CR145" s="293"/>
      <c r="CS145" s="293"/>
      <c r="CT145" s="293"/>
      <c r="CU145" s="293"/>
      <c r="CV145" s="293"/>
      <c r="CW145" s="293"/>
      <c r="CX145" s="293"/>
      <c r="CY145" s="293"/>
      <c r="CZ145" s="293"/>
      <c r="DA145" s="293"/>
      <c r="DB145" s="1288"/>
      <c r="DC145" s="293">
        <v>9.4E-2</v>
      </c>
      <c r="DD145" s="293">
        <v>0.30499999999999999</v>
      </c>
      <c r="DE145" s="293">
        <v>0.76500000000000001</v>
      </c>
      <c r="DF145" s="293">
        <v>0.53</v>
      </c>
      <c r="DG145" s="293">
        <v>0.55400000000000005</v>
      </c>
      <c r="DH145" s="293">
        <v>0.63200000000000001</v>
      </c>
      <c r="DI145" s="293">
        <v>0.4</v>
      </c>
      <c r="DJ145" s="293">
        <v>2.3090000000000002</v>
      </c>
      <c r="DK145" s="293">
        <v>0.2</v>
      </c>
      <c r="DL145" s="293">
        <v>0.47200000000000003</v>
      </c>
      <c r="DM145" s="293">
        <v>6.6000000000000003E-2</v>
      </c>
      <c r="DN145" s="295">
        <v>4.2010000000000005</v>
      </c>
      <c r="DO145" s="293">
        <v>0.22500000000000001</v>
      </c>
      <c r="DP145" s="293">
        <v>0.03</v>
      </c>
      <c r="DQ145" s="293">
        <v>6.6000000000000003E-2</v>
      </c>
      <c r="DR145" s="293">
        <v>8.1000000000000003E-2</v>
      </c>
      <c r="DS145" s="293">
        <v>0.32200000000000001</v>
      </c>
      <c r="DT145" s="293">
        <v>0.16</v>
      </c>
      <c r="DU145" s="293">
        <v>0.44500000000000001</v>
      </c>
      <c r="DV145" s="293">
        <v>0.65300000000000002</v>
      </c>
      <c r="DW145" s="293">
        <v>9.0999999999999998E-2</v>
      </c>
      <c r="DX145" s="293">
        <v>0.92380000000000007</v>
      </c>
      <c r="DY145" s="293">
        <v>0.40980000000000005</v>
      </c>
      <c r="DZ145" s="295">
        <v>3.875</v>
      </c>
      <c r="EA145" s="293">
        <v>0.124</v>
      </c>
      <c r="EB145" s="293">
        <v>0.112</v>
      </c>
      <c r="EC145" s="293">
        <v>0.124</v>
      </c>
      <c r="ED145" s="293">
        <v>0.57299999999999995</v>
      </c>
      <c r="EE145" s="293">
        <v>0.93200000000000005</v>
      </c>
      <c r="EF145" s="293">
        <v>5.8999999999999997E-2</v>
      </c>
      <c r="EG145" s="293">
        <v>0.28899999999999998</v>
      </c>
      <c r="EH145" s="293">
        <v>3.5000000000000003E-2</v>
      </c>
      <c r="EI145" s="293">
        <v>6.5000000000000002E-2</v>
      </c>
      <c r="EJ145" s="293">
        <v>0.47499999999999998</v>
      </c>
      <c r="EK145" s="293">
        <v>0.12901599999999999</v>
      </c>
      <c r="EL145" s="295">
        <v>2.7150189150000004</v>
      </c>
      <c r="EM145" s="1080">
        <v>1.1619999999999999</v>
      </c>
      <c r="EN145" s="1080">
        <v>0.24</v>
      </c>
      <c r="EO145" s="1080">
        <v>0.39600000000000002</v>
      </c>
      <c r="EP145" s="1080">
        <v>1.5269999999999999</v>
      </c>
      <c r="EQ145" s="1080">
        <v>2.984</v>
      </c>
      <c r="ER145" s="1080">
        <v>0.192</v>
      </c>
      <c r="ES145" s="1080">
        <v>0.66800000000000004</v>
      </c>
      <c r="ET145" s="1080">
        <v>0.23</v>
      </c>
      <c r="EU145" s="1080">
        <v>0.19500000000000001</v>
      </c>
      <c r="EV145" s="1080">
        <v>0.23300000000000001</v>
      </c>
      <c r="EW145" s="1080">
        <v>0.57799999999999996</v>
      </c>
      <c r="EX145" s="1340">
        <v>1.113</v>
      </c>
      <c r="EY145" s="1080"/>
      <c r="EZ145" s="1080"/>
      <c r="FA145" s="1080"/>
      <c r="FB145" s="1080"/>
      <c r="FC145" s="1080"/>
      <c r="FD145" s="1080"/>
      <c r="FE145" s="1080"/>
      <c r="FF145" s="1080"/>
      <c r="FG145" s="1080"/>
      <c r="FH145" s="1080"/>
      <c r="FI145" s="1080"/>
      <c r="FJ145" s="1340"/>
      <c r="FK145" s="1080"/>
      <c r="FL145" s="1080"/>
      <c r="FM145" s="1080"/>
      <c r="FN145" s="1080"/>
      <c r="FO145" s="1080"/>
      <c r="FP145" s="1080"/>
      <c r="FQ145" s="293"/>
      <c r="FR145" s="293"/>
      <c r="FS145" s="293"/>
      <c r="FT145" s="293"/>
      <c r="FU145" s="293"/>
      <c r="FV145" s="293"/>
      <c r="FW145" s="293"/>
      <c r="FX145" s="293"/>
      <c r="FY145" s="293"/>
      <c r="FZ145" s="293"/>
      <c r="GA145" s="293"/>
      <c r="GB145" s="293"/>
      <c r="GC145" s="293"/>
      <c r="GD145" s="293"/>
      <c r="GE145" s="293"/>
      <c r="GF145" s="293"/>
      <c r="GG145" s="293"/>
      <c r="GH145" s="293"/>
      <c r="GI145" s="293"/>
      <c r="GJ145" s="293"/>
      <c r="GK145" s="293"/>
      <c r="GL145" s="293"/>
      <c r="GM145" s="293"/>
      <c r="GN145" s="293"/>
      <c r="GO145" s="293"/>
      <c r="GP145" s="293"/>
      <c r="GQ145" s="293"/>
      <c r="GR145" s="293"/>
      <c r="GS145" s="293"/>
      <c r="GT145" s="293"/>
      <c r="GU145" s="293"/>
      <c r="GV145" s="293"/>
      <c r="GW145" s="293"/>
      <c r="GX145" s="293"/>
      <c r="GY145" s="293"/>
      <c r="GZ145" s="293"/>
      <c r="HA145" s="293"/>
      <c r="HB145" s="293"/>
      <c r="HC145" s="293"/>
      <c r="HD145" s="293"/>
      <c r="HE145" s="293"/>
      <c r="HF145" s="293"/>
      <c r="HG145" s="293"/>
      <c r="HH145" s="293"/>
      <c r="HI145" s="293"/>
      <c r="HJ145" s="293"/>
      <c r="HK145" s="293"/>
      <c r="HL145" s="293"/>
      <c r="HM145" s="293"/>
      <c r="HN145" s="293"/>
      <c r="HO145" s="293"/>
      <c r="HP145" s="293"/>
      <c r="HQ145" s="293"/>
      <c r="HR145" s="293"/>
      <c r="HS145" s="293"/>
      <c r="HT145" s="293"/>
      <c r="HU145" s="293"/>
      <c r="HV145" s="293"/>
      <c r="HW145" s="293"/>
      <c r="HX145" s="293"/>
      <c r="HY145" s="293"/>
      <c r="IH145" s="279">
        <f>+SUM(DC145:DH145)</f>
        <v>2.8800000000000003</v>
      </c>
      <c r="II145" s="279">
        <f>+SUM(DI145:DN145)</f>
        <v>7.6480000000000006</v>
      </c>
      <c r="IJ145" s="323">
        <f>+IH145+II145</f>
        <v>10.528</v>
      </c>
      <c r="IK145" s="279">
        <f>SUM(DO145:DT145)</f>
        <v>0.88400000000000001</v>
      </c>
      <c r="KT145" s="280"/>
    </row>
    <row r="146" spans="1:307" hidden="1" outlineLevel="1">
      <c r="D146" s="644" t="s">
        <v>1171</v>
      </c>
      <c r="CP146" s="280"/>
      <c r="DC146" s="812" t="s">
        <v>991</v>
      </c>
      <c r="EA146" s="279"/>
      <c r="EB146" s="279"/>
      <c r="EC146" s="279"/>
      <c r="ED146" s="279"/>
      <c r="EE146" s="279"/>
      <c r="EF146" s="279"/>
      <c r="EG146" s="279"/>
      <c r="EH146" s="279"/>
      <c r="EI146" s="279"/>
      <c r="EJ146" s="279"/>
      <c r="EK146" s="279"/>
      <c r="EL146" s="280"/>
      <c r="EM146" s="1082"/>
      <c r="EN146" s="1082"/>
      <c r="EO146" s="1082">
        <v>2.1669842020000001</v>
      </c>
      <c r="EP146" s="1082"/>
      <c r="EQ146" s="1082"/>
      <c r="ER146" s="1082">
        <v>2.2170388330000002</v>
      </c>
      <c r="ES146" s="1082">
        <v>0</v>
      </c>
      <c r="ET146" s="1082">
        <v>0</v>
      </c>
      <c r="EU146" s="1082">
        <v>1.9034152189999993</v>
      </c>
      <c r="EV146" s="1082">
        <v>0</v>
      </c>
      <c r="EW146" s="1082">
        <v>0</v>
      </c>
      <c r="EX146" s="1350">
        <v>2.1224270360000013</v>
      </c>
      <c r="EY146" s="1082"/>
      <c r="EZ146" s="1082"/>
      <c r="FA146" s="1082"/>
      <c r="FB146" s="1082"/>
      <c r="FC146" s="1082"/>
      <c r="FD146" s="1082"/>
      <c r="FE146" s="1082"/>
      <c r="FF146" s="1082"/>
      <c r="FG146" s="1082"/>
      <c r="FH146" s="1082"/>
      <c r="FI146" s="1082"/>
      <c r="FJ146" s="1350"/>
      <c r="FK146" s="1082"/>
      <c r="FL146" s="1082"/>
      <c r="FM146" s="1082"/>
      <c r="FN146" s="1082"/>
      <c r="FO146" s="1082"/>
      <c r="FP146" s="1082"/>
      <c r="FQ146" s="279"/>
      <c r="FR146" s="279"/>
      <c r="FS146" s="279"/>
      <c r="FT146" s="279"/>
      <c r="FU146" s="279"/>
      <c r="FV146" s="279"/>
      <c r="FW146" s="279"/>
      <c r="FX146" s="279"/>
      <c r="FY146" s="279"/>
      <c r="FZ146" s="279"/>
      <c r="GA146" s="279"/>
      <c r="GB146" s="279"/>
      <c r="GC146" s="279"/>
      <c r="GD146" s="279"/>
      <c r="GE146" s="279"/>
      <c r="GF146" s="279"/>
      <c r="GG146" s="279"/>
      <c r="GH146" s="279"/>
      <c r="GI146" s="279"/>
      <c r="GJ146" s="279"/>
      <c r="GK146" s="279"/>
      <c r="GL146" s="279"/>
      <c r="GM146" s="279"/>
      <c r="GN146" s="279"/>
      <c r="GO146" s="279"/>
      <c r="GP146" s="279"/>
      <c r="GQ146" s="279"/>
      <c r="GR146" s="279"/>
      <c r="GS146" s="279"/>
      <c r="GT146" s="279"/>
      <c r="GU146" s="279"/>
      <c r="GV146" s="279"/>
      <c r="GW146" s="279"/>
      <c r="GX146" s="279"/>
      <c r="GY146" s="279"/>
      <c r="GZ146" s="279"/>
      <c r="HA146" s="279"/>
      <c r="HB146" s="279"/>
      <c r="HC146" s="279"/>
      <c r="HD146" s="279"/>
      <c r="HE146" s="279"/>
      <c r="HF146" s="279"/>
      <c r="HG146" s="279"/>
      <c r="HH146" s="279"/>
      <c r="HI146" s="279"/>
      <c r="HJ146" s="279"/>
      <c r="HK146" s="279"/>
      <c r="HL146" s="279"/>
      <c r="HM146" s="279"/>
      <c r="HN146" s="279"/>
      <c r="HO146" s="279"/>
      <c r="HP146" s="279"/>
      <c r="HQ146" s="279"/>
      <c r="HR146" s="279"/>
      <c r="HS146" s="279"/>
      <c r="HT146" s="279"/>
      <c r="HU146" s="279"/>
      <c r="HV146" s="279"/>
      <c r="HW146" s="279"/>
      <c r="HX146" s="279"/>
      <c r="HY146" s="279"/>
      <c r="IJ146" s="881"/>
      <c r="KT146" s="280"/>
    </row>
    <row r="147" spans="1:307" hidden="1" outlineLevel="1">
      <c r="D147" s="644" t="s">
        <v>1172</v>
      </c>
      <c r="CP147" s="280"/>
      <c r="EA147" s="279"/>
      <c r="EB147" s="279"/>
      <c r="EC147" s="279"/>
      <c r="ED147" s="279"/>
      <c r="EE147" s="279"/>
      <c r="EF147" s="279"/>
      <c r="EG147" s="279"/>
      <c r="EH147" s="279"/>
      <c r="EI147" s="279"/>
      <c r="EJ147" s="279"/>
      <c r="EK147" s="279"/>
      <c r="EL147" s="280"/>
      <c r="EM147" s="1082"/>
      <c r="EN147" s="1082"/>
      <c r="EO147" s="1082">
        <v>5.0329786810000003</v>
      </c>
      <c r="EP147" s="1082"/>
      <c r="EQ147" s="1082"/>
      <c r="ER147" s="1082">
        <v>4.2359017769999996</v>
      </c>
      <c r="ES147" s="1082">
        <v>0</v>
      </c>
      <c r="ET147" s="1082">
        <v>0</v>
      </c>
      <c r="EU147" s="1082">
        <v>4.5140113359999994</v>
      </c>
      <c r="EV147" s="1082">
        <v>0</v>
      </c>
      <c r="EW147" s="1082">
        <v>0</v>
      </c>
      <c r="EX147" s="1350">
        <v>6.1646746080000003</v>
      </c>
      <c r="EY147" s="1082"/>
      <c r="EZ147" s="1082"/>
      <c r="FA147" s="1082"/>
      <c r="FB147" s="1082"/>
      <c r="FC147" s="1082"/>
      <c r="FD147" s="1082"/>
      <c r="FE147" s="1082"/>
      <c r="FF147" s="1082"/>
      <c r="FG147" s="1082"/>
      <c r="FH147" s="1082"/>
      <c r="FI147" s="1082"/>
      <c r="FJ147" s="1350"/>
      <c r="FK147" s="1082"/>
      <c r="FL147" s="1082"/>
      <c r="FM147" s="1082"/>
      <c r="FN147" s="1082"/>
      <c r="FO147" s="1082"/>
      <c r="FP147" s="1082"/>
      <c r="FQ147" s="279"/>
      <c r="FR147" s="279"/>
      <c r="FS147" s="279"/>
      <c r="FT147" s="279"/>
      <c r="FU147" s="279"/>
      <c r="FV147" s="279"/>
      <c r="FW147" s="279"/>
      <c r="FX147" s="279"/>
      <c r="FY147" s="279"/>
      <c r="FZ147" s="279"/>
      <c r="GA147" s="279"/>
      <c r="GB147" s="279"/>
      <c r="GC147" s="279"/>
      <c r="GD147" s="279"/>
      <c r="GE147" s="279"/>
      <c r="GF147" s="279"/>
      <c r="GG147" s="279"/>
      <c r="GH147" s="279"/>
      <c r="GI147" s="279"/>
      <c r="GJ147" s="279"/>
      <c r="GK147" s="279"/>
      <c r="GL147" s="279"/>
      <c r="GM147" s="279"/>
      <c r="GN147" s="279"/>
      <c r="GO147" s="279"/>
      <c r="GP147" s="279"/>
      <c r="GQ147" s="279"/>
      <c r="GR147" s="279"/>
      <c r="GS147" s="279"/>
      <c r="GT147" s="279"/>
      <c r="GU147" s="279"/>
      <c r="GV147" s="279"/>
      <c r="GW147" s="279"/>
      <c r="GX147" s="279"/>
      <c r="GY147" s="279"/>
      <c r="GZ147" s="279"/>
      <c r="HA147" s="279"/>
      <c r="HB147" s="279"/>
      <c r="HC147" s="279"/>
      <c r="HD147" s="279"/>
      <c r="HE147" s="279"/>
      <c r="HF147" s="279"/>
      <c r="HG147" s="279"/>
      <c r="HH147" s="279"/>
      <c r="HI147" s="279"/>
      <c r="HJ147" s="279"/>
      <c r="HK147" s="279"/>
      <c r="HL147" s="279"/>
      <c r="HM147" s="279"/>
      <c r="HN147" s="279"/>
      <c r="HO147" s="279"/>
      <c r="HP147" s="279"/>
      <c r="HQ147" s="279"/>
      <c r="HR147" s="279"/>
      <c r="HS147" s="279"/>
      <c r="HT147" s="279"/>
      <c r="HU147" s="279"/>
      <c r="HV147" s="279"/>
      <c r="HW147" s="279"/>
      <c r="HX147" s="279"/>
      <c r="HY147" s="279"/>
      <c r="IJ147" s="881"/>
      <c r="KT147" s="280"/>
    </row>
    <row r="148" spans="1:307" hidden="1" outlineLevel="1">
      <c r="B148" s="96" t="s">
        <v>338</v>
      </c>
      <c r="D148" s="837" t="s">
        <v>998</v>
      </c>
      <c r="E148" s="293"/>
      <c r="F148" s="293"/>
      <c r="G148" s="293"/>
      <c r="H148" s="293"/>
      <c r="I148" s="293"/>
      <c r="J148" s="293"/>
      <c r="K148" s="293"/>
      <c r="L148" s="293"/>
      <c r="M148" s="293"/>
      <c r="N148" s="293"/>
      <c r="O148" s="293"/>
      <c r="P148" s="293"/>
      <c r="Q148" s="293"/>
      <c r="R148" s="293"/>
      <c r="S148" s="293"/>
      <c r="T148" s="293"/>
      <c r="U148" s="293"/>
      <c r="V148" s="293"/>
      <c r="W148" s="293"/>
      <c r="X148" s="293"/>
      <c r="Y148" s="29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c r="BN148" s="293"/>
      <c r="BO148" s="293"/>
      <c r="BP148" s="293"/>
      <c r="BQ148" s="293"/>
      <c r="BR148" s="293"/>
      <c r="BS148" s="293"/>
      <c r="BT148" s="293"/>
      <c r="BU148" s="293"/>
      <c r="BV148" s="293"/>
      <c r="BW148" s="293"/>
      <c r="BX148" s="293"/>
      <c r="BY148" s="293"/>
      <c r="BZ148" s="293"/>
      <c r="CA148" s="293"/>
      <c r="CB148" s="293"/>
      <c r="CC148" s="293"/>
      <c r="CD148" s="293"/>
      <c r="CE148" s="294"/>
      <c r="CF148" s="293"/>
      <c r="CG148" s="293"/>
      <c r="CH148" s="293"/>
      <c r="CI148" s="293"/>
      <c r="CJ148" s="293">
        <v>-42.1</v>
      </c>
      <c r="CK148" s="293">
        <v>-55.835000000000001</v>
      </c>
      <c r="CL148" s="293">
        <v>-50.628</v>
      </c>
      <c r="CM148" s="293">
        <v>-31.905000000000001</v>
      </c>
      <c r="CN148" s="293">
        <v>-68.67</v>
      </c>
      <c r="CO148" s="293">
        <v>-41.345999999999997</v>
      </c>
      <c r="CP148" s="295">
        <v>-62.701000000000001</v>
      </c>
      <c r="CQ148" s="293">
        <v>-62.475999999999999</v>
      </c>
      <c r="CR148" s="293">
        <v>-52.615000000000002</v>
      </c>
      <c r="CS148" s="293">
        <v>-78.575000000000003</v>
      </c>
      <c r="CT148" s="293">
        <v>-78.662999999999997</v>
      </c>
      <c r="CU148" s="293">
        <v>-63.889000000000003</v>
      </c>
      <c r="CV148" s="293">
        <v>-48.43</v>
      </c>
      <c r="CW148" s="293">
        <v>-78.796000000000006</v>
      </c>
      <c r="CX148" s="293">
        <v>-48.283999999999999</v>
      </c>
      <c r="CY148" s="293">
        <v>-72.105999999999995</v>
      </c>
      <c r="CZ148" s="293">
        <v>-69.093000000000004</v>
      </c>
      <c r="DA148" s="293">
        <v>-56.77</v>
      </c>
      <c r="DB148" s="1288">
        <v>-73.935000000000002</v>
      </c>
      <c r="DC148" s="293">
        <v>-69.454999999999998</v>
      </c>
      <c r="DD148" s="293">
        <v>-80.787000000000006</v>
      </c>
      <c r="DE148" s="293">
        <v>-88.798000000000002</v>
      </c>
      <c r="DF148" s="293">
        <v>-82.034999999999997</v>
      </c>
      <c r="DG148" s="293">
        <v>-70.287000000000006</v>
      </c>
      <c r="DH148" s="293">
        <v>-65.227999999999994</v>
      </c>
      <c r="DI148" s="293">
        <v>-87.281000000000006</v>
      </c>
      <c r="DJ148" s="293">
        <v>-65.652000000000001</v>
      </c>
      <c r="DK148" s="293">
        <v>-82.034999999999997</v>
      </c>
      <c r="DL148" s="293">
        <v>-78.855000000000004</v>
      </c>
      <c r="DM148" s="293">
        <v>-85.396000000000001</v>
      </c>
      <c r="DN148" s="295">
        <v>-74.513999999999996</v>
      </c>
      <c r="DO148" s="293">
        <v>-93.899000000000001</v>
      </c>
      <c r="DP148" s="293">
        <v>-99.227000000000004</v>
      </c>
      <c r="DQ148" s="293">
        <v>-76.097999999999999</v>
      </c>
      <c r="DR148" s="293">
        <v>-86.415000000000006</v>
      </c>
      <c r="DS148" s="293">
        <v>-98.549000000000007</v>
      </c>
      <c r="DT148" s="293">
        <v>-70.534000000000006</v>
      </c>
      <c r="DU148" s="293"/>
      <c r="DV148" s="293"/>
      <c r="DW148" s="293"/>
      <c r="DX148" s="293"/>
      <c r="DY148" s="293"/>
      <c r="DZ148" s="295"/>
      <c r="EA148" s="1076">
        <v>0</v>
      </c>
      <c r="EB148" s="1076">
        <v>6.0361455000000001E-2</v>
      </c>
      <c r="EC148" s="1076">
        <v>0.38033745400000002</v>
      </c>
      <c r="ED148" s="1076">
        <v>0</v>
      </c>
      <c r="EE148" s="1076">
        <v>0</v>
      </c>
      <c r="EF148" s="1076">
        <v>0.31945733199999998</v>
      </c>
      <c r="EG148" s="1076">
        <v>0</v>
      </c>
      <c r="EH148" s="1076">
        <v>0</v>
      </c>
      <c r="EI148" s="1076">
        <v>0.34307549599999998</v>
      </c>
      <c r="EJ148" s="1076">
        <v>0</v>
      </c>
      <c r="EK148" s="1076">
        <v>0</v>
      </c>
      <c r="EL148" s="1339">
        <v>0.47444173899999997</v>
      </c>
      <c r="EM148" s="1089">
        <v>0</v>
      </c>
      <c r="EN148" s="1089">
        <v>0</v>
      </c>
      <c r="EO148" s="1089">
        <v>0.68899293399999995</v>
      </c>
      <c r="EP148" s="1089">
        <v>0</v>
      </c>
      <c r="EQ148" s="1089">
        <v>0</v>
      </c>
      <c r="ER148" s="1089">
        <v>0</v>
      </c>
      <c r="ES148" s="1080"/>
      <c r="ET148" s="1080"/>
      <c r="EU148" s="1080"/>
      <c r="EV148" s="1080"/>
      <c r="EW148" s="1080"/>
      <c r="EX148" s="1340"/>
      <c r="EY148" s="1080"/>
      <c r="EZ148" s="1080"/>
      <c r="FA148" s="1080"/>
      <c r="FB148" s="1080"/>
      <c r="FC148" s="1080"/>
      <c r="FD148" s="1080"/>
      <c r="FE148" s="1080"/>
      <c r="FF148" s="1080"/>
      <c r="FG148" s="1080"/>
      <c r="FH148" s="1080"/>
      <c r="FI148" s="1080"/>
      <c r="FJ148" s="1340"/>
      <c r="FK148" s="1080"/>
      <c r="FL148" s="1080"/>
      <c r="FM148" s="1080"/>
      <c r="FN148" s="1080"/>
      <c r="FO148" s="1080"/>
      <c r="FP148" s="1080"/>
      <c r="FQ148" s="293"/>
      <c r="FR148" s="293"/>
      <c r="FS148" s="293"/>
      <c r="FT148" s="293"/>
      <c r="FU148" s="293"/>
      <c r="FV148" s="293"/>
      <c r="FW148" s="293"/>
      <c r="FX148" s="293"/>
      <c r="FY148" s="293"/>
      <c r="FZ148" s="293"/>
      <c r="GA148" s="293"/>
      <c r="GB148" s="293"/>
      <c r="GC148" s="293"/>
      <c r="GD148" s="293"/>
      <c r="GE148" s="293"/>
      <c r="GF148" s="293"/>
      <c r="GG148" s="293"/>
      <c r="GH148" s="293"/>
      <c r="GI148" s="293"/>
      <c r="GJ148" s="293"/>
      <c r="GK148" s="293"/>
      <c r="GL148" s="293"/>
      <c r="GM148" s="293"/>
      <c r="GN148" s="293"/>
      <c r="GO148" s="293"/>
      <c r="GP148" s="293"/>
      <c r="GQ148" s="293"/>
      <c r="GR148" s="293"/>
      <c r="GS148" s="293"/>
      <c r="GT148" s="293"/>
      <c r="GU148" s="293"/>
      <c r="GV148" s="293"/>
      <c r="GW148" s="293"/>
      <c r="GX148" s="293"/>
      <c r="GY148" s="293"/>
      <c r="GZ148" s="293"/>
      <c r="HA148" s="293"/>
      <c r="HB148" s="293"/>
      <c r="HC148" s="293"/>
      <c r="HD148" s="293"/>
      <c r="HE148" s="293"/>
      <c r="HF148" s="293"/>
      <c r="HG148" s="293"/>
      <c r="HH148" s="293"/>
      <c r="HI148" s="293"/>
      <c r="HJ148" s="293"/>
      <c r="HK148" s="293"/>
      <c r="HL148" s="293"/>
      <c r="HM148" s="293"/>
      <c r="HN148" s="293"/>
      <c r="HO148" s="293"/>
      <c r="HP148" s="293"/>
      <c r="HQ148" s="293"/>
      <c r="HR148" s="293"/>
      <c r="HS148" s="293"/>
      <c r="HT148" s="293"/>
      <c r="HU148" s="293"/>
      <c r="HV148" s="293"/>
      <c r="HW148" s="293"/>
      <c r="HX148" s="293"/>
      <c r="HY148" s="293"/>
      <c r="IJ148" s="881"/>
      <c r="KT148" s="280"/>
    </row>
    <row r="149" spans="1:307" outlineLevel="1">
      <c r="CE149" s="793"/>
      <c r="CP149" s="280"/>
      <c r="DC149" s="812"/>
      <c r="EA149" s="279"/>
      <c r="EB149" s="279"/>
      <c r="EC149" s="279"/>
      <c r="ED149" s="279"/>
      <c r="EE149" s="279"/>
      <c r="EF149" s="279"/>
      <c r="EG149" s="279"/>
      <c r="EH149" s="279"/>
      <c r="EI149" s="279"/>
      <c r="EJ149" s="279"/>
      <c r="EK149" s="279"/>
      <c r="EL149" s="280"/>
      <c r="EM149" s="1082"/>
      <c r="EN149" s="1082"/>
      <c r="EO149" s="1082"/>
      <c r="EP149" s="1082"/>
      <c r="EQ149" s="1082"/>
      <c r="ER149" s="1082"/>
      <c r="ES149" s="1082"/>
      <c r="ET149" s="1082"/>
      <c r="EU149" s="1082"/>
      <c r="EV149" s="1082"/>
      <c r="EW149" s="1082"/>
      <c r="EX149" s="1350"/>
      <c r="EY149" s="1082"/>
      <c r="EZ149" s="1082"/>
      <c r="FA149" s="1082"/>
      <c r="FB149" s="1082"/>
      <c r="FC149" s="1082"/>
      <c r="FD149" s="1082"/>
      <c r="FE149" s="1082"/>
      <c r="FF149" s="1082"/>
      <c r="FG149" s="1082"/>
      <c r="FH149" s="1082"/>
      <c r="FI149" s="1082"/>
      <c r="FJ149" s="1350"/>
      <c r="FK149" s="1082"/>
      <c r="FL149" s="1082"/>
      <c r="FM149" s="1082"/>
      <c r="FN149" s="1082"/>
      <c r="FO149" s="1082"/>
      <c r="FP149" s="1082"/>
      <c r="FQ149" s="279"/>
      <c r="FR149" s="279"/>
      <c r="FS149" s="279"/>
      <c r="FT149" s="279"/>
      <c r="FU149" s="279"/>
      <c r="FV149" s="279"/>
      <c r="FW149" s="279"/>
      <c r="FX149" s="279"/>
      <c r="FY149" s="279"/>
      <c r="FZ149" s="279"/>
      <c r="GA149" s="279"/>
      <c r="GB149" s="279"/>
      <c r="GC149" s="279"/>
      <c r="GD149" s="279"/>
      <c r="GE149" s="279"/>
      <c r="GF149" s="279"/>
      <c r="GG149" s="279"/>
      <c r="GH149" s="279"/>
      <c r="GI149" s="279"/>
      <c r="GJ149" s="279"/>
      <c r="GK149" s="279"/>
      <c r="GL149" s="279"/>
      <c r="GM149" s="279"/>
      <c r="GN149" s="279"/>
      <c r="GO149" s="279"/>
      <c r="GP149" s="279"/>
      <c r="GQ149" s="279"/>
      <c r="GR149" s="279"/>
      <c r="GS149" s="279"/>
      <c r="GT149" s="279"/>
      <c r="GU149" s="279"/>
      <c r="GV149" s="279"/>
      <c r="GW149" s="279"/>
      <c r="GX149" s="279"/>
      <c r="GY149" s="279"/>
      <c r="GZ149" s="279"/>
      <c r="HA149" s="279"/>
      <c r="HB149" s="279"/>
      <c r="HC149" s="279"/>
      <c r="HD149" s="279"/>
      <c r="HE149" s="279"/>
      <c r="HF149" s="279"/>
      <c r="HG149" s="279"/>
      <c r="HH149" s="279"/>
      <c r="HI149" s="279"/>
      <c r="HJ149" s="279"/>
      <c r="HK149" s="279"/>
      <c r="HL149" s="279"/>
      <c r="HM149" s="279"/>
      <c r="HN149" s="279"/>
      <c r="HO149" s="279"/>
      <c r="HP149" s="279"/>
      <c r="HQ149" s="279"/>
      <c r="HR149" s="279"/>
      <c r="HS149" s="279"/>
      <c r="HT149" s="279"/>
      <c r="HU149" s="279"/>
      <c r="HV149" s="279"/>
      <c r="HW149" s="279"/>
      <c r="HX149" s="279"/>
      <c r="HY149" s="279"/>
      <c r="IJ149" s="881"/>
      <c r="KT149" s="280"/>
    </row>
    <row r="150" spans="1:307" outlineLevel="1">
      <c r="DB150" s="279"/>
      <c r="DN150" s="279"/>
      <c r="DZ150" s="279"/>
      <c r="EA150" s="279"/>
      <c r="EB150" s="279"/>
      <c r="EC150" s="279"/>
      <c r="ED150" s="279"/>
      <c r="EE150" s="279"/>
      <c r="EF150" s="279"/>
      <c r="EG150" s="279"/>
      <c r="EH150" s="279"/>
      <c r="EI150" s="279"/>
      <c r="EJ150" s="279"/>
      <c r="EK150" s="279"/>
      <c r="EL150" s="279"/>
      <c r="EM150" s="279"/>
      <c r="EN150" s="279"/>
      <c r="EO150" s="279"/>
      <c r="EP150" s="279"/>
      <c r="EQ150" s="279"/>
      <c r="ER150" s="279"/>
      <c r="ES150" s="279"/>
      <c r="ET150" s="279"/>
      <c r="EU150" s="279"/>
      <c r="EV150" s="279"/>
      <c r="EW150" s="279"/>
      <c r="EX150" s="279"/>
      <c r="EY150" s="279"/>
      <c r="EZ150" s="279"/>
      <c r="FA150" s="279"/>
      <c r="FB150" s="279"/>
      <c r="FC150" s="279"/>
      <c r="FD150" s="279"/>
      <c r="FE150" s="279"/>
      <c r="FF150" s="279"/>
      <c r="FG150" s="279"/>
      <c r="FH150" s="279"/>
      <c r="FI150" s="279"/>
      <c r="FJ150" s="279"/>
      <c r="FK150" s="279"/>
      <c r="FL150" s="279"/>
      <c r="FM150" s="279"/>
      <c r="FN150" s="279"/>
      <c r="FO150" s="279"/>
      <c r="FP150" s="279"/>
      <c r="FQ150" s="279"/>
      <c r="FR150" s="279"/>
      <c r="FS150" s="279"/>
      <c r="FT150" s="279"/>
      <c r="FU150" s="279"/>
      <c r="FV150" s="279"/>
      <c r="FW150" s="279"/>
      <c r="FX150" s="279"/>
      <c r="FY150" s="279"/>
      <c r="FZ150" s="279"/>
      <c r="GA150" s="279"/>
      <c r="GB150" s="279"/>
      <c r="GC150" s="279"/>
      <c r="GD150" s="279"/>
      <c r="GE150" s="279"/>
      <c r="GF150" s="279"/>
      <c r="GG150" s="279"/>
      <c r="GH150" s="279"/>
      <c r="GI150" s="279"/>
      <c r="GJ150" s="279"/>
      <c r="GK150" s="279"/>
      <c r="GL150" s="279"/>
      <c r="GM150" s="279"/>
      <c r="GN150" s="279"/>
      <c r="GO150" s="279"/>
      <c r="GP150" s="279"/>
      <c r="GQ150" s="279"/>
      <c r="GR150" s="279"/>
      <c r="GS150" s="279"/>
      <c r="GT150" s="279"/>
      <c r="GU150" s="279"/>
      <c r="GV150" s="279"/>
      <c r="GW150" s="279"/>
      <c r="GX150" s="279"/>
      <c r="GY150" s="279"/>
      <c r="GZ150" s="279"/>
      <c r="HA150" s="279"/>
      <c r="HB150" s="279"/>
      <c r="HC150" s="279"/>
      <c r="HD150" s="279"/>
      <c r="HE150" s="279"/>
      <c r="HF150" s="279"/>
      <c r="HG150" s="279"/>
      <c r="HH150" s="279"/>
      <c r="HI150" s="279"/>
      <c r="HJ150" s="279"/>
      <c r="HK150" s="279"/>
      <c r="HL150" s="279"/>
      <c r="HM150" s="279"/>
      <c r="HN150" s="279"/>
      <c r="HO150" s="279"/>
      <c r="HP150" s="279"/>
      <c r="HQ150" s="279"/>
      <c r="HR150" s="279"/>
      <c r="HS150" s="279"/>
      <c r="HT150" s="279"/>
      <c r="HU150" s="279"/>
      <c r="HV150" s="279"/>
      <c r="HW150" s="279"/>
      <c r="HX150" s="279"/>
      <c r="HY150" s="279"/>
      <c r="IJ150" s="881"/>
      <c r="KT150" s="280"/>
    </row>
    <row r="151" spans="1:307" outlineLevel="1">
      <c r="A151" s="291" t="s">
        <v>1038</v>
      </c>
      <c r="CE151" s="793"/>
      <c r="CP151" s="280"/>
      <c r="DC151" s="812" t="s">
        <v>999</v>
      </c>
      <c r="EA151" s="279"/>
      <c r="EB151" s="279"/>
      <c r="EC151" s="279"/>
      <c r="ED151" s="279"/>
      <c r="EE151" s="279"/>
      <c r="EF151" s="279"/>
      <c r="EG151" s="279"/>
      <c r="EH151" s="279"/>
      <c r="EI151" s="279"/>
      <c r="EJ151" s="279"/>
      <c r="EK151" s="279"/>
      <c r="EL151" s="280"/>
      <c r="EM151" s="1082"/>
      <c r="EN151" s="1082"/>
      <c r="EO151" s="1082"/>
      <c r="EP151" s="1082"/>
      <c r="EQ151" s="1082"/>
      <c r="ER151" s="1082"/>
      <c r="ES151" s="1082"/>
      <c r="ET151" s="1082"/>
      <c r="EU151" s="1082"/>
      <c r="EV151" s="1082"/>
      <c r="EW151" s="1082"/>
      <c r="EX151" s="1350"/>
      <c r="EY151" s="1082"/>
      <c r="EZ151" s="1082"/>
      <c r="FA151" s="1082"/>
      <c r="FB151" s="1082"/>
      <c r="FC151" s="1082"/>
      <c r="FD151" s="1082"/>
      <c r="FE151" s="1082"/>
      <c r="FF151" s="1082"/>
      <c r="FG151" s="1082"/>
      <c r="FH151" s="1082"/>
      <c r="FI151" s="1082"/>
      <c r="FJ151" s="1350"/>
      <c r="FK151" s="1082"/>
      <c r="FL151" s="1082"/>
      <c r="FM151" s="1082"/>
      <c r="FN151" s="1082"/>
      <c r="FO151" s="1082"/>
      <c r="FP151" s="1082"/>
      <c r="FQ151" s="279"/>
      <c r="FR151" s="279"/>
      <c r="FS151" s="279"/>
      <c r="FT151" s="279"/>
      <c r="FU151" s="279"/>
      <c r="FV151" s="279"/>
      <c r="FW151" s="279"/>
      <c r="FX151" s="279"/>
      <c r="FY151" s="279"/>
      <c r="FZ151" s="279"/>
      <c r="GA151" s="279"/>
      <c r="GB151" s="279"/>
      <c r="GC151" s="279"/>
      <c r="GD151" s="279"/>
      <c r="GE151" s="279"/>
      <c r="GF151" s="279"/>
      <c r="GG151" s="279"/>
      <c r="GH151" s="279"/>
      <c r="GI151" s="279"/>
      <c r="GJ151" s="279"/>
      <c r="GK151" s="279"/>
      <c r="GL151" s="279"/>
      <c r="GM151" s="279"/>
      <c r="GN151" s="279"/>
      <c r="GO151" s="279"/>
      <c r="GP151" s="279"/>
      <c r="GQ151" s="279"/>
      <c r="GR151" s="279"/>
      <c r="GS151" s="279"/>
      <c r="GT151" s="279"/>
      <c r="GU151" s="279"/>
      <c r="GV151" s="279"/>
      <c r="GW151" s="279"/>
      <c r="GX151" s="279"/>
      <c r="GY151" s="279"/>
      <c r="GZ151" s="279"/>
      <c r="HA151" s="279"/>
      <c r="HB151" s="279"/>
      <c r="HC151" s="279"/>
      <c r="HD151" s="279"/>
      <c r="HE151" s="279"/>
      <c r="HF151" s="279"/>
      <c r="HG151" s="279"/>
      <c r="HH151" s="279"/>
      <c r="HI151" s="279"/>
      <c r="HJ151" s="279"/>
      <c r="HK151" s="279"/>
      <c r="HL151" s="279"/>
      <c r="HM151" s="279"/>
      <c r="HN151" s="279"/>
      <c r="HO151" s="279"/>
      <c r="HP151" s="279"/>
      <c r="HQ151" s="279"/>
      <c r="HR151" s="279"/>
      <c r="HS151" s="279"/>
      <c r="HT151" s="279"/>
      <c r="HU151" s="279"/>
      <c r="HV151" s="279"/>
      <c r="HW151" s="279"/>
      <c r="HX151" s="279"/>
      <c r="HY151" s="279"/>
      <c r="IJ151" s="881"/>
      <c r="KT151" s="280"/>
    </row>
    <row r="152" spans="1:307" outlineLevel="1">
      <c r="A152" s="96" t="s">
        <v>372</v>
      </c>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c r="Z152" s="293"/>
      <c r="AA152" s="293"/>
      <c r="AB152" s="293"/>
      <c r="AC152" s="293"/>
      <c r="AD152" s="293"/>
      <c r="AE152" s="293"/>
      <c r="AF152" s="293"/>
      <c r="AG152" s="293"/>
      <c r="AH152" s="293"/>
      <c r="AI152" s="293"/>
      <c r="AJ152" s="293"/>
      <c r="AK152" s="293"/>
      <c r="AL152" s="293"/>
      <c r="AM152" s="293"/>
      <c r="AN152" s="293"/>
      <c r="AO152" s="836">
        <v>40179</v>
      </c>
      <c r="AP152" s="836">
        <v>40210</v>
      </c>
      <c r="AQ152" s="836">
        <v>40238</v>
      </c>
      <c r="AR152" s="836">
        <v>40269</v>
      </c>
      <c r="AS152" s="836">
        <v>40299</v>
      </c>
      <c r="AT152" s="836">
        <v>40330</v>
      </c>
      <c r="AU152" s="836">
        <v>40360</v>
      </c>
      <c r="AV152" s="836">
        <v>40391</v>
      </c>
      <c r="AW152" s="836">
        <v>40422</v>
      </c>
      <c r="AX152" s="836">
        <v>40452</v>
      </c>
      <c r="AY152" s="836">
        <v>40483</v>
      </c>
      <c r="AZ152" s="836">
        <v>40513</v>
      </c>
      <c r="BA152" s="836">
        <v>40544</v>
      </c>
      <c r="BB152" s="836">
        <v>40575</v>
      </c>
      <c r="BC152" s="836">
        <v>40603</v>
      </c>
      <c r="BD152" s="836">
        <v>40634</v>
      </c>
      <c r="BE152" s="836">
        <v>40664</v>
      </c>
      <c r="BF152" s="836">
        <v>40695</v>
      </c>
      <c r="BG152" s="836">
        <v>40725</v>
      </c>
      <c r="BH152" s="836">
        <v>40756</v>
      </c>
      <c r="BI152" s="836">
        <v>40787</v>
      </c>
      <c r="BJ152" s="836">
        <v>40817</v>
      </c>
      <c r="BK152" s="836">
        <v>40848</v>
      </c>
      <c r="BL152" s="836">
        <v>40878</v>
      </c>
      <c r="BM152" s="836">
        <v>40909</v>
      </c>
      <c r="BN152" s="836">
        <v>40940</v>
      </c>
      <c r="BO152" s="836">
        <v>40969</v>
      </c>
      <c r="BP152" s="836">
        <v>41000</v>
      </c>
      <c r="BQ152" s="836">
        <v>41030</v>
      </c>
      <c r="BR152" s="836">
        <v>41061</v>
      </c>
      <c r="BS152" s="836">
        <v>41091</v>
      </c>
      <c r="BT152" s="836">
        <v>41122</v>
      </c>
      <c r="BU152" s="836">
        <v>41153</v>
      </c>
      <c r="BV152" s="836">
        <v>41183</v>
      </c>
      <c r="BW152" s="836">
        <v>41214</v>
      </c>
      <c r="BX152" s="836">
        <v>41244</v>
      </c>
      <c r="BY152" s="836">
        <v>41275</v>
      </c>
      <c r="BZ152" s="836">
        <v>41306</v>
      </c>
      <c r="CA152" s="836">
        <v>41334</v>
      </c>
      <c r="CB152" s="836">
        <v>41365</v>
      </c>
      <c r="CC152" s="836">
        <v>41395</v>
      </c>
      <c r="CD152" s="836">
        <v>41426</v>
      </c>
      <c r="CE152" s="836">
        <v>41456</v>
      </c>
      <c r="CF152" s="836">
        <v>41487</v>
      </c>
      <c r="CG152" s="836">
        <v>41518</v>
      </c>
      <c r="CH152" s="836">
        <v>41548</v>
      </c>
      <c r="CI152" s="836">
        <v>41579</v>
      </c>
      <c r="CJ152" s="836">
        <v>41609</v>
      </c>
      <c r="CK152" s="836">
        <v>41640</v>
      </c>
      <c r="CL152" s="836">
        <v>41671</v>
      </c>
      <c r="CM152" s="836">
        <v>41699</v>
      </c>
      <c r="CN152" s="836">
        <v>41730</v>
      </c>
      <c r="CO152" s="836">
        <v>41760</v>
      </c>
      <c r="CP152" s="836">
        <v>41791</v>
      </c>
      <c r="CQ152" s="836">
        <v>41821</v>
      </c>
      <c r="CR152" s="836">
        <v>41852</v>
      </c>
      <c r="CS152" s="836">
        <v>41883</v>
      </c>
      <c r="CT152" s="836">
        <v>41913</v>
      </c>
      <c r="CU152" s="836">
        <v>41944</v>
      </c>
      <c r="CV152" s="836">
        <v>41974</v>
      </c>
      <c r="CW152" s="836">
        <v>42005</v>
      </c>
      <c r="CX152" s="836">
        <v>42036</v>
      </c>
      <c r="CY152" s="836">
        <v>42064</v>
      </c>
      <c r="CZ152" s="836">
        <v>42095</v>
      </c>
      <c r="DA152" s="836">
        <v>42125</v>
      </c>
      <c r="DB152" s="836">
        <v>42156</v>
      </c>
      <c r="DC152" s="836">
        <v>42186</v>
      </c>
      <c r="DD152" s="836">
        <v>42217</v>
      </c>
      <c r="DE152" s="836">
        <v>42248</v>
      </c>
      <c r="DF152" s="836">
        <v>42278</v>
      </c>
      <c r="DG152" s="836">
        <v>42309</v>
      </c>
      <c r="DH152" s="836">
        <v>42339</v>
      </c>
      <c r="DI152" s="836">
        <v>42370</v>
      </c>
      <c r="DJ152" s="836">
        <v>42401</v>
      </c>
      <c r="DK152" s="836">
        <v>42430</v>
      </c>
      <c r="DL152" s="836">
        <v>42461</v>
      </c>
      <c r="DM152" s="836">
        <v>42491</v>
      </c>
      <c r="DN152" s="872">
        <v>42522</v>
      </c>
      <c r="DO152" s="836">
        <v>42552</v>
      </c>
      <c r="DP152" s="836">
        <v>42583</v>
      </c>
      <c r="DQ152" s="836">
        <v>42614</v>
      </c>
      <c r="DR152" s="836">
        <v>42644</v>
      </c>
      <c r="DS152" s="836">
        <v>42675</v>
      </c>
      <c r="DT152" s="836">
        <v>42705</v>
      </c>
      <c r="DU152" s="836">
        <v>42736</v>
      </c>
      <c r="DV152" s="836">
        <v>42767</v>
      </c>
      <c r="DW152" s="836">
        <v>42795</v>
      </c>
      <c r="DX152" s="836">
        <v>42826</v>
      </c>
      <c r="DY152" s="836">
        <v>42856</v>
      </c>
      <c r="DZ152" s="872">
        <v>42887</v>
      </c>
      <c r="EA152" s="836">
        <v>42918</v>
      </c>
      <c r="EB152" s="836">
        <v>42950</v>
      </c>
      <c r="EC152" s="836">
        <v>42982</v>
      </c>
      <c r="ED152" s="836">
        <v>43013</v>
      </c>
      <c r="EE152" s="836">
        <v>43045</v>
      </c>
      <c r="EF152" s="836">
        <v>43076</v>
      </c>
      <c r="EG152" s="836">
        <v>43101</v>
      </c>
      <c r="EH152" s="836">
        <v>43132</v>
      </c>
      <c r="EI152" s="836">
        <v>43160</v>
      </c>
      <c r="EJ152" s="836">
        <v>43191</v>
      </c>
      <c r="EK152" s="836">
        <v>43221</v>
      </c>
      <c r="EL152" s="872">
        <v>43252</v>
      </c>
      <c r="EM152" s="1079">
        <v>43282</v>
      </c>
      <c r="EN152" s="1079">
        <v>43313</v>
      </c>
      <c r="EO152" s="1079">
        <v>43344</v>
      </c>
      <c r="EP152" s="1079">
        <v>43374</v>
      </c>
      <c r="EQ152" s="1079">
        <v>43405</v>
      </c>
      <c r="ER152" s="1079">
        <v>43435</v>
      </c>
      <c r="ES152" s="1079">
        <v>43466</v>
      </c>
      <c r="ET152" s="1079">
        <v>43497</v>
      </c>
      <c r="EU152" s="1079">
        <v>43525</v>
      </c>
      <c r="EV152" s="1079">
        <v>43556</v>
      </c>
      <c r="EW152" s="1079">
        <v>43586</v>
      </c>
      <c r="EX152" s="1348">
        <v>43617</v>
      </c>
      <c r="EY152" s="1079">
        <v>43647</v>
      </c>
      <c r="EZ152" s="1079">
        <v>43678</v>
      </c>
      <c r="FA152" s="1079">
        <v>43709</v>
      </c>
      <c r="FB152" s="1079">
        <v>43739</v>
      </c>
      <c r="FC152" s="1079">
        <v>43770</v>
      </c>
      <c r="FD152" s="1079">
        <v>43800</v>
      </c>
      <c r="FE152" s="1079">
        <v>43831</v>
      </c>
      <c r="FF152" s="1079">
        <v>43862</v>
      </c>
      <c r="FG152" s="1079">
        <v>43891</v>
      </c>
      <c r="FH152" s="1079">
        <v>43922</v>
      </c>
      <c r="FI152" s="1079">
        <v>43952</v>
      </c>
      <c r="FJ152" s="1348">
        <v>43983</v>
      </c>
      <c r="FK152" s="1079">
        <v>44013</v>
      </c>
      <c r="FL152" s="1079">
        <v>44044</v>
      </c>
      <c r="FM152" s="1079">
        <v>44075</v>
      </c>
      <c r="FN152" s="1079">
        <v>44105</v>
      </c>
      <c r="FO152" s="1079">
        <v>44136</v>
      </c>
      <c r="FP152" s="1079">
        <v>44166</v>
      </c>
      <c r="FQ152" s="836"/>
      <c r="FR152" s="836"/>
      <c r="FS152" s="836"/>
      <c r="FT152" s="836"/>
      <c r="FU152" s="836"/>
      <c r="FV152" s="836"/>
      <c r="FW152" s="836"/>
      <c r="FX152" s="836"/>
      <c r="FY152" s="836"/>
      <c r="FZ152" s="836"/>
      <c r="GA152" s="836"/>
      <c r="GB152" s="836"/>
      <c r="GC152" s="836"/>
      <c r="GD152" s="836"/>
      <c r="GE152" s="836"/>
      <c r="GF152" s="836"/>
      <c r="GG152" s="836"/>
      <c r="GH152" s="836"/>
      <c r="GI152" s="836"/>
      <c r="GJ152" s="836"/>
      <c r="GK152" s="836"/>
      <c r="GL152" s="836"/>
      <c r="GM152" s="836"/>
      <c r="GN152" s="836"/>
      <c r="GO152" s="836"/>
      <c r="GP152" s="836"/>
      <c r="GQ152" s="836"/>
      <c r="GR152" s="836"/>
      <c r="GS152" s="836"/>
      <c r="GT152" s="836"/>
      <c r="GU152" s="836"/>
      <c r="GV152" s="836"/>
      <c r="GW152" s="836"/>
      <c r="GX152" s="836"/>
      <c r="GY152" s="836"/>
      <c r="GZ152" s="836"/>
      <c r="HA152" s="836"/>
      <c r="HB152" s="836"/>
      <c r="HC152" s="836"/>
      <c r="HD152" s="836"/>
      <c r="HE152" s="836"/>
      <c r="HF152" s="836"/>
      <c r="HG152" s="836"/>
      <c r="HH152" s="836"/>
      <c r="HI152" s="836"/>
      <c r="HJ152" s="836"/>
      <c r="HK152" s="836"/>
      <c r="HL152" s="836"/>
      <c r="HM152" s="836"/>
      <c r="HN152" s="836"/>
      <c r="HO152" s="836"/>
      <c r="HP152" s="836"/>
      <c r="HQ152" s="836"/>
      <c r="HR152" s="836"/>
      <c r="HS152" s="836"/>
      <c r="HT152" s="836"/>
      <c r="HU152" s="836"/>
      <c r="HV152" s="836"/>
      <c r="HW152" s="836"/>
      <c r="HX152" s="836"/>
      <c r="HY152" s="836"/>
      <c r="IJ152" s="881"/>
      <c r="KT152" s="280"/>
    </row>
    <row r="153" spans="1:307" outlineLevel="1">
      <c r="A153" s="279"/>
      <c r="B153" s="96" t="s">
        <v>338</v>
      </c>
      <c r="D153" s="303" t="s">
        <v>391</v>
      </c>
      <c r="E153" s="303"/>
      <c r="F153" s="303"/>
      <c r="G153" s="293"/>
      <c r="H153" s="293"/>
      <c r="I153" s="293"/>
      <c r="J153" s="293"/>
      <c r="K153" s="293"/>
      <c r="L153" s="293"/>
      <c r="M153" s="293"/>
      <c r="N153" s="293"/>
      <c r="O153" s="293"/>
      <c r="P153" s="293"/>
      <c r="Q153" s="293"/>
      <c r="R153" s="293"/>
      <c r="S153" s="293"/>
      <c r="T153" s="293"/>
      <c r="U153" s="293"/>
      <c r="V153" s="293"/>
      <c r="W153" s="293"/>
      <c r="X153" s="293"/>
      <c r="Y153" s="293"/>
      <c r="Z153" s="293"/>
      <c r="AA153" s="293"/>
      <c r="AB153" s="293"/>
      <c r="AC153" s="293"/>
      <c r="AD153" s="293"/>
      <c r="AE153" s="293"/>
      <c r="AF153" s="293"/>
      <c r="AG153" s="293"/>
      <c r="AH153" s="293"/>
      <c r="AI153" s="293"/>
      <c r="AJ153" s="293"/>
      <c r="AK153" s="293"/>
      <c r="AL153" s="293"/>
      <c r="AM153" s="293"/>
      <c r="AN153" s="293"/>
      <c r="AO153" s="293">
        <v>0</v>
      </c>
      <c r="AP153" s="293">
        <v>0</v>
      </c>
      <c r="AQ153" s="293">
        <v>0</v>
      </c>
      <c r="AR153" s="293">
        <v>10.258084550587698</v>
      </c>
      <c r="AS153" s="293">
        <v>0.15913016074</v>
      </c>
      <c r="AT153" s="293">
        <v>11.989387799760001</v>
      </c>
      <c r="AU153" s="293">
        <v>0</v>
      </c>
      <c r="AV153" s="293">
        <v>0</v>
      </c>
      <c r="AW153" s="293">
        <v>1.2212008407899999</v>
      </c>
      <c r="AX153" s="293">
        <v>11.04573261212</v>
      </c>
      <c r="AY153" s="293">
        <v>0.61673986191999997</v>
      </c>
      <c r="AZ153" s="293">
        <v>9.7311465000000013</v>
      </c>
      <c r="BA153" s="293">
        <v>0</v>
      </c>
      <c r="BB153" s="293">
        <v>5.3864999999999996E-2</v>
      </c>
      <c r="BC153" s="293">
        <v>0</v>
      </c>
      <c r="BD153" s="293">
        <v>13.671562335999999</v>
      </c>
      <c r="BE153" s="293">
        <v>0</v>
      </c>
      <c r="BF153" s="293">
        <v>11.032064242422001</v>
      </c>
      <c r="BG153" s="293">
        <v>0</v>
      </c>
      <c r="BH153" s="293">
        <v>0</v>
      </c>
      <c r="BI153" s="293">
        <v>0</v>
      </c>
      <c r="BJ153" s="293">
        <v>13.298472160334999</v>
      </c>
      <c r="BK153" s="293">
        <v>0</v>
      </c>
      <c r="BL153" s="293">
        <v>11.752958702736001</v>
      </c>
      <c r="BM153" s="293">
        <v>0</v>
      </c>
      <c r="BN153" s="293">
        <v>5.2094767287999992E-2</v>
      </c>
      <c r="BO153" s="293">
        <v>11.973410064669</v>
      </c>
      <c r="BP153" s="293">
        <v>0</v>
      </c>
      <c r="BQ153" s="293">
        <v>0</v>
      </c>
      <c r="BR153" s="293">
        <v>11.988226891799998</v>
      </c>
      <c r="BS153" s="293">
        <v>2.6731806631600001</v>
      </c>
      <c r="BT153" s="293">
        <v>0</v>
      </c>
      <c r="BU153" s="293">
        <v>0.10960072199999998</v>
      </c>
      <c r="BV153" s="293">
        <v>16.116490406484999</v>
      </c>
      <c r="BW153" s="293">
        <v>0</v>
      </c>
      <c r="BX153" s="293">
        <v>13.101687593249999</v>
      </c>
      <c r="BY153" s="293">
        <v>0.50452893644999997</v>
      </c>
      <c r="BZ153" s="293">
        <v>9.1953279604999993E-2</v>
      </c>
      <c r="CA153" s="293">
        <v>15.85818579016</v>
      </c>
      <c r="CB153" s="293">
        <v>1.5509446483740001</v>
      </c>
      <c r="CC153" s="293">
        <v>0</v>
      </c>
      <c r="CD153" s="293">
        <v>12.456229765562</v>
      </c>
      <c r="CE153" s="294">
        <v>0</v>
      </c>
      <c r="CF153" s="293">
        <v>1.7720709642719998</v>
      </c>
      <c r="CG153" s="293">
        <v>0</v>
      </c>
      <c r="CH153" s="293">
        <v>24.277350664404999</v>
      </c>
      <c r="CI153" s="293">
        <v>0</v>
      </c>
      <c r="CJ153" s="293">
        <v>13.187791715238999</v>
      </c>
      <c r="CK153" s="293">
        <v>0</v>
      </c>
      <c r="CL153" s="293">
        <v>3.1359618529199995</v>
      </c>
      <c r="CM153" s="293">
        <v>18.798441418391999</v>
      </c>
      <c r="CN153" s="293">
        <v>0.34932004166400005</v>
      </c>
      <c r="CO153" s="293">
        <v>0.85506566784197013</v>
      </c>
      <c r="CP153" s="295">
        <v>19.123361426614217</v>
      </c>
      <c r="CQ153" s="293">
        <v>0</v>
      </c>
      <c r="CR153" s="293">
        <v>0.5883615519562494</v>
      </c>
      <c r="CS153" s="293">
        <v>0</v>
      </c>
      <c r="CT153" s="293"/>
      <c r="CU153" s="293"/>
      <c r="CV153" s="293"/>
      <c r="CW153" s="293"/>
      <c r="CX153" s="293"/>
      <c r="CY153" s="293"/>
      <c r="CZ153" s="293"/>
      <c r="DA153" s="293"/>
      <c r="DB153" s="1288"/>
      <c r="DC153" s="293"/>
      <c r="DD153" s="606"/>
      <c r="DE153" s="606"/>
      <c r="DF153" s="606"/>
      <c r="DG153" s="606"/>
      <c r="DH153" s="606"/>
      <c r="DI153" s="293"/>
      <c r="DJ153" s="293"/>
      <c r="DK153" s="293"/>
      <c r="DL153" s="293"/>
      <c r="DM153" s="293"/>
      <c r="DN153" s="295"/>
      <c r="DO153" s="293"/>
      <c r="DP153" s="293"/>
      <c r="DQ153" s="293"/>
      <c r="DR153" s="293"/>
      <c r="DS153" s="293"/>
      <c r="DT153" s="293"/>
      <c r="DU153" s="293"/>
      <c r="DV153" s="293"/>
      <c r="DW153" s="293"/>
      <c r="DX153" s="293"/>
      <c r="DY153" s="293"/>
      <c r="DZ153" s="295"/>
      <c r="EA153" s="293"/>
      <c r="EB153" s="293"/>
      <c r="EC153" s="293"/>
      <c r="ED153" s="293"/>
      <c r="EE153" s="293"/>
      <c r="EF153" s="293"/>
      <c r="EG153" s="293"/>
      <c r="EH153" s="293"/>
      <c r="EI153" s="293"/>
      <c r="EJ153" s="293"/>
      <c r="EK153" s="293"/>
      <c r="EL153" s="295"/>
      <c r="EM153" s="1080"/>
      <c r="EN153" s="1080"/>
      <c r="EO153" s="1080"/>
      <c r="EP153" s="1080"/>
      <c r="EQ153" s="1080"/>
      <c r="ER153" s="1080"/>
      <c r="ES153" s="1080"/>
      <c r="ET153" s="1080"/>
      <c r="EU153" s="1080"/>
      <c r="EV153" s="1080"/>
      <c r="EW153" s="1080"/>
      <c r="EX153" s="1340"/>
      <c r="EY153" s="1080"/>
      <c r="EZ153" s="1080"/>
      <c r="FA153" s="1080"/>
      <c r="FB153" s="1080"/>
      <c r="FC153" s="1080"/>
      <c r="FD153" s="1080"/>
      <c r="FE153" s="1080"/>
      <c r="FF153" s="1080"/>
      <c r="FG153" s="1080"/>
      <c r="FH153" s="1080"/>
      <c r="FI153" s="1080"/>
      <c r="FJ153" s="1340"/>
      <c r="FK153" s="1080"/>
      <c r="FL153" s="1080"/>
      <c r="FM153" s="1080"/>
      <c r="FN153" s="1080"/>
      <c r="FO153" s="1080"/>
      <c r="FP153" s="1080"/>
      <c r="FQ153" s="293"/>
      <c r="FR153" s="293"/>
      <c r="FS153" s="293"/>
      <c r="FT153" s="293"/>
      <c r="FU153" s="293"/>
      <c r="FV153" s="293"/>
      <c r="FW153" s="293">
        <v>0</v>
      </c>
      <c r="FX153" s="293">
        <v>0.13815066190961411</v>
      </c>
      <c r="FY153" s="293">
        <v>39.901259719999999</v>
      </c>
      <c r="FZ153" s="293">
        <v>0</v>
      </c>
      <c r="GA153" s="293">
        <v>42.270651444000002</v>
      </c>
      <c r="GB153" s="293">
        <v>0</v>
      </c>
      <c r="GC153" s="293">
        <v>0</v>
      </c>
      <c r="GD153" s="293">
        <v>0</v>
      </c>
      <c r="GE153" s="293">
        <v>0</v>
      </c>
      <c r="GF153" s="293">
        <v>23.460708399999998</v>
      </c>
      <c r="GG153" s="293">
        <v>0</v>
      </c>
      <c r="GH153" s="293">
        <v>37.967731396234953</v>
      </c>
      <c r="GI153" s="293">
        <v>0</v>
      </c>
      <c r="GJ153" s="293">
        <v>0</v>
      </c>
      <c r="GK153" s="293">
        <v>37.830943720766165</v>
      </c>
      <c r="GL153" s="293">
        <v>0</v>
      </c>
      <c r="GM153" s="293">
        <v>0</v>
      </c>
      <c r="GN153" s="293">
        <v>39.097062721909495</v>
      </c>
      <c r="GO153" s="293">
        <v>0</v>
      </c>
      <c r="GP153" s="293">
        <v>0</v>
      </c>
      <c r="GQ153" s="293">
        <v>42.755879130666671</v>
      </c>
      <c r="GR153" s="293">
        <v>0</v>
      </c>
      <c r="GS153" s="293">
        <v>0</v>
      </c>
      <c r="GT153" s="293">
        <v>26.769587676048875</v>
      </c>
      <c r="GU153" s="293">
        <v>0</v>
      </c>
      <c r="GV153" s="293">
        <v>8.3532185703925492</v>
      </c>
      <c r="GW153" s="293">
        <v>69.735063820311296</v>
      </c>
      <c r="GX153" s="293">
        <v>0</v>
      </c>
      <c r="GY153" s="293">
        <v>0</v>
      </c>
      <c r="GZ153" s="293">
        <v>64.860627565871624</v>
      </c>
      <c r="HA153" s="293">
        <v>0</v>
      </c>
      <c r="HB153" s="293">
        <v>7.6904207837038214</v>
      </c>
      <c r="HC153" s="293">
        <v>19.23650826862179</v>
      </c>
      <c r="HD153" s="293">
        <v>35.777865754843894</v>
      </c>
      <c r="HE153" s="293">
        <v>3.9089259962722953</v>
      </c>
      <c r="HF153" s="293">
        <v>0</v>
      </c>
      <c r="HG153" s="293">
        <v>24.893886267105898</v>
      </c>
      <c r="HH153" s="293">
        <v>0</v>
      </c>
      <c r="HI153" s="293">
        <v>57.657934019426094</v>
      </c>
      <c r="HJ153" s="293">
        <v>0</v>
      </c>
      <c r="HK153" s="293">
        <v>0</v>
      </c>
      <c r="HL153" s="293">
        <v>54.350666155159878</v>
      </c>
      <c r="HM153" s="293">
        <v>0</v>
      </c>
      <c r="HN153" s="293">
        <v>0</v>
      </c>
      <c r="HO153" s="293">
        <v>0</v>
      </c>
      <c r="HP153" s="293">
        <v>35.424263524999994</v>
      </c>
      <c r="HQ153" s="293">
        <v>0</v>
      </c>
      <c r="HR153" s="293">
        <v>24.153517471054016</v>
      </c>
      <c r="HS153" s="293">
        <v>0</v>
      </c>
      <c r="HT153" s="293">
        <v>13.009523317425003</v>
      </c>
      <c r="HU153" s="293">
        <v>56.9155074000208</v>
      </c>
      <c r="HV153" s="293">
        <v>0</v>
      </c>
      <c r="HW153" s="293">
        <v>0</v>
      </c>
      <c r="HX153" s="293">
        <v>0</v>
      </c>
      <c r="HY153" s="293"/>
      <c r="IH153" s="279">
        <f t="shared" ref="IH153:IH168" si="25">+SUM(DC153:DH153)</f>
        <v>0</v>
      </c>
      <c r="II153" s="279">
        <f t="shared" ref="II153:II168" si="26">+SUM(DI153:DN153)</f>
        <v>0</v>
      </c>
      <c r="IJ153" s="323">
        <f t="shared" ref="IJ153:IJ181" si="27">IH153+II153</f>
        <v>0</v>
      </c>
      <c r="IK153" s="279">
        <f t="shared" ref="IK153:IK168" si="28">SUM(DO153:DT153)</f>
        <v>0</v>
      </c>
      <c r="KT153" s="280"/>
    </row>
    <row r="154" spans="1:307" outlineLevel="1">
      <c r="B154" s="96" t="s">
        <v>338</v>
      </c>
      <c r="D154" s="304" t="s">
        <v>389</v>
      </c>
      <c r="E154" s="305"/>
      <c r="F154" s="305"/>
      <c r="G154" s="293"/>
      <c r="H154" s="293"/>
      <c r="I154" s="293"/>
      <c r="J154" s="293"/>
      <c r="K154" s="293"/>
      <c r="L154" s="293"/>
      <c r="M154" s="293"/>
      <c r="N154" s="293"/>
      <c r="O154" s="293"/>
      <c r="P154" s="293"/>
      <c r="Q154" s="293"/>
      <c r="R154" s="293"/>
      <c r="S154" s="293"/>
      <c r="T154" s="293"/>
      <c r="U154" s="293"/>
      <c r="V154" s="293"/>
      <c r="W154" s="293"/>
      <c r="X154" s="293"/>
      <c r="Y154" s="293"/>
      <c r="Z154" s="293"/>
      <c r="AA154" s="293"/>
      <c r="AB154" s="293"/>
      <c r="AC154" s="293"/>
      <c r="AD154" s="293"/>
      <c r="AE154" s="293"/>
      <c r="AF154" s="293"/>
      <c r="AG154" s="293"/>
      <c r="AH154" s="293"/>
      <c r="AI154" s="293"/>
      <c r="AJ154" s="293"/>
      <c r="AK154" s="293"/>
      <c r="AL154" s="293"/>
      <c r="AM154" s="293"/>
      <c r="AN154" s="293"/>
      <c r="AO154" s="293">
        <v>0</v>
      </c>
      <c r="AP154" s="293">
        <v>0</v>
      </c>
      <c r="AQ154" s="293">
        <v>0</v>
      </c>
      <c r="AR154" s="293">
        <v>10.258084550587698</v>
      </c>
      <c r="AS154" s="293">
        <v>0.15913016074</v>
      </c>
      <c r="AT154" s="293">
        <v>11.989387799760001</v>
      </c>
      <c r="AU154" s="293">
        <v>0</v>
      </c>
      <c r="AV154" s="293">
        <v>0</v>
      </c>
      <c r="AW154" s="293">
        <v>1.2212008407899999</v>
      </c>
      <c r="AX154" s="293">
        <v>11.04573261212</v>
      </c>
      <c r="AY154" s="293">
        <v>0.61673986191999997</v>
      </c>
      <c r="AZ154" s="293">
        <v>9.7311465000000013</v>
      </c>
      <c r="BA154" s="293">
        <v>0</v>
      </c>
      <c r="BB154" s="293">
        <v>5.3864999999999996E-2</v>
      </c>
      <c r="BC154" s="293">
        <v>0</v>
      </c>
      <c r="BD154" s="293">
        <v>13.671562335999999</v>
      </c>
      <c r="BE154" s="293">
        <v>0</v>
      </c>
      <c r="BF154" s="293">
        <v>11.032064242422001</v>
      </c>
      <c r="BG154" s="293">
        <v>0</v>
      </c>
      <c r="BH154" s="293">
        <v>0</v>
      </c>
      <c r="BI154" s="293">
        <v>0</v>
      </c>
      <c r="BJ154" s="293">
        <v>13.298472160334999</v>
      </c>
      <c r="BK154" s="293">
        <v>0</v>
      </c>
      <c r="BL154" s="293">
        <v>11.752958702736001</v>
      </c>
      <c r="BM154" s="293">
        <v>0</v>
      </c>
      <c r="BN154" s="293">
        <v>5.2094767287999992E-2</v>
      </c>
      <c r="BO154" s="293">
        <v>11.973410064669</v>
      </c>
      <c r="BP154" s="293">
        <v>0</v>
      </c>
      <c r="BQ154" s="293">
        <v>0</v>
      </c>
      <c r="BR154" s="293">
        <v>11.988226891799998</v>
      </c>
      <c r="BS154" s="293">
        <v>2.6731806631600001</v>
      </c>
      <c r="BT154" s="293">
        <v>0</v>
      </c>
      <c r="BU154" s="293">
        <v>0.10960072199999998</v>
      </c>
      <c r="BV154" s="293">
        <v>16.116490406484999</v>
      </c>
      <c r="BW154" s="293">
        <v>0</v>
      </c>
      <c r="BX154" s="293">
        <v>13.101687593249999</v>
      </c>
      <c r="BY154" s="293">
        <v>0.50452893644999997</v>
      </c>
      <c r="BZ154" s="293">
        <v>9.1953279604999993E-2</v>
      </c>
      <c r="CA154" s="293">
        <v>15.85818579016</v>
      </c>
      <c r="CB154" s="293">
        <v>1.5509446483740001</v>
      </c>
      <c r="CC154" s="293">
        <v>0</v>
      </c>
      <c r="CD154" s="293">
        <v>12.456229765562</v>
      </c>
      <c r="CE154" s="294">
        <v>0</v>
      </c>
      <c r="CF154" s="293">
        <v>1.7720709642719998</v>
      </c>
      <c r="CG154" s="293">
        <v>0</v>
      </c>
      <c r="CH154" s="293">
        <v>24.277350664404999</v>
      </c>
      <c r="CI154" s="293">
        <v>0</v>
      </c>
      <c r="CJ154" s="293">
        <v>13.187791715238999</v>
      </c>
      <c r="CK154" s="293">
        <v>0</v>
      </c>
      <c r="CL154" s="293">
        <v>3.1359618529199995</v>
      </c>
      <c r="CM154" s="293">
        <v>18.798441418391999</v>
      </c>
      <c r="CN154" s="293">
        <v>0.34932004166400005</v>
      </c>
      <c r="CO154" s="293">
        <v>0.85506566784197013</v>
      </c>
      <c r="CP154" s="295">
        <v>19.123361426614217</v>
      </c>
      <c r="CQ154" s="293">
        <v>0</v>
      </c>
      <c r="CR154" s="293">
        <v>0.5883615519562494</v>
      </c>
      <c r="CS154" s="293">
        <v>0</v>
      </c>
      <c r="CT154" s="293"/>
      <c r="CU154" s="293"/>
      <c r="CV154" s="293"/>
      <c r="CW154" s="293"/>
      <c r="CX154" s="293"/>
      <c r="CY154" s="293"/>
      <c r="CZ154" s="293"/>
      <c r="DA154" s="293"/>
      <c r="DB154" s="1288"/>
      <c r="DC154" s="293"/>
      <c r="DD154" s="293"/>
      <c r="DE154" s="293"/>
      <c r="DF154" s="293"/>
      <c r="DG154" s="293"/>
      <c r="DH154" s="293"/>
      <c r="DI154" s="293"/>
      <c r="DJ154" s="293"/>
      <c r="DK154" s="293"/>
      <c r="DL154" s="293"/>
      <c r="DM154" s="293"/>
      <c r="DN154" s="295"/>
      <c r="DO154" s="293"/>
      <c r="DP154" s="293"/>
      <c r="DQ154" s="293"/>
      <c r="DR154" s="293"/>
      <c r="DS154" s="293"/>
      <c r="DT154" s="293"/>
      <c r="DU154" s="293"/>
      <c r="DV154" s="293"/>
      <c r="DW154" s="293"/>
      <c r="DX154" s="293"/>
      <c r="DY154" s="293"/>
      <c r="DZ154" s="295"/>
      <c r="EA154" s="293"/>
      <c r="EB154" s="293"/>
      <c r="EC154" s="293"/>
      <c r="ED154" s="293"/>
      <c r="EE154" s="293"/>
      <c r="EF154" s="293"/>
      <c r="EG154" s="293"/>
      <c r="EH154" s="293"/>
      <c r="EI154" s="293"/>
      <c r="EJ154" s="293"/>
      <c r="EK154" s="293"/>
      <c r="EL154" s="295"/>
      <c r="EM154" s="1080"/>
      <c r="EN154" s="1080"/>
      <c r="EO154" s="1080"/>
      <c r="EP154" s="1080"/>
      <c r="EQ154" s="1080"/>
      <c r="ER154" s="1080"/>
      <c r="ES154" s="1080"/>
      <c r="ET154" s="1080"/>
      <c r="EU154" s="1080"/>
      <c r="EV154" s="1080"/>
      <c r="EW154" s="1080"/>
      <c r="EX154" s="1340"/>
      <c r="EY154" s="1080"/>
      <c r="EZ154" s="1080"/>
      <c r="FA154" s="1080"/>
      <c r="FB154" s="1080"/>
      <c r="FC154" s="1080"/>
      <c r="FD154" s="1080"/>
      <c r="FE154" s="1080"/>
      <c r="FF154" s="1080"/>
      <c r="FG154" s="1080"/>
      <c r="FH154" s="1080"/>
      <c r="FI154" s="1080"/>
      <c r="FJ154" s="1340"/>
      <c r="FK154" s="1080"/>
      <c r="FL154" s="1080"/>
      <c r="FM154" s="1080"/>
      <c r="FN154" s="1080"/>
      <c r="FO154" s="1080"/>
      <c r="FP154" s="1080"/>
      <c r="FQ154" s="293"/>
      <c r="FR154" s="293"/>
      <c r="FS154" s="293"/>
      <c r="FT154" s="293"/>
      <c r="FU154" s="293"/>
      <c r="FV154" s="293"/>
      <c r="FW154" s="293">
        <v>0</v>
      </c>
      <c r="FX154" s="293">
        <v>0.13815066190961411</v>
      </c>
      <c r="FY154" s="293">
        <v>39.901259719999999</v>
      </c>
      <c r="FZ154" s="293">
        <v>0</v>
      </c>
      <c r="GA154" s="293">
        <v>42.270651444000002</v>
      </c>
      <c r="GB154" s="293">
        <v>0</v>
      </c>
      <c r="GC154" s="293">
        <v>0</v>
      </c>
      <c r="GD154" s="293">
        <v>0</v>
      </c>
      <c r="GE154" s="293">
        <v>0</v>
      </c>
      <c r="GF154" s="293">
        <v>23.460708399999998</v>
      </c>
      <c r="GG154" s="293">
        <v>0</v>
      </c>
      <c r="GH154" s="293">
        <v>37.967731396234953</v>
      </c>
      <c r="GI154" s="293">
        <v>0</v>
      </c>
      <c r="GJ154" s="293">
        <v>0</v>
      </c>
      <c r="GK154" s="293">
        <v>37.830943720766165</v>
      </c>
      <c r="GL154" s="293">
        <v>0</v>
      </c>
      <c r="GM154" s="293">
        <v>0</v>
      </c>
      <c r="GN154" s="293">
        <v>39.097062721909495</v>
      </c>
      <c r="GO154" s="293">
        <v>0</v>
      </c>
      <c r="GP154" s="293">
        <v>0</v>
      </c>
      <c r="GQ154" s="293">
        <v>42.755879130666671</v>
      </c>
      <c r="GR154" s="293">
        <v>0</v>
      </c>
      <c r="GS154" s="293">
        <v>0</v>
      </c>
      <c r="GT154" s="293">
        <v>26.769587676048875</v>
      </c>
      <c r="GU154" s="293">
        <v>0</v>
      </c>
      <c r="GV154" s="293">
        <v>8.3532185703925492</v>
      </c>
      <c r="GW154" s="293">
        <v>69.735063820311296</v>
      </c>
      <c r="GX154" s="293">
        <v>0</v>
      </c>
      <c r="GY154" s="293">
        <v>0</v>
      </c>
      <c r="GZ154" s="293">
        <v>64.860627565871624</v>
      </c>
      <c r="HA154" s="293">
        <v>0</v>
      </c>
      <c r="HB154" s="293">
        <v>7.6904207837038214</v>
      </c>
      <c r="HC154" s="293">
        <v>19.23650826862179</v>
      </c>
      <c r="HD154" s="293">
        <v>35.777865754843894</v>
      </c>
      <c r="HE154" s="293">
        <v>3.9089259962722953</v>
      </c>
      <c r="HF154" s="293">
        <v>0</v>
      </c>
      <c r="HG154" s="293">
        <v>24.893886267105898</v>
      </c>
      <c r="HH154" s="293">
        <v>0</v>
      </c>
      <c r="HI154" s="293">
        <v>57.657934019426094</v>
      </c>
      <c r="HJ154" s="293">
        <v>0</v>
      </c>
      <c r="HK154" s="293">
        <v>0</v>
      </c>
      <c r="HL154" s="293">
        <v>54.350666155159878</v>
      </c>
      <c r="HM154" s="293">
        <v>0</v>
      </c>
      <c r="HN154" s="293">
        <v>0</v>
      </c>
      <c r="HO154" s="293">
        <v>0</v>
      </c>
      <c r="HP154" s="293">
        <v>35.424263524999994</v>
      </c>
      <c r="HQ154" s="293">
        <v>0</v>
      </c>
      <c r="HR154" s="293">
        <v>24.153517471054016</v>
      </c>
      <c r="HS154" s="293">
        <v>0</v>
      </c>
      <c r="HT154" s="293">
        <v>13.009523317425003</v>
      </c>
      <c r="HU154" s="293">
        <v>56.9155074000208</v>
      </c>
      <c r="HV154" s="293">
        <v>0</v>
      </c>
      <c r="HW154" s="293">
        <v>0</v>
      </c>
      <c r="HX154" s="293">
        <v>0</v>
      </c>
      <c r="HY154" s="293"/>
      <c r="IH154" s="279">
        <f t="shared" si="25"/>
        <v>0</v>
      </c>
      <c r="II154" s="279">
        <f t="shared" si="26"/>
        <v>0</v>
      </c>
      <c r="IJ154" s="323">
        <f t="shared" si="27"/>
        <v>0</v>
      </c>
      <c r="IK154" s="279">
        <f t="shared" si="28"/>
        <v>0</v>
      </c>
      <c r="KT154" s="280"/>
    </row>
    <row r="155" spans="1:307" outlineLevel="1">
      <c r="A155" s="96" t="s">
        <v>3710</v>
      </c>
      <c r="B155" s="96" t="s">
        <v>338</v>
      </c>
      <c r="D155" s="306" t="s">
        <v>392</v>
      </c>
      <c r="E155" s="305"/>
      <c r="F155" s="305"/>
      <c r="G155" s="293"/>
      <c r="H155" s="293"/>
      <c r="I155" s="293"/>
      <c r="J155" s="293"/>
      <c r="K155" s="293"/>
      <c r="L155" s="293"/>
      <c r="M155" s="293"/>
      <c r="N155" s="293"/>
      <c r="O155" s="293"/>
      <c r="P155" s="293"/>
      <c r="Q155" s="293"/>
      <c r="R155" s="293"/>
      <c r="S155" s="293"/>
      <c r="T155" s="293"/>
      <c r="U155" s="293"/>
      <c r="V155" s="293"/>
      <c r="W155" s="293"/>
      <c r="X155" s="293"/>
      <c r="Y155" s="29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c r="BN155" s="293"/>
      <c r="BO155" s="293"/>
      <c r="BP155" s="293"/>
      <c r="BQ155" s="293"/>
      <c r="BR155" s="293"/>
      <c r="BS155" s="293"/>
      <c r="BT155" s="293"/>
      <c r="BU155" s="293"/>
      <c r="BV155" s="293"/>
      <c r="BW155" s="293"/>
      <c r="BX155" s="293"/>
      <c r="BY155" s="293"/>
      <c r="BZ155" s="293"/>
      <c r="CA155" s="293"/>
      <c r="CB155" s="293"/>
      <c r="CC155" s="293"/>
      <c r="CD155" s="293"/>
      <c r="CE155" s="294"/>
      <c r="CF155" s="293"/>
      <c r="CG155" s="293"/>
      <c r="CH155" s="293"/>
      <c r="CI155" s="293"/>
      <c r="CJ155" s="293"/>
      <c r="CK155" s="293"/>
      <c r="CL155" s="293"/>
      <c r="CM155" s="293"/>
      <c r="CN155" s="293"/>
      <c r="CO155" s="293"/>
      <c r="CP155" s="295"/>
      <c r="CQ155" s="293">
        <v>6.628232465</v>
      </c>
      <c r="CR155" s="293">
        <v>0.35177475499999999</v>
      </c>
      <c r="CS155" s="293">
        <v>0.48812085700000002</v>
      </c>
      <c r="CT155" s="293">
        <v>0</v>
      </c>
      <c r="CU155" s="293">
        <v>6.156019723</v>
      </c>
      <c r="CV155" s="293">
        <v>4.9142462480000004</v>
      </c>
      <c r="CW155" s="293">
        <v>0.177109971</v>
      </c>
      <c r="CX155" s="293">
        <v>0</v>
      </c>
      <c r="CY155" s="293">
        <v>0</v>
      </c>
      <c r="CZ155" s="293">
        <v>17.694384566</v>
      </c>
      <c r="DA155" s="293">
        <v>0.63421618499999999</v>
      </c>
      <c r="DB155" s="1288">
        <v>0.176363358</v>
      </c>
      <c r="DC155" s="293"/>
      <c r="DD155" s="293"/>
      <c r="DE155" s="293"/>
      <c r="DF155" s="293"/>
      <c r="DG155" s="293"/>
      <c r="DH155" s="293"/>
      <c r="DI155" s="293"/>
      <c r="DJ155" s="293"/>
      <c r="DK155" s="293"/>
      <c r="DL155" s="293"/>
      <c r="DM155" s="293"/>
      <c r="DN155" s="295"/>
      <c r="DO155" s="293"/>
      <c r="DP155" s="293"/>
      <c r="DQ155" s="293"/>
      <c r="DR155" s="293"/>
      <c r="DS155" s="293"/>
      <c r="DT155" s="293"/>
      <c r="DU155" s="293"/>
      <c r="DV155" s="293"/>
      <c r="DW155" s="293"/>
      <c r="DX155" s="293"/>
      <c r="DY155" s="293"/>
      <c r="DZ155" s="295"/>
      <c r="EA155" s="293"/>
      <c r="EB155" s="293"/>
      <c r="EC155" s="293"/>
      <c r="ED155" s="293"/>
      <c r="EE155" s="293"/>
      <c r="EF155" s="293"/>
      <c r="EG155" s="293"/>
      <c r="EH155" s="293"/>
      <c r="EI155" s="293"/>
      <c r="EJ155" s="293"/>
      <c r="EK155" s="293"/>
      <c r="EL155" s="295"/>
      <c r="EM155" s="1080"/>
      <c r="EN155" s="1080"/>
      <c r="EO155" s="1080"/>
      <c r="EP155" s="1080"/>
      <c r="EQ155" s="1080"/>
      <c r="ER155" s="1080"/>
      <c r="ES155" s="1080"/>
      <c r="ET155" s="1080"/>
      <c r="EU155" s="1080"/>
      <c r="EV155" s="1080"/>
      <c r="EW155" s="1080"/>
      <c r="EX155" s="1340"/>
      <c r="EY155" s="1080"/>
      <c r="EZ155" s="1080"/>
      <c r="FA155" s="1080"/>
      <c r="FB155" s="1080"/>
      <c r="FC155" s="1080"/>
      <c r="FD155" s="1080"/>
      <c r="FE155" s="1080"/>
      <c r="FF155" s="1080"/>
      <c r="FG155" s="1080"/>
      <c r="FH155" s="1080"/>
      <c r="FI155" s="1080"/>
      <c r="FJ155" s="1340"/>
      <c r="FK155" s="1080"/>
      <c r="FL155" s="1080"/>
      <c r="FM155" s="1080"/>
      <c r="FN155" s="1080"/>
      <c r="FO155" s="1080"/>
      <c r="FP155" s="1080"/>
      <c r="FQ155" s="293"/>
      <c r="FR155" s="293"/>
      <c r="FS155" s="293"/>
      <c r="FT155" s="293"/>
      <c r="FU155" s="293"/>
      <c r="FV155" s="293"/>
      <c r="FW155" s="293"/>
      <c r="FX155" s="293"/>
      <c r="FY155" s="293"/>
      <c r="FZ155" s="293"/>
      <c r="GA155" s="293"/>
      <c r="GB155" s="293"/>
      <c r="GC155" s="293"/>
      <c r="GD155" s="293"/>
      <c r="GE155" s="293"/>
      <c r="GF155" s="293"/>
      <c r="GG155" s="293"/>
      <c r="GH155" s="293"/>
      <c r="GI155" s="293"/>
      <c r="GJ155" s="293"/>
      <c r="GK155" s="293"/>
      <c r="GL155" s="293"/>
      <c r="GM155" s="293"/>
      <c r="GN155" s="293"/>
      <c r="GO155" s="293"/>
      <c r="GP155" s="293"/>
      <c r="GQ155" s="293"/>
      <c r="GR155" s="293"/>
      <c r="GS155" s="293"/>
      <c r="GT155" s="293"/>
      <c r="GU155" s="293"/>
      <c r="GV155" s="293"/>
      <c r="GW155" s="293"/>
      <c r="GX155" s="293"/>
      <c r="GY155" s="293"/>
      <c r="GZ155" s="293"/>
      <c r="HA155" s="293"/>
      <c r="HB155" s="293"/>
      <c r="HC155" s="293"/>
      <c r="HD155" s="293"/>
      <c r="HE155" s="293"/>
      <c r="HF155" s="293"/>
      <c r="HG155" s="293"/>
      <c r="HH155" s="293"/>
      <c r="HI155" s="293"/>
      <c r="HJ155" s="293"/>
      <c r="HK155" s="293"/>
      <c r="HL155" s="293"/>
      <c r="HM155" s="293"/>
      <c r="HN155" s="293"/>
      <c r="HO155" s="293"/>
      <c r="HP155" s="293"/>
      <c r="HQ155" s="293"/>
      <c r="HR155" s="293"/>
      <c r="HS155" s="293"/>
      <c r="HT155" s="293"/>
      <c r="HU155" s="293"/>
      <c r="HV155" s="293"/>
      <c r="HW155" s="293"/>
      <c r="HX155" s="293"/>
      <c r="HY155" s="293"/>
      <c r="IG155" s="323"/>
      <c r="IH155" s="279">
        <f t="shared" si="25"/>
        <v>0</v>
      </c>
      <c r="II155" s="279">
        <f t="shared" si="26"/>
        <v>0</v>
      </c>
      <c r="IJ155" s="323">
        <f t="shared" si="27"/>
        <v>0</v>
      </c>
      <c r="IK155" s="279">
        <f t="shared" si="28"/>
        <v>0</v>
      </c>
      <c r="KT155" s="280"/>
    </row>
    <row r="156" spans="1:307" outlineLevel="1">
      <c r="D156" s="2084"/>
      <c r="E156" s="2085"/>
      <c r="F156" s="2085"/>
      <c r="CE156" s="793"/>
      <c r="DB156" s="279"/>
      <c r="DN156" s="279"/>
      <c r="DZ156" s="279"/>
      <c r="EA156" s="279"/>
      <c r="EB156" s="279"/>
      <c r="EC156" s="279"/>
      <c r="ED156" s="279"/>
      <c r="EE156" s="279"/>
      <c r="EF156" s="279"/>
      <c r="EG156" s="279"/>
      <c r="EH156" s="279"/>
      <c r="EI156" s="279"/>
      <c r="EJ156" s="279"/>
      <c r="EK156" s="279"/>
      <c r="EL156" s="279"/>
      <c r="EM156" s="1082"/>
      <c r="EN156" s="1082"/>
      <c r="EO156" s="1082"/>
      <c r="EP156" s="1082"/>
      <c r="EQ156" s="1082"/>
      <c r="ER156" s="1082"/>
      <c r="ES156" s="1082"/>
      <c r="ET156" s="1082"/>
      <c r="EU156" s="1082"/>
      <c r="EV156" s="1082"/>
      <c r="EW156" s="1082"/>
      <c r="EX156" s="1082"/>
      <c r="EY156" s="1082"/>
      <c r="EZ156" s="1082"/>
      <c r="FA156" s="1082"/>
      <c r="FB156" s="1082"/>
      <c r="FC156" s="1082"/>
      <c r="FD156" s="1082"/>
      <c r="FE156" s="1082"/>
      <c r="FF156" s="1082"/>
      <c r="FG156" s="1082"/>
      <c r="FH156" s="1082"/>
      <c r="FI156" s="1082"/>
      <c r="FJ156" s="1082"/>
      <c r="FK156" s="1082"/>
      <c r="FL156" s="1082"/>
      <c r="FM156" s="1082"/>
      <c r="FN156" s="1082"/>
      <c r="FO156" s="1082"/>
      <c r="FP156" s="1082"/>
      <c r="FQ156" s="279"/>
      <c r="FR156" s="279"/>
      <c r="FS156" s="279"/>
      <c r="FT156" s="279"/>
      <c r="FU156" s="279"/>
      <c r="FV156" s="279"/>
      <c r="FW156" s="279"/>
      <c r="FX156" s="279"/>
      <c r="FY156" s="279"/>
      <c r="FZ156" s="279"/>
      <c r="GA156" s="279"/>
      <c r="GB156" s="279"/>
      <c r="GC156" s="279"/>
      <c r="GD156" s="279"/>
      <c r="GE156" s="279"/>
      <c r="GF156" s="279"/>
      <c r="GG156" s="279"/>
      <c r="GH156" s="279"/>
      <c r="GI156" s="279"/>
      <c r="GJ156" s="279"/>
      <c r="GK156" s="279"/>
      <c r="GL156" s="279"/>
      <c r="GM156" s="279"/>
      <c r="GN156" s="279"/>
      <c r="GO156" s="279"/>
      <c r="GP156" s="279"/>
      <c r="GQ156" s="279"/>
      <c r="GR156" s="279"/>
      <c r="GS156" s="279"/>
      <c r="GT156" s="279"/>
      <c r="GU156" s="279"/>
      <c r="GV156" s="279"/>
      <c r="GW156" s="279"/>
      <c r="GX156" s="279"/>
      <c r="GY156" s="279"/>
      <c r="GZ156" s="279"/>
      <c r="HA156" s="279"/>
      <c r="HB156" s="279"/>
      <c r="HC156" s="279"/>
      <c r="HD156" s="279"/>
      <c r="HE156" s="279"/>
      <c r="HF156" s="279"/>
      <c r="HG156" s="279"/>
      <c r="HH156" s="279"/>
      <c r="HI156" s="279"/>
      <c r="HJ156" s="279"/>
      <c r="HK156" s="279"/>
      <c r="HL156" s="279"/>
      <c r="HM156" s="279"/>
      <c r="HN156" s="279"/>
      <c r="HO156" s="279"/>
      <c r="HP156" s="279"/>
      <c r="HQ156" s="279"/>
      <c r="HR156" s="279"/>
      <c r="HS156" s="279"/>
      <c r="HT156" s="279"/>
      <c r="HU156" s="279"/>
      <c r="HV156" s="279"/>
      <c r="HW156" s="279"/>
      <c r="HX156" s="279"/>
      <c r="HY156" s="279"/>
      <c r="HZ156" s="279"/>
      <c r="IG156" s="327"/>
      <c r="IJ156" s="327"/>
      <c r="KT156" s="280"/>
      <c r="KU156" s="279"/>
    </row>
    <row r="157" spans="1:307" outlineLevel="1">
      <c r="A157" s="279"/>
      <c r="B157" s="96" t="s">
        <v>338</v>
      </c>
      <c r="D157" s="303" t="s">
        <v>3709</v>
      </c>
      <c r="E157" s="303"/>
      <c r="F157" s="303"/>
      <c r="G157" s="293"/>
      <c r="H157" s="293"/>
      <c r="I157" s="293"/>
      <c r="J157" s="293"/>
      <c r="K157" s="293"/>
      <c r="L157" s="293"/>
      <c r="M157" s="293"/>
      <c r="N157" s="293"/>
      <c r="O157" s="293"/>
      <c r="P157" s="293"/>
      <c r="Q157" s="293"/>
      <c r="R157" s="293"/>
      <c r="S157" s="293"/>
      <c r="T157" s="293"/>
      <c r="U157" s="293"/>
      <c r="V157" s="293"/>
      <c r="W157" s="293"/>
      <c r="X157" s="293"/>
      <c r="Y157" s="293"/>
      <c r="Z157" s="293"/>
      <c r="AA157" s="293"/>
      <c r="AB157" s="293"/>
      <c r="AC157" s="293"/>
      <c r="AD157" s="293"/>
      <c r="AE157" s="293"/>
      <c r="AF157" s="293"/>
      <c r="AG157" s="293"/>
      <c r="AH157" s="293"/>
      <c r="AI157" s="293"/>
      <c r="AJ157" s="293"/>
      <c r="AK157" s="293"/>
      <c r="AL157" s="293"/>
      <c r="AM157" s="293"/>
      <c r="AN157" s="293"/>
      <c r="AO157" s="293">
        <v>21.675744537330001</v>
      </c>
      <c r="AP157" s="293">
        <v>0</v>
      </c>
      <c r="AQ157" s="293">
        <v>8.0356596319799998</v>
      </c>
      <c r="AR157" s="293">
        <v>2.4150306957900005</v>
      </c>
      <c r="AS157" s="293">
        <v>8.9496196241000003</v>
      </c>
      <c r="AT157" s="293">
        <v>85.167619765600008</v>
      </c>
      <c r="AU157" s="293">
        <v>6.14153916236</v>
      </c>
      <c r="AV157" s="293">
        <v>4.7562448724999999</v>
      </c>
      <c r="AW157" s="293">
        <v>57.62062131399</v>
      </c>
      <c r="AX157" s="293">
        <v>15.40371169945</v>
      </c>
      <c r="AY157" s="293">
        <v>6.369025112520001</v>
      </c>
      <c r="AZ157" s="293">
        <v>14.451079500000006</v>
      </c>
      <c r="BA157" s="293">
        <v>0</v>
      </c>
      <c r="BB157" s="293">
        <v>5.1101167219199999</v>
      </c>
      <c r="BC157" s="293">
        <v>0.82872739799999995</v>
      </c>
      <c r="BD157" s="293">
        <v>75.635872703500013</v>
      </c>
      <c r="BE157" s="293">
        <v>0.81968265459</v>
      </c>
      <c r="BF157" s="293">
        <v>2.0343625264379992</v>
      </c>
      <c r="BG157" s="293">
        <v>40.461332991999996</v>
      </c>
      <c r="BH157" s="293">
        <v>37.387765060865995</v>
      </c>
      <c r="BI157" s="293">
        <v>29.587642191762004</v>
      </c>
      <c r="BJ157" s="293">
        <v>16.079143867995001</v>
      </c>
      <c r="BK157" s="293">
        <v>4.4951420560369995</v>
      </c>
      <c r="BL157" s="293">
        <v>116.93752886304</v>
      </c>
      <c r="BM157" s="293">
        <v>1.7536108629</v>
      </c>
      <c r="BN157" s="293">
        <v>4.0100855749599997</v>
      </c>
      <c r="BO157" s="293">
        <v>0</v>
      </c>
      <c r="BP157" s="293">
        <v>0.18182937499999999</v>
      </c>
      <c r="BQ157" s="293">
        <v>0</v>
      </c>
      <c r="BR157" s="293">
        <v>24.205500877216</v>
      </c>
      <c r="BS157" s="293">
        <v>28.600580636487997</v>
      </c>
      <c r="BT157" s="293">
        <v>0</v>
      </c>
      <c r="BU157" s="293">
        <v>24.53686163775</v>
      </c>
      <c r="BV157" s="293">
        <v>40.644011394025</v>
      </c>
      <c r="BW157" s="293">
        <v>0</v>
      </c>
      <c r="BX157" s="293">
        <v>3.0755816996010013</v>
      </c>
      <c r="BY157" s="293">
        <v>0</v>
      </c>
      <c r="BZ157" s="293">
        <v>0</v>
      </c>
      <c r="CA157" s="293">
        <v>12.997303972659999</v>
      </c>
      <c r="CB157" s="293">
        <v>31.179930483504002</v>
      </c>
      <c r="CC157" s="293">
        <v>17.791806279455997</v>
      </c>
      <c r="CD157" s="293">
        <v>41.848099133955998</v>
      </c>
      <c r="CE157" s="294">
        <f>CE158+CE162</f>
        <v>10.649725516935002</v>
      </c>
      <c r="CF157" s="293">
        <f t="shared" ref="CF157:EQ157" si="29">CF158+CF162</f>
        <v>32.642625870288001</v>
      </c>
      <c r="CG157" s="293">
        <f t="shared" si="29"/>
        <v>42.376945760600009</v>
      </c>
      <c r="CH157" s="293">
        <f t="shared" si="29"/>
        <v>8.2179470510999995</v>
      </c>
      <c r="CI157" s="293">
        <f t="shared" si="29"/>
        <v>2.710436597478</v>
      </c>
      <c r="CJ157" s="293">
        <f t="shared" si="29"/>
        <v>39.538582284914</v>
      </c>
      <c r="CK157" s="293">
        <f t="shared" si="29"/>
        <v>0</v>
      </c>
      <c r="CL157" s="293">
        <f t="shared" si="29"/>
        <v>0</v>
      </c>
      <c r="CM157" s="293">
        <f t="shared" si="29"/>
        <v>0</v>
      </c>
      <c r="CN157" s="293">
        <f t="shared" si="29"/>
        <v>5.1416973700781536</v>
      </c>
      <c r="CO157" s="293">
        <f t="shared" si="29"/>
        <v>52.141693535999991</v>
      </c>
      <c r="CP157" s="295">
        <f t="shared" si="29"/>
        <v>27.121489127460006</v>
      </c>
      <c r="CQ157" s="293">
        <f t="shared" si="29"/>
        <v>17.574926579780833</v>
      </c>
      <c r="CR157" s="293">
        <f t="shared" si="29"/>
        <v>6.1004475483840262E-2</v>
      </c>
      <c r="CS157" s="293">
        <f t="shared" si="29"/>
        <v>18.410786140034833</v>
      </c>
      <c r="CT157" s="293">
        <f t="shared" si="29"/>
        <v>4.6459715500613363</v>
      </c>
      <c r="CU157" s="293">
        <f t="shared" si="29"/>
        <v>11.644424817805957</v>
      </c>
      <c r="CV157" s="293">
        <f t="shared" si="29"/>
        <v>119.78655682355489</v>
      </c>
      <c r="CW157" s="293">
        <f t="shared" si="29"/>
        <v>0.36886337475031195</v>
      </c>
      <c r="CX157" s="293">
        <f t="shared" si="29"/>
        <v>5.3526167373176399E-2</v>
      </c>
      <c r="CY157" s="293">
        <f t="shared" si="29"/>
        <v>17.62001316069103</v>
      </c>
      <c r="CZ157" s="293">
        <f t="shared" si="29"/>
        <v>60.34567509934778</v>
      </c>
      <c r="DA157" s="293">
        <f t="shared" si="29"/>
        <v>27.297930233327257</v>
      </c>
      <c r="DB157" s="1288">
        <f t="shared" si="29"/>
        <v>0.68446750797208367</v>
      </c>
      <c r="DC157" s="293">
        <f t="shared" si="29"/>
        <v>18.500350525863201</v>
      </c>
      <c r="DD157" s="606">
        <f t="shared" si="29"/>
        <v>6.1547591233999999</v>
      </c>
      <c r="DE157" s="606">
        <f t="shared" si="29"/>
        <v>66.73266095645694</v>
      </c>
      <c r="DF157" s="606">
        <f t="shared" si="29"/>
        <v>7.9536609263385412</v>
      </c>
      <c r="DG157" s="606">
        <f t="shared" si="29"/>
        <v>33.148919335843502</v>
      </c>
      <c r="DH157" s="606">
        <f t="shared" si="29"/>
        <v>93.009662103848314</v>
      </c>
      <c r="DI157" s="293">
        <f t="shared" si="29"/>
        <v>0.45384504142463566</v>
      </c>
      <c r="DJ157" s="293">
        <f t="shared" si="29"/>
        <v>19.09585495790553</v>
      </c>
      <c r="DK157" s="293">
        <f t="shared" si="29"/>
        <v>0.34657287472925635</v>
      </c>
      <c r="DL157" s="293">
        <f t="shared" si="29"/>
        <v>54.368579620764223</v>
      </c>
      <c r="DM157" s="293">
        <f t="shared" si="29"/>
        <v>0.23876751243749914</v>
      </c>
      <c r="DN157" s="295">
        <f t="shared" si="29"/>
        <v>43.464944561485638</v>
      </c>
      <c r="DO157" s="293">
        <f t="shared" si="29"/>
        <v>21.286172955145268</v>
      </c>
      <c r="DP157" s="293">
        <f t="shared" si="29"/>
        <v>6.15912446300276</v>
      </c>
      <c r="DQ157" s="293">
        <f t="shared" si="29"/>
        <v>19.640372701126118</v>
      </c>
      <c r="DR157" s="293">
        <f t="shared" si="29"/>
        <v>63.988309626310027</v>
      </c>
      <c r="DS157" s="293">
        <f t="shared" si="29"/>
        <v>16.246436408114487</v>
      </c>
      <c r="DT157" s="293">
        <f t="shared" si="29"/>
        <v>123.00636971201752</v>
      </c>
      <c r="DU157" s="293">
        <f t="shared" si="29"/>
        <v>15.925133723153333</v>
      </c>
      <c r="DV157" s="293">
        <f t="shared" si="29"/>
        <v>5.8007764595570457E-2</v>
      </c>
      <c r="DW157" s="293">
        <f t="shared" si="29"/>
        <v>10.541360405145587</v>
      </c>
      <c r="DX157" s="293">
        <f t="shared" si="29"/>
        <v>12.189416837913845</v>
      </c>
      <c r="DY157" s="293">
        <f t="shared" si="29"/>
        <v>26.004460128961934</v>
      </c>
      <c r="DZ157" s="295">
        <f t="shared" si="29"/>
        <v>52.957257360683563</v>
      </c>
      <c r="EA157" s="293">
        <f t="shared" si="29"/>
        <v>22.330994918999998</v>
      </c>
      <c r="EB157" s="293">
        <f t="shared" si="29"/>
        <v>26.009408972983003</v>
      </c>
      <c r="EC157" s="293">
        <f t="shared" si="29"/>
        <v>31.932406514</v>
      </c>
      <c r="ED157" s="293">
        <f t="shared" si="29"/>
        <v>20.389610578594009</v>
      </c>
      <c r="EE157" s="293">
        <f t="shared" si="29"/>
        <v>114.45800363939449</v>
      </c>
      <c r="EF157" s="293">
        <f t="shared" si="29"/>
        <v>48.730264540326587</v>
      </c>
      <c r="EG157" s="293">
        <f t="shared" si="29"/>
        <v>75.899911913071605</v>
      </c>
      <c r="EH157" s="293">
        <f t="shared" si="29"/>
        <v>3.5360454347946204</v>
      </c>
      <c r="EI157" s="293">
        <f t="shared" si="29"/>
        <v>15.814171582027823</v>
      </c>
      <c r="EJ157" s="293">
        <f t="shared" si="29"/>
        <v>20.966980069027823</v>
      </c>
      <c r="EK157" s="293">
        <f t="shared" si="29"/>
        <v>20.907444451085571</v>
      </c>
      <c r="EL157" s="295">
        <f t="shared" si="29"/>
        <v>0.7199081113879362</v>
      </c>
      <c r="EM157" s="1080">
        <f t="shared" si="29"/>
        <v>8.246678119256373</v>
      </c>
      <c r="EN157" s="1080">
        <f t="shared" si="29"/>
        <v>16.731777538332228</v>
      </c>
      <c r="EO157" s="1080">
        <f t="shared" si="29"/>
        <v>0.2027860917652563</v>
      </c>
      <c r="EP157" s="1080">
        <f t="shared" si="29"/>
        <v>4.4626873310898132</v>
      </c>
      <c r="EQ157" s="1080">
        <f t="shared" si="29"/>
        <v>2.350520414</v>
      </c>
      <c r="ER157" s="1080">
        <f t="shared" ref="ER157:HC157" si="30">ER158+ER162</f>
        <v>273.36408340739007</v>
      </c>
      <c r="ES157" s="1080">
        <f t="shared" si="30"/>
        <v>14.032465188655175</v>
      </c>
      <c r="ET157" s="1080">
        <f t="shared" si="30"/>
        <v>25.71504433300705</v>
      </c>
      <c r="EU157" s="1080">
        <f t="shared" si="30"/>
        <v>9.7848614553610838E-2</v>
      </c>
      <c r="EV157" s="1080">
        <f t="shared" si="30"/>
        <v>20.24748216487346</v>
      </c>
      <c r="EW157" s="1080">
        <f t="shared" si="30"/>
        <v>0</v>
      </c>
      <c r="EX157" s="1340">
        <f t="shared" si="30"/>
        <v>58.27166136130478</v>
      </c>
      <c r="EY157" s="1080">
        <f t="shared" si="30"/>
        <v>18.885914780479233</v>
      </c>
      <c r="EZ157" s="1080">
        <f t="shared" si="30"/>
        <v>0</v>
      </c>
      <c r="FA157" s="1080">
        <f t="shared" si="30"/>
        <v>31.470801211852738</v>
      </c>
      <c r="FB157" s="1080">
        <f t="shared" si="30"/>
        <v>168.37595167678001</v>
      </c>
      <c r="FC157" s="1080">
        <f t="shared" si="30"/>
        <v>22.189866116545279</v>
      </c>
      <c r="FD157" s="1080">
        <f t="shared" si="30"/>
        <v>164.21011575497926</v>
      </c>
      <c r="FE157" s="1080">
        <f t="shared" si="30"/>
        <v>46.971522584283328</v>
      </c>
      <c r="FF157" s="1080">
        <f t="shared" si="30"/>
        <v>22.45345349171096</v>
      </c>
      <c r="FG157" s="1080">
        <f t="shared" si="30"/>
        <v>0</v>
      </c>
      <c r="FH157" s="1080">
        <f t="shared" si="30"/>
        <v>128.846326009591</v>
      </c>
      <c r="FI157" s="1080">
        <f t="shared" si="30"/>
        <v>6.9664088161651447</v>
      </c>
      <c r="FJ157" s="1340">
        <f t="shared" si="30"/>
        <v>288.31155190718567</v>
      </c>
      <c r="FK157" s="1080">
        <f t="shared" si="30"/>
        <v>53.911287541610434</v>
      </c>
      <c r="FL157" s="1080">
        <f t="shared" si="30"/>
        <v>0</v>
      </c>
      <c r="FM157" s="1080">
        <f t="shared" si="30"/>
        <v>100.45145562418199</v>
      </c>
      <c r="FN157" s="1080">
        <f t="shared" si="30"/>
        <v>54.94660271284846</v>
      </c>
      <c r="FO157" s="1080">
        <f t="shared" si="30"/>
        <v>0.94926956868242574</v>
      </c>
      <c r="FP157" s="1080">
        <f t="shared" si="30"/>
        <v>149.31939714552135</v>
      </c>
      <c r="FQ157" s="293">
        <f t="shared" si="30"/>
        <v>0</v>
      </c>
      <c r="FR157" s="293">
        <f t="shared" si="30"/>
        <v>21.210518928999999</v>
      </c>
      <c r="FS157" s="293">
        <f t="shared" si="30"/>
        <v>151.88401113023866</v>
      </c>
      <c r="FT157" s="293">
        <f t="shared" si="30"/>
        <v>15.922043896410273</v>
      </c>
      <c r="FU157" s="293">
        <f t="shared" si="30"/>
        <v>0</v>
      </c>
      <c r="FV157" s="293">
        <f t="shared" si="30"/>
        <v>60.816901067366409</v>
      </c>
      <c r="FW157" s="293">
        <f t="shared" si="30"/>
        <v>3.9384139470886352</v>
      </c>
      <c r="FX157" s="293">
        <f t="shared" si="30"/>
        <v>43.244714305822797</v>
      </c>
      <c r="FY157" s="293">
        <f t="shared" si="30"/>
        <v>8.6165421105112401</v>
      </c>
      <c r="FZ157" s="293">
        <f t="shared" si="30"/>
        <v>43.290915858368407</v>
      </c>
      <c r="GA157" s="293">
        <f t="shared" si="30"/>
        <v>65.459425811531005</v>
      </c>
      <c r="GB157" s="293">
        <f t="shared" si="30"/>
        <v>29.998485683362848</v>
      </c>
      <c r="GC157" s="293">
        <f t="shared" si="30"/>
        <v>26.86065381506614</v>
      </c>
      <c r="GD157" s="293">
        <f t="shared" si="30"/>
        <v>7.6535444779132003E-2</v>
      </c>
      <c r="GE157" s="293">
        <f t="shared" si="30"/>
        <v>179.63044866260856</v>
      </c>
      <c r="GF157" s="293">
        <f t="shared" si="30"/>
        <v>52.253380758914801</v>
      </c>
      <c r="GG157" s="293">
        <f t="shared" si="30"/>
        <v>200.56915216428121</v>
      </c>
      <c r="GH157" s="293">
        <f t="shared" si="30"/>
        <v>11.284434098852344</v>
      </c>
      <c r="GI157" s="293">
        <f t="shared" si="30"/>
        <v>34.599357292207998</v>
      </c>
      <c r="GJ157" s="293">
        <f t="shared" si="30"/>
        <v>5.8055719126869532</v>
      </c>
      <c r="GK157" s="293">
        <f t="shared" si="30"/>
        <v>0</v>
      </c>
      <c r="GL157" s="293">
        <f t="shared" si="30"/>
        <v>26.454080976951012</v>
      </c>
      <c r="GM157" s="293">
        <f t="shared" si="30"/>
        <v>0</v>
      </c>
      <c r="GN157" s="293">
        <f t="shared" si="30"/>
        <v>28.613636723285829</v>
      </c>
      <c r="GO157" s="293">
        <f t="shared" si="30"/>
        <v>1.9507667940000002</v>
      </c>
      <c r="GP157" s="293">
        <f t="shared" si="30"/>
        <v>0</v>
      </c>
      <c r="GQ157" s="293">
        <f t="shared" si="30"/>
        <v>396.95168831449183</v>
      </c>
      <c r="GR157" s="293">
        <f t="shared" si="30"/>
        <v>175.93659568087031</v>
      </c>
      <c r="GS157" s="293">
        <f t="shared" si="30"/>
        <v>12.013056633015713</v>
      </c>
      <c r="GT157" s="293">
        <f t="shared" si="30"/>
        <v>163.06449431448081</v>
      </c>
      <c r="GU157" s="293">
        <f t="shared" si="30"/>
        <v>44.381690691399577</v>
      </c>
      <c r="GV157" s="293">
        <f t="shared" si="30"/>
        <v>13.326507725705227</v>
      </c>
      <c r="GW157" s="293">
        <f t="shared" si="30"/>
        <v>10.054948469184707</v>
      </c>
      <c r="GX157" s="293">
        <f t="shared" si="30"/>
        <v>14.899181219072448</v>
      </c>
      <c r="GY157" s="293">
        <f t="shared" si="30"/>
        <v>22.534442006360759</v>
      </c>
      <c r="GZ157" s="293">
        <f t="shared" si="30"/>
        <v>301.31731223550412</v>
      </c>
      <c r="HA157" s="293">
        <f t="shared" si="30"/>
        <v>14.411668654781918</v>
      </c>
      <c r="HB157" s="293">
        <f t="shared" si="30"/>
        <v>0</v>
      </c>
      <c r="HC157" s="293">
        <f t="shared" si="30"/>
        <v>18.546474486389702</v>
      </c>
      <c r="HD157" s="293">
        <f t="shared" ref="HD157:HX157" si="31">HD158+HD162</f>
        <v>86.90100067368617</v>
      </c>
      <c r="HE157" s="293">
        <f t="shared" si="31"/>
        <v>213.1108813409848</v>
      </c>
      <c r="HF157" s="293">
        <f t="shared" si="31"/>
        <v>306.17123510031865</v>
      </c>
      <c r="HG157" s="293">
        <f>HG158+HG162</f>
        <v>36.550565428489207</v>
      </c>
      <c r="HH157" s="293">
        <f t="shared" si="31"/>
        <v>0</v>
      </c>
      <c r="HI157" s="293">
        <f t="shared" si="31"/>
        <v>0</v>
      </c>
      <c r="HJ157" s="293">
        <f t="shared" si="31"/>
        <v>34.237850121589396</v>
      </c>
      <c r="HK157" s="293">
        <f t="shared" si="31"/>
        <v>55.276746268379114</v>
      </c>
      <c r="HL157" s="293">
        <f t="shared" si="31"/>
        <v>747.32261599579613</v>
      </c>
      <c r="HM157" s="293">
        <f t="shared" si="31"/>
        <v>14.90240277279772</v>
      </c>
      <c r="HN157" s="293">
        <f t="shared" si="31"/>
        <v>0</v>
      </c>
      <c r="HO157" s="293">
        <f t="shared" si="31"/>
        <v>2.2709806791681455</v>
      </c>
      <c r="HP157" s="293">
        <f t="shared" si="31"/>
        <v>8.0324517557107207</v>
      </c>
      <c r="HQ157" s="293">
        <f t="shared" si="31"/>
        <v>6.5565700777080353</v>
      </c>
      <c r="HR157" s="293">
        <f t="shared" si="31"/>
        <v>47.509229336775178</v>
      </c>
      <c r="HS157" s="293">
        <f t="shared" si="31"/>
        <v>58.493788976509862</v>
      </c>
      <c r="HT157" s="293">
        <f t="shared" si="31"/>
        <v>0</v>
      </c>
      <c r="HU157" s="293">
        <f t="shared" si="31"/>
        <v>1.5927125611999999</v>
      </c>
      <c r="HV157" s="293">
        <f t="shared" si="31"/>
        <v>28.003624305119995</v>
      </c>
      <c r="HW157" s="293">
        <f t="shared" si="31"/>
        <v>0</v>
      </c>
      <c r="HX157" s="293">
        <f t="shared" si="31"/>
        <v>0</v>
      </c>
      <c r="HY157" s="293"/>
      <c r="IH157" s="279">
        <f t="shared" si="25"/>
        <v>225.50001297175049</v>
      </c>
      <c r="II157" s="279">
        <f t="shared" si="26"/>
        <v>117.96856456874679</v>
      </c>
      <c r="IJ157" s="323">
        <f t="shared" si="27"/>
        <v>343.46857754049728</v>
      </c>
      <c r="IK157" s="279">
        <f t="shared" si="28"/>
        <v>250.3267858657162</v>
      </c>
      <c r="KT157" s="280"/>
    </row>
    <row r="158" spans="1:307" outlineLevel="1">
      <c r="B158" s="96" t="s">
        <v>338</v>
      </c>
      <c r="D158" s="304" t="s">
        <v>3706</v>
      </c>
      <c r="E158" s="305"/>
      <c r="F158" s="305"/>
      <c r="G158" s="293"/>
      <c r="H158" s="293"/>
      <c r="I158" s="293"/>
      <c r="J158" s="293"/>
      <c r="K158" s="293"/>
      <c r="L158" s="293"/>
      <c r="M158" s="293"/>
      <c r="N158" s="293"/>
      <c r="O158" s="293"/>
      <c r="P158" s="293"/>
      <c r="Q158" s="293"/>
      <c r="R158" s="293"/>
      <c r="S158" s="293"/>
      <c r="T158" s="293"/>
      <c r="U158" s="293"/>
      <c r="V158" s="293"/>
      <c r="W158" s="293"/>
      <c r="X158" s="293"/>
      <c r="Y158" s="293"/>
      <c r="Z158" s="293"/>
      <c r="AA158" s="293"/>
      <c r="AB158" s="293"/>
      <c r="AC158" s="293"/>
      <c r="AD158" s="293"/>
      <c r="AE158" s="293"/>
      <c r="AF158" s="293"/>
      <c r="AG158" s="293"/>
      <c r="AH158" s="293"/>
      <c r="AI158" s="293"/>
      <c r="AJ158" s="293"/>
      <c r="AK158" s="293"/>
      <c r="AL158" s="293"/>
      <c r="AM158" s="293"/>
      <c r="AN158" s="293"/>
      <c r="AO158" s="293">
        <v>21.675744537330001</v>
      </c>
      <c r="AP158" s="293">
        <v>0</v>
      </c>
      <c r="AQ158" s="293">
        <v>8.0356596319799998</v>
      </c>
      <c r="AR158" s="293">
        <v>2.4150306957900005</v>
      </c>
      <c r="AS158" s="293">
        <v>8.9496196241000003</v>
      </c>
      <c r="AT158" s="293">
        <v>85.167619765600008</v>
      </c>
      <c r="AU158" s="293">
        <v>6.14153916236</v>
      </c>
      <c r="AV158" s="293">
        <v>4.7562448724999999</v>
      </c>
      <c r="AW158" s="293">
        <v>57.62062131399</v>
      </c>
      <c r="AX158" s="293">
        <v>15.40371169945</v>
      </c>
      <c r="AY158" s="293">
        <v>6.369025112520001</v>
      </c>
      <c r="AZ158" s="293">
        <v>14.451079500000006</v>
      </c>
      <c r="BA158" s="293">
        <v>0</v>
      </c>
      <c r="BB158" s="293">
        <v>5.1101167219199999</v>
      </c>
      <c r="BC158" s="293">
        <v>0.82872739799999995</v>
      </c>
      <c r="BD158" s="293">
        <v>54.262021727500006</v>
      </c>
      <c r="BE158" s="293">
        <v>0.81968265459</v>
      </c>
      <c r="BF158" s="293">
        <v>2.0343625264379992</v>
      </c>
      <c r="BG158" s="293">
        <v>40.461332991999996</v>
      </c>
      <c r="BH158" s="293">
        <v>37.387765060865995</v>
      </c>
      <c r="BI158" s="293">
        <v>29.587642191762004</v>
      </c>
      <c r="BJ158" s="293">
        <v>16.079143867995001</v>
      </c>
      <c r="BK158" s="293">
        <v>4.4951420560369995</v>
      </c>
      <c r="BL158" s="293">
        <v>67.205851342128</v>
      </c>
      <c r="BM158" s="293">
        <v>1.7536108629</v>
      </c>
      <c r="BN158" s="293">
        <v>4.0100855749599997</v>
      </c>
      <c r="BO158" s="293">
        <v>0</v>
      </c>
      <c r="BP158" s="293">
        <v>0.18182937499999999</v>
      </c>
      <c r="BQ158" s="293">
        <v>0</v>
      </c>
      <c r="BR158" s="293">
        <v>24.205500877216</v>
      </c>
      <c r="BS158" s="293">
        <v>28.600580636487997</v>
      </c>
      <c r="BT158" s="293">
        <v>0</v>
      </c>
      <c r="BU158" s="293">
        <v>16.179806585249999</v>
      </c>
      <c r="BV158" s="293">
        <v>40.644011394025</v>
      </c>
      <c r="BW158" s="293">
        <v>0</v>
      </c>
      <c r="BX158" s="293">
        <v>3.0755816996010013</v>
      </c>
      <c r="BY158" s="293">
        <v>0</v>
      </c>
      <c r="BZ158" s="293">
        <v>0</v>
      </c>
      <c r="CA158" s="293">
        <v>12.997303972659999</v>
      </c>
      <c r="CB158" s="293">
        <v>31.179930483504002</v>
      </c>
      <c r="CC158" s="293">
        <v>17.791806279455997</v>
      </c>
      <c r="CD158" s="293">
        <v>32.721542591764994</v>
      </c>
      <c r="CE158" s="294">
        <v>10.649725516935002</v>
      </c>
      <c r="CF158" s="293">
        <v>32.642625870288001</v>
      </c>
      <c r="CG158" s="293">
        <v>42.376945760600009</v>
      </c>
      <c r="CH158" s="293">
        <v>8.2179470510999995</v>
      </c>
      <c r="CI158" s="293">
        <v>2.710436597478</v>
      </c>
      <c r="CJ158" s="293">
        <v>39.538582284914</v>
      </c>
      <c r="CK158" s="293">
        <v>0</v>
      </c>
      <c r="CL158" s="293">
        <v>0</v>
      </c>
      <c r="CM158" s="293">
        <v>0</v>
      </c>
      <c r="CN158" s="293">
        <v>5.1416973700781536</v>
      </c>
      <c r="CO158" s="293">
        <v>20.51012667949999</v>
      </c>
      <c r="CP158" s="295">
        <v>9.2667948451580067</v>
      </c>
      <c r="CQ158" s="293">
        <v>17.574926579780833</v>
      </c>
      <c r="CR158" s="293">
        <v>6.1004475483840262E-2</v>
      </c>
      <c r="CS158" s="293">
        <v>18.410786140034833</v>
      </c>
      <c r="CT158" s="293">
        <v>4.6459715500613363</v>
      </c>
      <c r="CU158" s="293">
        <v>11.644424817805957</v>
      </c>
      <c r="CV158" s="293">
        <v>63.104221270265896</v>
      </c>
      <c r="CW158" s="293">
        <v>0.36886337475031195</v>
      </c>
      <c r="CX158" s="293">
        <v>5.3526167373176399E-2</v>
      </c>
      <c r="CY158" s="293">
        <v>17.62001316069103</v>
      </c>
      <c r="CZ158" s="293">
        <v>13.437569677394109</v>
      </c>
      <c r="DA158" s="293">
        <v>27.297930233327257</v>
      </c>
      <c r="DB158" s="1288">
        <v>0.68446750797208367</v>
      </c>
      <c r="DC158" s="293">
        <v>18.500350525863201</v>
      </c>
      <c r="DD158" s="293">
        <v>6.1547591233999999</v>
      </c>
      <c r="DE158" s="293">
        <v>21.85774148142</v>
      </c>
      <c r="DF158" s="293">
        <v>0.27488678799999999</v>
      </c>
      <c r="DG158" s="293">
        <v>33.148919335843502</v>
      </c>
      <c r="DH158" s="293">
        <v>22.95045653645364</v>
      </c>
      <c r="DI158" s="293">
        <v>0.45384504142463566</v>
      </c>
      <c r="DJ158" s="293">
        <v>3.0471868759055294</v>
      </c>
      <c r="DK158" s="293">
        <v>0.34657287472925635</v>
      </c>
      <c r="DL158" s="293">
        <v>54.368579620764223</v>
      </c>
      <c r="DM158" s="293">
        <v>0.23876751243749914</v>
      </c>
      <c r="DN158" s="295">
        <v>43.464944561485638</v>
      </c>
      <c r="DO158" s="293">
        <v>21.286172955145268</v>
      </c>
      <c r="DP158" s="293">
        <v>6.15912446300276</v>
      </c>
      <c r="DQ158" s="293">
        <v>0.36889618367652649</v>
      </c>
      <c r="DR158" s="293">
        <v>0.3018041686636207</v>
      </c>
      <c r="DS158" s="293">
        <v>16.246436408114487</v>
      </c>
      <c r="DT158" s="293">
        <v>48.103489986870606</v>
      </c>
      <c r="DU158" s="293">
        <v>15.925133723153333</v>
      </c>
      <c r="DV158" s="293">
        <v>5.8007764595570457E-2</v>
      </c>
      <c r="DW158" s="293">
        <v>10.541360405145587</v>
      </c>
      <c r="DX158" s="293">
        <v>12.189416837913845</v>
      </c>
      <c r="DY158" s="293">
        <v>4.4983689553372501E-2</v>
      </c>
      <c r="DZ158" s="295">
        <v>52.957257360683563</v>
      </c>
      <c r="EA158" s="293">
        <v>22.330994918999998</v>
      </c>
      <c r="EB158" s="293">
        <v>8.3537451970000003</v>
      </c>
      <c r="EC158" s="293">
        <v>6.3896163980000003</v>
      </c>
      <c r="ED158" s="293">
        <v>14.13396304859401</v>
      </c>
      <c r="EE158" s="293">
        <v>9.6817075793944767</v>
      </c>
      <c r="EF158" s="293">
        <v>48.730264540326587</v>
      </c>
      <c r="EG158" s="293">
        <v>39.490286297071613</v>
      </c>
      <c r="EH158" s="293">
        <v>3.5360454347946204</v>
      </c>
      <c r="EI158" s="293">
        <v>15.814171582027823</v>
      </c>
      <c r="EJ158" s="293">
        <v>20.966980069027823</v>
      </c>
      <c r="EK158" s="293">
        <v>5.0993692085567657E-2</v>
      </c>
      <c r="EL158" s="295">
        <v>0.7199081113879362</v>
      </c>
      <c r="EM158" s="1080">
        <v>8.246678119256373</v>
      </c>
      <c r="EN158" s="1080">
        <v>16.731777538332228</v>
      </c>
      <c r="EO158" s="1080">
        <v>0.2027860917652563</v>
      </c>
      <c r="EP158" s="1080">
        <v>2.364907381854027E-2</v>
      </c>
      <c r="EQ158" s="1080">
        <v>2.350520414</v>
      </c>
      <c r="ER158" s="1080">
        <v>79.196747735965999</v>
      </c>
      <c r="ES158" s="1080">
        <v>14.032465188655175</v>
      </c>
      <c r="ET158" s="1080">
        <v>25.71504433300705</v>
      </c>
      <c r="EU158" s="1080">
        <v>9.7848614553610838E-2</v>
      </c>
      <c r="EV158" s="1080">
        <v>14.861680736767459</v>
      </c>
      <c r="EW158" s="1080">
        <v>0</v>
      </c>
      <c r="EX158" s="1340">
        <v>0.21532801592438158</v>
      </c>
      <c r="EY158" s="1080">
        <v>18.885914780479233</v>
      </c>
      <c r="EZ158" s="1080">
        <v>0</v>
      </c>
      <c r="FA158" s="1080">
        <v>9.608507644444737</v>
      </c>
      <c r="FB158" s="1080">
        <v>0</v>
      </c>
      <c r="FC158" s="1080">
        <v>9.2111639751582803</v>
      </c>
      <c r="FD158" s="1080">
        <v>52.863934318023269</v>
      </c>
      <c r="FE158" s="1080">
        <v>0</v>
      </c>
      <c r="FF158" s="1080">
        <v>17.942072601710958</v>
      </c>
      <c r="FG158" s="1080">
        <v>0</v>
      </c>
      <c r="FH158" s="1080">
        <v>26.339455367801001</v>
      </c>
      <c r="FI158" s="1080">
        <v>0</v>
      </c>
      <c r="FJ158" s="1340">
        <v>42.879513273999997</v>
      </c>
      <c r="FK158" s="1080">
        <v>0</v>
      </c>
      <c r="FL158" s="1080">
        <v>0</v>
      </c>
      <c r="FM158" s="1080">
        <v>55.78206542418198</v>
      </c>
      <c r="FN158" s="1080">
        <v>35.485712861354926</v>
      </c>
      <c r="FO158" s="1080">
        <v>0</v>
      </c>
      <c r="FP158" s="1080">
        <v>28.462910114962668</v>
      </c>
      <c r="FQ158" s="293">
        <v>0</v>
      </c>
      <c r="FR158" s="293">
        <v>0</v>
      </c>
      <c r="FS158" s="293">
        <v>74.49219628223868</v>
      </c>
      <c r="FT158" s="293">
        <v>15.214705663450417</v>
      </c>
      <c r="FU158" s="293">
        <v>0</v>
      </c>
      <c r="FV158" s="293">
        <v>56.902254674493491</v>
      </c>
      <c r="FW158" s="293">
        <v>1.2382475E-2</v>
      </c>
      <c r="FX158" s="293">
        <v>43.244714305822797</v>
      </c>
      <c r="FY158" s="293">
        <v>8.6165421105112401</v>
      </c>
      <c r="FZ158" s="293">
        <v>17.063186750203002</v>
      </c>
      <c r="GA158" s="293">
        <v>19.632604848192209</v>
      </c>
      <c r="GB158" s="293">
        <v>29.998485683362848</v>
      </c>
      <c r="GC158" s="293">
        <v>18.56186430122964</v>
      </c>
      <c r="GD158" s="293">
        <v>7.6535444779132003E-2</v>
      </c>
      <c r="GE158" s="293">
        <v>94.795115429550336</v>
      </c>
      <c r="GF158" s="293">
        <v>31.820768096170202</v>
      </c>
      <c r="GG158" s="293">
        <v>178.58328382937401</v>
      </c>
      <c r="GH158" s="293">
        <v>4.7254106244460603</v>
      </c>
      <c r="GI158" s="293">
        <v>31.716082279583937</v>
      </c>
      <c r="GJ158" s="293">
        <v>2.9643453900840777</v>
      </c>
      <c r="GK158" s="293">
        <v>0</v>
      </c>
      <c r="GL158" s="293">
        <v>23.942376244173094</v>
      </c>
      <c r="GM158" s="293">
        <v>0</v>
      </c>
      <c r="GN158" s="293">
        <v>27.829915935752915</v>
      </c>
      <c r="GO158" s="293">
        <v>0.9753833970000001</v>
      </c>
      <c r="GP158" s="293">
        <v>0</v>
      </c>
      <c r="GQ158" s="293">
        <v>0</v>
      </c>
      <c r="GR158" s="293">
        <v>175.93659568087031</v>
      </c>
      <c r="GS158" s="293">
        <v>12.013056633015713</v>
      </c>
      <c r="GT158" s="293">
        <v>34.644585451470562</v>
      </c>
      <c r="GU158" s="293">
        <v>34.381813544500368</v>
      </c>
      <c r="GV158" s="293">
        <v>9.7639445017651276</v>
      </c>
      <c r="GW158" s="293">
        <v>10.054948469184707</v>
      </c>
      <c r="GX158" s="293">
        <v>14.899181219072448</v>
      </c>
      <c r="GY158" s="293">
        <v>22.534442006360759</v>
      </c>
      <c r="GZ158" s="293">
        <v>7.8490124882709535</v>
      </c>
      <c r="HA158" s="293">
        <v>14.411668654781918</v>
      </c>
      <c r="HB158" s="293">
        <f t="shared" ref="HB158" si="32">HB159+HB160</f>
        <v>0</v>
      </c>
      <c r="HC158" s="293">
        <f t="shared" ref="HC158" si="33">HC159+HC160</f>
        <v>0.98520657938470313</v>
      </c>
      <c r="HD158" s="293">
        <f t="shared" ref="HD158" si="34">HD159+HD160</f>
        <v>29.529508718633497</v>
      </c>
      <c r="HE158" s="293">
        <f t="shared" ref="HE158" si="35">HE159+HE160</f>
        <v>91.100709918904002</v>
      </c>
      <c r="HF158" s="293">
        <f t="shared" ref="HF158" si="36">HF159+HF160</f>
        <v>18.200324285234</v>
      </c>
      <c r="HG158" s="293">
        <f>HG159+HG160</f>
        <v>36.550565428489207</v>
      </c>
      <c r="HH158" s="293">
        <f t="shared" ref="HH158:HX158" si="37">HH159+HH160</f>
        <v>0</v>
      </c>
      <c r="HI158" s="293">
        <f t="shared" si="37"/>
        <v>0</v>
      </c>
      <c r="HJ158" s="293">
        <f t="shared" si="37"/>
        <v>34.237850121589396</v>
      </c>
      <c r="HK158" s="293">
        <f t="shared" si="37"/>
        <v>6.9469754804080805</v>
      </c>
      <c r="HL158" s="293">
        <f t="shared" si="37"/>
        <v>42.201971649932865</v>
      </c>
      <c r="HM158" s="293">
        <f t="shared" si="37"/>
        <v>14.90240277279772</v>
      </c>
      <c r="HN158" s="293">
        <f t="shared" si="37"/>
        <v>0</v>
      </c>
      <c r="HO158" s="293">
        <f t="shared" si="37"/>
        <v>0</v>
      </c>
      <c r="HP158" s="293">
        <f t="shared" si="37"/>
        <v>0</v>
      </c>
      <c r="HQ158" s="293">
        <f t="shared" si="37"/>
        <v>6.5565700777080353</v>
      </c>
      <c r="HR158" s="293">
        <f t="shared" si="37"/>
        <v>22.935490024454118</v>
      </c>
      <c r="HS158" s="293">
        <f t="shared" si="37"/>
        <v>29.246894488254931</v>
      </c>
      <c r="HT158" s="293">
        <f t="shared" si="37"/>
        <v>0</v>
      </c>
      <c r="HU158" s="293">
        <f t="shared" si="37"/>
        <v>0.79635628059999997</v>
      </c>
      <c r="HV158" s="293">
        <f t="shared" si="37"/>
        <v>14.001812152559998</v>
      </c>
      <c r="HW158" s="293">
        <f t="shared" si="37"/>
        <v>0</v>
      </c>
      <c r="HX158" s="293">
        <f t="shared" si="37"/>
        <v>0</v>
      </c>
      <c r="HY158" s="293"/>
      <c r="IH158" s="279">
        <f t="shared" si="25"/>
        <v>102.88711379098035</v>
      </c>
      <c r="II158" s="279">
        <f t="shared" si="26"/>
        <v>101.91989648674678</v>
      </c>
      <c r="IJ158" s="323">
        <f t="shared" si="27"/>
        <v>204.80701027772713</v>
      </c>
      <c r="IK158" s="279">
        <f t="shared" si="28"/>
        <v>92.465924165473268</v>
      </c>
      <c r="KT158" s="280"/>
    </row>
    <row r="159" spans="1:307" outlineLevel="1">
      <c r="D159" s="2079" t="s">
        <v>3707</v>
      </c>
      <c r="E159" s="305"/>
      <c r="F159" s="305"/>
      <c r="G159" s="293"/>
      <c r="H159" s="293"/>
      <c r="I159" s="293"/>
      <c r="J159" s="293"/>
      <c r="K159" s="293"/>
      <c r="L159" s="293"/>
      <c r="M159" s="293"/>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c r="BN159" s="293"/>
      <c r="BO159" s="293"/>
      <c r="BP159" s="293"/>
      <c r="BQ159" s="293"/>
      <c r="BR159" s="293"/>
      <c r="BS159" s="293"/>
      <c r="BT159" s="293"/>
      <c r="BU159" s="293"/>
      <c r="BV159" s="293"/>
      <c r="BW159" s="293"/>
      <c r="BX159" s="293"/>
      <c r="BY159" s="293"/>
      <c r="BZ159" s="293"/>
      <c r="CA159" s="293"/>
      <c r="CB159" s="293"/>
      <c r="CC159" s="293"/>
      <c r="CD159" s="293"/>
      <c r="CE159" s="294">
        <v>0</v>
      </c>
      <c r="CF159" s="293">
        <v>0</v>
      </c>
      <c r="CG159" s="293">
        <v>0</v>
      </c>
      <c r="CH159" s="293">
        <v>0</v>
      </c>
      <c r="CI159" s="293">
        <v>0</v>
      </c>
      <c r="CJ159" s="293">
        <v>0</v>
      </c>
      <c r="CK159" s="293">
        <v>0</v>
      </c>
      <c r="CL159" s="293">
        <v>0</v>
      </c>
      <c r="CM159" s="293">
        <v>0</v>
      </c>
      <c r="CN159" s="293">
        <v>0</v>
      </c>
      <c r="CO159" s="293">
        <v>0</v>
      </c>
      <c r="CP159" s="295">
        <v>0</v>
      </c>
      <c r="CQ159" s="293">
        <v>0</v>
      </c>
      <c r="CR159" s="293">
        <v>0</v>
      </c>
      <c r="CS159" s="293">
        <v>0</v>
      </c>
      <c r="CT159" s="293">
        <v>0</v>
      </c>
      <c r="CU159" s="293">
        <v>0</v>
      </c>
      <c r="CV159" s="293">
        <v>0</v>
      </c>
      <c r="CW159" s="293">
        <v>0</v>
      </c>
      <c r="CX159" s="293">
        <v>0</v>
      </c>
      <c r="CY159" s="293">
        <v>0</v>
      </c>
      <c r="CZ159" s="293">
        <v>0</v>
      </c>
      <c r="DA159" s="293">
        <v>0</v>
      </c>
      <c r="DB159" s="1288">
        <v>0</v>
      </c>
      <c r="DC159" s="293">
        <v>0</v>
      </c>
      <c r="DD159" s="293">
        <v>0</v>
      </c>
      <c r="DE159" s="293">
        <v>0</v>
      </c>
      <c r="DF159" s="293">
        <v>0</v>
      </c>
      <c r="DG159" s="293">
        <v>0</v>
      </c>
      <c r="DH159" s="293">
        <v>0</v>
      </c>
      <c r="DI159" s="293">
        <v>0</v>
      </c>
      <c r="DJ159" s="293">
        <v>0</v>
      </c>
      <c r="DK159" s="293">
        <v>0</v>
      </c>
      <c r="DL159" s="293">
        <v>0</v>
      </c>
      <c r="DM159" s="293">
        <v>0</v>
      </c>
      <c r="DN159" s="295">
        <v>0</v>
      </c>
      <c r="DO159" s="293">
        <v>16.600601300289206</v>
      </c>
      <c r="DP159" s="293">
        <v>6.15912446300276</v>
      </c>
      <c r="DQ159" s="293">
        <v>0.36889618367652649</v>
      </c>
      <c r="DR159" s="293">
        <v>0.3018041686636207</v>
      </c>
      <c r="DS159" s="293">
        <v>7.0875698198049868</v>
      </c>
      <c r="DT159" s="293">
        <v>27.439521254223713</v>
      </c>
      <c r="DU159" s="293">
        <v>5.179773115333397E-2</v>
      </c>
      <c r="DV159" s="293">
        <v>5.8007764595570457E-2</v>
      </c>
      <c r="DW159" s="293">
        <v>10.541360405145587</v>
      </c>
      <c r="DX159" s="293">
        <v>2.0703769716469367E-2</v>
      </c>
      <c r="DY159" s="293">
        <v>4.4983689553372501E-2</v>
      </c>
      <c r="DZ159" s="295">
        <v>0.19766063222458286</v>
      </c>
      <c r="EA159" s="293">
        <v>5.89555870610981</v>
      </c>
      <c r="EB159" s="293">
        <v>6.4121414643872559</v>
      </c>
      <c r="EC159" s="293">
        <v>6.3896163980000003</v>
      </c>
      <c r="ED159" s="293">
        <v>4.8874335853238193E-2</v>
      </c>
      <c r="EE159" s="293">
        <v>5.1864803727297613</v>
      </c>
      <c r="EF159" s="293">
        <v>16.549897689864551</v>
      </c>
      <c r="EG159" s="293">
        <v>11.749718728585187</v>
      </c>
      <c r="EH159" s="293">
        <v>0.10086442254855665</v>
      </c>
      <c r="EI159" s="293">
        <v>2.681430422759524</v>
      </c>
      <c r="EJ159" s="293">
        <v>7.1357226622450884</v>
      </c>
      <c r="EK159" s="293">
        <v>5.0993692085567657E-2</v>
      </c>
      <c r="EL159" s="295">
        <v>0.7199081113879362</v>
      </c>
      <c r="EM159" s="1080">
        <v>2.1782744436593422</v>
      </c>
      <c r="EN159" s="1080">
        <v>4.4297227553648515</v>
      </c>
      <c r="EO159" s="1080">
        <v>9.8563909410486317E-2</v>
      </c>
      <c r="EP159" s="1080">
        <v>2.364907381854027E-2</v>
      </c>
      <c r="EQ159" s="1080">
        <v>2.350520414</v>
      </c>
      <c r="ER159" s="1080">
        <v>7.9641907069496227</v>
      </c>
      <c r="ES159" s="1080">
        <v>1.0648808655174591E-2</v>
      </c>
      <c r="ET159" s="1080">
        <v>6.6596087007049221E-2</v>
      </c>
      <c r="EU159" s="1080">
        <v>9.7848614553610838E-2</v>
      </c>
      <c r="EV159" s="1080">
        <v>1.4425746636360746</v>
      </c>
      <c r="EW159" s="1080">
        <v>0</v>
      </c>
      <c r="EX159" s="1340">
        <v>0.21532801592438158</v>
      </c>
      <c r="EY159" s="1080">
        <v>0</v>
      </c>
      <c r="EZ159" s="1080">
        <v>0</v>
      </c>
      <c r="FA159" s="1080">
        <v>9.608507644444737</v>
      </c>
      <c r="FB159" s="1080">
        <v>0</v>
      </c>
      <c r="FC159" s="1080">
        <v>0</v>
      </c>
      <c r="FD159" s="1080">
        <v>6.3793097794931768</v>
      </c>
      <c r="FE159" s="1080">
        <v>0</v>
      </c>
      <c r="FF159" s="1080">
        <v>0</v>
      </c>
      <c r="FG159" s="1080">
        <v>0</v>
      </c>
      <c r="FH159" s="1080">
        <v>3.2316815070000011</v>
      </c>
      <c r="FI159" s="1080">
        <v>0</v>
      </c>
      <c r="FJ159" s="1340">
        <v>4.9663468379999998</v>
      </c>
      <c r="FK159" s="1080">
        <v>0</v>
      </c>
      <c r="FL159" s="1080">
        <v>0</v>
      </c>
      <c r="FM159" s="1080">
        <v>0</v>
      </c>
      <c r="FN159" s="1080">
        <v>0</v>
      </c>
      <c r="FO159" s="1080">
        <v>0</v>
      </c>
      <c r="FP159" s="1080">
        <v>0</v>
      </c>
      <c r="FQ159" s="293">
        <v>0</v>
      </c>
      <c r="FR159" s="293">
        <v>0</v>
      </c>
      <c r="FS159" s="293">
        <v>0</v>
      </c>
      <c r="FT159" s="293">
        <v>4.0488905105571273</v>
      </c>
      <c r="FU159" s="293">
        <v>0</v>
      </c>
      <c r="FV159" s="293">
        <v>0</v>
      </c>
      <c r="FW159" s="293">
        <v>0</v>
      </c>
      <c r="FX159" s="293">
        <v>0</v>
      </c>
      <c r="FY159" s="293">
        <v>0</v>
      </c>
      <c r="FZ159" s="293">
        <v>0</v>
      </c>
      <c r="GA159" s="293">
        <v>6.1890712999727082</v>
      </c>
      <c r="GB159" s="293">
        <v>29.757070639362848</v>
      </c>
      <c r="GC159" s="293">
        <v>0</v>
      </c>
      <c r="GD159" s="293">
        <v>0</v>
      </c>
      <c r="GE159" s="293">
        <v>0</v>
      </c>
      <c r="GF159" s="293">
        <v>0</v>
      </c>
      <c r="GG159" s="293">
        <v>178.58328382937401</v>
      </c>
      <c r="GH159" s="293">
        <v>0</v>
      </c>
      <c r="GI159" s="293">
        <v>0</v>
      </c>
      <c r="GJ159" s="293">
        <v>0</v>
      </c>
      <c r="GK159" s="293">
        <v>0</v>
      </c>
      <c r="GL159" s="293">
        <v>5.5444920300552063</v>
      </c>
      <c r="GM159" s="293">
        <v>0</v>
      </c>
      <c r="GN159" s="293">
        <v>12.848548764</v>
      </c>
      <c r="GO159" s="293">
        <v>0</v>
      </c>
      <c r="GP159" s="293">
        <v>0</v>
      </c>
      <c r="GQ159" s="293">
        <v>0</v>
      </c>
      <c r="GR159" s="293">
        <v>138.5469546786</v>
      </c>
      <c r="GS159" s="293">
        <v>1.8062280430357145</v>
      </c>
      <c r="GT159" s="293">
        <v>0</v>
      </c>
      <c r="GU159" s="293">
        <v>0</v>
      </c>
      <c r="GV159" s="293">
        <v>0</v>
      </c>
      <c r="GW159" s="293">
        <v>2.5891985376764817</v>
      </c>
      <c r="GX159" s="293">
        <v>0</v>
      </c>
      <c r="GY159" s="293">
        <v>20.479901550034139</v>
      </c>
      <c r="GZ159" s="293">
        <v>0</v>
      </c>
      <c r="HA159" s="293">
        <v>0</v>
      </c>
      <c r="HB159" s="293">
        <v>0</v>
      </c>
      <c r="HC159" s="293">
        <v>0.98520657938470313</v>
      </c>
      <c r="HD159" s="293">
        <v>0</v>
      </c>
      <c r="HE159" s="293">
        <v>81.742566145485355</v>
      </c>
      <c r="HF159" s="293">
        <v>0</v>
      </c>
      <c r="HG159" s="293">
        <v>0</v>
      </c>
      <c r="HH159" s="293">
        <v>0</v>
      </c>
      <c r="HI159" s="293">
        <v>0</v>
      </c>
      <c r="HJ159" s="293">
        <v>0</v>
      </c>
      <c r="HK159" s="293">
        <v>6.9469754804080805</v>
      </c>
      <c r="HL159" s="293">
        <v>29.104859467028962</v>
      </c>
      <c r="HM159" s="293">
        <v>0</v>
      </c>
      <c r="HN159" s="293">
        <v>0</v>
      </c>
      <c r="HO159" s="293">
        <v>0</v>
      </c>
      <c r="HP159" s="293">
        <v>0</v>
      </c>
      <c r="HQ159" s="293">
        <v>0</v>
      </c>
      <c r="HR159" s="293">
        <v>0</v>
      </c>
      <c r="HS159" s="293">
        <v>0</v>
      </c>
      <c r="HT159" s="293">
        <v>0</v>
      </c>
      <c r="HU159" s="293">
        <v>0</v>
      </c>
      <c r="HV159" s="293">
        <v>0</v>
      </c>
      <c r="HW159" s="293">
        <v>0</v>
      </c>
      <c r="HX159" s="293">
        <v>0</v>
      </c>
      <c r="HY159" s="293"/>
      <c r="IJ159" s="323"/>
      <c r="KT159" s="280"/>
    </row>
    <row r="160" spans="1:307" outlineLevel="1">
      <c r="D160" s="2079" t="s">
        <v>3708</v>
      </c>
      <c r="E160" s="305"/>
      <c r="F160" s="305"/>
      <c r="G160" s="293"/>
      <c r="H160" s="293"/>
      <c r="I160" s="293"/>
      <c r="J160" s="293"/>
      <c r="K160" s="293"/>
      <c r="L160" s="293"/>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c r="BN160" s="293"/>
      <c r="BO160" s="293"/>
      <c r="BP160" s="293"/>
      <c r="BQ160" s="293"/>
      <c r="BR160" s="293"/>
      <c r="BS160" s="293"/>
      <c r="BT160" s="293"/>
      <c r="BU160" s="293"/>
      <c r="BV160" s="293"/>
      <c r="BW160" s="293"/>
      <c r="BX160" s="293"/>
      <c r="BY160" s="293"/>
      <c r="BZ160" s="293"/>
      <c r="CA160" s="293"/>
      <c r="CB160" s="293"/>
      <c r="CC160" s="293"/>
      <c r="CD160" s="293"/>
      <c r="CE160" s="294">
        <v>10.649725516935002</v>
      </c>
      <c r="CF160" s="293">
        <v>32.642625870288001</v>
      </c>
      <c r="CG160" s="293">
        <v>42.376945760600009</v>
      </c>
      <c r="CH160" s="293">
        <v>8.2179470510999995</v>
      </c>
      <c r="CI160" s="293">
        <v>2.710436597478</v>
      </c>
      <c r="CJ160" s="293">
        <v>39.538582284914</v>
      </c>
      <c r="CK160" s="293">
        <v>0</v>
      </c>
      <c r="CL160" s="293">
        <v>0</v>
      </c>
      <c r="CM160" s="293">
        <v>0</v>
      </c>
      <c r="CN160" s="293">
        <v>5.1416973700781536</v>
      </c>
      <c r="CO160" s="293">
        <v>20.51012667949999</v>
      </c>
      <c r="CP160" s="295">
        <v>9.2667948451580067</v>
      </c>
      <c r="CQ160" s="293">
        <v>17.574926579780833</v>
      </c>
      <c r="CR160" s="293">
        <v>6.1004475483840262E-2</v>
      </c>
      <c r="CS160" s="293">
        <v>18.410786140034833</v>
      </c>
      <c r="CT160" s="293">
        <v>4.6459715500613363</v>
      </c>
      <c r="CU160" s="293">
        <v>11.644424817805957</v>
      </c>
      <c r="CV160" s="293">
        <v>63.104221270265896</v>
      </c>
      <c r="CW160" s="293">
        <v>0.36886337475031195</v>
      </c>
      <c r="CX160" s="293">
        <v>5.3526167373176399E-2</v>
      </c>
      <c r="CY160" s="293">
        <v>17.62001316069103</v>
      </c>
      <c r="CZ160" s="293">
        <v>13.437569677394109</v>
      </c>
      <c r="DA160" s="293">
        <v>27.297930233327257</v>
      </c>
      <c r="DB160" s="1288">
        <v>0.68446750797208367</v>
      </c>
      <c r="DC160" s="293">
        <v>18.500350525863201</v>
      </c>
      <c r="DD160" s="293">
        <v>6.1547591233999999</v>
      </c>
      <c r="DE160" s="293">
        <v>21.85774148142</v>
      </c>
      <c r="DF160" s="293">
        <v>0.27488678799999999</v>
      </c>
      <c r="DG160" s="293">
        <v>33.148919335843502</v>
      </c>
      <c r="DH160" s="293">
        <v>22.95045653645364</v>
      </c>
      <c r="DI160" s="293">
        <v>0.45384504142463566</v>
      </c>
      <c r="DJ160" s="293">
        <v>3.0471868759055294</v>
      </c>
      <c r="DK160" s="293">
        <v>0.34657287472925635</v>
      </c>
      <c r="DL160" s="293">
        <v>54.368579620764223</v>
      </c>
      <c r="DM160" s="293">
        <v>0.23876751243749914</v>
      </c>
      <c r="DN160" s="295">
        <v>43.464944561485638</v>
      </c>
      <c r="DO160" s="293">
        <v>4.6855716548560604</v>
      </c>
      <c r="DP160" s="293">
        <v>0</v>
      </c>
      <c r="DQ160" s="293">
        <v>0</v>
      </c>
      <c r="DR160" s="293">
        <v>0</v>
      </c>
      <c r="DS160" s="293">
        <v>9.1588665883095004</v>
      </c>
      <c r="DT160" s="293">
        <v>20.663968732646893</v>
      </c>
      <c r="DU160" s="293">
        <v>15.873335991999999</v>
      </c>
      <c r="DV160" s="293">
        <v>0</v>
      </c>
      <c r="DW160" s="293">
        <v>0</v>
      </c>
      <c r="DX160" s="293">
        <v>12.168713068197375</v>
      </c>
      <c r="DY160" s="293">
        <v>0</v>
      </c>
      <c r="DZ160" s="295">
        <v>52.75959672845898</v>
      </c>
      <c r="EA160" s="293">
        <v>16.435436212890188</v>
      </c>
      <c r="EB160" s="293">
        <v>1.9416037326127447</v>
      </c>
      <c r="EC160" s="293">
        <v>0</v>
      </c>
      <c r="ED160" s="293">
        <v>14.085088712740772</v>
      </c>
      <c r="EE160" s="293">
        <v>4.4952272066647154</v>
      </c>
      <c r="EF160" s="293">
        <v>32.180366850462036</v>
      </c>
      <c r="EG160" s="293">
        <v>27.740567568486426</v>
      </c>
      <c r="EH160" s="293">
        <v>3.4351810122460638</v>
      </c>
      <c r="EI160" s="293">
        <v>13.132741159268299</v>
      </c>
      <c r="EJ160" s="293">
        <v>13.831257406782735</v>
      </c>
      <c r="EK160" s="293">
        <v>0</v>
      </c>
      <c r="EL160" s="295">
        <v>0</v>
      </c>
      <c r="EM160" s="1080">
        <v>6.0684036755970308</v>
      </c>
      <c r="EN160" s="1080">
        <v>12.302054782967376</v>
      </c>
      <c r="EO160" s="1080">
        <v>0.10422218235476999</v>
      </c>
      <c r="EP160" s="1080">
        <v>0</v>
      </c>
      <c r="EQ160" s="1080">
        <v>0</v>
      </c>
      <c r="ER160" s="1080">
        <v>71.232557029016377</v>
      </c>
      <c r="ES160" s="1080">
        <v>14.021816380000001</v>
      </c>
      <c r="ET160" s="1080">
        <v>25.648448246000001</v>
      </c>
      <c r="EU160" s="1080">
        <v>0</v>
      </c>
      <c r="EV160" s="1080">
        <v>13.419106073131385</v>
      </c>
      <c r="EW160" s="1080">
        <v>0</v>
      </c>
      <c r="EX160" s="1340">
        <v>0</v>
      </c>
      <c r="EY160" s="1080">
        <v>18.885914780479233</v>
      </c>
      <c r="EZ160" s="1080">
        <v>0</v>
      </c>
      <c r="FA160" s="1080">
        <v>0</v>
      </c>
      <c r="FB160" s="1080">
        <v>0</v>
      </c>
      <c r="FC160" s="1080">
        <v>9.2111639751582803</v>
      </c>
      <c r="FD160" s="1080">
        <v>46.484624538530092</v>
      </c>
      <c r="FE160" s="1080">
        <v>0</v>
      </c>
      <c r="FF160" s="1080">
        <v>17.942072601710958</v>
      </c>
      <c r="FG160" s="1080">
        <v>0</v>
      </c>
      <c r="FH160" s="1080">
        <v>23.107773860801</v>
      </c>
      <c r="FI160" s="1080">
        <v>0</v>
      </c>
      <c r="FJ160" s="1340">
        <v>37.913166435999997</v>
      </c>
      <c r="FK160" s="1080">
        <v>0</v>
      </c>
      <c r="FL160" s="1080">
        <v>0</v>
      </c>
      <c r="FM160" s="1080">
        <v>55.78206542418198</v>
      </c>
      <c r="FN160" s="1080">
        <v>35.485712861354926</v>
      </c>
      <c r="FO160" s="1080">
        <v>0</v>
      </c>
      <c r="FP160" s="1080">
        <v>28.462910114962668</v>
      </c>
      <c r="FQ160" s="293">
        <v>0</v>
      </c>
      <c r="FR160" s="293">
        <v>0</v>
      </c>
      <c r="FS160" s="293">
        <v>74.49219628223868</v>
      </c>
      <c r="FT160" s="293">
        <v>11.165815152893289</v>
      </c>
      <c r="FU160" s="293">
        <v>0</v>
      </c>
      <c r="FV160" s="293">
        <v>56.902254674493491</v>
      </c>
      <c r="FW160" s="293">
        <v>1.2382475E-2</v>
      </c>
      <c r="FX160" s="293">
        <v>43.244714305822797</v>
      </c>
      <c r="FY160" s="293">
        <v>8.6165421105112401</v>
      </c>
      <c r="FZ160" s="293">
        <v>17.063186750203002</v>
      </c>
      <c r="GA160" s="293">
        <v>13.4435335482195</v>
      </c>
      <c r="GB160" s="293">
        <v>0.241415044</v>
      </c>
      <c r="GC160" s="293">
        <v>18.56186430122964</v>
      </c>
      <c r="GD160" s="293">
        <v>7.6535444779132003E-2</v>
      </c>
      <c r="GE160" s="293">
        <v>94.795115429550336</v>
      </c>
      <c r="GF160" s="293">
        <v>31.820768096170202</v>
      </c>
      <c r="GG160" s="293">
        <v>0</v>
      </c>
      <c r="GH160" s="293">
        <v>4.7254106244460603</v>
      </c>
      <c r="GI160" s="293">
        <v>31.716082279583937</v>
      </c>
      <c r="GJ160" s="293">
        <v>2.9643453900840777</v>
      </c>
      <c r="GK160" s="293">
        <v>0</v>
      </c>
      <c r="GL160" s="293">
        <v>18.397884214117887</v>
      </c>
      <c r="GM160" s="293">
        <v>0</v>
      </c>
      <c r="GN160" s="293">
        <v>14.981367171752915</v>
      </c>
      <c r="GO160" s="293">
        <v>0.9753833970000001</v>
      </c>
      <c r="GP160" s="293">
        <v>0</v>
      </c>
      <c r="GQ160" s="293">
        <v>0</v>
      </c>
      <c r="GR160" s="293">
        <v>37.389641002270317</v>
      </c>
      <c r="GS160" s="293">
        <v>10.206828589979999</v>
      </c>
      <c r="GT160" s="293">
        <v>34.644585451470562</v>
      </c>
      <c r="GU160" s="293">
        <v>34.381813544500368</v>
      </c>
      <c r="GV160" s="293">
        <v>9.7639445017651276</v>
      </c>
      <c r="GW160" s="293">
        <v>7.465749931508225</v>
      </c>
      <c r="GX160" s="293">
        <v>14.899181219072448</v>
      </c>
      <c r="GY160" s="293">
        <v>2.0545404563266199</v>
      </c>
      <c r="GZ160" s="293">
        <v>7.8490124882709535</v>
      </c>
      <c r="HA160" s="293">
        <v>14.411668654781918</v>
      </c>
      <c r="HB160" s="293">
        <v>0</v>
      </c>
      <c r="HC160" s="293">
        <v>0</v>
      </c>
      <c r="HD160" s="293">
        <v>29.529508718633497</v>
      </c>
      <c r="HE160" s="293">
        <v>9.3581437734186519</v>
      </c>
      <c r="HF160" s="293">
        <v>18.200324285234</v>
      </c>
      <c r="HG160" s="293">
        <v>36.550565428489207</v>
      </c>
      <c r="HH160" s="293">
        <v>0</v>
      </c>
      <c r="HI160" s="293">
        <v>0</v>
      </c>
      <c r="HJ160" s="293">
        <v>34.237850121589396</v>
      </c>
      <c r="HK160" s="293">
        <v>0</v>
      </c>
      <c r="HL160" s="293">
        <v>13.097112182903905</v>
      </c>
      <c r="HM160" s="293">
        <v>14.90240277279772</v>
      </c>
      <c r="HN160" s="293">
        <v>0</v>
      </c>
      <c r="HO160" s="293">
        <v>0</v>
      </c>
      <c r="HP160" s="293">
        <v>0</v>
      </c>
      <c r="HQ160" s="293">
        <v>6.5565700777080353</v>
      </c>
      <c r="HR160" s="293">
        <v>22.935490024454118</v>
      </c>
      <c r="HS160" s="293">
        <v>29.246894488254931</v>
      </c>
      <c r="HT160" s="293">
        <v>0</v>
      </c>
      <c r="HU160" s="293">
        <v>0.79635628059999997</v>
      </c>
      <c r="HV160" s="293">
        <v>14.001812152559998</v>
      </c>
      <c r="HW160" s="293">
        <v>0</v>
      </c>
      <c r="HX160" s="293">
        <v>0</v>
      </c>
      <c r="HY160" s="293"/>
      <c r="IJ160" s="323"/>
      <c r="KT160" s="280"/>
    </row>
    <row r="161" spans="1:307" outlineLevel="1">
      <c r="D161" s="2098" t="s">
        <v>1002</v>
      </c>
      <c r="E161" s="305"/>
      <c r="F161" s="305"/>
      <c r="G161" s="293"/>
      <c r="H161" s="293"/>
      <c r="I161" s="293"/>
      <c r="J161" s="293"/>
      <c r="K161" s="293"/>
      <c r="L161" s="293"/>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v>0</v>
      </c>
      <c r="AP161" s="293">
        <v>0</v>
      </c>
      <c r="AQ161" s="293">
        <v>0</v>
      </c>
      <c r="AR161" s="293">
        <v>0</v>
      </c>
      <c r="AS161" s="293">
        <v>0</v>
      </c>
      <c r="AT161" s="293">
        <v>0</v>
      </c>
      <c r="AU161" s="293">
        <v>0</v>
      </c>
      <c r="AV161" s="293">
        <v>0</v>
      </c>
      <c r="AW161" s="293">
        <v>0</v>
      </c>
      <c r="AX161" s="293">
        <v>0</v>
      </c>
      <c r="AY161" s="293">
        <v>0</v>
      </c>
      <c r="AZ161" s="293">
        <v>0</v>
      </c>
      <c r="BA161" s="293">
        <v>0</v>
      </c>
      <c r="BB161" s="293">
        <v>0</v>
      </c>
      <c r="BC161" s="293">
        <v>0</v>
      </c>
      <c r="BD161" s="293">
        <v>0</v>
      </c>
      <c r="BE161" s="293">
        <v>0</v>
      </c>
      <c r="BF161" s="293">
        <v>0</v>
      </c>
      <c r="BG161" s="293">
        <v>0</v>
      </c>
      <c r="BH161" s="293">
        <v>0</v>
      </c>
      <c r="BI161" s="293">
        <v>0</v>
      </c>
      <c r="BJ161" s="293">
        <v>0</v>
      </c>
      <c r="BK161" s="293">
        <v>0</v>
      </c>
      <c r="BL161" s="293">
        <v>0</v>
      </c>
      <c r="BM161" s="293">
        <v>0</v>
      </c>
      <c r="BN161" s="293">
        <v>0</v>
      </c>
      <c r="BO161" s="293">
        <v>0</v>
      </c>
      <c r="BP161" s="293">
        <v>0</v>
      </c>
      <c r="BQ161" s="293">
        <v>0</v>
      </c>
      <c r="BR161" s="293">
        <v>0</v>
      </c>
      <c r="BS161" s="293">
        <v>0</v>
      </c>
      <c r="BT161" s="293">
        <v>0</v>
      </c>
      <c r="BU161" s="293">
        <v>0</v>
      </c>
      <c r="BV161" s="293">
        <v>0</v>
      </c>
      <c r="BW161" s="293">
        <v>0</v>
      </c>
      <c r="BX161" s="293">
        <v>0</v>
      </c>
      <c r="BY161" s="293">
        <v>0</v>
      </c>
      <c r="BZ161" s="293">
        <v>0</v>
      </c>
      <c r="CA161" s="293">
        <v>0</v>
      </c>
      <c r="CB161" s="293">
        <v>0</v>
      </c>
      <c r="CC161" s="293">
        <v>23.836507721136002</v>
      </c>
      <c r="CD161" s="293">
        <v>0</v>
      </c>
      <c r="CE161" s="294">
        <v>0</v>
      </c>
      <c r="CF161" s="293">
        <v>0</v>
      </c>
      <c r="CG161" s="293">
        <v>7.4813782618000015</v>
      </c>
      <c r="CH161" s="293">
        <v>13.034907963499998</v>
      </c>
      <c r="CI161" s="293">
        <v>24.666572901249001</v>
      </c>
      <c r="CJ161" s="293">
        <v>6.0461076493370003</v>
      </c>
      <c r="CK161" s="293">
        <v>0</v>
      </c>
      <c r="CL161" s="293">
        <v>0</v>
      </c>
      <c r="CM161" s="293">
        <v>0</v>
      </c>
      <c r="CN161" s="293">
        <v>36.571225840512</v>
      </c>
      <c r="CO161" s="293">
        <v>0</v>
      </c>
      <c r="CP161" s="295">
        <v>4.8736766301709382</v>
      </c>
      <c r="CQ161" s="293">
        <v>0</v>
      </c>
      <c r="CR161" s="293">
        <v>0</v>
      </c>
      <c r="CS161" s="293">
        <v>18.0647514021035</v>
      </c>
      <c r="CT161" s="293">
        <v>0</v>
      </c>
      <c r="CU161" s="293">
        <v>2.9519462207146576</v>
      </c>
      <c r="CV161" s="293">
        <v>31.398191805696605</v>
      </c>
      <c r="CW161" s="293">
        <v>0</v>
      </c>
      <c r="CX161" s="293">
        <v>0</v>
      </c>
      <c r="CY161" s="293">
        <v>17.357493185533968</v>
      </c>
      <c r="CZ161" s="293">
        <v>2.5747102811330551</v>
      </c>
      <c r="DA161" s="293">
        <v>15.881665653140701</v>
      </c>
      <c r="DB161" s="1288">
        <v>0</v>
      </c>
      <c r="DC161" s="293">
        <v>0</v>
      </c>
      <c r="DD161" s="293">
        <v>0</v>
      </c>
      <c r="DE161" s="293">
        <v>14.21628849242</v>
      </c>
      <c r="DF161" s="293">
        <v>0</v>
      </c>
      <c r="DG161" s="293">
        <v>26.637305150966998</v>
      </c>
      <c r="DH161" s="293">
        <v>9.6211446272880308E-2</v>
      </c>
      <c r="DI161" s="293">
        <v>0</v>
      </c>
      <c r="DJ161" s="293">
        <v>0</v>
      </c>
      <c r="DK161" s="293">
        <v>0</v>
      </c>
      <c r="DL161" s="293">
        <v>29.43256141839035</v>
      </c>
      <c r="DM161" s="293">
        <v>0</v>
      </c>
      <c r="DN161" s="295">
        <v>0</v>
      </c>
      <c r="DO161" s="293">
        <v>4.6855716548560604</v>
      </c>
      <c r="DP161" s="293">
        <v>0</v>
      </c>
      <c r="DQ161" s="293">
        <v>0</v>
      </c>
      <c r="DR161" s="293">
        <v>0</v>
      </c>
      <c r="DS161" s="293">
        <v>9.1588665883095004</v>
      </c>
      <c r="DT161" s="293">
        <v>12.1669553399959</v>
      </c>
      <c r="DU161" s="293">
        <v>15.873335991999999</v>
      </c>
      <c r="DV161" s="293">
        <v>0</v>
      </c>
      <c r="DW161" s="293">
        <v>0</v>
      </c>
      <c r="DX161" s="293">
        <v>12.168713068197375</v>
      </c>
      <c r="DY161" s="293">
        <v>0</v>
      </c>
      <c r="DZ161" s="295">
        <v>0</v>
      </c>
      <c r="EA161" s="293">
        <v>16.435436211999999</v>
      </c>
      <c r="EB161" s="293"/>
      <c r="EC161" s="293"/>
      <c r="ED161" s="293">
        <v>14.085088711999999</v>
      </c>
      <c r="EE161" s="293">
        <v>4.495227206</v>
      </c>
      <c r="EF161" s="293">
        <v>1.499967818</v>
      </c>
      <c r="EG161" s="293"/>
      <c r="EH161" s="293">
        <v>3.4351810120000001</v>
      </c>
      <c r="EI161" s="293">
        <v>15.789495488</v>
      </c>
      <c r="EJ161" s="293">
        <v>13.831257405999999</v>
      </c>
      <c r="EK161" s="293"/>
      <c r="EL161" s="295"/>
      <c r="EM161" s="1080">
        <v>6.0684036749999999</v>
      </c>
      <c r="EN161" s="1080">
        <v>12.302054782000001</v>
      </c>
      <c r="EO161" s="1080">
        <v>0.104222182</v>
      </c>
      <c r="EP161" s="1080">
        <v>0</v>
      </c>
      <c r="EQ161" s="1080">
        <v>0</v>
      </c>
      <c r="ER161" s="1080">
        <v>11.431334335000001</v>
      </c>
      <c r="ES161" s="1080">
        <v>14.021816380000001</v>
      </c>
      <c r="ET161" s="1080">
        <v>25.648448246000001</v>
      </c>
      <c r="EU161" s="1080">
        <v>0</v>
      </c>
      <c r="EV161" s="1080">
        <v>13.419106073131385</v>
      </c>
      <c r="EW161" s="1080">
        <v>0</v>
      </c>
      <c r="EX161" s="1340">
        <v>0</v>
      </c>
      <c r="EY161" s="1080"/>
      <c r="EZ161" s="1080"/>
      <c r="FA161" s="1080"/>
      <c r="FB161" s="1080"/>
      <c r="FC161" s="1080"/>
      <c r="FD161" s="1080"/>
      <c r="FE161" s="1080"/>
      <c r="FF161" s="1080"/>
      <c r="FG161" s="1080"/>
      <c r="FH161" s="1080"/>
      <c r="FI161" s="1080"/>
      <c r="FJ161" s="1340"/>
      <c r="FK161" s="1080"/>
      <c r="FL161" s="1080"/>
      <c r="FM161" s="1080"/>
      <c r="FN161" s="1080"/>
      <c r="FO161" s="1080"/>
      <c r="FP161" s="1080"/>
      <c r="FQ161" s="293"/>
      <c r="FR161" s="293"/>
      <c r="FS161" s="293"/>
      <c r="FT161" s="293"/>
      <c r="FU161" s="293"/>
      <c r="FV161" s="293"/>
      <c r="FW161" s="293"/>
      <c r="FX161" s="293"/>
      <c r="FY161" s="293"/>
      <c r="FZ161" s="293"/>
      <c r="GA161" s="293"/>
      <c r="GB161" s="293"/>
      <c r="GC161" s="293"/>
      <c r="GD161" s="293"/>
      <c r="GE161" s="293"/>
      <c r="GF161" s="293"/>
      <c r="GG161" s="293"/>
      <c r="GH161" s="293"/>
      <c r="GI161" s="293"/>
      <c r="GJ161" s="293"/>
      <c r="GK161" s="293"/>
      <c r="GL161" s="293"/>
      <c r="GM161" s="293"/>
      <c r="GN161" s="293"/>
      <c r="GO161" s="293"/>
      <c r="GP161" s="293"/>
      <c r="GQ161" s="293"/>
      <c r="GR161" s="293"/>
      <c r="GS161" s="293"/>
      <c r="GT161" s="293"/>
      <c r="GU161" s="293"/>
      <c r="GV161" s="293"/>
      <c r="GW161" s="293"/>
      <c r="GX161" s="293"/>
      <c r="GY161" s="293"/>
      <c r="GZ161" s="293"/>
      <c r="HA161" s="293"/>
      <c r="HB161" s="293"/>
      <c r="HC161" s="293"/>
      <c r="HD161" s="293"/>
      <c r="HE161" s="293"/>
      <c r="HF161" s="293"/>
      <c r="HG161" s="293"/>
      <c r="HH161" s="293"/>
      <c r="HI161" s="293"/>
      <c r="HJ161" s="293"/>
      <c r="HK161" s="293"/>
      <c r="HL161" s="293"/>
      <c r="HM161" s="293"/>
      <c r="HN161" s="293"/>
      <c r="HO161" s="293"/>
      <c r="HP161" s="293"/>
      <c r="HQ161" s="293"/>
      <c r="HR161" s="293"/>
      <c r="HS161" s="293"/>
      <c r="HT161" s="293"/>
      <c r="HU161" s="293"/>
      <c r="HV161" s="293"/>
      <c r="HW161" s="293"/>
      <c r="HX161" s="293"/>
      <c r="HY161" s="293"/>
      <c r="IH161" s="279">
        <f t="shared" si="25"/>
        <v>40.949805089659883</v>
      </c>
      <c r="II161" s="279">
        <f t="shared" si="26"/>
        <v>29.43256141839035</v>
      </c>
      <c r="IJ161" s="323">
        <f t="shared" si="27"/>
        <v>70.382366508050239</v>
      </c>
      <c r="IK161" s="279">
        <f t="shared" si="28"/>
        <v>26.01139358316146</v>
      </c>
      <c r="KT161" s="280"/>
    </row>
    <row r="162" spans="1:307" outlineLevel="1">
      <c r="B162" s="96" t="s">
        <v>338</v>
      </c>
      <c r="D162" s="304" t="s">
        <v>3724</v>
      </c>
      <c r="E162" s="305"/>
      <c r="F162" s="305"/>
      <c r="G162" s="293"/>
      <c r="H162" s="293"/>
      <c r="I162" s="293"/>
      <c r="J162" s="293"/>
      <c r="K162" s="293"/>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v>0</v>
      </c>
      <c r="AP162" s="293">
        <v>0</v>
      </c>
      <c r="AQ162" s="293">
        <v>0</v>
      </c>
      <c r="AR162" s="293">
        <v>0</v>
      </c>
      <c r="AS162" s="293">
        <v>0</v>
      </c>
      <c r="AT162" s="293">
        <v>0</v>
      </c>
      <c r="AU162" s="293">
        <v>0</v>
      </c>
      <c r="AV162" s="293">
        <v>0</v>
      </c>
      <c r="AW162" s="293">
        <v>0</v>
      </c>
      <c r="AX162" s="293">
        <v>0</v>
      </c>
      <c r="AY162" s="293">
        <v>0</v>
      </c>
      <c r="AZ162" s="293">
        <v>0</v>
      </c>
      <c r="BA162" s="293">
        <v>0</v>
      </c>
      <c r="BB162" s="293">
        <v>0</v>
      </c>
      <c r="BC162" s="293">
        <v>0</v>
      </c>
      <c r="BD162" s="293">
        <v>21.373850976</v>
      </c>
      <c r="BE162" s="293">
        <v>0</v>
      </c>
      <c r="BF162" s="293">
        <v>0</v>
      </c>
      <c r="BG162" s="293">
        <v>0</v>
      </c>
      <c r="BH162" s="293">
        <v>0</v>
      </c>
      <c r="BI162" s="293">
        <v>0</v>
      </c>
      <c r="BJ162" s="293">
        <v>0</v>
      </c>
      <c r="BK162" s="293">
        <v>0</v>
      </c>
      <c r="BL162" s="293">
        <v>49.731677520912001</v>
      </c>
      <c r="BM162" s="293">
        <v>0</v>
      </c>
      <c r="BN162" s="293">
        <v>0</v>
      </c>
      <c r="BO162" s="293">
        <v>0</v>
      </c>
      <c r="BP162" s="293">
        <v>0</v>
      </c>
      <c r="BQ162" s="293">
        <v>0</v>
      </c>
      <c r="BR162" s="293">
        <v>0</v>
      </c>
      <c r="BS162" s="293">
        <v>0</v>
      </c>
      <c r="BT162" s="293">
        <v>0</v>
      </c>
      <c r="BU162" s="293">
        <v>8.3570550524999998</v>
      </c>
      <c r="BV162" s="293">
        <v>0</v>
      </c>
      <c r="BW162" s="293">
        <v>0</v>
      </c>
      <c r="BX162" s="293">
        <v>0</v>
      </c>
      <c r="BY162" s="293">
        <v>0</v>
      </c>
      <c r="BZ162" s="293">
        <v>0</v>
      </c>
      <c r="CA162" s="293">
        <v>0</v>
      </c>
      <c r="CB162" s="293">
        <v>0</v>
      </c>
      <c r="CC162" s="293">
        <v>0</v>
      </c>
      <c r="CD162" s="293">
        <v>9.1265565421910004</v>
      </c>
      <c r="CE162" s="294">
        <v>0</v>
      </c>
      <c r="CF162" s="293">
        <v>0</v>
      </c>
      <c r="CG162" s="293">
        <v>0</v>
      </c>
      <c r="CH162" s="293">
        <v>0</v>
      </c>
      <c r="CI162" s="293">
        <v>0</v>
      </c>
      <c r="CJ162" s="293">
        <v>0</v>
      </c>
      <c r="CK162" s="293">
        <v>0</v>
      </c>
      <c r="CL162" s="293">
        <v>0</v>
      </c>
      <c r="CM162" s="293">
        <v>0</v>
      </c>
      <c r="CN162" s="293">
        <v>0</v>
      </c>
      <c r="CO162" s="293">
        <v>31.631566856500001</v>
      </c>
      <c r="CP162" s="295">
        <v>17.854694282301999</v>
      </c>
      <c r="CQ162" s="293">
        <v>0</v>
      </c>
      <c r="CR162" s="293">
        <v>0</v>
      </c>
      <c r="CS162" s="293">
        <v>0</v>
      </c>
      <c r="CT162" s="293">
        <v>0</v>
      </c>
      <c r="CU162" s="293">
        <v>0</v>
      </c>
      <c r="CV162" s="293">
        <v>56.682335553289001</v>
      </c>
      <c r="CW162" s="293">
        <v>0</v>
      </c>
      <c r="CX162" s="293">
        <v>0</v>
      </c>
      <c r="CY162" s="293">
        <v>0</v>
      </c>
      <c r="CZ162" s="293">
        <v>46.908105421953671</v>
      </c>
      <c r="DA162" s="293">
        <v>0</v>
      </c>
      <c r="DB162" s="1288">
        <v>0</v>
      </c>
      <c r="DC162" s="293">
        <v>0</v>
      </c>
      <c r="DD162" s="293">
        <v>0</v>
      </c>
      <c r="DE162" s="293">
        <v>44.87491947503694</v>
      </c>
      <c r="DF162" s="293">
        <v>7.6787741383385413</v>
      </c>
      <c r="DG162" s="293">
        <v>0</v>
      </c>
      <c r="DH162" s="293">
        <v>70.05920556739467</v>
      </c>
      <c r="DI162" s="293">
        <v>0</v>
      </c>
      <c r="DJ162" s="293">
        <v>16.048668081999999</v>
      </c>
      <c r="DK162" s="293">
        <v>0</v>
      </c>
      <c r="DL162" s="293">
        <v>0</v>
      </c>
      <c r="DM162" s="293">
        <v>0</v>
      </c>
      <c r="DN162" s="295">
        <v>0</v>
      </c>
      <c r="DO162" s="293">
        <v>0</v>
      </c>
      <c r="DP162" s="293">
        <v>0</v>
      </c>
      <c r="DQ162" s="293">
        <v>19.271476517449592</v>
      </c>
      <c r="DR162" s="293">
        <v>63.686505457646405</v>
      </c>
      <c r="DS162" s="293">
        <v>0</v>
      </c>
      <c r="DT162" s="293">
        <v>74.902879725146917</v>
      </c>
      <c r="DU162" s="293">
        <v>0</v>
      </c>
      <c r="DV162" s="293">
        <v>0</v>
      </c>
      <c r="DW162" s="293">
        <v>0</v>
      </c>
      <c r="DX162" s="293">
        <v>0</v>
      </c>
      <c r="DY162" s="293">
        <v>25.959476439408562</v>
      </c>
      <c r="DZ162" s="295">
        <v>0</v>
      </c>
      <c r="EA162" s="293">
        <v>0</v>
      </c>
      <c r="EB162" s="293">
        <v>17.655663775983001</v>
      </c>
      <c r="EC162" s="293">
        <v>25.542790115999999</v>
      </c>
      <c r="ED162" s="293">
        <v>6.2556475300000001</v>
      </c>
      <c r="EE162" s="293">
        <v>104.77629606000001</v>
      </c>
      <c r="EF162" s="293">
        <v>0</v>
      </c>
      <c r="EG162" s="293">
        <v>36.409625616</v>
      </c>
      <c r="EH162" s="293">
        <v>0</v>
      </c>
      <c r="EI162" s="293">
        <v>0</v>
      </c>
      <c r="EJ162" s="293">
        <v>0</v>
      </c>
      <c r="EK162" s="293">
        <v>20.856450759000001</v>
      </c>
      <c r="EL162" s="295">
        <v>0</v>
      </c>
      <c r="EM162" s="1080">
        <v>0</v>
      </c>
      <c r="EN162" s="1080">
        <v>0</v>
      </c>
      <c r="EO162" s="1080">
        <v>0</v>
      </c>
      <c r="EP162" s="1080">
        <v>4.4390382572712728</v>
      </c>
      <c r="EQ162" s="1080">
        <v>0</v>
      </c>
      <c r="ER162" s="1080">
        <v>194.16733567142407</v>
      </c>
      <c r="ES162" s="1080">
        <v>0</v>
      </c>
      <c r="ET162" s="1080">
        <v>0</v>
      </c>
      <c r="EU162" s="1080">
        <v>0</v>
      </c>
      <c r="EV162" s="1080">
        <v>5.3858014281060003</v>
      </c>
      <c r="EW162" s="1080">
        <v>0</v>
      </c>
      <c r="EX162" s="1340">
        <v>58.056333345380395</v>
      </c>
      <c r="EY162" s="1080">
        <v>0</v>
      </c>
      <c r="EZ162" s="1080">
        <v>0</v>
      </c>
      <c r="FA162" s="1080">
        <v>21.862293567408003</v>
      </c>
      <c r="FB162" s="1080">
        <v>168.37595167678001</v>
      </c>
      <c r="FC162" s="1080">
        <v>12.978702141386998</v>
      </c>
      <c r="FD162" s="1080">
        <v>111.34618143695599</v>
      </c>
      <c r="FE162" s="1080">
        <v>46.971522584283328</v>
      </c>
      <c r="FF162" s="1080">
        <v>4.5113808899999999</v>
      </c>
      <c r="FG162" s="1080">
        <v>0</v>
      </c>
      <c r="FH162" s="1080">
        <v>102.50687064179</v>
      </c>
      <c r="FI162" s="1080">
        <v>6.9664088161651447</v>
      </c>
      <c r="FJ162" s="1340">
        <v>245.4320386331857</v>
      </c>
      <c r="FK162" s="1080">
        <v>53.911287541610434</v>
      </c>
      <c r="FL162" s="1080">
        <v>0</v>
      </c>
      <c r="FM162" s="1080">
        <v>44.669390200000002</v>
      </c>
      <c r="FN162" s="1080">
        <v>19.46088985149353</v>
      </c>
      <c r="FO162" s="1080">
        <v>0.94926956868242574</v>
      </c>
      <c r="FP162" s="1080">
        <v>120.85648703055867</v>
      </c>
      <c r="FQ162" s="293">
        <v>0</v>
      </c>
      <c r="FR162" s="293">
        <v>21.210518928999999</v>
      </c>
      <c r="FS162" s="293">
        <v>77.391814847999996</v>
      </c>
      <c r="FT162" s="293">
        <v>0.7073382329598551</v>
      </c>
      <c r="FU162" s="293">
        <v>0</v>
      </c>
      <c r="FV162" s="293">
        <v>3.9146463928729198</v>
      </c>
      <c r="FW162" s="293">
        <v>3.9260314720886353</v>
      </c>
      <c r="FX162" s="293">
        <v>0</v>
      </c>
      <c r="FY162" s="293">
        <v>0</v>
      </c>
      <c r="FZ162" s="293">
        <v>26.227729108165409</v>
      </c>
      <c r="GA162" s="293">
        <v>45.826820963338797</v>
      </c>
      <c r="GB162" s="293">
        <v>0</v>
      </c>
      <c r="GC162" s="293">
        <v>8.2987895138364998</v>
      </c>
      <c r="GD162" s="293">
        <v>0</v>
      </c>
      <c r="GE162" s="293">
        <v>84.835333233058208</v>
      </c>
      <c r="GF162" s="293">
        <v>20.432612662744599</v>
      </c>
      <c r="GG162" s="293">
        <v>21.985868334907199</v>
      </c>
      <c r="GH162" s="293">
        <v>6.559023474406283</v>
      </c>
      <c r="GI162" s="293">
        <v>2.8832750126240643</v>
      </c>
      <c r="GJ162" s="293">
        <v>2.8412265226028754</v>
      </c>
      <c r="GK162" s="293">
        <v>0</v>
      </c>
      <c r="GL162" s="293">
        <v>2.5117047327779196</v>
      </c>
      <c r="GM162" s="293">
        <v>0</v>
      </c>
      <c r="GN162" s="293">
        <v>0.78372078753291408</v>
      </c>
      <c r="GO162" s="293">
        <v>0.9753833970000001</v>
      </c>
      <c r="GP162" s="293">
        <v>0</v>
      </c>
      <c r="GQ162" s="293">
        <v>396.95168831449183</v>
      </c>
      <c r="GR162" s="293">
        <v>0</v>
      </c>
      <c r="GS162" s="293">
        <v>0</v>
      </c>
      <c r="GT162" s="293">
        <v>128.41990886301025</v>
      </c>
      <c r="GU162" s="293">
        <v>9.9998771468992107</v>
      </c>
      <c r="GV162" s="293">
        <v>3.5625632239400997</v>
      </c>
      <c r="GW162" s="293">
        <v>0</v>
      </c>
      <c r="GX162" s="293">
        <v>0</v>
      </c>
      <c r="GY162" s="293">
        <v>0</v>
      </c>
      <c r="GZ162" s="293">
        <v>293.46829974723317</v>
      </c>
      <c r="HA162" s="293">
        <v>0</v>
      </c>
      <c r="HB162" s="293">
        <v>0</v>
      </c>
      <c r="HC162" s="293">
        <v>17.561267907005</v>
      </c>
      <c r="HD162" s="293">
        <v>57.371491955052676</v>
      </c>
      <c r="HE162" s="293">
        <v>122.01017142208079</v>
      </c>
      <c r="HF162" s="293">
        <v>287.97091081508466</v>
      </c>
      <c r="HG162" s="293">
        <v>0</v>
      </c>
      <c r="HH162" s="293">
        <v>0</v>
      </c>
      <c r="HI162" s="293">
        <v>0</v>
      </c>
      <c r="HJ162" s="293">
        <v>0</v>
      </c>
      <c r="HK162" s="293">
        <v>48.329770787971036</v>
      </c>
      <c r="HL162" s="293">
        <v>705.1206443458633</v>
      </c>
      <c r="HM162" s="293">
        <v>0</v>
      </c>
      <c r="HN162" s="293">
        <v>0</v>
      </c>
      <c r="HO162" s="293">
        <v>2.2709806791681455</v>
      </c>
      <c r="HP162" s="293">
        <v>8.0324517557107207</v>
      </c>
      <c r="HQ162" s="293">
        <v>0</v>
      </c>
      <c r="HR162" s="293">
        <v>24.573739312321063</v>
      </c>
      <c r="HS162" s="293">
        <f>HS158</f>
        <v>29.246894488254931</v>
      </c>
      <c r="HT162" s="293">
        <f t="shared" ref="HT162:HX162" si="38">HT158</f>
        <v>0</v>
      </c>
      <c r="HU162" s="293">
        <f t="shared" si="38"/>
        <v>0.79635628059999997</v>
      </c>
      <c r="HV162" s="293">
        <f t="shared" si="38"/>
        <v>14.001812152559998</v>
      </c>
      <c r="HW162" s="293">
        <f t="shared" si="38"/>
        <v>0</v>
      </c>
      <c r="HX162" s="293">
        <f t="shared" si="38"/>
        <v>0</v>
      </c>
      <c r="HY162" s="293"/>
      <c r="ID162" s="650"/>
      <c r="IH162" s="279">
        <f t="shared" si="25"/>
        <v>122.61289918077014</v>
      </c>
      <c r="II162" s="279">
        <f t="shared" si="26"/>
        <v>16.048668081999999</v>
      </c>
      <c r="IJ162" s="323">
        <f t="shared" si="27"/>
        <v>138.66156726277015</v>
      </c>
      <c r="IK162" s="279">
        <f t="shared" si="28"/>
        <v>157.86086170024294</v>
      </c>
      <c r="KT162" s="280"/>
    </row>
    <row r="163" spans="1:307" outlineLevel="1">
      <c r="D163" s="2086"/>
      <c r="E163" s="2085"/>
      <c r="F163" s="2085"/>
      <c r="CE163" s="793"/>
      <c r="CP163" s="280"/>
      <c r="EA163" s="279"/>
      <c r="EB163" s="279"/>
      <c r="EC163" s="279"/>
      <c r="ED163" s="279"/>
      <c r="EE163" s="279"/>
      <c r="EF163" s="279"/>
      <c r="EG163" s="279"/>
      <c r="EH163" s="279"/>
      <c r="EI163" s="279"/>
      <c r="EJ163" s="279"/>
      <c r="EK163" s="279"/>
      <c r="EL163" s="280"/>
      <c r="EM163" s="1082"/>
      <c r="EN163" s="1082"/>
      <c r="EO163" s="1082"/>
      <c r="EP163" s="1082"/>
      <c r="EQ163" s="1082"/>
      <c r="ER163" s="1082"/>
      <c r="ES163" s="1082"/>
      <c r="ET163" s="1082"/>
      <c r="EU163" s="1082"/>
      <c r="EV163" s="1082"/>
      <c r="EW163" s="1082"/>
      <c r="EX163" s="1350"/>
      <c r="EY163" s="1082"/>
      <c r="EZ163" s="1082"/>
      <c r="FA163" s="1082"/>
      <c r="FB163" s="1082"/>
      <c r="FC163" s="1082"/>
      <c r="FD163" s="1082"/>
      <c r="FE163" s="1082"/>
      <c r="FF163" s="1082"/>
      <c r="FG163" s="1082"/>
      <c r="FH163" s="1082"/>
      <c r="FI163" s="1082"/>
      <c r="FJ163" s="1350"/>
      <c r="FK163" s="1082"/>
      <c r="FL163" s="1082"/>
      <c r="FM163" s="1082"/>
      <c r="FN163" s="1082"/>
      <c r="FO163" s="1082"/>
      <c r="FP163" s="1082"/>
      <c r="FQ163" s="279"/>
      <c r="FR163" s="279"/>
      <c r="FS163" s="279"/>
      <c r="FT163" s="279"/>
      <c r="FU163" s="279"/>
      <c r="FV163" s="279"/>
      <c r="FW163" s="279"/>
      <c r="FX163" s="279"/>
      <c r="FY163" s="279"/>
      <c r="FZ163" s="279"/>
      <c r="GA163" s="279"/>
      <c r="GB163" s="279"/>
      <c r="GC163" s="279"/>
      <c r="GD163" s="279"/>
      <c r="GE163" s="279"/>
      <c r="GF163" s="279"/>
      <c r="GG163" s="279"/>
      <c r="GH163" s="279"/>
      <c r="GI163" s="279"/>
      <c r="GJ163" s="279"/>
      <c r="GK163" s="279"/>
      <c r="GL163" s="279"/>
      <c r="GM163" s="279"/>
      <c r="GN163" s="279"/>
      <c r="GO163" s="279"/>
      <c r="GP163" s="279"/>
      <c r="GQ163" s="279"/>
      <c r="GR163" s="279"/>
      <c r="GS163" s="279"/>
      <c r="GT163" s="279"/>
      <c r="GU163" s="279"/>
      <c r="GV163" s="279"/>
      <c r="GW163" s="279"/>
      <c r="GX163" s="279"/>
      <c r="GY163" s="279"/>
      <c r="GZ163" s="279"/>
      <c r="HA163" s="279"/>
      <c r="HB163" s="279"/>
      <c r="HC163" s="279"/>
      <c r="HD163" s="279"/>
      <c r="HE163" s="279"/>
      <c r="HF163" s="279"/>
      <c r="HG163" s="279"/>
      <c r="HH163" s="279"/>
      <c r="HI163" s="279"/>
      <c r="HJ163" s="279"/>
      <c r="HK163" s="279"/>
      <c r="HL163" s="279"/>
      <c r="HM163" s="279"/>
      <c r="HN163" s="279"/>
      <c r="HO163" s="279"/>
      <c r="HP163" s="279"/>
      <c r="HQ163" s="279"/>
      <c r="HR163" s="279"/>
      <c r="HS163" s="279"/>
      <c r="HT163" s="279"/>
      <c r="HU163" s="279"/>
      <c r="HV163" s="279"/>
      <c r="HW163" s="279"/>
      <c r="HX163" s="279"/>
      <c r="HY163" s="279"/>
      <c r="HZ163" s="279"/>
      <c r="ID163" s="650"/>
      <c r="IJ163" s="327"/>
      <c r="KT163" s="280"/>
      <c r="KU163" s="279"/>
    </row>
    <row r="164" spans="1:307" outlineLevel="1">
      <c r="B164" s="96" t="s">
        <v>338</v>
      </c>
      <c r="D164" s="303" t="s">
        <v>3725</v>
      </c>
      <c r="E164" s="303"/>
      <c r="F164" s="303"/>
      <c r="G164" s="293"/>
      <c r="H164" s="293"/>
      <c r="I164" s="293"/>
      <c r="J164" s="293"/>
      <c r="K164" s="293"/>
      <c r="L164" s="293"/>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v>3.3519192583500002</v>
      </c>
      <c r="AP164" s="293">
        <v>2.7989848359300002</v>
      </c>
      <c r="AQ164" s="293">
        <v>6.1486274985600007</v>
      </c>
      <c r="AR164" s="293">
        <v>17.8101309069</v>
      </c>
      <c r="AS164" s="293">
        <v>10.773014394547699</v>
      </c>
      <c r="AT164" s="293">
        <v>7.7928077795200004</v>
      </c>
      <c r="AU164" s="293">
        <v>7.2485471801199992</v>
      </c>
      <c r="AV164" s="293">
        <v>3.0533917700000002</v>
      </c>
      <c r="AW164" s="293">
        <v>26.589141011790005</v>
      </c>
      <c r="AX164" s="293">
        <v>8.0004690707700004</v>
      </c>
      <c r="AY164" s="293">
        <v>10.0220227562</v>
      </c>
      <c r="AZ164" s="293">
        <v>67.487908499999989</v>
      </c>
      <c r="BA164" s="293">
        <v>8.0376445374300012</v>
      </c>
      <c r="BB164" s="293">
        <v>4.7820149999999995</v>
      </c>
      <c r="BC164" s="293">
        <v>5.2630195044000008</v>
      </c>
      <c r="BD164" s="293">
        <v>5.2411667229999974</v>
      </c>
      <c r="BE164" s="293">
        <v>6.4461758544179997</v>
      </c>
      <c r="BF164" s="293">
        <v>10.968208030458001</v>
      </c>
      <c r="BG164" s="293">
        <v>8.5422431230399987</v>
      </c>
      <c r="BH164" s="293">
        <v>10.7436885643809</v>
      </c>
      <c r="BI164" s="293">
        <v>16.206184921963001</v>
      </c>
      <c r="BJ164" s="293">
        <v>65.894095070632986</v>
      </c>
      <c r="BK164" s="293">
        <v>16.578811899929999</v>
      </c>
      <c r="BL164" s="293">
        <v>23.573581195679999</v>
      </c>
      <c r="BM164" s="293">
        <v>4.2419242080149999</v>
      </c>
      <c r="BN164" s="293">
        <v>9.7423272359640016</v>
      </c>
      <c r="BO164" s="293">
        <v>6.0501190180300011</v>
      </c>
      <c r="BP164" s="293">
        <v>5.8884743749999995</v>
      </c>
      <c r="BQ164" s="293">
        <v>5.4807073080899995</v>
      </c>
      <c r="BR164" s="293">
        <v>49.604006402463995</v>
      </c>
      <c r="BS164" s="293">
        <v>12.858244235732</v>
      </c>
      <c r="BT164" s="293">
        <v>15.417515913019999</v>
      </c>
      <c r="BU164" s="293">
        <v>9.5583038748749978</v>
      </c>
      <c r="BV164" s="293">
        <v>8.5327023380250004</v>
      </c>
      <c r="BW164" s="293">
        <v>46.654375626824006</v>
      </c>
      <c r="BX164" s="293">
        <v>30.755185589379</v>
      </c>
      <c r="BY164" s="293">
        <v>6.7776318279999996</v>
      </c>
      <c r="BZ164" s="293">
        <v>4.463221943862</v>
      </c>
      <c r="CA164" s="293">
        <v>9.3595338038300007</v>
      </c>
      <c r="CB164" s="293">
        <v>7.2396588056980011</v>
      </c>
      <c r="CC164" s="293">
        <v>34.197754179599997</v>
      </c>
      <c r="CD164" s="293">
        <v>11.784639624966999</v>
      </c>
      <c r="CE164" s="294">
        <f t="shared" ref="CE164:DJ164" si="39">CE168+CE174</f>
        <v>27.461950273771695</v>
      </c>
      <c r="CF164" s="293">
        <f t="shared" si="39"/>
        <v>10.11084003473381</v>
      </c>
      <c r="CG164" s="293">
        <f t="shared" si="39"/>
        <v>37.542976234294493</v>
      </c>
      <c r="CH164" s="293">
        <f t="shared" si="39"/>
        <v>46.422698332949601</v>
      </c>
      <c r="CI164" s="293">
        <f t="shared" si="39"/>
        <v>36.82346118513545</v>
      </c>
      <c r="CJ164" s="293">
        <f t="shared" si="39"/>
        <v>30.045149085000947</v>
      </c>
      <c r="CK164" s="293">
        <f t="shared" si="39"/>
        <v>33.576041110968305</v>
      </c>
      <c r="CL164" s="293">
        <f t="shared" si="39"/>
        <v>17.115234173434697</v>
      </c>
      <c r="CM164" s="293">
        <f t="shared" si="39"/>
        <v>18.210226436918994</v>
      </c>
      <c r="CN164" s="293">
        <f t="shared" si="39"/>
        <v>58.01807686992521</v>
      </c>
      <c r="CO164" s="293">
        <f t="shared" si="39"/>
        <v>24.075295876884173</v>
      </c>
      <c r="CP164" s="295">
        <f t="shared" si="39"/>
        <v>30.569105037661593</v>
      </c>
      <c r="CQ164" s="293">
        <f t="shared" si="39"/>
        <v>22.634250257573093</v>
      </c>
      <c r="CR164" s="293">
        <f t="shared" si="39"/>
        <v>24.52159962765402</v>
      </c>
      <c r="CS164" s="293">
        <f t="shared" si="39"/>
        <v>26.668254940129891</v>
      </c>
      <c r="CT164" s="293">
        <f t="shared" si="39"/>
        <v>30.063085946442769</v>
      </c>
      <c r="CU164" s="293">
        <f t="shared" si="39"/>
        <v>37.895227394663344</v>
      </c>
      <c r="CV164" s="293">
        <f t="shared" si="39"/>
        <v>37.215800957066605</v>
      </c>
      <c r="CW164" s="293">
        <f t="shared" si="39"/>
        <v>27.254137346920125</v>
      </c>
      <c r="CX164" s="293">
        <f t="shared" si="39"/>
        <v>24.408593314944181</v>
      </c>
      <c r="CY164" s="293">
        <f t="shared" si="39"/>
        <v>27.545518918423681</v>
      </c>
      <c r="CZ164" s="293">
        <f t="shared" si="39"/>
        <v>16.514020665328591</v>
      </c>
      <c r="DA164" s="293">
        <f t="shared" si="39"/>
        <v>31.010111373193478</v>
      </c>
      <c r="DB164" s="1288">
        <f t="shared" si="39"/>
        <v>34.526302365791103</v>
      </c>
      <c r="DC164" s="606">
        <f t="shared" si="39"/>
        <v>13.874262816587432</v>
      </c>
      <c r="DD164" s="606">
        <f t="shared" si="39"/>
        <v>22.741142375832265</v>
      </c>
      <c r="DE164" s="606">
        <f t="shared" si="39"/>
        <v>27.5699602763003</v>
      </c>
      <c r="DF164" s="606">
        <f t="shared" si="39"/>
        <v>18.868605581223264</v>
      </c>
      <c r="DG164" s="606">
        <f t="shared" si="39"/>
        <v>13.958714056713765</v>
      </c>
      <c r="DH164" s="606">
        <f t="shared" si="39"/>
        <v>51.257744914392219</v>
      </c>
      <c r="DI164" s="293">
        <f t="shared" si="39"/>
        <v>16.342572375724565</v>
      </c>
      <c r="DJ164" s="293">
        <f t="shared" si="39"/>
        <v>17.049001310250979</v>
      </c>
      <c r="DK164" s="293">
        <f t="shared" ref="DK164:EP164" si="40">DK168+DK174</f>
        <v>28.752959391475457</v>
      </c>
      <c r="DL164" s="293">
        <f t="shared" si="40"/>
        <v>24.046596579660893</v>
      </c>
      <c r="DM164" s="293">
        <f t="shared" si="40"/>
        <v>26.160917535553409</v>
      </c>
      <c r="DN164" s="295">
        <f t="shared" si="40"/>
        <v>11.152133643740704</v>
      </c>
      <c r="DO164" s="293">
        <f t="shared" si="40"/>
        <v>15.433996662336185</v>
      </c>
      <c r="DP164" s="293">
        <f t="shared" si="40"/>
        <v>20.562498505827929</v>
      </c>
      <c r="DQ164" s="293">
        <f t="shared" si="40"/>
        <v>31.781562221068889</v>
      </c>
      <c r="DR164" s="293">
        <f t="shared" si="40"/>
        <v>9.4610312207669089</v>
      </c>
      <c r="DS164" s="293">
        <f t="shared" si="40"/>
        <v>26.475880533328159</v>
      </c>
      <c r="DT164" s="293">
        <f t="shared" si="40"/>
        <v>38.357520431450936</v>
      </c>
      <c r="DU164" s="293">
        <f t="shared" si="40"/>
        <v>22.211353562193839</v>
      </c>
      <c r="DV164" s="293">
        <f t="shared" si="40"/>
        <v>18.817239761654175</v>
      </c>
      <c r="DW164" s="293">
        <f t="shared" si="40"/>
        <v>31.552162197735981</v>
      </c>
      <c r="DX164" s="293">
        <f t="shared" si="40"/>
        <v>27.465835039963608</v>
      </c>
      <c r="DY164" s="293">
        <f t="shared" si="40"/>
        <v>24.386676235098165</v>
      </c>
      <c r="DZ164" s="295">
        <f t="shared" si="40"/>
        <v>40.24342079840423</v>
      </c>
      <c r="EA164" s="293">
        <f t="shared" si="40"/>
        <v>21.74761611951476</v>
      </c>
      <c r="EB164" s="293">
        <f t="shared" si="40"/>
        <v>25.760209253194738</v>
      </c>
      <c r="EC164" s="293">
        <f t="shared" si="40"/>
        <v>23.0598770162485</v>
      </c>
      <c r="ED164" s="293">
        <f t="shared" si="40"/>
        <v>23.712366129118919</v>
      </c>
      <c r="EE164" s="293">
        <f t="shared" si="40"/>
        <v>26.735410227996319</v>
      </c>
      <c r="EF164" s="293">
        <f t="shared" si="40"/>
        <v>31.381530689116762</v>
      </c>
      <c r="EG164" s="293">
        <f t="shared" si="40"/>
        <v>27.909894950615559</v>
      </c>
      <c r="EH164" s="293">
        <f t="shared" si="40"/>
        <v>16.955218745007535</v>
      </c>
      <c r="EI164" s="293">
        <f t="shared" si="40"/>
        <v>40.070005726957909</v>
      </c>
      <c r="EJ164" s="293">
        <f t="shared" si="40"/>
        <v>15.661802557920968</v>
      </c>
      <c r="EK164" s="293">
        <f t="shared" si="40"/>
        <v>27.208560267357019</v>
      </c>
      <c r="EL164" s="295">
        <f t="shared" si="40"/>
        <v>58.857923823111022</v>
      </c>
      <c r="EM164" s="1080">
        <f t="shared" si="40"/>
        <v>26.154033663094854</v>
      </c>
      <c r="EN164" s="1080">
        <f t="shared" si="40"/>
        <v>18.445545378356144</v>
      </c>
      <c r="EO164" s="1080">
        <f t="shared" si="40"/>
        <v>47.015260453214999</v>
      </c>
      <c r="EP164" s="1080">
        <f t="shared" si="40"/>
        <v>29.197911488066648</v>
      </c>
      <c r="EQ164" s="1080">
        <f t="shared" ref="EQ164:FV164" si="41">EQ168+EQ174</f>
        <v>21.519785242485</v>
      </c>
      <c r="ER164" s="1080">
        <f t="shared" si="41"/>
        <v>58.928926885631995</v>
      </c>
      <c r="ES164" s="1080">
        <f t="shared" si="41"/>
        <v>35.348274640719566</v>
      </c>
      <c r="ET164" s="1080">
        <f t="shared" si="41"/>
        <v>30.552618112890165</v>
      </c>
      <c r="EU164" s="1080">
        <f t="shared" si="41"/>
        <v>44.041510783832905</v>
      </c>
      <c r="EV164" s="1080">
        <f t="shared" si="41"/>
        <v>31.903327200566636</v>
      </c>
      <c r="EW164" s="1080">
        <f t="shared" si="41"/>
        <v>28.888202852077264</v>
      </c>
      <c r="EX164" s="1340">
        <f t="shared" si="41"/>
        <v>76.008599532845508</v>
      </c>
      <c r="EY164" s="1080">
        <f t="shared" si="41"/>
        <v>33.280121402833174</v>
      </c>
      <c r="EZ164" s="1080">
        <f t="shared" si="41"/>
        <v>46.962321956311172</v>
      </c>
      <c r="FA164" s="1080">
        <f t="shared" si="41"/>
        <v>42.414009539210497</v>
      </c>
      <c r="FB164" s="1080">
        <f t="shared" si="41"/>
        <v>34.784045042298231</v>
      </c>
      <c r="FC164" s="1080">
        <f t="shared" si="41"/>
        <v>44.060011411470597</v>
      </c>
      <c r="FD164" s="1080">
        <f t="shared" si="41"/>
        <v>65.340583448423502</v>
      </c>
      <c r="FE164" s="1080">
        <f t="shared" si="41"/>
        <v>41.617049318678283</v>
      </c>
      <c r="FF164" s="1080">
        <f t="shared" si="41"/>
        <v>45.92982365208664</v>
      </c>
      <c r="FG164" s="1080">
        <f t="shared" si="41"/>
        <v>46.527671511998889</v>
      </c>
      <c r="FH164" s="1080">
        <f t="shared" si="41"/>
        <v>44.396108784472418</v>
      </c>
      <c r="FI164" s="1080">
        <f t="shared" si="41"/>
        <v>53.012151564884498</v>
      </c>
      <c r="FJ164" s="1340">
        <f t="shared" si="41"/>
        <v>49.474995745698159</v>
      </c>
      <c r="FK164" s="1080">
        <f t="shared" si="41"/>
        <v>135.59233209151731</v>
      </c>
      <c r="FL164" s="1080">
        <f t="shared" si="41"/>
        <v>66.297949603163616</v>
      </c>
      <c r="FM164" s="1080">
        <f t="shared" si="41"/>
        <v>48.100940610604894</v>
      </c>
      <c r="FN164" s="1080">
        <f t="shared" si="41"/>
        <v>33.241717161059192</v>
      </c>
      <c r="FO164" s="1080">
        <f t="shared" si="41"/>
        <v>50.094245062684081</v>
      </c>
      <c r="FP164" s="1080">
        <f t="shared" si="41"/>
        <v>52.196346233816548</v>
      </c>
      <c r="FQ164" s="293">
        <f t="shared" si="41"/>
        <v>42.1215202837517</v>
      </c>
      <c r="FR164" s="293">
        <f t="shared" si="41"/>
        <v>39.847795074940699</v>
      </c>
      <c r="FS164" s="293">
        <f t="shared" si="41"/>
        <v>63.234253633886681</v>
      </c>
      <c r="FT164" s="293">
        <f t="shared" si="41"/>
        <v>50.963642747466423</v>
      </c>
      <c r="FU164" s="293">
        <f t="shared" si="41"/>
        <v>35.519792666794402</v>
      </c>
      <c r="FV164" s="293">
        <f t="shared" si="41"/>
        <v>68.107825459623427</v>
      </c>
      <c r="FW164" s="293">
        <f t="shared" ref="FW164:HB164" si="42">FW168+FW174</f>
        <v>57.499992982449463</v>
      </c>
      <c r="FX164" s="293">
        <f t="shared" si="42"/>
        <v>46.967371096775459</v>
      </c>
      <c r="FY164" s="293">
        <f t="shared" si="42"/>
        <v>59.222417094667456</v>
      </c>
      <c r="FZ164" s="293">
        <f t="shared" si="42"/>
        <v>99.548669602563081</v>
      </c>
      <c r="GA164" s="293">
        <f t="shared" si="42"/>
        <v>65.538813469563081</v>
      </c>
      <c r="GB164" s="293">
        <f t="shared" si="42"/>
        <v>78.728683860563081</v>
      </c>
      <c r="GC164" s="293">
        <f t="shared" si="42"/>
        <v>36.247905315862894</v>
      </c>
      <c r="GD164" s="293">
        <f t="shared" si="42"/>
        <v>53.680754194829888</v>
      </c>
      <c r="GE164" s="293">
        <f t="shared" si="42"/>
        <v>50.823533909731886</v>
      </c>
      <c r="GF164" s="293">
        <f t="shared" si="42"/>
        <v>54.358792407878894</v>
      </c>
      <c r="GG164" s="293">
        <f t="shared" si="42"/>
        <v>59.080995569218892</v>
      </c>
      <c r="GH164" s="293">
        <f t="shared" si="42"/>
        <v>127.01112217822589</v>
      </c>
      <c r="GI164" s="293">
        <f t="shared" si="42"/>
        <v>52.122334087482898</v>
      </c>
      <c r="GJ164" s="293">
        <f t="shared" si="42"/>
        <v>43.0800780031229</v>
      </c>
      <c r="GK164" s="293">
        <f t="shared" si="42"/>
        <v>113.6805233318629</v>
      </c>
      <c r="GL164" s="293">
        <f t="shared" si="42"/>
        <v>59.725592532872909</v>
      </c>
      <c r="GM164" s="293">
        <f t="shared" si="42"/>
        <v>44.138338000512903</v>
      </c>
      <c r="GN164" s="293">
        <f t="shared" si="42"/>
        <v>78.569064449222893</v>
      </c>
      <c r="GO164" s="293">
        <f t="shared" si="42"/>
        <v>68.458457315448982</v>
      </c>
      <c r="GP164" s="293">
        <f t="shared" si="42"/>
        <v>68.136237739411968</v>
      </c>
      <c r="GQ164" s="293">
        <f t="shared" si="42"/>
        <v>103.41804583896895</v>
      </c>
      <c r="GR164" s="293">
        <f t="shared" si="42"/>
        <v>53.858104412314965</v>
      </c>
      <c r="GS164" s="293">
        <f t="shared" si="42"/>
        <v>59.054166320816975</v>
      </c>
      <c r="GT164" s="293">
        <f t="shared" si="42"/>
        <v>83.51569662422699</v>
      </c>
      <c r="GU164" s="293">
        <f t="shared" si="42"/>
        <v>21.910529276230999</v>
      </c>
      <c r="GV164" s="293">
        <f t="shared" si="42"/>
        <v>42.197749617607002</v>
      </c>
      <c r="GW164" s="293">
        <f t="shared" si="42"/>
        <v>167.27146023960344</v>
      </c>
      <c r="GX164" s="293">
        <f t="shared" si="42"/>
        <v>39.515026511001999</v>
      </c>
      <c r="GY164" s="293">
        <f t="shared" si="42"/>
        <v>66.984583489333005</v>
      </c>
      <c r="GZ164" s="293">
        <f t="shared" si="42"/>
        <v>217.69340567850844</v>
      </c>
      <c r="HA164" s="293">
        <f t="shared" si="42"/>
        <v>31.435793520262003</v>
      </c>
      <c r="HB164" s="293">
        <f t="shared" si="42"/>
        <v>21.236010936550997</v>
      </c>
      <c r="HC164" s="293">
        <f t="shared" ref="HC164:HX164" si="43">HC168+HC174</f>
        <v>214.23244092003236</v>
      </c>
      <c r="HD164" s="293">
        <f t="shared" si="43"/>
        <v>40.509249266334002</v>
      </c>
      <c r="HE164" s="293">
        <f t="shared" si="43"/>
        <v>18.274648314265999</v>
      </c>
      <c r="HF164" s="293">
        <f t="shared" si="43"/>
        <v>262.83153637215833</v>
      </c>
      <c r="HG164" s="293">
        <f t="shared" si="43"/>
        <v>99.759464410686007</v>
      </c>
      <c r="HH164" s="293">
        <f t="shared" si="43"/>
        <v>37.869029092542</v>
      </c>
      <c r="HI164" s="293">
        <f t="shared" si="43"/>
        <v>133.47248130285598</v>
      </c>
      <c r="HJ164" s="293">
        <f t="shared" si="43"/>
        <v>149.79072143591</v>
      </c>
      <c r="HK164" s="293">
        <f t="shared" si="43"/>
        <v>84.246750074652027</v>
      </c>
      <c r="HL164" s="293">
        <f t="shared" si="43"/>
        <v>255.7842198657244</v>
      </c>
      <c r="HM164" s="293">
        <f t="shared" si="43"/>
        <v>109.93396832062999</v>
      </c>
      <c r="HN164" s="293">
        <f t="shared" si="43"/>
        <v>47.502381007978002</v>
      </c>
      <c r="HO164" s="293">
        <f>HO168+HO174</f>
        <v>155.46288805775001</v>
      </c>
      <c r="HP164" s="293">
        <f t="shared" si="43"/>
        <v>101.57375636563201</v>
      </c>
      <c r="HQ164" s="293">
        <f t="shared" si="43"/>
        <v>144.47079665673598</v>
      </c>
      <c r="HR164" s="293">
        <f t="shared" si="43"/>
        <v>158.056470599758</v>
      </c>
      <c r="HS164" s="293">
        <f t="shared" si="43"/>
        <v>22.134883638801</v>
      </c>
      <c r="HT164" s="293">
        <f t="shared" si="43"/>
        <v>28.566661222182997</v>
      </c>
      <c r="HU164" s="293">
        <f t="shared" si="43"/>
        <v>84.674756882695007</v>
      </c>
      <c r="HV164" s="293">
        <f t="shared" si="43"/>
        <v>66.007727705753993</v>
      </c>
      <c r="HW164" s="293">
        <f t="shared" si="43"/>
        <v>86.302423310713991</v>
      </c>
      <c r="HX164" s="293">
        <f t="shared" si="43"/>
        <v>120.366979698935</v>
      </c>
      <c r="HY164" s="293"/>
      <c r="IH164" s="279">
        <f t="shared" si="25"/>
        <v>148.27043002104924</v>
      </c>
      <c r="II164" s="279">
        <f t="shared" si="26"/>
        <v>123.50418083640602</v>
      </c>
      <c r="IJ164" s="323">
        <f t="shared" si="27"/>
        <v>271.77461085745529</v>
      </c>
      <c r="IK164" s="279">
        <f t="shared" si="28"/>
        <v>142.07248957477901</v>
      </c>
      <c r="KT164" s="280"/>
    </row>
    <row r="165" spans="1:307" s="650" customFormat="1" outlineLevel="1">
      <c r="A165" s="644"/>
      <c r="B165" s="644" t="s">
        <v>338</v>
      </c>
      <c r="C165" s="644"/>
      <c r="D165" s="304" t="s">
        <v>3727</v>
      </c>
      <c r="E165" s="645"/>
      <c r="F165" s="645"/>
      <c r="G165" s="646"/>
      <c r="H165" s="646"/>
      <c r="I165" s="646"/>
      <c r="J165" s="646"/>
      <c r="K165" s="646"/>
      <c r="L165" s="646"/>
      <c r="M165" s="646"/>
      <c r="N165" s="646"/>
      <c r="O165" s="646"/>
      <c r="P165" s="646"/>
      <c r="Q165" s="646"/>
      <c r="R165" s="646"/>
      <c r="S165" s="646"/>
      <c r="T165" s="646"/>
      <c r="U165" s="646"/>
      <c r="V165" s="646"/>
      <c r="W165" s="646"/>
      <c r="X165" s="646"/>
      <c r="Y165" s="646"/>
      <c r="Z165" s="646"/>
      <c r="AA165" s="646"/>
      <c r="AB165" s="646"/>
      <c r="AC165" s="646"/>
      <c r="AD165" s="646"/>
      <c r="AE165" s="646"/>
      <c r="AF165" s="646"/>
      <c r="AG165" s="646"/>
      <c r="AH165" s="646"/>
      <c r="AI165" s="646"/>
      <c r="AJ165" s="646"/>
      <c r="AK165" s="646"/>
      <c r="AL165" s="646"/>
      <c r="AM165" s="646"/>
      <c r="AN165" s="646"/>
      <c r="AO165" s="646">
        <v>2.7846713838600001</v>
      </c>
      <c r="AP165" s="646">
        <v>2.2838342526300002</v>
      </c>
      <c r="AQ165" s="646">
        <v>4.9728172026600008</v>
      </c>
      <c r="AR165" s="646">
        <v>15.452738175209999</v>
      </c>
      <c r="AS165" s="646">
        <v>10.070286312447699</v>
      </c>
      <c r="AT165" s="646">
        <v>6.9923380982400003</v>
      </c>
      <c r="AU165" s="646">
        <v>6.3476310805599994</v>
      </c>
      <c r="AV165" s="646">
        <v>1.54431160675</v>
      </c>
      <c r="AW165" s="646">
        <v>23.568586275150004</v>
      </c>
      <c r="AX165" s="646">
        <v>5.1562520544800003</v>
      </c>
      <c r="AY165" s="646">
        <v>8.6995901676600003</v>
      </c>
      <c r="AZ165" s="646">
        <v>65.746169999999992</v>
      </c>
      <c r="BA165" s="646">
        <v>6.9407847683400004</v>
      </c>
      <c r="BB165" s="646">
        <v>3.716685</v>
      </c>
      <c r="BC165" s="646">
        <v>4.6120481280000005</v>
      </c>
      <c r="BD165" s="646">
        <v>4.7778259219999999</v>
      </c>
      <c r="BE165" s="646">
        <v>5.6324762848979999</v>
      </c>
      <c r="BF165" s="646">
        <v>10.509166204830001</v>
      </c>
      <c r="BG165" s="646">
        <v>8.4859735855999983</v>
      </c>
      <c r="BH165" s="646">
        <v>10.509797578320001</v>
      </c>
      <c r="BI165" s="646">
        <v>15.459804038510999</v>
      </c>
      <c r="BJ165" s="646">
        <v>65.894095070632986</v>
      </c>
      <c r="BK165" s="646">
        <v>14.553918843449999</v>
      </c>
      <c r="BL165" s="646">
        <v>23.440670179199998</v>
      </c>
      <c r="BM165" s="646">
        <v>4.2419242080149999</v>
      </c>
      <c r="BN165" s="646">
        <v>8.1679749082720008</v>
      </c>
      <c r="BO165" s="646">
        <v>5.8680692983300009</v>
      </c>
      <c r="BP165" s="646">
        <v>5.7516462499999994</v>
      </c>
      <c r="BQ165" s="646">
        <v>4.9902159925799996</v>
      </c>
      <c r="BR165" s="646">
        <v>49.511530169479997</v>
      </c>
      <c r="BS165" s="646">
        <v>12.665726178798</v>
      </c>
      <c r="BT165" s="646">
        <v>15.417515913019999</v>
      </c>
      <c r="BU165" s="646">
        <v>7.0113325511249993</v>
      </c>
      <c r="BV165" s="646">
        <v>8.3784175327949999</v>
      </c>
      <c r="BW165" s="646">
        <v>44.767696505560004</v>
      </c>
      <c r="BX165" s="646">
        <v>30.299310001797</v>
      </c>
      <c r="BY165" s="646">
        <v>6.7434907721499995</v>
      </c>
      <c r="BZ165" s="646">
        <v>4.3116575726509998</v>
      </c>
      <c r="CA165" s="646">
        <v>9.2667140826400001</v>
      </c>
      <c r="CB165" s="646">
        <v>7.2396588056980011</v>
      </c>
      <c r="CC165" s="646">
        <v>10.361246458463999</v>
      </c>
      <c r="CD165" s="646">
        <v>11.656105626766999</v>
      </c>
      <c r="CE165" s="647">
        <v>20.644770703771695</v>
      </c>
      <c r="CF165" s="646">
        <v>6.2068516957338105</v>
      </c>
      <c r="CG165" s="646">
        <v>33.654755862294493</v>
      </c>
      <c r="CH165" s="646">
        <v>40.164865416949603</v>
      </c>
      <c r="CI165" s="646">
        <v>33.30229618613545</v>
      </c>
      <c r="CJ165" s="646">
        <v>23.305426911000946</v>
      </c>
      <c r="CK165" s="646">
        <v>22.369328398681304</v>
      </c>
      <c r="CL165" s="646">
        <v>15.370313869472696</v>
      </c>
      <c r="CM165" s="646">
        <v>15.260357731845993</v>
      </c>
      <c r="CN165" s="646">
        <v>55.08162525346021</v>
      </c>
      <c r="CO165" s="646">
        <v>16.101722923910174</v>
      </c>
      <c r="CP165" s="648">
        <v>21.799460293312592</v>
      </c>
      <c r="CQ165" s="646">
        <v>16.87350672279609</v>
      </c>
      <c r="CR165" s="646">
        <v>20.574332516946019</v>
      </c>
      <c r="CS165" s="646">
        <v>13.677160760257889</v>
      </c>
      <c r="CT165" s="646">
        <v>22.966062853869769</v>
      </c>
      <c r="CU165" s="646">
        <v>25.792258359012344</v>
      </c>
      <c r="CV165" s="646">
        <v>25.594723744156603</v>
      </c>
      <c r="CW165" s="646">
        <v>18.835302128312126</v>
      </c>
      <c r="CX165" s="646">
        <v>20.69342160459518</v>
      </c>
      <c r="CY165" s="646">
        <v>18.249102545774683</v>
      </c>
      <c r="CZ165" s="646">
        <v>12.54749310504959</v>
      </c>
      <c r="DA165" s="646">
        <v>24.627020117877478</v>
      </c>
      <c r="DB165" s="1297">
        <v>20.593317581711101</v>
      </c>
      <c r="DC165" s="646">
        <v>13.452093833224433</v>
      </c>
      <c r="DD165" s="646">
        <v>19.022173646102264</v>
      </c>
      <c r="DE165" s="646">
        <v>15.875732520673303</v>
      </c>
      <c r="DF165" s="646">
        <v>10.355677608348262</v>
      </c>
      <c r="DG165" s="646">
        <v>9.0934462919717642</v>
      </c>
      <c r="DH165" s="646">
        <v>28.907471615502221</v>
      </c>
      <c r="DI165" s="646">
        <v>9.6377982635075625</v>
      </c>
      <c r="DJ165" s="646">
        <v>11.505491827422979</v>
      </c>
      <c r="DK165" s="646">
        <v>14.956709909069456</v>
      </c>
      <c r="DL165" s="646">
        <v>10.918476448112893</v>
      </c>
      <c r="DM165" s="646">
        <v>19.287035582032409</v>
      </c>
      <c r="DN165" s="648">
        <v>5.8944879698547039</v>
      </c>
      <c r="DO165" s="646">
        <v>12.136271271812186</v>
      </c>
      <c r="DP165" s="646">
        <v>12.133511288417928</v>
      </c>
      <c r="DQ165" s="646">
        <v>12.10521743976989</v>
      </c>
      <c r="DR165" s="646">
        <v>3.2359692316649102</v>
      </c>
      <c r="DS165" s="646">
        <v>15.106655246115155</v>
      </c>
      <c r="DT165" s="646">
        <v>18.032375522219933</v>
      </c>
      <c r="DU165" s="646">
        <v>10.988140744151838</v>
      </c>
      <c r="DV165" s="646">
        <v>15.698929868479176</v>
      </c>
      <c r="DW165" s="646">
        <v>9.9379293873689836</v>
      </c>
      <c r="DX165" s="646">
        <v>5.9392520350356071</v>
      </c>
      <c r="DY165" s="646">
        <v>11.606604623025165</v>
      </c>
      <c r="DZ165" s="648">
        <v>19.079143341939226</v>
      </c>
      <c r="EA165" s="1076">
        <v>12.04303298669176</v>
      </c>
      <c r="EB165" s="1076">
        <v>11.58141738339774</v>
      </c>
      <c r="EC165" s="1076">
        <v>18.953049629910502</v>
      </c>
      <c r="ED165" s="1076">
        <v>9.2129121794719193</v>
      </c>
      <c r="EE165" s="1076">
        <v>18.666473033356318</v>
      </c>
      <c r="EF165" s="1076">
        <v>14.698114787171765</v>
      </c>
      <c r="EG165" s="1076">
        <v>7.7343715577035592</v>
      </c>
      <c r="EH165" s="1076">
        <v>12.544701009695537</v>
      </c>
      <c r="EI165" s="1076">
        <v>21.498427432600909</v>
      </c>
      <c r="EJ165" s="1076">
        <v>3.5217398195229666</v>
      </c>
      <c r="EK165" s="1076">
        <v>8.0850167052850175</v>
      </c>
      <c r="EL165" s="1339">
        <v>30.170743475192022</v>
      </c>
      <c r="EM165" s="1089">
        <v>15.676377072254855</v>
      </c>
      <c r="EN165" s="1089">
        <v>16.280776577680143</v>
      </c>
      <c r="EO165" s="1089">
        <v>31.957153649935002</v>
      </c>
      <c r="EP165" s="1089">
        <v>25.689925104930648</v>
      </c>
      <c r="EQ165" s="1089">
        <v>6.238642488411001</v>
      </c>
      <c r="ER165" s="1089">
        <v>31.957153649935002</v>
      </c>
      <c r="ES165" s="1089">
        <v>11.77235596909156</v>
      </c>
      <c r="ET165" s="1089">
        <v>14.546519893461165</v>
      </c>
      <c r="EU165" s="1089">
        <v>26.318875862817901</v>
      </c>
      <c r="EV165" s="1089">
        <v>17.045294526785639</v>
      </c>
      <c r="EW165" s="1089">
        <v>9.2735813359162655</v>
      </c>
      <c r="EX165" s="1356">
        <v>26.318875862950499</v>
      </c>
      <c r="EY165" s="1089">
        <v>13.355919074614171</v>
      </c>
      <c r="EZ165" s="1089">
        <v>19.120340874614172</v>
      </c>
      <c r="FA165" s="1089">
        <v>32.476259949591501</v>
      </c>
      <c r="FB165" s="1089">
        <v>17.141012261463228</v>
      </c>
      <c r="FC165" s="1089">
        <v>19.380457481936588</v>
      </c>
      <c r="FD165" s="1089">
        <v>28.4262599495915</v>
      </c>
      <c r="FE165" s="1089">
        <v>18.57477772208745</v>
      </c>
      <c r="FF165" s="1089">
        <v>22.887552055495807</v>
      </c>
      <c r="FG165" s="1089">
        <v>23.485399915408056</v>
      </c>
      <c r="FH165" s="1089">
        <v>17.094977885269913</v>
      </c>
      <c r="FI165" s="1089">
        <v>25.711020665681996</v>
      </c>
      <c r="FJ165" s="1356">
        <v>22.173864846495658</v>
      </c>
      <c r="FK165" s="1089">
        <v>18.016468952481294</v>
      </c>
      <c r="FL165" s="1089">
        <v>22.038160849417618</v>
      </c>
      <c r="FM165" s="1089">
        <v>29.332774612660895</v>
      </c>
      <c r="FN165" s="1089">
        <v>20.310040481209192</v>
      </c>
      <c r="FO165" s="1089">
        <v>24.596989962932081</v>
      </c>
      <c r="FP165" s="1089">
        <v>24.480373970418551</v>
      </c>
      <c r="FQ165" s="1076">
        <v>26.0973223375467</v>
      </c>
      <c r="FR165" s="1076">
        <v>26.0973223375467</v>
      </c>
      <c r="FS165" s="1076">
        <v>27.482987069546699</v>
      </c>
      <c r="FT165" s="1076">
        <v>24.877549419213427</v>
      </c>
      <c r="FU165" s="1076">
        <v>26.540783368213397</v>
      </c>
      <c r="FV165" s="1076">
        <v>24.877549419213427</v>
      </c>
      <c r="FW165" s="1076">
        <v>25.52443471719846</v>
      </c>
      <c r="FX165" s="1076">
        <v>25.52443471719846</v>
      </c>
      <c r="FY165" s="1076">
        <v>25.52443471719846</v>
      </c>
      <c r="FZ165" s="1076">
        <v>34.523905375563082</v>
      </c>
      <c r="GA165" s="1076">
        <v>34.523905375563082</v>
      </c>
      <c r="GB165" s="1076">
        <v>34.523905375563082</v>
      </c>
      <c r="GC165" s="1076">
        <v>32.818074208225894</v>
      </c>
      <c r="GD165" s="1076">
        <v>32.818074208225894</v>
      </c>
      <c r="GE165" s="1076">
        <v>32.818074208225894</v>
      </c>
      <c r="GF165" s="1076">
        <v>32.818074208225894</v>
      </c>
      <c r="GG165" s="1076">
        <v>32.818074208225894</v>
      </c>
      <c r="GH165" s="1076">
        <v>32.818074208225894</v>
      </c>
      <c r="GI165" s="1076">
        <v>31.0326441574929</v>
      </c>
      <c r="GJ165" s="1076">
        <v>31.0326441574929</v>
      </c>
      <c r="GK165" s="1076">
        <v>31.0326441574929</v>
      </c>
      <c r="GL165" s="1076">
        <v>31.0326441574929</v>
      </c>
      <c r="GM165" s="1076">
        <v>31.0326441574929</v>
      </c>
      <c r="GN165" s="1076">
        <v>31.0326441574929</v>
      </c>
      <c r="GO165" s="1076">
        <v>35.848173299673974</v>
      </c>
      <c r="GP165" s="1076">
        <v>35.848173299673974</v>
      </c>
      <c r="GQ165" s="1076">
        <v>35.848173299673974</v>
      </c>
      <c r="GR165" s="1076">
        <v>35.848173299673974</v>
      </c>
      <c r="GS165" s="1076">
        <v>35.848173299673974</v>
      </c>
      <c r="GT165" s="1076">
        <v>35.848173299673974</v>
      </c>
      <c r="GU165" s="1076">
        <v>0</v>
      </c>
      <c r="GV165" s="1076">
        <v>0</v>
      </c>
      <c r="GW165" s="1076">
        <v>117.44146535267444</v>
      </c>
      <c r="GX165" s="1076">
        <v>0</v>
      </c>
      <c r="GY165" s="1076">
        <v>0</v>
      </c>
      <c r="GZ165" s="1076">
        <v>117.44146535267444</v>
      </c>
      <c r="HA165" s="1076">
        <v>0</v>
      </c>
      <c r="HB165" s="1076">
        <f t="shared" ref="HB165" si="44">HB166+HB167</f>
        <v>0</v>
      </c>
      <c r="HC165" s="1076">
        <f t="shared" ref="HC165" si="45">HC166+HC167</f>
        <v>134.59885922009536</v>
      </c>
      <c r="HD165" s="1076">
        <f t="shared" ref="HD165" si="46">HD166+HD167</f>
        <v>0</v>
      </c>
      <c r="HE165" s="1076">
        <f t="shared" ref="HE165" si="47">HE166+HE167</f>
        <v>0</v>
      </c>
      <c r="HF165" s="1076">
        <f t="shared" ref="HF165" si="48">HF166+HF167</f>
        <v>134.59885922009536</v>
      </c>
      <c r="HG165" s="1076">
        <f>HG166+HG167</f>
        <v>0</v>
      </c>
      <c r="HH165" s="1076">
        <f t="shared" ref="HH165:HX165" si="49">HH166+HH167</f>
        <v>0</v>
      </c>
      <c r="HI165" s="1076">
        <f t="shared" si="49"/>
        <v>121.5161496827613</v>
      </c>
      <c r="HJ165" s="1076">
        <f t="shared" si="49"/>
        <v>0</v>
      </c>
      <c r="HK165" s="1076">
        <f t="shared" si="49"/>
        <v>0</v>
      </c>
      <c r="HL165" s="1076">
        <f t="shared" si="49"/>
        <v>121.5161496827613</v>
      </c>
      <c r="HM165" s="1076">
        <f t="shared" si="49"/>
        <v>0</v>
      </c>
      <c r="HN165" s="1076">
        <f t="shared" si="49"/>
        <v>0</v>
      </c>
      <c r="HO165" s="1076">
        <f t="shared" si="49"/>
        <v>103.08538457683022</v>
      </c>
      <c r="HP165" s="1076">
        <f t="shared" si="49"/>
        <v>0</v>
      </c>
      <c r="HQ165" s="1076">
        <f t="shared" si="49"/>
        <v>0</v>
      </c>
      <c r="HR165" s="1076">
        <f t="shared" si="49"/>
        <v>104.14296221134643</v>
      </c>
      <c r="HS165" s="1076">
        <f t="shared" si="49"/>
        <v>0</v>
      </c>
      <c r="HT165" s="1076">
        <f t="shared" si="49"/>
        <v>0</v>
      </c>
      <c r="HU165" s="1076">
        <f t="shared" si="49"/>
        <v>110.3661498776992</v>
      </c>
      <c r="HV165" s="1076">
        <f t="shared" si="49"/>
        <v>0</v>
      </c>
      <c r="HW165" s="1076">
        <f t="shared" si="49"/>
        <v>0</v>
      </c>
      <c r="HX165" s="1076">
        <f t="shared" si="49"/>
        <v>165.68198319561654</v>
      </c>
      <c r="HY165" s="1076"/>
      <c r="HZ165" s="649"/>
      <c r="IH165" s="279">
        <f t="shared" ref="IH165" si="50">+SUM(DC165:DH165)</f>
        <v>96.706595515822244</v>
      </c>
      <c r="II165" s="279">
        <f t="shared" ref="II165" si="51">+SUM(DI165:DN165)</f>
        <v>72.2</v>
      </c>
      <c r="IJ165" s="323">
        <f t="shared" ref="IJ165" si="52">IH165+II165</f>
        <v>168.90659551582223</v>
      </c>
      <c r="IK165" s="279">
        <f t="shared" ref="IK165" si="53">SUM(DO165:DT165)</f>
        <v>72.75</v>
      </c>
      <c r="KT165" s="651"/>
      <c r="KU165" s="649"/>
    </row>
    <row r="166" spans="1:307" s="650" customFormat="1" outlineLevel="1">
      <c r="A166" s="644"/>
      <c r="B166" s="644"/>
      <c r="C166" s="644"/>
      <c r="D166" s="2079" t="s">
        <v>3707</v>
      </c>
      <c r="E166" s="645"/>
      <c r="F166" s="645"/>
      <c r="G166" s="646"/>
      <c r="H166" s="646"/>
      <c r="I166" s="646"/>
      <c r="J166" s="646"/>
      <c r="K166" s="646"/>
      <c r="L166" s="646"/>
      <c r="M166" s="646"/>
      <c r="N166" s="646"/>
      <c r="O166" s="646"/>
      <c r="P166" s="646"/>
      <c r="Q166" s="646"/>
      <c r="R166" s="646"/>
      <c r="S166" s="646"/>
      <c r="T166" s="646"/>
      <c r="U166" s="646"/>
      <c r="V166" s="646"/>
      <c r="W166" s="646"/>
      <c r="X166" s="646"/>
      <c r="Y166" s="646"/>
      <c r="Z166" s="646"/>
      <c r="AA166" s="646"/>
      <c r="AB166" s="646"/>
      <c r="AC166" s="646"/>
      <c r="AD166" s="646"/>
      <c r="AE166" s="646"/>
      <c r="AF166" s="646"/>
      <c r="AG166" s="646"/>
      <c r="AH166" s="646"/>
      <c r="AI166" s="646"/>
      <c r="AJ166" s="646"/>
      <c r="AK166" s="646"/>
      <c r="AL166" s="646"/>
      <c r="AM166" s="646"/>
      <c r="AN166" s="646"/>
      <c r="AO166" s="646"/>
      <c r="AP166" s="646"/>
      <c r="AQ166" s="646"/>
      <c r="AR166" s="646"/>
      <c r="AS166" s="646"/>
      <c r="AT166" s="646"/>
      <c r="AU166" s="646"/>
      <c r="AV166" s="646"/>
      <c r="AW166" s="646"/>
      <c r="AX166" s="646"/>
      <c r="AY166" s="646"/>
      <c r="AZ166" s="646"/>
      <c r="BA166" s="646"/>
      <c r="BB166" s="646"/>
      <c r="BC166" s="646"/>
      <c r="BD166" s="646"/>
      <c r="BE166" s="646"/>
      <c r="BF166" s="646"/>
      <c r="BG166" s="646"/>
      <c r="BH166" s="646"/>
      <c r="BI166" s="646"/>
      <c r="BJ166" s="646"/>
      <c r="BK166" s="646"/>
      <c r="BL166" s="646"/>
      <c r="BM166" s="646"/>
      <c r="BN166" s="646"/>
      <c r="BO166" s="646"/>
      <c r="BP166" s="646"/>
      <c r="BQ166" s="646"/>
      <c r="BR166" s="646"/>
      <c r="BS166" s="646"/>
      <c r="BT166" s="646"/>
      <c r="BU166" s="646"/>
      <c r="BV166" s="646"/>
      <c r="BW166" s="646"/>
      <c r="BX166" s="646"/>
      <c r="BY166" s="646"/>
      <c r="BZ166" s="646"/>
      <c r="CA166" s="646"/>
      <c r="CB166" s="646"/>
      <c r="CC166" s="646"/>
      <c r="CD166" s="646"/>
      <c r="CE166" s="647">
        <v>0</v>
      </c>
      <c r="CF166" s="646">
        <v>0</v>
      </c>
      <c r="CG166" s="646">
        <v>0</v>
      </c>
      <c r="CH166" s="646">
        <v>0</v>
      </c>
      <c r="CI166" s="646">
        <v>0</v>
      </c>
      <c r="CJ166" s="646">
        <v>0</v>
      </c>
      <c r="CK166" s="646">
        <v>0</v>
      </c>
      <c r="CL166" s="646">
        <v>0</v>
      </c>
      <c r="CM166" s="646">
        <v>0</v>
      </c>
      <c r="CN166" s="646">
        <v>0</v>
      </c>
      <c r="CO166" s="646">
        <v>0</v>
      </c>
      <c r="CP166" s="648">
        <v>0</v>
      </c>
      <c r="CQ166" s="646">
        <v>0</v>
      </c>
      <c r="CR166" s="646">
        <v>0</v>
      </c>
      <c r="CS166" s="646">
        <v>0</v>
      </c>
      <c r="CT166" s="646">
        <v>0</v>
      </c>
      <c r="CU166" s="646">
        <v>0</v>
      </c>
      <c r="CV166" s="646">
        <v>0</v>
      </c>
      <c r="CW166" s="646">
        <v>0</v>
      </c>
      <c r="CX166" s="646">
        <v>0</v>
      </c>
      <c r="CY166" s="646">
        <v>0</v>
      </c>
      <c r="CZ166" s="646">
        <v>0</v>
      </c>
      <c r="DA166" s="646">
        <v>0</v>
      </c>
      <c r="DB166" s="1297">
        <v>0</v>
      </c>
      <c r="DC166" s="646">
        <v>0</v>
      </c>
      <c r="DD166" s="646">
        <v>0</v>
      </c>
      <c r="DE166" s="646">
        <v>0</v>
      </c>
      <c r="DF166" s="646">
        <v>0</v>
      </c>
      <c r="DG166" s="646">
        <v>0</v>
      </c>
      <c r="DH166" s="646">
        <v>0</v>
      </c>
      <c r="DI166" s="646">
        <v>0</v>
      </c>
      <c r="DJ166" s="646">
        <v>0</v>
      </c>
      <c r="DK166" s="646">
        <v>0</v>
      </c>
      <c r="DL166" s="646">
        <v>0</v>
      </c>
      <c r="DM166" s="646">
        <v>0</v>
      </c>
      <c r="DN166" s="648">
        <v>0</v>
      </c>
      <c r="DO166" s="646">
        <v>0</v>
      </c>
      <c r="DP166" s="646">
        <v>0</v>
      </c>
      <c r="DQ166" s="646">
        <v>0</v>
      </c>
      <c r="DR166" s="646">
        <v>0</v>
      </c>
      <c r="DS166" s="646">
        <v>0</v>
      </c>
      <c r="DT166" s="646">
        <v>0</v>
      </c>
      <c r="DU166" s="646">
        <v>0</v>
      </c>
      <c r="DV166" s="646">
        <v>0</v>
      </c>
      <c r="DW166" s="646">
        <v>0</v>
      </c>
      <c r="DX166" s="646">
        <v>0</v>
      </c>
      <c r="DY166" s="646">
        <v>0</v>
      </c>
      <c r="DZ166" s="648">
        <v>0</v>
      </c>
      <c r="EA166" s="1076">
        <v>0</v>
      </c>
      <c r="EB166" s="1076">
        <v>0</v>
      </c>
      <c r="EC166" s="1076">
        <v>0</v>
      </c>
      <c r="ED166" s="1076">
        <v>0</v>
      </c>
      <c r="EE166" s="1076">
        <v>0</v>
      </c>
      <c r="EF166" s="1076">
        <v>0</v>
      </c>
      <c r="EG166" s="1076">
        <v>0</v>
      </c>
      <c r="EH166" s="1076">
        <v>0</v>
      </c>
      <c r="EI166" s="1076">
        <v>0</v>
      </c>
      <c r="EJ166" s="1076">
        <v>0</v>
      </c>
      <c r="EK166" s="1076">
        <v>0</v>
      </c>
      <c r="EL166" s="1339">
        <v>0</v>
      </c>
      <c r="EM166" s="1089">
        <v>0</v>
      </c>
      <c r="EN166" s="1089">
        <v>0</v>
      </c>
      <c r="EO166" s="1089">
        <v>0</v>
      </c>
      <c r="EP166" s="1089">
        <v>0</v>
      </c>
      <c r="EQ166" s="1089">
        <v>0</v>
      </c>
      <c r="ER166" s="1089">
        <v>0</v>
      </c>
      <c r="ES166" s="1089">
        <v>0</v>
      </c>
      <c r="ET166" s="1089">
        <v>0</v>
      </c>
      <c r="EU166" s="1089">
        <v>0</v>
      </c>
      <c r="EV166" s="1089">
        <v>0</v>
      </c>
      <c r="EW166" s="1089">
        <v>0</v>
      </c>
      <c r="EX166" s="1356">
        <v>0</v>
      </c>
      <c r="EY166" s="1089">
        <v>0</v>
      </c>
      <c r="EZ166" s="1089">
        <v>0</v>
      </c>
      <c r="FA166" s="1089">
        <v>0</v>
      </c>
      <c r="FB166" s="1089">
        <v>0</v>
      </c>
      <c r="FC166" s="1089">
        <v>0</v>
      </c>
      <c r="FD166" s="1089">
        <v>0</v>
      </c>
      <c r="FE166" s="1089">
        <v>0</v>
      </c>
      <c r="FF166" s="1089">
        <v>0</v>
      </c>
      <c r="FG166" s="1089">
        <v>0</v>
      </c>
      <c r="FH166" s="1089">
        <v>0</v>
      </c>
      <c r="FI166" s="1089">
        <v>0</v>
      </c>
      <c r="FJ166" s="1356">
        <v>0</v>
      </c>
      <c r="FK166" s="1089">
        <v>0</v>
      </c>
      <c r="FL166" s="1089">
        <v>0</v>
      </c>
      <c r="FM166" s="1089">
        <v>0</v>
      </c>
      <c r="FN166" s="1089">
        <v>0</v>
      </c>
      <c r="FO166" s="1089">
        <v>0</v>
      </c>
      <c r="FP166" s="1089">
        <v>0</v>
      </c>
      <c r="FQ166" s="1076">
        <v>0</v>
      </c>
      <c r="FR166" s="1076">
        <v>0</v>
      </c>
      <c r="FS166" s="1076">
        <v>0</v>
      </c>
      <c r="FT166" s="1076">
        <v>0</v>
      </c>
      <c r="FU166" s="1076">
        <v>0</v>
      </c>
      <c r="FV166" s="1076">
        <v>0</v>
      </c>
      <c r="FW166" s="1076">
        <v>0</v>
      </c>
      <c r="FX166" s="1076">
        <v>0</v>
      </c>
      <c r="FY166" s="1076">
        <v>0</v>
      </c>
      <c r="FZ166" s="1076">
        <v>0</v>
      </c>
      <c r="GA166" s="1076">
        <v>0</v>
      </c>
      <c r="GB166" s="1076">
        <v>0</v>
      </c>
      <c r="GC166" s="1076">
        <v>0</v>
      </c>
      <c r="GD166" s="1076">
        <v>0</v>
      </c>
      <c r="GE166" s="1076">
        <v>0</v>
      </c>
      <c r="GF166" s="1076">
        <v>0</v>
      </c>
      <c r="GG166" s="1076">
        <v>0</v>
      </c>
      <c r="GH166" s="1076">
        <v>0</v>
      </c>
      <c r="GI166" s="1076">
        <v>14.81502815</v>
      </c>
      <c r="GJ166" s="1076">
        <v>14.81502815</v>
      </c>
      <c r="GK166" s="1076">
        <v>14.81502815</v>
      </c>
      <c r="GL166" s="1076">
        <v>14.81502815</v>
      </c>
      <c r="GM166" s="1076">
        <v>14.81502815</v>
      </c>
      <c r="GN166" s="1076">
        <v>14.81502815</v>
      </c>
      <c r="GO166" s="1076">
        <v>26.330020899520001</v>
      </c>
      <c r="GP166" s="1076">
        <v>26.330020899520001</v>
      </c>
      <c r="GQ166" s="1076">
        <v>26.330020899520001</v>
      </c>
      <c r="GR166" s="1076">
        <v>26.330020899520001</v>
      </c>
      <c r="GS166" s="1076">
        <v>26.330020899520001</v>
      </c>
      <c r="GT166" s="1076">
        <v>26.330020899520001</v>
      </c>
      <c r="GU166" s="1076">
        <v>0</v>
      </c>
      <c r="GV166" s="1076">
        <v>0</v>
      </c>
      <c r="GW166" s="1076">
        <v>72.266987752008589</v>
      </c>
      <c r="GX166" s="1076">
        <v>0</v>
      </c>
      <c r="GY166" s="1076">
        <v>0</v>
      </c>
      <c r="GZ166" s="1076">
        <v>72.266987752008589</v>
      </c>
      <c r="HA166" s="1076">
        <v>0</v>
      </c>
      <c r="HB166" s="1076">
        <v>0</v>
      </c>
      <c r="HC166" s="1076">
        <v>86.715186151799713</v>
      </c>
      <c r="HD166" s="1076">
        <v>0</v>
      </c>
      <c r="HE166" s="1076">
        <v>0</v>
      </c>
      <c r="HF166" s="1076">
        <v>86.715186151799713</v>
      </c>
      <c r="HG166" s="1076">
        <v>0</v>
      </c>
      <c r="HH166" s="1076">
        <v>0</v>
      </c>
      <c r="HI166" s="1076">
        <v>76.674013141162661</v>
      </c>
      <c r="HJ166" s="1076">
        <v>0</v>
      </c>
      <c r="HK166" s="1076">
        <v>0</v>
      </c>
      <c r="HL166" s="293">
        <v>76.674013141162661</v>
      </c>
      <c r="HM166" s="293">
        <v>0</v>
      </c>
      <c r="HN166" s="293">
        <v>0</v>
      </c>
      <c r="HO166" s="293">
        <v>67.522017559415104</v>
      </c>
      <c r="HP166" s="293">
        <v>0</v>
      </c>
      <c r="HQ166" s="293">
        <v>0</v>
      </c>
      <c r="HR166" s="293">
        <v>68.214742099381553</v>
      </c>
      <c r="HS166" s="293">
        <v>0</v>
      </c>
      <c r="HT166" s="293">
        <v>0</v>
      </c>
      <c r="HU166" s="293">
        <v>69.447124157592043</v>
      </c>
      <c r="HV166" s="293">
        <v>0</v>
      </c>
      <c r="HW166" s="293">
        <v>0</v>
      </c>
      <c r="HX166" s="293">
        <v>69.765940058209665</v>
      </c>
      <c r="HY166" s="1076"/>
      <c r="HZ166" s="649"/>
      <c r="IH166" s="279"/>
      <c r="II166" s="279"/>
      <c r="IJ166" s="323"/>
      <c r="IK166" s="279"/>
      <c r="KT166" s="651"/>
      <c r="KU166" s="649"/>
    </row>
    <row r="167" spans="1:307" s="650" customFormat="1" outlineLevel="1">
      <c r="A167" s="644"/>
      <c r="B167" s="644"/>
      <c r="C167" s="644"/>
      <c r="D167" s="2079" t="s">
        <v>3708</v>
      </c>
      <c r="E167" s="645"/>
      <c r="F167" s="645"/>
      <c r="G167" s="646"/>
      <c r="H167" s="646"/>
      <c r="I167" s="646"/>
      <c r="J167" s="646"/>
      <c r="K167" s="646"/>
      <c r="L167" s="646"/>
      <c r="M167" s="646"/>
      <c r="N167" s="646"/>
      <c r="O167" s="646"/>
      <c r="P167" s="646"/>
      <c r="Q167" s="646"/>
      <c r="R167" s="646"/>
      <c r="S167" s="646"/>
      <c r="T167" s="646"/>
      <c r="U167" s="646"/>
      <c r="V167" s="646"/>
      <c r="W167" s="646"/>
      <c r="X167" s="646"/>
      <c r="Y167" s="646"/>
      <c r="Z167" s="646"/>
      <c r="AA167" s="646"/>
      <c r="AB167" s="646"/>
      <c r="AC167" s="646"/>
      <c r="AD167" s="646"/>
      <c r="AE167" s="646"/>
      <c r="AF167" s="646"/>
      <c r="AG167" s="646"/>
      <c r="AH167" s="646"/>
      <c r="AI167" s="646"/>
      <c r="AJ167" s="646"/>
      <c r="AK167" s="646"/>
      <c r="AL167" s="646"/>
      <c r="AM167" s="646"/>
      <c r="AN167" s="646"/>
      <c r="AO167" s="646"/>
      <c r="AP167" s="646"/>
      <c r="AQ167" s="646"/>
      <c r="AR167" s="646"/>
      <c r="AS167" s="646"/>
      <c r="AT167" s="646"/>
      <c r="AU167" s="646"/>
      <c r="AV167" s="646"/>
      <c r="AW167" s="646"/>
      <c r="AX167" s="646"/>
      <c r="AY167" s="646"/>
      <c r="AZ167" s="646"/>
      <c r="BA167" s="646"/>
      <c r="BB167" s="646"/>
      <c r="BC167" s="646"/>
      <c r="BD167" s="646"/>
      <c r="BE167" s="646"/>
      <c r="BF167" s="646"/>
      <c r="BG167" s="646"/>
      <c r="BH167" s="646"/>
      <c r="BI167" s="646"/>
      <c r="BJ167" s="646"/>
      <c r="BK167" s="646"/>
      <c r="BL167" s="646"/>
      <c r="BM167" s="646"/>
      <c r="BN167" s="646"/>
      <c r="BO167" s="646"/>
      <c r="BP167" s="646"/>
      <c r="BQ167" s="646"/>
      <c r="BR167" s="646"/>
      <c r="BS167" s="646"/>
      <c r="BT167" s="646"/>
      <c r="BU167" s="646"/>
      <c r="BV167" s="646"/>
      <c r="BW167" s="646"/>
      <c r="BX167" s="646"/>
      <c r="BY167" s="646"/>
      <c r="BZ167" s="646"/>
      <c r="CA167" s="646"/>
      <c r="CB167" s="646"/>
      <c r="CC167" s="646"/>
      <c r="CD167" s="646"/>
      <c r="CE167" s="647">
        <v>20.644770703771695</v>
      </c>
      <c r="CF167" s="646">
        <v>6.2068516957338105</v>
      </c>
      <c r="CG167" s="646">
        <v>33.654755862294493</v>
      </c>
      <c r="CH167" s="646">
        <v>40.164865416949603</v>
      </c>
      <c r="CI167" s="646">
        <v>33.30229618613545</v>
      </c>
      <c r="CJ167" s="646">
        <v>23.305426911000946</v>
      </c>
      <c r="CK167" s="646">
        <v>22.369328398681304</v>
      </c>
      <c r="CL167" s="646">
        <v>15.370313869472696</v>
      </c>
      <c r="CM167" s="646">
        <v>15.260357731845993</v>
      </c>
      <c r="CN167" s="646">
        <v>55.08162525346021</v>
      </c>
      <c r="CO167" s="646">
        <v>16.101722923910174</v>
      </c>
      <c r="CP167" s="648">
        <v>21.799460293312592</v>
      </c>
      <c r="CQ167" s="646">
        <v>16.87350672279609</v>
      </c>
      <c r="CR167" s="646">
        <v>20.574332516946019</v>
      </c>
      <c r="CS167" s="646">
        <v>13.677160760257889</v>
      </c>
      <c r="CT167" s="646">
        <v>22.966062853869769</v>
      </c>
      <c r="CU167" s="646">
        <v>25.792258359012344</v>
      </c>
      <c r="CV167" s="646">
        <v>25.594723744156603</v>
      </c>
      <c r="CW167" s="646">
        <v>18.835302128312126</v>
      </c>
      <c r="CX167" s="646">
        <v>20.69342160459518</v>
      </c>
      <c r="CY167" s="646">
        <v>18.249102545774683</v>
      </c>
      <c r="CZ167" s="646">
        <v>12.54749310504959</v>
      </c>
      <c r="DA167" s="646">
        <v>24.627020117877478</v>
      </c>
      <c r="DB167" s="1297">
        <v>20.593317581711101</v>
      </c>
      <c r="DC167" s="646">
        <v>13.452093833224433</v>
      </c>
      <c r="DD167" s="646">
        <v>19.022173646102264</v>
      </c>
      <c r="DE167" s="646">
        <v>15.875732520673303</v>
      </c>
      <c r="DF167" s="646">
        <v>10.355677608348262</v>
      </c>
      <c r="DG167" s="646">
        <v>9.0934462919717642</v>
      </c>
      <c r="DH167" s="646">
        <v>28.907471615502221</v>
      </c>
      <c r="DI167" s="646">
        <v>9.6377982635075625</v>
      </c>
      <c r="DJ167" s="646">
        <v>11.505491827422979</v>
      </c>
      <c r="DK167" s="646">
        <v>14.956709909069456</v>
      </c>
      <c r="DL167" s="646">
        <v>10.918476448112893</v>
      </c>
      <c r="DM167" s="646">
        <v>19.287035582032409</v>
      </c>
      <c r="DN167" s="648">
        <v>5.8944879698547039</v>
      </c>
      <c r="DO167" s="646">
        <v>12.136271271812186</v>
      </c>
      <c r="DP167" s="646">
        <v>12.133511288417928</v>
      </c>
      <c r="DQ167" s="646">
        <v>12.10521743976989</v>
      </c>
      <c r="DR167" s="646">
        <v>3.2359692316649102</v>
      </c>
      <c r="DS167" s="646">
        <v>15.106655246115155</v>
      </c>
      <c r="DT167" s="646">
        <v>18.032375522219933</v>
      </c>
      <c r="DU167" s="646">
        <v>10.988140744151838</v>
      </c>
      <c r="DV167" s="646">
        <v>15.698929868479176</v>
      </c>
      <c r="DW167" s="646">
        <v>9.9379293873689836</v>
      </c>
      <c r="DX167" s="646">
        <v>5.9392520350356071</v>
      </c>
      <c r="DY167" s="646">
        <v>11.606604623025165</v>
      </c>
      <c r="DZ167" s="648">
        <v>19.079143341939226</v>
      </c>
      <c r="EA167" s="1076">
        <v>12.04303298669176</v>
      </c>
      <c r="EB167" s="1076">
        <v>11.58141738339774</v>
      </c>
      <c r="EC167" s="1076">
        <v>18.953049629910502</v>
      </c>
      <c r="ED167" s="1076">
        <v>9.2129121794719193</v>
      </c>
      <c r="EE167" s="1076">
        <v>18.666473033356318</v>
      </c>
      <c r="EF167" s="1076">
        <v>14.698114787171765</v>
      </c>
      <c r="EG167" s="1076">
        <v>7.7343715577035592</v>
      </c>
      <c r="EH167" s="1076">
        <v>12.544701009695537</v>
      </c>
      <c r="EI167" s="1076">
        <v>21.498427432600909</v>
      </c>
      <c r="EJ167" s="1076">
        <v>3.5217398195229666</v>
      </c>
      <c r="EK167" s="1076">
        <v>8.0850167052850175</v>
      </c>
      <c r="EL167" s="1339">
        <v>30.170743475192022</v>
      </c>
      <c r="EM167" s="1089">
        <v>15.676377072254855</v>
      </c>
      <c r="EN167" s="1089">
        <v>16.280776577680143</v>
      </c>
      <c r="EO167" s="1089">
        <v>31.957153649935002</v>
      </c>
      <c r="EP167" s="1089">
        <v>25.689925104930648</v>
      </c>
      <c r="EQ167" s="1089">
        <v>6.238642488411001</v>
      </c>
      <c r="ER167" s="1089">
        <v>31.957153649935002</v>
      </c>
      <c r="ES167" s="1089">
        <v>11.77235596909156</v>
      </c>
      <c r="ET167" s="1089">
        <v>14.546519893461165</v>
      </c>
      <c r="EU167" s="1089">
        <v>26.318875862817901</v>
      </c>
      <c r="EV167" s="1089">
        <v>17.045294526785639</v>
      </c>
      <c r="EW167" s="1089">
        <v>9.2735813359162655</v>
      </c>
      <c r="EX167" s="1356">
        <v>26.318875862950499</v>
      </c>
      <c r="EY167" s="1089">
        <v>13.355919074614171</v>
      </c>
      <c r="EZ167" s="1089">
        <v>19.120340874614172</v>
      </c>
      <c r="FA167" s="1089">
        <v>32.476259949591501</v>
      </c>
      <c r="FB167" s="1089">
        <v>17.141012261463228</v>
      </c>
      <c r="FC167" s="1089">
        <v>19.380457481936588</v>
      </c>
      <c r="FD167" s="1089">
        <v>28.4262599495915</v>
      </c>
      <c r="FE167" s="1089">
        <v>18.57477772208745</v>
      </c>
      <c r="FF167" s="1089">
        <v>22.887552055495807</v>
      </c>
      <c r="FG167" s="1089">
        <v>23.485399915408056</v>
      </c>
      <c r="FH167" s="1089">
        <v>17.094977885269913</v>
      </c>
      <c r="FI167" s="1089">
        <v>25.711020665681996</v>
      </c>
      <c r="FJ167" s="1356">
        <v>22.173864846495658</v>
      </c>
      <c r="FK167" s="1089">
        <v>18.016468952481294</v>
      </c>
      <c r="FL167" s="1089">
        <v>22.038160849417618</v>
      </c>
      <c r="FM167" s="1089">
        <v>29.332774612660895</v>
      </c>
      <c r="FN167" s="1089">
        <v>20.310040481209192</v>
      </c>
      <c r="FO167" s="1089">
        <v>24.596989962932081</v>
      </c>
      <c r="FP167" s="1089">
        <v>24.480373970418551</v>
      </c>
      <c r="FQ167" s="1076">
        <v>26.0973223375467</v>
      </c>
      <c r="FR167" s="1076">
        <v>26.0973223375467</v>
      </c>
      <c r="FS167" s="1076">
        <v>27.482987069546699</v>
      </c>
      <c r="FT167" s="1076">
        <v>24.877549419213427</v>
      </c>
      <c r="FU167" s="1076">
        <v>26.540783368213397</v>
      </c>
      <c r="FV167" s="1076">
        <v>24.877549419213427</v>
      </c>
      <c r="FW167" s="1076">
        <v>25.52443471719846</v>
      </c>
      <c r="FX167" s="1076">
        <v>25.52443471719846</v>
      </c>
      <c r="FY167" s="1076">
        <v>25.52443471719846</v>
      </c>
      <c r="FZ167" s="1076">
        <v>34.523905375563082</v>
      </c>
      <c r="GA167" s="1076">
        <v>34.523905375563082</v>
      </c>
      <c r="GB167" s="1076">
        <v>34.523905375563082</v>
      </c>
      <c r="GC167" s="1076">
        <v>32.818074208225894</v>
      </c>
      <c r="GD167" s="1076">
        <v>32.818074208225894</v>
      </c>
      <c r="GE167" s="1076">
        <v>32.818074208225894</v>
      </c>
      <c r="GF167" s="1076">
        <v>32.818074208225894</v>
      </c>
      <c r="GG167" s="1076">
        <v>32.818074208225894</v>
      </c>
      <c r="GH167" s="1076">
        <v>32.818074208225894</v>
      </c>
      <c r="GI167" s="1076">
        <v>16.2176160074929</v>
      </c>
      <c r="GJ167" s="1076">
        <v>16.2176160074929</v>
      </c>
      <c r="GK167" s="1076">
        <v>16.2176160074929</v>
      </c>
      <c r="GL167" s="1076">
        <v>16.2176160074929</v>
      </c>
      <c r="GM167" s="1076">
        <v>16.2176160074929</v>
      </c>
      <c r="GN167" s="1076">
        <v>16.2176160074929</v>
      </c>
      <c r="GO167" s="1076">
        <v>9.518152400153971</v>
      </c>
      <c r="GP167" s="1076">
        <v>9.518152400153971</v>
      </c>
      <c r="GQ167" s="1076">
        <v>9.518152400153971</v>
      </c>
      <c r="GR167" s="1076">
        <v>9.518152400153971</v>
      </c>
      <c r="GS167" s="1076">
        <v>9.518152400153971</v>
      </c>
      <c r="GT167" s="1076">
        <v>9.518152400153971</v>
      </c>
      <c r="GU167" s="1076">
        <v>0</v>
      </c>
      <c r="GV167" s="1076">
        <v>0</v>
      </c>
      <c r="GW167" s="1076">
        <v>45.17447760066586</v>
      </c>
      <c r="GX167" s="1076">
        <v>0</v>
      </c>
      <c r="GY167" s="1076">
        <v>0</v>
      </c>
      <c r="GZ167" s="1076">
        <v>45.17447760066586</v>
      </c>
      <c r="HA167" s="1076">
        <v>0</v>
      </c>
      <c r="HB167" s="1076">
        <v>0</v>
      </c>
      <c r="HC167" s="1076">
        <v>47.88367306829565</v>
      </c>
      <c r="HD167" s="1076">
        <v>0</v>
      </c>
      <c r="HE167" s="1076">
        <v>0</v>
      </c>
      <c r="HF167" s="1076">
        <v>47.88367306829565</v>
      </c>
      <c r="HG167" s="1076">
        <v>0</v>
      </c>
      <c r="HH167" s="1076">
        <v>0</v>
      </c>
      <c r="HI167" s="1076">
        <v>44.842136541598634</v>
      </c>
      <c r="HJ167" s="1076">
        <v>0</v>
      </c>
      <c r="HK167" s="1076">
        <v>0</v>
      </c>
      <c r="HL167" s="293">
        <v>44.842136541598634</v>
      </c>
      <c r="HM167" s="293">
        <v>0</v>
      </c>
      <c r="HN167" s="293">
        <v>0</v>
      </c>
      <c r="HO167" s="293">
        <v>35.563367017415111</v>
      </c>
      <c r="HP167" s="293">
        <v>0</v>
      </c>
      <c r="HQ167" s="293">
        <v>0</v>
      </c>
      <c r="HR167" s="293">
        <v>35.928220111964883</v>
      </c>
      <c r="HS167" s="293">
        <v>0</v>
      </c>
      <c r="HT167" s="293">
        <v>0</v>
      </c>
      <c r="HU167" s="293">
        <v>40.919025720107157</v>
      </c>
      <c r="HV167" s="293">
        <v>0</v>
      </c>
      <c r="HW167" s="293">
        <v>0</v>
      </c>
      <c r="HX167" s="293">
        <v>95.916043137406874</v>
      </c>
      <c r="HY167" s="1076"/>
      <c r="HZ167" s="649"/>
      <c r="IH167" s="279"/>
      <c r="II167" s="279"/>
      <c r="IJ167" s="323"/>
      <c r="IK167" s="279"/>
      <c r="KT167" s="651"/>
      <c r="KU167" s="649"/>
    </row>
    <row r="168" spans="1:307" s="650" customFormat="1" outlineLevel="1">
      <c r="A168" s="644"/>
      <c r="B168" s="644" t="s">
        <v>338</v>
      </c>
      <c r="C168" s="644"/>
      <c r="D168" s="304" t="s">
        <v>3730</v>
      </c>
      <c r="E168" s="645"/>
      <c r="F168" s="645"/>
      <c r="G168" s="646"/>
      <c r="H168" s="646"/>
      <c r="I168" s="646"/>
      <c r="J168" s="646"/>
      <c r="K168" s="646"/>
      <c r="L168" s="646"/>
      <c r="M168" s="646"/>
      <c r="N168" s="646"/>
      <c r="O168" s="646"/>
      <c r="P168" s="646"/>
      <c r="Q168" s="646"/>
      <c r="R168" s="646"/>
      <c r="S168" s="646"/>
      <c r="T168" s="646"/>
      <c r="U168" s="646"/>
      <c r="V168" s="646"/>
      <c r="W168" s="646"/>
      <c r="X168" s="646"/>
      <c r="Y168" s="646"/>
      <c r="Z168" s="646"/>
      <c r="AA168" s="646"/>
      <c r="AB168" s="646"/>
      <c r="AC168" s="646"/>
      <c r="AD168" s="646"/>
      <c r="AE168" s="646"/>
      <c r="AF168" s="646"/>
      <c r="AG168" s="646"/>
      <c r="AH168" s="646"/>
      <c r="AI168" s="646"/>
      <c r="AJ168" s="646"/>
      <c r="AK168" s="646"/>
      <c r="AL168" s="646"/>
      <c r="AM168" s="646"/>
      <c r="AN168" s="646"/>
      <c r="AO168" s="646">
        <v>2.7846713838600001</v>
      </c>
      <c r="AP168" s="646">
        <v>2.2838342526300002</v>
      </c>
      <c r="AQ168" s="646">
        <v>4.9728172026600008</v>
      </c>
      <c r="AR168" s="646">
        <v>15.452738175209999</v>
      </c>
      <c r="AS168" s="646">
        <v>10.070286312447699</v>
      </c>
      <c r="AT168" s="646">
        <v>6.9923380982400003</v>
      </c>
      <c r="AU168" s="646">
        <v>6.3476310805599994</v>
      </c>
      <c r="AV168" s="646">
        <v>1.54431160675</v>
      </c>
      <c r="AW168" s="646">
        <v>23.568586275150004</v>
      </c>
      <c r="AX168" s="646">
        <v>5.1562520544800003</v>
      </c>
      <c r="AY168" s="646">
        <v>8.6995901676600003</v>
      </c>
      <c r="AZ168" s="646">
        <v>65.746169999999992</v>
      </c>
      <c r="BA168" s="646">
        <v>6.9407847683400004</v>
      </c>
      <c r="BB168" s="646">
        <v>3.716685</v>
      </c>
      <c r="BC168" s="646">
        <v>4.6120481280000005</v>
      </c>
      <c r="BD168" s="646">
        <v>4.7778259219999999</v>
      </c>
      <c r="BE168" s="646">
        <v>5.6324762848979999</v>
      </c>
      <c r="BF168" s="646">
        <v>10.509166204830001</v>
      </c>
      <c r="BG168" s="646">
        <v>8.4859735855999983</v>
      </c>
      <c r="BH168" s="646">
        <v>10.509797578320001</v>
      </c>
      <c r="BI168" s="646">
        <v>15.459804038510999</v>
      </c>
      <c r="BJ168" s="646">
        <v>65.894095070632986</v>
      </c>
      <c r="BK168" s="646">
        <v>14.553918843449999</v>
      </c>
      <c r="BL168" s="646">
        <v>23.440670179199998</v>
      </c>
      <c r="BM168" s="646">
        <v>4.2419242080149999</v>
      </c>
      <c r="BN168" s="646">
        <v>8.1679749082720008</v>
      </c>
      <c r="BO168" s="646">
        <v>5.8680692983300009</v>
      </c>
      <c r="BP168" s="646">
        <v>5.7516462499999994</v>
      </c>
      <c r="BQ168" s="646">
        <v>4.9902159925799996</v>
      </c>
      <c r="BR168" s="646">
        <v>49.511530169479997</v>
      </c>
      <c r="BS168" s="646">
        <v>12.665726178798</v>
      </c>
      <c r="BT168" s="646">
        <v>15.417515913019999</v>
      </c>
      <c r="BU168" s="646">
        <v>7.0113325511249993</v>
      </c>
      <c r="BV168" s="646">
        <v>8.3784175327949999</v>
      </c>
      <c r="BW168" s="646">
        <v>44.767696505560004</v>
      </c>
      <c r="BX168" s="646">
        <v>30.299310001797</v>
      </c>
      <c r="BY168" s="646">
        <v>6.7434907721499995</v>
      </c>
      <c r="BZ168" s="646">
        <v>4.3116575726509998</v>
      </c>
      <c r="CA168" s="646">
        <v>9.2667140826400001</v>
      </c>
      <c r="CB168" s="646">
        <v>7.2396588056980011</v>
      </c>
      <c r="CC168" s="646">
        <v>10.361246458463999</v>
      </c>
      <c r="CD168" s="646">
        <v>11.656105626766999</v>
      </c>
      <c r="CE168" s="647">
        <v>20.644770703771695</v>
      </c>
      <c r="CF168" s="646">
        <v>6.2068516957338105</v>
      </c>
      <c r="CG168" s="646">
        <v>33.654755862294493</v>
      </c>
      <c r="CH168" s="646">
        <v>40.164865416949603</v>
      </c>
      <c r="CI168" s="646">
        <v>33.30229618613545</v>
      </c>
      <c r="CJ168" s="646">
        <v>23.305426911000946</v>
      </c>
      <c r="CK168" s="646">
        <v>22.369328398681304</v>
      </c>
      <c r="CL168" s="646">
        <v>15.370313869472696</v>
      </c>
      <c r="CM168" s="646">
        <v>15.260357731845993</v>
      </c>
      <c r="CN168" s="646">
        <v>55.08162525346021</v>
      </c>
      <c r="CO168" s="646">
        <v>16.101722923910174</v>
      </c>
      <c r="CP168" s="648">
        <v>21.799460293312592</v>
      </c>
      <c r="CQ168" s="646">
        <v>16.87350672279609</v>
      </c>
      <c r="CR168" s="646">
        <v>20.574332516946019</v>
      </c>
      <c r="CS168" s="646">
        <v>13.677160760257889</v>
      </c>
      <c r="CT168" s="646">
        <v>22.966062853869769</v>
      </c>
      <c r="CU168" s="646">
        <v>25.792258359012344</v>
      </c>
      <c r="CV168" s="646">
        <v>25.594723744156603</v>
      </c>
      <c r="CW168" s="646">
        <v>18.835302128312126</v>
      </c>
      <c r="CX168" s="646">
        <v>20.69342160459518</v>
      </c>
      <c r="CY168" s="646">
        <v>18.249102545774683</v>
      </c>
      <c r="CZ168" s="646">
        <v>12.54749310504959</v>
      </c>
      <c r="DA168" s="646">
        <v>24.627020117877478</v>
      </c>
      <c r="DB168" s="1297">
        <v>20.593317581711101</v>
      </c>
      <c r="DC168" s="646">
        <v>13.452093833224433</v>
      </c>
      <c r="DD168" s="646">
        <v>19.022173646102264</v>
      </c>
      <c r="DE168" s="646">
        <v>15.875732520673303</v>
      </c>
      <c r="DF168" s="646">
        <v>10.355677608348262</v>
      </c>
      <c r="DG168" s="646">
        <v>9.0934462919717642</v>
      </c>
      <c r="DH168" s="646">
        <v>28.907471615502221</v>
      </c>
      <c r="DI168" s="646">
        <v>9.6377982635075625</v>
      </c>
      <c r="DJ168" s="646">
        <v>11.505491827422979</v>
      </c>
      <c r="DK168" s="646">
        <v>14.956709909069456</v>
      </c>
      <c r="DL168" s="646">
        <v>10.918476448112893</v>
      </c>
      <c r="DM168" s="646">
        <v>19.287035582032409</v>
      </c>
      <c r="DN168" s="648">
        <v>5.8944879698547039</v>
      </c>
      <c r="DO168" s="646">
        <v>12.136271271812186</v>
      </c>
      <c r="DP168" s="646">
        <v>12.133511288417928</v>
      </c>
      <c r="DQ168" s="646">
        <v>12.10521743976989</v>
      </c>
      <c r="DR168" s="646">
        <v>3.2359692316649102</v>
      </c>
      <c r="DS168" s="646">
        <v>15.106655246115155</v>
      </c>
      <c r="DT168" s="646">
        <v>18.032375522219933</v>
      </c>
      <c r="DU168" s="646">
        <v>10.988140744151838</v>
      </c>
      <c r="DV168" s="646">
        <v>15.698929868479176</v>
      </c>
      <c r="DW168" s="646">
        <v>9.9379293873689836</v>
      </c>
      <c r="DX168" s="646">
        <v>5.9392520350356071</v>
      </c>
      <c r="DY168" s="646">
        <v>11.606604623025165</v>
      </c>
      <c r="DZ168" s="648">
        <v>19.079143341939226</v>
      </c>
      <c r="EA168" s="1076">
        <v>12.04303298669176</v>
      </c>
      <c r="EB168" s="1076">
        <v>11.58141738339774</v>
      </c>
      <c r="EC168" s="1076">
        <v>18.953049629910502</v>
      </c>
      <c r="ED168" s="1076">
        <v>9.2129121794719193</v>
      </c>
      <c r="EE168" s="1076">
        <v>18.666473033356318</v>
      </c>
      <c r="EF168" s="1076">
        <v>14.698114787171765</v>
      </c>
      <c r="EG168" s="1076">
        <v>7.7343715577035592</v>
      </c>
      <c r="EH168" s="1076">
        <v>12.544701009695537</v>
      </c>
      <c r="EI168" s="1076">
        <v>21.498427432600909</v>
      </c>
      <c r="EJ168" s="1076">
        <v>3.5217398195229666</v>
      </c>
      <c r="EK168" s="1076">
        <v>8.0850167052850175</v>
      </c>
      <c r="EL168" s="1339">
        <v>30.170743475192022</v>
      </c>
      <c r="EM168" s="1089">
        <v>15.676377072254855</v>
      </c>
      <c r="EN168" s="1089">
        <v>16.280776577680143</v>
      </c>
      <c r="EO168" s="1089">
        <v>31.957153649935002</v>
      </c>
      <c r="EP168" s="1089">
        <v>25.689925104930648</v>
      </c>
      <c r="EQ168" s="1089">
        <v>6.238642488411001</v>
      </c>
      <c r="ER168" s="1089">
        <v>31.957153649935002</v>
      </c>
      <c r="ES168" s="1089">
        <v>11.77235596909156</v>
      </c>
      <c r="ET168" s="1089">
        <v>14.546519893461165</v>
      </c>
      <c r="EU168" s="1089">
        <v>26.318875862817901</v>
      </c>
      <c r="EV168" s="1089">
        <v>17.045294526785639</v>
      </c>
      <c r="EW168" s="1089">
        <v>9.2735813359162655</v>
      </c>
      <c r="EX168" s="1356">
        <v>26.318875862950499</v>
      </c>
      <c r="EY168" s="1089">
        <v>13.355919074614171</v>
      </c>
      <c r="EZ168" s="1089">
        <v>19.120340874614172</v>
      </c>
      <c r="FA168" s="1089">
        <v>32.476259949591501</v>
      </c>
      <c r="FB168" s="1089">
        <v>17.141012261463228</v>
      </c>
      <c r="FC168" s="1089">
        <v>19.380457481936588</v>
      </c>
      <c r="FD168" s="1089">
        <v>28.4262599495915</v>
      </c>
      <c r="FE168" s="1089">
        <v>18.57477772208745</v>
      </c>
      <c r="FF168" s="1089">
        <v>22.887552055495807</v>
      </c>
      <c r="FG168" s="1089">
        <v>23.485399915408056</v>
      </c>
      <c r="FH168" s="1089">
        <v>17.094977885269913</v>
      </c>
      <c r="FI168" s="1089">
        <v>25.711020665681996</v>
      </c>
      <c r="FJ168" s="1356">
        <v>22.173864846495658</v>
      </c>
      <c r="FK168" s="1089">
        <v>18.016468952481294</v>
      </c>
      <c r="FL168" s="1089">
        <v>22.038160849417618</v>
      </c>
      <c r="FM168" s="1089">
        <v>29.332774612660895</v>
      </c>
      <c r="FN168" s="1089">
        <v>20.310040481209192</v>
      </c>
      <c r="FO168" s="1089">
        <v>24.596989962932081</v>
      </c>
      <c r="FP168" s="1089">
        <v>24.480373970418551</v>
      </c>
      <c r="FQ168" s="1076">
        <v>26.0973223375467</v>
      </c>
      <c r="FR168" s="1076">
        <v>26.0973223375467</v>
      </c>
      <c r="FS168" s="1076">
        <v>27.482987069546699</v>
      </c>
      <c r="FT168" s="1076">
        <v>24.877549419213427</v>
      </c>
      <c r="FU168" s="1076">
        <v>26.540783368213397</v>
      </c>
      <c r="FV168" s="1076">
        <v>24.877549419213427</v>
      </c>
      <c r="FW168" s="1076">
        <v>25.52443471719846</v>
      </c>
      <c r="FX168" s="1076">
        <v>25.52443471719846</v>
      </c>
      <c r="FY168" s="1076">
        <v>25.52443471719846</v>
      </c>
      <c r="FZ168" s="1076">
        <v>34.523905375563082</v>
      </c>
      <c r="GA168" s="1076">
        <v>34.523905375563082</v>
      </c>
      <c r="GB168" s="1076">
        <v>34.523905375563082</v>
      </c>
      <c r="GC168" s="1076">
        <v>32.818074208225894</v>
      </c>
      <c r="GD168" s="1076">
        <v>32.818074208225894</v>
      </c>
      <c r="GE168" s="1076">
        <v>32.818074208225894</v>
      </c>
      <c r="GF168" s="1076">
        <v>32.818074208225894</v>
      </c>
      <c r="GG168" s="1076">
        <v>32.818074208225894</v>
      </c>
      <c r="GH168" s="1076">
        <v>32.818074208225894</v>
      </c>
      <c r="GI168" s="1076">
        <v>31.0326441574929</v>
      </c>
      <c r="GJ168" s="1076">
        <v>31.0326441574929</v>
      </c>
      <c r="GK168" s="1076">
        <v>31.0326441574929</v>
      </c>
      <c r="GL168" s="1076">
        <v>31.0326441574929</v>
      </c>
      <c r="GM168" s="1076">
        <v>31.0326441574929</v>
      </c>
      <c r="GN168" s="1076">
        <v>31.0326441574929</v>
      </c>
      <c r="GO168" s="1076">
        <v>35.848173299673974</v>
      </c>
      <c r="GP168" s="1076">
        <v>35.848173299673974</v>
      </c>
      <c r="GQ168" s="1076">
        <v>35.848173299673974</v>
      </c>
      <c r="GR168" s="1076">
        <v>35.848173299673974</v>
      </c>
      <c r="GS168" s="1076">
        <v>35.848173299673974</v>
      </c>
      <c r="GT168" s="1076">
        <v>35.848173299673974</v>
      </c>
      <c r="GU168" s="1076">
        <v>0</v>
      </c>
      <c r="GV168" s="1076">
        <v>0</v>
      </c>
      <c r="GW168" s="1076">
        <v>117.44146535267444</v>
      </c>
      <c r="GX168" s="1076">
        <v>0</v>
      </c>
      <c r="GY168" s="1076">
        <v>0</v>
      </c>
      <c r="GZ168" s="1076">
        <v>117.44146535267444</v>
      </c>
      <c r="HA168" s="1076">
        <v>0</v>
      </c>
      <c r="HB168" s="1076">
        <v>0</v>
      </c>
      <c r="HC168" s="1076">
        <v>134.59885922009536</v>
      </c>
      <c r="HD168" s="1076">
        <v>0</v>
      </c>
      <c r="HE168" s="1076">
        <v>0</v>
      </c>
      <c r="HF168" s="1076">
        <v>134.59885922009536</v>
      </c>
      <c r="HG168" s="1076">
        <v>49.879732205343004</v>
      </c>
      <c r="HH168" s="1076">
        <v>18.934514546271</v>
      </c>
      <c r="HI168" s="1076">
        <v>66.736240651427991</v>
      </c>
      <c r="HJ168" s="1076">
        <v>74.895360717955</v>
      </c>
      <c r="HK168" s="1076">
        <v>42.123375037326014</v>
      </c>
      <c r="HL168" s="293">
        <v>127.8921099328622</v>
      </c>
      <c r="HM168" s="293">
        <v>54.966984160314993</v>
      </c>
      <c r="HN168" s="293">
        <v>23.751190503989001</v>
      </c>
      <c r="HO168" s="293">
        <v>77.731444028875003</v>
      </c>
      <c r="HP168" s="293">
        <v>50.786878182816004</v>
      </c>
      <c r="HQ168" s="293">
        <v>72.235398328367992</v>
      </c>
      <c r="HR168" s="293">
        <v>79.028235299879</v>
      </c>
      <c r="HS168" s="293"/>
      <c r="HT168" s="293"/>
      <c r="HU168" s="293"/>
      <c r="HV168" s="293"/>
      <c r="HW168" s="293"/>
      <c r="HX168" s="293"/>
      <c r="HY168" s="1076"/>
      <c r="HZ168" s="649"/>
      <c r="IH168" s="279">
        <f t="shared" si="25"/>
        <v>96.706595515822244</v>
      </c>
      <c r="II168" s="279">
        <f t="shared" si="26"/>
        <v>72.2</v>
      </c>
      <c r="IJ168" s="323">
        <f t="shared" si="27"/>
        <v>168.90659551582223</v>
      </c>
      <c r="IK168" s="279">
        <f t="shared" si="28"/>
        <v>72.75</v>
      </c>
      <c r="KT168" s="651"/>
      <c r="KU168" s="649"/>
    </row>
    <row r="169" spans="1:307" s="650" customFormat="1" outlineLevel="1">
      <c r="A169" s="644"/>
      <c r="B169" s="644"/>
      <c r="C169" s="644"/>
      <c r="D169" s="2079" t="s">
        <v>3728</v>
      </c>
      <c r="E169" s="645"/>
      <c r="F169" s="645"/>
      <c r="G169" s="646"/>
      <c r="H169" s="646"/>
      <c r="I169" s="646"/>
      <c r="J169" s="646"/>
      <c r="K169" s="646"/>
      <c r="L169" s="646"/>
      <c r="M169" s="646"/>
      <c r="N169" s="646"/>
      <c r="O169" s="646"/>
      <c r="P169" s="646"/>
      <c r="Q169" s="646"/>
      <c r="R169" s="646"/>
      <c r="S169" s="646"/>
      <c r="T169" s="646"/>
      <c r="U169" s="646"/>
      <c r="V169" s="646"/>
      <c r="W169" s="646"/>
      <c r="X169" s="646"/>
      <c r="Y169" s="646"/>
      <c r="Z169" s="646"/>
      <c r="AA169" s="646"/>
      <c r="AB169" s="646"/>
      <c r="AC169" s="646"/>
      <c r="AD169" s="646"/>
      <c r="AE169" s="646"/>
      <c r="AF169" s="646"/>
      <c r="AG169" s="646"/>
      <c r="AH169" s="646"/>
      <c r="AI169" s="646"/>
      <c r="AJ169" s="646"/>
      <c r="AK169" s="646"/>
      <c r="AL169" s="646"/>
      <c r="AM169" s="646"/>
      <c r="AN169" s="646"/>
      <c r="AO169" s="646"/>
      <c r="AP169" s="646"/>
      <c r="AQ169" s="646"/>
      <c r="AR169" s="646"/>
      <c r="AS169" s="646"/>
      <c r="AT169" s="646"/>
      <c r="AU169" s="646"/>
      <c r="AV169" s="646"/>
      <c r="AW169" s="646"/>
      <c r="AX169" s="646"/>
      <c r="AY169" s="646"/>
      <c r="AZ169" s="646"/>
      <c r="BA169" s="646"/>
      <c r="BB169" s="646"/>
      <c r="BC169" s="646"/>
      <c r="BD169" s="646"/>
      <c r="BE169" s="646"/>
      <c r="BF169" s="646"/>
      <c r="BG169" s="646"/>
      <c r="BH169" s="646"/>
      <c r="BI169" s="646"/>
      <c r="BJ169" s="646"/>
      <c r="BK169" s="646"/>
      <c r="BL169" s="646"/>
      <c r="BM169" s="646"/>
      <c r="BN169" s="646"/>
      <c r="BO169" s="646"/>
      <c r="BP169" s="646"/>
      <c r="BQ169" s="646"/>
      <c r="BR169" s="646"/>
      <c r="BS169" s="646"/>
      <c r="BT169" s="646"/>
      <c r="BU169" s="646"/>
      <c r="BV169" s="646"/>
      <c r="BW169" s="646"/>
      <c r="BX169" s="646"/>
      <c r="BY169" s="646"/>
      <c r="BZ169" s="646"/>
      <c r="CA169" s="646"/>
      <c r="CB169" s="646"/>
      <c r="CC169" s="646"/>
      <c r="CD169" s="646"/>
      <c r="CE169" s="647">
        <v>0</v>
      </c>
      <c r="CF169" s="646">
        <v>0</v>
      </c>
      <c r="CG169" s="646">
        <v>0</v>
      </c>
      <c r="CH169" s="646">
        <v>0</v>
      </c>
      <c r="CI169" s="646">
        <v>0</v>
      </c>
      <c r="CJ169" s="646">
        <v>0</v>
      </c>
      <c r="CK169" s="646">
        <v>0</v>
      </c>
      <c r="CL169" s="646">
        <v>0</v>
      </c>
      <c r="CM169" s="646">
        <v>0</v>
      </c>
      <c r="CN169" s="646">
        <v>0</v>
      </c>
      <c r="CO169" s="646">
        <v>0</v>
      </c>
      <c r="CP169" s="648">
        <v>0</v>
      </c>
      <c r="CQ169" s="646">
        <v>0</v>
      </c>
      <c r="CR169" s="646">
        <v>0</v>
      </c>
      <c r="CS169" s="646">
        <v>0</v>
      </c>
      <c r="CT169" s="646">
        <v>0</v>
      </c>
      <c r="CU169" s="646">
        <v>0</v>
      </c>
      <c r="CV169" s="646">
        <v>0</v>
      </c>
      <c r="CW169" s="646">
        <v>0</v>
      </c>
      <c r="CX169" s="646">
        <v>0</v>
      </c>
      <c r="CY169" s="646">
        <v>0</v>
      </c>
      <c r="CZ169" s="646">
        <v>0</v>
      </c>
      <c r="DA169" s="646">
        <v>0</v>
      </c>
      <c r="DB169" s="1297">
        <v>0</v>
      </c>
      <c r="DC169" s="646">
        <v>0</v>
      </c>
      <c r="DD169" s="646">
        <v>0</v>
      </c>
      <c r="DE169" s="646">
        <v>0</v>
      </c>
      <c r="DF169" s="646">
        <v>0</v>
      </c>
      <c r="DG169" s="646">
        <v>0</v>
      </c>
      <c r="DH169" s="646">
        <v>0</v>
      </c>
      <c r="DI169" s="646">
        <v>0</v>
      </c>
      <c r="DJ169" s="646">
        <v>0</v>
      </c>
      <c r="DK169" s="646">
        <v>0</v>
      </c>
      <c r="DL169" s="646">
        <v>0</v>
      </c>
      <c r="DM169" s="646">
        <v>0</v>
      </c>
      <c r="DN169" s="648">
        <v>0</v>
      </c>
      <c r="DO169" s="646">
        <v>0</v>
      </c>
      <c r="DP169" s="646">
        <v>0</v>
      </c>
      <c r="DQ169" s="646">
        <v>0</v>
      </c>
      <c r="DR169" s="646">
        <v>0</v>
      </c>
      <c r="DS169" s="646">
        <v>0</v>
      </c>
      <c r="DT169" s="646">
        <v>0</v>
      </c>
      <c r="DU169" s="646">
        <v>0</v>
      </c>
      <c r="DV169" s="646">
        <v>0</v>
      </c>
      <c r="DW169" s="646">
        <v>0</v>
      </c>
      <c r="DX169" s="646">
        <v>0</v>
      </c>
      <c r="DY169" s="646">
        <v>0</v>
      </c>
      <c r="DZ169" s="648">
        <v>0</v>
      </c>
      <c r="EA169" s="1076">
        <v>0</v>
      </c>
      <c r="EB169" s="1076">
        <v>0</v>
      </c>
      <c r="EC169" s="1076">
        <v>0</v>
      </c>
      <c r="ED169" s="1076">
        <v>0</v>
      </c>
      <c r="EE169" s="1076">
        <v>0</v>
      </c>
      <c r="EF169" s="1076">
        <v>0</v>
      </c>
      <c r="EG169" s="1076">
        <v>0</v>
      </c>
      <c r="EH169" s="1076">
        <v>0</v>
      </c>
      <c r="EI169" s="1076">
        <v>0</v>
      </c>
      <c r="EJ169" s="1076">
        <v>0</v>
      </c>
      <c r="EK169" s="1076">
        <v>0</v>
      </c>
      <c r="EL169" s="1339">
        <v>0</v>
      </c>
      <c r="EM169" s="1089">
        <v>0</v>
      </c>
      <c r="EN169" s="1089">
        <v>0</v>
      </c>
      <c r="EO169" s="1089">
        <v>0</v>
      </c>
      <c r="EP169" s="1089">
        <v>0</v>
      </c>
      <c r="EQ169" s="1089">
        <v>0</v>
      </c>
      <c r="ER169" s="1089">
        <v>0</v>
      </c>
      <c r="ES169" s="1089">
        <v>0</v>
      </c>
      <c r="ET169" s="1089">
        <v>0</v>
      </c>
      <c r="EU169" s="1089">
        <v>0</v>
      </c>
      <c r="EV169" s="1089">
        <v>0</v>
      </c>
      <c r="EW169" s="1089">
        <v>0</v>
      </c>
      <c r="EX169" s="1356">
        <v>0</v>
      </c>
      <c r="EY169" s="1089">
        <v>0</v>
      </c>
      <c r="EZ169" s="1089">
        <v>0</v>
      </c>
      <c r="FA169" s="1089">
        <v>0</v>
      </c>
      <c r="FB169" s="1089">
        <v>0</v>
      </c>
      <c r="FC169" s="1089">
        <v>0</v>
      </c>
      <c r="FD169" s="1089">
        <v>0</v>
      </c>
      <c r="FE169" s="1089">
        <v>0</v>
      </c>
      <c r="FF169" s="1089">
        <v>0</v>
      </c>
      <c r="FG169" s="1089">
        <v>0</v>
      </c>
      <c r="FH169" s="1089">
        <v>0</v>
      </c>
      <c r="FI169" s="1089">
        <v>0</v>
      </c>
      <c r="FJ169" s="1356">
        <v>0</v>
      </c>
      <c r="FK169" s="1089">
        <v>0</v>
      </c>
      <c r="FL169" s="1089">
        <v>0</v>
      </c>
      <c r="FM169" s="1089">
        <v>0</v>
      </c>
      <c r="FN169" s="1089">
        <v>0</v>
      </c>
      <c r="FO169" s="1089">
        <v>0</v>
      </c>
      <c r="FP169" s="1089">
        <v>0</v>
      </c>
      <c r="FQ169" s="1076">
        <v>0</v>
      </c>
      <c r="FR169" s="1076">
        <v>0</v>
      </c>
      <c r="FS169" s="1076">
        <v>0</v>
      </c>
      <c r="FT169" s="1076">
        <v>0</v>
      </c>
      <c r="FU169" s="1076">
        <v>0</v>
      </c>
      <c r="FV169" s="1076">
        <v>0</v>
      </c>
      <c r="FW169" s="1076">
        <v>0</v>
      </c>
      <c r="FX169" s="1076">
        <v>0</v>
      </c>
      <c r="FY169" s="1076">
        <v>0</v>
      </c>
      <c r="FZ169" s="1076">
        <v>0</v>
      </c>
      <c r="GA169" s="1076">
        <v>0</v>
      </c>
      <c r="GB169" s="1076">
        <v>0</v>
      </c>
      <c r="GC169" s="1076">
        <v>0</v>
      </c>
      <c r="GD169" s="1076">
        <v>0</v>
      </c>
      <c r="GE169" s="1076">
        <v>0</v>
      </c>
      <c r="GF169" s="1076">
        <v>0</v>
      </c>
      <c r="GG169" s="1076">
        <v>0</v>
      </c>
      <c r="GH169" s="1076">
        <v>0</v>
      </c>
      <c r="GI169" s="1076">
        <v>14.81502815</v>
      </c>
      <c r="GJ169" s="1076">
        <v>14.81502815</v>
      </c>
      <c r="GK169" s="1076">
        <v>14.81502815</v>
      </c>
      <c r="GL169" s="1076">
        <v>14.81502815</v>
      </c>
      <c r="GM169" s="1076">
        <v>14.81502815</v>
      </c>
      <c r="GN169" s="1076">
        <v>14.81502815</v>
      </c>
      <c r="GO169" s="1076">
        <v>26.330020899520001</v>
      </c>
      <c r="GP169" s="1076">
        <v>26.330020899520001</v>
      </c>
      <c r="GQ169" s="1076">
        <v>26.330020899520001</v>
      </c>
      <c r="GR169" s="1076">
        <v>26.330020899520001</v>
      </c>
      <c r="GS169" s="1076">
        <v>26.330020899520001</v>
      </c>
      <c r="GT169" s="1076">
        <v>26.330020899520001</v>
      </c>
      <c r="GU169" s="1076">
        <v>0</v>
      </c>
      <c r="GV169" s="1076">
        <v>0</v>
      </c>
      <c r="GW169" s="1076">
        <v>72.266987752008589</v>
      </c>
      <c r="GX169" s="1076">
        <v>0</v>
      </c>
      <c r="GY169" s="1076">
        <v>0</v>
      </c>
      <c r="GZ169" s="1076">
        <v>72.266987752008589</v>
      </c>
      <c r="HA169" s="1076">
        <v>0</v>
      </c>
      <c r="HB169" s="1076">
        <v>0</v>
      </c>
      <c r="HC169" s="1076">
        <v>86.715186151799713</v>
      </c>
      <c r="HD169" s="1076">
        <v>0</v>
      </c>
      <c r="HE169" s="1076">
        <v>0</v>
      </c>
      <c r="HF169" s="1076">
        <v>86.715186151799713</v>
      </c>
      <c r="HG169" s="1076">
        <v>0</v>
      </c>
      <c r="HH169" s="1076">
        <v>0</v>
      </c>
      <c r="HI169" s="1076">
        <v>76.674013141162661</v>
      </c>
      <c r="HJ169" s="1076">
        <v>0</v>
      </c>
      <c r="HK169" s="1076">
        <v>0</v>
      </c>
      <c r="HL169" s="293">
        <v>76.674013141162661</v>
      </c>
      <c r="HM169" s="293"/>
      <c r="HN169" s="293"/>
      <c r="HO169" s="293"/>
      <c r="HP169" s="293"/>
      <c r="HQ169" s="293"/>
      <c r="HR169" s="293"/>
      <c r="HS169" s="293"/>
      <c r="HT169" s="293"/>
      <c r="HU169" s="293"/>
      <c r="HV169" s="293"/>
      <c r="HW169" s="293"/>
      <c r="HX169" s="293"/>
      <c r="HY169" s="1076"/>
      <c r="HZ169" s="649"/>
      <c r="IH169" s="279"/>
      <c r="II169" s="279"/>
      <c r="IJ169" s="323"/>
      <c r="IK169" s="279"/>
      <c r="KT169" s="651"/>
      <c r="KU169" s="649"/>
    </row>
    <row r="170" spans="1:307" s="650" customFormat="1" outlineLevel="1">
      <c r="A170" s="644"/>
      <c r="B170" s="644"/>
      <c r="C170" s="644"/>
      <c r="D170" s="2079" t="s">
        <v>3729</v>
      </c>
      <c r="E170" s="645"/>
      <c r="F170" s="645"/>
      <c r="G170" s="646"/>
      <c r="H170" s="646"/>
      <c r="I170" s="646"/>
      <c r="J170" s="646"/>
      <c r="K170" s="646"/>
      <c r="L170" s="646"/>
      <c r="M170" s="646"/>
      <c r="N170" s="646"/>
      <c r="O170" s="646"/>
      <c r="P170" s="646"/>
      <c r="Q170" s="646"/>
      <c r="R170" s="646"/>
      <c r="S170" s="646"/>
      <c r="T170" s="646"/>
      <c r="U170" s="646"/>
      <c r="V170" s="646"/>
      <c r="W170" s="646"/>
      <c r="X170" s="646"/>
      <c r="Y170" s="646"/>
      <c r="Z170" s="646"/>
      <c r="AA170" s="646"/>
      <c r="AB170" s="646"/>
      <c r="AC170" s="646"/>
      <c r="AD170" s="646"/>
      <c r="AE170" s="646"/>
      <c r="AF170" s="646"/>
      <c r="AG170" s="646"/>
      <c r="AH170" s="646"/>
      <c r="AI170" s="646"/>
      <c r="AJ170" s="646"/>
      <c r="AK170" s="646"/>
      <c r="AL170" s="646"/>
      <c r="AM170" s="646"/>
      <c r="AN170" s="646"/>
      <c r="AO170" s="646"/>
      <c r="AP170" s="646"/>
      <c r="AQ170" s="646"/>
      <c r="AR170" s="646"/>
      <c r="AS170" s="646"/>
      <c r="AT170" s="646"/>
      <c r="AU170" s="646"/>
      <c r="AV170" s="646"/>
      <c r="AW170" s="646"/>
      <c r="AX170" s="646"/>
      <c r="AY170" s="646"/>
      <c r="AZ170" s="646"/>
      <c r="BA170" s="646"/>
      <c r="BB170" s="646"/>
      <c r="BC170" s="646"/>
      <c r="BD170" s="646"/>
      <c r="BE170" s="646"/>
      <c r="BF170" s="646"/>
      <c r="BG170" s="646"/>
      <c r="BH170" s="646"/>
      <c r="BI170" s="646"/>
      <c r="BJ170" s="646"/>
      <c r="BK170" s="646"/>
      <c r="BL170" s="646"/>
      <c r="BM170" s="646"/>
      <c r="BN170" s="646"/>
      <c r="BO170" s="646"/>
      <c r="BP170" s="646"/>
      <c r="BQ170" s="646"/>
      <c r="BR170" s="646"/>
      <c r="BS170" s="646"/>
      <c r="BT170" s="646"/>
      <c r="BU170" s="646"/>
      <c r="BV170" s="646"/>
      <c r="BW170" s="646"/>
      <c r="BX170" s="646"/>
      <c r="BY170" s="646"/>
      <c r="BZ170" s="646"/>
      <c r="CA170" s="646"/>
      <c r="CB170" s="646"/>
      <c r="CC170" s="646"/>
      <c r="CD170" s="646"/>
      <c r="CE170" s="647">
        <v>20.644770703771695</v>
      </c>
      <c r="CF170" s="646">
        <v>6.2068516957338105</v>
      </c>
      <c r="CG170" s="646">
        <v>33.654755862294493</v>
      </c>
      <c r="CH170" s="646">
        <v>40.164865416949603</v>
      </c>
      <c r="CI170" s="646">
        <v>33.30229618613545</v>
      </c>
      <c r="CJ170" s="646">
        <v>23.305426911000946</v>
      </c>
      <c r="CK170" s="646">
        <v>22.369328398681304</v>
      </c>
      <c r="CL170" s="646">
        <v>15.370313869472696</v>
      </c>
      <c r="CM170" s="646">
        <v>15.260357731845993</v>
      </c>
      <c r="CN170" s="646">
        <v>55.08162525346021</v>
      </c>
      <c r="CO170" s="646">
        <v>16.101722923910174</v>
      </c>
      <c r="CP170" s="648">
        <v>21.799460293312592</v>
      </c>
      <c r="CQ170" s="646">
        <v>16.87350672279609</v>
      </c>
      <c r="CR170" s="646">
        <v>20.574332516946019</v>
      </c>
      <c r="CS170" s="646">
        <v>13.677160760257889</v>
      </c>
      <c r="CT170" s="646">
        <v>22.966062853869769</v>
      </c>
      <c r="CU170" s="646">
        <v>25.792258359012344</v>
      </c>
      <c r="CV170" s="646">
        <v>25.594723744156603</v>
      </c>
      <c r="CW170" s="646">
        <v>18.835302128312126</v>
      </c>
      <c r="CX170" s="646">
        <v>20.69342160459518</v>
      </c>
      <c r="CY170" s="646">
        <v>18.249102545774683</v>
      </c>
      <c r="CZ170" s="646">
        <v>12.54749310504959</v>
      </c>
      <c r="DA170" s="646">
        <v>24.627020117877478</v>
      </c>
      <c r="DB170" s="1297">
        <v>20.593317581711101</v>
      </c>
      <c r="DC170" s="646">
        <v>13.452093833224433</v>
      </c>
      <c r="DD170" s="646">
        <v>19.022173646102264</v>
      </c>
      <c r="DE170" s="646">
        <v>15.875732520673303</v>
      </c>
      <c r="DF170" s="646">
        <v>10.355677608348262</v>
      </c>
      <c r="DG170" s="646">
        <v>9.0934462919717642</v>
      </c>
      <c r="DH170" s="646">
        <v>28.907471615502221</v>
      </c>
      <c r="DI170" s="646">
        <v>9.6377982635075625</v>
      </c>
      <c r="DJ170" s="646">
        <v>11.505491827422979</v>
      </c>
      <c r="DK170" s="646">
        <v>14.956709909069456</v>
      </c>
      <c r="DL170" s="646">
        <v>10.918476448112893</v>
      </c>
      <c r="DM170" s="646">
        <v>19.287035582032409</v>
      </c>
      <c r="DN170" s="648">
        <v>5.8944879698547039</v>
      </c>
      <c r="DO170" s="646">
        <v>12.136271271812186</v>
      </c>
      <c r="DP170" s="646">
        <v>12.133511288417928</v>
      </c>
      <c r="DQ170" s="646">
        <v>12.10521743976989</v>
      </c>
      <c r="DR170" s="646">
        <v>3.2359692316649102</v>
      </c>
      <c r="DS170" s="646">
        <v>15.106655246115155</v>
      </c>
      <c r="DT170" s="646">
        <v>18.032375522219933</v>
      </c>
      <c r="DU170" s="646">
        <v>10.988140744151838</v>
      </c>
      <c r="DV170" s="646">
        <v>15.698929868479176</v>
      </c>
      <c r="DW170" s="646">
        <v>9.9379293873689836</v>
      </c>
      <c r="DX170" s="646">
        <v>5.9392520350356071</v>
      </c>
      <c r="DY170" s="646">
        <v>11.606604623025165</v>
      </c>
      <c r="DZ170" s="648">
        <v>19.079143341939226</v>
      </c>
      <c r="EA170" s="1076">
        <v>12.04303298669176</v>
      </c>
      <c r="EB170" s="1076">
        <v>11.58141738339774</v>
      </c>
      <c r="EC170" s="1076">
        <v>18.953049629910502</v>
      </c>
      <c r="ED170" s="1076">
        <v>9.2129121794719193</v>
      </c>
      <c r="EE170" s="1076">
        <v>18.666473033356318</v>
      </c>
      <c r="EF170" s="1076">
        <v>14.698114787171765</v>
      </c>
      <c r="EG170" s="1076">
        <v>7.7343715577035592</v>
      </c>
      <c r="EH170" s="1076">
        <v>12.544701009695537</v>
      </c>
      <c r="EI170" s="1076">
        <v>21.498427432600909</v>
      </c>
      <c r="EJ170" s="1076">
        <v>3.5217398195229666</v>
      </c>
      <c r="EK170" s="1076">
        <v>8.0850167052850175</v>
      </c>
      <c r="EL170" s="1339">
        <v>30.170743475192022</v>
      </c>
      <c r="EM170" s="1089">
        <v>15.676377072254855</v>
      </c>
      <c r="EN170" s="1089">
        <v>16.280776577680143</v>
      </c>
      <c r="EO170" s="1089">
        <v>31.957153649935002</v>
      </c>
      <c r="EP170" s="1089">
        <v>25.689925104930648</v>
      </c>
      <c r="EQ170" s="1089">
        <v>6.238642488411001</v>
      </c>
      <c r="ER170" s="1089">
        <v>31.957153649935002</v>
      </c>
      <c r="ES170" s="1089">
        <v>11.77235596909156</v>
      </c>
      <c r="ET170" s="1089">
        <v>14.546519893461165</v>
      </c>
      <c r="EU170" s="1089">
        <v>26.318875862817901</v>
      </c>
      <c r="EV170" s="1089">
        <v>17.045294526785639</v>
      </c>
      <c r="EW170" s="1089">
        <v>9.2735813359162655</v>
      </c>
      <c r="EX170" s="1356">
        <v>26.318875862950499</v>
      </c>
      <c r="EY170" s="1089">
        <v>13.355919074614171</v>
      </c>
      <c r="EZ170" s="1089">
        <v>19.120340874614172</v>
      </c>
      <c r="FA170" s="1089">
        <v>32.476259949591501</v>
      </c>
      <c r="FB170" s="1089">
        <v>17.141012261463228</v>
      </c>
      <c r="FC170" s="1089">
        <v>19.380457481936588</v>
      </c>
      <c r="FD170" s="1089">
        <v>28.4262599495915</v>
      </c>
      <c r="FE170" s="1089">
        <v>18.57477772208745</v>
      </c>
      <c r="FF170" s="1089">
        <v>22.887552055495807</v>
      </c>
      <c r="FG170" s="1089">
        <v>23.485399915408056</v>
      </c>
      <c r="FH170" s="1089">
        <v>17.094977885269913</v>
      </c>
      <c r="FI170" s="1089">
        <v>25.711020665681996</v>
      </c>
      <c r="FJ170" s="1356">
        <v>22.173864846495658</v>
      </c>
      <c r="FK170" s="1089">
        <v>18.016468952481294</v>
      </c>
      <c r="FL170" s="1089">
        <v>22.038160849417618</v>
      </c>
      <c r="FM170" s="1089">
        <v>29.332774612660895</v>
      </c>
      <c r="FN170" s="1089">
        <v>20.310040481209192</v>
      </c>
      <c r="FO170" s="1089">
        <v>24.596989962932081</v>
      </c>
      <c r="FP170" s="1089">
        <v>24.480373970418551</v>
      </c>
      <c r="FQ170" s="1076">
        <v>26.0973223375467</v>
      </c>
      <c r="FR170" s="1076">
        <v>26.0973223375467</v>
      </c>
      <c r="FS170" s="1076">
        <v>27.482987069546699</v>
      </c>
      <c r="FT170" s="1076">
        <v>24.877549419213427</v>
      </c>
      <c r="FU170" s="1076">
        <v>26.540783368213397</v>
      </c>
      <c r="FV170" s="1076">
        <v>24.877549419213427</v>
      </c>
      <c r="FW170" s="1076">
        <v>25.52443471719846</v>
      </c>
      <c r="FX170" s="1076">
        <v>25.52443471719846</v>
      </c>
      <c r="FY170" s="1076">
        <v>25.52443471719846</v>
      </c>
      <c r="FZ170" s="1076">
        <v>34.523905375563082</v>
      </c>
      <c r="GA170" s="1076">
        <v>34.523905375563082</v>
      </c>
      <c r="GB170" s="1076">
        <v>34.523905375563082</v>
      </c>
      <c r="GC170" s="1076">
        <v>32.818074208225894</v>
      </c>
      <c r="GD170" s="1076">
        <v>32.818074208225894</v>
      </c>
      <c r="GE170" s="1076">
        <v>32.818074208225894</v>
      </c>
      <c r="GF170" s="1076">
        <v>32.818074208225894</v>
      </c>
      <c r="GG170" s="1076">
        <v>32.818074208225894</v>
      </c>
      <c r="GH170" s="1076">
        <v>32.818074208225894</v>
      </c>
      <c r="GI170" s="1076">
        <v>16.2176160074929</v>
      </c>
      <c r="GJ170" s="1076">
        <v>16.2176160074929</v>
      </c>
      <c r="GK170" s="1076">
        <v>16.2176160074929</v>
      </c>
      <c r="GL170" s="1076">
        <v>16.2176160074929</v>
      </c>
      <c r="GM170" s="1076">
        <v>16.2176160074929</v>
      </c>
      <c r="GN170" s="1076">
        <v>16.2176160074929</v>
      </c>
      <c r="GO170" s="1076">
        <v>9.518152400153971</v>
      </c>
      <c r="GP170" s="1076">
        <v>9.518152400153971</v>
      </c>
      <c r="GQ170" s="1076">
        <v>9.518152400153971</v>
      </c>
      <c r="GR170" s="1076">
        <v>9.518152400153971</v>
      </c>
      <c r="GS170" s="1076">
        <v>9.518152400153971</v>
      </c>
      <c r="GT170" s="1076">
        <v>9.518152400153971</v>
      </c>
      <c r="GU170" s="1076">
        <v>0</v>
      </c>
      <c r="GV170" s="1076">
        <v>0</v>
      </c>
      <c r="GW170" s="1076">
        <v>45.17447760066586</v>
      </c>
      <c r="GX170" s="1076">
        <v>0</v>
      </c>
      <c r="GY170" s="1076">
        <v>0</v>
      </c>
      <c r="GZ170" s="1076">
        <v>45.17447760066586</v>
      </c>
      <c r="HA170" s="1076">
        <v>0</v>
      </c>
      <c r="HB170" s="1076">
        <v>0</v>
      </c>
      <c r="HC170" s="1076">
        <v>47.88367306829565</v>
      </c>
      <c r="HD170" s="1076">
        <v>0</v>
      </c>
      <c r="HE170" s="1076">
        <v>0</v>
      </c>
      <c r="HF170" s="1076">
        <v>47.88367306829565</v>
      </c>
      <c r="HG170" s="1076">
        <v>0</v>
      </c>
      <c r="HH170" s="1076">
        <v>0</v>
      </c>
      <c r="HI170" s="1076">
        <v>44.842136541598634</v>
      </c>
      <c r="HJ170" s="1076">
        <v>0</v>
      </c>
      <c r="HK170" s="1076">
        <v>0</v>
      </c>
      <c r="HL170" s="293">
        <v>44.842136541598634</v>
      </c>
      <c r="HM170" s="293"/>
      <c r="HN170" s="293"/>
      <c r="HO170" s="293"/>
      <c r="HP170" s="293"/>
      <c r="HQ170" s="293"/>
      <c r="HR170" s="293"/>
      <c r="HS170" s="293"/>
      <c r="HT170" s="293"/>
      <c r="HU170" s="293"/>
      <c r="HV170" s="293"/>
      <c r="HW170" s="293"/>
      <c r="HX170" s="293"/>
      <c r="HY170" s="1076"/>
      <c r="HZ170" s="649"/>
      <c r="IH170" s="279"/>
      <c r="II170" s="279"/>
      <c r="IJ170" s="323"/>
      <c r="IK170" s="279"/>
      <c r="KT170" s="651"/>
      <c r="KU170" s="649"/>
    </row>
    <row r="171" spans="1:307" s="650" customFormat="1" hidden="1" outlineLevel="1">
      <c r="A171" s="644"/>
      <c r="B171" s="644"/>
      <c r="C171" s="644"/>
      <c r="D171" s="1021" t="s">
        <v>1119</v>
      </c>
      <c r="E171" s="645"/>
      <c r="F171" s="645"/>
      <c r="G171" s="646"/>
      <c r="H171" s="646"/>
      <c r="I171" s="646"/>
      <c r="J171" s="646"/>
      <c r="K171" s="646"/>
      <c r="L171" s="646"/>
      <c r="M171" s="646"/>
      <c r="N171" s="646"/>
      <c r="O171" s="646"/>
      <c r="P171" s="646"/>
      <c r="Q171" s="646"/>
      <c r="R171" s="646"/>
      <c r="S171" s="646"/>
      <c r="T171" s="646"/>
      <c r="U171" s="646"/>
      <c r="V171" s="646"/>
      <c r="W171" s="646"/>
      <c r="X171" s="646"/>
      <c r="Y171" s="646"/>
      <c r="Z171" s="646"/>
      <c r="AA171" s="646"/>
      <c r="AB171" s="646"/>
      <c r="AC171" s="646"/>
      <c r="AD171" s="646"/>
      <c r="AE171" s="646"/>
      <c r="AF171" s="646"/>
      <c r="AG171" s="646"/>
      <c r="AH171" s="646"/>
      <c r="AI171" s="646"/>
      <c r="AJ171" s="646"/>
      <c r="AK171" s="646"/>
      <c r="AL171" s="646"/>
      <c r="AM171" s="646"/>
      <c r="AN171" s="646"/>
      <c r="AO171" s="646"/>
      <c r="AP171" s="646"/>
      <c r="AQ171" s="646"/>
      <c r="AR171" s="646"/>
      <c r="AS171" s="646"/>
      <c r="AT171" s="646"/>
      <c r="AU171" s="646"/>
      <c r="AV171" s="646"/>
      <c r="AW171" s="646"/>
      <c r="AX171" s="646"/>
      <c r="AY171" s="646"/>
      <c r="AZ171" s="646"/>
      <c r="BA171" s="646"/>
      <c r="BB171" s="646"/>
      <c r="BC171" s="646"/>
      <c r="BD171" s="646"/>
      <c r="BE171" s="646"/>
      <c r="BF171" s="646"/>
      <c r="BG171" s="646"/>
      <c r="BH171" s="646"/>
      <c r="BI171" s="646"/>
      <c r="BJ171" s="646"/>
      <c r="BK171" s="646"/>
      <c r="BL171" s="646"/>
      <c r="BM171" s="646"/>
      <c r="BN171" s="646"/>
      <c r="BO171" s="646"/>
      <c r="BP171" s="646"/>
      <c r="BQ171" s="646"/>
      <c r="BR171" s="646"/>
      <c r="BS171" s="646"/>
      <c r="BT171" s="646"/>
      <c r="BU171" s="646"/>
      <c r="BV171" s="646"/>
      <c r="BW171" s="646"/>
      <c r="BX171" s="646"/>
      <c r="BY171" s="646"/>
      <c r="BZ171" s="646"/>
      <c r="CA171" s="646"/>
      <c r="CB171" s="646"/>
      <c r="CC171" s="646"/>
      <c r="CD171" s="646"/>
      <c r="CE171" s="647"/>
      <c r="CF171" s="646"/>
      <c r="CG171" s="646"/>
      <c r="CH171" s="646"/>
      <c r="CI171" s="646"/>
      <c r="CJ171" s="646"/>
      <c r="CK171" s="646"/>
      <c r="CL171" s="646"/>
      <c r="CM171" s="646"/>
      <c r="CN171" s="646"/>
      <c r="CO171" s="646"/>
      <c r="CP171" s="648"/>
      <c r="CQ171" s="646"/>
      <c r="CR171" s="646"/>
      <c r="CS171" s="646"/>
      <c r="CT171" s="646"/>
      <c r="CU171" s="646"/>
      <c r="CV171" s="646"/>
      <c r="CW171" s="646"/>
      <c r="CX171" s="646"/>
      <c r="CY171" s="646"/>
      <c r="CZ171" s="646"/>
      <c r="DA171" s="646"/>
      <c r="DB171" s="1297"/>
      <c r="DC171" s="646">
        <v>3.6318185243774472</v>
      </c>
      <c r="DD171" s="646">
        <v>0.31489183559972661</v>
      </c>
      <c r="DE171" s="646">
        <v>0.87540598847451434</v>
      </c>
      <c r="DF171" s="646">
        <v>3.4315807646863572</v>
      </c>
      <c r="DG171" s="646">
        <v>8.7257975371374066</v>
      </c>
      <c r="DH171" s="646">
        <v>3.7355250739713606</v>
      </c>
      <c r="DI171" s="646">
        <v>2.8451949978376767</v>
      </c>
      <c r="DJ171" s="646">
        <v>2.9958630909000004</v>
      </c>
      <c r="DK171" s="646">
        <v>7.657643432206461</v>
      </c>
      <c r="DL171" s="646">
        <v>10.529847447243002</v>
      </c>
      <c r="DM171" s="646">
        <v>2.9140232240184551</v>
      </c>
      <c r="DN171" s="648">
        <v>4.0563562026493152</v>
      </c>
      <c r="DO171" s="1022">
        <v>4.5689722600492333</v>
      </c>
      <c r="DP171" s="1022">
        <v>1.9976494589589138</v>
      </c>
      <c r="DQ171" s="1022">
        <v>19.857829355710404</v>
      </c>
      <c r="DR171" s="1022">
        <v>3.0254844532894221</v>
      </c>
      <c r="DS171" s="1022">
        <v>0</v>
      </c>
      <c r="DT171" s="1022">
        <v>0</v>
      </c>
      <c r="DU171" s="1022">
        <v>15.873335991999999</v>
      </c>
      <c r="DV171" s="1022">
        <v>0</v>
      </c>
      <c r="DW171" s="1022">
        <v>0</v>
      </c>
      <c r="DX171" s="1022">
        <v>12.168713068197375</v>
      </c>
      <c r="DY171" s="1022">
        <v>0</v>
      </c>
      <c r="DZ171" s="1347">
        <v>0</v>
      </c>
      <c r="EA171" s="1076">
        <v>12.04303298669176</v>
      </c>
      <c r="EB171" s="1076">
        <v>11.58141738339774</v>
      </c>
      <c r="EC171" s="1076">
        <v>18.953049629910502</v>
      </c>
      <c r="ED171" s="1076">
        <v>9.2129121794719193</v>
      </c>
      <c r="EE171" s="1076">
        <v>18.666473033356318</v>
      </c>
      <c r="EF171" s="1076">
        <v>14.698114787171765</v>
      </c>
      <c r="EG171" s="1076">
        <v>7.7343715577035592</v>
      </c>
      <c r="EH171" s="1076">
        <v>12.544701009695537</v>
      </c>
      <c r="EI171" s="1076">
        <v>21.498427432600909</v>
      </c>
      <c r="EJ171" s="1076">
        <v>3.5217398195229666</v>
      </c>
      <c r="EK171" s="1076">
        <v>8.0850167052850175</v>
      </c>
      <c r="EL171" s="1339">
        <v>30.170743475192022</v>
      </c>
      <c r="EM171" s="1089">
        <v>15.676377072254855</v>
      </c>
      <c r="EN171" s="1089">
        <v>16.280776577680143</v>
      </c>
      <c r="EO171" s="1089">
        <v>31.957153649935002</v>
      </c>
      <c r="EP171" s="1089">
        <v>25.689925104930648</v>
      </c>
      <c r="EQ171" s="1089">
        <v>6.238642488411001</v>
      </c>
      <c r="ER171" s="1089">
        <v>31.957153649935002</v>
      </c>
      <c r="ES171" s="1089">
        <v>11.77235596909156</v>
      </c>
      <c r="ET171" s="1089">
        <v>14.546519893461165</v>
      </c>
      <c r="EU171" s="1089">
        <v>26.318875862817901</v>
      </c>
      <c r="EV171" s="1089">
        <v>17.045294526785639</v>
      </c>
      <c r="EW171" s="1089">
        <v>9.2735813359162655</v>
      </c>
      <c r="EX171" s="1356">
        <v>26.318875862950499</v>
      </c>
      <c r="EY171" s="1089"/>
      <c r="EZ171" s="1089"/>
      <c r="FA171" s="1089"/>
      <c r="FB171" s="1089"/>
      <c r="FC171" s="1089"/>
      <c r="FD171" s="1089"/>
      <c r="FE171" s="1089"/>
      <c r="FF171" s="1089"/>
      <c r="FG171" s="1089"/>
      <c r="FH171" s="1089"/>
      <c r="FI171" s="1089"/>
      <c r="FJ171" s="1356"/>
      <c r="FK171" s="1089"/>
      <c r="FL171" s="1089"/>
      <c r="FM171" s="1089"/>
      <c r="FN171" s="1089"/>
      <c r="FO171" s="1089"/>
      <c r="FP171" s="1089"/>
      <c r="FQ171" s="1076"/>
      <c r="FR171" s="1076"/>
      <c r="FS171" s="1076"/>
      <c r="FT171" s="1076"/>
      <c r="FU171" s="1076"/>
      <c r="FV171" s="1076"/>
      <c r="FW171" s="1076"/>
      <c r="FX171" s="1076"/>
      <c r="FY171" s="1076"/>
      <c r="FZ171" s="1076"/>
      <c r="GA171" s="1076"/>
      <c r="GB171" s="1076"/>
      <c r="GC171" s="1076"/>
      <c r="GD171" s="1076"/>
      <c r="GE171" s="1076"/>
      <c r="GF171" s="1076"/>
      <c r="GG171" s="1076"/>
      <c r="GH171" s="1076"/>
      <c r="GI171" s="1076"/>
      <c r="GJ171" s="1076"/>
      <c r="GK171" s="1076"/>
      <c r="GL171" s="1076"/>
      <c r="GM171" s="1076"/>
      <c r="GN171" s="1076"/>
      <c r="GO171" s="1076"/>
      <c r="GP171" s="1076"/>
      <c r="GQ171" s="1076"/>
      <c r="GR171" s="1076"/>
      <c r="GS171" s="1076"/>
      <c r="GT171" s="1076"/>
      <c r="GU171" s="1076"/>
      <c r="GV171" s="1076"/>
      <c r="GW171" s="1076"/>
      <c r="GX171" s="1076"/>
      <c r="GY171" s="1076"/>
      <c r="GZ171" s="1076"/>
      <c r="HA171" s="1076"/>
      <c r="HB171" s="1076"/>
      <c r="HC171" s="1076"/>
      <c r="HD171" s="1076"/>
      <c r="HE171" s="1076"/>
      <c r="HF171" s="1076"/>
      <c r="HG171" s="1076"/>
      <c r="HH171" s="1076"/>
      <c r="HI171" s="1076"/>
      <c r="HJ171" s="1076"/>
      <c r="HK171" s="1076"/>
      <c r="HL171" s="293">
        <v>13.097112182903905</v>
      </c>
      <c r="HM171" s="293"/>
      <c r="HN171" s="293"/>
      <c r="HO171" s="293"/>
      <c r="HP171" s="293"/>
      <c r="HQ171" s="293"/>
      <c r="HR171" s="293"/>
      <c r="HS171" s="293"/>
      <c r="HT171" s="293"/>
      <c r="HU171" s="293"/>
      <c r="HV171" s="293"/>
      <c r="HW171" s="293"/>
      <c r="HX171" s="293"/>
      <c r="HY171" s="1076"/>
      <c r="HZ171" s="649"/>
      <c r="IH171" s="279"/>
      <c r="II171" s="279"/>
      <c r="IJ171" s="323"/>
      <c r="IK171" s="279"/>
      <c r="KT171" s="651"/>
      <c r="KU171" s="649"/>
    </row>
    <row r="172" spans="1:307" s="650" customFormat="1" outlineLevel="1">
      <c r="A172" s="644"/>
      <c r="B172" s="644"/>
      <c r="C172" s="644"/>
      <c r="D172" s="2092"/>
      <c r="E172" s="2087"/>
      <c r="F172" s="2087"/>
      <c r="CE172" s="2088"/>
      <c r="CP172" s="651"/>
      <c r="DB172" s="2089"/>
      <c r="DN172" s="651"/>
      <c r="DO172" s="1545"/>
      <c r="DP172" s="1545"/>
      <c r="DQ172" s="1545"/>
      <c r="DR172" s="1545"/>
      <c r="DS172" s="1545"/>
      <c r="DT172" s="1545"/>
      <c r="DU172" s="1545"/>
      <c r="DV172" s="1545"/>
      <c r="DW172" s="1545"/>
      <c r="DX172" s="1545"/>
      <c r="DY172" s="1545"/>
      <c r="DZ172" s="2093"/>
      <c r="EA172" s="2094"/>
      <c r="EB172" s="2094"/>
      <c r="EC172" s="2094"/>
      <c r="ED172" s="2094"/>
      <c r="EE172" s="2094"/>
      <c r="EF172" s="2094"/>
      <c r="EG172" s="2094"/>
      <c r="EH172" s="2094"/>
      <c r="EI172" s="2094"/>
      <c r="EJ172" s="2094"/>
      <c r="EK172" s="2094"/>
      <c r="EL172" s="2095"/>
      <c r="EM172" s="2096"/>
      <c r="EN172" s="2096"/>
      <c r="EO172" s="2096"/>
      <c r="EP172" s="2096"/>
      <c r="EQ172" s="2096"/>
      <c r="ER172" s="2096"/>
      <c r="ES172" s="2096"/>
      <c r="ET172" s="2096"/>
      <c r="EU172" s="2096"/>
      <c r="EV172" s="2096"/>
      <c r="EW172" s="2096"/>
      <c r="EX172" s="2097"/>
      <c r="EY172" s="2096"/>
      <c r="EZ172" s="2096"/>
      <c r="FA172" s="2096"/>
      <c r="FB172" s="2096"/>
      <c r="FC172" s="2096"/>
      <c r="FD172" s="2096"/>
      <c r="FE172" s="2096"/>
      <c r="FF172" s="2096"/>
      <c r="FG172" s="2096"/>
      <c r="FH172" s="2096"/>
      <c r="FI172" s="2096"/>
      <c r="FJ172" s="2097"/>
      <c r="FK172" s="2096"/>
      <c r="FL172" s="2096"/>
      <c r="FM172" s="2096"/>
      <c r="FN172" s="2096"/>
      <c r="FO172" s="2096"/>
      <c r="FP172" s="2096"/>
      <c r="FQ172" s="2094"/>
      <c r="FR172" s="2094"/>
      <c r="FS172" s="2094"/>
      <c r="FT172" s="2094"/>
      <c r="FU172" s="2094"/>
      <c r="FV172" s="2094"/>
      <c r="FW172" s="2094"/>
      <c r="FX172" s="2094"/>
      <c r="FY172" s="2094"/>
      <c r="FZ172" s="2094"/>
      <c r="GA172" s="2094"/>
      <c r="GB172" s="2094"/>
      <c r="GC172" s="2094"/>
      <c r="GD172" s="2094"/>
      <c r="GE172" s="2094"/>
      <c r="GF172" s="2094"/>
      <c r="GG172" s="2094"/>
      <c r="GH172" s="2094"/>
      <c r="GI172" s="2094"/>
      <c r="GJ172" s="2094"/>
      <c r="GK172" s="2094"/>
      <c r="GL172" s="2094"/>
      <c r="GM172" s="2094"/>
      <c r="GN172" s="2094"/>
      <c r="GO172" s="2094"/>
      <c r="GP172" s="2094"/>
      <c r="GQ172" s="2094"/>
      <c r="GR172" s="2094"/>
      <c r="GS172" s="2094"/>
      <c r="GT172" s="2094"/>
      <c r="GU172" s="2094"/>
      <c r="GV172" s="2094"/>
      <c r="GW172" s="2094"/>
      <c r="GX172" s="2094"/>
      <c r="GY172" s="2094"/>
      <c r="GZ172" s="2094"/>
      <c r="HA172" s="2094"/>
      <c r="HB172" s="2094"/>
      <c r="HC172" s="2094"/>
      <c r="HD172" s="2094"/>
      <c r="HE172" s="2094"/>
      <c r="HF172" s="2094"/>
      <c r="HG172" s="2094"/>
      <c r="HH172" s="2094"/>
      <c r="HI172" s="2094"/>
      <c r="HJ172" s="2094"/>
      <c r="HK172" s="2094"/>
      <c r="HL172" s="279"/>
      <c r="HM172" s="279"/>
      <c r="HN172" s="279"/>
      <c r="HO172" s="279"/>
      <c r="HP172" s="279"/>
      <c r="HQ172" s="279"/>
      <c r="HR172" s="279"/>
      <c r="HS172" s="279"/>
      <c r="HT172" s="279"/>
      <c r="HU172" s="279"/>
      <c r="HV172" s="279"/>
      <c r="HW172" s="279"/>
      <c r="HX172" s="279"/>
      <c r="HY172" s="2094"/>
      <c r="IH172" s="279"/>
      <c r="II172" s="279"/>
      <c r="IJ172" s="327"/>
      <c r="IK172" s="279"/>
      <c r="KT172" s="651"/>
    </row>
    <row r="173" spans="1:307" outlineLevel="1">
      <c r="B173" s="96" t="s">
        <v>338</v>
      </c>
      <c r="D173" s="303" t="s">
        <v>3726</v>
      </c>
      <c r="E173" s="303"/>
      <c r="F173" s="303"/>
      <c r="G173" s="293"/>
      <c r="H173" s="293"/>
      <c r="I173" s="293"/>
      <c r="J173" s="293"/>
      <c r="K173" s="293"/>
      <c r="L173" s="293"/>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v>3.3519192583500002</v>
      </c>
      <c r="AP173" s="293">
        <v>2.7989848359300002</v>
      </c>
      <c r="AQ173" s="293">
        <v>6.1486274985600007</v>
      </c>
      <c r="AR173" s="293">
        <v>17.8101309069</v>
      </c>
      <c r="AS173" s="293">
        <v>10.773014394547699</v>
      </c>
      <c r="AT173" s="293">
        <v>7.7928077795200004</v>
      </c>
      <c r="AU173" s="293">
        <v>7.2485471801199992</v>
      </c>
      <c r="AV173" s="293">
        <v>3.0533917700000002</v>
      </c>
      <c r="AW173" s="293">
        <v>26.589141011790005</v>
      </c>
      <c r="AX173" s="293">
        <v>8.0004690707700004</v>
      </c>
      <c r="AY173" s="293">
        <v>10.0220227562</v>
      </c>
      <c r="AZ173" s="293">
        <v>67.487908499999989</v>
      </c>
      <c r="BA173" s="293">
        <v>8.0376445374300012</v>
      </c>
      <c r="BB173" s="293">
        <v>4.7820149999999995</v>
      </c>
      <c r="BC173" s="293">
        <v>5.2630195044000008</v>
      </c>
      <c r="BD173" s="293">
        <v>5.2411667229999974</v>
      </c>
      <c r="BE173" s="293">
        <v>6.4461758544179997</v>
      </c>
      <c r="BF173" s="293">
        <v>10.968208030458001</v>
      </c>
      <c r="BG173" s="293">
        <v>8.5422431230399987</v>
      </c>
      <c r="BH173" s="293">
        <v>10.7436885643809</v>
      </c>
      <c r="BI173" s="293">
        <v>16.206184921963001</v>
      </c>
      <c r="BJ173" s="293">
        <v>65.894095070632986</v>
      </c>
      <c r="BK173" s="293">
        <v>16.578811899929999</v>
      </c>
      <c r="BL173" s="293">
        <v>23.573581195679999</v>
      </c>
      <c r="BM173" s="293">
        <v>4.2419242080149999</v>
      </c>
      <c r="BN173" s="293">
        <v>9.7423272359640016</v>
      </c>
      <c r="BO173" s="293">
        <v>6.0501190180300011</v>
      </c>
      <c r="BP173" s="293">
        <v>5.8884743749999995</v>
      </c>
      <c r="BQ173" s="293">
        <v>5.4807073080899995</v>
      </c>
      <c r="BR173" s="293">
        <v>49.604006402463995</v>
      </c>
      <c r="BS173" s="293">
        <v>12.858244235732</v>
      </c>
      <c r="BT173" s="293">
        <v>15.417515913019999</v>
      </c>
      <c r="BU173" s="293">
        <v>9.5583038748749978</v>
      </c>
      <c r="BV173" s="293">
        <v>8.5327023380250004</v>
      </c>
      <c r="BW173" s="293">
        <v>46.654375626824006</v>
      </c>
      <c r="BX173" s="293">
        <v>30.755185589379</v>
      </c>
      <c r="BY173" s="293">
        <v>6.7776318279999996</v>
      </c>
      <c r="BZ173" s="293">
        <v>4.463221943862</v>
      </c>
      <c r="CA173" s="293">
        <v>9.3595338038300007</v>
      </c>
      <c r="CB173" s="293">
        <v>7.2396588056980011</v>
      </c>
      <c r="CC173" s="293">
        <v>34.197754179599997</v>
      </c>
      <c r="CD173" s="293">
        <v>11.784639624966999</v>
      </c>
      <c r="CE173" s="294">
        <f>CE174+CE183</f>
        <v>6.8171795700000004</v>
      </c>
      <c r="CF173" s="293">
        <f t="shared" ref="CF173" si="54">CF174+CF183</f>
        <v>3.9039883390000001</v>
      </c>
      <c r="CG173" s="293">
        <f t="shared" ref="CG173" si="55">CG174+CG183</f>
        <v>3.8882203720000001</v>
      </c>
      <c r="CH173" s="293">
        <f t="shared" ref="CH173" si="56">CH174+CH183</f>
        <v>6.2578329159999999</v>
      </c>
      <c r="CI173" s="293">
        <f t="shared" ref="CI173" si="57">CI174+CI183</f>
        <v>3.5211649989999998</v>
      </c>
      <c r="CJ173" s="293">
        <f t="shared" ref="CJ173" si="58">CJ174+CJ183</f>
        <v>6.7397221739999997</v>
      </c>
      <c r="CK173" s="293">
        <f t="shared" ref="CK173" si="59">CK174+CK183</f>
        <v>11.206712712287</v>
      </c>
      <c r="CL173" s="293">
        <f t="shared" ref="CL173" si="60">CL174+CL183</f>
        <v>1.744920303962</v>
      </c>
      <c r="CM173" s="293">
        <f t="shared" ref="CM173" si="61">CM174+CM183</f>
        <v>2.9498687050729999</v>
      </c>
      <c r="CN173" s="293">
        <f t="shared" ref="CN173" si="62">CN174+CN183</f>
        <v>2.9364516164650003</v>
      </c>
      <c r="CO173" s="293">
        <f t="shared" ref="CO173" si="63">CO174+CO183</f>
        <v>7.973572952974</v>
      </c>
      <c r="CP173" s="295">
        <f t="shared" ref="CP173" si="64">CP174+CP183</f>
        <v>8.7696447443489998</v>
      </c>
      <c r="CQ173" s="293">
        <f t="shared" ref="CQ173" si="65">CQ174+CQ183</f>
        <v>5.7607435347770011</v>
      </c>
      <c r="CR173" s="293">
        <f t="shared" ref="CR173" si="66">CR174+CR183</f>
        <v>3.9472671107080002</v>
      </c>
      <c r="CS173" s="293">
        <f t="shared" ref="CS173" si="67">CS174+CS183</f>
        <v>12.991094179872</v>
      </c>
      <c r="CT173" s="293">
        <f t="shared" ref="CT173" si="68">CT174+CT183</f>
        <v>7.097023092573</v>
      </c>
      <c r="CU173" s="293">
        <f t="shared" ref="CU173" si="69">CU174+CU183</f>
        <v>12.102969035651</v>
      </c>
      <c r="CV173" s="293">
        <f t="shared" ref="CV173" si="70">CV174+CV183</f>
        <v>11.621077212909999</v>
      </c>
      <c r="CW173" s="293">
        <f t="shared" ref="CW173" si="71">CW174+CW183</f>
        <v>8.4188352186079989</v>
      </c>
      <c r="CX173" s="293">
        <f t="shared" ref="CX173" si="72">CX174+CX183</f>
        <v>3.7151717103489998</v>
      </c>
      <c r="CY173" s="293">
        <f t="shared" ref="CY173" si="73">CY174+CY183</f>
        <v>9.2964163726490003</v>
      </c>
      <c r="CZ173" s="293">
        <f t="shared" ref="CZ173" si="74">CZ174+CZ183</f>
        <v>3.9665275602789998</v>
      </c>
      <c r="DA173" s="293">
        <f t="shared" ref="DA173" si="75">DA174+DA183</f>
        <v>6.3830912553159997</v>
      </c>
      <c r="DB173" s="1288">
        <f t="shared" ref="DB173" si="76">DB174+DB183</f>
        <v>13.932984784080002</v>
      </c>
      <c r="DC173" s="606">
        <f>DC174</f>
        <v>0.42216898336300002</v>
      </c>
      <c r="DD173" s="606">
        <f t="shared" ref="DD173:DF173" si="77">DD174</f>
        <v>3.7189687297299998</v>
      </c>
      <c r="DE173" s="606">
        <f t="shared" si="77"/>
        <v>11.694227755626997</v>
      </c>
      <c r="DF173" s="606">
        <f t="shared" si="77"/>
        <v>8.5129279728749996</v>
      </c>
      <c r="DG173" s="606">
        <f t="shared" ref="DG173" si="78">DG174</f>
        <v>4.8652677647420006</v>
      </c>
      <c r="DH173" s="606">
        <f t="shared" ref="DH173" si="79">DH174</f>
        <v>22.350273298890002</v>
      </c>
      <c r="DI173" s="293">
        <f t="shared" ref="DI173" si="80">DI174</f>
        <v>6.7047741122170006</v>
      </c>
      <c r="DJ173" s="293">
        <f t="shared" ref="DJ173" si="81">DJ174</f>
        <v>5.5435094828279992</v>
      </c>
      <c r="DK173" s="293">
        <f t="shared" ref="DK173" si="82">DK174</f>
        <v>13.796249482406001</v>
      </c>
      <c r="DL173" s="293">
        <f t="shared" ref="DL173" si="83">DL174</f>
        <v>13.128120131547998</v>
      </c>
      <c r="DM173" s="293">
        <f t="shared" ref="DM173" si="84">DM174</f>
        <v>6.8738819535209998</v>
      </c>
      <c r="DN173" s="295">
        <f t="shared" ref="DN173" si="85">DN174</f>
        <v>5.2576456738859996</v>
      </c>
      <c r="DO173" s="293">
        <f t="shared" ref="DO173" si="86">DO174</f>
        <v>3.2977253905239996</v>
      </c>
      <c r="DP173" s="293">
        <f t="shared" ref="DP173" si="87">DP174</f>
        <v>8.4289872174100005</v>
      </c>
      <c r="DQ173" s="293">
        <f t="shared" ref="DQ173" si="88">DQ174</f>
        <v>19.676344781299001</v>
      </c>
      <c r="DR173" s="293">
        <f t="shared" ref="DR173" si="89">DR174</f>
        <v>6.2250619891019987</v>
      </c>
      <c r="DS173" s="293">
        <f t="shared" ref="DS173" si="90">DS174</f>
        <v>11.369225287213002</v>
      </c>
      <c r="DT173" s="293">
        <f t="shared" ref="DT173" si="91">DT174</f>
        <v>20.325144909231</v>
      </c>
      <c r="DU173" s="293">
        <f t="shared" ref="DU173" si="92">DU174</f>
        <v>11.223212818042001</v>
      </c>
      <c r="DV173" s="293">
        <f t="shared" ref="DV173" si="93">DV174</f>
        <v>3.1183098931750002</v>
      </c>
      <c r="DW173" s="293">
        <f t="shared" ref="DW173" si="94">DW174</f>
        <v>21.614232810366996</v>
      </c>
      <c r="DX173" s="293">
        <f t="shared" ref="DX173" si="95">DX174</f>
        <v>21.526583004928</v>
      </c>
      <c r="DY173" s="293">
        <f t="shared" ref="DY173" si="96">DY174</f>
        <v>12.780071612072998</v>
      </c>
      <c r="DZ173" s="295">
        <f t="shared" ref="DZ173" si="97">DZ174</f>
        <v>21.164277456465001</v>
      </c>
      <c r="EA173" s="293">
        <f t="shared" ref="EA173" si="98">EA174</f>
        <v>9.7045831328230001</v>
      </c>
      <c r="EB173" s="293">
        <f t="shared" ref="EB173" si="99">EB174</f>
        <v>14.178791869796999</v>
      </c>
      <c r="EC173" s="293">
        <f t="shared" ref="EC173" si="100">EC174</f>
        <v>4.1068273863379989</v>
      </c>
      <c r="ED173" s="293">
        <f t="shared" ref="ED173" si="101">ED174</f>
        <v>14.499453949647002</v>
      </c>
      <c r="EE173" s="293">
        <f t="shared" ref="EE173" si="102">EE174</f>
        <v>8.0689371946400001</v>
      </c>
      <c r="EF173" s="293">
        <f t="shared" ref="EF173" si="103">EF174</f>
        <v>16.683415901944997</v>
      </c>
      <c r="EG173" s="293">
        <f t="shared" ref="EG173" si="104">EG174</f>
        <v>20.175523392911998</v>
      </c>
      <c r="EH173" s="293">
        <f t="shared" ref="EH173" si="105">EH174</f>
        <v>4.4105177353120002</v>
      </c>
      <c r="EI173" s="293">
        <f t="shared" ref="EI173" si="106">EI174</f>
        <v>18.571578294357</v>
      </c>
      <c r="EJ173" s="293">
        <f t="shared" ref="EJ173" si="107">EJ174</f>
        <v>12.140062738398001</v>
      </c>
      <c r="EK173" s="293">
        <f t="shared" ref="EK173" si="108">EK174</f>
        <v>19.123543562072001</v>
      </c>
      <c r="EL173" s="295">
        <f t="shared" ref="EL173" si="109">EL174</f>
        <v>28.687180347918996</v>
      </c>
      <c r="EM173" s="1080">
        <f t="shared" ref="EM173" si="110">EM174</f>
        <v>10.477656590839999</v>
      </c>
      <c r="EN173" s="1080">
        <f t="shared" ref="EN173" si="111">EN174</f>
        <v>2.1647688006760002</v>
      </c>
      <c r="EO173" s="1080">
        <f t="shared" ref="EO173" si="112">EO174</f>
        <v>15.058106803279999</v>
      </c>
      <c r="EP173" s="1080">
        <f t="shared" ref="EP173" si="113">EP174</f>
        <v>3.5079863831359996</v>
      </c>
      <c r="EQ173" s="1080">
        <f t="shared" ref="EQ173" si="114">EQ174</f>
        <v>15.281142754074001</v>
      </c>
      <c r="ER173" s="1080">
        <f t="shared" ref="ER173" si="115">ER174</f>
        <v>26.971773235696993</v>
      </c>
      <c r="ES173" s="1080">
        <f t="shared" ref="ES173" si="116">ES174</f>
        <v>23.575918671628003</v>
      </c>
      <c r="ET173" s="1080">
        <f t="shared" ref="ET173" si="117">ET174</f>
        <v>16.006098219428999</v>
      </c>
      <c r="EU173" s="1080">
        <f t="shared" ref="EU173" si="118">EU174</f>
        <v>17.722634921015</v>
      </c>
      <c r="EV173" s="1080">
        <f t="shared" ref="EV173" si="119">EV174</f>
        <v>14.858032673780999</v>
      </c>
      <c r="EW173" s="1080">
        <f t="shared" ref="EW173" si="120">EW174</f>
        <v>19.614621516160998</v>
      </c>
      <c r="EX173" s="1340">
        <f t="shared" ref="EX173" si="121">EX174</f>
        <v>49.68972366989501</v>
      </c>
      <c r="EY173" s="1080">
        <f t="shared" ref="EY173" si="122">EY174</f>
        <v>19.924202328219</v>
      </c>
      <c r="EZ173" s="1080">
        <f t="shared" ref="EZ173" si="123">EZ174</f>
        <v>27.841981081697003</v>
      </c>
      <c r="FA173" s="1080">
        <f t="shared" ref="FA173" si="124">FA174</f>
        <v>9.9377495896189991</v>
      </c>
      <c r="FB173" s="1080">
        <f t="shared" ref="FB173" si="125">FB174</f>
        <v>17.643032780835</v>
      </c>
      <c r="FC173" s="1080">
        <f t="shared" ref="FC173" si="126">FC174</f>
        <v>24.679553929534006</v>
      </c>
      <c r="FD173" s="1080">
        <f t="shared" ref="FD173" si="127">FD174</f>
        <v>36.914323498831997</v>
      </c>
      <c r="FE173" s="1080">
        <f t="shared" ref="FE173" si="128">FE174</f>
        <v>23.042271596590833</v>
      </c>
      <c r="FF173" s="1080">
        <f t="shared" ref="FF173" si="129">FF174</f>
        <v>23.042271596590833</v>
      </c>
      <c r="FG173" s="1080">
        <f t="shared" ref="FG173" si="130">FG174</f>
        <v>23.042271596590833</v>
      </c>
      <c r="FH173" s="1080">
        <f t="shared" ref="FH173" si="131">FH174</f>
        <v>27.301130899202501</v>
      </c>
      <c r="FI173" s="1080">
        <f t="shared" ref="FI173" si="132">FI174</f>
        <v>27.301130899202501</v>
      </c>
      <c r="FJ173" s="1340">
        <f t="shared" ref="FJ173" si="133">FJ174</f>
        <v>27.301130899202501</v>
      </c>
      <c r="FK173" s="1080">
        <f t="shared" ref="FK173" si="134">FK174</f>
        <v>117.575863139036</v>
      </c>
      <c r="FL173" s="1080">
        <f t="shared" ref="FL173" si="135">FL174</f>
        <v>44.259788753746001</v>
      </c>
      <c r="FM173" s="1080">
        <f t="shared" ref="FM173" si="136">FM174</f>
        <v>18.768165997943996</v>
      </c>
      <c r="FN173" s="1080">
        <f t="shared" ref="FN173" si="137">FN174</f>
        <v>12.931676679849998</v>
      </c>
      <c r="FO173" s="1080">
        <f t="shared" ref="FO173" si="138">FO174</f>
        <v>25.497255099752</v>
      </c>
      <c r="FP173" s="1080">
        <f t="shared" ref="FP173" si="139">FP174</f>
        <v>27.715972263397997</v>
      </c>
      <c r="FQ173" s="293">
        <f t="shared" ref="FQ173" si="140">FQ174</f>
        <v>16.024197946205</v>
      </c>
      <c r="FR173" s="293">
        <f t="shared" ref="FR173" si="141">FR174</f>
        <v>13.750472737393999</v>
      </c>
      <c r="FS173" s="293">
        <f t="shared" ref="FS173" si="142">FS174</f>
        <v>35.751266564339986</v>
      </c>
      <c r="FT173" s="293">
        <f t="shared" ref="FT173" si="143">FT174</f>
        <v>26.086093328253</v>
      </c>
      <c r="FU173" s="293">
        <f t="shared" ref="FU173" si="144">FU174</f>
        <v>8.9790092985810013</v>
      </c>
      <c r="FV173" s="293">
        <f t="shared" ref="FV173" si="145">FV174</f>
        <v>43.230276040410004</v>
      </c>
      <c r="FW173" s="293">
        <f t="shared" ref="FW173" si="146">FW174</f>
        <v>31.975558265251003</v>
      </c>
      <c r="FX173" s="293">
        <f t="shared" ref="FX173" si="147">FX174</f>
        <v>21.442936379576999</v>
      </c>
      <c r="FY173" s="293">
        <f t="shared" ref="FY173" si="148">FY174</f>
        <v>33.697982377468996</v>
      </c>
      <c r="FZ173" s="293">
        <f t="shared" ref="FZ173" si="149">FZ174</f>
        <v>65.024764227000006</v>
      </c>
      <c r="GA173" s="293">
        <f t="shared" ref="GA173" si="150">GA174</f>
        <v>31.014908093999999</v>
      </c>
      <c r="GB173" s="293">
        <f t="shared" ref="GB173" si="151">GB174</f>
        <v>44.204778484999999</v>
      </c>
      <c r="GC173" s="293">
        <f t="shared" ref="GC173" si="152">GC174</f>
        <v>3.4298311076370003</v>
      </c>
      <c r="GD173" s="293">
        <f t="shared" ref="GD173" si="153">GD174</f>
        <v>20.862679986603997</v>
      </c>
      <c r="GE173" s="293">
        <f t="shared" ref="GE173" si="154">GE174</f>
        <v>18.005459701505991</v>
      </c>
      <c r="GF173" s="293">
        <f t="shared" ref="GF173" si="155">GF174</f>
        <v>21.540718199653</v>
      </c>
      <c r="GG173" s="293">
        <f t="shared" ref="GG173" si="156">GG174</f>
        <v>26.262921360992998</v>
      </c>
      <c r="GH173" s="293">
        <f t="shared" ref="GH173" si="157">GH174</f>
        <v>94.193047969999995</v>
      </c>
      <c r="GI173" s="293">
        <f t="shared" ref="GI173" si="158">GI174</f>
        <v>21.089689929990001</v>
      </c>
      <c r="GJ173" s="293">
        <f t="shared" ref="GJ173" si="159">GJ174</f>
        <v>12.047433845630001</v>
      </c>
      <c r="GK173" s="293">
        <f t="shared" ref="GK173" si="160">GK174</f>
        <v>82.647879174370004</v>
      </c>
      <c r="GL173" s="293">
        <f t="shared" ref="GL173" si="161">GL174</f>
        <v>28.692948375380006</v>
      </c>
      <c r="GM173" s="293">
        <f t="shared" ref="GM173" si="162">GM174</f>
        <v>13.105693843020003</v>
      </c>
      <c r="GN173" s="293">
        <f t="shared" ref="GN173" si="163">GN174</f>
        <v>47.536420291729996</v>
      </c>
      <c r="GO173" s="293">
        <f t="shared" ref="GO173" si="164">GO174</f>
        <v>32.610284015775001</v>
      </c>
      <c r="GP173" s="293">
        <f t="shared" ref="GP173" si="165">GP174</f>
        <v>32.288064439738001</v>
      </c>
      <c r="GQ173" s="293">
        <f t="shared" ref="GQ173" si="166">GQ174</f>
        <v>67.569872539294977</v>
      </c>
      <c r="GR173" s="293">
        <f t="shared" ref="GR173" si="167">GR174</f>
        <v>18.009931112640992</v>
      </c>
      <c r="GS173" s="293">
        <f t="shared" ref="GS173" si="168">GS174</f>
        <v>23.205993021143005</v>
      </c>
      <c r="GT173" s="293">
        <f t="shared" ref="GT173" si="169">GT174</f>
        <v>47.667523324553009</v>
      </c>
      <c r="GU173" s="293">
        <f t="shared" ref="GU173" si="170">GU174</f>
        <v>21.910529276230999</v>
      </c>
      <c r="GV173" s="293">
        <f t="shared" ref="GV173" si="171">GV174</f>
        <v>42.197749617607002</v>
      </c>
      <c r="GW173" s="293">
        <f t="shared" ref="GW173" si="172">GW174</f>
        <v>49.829994886929001</v>
      </c>
      <c r="GX173" s="293">
        <f t="shared" ref="GX173" si="173">GX174</f>
        <v>39.515026511001999</v>
      </c>
      <c r="GY173" s="293">
        <f t="shared" ref="GY173" si="174">GY174</f>
        <v>66.984583489333005</v>
      </c>
      <c r="GZ173" s="293">
        <f t="shared" ref="GZ173" si="175">GZ174</f>
        <v>100.25194032583398</v>
      </c>
      <c r="HA173" s="293">
        <f t="shared" ref="HA173" si="176">HA174</f>
        <v>31.435793520262003</v>
      </c>
      <c r="HB173" s="293">
        <f t="shared" ref="HB173" si="177">HB174</f>
        <v>21.236010936550997</v>
      </c>
      <c r="HC173" s="293">
        <f t="shared" ref="HC173" si="178">HC174</f>
        <v>79.633581699936997</v>
      </c>
      <c r="HD173" s="293">
        <f t="shared" ref="HD173" si="179">HD174</f>
        <v>40.509249266334002</v>
      </c>
      <c r="HE173" s="293">
        <f t="shared" ref="HE173" si="180">HE174</f>
        <v>18.274648314265999</v>
      </c>
      <c r="HF173" s="293">
        <f t="shared" ref="HF173" si="181">HF174</f>
        <v>128.23267715206299</v>
      </c>
      <c r="HG173" s="293">
        <f t="shared" ref="HG173" si="182">HG174</f>
        <v>49.879732205343004</v>
      </c>
      <c r="HH173" s="293">
        <f t="shared" ref="HH173" si="183">HH174</f>
        <v>18.934514546271</v>
      </c>
      <c r="HI173" s="293">
        <f t="shared" ref="HI173" si="184">HI174</f>
        <v>66.736240651427991</v>
      </c>
      <c r="HJ173" s="293">
        <f t="shared" ref="HJ173" si="185">HJ174</f>
        <v>74.895360717955</v>
      </c>
      <c r="HK173" s="293">
        <f t="shared" ref="HK173" si="186">HK174</f>
        <v>42.123375037326014</v>
      </c>
      <c r="HL173" s="293">
        <f t="shared" ref="HL173" si="187">HL174</f>
        <v>127.8921099328622</v>
      </c>
      <c r="HM173" s="293"/>
      <c r="HN173" s="293"/>
      <c r="HO173" s="293"/>
      <c r="HP173" s="293"/>
      <c r="HQ173" s="293"/>
      <c r="HR173" s="293"/>
      <c r="HS173" s="293"/>
      <c r="HT173" s="293"/>
      <c r="HU173" s="293"/>
      <c r="HV173" s="293"/>
      <c r="HW173" s="293"/>
      <c r="HX173" s="293"/>
      <c r="HY173" s="293"/>
      <c r="IH173" s="279">
        <f t="shared" ref="IH173" si="188">+SUM(DC173:DH173)</f>
        <v>51.563834505227</v>
      </c>
      <c r="II173" s="279">
        <f t="shared" ref="II173" si="189">+SUM(DI173:DN173)</f>
        <v>51.30418083640599</v>
      </c>
      <c r="IJ173" s="323">
        <f t="shared" ref="IJ173" si="190">IH173+II173</f>
        <v>102.868015341633</v>
      </c>
      <c r="IK173" s="279">
        <f t="shared" ref="IK173" si="191">SUM(DO173:DT173)</f>
        <v>69.322489574778999</v>
      </c>
      <c r="KT173" s="280"/>
    </row>
    <row r="174" spans="1:307" s="650" customFormat="1" outlineLevel="1">
      <c r="A174" s="644"/>
      <c r="B174" s="644" t="s">
        <v>338</v>
      </c>
      <c r="C174" s="644"/>
      <c r="D174" s="304" t="s">
        <v>3731</v>
      </c>
      <c r="E174" s="645"/>
      <c r="F174" s="645"/>
      <c r="G174" s="646"/>
      <c r="H174" s="646"/>
      <c r="I174" s="646"/>
      <c r="J174" s="646"/>
      <c r="K174" s="646"/>
      <c r="L174" s="646"/>
      <c r="M174" s="646"/>
      <c r="N174" s="646"/>
      <c r="O174" s="646"/>
      <c r="P174" s="646"/>
      <c r="Q174" s="646"/>
      <c r="R174" s="646"/>
      <c r="S174" s="646"/>
      <c r="T174" s="646"/>
      <c r="U174" s="646"/>
      <c r="V174" s="646"/>
      <c r="W174" s="646"/>
      <c r="X174" s="646"/>
      <c r="Y174" s="646"/>
      <c r="Z174" s="646"/>
      <c r="AA174" s="646"/>
      <c r="AB174" s="646"/>
      <c r="AC174" s="646"/>
      <c r="AD174" s="646"/>
      <c r="AE174" s="646"/>
      <c r="AF174" s="646"/>
      <c r="AG174" s="646"/>
      <c r="AH174" s="646"/>
      <c r="AI174" s="646"/>
      <c r="AJ174" s="646"/>
      <c r="AK174" s="646"/>
      <c r="AL174" s="646"/>
      <c r="AM174" s="646"/>
      <c r="AN174" s="646"/>
      <c r="AO174" s="646">
        <v>0.56724787449000003</v>
      </c>
      <c r="AP174" s="646">
        <v>0.51515058329999996</v>
      </c>
      <c r="AQ174" s="646">
        <v>1.1758102959000001</v>
      </c>
      <c r="AR174" s="646">
        <v>2.3573927316900001</v>
      </c>
      <c r="AS174" s="646">
        <v>0.70272808210000004</v>
      </c>
      <c r="AT174" s="646">
        <v>0.80046968128000007</v>
      </c>
      <c r="AU174" s="646">
        <v>0.90091609956000018</v>
      </c>
      <c r="AV174" s="646">
        <v>1.5090801632499999</v>
      </c>
      <c r="AW174" s="646">
        <v>3.0205547366400003</v>
      </c>
      <c r="AX174" s="646">
        <v>2.8442170162899996</v>
      </c>
      <c r="AY174" s="646">
        <v>1.3224325885399999</v>
      </c>
      <c r="AZ174" s="646">
        <v>1.7417385000000001</v>
      </c>
      <c r="BA174" s="646">
        <v>1.0968597690900002</v>
      </c>
      <c r="BB174" s="646">
        <v>1.0653299999999999</v>
      </c>
      <c r="BC174" s="646">
        <v>0.65097137640000002</v>
      </c>
      <c r="BD174" s="646">
        <v>0.46334080099999764</v>
      </c>
      <c r="BE174" s="646">
        <v>0.81369956952</v>
      </c>
      <c r="BF174" s="646">
        <v>0.459041825628</v>
      </c>
      <c r="BG174" s="646">
        <v>5.6269537440000003E-2</v>
      </c>
      <c r="BH174" s="646">
        <v>0.2338909860609</v>
      </c>
      <c r="BI174" s="646">
        <v>0.74638088345200004</v>
      </c>
      <c r="BJ174" s="646">
        <v>0</v>
      </c>
      <c r="BK174" s="646">
        <v>2.0248930564799998</v>
      </c>
      <c r="BL174" s="646">
        <v>0.13291101648</v>
      </c>
      <c r="BM174" s="646">
        <v>0</v>
      </c>
      <c r="BN174" s="646">
        <v>1.574352327692</v>
      </c>
      <c r="BO174" s="646">
        <v>0.1820497197</v>
      </c>
      <c r="BP174" s="646">
        <v>0.13682812499999999</v>
      </c>
      <c r="BQ174" s="646">
        <v>0.49049131550999997</v>
      </c>
      <c r="BR174" s="646">
        <v>9.2476232983999998E-2</v>
      </c>
      <c r="BS174" s="646">
        <v>0.19251805693399998</v>
      </c>
      <c r="BT174" s="646">
        <v>0</v>
      </c>
      <c r="BU174" s="646">
        <v>2.5469713237499993</v>
      </c>
      <c r="BV174" s="646">
        <v>0.15428480522999999</v>
      </c>
      <c r="BW174" s="646">
        <v>1.8866791212639997</v>
      </c>
      <c r="BX174" s="646">
        <v>0.45587558758199992</v>
      </c>
      <c r="BY174" s="646">
        <v>3.4141055849999997E-2</v>
      </c>
      <c r="BZ174" s="646">
        <v>0.15156437121099997</v>
      </c>
      <c r="CA174" s="646">
        <v>9.2819721189999996E-2</v>
      </c>
      <c r="CB174" s="646">
        <v>0</v>
      </c>
      <c r="CC174" s="646">
        <v>0</v>
      </c>
      <c r="CD174" s="646">
        <v>0.12853399820000003</v>
      </c>
      <c r="CE174" s="647">
        <v>6.8171795700000004</v>
      </c>
      <c r="CF174" s="646">
        <v>3.9039883390000001</v>
      </c>
      <c r="CG174" s="646">
        <v>3.8882203720000001</v>
      </c>
      <c r="CH174" s="646">
        <v>6.2578329159999999</v>
      </c>
      <c r="CI174" s="646">
        <v>3.5211649989999998</v>
      </c>
      <c r="CJ174" s="646">
        <v>6.7397221739999997</v>
      </c>
      <c r="CK174" s="646">
        <v>11.206712712287</v>
      </c>
      <c r="CL174" s="646">
        <v>1.744920303962</v>
      </c>
      <c r="CM174" s="646">
        <v>2.9498687050729999</v>
      </c>
      <c r="CN174" s="646">
        <v>2.9364516164650003</v>
      </c>
      <c r="CO174" s="646">
        <v>7.973572952974</v>
      </c>
      <c r="CP174" s="648">
        <v>8.7696447443489998</v>
      </c>
      <c r="CQ174" s="646">
        <v>5.7607435347770011</v>
      </c>
      <c r="CR174" s="646">
        <v>3.9472671107080002</v>
      </c>
      <c r="CS174" s="646">
        <v>12.991094179872</v>
      </c>
      <c r="CT174" s="646">
        <v>7.097023092573</v>
      </c>
      <c r="CU174" s="646">
        <v>12.102969035651</v>
      </c>
      <c r="CV174" s="646">
        <v>11.621077212909999</v>
      </c>
      <c r="CW174" s="646">
        <v>8.4188352186079989</v>
      </c>
      <c r="CX174" s="646">
        <v>3.7151717103489998</v>
      </c>
      <c r="CY174" s="646">
        <v>9.2964163726490003</v>
      </c>
      <c r="CZ174" s="646">
        <v>3.9665275602789998</v>
      </c>
      <c r="DA174" s="646">
        <v>6.3830912553159997</v>
      </c>
      <c r="DB174" s="1297">
        <v>13.932984784080002</v>
      </c>
      <c r="DC174" s="646">
        <v>0.42216898336300002</v>
      </c>
      <c r="DD174" s="646">
        <v>3.7189687297299998</v>
      </c>
      <c r="DE174" s="646">
        <v>11.694227755626997</v>
      </c>
      <c r="DF174" s="646">
        <v>8.5129279728749996</v>
      </c>
      <c r="DG174" s="646">
        <v>4.8652677647420006</v>
      </c>
      <c r="DH174" s="646">
        <v>22.350273298890002</v>
      </c>
      <c r="DI174" s="646">
        <v>6.7047741122170006</v>
      </c>
      <c r="DJ174" s="646">
        <v>5.5435094828279992</v>
      </c>
      <c r="DK174" s="646">
        <v>13.796249482406001</v>
      </c>
      <c r="DL174" s="646">
        <v>13.128120131547998</v>
      </c>
      <c r="DM174" s="646">
        <v>6.8738819535209998</v>
      </c>
      <c r="DN174" s="648">
        <v>5.2576456738859996</v>
      </c>
      <c r="DO174" s="646">
        <v>3.2977253905239996</v>
      </c>
      <c r="DP174" s="646">
        <v>8.4289872174100005</v>
      </c>
      <c r="DQ174" s="646">
        <v>19.676344781299001</v>
      </c>
      <c r="DR174" s="646">
        <v>6.2250619891019987</v>
      </c>
      <c r="DS174" s="646">
        <v>11.369225287213002</v>
      </c>
      <c r="DT174" s="646">
        <v>20.325144909231</v>
      </c>
      <c r="DU174" s="646">
        <v>11.223212818042001</v>
      </c>
      <c r="DV174" s="646">
        <v>3.1183098931750002</v>
      </c>
      <c r="DW174" s="646">
        <v>21.614232810366996</v>
      </c>
      <c r="DX174" s="646">
        <v>21.526583004928</v>
      </c>
      <c r="DY174" s="646">
        <v>12.780071612072998</v>
      </c>
      <c r="DZ174" s="648">
        <v>21.164277456465001</v>
      </c>
      <c r="EA174" s="646">
        <v>9.7045831328230001</v>
      </c>
      <c r="EB174" s="646">
        <v>14.178791869796999</v>
      </c>
      <c r="EC174" s="646">
        <v>4.1068273863379989</v>
      </c>
      <c r="ED174" s="646">
        <v>14.499453949647002</v>
      </c>
      <c r="EE174" s="646">
        <v>8.0689371946400001</v>
      </c>
      <c r="EF174" s="646">
        <v>16.683415901944997</v>
      </c>
      <c r="EG174" s="646">
        <v>20.175523392911998</v>
      </c>
      <c r="EH174" s="646">
        <v>4.4105177353120002</v>
      </c>
      <c r="EI174" s="646">
        <v>18.571578294357</v>
      </c>
      <c r="EJ174" s="646">
        <v>12.140062738398001</v>
      </c>
      <c r="EK174" s="646">
        <v>19.123543562072001</v>
      </c>
      <c r="EL174" s="648">
        <v>28.687180347918996</v>
      </c>
      <c r="EM174" s="1090">
        <v>10.477656590839999</v>
      </c>
      <c r="EN174" s="1090">
        <v>2.1647688006760002</v>
      </c>
      <c r="EO174" s="1090">
        <v>15.058106803279999</v>
      </c>
      <c r="EP174" s="1090">
        <v>3.5079863831359996</v>
      </c>
      <c r="EQ174" s="1090">
        <v>15.281142754074001</v>
      </c>
      <c r="ER174" s="1090">
        <v>26.971773235696993</v>
      </c>
      <c r="ES174" s="1090">
        <v>23.575918671628003</v>
      </c>
      <c r="ET174" s="1090">
        <v>16.006098219428999</v>
      </c>
      <c r="EU174" s="1090">
        <v>17.722634921015</v>
      </c>
      <c r="EV174" s="1090">
        <v>14.858032673780999</v>
      </c>
      <c r="EW174" s="1090">
        <v>19.614621516160998</v>
      </c>
      <c r="EX174" s="1357">
        <v>49.68972366989501</v>
      </c>
      <c r="EY174" s="1090">
        <v>19.924202328219</v>
      </c>
      <c r="EZ174" s="1090">
        <v>27.841981081697003</v>
      </c>
      <c r="FA174" s="1090">
        <v>9.9377495896189991</v>
      </c>
      <c r="FB174" s="1090">
        <v>17.643032780835</v>
      </c>
      <c r="FC174" s="1090">
        <v>24.679553929534006</v>
      </c>
      <c r="FD174" s="1090">
        <v>36.914323498831997</v>
      </c>
      <c r="FE174" s="1090">
        <v>23.042271596590833</v>
      </c>
      <c r="FF174" s="1090">
        <v>23.042271596590833</v>
      </c>
      <c r="FG174" s="1090">
        <v>23.042271596590833</v>
      </c>
      <c r="FH174" s="1090">
        <v>27.301130899202501</v>
      </c>
      <c r="FI174" s="1090">
        <v>27.301130899202501</v>
      </c>
      <c r="FJ174" s="1357">
        <v>27.301130899202501</v>
      </c>
      <c r="FK174" s="1090">
        <v>117.575863139036</v>
      </c>
      <c r="FL174" s="1090">
        <v>44.259788753746001</v>
      </c>
      <c r="FM174" s="1090">
        <v>18.768165997943996</v>
      </c>
      <c r="FN174" s="1090">
        <v>12.931676679849998</v>
      </c>
      <c r="FO174" s="1090">
        <v>25.497255099752</v>
      </c>
      <c r="FP174" s="1090">
        <v>27.715972263397997</v>
      </c>
      <c r="FQ174" s="646">
        <v>16.024197946205</v>
      </c>
      <c r="FR174" s="646">
        <v>13.750472737393999</v>
      </c>
      <c r="FS174" s="646">
        <v>35.751266564339986</v>
      </c>
      <c r="FT174" s="646">
        <v>26.086093328253</v>
      </c>
      <c r="FU174" s="646">
        <v>8.9790092985810013</v>
      </c>
      <c r="FV174" s="646">
        <v>43.230276040410004</v>
      </c>
      <c r="FW174" s="646">
        <v>31.975558265251003</v>
      </c>
      <c r="FX174" s="646">
        <v>21.442936379576999</v>
      </c>
      <c r="FY174" s="646">
        <v>33.697982377468996</v>
      </c>
      <c r="FZ174" s="646">
        <v>65.024764227000006</v>
      </c>
      <c r="GA174" s="646">
        <v>31.014908093999999</v>
      </c>
      <c r="GB174" s="646">
        <v>44.204778484999999</v>
      </c>
      <c r="GC174" s="646">
        <v>3.4298311076370003</v>
      </c>
      <c r="GD174" s="646">
        <v>20.862679986603997</v>
      </c>
      <c r="GE174" s="646">
        <v>18.005459701505991</v>
      </c>
      <c r="GF174" s="646">
        <v>21.540718199653</v>
      </c>
      <c r="GG174" s="646">
        <v>26.262921360992998</v>
      </c>
      <c r="GH174" s="646">
        <v>94.193047969999995</v>
      </c>
      <c r="GI174" s="646">
        <v>21.089689929990001</v>
      </c>
      <c r="GJ174" s="646">
        <v>12.047433845630001</v>
      </c>
      <c r="GK174" s="646">
        <v>82.647879174370004</v>
      </c>
      <c r="GL174" s="646">
        <v>28.692948375380006</v>
      </c>
      <c r="GM174" s="646">
        <v>13.105693843020003</v>
      </c>
      <c r="GN174" s="646">
        <v>47.536420291729996</v>
      </c>
      <c r="GO174" s="646">
        <v>32.610284015775001</v>
      </c>
      <c r="GP174" s="646">
        <v>32.288064439738001</v>
      </c>
      <c r="GQ174" s="646">
        <v>67.569872539294977</v>
      </c>
      <c r="GR174" s="646">
        <v>18.009931112640992</v>
      </c>
      <c r="GS174" s="646">
        <v>23.205993021143005</v>
      </c>
      <c r="GT174" s="646">
        <v>47.667523324553009</v>
      </c>
      <c r="GU174" s="646">
        <v>21.910529276230999</v>
      </c>
      <c r="GV174" s="646">
        <v>42.197749617607002</v>
      </c>
      <c r="GW174" s="646">
        <v>49.829994886929001</v>
      </c>
      <c r="GX174" s="646">
        <v>39.515026511001999</v>
      </c>
      <c r="GY174" s="646">
        <v>66.984583489333005</v>
      </c>
      <c r="GZ174" s="646">
        <v>100.25194032583398</v>
      </c>
      <c r="HA174" s="646">
        <v>31.435793520262003</v>
      </c>
      <c r="HB174" s="646">
        <v>21.236010936550997</v>
      </c>
      <c r="HC174" s="646">
        <v>79.633581699936997</v>
      </c>
      <c r="HD174" s="646">
        <v>40.509249266334002</v>
      </c>
      <c r="HE174" s="646">
        <v>18.274648314265999</v>
      </c>
      <c r="HF174" s="646">
        <v>128.23267715206299</v>
      </c>
      <c r="HG174" s="646">
        <v>49.879732205343004</v>
      </c>
      <c r="HH174" s="646">
        <v>18.934514546271</v>
      </c>
      <c r="HI174" s="646">
        <v>66.736240651427991</v>
      </c>
      <c r="HJ174" s="646">
        <v>74.895360717955</v>
      </c>
      <c r="HK174" s="646">
        <v>42.123375037326014</v>
      </c>
      <c r="HL174" s="646">
        <v>127.8921099328622</v>
      </c>
      <c r="HM174" s="646">
        <v>54.966984160314993</v>
      </c>
      <c r="HN174" s="646">
        <v>23.751190503989001</v>
      </c>
      <c r="HO174" s="646">
        <v>77.731444028875003</v>
      </c>
      <c r="HP174" s="646">
        <v>50.786878182816004</v>
      </c>
      <c r="HQ174" s="646">
        <v>72.235398328367992</v>
      </c>
      <c r="HR174" s="646">
        <v>79.028235299879</v>
      </c>
      <c r="HS174" s="646">
        <v>22.134883638801</v>
      </c>
      <c r="HT174" s="646">
        <v>28.566661222182997</v>
      </c>
      <c r="HU174" s="646">
        <v>84.674756882695007</v>
      </c>
      <c r="HV174" s="646">
        <v>66.007727705753993</v>
      </c>
      <c r="HW174" s="646">
        <v>86.302423310713991</v>
      </c>
      <c r="HX174" s="646">
        <v>120.366979698935</v>
      </c>
      <c r="HY174" s="646"/>
      <c r="HZ174" s="649"/>
      <c r="IH174" s="279">
        <f>+SUM(DC174:DH174)</f>
        <v>51.563834505227</v>
      </c>
      <c r="II174" s="279">
        <f>+SUM(DI174:DN174)</f>
        <v>51.30418083640599</v>
      </c>
      <c r="IJ174" s="323">
        <f t="shared" si="27"/>
        <v>102.868015341633</v>
      </c>
      <c r="IK174" s="279">
        <f>SUM(DO174:DT174)</f>
        <v>69.322489574778999</v>
      </c>
      <c r="KT174" s="651"/>
      <c r="KU174" s="649"/>
    </row>
    <row r="175" spans="1:307" s="650" customFormat="1" outlineLevel="1">
      <c r="A175" s="644"/>
      <c r="B175" s="644"/>
      <c r="C175" s="644"/>
      <c r="D175" s="304" t="s">
        <v>3732</v>
      </c>
      <c r="E175" s="645"/>
      <c r="F175" s="645"/>
      <c r="G175" s="646"/>
      <c r="H175" s="646"/>
      <c r="I175" s="646"/>
      <c r="J175" s="646"/>
      <c r="K175" s="646"/>
      <c r="L175" s="646"/>
      <c r="M175" s="646"/>
      <c r="N175" s="646"/>
      <c r="O175" s="646"/>
      <c r="P175" s="646"/>
      <c r="Q175" s="646"/>
      <c r="R175" s="646"/>
      <c r="S175" s="646"/>
      <c r="T175" s="646"/>
      <c r="U175" s="646"/>
      <c r="V175" s="646"/>
      <c r="W175" s="646"/>
      <c r="X175" s="646"/>
      <c r="Y175" s="646"/>
      <c r="Z175" s="646"/>
      <c r="AA175" s="646"/>
      <c r="AB175" s="646"/>
      <c r="AC175" s="646"/>
      <c r="AD175" s="646"/>
      <c r="AE175" s="646"/>
      <c r="AF175" s="646"/>
      <c r="AG175" s="646"/>
      <c r="AH175" s="646"/>
      <c r="AI175" s="646"/>
      <c r="AJ175" s="646"/>
      <c r="AK175" s="646"/>
      <c r="AL175" s="646"/>
      <c r="AM175" s="646"/>
      <c r="AN175" s="646"/>
      <c r="AO175" s="646"/>
      <c r="AP175" s="646"/>
      <c r="AQ175" s="646"/>
      <c r="AR175" s="646"/>
      <c r="AS175" s="646"/>
      <c r="AT175" s="646"/>
      <c r="AU175" s="646"/>
      <c r="AV175" s="646"/>
      <c r="AW175" s="646"/>
      <c r="AX175" s="646"/>
      <c r="AY175" s="646"/>
      <c r="AZ175" s="646"/>
      <c r="BA175" s="646"/>
      <c r="BB175" s="646"/>
      <c r="BC175" s="646"/>
      <c r="BD175" s="646"/>
      <c r="BE175" s="646"/>
      <c r="BF175" s="646"/>
      <c r="BG175" s="646"/>
      <c r="BH175" s="646"/>
      <c r="BI175" s="646"/>
      <c r="BJ175" s="646"/>
      <c r="BK175" s="646"/>
      <c r="BL175" s="646"/>
      <c r="BM175" s="646"/>
      <c r="BN175" s="646"/>
      <c r="BO175" s="646"/>
      <c r="BP175" s="646"/>
      <c r="BQ175" s="646"/>
      <c r="BR175" s="646"/>
      <c r="BS175" s="646"/>
      <c r="BT175" s="646"/>
      <c r="BU175" s="646"/>
      <c r="BV175" s="646"/>
      <c r="BW175" s="646"/>
      <c r="BX175" s="646"/>
      <c r="BY175" s="646"/>
      <c r="BZ175" s="646"/>
      <c r="CA175" s="646"/>
      <c r="CB175" s="646"/>
      <c r="CC175" s="646"/>
      <c r="CD175" s="646"/>
      <c r="CE175" s="647"/>
      <c r="CF175" s="646"/>
      <c r="CG175" s="646"/>
      <c r="CH175" s="646"/>
      <c r="CI175" s="646"/>
      <c r="CJ175" s="646"/>
      <c r="CK175" s="646"/>
      <c r="CL175" s="646"/>
      <c r="CM175" s="646"/>
      <c r="CN175" s="646"/>
      <c r="CO175" s="646"/>
      <c r="CP175" s="648"/>
      <c r="CQ175" s="646"/>
      <c r="CR175" s="646"/>
      <c r="CS175" s="646"/>
      <c r="CT175" s="646"/>
      <c r="CU175" s="646"/>
      <c r="CV175" s="646"/>
      <c r="CW175" s="646"/>
      <c r="CX175" s="646"/>
      <c r="CY175" s="646"/>
      <c r="CZ175" s="646"/>
      <c r="DA175" s="646"/>
      <c r="DB175" s="1297"/>
      <c r="DC175" s="646"/>
      <c r="DD175" s="646"/>
      <c r="DE175" s="646"/>
      <c r="DF175" s="646"/>
      <c r="DG175" s="646"/>
      <c r="DH175" s="646"/>
      <c r="DI175" s="646"/>
      <c r="DJ175" s="646"/>
      <c r="DK175" s="646"/>
      <c r="DL175" s="646"/>
      <c r="DM175" s="646"/>
      <c r="DN175" s="648"/>
      <c r="DO175" s="646"/>
      <c r="DP175" s="646"/>
      <c r="DQ175" s="646"/>
      <c r="DR175" s="646"/>
      <c r="DS175" s="646"/>
      <c r="DT175" s="646"/>
      <c r="DU175" s="646"/>
      <c r="DV175" s="646"/>
      <c r="DW175" s="646"/>
      <c r="DX175" s="646"/>
      <c r="DY175" s="646"/>
      <c r="DZ175" s="648"/>
      <c r="EA175" s="646"/>
      <c r="EB175" s="646"/>
      <c r="EC175" s="646"/>
      <c r="ED175" s="646">
        <f t="shared" ref="ED175" si="192">ED174</f>
        <v>14.499453949647002</v>
      </c>
      <c r="EE175" s="646">
        <f t="shared" ref="EE175" si="193">EE174</f>
        <v>8.0689371946400001</v>
      </c>
      <c r="EF175" s="646">
        <f t="shared" ref="EF175" si="194">EF174</f>
        <v>16.683415901944997</v>
      </c>
      <c r="EG175" s="646">
        <f t="shared" ref="EG175" si="195">EG174</f>
        <v>20.175523392911998</v>
      </c>
      <c r="EH175" s="646">
        <f t="shared" ref="EH175" si="196">EH174</f>
        <v>4.4105177353120002</v>
      </c>
      <c r="EI175" s="646">
        <f t="shared" ref="EI175" si="197">EI174</f>
        <v>18.571578294357</v>
      </c>
      <c r="EJ175" s="646">
        <f t="shared" ref="EJ175" si="198">EJ174</f>
        <v>12.140062738398001</v>
      </c>
      <c r="EK175" s="646">
        <f t="shared" ref="EK175" si="199">EK174</f>
        <v>19.123543562072001</v>
      </c>
      <c r="EL175" s="646">
        <f t="shared" ref="EL175" si="200">EL174</f>
        <v>28.687180347918996</v>
      </c>
      <c r="EM175" s="646">
        <f t="shared" ref="EM175" si="201">EM174</f>
        <v>10.477656590839999</v>
      </c>
      <c r="EN175" s="646">
        <f t="shared" ref="EN175" si="202">EN174</f>
        <v>2.1647688006760002</v>
      </c>
      <c r="EO175" s="646">
        <f t="shared" ref="EO175" si="203">EO174</f>
        <v>15.058106803279999</v>
      </c>
      <c r="EP175" s="646">
        <f t="shared" ref="EP175" si="204">EP174</f>
        <v>3.5079863831359996</v>
      </c>
      <c r="EQ175" s="646">
        <f t="shared" ref="EQ175" si="205">EQ174</f>
        <v>15.281142754074001</v>
      </c>
      <c r="ER175" s="646">
        <f t="shared" ref="ER175" si="206">ER174</f>
        <v>26.971773235696993</v>
      </c>
      <c r="ES175" s="646">
        <f t="shared" ref="ES175" si="207">ES174</f>
        <v>23.575918671628003</v>
      </c>
      <c r="ET175" s="646">
        <f t="shared" ref="ET175" si="208">ET174</f>
        <v>16.006098219428999</v>
      </c>
      <c r="EU175" s="646">
        <f t="shared" ref="EU175" si="209">EU174</f>
        <v>17.722634921015</v>
      </c>
      <c r="EV175" s="646">
        <f t="shared" ref="EV175" si="210">EV174</f>
        <v>14.858032673780999</v>
      </c>
      <c r="EW175" s="646">
        <f t="shared" ref="EW175" si="211">EW174</f>
        <v>19.614621516160998</v>
      </c>
      <c r="EX175" s="646">
        <f t="shared" ref="EX175" si="212">EX174</f>
        <v>49.68972366989501</v>
      </c>
      <c r="EY175" s="646">
        <f t="shared" ref="EY175" si="213">EY174</f>
        <v>19.924202328219</v>
      </c>
      <c r="EZ175" s="646">
        <f t="shared" ref="EZ175" si="214">EZ174</f>
        <v>27.841981081697003</v>
      </c>
      <c r="FA175" s="646">
        <f t="shared" ref="FA175" si="215">FA174</f>
        <v>9.9377495896189991</v>
      </c>
      <c r="FB175" s="646">
        <f t="shared" ref="FB175" si="216">FB174</f>
        <v>17.643032780835</v>
      </c>
      <c r="FC175" s="646">
        <f t="shared" ref="FC175" si="217">FC174</f>
        <v>24.679553929534006</v>
      </c>
      <c r="FD175" s="646">
        <f t="shared" ref="FD175" si="218">FD174</f>
        <v>36.914323498831997</v>
      </c>
      <c r="FE175" s="646">
        <f t="shared" ref="FE175:GQ175" si="219">FE174</f>
        <v>23.042271596590833</v>
      </c>
      <c r="FF175" s="646">
        <f t="shared" si="219"/>
        <v>23.042271596590833</v>
      </c>
      <c r="FG175" s="646">
        <f t="shared" si="219"/>
        <v>23.042271596590833</v>
      </c>
      <c r="FH175" s="646">
        <f t="shared" si="219"/>
        <v>27.301130899202501</v>
      </c>
      <c r="FI175" s="646">
        <f t="shared" si="219"/>
        <v>27.301130899202501</v>
      </c>
      <c r="FJ175" s="646">
        <f t="shared" si="219"/>
        <v>27.301130899202501</v>
      </c>
      <c r="FK175" s="646">
        <f t="shared" si="219"/>
        <v>117.575863139036</v>
      </c>
      <c r="FL175" s="646">
        <f t="shared" si="219"/>
        <v>44.259788753746001</v>
      </c>
      <c r="FM175" s="646">
        <f t="shared" si="219"/>
        <v>18.768165997943996</v>
      </c>
      <c r="FN175" s="646">
        <f t="shared" si="219"/>
        <v>12.931676679849998</v>
      </c>
      <c r="FO175" s="646">
        <f t="shared" si="219"/>
        <v>25.497255099752</v>
      </c>
      <c r="FP175" s="646">
        <f t="shared" si="219"/>
        <v>27.715972263397997</v>
      </c>
      <c r="FQ175" s="646">
        <f t="shared" si="219"/>
        <v>16.024197946205</v>
      </c>
      <c r="FR175" s="646">
        <f t="shared" si="219"/>
        <v>13.750472737393999</v>
      </c>
      <c r="FS175" s="646">
        <f t="shared" si="219"/>
        <v>35.751266564339986</v>
      </c>
      <c r="FT175" s="646">
        <f t="shared" si="219"/>
        <v>26.086093328253</v>
      </c>
      <c r="FU175" s="646">
        <f t="shared" si="219"/>
        <v>8.9790092985810013</v>
      </c>
      <c r="FV175" s="646">
        <f t="shared" si="219"/>
        <v>43.230276040410004</v>
      </c>
      <c r="FW175" s="646">
        <f t="shared" si="219"/>
        <v>31.975558265251003</v>
      </c>
      <c r="FX175" s="646">
        <f t="shared" si="219"/>
        <v>21.442936379576999</v>
      </c>
      <c r="FY175" s="646">
        <f t="shared" si="219"/>
        <v>33.697982377468996</v>
      </c>
      <c r="FZ175" s="646">
        <f t="shared" si="219"/>
        <v>65.024764227000006</v>
      </c>
      <c r="GA175" s="646">
        <f t="shared" si="219"/>
        <v>31.014908093999999</v>
      </c>
      <c r="GB175" s="646">
        <f t="shared" si="219"/>
        <v>44.204778484999999</v>
      </c>
      <c r="GC175" s="646">
        <f t="shared" si="219"/>
        <v>3.4298311076370003</v>
      </c>
      <c r="GD175" s="646">
        <f t="shared" si="219"/>
        <v>20.862679986603997</v>
      </c>
      <c r="GE175" s="646">
        <f t="shared" si="219"/>
        <v>18.005459701505991</v>
      </c>
      <c r="GF175" s="646">
        <f t="shared" si="219"/>
        <v>21.540718199653</v>
      </c>
      <c r="GG175" s="646">
        <f t="shared" si="219"/>
        <v>26.262921360992998</v>
      </c>
      <c r="GH175" s="646">
        <f t="shared" si="219"/>
        <v>94.193047969999995</v>
      </c>
      <c r="GI175" s="646">
        <f t="shared" si="219"/>
        <v>21.089689929990001</v>
      </c>
      <c r="GJ175" s="646">
        <f t="shared" si="219"/>
        <v>12.047433845630001</v>
      </c>
      <c r="GK175" s="646">
        <f t="shared" si="219"/>
        <v>82.647879174370004</v>
      </c>
      <c r="GL175" s="646">
        <f t="shared" si="219"/>
        <v>28.692948375380006</v>
      </c>
      <c r="GM175" s="646">
        <f t="shared" si="219"/>
        <v>13.105693843020003</v>
      </c>
      <c r="GN175" s="646">
        <f t="shared" si="219"/>
        <v>47.536420291729996</v>
      </c>
      <c r="GO175" s="646">
        <f t="shared" si="219"/>
        <v>32.610284015775001</v>
      </c>
      <c r="GP175" s="646">
        <f t="shared" si="219"/>
        <v>32.288064439738001</v>
      </c>
      <c r="GQ175" s="646">
        <f t="shared" si="219"/>
        <v>67.569872539294977</v>
      </c>
      <c r="GR175" s="646">
        <f>GR174</f>
        <v>18.009931112640992</v>
      </c>
      <c r="GS175" s="646">
        <f t="shared" ref="GS175:HC175" si="220">GS174</f>
        <v>23.205993021143005</v>
      </c>
      <c r="GT175" s="646">
        <f t="shared" si="220"/>
        <v>47.667523324553009</v>
      </c>
      <c r="GU175" s="646">
        <f t="shared" si="220"/>
        <v>21.910529276230999</v>
      </c>
      <c r="GV175" s="646">
        <f t="shared" si="220"/>
        <v>42.197749617607002</v>
      </c>
      <c r="GW175" s="646">
        <f t="shared" si="220"/>
        <v>49.829994886929001</v>
      </c>
      <c r="GX175" s="646">
        <f t="shared" si="220"/>
        <v>39.515026511001999</v>
      </c>
      <c r="GY175" s="646">
        <f t="shared" si="220"/>
        <v>66.984583489333005</v>
      </c>
      <c r="GZ175" s="646">
        <f t="shared" si="220"/>
        <v>100.25194032583398</v>
      </c>
      <c r="HA175" s="646">
        <f t="shared" si="220"/>
        <v>31.435793520262003</v>
      </c>
      <c r="HB175" s="646">
        <f t="shared" si="220"/>
        <v>21.236010936550997</v>
      </c>
      <c r="HC175" s="646">
        <f t="shared" si="220"/>
        <v>79.633581699936997</v>
      </c>
      <c r="HD175" s="646">
        <f>HD174</f>
        <v>40.509249266334002</v>
      </c>
      <c r="HE175" s="646">
        <f t="shared" ref="HE175" si="221">HE174</f>
        <v>18.274648314265999</v>
      </c>
      <c r="HF175" s="646">
        <f t="shared" ref="HF175" si="222">HF174</f>
        <v>128.23267715206299</v>
      </c>
      <c r="HG175" s="646">
        <f t="shared" ref="HG175" si="223">HG174</f>
        <v>49.879732205343004</v>
      </c>
      <c r="HH175" s="646">
        <f t="shared" ref="HH175" si="224">HH174</f>
        <v>18.934514546271</v>
      </c>
      <c r="HI175" s="646">
        <f t="shared" ref="HI175" si="225">HI174</f>
        <v>66.736240651427991</v>
      </c>
      <c r="HJ175" s="646">
        <f t="shared" ref="HJ175" si="226">HJ174</f>
        <v>74.895360717955</v>
      </c>
      <c r="HK175" s="646">
        <f t="shared" ref="HK175" si="227">HK174</f>
        <v>42.123375037326014</v>
      </c>
      <c r="HL175" s="646">
        <f t="shared" ref="HL175" si="228">HL174</f>
        <v>127.8921099328622</v>
      </c>
      <c r="HM175" s="646"/>
      <c r="HN175" s="646"/>
      <c r="HO175" s="646"/>
      <c r="HP175" s="646"/>
      <c r="HQ175" s="646"/>
      <c r="HR175" s="646"/>
      <c r="HS175" s="646"/>
      <c r="HT175" s="646"/>
      <c r="HU175" s="646"/>
      <c r="HV175" s="646"/>
      <c r="HW175" s="646"/>
      <c r="HX175" s="646"/>
      <c r="HY175" s="646"/>
      <c r="HZ175" s="649"/>
      <c r="IH175" s="279"/>
      <c r="II175" s="279"/>
      <c r="IJ175" s="323"/>
      <c r="IK175" s="279"/>
      <c r="KT175" s="651"/>
      <c r="KU175" s="649"/>
    </row>
    <row r="176" spans="1:307" s="650" customFormat="1" outlineLevel="1">
      <c r="A176" s="644"/>
      <c r="B176" s="644"/>
      <c r="C176" s="644"/>
      <c r="D176" s="2079" t="s">
        <v>3728</v>
      </c>
      <c r="E176" s="645"/>
      <c r="F176" s="645"/>
      <c r="G176" s="646"/>
      <c r="H176" s="646"/>
      <c r="I176" s="646"/>
      <c r="J176" s="646"/>
      <c r="K176" s="646"/>
      <c r="L176" s="646"/>
      <c r="M176" s="646"/>
      <c r="N176" s="646"/>
      <c r="O176" s="646"/>
      <c r="P176" s="646"/>
      <c r="Q176" s="646"/>
      <c r="R176" s="646"/>
      <c r="S176" s="646"/>
      <c r="T176" s="646"/>
      <c r="U176" s="646"/>
      <c r="V176" s="646"/>
      <c r="W176" s="646"/>
      <c r="X176" s="646"/>
      <c r="Y176" s="646"/>
      <c r="Z176" s="646"/>
      <c r="AA176" s="646"/>
      <c r="AB176" s="646"/>
      <c r="AC176" s="646"/>
      <c r="AD176" s="646"/>
      <c r="AE176" s="646"/>
      <c r="AF176" s="646"/>
      <c r="AG176" s="646"/>
      <c r="AH176" s="646"/>
      <c r="AI176" s="646"/>
      <c r="AJ176" s="646"/>
      <c r="AK176" s="646"/>
      <c r="AL176" s="646"/>
      <c r="AM176" s="646"/>
      <c r="AN176" s="646"/>
      <c r="AO176" s="646"/>
      <c r="AP176" s="646"/>
      <c r="AQ176" s="646"/>
      <c r="AR176" s="646"/>
      <c r="AS176" s="646"/>
      <c r="AT176" s="646"/>
      <c r="AU176" s="646"/>
      <c r="AV176" s="646"/>
      <c r="AW176" s="646"/>
      <c r="AX176" s="646"/>
      <c r="AY176" s="646"/>
      <c r="AZ176" s="646"/>
      <c r="BA176" s="646"/>
      <c r="BB176" s="646"/>
      <c r="BC176" s="646"/>
      <c r="BD176" s="646"/>
      <c r="BE176" s="646"/>
      <c r="BF176" s="646"/>
      <c r="BG176" s="646"/>
      <c r="BH176" s="646"/>
      <c r="BI176" s="646"/>
      <c r="BJ176" s="646"/>
      <c r="BK176" s="646"/>
      <c r="BL176" s="646"/>
      <c r="BM176" s="646"/>
      <c r="BN176" s="646"/>
      <c r="BO176" s="646"/>
      <c r="BP176" s="646"/>
      <c r="BQ176" s="646"/>
      <c r="BR176" s="646"/>
      <c r="BS176" s="646"/>
      <c r="BT176" s="646"/>
      <c r="BU176" s="646"/>
      <c r="BV176" s="646"/>
      <c r="BW176" s="646"/>
      <c r="BX176" s="646"/>
      <c r="BY176" s="646"/>
      <c r="BZ176" s="646"/>
      <c r="CA176" s="646"/>
      <c r="CB176" s="646"/>
      <c r="CC176" s="646"/>
      <c r="CD176" s="646"/>
      <c r="CE176" s="647"/>
      <c r="CF176" s="646"/>
      <c r="CG176" s="646"/>
      <c r="CH176" s="646"/>
      <c r="CI176" s="646"/>
      <c r="CJ176" s="646"/>
      <c r="CK176" s="646"/>
      <c r="CL176" s="646"/>
      <c r="CM176" s="646"/>
      <c r="CN176" s="646"/>
      <c r="CO176" s="646"/>
      <c r="CP176" s="648"/>
      <c r="CQ176" s="646"/>
      <c r="CR176" s="646"/>
      <c r="CS176" s="646"/>
      <c r="CT176" s="646"/>
      <c r="CU176" s="646"/>
      <c r="CV176" s="646"/>
      <c r="CW176" s="646"/>
      <c r="CX176" s="646"/>
      <c r="CY176" s="646"/>
      <c r="CZ176" s="646"/>
      <c r="DA176" s="646"/>
      <c r="DB176" s="1297"/>
      <c r="DC176" s="646"/>
      <c r="DD176" s="646"/>
      <c r="DE176" s="646"/>
      <c r="DF176" s="646"/>
      <c r="DG176" s="646"/>
      <c r="DH176" s="646"/>
      <c r="DI176" s="646"/>
      <c r="DJ176" s="646"/>
      <c r="DK176" s="646"/>
      <c r="DL176" s="646"/>
      <c r="DM176" s="646"/>
      <c r="DN176" s="648"/>
      <c r="DO176" s="646"/>
      <c r="DP176" s="646"/>
      <c r="DQ176" s="646"/>
      <c r="DR176" s="646"/>
      <c r="DS176" s="646"/>
      <c r="DT176" s="646"/>
      <c r="DU176" s="646"/>
      <c r="DV176" s="646"/>
      <c r="DW176" s="646"/>
      <c r="DX176" s="646"/>
      <c r="DY176" s="646"/>
      <c r="DZ176" s="648"/>
      <c r="EA176" s="646"/>
      <c r="EB176" s="646"/>
      <c r="EC176" s="646"/>
      <c r="ED176" s="646"/>
      <c r="EE176" s="646"/>
      <c r="EF176" s="646"/>
      <c r="EG176" s="646"/>
      <c r="EH176" s="646"/>
      <c r="EI176" s="646"/>
      <c r="EJ176" s="646"/>
      <c r="EK176" s="646"/>
      <c r="EL176" s="648"/>
      <c r="EM176" s="1090"/>
      <c r="EN176" s="1090"/>
      <c r="EO176" s="1090"/>
      <c r="EP176" s="1090"/>
      <c r="EQ176" s="1090"/>
      <c r="ER176" s="1090"/>
      <c r="ES176" s="1090"/>
      <c r="ET176" s="1090"/>
      <c r="EU176" s="1090"/>
      <c r="EV176" s="1090"/>
      <c r="EW176" s="1090"/>
      <c r="EX176" s="1357"/>
      <c r="EY176" s="1090"/>
      <c r="EZ176" s="1090"/>
      <c r="FA176" s="1090"/>
      <c r="FB176" s="1090"/>
      <c r="FC176" s="1090"/>
      <c r="FD176" s="1090"/>
      <c r="FE176" s="1090"/>
      <c r="FF176" s="1090"/>
      <c r="FG176" s="1090"/>
      <c r="FH176" s="1090"/>
      <c r="FI176" s="1090"/>
      <c r="FJ176" s="1357"/>
      <c r="FK176" s="1090"/>
      <c r="FL176" s="1090"/>
      <c r="FM176" s="1090"/>
      <c r="FN176" s="1090"/>
      <c r="FO176" s="1090"/>
      <c r="FP176" s="1090"/>
      <c r="FQ176" s="646"/>
      <c r="FR176" s="646"/>
      <c r="FS176" s="646"/>
      <c r="FT176" s="646"/>
      <c r="FU176" s="646"/>
      <c r="FV176" s="646"/>
      <c r="FW176" s="646"/>
      <c r="FX176" s="646"/>
      <c r="FY176" s="646"/>
      <c r="FZ176" s="646"/>
      <c r="GA176" s="646"/>
      <c r="GB176" s="646"/>
      <c r="GC176" s="646"/>
      <c r="GD176" s="646"/>
      <c r="GE176" s="646"/>
      <c r="GF176" s="646"/>
      <c r="GG176" s="646"/>
      <c r="GH176" s="646"/>
      <c r="GI176" s="646"/>
      <c r="GJ176" s="646"/>
      <c r="GK176" s="646"/>
      <c r="GL176" s="646"/>
      <c r="GM176" s="646"/>
      <c r="GN176" s="646"/>
      <c r="GO176" s="646"/>
      <c r="GP176" s="646"/>
      <c r="GQ176" s="646"/>
      <c r="GR176" s="646"/>
      <c r="GS176" s="646"/>
      <c r="GT176" s="646"/>
      <c r="GU176" s="646"/>
      <c r="GV176" s="646"/>
      <c r="GW176" s="646"/>
      <c r="GX176" s="646"/>
      <c r="GY176" s="646"/>
      <c r="GZ176" s="646"/>
      <c r="HA176" s="646"/>
      <c r="HB176" s="646"/>
      <c r="HC176" s="646"/>
      <c r="HD176" s="646"/>
      <c r="HE176" s="646"/>
      <c r="HF176" s="646"/>
      <c r="HG176" s="646"/>
      <c r="HH176" s="646"/>
      <c r="HI176" s="646"/>
      <c r="HJ176" s="646"/>
      <c r="HK176" s="646"/>
      <c r="HL176" s="646"/>
      <c r="HM176" s="646"/>
      <c r="HN176" s="646"/>
      <c r="HO176" s="646"/>
      <c r="HP176" s="646"/>
      <c r="HQ176" s="646"/>
      <c r="HR176" s="646"/>
      <c r="HS176" s="646"/>
      <c r="HT176" s="646"/>
      <c r="HU176" s="646"/>
      <c r="HV176" s="646"/>
      <c r="HW176" s="646"/>
      <c r="HX176" s="646"/>
      <c r="HY176" s="646"/>
      <c r="HZ176" s="649"/>
      <c r="IH176" s="279"/>
      <c r="II176" s="279"/>
      <c r="IJ176" s="323"/>
      <c r="IK176" s="279"/>
      <c r="KT176" s="651"/>
      <c r="KU176" s="649"/>
    </row>
    <row r="177" spans="1:307" s="650" customFormat="1" outlineLevel="1">
      <c r="A177" s="644"/>
      <c r="B177" s="644"/>
      <c r="C177" s="644"/>
      <c r="D177" s="2079" t="s">
        <v>3729</v>
      </c>
      <c r="E177" s="645"/>
      <c r="F177" s="645"/>
      <c r="G177" s="646"/>
      <c r="H177" s="646"/>
      <c r="I177" s="646"/>
      <c r="J177" s="646"/>
      <c r="K177" s="646"/>
      <c r="L177" s="646"/>
      <c r="M177" s="646"/>
      <c r="N177" s="646"/>
      <c r="O177" s="646"/>
      <c r="P177" s="646"/>
      <c r="Q177" s="646"/>
      <c r="R177" s="646"/>
      <c r="S177" s="646"/>
      <c r="T177" s="646"/>
      <c r="U177" s="646"/>
      <c r="V177" s="646"/>
      <c r="W177" s="646"/>
      <c r="X177" s="646"/>
      <c r="Y177" s="646"/>
      <c r="Z177" s="646"/>
      <c r="AA177" s="646"/>
      <c r="AB177" s="646"/>
      <c r="AC177" s="646"/>
      <c r="AD177" s="646"/>
      <c r="AE177" s="646"/>
      <c r="AF177" s="646"/>
      <c r="AG177" s="646"/>
      <c r="AH177" s="646"/>
      <c r="AI177" s="646"/>
      <c r="AJ177" s="646"/>
      <c r="AK177" s="646"/>
      <c r="AL177" s="646"/>
      <c r="AM177" s="646"/>
      <c r="AN177" s="646"/>
      <c r="AO177" s="646"/>
      <c r="AP177" s="646"/>
      <c r="AQ177" s="646"/>
      <c r="AR177" s="646"/>
      <c r="AS177" s="646"/>
      <c r="AT177" s="646"/>
      <c r="AU177" s="646"/>
      <c r="AV177" s="646"/>
      <c r="AW177" s="646"/>
      <c r="AX177" s="646"/>
      <c r="AY177" s="646"/>
      <c r="AZ177" s="646"/>
      <c r="BA177" s="646"/>
      <c r="BB177" s="646"/>
      <c r="BC177" s="646"/>
      <c r="BD177" s="646"/>
      <c r="BE177" s="646"/>
      <c r="BF177" s="646"/>
      <c r="BG177" s="646"/>
      <c r="BH177" s="646"/>
      <c r="BI177" s="646"/>
      <c r="BJ177" s="646"/>
      <c r="BK177" s="646"/>
      <c r="BL177" s="646"/>
      <c r="BM177" s="646"/>
      <c r="BN177" s="646"/>
      <c r="BO177" s="646"/>
      <c r="BP177" s="646"/>
      <c r="BQ177" s="646"/>
      <c r="BR177" s="646"/>
      <c r="BS177" s="646"/>
      <c r="BT177" s="646"/>
      <c r="BU177" s="646"/>
      <c r="BV177" s="646"/>
      <c r="BW177" s="646"/>
      <c r="BX177" s="646"/>
      <c r="BY177" s="646"/>
      <c r="BZ177" s="646"/>
      <c r="CA177" s="646"/>
      <c r="CB177" s="646"/>
      <c r="CC177" s="646"/>
      <c r="CD177" s="646"/>
      <c r="CE177" s="647"/>
      <c r="CF177" s="646"/>
      <c r="CG177" s="646"/>
      <c r="CH177" s="646"/>
      <c r="CI177" s="646"/>
      <c r="CJ177" s="646"/>
      <c r="CK177" s="646"/>
      <c r="CL177" s="646"/>
      <c r="CM177" s="646"/>
      <c r="CN177" s="646"/>
      <c r="CO177" s="646"/>
      <c r="CP177" s="648"/>
      <c r="CQ177" s="646"/>
      <c r="CR177" s="646"/>
      <c r="CS177" s="646"/>
      <c r="CT177" s="646"/>
      <c r="CU177" s="646"/>
      <c r="CV177" s="646"/>
      <c r="CW177" s="646"/>
      <c r="CX177" s="646"/>
      <c r="CY177" s="646"/>
      <c r="CZ177" s="646"/>
      <c r="DA177" s="646"/>
      <c r="DB177" s="1297"/>
      <c r="DC177" s="646"/>
      <c r="DD177" s="646"/>
      <c r="DE177" s="646"/>
      <c r="DF177" s="646"/>
      <c r="DG177" s="646"/>
      <c r="DH177" s="646"/>
      <c r="DI177" s="646"/>
      <c r="DJ177" s="646"/>
      <c r="DK177" s="646"/>
      <c r="DL177" s="646"/>
      <c r="DM177" s="646"/>
      <c r="DN177" s="648"/>
      <c r="DO177" s="646"/>
      <c r="DP177" s="646"/>
      <c r="DQ177" s="646"/>
      <c r="DR177" s="646"/>
      <c r="DS177" s="646"/>
      <c r="DT177" s="646"/>
      <c r="DU177" s="646"/>
      <c r="DV177" s="646"/>
      <c r="DW177" s="646"/>
      <c r="DX177" s="646"/>
      <c r="DY177" s="646"/>
      <c r="DZ177" s="648"/>
      <c r="EA177" s="646"/>
      <c r="EB177" s="646"/>
      <c r="EC177" s="646"/>
      <c r="ED177" s="646"/>
      <c r="EE177" s="646"/>
      <c r="EF177" s="646"/>
      <c r="EG177" s="646"/>
      <c r="EH177" s="646"/>
      <c r="EI177" s="646"/>
      <c r="EJ177" s="646"/>
      <c r="EK177" s="646"/>
      <c r="EL177" s="648"/>
      <c r="EM177" s="1090"/>
      <c r="EN177" s="1090"/>
      <c r="EO177" s="1090"/>
      <c r="EP177" s="1090"/>
      <c r="EQ177" s="1090"/>
      <c r="ER177" s="1090"/>
      <c r="ES177" s="1090"/>
      <c r="ET177" s="1090"/>
      <c r="EU177" s="1090"/>
      <c r="EV177" s="1090"/>
      <c r="EW177" s="1090"/>
      <c r="EX177" s="1357"/>
      <c r="EY177" s="1090"/>
      <c r="EZ177" s="1090"/>
      <c r="FA177" s="1090"/>
      <c r="FB177" s="1090"/>
      <c r="FC177" s="1090"/>
      <c r="FD177" s="1090"/>
      <c r="FE177" s="1090"/>
      <c r="FF177" s="1090"/>
      <c r="FG177" s="1090"/>
      <c r="FH177" s="1090"/>
      <c r="FI177" s="1090"/>
      <c r="FJ177" s="1357"/>
      <c r="FK177" s="1090"/>
      <c r="FL177" s="1090"/>
      <c r="FM177" s="1090"/>
      <c r="FN177" s="1090"/>
      <c r="FO177" s="1090"/>
      <c r="FP177" s="1090"/>
      <c r="FQ177" s="646"/>
      <c r="FR177" s="646"/>
      <c r="FS177" s="646"/>
      <c r="FT177" s="646"/>
      <c r="FU177" s="646"/>
      <c r="FV177" s="646"/>
      <c r="FW177" s="646"/>
      <c r="FX177" s="646"/>
      <c r="FY177" s="646"/>
      <c r="FZ177" s="646"/>
      <c r="GA177" s="646"/>
      <c r="GB177" s="646"/>
      <c r="GC177" s="646"/>
      <c r="GD177" s="646"/>
      <c r="GE177" s="646"/>
      <c r="GF177" s="646"/>
      <c r="GG177" s="646"/>
      <c r="GH177" s="646"/>
      <c r="GI177" s="646"/>
      <c r="GJ177" s="646"/>
      <c r="GK177" s="646"/>
      <c r="GL177" s="646"/>
      <c r="GM177" s="646"/>
      <c r="GN177" s="646"/>
      <c r="GO177" s="646"/>
      <c r="GP177" s="646"/>
      <c r="GQ177" s="646"/>
      <c r="GR177" s="646"/>
      <c r="GS177" s="646"/>
      <c r="GT177" s="646"/>
      <c r="GU177" s="646"/>
      <c r="GV177" s="646"/>
      <c r="GW177" s="646"/>
      <c r="GX177" s="646"/>
      <c r="GY177" s="646"/>
      <c r="GZ177" s="646"/>
      <c r="HA177" s="646"/>
      <c r="HB177" s="646"/>
      <c r="HC177" s="646"/>
      <c r="HD177" s="646"/>
      <c r="HE177" s="646"/>
      <c r="HF177" s="646"/>
      <c r="HG177" s="646"/>
      <c r="HH177" s="646"/>
      <c r="HI177" s="646"/>
      <c r="HJ177" s="646"/>
      <c r="HK177" s="646"/>
      <c r="HL177" s="646"/>
      <c r="HM177" s="646"/>
      <c r="HN177" s="646"/>
      <c r="HO177" s="646"/>
      <c r="HP177" s="646"/>
      <c r="HQ177" s="646"/>
      <c r="HR177" s="646"/>
      <c r="HS177" s="646"/>
      <c r="HT177" s="646"/>
      <c r="HU177" s="646"/>
      <c r="HV177" s="646"/>
      <c r="HW177" s="646"/>
      <c r="HX177" s="646"/>
      <c r="HY177" s="646"/>
      <c r="HZ177" s="649"/>
      <c r="IH177" s="279"/>
      <c r="II177" s="279"/>
      <c r="IJ177" s="323"/>
      <c r="IK177" s="279"/>
      <c r="KT177" s="651"/>
      <c r="KU177" s="649"/>
    </row>
    <row r="178" spans="1:307" s="650" customFormat="1" outlineLevel="1">
      <c r="A178" s="644"/>
      <c r="B178" s="644"/>
      <c r="C178" s="644"/>
      <c r="D178" s="2086"/>
      <c r="E178" s="2087"/>
      <c r="F178" s="2087"/>
      <c r="CE178" s="2088"/>
      <c r="CP178" s="651"/>
      <c r="DB178" s="2089"/>
      <c r="DN178" s="651"/>
      <c r="DZ178" s="651"/>
      <c r="EL178" s="651"/>
      <c r="EM178" s="2090"/>
      <c r="EN178" s="2090"/>
      <c r="EO178" s="2090"/>
      <c r="EP178" s="2090"/>
      <c r="EQ178" s="2090"/>
      <c r="ER178" s="2090"/>
      <c r="ES178" s="2090"/>
      <c r="ET178" s="2090"/>
      <c r="EU178" s="2090"/>
      <c r="EV178" s="2090"/>
      <c r="EW178" s="2090"/>
      <c r="EX178" s="2091"/>
      <c r="EY178" s="2090"/>
      <c r="EZ178" s="2090"/>
      <c r="FA178" s="2090"/>
      <c r="FB178" s="2090"/>
      <c r="FC178" s="2090"/>
      <c r="FD178" s="2090"/>
      <c r="FE178" s="2090"/>
      <c r="FF178" s="2090"/>
      <c r="FG178" s="2090"/>
      <c r="FH178" s="2090"/>
      <c r="FI178" s="2090"/>
      <c r="FJ178" s="2091"/>
      <c r="FK178" s="2090"/>
      <c r="FL178" s="2090"/>
      <c r="FM178" s="2090"/>
      <c r="FN178" s="2090"/>
      <c r="FO178" s="2090"/>
      <c r="FP178" s="2090"/>
      <c r="IH178" s="279"/>
      <c r="II178" s="279"/>
      <c r="IJ178" s="327"/>
      <c r="IK178" s="279"/>
      <c r="KT178" s="651"/>
    </row>
    <row r="179" spans="1:307" outlineLevel="1">
      <c r="B179" s="96" t="s">
        <v>338</v>
      </c>
      <c r="D179" s="303" t="s">
        <v>3812</v>
      </c>
      <c r="E179" s="303"/>
      <c r="F179" s="303"/>
      <c r="G179" s="293"/>
      <c r="H179" s="293"/>
      <c r="I179" s="293"/>
      <c r="J179" s="293"/>
      <c r="K179" s="293"/>
      <c r="L179" s="293"/>
      <c r="M179" s="293"/>
      <c r="N179" s="293"/>
      <c r="O179" s="293"/>
      <c r="P179" s="293"/>
      <c r="Q179" s="293"/>
      <c r="R179" s="293"/>
      <c r="S179" s="293"/>
      <c r="T179" s="293"/>
      <c r="U179" s="293"/>
      <c r="V179" s="293"/>
      <c r="W179" s="293"/>
      <c r="X179" s="293"/>
      <c r="Y179" s="293"/>
      <c r="Z179" s="293"/>
      <c r="AA179" s="293"/>
      <c r="AB179" s="293"/>
      <c r="AC179" s="293"/>
      <c r="AD179" s="293"/>
      <c r="AE179" s="293"/>
      <c r="AF179" s="293"/>
      <c r="AG179" s="293"/>
      <c r="AH179" s="293"/>
      <c r="AI179" s="293"/>
      <c r="AJ179" s="293"/>
      <c r="AK179" s="293"/>
      <c r="AL179" s="293"/>
      <c r="AM179" s="293"/>
      <c r="AN179" s="293"/>
      <c r="AO179" s="293">
        <v>0.14324441275000002</v>
      </c>
      <c r="AP179" s="293">
        <v>0.15454517499000003</v>
      </c>
      <c r="AQ179" s="293">
        <v>0.71992118183958576</v>
      </c>
      <c r="AR179" s="293">
        <v>0.42095908406481708</v>
      </c>
      <c r="AS179" s="293">
        <v>1.1383033396</v>
      </c>
      <c r="AT179" s="293">
        <v>0.47675032488000008</v>
      </c>
      <c r="AU179" s="293">
        <v>0.48873226316000001</v>
      </c>
      <c r="AV179" s="293">
        <v>3.3372808698157504E-3</v>
      </c>
      <c r="AW179" s="293">
        <v>0.25844677510825215</v>
      </c>
      <c r="AX179" s="293">
        <v>1.1633656335838818</v>
      </c>
      <c r="AY179" s="293">
        <v>0.69976253564000013</v>
      </c>
      <c r="AZ179" s="293">
        <v>1.1948445000000001</v>
      </c>
      <c r="BA179" s="293">
        <v>1.059099022941</v>
      </c>
      <c r="BB179" s="293">
        <v>5.6259000000000003E-2</v>
      </c>
      <c r="BC179" s="293">
        <v>1.319612295868869</v>
      </c>
      <c r="BD179" s="293">
        <v>0.41700672090000002</v>
      </c>
      <c r="BE179" s="293">
        <v>0.22137414758999999</v>
      </c>
      <c r="BF179" s="293">
        <v>2.4488254871099997</v>
      </c>
      <c r="BG179" s="293">
        <v>0.76404324000000001</v>
      </c>
      <c r="BH179" s="293">
        <v>5.9065224356216965E-2</v>
      </c>
      <c r="BI179" s="293">
        <v>1.9937489354589999</v>
      </c>
      <c r="BJ179" s="293">
        <v>0.79688513873199995</v>
      </c>
      <c r="BK179" s="293">
        <v>1.04860533282</v>
      </c>
      <c r="BL179" s="293">
        <v>1.059663285936</v>
      </c>
      <c r="BM179" s="293">
        <v>0.98685963043199987</v>
      </c>
      <c r="BN179" s="293">
        <v>1.6125147734959999</v>
      </c>
      <c r="BO179" s="293">
        <v>2.1354432120810003</v>
      </c>
      <c r="BP179" s="293">
        <v>1.5057175</v>
      </c>
      <c r="BQ179" s="293">
        <v>1.2277515537300001</v>
      </c>
      <c r="BR179" s="293">
        <v>2.459500342144</v>
      </c>
      <c r="BS179" s="293">
        <v>0.96626897365599995</v>
      </c>
      <c r="BT179" s="293">
        <v>0.16468291210399999</v>
      </c>
      <c r="BU179" s="293">
        <v>2.0064404902499997</v>
      </c>
      <c r="BV179" s="293">
        <v>0.62215661295999991</v>
      </c>
      <c r="BW179" s="293">
        <v>1.3344035573959998</v>
      </c>
      <c r="BX179" s="293">
        <v>0.90637159066787998</v>
      </c>
      <c r="BY179" s="293">
        <v>1.3732291353000001</v>
      </c>
      <c r="BZ179" s="293">
        <v>0.32849516438199999</v>
      </c>
      <c r="CA179" s="293">
        <v>1.651046684455</v>
      </c>
      <c r="CB179" s="293">
        <v>2.0685652355940003</v>
      </c>
      <c r="CC179" s="293">
        <v>6.4132807978799988</v>
      </c>
      <c r="CD179" s="293">
        <v>1.758345095376</v>
      </c>
      <c r="CE179" s="294">
        <v>1.100802071745</v>
      </c>
      <c r="CF179" s="293">
        <v>0.35090514144000001</v>
      </c>
      <c r="CG179" s="293">
        <v>1.1136603493400001</v>
      </c>
      <c r="CH179" s="293">
        <v>10.939397632514996</v>
      </c>
      <c r="CI179" s="293">
        <v>1.8005138341830003</v>
      </c>
      <c r="CJ179" s="293">
        <v>1.15253298868</v>
      </c>
      <c r="CK179" s="293">
        <v>0</v>
      </c>
      <c r="CL179" s="293">
        <v>0</v>
      </c>
      <c r="CM179" s="293">
        <v>0.21196751617836335</v>
      </c>
      <c r="CN179" s="293">
        <v>18.018576709550103</v>
      </c>
      <c r="CO179" s="293">
        <v>0</v>
      </c>
      <c r="CP179" s="295">
        <v>0.54217960920425523</v>
      </c>
      <c r="CQ179" s="293">
        <v>0</v>
      </c>
      <c r="CR179" s="293">
        <v>0</v>
      </c>
      <c r="CS179" s="293">
        <v>0</v>
      </c>
      <c r="CT179" s="293">
        <v>18.270446518</v>
      </c>
      <c r="CU179" s="293">
        <v>0</v>
      </c>
      <c r="CV179" s="293">
        <v>0</v>
      </c>
      <c r="CW179" s="293">
        <v>0</v>
      </c>
      <c r="CX179" s="293">
        <v>0</v>
      </c>
      <c r="CY179" s="293">
        <v>0</v>
      </c>
      <c r="CZ179" s="293">
        <v>21.427847966720691</v>
      </c>
      <c r="DA179" s="293">
        <v>0</v>
      </c>
      <c r="DB179" s="1288">
        <v>0</v>
      </c>
      <c r="DC179" s="606">
        <v>1.0554446773858683</v>
      </c>
      <c r="DD179" s="606">
        <v>7.6415194503311072</v>
      </c>
      <c r="DE179" s="606">
        <v>2.8763962638380676</v>
      </c>
      <c r="DF179" s="606">
        <v>13.27394981648429</v>
      </c>
      <c r="DG179" s="606">
        <v>1.2287107789234892</v>
      </c>
      <c r="DH179" s="606">
        <v>2.8752777127472515</v>
      </c>
      <c r="DI179" s="293">
        <v>1.8466109862564872</v>
      </c>
      <c r="DJ179" s="293">
        <v>1.4958136477386712</v>
      </c>
      <c r="DK179" s="293">
        <v>3.8471251331731962</v>
      </c>
      <c r="DL179" s="293">
        <v>18.396655171540353</v>
      </c>
      <c r="DM179" s="293">
        <v>2.5168458065678792</v>
      </c>
      <c r="DN179" s="295">
        <v>1.9731128905918669</v>
      </c>
      <c r="DO179" s="293">
        <v>1.1420573966913503</v>
      </c>
      <c r="DP179" s="293">
        <v>2.1765343949157732</v>
      </c>
      <c r="DQ179" s="293">
        <v>7.1428447530897259</v>
      </c>
      <c r="DR179" s="293">
        <v>13.212209988192805</v>
      </c>
      <c r="DS179" s="293">
        <v>2.9021756871705993</v>
      </c>
      <c r="DT179" s="293">
        <v>2.287076011701854</v>
      </c>
      <c r="DU179" s="293">
        <v>1.9245778651613059</v>
      </c>
      <c r="DV179" s="293">
        <v>1.5549983567167076</v>
      </c>
      <c r="DW179" s="293">
        <v>8.4385610943725062</v>
      </c>
      <c r="DX179" s="293">
        <v>13.125107029255096</v>
      </c>
      <c r="DY179" s="293">
        <v>2.9811434030334993</v>
      </c>
      <c r="DZ179" s="295">
        <v>1.6319143410036663</v>
      </c>
      <c r="EA179" s="293">
        <v>2.6492385269062706</v>
      </c>
      <c r="EB179" s="293">
        <v>2.92314543891972</v>
      </c>
      <c r="EC179" s="293">
        <v>8.5206548578151153</v>
      </c>
      <c r="ED179" s="293">
        <v>14.033820231790862</v>
      </c>
      <c r="EE179" s="293">
        <v>2.8063483925264272</v>
      </c>
      <c r="EF179" s="293">
        <v>2.4711250396259175</v>
      </c>
      <c r="EG179" s="293">
        <v>2.2779359651242199</v>
      </c>
      <c r="EH179" s="293">
        <v>3.5750242469348406</v>
      </c>
      <c r="EI179" s="293">
        <v>5.9951439874216321</v>
      </c>
      <c r="EJ179" s="293">
        <v>17.158091580862944</v>
      </c>
      <c r="EK179" s="293">
        <v>2.346540029350149</v>
      </c>
      <c r="EL179" s="295">
        <v>3.7392603126890336</v>
      </c>
      <c r="EM179" s="1080">
        <v>2.9669098603500186</v>
      </c>
      <c r="EN179" s="1080">
        <v>3.2666497737164848</v>
      </c>
      <c r="EO179" s="1080">
        <v>6.0833236028281537</v>
      </c>
      <c r="EP179" s="1080">
        <v>17.60776378205108</v>
      </c>
      <c r="EQ179" s="1080">
        <v>3.5120054402869645</v>
      </c>
      <c r="ER179" s="1080">
        <v>2.9473210796858638</v>
      </c>
      <c r="ES179" s="1080">
        <v>2.9482042238837858</v>
      </c>
      <c r="ET179" s="1080">
        <v>3.3916627813067066</v>
      </c>
      <c r="EU179" s="1080">
        <v>10.739747346102554</v>
      </c>
      <c r="EV179" s="1080">
        <v>14.50217993035379</v>
      </c>
      <c r="EW179" s="1080">
        <v>5.4756464315969886</v>
      </c>
      <c r="EX179" s="1340">
        <v>3.1125732187733233</v>
      </c>
      <c r="EY179" s="1080">
        <v>3.4766906167682152</v>
      </c>
      <c r="EZ179" s="1080">
        <v>4.488122082910091</v>
      </c>
      <c r="FA179" s="1080">
        <v>10.760563745691819</v>
      </c>
      <c r="FB179" s="1080">
        <v>20.74218601820364</v>
      </c>
      <c r="FC179" s="1080">
        <v>4.8761330937718208</v>
      </c>
      <c r="FD179" s="1080">
        <v>2.747960228712536</v>
      </c>
      <c r="FE179" s="1080">
        <v>13.348820588507198</v>
      </c>
      <c r="FF179" s="1080">
        <v>4.129084404191226</v>
      </c>
      <c r="FG179" s="1080">
        <v>16.538668654613236</v>
      </c>
      <c r="FH179" s="1080">
        <v>20.607553090429889</v>
      </c>
      <c r="FI179" s="1080">
        <v>4.4727094416442643</v>
      </c>
      <c r="FJ179" s="1340">
        <v>9.5312314625877548</v>
      </c>
      <c r="FK179" s="1080">
        <v>8.2511019699307422</v>
      </c>
      <c r="FL179" s="1080">
        <v>5.2489884232701964</v>
      </c>
      <c r="FM179" s="1080">
        <v>22.673630199916122</v>
      </c>
      <c r="FN179" s="1080">
        <v>17.058946919706678</v>
      </c>
      <c r="FO179" s="1080">
        <v>6.1750663324650059</v>
      </c>
      <c r="FP179" s="1080">
        <v>8.5778221098913967</v>
      </c>
      <c r="FQ179" s="293">
        <v>10.88442174793736</v>
      </c>
      <c r="FR179" s="293">
        <v>8.3898924864212816</v>
      </c>
      <c r="FS179" s="293">
        <v>24.135263704481392</v>
      </c>
      <c r="FT179" s="293">
        <v>17.442127070471162</v>
      </c>
      <c r="FU179" s="293">
        <v>4.8598458282804824</v>
      </c>
      <c r="FV179" s="293">
        <v>9.849128022428177</v>
      </c>
      <c r="FW179" s="293">
        <v>11.288565952195945</v>
      </c>
      <c r="FX179" s="293">
        <v>17.094355876736145</v>
      </c>
      <c r="FY179" s="293">
        <v>23.149849457451296</v>
      </c>
      <c r="FZ179" s="293">
        <v>4.9154863528311532</v>
      </c>
      <c r="GA179" s="293">
        <v>7.0031594787523623</v>
      </c>
      <c r="GB179" s="293">
        <v>9.1305604575965056</v>
      </c>
      <c r="GC179" s="293">
        <v>12.581394964890645</v>
      </c>
      <c r="GD179" s="293">
        <v>28.805078359245787</v>
      </c>
      <c r="GE179" s="293">
        <v>27.709068094134363</v>
      </c>
      <c r="GF179" s="293">
        <v>5.818663097287077</v>
      </c>
      <c r="GG179" s="293">
        <v>7.7865728052953855</v>
      </c>
      <c r="GH179" s="293">
        <v>9.8358451551550523</v>
      </c>
      <c r="GI179" s="293">
        <v>9.2760871318819706</v>
      </c>
      <c r="GJ179" s="293">
        <v>32.730459252774736</v>
      </c>
      <c r="GK179" s="293">
        <v>19.595739097323719</v>
      </c>
      <c r="GL179" s="293">
        <v>5.9983206250152392</v>
      </c>
      <c r="GM179" s="293">
        <v>10.164802789236916</v>
      </c>
      <c r="GN179" s="293">
        <v>5.1235363382017489</v>
      </c>
      <c r="GO179" s="293">
        <v>11.148623569989132</v>
      </c>
      <c r="GP179" s="293">
        <v>34.091340457875617</v>
      </c>
      <c r="GQ179" s="293">
        <v>21.534542667377632</v>
      </c>
      <c r="GR179" s="293">
        <v>15.192058566596002</v>
      </c>
      <c r="GS179" s="293">
        <v>14.513158087312306</v>
      </c>
      <c r="GT179" s="293">
        <v>6.6960880692268336</v>
      </c>
      <c r="GU179" s="293">
        <v>13.731572135331575</v>
      </c>
      <c r="GV179" s="293">
        <v>45.080754771148904</v>
      </c>
      <c r="GW179" s="293">
        <v>25.112563637146977</v>
      </c>
      <c r="GX179" s="293">
        <v>10.480445248007776</v>
      </c>
      <c r="GY179" s="293">
        <v>23.625099455081354</v>
      </c>
      <c r="GZ179" s="293">
        <v>14.253989686464596</v>
      </c>
      <c r="HA179" s="293">
        <v>15.274455653945918</v>
      </c>
      <c r="HB179" s="293">
        <v>48.749993648487148</v>
      </c>
      <c r="HC179" s="293">
        <v>36.49750191584139</v>
      </c>
      <c r="HD179" s="293">
        <v>13.581891543712082</v>
      </c>
      <c r="HE179" s="293">
        <v>28.768037443438359</v>
      </c>
      <c r="HF179" s="293">
        <v>32.837785470629953</v>
      </c>
      <c r="HG179" s="293">
        <v>16.925420535408385</v>
      </c>
      <c r="HH179" s="293">
        <v>52.868909819366721</v>
      </c>
      <c r="HI179" s="293">
        <v>42.045426303150464</v>
      </c>
      <c r="HJ179" s="293">
        <v>16.206786106475487</v>
      </c>
      <c r="HK179" s="293">
        <v>32.453455438584577</v>
      </c>
      <c r="HL179" s="293">
        <v>18.321549523943055</v>
      </c>
      <c r="HM179" s="293"/>
      <c r="HN179" s="293"/>
      <c r="HO179" s="293"/>
      <c r="HP179" s="293"/>
      <c r="HQ179" s="293"/>
      <c r="HR179" s="293"/>
      <c r="HS179" s="293"/>
      <c r="HT179" s="293"/>
      <c r="HU179" s="293"/>
      <c r="HV179" s="293"/>
      <c r="HW179" s="293"/>
      <c r="HX179" s="293"/>
      <c r="HY179" s="293"/>
      <c r="IH179" s="279">
        <f>+SUM(DC179:DH179)</f>
        <v>28.951298699710073</v>
      </c>
      <c r="II179" s="279">
        <f>+SUM(DI179:DN179)</f>
        <v>30.076163635868454</v>
      </c>
      <c r="IJ179" s="323">
        <f t="shared" si="27"/>
        <v>59.027462335578527</v>
      </c>
      <c r="IK179" s="279">
        <f>SUM(DO179:DT179)</f>
        <v>28.862898231762106</v>
      </c>
      <c r="KT179" s="280"/>
    </row>
    <row r="180" spans="1:307" outlineLevel="1">
      <c r="B180" s="96" t="s">
        <v>338</v>
      </c>
      <c r="D180" s="304" t="s">
        <v>393</v>
      </c>
      <c r="E180" s="305"/>
      <c r="F180" s="305"/>
      <c r="G180" s="293"/>
      <c r="H180" s="293"/>
      <c r="I180" s="293"/>
      <c r="J180" s="293"/>
      <c r="K180" s="293"/>
      <c r="L180" s="293"/>
      <c r="M180" s="293"/>
      <c r="N180" s="293"/>
      <c r="O180" s="293"/>
      <c r="P180" s="293"/>
      <c r="Q180" s="293"/>
      <c r="R180" s="293"/>
      <c r="S180" s="293"/>
      <c r="T180" s="293"/>
      <c r="U180" s="293"/>
      <c r="V180" s="293"/>
      <c r="W180" s="293"/>
      <c r="X180" s="293"/>
      <c r="Y180" s="293"/>
      <c r="Z180" s="293"/>
      <c r="AA180" s="293"/>
      <c r="AB180" s="293"/>
      <c r="AC180" s="293"/>
      <c r="AD180" s="293"/>
      <c r="AE180" s="293"/>
      <c r="AF180" s="293"/>
      <c r="AG180" s="293"/>
      <c r="AH180" s="293"/>
      <c r="AI180" s="293"/>
      <c r="AJ180" s="293"/>
      <c r="AK180" s="293"/>
      <c r="AL180" s="293"/>
      <c r="AM180" s="293"/>
      <c r="AN180" s="293"/>
      <c r="AO180" s="293">
        <v>0.14324441275000002</v>
      </c>
      <c r="AP180" s="293">
        <v>0.15454517499000003</v>
      </c>
      <c r="AQ180" s="293">
        <v>0.71992118183958576</v>
      </c>
      <c r="AR180" s="293">
        <v>0.42095908406481708</v>
      </c>
      <c r="AS180" s="293">
        <v>1.1383033396</v>
      </c>
      <c r="AT180" s="293">
        <v>0.47675032488000008</v>
      </c>
      <c r="AU180" s="293">
        <v>0.48873226316000001</v>
      </c>
      <c r="AV180" s="293">
        <v>3.3372808698157504E-3</v>
      </c>
      <c r="AW180" s="293">
        <v>0.25844677510825215</v>
      </c>
      <c r="AX180" s="293">
        <v>1.1633656335838818</v>
      </c>
      <c r="AY180" s="293">
        <v>0.69976253564000013</v>
      </c>
      <c r="AZ180" s="293">
        <v>1.1948445000000001</v>
      </c>
      <c r="BA180" s="293">
        <v>1.059099022941</v>
      </c>
      <c r="BB180" s="293">
        <v>5.6259000000000003E-2</v>
      </c>
      <c r="BC180" s="293">
        <v>1.319612295868869</v>
      </c>
      <c r="BD180" s="293">
        <v>0.41700672090000002</v>
      </c>
      <c r="BE180" s="293">
        <v>0.22137414758999999</v>
      </c>
      <c r="BF180" s="293">
        <v>2.4488254871099997</v>
      </c>
      <c r="BG180" s="293">
        <v>0.76404324000000001</v>
      </c>
      <c r="BH180" s="293">
        <v>5.9065224356216965E-2</v>
      </c>
      <c r="BI180" s="293">
        <v>1.9937489354589999</v>
      </c>
      <c r="BJ180" s="293">
        <v>0.79688513873199995</v>
      </c>
      <c r="BK180" s="293">
        <v>1.04860533282</v>
      </c>
      <c r="BL180" s="293">
        <v>1.059663285936</v>
      </c>
      <c r="BM180" s="293">
        <v>0.98685963043199987</v>
      </c>
      <c r="BN180" s="293">
        <v>1.6125147734959999</v>
      </c>
      <c r="BO180" s="293">
        <v>2.1354432120810003</v>
      </c>
      <c r="BP180" s="293">
        <v>1.5057175</v>
      </c>
      <c r="BQ180" s="293">
        <v>1.2277515537300001</v>
      </c>
      <c r="BR180" s="293">
        <v>2.459500342144</v>
      </c>
      <c r="BS180" s="293">
        <v>0.96626897365599995</v>
      </c>
      <c r="BT180" s="293">
        <v>0.16468291210399999</v>
      </c>
      <c r="BU180" s="293">
        <v>2.0064404902499997</v>
      </c>
      <c r="BV180" s="293">
        <v>0.62215661295999991</v>
      </c>
      <c r="BW180" s="293">
        <v>1.3344035573959998</v>
      </c>
      <c r="BX180" s="293">
        <v>0.90637159066787998</v>
      </c>
      <c r="BY180" s="293">
        <v>1.3732291353000001</v>
      </c>
      <c r="BZ180" s="293">
        <v>0.32849516438199999</v>
      </c>
      <c r="CA180" s="293">
        <v>1.651046684455</v>
      </c>
      <c r="CB180" s="293">
        <v>2.0685652355940003</v>
      </c>
      <c r="CC180" s="293">
        <v>1.4454720838799999</v>
      </c>
      <c r="CD180" s="293">
        <v>1.758345095376</v>
      </c>
      <c r="CE180" s="294">
        <v>1.100802071745</v>
      </c>
      <c r="CF180" s="293">
        <v>0.35090514144000001</v>
      </c>
      <c r="CG180" s="293">
        <v>1.1136603493400001</v>
      </c>
      <c r="CH180" s="293">
        <v>2.1722641037649995</v>
      </c>
      <c r="CI180" s="293">
        <v>1.8005138341830003</v>
      </c>
      <c r="CJ180" s="293">
        <v>1.15253298868</v>
      </c>
      <c r="CK180" s="293">
        <v>0</v>
      </c>
      <c r="CL180" s="293">
        <v>0</v>
      </c>
      <c r="CM180" s="293">
        <v>0.21196751617836335</v>
      </c>
      <c r="CN180" s="293">
        <v>9.0137312775501037</v>
      </c>
      <c r="CO180" s="293">
        <v>0</v>
      </c>
      <c r="CP180" s="295">
        <v>0.54217960920425523</v>
      </c>
      <c r="CQ180" s="293">
        <v>0</v>
      </c>
      <c r="CR180" s="293">
        <v>0</v>
      </c>
      <c r="CS180" s="293">
        <v>0</v>
      </c>
      <c r="CT180" s="293">
        <v>9.135223259</v>
      </c>
      <c r="CU180" s="293">
        <v>0</v>
      </c>
      <c r="CV180" s="293">
        <v>0</v>
      </c>
      <c r="CW180" s="293">
        <v>0</v>
      </c>
      <c r="CX180" s="293">
        <v>0</v>
      </c>
      <c r="CY180" s="293">
        <v>0</v>
      </c>
      <c r="CZ180" s="293">
        <v>12.011655820970692</v>
      </c>
      <c r="DA180" s="293">
        <v>0</v>
      </c>
      <c r="DB180" s="1288">
        <v>0</v>
      </c>
      <c r="DC180" s="293">
        <v>1.0554446773858683</v>
      </c>
      <c r="DD180" s="293">
        <v>1.5102723970855696</v>
      </c>
      <c r="DE180" s="293">
        <v>2.8763962638380676</v>
      </c>
      <c r="DF180" s="293">
        <v>13.27394981648429</v>
      </c>
      <c r="DG180" s="293">
        <v>1.2287107789234892</v>
      </c>
      <c r="DH180" s="293">
        <v>2.8752777127472515</v>
      </c>
      <c r="DI180" s="293">
        <v>1.8466109862564872</v>
      </c>
      <c r="DJ180" s="293">
        <v>1.4958136477386712</v>
      </c>
      <c r="DK180" s="293">
        <v>3.8471251331731962</v>
      </c>
      <c r="DL180" s="293">
        <v>13.969134398540353</v>
      </c>
      <c r="DM180" s="293">
        <v>2.5168458065678792</v>
      </c>
      <c r="DN180" s="295">
        <v>1.9731128905918669</v>
      </c>
      <c r="DO180" s="293">
        <v>1.1420573966913503</v>
      </c>
      <c r="DP180" s="293">
        <v>2.1765343949157732</v>
      </c>
      <c r="DQ180" s="293">
        <v>7.1428447530897259</v>
      </c>
      <c r="DR180" s="293">
        <v>13.212209988192805</v>
      </c>
      <c r="DS180" s="293">
        <v>2.9021756871705993</v>
      </c>
      <c r="DT180" s="293">
        <v>2.287076011701854</v>
      </c>
      <c r="DU180" s="293">
        <v>1.9245778651613059</v>
      </c>
      <c r="DV180" s="293">
        <v>1.5549983567167076</v>
      </c>
      <c r="DW180" s="293">
        <v>8.4385610943725062</v>
      </c>
      <c r="DX180" s="293">
        <v>13.125107029255096</v>
      </c>
      <c r="DY180" s="293">
        <v>2.9811434030334993</v>
      </c>
      <c r="DZ180" s="295">
        <v>1.6319143410036663</v>
      </c>
      <c r="EA180" s="293">
        <v>2.6492385269062706</v>
      </c>
      <c r="EB180" s="293">
        <v>2.92314543891972</v>
      </c>
      <c r="EC180" s="293">
        <v>8.5206548578151153</v>
      </c>
      <c r="ED180" s="293">
        <v>14.033820231790862</v>
      </c>
      <c r="EE180" s="293">
        <v>2.8063483925264272</v>
      </c>
      <c r="EF180" s="293">
        <v>2.4711250396259175</v>
      </c>
      <c r="EG180" s="293">
        <v>2.2779359651242199</v>
      </c>
      <c r="EH180" s="293">
        <v>3.5750242469348406</v>
      </c>
      <c r="EI180" s="293">
        <v>5.9951439874216321</v>
      </c>
      <c r="EJ180" s="293">
        <v>17.158091580862944</v>
      </c>
      <c r="EK180" s="293">
        <v>2.346540029350149</v>
      </c>
      <c r="EL180" s="295">
        <v>3.7392603126890336</v>
      </c>
      <c r="EM180" s="1080">
        <v>2.9669098603500186</v>
      </c>
      <c r="EN180" s="1080">
        <v>3.2666497737164848</v>
      </c>
      <c r="EO180" s="1080">
        <v>6.0833236028281537</v>
      </c>
      <c r="EP180" s="1080">
        <v>17.60776378205108</v>
      </c>
      <c r="EQ180" s="1080">
        <v>3.5120054402869645</v>
      </c>
      <c r="ER180" s="1080">
        <v>2.9473210796858638</v>
      </c>
      <c r="ES180" s="1080">
        <v>2.9482042238837858</v>
      </c>
      <c r="ET180" s="1080">
        <v>3.3916627813067066</v>
      </c>
      <c r="EU180" s="1080">
        <v>10.739747346102554</v>
      </c>
      <c r="EV180" s="1080">
        <v>14.50217993035379</v>
      </c>
      <c r="EW180" s="1080">
        <v>5.4756464315969886</v>
      </c>
      <c r="EX180" s="1340">
        <v>3.1125732187733233</v>
      </c>
      <c r="EY180" s="1080">
        <v>3.4766906167682152</v>
      </c>
      <c r="EZ180" s="1080">
        <v>4.488122082910091</v>
      </c>
      <c r="FA180" s="1080">
        <v>10.760563745691819</v>
      </c>
      <c r="FB180" s="1080">
        <v>20.74218601820364</v>
      </c>
      <c r="FC180" s="1080">
        <v>4.8761330937718208</v>
      </c>
      <c r="FD180" s="1080">
        <v>2.747960228712536</v>
      </c>
      <c r="FE180" s="1080">
        <v>13.348820588507198</v>
      </c>
      <c r="FF180" s="1080">
        <v>4.129084404191226</v>
      </c>
      <c r="FG180" s="1080">
        <v>16.538668654613236</v>
      </c>
      <c r="FH180" s="1080">
        <v>20.607553090429889</v>
      </c>
      <c r="FI180" s="1080">
        <v>4.4727094416442643</v>
      </c>
      <c r="FJ180" s="1340">
        <v>9.5312314625877548</v>
      </c>
      <c r="FK180" s="1080">
        <v>8.2511019699307422</v>
      </c>
      <c r="FL180" s="1080">
        <v>5.2489884232701964</v>
      </c>
      <c r="FM180" s="1080">
        <v>22.673630199916122</v>
      </c>
      <c r="FN180" s="1080">
        <v>17.058946919706678</v>
      </c>
      <c r="FO180" s="1080">
        <v>6.1750663324650059</v>
      </c>
      <c r="FP180" s="1080">
        <v>8.5778221098913967</v>
      </c>
      <c r="FQ180" s="293">
        <v>10.88442174793736</v>
      </c>
      <c r="FR180" s="293">
        <v>8.3898924864212816</v>
      </c>
      <c r="FS180" s="293">
        <v>24.135263704481392</v>
      </c>
      <c r="FT180" s="293">
        <v>17.442127070471162</v>
      </c>
      <c r="FU180" s="293">
        <v>4.8598458282804824</v>
      </c>
      <c r="FV180" s="293">
        <v>9.849128022428177</v>
      </c>
      <c r="FW180" s="293">
        <v>11.288565952195945</v>
      </c>
      <c r="FX180" s="293">
        <v>17.094355876736145</v>
      </c>
      <c r="FY180" s="293">
        <v>23.149849457451296</v>
      </c>
      <c r="FZ180" s="293">
        <v>4.9154863528311532</v>
      </c>
      <c r="GA180" s="293">
        <v>7.0031594787523623</v>
      </c>
      <c r="GB180" s="293">
        <v>9.1305604575965056</v>
      </c>
      <c r="GC180" s="293">
        <v>12.581394964890645</v>
      </c>
      <c r="GD180" s="293">
        <v>28.805078359245787</v>
      </c>
      <c r="GE180" s="293">
        <v>27.709068094134363</v>
      </c>
      <c r="GF180" s="293">
        <v>5.818663097287077</v>
      </c>
      <c r="GG180" s="293">
        <v>7.7865728052953855</v>
      </c>
      <c r="GH180" s="293">
        <v>9.8358451551550523</v>
      </c>
      <c r="GI180" s="293">
        <v>9.2760871318819706</v>
      </c>
      <c r="GJ180" s="293">
        <v>32.730459252774736</v>
      </c>
      <c r="GK180" s="293">
        <v>19.595739097323719</v>
      </c>
      <c r="GL180" s="293">
        <v>5.9983206250152392</v>
      </c>
      <c r="GM180" s="293">
        <v>10.164802789236916</v>
      </c>
      <c r="GN180" s="293">
        <v>5.1235363382017489</v>
      </c>
      <c r="GO180" s="293">
        <v>11.148623569989132</v>
      </c>
      <c r="GP180" s="293">
        <v>34.091340457875617</v>
      </c>
      <c r="GQ180" s="293">
        <v>21.534542667377632</v>
      </c>
      <c r="GR180" s="293">
        <v>15.192058566596002</v>
      </c>
      <c r="GS180" s="293">
        <v>14.513158087312306</v>
      </c>
      <c r="GT180" s="293">
        <v>6.6960880692268336</v>
      </c>
      <c r="GU180" s="293">
        <v>13.731572135331575</v>
      </c>
      <c r="GV180" s="293">
        <v>45.080754771148904</v>
      </c>
      <c r="GW180" s="293">
        <v>25.112563637146977</v>
      </c>
      <c r="GX180" s="293">
        <v>10.480445248007776</v>
      </c>
      <c r="GY180" s="293">
        <v>23.625099455081354</v>
      </c>
      <c r="GZ180" s="293">
        <v>14.253989686464596</v>
      </c>
      <c r="HA180" s="293">
        <v>15.274455653945918</v>
      </c>
      <c r="HB180" s="293">
        <v>48.749993648487148</v>
      </c>
      <c r="HC180" s="293">
        <v>36.49750191584139</v>
      </c>
      <c r="HD180" s="293">
        <v>13.581891543712082</v>
      </c>
      <c r="HE180" s="293">
        <v>28.768037443438359</v>
      </c>
      <c r="HF180" s="293">
        <v>32.837785470629953</v>
      </c>
      <c r="HG180" s="293">
        <v>16.925420535408385</v>
      </c>
      <c r="HH180" s="293">
        <v>52.868909819366721</v>
      </c>
      <c r="HI180" s="293">
        <v>42.045426303150464</v>
      </c>
      <c r="HJ180" s="293">
        <v>16.206786106475487</v>
      </c>
      <c r="HK180" s="293">
        <v>32.453455438584577</v>
      </c>
      <c r="HL180" s="293">
        <v>18.321549523943055</v>
      </c>
      <c r="HM180" s="293"/>
      <c r="HN180" s="293"/>
      <c r="HO180" s="293"/>
      <c r="HP180" s="293"/>
      <c r="HQ180" s="293"/>
      <c r="HR180" s="293"/>
      <c r="HS180" s="293"/>
      <c r="HT180" s="293"/>
      <c r="HU180" s="293"/>
      <c r="HV180" s="293"/>
      <c r="HW180" s="293"/>
      <c r="HX180" s="293"/>
      <c r="HY180" s="293"/>
      <c r="IH180" s="279">
        <f>+SUM(DC180:DH180)</f>
        <v>22.820051646464535</v>
      </c>
      <c r="II180" s="279">
        <f>+SUM(DI180:DN180)</f>
        <v>25.648642862868453</v>
      </c>
      <c r="IJ180" s="323">
        <f t="shared" si="27"/>
        <v>48.468694509332991</v>
      </c>
      <c r="IK180" s="279">
        <f>SUM(DO180:DT180)</f>
        <v>28.862898231762106</v>
      </c>
      <c r="KT180" s="280"/>
    </row>
    <row r="181" spans="1:307" outlineLevel="1">
      <c r="B181" s="96" t="s">
        <v>338</v>
      </c>
      <c r="D181" s="304" t="s">
        <v>394</v>
      </c>
      <c r="E181" s="305"/>
      <c r="F181" s="305"/>
      <c r="G181" s="293"/>
      <c r="H181" s="293"/>
      <c r="I181" s="293"/>
      <c r="J181" s="293"/>
      <c r="K181" s="293"/>
      <c r="L181" s="293"/>
      <c r="M181" s="293"/>
      <c r="N181" s="293"/>
      <c r="O181" s="293"/>
      <c r="P181" s="293"/>
      <c r="Q181" s="293"/>
      <c r="R181" s="293"/>
      <c r="S181" s="293"/>
      <c r="T181" s="293"/>
      <c r="U181" s="293"/>
      <c r="V181" s="293"/>
      <c r="W181" s="293"/>
      <c r="X181" s="293"/>
      <c r="Y181" s="293"/>
      <c r="Z181" s="293"/>
      <c r="AA181" s="293"/>
      <c r="AB181" s="293"/>
      <c r="AC181" s="293"/>
      <c r="AD181" s="293"/>
      <c r="AE181" s="293"/>
      <c r="AF181" s="293"/>
      <c r="AG181" s="293"/>
      <c r="AH181" s="293"/>
      <c r="AI181" s="293"/>
      <c r="AJ181" s="293"/>
      <c r="AK181" s="293"/>
      <c r="AL181" s="293"/>
      <c r="AM181" s="293"/>
      <c r="AN181" s="293"/>
      <c r="AO181" s="293">
        <v>0</v>
      </c>
      <c r="AP181" s="293">
        <v>0</v>
      </c>
      <c r="AQ181" s="293">
        <v>0</v>
      </c>
      <c r="AR181" s="293">
        <v>0</v>
      </c>
      <c r="AS181" s="293">
        <v>0</v>
      </c>
      <c r="AT181" s="293">
        <v>0</v>
      </c>
      <c r="AU181" s="293">
        <v>0</v>
      </c>
      <c r="AV181" s="293">
        <v>0</v>
      </c>
      <c r="AW181" s="293">
        <v>0</v>
      </c>
      <c r="AX181" s="293">
        <v>0</v>
      </c>
      <c r="AY181" s="293">
        <v>0</v>
      </c>
      <c r="AZ181" s="293">
        <v>0</v>
      </c>
      <c r="BA181" s="293">
        <v>0</v>
      </c>
      <c r="BB181" s="293">
        <v>0</v>
      </c>
      <c r="BC181" s="293">
        <v>0</v>
      </c>
      <c r="BD181" s="293">
        <v>0</v>
      </c>
      <c r="BE181" s="293">
        <v>0</v>
      </c>
      <c r="BF181" s="293">
        <v>0</v>
      </c>
      <c r="BG181" s="293">
        <v>0</v>
      </c>
      <c r="BH181" s="293">
        <v>0</v>
      </c>
      <c r="BI181" s="293">
        <v>0</v>
      </c>
      <c r="BJ181" s="293">
        <v>0</v>
      </c>
      <c r="BK181" s="293">
        <v>0</v>
      </c>
      <c r="BL181" s="293">
        <v>0</v>
      </c>
      <c r="BM181" s="293">
        <v>0</v>
      </c>
      <c r="BN181" s="293">
        <v>0</v>
      </c>
      <c r="BO181" s="293">
        <v>0</v>
      </c>
      <c r="BP181" s="293">
        <v>0</v>
      </c>
      <c r="BQ181" s="293">
        <v>0</v>
      </c>
      <c r="BR181" s="293">
        <v>0</v>
      </c>
      <c r="BS181" s="293">
        <v>0</v>
      </c>
      <c r="BT181" s="293">
        <v>0</v>
      </c>
      <c r="BU181" s="293">
        <v>0</v>
      </c>
      <c r="BV181" s="293">
        <v>0</v>
      </c>
      <c r="BW181" s="293">
        <v>0</v>
      </c>
      <c r="BX181" s="293">
        <v>0</v>
      </c>
      <c r="BY181" s="293">
        <v>0</v>
      </c>
      <c r="BZ181" s="293">
        <v>0</v>
      </c>
      <c r="CA181" s="293">
        <v>0</v>
      </c>
      <c r="CB181" s="293">
        <v>0</v>
      </c>
      <c r="CC181" s="293">
        <v>4.9678087139999993</v>
      </c>
      <c r="CD181" s="293">
        <v>0</v>
      </c>
      <c r="CE181" s="294">
        <v>0</v>
      </c>
      <c r="CF181" s="293">
        <v>0</v>
      </c>
      <c r="CG181" s="293">
        <v>0</v>
      </c>
      <c r="CH181" s="293">
        <v>8.7671335287499979</v>
      </c>
      <c r="CI181" s="293">
        <v>0</v>
      </c>
      <c r="CJ181" s="293">
        <v>0</v>
      </c>
      <c r="CK181" s="293">
        <v>0</v>
      </c>
      <c r="CL181" s="293">
        <v>0</v>
      </c>
      <c r="CM181" s="293">
        <v>0</v>
      </c>
      <c r="CN181" s="293">
        <v>9.0048454319999998</v>
      </c>
      <c r="CO181" s="293">
        <v>0</v>
      </c>
      <c r="CP181" s="295">
        <v>0</v>
      </c>
      <c r="CQ181" s="293">
        <v>0</v>
      </c>
      <c r="CR181" s="293">
        <v>0</v>
      </c>
      <c r="CS181" s="293">
        <v>0</v>
      </c>
      <c r="CT181" s="293">
        <v>9.135223259</v>
      </c>
      <c r="CU181" s="293">
        <v>0</v>
      </c>
      <c r="CV181" s="293">
        <v>0</v>
      </c>
      <c r="CW181" s="293">
        <v>0</v>
      </c>
      <c r="CX181" s="293">
        <v>0</v>
      </c>
      <c r="CY181" s="293">
        <v>0</v>
      </c>
      <c r="CZ181" s="293">
        <v>9.4161921457500011</v>
      </c>
      <c r="DA181" s="293">
        <v>0</v>
      </c>
      <c r="DB181" s="1288">
        <v>0</v>
      </c>
      <c r="DC181" s="293"/>
      <c r="DD181" s="293"/>
      <c r="DE181" s="293"/>
      <c r="DF181" s="293"/>
      <c r="DG181" s="293"/>
      <c r="DH181" s="293"/>
      <c r="DI181" s="293"/>
      <c r="DJ181" s="293"/>
      <c r="DK181" s="293"/>
      <c r="DL181" s="293"/>
      <c r="DM181" s="293"/>
      <c r="DN181" s="295"/>
      <c r="DO181" s="293"/>
      <c r="DP181" s="293"/>
      <c r="DQ181" s="293"/>
      <c r="DR181" s="293"/>
      <c r="DS181" s="293"/>
      <c r="DT181" s="293"/>
      <c r="DU181" s="293"/>
      <c r="DV181" s="293"/>
      <c r="DW181" s="293"/>
      <c r="DX181" s="293"/>
      <c r="DY181" s="293"/>
      <c r="DZ181" s="295"/>
      <c r="EA181" s="293"/>
      <c r="EB181" s="293"/>
      <c r="EC181" s="293"/>
      <c r="ED181" s="293"/>
      <c r="EE181" s="293"/>
      <c r="EF181" s="293"/>
      <c r="EG181" s="293"/>
      <c r="EH181" s="293"/>
      <c r="EI181" s="293"/>
      <c r="EJ181" s="293"/>
      <c r="EK181" s="293"/>
      <c r="EL181" s="295"/>
      <c r="EM181" s="1080"/>
      <c r="EN181" s="1080"/>
      <c r="EO181" s="1080"/>
      <c r="EP181" s="1080"/>
      <c r="EQ181" s="1080"/>
      <c r="ER181" s="1080"/>
      <c r="ES181" s="1080"/>
      <c r="ET181" s="1080"/>
      <c r="EU181" s="1080"/>
      <c r="EV181" s="1080"/>
      <c r="EW181" s="1080"/>
      <c r="EX181" s="1340"/>
      <c r="EY181" s="1080"/>
      <c r="EZ181" s="1080"/>
      <c r="FA181" s="1080"/>
      <c r="FB181" s="1080"/>
      <c r="FC181" s="1080"/>
      <c r="FD181" s="1080"/>
      <c r="FE181" s="1080"/>
      <c r="FF181" s="1080"/>
      <c r="FG181" s="1080"/>
      <c r="FH181" s="1080"/>
      <c r="FI181" s="1080"/>
      <c r="FJ181" s="1340"/>
      <c r="FK181" s="1080"/>
      <c r="FL181" s="1080"/>
      <c r="FM181" s="1080"/>
      <c r="FN181" s="1080"/>
      <c r="FO181" s="1080"/>
      <c r="FP181" s="1080"/>
      <c r="FQ181" s="293"/>
      <c r="FR181" s="293"/>
      <c r="FS181" s="293"/>
      <c r="FT181" s="293"/>
      <c r="FU181" s="293"/>
      <c r="FV181" s="293"/>
      <c r="FW181" s="293"/>
      <c r="FX181" s="293"/>
      <c r="FY181" s="293"/>
      <c r="FZ181" s="293"/>
      <c r="GA181" s="293"/>
      <c r="GB181" s="293"/>
      <c r="GC181" s="293"/>
      <c r="GD181" s="293"/>
      <c r="GE181" s="293"/>
      <c r="GF181" s="293"/>
      <c r="GG181" s="293"/>
      <c r="GH181" s="293"/>
      <c r="GI181" s="293"/>
      <c r="GJ181" s="293"/>
      <c r="GK181" s="293"/>
      <c r="GL181" s="293"/>
      <c r="GM181" s="293"/>
      <c r="GN181" s="293"/>
      <c r="GO181" s="293"/>
      <c r="GP181" s="293"/>
      <c r="GQ181" s="293"/>
      <c r="GR181" s="293"/>
      <c r="GS181" s="293"/>
      <c r="GT181" s="293"/>
      <c r="GU181" s="293"/>
      <c r="GV181" s="293"/>
      <c r="GW181" s="293"/>
      <c r="GX181" s="293"/>
      <c r="GY181" s="293"/>
      <c r="GZ181" s="293"/>
      <c r="HA181" s="293"/>
      <c r="HB181" s="293"/>
      <c r="HC181" s="293"/>
      <c r="HD181" s="293"/>
      <c r="HE181" s="293"/>
      <c r="HF181" s="293"/>
      <c r="HG181" s="293"/>
      <c r="HH181" s="293"/>
      <c r="HI181" s="293"/>
      <c r="HJ181" s="293"/>
      <c r="HK181" s="293"/>
      <c r="HL181" s="293"/>
      <c r="HM181" s="293"/>
      <c r="HN181" s="293"/>
      <c r="HO181" s="293"/>
      <c r="HP181" s="293"/>
      <c r="HQ181" s="293"/>
      <c r="HR181" s="293"/>
      <c r="HS181" s="293"/>
      <c r="HT181" s="293"/>
      <c r="HU181" s="293"/>
      <c r="HV181" s="293"/>
      <c r="HW181" s="293"/>
      <c r="HX181" s="293"/>
      <c r="HY181" s="293"/>
      <c r="IH181" s="279">
        <f>+SUM(DC181:DH181)</f>
        <v>0</v>
      </c>
      <c r="II181" s="279">
        <f>+SUM(DI181:DN181)</f>
        <v>0</v>
      </c>
      <c r="IJ181" s="323">
        <f t="shared" si="27"/>
        <v>0</v>
      </c>
      <c r="IK181" s="279">
        <f>SUM(DO181:DT181)</f>
        <v>0</v>
      </c>
      <c r="KT181" s="280"/>
    </row>
    <row r="182" spans="1:307" ht="15.3" outlineLevel="1" thickBot="1">
      <c r="D182" s="851"/>
      <c r="E182" s="305"/>
      <c r="F182" s="305"/>
      <c r="G182" s="293"/>
      <c r="H182" s="293"/>
      <c r="I182" s="293"/>
      <c r="J182" s="293"/>
      <c r="K182" s="293"/>
      <c r="L182" s="293"/>
      <c r="M182" s="293"/>
      <c r="N182" s="293"/>
      <c r="O182" s="293"/>
      <c r="P182" s="293"/>
      <c r="Q182" s="293"/>
      <c r="R182" s="293"/>
      <c r="S182" s="293"/>
      <c r="T182" s="293"/>
      <c r="U182" s="293"/>
      <c r="V182" s="293"/>
      <c r="W182" s="293"/>
      <c r="X182" s="293"/>
      <c r="Y182" s="29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c r="BN182" s="293"/>
      <c r="BO182" s="293"/>
      <c r="BP182" s="293"/>
      <c r="BQ182" s="293"/>
      <c r="BR182" s="293"/>
      <c r="BS182" s="293"/>
      <c r="BT182" s="293"/>
      <c r="BU182" s="293"/>
      <c r="BV182" s="293"/>
      <c r="BW182" s="293"/>
      <c r="BX182" s="293"/>
      <c r="BY182" s="293"/>
      <c r="BZ182" s="293"/>
      <c r="CA182" s="293"/>
      <c r="CB182" s="293"/>
      <c r="CC182" s="293"/>
      <c r="CD182" s="293"/>
      <c r="CE182" s="294"/>
      <c r="CF182" s="293"/>
      <c r="CG182" s="293"/>
      <c r="CH182" s="293"/>
      <c r="CI182" s="293"/>
      <c r="CJ182" s="293"/>
      <c r="CK182" s="293"/>
      <c r="CL182" s="293"/>
      <c r="CM182" s="293"/>
      <c r="CN182" s="293"/>
      <c r="CO182" s="293"/>
      <c r="CP182" s="295"/>
      <c r="CQ182" s="293"/>
      <c r="CR182" s="293"/>
      <c r="CS182" s="293"/>
      <c r="CT182" s="293"/>
      <c r="CU182" s="293"/>
      <c r="CV182" s="293"/>
      <c r="CW182" s="293"/>
      <c r="CX182" s="293"/>
      <c r="CY182" s="293"/>
      <c r="CZ182" s="293"/>
      <c r="DA182" s="293"/>
      <c r="DB182" s="1288"/>
      <c r="DC182" s="850"/>
      <c r="DD182" s="850"/>
      <c r="DE182" s="850"/>
      <c r="DF182" s="850"/>
      <c r="DG182" s="850"/>
      <c r="DH182" s="850"/>
      <c r="DI182" s="850"/>
      <c r="DJ182" s="850"/>
      <c r="DK182" s="850"/>
      <c r="DL182" s="850"/>
      <c r="DM182" s="850"/>
      <c r="DN182" s="873"/>
      <c r="DO182" s="850"/>
      <c r="DP182" s="850"/>
      <c r="DQ182" s="850"/>
      <c r="DR182" s="850"/>
      <c r="DS182" s="850"/>
      <c r="DT182" s="850"/>
      <c r="DU182" s="850"/>
      <c r="DV182" s="850"/>
      <c r="DW182" s="850"/>
      <c r="DX182" s="850"/>
      <c r="DY182" s="850"/>
      <c r="DZ182" s="873"/>
      <c r="EA182" s="850"/>
      <c r="EB182" s="850"/>
      <c r="EC182" s="850"/>
      <c r="ED182" s="850"/>
      <c r="EE182" s="850"/>
      <c r="EF182" s="850"/>
      <c r="EG182" s="850"/>
      <c r="EH182" s="850"/>
      <c r="EI182" s="850"/>
      <c r="EJ182" s="850"/>
      <c r="EK182" s="850"/>
      <c r="EL182" s="873"/>
      <c r="EM182" s="1091"/>
      <c r="EN182" s="1091"/>
      <c r="EO182" s="1091"/>
      <c r="EP182" s="1091"/>
      <c r="EQ182" s="1091"/>
      <c r="ER182" s="1091"/>
      <c r="ES182" s="1091"/>
      <c r="ET182" s="1091"/>
      <c r="EU182" s="1091"/>
      <c r="EV182" s="1091"/>
      <c r="EW182" s="1091"/>
      <c r="EX182" s="1358"/>
      <c r="EY182" s="1091"/>
      <c r="EZ182" s="1091"/>
      <c r="FA182" s="1091"/>
      <c r="FB182" s="1091"/>
      <c r="FC182" s="1091"/>
      <c r="FD182" s="1091"/>
      <c r="FE182" s="1091"/>
      <c r="FF182" s="1091"/>
      <c r="FG182" s="1091"/>
      <c r="FH182" s="1091"/>
      <c r="FI182" s="1091"/>
      <c r="FJ182" s="1358"/>
      <c r="FK182" s="1091"/>
      <c r="FL182" s="1091"/>
      <c r="FM182" s="1091"/>
      <c r="FN182" s="1091"/>
      <c r="FO182" s="1091"/>
      <c r="FP182" s="1091"/>
      <c r="FQ182" s="1078"/>
      <c r="FR182" s="1078"/>
      <c r="FS182" s="1078"/>
      <c r="FT182" s="1078"/>
      <c r="FU182" s="1078"/>
      <c r="FV182" s="1078"/>
      <c r="FW182" s="1078"/>
      <c r="FX182" s="1078"/>
      <c r="FY182" s="1078"/>
      <c r="FZ182" s="1078"/>
      <c r="GA182" s="1078"/>
      <c r="GB182" s="1078"/>
      <c r="GC182" s="1078"/>
      <c r="GD182" s="1078"/>
      <c r="GE182" s="1078"/>
      <c r="GF182" s="1078"/>
      <c r="GG182" s="1078"/>
      <c r="GH182" s="1078"/>
      <c r="GI182" s="1078"/>
      <c r="GJ182" s="1078"/>
      <c r="GK182" s="1078"/>
      <c r="GL182" s="1078"/>
      <c r="GM182" s="1078"/>
      <c r="GN182" s="1078"/>
      <c r="GO182" s="1078"/>
      <c r="GP182" s="1078"/>
      <c r="GQ182" s="1078"/>
      <c r="GR182" s="1078"/>
      <c r="GS182" s="1078"/>
      <c r="GT182" s="1078"/>
      <c r="GU182" s="1078"/>
      <c r="GV182" s="1078"/>
      <c r="GW182" s="1078"/>
      <c r="GX182" s="1078"/>
      <c r="GY182" s="1078"/>
      <c r="GZ182" s="1078"/>
      <c r="HA182" s="1078"/>
      <c r="HB182" s="1078"/>
      <c r="HC182" s="1078"/>
      <c r="HD182" s="1078"/>
      <c r="HE182" s="1078"/>
      <c r="HF182" s="1078"/>
      <c r="HG182" s="1078"/>
      <c r="HH182" s="1078"/>
      <c r="HI182" s="1078"/>
      <c r="HJ182" s="1078"/>
      <c r="HK182" s="1078"/>
      <c r="HL182" s="1078"/>
      <c r="HM182" s="1078"/>
      <c r="HN182" s="1078"/>
      <c r="HO182" s="1078"/>
      <c r="HP182" s="1078"/>
      <c r="HQ182" s="1078"/>
      <c r="HR182" s="1078"/>
      <c r="HS182" s="1078"/>
      <c r="HT182" s="1078"/>
      <c r="HU182" s="1078"/>
      <c r="HV182" s="1078"/>
      <c r="HW182" s="1078"/>
      <c r="HX182" s="1078"/>
      <c r="HY182" s="1078"/>
      <c r="IJ182" s="881"/>
      <c r="KT182" s="280"/>
    </row>
    <row r="183" spans="1:307" outlineLevel="1">
      <c r="CE183" s="793"/>
      <c r="CP183" s="280"/>
      <c r="DC183" s="842" t="s">
        <v>1000</v>
      </c>
      <c r="EA183" s="279"/>
      <c r="EB183" s="279"/>
      <c r="EC183" s="279"/>
      <c r="ED183" s="279"/>
      <c r="EE183" s="279"/>
      <c r="EF183" s="279"/>
      <c r="EG183" s="279"/>
      <c r="EH183" s="279"/>
      <c r="EI183" s="279"/>
      <c r="EJ183" s="279"/>
      <c r="EK183" s="279"/>
      <c r="EL183" s="280"/>
      <c r="EM183" s="1082"/>
      <c r="EN183" s="1082"/>
      <c r="EO183" s="1082"/>
      <c r="EP183" s="1082"/>
      <c r="EQ183" s="1082"/>
      <c r="ER183" s="1082"/>
      <c r="ES183" s="1082"/>
      <c r="ET183" s="1082"/>
      <c r="EU183" s="1082"/>
      <c r="EV183" s="1082"/>
      <c r="EW183" s="1082"/>
      <c r="EX183" s="1350"/>
      <c r="EY183" s="1082"/>
      <c r="EZ183" s="1082"/>
      <c r="FA183" s="1082"/>
      <c r="FB183" s="1082"/>
      <c r="FC183" s="1082"/>
      <c r="FD183" s="1082"/>
      <c r="FE183" s="1082"/>
      <c r="FF183" s="1082"/>
      <c r="FG183" s="1082"/>
      <c r="FH183" s="1082"/>
      <c r="FI183" s="1082"/>
      <c r="FJ183" s="1350"/>
      <c r="FK183" s="1082"/>
      <c r="FL183" s="1082"/>
      <c r="FM183" s="1082"/>
      <c r="FN183" s="1082"/>
      <c r="FO183" s="1082"/>
      <c r="FP183" s="1082"/>
      <c r="FQ183" s="279"/>
      <c r="FR183" s="279"/>
      <c r="FS183" s="279"/>
      <c r="FT183" s="279"/>
      <c r="FU183" s="279"/>
      <c r="FV183" s="279"/>
      <c r="FW183" s="279"/>
      <c r="FX183" s="279"/>
      <c r="FY183" s="279"/>
      <c r="FZ183" s="279"/>
      <c r="GA183" s="279"/>
      <c r="GB183" s="279"/>
      <c r="GC183" s="279"/>
      <c r="GD183" s="279"/>
      <c r="GE183" s="279"/>
      <c r="GF183" s="279"/>
      <c r="GG183" s="279"/>
      <c r="GH183" s="279"/>
      <c r="GI183" s="279"/>
      <c r="GJ183" s="279"/>
      <c r="GK183" s="279"/>
      <c r="GL183" s="279"/>
      <c r="GM183" s="279"/>
      <c r="GN183" s="279"/>
      <c r="GO183" s="279"/>
      <c r="GP183" s="279"/>
      <c r="GQ183" s="279"/>
      <c r="GR183" s="279"/>
      <c r="GS183" s="279"/>
      <c r="GT183" s="279"/>
      <c r="GU183" s="279"/>
      <c r="GV183" s="279"/>
      <c r="GW183" s="279"/>
      <c r="GX183" s="279"/>
      <c r="GY183" s="279"/>
      <c r="GZ183" s="279"/>
      <c r="HA183" s="279"/>
      <c r="HB183" s="279"/>
      <c r="HC183" s="279"/>
      <c r="HD183" s="279"/>
      <c r="HE183" s="279"/>
      <c r="HF183" s="279"/>
      <c r="HG183" s="279"/>
      <c r="HH183" s="279"/>
      <c r="HI183" s="279"/>
      <c r="HJ183" s="279"/>
      <c r="HK183" s="279"/>
      <c r="HL183" s="279"/>
      <c r="HM183" s="279"/>
      <c r="HN183" s="279"/>
      <c r="HO183" s="279"/>
      <c r="HP183" s="279"/>
      <c r="HQ183" s="279"/>
      <c r="HR183" s="279"/>
      <c r="HS183" s="279"/>
      <c r="HT183" s="279"/>
      <c r="HU183" s="279"/>
      <c r="HV183" s="279"/>
      <c r="HW183" s="279"/>
      <c r="HX183" s="279"/>
      <c r="HY183" s="279"/>
      <c r="IJ183" s="881"/>
      <c r="KT183" s="280"/>
    </row>
    <row r="184" spans="1:307" outlineLevel="1">
      <c r="CE184" s="793"/>
      <c r="CP184" s="280"/>
      <c r="DC184" s="812"/>
      <c r="EA184" s="279"/>
      <c r="EB184" s="279"/>
      <c r="EC184" s="279"/>
      <c r="ED184" s="279"/>
      <c r="EE184" s="279"/>
      <c r="EF184" s="279"/>
      <c r="EG184" s="279"/>
      <c r="EH184" s="279"/>
      <c r="EI184" s="279"/>
      <c r="EJ184" s="279"/>
      <c r="EK184" s="279"/>
      <c r="EL184" s="280"/>
      <c r="EM184" s="1082"/>
      <c r="EN184" s="1082"/>
      <c r="EO184" s="1082"/>
      <c r="EP184" s="1082"/>
      <c r="EQ184" s="1082"/>
      <c r="ER184" s="1082"/>
      <c r="ES184" s="1082"/>
      <c r="ET184" s="1082"/>
      <c r="EU184" s="1082"/>
      <c r="EV184" s="1082"/>
      <c r="EW184" s="1082"/>
      <c r="EX184" s="1350"/>
      <c r="EY184" s="1082"/>
      <c r="EZ184" s="1082"/>
      <c r="FA184" s="1082"/>
      <c r="FB184" s="1082"/>
      <c r="FC184" s="1082"/>
      <c r="FD184" s="1082"/>
      <c r="FE184" s="1082"/>
      <c r="FF184" s="1082"/>
      <c r="FG184" s="1082"/>
      <c r="FH184" s="1082"/>
      <c r="FI184" s="1082"/>
      <c r="FJ184" s="1350"/>
      <c r="FK184" s="1082"/>
      <c r="FL184" s="1082"/>
      <c r="FM184" s="1082"/>
      <c r="FN184" s="1082"/>
      <c r="FO184" s="1082"/>
      <c r="FP184" s="1082"/>
      <c r="FQ184" s="279"/>
      <c r="FR184" s="279"/>
      <c r="FS184" s="279"/>
      <c r="FT184" s="279"/>
      <c r="FU184" s="279"/>
      <c r="FV184" s="279"/>
      <c r="FW184" s="279"/>
      <c r="FX184" s="279"/>
      <c r="FY184" s="279"/>
      <c r="FZ184" s="279"/>
      <c r="GA184" s="279"/>
      <c r="GB184" s="279"/>
      <c r="GC184" s="279"/>
      <c r="GD184" s="279"/>
      <c r="GE184" s="279"/>
      <c r="GF184" s="279"/>
      <c r="GG184" s="279"/>
      <c r="GH184" s="279"/>
      <c r="GI184" s="279"/>
      <c r="GJ184" s="279"/>
      <c r="GK184" s="279"/>
      <c r="GL184" s="279"/>
      <c r="GM184" s="279"/>
      <c r="GN184" s="279"/>
      <c r="GO184" s="279"/>
      <c r="GP184" s="279"/>
      <c r="GQ184" s="279"/>
      <c r="GR184" s="279"/>
      <c r="GS184" s="279"/>
      <c r="GT184" s="279"/>
      <c r="GU184" s="279"/>
      <c r="GV184" s="279"/>
      <c r="GW184" s="279"/>
      <c r="GX184" s="279"/>
      <c r="GY184" s="279"/>
      <c r="GZ184" s="279"/>
      <c r="HA184" s="279"/>
      <c r="HB184" s="279"/>
      <c r="HC184" s="279"/>
      <c r="HD184" s="279"/>
      <c r="HE184" s="279"/>
      <c r="HF184" s="279"/>
      <c r="HG184" s="279"/>
      <c r="HH184" s="279"/>
      <c r="HI184" s="279"/>
      <c r="HJ184" s="279"/>
      <c r="HK184" s="279"/>
      <c r="HL184" s="279"/>
      <c r="HM184" s="279"/>
      <c r="HN184" s="279"/>
      <c r="HO184" s="279"/>
      <c r="HP184" s="279"/>
      <c r="HQ184" s="279"/>
      <c r="HR184" s="279"/>
      <c r="HS184" s="279"/>
      <c r="HT184" s="279"/>
      <c r="HU184" s="279"/>
      <c r="HV184" s="279"/>
      <c r="HW184" s="279"/>
      <c r="HX184" s="279"/>
      <c r="HY184" s="279"/>
      <c r="IJ184" s="881"/>
      <c r="KT184" s="280"/>
    </row>
    <row r="185" spans="1:307" outlineLevel="1">
      <c r="A185" s="291" t="s">
        <v>1039</v>
      </c>
      <c r="CE185" s="793"/>
      <c r="CP185" s="280"/>
      <c r="DC185" s="842" t="s">
        <v>1003</v>
      </c>
      <c r="EA185" s="279"/>
      <c r="EB185" s="279"/>
      <c r="EC185" s="279"/>
      <c r="ED185" s="279"/>
      <c r="EE185" s="279"/>
      <c r="EF185" s="279"/>
      <c r="EG185" s="279"/>
      <c r="EH185" s="279"/>
      <c r="EI185" s="279"/>
      <c r="EJ185" s="279"/>
      <c r="EK185" s="279"/>
      <c r="EL185" s="280"/>
      <c r="EM185" s="1082"/>
      <c r="EN185" s="1082"/>
      <c r="EO185" s="1082"/>
      <c r="EP185" s="1082"/>
      <c r="EQ185" s="1082"/>
      <c r="ER185" s="1082"/>
      <c r="ES185" s="1082"/>
      <c r="ET185" s="1082"/>
      <c r="EU185" s="1082"/>
      <c r="EV185" s="1082"/>
      <c r="EW185" s="1082"/>
      <c r="EX185" s="1350"/>
      <c r="EY185" s="1082"/>
      <c r="EZ185" s="1082"/>
      <c r="FA185" s="1082"/>
      <c r="FB185" s="1082"/>
      <c r="FC185" s="1082"/>
      <c r="FD185" s="1082"/>
      <c r="FE185" s="1082"/>
      <c r="FF185" s="1082"/>
      <c r="FG185" s="1082"/>
      <c r="FH185" s="1082"/>
      <c r="FI185" s="1082"/>
      <c r="FJ185" s="1350"/>
      <c r="FK185" s="1082"/>
      <c r="FL185" s="1082"/>
      <c r="FM185" s="1082"/>
      <c r="FN185" s="1082"/>
      <c r="FO185" s="1082"/>
      <c r="FP185" s="1082"/>
      <c r="FQ185" s="279"/>
      <c r="FR185" s="279"/>
      <c r="FS185" s="279"/>
      <c r="FT185" s="279"/>
      <c r="FU185" s="279"/>
      <c r="FV185" s="279"/>
      <c r="FW185" s="279"/>
      <c r="FX185" s="279"/>
      <c r="FY185" s="279"/>
      <c r="FZ185" s="279"/>
      <c r="GA185" s="279"/>
      <c r="GB185" s="279"/>
      <c r="GC185" s="279"/>
      <c r="GD185" s="279"/>
      <c r="GE185" s="279"/>
      <c r="GF185" s="279"/>
      <c r="GG185" s="279"/>
      <c r="GH185" s="279"/>
      <c r="GI185" s="279"/>
      <c r="GJ185" s="279"/>
      <c r="GK185" s="279"/>
      <c r="GL185" s="279"/>
      <c r="GM185" s="279"/>
      <c r="GN185" s="279"/>
      <c r="GO185" s="279"/>
      <c r="GP185" s="279"/>
      <c r="GQ185" s="279"/>
      <c r="GR185" s="279"/>
      <c r="GS185" s="279"/>
      <c r="GT185" s="279"/>
      <c r="GU185" s="279"/>
      <c r="GV185" s="279"/>
      <c r="GW185" s="279"/>
      <c r="GX185" s="279"/>
      <c r="GY185" s="279"/>
      <c r="GZ185" s="279"/>
      <c r="HA185" s="279"/>
      <c r="HB185" s="279"/>
      <c r="HC185" s="279"/>
      <c r="HD185" s="279"/>
      <c r="HE185" s="279"/>
      <c r="HF185" s="279"/>
      <c r="HG185" s="279"/>
      <c r="HH185" s="279"/>
      <c r="HI185" s="279"/>
      <c r="HJ185" s="279"/>
      <c r="HK185" s="279"/>
      <c r="HL185" s="279"/>
      <c r="HM185" s="279"/>
      <c r="HN185" s="279"/>
      <c r="HO185" s="279"/>
      <c r="HP185" s="279"/>
      <c r="HQ185" s="279"/>
      <c r="HR185" s="279"/>
      <c r="HS185" s="279"/>
      <c r="HT185" s="279"/>
      <c r="HU185" s="279"/>
      <c r="HV185" s="279"/>
      <c r="HW185" s="279"/>
      <c r="HX185" s="279"/>
      <c r="HY185" s="279"/>
      <c r="IJ185" s="881"/>
      <c r="KT185" s="280"/>
    </row>
    <row r="186" spans="1:307" hidden="1" outlineLevel="1">
      <c r="A186" s="96" t="s">
        <v>395</v>
      </c>
      <c r="B186" s="96" t="s">
        <v>338</v>
      </c>
      <c r="D186" s="307" t="s">
        <v>877</v>
      </c>
      <c r="E186" s="293">
        <v>4.2294645100000006</v>
      </c>
      <c r="F186" s="293">
        <v>4.8996133840000002</v>
      </c>
      <c r="G186" s="293">
        <v>9.7399959749999994</v>
      </c>
      <c r="H186" s="293">
        <v>6.2172760779999994</v>
      </c>
      <c r="I186" s="293">
        <v>6.1354526030000001</v>
      </c>
      <c r="J186" s="293">
        <v>12.230258085000001</v>
      </c>
      <c r="K186" s="293">
        <v>5.4072280980000009</v>
      </c>
      <c r="L186" s="293">
        <v>5.3874563320000002</v>
      </c>
      <c r="M186" s="293">
        <v>9.8820755489999996</v>
      </c>
      <c r="N186" s="293">
        <v>6.098156468</v>
      </c>
      <c r="O186" s="293">
        <v>5.7516253129999999</v>
      </c>
      <c r="P186" s="293">
        <v>9.8281953980000019</v>
      </c>
      <c r="Q186" s="293">
        <v>6.7700079609999992</v>
      </c>
      <c r="R186" s="293">
        <v>6.4309500129999995</v>
      </c>
      <c r="S186" s="293">
        <v>11.529762431999998</v>
      </c>
      <c r="T186" s="293">
        <v>9.7888689529999997</v>
      </c>
      <c r="U186" s="293">
        <v>7.5178429510000004</v>
      </c>
      <c r="V186" s="293">
        <v>18.883921619000002</v>
      </c>
      <c r="W186" s="293">
        <v>7.569646455</v>
      </c>
      <c r="X186" s="293">
        <v>7.1868074279999998</v>
      </c>
      <c r="Y186" s="293">
        <v>15.095127883000002</v>
      </c>
      <c r="Z186" s="293">
        <v>9.2166265799999998</v>
      </c>
      <c r="AA186" s="293">
        <v>6.8547035310000011</v>
      </c>
      <c r="AB186" s="293">
        <v>16.229074501000003</v>
      </c>
      <c r="AC186" s="293">
        <v>8.3042479629999999</v>
      </c>
      <c r="AD186" s="293">
        <v>8.0491854429999989</v>
      </c>
      <c r="AE186" s="293">
        <v>15.052722857000001</v>
      </c>
      <c r="AF186" s="293">
        <v>8.5169871340000007</v>
      </c>
      <c r="AG186" s="293">
        <v>9.5217840750000011</v>
      </c>
      <c r="AH186" s="293">
        <v>18.381911766999998</v>
      </c>
      <c r="AI186" s="293">
        <v>8.5048971469999994</v>
      </c>
      <c r="AJ186" s="293">
        <v>8.6459245459999998</v>
      </c>
      <c r="AK186" s="293">
        <v>15.222388947000001</v>
      </c>
      <c r="AL186" s="293">
        <v>8.2623648060000008</v>
      </c>
      <c r="AM186" s="293">
        <v>9.8420651850000009</v>
      </c>
      <c r="AN186" s="293">
        <v>18.109119675000006</v>
      </c>
      <c r="AO186" s="293">
        <v>9.7578769340000004</v>
      </c>
      <c r="AP186" s="293">
        <v>9.7868244540000013</v>
      </c>
      <c r="AQ186" s="293">
        <v>23.607182408</v>
      </c>
      <c r="AR186" s="293">
        <v>10.657288685999999</v>
      </c>
      <c r="AS186" s="293">
        <v>10.542774072000002</v>
      </c>
      <c r="AT186" s="293">
        <v>15.986539382</v>
      </c>
      <c r="AU186" s="293">
        <v>10.829729145</v>
      </c>
      <c r="AV186" s="293">
        <v>12.056808341</v>
      </c>
      <c r="AW186" s="293">
        <v>16.481190326</v>
      </c>
      <c r="AX186" s="293">
        <v>11.344940942999999</v>
      </c>
      <c r="AY186" s="293">
        <v>11.473544571</v>
      </c>
      <c r="AZ186" s="293">
        <v>19.751283788000002</v>
      </c>
      <c r="BA186" s="293">
        <v>12.880602072</v>
      </c>
      <c r="BB186" s="293">
        <v>10.114053416999999</v>
      </c>
      <c r="BC186" s="293">
        <v>25.941078118</v>
      </c>
      <c r="BD186" s="293">
        <v>13.154150875999999</v>
      </c>
      <c r="BE186" s="293">
        <v>15.050464946000002</v>
      </c>
      <c r="BF186" s="293">
        <v>20.853087231</v>
      </c>
      <c r="BG186" s="293">
        <v>11.609183778999999</v>
      </c>
      <c r="BH186" s="293">
        <v>13.507036456</v>
      </c>
      <c r="BI186" s="293">
        <v>20.074062687000001</v>
      </c>
      <c r="BJ186" s="293">
        <v>15.577315377</v>
      </c>
      <c r="BK186" s="293">
        <v>15.338265863</v>
      </c>
      <c r="BL186" s="293">
        <v>23.573173837999995</v>
      </c>
      <c r="BM186" s="293">
        <v>15.859664524999998</v>
      </c>
      <c r="BN186" s="293">
        <v>15.158597951999999</v>
      </c>
      <c r="BO186" s="293">
        <v>30.061221915999997</v>
      </c>
      <c r="BP186" s="293">
        <v>17.535218137000005</v>
      </c>
      <c r="BQ186" s="293">
        <v>24.180086335999999</v>
      </c>
      <c r="BR186" s="293">
        <v>25.981817431999996</v>
      </c>
      <c r="BS186" s="293">
        <v>14.882583724</v>
      </c>
      <c r="BT186" s="293">
        <v>17.435429829</v>
      </c>
      <c r="BU186" s="293">
        <v>23.643849802999998</v>
      </c>
      <c r="BV186" s="293">
        <v>20.085137107999998</v>
      </c>
      <c r="BW186" s="293">
        <v>19.032810089000002</v>
      </c>
      <c r="BX186" s="293">
        <v>25.844017297000001</v>
      </c>
      <c r="BY186" s="293">
        <v>18.816471498000002</v>
      </c>
      <c r="BZ186" s="293">
        <v>22.563897915999998</v>
      </c>
      <c r="CA186" s="293">
        <v>40.967232714000005</v>
      </c>
      <c r="CB186" s="293">
        <v>21.093378254000001</v>
      </c>
      <c r="CC186" s="293">
        <v>21.295209594000003</v>
      </c>
      <c r="CD186" s="293"/>
      <c r="CE186" s="294"/>
      <c r="CF186" s="293"/>
      <c r="CG186" s="293"/>
      <c r="CH186" s="293"/>
      <c r="CI186" s="293"/>
      <c r="CJ186" s="293"/>
      <c r="CK186" s="293"/>
      <c r="CL186" s="293"/>
      <c r="CM186" s="293"/>
      <c r="CN186" s="293"/>
      <c r="CO186" s="293"/>
      <c r="CP186" s="295"/>
      <c r="CQ186" s="293"/>
      <c r="CR186" s="293"/>
      <c r="CS186" s="293"/>
      <c r="CT186" s="293"/>
      <c r="CU186" s="293"/>
      <c r="CV186" s="293"/>
      <c r="CW186" s="293"/>
      <c r="CX186" s="293"/>
      <c r="CY186" s="293"/>
      <c r="CZ186" s="293"/>
      <c r="DA186" s="293"/>
      <c r="DB186" s="1288"/>
      <c r="DC186" s="836">
        <v>42186</v>
      </c>
      <c r="DD186" s="836">
        <v>42217</v>
      </c>
      <c r="DE186" s="836">
        <v>42248</v>
      </c>
      <c r="DF186" s="836">
        <v>42278</v>
      </c>
      <c r="DG186" s="836">
        <v>42309</v>
      </c>
      <c r="DH186" s="836">
        <v>42339</v>
      </c>
      <c r="DI186" s="836">
        <v>42370</v>
      </c>
      <c r="DJ186" s="836">
        <v>42401</v>
      </c>
      <c r="DK186" s="836">
        <v>42430</v>
      </c>
      <c r="DL186" s="836">
        <v>42461</v>
      </c>
      <c r="DM186" s="836">
        <v>42491</v>
      </c>
      <c r="DN186" s="872">
        <v>42522</v>
      </c>
      <c r="DO186" s="836">
        <v>42552</v>
      </c>
      <c r="DP186" s="836">
        <v>42583</v>
      </c>
      <c r="DQ186" s="836">
        <v>42614</v>
      </c>
      <c r="DR186" s="836">
        <v>42644</v>
      </c>
      <c r="DS186" s="836">
        <v>42675</v>
      </c>
      <c r="DT186" s="836">
        <v>42705</v>
      </c>
      <c r="DU186" s="836">
        <v>42736</v>
      </c>
      <c r="DV186" s="836">
        <v>42767</v>
      </c>
      <c r="DW186" s="836">
        <v>42795</v>
      </c>
      <c r="DX186" s="836">
        <v>42826</v>
      </c>
      <c r="DY186" s="836">
        <v>42856</v>
      </c>
      <c r="DZ186" s="872">
        <v>42887</v>
      </c>
      <c r="EA186" s="836">
        <v>42917</v>
      </c>
      <c r="EB186" s="836">
        <v>42948</v>
      </c>
      <c r="EC186" s="836">
        <v>42979</v>
      </c>
      <c r="ED186" s="836">
        <v>43009</v>
      </c>
      <c r="EE186" s="836">
        <v>43040</v>
      </c>
      <c r="EF186" s="836">
        <v>43070</v>
      </c>
      <c r="EG186" s="836">
        <v>43101</v>
      </c>
      <c r="EH186" s="836">
        <v>43132</v>
      </c>
      <c r="EI186" s="836">
        <v>43160</v>
      </c>
      <c r="EJ186" s="836">
        <v>43191</v>
      </c>
      <c r="EK186" s="836">
        <v>43221</v>
      </c>
      <c r="EL186" s="872">
        <v>43252</v>
      </c>
      <c r="EM186" s="1079">
        <v>43282</v>
      </c>
      <c r="EN186" s="1079">
        <v>43313</v>
      </c>
      <c r="EO186" s="1079">
        <v>43344</v>
      </c>
      <c r="EP186" s="1079">
        <v>43374</v>
      </c>
      <c r="EQ186" s="1079">
        <v>43405</v>
      </c>
      <c r="ER186" s="1079">
        <v>43435</v>
      </c>
      <c r="ES186" s="1079">
        <v>43466</v>
      </c>
      <c r="ET186" s="1079">
        <v>43497</v>
      </c>
      <c r="EU186" s="1079">
        <v>43525</v>
      </c>
      <c r="EV186" s="1079">
        <v>43556</v>
      </c>
      <c r="EW186" s="1079">
        <v>43586</v>
      </c>
      <c r="EX186" s="1348">
        <v>43617</v>
      </c>
      <c r="EY186" s="1079">
        <v>43647</v>
      </c>
      <c r="EZ186" s="1079">
        <v>43678</v>
      </c>
      <c r="FA186" s="1079">
        <v>43709</v>
      </c>
      <c r="FB186" s="1079">
        <v>43739</v>
      </c>
      <c r="FC186" s="1079">
        <v>43770</v>
      </c>
      <c r="FD186" s="1079">
        <v>43800</v>
      </c>
      <c r="FE186" s="1079">
        <v>43831</v>
      </c>
      <c r="FF186" s="1079">
        <v>43862</v>
      </c>
      <c r="FG186" s="1079">
        <v>43891</v>
      </c>
      <c r="FH186" s="1079">
        <v>43922</v>
      </c>
      <c r="FI186" s="1079">
        <v>43952</v>
      </c>
      <c r="FJ186" s="1348">
        <v>43983</v>
      </c>
      <c r="FK186" s="1079">
        <v>44013</v>
      </c>
      <c r="FL186" s="1079">
        <v>44044</v>
      </c>
      <c r="FM186" s="1079">
        <v>44075</v>
      </c>
      <c r="FN186" s="1079">
        <v>44105</v>
      </c>
      <c r="FO186" s="1079">
        <v>44136</v>
      </c>
      <c r="FP186" s="1079">
        <v>44166</v>
      </c>
      <c r="FQ186" s="836"/>
      <c r="FR186" s="836"/>
      <c r="FS186" s="836"/>
      <c r="FT186" s="836"/>
      <c r="FU186" s="836"/>
      <c r="FV186" s="836"/>
      <c r="FW186" s="836"/>
      <c r="FX186" s="836"/>
      <c r="FY186" s="836"/>
      <c r="FZ186" s="836"/>
      <c r="GA186" s="836"/>
      <c r="GB186" s="836"/>
      <c r="GC186" s="836"/>
      <c r="GD186" s="836"/>
      <c r="GE186" s="836"/>
      <c r="GF186" s="836"/>
      <c r="GG186" s="836"/>
      <c r="GH186" s="836"/>
      <c r="GI186" s="836"/>
      <c r="GJ186" s="836"/>
      <c r="GK186" s="836"/>
      <c r="GL186" s="836"/>
      <c r="GM186" s="836"/>
      <c r="GN186" s="836"/>
      <c r="GO186" s="836"/>
      <c r="GP186" s="836"/>
      <c r="GQ186" s="836"/>
      <c r="GR186" s="836"/>
      <c r="GS186" s="836"/>
      <c r="GT186" s="836"/>
      <c r="GU186" s="836"/>
      <c r="GV186" s="836"/>
      <c r="GW186" s="836"/>
      <c r="GX186" s="836"/>
      <c r="GY186" s="836"/>
      <c r="GZ186" s="836"/>
      <c r="HA186" s="836"/>
      <c r="HB186" s="836"/>
      <c r="HC186" s="836"/>
      <c r="HD186" s="836"/>
      <c r="HE186" s="836"/>
      <c r="HF186" s="836"/>
      <c r="HG186" s="836"/>
      <c r="HH186" s="836"/>
      <c r="HI186" s="836"/>
      <c r="HJ186" s="836"/>
      <c r="HK186" s="836"/>
      <c r="HL186" s="836"/>
      <c r="HM186" s="836"/>
      <c r="HN186" s="836"/>
      <c r="HO186" s="836"/>
      <c r="HP186" s="836"/>
      <c r="HQ186" s="836"/>
      <c r="HR186" s="836"/>
      <c r="HS186" s="836"/>
      <c r="HT186" s="836"/>
      <c r="HU186" s="836"/>
      <c r="HV186" s="836"/>
      <c r="HW186" s="836"/>
      <c r="HX186" s="836"/>
      <c r="HY186" s="836"/>
      <c r="IJ186" s="881"/>
      <c r="KT186" s="280"/>
    </row>
    <row r="187" spans="1:307" hidden="1" outlineLevel="1">
      <c r="B187" s="96" t="s">
        <v>338</v>
      </c>
      <c r="D187" s="308" t="s">
        <v>396</v>
      </c>
      <c r="E187" s="293">
        <v>4.1885739100000006</v>
      </c>
      <c r="F187" s="293">
        <v>4.7628002130000002</v>
      </c>
      <c r="G187" s="293">
        <v>9.1072848749999995</v>
      </c>
      <c r="H187" s="293">
        <v>6.1734750739999997</v>
      </c>
      <c r="I187" s="293">
        <v>6.1239712580000001</v>
      </c>
      <c r="J187" s="293">
        <v>12.134997212</v>
      </c>
      <c r="K187" s="293">
        <v>5.3946934920000009</v>
      </c>
      <c r="L187" s="293">
        <v>5.3770017880000003</v>
      </c>
      <c r="M187" s="293">
        <v>9.8729579839999992</v>
      </c>
      <c r="N187" s="293">
        <v>6.0868095469999997</v>
      </c>
      <c r="O187" s="293">
        <v>5.739648968</v>
      </c>
      <c r="P187" s="293">
        <v>9.8183312950000019</v>
      </c>
      <c r="Q187" s="293">
        <v>6.6978376849999997</v>
      </c>
      <c r="R187" s="293">
        <v>6.2681305199999997</v>
      </c>
      <c r="S187" s="293">
        <v>10.811106841999999</v>
      </c>
      <c r="T187" s="293">
        <v>9.761725822999999</v>
      </c>
      <c r="U187" s="293">
        <v>7.4935730190000003</v>
      </c>
      <c r="V187" s="293">
        <v>18.858052447000002</v>
      </c>
      <c r="W187" s="293">
        <v>7.552260081</v>
      </c>
      <c r="X187" s="293">
        <v>7.1727235059999996</v>
      </c>
      <c r="Y187" s="293">
        <v>15.081394706000001</v>
      </c>
      <c r="Z187" s="293">
        <v>9.2040806629999992</v>
      </c>
      <c r="AA187" s="293">
        <v>6.8474775600000006</v>
      </c>
      <c r="AB187" s="293">
        <v>16.217531188000002</v>
      </c>
      <c r="AC187" s="293">
        <v>8.2346705040000003</v>
      </c>
      <c r="AD187" s="293">
        <v>7.8944755859999995</v>
      </c>
      <c r="AE187" s="293">
        <v>14.293892228000001</v>
      </c>
      <c r="AF187" s="293">
        <v>8.4321336430000002</v>
      </c>
      <c r="AG187" s="293">
        <v>9.4982255340000012</v>
      </c>
      <c r="AH187" s="293">
        <v>18.362463947999998</v>
      </c>
      <c r="AI187" s="293">
        <v>8.4833056659999997</v>
      </c>
      <c r="AJ187" s="293">
        <v>8.6298012560000004</v>
      </c>
      <c r="AK187" s="293">
        <v>15.209515641000001</v>
      </c>
      <c r="AL187" s="293">
        <v>8.2513591020000003</v>
      </c>
      <c r="AM187" s="293">
        <v>9.8357845400000006</v>
      </c>
      <c r="AN187" s="293">
        <v>18.092613754000006</v>
      </c>
      <c r="AO187" s="293">
        <v>9.6672658830000007</v>
      </c>
      <c r="AP187" s="293">
        <v>9.5951612950000005</v>
      </c>
      <c r="AQ187" s="293">
        <v>22.212259614000001</v>
      </c>
      <c r="AR187" s="293">
        <v>10.554274784999999</v>
      </c>
      <c r="AS187" s="293">
        <v>10.472379917000001</v>
      </c>
      <c r="AT187" s="293">
        <v>15.907487035000001</v>
      </c>
      <c r="AU187" s="293">
        <v>10.712714971</v>
      </c>
      <c r="AV187" s="293">
        <v>11.907826649</v>
      </c>
      <c r="AW187" s="293">
        <v>16.369017470999999</v>
      </c>
      <c r="AX187" s="293">
        <v>11.224300194</v>
      </c>
      <c r="AY187" s="293">
        <v>11.327781179</v>
      </c>
      <c r="AZ187" s="293">
        <v>19.616716804000003</v>
      </c>
      <c r="BA187" s="293">
        <v>12.76218089</v>
      </c>
      <c r="BB187" s="293">
        <v>9.9744005779999991</v>
      </c>
      <c r="BC187" s="293">
        <v>25.745802505</v>
      </c>
      <c r="BD187" s="293">
        <v>13.003590142999998</v>
      </c>
      <c r="BE187" s="293">
        <v>14.886477643000001</v>
      </c>
      <c r="BF187" s="293">
        <v>20.680633872000001</v>
      </c>
      <c r="BG187" s="293">
        <v>11.427994053999999</v>
      </c>
      <c r="BH187" s="293">
        <v>13.314561487000001</v>
      </c>
      <c r="BI187" s="293">
        <v>19.844627442</v>
      </c>
      <c r="BJ187" s="293">
        <v>15.3982291</v>
      </c>
      <c r="BK187" s="293">
        <v>15.088037720000001</v>
      </c>
      <c r="BL187" s="293">
        <v>23.268326791999996</v>
      </c>
      <c r="BM187" s="293">
        <v>15.621224069999998</v>
      </c>
      <c r="BN187" s="293">
        <v>14.865847580999999</v>
      </c>
      <c r="BO187" s="293">
        <v>29.784358047999998</v>
      </c>
      <c r="BP187" s="293">
        <v>17.331143884000003</v>
      </c>
      <c r="BQ187" s="293">
        <v>23.855303759999998</v>
      </c>
      <c r="BR187" s="293">
        <v>25.729734941999997</v>
      </c>
      <c r="BS187" s="293">
        <v>14.581789840999999</v>
      </c>
      <c r="BT187" s="293">
        <v>17.114345720999999</v>
      </c>
      <c r="BU187" s="293">
        <v>23.345603987999997</v>
      </c>
      <c r="BV187" s="293">
        <v>19.813823985999999</v>
      </c>
      <c r="BW187" s="293">
        <v>18.787453961000001</v>
      </c>
      <c r="BX187" s="293">
        <v>25.636609159999999</v>
      </c>
      <c r="BY187" s="293">
        <v>18.612954495</v>
      </c>
      <c r="BZ187" s="293">
        <v>22.385176029</v>
      </c>
      <c r="CA187" s="293">
        <v>40.784992509000006</v>
      </c>
      <c r="CB187" s="293">
        <v>20.940251292999999</v>
      </c>
      <c r="CC187" s="293">
        <v>21.124388831000005</v>
      </c>
      <c r="CD187" s="293">
        <v>36.377935814000004</v>
      </c>
      <c r="CE187" s="294">
        <v>19.243223158000003</v>
      </c>
      <c r="CF187" s="293">
        <v>21.131821452999997</v>
      </c>
      <c r="CG187" s="293">
        <v>30.692373311000001</v>
      </c>
      <c r="CH187" s="293">
        <v>21.529209563000002</v>
      </c>
      <c r="CI187" s="293">
        <v>20.612307720999997</v>
      </c>
      <c r="CJ187" s="293">
        <v>36.108084553999994</v>
      </c>
      <c r="CK187" s="293">
        <v>22.963157741</v>
      </c>
      <c r="CL187" s="293">
        <v>22.570024158000003</v>
      </c>
      <c r="CM187" s="293">
        <v>30.981665009</v>
      </c>
      <c r="CN187" s="293">
        <v>22.71248851</v>
      </c>
      <c r="CO187" s="293">
        <v>22.337369929999998</v>
      </c>
      <c r="CP187" s="295">
        <v>40.750513335999997</v>
      </c>
      <c r="CQ187" s="293">
        <v>23.704446707999999</v>
      </c>
      <c r="CR187" s="293">
        <v>22.889832446</v>
      </c>
      <c r="CS187" s="293">
        <v>35.721352616000004</v>
      </c>
      <c r="CT187" s="293">
        <v>23.028986442000001</v>
      </c>
      <c r="CU187" s="293">
        <v>20.431042698000002</v>
      </c>
      <c r="CV187" s="293">
        <v>40.577117606999998</v>
      </c>
      <c r="CW187" s="293">
        <v>26.016992691999999</v>
      </c>
      <c r="CX187" s="293">
        <v>21.560036044</v>
      </c>
      <c r="CY187" s="293">
        <v>47.081547169000004</v>
      </c>
      <c r="CZ187" s="293">
        <v>31.579407516</v>
      </c>
      <c r="DA187" s="293">
        <v>26.762229838000003</v>
      </c>
      <c r="DB187" s="1288">
        <v>43.318694478999994</v>
      </c>
      <c r="DC187" s="606">
        <v>25.006419588440469</v>
      </c>
      <c r="DD187" s="606">
        <v>23.531704517147023</v>
      </c>
      <c r="DE187" s="606">
        <v>36.787989456738096</v>
      </c>
      <c r="DF187" s="606">
        <v>28.269232610635683</v>
      </c>
      <c r="DG187" s="606">
        <v>24.803704839291761</v>
      </c>
      <c r="DH187" s="606">
        <v>38.509946861357726</v>
      </c>
      <c r="DI187" s="606">
        <v>29.609599128691674</v>
      </c>
      <c r="DJ187" s="606">
        <v>26.043037594461598</v>
      </c>
      <c r="DK187" s="606">
        <v>53.035923982076305</v>
      </c>
      <c r="DL187" s="606">
        <v>28.367753481383083</v>
      </c>
      <c r="DM187" s="606">
        <v>29.13950953333271</v>
      </c>
      <c r="DN187" s="622">
        <v>49.412378710587262</v>
      </c>
      <c r="DO187" s="606">
        <v>23.743466905000002</v>
      </c>
      <c r="DP187" s="606">
        <v>32.193167520000003</v>
      </c>
      <c r="DQ187" s="606">
        <v>42.081775209</v>
      </c>
      <c r="DR187" s="606">
        <v>29.353884998000002</v>
      </c>
      <c r="DS187" s="606">
        <v>28.547962034779999</v>
      </c>
      <c r="DT187" s="606">
        <v>50.341572139627274</v>
      </c>
      <c r="DU187" s="606">
        <v>33.667779132999996</v>
      </c>
      <c r="DV187" s="606">
        <v>28.156573743000003</v>
      </c>
      <c r="DW187" s="606">
        <v>60.572035305510006</v>
      </c>
      <c r="DX187" s="606">
        <v>29.686754633999996</v>
      </c>
      <c r="DY187" s="606">
        <v>34.30162232</v>
      </c>
      <c r="DZ187" s="622">
        <v>58.296360038000003</v>
      </c>
      <c r="EA187" s="606">
        <v>28.4832805934</v>
      </c>
      <c r="EB187" s="606">
        <v>34.580234001000008</v>
      </c>
      <c r="EC187" s="606">
        <v>46.431744597999995</v>
      </c>
      <c r="ED187" s="606">
        <v>36.118246609319996</v>
      </c>
      <c r="EE187" s="606">
        <v>34.491719248000003</v>
      </c>
      <c r="EF187" s="606">
        <v>55.323172967000005</v>
      </c>
      <c r="EG187" s="606">
        <v>43.043883354000002</v>
      </c>
      <c r="EH187" s="606">
        <v>30.779251099</v>
      </c>
      <c r="EI187" s="606">
        <v>62.996321783200003</v>
      </c>
      <c r="EJ187" s="606">
        <v>48.140421232400001</v>
      </c>
      <c r="EK187" s="606">
        <v>34.620254085619997</v>
      </c>
      <c r="EL187" s="622">
        <v>64.855257393540001</v>
      </c>
      <c r="EM187" s="1083">
        <v>33.071370635520005</v>
      </c>
      <c r="EN187" s="1083">
        <v>38.928484392970006</v>
      </c>
      <c r="EO187" s="1083">
        <v>53.497094041799997</v>
      </c>
      <c r="EP187" s="1083">
        <v>43.786629409279996</v>
      </c>
      <c r="EQ187" s="1083">
        <v>37.540082679780006</v>
      </c>
      <c r="ER187" s="1083">
        <v>65.051535948490042</v>
      </c>
      <c r="ES187" s="1083">
        <v>45.658156415219878</v>
      </c>
      <c r="ET187" s="1083">
        <v>38.865142308739998</v>
      </c>
      <c r="EU187" s="1083">
        <v>57.044288252640001</v>
      </c>
      <c r="EV187" s="1083">
        <v>59.315399532999997</v>
      </c>
      <c r="EW187" s="1083">
        <v>45.94424322350001</v>
      </c>
      <c r="EX187" s="1329">
        <v>79.012181449000039</v>
      </c>
      <c r="EY187" s="1083"/>
      <c r="EZ187" s="1083"/>
      <c r="FA187" s="1083"/>
      <c r="FB187" s="1083"/>
      <c r="FC187" s="1083"/>
      <c r="FD187" s="1083"/>
      <c r="FE187" s="1083"/>
      <c r="FF187" s="1083"/>
      <c r="FG187" s="1083"/>
      <c r="FH187" s="1083"/>
      <c r="FI187" s="1083"/>
      <c r="FJ187" s="1329"/>
      <c r="FK187" s="1083"/>
      <c r="FL187" s="1083"/>
      <c r="FM187" s="1083"/>
      <c r="FN187" s="1083"/>
      <c r="FO187" s="1083"/>
      <c r="FP187" s="1083"/>
      <c r="FQ187" s="606"/>
      <c r="FR187" s="606"/>
      <c r="FS187" s="606"/>
      <c r="FT187" s="606"/>
      <c r="FU187" s="606"/>
      <c r="FV187" s="606"/>
      <c r="FW187" s="606"/>
      <c r="FX187" s="606"/>
      <c r="FY187" s="606"/>
      <c r="FZ187" s="606"/>
      <c r="GA187" s="606"/>
      <c r="GB187" s="606"/>
      <c r="GC187" s="606"/>
      <c r="GD187" s="606"/>
      <c r="GE187" s="606"/>
      <c r="GF187" s="606"/>
      <c r="GG187" s="606"/>
      <c r="GH187" s="606"/>
      <c r="GI187" s="606"/>
      <c r="GJ187" s="606"/>
      <c r="GK187" s="606"/>
      <c r="GL187" s="606"/>
      <c r="GM187" s="606"/>
      <c r="GN187" s="606"/>
      <c r="GO187" s="606"/>
      <c r="GP187" s="606"/>
      <c r="GQ187" s="606"/>
      <c r="GR187" s="606"/>
      <c r="GS187" s="606"/>
      <c r="GT187" s="606"/>
      <c r="GU187" s="606"/>
      <c r="GV187" s="606"/>
      <c r="GW187" s="606"/>
      <c r="GX187" s="606"/>
      <c r="GY187" s="606"/>
      <c r="GZ187" s="606"/>
      <c r="HA187" s="606"/>
      <c r="HB187" s="606"/>
      <c r="HC187" s="606"/>
      <c r="HD187" s="606"/>
      <c r="HE187" s="606"/>
      <c r="HF187" s="606"/>
      <c r="HG187" s="606"/>
      <c r="HH187" s="606"/>
      <c r="HI187" s="606"/>
      <c r="HJ187" s="606"/>
      <c r="HK187" s="606"/>
      <c r="HL187" s="606"/>
      <c r="HM187" s="606"/>
      <c r="HN187" s="606"/>
      <c r="HO187" s="606"/>
      <c r="HP187" s="606"/>
      <c r="HQ187" s="606"/>
      <c r="HR187" s="606"/>
      <c r="HS187" s="606"/>
      <c r="HT187" s="606"/>
      <c r="HU187" s="606"/>
      <c r="HV187" s="606"/>
      <c r="HW187" s="606"/>
      <c r="HX187" s="606"/>
      <c r="HY187" s="606"/>
      <c r="IH187" s="607">
        <f t="shared" ref="IH187:IH199" si="229">+SUM(DC187:DH187)</f>
        <v>176.90899787361076</v>
      </c>
      <c r="II187" s="607">
        <f t="shared" ref="II187:II199" si="230">+SUM(DI187:DN187)</f>
        <v>215.60820243053263</v>
      </c>
      <c r="IJ187" s="323">
        <f>IH187+II187</f>
        <v>392.51720030414339</v>
      </c>
      <c r="IK187" s="279">
        <f t="shared" ref="IK187:IK197" si="231">SUM(DO187:DT187)</f>
        <v>206.26182880640727</v>
      </c>
      <c r="KT187" s="280"/>
    </row>
    <row r="188" spans="1:307" hidden="1" outlineLevel="1">
      <c r="B188" s="96" t="s">
        <v>338</v>
      </c>
      <c r="D188" s="309" t="s">
        <v>397</v>
      </c>
      <c r="E188" s="293">
        <v>0.96798338499999992</v>
      </c>
      <c r="F188" s="293">
        <v>1.3010256010000001</v>
      </c>
      <c r="G188" s="293">
        <v>4.3449934090000006</v>
      </c>
      <c r="H188" s="293">
        <v>1.680346235</v>
      </c>
      <c r="I188" s="293">
        <v>1.9096175099999999</v>
      </c>
      <c r="J188" s="293">
        <v>7.3776212599999997</v>
      </c>
      <c r="K188" s="293">
        <v>1.161764716</v>
      </c>
      <c r="L188" s="293">
        <v>1.0405866239999999</v>
      </c>
      <c r="M188" s="293">
        <v>4.9386333599999999</v>
      </c>
      <c r="N188" s="293">
        <v>1.257958296</v>
      </c>
      <c r="O188" s="293">
        <v>1.0394633180000001</v>
      </c>
      <c r="P188" s="293">
        <v>5.020583265</v>
      </c>
      <c r="Q188" s="293">
        <v>1.3968477979999998</v>
      </c>
      <c r="R188" s="293">
        <v>1.250493783</v>
      </c>
      <c r="S188" s="293">
        <v>5.393836329</v>
      </c>
      <c r="T188" s="293">
        <v>4.5351354480000001</v>
      </c>
      <c r="U188" s="293">
        <v>1.5762245830000001</v>
      </c>
      <c r="V188" s="293">
        <v>13.165078251000001</v>
      </c>
      <c r="W188" s="293">
        <v>1.8585596359999998</v>
      </c>
      <c r="X188" s="293">
        <v>1.4746911919999999</v>
      </c>
      <c r="Y188" s="293">
        <v>8.6881567160000017</v>
      </c>
      <c r="Z188" s="293">
        <v>2.5497951850000002</v>
      </c>
      <c r="AA188" s="293">
        <v>1.404279914</v>
      </c>
      <c r="AB188" s="293">
        <v>7.938461331000001</v>
      </c>
      <c r="AC188" s="293">
        <v>1.6771892350000002</v>
      </c>
      <c r="AD188" s="293">
        <v>1.54331822</v>
      </c>
      <c r="AE188" s="293"/>
      <c r="AF188" s="293"/>
      <c r="AG188" s="293"/>
      <c r="AH188" s="293"/>
      <c r="AI188" s="293"/>
      <c r="AJ188" s="293"/>
      <c r="AK188" s="293"/>
      <c r="AL188" s="293"/>
      <c r="AM188" s="293"/>
      <c r="AN188" s="293"/>
      <c r="AO188" s="293">
        <v>1.532251056</v>
      </c>
      <c r="AP188" s="293">
        <v>1.2343037079999999</v>
      </c>
      <c r="AQ188" s="293">
        <v>12.357628812</v>
      </c>
      <c r="AR188" s="293">
        <v>1.4597143100000001</v>
      </c>
      <c r="AS188" s="293">
        <v>1.5847769709999999</v>
      </c>
      <c r="AT188" s="293">
        <v>6.3686186259999991</v>
      </c>
      <c r="AU188" s="293">
        <v>1.798800478</v>
      </c>
      <c r="AV188" s="293">
        <v>1.685738092</v>
      </c>
      <c r="AW188" s="293">
        <v>6.7986109399999988</v>
      </c>
      <c r="AX188" s="293">
        <v>1.8830661269999998</v>
      </c>
      <c r="AY188" s="293">
        <v>1.9576279029999999</v>
      </c>
      <c r="AZ188" s="293">
        <v>7.4932501929999997</v>
      </c>
      <c r="BA188" s="293">
        <v>1.8242918539999999</v>
      </c>
      <c r="BB188" s="293">
        <v>1.7055479770000002</v>
      </c>
      <c r="BC188" s="293">
        <v>14.214963267999998</v>
      </c>
      <c r="BD188" s="293">
        <v>1.7689021210000002</v>
      </c>
      <c r="BE188" s="293">
        <v>2.9488019620000001</v>
      </c>
      <c r="BF188" s="293">
        <v>8.4836606129999996</v>
      </c>
      <c r="BG188" s="293">
        <v>1.709241316</v>
      </c>
      <c r="BH188" s="293">
        <v>1.3945700780000001</v>
      </c>
      <c r="BI188" s="293">
        <v>7.3211273029999999</v>
      </c>
      <c r="BJ188" s="293">
        <v>2.1750603470000001</v>
      </c>
      <c r="BK188" s="293">
        <v>2.4617616579999999</v>
      </c>
      <c r="BL188" s="293">
        <v>8.125564820000001</v>
      </c>
      <c r="BM188" s="293">
        <v>2.820149088</v>
      </c>
      <c r="BN188" s="293">
        <v>1.8371250570000002</v>
      </c>
      <c r="BO188" s="293">
        <v>13.663094474999998</v>
      </c>
      <c r="BP188" s="293">
        <v>2.4972187780000001</v>
      </c>
      <c r="BQ188" s="293">
        <v>1.979468588</v>
      </c>
      <c r="BR188" s="293">
        <v>8.4323460669999992</v>
      </c>
      <c r="BS188" s="293">
        <v>2.2343106340000003</v>
      </c>
      <c r="BT188" s="293">
        <v>0.99463833099999999</v>
      </c>
      <c r="BU188" s="293">
        <v>8.7533185019999991</v>
      </c>
      <c r="BV188" s="293">
        <v>2.0125353090000004</v>
      </c>
      <c r="BW188" s="293">
        <v>1.6579499449999999</v>
      </c>
      <c r="BX188" s="293">
        <v>9.0199974889999996</v>
      </c>
      <c r="BY188" s="293">
        <v>2.2229709089999998</v>
      </c>
      <c r="BZ188" s="293">
        <v>2.090625272</v>
      </c>
      <c r="CA188" s="293">
        <v>20.693065920000002</v>
      </c>
      <c r="CB188" s="293">
        <v>2.29425027</v>
      </c>
      <c r="CC188" s="293">
        <v>3.9296144220000002</v>
      </c>
      <c r="CD188" s="293">
        <v>36.204875016000003</v>
      </c>
      <c r="CE188" s="294">
        <v>19.053780704000001</v>
      </c>
      <c r="CF188" s="293">
        <v>20.970247012999998</v>
      </c>
      <c r="CG188" s="293">
        <v>30.512595842</v>
      </c>
      <c r="CH188" s="293">
        <v>21.379187958000003</v>
      </c>
      <c r="CI188" s="293">
        <v>20.551944929999998</v>
      </c>
      <c r="CJ188" s="293">
        <v>36.067412059999995</v>
      </c>
      <c r="CK188" s="293">
        <v>22.915686981</v>
      </c>
      <c r="CL188" s="293">
        <v>22.530937426000001</v>
      </c>
      <c r="CM188" s="293">
        <v>30.937481905999999</v>
      </c>
      <c r="CN188" s="293">
        <v>22.657551507000001</v>
      </c>
      <c r="CO188" s="293">
        <v>22.288515890999999</v>
      </c>
      <c r="CP188" s="295">
        <v>40.700736186</v>
      </c>
      <c r="CQ188" s="293">
        <v>23.533936652999998</v>
      </c>
      <c r="CR188" s="293">
        <v>22.706783291000001</v>
      </c>
      <c r="CS188" s="293">
        <v>35.511136966000002</v>
      </c>
      <c r="CT188" s="293">
        <v>22.813781834</v>
      </c>
      <c r="CU188" s="293">
        <v>20.222487128000001</v>
      </c>
      <c r="CV188" s="293">
        <v>40.387279321000001</v>
      </c>
      <c r="CW188" s="293">
        <v>25.80106455</v>
      </c>
      <c r="CX188" s="293">
        <v>21.36545594</v>
      </c>
      <c r="CY188" s="293">
        <v>46.834469512000005</v>
      </c>
      <c r="CZ188" s="293">
        <v>31.342317589</v>
      </c>
      <c r="DA188" s="293">
        <v>26.531293316000003</v>
      </c>
      <c r="DB188" s="1288">
        <v>43.009385498999997</v>
      </c>
      <c r="DC188" s="606">
        <v>25.006419588440469</v>
      </c>
      <c r="DD188" s="606">
        <v>23.531704517147023</v>
      </c>
      <c r="DE188" s="606">
        <v>36.787989456738096</v>
      </c>
      <c r="DF188" s="606">
        <v>28.269232610635683</v>
      </c>
      <c r="DG188" s="606">
        <v>24.803704839291761</v>
      </c>
      <c r="DH188" s="606">
        <v>38.509946861357726</v>
      </c>
      <c r="DI188" s="606">
        <v>29.609599128691674</v>
      </c>
      <c r="DJ188" s="606">
        <v>26.043037594461598</v>
      </c>
      <c r="DK188" s="606">
        <v>53.035923982076305</v>
      </c>
      <c r="DL188" s="606">
        <v>28.367753481383083</v>
      </c>
      <c r="DM188" s="606">
        <v>29.13950953333271</v>
      </c>
      <c r="DN188" s="622">
        <v>49.412378710587262</v>
      </c>
      <c r="DO188" s="606">
        <v>23.510623373000001</v>
      </c>
      <c r="DP188" s="606">
        <v>31.91844219</v>
      </c>
      <c r="DQ188" s="606">
        <v>41.868098431</v>
      </c>
      <c r="DR188" s="606">
        <v>29.195907300000002</v>
      </c>
      <c r="DS188" s="606">
        <v>28.415249514199999</v>
      </c>
      <c r="DT188" s="606">
        <v>50.182877013627277</v>
      </c>
      <c r="DU188" s="606">
        <v>33.446248234999999</v>
      </c>
      <c r="DV188" s="606">
        <v>27.923800132000004</v>
      </c>
      <c r="DW188" s="606">
        <v>60.329448309510006</v>
      </c>
      <c r="DX188" s="606">
        <v>29.460041089999997</v>
      </c>
      <c r="DY188" s="606">
        <v>34.014525376999998</v>
      </c>
      <c r="DZ188" s="622">
        <v>58.04643884</v>
      </c>
      <c r="EA188" s="606">
        <v>28.247200193400001</v>
      </c>
      <c r="EB188" s="606">
        <v>34.391667811000005</v>
      </c>
      <c r="EC188" s="606">
        <v>46.246706997999993</v>
      </c>
      <c r="ED188" s="606">
        <v>35.964184256319996</v>
      </c>
      <c r="EE188" s="606">
        <v>34.277485888000001</v>
      </c>
      <c r="EF188" s="606">
        <v>55.070668467000004</v>
      </c>
      <c r="EG188" s="606">
        <v>42.871822258000002</v>
      </c>
      <c r="EH188" s="606">
        <v>30.608004698999999</v>
      </c>
      <c r="EI188" s="606">
        <v>62.792475983199999</v>
      </c>
      <c r="EJ188" s="606">
        <v>47.966912342400001</v>
      </c>
      <c r="EK188" s="606">
        <v>34.426871211619996</v>
      </c>
      <c r="EL188" s="622">
        <v>64.66503600854</v>
      </c>
      <c r="EM188" s="1083">
        <v>32.903887653520002</v>
      </c>
      <c r="EN188" s="1083">
        <v>38.718924392970003</v>
      </c>
      <c r="EO188" s="1083">
        <v>53.269384041799995</v>
      </c>
      <c r="EP188" s="1083">
        <v>43.582974409279998</v>
      </c>
      <c r="EQ188" s="1083">
        <v>37.346238129780005</v>
      </c>
      <c r="ER188" s="1083">
        <v>64.889195948490041</v>
      </c>
      <c r="ES188" s="1083">
        <v>45.431371295219876</v>
      </c>
      <c r="ET188" s="1083">
        <v>38.634797108739996</v>
      </c>
      <c r="EU188" s="1083">
        <v>56.830703252639999</v>
      </c>
      <c r="EV188" s="1083">
        <v>59.092180732999999</v>
      </c>
      <c r="EW188" s="1083">
        <v>45.748966423500008</v>
      </c>
      <c r="EX188" s="1329">
        <v>78.799486449000042</v>
      </c>
      <c r="EY188" s="1083"/>
      <c r="EZ188" s="1083"/>
      <c r="FA188" s="1083"/>
      <c r="FB188" s="1083"/>
      <c r="FC188" s="1083"/>
      <c r="FD188" s="1083"/>
      <c r="FE188" s="1083"/>
      <c r="FF188" s="1083"/>
      <c r="FG188" s="1083"/>
      <c r="FH188" s="1083"/>
      <c r="FI188" s="1083"/>
      <c r="FJ188" s="1329"/>
      <c r="FK188" s="1083"/>
      <c r="FL188" s="1083"/>
      <c r="FM188" s="1083"/>
      <c r="FN188" s="1083"/>
      <c r="FO188" s="1083"/>
      <c r="FP188" s="1083"/>
      <c r="FQ188" s="606"/>
      <c r="FR188" s="606"/>
      <c r="FS188" s="606"/>
      <c r="FT188" s="606"/>
      <c r="FU188" s="606"/>
      <c r="FV188" s="606"/>
      <c r="FW188" s="606"/>
      <c r="FX188" s="606"/>
      <c r="FY188" s="606"/>
      <c r="FZ188" s="606"/>
      <c r="GA188" s="606"/>
      <c r="GB188" s="606"/>
      <c r="GC188" s="606"/>
      <c r="GD188" s="606"/>
      <c r="GE188" s="606"/>
      <c r="GF188" s="606"/>
      <c r="GG188" s="606"/>
      <c r="GH188" s="606"/>
      <c r="GI188" s="606"/>
      <c r="GJ188" s="606"/>
      <c r="GK188" s="606"/>
      <c r="GL188" s="606"/>
      <c r="GM188" s="606"/>
      <c r="GN188" s="606"/>
      <c r="GO188" s="606"/>
      <c r="GP188" s="606"/>
      <c r="GQ188" s="606"/>
      <c r="GR188" s="606"/>
      <c r="GS188" s="606"/>
      <c r="GT188" s="606"/>
      <c r="GU188" s="606"/>
      <c r="GV188" s="606"/>
      <c r="GW188" s="606"/>
      <c r="GX188" s="606"/>
      <c r="GY188" s="606"/>
      <c r="GZ188" s="606"/>
      <c r="HA188" s="606"/>
      <c r="HB188" s="606"/>
      <c r="HC188" s="606"/>
      <c r="HD188" s="606"/>
      <c r="HE188" s="606"/>
      <c r="HF188" s="606"/>
      <c r="HG188" s="606"/>
      <c r="HH188" s="606"/>
      <c r="HI188" s="606"/>
      <c r="HJ188" s="606"/>
      <c r="HK188" s="606"/>
      <c r="HL188" s="606"/>
      <c r="HM188" s="606"/>
      <c r="HN188" s="606"/>
      <c r="HO188" s="606"/>
      <c r="HP188" s="606"/>
      <c r="HQ188" s="606"/>
      <c r="HR188" s="606"/>
      <c r="HS188" s="606"/>
      <c r="HT188" s="606"/>
      <c r="HU188" s="606"/>
      <c r="HV188" s="606"/>
      <c r="HW188" s="606"/>
      <c r="HX188" s="606"/>
      <c r="HY188" s="606"/>
      <c r="IH188" s="279">
        <f t="shared" si="229"/>
        <v>176.90899787361076</v>
      </c>
      <c r="II188" s="279">
        <f t="shared" si="230"/>
        <v>215.60820243053263</v>
      </c>
      <c r="IJ188" s="323">
        <f>IH188+II188</f>
        <v>392.51720030414339</v>
      </c>
      <c r="IK188" s="279">
        <f t="shared" si="231"/>
        <v>205.09119782182728</v>
      </c>
      <c r="KT188" s="280"/>
    </row>
    <row r="189" spans="1:307" hidden="1" outlineLevel="1">
      <c r="B189" s="96" t="s">
        <v>338</v>
      </c>
      <c r="D189" s="296" t="s">
        <v>398</v>
      </c>
      <c r="E189" s="293">
        <v>6.5270576999999996E-2</v>
      </c>
      <c r="F189" s="293">
        <v>0.29297394300000001</v>
      </c>
      <c r="G189" s="293">
        <v>3.3722714270000003</v>
      </c>
      <c r="H189" s="293">
        <v>1.0718723440000002</v>
      </c>
      <c r="I189" s="293">
        <v>0.80485327600000001</v>
      </c>
      <c r="J189" s="293">
        <v>5.4211234370000003</v>
      </c>
      <c r="K189" s="293">
        <v>0.46420525099999999</v>
      </c>
      <c r="L189" s="293">
        <v>0.227619926</v>
      </c>
      <c r="M189" s="293">
        <v>3.6662137370000001</v>
      </c>
      <c r="N189" s="293">
        <v>0.191701445</v>
      </c>
      <c r="O189" s="293">
        <v>0.19163728099999999</v>
      </c>
      <c r="P189" s="293">
        <v>3.6070052550000002</v>
      </c>
      <c r="Q189" s="293">
        <v>0.43599021800000004</v>
      </c>
      <c r="R189" s="293">
        <v>0.35666212999999997</v>
      </c>
      <c r="S189" s="293">
        <v>3.8142762719999999</v>
      </c>
      <c r="T189" s="293">
        <v>0.42331076499999998</v>
      </c>
      <c r="U189" s="293">
        <v>0.19182976400000001</v>
      </c>
      <c r="V189" s="293">
        <v>8.584996907999999</v>
      </c>
      <c r="W189" s="293">
        <v>0.80150219899999997</v>
      </c>
      <c r="X189" s="293">
        <v>0.404457715</v>
      </c>
      <c r="Y189" s="293">
        <v>6.9470086140000005</v>
      </c>
      <c r="Z189" s="293">
        <v>1.2303047870000001</v>
      </c>
      <c r="AA189" s="293">
        <v>0.56560666000000004</v>
      </c>
      <c r="AB189" s="293">
        <v>5.8339145660000007</v>
      </c>
      <c r="AC189" s="293">
        <v>0.51516758900000004</v>
      </c>
      <c r="AD189" s="293">
        <v>0.40428188500000001</v>
      </c>
      <c r="AE189" s="293"/>
      <c r="AF189" s="293"/>
      <c r="AG189" s="293"/>
      <c r="AH189" s="293"/>
      <c r="AI189" s="293"/>
      <c r="AJ189" s="293"/>
      <c r="AK189" s="293"/>
      <c r="AL189" s="293"/>
      <c r="AM189" s="293"/>
      <c r="AN189" s="293"/>
      <c r="AO189" s="293">
        <v>0.595061638</v>
      </c>
      <c r="AP189" s="293">
        <v>0.28338627399999999</v>
      </c>
      <c r="AQ189" s="293">
        <v>8.152491745999999</v>
      </c>
      <c r="AR189" s="293">
        <v>0.43695689299999996</v>
      </c>
      <c r="AS189" s="293">
        <v>0.60648319299999998</v>
      </c>
      <c r="AT189" s="293">
        <v>3.6521637679999999</v>
      </c>
      <c r="AU189" s="293">
        <v>0.4225642</v>
      </c>
      <c r="AV189" s="293">
        <v>0.61498188200000004</v>
      </c>
      <c r="AW189" s="293">
        <v>4.1117147219999994</v>
      </c>
      <c r="AX189" s="293">
        <v>0.50802784999999995</v>
      </c>
      <c r="AY189" s="293">
        <v>0.61080696999999995</v>
      </c>
      <c r="AZ189" s="293">
        <v>3.9356828990000001</v>
      </c>
      <c r="BA189" s="293">
        <v>0.47656304699999996</v>
      </c>
      <c r="BB189" s="293">
        <v>0.29897626100000002</v>
      </c>
      <c r="BC189" s="293">
        <v>9.0508435169999988</v>
      </c>
      <c r="BD189" s="293">
        <v>0.56781155000000005</v>
      </c>
      <c r="BE189" s="293">
        <v>0.62403637099999998</v>
      </c>
      <c r="BF189" s="293">
        <v>4.8861624859999999</v>
      </c>
      <c r="BG189" s="293">
        <v>0.68639724300000005</v>
      </c>
      <c r="BH189" s="293">
        <v>0.26772934400000004</v>
      </c>
      <c r="BI189" s="293">
        <v>4.3743612839999999</v>
      </c>
      <c r="BJ189" s="293">
        <v>1.1353553540000001</v>
      </c>
      <c r="BK189" s="293">
        <v>1.2262771370000001</v>
      </c>
      <c r="BL189" s="293">
        <v>5.0383807200000001</v>
      </c>
      <c r="BM189" s="293">
        <v>1.3267045120000001</v>
      </c>
      <c r="BN189" s="293">
        <v>0.52396374400000001</v>
      </c>
      <c r="BO189" s="293">
        <v>8.4262127619999987</v>
      </c>
      <c r="BP189" s="293">
        <v>1.280795315</v>
      </c>
      <c r="BQ189" s="293">
        <v>0.37884505699999999</v>
      </c>
      <c r="BR189" s="293">
        <v>4.8123871449999998</v>
      </c>
      <c r="BS189" s="293">
        <v>1.0868491610000002</v>
      </c>
      <c r="BT189" s="293">
        <v>0.30923318799999999</v>
      </c>
      <c r="BU189" s="293">
        <v>5.6432532240000004</v>
      </c>
      <c r="BV189" s="293">
        <v>0.50814374900000003</v>
      </c>
      <c r="BW189" s="293">
        <v>0.45195264500000004</v>
      </c>
      <c r="BX189" s="293">
        <v>5.5701603649999996</v>
      </c>
      <c r="BY189" s="293">
        <v>0.481236469</v>
      </c>
      <c r="BZ189" s="293">
        <v>0.476333638</v>
      </c>
      <c r="CA189" s="293">
        <v>14.484561100000001</v>
      </c>
      <c r="CB189" s="293">
        <v>0.54802126899999992</v>
      </c>
      <c r="CC189" s="293">
        <v>1.4645697259999999</v>
      </c>
      <c r="CD189" s="293">
        <v>14.911960777000001</v>
      </c>
      <c r="CE189" s="294">
        <v>2.5832510640000002</v>
      </c>
      <c r="CF189" s="293">
        <v>2.0731277869999998</v>
      </c>
      <c r="CG189" s="293">
        <v>11.535516204</v>
      </c>
      <c r="CH189" s="293">
        <v>3.1059363739999997</v>
      </c>
      <c r="CI189" s="293">
        <v>2.9111151980000001</v>
      </c>
      <c r="CJ189" s="293">
        <v>12.931237628999998</v>
      </c>
      <c r="CK189" s="293">
        <v>4.3684075909999995</v>
      </c>
      <c r="CL189" s="293">
        <v>3.1566247379999997</v>
      </c>
      <c r="CM189" s="293">
        <v>13.219320082999999</v>
      </c>
      <c r="CN189" s="293">
        <v>3.8797666739999999</v>
      </c>
      <c r="CO189" s="293">
        <v>3.1405214589999999</v>
      </c>
      <c r="CP189" s="295">
        <v>13.782203974</v>
      </c>
      <c r="CQ189" s="293">
        <v>3.4482064029999999</v>
      </c>
      <c r="CR189" s="293">
        <v>2.93944597</v>
      </c>
      <c r="CS189" s="293">
        <v>12.554874124000001</v>
      </c>
      <c r="CT189" s="293">
        <v>3.8367301779999998</v>
      </c>
      <c r="CU189" s="293">
        <v>2.8941404799999999</v>
      </c>
      <c r="CV189" s="293">
        <v>14.729934940000001</v>
      </c>
      <c r="CW189" s="293">
        <v>3.3898270840000002</v>
      </c>
      <c r="CX189" s="293">
        <v>3.1601126389999998</v>
      </c>
      <c r="CY189" s="293">
        <v>22.515439475000001</v>
      </c>
      <c r="CZ189" s="293">
        <v>4.6840131659999997</v>
      </c>
      <c r="DA189" s="293">
        <v>3.6726994399999997</v>
      </c>
      <c r="DB189" s="1288">
        <v>14.746407733000002</v>
      </c>
      <c r="DC189" s="293">
        <v>4.3089556568601344</v>
      </c>
      <c r="DD189" s="293">
        <v>3.2631917395718046</v>
      </c>
      <c r="DE189" s="293">
        <v>5.097317397481218</v>
      </c>
      <c r="DF189" s="293">
        <v>5.5588135256917397</v>
      </c>
      <c r="DG189" s="293">
        <v>3.4670790995873682</v>
      </c>
      <c r="DH189" s="293">
        <v>3.2808195838272529</v>
      </c>
      <c r="DI189" s="293">
        <v>7.3244851653752194</v>
      </c>
      <c r="DJ189" s="293">
        <v>5.1784101220272598</v>
      </c>
      <c r="DK189" s="293">
        <v>3.4000423859500315</v>
      </c>
      <c r="DL189" s="293">
        <v>4.8549237801180025</v>
      </c>
      <c r="DM189" s="293">
        <v>5.7133778602730674</v>
      </c>
      <c r="DN189" s="295">
        <v>10.036197041348393</v>
      </c>
      <c r="DO189" s="293">
        <v>3.4054170830000001</v>
      </c>
      <c r="DP189" s="293">
        <v>2.9971782579999999</v>
      </c>
      <c r="DQ189" s="293">
        <v>15.142623460999999</v>
      </c>
      <c r="DR189" s="293">
        <v>4.2519967279999999</v>
      </c>
      <c r="DS189" s="293">
        <v>3.432072062</v>
      </c>
      <c r="DT189" s="293">
        <v>21.760107217147272</v>
      </c>
      <c r="DU189" s="293">
        <v>4.9446679499999995</v>
      </c>
      <c r="DV189" s="293">
        <v>3.9299936230000001</v>
      </c>
      <c r="DW189" s="293">
        <v>28.104393663510002</v>
      </c>
      <c r="DX189" s="293">
        <v>4.3119135980000003</v>
      </c>
      <c r="DY189" s="293">
        <v>5.7511618339999995</v>
      </c>
      <c r="DZ189" s="295">
        <v>24.980478400000003</v>
      </c>
      <c r="EA189" s="293">
        <v>4.4920397514000001</v>
      </c>
      <c r="EB189" s="293">
        <v>3.8704952449999999</v>
      </c>
      <c r="EC189" s="293">
        <v>16.510219777</v>
      </c>
      <c r="ED189" s="293">
        <v>5.8680543653199999</v>
      </c>
      <c r="EE189" s="293">
        <v>5.1824931919999999</v>
      </c>
      <c r="EF189" s="293">
        <v>17.375914171000002</v>
      </c>
      <c r="EG189" s="293">
        <v>9.3687288009999996</v>
      </c>
      <c r="EH189" s="293">
        <v>4.9294899059999997</v>
      </c>
      <c r="EI189" s="293">
        <v>30.354048889000001</v>
      </c>
      <c r="EJ189" s="293">
        <v>19.43516572635</v>
      </c>
      <c r="EK189" s="293">
        <v>5.8232764766200003</v>
      </c>
      <c r="EL189" s="295">
        <v>29.17663419654</v>
      </c>
      <c r="EM189" s="1080">
        <v>6.31130013852</v>
      </c>
      <c r="EN189" s="1080">
        <v>6.0766081029700008</v>
      </c>
      <c r="EO189" s="1080">
        <v>22.536199809800003</v>
      </c>
      <c r="EP189" s="1080">
        <v>12.336672870280005</v>
      </c>
      <c r="EQ189" s="1080">
        <v>5.8385865147799993</v>
      </c>
      <c r="ER189" s="1080">
        <v>29.535769320690001</v>
      </c>
      <c r="ES189" s="1080">
        <v>8.276805337479999</v>
      </c>
      <c r="ET189" s="1080">
        <v>6.0811650537399995</v>
      </c>
      <c r="EU189" s="1080">
        <v>21.56168690774</v>
      </c>
      <c r="EV189" s="1080">
        <v>25.876882828500001</v>
      </c>
      <c r="EW189" s="1080">
        <v>8.4132074860940005</v>
      </c>
      <c r="EX189" s="1340">
        <v>40.519887278535549</v>
      </c>
      <c r="EY189" s="1080"/>
      <c r="EZ189" s="1080"/>
      <c r="FA189" s="1080"/>
      <c r="FB189" s="1080"/>
      <c r="FC189" s="1080"/>
      <c r="FD189" s="1080"/>
      <c r="FE189" s="1080"/>
      <c r="FF189" s="1080"/>
      <c r="FG189" s="1080"/>
      <c r="FH189" s="1080"/>
      <c r="FI189" s="1080"/>
      <c r="FJ189" s="1340"/>
      <c r="FK189" s="1080"/>
      <c r="FL189" s="1080"/>
      <c r="FM189" s="1080"/>
      <c r="FN189" s="1080"/>
      <c r="FO189" s="1080"/>
      <c r="FP189" s="1080"/>
      <c r="FQ189" s="293"/>
      <c r="FR189" s="293"/>
      <c r="FS189" s="293"/>
      <c r="FT189" s="293"/>
      <c r="FU189" s="293"/>
      <c r="FV189" s="293"/>
      <c r="FW189" s="293"/>
      <c r="FX189" s="293"/>
      <c r="FY189" s="293"/>
      <c r="FZ189" s="293"/>
      <c r="GA189" s="293"/>
      <c r="GB189" s="293"/>
      <c r="GC189" s="293"/>
      <c r="GD189" s="293"/>
      <c r="GE189" s="293"/>
      <c r="GF189" s="293"/>
      <c r="GG189" s="293"/>
      <c r="GH189" s="293"/>
      <c r="GI189" s="293"/>
      <c r="GJ189" s="293"/>
      <c r="GK189" s="293"/>
      <c r="GL189" s="293"/>
      <c r="GM189" s="293"/>
      <c r="GN189" s="293"/>
      <c r="GO189" s="293"/>
      <c r="GP189" s="293"/>
      <c r="GQ189" s="293"/>
      <c r="GR189" s="293"/>
      <c r="GS189" s="293"/>
      <c r="GT189" s="293"/>
      <c r="GU189" s="293"/>
      <c r="GV189" s="293"/>
      <c r="GW189" s="293"/>
      <c r="GX189" s="293"/>
      <c r="GY189" s="293"/>
      <c r="GZ189" s="293"/>
      <c r="HA189" s="293"/>
      <c r="HB189" s="293"/>
      <c r="HC189" s="293"/>
      <c r="HD189" s="293"/>
      <c r="HE189" s="293"/>
      <c r="HF189" s="293"/>
      <c r="HG189" s="293"/>
      <c r="HH189" s="293"/>
      <c r="HI189" s="293"/>
      <c r="HJ189" s="293"/>
      <c r="HK189" s="293"/>
      <c r="HL189" s="293"/>
      <c r="HM189" s="293"/>
      <c r="HN189" s="293"/>
      <c r="HO189" s="293"/>
      <c r="HP189" s="293"/>
      <c r="HQ189" s="293"/>
      <c r="HR189" s="293"/>
      <c r="HS189" s="293"/>
      <c r="HT189" s="293"/>
      <c r="HU189" s="293"/>
      <c r="HV189" s="293"/>
      <c r="HW189" s="293"/>
      <c r="HX189" s="293"/>
      <c r="HY189" s="293"/>
      <c r="IH189" s="279">
        <f t="shared" si="229"/>
        <v>24.976177003019519</v>
      </c>
      <c r="II189" s="279">
        <f t="shared" si="230"/>
        <v>36.507436355091976</v>
      </c>
      <c r="IJ189" s="323">
        <f>IH189+II189</f>
        <v>61.483613358111498</v>
      </c>
      <c r="IK189" s="279">
        <f t="shared" si="231"/>
        <v>50.989394809147271</v>
      </c>
      <c r="KT189" s="280"/>
    </row>
    <row r="190" spans="1:307" hidden="1" outlineLevel="1">
      <c r="B190" s="96" t="s">
        <v>338</v>
      </c>
      <c r="D190" s="300" t="s">
        <v>399</v>
      </c>
      <c r="E190" s="293">
        <v>6.4081356999999992E-2</v>
      </c>
      <c r="F190" s="293">
        <v>6.1635643000000004E-2</v>
      </c>
      <c r="G190" s="293">
        <v>0.13906091000000001</v>
      </c>
      <c r="H190" s="293">
        <v>5.7831515999999999E-2</v>
      </c>
      <c r="I190" s="293">
        <v>5.8752566999999999E-2</v>
      </c>
      <c r="J190" s="293">
        <v>8.6887865000000009E-2</v>
      </c>
      <c r="K190" s="293">
        <v>6.4571679000000007E-2</v>
      </c>
      <c r="L190" s="293">
        <v>0.11130820900000001</v>
      </c>
      <c r="M190" s="293">
        <v>9.2657944000000006E-2</v>
      </c>
      <c r="N190" s="293">
        <v>7.7150026999999996E-2</v>
      </c>
      <c r="O190" s="293">
        <v>0.13812226999999999</v>
      </c>
      <c r="P190" s="293">
        <v>6.0853509E-2</v>
      </c>
      <c r="Q190" s="293">
        <v>3.8374312000000001E-2</v>
      </c>
      <c r="R190" s="293">
        <v>7.4601693999999996E-2</v>
      </c>
      <c r="S190" s="293">
        <v>6.8969069000000008E-2</v>
      </c>
      <c r="T190" s="293">
        <v>0.100022232</v>
      </c>
      <c r="U190" s="293">
        <v>6.0291389000000001E-2</v>
      </c>
      <c r="V190" s="293">
        <v>0.11828717699999999</v>
      </c>
      <c r="W190" s="293">
        <v>6.0375334000000003E-2</v>
      </c>
      <c r="X190" s="293">
        <v>8.0015792000000002E-2</v>
      </c>
      <c r="Y190" s="293">
        <v>0.13648375500000001</v>
      </c>
      <c r="Z190" s="293">
        <v>0.109390565</v>
      </c>
      <c r="AA190" s="293">
        <v>0.29102123999999996</v>
      </c>
      <c r="AB190" s="293">
        <v>0.100878288</v>
      </c>
      <c r="AC190" s="293">
        <v>0.110725991</v>
      </c>
      <c r="AD190" s="293">
        <v>0.107776073</v>
      </c>
      <c r="AE190" s="293"/>
      <c r="AF190" s="293"/>
      <c r="AG190" s="293"/>
      <c r="AH190" s="293"/>
      <c r="AI190" s="293"/>
      <c r="AJ190" s="293"/>
      <c r="AK190" s="293"/>
      <c r="AL190" s="293"/>
      <c r="AM190" s="293"/>
      <c r="AN190" s="293"/>
      <c r="AO190" s="293">
        <v>6.3957481999999996E-2</v>
      </c>
      <c r="AP190" s="293">
        <v>0.11757970199999999</v>
      </c>
      <c r="AQ190" s="293">
        <v>0.17122739200000001</v>
      </c>
      <c r="AR190" s="293">
        <v>0.10631671699999999</v>
      </c>
      <c r="AS190" s="293">
        <v>0.12226443299999999</v>
      </c>
      <c r="AT190" s="293">
        <v>0.24511003299999998</v>
      </c>
      <c r="AU190" s="293">
        <v>0.13375341900000001</v>
      </c>
      <c r="AV190" s="293">
        <v>9.6911454000000008E-2</v>
      </c>
      <c r="AW190" s="293">
        <v>0.19858964299999998</v>
      </c>
      <c r="AX190" s="293">
        <v>0.160986669</v>
      </c>
      <c r="AY190" s="293">
        <v>0.21656212999999999</v>
      </c>
      <c r="AZ190" s="293">
        <v>0.28217406699999997</v>
      </c>
      <c r="BA190" s="293">
        <v>0.211942889</v>
      </c>
      <c r="BB190" s="293">
        <v>0.16548280500000001</v>
      </c>
      <c r="BC190" s="293">
        <v>0.29073071299999997</v>
      </c>
      <c r="BD190" s="293">
        <v>0.20498722</v>
      </c>
      <c r="BE190" s="293">
        <v>0.170833338</v>
      </c>
      <c r="BF190" s="293">
        <v>0.56819113100000007</v>
      </c>
      <c r="BG190" s="293">
        <v>5.9894934999999996E-2</v>
      </c>
      <c r="BH190" s="293">
        <v>8.6585493999999999E-2</v>
      </c>
      <c r="BI190" s="293">
        <v>0.239163704</v>
      </c>
      <c r="BJ190" s="293">
        <v>0.23586449200000001</v>
      </c>
      <c r="BK190" s="293">
        <v>0.31189441000000001</v>
      </c>
      <c r="BL190" s="293">
        <v>0.26067805299999997</v>
      </c>
      <c r="BM190" s="293">
        <v>0.143486541</v>
      </c>
      <c r="BN190" s="293">
        <v>0.28011999900000001</v>
      </c>
      <c r="BO190" s="293">
        <v>0.25490919099999998</v>
      </c>
      <c r="BP190" s="293">
        <v>0.63757360200000002</v>
      </c>
      <c r="BQ190" s="293">
        <v>0.26232081299999999</v>
      </c>
      <c r="BR190" s="293">
        <v>0.43260212300000001</v>
      </c>
      <c r="BS190" s="293">
        <v>0.20872832099999999</v>
      </c>
      <c r="BT190" s="293">
        <v>0.195860168</v>
      </c>
      <c r="BU190" s="293">
        <v>0.29679917899999997</v>
      </c>
      <c r="BV190" s="293">
        <v>0.24524421100000002</v>
      </c>
      <c r="BW190" s="293">
        <v>0.26348469200000002</v>
      </c>
      <c r="BX190" s="293">
        <v>0.33157810599999998</v>
      </c>
      <c r="BY190" s="293">
        <v>0.183189043</v>
      </c>
      <c r="BZ190" s="293">
        <v>0.271062833</v>
      </c>
      <c r="CA190" s="293">
        <v>0.59807299400000002</v>
      </c>
      <c r="CB190" s="293">
        <v>0.27848040300000004</v>
      </c>
      <c r="CC190" s="293">
        <v>0.64204487300000002</v>
      </c>
      <c r="CD190" s="293">
        <v>9.6653390390000009</v>
      </c>
      <c r="CE190" s="294">
        <v>1.2629272030000001</v>
      </c>
      <c r="CF190" s="293">
        <v>0.68396248599999998</v>
      </c>
      <c r="CG190" s="293">
        <v>7.7748194550000003</v>
      </c>
      <c r="CH190" s="293">
        <v>0.98913764800000004</v>
      </c>
      <c r="CI190" s="293">
        <v>1.115489682</v>
      </c>
      <c r="CJ190" s="293">
        <v>8.6934095959999986</v>
      </c>
      <c r="CK190" s="293">
        <v>1.1715801019999998</v>
      </c>
      <c r="CL190" s="293">
        <v>0.74051934200000002</v>
      </c>
      <c r="CM190" s="293">
        <v>6.7670744730000001</v>
      </c>
      <c r="CN190" s="293">
        <v>1.401861475</v>
      </c>
      <c r="CO190" s="293">
        <v>0.91499749099999994</v>
      </c>
      <c r="CP190" s="295">
        <v>7.7558479619999998</v>
      </c>
      <c r="CQ190" s="293">
        <v>1.217018801</v>
      </c>
      <c r="CR190" s="293">
        <v>1.020902534</v>
      </c>
      <c r="CS190" s="293">
        <v>8.2699675050000003</v>
      </c>
      <c r="CT190" s="293">
        <v>1.15115258</v>
      </c>
      <c r="CU190" s="293">
        <v>0.92436936999999997</v>
      </c>
      <c r="CV190" s="293">
        <v>9.2515927210000015</v>
      </c>
      <c r="CW190" s="293">
        <v>0.81701463100000005</v>
      </c>
      <c r="CX190" s="293">
        <v>0.70155605399999998</v>
      </c>
      <c r="CY190" s="293">
        <v>13.498874183</v>
      </c>
      <c r="CZ190" s="293">
        <v>2.013355985</v>
      </c>
      <c r="DA190" s="293">
        <v>1.037634446</v>
      </c>
      <c r="DB190" s="1288">
        <v>8.5246195240000002</v>
      </c>
      <c r="DC190" s="293">
        <v>4.3089556568601344</v>
      </c>
      <c r="DD190" s="293">
        <v>3.2631917395718046</v>
      </c>
      <c r="DE190" s="293">
        <v>5.097317397481218</v>
      </c>
      <c r="DF190" s="293">
        <v>5.5588135256917397</v>
      </c>
      <c r="DG190" s="293">
        <v>3.4670790995873682</v>
      </c>
      <c r="DH190" s="293">
        <v>3.2808195838272529</v>
      </c>
      <c r="DI190" s="293">
        <v>7.3244851653752194</v>
      </c>
      <c r="DJ190" s="293">
        <v>5.1784101220272598</v>
      </c>
      <c r="DK190" s="293">
        <v>3.4000423859500315</v>
      </c>
      <c r="DL190" s="293">
        <v>4.8549237801180025</v>
      </c>
      <c r="DM190" s="293">
        <v>5.7133778602730674</v>
      </c>
      <c r="DN190" s="295">
        <v>10.036197041348393</v>
      </c>
      <c r="DO190" s="293">
        <v>2.8556573640000003</v>
      </c>
      <c r="DP190" s="293">
        <v>2.7047607280000001</v>
      </c>
      <c r="DQ190" s="293">
        <v>14.705614347999999</v>
      </c>
      <c r="DR190" s="293">
        <v>3.4534918279999998</v>
      </c>
      <c r="DS190" s="293">
        <v>2.987220539</v>
      </c>
      <c r="DT190" s="293">
        <v>18.013538218827271</v>
      </c>
      <c r="DU190" s="293">
        <v>2.3069989660000001</v>
      </c>
      <c r="DV190" s="293">
        <v>1.150605611</v>
      </c>
      <c r="DW190" s="293">
        <v>15.89396827</v>
      </c>
      <c r="DX190" s="293">
        <v>1.3484428049999999</v>
      </c>
      <c r="DY190" s="293">
        <v>2.7802140139999998</v>
      </c>
      <c r="DZ190" s="295">
        <v>15.873471921</v>
      </c>
      <c r="EA190" s="293">
        <v>1.937700703</v>
      </c>
      <c r="EB190" s="293">
        <v>1.2997133030000001</v>
      </c>
      <c r="EC190" s="293">
        <v>10.14112759</v>
      </c>
      <c r="ED190" s="293">
        <v>1.8789774560000001</v>
      </c>
      <c r="EE190" s="293">
        <v>2.2551441739999998</v>
      </c>
      <c r="EF190" s="293">
        <v>10.319850731000001</v>
      </c>
      <c r="EG190" s="293">
        <v>4.925977853</v>
      </c>
      <c r="EH190" s="293">
        <v>1.784960315</v>
      </c>
      <c r="EI190" s="293">
        <v>19.067473740000001</v>
      </c>
      <c r="EJ190" s="293">
        <v>12.890099092</v>
      </c>
      <c r="EK190" s="293">
        <v>2.0839151779999998</v>
      </c>
      <c r="EL190" s="295">
        <v>19.227756051</v>
      </c>
      <c r="EM190" s="1080">
        <v>2.0464375860000001</v>
      </c>
      <c r="EN190" s="1080">
        <v>2.6982030799999999</v>
      </c>
      <c r="EO190" s="1080">
        <v>15.577384865000001</v>
      </c>
      <c r="EP190" s="1080">
        <v>7.1536234490000004</v>
      </c>
      <c r="EQ190" s="1080">
        <v>2.3412959099999999</v>
      </c>
      <c r="ER190" s="1080">
        <v>21.084800547</v>
      </c>
      <c r="ES190" s="1080">
        <v>4.3459553184007174</v>
      </c>
      <c r="ET190" s="1080">
        <v>2.5471969125904641</v>
      </c>
      <c r="EU190" s="1080">
        <v>12.872315061375328</v>
      </c>
      <c r="EV190" s="1080">
        <v>15.962155039790401</v>
      </c>
      <c r="EW190" s="1080">
        <v>4.8828533874419779</v>
      </c>
      <c r="EX190" s="1340">
        <v>32.934779441649866</v>
      </c>
      <c r="EY190" s="1080"/>
      <c r="EZ190" s="1080"/>
      <c r="FA190" s="1080"/>
      <c r="FB190" s="1080"/>
      <c r="FC190" s="1080"/>
      <c r="FD190" s="1080"/>
      <c r="FE190" s="1080"/>
      <c r="FF190" s="1080"/>
      <c r="FG190" s="1080"/>
      <c r="FH190" s="1080"/>
      <c r="FI190" s="1080"/>
      <c r="FJ190" s="1340"/>
      <c r="FK190" s="1080"/>
      <c r="FL190" s="1080"/>
      <c r="FM190" s="1080"/>
      <c r="FN190" s="1080"/>
      <c r="FO190" s="1080"/>
      <c r="FP190" s="1080"/>
      <c r="FQ190" s="293"/>
      <c r="FR190" s="293"/>
      <c r="FS190" s="293"/>
      <c r="FT190" s="293"/>
      <c r="FU190" s="293"/>
      <c r="FV190" s="293"/>
      <c r="FW190" s="293"/>
      <c r="FX190" s="293"/>
      <c r="FY190" s="293"/>
      <c r="FZ190" s="293"/>
      <c r="GA190" s="293"/>
      <c r="GB190" s="293"/>
      <c r="GC190" s="293"/>
      <c r="GD190" s="293"/>
      <c r="GE190" s="293"/>
      <c r="GF190" s="293"/>
      <c r="GG190" s="293"/>
      <c r="GH190" s="293"/>
      <c r="GI190" s="293"/>
      <c r="GJ190" s="293"/>
      <c r="GK190" s="293"/>
      <c r="GL190" s="293"/>
      <c r="GM190" s="293"/>
      <c r="GN190" s="293"/>
      <c r="GO190" s="293"/>
      <c r="GP190" s="293"/>
      <c r="GQ190" s="293"/>
      <c r="GR190" s="293"/>
      <c r="GS190" s="293"/>
      <c r="GT190" s="293"/>
      <c r="GU190" s="293"/>
      <c r="GV190" s="293"/>
      <c r="GW190" s="293"/>
      <c r="GX190" s="293"/>
      <c r="GY190" s="293"/>
      <c r="GZ190" s="293"/>
      <c r="HA190" s="293"/>
      <c r="HB190" s="293"/>
      <c r="HC190" s="293"/>
      <c r="HD190" s="293"/>
      <c r="HE190" s="293"/>
      <c r="HF190" s="293"/>
      <c r="HG190" s="293"/>
      <c r="HH190" s="293"/>
      <c r="HI190" s="293"/>
      <c r="HJ190" s="293"/>
      <c r="HK190" s="293"/>
      <c r="HL190" s="293"/>
      <c r="HM190" s="293"/>
      <c r="HN190" s="293"/>
      <c r="HO190" s="293"/>
      <c r="HP190" s="293"/>
      <c r="HQ190" s="293"/>
      <c r="HR190" s="293"/>
      <c r="HS190" s="293"/>
      <c r="HT190" s="293"/>
      <c r="HU190" s="293"/>
      <c r="HV190" s="293"/>
      <c r="HW190" s="293"/>
      <c r="HX190" s="293"/>
      <c r="HY190" s="293"/>
      <c r="IH190" s="279">
        <f t="shared" si="229"/>
        <v>24.976177003019519</v>
      </c>
      <c r="II190" s="279">
        <f t="shared" si="230"/>
        <v>36.507436355091976</v>
      </c>
      <c r="IJ190" s="323">
        <f t="shared" ref="IJ190:IJ230" si="232">IH190+II190</f>
        <v>61.483613358111498</v>
      </c>
      <c r="IK190" s="279">
        <f t="shared" si="231"/>
        <v>44.720283025827271</v>
      </c>
      <c r="KT190" s="280"/>
    </row>
    <row r="191" spans="1:307" hidden="1" outlineLevel="1">
      <c r="B191" s="96" t="s">
        <v>338</v>
      </c>
      <c r="D191" s="301" t="s">
        <v>400</v>
      </c>
      <c r="E191" s="293">
        <v>0.392276919</v>
      </c>
      <c r="F191" s="293">
        <v>0.41271816500000003</v>
      </c>
      <c r="G191" s="293">
        <v>0.80391067599999999</v>
      </c>
      <c r="H191" s="293">
        <v>0.41796793599999998</v>
      </c>
      <c r="I191" s="293">
        <v>0.50706862500000005</v>
      </c>
      <c r="J191" s="293">
        <v>1.2849296609999998</v>
      </c>
      <c r="K191" s="293">
        <v>0.55446140499999996</v>
      </c>
      <c r="L191" s="293">
        <v>0.4675782</v>
      </c>
      <c r="M191" s="293">
        <v>1.035655684</v>
      </c>
      <c r="N191" s="293">
        <v>0.54733838999999995</v>
      </c>
      <c r="O191" s="293">
        <v>0.57549116600000005</v>
      </c>
      <c r="P191" s="293">
        <v>1.0642403069999999</v>
      </c>
      <c r="Q191" s="293">
        <v>0.73315252799999997</v>
      </c>
      <c r="R191" s="293">
        <v>0.54329596300000005</v>
      </c>
      <c r="S191" s="293">
        <v>1.182026303</v>
      </c>
      <c r="T191" s="293">
        <v>0.64395585900000007</v>
      </c>
      <c r="U191" s="293">
        <v>0.95595858999999994</v>
      </c>
      <c r="V191" s="293">
        <v>2.0127214650000003</v>
      </c>
      <c r="W191" s="293">
        <v>0.89409887600000004</v>
      </c>
      <c r="X191" s="293">
        <v>0.95169554000000001</v>
      </c>
      <c r="Y191" s="293">
        <v>1.635962822</v>
      </c>
      <c r="Z191" s="293">
        <v>1.213456439</v>
      </c>
      <c r="AA191" s="293">
        <v>0.79232459799999999</v>
      </c>
      <c r="AB191" s="293">
        <v>2.004555238</v>
      </c>
      <c r="AC191" s="293">
        <v>1.0715852700000001</v>
      </c>
      <c r="AD191" s="293">
        <v>1.021620875</v>
      </c>
      <c r="AE191" s="293"/>
      <c r="AF191" s="293"/>
      <c r="AG191" s="293"/>
      <c r="AH191" s="293"/>
      <c r="AI191" s="293"/>
      <c r="AJ191" s="293"/>
      <c r="AK191" s="293"/>
      <c r="AL191" s="293"/>
      <c r="AM191" s="293"/>
      <c r="AN191" s="293"/>
      <c r="AO191" s="293">
        <v>0.865253104</v>
      </c>
      <c r="AP191" s="293">
        <v>0.88616814399999999</v>
      </c>
      <c r="AQ191" s="293">
        <v>4.0968413930000001</v>
      </c>
      <c r="AR191" s="293">
        <v>0.92886782200000007</v>
      </c>
      <c r="AS191" s="293">
        <v>0.921948251</v>
      </c>
      <c r="AT191" s="293">
        <v>2.550174556</v>
      </c>
      <c r="AU191" s="293">
        <v>1.289604078</v>
      </c>
      <c r="AV191" s="293">
        <v>0.99946057599999993</v>
      </c>
      <c r="AW191" s="293">
        <v>2.6098210900000001</v>
      </c>
      <c r="AX191" s="293">
        <v>1.1388492819999998</v>
      </c>
      <c r="AY191" s="293">
        <v>1.056281977</v>
      </c>
      <c r="AZ191" s="293">
        <v>3.418117429</v>
      </c>
      <c r="BA191" s="293">
        <v>1.223377674</v>
      </c>
      <c r="BB191" s="293">
        <v>1.2514743510000002</v>
      </c>
      <c r="BC191" s="293">
        <v>5.0565816029999997</v>
      </c>
      <c r="BD191" s="293">
        <v>1.0847132070000001</v>
      </c>
      <c r="BE191" s="293">
        <v>2.0657377260000001</v>
      </c>
      <c r="BF191" s="293">
        <v>3.4597905679999998</v>
      </c>
      <c r="BG191" s="293">
        <v>0.95537348999999994</v>
      </c>
      <c r="BH191" s="293">
        <v>1.004887004</v>
      </c>
      <c r="BI191" s="293">
        <v>2.9234682309999998</v>
      </c>
      <c r="BJ191" s="293">
        <v>1.0162898650000001</v>
      </c>
      <c r="BK191" s="293">
        <v>1.212690762</v>
      </c>
      <c r="BL191" s="293">
        <v>2.79941489</v>
      </c>
      <c r="BM191" s="293">
        <v>1.4881291619999999</v>
      </c>
      <c r="BN191" s="293">
        <v>1.3131613130000002</v>
      </c>
      <c r="BO191" s="293">
        <v>5.2368817129999998</v>
      </c>
      <c r="BP191" s="293">
        <v>1.2164234630000001</v>
      </c>
      <c r="BQ191" s="293">
        <v>1.6005040260000001</v>
      </c>
      <c r="BR191" s="293">
        <v>3.615915115</v>
      </c>
      <c r="BS191" s="293">
        <v>1.1474614730000001</v>
      </c>
      <c r="BT191" s="293">
        <v>0.68540514299999999</v>
      </c>
      <c r="BU191" s="293">
        <v>3.1100634779999998</v>
      </c>
      <c r="BV191" s="293">
        <v>1.5042361780000002</v>
      </c>
      <c r="BW191" s="293">
        <v>1.2059972999999999</v>
      </c>
      <c r="BX191" s="293">
        <v>3.4498371240000001</v>
      </c>
      <c r="BY191" s="293">
        <v>1.7417344399999999</v>
      </c>
      <c r="BZ191" s="293">
        <v>1.614291634</v>
      </c>
      <c r="CA191" s="293">
        <v>6.2085048199999999</v>
      </c>
      <c r="CB191" s="293">
        <v>1.7462290009999999</v>
      </c>
      <c r="CC191" s="293">
        <v>2.4650446960000001</v>
      </c>
      <c r="CD191" s="293">
        <v>1.8511075659999998</v>
      </c>
      <c r="CE191" s="294">
        <v>0.61963100699999996</v>
      </c>
      <c r="CF191" s="293">
        <v>0.42730857799999999</v>
      </c>
      <c r="CG191" s="293">
        <v>0.193644601</v>
      </c>
      <c r="CH191" s="293">
        <v>0.27422865800000001</v>
      </c>
      <c r="CI191" s="293">
        <v>0.54719998799999992</v>
      </c>
      <c r="CJ191" s="293">
        <v>0.83490910699999998</v>
      </c>
      <c r="CK191" s="293">
        <v>0.56359178799999998</v>
      </c>
      <c r="CL191" s="293">
        <v>0.39840721100000004</v>
      </c>
      <c r="CM191" s="293">
        <v>0.84026774100000001</v>
      </c>
      <c r="CN191" s="293">
        <v>0.55660013600000002</v>
      </c>
      <c r="CO191" s="293">
        <v>0.50145152400000004</v>
      </c>
      <c r="CP191" s="295">
        <v>1.3951900260000001</v>
      </c>
      <c r="CQ191" s="293">
        <v>0.35579840699999998</v>
      </c>
      <c r="CR191" s="293">
        <v>0.36633195999999996</v>
      </c>
      <c r="CS191" s="293">
        <v>0.59416303200000009</v>
      </c>
      <c r="CT191" s="293">
        <v>0.44356057099999996</v>
      </c>
      <c r="CU191" s="293">
        <v>0.54140267200000003</v>
      </c>
      <c r="CV191" s="293">
        <v>0.80325108899999997</v>
      </c>
      <c r="CW191" s="293">
        <v>0.60621140200000001</v>
      </c>
      <c r="CX191" s="293">
        <v>0.52843102399999997</v>
      </c>
      <c r="CY191" s="293">
        <v>0.76561636499999997</v>
      </c>
      <c r="CZ191" s="293">
        <v>1.4165836870000001</v>
      </c>
      <c r="DA191" s="293">
        <v>0.834563834</v>
      </c>
      <c r="DB191" s="1288">
        <v>1.9278370809999998</v>
      </c>
      <c r="DC191" s="293">
        <v>0.82448363941239977</v>
      </c>
      <c r="DD191" s="293">
        <v>0.8833607284323689</v>
      </c>
      <c r="DE191" s="293">
        <v>10.719139805015015</v>
      </c>
      <c r="DF191" s="293">
        <v>0.70587886823508672</v>
      </c>
      <c r="DG191" s="293">
        <v>0.54417613922482855</v>
      </c>
      <c r="DH191" s="293">
        <v>10.24348973336129</v>
      </c>
      <c r="DI191" s="293">
        <v>1.0922339369361633</v>
      </c>
      <c r="DJ191" s="293">
        <v>1.1714972834195527</v>
      </c>
      <c r="DK191" s="293">
        <v>23.104799253532111</v>
      </c>
      <c r="DL191" s="293">
        <v>0.89631468833038019</v>
      </c>
      <c r="DM191" s="293">
        <v>0.71843120938611682</v>
      </c>
      <c r="DN191" s="295">
        <v>12.269573679178158</v>
      </c>
      <c r="DO191" s="293">
        <v>0.88177806700000005</v>
      </c>
      <c r="DP191" s="293">
        <v>0.61940986399999998</v>
      </c>
      <c r="DQ191" s="293">
        <v>8.2733995549999992</v>
      </c>
      <c r="DR191" s="293">
        <v>1.260317377</v>
      </c>
      <c r="DS191" s="293">
        <v>0.83227489600000004</v>
      </c>
      <c r="DT191" s="293">
        <v>11.441664449319999</v>
      </c>
      <c r="DU191" s="293">
        <v>0.97532831200000003</v>
      </c>
      <c r="DV191" s="293">
        <v>0.62910624900000001</v>
      </c>
      <c r="DW191" s="293">
        <v>1.209986064</v>
      </c>
      <c r="DX191" s="293">
        <v>0.94746226499999997</v>
      </c>
      <c r="DY191" s="293">
        <v>2.1640277170000002</v>
      </c>
      <c r="DZ191" s="295">
        <v>4.365313725</v>
      </c>
      <c r="EA191" s="293">
        <v>0.74865426700000004</v>
      </c>
      <c r="EB191" s="293">
        <v>0.71631703400000002</v>
      </c>
      <c r="EC191" s="293">
        <v>1.06515413</v>
      </c>
      <c r="ED191" s="293">
        <v>0.77914639100000005</v>
      </c>
      <c r="EE191" s="293">
        <v>1.2349719079999999</v>
      </c>
      <c r="EF191" s="293">
        <v>1.9097524210000001</v>
      </c>
      <c r="EG191" s="293">
        <v>1.9373183089999999</v>
      </c>
      <c r="EH191" s="293">
        <v>1.4515816429999999</v>
      </c>
      <c r="EI191" s="293">
        <v>4.9514113240000004</v>
      </c>
      <c r="EJ191" s="293">
        <v>1.907389308</v>
      </c>
      <c r="EK191" s="293">
        <v>1.8254718990000001</v>
      </c>
      <c r="EL191" s="295">
        <v>7.7571210280000003</v>
      </c>
      <c r="EM191" s="1080">
        <v>0.941446742</v>
      </c>
      <c r="EN191" s="1080">
        <v>1.882076093</v>
      </c>
      <c r="EO191" s="1080">
        <v>3.7122540339999999</v>
      </c>
      <c r="EP191" s="1080">
        <v>6.0660505410000001</v>
      </c>
      <c r="EQ191" s="1080">
        <v>1.1419447549999999</v>
      </c>
      <c r="ER191" s="1080">
        <v>8.4057679350000001</v>
      </c>
      <c r="ES191" s="1080">
        <v>3.945837628</v>
      </c>
      <c r="ET191" s="1080">
        <v>2.1131874270000002</v>
      </c>
      <c r="EU191" s="1080">
        <v>3.1566427137800002</v>
      </c>
      <c r="EV191" s="1080">
        <v>5.8061171222499999</v>
      </c>
      <c r="EW191" s="1080">
        <v>4.2006477957078001</v>
      </c>
      <c r="EX191" s="1340">
        <v>18.6789463846589</v>
      </c>
      <c r="EY191" s="1080"/>
      <c r="EZ191" s="1080"/>
      <c r="FA191" s="1080"/>
      <c r="FB191" s="1080"/>
      <c r="FC191" s="1080"/>
      <c r="FD191" s="1080"/>
      <c r="FE191" s="1080"/>
      <c r="FF191" s="1080"/>
      <c r="FG191" s="1080"/>
      <c r="FH191" s="1080"/>
      <c r="FI191" s="1080"/>
      <c r="FJ191" s="1340"/>
      <c r="FK191" s="1080"/>
      <c r="FL191" s="1080"/>
      <c r="FM191" s="1080"/>
      <c r="FN191" s="1080"/>
      <c r="FO191" s="1080"/>
      <c r="FP191" s="1080"/>
      <c r="FQ191" s="293"/>
      <c r="FR191" s="293"/>
      <c r="FS191" s="293"/>
      <c r="FT191" s="293"/>
      <c r="FU191" s="293"/>
      <c r="FV191" s="293"/>
      <c r="FW191" s="293"/>
      <c r="FX191" s="293"/>
      <c r="FY191" s="293"/>
      <c r="FZ191" s="293"/>
      <c r="GA191" s="293"/>
      <c r="GB191" s="293"/>
      <c r="GC191" s="293"/>
      <c r="GD191" s="293"/>
      <c r="GE191" s="293"/>
      <c r="GF191" s="293"/>
      <c r="GG191" s="293"/>
      <c r="GH191" s="293"/>
      <c r="GI191" s="293"/>
      <c r="GJ191" s="293"/>
      <c r="GK191" s="293"/>
      <c r="GL191" s="293"/>
      <c r="GM191" s="293"/>
      <c r="GN191" s="293"/>
      <c r="GO191" s="293"/>
      <c r="GP191" s="293"/>
      <c r="GQ191" s="293"/>
      <c r="GR191" s="293"/>
      <c r="GS191" s="293"/>
      <c r="GT191" s="293"/>
      <c r="GU191" s="293"/>
      <c r="GV191" s="293"/>
      <c r="GW191" s="293"/>
      <c r="GX191" s="293"/>
      <c r="GY191" s="293"/>
      <c r="GZ191" s="293"/>
      <c r="HA191" s="293"/>
      <c r="HB191" s="293"/>
      <c r="HC191" s="293"/>
      <c r="HD191" s="293"/>
      <c r="HE191" s="293"/>
      <c r="HF191" s="293"/>
      <c r="HG191" s="293"/>
      <c r="HH191" s="293"/>
      <c r="HI191" s="293"/>
      <c r="HJ191" s="293"/>
      <c r="HK191" s="293"/>
      <c r="HL191" s="293"/>
      <c r="HM191" s="293"/>
      <c r="HN191" s="293"/>
      <c r="HO191" s="293"/>
      <c r="HP191" s="293"/>
      <c r="HQ191" s="293"/>
      <c r="HR191" s="293"/>
      <c r="HS191" s="293"/>
      <c r="HT191" s="293"/>
      <c r="HU191" s="293"/>
      <c r="HV191" s="293"/>
      <c r="HW191" s="293"/>
      <c r="HX191" s="293"/>
      <c r="HY191" s="293"/>
      <c r="IH191" s="279">
        <f t="shared" si="229"/>
        <v>23.92052891368099</v>
      </c>
      <c r="II191" s="279">
        <f t="shared" si="230"/>
        <v>39.252850050782484</v>
      </c>
      <c r="IJ191" s="323">
        <f t="shared" si="232"/>
        <v>63.173378964463474</v>
      </c>
      <c r="IK191" s="279">
        <f t="shared" si="231"/>
        <v>23.308844208319996</v>
      </c>
      <c r="KT191" s="280"/>
    </row>
    <row r="192" spans="1:307" hidden="1" outlineLevel="1">
      <c r="B192" s="96" t="s">
        <v>338</v>
      </c>
      <c r="D192" s="790" t="s">
        <v>929</v>
      </c>
      <c r="E192" s="293">
        <v>8.2859976000000002E-2</v>
      </c>
      <c r="F192" s="293">
        <v>0.16503595200000001</v>
      </c>
      <c r="G192" s="293">
        <v>0.17309784099999997</v>
      </c>
      <c r="H192" s="293">
        <v>0.10336502</v>
      </c>
      <c r="I192" s="293">
        <v>0.16511506499999998</v>
      </c>
      <c r="J192" s="293">
        <v>0.131482351</v>
      </c>
      <c r="K192" s="293">
        <v>0.16324616</v>
      </c>
      <c r="L192" s="293">
        <v>0.118731292</v>
      </c>
      <c r="M192" s="293">
        <v>0.19509554199999998</v>
      </c>
      <c r="N192" s="293">
        <v>0.174894513</v>
      </c>
      <c r="O192" s="293">
        <v>0.222476967</v>
      </c>
      <c r="P192" s="293">
        <v>0.268511271</v>
      </c>
      <c r="Q192" s="293">
        <v>0.20507465899999999</v>
      </c>
      <c r="R192" s="293">
        <v>0.15452263600000002</v>
      </c>
      <c r="S192" s="293">
        <v>0.220413523</v>
      </c>
      <c r="T192" s="293">
        <v>0.21406782000000002</v>
      </c>
      <c r="U192" s="293">
        <v>0.298340991</v>
      </c>
      <c r="V192" s="293">
        <v>0.35117286999999997</v>
      </c>
      <c r="W192" s="293">
        <v>0.22110470900000001</v>
      </c>
      <c r="X192" s="293">
        <v>0.242172046</v>
      </c>
      <c r="Y192" s="293">
        <v>0.17682316000000001</v>
      </c>
      <c r="Z192" s="293">
        <v>0.51990341200000001</v>
      </c>
      <c r="AA192" s="293">
        <v>0.218234234</v>
      </c>
      <c r="AB192" s="293">
        <v>0.45526934999999996</v>
      </c>
      <c r="AC192" s="293">
        <v>0.26931620099999998</v>
      </c>
      <c r="AD192" s="293">
        <v>0.33779440799999999</v>
      </c>
      <c r="AE192" s="293"/>
      <c r="AF192" s="293"/>
      <c r="AG192" s="293"/>
      <c r="AH192" s="293"/>
      <c r="AI192" s="293"/>
      <c r="AJ192" s="293"/>
      <c r="AK192" s="293"/>
      <c r="AL192" s="293"/>
      <c r="AM192" s="293"/>
      <c r="AN192" s="293"/>
      <c r="AO192" s="293">
        <v>0.196153248</v>
      </c>
      <c r="AP192" s="293">
        <v>0.19036525399999998</v>
      </c>
      <c r="AQ192" s="293">
        <v>0.34630112499999999</v>
      </c>
      <c r="AR192" s="293">
        <v>0.227020694</v>
      </c>
      <c r="AS192" s="293">
        <v>0.257750388</v>
      </c>
      <c r="AT192" s="293">
        <v>0.45472782299999998</v>
      </c>
      <c r="AU192" s="293">
        <v>0.24982922700000001</v>
      </c>
      <c r="AV192" s="293">
        <v>0.23922501800000001</v>
      </c>
      <c r="AW192" s="293">
        <v>0.37884806900000001</v>
      </c>
      <c r="AX192" s="293">
        <v>0.34250576399999999</v>
      </c>
      <c r="AY192" s="293">
        <v>0.39769362999999996</v>
      </c>
      <c r="AZ192" s="293">
        <v>0.94291778299999995</v>
      </c>
      <c r="BA192" s="293">
        <v>0.34838310500000003</v>
      </c>
      <c r="BB192" s="293">
        <v>0.647634716</v>
      </c>
      <c r="BC192" s="293">
        <v>0.62676439700000008</v>
      </c>
      <c r="BD192" s="293">
        <v>0.40682602100000004</v>
      </c>
      <c r="BE192" s="293">
        <v>0.81953915700000002</v>
      </c>
      <c r="BF192" s="293">
        <v>0.778932768</v>
      </c>
      <c r="BG192" s="293">
        <v>0.244139104</v>
      </c>
      <c r="BH192" s="293">
        <v>0.27371716800000001</v>
      </c>
      <c r="BI192" s="293">
        <v>0.50362238800000003</v>
      </c>
      <c r="BJ192" s="293">
        <v>0.36476523500000002</v>
      </c>
      <c r="BK192" s="293">
        <v>0.48890773199999998</v>
      </c>
      <c r="BL192" s="293">
        <v>0.61282766100000008</v>
      </c>
      <c r="BM192" s="293">
        <v>0.439217833</v>
      </c>
      <c r="BN192" s="293">
        <v>0.33193173300000001</v>
      </c>
      <c r="BO192" s="293">
        <v>0.56106671699999999</v>
      </c>
      <c r="BP192" s="293">
        <v>0.408964039</v>
      </c>
      <c r="BQ192" s="293">
        <v>0.68557859900000007</v>
      </c>
      <c r="BR192" s="293">
        <v>1.2218266209999999</v>
      </c>
      <c r="BS192" s="293">
        <v>0.26509920899999995</v>
      </c>
      <c r="BT192" s="293">
        <v>0.311358409</v>
      </c>
      <c r="BU192" s="293">
        <v>0.33272854400000001</v>
      </c>
      <c r="BV192" s="293">
        <v>0.44320869099999999</v>
      </c>
      <c r="BW192" s="293">
        <v>0.428806407</v>
      </c>
      <c r="BX192" s="293">
        <v>0.482437797</v>
      </c>
      <c r="BY192" s="293">
        <v>0.55774439900000006</v>
      </c>
      <c r="BZ192" s="293">
        <v>0.61763383599999999</v>
      </c>
      <c r="CA192" s="293">
        <v>0.55639263300000008</v>
      </c>
      <c r="CB192" s="293">
        <v>0.741856764</v>
      </c>
      <c r="CC192" s="293">
        <v>1.3217968499999999</v>
      </c>
      <c r="CD192" s="293">
        <v>5.246621738</v>
      </c>
      <c r="CE192" s="294">
        <v>1.3203238610000001</v>
      </c>
      <c r="CF192" s="293">
        <v>1.389165301</v>
      </c>
      <c r="CG192" s="293">
        <v>3.7606967490000001</v>
      </c>
      <c r="CH192" s="293">
        <v>2.1167987259999999</v>
      </c>
      <c r="CI192" s="293">
        <v>1.7956255160000001</v>
      </c>
      <c r="CJ192" s="293">
        <v>4.2371013450000001</v>
      </c>
      <c r="CK192" s="293">
        <v>3.1968274889999999</v>
      </c>
      <c r="CL192" s="293">
        <v>2.4161053959999998</v>
      </c>
      <c r="CM192" s="293">
        <v>6.4522456100000003</v>
      </c>
      <c r="CN192" s="293">
        <v>2.4779051989999998</v>
      </c>
      <c r="CO192" s="293">
        <v>2.2255239680000001</v>
      </c>
      <c r="CP192" s="295">
        <v>6.0263560119999999</v>
      </c>
      <c r="CQ192" s="293">
        <v>2.2311876019999999</v>
      </c>
      <c r="CR192" s="293">
        <v>1.918543436</v>
      </c>
      <c r="CS192" s="293">
        <v>4.284906619</v>
      </c>
      <c r="CT192" s="293">
        <v>2.6855775980000001</v>
      </c>
      <c r="CU192" s="293">
        <v>1.9697711099999999</v>
      </c>
      <c r="CV192" s="293">
        <v>5.478342219</v>
      </c>
      <c r="CW192" s="293">
        <v>2.5727374530000002</v>
      </c>
      <c r="CX192" s="293">
        <v>2.4585565849999997</v>
      </c>
      <c r="CY192" s="293">
        <v>9.0165652919999992</v>
      </c>
      <c r="CZ192" s="293">
        <v>2.6706571810000002</v>
      </c>
      <c r="DA192" s="293">
        <v>2.6350649939999999</v>
      </c>
      <c r="DB192" s="1288">
        <v>6.2217882090000005</v>
      </c>
      <c r="DC192" s="293">
        <v>0</v>
      </c>
      <c r="DD192" s="293">
        <v>0</v>
      </c>
      <c r="DE192" s="293">
        <v>0</v>
      </c>
      <c r="DF192" s="293">
        <v>0</v>
      </c>
      <c r="DG192" s="293">
        <v>0</v>
      </c>
      <c r="DH192" s="293">
        <v>0</v>
      </c>
      <c r="DI192" s="293">
        <v>0</v>
      </c>
      <c r="DJ192" s="293">
        <v>0</v>
      </c>
      <c r="DK192" s="293">
        <v>0</v>
      </c>
      <c r="DL192" s="293">
        <v>0</v>
      </c>
      <c r="DM192" s="293">
        <v>0</v>
      </c>
      <c r="DN192" s="295">
        <v>0</v>
      </c>
      <c r="DO192" s="293">
        <v>0.54975971899999998</v>
      </c>
      <c r="DP192" s="293">
        <v>0.29241752999999998</v>
      </c>
      <c r="DQ192" s="293">
        <v>0.437009113</v>
      </c>
      <c r="DR192" s="293">
        <v>0.79850489999999996</v>
      </c>
      <c r="DS192" s="293">
        <v>0.44485152300000003</v>
      </c>
      <c r="DT192" s="293">
        <v>3.7465689983200003</v>
      </c>
      <c r="DU192" s="293">
        <v>2.6376689839999998</v>
      </c>
      <c r="DV192" s="293">
        <v>2.7793880120000001</v>
      </c>
      <c r="DW192" s="293">
        <v>12.21042539351</v>
      </c>
      <c r="DX192" s="293">
        <v>2.9634707929999999</v>
      </c>
      <c r="DY192" s="293">
        <v>2.9709478200000001</v>
      </c>
      <c r="DZ192" s="295">
        <v>9.1070064790000007</v>
      </c>
      <c r="EA192" s="293">
        <v>2.5543390484000001</v>
      </c>
      <c r="EB192" s="293">
        <v>2.570781942</v>
      </c>
      <c r="EC192" s="293">
        <v>6.3690921869999997</v>
      </c>
      <c r="ED192" s="293">
        <v>3.9890769093199996</v>
      </c>
      <c r="EE192" s="293">
        <v>2.9273490180000001</v>
      </c>
      <c r="EF192" s="293">
        <v>7.05606344</v>
      </c>
      <c r="EG192" s="293">
        <v>4.4427509479999996</v>
      </c>
      <c r="EH192" s="293">
        <v>3.144529591</v>
      </c>
      <c r="EI192" s="293">
        <v>11.286575149000001</v>
      </c>
      <c r="EJ192" s="293">
        <v>6.5450666343500004</v>
      </c>
      <c r="EK192" s="293">
        <v>3.73936129862</v>
      </c>
      <c r="EL192" s="295">
        <v>9.9488781455400002</v>
      </c>
      <c r="EM192" s="1080">
        <v>4.2648625525200003</v>
      </c>
      <c r="EN192" s="1080">
        <v>3.3784050229700004</v>
      </c>
      <c r="EO192" s="1080">
        <v>6.9588149448000003</v>
      </c>
      <c r="EP192" s="1080">
        <v>5.1830494212800033</v>
      </c>
      <c r="EQ192" s="1080">
        <v>3.4972906047799999</v>
      </c>
      <c r="ER192" s="1080">
        <v>8.4509687736900005</v>
      </c>
      <c r="ES192" s="1080">
        <v>3.9308500190792817</v>
      </c>
      <c r="ET192" s="1080">
        <v>3.5339681411495358</v>
      </c>
      <c r="EU192" s="1080">
        <v>8.6893718463646721</v>
      </c>
      <c r="EV192" s="1080">
        <v>9.9147277887095981</v>
      </c>
      <c r="EW192" s="1080">
        <v>3.5303540986520221</v>
      </c>
      <c r="EX192" s="1340">
        <v>7.5851078368856815</v>
      </c>
      <c r="EY192" s="1080"/>
      <c r="EZ192" s="1080"/>
      <c r="FA192" s="1080"/>
      <c r="FB192" s="1080"/>
      <c r="FC192" s="1080"/>
      <c r="FD192" s="1080"/>
      <c r="FE192" s="1080"/>
      <c r="FF192" s="1080"/>
      <c r="FG192" s="1080"/>
      <c r="FH192" s="1080"/>
      <c r="FI192" s="1080"/>
      <c r="FJ192" s="1340"/>
      <c r="FK192" s="1080"/>
      <c r="FL192" s="1080"/>
      <c r="FM192" s="1080"/>
      <c r="FN192" s="1080"/>
      <c r="FO192" s="1080"/>
      <c r="FP192" s="1080"/>
      <c r="FQ192" s="293"/>
      <c r="FR192" s="293"/>
      <c r="FS192" s="293"/>
      <c r="FT192" s="293"/>
      <c r="FU192" s="293"/>
      <c r="FV192" s="293"/>
      <c r="FW192" s="293"/>
      <c r="FX192" s="293"/>
      <c r="FY192" s="293"/>
      <c r="FZ192" s="293"/>
      <c r="GA192" s="293"/>
      <c r="GB192" s="293"/>
      <c r="GC192" s="293"/>
      <c r="GD192" s="293"/>
      <c r="GE192" s="293"/>
      <c r="GF192" s="293"/>
      <c r="GG192" s="293"/>
      <c r="GH192" s="293"/>
      <c r="GI192" s="293"/>
      <c r="GJ192" s="293"/>
      <c r="GK192" s="293"/>
      <c r="GL192" s="293"/>
      <c r="GM192" s="293"/>
      <c r="GN192" s="293"/>
      <c r="GO192" s="293"/>
      <c r="GP192" s="293"/>
      <c r="GQ192" s="293"/>
      <c r="GR192" s="293"/>
      <c r="GS192" s="293"/>
      <c r="GT192" s="293"/>
      <c r="GU192" s="293"/>
      <c r="GV192" s="293"/>
      <c r="GW192" s="293"/>
      <c r="GX192" s="293"/>
      <c r="GY192" s="293"/>
      <c r="GZ192" s="293"/>
      <c r="HA192" s="293"/>
      <c r="HB192" s="293"/>
      <c r="HC192" s="293"/>
      <c r="HD192" s="293"/>
      <c r="HE192" s="293"/>
      <c r="HF192" s="293"/>
      <c r="HG192" s="293"/>
      <c r="HH192" s="293"/>
      <c r="HI192" s="293"/>
      <c r="HJ192" s="293"/>
      <c r="HK192" s="293"/>
      <c r="HL192" s="293"/>
      <c r="HM192" s="293"/>
      <c r="HN192" s="293"/>
      <c r="HO192" s="293"/>
      <c r="HP192" s="293"/>
      <c r="HQ192" s="293"/>
      <c r="HR192" s="293"/>
      <c r="HS192" s="293"/>
      <c r="HT192" s="293"/>
      <c r="HU192" s="293"/>
      <c r="HV192" s="293"/>
      <c r="HW192" s="293"/>
      <c r="HX192" s="293"/>
      <c r="HY192" s="293"/>
      <c r="IH192" s="279">
        <f t="shared" si="229"/>
        <v>0</v>
      </c>
      <c r="II192" s="279">
        <f t="shared" si="230"/>
        <v>0</v>
      </c>
      <c r="IJ192" s="323">
        <f t="shared" si="232"/>
        <v>0</v>
      </c>
      <c r="IK192" s="279">
        <f t="shared" si="231"/>
        <v>6.2691117833200005</v>
      </c>
      <c r="KT192" s="280"/>
    </row>
    <row r="193" spans="2:306" hidden="1" outlineLevel="1">
      <c r="B193" s="96" t="s">
        <v>338</v>
      </c>
      <c r="D193" s="301" t="s">
        <v>400</v>
      </c>
      <c r="E193" s="293">
        <v>0.238358191</v>
      </c>
      <c r="F193" s="293">
        <v>0.18387952999999999</v>
      </c>
      <c r="G193" s="293">
        <v>0.210464496</v>
      </c>
      <c r="H193" s="293">
        <v>0.23871889899999998</v>
      </c>
      <c r="I193" s="293">
        <v>0.27201345500000002</v>
      </c>
      <c r="J193" s="293">
        <v>0.32379832199999997</v>
      </c>
      <c r="K193" s="293">
        <v>0.29878358500000002</v>
      </c>
      <c r="L193" s="293">
        <v>0.31048377399999999</v>
      </c>
      <c r="M193" s="293">
        <v>0.275749205</v>
      </c>
      <c r="N193" s="293">
        <v>0.30920519600000002</v>
      </c>
      <c r="O193" s="293">
        <v>0.28850305900000001</v>
      </c>
      <c r="P193" s="293">
        <v>0.27270776299999999</v>
      </c>
      <c r="Q193" s="293">
        <v>0.40628608700000002</v>
      </c>
      <c r="R193" s="293">
        <v>0.311076513</v>
      </c>
      <c r="S193" s="293">
        <v>0.389669443</v>
      </c>
      <c r="T193" s="293">
        <v>0.37221179399999998</v>
      </c>
      <c r="U193" s="293">
        <v>0.45491973099999999</v>
      </c>
      <c r="V193" s="293">
        <v>0.41716711900000003</v>
      </c>
      <c r="W193" s="293">
        <v>0.48550777299999998</v>
      </c>
      <c r="X193" s="293">
        <v>0.59869240700000004</v>
      </c>
      <c r="Y193" s="293">
        <v>0.45298830099999998</v>
      </c>
      <c r="Z193" s="293">
        <v>0.46206413600000001</v>
      </c>
      <c r="AA193" s="293">
        <v>0.42233839200000001</v>
      </c>
      <c r="AB193" s="293">
        <v>0.50501086099999992</v>
      </c>
      <c r="AC193" s="293">
        <v>0.64308637699999993</v>
      </c>
      <c r="AD193" s="293">
        <v>0.49666346299999997</v>
      </c>
      <c r="AE193" s="293"/>
      <c r="AF193" s="293"/>
      <c r="AG193" s="293"/>
      <c r="AH193" s="293"/>
      <c r="AI193" s="293"/>
      <c r="AJ193" s="293"/>
      <c r="AK193" s="293"/>
      <c r="AL193" s="293"/>
      <c r="AM193" s="293"/>
      <c r="AN193" s="293"/>
      <c r="AO193" s="293">
        <v>0.42483074499999995</v>
      </c>
      <c r="AP193" s="293">
        <v>0.362651167</v>
      </c>
      <c r="AQ193" s="293">
        <v>0.39952210700000002</v>
      </c>
      <c r="AR193" s="293">
        <v>0.33570648199999997</v>
      </c>
      <c r="AS193" s="293">
        <v>0.42623475100000002</v>
      </c>
      <c r="AT193" s="293">
        <v>0.35481470300000001</v>
      </c>
      <c r="AU193" s="293">
        <v>0.38137179600000004</v>
      </c>
      <c r="AV193" s="293">
        <v>0.38885200099999995</v>
      </c>
      <c r="AW193" s="293">
        <v>0.41483142900000003</v>
      </c>
      <c r="AX193" s="293">
        <v>0.42466286400000003</v>
      </c>
      <c r="AY193" s="293">
        <v>0.42027895599999998</v>
      </c>
      <c r="AZ193" s="293">
        <v>0.445008344</v>
      </c>
      <c r="BA193" s="293">
        <v>0.57589281300000006</v>
      </c>
      <c r="BB193" s="293">
        <v>0.422776812</v>
      </c>
      <c r="BC193" s="293">
        <v>0.504913732</v>
      </c>
      <c r="BD193" s="293">
        <v>0.37376742600000001</v>
      </c>
      <c r="BE193" s="293">
        <v>0.383709354</v>
      </c>
      <c r="BF193" s="293">
        <v>0.45608096999999997</v>
      </c>
      <c r="BG193" s="293">
        <v>0.46703096199999999</v>
      </c>
      <c r="BH193" s="293">
        <v>0.497217513</v>
      </c>
      <c r="BI193" s="293">
        <v>0.545811822</v>
      </c>
      <c r="BJ193" s="293">
        <v>0.46694985100000003</v>
      </c>
      <c r="BK193" s="293">
        <v>0.48244527599999998</v>
      </c>
      <c r="BL193" s="293">
        <v>0.56815096700000001</v>
      </c>
      <c r="BM193" s="293">
        <v>0.73800288599999997</v>
      </c>
      <c r="BN193" s="293">
        <v>0.61570113800000004</v>
      </c>
      <c r="BO193" s="293">
        <v>0.65341421399999999</v>
      </c>
      <c r="BP193" s="293">
        <v>0.49567523899999999</v>
      </c>
      <c r="BQ193" s="293">
        <v>0.57674931800000007</v>
      </c>
      <c r="BR193" s="293">
        <v>0.50529670800000004</v>
      </c>
      <c r="BS193" s="293">
        <v>9.5521677999999999E-2</v>
      </c>
      <c r="BT193" s="293">
        <v>0.105622539</v>
      </c>
      <c r="BU193" s="293">
        <v>0.56036054599999996</v>
      </c>
      <c r="BV193" s="293">
        <v>0.64251579300000006</v>
      </c>
      <c r="BW193" s="293">
        <v>0.55771965899999998</v>
      </c>
      <c r="BX193" s="293">
        <v>0.53600350299999999</v>
      </c>
      <c r="BY193" s="293">
        <v>0.80682630300000002</v>
      </c>
      <c r="BZ193" s="293">
        <v>0.56963029600000004</v>
      </c>
      <c r="CA193" s="293">
        <v>0.52862445599999996</v>
      </c>
      <c r="CB193" s="293">
        <v>0.48679959500000003</v>
      </c>
      <c r="CC193" s="293">
        <v>0.56113712699999996</v>
      </c>
      <c r="CD193" s="293">
        <v>1.885120474</v>
      </c>
      <c r="CE193" s="294">
        <v>0.43775842799999998</v>
      </c>
      <c r="CF193" s="293">
        <v>0.63325853199999993</v>
      </c>
      <c r="CG193" s="293">
        <v>0.55241924600000003</v>
      </c>
      <c r="CH193" s="293">
        <v>0.595389689</v>
      </c>
      <c r="CI193" s="293">
        <v>0.87546887500000004</v>
      </c>
      <c r="CJ193" s="293">
        <v>0.96302336100000008</v>
      </c>
      <c r="CK193" s="293">
        <v>0.92613883200000002</v>
      </c>
      <c r="CL193" s="293">
        <v>0.82517180199999995</v>
      </c>
      <c r="CM193" s="293">
        <v>0.93490722700000006</v>
      </c>
      <c r="CN193" s="293">
        <v>0.91085353299999994</v>
      </c>
      <c r="CO193" s="293">
        <v>0.93224206100000007</v>
      </c>
      <c r="CP193" s="295">
        <v>1.6087429010000001</v>
      </c>
      <c r="CQ193" s="293">
        <v>0.80325418900000001</v>
      </c>
      <c r="CR193" s="293">
        <v>0.64387652000000006</v>
      </c>
      <c r="CS193" s="293">
        <v>0.77465740400000005</v>
      </c>
      <c r="CT193" s="293">
        <v>1.4158631419999999</v>
      </c>
      <c r="CU193" s="293">
        <v>0.718553212</v>
      </c>
      <c r="CV193" s="293">
        <v>1.045601652</v>
      </c>
      <c r="CW193" s="293">
        <v>0.63456845799999995</v>
      </c>
      <c r="CX193" s="293">
        <v>0.83867577900000001</v>
      </c>
      <c r="CY193" s="293">
        <v>0.80749045200000003</v>
      </c>
      <c r="CZ193" s="293">
        <v>1.032675365</v>
      </c>
      <c r="DA193" s="293">
        <v>0.93099811999999993</v>
      </c>
      <c r="DB193" s="1288">
        <v>1.504073797</v>
      </c>
      <c r="DC193" s="293">
        <v>1.0974710992800216</v>
      </c>
      <c r="DD193" s="293">
        <v>0.74212128454311965</v>
      </c>
      <c r="DE193" s="293">
        <v>2.2266938412405284</v>
      </c>
      <c r="DF193" s="293">
        <v>2.0961486540846499</v>
      </c>
      <c r="DG193" s="293">
        <v>1.4777879853964331</v>
      </c>
      <c r="DH193" s="293">
        <v>1.6341915034027055</v>
      </c>
      <c r="DI193" s="293">
        <v>0.74921633407102295</v>
      </c>
      <c r="DJ193" s="293">
        <v>0.93989180587193821</v>
      </c>
      <c r="DK193" s="293">
        <v>1.9052163866592489</v>
      </c>
      <c r="DL193" s="293">
        <v>1.13536108929511</v>
      </c>
      <c r="DM193" s="293">
        <v>1.2882108565745227</v>
      </c>
      <c r="DN193" s="295">
        <v>2.8429498702577267</v>
      </c>
      <c r="DO193" s="293">
        <v>1.9738792970000001</v>
      </c>
      <c r="DP193" s="293">
        <v>2.085350864</v>
      </c>
      <c r="DQ193" s="293">
        <v>6.432214793</v>
      </c>
      <c r="DR193" s="293">
        <v>2.193174451</v>
      </c>
      <c r="DS193" s="293">
        <v>2.154945643</v>
      </c>
      <c r="DT193" s="293">
        <v>6.5718737695072731</v>
      </c>
      <c r="DU193" s="293">
        <v>0.449085293</v>
      </c>
      <c r="DV193" s="293">
        <v>0.493420466</v>
      </c>
      <c r="DW193" s="293">
        <v>0.75390674599999996</v>
      </c>
      <c r="DX193" s="293">
        <v>0.924633174</v>
      </c>
      <c r="DY193" s="293">
        <v>0.81351630600000002</v>
      </c>
      <c r="DZ193" s="295">
        <v>2.3891759110000002</v>
      </c>
      <c r="EA193" s="293">
        <v>0.32607398900000001</v>
      </c>
      <c r="EB193" s="293">
        <v>0.30052999899999999</v>
      </c>
      <c r="EC193" s="293">
        <v>0.42425116299999999</v>
      </c>
      <c r="ED193" s="293">
        <v>0.98424073199999995</v>
      </c>
      <c r="EE193" s="293">
        <v>0.73582027299999997</v>
      </c>
      <c r="EF193" s="293">
        <v>1.1198518319999999</v>
      </c>
      <c r="EG193" s="293">
        <v>0.88174038399999999</v>
      </c>
      <c r="EH193" s="293">
        <v>0.71340476500000005</v>
      </c>
      <c r="EI193" s="293">
        <v>1.4998148529999999</v>
      </c>
      <c r="EJ193" s="293">
        <v>1.2536009363499998</v>
      </c>
      <c r="EK193" s="293">
        <v>1.3194990874300001</v>
      </c>
      <c r="EL193" s="295">
        <v>2.3643062660399998</v>
      </c>
      <c r="EM193" s="1080">
        <v>0.36576358599999997</v>
      </c>
      <c r="EN193" s="1080">
        <v>1.041379144</v>
      </c>
      <c r="EO193" s="1080">
        <v>0.81745553599999998</v>
      </c>
      <c r="EP193" s="1080">
        <v>1.50210788968</v>
      </c>
      <c r="EQ193" s="1080">
        <v>0.91721744599999999</v>
      </c>
      <c r="ER193" s="1080">
        <v>0.80780859800000004</v>
      </c>
      <c r="ES193" s="1080">
        <v>0.88441181300000005</v>
      </c>
      <c r="ET193" s="1080">
        <v>1.0682089880000001</v>
      </c>
      <c r="EU193" s="1080">
        <v>0.85423960399999999</v>
      </c>
      <c r="EV193" s="1080">
        <v>1.4936174532499999</v>
      </c>
      <c r="EW193" s="1080">
        <v>0.8772453398861999</v>
      </c>
      <c r="EX193" s="1340">
        <v>1.4849746738766501</v>
      </c>
      <c r="EY193" s="1080"/>
      <c r="EZ193" s="1080"/>
      <c r="FA193" s="1080"/>
      <c r="FB193" s="1080"/>
      <c r="FC193" s="1080"/>
      <c r="FD193" s="1080"/>
      <c r="FE193" s="1080"/>
      <c r="FF193" s="1080"/>
      <c r="FG193" s="1080"/>
      <c r="FH193" s="1080"/>
      <c r="FI193" s="1080"/>
      <c r="FJ193" s="1340"/>
      <c r="FK193" s="1080"/>
      <c r="FL193" s="1080"/>
      <c r="FM193" s="1080"/>
      <c r="FN193" s="1080"/>
      <c r="FO193" s="1080"/>
      <c r="FP193" s="1080"/>
      <c r="FQ193" s="293"/>
      <c r="FR193" s="293"/>
      <c r="FS193" s="293"/>
      <c r="FT193" s="293"/>
      <c r="FU193" s="293"/>
      <c r="FV193" s="293"/>
      <c r="FW193" s="293"/>
      <c r="FX193" s="293"/>
      <c r="FY193" s="293"/>
      <c r="FZ193" s="293"/>
      <c r="GA193" s="293"/>
      <c r="GB193" s="293"/>
      <c r="GC193" s="293"/>
      <c r="GD193" s="293"/>
      <c r="GE193" s="293"/>
      <c r="GF193" s="293"/>
      <c r="GG193" s="293"/>
      <c r="GH193" s="293"/>
      <c r="GI193" s="293"/>
      <c r="GJ193" s="293"/>
      <c r="GK193" s="293"/>
      <c r="GL193" s="293"/>
      <c r="GM193" s="293"/>
      <c r="GN193" s="293"/>
      <c r="GO193" s="293"/>
      <c r="GP193" s="293"/>
      <c r="GQ193" s="293"/>
      <c r="GR193" s="293"/>
      <c r="GS193" s="293"/>
      <c r="GT193" s="293"/>
      <c r="GU193" s="293"/>
      <c r="GV193" s="293"/>
      <c r="GW193" s="293"/>
      <c r="GX193" s="293"/>
      <c r="GY193" s="293"/>
      <c r="GZ193" s="293"/>
      <c r="HA193" s="293"/>
      <c r="HB193" s="293"/>
      <c r="HC193" s="293"/>
      <c r="HD193" s="293"/>
      <c r="HE193" s="293"/>
      <c r="HF193" s="293"/>
      <c r="HG193" s="293"/>
      <c r="HH193" s="293"/>
      <c r="HI193" s="293"/>
      <c r="HJ193" s="293"/>
      <c r="HK193" s="293"/>
      <c r="HL193" s="293"/>
      <c r="HM193" s="293"/>
      <c r="HN193" s="293"/>
      <c r="HO193" s="293"/>
      <c r="HP193" s="293"/>
      <c r="HQ193" s="293"/>
      <c r="HR193" s="293"/>
      <c r="HS193" s="293"/>
      <c r="HT193" s="293"/>
      <c r="HU193" s="293"/>
      <c r="HV193" s="293"/>
      <c r="HW193" s="293"/>
      <c r="HX193" s="293"/>
      <c r="HY193" s="293"/>
      <c r="IH193" s="279">
        <f t="shared" si="229"/>
        <v>9.2744143679474575</v>
      </c>
      <c r="II193" s="279">
        <f t="shared" si="230"/>
        <v>8.8608463427295696</v>
      </c>
      <c r="IJ193" s="323">
        <f t="shared" si="232"/>
        <v>18.135260710677027</v>
      </c>
      <c r="IK193" s="279">
        <f t="shared" si="231"/>
        <v>21.411438817507271</v>
      </c>
      <c r="KT193" s="280"/>
    </row>
    <row r="194" spans="2:306" hidden="1" outlineLevel="1">
      <c r="B194" s="96" t="s">
        <v>338</v>
      </c>
      <c r="D194" s="301" t="s">
        <v>401</v>
      </c>
      <c r="E194" s="293"/>
      <c r="F194" s="293"/>
      <c r="G194" s="293"/>
      <c r="H194" s="293"/>
      <c r="I194" s="293"/>
      <c r="J194" s="293"/>
      <c r="K194" s="293"/>
      <c r="L194" s="293"/>
      <c r="M194" s="293"/>
      <c r="N194" s="293"/>
      <c r="O194" s="293"/>
      <c r="P194" s="293"/>
      <c r="Q194" s="293"/>
      <c r="R194" s="293"/>
      <c r="S194" s="293"/>
      <c r="T194" s="293"/>
      <c r="U194" s="293"/>
      <c r="V194" s="293"/>
      <c r="W194" s="293"/>
      <c r="X194" s="293"/>
      <c r="Y194" s="293"/>
      <c r="Z194" s="293"/>
      <c r="AA194" s="293"/>
      <c r="AB194" s="293"/>
      <c r="AC194" s="293"/>
      <c r="AD194" s="293"/>
      <c r="AE194" s="293"/>
      <c r="AF194" s="293"/>
      <c r="AG194" s="293"/>
      <c r="AH194" s="293"/>
      <c r="AI194" s="293"/>
      <c r="AJ194" s="293"/>
      <c r="AK194" s="293"/>
      <c r="AL194" s="293"/>
      <c r="AM194" s="293"/>
      <c r="AN194" s="293"/>
      <c r="AO194" s="293">
        <v>0</v>
      </c>
      <c r="AP194" s="293">
        <v>0</v>
      </c>
      <c r="AQ194" s="293">
        <v>0</v>
      </c>
      <c r="AR194" s="293">
        <v>0</v>
      </c>
      <c r="AS194" s="293">
        <v>0</v>
      </c>
      <c r="AT194" s="293">
        <v>0</v>
      </c>
      <c r="AU194" s="293">
        <v>0</v>
      </c>
      <c r="AV194" s="293">
        <v>0</v>
      </c>
      <c r="AW194" s="293">
        <v>0</v>
      </c>
      <c r="AX194" s="293">
        <v>0</v>
      </c>
      <c r="AY194" s="293">
        <v>0</v>
      </c>
      <c r="AZ194" s="293">
        <v>0</v>
      </c>
      <c r="BA194" s="293">
        <v>0</v>
      </c>
      <c r="BB194" s="293">
        <v>0</v>
      </c>
      <c r="BC194" s="293">
        <v>0</v>
      </c>
      <c r="BD194" s="293">
        <v>0</v>
      </c>
      <c r="BE194" s="293">
        <v>0</v>
      </c>
      <c r="BF194" s="293">
        <v>0</v>
      </c>
      <c r="BG194" s="293">
        <v>0</v>
      </c>
      <c r="BH194" s="293">
        <v>0</v>
      </c>
      <c r="BI194" s="293">
        <v>0</v>
      </c>
      <c r="BJ194" s="293">
        <v>0</v>
      </c>
      <c r="BK194" s="293">
        <v>0</v>
      </c>
      <c r="BL194" s="293">
        <v>0</v>
      </c>
      <c r="BM194" s="293">
        <v>0</v>
      </c>
      <c r="BN194" s="293">
        <v>0</v>
      </c>
      <c r="BO194" s="293">
        <v>0</v>
      </c>
      <c r="BP194" s="293">
        <v>0</v>
      </c>
      <c r="BQ194" s="293">
        <v>0</v>
      </c>
      <c r="BR194" s="293">
        <v>0</v>
      </c>
      <c r="BS194" s="293">
        <v>0</v>
      </c>
      <c r="BT194" s="293">
        <v>0</v>
      </c>
      <c r="BU194" s="293">
        <v>0</v>
      </c>
      <c r="BV194" s="293">
        <v>0</v>
      </c>
      <c r="BW194" s="293">
        <v>0</v>
      </c>
      <c r="BX194" s="293">
        <v>0</v>
      </c>
      <c r="BY194" s="293">
        <v>0</v>
      </c>
      <c r="BZ194" s="293">
        <v>0</v>
      </c>
      <c r="CA194" s="293">
        <v>0</v>
      </c>
      <c r="CB194" s="293">
        <v>0</v>
      </c>
      <c r="CC194" s="293">
        <v>0</v>
      </c>
      <c r="CD194" s="293">
        <v>0.58233988599999997</v>
      </c>
      <c r="CE194" s="294">
        <v>0.629318661</v>
      </c>
      <c r="CF194" s="293">
        <v>0.51800916099999994</v>
      </c>
      <c r="CG194" s="293">
        <v>0.65416573500000008</v>
      </c>
      <c r="CH194" s="293">
        <v>0.73373279300000005</v>
      </c>
      <c r="CI194" s="293">
        <v>0.68884042699999992</v>
      </c>
      <c r="CJ194" s="293">
        <v>0.79292907999999995</v>
      </c>
      <c r="CK194" s="293">
        <v>1.7612558650000001</v>
      </c>
      <c r="CL194" s="293">
        <v>1.3336675900000001</v>
      </c>
      <c r="CM194" s="293">
        <v>1.1453635799999999</v>
      </c>
      <c r="CN194" s="293">
        <v>1.0733166859999999</v>
      </c>
      <c r="CO194" s="293">
        <v>0.90512822500000001</v>
      </c>
      <c r="CP194" s="295">
        <v>0.91321000000000008</v>
      </c>
      <c r="CQ194" s="293">
        <v>1.045705076</v>
      </c>
      <c r="CR194" s="293">
        <v>0.91168561699999995</v>
      </c>
      <c r="CS194" s="293">
        <v>0.83871854099999998</v>
      </c>
      <c r="CT194" s="293">
        <v>0.89537611900000003</v>
      </c>
      <c r="CU194" s="293">
        <v>0.819195275</v>
      </c>
      <c r="CV194" s="293">
        <v>0.99368840699999994</v>
      </c>
      <c r="CW194" s="293">
        <v>1.4450589490000001</v>
      </c>
      <c r="CX194" s="293">
        <v>1.188117052</v>
      </c>
      <c r="CY194" s="293">
        <v>1.0391329629999999</v>
      </c>
      <c r="CZ194" s="293">
        <v>1.1788147710000001</v>
      </c>
      <c r="DA194" s="293">
        <v>1.3849562040000001</v>
      </c>
      <c r="DB194" s="1288">
        <v>1.2800448759999998</v>
      </c>
      <c r="DC194" s="293">
        <v>1.1815283690096601</v>
      </c>
      <c r="DD194" s="293">
        <v>1.1360161009769265</v>
      </c>
      <c r="DE194" s="293">
        <v>1.3817463324811157</v>
      </c>
      <c r="DF194" s="293">
        <v>1.3352885586515719</v>
      </c>
      <c r="DG194" s="293">
        <v>1.1787494252211799</v>
      </c>
      <c r="DH194" s="293">
        <v>1.3609376436596159</v>
      </c>
      <c r="DI194" s="293">
        <v>1.589835722361155</v>
      </c>
      <c r="DJ194" s="293">
        <v>1.4502970102299795</v>
      </c>
      <c r="DK194" s="293">
        <v>1.4444443470333748</v>
      </c>
      <c r="DL194" s="293">
        <v>1.3604568425000505</v>
      </c>
      <c r="DM194" s="293">
        <v>1.609112713502624</v>
      </c>
      <c r="DN194" s="295">
        <v>1.5221480519397466</v>
      </c>
      <c r="DO194" s="293">
        <v>0.40206831700000001</v>
      </c>
      <c r="DP194" s="293">
        <v>0.36239810300000003</v>
      </c>
      <c r="DQ194" s="293">
        <v>0.438039175</v>
      </c>
      <c r="DR194" s="293">
        <v>0.413038452</v>
      </c>
      <c r="DS194" s="293">
        <v>0.31101383999999999</v>
      </c>
      <c r="DT194" s="293">
        <v>0.52413685988000003</v>
      </c>
      <c r="DU194" s="293">
        <v>1.5071562679999999</v>
      </c>
      <c r="DV194" s="293">
        <v>1.523155217</v>
      </c>
      <c r="DW194" s="293">
        <v>1.4732986830000001</v>
      </c>
      <c r="DX194" s="293">
        <v>1.308768213</v>
      </c>
      <c r="DY194" s="293">
        <v>1.4789923279999999</v>
      </c>
      <c r="DZ194" s="295">
        <v>1.5219058860000001</v>
      </c>
      <c r="EA194" s="293">
        <v>1.551301646</v>
      </c>
      <c r="EB194" s="293">
        <v>1.670932079</v>
      </c>
      <c r="EC194" s="293">
        <v>1.6919992159999999</v>
      </c>
      <c r="ED194" s="293">
        <v>1.7413080249999999</v>
      </c>
      <c r="EE194" s="293">
        <v>1.5599056609999999</v>
      </c>
      <c r="EF194" s="293">
        <v>1.7685579</v>
      </c>
      <c r="EG194" s="293">
        <v>2.4212169239999999</v>
      </c>
      <c r="EH194" s="293">
        <v>1.5724289149999999</v>
      </c>
      <c r="EI194" s="293">
        <v>1.8917757909999999</v>
      </c>
      <c r="EJ194" s="293">
        <v>1.376678697</v>
      </c>
      <c r="EK194" s="293">
        <v>1.6472211219999999</v>
      </c>
      <c r="EL194" s="295">
        <v>1.8226267380000001</v>
      </c>
      <c r="EM194" s="1080">
        <v>1.787913909</v>
      </c>
      <c r="EN194" s="1080">
        <v>1.631251279</v>
      </c>
      <c r="EO194" s="1080">
        <v>1.5691092040000001</v>
      </c>
      <c r="EP194" s="1080">
        <v>1.592724517</v>
      </c>
      <c r="EQ194" s="1080">
        <v>1.6711957230000001</v>
      </c>
      <c r="ER194" s="1080">
        <v>1.627535891</v>
      </c>
      <c r="ES194" s="1080">
        <v>2.374728755</v>
      </c>
      <c r="ET194" s="1080">
        <v>1.901340464</v>
      </c>
      <c r="EU194" s="1080">
        <v>1.634244034</v>
      </c>
      <c r="EV194" s="1080">
        <v>1.9430238609999999</v>
      </c>
      <c r="EW194" s="1080">
        <v>1.774636632</v>
      </c>
      <c r="EX194" s="1340">
        <v>1.579133259</v>
      </c>
      <c r="EY194" s="1080"/>
      <c r="EZ194" s="1080"/>
      <c r="FA194" s="1080"/>
      <c r="FB194" s="1080"/>
      <c r="FC194" s="1080"/>
      <c r="FD194" s="1080"/>
      <c r="FE194" s="1080"/>
      <c r="FF194" s="1080"/>
      <c r="FG194" s="1080"/>
      <c r="FH194" s="1080"/>
      <c r="FI194" s="1080"/>
      <c r="FJ194" s="1340"/>
      <c r="FK194" s="1080"/>
      <c r="FL194" s="1080"/>
      <c r="FM194" s="1080"/>
      <c r="FN194" s="1080"/>
      <c r="FO194" s="1080"/>
      <c r="FP194" s="1080"/>
      <c r="FQ194" s="293"/>
      <c r="FR194" s="293"/>
      <c r="FS194" s="293"/>
      <c r="FT194" s="293"/>
      <c r="FU194" s="293"/>
      <c r="FV194" s="293"/>
      <c r="FW194" s="293"/>
      <c r="FX194" s="293"/>
      <c r="FY194" s="293"/>
      <c r="FZ194" s="293"/>
      <c r="GA194" s="293"/>
      <c r="GB194" s="293"/>
      <c r="GC194" s="293"/>
      <c r="GD194" s="293"/>
      <c r="GE194" s="293"/>
      <c r="GF194" s="293"/>
      <c r="GG194" s="293"/>
      <c r="GH194" s="293"/>
      <c r="GI194" s="293"/>
      <c r="GJ194" s="293"/>
      <c r="GK194" s="293"/>
      <c r="GL194" s="293"/>
      <c r="GM194" s="293"/>
      <c r="GN194" s="293"/>
      <c r="GO194" s="293"/>
      <c r="GP194" s="293"/>
      <c r="GQ194" s="293"/>
      <c r="GR194" s="293"/>
      <c r="GS194" s="293"/>
      <c r="GT194" s="293"/>
      <c r="GU194" s="293"/>
      <c r="GV194" s="293"/>
      <c r="GW194" s="293"/>
      <c r="GX194" s="293"/>
      <c r="GY194" s="293"/>
      <c r="GZ194" s="293"/>
      <c r="HA194" s="293"/>
      <c r="HB194" s="293"/>
      <c r="HC194" s="293"/>
      <c r="HD194" s="293"/>
      <c r="HE194" s="293"/>
      <c r="HF194" s="293"/>
      <c r="HG194" s="293"/>
      <c r="HH194" s="293"/>
      <c r="HI194" s="293"/>
      <c r="HJ194" s="293"/>
      <c r="HK194" s="293"/>
      <c r="HL194" s="293"/>
      <c r="HM194" s="293"/>
      <c r="HN194" s="293"/>
      <c r="HO194" s="293"/>
      <c r="HP194" s="293"/>
      <c r="HQ194" s="293"/>
      <c r="HR194" s="293"/>
      <c r="HS194" s="293"/>
      <c r="HT194" s="293"/>
      <c r="HU194" s="293"/>
      <c r="HV194" s="293"/>
      <c r="HW194" s="293"/>
      <c r="HX194" s="293"/>
      <c r="HY194" s="293"/>
      <c r="IH194" s="279">
        <f t="shared" si="229"/>
        <v>7.5742664300000699</v>
      </c>
      <c r="II194" s="279">
        <f t="shared" si="230"/>
        <v>8.9762946875669307</v>
      </c>
      <c r="IJ194" s="323">
        <f t="shared" si="232"/>
        <v>16.550561117567</v>
      </c>
      <c r="IK194" s="279">
        <f t="shared" si="231"/>
        <v>2.45069474688</v>
      </c>
      <c r="KT194" s="280"/>
    </row>
    <row r="195" spans="2:306" hidden="1" outlineLevel="1">
      <c r="B195" s="96" t="s">
        <v>338</v>
      </c>
      <c r="D195" s="310" t="s">
        <v>402</v>
      </c>
      <c r="E195" s="293">
        <v>0.51043588899999992</v>
      </c>
      <c r="F195" s="293">
        <v>0.59533349299999994</v>
      </c>
      <c r="G195" s="293">
        <v>0.16881130599999999</v>
      </c>
      <c r="H195" s="293">
        <v>0.190505955</v>
      </c>
      <c r="I195" s="293">
        <v>0.59769560899999996</v>
      </c>
      <c r="J195" s="293">
        <v>0.67156816200000002</v>
      </c>
      <c r="K195" s="293">
        <v>0.14309806</v>
      </c>
      <c r="L195" s="293">
        <v>0.34538849800000004</v>
      </c>
      <c r="M195" s="293">
        <v>0.23676393900000001</v>
      </c>
      <c r="N195" s="293">
        <v>0.51891846099999994</v>
      </c>
      <c r="O195" s="293">
        <v>0.27233487100000003</v>
      </c>
      <c r="P195" s="293">
        <v>0.349337703</v>
      </c>
      <c r="Q195" s="293">
        <v>0.22770505199999999</v>
      </c>
      <c r="R195" s="293">
        <v>0.35053569000000001</v>
      </c>
      <c r="S195" s="293">
        <v>0.39753375399999996</v>
      </c>
      <c r="T195" s="293">
        <v>3.467868824</v>
      </c>
      <c r="U195" s="293">
        <v>0.428436229</v>
      </c>
      <c r="V195" s="293">
        <v>2.5673598780000004</v>
      </c>
      <c r="W195" s="293">
        <v>0.162958561</v>
      </c>
      <c r="X195" s="293">
        <v>0.118537937</v>
      </c>
      <c r="Y195" s="293">
        <v>0.10518528000000001</v>
      </c>
      <c r="Z195" s="293">
        <v>0.106033959</v>
      </c>
      <c r="AA195" s="293">
        <v>4.6348655999999995E-2</v>
      </c>
      <c r="AB195" s="293">
        <v>9.9991527000000011E-2</v>
      </c>
      <c r="AC195" s="293">
        <v>9.0436375999999999E-2</v>
      </c>
      <c r="AD195" s="293">
        <v>0.11741546</v>
      </c>
      <c r="AE195" s="293"/>
      <c r="AF195" s="293"/>
      <c r="AG195" s="293"/>
      <c r="AH195" s="293"/>
      <c r="AI195" s="293"/>
      <c r="AJ195" s="293"/>
      <c r="AK195" s="293"/>
      <c r="AL195" s="293"/>
      <c r="AM195" s="293"/>
      <c r="AN195" s="293"/>
      <c r="AO195" s="293">
        <v>7.1936314000000001E-2</v>
      </c>
      <c r="AP195" s="293">
        <v>6.4749290000000001E-2</v>
      </c>
      <c r="AQ195" s="293">
        <v>0.108295673</v>
      </c>
      <c r="AR195" s="293">
        <v>9.3889595000000006E-2</v>
      </c>
      <c r="AS195" s="293">
        <v>5.6345526999999999E-2</v>
      </c>
      <c r="AT195" s="293">
        <v>0.16628030200000002</v>
      </c>
      <c r="AU195" s="293">
        <v>8.6632199999999993E-2</v>
      </c>
      <c r="AV195" s="293">
        <v>7.129563400000001E-2</v>
      </c>
      <c r="AW195" s="293">
        <v>7.7075128000000007E-2</v>
      </c>
      <c r="AX195" s="293">
        <v>0.23618899500000001</v>
      </c>
      <c r="AY195" s="293">
        <v>0.29053895599999996</v>
      </c>
      <c r="AZ195" s="293">
        <v>0.13944986499999998</v>
      </c>
      <c r="BA195" s="293">
        <v>0.124351133</v>
      </c>
      <c r="BB195" s="293">
        <v>0.15509736499999999</v>
      </c>
      <c r="BC195" s="293">
        <v>0.107538148</v>
      </c>
      <c r="BD195" s="293">
        <v>0.116377364</v>
      </c>
      <c r="BE195" s="293">
        <v>0.25902786500000002</v>
      </c>
      <c r="BF195" s="293">
        <v>0.13770755900000001</v>
      </c>
      <c r="BG195" s="293">
        <v>6.7470583000000001E-2</v>
      </c>
      <c r="BH195" s="293">
        <v>0.12195373</v>
      </c>
      <c r="BI195" s="293">
        <v>2.3297788E-2</v>
      </c>
      <c r="BJ195" s="293">
        <v>2.3415128E-2</v>
      </c>
      <c r="BK195" s="293">
        <v>2.2793759E-2</v>
      </c>
      <c r="BL195" s="293">
        <v>0.28776921</v>
      </c>
      <c r="BM195" s="293">
        <v>5.3154139999999992E-3</v>
      </c>
      <c r="BN195" s="293">
        <v>0</v>
      </c>
      <c r="BO195" s="293">
        <v>0</v>
      </c>
      <c r="BP195" s="293">
        <v>0</v>
      </c>
      <c r="BQ195" s="293">
        <v>1.19505E-4</v>
      </c>
      <c r="BR195" s="293">
        <v>4.043807E-3</v>
      </c>
      <c r="BS195" s="293">
        <v>0</v>
      </c>
      <c r="BT195" s="293">
        <v>0</v>
      </c>
      <c r="BU195" s="293">
        <v>1.7999999999999999E-6</v>
      </c>
      <c r="BV195" s="293">
        <v>1.55382E-4</v>
      </c>
      <c r="BW195" s="293">
        <v>0</v>
      </c>
      <c r="BX195" s="293">
        <v>0</v>
      </c>
      <c r="BY195" s="293">
        <v>0</v>
      </c>
      <c r="BZ195" s="293">
        <v>0</v>
      </c>
      <c r="CA195" s="293">
        <v>0</v>
      </c>
      <c r="CB195" s="293">
        <v>0</v>
      </c>
      <c r="CC195" s="293">
        <v>0</v>
      </c>
      <c r="CD195" s="293">
        <v>0</v>
      </c>
      <c r="CE195" s="294">
        <v>0</v>
      </c>
      <c r="CF195" s="293">
        <v>0</v>
      </c>
      <c r="CG195" s="293">
        <v>0</v>
      </c>
      <c r="CH195" s="293">
        <v>0</v>
      </c>
      <c r="CI195" s="293">
        <v>0</v>
      </c>
      <c r="CJ195" s="293">
        <v>0</v>
      </c>
      <c r="CK195" s="293">
        <v>0</v>
      </c>
      <c r="CL195" s="293">
        <v>0</v>
      </c>
      <c r="CM195" s="293">
        <v>0</v>
      </c>
      <c r="CN195" s="293">
        <v>0</v>
      </c>
      <c r="CO195" s="293">
        <v>0</v>
      </c>
      <c r="CP195" s="295">
        <v>0</v>
      </c>
      <c r="CQ195" s="293">
        <v>6.9235546999999995E-2</v>
      </c>
      <c r="CR195" s="293">
        <v>7.3780362999999988E-2</v>
      </c>
      <c r="CS195" s="293">
        <v>1.0280086000000001E-2</v>
      </c>
      <c r="CT195" s="293">
        <v>2.9247924999999998E-2</v>
      </c>
      <c r="CU195" s="293">
        <v>3.5117239999999999E-3</v>
      </c>
      <c r="CV195" s="293">
        <v>9.5607241999999995E-2</v>
      </c>
      <c r="CW195" s="293">
        <v>6.3483958000000007E-2</v>
      </c>
      <c r="CX195" s="293">
        <v>3.7016286000000002E-2</v>
      </c>
      <c r="CY195" s="293">
        <v>4.3501970000000001E-2</v>
      </c>
      <c r="CZ195" s="293">
        <v>0.120280361</v>
      </c>
      <c r="DA195" s="293">
        <v>0.47558393300000001</v>
      </c>
      <c r="DB195" s="1288">
        <v>0.114127432</v>
      </c>
      <c r="DC195" s="293">
        <v>0</v>
      </c>
      <c r="DD195" s="293">
        <v>0</v>
      </c>
      <c r="DE195" s="293">
        <v>0</v>
      </c>
      <c r="DF195" s="293">
        <v>0</v>
      </c>
      <c r="DG195" s="293">
        <v>0</v>
      </c>
      <c r="DH195" s="293">
        <v>0</v>
      </c>
      <c r="DI195" s="293">
        <v>0</v>
      </c>
      <c r="DJ195" s="293">
        <v>0</v>
      </c>
      <c r="DK195" s="293">
        <v>0</v>
      </c>
      <c r="DL195" s="293">
        <v>0</v>
      </c>
      <c r="DM195" s="293">
        <v>0</v>
      </c>
      <c r="DN195" s="295">
        <v>0</v>
      </c>
      <c r="DO195" s="293">
        <v>1.1567251160000001</v>
      </c>
      <c r="DP195" s="293">
        <v>1.324632807</v>
      </c>
      <c r="DQ195" s="293">
        <v>1.4323874729999999</v>
      </c>
      <c r="DR195" s="293">
        <v>1.2586472609999999</v>
      </c>
      <c r="DS195" s="293">
        <v>1.336750181</v>
      </c>
      <c r="DT195" s="293">
        <v>1.403390965</v>
      </c>
      <c r="DU195" s="293">
        <v>0</v>
      </c>
      <c r="DV195" s="293">
        <v>0</v>
      </c>
      <c r="DW195" s="293">
        <v>0</v>
      </c>
      <c r="DX195" s="293">
        <v>0</v>
      </c>
      <c r="DY195" s="293">
        <v>0</v>
      </c>
      <c r="DZ195" s="295">
        <v>0</v>
      </c>
      <c r="EA195" s="293">
        <v>0</v>
      </c>
      <c r="EB195" s="293">
        <v>0</v>
      </c>
      <c r="EC195" s="293">
        <v>0</v>
      </c>
      <c r="ED195" s="293">
        <v>0</v>
      </c>
      <c r="EE195" s="293">
        <v>0</v>
      </c>
      <c r="EF195" s="293">
        <v>0</v>
      </c>
      <c r="EG195" s="293">
        <v>0</v>
      </c>
      <c r="EH195" s="293">
        <v>0</v>
      </c>
      <c r="EI195" s="293">
        <v>0</v>
      </c>
      <c r="EJ195" s="293">
        <v>0</v>
      </c>
      <c r="EK195" s="293">
        <v>0</v>
      </c>
      <c r="EL195" s="295">
        <v>0</v>
      </c>
      <c r="EM195" s="1080"/>
      <c r="EN195" s="1080"/>
      <c r="EO195" s="1080"/>
      <c r="EP195" s="1080"/>
      <c r="EQ195" s="1080"/>
      <c r="ER195" s="1080"/>
      <c r="ES195" s="1080"/>
      <c r="ET195" s="1080"/>
      <c r="EU195" s="1080"/>
      <c r="EV195" s="1080"/>
      <c r="EW195" s="1080"/>
      <c r="EX195" s="1340"/>
      <c r="EY195" s="1080"/>
      <c r="EZ195" s="1080"/>
      <c r="FA195" s="1080"/>
      <c r="FB195" s="1080"/>
      <c r="FC195" s="1080"/>
      <c r="FD195" s="1080"/>
      <c r="FE195" s="1080"/>
      <c r="FF195" s="1080"/>
      <c r="FG195" s="1080"/>
      <c r="FH195" s="1080"/>
      <c r="FI195" s="1080"/>
      <c r="FJ195" s="1340"/>
      <c r="FK195" s="1080"/>
      <c r="FL195" s="1080"/>
      <c r="FM195" s="1080"/>
      <c r="FN195" s="1080"/>
      <c r="FO195" s="1080"/>
      <c r="FP195" s="1080"/>
      <c r="FQ195" s="293"/>
      <c r="FR195" s="293"/>
      <c r="FS195" s="293"/>
      <c r="FT195" s="293"/>
      <c r="FU195" s="293"/>
      <c r="FV195" s="293"/>
      <c r="FW195" s="293"/>
      <c r="FX195" s="293"/>
      <c r="FY195" s="293"/>
      <c r="FZ195" s="293"/>
      <c r="GA195" s="293"/>
      <c r="GB195" s="293"/>
      <c r="GC195" s="293"/>
      <c r="GD195" s="293"/>
      <c r="GE195" s="293"/>
      <c r="GF195" s="293"/>
      <c r="GG195" s="293"/>
      <c r="GH195" s="293"/>
      <c r="GI195" s="293"/>
      <c r="GJ195" s="293"/>
      <c r="GK195" s="293"/>
      <c r="GL195" s="293"/>
      <c r="GM195" s="293"/>
      <c r="GN195" s="293"/>
      <c r="GO195" s="293"/>
      <c r="GP195" s="293"/>
      <c r="GQ195" s="293"/>
      <c r="GR195" s="293"/>
      <c r="GS195" s="293"/>
      <c r="GT195" s="293"/>
      <c r="GU195" s="293"/>
      <c r="GV195" s="293"/>
      <c r="GW195" s="293"/>
      <c r="GX195" s="293"/>
      <c r="GY195" s="293"/>
      <c r="GZ195" s="293"/>
      <c r="HA195" s="293"/>
      <c r="HB195" s="293"/>
      <c r="HC195" s="293"/>
      <c r="HD195" s="293"/>
      <c r="HE195" s="293"/>
      <c r="HF195" s="293"/>
      <c r="HG195" s="293"/>
      <c r="HH195" s="293"/>
      <c r="HI195" s="293"/>
      <c r="HJ195" s="293"/>
      <c r="HK195" s="293"/>
      <c r="HL195" s="293"/>
      <c r="HM195" s="293"/>
      <c r="HN195" s="293"/>
      <c r="HO195" s="293"/>
      <c r="HP195" s="293"/>
      <c r="HQ195" s="293"/>
      <c r="HR195" s="293"/>
      <c r="HS195" s="293"/>
      <c r="HT195" s="293"/>
      <c r="HU195" s="293"/>
      <c r="HV195" s="293"/>
      <c r="HW195" s="293"/>
      <c r="HX195" s="293"/>
      <c r="HY195" s="293"/>
      <c r="IH195" s="279">
        <f t="shared" si="229"/>
        <v>0</v>
      </c>
      <c r="II195" s="279">
        <f t="shared" si="230"/>
        <v>0</v>
      </c>
      <c r="IJ195" s="323">
        <f t="shared" si="232"/>
        <v>0</v>
      </c>
      <c r="IK195" s="279">
        <f t="shared" si="231"/>
        <v>7.9125338029999996</v>
      </c>
      <c r="KT195" s="280"/>
    </row>
    <row r="196" spans="2:306" hidden="1" outlineLevel="1">
      <c r="B196" s="96" t="s">
        <v>338</v>
      </c>
      <c r="D196" s="300" t="s">
        <v>403</v>
      </c>
      <c r="E196" s="293">
        <v>2.9332382570000002</v>
      </c>
      <c r="F196" s="293">
        <v>3.0792774760000001</v>
      </c>
      <c r="G196" s="293">
        <v>4.4445705129999995</v>
      </c>
      <c r="H196" s="293">
        <v>4.2269260419999997</v>
      </c>
      <c r="I196" s="293">
        <v>4.0744414430000004</v>
      </c>
      <c r="J196" s="293">
        <v>4.2507551110000001</v>
      </c>
      <c r="K196" s="293">
        <v>4.0267842710000004</v>
      </c>
      <c r="L196" s="293">
        <v>4.139742611</v>
      </c>
      <c r="M196" s="293">
        <v>4.3977013859999996</v>
      </c>
      <c r="N196" s="293">
        <v>4.6143862740000001</v>
      </c>
      <c r="O196" s="293">
        <v>4.4760579570000001</v>
      </c>
      <c r="P196" s="293">
        <v>4.5250458600000005</v>
      </c>
      <c r="Q196" s="293">
        <v>4.9678453669999998</v>
      </c>
      <c r="R196" s="293">
        <v>4.6283684709999999</v>
      </c>
      <c r="S196" s="293">
        <v>5.0511255279999991</v>
      </c>
      <c r="T196" s="293">
        <v>4.9823633650000003</v>
      </c>
      <c r="U196" s="293">
        <v>5.6478902030000002</v>
      </c>
      <c r="V196" s="293">
        <v>5.0021348449999996</v>
      </c>
      <c r="W196" s="293">
        <v>5.2938503370000003</v>
      </c>
      <c r="X196" s="293">
        <v>5.3367969190000002</v>
      </c>
      <c r="Y196" s="293">
        <v>5.5246360279999998</v>
      </c>
      <c r="Z196" s="293">
        <v>6.0650935820000003</v>
      </c>
      <c r="AA196" s="293">
        <v>5.2712450010000005</v>
      </c>
      <c r="AB196" s="293">
        <v>7.664936108</v>
      </c>
      <c r="AC196" s="293">
        <v>6.0401532370000002</v>
      </c>
      <c r="AD196" s="293">
        <v>5.8779158239999996</v>
      </c>
      <c r="AE196" s="293"/>
      <c r="AF196" s="293"/>
      <c r="AG196" s="293"/>
      <c r="AH196" s="293"/>
      <c r="AI196" s="293"/>
      <c r="AJ196" s="293"/>
      <c r="AK196" s="293"/>
      <c r="AL196" s="293"/>
      <c r="AM196" s="293"/>
      <c r="AN196" s="293"/>
      <c r="AO196" s="293">
        <v>7.3327856840000001</v>
      </c>
      <c r="AP196" s="293">
        <v>7.6442531790000006</v>
      </c>
      <c r="AQ196" s="293">
        <v>8.6185615159999998</v>
      </c>
      <c r="AR196" s="293">
        <v>8.2485864409999987</v>
      </c>
      <c r="AS196" s="293">
        <v>8.2009487530000005</v>
      </c>
      <c r="AT196" s="293">
        <v>8.9041467250000004</v>
      </c>
      <c r="AU196" s="293">
        <v>8.4687297340000001</v>
      </c>
      <c r="AV196" s="293">
        <v>8.5794979270000002</v>
      </c>
      <c r="AW196" s="293">
        <v>8.7436109359999996</v>
      </c>
      <c r="AX196" s="293">
        <v>8.4989378710000008</v>
      </c>
      <c r="AY196" s="293">
        <v>8.5814208399999998</v>
      </c>
      <c r="AZ196" s="293">
        <v>10.826935024000001</v>
      </c>
      <c r="BA196" s="293">
        <v>9.351875862</v>
      </c>
      <c r="BB196" s="293">
        <v>7.5012233509999993</v>
      </c>
      <c r="BC196" s="293">
        <v>10.689900809000001</v>
      </c>
      <c r="BD196" s="293">
        <v>10.010957206999999</v>
      </c>
      <c r="BE196" s="293">
        <v>10.91920009</v>
      </c>
      <c r="BF196" s="293">
        <v>10.81419548</v>
      </c>
      <c r="BG196" s="293">
        <v>8.8483190259999986</v>
      </c>
      <c r="BH196" s="293">
        <v>10.542578262999999</v>
      </c>
      <c r="BI196" s="293">
        <v>11.302019577999999</v>
      </c>
      <c r="BJ196" s="293">
        <v>10.641123443</v>
      </c>
      <c r="BK196" s="293">
        <v>11.818225319</v>
      </c>
      <c r="BL196" s="293">
        <v>12.594532768999999</v>
      </c>
      <c r="BM196" s="293">
        <v>11.089028361999999</v>
      </c>
      <c r="BN196" s="293">
        <v>11.593203157</v>
      </c>
      <c r="BO196" s="293">
        <v>13.463533010999999</v>
      </c>
      <c r="BP196" s="293">
        <v>13.396690559000001</v>
      </c>
      <c r="BQ196" s="293">
        <v>13.774590524999999</v>
      </c>
      <c r="BR196" s="293">
        <v>12.997364363999999</v>
      </c>
      <c r="BS196" s="293">
        <v>10.728923257</v>
      </c>
      <c r="BT196" s="293">
        <v>14.496312108</v>
      </c>
      <c r="BU196" s="293">
        <v>12.343439035999999</v>
      </c>
      <c r="BV196" s="293">
        <v>15.560621676999999</v>
      </c>
      <c r="BW196" s="293">
        <v>13.960924123</v>
      </c>
      <c r="BX196" s="293">
        <v>14.776709128</v>
      </c>
      <c r="BY196" s="293">
        <v>14.008395409999999</v>
      </c>
      <c r="BZ196" s="293">
        <v>17.563993609000001</v>
      </c>
      <c r="CA196" s="293">
        <v>16.131637726000001</v>
      </c>
      <c r="CB196" s="293">
        <v>15.558749470999999</v>
      </c>
      <c r="CC196" s="293">
        <v>14.162538957000001</v>
      </c>
      <c r="CD196" s="293">
        <v>0</v>
      </c>
      <c r="CE196" s="294">
        <v>0</v>
      </c>
      <c r="CF196" s="293">
        <v>0</v>
      </c>
      <c r="CG196" s="293">
        <v>0</v>
      </c>
      <c r="CH196" s="293">
        <v>0</v>
      </c>
      <c r="CI196" s="293">
        <v>0</v>
      </c>
      <c r="CJ196" s="293">
        <v>7.2668799999999997E-4</v>
      </c>
      <c r="CK196" s="293">
        <v>0</v>
      </c>
      <c r="CL196" s="293">
        <v>0</v>
      </c>
      <c r="CM196" s="293">
        <v>0</v>
      </c>
      <c r="CN196" s="293">
        <v>0</v>
      </c>
      <c r="CO196" s="293">
        <v>0</v>
      </c>
      <c r="CP196" s="295">
        <v>0</v>
      </c>
      <c r="CQ196" s="293">
        <v>0</v>
      </c>
      <c r="CR196" s="293">
        <v>0</v>
      </c>
      <c r="CS196" s="293">
        <v>0</v>
      </c>
      <c r="CT196" s="293">
        <v>0</v>
      </c>
      <c r="CU196" s="293">
        <v>0</v>
      </c>
      <c r="CV196" s="293">
        <v>0</v>
      </c>
      <c r="CW196" s="293">
        <v>7.4999999999999993E-5</v>
      </c>
      <c r="CX196" s="293">
        <v>0</v>
      </c>
      <c r="CY196" s="293">
        <v>0</v>
      </c>
      <c r="CZ196" s="293">
        <v>0</v>
      </c>
      <c r="DA196" s="293">
        <v>0</v>
      </c>
      <c r="DB196" s="1288">
        <v>0</v>
      </c>
      <c r="DC196" s="293">
        <v>0</v>
      </c>
      <c r="DD196" s="293">
        <v>0</v>
      </c>
      <c r="DE196" s="293">
        <v>0</v>
      </c>
      <c r="DF196" s="293">
        <v>0</v>
      </c>
      <c r="DG196" s="293">
        <v>0</v>
      </c>
      <c r="DH196" s="293">
        <v>0</v>
      </c>
      <c r="DI196" s="293">
        <v>0</v>
      </c>
      <c r="DJ196" s="293">
        <v>0</v>
      </c>
      <c r="DK196" s="293">
        <v>0</v>
      </c>
      <c r="DL196" s="293">
        <v>0</v>
      </c>
      <c r="DM196" s="293">
        <v>0</v>
      </c>
      <c r="DN196" s="295">
        <v>0</v>
      </c>
      <c r="DO196" s="293">
        <v>0</v>
      </c>
      <c r="DP196" s="293">
        <v>0</v>
      </c>
      <c r="DQ196" s="293">
        <v>0</v>
      </c>
      <c r="DR196" s="293">
        <v>0</v>
      </c>
      <c r="DS196" s="293">
        <v>0</v>
      </c>
      <c r="DT196" s="293">
        <v>0</v>
      </c>
      <c r="DU196" s="293">
        <v>0</v>
      </c>
      <c r="DV196" s="293">
        <v>0</v>
      </c>
      <c r="DW196" s="293">
        <v>0</v>
      </c>
      <c r="DX196" s="293">
        <v>0</v>
      </c>
      <c r="DY196" s="293">
        <v>0</v>
      </c>
      <c r="DZ196" s="295">
        <v>0</v>
      </c>
      <c r="EA196" s="293">
        <v>0</v>
      </c>
      <c r="EB196" s="293">
        <v>0</v>
      </c>
      <c r="EC196" s="293">
        <v>0</v>
      </c>
      <c r="ED196" s="293">
        <v>0</v>
      </c>
      <c r="EE196" s="293">
        <v>0</v>
      </c>
      <c r="EF196" s="293">
        <v>0</v>
      </c>
      <c r="EG196" s="293">
        <v>0</v>
      </c>
      <c r="EH196" s="293">
        <v>0</v>
      </c>
      <c r="EI196" s="293">
        <v>0</v>
      </c>
      <c r="EJ196" s="293">
        <v>0</v>
      </c>
      <c r="EK196" s="293">
        <v>0</v>
      </c>
      <c r="EL196" s="295">
        <v>0</v>
      </c>
      <c r="EM196" s="1080"/>
      <c r="EN196" s="1080"/>
      <c r="EO196" s="1080"/>
      <c r="EP196" s="1080"/>
      <c r="EQ196" s="1080"/>
      <c r="ER196" s="1080"/>
      <c r="ES196" s="1080"/>
      <c r="ET196" s="1080"/>
      <c r="EU196" s="1080"/>
      <c r="EV196" s="1080"/>
      <c r="EW196" s="1080"/>
      <c r="EX196" s="1340"/>
      <c r="EY196" s="1080"/>
      <c r="EZ196" s="1080"/>
      <c r="FA196" s="1080"/>
      <c r="FB196" s="1080"/>
      <c r="FC196" s="1080"/>
      <c r="FD196" s="1080"/>
      <c r="FE196" s="1080"/>
      <c r="FF196" s="1080"/>
      <c r="FG196" s="1080"/>
      <c r="FH196" s="1080"/>
      <c r="FI196" s="1080"/>
      <c r="FJ196" s="1340"/>
      <c r="FK196" s="1080"/>
      <c r="FL196" s="1080"/>
      <c r="FM196" s="1080"/>
      <c r="FN196" s="1080"/>
      <c r="FO196" s="1080"/>
      <c r="FP196" s="1080"/>
      <c r="FQ196" s="293"/>
      <c r="FR196" s="293"/>
      <c r="FS196" s="293"/>
      <c r="FT196" s="293"/>
      <c r="FU196" s="293"/>
      <c r="FV196" s="293"/>
      <c r="FW196" s="293"/>
      <c r="FX196" s="293"/>
      <c r="FY196" s="293"/>
      <c r="FZ196" s="293"/>
      <c r="GA196" s="293"/>
      <c r="GB196" s="293"/>
      <c r="GC196" s="293"/>
      <c r="GD196" s="293"/>
      <c r="GE196" s="293"/>
      <c r="GF196" s="293"/>
      <c r="GG196" s="293"/>
      <c r="GH196" s="293"/>
      <c r="GI196" s="293"/>
      <c r="GJ196" s="293"/>
      <c r="GK196" s="293"/>
      <c r="GL196" s="293"/>
      <c r="GM196" s="293"/>
      <c r="GN196" s="293"/>
      <c r="GO196" s="293"/>
      <c r="GP196" s="293"/>
      <c r="GQ196" s="293"/>
      <c r="GR196" s="293"/>
      <c r="GS196" s="293"/>
      <c r="GT196" s="293"/>
      <c r="GU196" s="293"/>
      <c r="GV196" s="293"/>
      <c r="GW196" s="293"/>
      <c r="GX196" s="293"/>
      <c r="GY196" s="293"/>
      <c r="GZ196" s="293"/>
      <c r="HA196" s="293"/>
      <c r="HB196" s="293"/>
      <c r="HC196" s="293"/>
      <c r="HD196" s="293"/>
      <c r="HE196" s="293"/>
      <c r="HF196" s="293"/>
      <c r="HG196" s="293"/>
      <c r="HH196" s="293"/>
      <c r="HI196" s="293"/>
      <c r="HJ196" s="293"/>
      <c r="HK196" s="293"/>
      <c r="HL196" s="293"/>
      <c r="HM196" s="293"/>
      <c r="HN196" s="293"/>
      <c r="HO196" s="293"/>
      <c r="HP196" s="293"/>
      <c r="HQ196" s="293"/>
      <c r="HR196" s="293"/>
      <c r="HS196" s="293"/>
      <c r="HT196" s="293"/>
      <c r="HU196" s="293"/>
      <c r="HV196" s="293"/>
      <c r="HW196" s="293"/>
      <c r="HX196" s="293"/>
      <c r="HY196" s="293"/>
      <c r="IH196" s="279">
        <f t="shared" si="229"/>
        <v>0</v>
      </c>
      <c r="II196" s="279">
        <f t="shared" si="230"/>
        <v>0</v>
      </c>
      <c r="IJ196" s="323">
        <f t="shared" si="232"/>
        <v>0</v>
      </c>
      <c r="IK196" s="279">
        <f t="shared" si="231"/>
        <v>0</v>
      </c>
      <c r="KT196" s="280"/>
    </row>
    <row r="197" spans="2:306" hidden="1" outlineLevel="1">
      <c r="B197" s="96" t="s">
        <v>338</v>
      </c>
      <c r="D197" s="296" t="s">
        <v>404</v>
      </c>
      <c r="E197" s="293"/>
      <c r="F197" s="293"/>
      <c r="G197" s="293"/>
      <c r="H197" s="293"/>
      <c r="I197" s="293"/>
      <c r="J197" s="293"/>
      <c r="K197" s="293"/>
      <c r="L197" s="293"/>
      <c r="M197" s="293"/>
      <c r="N197" s="293"/>
      <c r="O197" s="293"/>
      <c r="P197" s="293"/>
      <c r="Q197" s="293"/>
      <c r="R197" s="293"/>
      <c r="S197" s="293"/>
      <c r="T197" s="293"/>
      <c r="U197" s="293"/>
      <c r="V197" s="293"/>
      <c r="W197" s="293"/>
      <c r="X197" s="293"/>
      <c r="Y197" s="293"/>
      <c r="Z197" s="293"/>
      <c r="AA197" s="293"/>
      <c r="AB197" s="293"/>
      <c r="AC197" s="293"/>
      <c r="AD197" s="293"/>
      <c r="AE197" s="293"/>
      <c r="AF197" s="293"/>
      <c r="AG197" s="293"/>
      <c r="AH197" s="293"/>
      <c r="AI197" s="293"/>
      <c r="AJ197" s="293"/>
      <c r="AK197" s="293"/>
      <c r="AL197" s="293"/>
      <c r="AM197" s="293"/>
      <c r="AN197" s="293"/>
      <c r="AO197" s="293">
        <v>0</v>
      </c>
      <c r="AP197" s="293">
        <v>0</v>
      </c>
      <c r="AQ197" s="293">
        <v>0</v>
      </c>
      <c r="AR197" s="293">
        <v>0</v>
      </c>
      <c r="AS197" s="293">
        <v>0</v>
      </c>
      <c r="AT197" s="293">
        <v>0</v>
      </c>
      <c r="AU197" s="293">
        <v>0</v>
      </c>
      <c r="AV197" s="293">
        <v>0</v>
      </c>
      <c r="AW197" s="293">
        <v>0</v>
      </c>
      <c r="AX197" s="293">
        <v>0</v>
      </c>
      <c r="AY197" s="293">
        <v>0</v>
      </c>
      <c r="AZ197" s="293">
        <v>0</v>
      </c>
      <c r="BA197" s="293">
        <v>0</v>
      </c>
      <c r="BB197" s="293">
        <v>0</v>
      </c>
      <c r="BC197" s="293">
        <v>0</v>
      </c>
      <c r="BD197" s="293">
        <v>0</v>
      </c>
      <c r="BE197" s="293">
        <v>0</v>
      </c>
      <c r="BF197" s="293">
        <v>0</v>
      </c>
      <c r="BG197" s="293">
        <v>0</v>
      </c>
      <c r="BH197" s="293">
        <v>0</v>
      </c>
      <c r="BI197" s="293">
        <v>0</v>
      </c>
      <c r="BJ197" s="293">
        <v>0</v>
      </c>
      <c r="BK197" s="293">
        <v>0</v>
      </c>
      <c r="BL197" s="293">
        <v>0</v>
      </c>
      <c r="BM197" s="293">
        <v>0</v>
      </c>
      <c r="BN197" s="293">
        <v>0</v>
      </c>
      <c r="BO197" s="293">
        <v>0</v>
      </c>
      <c r="BP197" s="293">
        <v>0</v>
      </c>
      <c r="BQ197" s="293">
        <v>0</v>
      </c>
      <c r="BR197" s="293">
        <v>0</v>
      </c>
      <c r="BS197" s="293">
        <v>0</v>
      </c>
      <c r="BT197" s="293">
        <v>0</v>
      </c>
      <c r="BU197" s="293">
        <v>0</v>
      </c>
      <c r="BV197" s="293">
        <v>0</v>
      </c>
      <c r="BW197" s="293">
        <v>0</v>
      </c>
      <c r="BX197" s="293">
        <v>0</v>
      </c>
      <c r="BY197" s="293">
        <v>0</v>
      </c>
      <c r="BZ197" s="293">
        <v>0</v>
      </c>
      <c r="CA197" s="293">
        <v>0</v>
      </c>
      <c r="CB197" s="293">
        <v>0</v>
      </c>
      <c r="CC197" s="293">
        <v>0</v>
      </c>
      <c r="CD197" s="293">
        <v>15.579306693000001</v>
      </c>
      <c r="CE197" s="294">
        <v>14.555175168</v>
      </c>
      <c r="CF197" s="293">
        <v>14.671998507</v>
      </c>
      <c r="CG197" s="293">
        <v>15.335991265000001</v>
      </c>
      <c r="CH197" s="293">
        <v>15.591356877000001</v>
      </c>
      <c r="CI197" s="293">
        <v>14.565805900999999</v>
      </c>
      <c r="CJ197" s="293">
        <v>17.216675290999998</v>
      </c>
      <c r="CK197" s="293">
        <v>14.138860096</v>
      </c>
      <c r="CL197" s="293">
        <v>16.381055978999999</v>
      </c>
      <c r="CM197" s="293">
        <v>15.165185164</v>
      </c>
      <c r="CN197" s="293">
        <v>15.047129992</v>
      </c>
      <c r="CO197" s="293">
        <v>13.113095703000001</v>
      </c>
      <c r="CP197" s="295">
        <v>22.140197153000003</v>
      </c>
      <c r="CQ197" s="293">
        <v>15.629435368000001</v>
      </c>
      <c r="CR197" s="293">
        <v>15.868885430000001</v>
      </c>
      <c r="CS197" s="293">
        <v>16.207735502999999</v>
      </c>
      <c r="CT197" s="293">
        <v>16.969943535999999</v>
      </c>
      <c r="CU197" s="293">
        <v>14.876078336000001</v>
      </c>
      <c r="CV197" s="293">
        <v>19.770979649000001</v>
      </c>
      <c r="CW197" s="293">
        <v>16.868315153000001</v>
      </c>
      <c r="CX197" s="293">
        <v>14.993965596000001</v>
      </c>
      <c r="CY197" s="293">
        <v>19.468106048000003</v>
      </c>
      <c r="CZ197" s="293">
        <v>19.924163240000002</v>
      </c>
      <c r="DA197" s="293">
        <v>17.808034680000002</v>
      </c>
      <c r="DB197" s="1288">
        <v>20.206864183999997</v>
      </c>
      <c r="DC197" s="293">
        <v>17.29334367023862</v>
      </c>
      <c r="DD197" s="293">
        <v>17.264340411390595</v>
      </c>
      <c r="DE197" s="293">
        <v>17.061283504474744</v>
      </c>
      <c r="DF197" s="293">
        <v>18.254110634129951</v>
      </c>
      <c r="DG197" s="293">
        <v>17.803614037684106</v>
      </c>
      <c r="DH197" s="293">
        <v>21.668105203712681</v>
      </c>
      <c r="DI197" s="293">
        <v>18.568740039133921</v>
      </c>
      <c r="DJ197" s="293">
        <v>17.038849658992238</v>
      </c>
      <c r="DK197" s="293">
        <v>22.870363436305876</v>
      </c>
      <c r="DL197" s="293">
        <v>19.754778112022674</v>
      </c>
      <c r="DM197" s="293">
        <v>19.589362186303028</v>
      </c>
      <c r="DN197" s="295">
        <v>22.493139196913198</v>
      </c>
      <c r="DO197" s="293">
        <v>15.755649382</v>
      </c>
      <c r="DP197" s="293">
        <v>22.528660937000001</v>
      </c>
      <c r="DQ197" s="293">
        <v>21.285576414000001</v>
      </c>
      <c r="DR197" s="293">
        <v>20.393004429000001</v>
      </c>
      <c r="DS197" s="293">
        <v>20.464570034200001</v>
      </c>
      <c r="DT197" s="293">
        <v>24.131362284200002</v>
      </c>
      <c r="DU197" s="293">
        <v>21.728714793000002</v>
      </c>
      <c r="DV197" s="293">
        <v>19.483567942000001</v>
      </c>
      <c r="DW197" s="293">
        <v>22.360659637000001</v>
      </c>
      <c r="DX197" s="293">
        <v>20.337785536999998</v>
      </c>
      <c r="DY197" s="293">
        <v>24.020765660999999</v>
      </c>
      <c r="DZ197" s="295">
        <v>24.970623551999999</v>
      </c>
      <c r="EA197" s="293">
        <v>17.873543384000001</v>
      </c>
      <c r="EB197" s="293">
        <v>24.121509745000001</v>
      </c>
      <c r="EC197" s="293">
        <v>22.487363412000001</v>
      </c>
      <c r="ED197" s="293">
        <v>21.598056675999999</v>
      </c>
      <c r="EE197" s="293">
        <v>23.223126269000002</v>
      </c>
      <c r="EF197" s="293">
        <v>25.104986608000001</v>
      </c>
      <c r="EG197" s="293">
        <v>24.029021744000001</v>
      </c>
      <c r="EH197" s="293">
        <v>21.859561521</v>
      </c>
      <c r="EI197" s="293">
        <v>27.049172049999999</v>
      </c>
      <c r="EJ197" s="293">
        <v>23.242582931000001</v>
      </c>
      <c r="EK197" s="293">
        <v>23.109559966999999</v>
      </c>
      <c r="EL197" s="295">
        <v>27.965766314</v>
      </c>
      <c r="EM197" s="1080">
        <v>21.197964669000001</v>
      </c>
      <c r="EN197" s="1080">
        <v>26.297894826</v>
      </c>
      <c r="EO197" s="1080">
        <v>25.640282977999998</v>
      </c>
      <c r="EP197" s="1080">
        <v>25.162036771</v>
      </c>
      <c r="EQ197" s="1080">
        <v>26.049817039000001</v>
      </c>
      <c r="ER197" s="1080">
        <v>29.227038579800048</v>
      </c>
      <c r="ES197" s="1080">
        <v>26.956796173000001</v>
      </c>
      <c r="ET197" s="1080">
        <v>26.604466951999999</v>
      </c>
      <c r="EU197" s="1080">
        <v>28.8569176779</v>
      </c>
      <c r="EV197" s="1080">
        <v>27.234412380999999</v>
      </c>
      <c r="EW197" s="1080">
        <v>28.292670561816003</v>
      </c>
      <c r="EX197" s="1340">
        <v>29.380920583622</v>
      </c>
      <c r="EY197" s="1080"/>
      <c r="EZ197" s="1080"/>
      <c r="FA197" s="1080"/>
      <c r="FB197" s="1080"/>
      <c r="FC197" s="1080"/>
      <c r="FD197" s="1080"/>
      <c r="FE197" s="1080"/>
      <c r="FF197" s="1080"/>
      <c r="FG197" s="1080"/>
      <c r="FH197" s="1080"/>
      <c r="FI197" s="1080"/>
      <c r="FJ197" s="1340"/>
      <c r="FK197" s="1080"/>
      <c r="FL197" s="1080"/>
      <c r="FM197" s="1080"/>
      <c r="FN197" s="1080"/>
      <c r="FO197" s="1080"/>
      <c r="FP197" s="1080"/>
      <c r="FQ197" s="293"/>
      <c r="FR197" s="293"/>
      <c r="FS197" s="293"/>
      <c r="FT197" s="293"/>
      <c r="FU197" s="293"/>
      <c r="FV197" s="293"/>
      <c r="FW197" s="293"/>
      <c r="FX197" s="293"/>
      <c r="FY197" s="293"/>
      <c r="FZ197" s="293"/>
      <c r="GA197" s="293"/>
      <c r="GB197" s="293"/>
      <c r="GC197" s="293"/>
      <c r="GD197" s="293"/>
      <c r="GE197" s="293"/>
      <c r="GF197" s="293"/>
      <c r="GG197" s="293"/>
      <c r="GH197" s="293"/>
      <c r="GI197" s="293"/>
      <c r="GJ197" s="293"/>
      <c r="GK197" s="293"/>
      <c r="GL197" s="293"/>
      <c r="GM197" s="293"/>
      <c r="GN197" s="293"/>
      <c r="GO197" s="293"/>
      <c r="GP197" s="293"/>
      <c r="GQ197" s="293"/>
      <c r="GR197" s="293"/>
      <c r="GS197" s="293"/>
      <c r="GT197" s="293"/>
      <c r="GU197" s="293"/>
      <c r="GV197" s="293"/>
      <c r="GW197" s="293"/>
      <c r="GX197" s="293"/>
      <c r="GY197" s="293"/>
      <c r="GZ197" s="293"/>
      <c r="HA197" s="293"/>
      <c r="HB197" s="293"/>
      <c r="HC197" s="293"/>
      <c r="HD197" s="293"/>
      <c r="HE197" s="293"/>
      <c r="HF197" s="293"/>
      <c r="HG197" s="293"/>
      <c r="HH197" s="293"/>
      <c r="HI197" s="293"/>
      <c r="HJ197" s="293"/>
      <c r="HK197" s="293"/>
      <c r="HL197" s="293"/>
      <c r="HM197" s="293"/>
      <c r="HN197" s="293"/>
      <c r="HO197" s="293"/>
      <c r="HP197" s="293"/>
      <c r="HQ197" s="293"/>
      <c r="HR197" s="293"/>
      <c r="HS197" s="293"/>
      <c r="HT197" s="293"/>
      <c r="HU197" s="293"/>
      <c r="HV197" s="293"/>
      <c r="HW197" s="293"/>
      <c r="HX197" s="293"/>
      <c r="HY197" s="293"/>
      <c r="IH197" s="279">
        <f t="shared" si="229"/>
        <v>109.34479746163069</v>
      </c>
      <c r="II197" s="279">
        <f t="shared" si="230"/>
        <v>120.31523262967096</v>
      </c>
      <c r="IJ197" s="323">
        <f t="shared" si="232"/>
        <v>229.66003009130165</v>
      </c>
      <c r="IK197" s="279">
        <f t="shared" si="231"/>
        <v>124.55882348040001</v>
      </c>
      <c r="KT197" s="280"/>
    </row>
    <row r="198" spans="2:306" hidden="1" outlineLevel="1">
      <c r="B198" s="96" t="s">
        <v>338</v>
      </c>
      <c r="D198" s="300" t="s">
        <v>405</v>
      </c>
      <c r="E198" s="293">
        <v>0.28735226799999997</v>
      </c>
      <c r="F198" s="293">
        <v>0.38249713600000002</v>
      </c>
      <c r="G198" s="293">
        <v>0.31772095300000003</v>
      </c>
      <c r="H198" s="293">
        <v>0.26620279699999999</v>
      </c>
      <c r="I198" s="293">
        <v>0.13991230500000001</v>
      </c>
      <c r="J198" s="293">
        <v>0.50662084099999993</v>
      </c>
      <c r="K198" s="293">
        <v>0.20614450500000001</v>
      </c>
      <c r="L198" s="293">
        <v>0.196672553</v>
      </c>
      <c r="M198" s="293">
        <v>0.536623238</v>
      </c>
      <c r="N198" s="293">
        <v>0.214464977</v>
      </c>
      <c r="O198" s="293">
        <v>0.22412769299999999</v>
      </c>
      <c r="P198" s="293">
        <v>0.27270217000000002</v>
      </c>
      <c r="Q198" s="293">
        <v>0.33314452</v>
      </c>
      <c r="R198" s="293">
        <v>0.38926826599999997</v>
      </c>
      <c r="S198" s="293">
        <v>0.36614498500000003</v>
      </c>
      <c r="T198" s="293">
        <v>0.24422700999999999</v>
      </c>
      <c r="U198" s="293">
        <v>0.26945823299999999</v>
      </c>
      <c r="V198" s="293">
        <v>0.69083935099999993</v>
      </c>
      <c r="W198" s="293">
        <v>0.39985010799999998</v>
      </c>
      <c r="X198" s="293">
        <v>0.36123539499999996</v>
      </c>
      <c r="Y198" s="293">
        <v>0.86860196199999995</v>
      </c>
      <c r="Z198" s="293">
        <v>0.58919189599999999</v>
      </c>
      <c r="AA198" s="293">
        <v>0.17195264499999999</v>
      </c>
      <c r="AB198" s="293">
        <v>0.61413374899999995</v>
      </c>
      <c r="AC198" s="293">
        <v>0.51732803199999999</v>
      </c>
      <c r="AD198" s="293">
        <v>0.47324154199999996</v>
      </c>
      <c r="AE198" s="293"/>
      <c r="AF198" s="293"/>
      <c r="AG198" s="293"/>
      <c r="AH198" s="293"/>
      <c r="AI198" s="293"/>
      <c r="AJ198" s="293"/>
      <c r="AK198" s="293"/>
      <c r="AL198" s="293"/>
      <c r="AM198" s="293"/>
      <c r="AN198" s="293"/>
      <c r="AO198" s="293">
        <v>0.80222914300000003</v>
      </c>
      <c r="AP198" s="293">
        <v>0.71660440800000003</v>
      </c>
      <c r="AQ198" s="293">
        <v>1.236069286</v>
      </c>
      <c r="AR198" s="293">
        <v>0.84597403399999993</v>
      </c>
      <c r="AS198" s="293">
        <v>0.68665419299999997</v>
      </c>
      <c r="AT198" s="293">
        <v>0.63472168399999995</v>
      </c>
      <c r="AU198" s="293">
        <v>0.44518475899999999</v>
      </c>
      <c r="AV198" s="293">
        <v>1.6425906299999999</v>
      </c>
      <c r="AW198" s="293">
        <v>0.82679559499999999</v>
      </c>
      <c r="AX198" s="293">
        <v>0.84229619600000005</v>
      </c>
      <c r="AY198" s="293">
        <v>0.78873243599999998</v>
      </c>
      <c r="AZ198" s="293">
        <v>1.296531587</v>
      </c>
      <c r="BA198" s="293">
        <v>1.5860131739999999</v>
      </c>
      <c r="BB198" s="293">
        <v>0.76762924999999993</v>
      </c>
      <c r="BC198" s="293">
        <v>0.84093842800000007</v>
      </c>
      <c r="BD198" s="293">
        <v>1.2237308149999999</v>
      </c>
      <c r="BE198" s="293">
        <v>1.0184755910000001</v>
      </c>
      <c r="BF198" s="293">
        <v>1.382777779</v>
      </c>
      <c r="BG198" s="293">
        <v>0.87043371199999997</v>
      </c>
      <c r="BH198" s="293">
        <v>1.3774131460000001</v>
      </c>
      <c r="BI198" s="293">
        <v>1.2214805610000001</v>
      </c>
      <c r="BJ198" s="293">
        <v>2.5820453099999998</v>
      </c>
      <c r="BK198" s="293">
        <v>0.80805074300000002</v>
      </c>
      <c r="BL198" s="293">
        <v>2.548229203</v>
      </c>
      <c r="BM198" s="293">
        <v>1.7120466200000002</v>
      </c>
      <c r="BN198" s="293">
        <v>1.4355193670000002</v>
      </c>
      <c r="BO198" s="293">
        <v>2.6577305620000002</v>
      </c>
      <c r="BP198" s="293">
        <v>1.4372345470000001</v>
      </c>
      <c r="BQ198" s="293">
        <v>8.1012446469999997</v>
      </c>
      <c r="BR198" s="293">
        <v>4.3000245109999993</v>
      </c>
      <c r="BS198" s="293">
        <v>1.61855595</v>
      </c>
      <c r="BT198" s="293">
        <v>1.6233952819999999</v>
      </c>
      <c r="BU198" s="293">
        <v>2.2488464499999998</v>
      </c>
      <c r="BV198" s="293">
        <v>2.2406669999999997</v>
      </c>
      <c r="BW198" s="293">
        <v>3.168579893</v>
      </c>
      <c r="BX198" s="293">
        <v>1.839902543</v>
      </c>
      <c r="BY198" s="293">
        <v>2.3815881760000002</v>
      </c>
      <c r="BZ198" s="293">
        <v>2.7305571479999999</v>
      </c>
      <c r="CA198" s="293">
        <v>3.9602888630000002</v>
      </c>
      <c r="CB198" s="293">
        <v>3.0872515520000001</v>
      </c>
      <c r="CC198" s="293">
        <v>3.0322354520000001</v>
      </c>
      <c r="CD198" s="293">
        <v>0</v>
      </c>
      <c r="CE198" s="294">
        <v>0</v>
      </c>
      <c r="CF198" s="293">
        <v>0</v>
      </c>
      <c r="CG198" s="293">
        <v>0</v>
      </c>
      <c r="CH198" s="293">
        <v>0</v>
      </c>
      <c r="CI198" s="293">
        <v>0</v>
      </c>
      <c r="CJ198" s="293">
        <v>0</v>
      </c>
      <c r="CK198" s="293">
        <v>0</v>
      </c>
      <c r="CL198" s="293">
        <v>0</v>
      </c>
      <c r="CM198" s="293">
        <v>0</v>
      </c>
      <c r="CN198" s="293">
        <v>0</v>
      </c>
      <c r="CO198" s="293">
        <v>0</v>
      </c>
      <c r="CP198" s="295">
        <v>0</v>
      </c>
      <c r="CQ198" s="293">
        <v>14.894216538</v>
      </c>
      <c r="CR198" s="293">
        <v>15.841647687</v>
      </c>
      <c r="CS198" s="293">
        <v>16.040523593</v>
      </c>
      <c r="CT198" s="293">
        <v>16.919806274999999</v>
      </c>
      <c r="CU198" s="293">
        <v>14.798799403999999</v>
      </c>
      <c r="CV198" s="293">
        <v>19.526059556</v>
      </c>
      <c r="CW198" s="293">
        <v>16.797510536999997</v>
      </c>
      <c r="CX198" s="293">
        <v>14.851627704</v>
      </c>
      <c r="CY198" s="293">
        <v>19.246846856000001</v>
      </c>
      <c r="CZ198" s="293">
        <v>19.736430006999999</v>
      </c>
      <c r="DA198" s="293">
        <v>16.689607884000001</v>
      </c>
      <c r="DB198" s="1288">
        <v>19.918124106</v>
      </c>
      <c r="DC198" s="293">
        <v>17.29334367023862</v>
      </c>
      <c r="DD198" s="293">
        <v>17.264340411390595</v>
      </c>
      <c r="DE198" s="293">
        <v>17.061283504474744</v>
      </c>
      <c r="DF198" s="293">
        <v>18.254110634129951</v>
      </c>
      <c r="DG198" s="293">
        <v>17.803614037684106</v>
      </c>
      <c r="DH198" s="293">
        <v>21.668105203712681</v>
      </c>
      <c r="DI198" s="293">
        <v>18.568740039133921</v>
      </c>
      <c r="DJ198" s="293">
        <v>17.038849658992238</v>
      </c>
      <c r="DK198" s="293">
        <v>22.870363436305876</v>
      </c>
      <c r="DL198" s="293">
        <v>19.754778112022674</v>
      </c>
      <c r="DM198" s="293">
        <v>19.589362186303028</v>
      </c>
      <c r="DN198" s="295">
        <v>22.493139196913198</v>
      </c>
      <c r="DO198" s="293"/>
      <c r="DP198" s="293"/>
      <c r="DQ198" s="293"/>
      <c r="DR198" s="293"/>
      <c r="DS198" s="293"/>
      <c r="DT198" s="293"/>
      <c r="DU198" s="293"/>
      <c r="DV198" s="293"/>
      <c r="DW198" s="293"/>
      <c r="DX198" s="293"/>
      <c r="DY198" s="293"/>
      <c r="DZ198" s="295"/>
      <c r="EA198" s="293"/>
      <c r="EB198" s="293"/>
      <c r="EC198" s="293"/>
      <c r="ED198" s="293"/>
      <c r="EE198" s="293"/>
      <c r="EF198" s="293"/>
      <c r="EG198" s="293"/>
      <c r="EH198" s="293"/>
      <c r="EI198" s="293"/>
      <c r="EJ198" s="293"/>
      <c r="EK198" s="293"/>
      <c r="EL198" s="295"/>
      <c r="EM198" s="1080"/>
      <c r="EN198" s="1080"/>
      <c r="EO198" s="1080"/>
      <c r="EP198" s="1080"/>
      <c r="EQ198" s="1080"/>
      <c r="ER198" s="1080"/>
      <c r="ES198" s="1080"/>
      <c r="ET198" s="1080"/>
      <c r="EU198" s="1080"/>
      <c r="EV198" s="1080"/>
      <c r="EW198" s="1080"/>
      <c r="EX198" s="1340"/>
      <c r="EY198" s="1080"/>
      <c r="EZ198" s="1080"/>
      <c r="FA198" s="1080"/>
      <c r="FB198" s="1080"/>
      <c r="FC198" s="1080"/>
      <c r="FD198" s="1080"/>
      <c r="FE198" s="1080"/>
      <c r="FF198" s="1080"/>
      <c r="FG198" s="1080"/>
      <c r="FH198" s="1080"/>
      <c r="FI198" s="1080"/>
      <c r="FJ198" s="1340"/>
      <c r="FK198" s="1080"/>
      <c r="FL198" s="1080"/>
      <c r="FM198" s="1080"/>
      <c r="FN198" s="1080"/>
      <c r="FO198" s="1080"/>
      <c r="FP198" s="1080"/>
      <c r="FQ198" s="293"/>
      <c r="FR198" s="293"/>
      <c r="FS198" s="293"/>
      <c r="FT198" s="293"/>
      <c r="FU198" s="293"/>
      <c r="FV198" s="293"/>
      <c r="FW198" s="293"/>
      <c r="FX198" s="293"/>
      <c r="FY198" s="293"/>
      <c r="FZ198" s="293"/>
      <c r="GA198" s="293"/>
      <c r="GB198" s="293"/>
      <c r="GC198" s="293"/>
      <c r="GD198" s="293"/>
      <c r="GE198" s="293"/>
      <c r="GF198" s="293"/>
      <c r="GG198" s="293"/>
      <c r="GH198" s="293"/>
      <c r="GI198" s="293"/>
      <c r="GJ198" s="293"/>
      <c r="GK198" s="293"/>
      <c r="GL198" s="293"/>
      <c r="GM198" s="293"/>
      <c r="GN198" s="293"/>
      <c r="GO198" s="293"/>
      <c r="GP198" s="293"/>
      <c r="GQ198" s="293"/>
      <c r="GR198" s="293"/>
      <c r="GS198" s="293"/>
      <c r="GT198" s="293"/>
      <c r="GU198" s="293"/>
      <c r="GV198" s="293"/>
      <c r="GW198" s="293"/>
      <c r="GX198" s="293"/>
      <c r="GY198" s="293"/>
      <c r="GZ198" s="293"/>
      <c r="HA198" s="293"/>
      <c r="HB198" s="293"/>
      <c r="HC198" s="293"/>
      <c r="HD198" s="293"/>
      <c r="HE198" s="293"/>
      <c r="HF198" s="293"/>
      <c r="HG198" s="293"/>
      <c r="HH198" s="293"/>
      <c r="HI198" s="293"/>
      <c r="HJ198" s="293"/>
      <c r="HK198" s="293"/>
      <c r="HL198" s="293"/>
      <c r="HM198" s="293"/>
      <c r="HN198" s="293"/>
      <c r="HO198" s="293"/>
      <c r="HP198" s="293"/>
      <c r="HQ198" s="293"/>
      <c r="HR198" s="293"/>
      <c r="HS198" s="293"/>
      <c r="HT198" s="293"/>
      <c r="HU198" s="293"/>
      <c r="HV198" s="293"/>
      <c r="HW198" s="293"/>
      <c r="HX198" s="293"/>
      <c r="HY198" s="293"/>
      <c r="IH198" s="279">
        <f t="shared" si="229"/>
        <v>109.34479746163069</v>
      </c>
      <c r="II198" s="279">
        <f t="shared" si="230"/>
        <v>120.31523262967096</v>
      </c>
      <c r="IJ198" s="323">
        <f t="shared" si="232"/>
        <v>229.66003009130165</v>
      </c>
      <c r="KT198" s="280"/>
    </row>
    <row r="199" spans="2:306" hidden="1" outlineLevel="1">
      <c r="B199" s="96" t="s">
        <v>338</v>
      </c>
      <c r="D199" s="296" t="s">
        <v>406</v>
      </c>
      <c r="E199" s="293"/>
      <c r="F199" s="293"/>
      <c r="G199" s="293"/>
      <c r="H199" s="293"/>
      <c r="I199" s="293"/>
      <c r="J199" s="293"/>
      <c r="K199" s="293"/>
      <c r="L199" s="293"/>
      <c r="M199" s="293"/>
      <c r="N199" s="293"/>
      <c r="O199" s="293"/>
      <c r="P199" s="293"/>
      <c r="Q199" s="293"/>
      <c r="R199" s="293"/>
      <c r="S199" s="293"/>
      <c r="T199" s="293"/>
      <c r="U199" s="293"/>
      <c r="V199" s="293"/>
      <c r="W199" s="293"/>
      <c r="X199" s="293"/>
      <c r="Y199" s="293"/>
      <c r="Z199" s="293"/>
      <c r="AA199" s="293"/>
      <c r="AB199" s="293"/>
      <c r="AC199" s="293"/>
      <c r="AD199" s="293"/>
      <c r="AE199" s="293"/>
      <c r="AF199" s="293"/>
      <c r="AG199" s="293"/>
      <c r="AH199" s="293"/>
      <c r="AI199" s="293"/>
      <c r="AJ199" s="293"/>
      <c r="AK199" s="293"/>
      <c r="AL199" s="293"/>
      <c r="AM199" s="293"/>
      <c r="AN199" s="293"/>
      <c r="AO199" s="293">
        <v>0</v>
      </c>
      <c r="AP199" s="293">
        <v>0</v>
      </c>
      <c r="AQ199" s="293">
        <v>0</v>
      </c>
      <c r="AR199" s="293">
        <v>0</v>
      </c>
      <c r="AS199" s="293">
        <v>0</v>
      </c>
      <c r="AT199" s="293">
        <v>0</v>
      </c>
      <c r="AU199" s="293">
        <v>0</v>
      </c>
      <c r="AV199" s="293">
        <v>0</v>
      </c>
      <c r="AW199" s="293">
        <v>0</v>
      </c>
      <c r="AX199" s="293">
        <v>0</v>
      </c>
      <c r="AY199" s="293">
        <v>0</v>
      </c>
      <c r="AZ199" s="293">
        <v>0</v>
      </c>
      <c r="BA199" s="293">
        <v>0</v>
      </c>
      <c r="BB199" s="293">
        <v>0</v>
      </c>
      <c r="BC199" s="293">
        <v>0</v>
      </c>
      <c r="BD199" s="293">
        <v>0</v>
      </c>
      <c r="BE199" s="293">
        <v>0</v>
      </c>
      <c r="BF199" s="293">
        <v>0</v>
      </c>
      <c r="BG199" s="293">
        <v>0</v>
      </c>
      <c r="BH199" s="293">
        <v>0</v>
      </c>
      <c r="BI199" s="293">
        <v>0</v>
      </c>
      <c r="BJ199" s="293">
        <v>0</v>
      </c>
      <c r="BK199" s="293">
        <v>0</v>
      </c>
      <c r="BL199" s="293">
        <v>0</v>
      </c>
      <c r="BM199" s="293">
        <v>0</v>
      </c>
      <c r="BN199" s="293">
        <v>0</v>
      </c>
      <c r="BO199" s="293">
        <v>0</v>
      </c>
      <c r="BP199" s="293">
        <v>0</v>
      </c>
      <c r="BQ199" s="293">
        <v>0</v>
      </c>
      <c r="BR199" s="293">
        <v>0</v>
      </c>
      <c r="BS199" s="293">
        <v>0</v>
      </c>
      <c r="BT199" s="293">
        <v>0</v>
      </c>
      <c r="BU199" s="293">
        <v>0</v>
      </c>
      <c r="BV199" s="293">
        <v>0</v>
      </c>
      <c r="BW199" s="293">
        <v>0</v>
      </c>
      <c r="BX199" s="293">
        <v>0</v>
      </c>
      <c r="BY199" s="293">
        <v>0</v>
      </c>
      <c r="BZ199" s="293">
        <v>0</v>
      </c>
      <c r="CA199" s="293">
        <v>0</v>
      </c>
      <c r="CB199" s="293">
        <v>0</v>
      </c>
      <c r="CC199" s="293">
        <v>0</v>
      </c>
      <c r="CD199" s="293">
        <v>5.7136075460000004</v>
      </c>
      <c r="CE199" s="294">
        <v>1.915354472</v>
      </c>
      <c r="CF199" s="293">
        <v>4.2251207189999995</v>
      </c>
      <c r="CG199" s="293">
        <v>3.6410883730000001</v>
      </c>
      <c r="CH199" s="293">
        <v>2.6818947070000001</v>
      </c>
      <c r="CI199" s="293">
        <v>3.0750238309999998</v>
      </c>
      <c r="CJ199" s="293">
        <v>5.9194991400000001</v>
      </c>
      <c r="CK199" s="293">
        <v>4.4084192940000007</v>
      </c>
      <c r="CL199" s="293">
        <v>2.9932567089999997</v>
      </c>
      <c r="CM199" s="293">
        <v>2.552976659</v>
      </c>
      <c r="CN199" s="293">
        <v>3.7306548410000002</v>
      </c>
      <c r="CO199" s="293">
        <v>6.0348987289999991</v>
      </c>
      <c r="CP199" s="295">
        <v>4.7783350589999998</v>
      </c>
      <c r="CQ199" s="293">
        <v>4.4562948819999999</v>
      </c>
      <c r="CR199" s="293">
        <v>3.8984518910000001</v>
      </c>
      <c r="CS199" s="293">
        <v>6.7485273389999998</v>
      </c>
      <c r="CT199" s="293">
        <v>2.0071081200000003</v>
      </c>
      <c r="CU199" s="293">
        <v>2.4522683120000002</v>
      </c>
      <c r="CV199" s="293">
        <v>5.8863647319999997</v>
      </c>
      <c r="CW199" s="293">
        <v>5.542922313</v>
      </c>
      <c r="CX199" s="293">
        <v>3.2113777049999999</v>
      </c>
      <c r="CY199" s="293">
        <v>4.850923989</v>
      </c>
      <c r="CZ199" s="293">
        <v>6.7341411829999993</v>
      </c>
      <c r="DA199" s="293">
        <v>5.050559196</v>
      </c>
      <c r="DB199" s="1288">
        <v>8.0561135820000001</v>
      </c>
      <c r="DC199" s="293">
        <v>3.404120261341713</v>
      </c>
      <c r="DD199" s="293">
        <v>3.0041723661846231</v>
      </c>
      <c r="DE199" s="293">
        <v>14.62938855478213</v>
      </c>
      <c r="DF199" s="293">
        <v>4.4563084508139932</v>
      </c>
      <c r="DG199" s="293">
        <v>3.5330117020202865</v>
      </c>
      <c r="DH199" s="293">
        <v>13.561022073817792</v>
      </c>
      <c r="DI199" s="293">
        <v>3.7163739241825353</v>
      </c>
      <c r="DJ199" s="293">
        <v>3.8257778134421003</v>
      </c>
      <c r="DK199" s="293">
        <v>26.765518159820399</v>
      </c>
      <c r="DL199" s="293">
        <v>3.758051589242406</v>
      </c>
      <c r="DM199" s="293">
        <v>3.8367694867566149</v>
      </c>
      <c r="DN199" s="295">
        <v>16.88304247232567</v>
      </c>
      <c r="DO199" s="293">
        <v>4.8993166270000001</v>
      </c>
      <c r="DP199" s="293">
        <v>6.6850205249999997</v>
      </c>
      <c r="DQ199" s="293">
        <v>5.8769076690000004</v>
      </c>
      <c r="DR199" s="293">
        <v>5.3494110429999999</v>
      </c>
      <c r="DS199" s="293">
        <v>4.9634589409999998</v>
      </c>
      <c r="DT199" s="293">
        <v>8.0379765106000001</v>
      </c>
      <c r="DU199" s="293">
        <v>6.7728654920000002</v>
      </c>
      <c r="DV199" s="293">
        <v>4.510238567</v>
      </c>
      <c r="DW199" s="293">
        <v>9.8643950090000008</v>
      </c>
      <c r="DX199" s="293">
        <v>4.8103419550000002</v>
      </c>
      <c r="DY199" s="293">
        <v>4.2425978820000001</v>
      </c>
      <c r="DZ199" s="295">
        <v>8.0953368880000003</v>
      </c>
      <c r="EA199" s="293">
        <v>5.8816170579999998</v>
      </c>
      <c r="EB199" s="293">
        <v>6.3996628209999997</v>
      </c>
      <c r="EC199" s="293">
        <v>7.2491238090000003</v>
      </c>
      <c r="ED199" s="293">
        <v>8.4980732149999998</v>
      </c>
      <c r="EE199" s="293">
        <v>5.8718664269999996</v>
      </c>
      <c r="EF199" s="293">
        <v>12.589767688</v>
      </c>
      <c r="EG199" s="293">
        <v>9.4740717130000007</v>
      </c>
      <c r="EH199" s="293">
        <v>3.8189532719999999</v>
      </c>
      <c r="EI199" s="293">
        <v>5.3892550441999996</v>
      </c>
      <c r="EJ199" s="293">
        <v>5.2891636850500001</v>
      </c>
      <c r="EK199" s="293">
        <v>5.4940347679999997</v>
      </c>
      <c r="EL199" s="295">
        <v>7.5226354979999996</v>
      </c>
      <c r="EM199" s="1080">
        <v>5.3946228459999999</v>
      </c>
      <c r="EN199" s="1080">
        <v>6.3444214639999998</v>
      </c>
      <c r="EO199" s="1080">
        <v>5.092901254</v>
      </c>
      <c r="EP199" s="1080">
        <v>6.0842647679999997</v>
      </c>
      <c r="EQ199" s="1080">
        <v>5.4578345759999998</v>
      </c>
      <c r="ER199" s="1080">
        <v>6.1263880479999999</v>
      </c>
      <c r="ES199" s="1080">
        <v>10.323512671</v>
      </c>
      <c r="ET199" s="1080">
        <v>5.9491651030000003</v>
      </c>
      <c r="EU199" s="1080">
        <v>6.4120986670000004</v>
      </c>
      <c r="EV199" s="1080">
        <v>5.9808855234999996</v>
      </c>
      <c r="EW199" s="1080">
        <v>9.0430883755900009</v>
      </c>
      <c r="EX199" s="1340">
        <v>8.8986785868424985</v>
      </c>
      <c r="EY199" s="1080"/>
      <c r="EZ199" s="1080"/>
      <c r="FA199" s="1080"/>
      <c r="FB199" s="1080"/>
      <c r="FC199" s="1080"/>
      <c r="FD199" s="1080"/>
      <c r="FE199" s="1080"/>
      <c r="FF199" s="1080"/>
      <c r="FG199" s="1080"/>
      <c r="FH199" s="1080"/>
      <c r="FI199" s="1080"/>
      <c r="FJ199" s="1340"/>
      <c r="FK199" s="1080"/>
      <c r="FL199" s="1080"/>
      <c r="FM199" s="1080"/>
      <c r="FN199" s="1080"/>
      <c r="FO199" s="1080"/>
      <c r="FP199" s="1080"/>
      <c r="FQ199" s="293"/>
      <c r="FR199" s="293"/>
      <c r="FS199" s="293"/>
      <c r="FT199" s="293"/>
      <c r="FU199" s="293"/>
      <c r="FV199" s="293"/>
      <c r="FW199" s="293"/>
      <c r="FX199" s="293"/>
      <c r="FY199" s="293"/>
      <c r="FZ199" s="293"/>
      <c r="GA199" s="293"/>
      <c r="GB199" s="293"/>
      <c r="GC199" s="293"/>
      <c r="GD199" s="293"/>
      <c r="GE199" s="293"/>
      <c r="GF199" s="293"/>
      <c r="GG199" s="293"/>
      <c r="GH199" s="293"/>
      <c r="GI199" s="293"/>
      <c r="GJ199" s="293"/>
      <c r="GK199" s="293"/>
      <c r="GL199" s="293"/>
      <c r="GM199" s="293"/>
      <c r="GN199" s="293"/>
      <c r="GO199" s="293"/>
      <c r="GP199" s="293"/>
      <c r="GQ199" s="293"/>
      <c r="GR199" s="293"/>
      <c r="GS199" s="293"/>
      <c r="GT199" s="293"/>
      <c r="GU199" s="293"/>
      <c r="GV199" s="293"/>
      <c r="GW199" s="293"/>
      <c r="GX199" s="293"/>
      <c r="GY199" s="293"/>
      <c r="GZ199" s="293"/>
      <c r="HA199" s="293"/>
      <c r="HB199" s="293"/>
      <c r="HC199" s="293"/>
      <c r="HD199" s="293"/>
      <c r="HE199" s="293"/>
      <c r="HF199" s="293"/>
      <c r="HG199" s="293"/>
      <c r="HH199" s="293"/>
      <c r="HI199" s="293"/>
      <c r="HJ199" s="293"/>
      <c r="HK199" s="293"/>
      <c r="HL199" s="293"/>
      <c r="HM199" s="293"/>
      <c r="HN199" s="293"/>
      <c r="HO199" s="293"/>
      <c r="HP199" s="293"/>
      <c r="HQ199" s="293"/>
      <c r="HR199" s="293"/>
      <c r="HS199" s="293"/>
      <c r="HT199" s="293"/>
      <c r="HU199" s="293"/>
      <c r="HV199" s="293"/>
      <c r="HW199" s="293"/>
      <c r="HX199" s="293"/>
      <c r="HY199" s="293"/>
      <c r="IH199" s="279">
        <f t="shared" si="229"/>
        <v>42.588023408960538</v>
      </c>
      <c r="II199" s="279">
        <f t="shared" si="230"/>
        <v>58.78553344576973</v>
      </c>
      <c r="IJ199" s="323">
        <f t="shared" si="232"/>
        <v>101.37355685473027</v>
      </c>
      <c r="IK199" s="279">
        <f>SUM(DO199:DT199)</f>
        <v>35.8120913156</v>
      </c>
      <c r="KT199" s="280"/>
    </row>
    <row r="200" spans="2:306" hidden="1" outlineLevel="1">
      <c r="B200" s="96" t="s">
        <v>338</v>
      </c>
      <c r="D200" s="311" t="s">
        <v>407</v>
      </c>
      <c r="E200" s="293">
        <v>4.0890599999999999E-2</v>
      </c>
      <c r="F200" s="293">
        <v>0.13681317100000001</v>
      </c>
      <c r="G200" s="293">
        <v>0.63271109999999997</v>
      </c>
      <c r="H200" s="293">
        <v>4.3801003999999998E-2</v>
      </c>
      <c r="I200" s="293">
        <v>1.1481344999999999E-2</v>
      </c>
      <c r="J200" s="293">
        <v>9.526087300000001E-2</v>
      </c>
      <c r="K200" s="293">
        <v>1.2534606E-2</v>
      </c>
      <c r="L200" s="293">
        <v>1.0454544E-2</v>
      </c>
      <c r="M200" s="293">
        <v>9.1175650000000011E-3</v>
      </c>
      <c r="N200" s="293">
        <v>1.1346920999999999E-2</v>
      </c>
      <c r="O200" s="293">
        <v>1.1976345000000001E-2</v>
      </c>
      <c r="P200" s="293">
        <v>9.8641030000000008E-3</v>
      </c>
      <c r="Q200" s="293">
        <v>7.2170276000000005E-2</v>
      </c>
      <c r="R200" s="293">
        <v>0.16281949299999998</v>
      </c>
      <c r="S200" s="293">
        <v>0.71865559000000001</v>
      </c>
      <c r="T200" s="293">
        <v>2.7143129999999998E-2</v>
      </c>
      <c r="U200" s="293">
        <v>2.4269932000000001E-2</v>
      </c>
      <c r="V200" s="293">
        <v>2.5869171999999999E-2</v>
      </c>
      <c r="W200" s="293">
        <v>1.7386374E-2</v>
      </c>
      <c r="X200" s="293">
        <v>1.4083921999999999E-2</v>
      </c>
      <c r="Y200" s="293">
        <v>1.3733176999999999E-2</v>
      </c>
      <c r="Z200" s="293">
        <v>1.2545917E-2</v>
      </c>
      <c r="AA200" s="293">
        <v>7.2259710000000003E-3</v>
      </c>
      <c r="AB200" s="293">
        <v>1.1543312999999999E-2</v>
      </c>
      <c r="AC200" s="293">
        <v>6.9577459000000008E-2</v>
      </c>
      <c r="AD200" s="293">
        <v>0.15470985700000001</v>
      </c>
      <c r="AE200" s="293"/>
      <c r="AF200" s="293"/>
      <c r="AG200" s="293"/>
      <c r="AH200" s="293"/>
      <c r="AI200" s="293"/>
      <c r="AJ200" s="293"/>
      <c r="AK200" s="293"/>
      <c r="AL200" s="293"/>
      <c r="AM200" s="293"/>
      <c r="AN200" s="293"/>
      <c r="AO200" s="293">
        <v>9.0611050999999998E-2</v>
      </c>
      <c r="AP200" s="293">
        <v>0.191663159</v>
      </c>
      <c r="AQ200" s="293">
        <v>1.394922794</v>
      </c>
      <c r="AR200" s="293">
        <v>0.103013901</v>
      </c>
      <c r="AS200" s="293">
        <v>7.0394155E-2</v>
      </c>
      <c r="AT200" s="293">
        <v>7.9052346999999995E-2</v>
      </c>
      <c r="AU200" s="293">
        <v>0.117014174</v>
      </c>
      <c r="AV200" s="293">
        <v>0.148981692</v>
      </c>
      <c r="AW200" s="293">
        <v>0.112172855</v>
      </c>
      <c r="AX200" s="293">
        <v>0.12064074900000001</v>
      </c>
      <c r="AY200" s="293">
        <v>0.14576339200000002</v>
      </c>
      <c r="AZ200" s="293">
        <v>0.134566984</v>
      </c>
      <c r="BA200" s="293">
        <v>0.118421182</v>
      </c>
      <c r="BB200" s="293">
        <v>0.139652839</v>
      </c>
      <c r="BC200" s="293">
        <v>0.19527561299999999</v>
      </c>
      <c r="BD200" s="293">
        <v>0.150560733</v>
      </c>
      <c r="BE200" s="293">
        <v>0.163987303</v>
      </c>
      <c r="BF200" s="293">
        <v>0.172453359</v>
      </c>
      <c r="BG200" s="293">
        <v>0.18118972500000002</v>
      </c>
      <c r="BH200" s="293">
        <v>0.192474969</v>
      </c>
      <c r="BI200" s="293">
        <v>0.22943524500000001</v>
      </c>
      <c r="BJ200" s="293">
        <v>0.17908627699999999</v>
      </c>
      <c r="BK200" s="293">
        <v>0.25022814300000001</v>
      </c>
      <c r="BL200" s="293">
        <v>0.30484704599999995</v>
      </c>
      <c r="BM200" s="293">
        <v>0.238440455</v>
      </c>
      <c r="BN200" s="293">
        <v>0.29275037099999995</v>
      </c>
      <c r="BO200" s="293">
        <v>0.27686386800000001</v>
      </c>
      <c r="BP200" s="293">
        <v>0.20407425300000001</v>
      </c>
      <c r="BQ200" s="293">
        <v>0.32478257599999999</v>
      </c>
      <c r="BR200" s="293">
        <v>0.25208248999999999</v>
      </c>
      <c r="BS200" s="293">
        <v>0.30079388299999998</v>
      </c>
      <c r="BT200" s="293">
        <v>0.32108410800000003</v>
      </c>
      <c r="BU200" s="293">
        <v>0.29824581499999997</v>
      </c>
      <c r="BV200" s="293">
        <v>0.27131312200000002</v>
      </c>
      <c r="BW200" s="293">
        <v>0.24535612800000001</v>
      </c>
      <c r="BX200" s="293">
        <v>0.20740813700000002</v>
      </c>
      <c r="BY200" s="293">
        <v>0.203517003</v>
      </c>
      <c r="BZ200" s="293">
        <v>0.178721887</v>
      </c>
      <c r="CA200" s="293">
        <v>0.18224020500000002</v>
      </c>
      <c r="CB200" s="293">
        <v>0.15312696100000001</v>
      </c>
      <c r="CC200" s="293">
        <v>0.17082076299999999</v>
      </c>
      <c r="CD200" s="293">
        <v>0</v>
      </c>
      <c r="CE200" s="294">
        <v>0</v>
      </c>
      <c r="CF200" s="293">
        <v>0</v>
      </c>
      <c r="CG200" s="293">
        <v>0</v>
      </c>
      <c r="CH200" s="293">
        <v>0</v>
      </c>
      <c r="CI200" s="293">
        <v>0</v>
      </c>
      <c r="CJ200" s="293">
        <v>0</v>
      </c>
      <c r="CK200" s="293">
        <v>0</v>
      </c>
      <c r="CL200" s="293">
        <v>0</v>
      </c>
      <c r="CM200" s="293">
        <v>0</v>
      </c>
      <c r="CN200" s="293">
        <v>0</v>
      </c>
      <c r="CO200" s="293">
        <v>0</v>
      </c>
      <c r="CP200" s="295">
        <v>0</v>
      </c>
      <c r="CQ200" s="293">
        <v>6.0929865E-2</v>
      </c>
      <c r="CR200" s="293">
        <v>5.2817537999999997E-2</v>
      </c>
      <c r="CS200" s="293">
        <v>1.597929629</v>
      </c>
      <c r="CT200" s="293">
        <v>9.6089030000000002E-3</v>
      </c>
      <c r="CU200" s="293">
        <v>0</v>
      </c>
      <c r="CV200" s="293">
        <v>4.5731504999999999E-2</v>
      </c>
      <c r="CW200" s="293">
        <v>6.6731936000000006E-2</v>
      </c>
      <c r="CX200" s="293">
        <v>5.0132400000000004E-4</v>
      </c>
      <c r="CY200" s="293">
        <v>0.60398560699999992</v>
      </c>
      <c r="CZ200" s="293">
        <v>0.12831611000000001</v>
      </c>
      <c r="DA200" s="293">
        <v>0.73575242000000007</v>
      </c>
      <c r="DB200" s="1288">
        <v>2.4872830000000002E-2</v>
      </c>
      <c r="DC200" s="293"/>
      <c r="DD200" s="293"/>
      <c r="DE200" s="293"/>
      <c r="DF200" s="293"/>
      <c r="DG200" s="293"/>
      <c r="DH200" s="293"/>
      <c r="DI200" s="293"/>
      <c r="DJ200" s="293"/>
      <c r="DK200" s="293"/>
      <c r="DL200" s="293"/>
      <c r="DM200" s="293"/>
      <c r="DN200" s="295"/>
      <c r="DO200" s="293"/>
      <c r="DP200" s="293"/>
      <c r="DQ200" s="293"/>
      <c r="DR200" s="293"/>
      <c r="DS200" s="293"/>
      <c r="DT200" s="293"/>
      <c r="DU200" s="293"/>
      <c r="DV200" s="293"/>
      <c r="DW200" s="293"/>
      <c r="DX200" s="293"/>
      <c r="DY200" s="293"/>
      <c r="DZ200" s="295"/>
      <c r="EA200" s="293"/>
      <c r="EB200" s="293"/>
      <c r="EC200" s="293"/>
      <c r="ED200" s="293"/>
      <c r="EE200" s="293"/>
      <c r="EF200" s="293"/>
      <c r="EG200" s="293"/>
      <c r="EH200" s="293"/>
      <c r="EI200" s="293"/>
      <c r="EJ200" s="293"/>
      <c r="EK200" s="293"/>
      <c r="EL200" s="295"/>
      <c r="EM200" s="1080"/>
      <c r="EN200" s="1080"/>
      <c r="EO200" s="1080"/>
      <c r="EP200" s="1080"/>
      <c r="EQ200" s="1080"/>
      <c r="ER200" s="1080"/>
      <c r="ES200" s="1080"/>
      <c r="ET200" s="1080"/>
      <c r="EU200" s="1080"/>
      <c r="EV200" s="1080"/>
      <c r="EW200" s="1080"/>
      <c r="EX200" s="1340"/>
      <c r="EY200" s="1080"/>
      <c r="EZ200" s="1080"/>
      <c r="FA200" s="1080"/>
      <c r="FB200" s="1080"/>
      <c r="FC200" s="1080"/>
      <c r="FD200" s="1080"/>
      <c r="FE200" s="1080"/>
      <c r="FF200" s="1080"/>
      <c r="FG200" s="1080"/>
      <c r="FH200" s="1080"/>
      <c r="FI200" s="1080"/>
      <c r="FJ200" s="1340"/>
      <c r="FK200" s="1080"/>
      <c r="FL200" s="1080"/>
      <c r="FM200" s="1080"/>
      <c r="FN200" s="1080"/>
      <c r="FO200" s="1080"/>
      <c r="FP200" s="1080"/>
      <c r="FQ200" s="293"/>
      <c r="FR200" s="293"/>
      <c r="FS200" s="293"/>
      <c r="FT200" s="293"/>
      <c r="FU200" s="293"/>
      <c r="FV200" s="293"/>
      <c r="FW200" s="293"/>
      <c r="FX200" s="293"/>
      <c r="FY200" s="293"/>
      <c r="FZ200" s="293"/>
      <c r="GA200" s="293"/>
      <c r="GB200" s="293"/>
      <c r="GC200" s="293"/>
      <c r="GD200" s="293"/>
      <c r="GE200" s="293"/>
      <c r="GF200" s="293"/>
      <c r="GG200" s="293"/>
      <c r="GH200" s="293"/>
      <c r="GI200" s="293"/>
      <c r="GJ200" s="293"/>
      <c r="GK200" s="293"/>
      <c r="GL200" s="293"/>
      <c r="GM200" s="293"/>
      <c r="GN200" s="293"/>
      <c r="GO200" s="293"/>
      <c r="GP200" s="293"/>
      <c r="GQ200" s="293"/>
      <c r="GR200" s="293"/>
      <c r="GS200" s="293"/>
      <c r="GT200" s="293"/>
      <c r="GU200" s="293"/>
      <c r="GV200" s="293"/>
      <c r="GW200" s="293"/>
      <c r="GX200" s="293"/>
      <c r="GY200" s="293"/>
      <c r="GZ200" s="293"/>
      <c r="HA200" s="293"/>
      <c r="HB200" s="293"/>
      <c r="HC200" s="293"/>
      <c r="HD200" s="293"/>
      <c r="HE200" s="293"/>
      <c r="HF200" s="293"/>
      <c r="HG200" s="293"/>
      <c r="HH200" s="293"/>
      <c r="HI200" s="293"/>
      <c r="HJ200" s="293"/>
      <c r="HK200" s="293"/>
      <c r="HL200" s="293"/>
      <c r="HM200" s="293"/>
      <c r="HN200" s="293"/>
      <c r="HO200" s="293"/>
      <c r="HP200" s="293"/>
      <c r="HQ200" s="293"/>
      <c r="HR200" s="293"/>
      <c r="HS200" s="293"/>
      <c r="HT200" s="293"/>
      <c r="HU200" s="293"/>
      <c r="HV200" s="293"/>
      <c r="HW200" s="293"/>
      <c r="HX200" s="293"/>
      <c r="HY200" s="293"/>
      <c r="IJ200" s="323"/>
      <c r="KT200" s="280"/>
    </row>
    <row r="201" spans="2:306" hidden="1" outlineLevel="1">
      <c r="B201" s="96" t="s">
        <v>338</v>
      </c>
      <c r="D201" s="309" t="s">
        <v>408</v>
      </c>
      <c r="E201" s="293">
        <v>9.4115540534999997</v>
      </c>
      <c r="F201" s="293">
        <v>8.2609325399000006</v>
      </c>
      <c r="G201" s="293">
        <v>10.015398151499999</v>
      </c>
      <c r="H201" s="293">
        <v>9.7668835967000014</v>
      </c>
      <c r="I201" s="293">
        <v>9.5554339401000021</v>
      </c>
      <c r="J201" s="293">
        <v>10.387038216699999</v>
      </c>
      <c r="K201" s="293">
        <v>9.6048596589000006</v>
      </c>
      <c r="L201" s="293">
        <v>10.3903271996</v>
      </c>
      <c r="M201" s="293">
        <v>9.9151893914000002</v>
      </c>
      <c r="N201" s="293">
        <v>10.214158165499999</v>
      </c>
      <c r="O201" s="293">
        <v>11.895285414</v>
      </c>
      <c r="P201" s="293">
        <v>11.564776257100002</v>
      </c>
      <c r="Q201" s="293">
        <v>11.690313253000001</v>
      </c>
      <c r="R201" s="293">
        <v>11.614854159</v>
      </c>
      <c r="S201" s="293">
        <v>11.647526646000001</v>
      </c>
      <c r="T201" s="293">
        <v>10.822694902</v>
      </c>
      <c r="U201" s="293">
        <v>12.672754311</v>
      </c>
      <c r="V201" s="293">
        <v>12.94786319</v>
      </c>
      <c r="W201" s="293">
        <v>13.301831321000002</v>
      </c>
      <c r="X201" s="293">
        <v>13.801767127</v>
      </c>
      <c r="Y201" s="293">
        <v>15.943457641999998</v>
      </c>
      <c r="Z201" s="293">
        <v>15.842430758999999</v>
      </c>
      <c r="AA201" s="293">
        <v>14.826771632999998</v>
      </c>
      <c r="AB201" s="293">
        <v>16.585215720000001</v>
      </c>
      <c r="AC201" s="293">
        <v>15.965026633600003</v>
      </c>
      <c r="AD201" s="293">
        <v>16.185068681500002</v>
      </c>
      <c r="AE201" s="293"/>
      <c r="AF201" s="293"/>
      <c r="AG201" s="293"/>
      <c r="AH201" s="293"/>
      <c r="AI201" s="293"/>
      <c r="AJ201" s="293"/>
      <c r="AK201" s="293"/>
      <c r="AL201" s="293"/>
      <c r="AM201" s="293"/>
      <c r="AN201" s="293"/>
      <c r="AO201" s="293">
        <v>17.202942125099998</v>
      </c>
      <c r="AP201" s="293">
        <v>15.485776001400003</v>
      </c>
      <c r="AQ201" s="293">
        <v>18.537725345699997</v>
      </c>
      <c r="AR201" s="293">
        <v>16.670809489100002</v>
      </c>
      <c r="AS201" s="293">
        <v>15.619448288800001</v>
      </c>
      <c r="AT201" s="293">
        <v>18.259024952200004</v>
      </c>
      <c r="AU201" s="293">
        <v>17.882533485700002</v>
      </c>
      <c r="AV201" s="293">
        <v>19.777877026700001</v>
      </c>
      <c r="AW201" s="293">
        <v>19.975631800545081</v>
      </c>
      <c r="AX201" s="293">
        <v>18.944091534431077</v>
      </c>
      <c r="AY201" s="293">
        <v>21.192861295518</v>
      </c>
      <c r="AZ201" s="293">
        <v>22.195160451415997</v>
      </c>
      <c r="BA201" s="293">
        <v>23.339405721013598</v>
      </c>
      <c r="BB201" s="293">
        <v>19.099012166900003</v>
      </c>
      <c r="BC201" s="293">
        <v>21.595264730350003</v>
      </c>
      <c r="BD201" s="293">
        <v>21.2958609057216</v>
      </c>
      <c r="BE201" s="293">
        <v>22.531859282806373</v>
      </c>
      <c r="BF201" s="293">
        <v>23.015298450898005</v>
      </c>
      <c r="BG201" s="293">
        <v>21.078074906865822</v>
      </c>
      <c r="BH201" s="293">
        <v>25.023259836291555</v>
      </c>
      <c r="BI201" s="293">
        <v>23.932495381389487</v>
      </c>
      <c r="BJ201" s="293">
        <v>21.606015288195294</v>
      </c>
      <c r="BK201" s="293">
        <v>23.415619378649247</v>
      </c>
      <c r="BL201" s="293">
        <v>25.374121328848808</v>
      </c>
      <c r="BM201" s="293">
        <v>24.265292310570999</v>
      </c>
      <c r="BN201" s="293">
        <v>24.722699085430232</v>
      </c>
      <c r="BO201" s="293">
        <v>24.754847411893643</v>
      </c>
      <c r="BP201" s="293">
        <v>22.600191098811944</v>
      </c>
      <c r="BQ201" s="293">
        <v>24.725421445805853</v>
      </c>
      <c r="BR201" s="293">
        <v>27.289307286360408</v>
      </c>
      <c r="BS201" s="293">
        <v>25.068323481503988</v>
      </c>
      <c r="BT201" s="293">
        <v>26.603420080039307</v>
      </c>
      <c r="BU201" s="293">
        <v>28.00255271873149</v>
      </c>
      <c r="BV201" s="293">
        <v>26.531306822147378</v>
      </c>
      <c r="BW201" s="293">
        <v>24.98555869265882</v>
      </c>
      <c r="BX201" s="293">
        <v>26.125447644255175</v>
      </c>
      <c r="BY201" s="293">
        <v>27.888198336466331</v>
      </c>
      <c r="BZ201" s="293">
        <v>24.784347504198433</v>
      </c>
      <c r="CA201" s="293">
        <v>26.467188712430286</v>
      </c>
      <c r="CB201" s="293">
        <v>26.181016224506465</v>
      </c>
      <c r="CC201" s="293">
        <v>27.027884673222939</v>
      </c>
      <c r="CD201" s="293">
        <v>0.17306079800000002</v>
      </c>
      <c r="CE201" s="294">
        <v>0.18944245400000001</v>
      </c>
      <c r="CF201" s="293">
        <v>0.16157444000000001</v>
      </c>
      <c r="CG201" s="293">
        <v>0.179777469</v>
      </c>
      <c r="CH201" s="293">
        <v>0.150021605</v>
      </c>
      <c r="CI201" s="293">
        <v>6.0362790999999999E-2</v>
      </c>
      <c r="CJ201" s="293">
        <v>4.0672494000000003E-2</v>
      </c>
      <c r="CK201" s="293">
        <v>4.7470760000000001E-2</v>
      </c>
      <c r="CL201" s="293">
        <v>3.9086731999999999E-2</v>
      </c>
      <c r="CM201" s="293">
        <v>4.4183103000000001E-2</v>
      </c>
      <c r="CN201" s="293">
        <v>5.4937002999999998E-2</v>
      </c>
      <c r="CO201" s="293">
        <v>4.8854039000000002E-2</v>
      </c>
      <c r="CP201" s="295">
        <v>4.9777149999999999E-2</v>
      </c>
      <c r="CQ201" s="293">
        <v>0.17051005499999999</v>
      </c>
      <c r="CR201" s="293">
        <v>0.18304915500000002</v>
      </c>
      <c r="CS201" s="293">
        <v>0.21021565</v>
      </c>
      <c r="CT201" s="293">
        <v>0.21520460800000002</v>
      </c>
      <c r="CU201" s="293">
        <v>0.20855557</v>
      </c>
      <c r="CV201" s="293">
        <v>0.18983828600000002</v>
      </c>
      <c r="CW201" s="293">
        <v>0.21592814200000002</v>
      </c>
      <c r="CX201" s="293">
        <v>0.194580104</v>
      </c>
      <c r="CY201" s="293">
        <v>0.24707765699999998</v>
      </c>
      <c r="CZ201" s="293">
        <v>0.23708992699999998</v>
      </c>
      <c r="DA201" s="293">
        <v>0.23093652200000001</v>
      </c>
      <c r="DB201" s="1288">
        <v>0.30930898000000001</v>
      </c>
      <c r="DC201" s="606"/>
      <c r="DD201" s="606"/>
      <c r="DE201" s="606"/>
      <c r="DF201" s="606"/>
      <c r="DG201" s="606"/>
      <c r="DH201" s="606"/>
      <c r="DI201" s="293"/>
      <c r="DJ201" s="293"/>
      <c r="DK201" s="293"/>
      <c r="DL201" s="293"/>
      <c r="DM201" s="293"/>
      <c r="DN201" s="295"/>
      <c r="DO201" s="293">
        <v>0.23284353199999999</v>
      </c>
      <c r="DP201" s="293">
        <v>0.27472532999999999</v>
      </c>
      <c r="DQ201" s="293">
        <v>0.21367677800000001</v>
      </c>
      <c r="DR201" s="293">
        <v>0.157977698</v>
      </c>
      <c r="DS201" s="293">
        <v>0.13271252057999999</v>
      </c>
      <c r="DT201" s="293">
        <v>0.15869512599999999</v>
      </c>
      <c r="DU201" s="293">
        <v>0.221530898</v>
      </c>
      <c r="DV201" s="293">
        <v>0.23277361099999999</v>
      </c>
      <c r="DW201" s="293">
        <v>0.242586996</v>
      </c>
      <c r="DX201" s="293">
        <v>0.22671354399999999</v>
      </c>
      <c r="DY201" s="293">
        <v>0.28709694299999999</v>
      </c>
      <c r="DZ201" s="295">
        <v>0.24992119800000001</v>
      </c>
      <c r="EA201" s="293">
        <v>0.2360804</v>
      </c>
      <c r="EB201" s="293">
        <v>0.18856618999999999</v>
      </c>
      <c r="EC201" s="293">
        <v>0.1850376</v>
      </c>
      <c r="ED201" s="293">
        <v>0.15406235300000001</v>
      </c>
      <c r="EE201" s="293">
        <v>0.21423336000000001</v>
      </c>
      <c r="EF201" s="293">
        <v>0.25250450000000002</v>
      </c>
      <c r="EG201" s="293">
        <v>0.172061096</v>
      </c>
      <c r="EH201" s="293">
        <v>0.17124639999999999</v>
      </c>
      <c r="EI201" s="293">
        <v>0.20384579999999999</v>
      </c>
      <c r="EJ201" s="293">
        <v>0.17350889</v>
      </c>
      <c r="EK201" s="293">
        <v>0.19338287400000001</v>
      </c>
      <c r="EL201" s="295">
        <v>0.19022138499999999</v>
      </c>
      <c r="EM201" s="1080">
        <v>0.167482982</v>
      </c>
      <c r="EN201" s="1080">
        <v>0.20956</v>
      </c>
      <c r="EO201" s="1080">
        <v>0.22771</v>
      </c>
      <c r="EP201" s="1080">
        <v>0.203655</v>
      </c>
      <c r="EQ201" s="1080">
        <v>0.19384455</v>
      </c>
      <c r="ER201" s="1080">
        <v>0.16234000000000001</v>
      </c>
      <c r="ES201" s="1080">
        <v>0.22678512000000001</v>
      </c>
      <c r="ET201" s="1080">
        <v>0.2303452</v>
      </c>
      <c r="EU201" s="1080">
        <v>0.213585</v>
      </c>
      <c r="EV201" s="1080">
        <v>0.22321879999999999</v>
      </c>
      <c r="EW201" s="1080">
        <v>0.1952768</v>
      </c>
      <c r="EX201" s="1340">
        <v>0.212695</v>
      </c>
      <c r="EY201" s="1080"/>
      <c r="EZ201" s="1080"/>
      <c r="FA201" s="1080"/>
      <c r="FB201" s="1080"/>
      <c r="FC201" s="1080"/>
      <c r="FD201" s="1080"/>
      <c r="FE201" s="1080"/>
      <c r="FF201" s="1080"/>
      <c r="FG201" s="1080"/>
      <c r="FH201" s="1080"/>
      <c r="FI201" s="1080"/>
      <c r="FJ201" s="1340"/>
      <c r="FK201" s="1080"/>
      <c r="FL201" s="1080"/>
      <c r="FM201" s="1080"/>
      <c r="FN201" s="1080"/>
      <c r="FO201" s="1080"/>
      <c r="FP201" s="1080"/>
      <c r="FQ201" s="293"/>
      <c r="FR201" s="293"/>
      <c r="FS201" s="293"/>
      <c r="FT201" s="293"/>
      <c r="FU201" s="293"/>
      <c r="FV201" s="293"/>
      <c r="FW201" s="293"/>
      <c r="FX201" s="293"/>
      <c r="FY201" s="293"/>
      <c r="FZ201" s="293"/>
      <c r="GA201" s="293"/>
      <c r="GB201" s="293"/>
      <c r="GC201" s="293"/>
      <c r="GD201" s="293"/>
      <c r="GE201" s="293"/>
      <c r="GF201" s="293"/>
      <c r="GG201" s="293"/>
      <c r="GH201" s="293"/>
      <c r="GI201" s="293"/>
      <c r="GJ201" s="293"/>
      <c r="GK201" s="293"/>
      <c r="GL201" s="293"/>
      <c r="GM201" s="293"/>
      <c r="GN201" s="293"/>
      <c r="GO201" s="293"/>
      <c r="GP201" s="293"/>
      <c r="GQ201" s="293"/>
      <c r="GR201" s="293"/>
      <c r="GS201" s="293"/>
      <c r="GT201" s="293"/>
      <c r="GU201" s="293"/>
      <c r="GV201" s="293"/>
      <c r="GW201" s="293"/>
      <c r="GX201" s="293"/>
      <c r="GY201" s="293"/>
      <c r="GZ201" s="293"/>
      <c r="HA201" s="293"/>
      <c r="HB201" s="293"/>
      <c r="HC201" s="293"/>
      <c r="HD201" s="293"/>
      <c r="HE201" s="293"/>
      <c r="HF201" s="293"/>
      <c r="HG201" s="293"/>
      <c r="HH201" s="293"/>
      <c r="HI201" s="293"/>
      <c r="HJ201" s="293"/>
      <c r="HK201" s="293"/>
      <c r="HL201" s="293"/>
      <c r="HM201" s="293"/>
      <c r="HN201" s="293"/>
      <c r="HO201" s="293"/>
      <c r="HP201" s="293"/>
      <c r="HQ201" s="293"/>
      <c r="HR201" s="293"/>
      <c r="HS201" s="293"/>
      <c r="HT201" s="293"/>
      <c r="HU201" s="293"/>
      <c r="HV201" s="293"/>
      <c r="HW201" s="293"/>
      <c r="HX201" s="293"/>
      <c r="HY201" s="293"/>
      <c r="IH201" s="279">
        <f t="shared" ref="IH201:IH212" si="233">+SUM(DC201:DH201)</f>
        <v>0</v>
      </c>
      <c r="II201" s="279">
        <f t="shared" ref="II201:II212" si="234">+SUM(DI201:DN201)</f>
        <v>0</v>
      </c>
      <c r="IJ201" s="323">
        <f t="shared" si="232"/>
        <v>0</v>
      </c>
      <c r="IK201" s="279">
        <f t="shared" ref="IK201:IK212" si="235">SUM(DO201:DT201)</f>
        <v>1.17063098458</v>
      </c>
      <c r="KT201" s="280"/>
    </row>
    <row r="202" spans="2:306" hidden="1" outlineLevel="1">
      <c r="B202" s="96" t="s">
        <v>338</v>
      </c>
      <c r="D202" s="308" t="s">
        <v>409</v>
      </c>
      <c r="E202" s="293">
        <v>2.7392228759999999</v>
      </c>
      <c r="F202" s="293">
        <v>2.4299532099999999</v>
      </c>
      <c r="G202" s="293">
        <v>2.4246029150000004</v>
      </c>
      <c r="H202" s="293">
        <v>2.582954543</v>
      </c>
      <c r="I202" s="293">
        <v>2.332955659</v>
      </c>
      <c r="J202" s="293">
        <v>2.7714586809999995</v>
      </c>
      <c r="K202" s="293">
        <v>2.3342314439999998</v>
      </c>
      <c r="L202" s="293">
        <v>2.4963311739999998</v>
      </c>
      <c r="M202" s="293">
        <v>2.3591973749999999</v>
      </c>
      <c r="N202" s="293">
        <v>2.2456253360000002</v>
      </c>
      <c r="O202" s="293">
        <v>2.3248152589999997</v>
      </c>
      <c r="P202" s="293">
        <v>2.4867880979999999</v>
      </c>
      <c r="Q202" s="293">
        <v>2.9759658039999999</v>
      </c>
      <c r="R202" s="293">
        <v>2.7960305339999998</v>
      </c>
      <c r="S202" s="293">
        <v>2.3256722570000004</v>
      </c>
      <c r="T202" s="293">
        <v>2.4216086090000002</v>
      </c>
      <c r="U202" s="293">
        <v>2.7005912919999999</v>
      </c>
      <c r="V202" s="293">
        <v>3.0238605689999996</v>
      </c>
      <c r="W202" s="293">
        <v>2.7594319840000003</v>
      </c>
      <c r="X202" s="293">
        <v>3.4014066070000002</v>
      </c>
      <c r="Y202" s="293">
        <v>3.896334274</v>
      </c>
      <c r="Z202" s="293">
        <v>3.9260985079999999</v>
      </c>
      <c r="AA202" s="293">
        <v>3.2967046679999998</v>
      </c>
      <c r="AB202" s="293">
        <v>3.9345470369999997</v>
      </c>
      <c r="AC202" s="293">
        <v>4.1509354800000002</v>
      </c>
      <c r="AD202" s="293">
        <v>3.89354814</v>
      </c>
      <c r="AE202" s="293"/>
      <c r="AF202" s="293"/>
      <c r="AG202" s="293"/>
      <c r="AH202" s="293"/>
      <c r="AI202" s="293"/>
      <c r="AJ202" s="293"/>
      <c r="AK202" s="293"/>
      <c r="AL202" s="293"/>
      <c r="AM202" s="293"/>
      <c r="AN202" s="293"/>
      <c r="AO202" s="293">
        <v>4.6551062729999995</v>
      </c>
      <c r="AP202" s="293">
        <v>4.693069534000001</v>
      </c>
      <c r="AQ202" s="293">
        <v>4.8965492869999991</v>
      </c>
      <c r="AR202" s="293">
        <v>4.4456236169999999</v>
      </c>
      <c r="AS202" s="293">
        <v>3.8280966780000005</v>
      </c>
      <c r="AT202" s="293">
        <v>5.2150959340000007</v>
      </c>
      <c r="AU202" s="293">
        <v>6.2730027020000012</v>
      </c>
      <c r="AV202" s="293">
        <v>7.6429165540000001</v>
      </c>
      <c r="AW202" s="293">
        <v>6.7226256149999992</v>
      </c>
      <c r="AX202" s="293">
        <v>6.8968542400000006</v>
      </c>
      <c r="AY202" s="293">
        <v>6.8987294840000013</v>
      </c>
      <c r="AZ202" s="293">
        <v>7.608156395</v>
      </c>
      <c r="BA202" s="293">
        <v>7.5444947400000011</v>
      </c>
      <c r="BB202" s="293">
        <v>6.7940711340000011</v>
      </c>
      <c r="BC202" s="293">
        <v>7.1437035900000003</v>
      </c>
      <c r="BD202" s="293">
        <v>6.6120206109999993</v>
      </c>
      <c r="BE202" s="293">
        <v>7.9397252390000004</v>
      </c>
      <c r="BF202" s="293">
        <v>7.739183305000001</v>
      </c>
      <c r="BG202" s="293">
        <v>7.4401361340000003</v>
      </c>
      <c r="BH202" s="293">
        <v>8.2737817309999997</v>
      </c>
      <c r="BI202" s="293">
        <v>7.8203539880000008</v>
      </c>
      <c r="BJ202" s="293">
        <v>7.4693923919999996</v>
      </c>
      <c r="BK202" s="293">
        <v>7.4173900849999992</v>
      </c>
      <c r="BL202" s="293">
        <v>8.0213624149999987</v>
      </c>
      <c r="BM202" s="293">
        <v>7.8467695549999998</v>
      </c>
      <c r="BN202" s="293">
        <v>7.4650972449999999</v>
      </c>
      <c r="BO202" s="293">
        <v>7.0914743160000002</v>
      </c>
      <c r="BP202" s="293">
        <v>7.0443161619999994</v>
      </c>
      <c r="BQ202" s="293">
        <v>7.5030041030000003</v>
      </c>
      <c r="BR202" s="293">
        <v>7.8668030060000014</v>
      </c>
      <c r="BS202" s="293">
        <v>7.2429024519999992</v>
      </c>
      <c r="BT202" s="293">
        <v>7.6828974839999997</v>
      </c>
      <c r="BU202" s="293">
        <v>7.8943546909999993</v>
      </c>
      <c r="BV202" s="293">
        <v>7.7865230969999999</v>
      </c>
      <c r="BW202" s="293">
        <v>7.8938692190000008</v>
      </c>
      <c r="BX202" s="293">
        <v>7.7261983870000002</v>
      </c>
      <c r="BY202" s="293">
        <v>8.440349694</v>
      </c>
      <c r="BZ202" s="293">
        <v>7.2436491869999999</v>
      </c>
      <c r="CA202" s="293">
        <v>7.3947901100000006</v>
      </c>
      <c r="CB202" s="293">
        <v>7.7956166430000007</v>
      </c>
      <c r="CC202" s="293">
        <v>8.0887992759999996</v>
      </c>
      <c r="CD202" s="293">
        <v>32.036213115318802</v>
      </c>
      <c r="CE202" s="294">
        <v>27.175925627697268</v>
      </c>
      <c r="CF202" s="293">
        <v>31.448783389300786</v>
      </c>
      <c r="CG202" s="293">
        <v>32.695062422293432</v>
      </c>
      <c r="CH202" s="293">
        <v>30.093787589345226</v>
      </c>
      <c r="CI202" s="293">
        <v>31.622931282824723</v>
      </c>
      <c r="CJ202" s="293">
        <v>30.767406408693802</v>
      </c>
      <c r="CK202" s="293">
        <v>34.382431935825046</v>
      </c>
      <c r="CL202" s="293">
        <v>31.154646210163069</v>
      </c>
      <c r="CM202" s="293">
        <v>31.832167890064213</v>
      </c>
      <c r="CN202" s="293">
        <v>30.847774212253356</v>
      </c>
      <c r="CO202" s="293">
        <v>37.059071629357625</v>
      </c>
      <c r="CP202" s="295">
        <v>44.856672864505647</v>
      </c>
      <c r="CQ202" s="293">
        <v>34.044234721423337</v>
      </c>
      <c r="CR202" s="293">
        <v>34.29596958275522</v>
      </c>
      <c r="CS202" s="293">
        <v>40.407163301722527</v>
      </c>
      <c r="CT202" s="293">
        <v>32.822443309882217</v>
      </c>
      <c r="CU202" s="293">
        <v>32.604727360794364</v>
      </c>
      <c r="CV202" s="293">
        <v>36.848967973615132</v>
      </c>
      <c r="CW202" s="293">
        <v>34.063865863482597</v>
      </c>
      <c r="CX202" s="293">
        <v>31.988126682468085</v>
      </c>
      <c r="CY202" s="293">
        <v>35.181410989911789</v>
      </c>
      <c r="CZ202" s="293">
        <v>35.864216277090101</v>
      </c>
      <c r="DA202" s="293">
        <v>35.710730559602688</v>
      </c>
      <c r="DB202" s="1288">
        <v>48.394044200851191</v>
      </c>
      <c r="DC202" s="606">
        <v>36.017546511268577</v>
      </c>
      <c r="DD202" s="606">
        <v>38.71828427882236</v>
      </c>
      <c r="DE202" s="606">
        <v>43.069802325784131</v>
      </c>
      <c r="DF202" s="606">
        <v>41.524162978379593</v>
      </c>
      <c r="DG202" s="606">
        <v>38.419026093744549</v>
      </c>
      <c r="DH202" s="606">
        <v>47.647654626847959</v>
      </c>
      <c r="DI202" s="606">
        <v>40.436518023905741</v>
      </c>
      <c r="DJ202" s="606">
        <v>39.103427348713439</v>
      </c>
      <c r="DK202" s="606">
        <v>44.097411509082349</v>
      </c>
      <c r="DL202" s="606">
        <v>41.603929950538571</v>
      </c>
      <c r="DM202" s="606">
        <v>41.569464513546087</v>
      </c>
      <c r="DN202" s="622">
        <v>58.062729940586692</v>
      </c>
      <c r="DO202" s="606">
        <v>39.527052364900001</v>
      </c>
      <c r="DP202" s="606">
        <v>42.818899499300009</v>
      </c>
      <c r="DQ202" s="606">
        <v>46.790589943999997</v>
      </c>
      <c r="DR202" s="606">
        <v>39.023771138699999</v>
      </c>
      <c r="DS202" s="606">
        <v>41.684953767900005</v>
      </c>
      <c r="DT202" s="606">
        <v>48.221292091819997</v>
      </c>
      <c r="DU202" s="606">
        <v>45.778980718100001</v>
      </c>
      <c r="DV202" s="606">
        <v>43.676228391100004</v>
      </c>
      <c r="DW202" s="606">
        <v>48.967417331000007</v>
      </c>
      <c r="DX202" s="606">
        <v>42.485499302900003</v>
      </c>
      <c r="DY202" s="606">
        <v>45.112971943700011</v>
      </c>
      <c r="DZ202" s="622">
        <v>60.468120292899989</v>
      </c>
      <c r="EA202" s="606">
        <v>44.797875797699994</v>
      </c>
      <c r="EB202" s="606">
        <v>45.5477164399</v>
      </c>
      <c r="EC202" s="606">
        <v>53.77540983518999</v>
      </c>
      <c r="ED202" s="606">
        <v>48.820116958200003</v>
      </c>
      <c r="EE202" s="606">
        <v>47.771835361160008</v>
      </c>
      <c r="EF202" s="606">
        <v>58.566249298130003</v>
      </c>
      <c r="EG202" s="606">
        <v>50.211513377449997</v>
      </c>
      <c r="EH202" s="606">
        <v>48.096043656969997</v>
      </c>
      <c r="EI202" s="606">
        <v>53.197381827259996</v>
      </c>
      <c r="EJ202" s="606">
        <v>50.165768678964042</v>
      </c>
      <c r="EK202" s="606">
        <v>50.777974140087323</v>
      </c>
      <c r="EL202" s="622">
        <v>64.329564190127527</v>
      </c>
      <c r="EM202" s="1083">
        <v>49.047515527320002</v>
      </c>
      <c r="EN202" s="1083">
        <v>55.9534801808</v>
      </c>
      <c r="EO202" s="1083">
        <v>56.180142703960001</v>
      </c>
      <c r="EP202" s="1083">
        <v>50.583445224296661</v>
      </c>
      <c r="EQ202" s="1083">
        <v>53.589851192056663</v>
      </c>
      <c r="ER202" s="1083">
        <v>63.491690591056667</v>
      </c>
      <c r="ES202" s="1083">
        <v>57.058484830496539</v>
      </c>
      <c r="ET202" s="1083">
        <v>57.352404683147306</v>
      </c>
      <c r="EU202" s="1083">
        <v>55.750775766247251</v>
      </c>
      <c r="EV202" s="1083">
        <v>58.656694224941994</v>
      </c>
      <c r="EW202" s="1083">
        <v>59.182104264638305</v>
      </c>
      <c r="EX202" s="1329">
        <v>73.132967703428662</v>
      </c>
      <c r="EY202" s="1083"/>
      <c r="EZ202" s="1083"/>
      <c r="FA202" s="1083"/>
      <c r="FB202" s="1083"/>
      <c r="FC202" s="1083"/>
      <c r="FD202" s="1083"/>
      <c r="FE202" s="1083"/>
      <c r="FF202" s="1083"/>
      <c r="FG202" s="1083"/>
      <c r="FH202" s="1083"/>
      <c r="FI202" s="1083"/>
      <c r="FJ202" s="1329"/>
      <c r="FK202" s="1083"/>
      <c r="FL202" s="1083"/>
      <c r="FM202" s="1083"/>
      <c r="FN202" s="1083"/>
      <c r="FO202" s="1083"/>
      <c r="FP202" s="1083"/>
      <c r="FQ202" s="606"/>
      <c r="FR202" s="606"/>
      <c r="FS202" s="606"/>
      <c r="FT202" s="606"/>
      <c r="FU202" s="606"/>
      <c r="FV202" s="606"/>
      <c r="FW202" s="606"/>
      <c r="FX202" s="606"/>
      <c r="FY202" s="606"/>
      <c r="FZ202" s="606"/>
      <c r="GA202" s="606"/>
      <c r="GB202" s="606"/>
      <c r="GC202" s="606"/>
      <c r="GD202" s="606"/>
      <c r="GE202" s="606"/>
      <c r="GF202" s="606"/>
      <c r="GG202" s="606"/>
      <c r="GH202" s="606"/>
      <c r="GI202" s="606"/>
      <c r="GJ202" s="606"/>
      <c r="GK202" s="606"/>
      <c r="GL202" s="606"/>
      <c r="GM202" s="606"/>
      <c r="GN202" s="606"/>
      <c r="GO202" s="606"/>
      <c r="GP202" s="606"/>
      <c r="GQ202" s="606"/>
      <c r="GR202" s="606"/>
      <c r="GS202" s="606"/>
      <c r="GT202" s="606"/>
      <c r="GU202" s="606"/>
      <c r="GV202" s="606"/>
      <c r="GW202" s="606"/>
      <c r="GX202" s="606"/>
      <c r="GY202" s="606"/>
      <c r="GZ202" s="606"/>
      <c r="HA202" s="606"/>
      <c r="HB202" s="606"/>
      <c r="HC202" s="606"/>
      <c r="HD202" s="606"/>
      <c r="HE202" s="606"/>
      <c r="HF202" s="606"/>
      <c r="HG202" s="606"/>
      <c r="HH202" s="606"/>
      <c r="HI202" s="606"/>
      <c r="HJ202" s="606"/>
      <c r="HK202" s="606"/>
      <c r="HL202" s="606"/>
      <c r="HM202" s="606"/>
      <c r="HN202" s="606"/>
      <c r="HO202" s="606"/>
      <c r="HP202" s="606"/>
      <c r="HQ202" s="606"/>
      <c r="HR202" s="606"/>
      <c r="HS202" s="606"/>
      <c r="HT202" s="606"/>
      <c r="HU202" s="606"/>
      <c r="HV202" s="606"/>
      <c r="HW202" s="606"/>
      <c r="HX202" s="606"/>
      <c r="HY202" s="606"/>
      <c r="IH202" s="607">
        <f t="shared" si="233"/>
        <v>245.39647681484718</v>
      </c>
      <c r="II202" s="607">
        <f t="shared" si="234"/>
        <v>264.87348128637285</v>
      </c>
      <c r="IJ202" s="323">
        <f t="shared" si="232"/>
        <v>510.26995810122003</v>
      </c>
      <c r="IK202" s="279">
        <f t="shared" si="235"/>
        <v>258.06655880661998</v>
      </c>
      <c r="KT202" s="280"/>
    </row>
    <row r="203" spans="2:306" hidden="1" outlineLevel="1">
      <c r="B203" s="96" t="s">
        <v>338</v>
      </c>
      <c r="D203" s="309" t="s">
        <v>410</v>
      </c>
      <c r="E203" s="293">
        <v>1.3130443569999999</v>
      </c>
      <c r="F203" s="293">
        <v>0.92423106199999994</v>
      </c>
      <c r="G203" s="293">
        <v>0.90873881100000009</v>
      </c>
      <c r="H203" s="293">
        <v>1.1590586549999999</v>
      </c>
      <c r="I203" s="293">
        <v>0.99323208899999993</v>
      </c>
      <c r="J203" s="293">
        <v>1.2484947199999998</v>
      </c>
      <c r="K203" s="293">
        <v>1.2905954289999999</v>
      </c>
      <c r="L203" s="293">
        <v>1.245234462</v>
      </c>
      <c r="M203" s="293">
        <v>1.2637956830000001</v>
      </c>
      <c r="N203" s="293">
        <v>1.191631506</v>
      </c>
      <c r="O203" s="293">
        <v>1.1409664960000001</v>
      </c>
      <c r="P203" s="293">
        <v>1.216019937</v>
      </c>
      <c r="Q203" s="293">
        <v>1.489800099</v>
      </c>
      <c r="R203" s="293">
        <v>1.3727732319999999</v>
      </c>
      <c r="S203" s="293">
        <v>1.134167784</v>
      </c>
      <c r="T203" s="293">
        <v>1.1966613019999999</v>
      </c>
      <c r="U203" s="293">
        <v>1.4316176270000001</v>
      </c>
      <c r="V203" s="293">
        <v>1.6243323039999999</v>
      </c>
      <c r="W203" s="293">
        <v>1.270815091</v>
      </c>
      <c r="X203" s="293">
        <v>1.6905129320000001</v>
      </c>
      <c r="Y203" s="293">
        <v>1.8601119369999999</v>
      </c>
      <c r="Z203" s="293">
        <v>1.5909642610000001</v>
      </c>
      <c r="AA203" s="293">
        <v>1.496850872</v>
      </c>
      <c r="AB203" s="293">
        <v>1.7783203650000001</v>
      </c>
      <c r="AC203" s="293">
        <v>1.8054198610000001</v>
      </c>
      <c r="AD203" s="293">
        <v>1.6467638979999999</v>
      </c>
      <c r="AE203" s="293"/>
      <c r="AF203" s="293"/>
      <c r="AG203" s="293"/>
      <c r="AH203" s="293"/>
      <c r="AI203" s="293"/>
      <c r="AJ203" s="293"/>
      <c r="AK203" s="293"/>
      <c r="AL203" s="293"/>
      <c r="AM203" s="293"/>
      <c r="AN203" s="293"/>
      <c r="AO203" s="293">
        <v>1.907707891</v>
      </c>
      <c r="AP203" s="293">
        <v>1.2707998600000001</v>
      </c>
      <c r="AQ203" s="293">
        <v>1.5526109779999999</v>
      </c>
      <c r="AR203" s="293">
        <v>1.6579804469999999</v>
      </c>
      <c r="AS203" s="293">
        <v>1.600621418</v>
      </c>
      <c r="AT203" s="293">
        <v>1.916406493</v>
      </c>
      <c r="AU203" s="293">
        <v>2.095952456</v>
      </c>
      <c r="AV203" s="293">
        <v>2.4785404880000002</v>
      </c>
      <c r="AW203" s="293">
        <v>2.0327529540000002</v>
      </c>
      <c r="AX203" s="293">
        <v>2.0074109830000002</v>
      </c>
      <c r="AY203" s="293">
        <v>2.0345955140000003</v>
      </c>
      <c r="AZ203" s="293">
        <v>1.9928762850000001</v>
      </c>
      <c r="BA203" s="293">
        <v>2.5431330540000001</v>
      </c>
      <c r="BB203" s="293">
        <v>2.1490990780000003</v>
      </c>
      <c r="BC203" s="293">
        <v>2.045933051</v>
      </c>
      <c r="BD203" s="293">
        <v>2.0167785679999999</v>
      </c>
      <c r="BE203" s="293">
        <v>2.4193639549999997</v>
      </c>
      <c r="BF203" s="293">
        <v>2.330385937</v>
      </c>
      <c r="BG203" s="293">
        <v>2.7832810479999996</v>
      </c>
      <c r="BH203" s="293">
        <v>2.7039472489999996</v>
      </c>
      <c r="BI203" s="293">
        <v>2.7031732019999999</v>
      </c>
      <c r="BJ203" s="293">
        <v>2.2832273180000002</v>
      </c>
      <c r="BK203" s="293">
        <v>2.3743464680000002</v>
      </c>
      <c r="BL203" s="293">
        <v>2.406999034</v>
      </c>
      <c r="BM203" s="293">
        <v>2.7719790939999998</v>
      </c>
      <c r="BN203" s="293">
        <v>2.6742470629999997</v>
      </c>
      <c r="BO203" s="293">
        <v>2.473192026</v>
      </c>
      <c r="BP203" s="293">
        <v>2.591730401</v>
      </c>
      <c r="BQ203" s="293">
        <v>2.780727685</v>
      </c>
      <c r="BR203" s="293">
        <v>2.7551077240000001</v>
      </c>
      <c r="BS203" s="293">
        <v>2.9465457019999999</v>
      </c>
      <c r="BT203" s="293">
        <v>3.1402299990000002</v>
      </c>
      <c r="BU203" s="293">
        <v>3.0971630439999998</v>
      </c>
      <c r="BV203" s="293">
        <v>2.6223350999999999</v>
      </c>
      <c r="BW203" s="293">
        <v>2.736833538</v>
      </c>
      <c r="BX203" s="293">
        <v>2.7817155360000001</v>
      </c>
      <c r="BY203" s="293">
        <v>2.856546254</v>
      </c>
      <c r="BZ203" s="293">
        <v>2.4682412169999997</v>
      </c>
      <c r="CA203" s="293">
        <v>2.4990068339999998</v>
      </c>
      <c r="CB203" s="293">
        <v>2.8076787639999998</v>
      </c>
      <c r="CC203" s="293">
        <v>2.80334408</v>
      </c>
      <c r="CD203" s="293">
        <v>7.9293786280000003</v>
      </c>
      <c r="CE203" s="294">
        <v>8.9873006220000011</v>
      </c>
      <c r="CF203" s="293">
        <v>9.2074302579999987</v>
      </c>
      <c r="CG203" s="293">
        <v>8.4041571699999995</v>
      </c>
      <c r="CH203" s="293">
        <v>8.4392535030000015</v>
      </c>
      <c r="CI203" s="293">
        <v>8.5074214529999992</v>
      </c>
      <c r="CJ203" s="293">
        <v>7.9562990359999999</v>
      </c>
      <c r="CK203" s="293">
        <v>9.4827561320000004</v>
      </c>
      <c r="CL203" s="293">
        <v>8.0384632610000004</v>
      </c>
      <c r="CM203" s="293">
        <v>8.1240160590000006</v>
      </c>
      <c r="CN203" s="293">
        <v>8.5392223820000002</v>
      </c>
      <c r="CO203" s="293">
        <v>8.6665031740000007</v>
      </c>
      <c r="CP203" s="295">
        <v>9.0959029949999994</v>
      </c>
      <c r="CQ203" s="293">
        <v>9.5328386920000021</v>
      </c>
      <c r="CR203" s="293">
        <v>9.868046430999998</v>
      </c>
      <c r="CS203" s="293">
        <v>9.4195141930000013</v>
      </c>
      <c r="CT203" s="293">
        <v>8.7483436450000003</v>
      </c>
      <c r="CU203" s="293">
        <v>8.4174349240000002</v>
      </c>
      <c r="CV203" s="293">
        <v>10.041941856999999</v>
      </c>
      <c r="CW203" s="293">
        <v>9.5983966649999992</v>
      </c>
      <c r="CX203" s="293">
        <v>9.1557967230000017</v>
      </c>
      <c r="CY203" s="293">
        <v>9.0791796579999993</v>
      </c>
      <c r="CZ203" s="293">
        <v>9.705427405</v>
      </c>
      <c r="DA203" s="293">
        <v>9.6112986970000005</v>
      </c>
      <c r="DB203" s="1288">
        <v>11.139123253000001</v>
      </c>
      <c r="DC203" s="606">
        <v>12.427594190136286</v>
      </c>
      <c r="DD203" s="606">
        <v>13.385688803025037</v>
      </c>
      <c r="DE203" s="606">
        <v>13.761692837703146</v>
      </c>
      <c r="DF203" s="606">
        <v>12.711238718995197</v>
      </c>
      <c r="DG203" s="606">
        <v>11.703699667371952</v>
      </c>
      <c r="DH203" s="606">
        <v>12.775694485315539</v>
      </c>
      <c r="DI203" s="606">
        <v>11.861776722003478</v>
      </c>
      <c r="DJ203" s="606">
        <v>11.784797301358351</v>
      </c>
      <c r="DK203" s="606">
        <v>11.657519414191984</v>
      </c>
      <c r="DL203" s="606">
        <v>11.969645389434865</v>
      </c>
      <c r="DM203" s="606">
        <v>12.289552006235867</v>
      </c>
      <c r="DN203" s="622">
        <v>13.446143355448319</v>
      </c>
      <c r="DO203" s="606">
        <v>10.482245115</v>
      </c>
      <c r="DP203" s="606">
        <v>12.573567648999999</v>
      </c>
      <c r="DQ203" s="606">
        <v>12.094253322</v>
      </c>
      <c r="DR203" s="606">
        <v>8.6873882910000013</v>
      </c>
      <c r="DS203" s="606">
        <v>10.796799695000001</v>
      </c>
      <c r="DT203" s="606">
        <v>12.221690878999999</v>
      </c>
      <c r="DU203" s="606">
        <v>11.730238351999999</v>
      </c>
      <c r="DV203" s="606">
        <v>10.536606096000002</v>
      </c>
      <c r="DW203" s="606">
        <v>11.135734081000001</v>
      </c>
      <c r="DX203" s="606">
        <v>10.519533620999999</v>
      </c>
      <c r="DY203" s="606">
        <v>11.060372136000002</v>
      </c>
      <c r="DZ203" s="622">
        <v>12.139890405000001</v>
      </c>
      <c r="EA203" s="606">
        <v>11.802214227999999</v>
      </c>
      <c r="EB203" s="606">
        <v>11.937748206999999</v>
      </c>
      <c r="EC203" s="606">
        <v>12.231238559999998</v>
      </c>
      <c r="ED203" s="606">
        <v>11.771880627</v>
      </c>
      <c r="EE203" s="606">
        <v>11.015070221000002</v>
      </c>
      <c r="EF203" s="606">
        <v>12.264121917000001</v>
      </c>
      <c r="EG203" s="606">
        <v>12.410823855999999</v>
      </c>
      <c r="EH203" s="606">
        <v>11.671270050999999</v>
      </c>
      <c r="EI203" s="606">
        <v>11.912718728</v>
      </c>
      <c r="EJ203" s="606">
        <v>12.601694366424042</v>
      </c>
      <c r="EK203" s="606">
        <v>12.908016861997314</v>
      </c>
      <c r="EL203" s="622">
        <v>15.223602800017677</v>
      </c>
      <c r="EM203" s="1083">
        <v>12.827861064999999</v>
      </c>
      <c r="EN203" s="1083">
        <v>14.801873312999998</v>
      </c>
      <c r="EO203" s="1083">
        <v>13.817519668000001</v>
      </c>
      <c r="EP203" s="1083">
        <v>12.622078046999999</v>
      </c>
      <c r="EQ203" s="1083">
        <v>13.303127042999998</v>
      </c>
      <c r="ER203" s="1083">
        <v>14.587538768000002</v>
      </c>
      <c r="ES203" s="1083">
        <v>12.929600674143749</v>
      </c>
      <c r="ET203" s="1083">
        <v>13.996181584437378</v>
      </c>
      <c r="EU203" s="1083">
        <v>12.985835686567251</v>
      </c>
      <c r="EV203" s="1083">
        <v>12.892408830447591</v>
      </c>
      <c r="EW203" s="1083">
        <v>14.390455766358288</v>
      </c>
      <c r="EX203" s="1329">
        <v>15.794434582758669</v>
      </c>
      <c r="EY203" s="1083"/>
      <c r="EZ203" s="1083"/>
      <c r="FA203" s="1083"/>
      <c r="FB203" s="1083"/>
      <c r="FC203" s="1083"/>
      <c r="FD203" s="1083"/>
      <c r="FE203" s="1083"/>
      <c r="FF203" s="1083"/>
      <c r="FG203" s="1083"/>
      <c r="FH203" s="1083"/>
      <c r="FI203" s="1083"/>
      <c r="FJ203" s="1329"/>
      <c r="FK203" s="1083"/>
      <c r="FL203" s="1083"/>
      <c r="FM203" s="1083"/>
      <c r="FN203" s="1083"/>
      <c r="FO203" s="1083"/>
      <c r="FP203" s="1083"/>
      <c r="FQ203" s="606"/>
      <c r="FR203" s="606"/>
      <c r="FS203" s="606"/>
      <c r="FT203" s="606"/>
      <c r="FU203" s="606"/>
      <c r="FV203" s="606"/>
      <c r="FW203" s="606"/>
      <c r="FX203" s="606"/>
      <c r="FY203" s="606"/>
      <c r="FZ203" s="606"/>
      <c r="GA203" s="606"/>
      <c r="GB203" s="606"/>
      <c r="GC203" s="606"/>
      <c r="GD203" s="606"/>
      <c r="GE203" s="606"/>
      <c r="GF203" s="606"/>
      <c r="GG203" s="606"/>
      <c r="GH203" s="606"/>
      <c r="GI203" s="606"/>
      <c r="GJ203" s="606"/>
      <c r="GK203" s="606"/>
      <c r="GL203" s="606"/>
      <c r="GM203" s="606"/>
      <c r="GN203" s="606"/>
      <c r="GO203" s="606"/>
      <c r="GP203" s="606"/>
      <c r="GQ203" s="606"/>
      <c r="GR203" s="606"/>
      <c r="GS203" s="606"/>
      <c r="GT203" s="606"/>
      <c r="GU203" s="606"/>
      <c r="GV203" s="606"/>
      <c r="GW203" s="606"/>
      <c r="GX203" s="606"/>
      <c r="GY203" s="606"/>
      <c r="GZ203" s="606"/>
      <c r="HA203" s="606"/>
      <c r="HB203" s="606"/>
      <c r="HC203" s="606"/>
      <c r="HD203" s="606"/>
      <c r="HE203" s="606"/>
      <c r="HF203" s="606"/>
      <c r="HG203" s="606"/>
      <c r="HH203" s="606"/>
      <c r="HI203" s="606"/>
      <c r="HJ203" s="606"/>
      <c r="HK203" s="606"/>
      <c r="HL203" s="606"/>
      <c r="HM203" s="606"/>
      <c r="HN203" s="606"/>
      <c r="HO203" s="606"/>
      <c r="HP203" s="606"/>
      <c r="HQ203" s="606"/>
      <c r="HR203" s="606"/>
      <c r="HS203" s="606"/>
      <c r="HT203" s="606"/>
      <c r="HU203" s="606"/>
      <c r="HV203" s="606"/>
      <c r="HW203" s="606"/>
      <c r="HX203" s="606"/>
      <c r="HY203" s="606"/>
      <c r="IH203" s="279">
        <f t="shared" si="233"/>
        <v>76.765608702547155</v>
      </c>
      <c r="II203" s="279">
        <f t="shared" si="234"/>
        <v>73.00943418867287</v>
      </c>
      <c r="IJ203" s="323">
        <f t="shared" si="232"/>
        <v>149.77504289122004</v>
      </c>
      <c r="IK203" s="279">
        <f t="shared" si="235"/>
        <v>66.855944950999998</v>
      </c>
      <c r="KT203" s="280"/>
    </row>
    <row r="204" spans="2:306" hidden="1" outlineLevel="1">
      <c r="B204" s="96" t="s">
        <v>338</v>
      </c>
      <c r="D204" s="296" t="s">
        <v>411</v>
      </c>
      <c r="E204" s="293">
        <v>3.3054380000000001E-2</v>
      </c>
      <c r="F204" s="293">
        <v>2.5865544000000001E-2</v>
      </c>
      <c r="G204" s="293">
        <v>2.2045938000000001E-2</v>
      </c>
      <c r="H204" s="293">
        <v>2.5888979999999999E-2</v>
      </c>
      <c r="I204" s="293">
        <v>2.0560766999999997E-2</v>
      </c>
      <c r="J204" s="293">
        <v>4.6776702999999996E-2</v>
      </c>
      <c r="K204" s="293">
        <v>2.7729529999999999E-2</v>
      </c>
      <c r="L204" s="293">
        <v>2.8566774E-2</v>
      </c>
      <c r="M204" s="293">
        <v>1.6731909000000003E-2</v>
      </c>
      <c r="N204" s="293">
        <v>2.6837029000000002E-2</v>
      </c>
      <c r="O204" s="293">
        <v>5.9718533999999997E-2</v>
      </c>
      <c r="P204" s="293">
        <v>7.9382538999999988E-2</v>
      </c>
      <c r="Q204" s="293">
        <v>2.1058523000000003E-2</v>
      </c>
      <c r="R204" s="293">
        <v>4.8167741E-2</v>
      </c>
      <c r="S204" s="293">
        <v>4.1040702999999998E-2</v>
      </c>
      <c r="T204" s="293">
        <v>8.2313457000000007E-2</v>
      </c>
      <c r="U204" s="293">
        <v>7.1088660999999997E-2</v>
      </c>
      <c r="V204" s="293">
        <v>4.4386896999999995E-2</v>
      </c>
      <c r="W204" s="293">
        <v>7.6512534000000007E-2</v>
      </c>
      <c r="X204" s="293">
        <v>8.877010199999999E-2</v>
      </c>
      <c r="Y204" s="293">
        <v>8.1217595000000004E-2</v>
      </c>
      <c r="Z204" s="293">
        <v>2.4040863000000003E-2</v>
      </c>
      <c r="AA204" s="293">
        <v>5.9924474999999998E-2</v>
      </c>
      <c r="AB204" s="293">
        <v>7.9602365000000008E-2</v>
      </c>
      <c r="AC204" s="293">
        <v>4.7244118000000002E-2</v>
      </c>
      <c r="AD204" s="293">
        <v>3.6463433000000003E-2</v>
      </c>
      <c r="AE204" s="293"/>
      <c r="AF204" s="293"/>
      <c r="AG204" s="293"/>
      <c r="AH204" s="293"/>
      <c r="AI204" s="293"/>
      <c r="AJ204" s="293"/>
      <c r="AK204" s="293"/>
      <c r="AL204" s="293"/>
      <c r="AM204" s="293"/>
      <c r="AN204" s="293"/>
      <c r="AO204" s="293">
        <v>3.6804358000000002E-2</v>
      </c>
      <c r="AP204" s="293">
        <v>4.3874135000000002E-2</v>
      </c>
      <c r="AQ204" s="293">
        <v>4.1751582000000002E-2</v>
      </c>
      <c r="AR204" s="293">
        <v>5.96065E-2</v>
      </c>
      <c r="AS204" s="293">
        <v>4.5378920000000003E-2</v>
      </c>
      <c r="AT204" s="293">
        <v>8.7258134000000001E-2</v>
      </c>
      <c r="AU204" s="293">
        <v>5.6259086999999999E-2</v>
      </c>
      <c r="AV204" s="293">
        <v>8.3262083000000001E-2</v>
      </c>
      <c r="AW204" s="293">
        <v>8.1878051999999993E-2</v>
      </c>
      <c r="AX204" s="293">
        <v>4.7219105999999997E-2</v>
      </c>
      <c r="AY204" s="293">
        <v>6.1312545000000003E-2</v>
      </c>
      <c r="AZ204" s="293">
        <v>0.12131051999999999</v>
      </c>
      <c r="BA204" s="293">
        <v>0.10939816000000001</v>
      </c>
      <c r="BB204" s="293">
        <v>7.4606739000000005E-2</v>
      </c>
      <c r="BC204" s="293">
        <v>0.111529422</v>
      </c>
      <c r="BD204" s="293">
        <v>0.10325355</v>
      </c>
      <c r="BE204" s="293">
        <v>0.10462242000000001</v>
      </c>
      <c r="BF204" s="293">
        <v>0.119682964</v>
      </c>
      <c r="BG204" s="293">
        <v>0.141132017</v>
      </c>
      <c r="BH204" s="293">
        <v>0.10824175999999999</v>
      </c>
      <c r="BI204" s="293">
        <v>0.14131987400000001</v>
      </c>
      <c r="BJ204" s="293">
        <v>9.5947793000000003E-2</v>
      </c>
      <c r="BK204" s="293">
        <v>0.18600203600000001</v>
      </c>
      <c r="BL204" s="293">
        <v>0.23867315300000003</v>
      </c>
      <c r="BM204" s="293">
        <v>0.180292224</v>
      </c>
      <c r="BN204" s="293">
        <v>0.22836181</v>
      </c>
      <c r="BO204" s="293">
        <v>0.148848698</v>
      </c>
      <c r="BP204" s="293">
        <v>0.14939345599999998</v>
      </c>
      <c r="BQ204" s="293">
        <v>0.25848610599999999</v>
      </c>
      <c r="BR204" s="293">
        <v>0.13733762300000002</v>
      </c>
      <c r="BS204" s="293">
        <v>1.7336749999999998E-2</v>
      </c>
      <c r="BT204" s="293">
        <v>3.3165360999999997E-2</v>
      </c>
      <c r="BU204" s="293">
        <v>0.167457046</v>
      </c>
      <c r="BV204" s="293">
        <v>0.27043557199999996</v>
      </c>
      <c r="BW204" s="293">
        <v>0.254368066</v>
      </c>
      <c r="BX204" s="293">
        <v>0.29381816999999999</v>
      </c>
      <c r="BY204" s="293">
        <v>0.30019831299999999</v>
      </c>
      <c r="BZ204" s="293">
        <v>0.30181976400000005</v>
      </c>
      <c r="CA204" s="293">
        <v>0.209001091</v>
      </c>
      <c r="CB204" s="293">
        <v>0.30882618300000003</v>
      </c>
      <c r="CC204" s="293">
        <v>0.36895996800000003</v>
      </c>
      <c r="CD204" s="293">
        <v>2.9137810900000001</v>
      </c>
      <c r="CE204" s="294">
        <v>3.2579501230000001</v>
      </c>
      <c r="CF204" s="293">
        <v>3.3096359470000003</v>
      </c>
      <c r="CG204" s="293">
        <v>3.2803720620000001</v>
      </c>
      <c r="CH204" s="293">
        <v>2.8663366130000001</v>
      </c>
      <c r="CI204" s="293">
        <v>2.8379851020000002</v>
      </c>
      <c r="CJ204" s="293">
        <v>2.417600218</v>
      </c>
      <c r="CK204" s="293">
        <v>3.3296319360000002</v>
      </c>
      <c r="CL204" s="293">
        <v>2.889582248</v>
      </c>
      <c r="CM204" s="293">
        <v>2.8252248610000001</v>
      </c>
      <c r="CN204" s="293">
        <v>2.8790314069999998</v>
      </c>
      <c r="CO204" s="293">
        <v>3.1490031150000002</v>
      </c>
      <c r="CP204" s="295">
        <v>3.3697515729999998</v>
      </c>
      <c r="CQ204" s="293">
        <v>3.5275405860000002</v>
      </c>
      <c r="CR204" s="293">
        <v>3.5625056270000002</v>
      </c>
      <c r="CS204" s="293">
        <v>3.2774231559999998</v>
      </c>
      <c r="CT204" s="293">
        <v>2.7522331530000002</v>
      </c>
      <c r="CU204" s="293">
        <v>3.0051233829999999</v>
      </c>
      <c r="CV204" s="293">
        <v>2.3051876349999998</v>
      </c>
      <c r="CW204" s="293">
        <v>3.522902099</v>
      </c>
      <c r="CX204" s="293">
        <v>3.514704161</v>
      </c>
      <c r="CY204" s="293">
        <v>3.0858560779999999</v>
      </c>
      <c r="CZ204" s="293">
        <v>3.2250137379999999</v>
      </c>
      <c r="DA204" s="293">
        <v>3.306511719</v>
      </c>
      <c r="DB204" s="1288">
        <v>3.655044261</v>
      </c>
      <c r="DC204" s="293">
        <v>5.3981355017688397</v>
      </c>
      <c r="DD204" s="293">
        <v>5.7583947746038664</v>
      </c>
      <c r="DE204" s="293">
        <v>5.4245877626180645</v>
      </c>
      <c r="DF204" s="293">
        <v>5.9587746507778769</v>
      </c>
      <c r="DG204" s="293">
        <v>5.3081702026174247</v>
      </c>
      <c r="DH204" s="293">
        <v>6.2000564609269464</v>
      </c>
      <c r="DI204" s="293">
        <v>4.6439534306434229</v>
      </c>
      <c r="DJ204" s="293">
        <v>5.4716404018966145</v>
      </c>
      <c r="DK204" s="293">
        <v>5.2801219962585169</v>
      </c>
      <c r="DL204" s="293">
        <v>5.8571088651249292</v>
      </c>
      <c r="DM204" s="293">
        <v>5.803248244118409</v>
      </c>
      <c r="DN204" s="295">
        <v>6.4229128127988844</v>
      </c>
      <c r="DO204" s="293">
        <v>3.96625827</v>
      </c>
      <c r="DP204" s="293">
        <v>4.3363821810000003</v>
      </c>
      <c r="DQ204" s="293">
        <v>4.1501709680000003</v>
      </c>
      <c r="DR204" s="293">
        <v>2.1587778960000001</v>
      </c>
      <c r="DS204" s="293">
        <v>3.2498503520000002</v>
      </c>
      <c r="DT204" s="293">
        <v>3.4883162259999998</v>
      </c>
      <c r="DU204" s="293">
        <v>5.0094617489999997</v>
      </c>
      <c r="DV204" s="293">
        <v>3.4546908260000002</v>
      </c>
      <c r="DW204" s="293">
        <v>3.6206684099999999</v>
      </c>
      <c r="DX204" s="293">
        <v>3.7864663319999998</v>
      </c>
      <c r="DY204" s="293">
        <v>3.5124432759999999</v>
      </c>
      <c r="DZ204" s="295">
        <v>4.0064564799999998</v>
      </c>
      <c r="EA204" s="293">
        <v>4.1095892449999996</v>
      </c>
      <c r="EB204" s="293">
        <v>4.500974706</v>
      </c>
      <c r="EC204" s="293">
        <v>4.3506633839999997</v>
      </c>
      <c r="ED204" s="293">
        <v>4.0851877989999998</v>
      </c>
      <c r="EE204" s="293">
        <v>3.6100689890000002</v>
      </c>
      <c r="EF204" s="293">
        <v>3.8154437030000001</v>
      </c>
      <c r="EG204" s="293">
        <v>4.9009505820000001</v>
      </c>
      <c r="EH204" s="293">
        <v>3.668836207</v>
      </c>
      <c r="EI204" s="293">
        <v>4.1260170729999999</v>
      </c>
      <c r="EJ204" s="293">
        <v>4.0557018121469959</v>
      </c>
      <c r="EK204" s="293">
        <v>4.3159766720515362</v>
      </c>
      <c r="EL204" s="295">
        <v>5.2219204496721305</v>
      </c>
      <c r="EM204" s="1080">
        <v>4.8794980280000004</v>
      </c>
      <c r="EN204" s="1080">
        <v>5.2187322759999999</v>
      </c>
      <c r="EO204" s="1080">
        <v>4.7358365679999999</v>
      </c>
      <c r="EP204" s="1080">
        <v>4.3801017939999998</v>
      </c>
      <c r="EQ204" s="1080">
        <v>4.4454953919999998</v>
      </c>
      <c r="ER204" s="1080">
        <v>4.8522762769999996</v>
      </c>
      <c r="ES204" s="1080">
        <v>5.1663274694409971</v>
      </c>
      <c r="ET204" s="1080">
        <v>4.8262897763680961</v>
      </c>
      <c r="EU204" s="1080">
        <v>4.5532425454909466</v>
      </c>
      <c r="EV204" s="1080">
        <v>4.4536369316162903</v>
      </c>
      <c r="EW204" s="1080">
        <v>4.787352689432832</v>
      </c>
      <c r="EX204" s="1340">
        <v>5.4179224003685311</v>
      </c>
      <c r="EY204" s="1080"/>
      <c r="EZ204" s="1080"/>
      <c r="FA204" s="1080"/>
      <c r="FB204" s="1080"/>
      <c r="FC204" s="1080"/>
      <c r="FD204" s="1080"/>
      <c r="FE204" s="1080"/>
      <c r="FF204" s="1080"/>
      <c r="FG204" s="1080"/>
      <c r="FH204" s="1080"/>
      <c r="FI204" s="1080"/>
      <c r="FJ204" s="1340"/>
      <c r="FK204" s="1080"/>
      <c r="FL204" s="1080"/>
      <c r="FM204" s="1080"/>
      <c r="FN204" s="1080"/>
      <c r="FO204" s="1080"/>
      <c r="FP204" s="1080"/>
      <c r="FQ204" s="293"/>
      <c r="FR204" s="293"/>
      <c r="FS204" s="293"/>
      <c r="FT204" s="293"/>
      <c r="FU204" s="293"/>
      <c r="FV204" s="293"/>
      <c r="FW204" s="293"/>
      <c r="FX204" s="293"/>
      <c r="FY204" s="293"/>
      <c r="FZ204" s="293"/>
      <c r="GA204" s="293"/>
      <c r="GB204" s="293"/>
      <c r="GC204" s="293"/>
      <c r="GD204" s="293"/>
      <c r="GE204" s="293"/>
      <c r="GF204" s="293"/>
      <c r="GG204" s="293"/>
      <c r="GH204" s="293"/>
      <c r="GI204" s="293"/>
      <c r="GJ204" s="293"/>
      <c r="GK204" s="293"/>
      <c r="GL204" s="293"/>
      <c r="GM204" s="293"/>
      <c r="GN204" s="293"/>
      <c r="GO204" s="293"/>
      <c r="GP204" s="293"/>
      <c r="GQ204" s="293"/>
      <c r="GR204" s="293"/>
      <c r="GS204" s="293"/>
      <c r="GT204" s="293"/>
      <c r="GU204" s="293"/>
      <c r="GV204" s="293"/>
      <c r="GW204" s="293"/>
      <c r="GX204" s="293"/>
      <c r="GY204" s="293"/>
      <c r="GZ204" s="293"/>
      <c r="HA204" s="293"/>
      <c r="HB204" s="293"/>
      <c r="HC204" s="293"/>
      <c r="HD204" s="293"/>
      <c r="HE204" s="293"/>
      <c r="HF204" s="293"/>
      <c r="HG204" s="293"/>
      <c r="HH204" s="293"/>
      <c r="HI204" s="293"/>
      <c r="HJ204" s="293"/>
      <c r="HK204" s="293"/>
      <c r="HL204" s="293"/>
      <c r="HM204" s="293"/>
      <c r="HN204" s="293"/>
      <c r="HO204" s="293"/>
      <c r="HP204" s="293"/>
      <c r="HQ204" s="293"/>
      <c r="HR204" s="293"/>
      <c r="HS204" s="293"/>
      <c r="HT204" s="293"/>
      <c r="HU204" s="293"/>
      <c r="HV204" s="293"/>
      <c r="HW204" s="293"/>
      <c r="HX204" s="293"/>
      <c r="HY204" s="293"/>
      <c r="IH204" s="279">
        <f t="shared" si="233"/>
        <v>34.04811935331302</v>
      </c>
      <c r="II204" s="279">
        <f t="shared" si="234"/>
        <v>33.478985750840778</v>
      </c>
      <c r="IJ204" s="323">
        <f t="shared" si="232"/>
        <v>67.527105104153804</v>
      </c>
      <c r="IK204" s="279">
        <f t="shared" si="235"/>
        <v>21.349755892999998</v>
      </c>
      <c r="KT204" s="280"/>
    </row>
    <row r="205" spans="2:306" hidden="1" outlineLevel="1">
      <c r="B205" s="96" t="s">
        <v>338</v>
      </c>
      <c r="D205" s="296" t="s">
        <v>412</v>
      </c>
      <c r="E205" s="293">
        <v>0.60903493100000006</v>
      </c>
      <c r="F205" s="293">
        <v>0.72537564399999999</v>
      </c>
      <c r="G205" s="293">
        <v>0.62124138699999998</v>
      </c>
      <c r="H205" s="293">
        <v>0.44931185299999998</v>
      </c>
      <c r="I205" s="293">
        <v>0.392267229</v>
      </c>
      <c r="J205" s="293">
        <v>0.389325054</v>
      </c>
      <c r="K205" s="293">
        <v>0.323974712</v>
      </c>
      <c r="L205" s="293">
        <v>0.37532057899999999</v>
      </c>
      <c r="M205" s="293">
        <v>0.268528981</v>
      </c>
      <c r="N205" s="293">
        <v>0.31258432199999997</v>
      </c>
      <c r="O205" s="293">
        <v>0.256105213</v>
      </c>
      <c r="P205" s="293">
        <v>0.34236230699999998</v>
      </c>
      <c r="Q205" s="293">
        <v>0.43262165900000005</v>
      </c>
      <c r="R205" s="293">
        <v>0.54870397599999998</v>
      </c>
      <c r="S205" s="293">
        <v>0.310884257</v>
      </c>
      <c r="T205" s="293">
        <v>0.210605179</v>
      </c>
      <c r="U205" s="293">
        <v>0.31113238300000001</v>
      </c>
      <c r="V205" s="293">
        <v>0.36419568600000002</v>
      </c>
      <c r="W205" s="293">
        <v>0.39309109599999997</v>
      </c>
      <c r="X205" s="293">
        <v>0.4606111</v>
      </c>
      <c r="Y205" s="293">
        <v>0.80600821</v>
      </c>
      <c r="Z205" s="293">
        <v>1.0965492269999999</v>
      </c>
      <c r="AA205" s="293">
        <v>0.749846079</v>
      </c>
      <c r="AB205" s="293">
        <v>0.87408212500000004</v>
      </c>
      <c r="AC205" s="293">
        <v>0.97186443</v>
      </c>
      <c r="AD205" s="293">
        <v>1.1297374170000001</v>
      </c>
      <c r="AE205" s="293"/>
      <c r="AF205" s="293"/>
      <c r="AG205" s="293"/>
      <c r="AH205" s="293"/>
      <c r="AI205" s="293"/>
      <c r="AJ205" s="293"/>
      <c r="AK205" s="293"/>
      <c r="AL205" s="293"/>
      <c r="AM205" s="293"/>
      <c r="AN205" s="293"/>
      <c r="AO205" s="293">
        <v>1.5747390620000001</v>
      </c>
      <c r="AP205" s="293">
        <v>1.6434089970000001</v>
      </c>
      <c r="AQ205" s="293">
        <v>1.968310322</v>
      </c>
      <c r="AR205" s="293">
        <v>1.6688391119999999</v>
      </c>
      <c r="AS205" s="293">
        <v>1.141266796</v>
      </c>
      <c r="AT205" s="293">
        <v>2.004038837</v>
      </c>
      <c r="AU205" s="293">
        <v>2.862451664</v>
      </c>
      <c r="AV205" s="293">
        <v>3.6569050879999998</v>
      </c>
      <c r="AW205" s="293">
        <v>3.3676094819999998</v>
      </c>
      <c r="AX205" s="293">
        <v>3.5960743559999999</v>
      </c>
      <c r="AY205" s="293">
        <v>3.5099793330000004</v>
      </c>
      <c r="AZ205" s="293">
        <v>3.9475185390000003</v>
      </c>
      <c r="BA205" s="293">
        <v>3.4459936790000003</v>
      </c>
      <c r="BB205" s="293">
        <v>3.2476996159999998</v>
      </c>
      <c r="BC205" s="293">
        <v>3.4658301900000001</v>
      </c>
      <c r="BD205" s="293">
        <v>3.2483179600000001</v>
      </c>
      <c r="BE205" s="293">
        <v>3.896567922</v>
      </c>
      <c r="BF205" s="293">
        <v>3.7539281080000002</v>
      </c>
      <c r="BG205" s="293">
        <v>3.118441684</v>
      </c>
      <c r="BH205" s="293">
        <v>3.6841974949999998</v>
      </c>
      <c r="BI205" s="293">
        <v>3.1641035400000002</v>
      </c>
      <c r="BJ205" s="293">
        <v>3.1432611719999999</v>
      </c>
      <c r="BK205" s="293">
        <v>2.9272051939999999</v>
      </c>
      <c r="BL205" s="293">
        <v>3.250625517</v>
      </c>
      <c r="BM205" s="293">
        <v>2.946002462</v>
      </c>
      <c r="BN205" s="293">
        <v>2.649488732</v>
      </c>
      <c r="BO205" s="293">
        <v>2.7941431560000001</v>
      </c>
      <c r="BP205" s="293">
        <v>2.6397353619999997</v>
      </c>
      <c r="BQ205" s="293">
        <v>2.7368513920000002</v>
      </c>
      <c r="BR205" s="293">
        <v>2.8291518390000001</v>
      </c>
      <c r="BS205" s="293">
        <v>2.8031544990000001</v>
      </c>
      <c r="BT205" s="293">
        <v>2.907549221</v>
      </c>
      <c r="BU205" s="293">
        <v>2.6381350830000003</v>
      </c>
      <c r="BV205" s="293">
        <v>3.017010279</v>
      </c>
      <c r="BW205" s="293">
        <v>2.9517728769999998</v>
      </c>
      <c r="BX205" s="293">
        <v>2.5762213529999998</v>
      </c>
      <c r="BY205" s="293">
        <v>2.9920384370000002</v>
      </c>
      <c r="BZ205" s="293">
        <v>2.5288252490000001</v>
      </c>
      <c r="CA205" s="293">
        <v>2.7192376029999998</v>
      </c>
      <c r="CB205" s="293">
        <v>3.036907362</v>
      </c>
      <c r="CC205" s="293">
        <v>2.946482585</v>
      </c>
      <c r="CD205" s="293">
        <v>0.31105469399999996</v>
      </c>
      <c r="CE205" s="294">
        <v>0.34806175300000003</v>
      </c>
      <c r="CF205" s="293">
        <v>0.44387241199999999</v>
      </c>
      <c r="CG205" s="293">
        <v>0.26101580600000002</v>
      </c>
      <c r="CH205" s="293">
        <v>0.37528845199999999</v>
      </c>
      <c r="CI205" s="293">
        <v>0.365817314</v>
      </c>
      <c r="CJ205" s="293">
        <v>0.38738312000000003</v>
      </c>
      <c r="CK205" s="293">
        <v>0.35322881499999997</v>
      </c>
      <c r="CL205" s="293">
        <v>0.43587098899999999</v>
      </c>
      <c r="CM205" s="293">
        <v>0.44305889300000001</v>
      </c>
      <c r="CN205" s="293">
        <v>0.41086066100000002</v>
      </c>
      <c r="CO205" s="293">
        <v>0.30715015000000001</v>
      </c>
      <c r="CP205" s="295">
        <v>0.38853952600000002</v>
      </c>
      <c r="CQ205" s="293">
        <v>0.29685092100000005</v>
      </c>
      <c r="CR205" s="293">
        <v>0.27184642600000003</v>
      </c>
      <c r="CS205" s="293">
        <v>0.24037788399999999</v>
      </c>
      <c r="CT205" s="293">
        <v>0.29318146300000003</v>
      </c>
      <c r="CU205" s="293">
        <v>0.34709477799999999</v>
      </c>
      <c r="CV205" s="293">
        <v>0.46555161500000003</v>
      </c>
      <c r="CW205" s="293">
        <v>0.26317425700000002</v>
      </c>
      <c r="CX205" s="293">
        <v>0.19730246299999998</v>
      </c>
      <c r="CY205" s="293">
        <v>0.33738297299999997</v>
      </c>
      <c r="CZ205" s="293">
        <v>0.30465571699999999</v>
      </c>
      <c r="DA205" s="293">
        <v>0.40191585400000002</v>
      </c>
      <c r="DB205" s="1288">
        <v>0.30936530400000001</v>
      </c>
      <c r="DC205" s="293">
        <v>0</v>
      </c>
      <c r="DD205" s="293">
        <v>0</v>
      </c>
      <c r="DE205" s="293">
        <v>0</v>
      </c>
      <c r="DF205" s="293">
        <v>0</v>
      </c>
      <c r="DG205" s="293">
        <v>0</v>
      </c>
      <c r="DH205" s="293">
        <v>0</v>
      </c>
      <c r="DI205" s="293">
        <v>0</v>
      </c>
      <c r="DJ205" s="293">
        <v>0</v>
      </c>
      <c r="DK205" s="293">
        <v>0</v>
      </c>
      <c r="DL205" s="293">
        <v>0</v>
      </c>
      <c r="DM205" s="293">
        <v>0</v>
      </c>
      <c r="DN205" s="295">
        <v>0</v>
      </c>
      <c r="DO205" s="293">
        <v>0.299063831</v>
      </c>
      <c r="DP205" s="293">
        <v>0.43843907999999998</v>
      </c>
      <c r="DQ205" s="293">
        <v>0.51506460899999995</v>
      </c>
      <c r="DR205" s="293">
        <v>0.32477969899999998</v>
      </c>
      <c r="DS205" s="293">
        <v>0.49830866099999999</v>
      </c>
      <c r="DT205" s="293">
        <v>0.76989311400000005</v>
      </c>
      <c r="DU205" s="293">
        <v>0.33474799799999999</v>
      </c>
      <c r="DV205" s="293">
        <v>0.45484422699999999</v>
      </c>
      <c r="DW205" s="293">
        <v>0.46459240899999998</v>
      </c>
      <c r="DX205" s="293">
        <v>0.46087307100000002</v>
      </c>
      <c r="DY205" s="293">
        <v>0.61290188000000001</v>
      </c>
      <c r="DZ205" s="295">
        <v>0.31311273299999998</v>
      </c>
      <c r="EA205" s="293">
        <v>0.34885413399999998</v>
      </c>
      <c r="EB205" s="293">
        <v>0.60323130599999997</v>
      </c>
      <c r="EC205" s="293">
        <v>0.62883424499999996</v>
      </c>
      <c r="ED205" s="293">
        <v>0.454849055</v>
      </c>
      <c r="EE205" s="293">
        <v>0.54726019999999997</v>
      </c>
      <c r="EF205" s="293">
        <v>0.55459280099999997</v>
      </c>
      <c r="EG205" s="293">
        <v>0.64026646099999995</v>
      </c>
      <c r="EH205" s="293">
        <v>0.56212172599999999</v>
      </c>
      <c r="EI205" s="293">
        <v>0.63861363199999999</v>
      </c>
      <c r="EJ205" s="293">
        <v>0.9225111029667119</v>
      </c>
      <c r="EK205" s="293">
        <v>0.71104322327730607</v>
      </c>
      <c r="EL205" s="295">
        <v>0.66457191047591258</v>
      </c>
      <c r="EM205" s="1080">
        <v>0.55678617699999999</v>
      </c>
      <c r="EN205" s="1080">
        <v>0.56800486500000003</v>
      </c>
      <c r="EO205" s="1080">
        <v>0.71457812099999996</v>
      </c>
      <c r="EP205" s="1080">
        <v>0.62036306200000002</v>
      </c>
      <c r="EQ205" s="1080">
        <v>0.84107955700000003</v>
      </c>
      <c r="ER205" s="1080">
        <v>1.04215043</v>
      </c>
      <c r="ES205" s="1080">
        <v>0.77340703555360224</v>
      </c>
      <c r="ET205" s="1080">
        <v>0.7653408082089691</v>
      </c>
      <c r="EU205" s="1080">
        <v>0.70404151209066845</v>
      </c>
      <c r="EV205" s="1080">
        <v>0.56881605391119316</v>
      </c>
      <c r="EW205" s="1080">
        <v>0.70557693923058373</v>
      </c>
      <c r="EX205" s="1340">
        <v>0.84097780362909968</v>
      </c>
      <c r="EY205" s="1080"/>
      <c r="EZ205" s="1080"/>
      <c r="FA205" s="1080"/>
      <c r="FB205" s="1080"/>
      <c r="FC205" s="1080"/>
      <c r="FD205" s="1080"/>
      <c r="FE205" s="1080"/>
      <c r="FF205" s="1080"/>
      <c r="FG205" s="1080"/>
      <c r="FH205" s="1080"/>
      <c r="FI205" s="1080"/>
      <c r="FJ205" s="1340"/>
      <c r="FK205" s="1080"/>
      <c r="FL205" s="1080"/>
      <c r="FM205" s="1080"/>
      <c r="FN205" s="1080"/>
      <c r="FO205" s="1080"/>
      <c r="FP205" s="1080"/>
      <c r="FQ205" s="293"/>
      <c r="FR205" s="293"/>
      <c r="FS205" s="293"/>
      <c r="FT205" s="293"/>
      <c r="FU205" s="293"/>
      <c r="FV205" s="293"/>
      <c r="FW205" s="293"/>
      <c r="FX205" s="293"/>
      <c r="FY205" s="293"/>
      <c r="FZ205" s="293"/>
      <c r="GA205" s="293"/>
      <c r="GB205" s="293"/>
      <c r="GC205" s="293"/>
      <c r="GD205" s="293"/>
      <c r="GE205" s="293"/>
      <c r="GF205" s="293"/>
      <c r="GG205" s="293"/>
      <c r="GH205" s="293"/>
      <c r="GI205" s="293"/>
      <c r="GJ205" s="293"/>
      <c r="GK205" s="293"/>
      <c r="GL205" s="293"/>
      <c r="GM205" s="293"/>
      <c r="GN205" s="293"/>
      <c r="GO205" s="293"/>
      <c r="GP205" s="293"/>
      <c r="GQ205" s="293"/>
      <c r="GR205" s="293"/>
      <c r="GS205" s="293"/>
      <c r="GT205" s="293"/>
      <c r="GU205" s="293"/>
      <c r="GV205" s="293"/>
      <c r="GW205" s="293"/>
      <c r="GX205" s="293"/>
      <c r="GY205" s="293"/>
      <c r="GZ205" s="293"/>
      <c r="HA205" s="293"/>
      <c r="HB205" s="293"/>
      <c r="HC205" s="293"/>
      <c r="HD205" s="293"/>
      <c r="HE205" s="293"/>
      <c r="HF205" s="293"/>
      <c r="HG205" s="293"/>
      <c r="HH205" s="293"/>
      <c r="HI205" s="293"/>
      <c r="HJ205" s="293"/>
      <c r="HK205" s="293"/>
      <c r="HL205" s="293"/>
      <c r="HM205" s="293"/>
      <c r="HN205" s="293"/>
      <c r="HO205" s="293"/>
      <c r="HP205" s="293"/>
      <c r="HQ205" s="293"/>
      <c r="HR205" s="293"/>
      <c r="HS205" s="293"/>
      <c r="HT205" s="293"/>
      <c r="HU205" s="293"/>
      <c r="HV205" s="293"/>
      <c r="HW205" s="293"/>
      <c r="HX205" s="293"/>
      <c r="HY205" s="293"/>
      <c r="IH205" s="279">
        <f t="shared" si="233"/>
        <v>0</v>
      </c>
      <c r="II205" s="279">
        <f t="shared" si="234"/>
        <v>0</v>
      </c>
      <c r="IJ205" s="323">
        <f t="shared" si="232"/>
        <v>0</v>
      </c>
      <c r="IK205" s="279">
        <f t="shared" si="235"/>
        <v>2.8455489939999996</v>
      </c>
      <c r="KT205" s="280"/>
    </row>
    <row r="206" spans="2:306" hidden="1" outlineLevel="1">
      <c r="B206" s="96" t="s">
        <v>338</v>
      </c>
      <c r="D206" s="296" t="s">
        <v>1055</v>
      </c>
      <c r="E206" s="293"/>
      <c r="F206" s="293"/>
      <c r="G206" s="293"/>
      <c r="H206" s="293"/>
      <c r="I206" s="293"/>
      <c r="J206" s="293"/>
      <c r="K206" s="293"/>
      <c r="L206" s="293"/>
      <c r="M206" s="293"/>
      <c r="N206" s="293"/>
      <c r="O206" s="293"/>
      <c r="P206" s="293"/>
      <c r="Q206" s="293"/>
      <c r="R206" s="293"/>
      <c r="S206" s="293"/>
      <c r="T206" s="293"/>
      <c r="U206" s="293"/>
      <c r="V206" s="293"/>
      <c r="W206" s="293"/>
      <c r="X206" s="293"/>
      <c r="Y206" s="293"/>
      <c r="Z206" s="293"/>
      <c r="AA206" s="293"/>
      <c r="AB206" s="293"/>
      <c r="AC206" s="293"/>
      <c r="AD206" s="293"/>
      <c r="AE206" s="293"/>
      <c r="AF206" s="293"/>
      <c r="AG206" s="293"/>
      <c r="AH206" s="293"/>
      <c r="AI206" s="293"/>
      <c r="AJ206" s="293"/>
      <c r="AK206" s="293"/>
      <c r="AL206" s="293"/>
      <c r="AM206" s="293"/>
      <c r="AN206" s="293"/>
      <c r="AO206" s="293">
        <v>0</v>
      </c>
      <c r="AP206" s="293">
        <v>0</v>
      </c>
      <c r="AQ206" s="293">
        <v>0</v>
      </c>
      <c r="AR206" s="293">
        <v>0</v>
      </c>
      <c r="AS206" s="293">
        <v>0</v>
      </c>
      <c r="AT206" s="293">
        <v>0</v>
      </c>
      <c r="AU206" s="293">
        <v>0</v>
      </c>
      <c r="AV206" s="293">
        <v>0</v>
      </c>
      <c r="AW206" s="293">
        <v>0</v>
      </c>
      <c r="AX206" s="293">
        <v>0</v>
      </c>
      <c r="AY206" s="293">
        <v>0</v>
      </c>
      <c r="AZ206" s="293">
        <v>0</v>
      </c>
      <c r="BA206" s="293">
        <v>0</v>
      </c>
      <c r="BB206" s="293">
        <v>0</v>
      </c>
      <c r="BC206" s="293">
        <v>0</v>
      </c>
      <c r="BD206" s="293">
        <v>0</v>
      </c>
      <c r="BE206" s="293">
        <v>0</v>
      </c>
      <c r="BF206" s="293">
        <v>0</v>
      </c>
      <c r="BG206" s="293">
        <v>0</v>
      </c>
      <c r="BH206" s="293">
        <v>0</v>
      </c>
      <c r="BI206" s="293">
        <v>0</v>
      </c>
      <c r="BJ206" s="293">
        <v>0</v>
      </c>
      <c r="BK206" s="293">
        <v>0</v>
      </c>
      <c r="BL206" s="293">
        <v>0</v>
      </c>
      <c r="BM206" s="293">
        <v>0</v>
      </c>
      <c r="BN206" s="293">
        <v>0</v>
      </c>
      <c r="BO206" s="293">
        <v>0</v>
      </c>
      <c r="BP206" s="293">
        <v>0</v>
      </c>
      <c r="BQ206" s="293">
        <v>0</v>
      </c>
      <c r="BR206" s="293">
        <v>0</v>
      </c>
      <c r="BS206" s="293">
        <v>0</v>
      </c>
      <c r="BT206" s="293">
        <v>0</v>
      </c>
      <c r="BU206" s="293">
        <v>0</v>
      </c>
      <c r="BV206" s="293">
        <v>0</v>
      </c>
      <c r="BW206" s="293">
        <v>0</v>
      </c>
      <c r="BX206" s="293">
        <v>0</v>
      </c>
      <c r="BY206" s="293">
        <v>0</v>
      </c>
      <c r="BZ206" s="293">
        <v>0</v>
      </c>
      <c r="CA206" s="293">
        <v>0</v>
      </c>
      <c r="CB206" s="293">
        <v>0</v>
      </c>
      <c r="CC206" s="293">
        <v>0</v>
      </c>
      <c r="CD206" s="293">
        <v>2.7902043110000001</v>
      </c>
      <c r="CE206" s="294">
        <v>3.1689793989999999</v>
      </c>
      <c r="CF206" s="293">
        <v>3.2646680999999997</v>
      </c>
      <c r="CG206" s="293">
        <v>2.8187917579999997</v>
      </c>
      <c r="CH206" s="293">
        <v>3.2793469100000001</v>
      </c>
      <c r="CI206" s="293">
        <v>3.1409703960000002</v>
      </c>
      <c r="CJ206" s="293">
        <v>3.2952408479999997</v>
      </c>
      <c r="CK206" s="293">
        <v>3.2457254710000001</v>
      </c>
      <c r="CL206" s="293">
        <v>2.712039984</v>
      </c>
      <c r="CM206" s="293">
        <v>2.8694379530000003</v>
      </c>
      <c r="CN206" s="293">
        <v>3.0035599589999999</v>
      </c>
      <c r="CO206" s="293">
        <v>3.1262652019999999</v>
      </c>
      <c r="CP206" s="295">
        <v>3.075251937</v>
      </c>
      <c r="CQ206" s="293">
        <v>3.2488606209999999</v>
      </c>
      <c r="CR206" s="293">
        <v>3.238915344</v>
      </c>
      <c r="CS206" s="293">
        <v>3.2422682709999999</v>
      </c>
      <c r="CT206" s="293">
        <v>3.3888526780000001</v>
      </c>
      <c r="CU206" s="293">
        <v>2.5925377210000002</v>
      </c>
      <c r="CV206" s="293">
        <v>3.5392753539999999</v>
      </c>
      <c r="CW206" s="293">
        <v>3.356586316</v>
      </c>
      <c r="CX206" s="293">
        <v>3.1462293780000001</v>
      </c>
      <c r="CY206" s="293">
        <v>3.354355424</v>
      </c>
      <c r="CZ206" s="293">
        <v>3.7739778299999998</v>
      </c>
      <c r="DA206" s="293">
        <v>3.6157893829999996</v>
      </c>
      <c r="DB206" s="1288">
        <v>4.5673495070000003</v>
      </c>
      <c r="DC206" s="293">
        <v>6.5516037548088999</v>
      </c>
      <c r="DD206" s="293">
        <v>6.1313639970228753</v>
      </c>
      <c r="DE206" s="293">
        <v>7.3639123965037205</v>
      </c>
      <c r="DF206" s="293">
        <v>5.7518601399761868</v>
      </c>
      <c r="DG206" s="293">
        <v>5.5502397513714117</v>
      </c>
      <c r="DH206" s="293">
        <v>5.4626040483169076</v>
      </c>
      <c r="DI206" s="293">
        <v>6.2514231740000001</v>
      </c>
      <c r="DJ206" s="293">
        <v>5.4853795969999997</v>
      </c>
      <c r="DK206" s="293">
        <v>5.3768416380000001</v>
      </c>
      <c r="DL206" s="293">
        <v>5.1278029370000002</v>
      </c>
      <c r="DM206" s="293">
        <v>5.5426165259999998</v>
      </c>
      <c r="DN206" s="295">
        <v>5.9421715629999996</v>
      </c>
      <c r="DO206" s="293">
        <v>2.956541123</v>
      </c>
      <c r="DP206" s="293">
        <v>4.2391642650000003</v>
      </c>
      <c r="DQ206" s="293">
        <v>4.6278842459999998</v>
      </c>
      <c r="DR206" s="293">
        <v>3.6132463650000002</v>
      </c>
      <c r="DS206" s="293">
        <v>4.2479571060000003</v>
      </c>
      <c r="DT206" s="293">
        <v>5.1771524299999996</v>
      </c>
      <c r="DU206" s="293">
        <v>3.5630113959999998</v>
      </c>
      <c r="DV206" s="293">
        <v>3.792640612</v>
      </c>
      <c r="DW206" s="293">
        <v>4.4536867249999998</v>
      </c>
      <c r="DX206" s="293">
        <v>3.6935304289999999</v>
      </c>
      <c r="DY206" s="293">
        <v>4.0704032720000001</v>
      </c>
      <c r="DZ206" s="295">
        <v>4.7259317359999997</v>
      </c>
      <c r="EA206" s="293">
        <v>3.9197508289999998</v>
      </c>
      <c r="EB206" s="293">
        <v>4.441601414</v>
      </c>
      <c r="EC206" s="293">
        <v>4.3779506379999997</v>
      </c>
      <c r="ED206" s="293">
        <v>4.284085996</v>
      </c>
      <c r="EE206" s="293">
        <v>4.0114392140000001</v>
      </c>
      <c r="EF206" s="293">
        <v>4.6793488439999997</v>
      </c>
      <c r="EG206" s="293">
        <v>3.851187774</v>
      </c>
      <c r="EH206" s="293">
        <v>4.1980587839999997</v>
      </c>
      <c r="EI206" s="293">
        <v>4.5506451840000004</v>
      </c>
      <c r="EJ206" s="293">
        <v>4.0935972188788101</v>
      </c>
      <c r="EK206" s="293">
        <v>5.1052073904136108</v>
      </c>
      <c r="EL206" s="295">
        <v>5.3142629711079108</v>
      </c>
      <c r="EM206" s="1080">
        <v>4.5634166029999994</v>
      </c>
      <c r="EN206" s="1080">
        <v>5.2825730379999998</v>
      </c>
      <c r="EO206" s="1080">
        <v>4.7967218230000004</v>
      </c>
      <c r="EP206" s="1080">
        <v>4.4942836369999997</v>
      </c>
      <c r="EQ206" s="1080">
        <v>4.593065245</v>
      </c>
      <c r="ER206" s="1080">
        <v>5.1687548889999997</v>
      </c>
      <c r="ES206" s="1080">
        <v>4.1042873664221347</v>
      </c>
      <c r="ET206" s="1080">
        <v>4.8625159404912184</v>
      </c>
      <c r="EU206" s="1080">
        <v>4.803794123639566</v>
      </c>
      <c r="EV206" s="1080">
        <v>4.6857228159572806</v>
      </c>
      <c r="EW206" s="1080">
        <v>5.5589025963523504</v>
      </c>
      <c r="EX206" s="1340">
        <v>4.6832505486718778</v>
      </c>
      <c r="EY206" s="1080"/>
      <c r="EZ206" s="1080"/>
      <c r="FA206" s="1080"/>
      <c r="FB206" s="1080"/>
      <c r="FC206" s="1080"/>
      <c r="FD206" s="1080"/>
      <c r="FE206" s="1080"/>
      <c r="FF206" s="1080"/>
      <c r="FG206" s="1080"/>
      <c r="FH206" s="1080"/>
      <c r="FI206" s="1080"/>
      <c r="FJ206" s="1340"/>
      <c r="FK206" s="1080"/>
      <c r="FL206" s="1080"/>
      <c r="FM206" s="1080"/>
      <c r="FN206" s="1080"/>
      <c r="FO206" s="1080"/>
      <c r="FP206" s="1080"/>
      <c r="FQ206" s="293"/>
      <c r="FR206" s="293"/>
      <c r="FS206" s="293"/>
      <c r="FT206" s="293"/>
      <c r="FU206" s="293"/>
      <c r="FV206" s="293"/>
      <c r="FW206" s="293"/>
      <c r="FX206" s="293"/>
      <c r="FY206" s="293"/>
      <c r="FZ206" s="293"/>
      <c r="GA206" s="293"/>
      <c r="GB206" s="293"/>
      <c r="GC206" s="293"/>
      <c r="GD206" s="293"/>
      <c r="GE206" s="293"/>
      <c r="GF206" s="293"/>
      <c r="GG206" s="293"/>
      <c r="GH206" s="293"/>
      <c r="GI206" s="293"/>
      <c r="GJ206" s="293"/>
      <c r="GK206" s="293"/>
      <c r="GL206" s="293"/>
      <c r="GM206" s="293"/>
      <c r="GN206" s="293"/>
      <c r="GO206" s="293"/>
      <c r="GP206" s="293"/>
      <c r="GQ206" s="293"/>
      <c r="GR206" s="293"/>
      <c r="GS206" s="293"/>
      <c r="GT206" s="293"/>
      <c r="GU206" s="293"/>
      <c r="GV206" s="293"/>
      <c r="GW206" s="293"/>
      <c r="GX206" s="293"/>
      <c r="GY206" s="293"/>
      <c r="GZ206" s="293"/>
      <c r="HA206" s="293"/>
      <c r="HB206" s="293"/>
      <c r="HC206" s="293"/>
      <c r="HD206" s="293"/>
      <c r="HE206" s="293"/>
      <c r="HF206" s="293"/>
      <c r="HG206" s="293"/>
      <c r="HH206" s="293"/>
      <c r="HI206" s="293"/>
      <c r="HJ206" s="293"/>
      <c r="HK206" s="293"/>
      <c r="HL206" s="293"/>
      <c r="HM206" s="293"/>
      <c r="HN206" s="293"/>
      <c r="HO206" s="293"/>
      <c r="HP206" s="293"/>
      <c r="HQ206" s="293"/>
      <c r="HR206" s="293"/>
      <c r="HS206" s="293"/>
      <c r="HT206" s="293"/>
      <c r="HU206" s="293"/>
      <c r="HV206" s="293"/>
      <c r="HW206" s="293"/>
      <c r="HX206" s="293"/>
      <c r="HY206" s="293"/>
      <c r="IH206" s="279">
        <f t="shared" si="233"/>
        <v>36.811584088000004</v>
      </c>
      <c r="II206" s="279">
        <f t="shared" si="234"/>
        <v>33.726235435</v>
      </c>
      <c r="IJ206" s="323">
        <f t="shared" si="232"/>
        <v>70.537819522999996</v>
      </c>
      <c r="IK206" s="279">
        <f t="shared" si="235"/>
        <v>24.861945535</v>
      </c>
      <c r="KT206" s="280"/>
    </row>
    <row r="207" spans="2:306" hidden="1" outlineLevel="1">
      <c r="B207" s="96" t="s">
        <v>338</v>
      </c>
      <c r="D207" s="300" t="s">
        <v>413</v>
      </c>
      <c r="E207" s="293">
        <v>0.12257455</v>
      </c>
      <c r="F207" s="293">
        <v>9.5664029999999997E-2</v>
      </c>
      <c r="G207" s="293">
        <v>0.24450006799999999</v>
      </c>
      <c r="H207" s="293">
        <v>7.7807333000000006E-2</v>
      </c>
      <c r="I207" s="293">
        <v>9.6818618999999995E-2</v>
      </c>
      <c r="J207" s="293">
        <v>0.24703535299999999</v>
      </c>
      <c r="K207" s="293">
        <v>0.17997434600000001</v>
      </c>
      <c r="L207" s="293">
        <v>0.236399788</v>
      </c>
      <c r="M207" s="293">
        <v>0.21844863</v>
      </c>
      <c r="N207" s="293">
        <v>0.15407416000000002</v>
      </c>
      <c r="O207" s="293">
        <v>0.27121834899999997</v>
      </c>
      <c r="P207" s="293">
        <v>0.22340381300000001</v>
      </c>
      <c r="Q207" s="293">
        <v>0.33873832499999995</v>
      </c>
      <c r="R207" s="293">
        <v>0.21718442700000001</v>
      </c>
      <c r="S207" s="293">
        <v>0.30949034999999997</v>
      </c>
      <c r="T207" s="293">
        <v>0.27921589799999996</v>
      </c>
      <c r="U207" s="293">
        <v>0.197232666</v>
      </c>
      <c r="V207" s="293">
        <v>0.34309520300000002</v>
      </c>
      <c r="W207" s="293">
        <v>0.30296367800000001</v>
      </c>
      <c r="X207" s="293">
        <v>0.30147555500000001</v>
      </c>
      <c r="Y207" s="293">
        <v>0.31368041000000002</v>
      </c>
      <c r="Z207" s="293">
        <v>0.44817263800000001</v>
      </c>
      <c r="AA207" s="293">
        <v>0.159889948</v>
      </c>
      <c r="AB207" s="293">
        <v>0.22750847799999999</v>
      </c>
      <c r="AC207" s="293">
        <v>0.446178466</v>
      </c>
      <c r="AD207" s="293">
        <v>0.257762834</v>
      </c>
      <c r="AE207" s="293"/>
      <c r="AF207" s="293"/>
      <c r="AG207" s="293"/>
      <c r="AH207" s="293"/>
      <c r="AI207" s="293"/>
      <c r="AJ207" s="293"/>
      <c r="AK207" s="293"/>
      <c r="AL207" s="293"/>
      <c r="AM207" s="293"/>
      <c r="AN207" s="293"/>
      <c r="AO207" s="293">
        <v>0.15563988500000001</v>
      </c>
      <c r="AP207" s="293">
        <v>0.30713459799999998</v>
      </c>
      <c r="AQ207" s="293">
        <v>0.54122745499999991</v>
      </c>
      <c r="AR207" s="293">
        <v>0.19685392200000001</v>
      </c>
      <c r="AS207" s="293">
        <v>0.26285905600000004</v>
      </c>
      <c r="AT207" s="293">
        <v>0.30590315900000004</v>
      </c>
      <c r="AU207" s="293">
        <v>0.33271619899999999</v>
      </c>
      <c r="AV207" s="293">
        <v>0.27057281399999999</v>
      </c>
      <c r="AW207" s="293">
        <v>0.23636665800000001</v>
      </c>
      <c r="AX207" s="293">
        <v>0.345864856</v>
      </c>
      <c r="AY207" s="293">
        <v>0.33883756599999998</v>
      </c>
      <c r="AZ207" s="293">
        <v>0.53474712599999996</v>
      </c>
      <c r="BA207" s="293">
        <v>0.230413696</v>
      </c>
      <c r="BB207" s="293">
        <v>0.31115040800000004</v>
      </c>
      <c r="BC207" s="293">
        <v>0.50819375</v>
      </c>
      <c r="BD207" s="293">
        <v>0.13237381199999998</v>
      </c>
      <c r="BE207" s="293">
        <v>0.38163459</v>
      </c>
      <c r="BF207" s="293">
        <v>0.308284477</v>
      </c>
      <c r="BG207" s="293">
        <v>0.206005774</v>
      </c>
      <c r="BH207" s="293">
        <v>0.3226154</v>
      </c>
      <c r="BI207" s="293">
        <v>0.30836892399999999</v>
      </c>
      <c r="BJ207" s="293">
        <v>0.52572209299999995</v>
      </c>
      <c r="BK207" s="293">
        <v>0.37534705000000002</v>
      </c>
      <c r="BL207" s="293">
        <v>0.51314306499999995</v>
      </c>
      <c r="BM207" s="293">
        <v>0.239882496</v>
      </c>
      <c r="BN207" s="293">
        <v>0.31812765500000001</v>
      </c>
      <c r="BO207" s="293">
        <v>0.271019338</v>
      </c>
      <c r="BP207" s="293">
        <v>0.18334953800000001</v>
      </c>
      <c r="BQ207" s="293">
        <v>0.29642618100000001</v>
      </c>
      <c r="BR207" s="293">
        <v>0.42665895999999998</v>
      </c>
      <c r="BS207" s="293">
        <v>5.6446497999999998E-2</v>
      </c>
      <c r="BT207" s="293">
        <v>5.4721117E-2</v>
      </c>
      <c r="BU207" s="293">
        <v>0.22542836199999999</v>
      </c>
      <c r="BV207" s="293">
        <v>0.314704712</v>
      </c>
      <c r="BW207" s="293">
        <v>0.44608005500000003</v>
      </c>
      <c r="BX207" s="293">
        <v>0.41995875199999999</v>
      </c>
      <c r="BY207" s="293">
        <v>0.499125863</v>
      </c>
      <c r="BZ207" s="293">
        <v>0.37070930199999996</v>
      </c>
      <c r="CA207" s="293">
        <v>0.44204523600000001</v>
      </c>
      <c r="CB207" s="293">
        <v>0.29001354099999999</v>
      </c>
      <c r="CC207" s="293">
        <v>0.36823071299999999</v>
      </c>
      <c r="CD207" s="293">
        <v>0</v>
      </c>
      <c r="CE207" s="294">
        <v>0</v>
      </c>
      <c r="CF207" s="293">
        <v>0</v>
      </c>
      <c r="CG207" s="293">
        <v>0</v>
      </c>
      <c r="CH207" s="293">
        <v>0</v>
      </c>
      <c r="CI207" s="293">
        <v>0</v>
      </c>
      <c r="CJ207" s="293">
        <v>0</v>
      </c>
      <c r="CK207" s="293">
        <v>0</v>
      </c>
      <c r="CL207" s="293">
        <v>0</v>
      </c>
      <c r="CM207" s="293">
        <v>0</v>
      </c>
      <c r="CN207" s="293">
        <v>0</v>
      </c>
      <c r="CO207" s="293">
        <v>0</v>
      </c>
      <c r="CP207" s="295">
        <v>0</v>
      </c>
      <c r="CQ207" s="293">
        <v>0.31600979299999998</v>
      </c>
      <c r="CR207" s="293">
        <v>0.12124649999999999</v>
      </c>
      <c r="CS207" s="293">
        <v>0.23915218799999999</v>
      </c>
      <c r="CT207" s="293">
        <v>6.3750000000000001E-2</v>
      </c>
      <c r="CU207" s="293">
        <v>0</v>
      </c>
      <c r="CV207" s="293">
        <v>7.2294597999999988E-2</v>
      </c>
      <c r="CW207" s="293">
        <v>0.28024274999999998</v>
      </c>
      <c r="CX207" s="293">
        <v>1.1953797E-2</v>
      </c>
      <c r="CY207" s="293">
        <v>0</v>
      </c>
      <c r="CZ207" s="293">
        <v>0.36828455300000001</v>
      </c>
      <c r="DA207" s="293">
        <v>0.16295479800000001</v>
      </c>
      <c r="DB207" s="1288">
        <v>0</v>
      </c>
      <c r="DC207" s="293">
        <v>0.47785493355854752</v>
      </c>
      <c r="DD207" s="293">
        <v>1.4959300313982959</v>
      </c>
      <c r="DE207" s="293">
        <v>0.97319267858136105</v>
      </c>
      <c r="DF207" s="293">
        <v>1.0006039282411332</v>
      </c>
      <c r="DG207" s="293">
        <v>0.84528971338311532</v>
      </c>
      <c r="DH207" s="293">
        <v>1.1130339760716854</v>
      </c>
      <c r="DI207" s="293">
        <v>0.96640011736005382</v>
      </c>
      <c r="DJ207" s="293">
        <v>0.82777730246173653</v>
      </c>
      <c r="DK207" s="293">
        <v>1.0005557799334683</v>
      </c>
      <c r="DL207" s="293">
        <v>0.98473358730993465</v>
      </c>
      <c r="DM207" s="293">
        <v>0.94368723611745831</v>
      </c>
      <c r="DN207" s="295">
        <v>1.0810589796494359</v>
      </c>
      <c r="DO207" s="293">
        <v>0</v>
      </c>
      <c r="DP207" s="293">
        <v>0</v>
      </c>
      <c r="DQ207" s="293">
        <v>0</v>
      </c>
      <c r="DR207" s="293">
        <v>0</v>
      </c>
      <c r="DS207" s="293">
        <v>0</v>
      </c>
      <c r="DT207" s="293">
        <v>0</v>
      </c>
      <c r="DU207" s="293">
        <v>0</v>
      </c>
      <c r="DV207" s="293">
        <v>0</v>
      </c>
      <c r="DW207" s="293">
        <v>0</v>
      </c>
      <c r="DX207" s="293">
        <v>0</v>
      </c>
      <c r="DY207" s="293">
        <v>0</v>
      </c>
      <c r="DZ207" s="295">
        <v>0</v>
      </c>
      <c r="EA207" s="293"/>
      <c r="EB207" s="293"/>
      <c r="EC207" s="293"/>
      <c r="ED207" s="293"/>
      <c r="EE207" s="293"/>
      <c r="EF207" s="293"/>
      <c r="EG207" s="293"/>
      <c r="EH207" s="293"/>
      <c r="EI207" s="293"/>
      <c r="EJ207" s="293"/>
      <c r="EK207" s="293"/>
      <c r="EL207" s="295"/>
      <c r="EM207" s="1080"/>
      <c r="EN207" s="1080"/>
      <c r="EO207" s="1080"/>
      <c r="EP207" s="1080"/>
      <c r="EQ207" s="1080"/>
      <c r="ER207" s="1080"/>
      <c r="ES207" s="1080"/>
      <c r="ET207" s="1080"/>
      <c r="EU207" s="1080"/>
      <c r="EV207" s="1080"/>
      <c r="EW207" s="1080"/>
      <c r="EX207" s="1340"/>
      <c r="EY207" s="1080"/>
      <c r="EZ207" s="1080"/>
      <c r="FA207" s="1080"/>
      <c r="FB207" s="1080"/>
      <c r="FC207" s="1080"/>
      <c r="FD207" s="1080"/>
      <c r="FE207" s="1080"/>
      <c r="FF207" s="1080"/>
      <c r="FG207" s="1080"/>
      <c r="FH207" s="1080"/>
      <c r="FI207" s="1080"/>
      <c r="FJ207" s="1340"/>
      <c r="FK207" s="1080"/>
      <c r="FL207" s="1080"/>
      <c r="FM207" s="1080"/>
      <c r="FN207" s="1080"/>
      <c r="FO207" s="1080"/>
      <c r="FP207" s="1080"/>
      <c r="FQ207" s="293"/>
      <c r="FR207" s="293"/>
      <c r="FS207" s="293"/>
      <c r="FT207" s="293"/>
      <c r="FU207" s="293"/>
      <c r="FV207" s="293"/>
      <c r="FW207" s="293"/>
      <c r="FX207" s="293"/>
      <c r="FY207" s="293"/>
      <c r="FZ207" s="293"/>
      <c r="GA207" s="293"/>
      <c r="GB207" s="293"/>
      <c r="GC207" s="293"/>
      <c r="GD207" s="293"/>
      <c r="GE207" s="293"/>
      <c r="GF207" s="293"/>
      <c r="GG207" s="293"/>
      <c r="GH207" s="293"/>
      <c r="GI207" s="293"/>
      <c r="GJ207" s="293"/>
      <c r="GK207" s="293"/>
      <c r="GL207" s="293"/>
      <c r="GM207" s="293"/>
      <c r="GN207" s="293"/>
      <c r="GO207" s="293"/>
      <c r="GP207" s="293"/>
      <c r="GQ207" s="293"/>
      <c r="GR207" s="293"/>
      <c r="GS207" s="293"/>
      <c r="GT207" s="293"/>
      <c r="GU207" s="293"/>
      <c r="GV207" s="293"/>
      <c r="GW207" s="293"/>
      <c r="GX207" s="293"/>
      <c r="GY207" s="293"/>
      <c r="GZ207" s="293"/>
      <c r="HA207" s="293"/>
      <c r="HB207" s="293"/>
      <c r="HC207" s="293"/>
      <c r="HD207" s="293"/>
      <c r="HE207" s="293"/>
      <c r="HF207" s="293"/>
      <c r="HG207" s="293"/>
      <c r="HH207" s="293"/>
      <c r="HI207" s="293"/>
      <c r="HJ207" s="293"/>
      <c r="HK207" s="293"/>
      <c r="HL207" s="293"/>
      <c r="HM207" s="293"/>
      <c r="HN207" s="293"/>
      <c r="HO207" s="293"/>
      <c r="HP207" s="293"/>
      <c r="HQ207" s="293"/>
      <c r="HR207" s="293"/>
      <c r="HS207" s="293"/>
      <c r="HT207" s="293"/>
      <c r="HU207" s="293"/>
      <c r="HV207" s="293"/>
      <c r="HW207" s="293"/>
      <c r="HX207" s="293"/>
      <c r="HY207" s="293"/>
      <c r="IH207" s="279">
        <f t="shared" si="233"/>
        <v>5.9059052612341381</v>
      </c>
      <c r="II207" s="279">
        <f t="shared" si="234"/>
        <v>5.8042130028320873</v>
      </c>
      <c r="IJ207" s="323">
        <f t="shared" si="232"/>
        <v>11.710118264066224</v>
      </c>
      <c r="IK207" s="279">
        <f t="shared" si="235"/>
        <v>0</v>
      </c>
      <c r="KT207" s="280"/>
    </row>
    <row r="208" spans="2:306" hidden="1" outlineLevel="1">
      <c r="B208" s="96" t="s">
        <v>338</v>
      </c>
      <c r="D208" s="296" t="s">
        <v>414</v>
      </c>
      <c r="E208" s="293">
        <v>0.376488718</v>
      </c>
      <c r="F208" s="293">
        <v>0.27503976599999996</v>
      </c>
      <c r="G208" s="293">
        <v>0.29167016499999998</v>
      </c>
      <c r="H208" s="293">
        <v>0.32567224</v>
      </c>
      <c r="I208" s="293">
        <v>0.27484575899999997</v>
      </c>
      <c r="J208" s="293">
        <v>0.331115728</v>
      </c>
      <c r="K208" s="293">
        <v>0.33978096000000002</v>
      </c>
      <c r="L208" s="293">
        <v>0.37187727100000001</v>
      </c>
      <c r="M208" s="293">
        <v>0.36097400499999999</v>
      </c>
      <c r="N208" s="293">
        <v>0.35204973699999997</v>
      </c>
      <c r="O208" s="293">
        <v>0.33266694800000002</v>
      </c>
      <c r="P208" s="293">
        <v>0.37760089900000005</v>
      </c>
      <c r="Q208" s="293">
        <v>0.47139505500000001</v>
      </c>
      <c r="R208" s="293">
        <v>0.34578407700000002</v>
      </c>
      <c r="S208" s="293">
        <v>0.32111728499999997</v>
      </c>
      <c r="T208" s="293">
        <v>0.36832643000000004</v>
      </c>
      <c r="U208" s="293">
        <v>0.39539540299999998</v>
      </c>
      <c r="V208" s="293">
        <v>0.412211785</v>
      </c>
      <c r="W208" s="293">
        <v>0.42786645800000001</v>
      </c>
      <c r="X208" s="293">
        <v>0.53550458499999998</v>
      </c>
      <c r="Y208" s="293">
        <v>0.50252995700000003</v>
      </c>
      <c r="Z208" s="293">
        <v>0.4172768</v>
      </c>
      <c r="AA208" s="293">
        <v>0.45548481199999996</v>
      </c>
      <c r="AB208" s="293">
        <v>0.54283377299999991</v>
      </c>
      <c r="AC208" s="293">
        <v>0.54527993000000008</v>
      </c>
      <c r="AD208" s="293">
        <v>0.44552670899999997</v>
      </c>
      <c r="AE208" s="293"/>
      <c r="AF208" s="293"/>
      <c r="AG208" s="293"/>
      <c r="AH208" s="293"/>
      <c r="AI208" s="293"/>
      <c r="AJ208" s="293"/>
      <c r="AK208" s="293"/>
      <c r="AL208" s="293"/>
      <c r="AM208" s="293"/>
      <c r="AN208" s="293"/>
      <c r="AO208" s="293">
        <v>0.55119870000000004</v>
      </c>
      <c r="AP208" s="293">
        <v>0.90592912699999995</v>
      </c>
      <c r="AQ208" s="293">
        <v>0.38974524900000002</v>
      </c>
      <c r="AR208" s="293">
        <v>0.41528999</v>
      </c>
      <c r="AS208" s="293">
        <v>0.40771658999999999</v>
      </c>
      <c r="AT208" s="293">
        <v>0.47274411099999997</v>
      </c>
      <c r="AU208" s="293">
        <v>0.49503433200000002</v>
      </c>
      <c r="AV208" s="293">
        <v>0.638184796</v>
      </c>
      <c r="AW208" s="293">
        <v>0.5658347199999999</v>
      </c>
      <c r="AX208" s="293">
        <v>0.50072386599999996</v>
      </c>
      <c r="AY208" s="293">
        <v>0.48141455100000002</v>
      </c>
      <c r="AZ208" s="293">
        <v>0.56830008399999998</v>
      </c>
      <c r="BA208" s="293">
        <v>0.66034978700000002</v>
      </c>
      <c r="BB208" s="293">
        <v>0.49478778299999998</v>
      </c>
      <c r="BC208" s="293">
        <v>0.49137524799999999</v>
      </c>
      <c r="BD208" s="293">
        <v>0.52532155299999994</v>
      </c>
      <c r="BE208" s="293">
        <v>0.521276984</v>
      </c>
      <c r="BF208" s="293">
        <v>0.61742338299999999</v>
      </c>
      <c r="BG208" s="293">
        <v>0.61646515899999998</v>
      </c>
      <c r="BH208" s="293">
        <v>0.68712254600000011</v>
      </c>
      <c r="BI208" s="293">
        <v>0.66977477399999996</v>
      </c>
      <c r="BJ208" s="293">
        <v>0.53554957800000003</v>
      </c>
      <c r="BK208" s="293">
        <v>0.56878804599999999</v>
      </c>
      <c r="BL208" s="293">
        <v>0.62482149600000003</v>
      </c>
      <c r="BM208" s="293">
        <v>0.92523598400000007</v>
      </c>
      <c r="BN208" s="293">
        <v>0.73850048400000001</v>
      </c>
      <c r="BO208" s="293">
        <v>0.64597101699999993</v>
      </c>
      <c r="BP208" s="293">
        <v>0.69080865100000011</v>
      </c>
      <c r="BQ208" s="293">
        <v>0.59215187999999996</v>
      </c>
      <c r="BR208" s="293">
        <v>0.78683266799999996</v>
      </c>
      <c r="BS208" s="293">
        <v>0.74801819199999997</v>
      </c>
      <c r="BT208" s="293">
        <v>0.86035693099999999</v>
      </c>
      <c r="BU208" s="293">
        <v>0.83968145199999999</v>
      </c>
      <c r="BV208" s="293">
        <v>0.71862171799999996</v>
      </c>
      <c r="BW208" s="293">
        <v>0.6411021950000001</v>
      </c>
      <c r="BX208" s="293">
        <v>0.69818696199999997</v>
      </c>
      <c r="BY208" s="293">
        <v>0.86955511699999999</v>
      </c>
      <c r="BZ208" s="293">
        <v>0.72042674799999995</v>
      </c>
      <c r="CA208" s="293">
        <v>0.733881212</v>
      </c>
      <c r="CB208" s="293">
        <v>0.527985343</v>
      </c>
      <c r="CC208" s="293">
        <v>0.85245839300000004</v>
      </c>
      <c r="CD208" s="293">
        <v>0.312449378</v>
      </c>
      <c r="CE208" s="294">
        <v>0.41229271499999998</v>
      </c>
      <c r="CF208" s="293">
        <v>0.38380109599999995</v>
      </c>
      <c r="CG208" s="293">
        <v>0.41043272400000003</v>
      </c>
      <c r="CH208" s="293">
        <v>0.42619850200000003</v>
      </c>
      <c r="CI208" s="293">
        <v>0.45543209400000001</v>
      </c>
      <c r="CJ208" s="293">
        <v>0.30718331799999998</v>
      </c>
      <c r="CK208" s="293">
        <v>0.51037131099999999</v>
      </c>
      <c r="CL208" s="293">
        <v>0.46679078500000004</v>
      </c>
      <c r="CM208" s="293">
        <v>0.27314984399999997</v>
      </c>
      <c r="CN208" s="293">
        <v>0.605518589</v>
      </c>
      <c r="CO208" s="293">
        <v>0.43885416400000005</v>
      </c>
      <c r="CP208" s="295">
        <v>0.54017785600000001</v>
      </c>
      <c r="CQ208" s="293">
        <v>0.41812329100000001</v>
      </c>
      <c r="CR208" s="293">
        <v>0.43984718700000003</v>
      </c>
      <c r="CS208" s="293">
        <v>0.61426964499999992</v>
      </c>
      <c r="CT208" s="293">
        <v>0.58147084500000001</v>
      </c>
      <c r="CU208" s="293">
        <v>0.61717984299999995</v>
      </c>
      <c r="CV208" s="293">
        <v>0.89931141999999997</v>
      </c>
      <c r="CW208" s="293">
        <v>8.3683255999999998E-2</v>
      </c>
      <c r="CX208" s="293">
        <v>7.2974965999999988E-2</v>
      </c>
      <c r="CY208" s="293">
        <v>0.367037367</v>
      </c>
      <c r="CZ208" s="293">
        <v>0.398010368</v>
      </c>
      <c r="DA208" s="293">
        <v>0.498061898</v>
      </c>
      <c r="DB208" s="1288">
        <v>0.34761037499999997</v>
      </c>
      <c r="DC208" s="293"/>
      <c r="DD208" s="293"/>
      <c r="DE208" s="293"/>
      <c r="DF208" s="293"/>
      <c r="DG208" s="293"/>
      <c r="DH208" s="293"/>
      <c r="DI208" s="293"/>
      <c r="DJ208" s="293"/>
      <c r="DK208" s="293"/>
      <c r="DL208" s="293"/>
      <c r="DM208" s="293"/>
      <c r="DN208" s="295"/>
      <c r="DO208" s="293">
        <v>0.47724450000000002</v>
      </c>
      <c r="DP208" s="293">
        <v>0.92302220999999995</v>
      </c>
      <c r="DQ208" s="293">
        <v>0.64845299999999995</v>
      </c>
      <c r="DR208" s="293">
        <v>0.69100260000000002</v>
      </c>
      <c r="DS208" s="293">
        <v>0.89528342400000005</v>
      </c>
      <c r="DT208" s="293">
        <v>0.69794489999999998</v>
      </c>
      <c r="DU208" s="293">
        <v>0.39388620000000002</v>
      </c>
      <c r="DV208" s="293">
        <v>0.80550270000000002</v>
      </c>
      <c r="DW208" s="293">
        <v>0.5532705</v>
      </c>
      <c r="DX208" s="293">
        <v>0.61176450000000004</v>
      </c>
      <c r="DY208" s="293">
        <v>0.73271566399999999</v>
      </c>
      <c r="DZ208" s="295">
        <v>0.71411069999999999</v>
      </c>
      <c r="EA208" s="293">
        <v>1.1710801660000001</v>
      </c>
      <c r="EB208" s="293">
        <v>6.4005800000000003E-3</v>
      </c>
      <c r="EC208" s="293">
        <v>0.64878060000000004</v>
      </c>
      <c r="ED208" s="293">
        <v>0.81617340000000005</v>
      </c>
      <c r="EE208" s="293">
        <v>0.8211138</v>
      </c>
      <c r="EF208" s="293">
        <v>1.0459327439999999</v>
      </c>
      <c r="EG208" s="293">
        <v>0.53638896000000003</v>
      </c>
      <c r="EH208" s="293">
        <v>0.96978531300000004</v>
      </c>
      <c r="EI208" s="293">
        <v>0.497167107</v>
      </c>
      <c r="EJ208" s="293">
        <v>1.1521358450543624</v>
      </c>
      <c r="EK208" s="293">
        <v>0.42633093473580214</v>
      </c>
      <c r="EL208" s="295">
        <v>1.5913206518053027</v>
      </c>
      <c r="EM208" s="1080">
        <v>0.412047</v>
      </c>
      <c r="EN208" s="1080">
        <v>0.96666660000000004</v>
      </c>
      <c r="EO208" s="1080">
        <v>0.98094000000000003</v>
      </c>
      <c r="EP208" s="1080">
        <v>0.83510406100000001</v>
      </c>
      <c r="EQ208" s="1080">
        <v>1.049008438</v>
      </c>
      <c r="ER208" s="1080">
        <v>1.177221444</v>
      </c>
      <c r="ES208" s="1080">
        <v>8.4081983171211599E-2</v>
      </c>
      <c r="ET208" s="1080">
        <v>0.92682630999888838</v>
      </c>
      <c r="EU208" s="1080">
        <v>0.72928712310012023</v>
      </c>
      <c r="EV208" s="1080">
        <v>0.68300894580381111</v>
      </c>
      <c r="EW208" s="1080">
        <v>0.70822090855734909</v>
      </c>
      <c r="EX208" s="1340">
        <v>2.2692877103876063</v>
      </c>
      <c r="EY208" s="1080"/>
      <c r="EZ208" s="1080"/>
      <c r="FA208" s="1080"/>
      <c r="FB208" s="1080"/>
      <c r="FC208" s="1080"/>
      <c r="FD208" s="1080"/>
      <c r="FE208" s="1080"/>
      <c r="FF208" s="1080"/>
      <c r="FG208" s="1080"/>
      <c r="FH208" s="1080"/>
      <c r="FI208" s="1080"/>
      <c r="FJ208" s="1340"/>
      <c r="FK208" s="1080"/>
      <c r="FL208" s="1080"/>
      <c r="FM208" s="1080"/>
      <c r="FN208" s="1080"/>
      <c r="FO208" s="1080"/>
      <c r="FP208" s="1080"/>
      <c r="FQ208" s="293"/>
      <c r="FR208" s="293"/>
      <c r="FS208" s="293"/>
      <c r="FT208" s="293"/>
      <c r="FU208" s="293"/>
      <c r="FV208" s="293"/>
      <c r="FW208" s="293"/>
      <c r="FX208" s="293"/>
      <c r="FY208" s="293"/>
      <c r="FZ208" s="293"/>
      <c r="GA208" s="293"/>
      <c r="GB208" s="293"/>
      <c r="GC208" s="293"/>
      <c r="GD208" s="293"/>
      <c r="GE208" s="293"/>
      <c r="GF208" s="293"/>
      <c r="GG208" s="293"/>
      <c r="GH208" s="293"/>
      <c r="GI208" s="293"/>
      <c r="GJ208" s="293"/>
      <c r="GK208" s="293"/>
      <c r="GL208" s="293"/>
      <c r="GM208" s="293"/>
      <c r="GN208" s="293"/>
      <c r="GO208" s="293"/>
      <c r="GP208" s="293"/>
      <c r="GQ208" s="293"/>
      <c r="GR208" s="293"/>
      <c r="GS208" s="293"/>
      <c r="GT208" s="293"/>
      <c r="GU208" s="293"/>
      <c r="GV208" s="293"/>
      <c r="GW208" s="293"/>
      <c r="GX208" s="293"/>
      <c r="GY208" s="293"/>
      <c r="GZ208" s="293"/>
      <c r="HA208" s="293"/>
      <c r="HB208" s="293"/>
      <c r="HC208" s="293"/>
      <c r="HD208" s="293"/>
      <c r="HE208" s="293"/>
      <c r="HF208" s="293"/>
      <c r="HG208" s="293"/>
      <c r="HH208" s="293"/>
      <c r="HI208" s="293"/>
      <c r="HJ208" s="293"/>
      <c r="HK208" s="293"/>
      <c r="HL208" s="293"/>
      <c r="HM208" s="293"/>
      <c r="HN208" s="293"/>
      <c r="HO208" s="293"/>
      <c r="HP208" s="293"/>
      <c r="HQ208" s="293"/>
      <c r="HR208" s="293"/>
      <c r="HS208" s="293"/>
      <c r="HT208" s="293"/>
      <c r="HU208" s="293"/>
      <c r="HV208" s="293"/>
      <c r="HW208" s="293"/>
      <c r="HX208" s="293"/>
      <c r="HY208" s="293"/>
      <c r="IH208" s="279">
        <f t="shared" si="233"/>
        <v>0</v>
      </c>
      <c r="II208" s="279">
        <f t="shared" si="234"/>
        <v>0</v>
      </c>
      <c r="IJ208" s="323">
        <f t="shared" si="232"/>
        <v>0</v>
      </c>
      <c r="IK208" s="279">
        <f t="shared" si="235"/>
        <v>4.3329506339999995</v>
      </c>
      <c r="KT208" s="280"/>
    </row>
    <row r="209" spans="2:306" hidden="1" outlineLevel="1">
      <c r="B209" s="96" t="s">
        <v>338</v>
      </c>
      <c r="D209" s="296" t="s">
        <v>415</v>
      </c>
      <c r="E209" s="293">
        <v>4.9956508999999996E-2</v>
      </c>
      <c r="F209" s="293">
        <v>6.7060385E-2</v>
      </c>
      <c r="G209" s="293">
        <v>5.6711468000000001E-2</v>
      </c>
      <c r="H209" s="293">
        <v>6.9070803E-2</v>
      </c>
      <c r="I209" s="293">
        <v>0.12558512399999999</v>
      </c>
      <c r="J209" s="293">
        <v>0.103991084</v>
      </c>
      <c r="K209" s="293">
        <v>5.0996718000000003E-2</v>
      </c>
      <c r="L209" s="293">
        <v>0.13784180299999998</v>
      </c>
      <c r="M209" s="293">
        <v>0.11101515299999999</v>
      </c>
      <c r="N209" s="293">
        <v>8.8089554E-2</v>
      </c>
      <c r="O209" s="293">
        <v>0.13835948200000001</v>
      </c>
      <c r="P209" s="293">
        <v>0.12957476399999998</v>
      </c>
      <c r="Q209" s="293">
        <v>9.3778858999999992E-2</v>
      </c>
      <c r="R209" s="293">
        <v>0.135011831</v>
      </c>
      <c r="S209" s="293">
        <v>9.2001330999999992E-2</v>
      </c>
      <c r="T209" s="293">
        <v>0.14832118500000002</v>
      </c>
      <c r="U209" s="293">
        <v>0.14591031400000001</v>
      </c>
      <c r="V209" s="293">
        <v>0.150170793</v>
      </c>
      <c r="W209" s="293">
        <v>0.13310903200000002</v>
      </c>
      <c r="X209" s="293">
        <v>0.15896345299999998</v>
      </c>
      <c r="Y209" s="293">
        <v>0.15857500499999999</v>
      </c>
      <c r="Z209" s="293">
        <v>0.15422256400000001</v>
      </c>
      <c r="AA209" s="293">
        <v>0.16777488399999999</v>
      </c>
      <c r="AB209" s="293">
        <v>0.22314510700000001</v>
      </c>
      <c r="AC209" s="293">
        <v>0.129086794</v>
      </c>
      <c r="AD209" s="293">
        <v>0.18507388599999999</v>
      </c>
      <c r="AE209" s="293"/>
      <c r="AF209" s="293"/>
      <c r="AG209" s="293"/>
      <c r="AH209" s="293"/>
      <c r="AI209" s="293"/>
      <c r="AJ209" s="293"/>
      <c r="AK209" s="293"/>
      <c r="AL209" s="293"/>
      <c r="AM209" s="293"/>
      <c r="AN209" s="293"/>
      <c r="AO209" s="293">
        <v>0.119869134</v>
      </c>
      <c r="AP209" s="293">
        <v>0.174603014</v>
      </c>
      <c r="AQ209" s="293">
        <v>9.8193560999999999E-2</v>
      </c>
      <c r="AR209" s="293">
        <v>0.121490896</v>
      </c>
      <c r="AS209" s="293">
        <v>0.12089839100000001</v>
      </c>
      <c r="AT209" s="293">
        <v>8.3282554000000009E-2</v>
      </c>
      <c r="AU209" s="293">
        <v>0.127385729</v>
      </c>
      <c r="AV209" s="293">
        <v>0.10482100300000001</v>
      </c>
      <c r="AW209" s="293">
        <v>0.10456910600000001</v>
      </c>
      <c r="AX209" s="293">
        <v>8.5321542E-2</v>
      </c>
      <c r="AY209" s="293">
        <v>0.12584625800000002</v>
      </c>
      <c r="AZ209" s="293">
        <v>0.16305061699999998</v>
      </c>
      <c r="BA209" s="293">
        <v>9.9921705999999999E-2</v>
      </c>
      <c r="BB209" s="293">
        <v>0.111365485</v>
      </c>
      <c r="BC209" s="293">
        <v>0.14087023300000001</v>
      </c>
      <c r="BD209" s="293">
        <v>0.161633053</v>
      </c>
      <c r="BE209" s="293">
        <v>0.18410981500000001</v>
      </c>
      <c r="BF209" s="293">
        <v>0.13649772699999999</v>
      </c>
      <c r="BG209" s="293">
        <v>0.10063868499999999</v>
      </c>
      <c r="BH209" s="293">
        <v>0.14508388</v>
      </c>
      <c r="BI209" s="293">
        <v>0.160115807</v>
      </c>
      <c r="BJ209" s="293">
        <v>0.19700281</v>
      </c>
      <c r="BK209" s="293">
        <v>0.253975536</v>
      </c>
      <c r="BL209" s="293">
        <v>0.28247142600000003</v>
      </c>
      <c r="BM209" s="293">
        <v>0.18950018099999999</v>
      </c>
      <c r="BN209" s="293">
        <v>0.25088981199999999</v>
      </c>
      <c r="BO209" s="293">
        <v>0.20995781199999999</v>
      </c>
      <c r="BP209" s="293">
        <v>0.19356710599999999</v>
      </c>
      <c r="BQ209" s="293">
        <v>0.27278050000000004</v>
      </c>
      <c r="BR209" s="293">
        <v>0.24667486799999999</v>
      </c>
      <c r="BS209" s="293">
        <v>4.5156039999999995E-3</v>
      </c>
      <c r="BT209" s="293">
        <v>4.5375350000000005E-3</v>
      </c>
      <c r="BU209" s="293">
        <v>0.23454192299999999</v>
      </c>
      <c r="BV209" s="293">
        <v>0.23690113900000001</v>
      </c>
      <c r="BW209" s="293">
        <v>0.22149212700000001</v>
      </c>
      <c r="BX209" s="293">
        <v>0.257456395</v>
      </c>
      <c r="BY209" s="293">
        <v>0.215854083</v>
      </c>
      <c r="BZ209" s="293">
        <v>0.15774595799999999</v>
      </c>
      <c r="CA209" s="293">
        <v>0.20548556900000001</v>
      </c>
      <c r="CB209" s="293">
        <v>0.17480965100000001</v>
      </c>
      <c r="CC209" s="293">
        <v>0.15763822699999999</v>
      </c>
      <c r="CD209" s="293">
        <v>0.78401451899999997</v>
      </c>
      <c r="CE209" s="294">
        <v>0.93396723100000001</v>
      </c>
      <c r="CF209" s="293">
        <v>0.93967412100000003</v>
      </c>
      <c r="CG209" s="293">
        <v>0.85714150299999992</v>
      </c>
      <c r="CH209" s="293">
        <v>0.69490649199999999</v>
      </c>
      <c r="CI209" s="293">
        <v>0.75275150599999996</v>
      </c>
      <c r="CJ209" s="293">
        <v>0.68074851699999994</v>
      </c>
      <c r="CK209" s="293">
        <v>0.98071824500000004</v>
      </c>
      <c r="CL209" s="293">
        <v>0.79255130799999995</v>
      </c>
      <c r="CM209" s="293">
        <v>0.78212579400000004</v>
      </c>
      <c r="CN209" s="293">
        <v>0.71673761000000002</v>
      </c>
      <c r="CO209" s="293">
        <v>0.74810198299999997</v>
      </c>
      <c r="CP209" s="295">
        <v>0.81123543800000009</v>
      </c>
      <c r="CQ209" s="293">
        <v>0.961991767</v>
      </c>
      <c r="CR209" s="293">
        <v>1.068401766</v>
      </c>
      <c r="CS209" s="293">
        <v>1.0868742490000001</v>
      </c>
      <c r="CT209" s="293">
        <v>0.76969936399999994</v>
      </c>
      <c r="CU209" s="293">
        <v>0.7536676670000001</v>
      </c>
      <c r="CV209" s="293">
        <v>1.6773509019999999</v>
      </c>
      <c r="CW209" s="293">
        <v>1.2860032779999999</v>
      </c>
      <c r="CX209" s="293">
        <v>1.0642378819999998</v>
      </c>
      <c r="CY209" s="293">
        <v>0.83346142599999995</v>
      </c>
      <c r="CZ209" s="293">
        <v>0.76650462699999999</v>
      </c>
      <c r="DA209" s="293">
        <v>0.87136943299999992</v>
      </c>
      <c r="DB209" s="1288">
        <v>1.1083429389999999</v>
      </c>
      <c r="DC209" s="293"/>
      <c r="DD209" s="293"/>
      <c r="DE209" s="293"/>
      <c r="DF209" s="293"/>
      <c r="DG209" s="293"/>
      <c r="DH209" s="293"/>
      <c r="DI209" s="293"/>
      <c r="DJ209" s="293"/>
      <c r="DK209" s="293"/>
      <c r="DL209" s="293"/>
      <c r="DM209" s="293"/>
      <c r="DN209" s="295"/>
      <c r="DO209" s="293">
        <v>0.99000233900000001</v>
      </c>
      <c r="DP209" s="293">
        <v>1.3284933489999999</v>
      </c>
      <c r="DQ209" s="293">
        <v>0.999893955</v>
      </c>
      <c r="DR209" s="293">
        <v>0.69139440600000002</v>
      </c>
      <c r="DS209" s="293">
        <v>0.70791196300000003</v>
      </c>
      <c r="DT209" s="293">
        <v>0.82517048699999995</v>
      </c>
      <c r="DU209" s="293">
        <v>1.1760600189999999</v>
      </c>
      <c r="DV209" s="293">
        <v>0.85222626099999998</v>
      </c>
      <c r="DW209" s="293">
        <v>0.87645412899999997</v>
      </c>
      <c r="DX209" s="293">
        <v>0.78163411699999996</v>
      </c>
      <c r="DY209" s="293">
        <v>0.76359979099999997</v>
      </c>
      <c r="DZ209" s="295">
        <v>1.077888309</v>
      </c>
      <c r="EA209" s="293">
        <v>1.1227622779999999</v>
      </c>
      <c r="EB209" s="293">
        <v>1.1914473109999999</v>
      </c>
      <c r="EC209" s="293">
        <v>1.047222962</v>
      </c>
      <c r="ED209" s="293">
        <v>0.94551090100000001</v>
      </c>
      <c r="EE209" s="293">
        <v>0.81677725700000003</v>
      </c>
      <c r="EF209" s="293">
        <v>0.99288268400000002</v>
      </c>
      <c r="EG209" s="293">
        <v>1.205786389</v>
      </c>
      <c r="EH209" s="293">
        <v>1.0553279179999999</v>
      </c>
      <c r="EI209" s="293">
        <v>0.99066701999999995</v>
      </c>
      <c r="EJ209" s="293">
        <v>0.84222309420618724</v>
      </c>
      <c r="EK209" s="293">
        <v>1.0981400907088472</v>
      </c>
      <c r="EL209" s="295">
        <v>1.0364137312509447</v>
      </c>
      <c r="EM209" s="1080">
        <v>1.2464489270000001</v>
      </c>
      <c r="EN209" s="1080">
        <v>1.381053584</v>
      </c>
      <c r="EO209" s="1080">
        <v>1.2178467100000001</v>
      </c>
      <c r="EP209" s="1080">
        <v>1.014421204</v>
      </c>
      <c r="EQ209" s="1080">
        <v>1.0113755129999999</v>
      </c>
      <c r="ER209" s="1080">
        <v>1.0701539309999999</v>
      </c>
      <c r="ES209" s="1080">
        <v>1.359910869769849</v>
      </c>
      <c r="ET209" s="1080">
        <v>1.1110377290924134</v>
      </c>
      <c r="EU209" s="1080">
        <v>0.99618403685246226</v>
      </c>
      <c r="EV209" s="1080">
        <v>1.1166644595965778</v>
      </c>
      <c r="EW209" s="1080">
        <v>1.1009756380256976</v>
      </c>
      <c r="EX209" s="1340">
        <v>1.1557209942505795</v>
      </c>
      <c r="EY209" s="1080"/>
      <c r="EZ209" s="1080"/>
      <c r="FA209" s="1080"/>
      <c r="FB209" s="1080"/>
      <c r="FC209" s="1080"/>
      <c r="FD209" s="1080"/>
      <c r="FE209" s="1080"/>
      <c r="FF209" s="1080"/>
      <c r="FG209" s="1080"/>
      <c r="FH209" s="1080"/>
      <c r="FI209" s="1080"/>
      <c r="FJ209" s="1340"/>
      <c r="FK209" s="1080"/>
      <c r="FL209" s="1080"/>
      <c r="FM209" s="1080"/>
      <c r="FN209" s="1080"/>
      <c r="FO209" s="1080"/>
      <c r="FP209" s="1080"/>
      <c r="FQ209" s="293"/>
      <c r="FR209" s="293"/>
      <c r="FS209" s="293"/>
      <c r="FT209" s="293"/>
      <c r="FU209" s="293"/>
      <c r="FV209" s="293"/>
      <c r="FW209" s="293"/>
      <c r="FX209" s="293"/>
      <c r="FY209" s="293"/>
      <c r="FZ209" s="293"/>
      <c r="GA209" s="293"/>
      <c r="GB209" s="293"/>
      <c r="GC209" s="293"/>
      <c r="GD209" s="293"/>
      <c r="GE209" s="293"/>
      <c r="GF209" s="293"/>
      <c r="GG209" s="293"/>
      <c r="GH209" s="293"/>
      <c r="GI209" s="293"/>
      <c r="GJ209" s="293"/>
      <c r="GK209" s="293"/>
      <c r="GL209" s="293"/>
      <c r="GM209" s="293"/>
      <c r="GN209" s="293"/>
      <c r="GO209" s="293"/>
      <c r="GP209" s="293"/>
      <c r="GQ209" s="293"/>
      <c r="GR209" s="293"/>
      <c r="GS209" s="293"/>
      <c r="GT209" s="293"/>
      <c r="GU209" s="293"/>
      <c r="GV209" s="293"/>
      <c r="GW209" s="293"/>
      <c r="GX209" s="293"/>
      <c r="GY209" s="293"/>
      <c r="GZ209" s="293"/>
      <c r="HA209" s="293"/>
      <c r="HB209" s="293"/>
      <c r="HC209" s="293"/>
      <c r="HD209" s="293"/>
      <c r="HE209" s="293"/>
      <c r="HF209" s="293"/>
      <c r="HG209" s="293"/>
      <c r="HH209" s="293"/>
      <c r="HI209" s="293"/>
      <c r="HJ209" s="293"/>
      <c r="HK209" s="293"/>
      <c r="HL209" s="293"/>
      <c r="HM209" s="293"/>
      <c r="HN209" s="293"/>
      <c r="HO209" s="293"/>
      <c r="HP209" s="293"/>
      <c r="HQ209" s="293"/>
      <c r="HR209" s="293"/>
      <c r="HS209" s="293"/>
      <c r="HT209" s="293"/>
      <c r="HU209" s="293"/>
      <c r="HV209" s="293"/>
      <c r="HW209" s="293"/>
      <c r="HX209" s="293"/>
      <c r="HY209" s="293"/>
      <c r="IH209" s="279">
        <f t="shared" si="233"/>
        <v>0</v>
      </c>
      <c r="II209" s="279">
        <f t="shared" si="234"/>
        <v>0</v>
      </c>
      <c r="IJ209" s="323">
        <f t="shared" si="232"/>
        <v>0</v>
      </c>
      <c r="IK209" s="279">
        <f t="shared" si="235"/>
        <v>5.5428664990000005</v>
      </c>
      <c r="KT209" s="280"/>
    </row>
    <row r="210" spans="2:306" hidden="1" outlineLevel="1">
      <c r="B210" s="96" t="s">
        <v>338</v>
      </c>
      <c r="D210" s="296" t="s">
        <v>416</v>
      </c>
      <c r="E210" s="293">
        <v>2.3167765999999999E-2</v>
      </c>
      <c r="F210" s="293">
        <v>1.2154258000000001E-2</v>
      </c>
      <c r="G210" s="293">
        <v>7.0436400000000003E-3</v>
      </c>
      <c r="H210" s="293">
        <v>8.9009450000000004E-3</v>
      </c>
      <c r="I210" s="293">
        <v>6.9497730000000002E-3</v>
      </c>
      <c r="J210" s="293">
        <v>6.9166550000000007E-3</v>
      </c>
      <c r="K210" s="293">
        <v>2.0641539999999999E-3</v>
      </c>
      <c r="L210" s="293">
        <v>2.3850519999999999E-3</v>
      </c>
      <c r="M210" s="293">
        <v>6.904515E-3</v>
      </c>
      <c r="N210" s="293">
        <v>7.6854570000000006E-3</v>
      </c>
      <c r="O210" s="293">
        <v>1.348298E-2</v>
      </c>
      <c r="P210" s="293">
        <v>2.766789E-3</v>
      </c>
      <c r="Q210" s="293">
        <v>9.1174300000000002E-4</v>
      </c>
      <c r="R210" s="293">
        <v>8.2365239999999985E-3</v>
      </c>
      <c r="S210" s="293">
        <v>4.8311429999999995E-3</v>
      </c>
      <c r="T210" s="293">
        <v>1.5691943E-2</v>
      </c>
      <c r="U210" s="293">
        <v>6.3415820000000001E-3</v>
      </c>
      <c r="V210" s="293">
        <v>5.2445510000000001E-3</v>
      </c>
      <c r="W210" s="293">
        <v>5.072923E-3</v>
      </c>
      <c r="X210" s="293">
        <v>6.8399619999999998E-3</v>
      </c>
      <c r="Y210" s="293">
        <v>2.1431060000000001E-3</v>
      </c>
      <c r="Z210" s="293">
        <v>4.6110889999999996E-3</v>
      </c>
      <c r="AA210" s="293">
        <v>3.1936759999999999E-3</v>
      </c>
      <c r="AB210" s="293">
        <v>6.1603909999999994E-3</v>
      </c>
      <c r="AC210" s="293">
        <v>6.1277900000000001E-3</v>
      </c>
      <c r="AD210" s="293">
        <v>1.6660640000000001E-2</v>
      </c>
      <c r="AE210" s="293"/>
      <c r="AF210" s="293"/>
      <c r="AG210" s="293"/>
      <c r="AH210" s="293"/>
      <c r="AI210" s="293"/>
      <c r="AJ210" s="293"/>
      <c r="AK210" s="293"/>
      <c r="AL210" s="293"/>
      <c r="AM210" s="293"/>
      <c r="AN210" s="293"/>
      <c r="AO210" s="293">
        <v>1.0682210000000001E-3</v>
      </c>
      <c r="AP210" s="293">
        <v>6.8018820000000004E-3</v>
      </c>
      <c r="AQ210" s="293">
        <v>4.0203420000000005E-3</v>
      </c>
      <c r="AR210" s="293">
        <v>7.7553750000000001E-3</v>
      </c>
      <c r="AS210" s="293">
        <v>1.4806520000000001E-3</v>
      </c>
      <c r="AT210" s="293">
        <v>5.7369199999999995E-3</v>
      </c>
      <c r="AU210" s="293">
        <v>8.4508759999999995E-3</v>
      </c>
      <c r="AV210" s="293">
        <v>8.5343980000000003E-3</v>
      </c>
      <c r="AW210" s="293">
        <v>3.9853480000000005E-3</v>
      </c>
      <c r="AX210" s="293">
        <v>2.0057439999999998E-3</v>
      </c>
      <c r="AY210" s="293">
        <v>7.3494400000000007E-4</v>
      </c>
      <c r="AZ210" s="293">
        <v>4.6898860000000007E-3</v>
      </c>
      <c r="BA210" s="293">
        <v>1.57478E-3</v>
      </c>
      <c r="BB210" s="293">
        <v>4.2520449999999994E-3</v>
      </c>
      <c r="BC210" s="293">
        <v>3.8662010000000001E-3</v>
      </c>
      <c r="BD210" s="293">
        <v>2.0678894E-2</v>
      </c>
      <c r="BE210" s="293">
        <v>1.29287E-3</v>
      </c>
      <c r="BF210" s="293">
        <v>8.3024179999999989E-3</v>
      </c>
      <c r="BG210" s="293">
        <v>5.6921239999999998E-3</v>
      </c>
      <c r="BH210" s="293">
        <v>6.2979142000000002E-2</v>
      </c>
      <c r="BI210" s="293">
        <v>1.0371403000000001E-2</v>
      </c>
      <c r="BJ210" s="293">
        <v>1.9612905E-2</v>
      </c>
      <c r="BK210" s="293">
        <v>1.2230469999999999E-3</v>
      </c>
      <c r="BL210" s="293">
        <v>8.7083769999999998E-3</v>
      </c>
      <c r="BM210" s="293">
        <v>1.6076740000000001E-3</v>
      </c>
      <c r="BN210" s="293">
        <v>4.5713519999999999E-3</v>
      </c>
      <c r="BO210" s="293">
        <v>3.5393009999999999E-3</v>
      </c>
      <c r="BP210" s="293">
        <v>3.360919E-3</v>
      </c>
      <c r="BQ210" s="293">
        <v>1.0180512999999999E-2</v>
      </c>
      <c r="BR210" s="293">
        <v>1.8566370000000002E-3</v>
      </c>
      <c r="BS210" s="293">
        <v>4.2679000000000003E-5</v>
      </c>
      <c r="BT210" s="293">
        <v>2.8857200000000001E-4</v>
      </c>
      <c r="BU210" s="293">
        <v>3.8453089999999999E-3</v>
      </c>
      <c r="BV210" s="293">
        <v>1.7898719999999999E-3</v>
      </c>
      <c r="BW210" s="293">
        <v>3.0463059999999999E-3</v>
      </c>
      <c r="BX210" s="293">
        <v>6.4002310000000001E-3</v>
      </c>
      <c r="BY210" s="293">
        <v>8.1682899999999999E-3</v>
      </c>
      <c r="BZ210" s="293">
        <v>4.3904240000000004E-3</v>
      </c>
      <c r="CA210" s="293">
        <v>5.2778180000000001E-3</v>
      </c>
      <c r="CB210" s="293">
        <v>8.9587959999999998E-3</v>
      </c>
      <c r="CC210" s="293">
        <v>6.8299700000000003E-3</v>
      </c>
      <c r="CD210" s="293">
        <v>0.14937962699999999</v>
      </c>
      <c r="CE210" s="294">
        <v>0.19812795899999999</v>
      </c>
      <c r="CF210" s="293">
        <v>0.158155298</v>
      </c>
      <c r="CG210" s="293">
        <v>0.23266863699999998</v>
      </c>
      <c r="CH210" s="293">
        <v>0.18977692600000001</v>
      </c>
      <c r="CI210" s="293">
        <v>0.21745831000000002</v>
      </c>
      <c r="CJ210" s="293">
        <v>0.18412740899999999</v>
      </c>
      <c r="CK210" s="293">
        <v>0.18942957499999999</v>
      </c>
      <c r="CL210" s="293">
        <v>0.17583505700000002</v>
      </c>
      <c r="CM210" s="293">
        <v>0.179009697</v>
      </c>
      <c r="CN210" s="293">
        <v>0.24029215099999998</v>
      </c>
      <c r="CO210" s="293">
        <v>0.220608052</v>
      </c>
      <c r="CP210" s="295">
        <v>0.20590546399999998</v>
      </c>
      <c r="CQ210" s="293">
        <v>0.204398159</v>
      </c>
      <c r="CR210" s="293">
        <v>0.281448796</v>
      </c>
      <c r="CS210" s="293">
        <v>0.202698129</v>
      </c>
      <c r="CT210" s="293">
        <v>0.17778417699999999</v>
      </c>
      <c r="CU210" s="293">
        <v>0.27096326499999995</v>
      </c>
      <c r="CV210" s="293">
        <v>0.218226316</v>
      </c>
      <c r="CW210" s="293">
        <v>0.10946442399999999</v>
      </c>
      <c r="CX210" s="293">
        <v>0.20324956399999999</v>
      </c>
      <c r="CY210" s="293">
        <v>0.27428567099999995</v>
      </c>
      <c r="CZ210" s="293">
        <v>0.18219284899999999</v>
      </c>
      <c r="DA210" s="293">
        <v>0.23311611500000001</v>
      </c>
      <c r="DB210" s="1288">
        <v>0.324538875</v>
      </c>
      <c r="DC210" s="293"/>
      <c r="DD210" s="293"/>
      <c r="DE210" s="293"/>
      <c r="DF210" s="293"/>
      <c r="DG210" s="293"/>
      <c r="DH210" s="293"/>
      <c r="DI210" s="293"/>
      <c r="DJ210" s="293"/>
      <c r="DK210" s="293"/>
      <c r="DL210" s="293"/>
      <c r="DM210" s="293"/>
      <c r="DN210" s="295"/>
      <c r="DO210" s="293">
        <v>0.92183066599999997</v>
      </c>
      <c r="DP210" s="293">
        <v>0.36270529400000001</v>
      </c>
      <c r="DQ210" s="293">
        <v>0.32314487200000003</v>
      </c>
      <c r="DR210" s="293">
        <v>0.30968011699999998</v>
      </c>
      <c r="DS210" s="293">
        <v>0.33443416199999998</v>
      </c>
      <c r="DT210" s="293">
        <v>0.38773172099999997</v>
      </c>
      <c r="DU210" s="293">
        <v>0.29752673099999999</v>
      </c>
      <c r="DV210" s="293">
        <v>0.27459022</v>
      </c>
      <c r="DW210" s="293">
        <v>0.37660483900000002</v>
      </c>
      <c r="DX210" s="293">
        <v>0.29574283000000001</v>
      </c>
      <c r="DY210" s="293">
        <v>0.47804608999999998</v>
      </c>
      <c r="DZ210" s="295">
        <v>0.358099483</v>
      </c>
      <c r="EA210" s="293">
        <v>0.23544821399999999</v>
      </c>
      <c r="EB210" s="293">
        <v>0.22080417499999999</v>
      </c>
      <c r="EC210" s="293">
        <v>0.25710307900000001</v>
      </c>
      <c r="ED210" s="293">
        <v>0.31253333799999999</v>
      </c>
      <c r="EE210" s="293">
        <v>0.36078099499999999</v>
      </c>
      <c r="EF210" s="293">
        <v>0.309289078</v>
      </c>
      <c r="EG210" s="293">
        <v>0.35239178300000001</v>
      </c>
      <c r="EH210" s="293">
        <v>0.27790888000000002</v>
      </c>
      <c r="EI210" s="293">
        <v>0.28760143999999999</v>
      </c>
      <c r="EJ210" s="293">
        <v>0.54667575817097569</v>
      </c>
      <c r="EK210" s="293">
        <v>0.40260718181021238</v>
      </c>
      <c r="EL210" s="295">
        <v>0.44101939270547497</v>
      </c>
      <c r="EM210" s="1080">
        <v>0.19580907</v>
      </c>
      <c r="EN210" s="1080">
        <v>0.371352607</v>
      </c>
      <c r="EO210" s="1080">
        <v>0.32718924500000002</v>
      </c>
      <c r="EP210" s="1080">
        <v>0.28438403600000001</v>
      </c>
      <c r="EQ210" s="1080">
        <v>0.38811788699999999</v>
      </c>
      <c r="ER210" s="1080">
        <v>0.31168495899999998</v>
      </c>
      <c r="ES210" s="1080">
        <v>0.42636824286065139</v>
      </c>
      <c r="ET210" s="1080">
        <v>0.37715033406066018</v>
      </c>
      <c r="EU210" s="1080">
        <v>0.30450755339348901</v>
      </c>
      <c r="EV210" s="1080">
        <v>0.38106480656243896</v>
      </c>
      <c r="EW210" s="1080">
        <v>0.46482879475947408</v>
      </c>
      <c r="EX210" s="1340">
        <v>0.33106730545097462</v>
      </c>
      <c r="EY210" s="1080"/>
      <c r="EZ210" s="1080"/>
      <c r="FA210" s="1080"/>
      <c r="FB210" s="1080"/>
      <c r="FC210" s="1080"/>
      <c r="FD210" s="1080"/>
      <c r="FE210" s="1080"/>
      <c r="FF210" s="1080"/>
      <c r="FG210" s="1080"/>
      <c r="FH210" s="1080"/>
      <c r="FI210" s="1080"/>
      <c r="FJ210" s="1340"/>
      <c r="FK210" s="1080"/>
      <c r="FL210" s="1080"/>
      <c r="FM210" s="1080"/>
      <c r="FN210" s="1080"/>
      <c r="FO210" s="1080"/>
      <c r="FP210" s="1080"/>
      <c r="FQ210" s="293"/>
      <c r="FR210" s="293"/>
      <c r="FS210" s="293"/>
      <c r="FT210" s="293"/>
      <c r="FU210" s="293"/>
      <c r="FV210" s="293"/>
      <c r="FW210" s="293"/>
      <c r="FX210" s="293"/>
      <c r="FY210" s="293"/>
      <c r="FZ210" s="293"/>
      <c r="GA210" s="293"/>
      <c r="GB210" s="293"/>
      <c r="GC210" s="293"/>
      <c r="GD210" s="293"/>
      <c r="GE210" s="293"/>
      <c r="GF210" s="293"/>
      <c r="GG210" s="293"/>
      <c r="GH210" s="293"/>
      <c r="GI210" s="293"/>
      <c r="GJ210" s="293"/>
      <c r="GK210" s="293"/>
      <c r="GL210" s="293"/>
      <c r="GM210" s="293"/>
      <c r="GN210" s="293"/>
      <c r="GO210" s="293"/>
      <c r="GP210" s="293"/>
      <c r="GQ210" s="293"/>
      <c r="GR210" s="293"/>
      <c r="GS210" s="293"/>
      <c r="GT210" s="293"/>
      <c r="GU210" s="293"/>
      <c r="GV210" s="293"/>
      <c r="GW210" s="293"/>
      <c r="GX210" s="293"/>
      <c r="GY210" s="293"/>
      <c r="GZ210" s="293"/>
      <c r="HA210" s="293"/>
      <c r="HB210" s="293"/>
      <c r="HC210" s="293"/>
      <c r="HD210" s="293"/>
      <c r="HE210" s="293"/>
      <c r="HF210" s="293"/>
      <c r="HG210" s="293"/>
      <c r="HH210" s="293"/>
      <c r="HI210" s="293"/>
      <c r="HJ210" s="293"/>
      <c r="HK210" s="293"/>
      <c r="HL210" s="293"/>
      <c r="HM210" s="293"/>
      <c r="HN210" s="293"/>
      <c r="HO210" s="293"/>
      <c r="HP210" s="293"/>
      <c r="HQ210" s="293"/>
      <c r="HR210" s="293"/>
      <c r="HS210" s="293"/>
      <c r="HT210" s="293"/>
      <c r="HU210" s="293"/>
      <c r="HV210" s="293"/>
      <c r="HW210" s="293"/>
      <c r="HX210" s="293"/>
      <c r="HY210" s="293"/>
      <c r="IH210" s="279">
        <f t="shared" si="233"/>
        <v>0</v>
      </c>
      <c r="II210" s="279">
        <f t="shared" si="234"/>
        <v>0</v>
      </c>
      <c r="IJ210" s="323">
        <f t="shared" si="232"/>
        <v>0</v>
      </c>
      <c r="IK210" s="279">
        <f t="shared" si="235"/>
        <v>2.6395268319999996</v>
      </c>
      <c r="KT210" s="280"/>
    </row>
    <row r="211" spans="2:306" hidden="1" outlineLevel="1">
      <c r="B211" s="96" t="s">
        <v>338</v>
      </c>
      <c r="D211" s="296" t="s">
        <v>417</v>
      </c>
      <c r="E211" s="293">
        <v>0.21190166500000002</v>
      </c>
      <c r="F211" s="293">
        <v>0.30456252100000003</v>
      </c>
      <c r="G211" s="293">
        <v>0.27265143799999997</v>
      </c>
      <c r="H211" s="293">
        <v>0.46724373400000002</v>
      </c>
      <c r="I211" s="293">
        <v>0.422696299</v>
      </c>
      <c r="J211" s="293">
        <v>0.39780338399999998</v>
      </c>
      <c r="K211" s="293">
        <v>0.119115595</v>
      </c>
      <c r="L211" s="293">
        <v>9.8705445000000003E-2</v>
      </c>
      <c r="M211" s="293">
        <v>0.11279849900000001</v>
      </c>
      <c r="N211" s="293">
        <v>0.112673571</v>
      </c>
      <c r="O211" s="293">
        <v>0.112297257</v>
      </c>
      <c r="P211" s="293">
        <v>0.11567704999999999</v>
      </c>
      <c r="Q211" s="293">
        <v>0.12766154099999999</v>
      </c>
      <c r="R211" s="293">
        <v>0.120168726</v>
      </c>
      <c r="S211" s="293">
        <v>0.112139404</v>
      </c>
      <c r="T211" s="293">
        <v>0.12047321499999999</v>
      </c>
      <c r="U211" s="293">
        <v>0.14187265600000001</v>
      </c>
      <c r="V211" s="293">
        <v>8.0223349999999999E-2</v>
      </c>
      <c r="W211" s="293">
        <v>0.15000117199999999</v>
      </c>
      <c r="X211" s="293">
        <v>0.158728918</v>
      </c>
      <c r="Y211" s="293">
        <v>0.172068054</v>
      </c>
      <c r="Z211" s="293">
        <v>0.19026106600000001</v>
      </c>
      <c r="AA211" s="293">
        <v>0.20373992200000002</v>
      </c>
      <c r="AB211" s="293">
        <v>0.20289443299999999</v>
      </c>
      <c r="AC211" s="293">
        <v>0.199734091</v>
      </c>
      <c r="AD211" s="293">
        <v>0.17555932300000002</v>
      </c>
      <c r="AE211" s="293"/>
      <c r="AF211" s="293"/>
      <c r="AG211" s="293"/>
      <c r="AH211" s="293"/>
      <c r="AI211" s="293"/>
      <c r="AJ211" s="293"/>
      <c r="AK211" s="293"/>
      <c r="AL211" s="293"/>
      <c r="AM211" s="293"/>
      <c r="AN211" s="293"/>
      <c r="AO211" s="293">
        <v>0.30807902200000004</v>
      </c>
      <c r="AP211" s="293">
        <v>0.340517921</v>
      </c>
      <c r="AQ211" s="293">
        <v>0.30068979800000001</v>
      </c>
      <c r="AR211" s="293">
        <v>0.317807375</v>
      </c>
      <c r="AS211" s="293">
        <v>0.24787485500000001</v>
      </c>
      <c r="AT211" s="293">
        <v>0.33972572600000001</v>
      </c>
      <c r="AU211" s="293">
        <v>0.29475235900000002</v>
      </c>
      <c r="AV211" s="293">
        <v>0.40209588400000001</v>
      </c>
      <c r="AW211" s="293">
        <v>0.32962929499999999</v>
      </c>
      <c r="AX211" s="293">
        <v>0.31223378699999998</v>
      </c>
      <c r="AY211" s="293">
        <v>0.34600877299999999</v>
      </c>
      <c r="AZ211" s="293">
        <v>0.27566333800000004</v>
      </c>
      <c r="BA211" s="293">
        <v>0.45370987800000001</v>
      </c>
      <c r="BB211" s="293">
        <v>0.40110998000000003</v>
      </c>
      <c r="BC211" s="293">
        <v>0.37610549500000001</v>
      </c>
      <c r="BD211" s="293">
        <v>0.40366322100000002</v>
      </c>
      <c r="BE211" s="293">
        <v>0.43085668299999996</v>
      </c>
      <c r="BF211" s="293">
        <v>0.46467829100000002</v>
      </c>
      <c r="BG211" s="293">
        <v>0.468479643</v>
      </c>
      <c r="BH211" s="293">
        <v>0.55959425899999993</v>
      </c>
      <c r="BI211" s="293">
        <v>0.66312646400000008</v>
      </c>
      <c r="BJ211" s="293">
        <v>0.66906872299999998</v>
      </c>
      <c r="BK211" s="293">
        <v>0.73050270799999995</v>
      </c>
      <c r="BL211" s="293">
        <v>0.69592034699999994</v>
      </c>
      <c r="BM211" s="293">
        <v>0.59226944000000004</v>
      </c>
      <c r="BN211" s="293">
        <v>0.60091033700000007</v>
      </c>
      <c r="BO211" s="293">
        <v>0.54480296799999994</v>
      </c>
      <c r="BP211" s="293">
        <v>0.59237072899999998</v>
      </c>
      <c r="BQ211" s="293">
        <v>0.55539984600000003</v>
      </c>
      <c r="BR211" s="293">
        <v>0.68318268699999996</v>
      </c>
      <c r="BS211" s="293">
        <v>0.66684252799999999</v>
      </c>
      <c r="BT211" s="293">
        <v>0.68204874800000004</v>
      </c>
      <c r="BU211" s="293">
        <v>0.68810247200000008</v>
      </c>
      <c r="BV211" s="293">
        <v>0.60472470499999997</v>
      </c>
      <c r="BW211" s="293">
        <v>0.63917405499999991</v>
      </c>
      <c r="BX211" s="293">
        <v>0.69244098799999998</v>
      </c>
      <c r="BY211" s="293">
        <v>0.69886333700000003</v>
      </c>
      <c r="BZ211" s="293">
        <v>0.69149052500000008</v>
      </c>
      <c r="CA211" s="293">
        <v>0.58085474699999995</v>
      </c>
      <c r="CB211" s="293">
        <v>0.64043700299999995</v>
      </c>
      <c r="CC211" s="293">
        <v>0.58485533999999995</v>
      </c>
      <c r="CD211" s="293">
        <v>1.8228489999999999E-3</v>
      </c>
      <c r="CE211" s="294">
        <v>2.9381099999999999E-3</v>
      </c>
      <c r="CF211" s="293">
        <v>9.8279630000000003E-3</v>
      </c>
      <c r="CG211" s="293">
        <v>2.4104169999999998E-3</v>
      </c>
      <c r="CH211" s="293">
        <v>4.5220920000000001E-3</v>
      </c>
      <c r="CI211" s="293">
        <v>8.7212499999999998E-3</v>
      </c>
      <c r="CJ211" s="293">
        <v>3.3576450000000002E-3</v>
      </c>
      <c r="CK211" s="293">
        <v>9.487609000000001E-3</v>
      </c>
      <c r="CL211" s="293">
        <v>6.2078309999999996E-3</v>
      </c>
      <c r="CM211" s="293">
        <v>8.7173240000000003E-3</v>
      </c>
      <c r="CN211" s="293">
        <v>4.8342369999999999E-3</v>
      </c>
      <c r="CO211" s="293">
        <v>8.9724800000000001E-4</v>
      </c>
      <c r="CP211" s="295">
        <v>2.7214919999999998E-3</v>
      </c>
      <c r="CQ211" s="293">
        <v>6.73641E-4</v>
      </c>
      <c r="CR211" s="293">
        <v>5.0584080000000003E-3</v>
      </c>
      <c r="CS211" s="293">
        <v>3.1187685E-2</v>
      </c>
      <c r="CT211" s="293">
        <v>1.6868915000000002E-2</v>
      </c>
      <c r="CU211" s="293">
        <v>1.5523696E-2</v>
      </c>
      <c r="CV211" s="293">
        <v>1.1047450000000001E-3</v>
      </c>
      <c r="CW211" s="293">
        <v>9.9931259999999997E-3</v>
      </c>
      <c r="CX211" s="293">
        <v>1.1170197E-2</v>
      </c>
      <c r="CY211" s="293">
        <v>4.5387890000000005E-3</v>
      </c>
      <c r="CZ211" s="293">
        <v>9.2408309999999997E-3</v>
      </c>
      <c r="DA211" s="293">
        <v>9.4020509999999998E-3</v>
      </c>
      <c r="DB211" s="1288">
        <v>1.2915649999999999E-2</v>
      </c>
      <c r="DC211" s="293"/>
      <c r="DD211" s="293"/>
      <c r="DE211" s="293"/>
      <c r="DF211" s="293"/>
      <c r="DG211" s="293"/>
      <c r="DH211" s="293"/>
      <c r="DI211" s="293"/>
      <c r="DJ211" s="293"/>
      <c r="DK211" s="293"/>
      <c r="DL211" s="293"/>
      <c r="DM211" s="293"/>
      <c r="DN211" s="295"/>
      <c r="DO211" s="293">
        <v>0</v>
      </c>
      <c r="DP211" s="293">
        <v>0</v>
      </c>
      <c r="DQ211" s="293">
        <v>0</v>
      </c>
      <c r="DR211" s="293">
        <v>0</v>
      </c>
      <c r="DS211" s="293">
        <v>0</v>
      </c>
      <c r="DT211" s="293">
        <v>0</v>
      </c>
      <c r="DU211" s="293">
        <v>0</v>
      </c>
      <c r="DV211" s="293">
        <v>0</v>
      </c>
      <c r="DW211" s="293">
        <v>0</v>
      </c>
      <c r="DX211" s="293">
        <v>0</v>
      </c>
      <c r="DY211" s="293">
        <v>0</v>
      </c>
      <c r="DZ211" s="295">
        <v>0</v>
      </c>
      <c r="EA211" s="293">
        <v>2.9031771617548454E-4</v>
      </c>
      <c r="EB211" s="293">
        <v>2.9031771617548454E-4</v>
      </c>
      <c r="EC211" s="293">
        <v>2.9031771617548454E-4</v>
      </c>
      <c r="ED211" s="293">
        <v>2.9031771617548454E-4</v>
      </c>
      <c r="EE211" s="293">
        <v>2.9031771617548454E-4</v>
      </c>
      <c r="EF211" s="293">
        <v>2.9031771617548454E-4</v>
      </c>
      <c r="EG211" s="293">
        <v>2.9031771617548454E-4</v>
      </c>
      <c r="EH211" s="293">
        <v>2.9031771617548454E-4</v>
      </c>
      <c r="EI211" s="293">
        <v>2.9031771617548454E-4</v>
      </c>
      <c r="EJ211" s="293">
        <v>2.9031771617548454E-4</v>
      </c>
      <c r="EK211" s="293">
        <v>2.9031771617548454E-4</v>
      </c>
      <c r="EL211" s="295">
        <v>2.9031771617548454E-4</v>
      </c>
      <c r="EM211" s="1080">
        <v>2.9031771617548454E-4</v>
      </c>
      <c r="EN211" s="1080">
        <v>2.9031771617548454E-4</v>
      </c>
      <c r="EO211" s="1080">
        <v>2.9031771617548454E-4</v>
      </c>
      <c r="EP211" s="1080">
        <v>2.9031771617548454E-4</v>
      </c>
      <c r="EQ211" s="1080">
        <v>2.9031771617548454E-4</v>
      </c>
      <c r="ER211" s="1080">
        <v>2.9031771617548454E-4</v>
      </c>
      <c r="ES211" s="1080"/>
      <c r="ET211" s="1080"/>
      <c r="EU211" s="1080"/>
      <c r="EV211" s="1080"/>
      <c r="EW211" s="1080"/>
      <c r="EX211" s="1340"/>
      <c r="EY211" s="1080"/>
      <c r="EZ211" s="1080"/>
      <c r="FA211" s="1080"/>
      <c r="FB211" s="1080"/>
      <c r="FC211" s="1080"/>
      <c r="FD211" s="1080"/>
      <c r="FE211" s="1080"/>
      <c r="FF211" s="1080"/>
      <c r="FG211" s="1080"/>
      <c r="FH211" s="1080"/>
      <c r="FI211" s="1080"/>
      <c r="FJ211" s="1340"/>
      <c r="FK211" s="1080"/>
      <c r="FL211" s="1080"/>
      <c r="FM211" s="1080"/>
      <c r="FN211" s="1080"/>
      <c r="FO211" s="1080"/>
      <c r="FP211" s="1080"/>
      <c r="FQ211" s="293"/>
      <c r="FR211" s="293"/>
      <c r="FS211" s="293"/>
      <c r="FT211" s="293"/>
      <c r="FU211" s="293"/>
      <c r="FV211" s="293"/>
      <c r="FW211" s="293"/>
      <c r="FX211" s="293"/>
      <c r="FY211" s="293"/>
      <c r="FZ211" s="293"/>
      <c r="GA211" s="293"/>
      <c r="GB211" s="293"/>
      <c r="GC211" s="293"/>
      <c r="GD211" s="293"/>
      <c r="GE211" s="293"/>
      <c r="GF211" s="293"/>
      <c r="GG211" s="293"/>
      <c r="GH211" s="293"/>
      <c r="GI211" s="293"/>
      <c r="GJ211" s="293"/>
      <c r="GK211" s="293"/>
      <c r="GL211" s="293"/>
      <c r="GM211" s="293"/>
      <c r="GN211" s="293"/>
      <c r="GO211" s="293"/>
      <c r="GP211" s="293"/>
      <c r="GQ211" s="293"/>
      <c r="GR211" s="293"/>
      <c r="GS211" s="293"/>
      <c r="GT211" s="293"/>
      <c r="GU211" s="293"/>
      <c r="GV211" s="293"/>
      <c r="GW211" s="293"/>
      <c r="GX211" s="293"/>
      <c r="GY211" s="293"/>
      <c r="GZ211" s="293"/>
      <c r="HA211" s="293"/>
      <c r="HB211" s="293"/>
      <c r="HC211" s="293"/>
      <c r="HD211" s="293"/>
      <c r="HE211" s="293"/>
      <c r="HF211" s="293"/>
      <c r="HG211" s="293"/>
      <c r="HH211" s="293"/>
      <c r="HI211" s="293"/>
      <c r="HJ211" s="293"/>
      <c r="HK211" s="293"/>
      <c r="HL211" s="293"/>
      <c r="HM211" s="293"/>
      <c r="HN211" s="293"/>
      <c r="HO211" s="293"/>
      <c r="HP211" s="293"/>
      <c r="HQ211" s="293"/>
      <c r="HR211" s="293"/>
      <c r="HS211" s="293"/>
      <c r="HT211" s="293"/>
      <c r="HU211" s="293"/>
      <c r="HV211" s="293"/>
      <c r="HW211" s="293"/>
      <c r="HX211" s="293"/>
      <c r="HY211" s="293"/>
      <c r="IH211" s="279">
        <f t="shared" si="233"/>
        <v>0</v>
      </c>
      <c r="II211" s="279">
        <f t="shared" si="234"/>
        <v>0</v>
      </c>
      <c r="IJ211" s="323">
        <f t="shared" si="232"/>
        <v>0</v>
      </c>
      <c r="IK211" s="279">
        <f t="shared" si="235"/>
        <v>0</v>
      </c>
      <c r="KT211" s="280"/>
    </row>
    <row r="212" spans="2:306" hidden="1" outlineLevel="1">
      <c r="B212" s="96" t="s">
        <v>338</v>
      </c>
      <c r="D212" s="296" t="s">
        <v>1036</v>
      </c>
      <c r="E212" s="293">
        <v>6.1744155075</v>
      </c>
      <c r="F212" s="293">
        <v>5.3889730209000009</v>
      </c>
      <c r="G212" s="293">
        <v>7.0803729044999999</v>
      </c>
      <c r="H212" s="293">
        <v>6.6270199617000012</v>
      </c>
      <c r="I212" s="293">
        <v>6.7954945221000012</v>
      </c>
      <c r="J212" s="293">
        <v>7.1764330166999999</v>
      </c>
      <c r="K212" s="293">
        <v>6.7950315819</v>
      </c>
      <c r="L212" s="293">
        <v>7.1654195376000009</v>
      </c>
      <c r="M212" s="293">
        <v>7.1051526773999996</v>
      </c>
      <c r="N212" s="293">
        <v>7.3255790024999996</v>
      </c>
      <c r="O212" s="293">
        <v>8.8592640210000013</v>
      </c>
      <c r="P212" s="293">
        <v>8.6010976521000018</v>
      </c>
      <c r="Q212" s="293">
        <v>8.2244696060000013</v>
      </c>
      <c r="R212" s="293">
        <v>8.2504522340000008</v>
      </c>
      <c r="S212" s="293">
        <v>8.6966353170000001</v>
      </c>
      <c r="T212" s="293">
        <v>7.7579551629999992</v>
      </c>
      <c r="U212" s="293">
        <v>9.4472078899999996</v>
      </c>
      <c r="V212" s="293">
        <v>9.3742413809999992</v>
      </c>
      <c r="W212" s="293">
        <v>9.9725900930000009</v>
      </c>
      <c r="X212" s="293">
        <v>9.7589354779999997</v>
      </c>
      <c r="Y212" s="293">
        <v>11.365568758</v>
      </c>
      <c r="Z212" s="293">
        <v>11.241149647</v>
      </c>
      <c r="AA212" s="293">
        <v>10.828866846999999</v>
      </c>
      <c r="AB212" s="293">
        <v>11.943142040000001</v>
      </c>
      <c r="AC212" s="293">
        <v>11.202867822600002</v>
      </c>
      <c r="AD212" s="293">
        <v>11.698870918500001</v>
      </c>
      <c r="AE212" s="293"/>
      <c r="AF212" s="293"/>
      <c r="AG212" s="293"/>
      <c r="AH212" s="293"/>
      <c r="AI212" s="293"/>
      <c r="AJ212" s="293"/>
      <c r="AK212" s="293"/>
      <c r="AL212" s="293"/>
      <c r="AM212" s="293"/>
      <c r="AN212" s="293"/>
      <c r="AO212" s="293">
        <v>10.864006069499998</v>
      </c>
      <c r="AP212" s="293">
        <v>9.692610215400002</v>
      </c>
      <c r="AQ212" s="293">
        <v>11.4414040179</v>
      </c>
      <c r="AR212" s="293">
        <v>10.853389414800001</v>
      </c>
      <c r="AS212" s="293">
        <v>10.708658587799999</v>
      </c>
      <c r="AT212" s="293">
        <v>11.302633232100002</v>
      </c>
      <c r="AU212" s="293">
        <v>10.0832535513</v>
      </c>
      <c r="AV212" s="293">
        <v>10.1672121204</v>
      </c>
      <c r="AW212" s="293">
        <v>11.005070824800001</v>
      </c>
      <c r="AX212" s="293">
        <v>10.884717901799998</v>
      </c>
      <c r="AY212" s="293">
        <v>11.490395847299999</v>
      </c>
      <c r="AZ212" s="293">
        <v>13.1720329485</v>
      </c>
      <c r="BA212" s="293">
        <v>12.737528903699999</v>
      </c>
      <c r="BB212" s="293">
        <v>11.257663214700001</v>
      </c>
      <c r="BC212" s="293">
        <v>11.1460344921</v>
      </c>
      <c r="BD212" s="293">
        <v>12.6425453796</v>
      </c>
      <c r="BE212" s="293">
        <v>13.052437770600001</v>
      </c>
      <c r="BF212" s="293">
        <v>12.8009756898</v>
      </c>
      <c r="BG212" s="293">
        <v>12.4207568658</v>
      </c>
      <c r="BH212" s="293">
        <v>13.717127858400001</v>
      </c>
      <c r="BI212" s="293">
        <v>14.793326482500001</v>
      </c>
      <c r="BJ212" s="293">
        <v>12.797021796300001</v>
      </c>
      <c r="BK212" s="293">
        <v>13.656517943400003</v>
      </c>
      <c r="BL212" s="293">
        <v>15.0596805402</v>
      </c>
      <c r="BM212" s="293">
        <v>13.786489595700001</v>
      </c>
      <c r="BN212" s="293">
        <v>15.1246936098</v>
      </c>
      <c r="BO212" s="293">
        <v>15.5450249217</v>
      </c>
      <c r="BP212" s="293">
        <v>13.3706250216</v>
      </c>
      <c r="BQ212" s="293">
        <v>14.7513115674</v>
      </c>
      <c r="BR212" s="293">
        <v>16.965416653200002</v>
      </c>
      <c r="BS212" s="293">
        <v>16.103856380400003</v>
      </c>
      <c r="BT212" s="293">
        <v>16.016018902200003</v>
      </c>
      <c r="BU212" s="293">
        <v>17.618087405699999</v>
      </c>
      <c r="BV212" s="293">
        <v>15.9029216811</v>
      </c>
      <c r="BW212" s="293">
        <v>15.373609681500001</v>
      </c>
      <c r="BX212" s="293">
        <v>15.457416717600003</v>
      </c>
      <c r="BY212" s="293">
        <v>17.704630363500002</v>
      </c>
      <c r="BZ212" s="293">
        <v>14.869608117299999</v>
      </c>
      <c r="CA212" s="293">
        <v>16.7499340884</v>
      </c>
      <c r="CB212" s="293">
        <v>15.487502299200001</v>
      </c>
      <c r="CC212" s="293">
        <v>17.170673921099997</v>
      </c>
      <c r="CD212" s="293">
        <v>0.66667215999999996</v>
      </c>
      <c r="CE212" s="294">
        <v>0.66498333200000004</v>
      </c>
      <c r="CF212" s="293">
        <v>0.69779532099999997</v>
      </c>
      <c r="CG212" s="293">
        <v>0.54132426300000003</v>
      </c>
      <c r="CH212" s="293">
        <v>0.60287751600000006</v>
      </c>
      <c r="CI212" s="293">
        <v>0.72828548100000001</v>
      </c>
      <c r="CJ212" s="293">
        <v>0.68065796099999998</v>
      </c>
      <c r="CK212" s="293">
        <v>0.86416317000000009</v>
      </c>
      <c r="CL212" s="293">
        <v>0.559585059</v>
      </c>
      <c r="CM212" s="293">
        <v>0.74329169299999998</v>
      </c>
      <c r="CN212" s="293">
        <v>0.678387768</v>
      </c>
      <c r="CO212" s="293">
        <v>0.67562325999999995</v>
      </c>
      <c r="CP212" s="295">
        <v>0.70231970899999996</v>
      </c>
      <c r="CQ212" s="293">
        <v>0.87439970600000005</v>
      </c>
      <c r="CR212" s="293">
        <v>1.0000228769999999</v>
      </c>
      <c r="CS212" s="293">
        <v>0.724415174</v>
      </c>
      <c r="CT212" s="293">
        <v>0.76825304999999999</v>
      </c>
      <c r="CU212" s="293">
        <v>0.81534457100000002</v>
      </c>
      <c r="CV212" s="293">
        <v>0.93593386999999995</v>
      </c>
      <c r="CW212" s="293">
        <v>0.96658990900000008</v>
      </c>
      <c r="CX212" s="293">
        <v>0.94592811200000004</v>
      </c>
      <c r="CY212" s="293">
        <v>0.82226193000000003</v>
      </c>
      <c r="CZ212" s="293">
        <v>1.0458314450000001</v>
      </c>
      <c r="DA212" s="293">
        <v>0.67513224400000005</v>
      </c>
      <c r="DB212" s="1288">
        <v>0.813956342</v>
      </c>
      <c r="DC212" s="293"/>
      <c r="DD212" s="293"/>
      <c r="DE212" s="293"/>
      <c r="DF212" s="293"/>
      <c r="DG212" s="293"/>
      <c r="DH212" s="293"/>
      <c r="DI212" s="293"/>
      <c r="DJ212" s="293"/>
      <c r="DK212" s="293"/>
      <c r="DL212" s="293"/>
      <c r="DM212" s="293"/>
      <c r="DN212" s="295"/>
      <c r="DO212" s="293">
        <v>0.87130438600000004</v>
      </c>
      <c r="DP212" s="293">
        <v>0.94536127000000003</v>
      </c>
      <c r="DQ212" s="293">
        <v>0.82964167200000005</v>
      </c>
      <c r="DR212" s="293">
        <v>0.89850720799999995</v>
      </c>
      <c r="DS212" s="293">
        <v>0.863054027</v>
      </c>
      <c r="DT212" s="293">
        <v>0.87548200099999995</v>
      </c>
      <c r="DU212" s="293">
        <v>0.95554425899999995</v>
      </c>
      <c r="DV212" s="293">
        <v>0.90211125000000003</v>
      </c>
      <c r="DW212" s="293">
        <v>0.79045706900000001</v>
      </c>
      <c r="DX212" s="293">
        <v>0.88952234200000002</v>
      </c>
      <c r="DY212" s="293">
        <v>0.89026216300000005</v>
      </c>
      <c r="DZ212" s="295">
        <v>0.94429096400000001</v>
      </c>
      <c r="EA212" s="293">
        <v>0.89472936199999997</v>
      </c>
      <c r="EB212" s="293">
        <v>0.97328871500000003</v>
      </c>
      <c r="EC212" s="293">
        <v>0.92068365200000002</v>
      </c>
      <c r="ED212" s="293">
        <v>0.87354013799999997</v>
      </c>
      <c r="EE212" s="293">
        <v>0.84762976599999995</v>
      </c>
      <c r="EF212" s="293">
        <v>0.86663206299999995</v>
      </c>
      <c r="EG212" s="293">
        <v>0.92385190699999997</v>
      </c>
      <c r="EH212" s="293">
        <v>0.93923122299999995</v>
      </c>
      <c r="EI212" s="293">
        <v>0.82200727200000001</v>
      </c>
      <c r="EJ212" s="293">
        <v>0.98884953499999995</v>
      </c>
      <c r="EK212" s="293">
        <v>0.84871136899999999</v>
      </c>
      <c r="EL212" s="295">
        <v>0.95409369300000002</v>
      </c>
      <c r="EM212" s="1080">
        <v>0.97385526</v>
      </c>
      <c r="EN212" s="1080">
        <v>1.013490343</v>
      </c>
      <c r="EO212" s="1080">
        <v>1.0444072010000001</v>
      </c>
      <c r="EP212" s="1080">
        <v>0.99342025300000003</v>
      </c>
      <c r="EQ212" s="1080">
        <v>0.97498501100000001</v>
      </c>
      <c r="ER212" s="1080">
        <v>0.96529683799999999</v>
      </c>
      <c r="ES212" s="1080">
        <v>1.0152177069253046</v>
      </c>
      <c r="ET212" s="1080">
        <v>1.127020686217133</v>
      </c>
      <c r="EU212" s="1080">
        <v>0.89477879199999988</v>
      </c>
      <c r="EV212" s="1080">
        <v>1.003494817</v>
      </c>
      <c r="EW212" s="1080">
        <v>1.0645982000000001</v>
      </c>
      <c r="EX212" s="1340">
        <v>1.0962078200000001</v>
      </c>
      <c r="EY212" s="1080"/>
      <c r="EZ212" s="1080"/>
      <c r="FA212" s="1080"/>
      <c r="FB212" s="1080"/>
      <c r="FC212" s="1080"/>
      <c r="FD212" s="1080"/>
      <c r="FE212" s="1080"/>
      <c r="FF212" s="1080"/>
      <c r="FG212" s="1080"/>
      <c r="FH212" s="1080"/>
      <c r="FI212" s="1080"/>
      <c r="FJ212" s="1340"/>
      <c r="FK212" s="1080"/>
      <c r="FL212" s="1080"/>
      <c r="FM212" s="1080"/>
      <c r="FN212" s="1080"/>
      <c r="FO212" s="1080"/>
      <c r="FP212" s="1080"/>
      <c r="FQ212" s="293"/>
      <c r="FR212" s="293"/>
      <c r="FS212" s="293"/>
      <c r="FT212" s="293"/>
      <c r="FU212" s="293"/>
      <c r="FV212" s="293"/>
      <c r="FW212" s="293"/>
      <c r="FX212" s="293"/>
      <c r="FY212" s="293"/>
      <c r="FZ212" s="293"/>
      <c r="GA212" s="293"/>
      <c r="GB212" s="293"/>
      <c r="GC212" s="293"/>
      <c r="GD212" s="293"/>
      <c r="GE212" s="293"/>
      <c r="GF212" s="293"/>
      <c r="GG212" s="293"/>
      <c r="GH212" s="293"/>
      <c r="GI212" s="293"/>
      <c r="GJ212" s="293"/>
      <c r="GK212" s="293"/>
      <c r="GL212" s="293"/>
      <c r="GM212" s="293"/>
      <c r="GN212" s="293"/>
      <c r="GO212" s="293"/>
      <c r="GP212" s="293"/>
      <c r="GQ212" s="293"/>
      <c r="GR212" s="293"/>
      <c r="GS212" s="293"/>
      <c r="GT212" s="293"/>
      <c r="GU212" s="293"/>
      <c r="GV212" s="293"/>
      <c r="GW212" s="293"/>
      <c r="GX212" s="293"/>
      <c r="GY212" s="293"/>
      <c r="GZ212" s="293"/>
      <c r="HA212" s="293"/>
      <c r="HB212" s="293"/>
      <c r="HC212" s="293"/>
      <c r="HD212" s="293"/>
      <c r="HE212" s="293"/>
      <c r="HF212" s="293"/>
      <c r="HG212" s="293"/>
      <c r="HH212" s="293"/>
      <c r="HI212" s="293"/>
      <c r="HJ212" s="293"/>
      <c r="HK212" s="293"/>
      <c r="HL212" s="293"/>
      <c r="HM212" s="293"/>
      <c r="HN212" s="293"/>
      <c r="HO212" s="293"/>
      <c r="HP212" s="293"/>
      <c r="HQ212" s="293"/>
      <c r="HR212" s="293"/>
      <c r="HS212" s="293"/>
      <c r="HT212" s="293"/>
      <c r="HU212" s="293"/>
      <c r="HV212" s="293"/>
      <c r="HW212" s="293"/>
      <c r="HX212" s="293"/>
      <c r="HY212" s="293"/>
      <c r="IH212" s="279">
        <f t="shared" si="233"/>
        <v>0</v>
      </c>
      <c r="II212" s="279">
        <f t="shared" si="234"/>
        <v>0</v>
      </c>
      <c r="IJ212" s="323">
        <f t="shared" si="232"/>
        <v>0</v>
      </c>
      <c r="IK212" s="279">
        <f t="shared" si="235"/>
        <v>5.283350564</v>
      </c>
      <c r="KT212" s="280"/>
    </row>
    <row r="213" spans="2:306" hidden="1" outlineLevel="1">
      <c r="D213" s="296" t="s">
        <v>1037</v>
      </c>
      <c r="E213" s="293"/>
      <c r="F213" s="293"/>
      <c r="G213" s="293"/>
      <c r="H213" s="293"/>
      <c r="I213" s="293"/>
      <c r="J213" s="293"/>
      <c r="K213" s="293"/>
      <c r="L213" s="293"/>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c r="BN213" s="293"/>
      <c r="BO213" s="293"/>
      <c r="BP213" s="293"/>
      <c r="BQ213" s="293"/>
      <c r="BR213" s="293"/>
      <c r="BS213" s="293"/>
      <c r="BT213" s="293"/>
      <c r="BU213" s="293"/>
      <c r="BV213" s="293"/>
      <c r="BW213" s="293"/>
      <c r="BX213" s="293"/>
      <c r="BY213" s="293"/>
      <c r="BZ213" s="293"/>
      <c r="CA213" s="293"/>
      <c r="CB213" s="293"/>
      <c r="CC213" s="293"/>
      <c r="CD213" s="293"/>
      <c r="CE213" s="294"/>
      <c r="CF213" s="293"/>
      <c r="CG213" s="293"/>
      <c r="CH213" s="293"/>
      <c r="CI213" s="293"/>
      <c r="CJ213" s="293"/>
      <c r="CK213" s="293"/>
      <c r="CL213" s="293"/>
      <c r="CM213" s="293"/>
      <c r="CN213" s="293"/>
      <c r="CO213" s="293"/>
      <c r="CP213" s="295"/>
      <c r="CQ213" s="293"/>
      <c r="CR213" s="293"/>
      <c r="CS213" s="293"/>
      <c r="CT213" s="293"/>
      <c r="CU213" s="293"/>
      <c r="CV213" s="293"/>
      <c r="CW213" s="293"/>
      <c r="CX213" s="293"/>
      <c r="CY213" s="293"/>
      <c r="CZ213" s="293"/>
      <c r="DA213" s="293"/>
      <c r="DB213" s="1288"/>
      <c r="DC213" s="293"/>
      <c r="DD213" s="293"/>
      <c r="DE213" s="293"/>
      <c r="DF213" s="293"/>
      <c r="DG213" s="293"/>
      <c r="DH213" s="293"/>
      <c r="DI213" s="293"/>
      <c r="DJ213" s="293"/>
      <c r="DK213" s="293"/>
      <c r="DL213" s="293"/>
      <c r="DM213" s="293"/>
      <c r="DN213" s="295"/>
      <c r="DO213" s="293">
        <v>0.259652147</v>
      </c>
      <c r="DP213" s="293">
        <v>0.26273953</v>
      </c>
      <c r="DQ213" s="293">
        <v>0.22729111499999999</v>
      </c>
      <c r="DR213" s="293">
        <v>0.24257200500000001</v>
      </c>
      <c r="DS213" s="293">
        <v>0.27024034299999999</v>
      </c>
      <c r="DT213" s="293">
        <v>0.243500093</v>
      </c>
      <c r="DU213" s="293">
        <v>0.29074821200000001</v>
      </c>
      <c r="DV213" s="293">
        <v>0.28248054900000003</v>
      </c>
      <c r="DW213" s="293">
        <v>0.35017320899999999</v>
      </c>
      <c r="DX213" s="293">
        <v>0.30971138300000001</v>
      </c>
      <c r="DY213" s="293">
        <v>0.219034017</v>
      </c>
      <c r="DZ213" s="295">
        <v>0.39053502000000001</v>
      </c>
      <c r="EA213" s="293">
        <v>0.272646102</v>
      </c>
      <c r="EB213" s="293">
        <v>0.35955708600000003</v>
      </c>
      <c r="EC213" s="293">
        <v>0.37681294500000001</v>
      </c>
      <c r="ED213" s="293">
        <v>0.409931088</v>
      </c>
      <c r="EE213" s="293">
        <v>0.52681662699999998</v>
      </c>
      <c r="EF213" s="293">
        <v>0.41791365699999999</v>
      </c>
      <c r="EG213" s="293">
        <v>0.492870423</v>
      </c>
      <c r="EH213" s="293">
        <v>0.38495477700000003</v>
      </c>
      <c r="EI213" s="293">
        <v>0.429567319</v>
      </c>
      <c r="EJ213" s="293">
        <v>0.34221561900000003</v>
      </c>
      <c r="EK213" s="293">
        <v>0.458043594</v>
      </c>
      <c r="EL213" s="295">
        <v>0.426032297</v>
      </c>
      <c r="EM213" s="1080">
        <v>0.446381417</v>
      </c>
      <c r="EN213" s="1080">
        <v>0.37882296199999999</v>
      </c>
      <c r="EO213" s="1080">
        <v>0.43899298399999997</v>
      </c>
      <c r="EP213" s="1080">
        <v>0.41913514200000002</v>
      </c>
      <c r="EQ213" s="1080">
        <v>0.37956826100000002</v>
      </c>
      <c r="ER213" s="1080">
        <v>0.46952987499999999</v>
      </c>
      <c r="ES213" s="1080">
        <v>0.37303118600000001</v>
      </c>
      <c r="ET213" s="1080">
        <v>0.39464575600000001</v>
      </c>
      <c r="EU213" s="1080">
        <v>0.38522885299999998</v>
      </c>
      <c r="EV213" s="1080">
        <v>0.31141468500000002</v>
      </c>
      <c r="EW213" s="1080">
        <v>0.36140069600000002</v>
      </c>
      <c r="EX213" s="1340">
        <v>0.37888442500000002</v>
      </c>
      <c r="EY213" s="1080"/>
      <c r="EZ213" s="1080"/>
      <c r="FA213" s="1080"/>
      <c r="FB213" s="1080"/>
      <c r="FC213" s="1080"/>
      <c r="FD213" s="1080"/>
      <c r="FE213" s="1080"/>
      <c r="FF213" s="1080"/>
      <c r="FG213" s="1080"/>
      <c r="FH213" s="1080"/>
      <c r="FI213" s="1080"/>
      <c r="FJ213" s="1340"/>
      <c r="FK213" s="1080"/>
      <c r="FL213" s="1080"/>
      <c r="FM213" s="1080"/>
      <c r="FN213" s="1080"/>
      <c r="FO213" s="1080"/>
      <c r="FP213" s="1080"/>
      <c r="FQ213" s="293"/>
      <c r="FR213" s="293"/>
      <c r="FS213" s="293"/>
      <c r="FT213" s="293"/>
      <c r="FU213" s="293"/>
      <c r="FV213" s="293"/>
      <c r="FW213" s="293"/>
      <c r="FX213" s="293"/>
      <c r="FY213" s="293"/>
      <c r="FZ213" s="293"/>
      <c r="GA213" s="293"/>
      <c r="GB213" s="293"/>
      <c r="GC213" s="293"/>
      <c r="GD213" s="293"/>
      <c r="GE213" s="293"/>
      <c r="GF213" s="293"/>
      <c r="GG213" s="293"/>
      <c r="GH213" s="293"/>
      <c r="GI213" s="293"/>
      <c r="GJ213" s="293"/>
      <c r="GK213" s="293"/>
      <c r="GL213" s="293"/>
      <c r="GM213" s="293"/>
      <c r="GN213" s="293"/>
      <c r="GO213" s="293"/>
      <c r="GP213" s="293"/>
      <c r="GQ213" s="293"/>
      <c r="GR213" s="293"/>
      <c r="GS213" s="293"/>
      <c r="GT213" s="293"/>
      <c r="GU213" s="293"/>
      <c r="GV213" s="293"/>
      <c r="GW213" s="293"/>
      <c r="GX213" s="293"/>
      <c r="GY213" s="293"/>
      <c r="GZ213" s="293"/>
      <c r="HA213" s="293"/>
      <c r="HB213" s="293"/>
      <c r="HC213" s="293"/>
      <c r="HD213" s="293"/>
      <c r="HE213" s="293"/>
      <c r="HF213" s="293"/>
      <c r="HG213" s="293"/>
      <c r="HH213" s="293"/>
      <c r="HI213" s="293"/>
      <c r="HJ213" s="293"/>
      <c r="HK213" s="293"/>
      <c r="HL213" s="293"/>
      <c r="HM213" s="293"/>
      <c r="HN213" s="293"/>
      <c r="HO213" s="293"/>
      <c r="HP213" s="293"/>
      <c r="HQ213" s="293"/>
      <c r="HR213" s="293"/>
      <c r="HS213" s="293"/>
      <c r="HT213" s="293"/>
      <c r="HU213" s="293"/>
      <c r="HV213" s="293"/>
      <c r="HW213" s="293"/>
      <c r="HX213" s="293"/>
      <c r="HY213" s="293"/>
      <c r="IJ213" s="323"/>
      <c r="KT213" s="280"/>
    </row>
    <row r="214" spans="2:306" hidden="1" outlineLevel="1">
      <c r="D214" s="844" t="s">
        <v>1010</v>
      </c>
      <c r="E214" s="293"/>
      <c r="F214" s="293"/>
      <c r="G214" s="293"/>
      <c r="H214" s="293"/>
      <c r="I214" s="293"/>
      <c r="J214" s="293"/>
      <c r="K214" s="293"/>
      <c r="L214" s="293"/>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c r="BN214" s="293"/>
      <c r="BO214" s="293"/>
      <c r="BP214" s="293"/>
      <c r="BQ214" s="293"/>
      <c r="BR214" s="293"/>
      <c r="BS214" s="293"/>
      <c r="BT214" s="293"/>
      <c r="BU214" s="293"/>
      <c r="BV214" s="293"/>
      <c r="BW214" s="293"/>
      <c r="BX214" s="293"/>
      <c r="BY214" s="293"/>
      <c r="BZ214" s="293"/>
      <c r="CA214" s="293"/>
      <c r="CB214" s="293"/>
      <c r="CC214" s="293"/>
      <c r="CD214" s="293"/>
      <c r="CE214" s="294"/>
      <c r="CF214" s="293"/>
      <c r="CG214" s="293"/>
      <c r="CH214" s="293"/>
      <c r="CI214" s="293"/>
      <c r="CJ214" s="293"/>
      <c r="CK214" s="293"/>
      <c r="CL214" s="293"/>
      <c r="CM214" s="293"/>
      <c r="CN214" s="293"/>
      <c r="CO214" s="293"/>
      <c r="CP214" s="295"/>
      <c r="CQ214" s="293"/>
      <c r="CR214" s="293"/>
      <c r="CS214" s="293"/>
      <c r="CT214" s="293"/>
      <c r="CU214" s="293"/>
      <c r="CV214" s="293"/>
      <c r="CW214" s="293"/>
      <c r="CX214" s="293"/>
      <c r="CY214" s="293"/>
      <c r="CZ214" s="293"/>
      <c r="DA214" s="293"/>
      <c r="DB214" s="1288"/>
      <c r="DC214" s="293">
        <v>0.29499999999999998</v>
      </c>
      <c r="DD214" s="293">
        <v>0.95499999999999996</v>
      </c>
      <c r="DE214" s="293">
        <v>0.77900000000000003</v>
      </c>
      <c r="DF214" s="293">
        <v>0.68400000000000005</v>
      </c>
      <c r="DG214" s="293">
        <v>0.67500000000000004</v>
      </c>
      <c r="DH214" s="293">
        <v>0.77300000000000002</v>
      </c>
      <c r="DI214" s="293">
        <v>0.71560000000000001</v>
      </c>
      <c r="DJ214" s="293">
        <v>0.67100000000000004</v>
      </c>
      <c r="DK214" s="293">
        <v>0.78300000000000003</v>
      </c>
      <c r="DL214" s="293">
        <v>0.76300000000000001</v>
      </c>
      <c r="DM214" s="293">
        <v>0.73699999999999999</v>
      </c>
      <c r="DN214" s="295">
        <v>0.84799999999999998</v>
      </c>
      <c r="DO214" s="293">
        <v>0.73974856200000005</v>
      </c>
      <c r="DP214" s="293">
        <v>0.82919036700000004</v>
      </c>
      <c r="DQ214" s="293">
        <v>0.87094658000000003</v>
      </c>
      <c r="DR214" s="293">
        <v>0.70157835199999996</v>
      </c>
      <c r="DS214" s="293">
        <v>0.821549474</v>
      </c>
      <c r="DT214" s="293">
        <v>1.0244940810000001</v>
      </c>
      <c r="DU214" s="293">
        <v>1.1159677509999999</v>
      </c>
      <c r="DV214" s="293">
        <v>0.74446658200000004</v>
      </c>
      <c r="DW214" s="293">
        <v>0.91216096800000002</v>
      </c>
      <c r="DX214" s="293">
        <v>0.79233381999999997</v>
      </c>
      <c r="DY214" s="293">
        <v>0.80858132599999999</v>
      </c>
      <c r="DZ214" s="295">
        <v>0.88013021899999999</v>
      </c>
      <c r="EA214" s="293">
        <v>0.77951761200000003</v>
      </c>
      <c r="EB214" s="293">
        <v>0.85310538599999997</v>
      </c>
      <c r="EC214" s="293">
        <v>0.85846891700000005</v>
      </c>
      <c r="ED214" s="293">
        <v>0.81156610799999995</v>
      </c>
      <c r="EE214" s="293">
        <v>0.89398497700000001</v>
      </c>
      <c r="EF214" s="293">
        <v>0.90503010500000003</v>
      </c>
      <c r="EG214" s="293">
        <v>0.74971463000000005</v>
      </c>
      <c r="EH214" s="293">
        <v>0.81065723899999997</v>
      </c>
      <c r="EI214" s="293">
        <v>0.88320536900000002</v>
      </c>
      <c r="EJ214" s="293">
        <v>0.77698077300000001</v>
      </c>
      <c r="EK214" s="293">
        <v>0.89142172200000003</v>
      </c>
      <c r="EL214" s="295">
        <v>0.97563938900000002</v>
      </c>
      <c r="EM214" s="1080">
        <v>0.83848702600000002</v>
      </c>
      <c r="EN214" s="1080">
        <v>1.013353685</v>
      </c>
      <c r="EO214" s="1080">
        <v>0.94132519000000003</v>
      </c>
      <c r="EP214" s="1080">
        <v>0.84642424299999997</v>
      </c>
      <c r="EQ214" s="1080">
        <v>0.88327053200000005</v>
      </c>
      <c r="ER214" s="1080">
        <v>0.89122966599999998</v>
      </c>
      <c r="ES214" s="1080">
        <v>0.78034427100000003</v>
      </c>
      <c r="ET214" s="1080">
        <v>0.93406694999999995</v>
      </c>
      <c r="EU214" s="1080">
        <v>0.93166332100000004</v>
      </c>
      <c r="EV214" s="1080">
        <v>0.90874494699999997</v>
      </c>
      <c r="EW214" s="1080">
        <v>1.0802803459999999</v>
      </c>
      <c r="EX214" s="1340">
        <v>0.93492535499999996</v>
      </c>
      <c r="EY214" s="1080"/>
      <c r="EZ214" s="1080"/>
      <c r="FA214" s="1080"/>
      <c r="FB214" s="1080"/>
      <c r="FC214" s="1080"/>
      <c r="FD214" s="1080"/>
      <c r="FE214" s="1080"/>
      <c r="FF214" s="1080"/>
      <c r="FG214" s="1080"/>
      <c r="FH214" s="1080"/>
      <c r="FI214" s="1080"/>
      <c r="FJ214" s="1340"/>
      <c r="FK214" s="1080"/>
      <c r="FL214" s="1080"/>
      <c r="FM214" s="1080"/>
      <c r="FN214" s="1080"/>
      <c r="FO214" s="1080"/>
      <c r="FP214" s="1080"/>
      <c r="FQ214" s="293"/>
      <c r="FR214" s="293"/>
      <c r="FS214" s="293"/>
      <c r="FT214" s="293"/>
      <c r="FU214" s="293"/>
      <c r="FV214" s="293"/>
      <c r="FW214" s="293"/>
      <c r="FX214" s="293"/>
      <c r="FY214" s="293"/>
      <c r="FZ214" s="293"/>
      <c r="GA214" s="293"/>
      <c r="GB214" s="293"/>
      <c r="GC214" s="293"/>
      <c r="GD214" s="293"/>
      <c r="GE214" s="293"/>
      <c r="GF214" s="293"/>
      <c r="GG214" s="293"/>
      <c r="GH214" s="293"/>
      <c r="GI214" s="293"/>
      <c r="GJ214" s="293"/>
      <c r="GK214" s="293"/>
      <c r="GL214" s="293"/>
      <c r="GM214" s="293"/>
      <c r="GN214" s="293"/>
      <c r="GO214" s="293"/>
      <c r="GP214" s="293"/>
      <c r="GQ214" s="293"/>
      <c r="GR214" s="293"/>
      <c r="GS214" s="293"/>
      <c r="GT214" s="293"/>
      <c r="GU214" s="293"/>
      <c r="GV214" s="293"/>
      <c r="GW214" s="293"/>
      <c r="GX214" s="293"/>
      <c r="GY214" s="293"/>
      <c r="GZ214" s="293"/>
      <c r="HA214" s="293"/>
      <c r="HB214" s="293"/>
      <c r="HC214" s="293"/>
      <c r="HD214" s="293"/>
      <c r="HE214" s="293"/>
      <c r="HF214" s="293"/>
      <c r="HG214" s="293"/>
      <c r="HH214" s="293"/>
      <c r="HI214" s="293"/>
      <c r="HJ214" s="293"/>
      <c r="HK214" s="293"/>
      <c r="HL214" s="293"/>
      <c r="HM214" s="293"/>
      <c r="HN214" s="293"/>
      <c r="HO214" s="293"/>
      <c r="HP214" s="293"/>
      <c r="HQ214" s="293"/>
      <c r="HR214" s="293"/>
      <c r="HS214" s="293"/>
      <c r="HT214" s="293"/>
      <c r="HU214" s="293"/>
      <c r="HV214" s="293"/>
      <c r="HW214" s="293"/>
      <c r="HX214" s="293"/>
      <c r="HY214" s="293"/>
      <c r="IH214" s="279">
        <f t="shared" ref="IH214:IH224" si="236">+SUM(DC214:DH214)</f>
        <v>4.1609999999999996</v>
      </c>
      <c r="II214" s="279">
        <f t="shared" ref="II214:II224" si="237">+SUM(DI214:DN214)</f>
        <v>4.5175999999999998</v>
      </c>
      <c r="IJ214" s="323">
        <f t="shared" si="232"/>
        <v>8.6785999999999994</v>
      </c>
      <c r="IK214" s="279">
        <f t="shared" ref="IK214:IK225" si="238">SUM(DO214:DT214)</f>
        <v>4.9875074160000006</v>
      </c>
      <c r="KT214" s="280"/>
    </row>
    <row r="215" spans="2:306" hidden="1" outlineLevel="1">
      <c r="B215" s="96" t="s">
        <v>338</v>
      </c>
      <c r="D215" s="309" t="s">
        <v>418</v>
      </c>
      <c r="E215" s="293">
        <v>2.7006257007000003</v>
      </c>
      <c r="F215" s="293">
        <v>2.3956280892000006</v>
      </c>
      <c r="G215" s="293">
        <v>3.0513422493000002</v>
      </c>
      <c r="H215" s="293">
        <v>2.9238067827000003</v>
      </c>
      <c r="I215" s="293">
        <v>3.0755514365999996</v>
      </c>
      <c r="J215" s="293">
        <v>2.8571080203000001</v>
      </c>
      <c r="K215" s="293">
        <v>2.9849418459000003</v>
      </c>
      <c r="L215" s="293">
        <v>3.5022437325000002</v>
      </c>
      <c r="M215" s="293">
        <v>2.6735484204</v>
      </c>
      <c r="N215" s="293">
        <v>2.9102264712000001</v>
      </c>
      <c r="O215" s="293">
        <v>3.5309522043000001</v>
      </c>
      <c r="P215" s="293">
        <v>3.3428814228000001</v>
      </c>
      <c r="Q215" s="293">
        <v>3.3310654563997821</v>
      </c>
      <c r="R215" s="293">
        <v>3.291657697912421</v>
      </c>
      <c r="S215" s="293">
        <v>3.9003472468590576</v>
      </c>
      <c r="T215" s="293">
        <v>3.6784816167265442</v>
      </c>
      <c r="U215" s="293">
        <v>4.3387147874513277</v>
      </c>
      <c r="V215" s="293">
        <v>4.2811404873610241</v>
      </c>
      <c r="W215" s="293">
        <v>4.5574334518237301</v>
      </c>
      <c r="X215" s="293">
        <v>4.6627333853793269</v>
      </c>
      <c r="Y215" s="293">
        <v>4.9711645301437306</v>
      </c>
      <c r="Z215" s="293">
        <v>5.1515374799677982</v>
      </c>
      <c r="AA215" s="293">
        <v>4.5044794523483045</v>
      </c>
      <c r="AB215" s="293">
        <v>5.4994414137980234</v>
      </c>
      <c r="AC215" s="293">
        <v>4.5015777809999999</v>
      </c>
      <c r="AD215" s="293">
        <v>4.9117385574000005</v>
      </c>
      <c r="AE215" s="293">
        <v>4.6153532538000004</v>
      </c>
      <c r="AF215" s="293">
        <v>4.9108857255</v>
      </c>
      <c r="AG215" s="293">
        <v>4.3222614228000005</v>
      </c>
      <c r="AH215" s="293">
        <v>4.3336629198000001</v>
      </c>
      <c r="AI215" s="293">
        <v>4.3831809594000006</v>
      </c>
      <c r="AJ215" s="293">
        <v>4.5555867287999998</v>
      </c>
      <c r="AK215" s="293">
        <v>4.1156479619999997</v>
      </c>
      <c r="AL215" s="293">
        <v>4.0039666704000005</v>
      </c>
      <c r="AM215" s="293">
        <v>4.6209315150000005</v>
      </c>
      <c r="AN215" s="293">
        <v>4.6910471759999997</v>
      </c>
      <c r="AO215" s="293">
        <v>3.8723120361000003</v>
      </c>
      <c r="AP215" s="293">
        <v>3.8560713813</v>
      </c>
      <c r="AQ215" s="293">
        <v>4.6009879424999998</v>
      </c>
      <c r="AR215" s="293">
        <v>4.0300898364000002</v>
      </c>
      <c r="AS215" s="293">
        <v>4.3106822271</v>
      </c>
      <c r="AT215" s="293">
        <v>4.6666302615000008</v>
      </c>
      <c r="AU215" s="293">
        <v>3.6348611922000003</v>
      </c>
      <c r="AV215" s="293">
        <v>4.0822821747000004</v>
      </c>
      <c r="AW215" s="293">
        <v>4.0570851456000003</v>
      </c>
      <c r="AX215" s="293">
        <v>4.0971821463000007</v>
      </c>
      <c r="AY215" s="293">
        <v>4.5688450293000002</v>
      </c>
      <c r="AZ215" s="293">
        <v>5.1349498910999998</v>
      </c>
      <c r="BA215" s="293">
        <v>4.4590551768000006</v>
      </c>
      <c r="BB215" s="293">
        <v>4.0689444708</v>
      </c>
      <c r="BC215" s="293">
        <v>4.8221914788000007</v>
      </c>
      <c r="BD215" s="293">
        <v>3.940295382</v>
      </c>
      <c r="BE215" s="293">
        <v>4.8139834698000001</v>
      </c>
      <c r="BF215" s="293">
        <v>4.7052297288</v>
      </c>
      <c r="BG215" s="293">
        <v>4.6417355883000004</v>
      </c>
      <c r="BH215" s="293">
        <v>5.6039188734000005</v>
      </c>
      <c r="BI215" s="293">
        <v>5.757847398</v>
      </c>
      <c r="BJ215" s="293">
        <v>5.0149138635000003</v>
      </c>
      <c r="BK215" s="293">
        <v>6.0373587779999998</v>
      </c>
      <c r="BL215" s="293">
        <v>5.8176813861000003</v>
      </c>
      <c r="BM215" s="293">
        <v>5.1004013463</v>
      </c>
      <c r="BN215" s="293">
        <v>5.7727871820000001</v>
      </c>
      <c r="BO215" s="293">
        <v>6.2901754721999996</v>
      </c>
      <c r="BP215" s="293">
        <v>5.5990192896000011</v>
      </c>
      <c r="BQ215" s="293">
        <v>6.9685079706000002</v>
      </c>
      <c r="BR215" s="293">
        <v>6.2220461211</v>
      </c>
      <c r="BS215" s="293">
        <v>6.8690743794000007</v>
      </c>
      <c r="BT215" s="293">
        <v>6.9620741361</v>
      </c>
      <c r="BU215" s="293">
        <v>6.8031847304999999</v>
      </c>
      <c r="BV215" s="293">
        <v>6.2841963735000004</v>
      </c>
      <c r="BW215" s="293">
        <v>5.9817929841000002</v>
      </c>
      <c r="BX215" s="293">
        <v>5.8888777571999995</v>
      </c>
      <c r="BY215" s="293">
        <v>6.341047047</v>
      </c>
      <c r="BZ215" s="293">
        <v>5.7005419338000003</v>
      </c>
      <c r="CA215" s="293">
        <v>5.7216563928000008</v>
      </c>
      <c r="CB215" s="293">
        <v>6.1109018658000007</v>
      </c>
      <c r="CC215" s="293">
        <v>6.6497725691999996</v>
      </c>
      <c r="CD215" s="293">
        <v>21.217024090799999</v>
      </c>
      <c r="CE215" s="294">
        <v>16.090310353499998</v>
      </c>
      <c r="CF215" s="293">
        <v>18.716012387999999</v>
      </c>
      <c r="CG215" s="293">
        <v>21.138830867700001</v>
      </c>
      <c r="CH215" s="293">
        <v>18.5464598256</v>
      </c>
      <c r="CI215" s="293">
        <v>21.171876082200001</v>
      </c>
      <c r="CJ215" s="293">
        <v>20.638044451799999</v>
      </c>
      <c r="CK215" s="293">
        <v>22.173186520800002</v>
      </c>
      <c r="CL215" s="293">
        <v>20.069732109599997</v>
      </c>
      <c r="CM215" s="293">
        <v>20.624844828599997</v>
      </c>
      <c r="CN215" s="293">
        <v>20.063275226999998</v>
      </c>
      <c r="CO215" s="293">
        <v>26.431406572499998</v>
      </c>
      <c r="CP215" s="295">
        <v>33.464728710899998</v>
      </c>
      <c r="CQ215" s="293">
        <v>21.009046951800002</v>
      </c>
      <c r="CR215" s="293">
        <v>21.133695948299998</v>
      </c>
      <c r="CS215" s="293">
        <v>27.884221133400001</v>
      </c>
      <c r="CT215" s="293">
        <v>21.356403523200001</v>
      </c>
      <c r="CU215" s="293">
        <v>21.511141365599997</v>
      </c>
      <c r="CV215" s="293">
        <v>23.3403010452</v>
      </c>
      <c r="CW215" s="293">
        <v>22.384861343099999</v>
      </c>
      <c r="CX215" s="293">
        <v>20.962725366600001</v>
      </c>
      <c r="CY215" s="293">
        <v>23.846452569</v>
      </c>
      <c r="CZ215" s="293">
        <v>23.600567036700003</v>
      </c>
      <c r="DA215" s="293">
        <v>24.082077372299999</v>
      </c>
      <c r="DB215" s="1288">
        <v>34.667507649600005</v>
      </c>
      <c r="DC215" s="293">
        <v>21.020342461352435</v>
      </c>
      <c r="DD215" s="293">
        <v>22.41970873814277</v>
      </c>
      <c r="DE215" s="293">
        <v>26.462655254429844</v>
      </c>
      <c r="DF215" s="293">
        <v>25.928451449779434</v>
      </c>
      <c r="DG215" s="293">
        <v>23.973056382899909</v>
      </c>
      <c r="DH215" s="293">
        <v>32.004096754695617</v>
      </c>
      <c r="DI215" s="293">
        <v>25.845007895682123</v>
      </c>
      <c r="DJ215" s="293">
        <v>24.54799402500964</v>
      </c>
      <c r="DK215" s="293">
        <v>28.762320032541503</v>
      </c>
      <c r="DL215" s="293">
        <v>26.073363219708661</v>
      </c>
      <c r="DM215" s="293">
        <v>25.566225104782905</v>
      </c>
      <c r="DN215" s="295">
        <v>40.610210409975174</v>
      </c>
      <c r="DO215" s="293">
        <v>24.575119863900003</v>
      </c>
      <c r="DP215" s="293">
        <v>25.253331534300003</v>
      </c>
      <c r="DQ215" s="293">
        <v>29.934156591999997</v>
      </c>
      <c r="DR215" s="293">
        <v>25.520966387699996</v>
      </c>
      <c r="DS215" s="293">
        <v>25.9201902159</v>
      </c>
      <c r="DT215" s="293">
        <v>30.686208181819996</v>
      </c>
      <c r="DU215" s="293">
        <v>29.4583278711</v>
      </c>
      <c r="DV215" s="293">
        <v>28.857553697099998</v>
      </c>
      <c r="DW215" s="293">
        <v>32.634061162000002</v>
      </c>
      <c r="DX215" s="293">
        <v>27.369452396900002</v>
      </c>
      <c r="DY215" s="293">
        <v>29.231314420700002</v>
      </c>
      <c r="DZ215" s="295">
        <v>42.979458079899992</v>
      </c>
      <c r="EA215" s="293">
        <v>28.202585008699998</v>
      </c>
      <c r="EB215" s="293">
        <v>28.187900527900002</v>
      </c>
      <c r="EC215" s="293">
        <v>36.44744439318999</v>
      </c>
      <c r="ED215" s="293">
        <v>31.796544580599999</v>
      </c>
      <c r="EE215" s="293">
        <v>31.503900752300002</v>
      </c>
      <c r="EF215" s="293">
        <v>40.707319792500002</v>
      </c>
      <c r="EG215" s="293">
        <v>33.038529406999999</v>
      </c>
      <c r="EH215" s="293">
        <v>31.433837689000001</v>
      </c>
      <c r="EI215" s="293">
        <v>35.882729088199994</v>
      </c>
      <c r="EJ215" s="293">
        <v>32.8268608136</v>
      </c>
      <c r="EK215" s="293">
        <v>32.389005212080008</v>
      </c>
      <c r="EL215" s="295">
        <v>43.500487695049848</v>
      </c>
      <c r="EM215" s="1080">
        <v>30.906249728319999</v>
      </c>
      <c r="EN215" s="1080">
        <v>35.091470095800005</v>
      </c>
      <c r="EO215" s="1080">
        <v>36.65031393396</v>
      </c>
      <c r="EP215" s="1080">
        <v>32.886596466519997</v>
      </c>
      <c r="EQ215" s="1080">
        <v>35.038868828280002</v>
      </c>
      <c r="ER215" s="1080">
        <v>43.132705185279995</v>
      </c>
      <c r="ES215" s="1080">
        <v>39.356497086352796</v>
      </c>
      <c r="ET215" s="1080">
        <v>37.734449936709929</v>
      </c>
      <c r="EU215" s="1080">
        <v>37.11177639868</v>
      </c>
      <c r="EV215" s="1080">
        <v>40.404032144494401</v>
      </c>
      <c r="EW215" s="1080">
        <v>38.387444583280015</v>
      </c>
      <c r="EX215" s="1340">
        <v>51.889292502999993</v>
      </c>
      <c r="EY215" s="1080"/>
      <c r="EZ215" s="1080"/>
      <c r="FA215" s="1080"/>
      <c r="FB215" s="1080"/>
      <c r="FC215" s="1080"/>
      <c r="FD215" s="1080"/>
      <c r="FE215" s="1080"/>
      <c r="FF215" s="1080"/>
      <c r="FG215" s="1080"/>
      <c r="FH215" s="1080"/>
      <c r="FI215" s="1080"/>
      <c r="FJ215" s="1340"/>
      <c r="FK215" s="1080"/>
      <c r="FL215" s="1080"/>
      <c r="FM215" s="1080"/>
      <c r="FN215" s="1080"/>
      <c r="FO215" s="1080"/>
      <c r="FP215" s="1080"/>
      <c r="FQ215" s="293"/>
      <c r="FR215" s="293"/>
      <c r="FS215" s="293"/>
      <c r="FT215" s="293"/>
      <c r="FU215" s="293"/>
      <c r="FV215" s="293"/>
      <c r="FW215" s="293"/>
      <c r="FX215" s="293"/>
      <c r="FY215" s="293"/>
      <c r="FZ215" s="293"/>
      <c r="GA215" s="293"/>
      <c r="GB215" s="293"/>
      <c r="GC215" s="293"/>
      <c r="GD215" s="293"/>
      <c r="GE215" s="293"/>
      <c r="GF215" s="293"/>
      <c r="GG215" s="293"/>
      <c r="GH215" s="293"/>
      <c r="GI215" s="293"/>
      <c r="GJ215" s="293"/>
      <c r="GK215" s="293"/>
      <c r="GL215" s="293"/>
      <c r="GM215" s="293"/>
      <c r="GN215" s="293"/>
      <c r="GO215" s="293"/>
      <c r="GP215" s="293"/>
      <c r="GQ215" s="293"/>
      <c r="GR215" s="293"/>
      <c r="GS215" s="293"/>
      <c r="GT215" s="293"/>
      <c r="GU215" s="293"/>
      <c r="GV215" s="293"/>
      <c r="GW215" s="293"/>
      <c r="GX215" s="293"/>
      <c r="GY215" s="293"/>
      <c r="GZ215" s="293"/>
      <c r="HA215" s="293"/>
      <c r="HB215" s="293"/>
      <c r="HC215" s="293"/>
      <c r="HD215" s="293"/>
      <c r="HE215" s="293"/>
      <c r="HF215" s="293"/>
      <c r="HG215" s="293"/>
      <c r="HH215" s="293"/>
      <c r="HI215" s="293"/>
      <c r="HJ215" s="293"/>
      <c r="HK215" s="293"/>
      <c r="HL215" s="293"/>
      <c r="HM215" s="293"/>
      <c r="HN215" s="293"/>
      <c r="HO215" s="293"/>
      <c r="HP215" s="293"/>
      <c r="HQ215" s="293"/>
      <c r="HR215" s="293"/>
      <c r="HS215" s="293"/>
      <c r="HT215" s="293"/>
      <c r="HU215" s="293"/>
      <c r="HV215" s="293"/>
      <c r="HW215" s="293"/>
      <c r="HX215" s="293"/>
      <c r="HY215" s="293"/>
      <c r="IH215" s="279">
        <f t="shared" si="236"/>
        <v>151.80831104130002</v>
      </c>
      <c r="II215" s="279">
        <f t="shared" si="237"/>
        <v>171.40512068769999</v>
      </c>
      <c r="IJ215" s="323">
        <f t="shared" si="232"/>
        <v>323.21343172900004</v>
      </c>
      <c r="IK215" s="279">
        <f t="shared" si="238"/>
        <v>161.88997277562001</v>
      </c>
      <c r="KT215" s="280"/>
    </row>
    <row r="216" spans="2:306" hidden="1" outlineLevel="1">
      <c r="B216" s="96" t="s">
        <v>338</v>
      </c>
      <c r="D216" s="296" t="s">
        <v>419</v>
      </c>
      <c r="E216" s="293"/>
      <c r="F216" s="293"/>
      <c r="G216" s="293"/>
      <c r="H216" s="293"/>
      <c r="I216" s="293"/>
      <c r="J216" s="293"/>
      <c r="K216" s="293"/>
      <c r="L216" s="293"/>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v>0</v>
      </c>
      <c r="AJ216" s="293">
        <v>0</v>
      </c>
      <c r="AK216" s="293">
        <v>0</v>
      </c>
      <c r="AL216" s="293">
        <v>0</v>
      </c>
      <c r="AM216" s="293">
        <v>0</v>
      </c>
      <c r="AN216" s="293">
        <v>0</v>
      </c>
      <c r="AO216" s="293">
        <v>0</v>
      </c>
      <c r="AP216" s="293">
        <v>0</v>
      </c>
      <c r="AQ216" s="293">
        <v>0</v>
      </c>
      <c r="AR216" s="293">
        <v>0</v>
      </c>
      <c r="AS216" s="293">
        <v>0</v>
      </c>
      <c r="AT216" s="293">
        <v>0</v>
      </c>
      <c r="AU216" s="293">
        <v>0</v>
      </c>
      <c r="AV216" s="293">
        <v>0</v>
      </c>
      <c r="AW216" s="293">
        <v>0</v>
      </c>
      <c r="AX216" s="293">
        <v>0</v>
      </c>
      <c r="AY216" s="293">
        <v>0</v>
      </c>
      <c r="AZ216" s="293">
        <v>0</v>
      </c>
      <c r="BA216" s="293">
        <v>0</v>
      </c>
      <c r="BB216" s="293">
        <v>0</v>
      </c>
      <c r="BC216" s="293">
        <v>0</v>
      </c>
      <c r="BD216" s="293">
        <v>0</v>
      </c>
      <c r="BE216" s="293">
        <v>0</v>
      </c>
      <c r="BF216" s="293">
        <v>0</v>
      </c>
      <c r="BG216" s="293">
        <v>0</v>
      </c>
      <c r="BH216" s="293">
        <v>0</v>
      </c>
      <c r="BI216" s="293">
        <v>0</v>
      </c>
      <c r="BJ216" s="293">
        <v>0</v>
      </c>
      <c r="BK216" s="293">
        <v>0</v>
      </c>
      <c r="BL216" s="293">
        <v>0</v>
      </c>
      <c r="BM216" s="293">
        <v>0</v>
      </c>
      <c r="BN216" s="293">
        <v>0</v>
      </c>
      <c r="BO216" s="293">
        <v>0</v>
      </c>
      <c r="BP216" s="293">
        <v>0</v>
      </c>
      <c r="BQ216" s="293">
        <v>0</v>
      </c>
      <c r="BR216" s="293">
        <v>0</v>
      </c>
      <c r="BS216" s="293">
        <v>0</v>
      </c>
      <c r="BT216" s="293">
        <v>0</v>
      </c>
      <c r="BU216" s="293">
        <v>0</v>
      </c>
      <c r="BV216" s="293">
        <v>0</v>
      </c>
      <c r="BW216" s="293">
        <v>0</v>
      </c>
      <c r="BX216" s="293">
        <v>0</v>
      </c>
      <c r="BY216" s="293">
        <v>0</v>
      </c>
      <c r="BZ216" s="293">
        <v>0</v>
      </c>
      <c r="CA216" s="293">
        <v>0</v>
      </c>
      <c r="CB216" s="293">
        <v>0</v>
      </c>
      <c r="CC216" s="293">
        <v>0</v>
      </c>
      <c r="CD216" s="293">
        <v>6.5180837096999991</v>
      </c>
      <c r="CE216" s="294">
        <v>6.7366902546</v>
      </c>
      <c r="CF216" s="293">
        <v>6.1068302621999999</v>
      </c>
      <c r="CG216" s="293">
        <v>6.8280531947999998</v>
      </c>
      <c r="CH216" s="293">
        <v>7.8064579251000001</v>
      </c>
      <c r="CI216" s="293">
        <v>8.1603117908999998</v>
      </c>
      <c r="CJ216" s="293">
        <v>7.9802586918000005</v>
      </c>
      <c r="CK216" s="293">
        <v>8.2039759515000004</v>
      </c>
      <c r="CL216" s="293">
        <v>7.2599873472000001</v>
      </c>
      <c r="CM216" s="293">
        <v>7.2809049735000002</v>
      </c>
      <c r="CN216" s="293">
        <v>8.0172674955000005</v>
      </c>
      <c r="CO216" s="293">
        <v>8.3042534394000018</v>
      </c>
      <c r="CP216" s="295">
        <v>7.8717999303000008</v>
      </c>
      <c r="CQ216" s="293">
        <v>7.782627261600001</v>
      </c>
      <c r="CR216" s="293">
        <v>7.6012299054000003</v>
      </c>
      <c r="CS216" s="293">
        <v>8.7531792948000025</v>
      </c>
      <c r="CT216" s="293">
        <v>7.7517604926000008</v>
      </c>
      <c r="CU216" s="293">
        <v>7.5989398680000004</v>
      </c>
      <c r="CV216" s="293">
        <v>8.3404416761999993</v>
      </c>
      <c r="CW216" s="293">
        <v>8.050610515499999</v>
      </c>
      <c r="CX216" s="293">
        <v>7.2574940286</v>
      </c>
      <c r="CY216" s="293">
        <v>7.9065599373000008</v>
      </c>
      <c r="CZ216" s="293">
        <v>8.1813919059000018</v>
      </c>
      <c r="DA216" s="293">
        <v>9.1612123523999998</v>
      </c>
      <c r="DB216" s="1288">
        <v>11.3852438667</v>
      </c>
      <c r="DC216" s="293">
        <v>7.8574058543206524</v>
      </c>
      <c r="DD216" s="293">
        <v>7.363318467042566</v>
      </c>
      <c r="DE216" s="293">
        <v>9.1731760781706662</v>
      </c>
      <c r="DF216" s="293">
        <v>9.267140774954445</v>
      </c>
      <c r="DG216" s="293">
        <v>8.9736080523093253</v>
      </c>
      <c r="DH216" s="293">
        <v>10.063379199121947</v>
      </c>
      <c r="DI216" s="293">
        <v>7.993661997213322</v>
      </c>
      <c r="DJ216" s="293">
        <v>8.6605111779759554</v>
      </c>
      <c r="DK216" s="293">
        <v>9.0816079169001949</v>
      </c>
      <c r="DL216" s="293">
        <v>9.0274323796330638</v>
      </c>
      <c r="DM216" s="293">
        <v>9.7662289284729038</v>
      </c>
      <c r="DN216" s="295">
        <v>11.866588971381663</v>
      </c>
      <c r="DO216" s="293">
        <v>9.8108258972999991</v>
      </c>
      <c r="DP216" s="293">
        <v>11.156453113800003</v>
      </c>
      <c r="DQ216" s="293">
        <v>10.9570908448</v>
      </c>
      <c r="DR216" s="293">
        <v>9.567440680399999</v>
      </c>
      <c r="DS216" s="293">
        <v>10.712232864899999</v>
      </c>
      <c r="DT216" s="293">
        <v>10.824824211799999</v>
      </c>
      <c r="DU216" s="293">
        <v>8.7792521957000016</v>
      </c>
      <c r="DV216" s="293">
        <v>9.5347919117999993</v>
      </c>
      <c r="DW216" s="293">
        <v>11.028032146600001</v>
      </c>
      <c r="DX216" s="293">
        <v>8.9639059277000008</v>
      </c>
      <c r="DY216" s="293">
        <v>11.344663394299999</v>
      </c>
      <c r="DZ216" s="295">
        <v>11.3917456027</v>
      </c>
      <c r="EA216" s="293">
        <v>9.3237178376000003</v>
      </c>
      <c r="EB216" s="293">
        <v>9.8451868539999996</v>
      </c>
      <c r="EC216" s="293">
        <v>11.760298321299999</v>
      </c>
      <c r="ED216" s="293">
        <v>11.451489605500001</v>
      </c>
      <c r="EE216" s="293">
        <v>10.078342945399999</v>
      </c>
      <c r="EF216" s="293">
        <v>11.5178781555</v>
      </c>
      <c r="EG216" s="293">
        <v>11.368516396</v>
      </c>
      <c r="EH216" s="293">
        <v>10.028138416999999</v>
      </c>
      <c r="EI216" s="293">
        <v>11.581017923899999</v>
      </c>
      <c r="EJ216" s="293">
        <v>10.2261374518</v>
      </c>
      <c r="EK216" s="293">
        <v>12.074526229</v>
      </c>
      <c r="EL216" s="295">
        <v>11.542016648200001</v>
      </c>
      <c r="EM216" s="1080">
        <v>11.100910027360001</v>
      </c>
      <c r="EN216" s="1080">
        <v>13.460010395399999</v>
      </c>
      <c r="EO216" s="1080">
        <v>11.702864630040001</v>
      </c>
      <c r="EP216" s="1080">
        <v>11.33023760292</v>
      </c>
      <c r="EQ216" s="1080">
        <v>13.92719101116</v>
      </c>
      <c r="ER216" s="1080">
        <v>13.705957183200001</v>
      </c>
      <c r="ES216" s="1080">
        <v>12.058170215760001</v>
      </c>
      <c r="ET216" s="1080">
        <v>11.533972994280001</v>
      </c>
      <c r="EU216" s="1080">
        <v>11.48394955252</v>
      </c>
      <c r="EV216" s="1080">
        <v>13.6838825104</v>
      </c>
      <c r="EW216" s="1080">
        <v>12.898527870799999</v>
      </c>
      <c r="EX216" s="1340">
        <v>13.96304876424</v>
      </c>
      <c r="EY216" s="1080"/>
      <c r="EZ216" s="1080"/>
      <c r="FA216" s="1080"/>
      <c r="FB216" s="1080"/>
      <c r="FC216" s="1080"/>
      <c r="FD216" s="1080"/>
      <c r="FE216" s="1080"/>
      <c r="FF216" s="1080"/>
      <c r="FG216" s="1080"/>
      <c r="FH216" s="1080"/>
      <c r="FI216" s="1080"/>
      <c r="FJ216" s="1340"/>
      <c r="FK216" s="1080"/>
      <c r="FL216" s="1080"/>
      <c r="FM216" s="1080"/>
      <c r="FN216" s="1080"/>
      <c r="FO216" s="1080"/>
      <c r="FP216" s="1080"/>
      <c r="FQ216" s="293"/>
      <c r="FR216" s="293"/>
      <c r="FS216" s="293"/>
      <c r="FT216" s="293"/>
      <c r="FU216" s="293"/>
      <c r="FV216" s="293"/>
      <c r="FW216" s="293"/>
      <c r="FX216" s="293"/>
      <c r="FY216" s="293"/>
      <c r="FZ216" s="293"/>
      <c r="GA216" s="293"/>
      <c r="GB216" s="293"/>
      <c r="GC216" s="293"/>
      <c r="GD216" s="293"/>
      <c r="GE216" s="293"/>
      <c r="GF216" s="293"/>
      <c r="GG216" s="293"/>
      <c r="GH216" s="293"/>
      <c r="GI216" s="293"/>
      <c r="GJ216" s="293"/>
      <c r="GK216" s="293"/>
      <c r="GL216" s="293"/>
      <c r="GM216" s="293"/>
      <c r="GN216" s="293"/>
      <c r="GO216" s="293"/>
      <c r="GP216" s="293"/>
      <c r="GQ216" s="293"/>
      <c r="GR216" s="293"/>
      <c r="GS216" s="293"/>
      <c r="GT216" s="293"/>
      <c r="GU216" s="293"/>
      <c r="GV216" s="293"/>
      <c r="GW216" s="293"/>
      <c r="GX216" s="293"/>
      <c r="GY216" s="293"/>
      <c r="GZ216" s="293"/>
      <c r="HA216" s="293"/>
      <c r="HB216" s="293"/>
      <c r="HC216" s="293"/>
      <c r="HD216" s="293"/>
      <c r="HE216" s="293"/>
      <c r="HF216" s="293"/>
      <c r="HG216" s="293"/>
      <c r="HH216" s="293"/>
      <c r="HI216" s="293"/>
      <c r="HJ216" s="293"/>
      <c r="HK216" s="293"/>
      <c r="HL216" s="293"/>
      <c r="HM216" s="293"/>
      <c r="HN216" s="293"/>
      <c r="HO216" s="293"/>
      <c r="HP216" s="293"/>
      <c r="HQ216" s="293"/>
      <c r="HR216" s="293"/>
      <c r="HS216" s="293"/>
      <c r="HT216" s="293"/>
      <c r="HU216" s="293"/>
      <c r="HV216" s="293"/>
      <c r="HW216" s="293"/>
      <c r="HX216" s="293"/>
      <c r="HY216" s="293"/>
      <c r="IH216" s="279">
        <f t="shared" si="236"/>
        <v>52.698028425919603</v>
      </c>
      <c r="II216" s="279">
        <f t="shared" si="237"/>
        <v>56.396031371577109</v>
      </c>
      <c r="IJ216" s="323">
        <f t="shared" si="232"/>
        <v>109.09405979749671</v>
      </c>
      <c r="IK216" s="279">
        <f t="shared" si="238"/>
        <v>63.028867612999996</v>
      </c>
      <c r="KT216" s="280"/>
    </row>
    <row r="217" spans="2:306" hidden="1" outlineLevel="1">
      <c r="B217" s="96" t="s">
        <v>338</v>
      </c>
      <c r="D217" s="311" t="s">
        <v>420</v>
      </c>
      <c r="E217" s="293">
        <v>0.49791566999999998</v>
      </c>
      <c r="F217" s="293">
        <v>0.44200630899999999</v>
      </c>
      <c r="G217" s="293">
        <v>0.51042233199999998</v>
      </c>
      <c r="H217" s="293">
        <v>0.55690909199999994</v>
      </c>
      <c r="I217" s="293">
        <v>0.42698375900000002</v>
      </c>
      <c r="J217" s="293">
        <v>0.43914651900000001</v>
      </c>
      <c r="K217" s="293">
        <v>0.47559663299999999</v>
      </c>
      <c r="L217" s="293">
        <v>0.72857648800000008</v>
      </c>
      <c r="M217" s="293">
        <v>0.45083933900000001</v>
      </c>
      <c r="N217" s="293">
        <v>0.64295382700000003</v>
      </c>
      <c r="O217" s="293">
        <v>0.71120613399999999</v>
      </c>
      <c r="P217" s="293">
        <v>0.47689050700000002</v>
      </c>
      <c r="Q217" s="293">
        <v>0.48987784299999998</v>
      </c>
      <c r="R217" s="293">
        <v>0.568371391</v>
      </c>
      <c r="S217" s="293">
        <v>0.62521907199999993</v>
      </c>
      <c r="T217" s="293">
        <v>0.64313113</v>
      </c>
      <c r="U217" s="293">
        <v>0.52495512900000008</v>
      </c>
      <c r="V217" s="293">
        <v>0.54976124000000004</v>
      </c>
      <c r="W217" s="293">
        <v>0.56980924399999999</v>
      </c>
      <c r="X217" s="293">
        <v>0.64142504199999995</v>
      </c>
      <c r="Y217" s="293">
        <v>0.68155461000000006</v>
      </c>
      <c r="Z217" s="293">
        <v>0.67518260399999996</v>
      </c>
      <c r="AA217" s="293">
        <v>0.70120011799999993</v>
      </c>
      <c r="AB217" s="293">
        <v>0.70752664300000001</v>
      </c>
      <c r="AC217" s="293">
        <v>0.61122333100000004</v>
      </c>
      <c r="AD217" s="293">
        <v>0.59264962300000001</v>
      </c>
      <c r="AE217" s="293">
        <v>0.73443156999999992</v>
      </c>
      <c r="AF217" s="293">
        <v>0.64244508599999994</v>
      </c>
      <c r="AG217" s="293">
        <v>0.56781628500000003</v>
      </c>
      <c r="AH217" s="293">
        <v>0.61917653099999992</v>
      </c>
      <c r="AI217" s="293">
        <v>0.63300367200000007</v>
      </c>
      <c r="AJ217" s="293">
        <v>0.96606690800000006</v>
      </c>
      <c r="AK217" s="293">
        <v>0.95661735000000003</v>
      </c>
      <c r="AL217" s="293">
        <v>1.2810830440000001</v>
      </c>
      <c r="AM217" s="293">
        <v>1.1112622109999999</v>
      </c>
      <c r="AN217" s="293">
        <v>1.117531574</v>
      </c>
      <c r="AO217" s="293">
        <v>1.0371172710000001</v>
      </c>
      <c r="AP217" s="293">
        <v>1.1000962519999999</v>
      </c>
      <c r="AQ217" s="293">
        <v>1.148196328</v>
      </c>
      <c r="AR217" s="293">
        <v>1.0785727679999999</v>
      </c>
      <c r="AS217" s="293">
        <v>1.082693023</v>
      </c>
      <c r="AT217" s="293">
        <v>1.289751772</v>
      </c>
      <c r="AU217" s="293">
        <v>1.012765224</v>
      </c>
      <c r="AV217" s="293">
        <v>1.2707604369999999</v>
      </c>
      <c r="AW217" s="293">
        <v>1.3383013519450802</v>
      </c>
      <c r="AX217" s="293">
        <v>1.16251939263108</v>
      </c>
      <c r="AY217" s="293">
        <v>1.9071989642179998</v>
      </c>
      <c r="AZ217" s="293">
        <v>1.4149711079159999</v>
      </c>
      <c r="BA217" s="293">
        <v>1.5846556833136001</v>
      </c>
      <c r="BB217" s="293">
        <v>1.0472778182</v>
      </c>
      <c r="BC217" s="293">
        <v>1.45509477725</v>
      </c>
      <c r="BD217" s="293">
        <v>1.0988167422216</v>
      </c>
      <c r="BE217" s="293">
        <v>1.5396962732063704</v>
      </c>
      <c r="BF217" s="293">
        <v>1.7943395398980002</v>
      </c>
      <c r="BG217" s="293">
        <v>1.2171819070658225</v>
      </c>
      <c r="BH217" s="293">
        <v>1.6267583445915532</v>
      </c>
      <c r="BI217" s="293">
        <v>1.318814910889486</v>
      </c>
      <c r="BJ217" s="293">
        <v>1.3396010998952927</v>
      </c>
      <c r="BK217" s="293">
        <v>1.4919876956492435</v>
      </c>
      <c r="BL217" s="293">
        <v>1.7050419736488096</v>
      </c>
      <c r="BM217" s="293">
        <v>1.5254219147709966</v>
      </c>
      <c r="BN217" s="293">
        <v>1.5492383628302304</v>
      </c>
      <c r="BO217" s="293">
        <v>1.7446721241936403</v>
      </c>
      <c r="BP217" s="293">
        <v>1.3767693720119418</v>
      </c>
      <c r="BQ217" s="293">
        <v>1.8210153277058536</v>
      </c>
      <c r="BR217" s="293">
        <v>1.6703414440604034</v>
      </c>
      <c r="BS217" s="293">
        <v>1.7215646491039862</v>
      </c>
      <c r="BT217" s="293">
        <v>1.8661818841393014</v>
      </c>
      <c r="BU217" s="293">
        <v>1.8288415296314879</v>
      </c>
      <c r="BV217" s="293">
        <v>2.0123911977473763</v>
      </c>
      <c r="BW217" s="293">
        <v>1.7180797921588167</v>
      </c>
      <c r="BX217" s="293">
        <v>1.7533135903551735</v>
      </c>
      <c r="BY217" s="293">
        <v>1.7432182789663309</v>
      </c>
      <c r="BZ217" s="293">
        <v>1.5864968863984323</v>
      </c>
      <c r="CA217" s="293">
        <v>1.6189843254302851</v>
      </c>
      <c r="CB217" s="293">
        <v>2.2510697330064624</v>
      </c>
      <c r="CC217" s="293">
        <v>1.7684114761229439</v>
      </c>
      <c r="CD217" s="293">
        <v>0</v>
      </c>
      <c r="CE217" s="294">
        <v>0</v>
      </c>
      <c r="CF217" s="293">
        <v>0</v>
      </c>
      <c r="CG217" s="293">
        <v>0</v>
      </c>
      <c r="CH217" s="293">
        <v>0</v>
      </c>
      <c r="CI217" s="293">
        <v>0</v>
      </c>
      <c r="CJ217" s="293">
        <v>0</v>
      </c>
      <c r="CK217" s="293">
        <v>0</v>
      </c>
      <c r="CL217" s="293">
        <v>0</v>
      </c>
      <c r="CM217" s="293">
        <v>0</v>
      </c>
      <c r="CN217" s="293">
        <v>0</v>
      </c>
      <c r="CO217" s="293">
        <v>0</v>
      </c>
      <c r="CP217" s="295">
        <v>0</v>
      </c>
      <c r="CQ217" s="293">
        <v>0.69046273699999994</v>
      </c>
      <c r="CR217" s="293">
        <v>0.33372785900000002</v>
      </c>
      <c r="CS217" s="293">
        <v>1.6745578539999999</v>
      </c>
      <c r="CT217" s="293">
        <v>0.42409683999999997</v>
      </c>
      <c r="CU217" s="293">
        <v>0.43759795600000001</v>
      </c>
      <c r="CV217" s="293">
        <v>0.89834770900000005</v>
      </c>
      <c r="CW217" s="293">
        <v>0.87849677100000001</v>
      </c>
      <c r="CX217" s="293">
        <v>0.28420994599999999</v>
      </c>
      <c r="CY217" s="293">
        <v>0.28015272299999999</v>
      </c>
      <c r="CZ217" s="293">
        <v>0.73828567099999998</v>
      </c>
      <c r="DA217" s="293">
        <v>2.0817381610000001</v>
      </c>
      <c r="DB217" s="1288">
        <v>0.64485734500000003</v>
      </c>
      <c r="DC217" s="293">
        <v>0</v>
      </c>
      <c r="DD217" s="293">
        <v>0</v>
      </c>
      <c r="DE217" s="293">
        <v>0</v>
      </c>
      <c r="DF217" s="293">
        <v>0</v>
      </c>
      <c r="DG217" s="293">
        <v>0</v>
      </c>
      <c r="DH217" s="293">
        <v>0</v>
      </c>
      <c r="DI217" s="293">
        <v>0</v>
      </c>
      <c r="DJ217" s="293">
        <v>0</v>
      </c>
      <c r="DK217" s="293">
        <v>0</v>
      </c>
      <c r="DL217" s="293">
        <v>0</v>
      </c>
      <c r="DM217" s="293">
        <v>0</v>
      </c>
      <c r="DN217" s="295">
        <v>0</v>
      </c>
      <c r="DO217" s="293">
        <v>0</v>
      </c>
      <c r="DP217" s="293">
        <v>0</v>
      </c>
      <c r="DQ217" s="293">
        <v>0</v>
      </c>
      <c r="DR217" s="293">
        <v>0</v>
      </c>
      <c r="DS217" s="293">
        <v>0</v>
      </c>
      <c r="DT217" s="293">
        <v>0</v>
      </c>
      <c r="DU217" s="293">
        <v>0</v>
      </c>
      <c r="DV217" s="293">
        <v>0</v>
      </c>
      <c r="DW217" s="293">
        <v>0</v>
      </c>
      <c r="DX217" s="293">
        <v>0</v>
      </c>
      <c r="DY217" s="293">
        <v>0</v>
      </c>
      <c r="DZ217" s="295">
        <v>0</v>
      </c>
      <c r="EA217" s="293">
        <v>0</v>
      </c>
      <c r="EB217" s="293">
        <v>0</v>
      </c>
      <c r="EC217" s="293">
        <v>0</v>
      </c>
      <c r="ED217" s="293">
        <v>0</v>
      </c>
      <c r="EE217" s="293">
        <v>0</v>
      </c>
      <c r="EF217" s="293">
        <v>0</v>
      </c>
      <c r="EG217" s="293">
        <v>0</v>
      </c>
      <c r="EH217" s="293">
        <v>0</v>
      </c>
      <c r="EI217" s="293">
        <v>0</v>
      </c>
      <c r="EJ217" s="293">
        <v>0</v>
      </c>
      <c r="EK217" s="293">
        <v>0</v>
      </c>
      <c r="EL217" s="295">
        <v>0</v>
      </c>
      <c r="EM217" s="1080">
        <v>0</v>
      </c>
      <c r="EN217" s="1080">
        <v>0</v>
      </c>
      <c r="EO217" s="1080">
        <v>0</v>
      </c>
      <c r="EP217" s="1080">
        <v>0</v>
      </c>
      <c r="EQ217" s="1080">
        <v>0</v>
      </c>
      <c r="ER217" s="1080">
        <v>0</v>
      </c>
      <c r="ES217" s="1080">
        <v>0</v>
      </c>
      <c r="ET217" s="1080">
        <v>0</v>
      </c>
      <c r="EU217" s="1080">
        <v>0</v>
      </c>
      <c r="EV217" s="1080">
        <v>0</v>
      </c>
      <c r="EW217" s="1080">
        <v>0</v>
      </c>
      <c r="EX217" s="1340">
        <v>0</v>
      </c>
      <c r="EY217" s="1080"/>
      <c r="EZ217" s="1080"/>
      <c r="FA217" s="1080"/>
      <c r="FB217" s="1080"/>
      <c r="FC217" s="1080"/>
      <c r="FD217" s="1080"/>
      <c r="FE217" s="1080"/>
      <c r="FF217" s="1080"/>
      <c r="FG217" s="1080"/>
      <c r="FH217" s="1080"/>
      <c r="FI217" s="1080"/>
      <c r="FJ217" s="1340"/>
      <c r="FK217" s="1080"/>
      <c r="FL217" s="1080"/>
      <c r="FM217" s="1080"/>
      <c r="FN217" s="1080"/>
      <c r="FO217" s="1080"/>
      <c r="FP217" s="1080"/>
      <c r="FQ217" s="293"/>
      <c r="FR217" s="293"/>
      <c r="FS217" s="293"/>
      <c r="FT217" s="293"/>
      <c r="FU217" s="293"/>
      <c r="FV217" s="293"/>
      <c r="FW217" s="293"/>
      <c r="FX217" s="293"/>
      <c r="FY217" s="293"/>
      <c r="FZ217" s="293"/>
      <c r="GA217" s="293"/>
      <c r="GB217" s="293"/>
      <c r="GC217" s="293"/>
      <c r="GD217" s="293"/>
      <c r="GE217" s="293"/>
      <c r="GF217" s="293"/>
      <c r="GG217" s="293"/>
      <c r="GH217" s="293"/>
      <c r="GI217" s="293"/>
      <c r="GJ217" s="293"/>
      <c r="GK217" s="293"/>
      <c r="GL217" s="293"/>
      <c r="GM217" s="293"/>
      <c r="GN217" s="293"/>
      <c r="GO217" s="293"/>
      <c r="GP217" s="293"/>
      <c r="GQ217" s="293"/>
      <c r="GR217" s="293"/>
      <c r="GS217" s="293"/>
      <c r="GT217" s="293"/>
      <c r="GU217" s="293"/>
      <c r="GV217" s="293"/>
      <c r="GW217" s="293"/>
      <c r="GX217" s="293"/>
      <c r="GY217" s="293"/>
      <c r="GZ217" s="293"/>
      <c r="HA217" s="293"/>
      <c r="HB217" s="293"/>
      <c r="HC217" s="293"/>
      <c r="HD217" s="293"/>
      <c r="HE217" s="293"/>
      <c r="HF217" s="293"/>
      <c r="HG217" s="293"/>
      <c r="HH217" s="293"/>
      <c r="HI217" s="293"/>
      <c r="HJ217" s="293"/>
      <c r="HK217" s="293"/>
      <c r="HL217" s="293"/>
      <c r="HM217" s="293"/>
      <c r="HN217" s="293"/>
      <c r="HO217" s="293"/>
      <c r="HP217" s="293"/>
      <c r="HQ217" s="293"/>
      <c r="HR217" s="293"/>
      <c r="HS217" s="293"/>
      <c r="HT217" s="293"/>
      <c r="HU217" s="293"/>
      <c r="HV217" s="293"/>
      <c r="HW217" s="293"/>
      <c r="HX217" s="293"/>
      <c r="HY217" s="293"/>
      <c r="IH217" s="279">
        <f t="shared" si="236"/>
        <v>0</v>
      </c>
      <c r="II217" s="279">
        <f t="shared" si="237"/>
        <v>0</v>
      </c>
      <c r="IJ217" s="323">
        <f t="shared" si="232"/>
        <v>0</v>
      </c>
      <c r="IK217" s="279">
        <f t="shared" si="238"/>
        <v>0</v>
      </c>
      <c r="KT217" s="280"/>
    </row>
    <row r="218" spans="2:306" hidden="1" outlineLevel="1">
      <c r="B218" s="96" t="s">
        <v>338</v>
      </c>
      <c r="D218" s="309" t="s">
        <v>421</v>
      </c>
      <c r="E218" s="293">
        <v>2.2592518260000003</v>
      </c>
      <c r="F218" s="293">
        <v>2.014925458</v>
      </c>
      <c r="G218" s="293">
        <v>2.6956078455999997</v>
      </c>
      <c r="H218" s="293">
        <v>3.0237900077999997</v>
      </c>
      <c r="I218" s="293">
        <v>2.7295611709999998</v>
      </c>
      <c r="J218" s="293">
        <v>2.6869124457</v>
      </c>
      <c r="K218" s="293">
        <v>2.3318610402999997</v>
      </c>
      <c r="L218" s="293">
        <v>3.2033428023999999</v>
      </c>
      <c r="M218" s="293">
        <v>2.4158126736000001</v>
      </c>
      <c r="N218" s="293">
        <v>2.4991312107999999</v>
      </c>
      <c r="O218" s="293">
        <v>2.5836144210000005</v>
      </c>
      <c r="P218" s="293">
        <v>2.5763770176</v>
      </c>
      <c r="Q218" s="293">
        <v>2.6505820039999999</v>
      </c>
      <c r="R218" s="293">
        <v>2.6575226879999998</v>
      </c>
      <c r="S218" s="293">
        <v>3.5901670350000003</v>
      </c>
      <c r="T218" s="293">
        <v>3.0041761019999997</v>
      </c>
      <c r="U218" s="293">
        <v>3.6264561880000001</v>
      </c>
      <c r="V218" s="293">
        <v>3.9656708439999999</v>
      </c>
      <c r="W218" s="293">
        <v>3.5012916330000001</v>
      </c>
      <c r="X218" s="293">
        <v>3.6986789559999997</v>
      </c>
      <c r="Y218" s="293">
        <v>4.0191855140000001</v>
      </c>
      <c r="Z218" s="293">
        <v>5.1095316670000006</v>
      </c>
      <c r="AA218" s="293">
        <v>4.2018960009999997</v>
      </c>
      <c r="AB218" s="293">
        <v>6.1066210719999994</v>
      </c>
      <c r="AC218" s="293">
        <v>3.7671264120999997</v>
      </c>
      <c r="AD218" s="293">
        <v>4.6877666362000001</v>
      </c>
      <c r="AE218" s="293">
        <v>5.0816161306000005</v>
      </c>
      <c r="AF218" s="293">
        <v>4.4222002749999998</v>
      </c>
      <c r="AG218" s="293">
        <v>3.9024345846999995</v>
      </c>
      <c r="AH218" s="293">
        <v>4.7647870801999996</v>
      </c>
      <c r="AI218" s="293">
        <v>2.9568654295000001</v>
      </c>
      <c r="AJ218" s="293">
        <v>2.7410340171999996</v>
      </c>
      <c r="AK218" s="293">
        <v>1.9899647599999999</v>
      </c>
      <c r="AL218" s="293">
        <v>2.9417247686999999</v>
      </c>
      <c r="AM218" s="293">
        <v>3.1583616149999996</v>
      </c>
      <c r="AN218" s="293">
        <v>2.8762059641</v>
      </c>
      <c r="AO218" s="293">
        <v>2.1540306920000001</v>
      </c>
      <c r="AP218" s="293">
        <v>2.1914707339999997</v>
      </c>
      <c r="AQ218" s="293">
        <v>2.5383525719999995</v>
      </c>
      <c r="AR218" s="293">
        <v>2.282658327</v>
      </c>
      <c r="AS218" s="293">
        <v>2.1364757680000004</v>
      </c>
      <c r="AT218" s="293">
        <v>2.3181811090000002</v>
      </c>
      <c r="AU218" s="293">
        <v>2.1699009770000002</v>
      </c>
      <c r="AV218" s="293">
        <v>2.1494145809999998</v>
      </c>
      <c r="AW218" s="293">
        <v>2.3164283490000002</v>
      </c>
      <c r="AX218" s="293">
        <v>2.3008920069999999</v>
      </c>
      <c r="AY218" s="293">
        <v>2.5809758239999998</v>
      </c>
      <c r="AZ218" s="293">
        <v>3.3310534900000004</v>
      </c>
      <c r="BA218" s="293">
        <v>2.6638330409999997</v>
      </c>
      <c r="BB218" s="293">
        <v>2.3600145189999999</v>
      </c>
      <c r="BC218" s="293">
        <v>2.6475652410000006</v>
      </c>
      <c r="BD218" s="293">
        <v>2.0567703370000001</v>
      </c>
      <c r="BE218" s="293">
        <v>2.5948458479999998</v>
      </c>
      <c r="BF218" s="293">
        <v>2.6278005700000002</v>
      </c>
      <c r="BG218" s="293">
        <v>2.6107166510000002</v>
      </c>
      <c r="BH218" s="293">
        <v>3.091951865</v>
      </c>
      <c r="BI218" s="293">
        <v>2.9404031380000002</v>
      </c>
      <c r="BJ218" s="293">
        <v>2.667449639</v>
      </c>
      <c r="BK218" s="293">
        <v>2.9994482310000001</v>
      </c>
      <c r="BL218" s="293">
        <v>3.563739006</v>
      </c>
      <c r="BM218" s="293">
        <v>3.0607413899999996</v>
      </c>
      <c r="BN218" s="293">
        <v>3.2903629670000001</v>
      </c>
      <c r="BO218" s="293">
        <v>3.6684038210000001</v>
      </c>
      <c r="BP218" s="293">
        <v>3.3176136920000006</v>
      </c>
      <c r="BQ218" s="293">
        <v>4.4489102969999994</v>
      </c>
      <c r="BR218" s="293">
        <v>3.099957109</v>
      </c>
      <c r="BS218" s="293">
        <v>5.6652627510000002</v>
      </c>
      <c r="BT218" s="293">
        <v>5.5167007180000001</v>
      </c>
      <c r="BU218" s="293">
        <v>3.7851631840000004</v>
      </c>
      <c r="BV218" s="293">
        <v>3.843894852</v>
      </c>
      <c r="BW218" s="293">
        <v>3.7201749240000002</v>
      </c>
      <c r="BX218" s="293">
        <v>3.76540696</v>
      </c>
      <c r="BY218" s="293">
        <v>4.0547086649999997</v>
      </c>
      <c r="BZ218" s="293">
        <v>3.2822493419999996</v>
      </c>
      <c r="CA218" s="293">
        <v>3.21077587</v>
      </c>
      <c r="CB218" s="293">
        <v>3.2065292360000002</v>
      </c>
      <c r="CC218" s="293">
        <v>3.6739556950000001</v>
      </c>
      <c r="CD218" s="293">
        <v>2.4020269004188073</v>
      </c>
      <c r="CE218" s="294">
        <v>1.9337765021972675</v>
      </c>
      <c r="CF218" s="293">
        <v>1.8288542943007851</v>
      </c>
      <c r="CG218" s="293">
        <v>2.5520020298934396</v>
      </c>
      <c r="CH218" s="293">
        <v>2.2096294350452252</v>
      </c>
      <c r="CI218" s="293">
        <v>1.8083133546247239</v>
      </c>
      <c r="CJ218" s="293">
        <v>2.1623823208938009</v>
      </c>
      <c r="CK218" s="293">
        <v>2.0042194830250453</v>
      </c>
      <c r="CL218" s="293">
        <v>1.9624436171630721</v>
      </c>
      <c r="CM218" s="293">
        <v>1.9815824134642153</v>
      </c>
      <c r="CN218" s="293">
        <v>2.0239803312533597</v>
      </c>
      <c r="CO218" s="293">
        <v>1.8273638328576212</v>
      </c>
      <c r="CP218" s="295">
        <v>2.088726884605653</v>
      </c>
      <c r="CQ218" s="293">
        <v>1.9354408506233358</v>
      </c>
      <c r="CR218" s="293">
        <v>2.3671327554552253</v>
      </c>
      <c r="CS218" s="293">
        <v>2.4923512253225213</v>
      </c>
      <c r="CT218" s="293">
        <v>2.0451090547822162</v>
      </c>
      <c r="CU218" s="293">
        <v>1.9837426961943678</v>
      </c>
      <c r="CV218" s="293">
        <v>2.4548291674151379</v>
      </c>
      <c r="CW218" s="293">
        <v>1.9191719123825999</v>
      </c>
      <c r="CX218" s="293">
        <v>1.8696045928680809</v>
      </c>
      <c r="CY218" s="293">
        <v>2.0711762329117911</v>
      </c>
      <c r="CZ218" s="293">
        <v>2.1223709913900968</v>
      </c>
      <c r="DA218" s="293">
        <v>2.0173544903026883</v>
      </c>
      <c r="DB218" s="1288">
        <v>2.5874132982511866</v>
      </c>
      <c r="DC218" s="293">
        <v>2.5696098597798605</v>
      </c>
      <c r="DD218" s="293">
        <v>2.9128867376545529</v>
      </c>
      <c r="DE218" s="293">
        <v>2.8454542336511399</v>
      </c>
      <c r="DF218" s="293">
        <v>2.8844728096049548</v>
      </c>
      <c r="DG218" s="293">
        <v>2.7422700434726845</v>
      </c>
      <c r="DH218" s="293">
        <v>2.8678633868368055</v>
      </c>
      <c r="DI218" s="293">
        <v>2.7297334062201397</v>
      </c>
      <c r="DJ218" s="293">
        <v>2.7706360223454469</v>
      </c>
      <c r="DK218" s="293">
        <v>3.6775720623488604</v>
      </c>
      <c r="DL218" s="293">
        <v>3.5609213413950451</v>
      </c>
      <c r="DM218" s="293">
        <v>3.7136874025273157</v>
      </c>
      <c r="DN218" s="295">
        <v>4.0063761751631946</v>
      </c>
      <c r="DO218" s="293">
        <v>3.4702866769999998</v>
      </c>
      <c r="DP218" s="293">
        <v>3.900070419</v>
      </c>
      <c r="DQ218" s="293">
        <v>3.6639423350000002</v>
      </c>
      <c r="DR218" s="293">
        <v>3.871266103</v>
      </c>
      <c r="DS218" s="293">
        <v>3.87617404</v>
      </c>
      <c r="DT218" s="293">
        <v>4.0453988570000003</v>
      </c>
      <c r="DU218" s="293">
        <v>3.1836985320000002</v>
      </c>
      <c r="DV218" s="293">
        <v>3.2551214669999999</v>
      </c>
      <c r="DW218" s="293">
        <v>3.9352879110000001</v>
      </c>
      <c r="DX218" s="293">
        <v>3.494468082</v>
      </c>
      <c r="DY218" s="293">
        <v>3.7936700440000002</v>
      </c>
      <c r="DZ218" s="295">
        <v>4.078106569</v>
      </c>
      <c r="EA218" s="293">
        <v>3.7409128470000002</v>
      </c>
      <c r="EB218" s="293">
        <v>4.209405233</v>
      </c>
      <c r="EC218" s="293">
        <v>3.8614450200000001</v>
      </c>
      <c r="ED218" s="293">
        <v>4.0301945545999995</v>
      </c>
      <c r="EE218" s="293">
        <v>3.8320627838600001</v>
      </c>
      <c r="EF218" s="293">
        <v>4.2718638266299997</v>
      </c>
      <c r="EG218" s="293">
        <v>3.7337713314499998</v>
      </c>
      <c r="EH218" s="293">
        <v>3.7953239009700002</v>
      </c>
      <c r="EI218" s="293">
        <v>4.0891613230599999</v>
      </c>
      <c r="EJ218" s="293">
        <v>3.61801710694</v>
      </c>
      <c r="EK218" s="293">
        <v>4.1314867500100032</v>
      </c>
      <c r="EL218" s="295">
        <v>4.2038020090600003</v>
      </c>
      <c r="EM218" s="1080">
        <v>4.028536291</v>
      </c>
      <c r="EN218" s="1080">
        <v>4.6679601249999996</v>
      </c>
      <c r="EO218" s="1080">
        <v>4.3319909279999997</v>
      </c>
      <c r="EP218" s="1080">
        <v>3.8092113257766673</v>
      </c>
      <c r="EQ218" s="1080">
        <v>3.9850165277766672</v>
      </c>
      <c r="ER218" s="1080">
        <v>4.4106870967766669</v>
      </c>
      <c r="ES218" s="1080">
        <v>3.6190116130000001</v>
      </c>
      <c r="ET218" s="1080">
        <v>4.2930604560000001</v>
      </c>
      <c r="EU218" s="1080">
        <v>4.3362715070000002</v>
      </c>
      <c r="EV218" s="1080">
        <v>4.1400936179999999</v>
      </c>
      <c r="EW218" s="1080">
        <v>4.9625228730000002</v>
      </c>
      <c r="EX218" s="1340">
        <v>4.1354308376700004</v>
      </c>
      <c r="EY218" s="1080"/>
      <c r="EZ218" s="1080"/>
      <c r="FA218" s="1080"/>
      <c r="FB218" s="1080"/>
      <c r="FC218" s="1080"/>
      <c r="FD218" s="1080"/>
      <c r="FE218" s="1080"/>
      <c r="FF218" s="1080"/>
      <c r="FG218" s="1080"/>
      <c r="FH218" s="1080"/>
      <c r="FI218" s="1080"/>
      <c r="FJ218" s="1340"/>
      <c r="FK218" s="1080"/>
      <c r="FL218" s="1080"/>
      <c r="FM218" s="1080"/>
      <c r="FN218" s="1080"/>
      <c r="FO218" s="1080"/>
      <c r="FP218" s="1080"/>
      <c r="FQ218" s="293"/>
      <c r="FR218" s="293"/>
      <c r="FS218" s="293"/>
      <c r="FT218" s="293"/>
      <c r="FU218" s="293"/>
      <c r="FV218" s="293"/>
      <c r="FW218" s="293"/>
      <c r="FX218" s="293"/>
      <c r="FY218" s="293"/>
      <c r="FZ218" s="293"/>
      <c r="GA218" s="293"/>
      <c r="GB218" s="293"/>
      <c r="GC218" s="293"/>
      <c r="GD218" s="293"/>
      <c r="GE218" s="293"/>
      <c r="GF218" s="293"/>
      <c r="GG218" s="293"/>
      <c r="GH218" s="293"/>
      <c r="GI218" s="293"/>
      <c r="GJ218" s="293"/>
      <c r="GK218" s="293"/>
      <c r="GL218" s="293"/>
      <c r="GM218" s="293"/>
      <c r="GN218" s="293"/>
      <c r="GO218" s="293"/>
      <c r="GP218" s="293"/>
      <c r="GQ218" s="293"/>
      <c r="GR218" s="293"/>
      <c r="GS218" s="293"/>
      <c r="GT218" s="293"/>
      <c r="GU218" s="293"/>
      <c r="GV218" s="293"/>
      <c r="GW218" s="293"/>
      <c r="GX218" s="293"/>
      <c r="GY218" s="293"/>
      <c r="GZ218" s="293"/>
      <c r="HA218" s="293"/>
      <c r="HB218" s="293"/>
      <c r="HC218" s="293"/>
      <c r="HD218" s="293"/>
      <c r="HE218" s="293"/>
      <c r="HF218" s="293"/>
      <c r="HG218" s="293"/>
      <c r="HH218" s="293"/>
      <c r="HI218" s="293"/>
      <c r="HJ218" s="293"/>
      <c r="HK218" s="293"/>
      <c r="HL218" s="293"/>
      <c r="HM218" s="293"/>
      <c r="HN218" s="293"/>
      <c r="HO218" s="293"/>
      <c r="HP218" s="293"/>
      <c r="HQ218" s="293"/>
      <c r="HR218" s="293"/>
      <c r="HS218" s="293"/>
      <c r="HT218" s="293"/>
      <c r="HU218" s="293"/>
      <c r="HV218" s="293"/>
      <c r="HW218" s="293"/>
      <c r="HX218" s="293"/>
      <c r="HY218" s="293"/>
      <c r="IH218" s="279">
        <f t="shared" si="236"/>
        <v>16.822557070999999</v>
      </c>
      <c r="II218" s="279">
        <f t="shared" si="237"/>
        <v>20.458926410000004</v>
      </c>
      <c r="IJ218" s="323">
        <f t="shared" si="232"/>
        <v>37.281483481000002</v>
      </c>
      <c r="IK218" s="279">
        <f t="shared" si="238"/>
        <v>22.827138431000002</v>
      </c>
      <c r="IL218" s="279">
        <f>SUM(DU218:DZ218)</f>
        <v>21.740352604999998</v>
      </c>
      <c r="KT218" s="280"/>
    </row>
    <row r="219" spans="2:306" hidden="1" outlineLevel="1">
      <c r="B219" s="96" t="s">
        <v>338</v>
      </c>
      <c r="D219" s="308" t="s">
        <v>422</v>
      </c>
      <c r="E219" s="293">
        <v>0</v>
      </c>
      <c r="F219" s="293">
        <v>0</v>
      </c>
      <c r="G219" s="293">
        <v>0</v>
      </c>
      <c r="H219" s="293">
        <v>0</v>
      </c>
      <c r="I219" s="293">
        <v>0</v>
      </c>
      <c r="J219" s="293">
        <v>0</v>
      </c>
      <c r="K219" s="293">
        <v>0</v>
      </c>
      <c r="L219" s="293">
        <v>0</v>
      </c>
      <c r="M219" s="293">
        <v>0</v>
      </c>
      <c r="N219" s="293">
        <v>0</v>
      </c>
      <c r="O219" s="293">
        <v>0</v>
      </c>
      <c r="P219" s="293">
        <v>0</v>
      </c>
      <c r="Q219" s="293">
        <v>0</v>
      </c>
      <c r="R219" s="293">
        <v>0</v>
      </c>
      <c r="S219" s="293">
        <v>0</v>
      </c>
      <c r="T219" s="293">
        <v>0</v>
      </c>
      <c r="U219" s="293">
        <v>0</v>
      </c>
      <c r="V219" s="293">
        <v>0</v>
      </c>
      <c r="W219" s="293">
        <v>0</v>
      </c>
      <c r="X219" s="293">
        <v>0</v>
      </c>
      <c r="Y219" s="293">
        <v>0</v>
      </c>
      <c r="Z219" s="293">
        <v>0</v>
      </c>
      <c r="AA219" s="293">
        <v>0</v>
      </c>
      <c r="AB219" s="293">
        <v>0</v>
      </c>
      <c r="AC219" s="293">
        <v>0</v>
      </c>
      <c r="AD219" s="293">
        <v>5.4048999999999997E-5</v>
      </c>
      <c r="AE219" s="293">
        <v>0</v>
      </c>
      <c r="AF219" s="293">
        <v>0</v>
      </c>
      <c r="AG219" s="293">
        <v>0</v>
      </c>
      <c r="AH219" s="293">
        <v>0</v>
      </c>
      <c r="AI219" s="293">
        <v>1.5581505000000001E-2</v>
      </c>
      <c r="AJ219" s="293">
        <v>0</v>
      </c>
      <c r="AK219" s="293">
        <v>0</v>
      </c>
      <c r="AL219" s="293">
        <v>1.456265E-3</v>
      </c>
      <c r="AM219" s="293">
        <v>0</v>
      </c>
      <c r="AN219" s="293">
        <v>1.5581505000000001E-2</v>
      </c>
      <c r="AO219" s="293">
        <v>0</v>
      </c>
      <c r="AP219" s="293">
        <v>0</v>
      </c>
      <c r="AQ219" s="293">
        <v>0</v>
      </c>
      <c r="AR219" s="293">
        <v>0</v>
      </c>
      <c r="AS219" s="293">
        <v>0</v>
      </c>
      <c r="AT219" s="293">
        <v>0</v>
      </c>
      <c r="AU219" s="293">
        <v>0</v>
      </c>
      <c r="AV219" s="293">
        <v>0</v>
      </c>
      <c r="AW219" s="293">
        <v>0</v>
      </c>
      <c r="AX219" s="293">
        <v>0</v>
      </c>
      <c r="AY219" s="293">
        <v>0</v>
      </c>
      <c r="AZ219" s="293">
        <v>0</v>
      </c>
      <c r="BA219" s="293">
        <v>0</v>
      </c>
      <c r="BB219" s="293">
        <v>0</v>
      </c>
      <c r="BC219" s="293">
        <v>0</v>
      </c>
      <c r="BD219" s="293">
        <v>0</v>
      </c>
      <c r="BE219" s="293">
        <v>0</v>
      </c>
      <c r="BF219" s="293">
        <v>0</v>
      </c>
      <c r="BG219" s="293">
        <v>0</v>
      </c>
      <c r="BH219" s="293">
        <v>0</v>
      </c>
      <c r="BI219" s="293">
        <v>0</v>
      </c>
      <c r="BJ219" s="293">
        <v>0</v>
      </c>
      <c r="BK219" s="293">
        <v>0</v>
      </c>
      <c r="BL219" s="293">
        <v>0</v>
      </c>
      <c r="BM219" s="293">
        <v>0</v>
      </c>
      <c r="BN219" s="293">
        <v>0</v>
      </c>
      <c r="BO219" s="293">
        <v>0</v>
      </c>
      <c r="BP219" s="293">
        <v>0</v>
      </c>
      <c r="BQ219" s="293">
        <v>0</v>
      </c>
      <c r="BR219" s="293">
        <v>0</v>
      </c>
      <c r="BS219" s="293">
        <v>0</v>
      </c>
      <c r="BT219" s="293">
        <v>0</v>
      </c>
      <c r="BU219" s="293">
        <v>0</v>
      </c>
      <c r="BV219" s="293">
        <v>0</v>
      </c>
      <c r="BW219" s="293">
        <v>0</v>
      </c>
      <c r="BX219" s="293">
        <v>0</v>
      </c>
      <c r="BY219" s="293">
        <v>0</v>
      </c>
      <c r="BZ219" s="293">
        <v>0</v>
      </c>
      <c r="CA219" s="293">
        <v>0</v>
      </c>
      <c r="CB219" s="293">
        <v>0</v>
      </c>
      <c r="CC219" s="293">
        <v>0</v>
      </c>
      <c r="CD219" s="293">
        <v>4.4572365920000001</v>
      </c>
      <c r="CE219" s="294">
        <v>3.9393244790000002</v>
      </c>
      <c r="CF219" s="293">
        <v>3.8202676950000001</v>
      </c>
      <c r="CG219" s="293">
        <v>4.3750961170000009</v>
      </c>
      <c r="CH219" s="293">
        <v>4.9460916490000004</v>
      </c>
      <c r="CI219" s="293">
        <v>4.5951193520000002</v>
      </c>
      <c r="CJ219" s="293">
        <v>4.8533161430000007</v>
      </c>
      <c r="CK219" s="293">
        <v>5.2829806130000003</v>
      </c>
      <c r="CL219" s="293">
        <v>4.6631892639999997</v>
      </c>
      <c r="CM219" s="293">
        <v>4.853641917</v>
      </c>
      <c r="CN219" s="293">
        <v>4.6720987699999998</v>
      </c>
      <c r="CO219" s="293">
        <v>5.1804120569999998</v>
      </c>
      <c r="CP219" s="295">
        <v>6.6748379409999998</v>
      </c>
      <c r="CQ219" s="293">
        <v>4.4563394450000002</v>
      </c>
      <c r="CR219" s="293">
        <v>4.3919501279999995</v>
      </c>
      <c r="CS219" s="293">
        <v>5.0807098110000002</v>
      </c>
      <c r="CT219" s="293">
        <v>4.5882690229999996</v>
      </c>
      <c r="CU219" s="293">
        <v>5.1776039040000006</v>
      </c>
      <c r="CV219" s="293">
        <v>5.0770663970000003</v>
      </c>
      <c r="CW219" s="293">
        <v>5.7757457929999996</v>
      </c>
      <c r="CX219" s="293">
        <v>5.1678418309999996</v>
      </c>
      <c r="CY219" s="293">
        <v>5.3520139840000001</v>
      </c>
      <c r="CZ219" s="293">
        <v>5.4402056289999994</v>
      </c>
      <c r="DA219" s="293">
        <v>6.3478676700000003</v>
      </c>
      <c r="DB219" s="1288">
        <v>6.5963300519999999</v>
      </c>
      <c r="DC219" s="606">
        <v>5.4445769111376707</v>
      </c>
      <c r="DD219" s="606">
        <v>5.805323652966166</v>
      </c>
      <c r="DE219" s="606">
        <v>6.8912519040461664</v>
      </c>
      <c r="DF219" s="606">
        <v>7.8815760578910536</v>
      </c>
      <c r="DG219" s="606">
        <v>6.9713311465128545</v>
      </c>
      <c r="DH219" s="606">
        <v>8.1799067232881555</v>
      </c>
      <c r="DI219" s="606">
        <v>6.5955284107216379</v>
      </c>
      <c r="DJ219" s="606">
        <v>6.6938668656392997</v>
      </c>
      <c r="DK219" s="606">
        <v>7.0590422128204722</v>
      </c>
      <c r="DL219" s="606">
        <v>7.087590191428438</v>
      </c>
      <c r="DM219" s="606">
        <v>7.4229804772847547</v>
      </c>
      <c r="DN219" s="622">
        <v>7.8521124858999043</v>
      </c>
      <c r="DO219" s="606">
        <v>6.5610445010000005</v>
      </c>
      <c r="DP219" s="606">
        <v>7.3270348959999998</v>
      </c>
      <c r="DQ219" s="606">
        <v>7.2908090130000005</v>
      </c>
      <c r="DR219" s="606">
        <v>6.6548213110000001</v>
      </c>
      <c r="DS219" s="606">
        <v>7.0344070729999997</v>
      </c>
      <c r="DT219" s="606">
        <v>7.9401631290000001</v>
      </c>
      <c r="DU219" s="606">
        <v>7.2879551160000009</v>
      </c>
      <c r="DV219" s="606">
        <v>6.9474123759999991</v>
      </c>
      <c r="DW219" s="606">
        <v>8.5377774140000007</v>
      </c>
      <c r="DX219" s="606">
        <v>7.1242365200000002</v>
      </c>
      <c r="DY219" s="606">
        <v>9.4087535320000004</v>
      </c>
      <c r="DZ219" s="622">
        <v>9.0894584079999987</v>
      </c>
      <c r="EA219" s="606">
        <v>7.1439643850000003</v>
      </c>
      <c r="EB219" s="606">
        <v>7.3806015580000004</v>
      </c>
      <c r="EC219" s="606">
        <v>8.2485887610000006</v>
      </c>
      <c r="ED219" s="606">
        <v>8.7947602640000007</v>
      </c>
      <c r="EE219" s="606">
        <v>7.7643052749999999</v>
      </c>
      <c r="EF219" s="606">
        <v>9.0628797320000007</v>
      </c>
      <c r="EG219" s="606">
        <v>9.2121257239999998</v>
      </c>
      <c r="EH219" s="606">
        <v>7.2475529339999998</v>
      </c>
      <c r="EI219" s="606">
        <v>8.6403218250000009</v>
      </c>
      <c r="EJ219" s="606">
        <v>7.3190470420000002</v>
      </c>
      <c r="EK219" s="606">
        <v>8.6909410600000001</v>
      </c>
      <c r="EL219" s="622">
        <v>8.626191575</v>
      </c>
      <c r="EM219" s="1083">
        <v>8.0683065989999996</v>
      </c>
      <c r="EN219" s="1083">
        <v>9.4906773229999999</v>
      </c>
      <c r="EO219" s="1083">
        <v>7.7190137739999996</v>
      </c>
      <c r="EP219" s="1083">
        <v>8.2399675400000003</v>
      </c>
      <c r="EQ219" s="1083">
        <v>9.2015794169999996</v>
      </c>
      <c r="ER219" s="1083">
        <v>10.894658637999999</v>
      </c>
      <c r="ES219" s="1083">
        <v>10.091343062856238</v>
      </c>
      <c r="ET219" s="1083">
        <v>9.3960448855626328</v>
      </c>
      <c r="EU219" s="1083">
        <v>8.9297695994327615</v>
      </c>
      <c r="EV219" s="1083">
        <v>10.472205665552421</v>
      </c>
      <c r="EW219" s="1083">
        <v>9.9040917576417105</v>
      </c>
      <c r="EX219" s="1329">
        <v>9.3201618568994924</v>
      </c>
      <c r="EY219" s="1083"/>
      <c r="EZ219" s="1083"/>
      <c r="FA219" s="1083"/>
      <c r="FB219" s="1083"/>
      <c r="FC219" s="1083"/>
      <c r="FD219" s="1083"/>
      <c r="FE219" s="1083"/>
      <c r="FF219" s="1083"/>
      <c r="FG219" s="1083"/>
      <c r="FH219" s="1083"/>
      <c r="FI219" s="1083"/>
      <c r="FJ219" s="1329"/>
      <c r="FK219" s="1083"/>
      <c r="FL219" s="1083"/>
      <c r="FM219" s="1083"/>
      <c r="FN219" s="1083"/>
      <c r="FO219" s="1083"/>
      <c r="FP219" s="1083"/>
      <c r="FQ219" s="606"/>
      <c r="FR219" s="606"/>
      <c r="FS219" s="606"/>
      <c r="FT219" s="606"/>
      <c r="FU219" s="606"/>
      <c r="FV219" s="606"/>
      <c r="FW219" s="606"/>
      <c r="FX219" s="606"/>
      <c r="FY219" s="606"/>
      <c r="FZ219" s="606"/>
      <c r="GA219" s="606"/>
      <c r="GB219" s="606"/>
      <c r="GC219" s="606"/>
      <c r="GD219" s="606"/>
      <c r="GE219" s="606"/>
      <c r="GF219" s="606"/>
      <c r="GG219" s="606"/>
      <c r="GH219" s="606"/>
      <c r="GI219" s="606"/>
      <c r="GJ219" s="606"/>
      <c r="GK219" s="606"/>
      <c r="GL219" s="606"/>
      <c r="GM219" s="606"/>
      <c r="GN219" s="606"/>
      <c r="GO219" s="606"/>
      <c r="GP219" s="606"/>
      <c r="GQ219" s="606"/>
      <c r="GR219" s="606"/>
      <c r="GS219" s="606"/>
      <c r="GT219" s="606"/>
      <c r="GU219" s="606"/>
      <c r="GV219" s="606"/>
      <c r="GW219" s="606"/>
      <c r="GX219" s="606"/>
      <c r="GY219" s="606"/>
      <c r="GZ219" s="606"/>
      <c r="HA219" s="606"/>
      <c r="HB219" s="606"/>
      <c r="HC219" s="606"/>
      <c r="HD219" s="606"/>
      <c r="HE219" s="606"/>
      <c r="HF219" s="606"/>
      <c r="HG219" s="606"/>
      <c r="HH219" s="606"/>
      <c r="HI219" s="606"/>
      <c r="HJ219" s="606"/>
      <c r="HK219" s="606"/>
      <c r="HL219" s="606"/>
      <c r="HM219" s="606"/>
      <c r="HN219" s="606"/>
      <c r="HO219" s="606"/>
      <c r="HP219" s="606"/>
      <c r="HQ219" s="606"/>
      <c r="HR219" s="606"/>
      <c r="HS219" s="606"/>
      <c r="HT219" s="606"/>
      <c r="HU219" s="606"/>
      <c r="HV219" s="606"/>
      <c r="HW219" s="606"/>
      <c r="HX219" s="606"/>
      <c r="HY219" s="606"/>
      <c r="IH219" s="607">
        <f t="shared" si="236"/>
        <v>41.173966395842065</v>
      </c>
      <c r="II219" s="607">
        <f t="shared" si="237"/>
        <v>42.711120643794501</v>
      </c>
      <c r="IJ219" s="323">
        <f t="shared" si="232"/>
        <v>83.885087039636574</v>
      </c>
      <c r="IK219" s="279">
        <f t="shared" si="238"/>
        <v>42.808279922999994</v>
      </c>
      <c r="KT219" s="280"/>
    </row>
    <row r="220" spans="2:306" hidden="1" outlineLevel="1">
      <c r="B220" s="96" t="s">
        <v>338</v>
      </c>
      <c r="D220" s="309" t="s">
        <v>423</v>
      </c>
      <c r="E220" s="293">
        <v>0</v>
      </c>
      <c r="F220" s="293">
        <v>0</v>
      </c>
      <c r="G220" s="293">
        <v>0</v>
      </c>
      <c r="H220" s="293">
        <v>0</v>
      </c>
      <c r="I220" s="293">
        <v>0</v>
      </c>
      <c r="J220" s="293">
        <v>0</v>
      </c>
      <c r="K220" s="293">
        <v>0</v>
      </c>
      <c r="L220" s="293">
        <v>0</v>
      </c>
      <c r="M220" s="293">
        <v>0</v>
      </c>
      <c r="N220" s="293">
        <v>0</v>
      </c>
      <c r="O220" s="293">
        <v>0</v>
      </c>
      <c r="P220" s="293">
        <v>0</v>
      </c>
      <c r="Q220" s="293">
        <v>0</v>
      </c>
      <c r="R220" s="293">
        <v>0</v>
      </c>
      <c r="S220" s="293">
        <v>0</v>
      </c>
      <c r="T220" s="293">
        <v>0</v>
      </c>
      <c r="U220" s="293">
        <v>0</v>
      </c>
      <c r="V220" s="293">
        <v>0</v>
      </c>
      <c r="W220" s="293">
        <v>0</v>
      </c>
      <c r="X220" s="293">
        <v>0</v>
      </c>
      <c r="Y220" s="293">
        <v>0</v>
      </c>
      <c r="Z220" s="293">
        <v>0</v>
      </c>
      <c r="AA220" s="293">
        <v>0</v>
      </c>
      <c r="AB220" s="293">
        <v>0</v>
      </c>
      <c r="AC220" s="293">
        <v>0</v>
      </c>
      <c r="AD220" s="293">
        <v>0</v>
      </c>
      <c r="AE220" s="293">
        <v>0</v>
      </c>
      <c r="AF220" s="293">
        <v>0</v>
      </c>
      <c r="AG220" s="293">
        <v>0</v>
      </c>
      <c r="AH220" s="293">
        <v>0</v>
      </c>
      <c r="AI220" s="293">
        <v>0</v>
      </c>
      <c r="AJ220" s="293">
        <v>0</v>
      </c>
      <c r="AK220" s="293">
        <v>0</v>
      </c>
      <c r="AL220" s="293">
        <v>0</v>
      </c>
      <c r="AM220" s="293">
        <v>0</v>
      </c>
      <c r="AN220" s="293">
        <v>0</v>
      </c>
      <c r="AO220" s="293">
        <v>0</v>
      </c>
      <c r="AP220" s="293">
        <v>0</v>
      </c>
      <c r="AQ220" s="293">
        <v>0</v>
      </c>
      <c r="AR220" s="293">
        <v>0</v>
      </c>
      <c r="AS220" s="293">
        <v>0</v>
      </c>
      <c r="AT220" s="293">
        <v>0</v>
      </c>
      <c r="AU220" s="293">
        <v>0</v>
      </c>
      <c r="AV220" s="293">
        <v>0</v>
      </c>
      <c r="AW220" s="293">
        <v>0</v>
      </c>
      <c r="AX220" s="293">
        <v>0</v>
      </c>
      <c r="AY220" s="293">
        <v>0</v>
      </c>
      <c r="AZ220" s="293">
        <v>0</v>
      </c>
      <c r="BA220" s="293">
        <v>0</v>
      </c>
      <c r="BB220" s="293">
        <v>0</v>
      </c>
      <c r="BC220" s="293">
        <v>0</v>
      </c>
      <c r="BD220" s="293">
        <v>0</v>
      </c>
      <c r="BE220" s="293">
        <v>0</v>
      </c>
      <c r="BF220" s="293">
        <v>0</v>
      </c>
      <c r="BG220" s="293">
        <v>0</v>
      </c>
      <c r="BH220" s="293">
        <v>0</v>
      </c>
      <c r="BI220" s="293">
        <v>0</v>
      </c>
      <c r="BJ220" s="293">
        <v>0</v>
      </c>
      <c r="BK220" s="293">
        <v>0</v>
      </c>
      <c r="BL220" s="293">
        <v>0</v>
      </c>
      <c r="BM220" s="293">
        <v>0</v>
      </c>
      <c r="BN220" s="293">
        <v>0</v>
      </c>
      <c r="BO220" s="293">
        <v>0</v>
      </c>
      <c r="BP220" s="293">
        <v>0</v>
      </c>
      <c r="BQ220" s="293">
        <v>0</v>
      </c>
      <c r="BR220" s="293">
        <v>0</v>
      </c>
      <c r="BS220" s="293">
        <v>0</v>
      </c>
      <c r="BT220" s="293">
        <v>0</v>
      </c>
      <c r="BU220" s="293">
        <v>0</v>
      </c>
      <c r="BV220" s="293">
        <v>0</v>
      </c>
      <c r="BW220" s="293">
        <v>0</v>
      </c>
      <c r="BX220" s="293">
        <v>0</v>
      </c>
      <c r="BY220" s="293">
        <v>0</v>
      </c>
      <c r="BZ220" s="293">
        <v>0</v>
      </c>
      <c r="CA220" s="293">
        <v>0</v>
      </c>
      <c r="CB220" s="293">
        <v>0</v>
      </c>
      <c r="CC220" s="293">
        <v>0</v>
      </c>
      <c r="CD220" s="293">
        <v>0</v>
      </c>
      <c r="CE220" s="294">
        <v>0</v>
      </c>
      <c r="CF220" s="293">
        <v>0</v>
      </c>
      <c r="CG220" s="293">
        <v>0</v>
      </c>
      <c r="CH220" s="293">
        <v>0</v>
      </c>
      <c r="CI220" s="293">
        <v>0</v>
      </c>
      <c r="CJ220" s="293">
        <v>0</v>
      </c>
      <c r="CK220" s="293">
        <v>0</v>
      </c>
      <c r="CL220" s="293">
        <v>0</v>
      </c>
      <c r="CM220" s="293">
        <v>0</v>
      </c>
      <c r="CN220" s="293">
        <v>0</v>
      </c>
      <c r="CO220" s="293">
        <v>0</v>
      </c>
      <c r="CP220" s="295">
        <v>0</v>
      </c>
      <c r="CQ220" s="293">
        <v>0</v>
      </c>
      <c r="CR220" s="293">
        <v>0</v>
      </c>
      <c r="CS220" s="293">
        <v>0</v>
      </c>
      <c r="CT220" s="293">
        <v>0</v>
      </c>
      <c r="CU220" s="293">
        <v>0</v>
      </c>
      <c r="CV220" s="293">
        <v>0</v>
      </c>
      <c r="CW220" s="293">
        <v>0</v>
      </c>
      <c r="CX220" s="293">
        <v>0</v>
      </c>
      <c r="CY220" s="293">
        <v>0</v>
      </c>
      <c r="CZ220" s="293">
        <v>0</v>
      </c>
      <c r="DA220" s="293">
        <v>0</v>
      </c>
      <c r="DB220" s="1288">
        <v>0</v>
      </c>
      <c r="DC220" s="293">
        <v>0</v>
      </c>
      <c r="DD220" s="293">
        <v>0</v>
      </c>
      <c r="DE220" s="293">
        <v>0</v>
      </c>
      <c r="DF220" s="293">
        <v>0</v>
      </c>
      <c r="DG220" s="293">
        <v>0</v>
      </c>
      <c r="DH220" s="293">
        <v>0</v>
      </c>
      <c r="DI220" s="293">
        <v>0</v>
      </c>
      <c r="DJ220" s="293">
        <v>0</v>
      </c>
      <c r="DK220" s="293">
        <v>0</v>
      </c>
      <c r="DL220" s="293">
        <v>0</v>
      </c>
      <c r="DM220" s="293">
        <v>0</v>
      </c>
      <c r="DN220" s="295">
        <v>0</v>
      </c>
      <c r="DO220" s="293">
        <v>0</v>
      </c>
      <c r="DP220" s="293">
        <v>0</v>
      </c>
      <c r="DQ220" s="293">
        <v>0</v>
      </c>
      <c r="DR220" s="293">
        <v>0</v>
      </c>
      <c r="DS220" s="293">
        <v>0</v>
      </c>
      <c r="DT220" s="293">
        <v>0</v>
      </c>
      <c r="DU220" s="293">
        <v>0</v>
      </c>
      <c r="DV220" s="293">
        <v>0</v>
      </c>
      <c r="DW220" s="293">
        <v>0</v>
      </c>
      <c r="DX220" s="293">
        <v>0</v>
      </c>
      <c r="DY220" s="293">
        <v>0</v>
      </c>
      <c r="DZ220" s="295">
        <v>0</v>
      </c>
      <c r="EA220" s="293">
        <v>0</v>
      </c>
      <c r="EB220" s="293">
        <v>0</v>
      </c>
      <c r="EC220" s="293">
        <v>0</v>
      </c>
      <c r="ED220" s="293">
        <v>0</v>
      </c>
      <c r="EE220" s="293">
        <v>0</v>
      </c>
      <c r="EF220" s="293">
        <v>0</v>
      </c>
      <c r="EG220" s="293">
        <v>0</v>
      </c>
      <c r="EH220" s="293">
        <v>0</v>
      </c>
      <c r="EI220" s="293">
        <v>0</v>
      </c>
      <c r="EJ220" s="293">
        <v>0</v>
      </c>
      <c r="EK220" s="293">
        <v>0</v>
      </c>
      <c r="EL220" s="295">
        <v>0</v>
      </c>
      <c r="EM220" s="1080">
        <v>0</v>
      </c>
      <c r="EN220" s="1080">
        <v>0</v>
      </c>
      <c r="EO220" s="1080">
        <v>0</v>
      </c>
      <c r="EP220" s="1080">
        <v>0</v>
      </c>
      <c r="EQ220" s="1080">
        <v>0</v>
      </c>
      <c r="ER220" s="1080">
        <v>0</v>
      </c>
      <c r="ES220" s="1080">
        <v>0</v>
      </c>
      <c r="ET220" s="1080">
        <v>0</v>
      </c>
      <c r="EU220" s="1080">
        <v>0</v>
      </c>
      <c r="EV220" s="1080">
        <v>0</v>
      </c>
      <c r="EW220" s="1080">
        <v>0</v>
      </c>
      <c r="EX220" s="1340">
        <v>0</v>
      </c>
      <c r="EY220" s="1080"/>
      <c r="EZ220" s="1080"/>
      <c r="FA220" s="1080"/>
      <c r="FB220" s="1080"/>
      <c r="FC220" s="1080"/>
      <c r="FD220" s="1080"/>
      <c r="FE220" s="1080"/>
      <c r="FF220" s="1080"/>
      <c r="FG220" s="1080"/>
      <c r="FH220" s="1080"/>
      <c r="FI220" s="1080"/>
      <c r="FJ220" s="1340"/>
      <c r="FK220" s="1080"/>
      <c r="FL220" s="1080"/>
      <c r="FM220" s="1080"/>
      <c r="FN220" s="1080"/>
      <c r="FO220" s="1080"/>
      <c r="FP220" s="1080"/>
      <c r="FQ220" s="293"/>
      <c r="FR220" s="293"/>
      <c r="FS220" s="293"/>
      <c r="FT220" s="293"/>
      <c r="FU220" s="293"/>
      <c r="FV220" s="293"/>
      <c r="FW220" s="293"/>
      <c r="FX220" s="293"/>
      <c r="FY220" s="293"/>
      <c r="FZ220" s="293"/>
      <c r="GA220" s="293"/>
      <c r="GB220" s="293"/>
      <c r="GC220" s="293"/>
      <c r="GD220" s="293"/>
      <c r="GE220" s="293"/>
      <c r="GF220" s="293"/>
      <c r="GG220" s="293"/>
      <c r="GH220" s="293"/>
      <c r="GI220" s="293"/>
      <c r="GJ220" s="293"/>
      <c r="GK220" s="293"/>
      <c r="GL220" s="293"/>
      <c r="GM220" s="293"/>
      <c r="GN220" s="293"/>
      <c r="GO220" s="293"/>
      <c r="GP220" s="293"/>
      <c r="GQ220" s="293"/>
      <c r="GR220" s="293"/>
      <c r="GS220" s="293"/>
      <c r="GT220" s="293"/>
      <c r="GU220" s="293"/>
      <c r="GV220" s="293"/>
      <c r="GW220" s="293"/>
      <c r="GX220" s="293"/>
      <c r="GY220" s="293"/>
      <c r="GZ220" s="293"/>
      <c r="HA220" s="293"/>
      <c r="HB220" s="293"/>
      <c r="HC220" s="293"/>
      <c r="HD220" s="293"/>
      <c r="HE220" s="293"/>
      <c r="HF220" s="293"/>
      <c r="HG220" s="293"/>
      <c r="HH220" s="293"/>
      <c r="HI220" s="293"/>
      <c r="HJ220" s="293"/>
      <c r="HK220" s="293"/>
      <c r="HL220" s="293"/>
      <c r="HM220" s="293"/>
      <c r="HN220" s="293"/>
      <c r="HO220" s="293"/>
      <c r="HP220" s="293"/>
      <c r="HQ220" s="293"/>
      <c r="HR220" s="293"/>
      <c r="HS220" s="293"/>
      <c r="HT220" s="293"/>
      <c r="HU220" s="293"/>
      <c r="HV220" s="293"/>
      <c r="HW220" s="293"/>
      <c r="HX220" s="293"/>
      <c r="HY220" s="293"/>
      <c r="IH220" s="279">
        <f t="shared" si="236"/>
        <v>0</v>
      </c>
      <c r="II220" s="279">
        <f t="shared" si="237"/>
        <v>0</v>
      </c>
      <c r="IJ220" s="323">
        <f t="shared" si="232"/>
        <v>0</v>
      </c>
      <c r="IK220" s="279">
        <f t="shared" si="238"/>
        <v>0</v>
      </c>
      <c r="KT220" s="280"/>
    </row>
    <row r="221" spans="2:306" hidden="1" outlineLevel="1">
      <c r="B221" s="96" t="s">
        <v>338</v>
      </c>
      <c r="D221" s="296" t="s">
        <v>424</v>
      </c>
      <c r="E221" s="293">
        <v>2.1246493810000002</v>
      </c>
      <c r="F221" s="293">
        <v>1.8214421489999999</v>
      </c>
      <c r="G221" s="293">
        <v>2.2139975779999999</v>
      </c>
      <c r="H221" s="293">
        <v>2.0969566129999997</v>
      </c>
      <c r="I221" s="293">
        <v>2.5563688999999998</v>
      </c>
      <c r="J221" s="293">
        <v>2.2591644689999999</v>
      </c>
      <c r="K221" s="293">
        <v>2.1716784149999997</v>
      </c>
      <c r="L221" s="293">
        <v>2.7678751610000001</v>
      </c>
      <c r="M221" s="293">
        <v>1.9129404779999999</v>
      </c>
      <c r="N221" s="293">
        <v>2.206883602</v>
      </c>
      <c r="O221" s="293">
        <v>2.4344739530000004</v>
      </c>
      <c r="P221" s="293">
        <v>2.3539260230000001</v>
      </c>
      <c r="Q221" s="293">
        <v>2.4870534229999999</v>
      </c>
      <c r="R221" s="293">
        <v>2.4965501469999998</v>
      </c>
      <c r="S221" s="293">
        <v>3.0483832280000001</v>
      </c>
      <c r="T221" s="293">
        <v>2.5043777650000001</v>
      </c>
      <c r="U221" s="293">
        <v>3.3039303100000001</v>
      </c>
      <c r="V221" s="293">
        <v>3.2839433549999999</v>
      </c>
      <c r="W221" s="293">
        <v>3.355493359</v>
      </c>
      <c r="X221" s="293">
        <v>3.515916217</v>
      </c>
      <c r="Y221" s="293">
        <v>3.8514673880000001</v>
      </c>
      <c r="Z221" s="293">
        <v>4.0741596040000001</v>
      </c>
      <c r="AA221" s="293">
        <v>3.601628303</v>
      </c>
      <c r="AB221" s="293">
        <v>4.5306755949999999</v>
      </c>
      <c r="AC221" s="293">
        <v>3.4879829009999996</v>
      </c>
      <c r="AD221" s="293">
        <v>3.9359746279999999</v>
      </c>
      <c r="AE221" s="293">
        <v>3.9819497500000001</v>
      </c>
      <c r="AF221" s="293">
        <v>4.1965958179999996</v>
      </c>
      <c r="AG221" s="293">
        <v>3.4465601609999998</v>
      </c>
      <c r="AH221" s="293">
        <v>3.325273825</v>
      </c>
      <c r="AI221" s="293">
        <v>2.3099364959999997</v>
      </c>
      <c r="AJ221" s="293">
        <v>2.0838579479999999</v>
      </c>
      <c r="AK221" s="293">
        <v>1.828618984</v>
      </c>
      <c r="AL221" s="293">
        <v>1.9240610409999999</v>
      </c>
      <c r="AM221" s="293">
        <v>2.5859281139999997</v>
      </c>
      <c r="AN221" s="293">
        <v>2.383491018</v>
      </c>
      <c r="AO221" s="293">
        <v>1.9078862249999999</v>
      </c>
      <c r="AP221" s="293">
        <v>2.0092739489999998</v>
      </c>
      <c r="AQ221" s="293">
        <v>2.3833305489999996</v>
      </c>
      <c r="AR221" s="293">
        <v>2.1207370210000001</v>
      </c>
      <c r="AS221" s="293">
        <v>2.0126609220000002</v>
      </c>
      <c r="AT221" s="293">
        <v>2.0947642320000002</v>
      </c>
      <c r="AU221" s="293">
        <v>1.959893723</v>
      </c>
      <c r="AV221" s="293">
        <v>2.028402335</v>
      </c>
      <c r="AW221" s="293">
        <v>2.1435452340000003</v>
      </c>
      <c r="AX221" s="293">
        <v>2.1269026869999998</v>
      </c>
      <c r="AY221" s="293">
        <v>2.4193728059999997</v>
      </c>
      <c r="AZ221" s="293">
        <v>3.0086530320000002</v>
      </c>
      <c r="BA221" s="293">
        <v>2.2768383889999999</v>
      </c>
      <c r="BB221" s="293">
        <v>2.165545668</v>
      </c>
      <c r="BC221" s="293">
        <v>2.5691348360000004</v>
      </c>
      <c r="BD221" s="293">
        <v>1.9800706130000001</v>
      </c>
      <c r="BE221" s="293">
        <v>2.5192430579999998</v>
      </c>
      <c r="BF221" s="293">
        <v>2.539602318</v>
      </c>
      <c r="BG221" s="293">
        <v>2.5436826420000003</v>
      </c>
      <c r="BH221" s="293">
        <v>2.9578949149999998</v>
      </c>
      <c r="BI221" s="293">
        <v>2.855622973</v>
      </c>
      <c r="BJ221" s="293">
        <v>2.5955280859999998</v>
      </c>
      <c r="BK221" s="293">
        <v>2.930882907</v>
      </c>
      <c r="BL221" s="293">
        <v>3.4424570180000003</v>
      </c>
      <c r="BM221" s="293">
        <v>2.8837728699999996</v>
      </c>
      <c r="BN221" s="293">
        <v>3.1855072170000001</v>
      </c>
      <c r="BO221" s="293">
        <v>3.5739458119999998</v>
      </c>
      <c r="BP221" s="293">
        <v>3.2172898570000004</v>
      </c>
      <c r="BQ221" s="293">
        <v>4.3117261829999993</v>
      </c>
      <c r="BR221" s="293">
        <v>2.9716630789999998</v>
      </c>
      <c r="BS221" s="293">
        <v>5.6002862480000006</v>
      </c>
      <c r="BT221" s="293">
        <v>5.460168768</v>
      </c>
      <c r="BU221" s="293">
        <v>3.6739005370000002</v>
      </c>
      <c r="BV221" s="293">
        <v>3.7575017330000002</v>
      </c>
      <c r="BW221" s="293">
        <v>3.6332888800000003</v>
      </c>
      <c r="BX221" s="293">
        <v>3.621804928</v>
      </c>
      <c r="BY221" s="293">
        <v>3.7909035199999996</v>
      </c>
      <c r="BZ221" s="293">
        <v>3.1588992299999998</v>
      </c>
      <c r="CA221" s="293">
        <v>3.0961400480000001</v>
      </c>
      <c r="CB221" s="293">
        <v>3.0655440380000001</v>
      </c>
      <c r="CC221" s="293">
        <v>3.558989339</v>
      </c>
      <c r="CD221" s="293">
        <v>0</v>
      </c>
      <c r="CE221" s="294">
        <v>0</v>
      </c>
      <c r="CF221" s="293">
        <v>0</v>
      </c>
      <c r="CG221" s="293">
        <v>0</v>
      </c>
      <c r="CH221" s="293">
        <v>0</v>
      </c>
      <c r="CI221" s="293">
        <v>0</v>
      </c>
      <c r="CJ221" s="293">
        <v>0</v>
      </c>
      <c r="CK221" s="293">
        <v>0</v>
      </c>
      <c r="CL221" s="293">
        <v>0</v>
      </c>
      <c r="CM221" s="293">
        <v>0</v>
      </c>
      <c r="CN221" s="293">
        <v>0</v>
      </c>
      <c r="CO221" s="293">
        <v>0</v>
      </c>
      <c r="CP221" s="295">
        <v>0</v>
      </c>
      <c r="CQ221" s="293">
        <v>0</v>
      </c>
      <c r="CR221" s="293">
        <v>0</v>
      </c>
      <c r="CS221" s="293">
        <v>0</v>
      </c>
      <c r="CT221" s="293">
        <v>0</v>
      </c>
      <c r="CU221" s="293">
        <v>0</v>
      </c>
      <c r="CV221" s="293">
        <v>0</v>
      </c>
      <c r="CW221" s="293">
        <v>0</v>
      </c>
      <c r="CX221" s="293">
        <v>0</v>
      </c>
      <c r="CY221" s="293">
        <v>0</v>
      </c>
      <c r="CZ221" s="293">
        <v>0</v>
      </c>
      <c r="DA221" s="293">
        <v>0</v>
      </c>
      <c r="DB221" s="1288">
        <v>0</v>
      </c>
      <c r="DC221" s="293">
        <v>0</v>
      </c>
      <c r="DD221" s="293">
        <v>0</v>
      </c>
      <c r="DE221" s="293">
        <v>0</v>
      </c>
      <c r="DF221" s="293">
        <v>0</v>
      </c>
      <c r="DG221" s="293">
        <v>0</v>
      </c>
      <c r="DH221" s="293">
        <v>0</v>
      </c>
      <c r="DI221" s="293">
        <v>0</v>
      </c>
      <c r="DJ221" s="293">
        <v>0</v>
      </c>
      <c r="DK221" s="293">
        <v>0</v>
      </c>
      <c r="DL221" s="293">
        <v>0</v>
      </c>
      <c r="DM221" s="293">
        <v>0</v>
      </c>
      <c r="DN221" s="295">
        <v>0</v>
      </c>
      <c r="DO221" s="293">
        <v>0</v>
      </c>
      <c r="DP221" s="293">
        <v>0</v>
      </c>
      <c r="DQ221" s="293">
        <v>0</v>
      </c>
      <c r="DR221" s="293">
        <v>0</v>
      </c>
      <c r="DS221" s="293">
        <v>0</v>
      </c>
      <c r="DT221" s="293">
        <v>0</v>
      </c>
      <c r="DU221" s="293">
        <v>0</v>
      </c>
      <c r="DV221" s="293">
        <v>0</v>
      </c>
      <c r="DW221" s="293">
        <v>0</v>
      </c>
      <c r="DX221" s="293">
        <v>0</v>
      </c>
      <c r="DY221" s="293">
        <v>0</v>
      </c>
      <c r="DZ221" s="295">
        <v>0</v>
      </c>
      <c r="EA221" s="293">
        <v>0</v>
      </c>
      <c r="EB221" s="293">
        <v>0</v>
      </c>
      <c r="EC221" s="293">
        <v>0</v>
      </c>
      <c r="ED221" s="293">
        <v>0</v>
      </c>
      <c r="EE221" s="293">
        <v>0</v>
      </c>
      <c r="EF221" s="293">
        <v>0</v>
      </c>
      <c r="EG221" s="293">
        <v>0</v>
      </c>
      <c r="EH221" s="293">
        <v>0</v>
      </c>
      <c r="EI221" s="293">
        <v>0</v>
      </c>
      <c r="EJ221" s="293">
        <v>0</v>
      </c>
      <c r="EK221" s="293">
        <v>0</v>
      </c>
      <c r="EL221" s="295">
        <v>0</v>
      </c>
      <c r="EM221" s="1080">
        <v>0</v>
      </c>
      <c r="EN221" s="1080">
        <v>0</v>
      </c>
      <c r="EO221" s="1080">
        <v>0</v>
      </c>
      <c r="EP221" s="1080">
        <v>0</v>
      </c>
      <c r="EQ221" s="1080">
        <v>0</v>
      </c>
      <c r="ER221" s="1080">
        <v>0</v>
      </c>
      <c r="ES221" s="1080">
        <v>0</v>
      </c>
      <c r="ET221" s="1080">
        <v>0</v>
      </c>
      <c r="EU221" s="1080">
        <v>0</v>
      </c>
      <c r="EV221" s="1080">
        <v>0</v>
      </c>
      <c r="EW221" s="1080">
        <v>0</v>
      </c>
      <c r="EX221" s="1340">
        <v>0</v>
      </c>
      <c r="EY221" s="1080"/>
      <c r="EZ221" s="1080"/>
      <c r="FA221" s="1080"/>
      <c r="FB221" s="1080"/>
      <c r="FC221" s="1080"/>
      <c r="FD221" s="1080"/>
      <c r="FE221" s="1080"/>
      <c r="FF221" s="1080"/>
      <c r="FG221" s="1080"/>
      <c r="FH221" s="1080"/>
      <c r="FI221" s="1080"/>
      <c r="FJ221" s="1340"/>
      <c r="FK221" s="1080"/>
      <c r="FL221" s="1080"/>
      <c r="FM221" s="1080"/>
      <c r="FN221" s="1080"/>
      <c r="FO221" s="1080"/>
      <c r="FP221" s="1080"/>
      <c r="FQ221" s="293"/>
      <c r="FR221" s="293"/>
      <c r="FS221" s="293"/>
      <c r="FT221" s="293"/>
      <c r="FU221" s="293"/>
      <c r="FV221" s="293"/>
      <c r="FW221" s="293"/>
      <c r="FX221" s="293"/>
      <c r="FY221" s="293"/>
      <c r="FZ221" s="293"/>
      <c r="GA221" s="293"/>
      <c r="GB221" s="293"/>
      <c r="GC221" s="293"/>
      <c r="GD221" s="293"/>
      <c r="GE221" s="293"/>
      <c r="GF221" s="293"/>
      <c r="GG221" s="293"/>
      <c r="GH221" s="293"/>
      <c r="GI221" s="293"/>
      <c r="GJ221" s="293"/>
      <c r="GK221" s="293"/>
      <c r="GL221" s="293"/>
      <c r="GM221" s="293"/>
      <c r="GN221" s="293"/>
      <c r="GO221" s="293"/>
      <c r="GP221" s="293"/>
      <c r="GQ221" s="293"/>
      <c r="GR221" s="293"/>
      <c r="GS221" s="293"/>
      <c r="GT221" s="293"/>
      <c r="GU221" s="293"/>
      <c r="GV221" s="293"/>
      <c r="GW221" s="293"/>
      <c r="GX221" s="293"/>
      <c r="GY221" s="293"/>
      <c r="GZ221" s="293"/>
      <c r="HA221" s="293"/>
      <c r="HB221" s="293"/>
      <c r="HC221" s="293"/>
      <c r="HD221" s="293"/>
      <c r="HE221" s="293"/>
      <c r="HF221" s="293"/>
      <c r="HG221" s="293"/>
      <c r="HH221" s="293"/>
      <c r="HI221" s="293"/>
      <c r="HJ221" s="293"/>
      <c r="HK221" s="293"/>
      <c r="HL221" s="293"/>
      <c r="HM221" s="293"/>
      <c r="HN221" s="293"/>
      <c r="HO221" s="293"/>
      <c r="HP221" s="293"/>
      <c r="HQ221" s="293"/>
      <c r="HR221" s="293"/>
      <c r="HS221" s="293"/>
      <c r="HT221" s="293"/>
      <c r="HU221" s="293"/>
      <c r="HV221" s="293"/>
      <c r="HW221" s="293"/>
      <c r="HX221" s="293"/>
      <c r="HY221" s="293"/>
      <c r="IH221" s="279">
        <f t="shared" si="236"/>
        <v>0</v>
      </c>
      <c r="II221" s="279">
        <f t="shared" si="237"/>
        <v>0</v>
      </c>
      <c r="IJ221" s="323">
        <f t="shared" si="232"/>
        <v>0</v>
      </c>
      <c r="IK221" s="279">
        <f t="shared" si="238"/>
        <v>0</v>
      </c>
      <c r="KT221" s="280"/>
    </row>
    <row r="222" spans="2:306" hidden="1" outlineLevel="1">
      <c r="B222" s="96" t="s">
        <v>338</v>
      </c>
      <c r="D222" s="309" t="s">
        <v>425</v>
      </c>
      <c r="E222" s="293">
        <v>6.1687066999999998E-2</v>
      </c>
      <c r="F222" s="293">
        <v>9.1392477999999999E-2</v>
      </c>
      <c r="G222" s="293">
        <v>8.1683013999999998E-2</v>
      </c>
      <c r="H222" s="293">
        <v>0.120444994</v>
      </c>
      <c r="I222" s="293">
        <v>0.25055133800000001</v>
      </c>
      <c r="J222" s="293">
        <v>0.17013589099999998</v>
      </c>
      <c r="K222" s="293">
        <v>0.249422856</v>
      </c>
      <c r="L222" s="293">
        <v>0.20375912199999999</v>
      </c>
      <c r="M222" s="293">
        <v>6.756819E-2</v>
      </c>
      <c r="N222" s="293">
        <v>7.1212939000000003E-2</v>
      </c>
      <c r="O222" s="293">
        <v>0.23854813499999999</v>
      </c>
      <c r="P222" s="293">
        <v>0.16453262399999999</v>
      </c>
      <c r="Q222" s="293">
        <v>0.13034979200000002</v>
      </c>
      <c r="R222" s="293">
        <v>0.119335596</v>
      </c>
      <c r="S222" s="293">
        <v>0.199559821</v>
      </c>
      <c r="T222" s="293">
        <v>9.1094597999999999E-2</v>
      </c>
      <c r="U222" s="293">
        <v>0.17754924500000002</v>
      </c>
      <c r="V222" s="293">
        <v>0.277467668</v>
      </c>
      <c r="W222" s="293">
        <v>0.201630853</v>
      </c>
      <c r="X222" s="293">
        <v>0.21536609899999998</v>
      </c>
      <c r="Y222" s="293">
        <v>0.158895493</v>
      </c>
      <c r="Z222" s="293">
        <v>0.23033645599999999</v>
      </c>
      <c r="AA222" s="293">
        <v>0.118420626</v>
      </c>
      <c r="AB222" s="293">
        <v>0.27089723800000004</v>
      </c>
      <c r="AC222" s="293">
        <v>9.3957575000000002E-2</v>
      </c>
      <c r="AD222" s="293">
        <v>0.107842839</v>
      </c>
      <c r="AE222" s="293">
        <v>0.37407533900000001</v>
      </c>
      <c r="AF222" s="293">
        <v>0.247568279</v>
      </c>
      <c r="AG222" s="293">
        <v>0.236847168</v>
      </c>
      <c r="AH222" s="293">
        <v>0.11318597300000001</v>
      </c>
      <c r="AI222" s="293">
        <v>0</v>
      </c>
      <c r="AJ222" s="293">
        <v>0</v>
      </c>
      <c r="AK222" s="293">
        <v>0</v>
      </c>
      <c r="AL222" s="293">
        <v>0</v>
      </c>
      <c r="AM222" s="293">
        <v>0</v>
      </c>
      <c r="AN222" s="293">
        <v>0</v>
      </c>
      <c r="AO222" s="293">
        <v>0</v>
      </c>
      <c r="AP222" s="293">
        <v>0</v>
      </c>
      <c r="AQ222" s="293">
        <v>0</v>
      </c>
      <c r="AR222" s="293">
        <v>0</v>
      </c>
      <c r="AS222" s="293">
        <v>0</v>
      </c>
      <c r="AT222" s="293">
        <v>0</v>
      </c>
      <c r="AU222" s="293">
        <v>0</v>
      </c>
      <c r="AV222" s="293">
        <v>0</v>
      </c>
      <c r="AW222" s="293">
        <v>0</v>
      </c>
      <c r="AX222" s="293">
        <v>0</v>
      </c>
      <c r="AY222" s="293">
        <v>0</v>
      </c>
      <c r="AZ222" s="293">
        <v>0</v>
      </c>
      <c r="BA222" s="293">
        <v>0</v>
      </c>
      <c r="BB222" s="293">
        <v>0</v>
      </c>
      <c r="BC222" s="293">
        <v>0</v>
      </c>
      <c r="BD222" s="293">
        <v>0</v>
      </c>
      <c r="BE222" s="293">
        <v>0</v>
      </c>
      <c r="BF222" s="293">
        <v>0</v>
      </c>
      <c r="BG222" s="293">
        <v>0</v>
      </c>
      <c r="BH222" s="293">
        <v>0</v>
      </c>
      <c r="BI222" s="293">
        <v>0</v>
      </c>
      <c r="BJ222" s="293">
        <v>0</v>
      </c>
      <c r="BK222" s="293">
        <v>0</v>
      </c>
      <c r="BL222" s="293">
        <v>0</v>
      </c>
      <c r="BM222" s="293">
        <v>0</v>
      </c>
      <c r="BN222" s="293">
        <v>0</v>
      </c>
      <c r="BO222" s="293">
        <v>0</v>
      </c>
      <c r="BP222" s="293">
        <v>0</v>
      </c>
      <c r="BQ222" s="293">
        <v>0</v>
      </c>
      <c r="BR222" s="293">
        <v>0</v>
      </c>
      <c r="BS222" s="293">
        <v>0</v>
      </c>
      <c r="BT222" s="293">
        <v>0</v>
      </c>
      <c r="BU222" s="293">
        <v>0</v>
      </c>
      <c r="BV222" s="293">
        <v>0</v>
      </c>
      <c r="BW222" s="293">
        <v>0</v>
      </c>
      <c r="BX222" s="293">
        <v>0</v>
      </c>
      <c r="BY222" s="293">
        <v>0</v>
      </c>
      <c r="BZ222" s="293">
        <v>0</v>
      </c>
      <c r="CA222" s="293">
        <v>0</v>
      </c>
      <c r="CB222" s="293">
        <v>0</v>
      </c>
      <c r="CC222" s="293">
        <v>0</v>
      </c>
      <c r="CD222" s="293">
        <v>4.3037853569999998</v>
      </c>
      <c r="CE222" s="294">
        <v>3.8299825030000001</v>
      </c>
      <c r="CF222" s="293">
        <v>3.716542375</v>
      </c>
      <c r="CG222" s="293">
        <v>4.2394430640000005</v>
      </c>
      <c r="CH222" s="293">
        <v>4.7699982910000003</v>
      </c>
      <c r="CI222" s="293">
        <v>4.3526265930000001</v>
      </c>
      <c r="CJ222" s="293">
        <v>4.5651707090000002</v>
      </c>
      <c r="CK222" s="293">
        <v>4.9052552290000007</v>
      </c>
      <c r="CL222" s="293">
        <v>4.3874742260000001</v>
      </c>
      <c r="CM222" s="293">
        <v>4.4872801679999998</v>
      </c>
      <c r="CN222" s="293">
        <v>4.4057326530000003</v>
      </c>
      <c r="CO222" s="293">
        <v>4.8670432149999998</v>
      </c>
      <c r="CP222" s="295">
        <v>4.3579329219999998</v>
      </c>
      <c r="CQ222" s="293">
        <v>4.286387918</v>
      </c>
      <c r="CR222" s="293">
        <v>4.2280780409999998</v>
      </c>
      <c r="CS222" s="293">
        <v>4.9327603729999998</v>
      </c>
      <c r="CT222" s="293">
        <v>4.403298768</v>
      </c>
      <c r="CU222" s="293">
        <v>5.0195894660000002</v>
      </c>
      <c r="CV222" s="293">
        <v>4.8361439830000004</v>
      </c>
      <c r="CW222" s="293">
        <v>5.4792385609999998</v>
      </c>
      <c r="CX222" s="293">
        <v>4.9807417279999999</v>
      </c>
      <c r="CY222" s="293">
        <v>5.1732147040000003</v>
      </c>
      <c r="CZ222" s="293">
        <v>5.2499684249999996</v>
      </c>
      <c r="DA222" s="293">
        <v>6.0861645480000002</v>
      </c>
      <c r="DB222" s="1288">
        <v>6.1341910899999998</v>
      </c>
      <c r="DC222" s="606">
        <v>5.1863058709811556</v>
      </c>
      <c r="DD222" s="606">
        <v>5.093720108516453</v>
      </c>
      <c r="DE222" s="606">
        <v>6.11110102412764</v>
      </c>
      <c r="DF222" s="606">
        <v>6.990763211625155</v>
      </c>
      <c r="DG222" s="606">
        <v>6.1107945870444809</v>
      </c>
      <c r="DH222" s="606">
        <v>7.170876512616827</v>
      </c>
      <c r="DI222" s="606">
        <v>5.5605018652239773</v>
      </c>
      <c r="DJ222" s="606">
        <v>5.7548126133699649</v>
      </c>
      <c r="DK222" s="606">
        <v>6.0316812247713987</v>
      </c>
      <c r="DL222" s="606">
        <v>6.0562493250749689</v>
      </c>
      <c r="DM222" s="606">
        <v>6.2926918805289995</v>
      </c>
      <c r="DN222" s="622">
        <v>6.5434286510128423</v>
      </c>
      <c r="DO222" s="606">
        <v>5.4073248190000003</v>
      </c>
      <c r="DP222" s="606">
        <v>6.1129519639999996</v>
      </c>
      <c r="DQ222" s="606">
        <v>6.0763687810000002</v>
      </c>
      <c r="DR222" s="606">
        <v>5.6310601079999998</v>
      </c>
      <c r="DS222" s="606">
        <v>5.8898679139999999</v>
      </c>
      <c r="DT222" s="606">
        <v>6.6726244460000004</v>
      </c>
      <c r="DU222" s="606">
        <v>5.9745850340000004</v>
      </c>
      <c r="DV222" s="606">
        <v>5.8085026629999996</v>
      </c>
      <c r="DW222" s="606">
        <v>7.2625981209999999</v>
      </c>
      <c r="DX222" s="606">
        <v>5.9930482410000003</v>
      </c>
      <c r="DY222" s="606">
        <v>8.0620424180000008</v>
      </c>
      <c r="DZ222" s="622">
        <v>7.5989432299999997</v>
      </c>
      <c r="EA222" s="606">
        <v>5.8313266239999999</v>
      </c>
      <c r="EB222" s="606">
        <v>6.0346449440000001</v>
      </c>
      <c r="EC222" s="606">
        <v>6.7320194090000003</v>
      </c>
      <c r="ED222" s="606">
        <v>7.3098861499999996</v>
      </c>
      <c r="EE222" s="606">
        <v>6.3854811429999998</v>
      </c>
      <c r="EF222" s="606">
        <v>7.7447785319999998</v>
      </c>
      <c r="EG222" s="606">
        <v>7.5527915710000002</v>
      </c>
      <c r="EH222" s="606">
        <v>5.9495420330000002</v>
      </c>
      <c r="EI222" s="606">
        <v>7.1207423719999996</v>
      </c>
      <c r="EJ222" s="606">
        <v>5.9401869600000001</v>
      </c>
      <c r="EK222" s="606">
        <v>7.1676602379999999</v>
      </c>
      <c r="EL222" s="622">
        <v>7.0870259390000001</v>
      </c>
      <c r="EM222" s="1083">
        <v>6.5010363619999998</v>
      </c>
      <c r="EN222" s="1083">
        <v>7.7521701099999998</v>
      </c>
      <c r="EO222" s="1083">
        <v>6.215087735</v>
      </c>
      <c r="EP222" s="1083">
        <v>6.7051053060000001</v>
      </c>
      <c r="EQ222" s="1083">
        <v>7.5011491990000003</v>
      </c>
      <c r="ER222" s="1083">
        <v>8.1082409089999992</v>
      </c>
      <c r="ES222" s="1083">
        <v>8.1675500260000007</v>
      </c>
      <c r="ET222" s="1083">
        <v>7.7269777560000001</v>
      </c>
      <c r="EU222" s="1083">
        <v>7.2406172389999996</v>
      </c>
      <c r="EV222" s="1083">
        <v>8.5654672079999994</v>
      </c>
      <c r="EW222" s="1083">
        <v>8.2457840050000009</v>
      </c>
      <c r="EX222" s="1329">
        <v>7.6798071459999999</v>
      </c>
      <c r="EY222" s="1083"/>
      <c r="EZ222" s="1083"/>
      <c r="FA222" s="1083"/>
      <c r="FB222" s="1083"/>
      <c r="FC222" s="1083"/>
      <c r="FD222" s="1083"/>
      <c r="FE222" s="1083"/>
      <c r="FF222" s="1083"/>
      <c r="FG222" s="1083"/>
      <c r="FH222" s="1083"/>
      <c r="FI222" s="1083"/>
      <c r="FJ222" s="1329"/>
      <c r="FK222" s="1083"/>
      <c r="FL222" s="1083"/>
      <c r="FM222" s="1083"/>
      <c r="FN222" s="1083"/>
      <c r="FO222" s="1083"/>
      <c r="FP222" s="1083"/>
      <c r="FQ222" s="606"/>
      <c r="FR222" s="606"/>
      <c r="FS222" s="606"/>
      <c r="FT222" s="606"/>
      <c r="FU222" s="606"/>
      <c r="FV222" s="606"/>
      <c r="FW222" s="606"/>
      <c r="FX222" s="606"/>
      <c r="FY222" s="606"/>
      <c r="FZ222" s="606"/>
      <c r="GA222" s="606"/>
      <c r="GB222" s="606"/>
      <c r="GC222" s="606"/>
      <c r="GD222" s="606"/>
      <c r="GE222" s="606"/>
      <c r="GF222" s="606"/>
      <c r="GG222" s="606"/>
      <c r="GH222" s="606"/>
      <c r="GI222" s="606"/>
      <c r="GJ222" s="606"/>
      <c r="GK222" s="606"/>
      <c r="GL222" s="606"/>
      <c r="GM222" s="606"/>
      <c r="GN222" s="606"/>
      <c r="GO222" s="606"/>
      <c r="GP222" s="606"/>
      <c r="GQ222" s="606"/>
      <c r="GR222" s="606"/>
      <c r="GS222" s="606"/>
      <c r="GT222" s="606"/>
      <c r="GU222" s="606"/>
      <c r="GV222" s="606"/>
      <c r="GW222" s="606"/>
      <c r="GX222" s="606"/>
      <c r="GY222" s="606"/>
      <c r="GZ222" s="606"/>
      <c r="HA222" s="606"/>
      <c r="HB222" s="606"/>
      <c r="HC222" s="606"/>
      <c r="HD222" s="606"/>
      <c r="HE222" s="606"/>
      <c r="HF222" s="606"/>
      <c r="HG222" s="606"/>
      <c r="HH222" s="606"/>
      <c r="HI222" s="606"/>
      <c r="HJ222" s="606"/>
      <c r="HK222" s="606"/>
      <c r="HL222" s="606"/>
      <c r="HM222" s="606"/>
      <c r="HN222" s="606"/>
      <c r="HO222" s="606"/>
      <c r="HP222" s="606"/>
      <c r="HQ222" s="606"/>
      <c r="HR222" s="606"/>
      <c r="HS222" s="606"/>
      <c r="HT222" s="606"/>
      <c r="HU222" s="606"/>
      <c r="HV222" s="606"/>
      <c r="HW222" s="606"/>
      <c r="HX222" s="606"/>
      <c r="HY222" s="606"/>
      <c r="IH222" s="279">
        <f t="shared" si="236"/>
        <v>36.663561314911711</v>
      </c>
      <c r="II222" s="279">
        <f t="shared" si="237"/>
        <v>36.239365559982147</v>
      </c>
      <c r="IJ222" s="323">
        <f t="shared" si="232"/>
        <v>72.902926874893865</v>
      </c>
      <c r="IK222" s="279">
        <f t="shared" si="238"/>
        <v>35.790198031999999</v>
      </c>
      <c r="KT222" s="280"/>
    </row>
    <row r="223" spans="2:306" hidden="1" outlineLevel="1">
      <c r="B223" s="96" t="s">
        <v>338</v>
      </c>
      <c r="D223" s="296" t="s">
        <v>426</v>
      </c>
      <c r="E223" s="293"/>
      <c r="F223" s="293"/>
      <c r="G223" s="293"/>
      <c r="H223" s="293"/>
      <c r="I223" s="293"/>
      <c r="J223" s="293"/>
      <c r="K223" s="293"/>
      <c r="L223" s="293"/>
      <c r="M223" s="293"/>
      <c r="N223" s="293"/>
      <c r="O223" s="293"/>
      <c r="P223" s="293"/>
      <c r="Q223" s="293"/>
      <c r="R223" s="293"/>
      <c r="S223" s="293"/>
      <c r="T223" s="293"/>
      <c r="U223" s="293"/>
      <c r="V223" s="293"/>
      <c r="W223" s="293"/>
      <c r="X223" s="293"/>
      <c r="Y223" s="293"/>
      <c r="Z223" s="293"/>
      <c r="AA223" s="293"/>
      <c r="AB223" s="293"/>
      <c r="AC223" s="293"/>
      <c r="AD223" s="293"/>
      <c r="AE223" s="293"/>
      <c r="AF223" s="293"/>
      <c r="AG223" s="293"/>
      <c r="AH223" s="293"/>
      <c r="AI223" s="293">
        <v>3.7878E-3</v>
      </c>
      <c r="AJ223" s="293">
        <v>4.1001399999999999E-4</v>
      </c>
      <c r="AK223" s="293">
        <v>0</v>
      </c>
      <c r="AL223" s="293">
        <v>1.6011825E-2</v>
      </c>
      <c r="AM223" s="293">
        <v>0</v>
      </c>
      <c r="AN223" s="293">
        <v>0</v>
      </c>
      <c r="AO223" s="293">
        <v>0</v>
      </c>
      <c r="AP223" s="293">
        <v>5.9320000000000001E-6</v>
      </c>
      <c r="AQ223" s="293">
        <v>0</v>
      </c>
      <c r="AR223" s="293">
        <v>6.6048749999999996E-3</v>
      </c>
      <c r="AS223" s="293">
        <v>1.5E-6</v>
      </c>
      <c r="AT223" s="293">
        <v>6.3130000000000004E-6</v>
      </c>
      <c r="AU223" s="293">
        <v>0</v>
      </c>
      <c r="AV223" s="293">
        <v>0</v>
      </c>
      <c r="AW223" s="293">
        <v>0</v>
      </c>
      <c r="AX223" s="293">
        <v>0</v>
      </c>
      <c r="AY223" s="293">
        <v>6.3749999999999999E-6</v>
      </c>
      <c r="AZ223" s="293">
        <v>0</v>
      </c>
      <c r="BA223" s="293">
        <v>0</v>
      </c>
      <c r="BB223" s="293">
        <v>0</v>
      </c>
      <c r="BC223" s="293">
        <v>0</v>
      </c>
      <c r="BD223" s="293">
        <v>0</v>
      </c>
      <c r="BE223" s="293">
        <v>0</v>
      </c>
      <c r="BF223" s="293">
        <v>0</v>
      </c>
      <c r="BG223" s="293">
        <v>0</v>
      </c>
      <c r="BH223" s="293">
        <v>0</v>
      </c>
      <c r="BI223" s="293">
        <v>0</v>
      </c>
      <c r="BJ223" s="293">
        <v>0</v>
      </c>
      <c r="BK223" s="293">
        <v>0</v>
      </c>
      <c r="BL223" s="293">
        <v>4.2000000000000004E-5</v>
      </c>
      <c r="BM223" s="293">
        <v>2.3999999999999998E-4</v>
      </c>
      <c r="BN223" s="293">
        <v>0</v>
      </c>
      <c r="BO223" s="293">
        <v>0</v>
      </c>
      <c r="BP223" s="293">
        <v>0</v>
      </c>
      <c r="BQ223" s="293">
        <v>0</v>
      </c>
      <c r="BR223" s="293">
        <v>0</v>
      </c>
      <c r="BS223" s="293">
        <v>0</v>
      </c>
      <c r="BT223" s="293">
        <v>0</v>
      </c>
      <c r="BU223" s="293">
        <v>0</v>
      </c>
      <c r="BV223" s="293">
        <v>0</v>
      </c>
      <c r="BW223" s="293">
        <v>0</v>
      </c>
      <c r="BX223" s="293">
        <v>0</v>
      </c>
      <c r="BY223" s="293">
        <v>0</v>
      </c>
      <c r="BZ223" s="293">
        <v>0</v>
      </c>
      <c r="CA223" s="293">
        <v>0</v>
      </c>
      <c r="CB223" s="293">
        <v>0</v>
      </c>
      <c r="CC223" s="293">
        <v>0</v>
      </c>
      <c r="CD223" s="293">
        <v>0</v>
      </c>
      <c r="CE223" s="294">
        <v>0</v>
      </c>
      <c r="CF223" s="293">
        <v>0</v>
      </c>
      <c r="CG223" s="293">
        <v>0</v>
      </c>
      <c r="CH223" s="293">
        <v>0</v>
      </c>
      <c r="CI223" s="293">
        <v>0</v>
      </c>
      <c r="CJ223" s="293">
        <v>0</v>
      </c>
      <c r="CK223" s="293">
        <v>0</v>
      </c>
      <c r="CL223" s="293">
        <v>0</v>
      </c>
      <c r="CM223" s="293">
        <v>0</v>
      </c>
      <c r="CN223" s="293">
        <v>0</v>
      </c>
      <c r="CO223" s="293">
        <v>0</v>
      </c>
      <c r="CP223" s="295">
        <v>0</v>
      </c>
      <c r="CQ223" s="293">
        <v>0.19613696999999999</v>
      </c>
      <c r="CR223" s="293">
        <v>0.10287481599999999</v>
      </c>
      <c r="CS223" s="293">
        <v>0.88128245100000002</v>
      </c>
      <c r="CT223" s="293">
        <v>0.23854651000000002</v>
      </c>
      <c r="CU223" s="293">
        <v>0.31168724099999995</v>
      </c>
      <c r="CV223" s="293">
        <v>0.46079302799999999</v>
      </c>
      <c r="CW223" s="293">
        <v>0.58105257300000002</v>
      </c>
      <c r="CX223" s="293">
        <v>0.22504149100000001</v>
      </c>
      <c r="CY223" s="293">
        <v>0.17876561399999999</v>
      </c>
      <c r="CZ223" s="293">
        <v>0.46736693800000001</v>
      </c>
      <c r="DA223" s="293">
        <v>1.5094311060000001</v>
      </c>
      <c r="DB223" s="1288">
        <v>0.52489575799999999</v>
      </c>
      <c r="DC223" s="293">
        <v>0.16115076336019576</v>
      </c>
      <c r="DD223" s="293">
        <v>0.61717184066107078</v>
      </c>
      <c r="DE223" s="293">
        <v>0.68831319326028939</v>
      </c>
      <c r="DF223" s="293">
        <v>0.77443400553898456</v>
      </c>
      <c r="DG223" s="293">
        <v>0.75625273719333341</v>
      </c>
      <c r="DH223" s="293">
        <v>0.84409716637573162</v>
      </c>
      <c r="DI223" s="293">
        <v>0.69326260518275218</v>
      </c>
      <c r="DJ223" s="293">
        <v>0.7184912774338551</v>
      </c>
      <c r="DK223" s="293">
        <v>0.76467038815893984</v>
      </c>
      <c r="DL223" s="293">
        <v>0.79742966838863905</v>
      </c>
      <c r="DM223" s="293">
        <v>0.89337474856980625</v>
      </c>
      <c r="DN223" s="295">
        <v>1.0443280373941155</v>
      </c>
      <c r="DO223" s="293">
        <v>0</v>
      </c>
      <c r="DP223" s="293">
        <v>0</v>
      </c>
      <c r="DQ223" s="293">
        <v>0</v>
      </c>
      <c r="DR223" s="293">
        <v>0</v>
      </c>
      <c r="DS223" s="293">
        <v>0</v>
      </c>
      <c r="DT223" s="293">
        <v>0</v>
      </c>
      <c r="DU223" s="293">
        <v>0</v>
      </c>
      <c r="DV223" s="293">
        <v>0</v>
      </c>
      <c r="DW223" s="293">
        <v>0</v>
      </c>
      <c r="DX223" s="293">
        <v>0</v>
      </c>
      <c r="DY223" s="293">
        <v>0</v>
      </c>
      <c r="DZ223" s="295">
        <v>0</v>
      </c>
      <c r="EA223" s="293">
        <v>0</v>
      </c>
      <c r="EB223" s="293">
        <v>0</v>
      </c>
      <c r="EC223" s="293">
        <v>0</v>
      </c>
      <c r="ED223" s="293">
        <v>0</v>
      </c>
      <c r="EE223" s="293">
        <v>0</v>
      </c>
      <c r="EF223" s="293">
        <v>0</v>
      </c>
      <c r="EG223" s="293">
        <v>0</v>
      </c>
      <c r="EH223" s="293">
        <v>0</v>
      </c>
      <c r="EI223" s="293">
        <v>0</v>
      </c>
      <c r="EJ223" s="293">
        <v>0</v>
      </c>
      <c r="EK223" s="293">
        <v>0</v>
      </c>
      <c r="EL223" s="295">
        <v>0</v>
      </c>
      <c r="EM223" s="1080">
        <v>0</v>
      </c>
      <c r="EN223" s="1080">
        <v>0</v>
      </c>
      <c r="EO223" s="1080">
        <v>0</v>
      </c>
      <c r="EP223" s="1080">
        <v>0</v>
      </c>
      <c r="EQ223" s="1080">
        <v>0</v>
      </c>
      <c r="ER223" s="1080">
        <v>0</v>
      </c>
      <c r="ES223" s="1080">
        <v>0</v>
      </c>
      <c r="ET223" s="1080">
        <v>0</v>
      </c>
      <c r="EU223" s="1080">
        <v>0</v>
      </c>
      <c r="EV223" s="1080">
        <v>0</v>
      </c>
      <c r="EW223" s="1080">
        <v>0</v>
      </c>
      <c r="EX223" s="1340">
        <v>0</v>
      </c>
      <c r="EY223" s="1080"/>
      <c r="EZ223" s="1080"/>
      <c r="FA223" s="1080"/>
      <c r="FB223" s="1080"/>
      <c r="FC223" s="1080"/>
      <c r="FD223" s="1080"/>
      <c r="FE223" s="1080"/>
      <c r="FF223" s="1080"/>
      <c r="FG223" s="1080"/>
      <c r="FH223" s="1080"/>
      <c r="FI223" s="1080"/>
      <c r="FJ223" s="1340"/>
      <c r="FK223" s="1080"/>
      <c r="FL223" s="1080"/>
      <c r="FM223" s="1080"/>
      <c r="FN223" s="1080"/>
      <c r="FO223" s="1080"/>
      <c r="FP223" s="1080"/>
      <c r="FQ223" s="293"/>
      <c r="FR223" s="293"/>
      <c r="FS223" s="293"/>
      <c r="FT223" s="293"/>
      <c r="FU223" s="293"/>
      <c r="FV223" s="293"/>
      <c r="FW223" s="293"/>
      <c r="FX223" s="293"/>
      <c r="FY223" s="293"/>
      <c r="FZ223" s="293"/>
      <c r="GA223" s="293"/>
      <c r="GB223" s="293"/>
      <c r="GC223" s="293"/>
      <c r="GD223" s="293"/>
      <c r="GE223" s="293"/>
      <c r="GF223" s="293"/>
      <c r="GG223" s="293"/>
      <c r="GH223" s="293"/>
      <c r="GI223" s="293"/>
      <c r="GJ223" s="293"/>
      <c r="GK223" s="293"/>
      <c r="GL223" s="293"/>
      <c r="GM223" s="293"/>
      <c r="GN223" s="293"/>
      <c r="GO223" s="293"/>
      <c r="GP223" s="293"/>
      <c r="GQ223" s="293"/>
      <c r="GR223" s="293"/>
      <c r="GS223" s="293"/>
      <c r="GT223" s="293"/>
      <c r="GU223" s="293"/>
      <c r="GV223" s="293"/>
      <c r="GW223" s="293"/>
      <c r="GX223" s="293"/>
      <c r="GY223" s="293"/>
      <c r="GZ223" s="293"/>
      <c r="HA223" s="293"/>
      <c r="HB223" s="293"/>
      <c r="HC223" s="293"/>
      <c r="HD223" s="293"/>
      <c r="HE223" s="293"/>
      <c r="HF223" s="293"/>
      <c r="HG223" s="293"/>
      <c r="HH223" s="293"/>
      <c r="HI223" s="293"/>
      <c r="HJ223" s="293"/>
      <c r="HK223" s="293"/>
      <c r="HL223" s="293"/>
      <c r="HM223" s="293"/>
      <c r="HN223" s="293"/>
      <c r="HO223" s="293"/>
      <c r="HP223" s="293"/>
      <c r="HQ223" s="293"/>
      <c r="HR223" s="293"/>
      <c r="HS223" s="293"/>
      <c r="HT223" s="293"/>
      <c r="HU223" s="293"/>
      <c r="HV223" s="293"/>
      <c r="HW223" s="293"/>
      <c r="HX223" s="293"/>
      <c r="HY223" s="293"/>
      <c r="IH223" s="279">
        <f t="shared" si="236"/>
        <v>3.8414197063896056</v>
      </c>
      <c r="II223" s="279">
        <f t="shared" si="237"/>
        <v>4.9115567251281078</v>
      </c>
      <c r="IJ223" s="323">
        <f t="shared" si="232"/>
        <v>8.7529764315177125</v>
      </c>
      <c r="IK223" s="279">
        <f t="shared" si="238"/>
        <v>0</v>
      </c>
      <c r="KT223" s="280"/>
    </row>
    <row r="224" spans="2:306" hidden="1" outlineLevel="1">
      <c r="B224" s="96" t="s">
        <v>338</v>
      </c>
      <c r="D224" s="296" t="s">
        <v>427</v>
      </c>
      <c r="E224" s="293">
        <v>0.13460244499999999</v>
      </c>
      <c r="F224" s="293">
        <v>0.12039069299999999</v>
      </c>
      <c r="G224" s="293">
        <v>0.116645427</v>
      </c>
      <c r="H224" s="293">
        <v>0.12070149600000001</v>
      </c>
      <c r="I224" s="293">
        <v>0.113644941</v>
      </c>
      <c r="J224" s="293">
        <v>0.10596032200000001</v>
      </c>
      <c r="K224" s="293">
        <v>0.14027067600000001</v>
      </c>
      <c r="L224" s="293">
        <v>0.201951092</v>
      </c>
      <c r="M224" s="293">
        <v>0.163350089</v>
      </c>
      <c r="N224" s="293">
        <v>0.150508489</v>
      </c>
      <c r="O224" s="293">
        <v>0.149140468</v>
      </c>
      <c r="P224" s="293">
        <v>0.155245725</v>
      </c>
      <c r="Q224" s="293">
        <v>0.13995253099999999</v>
      </c>
      <c r="R224" s="293">
        <v>0.14770439799999999</v>
      </c>
      <c r="S224" s="293">
        <v>0.17964501499999999</v>
      </c>
      <c r="T224" s="293">
        <v>0.15539027499999999</v>
      </c>
      <c r="U224" s="293">
        <v>0.14696535700000002</v>
      </c>
      <c r="V224" s="293">
        <v>0.191164056</v>
      </c>
      <c r="W224" s="293">
        <v>0.14576831899999998</v>
      </c>
      <c r="X224" s="293">
        <v>0.178982681</v>
      </c>
      <c r="Y224" s="293">
        <v>0.16054040900000002</v>
      </c>
      <c r="Z224" s="293">
        <v>0.175199401</v>
      </c>
      <c r="AA224" s="293">
        <v>0.23231686099999999</v>
      </c>
      <c r="AB224" s="293">
        <v>0.28301336900000001</v>
      </c>
      <c r="AC224" s="293">
        <v>0.19999209700000001</v>
      </c>
      <c r="AD224" s="293">
        <v>0.19383410500000001</v>
      </c>
      <c r="AE224" s="293">
        <v>0.203162915</v>
      </c>
      <c r="AF224" s="293">
        <v>0.22560445700000001</v>
      </c>
      <c r="AG224" s="293">
        <v>0.181731265</v>
      </c>
      <c r="AH224" s="293">
        <v>0.24682662</v>
      </c>
      <c r="AI224" s="293">
        <v>0.23377483399999999</v>
      </c>
      <c r="AJ224" s="293">
        <v>0.18078339700000001</v>
      </c>
      <c r="AK224" s="293">
        <v>0.161345776</v>
      </c>
      <c r="AL224" s="293">
        <v>0.158282056</v>
      </c>
      <c r="AM224" s="293">
        <v>0.159382195</v>
      </c>
      <c r="AN224" s="293">
        <v>0.15124401299999998</v>
      </c>
      <c r="AO224" s="293">
        <v>0.24614446699999998</v>
      </c>
      <c r="AP224" s="293">
        <v>0.182196785</v>
      </c>
      <c r="AQ224" s="293">
        <v>0.15502202299999998</v>
      </c>
      <c r="AR224" s="293">
        <v>0.16192130599999999</v>
      </c>
      <c r="AS224" s="293">
        <v>0.12381484600000001</v>
      </c>
      <c r="AT224" s="293">
        <v>0.22341687699999999</v>
      </c>
      <c r="AU224" s="293">
        <v>0.21000725399999998</v>
      </c>
      <c r="AV224" s="293">
        <v>0.121012246</v>
      </c>
      <c r="AW224" s="293">
        <v>0.172883115</v>
      </c>
      <c r="AX224" s="293">
        <v>0.17398932</v>
      </c>
      <c r="AY224" s="293">
        <v>0.16160301799999999</v>
      </c>
      <c r="AZ224" s="293">
        <v>0.322400458</v>
      </c>
      <c r="BA224" s="293">
        <v>0.38699465199999999</v>
      </c>
      <c r="BB224" s="293">
        <v>0.194468851</v>
      </c>
      <c r="BC224" s="293">
        <v>7.8430404999999995E-2</v>
      </c>
      <c r="BD224" s="293">
        <v>7.6699723999999997E-2</v>
      </c>
      <c r="BE224" s="293">
        <v>7.5602790000000003E-2</v>
      </c>
      <c r="BF224" s="293">
        <v>8.8198251999999991E-2</v>
      </c>
      <c r="BG224" s="293">
        <v>6.7034008999999992E-2</v>
      </c>
      <c r="BH224" s="293">
        <v>0.13405695000000001</v>
      </c>
      <c r="BI224" s="293">
        <v>8.4780164999999991E-2</v>
      </c>
      <c r="BJ224" s="293">
        <v>7.1921552999999999E-2</v>
      </c>
      <c r="BK224" s="293">
        <v>6.8565324000000011E-2</v>
      </c>
      <c r="BL224" s="293">
        <v>0.12128198799999999</v>
      </c>
      <c r="BM224" s="293">
        <v>0.17696852000000002</v>
      </c>
      <c r="BN224" s="293">
        <v>0.10485575</v>
      </c>
      <c r="BO224" s="293">
        <v>9.4458009000000009E-2</v>
      </c>
      <c r="BP224" s="293">
        <v>0.100323835</v>
      </c>
      <c r="BQ224" s="293">
        <v>0.137184114</v>
      </c>
      <c r="BR224" s="293">
        <v>0.12829403</v>
      </c>
      <c r="BS224" s="293">
        <v>6.4976502999999991E-2</v>
      </c>
      <c r="BT224" s="293">
        <v>5.6531950000000004E-2</v>
      </c>
      <c r="BU224" s="293">
        <v>0.11126264700000001</v>
      </c>
      <c r="BV224" s="293">
        <v>8.6393119000000004E-2</v>
      </c>
      <c r="BW224" s="293">
        <v>8.6886043999999996E-2</v>
      </c>
      <c r="BX224" s="293">
        <v>0.14360203200000002</v>
      </c>
      <c r="BY224" s="293">
        <v>0.26380514499999996</v>
      </c>
      <c r="BZ224" s="293">
        <v>0.123350112</v>
      </c>
      <c r="CA224" s="293">
        <v>0.114635822</v>
      </c>
      <c r="CB224" s="293">
        <v>0.14098519800000001</v>
      </c>
      <c r="CC224" s="293">
        <v>0.11496635600000001</v>
      </c>
      <c r="CD224" s="293">
        <v>0</v>
      </c>
      <c r="CE224" s="294">
        <v>0</v>
      </c>
      <c r="CF224" s="293">
        <v>0</v>
      </c>
      <c r="CG224" s="293">
        <v>0</v>
      </c>
      <c r="CH224" s="293">
        <v>0</v>
      </c>
      <c r="CI224" s="293">
        <v>0</v>
      </c>
      <c r="CJ224" s="293">
        <v>0</v>
      </c>
      <c r="CK224" s="293">
        <v>0</v>
      </c>
      <c r="CL224" s="293">
        <v>0</v>
      </c>
      <c r="CM224" s="293">
        <v>0</v>
      </c>
      <c r="CN224" s="293">
        <v>0</v>
      </c>
      <c r="CO224" s="293">
        <v>0</v>
      </c>
      <c r="CP224" s="295">
        <v>0</v>
      </c>
      <c r="CQ224" s="293">
        <v>0</v>
      </c>
      <c r="CR224" s="293">
        <v>0</v>
      </c>
      <c r="CS224" s="293">
        <v>0</v>
      </c>
      <c r="CT224" s="293">
        <v>0</v>
      </c>
      <c r="CU224" s="293">
        <v>0</v>
      </c>
      <c r="CV224" s="293">
        <v>0</v>
      </c>
      <c r="CW224" s="293">
        <v>0</v>
      </c>
      <c r="CX224" s="293">
        <v>0</v>
      </c>
      <c r="CY224" s="293">
        <v>0</v>
      </c>
      <c r="CZ224" s="293">
        <v>0</v>
      </c>
      <c r="DA224" s="293">
        <v>0</v>
      </c>
      <c r="DB224" s="1288">
        <v>0</v>
      </c>
      <c r="DC224" s="293">
        <v>0</v>
      </c>
      <c r="DD224" s="293">
        <v>0</v>
      </c>
      <c r="DE224" s="293">
        <v>0</v>
      </c>
      <c r="DF224" s="293">
        <v>0</v>
      </c>
      <c r="DG224" s="293">
        <v>0</v>
      </c>
      <c r="DH224" s="293">
        <v>0</v>
      </c>
      <c r="DI224" s="293">
        <v>0</v>
      </c>
      <c r="DJ224" s="293">
        <v>0</v>
      </c>
      <c r="DK224" s="293">
        <v>0</v>
      </c>
      <c r="DL224" s="293">
        <v>0</v>
      </c>
      <c r="DM224" s="293">
        <v>0</v>
      </c>
      <c r="DN224" s="295">
        <v>0</v>
      </c>
      <c r="DO224" s="293">
        <v>0</v>
      </c>
      <c r="DP224" s="293">
        <v>0</v>
      </c>
      <c r="DQ224" s="293">
        <v>0</v>
      </c>
      <c r="DR224" s="293">
        <v>0</v>
      </c>
      <c r="DS224" s="293">
        <v>0</v>
      </c>
      <c r="DT224" s="293">
        <v>0</v>
      </c>
      <c r="DU224" s="293">
        <v>0</v>
      </c>
      <c r="DV224" s="293">
        <v>0</v>
      </c>
      <c r="DW224" s="293">
        <v>0</v>
      </c>
      <c r="DX224" s="293">
        <v>0</v>
      </c>
      <c r="DY224" s="293">
        <v>0</v>
      </c>
      <c r="DZ224" s="295">
        <v>0</v>
      </c>
      <c r="EA224" s="293">
        <v>0</v>
      </c>
      <c r="EB224" s="293">
        <v>0</v>
      </c>
      <c r="EC224" s="293">
        <v>0</v>
      </c>
      <c r="ED224" s="293">
        <v>0</v>
      </c>
      <c r="EE224" s="293">
        <v>0</v>
      </c>
      <c r="EF224" s="293">
        <v>0</v>
      </c>
      <c r="EG224" s="293">
        <v>0</v>
      </c>
      <c r="EH224" s="293">
        <v>0</v>
      </c>
      <c r="EI224" s="293">
        <v>0</v>
      </c>
      <c r="EJ224" s="293">
        <v>0</v>
      </c>
      <c r="EK224" s="293">
        <v>0</v>
      </c>
      <c r="EL224" s="295">
        <v>0</v>
      </c>
      <c r="EM224" s="1080">
        <v>0</v>
      </c>
      <c r="EN224" s="1080">
        <v>0</v>
      </c>
      <c r="EO224" s="1080">
        <v>0</v>
      </c>
      <c r="EP224" s="1080">
        <v>0</v>
      </c>
      <c r="EQ224" s="1080">
        <v>0</v>
      </c>
      <c r="ER224" s="1080">
        <v>0</v>
      </c>
      <c r="ES224" s="1080">
        <v>0</v>
      </c>
      <c r="ET224" s="1080">
        <v>0</v>
      </c>
      <c r="EU224" s="1080">
        <v>0</v>
      </c>
      <c r="EV224" s="1080">
        <v>0</v>
      </c>
      <c r="EW224" s="1080">
        <v>0</v>
      </c>
      <c r="EX224" s="1340">
        <v>0</v>
      </c>
      <c r="EY224" s="1080"/>
      <c r="EZ224" s="1080"/>
      <c r="FA224" s="1080"/>
      <c r="FB224" s="1080"/>
      <c r="FC224" s="1080"/>
      <c r="FD224" s="1080"/>
      <c r="FE224" s="1080"/>
      <c r="FF224" s="1080"/>
      <c r="FG224" s="1080"/>
      <c r="FH224" s="1080"/>
      <c r="FI224" s="1080"/>
      <c r="FJ224" s="1340"/>
      <c r="FK224" s="1080"/>
      <c r="FL224" s="1080"/>
      <c r="FM224" s="1080"/>
      <c r="FN224" s="1080"/>
      <c r="FO224" s="1080"/>
      <c r="FP224" s="1080"/>
      <c r="FQ224" s="293"/>
      <c r="FR224" s="293"/>
      <c r="FS224" s="293"/>
      <c r="FT224" s="293"/>
      <c r="FU224" s="293"/>
      <c r="FV224" s="293"/>
      <c r="FW224" s="293"/>
      <c r="FX224" s="293"/>
      <c r="FY224" s="293"/>
      <c r="FZ224" s="293"/>
      <c r="GA224" s="293"/>
      <c r="GB224" s="293"/>
      <c r="GC224" s="293"/>
      <c r="GD224" s="293"/>
      <c r="GE224" s="293"/>
      <c r="GF224" s="293"/>
      <c r="GG224" s="293"/>
      <c r="GH224" s="293"/>
      <c r="GI224" s="293"/>
      <c r="GJ224" s="293"/>
      <c r="GK224" s="293"/>
      <c r="GL224" s="293"/>
      <c r="GM224" s="293"/>
      <c r="GN224" s="293"/>
      <c r="GO224" s="293"/>
      <c r="GP224" s="293"/>
      <c r="GQ224" s="293"/>
      <c r="GR224" s="293"/>
      <c r="GS224" s="293"/>
      <c r="GT224" s="293"/>
      <c r="GU224" s="293"/>
      <c r="GV224" s="293"/>
      <c r="GW224" s="293"/>
      <c r="GX224" s="293"/>
      <c r="GY224" s="293"/>
      <c r="GZ224" s="293"/>
      <c r="HA224" s="293"/>
      <c r="HB224" s="293"/>
      <c r="HC224" s="293"/>
      <c r="HD224" s="293"/>
      <c r="HE224" s="293"/>
      <c r="HF224" s="293"/>
      <c r="HG224" s="293"/>
      <c r="HH224" s="293"/>
      <c r="HI224" s="293"/>
      <c r="HJ224" s="293"/>
      <c r="HK224" s="293"/>
      <c r="HL224" s="293"/>
      <c r="HM224" s="293"/>
      <c r="HN224" s="293"/>
      <c r="HO224" s="293"/>
      <c r="HP224" s="293"/>
      <c r="HQ224" s="293"/>
      <c r="HR224" s="293"/>
      <c r="HS224" s="293"/>
      <c r="HT224" s="293"/>
      <c r="HU224" s="293"/>
      <c r="HV224" s="293"/>
      <c r="HW224" s="293"/>
      <c r="HX224" s="293"/>
      <c r="HY224" s="293"/>
      <c r="IH224" s="279">
        <f t="shared" si="236"/>
        <v>0</v>
      </c>
      <c r="II224" s="279">
        <f t="shared" si="237"/>
        <v>0</v>
      </c>
      <c r="IJ224" s="323">
        <f t="shared" si="232"/>
        <v>0</v>
      </c>
      <c r="IK224" s="279">
        <f t="shared" si="238"/>
        <v>0</v>
      </c>
      <c r="KT224" s="280"/>
    </row>
    <row r="225" spans="1:306" hidden="1" outlineLevel="1">
      <c r="D225" s="844" t="s">
        <v>1029</v>
      </c>
      <c r="E225" s="293"/>
      <c r="F225" s="293"/>
      <c r="G225" s="293"/>
      <c r="H225" s="293"/>
      <c r="I225" s="293"/>
      <c r="J225" s="293"/>
      <c r="K225" s="293"/>
      <c r="L225" s="293"/>
      <c r="M225" s="293"/>
      <c r="N225" s="293"/>
      <c r="O225" s="293"/>
      <c r="P225" s="293"/>
      <c r="Q225" s="293"/>
      <c r="R225" s="293"/>
      <c r="S225" s="293"/>
      <c r="T225" s="293"/>
      <c r="U225" s="293"/>
      <c r="V225" s="293"/>
      <c r="W225" s="293"/>
      <c r="X225" s="293"/>
      <c r="Y225" s="29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c r="BN225" s="293"/>
      <c r="BO225" s="293"/>
      <c r="BP225" s="293"/>
      <c r="BQ225" s="293"/>
      <c r="BR225" s="293"/>
      <c r="BS225" s="293"/>
      <c r="BT225" s="293"/>
      <c r="BU225" s="293"/>
      <c r="BV225" s="293"/>
      <c r="BW225" s="293"/>
      <c r="BX225" s="293"/>
      <c r="BY225" s="293"/>
      <c r="BZ225" s="293"/>
      <c r="CA225" s="293"/>
      <c r="CB225" s="293"/>
      <c r="CC225" s="293"/>
      <c r="CD225" s="293"/>
      <c r="CE225" s="294"/>
      <c r="CF225" s="293"/>
      <c r="CG225" s="293"/>
      <c r="CH225" s="293"/>
      <c r="CI225" s="293"/>
      <c r="CJ225" s="293"/>
      <c r="CK225" s="293"/>
      <c r="CL225" s="293"/>
      <c r="CM225" s="293"/>
      <c r="CN225" s="293"/>
      <c r="CO225" s="293"/>
      <c r="CP225" s="295"/>
      <c r="CQ225" s="293"/>
      <c r="CR225" s="293"/>
      <c r="CS225" s="293"/>
      <c r="CT225" s="293"/>
      <c r="CU225" s="293"/>
      <c r="CV225" s="293"/>
      <c r="CW225" s="293"/>
      <c r="CX225" s="293"/>
      <c r="CY225" s="293"/>
      <c r="CZ225" s="293"/>
      <c r="DA225" s="293"/>
      <c r="DB225" s="1288"/>
      <c r="DC225" s="293">
        <v>9.7120276796319099E-2</v>
      </c>
      <c r="DD225" s="293">
        <v>9.4431703788642338E-2</v>
      </c>
      <c r="DE225" s="293">
        <v>9.1837686658237272E-2</v>
      </c>
      <c r="DF225" s="293">
        <v>0.11637884072691407</v>
      </c>
      <c r="DG225" s="293">
        <v>0.10428382227504068</v>
      </c>
      <c r="DH225" s="293">
        <v>0.16493304429559694</v>
      </c>
      <c r="DI225" s="293">
        <v>0.34176394031490803</v>
      </c>
      <c r="DJ225" s="293">
        <v>0.22056297483547979</v>
      </c>
      <c r="DK225" s="293">
        <v>0.26269059989013327</v>
      </c>
      <c r="DL225" s="293">
        <v>0.2339111979648299</v>
      </c>
      <c r="DM225" s="293">
        <v>0.23691384818594868</v>
      </c>
      <c r="DN225" s="295">
        <v>0.26435579749294685</v>
      </c>
      <c r="DO225" s="293">
        <v>0.81548350400000003</v>
      </c>
      <c r="DP225" s="293">
        <v>0.89468296199999997</v>
      </c>
      <c r="DQ225" s="293">
        <v>0.88994272699999999</v>
      </c>
      <c r="DR225" s="293">
        <v>0.74259006599999999</v>
      </c>
      <c r="DS225" s="293">
        <v>0.85803408800000003</v>
      </c>
      <c r="DT225" s="293">
        <v>0.95241461699999996</v>
      </c>
      <c r="DU225" s="293">
        <v>0.82779765299999997</v>
      </c>
      <c r="DV225" s="293">
        <v>0.78600829800000005</v>
      </c>
      <c r="DW225" s="293">
        <v>0.92951981500000003</v>
      </c>
      <c r="DX225" s="293">
        <v>0.81068596299999995</v>
      </c>
      <c r="DY225" s="293">
        <v>0.99184130999999998</v>
      </c>
      <c r="DZ225" s="295">
        <v>1.1211130899999999</v>
      </c>
      <c r="EA225" s="293">
        <v>0.86431013499999998</v>
      </c>
      <c r="EB225" s="293">
        <v>0.89608272</v>
      </c>
      <c r="EC225" s="293">
        <v>1.0324487339999999</v>
      </c>
      <c r="ED225" s="293">
        <v>0.98973740300000002</v>
      </c>
      <c r="EE225" s="293">
        <v>0.88089663600000001</v>
      </c>
      <c r="EF225" s="293">
        <v>1.0335363049999999</v>
      </c>
      <c r="EG225" s="293">
        <v>0.97513037800000002</v>
      </c>
      <c r="EH225" s="293">
        <v>0.82774864599999998</v>
      </c>
      <c r="EI225" s="293">
        <v>1.002834577</v>
      </c>
      <c r="EJ225" s="293">
        <v>0.90485316500000001</v>
      </c>
      <c r="EK225" s="293">
        <v>0.98641874200000002</v>
      </c>
      <c r="EL225" s="295">
        <v>1.041281949</v>
      </c>
      <c r="EM225" s="1080">
        <v>1.0299287829999999</v>
      </c>
      <c r="EN225" s="1080">
        <v>1.1369505499999999</v>
      </c>
      <c r="EO225" s="1080">
        <v>1.01343703</v>
      </c>
      <c r="EP225" s="1080">
        <v>0.98094202600000002</v>
      </c>
      <c r="EQ225" s="1080">
        <v>1.1072251980000001</v>
      </c>
      <c r="ER225" s="1080">
        <v>1.2211093550000001</v>
      </c>
      <c r="ES225" s="1080">
        <v>1.0309217020000001</v>
      </c>
      <c r="ET225" s="1080">
        <v>1.040925815</v>
      </c>
      <c r="EU225" s="1080">
        <v>1.025590373</v>
      </c>
      <c r="EV225" s="1080">
        <v>1.1776016650000001</v>
      </c>
      <c r="EW225" s="1080">
        <v>1.1498127010000001</v>
      </c>
      <c r="EX225" s="1340">
        <v>1.099506222</v>
      </c>
      <c r="EY225" s="1080"/>
      <c r="EZ225" s="1080"/>
      <c r="FA225" s="1080"/>
      <c r="FB225" s="1080"/>
      <c r="FC225" s="1080"/>
      <c r="FD225" s="1080"/>
      <c r="FE225" s="1080"/>
      <c r="FF225" s="1080"/>
      <c r="FG225" s="1080"/>
      <c r="FH225" s="1080"/>
      <c r="FI225" s="1080"/>
      <c r="FJ225" s="1340"/>
      <c r="FK225" s="1080"/>
      <c r="FL225" s="1080"/>
      <c r="FM225" s="1080"/>
      <c r="FN225" s="1080"/>
      <c r="FO225" s="1080"/>
      <c r="FP225" s="1080"/>
      <c r="FQ225" s="293"/>
      <c r="FR225" s="293"/>
      <c r="FS225" s="293"/>
      <c r="FT225" s="293"/>
      <c r="FU225" s="293"/>
      <c r="FV225" s="293"/>
      <c r="FW225" s="293"/>
      <c r="FX225" s="293"/>
      <c r="FY225" s="293"/>
      <c r="FZ225" s="293"/>
      <c r="GA225" s="293"/>
      <c r="GB225" s="293"/>
      <c r="GC225" s="293"/>
      <c r="GD225" s="293"/>
      <c r="GE225" s="293"/>
      <c r="GF225" s="293"/>
      <c r="GG225" s="293"/>
      <c r="GH225" s="293"/>
      <c r="GI225" s="293"/>
      <c r="GJ225" s="293"/>
      <c r="GK225" s="293"/>
      <c r="GL225" s="293"/>
      <c r="GM225" s="293"/>
      <c r="GN225" s="293"/>
      <c r="GO225" s="293"/>
      <c r="GP225" s="293"/>
      <c r="GQ225" s="293"/>
      <c r="GR225" s="293"/>
      <c r="GS225" s="293"/>
      <c r="GT225" s="293"/>
      <c r="GU225" s="293"/>
      <c r="GV225" s="293"/>
      <c r="GW225" s="293"/>
      <c r="GX225" s="293"/>
      <c r="GY225" s="293"/>
      <c r="GZ225" s="293"/>
      <c r="HA225" s="293"/>
      <c r="HB225" s="293"/>
      <c r="HC225" s="293"/>
      <c r="HD225" s="293"/>
      <c r="HE225" s="293"/>
      <c r="HF225" s="293"/>
      <c r="HG225" s="293"/>
      <c r="HH225" s="293"/>
      <c r="HI225" s="293"/>
      <c r="HJ225" s="293"/>
      <c r="HK225" s="293"/>
      <c r="HL225" s="293"/>
      <c r="HM225" s="293"/>
      <c r="HN225" s="293"/>
      <c r="HO225" s="293"/>
      <c r="HP225" s="293"/>
      <c r="HQ225" s="293"/>
      <c r="HR225" s="293"/>
      <c r="HS225" s="293"/>
      <c r="HT225" s="293"/>
      <c r="HU225" s="293"/>
      <c r="HV225" s="293"/>
      <c r="HW225" s="293"/>
      <c r="HX225" s="293"/>
      <c r="HY225" s="293"/>
      <c r="IJ225" s="323"/>
      <c r="IK225" s="279">
        <f t="shared" si="238"/>
        <v>5.1531479639999995</v>
      </c>
      <c r="KT225" s="280"/>
    </row>
    <row r="226" spans="1:306" hidden="1" outlineLevel="1">
      <c r="D226" s="844" t="s">
        <v>1167</v>
      </c>
      <c r="E226" s="293"/>
      <c r="F226" s="293"/>
      <c r="G226" s="293"/>
      <c r="H226" s="293"/>
      <c r="I226" s="293"/>
      <c r="J226" s="293"/>
      <c r="K226" s="293"/>
      <c r="L226" s="293"/>
      <c r="M226" s="293"/>
      <c r="N226" s="293"/>
      <c r="O226" s="293"/>
      <c r="P226" s="293"/>
      <c r="Q226" s="293"/>
      <c r="R226" s="293"/>
      <c r="S226" s="293"/>
      <c r="T226" s="293"/>
      <c r="U226" s="293"/>
      <c r="V226" s="293"/>
      <c r="W226" s="293"/>
      <c r="X226" s="293"/>
      <c r="Y226" s="29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c r="BN226" s="293"/>
      <c r="BO226" s="293"/>
      <c r="BP226" s="293"/>
      <c r="BQ226" s="293"/>
      <c r="BR226" s="293"/>
      <c r="BS226" s="293"/>
      <c r="BT226" s="293"/>
      <c r="BU226" s="293"/>
      <c r="BV226" s="293"/>
      <c r="BW226" s="293"/>
      <c r="BX226" s="293"/>
      <c r="BY226" s="293"/>
      <c r="BZ226" s="293"/>
      <c r="CA226" s="293"/>
      <c r="CB226" s="293"/>
      <c r="CC226" s="293"/>
      <c r="CD226" s="293"/>
      <c r="CE226" s="294"/>
      <c r="CF226" s="293"/>
      <c r="CG226" s="293"/>
      <c r="CH226" s="293"/>
      <c r="CI226" s="293"/>
      <c r="CJ226" s="293"/>
      <c r="CK226" s="293"/>
      <c r="CL226" s="293"/>
      <c r="CM226" s="293"/>
      <c r="CN226" s="293"/>
      <c r="CO226" s="293"/>
      <c r="CP226" s="295"/>
      <c r="CQ226" s="293"/>
      <c r="CR226" s="293"/>
      <c r="CS226" s="293"/>
      <c r="CT226" s="293"/>
      <c r="CU226" s="293"/>
      <c r="CV226" s="293"/>
      <c r="CW226" s="293"/>
      <c r="CX226" s="293"/>
      <c r="CY226" s="293"/>
      <c r="CZ226" s="293"/>
      <c r="DA226" s="293"/>
      <c r="DB226" s="1288"/>
      <c r="DC226" s="293"/>
      <c r="DD226" s="293"/>
      <c r="DE226" s="293"/>
      <c r="DF226" s="293"/>
      <c r="DG226" s="293"/>
      <c r="DH226" s="293"/>
      <c r="DI226" s="293"/>
      <c r="DJ226" s="293"/>
      <c r="DK226" s="293"/>
      <c r="DL226" s="293"/>
      <c r="DM226" s="293"/>
      <c r="DN226" s="295"/>
      <c r="DO226" s="293"/>
      <c r="DP226" s="293"/>
      <c r="DQ226" s="293"/>
      <c r="DR226" s="293"/>
      <c r="DS226" s="293"/>
      <c r="DT226" s="293"/>
      <c r="DU226" s="293"/>
      <c r="DV226" s="293"/>
      <c r="DW226" s="293"/>
      <c r="DX226" s="293"/>
      <c r="DY226" s="293"/>
      <c r="DZ226" s="295"/>
      <c r="EA226" s="293"/>
      <c r="EB226" s="293"/>
      <c r="EC226" s="293"/>
      <c r="ED226" s="293"/>
      <c r="EE226" s="293"/>
      <c r="EF226" s="293"/>
      <c r="EG226" s="293"/>
      <c r="EH226" s="293"/>
      <c r="EI226" s="293"/>
      <c r="EJ226" s="293"/>
      <c r="EK226" s="293"/>
      <c r="EL226" s="295"/>
      <c r="EM226" s="1080">
        <v>0.13584512800000001</v>
      </c>
      <c r="EN226" s="1080">
        <v>0.150573756</v>
      </c>
      <c r="EO226" s="1080">
        <v>0.12838455500000001</v>
      </c>
      <c r="EP226" s="1080">
        <v>0.12900236400000001</v>
      </c>
      <c r="EQ226" s="1080">
        <v>0.13895186500000001</v>
      </c>
      <c r="ER226" s="1080">
        <v>0.15578781799999999</v>
      </c>
      <c r="ES226" s="1080">
        <v>0.13487955600000001</v>
      </c>
      <c r="ET226" s="1080">
        <v>0.13514399899999999</v>
      </c>
      <c r="EU226" s="1080">
        <v>0.13457538999999999</v>
      </c>
      <c r="EV226" s="1080">
        <v>0.15523136400000001</v>
      </c>
      <c r="EW226" s="1080">
        <v>0.15296206000000001</v>
      </c>
      <c r="EX226" s="1340">
        <v>0.14312493600000001</v>
      </c>
      <c r="EY226" s="1080"/>
      <c r="EZ226" s="1080"/>
      <c r="FA226" s="1080"/>
      <c r="FB226" s="1080"/>
      <c r="FC226" s="1080"/>
      <c r="FD226" s="1080"/>
      <c r="FE226" s="1080"/>
      <c r="FF226" s="1080"/>
      <c r="FG226" s="1080"/>
      <c r="FH226" s="1080"/>
      <c r="FI226" s="1080"/>
      <c r="FJ226" s="1340"/>
      <c r="FK226" s="1080"/>
      <c r="FL226" s="1080"/>
      <c r="FM226" s="1080"/>
      <c r="FN226" s="1080"/>
      <c r="FO226" s="1080"/>
      <c r="FP226" s="1080"/>
      <c r="FQ226" s="293"/>
      <c r="FR226" s="293"/>
      <c r="FS226" s="293"/>
      <c r="FT226" s="293"/>
      <c r="FU226" s="293"/>
      <c r="FV226" s="293"/>
      <c r="FW226" s="293"/>
      <c r="FX226" s="293"/>
      <c r="FY226" s="293"/>
      <c r="FZ226" s="293"/>
      <c r="GA226" s="293"/>
      <c r="GB226" s="293"/>
      <c r="GC226" s="293"/>
      <c r="GD226" s="293"/>
      <c r="GE226" s="293"/>
      <c r="GF226" s="293"/>
      <c r="GG226" s="293"/>
      <c r="GH226" s="293"/>
      <c r="GI226" s="293"/>
      <c r="GJ226" s="293"/>
      <c r="GK226" s="293"/>
      <c r="GL226" s="293"/>
      <c r="GM226" s="293"/>
      <c r="GN226" s="293"/>
      <c r="GO226" s="293"/>
      <c r="GP226" s="293"/>
      <c r="GQ226" s="293"/>
      <c r="GR226" s="293"/>
      <c r="GS226" s="293"/>
      <c r="GT226" s="293"/>
      <c r="GU226" s="293"/>
      <c r="GV226" s="293"/>
      <c r="GW226" s="293"/>
      <c r="GX226" s="293"/>
      <c r="GY226" s="293"/>
      <c r="GZ226" s="293"/>
      <c r="HA226" s="293"/>
      <c r="HB226" s="293"/>
      <c r="HC226" s="293"/>
      <c r="HD226" s="293"/>
      <c r="HE226" s="293"/>
      <c r="HF226" s="293"/>
      <c r="HG226" s="293"/>
      <c r="HH226" s="293"/>
      <c r="HI226" s="293"/>
      <c r="HJ226" s="293"/>
      <c r="HK226" s="293"/>
      <c r="HL226" s="293"/>
      <c r="HM226" s="293"/>
      <c r="HN226" s="293"/>
      <c r="HO226" s="293"/>
      <c r="HP226" s="293"/>
      <c r="HQ226" s="293"/>
      <c r="HR226" s="293"/>
      <c r="HS226" s="293"/>
      <c r="HT226" s="293"/>
      <c r="HU226" s="293"/>
      <c r="HV226" s="293"/>
      <c r="HW226" s="293"/>
      <c r="HX226" s="293"/>
      <c r="HY226" s="293"/>
      <c r="IJ226" s="323"/>
      <c r="KT226" s="280"/>
    </row>
    <row r="227" spans="1:306" ht="15" hidden="1" customHeight="1" outlineLevel="1">
      <c r="B227" s="96" t="s">
        <v>338</v>
      </c>
      <c r="D227" s="309" t="s">
        <v>428</v>
      </c>
      <c r="E227" s="293">
        <v>15.900270389500001</v>
      </c>
      <c r="F227" s="293">
        <v>15.102378765900001</v>
      </c>
      <c r="G227" s="293">
        <v>22.086037131499999</v>
      </c>
      <c r="H227" s="293">
        <v>18.201817783700001</v>
      </c>
      <c r="I227" s="293">
        <v>18.360900384100002</v>
      </c>
      <c r="J227" s="293">
        <v>24.982421092700001</v>
      </c>
      <c r="K227" s="293">
        <v>17.3240368479</v>
      </c>
      <c r="L227" s="293">
        <v>18.747609784599998</v>
      </c>
      <c r="M227" s="293">
        <v>21.873555507399999</v>
      </c>
      <c r="N227" s="293">
        <v>18.669706724499999</v>
      </c>
      <c r="O227" s="293">
        <v>20.230525147999998</v>
      </c>
      <c r="P227" s="293">
        <v>23.902143403100006</v>
      </c>
      <c r="Q227" s="293">
        <v>21.087327168000002</v>
      </c>
      <c r="R227" s="293">
        <v>20.690058716999999</v>
      </c>
      <c r="S227" s="293">
        <v>26.405317320999998</v>
      </c>
      <c r="T227" s="293">
        <v>23.271331894999999</v>
      </c>
      <c r="U227" s="293">
        <v>23.641492929000002</v>
      </c>
      <c r="V227" s="293">
        <v>35.306892220000002</v>
      </c>
      <c r="W227" s="293">
        <v>24.372739454000001</v>
      </c>
      <c r="X227" s="293">
        <v>24.683473452999998</v>
      </c>
      <c r="Y227" s="293">
        <v>35.050593321999997</v>
      </c>
      <c r="Z227" s="293">
        <v>29.308416343999998</v>
      </c>
      <c r="AA227" s="293">
        <v>25.515420328000001</v>
      </c>
      <c r="AB227" s="293">
        <v>37.627979185000001</v>
      </c>
      <c r="AC227" s="293">
        <v>27.9572495946</v>
      </c>
      <c r="AD227" s="293">
        <v>28.364116906500001</v>
      </c>
      <c r="AE227" s="293">
        <v>32.965941546900005</v>
      </c>
      <c r="AF227" s="293">
        <v>27.311951837500001</v>
      </c>
      <c r="AG227" s="293">
        <v>26.835357422999998</v>
      </c>
      <c r="AH227" s="293">
        <v>36.675784828499999</v>
      </c>
      <c r="AI227" s="293">
        <v>26.011453915600001</v>
      </c>
      <c r="AJ227" s="293">
        <v>27.523233182400002</v>
      </c>
      <c r="AK227" s="293">
        <v>32.590949348900004</v>
      </c>
      <c r="AL227" s="293">
        <v>25.582110614700003</v>
      </c>
      <c r="AM227" s="293">
        <v>29.006403433400003</v>
      </c>
      <c r="AN227" s="293">
        <v>37.902355736000004</v>
      </c>
      <c r="AO227" s="293">
        <v>28.468137239499995</v>
      </c>
      <c r="AP227" s="293">
        <v>27.464071189400006</v>
      </c>
      <c r="AQ227" s="293">
        <v>43.631684612899996</v>
      </c>
      <c r="AR227" s="293">
        <v>29.317532812800003</v>
      </c>
      <c r="AS227" s="293">
        <v>28.298698128800005</v>
      </c>
      <c r="AT227" s="293">
        <v>36.112201429100004</v>
      </c>
      <c r="AU227" s="293">
        <v>30.368651599300001</v>
      </c>
      <c r="AV227" s="293">
        <v>33.2871120334</v>
      </c>
      <c r="AW227" s="293">
        <v>37.863616466745086</v>
      </c>
      <c r="AX227" s="293">
        <v>32.589924484431073</v>
      </c>
      <c r="AY227" s="293">
        <v>34.350844690518002</v>
      </c>
      <c r="AZ227" s="293">
        <v>45.277497729415998</v>
      </c>
      <c r="BA227" s="293">
        <v>37.411114440013598</v>
      </c>
      <c r="BB227" s="293">
        <v>31.573080102900001</v>
      </c>
      <c r="BC227" s="293">
        <v>48.33347621835</v>
      </c>
      <c r="BD227" s="293">
        <v>35.564303945821599</v>
      </c>
      <c r="BE227" s="293">
        <v>40.177170076806377</v>
      </c>
      <c r="BF227" s="293">
        <v>45.815386335698008</v>
      </c>
      <c r="BG227" s="293">
        <v>35.297975336865818</v>
      </c>
      <c r="BH227" s="293">
        <v>40.216656254991555</v>
      </c>
      <c r="BI227" s="293">
        <v>46.946961206389489</v>
      </c>
      <c r="BJ227" s="293">
        <v>39.850780304195297</v>
      </c>
      <c r="BK227" s="293">
        <v>40.903609818049247</v>
      </c>
      <c r="BL227" s="293">
        <v>51.922997772848802</v>
      </c>
      <c r="BM227" s="293">
        <v>42.079086980470997</v>
      </c>
      <c r="BN227" s="293">
        <v>42.587990136630232</v>
      </c>
      <c r="BO227" s="293">
        <v>58.110797098893642</v>
      </c>
      <c r="BP227" s="293">
        <v>42.644542384611952</v>
      </c>
      <c r="BQ227" s="293">
        <v>52.704327631105855</v>
      </c>
      <c r="BR227" s="293">
        <v>55.584335644260406</v>
      </c>
      <c r="BS227" s="293">
        <v>45.616169956503988</v>
      </c>
      <c r="BT227" s="293">
        <v>48.517228817339308</v>
      </c>
      <c r="BU227" s="293">
        <v>54.770296613331489</v>
      </c>
      <c r="BV227" s="293">
        <v>49.630867935847377</v>
      </c>
      <c r="BW227" s="293">
        <v>47.73854370565882</v>
      </c>
      <c r="BX227" s="293">
        <v>54.546352951955171</v>
      </c>
      <c r="BY227" s="293">
        <v>50.759378499466337</v>
      </c>
      <c r="BZ227" s="293">
        <v>49.54590144869843</v>
      </c>
      <c r="CA227" s="293">
        <v>69.941717107830286</v>
      </c>
      <c r="CB227" s="293">
        <v>49.834096165206468</v>
      </c>
      <c r="CC227" s="293">
        <v>51.997049962222945</v>
      </c>
      <c r="CD227" s="293">
        <v>0.15345123499999999</v>
      </c>
      <c r="CE227" s="294">
        <v>0.10934197600000001</v>
      </c>
      <c r="CF227" s="293">
        <v>0.10372532</v>
      </c>
      <c r="CG227" s="293">
        <v>0.135653053</v>
      </c>
      <c r="CH227" s="293">
        <v>0.17609335800000001</v>
      </c>
      <c r="CI227" s="293">
        <v>0.242492759</v>
      </c>
      <c r="CJ227" s="293">
        <v>0.28814543400000003</v>
      </c>
      <c r="CK227" s="293">
        <v>0.377725384</v>
      </c>
      <c r="CL227" s="293">
        <v>0.27571503799999997</v>
      </c>
      <c r="CM227" s="293">
        <v>0.36636174899999996</v>
      </c>
      <c r="CN227" s="293">
        <v>0.26636611699999996</v>
      </c>
      <c r="CO227" s="293">
        <v>0.31336884199999998</v>
      </c>
      <c r="CP227" s="295">
        <v>2.316905019</v>
      </c>
      <c r="CQ227" s="293">
        <v>0.16995152699999999</v>
      </c>
      <c r="CR227" s="293">
        <v>0.163872087</v>
      </c>
      <c r="CS227" s="293">
        <v>0.14794943799999999</v>
      </c>
      <c r="CT227" s="293">
        <v>0.184970255</v>
      </c>
      <c r="CU227" s="293">
        <v>0.15801443800000001</v>
      </c>
      <c r="CV227" s="293">
        <v>0.240922414</v>
      </c>
      <c r="CW227" s="293">
        <v>0.29650723200000001</v>
      </c>
      <c r="CX227" s="293">
        <v>0.18710010299999999</v>
      </c>
      <c r="CY227" s="293">
        <v>0.17879928</v>
      </c>
      <c r="CZ227" s="293">
        <v>0.19023720399999999</v>
      </c>
      <c r="DA227" s="293">
        <v>0.26170312200000001</v>
      </c>
      <c r="DB227" s="1288">
        <v>0.46213896199999999</v>
      </c>
      <c r="DC227" s="293">
        <v>9.7120276796319099E-2</v>
      </c>
      <c r="DD227" s="293">
        <v>9.4431703788642338E-2</v>
      </c>
      <c r="DE227" s="293">
        <v>9.1837686658237272E-2</v>
      </c>
      <c r="DF227" s="293">
        <v>0.11637884072691407</v>
      </c>
      <c r="DG227" s="293">
        <v>0.10428382227504068</v>
      </c>
      <c r="DH227" s="293">
        <v>0.16493304429559694</v>
      </c>
      <c r="DI227" s="293">
        <v>0</v>
      </c>
      <c r="DJ227" s="293">
        <v>0</v>
      </c>
      <c r="DK227" s="293">
        <v>0</v>
      </c>
      <c r="DL227" s="293">
        <v>0</v>
      </c>
      <c r="DM227" s="293">
        <v>0</v>
      </c>
      <c r="DN227" s="295">
        <v>0</v>
      </c>
      <c r="DO227" s="293">
        <v>0.338236178</v>
      </c>
      <c r="DP227" s="293">
        <v>0.31939996999999998</v>
      </c>
      <c r="DQ227" s="293">
        <v>0.32449750500000002</v>
      </c>
      <c r="DR227" s="293">
        <v>0.28117113700000002</v>
      </c>
      <c r="DS227" s="293">
        <v>0.286505071</v>
      </c>
      <c r="DT227" s="293">
        <v>0.31512406599999998</v>
      </c>
      <c r="DU227" s="293">
        <v>0.48557242900000003</v>
      </c>
      <c r="DV227" s="293">
        <v>0.352901415</v>
      </c>
      <c r="DW227" s="293">
        <v>0.34565947800000002</v>
      </c>
      <c r="DX227" s="293">
        <v>0.32050231600000001</v>
      </c>
      <c r="DY227" s="293">
        <v>0.35486980400000001</v>
      </c>
      <c r="DZ227" s="295">
        <v>0.36940208800000002</v>
      </c>
      <c r="EA227" s="293">
        <v>0.44832762599999998</v>
      </c>
      <c r="EB227" s="293">
        <v>0.449873894</v>
      </c>
      <c r="EC227" s="293">
        <v>0.48412061799999995</v>
      </c>
      <c r="ED227" s="293">
        <v>0.49513671100000001</v>
      </c>
      <c r="EE227" s="293">
        <v>0.49792749600000002</v>
      </c>
      <c r="EF227" s="293">
        <v>0.28456489500000004</v>
      </c>
      <c r="EG227" s="293">
        <v>0.68420377499999996</v>
      </c>
      <c r="EH227" s="293">
        <v>0.47026225499999996</v>
      </c>
      <c r="EI227" s="293">
        <v>0.51674487599999996</v>
      </c>
      <c r="EJ227" s="293">
        <v>0.47400691700000003</v>
      </c>
      <c r="EK227" s="293">
        <v>0.53686208000000002</v>
      </c>
      <c r="EL227" s="295">
        <v>0.49788368700000002</v>
      </c>
      <c r="EM227" s="1083">
        <v>0.40149632600000001</v>
      </c>
      <c r="EN227" s="1083">
        <v>0.45098290699999999</v>
      </c>
      <c r="EO227" s="1083">
        <v>0.36210445400000002</v>
      </c>
      <c r="EP227" s="1083">
        <v>0.42491784399999999</v>
      </c>
      <c r="EQ227" s="1083">
        <v>0.45425315500000002</v>
      </c>
      <c r="ER227" s="1083">
        <v>1.4095205559999999</v>
      </c>
      <c r="ES227" s="1080">
        <v>0.75799177885623692</v>
      </c>
      <c r="ET227" s="1080">
        <v>0.49299731556263282</v>
      </c>
      <c r="EU227" s="1080">
        <v>0.52898659743276255</v>
      </c>
      <c r="EV227" s="1080">
        <v>0.57390542855242188</v>
      </c>
      <c r="EW227" s="1080">
        <v>0.35553299164170937</v>
      </c>
      <c r="EX227" s="1340">
        <v>0.39772355289949246</v>
      </c>
      <c r="EY227" s="1080"/>
      <c r="EZ227" s="1080"/>
      <c r="FA227" s="1080"/>
      <c r="FB227" s="1080"/>
      <c r="FC227" s="1080"/>
      <c r="FD227" s="1080"/>
      <c r="FE227" s="1080"/>
      <c r="FF227" s="1080"/>
      <c r="FG227" s="1080"/>
      <c r="FH227" s="1080"/>
      <c r="FI227" s="1080"/>
      <c r="FJ227" s="1340"/>
      <c r="FK227" s="1080"/>
      <c r="FL227" s="1080"/>
      <c r="FM227" s="1080"/>
      <c r="FN227" s="1080"/>
      <c r="FO227" s="1080"/>
      <c r="FP227" s="1080"/>
      <c r="FQ227" s="293"/>
      <c r="FR227" s="293"/>
      <c r="FS227" s="293"/>
      <c r="FT227" s="293"/>
      <c r="FU227" s="293"/>
      <c r="FV227" s="293"/>
      <c r="FW227" s="293"/>
      <c r="FX227" s="293"/>
      <c r="FY227" s="293"/>
      <c r="FZ227" s="293"/>
      <c r="GA227" s="293"/>
      <c r="GB227" s="293"/>
      <c r="GC227" s="293"/>
      <c r="GD227" s="293"/>
      <c r="GE227" s="293"/>
      <c r="GF227" s="293"/>
      <c r="GG227" s="293"/>
      <c r="GH227" s="293"/>
      <c r="GI227" s="293"/>
      <c r="GJ227" s="293"/>
      <c r="GK227" s="293"/>
      <c r="GL227" s="293"/>
      <c r="GM227" s="293"/>
      <c r="GN227" s="293"/>
      <c r="GO227" s="293"/>
      <c r="GP227" s="293"/>
      <c r="GQ227" s="293"/>
      <c r="GR227" s="293"/>
      <c r="GS227" s="293"/>
      <c r="GT227" s="293"/>
      <c r="GU227" s="293"/>
      <c r="GV227" s="293"/>
      <c r="GW227" s="293"/>
      <c r="GX227" s="293"/>
      <c r="GY227" s="293"/>
      <c r="GZ227" s="293"/>
      <c r="HA227" s="293"/>
      <c r="HB227" s="293"/>
      <c r="HC227" s="293"/>
      <c r="HD227" s="293"/>
      <c r="HE227" s="293"/>
      <c r="HF227" s="293"/>
      <c r="HG227" s="293"/>
      <c r="HH227" s="293"/>
      <c r="HI227" s="293"/>
      <c r="HJ227" s="293"/>
      <c r="HK227" s="293"/>
      <c r="HL227" s="293"/>
      <c r="HM227" s="293"/>
      <c r="HN227" s="293"/>
      <c r="HO227" s="293"/>
      <c r="HP227" s="293"/>
      <c r="HQ227" s="293"/>
      <c r="HR227" s="293"/>
      <c r="HS227" s="293"/>
      <c r="HT227" s="293"/>
      <c r="HU227" s="293"/>
      <c r="HV227" s="293"/>
      <c r="HW227" s="293"/>
      <c r="HX227" s="293"/>
      <c r="HY227" s="293"/>
      <c r="IH227" s="279">
        <f>+SUM(DC227:DH227)</f>
        <v>0.66898537454075035</v>
      </c>
      <c r="II227" s="279">
        <f>+SUM(DI227:DN227)</f>
        <v>0</v>
      </c>
      <c r="IJ227" s="323">
        <f t="shared" si="232"/>
        <v>0.66898537454075035</v>
      </c>
      <c r="IK227" s="279">
        <f>SUM(DO227:DT227)</f>
        <v>1.864933927</v>
      </c>
      <c r="KT227" s="280"/>
    </row>
    <row r="228" spans="1:306" hidden="1" outlineLevel="1">
      <c r="B228" s="96" t="s">
        <v>338</v>
      </c>
      <c r="D228" s="292" t="s">
        <v>429</v>
      </c>
      <c r="E228" s="293">
        <v>0</v>
      </c>
      <c r="F228" s="293">
        <v>7.3092616000000013E-2</v>
      </c>
      <c r="G228" s="293">
        <v>0.36496484060000001</v>
      </c>
      <c r="H228" s="293">
        <v>0.80613189879999991</v>
      </c>
      <c r="I228" s="293">
        <v>5.9547330000000002E-2</v>
      </c>
      <c r="J228" s="293">
        <v>0.32178765469999998</v>
      </c>
      <c r="K228" s="293">
        <v>1.9911949299999999E-2</v>
      </c>
      <c r="L228" s="293">
        <v>0.2335165494</v>
      </c>
      <c r="M228" s="293">
        <v>0.33952210660000004</v>
      </c>
      <c r="N228" s="293">
        <v>0.14173911980000004</v>
      </c>
      <c r="O228" s="293">
        <v>0</v>
      </c>
      <c r="P228" s="293">
        <v>6.7205269599999992E-2</v>
      </c>
      <c r="Q228" s="293">
        <v>2.3576049999999998E-2</v>
      </c>
      <c r="R228" s="293">
        <v>1.3268143E-2</v>
      </c>
      <c r="S228" s="293">
        <v>0.36213879199999999</v>
      </c>
      <c r="T228" s="293">
        <v>0.34440806199999996</v>
      </c>
      <c r="U228" s="293">
        <v>0.175560521</v>
      </c>
      <c r="V228" s="293">
        <v>0.49056343299999999</v>
      </c>
      <c r="W228" s="293">
        <v>2.9955E-5</v>
      </c>
      <c r="X228" s="293">
        <v>3.7800579999999998E-3</v>
      </c>
      <c r="Y228" s="293">
        <v>7.1777170000000001E-3</v>
      </c>
      <c r="Z228" s="293">
        <v>0.86017266199999998</v>
      </c>
      <c r="AA228" s="293">
        <v>0.36795083699999998</v>
      </c>
      <c r="AB228" s="293">
        <v>1.292932108</v>
      </c>
      <c r="AC228" s="293">
        <v>7.9151414099999998E-2</v>
      </c>
      <c r="AD228" s="293">
        <v>0.5579038542000001</v>
      </c>
      <c r="AE228" s="293">
        <v>0.89650346560000005</v>
      </c>
      <c r="AF228" s="293">
        <v>0</v>
      </c>
      <c r="AG228" s="293">
        <v>0.2741431587</v>
      </c>
      <c r="AH228" s="293">
        <v>1.1926866351999998</v>
      </c>
      <c r="AI228" s="293">
        <v>0.39757259449999999</v>
      </c>
      <c r="AJ228" s="293">
        <v>0.47639267219999998</v>
      </c>
      <c r="AK228" s="293">
        <v>0</v>
      </c>
      <c r="AL228" s="293">
        <v>0.85792540670000006</v>
      </c>
      <c r="AM228" s="293">
        <v>0.41305130600000001</v>
      </c>
      <c r="AN228" s="293">
        <v>0.32588942810000004</v>
      </c>
      <c r="AO228" s="293">
        <v>0.64671251159999998</v>
      </c>
      <c r="AP228" s="293">
        <v>0</v>
      </c>
      <c r="AQ228" s="293">
        <v>1.0515757128000001</v>
      </c>
      <c r="AR228" s="293">
        <v>0.29322368929999998</v>
      </c>
      <c r="AS228" s="293">
        <v>0</v>
      </c>
      <c r="AT228" s="293">
        <v>0.4515440141</v>
      </c>
      <c r="AU228" s="293">
        <v>0.5135120084</v>
      </c>
      <c r="AV228" s="293">
        <v>0.69698791529999993</v>
      </c>
      <c r="AW228" s="293">
        <v>0.90963400879999989</v>
      </c>
      <c r="AX228" s="293">
        <v>0</v>
      </c>
      <c r="AY228" s="293">
        <v>0.89653700000000003</v>
      </c>
      <c r="AZ228" s="293">
        <v>0</v>
      </c>
      <c r="BA228" s="293">
        <v>1.4727263939999999</v>
      </c>
      <c r="BB228" s="293">
        <v>0</v>
      </c>
      <c r="BC228" s="293">
        <v>1.8504318710000001</v>
      </c>
      <c r="BD228" s="293">
        <v>0.94247817290000002</v>
      </c>
      <c r="BE228" s="293">
        <v>0</v>
      </c>
      <c r="BF228" s="293">
        <v>0.68079991620000013</v>
      </c>
      <c r="BG228" s="293">
        <v>0</v>
      </c>
      <c r="BH228" s="293">
        <v>1.4055919022999999</v>
      </c>
      <c r="BI228" s="293">
        <v>0</v>
      </c>
      <c r="BJ228" s="293">
        <v>0</v>
      </c>
      <c r="BK228" s="293">
        <v>0.84972365459999999</v>
      </c>
      <c r="BL228" s="293">
        <v>0.5880363999999999</v>
      </c>
      <c r="BM228" s="293">
        <v>1.1066112450999999</v>
      </c>
      <c r="BN228" s="293">
        <v>0.58366986779999985</v>
      </c>
      <c r="BO228" s="293">
        <v>0.37367604999999998</v>
      </c>
      <c r="BP228" s="293">
        <v>0.80848054320000007</v>
      </c>
      <c r="BQ228" s="293">
        <v>0.65009044770000002</v>
      </c>
      <c r="BR228" s="293">
        <v>0.78674618310000011</v>
      </c>
      <c r="BS228" s="293">
        <v>0</v>
      </c>
      <c r="BT228" s="293">
        <v>1.0383218097000002</v>
      </c>
      <c r="BU228" s="293">
        <v>0.66126909239999998</v>
      </c>
      <c r="BV228" s="293">
        <v>0.8294708462999999</v>
      </c>
      <c r="BW228" s="293">
        <v>0</v>
      </c>
      <c r="BX228" s="293">
        <v>1.1885189493000003</v>
      </c>
      <c r="BY228" s="293">
        <v>0</v>
      </c>
      <c r="BZ228" s="293">
        <v>1.0845933135000001</v>
      </c>
      <c r="CA228" s="293">
        <v>0.70348018860000006</v>
      </c>
      <c r="CB228" s="293">
        <v>0.64682754929999997</v>
      </c>
      <c r="CC228" s="293">
        <v>0</v>
      </c>
      <c r="CD228" s="293">
        <v>72.383602025218806</v>
      </c>
      <c r="CE228" s="294">
        <v>50.193935114697268</v>
      </c>
      <c r="CF228" s="293">
        <v>54.70438608830078</v>
      </c>
      <c r="CG228" s="293">
        <v>67.162459495593438</v>
      </c>
      <c r="CH228" s="293">
        <v>55.670643975645227</v>
      </c>
      <c r="CI228" s="293">
        <v>56.695037962824713</v>
      </c>
      <c r="CJ228" s="293">
        <v>71.718126505693789</v>
      </c>
      <c r="CK228" s="293">
        <v>61.906300489825043</v>
      </c>
      <c r="CL228" s="293">
        <v>57.303852409763074</v>
      </c>
      <c r="CM228" s="293">
        <v>66.565750227064214</v>
      </c>
      <c r="CN228" s="293">
        <v>58.011065220253357</v>
      </c>
      <c r="CO228" s="293">
        <v>64.443055566357629</v>
      </c>
      <c r="CP228" s="295">
        <v>92.074709867505646</v>
      </c>
      <c r="CQ228" s="293">
        <v>60.638112647423334</v>
      </c>
      <c r="CR228" s="293">
        <v>60.650657708755219</v>
      </c>
      <c r="CS228" s="293">
        <v>80.598148978722534</v>
      </c>
      <c r="CT228" s="293">
        <v>59.767111687982222</v>
      </c>
      <c r="CU228" s="293">
        <v>57.520965587794365</v>
      </c>
      <c r="CV228" s="293">
        <v>81.491256073615119</v>
      </c>
      <c r="CW228" s="293">
        <v>65.69516840548259</v>
      </c>
      <c r="CX228" s="293">
        <v>58.716004557468082</v>
      </c>
      <c r="CY228" s="293">
        <v>87.43036961291179</v>
      </c>
      <c r="CZ228" s="293">
        <v>72.447978578090101</v>
      </c>
      <c r="DA228" s="293">
        <v>68.82082806760269</v>
      </c>
      <c r="DB228" s="1288">
        <v>98.309068731851184</v>
      </c>
      <c r="DC228" s="606">
        <v>66.468543010846716</v>
      </c>
      <c r="DD228" s="606">
        <v>68.055312448935553</v>
      </c>
      <c r="DE228" s="606">
        <v>86.749043686568399</v>
      </c>
      <c r="DF228" s="606">
        <v>77.674971646906329</v>
      </c>
      <c r="DG228" s="606">
        <v>70.19406207954917</v>
      </c>
      <c r="DH228" s="606">
        <v>94.337508211493841</v>
      </c>
      <c r="DI228" s="606">
        <v>76.641645563319059</v>
      </c>
      <c r="DJ228" s="606">
        <v>71.840331808814327</v>
      </c>
      <c r="DK228" s="606">
        <v>104.19237770397912</v>
      </c>
      <c r="DL228" s="606">
        <v>77.059273623350094</v>
      </c>
      <c r="DM228" s="606">
        <v>78.131954524163547</v>
      </c>
      <c r="DN228" s="622">
        <v>115.32722113707386</v>
      </c>
      <c r="DO228" s="606">
        <v>69.831563770900004</v>
      </c>
      <c r="DP228" s="606">
        <v>82.33910191530002</v>
      </c>
      <c r="DQ228" s="606">
        <v>96.163174166000005</v>
      </c>
      <c r="DR228" s="606">
        <v>75.032477447700003</v>
      </c>
      <c r="DS228" s="606">
        <v>77.267322875679994</v>
      </c>
      <c r="DT228" s="606">
        <v>106.50302736044726</v>
      </c>
      <c r="DU228" s="606">
        <v>86.734714967100004</v>
      </c>
      <c r="DV228" s="606">
        <v>78.780214510100009</v>
      </c>
      <c r="DW228" s="606">
        <v>118.07723005051002</v>
      </c>
      <c r="DX228" s="606">
        <v>79.296490456900003</v>
      </c>
      <c r="DY228" s="606">
        <v>88.823347795700016</v>
      </c>
      <c r="DZ228" s="622">
        <v>127.8539387389</v>
      </c>
      <c r="EA228" s="606">
        <v>80.425120776100002</v>
      </c>
      <c r="EB228" s="606">
        <v>87.508551998900003</v>
      </c>
      <c r="EC228" s="606">
        <v>108.45574319418998</v>
      </c>
      <c r="ED228" s="606">
        <v>93.733123831520004</v>
      </c>
      <c r="EE228" s="606">
        <v>90.027859884160009</v>
      </c>
      <c r="EF228" s="606">
        <v>122.95230199713001</v>
      </c>
      <c r="EG228" s="606">
        <v>102.46752245544999</v>
      </c>
      <c r="EH228" s="606">
        <v>86.122847689970001</v>
      </c>
      <c r="EI228" s="606">
        <v>124.83402543546001</v>
      </c>
      <c r="EJ228" s="606">
        <v>105.62523695336404</v>
      </c>
      <c r="EK228" s="606">
        <v>94.089169285707328</v>
      </c>
      <c r="EL228" s="622">
        <v>137.81101315866755</v>
      </c>
      <c r="EM228" s="1080">
        <v>90.187192761839995</v>
      </c>
      <c r="EN228" s="1080">
        <v>104.37264189677001</v>
      </c>
      <c r="EO228" s="1080">
        <v>117.39625051976</v>
      </c>
      <c r="EP228" s="1080">
        <v>102.61004217357664</v>
      </c>
      <c r="EQ228" s="1080">
        <v>100.33151328883667</v>
      </c>
      <c r="ER228" s="1080">
        <v>139.43788517754672</v>
      </c>
      <c r="ES228" s="1083">
        <v>112.80798430857266</v>
      </c>
      <c r="ET228" s="1083">
        <v>105.61359187744993</v>
      </c>
      <c r="EU228" s="1083">
        <v>121.72483361832001</v>
      </c>
      <c r="EV228" s="1083">
        <v>128.44429942349441</v>
      </c>
      <c r="EW228" s="1083">
        <v>115.03043924578003</v>
      </c>
      <c r="EX228" s="1329">
        <v>161.46531100932819</v>
      </c>
      <c r="EY228" s="1083"/>
      <c r="EZ228" s="1083"/>
      <c r="FA228" s="1083"/>
      <c r="FB228" s="1083"/>
      <c r="FC228" s="1083"/>
      <c r="FD228" s="1083"/>
      <c r="FE228" s="1083"/>
      <c r="FF228" s="1083"/>
      <c r="FG228" s="1083"/>
      <c r="FH228" s="1083"/>
      <c r="FI228" s="1083"/>
      <c r="FJ228" s="1329"/>
      <c r="FK228" s="1083"/>
      <c r="FL228" s="1083"/>
      <c r="FM228" s="1083"/>
      <c r="FN228" s="1083"/>
      <c r="FO228" s="1083"/>
      <c r="FP228" s="1083"/>
      <c r="FQ228" s="606"/>
      <c r="FR228" s="606"/>
      <c r="FS228" s="606"/>
      <c r="FT228" s="606"/>
      <c r="FU228" s="606"/>
      <c r="FV228" s="606"/>
      <c r="FW228" s="606"/>
      <c r="FX228" s="606"/>
      <c r="FY228" s="606"/>
      <c r="FZ228" s="606"/>
      <c r="GA228" s="606"/>
      <c r="GB228" s="606"/>
      <c r="GC228" s="606"/>
      <c r="GD228" s="606"/>
      <c r="GE228" s="606"/>
      <c r="GF228" s="606"/>
      <c r="GG228" s="606"/>
      <c r="GH228" s="606"/>
      <c r="GI228" s="606"/>
      <c r="GJ228" s="606"/>
      <c r="GK228" s="606"/>
      <c r="GL228" s="606"/>
      <c r="GM228" s="606"/>
      <c r="GN228" s="606"/>
      <c r="GO228" s="606"/>
      <c r="GP228" s="606"/>
      <c r="GQ228" s="606"/>
      <c r="GR228" s="606"/>
      <c r="GS228" s="606"/>
      <c r="GT228" s="606"/>
      <c r="GU228" s="606"/>
      <c r="GV228" s="606"/>
      <c r="GW228" s="606"/>
      <c r="GX228" s="606"/>
      <c r="GY228" s="606"/>
      <c r="GZ228" s="606"/>
      <c r="HA228" s="606"/>
      <c r="HB228" s="606"/>
      <c r="HC228" s="606"/>
      <c r="HD228" s="606"/>
      <c r="HE228" s="606"/>
      <c r="HF228" s="606"/>
      <c r="HG228" s="606"/>
      <c r="HH228" s="606"/>
      <c r="HI228" s="606"/>
      <c r="HJ228" s="606"/>
      <c r="HK228" s="606"/>
      <c r="HL228" s="606"/>
      <c r="HM228" s="606"/>
      <c r="HN228" s="606"/>
      <c r="HO228" s="606"/>
      <c r="HP228" s="606"/>
      <c r="HQ228" s="606"/>
      <c r="HR228" s="606"/>
      <c r="HS228" s="606"/>
      <c r="HT228" s="606"/>
      <c r="HU228" s="606"/>
      <c r="HV228" s="606"/>
      <c r="HW228" s="606"/>
      <c r="HX228" s="606"/>
      <c r="HY228" s="606"/>
      <c r="IH228" s="279">
        <f>+SUM(DC228:DH228)</f>
        <v>463.47944108430005</v>
      </c>
      <c r="II228" s="279">
        <f>+SUM(DI228:DN228)</f>
        <v>523.19280436069994</v>
      </c>
      <c r="IJ228" s="323">
        <f t="shared" si="232"/>
        <v>986.67224544500004</v>
      </c>
      <c r="IK228" s="279">
        <f>SUM(DO228:DT228)</f>
        <v>507.13666753602735</v>
      </c>
      <c r="KT228" s="280"/>
    </row>
    <row r="229" spans="1:306" hidden="1" outlineLevel="1">
      <c r="B229" s="96" t="s">
        <v>338</v>
      </c>
      <c r="D229" s="297" t="s">
        <v>430</v>
      </c>
      <c r="E229" s="293">
        <v>15.900270389500001</v>
      </c>
      <c r="F229" s="293">
        <v>15.175471381900001</v>
      </c>
      <c r="G229" s="293">
        <v>22.451001972099998</v>
      </c>
      <c r="H229" s="293">
        <v>19.007949682500001</v>
      </c>
      <c r="I229" s="293">
        <v>18.420447714100003</v>
      </c>
      <c r="J229" s="293">
        <v>25.304208747400001</v>
      </c>
      <c r="K229" s="293">
        <v>17.343948797199999</v>
      </c>
      <c r="L229" s="293">
        <v>18.981126333999999</v>
      </c>
      <c r="M229" s="293">
        <v>22.213077613999999</v>
      </c>
      <c r="N229" s="293">
        <v>18.8114458443</v>
      </c>
      <c r="O229" s="293">
        <v>20.230525147999998</v>
      </c>
      <c r="P229" s="293">
        <v>23.969348672700004</v>
      </c>
      <c r="Q229" s="293">
        <v>21.110903218000001</v>
      </c>
      <c r="R229" s="293">
        <v>20.703326860000001</v>
      </c>
      <c r="S229" s="293">
        <v>26.767456112999998</v>
      </c>
      <c r="T229" s="293">
        <v>23.615739956999999</v>
      </c>
      <c r="U229" s="293">
        <v>23.817053450000003</v>
      </c>
      <c r="V229" s="293">
        <v>35.797455653</v>
      </c>
      <c r="W229" s="293">
        <v>24.372769409</v>
      </c>
      <c r="X229" s="293">
        <v>24.687253510999998</v>
      </c>
      <c r="Y229" s="293">
        <v>35.057771038999995</v>
      </c>
      <c r="Z229" s="293">
        <v>30.168589005999998</v>
      </c>
      <c r="AA229" s="293">
        <v>25.883371165</v>
      </c>
      <c r="AB229" s="293">
        <v>38.920911293000003</v>
      </c>
      <c r="AC229" s="293">
        <v>28.0364010087</v>
      </c>
      <c r="AD229" s="293">
        <v>28.922020760700001</v>
      </c>
      <c r="AE229" s="293">
        <v>33.862445012500004</v>
      </c>
      <c r="AF229" s="293">
        <v>27.311951837500001</v>
      </c>
      <c r="AG229" s="293">
        <v>27.109500581699997</v>
      </c>
      <c r="AH229" s="293">
        <v>37.868471463699997</v>
      </c>
      <c r="AI229" s="293">
        <v>26.409026510100002</v>
      </c>
      <c r="AJ229" s="293">
        <v>27.999625854600001</v>
      </c>
      <c r="AK229" s="293">
        <v>32.590949348900004</v>
      </c>
      <c r="AL229" s="293">
        <v>26.440036021400005</v>
      </c>
      <c r="AM229" s="293">
        <v>29.419454739400003</v>
      </c>
      <c r="AN229" s="293">
        <v>38.228245164100002</v>
      </c>
      <c r="AO229" s="293">
        <v>29.114849751099996</v>
      </c>
      <c r="AP229" s="293">
        <v>27.464071189400006</v>
      </c>
      <c r="AQ229" s="293">
        <v>44.683260325699997</v>
      </c>
      <c r="AR229" s="293">
        <v>29.610756502100003</v>
      </c>
      <c r="AS229" s="293">
        <v>28.298698128800005</v>
      </c>
      <c r="AT229" s="293">
        <v>36.563745443200006</v>
      </c>
      <c r="AU229" s="293">
        <v>30.882163607700001</v>
      </c>
      <c r="AV229" s="293">
        <v>33.984099948699999</v>
      </c>
      <c r="AW229" s="293">
        <v>38.773250475545083</v>
      </c>
      <c r="AX229" s="293">
        <v>32.589924484431073</v>
      </c>
      <c r="AY229" s="293">
        <v>35.247381690518004</v>
      </c>
      <c r="AZ229" s="293">
        <v>45.277497729415998</v>
      </c>
      <c r="BA229" s="293">
        <v>38.883840834013597</v>
      </c>
      <c r="BB229" s="293">
        <v>31.573080102900001</v>
      </c>
      <c r="BC229" s="293">
        <v>50.183908089349998</v>
      </c>
      <c r="BD229" s="293">
        <v>36.506782118721603</v>
      </c>
      <c r="BE229" s="293">
        <v>40.177170076806377</v>
      </c>
      <c r="BF229" s="293">
        <v>46.49618625189801</v>
      </c>
      <c r="BG229" s="293">
        <v>35.297975336865818</v>
      </c>
      <c r="BH229" s="293">
        <v>41.622248157291558</v>
      </c>
      <c r="BI229" s="293">
        <v>46.946961206389489</v>
      </c>
      <c r="BJ229" s="293">
        <v>39.850780304195297</v>
      </c>
      <c r="BK229" s="293">
        <v>41.753333472649246</v>
      </c>
      <c r="BL229" s="293">
        <v>52.511034172848802</v>
      </c>
      <c r="BM229" s="293">
        <v>43.185698225570995</v>
      </c>
      <c r="BN229" s="293">
        <v>43.17166000443023</v>
      </c>
      <c r="BO229" s="293">
        <v>58.484473148893642</v>
      </c>
      <c r="BP229" s="293">
        <v>43.453022927811951</v>
      </c>
      <c r="BQ229" s="293">
        <v>53.354418078805857</v>
      </c>
      <c r="BR229" s="293">
        <v>56.371081827360406</v>
      </c>
      <c r="BS229" s="293">
        <v>45.616169956503988</v>
      </c>
      <c r="BT229" s="293">
        <v>49.55555062703931</v>
      </c>
      <c r="BU229" s="293">
        <v>55.431565705731487</v>
      </c>
      <c r="BV229" s="293">
        <v>50.460338782147375</v>
      </c>
      <c r="BW229" s="293">
        <v>47.73854370565882</v>
      </c>
      <c r="BX229" s="293">
        <v>55.734871901255168</v>
      </c>
      <c r="BY229" s="293">
        <v>50.759378499466337</v>
      </c>
      <c r="BZ229" s="293">
        <v>50.630494762198431</v>
      </c>
      <c r="CA229" s="293">
        <v>70.645197296430283</v>
      </c>
      <c r="CB229" s="293">
        <v>50.480923714506467</v>
      </c>
      <c r="CC229" s="293">
        <v>51.997049962222945</v>
      </c>
      <c r="CD229" s="293">
        <v>0.48778349610000005</v>
      </c>
      <c r="CE229" s="294">
        <v>0.16453814999999999</v>
      </c>
      <c r="CF229" s="293">
        <v>1.696486449</v>
      </c>
      <c r="CG229" s="293">
        <v>0.60007235469999998</v>
      </c>
      <c r="CH229" s="293">
        <v>0.89844482570000006</v>
      </c>
      <c r="CI229" s="293">
        <v>0.13532039299999998</v>
      </c>
      <c r="CJ229" s="293">
        <v>1.06806E-2</v>
      </c>
      <c r="CK229" s="293">
        <v>0.72226980000000007</v>
      </c>
      <c r="CL229" s="293">
        <v>1.0840072224000001</v>
      </c>
      <c r="CM229" s="293">
        <v>1.101724589</v>
      </c>
      <c r="CN229" s="293">
        <v>0.22129627199999999</v>
      </c>
      <c r="CO229" s="293">
        <v>0.13379805</v>
      </c>
      <c r="CP229" s="295">
        <v>0.20731427400000002</v>
      </c>
      <c r="CQ229" s="293">
        <v>1.5669082269999999</v>
      </c>
      <c r="CR229" s="293">
        <v>0.92709444800000007</v>
      </c>
      <c r="CS229" s="293">
        <v>0.61107674999999995</v>
      </c>
      <c r="CT229" s="293">
        <v>0.67258708690000002</v>
      </c>
      <c r="CU229" s="293">
        <v>0.69240837499999996</v>
      </c>
      <c r="CV229" s="293">
        <v>1.011895904</v>
      </c>
      <c r="CW229" s="293">
        <v>0.161435943</v>
      </c>
      <c r="CX229" s="293">
        <v>0</v>
      </c>
      <c r="CY229" s="293">
        <v>0.18460253000000001</v>
      </c>
      <c r="CZ229" s="293">
        <v>0.43585084400000002</v>
      </c>
      <c r="DA229" s="293">
        <v>0</v>
      </c>
      <c r="DB229" s="1288">
        <v>0</v>
      </c>
      <c r="DC229" s="293"/>
      <c r="DD229" s="293"/>
      <c r="DE229" s="293"/>
      <c r="DF229" s="293"/>
      <c r="DG229" s="293"/>
      <c r="DH229" s="293"/>
      <c r="DI229" s="293"/>
      <c r="DJ229" s="293"/>
      <c r="DK229" s="293"/>
      <c r="DL229" s="293"/>
      <c r="DM229" s="293"/>
      <c r="DN229" s="295"/>
      <c r="DO229" s="293"/>
      <c r="DP229" s="293"/>
      <c r="DQ229" s="293"/>
      <c r="DR229" s="293"/>
      <c r="DS229" s="293"/>
      <c r="DT229" s="293"/>
      <c r="DU229" s="293"/>
      <c r="DV229" s="293"/>
      <c r="DW229" s="293"/>
      <c r="DX229" s="293"/>
      <c r="DY229" s="293"/>
      <c r="DZ229" s="295"/>
      <c r="EA229" s="293"/>
      <c r="EB229" s="293"/>
      <c r="EC229" s="293"/>
      <c r="ED229" s="293"/>
      <c r="EE229" s="293"/>
      <c r="EF229" s="293"/>
      <c r="EG229" s="293"/>
      <c r="EH229" s="293"/>
      <c r="EI229" s="293"/>
      <c r="EJ229" s="293"/>
      <c r="EK229" s="293"/>
      <c r="EL229" s="295"/>
      <c r="EM229" s="1083"/>
      <c r="EN229" s="1083"/>
      <c r="EO229" s="1083"/>
      <c r="EP229" s="1083"/>
      <c r="EQ229" s="1083"/>
      <c r="ER229" s="1083"/>
      <c r="ES229" s="1080"/>
      <c r="ET229" s="1080"/>
      <c r="EU229" s="1080"/>
      <c r="EV229" s="1080"/>
      <c r="EW229" s="1080"/>
      <c r="EX229" s="1340"/>
      <c r="EY229" s="1080"/>
      <c r="EZ229" s="1080"/>
      <c r="FA229" s="1080"/>
      <c r="FB229" s="1080"/>
      <c r="FC229" s="1080"/>
      <c r="FD229" s="1080"/>
      <c r="FE229" s="1080"/>
      <c r="FF229" s="1080"/>
      <c r="FG229" s="1080"/>
      <c r="FH229" s="1080"/>
      <c r="FI229" s="1080"/>
      <c r="FJ229" s="1340"/>
      <c r="FK229" s="1080"/>
      <c r="FL229" s="1080"/>
      <c r="FM229" s="1080"/>
      <c r="FN229" s="1080"/>
      <c r="FO229" s="1080"/>
      <c r="FP229" s="1080"/>
      <c r="FQ229" s="293"/>
      <c r="FR229" s="293"/>
      <c r="FS229" s="293"/>
      <c r="FT229" s="293"/>
      <c r="FU229" s="293"/>
      <c r="FV229" s="293"/>
      <c r="FW229" s="293"/>
      <c r="FX229" s="293"/>
      <c r="FY229" s="293"/>
      <c r="FZ229" s="293"/>
      <c r="GA229" s="293"/>
      <c r="GB229" s="293"/>
      <c r="GC229" s="293"/>
      <c r="GD229" s="293"/>
      <c r="GE229" s="293"/>
      <c r="GF229" s="293"/>
      <c r="GG229" s="293"/>
      <c r="GH229" s="293"/>
      <c r="GI229" s="293"/>
      <c r="GJ229" s="293"/>
      <c r="GK229" s="293"/>
      <c r="GL229" s="293"/>
      <c r="GM229" s="293"/>
      <c r="GN229" s="293"/>
      <c r="GO229" s="293"/>
      <c r="GP229" s="293"/>
      <c r="GQ229" s="293"/>
      <c r="GR229" s="293"/>
      <c r="GS229" s="293"/>
      <c r="GT229" s="293"/>
      <c r="GU229" s="293"/>
      <c r="GV229" s="293"/>
      <c r="GW229" s="293"/>
      <c r="GX229" s="293"/>
      <c r="GY229" s="293"/>
      <c r="GZ229" s="293"/>
      <c r="HA229" s="293"/>
      <c r="HB229" s="293"/>
      <c r="HC229" s="293"/>
      <c r="HD229" s="293"/>
      <c r="HE229" s="293"/>
      <c r="HF229" s="293"/>
      <c r="HG229" s="293"/>
      <c r="HH229" s="293"/>
      <c r="HI229" s="293"/>
      <c r="HJ229" s="293"/>
      <c r="HK229" s="293"/>
      <c r="HL229" s="293"/>
      <c r="HM229" s="293"/>
      <c r="HN229" s="293"/>
      <c r="HO229" s="293"/>
      <c r="HP229" s="293"/>
      <c r="HQ229" s="293"/>
      <c r="HR229" s="293"/>
      <c r="HS229" s="293"/>
      <c r="HT229" s="293"/>
      <c r="HU229" s="293"/>
      <c r="HV229" s="293"/>
      <c r="HW229" s="293"/>
      <c r="HX229" s="293"/>
      <c r="HY229" s="293"/>
      <c r="IH229" s="279">
        <f>+SUM(DC229:DH229)</f>
        <v>0</v>
      </c>
      <c r="II229" s="279">
        <f>+SUM(DI229:DN229)</f>
        <v>0</v>
      </c>
      <c r="IJ229" s="323">
        <f t="shared" si="232"/>
        <v>0</v>
      </c>
      <c r="KT229" s="280"/>
    </row>
    <row r="230" spans="1:306" hidden="1" outlineLevel="1">
      <c r="B230" s="96" t="s">
        <v>338</v>
      </c>
      <c r="D230" s="292" t="s">
        <v>1011</v>
      </c>
      <c r="E230" s="293"/>
      <c r="F230" s="293"/>
      <c r="G230" s="293"/>
      <c r="H230" s="293"/>
      <c r="I230" s="293"/>
      <c r="J230" s="293"/>
      <c r="K230" s="293"/>
      <c r="L230" s="293"/>
      <c r="M230" s="293"/>
      <c r="N230" s="293"/>
      <c r="O230" s="293"/>
      <c r="P230" s="293"/>
      <c r="Q230" s="293"/>
      <c r="R230" s="293"/>
      <c r="S230" s="293"/>
      <c r="T230" s="293"/>
      <c r="U230" s="293"/>
      <c r="V230" s="293"/>
      <c r="W230" s="293"/>
      <c r="X230" s="293"/>
      <c r="Y230" s="29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c r="BN230" s="293"/>
      <c r="BO230" s="293"/>
      <c r="BP230" s="293"/>
      <c r="BQ230" s="293"/>
      <c r="BR230" s="293"/>
      <c r="BS230" s="293"/>
      <c r="BT230" s="293"/>
      <c r="BU230" s="293"/>
      <c r="BV230" s="293"/>
      <c r="BW230" s="293"/>
      <c r="BX230" s="293"/>
      <c r="BY230" s="293"/>
      <c r="BZ230" s="293"/>
      <c r="CA230" s="293"/>
      <c r="CB230" s="293"/>
      <c r="CC230" s="293"/>
      <c r="CD230" s="293">
        <v>72.8713855213188</v>
      </c>
      <c r="CE230" s="294">
        <v>50.358473264697267</v>
      </c>
      <c r="CF230" s="293">
        <v>56.400872537300778</v>
      </c>
      <c r="CG230" s="293">
        <v>67.762531850293442</v>
      </c>
      <c r="CH230" s="293">
        <v>56.569088801345224</v>
      </c>
      <c r="CI230" s="293">
        <v>56.830358355824714</v>
      </c>
      <c r="CJ230" s="293">
        <v>71.728807105693789</v>
      </c>
      <c r="CK230" s="293">
        <v>62.628570289825042</v>
      </c>
      <c r="CL230" s="293">
        <v>58.387859632163071</v>
      </c>
      <c r="CM230" s="293">
        <v>67.667474816064214</v>
      </c>
      <c r="CN230" s="293">
        <v>58.232361492253354</v>
      </c>
      <c r="CO230" s="293">
        <v>64.576853616357624</v>
      </c>
      <c r="CP230" s="295">
        <v>92.282024141505644</v>
      </c>
      <c r="CQ230" s="293">
        <v>62.205020874423333</v>
      </c>
      <c r="CR230" s="293">
        <v>61.577752156755217</v>
      </c>
      <c r="CS230" s="293">
        <v>81.209225728722529</v>
      </c>
      <c r="CT230" s="293">
        <v>60.439698774882224</v>
      </c>
      <c r="CU230" s="293">
        <v>58.213373962794364</v>
      </c>
      <c r="CV230" s="293">
        <v>82.503151977615119</v>
      </c>
      <c r="CW230" s="293">
        <v>65.856604348482591</v>
      </c>
      <c r="CX230" s="293">
        <v>58.716004557468082</v>
      </c>
      <c r="CY230" s="293">
        <v>87.614972142911796</v>
      </c>
      <c r="CZ230" s="293">
        <v>72.883829422090102</v>
      </c>
      <c r="DA230" s="293">
        <v>68.82082806760269</v>
      </c>
      <c r="DB230" s="1288">
        <v>98.309068731851184</v>
      </c>
      <c r="DC230" s="606">
        <v>66.468543010846716</v>
      </c>
      <c r="DD230" s="606">
        <v>68.055312448935553</v>
      </c>
      <c r="DE230" s="606">
        <v>86.749043686568399</v>
      </c>
      <c r="DF230" s="606">
        <v>77.674971646906329</v>
      </c>
      <c r="DG230" s="606">
        <v>70.19406207954917</v>
      </c>
      <c r="DH230" s="606">
        <v>94.337508211493841</v>
      </c>
      <c r="DI230" s="606">
        <v>76.641645563319059</v>
      </c>
      <c r="DJ230" s="606">
        <v>71.840331808814327</v>
      </c>
      <c r="DK230" s="606">
        <v>104.19237770397912</v>
      </c>
      <c r="DL230" s="606">
        <v>77.059273623350094</v>
      </c>
      <c r="DM230" s="606">
        <v>78.131954524163547</v>
      </c>
      <c r="DN230" s="622">
        <v>115.32722113707386</v>
      </c>
      <c r="DO230" s="606">
        <v>69.831563770900004</v>
      </c>
      <c r="DP230" s="606">
        <v>82.33910191530002</v>
      </c>
      <c r="DQ230" s="606">
        <v>96.163174166000005</v>
      </c>
      <c r="DR230" s="606">
        <v>75.032477447700003</v>
      </c>
      <c r="DS230" s="606">
        <v>77.267322875679994</v>
      </c>
      <c r="DT230" s="606">
        <v>106.50302736044726</v>
      </c>
      <c r="DU230" s="606">
        <v>86.734714967100004</v>
      </c>
      <c r="DV230" s="606">
        <v>78.780214510100009</v>
      </c>
      <c r="DW230" s="606">
        <v>118.07723005051002</v>
      </c>
      <c r="DX230" s="606">
        <v>79.296490456900003</v>
      </c>
      <c r="DY230" s="606">
        <v>88.823347795700016</v>
      </c>
      <c r="DZ230" s="622">
        <v>127.8539387389</v>
      </c>
      <c r="EA230" s="606">
        <v>80.425120776100002</v>
      </c>
      <c r="EB230" s="606">
        <v>87.508551998900003</v>
      </c>
      <c r="EC230" s="606">
        <v>108.45574319418998</v>
      </c>
      <c r="ED230" s="606">
        <v>93.733123831520004</v>
      </c>
      <c r="EE230" s="606">
        <v>90.027859884160009</v>
      </c>
      <c r="EF230" s="606">
        <v>122.95230199713001</v>
      </c>
      <c r="EG230" s="606">
        <v>102.46752245544999</v>
      </c>
      <c r="EH230" s="606">
        <v>86.122847689970001</v>
      </c>
      <c r="EI230" s="606">
        <v>124.83402543546001</v>
      </c>
      <c r="EJ230" s="606">
        <v>105.62523695336404</v>
      </c>
      <c r="EK230" s="606">
        <v>94.089169285707328</v>
      </c>
      <c r="EL230" s="622">
        <v>137.81101315866755</v>
      </c>
      <c r="EM230" s="1083">
        <v>90.187192761839995</v>
      </c>
      <c r="EN230" s="1083">
        <v>104.37264189677001</v>
      </c>
      <c r="EO230" s="1083">
        <v>117.39625051976</v>
      </c>
      <c r="EP230" s="1083">
        <v>102.61004217357664</v>
      </c>
      <c r="EQ230" s="1083">
        <v>100.33151328883667</v>
      </c>
      <c r="ER230" s="1083">
        <v>139.43788517754672</v>
      </c>
      <c r="ES230" s="1083">
        <v>112.80798430857266</v>
      </c>
      <c r="ET230" s="1083">
        <v>105.61359187744993</v>
      </c>
      <c r="EU230" s="1083">
        <v>121.72483361832001</v>
      </c>
      <c r="EV230" s="1083">
        <v>128.44429942349441</v>
      </c>
      <c r="EW230" s="1083">
        <v>115.03043924578003</v>
      </c>
      <c r="EX230" s="1329">
        <v>161.46531100932819</v>
      </c>
      <c r="EY230" s="1083"/>
      <c r="EZ230" s="1083"/>
      <c r="FA230" s="1083"/>
      <c r="FB230" s="1083"/>
      <c r="FC230" s="1083"/>
      <c r="FD230" s="1083"/>
      <c r="FE230" s="1083"/>
      <c r="FF230" s="1083"/>
      <c r="FG230" s="1083"/>
      <c r="FH230" s="1083"/>
      <c r="FI230" s="1083"/>
      <c r="FJ230" s="1329"/>
      <c r="FK230" s="1083"/>
      <c r="FL230" s="1083"/>
      <c r="FM230" s="1083"/>
      <c r="FN230" s="1083"/>
      <c r="FO230" s="1083"/>
      <c r="FP230" s="1083"/>
      <c r="FQ230" s="606"/>
      <c r="FR230" s="606"/>
      <c r="FS230" s="606"/>
      <c r="FT230" s="606"/>
      <c r="FU230" s="606"/>
      <c r="FV230" s="606"/>
      <c r="FW230" s="606"/>
      <c r="FX230" s="606"/>
      <c r="FY230" s="606"/>
      <c r="FZ230" s="606"/>
      <c r="GA230" s="606"/>
      <c r="GB230" s="606"/>
      <c r="GC230" s="606"/>
      <c r="GD230" s="606"/>
      <c r="GE230" s="606"/>
      <c r="GF230" s="606"/>
      <c r="GG230" s="606"/>
      <c r="GH230" s="606"/>
      <c r="GI230" s="606"/>
      <c r="GJ230" s="606"/>
      <c r="GK230" s="606"/>
      <c r="GL230" s="606"/>
      <c r="GM230" s="606"/>
      <c r="GN230" s="606"/>
      <c r="GO230" s="606"/>
      <c r="GP230" s="606"/>
      <c r="GQ230" s="606"/>
      <c r="GR230" s="606"/>
      <c r="GS230" s="606"/>
      <c r="GT230" s="606"/>
      <c r="GU230" s="606"/>
      <c r="GV230" s="606"/>
      <c r="GW230" s="606"/>
      <c r="GX230" s="606"/>
      <c r="GY230" s="606"/>
      <c r="GZ230" s="606"/>
      <c r="HA230" s="606"/>
      <c r="HB230" s="606"/>
      <c r="HC230" s="606"/>
      <c r="HD230" s="606"/>
      <c r="HE230" s="606"/>
      <c r="HF230" s="606"/>
      <c r="HG230" s="606"/>
      <c r="HH230" s="606"/>
      <c r="HI230" s="606"/>
      <c r="HJ230" s="606"/>
      <c r="HK230" s="606"/>
      <c r="HL230" s="606"/>
      <c r="HM230" s="606"/>
      <c r="HN230" s="606"/>
      <c r="HO230" s="606"/>
      <c r="HP230" s="606"/>
      <c r="HQ230" s="606"/>
      <c r="HR230" s="606"/>
      <c r="HS230" s="606"/>
      <c r="HT230" s="606"/>
      <c r="HU230" s="606"/>
      <c r="HV230" s="606"/>
      <c r="HW230" s="606"/>
      <c r="HX230" s="606"/>
      <c r="HY230" s="606"/>
      <c r="IH230" s="607">
        <f>+SUM(DC230:DH230)</f>
        <v>463.47944108430005</v>
      </c>
      <c r="II230" s="607">
        <f>+SUM(DI230:DN230)</f>
        <v>523.19280436069994</v>
      </c>
      <c r="IJ230" s="323">
        <f t="shared" si="232"/>
        <v>986.67224544500004</v>
      </c>
      <c r="IK230" s="279">
        <f>SUM(DO230:DT230)</f>
        <v>507.13666753602735</v>
      </c>
      <c r="KT230" s="280"/>
    </row>
    <row r="231" spans="1:306" outlineLevel="1">
      <c r="D231" s="841"/>
      <c r="CE231" s="793"/>
      <c r="CP231" s="280"/>
      <c r="DC231" s="843" t="s">
        <v>1006</v>
      </c>
      <c r="DD231" s="607"/>
      <c r="DE231" s="607"/>
      <c r="DF231" s="607"/>
      <c r="DG231" s="607"/>
      <c r="DH231" s="607"/>
      <c r="DI231" s="607"/>
      <c r="DJ231" s="607"/>
      <c r="DK231" s="607"/>
      <c r="DL231" s="607"/>
      <c r="DM231" s="607"/>
      <c r="DN231" s="1323"/>
      <c r="DO231" s="607"/>
      <c r="DP231" s="607"/>
      <c r="DQ231" s="607"/>
      <c r="DR231" s="607"/>
      <c r="DS231" s="607"/>
      <c r="DT231" s="607"/>
      <c r="DU231" s="607"/>
      <c r="DV231" s="607"/>
      <c r="DW231" s="607"/>
      <c r="DX231" s="607"/>
      <c r="DY231" s="607"/>
      <c r="DZ231" s="1323"/>
      <c r="EA231" s="607"/>
      <c r="EB231" s="607"/>
      <c r="EC231" s="607"/>
      <c r="ED231" s="607"/>
      <c r="EE231" s="607"/>
      <c r="EF231" s="607"/>
      <c r="EG231" s="607"/>
      <c r="EH231" s="607"/>
      <c r="EI231" s="607"/>
      <c r="EJ231" s="607"/>
      <c r="EK231" s="607"/>
      <c r="EL231" s="1323"/>
      <c r="EM231" s="1082"/>
      <c r="EN231" s="1082"/>
      <c r="EO231" s="1082"/>
      <c r="EP231" s="1082"/>
      <c r="EQ231" s="1082"/>
      <c r="ER231" s="1082"/>
      <c r="ES231" s="1092"/>
      <c r="ET231" s="1092"/>
      <c r="EU231" s="1092"/>
      <c r="EV231" s="1092"/>
      <c r="EW231" s="1092"/>
      <c r="EX231" s="1359"/>
      <c r="EY231" s="1092"/>
      <c r="EZ231" s="1092"/>
      <c r="FA231" s="1092"/>
      <c r="FB231" s="1092"/>
      <c r="FC231" s="1092"/>
      <c r="FD231" s="1092"/>
      <c r="FE231" s="1092"/>
      <c r="FF231" s="1092"/>
      <c r="FG231" s="1092"/>
      <c r="FH231" s="1092"/>
      <c r="FI231" s="1092"/>
      <c r="FJ231" s="1359"/>
      <c r="FK231" s="1092"/>
      <c r="FL231" s="1092"/>
      <c r="FM231" s="1092"/>
      <c r="FN231" s="1092"/>
      <c r="FO231" s="1092"/>
      <c r="FP231" s="1092"/>
      <c r="FQ231" s="607"/>
      <c r="FR231" s="607"/>
      <c r="FS231" s="607"/>
      <c r="FT231" s="607"/>
      <c r="FU231" s="607"/>
      <c r="FV231" s="607"/>
      <c r="FW231" s="607"/>
      <c r="FX231" s="607"/>
      <c r="FY231" s="607"/>
      <c r="FZ231" s="607"/>
      <c r="GA231" s="607"/>
      <c r="GB231" s="607"/>
      <c r="GC231" s="607"/>
      <c r="GD231" s="607"/>
      <c r="GE231" s="607"/>
      <c r="GF231" s="607"/>
      <c r="GG231" s="607"/>
      <c r="GH231" s="607"/>
      <c r="GI231" s="607"/>
      <c r="GJ231" s="607"/>
      <c r="GK231" s="607"/>
      <c r="GL231" s="607"/>
      <c r="GM231" s="607"/>
      <c r="GN231" s="607"/>
      <c r="GO231" s="607"/>
      <c r="GP231" s="607"/>
      <c r="GQ231" s="607"/>
      <c r="GR231" s="607"/>
      <c r="GS231" s="607"/>
      <c r="GT231" s="607"/>
      <c r="GU231" s="607"/>
      <c r="GV231" s="607"/>
      <c r="GW231" s="607"/>
      <c r="GX231" s="607"/>
      <c r="GY231" s="607"/>
      <c r="GZ231" s="607"/>
      <c r="HA231" s="607"/>
      <c r="HB231" s="607"/>
      <c r="HC231" s="607"/>
      <c r="HD231" s="607"/>
      <c r="HE231" s="607"/>
      <c r="HF231" s="607"/>
      <c r="HG231" s="607"/>
      <c r="HH231" s="607"/>
      <c r="HI231" s="607"/>
      <c r="HJ231" s="607"/>
      <c r="HK231" s="607"/>
      <c r="HL231" s="607"/>
      <c r="HM231" s="607"/>
      <c r="HN231" s="607"/>
      <c r="HO231" s="607"/>
      <c r="HP231" s="607"/>
      <c r="HQ231" s="607"/>
      <c r="HR231" s="607"/>
      <c r="HS231" s="607"/>
      <c r="HT231" s="607"/>
      <c r="HU231" s="607"/>
      <c r="HV231" s="607"/>
      <c r="HW231" s="607"/>
      <c r="HX231" s="607"/>
      <c r="HY231" s="607"/>
      <c r="IH231" s="884"/>
      <c r="II231" s="884"/>
      <c r="IJ231" s="881"/>
      <c r="IK231" s="882"/>
      <c r="KT231" s="280"/>
    </row>
    <row r="232" spans="1:306" ht="12.75" customHeight="1" outlineLevel="1">
      <c r="D232" s="854" t="s">
        <v>1008</v>
      </c>
      <c r="E232" s="855"/>
      <c r="F232" s="855"/>
      <c r="G232" s="855"/>
      <c r="H232" s="855"/>
      <c r="I232" s="855"/>
      <c r="J232" s="855"/>
      <c r="K232" s="855"/>
      <c r="L232" s="855"/>
      <c r="M232" s="855"/>
      <c r="N232" s="855"/>
      <c r="O232" s="855"/>
      <c r="P232" s="855"/>
      <c r="Q232" s="855"/>
      <c r="R232" s="855"/>
      <c r="S232" s="855"/>
      <c r="T232" s="855"/>
      <c r="U232" s="855"/>
      <c r="V232" s="855"/>
      <c r="W232" s="855"/>
      <c r="X232" s="855"/>
      <c r="Y232" s="855"/>
      <c r="Z232" s="855"/>
      <c r="AA232" s="855"/>
      <c r="AB232" s="855"/>
      <c r="AC232" s="855"/>
      <c r="AD232" s="855"/>
      <c r="AE232" s="855"/>
      <c r="AF232" s="855"/>
      <c r="AG232" s="855"/>
      <c r="AH232" s="855"/>
      <c r="AI232" s="855"/>
      <c r="AJ232" s="855"/>
      <c r="AK232" s="855"/>
      <c r="AL232" s="855"/>
      <c r="AM232" s="855"/>
      <c r="AN232" s="855"/>
      <c r="AO232" s="855"/>
      <c r="AP232" s="855"/>
      <c r="AQ232" s="855"/>
      <c r="AR232" s="855"/>
      <c r="AS232" s="855"/>
      <c r="AT232" s="855"/>
      <c r="AU232" s="855"/>
      <c r="AV232" s="855"/>
      <c r="AW232" s="855"/>
      <c r="AX232" s="855"/>
      <c r="AY232" s="855"/>
      <c r="AZ232" s="855"/>
      <c r="BA232" s="855"/>
      <c r="BB232" s="855"/>
      <c r="BC232" s="855"/>
      <c r="BD232" s="855"/>
      <c r="BE232" s="855"/>
      <c r="BF232" s="855"/>
      <c r="BG232" s="855"/>
      <c r="BH232" s="855"/>
      <c r="BI232" s="855"/>
      <c r="BJ232" s="855"/>
      <c r="BK232" s="855"/>
      <c r="BL232" s="855"/>
      <c r="BM232" s="855"/>
      <c r="BN232" s="855"/>
      <c r="BO232" s="855"/>
      <c r="BP232" s="855"/>
      <c r="BQ232" s="855"/>
      <c r="BR232" s="855"/>
      <c r="BS232" s="855"/>
      <c r="BT232" s="855"/>
      <c r="BU232" s="855"/>
      <c r="BV232" s="855"/>
      <c r="BW232" s="855"/>
      <c r="BX232" s="855"/>
      <c r="BY232" s="855"/>
      <c r="BZ232" s="855"/>
      <c r="CA232" s="855"/>
      <c r="CB232" s="855"/>
      <c r="CC232" s="855"/>
      <c r="CD232" s="856"/>
      <c r="CE232" s="857"/>
      <c r="CF232" s="855"/>
      <c r="CG232" s="855"/>
      <c r="CH232" s="855"/>
      <c r="CI232" s="855"/>
      <c r="CJ232" s="855"/>
      <c r="CK232" s="855"/>
      <c r="CL232" s="855"/>
      <c r="CM232" s="855"/>
      <c r="CN232" s="855"/>
      <c r="CO232" s="855"/>
      <c r="CP232" s="1278"/>
      <c r="CQ232" s="855"/>
      <c r="CR232" s="855"/>
      <c r="CS232" s="855"/>
      <c r="CT232" s="855"/>
      <c r="CU232" s="855"/>
      <c r="CV232" s="855"/>
      <c r="CW232" s="855"/>
      <c r="CX232" s="855"/>
      <c r="CY232" s="855"/>
      <c r="CZ232" s="855"/>
      <c r="DA232" s="855"/>
      <c r="DB232" s="1298"/>
      <c r="DC232" s="858">
        <f>+DC187+DC202+DC219</f>
        <v>66.468543010846716</v>
      </c>
      <c r="DD232" s="858">
        <f t="shared" ref="DD232:DZ232" si="239">+DD187+DD202+DD219</f>
        <v>68.055312448935553</v>
      </c>
      <c r="DE232" s="858">
        <f t="shared" si="239"/>
        <v>86.749043686568399</v>
      </c>
      <c r="DF232" s="858">
        <f t="shared" si="239"/>
        <v>77.674971646906329</v>
      </c>
      <c r="DG232" s="858">
        <f t="shared" si="239"/>
        <v>70.19406207954917</v>
      </c>
      <c r="DH232" s="858">
        <f t="shared" si="239"/>
        <v>94.337508211493841</v>
      </c>
      <c r="DI232" s="858">
        <f t="shared" si="239"/>
        <v>76.641645563319059</v>
      </c>
      <c r="DJ232" s="858">
        <f t="shared" si="239"/>
        <v>71.840331808814327</v>
      </c>
      <c r="DK232" s="858">
        <f t="shared" si="239"/>
        <v>104.19237770397912</v>
      </c>
      <c r="DL232" s="858">
        <f t="shared" si="239"/>
        <v>77.059273623350094</v>
      </c>
      <c r="DM232" s="858">
        <f t="shared" si="239"/>
        <v>78.131954524163547</v>
      </c>
      <c r="DN232" s="1324">
        <f t="shared" si="239"/>
        <v>115.32722113707386</v>
      </c>
      <c r="DO232" s="858">
        <f t="shared" si="239"/>
        <v>69.831563770900004</v>
      </c>
      <c r="DP232" s="858">
        <f t="shared" si="239"/>
        <v>82.33910191530002</v>
      </c>
      <c r="DQ232" s="858">
        <f t="shared" si="239"/>
        <v>96.163174166000005</v>
      </c>
      <c r="DR232" s="858">
        <f t="shared" si="239"/>
        <v>75.032477447700003</v>
      </c>
      <c r="DS232" s="858">
        <f t="shared" si="239"/>
        <v>77.267322875679994</v>
      </c>
      <c r="DT232" s="858">
        <f t="shared" si="239"/>
        <v>106.50302736044726</v>
      </c>
      <c r="DU232" s="858">
        <f t="shared" si="239"/>
        <v>86.734714967100004</v>
      </c>
      <c r="DV232" s="858">
        <f t="shared" si="239"/>
        <v>78.780214510100009</v>
      </c>
      <c r="DW232" s="858">
        <f t="shared" si="239"/>
        <v>118.07723005051002</v>
      </c>
      <c r="DX232" s="858">
        <f t="shared" si="239"/>
        <v>79.296490456900003</v>
      </c>
      <c r="DY232" s="858">
        <f t="shared" si="239"/>
        <v>88.823347795700016</v>
      </c>
      <c r="DZ232" s="1324">
        <f t="shared" si="239"/>
        <v>127.8539387389</v>
      </c>
      <c r="EA232" s="858"/>
      <c r="EB232" s="858"/>
      <c r="EC232" s="858"/>
      <c r="ED232" s="858"/>
      <c r="EE232" s="858"/>
      <c r="EF232" s="858"/>
      <c r="EG232" s="858"/>
      <c r="EH232" s="858"/>
      <c r="EI232" s="858"/>
      <c r="EJ232" s="858"/>
      <c r="EK232" s="858"/>
      <c r="EL232" s="1324"/>
      <c r="EM232" s="1093"/>
      <c r="EN232" s="1093"/>
      <c r="EO232" s="1093"/>
      <c r="EP232" s="1093"/>
      <c r="EQ232" s="1093"/>
      <c r="ER232" s="1093"/>
      <c r="ES232" s="1093"/>
      <c r="ET232" s="1093"/>
      <c r="EU232" s="1093"/>
      <c r="EV232" s="1093"/>
      <c r="EW232" s="1093"/>
      <c r="EX232" s="1360"/>
      <c r="EY232" s="1093"/>
      <c r="EZ232" s="1093"/>
      <c r="FA232" s="1093"/>
      <c r="FB232" s="1093"/>
      <c r="FC232" s="1093"/>
      <c r="FD232" s="1093"/>
      <c r="FE232" s="1093"/>
      <c r="FF232" s="1093"/>
      <c r="FG232" s="1093"/>
      <c r="FH232" s="1093"/>
      <c r="FI232" s="1093"/>
      <c r="FJ232" s="1360"/>
      <c r="FK232" s="1093"/>
      <c r="FL232" s="1093"/>
      <c r="FM232" s="1093"/>
      <c r="FN232" s="1093"/>
      <c r="FO232" s="1093"/>
      <c r="FP232" s="1093"/>
      <c r="FQ232" s="858"/>
      <c r="FR232" s="858"/>
      <c r="FS232" s="858"/>
      <c r="FT232" s="858"/>
      <c r="FU232" s="858"/>
      <c r="FV232" s="858"/>
      <c r="FW232" s="858"/>
      <c r="FX232" s="858"/>
      <c r="FY232" s="858"/>
      <c r="FZ232" s="858"/>
      <c r="GA232" s="858"/>
      <c r="GB232" s="858"/>
      <c r="GC232" s="858"/>
      <c r="GD232" s="858"/>
      <c r="GE232" s="858"/>
      <c r="GF232" s="858"/>
      <c r="GG232" s="858"/>
      <c r="GH232" s="858"/>
      <c r="GI232" s="858"/>
      <c r="GJ232" s="858"/>
      <c r="GK232" s="858"/>
      <c r="GL232" s="858"/>
      <c r="GM232" s="858"/>
      <c r="GN232" s="858"/>
      <c r="GO232" s="858"/>
      <c r="GP232" s="858"/>
      <c r="GQ232" s="858"/>
      <c r="GR232" s="858"/>
      <c r="GS232" s="858"/>
      <c r="GT232" s="858"/>
      <c r="GU232" s="858"/>
      <c r="GV232" s="858"/>
      <c r="GW232" s="858"/>
      <c r="GX232" s="858"/>
      <c r="GY232" s="858"/>
      <c r="GZ232" s="858"/>
      <c r="HA232" s="858"/>
      <c r="HB232" s="858"/>
      <c r="HC232" s="858"/>
      <c r="HD232" s="858"/>
      <c r="HE232" s="858"/>
      <c r="HF232" s="858"/>
      <c r="HG232" s="858"/>
      <c r="HH232" s="858"/>
      <c r="HI232" s="858"/>
      <c r="HJ232" s="858"/>
      <c r="HK232" s="858"/>
      <c r="HL232" s="858"/>
      <c r="HM232" s="858"/>
      <c r="HN232" s="858"/>
      <c r="HO232" s="858"/>
      <c r="HP232" s="858"/>
      <c r="HQ232" s="858"/>
      <c r="HR232" s="858"/>
      <c r="HS232" s="858"/>
      <c r="HT232" s="858"/>
      <c r="HU232" s="858"/>
      <c r="HV232" s="858"/>
      <c r="HW232" s="858"/>
      <c r="HX232" s="858"/>
      <c r="HY232" s="858"/>
      <c r="IH232" s="846">
        <f>+SUM(DC232:DH232)</f>
        <v>463.47944108430005</v>
      </c>
      <c r="II232" s="846">
        <f>+SUM(DI232:DN232)</f>
        <v>523.19280436069994</v>
      </c>
      <c r="IJ232" s="847">
        <f>IH232+II232</f>
        <v>986.67224544500004</v>
      </c>
      <c r="IK232" s="279">
        <f>SUM(DO232:DT232)</f>
        <v>507.13666753602735</v>
      </c>
      <c r="KT232" s="280"/>
    </row>
    <row r="233" spans="1:306" outlineLevel="1">
      <c r="A233" s="291" t="s">
        <v>1040</v>
      </c>
      <c r="CD233" s="838"/>
      <c r="CE233" s="839"/>
      <c r="CF233" s="781"/>
      <c r="CG233" s="781"/>
      <c r="CH233" s="781"/>
      <c r="CI233" s="781"/>
      <c r="CJ233" s="781"/>
      <c r="CK233" s="781"/>
      <c r="CL233" s="781"/>
      <c r="CM233" s="781"/>
      <c r="CN233" s="781"/>
      <c r="CO233" s="781"/>
      <c r="CP233" s="1279"/>
      <c r="CQ233" s="781"/>
      <c r="CR233" s="781"/>
      <c r="CS233" s="781"/>
      <c r="CT233" s="781"/>
      <c r="CU233" s="781"/>
      <c r="CV233" s="781"/>
      <c r="CW233" s="781"/>
      <c r="CX233" s="781"/>
      <c r="CY233" s="781"/>
      <c r="CZ233" s="781"/>
      <c r="DA233" s="781"/>
      <c r="DB233" s="1299"/>
      <c r="DC233" s="843" t="s">
        <v>1005</v>
      </c>
      <c r="DD233" s="840"/>
      <c r="DE233" s="840"/>
      <c r="DF233" s="840"/>
      <c r="DG233" s="840"/>
      <c r="DH233" s="840"/>
      <c r="DI233" s="840"/>
      <c r="DJ233" s="840"/>
      <c r="DK233" s="840"/>
      <c r="DL233" s="840"/>
      <c r="DM233" s="840"/>
      <c r="DN233" s="1325"/>
      <c r="DO233" s="840"/>
      <c r="DP233" s="840"/>
      <c r="DQ233" s="840"/>
      <c r="DR233" s="840"/>
      <c r="DS233" s="840"/>
      <c r="DT233" s="840"/>
      <c r="DU233" s="840"/>
      <c r="DV233" s="840"/>
      <c r="DW233" s="840"/>
      <c r="DX233" s="840"/>
      <c r="DY233" s="840"/>
      <c r="DZ233" s="1325"/>
      <c r="EA233" s="840"/>
      <c r="EB233" s="840"/>
      <c r="EC233" s="840"/>
      <c r="ED233" s="840"/>
      <c r="EE233" s="840"/>
      <c r="EF233" s="840"/>
      <c r="EG233" s="840"/>
      <c r="EH233" s="840"/>
      <c r="EI233" s="840"/>
      <c r="EJ233" s="840"/>
      <c r="EK233" s="840"/>
      <c r="EL233" s="1325"/>
      <c r="EM233" s="1094"/>
      <c r="EN233" s="1094"/>
      <c r="EO233" s="1094"/>
      <c r="EP233" s="1094"/>
      <c r="EQ233" s="1094"/>
      <c r="ER233" s="1094"/>
      <c r="ES233" s="1094"/>
      <c r="ET233" s="1094"/>
      <c r="EU233" s="1094"/>
      <c r="EV233" s="1094"/>
      <c r="EW233" s="1094"/>
      <c r="EX233" s="1361"/>
      <c r="EY233" s="1094"/>
      <c r="EZ233" s="1094"/>
      <c r="FA233" s="1094"/>
      <c r="FB233" s="1094"/>
      <c r="FC233" s="1094"/>
      <c r="FD233" s="1094"/>
      <c r="FE233" s="1094"/>
      <c r="FF233" s="1094"/>
      <c r="FG233" s="1094"/>
      <c r="FH233" s="1094"/>
      <c r="FI233" s="1094"/>
      <c r="FJ233" s="1361"/>
      <c r="FK233" s="1094"/>
      <c r="FL233" s="1094"/>
      <c r="FM233" s="1094"/>
      <c r="FN233" s="1094"/>
      <c r="FO233" s="1094"/>
      <c r="FP233" s="1094"/>
      <c r="FQ233" s="840"/>
      <c r="FR233" s="840"/>
      <c r="FS233" s="840"/>
      <c r="FT233" s="840"/>
      <c r="FU233" s="840"/>
      <c r="FV233" s="840"/>
      <c r="FW233" s="840"/>
      <c r="FX233" s="840"/>
      <c r="FY233" s="840"/>
      <c r="FZ233" s="840"/>
      <c r="GA233" s="840"/>
      <c r="GB233" s="840"/>
      <c r="GC233" s="840"/>
      <c r="GD233" s="840"/>
      <c r="GE233" s="840"/>
      <c r="GF233" s="840"/>
      <c r="GG233" s="840"/>
      <c r="GH233" s="840"/>
      <c r="GI233" s="840"/>
      <c r="GJ233" s="840"/>
      <c r="GK233" s="840"/>
      <c r="GL233" s="840"/>
      <c r="GM233" s="840"/>
      <c r="GN233" s="840"/>
      <c r="GO233" s="840"/>
      <c r="GP233" s="840"/>
      <c r="GQ233" s="840"/>
      <c r="GR233" s="840"/>
      <c r="GS233" s="840"/>
      <c r="GT233" s="840"/>
      <c r="GU233" s="840"/>
      <c r="GV233" s="840"/>
      <c r="GW233" s="840"/>
      <c r="GX233" s="840"/>
      <c r="GY233" s="840"/>
      <c r="GZ233" s="840"/>
      <c r="HA233" s="840"/>
      <c r="HB233" s="840"/>
      <c r="HC233" s="840"/>
      <c r="HD233" s="840"/>
      <c r="HE233" s="840"/>
      <c r="HF233" s="840"/>
      <c r="HG233" s="840"/>
      <c r="HH233" s="840"/>
      <c r="HI233" s="840"/>
      <c r="HJ233" s="840"/>
      <c r="HK233" s="840"/>
      <c r="HL233" s="840"/>
      <c r="HM233" s="840"/>
      <c r="HN233" s="840"/>
      <c r="HO233" s="840"/>
      <c r="HP233" s="840"/>
      <c r="HQ233" s="840"/>
      <c r="HR233" s="840"/>
      <c r="HS233" s="840"/>
      <c r="HT233" s="840"/>
      <c r="HU233" s="840"/>
      <c r="HV233" s="840"/>
      <c r="HW233" s="840"/>
      <c r="HX233" s="840"/>
      <c r="HY233" s="840"/>
      <c r="IG233" s="882"/>
      <c r="IH233" s="883"/>
      <c r="II233" s="883"/>
      <c r="IJ233" s="881"/>
      <c r="IK233" s="882"/>
      <c r="IL233" s="882"/>
      <c r="KT233" s="280"/>
    </row>
    <row r="234" spans="1:306" outlineLevel="1">
      <c r="B234" s="96" t="s">
        <v>338</v>
      </c>
      <c r="D234" s="307" t="s">
        <v>3733</v>
      </c>
      <c r="E234" s="293"/>
      <c r="F234" s="293"/>
      <c r="G234" s="293"/>
      <c r="H234" s="293"/>
      <c r="I234" s="293"/>
      <c r="J234" s="293"/>
      <c r="K234" s="293"/>
      <c r="L234" s="293"/>
      <c r="M234" s="293"/>
      <c r="N234" s="293"/>
      <c r="O234" s="293"/>
      <c r="P234" s="293"/>
      <c r="Q234" s="293"/>
      <c r="R234" s="293"/>
      <c r="S234" s="293"/>
      <c r="T234" s="293"/>
      <c r="U234" s="293"/>
      <c r="V234" s="293"/>
      <c r="W234" s="293"/>
      <c r="X234" s="293"/>
      <c r="Y234" s="29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c r="BN234" s="293"/>
      <c r="BO234" s="293"/>
      <c r="BP234" s="293"/>
      <c r="BQ234" s="293"/>
      <c r="BR234" s="293"/>
      <c r="BS234" s="293"/>
      <c r="BT234" s="293"/>
      <c r="BU234" s="293"/>
      <c r="BV234" s="293"/>
      <c r="BW234" s="293"/>
      <c r="BX234" s="293"/>
      <c r="BY234" s="293"/>
      <c r="BZ234" s="293"/>
      <c r="CA234" s="293"/>
      <c r="CB234" s="293"/>
      <c r="CC234" s="293"/>
      <c r="CD234" s="293"/>
      <c r="CE234" s="294"/>
      <c r="CF234" s="293"/>
      <c r="CG234" s="293"/>
      <c r="CH234" s="293"/>
      <c r="CI234" s="293"/>
      <c r="CJ234" s="293"/>
      <c r="CK234" s="293"/>
      <c r="CL234" s="293"/>
      <c r="CM234" s="293"/>
      <c r="CN234" s="293"/>
      <c r="CO234" s="293"/>
      <c r="CP234" s="295"/>
      <c r="CQ234" s="293"/>
      <c r="CR234" s="293"/>
      <c r="CS234" s="293"/>
      <c r="CT234" s="293"/>
      <c r="CU234" s="293"/>
      <c r="CV234" s="293"/>
      <c r="CW234" s="293"/>
      <c r="CX234" s="293"/>
      <c r="CY234" s="293"/>
      <c r="CZ234" s="293"/>
      <c r="DA234" s="293"/>
      <c r="DB234" s="1288"/>
      <c r="DC234" s="836">
        <v>42186</v>
      </c>
      <c r="DD234" s="836">
        <v>42217</v>
      </c>
      <c r="DE234" s="836">
        <v>42248</v>
      </c>
      <c r="DF234" s="836">
        <v>42278</v>
      </c>
      <c r="DG234" s="836">
        <v>42309</v>
      </c>
      <c r="DH234" s="836">
        <v>42339</v>
      </c>
      <c r="DI234" s="836">
        <v>42370</v>
      </c>
      <c r="DJ234" s="836">
        <v>42401</v>
      </c>
      <c r="DK234" s="836">
        <v>42430</v>
      </c>
      <c r="DL234" s="836">
        <v>42461</v>
      </c>
      <c r="DM234" s="836">
        <v>42491</v>
      </c>
      <c r="DN234" s="872">
        <v>42522</v>
      </c>
      <c r="DO234" s="836">
        <v>42552</v>
      </c>
      <c r="DP234" s="836">
        <v>42583</v>
      </c>
      <c r="DQ234" s="836">
        <v>42614</v>
      </c>
      <c r="DR234" s="836">
        <v>42644</v>
      </c>
      <c r="DS234" s="836">
        <v>42675</v>
      </c>
      <c r="DT234" s="836">
        <v>42705</v>
      </c>
      <c r="DU234" s="836">
        <v>42736</v>
      </c>
      <c r="DV234" s="836">
        <v>42767</v>
      </c>
      <c r="DW234" s="836">
        <v>42795</v>
      </c>
      <c r="DX234" s="836">
        <v>42826</v>
      </c>
      <c r="DY234" s="836">
        <v>42856</v>
      </c>
      <c r="DZ234" s="872">
        <v>42887</v>
      </c>
      <c r="EA234" s="836">
        <v>42917</v>
      </c>
      <c r="EB234" s="836">
        <v>42948</v>
      </c>
      <c r="EC234" s="836">
        <v>42979</v>
      </c>
      <c r="ED234" s="836">
        <v>43009</v>
      </c>
      <c r="EE234" s="836">
        <v>43040</v>
      </c>
      <c r="EF234" s="836">
        <v>43070</v>
      </c>
      <c r="EG234" s="836">
        <v>43101</v>
      </c>
      <c r="EH234" s="836">
        <v>43132</v>
      </c>
      <c r="EI234" s="836">
        <v>43160</v>
      </c>
      <c r="EJ234" s="836">
        <v>43191</v>
      </c>
      <c r="EK234" s="836">
        <v>43221</v>
      </c>
      <c r="EL234" s="872">
        <v>43252</v>
      </c>
      <c r="EM234" s="1079">
        <v>43282</v>
      </c>
      <c r="EN234" s="1079">
        <v>43313</v>
      </c>
      <c r="EO234" s="1079">
        <v>43344</v>
      </c>
      <c r="EP234" s="1079">
        <v>43374</v>
      </c>
      <c r="EQ234" s="1079">
        <v>43405</v>
      </c>
      <c r="ER234" s="1079">
        <v>43435</v>
      </c>
      <c r="ES234" s="1079">
        <v>43466</v>
      </c>
      <c r="ET234" s="1079">
        <v>43497</v>
      </c>
      <c r="EU234" s="1079">
        <v>43525</v>
      </c>
      <c r="EV234" s="1079">
        <v>43556</v>
      </c>
      <c r="EW234" s="1079">
        <v>43586</v>
      </c>
      <c r="EX234" s="1348">
        <v>43617</v>
      </c>
      <c r="EY234" s="1079">
        <v>43647</v>
      </c>
      <c r="EZ234" s="1079">
        <v>43678</v>
      </c>
      <c r="FA234" s="1079">
        <v>43709</v>
      </c>
      <c r="FB234" s="1079">
        <v>43739</v>
      </c>
      <c r="FC234" s="1079">
        <v>43770</v>
      </c>
      <c r="FD234" s="1079">
        <v>43800</v>
      </c>
      <c r="FE234" s="1079">
        <v>43831</v>
      </c>
      <c r="FF234" s="1079">
        <v>43862</v>
      </c>
      <c r="FG234" s="1079">
        <v>43891</v>
      </c>
      <c r="FH234" s="1079">
        <v>43922</v>
      </c>
      <c r="FI234" s="1079">
        <v>43952</v>
      </c>
      <c r="FJ234" s="1348">
        <v>43983</v>
      </c>
      <c r="FK234" s="1079">
        <v>44013</v>
      </c>
      <c r="FL234" s="1079">
        <v>44044</v>
      </c>
      <c r="FM234" s="1079">
        <v>44075</v>
      </c>
      <c r="FN234" s="1079">
        <v>44105</v>
      </c>
      <c r="FO234" s="1079">
        <v>44136</v>
      </c>
      <c r="FP234" s="1079">
        <v>44166</v>
      </c>
      <c r="FQ234" s="836">
        <f>FQ753</f>
        <v>44197</v>
      </c>
      <c r="FR234" s="836">
        <f t="shared" ref="FR234:HL234" si="240">FR753</f>
        <v>44228</v>
      </c>
      <c r="FS234" s="836">
        <f t="shared" si="240"/>
        <v>44256</v>
      </c>
      <c r="FT234" s="836">
        <f t="shared" si="240"/>
        <v>44287</v>
      </c>
      <c r="FU234" s="836">
        <f t="shared" si="240"/>
        <v>44317</v>
      </c>
      <c r="FV234" s="836">
        <f t="shared" si="240"/>
        <v>44348</v>
      </c>
      <c r="FW234" s="836">
        <f t="shared" si="240"/>
        <v>44378</v>
      </c>
      <c r="FX234" s="836">
        <f t="shared" si="240"/>
        <v>44409</v>
      </c>
      <c r="FY234" s="836">
        <f t="shared" si="240"/>
        <v>44440</v>
      </c>
      <c r="FZ234" s="836">
        <f t="shared" si="240"/>
        <v>44470</v>
      </c>
      <c r="GA234" s="836">
        <f t="shared" si="240"/>
        <v>44501</v>
      </c>
      <c r="GB234" s="836">
        <f t="shared" si="240"/>
        <v>44531</v>
      </c>
      <c r="GC234" s="836">
        <f t="shared" si="240"/>
        <v>44562</v>
      </c>
      <c r="GD234" s="836">
        <f t="shared" si="240"/>
        <v>44593</v>
      </c>
      <c r="GE234" s="836">
        <f t="shared" si="240"/>
        <v>44621</v>
      </c>
      <c r="GF234" s="836">
        <f t="shared" si="240"/>
        <v>44652</v>
      </c>
      <c r="GG234" s="836">
        <f t="shared" si="240"/>
        <v>44682</v>
      </c>
      <c r="GH234" s="836">
        <f t="shared" si="240"/>
        <v>44713</v>
      </c>
      <c r="GI234" s="836">
        <f t="shared" si="240"/>
        <v>44743</v>
      </c>
      <c r="GJ234" s="836">
        <f t="shared" si="240"/>
        <v>44774</v>
      </c>
      <c r="GK234" s="836">
        <f t="shared" si="240"/>
        <v>44805</v>
      </c>
      <c r="GL234" s="836">
        <f t="shared" si="240"/>
        <v>44835</v>
      </c>
      <c r="GM234" s="836">
        <f t="shared" si="240"/>
        <v>44866</v>
      </c>
      <c r="GN234" s="836">
        <f t="shared" si="240"/>
        <v>44896</v>
      </c>
      <c r="GO234" s="836">
        <f t="shared" si="240"/>
        <v>44927</v>
      </c>
      <c r="GP234" s="836">
        <f t="shared" si="240"/>
        <v>44958</v>
      </c>
      <c r="GQ234" s="836">
        <f t="shared" si="240"/>
        <v>44986</v>
      </c>
      <c r="GR234" s="836">
        <f t="shared" si="240"/>
        <v>45017</v>
      </c>
      <c r="GS234" s="836">
        <f t="shared" si="240"/>
        <v>45047</v>
      </c>
      <c r="GT234" s="836">
        <f t="shared" si="240"/>
        <v>45078</v>
      </c>
      <c r="GU234" s="836">
        <f t="shared" si="240"/>
        <v>45108</v>
      </c>
      <c r="GV234" s="836">
        <f t="shared" si="240"/>
        <v>45139</v>
      </c>
      <c r="GW234" s="836">
        <f t="shared" si="240"/>
        <v>45170</v>
      </c>
      <c r="GX234" s="836">
        <f t="shared" si="240"/>
        <v>45200</v>
      </c>
      <c r="GY234" s="836">
        <f t="shared" si="240"/>
        <v>45231</v>
      </c>
      <c r="GZ234" s="836">
        <f t="shared" si="240"/>
        <v>45261</v>
      </c>
      <c r="HA234" s="836">
        <f t="shared" si="240"/>
        <v>45292</v>
      </c>
      <c r="HB234" s="836">
        <f t="shared" si="240"/>
        <v>45323</v>
      </c>
      <c r="HC234" s="836">
        <f t="shared" si="240"/>
        <v>45352</v>
      </c>
      <c r="HD234" s="836">
        <f t="shared" si="240"/>
        <v>45383</v>
      </c>
      <c r="HE234" s="836">
        <f t="shared" si="240"/>
        <v>45413</v>
      </c>
      <c r="HF234" s="836">
        <f t="shared" si="240"/>
        <v>45444</v>
      </c>
      <c r="HG234" s="836">
        <f t="shared" si="240"/>
        <v>45474</v>
      </c>
      <c r="HH234" s="836">
        <f t="shared" si="240"/>
        <v>45505</v>
      </c>
      <c r="HI234" s="836">
        <f t="shared" si="240"/>
        <v>45536</v>
      </c>
      <c r="HJ234" s="836">
        <f t="shared" si="240"/>
        <v>45566</v>
      </c>
      <c r="HK234" s="836">
        <f t="shared" si="240"/>
        <v>45597</v>
      </c>
      <c r="HL234" s="836">
        <f t="shared" si="240"/>
        <v>45627</v>
      </c>
      <c r="HM234" s="836"/>
      <c r="HN234" s="836"/>
      <c r="HO234" s="836"/>
      <c r="HP234" s="836"/>
      <c r="HQ234" s="836"/>
      <c r="HR234" s="836"/>
      <c r="HS234" s="836"/>
      <c r="HT234" s="836"/>
      <c r="HU234" s="836"/>
      <c r="HV234" s="836"/>
      <c r="HW234" s="836"/>
      <c r="HX234" s="836"/>
      <c r="HY234" s="836"/>
      <c r="IG234" s="882"/>
      <c r="IH234" s="882"/>
      <c r="II234" s="882"/>
      <c r="IJ234" s="881"/>
      <c r="IK234" s="882"/>
      <c r="IL234" s="882"/>
      <c r="KT234" s="280"/>
    </row>
    <row r="235" spans="1:306" outlineLevel="1">
      <c r="B235" s="96" t="s">
        <v>338</v>
      </c>
      <c r="D235" s="308" t="s">
        <v>923</v>
      </c>
      <c r="E235" s="293"/>
      <c r="F235" s="293"/>
      <c r="G235" s="293"/>
      <c r="H235" s="293"/>
      <c r="I235" s="293"/>
      <c r="J235" s="293"/>
      <c r="K235" s="293"/>
      <c r="L235" s="293"/>
      <c r="M235" s="293"/>
      <c r="N235" s="293"/>
      <c r="O235" s="293"/>
      <c r="P235" s="293"/>
      <c r="Q235" s="293"/>
      <c r="R235" s="293"/>
      <c r="S235" s="293"/>
      <c r="T235" s="293"/>
      <c r="U235" s="293"/>
      <c r="V235" s="293"/>
      <c r="W235" s="293"/>
      <c r="X235" s="293"/>
      <c r="Y235" s="29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c r="BN235" s="293"/>
      <c r="BO235" s="293"/>
      <c r="BP235" s="293"/>
      <c r="BQ235" s="293"/>
      <c r="BR235" s="293"/>
      <c r="BS235" s="293"/>
      <c r="BT235" s="293"/>
      <c r="BU235" s="293"/>
      <c r="BV235" s="293"/>
      <c r="BW235" s="293"/>
      <c r="BX235" s="293"/>
      <c r="BY235" s="293"/>
      <c r="BZ235" s="293"/>
      <c r="CA235" s="293"/>
      <c r="CB235" s="293"/>
      <c r="CC235" s="293"/>
      <c r="CD235" s="293"/>
      <c r="CE235" s="294"/>
      <c r="CF235" s="293"/>
      <c r="CG235" s="293"/>
      <c r="CH235" s="293"/>
      <c r="CI235" s="293"/>
      <c r="CJ235" s="293"/>
      <c r="CK235" s="293"/>
      <c r="CL235" s="293"/>
      <c r="CM235" s="293"/>
      <c r="CN235" s="293"/>
      <c r="CO235" s="293"/>
      <c r="CP235" s="295"/>
      <c r="CQ235" s="293">
        <v>0.183261338</v>
      </c>
      <c r="CR235" s="293">
        <v>0.14638458600000001</v>
      </c>
      <c r="CS235" s="293">
        <v>0.113267485</v>
      </c>
      <c r="CT235" s="293">
        <v>0.122111359</v>
      </c>
      <c r="CU235" s="293">
        <v>0.116284792</v>
      </c>
      <c r="CV235" s="293">
        <v>0.15974851299999998</v>
      </c>
      <c r="CW235" s="293">
        <v>0.46627267899999997</v>
      </c>
      <c r="CX235" s="293">
        <v>1.052214293</v>
      </c>
      <c r="CY235" s="293">
        <v>9.8454401609999991</v>
      </c>
      <c r="CZ235" s="293">
        <v>0.50515088600000002</v>
      </c>
      <c r="DA235" s="293">
        <v>0.26616519800000005</v>
      </c>
      <c r="DB235" s="1288">
        <v>0.24200322200000002</v>
      </c>
      <c r="DC235" s="606">
        <v>0.265408537</v>
      </c>
      <c r="DD235" s="606">
        <v>0.19027443199999999</v>
      </c>
      <c r="DE235" s="606">
        <v>7.5303182999999996E-2</v>
      </c>
      <c r="DF235" s="606">
        <v>9.3817632999999998E-2</v>
      </c>
      <c r="DG235" s="606">
        <v>9.6626641999999999E-2</v>
      </c>
      <c r="DH235" s="606">
        <v>9.9763664000000002E-2</v>
      </c>
      <c r="DI235" s="606">
        <v>0.35724085500000002</v>
      </c>
      <c r="DJ235" s="606">
        <v>0.94090106299999998</v>
      </c>
      <c r="DK235" s="606">
        <v>9.5045297170000005</v>
      </c>
      <c r="DL235" s="606">
        <v>1.38641853</v>
      </c>
      <c r="DM235" s="606">
        <v>0.30435586199999998</v>
      </c>
      <c r="DN235" s="622">
        <v>0.32706426910907299</v>
      </c>
      <c r="DO235" s="606">
        <v>0.16981340364852907</v>
      </c>
      <c r="DP235" s="606">
        <v>0.21171806276689387</v>
      </c>
      <c r="DQ235" s="606">
        <v>0.17637747358457684</v>
      </c>
      <c r="DR235" s="606">
        <v>0.20408398909872857</v>
      </c>
      <c r="DS235" s="606">
        <v>0.22159607649424631</v>
      </c>
      <c r="DT235" s="606">
        <v>0.48598600102578449</v>
      </c>
      <c r="DU235" s="606">
        <v>0.58629205100000004</v>
      </c>
      <c r="DV235" s="606">
        <v>1.5856071979999999</v>
      </c>
      <c r="DW235" s="606">
        <v>12.725059079999999</v>
      </c>
      <c r="DX235" s="606">
        <v>0.57326582100000001</v>
      </c>
      <c r="DY235" s="606">
        <v>0.50074186300000001</v>
      </c>
      <c r="DZ235" s="622">
        <v>0</v>
      </c>
      <c r="EA235" s="606">
        <v>0.22674821419018054</v>
      </c>
      <c r="EB235" s="606">
        <v>0.2361400924788237</v>
      </c>
      <c r="EC235" s="606">
        <v>0.19255294665680348</v>
      </c>
      <c r="ED235" s="606">
        <v>0.22674821419018054</v>
      </c>
      <c r="EE235" s="606">
        <v>0.2361400924788237</v>
      </c>
      <c r="EF235" s="606">
        <v>0.19255294665680348</v>
      </c>
      <c r="EG235" s="606">
        <v>0.85181301325458303</v>
      </c>
      <c r="EH235" s="606">
        <v>1.3401586173046514</v>
      </c>
      <c r="EI235" s="606">
        <v>12.973533580430418</v>
      </c>
      <c r="EJ235" s="606">
        <v>1.4418040524169249</v>
      </c>
      <c r="EK235" s="606">
        <v>0.50146783091962921</v>
      </c>
      <c r="EL235" s="622">
        <v>0.41145482824615598</v>
      </c>
      <c r="EM235" s="1083">
        <v>0.31447588599999998</v>
      </c>
      <c r="EN235" s="1083">
        <v>0.26314551400000002</v>
      </c>
      <c r="EO235" s="1083">
        <v>0.19594088800000001</v>
      </c>
      <c r="EP235" s="1083">
        <v>0.42045458299999999</v>
      </c>
      <c r="EQ235" s="1083">
        <v>0.28763700399999997</v>
      </c>
      <c r="ER235" s="1083">
        <v>0.36551615700000001</v>
      </c>
      <c r="ES235" s="1083">
        <v>5.7445599869999997</v>
      </c>
      <c r="ET235" s="1083">
        <v>1.675767827</v>
      </c>
      <c r="EU235" s="1083">
        <v>8.2551049469999995</v>
      </c>
      <c r="EV235" s="1083">
        <v>1.1323164939999999</v>
      </c>
      <c r="EW235" s="1083">
        <v>0.41788988500000002</v>
      </c>
      <c r="EX235" s="1329">
        <v>0.29598800600000003</v>
      </c>
      <c r="EY235" s="1083"/>
      <c r="EZ235" s="1083"/>
      <c r="FA235" s="1083"/>
      <c r="FB235" s="1083"/>
      <c r="FC235" s="1083"/>
      <c r="FD235" s="1083"/>
      <c r="FE235" s="1083"/>
      <c r="FF235" s="1083"/>
      <c r="FG235" s="1083"/>
      <c r="FH235" s="1083"/>
      <c r="FI235" s="1083"/>
      <c r="FJ235" s="1329"/>
      <c r="FK235" s="1083"/>
      <c r="FL235" s="1083"/>
      <c r="FM235" s="1083"/>
      <c r="FN235" s="1083"/>
      <c r="FO235" s="1083"/>
      <c r="FP235" s="1083"/>
      <c r="FQ235" s="606"/>
      <c r="FR235" s="606"/>
      <c r="FS235" s="606"/>
      <c r="FT235" s="606"/>
      <c r="FU235" s="606"/>
      <c r="FV235" s="606"/>
      <c r="FW235" s="606"/>
      <c r="FX235" s="606"/>
      <c r="FY235" s="606"/>
      <c r="FZ235" s="606"/>
      <c r="GA235" s="606"/>
      <c r="GB235" s="606"/>
      <c r="GC235" s="606"/>
      <c r="GD235" s="606"/>
      <c r="GE235" s="606"/>
      <c r="GF235" s="606"/>
      <c r="GG235" s="606"/>
      <c r="GH235" s="606"/>
      <c r="GI235" s="606"/>
      <c r="GJ235" s="606"/>
      <c r="GK235" s="606"/>
      <c r="GL235" s="606"/>
      <c r="GM235" s="606"/>
      <c r="GN235" s="606"/>
      <c r="GO235" s="606"/>
      <c r="GP235" s="606"/>
      <c r="GQ235" s="606"/>
      <c r="GR235" s="606"/>
      <c r="GS235" s="606"/>
      <c r="GT235" s="606"/>
      <c r="GU235" s="606"/>
      <c r="GV235" s="606"/>
      <c r="GW235" s="606"/>
      <c r="GX235" s="606"/>
      <c r="GY235" s="606"/>
      <c r="GZ235" s="606"/>
      <c r="HA235" s="606"/>
      <c r="HB235" s="606"/>
      <c r="HC235" s="606"/>
      <c r="HD235" s="606"/>
      <c r="HE235" s="606"/>
      <c r="HF235" s="606"/>
      <c r="HG235" s="606"/>
      <c r="HH235" s="606"/>
      <c r="HI235" s="606"/>
      <c r="HJ235" s="606"/>
      <c r="HK235" s="606"/>
      <c r="HL235" s="606"/>
      <c r="HM235" s="606"/>
      <c r="HN235" s="606"/>
      <c r="HO235" s="606"/>
      <c r="HP235" s="606"/>
      <c r="HQ235" s="606"/>
      <c r="HR235" s="606"/>
      <c r="HS235" s="606"/>
      <c r="HT235" s="606"/>
      <c r="HU235" s="606"/>
      <c r="HV235" s="606"/>
      <c r="HW235" s="606"/>
      <c r="HX235" s="606"/>
      <c r="HY235" s="606"/>
      <c r="IH235" s="607">
        <f>+SUM(DC235:DH235)</f>
        <v>0.82119409100000007</v>
      </c>
      <c r="II235" s="607">
        <f>+SUM(DI235:DN235)</f>
        <v>12.820510296109074</v>
      </c>
      <c r="IJ235" s="323">
        <f t="shared" ref="IJ235:IJ243" si="241">IH235+II235</f>
        <v>13.641704387109074</v>
      </c>
      <c r="IK235" s="279">
        <f>SUM(DO235:DT235)</f>
        <v>1.4695750066187592</v>
      </c>
      <c r="KT235" s="280"/>
    </row>
    <row r="236" spans="1:306" outlineLevel="1">
      <c r="B236" s="96" t="s">
        <v>338</v>
      </c>
      <c r="D236" s="298" t="s">
        <v>431</v>
      </c>
      <c r="E236" s="293"/>
      <c r="F236" s="293"/>
      <c r="G236" s="293"/>
      <c r="H236" s="293"/>
      <c r="I236" s="293"/>
      <c r="J236" s="293"/>
      <c r="K236" s="293"/>
      <c r="L236" s="293"/>
      <c r="M236" s="293"/>
      <c r="N236" s="293"/>
      <c r="O236" s="293"/>
      <c r="P236" s="293"/>
      <c r="Q236" s="293"/>
      <c r="R236" s="293"/>
      <c r="S236" s="293"/>
      <c r="T236" s="293"/>
      <c r="U236" s="293"/>
      <c r="V236" s="293"/>
      <c r="W236" s="293"/>
      <c r="X236" s="293"/>
      <c r="Y236" s="29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c r="BN236" s="293"/>
      <c r="BO236" s="293"/>
      <c r="BP236" s="293"/>
      <c r="BQ236" s="293"/>
      <c r="BR236" s="293"/>
      <c r="BS236" s="293"/>
      <c r="BT236" s="293"/>
      <c r="BU236" s="293"/>
      <c r="BV236" s="293"/>
      <c r="BW236" s="293"/>
      <c r="BX236" s="293"/>
      <c r="BY236" s="293"/>
      <c r="BZ236" s="293"/>
      <c r="CA236" s="293"/>
      <c r="CB236" s="293"/>
      <c r="CC236" s="293"/>
      <c r="CD236" s="293"/>
      <c r="CE236" s="294"/>
      <c r="CF236" s="293"/>
      <c r="CG236" s="293"/>
      <c r="CH236" s="293"/>
      <c r="CI236" s="293"/>
      <c r="CJ236" s="293"/>
      <c r="CK236" s="293"/>
      <c r="CL236" s="293"/>
      <c r="CM236" s="293"/>
      <c r="CN236" s="293"/>
      <c r="CO236" s="293"/>
      <c r="CP236" s="295"/>
      <c r="CQ236" s="293">
        <v>6.4068461000000007E-2</v>
      </c>
      <c r="CR236" s="293">
        <v>4.8630384999999998E-2</v>
      </c>
      <c r="CS236" s="293">
        <v>4.5853443000000001E-2</v>
      </c>
      <c r="CT236" s="293">
        <v>3.7334525E-2</v>
      </c>
      <c r="CU236" s="293">
        <v>2.5196940000000001E-2</v>
      </c>
      <c r="CV236" s="293">
        <v>2.1096296E-2</v>
      </c>
      <c r="CW236" s="293">
        <v>0.14355452799999999</v>
      </c>
      <c r="CX236" s="293">
        <v>0.18836430800000001</v>
      </c>
      <c r="CY236" s="293">
        <v>3.4652163030000001</v>
      </c>
      <c r="CZ236" s="293">
        <v>0.25610231700000002</v>
      </c>
      <c r="DA236" s="293">
        <v>0.14764929600000001</v>
      </c>
      <c r="DB236" s="1288">
        <v>0.101770338</v>
      </c>
      <c r="DC236" s="293"/>
      <c r="DD236" s="293"/>
      <c r="DE236" s="293"/>
      <c r="DF236" s="293"/>
      <c r="DG236" s="293"/>
      <c r="DH236" s="293"/>
      <c r="DI236" s="293"/>
      <c r="DJ236" s="293"/>
      <c r="DK236" s="293"/>
      <c r="DL236" s="293"/>
      <c r="DM236" s="293"/>
      <c r="DN236" s="295"/>
      <c r="DO236" s="293"/>
      <c r="DP236" s="293"/>
      <c r="DQ236" s="293"/>
      <c r="DR236" s="293"/>
      <c r="DS236" s="293"/>
      <c r="DT236" s="293"/>
      <c r="DU236" s="293"/>
      <c r="DV236" s="293"/>
      <c r="DW236" s="293"/>
      <c r="DX236" s="293"/>
      <c r="DY236" s="293"/>
      <c r="DZ236" s="295"/>
      <c r="EA236" s="293"/>
      <c r="EB236" s="293"/>
      <c r="EC236" s="293"/>
      <c r="ED236" s="293"/>
      <c r="EE236" s="293"/>
      <c r="EF236" s="293"/>
      <c r="EG236" s="293"/>
      <c r="EH236" s="293"/>
      <c r="EI236" s="293"/>
      <c r="EJ236" s="293"/>
      <c r="EK236" s="293"/>
      <c r="EL236" s="295"/>
      <c r="EM236" s="1080"/>
      <c r="EN236" s="1080"/>
      <c r="EO236" s="1080"/>
      <c r="EP236" s="1080"/>
      <c r="EQ236" s="1080"/>
      <c r="ER236" s="1080"/>
      <c r="ES236" s="1080"/>
      <c r="ET236" s="1080"/>
      <c r="EU236" s="1080"/>
      <c r="EV236" s="1080"/>
      <c r="EW236" s="1080"/>
      <c r="EX236" s="1340"/>
      <c r="EY236" s="1080"/>
      <c r="EZ236" s="1080"/>
      <c r="FA236" s="1080"/>
      <c r="FB236" s="1080"/>
      <c r="FC236" s="1080"/>
      <c r="FD236" s="1080"/>
      <c r="FE236" s="1080"/>
      <c r="FF236" s="1080"/>
      <c r="FG236" s="1080"/>
      <c r="FH236" s="1080"/>
      <c r="FI236" s="1080"/>
      <c r="FJ236" s="1340"/>
      <c r="FK236" s="1080"/>
      <c r="FL236" s="1080"/>
      <c r="FM236" s="1080"/>
      <c r="FN236" s="1080"/>
      <c r="FO236" s="1080"/>
      <c r="FP236" s="1080"/>
      <c r="FQ236" s="293"/>
      <c r="FR236" s="293"/>
      <c r="FS236" s="293"/>
      <c r="FT236" s="293"/>
      <c r="FU236" s="293"/>
      <c r="FV236" s="293"/>
      <c r="FW236" s="293">
        <v>9.2340063198682126E-2</v>
      </c>
      <c r="FX236" s="293">
        <v>0.11524411630216823</v>
      </c>
      <c r="FY236" s="293">
        <v>0.14171416749914964</v>
      </c>
      <c r="FZ236" s="293">
        <v>6.6866140149199421E-2</v>
      </c>
      <c r="GA236" s="293">
        <v>9.6456097691933931E-2</v>
      </c>
      <c r="GB236" s="293">
        <v>0.27037780815886664</v>
      </c>
      <c r="GC236" s="293">
        <v>1.2426386619662857</v>
      </c>
      <c r="GD236" s="293">
        <v>1.5595893771090639</v>
      </c>
      <c r="GE236" s="293">
        <v>3.0518096729246502</v>
      </c>
      <c r="GF236" s="293">
        <v>0.17165030568481376</v>
      </c>
      <c r="GG236" s="293">
        <v>0.17660300052462727</v>
      </c>
      <c r="GH236" s="293">
        <v>0.27698401279400947</v>
      </c>
      <c r="GI236" s="293">
        <v>0.13460255700000001</v>
      </c>
      <c r="GJ236" s="293">
        <v>0.159268837</v>
      </c>
      <c r="GK236" s="293">
        <v>0.14826814999999999</v>
      </c>
      <c r="GL236" s="293">
        <v>0.113621295</v>
      </c>
      <c r="GM236" s="293">
        <v>0.12733825400000001</v>
      </c>
      <c r="GN236" s="293">
        <v>0.15216264099999999</v>
      </c>
      <c r="GO236" s="293">
        <v>4.7044156880000001</v>
      </c>
      <c r="GP236" s="293">
        <v>0.805456756</v>
      </c>
      <c r="GQ236" s="293">
        <v>0.47953915200000002</v>
      </c>
      <c r="GR236" s="293">
        <v>0.20474355699999999</v>
      </c>
      <c r="GS236" s="293">
        <v>0.21043287699999999</v>
      </c>
      <c r="GT236" s="293">
        <v>0.160150235</v>
      </c>
      <c r="GU236" s="293">
        <v>0.50321992000000004</v>
      </c>
      <c r="GV236" s="293">
        <v>0.60779959400000005</v>
      </c>
      <c r="GW236" s="293">
        <v>0.49503668099999998</v>
      </c>
      <c r="GX236" s="293">
        <v>0.49720740099999999</v>
      </c>
      <c r="GY236" s="293">
        <v>0.25866908399999999</v>
      </c>
      <c r="GZ236" s="293">
        <v>9.1145840000000006E-2</v>
      </c>
      <c r="HA236" s="293">
        <v>4.5787891690000002</v>
      </c>
      <c r="HB236" s="293">
        <v>2.4912074770000001</v>
      </c>
      <c r="HC236" s="293">
        <v>0.57395500700000002</v>
      </c>
      <c r="HD236" s="293">
        <v>1.6551297110000001</v>
      </c>
      <c r="HE236" s="293">
        <v>0.47746946800000001</v>
      </c>
      <c r="HF236" s="293">
        <v>0.69640668999999999</v>
      </c>
      <c r="HG236" s="293">
        <v>1.4705108929999999</v>
      </c>
      <c r="HH236" s="293">
        <v>0.35344490099999998</v>
      </c>
      <c r="HI236" s="293">
        <v>0.52472494999999997</v>
      </c>
      <c r="HJ236" s="293">
        <v>1.2265425750000001</v>
      </c>
      <c r="HK236" s="293">
        <v>0.41492590299999998</v>
      </c>
      <c r="HL236" s="293">
        <v>0.69585611000000003</v>
      </c>
      <c r="HM236" s="293"/>
      <c r="HN236" s="293"/>
      <c r="HO236" s="293"/>
      <c r="HP236" s="293"/>
      <c r="HQ236" s="293"/>
      <c r="HR236" s="293"/>
      <c r="HS236" s="293"/>
      <c r="HT236" s="293"/>
      <c r="HU236" s="293"/>
      <c r="HV236" s="293"/>
      <c r="HW236" s="293"/>
      <c r="HX236" s="293"/>
      <c r="HY236" s="293"/>
      <c r="IH236" s="279">
        <f>+SUM(DC236:DH236)</f>
        <v>0</v>
      </c>
      <c r="II236" s="279">
        <f>+SUM(DI236:DN236)</f>
        <v>0</v>
      </c>
      <c r="IJ236" s="323">
        <f t="shared" si="241"/>
        <v>0</v>
      </c>
      <c r="IK236" s="279">
        <f>SUM(DO236:DT236)</f>
        <v>0</v>
      </c>
      <c r="KT236" s="280"/>
    </row>
    <row r="237" spans="1:306" outlineLevel="1">
      <c r="B237" s="96" t="s">
        <v>338</v>
      </c>
      <c r="D237" s="298" t="s">
        <v>432</v>
      </c>
      <c r="E237" s="293"/>
      <c r="F237" s="293"/>
      <c r="G237" s="293"/>
      <c r="H237" s="293"/>
      <c r="I237" s="293"/>
      <c r="J237" s="293"/>
      <c r="K237" s="293"/>
      <c r="L237" s="293"/>
      <c r="M237" s="293"/>
      <c r="N237" s="293"/>
      <c r="O237" s="293"/>
      <c r="P237" s="293"/>
      <c r="Q237" s="293"/>
      <c r="R237" s="293"/>
      <c r="S237" s="293"/>
      <c r="T237" s="293"/>
      <c r="U237" s="293"/>
      <c r="V237" s="293"/>
      <c r="W237" s="293"/>
      <c r="X237" s="293"/>
      <c r="Y237" s="29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c r="BN237" s="293"/>
      <c r="BO237" s="293"/>
      <c r="BP237" s="293"/>
      <c r="BQ237" s="293"/>
      <c r="BR237" s="293"/>
      <c r="BS237" s="293"/>
      <c r="BT237" s="293"/>
      <c r="BU237" s="293"/>
      <c r="BV237" s="293"/>
      <c r="BW237" s="293"/>
      <c r="BX237" s="293"/>
      <c r="BY237" s="293"/>
      <c r="BZ237" s="293"/>
      <c r="CA237" s="293"/>
      <c r="CB237" s="293"/>
      <c r="CC237" s="293"/>
      <c r="CD237" s="293"/>
      <c r="CE237" s="294"/>
      <c r="CF237" s="293"/>
      <c r="CG237" s="293"/>
      <c r="CH237" s="293"/>
      <c r="CI237" s="293"/>
      <c r="CJ237" s="293"/>
      <c r="CK237" s="293"/>
      <c r="CL237" s="293"/>
      <c r="CM237" s="293"/>
      <c r="CN237" s="293"/>
      <c r="CO237" s="293"/>
      <c r="CP237" s="295"/>
      <c r="CQ237" s="293">
        <v>1.1348087E-2</v>
      </c>
      <c r="CR237" s="293">
        <v>5.8128695000000001E-2</v>
      </c>
      <c r="CS237" s="293">
        <v>1.463251E-2</v>
      </c>
      <c r="CT237" s="293">
        <v>1.2963402000000001E-2</v>
      </c>
      <c r="CU237" s="293">
        <v>1.1737841000000001E-2</v>
      </c>
      <c r="CV237" s="293">
        <v>2.0278507000000001E-2</v>
      </c>
      <c r="CW237" s="293">
        <v>5.9038619000000001E-2</v>
      </c>
      <c r="CX237" s="293">
        <v>6.2166051999999999E-2</v>
      </c>
      <c r="CY237" s="293">
        <v>0.45422262699999999</v>
      </c>
      <c r="CZ237" s="293">
        <v>2.2439537999999998E-2</v>
      </c>
      <c r="DA237" s="293">
        <v>6.7278549999999996E-3</v>
      </c>
      <c r="DB237" s="1288">
        <v>3.5048200000000001E-3</v>
      </c>
      <c r="DC237" s="293">
        <v>0.265408537</v>
      </c>
      <c r="DD237" s="293">
        <v>0.19027443199999999</v>
      </c>
      <c r="DE237" s="293">
        <v>7.5303182999999996E-2</v>
      </c>
      <c r="DF237" s="293">
        <v>9.3817632999999998E-2</v>
      </c>
      <c r="DG237" s="293">
        <v>9.6626641999999999E-2</v>
      </c>
      <c r="DH237" s="293">
        <v>9.9763664000000002E-2</v>
      </c>
      <c r="DI237" s="293">
        <v>0.35724085500000002</v>
      </c>
      <c r="DJ237" s="293">
        <v>0.94090106299999998</v>
      </c>
      <c r="DK237" s="293">
        <v>9.5045297170000005</v>
      </c>
      <c r="DL237" s="293">
        <v>1.38641853</v>
      </c>
      <c r="DM237" s="293">
        <v>0.30435586199999998</v>
      </c>
      <c r="DN237" s="295">
        <v>0.32706426910907299</v>
      </c>
      <c r="DO237" s="293">
        <v>0.16981340364852907</v>
      </c>
      <c r="DP237" s="293">
        <v>0.21171806276689387</v>
      </c>
      <c r="DQ237" s="293">
        <v>0.17637747358457684</v>
      </c>
      <c r="DR237" s="293">
        <v>0.20408398909872857</v>
      </c>
      <c r="DS237" s="293">
        <v>0.22159607649424631</v>
      </c>
      <c r="DT237" s="293">
        <v>0.48598600102578449</v>
      </c>
      <c r="DU237" s="293">
        <v>0.58629205100000004</v>
      </c>
      <c r="DV237" s="293">
        <v>1.5856071979999999</v>
      </c>
      <c r="DW237" s="293">
        <v>12.725059079999999</v>
      </c>
      <c r="DX237" s="293">
        <v>0.57326582100000001</v>
      </c>
      <c r="DY237" s="293">
        <v>0.50074186300000001</v>
      </c>
      <c r="DZ237" s="295">
        <v>0</v>
      </c>
      <c r="EA237" s="293">
        <v>0.22674821419018054</v>
      </c>
      <c r="EB237" s="293">
        <v>0.2361400924788237</v>
      </c>
      <c r="EC237" s="293">
        <v>0.19255294665680348</v>
      </c>
      <c r="ED237" s="293">
        <v>0.22674821419018054</v>
      </c>
      <c r="EE237" s="293">
        <v>0.2361400924788237</v>
      </c>
      <c r="EF237" s="293">
        <v>0.19255294665680348</v>
      </c>
      <c r="EG237" s="293">
        <v>0.85181301325458303</v>
      </c>
      <c r="EH237" s="293">
        <v>1.3401586173046514</v>
      </c>
      <c r="EI237" s="293">
        <v>12.973533580430418</v>
      </c>
      <c r="EJ237" s="293">
        <v>1.4418040524169249</v>
      </c>
      <c r="EK237" s="293">
        <v>0.50146783091962921</v>
      </c>
      <c r="EL237" s="295">
        <v>0.41145482824615598</v>
      </c>
      <c r="EM237" s="1080">
        <v>0.31447588599999998</v>
      </c>
      <c r="EN237" s="1080">
        <v>0.26314551400000002</v>
      </c>
      <c r="EO237" s="1080">
        <v>0.19594088800000001</v>
      </c>
      <c r="EP237" s="1080">
        <v>0.42045458299999999</v>
      </c>
      <c r="EQ237" s="1080">
        <v>0.28763700399999997</v>
      </c>
      <c r="ER237" s="1080">
        <v>0.36551615700000001</v>
      </c>
      <c r="ES237" s="1080">
        <v>5.7445599869999997</v>
      </c>
      <c r="ET237" s="1080">
        <v>1.675767827</v>
      </c>
      <c r="EU237" s="1080">
        <v>8.2551049469999995</v>
      </c>
      <c r="EV237" s="1080">
        <v>1.1323164939999999</v>
      </c>
      <c r="EW237" s="1080">
        <v>0.41788988500000002</v>
      </c>
      <c r="EX237" s="1340">
        <v>0.29598800600000003</v>
      </c>
      <c r="EY237" s="1080"/>
      <c r="EZ237" s="1080"/>
      <c r="FA237" s="1080"/>
      <c r="FB237" s="1080"/>
      <c r="FC237" s="1080"/>
      <c r="FD237" s="1080"/>
      <c r="FE237" s="1080"/>
      <c r="FF237" s="1080"/>
      <c r="FG237" s="1080"/>
      <c r="FH237" s="1080"/>
      <c r="FI237" s="1080"/>
      <c r="FJ237" s="1340"/>
      <c r="FK237" s="1080"/>
      <c r="FL237" s="1080"/>
      <c r="FM237" s="1080"/>
      <c r="FN237" s="1080"/>
      <c r="FO237" s="1080"/>
      <c r="FP237" s="1080"/>
      <c r="FQ237" s="293"/>
      <c r="FR237" s="293"/>
      <c r="FS237" s="293"/>
      <c r="FT237" s="293"/>
      <c r="FU237" s="293"/>
      <c r="FV237" s="293"/>
      <c r="FW237" s="293">
        <v>0.21408797124376516</v>
      </c>
      <c r="FX237" s="293">
        <v>0.26719040687492018</v>
      </c>
      <c r="FY237" s="293">
        <v>0.32856051388131463</v>
      </c>
      <c r="FZ237" s="293">
        <v>0.26030012825631266</v>
      </c>
      <c r="GA237" s="293">
        <v>0.37548951598359065</v>
      </c>
      <c r="GB237" s="293">
        <v>1.0525413607600966</v>
      </c>
      <c r="GC237" s="293">
        <v>2.5698428534219095</v>
      </c>
      <c r="GD237" s="293">
        <v>3.2253137920999229</v>
      </c>
      <c r="GE237" s="293">
        <v>6.3113047404781737</v>
      </c>
      <c r="GF237" s="293">
        <v>0.354981962861037</v>
      </c>
      <c r="GG237" s="293">
        <v>0.36522439924164563</v>
      </c>
      <c r="GH237" s="293">
        <v>0.84630933990063029</v>
      </c>
      <c r="GI237" s="293">
        <v>0.42694589399999999</v>
      </c>
      <c r="GJ237" s="293">
        <v>0.49736686299999999</v>
      </c>
      <c r="GK237" s="293">
        <v>0.444226907</v>
      </c>
      <c r="GL237" s="293">
        <v>0.397961591</v>
      </c>
      <c r="GM237" s="293">
        <v>0.65760525800000003</v>
      </c>
      <c r="GN237" s="293">
        <v>2.33899781</v>
      </c>
      <c r="GO237" s="293">
        <v>12.156569825</v>
      </c>
      <c r="GP237" s="293">
        <v>1.133283587</v>
      </c>
      <c r="GQ237" s="293">
        <v>0.87336217599999999</v>
      </c>
      <c r="GR237" s="293">
        <v>0.56205269499999999</v>
      </c>
      <c r="GS237" s="293">
        <v>0.6751952</v>
      </c>
      <c r="GT237" s="293">
        <v>0.68979813199999995</v>
      </c>
      <c r="GU237" s="293">
        <v>0.38703533299999998</v>
      </c>
      <c r="GV237" s="293">
        <v>0.39915237999999997</v>
      </c>
      <c r="GW237" s="293">
        <v>0.31384641499999999</v>
      </c>
      <c r="GX237" s="293">
        <v>0.33990184200000001</v>
      </c>
      <c r="GY237" s="293">
        <v>0.86268649399999997</v>
      </c>
      <c r="GZ237" s="293">
        <v>0.93060706400000004</v>
      </c>
      <c r="HA237" s="293">
        <v>1.8395440510000001</v>
      </c>
      <c r="HB237" s="293">
        <v>12.083977807</v>
      </c>
      <c r="HC237" s="293">
        <v>1.7838924519999999</v>
      </c>
      <c r="HD237" s="293">
        <v>1.2530315780000001</v>
      </c>
      <c r="HE237" s="293">
        <v>1.5840325829999999</v>
      </c>
      <c r="HF237" s="293">
        <v>1.5126292370000001</v>
      </c>
      <c r="HG237" s="293">
        <v>1.3991783</v>
      </c>
      <c r="HH237" s="293">
        <v>1.4593601949999999</v>
      </c>
      <c r="HI237" s="293">
        <v>1.5157594459999999</v>
      </c>
      <c r="HJ237" s="293">
        <v>2.0206470059999999</v>
      </c>
      <c r="HK237" s="293">
        <v>1.993877517</v>
      </c>
      <c r="HL237" s="293">
        <v>12.134455271</v>
      </c>
      <c r="HM237" s="293"/>
      <c r="HN237" s="293"/>
      <c r="HO237" s="293"/>
      <c r="HP237" s="293"/>
      <c r="HQ237" s="293"/>
      <c r="HR237" s="293"/>
      <c r="HS237" s="293"/>
      <c r="HT237" s="293"/>
      <c r="HU237" s="293"/>
      <c r="HV237" s="293"/>
      <c r="HW237" s="293"/>
      <c r="HX237" s="293"/>
      <c r="HY237" s="293"/>
      <c r="IH237" s="279">
        <f>+SUM(DC237:DH237)</f>
        <v>0.82119409100000007</v>
      </c>
      <c r="II237" s="279">
        <f>+SUM(DI237:DN237)</f>
        <v>12.820510296109074</v>
      </c>
      <c r="IJ237" s="323">
        <f t="shared" si="241"/>
        <v>13.641704387109074</v>
      </c>
      <c r="IK237" s="279">
        <f>SUM(DO237:DT237)</f>
        <v>1.4695750066187592</v>
      </c>
      <c r="KT237" s="280"/>
    </row>
    <row r="238" spans="1:306" outlineLevel="1">
      <c r="B238" s="96" t="s">
        <v>338</v>
      </c>
      <c r="D238" s="298" t="s">
        <v>433</v>
      </c>
      <c r="E238" s="293"/>
      <c r="F238" s="293"/>
      <c r="G238" s="293"/>
      <c r="H238" s="293"/>
      <c r="I238" s="293"/>
      <c r="J238" s="293"/>
      <c r="K238" s="293"/>
      <c r="L238" s="293"/>
      <c r="M238" s="293"/>
      <c r="N238" s="293"/>
      <c r="O238" s="293"/>
      <c r="P238" s="293"/>
      <c r="Q238" s="293"/>
      <c r="R238" s="293"/>
      <c r="S238" s="293"/>
      <c r="T238" s="293"/>
      <c r="U238" s="293"/>
      <c r="V238" s="293"/>
      <c r="W238" s="293"/>
      <c r="X238" s="293"/>
      <c r="Y238" s="29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c r="BN238" s="293"/>
      <c r="BO238" s="293"/>
      <c r="BP238" s="293"/>
      <c r="BQ238" s="293"/>
      <c r="BR238" s="293"/>
      <c r="BS238" s="293"/>
      <c r="BT238" s="293"/>
      <c r="BU238" s="293"/>
      <c r="BV238" s="293"/>
      <c r="BW238" s="293"/>
      <c r="BX238" s="293"/>
      <c r="BY238" s="293"/>
      <c r="BZ238" s="293"/>
      <c r="CA238" s="293"/>
      <c r="CB238" s="293"/>
      <c r="CC238" s="293"/>
      <c r="CD238" s="293"/>
      <c r="CE238" s="294"/>
      <c r="CF238" s="293"/>
      <c r="CG238" s="293"/>
      <c r="CH238" s="293"/>
      <c r="CI238" s="293"/>
      <c r="CJ238" s="293"/>
      <c r="CK238" s="293"/>
      <c r="CL238" s="293"/>
      <c r="CM238" s="293"/>
      <c r="CN238" s="293"/>
      <c r="CO238" s="293"/>
      <c r="CP238" s="295"/>
      <c r="CQ238" s="293">
        <v>0.10784479</v>
      </c>
      <c r="CR238" s="293">
        <v>3.9625505999999998E-2</v>
      </c>
      <c r="CS238" s="293">
        <v>5.2781531999999999E-2</v>
      </c>
      <c r="CT238" s="293">
        <v>7.1813431999999996E-2</v>
      </c>
      <c r="CU238" s="293">
        <v>7.9350010999999998E-2</v>
      </c>
      <c r="CV238" s="293">
        <v>0.11837370999999999</v>
      </c>
      <c r="CW238" s="293">
        <v>0.26367953199999999</v>
      </c>
      <c r="CX238" s="293">
        <v>0.80168393299999996</v>
      </c>
      <c r="CY238" s="293">
        <v>5.9260012309999999</v>
      </c>
      <c r="CZ238" s="293">
        <v>0.22660903099999999</v>
      </c>
      <c r="DA238" s="293">
        <v>0.111788047</v>
      </c>
      <c r="DB238" s="1288">
        <v>0.13672806400000001</v>
      </c>
      <c r="DC238" s="293"/>
      <c r="DD238" s="293"/>
      <c r="DE238" s="293"/>
      <c r="DF238" s="293"/>
      <c r="DG238" s="293"/>
      <c r="DH238" s="293"/>
      <c r="DI238" s="293"/>
      <c r="DJ238" s="293"/>
      <c r="DK238" s="293"/>
      <c r="DL238" s="293"/>
      <c r="DM238" s="293"/>
      <c r="DN238" s="295"/>
      <c r="DO238" s="293">
        <v>0</v>
      </c>
      <c r="DP238" s="293">
        <v>0</v>
      </c>
      <c r="DQ238" s="293">
        <v>0</v>
      </c>
      <c r="DR238" s="293">
        <v>0</v>
      </c>
      <c r="DS238" s="293">
        <v>0</v>
      </c>
      <c r="DT238" s="293">
        <v>0</v>
      </c>
      <c r="DU238" s="293">
        <v>0</v>
      </c>
      <c r="DV238" s="293">
        <v>0</v>
      </c>
      <c r="DW238" s="293">
        <v>0</v>
      </c>
      <c r="DX238" s="293">
        <v>0</v>
      </c>
      <c r="DY238" s="293">
        <v>0</v>
      </c>
      <c r="DZ238" s="295">
        <v>0</v>
      </c>
      <c r="EA238" s="293">
        <v>0</v>
      </c>
      <c r="EB238" s="293">
        <v>0</v>
      </c>
      <c r="EC238" s="293">
        <v>0</v>
      </c>
      <c r="ED238" s="293">
        <v>0</v>
      </c>
      <c r="EE238" s="293">
        <v>0</v>
      </c>
      <c r="EF238" s="293">
        <v>0</v>
      </c>
      <c r="EG238" s="293">
        <v>0</v>
      </c>
      <c r="EH238" s="293">
        <v>0</v>
      </c>
      <c r="EI238" s="293">
        <v>0</v>
      </c>
      <c r="EJ238" s="293">
        <v>0</v>
      </c>
      <c r="EK238" s="293">
        <v>0</v>
      </c>
      <c r="EL238" s="295">
        <v>0</v>
      </c>
      <c r="EM238" s="1080">
        <v>0</v>
      </c>
      <c r="EN238" s="1080">
        <v>0</v>
      </c>
      <c r="EO238" s="1080">
        <v>0</v>
      </c>
      <c r="EP238" s="1080">
        <v>0</v>
      </c>
      <c r="EQ238" s="1080">
        <v>0</v>
      </c>
      <c r="ER238" s="1080">
        <v>0</v>
      </c>
      <c r="ES238" s="1080">
        <v>0</v>
      </c>
      <c r="ET238" s="1080">
        <v>0</v>
      </c>
      <c r="EU238" s="1080">
        <v>0</v>
      </c>
      <c r="EV238" s="1080">
        <v>0</v>
      </c>
      <c r="EW238" s="1080">
        <v>0</v>
      </c>
      <c r="EX238" s="1340">
        <v>0</v>
      </c>
      <c r="EY238" s="1080"/>
      <c r="EZ238" s="1080"/>
      <c r="FA238" s="1080"/>
      <c r="FB238" s="1080"/>
      <c r="FC238" s="1080"/>
      <c r="FD238" s="1080"/>
      <c r="FE238" s="1080"/>
      <c r="FF238" s="1080"/>
      <c r="FG238" s="1080"/>
      <c r="FH238" s="1080"/>
      <c r="FI238" s="1080"/>
      <c r="FJ238" s="1340"/>
      <c r="FK238" s="1080"/>
      <c r="FL238" s="1080"/>
      <c r="FM238" s="1080"/>
      <c r="FN238" s="1080"/>
      <c r="FO238" s="1080"/>
      <c r="FP238" s="1080"/>
      <c r="FQ238" s="293"/>
      <c r="FR238" s="293"/>
      <c r="FS238" s="293"/>
      <c r="FT238" s="293"/>
      <c r="FU238" s="293"/>
      <c r="FV238" s="293"/>
      <c r="FW238" s="293">
        <v>9.0079269557552702E-2</v>
      </c>
      <c r="FX238" s="293">
        <v>0.11242255482291161</v>
      </c>
      <c r="FY238" s="293">
        <v>0.1382445306195357</v>
      </c>
      <c r="FZ238" s="293">
        <v>8.1435755594487902E-2</v>
      </c>
      <c r="GA238" s="293">
        <v>0.11747313632447541</v>
      </c>
      <c r="GB238" s="293">
        <v>0.32929104408103671</v>
      </c>
      <c r="GC238" s="293">
        <v>2.2589937846118051</v>
      </c>
      <c r="GD238" s="293">
        <v>2.8351787347910138</v>
      </c>
      <c r="GE238" s="293">
        <v>5.0180548739471771</v>
      </c>
      <c r="GF238" s="293">
        <v>0.3120432234541492</v>
      </c>
      <c r="GG238" s="293">
        <v>0.32104673123372712</v>
      </c>
      <c r="GH238" s="293">
        <v>0.3516410099653603</v>
      </c>
      <c r="GI238" s="293">
        <v>8.0369186999999995E-2</v>
      </c>
      <c r="GJ238" s="293">
        <v>0.12923064500000001</v>
      </c>
      <c r="GK238" s="293">
        <v>0.165289346</v>
      </c>
      <c r="GL238" s="293">
        <v>7.8073811000000007E-2</v>
      </c>
      <c r="GM238" s="293">
        <v>7.6941433000000004E-2</v>
      </c>
      <c r="GN238" s="293">
        <v>0.25645975500000001</v>
      </c>
      <c r="GO238" s="293">
        <v>10.809168018999999</v>
      </c>
      <c r="GP238" s="293">
        <v>0.59952304099999998</v>
      </c>
      <c r="GQ238" s="293">
        <v>0.53717110400000001</v>
      </c>
      <c r="GR238" s="293">
        <v>0.18563595099999999</v>
      </c>
      <c r="GS238" s="293">
        <v>0.173010463</v>
      </c>
      <c r="GT238" s="293">
        <v>0.15585046699999999</v>
      </c>
      <c r="GU238" s="293">
        <v>8.9590568999999995E-2</v>
      </c>
      <c r="GV238" s="293">
        <v>0.116235886</v>
      </c>
      <c r="GW238" s="293">
        <v>0.13788588099999999</v>
      </c>
      <c r="GX238" s="293">
        <v>2.2609674000000002</v>
      </c>
      <c r="GY238" s="293">
        <v>10.622033209</v>
      </c>
      <c r="GZ238" s="293">
        <v>0.44088069800000002</v>
      </c>
      <c r="HA238" s="293">
        <v>0.23147989199999999</v>
      </c>
      <c r="HB238" s="293">
        <v>0.18693738900000001</v>
      </c>
      <c r="HC238" s="293">
        <v>0.197503283</v>
      </c>
      <c r="HD238" s="293">
        <v>14.604376746</v>
      </c>
      <c r="HE238" s="293">
        <v>0</v>
      </c>
      <c r="HF238" s="293">
        <v>0</v>
      </c>
      <c r="HG238" s="293">
        <v>0.12607800299999999</v>
      </c>
      <c r="HH238" s="293">
        <v>0.12514935099999999</v>
      </c>
      <c r="HI238" s="293">
        <v>0.10389886500000001</v>
      </c>
      <c r="HJ238" s="293">
        <v>0.16091638899999999</v>
      </c>
      <c r="HK238" s="293">
        <v>0.150893578</v>
      </c>
      <c r="HL238" s="293">
        <v>1.0758262510000001</v>
      </c>
      <c r="HM238" s="293"/>
      <c r="HN238" s="293"/>
      <c r="HO238" s="293"/>
      <c r="HP238" s="293"/>
      <c r="HQ238" s="293"/>
      <c r="HR238" s="293"/>
      <c r="HS238" s="293"/>
      <c r="HT238" s="293"/>
      <c r="HU238" s="293"/>
      <c r="HV238" s="293"/>
      <c r="HW238" s="293"/>
      <c r="HX238" s="293"/>
      <c r="HY238" s="293"/>
      <c r="IH238" s="279">
        <f>+SUM(DC238:DH238)</f>
        <v>0</v>
      </c>
      <c r="II238" s="279">
        <f>+SUM(DI238:DN238)</f>
        <v>0</v>
      </c>
      <c r="IJ238" s="323">
        <f t="shared" si="241"/>
        <v>0</v>
      </c>
      <c r="IK238" s="279">
        <f>SUM(DO238:DT238)</f>
        <v>0</v>
      </c>
      <c r="KT238" s="280"/>
    </row>
    <row r="239" spans="1:306" outlineLevel="1">
      <c r="B239" s="96" t="s">
        <v>338</v>
      </c>
      <c r="D239" s="298" t="s">
        <v>1004</v>
      </c>
      <c r="E239" s="293"/>
      <c r="F239" s="293"/>
      <c r="G239" s="293"/>
      <c r="H239" s="293"/>
      <c r="I239" s="293"/>
      <c r="J239" s="293"/>
      <c r="K239" s="293"/>
      <c r="L239" s="293"/>
      <c r="M239" s="293"/>
      <c r="N239" s="293"/>
      <c r="O239" s="293"/>
      <c r="P239" s="293"/>
      <c r="Q239" s="293"/>
      <c r="R239" s="293"/>
      <c r="S239" s="293"/>
      <c r="T239" s="293"/>
      <c r="U239" s="293"/>
      <c r="V239" s="293"/>
      <c r="W239" s="293"/>
      <c r="X239" s="293"/>
      <c r="Y239" s="29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c r="BN239" s="293"/>
      <c r="BO239" s="293"/>
      <c r="BP239" s="293"/>
      <c r="BQ239" s="293"/>
      <c r="BR239" s="293"/>
      <c r="BS239" s="293"/>
      <c r="BT239" s="293"/>
      <c r="BU239" s="293"/>
      <c r="BV239" s="293"/>
      <c r="BW239" s="293"/>
      <c r="BX239" s="293"/>
      <c r="BY239" s="293"/>
      <c r="BZ239" s="293"/>
      <c r="CA239" s="293"/>
      <c r="CB239" s="293"/>
      <c r="CC239" s="293"/>
      <c r="CD239" s="293"/>
      <c r="CE239" s="294"/>
      <c r="CF239" s="293"/>
      <c r="CG239" s="293"/>
      <c r="CH239" s="293"/>
      <c r="CI239" s="293"/>
      <c r="CJ239" s="293"/>
      <c r="CK239" s="293"/>
      <c r="CL239" s="293"/>
      <c r="CM239" s="293"/>
      <c r="CN239" s="293"/>
      <c r="CO239" s="293"/>
      <c r="CP239" s="295"/>
      <c r="CQ239" s="293"/>
      <c r="CR239" s="293"/>
      <c r="CS239" s="293"/>
      <c r="CT239" s="293"/>
      <c r="CU239" s="293"/>
      <c r="CV239" s="293"/>
      <c r="CW239" s="293">
        <v>7.3491065097949999</v>
      </c>
      <c r="CX239" s="293">
        <v>7.3491065097949999</v>
      </c>
      <c r="CY239" s="293">
        <v>3.1678718789999998</v>
      </c>
      <c r="CZ239" s="293"/>
      <c r="DA239" s="293"/>
      <c r="DB239" s="1288"/>
      <c r="DC239" s="293">
        <v>1.888342226</v>
      </c>
      <c r="DD239" s="293">
        <v>1.286530621</v>
      </c>
      <c r="DE239" s="293">
        <v>1.706911273</v>
      </c>
      <c r="DF239" s="293">
        <v>1.5562641180000001</v>
      </c>
      <c r="DG239" s="293">
        <v>1.695714588</v>
      </c>
      <c r="DH239" s="293">
        <v>4.1205279880000001</v>
      </c>
      <c r="DI239" s="293">
        <v>2.771882524</v>
      </c>
      <c r="DJ239" s="293">
        <v>1.900041047</v>
      </c>
      <c r="DK239" s="293">
        <v>4.2548248659999999</v>
      </c>
      <c r="DL239" s="293">
        <v>1.7565806509999999</v>
      </c>
      <c r="DM239" s="293">
        <v>2.0005338739999998</v>
      </c>
      <c r="DN239" s="295">
        <v>1.8086069338909299</v>
      </c>
      <c r="DO239" s="293">
        <v>1.6531450803514709</v>
      </c>
      <c r="DP239" s="293">
        <v>2.020534381233106</v>
      </c>
      <c r="DQ239" s="293">
        <v>1.9438201444154231</v>
      </c>
      <c r="DR239" s="293">
        <v>1.9867715699012716</v>
      </c>
      <c r="DS239" s="293">
        <v>2.1148053475057536</v>
      </c>
      <c r="DT239" s="293">
        <v>5.3559525459742154</v>
      </c>
      <c r="DU239" s="293">
        <v>2.2916792739999998</v>
      </c>
      <c r="DV239" s="293">
        <v>2.0503062380000001</v>
      </c>
      <c r="DW239" s="293">
        <v>2.933340431</v>
      </c>
      <c r="DX239" s="293">
        <v>1.9550365513333334</v>
      </c>
      <c r="DY239" s="293">
        <v>2.5998176423333299</v>
      </c>
      <c r="DZ239" s="295">
        <v>3.5421288861533302</v>
      </c>
      <c r="EA239" s="293">
        <v>2.2199904568098194</v>
      </c>
      <c r="EB239" s="293">
        <v>2.2668937165211762</v>
      </c>
      <c r="EC239" s="293">
        <v>2.2885579603431965</v>
      </c>
      <c r="ED239" s="293">
        <v>2.7761808718098191</v>
      </c>
      <c r="EE239" s="293">
        <v>2.7539049385211762</v>
      </c>
      <c r="EF239" s="293">
        <v>6.192634617343197</v>
      </c>
      <c r="EG239" s="293">
        <v>2.5395723369810299</v>
      </c>
      <c r="EH239" s="293">
        <v>2.5391290281972885</v>
      </c>
      <c r="EI239" s="293">
        <v>3.295974372863443</v>
      </c>
      <c r="EJ239" s="293">
        <v>2.3145780987595277</v>
      </c>
      <c r="EK239" s="293">
        <v>2.8332227186524785</v>
      </c>
      <c r="EL239" s="295">
        <v>2.9309503558138497</v>
      </c>
      <c r="EM239" s="1080">
        <v>2.6034546569999999</v>
      </c>
      <c r="EN239" s="1080">
        <v>2.510094257</v>
      </c>
      <c r="EO239" s="1080">
        <v>2.5775800250000001</v>
      </c>
      <c r="EP239" s="1080">
        <v>3.2720744960000001</v>
      </c>
      <c r="EQ239" s="1080">
        <v>3.0297721110000002</v>
      </c>
      <c r="ER239" s="1080">
        <v>6.9000685620000004</v>
      </c>
      <c r="ES239" s="1080">
        <v>3.9918407069999997</v>
      </c>
      <c r="ET239" s="1080">
        <v>2.5252701900000001</v>
      </c>
      <c r="EU239" s="1080">
        <v>3.5012718550000002</v>
      </c>
      <c r="EV239" s="1080">
        <v>3.6209366780000001</v>
      </c>
      <c r="EW239" s="1080">
        <v>3.1565331159999999</v>
      </c>
      <c r="EX239" s="1340">
        <v>3.5527360720000001</v>
      </c>
      <c r="EY239" s="1080"/>
      <c r="EZ239" s="1080"/>
      <c r="FA239" s="1080"/>
      <c r="FB239" s="1080"/>
      <c r="FC239" s="1080"/>
      <c r="FD239" s="1080"/>
      <c r="FE239" s="1080"/>
      <c r="FF239" s="1080"/>
      <c r="FG239" s="1080"/>
      <c r="FH239" s="1080"/>
      <c r="FI239" s="1080"/>
      <c r="FJ239" s="1340"/>
      <c r="FK239" s="1080"/>
      <c r="FL239" s="1080"/>
      <c r="FM239" s="1080"/>
      <c r="FN239" s="1080"/>
      <c r="FO239" s="1080"/>
      <c r="FP239" s="1080"/>
      <c r="FQ239" s="293"/>
      <c r="FR239" s="293"/>
      <c r="FS239" s="293"/>
      <c r="FT239" s="293"/>
      <c r="FU239" s="293"/>
      <c r="FV239" s="293"/>
      <c r="FW239" s="293">
        <v>2.7427314350000001</v>
      </c>
      <c r="FX239" s="293">
        <v>3.3048278679999998</v>
      </c>
      <c r="FY239" s="293">
        <v>3.4209741390000001</v>
      </c>
      <c r="FZ239" s="293">
        <v>3.0838155999999999</v>
      </c>
      <c r="GA239" s="293">
        <v>3.3429999769999998</v>
      </c>
      <c r="GB239" s="293">
        <v>3.4417001489999999</v>
      </c>
      <c r="GC239" s="293">
        <v>3.8239994500000001</v>
      </c>
      <c r="GD239" s="293">
        <v>2.876337382</v>
      </c>
      <c r="GE239" s="293">
        <v>3.549066308</v>
      </c>
      <c r="GF239" s="293">
        <v>2.6945463589999998</v>
      </c>
      <c r="GG239" s="293">
        <v>3.33441718</v>
      </c>
      <c r="GH239" s="293">
        <v>3.9168072249999999</v>
      </c>
      <c r="GI239" s="293">
        <v>3.3601609429999999</v>
      </c>
      <c r="GJ239" s="293">
        <v>3.8932636230000002</v>
      </c>
      <c r="GK239" s="293">
        <v>3.6109727999999999</v>
      </c>
      <c r="GL239" s="293">
        <v>3.6337095530000001</v>
      </c>
      <c r="GM239" s="293">
        <v>3.7568253989999998</v>
      </c>
      <c r="GN239" s="293">
        <v>4.0893793110000001</v>
      </c>
      <c r="GO239" s="293">
        <v>4.4531423920000002</v>
      </c>
      <c r="GP239" s="293">
        <v>3.5257689679999999</v>
      </c>
      <c r="GQ239" s="293">
        <v>3.9731112679999998</v>
      </c>
      <c r="GR239" s="293">
        <v>3.1513043870000002</v>
      </c>
      <c r="GS239" s="293">
        <v>3.3379788389999998</v>
      </c>
      <c r="GT239" s="293">
        <v>4.1867186470000002</v>
      </c>
      <c r="GU239" s="293">
        <v>3.3379729629999999</v>
      </c>
      <c r="GV239" s="293">
        <v>3.6769997509999999</v>
      </c>
      <c r="GW239" s="293">
        <v>3.6830813880000002</v>
      </c>
      <c r="GX239" s="293">
        <v>3.2600522000000001</v>
      </c>
      <c r="GY239" s="293">
        <v>3.3253455559999998</v>
      </c>
      <c r="GZ239" s="293">
        <v>3.619165873</v>
      </c>
      <c r="HA239" s="293">
        <v>3.010857202</v>
      </c>
      <c r="HB239" s="293">
        <v>3.0642211499999998</v>
      </c>
      <c r="HC239" s="293">
        <v>2.8411651629999999</v>
      </c>
      <c r="HD239" s="293">
        <v>2.6463547869999999</v>
      </c>
      <c r="HE239" s="293">
        <v>3.1518743740000001</v>
      </c>
      <c r="HF239" s="293">
        <v>3.3228378709999999</v>
      </c>
      <c r="HG239" s="293">
        <v>3.0137853379999999</v>
      </c>
      <c r="HH239" s="293">
        <v>2.9682512660000002</v>
      </c>
      <c r="HI239" s="293">
        <v>2.970953373</v>
      </c>
      <c r="HJ239" s="293">
        <v>3.3767772840000001</v>
      </c>
      <c r="HK239" s="293">
        <v>3.011724359</v>
      </c>
      <c r="HL239" s="293">
        <v>3.530008016</v>
      </c>
      <c r="HM239" s="293"/>
      <c r="HN239" s="293"/>
      <c r="HO239" s="293"/>
      <c r="HP239" s="293"/>
      <c r="HQ239" s="293"/>
      <c r="HR239" s="293"/>
      <c r="HS239" s="293"/>
      <c r="HT239" s="293"/>
      <c r="HU239" s="293"/>
      <c r="HV239" s="293"/>
      <c r="HW239" s="293"/>
      <c r="HX239" s="293"/>
      <c r="HY239" s="293"/>
      <c r="IH239" s="279">
        <f>+SUM(DC239:DH239)</f>
        <v>12.254290814000001</v>
      </c>
      <c r="II239" s="279">
        <f>+SUM(DI239:DN239)</f>
        <v>14.492469895890931</v>
      </c>
      <c r="IJ239" s="323">
        <f t="shared" si="241"/>
        <v>26.746760709890932</v>
      </c>
      <c r="IK239" s="279">
        <f>SUM(DO239:DT239)</f>
        <v>15.075029069381241</v>
      </c>
      <c r="KT239" s="280"/>
    </row>
    <row r="240" spans="1:306" outlineLevel="1">
      <c r="D240" s="298"/>
      <c r="E240" s="293"/>
      <c r="F240" s="293"/>
      <c r="G240" s="293"/>
      <c r="H240" s="293"/>
      <c r="I240" s="293"/>
      <c r="J240" s="293"/>
      <c r="K240" s="293"/>
      <c r="L240" s="293"/>
      <c r="M240" s="293"/>
      <c r="N240" s="293"/>
      <c r="O240" s="293"/>
      <c r="P240" s="293"/>
      <c r="Q240" s="293"/>
      <c r="R240" s="293"/>
      <c r="S240" s="293"/>
      <c r="T240" s="293"/>
      <c r="U240" s="293"/>
      <c r="V240" s="293"/>
      <c r="W240" s="293"/>
      <c r="X240" s="293"/>
      <c r="Y240" s="29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c r="BN240" s="293"/>
      <c r="BO240" s="293"/>
      <c r="BP240" s="293"/>
      <c r="BQ240" s="293"/>
      <c r="BR240" s="293"/>
      <c r="BS240" s="293"/>
      <c r="BT240" s="293"/>
      <c r="BU240" s="293"/>
      <c r="BV240" s="293"/>
      <c r="BW240" s="293"/>
      <c r="BX240" s="293"/>
      <c r="BY240" s="293"/>
      <c r="BZ240" s="293"/>
      <c r="CA240" s="293"/>
      <c r="CB240" s="293"/>
      <c r="CC240" s="293"/>
      <c r="CD240" s="293"/>
      <c r="CE240" s="294"/>
      <c r="CF240" s="293"/>
      <c r="CG240" s="293"/>
      <c r="CH240" s="293"/>
      <c r="CI240" s="293"/>
      <c r="CJ240" s="293"/>
      <c r="CK240" s="293"/>
      <c r="CL240" s="293"/>
      <c r="CM240" s="293"/>
      <c r="CN240" s="293"/>
      <c r="CO240" s="293"/>
      <c r="CP240" s="295"/>
      <c r="CQ240" s="293"/>
      <c r="CR240" s="293"/>
      <c r="CS240" s="293"/>
      <c r="CT240" s="293"/>
      <c r="CU240" s="293"/>
      <c r="CV240" s="293"/>
      <c r="CW240" s="293"/>
      <c r="CX240" s="293"/>
      <c r="CY240" s="293"/>
      <c r="CZ240" s="293"/>
      <c r="DA240" s="293"/>
      <c r="DB240" s="1288"/>
      <c r="DC240" s="293"/>
      <c r="DD240" s="293"/>
      <c r="DE240" s="293"/>
      <c r="DF240" s="293"/>
      <c r="DG240" s="293"/>
      <c r="DH240" s="293"/>
      <c r="DI240" s="293"/>
      <c r="DJ240" s="293"/>
      <c r="DK240" s="293"/>
      <c r="DL240" s="293"/>
      <c r="DM240" s="293"/>
      <c r="DN240" s="295"/>
      <c r="DO240" s="293"/>
      <c r="DP240" s="293"/>
      <c r="DQ240" s="293"/>
      <c r="DR240" s="293"/>
      <c r="DS240" s="293"/>
      <c r="DT240" s="293"/>
      <c r="DU240" s="293"/>
      <c r="DV240" s="293"/>
      <c r="DW240" s="293"/>
      <c r="DX240" s="293"/>
      <c r="DY240" s="293"/>
      <c r="DZ240" s="295"/>
      <c r="EA240" s="293"/>
      <c r="EB240" s="293"/>
      <c r="EC240" s="293"/>
      <c r="ED240" s="293"/>
      <c r="EE240" s="293"/>
      <c r="EF240" s="293"/>
      <c r="EG240" s="293"/>
      <c r="EH240" s="293"/>
      <c r="EI240" s="293"/>
      <c r="EJ240" s="293"/>
      <c r="EK240" s="293"/>
      <c r="EL240" s="295"/>
      <c r="EM240" s="1080"/>
      <c r="EN240" s="1080"/>
      <c r="EO240" s="1080"/>
      <c r="EP240" s="1080"/>
      <c r="EQ240" s="1080"/>
      <c r="ER240" s="1080"/>
      <c r="ES240" s="1080"/>
      <c r="ET240" s="1080"/>
      <c r="EU240" s="1080"/>
      <c r="EV240" s="1080"/>
      <c r="EW240" s="1080"/>
      <c r="EX240" s="1340"/>
      <c r="EY240" s="1080"/>
      <c r="EZ240" s="1080"/>
      <c r="FA240" s="1080"/>
      <c r="FB240" s="1080"/>
      <c r="FC240" s="1080"/>
      <c r="FD240" s="1080"/>
      <c r="FE240" s="1080"/>
      <c r="FF240" s="1080"/>
      <c r="FG240" s="1080"/>
      <c r="FH240" s="1080"/>
      <c r="FI240" s="1080"/>
      <c r="FJ240" s="1340"/>
      <c r="FK240" s="1080"/>
      <c r="FL240" s="1080"/>
      <c r="FM240" s="1080"/>
      <c r="FN240" s="1080"/>
      <c r="FO240" s="1080"/>
      <c r="FP240" s="1080"/>
      <c r="FQ240" s="293"/>
      <c r="FR240" s="293"/>
      <c r="FS240" s="293"/>
      <c r="FT240" s="293"/>
      <c r="FU240" s="293"/>
      <c r="FV240" s="293"/>
      <c r="FW240" s="293"/>
      <c r="FX240" s="293"/>
      <c r="FY240" s="293"/>
      <c r="FZ240" s="293"/>
      <c r="GA240" s="293"/>
      <c r="GB240" s="293"/>
      <c r="GC240" s="293"/>
      <c r="GD240" s="293"/>
      <c r="GE240" s="293"/>
      <c r="GF240" s="293"/>
      <c r="GG240" s="293"/>
      <c r="GH240" s="293"/>
      <c r="GI240" s="293"/>
      <c r="GJ240" s="293"/>
      <c r="GK240" s="293"/>
      <c r="GL240" s="293"/>
      <c r="GM240" s="293"/>
      <c r="GN240" s="293"/>
      <c r="GO240" s="293"/>
      <c r="GP240" s="293"/>
      <c r="GQ240" s="293"/>
      <c r="GR240" s="293"/>
      <c r="GS240" s="293"/>
      <c r="GT240" s="293"/>
      <c r="GU240" s="293"/>
      <c r="GV240" s="293"/>
      <c r="GW240" s="293"/>
      <c r="GX240" s="293"/>
      <c r="GY240" s="293"/>
      <c r="GZ240" s="293"/>
      <c r="HA240" s="293"/>
      <c r="HB240" s="293"/>
      <c r="HC240" s="293"/>
      <c r="HD240" s="293"/>
      <c r="HE240" s="293"/>
      <c r="HF240" s="293"/>
      <c r="HG240" s="293"/>
      <c r="HH240" s="293"/>
      <c r="HI240" s="293"/>
      <c r="HJ240" s="293"/>
      <c r="HK240" s="293"/>
      <c r="HL240" s="293"/>
      <c r="HM240" s="293"/>
      <c r="HN240" s="293"/>
      <c r="HO240" s="293"/>
      <c r="HP240" s="293"/>
      <c r="HQ240" s="293"/>
      <c r="HR240" s="293"/>
      <c r="HS240" s="293"/>
      <c r="HT240" s="293"/>
      <c r="HU240" s="293"/>
      <c r="HV240" s="293"/>
      <c r="HW240" s="293"/>
      <c r="HX240" s="293"/>
      <c r="HY240" s="293"/>
      <c r="IJ240" s="323"/>
      <c r="KT240" s="280"/>
    </row>
    <row r="241" spans="1:306" outlineLevel="1">
      <c r="D241" s="298"/>
      <c r="E241" s="293"/>
      <c r="F241" s="293"/>
      <c r="G241" s="293"/>
      <c r="H241" s="293"/>
      <c r="I241" s="293"/>
      <c r="J241" s="293"/>
      <c r="K241" s="293"/>
      <c r="L241" s="293"/>
      <c r="M241" s="293"/>
      <c r="N241" s="293"/>
      <c r="O241" s="293"/>
      <c r="P241" s="293"/>
      <c r="Q241" s="293"/>
      <c r="R241" s="293"/>
      <c r="S241" s="293"/>
      <c r="T241" s="293"/>
      <c r="U241" s="293"/>
      <c r="V241" s="293"/>
      <c r="W241" s="293"/>
      <c r="X241" s="293"/>
      <c r="Y241" s="29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c r="BN241" s="293"/>
      <c r="BO241" s="293"/>
      <c r="BP241" s="293"/>
      <c r="BQ241" s="293"/>
      <c r="BR241" s="293"/>
      <c r="BS241" s="293"/>
      <c r="BT241" s="293"/>
      <c r="BU241" s="293"/>
      <c r="BV241" s="293"/>
      <c r="BW241" s="293"/>
      <c r="BX241" s="293"/>
      <c r="BY241" s="293"/>
      <c r="BZ241" s="293"/>
      <c r="CA241" s="293"/>
      <c r="CB241" s="293"/>
      <c r="CC241" s="293"/>
      <c r="CD241" s="293"/>
      <c r="CE241" s="294"/>
      <c r="CF241" s="293"/>
      <c r="CG241" s="293"/>
      <c r="CH241" s="293"/>
      <c r="CI241" s="293"/>
      <c r="CJ241" s="293"/>
      <c r="CK241" s="293"/>
      <c r="CL241" s="293"/>
      <c r="CM241" s="293"/>
      <c r="CN241" s="293"/>
      <c r="CO241" s="293"/>
      <c r="CP241" s="295"/>
      <c r="CQ241" s="293"/>
      <c r="CR241" s="293"/>
      <c r="CS241" s="293"/>
      <c r="CT241" s="293"/>
      <c r="CU241" s="293"/>
      <c r="CV241" s="293"/>
      <c r="CW241" s="293"/>
      <c r="CX241" s="293"/>
      <c r="CY241" s="293"/>
      <c r="CZ241" s="293"/>
      <c r="DA241" s="293"/>
      <c r="DB241" s="1288"/>
      <c r="DC241" s="293"/>
      <c r="DD241" s="293"/>
      <c r="DE241" s="293"/>
      <c r="DF241" s="293"/>
      <c r="DG241" s="293"/>
      <c r="DH241" s="293"/>
      <c r="DI241" s="293"/>
      <c r="DJ241" s="293"/>
      <c r="DK241" s="293"/>
      <c r="DL241" s="293"/>
      <c r="DM241" s="293"/>
      <c r="DN241" s="295"/>
      <c r="DO241" s="293"/>
      <c r="DP241" s="293"/>
      <c r="DQ241" s="293"/>
      <c r="DR241" s="293"/>
      <c r="DS241" s="293"/>
      <c r="DT241" s="293"/>
      <c r="DU241" s="293"/>
      <c r="DV241" s="293"/>
      <c r="DW241" s="293"/>
      <c r="DX241" s="293"/>
      <c r="DY241" s="293"/>
      <c r="DZ241" s="295"/>
      <c r="EA241" s="293"/>
      <c r="EB241" s="293"/>
      <c r="EC241" s="293"/>
      <c r="ED241" s="293"/>
      <c r="EE241" s="293"/>
      <c r="EF241" s="293"/>
      <c r="EG241" s="293"/>
      <c r="EH241" s="293"/>
      <c r="EI241" s="293"/>
      <c r="EJ241" s="293"/>
      <c r="EK241" s="293"/>
      <c r="EL241" s="295"/>
      <c r="EM241" s="1080"/>
      <c r="EN241" s="1080"/>
      <c r="EO241" s="1080"/>
      <c r="EP241" s="1080"/>
      <c r="EQ241" s="1080"/>
      <c r="ER241" s="1080"/>
      <c r="ES241" s="1080"/>
      <c r="ET241" s="1080"/>
      <c r="EU241" s="1080"/>
      <c r="EV241" s="1080"/>
      <c r="EW241" s="1080"/>
      <c r="EX241" s="1340"/>
      <c r="EY241" s="1080"/>
      <c r="EZ241" s="1080"/>
      <c r="FA241" s="1080"/>
      <c r="FB241" s="1080"/>
      <c r="FC241" s="1080"/>
      <c r="FD241" s="1080"/>
      <c r="FE241" s="1080"/>
      <c r="FF241" s="1080"/>
      <c r="FG241" s="1080"/>
      <c r="FH241" s="1080"/>
      <c r="FI241" s="1080"/>
      <c r="FJ241" s="1340"/>
      <c r="FK241" s="1080"/>
      <c r="FL241" s="1080"/>
      <c r="FM241" s="1080"/>
      <c r="FN241" s="1080"/>
      <c r="FO241" s="1080"/>
      <c r="FP241" s="1080"/>
      <c r="FQ241" s="293"/>
      <c r="FR241" s="293"/>
      <c r="FS241" s="293"/>
      <c r="FT241" s="293"/>
      <c r="FU241" s="293"/>
      <c r="FV241" s="293"/>
      <c r="FW241" s="293"/>
      <c r="FX241" s="293"/>
      <c r="FY241" s="293"/>
      <c r="FZ241" s="293"/>
      <c r="GA241" s="293"/>
      <c r="GB241" s="293"/>
      <c r="GC241" s="293"/>
      <c r="GD241" s="293"/>
      <c r="GE241" s="293"/>
      <c r="GF241" s="293"/>
      <c r="GG241" s="293"/>
      <c r="GH241" s="293"/>
      <c r="GI241" s="293"/>
      <c r="GJ241" s="293"/>
      <c r="GK241" s="293"/>
      <c r="GL241" s="293"/>
      <c r="GM241" s="293"/>
      <c r="GN241" s="293"/>
      <c r="GO241" s="293"/>
      <c r="GP241" s="293"/>
      <c r="GQ241" s="293"/>
      <c r="GR241" s="293"/>
      <c r="GS241" s="293"/>
      <c r="GT241" s="293"/>
      <c r="GU241" s="293"/>
      <c r="GV241" s="293"/>
      <c r="GW241" s="293"/>
      <c r="GX241" s="293"/>
      <c r="GY241" s="293"/>
      <c r="GZ241" s="293"/>
      <c r="HA241" s="293"/>
      <c r="HB241" s="293"/>
      <c r="HC241" s="293"/>
      <c r="HD241" s="293"/>
      <c r="HE241" s="293"/>
      <c r="HF241" s="293"/>
      <c r="HG241" s="293"/>
      <c r="HH241" s="293"/>
      <c r="HI241" s="293"/>
      <c r="HJ241" s="293"/>
      <c r="HK241" s="293"/>
      <c r="HL241" s="293"/>
      <c r="HM241" s="293"/>
      <c r="HN241" s="293"/>
      <c r="HO241" s="293"/>
      <c r="HP241" s="293"/>
      <c r="HQ241" s="293"/>
      <c r="HR241" s="293"/>
      <c r="HS241" s="293"/>
      <c r="HT241" s="293"/>
      <c r="HU241" s="293"/>
      <c r="HV241" s="293"/>
      <c r="HW241" s="293"/>
      <c r="HX241" s="293"/>
      <c r="HY241" s="293"/>
      <c r="IJ241" s="323"/>
      <c r="KT241" s="280"/>
    </row>
    <row r="243" spans="1:306" hidden="1" outlineLevel="1">
      <c r="D243" s="644" t="s">
        <v>1172</v>
      </c>
      <c r="CD243" s="838" t="s">
        <v>1009</v>
      </c>
      <c r="CE243" s="839"/>
      <c r="CF243" s="781"/>
      <c r="CG243" s="781"/>
      <c r="CH243" s="781"/>
      <c r="CI243" s="781"/>
      <c r="CJ243" s="781"/>
      <c r="CK243" s="781"/>
      <c r="CL243" s="781"/>
      <c r="CM243" s="781"/>
      <c r="CN243" s="781"/>
      <c r="CO243" s="781"/>
      <c r="CP243" s="1279"/>
      <c r="CQ243" s="781"/>
      <c r="CR243" s="781"/>
      <c r="CS243" s="781"/>
      <c r="CT243" s="781"/>
      <c r="CU243" s="781"/>
      <c r="CV243" s="781"/>
      <c r="CW243" s="781"/>
      <c r="CX243" s="781"/>
      <c r="CY243" s="781"/>
      <c r="CZ243" s="781"/>
      <c r="DA243" s="781"/>
      <c r="DB243" s="1299"/>
      <c r="DC243" s="840">
        <v>66.733951547846715</v>
      </c>
      <c r="DD243" s="840">
        <v>68.245586880935548</v>
      </c>
      <c r="DE243" s="840">
        <v>86.824346869568402</v>
      </c>
      <c r="DF243" s="840">
        <v>77.768789279906329</v>
      </c>
      <c r="DG243" s="840">
        <v>70.290688721549174</v>
      </c>
      <c r="DH243" s="840">
        <v>94.437271875493835</v>
      </c>
      <c r="DI243" s="840">
        <v>76.99888641831906</v>
      </c>
      <c r="DJ243" s="840">
        <v>72.781232871814325</v>
      </c>
      <c r="DK243" s="840">
        <v>113.69690742097912</v>
      </c>
      <c r="DL243" s="840">
        <v>78.445692153350095</v>
      </c>
      <c r="DM243" s="840">
        <v>78.436310386163541</v>
      </c>
      <c r="DN243" s="1325">
        <v>115.65428540618294</v>
      </c>
      <c r="DO243" s="840">
        <v>70.001377174548537</v>
      </c>
      <c r="DP243" s="840">
        <v>82.550819978066912</v>
      </c>
      <c r="DQ243" s="840">
        <v>96.339551639584585</v>
      </c>
      <c r="DR243" s="840">
        <v>75.236561436798738</v>
      </c>
      <c r="DS243" s="840">
        <v>77.488918952174245</v>
      </c>
      <c r="DT243" s="840">
        <v>106.98901336147304</v>
      </c>
      <c r="DU243" s="840">
        <v>87.321007018100005</v>
      </c>
      <c r="DV243" s="840">
        <v>80.365821708100015</v>
      </c>
      <c r="DW243" s="840">
        <v>130.80228913051002</v>
      </c>
      <c r="DX243" s="840">
        <v>79.869756277900009</v>
      </c>
      <c r="DY243" s="840">
        <v>89.324089658700018</v>
      </c>
      <c r="DZ243" s="1325">
        <v>127.8539387389</v>
      </c>
      <c r="EA243" s="840"/>
      <c r="EB243" s="840"/>
      <c r="EC243" s="840"/>
      <c r="ED243" s="840"/>
      <c r="EE243" s="840"/>
      <c r="EF243" s="840"/>
      <c r="EG243" s="840"/>
      <c r="EH243" s="840"/>
      <c r="EI243" s="840"/>
      <c r="EJ243" s="840"/>
      <c r="EK243" s="840"/>
      <c r="EL243" s="1325"/>
      <c r="EM243" s="1094"/>
      <c r="EN243" s="1094"/>
      <c r="EO243" s="1080">
        <v>5.0329786810000003</v>
      </c>
      <c r="EP243" s="1080"/>
      <c r="EQ243" s="1080"/>
      <c r="ER243" s="1080">
        <v>4.2359017769999996</v>
      </c>
      <c r="ES243" s="1080">
        <v>0</v>
      </c>
      <c r="ET243" s="1080">
        <v>0</v>
      </c>
      <c r="EU243" s="1080">
        <v>4.5140113359999994</v>
      </c>
      <c r="EV243" s="1080">
        <v>0</v>
      </c>
      <c r="EW243" s="1080">
        <v>0</v>
      </c>
      <c r="EX243" s="1340">
        <v>6.1646746080000003</v>
      </c>
      <c r="EY243" s="1094"/>
      <c r="EZ243" s="1094"/>
      <c r="FA243" s="1094"/>
      <c r="FB243" s="1094"/>
      <c r="FC243" s="1094"/>
      <c r="FD243" s="1094"/>
      <c r="FE243" s="1094"/>
      <c r="FF243" s="1094"/>
      <c r="FG243" s="1094"/>
      <c r="FH243" s="1094"/>
      <c r="FI243" s="1094"/>
      <c r="FJ243" s="1361"/>
      <c r="FK243" s="1094"/>
      <c r="FL243" s="1094"/>
      <c r="FM243" s="1094"/>
      <c r="FN243" s="1094"/>
      <c r="FO243" s="1094"/>
      <c r="FP243" s="1094"/>
      <c r="FQ243" s="840"/>
      <c r="FR243" s="840"/>
      <c r="FS243" s="840"/>
      <c r="FT243" s="840"/>
      <c r="FU243" s="840"/>
      <c r="FV243" s="840"/>
      <c r="FW243" s="840"/>
      <c r="FX243" s="840"/>
      <c r="FY243" s="840"/>
      <c r="FZ243" s="840"/>
      <c r="GA243" s="840"/>
      <c r="GB243" s="840"/>
      <c r="GC243" s="840"/>
      <c r="GD243" s="840"/>
      <c r="GE243" s="840"/>
      <c r="GF243" s="840"/>
      <c r="GG243" s="840"/>
      <c r="GH243" s="840"/>
      <c r="GI243" s="840"/>
      <c r="GJ243" s="840"/>
      <c r="GK243" s="840"/>
      <c r="GL243" s="840"/>
      <c r="GM243" s="840"/>
      <c r="GN243" s="840"/>
      <c r="GO243" s="840"/>
      <c r="GP243" s="840"/>
      <c r="GQ243" s="840"/>
      <c r="GR243" s="840"/>
      <c r="GS243" s="840"/>
      <c r="GT243" s="840"/>
      <c r="GU243" s="840"/>
      <c r="GV243" s="840"/>
      <c r="GW243" s="840"/>
      <c r="GX243" s="840"/>
      <c r="GY243" s="840"/>
      <c r="GZ243" s="840"/>
      <c r="HA243" s="840"/>
      <c r="HB243" s="840"/>
      <c r="HC243" s="840"/>
      <c r="HD243" s="840"/>
      <c r="HE243" s="840"/>
      <c r="HF243" s="840"/>
      <c r="HG243" s="840"/>
      <c r="HH243" s="840"/>
      <c r="HI243" s="840"/>
      <c r="HJ243" s="840"/>
      <c r="HK243" s="840"/>
      <c r="HL243" s="840"/>
      <c r="HM243" s="840"/>
      <c r="HN243" s="840"/>
      <c r="HO243" s="840"/>
      <c r="HP243" s="840"/>
      <c r="HQ243" s="840"/>
      <c r="HR243" s="840"/>
      <c r="HS243" s="840"/>
      <c r="HT243" s="840"/>
      <c r="HU243" s="840"/>
      <c r="HV243" s="840"/>
      <c r="HW243" s="840"/>
      <c r="HX243" s="840"/>
      <c r="HY243" s="840"/>
      <c r="IH243" s="781">
        <f>+SUM(DC243:DH243)</f>
        <v>464.30063517530004</v>
      </c>
      <c r="II243" s="781">
        <f>+SUM(DI243:DN243)</f>
        <v>536.01331465680903</v>
      </c>
      <c r="IJ243" s="782">
        <f t="shared" si="241"/>
        <v>1000.3139498321091</v>
      </c>
      <c r="IK243" s="279">
        <f>SUM(DO243:DT243)</f>
        <v>508.60624254264604</v>
      </c>
      <c r="KT243" s="280"/>
    </row>
    <row r="244" spans="1:306" ht="11.25" customHeight="1" outlineLevel="1">
      <c r="CD244" s="838"/>
      <c r="CE244" s="839"/>
      <c r="CF244" s="781"/>
      <c r="CG244" s="781"/>
      <c r="CH244" s="781"/>
      <c r="CI244" s="781"/>
      <c r="CJ244" s="781"/>
      <c r="CK244" s="781"/>
      <c r="CL244" s="781"/>
      <c r="CM244" s="781"/>
      <c r="CN244" s="781"/>
      <c r="CO244" s="781"/>
      <c r="CP244" s="1279"/>
      <c r="CQ244" s="781"/>
      <c r="CR244" s="781"/>
      <c r="CS244" s="781"/>
      <c r="CT244" s="781"/>
      <c r="CU244" s="781"/>
      <c r="CV244" s="781"/>
      <c r="CW244" s="781"/>
      <c r="CX244" s="781"/>
      <c r="CY244" s="781"/>
      <c r="CZ244" s="781"/>
      <c r="DA244" s="781"/>
      <c r="DB244" s="1299"/>
      <c r="DC244" s="840"/>
      <c r="DD244" s="840"/>
      <c r="DE244" s="840"/>
      <c r="DF244" s="840"/>
      <c r="DG244" s="840"/>
      <c r="DH244" s="840"/>
      <c r="DI244" s="840"/>
      <c r="DJ244" s="840"/>
      <c r="DK244" s="840"/>
      <c r="DL244" s="840"/>
      <c r="DM244" s="840"/>
      <c r="DN244" s="1325"/>
      <c r="DO244" s="840"/>
      <c r="DP244" s="840"/>
      <c r="DQ244" s="840"/>
      <c r="DR244" s="840"/>
      <c r="DS244" s="840"/>
      <c r="DT244" s="840"/>
      <c r="DU244" s="840"/>
      <c r="DV244" s="840"/>
      <c r="DW244" s="840"/>
      <c r="DX244" s="840"/>
      <c r="DY244" s="840"/>
      <c r="DZ244" s="1325"/>
      <c r="EA244" s="840"/>
      <c r="EB244" s="840"/>
      <c r="EC244" s="840"/>
      <c r="ED244" s="840"/>
      <c r="EE244" s="840"/>
      <c r="EF244" s="840"/>
      <c r="EG244" s="840"/>
      <c r="EH244" s="840"/>
      <c r="EI244" s="840"/>
      <c r="EJ244" s="840"/>
      <c r="EK244" s="840"/>
      <c r="EL244" s="1325"/>
      <c r="EM244" s="1094"/>
      <c r="EN244" s="1094"/>
      <c r="EO244" s="1094"/>
      <c r="EP244" s="1094"/>
      <c r="EQ244" s="1094"/>
      <c r="ER244" s="1094"/>
      <c r="ES244" s="1094"/>
      <c r="ET244" s="1094"/>
      <c r="EU244" s="1094"/>
      <c r="EV244" s="1094"/>
      <c r="EW244" s="1094"/>
      <c r="EX244" s="1361"/>
      <c r="EY244" s="1094"/>
      <c r="EZ244" s="1094"/>
      <c r="FA244" s="1094"/>
      <c r="FB244" s="1094"/>
      <c r="FC244" s="1094"/>
      <c r="FD244" s="1094"/>
      <c r="FE244" s="1094"/>
      <c r="FF244" s="1094"/>
      <c r="FG244" s="1094"/>
      <c r="FH244" s="1094"/>
      <c r="FI244" s="1094"/>
      <c r="FJ244" s="1361"/>
      <c r="FK244" s="1094"/>
      <c r="FL244" s="1094"/>
      <c r="FM244" s="1094"/>
      <c r="FN244" s="1094"/>
      <c r="FO244" s="1094"/>
      <c r="FP244" s="1094"/>
      <c r="FQ244" s="840"/>
      <c r="FR244" s="840"/>
      <c r="FS244" s="840"/>
      <c r="FT244" s="840"/>
      <c r="FU244" s="840"/>
      <c r="FV244" s="840"/>
      <c r="FW244" s="840"/>
      <c r="FX244" s="840"/>
      <c r="FY244" s="840"/>
      <c r="FZ244" s="840"/>
      <c r="GA244" s="840"/>
      <c r="GB244" s="840"/>
      <c r="GC244" s="840"/>
      <c r="GD244" s="840"/>
      <c r="GE244" s="840"/>
      <c r="GF244" s="840"/>
      <c r="GG244" s="840"/>
      <c r="GH244" s="840"/>
      <c r="GI244" s="840"/>
      <c r="GJ244" s="840"/>
      <c r="GK244" s="840"/>
      <c r="GL244" s="840"/>
      <c r="GM244" s="840"/>
      <c r="GN244" s="840"/>
      <c r="GO244" s="840"/>
      <c r="GP244" s="840"/>
      <c r="GQ244" s="840"/>
      <c r="GR244" s="840"/>
      <c r="GS244" s="840"/>
      <c r="GT244" s="840"/>
      <c r="GU244" s="840"/>
      <c r="GV244" s="840"/>
      <c r="GW244" s="840"/>
      <c r="GX244" s="840"/>
      <c r="GY244" s="840"/>
      <c r="GZ244" s="840"/>
      <c r="HA244" s="840"/>
      <c r="HB244" s="840"/>
      <c r="HC244" s="840"/>
      <c r="HD244" s="840"/>
      <c r="HE244" s="840"/>
      <c r="HF244" s="840"/>
      <c r="HG244" s="840"/>
      <c r="HH244" s="840"/>
      <c r="HI244" s="840"/>
      <c r="HJ244" s="840"/>
      <c r="HK244" s="840"/>
      <c r="HL244" s="840"/>
      <c r="HM244" s="840"/>
      <c r="HN244" s="840"/>
      <c r="HO244" s="840"/>
      <c r="HP244" s="840"/>
      <c r="HQ244" s="840"/>
      <c r="HR244" s="840"/>
      <c r="HS244" s="840"/>
      <c r="HT244" s="840"/>
      <c r="HU244" s="840"/>
      <c r="HV244" s="840"/>
      <c r="HW244" s="840"/>
      <c r="HX244" s="840"/>
      <c r="HY244" s="840"/>
      <c r="IH244" s="781"/>
      <c r="II244" s="781"/>
      <c r="IJ244" s="838"/>
      <c r="KT244" s="280"/>
    </row>
    <row r="245" spans="1:306" outlineLevel="1">
      <c r="A245" s="291" t="s">
        <v>1041</v>
      </c>
      <c r="CE245" s="793"/>
      <c r="CK245" s="795">
        <f>+CK246-CK266</f>
        <v>35.365490066999982</v>
      </c>
      <c r="CL245" s="795">
        <f>+CL246-CL266</f>
        <v>3.3889503059999839</v>
      </c>
      <c r="CM245" s="795">
        <f>+CM246-CM266</f>
        <v>-1.4995638400000217</v>
      </c>
      <c r="CN245" s="795">
        <f>+CN246-CN266</f>
        <v>23.639963428000001</v>
      </c>
      <c r="CO245" s="795">
        <f>+CO246-CO266</f>
        <v>17.700478739000005</v>
      </c>
      <c r="CP245" s="280"/>
      <c r="DC245" s="843" t="s">
        <v>1017</v>
      </c>
      <c r="EA245" s="279"/>
      <c r="EB245" s="279"/>
      <c r="EC245" s="279"/>
      <c r="ED245" s="279"/>
      <c r="EE245" s="279"/>
      <c r="EF245" s="279"/>
      <c r="EG245" s="279"/>
      <c r="EH245" s="279"/>
      <c r="EI245" s="279"/>
      <c r="EJ245" s="279"/>
      <c r="EK245" s="279"/>
      <c r="EL245" s="280"/>
      <c r="EM245" s="1082"/>
      <c r="EN245" s="1082"/>
      <c r="EO245" s="1082"/>
      <c r="EP245" s="1082"/>
      <c r="EQ245" s="1082"/>
      <c r="ER245" s="1082"/>
      <c r="ES245" s="1082"/>
      <c r="ET245" s="1082"/>
      <c r="EU245" s="1082"/>
      <c r="EV245" s="1082"/>
      <c r="EW245" s="1082"/>
      <c r="EX245" s="1350"/>
      <c r="EY245" s="1082"/>
      <c r="EZ245" s="1082"/>
      <c r="FA245" s="1082"/>
      <c r="FB245" s="1082"/>
      <c r="FC245" s="1082"/>
      <c r="FD245" s="1082"/>
      <c r="FE245" s="1082"/>
      <c r="FF245" s="1082"/>
      <c r="FG245" s="1082"/>
      <c r="FH245" s="1082"/>
      <c r="FI245" s="1082"/>
      <c r="FJ245" s="1350"/>
      <c r="FK245" s="1082"/>
      <c r="FL245" s="1082"/>
      <c r="FM245" s="1082"/>
      <c r="FN245" s="1082"/>
      <c r="FO245" s="1082"/>
      <c r="FP245" s="1082"/>
      <c r="FQ245" s="279"/>
      <c r="FR245" s="279"/>
      <c r="FS245" s="279"/>
      <c r="FT245" s="279"/>
      <c r="FU245" s="279"/>
      <c r="FV245" s="279"/>
      <c r="FW245" s="279"/>
      <c r="FX245" s="279"/>
      <c r="FY245" s="279"/>
      <c r="FZ245" s="279"/>
      <c r="GA245" s="279"/>
      <c r="GB245" s="279"/>
      <c r="GC245" s="279"/>
      <c r="GD245" s="279"/>
      <c r="GE245" s="279"/>
      <c r="GF245" s="279"/>
      <c r="GG245" s="279"/>
      <c r="GH245" s="279"/>
      <c r="GI245" s="279"/>
      <c r="GJ245" s="279"/>
      <c r="GK245" s="279"/>
      <c r="GL245" s="279"/>
      <c r="GM245" s="279"/>
      <c r="GN245" s="279"/>
      <c r="GO245" s="279"/>
      <c r="GP245" s="279"/>
      <c r="GQ245" s="279"/>
      <c r="GR245" s="279"/>
      <c r="GS245" s="279"/>
      <c r="GT245" s="279"/>
      <c r="GU245" s="279"/>
      <c r="GV245" s="279"/>
      <c r="GW245" s="279"/>
      <c r="GX245" s="279"/>
      <c r="GY245" s="279"/>
      <c r="GZ245" s="279"/>
      <c r="HA245" s="279"/>
      <c r="HB245" s="279"/>
      <c r="HC245" s="279"/>
      <c r="HD245" s="279"/>
      <c r="HE245" s="279"/>
      <c r="HF245" s="279"/>
      <c r="HG245" s="279"/>
      <c r="HH245" s="279"/>
      <c r="HI245" s="279"/>
      <c r="HJ245" s="279"/>
      <c r="HK245" s="279"/>
      <c r="HL245" s="279"/>
      <c r="HM245" s="279"/>
      <c r="HN245" s="279"/>
      <c r="HO245" s="279"/>
      <c r="HP245" s="279"/>
      <c r="HQ245" s="279"/>
      <c r="HR245" s="279"/>
      <c r="HS245" s="279"/>
      <c r="HT245" s="279"/>
      <c r="HU245" s="279"/>
      <c r="HV245" s="279"/>
      <c r="HW245" s="279"/>
      <c r="HX245" s="279"/>
      <c r="HY245" s="279"/>
      <c r="KT245" s="280"/>
    </row>
    <row r="246" spans="1:306" hidden="1" outlineLevel="1">
      <c r="A246" s="96" t="s">
        <v>878</v>
      </c>
      <c r="B246" s="96" t="s">
        <v>338</v>
      </c>
      <c r="D246" s="313" t="s">
        <v>435</v>
      </c>
      <c r="E246" s="293"/>
      <c r="F246" s="293"/>
      <c r="G246" s="293"/>
      <c r="H246" s="293"/>
      <c r="I246" s="293"/>
      <c r="J246" s="293"/>
      <c r="K246" s="293"/>
      <c r="L246" s="293"/>
      <c r="M246" s="293"/>
      <c r="N246" s="293"/>
      <c r="O246" s="293"/>
      <c r="P246" s="293"/>
      <c r="Q246" s="293"/>
      <c r="R246" s="293"/>
      <c r="S246" s="293"/>
      <c r="T246" s="293"/>
      <c r="U246" s="293"/>
      <c r="V246" s="293"/>
      <c r="W246" s="293"/>
      <c r="X246" s="293"/>
      <c r="Y246" s="29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c r="BN246" s="293"/>
      <c r="BO246" s="293"/>
      <c r="BP246" s="293"/>
      <c r="BQ246" s="293"/>
      <c r="BR246" s="293"/>
      <c r="BS246" s="293"/>
      <c r="BT246" s="293"/>
      <c r="BU246" s="293"/>
      <c r="BV246" s="293"/>
      <c r="BW246" s="293"/>
      <c r="BX246" s="293"/>
      <c r="BY246" s="293"/>
      <c r="BZ246" s="293"/>
      <c r="CA246" s="293"/>
      <c r="CB246" s="293"/>
      <c r="CC246" s="293"/>
      <c r="CD246" s="293"/>
      <c r="CE246" s="294"/>
      <c r="CF246" s="293"/>
      <c r="CG246" s="293"/>
      <c r="CH246" s="293"/>
      <c r="CI246" s="293"/>
      <c r="CJ246" s="293"/>
      <c r="CK246" s="312">
        <f>+CK247+CK250+SUM(CK253:CK261)</f>
        <v>125.25433524299999</v>
      </c>
      <c r="CL246" s="312">
        <f>+CL247+CL250+SUM(CL253:CL261)</f>
        <v>82.869652847999987</v>
      </c>
      <c r="CM246" s="312">
        <f>+CM247+CM250+SUM(CM253:CM261)</f>
        <v>98.550025784999974</v>
      </c>
      <c r="CN246" s="312">
        <f>+CN247+CN250+SUM(CN253:CN261)</f>
        <v>145.84591141600001</v>
      </c>
      <c r="CO246" s="312">
        <f>+CO247+CO250+SUM(CO253:CO261)</f>
        <v>149.51475732099999</v>
      </c>
      <c r="CP246" s="295"/>
      <c r="CQ246" s="293"/>
      <c r="CR246" s="293"/>
      <c r="CS246" s="293"/>
      <c r="CT246" s="293"/>
      <c r="CU246" s="293"/>
      <c r="CV246" s="293"/>
      <c r="CW246" s="293"/>
      <c r="CX246" s="293"/>
      <c r="CY246" s="293"/>
      <c r="CZ246" s="293"/>
      <c r="DA246" s="293"/>
      <c r="DB246" s="1288"/>
      <c r="DC246" s="836">
        <v>42186</v>
      </c>
      <c r="DD246" s="836">
        <v>42217</v>
      </c>
      <c r="DE246" s="836">
        <v>42248</v>
      </c>
      <c r="DF246" s="836">
        <v>42278</v>
      </c>
      <c r="DG246" s="836">
        <v>42309</v>
      </c>
      <c r="DH246" s="836">
        <v>42339</v>
      </c>
      <c r="DI246" s="836">
        <v>42370</v>
      </c>
      <c r="DJ246" s="836">
        <v>42401</v>
      </c>
      <c r="DK246" s="836">
        <v>42430</v>
      </c>
      <c r="DL246" s="836">
        <v>42461</v>
      </c>
      <c r="DM246" s="836">
        <v>42491</v>
      </c>
      <c r="DN246" s="872">
        <v>42522</v>
      </c>
      <c r="DO246" s="836">
        <v>42552</v>
      </c>
      <c r="DP246" s="836">
        <v>42583</v>
      </c>
      <c r="DQ246" s="836">
        <v>42614</v>
      </c>
      <c r="DR246" s="836">
        <v>42644</v>
      </c>
      <c r="DS246" s="836">
        <v>42675</v>
      </c>
      <c r="DT246" s="836">
        <v>42705</v>
      </c>
      <c r="DU246" s="836">
        <v>42736</v>
      </c>
      <c r="DV246" s="836">
        <v>42767</v>
      </c>
      <c r="DW246" s="836">
        <v>42795</v>
      </c>
      <c r="DX246" s="836">
        <v>42826</v>
      </c>
      <c r="DY246" s="836">
        <v>42856</v>
      </c>
      <c r="DZ246" s="872">
        <v>42887</v>
      </c>
      <c r="EA246" s="836">
        <v>42917</v>
      </c>
      <c r="EB246" s="836">
        <v>42948</v>
      </c>
      <c r="EC246" s="836">
        <v>42979</v>
      </c>
      <c r="ED246" s="836">
        <v>43009</v>
      </c>
      <c r="EE246" s="836">
        <v>43040</v>
      </c>
      <c r="EF246" s="836">
        <v>43070</v>
      </c>
      <c r="EG246" s="836">
        <v>43101</v>
      </c>
      <c r="EH246" s="836">
        <v>43132</v>
      </c>
      <c r="EI246" s="836">
        <v>43160</v>
      </c>
      <c r="EJ246" s="836">
        <v>43191</v>
      </c>
      <c r="EK246" s="836">
        <v>43221</v>
      </c>
      <c r="EL246" s="872">
        <v>43252</v>
      </c>
      <c r="EM246" s="1079">
        <v>43282</v>
      </c>
      <c r="EN246" s="1079">
        <v>43313</v>
      </c>
      <c r="EO246" s="1079">
        <v>43344</v>
      </c>
      <c r="EP246" s="1079">
        <v>43374</v>
      </c>
      <c r="EQ246" s="1079">
        <v>43405</v>
      </c>
      <c r="ER246" s="1079">
        <v>43435</v>
      </c>
      <c r="ES246" s="1079">
        <v>43466</v>
      </c>
      <c r="ET246" s="1079">
        <v>43497</v>
      </c>
      <c r="EU246" s="1079">
        <v>43525</v>
      </c>
      <c r="EV246" s="1079">
        <v>43556</v>
      </c>
      <c r="EW246" s="1079">
        <v>43586</v>
      </c>
      <c r="EX246" s="1348">
        <v>43617</v>
      </c>
      <c r="EY246" s="1079">
        <v>43647</v>
      </c>
      <c r="EZ246" s="1079">
        <v>43678</v>
      </c>
      <c r="FA246" s="1079">
        <v>43709</v>
      </c>
      <c r="FB246" s="1079">
        <v>43739</v>
      </c>
      <c r="FC246" s="1079">
        <v>43770</v>
      </c>
      <c r="FD246" s="1079">
        <v>43800</v>
      </c>
      <c r="FE246" s="1079">
        <v>43831</v>
      </c>
      <c r="FF246" s="1079">
        <v>43862</v>
      </c>
      <c r="FG246" s="1079">
        <v>43891</v>
      </c>
      <c r="FH246" s="1079">
        <v>43922</v>
      </c>
      <c r="FI246" s="1079">
        <v>43952</v>
      </c>
      <c r="FJ246" s="1348">
        <v>43983</v>
      </c>
      <c r="FK246" s="1079">
        <v>44013</v>
      </c>
      <c r="FL246" s="1079">
        <v>44044</v>
      </c>
      <c r="FM246" s="1079">
        <v>44075</v>
      </c>
      <c r="FN246" s="1079">
        <v>44105</v>
      </c>
      <c r="FO246" s="1079">
        <v>44136</v>
      </c>
      <c r="FP246" s="1079">
        <v>44166</v>
      </c>
      <c r="FQ246" s="836"/>
      <c r="FR246" s="836"/>
      <c r="FS246" s="836"/>
      <c r="FT246" s="836"/>
      <c r="FU246" s="836"/>
      <c r="FV246" s="836"/>
      <c r="FW246" s="836"/>
      <c r="FX246" s="836"/>
      <c r="FY246" s="836"/>
      <c r="FZ246" s="836"/>
      <c r="GA246" s="836"/>
      <c r="GB246" s="836"/>
      <c r="GC246" s="836"/>
      <c r="GD246" s="836"/>
      <c r="GE246" s="836"/>
      <c r="GF246" s="836"/>
      <c r="GG246" s="836"/>
      <c r="GH246" s="836"/>
      <c r="GI246" s="836"/>
      <c r="GJ246" s="836"/>
      <c r="GK246" s="836"/>
      <c r="GL246" s="836"/>
      <c r="GM246" s="836"/>
      <c r="GN246" s="836"/>
      <c r="GO246" s="836"/>
      <c r="GP246" s="836"/>
      <c r="GQ246" s="836"/>
      <c r="GR246" s="836"/>
      <c r="GS246" s="836"/>
      <c r="GT246" s="836"/>
      <c r="GU246" s="836"/>
      <c r="GV246" s="836"/>
      <c r="GW246" s="836"/>
      <c r="GX246" s="836"/>
      <c r="GY246" s="836"/>
      <c r="GZ246" s="836"/>
      <c r="HA246" s="836"/>
      <c r="HB246" s="836"/>
      <c r="HC246" s="836"/>
      <c r="HD246" s="836"/>
      <c r="HE246" s="836"/>
      <c r="HF246" s="836"/>
      <c r="HG246" s="836"/>
      <c r="HH246" s="836"/>
      <c r="HI246" s="836"/>
      <c r="HJ246" s="836"/>
      <c r="HK246" s="836"/>
      <c r="HL246" s="836"/>
      <c r="HM246" s="836"/>
      <c r="HN246" s="836"/>
      <c r="HO246" s="836"/>
      <c r="HP246" s="836"/>
      <c r="HQ246" s="836"/>
      <c r="HR246" s="836"/>
      <c r="HS246" s="836"/>
      <c r="HT246" s="836"/>
      <c r="HU246" s="836"/>
      <c r="HV246" s="836"/>
      <c r="HW246" s="836"/>
      <c r="HX246" s="836"/>
      <c r="HY246" s="836"/>
      <c r="KT246" s="280"/>
    </row>
    <row r="247" spans="1:306" hidden="1" outlineLevel="1">
      <c r="B247" s="96" t="s">
        <v>338</v>
      </c>
      <c r="D247" s="314" t="s">
        <v>436</v>
      </c>
      <c r="E247" s="293"/>
      <c r="F247" s="293"/>
      <c r="G247" s="293"/>
      <c r="H247" s="293"/>
      <c r="I247" s="293"/>
      <c r="J247" s="293"/>
      <c r="K247" s="293"/>
      <c r="L247" s="293"/>
      <c r="M247" s="293"/>
      <c r="N247" s="293"/>
      <c r="O247" s="293"/>
      <c r="P247" s="293"/>
      <c r="Q247" s="293"/>
      <c r="R247" s="293"/>
      <c r="S247" s="293"/>
      <c r="T247" s="293"/>
      <c r="U247" s="293"/>
      <c r="V247" s="293"/>
      <c r="W247" s="293"/>
      <c r="X247" s="293"/>
      <c r="Y247" s="29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c r="BN247" s="293"/>
      <c r="BO247" s="293"/>
      <c r="BP247" s="293"/>
      <c r="BQ247" s="293"/>
      <c r="BR247" s="293"/>
      <c r="BS247" s="293">
        <v>13.250438358</v>
      </c>
      <c r="BT247" s="293">
        <v>15.142419798000001</v>
      </c>
      <c r="BU247" s="293">
        <v>10.465569511</v>
      </c>
      <c r="BV247" s="293">
        <v>19.144608862999998</v>
      </c>
      <c r="BW247" s="293">
        <v>12.38366167</v>
      </c>
      <c r="BX247" s="293">
        <v>12.345760840000001</v>
      </c>
      <c r="BY247" s="293">
        <v>12.281595282</v>
      </c>
      <c r="BZ247" s="293">
        <v>14.947415005</v>
      </c>
      <c r="CA247" s="293">
        <v>14.463020575</v>
      </c>
      <c r="CB247" s="293">
        <v>17.263546629</v>
      </c>
      <c r="CC247" s="293">
        <v>14.468678076</v>
      </c>
      <c r="CD247" s="293">
        <v>12.723720517</v>
      </c>
      <c r="CE247" s="294">
        <v>16.994601701000001</v>
      </c>
      <c r="CF247" s="293">
        <v>15.296408276999999</v>
      </c>
      <c r="CG247" s="293">
        <v>12.785106967999999</v>
      </c>
      <c r="CH247" s="293">
        <v>21.522832184999999</v>
      </c>
      <c r="CI247" s="293">
        <v>13.74655516</v>
      </c>
      <c r="CJ247" s="293">
        <v>12.527354783</v>
      </c>
      <c r="CK247" s="293">
        <v>17.305775839999999</v>
      </c>
      <c r="CL247" s="293">
        <v>15.261176783</v>
      </c>
      <c r="CM247" s="293">
        <v>14.226565817999999</v>
      </c>
      <c r="CN247" s="293">
        <v>20.575106379000001</v>
      </c>
      <c r="CO247" s="293">
        <v>14.207658584000001</v>
      </c>
      <c r="CP247" s="295">
        <v>13.422926986</v>
      </c>
      <c r="CQ247" s="293">
        <v>24.384377145999999</v>
      </c>
      <c r="CR247" s="293">
        <v>14.475676630000001</v>
      </c>
      <c r="CS247" s="293">
        <v>13.475882387</v>
      </c>
      <c r="CT247" s="293">
        <v>21.792291245000001</v>
      </c>
      <c r="CU247" s="293">
        <v>14.063459443999999</v>
      </c>
      <c r="CV247" s="293">
        <v>13.595746498</v>
      </c>
      <c r="CW247" s="293">
        <v>22.064813458</v>
      </c>
      <c r="CX247" s="293">
        <v>11.475777178</v>
      </c>
      <c r="CY247" s="293">
        <v>18.702557545000001</v>
      </c>
      <c r="CZ247" s="293">
        <v>20.166489068000001</v>
      </c>
      <c r="DA247" s="293">
        <v>15.465617441999999</v>
      </c>
      <c r="DB247" s="1288">
        <v>14.104508206</v>
      </c>
      <c r="DC247" s="293">
        <v>25.760848382999999</v>
      </c>
      <c r="DD247" s="293">
        <v>16.630622875</v>
      </c>
      <c r="DE247" s="293">
        <v>15.729075969</v>
      </c>
      <c r="DF247" s="293">
        <v>25.341055635</v>
      </c>
      <c r="DG247" s="293">
        <v>15.952211698999999</v>
      </c>
      <c r="DH247" s="293">
        <v>15.896342681</v>
      </c>
      <c r="DI247" s="293">
        <v>27.269807771</v>
      </c>
      <c r="DJ247" s="293">
        <v>14.262571819</v>
      </c>
      <c r="DK247" s="293">
        <v>20.399614275000001</v>
      </c>
      <c r="DL247" s="293">
        <v>26.154303194000001</v>
      </c>
      <c r="DM247" s="293">
        <v>17.351693442999998</v>
      </c>
      <c r="DN247" s="295">
        <v>21.587089448</v>
      </c>
      <c r="DO247" s="293">
        <v>30.792339913999999</v>
      </c>
      <c r="DP247" s="293">
        <v>25.930212775000001</v>
      </c>
      <c r="DQ247" s="293">
        <v>17.198660204999999</v>
      </c>
      <c r="DR247" s="293">
        <v>31.218526591</v>
      </c>
      <c r="DS247" s="293">
        <v>22.623937429000001</v>
      </c>
      <c r="DT247" s="293">
        <v>20.321524653000001</v>
      </c>
      <c r="DU247" s="293">
        <v>32.600142276</v>
      </c>
      <c r="DV247" s="293">
        <v>20.681147721999999</v>
      </c>
      <c r="DW247" s="293">
        <v>14.811887330999999</v>
      </c>
      <c r="DX247" s="293">
        <v>36.372824244999997</v>
      </c>
      <c r="DY247" s="293">
        <v>26.777018936000001</v>
      </c>
      <c r="DZ247" s="295">
        <v>38.763488469999999</v>
      </c>
      <c r="EA247" s="293">
        <v>38.763488469999999</v>
      </c>
      <c r="EB247" s="293">
        <v>22.126329033000001</v>
      </c>
      <c r="EC247" s="293">
        <v>23.992127427</v>
      </c>
      <c r="ED247" s="293">
        <v>31.381220567</v>
      </c>
      <c r="EE247" s="293">
        <v>20.59107835</v>
      </c>
      <c r="EF247" s="293">
        <v>22.203756637000001</v>
      </c>
      <c r="EG247" s="293">
        <v>35.831669345000002</v>
      </c>
      <c r="EH247" s="293">
        <v>18.217909506000002</v>
      </c>
      <c r="EI247" s="293">
        <v>29.443757700999999</v>
      </c>
      <c r="EJ247" s="293">
        <v>28.913823983</v>
      </c>
      <c r="EK247" s="293">
        <v>29.702432408</v>
      </c>
      <c r="EL247" s="1340">
        <v>23.122873592000001</v>
      </c>
      <c r="EM247" s="1080">
        <v>36.880675347</v>
      </c>
      <c r="EN247" s="1080">
        <v>23.217829071000001</v>
      </c>
      <c r="EO247" s="1080">
        <v>25.954929501999999</v>
      </c>
      <c r="EP247" s="1080">
        <v>35.318556829999999</v>
      </c>
      <c r="EQ247" s="1080">
        <v>23.391870655000002</v>
      </c>
      <c r="ER247" s="1080">
        <v>23.821014502000001</v>
      </c>
      <c r="ES247" s="1080">
        <v>24.216932529000001</v>
      </c>
      <c r="ET247" s="1080">
        <v>30.592745741000002</v>
      </c>
      <c r="EU247" s="1080">
        <v>32.861703890999998</v>
      </c>
      <c r="EV247" s="1080">
        <v>44.669000662000002</v>
      </c>
      <c r="EW247" s="1080">
        <v>40.584315027999999</v>
      </c>
      <c r="EX247" s="1340">
        <v>24.641690694000001</v>
      </c>
      <c r="EY247" s="1080"/>
      <c r="EZ247" s="1080"/>
      <c r="FA247" s="1080"/>
      <c r="FB247" s="1080"/>
      <c r="FC247" s="1080"/>
      <c r="FD247" s="1080"/>
      <c r="FE247" s="1080"/>
      <c r="FF247" s="1080"/>
      <c r="FG247" s="1080"/>
      <c r="FH247" s="1080"/>
      <c r="FI247" s="1080"/>
      <c r="FJ247" s="1340"/>
      <c r="FK247" s="1080"/>
      <c r="FL247" s="1080"/>
      <c r="FM247" s="1080"/>
      <c r="FN247" s="1080"/>
      <c r="FO247" s="1080"/>
      <c r="FP247" s="1080"/>
      <c r="FQ247" s="293"/>
      <c r="FR247" s="293"/>
      <c r="FS247" s="293"/>
      <c r="FT247" s="293"/>
      <c r="FU247" s="293"/>
      <c r="FV247" s="293"/>
      <c r="FW247" s="293"/>
      <c r="FX247" s="293"/>
      <c r="FY247" s="293"/>
      <c r="FZ247" s="293"/>
      <c r="GA247" s="293"/>
      <c r="GB247" s="293"/>
      <c r="GC247" s="293"/>
      <c r="GD247" s="293"/>
      <c r="GE247" s="293"/>
      <c r="GF247" s="293"/>
      <c r="GG247" s="293"/>
      <c r="GH247" s="293"/>
      <c r="GI247" s="293"/>
      <c r="GJ247" s="293"/>
      <c r="GK247" s="293"/>
      <c r="GL247" s="293"/>
      <c r="GM247" s="293"/>
      <c r="GN247" s="293"/>
      <c r="GO247" s="293"/>
      <c r="GP247" s="293"/>
      <c r="GQ247" s="293"/>
      <c r="GR247" s="293"/>
      <c r="GS247" s="293"/>
      <c r="GT247" s="293"/>
      <c r="GU247" s="293"/>
      <c r="GV247" s="293"/>
      <c r="GW247" s="293"/>
      <c r="GX247" s="293"/>
      <c r="GY247" s="293"/>
      <c r="GZ247" s="293"/>
      <c r="HA247" s="293"/>
      <c r="HB247" s="293"/>
      <c r="HC247" s="293"/>
      <c r="HD247" s="293"/>
      <c r="HE247" s="293"/>
      <c r="HF247" s="293"/>
      <c r="HG247" s="293"/>
      <c r="HH247" s="293"/>
      <c r="HI247" s="293"/>
      <c r="HJ247" s="293"/>
      <c r="HK247" s="293"/>
      <c r="HL247" s="293"/>
      <c r="HM247" s="293"/>
      <c r="HN247" s="293"/>
      <c r="HO247" s="293"/>
      <c r="HP247" s="293"/>
      <c r="HQ247" s="293"/>
      <c r="HR247" s="293"/>
      <c r="HS247" s="293"/>
      <c r="HT247" s="293"/>
      <c r="HU247" s="293"/>
      <c r="HV247" s="293"/>
      <c r="HW247" s="293"/>
      <c r="HX247" s="293"/>
      <c r="HY247" s="293"/>
      <c r="IH247" s="279">
        <f t="shared" ref="IH247:IH256" si="242">+SUM(DC247:DH247)</f>
        <v>115.310157242</v>
      </c>
      <c r="II247" s="279">
        <f t="shared" ref="II247:II256" si="243">+SUM(DI247:DN247)</f>
        <v>127.02507995000001</v>
      </c>
      <c r="IJ247" s="323">
        <f t="shared" ref="IJ247:IJ259" si="244">IH247+II247</f>
        <v>242.33523719200002</v>
      </c>
      <c r="IK247" s="279">
        <f t="shared" ref="IK247:IK256" si="245">SUM(DO247:DT247)</f>
        <v>148.08520156700001</v>
      </c>
      <c r="KT247" s="280"/>
    </row>
    <row r="248" spans="1:306" hidden="1" outlineLevel="1">
      <c r="B248" s="96" t="s">
        <v>338</v>
      </c>
      <c r="D248" s="315" t="s">
        <v>437</v>
      </c>
      <c r="E248" s="293"/>
      <c r="F248" s="293"/>
      <c r="G248" s="293"/>
      <c r="H248" s="293"/>
      <c r="I248" s="293"/>
      <c r="J248" s="293"/>
      <c r="K248" s="293"/>
      <c r="L248" s="293"/>
      <c r="M248" s="293"/>
      <c r="N248" s="293"/>
      <c r="O248" s="293"/>
      <c r="P248" s="293"/>
      <c r="Q248" s="293"/>
      <c r="R248" s="293"/>
      <c r="S248" s="293"/>
      <c r="T248" s="293"/>
      <c r="U248" s="293"/>
      <c r="V248" s="293"/>
      <c r="W248" s="293"/>
      <c r="X248" s="293"/>
      <c r="Y248" s="29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c r="BN248" s="293"/>
      <c r="BO248" s="293"/>
      <c r="BP248" s="293"/>
      <c r="BQ248" s="293"/>
      <c r="BR248" s="293"/>
      <c r="BS248" s="293">
        <v>3.1112973519999998</v>
      </c>
      <c r="BT248" s="293">
        <v>2.8256175300000002</v>
      </c>
      <c r="BU248" s="293">
        <v>2.8209782990000001</v>
      </c>
      <c r="BV248" s="293">
        <v>3.3594289449999999</v>
      </c>
      <c r="BW248" s="293">
        <v>3.1229821420000001</v>
      </c>
      <c r="BX248" s="293">
        <v>3.06276145</v>
      </c>
      <c r="BY248" s="293">
        <v>3.3396436070000002</v>
      </c>
      <c r="BZ248" s="293">
        <v>2.9997923270000002</v>
      </c>
      <c r="CA248" s="293">
        <v>3.5253506309999998</v>
      </c>
      <c r="CB248" s="293">
        <v>3.3415827849999999</v>
      </c>
      <c r="CC248" s="293">
        <v>3.198035425</v>
      </c>
      <c r="CD248" s="293">
        <v>3.1972616299999999</v>
      </c>
      <c r="CE248" s="294">
        <v>3.0580970779999999</v>
      </c>
      <c r="CF248" s="293">
        <v>3.4830667009999998</v>
      </c>
      <c r="CG248" s="293">
        <v>3.550329638</v>
      </c>
      <c r="CH248" s="293">
        <v>3.648968956</v>
      </c>
      <c r="CI248" s="293">
        <v>4.1364914749999997</v>
      </c>
      <c r="CJ248" s="293">
        <v>3.036364002</v>
      </c>
      <c r="CK248" s="293">
        <v>3.908229205</v>
      </c>
      <c r="CL248" s="293">
        <v>3.3496332610000001</v>
      </c>
      <c r="CM248" s="293">
        <v>3.349825407</v>
      </c>
      <c r="CN248" s="293">
        <v>3.6429534540000001</v>
      </c>
      <c r="CO248" s="293">
        <v>3.350320682</v>
      </c>
      <c r="CP248" s="295">
        <v>3.3502945510000002</v>
      </c>
      <c r="CQ248" s="293">
        <v>6.8139577850000004</v>
      </c>
      <c r="CR248" s="293">
        <v>3.7736912230000002</v>
      </c>
      <c r="CS248" s="293">
        <v>3.523673541</v>
      </c>
      <c r="CT248" s="293">
        <v>3.7408800260000001</v>
      </c>
      <c r="CU248" s="293">
        <v>3.5379927549999999</v>
      </c>
      <c r="CV248" s="293">
        <v>3.2726724200000001</v>
      </c>
      <c r="CW248" s="293">
        <v>3.8472440190000001</v>
      </c>
      <c r="CX248" s="293">
        <v>3.44767242</v>
      </c>
      <c r="CY248" s="293">
        <v>3.8040478590000002</v>
      </c>
      <c r="CZ248" s="293">
        <v>3.7577844109999998</v>
      </c>
      <c r="DA248" s="293">
        <v>3.5394204669999998</v>
      </c>
      <c r="DB248" s="1288">
        <v>3.539596489</v>
      </c>
      <c r="DC248" s="293"/>
      <c r="DD248" s="293"/>
      <c r="DE248" s="293"/>
      <c r="DF248" s="293"/>
      <c r="DG248" s="293"/>
      <c r="DH248" s="293"/>
      <c r="DI248" s="293"/>
      <c r="DJ248" s="293"/>
      <c r="DK248" s="293"/>
      <c r="DL248" s="293"/>
      <c r="DM248" s="293"/>
      <c r="DN248" s="295"/>
      <c r="DO248" s="293"/>
      <c r="DP248" s="293"/>
      <c r="DQ248" s="293"/>
      <c r="DR248" s="293"/>
      <c r="DS248" s="293"/>
      <c r="DT248" s="293"/>
      <c r="DU248" s="293"/>
      <c r="DV248" s="293"/>
      <c r="DW248" s="293"/>
      <c r="DX248" s="293"/>
      <c r="DY248" s="293"/>
      <c r="DZ248" s="295"/>
      <c r="EA248" s="293"/>
      <c r="EB248" s="293"/>
      <c r="EC248" s="293"/>
      <c r="ED248" s="293"/>
      <c r="EE248" s="293"/>
      <c r="EF248" s="293"/>
      <c r="EG248" s="293"/>
      <c r="EH248" s="293"/>
      <c r="EI248" s="293"/>
      <c r="EJ248" s="293"/>
      <c r="EK248" s="293"/>
      <c r="EL248" s="1340"/>
      <c r="EM248" s="1080"/>
      <c r="EN248" s="1080"/>
      <c r="EO248" s="1080"/>
      <c r="EP248" s="1080"/>
      <c r="EQ248" s="1080"/>
      <c r="ER248" s="1080"/>
      <c r="ES248" s="1080"/>
      <c r="ET248" s="1080"/>
      <c r="EU248" s="1080"/>
      <c r="EV248" s="1080"/>
      <c r="EW248" s="1080"/>
      <c r="EX248" s="1340"/>
      <c r="EY248" s="1080"/>
      <c r="EZ248" s="1080"/>
      <c r="FA248" s="1080"/>
      <c r="FB248" s="1080"/>
      <c r="FC248" s="1080"/>
      <c r="FD248" s="1080"/>
      <c r="FE248" s="1080"/>
      <c r="FF248" s="1080"/>
      <c r="FG248" s="1080"/>
      <c r="FH248" s="1080"/>
      <c r="FI248" s="1080"/>
      <c r="FJ248" s="1340"/>
      <c r="FK248" s="1080"/>
      <c r="FL248" s="1080"/>
      <c r="FM248" s="1080"/>
      <c r="FN248" s="1080"/>
      <c r="FO248" s="1080"/>
      <c r="FP248" s="1080"/>
      <c r="FQ248" s="293"/>
      <c r="FR248" s="293"/>
      <c r="FS248" s="293"/>
      <c r="FT248" s="293"/>
      <c r="FU248" s="293"/>
      <c r="FV248" s="293"/>
      <c r="FW248" s="293"/>
      <c r="FX248" s="293"/>
      <c r="FY248" s="293"/>
      <c r="FZ248" s="293"/>
      <c r="GA248" s="293"/>
      <c r="GB248" s="293"/>
      <c r="GC248" s="293"/>
      <c r="GD248" s="293"/>
      <c r="GE248" s="293"/>
      <c r="GF248" s="293"/>
      <c r="GG248" s="293"/>
      <c r="GH248" s="293"/>
      <c r="GI248" s="293"/>
      <c r="GJ248" s="293"/>
      <c r="GK248" s="293"/>
      <c r="GL248" s="293"/>
      <c r="GM248" s="293"/>
      <c r="GN248" s="293"/>
      <c r="GO248" s="293"/>
      <c r="GP248" s="293"/>
      <c r="GQ248" s="293"/>
      <c r="GR248" s="293"/>
      <c r="GS248" s="293"/>
      <c r="GT248" s="293"/>
      <c r="GU248" s="293"/>
      <c r="GV248" s="293"/>
      <c r="GW248" s="293"/>
      <c r="GX248" s="293"/>
      <c r="GY248" s="293"/>
      <c r="GZ248" s="293"/>
      <c r="HA248" s="293"/>
      <c r="HB248" s="293"/>
      <c r="HC248" s="293"/>
      <c r="HD248" s="293"/>
      <c r="HE248" s="293"/>
      <c r="HF248" s="293"/>
      <c r="HG248" s="293"/>
      <c r="HH248" s="293"/>
      <c r="HI248" s="293"/>
      <c r="HJ248" s="293"/>
      <c r="HK248" s="293"/>
      <c r="HL248" s="293"/>
      <c r="HM248" s="293"/>
      <c r="HN248" s="293"/>
      <c r="HO248" s="293"/>
      <c r="HP248" s="293"/>
      <c r="HQ248" s="293"/>
      <c r="HR248" s="293"/>
      <c r="HS248" s="293"/>
      <c r="HT248" s="293"/>
      <c r="HU248" s="293"/>
      <c r="HV248" s="293"/>
      <c r="HW248" s="293"/>
      <c r="HX248" s="293"/>
      <c r="HY248" s="293"/>
      <c r="IH248" s="279">
        <f t="shared" si="242"/>
        <v>0</v>
      </c>
      <c r="II248" s="279">
        <f t="shared" si="243"/>
        <v>0</v>
      </c>
      <c r="IJ248" s="323">
        <f t="shared" si="244"/>
        <v>0</v>
      </c>
      <c r="IK248" s="279">
        <f t="shared" si="245"/>
        <v>0</v>
      </c>
      <c r="KT248" s="280"/>
    </row>
    <row r="249" spans="1:306" hidden="1" outlineLevel="1">
      <c r="B249" s="96" t="s">
        <v>338</v>
      </c>
      <c r="D249" s="315" t="s">
        <v>438</v>
      </c>
      <c r="E249" s="293"/>
      <c r="F249" s="293"/>
      <c r="G249" s="293"/>
      <c r="H249" s="293"/>
      <c r="I249" s="293"/>
      <c r="J249" s="293"/>
      <c r="K249" s="293"/>
      <c r="L249" s="293"/>
      <c r="M249" s="293"/>
      <c r="N249" s="293"/>
      <c r="O249" s="293"/>
      <c r="P249" s="293"/>
      <c r="Q249" s="293"/>
      <c r="R249" s="293"/>
      <c r="S249" s="293"/>
      <c r="T249" s="293"/>
      <c r="U249" s="293"/>
      <c r="V249" s="293"/>
      <c r="W249" s="293"/>
      <c r="X249" s="293"/>
      <c r="Y249" s="29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c r="BN249" s="293"/>
      <c r="BO249" s="293"/>
      <c r="BP249" s="293"/>
      <c r="BQ249" s="293"/>
      <c r="BR249" s="293"/>
      <c r="BS249" s="293">
        <v>10.139141005999999</v>
      </c>
      <c r="BT249" s="293">
        <v>12.316802268</v>
      </c>
      <c r="BU249" s="293">
        <v>7.6445912119999999</v>
      </c>
      <c r="BV249" s="293">
        <v>15.785179918000001</v>
      </c>
      <c r="BW249" s="293">
        <v>9.2606795280000007</v>
      </c>
      <c r="BX249" s="293">
        <v>9.2829993900000005</v>
      </c>
      <c r="BY249" s="293">
        <v>8.9419516750000003</v>
      </c>
      <c r="BZ249" s="293">
        <v>11.947622678</v>
      </c>
      <c r="CA249" s="293">
        <v>10.937669944</v>
      </c>
      <c r="CB249" s="293">
        <v>13.921963844</v>
      </c>
      <c r="CC249" s="293">
        <v>11.270642650999999</v>
      </c>
      <c r="CD249" s="293">
        <v>9.5264588870000004</v>
      </c>
      <c r="CE249" s="294">
        <v>13.936504622999999</v>
      </c>
      <c r="CF249" s="293">
        <v>11.813341575999999</v>
      </c>
      <c r="CG249" s="293">
        <v>9.23477733</v>
      </c>
      <c r="CH249" s="293">
        <v>17.873863229000001</v>
      </c>
      <c r="CI249" s="293">
        <v>9.6100636850000001</v>
      </c>
      <c r="CJ249" s="293">
        <v>9.4909907810000007</v>
      </c>
      <c r="CK249" s="293">
        <v>13.397546634999999</v>
      </c>
      <c r="CL249" s="293">
        <v>11.911543522000001</v>
      </c>
      <c r="CM249" s="293">
        <v>10.876740411</v>
      </c>
      <c r="CN249" s="293">
        <v>16.932152925</v>
      </c>
      <c r="CO249" s="293">
        <v>10.857337901999999</v>
      </c>
      <c r="CP249" s="295">
        <v>10.072632434999999</v>
      </c>
      <c r="CQ249" s="293">
        <v>17.570419360999999</v>
      </c>
      <c r="CR249" s="293">
        <v>10.701985407</v>
      </c>
      <c r="CS249" s="293">
        <v>9.9522088459999996</v>
      </c>
      <c r="CT249" s="293">
        <v>18.051411218999998</v>
      </c>
      <c r="CU249" s="293">
        <v>10.525466689</v>
      </c>
      <c r="CV249" s="293">
        <v>10.323074077999999</v>
      </c>
      <c r="CW249" s="293">
        <v>18.217569438999998</v>
      </c>
      <c r="CX249" s="293">
        <v>8.0281047579999996</v>
      </c>
      <c r="CY249" s="293">
        <v>14.898509686000001</v>
      </c>
      <c r="CZ249" s="293">
        <v>16.408704657000001</v>
      </c>
      <c r="DA249" s="293">
        <v>11.926196975</v>
      </c>
      <c r="DB249" s="1288">
        <v>10.564911716999999</v>
      </c>
      <c r="DC249" s="293"/>
      <c r="DD249" s="293"/>
      <c r="DE249" s="293"/>
      <c r="DF249" s="293"/>
      <c r="DG249" s="293"/>
      <c r="DH249" s="293"/>
      <c r="DI249" s="293"/>
      <c r="DJ249" s="293"/>
      <c r="DK249" s="293"/>
      <c r="DL249" s="293"/>
      <c r="DM249" s="293"/>
      <c r="DN249" s="295"/>
      <c r="DO249" s="293"/>
      <c r="DP249" s="293"/>
      <c r="DQ249" s="293"/>
      <c r="DR249" s="293"/>
      <c r="DS249" s="293"/>
      <c r="DT249" s="293"/>
      <c r="DU249" s="293"/>
      <c r="DV249" s="293"/>
      <c r="DW249" s="293"/>
      <c r="DX249" s="293"/>
      <c r="DY249" s="293"/>
      <c r="DZ249" s="295"/>
      <c r="EA249" s="293"/>
      <c r="EB249" s="293"/>
      <c r="EC249" s="293"/>
      <c r="ED249" s="293"/>
      <c r="EE249" s="293"/>
      <c r="EF249" s="293"/>
      <c r="EG249" s="293"/>
      <c r="EH249" s="293"/>
      <c r="EI249" s="293"/>
      <c r="EJ249" s="293"/>
      <c r="EK249" s="293"/>
      <c r="EL249" s="1340"/>
      <c r="EM249" s="1080"/>
      <c r="EN249" s="1080"/>
      <c r="EO249" s="1080"/>
      <c r="EP249" s="1080"/>
      <c r="EQ249" s="1080"/>
      <c r="ER249" s="1080"/>
      <c r="ES249" s="1080"/>
      <c r="ET249" s="1080"/>
      <c r="EU249" s="1080"/>
      <c r="EV249" s="1080"/>
      <c r="EW249" s="1080"/>
      <c r="EX249" s="1340"/>
      <c r="EY249" s="1080"/>
      <c r="EZ249" s="1080"/>
      <c r="FA249" s="1080"/>
      <c r="FB249" s="1080"/>
      <c r="FC249" s="1080"/>
      <c r="FD249" s="1080"/>
      <c r="FE249" s="1080"/>
      <c r="FF249" s="1080"/>
      <c r="FG249" s="1080"/>
      <c r="FH249" s="1080"/>
      <c r="FI249" s="1080"/>
      <c r="FJ249" s="1340"/>
      <c r="FK249" s="1080"/>
      <c r="FL249" s="1080"/>
      <c r="FM249" s="1080"/>
      <c r="FN249" s="1080"/>
      <c r="FO249" s="1080"/>
      <c r="FP249" s="1080"/>
      <c r="FQ249" s="293"/>
      <c r="FR249" s="293"/>
      <c r="FS249" s="293"/>
      <c r="FT249" s="293"/>
      <c r="FU249" s="293"/>
      <c r="FV249" s="293"/>
      <c r="FW249" s="293"/>
      <c r="FX249" s="293"/>
      <c r="FY249" s="293"/>
      <c r="FZ249" s="293"/>
      <c r="GA249" s="293"/>
      <c r="GB249" s="293"/>
      <c r="GC249" s="293"/>
      <c r="GD249" s="293"/>
      <c r="GE249" s="293"/>
      <c r="GF249" s="293"/>
      <c r="GG249" s="293"/>
      <c r="GH249" s="293"/>
      <c r="GI249" s="293"/>
      <c r="GJ249" s="293"/>
      <c r="GK249" s="293"/>
      <c r="GL249" s="293"/>
      <c r="GM249" s="293"/>
      <c r="GN249" s="293"/>
      <c r="GO249" s="293"/>
      <c r="GP249" s="293"/>
      <c r="GQ249" s="293"/>
      <c r="GR249" s="293"/>
      <c r="GS249" s="293"/>
      <c r="GT249" s="293"/>
      <c r="GU249" s="293"/>
      <c r="GV249" s="293"/>
      <c r="GW249" s="293"/>
      <c r="GX249" s="293"/>
      <c r="GY249" s="293"/>
      <c r="GZ249" s="293"/>
      <c r="HA249" s="293"/>
      <c r="HB249" s="293"/>
      <c r="HC249" s="293"/>
      <c r="HD249" s="293"/>
      <c r="HE249" s="293"/>
      <c r="HF249" s="293"/>
      <c r="HG249" s="293"/>
      <c r="HH249" s="293"/>
      <c r="HI249" s="293"/>
      <c r="HJ249" s="293"/>
      <c r="HK249" s="293"/>
      <c r="HL249" s="293"/>
      <c r="HM249" s="293"/>
      <c r="HN249" s="293"/>
      <c r="HO249" s="293"/>
      <c r="HP249" s="293"/>
      <c r="HQ249" s="293"/>
      <c r="HR249" s="293"/>
      <c r="HS249" s="293"/>
      <c r="HT249" s="293"/>
      <c r="HU249" s="293"/>
      <c r="HV249" s="293"/>
      <c r="HW249" s="293"/>
      <c r="HX249" s="293"/>
      <c r="HY249" s="293"/>
      <c r="IH249" s="279">
        <f t="shared" si="242"/>
        <v>0</v>
      </c>
      <c r="II249" s="279">
        <f t="shared" si="243"/>
        <v>0</v>
      </c>
      <c r="IJ249" s="323">
        <f t="shared" si="244"/>
        <v>0</v>
      </c>
      <c r="IK249" s="279">
        <f t="shared" si="245"/>
        <v>0</v>
      </c>
      <c r="KT249" s="280"/>
    </row>
    <row r="250" spans="1:306" hidden="1" outlineLevel="1">
      <c r="B250" s="96" t="s">
        <v>338</v>
      </c>
      <c r="D250" s="314" t="s">
        <v>439</v>
      </c>
      <c r="E250" s="293"/>
      <c r="F250" s="293"/>
      <c r="G250" s="293"/>
      <c r="H250" s="293"/>
      <c r="I250" s="293"/>
      <c r="J250" s="293"/>
      <c r="K250" s="293"/>
      <c r="L250" s="293"/>
      <c r="M250" s="293"/>
      <c r="N250" s="293"/>
      <c r="O250" s="293"/>
      <c r="P250" s="293"/>
      <c r="Q250" s="293"/>
      <c r="R250" s="293"/>
      <c r="S250" s="293"/>
      <c r="T250" s="293"/>
      <c r="U250" s="293"/>
      <c r="V250" s="293"/>
      <c r="W250" s="293"/>
      <c r="X250" s="293"/>
      <c r="Y250" s="29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c r="BN250" s="293"/>
      <c r="BO250" s="293"/>
      <c r="BP250" s="293"/>
      <c r="BQ250" s="293"/>
      <c r="BR250" s="293"/>
      <c r="BS250" s="293">
        <v>13.10341237225</v>
      </c>
      <c r="BT250" s="293">
        <v>9.335434782430001</v>
      </c>
      <c r="BU250" s="293">
        <v>6.8151908380000004</v>
      </c>
      <c r="BV250" s="293">
        <v>17.443907538000001</v>
      </c>
      <c r="BW250" s="293">
        <v>10.159151058000001</v>
      </c>
      <c r="BX250" s="293">
        <v>6.9713928459999996</v>
      </c>
      <c r="BY250" s="293">
        <v>13.47067966</v>
      </c>
      <c r="BZ250" s="293">
        <v>15.015137985000001</v>
      </c>
      <c r="CA250" s="293">
        <v>9.8163805380000007</v>
      </c>
      <c r="CB250" s="293">
        <v>15.291779931000001</v>
      </c>
      <c r="CC250" s="293">
        <v>18.609652870000001</v>
      </c>
      <c r="CD250" s="293">
        <v>11.053052539999999</v>
      </c>
      <c r="CE250" s="294">
        <v>11.973839774</v>
      </c>
      <c r="CF250" s="293">
        <v>8.460472008</v>
      </c>
      <c r="CG250" s="293">
        <v>10.756931573999999</v>
      </c>
      <c r="CH250" s="293">
        <v>15.969647987</v>
      </c>
      <c r="CI250" s="293">
        <v>9.6369806679999996</v>
      </c>
      <c r="CJ250" s="293">
        <v>7.5783808190000004</v>
      </c>
      <c r="CK250" s="293">
        <v>18.50854756</v>
      </c>
      <c r="CL250" s="293">
        <v>9.8280426120000008</v>
      </c>
      <c r="CM250" s="293">
        <v>10.716758257</v>
      </c>
      <c r="CN250" s="293">
        <v>16.706219817000001</v>
      </c>
      <c r="CO250" s="293">
        <v>15.358612858000001</v>
      </c>
      <c r="CP250" s="295">
        <v>7.0216506660000002</v>
      </c>
      <c r="CQ250" s="293">
        <v>16.388526584000001</v>
      </c>
      <c r="CR250" s="293">
        <v>13.251808939</v>
      </c>
      <c r="CS250" s="293">
        <v>14.393685036999999</v>
      </c>
      <c r="CT250" s="293">
        <v>18.078245930000001</v>
      </c>
      <c r="CU250" s="293">
        <v>13.379108058</v>
      </c>
      <c r="CV250" s="293">
        <v>24.687432243</v>
      </c>
      <c r="CW250" s="293">
        <v>23.120048399000002</v>
      </c>
      <c r="CX250" s="293">
        <v>11.707696149</v>
      </c>
      <c r="CY250" s="293">
        <v>20.064160621999999</v>
      </c>
      <c r="CZ250" s="293">
        <v>13.566068809000001</v>
      </c>
      <c r="DA250" s="293">
        <v>15.207758555</v>
      </c>
      <c r="DB250" s="1288">
        <v>6.012899032</v>
      </c>
      <c r="DC250" s="293">
        <v>15.315699127</v>
      </c>
      <c r="DD250" s="293">
        <v>19.601054483999999</v>
      </c>
      <c r="DE250" s="293">
        <v>12.228546647</v>
      </c>
      <c r="DF250" s="293">
        <v>23.176438959999999</v>
      </c>
      <c r="DG250" s="293">
        <v>11.650523166999999</v>
      </c>
      <c r="DH250" s="293">
        <v>17.726570696</v>
      </c>
      <c r="DI250" s="293">
        <v>19.911141094000001</v>
      </c>
      <c r="DJ250" s="293">
        <v>10.867269656</v>
      </c>
      <c r="DK250" s="293">
        <v>16.740908356999999</v>
      </c>
      <c r="DL250" s="293">
        <v>12.706009720999999</v>
      </c>
      <c r="DM250" s="293">
        <v>12.952371539</v>
      </c>
      <c r="DN250" s="295">
        <v>7.7448793619999998</v>
      </c>
      <c r="DO250" s="293">
        <v>19.603173823999999</v>
      </c>
      <c r="DP250" s="293">
        <v>23.254240544000002</v>
      </c>
      <c r="DQ250" s="293">
        <v>12.083861908999999</v>
      </c>
      <c r="DR250" s="293">
        <v>25.767375555000001</v>
      </c>
      <c r="DS250" s="293">
        <v>9.8346446059999995</v>
      </c>
      <c r="DT250" s="293">
        <v>8.6299415439999994</v>
      </c>
      <c r="DU250" s="293">
        <v>25.084539389</v>
      </c>
      <c r="DV250" s="293">
        <v>12.670331827</v>
      </c>
      <c r="DW250" s="293">
        <v>11.810988330000001</v>
      </c>
      <c r="DX250" s="293">
        <v>21.695334284000001</v>
      </c>
      <c r="DY250" s="293">
        <v>18.773221575000001</v>
      </c>
      <c r="DZ250" s="295">
        <v>29.944219717999999</v>
      </c>
      <c r="EA250" s="293">
        <v>29.944219717999999</v>
      </c>
      <c r="EB250" s="293">
        <v>16.777167303999999</v>
      </c>
      <c r="EC250" s="293">
        <v>20.330724265000001</v>
      </c>
      <c r="ED250" s="293">
        <v>15.904849377</v>
      </c>
      <c r="EE250" s="293">
        <v>17.680046376</v>
      </c>
      <c r="EF250" s="293">
        <v>17.112941378999999</v>
      </c>
      <c r="EG250" s="293">
        <v>15.585146095000001</v>
      </c>
      <c r="EH250" s="293">
        <v>13.420272141</v>
      </c>
      <c r="EI250" s="293">
        <v>18.415957964</v>
      </c>
      <c r="EJ250" s="293">
        <v>24.476168367</v>
      </c>
      <c r="EK250" s="293">
        <v>21.665859222000002</v>
      </c>
      <c r="EL250" s="1340">
        <v>4.9673091940000003</v>
      </c>
      <c r="EM250" s="1080">
        <v>28.141431067999999</v>
      </c>
      <c r="EN250" s="1080">
        <v>15.436150675</v>
      </c>
      <c r="EO250" s="1080">
        <v>16.633843982999998</v>
      </c>
      <c r="EP250" s="1080">
        <v>20.538649782</v>
      </c>
      <c r="EQ250" s="1080">
        <v>21.425074646999999</v>
      </c>
      <c r="ER250" s="1080">
        <v>16.093008045000001</v>
      </c>
      <c r="ES250" s="1080">
        <v>20.661565843000002</v>
      </c>
      <c r="ET250" s="1080">
        <v>13.080870481</v>
      </c>
      <c r="EU250" s="1080">
        <v>23.831020044999999</v>
      </c>
      <c r="EV250" s="1080">
        <v>19.384197674999999</v>
      </c>
      <c r="EW250" s="1080">
        <v>24.3705575</v>
      </c>
      <c r="EX250" s="1340">
        <v>10.255814616</v>
      </c>
      <c r="EY250" s="1080"/>
      <c r="EZ250" s="1080"/>
      <c r="FA250" s="1080"/>
      <c r="FB250" s="1080"/>
      <c r="FC250" s="1080"/>
      <c r="FD250" s="1080"/>
      <c r="FE250" s="1080"/>
      <c r="FF250" s="1080"/>
      <c r="FG250" s="1080"/>
      <c r="FH250" s="1080"/>
      <c r="FI250" s="1080"/>
      <c r="FJ250" s="1340"/>
      <c r="FK250" s="1080"/>
      <c r="FL250" s="1080"/>
      <c r="FM250" s="1080"/>
      <c r="FN250" s="1080"/>
      <c r="FO250" s="1080"/>
      <c r="FP250" s="1080"/>
      <c r="FQ250" s="293"/>
      <c r="FR250" s="293"/>
      <c r="FS250" s="293"/>
      <c r="FT250" s="293"/>
      <c r="FU250" s="293"/>
      <c r="FV250" s="293"/>
      <c r="FW250" s="293"/>
      <c r="FX250" s="293"/>
      <c r="FY250" s="293"/>
      <c r="FZ250" s="293"/>
      <c r="GA250" s="293"/>
      <c r="GB250" s="293"/>
      <c r="GC250" s="293"/>
      <c r="GD250" s="293"/>
      <c r="GE250" s="293"/>
      <c r="GF250" s="293"/>
      <c r="GG250" s="293"/>
      <c r="GH250" s="293"/>
      <c r="GI250" s="293"/>
      <c r="GJ250" s="293"/>
      <c r="GK250" s="293"/>
      <c r="GL250" s="293"/>
      <c r="GM250" s="293"/>
      <c r="GN250" s="293"/>
      <c r="GO250" s="293"/>
      <c r="GP250" s="293"/>
      <c r="GQ250" s="293"/>
      <c r="GR250" s="293"/>
      <c r="GS250" s="293"/>
      <c r="GT250" s="293"/>
      <c r="GU250" s="293"/>
      <c r="GV250" s="293"/>
      <c r="GW250" s="293"/>
      <c r="GX250" s="293"/>
      <c r="GY250" s="293"/>
      <c r="GZ250" s="293"/>
      <c r="HA250" s="293"/>
      <c r="HB250" s="293"/>
      <c r="HC250" s="293"/>
      <c r="HD250" s="293"/>
      <c r="HE250" s="293"/>
      <c r="HF250" s="293"/>
      <c r="HG250" s="293"/>
      <c r="HH250" s="293"/>
      <c r="HI250" s="293"/>
      <c r="HJ250" s="293"/>
      <c r="HK250" s="293"/>
      <c r="HL250" s="293"/>
      <c r="HM250" s="293"/>
      <c r="HN250" s="293"/>
      <c r="HO250" s="293"/>
      <c r="HP250" s="293"/>
      <c r="HQ250" s="293"/>
      <c r="HR250" s="293"/>
      <c r="HS250" s="293"/>
      <c r="HT250" s="293"/>
      <c r="HU250" s="293"/>
      <c r="HV250" s="293"/>
      <c r="HW250" s="293"/>
      <c r="HX250" s="293"/>
      <c r="HY250" s="293"/>
      <c r="IH250" s="279">
        <f t="shared" si="242"/>
        <v>99.698833081000004</v>
      </c>
      <c r="II250" s="279">
        <f t="shared" si="243"/>
        <v>80.922579729000006</v>
      </c>
      <c r="IJ250" s="323">
        <f t="shared" si="244"/>
        <v>180.62141281000001</v>
      </c>
      <c r="IK250" s="279">
        <f t="shared" si="245"/>
        <v>99.173237982000003</v>
      </c>
      <c r="KT250" s="280"/>
    </row>
    <row r="251" spans="1:306" hidden="1" outlineLevel="1">
      <c r="B251" s="96" t="s">
        <v>338</v>
      </c>
      <c r="D251" s="315" t="s">
        <v>437</v>
      </c>
      <c r="E251" s="293"/>
      <c r="F251" s="293"/>
      <c r="G251" s="293"/>
      <c r="H251" s="293"/>
      <c r="I251" s="293"/>
      <c r="J251" s="293"/>
      <c r="K251" s="293"/>
      <c r="L251" s="293"/>
      <c r="M251" s="293"/>
      <c r="N251" s="293"/>
      <c r="O251" s="293"/>
      <c r="P251" s="293"/>
      <c r="Q251" s="293"/>
      <c r="R251" s="293"/>
      <c r="S251" s="293"/>
      <c r="T251" s="293"/>
      <c r="U251" s="293"/>
      <c r="V251" s="293"/>
      <c r="W251" s="293"/>
      <c r="X251" s="293"/>
      <c r="Y251" s="29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c r="BN251" s="293"/>
      <c r="BO251" s="293"/>
      <c r="BP251" s="293"/>
      <c r="BQ251" s="293"/>
      <c r="BR251" s="293"/>
      <c r="BS251" s="293">
        <v>1.52128317</v>
      </c>
      <c r="BT251" s="293">
        <v>1.415431407</v>
      </c>
      <c r="BU251" s="293">
        <v>0.91367280699999998</v>
      </c>
      <c r="BV251" s="293">
        <v>1.3909890970000001</v>
      </c>
      <c r="BW251" s="293">
        <v>0.87510691699999998</v>
      </c>
      <c r="BX251" s="293">
        <v>0.44594154699999999</v>
      </c>
      <c r="BY251" s="293">
        <v>1.3301121250000001</v>
      </c>
      <c r="BZ251" s="293">
        <v>0.89124587300000002</v>
      </c>
      <c r="CA251" s="293">
        <v>0.93439076600000004</v>
      </c>
      <c r="CB251" s="293">
        <v>1.0890192030000001</v>
      </c>
      <c r="CC251" s="293">
        <v>2.4920448130000001</v>
      </c>
      <c r="CD251" s="293">
        <v>0.166942905</v>
      </c>
      <c r="CE251" s="294">
        <v>1.3016823289999999</v>
      </c>
      <c r="CF251" s="293">
        <v>1.247854402</v>
      </c>
      <c r="CG251" s="293">
        <v>1.8608826409999999</v>
      </c>
      <c r="CH251" s="293">
        <v>1.399141365</v>
      </c>
      <c r="CI251" s="293">
        <v>0.98476855200000002</v>
      </c>
      <c r="CJ251" s="293">
        <v>0.80950324200000001</v>
      </c>
      <c r="CK251" s="293">
        <v>1.617615142</v>
      </c>
      <c r="CL251" s="293">
        <v>0.93723900299999996</v>
      </c>
      <c r="CM251" s="293">
        <v>0.79194314200000004</v>
      </c>
      <c r="CN251" s="293">
        <v>1.6587439770000001</v>
      </c>
      <c r="CO251" s="293">
        <v>0.904222419</v>
      </c>
      <c r="CP251" s="295">
        <v>0.13500000000000001</v>
      </c>
      <c r="CQ251" s="293">
        <v>1.8780744140000001</v>
      </c>
      <c r="CR251" s="293">
        <v>1.3715944419999999</v>
      </c>
      <c r="CS251" s="293">
        <v>1.4458685449999999</v>
      </c>
      <c r="CT251" s="293">
        <v>1.599996121</v>
      </c>
      <c r="CU251" s="293">
        <v>1.636220561</v>
      </c>
      <c r="CV251" s="293">
        <v>1.400044104</v>
      </c>
      <c r="CW251" s="293">
        <v>1.54686506</v>
      </c>
      <c r="CX251" s="293">
        <v>1.4851369430000001</v>
      </c>
      <c r="CY251" s="293">
        <v>1.5561899619999999</v>
      </c>
      <c r="CZ251" s="293">
        <v>1.306972875</v>
      </c>
      <c r="DA251" s="293">
        <v>3.0039064639999999</v>
      </c>
      <c r="DB251" s="1288">
        <v>0.65531390199999995</v>
      </c>
      <c r="DC251" s="293"/>
      <c r="DD251" s="293"/>
      <c r="DE251" s="293"/>
      <c r="DF251" s="293"/>
      <c r="DG251" s="293"/>
      <c r="DH251" s="293"/>
      <c r="DI251" s="293"/>
      <c r="DJ251" s="293"/>
      <c r="DK251" s="293"/>
      <c r="DL251" s="293"/>
      <c r="DM251" s="293"/>
      <c r="DN251" s="295"/>
      <c r="DO251" s="293"/>
      <c r="DP251" s="293"/>
      <c r="DQ251" s="293"/>
      <c r="DR251" s="293"/>
      <c r="DS251" s="293"/>
      <c r="DT251" s="293"/>
      <c r="DU251" s="293"/>
      <c r="DV251" s="293"/>
      <c r="DW251" s="293"/>
      <c r="DX251" s="293"/>
      <c r="DY251" s="293"/>
      <c r="DZ251" s="295"/>
      <c r="EA251" s="293"/>
      <c r="EB251" s="293"/>
      <c r="EC251" s="293"/>
      <c r="ED251" s="293"/>
      <c r="EE251" s="293"/>
      <c r="EF251" s="293"/>
      <c r="EG251" s="293"/>
      <c r="EH251" s="293"/>
      <c r="EI251" s="293"/>
      <c r="EJ251" s="293"/>
      <c r="EK251" s="293"/>
      <c r="EL251" s="1340"/>
      <c r="EM251" s="1080"/>
      <c r="EN251" s="1080"/>
      <c r="EO251" s="1080"/>
      <c r="EP251" s="1080"/>
      <c r="EQ251" s="1080"/>
      <c r="ER251" s="1080"/>
      <c r="ES251" s="1080"/>
      <c r="ET251" s="1080"/>
      <c r="EU251" s="1080"/>
      <c r="EV251" s="1080"/>
      <c r="EW251" s="1080"/>
      <c r="EX251" s="1340"/>
      <c r="EY251" s="1080"/>
      <c r="EZ251" s="1080"/>
      <c r="FA251" s="1080"/>
      <c r="FB251" s="1080"/>
      <c r="FC251" s="1080"/>
      <c r="FD251" s="1080"/>
      <c r="FE251" s="1080"/>
      <c r="FF251" s="1080"/>
      <c r="FG251" s="1080"/>
      <c r="FH251" s="1080"/>
      <c r="FI251" s="1080"/>
      <c r="FJ251" s="1340"/>
      <c r="FK251" s="1080"/>
      <c r="FL251" s="1080"/>
      <c r="FM251" s="1080"/>
      <c r="FN251" s="1080"/>
      <c r="FO251" s="1080"/>
      <c r="FP251" s="1080"/>
      <c r="FQ251" s="293"/>
      <c r="FR251" s="293"/>
      <c r="FS251" s="293"/>
      <c r="FT251" s="293"/>
      <c r="FU251" s="293"/>
      <c r="FV251" s="293"/>
      <c r="FW251" s="293"/>
      <c r="FX251" s="293"/>
      <c r="FY251" s="293"/>
      <c r="FZ251" s="293"/>
      <c r="GA251" s="293"/>
      <c r="GB251" s="293"/>
      <c r="GC251" s="293"/>
      <c r="GD251" s="293"/>
      <c r="GE251" s="293"/>
      <c r="GF251" s="293"/>
      <c r="GG251" s="293"/>
      <c r="GH251" s="293"/>
      <c r="GI251" s="293"/>
      <c r="GJ251" s="293"/>
      <c r="GK251" s="293"/>
      <c r="GL251" s="293"/>
      <c r="GM251" s="293"/>
      <c r="GN251" s="293"/>
      <c r="GO251" s="293"/>
      <c r="GP251" s="293"/>
      <c r="GQ251" s="293"/>
      <c r="GR251" s="293"/>
      <c r="GS251" s="293"/>
      <c r="GT251" s="293"/>
      <c r="GU251" s="293"/>
      <c r="GV251" s="293"/>
      <c r="GW251" s="293"/>
      <c r="GX251" s="293"/>
      <c r="GY251" s="293"/>
      <c r="GZ251" s="293"/>
      <c r="HA251" s="293"/>
      <c r="HB251" s="293"/>
      <c r="HC251" s="293"/>
      <c r="HD251" s="293"/>
      <c r="HE251" s="293"/>
      <c r="HF251" s="293"/>
      <c r="HG251" s="293"/>
      <c r="HH251" s="293"/>
      <c r="HI251" s="293"/>
      <c r="HJ251" s="293"/>
      <c r="HK251" s="293"/>
      <c r="HL251" s="293"/>
      <c r="HM251" s="293"/>
      <c r="HN251" s="293"/>
      <c r="HO251" s="293"/>
      <c r="HP251" s="293"/>
      <c r="HQ251" s="293"/>
      <c r="HR251" s="293"/>
      <c r="HS251" s="293"/>
      <c r="HT251" s="293"/>
      <c r="HU251" s="293"/>
      <c r="HV251" s="293"/>
      <c r="HW251" s="293"/>
      <c r="HX251" s="293"/>
      <c r="HY251" s="293"/>
      <c r="IH251" s="279">
        <f t="shared" si="242"/>
        <v>0</v>
      </c>
      <c r="II251" s="279">
        <f t="shared" si="243"/>
        <v>0</v>
      </c>
      <c r="IJ251" s="323">
        <f t="shared" si="244"/>
        <v>0</v>
      </c>
      <c r="IK251" s="279">
        <f t="shared" si="245"/>
        <v>0</v>
      </c>
      <c r="KT251" s="280"/>
    </row>
    <row r="252" spans="1:306" hidden="1" outlineLevel="1">
      <c r="B252" s="96" t="s">
        <v>338</v>
      </c>
      <c r="D252" s="315" t="s">
        <v>438</v>
      </c>
      <c r="E252" s="293"/>
      <c r="F252" s="293"/>
      <c r="G252" s="293"/>
      <c r="H252" s="293"/>
      <c r="I252" s="293"/>
      <c r="J252" s="293"/>
      <c r="K252" s="293"/>
      <c r="L252" s="293"/>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c r="BN252" s="293"/>
      <c r="BO252" s="293"/>
      <c r="BP252" s="293"/>
      <c r="BQ252" s="293"/>
      <c r="BR252" s="293"/>
      <c r="BS252" s="293">
        <v>11.58212920225</v>
      </c>
      <c r="BT252" s="293">
        <v>7.9200033754300003</v>
      </c>
      <c r="BU252" s="293">
        <v>5.9015180310000002</v>
      </c>
      <c r="BV252" s="293">
        <v>16.052918440999999</v>
      </c>
      <c r="BW252" s="293">
        <v>9.2840441410000007</v>
      </c>
      <c r="BX252" s="293">
        <v>6.5254512990000002</v>
      </c>
      <c r="BY252" s="293">
        <v>12.140567535000001</v>
      </c>
      <c r="BZ252" s="293">
        <v>14.123892112</v>
      </c>
      <c r="CA252" s="293">
        <v>8.8819897720000007</v>
      </c>
      <c r="CB252" s="293">
        <v>14.202760727999999</v>
      </c>
      <c r="CC252" s="293">
        <v>16.117608057000002</v>
      </c>
      <c r="CD252" s="293">
        <v>10.886109635</v>
      </c>
      <c r="CE252" s="294">
        <v>10.672157445</v>
      </c>
      <c r="CF252" s="293">
        <v>7.2126176060000002</v>
      </c>
      <c r="CG252" s="293">
        <v>8.8960489329999994</v>
      </c>
      <c r="CH252" s="293">
        <v>14.570506622</v>
      </c>
      <c r="CI252" s="293">
        <v>8.6522121159999994</v>
      </c>
      <c r="CJ252" s="293">
        <v>6.7688775769999996</v>
      </c>
      <c r="CK252" s="293">
        <v>16.890932417999998</v>
      </c>
      <c r="CL252" s="293">
        <v>8.8908036090000007</v>
      </c>
      <c r="CM252" s="293">
        <v>9.9248151149999995</v>
      </c>
      <c r="CN252" s="293">
        <v>15.047475840000001</v>
      </c>
      <c r="CO252" s="293">
        <v>14.454390439000001</v>
      </c>
      <c r="CP252" s="295">
        <v>6.8866506660000004</v>
      </c>
      <c r="CQ252" s="293">
        <v>14.510452170000001</v>
      </c>
      <c r="CR252" s="293">
        <v>11.880214497000001</v>
      </c>
      <c r="CS252" s="293">
        <v>12.947816491999999</v>
      </c>
      <c r="CT252" s="293">
        <v>16.478249809000001</v>
      </c>
      <c r="CU252" s="293">
        <v>11.742887497</v>
      </c>
      <c r="CV252" s="293">
        <v>23.287388139000001</v>
      </c>
      <c r="CW252" s="293">
        <v>21.573183339</v>
      </c>
      <c r="CX252" s="293">
        <v>10.222559206</v>
      </c>
      <c r="CY252" s="293">
        <v>18.507970660000002</v>
      </c>
      <c r="CZ252" s="293">
        <v>12.259095933999999</v>
      </c>
      <c r="DA252" s="293">
        <v>12.203852091</v>
      </c>
      <c r="DB252" s="1288">
        <v>5.3575851300000004</v>
      </c>
      <c r="DC252" s="293"/>
      <c r="DD252" s="293"/>
      <c r="DE252" s="293"/>
      <c r="DF252" s="293"/>
      <c r="DG252" s="293"/>
      <c r="DH252" s="293"/>
      <c r="DI252" s="293"/>
      <c r="DJ252" s="293"/>
      <c r="DK252" s="293"/>
      <c r="DL252" s="293"/>
      <c r="DM252" s="293"/>
      <c r="DN252" s="295"/>
      <c r="DO252" s="293"/>
      <c r="DP252" s="293"/>
      <c r="DQ252" s="293"/>
      <c r="DR252" s="293"/>
      <c r="DS252" s="293"/>
      <c r="DT252" s="293"/>
      <c r="DU252" s="293"/>
      <c r="DV252" s="293"/>
      <c r="DW252" s="293"/>
      <c r="DX252" s="293"/>
      <c r="DY252" s="293"/>
      <c r="DZ252" s="295"/>
      <c r="EA252" s="293"/>
      <c r="EB252" s="293"/>
      <c r="EC252" s="293"/>
      <c r="ED252" s="293"/>
      <c r="EE252" s="293"/>
      <c r="EF252" s="293"/>
      <c r="EG252" s="293"/>
      <c r="EH252" s="293"/>
      <c r="EI252" s="293"/>
      <c r="EJ252" s="293"/>
      <c r="EK252" s="293"/>
      <c r="EL252" s="1340"/>
      <c r="EM252" s="1080"/>
      <c r="EN252" s="1080"/>
      <c r="EO252" s="1080"/>
      <c r="EP252" s="1080"/>
      <c r="EQ252" s="1080"/>
      <c r="ER252" s="1080"/>
      <c r="ES252" s="1080"/>
      <c r="ET252" s="1080"/>
      <c r="EU252" s="1080"/>
      <c r="EV252" s="1080"/>
      <c r="EW252" s="1080"/>
      <c r="EX252" s="1340"/>
      <c r="EY252" s="1080"/>
      <c r="EZ252" s="1080"/>
      <c r="FA252" s="1080"/>
      <c r="FB252" s="1080"/>
      <c r="FC252" s="1080"/>
      <c r="FD252" s="1080"/>
      <c r="FE252" s="1080"/>
      <c r="FF252" s="1080"/>
      <c r="FG252" s="1080"/>
      <c r="FH252" s="1080"/>
      <c r="FI252" s="1080"/>
      <c r="FJ252" s="1340"/>
      <c r="FK252" s="1080"/>
      <c r="FL252" s="1080"/>
      <c r="FM252" s="1080"/>
      <c r="FN252" s="1080"/>
      <c r="FO252" s="1080"/>
      <c r="FP252" s="1080"/>
      <c r="FQ252" s="293"/>
      <c r="FR252" s="293"/>
      <c r="FS252" s="293"/>
      <c r="FT252" s="293"/>
      <c r="FU252" s="293"/>
      <c r="FV252" s="293"/>
      <c r="FW252" s="293"/>
      <c r="FX252" s="293"/>
      <c r="FY252" s="293"/>
      <c r="FZ252" s="293"/>
      <c r="GA252" s="293"/>
      <c r="GB252" s="293"/>
      <c r="GC252" s="293"/>
      <c r="GD252" s="293"/>
      <c r="GE252" s="293"/>
      <c r="GF252" s="293"/>
      <c r="GG252" s="293"/>
      <c r="GH252" s="293"/>
      <c r="GI252" s="293"/>
      <c r="GJ252" s="293"/>
      <c r="GK252" s="293"/>
      <c r="GL252" s="293"/>
      <c r="GM252" s="293"/>
      <c r="GN252" s="293"/>
      <c r="GO252" s="293"/>
      <c r="GP252" s="293"/>
      <c r="GQ252" s="293"/>
      <c r="GR252" s="293"/>
      <c r="GS252" s="293"/>
      <c r="GT252" s="293"/>
      <c r="GU252" s="293"/>
      <c r="GV252" s="293"/>
      <c r="GW252" s="293"/>
      <c r="GX252" s="293"/>
      <c r="GY252" s="293"/>
      <c r="GZ252" s="293"/>
      <c r="HA252" s="293"/>
      <c r="HB252" s="293"/>
      <c r="HC252" s="293"/>
      <c r="HD252" s="293"/>
      <c r="HE252" s="293"/>
      <c r="HF252" s="293"/>
      <c r="HG252" s="293"/>
      <c r="HH252" s="293"/>
      <c r="HI252" s="293"/>
      <c r="HJ252" s="293"/>
      <c r="HK252" s="293"/>
      <c r="HL252" s="293"/>
      <c r="HM252" s="293"/>
      <c r="HN252" s="293"/>
      <c r="HO252" s="293"/>
      <c r="HP252" s="293"/>
      <c r="HQ252" s="293"/>
      <c r="HR252" s="293"/>
      <c r="HS252" s="293"/>
      <c r="HT252" s="293"/>
      <c r="HU252" s="293"/>
      <c r="HV252" s="293"/>
      <c r="HW252" s="293"/>
      <c r="HX252" s="293"/>
      <c r="HY252" s="293"/>
      <c r="IH252" s="279">
        <f t="shared" si="242"/>
        <v>0</v>
      </c>
      <c r="II252" s="279">
        <f t="shared" si="243"/>
        <v>0</v>
      </c>
      <c r="IJ252" s="323">
        <f t="shared" si="244"/>
        <v>0</v>
      </c>
      <c r="IK252" s="279">
        <f t="shared" si="245"/>
        <v>0</v>
      </c>
      <c r="KT252" s="280"/>
    </row>
    <row r="253" spans="1:306" hidden="1" outlineLevel="1">
      <c r="B253" s="96" t="s">
        <v>338</v>
      </c>
      <c r="D253" s="314" t="s">
        <v>82</v>
      </c>
      <c r="E253" s="293"/>
      <c r="F253" s="293"/>
      <c r="G253" s="293"/>
      <c r="H253" s="293"/>
      <c r="I253" s="293"/>
      <c r="J253" s="293"/>
      <c r="K253" s="293"/>
      <c r="L253" s="293"/>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c r="BN253" s="293"/>
      <c r="BO253" s="293"/>
      <c r="BP253" s="293"/>
      <c r="BQ253" s="293"/>
      <c r="BR253" s="293"/>
      <c r="BS253" s="293">
        <v>28.108112689999999</v>
      </c>
      <c r="BT253" s="293">
        <v>21.829118519000001</v>
      </c>
      <c r="BU253" s="293">
        <v>13.248228184</v>
      </c>
      <c r="BV253" s="293">
        <v>33.816107766000002</v>
      </c>
      <c r="BW253" s="293">
        <v>22.982548066</v>
      </c>
      <c r="BX253" s="293">
        <v>12.194446618000001</v>
      </c>
      <c r="BY253" s="293">
        <v>23.322773112</v>
      </c>
      <c r="BZ253" s="293">
        <v>23.478185815</v>
      </c>
      <c r="CA253" s="293">
        <v>12.794870319999999</v>
      </c>
      <c r="CB253" s="293">
        <v>35.783130337000003</v>
      </c>
      <c r="CC253" s="293">
        <v>19.252583978000001</v>
      </c>
      <c r="CD253" s="293">
        <v>7.857864578</v>
      </c>
      <c r="CE253" s="294">
        <v>31.192567466</v>
      </c>
      <c r="CF253" s="293">
        <v>28.036041021999999</v>
      </c>
      <c r="CG253" s="293">
        <v>19.255505343999999</v>
      </c>
      <c r="CH253" s="293">
        <v>41.869910961000002</v>
      </c>
      <c r="CI253" s="293">
        <v>18.912014732999999</v>
      </c>
      <c r="CJ253" s="293">
        <v>11.869387855999999</v>
      </c>
      <c r="CK253" s="293">
        <v>32.160711262</v>
      </c>
      <c r="CL253" s="293">
        <v>19.504065296</v>
      </c>
      <c r="CM253" s="293">
        <v>18.083639073000001</v>
      </c>
      <c r="CN253" s="293">
        <v>20.865577895000001</v>
      </c>
      <c r="CO253" s="293">
        <v>30.707759768999999</v>
      </c>
      <c r="CP253" s="295">
        <v>14.319031366999999</v>
      </c>
      <c r="CQ253" s="293">
        <v>34.06160981</v>
      </c>
      <c r="CR253" s="293">
        <v>22.177663803000002</v>
      </c>
      <c r="CS253" s="293">
        <v>20.930272569</v>
      </c>
      <c r="CT253" s="293">
        <v>30.547470727</v>
      </c>
      <c r="CU253" s="293">
        <v>17.438616502999999</v>
      </c>
      <c r="CV253" s="293">
        <v>15.206777966000001</v>
      </c>
      <c r="CW253" s="293">
        <v>26.679335974000001</v>
      </c>
      <c r="CX253" s="293">
        <v>15.634970797999999</v>
      </c>
      <c r="CY253" s="293">
        <v>18.597033776</v>
      </c>
      <c r="CZ253" s="293">
        <v>26.65231503</v>
      </c>
      <c r="DA253" s="293">
        <v>26.733774095000001</v>
      </c>
      <c r="DB253" s="1288">
        <v>10.103397703000001</v>
      </c>
      <c r="DC253" s="293">
        <v>25.718023719000001</v>
      </c>
      <c r="DD253" s="293">
        <v>16.165961749000001</v>
      </c>
      <c r="DE253" s="293">
        <v>15.307859504</v>
      </c>
      <c r="DF253" s="293">
        <v>34.763280277</v>
      </c>
      <c r="DG253" s="293">
        <v>23.837612493999998</v>
      </c>
      <c r="DH253" s="293">
        <v>23.542947236</v>
      </c>
      <c r="DI253" s="293">
        <v>26.392081162</v>
      </c>
      <c r="DJ253" s="293">
        <v>15.882600845000001</v>
      </c>
      <c r="DK253" s="293">
        <v>17.849957912000001</v>
      </c>
      <c r="DL253" s="293">
        <v>30.886333393000001</v>
      </c>
      <c r="DM253" s="293">
        <v>16.17055156</v>
      </c>
      <c r="DN253" s="295">
        <v>11.200376692000001</v>
      </c>
      <c r="DO253" s="293">
        <v>22.578083913</v>
      </c>
      <c r="DP253" s="293">
        <v>25.587696403999999</v>
      </c>
      <c r="DQ253" s="293">
        <v>21.150487600000002</v>
      </c>
      <c r="DR253" s="293">
        <v>36.414638408999998</v>
      </c>
      <c r="DS253" s="293">
        <v>22.331639522</v>
      </c>
      <c r="DT253" s="293">
        <v>17.565738026999998</v>
      </c>
      <c r="DU253" s="293">
        <v>39.206336948999997</v>
      </c>
      <c r="DV253" s="293">
        <v>20.67511287</v>
      </c>
      <c r="DW253" s="293">
        <v>12.769029507999999</v>
      </c>
      <c r="DX253" s="293">
        <v>45.253026210999998</v>
      </c>
      <c r="DY253" s="293">
        <v>21.505546471999999</v>
      </c>
      <c r="DZ253" s="295">
        <v>27.978200163</v>
      </c>
      <c r="EA253" s="293">
        <v>27.978200163</v>
      </c>
      <c r="EB253" s="293">
        <v>29.141433498000001</v>
      </c>
      <c r="EC253" s="293">
        <v>26.260948547999998</v>
      </c>
      <c r="ED253" s="293">
        <v>28.120349814000001</v>
      </c>
      <c r="EE253" s="293">
        <v>30.261083850999999</v>
      </c>
      <c r="EF253" s="293">
        <v>27.391822125000001</v>
      </c>
      <c r="EG253" s="293">
        <v>22.794279230000001</v>
      </c>
      <c r="EH253" s="293">
        <v>29.902798384</v>
      </c>
      <c r="EI253" s="293">
        <v>29.244449166999999</v>
      </c>
      <c r="EJ253" s="293">
        <v>21.354180243999998</v>
      </c>
      <c r="EK253" s="293">
        <v>32.483761174999998</v>
      </c>
      <c r="EL253" s="1340">
        <v>24.381465667000001</v>
      </c>
      <c r="EM253" s="1080">
        <v>17.915629078999999</v>
      </c>
      <c r="EN253" s="1080">
        <v>32.550917914000003</v>
      </c>
      <c r="EO253" s="1080">
        <v>26.649629336</v>
      </c>
      <c r="EP253" s="1080">
        <v>39.099893715</v>
      </c>
      <c r="EQ253" s="1080">
        <v>45.470855860999997</v>
      </c>
      <c r="ER253" s="1080">
        <v>26.581601663000001</v>
      </c>
      <c r="ES253" s="1080">
        <v>18.516460883000001</v>
      </c>
      <c r="ET253" s="1080">
        <v>18.951537310999999</v>
      </c>
      <c r="EU253" s="1080">
        <v>26.290257534999999</v>
      </c>
      <c r="EV253" s="1080">
        <v>30.427009459000001</v>
      </c>
      <c r="EW253" s="1080">
        <v>16.766017014999999</v>
      </c>
      <c r="EX253" s="1340">
        <v>19.043325953</v>
      </c>
      <c r="EY253" s="1080"/>
      <c r="EZ253" s="1080"/>
      <c r="FA253" s="1080"/>
      <c r="FB253" s="1080"/>
      <c r="FC253" s="1080"/>
      <c r="FD253" s="1080"/>
      <c r="FE253" s="1080"/>
      <c r="FF253" s="1080"/>
      <c r="FG253" s="1080"/>
      <c r="FH253" s="1080"/>
      <c r="FI253" s="1080"/>
      <c r="FJ253" s="1340"/>
      <c r="FK253" s="1080"/>
      <c r="FL253" s="1080"/>
      <c r="FM253" s="1080"/>
      <c r="FN253" s="1080"/>
      <c r="FO253" s="1080"/>
      <c r="FP253" s="1080"/>
      <c r="FQ253" s="293"/>
      <c r="FR253" s="293"/>
      <c r="FS253" s="293"/>
      <c r="FT253" s="293"/>
      <c r="FU253" s="293"/>
      <c r="FV253" s="293"/>
      <c r="FW253" s="293"/>
      <c r="FX253" s="293"/>
      <c r="FY253" s="293"/>
      <c r="FZ253" s="293"/>
      <c r="GA253" s="293"/>
      <c r="GB253" s="293"/>
      <c r="GC253" s="293"/>
      <c r="GD253" s="293"/>
      <c r="GE253" s="293"/>
      <c r="GF253" s="293"/>
      <c r="GG253" s="293"/>
      <c r="GH253" s="293"/>
      <c r="GI253" s="293"/>
      <c r="GJ253" s="293"/>
      <c r="GK253" s="293"/>
      <c r="GL253" s="293"/>
      <c r="GM253" s="293"/>
      <c r="GN253" s="293"/>
      <c r="GO253" s="293"/>
      <c r="GP253" s="293"/>
      <c r="GQ253" s="293"/>
      <c r="GR253" s="293"/>
      <c r="GS253" s="293"/>
      <c r="GT253" s="293"/>
      <c r="GU253" s="293"/>
      <c r="GV253" s="293"/>
      <c r="GW253" s="293"/>
      <c r="GX253" s="293"/>
      <c r="GY253" s="293"/>
      <c r="GZ253" s="293"/>
      <c r="HA253" s="293"/>
      <c r="HB253" s="293"/>
      <c r="HC253" s="293"/>
      <c r="HD253" s="293"/>
      <c r="HE253" s="293"/>
      <c r="HF253" s="293"/>
      <c r="HG253" s="293"/>
      <c r="HH253" s="293"/>
      <c r="HI253" s="293"/>
      <c r="HJ253" s="293"/>
      <c r="HK253" s="293"/>
      <c r="HL253" s="293"/>
      <c r="HM253" s="293"/>
      <c r="HN253" s="293"/>
      <c r="HO253" s="293"/>
      <c r="HP253" s="293"/>
      <c r="HQ253" s="293"/>
      <c r="HR253" s="293"/>
      <c r="HS253" s="293"/>
      <c r="HT253" s="293"/>
      <c r="HU253" s="293"/>
      <c r="HV253" s="293"/>
      <c r="HW253" s="293"/>
      <c r="HX253" s="293"/>
      <c r="HY253" s="293"/>
      <c r="IH253" s="279">
        <f t="shared" si="242"/>
        <v>139.33568497900001</v>
      </c>
      <c r="II253" s="279">
        <f t="shared" si="243"/>
        <v>118.38190156400002</v>
      </c>
      <c r="IJ253" s="323">
        <f t="shared" si="244"/>
        <v>257.71758654300004</v>
      </c>
      <c r="IK253" s="279">
        <f t="shared" si="245"/>
        <v>145.62828387499999</v>
      </c>
      <c r="KT253" s="280"/>
    </row>
    <row r="254" spans="1:306" hidden="1" outlineLevel="1">
      <c r="B254" s="96" t="s">
        <v>338</v>
      </c>
      <c r="D254" s="314" t="s">
        <v>440</v>
      </c>
      <c r="E254" s="293"/>
      <c r="F254" s="293"/>
      <c r="G254" s="293"/>
      <c r="H254" s="293"/>
      <c r="I254" s="293"/>
      <c r="J254" s="293"/>
      <c r="K254" s="293"/>
      <c r="L254" s="293"/>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c r="BN254" s="293"/>
      <c r="BO254" s="293"/>
      <c r="BP254" s="293"/>
      <c r="BQ254" s="293"/>
      <c r="BR254" s="293"/>
      <c r="BS254" s="293">
        <v>4.5234391010000001</v>
      </c>
      <c r="BT254" s="293">
        <v>7.8403370309999998</v>
      </c>
      <c r="BU254" s="293">
        <v>5.3986782460000002</v>
      </c>
      <c r="BV254" s="293">
        <v>8.6363335610000007</v>
      </c>
      <c r="BW254" s="293">
        <v>4.9076517710000003</v>
      </c>
      <c r="BX254" s="293">
        <v>5.7710280459999996</v>
      </c>
      <c r="BY254" s="293">
        <v>9.7754765859999999</v>
      </c>
      <c r="BZ254" s="293">
        <v>6.4653720200000002</v>
      </c>
      <c r="CA254" s="293">
        <v>4.8472462360000002</v>
      </c>
      <c r="CB254" s="293">
        <v>9.7985406420000007</v>
      </c>
      <c r="CC254" s="293">
        <v>10.398180063</v>
      </c>
      <c r="CD254" s="293">
        <v>2.0217900750000002</v>
      </c>
      <c r="CE254" s="294">
        <v>4.1218678119999996</v>
      </c>
      <c r="CF254" s="293">
        <v>3.0527925360000001</v>
      </c>
      <c r="CG254" s="293">
        <v>4.3797581149999996</v>
      </c>
      <c r="CH254" s="293">
        <v>8.201250924</v>
      </c>
      <c r="CI254" s="293">
        <v>4.6632914940000001</v>
      </c>
      <c r="CJ254" s="293">
        <v>9.5954992279999995</v>
      </c>
      <c r="CK254" s="293">
        <v>19.788627708</v>
      </c>
      <c r="CL254" s="293">
        <v>9.3291781070000006</v>
      </c>
      <c r="CM254" s="293">
        <v>3.9728699330000001</v>
      </c>
      <c r="CN254" s="293">
        <v>36.040940083999999</v>
      </c>
      <c r="CO254" s="293">
        <v>10.388191089999999</v>
      </c>
      <c r="CP254" s="295">
        <v>5.5742181420000003</v>
      </c>
      <c r="CQ254" s="293">
        <v>8.1239777909999997</v>
      </c>
      <c r="CR254" s="293">
        <v>8.1626322439999992</v>
      </c>
      <c r="CS254" s="293">
        <v>17.633937930999998</v>
      </c>
      <c r="CT254" s="293">
        <v>4.3200615000000004</v>
      </c>
      <c r="CU254" s="293">
        <v>13.312885845</v>
      </c>
      <c r="CV254" s="293">
        <v>10.796285337</v>
      </c>
      <c r="CW254" s="293">
        <v>6.00273915</v>
      </c>
      <c r="CX254" s="293">
        <v>16.521865980000001</v>
      </c>
      <c r="CY254" s="293">
        <v>26.299949222999999</v>
      </c>
      <c r="CZ254" s="293">
        <v>28.379187033000001</v>
      </c>
      <c r="DA254" s="293">
        <v>18.037174863000001</v>
      </c>
      <c r="DB254" s="1288">
        <v>3.872886458</v>
      </c>
      <c r="DC254" s="293">
        <v>20.031666439999999</v>
      </c>
      <c r="DD254" s="293">
        <v>5.7584803429999996</v>
      </c>
      <c r="DE254" s="293">
        <v>15.547034236</v>
      </c>
      <c r="DF254" s="293">
        <v>21.488628047999999</v>
      </c>
      <c r="DG254" s="293">
        <v>9.0915347840000003</v>
      </c>
      <c r="DH254" s="293">
        <v>5.0807362579999999</v>
      </c>
      <c r="DI254" s="293">
        <v>19.827556969</v>
      </c>
      <c r="DJ254" s="293">
        <v>5.5587548150000003</v>
      </c>
      <c r="DK254" s="293">
        <v>9.5034078379999993</v>
      </c>
      <c r="DL254" s="293">
        <v>8.7389496310000006</v>
      </c>
      <c r="DM254" s="293">
        <v>11.420979965000001</v>
      </c>
      <c r="DN254" s="295">
        <v>6.4142006580000004</v>
      </c>
      <c r="DO254" s="293">
        <v>17.830386839999999</v>
      </c>
      <c r="DP254" s="293">
        <v>24.458453924000001</v>
      </c>
      <c r="DQ254" s="293">
        <v>8.9936596830000006</v>
      </c>
      <c r="DR254" s="293">
        <v>18.029543111999999</v>
      </c>
      <c r="DS254" s="293">
        <v>13.747938799</v>
      </c>
      <c r="DT254" s="293">
        <v>20.318674549000001</v>
      </c>
      <c r="DU254" s="293">
        <v>15.032641369</v>
      </c>
      <c r="DV254" s="293">
        <v>8.3836660419999998</v>
      </c>
      <c r="DW254" s="293">
        <v>5.2430148010000002</v>
      </c>
      <c r="DX254" s="293">
        <v>15.108378704</v>
      </c>
      <c r="DY254" s="293">
        <v>11.246329053</v>
      </c>
      <c r="DZ254" s="295">
        <v>25.872880681000002</v>
      </c>
      <c r="EA254" s="293">
        <v>25.872880681000002</v>
      </c>
      <c r="EB254" s="293">
        <v>12.845961409999999</v>
      </c>
      <c r="EC254" s="293">
        <v>15.981307165</v>
      </c>
      <c r="ED254" s="293">
        <v>32.649109463999999</v>
      </c>
      <c r="EE254" s="293">
        <v>10.668168140000001</v>
      </c>
      <c r="EF254" s="293">
        <v>7.4420272409999999</v>
      </c>
      <c r="EG254" s="293">
        <v>29.429129078999999</v>
      </c>
      <c r="EH254" s="293">
        <v>7.6272627249999996</v>
      </c>
      <c r="EI254" s="293">
        <v>11.585520362</v>
      </c>
      <c r="EJ254" s="293">
        <v>14.866800035000001</v>
      </c>
      <c r="EK254" s="293">
        <v>8.9920118129999995</v>
      </c>
      <c r="EL254" s="1340">
        <v>3.87894439</v>
      </c>
      <c r="EM254" s="1080">
        <v>5.6727965129999998</v>
      </c>
      <c r="EN254" s="1080">
        <v>33.740439352000003</v>
      </c>
      <c r="EO254" s="1080">
        <v>13.793889009999999</v>
      </c>
      <c r="EP254" s="1080">
        <v>25.71266228</v>
      </c>
      <c r="EQ254" s="1080">
        <v>16.995882278</v>
      </c>
      <c r="ER254" s="1080">
        <v>16.060366010999999</v>
      </c>
      <c r="ES254" s="1080">
        <v>11.724667692000001</v>
      </c>
      <c r="ET254" s="1080">
        <v>5.7211090220000003</v>
      </c>
      <c r="EU254" s="1080">
        <v>27.812311814000001</v>
      </c>
      <c r="EV254" s="1080">
        <v>38.221013028000002</v>
      </c>
      <c r="EW254" s="1080">
        <v>20.611869896999998</v>
      </c>
      <c r="EX254" s="1340">
        <v>21.638142078000001</v>
      </c>
      <c r="EY254" s="1080"/>
      <c r="EZ254" s="1080"/>
      <c r="FA254" s="1080"/>
      <c r="FB254" s="1080"/>
      <c r="FC254" s="1080"/>
      <c r="FD254" s="1080"/>
      <c r="FE254" s="1080"/>
      <c r="FF254" s="1080"/>
      <c r="FG254" s="1080"/>
      <c r="FH254" s="1080"/>
      <c r="FI254" s="1080"/>
      <c r="FJ254" s="1340"/>
      <c r="FK254" s="1080"/>
      <c r="FL254" s="1080"/>
      <c r="FM254" s="1080"/>
      <c r="FN254" s="1080"/>
      <c r="FO254" s="1080"/>
      <c r="FP254" s="1080"/>
      <c r="FQ254" s="293"/>
      <c r="FR254" s="293"/>
      <c r="FS254" s="293"/>
      <c r="FT254" s="293"/>
      <c r="FU254" s="293"/>
      <c r="FV254" s="293"/>
      <c r="FW254" s="293"/>
      <c r="FX254" s="293"/>
      <c r="FY254" s="293"/>
      <c r="FZ254" s="293"/>
      <c r="GA254" s="293"/>
      <c r="GB254" s="293"/>
      <c r="GC254" s="293"/>
      <c r="GD254" s="293"/>
      <c r="GE254" s="293"/>
      <c r="GF254" s="293"/>
      <c r="GG254" s="293"/>
      <c r="GH254" s="293"/>
      <c r="GI254" s="293"/>
      <c r="GJ254" s="293"/>
      <c r="GK254" s="293"/>
      <c r="GL254" s="293"/>
      <c r="GM254" s="293"/>
      <c r="GN254" s="293"/>
      <c r="GO254" s="293"/>
      <c r="GP254" s="293"/>
      <c r="GQ254" s="293"/>
      <c r="GR254" s="293"/>
      <c r="GS254" s="293"/>
      <c r="GT254" s="293"/>
      <c r="GU254" s="293"/>
      <c r="GV254" s="293"/>
      <c r="GW254" s="293"/>
      <c r="GX254" s="293"/>
      <c r="GY254" s="293"/>
      <c r="GZ254" s="293"/>
      <c r="HA254" s="293"/>
      <c r="HB254" s="293"/>
      <c r="HC254" s="293"/>
      <c r="HD254" s="293"/>
      <c r="HE254" s="293"/>
      <c r="HF254" s="293"/>
      <c r="HG254" s="293"/>
      <c r="HH254" s="293"/>
      <c r="HI254" s="293"/>
      <c r="HJ254" s="293"/>
      <c r="HK254" s="293"/>
      <c r="HL254" s="293"/>
      <c r="HM254" s="293"/>
      <c r="HN254" s="293"/>
      <c r="HO254" s="293"/>
      <c r="HP254" s="293"/>
      <c r="HQ254" s="293"/>
      <c r="HR254" s="293"/>
      <c r="HS254" s="293"/>
      <c r="HT254" s="293"/>
      <c r="HU254" s="293"/>
      <c r="HV254" s="293"/>
      <c r="HW254" s="293"/>
      <c r="HX254" s="293"/>
      <c r="HY254" s="293"/>
      <c r="IH254" s="279">
        <f t="shared" si="242"/>
        <v>76.998080109</v>
      </c>
      <c r="II254" s="279">
        <f t="shared" si="243"/>
        <v>61.463849875999998</v>
      </c>
      <c r="IJ254" s="323">
        <f t="shared" si="244"/>
        <v>138.46192998499998</v>
      </c>
      <c r="IK254" s="279">
        <f t="shared" si="245"/>
        <v>103.37865690699999</v>
      </c>
      <c r="KT254" s="280"/>
    </row>
    <row r="255" spans="1:306" hidden="1" outlineLevel="1">
      <c r="B255" s="96" t="s">
        <v>338</v>
      </c>
      <c r="D255" s="791" t="s">
        <v>930</v>
      </c>
      <c r="E255" s="293"/>
      <c r="F255" s="293"/>
      <c r="G255" s="293"/>
      <c r="H255" s="293"/>
      <c r="I255" s="293"/>
      <c r="J255" s="293"/>
      <c r="K255" s="293"/>
      <c r="L255" s="293"/>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c r="BN255" s="293"/>
      <c r="BO255" s="293"/>
      <c r="BP255" s="293"/>
      <c r="BQ255" s="293"/>
      <c r="BR255" s="293"/>
      <c r="BS255" s="293">
        <v>4.078584545</v>
      </c>
      <c r="BT255" s="293">
        <v>0.35575366400000002</v>
      </c>
      <c r="BU255" s="293">
        <v>2.0323074999999999</v>
      </c>
      <c r="BV255" s="293">
        <v>4.5972335040000001</v>
      </c>
      <c r="BW255" s="293">
        <v>2.9477860690000002</v>
      </c>
      <c r="BX255" s="293">
        <v>0.49817592700000002</v>
      </c>
      <c r="BY255" s="293">
        <v>4.1115559690000003</v>
      </c>
      <c r="BZ255" s="293">
        <v>3.1786107289999999</v>
      </c>
      <c r="CA255" s="293">
        <v>1.199526503</v>
      </c>
      <c r="CB255" s="293">
        <v>2.77495387</v>
      </c>
      <c r="CC255" s="293">
        <v>108.363833485</v>
      </c>
      <c r="CD255" s="293">
        <v>8.1158711050000001</v>
      </c>
      <c r="CE255" s="294">
        <v>2.390504993</v>
      </c>
      <c r="CF255" s="293">
        <v>21.606221523999999</v>
      </c>
      <c r="CG255" s="293">
        <v>4.6446851389999999</v>
      </c>
      <c r="CH255" s="293">
        <v>3.6924955100000001</v>
      </c>
      <c r="CI255" s="293">
        <v>4</v>
      </c>
      <c r="CJ255" s="293">
        <v>2.8368251789999999</v>
      </c>
      <c r="CK255" s="293">
        <v>9.6416975600000008</v>
      </c>
      <c r="CL255" s="293">
        <v>2.8833706860000001</v>
      </c>
      <c r="CM255" s="293">
        <v>13.888100193</v>
      </c>
      <c r="CN255" s="293">
        <v>1.3420353789999999</v>
      </c>
      <c r="CO255" s="293">
        <v>3.085795101</v>
      </c>
      <c r="CP255" s="295">
        <v>15.697588456</v>
      </c>
      <c r="CQ255" s="293">
        <v>3.3838203980000001</v>
      </c>
      <c r="CR255" s="293">
        <v>5.8877582220000004</v>
      </c>
      <c r="CS255" s="293">
        <v>7.1350750520000004</v>
      </c>
      <c r="CT255" s="293">
        <v>2.87493949</v>
      </c>
      <c r="CU255" s="293">
        <v>4.2249999999999996</v>
      </c>
      <c r="CV255" s="293">
        <v>3.3</v>
      </c>
      <c r="CW255" s="293">
        <v>3.7043971180000002</v>
      </c>
      <c r="CX255" s="293">
        <v>6.7442315449999999</v>
      </c>
      <c r="CY255" s="293">
        <v>6.7</v>
      </c>
      <c r="CZ255" s="293">
        <v>0.412073786</v>
      </c>
      <c r="DA255" s="293">
        <v>3.4</v>
      </c>
      <c r="DB255" s="1288">
        <v>28.990791000000002</v>
      </c>
      <c r="DC255" s="293">
        <v>5.3</v>
      </c>
      <c r="DD255" s="293">
        <v>13.347593832999999</v>
      </c>
      <c r="DE255" s="293">
        <v>9.6235096430000002</v>
      </c>
      <c r="DF255" s="293">
        <v>3.5366866149999998</v>
      </c>
      <c r="DG255" s="293">
        <v>4.3726213439999997</v>
      </c>
      <c r="DH255" s="293">
        <v>4</v>
      </c>
      <c r="DI255" s="293">
        <v>21.152643471000001</v>
      </c>
      <c r="DJ255" s="293">
        <v>11.237692828</v>
      </c>
      <c r="DK255" s="293">
        <v>2.875</v>
      </c>
      <c r="DL255" s="293">
        <v>3.2648615439999999</v>
      </c>
      <c r="DM255" s="293">
        <v>2.875</v>
      </c>
      <c r="DN255" s="295">
        <v>8.3103340330000002</v>
      </c>
      <c r="DO255" s="293">
        <v>5.3</v>
      </c>
      <c r="DP255" s="293">
        <v>6.3</v>
      </c>
      <c r="DQ255" s="293">
        <v>7.3</v>
      </c>
      <c r="DR255" s="293">
        <v>8.3000000000000007</v>
      </c>
      <c r="DS255" s="293">
        <v>9.3000000000000007</v>
      </c>
      <c r="DT255" s="293">
        <v>10.3</v>
      </c>
      <c r="DU255" s="293">
        <v>11.3</v>
      </c>
      <c r="DV255" s="293">
        <v>12.3</v>
      </c>
      <c r="DW255" s="293">
        <v>13.3</v>
      </c>
      <c r="DX255" s="293">
        <v>14.3</v>
      </c>
      <c r="DY255" s="293">
        <v>15.3</v>
      </c>
      <c r="DZ255" s="295">
        <v>16.3</v>
      </c>
      <c r="EA255" s="293">
        <v>17.3</v>
      </c>
      <c r="EB255" s="293">
        <v>18.3</v>
      </c>
      <c r="EC255" s="293">
        <v>19.3</v>
      </c>
      <c r="ED255" s="293">
        <v>20.3</v>
      </c>
      <c r="EE255" s="293">
        <v>21.3</v>
      </c>
      <c r="EF255" s="293">
        <v>22.3</v>
      </c>
      <c r="EG255" s="293">
        <v>23.3</v>
      </c>
      <c r="EH255" s="293">
        <v>24.3</v>
      </c>
      <c r="EI255" s="293">
        <v>25.3</v>
      </c>
      <c r="EJ255" s="293">
        <v>26.3</v>
      </c>
      <c r="EK255" s="293">
        <v>27.3</v>
      </c>
      <c r="EL255" s="1340">
        <v>28.3</v>
      </c>
      <c r="EM255" s="1080">
        <v>29.3</v>
      </c>
      <c r="EN255" s="1080">
        <v>30.3</v>
      </c>
      <c r="EO255" s="1080">
        <v>31.3</v>
      </c>
      <c r="EP255" s="1080">
        <v>32.299999999999997</v>
      </c>
      <c r="EQ255" s="1080">
        <v>33.299999999999997</v>
      </c>
      <c r="ER255" s="1080">
        <v>34.299999999999997</v>
      </c>
      <c r="ES255" s="1080">
        <v>35.299999999999997</v>
      </c>
      <c r="ET255" s="1080">
        <v>36.299999999999997</v>
      </c>
      <c r="EU255" s="1080">
        <v>37.299999999999997</v>
      </c>
      <c r="EV255" s="1080">
        <v>38.299999999999997</v>
      </c>
      <c r="EW255" s="1080">
        <v>39.299999999999997</v>
      </c>
      <c r="EX255" s="1340">
        <v>40.299999999999997</v>
      </c>
      <c r="EY255" s="1080"/>
      <c r="EZ255" s="1080"/>
      <c r="FA255" s="1080"/>
      <c r="FB255" s="1080"/>
      <c r="FC255" s="1080"/>
      <c r="FD255" s="1080"/>
      <c r="FE255" s="1080"/>
      <c r="FF255" s="1080"/>
      <c r="FG255" s="1080"/>
      <c r="FH255" s="1080"/>
      <c r="FI255" s="1080"/>
      <c r="FJ255" s="1340"/>
      <c r="FK255" s="1080"/>
      <c r="FL255" s="1080"/>
      <c r="FM255" s="1080"/>
      <c r="FN255" s="1080"/>
      <c r="FO255" s="1080"/>
      <c r="FP255" s="1080"/>
      <c r="FQ255" s="293"/>
      <c r="FR255" s="293"/>
      <c r="FS255" s="293"/>
      <c r="FT255" s="293"/>
      <c r="FU255" s="293"/>
      <c r="FV255" s="293"/>
      <c r="FW255" s="293"/>
      <c r="FX255" s="293"/>
      <c r="FY255" s="293"/>
      <c r="FZ255" s="293"/>
      <c r="GA255" s="293"/>
      <c r="GB255" s="293"/>
      <c r="GC255" s="293"/>
      <c r="GD255" s="293"/>
      <c r="GE255" s="293"/>
      <c r="GF255" s="293"/>
      <c r="GG255" s="293"/>
      <c r="GH255" s="293"/>
      <c r="GI255" s="293"/>
      <c r="GJ255" s="293"/>
      <c r="GK255" s="293"/>
      <c r="GL255" s="293"/>
      <c r="GM255" s="293"/>
      <c r="GN255" s="293"/>
      <c r="GO255" s="293"/>
      <c r="GP255" s="293"/>
      <c r="GQ255" s="293"/>
      <c r="GR255" s="293"/>
      <c r="GS255" s="293"/>
      <c r="GT255" s="293"/>
      <c r="GU255" s="293"/>
      <c r="GV255" s="293"/>
      <c r="GW255" s="293"/>
      <c r="GX255" s="293"/>
      <c r="GY255" s="293"/>
      <c r="GZ255" s="293"/>
      <c r="HA255" s="293"/>
      <c r="HB255" s="293"/>
      <c r="HC255" s="293"/>
      <c r="HD255" s="293"/>
      <c r="HE255" s="293"/>
      <c r="HF255" s="293"/>
      <c r="HG255" s="293"/>
      <c r="HH255" s="293"/>
      <c r="HI255" s="293"/>
      <c r="HJ255" s="293"/>
      <c r="HK255" s="293"/>
      <c r="HL255" s="293"/>
      <c r="HM255" s="293"/>
      <c r="HN255" s="293"/>
      <c r="HO255" s="293"/>
      <c r="HP255" s="293"/>
      <c r="HQ255" s="293"/>
      <c r="HR255" s="293"/>
      <c r="HS255" s="293"/>
      <c r="HT255" s="293"/>
      <c r="HU255" s="293"/>
      <c r="HV255" s="293"/>
      <c r="HW255" s="293"/>
      <c r="HX255" s="293"/>
      <c r="HY255" s="293"/>
      <c r="IH255" s="279">
        <f t="shared" si="242"/>
        <v>40.180411435000003</v>
      </c>
      <c r="II255" s="279">
        <f t="shared" si="243"/>
        <v>49.715531876</v>
      </c>
      <c r="IJ255" s="323">
        <f t="shared" si="244"/>
        <v>89.895943310999996</v>
      </c>
      <c r="IK255" s="279">
        <f t="shared" si="245"/>
        <v>46.8</v>
      </c>
      <c r="KT255" s="280"/>
    </row>
    <row r="256" spans="1:306" hidden="1" outlineLevel="1">
      <c r="B256" s="96" t="s">
        <v>338</v>
      </c>
      <c r="D256" s="314" t="s">
        <v>442</v>
      </c>
      <c r="E256" s="293"/>
      <c r="F256" s="293"/>
      <c r="G256" s="293"/>
      <c r="H256" s="293"/>
      <c r="I256" s="293"/>
      <c r="J256" s="293"/>
      <c r="K256" s="293"/>
      <c r="L256" s="293"/>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c r="BN256" s="293"/>
      <c r="BO256" s="293"/>
      <c r="BP256" s="293"/>
      <c r="BQ256" s="293"/>
      <c r="BR256" s="293"/>
      <c r="BS256" s="293">
        <v>8.9979059390000007</v>
      </c>
      <c r="BT256" s="293">
        <v>15.238155254</v>
      </c>
      <c r="BU256" s="293">
        <v>10.731943847</v>
      </c>
      <c r="BV256" s="293">
        <v>38.280104581000003</v>
      </c>
      <c r="BW256" s="293">
        <v>19.21824221</v>
      </c>
      <c r="BX256" s="293">
        <v>3.4928711909999999</v>
      </c>
      <c r="BY256" s="293">
        <v>16.503664744000002</v>
      </c>
      <c r="BZ256" s="293">
        <v>16.912173433</v>
      </c>
      <c r="CA256" s="293">
        <v>14.65821757</v>
      </c>
      <c r="CB256" s="293">
        <v>45.488008786000002</v>
      </c>
      <c r="CC256" s="293">
        <v>30.685310925</v>
      </c>
      <c r="CD256" s="293">
        <v>20.505813729</v>
      </c>
      <c r="CE256" s="294">
        <v>7.8191067849999998</v>
      </c>
      <c r="CF256" s="293">
        <v>27.064540614999999</v>
      </c>
      <c r="CG256" s="293">
        <v>13.416189154</v>
      </c>
      <c r="CH256" s="293">
        <v>30.291457128000001</v>
      </c>
      <c r="CI256" s="293">
        <v>23.947314263999999</v>
      </c>
      <c r="CJ256" s="293">
        <v>12.362992740999999</v>
      </c>
      <c r="CK256" s="293">
        <v>21.517392606000001</v>
      </c>
      <c r="CL256" s="293">
        <v>23.682749282</v>
      </c>
      <c r="CM256" s="293">
        <v>32.481324956000002</v>
      </c>
      <c r="CN256" s="293">
        <v>26.759737409</v>
      </c>
      <c r="CO256" s="293">
        <v>64.034057740999998</v>
      </c>
      <c r="CP256" s="295">
        <v>36.776276578000001</v>
      </c>
      <c r="CQ256" s="293">
        <v>18.732472962999999</v>
      </c>
      <c r="CR256" s="293">
        <v>31.425210746000001</v>
      </c>
      <c r="CS256" s="293">
        <v>28.036566303000001</v>
      </c>
      <c r="CT256" s="293">
        <v>20.871269851000001</v>
      </c>
      <c r="CU256" s="293">
        <v>19.008571825000001</v>
      </c>
      <c r="CV256" s="293">
        <v>17.450130183999999</v>
      </c>
      <c r="CW256" s="293">
        <v>33.116301632999999</v>
      </c>
      <c r="CX256" s="293">
        <v>26.094432314999999</v>
      </c>
      <c r="CY256" s="293">
        <v>44.998493394999997</v>
      </c>
      <c r="CZ256" s="293">
        <v>78.902201219999995</v>
      </c>
      <c r="DA256" s="293">
        <v>45.806131833999999</v>
      </c>
      <c r="DB256" s="1288">
        <v>32.207662052000003</v>
      </c>
      <c r="DC256" s="293">
        <v>16.489001077000001</v>
      </c>
      <c r="DD256" s="293">
        <v>30.797304453999999</v>
      </c>
      <c r="DE256" s="293">
        <v>40.144479420000003</v>
      </c>
      <c r="DF256" s="293">
        <v>47.547703896999998</v>
      </c>
      <c r="DG256" s="293">
        <v>28.742775963</v>
      </c>
      <c r="DH256" s="293">
        <v>14.383686656</v>
      </c>
      <c r="DI256" s="293">
        <v>57.002527604999997</v>
      </c>
      <c r="DJ256" s="293">
        <v>37.214416708000002</v>
      </c>
      <c r="DK256" s="293">
        <v>24.533894926999999</v>
      </c>
      <c r="DL256" s="293">
        <v>57.665731115</v>
      </c>
      <c r="DM256" s="293">
        <v>62.479018287999999</v>
      </c>
      <c r="DN256" s="295">
        <v>29.876977194999998</v>
      </c>
      <c r="DO256" s="293">
        <v>24.510819567999999</v>
      </c>
      <c r="DP256" s="293">
        <v>31.191320255000001</v>
      </c>
      <c r="DQ256" s="293">
        <v>19.781208627000002</v>
      </c>
      <c r="DR256" s="293">
        <v>36.670557473000002</v>
      </c>
      <c r="DS256" s="293">
        <v>39.918205536999999</v>
      </c>
      <c r="DT256" s="293">
        <v>14.805941098</v>
      </c>
      <c r="DU256" s="293">
        <v>55.250912331000002</v>
      </c>
      <c r="DV256" s="293">
        <v>37.215884711999998</v>
      </c>
      <c r="DW256" s="293">
        <v>17.677582613999999</v>
      </c>
      <c r="DX256" s="293">
        <v>60.345860789</v>
      </c>
      <c r="DY256" s="293">
        <v>55.610312768999997</v>
      </c>
      <c r="DZ256" s="295">
        <v>7.9984918089999999</v>
      </c>
      <c r="EA256" s="293">
        <v>7.9984918089999999</v>
      </c>
      <c r="EB256" s="293">
        <v>57.63256397</v>
      </c>
      <c r="EC256" s="293">
        <v>42.977248097999997</v>
      </c>
      <c r="ED256" s="293">
        <v>44.711899309000003</v>
      </c>
      <c r="EE256" s="293">
        <v>39.024985354999998</v>
      </c>
      <c r="EF256" s="293">
        <v>19.645622919000001</v>
      </c>
      <c r="EG256" s="293">
        <v>83.314393476999996</v>
      </c>
      <c r="EH256" s="293">
        <v>34.696378115999998</v>
      </c>
      <c r="EI256" s="293">
        <v>30.38618468</v>
      </c>
      <c r="EJ256" s="293">
        <v>43.270346683</v>
      </c>
      <c r="EK256" s="293">
        <v>40.489700677000002</v>
      </c>
      <c r="EL256" s="1340">
        <v>19.011669787999999</v>
      </c>
      <c r="EM256" s="1080">
        <v>27.928875783999999</v>
      </c>
      <c r="EN256" s="1080">
        <v>32.216142105000003</v>
      </c>
      <c r="EO256" s="1080">
        <v>34.432715870000003</v>
      </c>
      <c r="EP256" s="1080">
        <v>53.201433113</v>
      </c>
      <c r="EQ256" s="1080">
        <v>46.650960023000003</v>
      </c>
      <c r="ER256" s="1080">
        <v>58.397181713999998</v>
      </c>
      <c r="ES256" s="1080">
        <v>55.415338763999998</v>
      </c>
      <c r="ET256" s="1080">
        <v>58.919306761999998</v>
      </c>
      <c r="EU256" s="1080">
        <v>47.107478352999998</v>
      </c>
      <c r="EV256" s="1080">
        <v>92.436332003000004</v>
      </c>
      <c r="EW256" s="1080">
        <v>87.662794950000006</v>
      </c>
      <c r="EX256" s="1340">
        <v>29.336689837000002</v>
      </c>
      <c r="EY256" s="1080"/>
      <c r="EZ256" s="1080"/>
      <c r="FA256" s="1080"/>
      <c r="FB256" s="1080"/>
      <c r="FC256" s="1080"/>
      <c r="FD256" s="1080"/>
      <c r="FE256" s="1080"/>
      <c r="FF256" s="1080"/>
      <c r="FG256" s="1080"/>
      <c r="FH256" s="1080"/>
      <c r="FI256" s="1080"/>
      <c r="FJ256" s="1340"/>
      <c r="FK256" s="1080"/>
      <c r="FL256" s="1080"/>
      <c r="FM256" s="1080"/>
      <c r="FN256" s="1080"/>
      <c r="FO256" s="1080"/>
      <c r="FP256" s="1080"/>
      <c r="FQ256" s="293"/>
      <c r="FR256" s="293"/>
      <c r="FS256" s="293"/>
      <c r="FT256" s="293"/>
      <c r="FU256" s="293"/>
      <c r="FV256" s="293"/>
      <c r="FW256" s="293"/>
      <c r="FX256" s="293"/>
      <c r="FY256" s="293"/>
      <c r="FZ256" s="293"/>
      <c r="GA256" s="293"/>
      <c r="GB256" s="293"/>
      <c r="GC256" s="293"/>
      <c r="GD256" s="293"/>
      <c r="GE256" s="293"/>
      <c r="GF256" s="293"/>
      <c r="GG256" s="293"/>
      <c r="GH256" s="293"/>
      <c r="GI256" s="293"/>
      <c r="GJ256" s="293"/>
      <c r="GK256" s="293"/>
      <c r="GL256" s="293"/>
      <c r="GM256" s="293"/>
      <c r="GN256" s="293"/>
      <c r="GO256" s="293"/>
      <c r="GP256" s="293"/>
      <c r="GQ256" s="293"/>
      <c r="GR256" s="293"/>
      <c r="GS256" s="293"/>
      <c r="GT256" s="293"/>
      <c r="GU256" s="293"/>
      <c r="GV256" s="293"/>
      <c r="GW256" s="293"/>
      <c r="GX256" s="293"/>
      <c r="GY256" s="293"/>
      <c r="GZ256" s="293"/>
      <c r="HA256" s="293"/>
      <c r="HB256" s="293"/>
      <c r="HC256" s="293"/>
      <c r="HD256" s="293"/>
      <c r="HE256" s="293"/>
      <c r="HF256" s="293"/>
      <c r="HG256" s="293"/>
      <c r="HH256" s="293"/>
      <c r="HI256" s="293"/>
      <c r="HJ256" s="293"/>
      <c r="HK256" s="293"/>
      <c r="HL256" s="293"/>
      <c r="HM256" s="293"/>
      <c r="HN256" s="293"/>
      <c r="HO256" s="293"/>
      <c r="HP256" s="293"/>
      <c r="HQ256" s="293"/>
      <c r="HR256" s="293"/>
      <c r="HS256" s="293"/>
      <c r="HT256" s="293"/>
      <c r="HU256" s="293"/>
      <c r="HV256" s="293"/>
      <c r="HW256" s="293"/>
      <c r="HX256" s="293"/>
      <c r="HY256" s="293"/>
      <c r="IH256" s="279">
        <f t="shared" si="242"/>
        <v>178.10495146699998</v>
      </c>
      <c r="II256" s="279">
        <f t="shared" si="243"/>
        <v>268.77256583799999</v>
      </c>
      <c r="IJ256" s="323">
        <f t="shared" si="244"/>
        <v>446.87751730499997</v>
      </c>
      <c r="IK256" s="279">
        <f t="shared" si="245"/>
        <v>166.87805255800001</v>
      </c>
      <c r="KT256" s="280"/>
    </row>
    <row r="257" spans="1:306" hidden="1" outlineLevel="1">
      <c r="D257" s="314" t="s">
        <v>1200</v>
      </c>
      <c r="E257" s="293"/>
      <c r="F257" s="293"/>
      <c r="G257" s="293"/>
      <c r="H257" s="293"/>
      <c r="I257" s="293"/>
      <c r="J257" s="293"/>
      <c r="K257" s="293"/>
      <c r="L257" s="293"/>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c r="BN257" s="293"/>
      <c r="BO257" s="293"/>
      <c r="BP257" s="293"/>
      <c r="BQ257" s="293"/>
      <c r="BR257" s="293"/>
      <c r="BS257" s="293"/>
      <c r="BT257" s="293"/>
      <c r="BU257" s="293"/>
      <c r="BV257" s="293"/>
      <c r="BW257" s="293"/>
      <c r="BX257" s="293"/>
      <c r="BY257" s="293"/>
      <c r="BZ257" s="293"/>
      <c r="CA257" s="293"/>
      <c r="CB257" s="293"/>
      <c r="CC257" s="293"/>
      <c r="CD257" s="293"/>
      <c r="CE257" s="294"/>
      <c r="CF257" s="293"/>
      <c r="CG257" s="293"/>
      <c r="CH257" s="293"/>
      <c r="CI257" s="293"/>
      <c r="CJ257" s="293"/>
      <c r="CK257" s="293"/>
      <c r="CL257" s="293"/>
      <c r="CM257" s="293"/>
      <c r="CN257" s="293"/>
      <c r="CO257" s="293"/>
      <c r="CP257" s="295"/>
      <c r="CQ257" s="293"/>
      <c r="CR257" s="293"/>
      <c r="CS257" s="293"/>
      <c r="CT257" s="293"/>
      <c r="CU257" s="293"/>
      <c r="CV257" s="293"/>
      <c r="CW257" s="293"/>
      <c r="CX257" s="293"/>
      <c r="CY257" s="293"/>
      <c r="CZ257" s="293"/>
      <c r="DA257" s="293"/>
      <c r="DB257" s="1288"/>
      <c r="DC257" s="1080">
        <v>0.27191921299999999</v>
      </c>
      <c r="DD257" s="1112">
        <v>4.4122247979999996</v>
      </c>
      <c r="DE257" s="1112">
        <v>8.9971561859999998</v>
      </c>
      <c r="DF257" s="1112">
        <v>3.411240324</v>
      </c>
      <c r="DG257" s="1112">
        <v>3.3483935229999999</v>
      </c>
      <c r="DH257" s="1112">
        <v>1.8647466909999999</v>
      </c>
      <c r="DI257" s="1112">
        <v>8.2065762479999993</v>
      </c>
      <c r="DJ257" s="1112">
        <v>5.9568302329999998</v>
      </c>
      <c r="DK257" s="1112">
        <v>3.8723187179999998</v>
      </c>
      <c r="DL257" s="1112">
        <v>13.759621873</v>
      </c>
      <c r="DM257" s="1112">
        <v>7.0525808640000003</v>
      </c>
      <c r="DN257" s="1326">
        <v>7.2722973790000003</v>
      </c>
      <c r="DO257" s="1080">
        <v>0.23505114599999999</v>
      </c>
      <c r="DP257" s="1112">
        <v>4.1538316499999999</v>
      </c>
      <c r="DQ257" s="1112">
        <v>4.4406720970000002</v>
      </c>
      <c r="DR257" s="1112">
        <v>8.2728073089999992</v>
      </c>
      <c r="DS257" s="1112">
        <v>5.4199051269999998</v>
      </c>
      <c r="DT257" s="1112">
        <v>0.72537453900000004</v>
      </c>
      <c r="DU257" s="1112">
        <v>9.1587036800000003</v>
      </c>
      <c r="DV257" s="1112">
        <v>6.0952181259999998</v>
      </c>
      <c r="DW257" s="1112">
        <v>4.7569522229999999</v>
      </c>
      <c r="DX257" s="1112">
        <v>7.7324768190000004</v>
      </c>
      <c r="DY257" s="1112">
        <v>11.764328003999999</v>
      </c>
      <c r="DZ257" s="1326">
        <v>0.48354820900000001</v>
      </c>
      <c r="EA257" s="1080">
        <v>0.48354820900000001</v>
      </c>
      <c r="EB257" s="1112">
        <v>4.8194829280000002</v>
      </c>
      <c r="EC257" s="1112">
        <v>7.2983819849999998</v>
      </c>
      <c r="ED257" s="1112">
        <v>7.1608223659999997</v>
      </c>
      <c r="EE257" s="1112">
        <v>10.52294474</v>
      </c>
      <c r="EF257" s="1112">
        <v>6.1341399819999998</v>
      </c>
      <c r="EG257" s="1112">
        <v>12.864274357999999</v>
      </c>
      <c r="EH257" s="1112">
        <v>0.57902742799999996</v>
      </c>
      <c r="EI257" s="1112">
        <v>1.984479814</v>
      </c>
      <c r="EJ257" s="1112">
        <v>4.1823349859999999</v>
      </c>
      <c r="EK257" s="1112">
        <v>11.471806392</v>
      </c>
      <c r="EL257" s="1326">
        <v>5.9171049529999999</v>
      </c>
      <c r="EM257" s="1080">
        <v>2.3158961059999998</v>
      </c>
      <c r="EN257" s="1112">
        <v>2.504822823</v>
      </c>
      <c r="EO257" s="1112">
        <v>1.9591349929999999</v>
      </c>
      <c r="EP257" s="1112">
        <v>7.1750623530000004</v>
      </c>
      <c r="EQ257" s="1112">
        <v>6.5964459550000001</v>
      </c>
      <c r="ER257" s="1112">
        <v>2.4404201950000002</v>
      </c>
      <c r="ES257" s="1112">
        <v>3.1315734179999999</v>
      </c>
      <c r="ET257" s="1112">
        <v>4.7265107820000001</v>
      </c>
      <c r="EU257" s="1112">
        <v>6.1300859609999998</v>
      </c>
      <c r="EV257" s="1112">
        <v>5.6363455729999998</v>
      </c>
      <c r="EW257" s="1112">
        <v>10.017233999</v>
      </c>
      <c r="EX257" s="1326">
        <v>10.399856092</v>
      </c>
      <c r="EY257" s="1080"/>
      <c r="EZ257" s="1080"/>
      <c r="FA257" s="1080"/>
      <c r="FB257" s="1080"/>
      <c r="FC257" s="1080"/>
      <c r="FD257" s="1080"/>
      <c r="FE257" s="1080"/>
      <c r="FF257" s="1080"/>
      <c r="FG257" s="1080"/>
      <c r="FH257" s="1080"/>
      <c r="FI257" s="1080"/>
      <c r="FJ257" s="1340"/>
      <c r="FK257" s="1080"/>
      <c r="FL257" s="1080"/>
      <c r="FM257" s="1080"/>
      <c r="FN257" s="1080"/>
      <c r="FO257" s="1080"/>
      <c r="FP257" s="1080"/>
      <c r="FQ257" s="293"/>
      <c r="FR257" s="293"/>
      <c r="FS257" s="293"/>
      <c r="FT257" s="293"/>
      <c r="FU257" s="293"/>
      <c r="FV257" s="293"/>
      <c r="FW257" s="293"/>
      <c r="FX257" s="293"/>
      <c r="FY257" s="293"/>
      <c r="FZ257" s="293"/>
      <c r="GA257" s="293"/>
      <c r="GB257" s="293"/>
      <c r="GC257" s="293"/>
      <c r="GD257" s="293"/>
      <c r="GE257" s="293"/>
      <c r="GF257" s="293"/>
      <c r="GG257" s="293"/>
      <c r="GH257" s="293"/>
      <c r="GI257" s="293"/>
      <c r="GJ257" s="293"/>
      <c r="GK257" s="293"/>
      <c r="GL257" s="293"/>
      <c r="GM257" s="293"/>
      <c r="GN257" s="293"/>
      <c r="GO257" s="293"/>
      <c r="GP257" s="293"/>
      <c r="GQ257" s="293"/>
      <c r="GR257" s="293"/>
      <c r="GS257" s="293"/>
      <c r="GT257" s="293"/>
      <c r="GU257" s="293"/>
      <c r="GV257" s="293"/>
      <c r="GW257" s="293"/>
      <c r="GX257" s="293"/>
      <c r="GY257" s="293"/>
      <c r="GZ257" s="293"/>
      <c r="HA257" s="293"/>
      <c r="HB257" s="293"/>
      <c r="HC257" s="293"/>
      <c r="HD257" s="293"/>
      <c r="HE257" s="293"/>
      <c r="HF257" s="293"/>
      <c r="HG257" s="293"/>
      <c r="HH257" s="293"/>
      <c r="HI257" s="293"/>
      <c r="HJ257" s="293"/>
      <c r="HK257" s="293"/>
      <c r="HL257" s="293"/>
      <c r="HM257" s="293"/>
      <c r="HN257" s="293"/>
      <c r="HO257" s="293"/>
      <c r="HP257" s="293"/>
      <c r="HQ257" s="293"/>
      <c r="HR257" s="293"/>
      <c r="HS257" s="293"/>
      <c r="HT257" s="293"/>
      <c r="HU257" s="293"/>
      <c r="HV257" s="293"/>
      <c r="HW257" s="293"/>
      <c r="HX257" s="293"/>
      <c r="HY257" s="293"/>
      <c r="IJ257" s="323"/>
      <c r="KT257" s="280"/>
    </row>
    <row r="258" spans="1:306" hidden="1" outlineLevel="1">
      <c r="B258" s="96" t="s">
        <v>338</v>
      </c>
      <c r="D258" s="314" t="s">
        <v>1014</v>
      </c>
      <c r="E258" s="293"/>
      <c r="F258" s="293"/>
      <c r="G258" s="293"/>
      <c r="H258" s="293"/>
      <c r="I258" s="293"/>
      <c r="J258" s="293"/>
      <c r="K258" s="293"/>
      <c r="L258" s="293"/>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c r="BN258" s="293"/>
      <c r="BO258" s="293"/>
      <c r="BP258" s="293"/>
      <c r="BQ258" s="293"/>
      <c r="BR258" s="293"/>
      <c r="BS258" s="293">
        <v>0.27911588100000001</v>
      </c>
      <c r="BT258" s="293">
        <v>6.0173479999999996E-3</v>
      </c>
      <c r="BU258" s="293">
        <v>3.2019841E-2</v>
      </c>
      <c r="BV258" s="293">
        <v>0.88178715299999999</v>
      </c>
      <c r="BW258" s="293">
        <v>2E-3</v>
      </c>
      <c r="BX258" s="293">
        <v>0.44723873600000003</v>
      </c>
      <c r="BY258" s="293">
        <v>0.999707448</v>
      </c>
      <c r="BZ258" s="293">
        <v>1.3888581330000001</v>
      </c>
      <c r="CA258" s="293">
        <v>0.22859237299999999</v>
      </c>
      <c r="CB258" s="293">
        <v>0.28744314100000001</v>
      </c>
      <c r="CC258" s="293">
        <v>1.6669696300000001</v>
      </c>
      <c r="CD258" s="293">
        <v>0.96901999999999999</v>
      </c>
      <c r="CE258" s="294">
        <v>0.36813540099999997</v>
      </c>
      <c r="CF258" s="293">
        <v>4.5232902999999998E-2</v>
      </c>
      <c r="CG258" s="293">
        <v>3.3386531220000002</v>
      </c>
      <c r="CH258" s="293">
        <v>1.0237072460000001</v>
      </c>
      <c r="CI258" s="293">
        <v>3.3230105000000003E-2</v>
      </c>
      <c r="CJ258" s="293">
        <v>5.9628996020000002</v>
      </c>
      <c r="CK258" s="293">
        <v>5.3125763999999999E-2</v>
      </c>
      <c r="CL258" s="293">
        <v>0.72610595700000002</v>
      </c>
      <c r="CM258" s="293">
        <v>0.102254233</v>
      </c>
      <c r="CN258" s="293">
        <v>0.97177808600000004</v>
      </c>
      <c r="CO258" s="293">
        <v>1.1094596269999999</v>
      </c>
      <c r="CP258" s="295">
        <v>2.5327119680000001</v>
      </c>
      <c r="CQ258" s="293">
        <v>0.31722989899999998</v>
      </c>
      <c r="CR258" s="293">
        <v>0.26443969699999997</v>
      </c>
      <c r="CS258" s="293">
        <v>0</v>
      </c>
      <c r="CT258" s="293">
        <v>0.43116074199999999</v>
      </c>
      <c r="CU258" s="293">
        <v>0.45814742800000002</v>
      </c>
      <c r="CV258" s="293">
        <v>6.6300937000000004E-2</v>
      </c>
      <c r="CW258" s="293">
        <v>0</v>
      </c>
      <c r="CX258" s="293">
        <v>0</v>
      </c>
      <c r="CY258" s="293">
        <v>0</v>
      </c>
      <c r="CZ258" s="293">
        <v>0.10930949299999999</v>
      </c>
      <c r="DA258" s="293">
        <v>0.408423337</v>
      </c>
      <c r="DB258" s="1288">
        <v>4.2000000000000002E-4</v>
      </c>
      <c r="DC258" s="293">
        <v>6.4977678340000002</v>
      </c>
      <c r="DD258" s="293">
        <v>1.297001844</v>
      </c>
      <c r="DE258" s="293">
        <v>4.6251975229999998</v>
      </c>
      <c r="DF258" s="293">
        <v>7.2525455049999996</v>
      </c>
      <c r="DG258" s="293">
        <v>0</v>
      </c>
      <c r="DH258" s="293">
        <v>1.9204864740000001</v>
      </c>
      <c r="DI258" s="293">
        <v>5.1709814669999998</v>
      </c>
      <c r="DJ258" s="293">
        <v>8.0631162889999999</v>
      </c>
      <c r="DK258" s="293">
        <v>4.9287267940000001</v>
      </c>
      <c r="DL258" s="293">
        <v>1.1147604360000001</v>
      </c>
      <c r="DM258" s="293">
        <v>3.580054917</v>
      </c>
      <c r="DN258" s="295">
        <v>1.5632517909999999</v>
      </c>
      <c r="DO258" s="293">
        <v>19.871877898000001</v>
      </c>
      <c r="DP258" s="293">
        <v>0.89498947200000001</v>
      </c>
      <c r="DQ258" s="293">
        <v>5.6049394000000002E-2</v>
      </c>
      <c r="DR258" s="293">
        <v>2.6373553000000001E-2</v>
      </c>
      <c r="DS258" s="293">
        <v>6.0757000999999998E-2</v>
      </c>
      <c r="DT258" s="293">
        <v>0</v>
      </c>
      <c r="DU258" s="293">
        <v>0</v>
      </c>
      <c r="DV258" s="293">
        <v>1.7687446999999999E-2</v>
      </c>
      <c r="DW258" s="293">
        <v>1.5547114000000001E-2</v>
      </c>
      <c r="DX258" s="293">
        <v>0</v>
      </c>
      <c r="DY258" s="293">
        <v>0</v>
      </c>
      <c r="DZ258" s="295">
        <v>17.118598822999999</v>
      </c>
      <c r="EA258" s="293">
        <v>17.118598822999999</v>
      </c>
      <c r="EB258" s="293">
        <v>3.8433893110000001</v>
      </c>
      <c r="EC258" s="293">
        <v>0</v>
      </c>
      <c r="ED258" s="293">
        <v>0</v>
      </c>
      <c r="EE258" s="293">
        <v>0.96460102400000003</v>
      </c>
      <c r="EF258" s="293">
        <v>5.8037006000000002E-2</v>
      </c>
      <c r="EG258" s="293">
        <v>0.37297880100000003</v>
      </c>
      <c r="EH258" s="293">
        <v>1.3756063000000001E-2</v>
      </c>
      <c r="EI258" s="293">
        <v>9.3636900000000005E-4</v>
      </c>
      <c r="EJ258" s="293">
        <v>1.1091320000000001E-3</v>
      </c>
      <c r="EK258" s="293">
        <v>1.5380999999999999E-4</v>
      </c>
      <c r="EL258" s="1340">
        <v>1.1735753999999999E-2</v>
      </c>
      <c r="EM258" s="1080">
        <v>13.709952197</v>
      </c>
      <c r="EN258" s="1080">
        <v>11.977710954999999</v>
      </c>
      <c r="EO258" s="1080">
        <v>0.14146813999999999</v>
      </c>
      <c r="EP258" s="1080">
        <v>0</v>
      </c>
      <c r="EQ258" s="1080">
        <v>0</v>
      </c>
      <c r="ER258" s="1080">
        <v>0</v>
      </c>
      <c r="ES258" s="1080">
        <v>0.41388430999999998</v>
      </c>
      <c r="ET258" s="1080">
        <v>0</v>
      </c>
      <c r="EU258" s="1080">
        <v>0</v>
      </c>
      <c r="EV258" s="1080">
        <v>0</v>
      </c>
      <c r="EW258" s="1080">
        <v>0</v>
      </c>
      <c r="EX258" s="1340">
        <v>0</v>
      </c>
      <c r="EY258" s="1080"/>
      <c r="EZ258" s="1080"/>
      <c r="FA258" s="1080"/>
      <c r="FB258" s="1080"/>
      <c r="FC258" s="1080"/>
      <c r="FD258" s="1080"/>
      <c r="FE258" s="1080"/>
      <c r="FF258" s="1080"/>
      <c r="FG258" s="1080"/>
      <c r="FH258" s="1080"/>
      <c r="FI258" s="1080"/>
      <c r="FJ258" s="1340"/>
      <c r="FK258" s="1080"/>
      <c r="FL258" s="1080"/>
      <c r="FM258" s="1080"/>
      <c r="FN258" s="1080"/>
      <c r="FO258" s="1080"/>
      <c r="FP258" s="1080"/>
      <c r="FQ258" s="293"/>
      <c r="FR258" s="293"/>
      <c r="FS258" s="293"/>
      <c r="FT258" s="293"/>
      <c r="FU258" s="293"/>
      <c r="FV258" s="293"/>
      <c r="FW258" s="293"/>
      <c r="FX258" s="293"/>
      <c r="FY258" s="293"/>
      <c r="FZ258" s="293"/>
      <c r="GA258" s="293"/>
      <c r="GB258" s="293"/>
      <c r="GC258" s="293"/>
      <c r="GD258" s="293"/>
      <c r="GE258" s="293"/>
      <c r="GF258" s="293"/>
      <c r="GG258" s="293"/>
      <c r="GH258" s="293"/>
      <c r="GI258" s="293"/>
      <c r="GJ258" s="293"/>
      <c r="GK258" s="293"/>
      <c r="GL258" s="293"/>
      <c r="GM258" s="293"/>
      <c r="GN258" s="293"/>
      <c r="GO258" s="293"/>
      <c r="GP258" s="293"/>
      <c r="GQ258" s="293"/>
      <c r="GR258" s="293"/>
      <c r="GS258" s="293"/>
      <c r="GT258" s="293"/>
      <c r="GU258" s="293"/>
      <c r="GV258" s="293"/>
      <c r="GW258" s="293"/>
      <c r="GX258" s="293"/>
      <c r="GY258" s="293"/>
      <c r="GZ258" s="293"/>
      <c r="HA258" s="293"/>
      <c r="HB258" s="293"/>
      <c r="HC258" s="293"/>
      <c r="HD258" s="293"/>
      <c r="HE258" s="293"/>
      <c r="HF258" s="293"/>
      <c r="HG258" s="293"/>
      <c r="HH258" s="293"/>
      <c r="HI258" s="293"/>
      <c r="HJ258" s="293"/>
      <c r="HK258" s="293"/>
      <c r="HL258" s="293"/>
      <c r="HM258" s="293"/>
      <c r="HN258" s="293"/>
      <c r="HO258" s="293"/>
      <c r="HP258" s="293"/>
      <c r="HQ258" s="293"/>
      <c r="HR258" s="293"/>
      <c r="HS258" s="293"/>
      <c r="HT258" s="293"/>
      <c r="HU258" s="293"/>
      <c r="HV258" s="293"/>
      <c r="HW258" s="293"/>
      <c r="HX258" s="293"/>
      <c r="HY258" s="293"/>
      <c r="IH258" s="279">
        <f>+SUM(DC258:DH258)</f>
        <v>21.59299918</v>
      </c>
      <c r="II258" s="279">
        <f>+SUM(DI258:DN258)</f>
        <v>24.420891693999998</v>
      </c>
      <c r="IJ258" s="323">
        <f t="shared" si="244"/>
        <v>46.013890873999998</v>
      </c>
      <c r="IK258" s="279">
        <f>SUM(DO258:DT258)</f>
        <v>20.910047317999997</v>
      </c>
      <c r="KT258" s="280"/>
    </row>
    <row r="259" spans="1:306" hidden="1" outlineLevel="1">
      <c r="B259" s="96" t="s">
        <v>338</v>
      </c>
      <c r="D259" s="314" t="s">
        <v>1015</v>
      </c>
      <c r="E259" s="293"/>
      <c r="F259" s="293"/>
      <c r="G259" s="293"/>
      <c r="H259" s="293"/>
      <c r="I259" s="293"/>
      <c r="J259" s="293"/>
      <c r="K259" s="293"/>
      <c r="L259" s="293"/>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c r="BN259" s="293"/>
      <c r="BO259" s="293"/>
      <c r="BP259" s="293"/>
      <c r="BQ259" s="293"/>
      <c r="BR259" s="293"/>
      <c r="BS259" s="293">
        <v>0.29478044799999997</v>
      </c>
      <c r="BT259" s="293">
        <v>1.198582636</v>
      </c>
      <c r="BU259" s="293">
        <v>1.159378325</v>
      </c>
      <c r="BV259" s="293">
        <v>2.6299444830000001</v>
      </c>
      <c r="BW259" s="293">
        <v>2.2229761639999999</v>
      </c>
      <c r="BX259" s="293">
        <v>1.366512344</v>
      </c>
      <c r="BY259" s="293">
        <v>2.1331117160000002</v>
      </c>
      <c r="BZ259" s="293">
        <v>1.8207399929999999</v>
      </c>
      <c r="CA259" s="293">
        <v>1.914010945</v>
      </c>
      <c r="CB259" s="293">
        <v>2.5145817840000002</v>
      </c>
      <c r="CC259" s="293">
        <v>8.8502698479999999</v>
      </c>
      <c r="CD259" s="293">
        <v>3.8778661080000001</v>
      </c>
      <c r="CE259" s="294">
        <v>0.62834436900000001</v>
      </c>
      <c r="CF259" s="293">
        <v>1.958956323</v>
      </c>
      <c r="CG259" s="293">
        <v>1.451404065</v>
      </c>
      <c r="CH259" s="293">
        <v>13.086894258999999</v>
      </c>
      <c r="CI259" s="293">
        <v>2.0303838280000002</v>
      </c>
      <c r="CJ259" s="293">
        <v>1.4082085129999999</v>
      </c>
      <c r="CK259" s="293">
        <v>2.1825454770000001</v>
      </c>
      <c r="CL259" s="293">
        <v>0.47200763899999998</v>
      </c>
      <c r="CM259" s="293">
        <v>1.926717977</v>
      </c>
      <c r="CN259" s="293">
        <v>13.369324688000001</v>
      </c>
      <c r="CO259" s="293">
        <v>1.572467031</v>
      </c>
      <c r="CP259" s="295">
        <v>2.2171769870000002</v>
      </c>
      <c r="CQ259" s="293">
        <v>1.6139140249999999</v>
      </c>
      <c r="CR259" s="293">
        <v>2.690494191</v>
      </c>
      <c r="CS259" s="293">
        <v>2.7286537709999998</v>
      </c>
      <c r="CT259" s="293">
        <v>19.965297763999999</v>
      </c>
      <c r="CU259" s="293">
        <v>2.926404845</v>
      </c>
      <c r="CV259" s="293">
        <v>1.2423336410000001</v>
      </c>
      <c r="CW259" s="293">
        <v>1.720635634</v>
      </c>
      <c r="CX259" s="293">
        <v>1.0965883030000001</v>
      </c>
      <c r="CY259" s="293">
        <v>4.4167458179999999</v>
      </c>
      <c r="CZ259" s="293">
        <v>20.98729041</v>
      </c>
      <c r="DA259" s="293">
        <v>3.205517172</v>
      </c>
      <c r="DB259" s="1288">
        <v>1.856683648</v>
      </c>
      <c r="DC259" s="293">
        <v>1.8949841599999999</v>
      </c>
      <c r="DD259" s="293">
        <v>4.491078076</v>
      </c>
      <c r="DE259" s="293">
        <v>3.4353565370000001</v>
      </c>
      <c r="DF259" s="293">
        <v>1.8219410700000001</v>
      </c>
      <c r="DG259" s="293">
        <v>4.5336751240000002</v>
      </c>
      <c r="DH259" s="293">
        <v>1.3725996439999999</v>
      </c>
      <c r="DI259" s="293">
        <v>2.0589334090000002</v>
      </c>
      <c r="DJ259" s="293">
        <v>4.9357321399999998</v>
      </c>
      <c r="DK259" s="293">
        <v>3.4777443180000001</v>
      </c>
      <c r="DL259" s="293">
        <v>2.352990863</v>
      </c>
      <c r="DM259" s="293">
        <v>5.9086445239999996</v>
      </c>
      <c r="DN259" s="295">
        <v>1.377894102</v>
      </c>
      <c r="DO259" s="293">
        <v>2.2708957719999998</v>
      </c>
      <c r="DP259" s="293">
        <v>1.979180253</v>
      </c>
      <c r="DQ259" s="293">
        <v>10.326019866999999</v>
      </c>
      <c r="DR259" s="293">
        <v>1.8700789250000001</v>
      </c>
      <c r="DS259" s="293">
        <v>6.8912517219999998</v>
      </c>
      <c r="DT259" s="293">
        <v>2.854658401</v>
      </c>
      <c r="DU259" s="293">
        <v>3.5000753219999998</v>
      </c>
      <c r="DV259" s="293">
        <v>8.2733343969999993</v>
      </c>
      <c r="DW259" s="293">
        <v>3.441651314</v>
      </c>
      <c r="DX259" s="293">
        <v>4.4105825320000003</v>
      </c>
      <c r="DY259" s="293">
        <v>5.8488595349999999</v>
      </c>
      <c r="DZ259" s="295">
        <v>3.5002442199999999</v>
      </c>
      <c r="EA259" s="293">
        <v>3.5002442199999999</v>
      </c>
      <c r="EB259" s="293">
        <v>9.2201562900000003</v>
      </c>
      <c r="EC259" s="293">
        <v>6.3835577480000003</v>
      </c>
      <c r="ED259" s="293">
        <v>2.7260711980000001</v>
      </c>
      <c r="EE259" s="293">
        <v>8.0898960740000003</v>
      </c>
      <c r="EF259" s="293">
        <v>2.9190812730000002</v>
      </c>
      <c r="EG259" s="293">
        <v>3.6508980470000001</v>
      </c>
      <c r="EH259" s="293">
        <v>10.72770343</v>
      </c>
      <c r="EI259" s="293">
        <v>2.8788853749999999</v>
      </c>
      <c r="EJ259" s="293">
        <v>6.1792045140000003</v>
      </c>
      <c r="EK259" s="293">
        <v>7.4795880649999997</v>
      </c>
      <c r="EL259" s="1340">
        <v>4.6480506530000003</v>
      </c>
      <c r="EM259" s="1080">
        <v>3.816679057</v>
      </c>
      <c r="EN259" s="1080">
        <v>10.486365338000001</v>
      </c>
      <c r="EO259" s="1080">
        <v>6.3748220890000002</v>
      </c>
      <c r="EP259" s="1080">
        <v>14.542099840000001</v>
      </c>
      <c r="EQ259" s="1080">
        <v>1.4068361229999999</v>
      </c>
      <c r="ER259" s="1080">
        <v>13.431045345999999</v>
      </c>
      <c r="ES259" s="1080">
        <v>4.597397645</v>
      </c>
      <c r="ET259" s="1080">
        <v>11.637998302</v>
      </c>
      <c r="EU259" s="1080">
        <v>6.2838735159999999</v>
      </c>
      <c r="EV259" s="1080">
        <v>14.234033402</v>
      </c>
      <c r="EW259" s="1080">
        <v>12.805721848999999</v>
      </c>
      <c r="EX259" s="1340">
        <v>2.3569134960000002</v>
      </c>
      <c r="EY259" s="1080"/>
      <c r="EZ259" s="1080"/>
      <c r="FA259" s="1080"/>
      <c r="FB259" s="1080"/>
      <c r="FC259" s="1080"/>
      <c r="FD259" s="1080"/>
      <c r="FE259" s="1080"/>
      <c r="FF259" s="1080"/>
      <c r="FG259" s="1080"/>
      <c r="FH259" s="1080"/>
      <c r="FI259" s="1080"/>
      <c r="FJ259" s="1340"/>
      <c r="FK259" s="1080"/>
      <c r="FL259" s="1080"/>
      <c r="FM259" s="1080"/>
      <c r="FN259" s="1080"/>
      <c r="FO259" s="1080"/>
      <c r="FP259" s="1080"/>
      <c r="FQ259" s="293"/>
      <c r="FR259" s="293"/>
      <c r="FS259" s="293"/>
      <c r="FT259" s="293"/>
      <c r="FU259" s="293"/>
      <c r="FV259" s="293"/>
      <c r="FW259" s="293"/>
      <c r="FX259" s="293"/>
      <c r="FY259" s="293"/>
      <c r="FZ259" s="293"/>
      <c r="GA259" s="293"/>
      <c r="GB259" s="293"/>
      <c r="GC259" s="293"/>
      <c r="GD259" s="293"/>
      <c r="GE259" s="293"/>
      <c r="GF259" s="293"/>
      <c r="GG259" s="293"/>
      <c r="GH259" s="293"/>
      <c r="GI259" s="293"/>
      <c r="GJ259" s="293"/>
      <c r="GK259" s="293"/>
      <c r="GL259" s="293"/>
      <c r="GM259" s="293"/>
      <c r="GN259" s="293"/>
      <c r="GO259" s="293"/>
      <c r="GP259" s="293"/>
      <c r="GQ259" s="293"/>
      <c r="GR259" s="293"/>
      <c r="GS259" s="293"/>
      <c r="GT259" s="293"/>
      <c r="GU259" s="293"/>
      <c r="GV259" s="293"/>
      <c r="GW259" s="293"/>
      <c r="GX259" s="293"/>
      <c r="GY259" s="293"/>
      <c r="GZ259" s="293"/>
      <c r="HA259" s="293"/>
      <c r="HB259" s="293"/>
      <c r="HC259" s="293"/>
      <c r="HD259" s="293"/>
      <c r="HE259" s="293"/>
      <c r="HF259" s="293"/>
      <c r="HG259" s="293"/>
      <c r="HH259" s="293"/>
      <c r="HI259" s="293"/>
      <c r="HJ259" s="293"/>
      <c r="HK259" s="293"/>
      <c r="HL259" s="293"/>
      <c r="HM259" s="293"/>
      <c r="HN259" s="293"/>
      <c r="HO259" s="293"/>
      <c r="HP259" s="293"/>
      <c r="HQ259" s="293"/>
      <c r="HR259" s="293"/>
      <c r="HS259" s="293"/>
      <c r="HT259" s="293"/>
      <c r="HU259" s="293"/>
      <c r="HV259" s="293"/>
      <c r="HW259" s="293"/>
      <c r="HX259" s="293"/>
      <c r="HY259" s="293"/>
      <c r="IH259" s="279">
        <f>+SUM(DC259:DH259)</f>
        <v>17.549634610999998</v>
      </c>
      <c r="II259" s="279">
        <f>+SUM(DI259:DN259)</f>
        <v>20.111939356000001</v>
      </c>
      <c r="IJ259" s="323">
        <f t="shared" si="244"/>
        <v>37.661573966999995</v>
      </c>
      <c r="IK259" s="279">
        <f>SUM(DO259:DT259)</f>
        <v>26.192084940000001</v>
      </c>
      <c r="KT259" s="280"/>
    </row>
    <row r="260" spans="1:306" hidden="1" outlineLevel="1">
      <c r="B260" s="96" t="s">
        <v>338</v>
      </c>
      <c r="D260" s="314" t="s">
        <v>444</v>
      </c>
      <c r="E260" s="293"/>
      <c r="F260" s="293"/>
      <c r="G260" s="293"/>
      <c r="H260" s="293"/>
      <c r="I260" s="293"/>
      <c r="J260" s="293"/>
      <c r="K260" s="293"/>
      <c r="L260" s="293"/>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c r="BN260" s="293"/>
      <c r="BO260" s="293"/>
      <c r="BP260" s="293"/>
      <c r="BQ260" s="293"/>
      <c r="BR260" s="293"/>
      <c r="BS260" s="293">
        <v>0.96557876300000001</v>
      </c>
      <c r="BT260" s="293">
        <v>7.2424847000000001E-2</v>
      </c>
      <c r="BU260" s="293">
        <v>0.67611396800000001</v>
      </c>
      <c r="BV260" s="293">
        <v>3.2317306860000001</v>
      </c>
      <c r="BW260" s="293">
        <v>1.3253600999999999</v>
      </c>
      <c r="BX260" s="293">
        <v>0.83295369200000002</v>
      </c>
      <c r="BY260" s="293">
        <v>1.1392456129999999</v>
      </c>
      <c r="BZ260" s="293">
        <v>0.46771389600000002</v>
      </c>
      <c r="CA260" s="293">
        <v>0.69489980600000001</v>
      </c>
      <c r="CB260" s="293">
        <v>0.71632456600000005</v>
      </c>
      <c r="CC260" s="293">
        <v>2.854530499</v>
      </c>
      <c r="CD260" s="293">
        <v>6.0947944080000003</v>
      </c>
      <c r="CE260" s="294">
        <v>0.39586318599999998</v>
      </c>
      <c r="CF260" s="293">
        <v>0.42736229799999997</v>
      </c>
      <c r="CG260" s="293">
        <v>0.703602968</v>
      </c>
      <c r="CH260" s="293">
        <v>2.4406560769999999</v>
      </c>
      <c r="CI260" s="293">
        <v>1.580804755</v>
      </c>
      <c r="CJ260" s="293">
        <v>0.87157223399999995</v>
      </c>
      <c r="CK260" s="293">
        <v>2.2065311749999998</v>
      </c>
      <c r="CL260" s="293">
        <v>1.0281840710000001</v>
      </c>
      <c r="CM260" s="293">
        <v>2.360836929</v>
      </c>
      <c r="CN260" s="293">
        <v>4.9935879759999997</v>
      </c>
      <c r="CO260" s="293">
        <v>8.2198030689999992</v>
      </c>
      <c r="CP260" s="295">
        <v>0.86198469600000005</v>
      </c>
      <c r="CQ260" s="293">
        <v>9.8490963990000004</v>
      </c>
      <c r="CR260" s="293">
        <v>0.102537352</v>
      </c>
      <c r="CS260" s="293">
        <v>1.360054179</v>
      </c>
      <c r="CT260" s="293">
        <v>2.0463993569999999</v>
      </c>
      <c r="CU260" s="293">
        <v>1.4408561609999999</v>
      </c>
      <c r="CV260" s="293">
        <v>1.1275184149999999</v>
      </c>
      <c r="CW260" s="293">
        <v>1.1873878470000001</v>
      </c>
      <c r="CX260" s="293">
        <v>0.103676817</v>
      </c>
      <c r="CY260" s="293">
        <v>1.763604411</v>
      </c>
      <c r="CZ260" s="293">
        <v>2.1634711850000001</v>
      </c>
      <c r="DA260" s="293">
        <v>2.3130289560000001</v>
      </c>
      <c r="DB260" s="1288">
        <v>1.0637032870000001</v>
      </c>
      <c r="DC260" s="293">
        <v>1.444282061</v>
      </c>
      <c r="DD260" s="293">
        <v>0.106041388</v>
      </c>
      <c r="DE260" s="293">
        <v>1.7954092049999999</v>
      </c>
      <c r="DF260" s="293">
        <v>2.3202968859999999</v>
      </c>
      <c r="DG260" s="293">
        <v>12.082189246</v>
      </c>
      <c r="DH260" s="293">
        <v>1.4302259770000001</v>
      </c>
      <c r="DI260" s="293">
        <v>1.344234975</v>
      </c>
      <c r="DJ260" s="293">
        <v>0.110646936</v>
      </c>
      <c r="DK260" s="293">
        <v>4.132394315</v>
      </c>
      <c r="DL260" s="293">
        <v>2.4114964649999999</v>
      </c>
      <c r="DM260" s="293">
        <v>2.7604297070000001</v>
      </c>
      <c r="DN260" s="295">
        <v>4.0842326419999999</v>
      </c>
      <c r="DO260" s="293">
        <v>1.537694613</v>
      </c>
      <c r="DP260" s="293">
        <v>0.943079801</v>
      </c>
      <c r="DQ260" s="293">
        <v>8.0629126170000003</v>
      </c>
      <c r="DR260" s="293">
        <v>3.375540006</v>
      </c>
      <c r="DS260" s="293">
        <v>1.795995776</v>
      </c>
      <c r="DT260" s="293">
        <v>2.2912062039999999</v>
      </c>
      <c r="DU260" s="293">
        <v>11.939265708000001</v>
      </c>
      <c r="DV260" s="293">
        <v>3.7590306930000001</v>
      </c>
      <c r="DW260" s="293">
        <v>7.1034922119999999</v>
      </c>
      <c r="DX260" s="293">
        <v>4.5842435669999997</v>
      </c>
      <c r="DY260" s="293">
        <v>1.9757851319999999</v>
      </c>
      <c r="DZ260" s="295">
        <v>2.3953407169999998</v>
      </c>
      <c r="EA260" s="293">
        <v>2.3953407169999998</v>
      </c>
      <c r="EB260" s="293">
        <v>3.91415238</v>
      </c>
      <c r="EC260" s="293">
        <v>7.3104019149999999</v>
      </c>
      <c r="ED260" s="293">
        <v>4.7563836659999996</v>
      </c>
      <c r="EE260" s="293">
        <v>1.890203195</v>
      </c>
      <c r="EF260" s="293">
        <v>9.3638516749999994</v>
      </c>
      <c r="EG260" s="293">
        <v>1.1499744510000001</v>
      </c>
      <c r="EH260" s="293">
        <v>2.359665503</v>
      </c>
      <c r="EI260" s="293">
        <v>6.6830322469999999</v>
      </c>
      <c r="EJ260" s="293">
        <v>9.1984197689999991</v>
      </c>
      <c r="EK260" s="293">
        <v>2.0812441829999999</v>
      </c>
      <c r="EL260" s="1340">
        <v>8.2409011490000008</v>
      </c>
      <c r="EM260" s="1080">
        <v>2.5469821850000001</v>
      </c>
      <c r="EN260" s="1080">
        <v>0.65517455199999997</v>
      </c>
      <c r="EO260" s="1080">
        <v>5.5644570880000002</v>
      </c>
      <c r="EP260" s="1080">
        <v>2.9774682480000001</v>
      </c>
      <c r="EQ260" s="1080">
        <v>17.292357291999998</v>
      </c>
      <c r="ER260" s="1080">
        <v>1.6570807460000001</v>
      </c>
      <c r="ES260" s="1080">
        <v>1.1860716259999999</v>
      </c>
      <c r="ET260" s="1080">
        <v>1.4158283250000001</v>
      </c>
      <c r="EU260" s="1080">
        <v>5.9580953709999998</v>
      </c>
      <c r="EV260" s="1080">
        <v>1.805382633</v>
      </c>
      <c r="EW260" s="1080">
        <v>17.144360447</v>
      </c>
      <c r="EX260" s="1340">
        <v>1.517057804</v>
      </c>
      <c r="EY260" s="1080"/>
      <c r="EZ260" s="1080"/>
      <c r="FA260" s="1080"/>
      <c r="FB260" s="1080"/>
      <c r="FC260" s="1080"/>
      <c r="FD260" s="1080"/>
      <c r="FE260" s="1080"/>
      <c r="FF260" s="1080"/>
      <c r="FG260" s="1080"/>
      <c r="FH260" s="1080"/>
      <c r="FI260" s="1080"/>
      <c r="FJ260" s="1340"/>
      <c r="FK260" s="1080"/>
      <c r="FL260" s="1080"/>
      <c r="FM260" s="1080"/>
      <c r="FN260" s="1080"/>
      <c r="FO260" s="1080"/>
      <c r="FP260" s="1080"/>
      <c r="FQ260" s="293"/>
      <c r="FR260" s="293"/>
      <c r="FS260" s="293"/>
      <c r="FT260" s="293"/>
      <c r="FU260" s="293"/>
      <c r="FV260" s="293"/>
      <c r="FW260" s="293"/>
      <c r="FX260" s="293"/>
      <c r="FY260" s="293"/>
      <c r="FZ260" s="293"/>
      <c r="GA260" s="293"/>
      <c r="GB260" s="293"/>
      <c r="GC260" s="293"/>
      <c r="GD260" s="293"/>
      <c r="GE260" s="293"/>
      <c r="GF260" s="293"/>
      <c r="GG260" s="293"/>
      <c r="GH260" s="293"/>
      <c r="GI260" s="293"/>
      <c r="GJ260" s="293"/>
      <c r="GK260" s="293"/>
      <c r="GL260" s="293"/>
      <c r="GM260" s="293"/>
      <c r="GN260" s="293"/>
      <c r="GO260" s="293"/>
      <c r="GP260" s="293"/>
      <c r="GQ260" s="293"/>
      <c r="GR260" s="293"/>
      <c r="GS260" s="293"/>
      <c r="GT260" s="293"/>
      <c r="GU260" s="293"/>
      <c r="GV260" s="293"/>
      <c r="GW260" s="293"/>
      <c r="GX260" s="293"/>
      <c r="GY260" s="293"/>
      <c r="GZ260" s="293"/>
      <c r="HA260" s="293"/>
      <c r="HB260" s="293"/>
      <c r="HC260" s="293"/>
      <c r="HD260" s="293"/>
      <c r="HE260" s="293"/>
      <c r="HF260" s="293"/>
      <c r="HG260" s="293"/>
      <c r="HH260" s="293"/>
      <c r="HI260" s="293"/>
      <c r="HJ260" s="293"/>
      <c r="HK260" s="293"/>
      <c r="HL260" s="293"/>
      <c r="HM260" s="293"/>
      <c r="HN260" s="293"/>
      <c r="HO260" s="293"/>
      <c r="HP260" s="293"/>
      <c r="HQ260" s="293"/>
      <c r="HR260" s="293"/>
      <c r="HS260" s="293"/>
      <c r="HT260" s="293"/>
      <c r="HU260" s="293"/>
      <c r="HV260" s="293"/>
      <c r="HW260" s="293"/>
      <c r="HX260" s="293"/>
      <c r="HY260" s="293"/>
      <c r="IH260" s="279">
        <f>+SUM(DC260:DH260)</f>
        <v>19.178444763000002</v>
      </c>
      <c r="II260" s="279">
        <f>+SUM(DI260:DN260)</f>
        <v>14.843435039999999</v>
      </c>
      <c r="IJ260" s="323">
        <f t="shared" ref="IJ260:IJ277" si="246">IH260+II260</f>
        <v>34.021879803000004</v>
      </c>
      <c r="IK260" s="279">
        <f>SUM(DO260:DT260)</f>
        <v>18.006429017000002</v>
      </c>
      <c r="KT260" s="280"/>
    </row>
    <row r="261" spans="1:306" hidden="1" outlineLevel="1">
      <c r="B261" s="96" t="s">
        <v>338</v>
      </c>
      <c r="D261" s="791" t="s">
        <v>1018</v>
      </c>
      <c r="E261" s="293"/>
      <c r="F261" s="293"/>
      <c r="G261" s="293"/>
      <c r="H261" s="293"/>
      <c r="I261" s="293"/>
      <c r="J261" s="293"/>
      <c r="K261" s="293"/>
      <c r="L261" s="293"/>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c r="BN261" s="293"/>
      <c r="BO261" s="293"/>
      <c r="BP261" s="293"/>
      <c r="BQ261" s="293"/>
      <c r="BR261" s="293"/>
      <c r="BS261" s="293"/>
      <c r="BT261" s="293"/>
      <c r="BU261" s="293"/>
      <c r="BV261" s="293"/>
      <c r="BW261" s="293"/>
      <c r="BX261" s="293"/>
      <c r="BY261" s="293"/>
      <c r="BZ261" s="293"/>
      <c r="CA261" s="293"/>
      <c r="CB261" s="293"/>
      <c r="CC261" s="293"/>
      <c r="CD261" s="293"/>
      <c r="CE261" s="294">
        <v>5.9806559970000004</v>
      </c>
      <c r="CF261" s="293">
        <v>0</v>
      </c>
      <c r="CG261" s="293">
        <v>2.4868241860000002</v>
      </c>
      <c r="CH261" s="293">
        <v>5.7063252359999996</v>
      </c>
      <c r="CI261" s="293">
        <v>0.115232735</v>
      </c>
      <c r="CJ261" s="293">
        <v>0.171666657</v>
      </c>
      <c r="CK261" s="293">
        <v>1.8893802909999999</v>
      </c>
      <c r="CL261" s="293">
        <v>0.154772415</v>
      </c>
      <c r="CM261" s="293">
        <v>0.79095841600000005</v>
      </c>
      <c r="CN261" s="293">
        <v>4.2216037030000004</v>
      </c>
      <c r="CO261" s="293">
        <v>0.83095245100000004</v>
      </c>
      <c r="CP261" s="295">
        <v>5.8514820000000002E-2</v>
      </c>
      <c r="CQ261" s="293">
        <v>4.3384599399999999</v>
      </c>
      <c r="CR261" s="293">
        <v>2.8334494619999999</v>
      </c>
      <c r="CS261" s="293">
        <v>5.5940669710000002</v>
      </c>
      <c r="CT261" s="293">
        <v>2.7899434000000001E-2</v>
      </c>
      <c r="CU261" s="293">
        <v>0</v>
      </c>
      <c r="CV261" s="293">
        <v>0</v>
      </c>
      <c r="CW261" s="293">
        <v>3.0288072960000001</v>
      </c>
      <c r="CX261" s="293">
        <v>0.14963575000000001</v>
      </c>
      <c r="CY261" s="293">
        <v>4.3652265970000004</v>
      </c>
      <c r="CZ261" s="293">
        <v>3.8180877049999999</v>
      </c>
      <c r="DA261" s="293">
        <v>0.87516175500000004</v>
      </c>
      <c r="DB261" s="1288">
        <v>3.5785191630000002</v>
      </c>
      <c r="DC261" s="293">
        <v>0</v>
      </c>
      <c r="DD261" s="293">
        <v>0</v>
      </c>
      <c r="DE261" s="293">
        <v>0.84725262700000004</v>
      </c>
      <c r="DF261" s="293">
        <v>1.4201047630000001</v>
      </c>
      <c r="DG261" s="293">
        <v>0.17094899999999999</v>
      </c>
      <c r="DH261" s="293">
        <v>0.83931962000000004</v>
      </c>
      <c r="DI261" s="293">
        <v>2.6560080570000002</v>
      </c>
      <c r="DJ261" s="293">
        <v>0</v>
      </c>
      <c r="DK261" s="293">
        <v>0.496480586</v>
      </c>
      <c r="DL261" s="293">
        <v>0.48701245199999998</v>
      </c>
      <c r="DM261" s="293">
        <v>3.3036283950000001</v>
      </c>
      <c r="DN261" s="295">
        <v>0</v>
      </c>
      <c r="DO261" s="293">
        <v>0</v>
      </c>
      <c r="DP261" s="293">
        <v>0</v>
      </c>
      <c r="DQ261" s="293">
        <v>0</v>
      </c>
      <c r="DR261" s="293">
        <v>0</v>
      </c>
      <c r="DS261" s="293">
        <v>0</v>
      </c>
      <c r="DT261" s="293">
        <v>0</v>
      </c>
      <c r="DU261" s="293">
        <v>0</v>
      </c>
      <c r="DV261" s="293">
        <v>0</v>
      </c>
      <c r="DW261" s="293">
        <v>0</v>
      </c>
      <c r="DX261" s="293">
        <v>0</v>
      </c>
      <c r="DY261" s="293">
        <v>0</v>
      </c>
      <c r="DZ261" s="295">
        <v>0</v>
      </c>
      <c r="EA261" s="293">
        <v>0</v>
      </c>
      <c r="EB261" s="293">
        <v>0</v>
      </c>
      <c r="EC261" s="293">
        <v>0</v>
      </c>
      <c r="ED261" s="293">
        <v>0</v>
      </c>
      <c r="EE261" s="293">
        <v>0</v>
      </c>
      <c r="EF261" s="293">
        <v>0</v>
      </c>
      <c r="EG261" s="293">
        <v>0</v>
      </c>
      <c r="EH261" s="293">
        <v>0</v>
      </c>
      <c r="EI261" s="293">
        <v>0</v>
      </c>
      <c r="EJ261" s="293">
        <v>0</v>
      </c>
      <c r="EK261" s="293">
        <v>0</v>
      </c>
      <c r="EL261" s="1340">
        <v>0</v>
      </c>
      <c r="EM261" s="1080">
        <v>0</v>
      </c>
      <c r="EN261" s="1080">
        <v>0</v>
      </c>
      <c r="EO261" s="1080">
        <v>0</v>
      </c>
      <c r="EP261" s="1080">
        <v>0</v>
      </c>
      <c r="EQ261" s="1080">
        <v>0</v>
      </c>
      <c r="ER261" s="1080">
        <v>0</v>
      </c>
      <c r="ES261" s="1080">
        <v>0</v>
      </c>
      <c r="ET261" s="1080">
        <v>0</v>
      </c>
      <c r="EU261" s="1080">
        <v>0</v>
      </c>
      <c r="EV261" s="1080">
        <v>0</v>
      </c>
      <c r="EW261" s="1080">
        <v>0</v>
      </c>
      <c r="EX261" s="1340">
        <v>0</v>
      </c>
      <c r="EY261" s="1080"/>
      <c r="EZ261" s="1080"/>
      <c r="FA261" s="1080"/>
      <c r="FB261" s="1080"/>
      <c r="FC261" s="1080"/>
      <c r="FD261" s="1080"/>
      <c r="FE261" s="1080"/>
      <c r="FF261" s="1080"/>
      <c r="FG261" s="1080"/>
      <c r="FH261" s="1080"/>
      <c r="FI261" s="1080"/>
      <c r="FJ261" s="1340"/>
      <c r="FK261" s="1080"/>
      <c r="FL261" s="1080"/>
      <c r="FM261" s="1080"/>
      <c r="FN261" s="1080"/>
      <c r="FO261" s="1080"/>
      <c r="FP261" s="1080"/>
      <c r="FQ261" s="293"/>
      <c r="FR261" s="293"/>
      <c r="FS261" s="293"/>
      <c r="FT261" s="293"/>
      <c r="FU261" s="293"/>
      <c r="FV261" s="293"/>
      <c r="FW261" s="293"/>
      <c r="FX261" s="293"/>
      <c r="FY261" s="293"/>
      <c r="FZ261" s="293"/>
      <c r="GA261" s="293"/>
      <c r="GB261" s="293"/>
      <c r="GC261" s="293"/>
      <c r="GD261" s="293"/>
      <c r="GE261" s="293"/>
      <c r="GF261" s="293"/>
      <c r="GG261" s="293"/>
      <c r="GH261" s="293"/>
      <c r="GI261" s="293"/>
      <c r="GJ261" s="293"/>
      <c r="GK261" s="293"/>
      <c r="GL261" s="293"/>
      <c r="GM261" s="293"/>
      <c r="GN261" s="293"/>
      <c r="GO261" s="293"/>
      <c r="GP261" s="293"/>
      <c r="GQ261" s="293"/>
      <c r="GR261" s="293"/>
      <c r="GS261" s="293"/>
      <c r="GT261" s="293"/>
      <c r="GU261" s="293"/>
      <c r="GV261" s="293"/>
      <c r="GW261" s="293"/>
      <c r="GX261" s="293"/>
      <c r="GY261" s="293"/>
      <c r="GZ261" s="293"/>
      <c r="HA261" s="293"/>
      <c r="HB261" s="293"/>
      <c r="HC261" s="293"/>
      <c r="HD261" s="293"/>
      <c r="HE261" s="293"/>
      <c r="HF261" s="293"/>
      <c r="HG261" s="293"/>
      <c r="HH261" s="293"/>
      <c r="HI261" s="293"/>
      <c r="HJ261" s="293"/>
      <c r="HK261" s="293"/>
      <c r="HL261" s="293"/>
      <c r="HM261" s="293"/>
      <c r="HN261" s="293"/>
      <c r="HO261" s="293"/>
      <c r="HP261" s="293"/>
      <c r="HQ261" s="293"/>
      <c r="HR261" s="293"/>
      <c r="HS261" s="293"/>
      <c r="HT261" s="293"/>
      <c r="HU261" s="293"/>
      <c r="HV261" s="293"/>
      <c r="HW261" s="293"/>
      <c r="HX261" s="293"/>
      <c r="HY261" s="293"/>
      <c r="IH261" s="279">
        <f>+SUM(DC261:DH261)</f>
        <v>3.2776260099999996</v>
      </c>
      <c r="II261" s="279">
        <f>+SUM(DI261:DN261)</f>
        <v>6.9431294900000005</v>
      </c>
      <c r="IJ261" s="323">
        <f t="shared" si="246"/>
        <v>10.220755499999999</v>
      </c>
      <c r="IK261" s="279">
        <f>SUM(DO261:DT261)</f>
        <v>0</v>
      </c>
      <c r="KT261" s="280"/>
    </row>
    <row r="262" spans="1:306" hidden="1" outlineLevel="1">
      <c r="D262" s="849"/>
      <c r="CE262" s="793"/>
      <c r="CP262" s="280"/>
      <c r="DC262" s="843" t="s">
        <v>1016</v>
      </c>
      <c r="DN262" s="295">
        <v>92.159235922999997</v>
      </c>
      <c r="DO262" s="293"/>
      <c r="DP262" s="293"/>
      <c r="DQ262" s="293"/>
      <c r="DR262" s="293"/>
      <c r="DS262" s="293"/>
      <c r="DT262" s="293"/>
      <c r="DU262" s="293"/>
      <c r="DV262" s="293"/>
      <c r="DW262" s="293"/>
      <c r="DX262" s="293"/>
      <c r="DY262" s="293"/>
      <c r="DZ262" s="295"/>
      <c r="EA262" s="293"/>
      <c r="EB262" s="293"/>
      <c r="EC262" s="293"/>
      <c r="ED262" s="293"/>
      <c r="EE262" s="293"/>
      <c r="EF262" s="293"/>
      <c r="EG262" s="293"/>
      <c r="EH262" s="293"/>
      <c r="EI262" s="293"/>
      <c r="EJ262" s="293"/>
      <c r="EK262" s="293"/>
      <c r="EL262" s="295"/>
      <c r="EM262" s="1080"/>
      <c r="EN262" s="1080"/>
      <c r="EO262" s="1080"/>
      <c r="EP262" s="1080"/>
      <c r="EQ262" s="1080"/>
      <c r="ER262" s="1080"/>
      <c r="ES262" s="1080"/>
      <c r="ET262" s="1080"/>
      <c r="EU262" s="1080"/>
      <c r="EV262" s="1080"/>
      <c r="EW262" s="1080"/>
      <c r="EX262" s="1340"/>
      <c r="EY262" s="1080"/>
      <c r="EZ262" s="1080"/>
      <c r="FA262" s="1080"/>
      <c r="FB262" s="1080"/>
      <c r="FC262" s="1080"/>
      <c r="FD262" s="1080"/>
      <c r="FE262" s="1080"/>
      <c r="FF262" s="1080"/>
      <c r="FG262" s="1080"/>
      <c r="FH262" s="1080"/>
      <c r="FI262" s="1080"/>
      <c r="FJ262" s="1340"/>
      <c r="FK262" s="1080"/>
      <c r="FL262" s="1080"/>
      <c r="FM262" s="1080"/>
      <c r="FN262" s="1080"/>
      <c r="FO262" s="1080"/>
      <c r="FP262" s="1080"/>
      <c r="FQ262" s="293"/>
      <c r="FR262" s="293"/>
      <c r="FS262" s="293"/>
      <c r="FT262" s="293"/>
      <c r="FU262" s="293"/>
      <c r="FV262" s="293"/>
      <c r="FW262" s="293"/>
      <c r="FX262" s="293"/>
      <c r="FY262" s="293"/>
      <c r="FZ262" s="293"/>
      <c r="GA262" s="293"/>
      <c r="GB262" s="293"/>
      <c r="GC262" s="293"/>
      <c r="GD262" s="293"/>
      <c r="GE262" s="293"/>
      <c r="GF262" s="293"/>
      <c r="GG262" s="293"/>
      <c r="GH262" s="293"/>
      <c r="GI262" s="293"/>
      <c r="GJ262" s="293"/>
      <c r="GK262" s="293"/>
      <c r="GL262" s="293"/>
      <c r="GM262" s="293"/>
      <c r="GN262" s="293"/>
      <c r="GO262" s="293"/>
      <c r="GP262" s="293"/>
      <c r="GQ262" s="293"/>
      <c r="GR262" s="293"/>
      <c r="GS262" s="293"/>
      <c r="GT262" s="293"/>
      <c r="GU262" s="293"/>
      <c r="GV262" s="293"/>
      <c r="GW262" s="293"/>
      <c r="GX262" s="293"/>
      <c r="GY262" s="293"/>
      <c r="GZ262" s="293"/>
      <c r="HA262" s="293"/>
      <c r="HB262" s="293"/>
      <c r="HC262" s="293"/>
      <c r="HD262" s="293"/>
      <c r="HE262" s="293"/>
      <c r="HF262" s="293"/>
      <c r="HG262" s="293"/>
      <c r="HH262" s="293"/>
      <c r="HI262" s="293"/>
      <c r="HJ262" s="293"/>
      <c r="HK262" s="293"/>
      <c r="HL262" s="293"/>
      <c r="HM262" s="293"/>
      <c r="HN262" s="293"/>
      <c r="HO262" s="293"/>
      <c r="HP262" s="293"/>
      <c r="HQ262" s="293"/>
      <c r="HR262" s="293"/>
      <c r="HS262" s="293"/>
      <c r="HT262" s="293"/>
      <c r="HU262" s="293"/>
      <c r="HV262" s="293"/>
      <c r="HW262" s="293"/>
      <c r="HX262" s="293"/>
      <c r="HY262" s="293"/>
      <c r="IJ262" s="323"/>
      <c r="KT262" s="280"/>
    </row>
    <row r="263" spans="1:306" ht="11.25" hidden="1" customHeight="1" outlineLevel="1">
      <c r="D263" s="849"/>
      <c r="CE263" s="793"/>
      <c r="CP263" s="280"/>
      <c r="DC263" s="843"/>
      <c r="EA263" s="279"/>
      <c r="EB263" s="279"/>
      <c r="EC263" s="279"/>
      <c r="ED263" s="279"/>
      <c r="EE263" s="279"/>
      <c r="EF263" s="279"/>
      <c r="EG263" s="279"/>
      <c r="EH263" s="279"/>
      <c r="EI263" s="279"/>
      <c r="EJ263" s="279"/>
      <c r="EK263" s="279"/>
      <c r="EL263" s="280"/>
      <c r="EM263" s="1082"/>
      <c r="EN263" s="1082"/>
      <c r="EO263" s="1082"/>
      <c r="EP263" s="1082"/>
      <c r="EQ263" s="1082"/>
      <c r="ER263" s="1082"/>
      <c r="ES263" s="1082"/>
      <c r="ET263" s="1082"/>
      <c r="EU263" s="1082"/>
      <c r="EV263" s="1082"/>
      <c r="EW263" s="1082"/>
      <c r="EX263" s="1350"/>
      <c r="EY263" s="1082"/>
      <c r="EZ263" s="1082"/>
      <c r="FA263" s="1082"/>
      <c r="FB263" s="1082"/>
      <c r="FC263" s="1082"/>
      <c r="FD263" s="1082"/>
      <c r="FE263" s="1082"/>
      <c r="FF263" s="1082"/>
      <c r="FG263" s="1082"/>
      <c r="FH263" s="1082"/>
      <c r="FI263" s="1082"/>
      <c r="FJ263" s="1350"/>
      <c r="FK263" s="1082"/>
      <c r="FL263" s="1082"/>
      <c r="FM263" s="1082"/>
      <c r="FN263" s="1082"/>
      <c r="FO263" s="1082"/>
      <c r="FP263" s="1082"/>
      <c r="FQ263" s="279"/>
      <c r="FR263" s="279"/>
      <c r="FS263" s="279"/>
      <c r="FT263" s="279"/>
      <c r="FU263" s="279"/>
      <c r="FV263" s="279"/>
      <c r="FW263" s="279"/>
      <c r="FX263" s="279"/>
      <c r="FY263" s="279"/>
      <c r="FZ263" s="279"/>
      <c r="GA263" s="279"/>
      <c r="GB263" s="279"/>
      <c r="GC263" s="279"/>
      <c r="GD263" s="279"/>
      <c r="GE263" s="279"/>
      <c r="GF263" s="279"/>
      <c r="GG263" s="279"/>
      <c r="GH263" s="279"/>
      <c r="GI263" s="279"/>
      <c r="GJ263" s="279"/>
      <c r="GK263" s="279"/>
      <c r="GL263" s="279"/>
      <c r="GM263" s="279"/>
      <c r="GN263" s="279"/>
      <c r="GO263" s="279"/>
      <c r="GP263" s="279"/>
      <c r="GQ263" s="279"/>
      <c r="GR263" s="279"/>
      <c r="GS263" s="279"/>
      <c r="GT263" s="279"/>
      <c r="GU263" s="279"/>
      <c r="GV263" s="279"/>
      <c r="GW263" s="279"/>
      <c r="GX263" s="279"/>
      <c r="GY263" s="279"/>
      <c r="GZ263" s="279"/>
      <c r="HA263" s="279"/>
      <c r="HB263" s="279"/>
      <c r="HC263" s="279"/>
      <c r="HD263" s="279"/>
      <c r="HE263" s="279"/>
      <c r="HF263" s="279"/>
      <c r="HG263" s="279"/>
      <c r="HH263" s="279"/>
      <c r="HI263" s="279"/>
      <c r="HJ263" s="279"/>
      <c r="HK263" s="279"/>
      <c r="HL263" s="279"/>
      <c r="HM263" s="279"/>
      <c r="HN263" s="279"/>
      <c r="HO263" s="279"/>
      <c r="HP263" s="279"/>
      <c r="HQ263" s="279"/>
      <c r="HR263" s="279"/>
      <c r="HS263" s="279"/>
      <c r="HT263" s="279"/>
      <c r="HU263" s="279"/>
      <c r="HV263" s="279"/>
      <c r="HW263" s="279"/>
      <c r="HX263" s="279"/>
      <c r="HY263" s="279"/>
      <c r="IJ263" s="323"/>
      <c r="KT263" s="280"/>
    </row>
    <row r="264" spans="1:306" hidden="1" outlineLevel="1">
      <c r="A264" s="291" t="s">
        <v>1042</v>
      </c>
      <c r="D264" s="849"/>
      <c r="CE264" s="793"/>
      <c r="CP264" s="280"/>
      <c r="DC264" s="843" t="s">
        <v>1019</v>
      </c>
      <c r="EA264" s="279"/>
      <c r="EB264" s="279"/>
      <c r="EC264" s="279"/>
      <c r="ED264" s="279"/>
      <c r="EE264" s="279"/>
      <c r="EF264" s="279"/>
      <c r="EG264" s="279"/>
      <c r="EH264" s="279"/>
      <c r="EI264" s="279"/>
      <c r="EJ264" s="279"/>
      <c r="EK264" s="279"/>
      <c r="EL264" s="280"/>
      <c r="EM264" s="1082"/>
      <c r="EN264" s="1082"/>
      <c r="EO264" s="1082"/>
      <c r="EP264" s="1082"/>
      <c r="EQ264" s="1082"/>
      <c r="ER264" s="1082"/>
      <c r="ES264" s="1082"/>
      <c r="ET264" s="1082"/>
      <c r="EU264" s="1082"/>
      <c r="EV264" s="1082"/>
      <c r="EW264" s="1082"/>
      <c r="EX264" s="1350"/>
      <c r="EY264" s="1082"/>
      <c r="EZ264" s="1082"/>
      <c r="FA264" s="1082"/>
      <c r="FB264" s="1082"/>
      <c r="FC264" s="1082"/>
      <c r="FD264" s="1082"/>
      <c r="FE264" s="1082"/>
      <c r="FF264" s="1082"/>
      <c r="FG264" s="1082"/>
      <c r="FH264" s="1082"/>
      <c r="FI264" s="1082"/>
      <c r="FJ264" s="1350"/>
      <c r="FK264" s="1082"/>
      <c r="FL264" s="1082"/>
      <c r="FM264" s="1082"/>
      <c r="FN264" s="1082"/>
      <c r="FO264" s="1082"/>
      <c r="FP264" s="1082"/>
      <c r="FQ264" s="279"/>
      <c r="FR264" s="279"/>
      <c r="FS264" s="279"/>
      <c r="FT264" s="279"/>
      <c r="FU264" s="279"/>
      <c r="FV264" s="279"/>
      <c r="FW264" s="279"/>
      <c r="FX264" s="279"/>
      <c r="FY264" s="279"/>
      <c r="FZ264" s="279"/>
      <c r="GA264" s="279"/>
      <c r="GB264" s="279"/>
      <c r="GC264" s="279"/>
      <c r="GD264" s="279"/>
      <c r="GE264" s="279"/>
      <c r="GF264" s="279"/>
      <c r="GG264" s="279"/>
      <c r="GH264" s="279"/>
      <c r="GI264" s="279"/>
      <c r="GJ264" s="279"/>
      <c r="GK264" s="279"/>
      <c r="GL264" s="279"/>
      <c r="GM264" s="279"/>
      <c r="GN264" s="279"/>
      <c r="GO264" s="279"/>
      <c r="GP264" s="279"/>
      <c r="GQ264" s="279"/>
      <c r="GR264" s="279"/>
      <c r="GS264" s="279"/>
      <c r="GT264" s="279"/>
      <c r="GU264" s="279"/>
      <c r="GV264" s="279"/>
      <c r="GW264" s="279"/>
      <c r="GX264" s="279"/>
      <c r="GY264" s="279"/>
      <c r="GZ264" s="279"/>
      <c r="HA264" s="279"/>
      <c r="HB264" s="279"/>
      <c r="HC264" s="279"/>
      <c r="HD264" s="279"/>
      <c r="HE264" s="279"/>
      <c r="HF264" s="279"/>
      <c r="HG264" s="279"/>
      <c r="HH264" s="279"/>
      <c r="HI264" s="279"/>
      <c r="HJ264" s="279"/>
      <c r="HK264" s="279"/>
      <c r="HL264" s="279"/>
      <c r="HM264" s="279"/>
      <c r="HN264" s="279"/>
      <c r="HO264" s="279"/>
      <c r="HP264" s="279"/>
      <c r="HQ264" s="279"/>
      <c r="HR264" s="279"/>
      <c r="HS264" s="279"/>
      <c r="HT264" s="279"/>
      <c r="HU264" s="279"/>
      <c r="HV264" s="279"/>
      <c r="HW264" s="279"/>
      <c r="HX264" s="279"/>
      <c r="HY264" s="279"/>
      <c r="IJ264" s="323"/>
      <c r="KT264" s="280"/>
    </row>
    <row r="265" spans="1:306" hidden="1" outlineLevel="1">
      <c r="A265" s="96" t="s">
        <v>878</v>
      </c>
      <c r="D265" s="821"/>
      <c r="E265" s="821">
        <f t="shared" ref="E265:BO265" si="247">+E$1</f>
        <v>39083</v>
      </c>
      <c r="F265" s="821">
        <f t="shared" si="247"/>
        <v>39114</v>
      </c>
      <c r="G265" s="821">
        <f t="shared" si="247"/>
        <v>39142</v>
      </c>
      <c r="H265" s="821">
        <f t="shared" si="247"/>
        <v>39173</v>
      </c>
      <c r="I265" s="821">
        <f t="shared" si="247"/>
        <v>39203</v>
      </c>
      <c r="J265" s="821">
        <f t="shared" si="247"/>
        <v>39234</v>
      </c>
      <c r="K265" s="821">
        <f t="shared" si="247"/>
        <v>39264</v>
      </c>
      <c r="L265" s="821">
        <f t="shared" si="247"/>
        <v>39295</v>
      </c>
      <c r="M265" s="821">
        <f t="shared" si="247"/>
        <v>39326</v>
      </c>
      <c r="N265" s="821">
        <f t="shared" si="247"/>
        <v>39356</v>
      </c>
      <c r="O265" s="821">
        <f t="shared" si="247"/>
        <v>39387</v>
      </c>
      <c r="P265" s="821">
        <f t="shared" si="247"/>
        <v>39417</v>
      </c>
      <c r="Q265" s="821">
        <f t="shared" si="247"/>
        <v>39448</v>
      </c>
      <c r="R265" s="821">
        <f t="shared" si="247"/>
        <v>39479</v>
      </c>
      <c r="S265" s="821">
        <f t="shared" si="247"/>
        <v>39508</v>
      </c>
      <c r="T265" s="821">
        <f t="shared" si="247"/>
        <v>39539</v>
      </c>
      <c r="U265" s="821">
        <f t="shared" si="247"/>
        <v>39569</v>
      </c>
      <c r="V265" s="821">
        <f t="shared" si="247"/>
        <v>39600</v>
      </c>
      <c r="W265" s="821">
        <f t="shared" si="247"/>
        <v>39630</v>
      </c>
      <c r="X265" s="821">
        <f t="shared" si="247"/>
        <v>39661</v>
      </c>
      <c r="Y265" s="821">
        <f t="shared" si="247"/>
        <v>39692</v>
      </c>
      <c r="Z265" s="821">
        <f t="shared" si="247"/>
        <v>39722</v>
      </c>
      <c r="AA265" s="821">
        <f t="shared" si="247"/>
        <v>39753</v>
      </c>
      <c r="AB265" s="821">
        <f t="shared" si="247"/>
        <v>39783</v>
      </c>
      <c r="AC265" s="821">
        <f t="shared" si="247"/>
        <v>39814</v>
      </c>
      <c r="AD265" s="821">
        <f t="shared" si="247"/>
        <v>39845</v>
      </c>
      <c r="AE265" s="821">
        <f t="shared" si="247"/>
        <v>39873</v>
      </c>
      <c r="AF265" s="821">
        <f t="shared" si="247"/>
        <v>39904</v>
      </c>
      <c r="AG265" s="821">
        <f t="shared" si="247"/>
        <v>39934</v>
      </c>
      <c r="AH265" s="821">
        <f t="shared" si="247"/>
        <v>39965</v>
      </c>
      <c r="AI265" s="821">
        <f t="shared" si="247"/>
        <v>39995</v>
      </c>
      <c r="AJ265" s="821">
        <f t="shared" si="247"/>
        <v>40026</v>
      </c>
      <c r="AK265" s="821">
        <f t="shared" si="247"/>
        <v>40057</v>
      </c>
      <c r="AL265" s="821">
        <f t="shared" si="247"/>
        <v>40087</v>
      </c>
      <c r="AM265" s="821">
        <f t="shared" si="247"/>
        <v>40118</v>
      </c>
      <c r="AN265" s="821">
        <f t="shared" si="247"/>
        <v>40148</v>
      </c>
      <c r="AO265" s="821">
        <f t="shared" si="247"/>
        <v>40179</v>
      </c>
      <c r="AP265" s="821">
        <f t="shared" si="247"/>
        <v>40210</v>
      </c>
      <c r="AQ265" s="821">
        <f t="shared" si="247"/>
        <v>40238</v>
      </c>
      <c r="AR265" s="821">
        <f t="shared" si="247"/>
        <v>40269</v>
      </c>
      <c r="AS265" s="821">
        <f t="shared" si="247"/>
        <v>40299</v>
      </c>
      <c r="AT265" s="821">
        <f t="shared" si="247"/>
        <v>40330</v>
      </c>
      <c r="AU265" s="821">
        <f t="shared" si="247"/>
        <v>40360</v>
      </c>
      <c r="AV265" s="821">
        <f t="shared" si="247"/>
        <v>40391</v>
      </c>
      <c r="AW265" s="821">
        <f t="shared" si="247"/>
        <v>40422</v>
      </c>
      <c r="AX265" s="821">
        <f t="shared" si="247"/>
        <v>40452</v>
      </c>
      <c r="AY265" s="821">
        <f t="shared" si="247"/>
        <v>40483</v>
      </c>
      <c r="AZ265" s="821">
        <f t="shared" si="247"/>
        <v>40513</v>
      </c>
      <c r="BA265" s="821">
        <f t="shared" si="247"/>
        <v>40544</v>
      </c>
      <c r="BB265" s="821">
        <f t="shared" si="247"/>
        <v>40575</v>
      </c>
      <c r="BC265" s="821">
        <f t="shared" si="247"/>
        <v>40603</v>
      </c>
      <c r="BD265" s="821">
        <f t="shared" si="247"/>
        <v>40634</v>
      </c>
      <c r="BE265" s="821">
        <f t="shared" si="247"/>
        <v>40664</v>
      </c>
      <c r="BF265" s="821">
        <f t="shared" si="247"/>
        <v>40695</v>
      </c>
      <c r="BG265" s="821">
        <f t="shared" si="247"/>
        <v>40725</v>
      </c>
      <c r="BH265" s="821">
        <f t="shared" si="247"/>
        <v>40756</v>
      </c>
      <c r="BI265" s="821">
        <f t="shared" si="247"/>
        <v>40787</v>
      </c>
      <c r="BJ265" s="821">
        <f t="shared" si="247"/>
        <v>40817</v>
      </c>
      <c r="BK265" s="821">
        <f t="shared" si="247"/>
        <v>40848</v>
      </c>
      <c r="BL265" s="821">
        <f t="shared" si="247"/>
        <v>40878</v>
      </c>
      <c r="BM265" s="821">
        <f t="shared" si="247"/>
        <v>40909</v>
      </c>
      <c r="BN265" s="821">
        <f t="shared" si="247"/>
        <v>40940</v>
      </c>
      <c r="BO265" s="821">
        <f t="shared" si="247"/>
        <v>40969</v>
      </c>
      <c r="BP265" s="821">
        <f t="shared" ref="BP265:DB265" si="248">+BP$1</f>
        <v>41000</v>
      </c>
      <c r="BQ265" s="821">
        <f t="shared" si="248"/>
        <v>41030</v>
      </c>
      <c r="BR265" s="821">
        <f t="shared" si="248"/>
        <v>41061</v>
      </c>
      <c r="BS265" s="821">
        <f t="shared" si="248"/>
        <v>41091</v>
      </c>
      <c r="BT265" s="821">
        <f t="shared" si="248"/>
        <v>41122</v>
      </c>
      <c r="BU265" s="821">
        <f t="shared" si="248"/>
        <v>41153</v>
      </c>
      <c r="BV265" s="821">
        <f t="shared" si="248"/>
        <v>41183</v>
      </c>
      <c r="BW265" s="821">
        <f t="shared" si="248"/>
        <v>41214</v>
      </c>
      <c r="BX265" s="821">
        <f t="shared" si="248"/>
        <v>41244</v>
      </c>
      <c r="BY265" s="821">
        <f t="shared" si="248"/>
        <v>41275</v>
      </c>
      <c r="BZ265" s="821">
        <f t="shared" si="248"/>
        <v>41306</v>
      </c>
      <c r="CA265" s="821">
        <f t="shared" si="248"/>
        <v>41334</v>
      </c>
      <c r="CB265" s="821">
        <f t="shared" si="248"/>
        <v>41365</v>
      </c>
      <c r="CC265" s="821">
        <f t="shared" si="248"/>
        <v>41395</v>
      </c>
      <c r="CD265" s="821">
        <f t="shared" si="248"/>
        <v>41426</v>
      </c>
      <c r="CE265" s="821">
        <f t="shared" si="248"/>
        <v>41456</v>
      </c>
      <c r="CF265" s="821">
        <f t="shared" si="248"/>
        <v>41487</v>
      </c>
      <c r="CG265" s="821">
        <f t="shared" si="248"/>
        <v>41518</v>
      </c>
      <c r="CH265" s="821">
        <f t="shared" si="248"/>
        <v>41548</v>
      </c>
      <c r="CI265" s="821">
        <f t="shared" si="248"/>
        <v>41579</v>
      </c>
      <c r="CJ265" s="821">
        <f t="shared" si="248"/>
        <v>41609</v>
      </c>
      <c r="CK265" s="821">
        <f t="shared" si="248"/>
        <v>41640</v>
      </c>
      <c r="CL265" s="821">
        <f t="shared" si="248"/>
        <v>41671</v>
      </c>
      <c r="CM265" s="821">
        <f t="shared" si="248"/>
        <v>41699</v>
      </c>
      <c r="CN265" s="821">
        <f t="shared" si="248"/>
        <v>41730</v>
      </c>
      <c r="CO265" s="821">
        <f t="shared" si="248"/>
        <v>41760</v>
      </c>
      <c r="CP265" s="1280">
        <f t="shared" si="248"/>
        <v>41791</v>
      </c>
      <c r="CQ265" s="821">
        <f t="shared" si="248"/>
        <v>41821</v>
      </c>
      <c r="CR265" s="821">
        <f t="shared" si="248"/>
        <v>41852</v>
      </c>
      <c r="CS265" s="821">
        <f t="shared" si="248"/>
        <v>41883</v>
      </c>
      <c r="CT265" s="821">
        <f t="shared" si="248"/>
        <v>41913</v>
      </c>
      <c r="CU265" s="821">
        <f t="shared" si="248"/>
        <v>41944</v>
      </c>
      <c r="CV265" s="821">
        <f t="shared" si="248"/>
        <v>41974</v>
      </c>
      <c r="CW265" s="821">
        <f t="shared" si="248"/>
        <v>42005</v>
      </c>
      <c r="CX265" s="821">
        <f t="shared" si="248"/>
        <v>42036</v>
      </c>
      <c r="CY265" s="821">
        <f t="shared" si="248"/>
        <v>42064</v>
      </c>
      <c r="CZ265" s="821">
        <f t="shared" si="248"/>
        <v>42095</v>
      </c>
      <c r="DA265" s="821">
        <f t="shared" si="248"/>
        <v>42125</v>
      </c>
      <c r="DB265" s="1300">
        <f t="shared" si="248"/>
        <v>42156</v>
      </c>
      <c r="DC265" s="863">
        <v>42186</v>
      </c>
      <c r="DD265" s="863">
        <v>42217</v>
      </c>
      <c r="DE265" s="863">
        <v>42248</v>
      </c>
      <c r="DF265" s="863">
        <v>42278</v>
      </c>
      <c r="DG265" s="863">
        <v>42309</v>
      </c>
      <c r="DH265" s="863">
        <v>42339</v>
      </c>
      <c r="DI265" s="863">
        <v>42370</v>
      </c>
      <c r="DJ265" s="863">
        <v>42401</v>
      </c>
      <c r="DK265" s="863">
        <v>42430</v>
      </c>
      <c r="DL265" s="863">
        <v>42461</v>
      </c>
      <c r="DM265" s="863">
        <v>42491</v>
      </c>
      <c r="DN265" s="1327">
        <v>42522</v>
      </c>
      <c r="DO265" s="836">
        <v>42552</v>
      </c>
      <c r="DP265" s="836">
        <v>42583</v>
      </c>
      <c r="DQ265" s="836">
        <v>42614</v>
      </c>
      <c r="DR265" s="836">
        <v>42644</v>
      </c>
      <c r="DS265" s="836">
        <v>42675</v>
      </c>
      <c r="DT265" s="836">
        <v>42705</v>
      </c>
      <c r="DU265" s="836">
        <v>42736</v>
      </c>
      <c r="DV265" s="836">
        <v>42767</v>
      </c>
      <c r="DW265" s="836">
        <v>42795</v>
      </c>
      <c r="DX265" s="836">
        <v>42826</v>
      </c>
      <c r="DY265" s="836">
        <v>42856</v>
      </c>
      <c r="DZ265" s="872">
        <v>42887</v>
      </c>
      <c r="EA265" s="836">
        <v>42917</v>
      </c>
      <c r="EB265" s="836">
        <v>42948</v>
      </c>
      <c r="EC265" s="836">
        <v>42979</v>
      </c>
      <c r="ED265" s="836">
        <v>43009</v>
      </c>
      <c r="EE265" s="836">
        <v>43040</v>
      </c>
      <c r="EF265" s="836">
        <v>43070</v>
      </c>
      <c r="EG265" s="836">
        <v>43101</v>
      </c>
      <c r="EH265" s="836">
        <v>43132</v>
      </c>
      <c r="EI265" s="836">
        <v>43160</v>
      </c>
      <c r="EJ265" s="836">
        <v>43191</v>
      </c>
      <c r="EK265" s="836">
        <v>43221</v>
      </c>
      <c r="EL265" s="872">
        <v>43252</v>
      </c>
      <c r="EM265" s="1079">
        <v>43282</v>
      </c>
      <c r="EN265" s="1079">
        <v>43313</v>
      </c>
      <c r="EO265" s="1079">
        <v>43344</v>
      </c>
      <c r="EP265" s="1079">
        <v>43374</v>
      </c>
      <c r="EQ265" s="1079">
        <v>43405</v>
      </c>
      <c r="ER265" s="1079">
        <v>43435</v>
      </c>
      <c r="ES265" s="1079">
        <v>43466</v>
      </c>
      <c r="ET265" s="1079">
        <v>43497</v>
      </c>
      <c r="EU265" s="1079">
        <v>43525</v>
      </c>
      <c r="EV265" s="1079">
        <v>43556</v>
      </c>
      <c r="EW265" s="1079">
        <v>43586</v>
      </c>
      <c r="EX265" s="1348">
        <v>43617</v>
      </c>
      <c r="EY265" s="1079">
        <v>43647</v>
      </c>
      <c r="EZ265" s="1079">
        <v>43678</v>
      </c>
      <c r="FA265" s="1079">
        <v>43709</v>
      </c>
      <c r="FB265" s="1079">
        <v>43739</v>
      </c>
      <c r="FC265" s="1079">
        <v>43770</v>
      </c>
      <c r="FD265" s="1079">
        <v>43800</v>
      </c>
      <c r="FE265" s="1079">
        <v>43831</v>
      </c>
      <c r="FF265" s="1079">
        <v>43862</v>
      </c>
      <c r="FG265" s="1079">
        <v>43891</v>
      </c>
      <c r="FH265" s="1079">
        <v>43922</v>
      </c>
      <c r="FI265" s="1079">
        <v>43952</v>
      </c>
      <c r="FJ265" s="1348">
        <v>43983</v>
      </c>
      <c r="FK265" s="1079">
        <v>44013</v>
      </c>
      <c r="FL265" s="1079">
        <v>44044</v>
      </c>
      <c r="FM265" s="1079">
        <v>44075</v>
      </c>
      <c r="FN265" s="1079">
        <v>44105</v>
      </c>
      <c r="FO265" s="1079">
        <v>44136</v>
      </c>
      <c r="FP265" s="1079">
        <v>44166</v>
      </c>
      <c r="FQ265" s="836"/>
      <c r="FR265" s="836"/>
      <c r="FS265" s="836"/>
      <c r="FT265" s="836"/>
      <c r="FU265" s="836"/>
      <c r="FV265" s="836"/>
      <c r="FW265" s="836"/>
      <c r="FX265" s="836"/>
      <c r="FY265" s="836"/>
      <c r="FZ265" s="836"/>
      <c r="GA265" s="836"/>
      <c r="GB265" s="836"/>
      <c r="GC265" s="836"/>
      <c r="GD265" s="836"/>
      <c r="GE265" s="836"/>
      <c r="GF265" s="836"/>
      <c r="GG265" s="836"/>
      <c r="GH265" s="836"/>
      <c r="GI265" s="836"/>
      <c r="GJ265" s="836"/>
      <c r="GK265" s="836"/>
      <c r="GL265" s="836"/>
      <c r="GM265" s="836"/>
      <c r="GN265" s="836"/>
      <c r="GO265" s="836"/>
      <c r="GP265" s="836"/>
      <c r="GQ265" s="836"/>
      <c r="GR265" s="836"/>
      <c r="GS265" s="836"/>
      <c r="GT265" s="836"/>
      <c r="GU265" s="836"/>
      <c r="GV265" s="836"/>
      <c r="GW265" s="836"/>
      <c r="GX265" s="836"/>
      <c r="GY265" s="836"/>
      <c r="GZ265" s="836"/>
      <c r="HA265" s="836"/>
      <c r="HB265" s="836"/>
      <c r="HC265" s="836"/>
      <c r="HD265" s="836"/>
      <c r="HE265" s="836"/>
      <c r="HF265" s="836"/>
      <c r="HG265" s="836"/>
      <c r="HH265" s="836"/>
      <c r="HI265" s="836"/>
      <c r="HJ265" s="836"/>
      <c r="HK265" s="836"/>
      <c r="HL265" s="836"/>
      <c r="HM265" s="836"/>
      <c r="HN265" s="836"/>
      <c r="HO265" s="836"/>
      <c r="HP265" s="836"/>
      <c r="HQ265" s="836"/>
      <c r="HR265" s="836"/>
      <c r="HS265" s="836"/>
      <c r="HT265" s="836"/>
      <c r="HU265" s="836"/>
      <c r="HV265" s="836"/>
      <c r="HW265" s="836"/>
      <c r="HX265" s="836"/>
      <c r="HY265" s="836"/>
      <c r="IJ265" s="323"/>
      <c r="KT265" s="280"/>
    </row>
    <row r="266" spans="1:306" hidden="1" outlineLevel="1">
      <c r="A266" s="279"/>
      <c r="D266" s="313" t="s">
        <v>1020</v>
      </c>
      <c r="E266" s="293"/>
      <c r="F266" s="293"/>
      <c r="G266" s="293"/>
      <c r="H266" s="293"/>
      <c r="I266" s="293"/>
      <c r="J266" s="293"/>
      <c r="K266" s="293"/>
      <c r="L266" s="29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c r="BN266" s="293"/>
      <c r="BO266" s="293"/>
      <c r="BP266" s="293"/>
      <c r="BQ266" s="293"/>
      <c r="BR266" s="293"/>
      <c r="BS266" s="293"/>
      <c r="BT266" s="293"/>
      <c r="BU266" s="293"/>
      <c r="BV266" s="293"/>
      <c r="BW266" s="293"/>
      <c r="BX266" s="293"/>
      <c r="BY266" s="293"/>
      <c r="BZ266" s="293"/>
      <c r="CA266" s="293"/>
      <c r="CB266" s="293"/>
      <c r="CC266" s="293"/>
      <c r="CD266" s="293"/>
      <c r="CE266" s="294">
        <v>50.056769670999998</v>
      </c>
      <c r="CF266" s="293">
        <v>114.07509643</v>
      </c>
      <c r="CG266" s="293">
        <v>66.532683567000007</v>
      </c>
      <c r="CH266" s="293">
        <v>121.98062654</v>
      </c>
      <c r="CI266" s="293">
        <v>86.404042364999995</v>
      </c>
      <c r="CJ266" s="293">
        <v>106.36479744499999</v>
      </c>
      <c r="CK266" s="293">
        <v>89.888845176000004</v>
      </c>
      <c r="CL266" s="293">
        <v>79.480702542000003</v>
      </c>
      <c r="CM266" s="293">
        <v>100.049589625</v>
      </c>
      <c r="CN266" s="293">
        <v>122.20594798800001</v>
      </c>
      <c r="CO266" s="293">
        <v>131.81427858199999</v>
      </c>
      <c r="CP266" s="295">
        <v>179.21593368200001</v>
      </c>
      <c r="CQ266" s="293">
        <v>72.544250169999998</v>
      </c>
      <c r="CR266" s="293">
        <v>90.673585248999998</v>
      </c>
      <c r="CS266" s="293">
        <v>113.82680510199999</v>
      </c>
      <c r="CT266" s="293">
        <v>103.517281235</v>
      </c>
      <c r="CU266" s="293">
        <v>72.179879372000002</v>
      </c>
      <c r="CV266" s="293">
        <v>102.781301609</v>
      </c>
      <c r="CW266" s="293">
        <v>105.10777140499999</v>
      </c>
      <c r="CX266" s="293">
        <v>70.664087977999998</v>
      </c>
      <c r="CY266" s="293">
        <v>144.363524595</v>
      </c>
      <c r="CZ266" s="293">
        <v>139.38320783899999</v>
      </c>
      <c r="DA266" s="293">
        <v>125.357777508</v>
      </c>
      <c r="DB266" s="1288">
        <v>183.31475319399999</v>
      </c>
      <c r="DC266" s="293">
        <v>65.008474866</v>
      </c>
      <c r="DD266" s="293">
        <v>99.954856052000011</v>
      </c>
      <c r="DE266" s="293">
        <v>121.90098285999998</v>
      </c>
      <c r="DF266" s="293">
        <v>134.018956172</v>
      </c>
      <c r="DG266" s="293">
        <v>100.77649861999998</v>
      </c>
      <c r="DH266" s="293">
        <v>132.142398644</v>
      </c>
      <c r="DI266" s="293">
        <v>136.661898863</v>
      </c>
      <c r="DJ266" s="293">
        <v>113.48673293</v>
      </c>
      <c r="DK266" s="293">
        <v>97.751514867999987</v>
      </c>
      <c r="DL266" s="293">
        <v>146.367822289</v>
      </c>
      <c r="DM266" s="293">
        <v>103.483242711</v>
      </c>
      <c r="DN266" s="295">
        <v>195.097479935</v>
      </c>
      <c r="DO266" s="293">
        <v>118.267250563</v>
      </c>
      <c r="DP266" s="293">
        <v>71.391446497999993</v>
      </c>
      <c r="DQ266" s="293">
        <v>103.21770842399999</v>
      </c>
      <c r="DR266" s="293">
        <v>150.14689840899999</v>
      </c>
      <c r="DS266" s="293">
        <v>129.72002139899999</v>
      </c>
      <c r="DT266" s="293">
        <v>197.80980112399999</v>
      </c>
      <c r="DU266" s="293">
        <v>124.266358169</v>
      </c>
      <c r="DV266" s="293">
        <v>115.90163091300001</v>
      </c>
      <c r="DW266" s="293">
        <v>139.18961606299999</v>
      </c>
      <c r="DX266" s="293">
        <v>122.121820333</v>
      </c>
      <c r="DY266" s="293">
        <v>137.817062631</v>
      </c>
      <c r="DZ266" s="295">
        <v>228.87499245399999</v>
      </c>
      <c r="EA266" s="293">
        <v>95.696865955000007</v>
      </c>
      <c r="EB266" s="293">
        <v>136.57839521599999</v>
      </c>
      <c r="EC266" s="293">
        <v>145.04027717599999</v>
      </c>
      <c r="ED266" s="293">
        <v>178.72304216200001</v>
      </c>
      <c r="EE266" s="293">
        <v>132.83793650800001</v>
      </c>
      <c r="EF266" s="293">
        <v>203.41563763799999</v>
      </c>
      <c r="EG266" s="293">
        <v>188.85836129699999</v>
      </c>
      <c r="EH266" s="293">
        <v>119.678272616</v>
      </c>
      <c r="EI266" s="293">
        <v>163.55305351000001</v>
      </c>
      <c r="EJ266" s="293">
        <v>126.930407888</v>
      </c>
      <c r="EK266" s="293">
        <v>152.45968237599999</v>
      </c>
      <c r="EL266" s="295">
        <v>206.95086219500001</v>
      </c>
      <c r="EM266" s="1080">
        <v>120.29193546099999</v>
      </c>
      <c r="EN266" s="1080">
        <v>126.512277642</v>
      </c>
      <c r="EO266" s="1080">
        <v>151.73106588499999</v>
      </c>
      <c r="EP266" s="1080">
        <v>162.61941389699999</v>
      </c>
      <c r="EQ266" s="1080">
        <v>140.04526147999999</v>
      </c>
      <c r="ER266" s="1080">
        <v>263.73589689400001</v>
      </c>
      <c r="ES266" s="1080">
        <v>211.151145845</v>
      </c>
      <c r="ET266" s="1080">
        <v>153.48605326500001</v>
      </c>
      <c r="EU266" s="1080">
        <v>145.21244791000001</v>
      </c>
      <c r="EV266" s="1080">
        <v>186.11752711299999</v>
      </c>
      <c r="EW266" s="1080">
        <v>134.615180732</v>
      </c>
      <c r="EX266" s="1340">
        <v>267.03164733900002</v>
      </c>
      <c r="EY266" s="1080"/>
      <c r="EZ266" s="1080"/>
      <c r="FA266" s="1080"/>
      <c r="FB266" s="1080"/>
      <c r="FC266" s="1080"/>
      <c r="FD266" s="1080"/>
      <c r="FE266" s="1080"/>
      <c r="FF266" s="1080"/>
      <c r="FG266" s="1080"/>
      <c r="FH266" s="1080"/>
      <c r="FI266" s="1080"/>
      <c r="FJ266" s="1340"/>
      <c r="FK266" s="1080"/>
      <c r="FL266" s="1080"/>
      <c r="FM266" s="1080"/>
      <c r="FN266" s="1080"/>
      <c r="FO266" s="1080"/>
      <c r="FP266" s="1080"/>
      <c r="FQ266" s="293"/>
      <c r="FR266" s="293"/>
      <c r="FS266" s="293"/>
      <c r="FT266" s="293"/>
      <c r="FU266" s="293"/>
      <c r="FV266" s="293"/>
      <c r="FW266" s="293"/>
      <c r="FX266" s="293"/>
      <c r="FY266" s="293"/>
      <c r="FZ266" s="293"/>
      <c r="GA266" s="293"/>
      <c r="GB266" s="293"/>
      <c r="GC266" s="293"/>
      <c r="GD266" s="293"/>
      <c r="GE266" s="293"/>
      <c r="GF266" s="293"/>
      <c r="GG266" s="293"/>
      <c r="GH266" s="293"/>
      <c r="GI266" s="293"/>
      <c r="GJ266" s="293"/>
      <c r="GK266" s="293"/>
      <c r="GL266" s="293"/>
      <c r="GM266" s="293"/>
      <c r="GN266" s="293"/>
      <c r="GO266" s="293"/>
      <c r="GP266" s="293"/>
      <c r="GQ266" s="293"/>
      <c r="GR266" s="293"/>
      <c r="GS266" s="293"/>
      <c r="GT266" s="293"/>
      <c r="GU266" s="293"/>
      <c r="GV266" s="293"/>
      <c r="GW266" s="293"/>
      <c r="GX266" s="293"/>
      <c r="GY266" s="293"/>
      <c r="GZ266" s="293"/>
      <c r="HA266" s="293"/>
      <c r="HB266" s="293"/>
      <c r="HC266" s="293"/>
      <c r="HD266" s="293"/>
      <c r="HE266" s="293"/>
      <c r="HF266" s="293"/>
      <c r="HG266" s="293"/>
      <c r="HH266" s="293"/>
      <c r="HI266" s="293"/>
      <c r="HJ266" s="293"/>
      <c r="HK266" s="293"/>
      <c r="HL266" s="293"/>
      <c r="HM266" s="293"/>
      <c r="HN266" s="293"/>
      <c r="HO266" s="293"/>
      <c r="HP266" s="293"/>
      <c r="HQ266" s="293"/>
      <c r="HR266" s="293"/>
      <c r="HS266" s="293"/>
      <c r="HT266" s="293"/>
      <c r="HU266" s="293"/>
      <c r="HV266" s="293"/>
      <c r="HW266" s="293"/>
      <c r="HX266" s="293"/>
      <c r="HY266" s="293"/>
      <c r="IH266" s="279">
        <f t="shared" ref="IH266:IH277" si="249">+SUM(DC266:DH266)</f>
        <v>653.80216721399995</v>
      </c>
      <c r="II266" s="279">
        <f t="shared" ref="II266:II277" si="250">+SUM(DI266:DN266)</f>
        <v>792.84869159600009</v>
      </c>
      <c r="IJ266" s="323">
        <f t="shared" si="246"/>
        <v>1446.65085881</v>
      </c>
      <c r="IK266" s="279">
        <f t="shared" ref="IK266:IK277" si="251">SUM(DO266:DT266)</f>
        <v>770.55312641699993</v>
      </c>
      <c r="KT266" s="280"/>
    </row>
    <row r="267" spans="1:306" hidden="1" outlineLevel="1">
      <c r="A267" s="279"/>
      <c r="B267" s="96" t="s">
        <v>338</v>
      </c>
      <c r="D267" s="314" t="s">
        <v>446</v>
      </c>
      <c r="E267" s="293"/>
      <c r="F267" s="293"/>
      <c r="G267" s="293"/>
      <c r="H267" s="293"/>
      <c r="I267" s="293"/>
      <c r="J267" s="293"/>
      <c r="K267" s="293"/>
      <c r="L267" s="293"/>
      <c r="M267" s="293"/>
      <c r="N267" s="293"/>
      <c r="O267" s="293"/>
      <c r="P267" s="293"/>
      <c r="Q267" s="293"/>
      <c r="R267" s="293"/>
      <c r="S267" s="293"/>
      <c r="T267" s="293"/>
      <c r="U267" s="293"/>
      <c r="V267" s="293"/>
      <c r="W267" s="293"/>
      <c r="X267" s="293"/>
      <c r="Y267" s="29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c r="BN267" s="293"/>
      <c r="BO267" s="293"/>
      <c r="BP267" s="293"/>
      <c r="BQ267" s="293"/>
      <c r="BR267" s="293"/>
      <c r="BS267" s="293"/>
      <c r="BT267" s="293"/>
      <c r="BU267" s="293"/>
      <c r="BV267" s="293"/>
      <c r="BW267" s="293"/>
      <c r="BX267" s="293"/>
      <c r="BY267" s="293"/>
      <c r="BZ267" s="293"/>
      <c r="CA267" s="293"/>
      <c r="CB267" s="293"/>
      <c r="CC267" s="293"/>
      <c r="CD267" s="293"/>
      <c r="CE267" s="294">
        <v>4.8473123E-2</v>
      </c>
      <c r="CF267" s="293">
        <v>0.151468255</v>
      </c>
      <c r="CG267" s="293">
        <v>3.3602557750000002</v>
      </c>
      <c r="CH267" s="293">
        <v>1.0222064049999999</v>
      </c>
      <c r="CI267" s="293">
        <v>2.5928409999999998E-3</v>
      </c>
      <c r="CJ267" s="293">
        <v>5.9961297069999997</v>
      </c>
      <c r="CK267" s="293">
        <v>0</v>
      </c>
      <c r="CL267" s="293">
        <v>0.67148968399999998</v>
      </c>
      <c r="CM267" s="293">
        <v>0.18816992499999999</v>
      </c>
      <c r="CN267" s="293">
        <v>1.0781420479999999</v>
      </c>
      <c r="CO267" s="293">
        <v>1.128908378</v>
      </c>
      <c r="CP267" s="295">
        <v>2.598975217</v>
      </c>
      <c r="CQ267" s="293">
        <v>0.31722989899999998</v>
      </c>
      <c r="CR267" s="293">
        <v>0</v>
      </c>
      <c r="CS267" s="293">
        <v>0.26443969699999997</v>
      </c>
      <c r="CT267" s="293">
        <v>0</v>
      </c>
      <c r="CU267" s="293">
        <v>0.53077045199999995</v>
      </c>
      <c r="CV267" s="293">
        <v>0.35569134099999999</v>
      </c>
      <c r="CW267" s="293">
        <v>6.6212813999999995E-2</v>
      </c>
      <c r="CX267" s="293">
        <v>0</v>
      </c>
      <c r="CY267" s="293">
        <v>0</v>
      </c>
      <c r="CZ267" s="293">
        <v>0.10930949299999999</v>
      </c>
      <c r="DA267" s="293">
        <v>0.40373607700000003</v>
      </c>
      <c r="DB267" s="1288">
        <v>5.1072599999999998E-3</v>
      </c>
      <c r="DC267" s="293">
        <v>1.6892490000000001E-3</v>
      </c>
      <c r="DD267" s="293">
        <v>4.7735748689999999</v>
      </c>
      <c r="DE267" s="293">
        <v>4.5347488360000003</v>
      </c>
      <c r="DF267" s="293">
        <v>8.8429239739999996</v>
      </c>
      <c r="DG267" s="293">
        <v>1.5195757780000001</v>
      </c>
      <c r="DH267" s="293">
        <v>0</v>
      </c>
      <c r="DI267" s="293">
        <v>7.0255480529999996</v>
      </c>
      <c r="DJ267" s="293">
        <v>6.0246679780000001</v>
      </c>
      <c r="DK267" s="293">
        <v>4.9247516229999997</v>
      </c>
      <c r="DL267" s="293">
        <v>3.1990077609999998</v>
      </c>
      <c r="DM267" s="293">
        <v>2.0371430660000001</v>
      </c>
      <c r="DN267" s="295">
        <v>1.741162796</v>
      </c>
      <c r="DO267" s="293">
        <v>19.702418346000002</v>
      </c>
      <c r="DP267" s="293">
        <v>1.0001114980000001</v>
      </c>
      <c r="DQ267" s="293">
        <v>0.12038691999999999</v>
      </c>
      <c r="DR267" s="293">
        <v>2.6373553000000001E-2</v>
      </c>
      <c r="DS267" s="293">
        <v>6.0757000999999998E-2</v>
      </c>
      <c r="DT267" s="293">
        <v>0</v>
      </c>
      <c r="DU267" s="293">
        <v>0</v>
      </c>
      <c r="DV267" s="293">
        <v>1.7687446999999999E-2</v>
      </c>
      <c r="DW267" s="293">
        <v>1.5547114000000001E-2</v>
      </c>
      <c r="DX267" s="293">
        <v>0</v>
      </c>
      <c r="DY267" s="293">
        <v>0</v>
      </c>
      <c r="DZ267" s="295">
        <v>1.168755268</v>
      </c>
      <c r="EA267" s="293">
        <v>5.2640034680000003</v>
      </c>
      <c r="EB267" s="293">
        <v>10.708794528</v>
      </c>
      <c r="EC267" s="293">
        <v>4.9891901379999997</v>
      </c>
      <c r="ED267" s="293">
        <v>0</v>
      </c>
      <c r="EE267" s="293">
        <v>0</v>
      </c>
      <c r="EF267" s="293">
        <v>4.9635804999999998E-2</v>
      </c>
      <c r="EG267" s="293">
        <v>8.238716342</v>
      </c>
      <c r="EH267" s="293">
        <v>5.6205756439999996</v>
      </c>
      <c r="EI267" s="293">
        <v>16.056207315999998</v>
      </c>
      <c r="EJ267" s="293">
        <v>11.2129306</v>
      </c>
      <c r="EK267" s="293">
        <v>26.426782185</v>
      </c>
      <c r="EL267" s="295">
        <v>14.318288172000001</v>
      </c>
      <c r="EM267" s="1080">
        <v>2.90976298</v>
      </c>
      <c r="EN267" s="1080">
        <v>5.6919950720000001</v>
      </c>
      <c r="EO267" s="1080">
        <v>6.4337714320000003</v>
      </c>
      <c r="EP267" s="1080">
        <v>1.939590446</v>
      </c>
      <c r="EQ267" s="1080">
        <v>1.44622009</v>
      </c>
      <c r="ER267" s="1080">
        <v>5.6921988619999997</v>
      </c>
      <c r="ES267" s="1080">
        <v>1.6848284060000001</v>
      </c>
      <c r="ET267" s="1080">
        <v>0</v>
      </c>
      <c r="EU267" s="1080">
        <v>0</v>
      </c>
      <c r="EV267" s="1080">
        <v>0</v>
      </c>
      <c r="EW267" s="1080">
        <v>0</v>
      </c>
      <c r="EX267" s="1340">
        <v>0.22232415699999999</v>
      </c>
      <c r="EY267" s="1080"/>
      <c r="EZ267" s="1080"/>
      <c r="FA267" s="1080"/>
      <c r="FB267" s="1080"/>
      <c r="FC267" s="1080"/>
      <c r="FD267" s="1080"/>
      <c r="FE267" s="1080"/>
      <c r="FF267" s="1080"/>
      <c r="FG267" s="1080"/>
      <c r="FH267" s="1080"/>
      <c r="FI267" s="1080"/>
      <c r="FJ267" s="1340"/>
      <c r="FK267" s="1080"/>
      <c r="FL267" s="1080"/>
      <c r="FM267" s="1080"/>
      <c r="FN267" s="1080"/>
      <c r="FO267" s="1080"/>
      <c r="FP267" s="1080"/>
      <c r="FQ267" s="293"/>
      <c r="FR267" s="293"/>
      <c r="FS267" s="293"/>
      <c r="FT267" s="293"/>
      <c r="FU267" s="293"/>
      <c r="FV267" s="293"/>
      <c r="FW267" s="293"/>
      <c r="FX267" s="293"/>
      <c r="FY267" s="293"/>
      <c r="FZ267" s="293"/>
      <c r="GA267" s="293"/>
      <c r="GB267" s="293"/>
      <c r="GC267" s="293"/>
      <c r="GD267" s="293"/>
      <c r="GE267" s="293"/>
      <c r="GF267" s="293"/>
      <c r="GG267" s="293"/>
      <c r="GH267" s="293"/>
      <c r="GI267" s="293"/>
      <c r="GJ267" s="293"/>
      <c r="GK267" s="293"/>
      <c r="GL267" s="293"/>
      <c r="GM267" s="293"/>
      <c r="GN267" s="293"/>
      <c r="GO267" s="293"/>
      <c r="GP267" s="293"/>
      <c r="GQ267" s="293"/>
      <c r="GR267" s="293"/>
      <c r="GS267" s="293"/>
      <c r="GT267" s="293"/>
      <c r="GU267" s="293"/>
      <c r="GV267" s="293"/>
      <c r="GW267" s="293"/>
      <c r="GX267" s="293"/>
      <c r="GY267" s="293"/>
      <c r="GZ267" s="293"/>
      <c r="HA267" s="293"/>
      <c r="HB267" s="293"/>
      <c r="HC267" s="293"/>
      <c r="HD267" s="293"/>
      <c r="HE267" s="293"/>
      <c r="HF267" s="293"/>
      <c r="HG267" s="293"/>
      <c r="HH267" s="293"/>
      <c r="HI267" s="293"/>
      <c r="HJ267" s="293"/>
      <c r="HK267" s="293"/>
      <c r="HL267" s="293"/>
      <c r="HM267" s="293"/>
      <c r="HN267" s="293"/>
      <c r="HO267" s="293"/>
      <c r="HP267" s="293"/>
      <c r="HQ267" s="293"/>
      <c r="HR267" s="293"/>
      <c r="HS267" s="293"/>
      <c r="HT267" s="293"/>
      <c r="HU267" s="293"/>
      <c r="HV267" s="293"/>
      <c r="HW267" s="293"/>
      <c r="HX267" s="293"/>
      <c r="HY267" s="293"/>
      <c r="IH267" s="279">
        <f t="shared" si="249"/>
        <v>19.672512706000003</v>
      </c>
      <c r="II267" s="279">
        <f t="shared" si="250"/>
        <v>24.952281277000001</v>
      </c>
      <c r="IJ267" s="323">
        <f t="shared" si="246"/>
        <v>44.624793983000004</v>
      </c>
      <c r="IK267" s="279">
        <f t="shared" si="251"/>
        <v>20.910047318</v>
      </c>
      <c r="KT267" s="280"/>
    </row>
    <row r="268" spans="1:306" hidden="1" outlineLevel="1">
      <c r="B268" s="96" t="s">
        <v>338</v>
      </c>
      <c r="D268" s="314" t="s">
        <v>447</v>
      </c>
      <c r="E268" s="293"/>
      <c r="F268" s="293"/>
      <c r="G268" s="293"/>
      <c r="H268" s="293"/>
      <c r="I268" s="293"/>
      <c r="J268" s="293"/>
      <c r="K268" s="293"/>
      <c r="L268" s="293"/>
      <c r="M268" s="293"/>
      <c r="N268" s="293"/>
      <c r="O268" s="293"/>
      <c r="P268" s="293"/>
      <c r="Q268" s="293"/>
      <c r="R268" s="293"/>
      <c r="S268" s="293"/>
      <c r="T268" s="293"/>
      <c r="U268" s="293"/>
      <c r="V268" s="293"/>
      <c r="W268" s="293"/>
      <c r="X268" s="293"/>
      <c r="Y268" s="29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c r="BN268" s="293"/>
      <c r="BO268" s="293"/>
      <c r="BP268" s="293"/>
      <c r="BQ268" s="293"/>
      <c r="BR268" s="293"/>
      <c r="BS268" s="293"/>
      <c r="BT268" s="293"/>
      <c r="BU268" s="293"/>
      <c r="BV268" s="293"/>
      <c r="BW268" s="293"/>
      <c r="BX268" s="293"/>
      <c r="BY268" s="293"/>
      <c r="BZ268" s="293"/>
      <c r="CA268" s="293"/>
      <c r="CB268" s="293"/>
      <c r="CC268" s="293"/>
      <c r="CD268" s="293"/>
      <c r="CE268" s="294">
        <v>0.39586318599999998</v>
      </c>
      <c r="CF268" s="293">
        <v>0.42736229799999997</v>
      </c>
      <c r="CG268" s="293">
        <v>0.703602968</v>
      </c>
      <c r="CH268" s="293">
        <v>2.4406560769999999</v>
      </c>
      <c r="CI268" s="293">
        <v>1.580804755</v>
      </c>
      <c r="CJ268" s="293">
        <v>0.87157223399999995</v>
      </c>
      <c r="CK268" s="293">
        <v>2.2065311749999998</v>
      </c>
      <c r="CL268" s="293">
        <v>8.4264433E-2</v>
      </c>
      <c r="CM268" s="293">
        <v>1.5885897550000001</v>
      </c>
      <c r="CN268" s="293">
        <v>6.7097547879999997</v>
      </c>
      <c r="CO268" s="293">
        <v>7.299675176</v>
      </c>
      <c r="CP268" s="295">
        <v>1.782112589</v>
      </c>
      <c r="CQ268" s="293">
        <v>9.8490963990000004</v>
      </c>
      <c r="CR268" s="293">
        <v>0.102537352</v>
      </c>
      <c r="CS268" s="293">
        <v>1.360054179</v>
      </c>
      <c r="CT268" s="293">
        <v>2.0463993569999999</v>
      </c>
      <c r="CU268" s="293">
        <v>1.4408561609999999</v>
      </c>
      <c r="CV268" s="293">
        <v>1.1275184149999999</v>
      </c>
      <c r="CW268" s="293">
        <v>1.1873878470000001</v>
      </c>
      <c r="CX268" s="293">
        <v>0.103676817</v>
      </c>
      <c r="CY268" s="293">
        <v>1.763604411</v>
      </c>
      <c r="CZ268" s="293">
        <v>2.1634711850000001</v>
      </c>
      <c r="DA268" s="293">
        <v>2.3130289560000001</v>
      </c>
      <c r="DB268" s="1288">
        <v>1.0637032870000001</v>
      </c>
      <c r="DC268" s="293">
        <v>1.444282061</v>
      </c>
      <c r="DD268" s="293">
        <v>0.106041388</v>
      </c>
      <c r="DE268" s="293">
        <v>1.7954092049999999</v>
      </c>
      <c r="DF268" s="293">
        <v>2.3202968859999999</v>
      </c>
      <c r="DG268" s="293">
        <v>11.898459359</v>
      </c>
      <c r="DH268" s="293">
        <v>1.4302259770000001</v>
      </c>
      <c r="DI268" s="293">
        <v>1.344234975</v>
      </c>
      <c r="DJ268" s="293">
        <v>0.110646936</v>
      </c>
      <c r="DK268" s="293">
        <v>4.3161242020000001</v>
      </c>
      <c r="DL268" s="293">
        <v>2.4114964649999999</v>
      </c>
      <c r="DM268" s="293">
        <v>1.712589567</v>
      </c>
      <c r="DN268" s="295">
        <v>1.660475036</v>
      </c>
      <c r="DO268" s="293">
        <v>1.537694613</v>
      </c>
      <c r="DP268" s="293">
        <v>8.7627767999999995E-2</v>
      </c>
      <c r="DQ268" s="293">
        <v>6.41836465</v>
      </c>
      <c r="DR268" s="293">
        <v>1.4215288939999999</v>
      </c>
      <c r="DS268" s="293">
        <v>5.8838037979999998</v>
      </c>
      <c r="DT268" s="293">
        <v>1.611618209</v>
      </c>
      <c r="DU268" s="293">
        <v>8.6876223269999997</v>
      </c>
      <c r="DV268" s="293">
        <v>5.0511282509999997</v>
      </c>
      <c r="DW268" s="293">
        <v>10.108829119999999</v>
      </c>
      <c r="DX268" s="293">
        <v>4.5842435669999997</v>
      </c>
      <c r="DY268" s="293">
        <v>1.9757851319999999</v>
      </c>
      <c r="DZ268" s="295">
        <v>2.3190587030000001</v>
      </c>
      <c r="EA268" s="293">
        <v>2.3953407169999998</v>
      </c>
      <c r="EB268" s="293">
        <v>3.91415238</v>
      </c>
      <c r="EC268" s="293">
        <v>7.0652200220000001</v>
      </c>
      <c r="ED268" s="293">
        <v>5.0015655590000003</v>
      </c>
      <c r="EE268" s="293">
        <v>1.890203195</v>
      </c>
      <c r="EF268" s="293">
        <v>6.9142024559999999</v>
      </c>
      <c r="EG268" s="293">
        <v>6.7097637890000001</v>
      </c>
      <c r="EH268" s="293">
        <v>2.359665503</v>
      </c>
      <c r="EI268" s="293">
        <v>6.6821449529999999</v>
      </c>
      <c r="EJ268" s="293">
        <v>2.979026825</v>
      </c>
      <c r="EK268" s="293">
        <v>5.1913843020000003</v>
      </c>
      <c r="EL268" s="295">
        <v>7.4461670440000001</v>
      </c>
      <c r="EM268" s="1080">
        <v>2.5469821850000001</v>
      </c>
      <c r="EN268" s="1080">
        <v>0.65517455199999997</v>
      </c>
      <c r="EO268" s="1080">
        <v>5.5644570880000002</v>
      </c>
      <c r="EP268" s="1080">
        <v>2.9774682480000001</v>
      </c>
      <c r="EQ268" s="1080">
        <v>17.292357291999998</v>
      </c>
      <c r="ER268" s="1080">
        <v>1.6570807460000001</v>
      </c>
      <c r="ES268" s="1080">
        <v>1.1860716259999999</v>
      </c>
      <c r="ET268" s="1080">
        <v>1.4158283250000001</v>
      </c>
      <c r="EU268" s="1080">
        <v>5.9580953709999998</v>
      </c>
      <c r="EV268" s="1080">
        <v>1.770482906</v>
      </c>
      <c r="EW268" s="1080">
        <v>17.179260173999999</v>
      </c>
      <c r="EX268" s="1340">
        <v>1.517057804</v>
      </c>
      <c r="EY268" s="1080"/>
      <c r="EZ268" s="1080"/>
      <c r="FA268" s="1080"/>
      <c r="FB268" s="1080"/>
      <c r="FC268" s="1080"/>
      <c r="FD268" s="1080"/>
      <c r="FE268" s="1080"/>
      <c r="FF268" s="1080"/>
      <c r="FG268" s="1080"/>
      <c r="FH268" s="1080"/>
      <c r="FI268" s="1080"/>
      <c r="FJ268" s="1340"/>
      <c r="FK268" s="1080"/>
      <c r="FL268" s="1080"/>
      <c r="FM268" s="1080"/>
      <c r="FN268" s="1080"/>
      <c r="FO268" s="1080"/>
      <c r="FP268" s="1080"/>
      <c r="FQ268" s="293"/>
      <c r="FR268" s="293"/>
      <c r="FS268" s="293"/>
      <c r="FT268" s="293"/>
      <c r="FU268" s="293"/>
      <c r="FV268" s="293"/>
      <c r="FW268" s="293"/>
      <c r="FX268" s="293"/>
      <c r="FY268" s="293"/>
      <c r="FZ268" s="293"/>
      <c r="GA268" s="293"/>
      <c r="GB268" s="293"/>
      <c r="GC268" s="293"/>
      <c r="GD268" s="293"/>
      <c r="GE268" s="293"/>
      <c r="GF268" s="293"/>
      <c r="GG268" s="293"/>
      <c r="GH268" s="293"/>
      <c r="GI268" s="293"/>
      <c r="GJ268" s="293"/>
      <c r="GK268" s="293"/>
      <c r="GL268" s="293"/>
      <c r="GM268" s="293"/>
      <c r="GN268" s="293"/>
      <c r="GO268" s="293"/>
      <c r="GP268" s="293"/>
      <c r="GQ268" s="293"/>
      <c r="GR268" s="293"/>
      <c r="GS268" s="293"/>
      <c r="GT268" s="293"/>
      <c r="GU268" s="293"/>
      <c r="GV268" s="293"/>
      <c r="GW268" s="293"/>
      <c r="GX268" s="293"/>
      <c r="GY268" s="293"/>
      <c r="GZ268" s="293"/>
      <c r="HA268" s="293"/>
      <c r="HB268" s="293"/>
      <c r="HC268" s="293"/>
      <c r="HD268" s="293"/>
      <c r="HE268" s="293"/>
      <c r="HF268" s="293"/>
      <c r="HG268" s="293"/>
      <c r="HH268" s="293"/>
      <c r="HI268" s="293"/>
      <c r="HJ268" s="293"/>
      <c r="HK268" s="293"/>
      <c r="HL268" s="293"/>
      <c r="HM268" s="293"/>
      <c r="HN268" s="293"/>
      <c r="HO268" s="293"/>
      <c r="HP268" s="293"/>
      <c r="HQ268" s="293"/>
      <c r="HR268" s="293"/>
      <c r="HS268" s="293"/>
      <c r="HT268" s="293"/>
      <c r="HU268" s="293"/>
      <c r="HV268" s="293"/>
      <c r="HW268" s="293"/>
      <c r="HX268" s="293"/>
      <c r="HY268" s="293"/>
      <c r="IH268" s="279">
        <f t="shared" si="249"/>
        <v>18.994714876</v>
      </c>
      <c r="II268" s="279">
        <f t="shared" si="250"/>
        <v>11.555567181000001</v>
      </c>
      <c r="IJ268" s="323">
        <f t="shared" si="246"/>
        <v>30.550282057</v>
      </c>
      <c r="IK268" s="279">
        <f t="shared" si="251"/>
        <v>16.960637931999997</v>
      </c>
      <c r="KT268" s="280"/>
    </row>
    <row r="269" spans="1:306" hidden="1" outlineLevel="1">
      <c r="B269" s="96" t="s">
        <v>338</v>
      </c>
      <c r="D269" s="314" t="s">
        <v>448</v>
      </c>
      <c r="E269" s="293"/>
      <c r="F269" s="293"/>
      <c r="G269" s="293"/>
      <c r="H269" s="293"/>
      <c r="I269" s="293"/>
      <c r="J269" s="293"/>
      <c r="K269" s="293"/>
      <c r="L269" s="293"/>
      <c r="M269" s="293"/>
      <c r="N269" s="293"/>
      <c r="O269" s="293"/>
      <c r="P269" s="293"/>
      <c r="Q269" s="293"/>
      <c r="R269" s="293"/>
      <c r="S269" s="293"/>
      <c r="T269" s="293"/>
      <c r="U269" s="293"/>
      <c r="V269" s="293"/>
      <c r="W269" s="293"/>
      <c r="X269" s="293"/>
      <c r="Y269" s="29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c r="BN269" s="293"/>
      <c r="BO269" s="293"/>
      <c r="BP269" s="293"/>
      <c r="BQ269" s="293"/>
      <c r="BR269" s="293"/>
      <c r="BS269" s="293"/>
      <c r="BT269" s="293"/>
      <c r="BU269" s="293"/>
      <c r="BV269" s="293"/>
      <c r="BW269" s="293"/>
      <c r="BX269" s="293"/>
      <c r="BY269" s="293"/>
      <c r="BZ269" s="293"/>
      <c r="CA269" s="293"/>
      <c r="CB269" s="293"/>
      <c r="CC269" s="293"/>
      <c r="CD269" s="293"/>
      <c r="CE269" s="294">
        <v>0.71397251799999994</v>
      </c>
      <c r="CF269" s="293">
        <v>22.967915131000002</v>
      </c>
      <c r="CG269" s="293">
        <v>11.464983598</v>
      </c>
      <c r="CH269" s="293">
        <v>21.943562580999998</v>
      </c>
      <c r="CI269" s="293">
        <v>22.895787488</v>
      </c>
      <c r="CJ269" s="293">
        <v>33.939326112000003</v>
      </c>
      <c r="CK269" s="293">
        <v>10.747903343000001</v>
      </c>
      <c r="CL269" s="293">
        <v>17.489678627</v>
      </c>
      <c r="CM269" s="293">
        <v>28.420389805999999</v>
      </c>
      <c r="CN269" s="293">
        <v>22.001746373</v>
      </c>
      <c r="CO269" s="293">
        <v>41.359356699000003</v>
      </c>
      <c r="CP269" s="295">
        <v>85.694039627999999</v>
      </c>
      <c r="CQ269" s="293">
        <v>1.5233101419999999</v>
      </c>
      <c r="CR269" s="293">
        <v>16.155707589999999</v>
      </c>
      <c r="CS269" s="293">
        <v>39.065856275999998</v>
      </c>
      <c r="CT269" s="293">
        <v>17.998921991</v>
      </c>
      <c r="CU269" s="293">
        <v>10.993770279</v>
      </c>
      <c r="CV269" s="293">
        <v>23.723234878</v>
      </c>
      <c r="CW269" s="293">
        <v>19.546826626000001</v>
      </c>
      <c r="CX269" s="293">
        <v>13.436254146</v>
      </c>
      <c r="CY269" s="293">
        <v>38.292580217000001</v>
      </c>
      <c r="CZ269" s="293">
        <v>45.517299711</v>
      </c>
      <c r="DA269" s="293">
        <v>57.768564744000003</v>
      </c>
      <c r="DB269" s="1288">
        <v>76.399357395999999</v>
      </c>
      <c r="DC269" s="293">
        <v>4.9280118689999997</v>
      </c>
      <c r="DD269" s="293">
        <v>11.039598944</v>
      </c>
      <c r="DE269" s="293">
        <v>44.50643299</v>
      </c>
      <c r="DF269" s="293">
        <v>32.5543756</v>
      </c>
      <c r="DG269" s="293">
        <v>20.408180118000001</v>
      </c>
      <c r="DH269" s="293">
        <v>55.007926951999998</v>
      </c>
      <c r="DI269" s="293">
        <v>26.999730938999999</v>
      </c>
      <c r="DJ269" s="293">
        <v>35.767276017</v>
      </c>
      <c r="DK269" s="293">
        <v>27.268314208</v>
      </c>
      <c r="DL269" s="293">
        <v>34.937820508999998</v>
      </c>
      <c r="DM269" s="293">
        <v>35.766116552</v>
      </c>
      <c r="DN269" s="295">
        <v>102.97636166300001</v>
      </c>
      <c r="DO269" s="293">
        <v>11.419642832999999</v>
      </c>
      <c r="DP269" s="293">
        <v>12.685811561</v>
      </c>
      <c r="DQ269" s="293">
        <v>25.868299465</v>
      </c>
      <c r="DR269" s="293">
        <v>27.196558505999999</v>
      </c>
      <c r="DS269" s="293">
        <v>22.783177304999999</v>
      </c>
      <c r="DT269" s="293">
        <v>65.773055902999999</v>
      </c>
      <c r="DU269" s="293">
        <v>21.331223915999999</v>
      </c>
      <c r="DV269" s="293">
        <v>28.622871756999999</v>
      </c>
      <c r="DW269" s="293">
        <v>42.703288426</v>
      </c>
      <c r="DX269" s="293">
        <v>31.302056869000001</v>
      </c>
      <c r="DY269" s="293">
        <v>33.243957965</v>
      </c>
      <c r="DZ269" s="295">
        <v>94.574213787999994</v>
      </c>
      <c r="EA269" s="293">
        <v>3.0772822780000002</v>
      </c>
      <c r="EB269" s="293">
        <v>26.3686434</v>
      </c>
      <c r="EC269" s="293">
        <v>29.590639855999999</v>
      </c>
      <c r="ED269" s="293">
        <v>53.751454868000003</v>
      </c>
      <c r="EE269" s="293">
        <v>45.668061313000003</v>
      </c>
      <c r="EF269" s="293">
        <v>44.450096389000002</v>
      </c>
      <c r="EG269" s="293">
        <v>63.367580195999999</v>
      </c>
      <c r="EH269" s="293">
        <v>25.677274296</v>
      </c>
      <c r="EI269" s="293">
        <v>32.647215324999998</v>
      </c>
      <c r="EJ269" s="293">
        <v>17.388060697</v>
      </c>
      <c r="EK269" s="293">
        <v>26.529376141</v>
      </c>
      <c r="EL269" s="295">
        <v>67.708085679999996</v>
      </c>
      <c r="EM269" s="1080">
        <v>21.284656133999999</v>
      </c>
      <c r="EN269" s="1080">
        <v>26.156264026999999</v>
      </c>
      <c r="EO269" s="1080">
        <v>29.725764776999998</v>
      </c>
      <c r="EP269" s="1080">
        <v>33.757289403999998</v>
      </c>
      <c r="EQ269" s="1080">
        <v>25.229100856999999</v>
      </c>
      <c r="ER269" s="1080">
        <v>94.829139359999999</v>
      </c>
      <c r="ES269" s="1080">
        <v>69.845675463000006</v>
      </c>
      <c r="ET269" s="1080">
        <v>39.153307775000002</v>
      </c>
      <c r="EU269" s="1080">
        <v>41.703383776999999</v>
      </c>
      <c r="EV269" s="1080">
        <v>53.315583664000002</v>
      </c>
      <c r="EW269" s="1080">
        <v>33.153283655000003</v>
      </c>
      <c r="EX269" s="1340">
        <v>129.290322008</v>
      </c>
      <c r="EY269" s="1080"/>
      <c r="EZ269" s="1080"/>
      <c r="FA269" s="1080"/>
      <c r="FB269" s="1080"/>
      <c r="FC269" s="1080"/>
      <c r="FD269" s="1080"/>
      <c r="FE269" s="1080"/>
      <c r="FF269" s="1080"/>
      <c r="FG269" s="1080"/>
      <c r="FH269" s="1080"/>
      <c r="FI269" s="1080"/>
      <c r="FJ269" s="1340"/>
      <c r="FK269" s="1080"/>
      <c r="FL269" s="1080"/>
      <c r="FM269" s="1080"/>
      <c r="FN269" s="1080"/>
      <c r="FO269" s="1080"/>
      <c r="FP269" s="1080"/>
      <c r="FQ269" s="293"/>
      <c r="FR269" s="293"/>
      <c r="FS269" s="293"/>
      <c r="FT269" s="293"/>
      <c r="FU269" s="293"/>
      <c r="FV269" s="293"/>
      <c r="FW269" s="293"/>
      <c r="FX269" s="293"/>
      <c r="FY269" s="293"/>
      <c r="FZ269" s="293"/>
      <c r="GA269" s="293"/>
      <c r="GB269" s="293"/>
      <c r="GC269" s="293"/>
      <c r="GD269" s="293"/>
      <c r="GE269" s="293"/>
      <c r="GF269" s="293"/>
      <c r="GG269" s="293"/>
      <c r="GH269" s="293"/>
      <c r="GI269" s="293"/>
      <c r="GJ269" s="293"/>
      <c r="GK269" s="293"/>
      <c r="GL269" s="293"/>
      <c r="GM269" s="293"/>
      <c r="GN269" s="293"/>
      <c r="GO269" s="293"/>
      <c r="GP269" s="293"/>
      <c r="GQ269" s="293"/>
      <c r="GR269" s="293"/>
      <c r="GS269" s="293"/>
      <c r="GT269" s="293"/>
      <c r="GU269" s="293"/>
      <c r="GV269" s="293"/>
      <c r="GW269" s="293"/>
      <c r="GX269" s="293"/>
      <c r="GY269" s="293"/>
      <c r="GZ269" s="293"/>
      <c r="HA269" s="293"/>
      <c r="HB269" s="293"/>
      <c r="HC269" s="293"/>
      <c r="HD269" s="293"/>
      <c r="HE269" s="293"/>
      <c r="HF269" s="293"/>
      <c r="HG269" s="293"/>
      <c r="HH269" s="293"/>
      <c r="HI269" s="293"/>
      <c r="HJ269" s="293"/>
      <c r="HK269" s="293"/>
      <c r="HL269" s="293"/>
      <c r="HM269" s="293"/>
      <c r="HN269" s="293"/>
      <c r="HO269" s="293"/>
      <c r="HP269" s="293"/>
      <c r="HQ269" s="293"/>
      <c r="HR269" s="293"/>
      <c r="HS269" s="293"/>
      <c r="HT269" s="293"/>
      <c r="HU269" s="293"/>
      <c r="HV269" s="293"/>
      <c r="HW269" s="293"/>
      <c r="HX269" s="293"/>
      <c r="HY269" s="293"/>
      <c r="IH269" s="279">
        <f t="shared" si="249"/>
        <v>168.444526473</v>
      </c>
      <c r="II269" s="279">
        <f t="shared" si="250"/>
        <v>263.71561988799999</v>
      </c>
      <c r="IJ269" s="323">
        <f t="shared" si="246"/>
        <v>432.16014636099999</v>
      </c>
      <c r="IK269" s="279">
        <f t="shared" si="251"/>
        <v>165.72654557300001</v>
      </c>
      <c r="KT269" s="280"/>
    </row>
    <row r="270" spans="1:306" hidden="1" outlineLevel="1">
      <c r="B270" s="96" t="s">
        <v>338</v>
      </c>
      <c r="D270" s="314" t="s">
        <v>440</v>
      </c>
      <c r="E270" s="293"/>
      <c r="F270" s="293"/>
      <c r="G270" s="293"/>
      <c r="H270" s="293"/>
      <c r="I270" s="293"/>
      <c r="J270" s="293"/>
      <c r="K270" s="293"/>
      <c r="L270" s="293"/>
      <c r="M270" s="293"/>
      <c r="N270" s="293"/>
      <c r="O270" s="293"/>
      <c r="P270" s="293"/>
      <c r="Q270" s="293"/>
      <c r="R270" s="293"/>
      <c r="S270" s="293"/>
      <c r="T270" s="293"/>
      <c r="U270" s="293"/>
      <c r="V270" s="293"/>
      <c r="W270" s="293"/>
      <c r="X270" s="293"/>
      <c r="Y270" s="29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c r="BN270" s="293"/>
      <c r="BO270" s="293"/>
      <c r="BP270" s="293"/>
      <c r="BQ270" s="293"/>
      <c r="BR270" s="293"/>
      <c r="BS270" s="293"/>
      <c r="BT270" s="293"/>
      <c r="BU270" s="293"/>
      <c r="BV270" s="293"/>
      <c r="BW270" s="293"/>
      <c r="BX270" s="293"/>
      <c r="BY270" s="293"/>
      <c r="BZ270" s="293"/>
      <c r="CA270" s="293"/>
      <c r="CB270" s="293"/>
      <c r="CC270" s="293"/>
      <c r="CD270" s="293"/>
      <c r="CE270" s="294">
        <v>2.352804377</v>
      </c>
      <c r="CF270" s="293">
        <v>4.3249138110000001</v>
      </c>
      <c r="CG270" s="293">
        <v>2.5435362939999999</v>
      </c>
      <c r="CH270" s="293">
        <v>8.3786073380000001</v>
      </c>
      <c r="CI270" s="293">
        <v>4.2638647719999998</v>
      </c>
      <c r="CJ270" s="293">
        <v>11.96225523</v>
      </c>
      <c r="CK270" s="293">
        <v>17.921396846</v>
      </c>
      <c r="CL270" s="293">
        <v>6.7096976100000001</v>
      </c>
      <c r="CM270" s="293">
        <v>5.7495258040000001</v>
      </c>
      <c r="CN270" s="293">
        <v>22.415040608000002</v>
      </c>
      <c r="CO270" s="293">
        <v>20.999657485</v>
      </c>
      <c r="CP270" s="295">
        <v>11.487184998</v>
      </c>
      <c r="CQ270" s="293">
        <v>2.827208749</v>
      </c>
      <c r="CR270" s="293">
        <v>7.9455821740000001</v>
      </c>
      <c r="CS270" s="293">
        <v>21.349758787999999</v>
      </c>
      <c r="CT270" s="293">
        <v>2.8231263389999999</v>
      </c>
      <c r="CU270" s="293">
        <v>6.9828340830000002</v>
      </c>
      <c r="CV270" s="293">
        <v>13.288142703</v>
      </c>
      <c r="CW270" s="293">
        <v>11.747981891</v>
      </c>
      <c r="CX270" s="293">
        <v>11.479197488000001</v>
      </c>
      <c r="CY270" s="293">
        <v>31.065068091000001</v>
      </c>
      <c r="CZ270" s="293">
        <v>15.875564785</v>
      </c>
      <c r="DA270" s="293">
        <v>13.154465117999999</v>
      </c>
      <c r="DB270" s="1288">
        <v>20.969254713000002</v>
      </c>
      <c r="DC270" s="293">
        <v>3.3617248169999998</v>
      </c>
      <c r="DD270" s="293">
        <v>16.710014044000001</v>
      </c>
      <c r="DE270" s="293">
        <v>17.079653381</v>
      </c>
      <c r="DF270" s="293">
        <v>12.153026630999999</v>
      </c>
      <c r="DG270" s="293">
        <v>16.529425214</v>
      </c>
      <c r="DH270" s="293">
        <v>9.9983772779999995</v>
      </c>
      <c r="DI270" s="293">
        <v>16.743957596000001</v>
      </c>
      <c r="DJ270" s="293">
        <v>4.9279440770000003</v>
      </c>
      <c r="DK270" s="293">
        <v>6.7148079740000002</v>
      </c>
      <c r="DL270" s="293">
        <v>11.01666902</v>
      </c>
      <c r="DM270" s="293">
        <v>10.962534661999999</v>
      </c>
      <c r="DN270" s="295">
        <v>10.569068034000001</v>
      </c>
      <c r="DO270" s="293">
        <v>11.900812760999999</v>
      </c>
      <c r="DP270" s="293">
        <v>6.8321448910000004</v>
      </c>
      <c r="DQ270" s="293">
        <v>13.540982852999999</v>
      </c>
      <c r="DR270" s="293">
        <v>22.341660553000001</v>
      </c>
      <c r="DS270" s="293">
        <v>9.4904586379999998</v>
      </c>
      <c r="DT270" s="293">
        <v>39.122165154000001</v>
      </c>
      <c r="DU270" s="293">
        <v>9.9199702439999999</v>
      </c>
      <c r="DV270" s="293">
        <v>8.3620142229999992</v>
      </c>
      <c r="DW270" s="293">
        <v>9.6077540589999995</v>
      </c>
      <c r="DX270" s="293">
        <v>6.9123071490000001</v>
      </c>
      <c r="DY270" s="293">
        <v>7.3059550289999997</v>
      </c>
      <c r="DZ270" s="295">
        <v>14.00744409</v>
      </c>
      <c r="EA270" s="293">
        <v>7.4882011090000002</v>
      </c>
      <c r="EB270" s="293">
        <v>9.0777707280000008</v>
      </c>
      <c r="EC270" s="293">
        <v>16.768792312999999</v>
      </c>
      <c r="ED270" s="293">
        <v>16.139019146999999</v>
      </c>
      <c r="EE270" s="293">
        <v>4.8869796120000002</v>
      </c>
      <c r="EF270" s="293">
        <v>45.187501312000002</v>
      </c>
      <c r="EG270" s="293">
        <v>17.600851702</v>
      </c>
      <c r="EH270" s="293">
        <v>3.2984602820000002</v>
      </c>
      <c r="EI270" s="293">
        <v>7.696409729</v>
      </c>
      <c r="EJ270" s="293">
        <v>9.9253390410000009</v>
      </c>
      <c r="EK270" s="293">
        <v>11.935431541</v>
      </c>
      <c r="EL270" s="295">
        <v>10.998916783</v>
      </c>
      <c r="EM270" s="1080">
        <v>6.7698534429999997</v>
      </c>
      <c r="EN270" s="1080">
        <v>6.1516147510000003</v>
      </c>
      <c r="EO270" s="1080">
        <v>20.030871525999999</v>
      </c>
      <c r="EP270" s="1080">
        <v>19.066732634000001</v>
      </c>
      <c r="EQ270" s="1080">
        <v>6.8442039440000002</v>
      </c>
      <c r="ER270" s="1080">
        <v>27.709374836999999</v>
      </c>
      <c r="ES270" s="1080">
        <v>24.556276254</v>
      </c>
      <c r="ET270" s="1080">
        <v>13.042276478</v>
      </c>
      <c r="EU270" s="1080">
        <v>15.308398003000001</v>
      </c>
      <c r="EV270" s="1080">
        <v>17.357775522000001</v>
      </c>
      <c r="EW270" s="1080">
        <v>10.556014693</v>
      </c>
      <c r="EX270" s="1340">
        <v>26.009762047999999</v>
      </c>
      <c r="EY270" s="1080"/>
      <c r="EZ270" s="1080"/>
      <c r="FA270" s="1080"/>
      <c r="FB270" s="1080"/>
      <c r="FC270" s="1080"/>
      <c r="FD270" s="1080"/>
      <c r="FE270" s="1080"/>
      <c r="FF270" s="1080"/>
      <c r="FG270" s="1080"/>
      <c r="FH270" s="1080"/>
      <c r="FI270" s="1080"/>
      <c r="FJ270" s="1340"/>
      <c r="FK270" s="1080"/>
      <c r="FL270" s="1080"/>
      <c r="FM270" s="1080"/>
      <c r="FN270" s="1080"/>
      <c r="FO270" s="1080"/>
      <c r="FP270" s="1080"/>
      <c r="FQ270" s="293"/>
      <c r="FR270" s="293"/>
      <c r="FS270" s="293"/>
      <c r="FT270" s="293"/>
      <c r="FU270" s="293"/>
      <c r="FV270" s="293"/>
      <c r="FW270" s="293"/>
      <c r="FX270" s="293"/>
      <c r="FY270" s="293"/>
      <c r="FZ270" s="293"/>
      <c r="GA270" s="293"/>
      <c r="GB270" s="293"/>
      <c r="GC270" s="293"/>
      <c r="GD270" s="293"/>
      <c r="GE270" s="293"/>
      <c r="GF270" s="293"/>
      <c r="GG270" s="293"/>
      <c r="GH270" s="293"/>
      <c r="GI270" s="293"/>
      <c r="GJ270" s="293"/>
      <c r="GK270" s="293"/>
      <c r="GL270" s="293"/>
      <c r="GM270" s="293"/>
      <c r="GN270" s="293"/>
      <c r="GO270" s="293"/>
      <c r="GP270" s="293"/>
      <c r="GQ270" s="293"/>
      <c r="GR270" s="293"/>
      <c r="GS270" s="293"/>
      <c r="GT270" s="293"/>
      <c r="GU270" s="293"/>
      <c r="GV270" s="293"/>
      <c r="GW270" s="293"/>
      <c r="GX270" s="293"/>
      <c r="GY270" s="293"/>
      <c r="GZ270" s="293"/>
      <c r="HA270" s="293"/>
      <c r="HB270" s="293"/>
      <c r="HC270" s="293"/>
      <c r="HD270" s="293"/>
      <c r="HE270" s="293"/>
      <c r="HF270" s="293"/>
      <c r="HG270" s="293"/>
      <c r="HH270" s="293"/>
      <c r="HI270" s="293"/>
      <c r="HJ270" s="293"/>
      <c r="HK270" s="293"/>
      <c r="HL270" s="293"/>
      <c r="HM270" s="293"/>
      <c r="HN270" s="293"/>
      <c r="HO270" s="293"/>
      <c r="HP270" s="293"/>
      <c r="HQ270" s="293"/>
      <c r="HR270" s="293"/>
      <c r="HS270" s="293"/>
      <c r="HT270" s="293"/>
      <c r="HU270" s="293"/>
      <c r="HV270" s="293"/>
      <c r="HW270" s="293"/>
      <c r="HX270" s="293"/>
      <c r="HY270" s="293"/>
      <c r="IH270" s="279">
        <f t="shared" si="249"/>
        <v>75.832221365000009</v>
      </c>
      <c r="II270" s="279">
        <f t="shared" si="250"/>
        <v>60.934981362999991</v>
      </c>
      <c r="IJ270" s="323">
        <f t="shared" si="246"/>
        <v>136.767202728</v>
      </c>
      <c r="IK270" s="279">
        <f t="shared" si="251"/>
        <v>103.22822484999999</v>
      </c>
      <c r="KT270" s="280"/>
    </row>
    <row r="271" spans="1:306" hidden="1" outlineLevel="1">
      <c r="B271" s="96" t="s">
        <v>338</v>
      </c>
      <c r="D271" s="314" t="s">
        <v>445</v>
      </c>
      <c r="E271" s="293"/>
      <c r="F271" s="293"/>
      <c r="G271" s="293"/>
      <c r="H271" s="293"/>
      <c r="I271" s="293"/>
      <c r="J271" s="293"/>
      <c r="K271" s="293"/>
      <c r="L271" s="293"/>
      <c r="M271" s="293"/>
      <c r="N271" s="293"/>
      <c r="O271" s="293"/>
      <c r="P271" s="293"/>
      <c r="Q271" s="293"/>
      <c r="R271" s="293"/>
      <c r="S271" s="293"/>
      <c r="T271" s="293"/>
      <c r="U271" s="293"/>
      <c r="V271" s="293"/>
      <c r="W271" s="293"/>
      <c r="X271" s="293"/>
      <c r="Y271" s="29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c r="BN271" s="293"/>
      <c r="BO271" s="293"/>
      <c r="BP271" s="293"/>
      <c r="BQ271" s="293"/>
      <c r="BR271" s="293"/>
      <c r="BS271" s="293"/>
      <c r="BT271" s="293"/>
      <c r="BU271" s="293"/>
      <c r="BV271" s="293"/>
      <c r="BW271" s="293"/>
      <c r="BX271" s="293"/>
      <c r="BY271" s="293"/>
      <c r="BZ271" s="293"/>
      <c r="CA271" s="293"/>
      <c r="CB271" s="293"/>
      <c r="CC271" s="293"/>
      <c r="CD271" s="293"/>
      <c r="CE271" s="294">
        <v>0</v>
      </c>
      <c r="CF271" s="293">
        <v>5.9806559970000004</v>
      </c>
      <c r="CG271" s="293">
        <v>0</v>
      </c>
      <c r="CH271" s="293">
        <v>0.135849474</v>
      </c>
      <c r="CI271" s="293">
        <v>5.3964651180000001</v>
      </c>
      <c r="CJ271" s="293">
        <v>2.852216866</v>
      </c>
      <c r="CK271" s="293">
        <v>0.45901865600000002</v>
      </c>
      <c r="CL271" s="293">
        <v>0.28852551599999998</v>
      </c>
      <c r="CM271" s="293">
        <v>0.67146054600000005</v>
      </c>
      <c r="CN271" s="293">
        <v>1.7030574979999999</v>
      </c>
      <c r="CO271" s="293">
        <v>0.30047096299999998</v>
      </c>
      <c r="CP271" s="295">
        <v>4.4995195150000002</v>
      </c>
      <c r="CQ271" s="293">
        <v>0</v>
      </c>
      <c r="CR271" s="293">
        <v>0</v>
      </c>
      <c r="CS271" s="293">
        <v>7.1458173409999999</v>
      </c>
      <c r="CT271" s="293">
        <v>3.7718999000000003E-2</v>
      </c>
      <c r="CU271" s="293">
        <v>0</v>
      </c>
      <c r="CV271" s="293">
        <v>4.4777999999999997E-3</v>
      </c>
      <c r="CW271" s="293">
        <v>0</v>
      </c>
      <c r="CX271" s="293">
        <v>0.39217257500000002</v>
      </c>
      <c r="CY271" s="293">
        <v>0</v>
      </c>
      <c r="CZ271" s="293">
        <v>4.1639014940000001</v>
      </c>
      <c r="DA271" s="293">
        <v>5.4260867309999998</v>
      </c>
      <c r="DB271" s="1288">
        <v>8.7094935610000004</v>
      </c>
      <c r="DC271" s="293">
        <v>0</v>
      </c>
      <c r="DD271" s="293">
        <v>0</v>
      </c>
      <c r="DE271" s="293">
        <v>0</v>
      </c>
      <c r="DF271" s="293">
        <v>0</v>
      </c>
      <c r="DG271" s="293">
        <v>0</v>
      </c>
      <c r="DH271" s="293">
        <v>0</v>
      </c>
      <c r="DI271" s="293">
        <v>0.74642232600000002</v>
      </c>
      <c r="DJ271" s="293">
        <v>0.75568703500000001</v>
      </c>
      <c r="DK271" s="293">
        <v>0.65010734199999998</v>
      </c>
      <c r="DL271" s="293">
        <v>0.733325966</v>
      </c>
      <c r="DM271" s="293">
        <v>0</v>
      </c>
      <c r="DN271" s="295">
        <v>2.2750088389999998</v>
      </c>
      <c r="DO271" s="293">
        <v>0</v>
      </c>
      <c r="DP271" s="293">
        <v>0</v>
      </c>
      <c r="DQ271" s="293">
        <v>0</v>
      </c>
      <c r="DR271" s="293">
        <v>0</v>
      </c>
      <c r="DS271" s="293">
        <v>0</v>
      </c>
      <c r="DT271" s="293">
        <v>0</v>
      </c>
      <c r="DU271" s="293">
        <v>0</v>
      </c>
      <c r="DV271" s="293">
        <v>0</v>
      </c>
      <c r="DW271" s="293">
        <v>0</v>
      </c>
      <c r="DX271" s="293">
        <v>0</v>
      </c>
      <c r="DY271" s="293">
        <v>0</v>
      </c>
      <c r="DZ271" s="295">
        <v>0</v>
      </c>
      <c r="EA271" s="293">
        <v>0</v>
      </c>
      <c r="EB271" s="293">
        <v>0</v>
      </c>
      <c r="EC271" s="293">
        <v>0</v>
      </c>
      <c r="ED271" s="293">
        <v>0</v>
      </c>
      <c r="EE271" s="293">
        <v>0</v>
      </c>
      <c r="EF271" s="293">
        <v>0</v>
      </c>
      <c r="EG271" s="293">
        <v>0</v>
      </c>
      <c r="EH271" s="293">
        <v>0</v>
      </c>
      <c r="EI271" s="293">
        <v>0</v>
      </c>
      <c r="EJ271" s="293">
        <v>0</v>
      </c>
      <c r="EK271" s="293">
        <v>0</v>
      </c>
      <c r="EL271" s="295">
        <v>0</v>
      </c>
      <c r="EM271" s="1080">
        <v>0</v>
      </c>
      <c r="EN271" s="1080">
        <v>0</v>
      </c>
      <c r="EO271" s="1080">
        <v>0</v>
      </c>
      <c r="EP271" s="1080">
        <v>0</v>
      </c>
      <c r="EQ271" s="1080">
        <v>0</v>
      </c>
      <c r="ER271" s="1080">
        <v>0</v>
      </c>
      <c r="ES271" s="1080">
        <v>0</v>
      </c>
      <c r="ET271" s="1080">
        <v>0</v>
      </c>
      <c r="EU271" s="1080">
        <v>0</v>
      </c>
      <c r="EV271" s="1080">
        <v>0</v>
      </c>
      <c r="EW271" s="1080">
        <v>0</v>
      </c>
      <c r="EX271" s="1340">
        <v>0</v>
      </c>
      <c r="EY271" s="1080"/>
      <c r="EZ271" s="1080"/>
      <c r="FA271" s="1080"/>
      <c r="FB271" s="1080"/>
      <c r="FC271" s="1080"/>
      <c r="FD271" s="1080"/>
      <c r="FE271" s="1080"/>
      <c r="FF271" s="1080"/>
      <c r="FG271" s="1080"/>
      <c r="FH271" s="1080"/>
      <c r="FI271" s="1080"/>
      <c r="FJ271" s="1340"/>
      <c r="FK271" s="1080"/>
      <c r="FL271" s="1080"/>
      <c r="FM271" s="1080"/>
      <c r="FN271" s="1080"/>
      <c r="FO271" s="1080"/>
      <c r="FP271" s="1080"/>
      <c r="FQ271" s="293"/>
      <c r="FR271" s="293"/>
      <c r="FS271" s="293"/>
      <c r="FT271" s="293"/>
      <c r="FU271" s="293"/>
      <c r="FV271" s="293"/>
      <c r="FW271" s="293"/>
      <c r="FX271" s="293"/>
      <c r="FY271" s="293"/>
      <c r="FZ271" s="293"/>
      <c r="GA271" s="293"/>
      <c r="GB271" s="293"/>
      <c r="GC271" s="293"/>
      <c r="GD271" s="293"/>
      <c r="GE271" s="293"/>
      <c r="GF271" s="293"/>
      <c r="GG271" s="293"/>
      <c r="GH271" s="293"/>
      <c r="GI271" s="293"/>
      <c r="GJ271" s="293"/>
      <c r="GK271" s="293"/>
      <c r="GL271" s="293"/>
      <c r="GM271" s="293"/>
      <c r="GN271" s="293"/>
      <c r="GO271" s="293"/>
      <c r="GP271" s="293"/>
      <c r="GQ271" s="293"/>
      <c r="GR271" s="293"/>
      <c r="GS271" s="293"/>
      <c r="GT271" s="293"/>
      <c r="GU271" s="293"/>
      <c r="GV271" s="293"/>
      <c r="GW271" s="293"/>
      <c r="GX271" s="293"/>
      <c r="GY271" s="293"/>
      <c r="GZ271" s="293"/>
      <c r="HA271" s="293"/>
      <c r="HB271" s="293"/>
      <c r="HC271" s="293"/>
      <c r="HD271" s="293"/>
      <c r="HE271" s="293"/>
      <c r="HF271" s="293"/>
      <c r="HG271" s="293"/>
      <c r="HH271" s="293"/>
      <c r="HI271" s="293"/>
      <c r="HJ271" s="293"/>
      <c r="HK271" s="293"/>
      <c r="HL271" s="293"/>
      <c r="HM271" s="293"/>
      <c r="HN271" s="293"/>
      <c r="HO271" s="293"/>
      <c r="HP271" s="293"/>
      <c r="HQ271" s="293"/>
      <c r="HR271" s="293"/>
      <c r="HS271" s="293"/>
      <c r="HT271" s="293"/>
      <c r="HU271" s="293"/>
      <c r="HV271" s="293"/>
      <c r="HW271" s="293"/>
      <c r="HX271" s="293"/>
      <c r="HY271" s="293"/>
      <c r="IH271" s="279">
        <f t="shared" si="249"/>
        <v>0</v>
      </c>
      <c r="II271" s="279">
        <f t="shared" si="250"/>
        <v>5.1605515080000002</v>
      </c>
      <c r="IJ271" s="323">
        <f t="shared" si="246"/>
        <v>5.1605515080000002</v>
      </c>
      <c r="IK271" s="279">
        <f t="shared" si="251"/>
        <v>0</v>
      </c>
      <c r="KT271" s="280"/>
    </row>
    <row r="272" spans="1:306" hidden="1" outlineLevel="1">
      <c r="B272" s="96" t="s">
        <v>338</v>
      </c>
      <c r="D272" s="314" t="s">
        <v>449</v>
      </c>
      <c r="E272" s="293"/>
      <c r="F272" s="293"/>
      <c r="G272" s="293"/>
      <c r="H272" s="293"/>
      <c r="I272" s="293"/>
      <c r="J272" s="293"/>
      <c r="K272" s="293"/>
      <c r="L272" s="293"/>
      <c r="M272" s="293"/>
      <c r="N272" s="293"/>
      <c r="O272" s="293"/>
      <c r="P272" s="293"/>
      <c r="Q272" s="293"/>
      <c r="R272" s="293"/>
      <c r="S272" s="293"/>
      <c r="T272" s="293"/>
      <c r="U272" s="293"/>
      <c r="V272" s="293"/>
      <c r="W272" s="293"/>
      <c r="X272" s="293"/>
      <c r="Y272" s="29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c r="BN272" s="293"/>
      <c r="BO272" s="293"/>
      <c r="BP272" s="293"/>
      <c r="BQ272" s="293"/>
      <c r="BR272" s="293"/>
      <c r="BS272" s="293"/>
      <c r="BT272" s="293"/>
      <c r="BU272" s="293"/>
      <c r="BV272" s="293"/>
      <c r="BW272" s="293"/>
      <c r="BX272" s="293"/>
      <c r="BY272" s="293"/>
      <c r="BZ272" s="293"/>
      <c r="CA272" s="293"/>
      <c r="CB272" s="293"/>
      <c r="CC272" s="293"/>
      <c r="CD272" s="293"/>
      <c r="CE272" s="294">
        <v>8.7415903769999996</v>
      </c>
      <c r="CF272" s="293">
        <v>7.9504822170000002</v>
      </c>
      <c r="CG272" s="293">
        <v>9.5546624940000005</v>
      </c>
      <c r="CH272" s="293">
        <v>12.398293619</v>
      </c>
      <c r="CI272" s="293">
        <v>12.774283292</v>
      </c>
      <c r="CJ272" s="293">
        <v>11.885031553999999</v>
      </c>
      <c r="CK272" s="293">
        <v>12.232055731000001</v>
      </c>
      <c r="CL272" s="293">
        <v>11.215308689</v>
      </c>
      <c r="CM272" s="293">
        <v>11.345104039000001</v>
      </c>
      <c r="CN272" s="293">
        <v>14.394406369</v>
      </c>
      <c r="CO272" s="293">
        <v>16.510584692999998</v>
      </c>
      <c r="CP272" s="295">
        <v>13.224545317</v>
      </c>
      <c r="CQ272" s="293">
        <v>13.693573508</v>
      </c>
      <c r="CR272" s="293">
        <v>11.137954858000001</v>
      </c>
      <c r="CS272" s="293">
        <v>15.248563475999999</v>
      </c>
      <c r="CT272" s="293">
        <v>13.558980758000001</v>
      </c>
      <c r="CU272" s="293">
        <v>15.64991045</v>
      </c>
      <c r="CV272" s="293">
        <v>23.429708950999999</v>
      </c>
      <c r="CW272" s="293">
        <v>22.202783358000001</v>
      </c>
      <c r="CX272" s="293">
        <v>12.325948228</v>
      </c>
      <c r="CY272" s="293">
        <v>19.695945395999999</v>
      </c>
      <c r="CZ272" s="293">
        <v>16.570881312000001</v>
      </c>
      <c r="DA272" s="293">
        <v>9.1958878720000001</v>
      </c>
      <c r="DB272" s="1288">
        <v>15.019864312999999</v>
      </c>
      <c r="DC272" s="293">
        <v>9.4259825540000008</v>
      </c>
      <c r="DD272" s="293">
        <v>19.393590053</v>
      </c>
      <c r="DE272" s="293">
        <v>13.056603406000001</v>
      </c>
      <c r="DF272" s="293">
        <v>19.722771295000001</v>
      </c>
      <c r="DG272" s="293">
        <v>10.599101391</v>
      </c>
      <c r="DH272" s="293">
        <v>20.901919025000002</v>
      </c>
      <c r="DI272" s="293">
        <v>12.772065245</v>
      </c>
      <c r="DJ272" s="293">
        <v>17.222341178000001</v>
      </c>
      <c r="DK272" s="293">
        <v>11.515625386</v>
      </c>
      <c r="DL272" s="293">
        <v>17.329424532000001</v>
      </c>
      <c r="DM272" s="293">
        <v>11.609994572</v>
      </c>
      <c r="DN272" s="295">
        <v>16.904907199</v>
      </c>
      <c r="DO272" s="293">
        <v>17.649825823</v>
      </c>
      <c r="DP272" s="293">
        <v>10.685843561</v>
      </c>
      <c r="DQ272" s="293">
        <v>14.152345973999999</v>
      </c>
      <c r="DR272" s="293">
        <v>22.939820272999999</v>
      </c>
      <c r="DS272" s="293">
        <v>12.652276299</v>
      </c>
      <c r="DT272" s="293">
        <v>19.615904769</v>
      </c>
      <c r="DU272" s="293">
        <v>13.944320357</v>
      </c>
      <c r="DV272" s="293">
        <v>15.465819615999999</v>
      </c>
      <c r="DW272" s="293">
        <v>15.726253386</v>
      </c>
      <c r="DX272" s="293">
        <v>14.726030087</v>
      </c>
      <c r="DY272" s="293">
        <v>16.188808007999999</v>
      </c>
      <c r="DZ272" s="295">
        <v>20.407458263999999</v>
      </c>
      <c r="EA272" s="293">
        <v>16.389945106999999</v>
      </c>
      <c r="EB272" s="293">
        <v>11.549463073</v>
      </c>
      <c r="EC272" s="293">
        <v>16.653329973999998</v>
      </c>
      <c r="ED272" s="293">
        <v>19.488419819000001</v>
      </c>
      <c r="EE272" s="293">
        <v>14.973082892000001</v>
      </c>
      <c r="EF272" s="293">
        <v>21.532544535</v>
      </c>
      <c r="EG272" s="293">
        <v>19.355675709</v>
      </c>
      <c r="EH272" s="293">
        <v>14.603730814</v>
      </c>
      <c r="EI272" s="293">
        <v>14.292192969</v>
      </c>
      <c r="EJ272" s="293">
        <v>17.213966965000001</v>
      </c>
      <c r="EK272" s="293">
        <v>17.418467822</v>
      </c>
      <c r="EL272" s="295">
        <v>16.981185755999999</v>
      </c>
      <c r="EM272" s="1080">
        <v>19.836760339000001</v>
      </c>
      <c r="EN272" s="1080">
        <v>12.799703174999999</v>
      </c>
      <c r="EO272" s="1080">
        <v>15.986436706999999</v>
      </c>
      <c r="EP272" s="1080">
        <v>16.881349798999999</v>
      </c>
      <c r="EQ272" s="1080">
        <v>14.272429762</v>
      </c>
      <c r="ER272" s="1080">
        <v>27.582314833000002</v>
      </c>
      <c r="ES272" s="1080">
        <v>28.871944460000002</v>
      </c>
      <c r="ET272" s="1080">
        <v>14.802206663</v>
      </c>
      <c r="EU272" s="1080">
        <v>18.324866591999999</v>
      </c>
      <c r="EV272" s="1080">
        <v>23.969349605000001</v>
      </c>
      <c r="EW272" s="1080">
        <v>14.078212747</v>
      </c>
      <c r="EX272" s="1340">
        <v>24.685959437000001</v>
      </c>
      <c r="EY272" s="1080"/>
      <c r="EZ272" s="1080"/>
      <c r="FA272" s="1080"/>
      <c r="FB272" s="1080"/>
      <c r="FC272" s="1080"/>
      <c r="FD272" s="1080"/>
      <c r="FE272" s="1080"/>
      <c r="FF272" s="1080"/>
      <c r="FG272" s="1080"/>
      <c r="FH272" s="1080"/>
      <c r="FI272" s="1080"/>
      <c r="FJ272" s="1340"/>
      <c r="FK272" s="1080"/>
      <c r="FL272" s="1080"/>
      <c r="FM272" s="1080"/>
      <c r="FN272" s="1080"/>
      <c r="FO272" s="1080"/>
      <c r="FP272" s="1080"/>
      <c r="FQ272" s="293"/>
      <c r="FR272" s="293"/>
      <c r="FS272" s="293"/>
      <c r="FT272" s="293"/>
      <c r="FU272" s="293"/>
      <c r="FV272" s="293"/>
      <c r="FW272" s="293"/>
      <c r="FX272" s="293"/>
      <c r="FY272" s="293"/>
      <c r="FZ272" s="293"/>
      <c r="GA272" s="293"/>
      <c r="GB272" s="293"/>
      <c r="GC272" s="293"/>
      <c r="GD272" s="293"/>
      <c r="GE272" s="293"/>
      <c r="GF272" s="293"/>
      <c r="GG272" s="293"/>
      <c r="GH272" s="293"/>
      <c r="GI272" s="293"/>
      <c r="GJ272" s="293"/>
      <c r="GK272" s="293"/>
      <c r="GL272" s="293"/>
      <c r="GM272" s="293"/>
      <c r="GN272" s="293"/>
      <c r="GO272" s="293"/>
      <c r="GP272" s="293"/>
      <c r="GQ272" s="293"/>
      <c r="GR272" s="293"/>
      <c r="GS272" s="293"/>
      <c r="GT272" s="293"/>
      <c r="GU272" s="293"/>
      <c r="GV272" s="293"/>
      <c r="GW272" s="293"/>
      <c r="GX272" s="293"/>
      <c r="GY272" s="293"/>
      <c r="GZ272" s="293"/>
      <c r="HA272" s="293"/>
      <c r="HB272" s="293"/>
      <c r="HC272" s="293"/>
      <c r="HD272" s="293"/>
      <c r="HE272" s="293"/>
      <c r="HF272" s="293"/>
      <c r="HG272" s="293"/>
      <c r="HH272" s="293"/>
      <c r="HI272" s="293"/>
      <c r="HJ272" s="293"/>
      <c r="HK272" s="293"/>
      <c r="HL272" s="293"/>
      <c r="HM272" s="293"/>
      <c r="HN272" s="293"/>
      <c r="HO272" s="293"/>
      <c r="HP272" s="293"/>
      <c r="HQ272" s="293"/>
      <c r="HR272" s="293"/>
      <c r="HS272" s="293"/>
      <c r="HT272" s="293"/>
      <c r="HU272" s="293"/>
      <c r="HV272" s="293"/>
      <c r="HW272" s="293"/>
      <c r="HX272" s="293"/>
      <c r="HY272" s="293"/>
      <c r="IH272" s="279">
        <f t="shared" si="249"/>
        <v>93.09996772400001</v>
      </c>
      <c r="II272" s="279">
        <f t="shared" si="250"/>
        <v>87.354358112</v>
      </c>
      <c r="IJ272" s="323">
        <f t="shared" si="246"/>
        <v>180.45432583600001</v>
      </c>
      <c r="IK272" s="279">
        <f t="shared" si="251"/>
        <v>97.696016698999983</v>
      </c>
      <c r="KT272" s="280"/>
    </row>
    <row r="273" spans="2:307" hidden="1" outlineLevel="1">
      <c r="B273" s="96" t="s">
        <v>338</v>
      </c>
      <c r="D273" s="314" t="s">
        <v>443</v>
      </c>
      <c r="E273" s="293"/>
      <c r="F273" s="293"/>
      <c r="G273" s="293"/>
      <c r="H273" s="293"/>
      <c r="I273" s="293"/>
      <c r="J273" s="293"/>
      <c r="K273" s="293"/>
      <c r="L273" s="293"/>
      <c r="M273" s="293"/>
      <c r="N273" s="293"/>
      <c r="O273" s="293"/>
      <c r="P273" s="293"/>
      <c r="Q273" s="293"/>
      <c r="R273" s="293"/>
      <c r="S273" s="293"/>
      <c r="T273" s="293"/>
      <c r="U273" s="293"/>
      <c r="V273" s="293"/>
      <c r="W273" s="293"/>
      <c r="X273" s="293"/>
      <c r="Y273" s="29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c r="BN273" s="293"/>
      <c r="BO273" s="293"/>
      <c r="BP273" s="293"/>
      <c r="BQ273" s="293"/>
      <c r="BR273" s="293"/>
      <c r="BS273" s="293"/>
      <c r="BT273" s="293"/>
      <c r="BU273" s="293"/>
      <c r="BV273" s="293"/>
      <c r="BW273" s="293"/>
      <c r="BX273" s="293"/>
      <c r="BY273" s="293"/>
      <c r="BZ273" s="293"/>
      <c r="CA273" s="293"/>
      <c r="CB273" s="293"/>
      <c r="CC273" s="293"/>
      <c r="CD273" s="293"/>
      <c r="CE273" s="294">
        <v>0.62834436900000001</v>
      </c>
      <c r="CF273" s="293">
        <v>1.958956323</v>
      </c>
      <c r="CG273" s="293">
        <v>1.451404065</v>
      </c>
      <c r="CH273" s="293">
        <v>13.086894258999999</v>
      </c>
      <c r="CI273" s="293">
        <v>2.0303838280000002</v>
      </c>
      <c r="CJ273" s="293">
        <v>1.4082085129999999</v>
      </c>
      <c r="CK273" s="293">
        <v>2.1825454770000001</v>
      </c>
      <c r="CL273" s="293">
        <v>0.205787158</v>
      </c>
      <c r="CM273" s="293">
        <v>2.141453453</v>
      </c>
      <c r="CN273" s="293">
        <v>13.420809693000001</v>
      </c>
      <c r="CO273" s="293">
        <v>1.5539844620000001</v>
      </c>
      <c r="CP273" s="295">
        <v>2.2356595559999999</v>
      </c>
      <c r="CQ273" s="293">
        <v>1.6139140249999999</v>
      </c>
      <c r="CR273" s="293">
        <v>2.690494191</v>
      </c>
      <c r="CS273" s="293">
        <v>2.7286537709999998</v>
      </c>
      <c r="CT273" s="293">
        <v>1.5192630140000001</v>
      </c>
      <c r="CU273" s="293">
        <v>2.926404845</v>
      </c>
      <c r="CV273" s="293">
        <v>1.2423336410000001</v>
      </c>
      <c r="CW273" s="293">
        <v>1.720635634</v>
      </c>
      <c r="CX273" s="293">
        <v>1.0965883030000001</v>
      </c>
      <c r="CY273" s="293">
        <v>4.4167458179999999</v>
      </c>
      <c r="CZ273" s="293">
        <v>1.983468952</v>
      </c>
      <c r="DA273" s="293">
        <v>3.205517172</v>
      </c>
      <c r="DB273" s="1288">
        <v>1.856683648</v>
      </c>
      <c r="DC273" s="293">
        <v>0</v>
      </c>
      <c r="DD273" s="293">
        <v>0</v>
      </c>
      <c r="DE273" s="293">
        <v>0</v>
      </c>
      <c r="DF273" s="293">
        <v>0</v>
      </c>
      <c r="DG273" s="293">
        <v>0</v>
      </c>
      <c r="DH273" s="293">
        <v>0</v>
      </c>
      <c r="DI273" s="293">
        <v>2.0589334090000002</v>
      </c>
      <c r="DJ273" s="293">
        <v>4.9357321399999998</v>
      </c>
      <c r="DK273" s="293">
        <v>3.4511521900000002</v>
      </c>
      <c r="DL273" s="293">
        <v>2.352990863</v>
      </c>
      <c r="DM273" s="293">
        <v>5.6211685109999996</v>
      </c>
      <c r="DN273" s="295">
        <v>1.665370115</v>
      </c>
      <c r="DO273" s="293">
        <v>2.2708957719999998</v>
      </c>
      <c r="DP273" s="293">
        <v>1.9027358080000001</v>
      </c>
      <c r="DQ273" s="293">
        <v>4.0303026109999998</v>
      </c>
      <c r="DR273" s="293">
        <v>0.60084294699999996</v>
      </c>
      <c r="DS273" s="293">
        <v>9.3875556719999995</v>
      </c>
      <c r="DT273" s="293">
        <v>5.4837887470000002</v>
      </c>
      <c r="DU273" s="293">
        <v>3.5600683850000001</v>
      </c>
      <c r="DV273" s="293">
        <v>8.2733343969999993</v>
      </c>
      <c r="DW273" s="293">
        <v>3.441651314</v>
      </c>
      <c r="DX273" s="293">
        <v>4.4105825320000003</v>
      </c>
      <c r="DY273" s="293">
        <v>5.8488595349999999</v>
      </c>
      <c r="DZ273" s="295">
        <v>7.0653338579999998</v>
      </c>
      <c r="EA273" s="293">
        <v>3.5002442199999999</v>
      </c>
      <c r="EB273" s="293">
        <v>9.1508729009999996</v>
      </c>
      <c r="EC273" s="293">
        <v>6.4041025400000002</v>
      </c>
      <c r="ED273" s="293">
        <v>2.7748097949999999</v>
      </c>
      <c r="EE273" s="293">
        <v>7.7276811839999997</v>
      </c>
      <c r="EF273" s="293">
        <v>3.2812961629999999</v>
      </c>
      <c r="EG273" s="293">
        <v>3.6508980470000001</v>
      </c>
      <c r="EH273" s="293">
        <v>10.72770343</v>
      </c>
      <c r="EI273" s="293">
        <v>4.7762329860000001</v>
      </c>
      <c r="EJ273" s="293">
        <v>4.2818569030000004</v>
      </c>
      <c r="EK273" s="293">
        <v>7.4795880649999997</v>
      </c>
      <c r="EL273" s="295">
        <v>4.6480506530000003</v>
      </c>
      <c r="EM273" s="1080">
        <v>3.816679057</v>
      </c>
      <c r="EN273" s="1080">
        <v>10.486365338000001</v>
      </c>
      <c r="EO273" s="1080">
        <v>6.3748220890000002</v>
      </c>
      <c r="EP273" s="1080">
        <v>14.542099840000001</v>
      </c>
      <c r="EQ273" s="1080">
        <v>11.854197691</v>
      </c>
      <c r="ER273" s="1080">
        <v>2.9836837780000001</v>
      </c>
      <c r="ES273" s="1080">
        <v>4.597397645</v>
      </c>
      <c r="ET273" s="1080">
        <v>11.637998302</v>
      </c>
      <c r="EU273" s="1080">
        <v>6.4636354840000001</v>
      </c>
      <c r="EV273" s="1080">
        <v>13.977150341</v>
      </c>
      <c r="EW273" s="1080">
        <v>12.882842942</v>
      </c>
      <c r="EX273" s="1340">
        <v>2.3569134960000002</v>
      </c>
      <c r="EY273" s="1080"/>
      <c r="EZ273" s="1080"/>
      <c r="FA273" s="1080"/>
      <c r="FB273" s="1080"/>
      <c r="FC273" s="1080"/>
      <c r="FD273" s="1080"/>
      <c r="FE273" s="1080"/>
      <c r="FF273" s="1080"/>
      <c r="FG273" s="1080"/>
      <c r="FH273" s="1080"/>
      <c r="FI273" s="1080"/>
      <c r="FJ273" s="1340"/>
      <c r="FK273" s="1080"/>
      <c r="FL273" s="1080"/>
      <c r="FM273" s="1080"/>
      <c r="FN273" s="1080"/>
      <c r="FO273" s="1080"/>
      <c r="FP273" s="1080"/>
      <c r="FQ273" s="293"/>
      <c r="FR273" s="293"/>
      <c r="FS273" s="293"/>
      <c r="FT273" s="293"/>
      <c r="FU273" s="293"/>
      <c r="FV273" s="293"/>
      <c r="FW273" s="293"/>
      <c r="FX273" s="293"/>
      <c r="FY273" s="293"/>
      <c r="FZ273" s="293"/>
      <c r="GA273" s="293"/>
      <c r="GB273" s="293"/>
      <c r="GC273" s="293"/>
      <c r="GD273" s="293"/>
      <c r="GE273" s="293"/>
      <c r="GF273" s="293"/>
      <c r="GG273" s="293"/>
      <c r="GH273" s="293"/>
      <c r="GI273" s="293"/>
      <c r="GJ273" s="293"/>
      <c r="GK273" s="293"/>
      <c r="GL273" s="293"/>
      <c r="GM273" s="293"/>
      <c r="GN273" s="293"/>
      <c r="GO273" s="293"/>
      <c r="GP273" s="293"/>
      <c r="GQ273" s="293"/>
      <c r="GR273" s="293"/>
      <c r="GS273" s="293"/>
      <c r="GT273" s="293"/>
      <c r="GU273" s="293"/>
      <c r="GV273" s="293"/>
      <c r="GW273" s="293"/>
      <c r="GX273" s="293"/>
      <c r="GY273" s="293"/>
      <c r="GZ273" s="293"/>
      <c r="HA273" s="293"/>
      <c r="HB273" s="293"/>
      <c r="HC273" s="293"/>
      <c r="HD273" s="293"/>
      <c r="HE273" s="293"/>
      <c r="HF273" s="293"/>
      <c r="HG273" s="293"/>
      <c r="HH273" s="293"/>
      <c r="HI273" s="293"/>
      <c r="HJ273" s="293"/>
      <c r="HK273" s="293"/>
      <c r="HL273" s="293"/>
      <c r="HM273" s="293"/>
      <c r="HN273" s="293"/>
      <c r="HO273" s="293"/>
      <c r="HP273" s="293"/>
      <c r="HQ273" s="293"/>
      <c r="HR273" s="293"/>
      <c r="HS273" s="293"/>
      <c r="HT273" s="293"/>
      <c r="HU273" s="293"/>
      <c r="HV273" s="293"/>
      <c r="HW273" s="293"/>
      <c r="HX273" s="293"/>
      <c r="HY273" s="293"/>
      <c r="IH273" s="279">
        <f t="shared" si="249"/>
        <v>0</v>
      </c>
      <c r="II273" s="279">
        <f t="shared" si="250"/>
        <v>20.085347228000003</v>
      </c>
      <c r="IJ273" s="323">
        <f t="shared" si="246"/>
        <v>20.085347228000003</v>
      </c>
      <c r="IK273" s="279">
        <f t="shared" si="251"/>
        <v>23.676121557000002</v>
      </c>
      <c r="KT273" s="280"/>
    </row>
    <row r="274" spans="2:307" hidden="1" outlineLevel="1">
      <c r="B274" s="96" t="s">
        <v>338</v>
      </c>
      <c r="D274" s="314" t="s">
        <v>441</v>
      </c>
      <c r="E274" s="293"/>
      <c r="F274" s="293"/>
      <c r="G274" s="293"/>
      <c r="H274" s="293"/>
      <c r="I274" s="293"/>
      <c r="J274" s="293"/>
      <c r="K274" s="293"/>
      <c r="L274" s="293"/>
      <c r="M274" s="293"/>
      <c r="N274" s="293"/>
      <c r="O274" s="293"/>
      <c r="P274" s="293"/>
      <c r="Q274" s="293"/>
      <c r="R274" s="293"/>
      <c r="S274" s="293"/>
      <c r="T274" s="293"/>
      <c r="U274" s="293"/>
      <c r="V274" s="293"/>
      <c r="W274" s="293"/>
      <c r="X274" s="293"/>
      <c r="Y274" s="29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c r="BN274" s="293"/>
      <c r="BO274" s="293"/>
      <c r="BP274" s="293"/>
      <c r="BQ274" s="293"/>
      <c r="BR274" s="293"/>
      <c r="BS274" s="293"/>
      <c r="BT274" s="293"/>
      <c r="BU274" s="293"/>
      <c r="BV274" s="293"/>
      <c r="BW274" s="293"/>
      <c r="BX274" s="293"/>
      <c r="BY274" s="293"/>
      <c r="BZ274" s="293"/>
      <c r="CA274" s="293"/>
      <c r="CB274" s="293"/>
      <c r="CC274" s="293"/>
      <c r="CD274" s="293"/>
      <c r="CE274" s="294">
        <v>2.3254828760000001</v>
      </c>
      <c r="CF274" s="293">
        <v>21.477896982000001</v>
      </c>
      <c r="CG274" s="293">
        <v>4.8380317980000003</v>
      </c>
      <c r="CH274" s="293">
        <v>3.6664955099999998</v>
      </c>
      <c r="CI274" s="293">
        <v>4.0259999999999998</v>
      </c>
      <c r="CJ274" s="293">
        <v>2.8368251789999999</v>
      </c>
      <c r="CK274" s="293">
        <v>9.6416975600000008</v>
      </c>
      <c r="CL274" s="293">
        <v>2.7872927550000002</v>
      </c>
      <c r="CM274" s="293">
        <v>13.984178124</v>
      </c>
      <c r="CN274" s="293">
        <v>0.34203537899999997</v>
      </c>
      <c r="CO274" s="293">
        <v>3.085795101</v>
      </c>
      <c r="CP274" s="295">
        <v>16.697588455999998</v>
      </c>
      <c r="CQ274" s="293">
        <v>3.3838203980000001</v>
      </c>
      <c r="CR274" s="293">
        <v>5.8877582220000004</v>
      </c>
      <c r="CS274" s="293">
        <v>6.1350750520000004</v>
      </c>
      <c r="CT274" s="293">
        <v>3.4750000000000001</v>
      </c>
      <c r="CU274" s="293">
        <v>2.7249697450000001</v>
      </c>
      <c r="CV274" s="293">
        <v>5.1999697449999998</v>
      </c>
      <c r="CW274" s="293">
        <v>3.7043971180000002</v>
      </c>
      <c r="CX274" s="293">
        <v>5.0264641450000003</v>
      </c>
      <c r="CY274" s="293">
        <v>8.4177674000000007</v>
      </c>
      <c r="CZ274" s="293">
        <v>0.412073786</v>
      </c>
      <c r="DA274" s="293">
        <v>2.5499999999999998</v>
      </c>
      <c r="DB274" s="1288">
        <v>29.840790999999999</v>
      </c>
      <c r="DC274" s="293">
        <v>5.3</v>
      </c>
      <c r="DD274" s="293">
        <v>13.347593832999999</v>
      </c>
      <c r="DE274" s="293">
        <v>8.4300109649999992</v>
      </c>
      <c r="DF274" s="293">
        <v>4.7301852929999999</v>
      </c>
      <c r="DG274" s="293">
        <v>4.3726213439999997</v>
      </c>
      <c r="DH274" s="293">
        <v>4</v>
      </c>
      <c r="DI274" s="293">
        <v>18.152643471000001</v>
      </c>
      <c r="DJ274" s="293">
        <v>10.237692828</v>
      </c>
      <c r="DK274" s="293">
        <v>3.4166666659999998</v>
      </c>
      <c r="DL274" s="293">
        <v>4.7231948780000002</v>
      </c>
      <c r="DM274" s="293">
        <v>2.875</v>
      </c>
      <c r="DN274" s="295">
        <v>10.310334033</v>
      </c>
      <c r="DO274" s="293">
        <v>4.8980108539999998</v>
      </c>
      <c r="DP274" s="293">
        <v>6.9066390130000004</v>
      </c>
      <c r="DQ274" s="293">
        <v>5.114651265</v>
      </c>
      <c r="DR274" s="293">
        <v>12.557798579</v>
      </c>
      <c r="DS274" s="293">
        <v>7.6440726510000001</v>
      </c>
      <c r="DT274" s="293">
        <v>6.5949982159999996</v>
      </c>
      <c r="DU274" s="293">
        <v>9.2977403200000008</v>
      </c>
      <c r="DV274" s="293">
        <v>6.0299764959999997</v>
      </c>
      <c r="DW274" s="293">
        <v>19.564882179000001</v>
      </c>
      <c r="DX274" s="293">
        <v>5.514651153</v>
      </c>
      <c r="DY274" s="293">
        <v>15.763531491</v>
      </c>
      <c r="DZ274" s="295">
        <v>21.42389068</v>
      </c>
      <c r="EA274" s="293">
        <v>6.8</v>
      </c>
      <c r="EB274" s="293">
        <v>13.823127455</v>
      </c>
      <c r="EC274" s="293">
        <v>14.595596735999999</v>
      </c>
      <c r="ED274" s="293">
        <v>16.641112683999999</v>
      </c>
      <c r="EE274" s="293">
        <v>12.958859156999999</v>
      </c>
      <c r="EF274" s="293">
        <v>17.168928225999998</v>
      </c>
      <c r="EG274" s="293">
        <v>13.318198282000001</v>
      </c>
      <c r="EH274" s="293">
        <v>13.107458163</v>
      </c>
      <c r="EI274" s="293">
        <v>18.397751581000001</v>
      </c>
      <c r="EJ274" s="293">
        <v>8.8221777439999993</v>
      </c>
      <c r="EK274" s="293">
        <v>10.715627456</v>
      </c>
      <c r="EL274" s="295">
        <v>9.6364187700000006</v>
      </c>
      <c r="EM274" s="1080">
        <v>18.295448931999999</v>
      </c>
      <c r="EN274" s="1080">
        <v>5.9919073760000003</v>
      </c>
      <c r="EO274" s="1080">
        <v>14.29080705</v>
      </c>
      <c r="EP274" s="1080">
        <v>15.597151498000001</v>
      </c>
      <c r="EQ274" s="1080">
        <v>7.0825640050000001</v>
      </c>
      <c r="ER274" s="1080">
        <v>28.529486042999999</v>
      </c>
      <c r="ES274" s="1080">
        <v>16.467596491999998</v>
      </c>
      <c r="ET274" s="1080">
        <v>13.380851702999999</v>
      </c>
      <c r="EU274" s="1080">
        <v>21.771007916999999</v>
      </c>
      <c r="EV274" s="1080">
        <v>15.475808110999999</v>
      </c>
      <c r="EW274" s="1080">
        <v>4.5938451909999998</v>
      </c>
      <c r="EX274" s="1340">
        <v>11.729146661</v>
      </c>
      <c r="EY274" s="1080"/>
      <c r="EZ274" s="1080"/>
      <c r="FA274" s="1080"/>
      <c r="FB274" s="1080"/>
      <c r="FC274" s="1080"/>
      <c r="FD274" s="1080"/>
      <c r="FE274" s="1080"/>
      <c r="FF274" s="1080"/>
      <c r="FG274" s="1080"/>
      <c r="FH274" s="1080"/>
      <c r="FI274" s="1080"/>
      <c r="FJ274" s="1340"/>
      <c r="FK274" s="1080"/>
      <c r="FL274" s="1080"/>
      <c r="FM274" s="1080"/>
      <c r="FN274" s="1080"/>
      <c r="FO274" s="1080"/>
      <c r="FP274" s="1080"/>
      <c r="FQ274" s="293"/>
      <c r="FR274" s="293"/>
      <c r="FS274" s="293"/>
      <c r="FT274" s="293"/>
      <c r="FU274" s="293"/>
      <c r="FV274" s="293"/>
      <c r="FW274" s="293"/>
      <c r="FX274" s="293"/>
      <c r="FY274" s="293"/>
      <c r="FZ274" s="293"/>
      <c r="GA274" s="293"/>
      <c r="GB274" s="293"/>
      <c r="GC274" s="293"/>
      <c r="GD274" s="293"/>
      <c r="GE274" s="293"/>
      <c r="GF274" s="293"/>
      <c r="GG274" s="293"/>
      <c r="GH274" s="293"/>
      <c r="GI274" s="293"/>
      <c r="GJ274" s="293"/>
      <c r="GK274" s="293"/>
      <c r="GL274" s="293"/>
      <c r="GM274" s="293"/>
      <c r="GN274" s="293"/>
      <c r="GO274" s="293"/>
      <c r="GP274" s="293"/>
      <c r="GQ274" s="293"/>
      <c r="GR274" s="293"/>
      <c r="GS274" s="293"/>
      <c r="GT274" s="293"/>
      <c r="GU274" s="293"/>
      <c r="GV274" s="293"/>
      <c r="GW274" s="293"/>
      <c r="GX274" s="293"/>
      <c r="GY274" s="293"/>
      <c r="GZ274" s="293"/>
      <c r="HA274" s="293"/>
      <c r="HB274" s="293"/>
      <c r="HC274" s="293"/>
      <c r="HD274" s="293"/>
      <c r="HE274" s="293"/>
      <c r="HF274" s="293"/>
      <c r="HG274" s="293"/>
      <c r="HH274" s="293"/>
      <c r="HI274" s="293"/>
      <c r="HJ274" s="293"/>
      <c r="HK274" s="293"/>
      <c r="HL274" s="293"/>
      <c r="HM274" s="293"/>
      <c r="HN274" s="293"/>
      <c r="HO274" s="293"/>
      <c r="HP274" s="293"/>
      <c r="HQ274" s="293"/>
      <c r="HR274" s="293"/>
      <c r="HS274" s="293"/>
      <c r="HT274" s="293"/>
      <c r="HU274" s="293"/>
      <c r="HV274" s="293"/>
      <c r="HW274" s="293"/>
      <c r="HX274" s="293"/>
      <c r="HY274" s="293"/>
      <c r="IH274" s="279">
        <f t="shared" si="249"/>
        <v>40.180411434999996</v>
      </c>
      <c r="II274" s="279">
        <f t="shared" si="250"/>
        <v>49.715531876</v>
      </c>
      <c r="IJ274" s="323">
        <f t="shared" si="246"/>
        <v>89.895943310999996</v>
      </c>
      <c r="IK274" s="279">
        <f t="shared" si="251"/>
        <v>43.716170578000003</v>
      </c>
      <c r="KT274" s="280"/>
    </row>
    <row r="275" spans="2:307" hidden="1" outlineLevel="1">
      <c r="B275" s="96" t="s">
        <v>338</v>
      </c>
      <c r="D275" s="314" t="s">
        <v>82</v>
      </c>
      <c r="E275" s="293"/>
      <c r="F275" s="293"/>
      <c r="G275" s="293"/>
      <c r="H275" s="293"/>
      <c r="I275" s="293"/>
      <c r="J275" s="293"/>
      <c r="K275" s="293"/>
      <c r="L275" s="293"/>
      <c r="M275" s="293"/>
      <c r="N275" s="293"/>
      <c r="O275" s="293"/>
      <c r="P275" s="293"/>
      <c r="Q275" s="293"/>
      <c r="R275" s="293"/>
      <c r="S275" s="293"/>
      <c r="T275" s="293"/>
      <c r="U275" s="293"/>
      <c r="V275" s="293"/>
      <c r="W275" s="293"/>
      <c r="X275" s="293"/>
      <c r="Y275" s="29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c r="BN275" s="293"/>
      <c r="BO275" s="293"/>
      <c r="BP275" s="293"/>
      <c r="BQ275" s="293"/>
      <c r="BR275" s="293"/>
      <c r="BS275" s="293"/>
      <c r="BT275" s="293"/>
      <c r="BU275" s="293"/>
      <c r="BV275" s="293"/>
      <c r="BW275" s="293"/>
      <c r="BX275" s="293"/>
      <c r="BY275" s="293"/>
      <c r="BZ275" s="293"/>
      <c r="CA275" s="293"/>
      <c r="CB275" s="293"/>
      <c r="CC275" s="293"/>
      <c r="CD275" s="293"/>
      <c r="CE275" s="294">
        <v>20.288814465000002</v>
      </c>
      <c r="CF275" s="293">
        <v>31.926520867000001</v>
      </c>
      <c r="CG275" s="293">
        <v>20.390323092999999</v>
      </c>
      <c r="CH275" s="293">
        <v>37.138745464000003</v>
      </c>
      <c r="CI275" s="293">
        <v>20.493128676000001</v>
      </c>
      <c r="CJ275" s="293">
        <v>20.330886023000001</v>
      </c>
      <c r="CK275" s="293">
        <v>20.792473902000001</v>
      </c>
      <c r="CL275" s="293">
        <v>22.288472990999999</v>
      </c>
      <c r="CM275" s="293">
        <v>21.076441602999999</v>
      </c>
      <c r="CN275" s="293">
        <v>20.453895932999998</v>
      </c>
      <c r="CO275" s="293">
        <v>24.641843828999999</v>
      </c>
      <c r="CP275" s="295">
        <v>26.766084612</v>
      </c>
      <c r="CQ275" s="293">
        <v>20.880763045999998</v>
      </c>
      <c r="CR275" s="293">
        <v>27.209381593</v>
      </c>
      <c r="CS275" s="293">
        <v>14.630734157999999</v>
      </c>
      <c r="CT275" s="293">
        <v>31.771888672999999</v>
      </c>
      <c r="CU275" s="293">
        <v>16.197014546999998</v>
      </c>
      <c r="CV275" s="293">
        <v>19.851863732999998</v>
      </c>
      <c r="CW275" s="293">
        <v>24.604528220999999</v>
      </c>
      <c r="CX275" s="293">
        <v>17.374302832000001</v>
      </c>
      <c r="CY275" s="293">
        <v>21.012402180999999</v>
      </c>
      <c r="CZ275" s="293">
        <v>26.323725590999999</v>
      </c>
      <c r="DA275" s="293">
        <v>19.992045912999998</v>
      </c>
      <c r="DB275" s="1288">
        <v>23.413846839000001</v>
      </c>
      <c r="DC275" s="293">
        <v>20.137518965999998</v>
      </c>
      <c r="DD275" s="293">
        <v>15.316707211000001</v>
      </c>
      <c r="DE275" s="293">
        <v>15.501902736</v>
      </c>
      <c r="DF275" s="293">
        <v>29.935788780999999</v>
      </c>
      <c r="DG275" s="293">
        <v>18.768960934999999</v>
      </c>
      <c r="DH275" s="293">
        <v>23.967824173</v>
      </c>
      <c r="DI275" s="293">
        <v>26.979603236999999</v>
      </c>
      <c r="DJ275" s="293">
        <v>19.268462623000001</v>
      </c>
      <c r="DK275" s="293">
        <v>15.470161525</v>
      </c>
      <c r="DL275" s="293">
        <v>30.93298051</v>
      </c>
      <c r="DM275" s="293">
        <v>16.11610924</v>
      </c>
      <c r="DN275" s="295">
        <v>24.928716532999999</v>
      </c>
      <c r="DO275" s="293">
        <v>19.018868387000001</v>
      </c>
      <c r="DP275" s="293">
        <v>7.3592675290000003</v>
      </c>
      <c r="DQ275" s="293">
        <v>15.697852458</v>
      </c>
      <c r="DR275" s="293">
        <v>27.669171923</v>
      </c>
      <c r="DS275" s="293">
        <v>32.772481313</v>
      </c>
      <c r="DT275" s="293">
        <v>38.076629402999998</v>
      </c>
      <c r="DU275" s="293">
        <v>30.217422205999998</v>
      </c>
      <c r="DV275" s="293">
        <v>22.280225639000001</v>
      </c>
      <c r="DW275" s="293">
        <v>21.655344812999999</v>
      </c>
      <c r="DX275" s="293">
        <v>16.26390979</v>
      </c>
      <c r="DY275" s="293">
        <v>26.185127329</v>
      </c>
      <c r="DZ275" s="295">
        <v>43.468353571999998</v>
      </c>
      <c r="EA275" s="293">
        <v>16.543169505000002</v>
      </c>
      <c r="EB275" s="293">
        <v>27.201206794000001</v>
      </c>
      <c r="EC275" s="293">
        <v>23.330594127000001</v>
      </c>
      <c r="ED275" s="293">
        <v>25.624052534</v>
      </c>
      <c r="EE275" s="293">
        <v>21.420506181</v>
      </c>
      <c r="EF275" s="293">
        <v>42.317493120000002</v>
      </c>
      <c r="EG275" s="293">
        <v>27.83095673</v>
      </c>
      <c r="EH275" s="293">
        <v>23.177112268999998</v>
      </c>
      <c r="EI275" s="293">
        <v>32.105243664</v>
      </c>
      <c r="EJ275" s="293">
        <v>19.862908866000001</v>
      </c>
      <c r="EK275" s="293">
        <v>25.187944315999999</v>
      </c>
      <c r="EL275" s="295">
        <v>43.154304535000001</v>
      </c>
      <c r="EM275" s="1080">
        <v>17.293005130000001</v>
      </c>
      <c r="EN275" s="1080">
        <v>29.70773505</v>
      </c>
      <c r="EO275" s="1080">
        <v>28.425470861000001</v>
      </c>
      <c r="EP275" s="1080">
        <v>29.52831102</v>
      </c>
      <c r="EQ275" s="1080">
        <v>28.587395484999998</v>
      </c>
      <c r="ER275" s="1080">
        <v>44.794473863999997</v>
      </c>
      <c r="ES275" s="1080">
        <v>43.043323043999997</v>
      </c>
      <c r="ET275" s="1080">
        <v>32.465792358999998</v>
      </c>
      <c r="EU275" s="1080">
        <v>24.046030156</v>
      </c>
      <c r="EV275" s="1080">
        <v>28.569136621999998</v>
      </c>
      <c r="EW275" s="1080">
        <v>12.582839813</v>
      </c>
      <c r="EX275" s="1340">
        <v>39.791120415999998</v>
      </c>
      <c r="EY275" s="1080"/>
      <c r="EZ275" s="1080"/>
      <c r="FA275" s="1080"/>
      <c r="FB275" s="1080"/>
      <c r="FC275" s="1080"/>
      <c r="FD275" s="1080"/>
      <c r="FE275" s="1080"/>
      <c r="FF275" s="1080"/>
      <c r="FG275" s="1080"/>
      <c r="FH275" s="1080"/>
      <c r="FI275" s="1080"/>
      <c r="FJ275" s="1340"/>
      <c r="FK275" s="1080"/>
      <c r="FL275" s="1080"/>
      <c r="FM275" s="1080"/>
      <c r="FN275" s="1080"/>
      <c r="FO275" s="1080"/>
      <c r="FP275" s="1080"/>
      <c r="FQ275" s="293"/>
      <c r="FR275" s="293"/>
      <c r="FS275" s="293"/>
      <c r="FT275" s="293"/>
      <c r="FU275" s="293"/>
      <c r="FV275" s="293"/>
      <c r="FW275" s="293"/>
      <c r="FX275" s="293"/>
      <c r="FY275" s="293"/>
      <c r="FZ275" s="293"/>
      <c r="GA275" s="293"/>
      <c r="GB275" s="293"/>
      <c r="GC275" s="293"/>
      <c r="GD275" s="293"/>
      <c r="GE275" s="293"/>
      <c r="GF275" s="293"/>
      <c r="GG275" s="293"/>
      <c r="GH275" s="293"/>
      <c r="GI275" s="293"/>
      <c r="GJ275" s="293"/>
      <c r="GK275" s="293"/>
      <c r="GL275" s="293"/>
      <c r="GM275" s="293"/>
      <c r="GN275" s="293"/>
      <c r="GO275" s="293"/>
      <c r="GP275" s="293"/>
      <c r="GQ275" s="293"/>
      <c r="GR275" s="293"/>
      <c r="GS275" s="293"/>
      <c r="GT275" s="293"/>
      <c r="GU275" s="293"/>
      <c r="GV275" s="293"/>
      <c r="GW275" s="293"/>
      <c r="GX275" s="293"/>
      <c r="GY275" s="293"/>
      <c r="GZ275" s="293"/>
      <c r="HA275" s="293"/>
      <c r="HB275" s="293"/>
      <c r="HC275" s="293"/>
      <c r="HD275" s="293"/>
      <c r="HE275" s="293"/>
      <c r="HF275" s="293"/>
      <c r="HG275" s="293"/>
      <c r="HH275" s="293"/>
      <c r="HI275" s="293"/>
      <c r="HJ275" s="293"/>
      <c r="HK275" s="293"/>
      <c r="HL275" s="293"/>
      <c r="HM275" s="293"/>
      <c r="HN275" s="293"/>
      <c r="HO275" s="293"/>
      <c r="HP275" s="293"/>
      <c r="HQ275" s="293"/>
      <c r="HR275" s="293"/>
      <c r="HS275" s="293"/>
      <c r="HT275" s="293"/>
      <c r="HU275" s="293"/>
      <c r="HV275" s="293"/>
      <c r="HW275" s="293"/>
      <c r="HX275" s="293"/>
      <c r="HY275" s="293"/>
      <c r="IH275" s="279">
        <f t="shared" si="249"/>
        <v>123.62870280199999</v>
      </c>
      <c r="II275" s="279">
        <f t="shared" si="250"/>
        <v>133.69603366799998</v>
      </c>
      <c r="IJ275" s="323">
        <f t="shared" si="246"/>
        <v>257.32473646999995</v>
      </c>
      <c r="IK275" s="279">
        <f t="shared" si="251"/>
        <v>140.59427101300003</v>
      </c>
      <c r="KT275" s="280"/>
    </row>
    <row r="276" spans="2:307" hidden="1" outlineLevel="1">
      <c r="B276" s="96" t="s">
        <v>338</v>
      </c>
      <c r="D276" s="314" t="s">
        <v>436</v>
      </c>
      <c r="E276" s="293"/>
      <c r="F276" s="293"/>
      <c r="G276" s="293"/>
      <c r="H276" s="293"/>
      <c r="I276" s="293"/>
      <c r="J276" s="293"/>
      <c r="K276" s="293"/>
      <c r="L276" s="293"/>
      <c r="M276" s="293"/>
      <c r="N276" s="293"/>
      <c r="O276" s="293"/>
      <c r="P276" s="293"/>
      <c r="Q276" s="293"/>
      <c r="R276" s="293"/>
      <c r="S276" s="293"/>
      <c r="T276" s="293"/>
      <c r="U276" s="293"/>
      <c r="V276" s="293"/>
      <c r="W276" s="293"/>
      <c r="X276" s="293"/>
      <c r="Y276" s="29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c r="BN276" s="293"/>
      <c r="BO276" s="293"/>
      <c r="BP276" s="293"/>
      <c r="BQ276" s="293"/>
      <c r="BR276" s="293"/>
      <c r="BS276" s="293"/>
      <c r="BT276" s="293"/>
      <c r="BU276" s="293"/>
      <c r="BV276" s="293"/>
      <c r="BW276" s="293"/>
      <c r="BX276" s="293"/>
      <c r="BY276" s="293"/>
      <c r="BZ276" s="293"/>
      <c r="CA276" s="293"/>
      <c r="CB276" s="293"/>
      <c r="CC276" s="293"/>
      <c r="CD276" s="293"/>
      <c r="CE276" s="294">
        <v>14.56142438</v>
      </c>
      <c r="CF276" s="293">
        <v>16.908924549000002</v>
      </c>
      <c r="CG276" s="293">
        <v>12.225883482</v>
      </c>
      <c r="CH276" s="293">
        <v>21.769315812999999</v>
      </c>
      <c r="CI276" s="293">
        <v>12.940731595000001</v>
      </c>
      <c r="CJ276" s="293">
        <v>14.282346027000001</v>
      </c>
      <c r="CK276" s="293">
        <v>13.705222486</v>
      </c>
      <c r="CL276" s="293">
        <v>17.740185079</v>
      </c>
      <c r="CM276" s="293">
        <v>14.884276570000001</v>
      </c>
      <c r="CN276" s="293">
        <v>19.687059299000001</v>
      </c>
      <c r="CO276" s="293">
        <v>14.934001796</v>
      </c>
      <c r="CP276" s="295">
        <v>14.230223794</v>
      </c>
      <c r="CQ276" s="293">
        <v>18.455334004000001</v>
      </c>
      <c r="CR276" s="293">
        <v>19.544169269000001</v>
      </c>
      <c r="CS276" s="293">
        <v>13.043669704999999</v>
      </c>
      <c r="CT276" s="293">
        <v>21.100683728</v>
      </c>
      <c r="CU276" s="293">
        <v>14.733348810000001</v>
      </c>
      <c r="CV276" s="293">
        <v>14.562838202</v>
      </c>
      <c r="CW276" s="293">
        <v>20.327017896000001</v>
      </c>
      <c r="CX276" s="293">
        <v>9.8216560190000006</v>
      </c>
      <c r="CY276" s="293">
        <v>19.699411081000001</v>
      </c>
      <c r="CZ276" s="293">
        <v>20.925502295000001</v>
      </c>
      <c r="DA276" s="293">
        <v>16.774531656000001</v>
      </c>
      <c r="DB276" s="1288">
        <v>14.746144738</v>
      </c>
      <c r="DC276" s="293">
        <v>20.409265349999998</v>
      </c>
      <c r="DD276" s="293">
        <v>19.26773571</v>
      </c>
      <c r="DE276" s="293">
        <v>16.996221340999998</v>
      </c>
      <c r="DF276" s="293">
        <v>23.759587711999998</v>
      </c>
      <c r="DG276" s="293">
        <v>16.680174481000002</v>
      </c>
      <c r="DH276" s="293">
        <v>16.836125239000001</v>
      </c>
      <c r="DI276" s="293">
        <v>23.838759612</v>
      </c>
      <c r="DJ276" s="293">
        <v>14.236282118</v>
      </c>
      <c r="DK276" s="293">
        <v>20.023803751999999</v>
      </c>
      <c r="DL276" s="293">
        <v>29.128877629000002</v>
      </c>
      <c r="DM276" s="293">
        <v>16.782586541000001</v>
      </c>
      <c r="DN276" s="295">
        <v>24.341084525999999</v>
      </c>
      <c r="DO276" s="293">
        <v>29.869081174000002</v>
      </c>
      <c r="DP276" s="293">
        <v>23.931264869</v>
      </c>
      <c r="DQ276" s="293">
        <v>18.274522227999999</v>
      </c>
      <c r="DR276" s="293">
        <v>24.519224341000001</v>
      </c>
      <c r="DS276" s="293">
        <v>29.045438722</v>
      </c>
      <c r="DT276" s="293">
        <v>21.531640722999999</v>
      </c>
      <c r="DU276" s="293">
        <v>27.307990413999999</v>
      </c>
      <c r="DV276" s="293">
        <v>21.798573087000001</v>
      </c>
      <c r="DW276" s="293">
        <v>16.366065652</v>
      </c>
      <c r="DX276" s="293">
        <v>27.343764989</v>
      </c>
      <c r="DY276" s="293">
        <v>31.214030716</v>
      </c>
      <c r="DZ276" s="295">
        <v>24.440484230999999</v>
      </c>
      <c r="EA276" s="293">
        <v>34.238679550999997</v>
      </c>
      <c r="EB276" s="293">
        <v>24.784363957</v>
      </c>
      <c r="EC276" s="293">
        <v>25.642811470000002</v>
      </c>
      <c r="ED276" s="293">
        <v>28.063910043</v>
      </c>
      <c r="EE276" s="293">
        <v>23.312562973999999</v>
      </c>
      <c r="EF276" s="293">
        <v>22.513939632</v>
      </c>
      <c r="EG276" s="293">
        <v>28.7857205</v>
      </c>
      <c r="EH276" s="293">
        <v>21.106292215</v>
      </c>
      <c r="EI276" s="293">
        <v>30.899654987000002</v>
      </c>
      <c r="EJ276" s="293">
        <v>23.757056477999999</v>
      </c>
      <c r="EK276" s="293">
        <v>21.508586071</v>
      </c>
      <c r="EL276" s="295">
        <v>32.059444802000002</v>
      </c>
      <c r="EM276" s="1080">
        <v>27.538787261</v>
      </c>
      <c r="EN276" s="1080">
        <v>28.871518300999998</v>
      </c>
      <c r="EO276" s="1080">
        <v>24.898664355000001</v>
      </c>
      <c r="EP276" s="1080">
        <v>28.329421008000001</v>
      </c>
      <c r="EQ276" s="1080">
        <v>27.436792354000001</v>
      </c>
      <c r="ER276" s="1080">
        <v>29.958144570999998</v>
      </c>
      <c r="ES276" s="1080">
        <v>20.898032454999999</v>
      </c>
      <c r="ET276" s="1080">
        <v>27.587791660000001</v>
      </c>
      <c r="EU276" s="1080">
        <v>11.63703061</v>
      </c>
      <c r="EV276" s="1080">
        <v>31.682240342</v>
      </c>
      <c r="EW276" s="1080">
        <v>29.588881517000001</v>
      </c>
      <c r="EX276" s="1340">
        <v>31.429041311999999</v>
      </c>
      <c r="EY276" s="1080"/>
      <c r="EZ276" s="1080"/>
      <c r="FA276" s="1080"/>
      <c r="FB276" s="1080"/>
      <c r="FC276" s="1080"/>
      <c r="FD276" s="1080"/>
      <c r="FE276" s="1080"/>
      <c r="FF276" s="1080"/>
      <c r="FG276" s="1080"/>
      <c r="FH276" s="1080"/>
      <c r="FI276" s="1080"/>
      <c r="FJ276" s="1340"/>
      <c r="FK276" s="1080"/>
      <c r="FL276" s="1080"/>
      <c r="FM276" s="1080"/>
      <c r="FN276" s="1080"/>
      <c r="FO276" s="1080"/>
      <c r="FP276" s="1080"/>
      <c r="FQ276" s="293"/>
      <c r="FR276" s="293"/>
      <c r="FS276" s="293"/>
      <c r="FT276" s="293"/>
      <c r="FU276" s="293"/>
      <c r="FV276" s="293"/>
      <c r="FW276" s="293"/>
      <c r="FX276" s="293"/>
      <c r="FY276" s="293"/>
      <c r="FZ276" s="293"/>
      <c r="GA276" s="293"/>
      <c r="GB276" s="293"/>
      <c r="GC276" s="293"/>
      <c r="GD276" s="293"/>
      <c r="GE276" s="293"/>
      <c r="GF276" s="293"/>
      <c r="GG276" s="293"/>
      <c r="GH276" s="293"/>
      <c r="GI276" s="293"/>
      <c r="GJ276" s="293"/>
      <c r="GK276" s="293"/>
      <c r="GL276" s="293"/>
      <c r="GM276" s="293"/>
      <c r="GN276" s="293"/>
      <c r="GO276" s="293"/>
      <c r="GP276" s="293"/>
      <c r="GQ276" s="293"/>
      <c r="GR276" s="293"/>
      <c r="GS276" s="293"/>
      <c r="GT276" s="293"/>
      <c r="GU276" s="293"/>
      <c r="GV276" s="293"/>
      <c r="GW276" s="293"/>
      <c r="GX276" s="293"/>
      <c r="GY276" s="293"/>
      <c r="GZ276" s="293"/>
      <c r="HA276" s="293"/>
      <c r="HB276" s="293"/>
      <c r="HC276" s="293"/>
      <c r="HD276" s="293"/>
      <c r="HE276" s="293"/>
      <c r="HF276" s="293"/>
      <c r="HG276" s="293"/>
      <c r="HH276" s="293"/>
      <c r="HI276" s="293"/>
      <c r="HJ276" s="293"/>
      <c r="HK276" s="293"/>
      <c r="HL276" s="293"/>
      <c r="HM276" s="293"/>
      <c r="HN276" s="293"/>
      <c r="HO276" s="293"/>
      <c r="HP276" s="293"/>
      <c r="HQ276" s="293"/>
      <c r="HR276" s="293"/>
      <c r="HS276" s="293"/>
      <c r="HT276" s="293"/>
      <c r="HU276" s="293"/>
      <c r="HV276" s="293"/>
      <c r="HW276" s="293"/>
      <c r="HX276" s="293"/>
      <c r="HY276" s="293"/>
      <c r="IH276" s="279">
        <f t="shared" si="249"/>
        <v>113.94910983299998</v>
      </c>
      <c r="II276" s="279">
        <f t="shared" si="250"/>
        <v>128.35139417799999</v>
      </c>
      <c r="IJ276" s="323">
        <f t="shared" si="246"/>
        <v>242.30050401099999</v>
      </c>
      <c r="IK276" s="279">
        <f t="shared" si="251"/>
        <v>147.17117205700001</v>
      </c>
      <c r="KT276" s="280"/>
    </row>
    <row r="277" spans="2:307" hidden="1" outlineLevel="1">
      <c r="B277" s="96" t="s">
        <v>338</v>
      </c>
      <c r="D277" s="316" t="s">
        <v>1021</v>
      </c>
      <c r="E277" s="293"/>
      <c r="F277" s="293"/>
      <c r="G277" s="293"/>
      <c r="H277" s="293"/>
      <c r="I277" s="293"/>
      <c r="J277" s="293"/>
      <c r="K277" s="293"/>
      <c r="L277" s="293"/>
      <c r="M277" s="293"/>
      <c r="N277" s="293"/>
      <c r="O277" s="293"/>
      <c r="P277" s="293"/>
      <c r="Q277" s="293"/>
      <c r="R277" s="293"/>
      <c r="S277" s="293"/>
      <c r="T277" s="293"/>
      <c r="U277" s="293"/>
      <c r="V277" s="293"/>
      <c r="W277" s="293"/>
      <c r="X277" s="293"/>
      <c r="Y277" s="29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c r="BN277" s="293"/>
      <c r="BO277" s="293"/>
      <c r="BP277" s="293"/>
      <c r="BQ277" s="293"/>
      <c r="BR277" s="293"/>
      <c r="BS277" s="293"/>
      <c r="BT277" s="293"/>
      <c r="BU277" s="293"/>
      <c r="BV277" s="293"/>
      <c r="BW277" s="293"/>
      <c r="BX277" s="293"/>
      <c r="BY277" s="293"/>
      <c r="BZ277" s="293"/>
      <c r="CA277" s="293"/>
      <c r="CB277" s="293"/>
      <c r="CC277" s="293"/>
      <c r="CD277" s="293"/>
      <c r="CE277" s="317">
        <v>25.508399537999999</v>
      </c>
      <c r="CF277" s="318">
        <v>-2.0401775750000093</v>
      </c>
      <c r="CG277" s="318">
        <v>4.2207555349999968</v>
      </c>
      <c r="CH277" s="318">
        <v>16.252574370000001</v>
      </c>
      <c r="CI277" s="318">
        <v>-2.4876395040000032</v>
      </c>
      <c r="CJ277" s="318">
        <v>-38.466229519000009</v>
      </c>
      <c r="CK277" s="318">
        <v>33.882002667999998</v>
      </c>
      <c r="CL277" s="318">
        <v>2.2579470150000027</v>
      </c>
      <c r="CM277" s="318">
        <v>-2.0906577159999982</v>
      </c>
      <c r="CN277" s="318">
        <v>22.995433001999999</v>
      </c>
      <c r="CO277" s="318">
        <v>16.250835539999997</v>
      </c>
      <c r="CP277" s="789">
        <v>-75.287974610000006</v>
      </c>
      <c r="CQ277" s="318">
        <v>44.310774844999997</v>
      </c>
      <c r="CR277" s="318">
        <v>7.5001968780000023</v>
      </c>
      <c r="CS277" s="318">
        <v>-7.9004163129999991</v>
      </c>
      <c r="CT277" s="318">
        <v>7.7556771840000014</v>
      </c>
      <c r="CU277" s="318">
        <v>14.144899252999997</v>
      </c>
      <c r="CV277" s="318">
        <v>-15.019393060999995</v>
      </c>
      <c r="CW277" s="318">
        <v>9.6241101279999999</v>
      </c>
      <c r="CX277" s="318">
        <v>18.724819482000001</v>
      </c>
      <c r="CY277" s="318">
        <v>-5.0054926209999993</v>
      </c>
      <c r="CZ277" s="318">
        <v>34.591635226999998</v>
      </c>
      <c r="DA277" s="318">
        <v>1.3786757339999962</v>
      </c>
      <c r="DB277" s="1301">
        <v>-84.901138697999983</v>
      </c>
      <c r="DC277" s="293">
        <v>45.052735190000007</v>
      </c>
      <c r="DD277" s="293">
        <v>7.2257779429999971</v>
      </c>
      <c r="DE277" s="293">
        <v>-6.9903193999999953</v>
      </c>
      <c r="DF277" s="293">
        <v>32.998058119999996</v>
      </c>
      <c r="DG277" s="293">
        <v>6.2888159679999962</v>
      </c>
      <c r="DH277" s="293">
        <v>-50.081889140000001</v>
      </c>
      <c r="DI277" s="293">
        <v>46.068997971999991</v>
      </c>
      <c r="DJ277" s="293">
        <v>-6.6366921700000008</v>
      </c>
      <c r="DK277" s="293">
        <v>7.4934037979999992</v>
      </c>
      <c r="DL277" s="293">
        <v>11.347221520000002</v>
      </c>
      <c r="DM277" s="293">
        <v>29.137273227999998</v>
      </c>
      <c r="DN277" s="295">
        <v>-104.89661460000001</v>
      </c>
      <c r="DO277" s="293">
        <v>25.456573080999995</v>
      </c>
      <c r="DP277" s="293">
        <v>68.927591491000001</v>
      </c>
      <c r="DQ277" s="293">
        <v>-6.6212411989999929</v>
      </c>
      <c r="DR277" s="293">
        <v>22.329321789000002</v>
      </c>
      <c r="DS277" s="293">
        <v>1.7125336159999982</v>
      </c>
      <c r="DT277" s="293">
        <v>-103.077576081</v>
      </c>
      <c r="DU277" s="293">
        <v>72.040236409999991</v>
      </c>
      <c r="DV277" s="293">
        <v>3.8861973749999965</v>
      </c>
      <c r="DW277" s="293">
        <v>-51.794579945000002</v>
      </c>
      <c r="DX277" s="293">
        <v>88.399945051999993</v>
      </c>
      <c r="DY277" s="293">
        <v>18.782829167999999</v>
      </c>
      <c r="DZ277" s="295">
        <v>-77.964563783999992</v>
      </c>
      <c r="EA277" s="293">
        <v>55.820003290999999</v>
      </c>
      <c r="EB277" s="293">
        <v>39.295028280000004</v>
      </c>
      <c r="EC277" s="293">
        <v>32.034154108999999</v>
      </c>
      <c r="ED277" s="293">
        <v>0.725604204999998</v>
      </c>
      <c r="EE277" s="293">
        <v>5.2141258529999961</v>
      </c>
      <c r="EF277" s="293">
        <v>-77.101285343000029</v>
      </c>
      <c r="EG277" s="293">
        <v>27.522394906999999</v>
      </c>
      <c r="EH277" s="293">
        <v>17.15996041</v>
      </c>
      <c r="EI277" s="293">
        <v>2.7166068449999985</v>
      </c>
      <c r="EJ277" s="293">
        <v>52.045411289</v>
      </c>
      <c r="EK277" s="293">
        <v>27.567981759000002</v>
      </c>
      <c r="EL277" s="295">
        <v>-105.17609369500001</v>
      </c>
      <c r="EM277" s="1080">
        <v>23.816345483999996</v>
      </c>
      <c r="EN277" s="1080">
        <v>44.226370795000022</v>
      </c>
      <c r="EO277" s="1080">
        <v>8.1419027430000028</v>
      </c>
      <c r="EP277" s="1080">
        <v>42.716289001999996</v>
      </c>
      <c r="EQ277" s="1080">
        <v>63.645386470000005</v>
      </c>
      <c r="ER277" s="1080">
        <v>-106.17324135299999</v>
      </c>
      <c r="ES277" s="1080">
        <v>-51.511227849000008</v>
      </c>
      <c r="ET277" s="1080">
        <v>-4.1803346760000011</v>
      </c>
      <c r="EU277" s="1080">
        <v>48.686548283999997</v>
      </c>
      <c r="EV277" s="1080">
        <v>66.64271675900001</v>
      </c>
      <c r="EW277" s="1080">
        <v>99.212840006999997</v>
      </c>
      <c r="EX277" s="1340">
        <v>-154.08028402900001</v>
      </c>
      <c r="EY277" s="1080"/>
      <c r="EZ277" s="1080"/>
      <c r="FA277" s="1080"/>
      <c r="FB277" s="1080"/>
      <c r="FC277" s="1080"/>
      <c r="FD277" s="1080"/>
      <c r="FE277" s="1080"/>
      <c r="FF277" s="1080"/>
      <c r="FG277" s="1080"/>
      <c r="FH277" s="1080"/>
      <c r="FI277" s="1080"/>
      <c r="FJ277" s="1340"/>
      <c r="FK277" s="1080"/>
      <c r="FL277" s="1080"/>
      <c r="FM277" s="1080"/>
      <c r="FN277" s="1080"/>
      <c r="FO277" s="1080"/>
      <c r="FP277" s="1080"/>
      <c r="FQ277" s="293"/>
      <c r="FR277" s="293"/>
      <c r="FS277" s="293"/>
      <c r="FT277" s="293"/>
      <c r="FU277" s="293"/>
      <c r="FV277" s="293"/>
      <c r="FW277" s="293"/>
      <c r="FX277" s="293"/>
      <c r="FY277" s="293"/>
      <c r="FZ277" s="293"/>
      <c r="GA277" s="293"/>
      <c r="GB277" s="293"/>
      <c r="GC277" s="293"/>
      <c r="GD277" s="293"/>
      <c r="GE277" s="293"/>
      <c r="GF277" s="293"/>
      <c r="GG277" s="293"/>
      <c r="GH277" s="293"/>
      <c r="GI277" s="293"/>
      <c r="GJ277" s="293"/>
      <c r="GK277" s="293"/>
      <c r="GL277" s="293"/>
      <c r="GM277" s="293"/>
      <c r="GN277" s="293"/>
      <c r="GO277" s="293"/>
      <c r="GP277" s="293"/>
      <c r="GQ277" s="293"/>
      <c r="GR277" s="293"/>
      <c r="GS277" s="293"/>
      <c r="GT277" s="293"/>
      <c r="GU277" s="293"/>
      <c r="GV277" s="293"/>
      <c r="GW277" s="293"/>
      <c r="GX277" s="293"/>
      <c r="GY277" s="293"/>
      <c r="GZ277" s="293"/>
      <c r="HA277" s="293"/>
      <c r="HB277" s="293"/>
      <c r="HC277" s="293"/>
      <c r="HD277" s="293"/>
      <c r="HE277" s="293"/>
      <c r="HF277" s="293"/>
      <c r="HG277" s="293"/>
      <c r="HH277" s="293"/>
      <c r="HI277" s="293"/>
      <c r="HJ277" s="293"/>
      <c r="HK277" s="293"/>
      <c r="HL277" s="293"/>
      <c r="HM277" s="293"/>
      <c r="HN277" s="293"/>
      <c r="HO277" s="293"/>
      <c r="HP277" s="293"/>
      <c r="HQ277" s="293"/>
      <c r="HR277" s="293"/>
      <c r="HS277" s="293"/>
      <c r="HT277" s="293"/>
      <c r="HU277" s="293"/>
      <c r="HV277" s="293"/>
      <c r="HW277" s="293"/>
      <c r="HX277" s="293"/>
      <c r="HY277" s="293"/>
      <c r="IH277" s="279">
        <f t="shared" si="249"/>
        <v>34.493178681000003</v>
      </c>
      <c r="II277" s="279">
        <f t="shared" si="250"/>
        <v>-17.486410252000013</v>
      </c>
      <c r="IJ277" s="323">
        <f t="shared" si="246"/>
        <v>17.00676842899999</v>
      </c>
      <c r="IK277" s="279">
        <f t="shared" si="251"/>
        <v>8.7272026970000098</v>
      </c>
      <c r="KT277" s="280"/>
    </row>
    <row r="278" spans="2:307" hidden="1" outlineLevel="1">
      <c r="B278" s="96" t="s">
        <v>338</v>
      </c>
      <c r="D278" s="314" t="s">
        <v>450</v>
      </c>
      <c r="E278" s="293"/>
      <c r="F278" s="293"/>
      <c r="G278" s="293"/>
      <c r="H278" s="293"/>
      <c r="I278" s="293"/>
      <c r="J278" s="293"/>
      <c r="K278" s="293"/>
      <c r="L278" s="293"/>
      <c r="M278" s="293"/>
      <c r="N278" s="293"/>
      <c r="O278" s="293"/>
      <c r="P278" s="293"/>
      <c r="Q278" s="293"/>
      <c r="R278" s="293"/>
      <c r="S278" s="293"/>
      <c r="T278" s="293"/>
      <c r="U278" s="293"/>
      <c r="V278" s="293"/>
      <c r="W278" s="293"/>
      <c r="X278" s="293"/>
      <c r="Y278" s="29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c r="BN278" s="293"/>
      <c r="BO278" s="293"/>
      <c r="BP278" s="293"/>
      <c r="BQ278" s="293"/>
      <c r="BR278" s="293"/>
      <c r="BS278" s="293"/>
      <c r="BT278" s="293"/>
      <c r="BU278" s="293"/>
      <c r="BV278" s="293"/>
      <c r="BW278" s="293"/>
      <c r="BX278" s="293"/>
      <c r="BY278" s="293"/>
      <c r="BZ278" s="293"/>
      <c r="CA278" s="293"/>
      <c r="CB278" s="293"/>
      <c r="CC278" s="293"/>
      <c r="CD278" s="293"/>
      <c r="CE278" s="317" t="s">
        <v>451</v>
      </c>
      <c r="CF278" s="318" t="s">
        <v>451</v>
      </c>
      <c r="CG278" s="318" t="s">
        <v>451</v>
      </c>
      <c r="CH278" s="318" t="s">
        <v>451</v>
      </c>
      <c r="CI278" s="318" t="s">
        <v>451</v>
      </c>
      <c r="CJ278" s="318" t="s">
        <v>451</v>
      </c>
      <c r="CK278" s="318" t="s">
        <v>451</v>
      </c>
      <c r="CL278" s="318" t="s">
        <v>451</v>
      </c>
      <c r="CM278" s="318" t="s">
        <v>451</v>
      </c>
      <c r="CN278" s="318" t="s">
        <v>451</v>
      </c>
      <c r="CO278" s="318" t="s">
        <v>451</v>
      </c>
      <c r="CP278" s="789" t="s">
        <v>451</v>
      </c>
      <c r="CQ278" s="318" t="s">
        <v>451</v>
      </c>
      <c r="CR278" s="318" t="s">
        <v>451</v>
      </c>
      <c r="CS278" s="318" t="s">
        <v>451</v>
      </c>
      <c r="CT278" s="318" t="s">
        <v>451</v>
      </c>
      <c r="CU278" s="318" t="s">
        <v>451</v>
      </c>
      <c r="CV278" s="318" t="s">
        <v>451</v>
      </c>
      <c r="CW278" s="318" t="s">
        <v>451</v>
      </c>
      <c r="CX278" s="318" t="s">
        <v>451</v>
      </c>
      <c r="CY278" s="318" t="s">
        <v>451</v>
      </c>
      <c r="CZ278" s="318" t="s">
        <v>451</v>
      </c>
      <c r="DA278" s="318" t="s">
        <v>451</v>
      </c>
      <c r="DB278" s="1301" t="s">
        <v>451</v>
      </c>
      <c r="DC278" s="318" t="s">
        <v>451</v>
      </c>
      <c r="DD278" s="318" t="s">
        <v>451</v>
      </c>
      <c r="DE278" s="318" t="s">
        <v>451</v>
      </c>
      <c r="DF278" s="318" t="s">
        <v>451</v>
      </c>
      <c r="DG278" s="318" t="s">
        <v>451</v>
      </c>
      <c r="DH278" s="318" t="s">
        <v>451</v>
      </c>
      <c r="DI278" s="318" t="s">
        <v>451</v>
      </c>
      <c r="DJ278" s="318" t="s">
        <v>451</v>
      </c>
      <c r="DK278" s="318" t="s">
        <v>451</v>
      </c>
      <c r="DL278" s="318" t="s">
        <v>451</v>
      </c>
      <c r="DM278" s="318" t="s">
        <v>451</v>
      </c>
      <c r="DN278" s="789" t="s">
        <v>451</v>
      </c>
      <c r="DO278" s="318" t="s">
        <v>451</v>
      </c>
      <c r="DP278" s="318" t="s">
        <v>451</v>
      </c>
      <c r="DQ278" s="318" t="s">
        <v>451</v>
      </c>
      <c r="DR278" s="318" t="s">
        <v>451</v>
      </c>
      <c r="DS278" s="318" t="s">
        <v>451</v>
      </c>
      <c r="DT278" s="318" t="s">
        <v>451</v>
      </c>
      <c r="DU278" s="318" t="s">
        <v>451</v>
      </c>
      <c r="DV278" s="318" t="s">
        <v>451</v>
      </c>
      <c r="DW278" s="318" t="s">
        <v>451</v>
      </c>
      <c r="DX278" s="318" t="s">
        <v>451</v>
      </c>
      <c r="DY278" s="318" t="s">
        <v>451</v>
      </c>
      <c r="DZ278" s="789" t="s">
        <v>451</v>
      </c>
      <c r="EA278" s="318" t="s">
        <v>451</v>
      </c>
      <c r="EB278" s="318" t="s">
        <v>451</v>
      </c>
      <c r="EC278" s="318" t="s">
        <v>451</v>
      </c>
      <c r="ED278" s="318" t="s">
        <v>451</v>
      </c>
      <c r="EE278" s="318" t="s">
        <v>451</v>
      </c>
      <c r="EF278" s="318" t="s">
        <v>451</v>
      </c>
      <c r="EG278" s="318" t="s">
        <v>451</v>
      </c>
      <c r="EH278" s="318" t="s">
        <v>451</v>
      </c>
      <c r="EI278" s="318" t="s">
        <v>451</v>
      </c>
      <c r="EJ278" s="318" t="s">
        <v>451</v>
      </c>
      <c r="EK278" s="318" t="s">
        <v>451</v>
      </c>
      <c r="EL278" s="789" t="s">
        <v>451</v>
      </c>
      <c r="EM278" s="1095" t="s">
        <v>451</v>
      </c>
      <c r="EN278" s="1095" t="s">
        <v>451</v>
      </c>
      <c r="EO278" s="1095" t="s">
        <v>451</v>
      </c>
      <c r="EP278" s="1095" t="s">
        <v>451</v>
      </c>
      <c r="EQ278" s="1095" t="s">
        <v>451</v>
      </c>
      <c r="ER278" s="1095" t="s">
        <v>451</v>
      </c>
      <c r="ES278" s="1095" t="s">
        <v>451</v>
      </c>
      <c r="ET278" s="1095" t="s">
        <v>451</v>
      </c>
      <c r="EU278" s="1095" t="s">
        <v>451</v>
      </c>
      <c r="EV278" s="1095" t="s">
        <v>451</v>
      </c>
      <c r="EW278" s="1095" t="s">
        <v>451</v>
      </c>
      <c r="EX278" s="1362" t="s">
        <v>451</v>
      </c>
      <c r="EY278" s="1095"/>
      <c r="EZ278" s="1095"/>
      <c r="FA278" s="1095"/>
      <c r="FB278" s="1095"/>
      <c r="FC278" s="1095"/>
      <c r="FD278" s="1095"/>
      <c r="FE278" s="1095"/>
      <c r="FF278" s="1095"/>
      <c r="FG278" s="1095"/>
      <c r="FH278" s="1095"/>
      <c r="FI278" s="1095"/>
      <c r="FJ278" s="1362"/>
      <c r="FK278" s="1095"/>
      <c r="FL278" s="1095"/>
      <c r="FM278" s="1095"/>
      <c r="FN278" s="1095"/>
      <c r="FO278" s="1095"/>
      <c r="FP278" s="1095"/>
      <c r="FQ278" s="318"/>
      <c r="FR278" s="318"/>
      <c r="FS278" s="318"/>
      <c r="FT278" s="318"/>
      <c r="FU278" s="318"/>
      <c r="FV278" s="318"/>
      <c r="FW278" s="318"/>
      <c r="FX278" s="318"/>
      <c r="FY278" s="318"/>
      <c r="FZ278" s="318"/>
      <c r="GA278" s="318"/>
      <c r="GB278" s="318"/>
      <c r="GC278" s="318"/>
      <c r="GD278" s="318"/>
      <c r="GE278" s="318"/>
      <c r="GF278" s="318"/>
      <c r="GG278" s="318"/>
      <c r="GH278" s="318"/>
      <c r="GI278" s="318"/>
      <c r="GJ278" s="318"/>
      <c r="GK278" s="318"/>
      <c r="GL278" s="318"/>
      <c r="GM278" s="318"/>
      <c r="GN278" s="318"/>
      <c r="GO278" s="318"/>
      <c r="GP278" s="318"/>
      <c r="GQ278" s="318"/>
      <c r="GR278" s="318"/>
      <c r="GS278" s="318"/>
      <c r="GT278" s="318"/>
      <c r="GU278" s="318"/>
      <c r="GV278" s="318"/>
      <c r="GW278" s="318"/>
      <c r="GX278" s="318"/>
      <c r="GY278" s="318"/>
      <c r="GZ278" s="318"/>
      <c r="HA278" s="318"/>
      <c r="HB278" s="318"/>
      <c r="HC278" s="318"/>
      <c r="HD278" s="318"/>
      <c r="HE278" s="318"/>
      <c r="HF278" s="318"/>
      <c r="HG278" s="318"/>
      <c r="HH278" s="318"/>
      <c r="HI278" s="318"/>
      <c r="HJ278" s="318"/>
      <c r="HK278" s="318"/>
      <c r="HL278" s="318"/>
      <c r="HM278" s="318"/>
      <c r="HN278" s="318"/>
      <c r="HO278" s="318"/>
      <c r="HP278" s="318"/>
      <c r="HQ278" s="318"/>
      <c r="HR278" s="318"/>
      <c r="HS278" s="318"/>
      <c r="HT278" s="318"/>
      <c r="HU278" s="318"/>
      <c r="HV278" s="318"/>
      <c r="HW278" s="318"/>
      <c r="HX278" s="318"/>
      <c r="HY278" s="318"/>
      <c r="KT278" s="280"/>
    </row>
    <row r="279" spans="2:307" hidden="1" outlineLevel="1">
      <c r="B279" s="96" t="s">
        <v>338</v>
      </c>
      <c r="D279" s="314" t="s">
        <v>447</v>
      </c>
      <c r="E279" s="293"/>
      <c r="F279" s="293"/>
      <c r="G279" s="293"/>
      <c r="H279" s="293"/>
      <c r="I279" s="293"/>
      <c r="J279" s="293"/>
      <c r="K279" s="293"/>
      <c r="L279" s="293"/>
      <c r="M279" s="293"/>
      <c r="N279" s="293"/>
      <c r="O279" s="293"/>
      <c r="P279" s="293"/>
      <c r="Q279" s="293"/>
      <c r="R279" s="293"/>
      <c r="S279" s="293"/>
      <c r="T279" s="293"/>
      <c r="U279" s="293"/>
      <c r="V279" s="293"/>
      <c r="W279" s="293"/>
      <c r="X279" s="293"/>
      <c r="Y279" s="29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c r="BN279" s="293"/>
      <c r="BO279" s="293"/>
      <c r="BP279" s="293"/>
      <c r="BQ279" s="293"/>
      <c r="BR279" s="293"/>
      <c r="BS279" s="293"/>
      <c r="BT279" s="293"/>
      <c r="BU279" s="293"/>
      <c r="BV279" s="293"/>
      <c r="BW279" s="293"/>
      <c r="BX279" s="293"/>
      <c r="BY279" s="293"/>
      <c r="BZ279" s="293"/>
      <c r="CA279" s="293"/>
      <c r="CB279" s="293"/>
      <c r="CC279" s="293"/>
      <c r="CD279" s="293"/>
      <c r="CE279" s="317" t="s">
        <v>451</v>
      </c>
      <c r="CF279" s="318" t="s">
        <v>451</v>
      </c>
      <c r="CG279" s="318" t="s">
        <v>451</v>
      </c>
      <c r="CH279" s="318" t="s">
        <v>451</v>
      </c>
      <c r="CI279" s="318" t="s">
        <v>451</v>
      </c>
      <c r="CJ279" s="318" t="s">
        <v>451</v>
      </c>
      <c r="CK279" s="318" t="s">
        <v>451</v>
      </c>
      <c r="CL279" s="318" t="s">
        <v>451</v>
      </c>
      <c r="CM279" s="318" t="s">
        <v>451</v>
      </c>
      <c r="CN279" s="318" t="s">
        <v>451</v>
      </c>
      <c r="CO279" s="318" t="s">
        <v>451</v>
      </c>
      <c r="CP279" s="789" t="s">
        <v>451</v>
      </c>
      <c r="CQ279" s="318" t="s">
        <v>451</v>
      </c>
      <c r="CR279" s="318" t="s">
        <v>451</v>
      </c>
      <c r="CS279" s="318" t="s">
        <v>451</v>
      </c>
      <c r="CT279" s="318" t="s">
        <v>451</v>
      </c>
      <c r="CU279" s="318" t="s">
        <v>451</v>
      </c>
      <c r="CV279" s="318" t="s">
        <v>451</v>
      </c>
      <c r="CW279" s="318" t="s">
        <v>451</v>
      </c>
      <c r="CX279" s="318" t="s">
        <v>451</v>
      </c>
      <c r="CY279" s="318" t="s">
        <v>451</v>
      </c>
      <c r="CZ279" s="318" t="s">
        <v>451</v>
      </c>
      <c r="DA279" s="318" t="s">
        <v>451</v>
      </c>
      <c r="DB279" s="1301" t="s">
        <v>451</v>
      </c>
      <c r="DC279" s="318">
        <v>0</v>
      </c>
      <c r="DD279" s="318">
        <v>0</v>
      </c>
      <c r="DE279" s="318">
        <v>0</v>
      </c>
      <c r="DF279" s="318">
        <v>0</v>
      </c>
      <c r="DG279" s="318">
        <v>0</v>
      </c>
      <c r="DH279" s="318">
        <v>0</v>
      </c>
      <c r="DI279" s="318">
        <v>0</v>
      </c>
      <c r="DJ279" s="318">
        <v>0</v>
      </c>
      <c r="DK279" s="318">
        <v>0</v>
      </c>
      <c r="DL279" s="318">
        <v>0</v>
      </c>
      <c r="DM279" s="318">
        <v>0</v>
      </c>
      <c r="DN279" s="789">
        <v>0</v>
      </c>
      <c r="DO279" s="318" t="s">
        <v>451</v>
      </c>
      <c r="DP279" s="318" t="s">
        <v>451</v>
      </c>
      <c r="DQ279" s="318" t="s">
        <v>451</v>
      </c>
      <c r="DR279" s="318" t="s">
        <v>451</v>
      </c>
      <c r="DS279" s="318" t="s">
        <v>451</v>
      </c>
      <c r="DT279" s="318" t="s">
        <v>451</v>
      </c>
      <c r="DU279" s="318" t="s">
        <v>451</v>
      </c>
      <c r="DV279" s="318" t="s">
        <v>451</v>
      </c>
      <c r="DW279" s="318" t="s">
        <v>451</v>
      </c>
      <c r="DX279" s="318" t="s">
        <v>451</v>
      </c>
      <c r="DY279" s="318" t="s">
        <v>451</v>
      </c>
      <c r="DZ279" s="789" t="s">
        <v>451</v>
      </c>
      <c r="EA279" s="318" t="s">
        <v>451</v>
      </c>
      <c r="EB279" s="318" t="s">
        <v>451</v>
      </c>
      <c r="EC279" s="318" t="s">
        <v>451</v>
      </c>
      <c r="ED279" s="318" t="s">
        <v>451</v>
      </c>
      <c r="EE279" s="318" t="s">
        <v>451</v>
      </c>
      <c r="EF279" s="318" t="s">
        <v>451</v>
      </c>
      <c r="EG279" s="318" t="s">
        <v>451</v>
      </c>
      <c r="EH279" s="318" t="s">
        <v>451</v>
      </c>
      <c r="EI279" s="318" t="s">
        <v>451</v>
      </c>
      <c r="EJ279" s="318" t="s">
        <v>451</v>
      </c>
      <c r="EK279" s="318" t="s">
        <v>451</v>
      </c>
      <c r="EL279" s="789" t="s">
        <v>451</v>
      </c>
      <c r="EM279" s="1095" t="s">
        <v>451</v>
      </c>
      <c r="EN279" s="1095" t="s">
        <v>451</v>
      </c>
      <c r="EO279" s="1095" t="s">
        <v>451</v>
      </c>
      <c r="EP279" s="1095" t="s">
        <v>451</v>
      </c>
      <c r="EQ279" s="1095" t="s">
        <v>451</v>
      </c>
      <c r="ER279" s="1095" t="s">
        <v>451</v>
      </c>
      <c r="ES279" s="1095" t="s">
        <v>451</v>
      </c>
      <c r="ET279" s="1095" t="s">
        <v>451</v>
      </c>
      <c r="EU279" s="1095" t="s">
        <v>451</v>
      </c>
      <c r="EV279" s="1095" t="s">
        <v>451</v>
      </c>
      <c r="EW279" s="1095" t="s">
        <v>451</v>
      </c>
      <c r="EX279" s="1362" t="s">
        <v>451</v>
      </c>
      <c r="EY279" s="1095"/>
      <c r="EZ279" s="1095"/>
      <c r="FA279" s="1095"/>
      <c r="FB279" s="1095"/>
      <c r="FC279" s="1095"/>
      <c r="FD279" s="1095"/>
      <c r="FE279" s="1095"/>
      <c r="FF279" s="1095"/>
      <c r="FG279" s="1095"/>
      <c r="FH279" s="1095"/>
      <c r="FI279" s="1095"/>
      <c r="FJ279" s="1362"/>
      <c r="FK279" s="1095"/>
      <c r="FL279" s="1095"/>
      <c r="FM279" s="1095"/>
      <c r="FN279" s="1095"/>
      <c r="FO279" s="1095"/>
      <c r="FP279" s="1095"/>
      <c r="FQ279" s="318"/>
      <c r="FR279" s="318"/>
      <c r="FS279" s="318"/>
      <c r="FT279" s="318"/>
      <c r="FU279" s="318"/>
      <c r="FV279" s="318"/>
      <c r="FW279" s="318"/>
      <c r="FX279" s="318"/>
      <c r="FY279" s="318"/>
      <c r="FZ279" s="318"/>
      <c r="GA279" s="318"/>
      <c r="GB279" s="318"/>
      <c r="GC279" s="318"/>
      <c r="GD279" s="318"/>
      <c r="GE279" s="318"/>
      <c r="GF279" s="318"/>
      <c r="GG279" s="318"/>
      <c r="GH279" s="318"/>
      <c r="GI279" s="318"/>
      <c r="GJ279" s="318"/>
      <c r="GK279" s="318"/>
      <c r="GL279" s="318"/>
      <c r="GM279" s="318"/>
      <c r="GN279" s="318"/>
      <c r="GO279" s="318"/>
      <c r="GP279" s="318"/>
      <c r="GQ279" s="318"/>
      <c r="GR279" s="318"/>
      <c r="GS279" s="318"/>
      <c r="GT279" s="318"/>
      <c r="GU279" s="318"/>
      <c r="GV279" s="318"/>
      <c r="GW279" s="318"/>
      <c r="GX279" s="318"/>
      <c r="GY279" s="318"/>
      <c r="GZ279" s="318"/>
      <c r="HA279" s="318"/>
      <c r="HB279" s="318"/>
      <c r="HC279" s="318"/>
      <c r="HD279" s="318"/>
      <c r="HE279" s="318"/>
      <c r="HF279" s="318"/>
      <c r="HG279" s="318"/>
      <c r="HH279" s="318"/>
      <c r="HI279" s="318"/>
      <c r="HJ279" s="318"/>
      <c r="HK279" s="318"/>
      <c r="HL279" s="318"/>
      <c r="HM279" s="318"/>
      <c r="HN279" s="318"/>
      <c r="HO279" s="318"/>
      <c r="HP279" s="318"/>
      <c r="HQ279" s="318"/>
      <c r="HR279" s="318"/>
      <c r="HS279" s="318"/>
      <c r="HT279" s="318"/>
      <c r="HU279" s="318"/>
      <c r="HV279" s="318"/>
      <c r="HW279" s="318"/>
      <c r="HX279" s="318"/>
      <c r="HY279" s="318"/>
      <c r="KT279" s="280"/>
    </row>
    <row r="280" spans="2:307" hidden="1" outlineLevel="1">
      <c r="B280" s="96" t="s">
        <v>338</v>
      </c>
      <c r="D280" s="314" t="s">
        <v>448</v>
      </c>
      <c r="E280" s="293"/>
      <c r="F280" s="293"/>
      <c r="G280" s="293"/>
      <c r="H280" s="293"/>
      <c r="I280" s="293"/>
      <c r="J280" s="293"/>
      <c r="K280" s="293"/>
      <c r="L280" s="293"/>
      <c r="M280" s="293"/>
      <c r="N280" s="293"/>
      <c r="O280" s="293"/>
      <c r="P280" s="293"/>
      <c r="Q280" s="293"/>
      <c r="R280" s="293"/>
      <c r="S280" s="293"/>
      <c r="T280" s="293"/>
      <c r="U280" s="293"/>
      <c r="V280" s="293"/>
      <c r="W280" s="293"/>
      <c r="X280" s="293"/>
      <c r="Y280" s="29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c r="BN280" s="293"/>
      <c r="BO280" s="293"/>
      <c r="BP280" s="293"/>
      <c r="BQ280" s="293"/>
      <c r="BR280" s="293"/>
      <c r="BS280" s="293"/>
      <c r="BT280" s="293"/>
      <c r="BU280" s="293"/>
      <c r="BV280" s="293"/>
      <c r="BW280" s="293"/>
      <c r="BX280" s="293"/>
      <c r="BY280" s="293"/>
      <c r="BZ280" s="293"/>
      <c r="CA280" s="293"/>
      <c r="CB280" s="293"/>
      <c r="CC280" s="293"/>
      <c r="CD280" s="293"/>
      <c r="CE280" s="317">
        <v>7.1051342669999995</v>
      </c>
      <c r="CF280" s="318">
        <v>4.0966254839999969</v>
      </c>
      <c r="CG280" s="318">
        <v>1.9512055559999997</v>
      </c>
      <c r="CH280" s="318">
        <v>8.3478945470000028</v>
      </c>
      <c r="CI280" s="318">
        <v>1.0515267759999993</v>
      </c>
      <c r="CJ280" s="318">
        <v>-21.576333371000004</v>
      </c>
      <c r="CK280" s="318">
        <v>10.769489263000001</v>
      </c>
      <c r="CL280" s="318">
        <v>6.1930706549999996</v>
      </c>
      <c r="CM280" s="318">
        <v>4.0609351500000024</v>
      </c>
      <c r="CN280" s="318">
        <v>4.757991036</v>
      </c>
      <c r="CO280" s="318">
        <v>22.674701041999995</v>
      </c>
      <c r="CP280" s="789">
        <v>-48.917763049999998</v>
      </c>
      <c r="CQ280" s="318">
        <v>17.209162821</v>
      </c>
      <c r="CR280" s="318">
        <v>15.269503156000003</v>
      </c>
      <c r="CS280" s="318">
        <v>-11.06146811</v>
      </c>
      <c r="CT280" s="318">
        <v>2.8723477899999992</v>
      </c>
      <c r="CU280" s="318">
        <v>8.0139070379999993</v>
      </c>
      <c r="CV280" s="318">
        <v>-6.2731117709999999</v>
      </c>
      <c r="CW280" s="318">
        <v>10.639484512999999</v>
      </c>
      <c r="CX280" s="318">
        <v>12.667846544</v>
      </c>
      <c r="CY280" s="318">
        <v>4.5214003620000014</v>
      </c>
      <c r="CZ280" s="318">
        <v>25.523249270000001</v>
      </c>
      <c r="DA280" s="318">
        <v>-15.798718662000006</v>
      </c>
      <c r="DB280" s="1301">
        <v>-43.995719493999999</v>
      </c>
      <c r="DC280" s="293">
        <v>11.560989208000002</v>
      </c>
      <c r="DD280" s="293">
        <v>19.757705510000001</v>
      </c>
      <c r="DE280" s="293">
        <v>-4.3619535699999972</v>
      </c>
      <c r="DF280" s="293">
        <v>14.993328296999998</v>
      </c>
      <c r="DG280" s="293">
        <v>8.3345958449999991</v>
      </c>
      <c r="DH280" s="293">
        <v>-40.624240295999996</v>
      </c>
      <c r="DI280" s="293">
        <v>30.002796665999998</v>
      </c>
      <c r="DJ280" s="293">
        <v>1.4471406910000013</v>
      </c>
      <c r="DK280" s="293">
        <v>-2.734419281000001</v>
      </c>
      <c r="DL280" s="293">
        <v>22.727910606000002</v>
      </c>
      <c r="DM280" s="293">
        <v>26.712901735999999</v>
      </c>
      <c r="DN280" s="295">
        <v>-73.099384468000011</v>
      </c>
      <c r="DO280" s="293">
        <v>13.091176734999999</v>
      </c>
      <c r="DP280" s="293">
        <v>18.505508694</v>
      </c>
      <c r="DQ280" s="293">
        <v>-6.0870908379999982</v>
      </c>
      <c r="DR280" s="293">
        <v>9.4739989670000035</v>
      </c>
      <c r="DS280" s="293">
        <v>17.135028232</v>
      </c>
      <c r="DT280" s="293">
        <v>-50.967114805000001</v>
      </c>
      <c r="DU280" s="293">
        <v>33.919688415000003</v>
      </c>
      <c r="DV280" s="293">
        <v>8.593012954999999</v>
      </c>
      <c r="DW280" s="293">
        <v>-25.025705812000002</v>
      </c>
      <c r="DX280" s="293">
        <v>29.043803919999998</v>
      </c>
      <c r="DY280" s="293">
        <v>22.366354803999997</v>
      </c>
      <c r="DZ280" s="295">
        <v>-86.575721978999994</v>
      </c>
      <c r="EA280" s="293">
        <v>4.9212095309999997</v>
      </c>
      <c r="EB280" s="293">
        <v>31.26392057</v>
      </c>
      <c r="EC280" s="293">
        <v>13.386608241999998</v>
      </c>
      <c r="ED280" s="293">
        <v>-9.0395555590000001</v>
      </c>
      <c r="EE280" s="293">
        <v>-6.6430759580000043</v>
      </c>
      <c r="EF280" s="293">
        <v>-24.804473470000001</v>
      </c>
      <c r="EG280" s="293">
        <v>19.946813280999997</v>
      </c>
      <c r="EH280" s="293">
        <v>9.019103819999998</v>
      </c>
      <c r="EI280" s="293">
        <v>-2.2610306449999982</v>
      </c>
      <c r="EJ280" s="293">
        <v>25.882285985999999</v>
      </c>
      <c r="EK280" s="293">
        <v>13.960324536000002</v>
      </c>
      <c r="EL280" s="295">
        <v>-48.696415891999997</v>
      </c>
      <c r="EM280" s="1080">
        <v>6.6442196500000001</v>
      </c>
      <c r="EN280" s="1080">
        <v>6.0598780780000041</v>
      </c>
      <c r="EO280" s="1080">
        <v>4.7069510930000042</v>
      </c>
      <c r="EP280" s="1080">
        <v>19.444143709000002</v>
      </c>
      <c r="EQ280" s="1080">
        <v>21.421859166000004</v>
      </c>
      <c r="ER280" s="1080">
        <v>-36.431957646000001</v>
      </c>
      <c r="ES280" s="1080">
        <v>-14.430336699000009</v>
      </c>
      <c r="ET280" s="1080">
        <v>19.765998986999996</v>
      </c>
      <c r="EU280" s="1080">
        <v>5.4040945759999985</v>
      </c>
      <c r="EV280" s="1080">
        <v>39.120748339000002</v>
      </c>
      <c r="EW280" s="1080">
        <v>54.509511295000003</v>
      </c>
      <c r="EX280" s="1340">
        <v>-99.95363217100001</v>
      </c>
      <c r="EY280" s="1080"/>
      <c r="EZ280" s="1080"/>
      <c r="FA280" s="1080"/>
      <c r="FB280" s="1080"/>
      <c r="FC280" s="1080"/>
      <c r="FD280" s="1080"/>
      <c r="FE280" s="1080"/>
      <c r="FF280" s="1080"/>
      <c r="FG280" s="1080"/>
      <c r="FH280" s="1080"/>
      <c r="FI280" s="1080"/>
      <c r="FJ280" s="1340"/>
      <c r="FK280" s="1080"/>
      <c r="FL280" s="1080"/>
      <c r="FM280" s="1080"/>
      <c r="FN280" s="1080"/>
      <c r="FO280" s="1080"/>
      <c r="FP280" s="1080"/>
      <c r="FQ280" s="293"/>
      <c r="FR280" s="293"/>
      <c r="FS280" s="293"/>
      <c r="FT280" s="293"/>
      <c r="FU280" s="293"/>
      <c r="FV280" s="293"/>
      <c r="FW280" s="293"/>
      <c r="FX280" s="293"/>
      <c r="FY280" s="293"/>
      <c r="FZ280" s="293"/>
      <c r="GA280" s="293"/>
      <c r="GB280" s="293"/>
      <c r="GC280" s="293"/>
      <c r="GD280" s="293"/>
      <c r="GE280" s="293"/>
      <c r="GF280" s="293"/>
      <c r="GG280" s="293"/>
      <c r="GH280" s="293"/>
      <c r="GI280" s="293"/>
      <c r="GJ280" s="293"/>
      <c r="GK280" s="293"/>
      <c r="GL280" s="293"/>
      <c r="GM280" s="293"/>
      <c r="GN280" s="293"/>
      <c r="GO280" s="293"/>
      <c r="GP280" s="293"/>
      <c r="GQ280" s="293"/>
      <c r="GR280" s="293"/>
      <c r="GS280" s="293"/>
      <c r="GT280" s="293"/>
      <c r="GU280" s="293"/>
      <c r="GV280" s="293"/>
      <c r="GW280" s="293"/>
      <c r="GX280" s="293"/>
      <c r="GY280" s="293"/>
      <c r="GZ280" s="293"/>
      <c r="HA280" s="293"/>
      <c r="HB280" s="293"/>
      <c r="HC280" s="293"/>
      <c r="HD280" s="293"/>
      <c r="HE280" s="293"/>
      <c r="HF280" s="293"/>
      <c r="HG280" s="293"/>
      <c r="HH280" s="293"/>
      <c r="HI280" s="293"/>
      <c r="HJ280" s="293"/>
      <c r="HK280" s="293"/>
      <c r="HL280" s="293"/>
      <c r="HM280" s="293"/>
      <c r="HN280" s="293"/>
      <c r="HO280" s="293"/>
      <c r="HP280" s="293"/>
      <c r="HQ280" s="293"/>
      <c r="HR280" s="293"/>
      <c r="HS280" s="293"/>
      <c r="HT280" s="293"/>
      <c r="HU280" s="293"/>
      <c r="HV280" s="293"/>
      <c r="HW280" s="293"/>
      <c r="HX280" s="293"/>
      <c r="HY280" s="293"/>
      <c r="IK280" s="279">
        <f t="shared" ref="IK280:IK287" si="252">SUM(DO280:DT280)</f>
        <v>1.1515069850000046</v>
      </c>
      <c r="KT280" s="280"/>
    </row>
    <row r="281" spans="2:307" hidden="1" outlineLevel="1">
      <c r="B281" s="96" t="s">
        <v>338</v>
      </c>
      <c r="D281" s="314" t="s">
        <v>440</v>
      </c>
      <c r="E281" s="293"/>
      <c r="F281" s="293"/>
      <c r="G281" s="293"/>
      <c r="H281" s="293"/>
      <c r="I281" s="293"/>
      <c r="J281" s="293"/>
      <c r="K281" s="293"/>
      <c r="L281" s="293"/>
      <c r="M281" s="293"/>
      <c r="N281" s="293"/>
      <c r="O281" s="293"/>
      <c r="P281" s="293"/>
      <c r="Q281" s="293"/>
      <c r="R281" s="293"/>
      <c r="S281" s="293"/>
      <c r="T281" s="293"/>
      <c r="U281" s="293"/>
      <c r="V281" s="293"/>
      <c r="W281" s="293"/>
      <c r="X281" s="293"/>
      <c r="Y281" s="29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c r="BN281" s="293"/>
      <c r="BO281" s="293"/>
      <c r="BP281" s="293"/>
      <c r="BQ281" s="293"/>
      <c r="BR281" s="293"/>
      <c r="BS281" s="293"/>
      <c r="BT281" s="293"/>
      <c r="BU281" s="293"/>
      <c r="BV281" s="293"/>
      <c r="BW281" s="293"/>
      <c r="BX281" s="293"/>
      <c r="BY281" s="293"/>
      <c r="BZ281" s="293"/>
      <c r="CA281" s="293"/>
      <c r="CB281" s="293"/>
      <c r="CC281" s="293"/>
      <c r="CD281" s="293"/>
      <c r="CE281" s="317">
        <v>1.7690634349999996</v>
      </c>
      <c r="CF281" s="318">
        <v>-1.2721212749999999</v>
      </c>
      <c r="CG281" s="318">
        <v>1.8362218209999996</v>
      </c>
      <c r="CH281" s="318">
        <v>-0.17735641400000013</v>
      </c>
      <c r="CI281" s="318">
        <v>0.39942672200000029</v>
      </c>
      <c r="CJ281" s="318">
        <v>-2.3667560020000007</v>
      </c>
      <c r="CK281" s="318">
        <v>1.8672308619999995</v>
      </c>
      <c r="CL281" s="318">
        <v>2.6194804970000005</v>
      </c>
      <c r="CM281" s="318">
        <v>-1.776655871</v>
      </c>
      <c r="CN281" s="318">
        <v>13.625899475999997</v>
      </c>
      <c r="CO281" s="318">
        <v>-10.611466395000001</v>
      </c>
      <c r="CP281" s="789">
        <v>-5.9129668559999997</v>
      </c>
      <c r="CQ281" s="318">
        <v>5.2967690419999993</v>
      </c>
      <c r="CR281" s="318">
        <v>0.2170500699999991</v>
      </c>
      <c r="CS281" s="318">
        <v>-3.7158208570000006</v>
      </c>
      <c r="CT281" s="318">
        <v>1.4969351610000006</v>
      </c>
      <c r="CU281" s="318">
        <v>6.3300517620000001</v>
      </c>
      <c r="CV281" s="318">
        <v>-2.4918573659999996</v>
      </c>
      <c r="CW281" s="318">
        <v>-5.7452427410000002</v>
      </c>
      <c r="CX281" s="318">
        <v>5.0426684920000007</v>
      </c>
      <c r="CY281" s="318">
        <v>-4.7651188680000018</v>
      </c>
      <c r="CZ281" s="318">
        <v>12.503622248000001</v>
      </c>
      <c r="DA281" s="318">
        <v>4.8827097450000014</v>
      </c>
      <c r="DB281" s="1301">
        <v>-17.096368255000002</v>
      </c>
      <c r="DC281" s="293">
        <v>16.669941623</v>
      </c>
      <c r="DD281" s="293">
        <v>-10.951533701000002</v>
      </c>
      <c r="DE281" s="293">
        <v>-1.532619145</v>
      </c>
      <c r="DF281" s="293">
        <v>9.3356014169999995</v>
      </c>
      <c r="DG281" s="293">
        <v>-7.4378904299999995</v>
      </c>
      <c r="DH281" s="293">
        <v>-4.9176410199999996</v>
      </c>
      <c r="DI281" s="293">
        <v>3.0835993729999984</v>
      </c>
      <c r="DJ281" s="293">
        <v>0.63081073800000009</v>
      </c>
      <c r="DK281" s="293">
        <v>2.7885998639999992</v>
      </c>
      <c r="DL281" s="293">
        <v>-2.2777193889999996</v>
      </c>
      <c r="DM281" s="293">
        <v>0.4584453030000013</v>
      </c>
      <c r="DN281" s="295">
        <v>-4.1548673760000003</v>
      </c>
      <c r="DO281" s="293">
        <v>5.929574079</v>
      </c>
      <c r="DP281" s="293">
        <v>17.626309032999998</v>
      </c>
      <c r="DQ281" s="293">
        <v>-4.5473231699999985</v>
      </c>
      <c r="DR281" s="293">
        <v>-4.3121174410000016</v>
      </c>
      <c r="DS281" s="293">
        <v>4.2574801610000002</v>
      </c>
      <c r="DT281" s="293">
        <v>-18.803490605</v>
      </c>
      <c r="DU281" s="293">
        <v>5.1126711250000003</v>
      </c>
      <c r="DV281" s="293">
        <v>2.1651819000000572E-2</v>
      </c>
      <c r="DW281" s="293">
        <v>-4.3647392579999993</v>
      </c>
      <c r="DX281" s="293">
        <v>8.1960715549999996</v>
      </c>
      <c r="DY281" s="293">
        <v>3.9403740240000005</v>
      </c>
      <c r="DZ281" s="295">
        <v>11.865436591000002</v>
      </c>
      <c r="EA281" s="293">
        <v>18.384679572000003</v>
      </c>
      <c r="EB281" s="293">
        <v>3.7681906819999984</v>
      </c>
      <c r="EC281" s="293">
        <v>-0.78748514799999825</v>
      </c>
      <c r="ED281" s="293">
        <v>16.510090317</v>
      </c>
      <c r="EE281" s="293">
        <v>5.7811885280000004</v>
      </c>
      <c r="EF281" s="293">
        <v>-37.745474071000004</v>
      </c>
      <c r="EG281" s="293">
        <v>11.828277376999999</v>
      </c>
      <c r="EH281" s="293">
        <v>4.3288024429999989</v>
      </c>
      <c r="EI281" s="293">
        <v>3.8891106330000005</v>
      </c>
      <c r="EJ281" s="293">
        <v>4.9414609939999998</v>
      </c>
      <c r="EK281" s="293">
        <v>-2.9434197280000003</v>
      </c>
      <c r="EL281" s="295">
        <v>-7.1199723930000003</v>
      </c>
      <c r="EM281" s="1080">
        <v>-1.0970569299999999</v>
      </c>
      <c r="EN281" s="1080">
        <v>27.588824601000002</v>
      </c>
      <c r="EO281" s="1080">
        <v>-6.2369825159999994</v>
      </c>
      <c r="EP281" s="1080">
        <v>6.645929645999999</v>
      </c>
      <c r="EQ281" s="1080">
        <v>10.151678334</v>
      </c>
      <c r="ER281" s="1080">
        <v>-11.649008825999999</v>
      </c>
      <c r="ES281" s="1080">
        <v>-12.831608562</v>
      </c>
      <c r="ET281" s="1080">
        <v>-7.3211674559999995</v>
      </c>
      <c r="EU281" s="1080">
        <v>12.503913811</v>
      </c>
      <c r="EV281" s="1080">
        <v>20.863237506000001</v>
      </c>
      <c r="EW281" s="1080">
        <v>10.055855203999998</v>
      </c>
      <c r="EX281" s="1340">
        <v>-4.3716199699999976</v>
      </c>
      <c r="EY281" s="1080"/>
      <c r="EZ281" s="1080"/>
      <c r="FA281" s="1080"/>
      <c r="FB281" s="1080"/>
      <c r="FC281" s="1080"/>
      <c r="FD281" s="1080"/>
      <c r="FE281" s="1080"/>
      <c r="FF281" s="1080"/>
      <c r="FG281" s="1080"/>
      <c r="FH281" s="1080"/>
      <c r="FI281" s="1080"/>
      <c r="FJ281" s="1340"/>
      <c r="FK281" s="1080"/>
      <c r="FL281" s="1080"/>
      <c r="FM281" s="1080"/>
      <c r="FN281" s="1080"/>
      <c r="FO281" s="1080"/>
      <c r="FP281" s="1080"/>
      <c r="FQ281" s="293"/>
      <c r="FR281" s="293"/>
      <c r="FS281" s="293"/>
      <c r="FT281" s="293"/>
      <c r="FU281" s="293"/>
      <c r="FV281" s="293"/>
      <c r="FW281" s="293"/>
      <c r="FX281" s="293"/>
      <c r="FY281" s="293"/>
      <c r="FZ281" s="293"/>
      <c r="GA281" s="293"/>
      <c r="GB281" s="293"/>
      <c r="GC281" s="293"/>
      <c r="GD281" s="293"/>
      <c r="GE281" s="293"/>
      <c r="GF281" s="293"/>
      <c r="GG281" s="293"/>
      <c r="GH281" s="293"/>
      <c r="GI281" s="293"/>
      <c r="GJ281" s="293"/>
      <c r="GK281" s="293"/>
      <c r="GL281" s="293"/>
      <c r="GM281" s="293"/>
      <c r="GN281" s="293"/>
      <c r="GO281" s="293"/>
      <c r="GP281" s="293"/>
      <c r="GQ281" s="293"/>
      <c r="GR281" s="293"/>
      <c r="GS281" s="293"/>
      <c r="GT281" s="293"/>
      <c r="GU281" s="293"/>
      <c r="GV281" s="293"/>
      <c r="GW281" s="293"/>
      <c r="GX281" s="293"/>
      <c r="GY281" s="293"/>
      <c r="GZ281" s="293"/>
      <c r="HA281" s="293"/>
      <c r="HB281" s="293"/>
      <c r="HC281" s="293"/>
      <c r="HD281" s="293"/>
      <c r="HE281" s="293"/>
      <c r="HF281" s="293"/>
      <c r="HG281" s="293"/>
      <c r="HH281" s="293"/>
      <c r="HI281" s="293"/>
      <c r="HJ281" s="293"/>
      <c r="HK281" s="293"/>
      <c r="HL281" s="293"/>
      <c r="HM281" s="293"/>
      <c r="HN281" s="293"/>
      <c r="HO281" s="293"/>
      <c r="HP281" s="293"/>
      <c r="HQ281" s="293"/>
      <c r="HR281" s="293"/>
      <c r="HS281" s="293"/>
      <c r="HT281" s="293"/>
      <c r="HU281" s="293"/>
      <c r="HV281" s="293"/>
      <c r="HW281" s="293"/>
      <c r="HX281" s="293"/>
      <c r="HY281" s="293"/>
      <c r="IK281" s="279">
        <f t="shared" si="252"/>
        <v>0.15043205699999618</v>
      </c>
      <c r="KT281" s="280"/>
    </row>
    <row r="282" spans="2:307" hidden="1" outlineLevel="1">
      <c r="B282" s="96" t="s">
        <v>338</v>
      </c>
      <c r="D282" s="314" t="s">
        <v>449</v>
      </c>
      <c r="E282" s="293"/>
      <c r="F282" s="293"/>
      <c r="G282" s="293"/>
      <c r="H282" s="293"/>
      <c r="I282" s="293"/>
      <c r="J282" s="293"/>
      <c r="K282" s="293"/>
      <c r="L282" s="293"/>
      <c r="M282" s="293"/>
      <c r="N282" s="293"/>
      <c r="O282" s="293"/>
      <c r="P282" s="293"/>
      <c r="Q282" s="293"/>
      <c r="R282" s="293"/>
      <c r="S282" s="293"/>
      <c r="T282" s="293"/>
      <c r="U282" s="293"/>
      <c r="V282" s="293"/>
      <c r="W282" s="293"/>
      <c r="X282" s="293"/>
      <c r="Y282" s="29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c r="BN282" s="293"/>
      <c r="BO282" s="293"/>
      <c r="BP282" s="293"/>
      <c r="BQ282" s="293"/>
      <c r="BR282" s="293"/>
      <c r="BS282" s="293"/>
      <c r="BT282" s="293"/>
      <c r="BU282" s="293"/>
      <c r="BV282" s="293"/>
      <c r="BW282" s="293"/>
      <c r="BX282" s="293"/>
      <c r="BY282" s="293"/>
      <c r="BZ282" s="293"/>
      <c r="CA282" s="293"/>
      <c r="CB282" s="293"/>
      <c r="CC282" s="293"/>
      <c r="CD282" s="293"/>
      <c r="CE282" s="317">
        <v>3.2322493970000004</v>
      </c>
      <c r="CF282" s="318">
        <v>0.50998979099999975</v>
      </c>
      <c r="CG282" s="318">
        <v>1.2022690799999989</v>
      </c>
      <c r="CH282" s="318">
        <v>3.5713543679999997</v>
      </c>
      <c r="CI282" s="318">
        <v>-3.1373026240000002</v>
      </c>
      <c r="CJ282" s="318">
        <v>-4.306650734999999</v>
      </c>
      <c r="CK282" s="318">
        <v>6.2764918289999994</v>
      </c>
      <c r="CL282" s="318">
        <v>-1.3872660769999996</v>
      </c>
      <c r="CM282" s="318">
        <v>-0.62834578200000024</v>
      </c>
      <c r="CN282" s="318">
        <v>2.3118134480000005</v>
      </c>
      <c r="CO282" s="318">
        <v>-1.1519718349999977</v>
      </c>
      <c r="CP282" s="789">
        <v>-6.2028946510000003</v>
      </c>
      <c r="CQ282" s="318">
        <v>2.6949530760000009</v>
      </c>
      <c r="CR282" s="318">
        <v>2.1138540809999995</v>
      </c>
      <c r="CS282" s="318">
        <v>-0.85487843900000016</v>
      </c>
      <c r="CT282" s="318">
        <v>4.5192651720000008</v>
      </c>
      <c r="CU282" s="318">
        <v>-2.2708023920000002</v>
      </c>
      <c r="CV282" s="318">
        <v>1.2577232920000014</v>
      </c>
      <c r="CW282" s="318">
        <v>0.91726504100000028</v>
      </c>
      <c r="CX282" s="318">
        <v>-0.61825207899999945</v>
      </c>
      <c r="CY282" s="318">
        <v>0.36821522600000023</v>
      </c>
      <c r="CZ282" s="318">
        <v>-3.0048125030000001</v>
      </c>
      <c r="DA282" s="318">
        <v>6.0118706829999997</v>
      </c>
      <c r="DB282" s="1301">
        <v>-9.0069652809999994</v>
      </c>
      <c r="DC282" s="293">
        <v>5.8897165729999994</v>
      </c>
      <c r="DD282" s="293">
        <v>0.20746443099999823</v>
      </c>
      <c r="DE282" s="293">
        <v>-0.82805675900000075</v>
      </c>
      <c r="DF282" s="293">
        <v>3.4536676649999976</v>
      </c>
      <c r="DG282" s="293">
        <v>1.0514217759999998</v>
      </c>
      <c r="DH282" s="293">
        <v>-3.175348329000002</v>
      </c>
      <c r="DI282" s="293">
        <v>7.139075849000001</v>
      </c>
      <c r="DJ282" s="293">
        <v>-6.3550715220000011</v>
      </c>
      <c r="DK282" s="293">
        <v>5.2252829709999986</v>
      </c>
      <c r="DL282" s="293">
        <v>-4.6234148110000017</v>
      </c>
      <c r="DM282" s="293">
        <v>1.3423769669999999</v>
      </c>
      <c r="DN282" s="295">
        <v>-9.1600278370000012</v>
      </c>
      <c r="DO282" s="293">
        <v>1.9533480009999984</v>
      </c>
      <c r="DP282" s="293">
        <v>12.568396983000001</v>
      </c>
      <c r="DQ282" s="293">
        <v>-2.0684840649999998</v>
      </c>
      <c r="DR282" s="293">
        <v>2.8275552820000023</v>
      </c>
      <c r="DS282" s="293">
        <v>-2.8176316930000009</v>
      </c>
      <c r="DT282" s="293">
        <v>-10.985963225000001</v>
      </c>
      <c r="DU282" s="293">
        <v>11.140219031999999</v>
      </c>
      <c r="DV282" s="293">
        <v>-2.7954877889999992</v>
      </c>
      <c r="DW282" s="293">
        <v>-3.9152650559999991</v>
      </c>
      <c r="DX282" s="293">
        <v>6.9693041970000014</v>
      </c>
      <c r="DY282" s="293">
        <v>2.5844135670000021</v>
      </c>
      <c r="DZ282" s="295">
        <v>9.5367614540000005</v>
      </c>
      <c r="EA282" s="293">
        <v>13.554274611</v>
      </c>
      <c r="EB282" s="293">
        <v>5.2277042309999988</v>
      </c>
      <c r="EC282" s="293">
        <v>3.6773942910000024</v>
      </c>
      <c r="ED282" s="293">
        <v>-3.583570442000001</v>
      </c>
      <c r="EE282" s="293">
        <v>2.7069634839999992</v>
      </c>
      <c r="EF282" s="293">
        <v>-4.4196031560000009</v>
      </c>
      <c r="EG282" s="293">
        <v>-3.7705296139999991</v>
      </c>
      <c r="EH282" s="293">
        <v>-1.1834586730000005</v>
      </c>
      <c r="EI282" s="293">
        <v>4.1237649950000002</v>
      </c>
      <c r="EJ282" s="293">
        <v>7.2622014019999988</v>
      </c>
      <c r="EK282" s="293">
        <v>4.2473914000000015</v>
      </c>
      <c r="EL282" s="295">
        <v>-12.013876561999998</v>
      </c>
      <c r="EM282" s="1080">
        <v>8.3046707289999979</v>
      </c>
      <c r="EN282" s="1080">
        <v>2.6364475000000009</v>
      </c>
      <c r="EO282" s="1080">
        <v>0.64740727599999914</v>
      </c>
      <c r="EP282" s="1080">
        <v>3.6572999830000015</v>
      </c>
      <c r="EQ282" s="1080">
        <v>7.1526448849999991</v>
      </c>
      <c r="ER282" s="1080">
        <v>-11.489306788</v>
      </c>
      <c r="ES282" s="1080">
        <v>-8.2103786169999999</v>
      </c>
      <c r="ET282" s="1080">
        <v>-1.7213361819999999</v>
      </c>
      <c r="EU282" s="1080">
        <v>5.5061534529999996</v>
      </c>
      <c r="EV282" s="1080">
        <v>-4.5851519300000021</v>
      </c>
      <c r="EW282" s="1080">
        <v>10.292344753</v>
      </c>
      <c r="EX282" s="1340">
        <v>-14.430144821000001</v>
      </c>
      <c r="EY282" s="1080"/>
      <c r="EZ282" s="1080"/>
      <c r="FA282" s="1080"/>
      <c r="FB282" s="1080"/>
      <c r="FC282" s="1080"/>
      <c r="FD282" s="1080"/>
      <c r="FE282" s="1080"/>
      <c r="FF282" s="1080"/>
      <c r="FG282" s="1080"/>
      <c r="FH282" s="1080"/>
      <c r="FI282" s="1080"/>
      <c r="FJ282" s="1340"/>
      <c r="FK282" s="1080"/>
      <c r="FL282" s="1080"/>
      <c r="FM282" s="1080"/>
      <c r="FN282" s="1080"/>
      <c r="FO282" s="1080"/>
      <c r="FP282" s="1080"/>
      <c r="FQ282" s="293"/>
      <c r="FR282" s="293"/>
      <c r="FS282" s="293"/>
      <c r="FT282" s="293"/>
      <c r="FU282" s="293"/>
      <c r="FV282" s="293"/>
      <c r="FW282" s="293"/>
      <c r="FX282" s="293"/>
      <c r="FY282" s="293"/>
      <c r="FZ282" s="293"/>
      <c r="GA282" s="293"/>
      <c r="GB282" s="293"/>
      <c r="GC282" s="293"/>
      <c r="GD282" s="293"/>
      <c r="GE282" s="293"/>
      <c r="GF282" s="293"/>
      <c r="GG282" s="293"/>
      <c r="GH282" s="293"/>
      <c r="GI282" s="293"/>
      <c r="GJ282" s="293"/>
      <c r="GK282" s="293"/>
      <c r="GL282" s="293"/>
      <c r="GM282" s="293"/>
      <c r="GN282" s="293"/>
      <c r="GO282" s="293"/>
      <c r="GP282" s="293"/>
      <c r="GQ282" s="293"/>
      <c r="GR282" s="293"/>
      <c r="GS282" s="293"/>
      <c r="GT282" s="293"/>
      <c r="GU282" s="293"/>
      <c r="GV282" s="293"/>
      <c r="GW282" s="293"/>
      <c r="GX282" s="293"/>
      <c r="GY282" s="293"/>
      <c r="GZ282" s="293"/>
      <c r="HA282" s="293"/>
      <c r="HB282" s="293"/>
      <c r="HC282" s="293"/>
      <c r="HD282" s="293"/>
      <c r="HE282" s="293"/>
      <c r="HF282" s="293"/>
      <c r="HG282" s="293"/>
      <c r="HH282" s="293"/>
      <c r="HI282" s="293"/>
      <c r="HJ282" s="293"/>
      <c r="HK282" s="293"/>
      <c r="HL282" s="293"/>
      <c r="HM282" s="293"/>
      <c r="HN282" s="293"/>
      <c r="HO282" s="293"/>
      <c r="HP282" s="293"/>
      <c r="HQ282" s="293"/>
      <c r="HR282" s="293"/>
      <c r="HS282" s="293"/>
      <c r="HT282" s="293"/>
      <c r="HU282" s="293"/>
      <c r="HV282" s="293"/>
      <c r="HW282" s="293"/>
      <c r="HX282" s="293"/>
      <c r="HY282" s="293"/>
      <c r="IK282" s="279">
        <f t="shared" si="252"/>
        <v>1.4772212830000004</v>
      </c>
      <c r="KT282" s="280"/>
    </row>
    <row r="283" spans="2:307" hidden="1" outlineLevel="1">
      <c r="B283" s="96" t="s">
        <v>338</v>
      </c>
      <c r="D283" s="314" t="s">
        <v>443</v>
      </c>
      <c r="E283" s="293"/>
      <c r="F283" s="293"/>
      <c r="G283" s="293"/>
      <c r="H283" s="293"/>
      <c r="I283" s="293"/>
      <c r="J283" s="293"/>
      <c r="K283" s="293"/>
      <c r="L283" s="293"/>
      <c r="M283" s="293"/>
      <c r="N283" s="293"/>
      <c r="O283" s="293"/>
      <c r="P283" s="293"/>
      <c r="Q283" s="293"/>
      <c r="R283" s="293"/>
      <c r="S283" s="293"/>
      <c r="T283" s="293"/>
      <c r="U283" s="293"/>
      <c r="V283" s="293"/>
      <c r="W283" s="293"/>
      <c r="X283" s="293"/>
      <c r="Y283" s="29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c r="BN283" s="293"/>
      <c r="BO283" s="293"/>
      <c r="BP283" s="293"/>
      <c r="BQ283" s="293"/>
      <c r="BR283" s="293"/>
      <c r="BS283" s="293"/>
      <c r="BT283" s="293"/>
      <c r="BU283" s="293"/>
      <c r="BV283" s="293"/>
      <c r="BW283" s="293"/>
      <c r="BX283" s="293"/>
      <c r="BY283" s="293"/>
      <c r="BZ283" s="293"/>
      <c r="CA283" s="293"/>
      <c r="CB283" s="293"/>
      <c r="CC283" s="293"/>
      <c r="CD283" s="293"/>
      <c r="CE283" s="317" t="s">
        <v>451</v>
      </c>
      <c r="CF283" s="318" t="s">
        <v>451</v>
      </c>
      <c r="CG283" s="318" t="s">
        <v>451</v>
      </c>
      <c r="CH283" s="318" t="s">
        <v>451</v>
      </c>
      <c r="CI283" s="318" t="s">
        <v>451</v>
      </c>
      <c r="CJ283" s="318" t="s">
        <v>451</v>
      </c>
      <c r="CK283" s="318" t="s">
        <v>451</v>
      </c>
      <c r="CL283" s="318" t="s">
        <v>451</v>
      </c>
      <c r="CM283" s="318" t="s">
        <v>451</v>
      </c>
      <c r="CN283" s="318" t="s">
        <v>451</v>
      </c>
      <c r="CO283" s="318" t="s">
        <v>451</v>
      </c>
      <c r="CP283" s="789" t="s">
        <v>451</v>
      </c>
      <c r="CQ283" s="318" t="s">
        <v>451</v>
      </c>
      <c r="CR283" s="318" t="s">
        <v>451</v>
      </c>
      <c r="CS283" s="318" t="s">
        <v>451</v>
      </c>
      <c r="CT283" s="318" t="s">
        <v>451</v>
      </c>
      <c r="CU283" s="318" t="s">
        <v>451</v>
      </c>
      <c r="CV283" s="318" t="s">
        <v>451</v>
      </c>
      <c r="CW283" s="318" t="s">
        <v>451</v>
      </c>
      <c r="CX283" s="318" t="s">
        <v>451</v>
      </c>
      <c r="CY283" s="318" t="s">
        <v>451</v>
      </c>
      <c r="CZ283" s="318" t="s">
        <v>451</v>
      </c>
      <c r="DA283" s="318" t="s">
        <v>451</v>
      </c>
      <c r="DB283" s="1301" t="s">
        <v>451</v>
      </c>
      <c r="DC283" s="318">
        <v>0</v>
      </c>
      <c r="DD283" s="318">
        <v>0</v>
      </c>
      <c r="DE283" s="318">
        <v>0</v>
      </c>
      <c r="DF283" s="318">
        <v>0</v>
      </c>
      <c r="DG283" s="318">
        <v>0</v>
      </c>
      <c r="DH283" s="318">
        <v>0</v>
      </c>
      <c r="DI283" s="318">
        <v>0</v>
      </c>
      <c r="DJ283" s="318">
        <v>0</v>
      </c>
      <c r="DK283" s="318">
        <v>0</v>
      </c>
      <c r="DL283" s="318">
        <v>0</v>
      </c>
      <c r="DM283" s="318">
        <v>0</v>
      </c>
      <c r="DN283" s="789">
        <v>0</v>
      </c>
      <c r="DO283" s="318">
        <v>0</v>
      </c>
      <c r="DP283" s="318">
        <v>0</v>
      </c>
      <c r="DQ283" s="318">
        <v>0</v>
      </c>
      <c r="DR283" s="318">
        <v>0</v>
      </c>
      <c r="DS283" s="318">
        <v>0</v>
      </c>
      <c r="DT283" s="318">
        <v>0</v>
      </c>
      <c r="DU283" s="318">
        <v>0</v>
      </c>
      <c r="DV283" s="318">
        <v>0</v>
      </c>
      <c r="DW283" s="318">
        <v>0</v>
      </c>
      <c r="DX283" s="318">
        <v>0</v>
      </c>
      <c r="DY283" s="318">
        <v>0</v>
      </c>
      <c r="DZ283" s="789">
        <v>0</v>
      </c>
      <c r="EA283" s="318">
        <v>0</v>
      </c>
      <c r="EB283" s="318">
        <v>0</v>
      </c>
      <c r="EC283" s="318">
        <v>0</v>
      </c>
      <c r="ED283" s="318">
        <v>0</v>
      </c>
      <c r="EE283" s="318">
        <v>0</v>
      </c>
      <c r="EF283" s="318">
        <v>0</v>
      </c>
      <c r="EG283" s="318">
        <v>0</v>
      </c>
      <c r="EH283" s="318">
        <v>0</v>
      </c>
      <c r="EI283" s="318">
        <v>0</v>
      </c>
      <c r="EJ283" s="318">
        <v>0</v>
      </c>
      <c r="EK283" s="318">
        <v>0</v>
      </c>
      <c r="EL283" s="789">
        <v>0</v>
      </c>
      <c r="EM283" s="1095">
        <v>0</v>
      </c>
      <c r="EN283" s="1095">
        <v>0</v>
      </c>
      <c r="EO283" s="1095">
        <v>0</v>
      </c>
      <c r="EP283" s="1095">
        <v>0</v>
      </c>
      <c r="EQ283" s="1095">
        <v>0</v>
      </c>
      <c r="ER283" s="1095">
        <v>0</v>
      </c>
      <c r="ES283" s="1095">
        <v>0</v>
      </c>
      <c r="ET283" s="1095">
        <v>0</v>
      </c>
      <c r="EU283" s="1095">
        <v>0</v>
      </c>
      <c r="EV283" s="1095">
        <v>0</v>
      </c>
      <c r="EW283" s="1095">
        <v>0</v>
      </c>
      <c r="EX283" s="1362">
        <v>0</v>
      </c>
      <c r="EY283" s="1095"/>
      <c r="EZ283" s="1095"/>
      <c r="FA283" s="1095"/>
      <c r="FB283" s="1095"/>
      <c r="FC283" s="1095"/>
      <c r="FD283" s="1095"/>
      <c r="FE283" s="1095"/>
      <c r="FF283" s="1095"/>
      <c r="FG283" s="1095"/>
      <c r="FH283" s="1095"/>
      <c r="FI283" s="1095"/>
      <c r="FJ283" s="1362"/>
      <c r="FK283" s="1095"/>
      <c r="FL283" s="1095"/>
      <c r="FM283" s="1095"/>
      <c r="FN283" s="1095"/>
      <c r="FO283" s="1095"/>
      <c r="FP283" s="1095"/>
      <c r="FQ283" s="318"/>
      <c r="FR283" s="318"/>
      <c r="FS283" s="318"/>
      <c r="FT283" s="318"/>
      <c r="FU283" s="318"/>
      <c r="FV283" s="318"/>
      <c r="FW283" s="318"/>
      <c r="FX283" s="318"/>
      <c r="FY283" s="318"/>
      <c r="FZ283" s="318"/>
      <c r="GA283" s="318"/>
      <c r="GB283" s="318"/>
      <c r="GC283" s="318"/>
      <c r="GD283" s="318"/>
      <c r="GE283" s="318"/>
      <c r="GF283" s="318"/>
      <c r="GG283" s="318"/>
      <c r="GH283" s="318"/>
      <c r="GI283" s="318"/>
      <c r="GJ283" s="318"/>
      <c r="GK283" s="318"/>
      <c r="GL283" s="318"/>
      <c r="GM283" s="318"/>
      <c r="GN283" s="318"/>
      <c r="GO283" s="318"/>
      <c r="GP283" s="318"/>
      <c r="GQ283" s="318"/>
      <c r="GR283" s="318"/>
      <c r="GS283" s="318"/>
      <c r="GT283" s="318"/>
      <c r="GU283" s="318"/>
      <c r="GV283" s="318"/>
      <c r="GW283" s="318"/>
      <c r="GX283" s="318"/>
      <c r="GY283" s="318"/>
      <c r="GZ283" s="318"/>
      <c r="HA283" s="318"/>
      <c r="HB283" s="318"/>
      <c r="HC283" s="318"/>
      <c r="HD283" s="318"/>
      <c r="HE283" s="318"/>
      <c r="HF283" s="318"/>
      <c r="HG283" s="318"/>
      <c r="HH283" s="318"/>
      <c r="HI283" s="318"/>
      <c r="HJ283" s="318"/>
      <c r="HK283" s="318"/>
      <c r="HL283" s="318"/>
      <c r="HM283" s="318"/>
      <c r="HN283" s="318"/>
      <c r="HO283" s="318"/>
      <c r="HP283" s="318"/>
      <c r="HQ283" s="318"/>
      <c r="HR283" s="318"/>
      <c r="HS283" s="318"/>
      <c r="HT283" s="318"/>
      <c r="HU283" s="318"/>
      <c r="HV283" s="318"/>
      <c r="HW283" s="318"/>
      <c r="HX283" s="318"/>
      <c r="HY283" s="318"/>
      <c r="IK283" s="279">
        <f t="shared" si="252"/>
        <v>0</v>
      </c>
      <c r="KT283" s="280"/>
    </row>
    <row r="284" spans="2:307" hidden="1" outlineLevel="1">
      <c r="B284" s="96" t="s">
        <v>338</v>
      </c>
      <c r="D284" s="314" t="s">
        <v>441</v>
      </c>
      <c r="E284" s="293"/>
      <c r="F284" s="293"/>
      <c r="G284" s="293"/>
      <c r="H284" s="293"/>
      <c r="I284" s="293"/>
      <c r="J284" s="293"/>
      <c r="K284" s="293"/>
      <c r="L284" s="293"/>
      <c r="M284" s="293"/>
      <c r="N284" s="293"/>
      <c r="O284" s="293"/>
      <c r="P284" s="293"/>
      <c r="Q284" s="293"/>
      <c r="R284" s="293"/>
      <c r="S284" s="293"/>
      <c r="T284" s="293"/>
      <c r="U284" s="293"/>
      <c r="V284" s="293"/>
      <c r="W284" s="293"/>
      <c r="X284" s="293"/>
      <c r="Y284" s="29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c r="BN284" s="293"/>
      <c r="BO284" s="293"/>
      <c r="BP284" s="293"/>
      <c r="BQ284" s="293"/>
      <c r="BR284" s="293"/>
      <c r="BS284" s="293"/>
      <c r="BT284" s="293"/>
      <c r="BU284" s="293"/>
      <c r="BV284" s="293"/>
      <c r="BW284" s="293"/>
      <c r="BX284" s="293"/>
      <c r="BY284" s="293"/>
      <c r="BZ284" s="293"/>
      <c r="CA284" s="293"/>
      <c r="CB284" s="293"/>
      <c r="CC284" s="293"/>
      <c r="CD284" s="293"/>
      <c r="CE284" s="317">
        <v>6.5022116999999824E-2</v>
      </c>
      <c r="CF284" s="318">
        <v>0.12832454199999788</v>
      </c>
      <c r="CG284" s="318">
        <v>-0.19334665900000036</v>
      </c>
      <c r="CH284" s="318">
        <v>2.6000000000000245E-2</v>
      </c>
      <c r="CI284" s="318">
        <v>-2.5999999999999801E-2</v>
      </c>
      <c r="CJ284" s="318">
        <v>0</v>
      </c>
      <c r="CK284" s="318">
        <v>0</v>
      </c>
      <c r="CL284" s="318">
        <v>9.607793099999995E-2</v>
      </c>
      <c r="CM284" s="318">
        <v>-9.607793099999995E-2</v>
      </c>
      <c r="CN284" s="318">
        <v>1</v>
      </c>
      <c r="CO284" s="318">
        <v>0</v>
      </c>
      <c r="CP284" s="789">
        <v>-0.99999999999999822</v>
      </c>
      <c r="CQ284" s="318">
        <v>0</v>
      </c>
      <c r="CR284" s="318">
        <v>0</v>
      </c>
      <c r="CS284" s="318">
        <v>1</v>
      </c>
      <c r="CT284" s="318">
        <v>-0.60006051000000005</v>
      </c>
      <c r="CU284" s="318">
        <v>1.5000302549999995</v>
      </c>
      <c r="CV284" s="318">
        <v>-1.8999697449999999</v>
      </c>
      <c r="CW284" s="318">
        <v>0</v>
      </c>
      <c r="CX284" s="318">
        <v>1.7177673999999996</v>
      </c>
      <c r="CY284" s="318">
        <v>-1.7177674000000005</v>
      </c>
      <c r="CZ284" s="318">
        <v>0</v>
      </c>
      <c r="DA284" s="318">
        <v>0.85000000000000009</v>
      </c>
      <c r="DB284" s="1301">
        <v>-0.84999999999999787</v>
      </c>
      <c r="DC284" s="293">
        <v>0</v>
      </c>
      <c r="DD284" s="293">
        <v>0</v>
      </c>
      <c r="DE284" s="293">
        <v>1.193498678000001</v>
      </c>
      <c r="DF284" s="293">
        <v>-1.1934986780000001</v>
      </c>
      <c r="DG284" s="293">
        <v>0</v>
      </c>
      <c r="DH284" s="293">
        <v>0</v>
      </c>
      <c r="DI284" s="293">
        <v>3</v>
      </c>
      <c r="DJ284" s="293">
        <v>1</v>
      </c>
      <c r="DK284" s="293">
        <v>-0.5416666659999998</v>
      </c>
      <c r="DL284" s="293">
        <v>-1.4583333340000002</v>
      </c>
      <c r="DM284" s="293">
        <v>0</v>
      </c>
      <c r="DN284" s="295">
        <v>-2</v>
      </c>
      <c r="DO284" s="293">
        <v>0</v>
      </c>
      <c r="DP284" s="293">
        <v>0</v>
      </c>
      <c r="DQ284" s="293">
        <v>1.704883755</v>
      </c>
      <c r="DR284" s="293">
        <v>-1.1048837549999995</v>
      </c>
      <c r="DS284" s="293">
        <v>0</v>
      </c>
      <c r="DT284" s="293">
        <v>-0.59999999999999964</v>
      </c>
      <c r="DU284" s="293">
        <v>7.5865912329999983</v>
      </c>
      <c r="DV284" s="293">
        <v>0.78955852400000026</v>
      </c>
      <c r="DW284" s="293">
        <v>-8.0483761930000011</v>
      </c>
      <c r="DX284" s="293">
        <v>6.1725897030000008</v>
      </c>
      <c r="DY284" s="293">
        <v>-0.9917205899999999</v>
      </c>
      <c r="DZ284" s="295">
        <v>-11.623890679999999</v>
      </c>
      <c r="EA284" s="293">
        <v>3.0000000000000009</v>
      </c>
      <c r="EB284" s="293">
        <v>-0.24697898299999999</v>
      </c>
      <c r="EC284" s="293">
        <v>14.477966346000001</v>
      </c>
      <c r="ED284" s="293">
        <v>-8.9749679150000006</v>
      </c>
      <c r="EE284" s="293">
        <v>-2.7500432469999989</v>
      </c>
      <c r="EF284" s="293">
        <v>5.1041193440000008</v>
      </c>
      <c r="EG284" s="293">
        <v>-2.4914374820000003</v>
      </c>
      <c r="EH284" s="293">
        <v>1.1582094139999999</v>
      </c>
      <c r="EI284" s="293">
        <v>1.2814536449999991</v>
      </c>
      <c r="EJ284" s="293">
        <v>7.311424023999999</v>
      </c>
      <c r="EK284" s="293">
        <v>-3.1859776450000004</v>
      </c>
      <c r="EL284" s="295">
        <v>-9.6364187700000006</v>
      </c>
      <c r="EM284" s="1080">
        <v>0</v>
      </c>
      <c r="EN284" s="1080">
        <v>10.751726982000001</v>
      </c>
      <c r="EO284" s="1080">
        <v>9.7441032680000017</v>
      </c>
      <c r="EP284" s="1080">
        <v>-3.5918028530000008</v>
      </c>
      <c r="EQ284" s="1080">
        <v>12.080665408</v>
      </c>
      <c r="ER284" s="1080">
        <v>-22.252965822999997</v>
      </c>
      <c r="ES284" s="1080">
        <v>5.1690581160000022</v>
      </c>
      <c r="ET284" s="1080">
        <v>-4.3945290579999998</v>
      </c>
      <c r="EU284" s="1080">
        <v>1.8034857840000029</v>
      </c>
      <c r="EV284" s="1080">
        <v>-3.6007503129999989</v>
      </c>
      <c r="EW284" s="1080">
        <v>9.1765180419999997</v>
      </c>
      <c r="EX284" s="1340">
        <v>-7.7897419859999992</v>
      </c>
      <c r="EY284" s="1080"/>
      <c r="EZ284" s="1080"/>
      <c r="FA284" s="1080"/>
      <c r="FB284" s="1080"/>
      <c r="FC284" s="1080"/>
      <c r="FD284" s="1080"/>
      <c r="FE284" s="1080"/>
      <c r="FF284" s="1080"/>
      <c r="FG284" s="1080"/>
      <c r="FH284" s="1080"/>
      <c r="FI284" s="1080"/>
      <c r="FJ284" s="1340"/>
      <c r="FK284" s="1080"/>
      <c r="FL284" s="1080"/>
      <c r="FM284" s="1080"/>
      <c r="FN284" s="1080"/>
      <c r="FO284" s="1080"/>
      <c r="FP284" s="1080"/>
      <c r="FQ284" s="293"/>
      <c r="FR284" s="293"/>
      <c r="FS284" s="293"/>
      <c r="FT284" s="293"/>
      <c r="FU284" s="293"/>
      <c r="FV284" s="293"/>
      <c r="FW284" s="293"/>
      <c r="FX284" s="293"/>
      <c r="FY284" s="293"/>
      <c r="FZ284" s="293"/>
      <c r="GA284" s="293"/>
      <c r="GB284" s="293"/>
      <c r="GC284" s="293"/>
      <c r="GD284" s="293"/>
      <c r="GE284" s="293"/>
      <c r="GF284" s="293"/>
      <c r="GG284" s="293"/>
      <c r="GH284" s="293"/>
      <c r="GI284" s="293"/>
      <c r="GJ284" s="293"/>
      <c r="GK284" s="293"/>
      <c r="GL284" s="293"/>
      <c r="GM284" s="293"/>
      <c r="GN284" s="293"/>
      <c r="GO284" s="293"/>
      <c r="GP284" s="293"/>
      <c r="GQ284" s="293"/>
      <c r="GR284" s="293"/>
      <c r="GS284" s="293"/>
      <c r="GT284" s="293"/>
      <c r="GU284" s="293"/>
      <c r="GV284" s="293"/>
      <c r="GW284" s="293"/>
      <c r="GX284" s="293"/>
      <c r="GY284" s="293"/>
      <c r="GZ284" s="293"/>
      <c r="HA284" s="293"/>
      <c r="HB284" s="293"/>
      <c r="HC284" s="293"/>
      <c r="HD284" s="293"/>
      <c r="HE284" s="293"/>
      <c r="HF284" s="293"/>
      <c r="HG284" s="293"/>
      <c r="HH284" s="293"/>
      <c r="HI284" s="293"/>
      <c r="HJ284" s="293"/>
      <c r="HK284" s="293"/>
      <c r="HL284" s="293"/>
      <c r="HM284" s="293"/>
      <c r="HN284" s="293"/>
      <c r="HO284" s="293"/>
      <c r="HP284" s="293"/>
      <c r="HQ284" s="293"/>
      <c r="HR284" s="293"/>
      <c r="HS284" s="293"/>
      <c r="HT284" s="293"/>
      <c r="HU284" s="293"/>
      <c r="HV284" s="293"/>
      <c r="HW284" s="293"/>
      <c r="HX284" s="293"/>
      <c r="HY284" s="293"/>
      <c r="IK284" s="279">
        <f t="shared" si="252"/>
        <v>8.8817841970012523E-16</v>
      </c>
      <c r="KT284" s="280"/>
    </row>
    <row r="285" spans="2:307" hidden="1" outlineLevel="1">
      <c r="B285" s="96" t="s">
        <v>338</v>
      </c>
      <c r="D285" s="314" t="s">
        <v>82</v>
      </c>
      <c r="E285" s="293"/>
      <c r="F285" s="293"/>
      <c r="G285" s="293"/>
      <c r="H285" s="293"/>
      <c r="I285" s="293"/>
      <c r="J285" s="293"/>
      <c r="K285" s="293"/>
      <c r="L285" s="293"/>
      <c r="M285" s="293"/>
      <c r="N285" s="293"/>
      <c r="O285" s="293"/>
      <c r="P285" s="293"/>
      <c r="Q285" s="293"/>
      <c r="R285" s="293"/>
      <c r="S285" s="293"/>
      <c r="T285" s="293"/>
      <c r="U285" s="293"/>
      <c r="V285" s="293"/>
      <c r="W285" s="293"/>
      <c r="X285" s="293"/>
      <c r="Y285" s="29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c r="BN285" s="293"/>
      <c r="BO285" s="293"/>
      <c r="BP285" s="293"/>
      <c r="BQ285" s="293"/>
      <c r="BR285" s="293"/>
      <c r="BS285" s="293"/>
      <c r="BT285" s="293"/>
      <c r="BU285" s="293"/>
      <c r="BV285" s="293"/>
      <c r="BW285" s="293"/>
      <c r="BX285" s="293"/>
      <c r="BY285" s="293"/>
      <c r="BZ285" s="293"/>
      <c r="CA285" s="293"/>
      <c r="CB285" s="293"/>
      <c r="CC285" s="293"/>
      <c r="CD285" s="293"/>
      <c r="CE285" s="317">
        <v>10.903753000999998</v>
      </c>
      <c r="CF285" s="318">
        <v>-3.8904798450000015</v>
      </c>
      <c r="CG285" s="318">
        <v>-1.1348177489999998</v>
      </c>
      <c r="CH285" s="318">
        <v>4.7311654969999992</v>
      </c>
      <c r="CI285" s="318">
        <v>-1.5811139430000019</v>
      </c>
      <c r="CJ285" s="318">
        <v>-8.461498167000002</v>
      </c>
      <c r="CK285" s="318">
        <v>11.368237359999998</v>
      </c>
      <c r="CL285" s="318">
        <v>-2.7844076949999987</v>
      </c>
      <c r="CM285" s="318">
        <v>-2.9928025299999987</v>
      </c>
      <c r="CN285" s="318">
        <v>0.41168196200000295</v>
      </c>
      <c r="CO285" s="318">
        <v>6.06591594</v>
      </c>
      <c r="CP285" s="789">
        <v>-12.447053245000001</v>
      </c>
      <c r="CQ285" s="318">
        <v>13.180846764000002</v>
      </c>
      <c r="CR285" s="318">
        <v>-5.0317177899999983</v>
      </c>
      <c r="CS285" s="318">
        <v>6.2995384110000003</v>
      </c>
      <c r="CT285" s="318">
        <v>-1.2244179459999991</v>
      </c>
      <c r="CU285" s="318">
        <v>1.2416019560000002</v>
      </c>
      <c r="CV285" s="318">
        <v>-4.6450857669999976</v>
      </c>
      <c r="CW285" s="318">
        <v>2.0748077530000018</v>
      </c>
      <c r="CX285" s="318">
        <v>-1.739332034000002</v>
      </c>
      <c r="CY285" s="318">
        <v>-2.4153684049999988</v>
      </c>
      <c r="CZ285" s="318">
        <v>0.3285894390000017</v>
      </c>
      <c r="DA285" s="318">
        <v>6.7417281820000028</v>
      </c>
      <c r="DB285" s="1301">
        <v>-13.310449136000001</v>
      </c>
      <c r="DC285" s="293">
        <v>5.5805047530000031</v>
      </c>
      <c r="DD285" s="293">
        <v>0.84925453800000028</v>
      </c>
      <c r="DE285" s="293">
        <v>-0.19404323200000029</v>
      </c>
      <c r="DF285" s="293">
        <v>4.8274914960000004</v>
      </c>
      <c r="DG285" s="293">
        <v>5.0686515589999992</v>
      </c>
      <c r="DH285" s="293">
        <v>-0.42487693700000051</v>
      </c>
      <c r="DI285" s="293">
        <v>-0.58752207499999898</v>
      </c>
      <c r="DJ285" s="293">
        <v>-3.3858617780000007</v>
      </c>
      <c r="DK285" s="293">
        <v>2.3797963870000007</v>
      </c>
      <c r="DL285" s="293">
        <v>-4.6647116999999128E-2</v>
      </c>
      <c r="DM285" s="293">
        <v>5.4442319999999711E-2</v>
      </c>
      <c r="DN285" s="295">
        <v>-13.728339840999999</v>
      </c>
      <c r="DO285" s="293">
        <v>3.5592155259999991</v>
      </c>
      <c r="DP285" s="293">
        <v>18.228428874999999</v>
      </c>
      <c r="DQ285" s="293">
        <v>5.4526351420000019</v>
      </c>
      <c r="DR285" s="293">
        <v>8.745466485999998</v>
      </c>
      <c r="DS285" s="293">
        <v>-10.440841791</v>
      </c>
      <c r="DT285" s="293">
        <v>-20.510891376</v>
      </c>
      <c r="DU285" s="293">
        <v>8.9889147429999987</v>
      </c>
      <c r="DV285" s="293">
        <v>-1.6051127690000015</v>
      </c>
      <c r="DW285" s="293">
        <v>-8.8863153050000001</v>
      </c>
      <c r="DX285" s="293">
        <v>28.989116420999999</v>
      </c>
      <c r="DY285" s="293">
        <v>-4.6795808570000013</v>
      </c>
      <c r="DZ285" s="295">
        <v>-15.490153408999998</v>
      </c>
      <c r="EA285" s="293">
        <v>11.435030657999999</v>
      </c>
      <c r="EB285" s="293">
        <v>1.9402267040000005</v>
      </c>
      <c r="EC285" s="293">
        <v>2.930354420999997</v>
      </c>
      <c r="ED285" s="293">
        <v>2.4962972800000003</v>
      </c>
      <c r="EE285" s="293">
        <v>8.8405776699999983</v>
      </c>
      <c r="EF285" s="293">
        <v>-14.925670995000001</v>
      </c>
      <c r="EG285" s="293">
        <v>-5.0366774999999997</v>
      </c>
      <c r="EH285" s="293">
        <v>6.725686115000002</v>
      </c>
      <c r="EI285" s="293">
        <v>-2.8607944970000005</v>
      </c>
      <c r="EJ285" s="293">
        <v>1.4912713779999969</v>
      </c>
      <c r="EK285" s="293">
        <v>7.2958168589999985</v>
      </c>
      <c r="EL285" s="295">
        <v>-18.772838868000001</v>
      </c>
      <c r="EM285" s="1080">
        <v>0.62262394899999762</v>
      </c>
      <c r="EN285" s="1080">
        <v>2.8431828640000028</v>
      </c>
      <c r="EO285" s="1080">
        <v>-1.7758415250000006</v>
      </c>
      <c r="EP285" s="1080">
        <v>9.571582695</v>
      </c>
      <c r="EQ285" s="1080">
        <v>16.883460375999999</v>
      </c>
      <c r="ER285" s="1080">
        <v>-18.212872200999996</v>
      </c>
      <c r="ES285" s="1080">
        <v>-24.526862160999997</v>
      </c>
      <c r="ET285" s="1080">
        <v>-13.514255047999999</v>
      </c>
      <c r="EU285" s="1080">
        <v>2.244227378999998</v>
      </c>
      <c r="EV285" s="1080">
        <v>1.8578728370000022</v>
      </c>
      <c r="EW285" s="1080">
        <v>4.1831772019999995</v>
      </c>
      <c r="EX285" s="1340">
        <v>-20.747794462999998</v>
      </c>
      <c r="EY285" s="1080"/>
      <c r="EZ285" s="1080"/>
      <c r="FA285" s="1080"/>
      <c r="FB285" s="1080"/>
      <c r="FC285" s="1080"/>
      <c r="FD285" s="1080"/>
      <c r="FE285" s="1080"/>
      <c r="FF285" s="1080"/>
      <c r="FG285" s="1080"/>
      <c r="FH285" s="1080"/>
      <c r="FI285" s="1080"/>
      <c r="FJ285" s="1340"/>
      <c r="FK285" s="1080"/>
      <c r="FL285" s="1080"/>
      <c r="FM285" s="1080"/>
      <c r="FN285" s="1080"/>
      <c r="FO285" s="1080"/>
      <c r="FP285" s="1080"/>
      <c r="FQ285" s="293"/>
      <c r="FR285" s="293"/>
      <c r="FS285" s="293"/>
      <c r="FT285" s="293"/>
      <c r="FU285" s="293"/>
      <c r="FV285" s="293"/>
      <c r="FW285" s="293"/>
      <c r="FX285" s="293"/>
      <c r="FY285" s="293"/>
      <c r="FZ285" s="293"/>
      <c r="GA285" s="293"/>
      <c r="GB285" s="293"/>
      <c r="GC285" s="293"/>
      <c r="GD285" s="293"/>
      <c r="GE285" s="293"/>
      <c r="GF285" s="293"/>
      <c r="GG285" s="293"/>
      <c r="GH285" s="293"/>
      <c r="GI285" s="293"/>
      <c r="GJ285" s="293"/>
      <c r="GK285" s="293"/>
      <c r="GL285" s="293"/>
      <c r="GM285" s="293"/>
      <c r="GN285" s="293"/>
      <c r="GO285" s="293"/>
      <c r="GP285" s="293"/>
      <c r="GQ285" s="293"/>
      <c r="GR285" s="293"/>
      <c r="GS285" s="293"/>
      <c r="GT285" s="293"/>
      <c r="GU285" s="293"/>
      <c r="GV285" s="293"/>
      <c r="GW285" s="293"/>
      <c r="GX285" s="293"/>
      <c r="GY285" s="293"/>
      <c r="GZ285" s="293"/>
      <c r="HA285" s="293"/>
      <c r="HB285" s="293"/>
      <c r="HC285" s="293"/>
      <c r="HD285" s="293"/>
      <c r="HE285" s="293"/>
      <c r="HF285" s="293"/>
      <c r="HG285" s="293"/>
      <c r="HH285" s="293"/>
      <c r="HI285" s="293"/>
      <c r="HJ285" s="293"/>
      <c r="HK285" s="293"/>
      <c r="HL285" s="293"/>
      <c r="HM285" s="293"/>
      <c r="HN285" s="293"/>
      <c r="HO285" s="293"/>
      <c r="HP285" s="293"/>
      <c r="HQ285" s="293"/>
      <c r="HR285" s="293"/>
      <c r="HS285" s="293"/>
      <c r="HT285" s="293"/>
      <c r="HU285" s="293"/>
      <c r="HV285" s="293"/>
      <c r="HW285" s="293"/>
      <c r="HX285" s="293"/>
      <c r="HY285" s="293"/>
      <c r="IK285" s="279">
        <f t="shared" si="252"/>
        <v>5.0340128619999973</v>
      </c>
      <c r="KT285" s="280"/>
    </row>
    <row r="286" spans="2:307" hidden="1" outlineLevel="1">
      <c r="B286" s="96" t="s">
        <v>338</v>
      </c>
      <c r="D286" s="314" t="s">
        <v>436</v>
      </c>
      <c r="E286" s="293"/>
      <c r="F286" s="293"/>
      <c r="G286" s="293"/>
      <c r="H286" s="293"/>
      <c r="I286" s="293"/>
      <c r="J286" s="293"/>
      <c r="K286" s="293"/>
      <c r="L286" s="293"/>
      <c r="M286" s="293"/>
      <c r="N286" s="293"/>
      <c r="O286" s="293"/>
      <c r="P286" s="293"/>
      <c r="Q286" s="293"/>
      <c r="R286" s="293"/>
      <c r="S286" s="293"/>
      <c r="T286" s="293"/>
      <c r="U286" s="293"/>
      <c r="V286" s="293"/>
      <c r="W286" s="293"/>
      <c r="X286" s="293"/>
      <c r="Y286" s="29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c r="BN286" s="293"/>
      <c r="BO286" s="293"/>
      <c r="BP286" s="293"/>
      <c r="BQ286" s="293"/>
      <c r="BR286" s="293"/>
      <c r="BS286" s="293"/>
      <c r="BT286" s="293"/>
      <c r="BU286" s="293"/>
      <c r="BV286" s="293"/>
      <c r="BW286" s="293"/>
      <c r="BX286" s="293"/>
      <c r="BY286" s="293"/>
      <c r="BZ286" s="293"/>
      <c r="CA286" s="293"/>
      <c r="CB286" s="293"/>
      <c r="CC286" s="293"/>
      <c r="CD286" s="293"/>
      <c r="CE286" s="317">
        <v>2.4331773210000005</v>
      </c>
      <c r="CF286" s="318">
        <v>-1.6125162720000024</v>
      </c>
      <c r="CG286" s="318">
        <v>0.55922348599999872</v>
      </c>
      <c r="CH286" s="318">
        <v>-0.24648362800000001</v>
      </c>
      <c r="CI286" s="318">
        <v>0.80582356499999896</v>
      </c>
      <c r="CJ286" s="318">
        <v>-1.7549912440000011</v>
      </c>
      <c r="CK286" s="318">
        <v>3.6005533539999988</v>
      </c>
      <c r="CL286" s="318">
        <v>-2.4790082959999999</v>
      </c>
      <c r="CM286" s="318">
        <v>-0.65771075200000162</v>
      </c>
      <c r="CN286" s="318">
        <v>0.88804707999999977</v>
      </c>
      <c r="CO286" s="318">
        <v>-0.72634321199999974</v>
      </c>
      <c r="CP286" s="789">
        <v>-0.80729680800000025</v>
      </c>
      <c r="CQ286" s="318">
        <v>5.9290431419999976</v>
      </c>
      <c r="CR286" s="318">
        <v>-5.0684926390000005</v>
      </c>
      <c r="CS286" s="318">
        <v>0.43221268200000118</v>
      </c>
      <c r="CT286" s="318">
        <v>0.69160751700000134</v>
      </c>
      <c r="CU286" s="318">
        <v>-0.66988936600000137</v>
      </c>
      <c r="CV286" s="318">
        <v>-0.96709170399999955</v>
      </c>
      <c r="CW286" s="318">
        <v>1.7377955619999987</v>
      </c>
      <c r="CX286" s="318">
        <v>1.6541211589999989</v>
      </c>
      <c r="CY286" s="318">
        <v>-0.99685353599999971</v>
      </c>
      <c r="CZ286" s="318">
        <v>-0.75901322700000051</v>
      </c>
      <c r="DA286" s="318">
        <v>-1.3089142140000014</v>
      </c>
      <c r="DB286" s="1301">
        <v>-0.6416365319999997</v>
      </c>
      <c r="DC286" s="293">
        <v>5.3515830330000007</v>
      </c>
      <c r="DD286" s="293">
        <v>-2.6371128349999999</v>
      </c>
      <c r="DE286" s="293">
        <v>-1.2671453719999981</v>
      </c>
      <c r="DF286" s="293">
        <v>1.5814679230000017</v>
      </c>
      <c r="DG286" s="293">
        <v>-0.72796278200000231</v>
      </c>
      <c r="DH286" s="293">
        <v>-0.93978255800000099</v>
      </c>
      <c r="DI286" s="293">
        <v>3.4310481589999995</v>
      </c>
      <c r="DJ286" s="293">
        <v>2.628970099999961E-2</v>
      </c>
      <c r="DK286" s="293">
        <v>0.37581052300000195</v>
      </c>
      <c r="DL286" s="293">
        <v>-2.974574435000001</v>
      </c>
      <c r="DM286" s="293">
        <v>0.56910690199999792</v>
      </c>
      <c r="DN286" s="295">
        <v>-2.7539950779999991</v>
      </c>
      <c r="DO286" s="293">
        <v>0.92325873999999786</v>
      </c>
      <c r="DP286" s="293">
        <v>1.9989479060000015</v>
      </c>
      <c r="DQ286" s="293">
        <v>-1.0758620229999991</v>
      </c>
      <c r="DR286" s="293">
        <v>6.6993022499999988</v>
      </c>
      <c r="DS286" s="293">
        <v>-6.4215012929999986</v>
      </c>
      <c r="DT286" s="293">
        <v>-1.210116069999998</v>
      </c>
      <c r="DU286" s="293">
        <v>5.2921518620000008</v>
      </c>
      <c r="DV286" s="293">
        <v>-1.1174253650000026</v>
      </c>
      <c r="DW286" s="293">
        <v>-1.5541783210000002</v>
      </c>
      <c r="DX286" s="293">
        <v>9.0290592559999965</v>
      </c>
      <c r="DY286" s="293">
        <v>-4.4370117799999989</v>
      </c>
      <c r="DZ286" s="295">
        <v>14.323004238999999</v>
      </c>
      <c r="EA286" s="293">
        <v>4.5248089190000016</v>
      </c>
      <c r="EB286" s="293">
        <v>-2.658034923999999</v>
      </c>
      <c r="EC286" s="293">
        <v>-1.6506840430000018</v>
      </c>
      <c r="ED286" s="293">
        <v>3.3173105239999998</v>
      </c>
      <c r="EE286" s="293">
        <v>-2.7214846239999986</v>
      </c>
      <c r="EF286" s="293">
        <v>-0.31018299499999813</v>
      </c>
      <c r="EG286" s="293">
        <v>7.0459488450000016</v>
      </c>
      <c r="EH286" s="293">
        <v>-2.8883827089999983</v>
      </c>
      <c r="EI286" s="293">
        <v>-1.4558972860000026</v>
      </c>
      <c r="EJ286" s="293">
        <v>5.1567675050000013</v>
      </c>
      <c r="EK286" s="293">
        <v>8.1938463370000001</v>
      </c>
      <c r="EL286" s="295">
        <v>-8.9365712100000003</v>
      </c>
      <c r="EM286" s="1080">
        <v>9.3418880860000009</v>
      </c>
      <c r="EN286" s="1080">
        <v>-5.6536892299999977</v>
      </c>
      <c r="EO286" s="1080">
        <v>1.0562651469999977</v>
      </c>
      <c r="EP286" s="1080">
        <v>6.9891358219999979</v>
      </c>
      <c r="EQ286" s="1080">
        <v>-4.0449216989999996</v>
      </c>
      <c r="ER286" s="1080">
        <v>-6.1371300689999977</v>
      </c>
      <c r="ES286" s="1080">
        <v>3.3189000740000019</v>
      </c>
      <c r="ET286" s="1080">
        <v>3.0049540810000011</v>
      </c>
      <c r="EU286" s="1080">
        <v>21.224673280999998</v>
      </c>
      <c r="EV286" s="1080">
        <v>12.986760320000002</v>
      </c>
      <c r="EW286" s="1080">
        <v>10.995433510999998</v>
      </c>
      <c r="EX286" s="1340">
        <v>-6.7873506179999978</v>
      </c>
      <c r="EY286" s="1080"/>
      <c r="EZ286" s="1080"/>
      <c r="FA286" s="1080"/>
      <c r="FB286" s="1080"/>
      <c r="FC286" s="1080"/>
      <c r="FD286" s="1080"/>
      <c r="FE286" s="1080"/>
      <c r="FF286" s="1080"/>
      <c r="FG286" s="1080"/>
      <c r="FH286" s="1080"/>
      <c r="FI286" s="1080"/>
      <c r="FJ286" s="1340"/>
      <c r="FK286" s="1080"/>
      <c r="FL286" s="1080"/>
      <c r="FM286" s="1080"/>
      <c r="FN286" s="1080"/>
      <c r="FO286" s="1080"/>
      <c r="FP286" s="1080"/>
      <c r="FQ286" s="293"/>
      <c r="FR286" s="293"/>
      <c r="FS286" s="293"/>
      <c r="FT286" s="293"/>
      <c r="FU286" s="293"/>
      <c r="FV286" s="293"/>
      <c r="FW286" s="293"/>
      <c r="FX286" s="293"/>
      <c r="FY286" s="293"/>
      <c r="FZ286" s="293"/>
      <c r="GA286" s="293"/>
      <c r="GB286" s="293"/>
      <c r="GC286" s="293"/>
      <c r="GD286" s="293"/>
      <c r="GE286" s="293"/>
      <c r="GF286" s="293"/>
      <c r="GG286" s="293"/>
      <c r="GH286" s="293"/>
      <c r="GI286" s="293"/>
      <c r="GJ286" s="293"/>
      <c r="GK286" s="293"/>
      <c r="GL286" s="293"/>
      <c r="GM286" s="293"/>
      <c r="GN286" s="293"/>
      <c r="GO286" s="293"/>
      <c r="GP286" s="293"/>
      <c r="GQ286" s="293"/>
      <c r="GR286" s="293"/>
      <c r="GS286" s="293"/>
      <c r="GT286" s="293"/>
      <c r="GU286" s="293"/>
      <c r="GV286" s="293"/>
      <c r="GW286" s="293"/>
      <c r="GX286" s="293"/>
      <c r="GY286" s="293"/>
      <c r="GZ286" s="293"/>
      <c r="HA286" s="293"/>
      <c r="HB286" s="293"/>
      <c r="HC286" s="293"/>
      <c r="HD286" s="293"/>
      <c r="HE286" s="293"/>
      <c r="HF286" s="293"/>
      <c r="HG286" s="293"/>
      <c r="HH286" s="293"/>
      <c r="HI286" s="293"/>
      <c r="HJ286" s="293"/>
      <c r="HK286" s="293"/>
      <c r="HL286" s="293"/>
      <c r="HM286" s="293"/>
      <c r="HN286" s="293"/>
      <c r="HO286" s="293"/>
      <c r="HP286" s="293"/>
      <c r="HQ286" s="293"/>
      <c r="HR286" s="293"/>
      <c r="HS286" s="293"/>
      <c r="HT286" s="293"/>
      <c r="HU286" s="293"/>
      <c r="HV286" s="293"/>
      <c r="HW286" s="293"/>
      <c r="HX286" s="293"/>
      <c r="HY286" s="293"/>
      <c r="IK286" s="279">
        <f t="shared" si="252"/>
        <v>0.91402951000000243</v>
      </c>
      <c r="KT286" s="280"/>
    </row>
    <row r="287" spans="2:307" hidden="1" outlineLevel="1">
      <c r="B287" s="96" t="s">
        <v>338</v>
      </c>
      <c r="D287" s="316" t="s">
        <v>452</v>
      </c>
      <c r="E287" s="293"/>
      <c r="F287" s="293"/>
      <c r="G287" s="293"/>
      <c r="H287" s="293"/>
      <c r="I287" s="293"/>
      <c r="J287" s="293"/>
      <c r="K287" s="293"/>
      <c r="L287" s="293"/>
      <c r="M287" s="293"/>
      <c r="N287" s="293"/>
      <c r="O287" s="293"/>
      <c r="P287" s="293"/>
      <c r="Q287" s="293"/>
      <c r="R287" s="293"/>
      <c r="S287" s="293"/>
      <c r="T287" s="293"/>
      <c r="U287" s="293"/>
      <c r="V287" s="293"/>
      <c r="W287" s="293"/>
      <c r="X287" s="293"/>
      <c r="Y287" s="29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c r="BN287" s="293"/>
      <c r="BO287" s="293"/>
      <c r="BP287" s="293"/>
      <c r="BQ287" s="293"/>
      <c r="BR287" s="293"/>
      <c r="BS287" s="293"/>
      <c r="BT287" s="293"/>
      <c r="BU287" s="293"/>
      <c r="BV287" s="293"/>
      <c r="BW287" s="293"/>
      <c r="BX287" s="293"/>
      <c r="BY287" s="293"/>
      <c r="BZ287" s="293"/>
      <c r="CA287" s="293"/>
      <c r="CB287" s="293"/>
      <c r="CC287" s="293"/>
      <c r="CD287" s="293"/>
      <c r="CE287" s="294">
        <v>25.459926414999998</v>
      </c>
      <c r="CF287" s="293">
        <v>-2.1916458300000095</v>
      </c>
      <c r="CG287" s="293">
        <v>0.86049975999999662</v>
      </c>
      <c r="CH287" s="293">
        <v>15.230367965000001</v>
      </c>
      <c r="CI287" s="293">
        <v>-2.490232345000003</v>
      </c>
      <c r="CJ287" s="293">
        <v>-44.462359226000011</v>
      </c>
      <c r="CK287" s="293">
        <v>33.882002667999998</v>
      </c>
      <c r="CL287" s="293">
        <v>1.5864573310000027</v>
      </c>
      <c r="CM287" s="293">
        <v>-2.2788276409999981</v>
      </c>
      <c r="CN287" s="293">
        <v>21.917290953999998</v>
      </c>
      <c r="CO287" s="293">
        <v>15.121927161999997</v>
      </c>
      <c r="CP287" s="295">
        <v>-77.886949827000009</v>
      </c>
      <c r="CQ287" s="293">
        <v>43.993544946</v>
      </c>
      <c r="CR287" s="293">
        <v>7.5001968780000023</v>
      </c>
      <c r="CS287" s="293">
        <v>-8.1648560099999994</v>
      </c>
      <c r="CT287" s="293">
        <v>7.7556771840000014</v>
      </c>
      <c r="CU287" s="293">
        <v>13.614128800999996</v>
      </c>
      <c r="CV287" s="293">
        <v>-15.375084401999995</v>
      </c>
      <c r="CW287" s="293">
        <v>9.5578973139999999</v>
      </c>
      <c r="CX287" s="293">
        <v>18.724819482000001</v>
      </c>
      <c r="CY287" s="293">
        <v>-5.0054926209999993</v>
      </c>
      <c r="CZ287" s="293">
        <v>34.482325734</v>
      </c>
      <c r="DA287" s="293">
        <v>0.97493965699999618</v>
      </c>
      <c r="DB287" s="1288">
        <v>-84.906245957999985</v>
      </c>
      <c r="DC287" s="293">
        <v>45.051045941000005</v>
      </c>
      <c r="DD287" s="293">
        <v>2.4522030739999972</v>
      </c>
      <c r="DE287" s="293">
        <v>-11.525068235999996</v>
      </c>
      <c r="DF287" s="293">
        <v>24.155134145999995</v>
      </c>
      <c r="DG287" s="293">
        <v>4.7692401899999961</v>
      </c>
      <c r="DH287" s="293">
        <v>-50.081889140000001</v>
      </c>
      <c r="DI287" s="293">
        <v>39.04344991899999</v>
      </c>
      <c r="DJ287" s="293">
        <v>-12.661360148</v>
      </c>
      <c r="DK287" s="293">
        <v>2.5686521749999995</v>
      </c>
      <c r="DL287" s="293">
        <v>8.1482137590000008</v>
      </c>
      <c r="DM287" s="293">
        <v>27.100130161999999</v>
      </c>
      <c r="DN287" s="295">
        <v>-106.637777396</v>
      </c>
      <c r="DO287" s="293">
        <v>5.7541547349999931</v>
      </c>
      <c r="DP287" s="293">
        <v>67.927479993000006</v>
      </c>
      <c r="DQ287" s="293">
        <v>-6.7416281189999925</v>
      </c>
      <c r="DR287" s="293">
        <v>22.302948236000002</v>
      </c>
      <c r="DS287" s="293">
        <v>1.6517766149999982</v>
      </c>
      <c r="DT287" s="293">
        <v>-103.077576081</v>
      </c>
      <c r="DU287" s="293">
        <v>72.040236409999991</v>
      </c>
      <c r="DV287" s="293">
        <v>3.8685099279999964</v>
      </c>
      <c r="DW287" s="293">
        <v>-51.810127059000003</v>
      </c>
      <c r="DX287" s="293">
        <v>88.399945051999993</v>
      </c>
      <c r="DY287" s="293">
        <v>18.782829167999999</v>
      </c>
      <c r="DZ287" s="295">
        <v>-79.13331905199999</v>
      </c>
      <c r="EA287" s="293">
        <v>50.555999823000001</v>
      </c>
      <c r="EB287" s="293">
        <v>28.586233752000005</v>
      </c>
      <c r="EC287" s="293">
        <v>27.044963971000001</v>
      </c>
      <c r="ED287" s="293">
        <v>0.725604204999998</v>
      </c>
      <c r="EE287" s="293">
        <v>5.2141258529999961</v>
      </c>
      <c r="EF287" s="293">
        <v>-77.150921148000023</v>
      </c>
      <c r="EG287" s="293">
        <v>19.283678564999999</v>
      </c>
      <c r="EH287" s="293">
        <v>11.539384766000001</v>
      </c>
      <c r="EI287" s="293">
        <v>-13.339600471000001</v>
      </c>
      <c r="EJ287" s="293">
        <v>40.832480689</v>
      </c>
      <c r="EK287" s="293">
        <v>1.1411995740000016</v>
      </c>
      <c r="EL287" s="295">
        <v>-119.494381867</v>
      </c>
      <c r="EM287" s="1080">
        <v>20.906582503999996</v>
      </c>
      <c r="EN287" s="1080">
        <v>38.534375723000025</v>
      </c>
      <c r="EO287" s="1080">
        <v>1.7081313110000025</v>
      </c>
      <c r="EP287" s="1080">
        <v>40.776698555999999</v>
      </c>
      <c r="EQ287" s="1080">
        <v>62.199166380000008</v>
      </c>
      <c r="ER287" s="1080">
        <v>-111.86544021499999</v>
      </c>
      <c r="ES287" s="1080">
        <v>-53.196056255000009</v>
      </c>
      <c r="ET287" s="1080">
        <v>-4.1803346760000011</v>
      </c>
      <c r="EU287" s="1080">
        <v>48.686548283999997</v>
      </c>
      <c r="EV287" s="1080">
        <v>66.64271675900001</v>
      </c>
      <c r="EW287" s="1080">
        <v>99.212840006999997</v>
      </c>
      <c r="EX287" s="1340">
        <v>-154.30260818600001</v>
      </c>
      <c r="EY287" s="1080"/>
      <c r="EZ287" s="1080"/>
      <c r="FA287" s="1080"/>
      <c r="FB287" s="1080"/>
      <c r="FC287" s="1080"/>
      <c r="FD287" s="1080"/>
      <c r="FE287" s="1080"/>
      <c r="FF287" s="1080"/>
      <c r="FG287" s="1080"/>
      <c r="FH287" s="1080"/>
      <c r="FI287" s="1080"/>
      <c r="FJ287" s="1340"/>
      <c r="FK287" s="1080"/>
      <c r="FL287" s="1080"/>
      <c r="FM287" s="1080"/>
      <c r="FN287" s="1080"/>
      <c r="FO287" s="1080"/>
      <c r="FP287" s="1080"/>
      <c r="FQ287" s="293"/>
      <c r="FR287" s="293"/>
      <c r="FS287" s="293"/>
      <c r="FT287" s="293"/>
      <c r="FU287" s="293"/>
      <c r="FV287" s="293"/>
      <c r="FW287" s="293"/>
      <c r="FX287" s="293"/>
      <c r="FY287" s="293"/>
      <c r="FZ287" s="293"/>
      <c r="GA287" s="293"/>
      <c r="GB287" s="293"/>
      <c r="GC287" s="293"/>
      <c r="GD287" s="293"/>
      <c r="GE287" s="293"/>
      <c r="GF287" s="293"/>
      <c r="GG287" s="293"/>
      <c r="GH287" s="293"/>
      <c r="GI287" s="293"/>
      <c r="GJ287" s="293"/>
      <c r="GK287" s="293"/>
      <c r="GL287" s="293"/>
      <c r="GM287" s="293"/>
      <c r="GN287" s="293"/>
      <c r="GO287" s="293"/>
      <c r="GP287" s="293"/>
      <c r="GQ287" s="293"/>
      <c r="GR287" s="293"/>
      <c r="GS287" s="293"/>
      <c r="GT287" s="293"/>
      <c r="GU287" s="293"/>
      <c r="GV287" s="293"/>
      <c r="GW287" s="293"/>
      <c r="GX287" s="293"/>
      <c r="GY287" s="293"/>
      <c r="GZ287" s="293"/>
      <c r="HA287" s="293"/>
      <c r="HB287" s="293"/>
      <c r="HC287" s="293"/>
      <c r="HD287" s="293"/>
      <c r="HE287" s="293"/>
      <c r="HF287" s="293"/>
      <c r="HG287" s="293"/>
      <c r="HH287" s="293"/>
      <c r="HI287" s="293"/>
      <c r="HJ287" s="293"/>
      <c r="HK287" s="293"/>
      <c r="HL287" s="293"/>
      <c r="HM287" s="293"/>
      <c r="HN287" s="293"/>
      <c r="HO287" s="293"/>
      <c r="HP287" s="293"/>
      <c r="HQ287" s="293"/>
      <c r="HR287" s="293"/>
      <c r="HS287" s="293"/>
      <c r="HT287" s="293"/>
      <c r="HU287" s="293"/>
      <c r="HV287" s="293"/>
      <c r="HW287" s="293"/>
      <c r="HX287" s="293"/>
      <c r="HY287" s="293"/>
      <c r="IH287" s="279">
        <f>+SUM(DC287:DH287)</f>
        <v>14.820665974999997</v>
      </c>
      <c r="II287" s="279">
        <f>+SUM(DI287:DN287)</f>
        <v>-42.43869152900001</v>
      </c>
      <c r="IJ287" s="323">
        <f>IH287+II287</f>
        <v>-27.618025554000013</v>
      </c>
      <c r="IK287" s="279">
        <f t="shared" si="252"/>
        <v>-12.182844620999987</v>
      </c>
      <c r="KT287" s="280"/>
      <c r="KU287" s="279"/>
    </row>
    <row r="288" spans="2:307" hidden="1" outlineLevel="1">
      <c r="D288" s="794"/>
      <c r="CE288" s="793"/>
      <c r="CP288" s="280"/>
      <c r="DC288" s="843" t="s">
        <v>1019</v>
      </c>
      <c r="EA288" s="279"/>
      <c r="EB288" s="279"/>
      <c r="EC288" s="279"/>
      <c r="ED288" s="279"/>
      <c r="EE288" s="279"/>
      <c r="EF288" s="279"/>
      <c r="EG288" s="279"/>
      <c r="EH288" s="279"/>
      <c r="EI288" s="279"/>
      <c r="EJ288" s="279"/>
      <c r="EK288" s="279"/>
      <c r="EL288" s="280"/>
      <c r="EM288" s="1082"/>
      <c r="EN288" s="1082"/>
      <c r="EO288" s="1082"/>
      <c r="EP288" s="1082"/>
      <c r="EQ288" s="1082"/>
      <c r="ER288" s="1082"/>
      <c r="ES288" s="1082"/>
      <c r="ET288" s="1082"/>
      <c r="EU288" s="1082"/>
      <c r="EV288" s="1082"/>
      <c r="EW288" s="1082"/>
      <c r="EX288" s="1350"/>
      <c r="EY288" s="1082"/>
      <c r="EZ288" s="1082"/>
      <c r="FA288" s="1082"/>
      <c r="FB288" s="1082"/>
      <c r="FC288" s="1082"/>
      <c r="FD288" s="1082"/>
      <c r="FE288" s="1082"/>
      <c r="FF288" s="1082"/>
      <c r="FG288" s="1082"/>
      <c r="FH288" s="1082"/>
      <c r="FI288" s="1082"/>
      <c r="FJ288" s="1350"/>
      <c r="FK288" s="1082"/>
      <c r="FL288" s="1082"/>
      <c r="FM288" s="1082"/>
      <c r="FN288" s="1082"/>
      <c r="FO288" s="1082"/>
      <c r="FP288" s="1082"/>
      <c r="FQ288" s="279"/>
      <c r="FR288" s="279"/>
      <c r="FS288" s="279"/>
      <c r="FT288" s="279"/>
      <c r="FU288" s="279"/>
      <c r="FV288" s="279"/>
      <c r="FW288" s="279"/>
      <c r="FX288" s="279"/>
      <c r="FY288" s="279"/>
      <c r="FZ288" s="279"/>
      <c r="GA288" s="279"/>
      <c r="GB288" s="279"/>
      <c r="GC288" s="279"/>
      <c r="GD288" s="279"/>
      <c r="GE288" s="279"/>
      <c r="GF288" s="279"/>
      <c r="GG288" s="279"/>
      <c r="GH288" s="279"/>
      <c r="GI288" s="279"/>
      <c r="GJ288" s="279"/>
      <c r="GK288" s="279"/>
      <c r="GL288" s="279"/>
      <c r="GM288" s="279"/>
      <c r="GN288" s="279"/>
      <c r="GO288" s="279"/>
      <c r="GP288" s="279"/>
      <c r="GQ288" s="279"/>
      <c r="GR288" s="279"/>
      <c r="GS288" s="279"/>
      <c r="GT288" s="279"/>
      <c r="GU288" s="279"/>
      <c r="GV288" s="279"/>
      <c r="GW288" s="279"/>
      <c r="GX288" s="279"/>
      <c r="GY288" s="279"/>
      <c r="GZ288" s="279"/>
      <c r="HA288" s="279"/>
      <c r="HB288" s="279"/>
      <c r="HC288" s="279"/>
      <c r="HD288" s="279"/>
      <c r="HE288" s="279"/>
      <c r="HF288" s="279"/>
      <c r="HG288" s="279"/>
      <c r="HH288" s="279"/>
      <c r="HI288" s="279"/>
      <c r="HJ288" s="279"/>
      <c r="HK288" s="279"/>
      <c r="HL288" s="279"/>
      <c r="HM288" s="279"/>
      <c r="HN288" s="279"/>
      <c r="HO288" s="279"/>
      <c r="HP288" s="279"/>
      <c r="HQ288" s="279"/>
      <c r="HR288" s="279"/>
      <c r="HS288" s="279"/>
      <c r="HT288" s="279"/>
      <c r="HU288" s="279"/>
      <c r="HV288" s="279"/>
      <c r="HW288" s="279"/>
      <c r="HX288" s="279"/>
      <c r="HY288" s="279"/>
      <c r="HZ288" s="279"/>
      <c r="IJ288" s="327"/>
      <c r="KT288" s="280"/>
      <c r="KU288" s="279"/>
    </row>
    <row r="289" spans="1:307" ht="10.5" hidden="1" customHeight="1" outlineLevel="1">
      <c r="D289" s="794"/>
      <c r="CE289" s="793"/>
      <c r="CP289" s="280"/>
      <c r="DC289" s="843"/>
      <c r="EA289" s="279"/>
      <c r="EB289" s="279"/>
      <c r="EC289" s="279"/>
      <c r="ED289" s="279"/>
      <c r="EE289" s="279"/>
      <c r="EF289" s="279"/>
      <c r="EG289" s="279"/>
      <c r="EH289" s="279"/>
      <c r="EI289" s="279"/>
      <c r="EJ289" s="279"/>
      <c r="EK289" s="279"/>
      <c r="EL289" s="280"/>
      <c r="EM289" s="1082"/>
      <c r="EN289" s="1082"/>
      <c r="EO289" s="1082"/>
      <c r="EP289" s="1082"/>
      <c r="EQ289" s="1082"/>
      <c r="ER289" s="1082"/>
      <c r="ES289" s="1082"/>
      <c r="ET289" s="1082"/>
      <c r="EU289" s="1082"/>
      <c r="EV289" s="1082"/>
      <c r="EW289" s="1082"/>
      <c r="EX289" s="1350"/>
      <c r="EY289" s="1082"/>
      <c r="EZ289" s="1082"/>
      <c r="FA289" s="1082"/>
      <c r="FB289" s="1082"/>
      <c r="FC289" s="1082"/>
      <c r="FD289" s="1082"/>
      <c r="FE289" s="1082"/>
      <c r="FF289" s="1082"/>
      <c r="FG289" s="1082"/>
      <c r="FH289" s="1082"/>
      <c r="FI289" s="1082"/>
      <c r="FJ289" s="1350"/>
      <c r="FK289" s="1082"/>
      <c r="FL289" s="1082"/>
      <c r="FM289" s="1082"/>
      <c r="FN289" s="1082"/>
      <c r="FO289" s="1082"/>
      <c r="FP289" s="1082"/>
      <c r="FQ289" s="279"/>
      <c r="FR289" s="279"/>
      <c r="FS289" s="279"/>
      <c r="FT289" s="279"/>
      <c r="FU289" s="279"/>
      <c r="FV289" s="279"/>
      <c r="FW289" s="279"/>
      <c r="FX289" s="279"/>
      <c r="FY289" s="279"/>
      <c r="FZ289" s="279"/>
      <c r="GA289" s="279"/>
      <c r="GB289" s="279"/>
      <c r="GC289" s="279"/>
      <c r="GD289" s="279"/>
      <c r="GE289" s="279"/>
      <c r="GF289" s="279"/>
      <c r="GG289" s="279"/>
      <c r="GH289" s="279"/>
      <c r="GI289" s="279"/>
      <c r="GJ289" s="279"/>
      <c r="GK289" s="279"/>
      <c r="GL289" s="279"/>
      <c r="GM289" s="279"/>
      <c r="GN289" s="279"/>
      <c r="GO289" s="279"/>
      <c r="GP289" s="279"/>
      <c r="GQ289" s="279"/>
      <c r="GR289" s="279"/>
      <c r="GS289" s="279"/>
      <c r="GT289" s="279"/>
      <c r="GU289" s="279"/>
      <c r="GV289" s="279"/>
      <c r="GW289" s="279"/>
      <c r="GX289" s="279"/>
      <c r="GY289" s="279"/>
      <c r="GZ289" s="279"/>
      <c r="HA289" s="279"/>
      <c r="HB289" s="279"/>
      <c r="HC289" s="279"/>
      <c r="HD289" s="279"/>
      <c r="HE289" s="279"/>
      <c r="HF289" s="279"/>
      <c r="HG289" s="279"/>
      <c r="HH289" s="279"/>
      <c r="HI289" s="279"/>
      <c r="HJ289" s="279"/>
      <c r="HK289" s="279"/>
      <c r="HL289" s="279"/>
      <c r="HM289" s="279"/>
      <c r="HN289" s="279"/>
      <c r="HO289" s="279"/>
      <c r="HP289" s="279"/>
      <c r="HQ289" s="279"/>
      <c r="HR289" s="279"/>
      <c r="HS289" s="279"/>
      <c r="HT289" s="279"/>
      <c r="HU289" s="279"/>
      <c r="HV289" s="279"/>
      <c r="HW289" s="279"/>
      <c r="HX289" s="279"/>
      <c r="HY289" s="279"/>
      <c r="HZ289" s="279"/>
      <c r="IJ289" s="327"/>
      <c r="KT289" s="280"/>
      <c r="KU289" s="279"/>
    </row>
    <row r="290" spans="1:307" hidden="1" outlineLevel="1">
      <c r="A290" s="291" t="s">
        <v>1043</v>
      </c>
      <c r="D290" s="794"/>
      <c r="CE290" s="793"/>
      <c r="CP290" s="280"/>
      <c r="DC290" s="843" t="s">
        <v>1022</v>
      </c>
      <c r="EA290" s="279"/>
      <c r="EB290" s="279"/>
      <c r="EC290" s="279"/>
      <c r="ED290" s="279"/>
      <c r="EE290" s="279"/>
      <c r="EF290" s="279"/>
      <c r="EG290" s="279"/>
      <c r="EH290" s="279"/>
      <c r="EI290" s="279"/>
      <c r="EJ290" s="279"/>
      <c r="EK290" s="279"/>
      <c r="EL290" s="280"/>
      <c r="EM290" s="1082"/>
      <c r="EN290" s="1082"/>
      <c r="EO290" s="1082"/>
      <c r="EP290" s="1082"/>
      <c r="EQ290" s="1082"/>
      <c r="ER290" s="1082"/>
      <c r="ES290" s="1082"/>
      <c r="ET290" s="1082"/>
      <c r="EU290" s="1082"/>
      <c r="EV290" s="1082"/>
      <c r="EW290" s="1082"/>
      <c r="EX290" s="1350"/>
      <c r="EY290" s="1082"/>
      <c r="EZ290" s="1082"/>
      <c r="FA290" s="1082"/>
      <c r="FB290" s="1082"/>
      <c r="FC290" s="1082"/>
      <c r="FD290" s="1082"/>
      <c r="FE290" s="1082"/>
      <c r="FF290" s="1082"/>
      <c r="FG290" s="1082"/>
      <c r="FH290" s="1082"/>
      <c r="FI290" s="1082"/>
      <c r="FJ290" s="1350"/>
      <c r="FK290" s="1082"/>
      <c r="FL290" s="1082"/>
      <c r="FM290" s="1082"/>
      <c r="FN290" s="1082"/>
      <c r="FO290" s="1082"/>
      <c r="FP290" s="1082"/>
      <c r="FQ290" s="279"/>
      <c r="FR290" s="279"/>
      <c r="FS290" s="279"/>
      <c r="FT290" s="279"/>
      <c r="FU290" s="279"/>
      <c r="FV290" s="279"/>
      <c r="FW290" s="279"/>
      <c r="FX290" s="279"/>
      <c r="FY290" s="279"/>
      <c r="FZ290" s="279"/>
      <c r="GA290" s="279"/>
      <c r="GB290" s="279"/>
      <c r="GC290" s="279"/>
      <c r="GD290" s="279"/>
      <c r="GE290" s="279"/>
      <c r="GF290" s="279"/>
      <c r="GG290" s="279"/>
      <c r="GH290" s="279"/>
      <c r="GI290" s="279"/>
      <c r="GJ290" s="279"/>
      <c r="GK290" s="279"/>
      <c r="GL290" s="279"/>
      <c r="GM290" s="279"/>
      <c r="GN290" s="279"/>
      <c r="GO290" s="279"/>
      <c r="GP290" s="279"/>
      <c r="GQ290" s="279"/>
      <c r="GR290" s="279"/>
      <c r="GS290" s="279"/>
      <c r="GT290" s="279"/>
      <c r="GU290" s="279"/>
      <c r="GV290" s="279"/>
      <c r="GW290" s="279"/>
      <c r="GX290" s="279"/>
      <c r="GY290" s="279"/>
      <c r="GZ290" s="279"/>
      <c r="HA290" s="279"/>
      <c r="HB290" s="279"/>
      <c r="HC290" s="279"/>
      <c r="HD290" s="279"/>
      <c r="HE290" s="279"/>
      <c r="HF290" s="279"/>
      <c r="HG290" s="279"/>
      <c r="HH290" s="279"/>
      <c r="HI290" s="279"/>
      <c r="HJ290" s="279"/>
      <c r="HK290" s="279"/>
      <c r="HL290" s="279"/>
      <c r="HM290" s="279"/>
      <c r="HN290" s="279"/>
      <c r="HO290" s="279"/>
      <c r="HP290" s="279"/>
      <c r="HQ290" s="279"/>
      <c r="HR290" s="279"/>
      <c r="HS290" s="279"/>
      <c r="HT290" s="279"/>
      <c r="HU290" s="279"/>
      <c r="HV290" s="279"/>
      <c r="HW290" s="279"/>
      <c r="HX290" s="279"/>
      <c r="HY290" s="279"/>
      <c r="HZ290" s="279"/>
      <c r="IJ290" s="327"/>
      <c r="KT290" s="280"/>
      <c r="KU290" s="279"/>
    </row>
    <row r="291" spans="1:307" hidden="1" outlineLevel="1">
      <c r="D291" s="316"/>
      <c r="E291" s="293"/>
      <c r="F291" s="293"/>
      <c r="G291" s="293"/>
      <c r="H291" s="293"/>
      <c r="I291" s="293"/>
      <c r="J291" s="293"/>
      <c r="K291" s="293"/>
      <c r="L291" s="293"/>
      <c r="M291" s="293"/>
      <c r="N291" s="293"/>
      <c r="O291" s="293"/>
      <c r="P291" s="293"/>
      <c r="Q291" s="293"/>
      <c r="R291" s="293"/>
      <c r="S291" s="293"/>
      <c r="T291" s="293"/>
      <c r="U291" s="293"/>
      <c r="V291" s="293"/>
      <c r="W291" s="293"/>
      <c r="X291" s="293"/>
      <c r="Y291" s="29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c r="BN291" s="293"/>
      <c r="BO291" s="293"/>
      <c r="BP291" s="293"/>
      <c r="BQ291" s="293"/>
      <c r="BR291" s="293"/>
      <c r="BS291" s="293"/>
      <c r="BT291" s="293"/>
      <c r="BU291" s="293"/>
      <c r="BV291" s="293"/>
      <c r="BW291" s="293"/>
      <c r="BX291" s="293"/>
      <c r="BY291" s="293"/>
      <c r="BZ291" s="293"/>
      <c r="CA291" s="293"/>
      <c r="CB291" s="293"/>
      <c r="CC291" s="293"/>
      <c r="CD291" s="293"/>
      <c r="CE291" s="294"/>
      <c r="CF291" s="293"/>
      <c r="CG291" s="293"/>
      <c r="CH291" s="293"/>
      <c r="CI291" s="293"/>
      <c r="CJ291" s="293"/>
      <c r="CK291" s="293"/>
      <c r="CL291" s="293"/>
      <c r="CM291" s="293"/>
      <c r="CN291" s="293"/>
      <c r="CO291" s="293"/>
      <c r="CP291" s="295"/>
      <c r="CQ291" s="293"/>
      <c r="CR291" s="293"/>
      <c r="CS291" s="293"/>
      <c r="CT291" s="293"/>
      <c r="CU291" s="293"/>
      <c r="CV291" s="293"/>
      <c r="CW291" s="293"/>
      <c r="CX291" s="293"/>
      <c r="CY291" s="293"/>
      <c r="CZ291" s="293"/>
      <c r="DA291" s="293"/>
      <c r="DB291" s="1288"/>
      <c r="DC291" s="864">
        <v>42186</v>
      </c>
      <c r="DD291" s="864">
        <v>42217</v>
      </c>
      <c r="DE291" s="864">
        <v>42248</v>
      </c>
      <c r="DF291" s="864">
        <v>42278</v>
      </c>
      <c r="DG291" s="864">
        <v>42309</v>
      </c>
      <c r="DH291" s="864">
        <v>42339</v>
      </c>
      <c r="DI291" s="864">
        <v>42370</v>
      </c>
      <c r="DJ291" s="864">
        <v>42401</v>
      </c>
      <c r="DK291" s="864">
        <v>42430</v>
      </c>
      <c r="DL291" s="864">
        <v>42461</v>
      </c>
      <c r="DM291" s="864">
        <v>42491</v>
      </c>
      <c r="DN291" s="877">
        <v>42522</v>
      </c>
      <c r="DO291" s="836">
        <v>42552</v>
      </c>
      <c r="DP291" s="836">
        <v>42583</v>
      </c>
      <c r="DQ291" s="836">
        <v>42614</v>
      </c>
      <c r="DR291" s="836">
        <v>42644</v>
      </c>
      <c r="DS291" s="836">
        <v>42675</v>
      </c>
      <c r="DT291" s="836">
        <v>42705</v>
      </c>
      <c r="DU291" s="836">
        <v>42736</v>
      </c>
      <c r="DV291" s="836">
        <v>42767</v>
      </c>
      <c r="DW291" s="836">
        <v>42795</v>
      </c>
      <c r="DX291" s="836">
        <v>42826</v>
      </c>
      <c r="DY291" s="836">
        <v>42856</v>
      </c>
      <c r="DZ291" s="872">
        <v>42887</v>
      </c>
      <c r="EA291" s="836">
        <v>42917</v>
      </c>
      <c r="EB291" s="836">
        <v>42948</v>
      </c>
      <c r="EC291" s="836">
        <v>42979</v>
      </c>
      <c r="ED291" s="836">
        <v>43009</v>
      </c>
      <c r="EE291" s="836">
        <v>43040</v>
      </c>
      <c r="EF291" s="836">
        <v>43070</v>
      </c>
      <c r="EG291" s="836">
        <v>43101</v>
      </c>
      <c r="EH291" s="836">
        <v>43132</v>
      </c>
      <c r="EI291" s="836">
        <v>43160</v>
      </c>
      <c r="EJ291" s="836">
        <v>43191</v>
      </c>
      <c r="EK291" s="836">
        <v>43221</v>
      </c>
      <c r="EL291" s="872">
        <v>43252</v>
      </c>
      <c r="EM291" s="1079">
        <v>43282</v>
      </c>
      <c r="EN291" s="1079">
        <v>43313</v>
      </c>
      <c r="EO291" s="1079">
        <v>43344</v>
      </c>
      <c r="EP291" s="1079">
        <v>43374</v>
      </c>
      <c r="EQ291" s="1079">
        <v>43405</v>
      </c>
      <c r="ER291" s="1079">
        <v>43435</v>
      </c>
      <c r="ES291" s="1079">
        <v>43466</v>
      </c>
      <c r="ET291" s="1079">
        <v>43497</v>
      </c>
      <c r="EU291" s="1079">
        <v>43525</v>
      </c>
      <c r="EV291" s="1079">
        <v>43556</v>
      </c>
      <c r="EW291" s="1079">
        <v>43586</v>
      </c>
      <c r="EX291" s="1348">
        <v>43617</v>
      </c>
      <c r="EY291" s="1079">
        <v>43647</v>
      </c>
      <c r="EZ291" s="1079">
        <v>43678</v>
      </c>
      <c r="FA291" s="1079">
        <v>43709</v>
      </c>
      <c r="FB291" s="1079">
        <v>43739</v>
      </c>
      <c r="FC291" s="1079">
        <v>43770</v>
      </c>
      <c r="FD291" s="1079">
        <v>43800</v>
      </c>
      <c r="FE291" s="1079">
        <v>43831</v>
      </c>
      <c r="FF291" s="1079">
        <v>43862</v>
      </c>
      <c r="FG291" s="1079">
        <v>43891</v>
      </c>
      <c r="FH291" s="1079">
        <v>43922</v>
      </c>
      <c r="FI291" s="1079">
        <v>43952</v>
      </c>
      <c r="FJ291" s="1348">
        <v>43983</v>
      </c>
      <c r="FK291" s="1079">
        <v>44013</v>
      </c>
      <c r="FL291" s="1079">
        <v>44044</v>
      </c>
      <c r="FM291" s="1079">
        <v>44075</v>
      </c>
      <c r="FN291" s="1079">
        <v>44105</v>
      </c>
      <c r="FO291" s="1079">
        <v>44136</v>
      </c>
      <c r="FP291" s="1079">
        <v>44166</v>
      </c>
      <c r="FQ291" s="836"/>
      <c r="FR291" s="836"/>
      <c r="FS291" s="836"/>
      <c r="FT291" s="836"/>
      <c r="FU291" s="836"/>
      <c r="FV291" s="836"/>
      <c r="FW291" s="836"/>
      <c r="FX291" s="836"/>
      <c r="FY291" s="836"/>
      <c r="FZ291" s="836"/>
      <c r="GA291" s="836"/>
      <c r="GB291" s="836"/>
      <c r="GC291" s="836"/>
      <c r="GD291" s="836"/>
      <c r="GE291" s="836"/>
      <c r="GF291" s="836"/>
      <c r="GG291" s="836"/>
      <c r="GH291" s="836"/>
      <c r="GI291" s="836"/>
      <c r="GJ291" s="836"/>
      <c r="GK291" s="836"/>
      <c r="GL291" s="836"/>
      <c r="GM291" s="836"/>
      <c r="GN291" s="836"/>
      <c r="GO291" s="836"/>
      <c r="GP291" s="836"/>
      <c r="GQ291" s="836"/>
      <c r="GR291" s="836"/>
      <c r="GS291" s="836"/>
      <c r="GT291" s="836"/>
      <c r="GU291" s="836"/>
      <c r="GV291" s="836"/>
      <c r="GW291" s="836"/>
      <c r="GX291" s="836"/>
      <c r="GY291" s="836"/>
      <c r="GZ291" s="836"/>
      <c r="HA291" s="836"/>
      <c r="HB291" s="836"/>
      <c r="HC291" s="836"/>
      <c r="HD291" s="836"/>
      <c r="HE291" s="836"/>
      <c r="HF291" s="836"/>
      <c r="HG291" s="836"/>
      <c r="HH291" s="836"/>
      <c r="HI291" s="836"/>
      <c r="HJ291" s="836"/>
      <c r="HK291" s="836"/>
      <c r="HL291" s="836"/>
      <c r="HM291" s="836"/>
      <c r="HN291" s="836"/>
      <c r="HO291" s="836"/>
      <c r="HP291" s="836"/>
      <c r="HQ291" s="836"/>
      <c r="HR291" s="836"/>
      <c r="HS291" s="836"/>
      <c r="HT291" s="836"/>
      <c r="HU291" s="836"/>
      <c r="HV291" s="836"/>
      <c r="HW291" s="836"/>
      <c r="HX291" s="836"/>
      <c r="HY291" s="836"/>
      <c r="HZ291" s="279"/>
      <c r="IJ291" s="327"/>
      <c r="KT291" s="280"/>
      <c r="KU291" s="279"/>
    </row>
    <row r="292" spans="1:307" hidden="1" outlineLevel="1">
      <c r="D292" s="316" t="s">
        <v>453</v>
      </c>
      <c r="E292" s="293"/>
      <c r="F292" s="293"/>
      <c r="G292" s="293"/>
      <c r="H292" s="293"/>
      <c r="I292" s="293"/>
      <c r="J292" s="293"/>
      <c r="K292" s="293"/>
      <c r="L292" s="293"/>
      <c r="M292" s="293"/>
      <c r="N292" s="293"/>
      <c r="O292" s="293"/>
      <c r="P292" s="293"/>
      <c r="Q292" s="293"/>
      <c r="R292" s="293"/>
      <c r="S292" s="293"/>
      <c r="T292" s="293"/>
      <c r="U292" s="293"/>
      <c r="V292" s="293"/>
      <c r="W292" s="293"/>
      <c r="X292" s="293"/>
      <c r="Y292" s="29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c r="BN292" s="293"/>
      <c r="BO292" s="293"/>
      <c r="BP292" s="293"/>
      <c r="BQ292" s="293"/>
      <c r="BR292" s="293"/>
      <c r="BS292" s="293"/>
      <c r="BT292" s="293"/>
      <c r="BU292" s="293"/>
      <c r="BV292" s="293"/>
      <c r="BW292" s="293"/>
      <c r="BX292" s="293"/>
      <c r="BY292" s="293"/>
      <c r="BZ292" s="293"/>
      <c r="CA292" s="293"/>
      <c r="CB292" s="293"/>
      <c r="CC292" s="293"/>
      <c r="CD292" s="293"/>
      <c r="CE292" s="294">
        <v>4.1218678119999996</v>
      </c>
      <c r="CF292" s="293">
        <v>3.0527925360000001</v>
      </c>
      <c r="CG292" s="293">
        <v>4.3797581149999996</v>
      </c>
      <c r="CH292" s="293">
        <v>8.201250924</v>
      </c>
      <c r="CI292" s="293">
        <v>4.6632914940000001</v>
      </c>
      <c r="CJ292" s="293">
        <v>9.5954992279999995</v>
      </c>
      <c r="CK292" s="293">
        <v>19.788627708</v>
      </c>
      <c r="CL292" s="293">
        <v>9.3291781070000006</v>
      </c>
      <c r="CM292" s="293">
        <v>3.9728699330000001</v>
      </c>
      <c r="CN292" s="293">
        <v>36.040940083999999</v>
      </c>
      <c r="CO292" s="293">
        <v>10.388191089999999</v>
      </c>
      <c r="CP292" s="295">
        <v>5.5742181420000003</v>
      </c>
      <c r="CQ292" s="293">
        <v>8.1239777909999997</v>
      </c>
      <c r="CR292" s="293">
        <v>8.1626322439999992</v>
      </c>
      <c r="CS292" s="293">
        <v>17.633937930999998</v>
      </c>
      <c r="CT292" s="293">
        <v>4.3200615000000004</v>
      </c>
      <c r="CU292" s="293">
        <v>13.312885845</v>
      </c>
      <c r="CV292" s="293">
        <v>10.796285337</v>
      </c>
      <c r="CW292" s="293">
        <v>6.00273915</v>
      </c>
      <c r="CX292" s="293">
        <v>16.521865980000001</v>
      </c>
      <c r="CY292" s="293">
        <v>26.299949222999999</v>
      </c>
      <c r="CZ292" s="293">
        <v>28.379187033000001</v>
      </c>
      <c r="DA292" s="293">
        <v>18.037174863000001</v>
      </c>
      <c r="DB292" s="1288">
        <v>3.872886458</v>
      </c>
      <c r="DC292" s="293">
        <v>20.031666439999999</v>
      </c>
      <c r="DD292" s="293">
        <v>5.7584803439999996</v>
      </c>
      <c r="DE292" s="293">
        <v>15.547081670000001</v>
      </c>
      <c r="DF292" s="293">
        <v>21.488628049999999</v>
      </c>
      <c r="DG292" s="293">
        <v>9.0915347850000003</v>
      </c>
      <c r="DH292" s="293">
        <v>5.0807362579999999</v>
      </c>
      <c r="DI292" s="293">
        <v>27.308649025999998</v>
      </c>
      <c r="DJ292" s="293">
        <v>5.5587548150000003</v>
      </c>
      <c r="DK292" s="293">
        <v>9.5034078399999995</v>
      </c>
      <c r="DL292" s="293">
        <v>8.7388416339999999</v>
      </c>
      <c r="DM292" s="293">
        <v>11.420979965000001</v>
      </c>
      <c r="DN292" s="295">
        <v>6.4115301990000004</v>
      </c>
      <c r="DO292" s="293">
        <v>17.830386839999999</v>
      </c>
      <c r="DP292" s="293">
        <v>24.458453924000001</v>
      </c>
      <c r="DQ292" s="293">
        <v>8.9936596830000006</v>
      </c>
      <c r="DR292" s="293">
        <v>18.029543111999999</v>
      </c>
      <c r="DS292" s="293">
        <v>13.747938799</v>
      </c>
      <c r="DT292" s="293">
        <v>20.318674549000001</v>
      </c>
      <c r="DU292" s="293">
        <v>15.032641369</v>
      </c>
      <c r="DV292" s="293">
        <v>8.3836660419999998</v>
      </c>
      <c r="DW292" s="293">
        <v>5.2430148010000002</v>
      </c>
      <c r="DX292" s="293">
        <v>15.108378704</v>
      </c>
      <c r="DY292" s="293">
        <v>11.246329053</v>
      </c>
      <c r="DZ292" s="295">
        <v>0.96119616600000002</v>
      </c>
      <c r="EA292" s="293">
        <v>25.872880681000002</v>
      </c>
      <c r="EB292" s="293">
        <v>12.925111099</v>
      </c>
      <c r="EC292" s="293">
        <v>25.854006870999999</v>
      </c>
      <c r="ED292" s="293">
        <v>33.279234199000001</v>
      </c>
      <c r="EE292" s="293">
        <v>14.314430412</v>
      </c>
      <c r="EF292" s="293">
        <v>11.712284659</v>
      </c>
      <c r="EG292" s="293">
        <v>8.7310083279999997</v>
      </c>
      <c r="EH292" s="293">
        <v>7.6339070710000003</v>
      </c>
      <c r="EI292" s="293">
        <v>11.585520362</v>
      </c>
      <c r="EJ292" s="293">
        <v>11.433172015</v>
      </c>
      <c r="EK292" s="293">
        <v>14.617660114</v>
      </c>
      <c r="EL292" s="295">
        <v>3.8799066940000002</v>
      </c>
      <c r="EM292" s="1080">
        <v>5.6727965129999998</v>
      </c>
      <c r="EN292" s="1080">
        <v>33.740439352000003</v>
      </c>
      <c r="EO292" s="1080">
        <v>13.793889009999999</v>
      </c>
      <c r="EP292" s="1080">
        <v>25.71266228</v>
      </c>
      <c r="EQ292" s="1080">
        <v>16.995882278</v>
      </c>
      <c r="ER292" s="1080">
        <v>16.054394511000002</v>
      </c>
      <c r="ES292" s="1080">
        <v>11.724667692000001</v>
      </c>
      <c r="ET292" s="1080">
        <v>5.7211090220000003</v>
      </c>
      <c r="EU292" s="1080">
        <v>34.580441728499999</v>
      </c>
      <c r="EV292" s="1080">
        <v>32.951912861500006</v>
      </c>
      <c r="EW292" s="1080">
        <v>18.7012586315</v>
      </c>
      <c r="EX292" s="1340">
        <v>22.049723595500001</v>
      </c>
      <c r="EY292" s="1080"/>
      <c r="EZ292" s="1080"/>
      <c r="FA292" s="1080"/>
      <c r="FB292" s="1080"/>
      <c r="FC292" s="1080"/>
      <c r="FD292" s="1080"/>
      <c r="FE292" s="1080"/>
      <c r="FF292" s="1080"/>
      <c r="FG292" s="1080"/>
      <c r="FH292" s="1080"/>
      <c r="FI292" s="1080"/>
      <c r="FJ292" s="1340"/>
      <c r="FK292" s="1080"/>
      <c r="FL292" s="1080"/>
      <c r="FM292" s="1080"/>
      <c r="FN292" s="1080"/>
      <c r="FO292" s="1080"/>
      <c r="FP292" s="1080"/>
      <c r="FQ292" s="293"/>
      <c r="FR292" s="293"/>
      <c r="FS292" s="293"/>
      <c r="FT292" s="293"/>
      <c r="FU292" s="293"/>
      <c r="FV292" s="293"/>
      <c r="FW292" s="293"/>
      <c r="FX292" s="293"/>
      <c r="FY292" s="293"/>
      <c r="FZ292" s="293"/>
      <c r="GA292" s="293"/>
      <c r="GB292" s="293"/>
      <c r="GC292" s="293"/>
      <c r="GD292" s="293"/>
      <c r="GE292" s="293"/>
      <c r="GF292" s="293"/>
      <c r="GG292" s="293"/>
      <c r="GH292" s="293"/>
      <c r="GI292" s="293"/>
      <c r="GJ292" s="293"/>
      <c r="GK292" s="293"/>
      <c r="GL292" s="293"/>
      <c r="GM292" s="293"/>
      <c r="GN292" s="293"/>
      <c r="GO292" s="293"/>
      <c r="GP292" s="293"/>
      <c r="GQ292" s="293"/>
      <c r="GR292" s="293"/>
      <c r="GS292" s="293"/>
      <c r="GT292" s="293"/>
      <c r="GU292" s="293"/>
      <c r="GV292" s="293"/>
      <c r="GW292" s="293"/>
      <c r="GX292" s="293"/>
      <c r="GY292" s="293"/>
      <c r="GZ292" s="293"/>
      <c r="HA292" s="293"/>
      <c r="HB292" s="293"/>
      <c r="HC292" s="293"/>
      <c r="HD292" s="293"/>
      <c r="HE292" s="293"/>
      <c r="HF292" s="293"/>
      <c r="HG292" s="293"/>
      <c r="HH292" s="293"/>
      <c r="HI292" s="293"/>
      <c r="HJ292" s="293"/>
      <c r="HK292" s="293"/>
      <c r="HL292" s="293"/>
      <c r="HM292" s="293"/>
      <c r="HN292" s="293"/>
      <c r="HO292" s="293"/>
      <c r="HP292" s="293"/>
      <c r="HQ292" s="293"/>
      <c r="HR292" s="293"/>
      <c r="HS292" s="293"/>
      <c r="HT292" s="293"/>
      <c r="HU292" s="293"/>
      <c r="HV292" s="293"/>
      <c r="HW292" s="293"/>
      <c r="HX292" s="293"/>
      <c r="HY292" s="293"/>
      <c r="IK292" s="279">
        <f>SUM(DO292:DT292)</f>
        <v>103.37865690699999</v>
      </c>
      <c r="KT292" s="280"/>
    </row>
    <row r="293" spans="1:307" hidden="1" outlineLevel="1">
      <c r="A293" s="96" t="s">
        <v>878</v>
      </c>
      <c r="B293" s="96" t="s">
        <v>338</v>
      </c>
      <c r="D293" s="297" t="s">
        <v>1054</v>
      </c>
      <c r="E293" s="293"/>
      <c r="F293" s="293"/>
      <c r="G293" s="293"/>
      <c r="H293" s="293"/>
      <c r="I293" s="293"/>
      <c r="J293" s="293"/>
      <c r="K293" s="293"/>
      <c r="L293" s="293"/>
      <c r="M293" s="293"/>
      <c r="N293" s="293"/>
      <c r="O293" s="293"/>
      <c r="P293" s="293"/>
      <c r="Q293" s="293"/>
      <c r="R293" s="293"/>
      <c r="S293" s="293"/>
      <c r="T293" s="293"/>
      <c r="U293" s="293"/>
      <c r="V293" s="293"/>
      <c r="W293" s="293"/>
      <c r="X293" s="293"/>
      <c r="Y293" s="29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c r="BN293" s="293"/>
      <c r="BO293" s="293"/>
      <c r="BP293" s="293"/>
      <c r="BQ293" s="293"/>
      <c r="BR293" s="293"/>
      <c r="BS293" s="293"/>
      <c r="BT293" s="293"/>
      <c r="BU293" s="293"/>
      <c r="BV293" s="293"/>
      <c r="BW293" s="293"/>
      <c r="BX293" s="293"/>
      <c r="BY293" s="293"/>
      <c r="BZ293" s="293"/>
      <c r="CA293" s="293"/>
      <c r="CB293" s="293"/>
      <c r="CC293" s="293"/>
      <c r="CD293" s="293"/>
      <c r="CE293" s="294">
        <v>0.50456340899999996</v>
      </c>
      <c r="CF293" s="293">
        <v>1.7476063589999999</v>
      </c>
      <c r="CG293" s="293">
        <v>2.5078438830000001</v>
      </c>
      <c r="CH293" s="293">
        <v>4.2796865100000003</v>
      </c>
      <c r="CI293" s="293">
        <v>1.984140751</v>
      </c>
      <c r="CJ293" s="293">
        <v>8.8832548409999994</v>
      </c>
      <c r="CK293" s="293">
        <v>17.122658194</v>
      </c>
      <c r="CL293" s="293">
        <v>5.8810547279999996</v>
      </c>
      <c r="CM293" s="293">
        <v>2.0204277400000001</v>
      </c>
      <c r="CN293" s="293">
        <v>32.840357654000002</v>
      </c>
      <c r="CO293" s="293">
        <v>6.1217295199999997</v>
      </c>
      <c r="CP293" s="295">
        <v>4.6989858790000003</v>
      </c>
      <c r="CQ293" s="293">
        <v>3.3069556549999999</v>
      </c>
      <c r="CR293" s="293">
        <v>6.4042622419999997</v>
      </c>
      <c r="CS293" s="293">
        <v>16.276444960999999</v>
      </c>
      <c r="CT293" s="293">
        <v>2.5757698800000002</v>
      </c>
      <c r="CU293" s="293">
        <v>11.361395821</v>
      </c>
      <c r="CV293" s="293">
        <v>8.9995893299999992</v>
      </c>
      <c r="CW293" s="293">
        <v>4.5673420480000004</v>
      </c>
      <c r="CX293" s="293">
        <v>15.067308116</v>
      </c>
      <c r="CY293" s="293">
        <v>21.316740576000001</v>
      </c>
      <c r="CZ293" s="293">
        <v>23.350845295999999</v>
      </c>
      <c r="DA293" s="293">
        <v>13.842407558</v>
      </c>
      <c r="DB293" s="1288">
        <v>2.6777527449999998</v>
      </c>
      <c r="DC293" s="293">
        <v>17.737972109000001</v>
      </c>
      <c r="DD293" s="293">
        <v>4.4097133079999997</v>
      </c>
      <c r="DE293" s="293">
        <v>13.657923759999999</v>
      </c>
      <c r="DF293" s="293">
        <v>17.11311074</v>
      </c>
      <c r="DG293" s="293">
        <v>7.0939463659999999</v>
      </c>
      <c r="DH293" s="293">
        <v>3.497748745</v>
      </c>
      <c r="DI293" s="293">
        <v>23.813975739</v>
      </c>
      <c r="DJ293" s="293">
        <v>2.792332053</v>
      </c>
      <c r="DK293" s="293">
        <v>7.4808230059999996</v>
      </c>
      <c r="DL293" s="293">
        <v>13.848432197999999</v>
      </c>
      <c r="DM293" s="293">
        <v>9.0590336780000005</v>
      </c>
      <c r="DN293" s="295">
        <v>7.3517119559999999</v>
      </c>
      <c r="DO293" s="293">
        <v>16.004670951000001</v>
      </c>
      <c r="DP293" s="293">
        <v>22.695920107999999</v>
      </c>
      <c r="DQ293" s="293">
        <v>8.208668393</v>
      </c>
      <c r="DR293" s="293">
        <v>14.774478496</v>
      </c>
      <c r="DS293" s="293">
        <v>12.192076373000001</v>
      </c>
      <c r="DT293" s="293">
        <v>17.985155098</v>
      </c>
      <c r="DU293" s="293">
        <v>12.935356780999999</v>
      </c>
      <c r="DV293" s="293">
        <v>4.7429380810000001</v>
      </c>
      <c r="DW293" s="293">
        <v>4.727136539</v>
      </c>
      <c r="DX293" s="293">
        <v>7.9464688419999998</v>
      </c>
      <c r="DY293" s="293">
        <v>5.5027702610000002</v>
      </c>
      <c r="DZ293" s="295">
        <v>0.43582214100000005</v>
      </c>
      <c r="EA293" s="293">
        <v>22.346125575999999</v>
      </c>
      <c r="EB293" s="293">
        <v>11.357354151999999</v>
      </c>
      <c r="EC293" s="293">
        <v>24.795617952000001</v>
      </c>
      <c r="ED293" s="293">
        <v>28.623205810000002</v>
      </c>
      <c r="EE293" s="293">
        <v>12.447309749</v>
      </c>
      <c r="EF293" s="293">
        <v>10.951594114000001</v>
      </c>
      <c r="EG293" s="293">
        <v>2.6845931360000002</v>
      </c>
      <c r="EH293" s="293">
        <v>3.77043778</v>
      </c>
      <c r="EI293" s="293">
        <v>6.889388587</v>
      </c>
      <c r="EJ293" s="293">
        <v>7.4604991099999998</v>
      </c>
      <c r="EK293" s="293">
        <v>11.488189165</v>
      </c>
      <c r="EL293" s="295">
        <v>2.9563233879999999</v>
      </c>
      <c r="EM293" s="1105">
        <v>3.9337860079999998</v>
      </c>
      <c r="EN293" s="1105">
        <v>31.859930555999998</v>
      </c>
      <c r="EO293" s="1105">
        <v>12.333831847000001</v>
      </c>
      <c r="EP293" s="1105">
        <v>22.787231059</v>
      </c>
      <c r="EQ293" s="1105">
        <v>13.611195721</v>
      </c>
      <c r="ER293" s="1105">
        <v>11.547436397</v>
      </c>
      <c r="ES293" s="1105">
        <v>6.8268359780000001</v>
      </c>
      <c r="ET293" s="1105">
        <v>3.4691243489999999</v>
      </c>
      <c r="EU293" s="1105">
        <v>34.067866636000005</v>
      </c>
      <c r="EV293" s="1105">
        <v>32.439337769000005</v>
      </c>
      <c r="EW293" s="1105">
        <v>18.188683538999999</v>
      </c>
      <c r="EX293" s="1363">
        <v>21.537148503000001</v>
      </c>
      <c r="EY293" s="1080"/>
      <c r="EZ293" s="1080"/>
      <c r="FA293" s="1080"/>
      <c r="FB293" s="1080"/>
      <c r="FC293" s="1080"/>
      <c r="FD293" s="1080"/>
      <c r="FE293" s="1080"/>
      <c r="FF293" s="1080"/>
      <c r="FG293" s="1080"/>
      <c r="FH293" s="1080"/>
      <c r="FI293" s="1080"/>
      <c r="FJ293" s="1340"/>
      <c r="FK293" s="1080"/>
      <c r="FL293" s="1080"/>
      <c r="FM293" s="1080"/>
      <c r="FN293" s="1080"/>
      <c r="FO293" s="1080"/>
      <c r="FP293" s="1080"/>
      <c r="FQ293" s="293"/>
      <c r="FR293" s="293"/>
      <c r="FS293" s="293"/>
      <c r="FT293" s="293"/>
      <c r="FU293" s="293"/>
      <c r="FV293" s="293"/>
      <c r="FW293" s="293"/>
      <c r="FX293" s="293"/>
      <c r="FY293" s="293"/>
      <c r="FZ293" s="293"/>
      <c r="GA293" s="293"/>
      <c r="GB293" s="293"/>
      <c r="GC293" s="293"/>
      <c r="GD293" s="293"/>
      <c r="GE293" s="293"/>
      <c r="GF293" s="293"/>
      <c r="GG293" s="293"/>
      <c r="GH293" s="293"/>
      <c r="GI293" s="293"/>
      <c r="GJ293" s="293"/>
      <c r="GK293" s="293"/>
      <c r="GL293" s="293"/>
      <c r="GM293" s="293"/>
      <c r="GN293" s="293"/>
      <c r="GO293" s="293"/>
      <c r="GP293" s="293"/>
      <c r="GQ293" s="293"/>
      <c r="GR293" s="293"/>
      <c r="GS293" s="293"/>
      <c r="GT293" s="293"/>
      <c r="GU293" s="293"/>
      <c r="GV293" s="293"/>
      <c r="GW293" s="293"/>
      <c r="GX293" s="293"/>
      <c r="GY293" s="293"/>
      <c r="GZ293" s="293"/>
      <c r="HA293" s="293"/>
      <c r="HB293" s="293"/>
      <c r="HC293" s="293"/>
      <c r="HD293" s="293"/>
      <c r="HE293" s="293"/>
      <c r="HF293" s="293"/>
      <c r="HG293" s="293"/>
      <c r="HH293" s="293"/>
      <c r="HI293" s="293"/>
      <c r="HJ293" s="293"/>
      <c r="HK293" s="293"/>
      <c r="HL293" s="293"/>
      <c r="HM293" s="293"/>
      <c r="HN293" s="293"/>
      <c r="HO293" s="293"/>
      <c r="HP293" s="293"/>
      <c r="HQ293" s="293"/>
      <c r="HR293" s="293"/>
      <c r="HS293" s="293"/>
      <c r="HT293" s="293"/>
      <c r="HU293" s="293"/>
      <c r="HV293" s="293"/>
      <c r="HW293" s="293"/>
      <c r="HX293" s="293"/>
      <c r="HY293" s="293"/>
      <c r="IK293" s="279">
        <f>SUM(DO293:DT293)</f>
        <v>91.860969419000014</v>
      </c>
      <c r="KT293" s="280"/>
    </row>
    <row r="294" spans="1:307" hidden="1" outlineLevel="1">
      <c r="B294" s="96" t="s">
        <v>338</v>
      </c>
      <c r="D294" s="297" t="s">
        <v>454</v>
      </c>
      <c r="E294" s="293"/>
      <c r="F294" s="293"/>
      <c r="G294" s="293"/>
      <c r="H294" s="293"/>
      <c r="I294" s="293"/>
      <c r="J294" s="293"/>
      <c r="K294" s="293"/>
      <c r="L294" s="293"/>
      <c r="M294" s="293"/>
      <c r="N294" s="293"/>
      <c r="O294" s="293"/>
      <c r="P294" s="293"/>
      <c r="Q294" s="293"/>
      <c r="R294" s="293"/>
      <c r="S294" s="293"/>
      <c r="T294" s="293"/>
      <c r="U294" s="293"/>
      <c r="V294" s="293"/>
      <c r="W294" s="293"/>
      <c r="X294" s="293"/>
      <c r="Y294" s="29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c r="BN294" s="293"/>
      <c r="BO294" s="293"/>
      <c r="BP294" s="293"/>
      <c r="BQ294" s="293"/>
      <c r="BR294" s="293"/>
      <c r="BS294" s="293"/>
      <c r="BT294" s="293"/>
      <c r="BU294" s="293"/>
      <c r="BV294" s="293"/>
      <c r="BW294" s="293"/>
      <c r="BX294" s="293"/>
      <c r="BY294" s="293"/>
      <c r="BZ294" s="293"/>
      <c r="CA294" s="293"/>
      <c r="CB294" s="293"/>
      <c r="CC294" s="293"/>
      <c r="CD294" s="293"/>
      <c r="CE294" s="294">
        <v>3.2977603279999999</v>
      </c>
      <c r="CF294" s="293">
        <v>0.98312016899999999</v>
      </c>
      <c r="CG294" s="293">
        <v>1.6299203170000001</v>
      </c>
      <c r="CH294" s="293">
        <v>3.2214061530000002</v>
      </c>
      <c r="CI294" s="293">
        <v>2.0843482959999999</v>
      </c>
      <c r="CJ294" s="293">
        <v>8.0249717999999998E-2</v>
      </c>
      <c r="CK294" s="293">
        <v>2.4277355690000002</v>
      </c>
      <c r="CL294" s="293">
        <v>3.1378533200000001</v>
      </c>
      <c r="CM294" s="293">
        <v>1.7430949929999999</v>
      </c>
      <c r="CN294" s="293">
        <v>2.8110625219999998</v>
      </c>
      <c r="CO294" s="293">
        <v>3.7248062860000002</v>
      </c>
      <c r="CP294" s="295">
        <v>0.117453643</v>
      </c>
      <c r="CQ294" s="293">
        <v>4.7076895849999998</v>
      </c>
      <c r="CR294" s="293">
        <v>1.484837527</v>
      </c>
      <c r="CS294" s="293">
        <v>1.0334999499999999</v>
      </c>
      <c r="CT294" s="293">
        <v>1.227770359</v>
      </c>
      <c r="CU294" s="293">
        <v>1.4919316929999999</v>
      </c>
      <c r="CV294" s="293">
        <v>1.3295058470000001</v>
      </c>
      <c r="CW294" s="293">
        <v>0.96740195799999995</v>
      </c>
      <c r="CX294" s="293">
        <v>1.1926800040000001</v>
      </c>
      <c r="CY294" s="293">
        <v>4.5218385740000002</v>
      </c>
      <c r="CZ294" s="293">
        <v>4.6592218299999999</v>
      </c>
      <c r="DA294" s="293">
        <v>3.8439886759999999</v>
      </c>
      <c r="DB294" s="1288">
        <v>0.316585595</v>
      </c>
      <c r="DC294" s="293">
        <v>2.0785957609999999</v>
      </c>
      <c r="DD294" s="293">
        <v>1.013019814</v>
      </c>
      <c r="DE294" s="293">
        <v>1.679942531</v>
      </c>
      <c r="DF294" s="293">
        <v>3.8260517589999998</v>
      </c>
      <c r="DG294" s="293">
        <v>1.7588236859999999</v>
      </c>
      <c r="DH294" s="293">
        <v>1.206725469</v>
      </c>
      <c r="DI294" s="293">
        <v>3.183438631</v>
      </c>
      <c r="DJ294" s="293">
        <v>2.5440392649999999</v>
      </c>
      <c r="DK294" s="293">
        <v>2.5123295890000001</v>
      </c>
      <c r="DL294" s="293">
        <v>5.1677136470000002</v>
      </c>
      <c r="DM294" s="293">
        <v>1.919365505</v>
      </c>
      <c r="DN294" s="295">
        <v>8.9281018000000004E-2</v>
      </c>
      <c r="DO294" s="293">
        <v>1.663015777</v>
      </c>
      <c r="DP294" s="293">
        <v>1.636151197</v>
      </c>
      <c r="DQ294" s="293">
        <v>0.465051675</v>
      </c>
      <c r="DR294" s="293">
        <v>3.1853889560000002</v>
      </c>
      <c r="DS294" s="293">
        <v>1.3625779570000001</v>
      </c>
      <c r="DT294" s="293">
        <v>1.993680144</v>
      </c>
      <c r="DU294" s="293">
        <v>1.9732281599999999</v>
      </c>
      <c r="DV294" s="293">
        <v>3.4378741449999999</v>
      </c>
      <c r="DW294" s="293">
        <v>0.35597105800000001</v>
      </c>
      <c r="DX294" s="293">
        <v>6.7384860499999997</v>
      </c>
      <c r="DY294" s="293">
        <v>5.5133531920000003</v>
      </c>
      <c r="DZ294" s="295">
        <v>0.214645112</v>
      </c>
      <c r="EA294" s="293">
        <v>3.4428360140000001</v>
      </c>
      <c r="EB294" s="293">
        <v>1.4038838730000001</v>
      </c>
      <c r="EC294" s="293">
        <v>0.89195627099999997</v>
      </c>
      <c r="ED294" s="293">
        <v>4.2184349839999999</v>
      </c>
      <c r="EE294" s="293">
        <v>1.6175866320000001</v>
      </c>
      <c r="EF294" s="293">
        <v>0.59496847799999997</v>
      </c>
      <c r="EG294" s="293">
        <v>5.7378195459999999</v>
      </c>
      <c r="EH294" s="293">
        <v>3.322141496</v>
      </c>
      <c r="EI294" s="293">
        <v>4.3754322779999999</v>
      </c>
      <c r="EJ294" s="293">
        <v>3.8449640920000001</v>
      </c>
      <c r="EK294" s="293">
        <v>2.8300768230000002</v>
      </c>
      <c r="EL294" s="295">
        <v>0.15571638600000001</v>
      </c>
      <c r="EM294" s="1080">
        <v>1.4293233009999999</v>
      </c>
      <c r="EN294" s="1080">
        <v>1.616375925</v>
      </c>
      <c r="EO294" s="1080">
        <v>1.2355409150000001</v>
      </c>
      <c r="EP294" s="1080">
        <v>2.5893228829999999</v>
      </c>
      <c r="EQ294" s="1080">
        <v>3.1457423200000001</v>
      </c>
      <c r="ER294" s="1080">
        <v>4.1453405419999996</v>
      </c>
      <c r="ES294" s="1080">
        <v>4.5069167510000003</v>
      </c>
      <c r="ET294" s="1080">
        <v>1.869392409</v>
      </c>
      <c r="EU294" s="1080">
        <v>0.43625127749999998</v>
      </c>
      <c r="EV294" s="1080">
        <v>0.43625127749999998</v>
      </c>
      <c r="EW294" s="1080">
        <v>0.43625127749999998</v>
      </c>
      <c r="EX294" s="1340">
        <v>0.43625127749999998</v>
      </c>
      <c r="EY294" s="1080"/>
      <c r="EZ294" s="1080"/>
      <c r="FA294" s="1080"/>
      <c r="FB294" s="1080"/>
      <c r="FC294" s="1080"/>
      <c r="FD294" s="1080"/>
      <c r="FE294" s="1080"/>
      <c r="FF294" s="1080"/>
      <c r="FG294" s="1080"/>
      <c r="FH294" s="1080"/>
      <c r="FI294" s="1080"/>
      <c r="FJ294" s="1340"/>
      <c r="FK294" s="1080"/>
      <c r="FL294" s="1080"/>
      <c r="FM294" s="1080"/>
      <c r="FN294" s="1080"/>
      <c r="FO294" s="1080"/>
      <c r="FP294" s="1080"/>
      <c r="FQ294" s="293"/>
      <c r="FR294" s="293"/>
      <c r="FS294" s="293"/>
      <c r="FT294" s="293"/>
      <c r="FU294" s="293"/>
      <c r="FV294" s="293"/>
      <c r="FW294" s="293"/>
      <c r="FX294" s="293"/>
      <c r="FY294" s="293"/>
      <c r="FZ294" s="293"/>
      <c r="GA294" s="293"/>
      <c r="GB294" s="293"/>
      <c r="GC294" s="293"/>
      <c r="GD294" s="293"/>
      <c r="GE294" s="293"/>
      <c r="GF294" s="293"/>
      <c r="GG294" s="293"/>
      <c r="GH294" s="293"/>
      <c r="GI294" s="293"/>
      <c r="GJ294" s="293"/>
      <c r="GK294" s="293"/>
      <c r="GL294" s="293"/>
      <c r="GM294" s="293"/>
      <c r="GN294" s="293"/>
      <c r="GO294" s="293"/>
      <c r="GP294" s="293"/>
      <c r="GQ294" s="293"/>
      <c r="GR294" s="293"/>
      <c r="GS294" s="293"/>
      <c r="GT294" s="293"/>
      <c r="GU294" s="293"/>
      <c r="GV294" s="293"/>
      <c r="GW294" s="293"/>
      <c r="GX294" s="293"/>
      <c r="GY294" s="293"/>
      <c r="GZ294" s="293"/>
      <c r="HA294" s="293"/>
      <c r="HB294" s="293"/>
      <c r="HC294" s="293"/>
      <c r="HD294" s="293"/>
      <c r="HE294" s="293"/>
      <c r="HF294" s="293"/>
      <c r="HG294" s="293"/>
      <c r="HH294" s="293"/>
      <c r="HI294" s="293"/>
      <c r="HJ294" s="293"/>
      <c r="HK294" s="293"/>
      <c r="HL294" s="293"/>
      <c r="HM294" s="293"/>
      <c r="HN294" s="293"/>
      <c r="HO294" s="293"/>
      <c r="HP294" s="293"/>
      <c r="HQ294" s="293"/>
      <c r="HR294" s="293"/>
      <c r="HS294" s="293"/>
      <c r="HT294" s="293"/>
      <c r="HU294" s="293"/>
      <c r="HV294" s="293"/>
      <c r="HW294" s="293"/>
      <c r="HX294" s="293"/>
      <c r="HY294" s="293"/>
      <c r="IK294" s="279">
        <f>SUM(DO294:DT294)</f>
        <v>10.305865706000001</v>
      </c>
      <c r="KT294" s="280"/>
    </row>
    <row r="295" spans="1:307" hidden="1" outlineLevel="1">
      <c r="B295" s="96" t="s">
        <v>338</v>
      </c>
      <c r="D295" s="297" t="s">
        <v>455</v>
      </c>
      <c r="E295" s="293"/>
      <c r="F295" s="293"/>
      <c r="G295" s="293"/>
      <c r="H295" s="293"/>
      <c r="I295" s="293"/>
      <c r="J295" s="293"/>
      <c r="K295" s="293"/>
      <c r="L295" s="293"/>
      <c r="M295" s="293"/>
      <c r="N295" s="293"/>
      <c r="O295" s="293"/>
      <c r="P295" s="293"/>
      <c r="Q295" s="293"/>
      <c r="R295" s="293"/>
      <c r="S295" s="293"/>
      <c r="T295" s="293"/>
      <c r="U295" s="293"/>
      <c r="V295" s="293"/>
      <c r="W295" s="293"/>
      <c r="X295" s="293"/>
      <c r="Y295" s="29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c r="BN295" s="293"/>
      <c r="BO295" s="293"/>
      <c r="BP295" s="293"/>
      <c r="BQ295" s="293"/>
      <c r="BR295" s="293"/>
      <c r="BS295" s="293"/>
      <c r="BT295" s="293"/>
      <c r="BU295" s="293"/>
      <c r="BV295" s="293"/>
      <c r="BW295" s="293"/>
      <c r="BX295" s="293"/>
      <c r="BY295" s="293"/>
      <c r="BZ295" s="293"/>
      <c r="CA295" s="293"/>
      <c r="CB295" s="293"/>
      <c r="CC295" s="293"/>
      <c r="CD295" s="293"/>
      <c r="CE295" s="294">
        <v>0.31954407499999998</v>
      </c>
      <c r="CF295" s="293">
        <v>0.32206600800000001</v>
      </c>
      <c r="CG295" s="293">
        <v>0.241993915</v>
      </c>
      <c r="CH295" s="293">
        <v>0.700158261</v>
      </c>
      <c r="CI295" s="293">
        <v>0.59480244699999996</v>
      </c>
      <c r="CJ295" s="293">
        <v>0.63199466900000001</v>
      </c>
      <c r="CK295" s="293">
        <v>0.238233945</v>
      </c>
      <c r="CL295" s="293">
        <v>0.31027005899999999</v>
      </c>
      <c r="CM295" s="293">
        <v>0.20934720000000001</v>
      </c>
      <c r="CN295" s="293">
        <v>0.38951990800000003</v>
      </c>
      <c r="CO295" s="293">
        <v>0.54165528399999996</v>
      </c>
      <c r="CP295" s="295">
        <v>0.75777861999999996</v>
      </c>
      <c r="CQ295" s="293">
        <v>0.109332551</v>
      </c>
      <c r="CR295" s="293">
        <v>0.273532475</v>
      </c>
      <c r="CS295" s="293">
        <v>0.32399302000000002</v>
      </c>
      <c r="CT295" s="293">
        <v>0.51652126099999995</v>
      </c>
      <c r="CU295" s="293">
        <v>0.45955833099999999</v>
      </c>
      <c r="CV295" s="293">
        <v>0.46719016000000002</v>
      </c>
      <c r="CW295" s="293">
        <v>0.46799514399999997</v>
      </c>
      <c r="CX295" s="293">
        <v>0.26187786000000002</v>
      </c>
      <c r="CY295" s="293">
        <v>0.46137007299999999</v>
      </c>
      <c r="CZ295" s="293">
        <v>0.36911990700000002</v>
      </c>
      <c r="DA295" s="293">
        <v>0.35077862900000001</v>
      </c>
      <c r="DB295" s="1288">
        <v>0.87854811799999999</v>
      </c>
      <c r="DC295" s="293">
        <v>0.21509856999999999</v>
      </c>
      <c r="DD295" s="293">
        <v>0.33574722200000001</v>
      </c>
      <c r="DE295" s="293">
        <v>0.20921537900000001</v>
      </c>
      <c r="DF295" s="293">
        <v>0.54946555100000005</v>
      </c>
      <c r="DG295" s="293">
        <v>0.23876473300000001</v>
      </c>
      <c r="DH295" s="293">
        <v>0.37626204400000002</v>
      </c>
      <c r="DI295" s="293">
        <v>0.311234656</v>
      </c>
      <c r="DJ295" s="293">
        <v>0.22238349700000001</v>
      </c>
      <c r="DK295" s="293">
        <v>0.44589663800000001</v>
      </c>
      <c r="DL295" s="293">
        <v>0.45821742900000001</v>
      </c>
      <c r="DM295" s="293">
        <v>0.44258078200000001</v>
      </c>
      <c r="DN295" s="295">
        <v>0.57106979000000002</v>
      </c>
      <c r="DO295" s="293">
        <v>0.16270011200000001</v>
      </c>
      <c r="DP295" s="293">
        <v>0.126382619</v>
      </c>
      <c r="DQ295" s="293">
        <v>0.31993961500000001</v>
      </c>
      <c r="DR295" s="293">
        <v>6.967566E-2</v>
      </c>
      <c r="DS295" s="293">
        <v>0.19328446899999999</v>
      </c>
      <c r="DT295" s="293">
        <v>0.33983930699999998</v>
      </c>
      <c r="DU295" s="293">
        <v>0.124056428</v>
      </c>
      <c r="DV295" s="293">
        <v>0.20285381599999999</v>
      </c>
      <c r="DW295" s="293">
        <v>0.159907204</v>
      </c>
      <c r="DX295" s="293">
        <v>0.42342381200000001</v>
      </c>
      <c r="DY295" s="293">
        <v>0.23020560000000001</v>
      </c>
      <c r="DZ295" s="295">
        <v>0.310728913</v>
      </c>
      <c r="EA295" s="293">
        <v>8.3919091000000001E-2</v>
      </c>
      <c r="EB295" s="293">
        <v>0.16387307400000001</v>
      </c>
      <c r="EC295" s="293">
        <v>0.16643264799999999</v>
      </c>
      <c r="ED295" s="293">
        <v>0.43759340499999999</v>
      </c>
      <c r="EE295" s="293">
        <v>0.24953403099999999</v>
      </c>
      <c r="EF295" s="293">
        <v>0.165722067</v>
      </c>
      <c r="EG295" s="293">
        <v>0.308595646</v>
      </c>
      <c r="EH295" s="293">
        <v>0.54132779499999994</v>
      </c>
      <c r="EI295" s="293">
        <v>0.320699497</v>
      </c>
      <c r="EJ295" s="293">
        <v>0.127708813</v>
      </c>
      <c r="EK295" s="293">
        <v>0.29939412599999998</v>
      </c>
      <c r="EL295" s="295">
        <v>0.76786692000000001</v>
      </c>
      <c r="EM295" s="1080">
        <v>0.30968720399999999</v>
      </c>
      <c r="EN295" s="1080">
        <v>0.26413287099999999</v>
      </c>
      <c r="EO295" s="1080">
        <v>0.224516248</v>
      </c>
      <c r="EP295" s="1080">
        <v>0.33610833800000001</v>
      </c>
      <c r="EQ295" s="1080">
        <v>0.238944237</v>
      </c>
      <c r="ER295" s="1080">
        <v>0.361617572</v>
      </c>
      <c r="ES295" s="1080">
        <v>0.390914963</v>
      </c>
      <c r="ET295" s="1080">
        <v>0.38259226400000002</v>
      </c>
      <c r="EU295" s="1080">
        <v>7.6323815000000003E-2</v>
      </c>
      <c r="EV295" s="1080">
        <v>7.6323815000000003E-2</v>
      </c>
      <c r="EW295" s="1080">
        <v>7.6323815000000003E-2</v>
      </c>
      <c r="EX295" s="1340">
        <v>7.6323815000000003E-2</v>
      </c>
      <c r="EY295" s="1080"/>
      <c r="EZ295" s="1080"/>
      <c r="FA295" s="1080"/>
      <c r="FB295" s="1080"/>
      <c r="FC295" s="1080"/>
      <c r="FD295" s="1080"/>
      <c r="FE295" s="1080"/>
      <c r="FF295" s="1080"/>
      <c r="FG295" s="1080"/>
      <c r="FH295" s="1080"/>
      <c r="FI295" s="1080"/>
      <c r="FJ295" s="1340"/>
      <c r="FK295" s="1080"/>
      <c r="FL295" s="1080"/>
      <c r="FM295" s="1080"/>
      <c r="FN295" s="1080"/>
      <c r="FO295" s="1080"/>
      <c r="FP295" s="1080"/>
      <c r="FQ295" s="293"/>
      <c r="FR295" s="293"/>
      <c r="FS295" s="293"/>
      <c r="FT295" s="293"/>
      <c r="FU295" s="293"/>
      <c r="FV295" s="293"/>
      <c r="FW295" s="293"/>
      <c r="FX295" s="293"/>
      <c r="FY295" s="293"/>
      <c r="FZ295" s="293"/>
      <c r="GA295" s="293"/>
      <c r="GB295" s="293"/>
      <c r="GC295" s="293"/>
      <c r="GD295" s="293"/>
      <c r="GE295" s="293"/>
      <c r="GF295" s="293"/>
      <c r="GG295" s="293"/>
      <c r="GH295" s="293"/>
      <c r="GI295" s="293"/>
      <c r="GJ295" s="293"/>
      <c r="GK295" s="293"/>
      <c r="GL295" s="293"/>
      <c r="GM295" s="293"/>
      <c r="GN295" s="293"/>
      <c r="GO295" s="293"/>
      <c r="GP295" s="293"/>
      <c r="GQ295" s="293"/>
      <c r="GR295" s="293"/>
      <c r="GS295" s="293"/>
      <c r="GT295" s="293"/>
      <c r="GU295" s="293"/>
      <c r="GV295" s="293"/>
      <c r="GW295" s="293"/>
      <c r="GX295" s="293"/>
      <c r="GY295" s="293"/>
      <c r="GZ295" s="293"/>
      <c r="HA295" s="293"/>
      <c r="HB295" s="293"/>
      <c r="HC295" s="293"/>
      <c r="HD295" s="293"/>
      <c r="HE295" s="293"/>
      <c r="HF295" s="293"/>
      <c r="HG295" s="293"/>
      <c r="HH295" s="293"/>
      <c r="HI295" s="293"/>
      <c r="HJ295" s="293"/>
      <c r="HK295" s="293"/>
      <c r="HL295" s="293"/>
      <c r="HM295" s="293"/>
      <c r="HN295" s="293"/>
      <c r="HO295" s="293"/>
      <c r="HP295" s="293"/>
      <c r="HQ295" s="293"/>
      <c r="HR295" s="293"/>
      <c r="HS295" s="293"/>
      <c r="HT295" s="293"/>
      <c r="HU295" s="293"/>
      <c r="HV295" s="293"/>
      <c r="HW295" s="293"/>
      <c r="HX295" s="293"/>
      <c r="HY295" s="293"/>
      <c r="IK295" s="279">
        <f>SUM(DO295:DT295)</f>
        <v>1.2118217819999999</v>
      </c>
      <c r="KT295" s="280"/>
    </row>
    <row r="296" spans="1:307" hidden="1" outlineLevel="1">
      <c r="D296" s="887" t="s">
        <v>1053</v>
      </c>
      <c r="E296" s="293"/>
      <c r="F296" s="293"/>
      <c r="G296" s="293"/>
      <c r="H296" s="293"/>
      <c r="I296" s="293"/>
      <c r="J296" s="293"/>
      <c r="K296" s="293"/>
      <c r="L296" s="293"/>
      <c r="M296" s="293"/>
      <c r="N296" s="293"/>
      <c r="O296" s="293"/>
      <c r="P296" s="293"/>
      <c r="Q296" s="293"/>
      <c r="R296" s="293"/>
      <c r="S296" s="293"/>
      <c r="T296" s="293"/>
      <c r="U296" s="293"/>
      <c r="V296" s="293"/>
      <c r="W296" s="293"/>
      <c r="X296" s="293"/>
      <c r="Y296" s="29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c r="BN296" s="293"/>
      <c r="BO296" s="293"/>
      <c r="BP296" s="293"/>
      <c r="BQ296" s="293"/>
      <c r="BR296" s="293"/>
      <c r="BS296" s="293"/>
      <c r="BT296" s="293"/>
      <c r="BU296" s="293"/>
      <c r="BV296" s="293"/>
      <c r="BW296" s="293"/>
      <c r="BX296" s="293"/>
      <c r="BY296" s="293"/>
      <c r="BZ296" s="293"/>
      <c r="CA296" s="293"/>
      <c r="CB296" s="293"/>
      <c r="CC296" s="293"/>
      <c r="CD296" s="293"/>
      <c r="CE296" s="294"/>
      <c r="CF296" s="293"/>
      <c r="CG296" s="293"/>
      <c r="CH296" s="293"/>
      <c r="CI296" s="293"/>
      <c r="CJ296" s="293"/>
      <c r="CK296" s="293"/>
      <c r="CL296" s="293"/>
      <c r="CM296" s="293"/>
      <c r="CN296" s="293"/>
      <c r="CO296" s="293"/>
      <c r="CP296" s="295"/>
      <c r="CQ296" s="293"/>
      <c r="CR296" s="293"/>
      <c r="CS296" s="293"/>
      <c r="CT296" s="293"/>
      <c r="CU296" s="293"/>
      <c r="CV296" s="293"/>
      <c r="CW296" s="293"/>
      <c r="CX296" s="293"/>
      <c r="CY296" s="293"/>
      <c r="CZ296" s="293"/>
      <c r="DA296" s="293"/>
      <c r="DB296" s="1288"/>
      <c r="DC296" s="646">
        <v>0</v>
      </c>
      <c r="DD296" s="646">
        <v>0</v>
      </c>
      <c r="DE296" s="646">
        <v>0</v>
      </c>
      <c r="DF296" s="646">
        <v>0</v>
      </c>
      <c r="DG296" s="646">
        <v>0</v>
      </c>
      <c r="DH296" s="646">
        <v>0</v>
      </c>
      <c r="DI296" s="646">
        <v>7.4810920569999997</v>
      </c>
      <c r="DJ296" s="646">
        <v>0</v>
      </c>
      <c r="DK296" s="646">
        <v>0.93564139300000004</v>
      </c>
      <c r="DL296" s="646">
        <v>10.73552164</v>
      </c>
      <c r="DM296" s="646">
        <v>0</v>
      </c>
      <c r="DN296" s="648">
        <v>1.600532565</v>
      </c>
      <c r="DO296" s="646">
        <v>0</v>
      </c>
      <c r="DP296" s="646">
        <v>0</v>
      </c>
      <c r="DQ296" s="646">
        <v>0</v>
      </c>
      <c r="DR296" s="646">
        <v>0</v>
      </c>
      <c r="DS296" s="646">
        <v>0</v>
      </c>
      <c r="DT296" s="646">
        <v>0</v>
      </c>
      <c r="DU296" s="646">
        <v>0</v>
      </c>
      <c r="DV296" s="646">
        <v>0</v>
      </c>
      <c r="DW296" s="646">
        <v>0</v>
      </c>
      <c r="DX296" s="646">
        <v>0</v>
      </c>
      <c r="DY296" s="646">
        <v>0</v>
      </c>
      <c r="DZ296" s="648">
        <v>0</v>
      </c>
      <c r="EA296" s="646">
        <v>0</v>
      </c>
      <c r="EB296" s="646">
        <v>0</v>
      </c>
      <c r="EC296" s="646">
        <v>0</v>
      </c>
      <c r="ED296" s="646">
        <v>0</v>
      </c>
      <c r="EE296" s="646">
        <v>0</v>
      </c>
      <c r="EF296" s="646">
        <v>0</v>
      </c>
      <c r="EG296" s="646">
        <v>0</v>
      </c>
      <c r="EH296" s="646">
        <v>0</v>
      </c>
      <c r="EI296" s="646">
        <v>0</v>
      </c>
      <c r="EJ296" s="646">
        <v>0</v>
      </c>
      <c r="EK296" s="646">
        <v>0</v>
      </c>
      <c r="EL296" s="648">
        <v>0</v>
      </c>
      <c r="EM296" s="1090">
        <v>0</v>
      </c>
      <c r="EN296" s="1090">
        <v>0</v>
      </c>
      <c r="EO296" s="1090">
        <v>0</v>
      </c>
      <c r="EP296" s="1090">
        <v>0</v>
      </c>
      <c r="EQ296" s="1090">
        <v>0</v>
      </c>
      <c r="ER296" s="1090">
        <v>0</v>
      </c>
      <c r="ES296" s="1090">
        <v>0</v>
      </c>
      <c r="ET296" s="1090">
        <v>0</v>
      </c>
      <c r="EU296" s="1090">
        <v>0</v>
      </c>
      <c r="EV296" s="1090">
        <v>0</v>
      </c>
      <c r="EW296" s="1090">
        <v>0</v>
      </c>
      <c r="EX296" s="1357">
        <v>0</v>
      </c>
      <c r="EY296" s="1090"/>
      <c r="EZ296" s="1090"/>
      <c r="FA296" s="1090"/>
      <c r="FB296" s="1090"/>
      <c r="FC296" s="1090"/>
      <c r="FD296" s="1090"/>
      <c r="FE296" s="1090"/>
      <c r="FF296" s="1090"/>
      <c r="FG296" s="1090"/>
      <c r="FH296" s="1090"/>
      <c r="FI296" s="1090"/>
      <c r="FJ296" s="1357"/>
      <c r="FK296" s="1090"/>
      <c r="FL296" s="1090"/>
      <c r="FM296" s="1090"/>
      <c r="FN296" s="1090"/>
      <c r="FO296" s="1090"/>
      <c r="FP296" s="1090"/>
      <c r="FQ296" s="646"/>
      <c r="FR296" s="646"/>
      <c r="FS296" s="646"/>
      <c r="FT296" s="646"/>
      <c r="FU296" s="646"/>
      <c r="FV296" s="646"/>
      <c r="FW296" s="646"/>
      <c r="FX296" s="646"/>
      <c r="FY296" s="646"/>
      <c r="FZ296" s="646"/>
      <c r="GA296" s="646"/>
      <c r="GB296" s="646"/>
      <c r="GC296" s="646"/>
      <c r="GD296" s="646"/>
      <c r="GE296" s="646"/>
      <c r="GF296" s="646"/>
      <c r="GG296" s="646"/>
      <c r="GH296" s="646"/>
      <c r="GI296" s="646"/>
      <c r="GJ296" s="646"/>
      <c r="GK296" s="646"/>
      <c r="GL296" s="646"/>
      <c r="GM296" s="646"/>
      <c r="GN296" s="646"/>
      <c r="GO296" s="646"/>
      <c r="GP296" s="646"/>
      <c r="GQ296" s="646"/>
      <c r="GR296" s="646"/>
      <c r="GS296" s="646"/>
      <c r="GT296" s="646"/>
      <c r="GU296" s="646"/>
      <c r="GV296" s="646"/>
      <c r="GW296" s="646"/>
      <c r="GX296" s="646"/>
      <c r="GY296" s="646"/>
      <c r="GZ296" s="646"/>
      <c r="HA296" s="646"/>
      <c r="HB296" s="646"/>
      <c r="HC296" s="646"/>
      <c r="HD296" s="646"/>
      <c r="HE296" s="646"/>
      <c r="HF296" s="646"/>
      <c r="HG296" s="646"/>
      <c r="HH296" s="646"/>
      <c r="HI296" s="646"/>
      <c r="HJ296" s="646"/>
      <c r="HK296" s="646"/>
      <c r="HL296" s="646"/>
      <c r="HM296" s="646"/>
      <c r="HN296" s="646"/>
      <c r="HO296" s="646"/>
      <c r="HP296" s="646"/>
      <c r="HQ296" s="646"/>
      <c r="HR296" s="646"/>
      <c r="HS296" s="646"/>
      <c r="HT296" s="646"/>
      <c r="HU296" s="646"/>
      <c r="HV296" s="646"/>
      <c r="HW296" s="646"/>
      <c r="HX296" s="646"/>
      <c r="HY296" s="646"/>
      <c r="IK296" s="279">
        <f>SUM(DO296:DT296)</f>
        <v>0</v>
      </c>
      <c r="KT296" s="280"/>
    </row>
    <row r="297" spans="1:307" hidden="1" outlineLevel="1">
      <c r="D297" s="822"/>
      <c r="CE297" s="793"/>
      <c r="CP297" s="280"/>
      <c r="DC297" s="843" t="s">
        <v>1023</v>
      </c>
      <c r="EA297" s="279"/>
      <c r="EB297" s="279"/>
      <c r="EC297" s="279"/>
      <c r="ED297" s="279"/>
      <c r="EE297" s="279"/>
      <c r="EF297" s="279"/>
      <c r="EG297" s="279"/>
      <c r="EH297" s="279"/>
      <c r="EI297" s="279"/>
      <c r="EJ297" s="279"/>
      <c r="EK297" s="279"/>
      <c r="EL297" s="280"/>
      <c r="EM297" s="1082"/>
      <c r="EN297" s="1082"/>
      <c r="EO297" s="1082"/>
      <c r="EP297" s="1082"/>
      <c r="EQ297" s="1082"/>
      <c r="ER297" s="1082"/>
      <c r="ES297" s="1082"/>
      <c r="ET297" s="1082"/>
      <c r="EU297" s="1082"/>
      <c r="EV297" s="1082"/>
      <c r="EW297" s="1082"/>
      <c r="EX297" s="1350"/>
      <c r="EY297" s="1082"/>
      <c r="EZ297" s="1082"/>
      <c r="FA297" s="1082"/>
      <c r="FB297" s="1082"/>
      <c r="FC297" s="1082"/>
      <c r="FD297" s="1082"/>
      <c r="FE297" s="1082"/>
      <c r="FF297" s="1082"/>
      <c r="FG297" s="1082"/>
      <c r="FH297" s="1082"/>
      <c r="FI297" s="1082"/>
      <c r="FJ297" s="1350"/>
      <c r="FK297" s="1082"/>
      <c r="FL297" s="1082"/>
      <c r="FM297" s="1082"/>
      <c r="FN297" s="1082"/>
      <c r="FO297" s="1082"/>
      <c r="FP297" s="1082"/>
      <c r="FQ297" s="279"/>
      <c r="FR297" s="279"/>
      <c r="FS297" s="279"/>
      <c r="FT297" s="279"/>
      <c r="FU297" s="279"/>
      <c r="FV297" s="279"/>
      <c r="FW297" s="279"/>
      <c r="FX297" s="279"/>
      <c r="FY297" s="279"/>
      <c r="FZ297" s="279"/>
      <c r="GA297" s="279"/>
      <c r="GB297" s="279"/>
      <c r="GC297" s="279"/>
      <c r="GD297" s="279"/>
      <c r="GE297" s="279"/>
      <c r="GF297" s="279"/>
      <c r="GG297" s="279"/>
      <c r="GH297" s="279"/>
      <c r="GI297" s="279"/>
      <c r="GJ297" s="279"/>
      <c r="GK297" s="279"/>
      <c r="GL297" s="279"/>
      <c r="GM297" s="279"/>
      <c r="GN297" s="279"/>
      <c r="GO297" s="279"/>
      <c r="GP297" s="279"/>
      <c r="GQ297" s="279"/>
      <c r="GR297" s="279"/>
      <c r="GS297" s="279"/>
      <c r="GT297" s="279"/>
      <c r="GU297" s="279"/>
      <c r="GV297" s="279"/>
      <c r="GW297" s="279"/>
      <c r="GX297" s="279"/>
      <c r="GY297" s="279"/>
      <c r="GZ297" s="279"/>
      <c r="HA297" s="279"/>
      <c r="HB297" s="279"/>
      <c r="HC297" s="279"/>
      <c r="HD297" s="279"/>
      <c r="HE297" s="279"/>
      <c r="HF297" s="279"/>
      <c r="HG297" s="279"/>
      <c r="HH297" s="279"/>
      <c r="HI297" s="279"/>
      <c r="HJ297" s="279"/>
      <c r="HK297" s="279"/>
      <c r="HL297" s="279"/>
      <c r="HM297" s="279"/>
      <c r="HN297" s="279"/>
      <c r="HO297" s="279"/>
      <c r="HP297" s="279"/>
      <c r="HQ297" s="279"/>
      <c r="HR297" s="279"/>
      <c r="HS297" s="279"/>
      <c r="HT297" s="279"/>
      <c r="HU297" s="279"/>
      <c r="HV297" s="279"/>
      <c r="HW297" s="279"/>
      <c r="HX297" s="279"/>
      <c r="HY297" s="279"/>
      <c r="KT297" s="280"/>
    </row>
    <row r="298" spans="1:307" hidden="1" outlineLevel="1">
      <c r="D298" s="822"/>
      <c r="CE298" s="793"/>
      <c r="CP298" s="280"/>
      <c r="DC298" s="843"/>
      <c r="EA298" s="279"/>
      <c r="EB298" s="279"/>
      <c r="EC298" s="279"/>
      <c r="ED298" s="279"/>
      <c r="EE298" s="279"/>
      <c r="EF298" s="279"/>
      <c r="EG298" s="279"/>
      <c r="EH298" s="279"/>
      <c r="EI298" s="279"/>
      <c r="EJ298" s="279"/>
      <c r="EK298" s="279"/>
      <c r="EL298" s="280"/>
      <c r="EM298" s="1082"/>
      <c r="EN298" s="1082"/>
      <c r="EO298" s="1082"/>
      <c r="EP298" s="1082"/>
      <c r="EQ298" s="1082"/>
      <c r="ER298" s="1082"/>
      <c r="ES298" s="1082"/>
      <c r="ET298" s="1082"/>
      <c r="EU298" s="1082"/>
      <c r="EV298" s="1082"/>
      <c r="EW298" s="1082"/>
      <c r="EX298" s="1350"/>
      <c r="EY298" s="1082"/>
      <c r="EZ298" s="1082"/>
      <c r="FA298" s="1082"/>
      <c r="FB298" s="1082"/>
      <c r="FC298" s="1082"/>
      <c r="FD298" s="1082"/>
      <c r="FE298" s="1082"/>
      <c r="FF298" s="1082"/>
      <c r="FG298" s="1082"/>
      <c r="FH298" s="1082"/>
      <c r="FI298" s="1082"/>
      <c r="FJ298" s="1350"/>
      <c r="FK298" s="1082"/>
      <c r="FL298" s="1082"/>
      <c r="FM298" s="1082"/>
      <c r="FN298" s="1082"/>
      <c r="FO298" s="1082"/>
      <c r="FP298" s="1082"/>
      <c r="FQ298" s="279"/>
      <c r="FR298" s="279"/>
      <c r="FS298" s="279"/>
      <c r="FT298" s="279"/>
      <c r="FU298" s="279"/>
      <c r="FV298" s="279"/>
      <c r="FW298" s="279"/>
      <c r="FX298" s="279"/>
      <c r="FY298" s="279"/>
      <c r="FZ298" s="279"/>
      <c r="GA298" s="279"/>
      <c r="GB298" s="279"/>
      <c r="GC298" s="279"/>
      <c r="GD298" s="279"/>
      <c r="GE298" s="279"/>
      <c r="GF298" s="279"/>
      <c r="GG298" s="279"/>
      <c r="GH298" s="279"/>
      <c r="GI298" s="279"/>
      <c r="GJ298" s="279"/>
      <c r="GK298" s="279"/>
      <c r="GL298" s="279"/>
      <c r="GM298" s="279"/>
      <c r="GN298" s="279"/>
      <c r="GO298" s="279"/>
      <c r="GP298" s="279"/>
      <c r="GQ298" s="279"/>
      <c r="GR298" s="279"/>
      <c r="GS298" s="279"/>
      <c r="GT298" s="279"/>
      <c r="GU298" s="279"/>
      <c r="GV298" s="279"/>
      <c r="GW298" s="279"/>
      <c r="GX298" s="279"/>
      <c r="GY298" s="279"/>
      <c r="GZ298" s="279"/>
      <c r="HA298" s="279"/>
      <c r="HB298" s="279"/>
      <c r="HC298" s="279"/>
      <c r="HD298" s="279"/>
      <c r="HE298" s="279"/>
      <c r="HF298" s="279"/>
      <c r="HG298" s="279"/>
      <c r="HH298" s="279"/>
      <c r="HI298" s="279"/>
      <c r="HJ298" s="279"/>
      <c r="HK298" s="279"/>
      <c r="HL298" s="279"/>
      <c r="HM298" s="279"/>
      <c r="HN298" s="279"/>
      <c r="HO298" s="279"/>
      <c r="HP298" s="279"/>
      <c r="HQ298" s="279"/>
      <c r="HR298" s="279"/>
      <c r="HS298" s="279"/>
      <c r="HT298" s="279"/>
      <c r="HU298" s="279"/>
      <c r="HV298" s="279"/>
      <c r="HW298" s="279"/>
      <c r="HX298" s="279"/>
      <c r="HY298" s="279"/>
      <c r="KT298" s="280"/>
    </row>
    <row r="299" spans="1:307" hidden="1" outlineLevel="1">
      <c r="A299" s="291" t="s">
        <v>1044</v>
      </c>
      <c r="D299" s="822"/>
      <c r="CE299" s="793"/>
      <c r="CP299" s="280"/>
      <c r="DC299" s="843" t="s">
        <v>1027</v>
      </c>
      <c r="EA299" s="279"/>
      <c r="EB299" s="279"/>
      <c r="EC299" s="279"/>
      <c r="ED299" s="279"/>
      <c r="EE299" s="279"/>
      <c r="EF299" s="279"/>
      <c r="EG299" s="279"/>
      <c r="EH299" s="279"/>
      <c r="EI299" s="279"/>
      <c r="EJ299" s="279"/>
      <c r="EK299" s="279"/>
      <c r="EL299" s="280"/>
      <c r="EM299" s="1082"/>
      <c r="EN299" s="1082"/>
      <c r="EO299" s="1082"/>
      <c r="EP299" s="1082"/>
      <c r="EQ299" s="1082"/>
      <c r="ER299" s="1082"/>
      <c r="ES299" s="1082"/>
      <c r="ET299" s="1082"/>
      <c r="EU299" s="1082"/>
      <c r="EV299" s="1082"/>
      <c r="EW299" s="1082"/>
      <c r="EX299" s="1350"/>
      <c r="EY299" s="1082"/>
      <c r="EZ299" s="1082"/>
      <c r="FA299" s="1082"/>
      <c r="FB299" s="1082"/>
      <c r="FC299" s="1082"/>
      <c r="FD299" s="1082"/>
      <c r="FE299" s="1082"/>
      <c r="FF299" s="1082"/>
      <c r="FG299" s="1082"/>
      <c r="FH299" s="1082"/>
      <c r="FI299" s="1082"/>
      <c r="FJ299" s="1350"/>
      <c r="FK299" s="1082"/>
      <c r="FL299" s="1082"/>
      <c r="FM299" s="1082"/>
      <c r="FN299" s="1082"/>
      <c r="FO299" s="1082"/>
      <c r="FP299" s="1082"/>
      <c r="FQ299" s="279"/>
      <c r="FR299" s="279"/>
      <c r="FS299" s="279"/>
      <c r="FT299" s="279"/>
      <c r="FU299" s="279"/>
      <c r="FV299" s="279"/>
      <c r="FW299" s="279"/>
      <c r="FX299" s="279"/>
      <c r="FY299" s="279"/>
      <c r="FZ299" s="279"/>
      <c r="GA299" s="279"/>
      <c r="GB299" s="279"/>
      <c r="GC299" s="279"/>
      <c r="GD299" s="279"/>
      <c r="GE299" s="279"/>
      <c r="GF299" s="279"/>
      <c r="GG299" s="279"/>
      <c r="GH299" s="279"/>
      <c r="GI299" s="279"/>
      <c r="GJ299" s="279"/>
      <c r="GK299" s="279"/>
      <c r="GL299" s="279"/>
      <c r="GM299" s="279"/>
      <c r="GN299" s="279"/>
      <c r="GO299" s="279"/>
      <c r="GP299" s="279"/>
      <c r="GQ299" s="279"/>
      <c r="GR299" s="279"/>
      <c r="GS299" s="279"/>
      <c r="GT299" s="279"/>
      <c r="GU299" s="279"/>
      <c r="GV299" s="279"/>
      <c r="GW299" s="279"/>
      <c r="GX299" s="279"/>
      <c r="GY299" s="279"/>
      <c r="GZ299" s="279"/>
      <c r="HA299" s="279"/>
      <c r="HB299" s="279"/>
      <c r="HC299" s="279"/>
      <c r="HD299" s="279"/>
      <c r="HE299" s="279"/>
      <c r="HF299" s="279"/>
      <c r="HG299" s="279"/>
      <c r="HH299" s="279"/>
      <c r="HI299" s="279"/>
      <c r="HJ299" s="279"/>
      <c r="HK299" s="279"/>
      <c r="HL299" s="279"/>
      <c r="HM299" s="279"/>
      <c r="HN299" s="279"/>
      <c r="HO299" s="279"/>
      <c r="HP299" s="279"/>
      <c r="HQ299" s="279"/>
      <c r="HR299" s="279"/>
      <c r="HS299" s="279"/>
      <c r="HT299" s="279"/>
      <c r="HU299" s="279"/>
      <c r="HV299" s="279"/>
      <c r="HW299" s="279"/>
      <c r="HX299" s="279"/>
      <c r="HY299" s="279"/>
      <c r="KT299" s="280"/>
    </row>
    <row r="300" spans="1:307" hidden="1" outlineLevel="1">
      <c r="D300" s="297"/>
      <c r="E300" s="293"/>
      <c r="F300" s="293"/>
      <c r="G300" s="293"/>
      <c r="H300" s="293"/>
      <c r="I300" s="293"/>
      <c r="J300" s="293"/>
      <c r="K300" s="293"/>
      <c r="L300" s="293"/>
      <c r="M300" s="293"/>
      <c r="N300" s="293"/>
      <c r="O300" s="293"/>
      <c r="P300" s="293"/>
      <c r="Q300" s="293"/>
      <c r="R300" s="293"/>
      <c r="S300" s="293"/>
      <c r="T300" s="293"/>
      <c r="U300" s="293"/>
      <c r="V300" s="293"/>
      <c r="W300" s="293"/>
      <c r="X300" s="293"/>
      <c r="Y300" s="29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c r="BN300" s="293"/>
      <c r="BO300" s="293"/>
      <c r="BP300" s="293"/>
      <c r="BQ300" s="293"/>
      <c r="BR300" s="293"/>
      <c r="BS300" s="293"/>
      <c r="BT300" s="293"/>
      <c r="BU300" s="293"/>
      <c r="BV300" s="293"/>
      <c r="BW300" s="293"/>
      <c r="BX300" s="293"/>
      <c r="BY300" s="293"/>
      <c r="BZ300" s="293"/>
      <c r="CA300" s="293"/>
      <c r="CB300" s="293"/>
      <c r="CC300" s="293"/>
      <c r="CD300" s="293"/>
      <c r="CE300" s="294"/>
      <c r="CF300" s="293"/>
      <c r="CG300" s="293"/>
      <c r="CH300" s="293"/>
      <c r="CI300" s="293"/>
      <c r="CJ300" s="293"/>
      <c r="CK300" s="293"/>
      <c r="CL300" s="293"/>
      <c r="CM300" s="293"/>
      <c r="CN300" s="293"/>
      <c r="CO300" s="293"/>
      <c r="CP300" s="295"/>
      <c r="CQ300" s="293"/>
      <c r="CR300" s="293"/>
      <c r="CS300" s="293"/>
      <c r="CT300" s="293"/>
      <c r="CU300" s="293"/>
      <c r="CV300" s="293"/>
      <c r="CW300" s="293"/>
      <c r="CX300" s="293"/>
      <c r="CY300" s="293"/>
      <c r="CZ300" s="293"/>
      <c r="DA300" s="293"/>
      <c r="DB300" s="1288"/>
      <c r="DC300" s="864">
        <v>42186</v>
      </c>
      <c r="DD300" s="864">
        <v>42217</v>
      </c>
      <c r="DE300" s="864">
        <v>42248</v>
      </c>
      <c r="DF300" s="864">
        <v>42278</v>
      </c>
      <c r="DG300" s="864">
        <v>42309</v>
      </c>
      <c r="DH300" s="864">
        <v>42339</v>
      </c>
      <c r="DI300" s="864">
        <v>42370</v>
      </c>
      <c r="DJ300" s="864">
        <v>42401</v>
      </c>
      <c r="DK300" s="864">
        <v>42430</v>
      </c>
      <c r="DL300" s="864">
        <v>42461</v>
      </c>
      <c r="DM300" s="864">
        <v>42491</v>
      </c>
      <c r="DN300" s="877">
        <v>42522</v>
      </c>
      <c r="DO300" s="836">
        <v>42552</v>
      </c>
      <c r="DP300" s="836">
        <v>42583</v>
      </c>
      <c r="DQ300" s="836">
        <v>42614</v>
      </c>
      <c r="DR300" s="836">
        <v>42644</v>
      </c>
      <c r="DS300" s="836">
        <v>42675</v>
      </c>
      <c r="DT300" s="836">
        <v>42705</v>
      </c>
      <c r="DU300" s="836">
        <v>42736</v>
      </c>
      <c r="DV300" s="836">
        <v>42767</v>
      </c>
      <c r="DW300" s="836">
        <v>42795</v>
      </c>
      <c r="DX300" s="836">
        <v>42826</v>
      </c>
      <c r="DY300" s="836">
        <v>42856</v>
      </c>
      <c r="DZ300" s="872">
        <v>42887</v>
      </c>
      <c r="EA300" s="836"/>
      <c r="EB300" s="836"/>
      <c r="EC300" s="836"/>
      <c r="ED300" s="836"/>
      <c r="EE300" s="836"/>
      <c r="EF300" s="836"/>
      <c r="EG300" s="836"/>
      <c r="EH300" s="836"/>
      <c r="EI300" s="836"/>
      <c r="EJ300" s="836"/>
      <c r="EK300" s="836"/>
      <c r="EL300" s="872"/>
      <c r="EM300" s="1096"/>
      <c r="EN300" s="1096"/>
      <c r="EO300" s="1096"/>
      <c r="EP300" s="1096"/>
      <c r="EQ300" s="1096"/>
      <c r="ER300" s="1096"/>
      <c r="ES300" s="1096"/>
      <c r="ET300" s="1096"/>
      <c r="EU300" s="1096"/>
      <c r="EV300" s="1096"/>
      <c r="EW300" s="1096"/>
      <c r="EX300" s="1364"/>
      <c r="EY300" s="1096"/>
      <c r="EZ300" s="1096"/>
      <c r="FA300" s="1096"/>
      <c r="FB300" s="1096"/>
      <c r="FC300" s="1096"/>
      <c r="FD300" s="1096"/>
      <c r="FE300" s="1096"/>
      <c r="FF300" s="1096"/>
      <c r="FG300" s="1096"/>
      <c r="FH300" s="1096"/>
      <c r="FI300" s="1096"/>
      <c r="FJ300" s="1364"/>
      <c r="FK300" s="1096"/>
      <c r="FL300" s="1096"/>
      <c r="FM300" s="1096"/>
      <c r="FN300" s="1096"/>
      <c r="FO300" s="1096"/>
      <c r="FP300" s="1096"/>
      <c r="FQ300" s="836"/>
      <c r="FR300" s="836"/>
      <c r="FS300" s="836"/>
      <c r="FT300" s="836"/>
      <c r="FU300" s="836"/>
      <c r="FV300" s="836"/>
      <c r="FW300" s="836"/>
      <c r="FX300" s="836"/>
      <c r="FY300" s="836"/>
      <c r="FZ300" s="836"/>
      <c r="GA300" s="836"/>
      <c r="GB300" s="836"/>
      <c r="GC300" s="836"/>
      <c r="GD300" s="836"/>
      <c r="GE300" s="836"/>
      <c r="GF300" s="836"/>
      <c r="GG300" s="836"/>
      <c r="GH300" s="836"/>
      <c r="GI300" s="836"/>
      <c r="GJ300" s="836"/>
      <c r="GK300" s="836"/>
      <c r="GL300" s="836"/>
      <c r="GM300" s="836"/>
      <c r="GN300" s="836"/>
      <c r="GO300" s="836"/>
      <c r="GP300" s="836"/>
      <c r="GQ300" s="836"/>
      <c r="GR300" s="836"/>
      <c r="GS300" s="836"/>
      <c r="GT300" s="836"/>
      <c r="GU300" s="836"/>
      <c r="GV300" s="836"/>
      <c r="GW300" s="836"/>
      <c r="GX300" s="836"/>
      <c r="GY300" s="836"/>
      <c r="GZ300" s="836"/>
      <c r="HA300" s="836"/>
      <c r="HB300" s="836"/>
      <c r="HC300" s="836"/>
      <c r="HD300" s="836"/>
      <c r="HE300" s="836"/>
      <c r="HF300" s="836"/>
      <c r="HG300" s="836"/>
      <c r="HH300" s="836"/>
      <c r="HI300" s="836"/>
      <c r="HJ300" s="836"/>
      <c r="HK300" s="836"/>
      <c r="HL300" s="836"/>
      <c r="HM300" s="836"/>
      <c r="HN300" s="836"/>
      <c r="HO300" s="836"/>
      <c r="HP300" s="836"/>
      <c r="HQ300" s="836"/>
      <c r="HR300" s="836"/>
      <c r="HS300" s="836"/>
      <c r="HT300" s="836"/>
      <c r="HU300" s="836"/>
      <c r="HV300" s="836"/>
      <c r="HW300" s="836"/>
      <c r="HX300" s="836"/>
      <c r="HY300" s="836"/>
      <c r="KT300" s="280"/>
    </row>
    <row r="301" spans="1:307" hidden="1" outlineLevel="1">
      <c r="A301" s="96" t="s">
        <v>878</v>
      </c>
      <c r="D301" s="316" t="s">
        <v>1026</v>
      </c>
      <c r="E301" s="293"/>
      <c r="F301" s="293"/>
      <c r="G301" s="293"/>
      <c r="H301" s="293"/>
      <c r="I301" s="293"/>
      <c r="J301" s="293"/>
      <c r="K301" s="293"/>
      <c r="L301" s="293"/>
      <c r="M301" s="293"/>
      <c r="N301" s="293"/>
      <c r="O301" s="293"/>
      <c r="P301" s="293"/>
      <c r="Q301" s="293"/>
      <c r="R301" s="293"/>
      <c r="S301" s="293"/>
      <c r="T301" s="293"/>
      <c r="U301" s="293"/>
      <c r="V301" s="293"/>
      <c r="W301" s="293"/>
      <c r="X301" s="293"/>
      <c r="Y301" s="29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c r="BN301" s="293"/>
      <c r="BO301" s="293"/>
      <c r="BP301" s="293"/>
      <c r="BQ301" s="293"/>
      <c r="BR301" s="293"/>
      <c r="BS301" s="293"/>
      <c r="BT301" s="293"/>
      <c r="BU301" s="293"/>
      <c r="BV301" s="293"/>
      <c r="BW301" s="293"/>
      <c r="BX301" s="293"/>
      <c r="BY301" s="293"/>
      <c r="BZ301" s="293"/>
      <c r="CA301" s="293"/>
      <c r="CB301" s="293"/>
      <c r="CC301" s="293"/>
      <c r="CD301" s="293"/>
      <c r="CE301" s="294">
        <v>1.1349399529999999</v>
      </c>
      <c r="CF301" s="293">
        <v>1.4630002769999999</v>
      </c>
      <c r="CG301" s="293">
        <v>1.3054274539999999</v>
      </c>
      <c r="CH301" s="293">
        <v>2.2216993990000002</v>
      </c>
      <c r="CI301" s="293">
        <v>0.69107618300000007</v>
      </c>
      <c r="CJ301" s="293">
        <v>0.65031120600000003</v>
      </c>
      <c r="CK301" s="293">
        <v>1.9135211519999999</v>
      </c>
      <c r="CL301" s="293">
        <v>0.47741728299999997</v>
      </c>
      <c r="CM301" s="293">
        <v>1.0267364919999999</v>
      </c>
      <c r="CN301" s="293">
        <v>0.97803167700000004</v>
      </c>
      <c r="CO301" s="293">
        <v>3.220760845</v>
      </c>
      <c r="CP301" s="295">
        <v>3.7836638009999999</v>
      </c>
      <c r="CQ301" s="293">
        <v>0.67842869300000008</v>
      </c>
      <c r="CR301" s="293">
        <v>1.1277501160000001</v>
      </c>
      <c r="CS301" s="293">
        <v>2.4514973879999999</v>
      </c>
      <c r="CT301" s="293">
        <v>1.0587368719999999</v>
      </c>
      <c r="CU301" s="293">
        <v>1.3975622430000001</v>
      </c>
      <c r="CV301" s="293">
        <v>1.791853173</v>
      </c>
      <c r="CW301" s="293">
        <v>1.7077041459999998</v>
      </c>
      <c r="CX301" s="293">
        <v>1.0288627880000001</v>
      </c>
      <c r="CY301" s="293">
        <v>1.8426684580000001</v>
      </c>
      <c r="CZ301" s="293">
        <v>3.7820743399999999</v>
      </c>
      <c r="DA301" s="293">
        <v>2.0963128589999998</v>
      </c>
      <c r="DB301" s="1288">
        <v>1.8369815279999999</v>
      </c>
      <c r="DC301" s="293">
        <v>0</v>
      </c>
      <c r="DD301" s="293">
        <v>8.8504699000000006E-2</v>
      </c>
      <c r="DE301" s="293">
        <v>0.21395088100000001</v>
      </c>
      <c r="DF301" s="293">
        <v>0.104251079</v>
      </c>
      <c r="DG301" s="293">
        <v>0.42393392299999999</v>
      </c>
      <c r="DH301" s="293">
        <v>6.0823601999999997E-2</v>
      </c>
      <c r="DI301" s="293">
        <v>0.22819368400000001</v>
      </c>
      <c r="DJ301" s="293">
        <v>0.257469748</v>
      </c>
      <c r="DK301" s="293">
        <v>0</v>
      </c>
      <c r="DL301" s="293">
        <v>0.67878242799999999</v>
      </c>
      <c r="DM301" s="293">
        <v>6.4819420000000003E-2</v>
      </c>
      <c r="DN301" s="295">
        <v>0.81591566800000004</v>
      </c>
      <c r="DO301" s="293">
        <v>0</v>
      </c>
      <c r="DP301" s="293">
        <v>0.49947828100000002</v>
      </c>
      <c r="DQ301" s="293">
        <v>0</v>
      </c>
      <c r="DR301" s="293">
        <v>0</v>
      </c>
      <c r="DS301" s="293">
        <v>0</v>
      </c>
      <c r="DT301" s="293">
        <v>0</v>
      </c>
      <c r="DU301" s="293">
        <v>0</v>
      </c>
      <c r="DV301" s="293">
        <v>0</v>
      </c>
      <c r="DW301" s="293">
        <v>0</v>
      </c>
      <c r="DX301" s="293">
        <v>0</v>
      </c>
      <c r="DY301" s="293">
        <v>0</v>
      </c>
      <c r="DZ301" s="295">
        <v>0</v>
      </c>
      <c r="EA301" s="293"/>
      <c r="EB301" s="293"/>
      <c r="EC301" s="293"/>
      <c r="ED301" s="293"/>
      <c r="EE301" s="293"/>
      <c r="EF301" s="293"/>
      <c r="EG301" s="293"/>
      <c r="EH301" s="293"/>
      <c r="EI301" s="293"/>
      <c r="EJ301" s="293"/>
      <c r="EK301" s="293"/>
      <c r="EL301" s="295"/>
      <c r="EM301" s="1080"/>
      <c r="EN301" s="1080"/>
      <c r="EO301" s="1080"/>
      <c r="EP301" s="1080"/>
      <c r="EQ301" s="1080"/>
      <c r="ER301" s="1080"/>
      <c r="ES301" s="1080"/>
      <c r="ET301" s="1080"/>
      <c r="EU301" s="1080"/>
      <c r="EV301" s="1080"/>
      <c r="EW301" s="1080"/>
      <c r="EX301" s="1340"/>
      <c r="EY301" s="1080"/>
      <c r="EZ301" s="1080"/>
      <c r="FA301" s="1080"/>
      <c r="FB301" s="1080"/>
      <c r="FC301" s="1080"/>
      <c r="FD301" s="1080"/>
      <c r="FE301" s="1080"/>
      <c r="FF301" s="1080"/>
      <c r="FG301" s="1080"/>
      <c r="FH301" s="1080"/>
      <c r="FI301" s="1080"/>
      <c r="FJ301" s="1340"/>
      <c r="FK301" s="1080"/>
      <c r="FL301" s="1080"/>
      <c r="FM301" s="1080"/>
      <c r="FN301" s="1080"/>
      <c r="FO301" s="1080"/>
      <c r="FP301" s="1080"/>
      <c r="FQ301" s="293"/>
      <c r="FR301" s="293"/>
      <c r="FS301" s="293"/>
      <c r="FT301" s="293"/>
      <c r="FU301" s="293"/>
      <c r="FV301" s="293"/>
      <c r="FW301" s="293"/>
      <c r="FX301" s="293"/>
      <c r="FY301" s="293"/>
      <c r="FZ301" s="293"/>
      <c r="GA301" s="293"/>
      <c r="GB301" s="293"/>
      <c r="GC301" s="293"/>
      <c r="GD301" s="293"/>
      <c r="GE301" s="293"/>
      <c r="GF301" s="293"/>
      <c r="GG301" s="293"/>
      <c r="GH301" s="293"/>
      <c r="GI301" s="293"/>
      <c r="GJ301" s="293"/>
      <c r="GK301" s="293"/>
      <c r="GL301" s="293"/>
      <c r="GM301" s="293"/>
      <c r="GN301" s="293"/>
      <c r="GO301" s="293"/>
      <c r="GP301" s="293"/>
      <c r="GQ301" s="293"/>
      <c r="GR301" s="293"/>
      <c r="GS301" s="293"/>
      <c r="GT301" s="293"/>
      <c r="GU301" s="293"/>
      <c r="GV301" s="293"/>
      <c r="GW301" s="293"/>
      <c r="GX301" s="293"/>
      <c r="GY301" s="293"/>
      <c r="GZ301" s="293"/>
      <c r="HA301" s="293"/>
      <c r="HB301" s="293"/>
      <c r="HC301" s="293"/>
      <c r="HD301" s="293"/>
      <c r="HE301" s="293"/>
      <c r="HF301" s="293"/>
      <c r="HG301" s="293"/>
      <c r="HH301" s="293"/>
      <c r="HI301" s="293"/>
      <c r="HJ301" s="293"/>
      <c r="HK301" s="293"/>
      <c r="HL301" s="293"/>
      <c r="HM301" s="293"/>
      <c r="HN301" s="293"/>
      <c r="HO301" s="293"/>
      <c r="HP301" s="293"/>
      <c r="HQ301" s="293"/>
      <c r="HR301" s="293"/>
      <c r="HS301" s="293"/>
      <c r="HT301" s="293"/>
      <c r="HU301" s="293"/>
      <c r="HV301" s="293"/>
      <c r="HW301" s="293"/>
      <c r="HX301" s="293"/>
      <c r="HY301" s="293"/>
      <c r="IK301" s="279">
        <f>SUM(DO301:DT301)</f>
        <v>0.49947828100000002</v>
      </c>
      <c r="KT301" s="280"/>
    </row>
    <row r="302" spans="1:307" hidden="1" outlineLevel="1">
      <c r="A302" s="279"/>
      <c r="B302" s="96" t="s">
        <v>338</v>
      </c>
      <c r="D302" s="297" t="s">
        <v>456</v>
      </c>
      <c r="E302" s="293"/>
      <c r="F302" s="293"/>
      <c r="G302" s="293"/>
      <c r="H302" s="293"/>
      <c r="I302" s="293"/>
      <c r="J302" s="293"/>
      <c r="K302" s="293"/>
      <c r="L302" s="293"/>
      <c r="M302" s="293"/>
      <c r="N302" s="293"/>
      <c r="O302" s="293"/>
      <c r="P302" s="293"/>
      <c r="Q302" s="293"/>
      <c r="R302" s="293"/>
      <c r="S302" s="293"/>
      <c r="T302" s="293"/>
      <c r="U302" s="293"/>
      <c r="V302" s="293"/>
      <c r="W302" s="293"/>
      <c r="X302" s="293"/>
      <c r="Y302" s="29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c r="BN302" s="293"/>
      <c r="BO302" s="293"/>
      <c r="BP302" s="293"/>
      <c r="BQ302" s="293"/>
      <c r="BR302" s="293"/>
      <c r="BS302" s="293"/>
      <c r="BT302" s="293"/>
      <c r="BU302" s="293"/>
      <c r="BV302" s="293"/>
      <c r="BW302" s="293"/>
      <c r="BX302" s="293"/>
      <c r="BY302" s="293"/>
      <c r="BZ302" s="293"/>
      <c r="CA302" s="293"/>
      <c r="CB302" s="293"/>
      <c r="CC302" s="293"/>
      <c r="CD302" s="293"/>
      <c r="CE302" s="294">
        <v>0</v>
      </c>
      <c r="CF302" s="293">
        <v>0.32977343199999998</v>
      </c>
      <c r="CG302" s="293">
        <v>0.948509092</v>
      </c>
      <c r="CH302" s="293">
        <v>4.5374589E-2</v>
      </c>
      <c r="CI302" s="293">
        <v>0.20241998999999999</v>
      </c>
      <c r="CJ302" s="293">
        <v>0.24856455899999999</v>
      </c>
      <c r="CK302" s="293">
        <v>0.98122790800000004</v>
      </c>
      <c r="CL302" s="293">
        <v>2.1391443999999999E-2</v>
      </c>
      <c r="CM302" s="293">
        <v>0.21768807300000001</v>
      </c>
      <c r="CN302" s="293">
        <v>0.36740752700000001</v>
      </c>
      <c r="CO302" s="293">
        <v>1.401865935</v>
      </c>
      <c r="CP302" s="295">
        <v>3.325854697</v>
      </c>
      <c r="CQ302" s="293">
        <v>0.14211073099999999</v>
      </c>
      <c r="CR302" s="293">
        <v>0.41778137700000001</v>
      </c>
      <c r="CS302" s="293">
        <v>0.31138856399999998</v>
      </c>
      <c r="CT302" s="293">
        <v>0.299398567</v>
      </c>
      <c r="CU302" s="293">
        <v>0.418558123</v>
      </c>
      <c r="CV302" s="293">
        <v>0.32558673100000002</v>
      </c>
      <c r="CW302" s="293">
        <v>0.25556950899999997</v>
      </c>
      <c r="CX302" s="293">
        <v>0.46175410900000002</v>
      </c>
      <c r="CY302" s="293">
        <v>0.27559267100000001</v>
      </c>
      <c r="CZ302" s="293">
        <v>0.33958231100000003</v>
      </c>
      <c r="DA302" s="293">
        <v>9.0817483000000004E-2</v>
      </c>
      <c r="DB302" s="1288">
        <v>1.8369815279999999</v>
      </c>
      <c r="DC302" s="293">
        <v>0</v>
      </c>
      <c r="DD302" s="293">
        <v>8.8504699000000006E-2</v>
      </c>
      <c r="DE302" s="293">
        <v>0.21395088100000001</v>
      </c>
      <c r="DF302" s="293">
        <v>0.104251079</v>
      </c>
      <c r="DG302" s="293">
        <v>0.42393392299999999</v>
      </c>
      <c r="DH302" s="293">
        <v>6.0823601999999997E-2</v>
      </c>
      <c r="DI302" s="293">
        <v>0.22819368400000001</v>
      </c>
      <c r="DJ302" s="293">
        <v>0.257469748</v>
      </c>
      <c r="DK302" s="293">
        <v>0</v>
      </c>
      <c r="DL302" s="293">
        <v>0.67878242799999999</v>
      </c>
      <c r="DM302" s="293">
        <v>6.4819420000000003E-2</v>
      </c>
      <c r="DN302" s="295">
        <v>0.81591566800000004</v>
      </c>
      <c r="DO302" s="293">
        <v>0</v>
      </c>
      <c r="DP302" s="293">
        <v>0.49947828100000002</v>
      </c>
      <c r="DQ302" s="293">
        <v>0</v>
      </c>
      <c r="DR302" s="293">
        <v>0</v>
      </c>
      <c r="DS302" s="293">
        <v>0</v>
      </c>
      <c r="DT302" s="293">
        <v>0</v>
      </c>
      <c r="DU302" s="293">
        <v>0</v>
      </c>
      <c r="DV302" s="293">
        <v>0</v>
      </c>
      <c r="DW302" s="293">
        <v>0</v>
      </c>
      <c r="DX302" s="293">
        <v>0</v>
      </c>
      <c r="DY302" s="293">
        <v>0</v>
      </c>
      <c r="DZ302" s="295">
        <v>0</v>
      </c>
      <c r="EA302" s="293"/>
      <c r="EB302" s="293"/>
      <c r="EC302" s="293"/>
      <c r="ED302" s="293"/>
      <c r="EE302" s="293"/>
      <c r="EF302" s="293"/>
      <c r="EG302" s="293"/>
      <c r="EH302" s="293"/>
      <c r="EI302" s="293"/>
      <c r="EJ302" s="293"/>
      <c r="EK302" s="293"/>
      <c r="EL302" s="295"/>
      <c r="EM302" s="1080"/>
      <c r="EN302" s="1080"/>
      <c r="EO302" s="1080"/>
      <c r="EP302" s="1080"/>
      <c r="EQ302" s="1080"/>
      <c r="ER302" s="1080"/>
      <c r="ES302" s="1080"/>
      <c r="ET302" s="1080"/>
      <c r="EU302" s="1080"/>
      <c r="EV302" s="1080"/>
      <c r="EW302" s="1080"/>
      <c r="EX302" s="1340"/>
      <c r="EY302" s="1080"/>
      <c r="EZ302" s="1080"/>
      <c r="FA302" s="1080"/>
      <c r="FB302" s="1080"/>
      <c r="FC302" s="1080"/>
      <c r="FD302" s="1080"/>
      <c r="FE302" s="1080"/>
      <c r="FF302" s="1080"/>
      <c r="FG302" s="1080"/>
      <c r="FH302" s="1080"/>
      <c r="FI302" s="1080"/>
      <c r="FJ302" s="1340"/>
      <c r="FK302" s="1080"/>
      <c r="FL302" s="1080"/>
      <c r="FM302" s="1080"/>
      <c r="FN302" s="1080"/>
      <c r="FO302" s="1080"/>
      <c r="FP302" s="1080"/>
      <c r="FQ302" s="293"/>
      <c r="FR302" s="293"/>
      <c r="FS302" s="293"/>
      <c r="FT302" s="293"/>
      <c r="FU302" s="293"/>
      <c r="FV302" s="293"/>
      <c r="FW302" s="293"/>
      <c r="FX302" s="293"/>
      <c r="FY302" s="293"/>
      <c r="FZ302" s="293"/>
      <c r="GA302" s="293"/>
      <c r="GB302" s="293"/>
      <c r="GC302" s="293"/>
      <c r="GD302" s="293"/>
      <c r="GE302" s="293"/>
      <c r="GF302" s="293"/>
      <c r="GG302" s="293"/>
      <c r="GH302" s="293"/>
      <c r="GI302" s="293"/>
      <c r="GJ302" s="293"/>
      <c r="GK302" s="293"/>
      <c r="GL302" s="293"/>
      <c r="GM302" s="293"/>
      <c r="GN302" s="293"/>
      <c r="GO302" s="293"/>
      <c r="GP302" s="293"/>
      <c r="GQ302" s="293"/>
      <c r="GR302" s="293"/>
      <c r="GS302" s="293"/>
      <c r="GT302" s="293"/>
      <c r="GU302" s="293"/>
      <c r="GV302" s="293"/>
      <c r="GW302" s="293"/>
      <c r="GX302" s="293"/>
      <c r="GY302" s="293"/>
      <c r="GZ302" s="293"/>
      <c r="HA302" s="293"/>
      <c r="HB302" s="293"/>
      <c r="HC302" s="293"/>
      <c r="HD302" s="293"/>
      <c r="HE302" s="293"/>
      <c r="HF302" s="293"/>
      <c r="HG302" s="293"/>
      <c r="HH302" s="293"/>
      <c r="HI302" s="293"/>
      <c r="HJ302" s="293"/>
      <c r="HK302" s="293"/>
      <c r="HL302" s="293"/>
      <c r="HM302" s="293"/>
      <c r="HN302" s="293"/>
      <c r="HO302" s="293"/>
      <c r="HP302" s="293"/>
      <c r="HQ302" s="293"/>
      <c r="HR302" s="293"/>
      <c r="HS302" s="293"/>
      <c r="HT302" s="293"/>
      <c r="HU302" s="293"/>
      <c r="HV302" s="293"/>
      <c r="HW302" s="293"/>
      <c r="HX302" s="293"/>
      <c r="HY302" s="293"/>
      <c r="IK302" s="279">
        <f>SUM(DO302:DT302)</f>
        <v>0.49947828100000002</v>
      </c>
      <c r="KT302" s="280"/>
    </row>
    <row r="303" spans="1:307" hidden="1" outlineLevel="1">
      <c r="B303" s="96" t="s">
        <v>338</v>
      </c>
      <c r="D303" s="297" t="s">
        <v>457</v>
      </c>
      <c r="E303" s="293"/>
      <c r="F303" s="293"/>
      <c r="G303" s="293"/>
      <c r="H303" s="293"/>
      <c r="I303" s="293"/>
      <c r="J303" s="293"/>
      <c r="K303" s="293"/>
      <c r="L303" s="293"/>
      <c r="M303" s="293"/>
      <c r="N303" s="293"/>
      <c r="O303" s="293"/>
      <c r="P303" s="293"/>
      <c r="Q303" s="293"/>
      <c r="R303" s="293"/>
      <c r="S303" s="293"/>
      <c r="T303" s="293"/>
      <c r="U303" s="293"/>
      <c r="V303" s="293"/>
      <c r="W303" s="293"/>
      <c r="X303" s="293"/>
      <c r="Y303" s="29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c r="BN303" s="293"/>
      <c r="BO303" s="293"/>
      <c r="BP303" s="293"/>
      <c r="BQ303" s="293"/>
      <c r="BR303" s="293"/>
      <c r="BS303" s="293"/>
      <c r="BT303" s="293"/>
      <c r="BU303" s="293"/>
      <c r="BV303" s="293"/>
      <c r="BW303" s="293"/>
      <c r="BX303" s="293"/>
      <c r="BY303" s="293"/>
      <c r="BZ303" s="293"/>
      <c r="CA303" s="293"/>
      <c r="CB303" s="293"/>
      <c r="CC303" s="293"/>
      <c r="CD303" s="293"/>
      <c r="CE303" s="294">
        <v>1.1349399529999999</v>
      </c>
      <c r="CF303" s="293">
        <v>1.133226845</v>
      </c>
      <c r="CG303" s="293">
        <v>0.35691836199999999</v>
      </c>
      <c r="CH303" s="293">
        <v>2.1763248100000001</v>
      </c>
      <c r="CI303" s="293">
        <v>0.48865619300000002</v>
      </c>
      <c r="CJ303" s="293">
        <v>0.40174664700000001</v>
      </c>
      <c r="CK303" s="293">
        <v>0.93229324400000002</v>
      </c>
      <c r="CL303" s="293">
        <v>0.45602583899999999</v>
      </c>
      <c r="CM303" s="293">
        <v>0.80904841900000002</v>
      </c>
      <c r="CN303" s="293">
        <v>0.61062415000000003</v>
      </c>
      <c r="CO303" s="293">
        <v>1.81889491</v>
      </c>
      <c r="CP303" s="295">
        <v>0.45780910400000002</v>
      </c>
      <c r="CQ303" s="293">
        <v>0.53631796200000004</v>
      </c>
      <c r="CR303" s="293">
        <v>0.70996873900000002</v>
      </c>
      <c r="CS303" s="293">
        <v>2.1401088239999999</v>
      </c>
      <c r="CT303" s="293">
        <v>0.75933830499999999</v>
      </c>
      <c r="CU303" s="293">
        <v>0.97900412000000003</v>
      </c>
      <c r="CV303" s="293">
        <v>1.466266442</v>
      </c>
      <c r="CW303" s="293">
        <v>1.4521346369999999</v>
      </c>
      <c r="CX303" s="293">
        <v>0.56710867899999995</v>
      </c>
      <c r="CY303" s="293">
        <v>1.5670757870000001</v>
      </c>
      <c r="CZ303" s="293">
        <v>3.4424920289999998</v>
      </c>
      <c r="DA303" s="293">
        <v>2.0054953759999998</v>
      </c>
      <c r="DB303" s="1288">
        <v>0</v>
      </c>
      <c r="DC303" s="293">
        <v>0</v>
      </c>
      <c r="DD303" s="293">
        <v>0</v>
      </c>
      <c r="DE303" s="293">
        <v>0</v>
      </c>
      <c r="DF303" s="293">
        <v>0</v>
      </c>
      <c r="DG303" s="293">
        <v>0</v>
      </c>
      <c r="DH303" s="293">
        <v>0</v>
      </c>
      <c r="DI303" s="293">
        <v>0</v>
      </c>
      <c r="DJ303" s="293">
        <v>0</v>
      </c>
      <c r="DK303" s="293">
        <v>0</v>
      </c>
      <c r="DL303" s="293">
        <v>0</v>
      </c>
      <c r="DM303" s="293">
        <v>0</v>
      </c>
      <c r="DN303" s="295">
        <v>0</v>
      </c>
      <c r="DO303" s="293">
        <v>0</v>
      </c>
      <c r="DP303" s="293">
        <v>0</v>
      </c>
      <c r="DQ303" s="293">
        <v>0</v>
      </c>
      <c r="DR303" s="293">
        <v>0</v>
      </c>
      <c r="DS303" s="293">
        <v>0</v>
      </c>
      <c r="DT303" s="293">
        <v>0</v>
      </c>
      <c r="DU303" s="293">
        <v>0</v>
      </c>
      <c r="DV303" s="293">
        <v>0</v>
      </c>
      <c r="DW303" s="293">
        <v>0</v>
      </c>
      <c r="DX303" s="293">
        <v>0</v>
      </c>
      <c r="DY303" s="293">
        <v>0</v>
      </c>
      <c r="DZ303" s="295">
        <v>0</v>
      </c>
      <c r="EA303" s="293"/>
      <c r="EB303" s="293"/>
      <c r="EC303" s="293"/>
      <c r="ED303" s="293"/>
      <c r="EE303" s="293"/>
      <c r="EF303" s="293"/>
      <c r="EG303" s="293"/>
      <c r="EH303" s="293"/>
      <c r="EI303" s="293"/>
      <c r="EJ303" s="293"/>
      <c r="EK303" s="293"/>
      <c r="EL303" s="295"/>
      <c r="EM303" s="1080"/>
      <c r="EN303" s="1080"/>
      <c r="EO303" s="1080"/>
      <c r="EP303" s="1080"/>
      <c r="EQ303" s="1080"/>
      <c r="ER303" s="1080"/>
      <c r="ES303" s="1080"/>
      <c r="ET303" s="1080"/>
      <c r="EU303" s="1080"/>
      <c r="EV303" s="1080"/>
      <c r="EW303" s="1080"/>
      <c r="EX303" s="1340"/>
      <c r="EY303" s="1080"/>
      <c r="EZ303" s="1080"/>
      <c r="FA303" s="1080"/>
      <c r="FB303" s="1080"/>
      <c r="FC303" s="1080"/>
      <c r="FD303" s="1080"/>
      <c r="FE303" s="1080"/>
      <c r="FF303" s="1080"/>
      <c r="FG303" s="1080"/>
      <c r="FH303" s="1080"/>
      <c r="FI303" s="1080"/>
      <c r="FJ303" s="1340"/>
      <c r="FK303" s="1080"/>
      <c r="FL303" s="1080"/>
      <c r="FM303" s="1080"/>
      <c r="FN303" s="1080"/>
      <c r="FO303" s="1080"/>
      <c r="FP303" s="1080"/>
      <c r="FQ303" s="293"/>
      <c r="FR303" s="293"/>
      <c r="FS303" s="293"/>
      <c r="FT303" s="293"/>
      <c r="FU303" s="293"/>
      <c r="FV303" s="293"/>
      <c r="FW303" s="293"/>
      <c r="FX303" s="293"/>
      <c r="FY303" s="293"/>
      <c r="FZ303" s="293"/>
      <c r="GA303" s="293"/>
      <c r="GB303" s="293"/>
      <c r="GC303" s="293"/>
      <c r="GD303" s="293"/>
      <c r="GE303" s="293"/>
      <c r="GF303" s="293"/>
      <c r="GG303" s="293"/>
      <c r="GH303" s="293"/>
      <c r="GI303" s="293"/>
      <c r="GJ303" s="293"/>
      <c r="GK303" s="293"/>
      <c r="GL303" s="293"/>
      <c r="GM303" s="293"/>
      <c r="GN303" s="293"/>
      <c r="GO303" s="293"/>
      <c r="GP303" s="293"/>
      <c r="GQ303" s="293"/>
      <c r="GR303" s="293"/>
      <c r="GS303" s="293"/>
      <c r="GT303" s="293"/>
      <c r="GU303" s="293"/>
      <c r="GV303" s="293"/>
      <c r="GW303" s="293"/>
      <c r="GX303" s="293"/>
      <c r="GY303" s="293"/>
      <c r="GZ303" s="293"/>
      <c r="HA303" s="293"/>
      <c r="HB303" s="293"/>
      <c r="HC303" s="293"/>
      <c r="HD303" s="293"/>
      <c r="HE303" s="293"/>
      <c r="HF303" s="293"/>
      <c r="HG303" s="293"/>
      <c r="HH303" s="293"/>
      <c r="HI303" s="293"/>
      <c r="HJ303" s="293"/>
      <c r="HK303" s="293"/>
      <c r="HL303" s="293"/>
      <c r="HM303" s="293"/>
      <c r="HN303" s="293"/>
      <c r="HO303" s="293"/>
      <c r="HP303" s="293"/>
      <c r="HQ303" s="293"/>
      <c r="HR303" s="293"/>
      <c r="HS303" s="293"/>
      <c r="HT303" s="293"/>
      <c r="HU303" s="293"/>
      <c r="HV303" s="293"/>
      <c r="HW303" s="293"/>
      <c r="HX303" s="293"/>
      <c r="HY303" s="293"/>
      <c r="IK303" s="279">
        <f>SUM(DO303:DT303)</f>
        <v>0</v>
      </c>
      <c r="KT303" s="280"/>
    </row>
    <row r="304" spans="1:307" hidden="1" outlineLevel="1">
      <c r="D304" s="822"/>
      <c r="CE304" s="793"/>
      <c r="CP304" s="280"/>
      <c r="DC304" s="843" t="s">
        <v>1028</v>
      </c>
      <c r="DN304" s="280">
        <v>2.9366451320000002</v>
      </c>
      <c r="EA304" s="279"/>
      <c r="EB304" s="279"/>
      <c r="EC304" s="279"/>
      <c r="ED304" s="279"/>
      <c r="EE304" s="279"/>
      <c r="EF304" s="279"/>
      <c r="EG304" s="279"/>
      <c r="EH304" s="279"/>
      <c r="EI304" s="279"/>
      <c r="EJ304" s="279"/>
      <c r="EK304" s="279"/>
      <c r="EL304" s="280"/>
      <c r="EM304" s="1082"/>
      <c r="EN304" s="1082"/>
      <c r="EO304" s="1082"/>
      <c r="EP304" s="1082"/>
      <c r="EQ304" s="1082"/>
      <c r="ER304" s="1082"/>
      <c r="ES304" s="1082"/>
      <c r="ET304" s="1082"/>
      <c r="EU304" s="1082"/>
      <c r="EV304" s="1082"/>
      <c r="EW304" s="1082"/>
      <c r="EX304" s="1350"/>
      <c r="EY304" s="1082"/>
      <c r="EZ304" s="1082"/>
      <c r="FA304" s="1082"/>
      <c r="FB304" s="1082"/>
      <c r="FC304" s="1082"/>
      <c r="FD304" s="1082"/>
      <c r="FE304" s="1082"/>
      <c r="FF304" s="1082"/>
      <c r="FG304" s="1082"/>
      <c r="FH304" s="1082"/>
      <c r="FI304" s="1082"/>
      <c r="FJ304" s="1350"/>
      <c r="FK304" s="1082"/>
      <c r="FL304" s="1082"/>
      <c r="FM304" s="1082"/>
      <c r="FN304" s="1082"/>
      <c r="FO304" s="1082"/>
      <c r="FP304" s="1082"/>
      <c r="FQ304" s="279"/>
      <c r="FR304" s="279"/>
      <c r="FS304" s="279"/>
      <c r="FT304" s="279"/>
      <c r="FU304" s="279"/>
      <c r="FV304" s="279"/>
      <c r="FW304" s="279"/>
      <c r="FX304" s="279"/>
      <c r="FY304" s="279"/>
      <c r="FZ304" s="279"/>
      <c r="GA304" s="279"/>
      <c r="GB304" s="279"/>
      <c r="GC304" s="279"/>
      <c r="GD304" s="279"/>
      <c r="GE304" s="279"/>
      <c r="GF304" s="279"/>
      <c r="GG304" s="279"/>
      <c r="GH304" s="279"/>
      <c r="GI304" s="279"/>
      <c r="GJ304" s="279"/>
      <c r="GK304" s="279"/>
      <c r="GL304" s="279"/>
      <c r="GM304" s="279"/>
      <c r="GN304" s="279"/>
      <c r="GO304" s="279"/>
      <c r="GP304" s="279"/>
      <c r="GQ304" s="279"/>
      <c r="GR304" s="279"/>
      <c r="GS304" s="279"/>
      <c r="GT304" s="279"/>
      <c r="GU304" s="279"/>
      <c r="GV304" s="279"/>
      <c r="GW304" s="279"/>
      <c r="GX304" s="279"/>
      <c r="GY304" s="279"/>
      <c r="GZ304" s="279"/>
      <c r="HA304" s="279"/>
      <c r="HB304" s="279"/>
      <c r="HC304" s="279"/>
      <c r="HD304" s="279"/>
      <c r="HE304" s="279"/>
      <c r="HF304" s="279"/>
      <c r="HG304" s="279"/>
      <c r="HH304" s="279"/>
      <c r="HI304" s="279"/>
      <c r="HJ304" s="279"/>
      <c r="HK304" s="279"/>
      <c r="HL304" s="279"/>
      <c r="HM304" s="279"/>
      <c r="HN304" s="279"/>
      <c r="HO304" s="279"/>
      <c r="HP304" s="279"/>
      <c r="HQ304" s="279"/>
      <c r="HR304" s="279"/>
      <c r="HS304" s="279"/>
      <c r="HT304" s="279"/>
      <c r="HU304" s="279"/>
      <c r="HV304" s="279"/>
      <c r="HW304" s="279"/>
      <c r="HX304" s="279"/>
      <c r="HY304" s="279"/>
      <c r="KT304" s="280"/>
    </row>
    <row r="305" spans="1:306" hidden="1" outlineLevel="1">
      <c r="A305" s="291" t="s">
        <v>1046</v>
      </c>
      <c r="D305" s="794" t="s">
        <v>390</v>
      </c>
      <c r="CE305" s="793"/>
      <c r="CP305" s="280"/>
      <c r="EA305" s="279"/>
      <c r="EB305" s="279"/>
      <c r="EC305" s="279"/>
      <c r="ED305" s="279"/>
      <c r="EE305" s="279"/>
      <c r="EF305" s="279"/>
      <c r="EG305" s="279"/>
      <c r="EH305" s="279"/>
      <c r="EI305" s="279"/>
      <c r="EJ305" s="279"/>
      <c r="EK305" s="279"/>
      <c r="EL305" s="280"/>
      <c r="EM305" s="1082"/>
      <c r="EN305" s="1082"/>
      <c r="EO305" s="1082"/>
      <c r="EP305" s="1082"/>
      <c r="EQ305" s="1082"/>
      <c r="ER305" s="1082"/>
      <c r="ES305" s="1082"/>
      <c r="ET305" s="1082"/>
      <c r="EU305" s="1082"/>
      <c r="EV305" s="1082"/>
      <c r="EW305" s="1082"/>
      <c r="EX305" s="1350"/>
      <c r="EY305" s="1082"/>
      <c r="EZ305" s="1082"/>
      <c r="FA305" s="1082"/>
      <c r="FB305" s="1082"/>
      <c r="FC305" s="1082"/>
      <c r="FD305" s="1082"/>
      <c r="FE305" s="1082"/>
      <c r="FF305" s="1082"/>
      <c r="FG305" s="1082"/>
      <c r="FH305" s="1082"/>
      <c r="FI305" s="1082"/>
      <c r="FJ305" s="1350"/>
      <c r="FK305" s="1082"/>
      <c r="FL305" s="1082"/>
      <c r="FM305" s="1082"/>
      <c r="FN305" s="1082"/>
      <c r="FO305" s="1082"/>
      <c r="FP305" s="1082"/>
      <c r="FQ305" s="279"/>
      <c r="FR305" s="279"/>
      <c r="FS305" s="279"/>
      <c r="FT305" s="279"/>
      <c r="FU305" s="279"/>
      <c r="FV305" s="279"/>
      <c r="FW305" s="279"/>
      <c r="FX305" s="279"/>
      <c r="FY305" s="279"/>
      <c r="FZ305" s="279"/>
      <c r="GA305" s="279"/>
      <c r="GB305" s="279"/>
      <c r="GC305" s="279"/>
      <c r="GD305" s="279"/>
      <c r="GE305" s="279"/>
      <c r="GF305" s="279"/>
      <c r="GG305" s="279"/>
      <c r="GH305" s="279"/>
      <c r="GI305" s="279"/>
      <c r="GJ305" s="279"/>
      <c r="GK305" s="279"/>
      <c r="GL305" s="279"/>
      <c r="GM305" s="279"/>
      <c r="GN305" s="279"/>
      <c r="GO305" s="279"/>
      <c r="GP305" s="279"/>
      <c r="GQ305" s="279"/>
      <c r="GR305" s="279"/>
      <c r="GS305" s="279"/>
      <c r="GT305" s="279"/>
      <c r="GU305" s="279"/>
      <c r="GV305" s="279"/>
      <c r="GW305" s="279"/>
      <c r="GX305" s="279"/>
      <c r="GY305" s="279"/>
      <c r="GZ305" s="279"/>
      <c r="HA305" s="279"/>
      <c r="HB305" s="279"/>
      <c r="HC305" s="279"/>
      <c r="HD305" s="279"/>
      <c r="HE305" s="279"/>
      <c r="HF305" s="279"/>
      <c r="HG305" s="279"/>
      <c r="HH305" s="279"/>
      <c r="HI305" s="279"/>
      <c r="HJ305" s="279"/>
      <c r="HK305" s="279"/>
      <c r="HL305" s="279"/>
      <c r="HM305" s="279"/>
      <c r="HN305" s="279"/>
      <c r="HO305" s="279"/>
      <c r="HP305" s="279"/>
      <c r="HQ305" s="279"/>
      <c r="HR305" s="279"/>
      <c r="HS305" s="279"/>
      <c r="HT305" s="279"/>
      <c r="HU305" s="279"/>
      <c r="HV305" s="279"/>
      <c r="HW305" s="279"/>
      <c r="HX305" s="279"/>
      <c r="HY305" s="279"/>
      <c r="KT305" s="280"/>
    </row>
    <row r="306" spans="1:306" hidden="1" outlineLevel="1">
      <c r="A306" s="96" t="s">
        <v>994</v>
      </c>
      <c r="B306" s="96" t="s">
        <v>338</v>
      </c>
      <c r="D306" s="347" t="s">
        <v>458</v>
      </c>
      <c r="CE306" s="793">
        <v>-1.6468438000000001</v>
      </c>
      <c r="CF306" s="279">
        <v>-8.4087999999999996E-2</v>
      </c>
      <c r="CG306" s="279">
        <v>-2.7999999999999998E-4</v>
      </c>
      <c r="CH306" s="279">
        <v>-1.83E-3</v>
      </c>
      <c r="CI306" s="279">
        <v>-6.4999999999999997E-4</v>
      </c>
      <c r="CJ306" s="279">
        <v>-0.21287973299999999</v>
      </c>
      <c r="CK306" s="279">
        <v>-4.8000000000000001E-4</v>
      </c>
      <c r="CL306" s="279">
        <v>-0.95079999999999998</v>
      </c>
      <c r="CM306" s="279">
        <v>-0.38655285700241937</v>
      </c>
      <c r="CN306" s="279">
        <v>0</v>
      </c>
      <c r="CO306" s="279">
        <v>-1.8600000000000001E-3</v>
      </c>
      <c r="CP306" s="280">
        <v>0</v>
      </c>
      <c r="CQ306" s="279">
        <v>-3.5496379069439997E-2</v>
      </c>
      <c r="CR306" s="279">
        <v>-0.26348023300000001</v>
      </c>
      <c r="CS306" s="279">
        <v>-9.2253200000000004E-3</v>
      </c>
      <c r="CT306" s="279">
        <v>-1.1358765</v>
      </c>
      <c r="CU306" s="279">
        <v>-0.17954335799999999</v>
      </c>
      <c r="CV306" s="279">
        <v>-0.47499999999999998</v>
      </c>
      <c r="CW306" s="279">
        <v>-1.2276349999999999E-3</v>
      </c>
      <c r="CX306" s="279">
        <v>-1.8229569000000001E-2</v>
      </c>
      <c r="CY306" s="279">
        <v>-8.8000000000000003E-4</v>
      </c>
      <c r="CZ306" s="279">
        <v>0</v>
      </c>
      <c r="DA306" s="279">
        <v>0</v>
      </c>
      <c r="DB306" s="675">
        <v>0</v>
      </c>
      <c r="DC306" s="843" t="s">
        <v>1024</v>
      </c>
      <c r="EA306" s="279"/>
      <c r="EB306" s="279"/>
      <c r="EC306" s="279"/>
      <c r="ED306" s="279"/>
      <c r="EE306" s="279"/>
      <c r="EF306" s="279"/>
      <c r="EG306" s="279"/>
      <c r="EH306" s="279"/>
      <c r="EI306" s="279"/>
      <c r="EJ306" s="279"/>
      <c r="EK306" s="279"/>
      <c r="EL306" s="280"/>
      <c r="EM306" s="1082"/>
      <c r="EN306" s="1082"/>
      <c r="EO306" s="1082"/>
      <c r="EP306" s="1082"/>
      <c r="EQ306" s="1082"/>
      <c r="ER306" s="1082"/>
      <c r="ES306" s="1082"/>
      <c r="ET306" s="1082"/>
      <c r="EU306" s="1082"/>
      <c r="EV306" s="1082"/>
      <c r="EW306" s="1082"/>
      <c r="EX306" s="1350"/>
      <c r="EY306" s="1082"/>
      <c r="EZ306" s="1082"/>
      <c r="FA306" s="1082"/>
      <c r="FB306" s="1082"/>
      <c r="FC306" s="1082"/>
      <c r="FD306" s="1082"/>
      <c r="FE306" s="1082"/>
      <c r="FF306" s="1082"/>
      <c r="FG306" s="1082"/>
      <c r="FH306" s="1082"/>
      <c r="FI306" s="1082"/>
      <c r="FJ306" s="1350"/>
      <c r="FK306" s="1082"/>
      <c r="FL306" s="1082"/>
      <c r="FM306" s="1082"/>
      <c r="FN306" s="1082"/>
      <c r="FO306" s="1082"/>
      <c r="FP306" s="1082"/>
      <c r="FQ306" s="279"/>
      <c r="FR306" s="279"/>
      <c r="FS306" s="279"/>
      <c r="FT306" s="279"/>
      <c r="FU306" s="279"/>
      <c r="FV306" s="279"/>
      <c r="FW306" s="279"/>
      <c r="FX306" s="279"/>
      <c r="FY306" s="279"/>
      <c r="FZ306" s="279"/>
      <c r="GA306" s="279"/>
      <c r="GB306" s="279"/>
      <c r="GC306" s="279"/>
      <c r="GD306" s="279"/>
      <c r="GE306" s="279"/>
      <c r="GF306" s="279"/>
      <c r="GG306" s="279"/>
      <c r="GH306" s="279"/>
      <c r="GI306" s="279"/>
      <c r="GJ306" s="279"/>
      <c r="GK306" s="279"/>
      <c r="GL306" s="279"/>
      <c r="GM306" s="279"/>
      <c r="GN306" s="279"/>
      <c r="GO306" s="279"/>
      <c r="GP306" s="279"/>
      <c r="GQ306" s="279"/>
      <c r="GR306" s="279"/>
      <c r="GS306" s="279"/>
      <c r="GT306" s="279"/>
      <c r="GU306" s="279"/>
      <c r="GV306" s="279"/>
      <c r="GW306" s="279"/>
      <c r="GX306" s="279"/>
      <c r="GY306" s="279"/>
      <c r="GZ306" s="279"/>
      <c r="HA306" s="279"/>
      <c r="HB306" s="279"/>
      <c r="HC306" s="279"/>
      <c r="HD306" s="279"/>
      <c r="HE306" s="279"/>
      <c r="HF306" s="279"/>
      <c r="HG306" s="279"/>
      <c r="HH306" s="279"/>
      <c r="HI306" s="279"/>
      <c r="HJ306" s="279"/>
      <c r="HK306" s="279"/>
      <c r="HL306" s="279"/>
      <c r="HM306" s="279"/>
      <c r="HN306" s="279"/>
      <c r="HO306" s="279"/>
      <c r="HP306" s="279"/>
      <c r="HQ306" s="279"/>
      <c r="HR306" s="279"/>
      <c r="HS306" s="279"/>
      <c r="HT306" s="279"/>
      <c r="HU306" s="279"/>
      <c r="HV306" s="279"/>
      <c r="HW306" s="279"/>
      <c r="HX306" s="279"/>
      <c r="HY306" s="279"/>
      <c r="KT306" s="280"/>
    </row>
    <row r="307" spans="1:306" hidden="1" outlineLevel="1">
      <c r="B307" s="96" t="s">
        <v>338</v>
      </c>
      <c r="D307" s="297" t="s">
        <v>953</v>
      </c>
      <c r="E307" s="293"/>
      <c r="F307" s="293"/>
      <c r="G307" s="293"/>
      <c r="H307" s="293"/>
      <c r="I307" s="293"/>
      <c r="J307" s="293"/>
      <c r="K307" s="293"/>
      <c r="L307" s="293"/>
      <c r="M307" s="293"/>
      <c r="N307" s="293"/>
      <c r="O307" s="293"/>
      <c r="P307" s="293"/>
      <c r="Q307" s="293"/>
      <c r="R307" s="293"/>
      <c r="S307" s="293"/>
      <c r="T307" s="293"/>
      <c r="U307" s="293"/>
      <c r="V307" s="293"/>
      <c r="W307" s="293"/>
      <c r="X307" s="293"/>
      <c r="Y307" s="29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c r="BN307" s="293"/>
      <c r="BO307" s="293"/>
      <c r="BP307" s="293"/>
      <c r="BQ307" s="293"/>
      <c r="BR307" s="293"/>
      <c r="BS307" s="293"/>
      <c r="BT307" s="293"/>
      <c r="BU307" s="293"/>
      <c r="BV307" s="293"/>
      <c r="BW307" s="293"/>
      <c r="BX307" s="293"/>
      <c r="BY307" s="293"/>
      <c r="BZ307" s="293"/>
      <c r="CA307" s="293"/>
      <c r="CB307" s="293"/>
      <c r="CC307" s="293"/>
      <c r="CD307" s="293"/>
      <c r="CE307" s="294">
        <v>-1.6468438000000001</v>
      </c>
      <c r="CF307" s="293">
        <v>-8.4087999999999996E-2</v>
      </c>
      <c r="CG307" s="293">
        <v>-2.7999999999999998E-4</v>
      </c>
      <c r="CH307" s="293">
        <v>-1.83E-3</v>
      </c>
      <c r="CI307" s="293">
        <v>-6.4999999999999997E-4</v>
      </c>
      <c r="CJ307" s="293">
        <v>-0.21287973299999999</v>
      </c>
      <c r="CK307" s="293">
        <v>-4.8000000000000001E-4</v>
      </c>
      <c r="CL307" s="293">
        <v>-0.95079999999999998</v>
      </c>
      <c r="CM307" s="293">
        <v>-0.38655285700241937</v>
      </c>
      <c r="CN307" s="293">
        <v>0</v>
      </c>
      <c r="CO307" s="293">
        <v>-1.8600000000000001E-3</v>
      </c>
      <c r="CP307" s="295">
        <v>0</v>
      </c>
      <c r="CQ307" s="293">
        <v>-3.5496379069439997E-2</v>
      </c>
      <c r="CR307" s="293">
        <v>-0.26348023300000001</v>
      </c>
      <c r="CS307" s="293">
        <v>-9.2253200000000004E-3</v>
      </c>
      <c r="CT307" s="293">
        <v>-1.1358765</v>
      </c>
      <c r="CU307" s="293">
        <v>-0.17954335799999999</v>
      </c>
      <c r="CV307" s="293">
        <v>-0.47499999999999998</v>
      </c>
      <c r="CW307" s="293">
        <v>-1.2276349999999999E-3</v>
      </c>
      <c r="CX307" s="293">
        <v>-1.8229569000000001E-2</v>
      </c>
      <c r="CY307" s="293">
        <v>-8.8000000000000003E-4</v>
      </c>
      <c r="CZ307" s="293">
        <v>0</v>
      </c>
      <c r="DA307" s="293">
        <v>0</v>
      </c>
      <c r="DB307" s="1288">
        <v>0</v>
      </c>
      <c r="DC307" s="293">
        <v>0</v>
      </c>
      <c r="DD307" s="293">
        <v>0</v>
      </c>
      <c r="DE307" s="293">
        <v>0.70431847800000003</v>
      </c>
      <c r="DF307" s="293">
        <v>0</v>
      </c>
      <c r="DG307" s="293">
        <v>0</v>
      </c>
      <c r="DH307" s="293">
        <v>0.48594737700000001</v>
      </c>
      <c r="DI307" s="293">
        <v>0</v>
      </c>
      <c r="DJ307" s="293">
        <v>0</v>
      </c>
      <c r="DK307" s="293">
        <v>6.2377675E-2</v>
      </c>
      <c r="DL307" s="293">
        <v>0.22141875699999999</v>
      </c>
      <c r="DM307" s="293">
        <v>0</v>
      </c>
      <c r="DN307" s="295">
        <v>0</v>
      </c>
      <c r="DO307" s="293">
        <v>0</v>
      </c>
      <c r="DP307" s="293">
        <v>0</v>
      </c>
      <c r="DQ307" s="293">
        <v>0</v>
      </c>
      <c r="DR307" s="293">
        <v>0</v>
      </c>
      <c r="DS307" s="293">
        <v>0</v>
      </c>
      <c r="DT307" s="293">
        <v>0</v>
      </c>
      <c r="DU307" s="293">
        <v>0</v>
      </c>
      <c r="DV307" s="293">
        <v>0</v>
      </c>
      <c r="DW307" s="293">
        <v>0</v>
      </c>
      <c r="DX307" s="293">
        <v>9.0864968659999992</v>
      </c>
      <c r="DY307" s="293">
        <v>0</v>
      </c>
      <c r="DZ307" s="295">
        <v>0</v>
      </c>
      <c r="EA307" s="293">
        <v>0</v>
      </c>
      <c r="EB307" s="293">
        <v>0</v>
      </c>
      <c r="EC307" s="293">
        <v>0</v>
      </c>
      <c r="ED307" s="293">
        <v>0</v>
      </c>
      <c r="EE307" s="293">
        <v>0</v>
      </c>
      <c r="EF307" s="293">
        <v>0</v>
      </c>
      <c r="EG307" s="293">
        <v>0.14000000000000001</v>
      </c>
      <c r="EH307" s="293">
        <v>0</v>
      </c>
      <c r="EI307" s="293">
        <v>0</v>
      </c>
      <c r="EJ307" s="293">
        <v>1.7452326000000001E-2</v>
      </c>
      <c r="EK307" s="293">
        <v>0</v>
      </c>
      <c r="EL307" s="295">
        <v>0.83253643600000005</v>
      </c>
      <c r="EM307" s="1080">
        <v>3.6000000000000002E-4</v>
      </c>
      <c r="EN307" s="1080">
        <v>1.94E-4</v>
      </c>
      <c r="EO307" s="1080">
        <v>7.9699999999999997E-4</v>
      </c>
      <c r="EP307" s="1080">
        <v>0.27348586600000002</v>
      </c>
      <c r="EQ307" s="1080">
        <v>2.5969999999999999E-3</v>
      </c>
      <c r="ER307" s="1080">
        <v>3.97E-4</v>
      </c>
      <c r="ES307" s="1080"/>
      <c r="ET307" s="1080"/>
      <c r="EU307" s="1080"/>
      <c r="EV307" s="1080"/>
      <c r="EW307" s="1080"/>
      <c r="EX307" s="1340"/>
      <c r="EY307" s="1080"/>
      <c r="EZ307" s="1080"/>
      <c r="FA307" s="1080"/>
      <c r="FB307" s="1080"/>
      <c r="FC307" s="1080"/>
      <c r="FD307" s="1080"/>
      <c r="FE307" s="1080"/>
      <c r="FF307" s="1080"/>
      <c r="FG307" s="1080"/>
      <c r="FH307" s="1080"/>
      <c r="FI307" s="1080"/>
      <c r="FJ307" s="1340"/>
      <c r="FK307" s="1080"/>
      <c r="FL307" s="1080"/>
      <c r="FM307" s="1080"/>
      <c r="FN307" s="1080"/>
      <c r="FO307" s="1080"/>
      <c r="FP307" s="1080"/>
      <c r="FQ307" s="293"/>
      <c r="FR307" s="293"/>
      <c r="FS307" s="293"/>
      <c r="FT307" s="293"/>
      <c r="FU307" s="293"/>
      <c r="FV307" s="293"/>
      <c r="FW307" s="293"/>
      <c r="FX307" s="293"/>
      <c r="FY307" s="293"/>
      <c r="FZ307" s="293"/>
      <c r="GA307" s="293"/>
      <c r="GB307" s="293"/>
      <c r="GC307" s="293"/>
      <c r="GD307" s="293"/>
      <c r="GE307" s="293"/>
      <c r="GF307" s="293"/>
      <c r="GG307" s="293"/>
      <c r="GH307" s="293"/>
      <c r="GI307" s="293"/>
      <c r="GJ307" s="293"/>
      <c r="GK307" s="293"/>
      <c r="GL307" s="293"/>
      <c r="GM307" s="293"/>
      <c r="GN307" s="293"/>
      <c r="GO307" s="293"/>
      <c r="GP307" s="293"/>
      <c r="GQ307" s="293"/>
      <c r="GR307" s="293"/>
      <c r="GS307" s="293"/>
      <c r="GT307" s="293"/>
      <c r="GU307" s="293"/>
      <c r="GV307" s="293"/>
      <c r="GW307" s="293"/>
      <c r="GX307" s="293"/>
      <c r="GY307" s="293"/>
      <c r="GZ307" s="293"/>
      <c r="HA307" s="293"/>
      <c r="HB307" s="293"/>
      <c r="HC307" s="293"/>
      <c r="HD307" s="293"/>
      <c r="HE307" s="293"/>
      <c r="HF307" s="293"/>
      <c r="HG307" s="293"/>
      <c r="HH307" s="293"/>
      <c r="HI307" s="293"/>
      <c r="HJ307" s="293"/>
      <c r="HK307" s="293"/>
      <c r="HL307" s="293"/>
      <c r="HM307" s="293"/>
      <c r="HN307" s="293"/>
      <c r="HO307" s="293"/>
      <c r="HP307" s="293"/>
      <c r="HQ307" s="293"/>
      <c r="HR307" s="293"/>
      <c r="HS307" s="293"/>
      <c r="HT307" s="293"/>
      <c r="HU307" s="293"/>
      <c r="HV307" s="293"/>
      <c r="HW307" s="293"/>
      <c r="HX307" s="293"/>
      <c r="HY307" s="293"/>
      <c r="HZ307" s="281">
        <v>0</v>
      </c>
      <c r="KT307" s="280"/>
    </row>
    <row r="308" spans="1:306" hidden="1" outlineLevel="1">
      <c r="D308" s="279"/>
      <c r="CP308" s="280"/>
      <c r="DC308" s="843" t="s">
        <v>1025</v>
      </c>
      <c r="EA308" s="279"/>
      <c r="EB308" s="279"/>
      <c r="EC308" s="279"/>
      <c r="ED308" s="279"/>
      <c r="EE308" s="279"/>
      <c r="EF308" s="279"/>
      <c r="EG308" s="279"/>
      <c r="EH308" s="279"/>
      <c r="EI308" s="279"/>
      <c r="EJ308" s="279"/>
      <c r="EK308" s="279"/>
      <c r="EL308" s="280"/>
      <c r="EM308" s="1082"/>
      <c r="EN308" s="1082"/>
      <c r="EO308" s="1082"/>
      <c r="EP308" s="1082"/>
      <c r="EQ308" s="1082"/>
      <c r="ER308" s="1082"/>
      <c r="ES308" s="1082"/>
      <c r="ET308" s="1082"/>
      <c r="EU308" s="1082"/>
      <c r="EV308" s="1082"/>
      <c r="EW308" s="1082"/>
      <c r="EX308" s="1350"/>
      <c r="EY308" s="1082"/>
      <c r="EZ308" s="1082"/>
      <c r="FA308" s="1082"/>
      <c r="FB308" s="1082"/>
      <c r="FC308" s="1082"/>
      <c r="FD308" s="1082"/>
      <c r="FE308" s="1082"/>
      <c r="FF308" s="1082"/>
      <c r="FG308" s="1082"/>
      <c r="FH308" s="1082"/>
      <c r="FI308" s="1082"/>
      <c r="FJ308" s="1350"/>
      <c r="FK308" s="1082"/>
      <c r="FL308" s="1082"/>
      <c r="FM308" s="1082"/>
      <c r="FN308" s="1082"/>
      <c r="FO308" s="1082"/>
      <c r="FP308" s="1082"/>
      <c r="FQ308" s="279"/>
      <c r="FR308" s="279"/>
      <c r="FS308" s="279"/>
      <c r="FT308" s="279"/>
      <c r="FU308" s="279"/>
      <c r="FV308" s="279"/>
      <c r="FW308" s="279"/>
      <c r="FX308" s="279"/>
      <c r="FY308" s="279"/>
      <c r="FZ308" s="279"/>
      <c r="GA308" s="279"/>
      <c r="GB308" s="279"/>
      <c r="GC308" s="279"/>
      <c r="GD308" s="279"/>
      <c r="GE308" s="279"/>
      <c r="GF308" s="279"/>
      <c r="GG308" s="279"/>
      <c r="GH308" s="279"/>
      <c r="GI308" s="279"/>
      <c r="GJ308" s="279"/>
      <c r="GK308" s="279"/>
      <c r="GL308" s="279"/>
      <c r="GM308" s="279"/>
      <c r="GN308" s="279"/>
      <c r="GO308" s="279"/>
      <c r="GP308" s="279"/>
      <c r="GQ308" s="279"/>
      <c r="GR308" s="279"/>
      <c r="GS308" s="279"/>
      <c r="GT308" s="279"/>
      <c r="GU308" s="279"/>
      <c r="GV308" s="279"/>
      <c r="GW308" s="279"/>
      <c r="GX308" s="279"/>
      <c r="GY308" s="279"/>
      <c r="GZ308" s="279"/>
      <c r="HA308" s="279"/>
      <c r="HB308" s="279"/>
      <c r="HC308" s="279"/>
      <c r="HD308" s="279"/>
      <c r="HE308" s="279"/>
      <c r="HF308" s="279"/>
      <c r="HG308" s="279"/>
      <c r="HH308" s="279"/>
      <c r="HI308" s="279"/>
      <c r="HJ308" s="279"/>
      <c r="HK308" s="279"/>
      <c r="HL308" s="279"/>
      <c r="HM308" s="279"/>
      <c r="HN308" s="279"/>
      <c r="HO308" s="279"/>
      <c r="HP308" s="279"/>
      <c r="HQ308" s="279"/>
      <c r="HR308" s="279"/>
      <c r="HS308" s="279"/>
      <c r="HT308" s="279"/>
      <c r="HU308" s="279"/>
      <c r="HV308" s="279"/>
      <c r="HW308" s="279"/>
      <c r="HX308" s="279"/>
      <c r="HY308" s="279"/>
      <c r="KT308" s="280"/>
    </row>
    <row r="309" spans="1:306" hidden="1" outlineLevel="1">
      <c r="D309" s="822"/>
      <c r="CE309" s="793"/>
      <c r="CP309" s="280"/>
      <c r="EA309" s="279"/>
      <c r="EB309" s="279"/>
      <c r="EC309" s="279"/>
      <c r="ED309" s="279"/>
      <c r="EE309" s="279"/>
      <c r="EF309" s="279"/>
      <c r="EG309" s="279"/>
      <c r="EH309" s="279"/>
      <c r="EI309" s="279"/>
      <c r="EJ309" s="279"/>
      <c r="EK309" s="279"/>
      <c r="EL309" s="280"/>
      <c r="EM309" s="1082"/>
      <c r="EN309" s="1082"/>
      <c r="EO309" s="1082"/>
      <c r="EP309" s="1082"/>
      <c r="EQ309" s="1082"/>
      <c r="ER309" s="1082"/>
      <c r="ES309" s="1082"/>
      <c r="ET309" s="1082"/>
      <c r="EU309" s="1082"/>
      <c r="EV309" s="1082"/>
      <c r="EW309" s="1082"/>
      <c r="EX309" s="1350"/>
      <c r="EY309" s="1082"/>
      <c r="EZ309" s="1082"/>
      <c r="FA309" s="1082"/>
      <c r="FB309" s="1082"/>
      <c r="FC309" s="1082"/>
      <c r="FD309" s="1082"/>
      <c r="FE309" s="1082"/>
      <c r="FF309" s="1082"/>
      <c r="FG309" s="1082"/>
      <c r="FH309" s="1082"/>
      <c r="FI309" s="1082"/>
      <c r="FJ309" s="1350"/>
      <c r="FK309" s="1082"/>
      <c r="FL309" s="1082"/>
      <c r="FM309" s="1082"/>
      <c r="FN309" s="1082"/>
      <c r="FO309" s="1082"/>
      <c r="FP309" s="1082"/>
      <c r="FQ309" s="279"/>
      <c r="FR309" s="279"/>
      <c r="FS309" s="279"/>
      <c r="FT309" s="279"/>
      <c r="FU309" s="279"/>
      <c r="FV309" s="279"/>
      <c r="FW309" s="279"/>
      <c r="FX309" s="279"/>
      <c r="FY309" s="279"/>
      <c r="FZ309" s="279"/>
      <c r="GA309" s="279"/>
      <c r="GB309" s="279"/>
      <c r="GC309" s="279"/>
      <c r="GD309" s="279"/>
      <c r="GE309" s="279"/>
      <c r="GF309" s="279"/>
      <c r="GG309" s="279"/>
      <c r="GH309" s="279"/>
      <c r="GI309" s="279"/>
      <c r="GJ309" s="279"/>
      <c r="GK309" s="279"/>
      <c r="GL309" s="279"/>
      <c r="GM309" s="279"/>
      <c r="GN309" s="279"/>
      <c r="GO309" s="279"/>
      <c r="GP309" s="279"/>
      <c r="GQ309" s="279"/>
      <c r="GR309" s="279"/>
      <c r="GS309" s="279"/>
      <c r="GT309" s="279"/>
      <c r="GU309" s="279"/>
      <c r="GV309" s="279"/>
      <c r="GW309" s="279"/>
      <c r="GX309" s="279"/>
      <c r="GY309" s="279"/>
      <c r="GZ309" s="279"/>
      <c r="HA309" s="279"/>
      <c r="HB309" s="279"/>
      <c r="HC309" s="279"/>
      <c r="HD309" s="279"/>
      <c r="HE309" s="279"/>
      <c r="HF309" s="279"/>
      <c r="HG309" s="279"/>
      <c r="HH309" s="279"/>
      <c r="HI309" s="279"/>
      <c r="HJ309" s="279"/>
      <c r="HK309" s="279"/>
      <c r="HL309" s="279"/>
      <c r="HM309" s="279"/>
      <c r="HN309" s="279"/>
      <c r="HO309" s="279"/>
      <c r="HP309" s="279"/>
      <c r="HQ309" s="279"/>
      <c r="HR309" s="279"/>
      <c r="HS309" s="279"/>
      <c r="HT309" s="279"/>
      <c r="HU309" s="279"/>
      <c r="HV309" s="279"/>
      <c r="HW309" s="279"/>
      <c r="HX309" s="279"/>
      <c r="HY309" s="279"/>
      <c r="KT309" s="280"/>
    </row>
    <row r="310" spans="1:306" hidden="1" outlineLevel="1">
      <c r="A310" s="291" t="s">
        <v>1045</v>
      </c>
      <c r="D310" s="822"/>
      <c r="CE310" s="793"/>
      <c r="CP310" s="280"/>
      <c r="DC310" s="843" t="s">
        <v>955</v>
      </c>
      <c r="EA310" s="279"/>
      <c r="EB310" s="279"/>
      <c r="EC310" s="279"/>
      <c r="ED310" s="279"/>
      <c r="EE310" s="279"/>
      <c r="EF310" s="279"/>
      <c r="EG310" s="279"/>
      <c r="EH310" s="279"/>
      <c r="EI310" s="279"/>
      <c r="EJ310" s="279"/>
      <c r="EK310" s="279"/>
      <c r="EL310" s="280"/>
      <c r="EM310" s="1082"/>
      <c r="EN310" s="1082"/>
      <c r="EO310" s="1082"/>
      <c r="EP310" s="1082"/>
      <c r="EQ310" s="1082"/>
      <c r="ER310" s="1082"/>
      <c r="ES310" s="1082"/>
      <c r="ET310" s="1082"/>
      <c r="EU310" s="1082"/>
      <c r="EV310" s="1082"/>
      <c r="EW310" s="1082"/>
      <c r="EX310" s="1350"/>
      <c r="EY310" s="1082"/>
      <c r="EZ310" s="1082"/>
      <c r="FA310" s="1082"/>
      <c r="FB310" s="1082"/>
      <c r="FC310" s="1082"/>
      <c r="FD310" s="1082"/>
      <c r="FE310" s="1082"/>
      <c r="FF310" s="1082"/>
      <c r="FG310" s="1082"/>
      <c r="FH310" s="1082"/>
      <c r="FI310" s="1082"/>
      <c r="FJ310" s="1350"/>
      <c r="FK310" s="1082"/>
      <c r="FL310" s="1082"/>
      <c r="FM310" s="1082"/>
      <c r="FN310" s="1082"/>
      <c r="FO310" s="1082"/>
      <c r="FP310" s="1082"/>
      <c r="FQ310" s="279"/>
      <c r="FR310" s="279"/>
      <c r="FS310" s="279"/>
      <c r="FT310" s="279"/>
      <c r="FU310" s="279"/>
      <c r="FV310" s="279"/>
      <c r="FW310" s="279"/>
      <c r="FX310" s="279"/>
      <c r="FY310" s="279"/>
      <c r="FZ310" s="279"/>
      <c r="GA310" s="279"/>
      <c r="GB310" s="279"/>
      <c r="GC310" s="279"/>
      <c r="GD310" s="279"/>
      <c r="GE310" s="279"/>
      <c r="GF310" s="279"/>
      <c r="GG310" s="279"/>
      <c r="GH310" s="279"/>
      <c r="GI310" s="279"/>
      <c r="GJ310" s="279"/>
      <c r="GK310" s="279"/>
      <c r="GL310" s="279"/>
      <c r="GM310" s="279"/>
      <c r="GN310" s="279"/>
      <c r="GO310" s="279"/>
      <c r="GP310" s="279"/>
      <c r="GQ310" s="279"/>
      <c r="GR310" s="279"/>
      <c r="GS310" s="279"/>
      <c r="GT310" s="279"/>
      <c r="GU310" s="279"/>
      <c r="GV310" s="279"/>
      <c r="GW310" s="279"/>
      <c r="GX310" s="279"/>
      <c r="GY310" s="279"/>
      <c r="GZ310" s="279"/>
      <c r="HA310" s="279"/>
      <c r="HB310" s="279"/>
      <c r="HC310" s="279"/>
      <c r="HD310" s="279"/>
      <c r="HE310" s="279"/>
      <c r="HF310" s="279"/>
      <c r="HG310" s="279"/>
      <c r="HH310" s="279"/>
      <c r="HI310" s="279"/>
      <c r="HJ310" s="279"/>
      <c r="HK310" s="279"/>
      <c r="HL310" s="279"/>
      <c r="HM310" s="279"/>
      <c r="HN310" s="279"/>
      <c r="HO310" s="279"/>
      <c r="HP310" s="279"/>
      <c r="HQ310" s="279"/>
      <c r="HR310" s="279"/>
      <c r="HS310" s="279"/>
      <c r="HT310" s="279"/>
      <c r="HU310" s="279"/>
      <c r="HV310" s="279"/>
      <c r="HW310" s="279"/>
      <c r="HX310" s="279"/>
      <c r="HY310" s="279"/>
      <c r="KT310" s="280"/>
    </row>
    <row r="311" spans="1:306" hidden="1" outlineLevel="1">
      <c r="B311" s="96" t="s">
        <v>338</v>
      </c>
      <c r="D311" s="308" t="s">
        <v>957</v>
      </c>
      <c r="E311" s="293"/>
      <c r="F311" s="293"/>
      <c r="G311" s="293"/>
      <c r="H311" s="293"/>
      <c r="I311" s="293"/>
      <c r="J311" s="293"/>
      <c r="K311" s="293"/>
      <c r="L311" s="293"/>
      <c r="M311" s="293"/>
      <c r="N311" s="293"/>
      <c r="O311" s="293"/>
      <c r="P311" s="293"/>
      <c r="Q311" s="293"/>
      <c r="R311" s="293"/>
      <c r="S311" s="293"/>
      <c r="T311" s="293"/>
      <c r="U311" s="293"/>
      <c r="V311" s="293"/>
      <c r="W311" s="293"/>
      <c r="X311" s="293"/>
      <c r="Y311" s="29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c r="BN311" s="293"/>
      <c r="BO311" s="293"/>
      <c r="BP311" s="293"/>
      <c r="BQ311" s="293"/>
      <c r="BR311" s="293"/>
      <c r="BS311" s="293"/>
      <c r="BT311" s="293"/>
      <c r="BU311" s="293"/>
      <c r="BV311" s="293"/>
      <c r="BW311" s="293"/>
      <c r="BX311" s="293"/>
      <c r="BY311" s="293"/>
      <c r="BZ311" s="293"/>
      <c r="CA311" s="293"/>
      <c r="CB311" s="293"/>
      <c r="CC311" s="293"/>
      <c r="CD311" s="293"/>
      <c r="CE311" s="294">
        <v>2.3905059930000001</v>
      </c>
      <c r="CF311" s="293">
        <v>21.624498694</v>
      </c>
      <c r="CG311" s="293">
        <v>4.644686139</v>
      </c>
      <c r="CH311" s="293">
        <v>3.6924965100000002</v>
      </c>
      <c r="CI311" s="293">
        <v>4.0014218450000003</v>
      </c>
      <c r="CJ311" s="293">
        <v>3.0514968039999997</v>
      </c>
      <c r="CK311" s="293">
        <v>9.5048288400000001</v>
      </c>
      <c r="CL311" s="293">
        <v>2.8854914190000001</v>
      </c>
      <c r="CM311" s="293">
        <v>13.888101193000001</v>
      </c>
      <c r="CN311" s="293">
        <v>0.34203537899999997</v>
      </c>
      <c r="CO311" s="293">
        <v>3.1457971009999999</v>
      </c>
      <c r="CP311" s="295">
        <v>15.697589456000001</v>
      </c>
      <c r="CQ311" s="293">
        <v>3.3839473980000001</v>
      </c>
      <c r="CR311" s="293">
        <v>5.8449674539999998</v>
      </c>
      <c r="CS311" s="293">
        <v>7.1366772320000003</v>
      </c>
      <c r="CT311" s="293">
        <v>2.87493949</v>
      </c>
      <c r="CU311" s="293">
        <v>4.2249999999999996</v>
      </c>
      <c r="CV311" s="293">
        <v>3.3</v>
      </c>
      <c r="CW311" s="293">
        <v>3.7044001180000001</v>
      </c>
      <c r="CX311" s="293">
        <v>6.7442345449999994</v>
      </c>
      <c r="CY311" s="293">
        <v>6.7000030000000006</v>
      </c>
      <c r="CZ311" s="293">
        <v>0</v>
      </c>
      <c r="DA311" s="293">
        <v>3.4</v>
      </c>
      <c r="DB311" s="1288">
        <v>3.3</v>
      </c>
      <c r="DC311" s="862">
        <v>42186</v>
      </c>
      <c r="DD311" s="862">
        <v>42217</v>
      </c>
      <c r="DE311" s="862">
        <v>42248</v>
      </c>
      <c r="DF311" s="862">
        <v>42278</v>
      </c>
      <c r="DG311" s="862">
        <v>42309</v>
      </c>
      <c r="DH311" s="862">
        <v>42339</v>
      </c>
      <c r="DI311" s="862">
        <v>42370</v>
      </c>
      <c r="DJ311" s="862">
        <v>42401</v>
      </c>
      <c r="DK311" s="862">
        <v>42430</v>
      </c>
      <c r="DL311" s="862">
        <v>42461</v>
      </c>
      <c r="DM311" s="862">
        <v>42491</v>
      </c>
      <c r="DN311" s="1328">
        <v>42522</v>
      </c>
      <c r="DO311" s="836">
        <v>42552</v>
      </c>
      <c r="DP311" s="836">
        <v>42583</v>
      </c>
      <c r="DQ311" s="836">
        <v>42614</v>
      </c>
      <c r="DR311" s="836">
        <v>42644</v>
      </c>
      <c r="DS311" s="836">
        <v>42675</v>
      </c>
      <c r="DT311" s="836">
        <v>42705</v>
      </c>
      <c r="DU311" s="836">
        <v>42736</v>
      </c>
      <c r="DV311" s="836">
        <v>42767</v>
      </c>
      <c r="DW311" s="836">
        <v>42795</v>
      </c>
      <c r="DX311" s="836">
        <v>42826</v>
      </c>
      <c r="DY311" s="836">
        <v>42856</v>
      </c>
      <c r="DZ311" s="872">
        <v>42887</v>
      </c>
      <c r="EA311" s="836">
        <v>42917</v>
      </c>
      <c r="EB311" s="836">
        <v>42948</v>
      </c>
      <c r="EC311" s="836">
        <v>42979</v>
      </c>
      <c r="ED311" s="836">
        <v>43009</v>
      </c>
      <c r="EE311" s="836">
        <v>43040</v>
      </c>
      <c r="EF311" s="836">
        <v>43070</v>
      </c>
      <c r="EG311" s="836">
        <v>43101</v>
      </c>
      <c r="EH311" s="836">
        <v>43132</v>
      </c>
      <c r="EI311" s="836">
        <v>43160</v>
      </c>
      <c r="EJ311" s="836">
        <v>43191</v>
      </c>
      <c r="EK311" s="836">
        <v>43221</v>
      </c>
      <c r="EL311" s="872">
        <v>43252</v>
      </c>
      <c r="EM311" s="1079">
        <v>43282</v>
      </c>
      <c r="EN311" s="1079">
        <v>43313</v>
      </c>
      <c r="EO311" s="1079">
        <v>43344</v>
      </c>
      <c r="EP311" s="1079">
        <v>43374</v>
      </c>
      <c r="EQ311" s="1079">
        <v>43405</v>
      </c>
      <c r="ER311" s="1079">
        <v>43435</v>
      </c>
      <c r="ES311" s="1079">
        <v>43466</v>
      </c>
      <c r="ET311" s="1079">
        <v>43497</v>
      </c>
      <c r="EU311" s="1079">
        <v>43525</v>
      </c>
      <c r="EV311" s="1079">
        <v>43556</v>
      </c>
      <c r="EW311" s="1079">
        <v>43586</v>
      </c>
      <c r="EX311" s="1348">
        <v>43617</v>
      </c>
      <c r="EY311" s="1079">
        <v>43647</v>
      </c>
      <c r="EZ311" s="1079">
        <v>43678</v>
      </c>
      <c r="FA311" s="1079">
        <v>43709</v>
      </c>
      <c r="FB311" s="1079">
        <v>43739</v>
      </c>
      <c r="FC311" s="1079">
        <v>43770</v>
      </c>
      <c r="FD311" s="1079">
        <v>43800</v>
      </c>
      <c r="FE311" s="1079">
        <v>43831</v>
      </c>
      <c r="FF311" s="1079">
        <v>43862</v>
      </c>
      <c r="FG311" s="1079">
        <v>43891</v>
      </c>
      <c r="FH311" s="1079">
        <v>43922</v>
      </c>
      <c r="FI311" s="1079">
        <v>43952</v>
      </c>
      <c r="FJ311" s="1348">
        <v>43983</v>
      </c>
      <c r="FK311" s="1079">
        <v>44013</v>
      </c>
      <c r="FL311" s="1079">
        <v>44044</v>
      </c>
      <c r="FM311" s="1079">
        <v>44075</v>
      </c>
      <c r="FN311" s="1079">
        <v>44105</v>
      </c>
      <c r="FO311" s="1079">
        <v>44136</v>
      </c>
      <c r="FP311" s="1079">
        <v>44166</v>
      </c>
      <c r="FQ311" s="836"/>
      <c r="FR311" s="836"/>
      <c r="FS311" s="836"/>
      <c r="FT311" s="836"/>
      <c r="FU311" s="836"/>
      <c r="FV311" s="836"/>
      <c r="FW311" s="836"/>
      <c r="FX311" s="836"/>
      <c r="FY311" s="836"/>
      <c r="FZ311" s="836"/>
      <c r="GA311" s="836"/>
      <c r="GB311" s="836"/>
      <c r="GC311" s="836"/>
      <c r="GD311" s="836"/>
      <c r="GE311" s="836"/>
      <c r="GF311" s="836"/>
      <c r="GG311" s="836"/>
      <c r="GH311" s="836"/>
      <c r="GI311" s="836"/>
      <c r="GJ311" s="836"/>
      <c r="GK311" s="836"/>
      <c r="GL311" s="836"/>
      <c r="GM311" s="836"/>
      <c r="GN311" s="836"/>
      <c r="GO311" s="836"/>
      <c r="GP311" s="836"/>
      <c r="GQ311" s="836"/>
      <c r="GR311" s="836"/>
      <c r="GS311" s="836"/>
      <c r="GT311" s="836"/>
      <c r="GU311" s="836"/>
      <c r="GV311" s="836"/>
      <c r="GW311" s="836"/>
      <c r="GX311" s="836"/>
      <c r="GY311" s="836"/>
      <c r="GZ311" s="836"/>
      <c r="HA311" s="836"/>
      <c r="HB311" s="836"/>
      <c r="HC311" s="836"/>
      <c r="HD311" s="836"/>
      <c r="HE311" s="836"/>
      <c r="HF311" s="836"/>
      <c r="HG311" s="836"/>
      <c r="HH311" s="836"/>
      <c r="HI311" s="836"/>
      <c r="HJ311" s="836"/>
      <c r="HK311" s="836"/>
      <c r="HL311" s="836"/>
      <c r="HM311" s="836"/>
      <c r="HN311" s="836"/>
      <c r="HO311" s="836"/>
      <c r="HP311" s="836"/>
      <c r="HQ311" s="836"/>
      <c r="HR311" s="836"/>
      <c r="HS311" s="836"/>
      <c r="HT311" s="836"/>
      <c r="HU311" s="836"/>
      <c r="HV311" s="836"/>
      <c r="HW311" s="836"/>
      <c r="HX311" s="836"/>
      <c r="HY311" s="836"/>
      <c r="KT311" s="280"/>
    </row>
    <row r="312" spans="1:306" hidden="1" outlineLevel="1">
      <c r="A312" s="96" t="s">
        <v>878</v>
      </c>
      <c r="D312" s="293" t="s">
        <v>944</v>
      </c>
      <c r="E312" s="293"/>
      <c r="F312" s="293"/>
      <c r="G312" s="293"/>
      <c r="H312" s="293"/>
      <c r="I312" s="293"/>
      <c r="J312" s="293"/>
      <c r="K312" s="293"/>
      <c r="L312" s="293"/>
      <c r="M312" s="293"/>
      <c r="N312" s="293"/>
      <c r="O312" s="293"/>
      <c r="P312" s="293"/>
      <c r="Q312" s="293"/>
      <c r="R312" s="293"/>
      <c r="S312" s="293"/>
      <c r="T312" s="293"/>
      <c r="U312" s="293"/>
      <c r="V312" s="293"/>
      <c r="W312" s="293"/>
      <c r="X312" s="293"/>
      <c r="Y312" s="29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c r="BN312" s="293"/>
      <c r="BO312" s="293"/>
      <c r="BP312" s="293"/>
      <c r="BQ312" s="293"/>
      <c r="BR312" s="293"/>
      <c r="BS312" s="293"/>
      <c r="BT312" s="293"/>
      <c r="BU312" s="293"/>
      <c r="BV312" s="293"/>
      <c r="BW312" s="293"/>
      <c r="BX312" s="293"/>
      <c r="BY312" s="293"/>
      <c r="BZ312" s="293"/>
      <c r="CA312" s="293"/>
      <c r="CB312" s="293"/>
      <c r="CC312" s="293"/>
      <c r="CD312" s="293"/>
      <c r="CE312" s="294"/>
      <c r="CF312" s="293"/>
      <c r="CG312" s="293"/>
      <c r="CH312" s="293"/>
      <c r="CI312" s="293"/>
      <c r="CJ312" s="293"/>
      <c r="CK312" s="293"/>
      <c r="CL312" s="293"/>
      <c r="CM312" s="293"/>
      <c r="CN312" s="293"/>
      <c r="CO312" s="293"/>
      <c r="CP312" s="295"/>
      <c r="CQ312" s="293"/>
      <c r="CR312" s="293"/>
      <c r="CS312" s="293"/>
      <c r="CT312" s="293"/>
      <c r="CU312" s="293"/>
      <c r="CV312" s="293"/>
      <c r="CW312" s="293"/>
      <c r="CX312" s="293"/>
      <c r="CY312" s="293"/>
      <c r="CZ312" s="293"/>
      <c r="DA312" s="293"/>
      <c r="DB312" s="1288"/>
      <c r="DC312" s="293">
        <v>0</v>
      </c>
      <c r="DD312" s="293">
        <v>0</v>
      </c>
      <c r="DE312" s="293">
        <v>0</v>
      </c>
      <c r="DF312" s="293">
        <v>0.23668661499999999</v>
      </c>
      <c r="DG312" s="293">
        <v>0</v>
      </c>
      <c r="DH312" s="293">
        <v>0</v>
      </c>
      <c r="DI312" s="293">
        <v>0</v>
      </c>
      <c r="DJ312" s="293">
        <v>0</v>
      </c>
      <c r="DK312" s="293">
        <v>0</v>
      </c>
      <c r="DL312" s="293">
        <v>0</v>
      </c>
      <c r="DM312" s="293">
        <v>0</v>
      </c>
      <c r="DN312" s="295">
        <v>0</v>
      </c>
      <c r="DO312" s="293">
        <v>0</v>
      </c>
      <c r="DP312" s="293">
        <v>0</v>
      </c>
      <c r="DQ312" s="293">
        <v>0</v>
      </c>
      <c r="DR312" s="293">
        <v>0</v>
      </c>
      <c r="DS312" s="293">
        <v>0</v>
      </c>
      <c r="DT312" s="293">
        <v>0</v>
      </c>
      <c r="DU312" s="293">
        <v>0</v>
      </c>
      <c r="DV312" s="293">
        <v>0</v>
      </c>
      <c r="DW312" s="293">
        <v>0</v>
      </c>
      <c r="DX312" s="293">
        <v>0</v>
      </c>
      <c r="DY312" s="293">
        <v>0.996028527</v>
      </c>
      <c r="DZ312" s="295">
        <v>0</v>
      </c>
      <c r="EA312" s="293">
        <v>0</v>
      </c>
      <c r="EB312" s="293">
        <v>0</v>
      </c>
      <c r="EC312" s="293">
        <v>0</v>
      </c>
      <c r="ED312" s="293">
        <v>0</v>
      </c>
      <c r="EE312" s="293">
        <v>0</v>
      </c>
      <c r="EF312" s="293">
        <v>0</v>
      </c>
      <c r="EG312" s="293">
        <v>0</v>
      </c>
      <c r="EH312" s="293">
        <v>0</v>
      </c>
      <c r="EI312" s="293">
        <v>0</v>
      </c>
      <c r="EJ312" s="293">
        <v>0</v>
      </c>
      <c r="EK312" s="293">
        <v>0</v>
      </c>
      <c r="EL312" s="295">
        <v>0</v>
      </c>
      <c r="EM312" s="1080">
        <v>0</v>
      </c>
      <c r="EN312" s="1080">
        <v>0</v>
      </c>
      <c r="EO312" s="1080">
        <v>0</v>
      </c>
      <c r="EP312" s="1080">
        <v>0</v>
      </c>
      <c r="EQ312" s="1080">
        <v>0</v>
      </c>
      <c r="ER312" s="1080">
        <v>0</v>
      </c>
      <c r="ES312" s="1080">
        <v>0</v>
      </c>
      <c r="ET312" s="1080">
        <v>0</v>
      </c>
      <c r="EU312" s="1080">
        <v>0</v>
      </c>
      <c r="EV312" s="1080">
        <v>0</v>
      </c>
      <c r="EW312" s="1080">
        <v>0</v>
      </c>
      <c r="EX312" s="1340">
        <v>0</v>
      </c>
      <c r="EY312" s="1080"/>
      <c r="EZ312" s="1080"/>
      <c r="FA312" s="1080"/>
      <c r="FB312" s="1080"/>
      <c r="FC312" s="1080"/>
      <c r="FD312" s="1080"/>
      <c r="FE312" s="1080"/>
      <c r="FF312" s="1080"/>
      <c r="FG312" s="1080"/>
      <c r="FH312" s="1080"/>
      <c r="FI312" s="1080"/>
      <c r="FJ312" s="1340"/>
      <c r="FK312" s="1080"/>
      <c r="FL312" s="1080"/>
      <c r="FM312" s="1080"/>
      <c r="FN312" s="1080"/>
      <c r="FO312" s="1080"/>
      <c r="FP312" s="1080"/>
      <c r="FQ312" s="293"/>
      <c r="FR312" s="293"/>
      <c r="FS312" s="293"/>
      <c r="FT312" s="293"/>
      <c r="FU312" s="293"/>
      <c r="FV312" s="293"/>
      <c r="FW312" s="293"/>
      <c r="FX312" s="293"/>
      <c r="FY312" s="293"/>
      <c r="FZ312" s="293"/>
      <c r="GA312" s="293"/>
      <c r="GB312" s="293"/>
      <c r="GC312" s="293"/>
      <c r="GD312" s="293"/>
      <c r="GE312" s="293"/>
      <c r="GF312" s="293"/>
      <c r="GG312" s="293"/>
      <c r="GH312" s="293"/>
      <c r="GI312" s="293"/>
      <c r="GJ312" s="293"/>
      <c r="GK312" s="293"/>
      <c r="GL312" s="293"/>
      <c r="GM312" s="293"/>
      <c r="GN312" s="293"/>
      <c r="GO312" s="293"/>
      <c r="GP312" s="293"/>
      <c r="GQ312" s="293"/>
      <c r="GR312" s="293"/>
      <c r="GS312" s="293"/>
      <c r="GT312" s="293"/>
      <c r="GU312" s="293"/>
      <c r="GV312" s="293"/>
      <c r="GW312" s="293"/>
      <c r="GX312" s="293"/>
      <c r="GY312" s="293"/>
      <c r="GZ312" s="293"/>
      <c r="HA312" s="293"/>
      <c r="HB312" s="293"/>
      <c r="HC312" s="293"/>
      <c r="HD312" s="293"/>
      <c r="HE312" s="293"/>
      <c r="HF312" s="293"/>
      <c r="HG312" s="293"/>
      <c r="HH312" s="293"/>
      <c r="HI312" s="293"/>
      <c r="HJ312" s="293"/>
      <c r="HK312" s="293"/>
      <c r="HL312" s="293"/>
      <c r="HM312" s="293"/>
      <c r="HN312" s="293"/>
      <c r="HO312" s="293"/>
      <c r="HP312" s="293"/>
      <c r="HQ312" s="293"/>
      <c r="HR312" s="293"/>
      <c r="HS312" s="293"/>
      <c r="HT312" s="293"/>
      <c r="HU312" s="293"/>
      <c r="HV312" s="293"/>
      <c r="HW312" s="293"/>
      <c r="HX312" s="293"/>
      <c r="HY312" s="293"/>
      <c r="IK312" s="279">
        <f t="shared" ref="IK312:IK319" si="253">SUM(DO312:DT312)</f>
        <v>0</v>
      </c>
      <c r="KT312" s="280"/>
    </row>
    <row r="313" spans="1:306" hidden="1" outlineLevel="1">
      <c r="D313" s="293" t="s">
        <v>945</v>
      </c>
      <c r="E313" s="293"/>
      <c r="F313" s="293"/>
      <c r="G313" s="293"/>
      <c r="H313" s="293"/>
      <c r="I313" s="293"/>
      <c r="J313" s="293"/>
      <c r="K313" s="293"/>
      <c r="L313" s="293"/>
      <c r="M313" s="293"/>
      <c r="N313" s="293"/>
      <c r="O313" s="293"/>
      <c r="P313" s="293"/>
      <c r="Q313" s="293"/>
      <c r="R313" s="293"/>
      <c r="S313" s="293"/>
      <c r="T313" s="293"/>
      <c r="U313" s="293"/>
      <c r="V313" s="293"/>
      <c r="W313" s="293"/>
      <c r="X313" s="293"/>
      <c r="Y313" s="29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c r="BN313" s="293"/>
      <c r="BO313" s="293"/>
      <c r="BP313" s="293"/>
      <c r="BQ313" s="293"/>
      <c r="BR313" s="293"/>
      <c r="BS313" s="293"/>
      <c r="BT313" s="293"/>
      <c r="BU313" s="293"/>
      <c r="BV313" s="293"/>
      <c r="BW313" s="293"/>
      <c r="BX313" s="293"/>
      <c r="BY313" s="293"/>
      <c r="BZ313" s="293"/>
      <c r="CA313" s="293"/>
      <c r="CB313" s="293"/>
      <c r="CC313" s="293"/>
      <c r="CD313" s="293"/>
      <c r="CE313" s="294"/>
      <c r="CF313" s="293"/>
      <c r="CG313" s="293"/>
      <c r="CH313" s="293"/>
      <c r="CI313" s="293"/>
      <c r="CJ313" s="293"/>
      <c r="CK313" s="293"/>
      <c r="CL313" s="293"/>
      <c r="CM313" s="293"/>
      <c r="CN313" s="293"/>
      <c r="CO313" s="293"/>
      <c r="CP313" s="295"/>
      <c r="CQ313" s="293"/>
      <c r="CR313" s="293"/>
      <c r="CS313" s="293"/>
      <c r="CT313" s="293"/>
      <c r="CU313" s="293"/>
      <c r="CV313" s="293"/>
      <c r="CW313" s="293"/>
      <c r="CX313" s="293"/>
      <c r="CY313" s="293"/>
      <c r="CZ313" s="293"/>
      <c r="DA313" s="293"/>
      <c r="DB313" s="1288"/>
      <c r="DC313" s="293">
        <v>0</v>
      </c>
      <c r="DD313" s="293">
        <v>0</v>
      </c>
      <c r="DE313" s="293">
        <v>0</v>
      </c>
      <c r="DF313" s="293">
        <v>0</v>
      </c>
      <c r="DG313" s="293">
        <v>0</v>
      </c>
      <c r="DH313" s="293">
        <v>0</v>
      </c>
      <c r="DI313" s="293">
        <v>3</v>
      </c>
      <c r="DJ313" s="293">
        <v>0</v>
      </c>
      <c r="DK313" s="293">
        <v>0</v>
      </c>
      <c r="DL313" s="293">
        <v>0</v>
      </c>
      <c r="DM313" s="293">
        <v>0</v>
      </c>
      <c r="DN313" s="295">
        <v>0</v>
      </c>
      <c r="DO313" s="293">
        <v>0</v>
      </c>
      <c r="DP313" s="293">
        <v>0</v>
      </c>
      <c r="DQ313" s="293">
        <v>0</v>
      </c>
      <c r="DR313" s="293">
        <v>1.1499999999999999</v>
      </c>
      <c r="DS313" s="293">
        <v>0</v>
      </c>
      <c r="DT313" s="293">
        <v>0</v>
      </c>
      <c r="DU313" s="293">
        <v>0.6</v>
      </c>
      <c r="DV313" s="293">
        <v>0</v>
      </c>
      <c r="DW313" s="293">
        <v>0</v>
      </c>
      <c r="DX313" s="293">
        <v>0.4</v>
      </c>
      <c r="DY313" s="293">
        <v>0</v>
      </c>
      <c r="DZ313" s="295">
        <v>0</v>
      </c>
      <c r="EA313" s="293">
        <v>0</v>
      </c>
      <c r="EB313" s="293">
        <v>1.6</v>
      </c>
      <c r="EC313" s="293">
        <v>0</v>
      </c>
      <c r="ED313" s="293">
        <v>0</v>
      </c>
      <c r="EE313" s="293">
        <v>0</v>
      </c>
      <c r="EF313" s="293">
        <v>0</v>
      </c>
      <c r="EG313" s="293">
        <v>0</v>
      </c>
      <c r="EH313" s="293">
        <v>0</v>
      </c>
      <c r="EI313" s="293">
        <v>0</v>
      </c>
      <c r="EJ313" s="293">
        <v>0</v>
      </c>
      <c r="EK313" s="293">
        <v>0</v>
      </c>
      <c r="EL313" s="295">
        <v>0</v>
      </c>
      <c r="EM313" s="1080">
        <v>0</v>
      </c>
      <c r="EN313" s="1080">
        <v>3.06</v>
      </c>
      <c r="EO313" s="1080">
        <v>0</v>
      </c>
      <c r="EP313" s="1080">
        <v>0</v>
      </c>
      <c r="EQ313" s="1080">
        <v>0</v>
      </c>
      <c r="ER313" s="1080">
        <v>0</v>
      </c>
      <c r="ES313" s="1080">
        <v>0</v>
      </c>
      <c r="ET313" s="1080">
        <v>0</v>
      </c>
      <c r="EU313" s="1080">
        <v>0</v>
      </c>
      <c r="EV313" s="1080">
        <v>0</v>
      </c>
      <c r="EW313" s="1080">
        <v>0</v>
      </c>
      <c r="EX313" s="1340">
        <v>0</v>
      </c>
      <c r="EY313" s="1080"/>
      <c r="EZ313" s="1080"/>
      <c r="FA313" s="1080"/>
      <c r="FB313" s="1080"/>
      <c r="FC313" s="1080"/>
      <c r="FD313" s="1080"/>
      <c r="FE313" s="1080"/>
      <c r="FF313" s="1080"/>
      <c r="FG313" s="1080"/>
      <c r="FH313" s="1080"/>
      <c r="FI313" s="1080"/>
      <c r="FJ313" s="1340"/>
      <c r="FK313" s="1080"/>
      <c r="FL313" s="1080"/>
      <c r="FM313" s="1080"/>
      <c r="FN313" s="1080"/>
      <c r="FO313" s="1080"/>
      <c r="FP313" s="1080"/>
      <c r="FQ313" s="293"/>
      <c r="FR313" s="293"/>
      <c r="FS313" s="293"/>
      <c r="FT313" s="293"/>
      <c r="FU313" s="293"/>
      <c r="FV313" s="293"/>
      <c r="FW313" s="293"/>
      <c r="FX313" s="293"/>
      <c r="FY313" s="293"/>
      <c r="FZ313" s="293"/>
      <c r="GA313" s="293"/>
      <c r="GB313" s="293"/>
      <c r="GC313" s="293"/>
      <c r="GD313" s="293"/>
      <c r="GE313" s="293"/>
      <c r="GF313" s="293"/>
      <c r="GG313" s="293"/>
      <c r="GH313" s="293"/>
      <c r="GI313" s="293"/>
      <c r="GJ313" s="293"/>
      <c r="GK313" s="293"/>
      <c r="GL313" s="293"/>
      <c r="GM313" s="293"/>
      <c r="GN313" s="293"/>
      <c r="GO313" s="293"/>
      <c r="GP313" s="293"/>
      <c r="GQ313" s="293"/>
      <c r="GR313" s="293"/>
      <c r="GS313" s="293"/>
      <c r="GT313" s="293"/>
      <c r="GU313" s="293"/>
      <c r="GV313" s="293"/>
      <c r="GW313" s="293"/>
      <c r="GX313" s="293"/>
      <c r="GY313" s="293"/>
      <c r="GZ313" s="293"/>
      <c r="HA313" s="293"/>
      <c r="HB313" s="293"/>
      <c r="HC313" s="293"/>
      <c r="HD313" s="293"/>
      <c r="HE313" s="293"/>
      <c r="HF313" s="293"/>
      <c r="HG313" s="293"/>
      <c r="HH313" s="293"/>
      <c r="HI313" s="293"/>
      <c r="HJ313" s="293"/>
      <c r="HK313" s="293"/>
      <c r="HL313" s="293"/>
      <c r="HM313" s="293"/>
      <c r="HN313" s="293"/>
      <c r="HO313" s="293"/>
      <c r="HP313" s="293"/>
      <c r="HQ313" s="293"/>
      <c r="HR313" s="293"/>
      <c r="HS313" s="293"/>
      <c r="HT313" s="293"/>
      <c r="HU313" s="293"/>
      <c r="HV313" s="293"/>
      <c r="HW313" s="293"/>
      <c r="HX313" s="293"/>
      <c r="HY313" s="293"/>
      <c r="IK313" s="279">
        <f t="shared" si="253"/>
        <v>1.1499999999999999</v>
      </c>
      <c r="KT313" s="280"/>
    </row>
    <row r="314" spans="1:306" hidden="1" outlineLevel="1">
      <c r="D314" s="293" t="s">
        <v>946</v>
      </c>
      <c r="E314" s="293"/>
      <c r="F314" s="293"/>
      <c r="G314" s="293"/>
      <c r="H314" s="293"/>
      <c r="I314" s="293"/>
      <c r="J314" s="293"/>
      <c r="K314" s="293"/>
      <c r="L314" s="293"/>
      <c r="M314" s="293"/>
      <c r="N314" s="293"/>
      <c r="O314" s="293"/>
      <c r="P314" s="293"/>
      <c r="Q314" s="293"/>
      <c r="R314" s="293"/>
      <c r="S314" s="293"/>
      <c r="T314" s="293"/>
      <c r="U314" s="293"/>
      <c r="V314" s="293"/>
      <c r="W314" s="293"/>
      <c r="X314" s="293"/>
      <c r="Y314" s="29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c r="BN314" s="293"/>
      <c r="BO314" s="293"/>
      <c r="BP314" s="293"/>
      <c r="BQ314" s="293"/>
      <c r="BR314" s="293"/>
      <c r="BS314" s="293"/>
      <c r="BT314" s="293"/>
      <c r="BU314" s="293"/>
      <c r="BV314" s="293"/>
      <c r="BW314" s="293"/>
      <c r="BX314" s="293"/>
      <c r="BY314" s="293"/>
      <c r="BZ314" s="293"/>
      <c r="CA314" s="293"/>
      <c r="CB314" s="293"/>
      <c r="CC314" s="293"/>
      <c r="CD314" s="293"/>
      <c r="CE314" s="294"/>
      <c r="CF314" s="293"/>
      <c r="CG314" s="293"/>
      <c r="CH314" s="293"/>
      <c r="CI314" s="293"/>
      <c r="CJ314" s="293"/>
      <c r="CK314" s="293"/>
      <c r="CL314" s="293"/>
      <c r="CM314" s="293"/>
      <c r="CN314" s="293"/>
      <c r="CO314" s="293"/>
      <c r="CP314" s="295"/>
      <c r="CQ314" s="293"/>
      <c r="CR314" s="293"/>
      <c r="CS314" s="293"/>
      <c r="CT314" s="293"/>
      <c r="CU314" s="293"/>
      <c r="CV314" s="293"/>
      <c r="CW314" s="293"/>
      <c r="CX314" s="293"/>
      <c r="CY314" s="293"/>
      <c r="CZ314" s="293"/>
      <c r="DA314" s="293"/>
      <c r="DB314" s="1288"/>
      <c r="DC314" s="293">
        <v>0</v>
      </c>
      <c r="DD314" s="293">
        <v>0</v>
      </c>
      <c r="DE314" s="293">
        <v>0.36849867800000002</v>
      </c>
      <c r="DF314" s="293">
        <v>0</v>
      </c>
      <c r="DG314" s="293">
        <v>0.37262134400000002</v>
      </c>
      <c r="DH314" s="293">
        <v>0</v>
      </c>
      <c r="DI314" s="293">
        <v>0.37845983700000002</v>
      </c>
      <c r="DJ314" s="293">
        <v>0</v>
      </c>
      <c r="DK314" s="293">
        <v>0</v>
      </c>
      <c r="DL314" s="293">
        <v>0.389861544</v>
      </c>
      <c r="DM314" s="293">
        <v>0</v>
      </c>
      <c r="DN314" s="295">
        <v>0</v>
      </c>
      <c r="DO314" s="293">
        <v>0</v>
      </c>
      <c r="DP314" s="293">
        <v>0.30663901399999999</v>
      </c>
      <c r="DQ314" s="293">
        <v>0</v>
      </c>
      <c r="DR314" s="293">
        <v>0.31163317499999998</v>
      </c>
      <c r="DS314" s="293">
        <v>0</v>
      </c>
      <c r="DT314" s="293">
        <v>0</v>
      </c>
      <c r="DU314" s="293">
        <v>0.643098795</v>
      </c>
      <c r="DV314" s="293">
        <v>0</v>
      </c>
      <c r="DW314" s="293">
        <v>0</v>
      </c>
      <c r="DX314" s="293">
        <v>0.31770605200000002</v>
      </c>
      <c r="DY314" s="293">
        <v>0</v>
      </c>
      <c r="DZ314" s="295">
        <v>0</v>
      </c>
      <c r="EA314" s="293">
        <v>0</v>
      </c>
      <c r="EB314" s="293">
        <v>0</v>
      </c>
      <c r="EC314" s="293">
        <v>0</v>
      </c>
      <c r="ED314" s="293">
        <v>0.84660976499999996</v>
      </c>
      <c r="EE314" s="293">
        <v>0</v>
      </c>
      <c r="EF314" s="293">
        <v>0</v>
      </c>
      <c r="EG314" s="293">
        <v>0.21356771699999999</v>
      </c>
      <c r="EH314" s="293">
        <v>0</v>
      </c>
      <c r="EI314" s="293">
        <v>0</v>
      </c>
      <c r="EJ314" s="293">
        <v>0.215527204</v>
      </c>
      <c r="EK314" s="293">
        <v>0</v>
      </c>
      <c r="EL314" s="295">
        <v>0</v>
      </c>
      <c r="EM314" s="1080">
        <v>0</v>
      </c>
      <c r="EN314" s="1080">
        <v>0</v>
      </c>
      <c r="EO314" s="1080">
        <v>0</v>
      </c>
      <c r="EP314" s="1080">
        <v>0.17596346099999999</v>
      </c>
      <c r="EQ314" s="1080">
        <v>0.17690678800000001</v>
      </c>
      <c r="ER314" s="1080">
        <v>0</v>
      </c>
      <c r="ES314" s="1080">
        <v>0.17803535500000001</v>
      </c>
      <c r="ET314" s="1080">
        <v>0</v>
      </c>
      <c r="EU314" s="1080">
        <v>0.64876636600000004</v>
      </c>
      <c r="EV314" s="1080">
        <v>0</v>
      </c>
      <c r="EW314" s="1080">
        <v>0</v>
      </c>
      <c r="EX314" s="1340">
        <v>0</v>
      </c>
      <c r="EY314" s="1080"/>
      <c r="EZ314" s="1080"/>
      <c r="FA314" s="1080"/>
      <c r="FB314" s="1080"/>
      <c r="FC314" s="1080"/>
      <c r="FD314" s="1080"/>
      <c r="FE314" s="1080"/>
      <c r="FF314" s="1080"/>
      <c r="FG314" s="1080"/>
      <c r="FH314" s="1080"/>
      <c r="FI314" s="1080"/>
      <c r="FJ314" s="1340"/>
      <c r="FK314" s="1080"/>
      <c r="FL314" s="1080"/>
      <c r="FM314" s="1080"/>
      <c r="FN314" s="1080"/>
      <c r="FO314" s="1080"/>
      <c r="FP314" s="1080"/>
      <c r="FQ314" s="293"/>
      <c r="FR314" s="293"/>
      <c r="FS314" s="293"/>
      <c r="FT314" s="293"/>
      <c r="FU314" s="293"/>
      <c r="FV314" s="293"/>
      <c r="FW314" s="293"/>
      <c r="FX314" s="293"/>
      <c r="FY314" s="293"/>
      <c r="FZ314" s="293"/>
      <c r="GA314" s="293"/>
      <c r="GB314" s="293"/>
      <c r="GC314" s="293"/>
      <c r="GD314" s="293"/>
      <c r="GE314" s="293"/>
      <c r="GF314" s="293"/>
      <c r="GG314" s="293"/>
      <c r="GH314" s="293"/>
      <c r="GI314" s="293"/>
      <c r="GJ314" s="293"/>
      <c r="GK314" s="293"/>
      <c r="GL314" s="293"/>
      <c r="GM314" s="293"/>
      <c r="GN314" s="293"/>
      <c r="GO314" s="293"/>
      <c r="GP314" s="293"/>
      <c r="GQ314" s="293"/>
      <c r="GR314" s="293"/>
      <c r="GS314" s="293"/>
      <c r="GT314" s="293"/>
      <c r="GU314" s="293"/>
      <c r="GV314" s="293"/>
      <c r="GW314" s="293"/>
      <c r="GX314" s="293"/>
      <c r="GY314" s="293"/>
      <c r="GZ314" s="293"/>
      <c r="HA314" s="293"/>
      <c r="HB314" s="293"/>
      <c r="HC314" s="293"/>
      <c r="HD314" s="293"/>
      <c r="HE314" s="293"/>
      <c r="HF314" s="293"/>
      <c r="HG314" s="293"/>
      <c r="HH314" s="293"/>
      <c r="HI314" s="293"/>
      <c r="HJ314" s="293"/>
      <c r="HK314" s="293"/>
      <c r="HL314" s="293"/>
      <c r="HM314" s="293"/>
      <c r="HN314" s="293"/>
      <c r="HO314" s="293"/>
      <c r="HP314" s="293"/>
      <c r="HQ314" s="293"/>
      <c r="HR314" s="293"/>
      <c r="HS314" s="293"/>
      <c r="HT314" s="293"/>
      <c r="HU314" s="293"/>
      <c r="HV314" s="293"/>
      <c r="HW314" s="293"/>
      <c r="HX314" s="293"/>
      <c r="HY314" s="293"/>
      <c r="IK314" s="279">
        <f t="shared" si="253"/>
        <v>0.61827218900000003</v>
      </c>
      <c r="KT314" s="280"/>
    </row>
    <row r="315" spans="1:306" hidden="1" outlineLevel="1">
      <c r="D315" s="293" t="s">
        <v>947</v>
      </c>
      <c r="E315" s="293"/>
      <c r="F315" s="293"/>
      <c r="G315" s="293"/>
      <c r="H315" s="293"/>
      <c r="I315" s="293"/>
      <c r="J315" s="293"/>
      <c r="K315" s="293"/>
      <c r="L315" s="293"/>
      <c r="M315" s="293"/>
      <c r="N315" s="293"/>
      <c r="O315" s="293"/>
      <c r="P315" s="293"/>
      <c r="Q315" s="293"/>
      <c r="R315" s="293"/>
      <c r="S315" s="293"/>
      <c r="T315" s="293"/>
      <c r="U315" s="293"/>
      <c r="V315" s="293"/>
      <c r="W315" s="293"/>
      <c r="X315" s="293"/>
      <c r="Y315" s="29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c r="BN315" s="293"/>
      <c r="BO315" s="293"/>
      <c r="BP315" s="293"/>
      <c r="BQ315" s="293"/>
      <c r="BR315" s="293"/>
      <c r="BS315" s="293"/>
      <c r="BT315" s="293"/>
      <c r="BU315" s="293"/>
      <c r="BV315" s="293"/>
      <c r="BW315" s="293"/>
      <c r="BX315" s="293"/>
      <c r="BY315" s="293"/>
      <c r="BZ315" s="293"/>
      <c r="CA315" s="293"/>
      <c r="CB315" s="293"/>
      <c r="CC315" s="293"/>
      <c r="CD315" s="293"/>
      <c r="CE315" s="294"/>
      <c r="CF315" s="293"/>
      <c r="CG315" s="293"/>
      <c r="CH315" s="293"/>
      <c r="CI315" s="293"/>
      <c r="CJ315" s="293"/>
      <c r="CK315" s="293"/>
      <c r="CL315" s="293"/>
      <c r="CM315" s="293"/>
      <c r="CN315" s="293"/>
      <c r="CO315" s="293"/>
      <c r="CP315" s="295"/>
      <c r="CQ315" s="293"/>
      <c r="CR315" s="293"/>
      <c r="CS315" s="293"/>
      <c r="CT315" s="293"/>
      <c r="CU315" s="293"/>
      <c r="CV315" s="293"/>
      <c r="CW315" s="293"/>
      <c r="CX315" s="293"/>
      <c r="CY315" s="293"/>
      <c r="CZ315" s="293"/>
      <c r="DA315" s="293"/>
      <c r="DB315" s="1288"/>
      <c r="DC315" s="293"/>
      <c r="DD315" s="293"/>
      <c r="DE315" s="293"/>
      <c r="DF315" s="293"/>
      <c r="DG315" s="293"/>
      <c r="DH315" s="293"/>
      <c r="DI315" s="293"/>
      <c r="DJ315" s="293"/>
      <c r="DK315" s="293"/>
      <c r="DL315" s="293"/>
      <c r="DM315" s="293"/>
      <c r="DN315" s="295"/>
      <c r="DO315" s="293"/>
      <c r="DP315" s="293"/>
      <c r="DQ315" s="293"/>
      <c r="DR315" s="293"/>
      <c r="DS315" s="293"/>
      <c r="DT315" s="293"/>
      <c r="DU315" s="293"/>
      <c r="DV315" s="293"/>
      <c r="DW315" s="293"/>
      <c r="DX315" s="293"/>
      <c r="DY315" s="293"/>
      <c r="DZ315" s="295"/>
      <c r="EA315" s="293"/>
      <c r="EB315" s="293"/>
      <c r="EC315" s="293"/>
      <c r="ED315" s="293"/>
      <c r="EE315" s="293"/>
      <c r="EF315" s="293"/>
      <c r="EG315" s="293"/>
      <c r="EH315" s="293"/>
      <c r="EI315" s="293"/>
      <c r="EJ315" s="293"/>
      <c r="EK315" s="293"/>
      <c r="EL315" s="295"/>
      <c r="EM315" s="1080">
        <v>0</v>
      </c>
      <c r="EN315" s="1080">
        <v>0</v>
      </c>
      <c r="EO315" s="1080">
        <v>0</v>
      </c>
      <c r="EP315" s="1080">
        <v>0</v>
      </c>
      <c r="EQ315" s="1080">
        <v>0</v>
      </c>
      <c r="ER315" s="1080">
        <v>0</v>
      </c>
      <c r="ES315" s="1080">
        <v>0</v>
      </c>
      <c r="ET315" s="1080">
        <v>0</v>
      </c>
      <c r="EU315" s="1080">
        <v>0</v>
      </c>
      <c r="EV315" s="1080">
        <v>0</v>
      </c>
      <c r="EW315" s="1080">
        <v>0</v>
      </c>
      <c r="EX315" s="1340">
        <v>0</v>
      </c>
      <c r="EY315" s="1080"/>
      <c r="EZ315" s="1080"/>
      <c r="FA315" s="1080"/>
      <c r="FB315" s="1080"/>
      <c r="FC315" s="1080"/>
      <c r="FD315" s="1080"/>
      <c r="FE315" s="1080"/>
      <c r="FF315" s="1080"/>
      <c r="FG315" s="1080"/>
      <c r="FH315" s="1080"/>
      <c r="FI315" s="1080"/>
      <c r="FJ315" s="1340"/>
      <c r="FK315" s="1080"/>
      <c r="FL315" s="1080"/>
      <c r="FM315" s="1080"/>
      <c r="FN315" s="1080"/>
      <c r="FO315" s="1080"/>
      <c r="FP315" s="1080"/>
      <c r="FQ315" s="293"/>
      <c r="FR315" s="293"/>
      <c r="FS315" s="293"/>
      <c r="FT315" s="293"/>
      <c r="FU315" s="293"/>
      <c r="FV315" s="293"/>
      <c r="FW315" s="293"/>
      <c r="FX315" s="293"/>
      <c r="FY315" s="293"/>
      <c r="FZ315" s="293"/>
      <c r="GA315" s="293"/>
      <c r="GB315" s="293"/>
      <c r="GC315" s="293"/>
      <c r="GD315" s="293"/>
      <c r="GE315" s="293"/>
      <c r="GF315" s="293"/>
      <c r="GG315" s="293"/>
      <c r="GH315" s="293"/>
      <c r="GI315" s="293"/>
      <c r="GJ315" s="293"/>
      <c r="GK315" s="293"/>
      <c r="GL315" s="293"/>
      <c r="GM315" s="293"/>
      <c r="GN315" s="293"/>
      <c r="GO315" s="293"/>
      <c r="GP315" s="293"/>
      <c r="GQ315" s="293"/>
      <c r="GR315" s="293"/>
      <c r="GS315" s="293"/>
      <c r="GT315" s="293"/>
      <c r="GU315" s="293"/>
      <c r="GV315" s="293"/>
      <c r="GW315" s="293"/>
      <c r="GX315" s="293"/>
      <c r="GY315" s="293"/>
      <c r="GZ315" s="293"/>
      <c r="HA315" s="293"/>
      <c r="HB315" s="293"/>
      <c r="HC315" s="293"/>
      <c r="HD315" s="293"/>
      <c r="HE315" s="293"/>
      <c r="HF315" s="293"/>
      <c r="HG315" s="293"/>
      <c r="HH315" s="293"/>
      <c r="HI315" s="293"/>
      <c r="HJ315" s="293"/>
      <c r="HK315" s="293"/>
      <c r="HL315" s="293"/>
      <c r="HM315" s="293"/>
      <c r="HN315" s="293"/>
      <c r="HO315" s="293"/>
      <c r="HP315" s="293"/>
      <c r="HQ315" s="293"/>
      <c r="HR315" s="293"/>
      <c r="HS315" s="293"/>
      <c r="HT315" s="293"/>
      <c r="HU315" s="293"/>
      <c r="HV315" s="293"/>
      <c r="HW315" s="293"/>
      <c r="HX315" s="293"/>
      <c r="HY315" s="293"/>
      <c r="IK315" s="279">
        <f t="shared" si="253"/>
        <v>0</v>
      </c>
      <c r="KT315" s="280"/>
    </row>
    <row r="316" spans="1:306" hidden="1" outlineLevel="1">
      <c r="B316" s="96" t="s">
        <v>338</v>
      </c>
      <c r="D316" s="293" t="s">
        <v>948</v>
      </c>
      <c r="E316" s="293"/>
      <c r="F316" s="293"/>
      <c r="G316" s="293"/>
      <c r="H316" s="293"/>
      <c r="I316" s="293"/>
      <c r="J316" s="293"/>
      <c r="K316" s="293"/>
      <c r="L316" s="293"/>
      <c r="M316" s="293"/>
      <c r="N316" s="293"/>
      <c r="O316" s="293"/>
      <c r="P316" s="293"/>
      <c r="Q316" s="293"/>
      <c r="R316" s="293"/>
      <c r="S316" s="293"/>
      <c r="T316" s="293"/>
      <c r="U316" s="293"/>
      <c r="V316" s="293"/>
      <c r="W316" s="293"/>
      <c r="X316" s="293"/>
      <c r="Y316" s="29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c r="BN316" s="293"/>
      <c r="BO316" s="293"/>
      <c r="BP316" s="293"/>
      <c r="BQ316" s="293"/>
      <c r="BR316" s="293"/>
      <c r="BS316" s="293"/>
      <c r="BT316" s="293"/>
      <c r="BU316" s="293"/>
      <c r="BV316" s="293"/>
      <c r="BW316" s="293"/>
      <c r="BX316" s="293"/>
      <c r="BY316" s="293"/>
      <c r="BZ316" s="293"/>
      <c r="CA316" s="293"/>
      <c r="CB316" s="293"/>
      <c r="CC316" s="293"/>
      <c r="CD316" s="293"/>
      <c r="CE316" s="294">
        <v>2.390504993</v>
      </c>
      <c r="CF316" s="293">
        <v>7.4228355150000001</v>
      </c>
      <c r="CG316" s="293">
        <v>3.3296801729999999</v>
      </c>
      <c r="CH316" s="293">
        <v>3.6924955100000001</v>
      </c>
      <c r="CI316" s="293">
        <v>4</v>
      </c>
      <c r="CJ316" s="293">
        <v>2.8368251789999999</v>
      </c>
      <c r="CK316" s="293">
        <v>2.7035992700000002</v>
      </c>
      <c r="CL316" s="293">
        <v>2.8833706860000001</v>
      </c>
      <c r="CM316" s="293">
        <v>1.6852193000000001E-2</v>
      </c>
      <c r="CN316" s="293">
        <v>0.34203537899999997</v>
      </c>
      <c r="CO316" s="293">
        <v>8.5795100999999999E-2</v>
      </c>
      <c r="CP316" s="295">
        <v>1.722784256</v>
      </c>
      <c r="CQ316" s="293">
        <v>3.3838203980000001</v>
      </c>
      <c r="CR316" s="293">
        <v>5.7186317999999998</v>
      </c>
      <c r="CS316" s="293">
        <v>6.1350750520000004</v>
      </c>
      <c r="CT316" s="293">
        <v>2.87493949</v>
      </c>
      <c r="CU316" s="293">
        <v>4.2249999999999996</v>
      </c>
      <c r="CV316" s="293">
        <v>3.3</v>
      </c>
      <c r="CW316" s="293">
        <v>3.7043971180000002</v>
      </c>
      <c r="CX316" s="293">
        <v>3.3</v>
      </c>
      <c r="CY316" s="293">
        <v>6.7</v>
      </c>
      <c r="CZ316" s="293">
        <v>0</v>
      </c>
      <c r="DA316" s="293">
        <v>3.4</v>
      </c>
      <c r="DB316" s="1288">
        <v>3.3</v>
      </c>
      <c r="DC316" s="293">
        <v>3.3</v>
      </c>
      <c r="DD316" s="293">
        <v>3.3</v>
      </c>
      <c r="DE316" s="293">
        <v>3.3</v>
      </c>
      <c r="DF316" s="293">
        <v>3.3</v>
      </c>
      <c r="DG316" s="293">
        <v>4</v>
      </c>
      <c r="DH316" s="293">
        <v>4</v>
      </c>
      <c r="DI316" s="293">
        <v>3.3</v>
      </c>
      <c r="DJ316" s="293">
        <v>4</v>
      </c>
      <c r="DK316" s="293">
        <v>2.875</v>
      </c>
      <c r="DL316" s="293">
        <v>2.875</v>
      </c>
      <c r="DM316" s="293">
        <v>2.875</v>
      </c>
      <c r="DN316" s="295">
        <v>2.966221956</v>
      </c>
      <c r="DO316" s="293">
        <v>4.8980108539999998</v>
      </c>
      <c r="DP316" s="293">
        <v>6.5999999989999996</v>
      </c>
      <c r="DQ316" s="293">
        <v>6.81953502</v>
      </c>
      <c r="DR316" s="293">
        <v>6.81953502</v>
      </c>
      <c r="DS316" s="293">
        <v>7.6440726510000001</v>
      </c>
      <c r="DT316" s="293">
        <v>5.9949982159999999</v>
      </c>
      <c r="DU316" s="293">
        <v>6.81953502</v>
      </c>
      <c r="DV316" s="293">
        <v>6.81953502</v>
      </c>
      <c r="DW316" s="293">
        <v>6.81953502</v>
      </c>
      <c r="DX316" s="293">
        <v>6.8195348039999999</v>
      </c>
      <c r="DY316" s="293">
        <v>7.9879124170000004</v>
      </c>
      <c r="DZ316" s="295">
        <v>6.8195350120000002</v>
      </c>
      <c r="EA316" s="293">
        <v>9.8000000000000007</v>
      </c>
      <c r="EB316" s="293">
        <v>3.81953502</v>
      </c>
      <c r="EC316" s="293">
        <v>21.81953502</v>
      </c>
      <c r="ED316" s="293">
        <v>6.8195350039999996</v>
      </c>
      <c r="EE316" s="293">
        <v>6.81953502</v>
      </c>
      <c r="EF316" s="293">
        <v>6.8195350279999998</v>
      </c>
      <c r="EG316" s="293">
        <v>6.81953502</v>
      </c>
      <c r="EH316" s="293">
        <v>6.81953502</v>
      </c>
      <c r="EI316" s="293">
        <v>12.721860212999999</v>
      </c>
      <c r="EJ316" s="293">
        <v>4.3411505400000001</v>
      </c>
      <c r="EK316" s="293">
        <v>8.6823010800000002</v>
      </c>
      <c r="EL316" s="295">
        <v>0</v>
      </c>
      <c r="EM316" s="1080">
        <v>14.730464983999999</v>
      </c>
      <c r="EN316" s="1080">
        <v>3.2421803100000002</v>
      </c>
      <c r="EO316" s="1080">
        <v>17.972645320000002</v>
      </c>
      <c r="EP316" s="1080">
        <v>8.9863226459999996</v>
      </c>
      <c r="EQ316" s="1080">
        <v>18.986322625</v>
      </c>
      <c r="ER316" s="1080">
        <v>0</v>
      </c>
      <c r="ES316" s="1080">
        <v>17.972645289999999</v>
      </c>
      <c r="ET316" s="1080">
        <v>8.9863226449999996</v>
      </c>
      <c r="EU316" s="1080">
        <v>8.9863226600000008</v>
      </c>
      <c r="EV316" s="1080">
        <v>8.9863226449999996</v>
      </c>
      <c r="EW316" s="1080">
        <v>8.9863226479999998</v>
      </c>
      <c r="EX316" s="1340">
        <v>0</v>
      </c>
      <c r="EY316" s="1080"/>
      <c r="EZ316" s="1080"/>
      <c r="FA316" s="1080"/>
      <c r="FB316" s="1080"/>
      <c r="FC316" s="1080"/>
      <c r="FD316" s="1080"/>
      <c r="FE316" s="1080"/>
      <c r="FF316" s="1080"/>
      <c r="FG316" s="1080"/>
      <c r="FH316" s="1080"/>
      <c r="FI316" s="1080"/>
      <c r="FJ316" s="1340"/>
      <c r="FK316" s="1080"/>
      <c r="FL316" s="1080"/>
      <c r="FM316" s="1080"/>
      <c r="FN316" s="1080"/>
      <c r="FO316" s="1080"/>
      <c r="FP316" s="1080"/>
      <c r="FQ316" s="293"/>
      <c r="FR316" s="293"/>
      <c r="FS316" s="293"/>
      <c r="FT316" s="293"/>
      <c r="FU316" s="293"/>
      <c r="FV316" s="293"/>
      <c r="FW316" s="293"/>
      <c r="FX316" s="293"/>
      <c r="FY316" s="293"/>
      <c r="FZ316" s="293"/>
      <c r="GA316" s="293"/>
      <c r="GB316" s="293"/>
      <c r="GC316" s="293"/>
      <c r="GD316" s="293"/>
      <c r="GE316" s="293"/>
      <c r="GF316" s="293"/>
      <c r="GG316" s="293"/>
      <c r="GH316" s="293"/>
      <c r="GI316" s="293"/>
      <c r="GJ316" s="293"/>
      <c r="GK316" s="293"/>
      <c r="GL316" s="293"/>
      <c r="GM316" s="293"/>
      <c r="GN316" s="293"/>
      <c r="GO316" s="293"/>
      <c r="GP316" s="293"/>
      <c r="GQ316" s="293"/>
      <c r="GR316" s="293"/>
      <c r="GS316" s="293"/>
      <c r="GT316" s="293"/>
      <c r="GU316" s="293"/>
      <c r="GV316" s="293"/>
      <c r="GW316" s="293"/>
      <c r="GX316" s="293"/>
      <c r="GY316" s="293"/>
      <c r="GZ316" s="293"/>
      <c r="HA316" s="293"/>
      <c r="HB316" s="293"/>
      <c r="HC316" s="293"/>
      <c r="HD316" s="293"/>
      <c r="HE316" s="293"/>
      <c r="HF316" s="293"/>
      <c r="HG316" s="293"/>
      <c r="HH316" s="293"/>
      <c r="HI316" s="293"/>
      <c r="HJ316" s="293"/>
      <c r="HK316" s="293"/>
      <c r="HL316" s="293"/>
      <c r="HM316" s="293"/>
      <c r="HN316" s="293"/>
      <c r="HO316" s="293"/>
      <c r="HP316" s="293"/>
      <c r="HQ316" s="293"/>
      <c r="HR316" s="293"/>
      <c r="HS316" s="293"/>
      <c r="HT316" s="293"/>
      <c r="HU316" s="293"/>
      <c r="HV316" s="293"/>
      <c r="HW316" s="293"/>
      <c r="HX316" s="293"/>
      <c r="HY316" s="293"/>
      <c r="IK316" s="279">
        <f t="shared" si="253"/>
        <v>38.776151759999998</v>
      </c>
      <c r="KT316" s="280"/>
    </row>
    <row r="317" spans="1:306" hidden="1" outlineLevel="1">
      <c r="D317" s="293" t="s">
        <v>949</v>
      </c>
      <c r="E317" s="293"/>
      <c r="F317" s="293"/>
      <c r="G317" s="293"/>
      <c r="H317" s="293"/>
      <c r="I317" s="293"/>
      <c r="J317" s="293"/>
      <c r="K317" s="293"/>
      <c r="L317" s="293"/>
      <c r="M317" s="293"/>
      <c r="N317" s="293"/>
      <c r="O317" s="293"/>
      <c r="P317" s="293"/>
      <c r="Q317" s="293"/>
      <c r="R317" s="293"/>
      <c r="S317" s="293"/>
      <c r="T317" s="293"/>
      <c r="U317" s="293"/>
      <c r="V317" s="293"/>
      <c r="W317" s="293"/>
      <c r="X317" s="293"/>
      <c r="Y317" s="29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c r="BN317" s="293"/>
      <c r="BO317" s="293"/>
      <c r="BP317" s="293"/>
      <c r="BQ317" s="293"/>
      <c r="BR317" s="293"/>
      <c r="BS317" s="293"/>
      <c r="BT317" s="293"/>
      <c r="BU317" s="293"/>
      <c r="BV317" s="293"/>
      <c r="BW317" s="293"/>
      <c r="BX317" s="293"/>
      <c r="BY317" s="293"/>
      <c r="BZ317" s="293"/>
      <c r="CA317" s="293"/>
      <c r="CB317" s="293"/>
      <c r="CC317" s="293"/>
      <c r="CD317" s="293"/>
      <c r="CE317" s="294"/>
      <c r="CF317" s="293"/>
      <c r="CG317" s="293"/>
      <c r="CH317" s="293"/>
      <c r="CI317" s="293"/>
      <c r="CJ317" s="293"/>
      <c r="CK317" s="293"/>
      <c r="CL317" s="293"/>
      <c r="CM317" s="293"/>
      <c r="CN317" s="293"/>
      <c r="CO317" s="293"/>
      <c r="CP317" s="295"/>
      <c r="CQ317" s="293"/>
      <c r="CR317" s="293"/>
      <c r="CS317" s="293"/>
      <c r="CT317" s="293"/>
      <c r="CU317" s="293"/>
      <c r="CV317" s="293"/>
      <c r="CW317" s="293"/>
      <c r="CX317" s="293"/>
      <c r="CY317" s="293"/>
      <c r="CZ317" s="293"/>
      <c r="DA317" s="293"/>
      <c r="DB317" s="1288"/>
      <c r="DC317" s="293">
        <v>0</v>
      </c>
      <c r="DD317" s="293">
        <v>0</v>
      </c>
      <c r="DE317" s="293">
        <v>0</v>
      </c>
      <c r="DF317" s="293">
        <v>0</v>
      </c>
      <c r="DG317" s="293">
        <v>0</v>
      </c>
      <c r="DH317" s="293">
        <v>0</v>
      </c>
      <c r="DI317" s="293">
        <v>0</v>
      </c>
      <c r="DJ317" s="293">
        <v>0</v>
      </c>
      <c r="DK317" s="293">
        <v>0</v>
      </c>
      <c r="DL317" s="293">
        <v>0</v>
      </c>
      <c r="DM317" s="293">
        <v>0</v>
      </c>
      <c r="DN317" s="295">
        <v>0</v>
      </c>
      <c r="DO317" s="293">
        <v>0</v>
      </c>
      <c r="DP317" s="293">
        <v>0</v>
      </c>
      <c r="DQ317" s="293">
        <v>0</v>
      </c>
      <c r="DR317" s="293">
        <v>0</v>
      </c>
      <c r="DS317" s="293">
        <v>0</v>
      </c>
      <c r="DT317" s="293">
        <v>0</v>
      </c>
      <c r="DU317" s="293">
        <v>0</v>
      </c>
      <c r="DV317" s="293">
        <v>0</v>
      </c>
      <c r="DW317" s="293">
        <v>0</v>
      </c>
      <c r="DX317" s="293">
        <v>0</v>
      </c>
      <c r="DY317" s="293">
        <v>0</v>
      </c>
      <c r="DZ317" s="295">
        <v>0</v>
      </c>
      <c r="EA317" s="293">
        <v>0</v>
      </c>
      <c r="EB317" s="293">
        <v>0</v>
      </c>
      <c r="EC317" s="293">
        <v>0</v>
      </c>
      <c r="ED317" s="293">
        <v>0</v>
      </c>
      <c r="EE317" s="293">
        <v>0</v>
      </c>
      <c r="EF317" s="293">
        <v>0</v>
      </c>
      <c r="EG317" s="293">
        <v>0</v>
      </c>
      <c r="EH317" s="293">
        <v>0</v>
      </c>
      <c r="EI317" s="293">
        <v>0</v>
      </c>
      <c r="EJ317" s="293">
        <v>0</v>
      </c>
      <c r="EK317" s="293">
        <v>0</v>
      </c>
      <c r="EL317" s="295">
        <v>0</v>
      </c>
      <c r="EM317" s="1080">
        <v>0</v>
      </c>
      <c r="EN317" s="1080">
        <v>0</v>
      </c>
      <c r="EO317" s="1080">
        <v>0</v>
      </c>
      <c r="EP317" s="1080">
        <v>0</v>
      </c>
      <c r="EQ317" s="1080">
        <v>0</v>
      </c>
      <c r="ER317" s="1080">
        <v>0</v>
      </c>
      <c r="ES317" s="1080">
        <v>0</v>
      </c>
      <c r="ET317" s="1080">
        <v>0</v>
      </c>
      <c r="EU317" s="1080">
        <v>0</v>
      </c>
      <c r="EV317" s="1080">
        <v>0</v>
      </c>
      <c r="EW317" s="1080">
        <v>0</v>
      </c>
      <c r="EX317" s="1340">
        <v>0</v>
      </c>
      <c r="EY317" s="1080"/>
      <c r="EZ317" s="1080"/>
      <c r="FA317" s="1080"/>
      <c r="FB317" s="1080"/>
      <c r="FC317" s="1080"/>
      <c r="FD317" s="1080"/>
      <c r="FE317" s="1080"/>
      <c r="FF317" s="1080"/>
      <c r="FG317" s="1080"/>
      <c r="FH317" s="1080"/>
      <c r="FI317" s="1080"/>
      <c r="FJ317" s="1340"/>
      <c r="FK317" s="1080"/>
      <c r="FL317" s="1080"/>
      <c r="FM317" s="1080"/>
      <c r="FN317" s="1080"/>
      <c r="FO317" s="1080"/>
      <c r="FP317" s="1080"/>
      <c r="FQ317" s="293"/>
      <c r="FR317" s="293"/>
      <c r="FS317" s="293"/>
      <c r="FT317" s="293"/>
      <c r="FU317" s="293"/>
      <c r="FV317" s="293"/>
      <c r="FW317" s="293"/>
      <c r="FX317" s="293"/>
      <c r="FY317" s="293"/>
      <c r="FZ317" s="293"/>
      <c r="GA317" s="293"/>
      <c r="GB317" s="293"/>
      <c r="GC317" s="293"/>
      <c r="GD317" s="293"/>
      <c r="GE317" s="293"/>
      <c r="GF317" s="293"/>
      <c r="GG317" s="293"/>
      <c r="GH317" s="293"/>
      <c r="GI317" s="293"/>
      <c r="GJ317" s="293"/>
      <c r="GK317" s="293"/>
      <c r="GL317" s="293"/>
      <c r="GM317" s="293"/>
      <c r="GN317" s="293"/>
      <c r="GO317" s="293"/>
      <c r="GP317" s="293"/>
      <c r="GQ317" s="293"/>
      <c r="GR317" s="293"/>
      <c r="GS317" s="293"/>
      <c r="GT317" s="293"/>
      <c r="GU317" s="293"/>
      <c r="GV317" s="293"/>
      <c r="GW317" s="293"/>
      <c r="GX317" s="293"/>
      <c r="GY317" s="293"/>
      <c r="GZ317" s="293"/>
      <c r="HA317" s="293"/>
      <c r="HB317" s="293"/>
      <c r="HC317" s="293"/>
      <c r="HD317" s="293"/>
      <c r="HE317" s="293"/>
      <c r="HF317" s="293"/>
      <c r="HG317" s="293"/>
      <c r="HH317" s="293"/>
      <c r="HI317" s="293"/>
      <c r="HJ317" s="293"/>
      <c r="HK317" s="293"/>
      <c r="HL317" s="293"/>
      <c r="HM317" s="293"/>
      <c r="HN317" s="293"/>
      <c r="HO317" s="293"/>
      <c r="HP317" s="293"/>
      <c r="HQ317" s="293"/>
      <c r="HR317" s="293"/>
      <c r="HS317" s="293"/>
      <c r="HT317" s="293"/>
      <c r="HU317" s="293"/>
      <c r="HV317" s="293"/>
      <c r="HW317" s="293"/>
      <c r="HX317" s="293"/>
      <c r="HY317" s="293"/>
      <c r="IK317" s="279">
        <f t="shared" si="253"/>
        <v>0</v>
      </c>
      <c r="KT317" s="280"/>
    </row>
    <row r="318" spans="1:306" hidden="1" outlineLevel="1">
      <c r="B318" s="96" t="s">
        <v>338</v>
      </c>
      <c r="D318" s="293" t="s">
        <v>950</v>
      </c>
      <c r="E318" s="293"/>
      <c r="F318" s="293"/>
      <c r="G318" s="293"/>
      <c r="H318" s="293"/>
      <c r="I318" s="293"/>
      <c r="J318" s="293"/>
      <c r="K318" s="293"/>
      <c r="L318" s="293"/>
      <c r="M318" s="293"/>
      <c r="N318" s="293"/>
      <c r="O318" s="293"/>
      <c r="P318" s="293"/>
      <c r="Q318" s="293"/>
      <c r="R318" s="293"/>
      <c r="S318" s="293"/>
      <c r="T318" s="293"/>
      <c r="U318" s="293"/>
      <c r="V318" s="293"/>
      <c r="W318" s="293"/>
      <c r="X318" s="293"/>
      <c r="Y318" s="29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c r="BN318" s="293"/>
      <c r="BO318" s="293"/>
      <c r="BP318" s="293"/>
      <c r="BQ318" s="293"/>
      <c r="BR318" s="293"/>
      <c r="BS318" s="293"/>
      <c r="BT318" s="293"/>
      <c r="BU318" s="293"/>
      <c r="BV318" s="293"/>
      <c r="BW318" s="293"/>
      <c r="BX318" s="293"/>
      <c r="BY318" s="293"/>
      <c r="BZ318" s="293"/>
      <c r="CA318" s="293"/>
      <c r="CB318" s="293"/>
      <c r="CC318" s="293"/>
      <c r="CD318" s="293"/>
      <c r="CE318" s="294">
        <v>0</v>
      </c>
      <c r="CF318" s="293">
        <v>14.183386008999999</v>
      </c>
      <c r="CG318" s="293">
        <v>1.3150049660000001</v>
      </c>
      <c r="CH318" s="293">
        <v>0</v>
      </c>
      <c r="CI318" s="293">
        <v>0</v>
      </c>
      <c r="CJ318" s="293">
        <v>0</v>
      </c>
      <c r="CK318" s="293">
        <v>6.8012285700000001</v>
      </c>
      <c r="CL318" s="293">
        <v>0</v>
      </c>
      <c r="CM318" s="293">
        <v>13.671248</v>
      </c>
      <c r="CN318" s="293">
        <v>0</v>
      </c>
      <c r="CO318" s="293">
        <v>0</v>
      </c>
      <c r="CP318" s="295">
        <v>13.7748042</v>
      </c>
      <c r="CQ318" s="293">
        <v>0</v>
      </c>
      <c r="CR318" s="293">
        <v>0</v>
      </c>
      <c r="CS318" s="293">
        <v>0</v>
      </c>
      <c r="CT318" s="293">
        <v>0</v>
      </c>
      <c r="CU318" s="293">
        <v>0</v>
      </c>
      <c r="CV318" s="293">
        <v>0</v>
      </c>
      <c r="CW318" s="293">
        <v>0</v>
      </c>
      <c r="CX318" s="293">
        <v>0</v>
      </c>
      <c r="CY318" s="293">
        <v>0</v>
      </c>
      <c r="CZ318" s="293">
        <v>0</v>
      </c>
      <c r="DA318" s="293">
        <v>0</v>
      </c>
      <c r="DB318" s="1288">
        <v>0</v>
      </c>
      <c r="DC318" s="293">
        <v>0</v>
      </c>
      <c r="DD318" s="293">
        <v>10.047593833000001</v>
      </c>
      <c r="DE318" s="293">
        <v>5.2989860530000001</v>
      </c>
      <c r="DF318" s="293">
        <v>0</v>
      </c>
      <c r="DG318" s="293">
        <v>0</v>
      </c>
      <c r="DH318" s="293">
        <v>0</v>
      </c>
      <c r="DI318" s="293">
        <v>0</v>
      </c>
      <c r="DJ318" s="293">
        <v>0</v>
      </c>
      <c r="DK318" s="293">
        <v>0</v>
      </c>
      <c r="DL318" s="293">
        <v>0</v>
      </c>
      <c r="DM318" s="293">
        <v>0</v>
      </c>
      <c r="DN318" s="295">
        <v>4</v>
      </c>
      <c r="DO318" s="293">
        <v>0</v>
      </c>
      <c r="DP318" s="293">
        <v>0</v>
      </c>
      <c r="DQ318" s="293">
        <v>0</v>
      </c>
      <c r="DR318" s="293">
        <v>0</v>
      </c>
      <c r="DS318" s="293">
        <v>0</v>
      </c>
      <c r="DT318" s="293">
        <v>0</v>
      </c>
      <c r="DU318" s="293">
        <v>0</v>
      </c>
      <c r="DV318" s="293">
        <v>0</v>
      </c>
      <c r="DW318" s="293">
        <v>0</v>
      </c>
      <c r="DX318" s="293">
        <v>0</v>
      </c>
      <c r="DY318" s="293">
        <v>0</v>
      </c>
      <c r="DZ318" s="295">
        <v>0</v>
      </c>
      <c r="EA318" s="293">
        <v>0</v>
      </c>
      <c r="EB318" s="293">
        <v>2.4822225320000002</v>
      </c>
      <c r="EC318" s="293">
        <v>2.301061716</v>
      </c>
      <c r="ED318" s="293">
        <v>0</v>
      </c>
      <c r="EE318" s="293">
        <v>2.2010924460000001</v>
      </c>
      <c r="EF318" s="293">
        <v>0</v>
      </c>
      <c r="EG318" s="293">
        <v>0</v>
      </c>
      <c r="EH318" s="293">
        <v>0.31044890400000003</v>
      </c>
      <c r="EI318" s="293">
        <v>0</v>
      </c>
      <c r="EJ318" s="293">
        <v>3.8319179239999999</v>
      </c>
      <c r="EK318" s="293">
        <v>0</v>
      </c>
      <c r="EL318" s="295">
        <v>0</v>
      </c>
      <c r="EM318" s="1080">
        <v>0</v>
      </c>
      <c r="EN318" s="1080">
        <v>3.8014540480000001</v>
      </c>
      <c r="EO318" s="1080">
        <v>3.5872649980000002</v>
      </c>
      <c r="EP318" s="1080">
        <v>0</v>
      </c>
      <c r="EQ318" s="1080">
        <v>0</v>
      </c>
      <c r="ER318" s="1080">
        <v>1.50152022</v>
      </c>
      <c r="ES318" s="1080">
        <v>2.8859739630000001</v>
      </c>
      <c r="ET318" s="1080">
        <v>0</v>
      </c>
      <c r="EU318" s="1080">
        <v>1.4644046749999999</v>
      </c>
      <c r="EV318" s="1080">
        <v>2.8887351529999998</v>
      </c>
      <c r="EW318" s="1080">
        <v>0</v>
      </c>
      <c r="EX318" s="1340">
        <v>1.4644046749999999</v>
      </c>
      <c r="EY318" s="1080"/>
      <c r="EZ318" s="1080"/>
      <c r="FA318" s="1080"/>
      <c r="FB318" s="1080"/>
      <c r="FC318" s="1080"/>
      <c r="FD318" s="1080"/>
      <c r="FE318" s="1080"/>
      <c r="FF318" s="1080"/>
      <c r="FG318" s="1080"/>
      <c r="FH318" s="1080"/>
      <c r="FI318" s="1080"/>
      <c r="FJ318" s="1340"/>
      <c r="FK318" s="1080"/>
      <c r="FL318" s="1080"/>
      <c r="FM318" s="1080"/>
      <c r="FN318" s="1080"/>
      <c r="FO318" s="1080"/>
      <c r="FP318" s="1080"/>
      <c r="FQ318" s="293"/>
      <c r="FR318" s="293"/>
      <c r="FS318" s="293"/>
      <c r="FT318" s="293"/>
      <c r="FU318" s="293"/>
      <c r="FV318" s="293"/>
      <c r="FW318" s="293"/>
      <c r="FX318" s="293"/>
      <c r="FY318" s="293"/>
      <c r="FZ318" s="293"/>
      <c r="GA318" s="293"/>
      <c r="GB318" s="293"/>
      <c r="GC318" s="293"/>
      <c r="GD318" s="293"/>
      <c r="GE318" s="293"/>
      <c r="GF318" s="293"/>
      <c r="GG318" s="293"/>
      <c r="GH318" s="293"/>
      <c r="GI318" s="293"/>
      <c r="GJ318" s="293"/>
      <c r="GK318" s="293"/>
      <c r="GL318" s="293"/>
      <c r="GM318" s="293"/>
      <c r="GN318" s="293"/>
      <c r="GO318" s="293"/>
      <c r="GP318" s="293"/>
      <c r="GQ318" s="293"/>
      <c r="GR318" s="293"/>
      <c r="GS318" s="293"/>
      <c r="GT318" s="293"/>
      <c r="GU318" s="293"/>
      <c r="GV318" s="293"/>
      <c r="GW318" s="293"/>
      <c r="GX318" s="293"/>
      <c r="GY318" s="293"/>
      <c r="GZ318" s="293"/>
      <c r="HA318" s="293"/>
      <c r="HB318" s="293"/>
      <c r="HC318" s="293"/>
      <c r="HD318" s="293"/>
      <c r="HE318" s="293"/>
      <c r="HF318" s="293"/>
      <c r="HG318" s="293"/>
      <c r="HH318" s="293"/>
      <c r="HI318" s="293"/>
      <c r="HJ318" s="293"/>
      <c r="HK318" s="293"/>
      <c r="HL318" s="293"/>
      <c r="HM318" s="293"/>
      <c r="HN318" s="293"/>
      <c r="HO318" s="293"/>
      <c r="HP318" s="293"/>
      <c r="HQ318" s="293"/>
      <c r="HR318" s="293"/>
      <c r="HS318" s="293"/>
      <c r="HT318" s="293"/>
      <c r="HU318" s="293"/>
      <c r="HV318" s="293"/>
      <c r="HW318" s="293"/>
      <c r="HX318" s="293"/>
      <c r="HY318" s="293"/>
      <c r="IK318" s="279">
        <f t="shared" si="253"/>
        <v>0</v>
      </c>
      <c r="KT318" s="280"/>
    </row>
    <row r="319" spans="1:306" hidden="1" outlineLevel="1">
      <c r="B319" s="96" t="s">
        <v>338</v>
      </c>
      <c r="D319" s="293" t="s">
        <v>951</v>
      </c>
      <c r="E319" s="293"/>
      <c r="F319" s="293"/>
      <c r="G319" s="293"/>
      <c r="H319" s="293"/>
      <c r="I319" s="293"/>
      <c r="J319" s="293"/>
      <c r="K319" s="293"/>
      <c r="L319" s="293"/>
      <c r="M319" s="293"/>
      <c r="N319" s="293"/>
      <c r="O319" s="293"/>
      <c r="P319" s="293"/>
      <c r="Q319" s="293"/>
      <c r="R319" s="293"/>
      <c r="S319" s="293"/>
      <c r="T319" s="293"/>
      <c r="U319" s="293"/>
      <c r="V319" s="293"/>
      <c r="W319" s="293"/>
      <c r="X319" s="293"/>
      <c r="Y319" s="29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c r="BN319" s="293"/>
      <c r="BO319" s="293"/>
      <c r="BP319" s="293"/>
      <c r="BQ319" s="293"/>
      <c r="BR319" s="293"/>
      <c r="BS319" s="293"/>
      <c r="BT319" s="293"/>
      <c r="BU319" s="293"/>
      <c r="BV319" s="293"/>
      <c r="BW319" s="293"/>
      <c r="BX319" s="293"/>
      <c r="BY319" s="293"/>
      <c r="BZ319" s="293"/>
      <c r="CA319" s="293"/>
      <c r="CB319" s="293"/>
      <c r="CC319" s="293"/>
      <c r="CD319" s="293"/>
      <c r="CE319" s="294">
        <v>9.9999999999999995E-7</v>
      </c>
      <c r="CF319" s="293">
        <v>1.8277169999999999E-2</v>
      </c>
      <c r="CG319" s="293">
        <v>9.9999999999999995E-7</v>
      </c>
      <c r="CH319" s="293">
        <v>9.9999999999999995E-7</v>
      </c>
      <c r="CI319" s="293">
        <v>1.4218449999999999E-3</v>
      </c>
      <c r="CJ319" s="293">
        <v>0.214671625</v>
      </c>
      <c r="CK319" s="293">
        <v>9.9999999999999995E-7</v>
      </c>
      <c r="CL319" s="293">
        <v>2.1207330000000001E-3</v>
      </c>
      <c r="CM319" s="293">
        <v>0.20000100000000001</v>
      </c>
      <c r="CN319" s="293">
        <v>0</v>
      </c>
      <c r="CO319" s="293">
        <v>3.0600019999999999</v>
      </c>
      <c r="CP319" s="295">
        <v>0.20000100000000001</v>
      </c>
      <c r="CQ319" s="293">
        <v>1.27E-4</v>
      </c>
      <c r="CR319" s="293">
        <v>0.12633565399999999</v>
      </c>
      <c r="CS319" s="293">
        <v>1.0016021799999999</v>
      </c>
      <c r="CT319" s="293">
        <v>0</v>
      </c>
      <c r="CU319" s="293">
        <v>0</v>
      </c>
      <c r="CV319" s="293">
        <v>0</v>
      </c>
      <c r="CW319" s="293">
        <v>3.0000000000000001E-6</v>
      </c>
      <c r="CX319" s="293">
        <v>3.444234545</v>
      </c>
      <c r="CY319" s="293">
        <v>3.0000000000000001E-6</v>
      </c>
      <c r="CZ319" s="293">
        <v>0</v>
      </c>
      <c r="DA319" s="293">
        <v>0</v>
      </c>
      <c r="DB319" s="1288">
        <v>0</v>
      </c>
      <c r="DC319" s="293">
        <v>2</v>
      </c>
      <c r="DD319" s="293">
        <v>0</v>
      </c>
      <c r="DE319" s="293">
        <v>0.65602491200000002</v>
      </c>
      <c r="DF319" s="293">
        <v>0</v>
      </c>
      <c r="DG319" s="293">
        <v>0</v>
      </c>
      <c r="DH319" s="293">
        <v>0</v>
      </c>
      <c r="DI319" s="293">
        <v>14.474183633999999</v>
      </c>
      <c r="DJ319" s="293">
        <v>7.2376928280000001</v>
      </c>
      <c r="DK319" s="293">
        <v>0</v>
      </c>
      <c r="DL319" s="293">
        <v>0</v>
      </c>
      <c r="DM319" s="293">
        <v>0</v>
      </c>
      <c r="DN319" s="295">
        <v>1.3441120769999999</v>
      </c>
      <c r="DO319" s="293">
        <v>0</v>
      </c>
      <c r="DP319" s="293">
        <v>0</v>
      </c>
      <c r="DQ319" s="293">
        <v>0</v>
      </c>
      <c r="DR319" s="293">
        <v>3.1717466289999998</v>
      </c>
      <c r="DS319" s="293">
        <v>0</v>
      </c>
      <c r="DT319" s="293">
        <v>0</v>
      </c>
      <c r="DU319" s="293">
        <v>8.8216977379999992</v>
      </c>
      <c r="DV319" s="293">
        <v>0</v>
      </c>
      <c r="DW319" s="293">
        <v>4.6969709660000003</v>
      </c>
      <c r="DX319" s="293">
        <v>0</v>
      </c>
      <c r="DY319" s="293">
        <v>5.7878699569999998</v>
      </c>
      <c r="DZ319" s="295">
        <v>3.358288172</v>
      </c>
      <c r="EA319" s="293">
        <v>0</v>
      </c>
      <c r="EB319" s="293">
        <v>5.6743909199999996</v>
      </c>
      <c r="EC319" s="293">
        <v>2.4779663460000001</v>
      </c>
      <c r="ED319" s="293">
        <v>0</v>
      </c>
      <c r="EE319" s="293">
        <v>1.1881884439999999</v>
      </c>
      <c r="EF319" s="293">
        <v>5.8281546979999996</v>
      </c>
      <c r="EG319" s="293">
        <v>1.318658063</v>
      </c>
      <c r="EH319" s="293">
        <v>1.335683653</v>
      </c>
      <c r="EI319" s="293">
        <v>6.9573450130000003</v>
      </c>
      <c r="EJ319" s="293">
        <v>5.2700060999999998</v>
      </c>
      <c r="EK319" s="293">
        <v>4.6473487310000001</v>
      </c>
      <c r="EL319" s="295">
        <v>0</v>
      </c>
      <c r="EM319" s="1080">
        <v>1.089983948</v>
      </c>
      <c r="EN319" s="1080">
        <v>1.64</v>
      </c>
      <c r="EO319" s="1080">
        <v>0</v>
      </c>
      <c r="EP319" s="1080">
        <v>2.8430625379999999</v>
      </c>
      <c r="EQ319" s="1080">
        <v>0</v>
      </c>
      <c r="ER319" s="1080">
        <v>2.2999999999999998</v>
      </c>
      <c r="ES319" s="1080">
        <v>0.6</v>
      </c>
      <c r="ET319" s="1080">
        <v>0</v>
      </c>
      <c r="EU319" s="1080">
        <v>10</v>
      </c>
      <c r="EV319" s="1080">
        <v>0</v>
      </c>
      <c r="EW319" s="1080">
        <v>4.7840405849999996</v>
      </c>
      <c r="EX319" s="1340">
        <v>16.3</v>
      </c>
      <c r="EY319" s="1080"/>
      <c r="EZ319" s="1080"/>
      <c r="FA319" s="1080"/>
      <c r="FB319" s="1080"/>
      <c r="FC319" s="1080"/>
      <c r="FD319" s="1080"/>
      <c r="FE319" s="1080"/>
      <c r="FF319" s="1080"/>
      <c r="FG319" s="1080"/>
      <c r="FH319" s="1080"/>
      <c r="FI319" s="1080"/>
      <c r="FJ319" s="1340"/>
      <c r="FK319" s="1080"/>
      <c r="FL319" s="1080"/>
      <c r="FM319" s="1080"/>
      <c r="FN319" s="1080"/>
      <c r="FO319" s="1080"/>
      <c r="FP319" s="1080"/>
      <c r="FQ319" s="293"/>
      <c r="FR319" s="293"/>
      <c r="FS319" s="293"/>
      <c r="FT319" s="293"/>
      <c r="FU319" s="293"/>
      <c r="FV319" s="293"/>
      <c r="FW319" s="293"/>
      <c r="FX319" s="293"/>
      <c r="FY319" s="293"/>
      <c r="FZ319" s="293"/>
      <c r="GA319" s="293"/>
      <c r="GB319" s="293"/>
      <c r="GC319" s="293"/>
      <c r="GD319" s="293"/>
      <c r="GE319" s="293"/>
      <c r="GF319" s="293"/>
      <c r="GG319" s="293"/>
      <c r="GH319" s="293"/>
      <c r="GI319" s="293"/>
      <c r="GJ319" s="293"/>
      <c r="GK319" s="293"/>
      <c r="GL319" s="293"/>
      <c r="GM319" s="293"/>
      <c r="GN319" s="293"/>
      <c r="GO319" s="293"/>
      <c r="GP319" s="293"/>
      <c r="GQ319" s="293"/>
      <c r="GR319" s="293"/>
      <c r="GS319" s="293"/>
      <c r="GT319" s="293"/>
      <c r="GU319" s="293"/>
      <c r="GV319" s="293"/>
      <c r="GW319" s="293"/>
      <c r="GX319" s="293"/>
      <c r="GY319" s="293"/>
      <c r="GZ319" s="293"/>
      <c r="HA319" s="293"/>
      <c r="HB319" s="293"/>
      <c r="HC319" s="293"/>
      <c r="HD319" s="293"/>
      <c r="HE319" s="293"/>
      <c r="HF319" s="293"/>
      <c r="HG319" s="293"/>
      <c r="HH319" s="293"/>
      <c r="HI319" s="293"/>
      <c r="HJ319" s="293"/>
      <c r="HK319" s="293"/>
      <c r="HL319" s="293"/>
      <c r="HM319" s="293"/>
      <c r="HN319" s="293"/>
      <c r="HO319" s="293"/>
      <c r="HP319" s="293"/>
      <c r="HQ319" s="293"/>
      <c r="HR319" s="293"/>
      <c r="HS319" s="293"/>
      <c r="HT319" s="293"/>
      <c r="HU319" s="293"/>
      <c r="HV319" s="293"/>
      <c r="HW319" s="293"/>
      <c r="HX319" s="293"/>
      <c r="HY319" s="293"/>
      <c r="IK319" s="279">
        <f t="shared" si="253"/>
        <v>3.1717466289999998</v>
      </c>
      <c r="KT319" s="280"/>
    </row>
    <row r="320" spans="1:306" hidden="1" outlineLevel="1">
      <c r="D320" s="293" t="s">
        <v>1111</v>
      </c>
      <c r="E320" s="293"/>
      <c r="F320" s="293"/>
      <c r="G320" s="293"/>
      <c r="H320" s="293"/>
      <c r="I320" s="293"/>
      <c r="J320" s="293"/>
      <c r="K320" s="293"/>
      <c r="L320" s="293"/>
      <c r="M320" s="293"/>
      <c r="N320" s="293"/>
      <c r="O320" s="293"/>
      <c r="P320" s="293"/>
      <c r="Q320" s="293"/>
      <c r="R320" s="293"/>
      <c r="S320" s="293"/>
      <c r="T320" s="293"/>
      <c r="U320" s="293"/>
      <c r="V320" s="293"/>
      <c r="W320" s="293"/>
      <c r="X320" s="293"/>
      <c r="Y320" s="29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c r="BN320" s="293"/>
      <c r="BO320" s="293"/>
      <c r="BP320" s="293"/>
      <c r="BQ320" s="293"/>
      <c r="BR320" s="293"/>
      <c r="BS320" s="293"/>
      <c r="BT320" s="293"/>
      <c r="BU320" s="293"/>
      <c r="BV320" s="293"/>
      <c r="BW320" s="293"/>
      <c r="BX320" s="293"/>
      <c r="BY320" s="293"/>
      <c r="BZ320" s="293"/>
      <c r="CA320" s="293"/>
      <c r="CB320" s="293"/>
      <c r="CC320" s="293"/>
      <c r="CD320" s="293"/>
      <c r="CE320" s="294"/>
      <c r="CF320" s="293"/>
      <c r="CG320" s="293"/>
      <c r="CH320" s="293"/>
      <c r="CI320" s="293"/>
      <c r="CJ320" s="293"/>
      <c r="CK320" s="293"/>
      <c r="CL320" s="293"/>
      <c r="CM320" s="293"/>
      <c r="CN320" s="293"/>
      <c r="CO320" s="293"/>
      <c r="CP320" s="295"/>
      <c r="CQ320" s="293"/>
      <c r="CR320" s="293"/>
      <c r="CS320" s="293"/>
      <c r="CT320" s="293"/>
      <c r="CU320" s="293"/>
      <c r="CV320" s="293"/>
      <c r="CW320" s="293"/>
      <c r="CX320" s="293"/>
      <c r="CY320" s="293"/>
      <c r="CZ320" s="293"/>
      <c r="DA320" s="293"/>
      <c r="DB320" s="1288"/>
      <c r="DC320" s="293"/>
      <c r="DD320" s="293"/>
      <c r="DE320" s="293"/>
      <c r="DF320" s="293"/>
      <c r="DG320" s="293"/>
      <c r="DH320" s="293"/>
      <c r="DI320" s="293"/>
      <c r="DJ320" s="293"/>
      <c r="DK320" s="293"/>
      <c r="DL320" s="293"/>
      <c r="DM320" s="293"/>
      <c r="DN320" s="295"/>
      <c r="DO320" s="293">
        <v>0</v>
      </c>
      <c r="DP320" s="293">
        <v>0</v>
      </c>
      <c r="DQ320" s="293">
        <v>0</v>
      </c>
      <c r="DR320" s="293">
        <v>0</v>
      </c>
      <c r="DS320" s="293">
        <v>0</v>
      </c>
      <c r="DT320" s="293">
        <v>0</v>
      </c>
      <c r="DU320" s="293">
        <v>0</v>
      </c>
      <c r="DV320" s="293">
        <v>0</v>
      </c>
      <c r="DW320" s="293">
        <v>0</v>
      </c>
      <c r="DX320" s="293">
        <v>4.1500000000000004</v>
      </c>
      <c r="DY320" s="293">
        <v>0</v>
      </c>
      <c r="DZ320" s="295">
        <v>7.35</v>
      </c>
      <c r="EA320" s="293">
        <v>0</v>
      </c>
      <c r="EB320" s="293">
        <v>0</v>
      </c>
      <c r="EC320" s="293">
        <v>0</v>
      </c>
      <c r="ED320" s="293">
        <v>0</v>
      </c>
      <c r="EE320" s="293">
        <v>0</v>
      </c>
      <c r="EF320" s="293">
        <v>9.6253578439999998</v>
      </c>
      <c r="EG320" s="293">
        <v>0</v>
      </c>
      <c r="EH320" s="293">
        <v>0</v>
      </c>
      <c r="EI320" s="293">
        <v>0</v>
      </c>
      <c r="EJ320" s="293">
        <v>0</v>
      </c>
      <c r="EK320" s="293">
        <v>0</v>
      </c>
      <c r="EL320" s="295">
        <v>0</v>
      </c>
      <c r="EM320" s="1080">
        <v>0</v>
      </c>
      <c r="EN320" s="1080">
        <v>5</v>
      </c>
      <c r="EO320" s="1080">
        <v>0</v>
      </c>
      <c r="EP320" s="1080">
        <v>0</v>
      </c>
      <c r="EQ320" s="1080">
        <v>0</v>
      </c>
      <c r="ER320" s="1080">
        <v>0</v>
      </c>
      <c r="ES320" s="1080">
        <v>0</v>
      </c>
      <c r="ET320" s="1080">
        <v>0</v>
      </c>
      <c r="EU320" s="1080">
        <v>0</v>
      </c>
      <c r="EV320" s="1080">
        <v>0</v>
      </c>
      <c r="EW320" s="1080">
        <v>0</v>
      </c>
      <c r="EX320" s="1340">
        <v>0</v>
      </c>
      <c r="EY320" s="1080"/>
      <c r="EZ320" s="1080"/>
      <c r="FA320" s="1080"/>
      <c r="FB320" s="1080"/>
      <c r="FC320" s="1080"/>
      <c r="FD320" s="1080"/>
      <c r="FE320" s="1080"/>
      <c r="FF320" s="1080"/>
      <c r="FG320" s="1080"/>
      <c r="FH320" s="1080"/>
      <c r="FI320" s="1080"/>
      <c r="FJ320" s="1340"/>
      <c r="FK320" s="1080"/>
      <c r="FL320" s="1080"/>
      <c r="FM320" s="1080"/>
      <c r="FN320" s="1080"/>
      <c r="FO320" s="1080"/>
      <c r="FP320" s="1080"/>
      <c r="FQ320" s="293"/>
      <c r="FR320" s="293"/>
      <c r="FS320" s="293"/>
      <c r="FT320" s="293"/>
      <c r="FU320" s="293"/>
      <c r="FV320" s="293"/>
      <c r="FW320" s="293"/>
      <c r="FX320" s="293"/>
      <c r="FY320" s="293"/>
      <c r="FZ320" s="293"/>
      <c r="GA320" s="293"/>
      <c r="GB320" s="293"/>
      <c r="GC320" s="293"/>
      <c r="GD320" s="293"/>
      <c r="GE320" s="293"/>
      <c r="GF320" s="293"/>
      <c r="GG320" s="293"/>
      <c r="GH320" s="293"/>
      <c r="GI320" s="293"/>
      <c r="GJ320" s="293"/>
      <c r="GK320" s="293"/>
      <c r="GL320" s="293"/>
      <c r="GM320" s="293"/>
      <c r="GN320" s="293"/>
      <c r="GO320" s="293"/>
      <c r="GP320" s="293"/>
      <c r="GQ320" s="293"/>
      <c r="GR320" s="293"/>
      <c r="GS320" s="293"/>
      <c r="GT320" s="293"/>
      <c r="GU320" s="293"/>
      <c r="GV320" s="293"/>
      <c r="GW320" s="293"/>
      <c r="GX320" s="293"/>
      <c r="GY320" s="293"/>
      <c r="GZ320" s="293"/>
      <c r="HA320" s="293"/>
      <c r="HB320" s="293"/>
      <c r="HC320" s="293"/>
      <c r="HD320" s="293"/>
      <c r="HE320" s="293"/>
      <c r="HF320" s="293"/>
      <c r="HG320" s="293"/>
      <c r="HH320" s="293"/>
      <c r="HI320" s="293"/>
      <c r="HJ320" s="293"/>
      <c r="HK320" s="293"/>
      <c r="HL320" s="293"/>
      <c r="HM320" s="293"/>
      <c r="HN320" s="293"/>
      <c r="HO320" s="293"/>
      <c r="HP320" s="293"/>
      <c r="HQ320" s="293"/>
      <c r="HR320" s="293"/>
      <c r="HS320" s="293"/>
      <c r="HT320" s="293"/>
      <c r="HU320" s="293"/>
      <c r="HV320" s="293"/>
      <c r="HW320" s="293"/>
      <c r="HX320" s="293"/>
      <c r="HY320" s="293"/>
      <c r="KT320" s="280"/>
    </row>
    <row r="321" spans="1:306" hidden="1" outlineLevel="1">
      <c r="D321" s="293" t="s">
        <v>1168</v>
      </c>
      <c r="E321" s="293"/>
      <c r="F321" s="293"/>
      <c r="G321" s="293"/>
      <c r="H321" s="293"/>
      <c r="I321" s="293"/>
      <c r="J321" s="293"/>
      <c r="K321" s="293"/>
      <c r="L321" s="293"/>
      <c r="M321" s="293"/>
      <c r="N321" s="293"/>
      <c r="O321" s="293"/>
      <c r="P321" s="293"/>
      <c r="Q321" s="293"/>
      <c r="R321" s="293"/>
      <c r="S321" s="293"/>
      <c r="T321" s="293"/>
      <c r="U321" s="293"/>
      <c r="V321" s="293"/>
      <c r="W321" s="293"/>
      <c r="X321" s="293"/>
      <c r="Y321" s="29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c r="BN321" s="293"/>
      <c r="BO321" s="293"/>
      <c r="BP321" s="293"/>
      <c r="BQ321" s="293"/>
      <c r="BR321" s="293"/>
      <c r="BS321" s="293"/>
      <c r="BT321" s="293"/>
      <c r="BU321" s="293"/>
      <c r="BV321" s="293"/>
      <c r="BW321" s="293"/>
      <c r="BX321" s="293"/>
      <c r="BY321" s="293"/>
      <c r="BZ321" s="293"/>
      <c r="CA321" s="293"/>
      <c r="CB321" s="293"/>
      <c r="CC321" s="293"/>
      <c r="CD321" s="293"/>
      <c r="CE321" s="294"/>
      <c r="CF321" s="293"/>
      <c r="CG321" s="293"/>
      <c r="CH321" s="293"/>
      <c r="CI321" s="293"/>
      <c r="CJ321" s="293"/>
      <c r="CK321" s="293"/>
      <c r="CL321" s="293"/>
      <c r="CM321" s="293"/>
      <c r="CN321" s="293"/>
      <c r="CO321" s="293"/>
      <c r="CP321" s="295"/>
      <c r="CQ321" s="293"/>
      <c r="CR321" s="293"/>
      <c r="CS321" s="293"/>
      <c r="CT321" s="293"/>
      <c r="CU321" s="293"/>
      <c r="CV321" s="293"/>
      <c r="CW321" s="293"/>
      <c r="CX321" s="293"/>
      <c r="CY321" s="293"/>
      <c r="CZ321" s="293"/>
      <c r="DA321" s="293"/>
      <c r="DB321" s="1288"/>
      <c r="DC321" s="293"/>
      <c r="DD321" s="293"/>
      <c r="DE321" s="293"/>
      <c r="DF321" s="293"/>
      <c r="DG321" s="293"/>
      <c r="DH321" s="293"/>
      <c r="DI321" s="293"/>
      <c r="DJ321" s="293"/>
      <c r="DK321" s="293"/>
      <c r="DL321" s="293"/>
      <c r="DM321" s="606"/>
      <c r="DN321" s="622"/>
      <c r="DO321" s="606"/>
      <c r="DP321" s="606"/>
      <c r="DQ321" s="606"/>
      <c r="DR321" s="606"/>
      <c r="DS321" s="606"/>
      <c r="DT321" s="606"/>
      <c r="DU321" s="606"/>
      <c r="DV321" s="606"/>
      <c r="DW321" s="606"/>
      <c r="DX321" s="606"/>
      <c r="DY321" s="606"/>
      <c r="DZ321" s="622"/>
      <c r="EA321" s="293">
        <v>0</v>
      </c>
      <c r="EB321" s="293">
        <v>0</v>
      </c>
      <c r="EC321" s="293">
        <v>2.4750000000000001</v>
      </c>
      <c r="ED321" s="293">
        <v>0</v>
      </c>
      <c r="EE321" s="293">
        <v>0</v>
      </c>
      <c r="EF321" s="293">
        <v>0</v>
      </c>
      <c r="EG321" s="293">
        <v>2.4750000000000001</v>
      </c>
      <c r="EH321" s="293">
        <v>0</v>
      </c>
      <c r="EI321" s="293">
        <v>0</v>
      </c>
      <c r="EJ321" s="293">
        <v>2.4750000000000001</v>
      </c>
      <c r="EK321" s="293">
        <v>0</v>
      </c>
      <c r="EL321" s="295">
        <v>0</v>
      </c>
      <c r="EM321" s="1080">
        <v>2.4750000000000001</v>
      </c>
      <c r="EN321" s="1080">
        <v>0</v>
      </c>
      <c r="EO321" s="1080">
        <v>2.4750000000000001</v>
      </c>
      <c r="EP321" s="1080">
        <v>0</v>
      </c>
      <c r="EQ321" s="1080">
        <v>0</v>
      </c>
      <c r="ER321" s="1080">
        <v>2.4750000000000001</v>
      </c>
      <c r="ES321" s="1080">
        <v>0</v>
      </c>
      <c r="ET321" s="1080">
        <v>0</v>
      </c>
      <c r="EU321" s="1080">
        <v>2.4750000000000001</v>
      </c>
      <c r="EV321" s="1080">
        <v>0</v>
      </c>
      <c r="EW321" s="1080">
        <v>0</v>
      </c>
      <c r="EX321" s="1340">
        <v>2.4750000000000001</v>
      </c>
      <c r="EY321" s="1080"/>
      <c r="EZ321" s="1080"/>
      <c r="FA321" s="1080"/>
      <c r="FB321" s="1080"/>
      <c r="FC321" s="1080"/>
      <c r="FD321" s="1080"/>
      <c r="FE321" s="1080"/>
      <c r="FF321" s="1080"/>
      <c r="FG321" s="1080"/>
      <c r="FH321" s="1080"/>
      <c r="FI321" s="1080"/>
      <c r="FJ321" s="1340"/>
      <c r="FK321" s="1080"/>
      <c r="FL321" s="1080"/>
      <c r="FM321" s="1080"/>
      <c r="FN321" s="1080"/>
      <c r="FO321" s="1080"/>
      <c r="FP321" s="1080"/>
      <c r="FQ321" s="293"/>
      <c r="FR321" s="293"/>
      <c r="FS321" s="293"/>
      <c r="FT321" s="293"/>
      <c r="FU321" s="293"/>
      <c r="FV321" s="293"/>
      <c r="FW321" s="293"/>
      <c r="FX321" s="293"/>
      <c r="FY321" s="293"/>
      <c r="FZ321" s="293"/>
      <c r="GA321" s="293"/>
      <c r="GB321" s="293"/>
      <c r="GC321" s="293"/>
      <c r="GD321" s="293"/>
      <c r="GE321" s="293"/>
      <c r="GF321" s="293"/>
      <c r="GG321" s="293"/>
      <c r="GH321" s="293"/>
      <c r="GI321" s="293"/>
      <c r="GJ321" s="293"/>
      <c r="GK321" s="293"/>
      <c r="GL321" s="293"/>
      <c r="GM321" s="293"/>
      <c r="GN321" s="293"/>
      <c r="GO321" s="293"/>
      <c r="GP321" s="293"/>
      <c r="GQ321" s="293"/>
      <c r="GR321" s="293"/>
      <c r="GS321" s="293"/>
      <c r="GT321" s="293"/>
      <c r="GU321" s="293"/>
      <c r="GV321" s="293"/>
      <c r="GW321" s="293"/>
      <c r="GX321" s="293"/>
      <c r="GY321" s="293"/>
      <c r="GZ321" s="293"/>
      <c r="HA321" s="293"/>
      <c r="HB321" s="293"/>
      <c r="HC321" s="293"/>
      <c r="HD321" s="293"/>
      <c r="HE321" s="293"/>
      <c r="HF321" s="293"/>
      <c r="HG321" s="293"/>
      <c r="HH321" s="293"/>
      <c r="HI321" s="293"/>
      <c r="HJ321" s="293"/>
      <c r="HK321" s="293"/>
      <c r="HL321" s="293"/>
      <c r="HM321" s="293"/>
      <c r="HN321" s="293"/>
      <c r="HO321" s="293"/>
      <c r="HP321" s="293"/>
      <c r="HQ321" s="293"/>
      <c r="HR321" s="293"/>
      <c r="HS321" s="293"/>
      <c r="HT321" s="293"/>
      <c r="HU321" s="293"/>
      <c r="HV321" s="293"/>
      <c r="HW321" s="293"/>
      <c r="HX321" s="293"/>
      <c r="HY321" s="293"/>
      <c r="KT321" s="280"/>
    </row>
    <row r="322" spans="1:306" hidden="1" outlineLevel="1">
      <c r="D322" s="606" t="s">
        <v>952</v>
      </c>
      <c r="E322" s="293"/>
      <c r="F322" s="293"/>
      <c r="G322" s="293"/>
      <c r="H322" s="293"/>
      <c r="I322" s="293"/>
      <c r="J322" s="293"/>
      <c r="K322" s="293"/>
      <c r="L322" s="293"/>
      <c r="M322" s="293"/>
      <c r="N322" s="293"/>
      <c r="O322" s="293"/>
      <c r="P322" s="293"/>
      <c r="Q322" s="293"/>
      <c r="R322" s="293"/>
      <c r="S322" s="293"/>
      <c r="T322" s="293"/>
      <c r="U322" s="293"/>
      <c r="V322" s="293"/>
      <c r="W322" s="293"/>
      <c r="X322" s="293"/>
      <c r="Y322" s="29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c r="BN322" s="293"/>
      <c r="BO322" s="293"/>
      <c r="BP322" s="293"/>
      <c r="BQ322" s="293"/>
      <c r="BR322" s="293"/>
      <c r="BS322" s="293"/>
      <c r="BT322" s="293"/>
      <c r="BU322" s="293"/>
      <c r="BV322" s="293"/>
      <c r="BW322" s="293"/>
      <c r="BX322" s="293"/>
      <c r="BY322" s="293"/>
      <c r="BZ322" s="293"/>
      <c r="CA322" s="293"/>
      <c r="CB322" s="293"/>
      <c r="CC322" s="293"/>
      <c r="CD322" s="293"/>
      <c r="CE322" s="294"/>
      <c r="CF322" s="293"/>
      <c r="CG322" s="293"/>
      <c r="CH322" s="293"/>
      <c r="CI322" s="293"/>
      <c r="CJ322" s="293"/>
      <c r="CK322" s="293"/>
      <c r="CL322" s="293"/>
      <c r="CM322" s="293"/>
      <c r="CN322" s="293"/>
      <c r="CO322" s="293"/>
      <c r="CP322" s="295"/>
      <c r="CQ322" s="293"/>
      <c r="CR322" s="293"/>
      <c r="CS322" s="293"/>
      <c r="CT322" s="293"/>
      <c r="CU322" s="293"/>
      <c r="CV322" s="293"/>
      <c r="CW322" s="293"/>
      <c r="CX322" s="293"/>
      <c r="CY322" s="293"/>
      <c r="CZ322" s="293"/>
      <c r="DA322" s="293"/>
      <c r="DB322" s="1288"/>
      <c r="DC322" s="606">
        <v>5.3</v>
      </c>
      <c r="DD322" s="606">
        <v>13.347593833000001</v>
      </c>
      <c r="DE322" s="606">
        <v>9.6235096429999984</v>
      </c>
      <c r="DF322" s="606">
        <v>3.5366866149999998</v>
      </c>
      <c r="DG322" s="606">
        <v>4.3726213439999997</v>
      </c>
      <c r="DH322" s="606">
        <v>4</v>
      </c>
      <c r="DI322" s="606">
        <v>21.152643470999998</v>
      </c>
      <c r="DJ322" s="606">
        <v>11.237692828</v>
      </c>
      <c r="DK322" s="606">
        <v>2.875</v>
      </c>
      <c r="DL322" s="606">
        <v>3.2648615439999999</v>
      </c>
      <c r="DM322" s="1083">
        <v>2.875</v>
      </c>
      <c r="DN322" s="1329">
        <v>8.3103340330000002</v>
      </c>
      <c r="DO322" s="1083">
        <v>4.8980108539999998</v>
      </c>
      <c r="DP322" s="1083">
        <v>6.9066390129999995</v>
      </c>
      <c r="DQ322" s="1083">
        <v>6.81953502</v>
      </c>
      <c r="DR322" s="1083">
        <v>11.452914823999999</v>
      </c>
      <c r="DS322" s="1083">
        <v>7.6440726510000001</v>
      </c>
      <c r="DT322" s="1083">
        <v>5.9949982159999999</v>
      </c>
      <c r="DU322" s="1083">
        <v>16.884331552999999</v>
      </c>
      <c r="DV322" s="1083">
        <v>6.81953502</v>
      </c>
      <c r="DW322" s="1083">
        <v>11.516505986</v>
      </c>
      <c r="DX322" s="1083">
        <v>11.687240856000001</v>
      </c>
      <c r="DY322" s="1083">
        <v>14.771810901</v>
      </c>
      <c r="DZ322" s="1329">
        <v>17.527823183999999</v>
      </c>
      <c r="EA322" s="1083">
        <v>9.8000000000000007</v>
      </c>
      <c r="EB322" s="1083">
        <v>13.576148472</v>
      </c>
      <c r="EC322" s="1083">
        <v>26.598563081999998</v>
      </c>
      <c r="ED322" s="1083">
        <v>7.6661447689999997</v>
      </c>
      <c r="EE322" s="1083">
        <v>10.20881591</v>
      </c>
      <c r="EF322" s="1083">
        <v>22.273047569999999</v>
      </c>
      <c r="EG322" s="1083">
        <v>8.351760800000001</v>
      </c>
      <c r="EH322" s="1083">
        <v>8.4656675769999996</v>
      </c>
      <c r="EI322" s="1083">
        <v>19.679205226000001</v>
      </c>
      <c r="EJ322" s="1083">
        <v>13.658601768</v>
      </c>
      <c r="EK322" s="1083">
        <v>13.329649810999999</v>
      </c>
      <c r="EL322" s="1329">
        <v>0</v>
      </c>
      <c r="EM322" s="1083">
        <v>18.295448931999999</v>
      </c>
      <c r="EN322" s="1083">
        <v>16.743634358000001</v>
      </c>
      <c r="EO322" s="1083">
        <v>24.034910318000001</v>
      </c>
      <c r="EP322" s="1083">
        <v>12.005348645</v>
      </c>
      <c r="EQ322" s="1083">
        <v>19.163229413</v>
      </c>
      <c r="ER322" s="1083">
        <v>6.2765202200000001</v>
      </c>
      <c r="ES322" s="1083">
        <v>22.636654608000001</v>
      </c>
      <c r="ET322" s="1083">
        <v>10.986322645</v>
      </c>
      <c r="EU322" s="1083">
        <v>26.574493701000002</v>
      </c>
      <c r="EV322" s="1083">
        <v>15.875057798</v>
      </c>
      <c r="EW322" s="1083">
        <v>18.770363232999998</v>
      </c>
      <c r="EX322" s="1329">
        <v>26.239404675000003</v>
      </c>
      <c r="EY322" s="1083"/>
      <c r="EZ322" s="1083"/>
      <c r="FA322" s="1083"/>
      <c r="FB322" s="1083"/>
      <c r="FC322" s="1083"/>
      <c r="FD322" s="1083"/>
      <c r="FE322" s="1083"/>
      <c r="FF322" s="1083"/>
      <c r="FG322" s="1083"/>
      <c r="FH322" s="1083"/>
      <c r="FI322" s="1083"/>
      <c r="FJ322" s="1329"/>
      <c r="FK322" s="1083"/>
      <c r="FL322" s="1083"/>
      <c r="FM322" s="1083"/>
      <c r="FN322" s="1083"/>
      <c r="FO322" s="1083"/>
      <c r="FP322" s="1083"/>
      <c r="FQ322" s="606"/>
      <c r="FR322" s="606"/>
      <c r="FS322" s="606"/>
      <c r="FT322" s="606"/>
      <c r="FU322" s="606"/>
      <c r="FV322" s="606"/>
      <c r="FW322" s="606"/>
      <c r="FX322" s="606"/>
      <c r="FY322" s="606"/>
      <c r="FZ322" s="606"/>
      <c r="GA322" s="606"/>
      <c r="GB322" s="606"/>
      <c r="GC322" s="606"/>
      <c r="GD322" s="606"/>
      <c r="GE322" s="606"/>
      <c r="GF322" s="606"/>
      <c r="GG322" s="606"/>
      <c r="GH322" s="606"/>
      <c r="GI322" s="606"/>
      <c r="GJ322" s="606"/>
      <c r="GK322" s="606"/>
      <c r="GL322" s="606"/>
      <c r="GM322" s="606"/>
      <c r="GN322" s="606"/>
      <c r="GO322" s="606"/>
      <c r="GP322" s="606"/>
      <c r="GQ322" s="606"/>
      <c r="GR322" s="606"/>
      <c r="GS322" s="606"/>
      <c r="GT322" s="606"/>
      <c r="GU322" s="606"/>
      <c r="GV322" s="606"/>
      <c r="GW322" s="606"/>
      <c r="GX322" s="606"/>
      <c r="GY322" s="606"/>
      <c r="GZ322" s="606"/>
      <c r="HA322" s="606"/>
      <c r="HB322" s="606"/>
      <c r="HC322" s="606"/>
      <c r="HD322" s="606"/>
      <c r="HE322" s="606"/>
      <c r="HF322" s="606"/>
      <c r="HG322" s="606"/>
      <c r="HH322" s="606"/>
      <c r="HI322" s="606"/>
      <c r="HJ322" s="606"/>
      <c r="HK322" s="606"/>
      <c r="HL322" s="606"/>
      <c r="HM322" s="606"/>
      <c r="HN322" s="606"/>
      <c r="HO322" s="606"/>
      <c r="HP322" s="606"/>
      <c r="HQ322" s="606"/>
      <c r="HR322" s="606"/>
      <c r="HS322" s="606"/>
      <c r="HT322" s="606"/>
      <c r="HU322" s="606"/>
      <c r="HV322" s="606"/>
      <c r="HW322" s="606"/>
      <c r="HX322" s="606"/>
      <c r="HY322" s="606"/>
      <c r="IK322" s="279">
        <f>SUM(DO321:DT321)</f>
        <v>0</v>
      </c>
      <c r="KT322" s="280"/>
    </row>
    <row r="323" spans="1:306" hidden="1" outlineLevel="1">
      <c r="A323" s="291" t="s">
        <v>1045</v>
      </c>
      <c r="D323" s="849"/>
      <c r="CE323" s="793"/>
      <c r="CP323" s="280"/>
      <c r="DC323" s="843" t="s">
        <v>1019</v>
      </c>
      <c r="EA323" s="279"/>
      <c r="EB323" s="279"/>
      <c r="EC323" s="279"/>
      <c r="ED323" s="279"/>
      <c r="EE323" s="279"/>
      <c r="EF323" s="279"/>
      <c r="EG323" s="279"/>
      <c r="EH323" s="279"/>
      <c r="EI323" s="279"/>
      <c r="EJ323" s="279"/>
      <c r="EK323" s="279"/>
      <c r="EL323" s="280"/>
      <c r="EM323" s="1082"/>
      <c r="EN323" s="1082"/>
      <c r="EO323" s="1082"/>
      <c r="EP323" s="1082"/>
      <c r="EQ323" s="1082"/>
      <c r="ER323" s="1082"/>
      <c r="ES323" s="1082"/>
      <c r="ET323" s="1082"/>
      <c r="EU323" s="1082"/>
      <c r="EV323" s="1082"/>
      <c r="EW323" s="1082"/>
      <c r="EX323" s="1350"/>
      <c r="EY323" s="1082"/>
      <c r="EZ323" s="1082"/>
      <c r="FA323" s="1082"/>
      <c r="FB323" s="1082"/>
      <c r="FC323" s="1082"/>
      <c r="FD323" s="1082"/>
      <c r="FE323" s="1082"/>
      <c r="FF323" s="1082"/>
      <c r="FG323" s="1082"/>
      <c r="FH323" s="1082"/>
      <c r="FI323" s="1082"/>
      <c r="FJ323" s="1350"/>
      <c r="FK323" s="1082"/>
      <c r="FL323" s="1082"/>
      <c r="FM323" s="1082"/>
      <c r="FN323" s="1082"/>
      <c r="FO323" s="1082"/>
      <c r="FP323" s="1082"/>
      <c r="FQ323" s="279"/>
      <c r="FR323" s="279"/>
      <c r="FS323" s="279"/>
      <c r="FT323" s="279"/>
      <c r="FU323" s="279"/>
      <c r="FV323" s="279"/>
      <c r="FW323" s="279"/>
      <c r="FX323" s="279"/>
      <c r="FY323" s="279"/>
      <c r="FZ323" s="279"/>
      <c r="GA323" s="279"/>
      <c r="GB323" s="279"/>
      <c r="GC323" s="279"/>
      <c r="GD323" s="279"/>
      <c r="GE323" s="279"/>
      <c r="GF323" s="279"/>
      <c r="GG323" s="279"/>
      <c r="GH323" s="279"/>
      <c r="GI323" s="279"/>
      <c r="GJ323" s="279"/>
      <c r="GK323" s="279"/>
      <c r="GL323" s="279"/>
      <c r="GM323" s="279"/>
      <c r="GN323" s="279"/>
      <c r="GO323" s="279"/>
      <c r="GP323" s="279"/>
      <c r="GQ323" s="279"/>
      <c r="GR323" s="279"/>
      <c r="GS323" s="279"/>
      <c r="GT323" s="279"/>
      <c r="GU323" s="279"/>
      <c r="GV323" s="279"/>
      <c r="GW323" s="279"/>
      <c r="GX323" s="279"/>
      <c r="GY323" s="279"/>
      <c r="GZ323" s="279"/>
      <c r="HA323" s="279"/>
      <c r="HB323" s="279"/>
      <c r="HC323" s="279"/>
      <c r="HD323" s="279"/>
      <c r="HE323" s="279"/>
      <c r="HF323" s="279"/>
      <c r="HG323" s="279"/>
      <c r="HH323" s="279"/>
      <c r="HI323" s="279"/>
      <c r="HJ323" s="279"/>
      <c r="HK323" s="279"/>
      <c r="HL323" s="279"/>
      <c r="HM323" s="279"/>
      <c r="HN323" s="279"/>
      <c r="HO323" s="279"/>
      <c r="HP323" s="279"/>
      <c r="HQ323" s="279"/>
      <c r="HR323" s="279"/>
      <c r="HS323" s="279"/>
      <c r="HT323" s="279"/>
      <c r="HU323" s="279"/>
      <c r="HV323" s="279"/>
      <c r="HW323" s="279"/>
      <c r="HX323" s="279"/>
      <c r="HY323" s="279"/>
      <c r="IJ323" s="323"/>
      <c r="KT323" s="280"/>
    </row>
    <row r="324" spans="1:306" hidden="1" outlineLevel="1">
      <c r="C324" s="1102" t="s">
        <v>1185</v>
      </c>
      <c r="D324" s="293"/>
      <c r="E324" s="1103"/>
      <c r="F324" s="293"/>
      <c r="G324" s="293"/>
      <c r="H324" s="293"/>
      <c r="I324" s="293"/>
      <c r="J324" s="293"/>
      <c r="K324" s="293"/>
      <c r="L324" s="293"/>
      <c r="M324" s="293"/>
      <c r="N324" s="293"/>
      <c r="O324" s="293"/>
      <c r="P324" s="293"/>
      <c r="Q324" s="293"/>
      <c r="R324" s="293"/>
      <c r="S324" s="293"/>
      <c r="T324" s="293"/>
      <c r="U324" s="293"/>
      <c r="V324" s="293"/>
      <c r="W324" s="293"/>
      <c r="X324" s="293"/>
      <c r="Y324" s="29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c r="BN324" s="293"/>
      <c r="BO324" s="293"/>
      <c r="BP324" s="293"/>
      <c r="BQ324" s="293"/>
      <c r="BR324" s="293"/>
      <c r="BS324" s="293"/>
      <c r="BT324" s="293"/>
      <c r="BU324" s="293"/>
      <c r="BV324" s="293"/>
      <c r="BW324" s="293"/>
      <c r="BX324" s="293"/>
      <c r="BY324" s="293"/>
      <c r="BZ324" s="293"/>
      <c r="CA324" s="293"/>
      <c r="CB324" s="293"/>
      <c r="CC324" s="293"/>
      <c r="CD324" s="293"/>
      <c r="CE324" s="294"/>
      <c r="CF324" s="293"/>
      <c r="CG324" s="293"/>
      <c r="CH324" s="293"/>
      <c r="CI324" s="293"/>
      <c r="CJ324" s="293"/>
      <c r="CK324" s="293"/>
      <c r="CL324" s="293"/>
      <c r="CM324" s="293"/>
      <c r="CN324" s="293"/>
      <c r="CO324" s="293"/>
      <c r="CP324" s="295"/>
      <c r="CQ324" s="293"/>
      <c r="CR324" s="293"/>
      <c r="CS324" s="293"/>
      <c r="CT324" s="293"/>
      <c r="CU324" s="293"/>
      <c r="CV324" s="293"/>
      <c r="CW324" s="293"/>
      <c r="CX324" s="293"/>
      <c r="CY324" s="293"/>
      <c r="CZ324" s="293"/>
      <c r="DA324" s="293"/>
      <c r="DB324" s="1288"/>
      <c r="DC324" s="606"/>
      <c r="DD324" s="606"/>
      <c r="DE324" s="606"/>
      <c r="DF324" s="606"/>
      <c r="DG324" s="606"/>
      <c r="DH324" s="606"/>
      <c r="DI324" s="606"/>
      <c r="DJ324" s="606"/>
      <c r="DK324" s="606"/>
      <c r="DL324" s="606"/>
      <c r="DM324" s="1083"/>
      <c r="DN324" s="1329"/>
      <c r="DO324" s="1083"/>
      <c r="DP324" s="1083"/>
      <c r="DQ324" s="1083"/>
      <c r="DR324" s="1083"/>
      <c r="DS324" s="1083"/>
      <c r="DT324" s="1083"/>
      <c r="DU324" s="1083"/>
      <c r="DV324" s="1083"/>
      <c r="DW324" s="1083"/>
      <c r="DX324" s="1083"/>
      <c r="DY324" s="1083"/>
      <c r="DZ324" s="1329"/>
      <c r="EA324" s="1083"/>
      <c r="EB324" s="1083"/>
      <c r="EC324" s="1083"/>
      <c r="ED324" s="1083"/>
      <c r="EE324" s="1083"/>
      <c r="EF324" s="1083"/>
      <c r="EG324" s="1083"/>
      <c r="EH324" s="1083"/>
      <c r="EI324" s="1083"/>
      <c r="EJ324" s="1083"/>
      <c r="EK324" s="1083"/>
      <c r="EL324" s="1329"/>
      <c r="EM324" s="1083"/>
      <c r="EN324" s="1083"/>
      <c r="EO324" s="1083"/>
      <c r="EP324" s="1083"/>
      <c r="EQ324" s="1083"/>
      <c r="ER324" s="1083"/>
      <c r="ES324" s="1083"/>
      <c r="ET324" s="1083"/>
      <c r="EU324" s="1083"/>
      <c r="EV324" s="1083"/>
      <c r="EW324" s="1083"/>
      <c r="EX324" s="1329"/>
      <c r="EY324" s="1083"/>
      <c r="EZ324" s="1083"/>
      <c r="FA324" s="1083"/>
      <c r="FB324" s="1083"/>
      <c r="FC324" s="1083"/>
      <c r="FD324" s="1083"/>
      <c r="FE324" s="1083"/>
      <c r="FF324" s="1083"/>
      <c r="FG324" s="1083"/>
      <c r="FH324" s="1083"/>
      <c r="FI324" s="1083"/>
      <c r="FJ324" s="1329"/>
      <c r="FK324" s="1083"/>
      <c r="FL324" s="1083"/>
      <c r="FM324" s="1083"/>
      <c r="FN324" s="1083"/>
      <c r="FO324" s="1083"/>
      <c r="FP324" s="1083"/>
      <c r="FQ324" s="606"/>
      <c r="FR324" s="606"/>
      <c r="FS324" s="606"/>
      <c r="FT324" s="606"/>
      <c r="FU324" s="606"/>
      <c r="FV324" s="606"/>
      <c r="FW324" s="606"/>
      <c r="FX324" s="606"/>
      <c r="FY324" s="606"/>
      <c r="FZ324" s="606"/>
      <c r="GA324" s="606"/>
      <c r="GB324" s="606"/>
      <c r="GC324" s="606"/>
      <c r="GD324" s="606"/>
      <c r="GE324" s="606"/>
      <c r="GF324" s="606"/>
      <c r="GG324" s="606"/>
      <c r="GH324" s="606"/>
      <c r="GI324" s="606"/>
      <c r="GJ324" s="606"/>
      <c r="GK324" s="606"/>
      <c r="GL324" s="606"/>
      <c r="GM324" s="606"/>
      <c r="GN324" s="606"/>
      <c r="GO324" s="606"/>
      <c r="GP324" s="606"/>
      <c r="GQ324" s="606"/>
      <c r="GR324" s="606"/>
      <c r="GS324" s="606"/>
      <c r="GT324" s="606"/>
      <c r="GU324" s="606"/>
      <c r="GV324" s="606"/>
      <c r="GW324" s="606"/>
      <c r="GX324" s="606"/>
      <c r="GY324" s="606"/>
      <c r="GZ324" s="606"/>
      <c r="HA324" s="606"/>
      <c r="HB324" s="606"/>
      <c r="HC324" s="606"/>
      <c r="HD324" s="606"/>
      <c r="HE324" s="606"/>
      <c r="HF324" s="606"/>
      <c r="HG324" s="606"/>
      <c r="HH324" s="606"/>
      <c r="HI324" s="606"/>
      <c r="HJ324" s="606"/>
      <c r="HK324" s="606"/>
      <c r="HL324" s="606"/>
      <c r="HM324" s="606"/>
      <c r="HN324" s="606"/>
      <c r="HO324" s="606"/>
      <c r="HP324" s="606"/>
      <c r="HQ324" s="606"/>
      <c r="HR324" s="606"/>
      <c r="HS324" s="606"/>
      <c r="HT324" s="606"/>
      <c r="HU324" s="606"/>
      <c r="HV324" s="606"/>
      <c r="HW324" s="606"/>
      <c r="HX324" s="606"/>
      <c r="HY324" s="606"/>
      <c r="KT324" s="280"/>
    </row>
    <row r="325" spans="1:306" hidden="1" outlineLevel="1">
      <c r="C325" s="849" t="s">
        <v>447</v>
      </c>
      <c r="D325" s="293"/>
      <c r="F325" s="293"/>
      <c r="G325" s="293"/>
      <c r="H325" s="293"/>
      <c r="I325" s="293"/>
      <c r="J325" s="293"/>
      <c r="K325" s="293"/>
      <c r="L325" s="293"/>
      <c r="M325" s="293"/>
      <c r="N325" s="293"/>
      <c r="O325" s="293"/>
      <c r="P325" s="293"/>
      <c r="Q325" s="293"/>
      <c r="R325" s="293"/>
      <c r="S325" s="293"/>
      <c r="T325" s="293"/>
      <c r="U325" s="293"/>
      <c r="V325" s="293"/>
      <c r="W325" s="293"/>
      <c r="X325" s="293"/>
      <c r="Y325" s="29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c r="BN325" s="293"/>
      <c r="BO325" s="293"/>
      <c r="BP325" s="293"/>
      <c r="BQ325" s="293"/>
      <c r="BR325" s="293"/>
      <c r="BS325" s="293"/>
      <c r="BT325" s="293"/>
      <c r="BU325" s="293"/>
      <c r="BV325" s="293"/>
      <c r="BW325" s="293"/>
      <c r="BX325" s="293"/>
      <c r="BY325" s="293"/>
      <c r="BZ325" s="293"/>
      <c r="CA325" s="293"/>
      <c r="CB325" s="293"/>
      <c r="CC325" s="293"/>
      <c r="CD325" s="293"/>
      <c r="CE325" s="294"/>
      <c r="CF325" s="293"/>
      <c r="CG325" s="293"/>
      <c r="CH325" s="293"/>
      <c r="CI325" s="293"/>
      <c r="CJ325" s="293"/>
      <c r="CK325" s="293"/>
      <c r="CL325" s="293"/>
      <c r="CM325" s="293"/>
      <c r="CN325" s="293"/>
      <c r="CO325" s="293"/>
      <c r="CP325" s="295"/>
      <c r="CQ325" s="293"/>
      <c r="CR325" s="293"/>
      <c r="CS325" s="293"/>
      <c r="CT325" s="293"/>
      <c r="CU325" s="293"/>
      <c r="CV325" s="293"/>
      <c r="CW325" s="293"/>
      <c r="CX325" s="293"/>
      <c r="CY325" s="293"/>
      <c r="CZ325" s="293"/>
      <c r="DA325" s="293"/>
      <c r="DB325" s="1288"/>
      <c r="DC325" s="606"/>
      <c r="DD325" s="606"/>
      <c r="DE325" s="606"/>
      <c r="DF325" s="606"/>
      <c r="DG325" s="606"/>
      <c r="DH325" s="606"/>
      <c r="DI325" s="606"/>
      <c r="DJ325" s="606"/>
      <c r="DK325" s="606"/>
      <c r="DL325" s="606"/>
      <c r="DM325" s="1083"/>
      <c r="DN325" s="1329"/>
      <c r="DO325" s="1083"/>
      <c r="DP325" s="1083"/>
      <c r="DQ325" s="1083"/>
      <c r="DR325" s="1083"/>
      <c r="DS325" s="1083"/>
      <c r="DT325" s="1083"/>
      <c r="DU325" s="1083"/>
      <c r="DV325" s="1083"/>
      <c r="DW325" s="1083"/>
      <c r="DX325" s="1083"/>
      <c r="DY325" s="1083"/>
      <c r="DZ325" s="1329"/>
      <c r="EA325" s="1083"/>
      <c r="EB325" s="1083"/>
      <c r="EC325" s="1083"/>
      <c r="ED325" s="1083"/>
      <c r="EE325" s="1083"/>
      <c r="EF325" s="1083"/>
      <c r="EG325" s="1083"/>
      <c r="EH325" s="1083"/>
      <c r="EI325" s="1083"/>
      <c r="EJ325" s="1083"/>
      <c r="EK325" s="1083"/>
      <c r="EL325" s="1329"/>
      <c r="EM325" s="1083"/>
      <c r="EN325" s="1083"/>
      <c r="EO325" s="1083"/>
      <c r="EP325" s="1083"/>
      <c r="EQ325" s="1083"/>
      <c r="ER325" s="1083"/>
      <c r="ES325" s="1083"/>
      <c r="ET325" s="1083"/>
      <c r="EU325" s="1083"/>
      <c r="EV325" s="1083"/>
      <c r="EW325" s="1083"/>
      <c r="EX325" s="1329"/>
      <c r="EY325" s="1083"/>
      <c r="EZ325" s="1083"/>
      <c r="FA325" s="1083"/>
      <c r="FB325" s="1083"/>
      <c r="FC325" s="1083"/>
      <c r="FD325" s="1083"/>
      <c r="FE325" s="1083"/>
      <c r="FF325" s="1083"/>
      <c r="FG325" s="1083"/>
      <c r="FH325" s="1083"/>
      <c r="FI325" s="1083"/>
      <c r="FJ325" s="1329"/>
      <c r="FK325" s="1083"/>
      <c r="FL325" s="1083"/>
      <c r="FM325" s="1083"/>
      <c r="FN325" s="1083"/>
      <c r="FO325" s="1083"/>
      <c r="FP325" s="1083"/>
      <c r="FQ325" s="606"/>
      <c r="FR325" s="606"/>
      <c r="FS325" s="606"/>
      <c r="FT325" s="606"/>
      <c r="FU325" s="606"/>
      <c r="FV325" s="606"/>
      <c r="FW325" s="606"/>
      <c r="FX325" s="606"/>
      <c r="FY325" s="606"/>
      <c r="FZ325" s="606"/>
      <c r="GA325" s="606"/>
      <c r="GB325" s="606"/>
      <c r="GC325" s="606"/>
      <c r="GD325" s="606"/>
      <c r="GE325" s="606"/>
      <c r="GF325" s="606"/>
      <c r="GG325" s="606"/>
      <c r="GH325" s="606"/>
      <c r="GI325" s="606"/>
      <c r="GJ325" s="606"/>
      <c r="GK325" s="606"/>
      <c r="GL325" s="606"/>
      <c r="GM325" s="606"/>
      <c r="GN325" s="606"/>
      <c r="GO325" s="606"/>
      <c r="GP325" s="606"/>
      <c r="GQ325" s="606"/>
      <c r="GR325" s="606"/>
      <c r="GS325" s="606"/>
      <c r="GT325" s="606"/>
      <c r="GU325" s="606"/>
      <c r="GV325" s="606"/>
      <c r="GW325" s="606"/>
      <c r="GX325" s="606"/>
      <c r="GY325" s="606"/>
      <c r="GZ325" s="606"/>
      <c r="HA325" s="606"/>
      <c r="HB325" s="606"/>
      <c r="HC325" s="606"/>
      <c r="HD325" s="606"/>
      <c r="HE325" s="606"/>
      <c r="HF325" s="606"/>
      <c r="HG325" s="606"/>
      <c r="HH325" s="606"/>
      <c r="HI325" s="606"/>
      <c r="HJ325" s="606"/>
      <c r="HK325" s="606"/>
      <c r="HL325" s="606"/>
      <c r="HM325" s="606"/>
      <c r="HN325" s="606"/>
      <c r="HO325" s="606"/>
      <c r="HP325" s="606"/>
      <c r="HQ325" s="606"/>
      <c r="HR325" s="606"/>
      <c r="HS325" s="606"/>
      <c r="HT325" s="606"/>
      <c r="HU325" s="606"/>
      <c r="HV325" s="606"/>
      <c r="HW325" s="606"/>
      <c r="HX325" s="606"/>
      <c r="HY325" s="606"/>
      <c r="KT325" s="280"/>
    </row>
    <row r="326" spans="1:306" hidden="1" outlineLevel="1">
      <c r="B326" s="96" t="s">
        <v>338</v>
      </c>
      <c r="C326" s="849"/>
      <c r="D326" s="293" t="s">
        <v>1186</v>
      </c>
      <c r="F326" s="293"/>
      <c r="G326" s="293"/>
      <c r="H326" s="293"/>
      <c r="I326" s="293"/>
      <c r="J326" s="293"/>
      <c r="K326" s="293"/>
      <c r="L326" s="293"/>
      <c r="M326" s="293"/>
      <c r="N326" s="293"/>
      <c r="O326" s="293"/>
      <c r="P326" s="293"/>
      <c r="Q326" s="293"/>
      <c r="R326" s="293"/>
      <c r="S326" s="293"/>
      <c r="T326" s="293"/>
      <c r="U326" s="293"/>
      <c r="V326" s="293"/>
      <c r="W326" s="293"/>
      <c r="X326" s="293"/>
      <c r="Y326" s="29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c r="BN326" s="293"/>
      <c r="BO326" s="293"/>
      <c r="BP326" s="293"/>
      <c r="BQ326" s="293"/>
      <c r="BR326" s="293"/>
      <c r="BS326" s="293"/>
      <c r="BT326" s="293"/>
      <c r="BU326" s="293"/>
      <c r="BV326" s="293"/>
      <c r="BW326" s="293"/>
      <c r="BX326" s="293"/>
      <c r="BY326" s="293"/>
      <c r="BZ326" s="293"/>
      <c r="CA326" s="293"/>
      <c r="CB326" s="293"/>
      <c r="CC326" s="293"/>
      <c r="CD326" s="293"/>
      <c r="CE326" s="294">
        <v>0</v>
      </c>
      <c r="CF326" s="293">
        <v>0.36952295899999998</v>
      </c>
      <c r="CG326" s="293">
        <v>0</v>
      </c>
      <c r="CH326" s="293">
        <v>1.724909799</v>
      </c>
      <c r="CI326" s="293">
        <v>0.26947505700000002</v>
      </c>
      <c r="CJ326" s="293">
        <v>0</v>
      </c>
      <c r="CK326" s="293">
        <v>1.9293396279999999</v>
      </c>
      <c r="CL326" s="293">
        <v>0.94391963800000001</v>
      </c>
      <c r="CM326" s="293">
        <v>1.716166812</v>
      </c>
      <c r="CN326" s="293">
        <v>3.5629766150000002</v>
      </c>
      <c r="CO326" s="293">
        <v>6</v>
      </c>
      <c r="CP326" s="295">
        <v>0.107257982</v>
      </c>
      <c r="CQ326" s="293">
        <v>9.4241119429999998</v>
      </c>
      <c r="CR326" s="293">
        <v>0</v>
      </c>
      <c r="CS326" s="293">
        <v>0.107257982</v>
      </c>
      <c r="CT326" s="293">
        <v>0.97976092999999997</v>
      </c>
      <c r="CU326" s="293">
        <v>0</v>
      </c>
      <c r="CV326" s="293">
        <v>0.27485077800000002</v>
      </c>
      <c r="CW326" s="293">
        <v>4.137349145</v>
      </c>
      <c r="CX326" s="293">
        <v>0</v>
      </c>
      <c r="CY326" s="293">
        <v>2.3536618200000001</v>
      </c>
      <c r="CZ326" s="293">
        <v>1.6205009459999999</v>
      </c>
      <c r="DA326" s="293">
        <v>0.63712747599999997</v>
      </c>
      <c r="DB326" s="1288">
        <v>2.4934164920000002</v>
      </c>
      <c r="DC326" s="293">
        <v>1.016963142</v>
      </c>
      <c r="DD326" s="606">
        <v>0</v>
      </c>
      <c r="DE326" s="606">
        <v>0.107257982</v>
      </c>
      <c r="DF326" s="606">
        <v>1.0296751799999999</v>
      </c>
      <c r="DG326" s="606">
        <v>10.5</v>
      </c>
      <c r="DH326" s="606">
        <v>0.28742022900000003</v>
      </c>
      <c r="DI326" s="606">
        <v>1.0425461199999999</v>
      </c>
      <c r="DJ326" s="606">
        <v>0</v>
      </c>
      <c r="DK326" s="606">
        <v>0</v>
      </c>
      <c r="DL326" s="606">
        <v>1.055577947</v>
      </c>
      <c r="DM326" s="606">
        <v>0</v>
      </c>
      <c r="DN326" s="1329">
        <v>0</v>
      </c>
      <c r="DO326" s="1083">
        <v>1.0687726710000001</v>
      </c>
      <c r="DP326" s="1083">
        <v>0.85545203299999995</v>
      </c>
      <c r="DQ326" s="1083">
        <v>0.86362635300000001</v>
      </c>
      <c r="DR326" s="1083">
        <v>1.9540111120000001</v>
      </c>
      <c r="DS326" s="1083">
        <v>0</v>
      </c>
      <c r="DT326" s="1083">
        <v>0.88021006800000001</v>
      </c>
      <c r="DU326" s="1083">
        <v>11.413168518999999</v>
      </c>
      <c r="DV326" s="1083">
        <v>3.6473710920000002</v>
      </c>
      <c r="DW326" s="1083">
        <v>1.8781187340000001</v>
      </c>
      <c r="DX326" s="1083">
        <v>2.9293783150000001</v>
      </c>
      <c r="DY326" s="1083">
        <v>0</v>
      </c>
      <c r="DZ326" s="1329">
        <v>0.92307597399999997</v>
      </c>
      <c r="EA326" s="1083">
        <v>1.123221655</v>
      </c>
      <c r="EB326" s="1083">
        <v>3.8</v>
      </c>
      <c r="EC326" s="1083">
        <v>1.9</v>
      </c>
      <c r="ED326" s="1083">
        <v>3.0372619259999998</v>
      </c>
      <c r="EE326" s="1083">
        <v>0</v>
      </c>
      <c r="EF326" s="1083">
        <v>2.1082000059999997</v>
      </c>
      <c r="EG326" s="1083">
        <v>0</v>
      </c>
      <c r="EH326" s="1083">
        <v>1.9</v>
      </c>
      <c r="EI326" s="1083">
        <v>2.0874999999999999</v>
      </c>
      <c r="EJ326" s="1083">
        <v>6.406892944</v>
      </c>
      <c r="EK326" s="1083">
        <v>0</v>
      </c>
      <c r="EL326" s="1329">
        <v>6.7624064999999991</v>
      </c>
      <c r="EM326" s="1083">
        <v>1.3886445670000001</v>
      </c>
      <c r="EN326" s="1083">
        <v>0</v>
      </c>
      <c r="EO326" s="1083">
        <v>0</v>
      </c>
      <c r="EP326" s="1083">
        <v>1.195200118</v>
      </c>
      <c r="EQ326" s="1083">
        <v>15</v>
      </c>
      <c r="ER326" s="1083">
        <v>0</v>
      </c>
      <c r="ES326" s="1083">
        <v>0</v>
      </c>
      <c r="ET326" s="1083">
        <v>0</v>
      </c>
      <c r="EU326" s="1083">
        <v>0</v>
      </c>
      <c r="EV326" s="1083">
        <v>0.90004214100000002</v>
      </c>
      <c r="EW326" s="1083">
        <v>15.446089969999999</v>
      </c>
      <c r="EX326" s="1329">
        <v>14.580848113</v>
      </c>
      <c r="EY326" s="1083"/>
      <c r="EZ326" s="1083"/>
      <c r="FA326" s="1083"/>
      <c r="FB326" s="1083"/>
      <c r="FC326" s="1083"/>
      <c r="FD326" s="1083"/>
      <c r="FE326" s="1083"/>
      <c r="FF326" s="1083"/>
      <c r="FG326" s="1083"/>
      <c r="FH326" s="1083"/>
      <c r="FI326" s="1083"/>
      <c r="FJ326" s="1329"/>
      <c r="FK326" s="1083"/>
      <c r="FL326" s="1083"/>
      <c r="FM326" s="1083"/>
      <c r="FN326" s="1083"/>
      <c r="FO326" s="1083"/>
      <c r="FP326" s="1083"/>
      <c r="FQ326" s="606"/>
      <c r="FR326" s="606"/>
      <c r="FS326" s="606"/>
      <c r="FT326" s="606"/>
      <c r="FU326" s="606"/>
      <c r="FV326" s="606"/>
      <c r="FW326" s="606"/>
      <c r="FX326" s="606"/>
      <c r="FY326" s="606"/>
      <c r="FZ326" s="606"/>
      <c r="GA326" s="606"/>
      <c r="GB326" s="606"/>
      <c r="GC326" s="606"/>
      <c r="GD326" s="606"/>
      <c r="GE326" s="606"/>
      <c r="GF326" s="606"/>
      <c r="GG326" s="606"/>
      <c r="GH326" s="606"/>
      <c r="GI326" s="606"/>
      <c r="GJ326" s="606"/>
      <c r="GK326" s="606"/>
      <c r="GL326" s="606"/>
      <c r="GM326" s="606"/>
      <c r="GN326" s="606"/>
      <c r="GO326" s="606"/>
      <c r="GP326" s="606"/>
      <c r="GQ326" s="606"/>
      <c r="GR326" s="606"/>
      <c r="GS326" s="606"/>
      <c r="GT326" s="606"/>
      <c r="GU326" s="606"/>
      <c r="GV326" s="606"/>
      <c r="GW326" s="606"/>
      <c r="GX326" s="606"/>
      <c r="GY326" s="606"/>
      <c r="GZ326" s="606"/>
      <c r="HA326" s="606"/>
      <c r="HB326" s="606"/>
      <c r="HC326" s="606"/>
      <c r="HD326" s="606"/>
      <c r="HE326" s="606"/>
      <c r="HF326" s="606"/>
      <c r="HG326" s="606"/>
      <c r="HH326" s="606"/>
      <c r="HI326" s="606"/>
      <c r="HJ326" s="606"/>
      <c r="HK326" s="606"/>
      <c r="HL326" s="606"/>
      <c r="HM326" s="606"/>
      <c r="HN326" s="606"/>
      <c r="HO326" s="606"/>
      <c r="HP326" s="606"/>
      <c r="HQ326" s="606"/>
      <c r="HR326" s="606"/>
      <c r="HS326" s="606"/>
      <c r="HT326" s="606"/>
      <c r="HU326" s="606"/>
      <c r="HV326" s="606"/>
      <c r="HW326" s="606"/>
      <c r="HX326" s="606"/>
      <c r="HY326" s="606"/>
      <c r="KT326" s="280"/>
    </row>
    <row r="327" spans="1:306" hidden="1" outlineLevel="1">
      <c r="B327" s="96" t="s">
        <v>338</v>
      </c>
      <c r="C327" s="849"/>
      <c r="D327" s="293" t="s">
        <v>1187</v>
      </c>
      <c r="F327" s="293"/>
      <c r="G327" s="293"/>
      <c r="H327" s="293"/>
      <c r="I327" s="293"/>
      <c r="J327" s="293"/>
      <c r="K327" s="293"/>
      <c r="L327" s="293"/>
      <c r="M327" s="293"/>
      <c r="N327" s="293"/>
      <c r="O327" s="293"/>
      <c r="P327" s="293"/>
      <c r="Q327" s="293"/>
      <c r="R327" s="293"/>
      <c r="S327" s="293"/>
      <c r="T327" s="293"/>
      <c r="U327" s="293"/>
      <c r="V327" s="293"/>
      <c r="W327" s="293"/>
      <c r="X327" s="293"/>
      <c r="Y327" s="29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c r="BN327" s="293"/>
      <c r="BO327" s="293"/>
      <c r="BP327" s="293"/>
      <c r="BQ327" s="293"/>
      <c r="BR327" s="293"/>
      <c r="BS327" s="293"/>
      <c r="BT327" s="293"/>
      <c r="BU327" s="293"/>
      <c r="BV327" s="293"/>
      <c r="BW327" s="293"/>
      <c r="BX327" s="293"/>
      <c r="BY327" s="293"/>
      <c r="BZ327" s="293"/>
      <c r="CA327" s="293"/>
      <c r="CB327" s="293"/>
      <c r="CC327" s="293"/>
      <c r="CD327" s="293"/>
      <c r="CE327" s="294">
        <v>0.39586318599999998</v>
      </c>
      <c r="CF327" s="293">
        <v>5.7839338999999997E-2</v>
      </c>
      <c r="CG327" s="293">
        <v>0.703602968</v>
      </c>
      <c r="CH327" s="293">
        <v>0.71574627800000001</v>
      </c>
      <c r="CI327" s="293">
        <v>1.311329698</v>
      </c>
      <c r="CJ327" s="293">
        <v>0.87157223399999995</v>
      </c>
      <c r="CK327" s="293">
        <v>0.27719154699999998</v>
      </c>
      <c r="CL327" s="293">
        <v>8.4264433E-2</v>
      </c>
      <c r="CM327" s="293">
        <v>0.64467011699999999</v>
      </c>
      <c r="CN327" s="293">
        <v>1.430611361</v>
      </c>
      <c r="CO327" s="293">
        <v>2.2198030690000001</v>
      </c>
      <c r="CP327" s="295">
        <v>0.75472671400000002</v>
      </c>
      <c r="CQ327" s="293">
        <v>0.42498445600000001</v>
      </c>
      <c r="CR327" s="293">
        <v>0.102537352</v>
      </c>
      <c r="CS327" s="293">
        <v>1.2527961969999999</v>
      </c>
      <c r="CT327" s="293">
        <v>1.066638427</v>
      </c>
      <c r="CU327" s="293">
        <v>1.4408561610000001</v>
      </c>
      <c r="CV327" s="293">
        <v>0.85266763700000003</v>
      </c>
      <c r="CW327" s="293">
        <v>0.19537990499999999</v>
      </c>
      <c r="CX327" s="293">
        <v>0.103676817</v>
      </c>
      <c r="CY327" s="293">
        <v>1.6563464289999998</v>
      </c>
      <c r="CZ327" s="293">
        <v>1.1590631440000001</v>
      </c>
      <c r="DA327" s="293">
        <v>2.3130289560000001</v>
      </c>
      <c r="DB327" s="1288">
        <v>0.95644530500000002</v>
      </c>
      <c r="DC327" s="293">
        <v>0.42731891899999996</v>
      </c>
      <c r="DD327" s="606">
        <v>0.106041388</v>
      </c>
      <c r="DE327" s="606">
        <v>1.688151223</v>
      </c>
      <c r="DF327" s="606">
        <v>1.290621706</v>
      </c>
      <c r="DG327" s="606">
        <v>1.582189246</v>
      </c>
      <c r="DH327" s="606">
        <v>1.142805748</v>
      </c>
      <c r="DI327" s="606">
        <v>0.30168885499999998</v>
      </c>
      <c r="DJ327" s="606">
        <v>0.110646936</v>
      </c>
      <c r="DK327" s="606">
        <v>4.132394315</v>
      </c>
      <c r="DL327" s="606">
        <v>1.355918518</v>
      </c>
      <c r="DM327" s="606">
        <v>2.7604297070000001</v>
      </c>
      <c r="DN327" s="1329">
        <v>4.0842326419999999</v>
      </c>
      <c r="DO327" s="1083">
        <v>0.46892194200000004</v>
      </c>
      <c r="DP327" s="1083">
        <v>8.7627767999999995E-2</v>
      </c>
      <c r="DQ327" s="1083">
        <v>4.6992862640000004</v>
      </c>
      <c r="DR327" s="1083">
        <v>1.4215288939999999</v>
      </c>
      <c r="DS327" s="1083">
        <v>1.795995776</v>
      </c>
      <c r="DT327" s="1083">
        <v>1.4109961360000001</v>
      </c>
      <c r="DU327" s="1083">
        <v>0.52609718900000002</v>
      </c>
      <c r="DV327" s="1083">
        <v>0.111659601</v>
      </c>
      <c r="DW327" s="1083">
        <v>5.2253734779999998</v>
      </c>
      <c r="DX327" s="1083">
        <v>1.654865252</v>
      </c>
      <c r="DY327" s="1083">
        <v>1.9757851319999999</v>
      </c>
      <c r="DZ327" s="1329">
        <v>1.395982729</v>
      </c>
      <c r="EA327" s="1083">
        <v>1.272119062</v>
      </c>
      <c r="EB327" s="1083">
        <v>0.11415238</v>
      </c>
      <c r="EC327" s="1083">
        <v>5.4104019149999996</v>
      </c>
      <c r="ED327" s="1083">
        <v>1.7191217400000001</v>
      </c>
      <c r="EE327" s="1083">
        <v>1.8902031949999998</v>
      </c>
      <c r="EF327" s="1083">
        <v>1.6026150100000001</v>
      </c>
      <c r="EG327" s="1083">
        <v>1.1499744509999998</v>
      </c>
      <c r="EH327" s="1083">
        <v>0.45966550299999998</v>
      </c>
      <c r="EI327" s="1083">
        <v>4.5955322469999995</v>
      </c>
      <c r="EJ327" s="1083">
        <v>2.791526825</v>
      </c>
      <c r="EK327" s="1083">
        <v>2.0812441829999999</v>
      </c>
      <c r="EL327" s="1329">
        <v>1.4784946489999999</v>
      </c>
      <c r="EM327" s="1083">
        <v>1.336842066</v>
      </c>
      <c r="EN327" s="1083">
        <v>0.46767455200000002</v>
      </c>
      <c r="EO327" s="1083">
        <v>5.5644570879999993</v>
      </c>
      <c r="EP327" s="1083">
        <v>1.767328129</v>
      </c>
      <c r="EQ327" s="1083">
        <v>2.1048572919999997</v>
      </c>
      <c r="ER327" s="1083">
        <v>1.6570807460000001</v>
      </c>
      <c r="ES327" s="1083">
        <v>1.1860716259999999</v>
      </c>
      <c r="ET327" s="1083">
        <v>1.4158283250000001</v>
      </c>
      <c r="EU327" s="1083">
        <v>5.9580953710000006</v>
      </c>
      <c r="EV327" s="1083">
        <v>1.805382633</v>
      </c>
      <c r="EW327" s="1083">
        <v>2.1443604469999999</v>
      </c>
      <c r="EX327" s="1329">
        <v>1.517057804</v>
      </c>
      <c r="EY327" s="1083"/>
      <c r="EZ327" s="1083"/>
      <c r="FA327" s="1083"/>
      <c r="FB327" s="1083"/>
      <c r="FC327" s="1083"/>
      <c r="FD327" s="1083"/>
      <c r="FE327" s="1083"/>
      <c r="FF327" s="1083"/>
      <c r="FG327" s="1083"/>
      <c r="FH327" s="1083"/>
      <c r="FI327" s="1083"/>
      <c r="FJ327" s="1329"/>
      <c r="FK327" s="1083"/>
      <c r="FL327" s="1083"/>
      <c r="FM327" s="1083"/>
      <c r="FN327" s="1083"/>
      <c r="FO327" s="1083"/>
      <c r="FP327" s="1083"/>
      <c r="FQ327" s="606"/>
      <c r="FR327" s="606"/>
      <c r="FS327" s="606"/>
      <c r="FT327" s="606"/>
      <c r="FU327" s="606"/>
      <c r="FV327" s="606"/>
      <c r="FW327" s="606"/>
      <c r="FX327" s="606"/>
      <c r="FY327" s="606"/>
      <c r="FZ327" s="606"/>
      <c r="GA327" s="606"/>
      <c r="GB327" s="606"/>
      <c r="GC327" s="606"/>
      <c r="GD327" s="606"/>
      <c r="GE327" s="606"/>
      <c r="GF327" s="606"/>
      <c r="GG327" s="606"/>
      <c r="GH327" s="606"/>
      <c r="GI327" s="606"/>
      <c r="GJ327" s="606"/>
      <c r="GK327" s="606"/>
      <c r="GL327" s="606"/>
      <c r="GM327" s="606"/>
      <c r="GN327" s="606"/>
      <c r="GO327" s="606"/>
      <c r="GP327" s="606"/>
      <c r="GQ327" s="606"/>
      <c r="GR327" s="606"/>
      <c r="GS327" s="606"/>
      <c r="GT327" s="606"/>
      <c r="GU327" s="606"/>
      <c r="GV327" s="606"/>
      <c r="GW327" s="606"/>
      <c r="GX327" s="606"/>
      <c r="GY327" s="606"/>
      <c r="GZ327" s="606"/>
      <c r="HA327" s="606"/>
      <c r="HB327" s="606"/>
      <c r="HC327" s="606"/>
      <c r="HD327" s="606"/>
      <c r="HE327" s="606"/>
      <c r="HF327" s="606"/>
      <c r="HG327" s="606"/>
      <c r="HH327" s="606"/>
      <c r="HI327" s="606"/>
      <c r="HJ327" s="606"/>
      <c r="HK327" s="606"/>
      <c r="HL327" s="606"/>
      <c r="HM327" s="606"/>
      <c r="HN327" s="606"/>
      <c r="HO327" s="606"/>
      <c r="HP327" s="606"/>
      <c r="HQ327" s="606"/>
      <c r="HR327" s="606"/>
      <c r="HS327" s="606"/>
      <c r="HT327" s="606"/>
      <c r="HU327" s="606"/>
      <c r="HV327" s="606"/>
      <c r="HW327" s="606"/>
      <c r="HX327" s="606"/>
      <c r="HY327" s="606"/>
      <c r="KT327" s="280"/>
    </row>
    <row r="328" spans="1:306" hidden="1" outlineLevel="1">
      <c r="C328" s="849" t="s">
        <v>443</v>
      </c>
      <c r="D328" s="293"/>
      <c r="F328" s="293"/>
      <c r="G328" s="293"/>
      <c r="H328" s="293"/>
      <c r="I328" s="293"/>
      <c r="J328" s="293"/>
      <c r="K328" s="293"/>
      <c r="L328" s="293"/>
      <c r="M328" s="293"/>
      <c r="N328" s="293"/>
      <c r="O328" s="293"/>
      <c r="P328" s="293"/>
      <c r="Q328" s="293"/>
      <c r="R328" s="293"/>
      <c r="S328" s="293"/>
      <c r="T328" s="293"/>
      <c r="U328" s="293"/>
      <c r="V328" s="293"/>
      <c r="W328" s="293"/>
      <c r="X328" s="293"/>
      <c r="Y328" s="29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c r="BN328" s="293"/>
      <c r="BO328" s="293"/>
      <c r="BP328" s="293"/>
      <c r="BQ328" s="293"/>
      <c r="BR328" s="293"/>
      <c r="BS328" s="293"/>
      <c r="BT328" s="293"/>
      <c r="BU328" s="293"/>
      <c r="BV328" s="293"/>
      <c r="BW328" s="293"/>
      <c r="BX328" s="293"/>
      <c r="BY328" s="293"/>
      <c r="BZ328" s="293"/>
      <c r="CA328" s="293"/>
      <c r="CB328" s="293"/>
      <c r="CC328" s="293"/>
      <c r="CD328" s="293"/>
      <c r="CE328" s="294"/>
      <c r="CF328" s="293"/>
      <c r="CG328" s="293"/>
      <c r="CH328" s="293"/>
      <c r="CI328" s="293"/>
      <c r="CJ328" s="293"/>
      <c r="CK328" s="293"/>
      <c r="CL328" s="293"/>
      <c r="CM328" s="293"/>
      <c r="CN328" s="293"/>
      <c r="CO328" s="293"/>
      <c r="CP328" s="295"/>
      <c r="CQ328" s="293"/>
      <c r="CR328" s="293"/>
      <c r="CS328" s="293"/>
      <c r="CT328" s="293"/>
      <c r="CU328" s="293"/>
      <c r="CV328" s="293"/>
      <c r="CW328" s="293"/>
      <c r="CX328" s="293"/>
      <c r="CY328" s="293"/>
      <c r="CZ328" s="293"/>
      <c r="DA328" s="293"/>
      <c r="DB328" s="1288"/>
      <c r="DC328" s="293"/>
      <c r="DD328" s="606"/>
      <c r="DE328" s="606"/>
      <c r="DF328" s="606"/>
      <c r="DG328" s="606"/>
      <c r="DH328" s="606"/>
      <c r="DI328" s="606"/>
      <c r="DJ328" s="606"/>
      <c r="DK328" s="606"/>
      <c r="DL328" s="606"/>
      <c r="DM328" s="606"/>
      <c r="DN328" s="1329"/>
      <c r="DO328" s="1083"/>
      <c r="DP328" s="1083"/>
      <c r="DQ328" s="1083"/>
      <c r="DR328" s="1083"/>
      <c r="DS328" s="1083"/>
      <c r="DT328" s="1083"/>
      <c r="DU328" s="1083"/>
      <c r="DV328" s="1083"/>
      <c r="DW328" s="1083"/>
      <c r="DX328" s="1083"/>
      <c r="DY328" s="1083"/>
      <c r="DZ328" s="1329"/>
      <c r="EA328" s="1083"/>
      <c r="EB328" s="1083"/>
      <c r="EC328" s="1083"/>
      <c r="ED328" s="1083"/>
      <c r="EE328" s="1083"/>
      <c r="EF328" s="1083"/>
      <c r="EG328" s="1083"/>
      <c r="EH328" s="1083"/>
      <c r="EI328" s="1083"/>
      <c r="EJ328" s="1083"/>
      <c r="EK328" s="1083"/>
      <c r="EL328" s="1329"/>
      <c r="EM328" s="1083"/>
      <c r="EN328" s="1083"/>
      <c r="EO328" s="1083"/>
      <c r="EP328" s="1083"/>
      <c r="EQ328" s="1083"/>
      <c r="ER328" s="1083"/>
      <c r="ES328" s="1083"/>
      <c r="ET328" s="1083"/>
      <c r="EU328" s="1083"/>
      <c r="EV328" s="1083"/>
      <c r="EW328" s="1083"/>
      <c r="EX328" s="1329"/>
      <c r="EY328" s="1083"/>
      <c r="EZ328" s="1083"/>
      <c r="FA328" s="1083"/>
      <c r="FB328" s="1083"/>
      <c r="FC328" s="1083"/>
      <c r="FD328" s="1083"/>
      <c r="FE328" s="1083"/>
      <c r="FF328" s="1083"/>
      <c r="FG328" s="1083"/>
      <c r="FH328" s="1083"/>
      <c r="FI328" s="1083"/>
      <c r="FJ328" s="1329"/>
      <c r="FK328" s="1083"/>
      <c r="FL328" s="1083"/>
      <c r="FM328" s="1083"/>
      <c r="FN328" s="1083"/>
      <c r="FO328" s="1083"/>
      <c r="FP328" s="1083"/>
      <c r="FQ328" s="606"/>
      <c r="FR328" s="606"/>
      <c r="FS328" s="606"/>
      <c r="FT328" s="606"/>
      <c r="FU328" s="606"/>
      <c r="FV328" s="606"/>
      <c r="FW328" s="606"/>
      <c r="FX328" s="606"/>
      <c r="FY328" s="606"/>
      <c r="FZ328" s="606"/>
      <c r="GA328" s="606"/>
      <c r="GB328" s="606"/>
      <c r="GC328" s="606"/>
      <c r="GD328" s="606"/>
      <c r="GE328" s="606"/>
      <c r="GF328" s="606"/>
      <c r="GG328" s="606"/>
      <c r="GH328" s="606"/>
      <c r="GI328" s="606"/>
      <c r="GJ328" s="606"/>
      <c r="GK328" s="606"/>
      <c r="GL328" s="606"/>
      <c r="GM328" s="606"/>
      <c r="GN328" s="606"/>
      <c r="GO328" s="606"/>
      <c r="GP328" s="606"/>
      <c r="GQ328" s="606"/>
      <c r="GR328" s="606"/>
      <c r="GS328" s="606"/>
      <c r="GT328" s="606"/>
      <c r="GU328" s="606"/>
      <c r="GV328" s="606"/>
      <c r="GW328" s="606"/>
      <c r="GX328" s="606"/>
      <c r="GY328" s="606"/>
      <c r="GZ328" s="606"/>
      <c r="HA328" s="606"/>
      <c r="HB328" s="606"/>
      <c r="HC328" s="606"/>
      <c r="HD328" s="606"/>
      <c r="HE328" s="606"/>
      <c r="HF328" s="606"/>
      <c r="HG328" s="606"/>
      <c r="HH328" s="606"/>
      <c r="HI328" s="606"/>
      <c r="HJ328" s="606"/>
      <c r="HK328" s="606"/>
      <c r="HL328" s="606"/>
      <c r="HM328" s="606"/>
      <c r="HN328" s="606"/>
      <c r="HO328" s="606"/>
      <c r="HP328" s="606"/>
      <c r="HQ328" s="606"/>
      <c r="HR328" s="606"/>
      <c r="HS328" s="606"/>
      <c r="HT328" s="606"/>
      <c r="HU328" s="606"/>
      <c r="HV328" s="606"/>
      <c r="HW328" s="606"/>
      <c r="HX328" s="606"/>
      <c r="HY328" s="606"/>
      <c r="KT328" s="280"/>
    </row>
    <row r="329" spans="1:306" hidden="1" outlineLevel="1">
      <c r="B329" s="96" t="s">
        <v>338</v>
      </c>
      <c r="C329" s="1104"/>
      <c r="D329" s="293" t="s">
        <v>1188</v>
      </c>
      <c r="F329" s="293"/>
      <c r="G329" s="293"/>
      <c r="H329" s="293"/>
      <c r="I329" s="293"/>
      <c r="J329" s="293"/>
      <c r="K329" s="293"/>
      <c r="L329" s="293"/>
      <c r="M329" s="293"/>
      <c r="N329" s="293"/>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c r="BN329" s="293"/>
      <c r="BO329" s="293"/>
      <c r="BP329" s="293"/>
      <c r="BQ329" s="293"/>
      <c r="BR329" s="293"/>
      <c r="BS329" s="293"/>
      <c r="BT329" s="293"/>
      <c r="BU329" s="293"/>
      <c r="BV329" s="293"/>
      <c r="BW329" s="293"/>
      <c r="BX329" s="293"/>
      <c r="BY329" s="293"/>
      <c r="BZ329" s="293"/>
      <c r="CA329" s="293"/>
      <c r="CB329" s="293"/>
      <c r="CC329" s="293"/>
      <c r="CD329" s="293"/>
      <c r="CE329" s="294">
        <v>0</v>
      </c>
      <c r="CF329" s="293">
        <v>0.85679172400000003</v>
      </c>
      <c r="CG329" s="293">
        <v>0</v>
      </c>
      <c r="CH329" s="293">
        <v>3.3017313129999999</v>
      </c>
      <c r="CI329" s="293">
        <v>0.66247898000000005</v>
      </c>
      <c r="CJ329" s="293">
        <v>0.93518368699999999</v>
      </c>
      <c r="CK329" s="293">
        <v>1.1450660850000001</v>
      </c>
      <c r="CL329" s="293">
        <v>0</v>
      </c>
      <c r="CM329" s="293">
        <v>0</v>
      </c>
      <c r="CN329" s="293">
        <v>2.466065908</v>
      </c>
      <c r="CO329" s="293">
        <v>1.0941749780000001</v>
      </c>
      <c r="CP329" s="295">
        <v>1.0063465439999999</v>
      </c>
      <c r="CQ329" s="293">
        <v>0.65265225999999998</v>
      </c>
      <c r="CR329" s="293">
        <v>0.92446115500000003</v>
      </c>
      <c r="CS329" s="293">
        <v>0.69234832000000002</v>
      </c>
      <c r="CT329" s="293">
        <v>0.63867135900000005</v>
      </c>
      <c r="CU329" s="293">
        <v>0.62713229800000003</v>
      </c>
      <c r="CV329" s="293">
        <v>0.561265668</v>
      </c>
      <c r="CW329" s="293">
        <v>0.71467093000000004</v>
      </c>
      <c r="CX329" s="293">
        <v>0.65932749000000002</v>
      </c>
      <c r="CY329" s="293">
        <v>0.52347253900000001</v>
      </c>
      <c r="CZ329" s="293">
        <v>0.57971236299999995</v>
      </c>
      <c r="DA329" s="293">
        <v>2.73287871</v>
      </c>
      <c r="DB329" s="1288">
        <v>0.65030140700000005</v>
      </c>
      <c r="DC329" s="293">
        <v>0.82056269400000004</v>
      </c>
      <c r="DD329" s="606">
        <v>0.70397444600000003</v>
      </c>
      <c r="DE329" s="606">
        <v>0.86835240300000005</v>
      </c>
      <c r="DF329" s="606">
        <v>1.0062079829999999</v>
      </c>
      <c r="DG329" s="606">
        <v>0.64591638100000004</v>
      </c>
      <c r="DH329" s="606">
        <v>0.76375125899999996</v>
      </c>
      <c r="DI329" s="606">
        <v>0.98971626800000001</v>
      </c>
      <c r="DJ329" s="606">
        <v>0.699821637</v>
      </c>
      <c r="DK329" s="606">
        <v>0.65590623299999995</v>
      </c>
      <c r="DL329" s="606">
        <v>1.0676045999999999</v>
      </c>
      <c r="DM329" s="606">
        <v>0.74050832099999997</v>
      </c>
      <c r="DN329" s="1329">
        <v>0.67089062499999996</v>
      </c>
      <c r="DO329" s="1083">
        <v>1.093810036</v>
      </c>
      <c r="DP329" s="1083">
        <v>0</v>
      </c>
      <c r="DQ329" s="1083">
        <v>2.64107373</v>
      </c>
      <c r="DR329" s="1083">
        <v>1.0812104929999999</v>
      </c>
      <c r="DS329" s="1083">
        <v>5.1450937290000001</v>
      </c>
      <c r="DT329" s="1083">
        <v>2.45597032</v>
      </c>
      <c r="DU329" s="1083">
        <v>1.5389733839999999</v>
      </c>
      <c r="DV329" s="1083">
        <v>1.626032127</v>
      </c>
      <c r="DW329" s="1083">
        <v>0</v>
      </c>
      <c r="DX329" s="1083">
        <v>3.2602379570000002</v>
      </c>
      <c r="DY329" s="1083">
        <v>1.15412743</v>
      </c>
      <c r="DZ329" s="1329">
        <v>2.332986172</v>
      </c>
      <c r="EA329" s="1083">
        <v>2.0467826979999999</v>
      </c>
      <c r="EB329" s="1083">
        <v>1.5587384070000001</v>
      </c>
      <c r="EC329" s="1083">
        <v>2.2421106769999999</v>
      </c>
      <c r="ED329" s="1083">
        <v>1.929335523</v>
      </c>
      <c r="EE329" s="1083">
        <v>1.1745709769999999</v>
      </c>
      <c r="EF329" s="1083">
        <v>1.9744015290000001</v>
      </c>
      <c r="EG329" s="1083">
        <v>2.2338352590000001</v>
      </c>
      <c r="EH329" s="1083">
        <v>2.261494747</v>
      </c>
      <c r="EI329" s="1083">
        <v>0</v>
      </c>
      <c r="EJ329" s="1083">
        <v>4.1642875720000001</v>
      </c>
      <c r="EK329" s="1083">
        <v>0</v>
      </c>
      <c r="EL329" s="1329">
        <v>3.628630877</v>
      </c>
      <c r="EM329" s="1083">
        <v>2.1990631711664572</v>
      </c>
      <c r="EN329" s="1083">
        <v>2.056682468207518</v>
      </c>
      <c r="EO329" s="1083">
        <v>1.7641710395801309</v>
      </c>
      <c r="EP329" s="1083">
        <v>2.0716279921982124</v>
      </c>
      <c r="EQ329" s="1083">
        <v>2.0130343650000002</v>
      </c>
      <c r="ER329" s="1083">
        <v>1.9079741481208798</v>
      </c>
      <c r="ES329" s="1083">
        <v>1.9915403009999999</v>
      </c>
      <c r="ET329" s="1083">
        <v>2.1856554410000002</v>
      </c>
      <c r="EU329" s="1083">
        <v>2.0579719870000002</v>
      </c>
      <c r="EV329" s="1083">
        <v>1.269670214</v>
      </c>
      <c r="EW329" s="1083">
        <v>1.378448176</v>
      </c>
      <c r="EX329" s="1329">
        <v>1.516211926</v>
      </c>
      <c r="EY329" s="1083"/>
      <c r="EZ329" s="1083"/>
      <c r="FA329" s="1083"/>
      <c r="FB329" s="1083"/>
      <c r="FC329" s="1083"/>
      <c r="FD329" s="1083"/>
      <c r="FE329" s="1083"/>
      <c r="FF329" s="1083"/>
      <c r="FG329" s="1083"/>
      <c r="FH329" s="1083"/>
      <c r="FI329" s="1083"/>
      <c r="FJ329" s="1329"/>
      <c r="FK329" s="1083"/>
      <c r="FL329" s="1083"/>
      <c r="FM329" s="1083"/>
      <c r="FN329" s="1083"/>
      <c r="FO329" s="1083"/>
      <c r="FP329" s="1083"/>
      <c r="FQ329" s="606"/>
      <c r="FR329" s="606"/>
      <c r="FS329" s="606"/>
      <c r="FT329" s="606"/>
      <c r="FU329" s="606"/>
      <c r="FV329" s="606"/>
      <c r="FW329" s="606"/>
      <c r="FX329" s="606"/>
      <c r="FY329" s="606"/>
      <c r="FZ329" s="606"/>
      <c r="GA329" s="606"/>
      <c r="GB329" s="606"/>
      <c r="GC329" s="606"/>
      <c r="GD329" s="606"/>
      <c r="GE329" s="606"/>
      <c r="GF329" s="606"/>
      <c r="GG329" s="606"/>
      <c r="GH329" s="606"/>
      <c r="GI329" s="606"/>
      <c r="GJ329" s="606"/>
      <c r="GK329" s="606"/>
      <c r="GL329" s="606"/>
      <c r="GM329" s="606"/>
      <c r="GN329" s="606"/>
      <c r="GO329" s="606"/>
      <c r="GP329" s="606"/>
      <c r="GQ329" s="606"/>
      <c r="GR329" s="606"/>
      <c r="GS329" s="606"/>
      <c r="GT329" s="606"/>
      <c r="GU329" s="606"/>
      <c r="GV329" s="606"/>
      <c r="GW329" s="606"/>
      <c r="GX329" s="606"/>
      <c r="GY329" s="606"/>
      <c r="GZ329" s="606"/>
      <c r="HA329" s="606"/>
      <c r="HB329" s="606"/>
      <c r="HC329" s="606"/>
      <c r="HD329" s="606"/>
      <c r="HE329" s="606"/>
      <c r="HF329" s="606"/>
      <c r="HG329" s="606"/>
      <c r="HH329" s="606"/>
      <c r="HI329" s="606"/>
      <c r="HJ329" s="606"/>
      <c r="HK329" s="606"/>
      <c r="HL329" s="606"/>
      <c r="HM329" s="606"/>
      <c r="HN329" s="606"/>
      <c r="HO329" s="606"/>
      <c r="HP329" s="606"/>
      <c r="HQ329" s="606"/>
      <c r="HR329" s="606"/>
      <c r="HS329" s="606"/>
      <c r="HT329" s="606"/>
      <c r="HU329" s="606"/>
      <c r="HV329" s="606"/>
      <c r="HW329" s="606"/>
      <c r="HX329" s="606"/>
      <c r="HY329" s="606"/>
      <c r="KT329" s="280"/>
    </row>
    <row r="330" spans="1:306" hidden="1" outlineLevel="1">
      <c r="B330" s="96" t="s">
        <v>338</v>
      </c>
      <c r="C330" s="1102"/>
      <c r="D330" s="293" t="s">
        <v>1189</v>
      </c>
      <c r="F330" s="293"/>
      <c r="G330" s="293"/>
      <c r="H330" s="293"/>
      <c r="I330" s="293"/>
      <c r="J330" s="293"/>
      <c r="K330" s="293"/>
      <c r="L330" s="293"/>
      <c r="M330" s="293"/>
      <c r="N330" s="293"/>
      <c r="O330" s="293"/>
      <c r="P330" s="293"/>
      <c r="Q330" s="293"/>
      <c r="R330" s="293"/>
      <c r="S330" s="293"/>
      <c r="T330" s="293"/>
      <c r="U330" s="293"/>
      <c r="V330" s="293"/>
      <c r="W330" s="293"/>
      <c r="X330" s="293"/>
      <c r="Y330" s="29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c r="BN330" s="293"/>
      <c r="BO330" s="293"/>
      <c r="BP330" s="293"/>
      <c r="BQ330" s="293"/>
      <c r="BR330" s="293"/>
      <c r="BS330" s="293"/>
      <c r="BT330" s="293"/>
      <c r="BU330" s="293"/>
      <c r="BV330" s="293"/>
      <c r="BW330" s="293"/>
      <c r="BX330" s="293"/>
      <c r="BY330" s="293"/>
      <c r="BZ330" s="293"/>
      <c r="CA330" s="293"/>
      <c r="CB330" s="293"/>
      <c r="CC330" s="293"/>
      <c r="CD330" s="293"/>
      <c r="CE330" s="294">
        <v>0</v>
      </c>
      <c r="CF330" s="293">
        <v>0</v>
      </c>
      <c r="CG330" s="293">
        <v>0</v>
      </c>
      <c r="CH330" s="293">
        <v>0.13125000000000001</v>
      </c>
      <c r="CI330" s="293">
        <v>0.140625</v>
      </c>
      <c r="CJ330" s="293">
        <v>0.1925</v>
      </c>
      <c r="CK330" s="293">
        <v>0</v>
      </c>
      <c r="CL330" s="293">
        <v>0</v>
      </c>
      <c r="CM330" s="293">
        <v>0</v>
      </c>
      <c r="CN330" s="293">
        <v>0.13125000000000001</v>
      </c>
      <c r="CO330" s="293">
        <v>0</v>
      </c>
      <c r="CP330" s="295">
        <v>0</v>
      </c>
      <c r="CQ330" s="293">
        <v>0</v>
      </c>
      <c r="CR330" s="293">
        <v>0.71718749999999998</v>
      </c>
      <c r="CS330" s="293">
        <v>1.4999999999999999E-2</v>
      </c>
      <c r="CT330" s="293">
        <v>0.140625</v>
      </c>
      <c r="CU330" s="293">
        <v>1.080446429</v>
      </c>
      <c r="CV330" s="293">
        <v>1.4999999999999999E-2</v>
      </c>
      <c r="CW330" s="293">
        <v>0</v>
      </c>
      <c r="CX330" s="293">
        <v>2.4250000000000001E-2</v>
      </c>
      <c r="CY330" s="293">
        <v>1.622812506</v>
      </c>
      <c r="CZ330" s="293">
        <v>0.140625</v>
      </c>
      <c r="DA330" s="293">
        <v>0</v>
      </c>
      <c r="DB330" s="1288">
        <v>0.01</v>
      </c>
      <c r="DC330" s="293">
        <v>0</v>
      </c>
      <c r="DD330" s="606">
        <v>2.4740625000000001</v>
      </c>
      <c r="DE330" s="606">
        <v>0</v>
      </c>
      <c r="DF330" s="606">
        <v>0.140625</v>
      </c>
      <c r="DG330" s="606">
        <v>2.7306249999999999</v>
      </c>
      <c r="DH330" s="606">
        <v>0</v>
      </c>
      <c r="DI330" s="606">
        <v>0</v>
      </c>
      <c r="DJ330" s="606">
        <v>3.370312507</v>
      </c>
      <c r="DK330" s="606">
        <v>0</v>
      </c>
      <c r="DL330" s="606">
        <v>0.140625</v>
      </c>
      <c r="DM330" s="606">
        <v>4.3231250000000001</v>
      </c>
      <c r="DN330" s="1329">
        <v>0</v>
      </c>
      <c r="DO330" s="1083">
        <v>0</v>
      </c>
      <c r="DP330" s="1083">
        <v>0</v>
      </c>
      <c r="DQ330" s="1083">
        <v>4.4109375059999998</v>
      </c>
      <c r="DR330" s="1083">
        <v>0</v>
      </c>
      <c r="DS330" s="1083">
        <v>0</v>
      </c>
      <c r="DT330" s="1083">
        <v>0</v>
      </c>
      <c r="DU330" s="1083">
        <v>0</v>
      </c>
      <c r="DV330" s="1083">
        <v>5.1890625000000004</v>
      </c>
      <c r="DW330" s="1083">
        <v>0</v>
      </c>
      <c r="DX330" s="1083">
        <v>0</v>
      </c>
      <c r="DY330" s="1083">
        <v>0</v>
      </c>
      <c r="DZ330" s="1329">
        <v>0</v>
      </c>
      <c r="EA330" s="1083">
        <v>0</v>
      </c>
      <c r="EB330" s="1083">
        <v>5.0906250000000002</v>
      </c>
      <c r="EC330" s="1083">
        <v>0</v>
      </c>
      <c r="ED330" s="1083">
        <v>0</v>
      </c>
      <c r="EE330" s="1083">
        <v>5.631875</v>
      </c>
      <c r="EF330" s="1083">
        <v>0</v>
      </c>
      <c r="EG330" s="1083">
        <v>0</v>
      </c>
      <c r="EH330" s="1083">
        <v>5.7006249999999996</v>
      </c>
      <c r="EI330" s="1083">
        <v>0</v>
      </c>
      <c r="EJ330" s="1083">
        <v>0</v>
      </c>
      <c r="EK330" s="1083">
        <v>6.2518750000000001</v>
      </c>
      <c r="EL330" s="1329">
        <v>0</v>
      </c>
      <c r="EM330" s="1083">
        <v>0</v>
      </c>
      <c r="EN330" s="1083">
        <v>5.7193750000000003</v>
      </c>
      <c r="EO330" s="1083">
        <v>0</v>
      </c>
      <c r="EP330" s="1083">
        <v>0</v>
      </c>
      <c r="EQ330" s="1083">
        <v>0</v>
      </c>
      <c r="ER330" s="1083">
        <v>8.4343749999999993</v>
      </c>
      <c r="ES330" s="1083">
        <v>0</v>
      </c>
      <c r="ET330" s="1083">
        <v>6.6868750090000004</v>
      </c>
      <c r="EU330" s="1083">
        <v>0</v>
      </c>
      <c r="EV330" s="1083">
        <v>0</v>
      </c>
      <c r="EW330" s="1083">
        <v>9.0106250140000004</v>
      </c>
      <c r="EX330" s="1329">
        <v>0</v>
      </c>
      <c r="EY330" s="1083"/>
      <c r="EZ330" s="1083"/>
      <c r="FA330" s="1083"/>
      <c r="FB330" s="1083"/>
      <c r="FC330" s="1083"/>
      <c r="FD330" s="1083"/>
      <c r="FE330" s="1083"/>
      <c r="FF330" s="1083"/>
      <c r="FG330" s="1083"/>
      <c r="FH330" s="1083"/>
      <c r="FI330" s="1083"/>
      <c r="FJ330" s="1329"/>
      <c r="FK330" s="1083"/>
      <c r="FL330" s="1083"/>
      <c r="FM330" s="1083"/>
      <c r="FN330" s="1083"/>
      <c r="FO330" s="1083"/>
      <c r="FP330" s="1083"/>
      <c r="FQ330" s="606"/>
      <c r="FR330" s="606"/>
      <c r="FS330" s="606"/>
      <c r="FT330" s="606"/>
      <c r="FU330" s="606"/>
      <c r="FV330" s="606"/>
      <c r="FW330" s="606"/>
      <c r="FX330" s="606"/>
      <c r="FY330" s="606"/>
      <c r="FZ330" s="606"/>
      <c r="GA330" s="606"/>
      <c r="GB330" s="606"/>
      <c r="GC330" s="606"/>
      <c r="GD330" s="606"/>
      <c r="GE330" s="606"/>
      <c r="GF330" s="606"/>
      <c r="GG330" s="606"/>
      <c r="GH330" s="606"/>
      <c r="GI330" s="606"/>
      <c r="GJ330" s="606"/>
      <c r="GK330" s="606"/>
      <c r="GL330" s="606"/>
      <c r="GM330" s="606"/>
      <c r="GN330" s="606"/>
      <c r="GO330" s="606"/>
      <c r="GP330" s="606"/>
      <c r="GQ330" s="606"/>
      <c r="GR330" s="606"/>
      <c r="GS330" s="606"/>
      <c r="GT330" s="606"/>
      <c r="GU330" s="606"/>
      <c r="GV330" s="606"/>
      <c r="GW330" s="606"/>
      <c r="GX330" s="606"/>
      <c r="GY330" s="606"/>
      <c r="GZ330" s="606"/>
      <c r="HA330" s="606"/>
      <c r="HB330" s="606"/>
      <c r="HC330" s="606"/>
      <c r="HD330" s="606"/>
      <c r="HE330" s="606"/>
      <c r="HF330" s="606"/>
      <c r="HG330" s="606"/>
      <c r="HH330" s="606"/>
      <c r="HI330" s="606"/>
      <c r="HJ330" s="606"/>
      <c r="HK330" s="606"/>
      <c r="HL330" s="606"/>
      <c r="HM330" s="606"/>
      <c r="HN330" s="606"/>
      <c r="HO330" s="606"/>
      <c r="HP330" s="606"/>
      <c r="HQ330" s="606"/>
      <c r="HR330" s="606"/>
      <c r="HS330" s="606"/>
      <c r="HT330" s="606"/>
      <c r="HU330" s="606"/>
      <c r="HV330" s="606"/>
      <c r="HW330" s="606"/>
      <c r="HX330" s="606"/>
      <c r="HY330" s="606"/>
      <c r="KT330" s="280"/>
    </row>
    <row r="331" spans="1:306" hidden="1" outlineLevel="1">
      <c r="B331" s="96" t="s">
        <v>338</v>
      </c>
      <c r="C331" s="1102"/>
      <c r="D331" s="293" t="s">
        <v>1190</v>
      </c>
      <c r="F331" s="293"/>
      <c r="G331" s="293"/>
      <c r="H331" s="293"/>
      <c r="I331" s="293"/>
      <c r="J331" s="293"/>
      <c r="K331" s="293"/>
      <c r="L331" s="293"/>
      <c r="M331" s="293"/>
      <c r="N331" s="293"/>
      <c r="O331" s="293"/>
      <c r="P331" s="293"/>
      <c r="Q331" s="293"/>
      <c r="R331" s="293"/>
      <c r="S331" s="293"/>
      <c r="T331" s="293"/>
      <c r="U331" s="293"/>
      <c r="V331" s="293"/>
      <c r="W331" s="293"/>
      <c r="X331" s="293"/>
      <c r="Y331" s="29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c r="BN331" s="293"/>
      <c r="BO331" s="293"/>
      <c r="BP331" s="293"/>
      <c r="BQ331" s="293"/>
      <c r="BR331" s="293"/>
      <c r="BS331" s="293"/>
      <c r="BT331" s="293"/>
      <c r="BU331" s="293"/>
      <c r="BV331" s="293"/>
      <c r="BW331" s="293"/>
      <c r="BX331" s="293"/>
      <c r="BY331" s="293"/>
      <c r="BZ331" s="293"/>
      <c r="CA331" s="293"/>
      <c r="CB331" s="293"/>
      <c r="CC331" s="293"/>
      <c r="CD331" s="293"/>
      <c r="CE331" s="294"/>
      <c r="CF331" s="293"/>
      <c r="CG331" s="293"/>
      <c r="CH331" s="293"/>
      <c r="CI331" s="293"/>
      <c r="CJ331" s="293"/>
      <c r="CK331" s="293"/>
      <c r="CL331" s="293"/>
      <c r="CM331" s="293"/>
      <c r="CN331" s="293"/>
      <c r="CO331" s="293"/>
      <c r="CP331" s="295"/>
      <c r="CQ331" s="293"/>
      <c r="CR331" s="293"/>
      <c r="CS331" s="293"/>
      <c r="CT331" s="293"/>
      <c r="CU331" s="293"/>
      <c r="CV331" s="293"/>
      <c r="CW331" s="293"/>
      <c r="CX331" s="293"/>
      <c r="CY331" s="293"/>
      <c r="CZ331" s="293"/>
      <c r="DA331" s="293"/>
      <c r="DB331" s="1288"/>
      <c r="DC331" s="293"/>
      <c r="DD331" s="606"/>
      <c r="DE331" s="606"/>
      <c r="DF331" s="606"/>
      <c r="DG331" s="606"/>
      <c r="DH331" s="606"/>
      <c r="DI331" s="606"/>
      <c r="DJ331" s="606"/>
      <c r="DK331" s="606"/>
      <c r="DL331" s="606"/>
      <c r="DM331" s="606"/>
      <c r="DN331" s="1329"/>
      <c r="DO331" s="1083"/>
      <c r="DP331" s="1083"/>
      <c r="DQ331" s="1083"/>
      <c r="DR331" s="1083"/>
      <c r="DS331" s="1083"/>
      <c r="DT331" s="1083"/>
      <c r="DU331" s="1083"/>
      <c r="DV331" s="1083"/>
      <c r="DW331" s="1083"/>
      <c r="DX331" s="1083"/>
      <c r="DY331" s="1083"/>
      <c r="DZ331" s="1329"/>
      <c r="EA331" s="1083">
        <v>0</v>
      </c>
      <c r="EB331" s="1083">
        <v>6.0361455000000001E-2</v>
      </c>
      <c r="EC331" s="1083">
        <v>0.38033745400000002</v>
      </c>
      <c r="ED331" s="1083">
        <v>0</v>
      </c>
      <c r="EE331" s="1083">
        <v>0</v>
      </c>
      <c r="EF331" s="1083">
        <v>0.31945733199999998</v>
      </c>
      <c r="EG331" s="1083">
        <v>0</v>
      </c>
      <c r="EH331" s="1083">
        <v>0</v>
      </c>
      <c r="EI331" s="1083">
        <v>0.34307549599999998</v>
      </c>
      <c r="EJ331" s="1083">
        <v>0</v>
      </c>
      <c r="EK331" s="1083">
        <v>0</v>
      </c>
      <c r="EL331" s="1329">
        <v>0.47444173899999997</v>
      </c>
      <c r="EM331" s="1083">
        <v>0</v>
      </c>
      <c r="EN331" s="1083">
        <v>0</v>
      </c>
      <c r="EO331" s="1083">
        <v>0.68899293399999995</v>
      </c>
      <c r="EP331" s="1083">
        <v>0</v>
      </c>
      <c r="EQ331" s="1083">
        <v>0</v>
      </c>
      <c r="ER331" s="1083">
        <v>0</v>
      </c>
      <c r="ES331" s="1083">
        <v>0.67631622499999999</v>
      </c>
      <c r="ET331" s="1083">
        <v>0</v>
      </c>
      <c r="EU331" s="1083">
        <v>0</v>
      </c>
      <c r="EV331" s="1083">
        <v>9.1063540000000005E-3</v>
      </c>
      <c r="EW331" s="1083">
        <v>0</v>
      </c>
      <c r="EX331" s="1329">
        <v>0</v>
      </c>
      <c r="EY331" s="1083"/>
      <c r="EZ331" s="1083"/>
      <c r="FA331" s="1083"/>
      <c r="FB331" s="1083"/>
      <c r="FC331" s="1083"/>
      <c r="FD331" s="1083"/>
      <c r="FE331" s="1083"/>
      <c r="FF331" s="1083"/>
      <c r="FG331" s="1083"/>
      <c r="FH331" s="1083"/>
      <c r="FI331" s="1083"/>
      <c r="FJ331" s="1329"/>
      <c r="FK331" s="1083"/>
      <c r="FL331" s="1083"/>
      <c r="FM331" s="1083"/>
      <c r="FN331" s="1083"/>
      <c r="FO331" s="1083"/>
      <c r="FP331" s="1083"/>
      <c r="FQ331" s="606"/>
      <c r="FR331" s="606"/>
      <c r="FS331" s="606"/>
      <c r="FT331" s="606"/>
      <c r="FU331" s="606"/>
      <c r="FV331" s="606"/>
      <c r="FW331" s="606"/>
      <c r="FX331" s="606"/>
      <c r="FY331" s="606"/>
      <c r="FZ331" s="606"/>
      <c r="GA331" s="606"/>
      <c r="GB331" s="606"/>
      <c r="GC331" s="606"/>
      <c r="GD331" s="606"/>
      <c r="GE331" s="606"/>
      <c r="GF331" s="606"/>
      <c r="GG331" s="606"/>
      <c r="GH331" s="606"/>
      <c r="GI331" s="606"/>
      <c r="GJ331" s="606"/>
      <c r="GK331" s="606"/>
      <c r="GL331" s="606"/>
      <c r="GM331" s="606"/>
      <c r="GN331" s="606"/>
      <c r="GO331" s="606"/>
      <c r="GP331" s="606"/>
      <c r="GQ331" s="606"/>
      <c r="GR331" s="606"/>
      <c r="GS331" s="606"/>
      <c r="GT331" s="606"/>
      <c r="GU331" s="606"/>
      <c r="GV331" s="606"/>
      <c r="GW331" s="606"/>
      <c r="GX331" s="606"/>
      <c r="GY331" s="606"/>
      <c r="GZ331" s="606"/>
      <c r="HA331" s="606"/>
      <c r="HB331" s="606"/>
      <c r="HC331" s="606"/>
      <c r="HD331" s="606"/>
      <c r="HE331" s="606"/>
      <c r="HF331" s="606"/>
      <c r="HG331" s="606"/>
      <c r="HH331" s="606"/>
      <c r="HI331" s="606"/>
      <c r="HJ331" s="606"/>
      <c r="HK331" s="606"/>
      <c r="HL331" s="606"/>
      <c r="HM331" s="606"/>
      <c r="HN331" s="606"/>
      <c r="HO331" s="606"/>
      <c r="HP331" s="606"/>
      <c r="HQ331" s="606"/>
      <c r="HR331" s="606"/>
      <c r="HS331" s="606"/>
      <c r="HT331" s="606"/>
      <c r="HU331" s="606"/>
      <c r="HV331" s="606"/>
      <c r="HW331" s="606"/>
      <c r="HX331" s="606"/>
      <c r="HY331" s="606"/>
      <c r="KT331" s="280"/>
    </row>
    <row r="332" spans="1:306" hidden="1" outlineLevel="1">
      <c r="B332" s="96" t="s">
        <v>338</v>
      </c>
      <c r="C332" s="849"/>
      <c r="D332" s="293" t="s">
        <v>1191</v>
      </c>
      <c r="F332" s="293"/>
      <c r="G332" s="293"/>
      <c r="H332" s="293"/>
      <c r="I332" s="293"/>
      <c r="J332" s="293"/>
      <c r="K332" s="293"/>
      <c r="L332" s="293"/>
      <c r="M332" s="293"/>
      <c r="N332" s="293"/>
      <c r="O332" s="293"/>
      <c r="P332" s="293"/>
      <c r="Q332" s="293"/>
      <c r="R332" s="293"/>
      <c r="S332" s="293"/>
      <c r="T332" s="293"/>
      <c r="U332" s="293"/>
      <c r="V332" s="293"/>
      <c r="W332" s="293"/>
      <c r="X332" s="293"/>
      <c r="Y332" s="29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c r="BN332" s="293"/>
      <c r="BO332" s="293"/>
      <c r="BP332" s="293"/>
      <c r="BQ332" s="293"/>
      <c r="BR332" s="293"/>
      <c r="BS332" s="293"/>
      <c r="BT332" s="293"/>
      <c r="BU332" s="293"/>
      <c r="BV332" s="293"/>
      <c r="BW332" s="293"/>
      <c r="BX332" s="293"/>
      <c r="BY332" s="293"/>
      <c r="BZ332" s="293"/>
      <c r="CA332" s="293"/>
      <c r="CB332" s="293"/>
      <c r="CC332" s="293"/>
      <c r="CD332" s="293"/>
      <c r="CE332" s="294">
        <v>0</v>
      </c>
      <c r="CF332" s="293">
        <v>0.84375</v>
      </c>
      <c r="CG332" s="293">
        <v>0</v>
      </c>
      <c r="CH332" s="293">
        <v>0.34286402999999999</v>
      </c>
      <c r="CI332" s="293">
        <v>0.84375</v>
      </c>
      <c r="CJ332" s="293">
        <v>0</v>
      </c>
      <c r="CK332" s="293">
        <v>0.29433447600000001</v>
      </c>
      <c r="CL332" s="293">
        <v>0.26622048100000001</v>
      </c>
      <c r="CM332" s="293">
        <v>0.80148500499999997</v>
      </c>
      <c r="CN332" s="293">
        <v>0.44728551599999999</v>
      </c>
      <c r="CO332" s="293">
        <v>0</v>
      </c>
      <c r="CP332" s="295">
        <v>0.94286398400000004</v>
      </c>
      <c r="CQ332" s="293">
        <v>0.24247500299999999</v>
      </c>
      <c r="CR332" s="293">
        <v>0.75</v>
      </c>
      <c r="CS332" s="293">
        <v>0.19286398399999999</v>
      </c>
      <c r="CT332" s="293">
        <v>0.23037918900000001</v>
      </c>
      <c r="CU332" s="293">
        <v>0.75</v>
      </c>
      <c r="CV332" s="293">
        <v>0.19286403499999999</v>
      </c>
      <c r="CW332" s="293">
        <v>0.21813217700000001</v>
      </c>
      <c r="CX332" s="293">
        <v>0</v>
      </c>
      <c r="CY332" s="293">
        <v>0.83036407999999995</v>
      </c>
      <c r="CZ332" s="293">
        <v>0.20573207800000001</v>
      </c>
      <c r="DA332" s="293">
        <v>0</v>
      </c>
      <c r="DB332" s="1288">
        <v>0.83036407999999995</v>
      </c>
      <c r="DC332" s="293">
        <v>0.193176977</v>
      </c>
      <c r="DD332" s="606">
        <v>0.63749999999999996</v>
      </c>
      <c r="DE332" s="606">
        <v>0.19286417</v>
      </c>
      <c r="DF332" s="606">
        <v>0.18046493899999999</v>
      </c>
      <c r="DG332" s="606">
        <v>0.63749999999999996</v>
      </c>
      <c r="DH332" s="606">
        <v>0.19286398499999999</v>
      </c>
      <c r="DI332" s="606">
        <v>0.16759399899999999</v>
      </c>
      <c r="DJ332" s="606">
        <v>0</v>
      </c>
      <c r="DK332" s="606">
        <v>0.33082046900000001</v>
      </c>
      <c r="DL332" s="606">
        <v>0.66081217199999998</v>
      </c>
      <c r="DM332" s="606">
        <v>0</v>
      </c>
      <c r="DN332" s="1329">
        <v>0.69660553000000003</v>
      </c>
      <c r="DO332" s="1083">
        <v>0.14136744800000001</v>
      </c>
      <c r="DP332" s="1083">
        <v>0.58269444500000001</v>
      </c>
      <c r="DQ332" s="1083">
        <v>0.25862565500000001</v>
      </c>
      <c r="DR332" s="1083">
        <v>0.18802548499999999</v>
      </c>
      <c r="DS332" s="1083">
        <v>0.50624999999999998</v>
      </c>
      <c r="DT332" s="1083">
        <v>5.1686410000000002E-2</v>
      </c>
      <c r="DU332" s="1083">
        <v>0.34538536600000003</v>
      </c>
      <c r="DV332" s="1083">
        <v>3.4784245999999998E-2</v>
      </c>
      <c r="DW332" s="1083">
        <v>0.35625000000000001</v>
      </c>
      <c r="DX332" s="1083">
        <v>0.30597163599999999</v>
      </c>
      <c r="DY332" s="1083">
        <v>0</v>
      </c>
      <c r="DZ332" s="1329">
        <v>0.55269922100000002</v>
      </c>
      <c r="EA332" s="1083">
        <v>8.6918464000000001E-2</v>
      </c>
      <c r="EB332" s="1083">
        <v>0.35625000000000001</v>
      </c>
      <c r="EC332" s="1083">
        <v>0.187628717</v>
      </c>
      <c r="ED332" s="1083">
        <v>7.2878192999999994E-2</v>
      </c>
      <c r="EE332" s="1083">
        <v>0.35625000000000001</v>
      </c>
      <c r="EF332" s="1083">
        <v>0.18661270599999999</v>
      </c>
      <c r="EG332" s="1083">
        <v>0</v>
      </c>
      <c r="EH332" s="1083">
        <v>0</v>
      </c>
      <c r="EI332" s="1083">
        <v>0</v>
      </c>
      <c r="EJ332" s="1083">
        <v>0</v>
      </c>
      <c r="EK332" s="1083">
        <v>0</v>
      </c>
      <c r="EL332" s="1329">
        <v>0.18661270599999999</v>
      </c>
      <c r="EM332" s="1083">
        <v>2.9695558E-2</v>
      </c>
      <c r="EN332" s="1083">
        <v>0.1875</v>
      </c>
      <c r="EO332" s="1083">
        <v>0.18661270599999999</v>
      </c>
      <c r="EP332" s="1083">
        <v>1.4940001E-2</v>
      </c>
      <c r="EQ332" s="1083">
        <v>0.1875</v>
      </c>
      <c r="ER332" s="1083">
        <v>0</v>
      </c>
      <c r="ES332" s="1083">
        <v>0.17976196799999999</v>
      </c>
      <c r="ET332" s="1083">
        <v>0</v>
      </c>
      <c r="EU332" s="1083">
        <v>0</v>
      </c>
      <c r="EV332" s="1083">
        <v>0.17976196799999999</v>
      </c>
      <c r="EW332" s="1083">
        <v>0</v>
      </c>
      <c r="EX332" s="1329">
        <v>0.17976196799999999</v>
      </c>
      <c r="EY332" s="1083"/>
      <c r="EZ332" s="1083"/>
      <c r="FA332" s="1083"/>
      <c r="FB332" s="1083"/>
      <c r="FC332" s="1083"/>
      <c r="FD332" s="1083"/>
      <c r="FE332" s="1083"/>
      <c r="FF332" s="1083"/>
      <c r="FG332" s="1083"/>
      <c r="FH332" s="1083"/>
      <c r="FI332" s="1083"/>
      <c r="FJ332" s="1329"/>
      <c r="FK332" s="1083"/>
      <c r="FL332" s="1083"/>
      <c r="FM332" s="1083"/>
      <c r="FN332" s="1083"/>
      <c r="FO332" s="1083"/>
      <c r="FP332" s="1083"/>
      <c r="FQ332" s="606"/>
      <c r="FR332" s="606"/>
      <c r="FS332" s="606"/>
      <c r="FT332" s="606"/>
      <c r="FU332" s="606"/>
      <c r="FV332" s="606"/>
      <c r="FW332" s="606"/>
      <c r="FX332" s="606"/>
      <c r="FY332" s="606"/>
      <c r="FZ332" s="606"/>
      <c r="GA332" s="606"/>
      <c r="GB332" s="606"/>
      <c r="GC332" s="606"/>
      <c r="GD332" s="606"/>
      <c r="GE332" s="606"/>
      <c r="GF332" s="606"/>
      <c r="GG332" s="606"/>
      <c r="GH332" s="606"/>
      <c r="GI332" s="606"/>
      <c r="GJ332" s="606"/>
      <c r="GK332" s="606"/>
      <c r="GL332" s="606"/>
      <c r="GM332" s="606"/>
      <c r="GN332" s="606"/>
      <c r="GO332" s="606"/>
      <c r="GP332" s="606"/>
      <c r="GQ332" s="606"/>
      <c r="GR332" s="606"/>
      <c r="GS332" s="606"/>
      <c r="GT332" s="606"/>
      <c r="GU332" s="606"/>
      <c r="GV332" s="606"/>
      <c r="GW332" s="606"/>
      <c r="GX332" s="606"/>
      <c r="GY332" s="606"/>
      <c r="GZ332" s="606"/>
      <c r="HA332" s="606"/>
      <c r="HB332" s="606"/>
      <c r="HC332" s="606"/>
      <c r="HD332" s="606"/>
      <c r="HE332" s="606"/>
      <c r="HF332" s="606"/>
      <c r="HG332" s="606"/>
      <c r="HH332" s="606"/>
      <c r="HI332" s="606"/>
      <c r="HJ332" s="606"/>
      <c r="HK332" s="606"/>
      <c r="HL332" s="606"/>
      <c r="HM332" s="606"/>
      <c r="HN332" s="606"/>
      <c r="HO332" s="606"/>
      <c r="HP332" s="606"/>
      <c r="HQ332" s="606"/>
      <c r="HR332" s="606"/>
      <c r="HS332" s="606"/>
      <c r="HT332" s="606"/>
      <c r="HU332" s="606"/>
      <c r="HV332" s="606"/>
      <c r="HW332" s="606"/>
      <c r="HX332" s="606"/>
      <c r="HY332" s="606"/>
      <c r="KT332" s="280"/>
    </row>
    <row r="333" spans="1:306" hidden="1" outlineLevel="1">
      <c r="B333" s="96" t="s">
        <v>338</v>
      </c>
      <c r="C333" s="849"/>
      <c r="D333" s="293" t="s">
        <v>1192</v>
      </c>
      <c r="F333" s="293"/>
      <c r="G333" s="293"/>
      <c r="H333" s="293"/>
      <c r="I333" s="293"/>
      <c r="J333" s="293"/>
      <c r="K333" s="293"/>
      <c r="L333" s="293"/>
      <c r="M333" s="293"/>
      <c r="N333" s="293"/>
      <c r="O333" s="293"/>
      <c r="P333" s="293"/>
      <c r="Q333" s="293"/>
      <c r="R333" s="293"/>
      <c r="S333" s="293"/>
      <c r="T333" s="293"/>
      <c r="U333" s="293"/>
      <c r="V333" s="293"/>
      <c r="W333" s="293"/>
      <c r="X333" s="293"/>
      <c r="Y333" s="29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c r="BN333" s="293"/>
      <c r="BO333" s="293"/>
      <c r="BP333" s="293"/>
      <c r="BQ333" s="293"/>
      <c r="BR333" s="293"/>
      <c r="BS333" s="293"/>
      <c r="BT333" s="293"/>
      <c r="BU333" s="293"/>
      <c r="BV333" s="293"/>
      <c r="BW333" s="293"/>
      <c r="BX333" s="293"/>
      <c r="BY333" s="293"/>
      <c r="BZ333" s="293"/>
      <c r="CA333" s="293"/>
      <c r="CB333" s="293"/>
      <c r="CC333" s="293"/>
      <c r="CD333" s="293"/>
      <c r="CE333" s="294">
        <v>0.62834436900000001</v>
      </c>
      <c r="CF333" s="293">
        <v>0.20233494899999999</v>
      </c>
      <c r="CG333" s="293">
        <v>1.451404065</v>
      </c>
      <c r="CH333" s="293">
        <v>9.2698339379999997</v>
      </c>
      <c r="CI333" s="293">
        <v>0.375954605</v>
      </c>
      <c r="CJ333" s="293">
        <v>0.280524826</v>
      </c>
      <c r="CK333" s="293">
        <v>0.64144392000000006</v>
      </c>
      <c r="CL333" s="293">
        <v>0.205787158</v>
      </c>
      <c r="CM333" s="293">
        <v>1.1252329720000001</v>
      </c>
      <c r="CN333" s="293">
        <v>10.294691028999999</v>
      </c>
      <c r="CO333" s="293">
        <v>0.47829205299999999</v>
      </c>
      <c r="CP333" s="295">
        <v>0.24168825399999999</v>
      </c>
      <c r="CQ333" s="293">
        <v>0.71878676200000002</v>
      </c>
      <c r="CR333" s="293">
        <v>0.29884553600000002</v>
      </c>
      <c r="CS333" s="293">
        <v>1.805917292</v>
      </c>
      <c r="CT333" s="293">
        <v>9.7326048409999988</v>
      </c>
      <c r="CU333" s="293">
        <v>0.46882611800000001</v>
      </c>
      <c r="CV333" s="293">
        <v>0.28060508200000001</v>
      </c>
      <c r="CW333" s="293">
        <v>0.78783252699999995</v>
      </c>
      <c r="CX333" s="293">
        <v>0.41301081299999998</v>
      </c>
      <c r="CY333" s="293">
        <v>1.425080576</v>
      </c>
      <c r="CZ333" s="293">
        <v>10.55931024</v>
      </c>
      <c r="DA333" s="293">
        <v>0.47163846199999998</v>
      </c>
      <c r="DB333" s="1288">
        <v>0.247811842</v>
      </c>
      <c r="DC333" s="293">
        <v>0.88124448899999996</v>
      </c>
      <c r="DD333" s="606">
        <v>0.67554113000000005</v>
      </c>
      <c r="DE333" s="606">
        <v>2.2017136580000001</v>
      </c>
      <c r="DF333" s="606">
        <v>10.315275193</v>
      </c>
      <c r="DG333" s="606">
        <v>0.51963374299999998</v>
      </c>
      <c r="DH333" s="606">
        <v>0.319691008</v>
      </c>
      <c r="DI333" s="606">
        <v>0.90162314200000004</v>
      </c>
      <c r="DJ333" s="606">
        <v>0.86559799599999998</v>
      </c>
      <c r="DK333" s="606">
        <v>2.4666691950000001</v>
      </c>
      <c r="DL333" s="606">
        <v>10.819309213</v>
      </c>
      <c r="DM333" s="606">
        <v>0.84501120299999999</v>
      </c>
      <c r="DN333" s="1329">
        <v>0</v>
      </c>
      <c r="DO333" s="1083">
        <v>1.035718288</v>
      </c>
      <c r="DP333" s="1083">
        <v>1.396485808</v>
      </c>
      <c r="DQ333" s="1083">
        <v>2.7520588740000003</v>
      </c>
      <c r="DR333" s="1083">
        <v>11.474761787</v>
      </c>
      <c r="DS333" s="1083">
        <v>1.2399079930000001</v>
      </c>
      <c r="DT333" s="1083">
        <v>0.34700167100000001</v>
      </c>
      <c r="DU333" s="1083">
        <v>1.2146568229999999</v>
      </c>
      <c r="DV333" s="1083">
        <v>1.423455524</v>
      </c>
      <c r="DW333" s="1083">
        <v>3.0854013139999998</v>
      </c>
      <c r="DX333" s="1083">
        <v>11.739692988</v>
      </c>
      <c r="DY333" s="1083">
        <v>0.68761453100000003</v>
      </c>
      <c r="DZ333" s="1329">
        <v>0.34026678300000002</v>
      </c>
      <c r="EA333" s="1083">
        <v>1.366543058</v>
      </c>
      <c r="EB333" s="1083">
        <v>2.1452594940000003</v>
      </c>
      <c r="EC333" s="1083">
        <v>3.5734808999999998</v>
      </c>
      <c r="ED333" s="1083">
        <v>11.962555195</v>
      </c>
      <c r="EE333" s="1083">
        <v>0.92720009700000006</v>
      </c>
      <c r="EF333" s="1083">
        <v>0.30176913599999999</v>
      </c>
      <c r="EG333" s="1083">
        <v>1.417062788</v>
      </c>
      <c r="EH333" s="1083">
        <v>2.765583683</v>
      </c>
      <c r="EI333" s="1083">
        <v>2.5358098790000003</v>
      </c>
      <c r="EJ333" s="1083">
        <v>13.502000711000001</v>
      </c>
      <c r="EK333" s="1083">
        <v>1.2942075420000001</v>
      </c>
      <c r="EL333" s="1329">
        <v>0.35836533100000001</v>
      </c>
      <c r="EM333" s="1083">
        <v>1.6176158859999998</v>
      </c>
      <c r="EN333" s="1083">
        <v>2.7377979680000002</v>
      </c>
      <c r="EO333" s="1083">
        <v>3.735045409</v>
      </c>
      <c r="EP333" s="1083">
        <v>12.470471848000001</v>
      </c>
      <c r="EQ333" s="1083">
        <v>1.4068361229999999</v>
      </c>
      <c r="ER333" s="1083">
        <v>1.07570963</v>
      </c>
      <c r="ES333" s="1083">
        <v>1.749779151</v>
      </c>
      <c r="ET333" s="1105">
        <v>2.765467852</v>
      </c>
      <c r="EU333" s="1105">
        <v>4.2259015289999997</v>
      </c>
      <c r="EV333" s="1105">
        <v>12.775494865999999</v>
      </c>
      <c r="EW333" s="1105">
        <v>2.4166486590000003</v>
      </c>
      <c r="EX333" s="1363">
        <v>0.66093960200000001</v>
      </c>
      <c r="EY333" s="1097"/>
      <c r="EZ333" s="1097"/>
      <c r="FA333" s="1097"/>
      <c r="FB333" s="1097"/>
      <c r="FC333" s="1097"/>
      <c r="FD333" s="1097"/>
      <c r="FE333" s="1097"/>
      <c r="FF333" s="1097"/>
      <c r="FG333" s="1097"/>
      <c r="FH333" s="1097"/>
      <c r="FI333" s="1097"/>
      <c r="FJ333" s="1365"/>
      <c r="FK333" s="1097"/>
      <c r="FL333" s="1097"/>
      <c r="FM333" s="1097"/>
      <c r="FN333" s="1097"/>
      <c r="FO333" s="1097"/>
      <c r="FP333" s="1097"/>
      <c r="FQ333" s="848"/>
      <c r="FR333" s="848"/>
      <c r="FS333" s="848"/>
      <c r="FT333" s="848"/>
      <c r="FU333" s="848"/>
      <c r="FV333" s="848"/>
      <c r="FW333" s="848"/>
      <c r="FX333" s="848"/>
      <c r="FY333" s="848"/>
      <c r="FZ333" s="848"/>
      <c r="GA333" s="848"/>
      <c r="GB333" s="848"/>
      <c r="GC333" s="848"/>
      <c r="GD333" s="848"/>
      <c r="GE333" s="848"/>
      <c r="GF333" s="848"/>
      <c r="GG333" s="848"/>
      <c r="GH333" s="848"/>
      <c r="GI333" s="848"/>
      <c r="GJ333" s="848"/>
      <c r="GK333" s="848"/>
      <c r="GL333" s="848"/>
      <c r="GM333" s="848"/>
      <c r="GN333" s="848"/>
      <c r="GO333" s="848"/>
      <c r="GP333" s="848"/>
      <c r="GQ333" s="848"/>
      <c r="GR333" s="848"/>
      <c r="GS333" s="848"/>
      <c r="GT333" s="848"/>
      <c r="GU333" s="848"/>
      <c r="GV333" s="848"/>
      <c r="GW333" s="848"/>
      <c r="GX333" s="848"/>
      <c r="GY333" s="848"/>
      <c r="GZ333" s="848"/>
      <c r="HA333" s="848"/>
      <c r="HB333" s="848"/>
      <c r="HC333" s="848"/>
      <c r="HD333" s="848"/>
      <c r="HE333" s="848"/>
      <c r="HF333" s="848"/>
      <c r="HG333" s="848"/>
      <c r="HH333" s="848"/>
      <c r="HI333" s="848"/>
      <c r="HJ333" s="848"/>
      <c r="HK333" s="848"/>
      <c r="HL333" s="848"/>
      <c r="HM333" s="848"/>
      <c r="HN333" s="848"/>
      <c r="HO333" s="848"/>
      <c r="HP333" s="848"/>
      <c r="HQ333" s="848"/>
      <c r="HR333" s="848"/>
      <c r="HS333" s="848"/>
      <c r="HT333" s="848"/>
      <c r="HU333" s="848"/>
      <c r="HV333" s="848"/>
      <c r="HW333" s="848"/>
      <c r="HX333" s="848"/>
      <c r="HY333" s="848"/>
      <c r="KT333" s="280"/>
    </row>
    <row r="334" spans="1:306" outlineLevel="1">
      <c r="E334" s="96"/>
      <c r="F334" s="96"/>
      <c r="G334" s="96"/>
      <c r="H334" s="96"/>
      <c r="I334" s="96"/>
      <c r="J334" s="96"/>
      <c r="K334" s="96"/>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96"/>
      <c r="AL334" s="96"/>
      <c r="AM334" s="96"/>
      <c r="AN334" s="96"/>
      <c r="AO334" s="96"/>
      <c r="AP334" s="96"/>
      <c r="AQ334" s="96"/>
      <c r="AR334" s="96"/>
      <c r="AS334" s="96"/>
      <c r="AT334" s="96"/>
      <c r="AU334" s="96"/>
      <c r="AV334" s="96"/>
      <c r="AW334" s="96"/>
      <c r="AX334" s="96"/>
      <c r="AY334" s="96"/>
      <c r="AZ334" s="96"/>
      <c r="BA334" s="96"/>
      <c r="BB334" s="96"/>
      <c r="BC334" s="96"/>
      <c r="BD334" s="96"/>
      <c r="BE334" s="96"/>
      <c r="BF334" s="96"/>
      <c r="BG334" s="96"/>
      <c r="BH334" s="96"/>
      <c r="BI334" s="96"/>
      <c r="BJ334" s="96"/>
      <c r="BK334" s="96"/>
      <c r="BL334" s="96"/>
      <c r="BM334" s="96"/>
      <c r="BN334" s="96"/>
      <c r="BO334" s="96"/>
      <c r="BP334" s="96"/>
      <c r="BQ334" s="96"/>
      <c r="BR334" s="96"/>
      <c r="BS334" s="96"/>
      <c r="BT334" s="96"/>
      <c r="BU334" s="96"/>
      <c r="BV334" s="96"/>
      <c r="BW334" s="96"/>
      <c r="BX334" s="96"/>
      <c r="BY334" s="96"/>
      <c r="BZ334" s="96"/>
      <c r="CA334" s="96"/>
      <c r="CB334" s="96"/>
      <c r="CC334" s="96"/>
      <c r="CD334" s="293"/>
      <c r="CE334" s="294"/>
      <c r="CF334" s="96"/>
      <c r="CG334" s="96"/>
      <c r="CH334" s="96"/>
      <c r="CI334" s="96"/>
      <c r="CJ334" s="96"/>
      <c r="CK334" s="96"/>
      <c r="CL334" s="96"/>
      <c r="CM334" s="96"/>
      <c r="CN334" s="96"/>
      <c r="CO334" s="96"/>
      <c r="CP334" s="1271"/>
      <c r="CQ334" s="96"/>
      <c r="CR334" s="96"/>
      <c r="CS334" s="96"/>
      <c r="CT334" s="96"/>
      <c r="CU334" s="96"/>
      <c r="CV334" s="96"/>
      <c r="CW334" s="96"/>
      <c r="CX334" s="96"/>
      <c r="CY334" s="96"/>
      <c r="CZ334" s="96"/>
      <c r="DA334" s="96"/>
      <c r="DB334" s="1289"/>
      <c r="DC334" s="859"/>
      <c r="DD334" s="96"/>
      <c r="DE334" s="96"/>
      <c r="DF334" s="96"/>
      <c r="DG334" s="96"/>
      <c r="DH334" s="96"/>
      <c r="DI334" s="96"/>
      <c r="DJ334" s="96"/>
      <c r="DK334" s="96"/>
      <c r="DL334" s="96"/>
      <c r="DM334" s="96"/>
      <c r="DN334" s="1330"/>
      <c r="DO334" s="848"/>
      <c r="DP334" s="848"/>
      <c r="DQ334" s="848"/>
      <c r="DR334" s="848"/>
      <c r="DS334" s="848"/>
      <c r="DT334" s="848"/>
      <c r="DU334" s="848"/>
      <c r="DV334" s="848"/>
      <c r="DW334" s="848"/>
      <c r="DX334" s="848"/>
      <c r="DY334" s="848"/>
      <c r="DZ334" s="1330"/>
      <c r="EA334" s="848"/>
      <c r="EB334" s="848"/>
      <c r="EC334" s="848"/>
      <c r="ED334" s="848"/>
      <c r="EE334" s="848"/>
      <c r="EF334" s="848"/>
      <c r="EG334" s="848"/>
      <c r="EH334" s="848"/>
      <c r="EI334" s="848"/>
      <c r="EJ334" s="848"/>
      <c r="EK334" s="848"/>
      <c r="EL334" s="1330"/>
      <c r="EM334" s="1097"/>
      <c r="EN334" s="1097"/>
      <c r="EO334" s="1097"/>
      <c r="EP334" s="1097"/>
      <c r="EQ334" s="1097"/>
      <c r="ER334" s="1097"/>
      <c r="ES334" s="1097"/>
      <c r="ET334" s="1097"/>
      <c r="EU334" s="1097"/>
      <c r="EV334" s="1097"/>
      <c r="EW334" s="1097"/>
      <c r="EX334" s="1365"/>
      <c r="EY334" s="1097"/>
      <c r="EZ334" s="1097"/>
      <c r="FA334" s="1097"/>
      <c r="FB334" s="1097"/>
      <c r="FC334" s="1097"/>
      <c r="FD334" s="1097"/>
      <c r="FE334" s="1097"/>
      <c r="FF334" s="1097"/>
      <c r="FG334" s="1097"/>
      <c r="FH334" s="1097"/>
      <c r="FI334" s="1097"/>
      <c r="FJ334" s="1365"/>
      <c r="FK334" s="1097"/>
      <c r="FL334" s="1097"/>
      <c r="FM334" s="1097"/>
      <c r="FN334" s="1097"/>
      <c r="FO334" s="1097"/>
      <c r="FP334" s="1097"/>
      <c r="FQ334" s="848"/>
      <c r="FR334" s="848"/>
      <c r="FS334" s="848"/>
      <c r="FT334" s="848"/>
      <c r="FU334" s="848"/>
      <c r="FV334" s="848"/>
      <c r="FW334" s="848"/>
      <c r="FX334" s="848"/>
      <c r="FY334" s="848"/>
      <c r="FZ334" s="848"/>
      <c r="GA334" s="848"/>
      <c r="GB334" s="848"/>
      <c r="GC334" s="848"/>
      <c r="GD334" s="848"/>
      <c r="GE334" s="848"/>
      <c r="GF334" s="848"/>
      <c r="GG334" s="848"/>
      <c r="GH334" s="848"/>
      <c r="GI334" s="848"/>
      <c r="GJ334" s="848"/>
      <c r="GK334" s="848"/>
      <c r="GL334" s="848"/>
      <c r="GM334" s="848"/>
      <c r="GN334" s="848"/>
      <c r="GO334" s="1675"/>
      <c r="GP334" s="1675"/>
      <c r="GQ334" s="1675"/>
      <c r="GR334" s="1675"/>
      <c r="GS334" s="1675"/>
      <c r="GT334" s="1675"/>
      <c r="GU334" s="1675"/>
      <c r="GV334" s="1675"/>
      <c r="GW334" s="1675"/>
      <c r="GX334" s="1675"/>
      <c r="GY334" s="1675"/>
      <c r="GZ334" s="1675"/>
      <c r="HA334" s="1675"/>
      <c r="HB334" s="1675"/>
      <c r="HC334" s="1675"/>
      <c r="HD334" s="1675"/>
      <c r="HE334" s="1675"/>
      <c r="HF334" s="1675"/>
      <c r="HG334" s="1675"/>
      <c r="HH334" s="1675"/>
      <c r="HI334" s="1675"/>
      <c r="HJ334" s="1675"/>
      <c r="HK334" s="1675"/>
      <c r="HL334" s="1675"/>
      <c r="HM334" s="1675"/>
      <c r="HN334" s="1675"/>
      <c r="HO334" s="1675"/>
      <c r="HP334" s="1675"/>
      <c r="HQ334" s="1675"/>
      <c r="HR334" s="1675"/>
      <c r="HS334" s="1675"/>
      <c r="HT334" s="1675"/>
      <c r="HU334" s="1675"/>
      <c r="HV334" s="1675"/>
      <c r="HW334" s="1675"/>
      <c r="HX334" s="1675"/>
      <c r="HY334" s="1675"/>
      <c r="KT334" s="280"/>
    </row>
    <row r="335" spans="1:306" outlineLevel="1">
      <c r="A335" s="291" t="s">
        <v>1047</v>
      </c>
      <c r="D335" s="796" t="s">
        <v>459</v>
      </c>
      <c r="CE335" s="793"/>
      <c r="CP335" s="280"/>
      <c r="DC335" s="843" t="s">
        <v>1051</v>
      </c>
      <c r="EA335" s="279"/>
      <c r="EB335" s="279"/>
      <c r="EC335" s="279"/>
      <c r="ED335" s="279"/>
      <c r="EE335" s="279"/>
      <c r="EF335" s="279"/>
      <c r="EG335" s="279"/>
      <c r="EH335" s="279"/>
      <c r="EI335" s="279"/>
      <c r="EJ335" s="279"/>
      <c r="EK335" s="279"/>
      <c r="EL335" s="280"/>
      <c r="EM335" s="1082"/>
      <c r="EN335" s="1082"/>
      <c r="EO335" s="1082"/>
      <c r="EP335" s="1082"/>
      <c r="EQ335" s="1082"/>
      <c r="ER335" s="1082"/>
      <c r="ES335" s="1082"/>
      <c r="ET335" s="1082"/>
      <c r="EU335" s="1082"/>
      <c r="EV335" s="1082"/>
      <c r="EW335" s="1082"/>
      <c r="EX335" s="1350"/>
      <c r="EY335" s="1082"/>
      <c r="EZ335" s="1082"/>
      <c r="FA335" s="1082"/>
      <c r="FB335" s="1082"/>
      <c r="FC335" s="1082"/>
      <c r="FD335" s="1082"/>
      <c r="FE335" s="1082"/>
      <c r="FF335" s="1082"/>
      <c r="FG335" s="1082"/>
      <c r="FH335" s="1082"/>
      <c r="FI335" s="1082"/>
      <c r="FJ335" s="1350"/>
      <c r="FK335" s="1082"/>
      <c r="FL335" s="1082"/>
      <c r="FM335" s="1082"/>
      <c r="FN335" s="1082"/>
      <c r="FO335" s="1082"/>
      <c r="FP335" s="1082"/>
      <c r="FQ335" s="279"/>
      <c r="FR335" s="279"/>
      <c r="FS335" s="279"/>
      <c r="FT335" s="279"/>
      <c r="FU335" s="279"/>
      <c r="FV335" s="279"/>
      <c r="FW335" s="279"/>
      <c r="FX335" s="279"/>
      <c r="FY335" s="279"/>
      <c r="FZ335" s="279"/>
      <c r="GA335" s="279"/>
      <c r="GB335" s="279"/>
      <c r="GC335" s="279"/>
      <c r="GD335" s="279"/>
      <c r="GE335" s="279"/>
      <c r="GF335" s="279"/>
      <c r="GG335" s="279"/>
      <c r="GH335" s="279"/>
      <c r="GI335" s="279"/>
      <c r="GJ335" s="279"/>
      <c r="GK335" s="279"/>
      <c r="GL335" s="279"/>
      <c r="GM335" s="279"/>
      <c r="GN335" s="279"/>
      <c r="GO335" s="279"/>
      <c r="GP335" s="279"/>
      <c r="GQ335" s="279"/>
      <c r="GR335" s="279"/>
      <c r="GS335" s="279"/>
      <c r="GT335" s="279"/>
      <c r="GU335" s="279"/>
      <c r="GV335" s="279"/>
      <c r="GW335" s="279"/>
      <c r="GX335" s="279"/>
      <c r="GY335" s="279"/>
      <c r="GZ335" s="279"/>
      <c r="HA335" s="279"/>
      <c r="HB335" s="279"/>
      <c r="HC335" s="279"/>
      <c r="HD335" s="279"/>
      <c r="HE335" s="279"/>
      <c r="HF335" s="279"/>
      <c r="HG335" s="279"/>
      <c r="HH335" s="279"/>
      <c r="HI335" s="279"/>
      <c r="HJ335" s="279"/>
      <c r="HK335" s="279"/>
      <c r="HL335" s="279"/>
      <c r="HM335" s="279"/>
      <c r="HN335" s="279"/>
      <c r="HO335" s="279"/>
      <c r="HP335" s="279"/>
      <c r="HQ335" s="279"/>
      <c r="HR335" s="279"/>
      <c r="HS335" s="279"/>
      <c r="HT335" s="279"/>
      <c r="HU335" s="279"/>
      <c r="HV335" s="279"/>
      <c r="HW335" s="279"/>
      <c r="HX335" s="279"/>
      <c r="HY335" s="279"/>
      <c r="KT335" s="280"/>
    </row>
    <row r="336" spans="1:306" customFormat="1" ht="15.3" outlineLevel="1">
      <c r="A336" s="96" t="s">
        <v>372</v>
      </c>
      <c r="D336" s="860"/>
      <c r="E336" s="860"/>
      <c r="F336" s="860"/>
      <c r="G336" s="860"/>
      <c r="H336" s="860"/>
      <c r="I336" s="860"/>
      <c r="J336" s="860"/>
      <c r="K336" s="860"/>
      <c r="L336" s="860"/>
      <c r="M336" s="860"/>
      <c r="N336" s="860"/>
      <c r="O336" s="860"/>
      <c r="P336" s="860"/>
      <c r="Q336" s="860"/>
      <c r="R336" s="860"/>
      <c r="S336" s="860"/>
      <c r="T336" s="860"/>
      <c r="U336" s="860"/>
      <c r="V336" s="860"/>
      <c r="W336" s="860"/>
      <c r="X336" s="860"/>
      <c r="Y336" s="860"/>
      <c r="Z336" s="860"/>
      <c r="AA336" s="860"/>
      <c r="AB336" s="860"/>
      <c r="AC336" s="860"/>
      <c r="AD336" s="860"/>
      <c r="AE336" s="860"/>
      <c r="AF336" s="860"/>
      <c r="AG336" s="860"/>
      <c r="AH336" s="860"/>
      <c r="AI336" s="860"/>
      <c r="AJ336" s="860"/>
      <c r="AK336" s="860"/>
      <c r="AL336" s="860"/>
      <c r="AM336" s="860"/>
      <c r="AN336" s="861">
        <v>40148</v>
      </c>
      <c r="AO336" s="861">
        <v>40179</v>
      </c>
      <c r="AP336" s="861">
        <v>40210</v>
      </c>
      <c r="AQ336" s="861">
        <v>40238</v>
      </c>
      <c r="AR336" s="861">
        <v>40269</v>
      </c>
      <c r="AS336" s="861">
        <v>40299</v>
      </c>
      <c r="AT336" s="861">
        <v>40330</v>
      </c>
      <c r="AU336" s="861">
        <v>40360</v>
      </c>
      <c r="AV336" s="861">
        <v>40391</v>
      </c>
      <c r="AW336" s="861">
        <v>40422</v>
      </c>
      <c r="AX336" s="861">
        <v>40452</v>
      </c>
      <c r="AY336" s="861">
        <v>40483</v>
      </c>
      <c r="AZ336" s="861">
        <v>40513</v>
      </c>
      <c r="BA336" s="861">
        <v>40544</v>
      </c>
      <c r="BB336" s="861">
        <v>40575</v>
      </c>
      <c r="BC336" s="861">
        <v>40603</v>
      </c>
      <c r="BD336" s="861">
        <v>40634</v>
      </c>
      <c r="BE336" s="861">
        <v>40664</v>
      </c>
      <c r="BF336" s="861">
        <v>40695</v>
      </c>
      <c r="BG336" s="861">
        <v>40725</v>
      </c>
      <c r="BH336" s="861">
        <v>40756</v>
      </c>
      <c r="BI336" s="861">
        <v>40787</v>
      </c>
      <c r="BJ336" s="861">
        <v>40817</v>
      </c>
      <c r="BK336" s="861">
        <v>40848</v>
      </c>
      <c r="BL336" s="861">
        <v>40878</v>
      </c>
      <c r="BM336" s="861">
        <v>40909</v>
      </c>
      <c r="BN336" s="861">
        <v>40940</v>
      </c>
      <c r="BO336" s="861">
        <v>40969</v>
      </c>
      <c r="BP336" s="861">
        <v>41000</v>
      </c>
      <c r="BQ336" s="861">
        <v>41030</v>
      </c>
      <c r="BR336" s="861">
        <v>41061</v>
      </c>
      <c r="BS336" s="861">
        <v>41091</v>
      </c>
      <c r="BT336" s="861">
        <v>41122</v>
      </c>
      <c r="BU336" s="861">
        <v>41153</v>
      </c>
      <c r="BV336" s="861">
        <v>41183</v>
      </c>
      <c r="BW336" s="861">
        <v>41214</v>
      </c>
      <c r="BX336" s="861">
        <v>41244</v>
      </c>
      <c r="BY336" s="861">
        <v>41275</v>
      </c>
      <c r="BZ336" s="861">
        <v>41306</v>
      </c>
      <c r="CA336" s="861">
        <v>41334</v>
      </c>
      <c r="CB336" s="861">
        <v>41365</v>
      </c>
      <c r="CC336" s="861">
        <v>41395</v>
      </c>
      <c r="CD336" s="861">
        <v>41426</v>
      </c>
      <c r="CE336" s="861">
        <v>41456</v>
      </c>
      <c r="CF336" s="861">
        <v>41487</v>
      </c>
      <c r="CG336" s="861">
        <v>41518</v>
      </c>
      <c r="CH336" s="861">
        <v>41548</v>
      </c>
      <c r="CI336" s="861">
        <v>41579</v>
      </c>
      <c r="CJ336" s="861">
        <v>41609</v>
      </c>
      <c r="CK336" s="861">
        <v>41640</v>
      </c>
      <c r="CL336" s="861">
        <v>41671</v>
      </c>
      <c r="CM336" s="861">
        <v>41699</v>
      </c>
      <c r="CN336" s="861">
        <v>41730</v>
      </c>
      <c r="CO336" s="861">
        <v>41760</v>
      </c>
      <c r="CP336" s="861">
        <v>41791</v>
      </c>
      <c r="CQ336" s="861">
        <v>41821</v>
      </c>
      <c r="CR336" s="861">
        <v>41852</v>
      </c>
      <c r="CS336" s="861">
        <v>41883</v>
      </c>
      <c r="CT336" s="861">
        <v>41913</v>
      </c>
      <c r="CU336" s="861">
        <v>41944</v>
      </c>
      <c r="CV336" s="861">
        <v>41974</v>
      </c>
      <c r="CW336" s="861">
        <v>42005</v>
      </c>
      <c r="CX336" s="861">
        <v>42036</v>
      </c>
      <c r="CY336" s="861">
        <v>42064</v>
      </c>
      <c r="CZ336" s="861">
        <v>42095</v>
      </c>
      <c r="DA336" s="861">
        <v>42125</v>
      </c>
      <c r="DB336" s="861">
        <v>42156</v>
      </c>
      <c r="DC336" s="861">
        <v>42186</v>
      </c>
      <c r="DD336" s="861">
        <v>42217</v>
      </c>
      <c r="DE336" s="861">
        <v>42248</v>
      </c>
      <c r="DF336" s="861">
        <v>42278</v>
      </c>
      <c r="DG336" s="861">
        <v>42309</v>
      </c>
      <c r="DH336" s="861">
        <v>42339</v>
      </c>
      <c r="DI336" s="861">
        <v>42370</v>
      </c>
      <c r="DJ336" s="861">
        <v>42401</v>
      </c>
      <c r="DK336" s="861">
        <v>42430</v>
      </c>
      <c r="DL336" s="861">
        <v>42461</v>
      </c>
      <c r="DM336" s="861">
        <v>42491</v>
      </c>
      <c r="DN336" s="876">
        <v>42522</v>
      </c>
      <c r="DO336" s="836">
        <v>42552</v>
      </c>
      <c r="DP336" s="836">
        <v>42583</v>
      </c>
      <c r="DQ336" s="836">
        <v>42614</v>
      </c>
      <c r="DR336" s="836">
        <v>42644</v>
      </c>
      <c r="DS336" s="836">
        <v>42675</v>
      </c>
      <c r="DT336" s="836">
        <v>42705</v>
      </c>
      <c r="DU336" s="836">
        <v>42736</v>
      </c>
      <c r="DV336" s="836">
        <v>42767</v>
      </c>
      <c r="DW336" s="836">
        <v>42795</v>
      </c>
      <c r="DX336" s="836">
        <v>42826</v>
      </c>
      <c r="DY336" s="836">
        <v>42856</v>
      </c>
      <c r="DZ336" s="872">
        <v>42887</v>
      </c>
      <c r="EA336" s="836">
        <v>42917</v>
      </c>
      <c r="EB336" s="836">
        <v>42948</v>
      </c>
      <c r="EC336" s="836">
        <v>42979</v>
      </c>
      <c r="ED336" s="836">
        <v>43009</v>
      </c>
      <c r="EE336" s="836">
        <v>43040</v>
      </c>
      <c r="EF336" s="836">
        <v>43070</v>
      </c>
      <c r="EG336" s="836">
        <v>43101</v>
      </c>
      <c r="EH336" s="836">
        <v>43132</v>
      </c>
      <c r="EI336" s="836">
        <v>43160</v>
      </c>
      <c r="EJ336" s="836">
        <v>43191</v>
      </c>
      <c r="EK336" s="836">
        <v>43221</v>
      </c>
      <c r="EL336" s="872">
        <v>43252</v>
      </c>
      <c r="EM336" s="1079">
        <v>43282</v>
      </c>
      <c r="EN336" s="1079">
        <v>43313</v>
      </c>
      <c r="EO336" s="1079">
        <v>43344</v>
      </c>
      <c r="EP336" s="1079">
        <v>43374</v>
      </c>
      <c r="EQ336" s="1079">
        <v>43405</v>
      </c>
      <c r="ER336" s="1079">
        <v>43435</v>
      </c>
      <c r="ES336" s="1079">
        <v>43466</v>
      </c>
      <c r="ET336" s="1079">
        <v>43497</v>
      </c>
      <c r="EU336" s="1079">
        <v>43525</v>
      </c>
      <c r="EV336" s="1079">
        <v>43556</v>
      </c>
      <c r="EW336" s="1079">
        <v>43586</v>
      </c>
      <c r="EX336" s="1348">
        <v>43617</v>
      </c>
      <c r="EY336" s="1079">
        <v>43647</v>
      </c>
      <c r="EZ336" s="1079">
        <v>43678</v>
      </c>
      <c r="FA336" s="1079">
        <v>43709</v>
      </c>
      <c r="FB336" s="1079">
        <v>43739</v>
      </c>
      <c r="FC336" s="1079">
        <v>43770</v>
      </c>
      <c r="FD336" s="1079">
        <v>43800</v>
      </c>
      <c r="FE336" s="1079">
        <v>43831</v>
      </c>
      <c r="FF336" s="1079">
        <v>43862</v>
      </c>
      <c r="FG336" s="1079">
        <v>43891</v>
      </c>
      <c r="FH336" s="1079">
        <v>43922</v>
      </c>
      <c r="FI336" s="1079">
        <v>43952</v>
      </c>
      <c r="FJ336" s="1348">
        <v>43983</v>
      </c>
      <c r="FK336" s="1079">
        <v>44013</v>
      </c>
      <c r="FL336" s="1079">
        <v>44044</v>
      </c>
      <c r="FM336" s="1079">
        <v>44075</v>
      </c>
      <c r="FN336" s="1079">
        <v>44105</v>
      </c>
      <c r="FO336" s="1079">
        <v>44136</v>
      </c>
      <c r="FP336" s="1079">
        <v>44166</v>
      </c>
      <c r="FQ336" s="1079">
        <v>44197</v>
      </c>
      <c r="FR336" s="1079">
        <v>44228</v>
      </c>
      <c r="FS336" s="1079">
        <v>44256</v>
      </c>
      <c r="FT336" s="1079">
        <v>44287</v>
      </c>
      <c r="FU336" s="1079">
        <v>44317</v>
      </c>
      <c r="FV336" s="1079">
        <v>44348</v>
      </c>
      <c r="FW336" s="1079">
        <v>44378</v>
      </c>
      <c r="FX336" s="1079">
        <v>44409</v>
      </c>
      <c r="FY336" s="1079">
        <v>44440</v>
      </c>
      <c r="FZ336" s="1079">
        <v>44470</v>
      </c>
      <c r="GA336" s="1079">
        <v>44501</v>
      </c>
      <c r="GB336" s="1079">
        <v>44531</v>
      </c>
      <c r="GC336" s="1079">
        <v>44562</v>
      </c>
      <c r="GD336" s="1079">
        <v>44593</v>
      </c>
      <c r="GE336" s="1079">
        <v>44621</v>
      </c>
      <c r="GF336" s="1079">
        <v>44652</v>
      </c>
      <c r="GG336" s="1079">
        <v>44682</v>
      </c>
      <c r="GH336" s="1079">
        <v>44713</v>
      </c>
      <c r="GI336" s="1079">
        <v>44743</v>
      </c>
      <c r="GJ336" s="1079">
        <v>44774</v>
      </c>
      <c r="GK336" s="1079">
        <v>44805</v>
      </c>
      <c r="GL336" s="1079">
        <v>44835</v>
      </c>
      <c r="GM336" s="1079">
        <v>44866</v>
      </c>
      <c r="GN336" s="1079">
        <v>44896</v>
      </c>
      <c r="GO336" s="1079">
        <v>44927</v>
      </c>
      <c r="GP336" s="1079">
        <v>44958</v>
      </c>
      <c r="GQ336" s="1079">
        <v>44986</v>
      </c>
      <c r="GR336" s="1079">
        <v>45017</v>
      </c>
      <c r="GS336" s="1079">
        <v>45047</v>
      </c>
      <c r="GT336" s="1079">
        <v>45078</v>
      </c>
      <c r="GU336" s="1079">
        <v>45108</v>
      </c>
      <c r="GV336" s="1079">
        <v>45139</v>
      </c>
      <c r="GW336" s="1079">
        <v>45170</v>
      </c>
      <c r="GX336" s="1079">
        <v>45200</v>
      </c>
      <c r="GY336" s="1079">
        <v>45231</v>
      </c>
      <c r="GZ336" s="1079">
        <v>45261</v>
      </c>
      <c r="HA336" s="1079">
        <v>45292</v>
      </c>
      <c r="HB336" s="1079">
        <v>45323</v>
      </c>
      <c r="HC336" s="1079">
        <v>45352</v>
      </c>
      <c r="HD336" s="1079">
        <v>45383</v>
      </c>
      <c r="HE336" s="1079">
        <v>45413</v>
      </c>
      <c r="HF336" s="1079">
        <v>45444</v>
      </c>
      <c r="HG336" s="1079">
        <v>45474</v>
      </c>
      <c r="HH336" s="1079">
        <v>45505</v>
      </c>
      <c r="HI336" s="1079">
        <v>45536</v>
      </c>
      <c r="HJ336" s="1079">
        <v>45566</v>
      </c>
      <c r="HK336" s="1079">
        <v>45597</v>
      </c>
      <c r="HL336" s="1079">
        <v>45627</v>
      </c>
      <c r="HM336" s="1079">
        <v>45658</v>
      </c>
      <c r="HN336" s="1079">
        <v>45689</v>
      </c>
      <c r="HO336" s="1079">
        <v>45717</v>
      </c>
      <c r="HP336" s="1079">
        <v>45748</v>
      </c>
      <c r="HQ336" s="1079">
        <v>45778</v>
      </c>
      <c r="HR336" s="1079">
        <v>45809</v>
      </c>
      <c r="HS336" s="1079">
        <v>45839</v>
      </c>
      <c r="HT336" s="1079">
        <v>45870</v>
      </c>
      <c r="HU336" s="1079">
        <v>45901</v>
      </c>
      <c r="HV336" s="1079">
        <v>45931</v>
      </c>
      <c r="HW336" s="1079">
        <v>45962</v>
      </c>
      <c r="HX336" s="1079">
        <v>45992</v>
      </c>
      <c r="HY336" s="1079"/>
      <c r="HZ336" s="281"/>
    </row>
    <row r="337" spans="1:306" outlineLevel="1">
      <c r="A337" s="279"/>
      <c r="B337" s="96" t="s">
        <v>338</v>
      </c>
      <c r="D337" s="298" t="s">
        <v>3765</v>
      </c>
      <c r="E337" s="293"/>
      <c r="F337" s="293"/>
      <c r="G337" s="293"/>
      <c r="H337" s="293"/>
      <c r="I337" s="293"/>
      <c r="J337" s="293"/>
      <c r="K337" s="293"/>
      <c r="L337" s="293"/>
      <c r="M337" s="293"/>
      <c r="N337" s="293"/>
      <c r="O337" s="293"/>
      <c r="P337" s="293"/>
      <c r="Q337" s="293"/>
      <c r="R337" s="293"/>
      <c r="S337" s="293"/>
      <c r="T337" s="293"/>
      <c r="U337" s="293"/>
      <c r="V337" s="293"/>
      <c r="W337" s="293"/>
      <c r="X337" s="293"/>
      <c r="Y337" s="293"/>
      <c r="Z337" s="293"/>
      <c r="AA337" s="293"/>
      <c r="AB337" s="293"/>
      <c r="AC337" s="293"/>
      <c r="AD337" s="293"/>
      <c r="AE337" s="293"/>
      <c r="AF337" s="293"/>
      <c r="AG337" s="293"/>
      <c r="AH337" s="293"/>
      <c r="AI337" s="293"/>
      <c r="AJ337" s="293"/>
      <c r="AK337" s="293"/>
      <c r="AL337" s="293"/>
      <c r="AM337" s="293"/>
      <c r="AN337" s="293">
        <v>-141.32597844000003</v>
      </c>
      <c r="AO337" s="293">
        <v>-149.39687363499996</v>
      </c>
      <c r="AP337" s="293">
        <v>-127.44963169099999</v>
      </c>
      <c r="AQ337" s="293">
        <v>-119.93644642799998</v>
      </c>
      <c r="AR337" s="293">
        <v>-112.97846161999996</v>
      </c>
      <c r="AS337" s="293">
        <v>-96.735058648000006</v>
      </c>
      <c r="AT337" s="293">
        <v>-125.783013149</v>
      </c>
      <c r="AU337" s="293">
        <v>-111.32482363700001</v>
      </c>
      <c r="AV337" s="293">
        <v>-77.350114066000003</v>
      </c>
      <c r="AW337" s="293">
        <v>-132.47670511800001</v>
      </c>
      <c r="AX337" s="293">
        <v>-123.86401989800001</v>
      </c>
      <c r="AY337" s="293">
        <v>-89.113117830999983</v>
      </c>
      <c r="AZ337" s="293">
        <v>-131.32492378000003</v>
      </c>
      <c r="BA337" s="293">
        <v>-122.51339211399994</v>
      </c>
      <c r="BB337" s="293">
        <v>-122.96199902000001</v>
      </c>
      <c r="BC337" s="293">
        <v>-98.577085010000019</v>
      </c>
      <c r="BD337" s="293">
        <v>-146.85317597900007</v>
      </c>
      <c r="BE337" s="293">
        <v>-90.455977815999972</v>
      </c>
      <c r="BF337" s="293">
        <v>-48.176601351418356</v>
      </c>
      <c r="BG337" s="293">
        <v>-65.328576759999947</v>
      </c>
      <c r="BH337" s="293">
        <v>-88.864516417000004</v>
      </c>
      <c r="BI337" s="293">
        <v>-114.57434609400002</v>
      </c>
      <c r="BJ337" s="293">
        <v>-180.96099486199998</v>
      </c>
      <c r="BK337" s="293">
        <v>-146.05822945762003</v>
      </c>
      <c r="BL337" s="293">
        <v>-218.25748209299996</v>
      </c>
      <c r="BM337" s="293">
        <v>-204.94261799999998</v>
      </c>
      <c r="BN337" s="293">
        <v>-155.759472636</v>
      </c>
      <c r="BO337" s="293">
        <v>-138.20793316700002</v>
      </c>
      <c r="BP337" s="293">
        <v>-105.515284651</v>
      </c>
      <c r="BQ337" s="293">
        <v>-44.250424141999986</v>
      </c>
      <c r="BR337" s="293">
        <v>-52.246035968000001</v>
      </c>
      <c r="BS337" s="293">
        <v>-88.21471386799999</v>
      </c>
      <c r="BT337" s="293">
        <v>-78.474909305000011</v>
      </c>
      <c r="BU337" s="293">
        <v>-101.28900456599999</v>
      </c>
      <c r="BV337" s="293">
        <v>-115.40738663599998</v>
      </c>
      <c r="BW337" s="293">
        <v>-116.51742649600001</v>
      </c>
      <c r="BX337" s="293">
        <v>-136.94626099999996</v>
      </c>
      <c r="BY337" s="293">
        <v>-94.637540968000025</v>
      </c>
      <c r="BZ337" s="293">
        <v>-62.130464562</v>
      </c>
      <c r="CA337" s="293">
        <v>-76.411260513999991</v>
      </c>
      <c r="CB337" s="293">
        <v>-67.51548504400003</v>
      </c>
      <c r="CC337" s="293">
        <v>-214.00539551800003</v>
      </c>
      <c r="CD337" s="293">
        <v>-163.97288144400002</v>
      </c>
      <c r="CE337" s="294">
        <v>-199.16289677300006</v>
      </c>
      <c r="CF337" s="293">
        <v>-173.05693562099998</v>
      </c>
      <c r="CG337" s="293">
        <v>-192.18188951400001</v>
      </c>
      <c r="CH337" s="293">
        <v>-197.87399016000001</v>
      </c>
      <c r="CI337" s="293">
        <v>-174.41988275300002</v>
      </c>
      <c r="CJ337" s="293">
        <v>-187.30806436800003</v>
      </c>
      <c r="CK337" s="293">
        <v>-153.71924111869765</v>
      </c>
      <c r="CL337" s="293">
        <v>-126.32183013018656</v>
      </c>
      <c r="CM337" s="293">
        <v>-105.14238019354315</v>
      </c>
      <c r="CN337" s="293">
        <v>-82.084350569614116</v>
      </c>
      <c r="CO337" s="293">
        <v>-80.697893689140983</v>
      </c>
      <c r="CP337" s="295">
        <v>-13.323236372852421</v>
      </c>
      <c r="CQ337" s="293">
        <v>19.993095357543552</v>
      </c>
      <c r="CR337" s="293">
        <v>22.028670971611916</v>
      </c>
      <c r="CS337" s="293">
        <v>54.022531451414494</v>
      </c>
      <c r="CT337" s="293">
        <v>81.830728112665071</v>
      </c>
      <c r="CU337" s="293">
        <v>66.584200121327513</v>
      </c>
      <c r="CV337" s="293">
        <v>-21.472170253183663</v>
      </c>
      <c r="CW337" s="293">
        <v>11.201815651305708</v>
      </c>
      <c r="CX337" s="293">
        <v>-5.1563659823535488</v>
      </c>
      <c r="CY337" s="293">
        <v>-3.4430616171474355</v>
      </c>
      <c r="CZ337" s="293">
        <v>21.754058706019009</v>
      </c>
      <c r="DA337" s="293">
        <v>64.06387507776293</v>
      </c>
      <c r="DB337" s="1288">
        <v>124.99304068831268</v>
      </c>
      <c r="DC337" s="606">
        <v>129.61943568247716</v>
      </c>
      <c r="DD337" s="606">
        <v>142.20354496239941</v>
      </c>
      <c r="DE337" s="606">
        <v>100.00677469583775</v>
      </c>
      <c r="DF337" s="606">
        <v>142.00992993490712</v>
      </c>
      <c r="DG337" s="606">
        <v>124.71905007609337</v>
      </c>
      <c r="DH337" s="606">
        <v>40.062842995580979</v>
      </c>
      <c r="DI337" s="606">
        <v>86.589439539055491</v>
      </c>
      <c r="DJ337" s="606">
        <v>88.145561265810386</v>
      </c>
      <c r="DK337" s="606">
        <v>73.976763800601702</v>
      </c>
      <c r="DL337" s="606">
        <v>41.794987888730361</v>
      </c>
      <c r="DM337" s="606">
        <v>73.074744064682022</v>
      </c>
      <c r="DN337" s="622">
        <v>127.07778350761765</v>
      </c>
      <c r="DO337" s="606">
        <v>100.6765730203731</v>
      </c>
      <c r="DP337" s="606">
        <v>100.56845866978946</v>
      </c>
      <c r="DQ337" s="606">
        <v>47.72712348340167</v>
      </c>
      <c r="DR337" s="606">
        <v>45.833515477161257</v>
      </c>
      <c r="DS337" s="606">
        <v>63.485300921692073</v>
      </c>
      <c r="DT337" s="606">
        <v>12.191769501318699</v>
      </c>
      <c r="DU337" s="606">
        <v>8.2739232978238419</v>
      </c>
      <c r="DV337" s="606">
        <v>63.553327648044785</v>
      </c>
      <c r="DW337" s="606">
        <v>54.250756526401972</v>
      </c>
      <c r="DX337" s="606">
        <v>59.979088977169965</v>
      </c>
      <c r="DY337" s="606">
        <v>100.34423484145077</v>
      </c>
      <c r="DZ337" s="622">
        <v>141.70573959091655</v>
      </c>
      <c r="EA337" s="606">
        <v>166.22531050318054</v>
      </c>
      <c r="EB337" s="606">
        <v>193.08550585976374</v>
      </c>
      <c r="EC337" s="606">
        <v>175.19255611586135</v>
      </c>
      <c r="ED337" s="606">
        <v>166.72933450446234</v>
      </c>
      <c r="EE337" s="606">
        <v>169.09397431406444</v>
      </c>
      <c r="EF337" s="606">
        <v>69.326811193815672</v>
      </c>
      <c r="EG337" s="606">
        <v>172.73398092161375</v>
      </c>
      <c r="EH337" s="606">
        <v>194.27587669297452</v>
      </c>
      <c r="EI337" s="606">
        <v>183.67076500650535</v>
      </c>
      <c r="EJ337" s="606">
        <v>182.08211261044261</v>
      </c>
      <c r="EK337" s="606">
        <v>230.13796726255396</v>
      </c>
      <c r="EL337" s="622">
        <v>249.68717160962044</v>
      </c>
      <c r="EM337" s="1083">
        <v>251.29187537700039</v>
      </c>
      <c r="EN337" s="1083">
        <v>232.98114640944033</v>
      </c>
      <c r="EO337" s="1083">
        <v>231.1186285974361</v>
      </c>
      <c r="EP337" s="1083">
        <v>277.87103588644271</v>
      </c>
      <c r="EQ337" s="1083">
        <v>283.54000335165927</v>
      </c>
      <c r="ER337" s="1083">
        <v>59.838018881661071</v>
      </c>
      <c r="ES337" s="1083">
        <v>114.43660398200899</v>
      </c>
      <c r="ET337" s="1083">
        <v>135.88391306426018</v>
      </c>
      <c r="EU337" s="1083">
        <v>177.70918919569516</v>
      </c>
      <c r="EV337" s="1083">
        <v>220.80105236559626</v>
      </c>
      <c r="EW337" s="1083">
        <v>251.48703734552419</v>
      </c>
      <c r="EX337" s="1329">
        <v>256.92377989754203</v>
      </c>
      <c r="EY337" s="1083">
        <v>258.80487790150738</v>
      </c>
      <c r="EZ337" s="1083">
        <v>249.294656333955</v>
      </c>
      <c r="FA337" s="1083">
        <v>218.44165691541673</v>
      </c>
      <c r="FB337" s="1083">
        <v>207.71162308487106</v>
      </c>
      <c r="FC337" s="1083">
        <v>235.98033522525668</v>
      </c>
      <c r="FD337" s="1083">
        <v>128.88554989012368</v>
      </c>
      <c r="FE337" s="1083">
        <v>149.90481071465149</v>
      </c>
      <c r="FF337" s="1083">
        <v>230.04764810603996</v>
      </c>
      <c r="FG337" s="1083">
        <v>244.66564885037496</v>
      </c>
      <c r="FH337" s="1083">
        <v>182.23768820135012</v>
      </c>
      <c r="FI337" s="1083">
        <v>266.67634879165826</v>
      </c>
      <c r="FJ337" s="1329">
        <v>160.67179270999327</v>
      </c>
      <c r="FK337" s="1083">
        <v>43.740910898677157</v>
      </c>
      <c r="FL337" s="1083">
        <v>62.121651693881745</v>
      </c>
      <c r="FM337" s="1083">
        <v>-41.156096326687361</v>
      </c>
      <c r="FN337" s="1083">
        <v>-17.662491594855737</v>
      </c>
      <c r="FO337" s="1083">
        <v>70.938930957003549</v>
      </c>
      <c r="FP337" s="1083">
        <v>-43.679781814728358</v>
      </c>
      <c r="FQ337" s="606">
        <v>-5.3259666848337019</v>
      </c>
      <c r="FR337" s="606">
        <v>97.201423804612887</v>
      </c>
      <c r="FS337" s="606">
        <v>80.371619263381149</v>
      </c>
      <c r="FT337" s="606">
        <v>55.262004592795051</v>
      </c>
      <c r="FU337" s="606">
        <v>147.08826247495369</v>
      </c>
      <c r="FV337" s="606">
        <v>303.37140877786965</v>
      </c>
      <c r="FW337" s="606">
        <v>226.55893480803195</v>
      </c>
      <c r="FX337" s="606">
        <v>149.40016286184732</v>
      </c>
      <c r="FY337" s="606">
        <v>236.57013005988063</v>
      </c>
      <c r="FZ337" s="606">
        <v>264.75954519420895</v>
      </c>
      <c r="GA337" s="606">
        <v>305.24979209069579</v>
      </c>
      <c r="GB337" s="606">
        <v>314.26547945020968</v>
      </c>
      <c r="GC337" s="606">
        <v>419.60007724596062</v>
      </c>
      <c r="GD337" s="606">
        <v>456.74093982463512</v>
      </c>
      <c r="GE337" s="606">
        <v>291.33076609928105</v>
      </c>
      <c r="GF337" s="606">
        <v>286.32311249183522</v>
      </c>
      <c r="GG337" s="606">
        <v>231.37950716299281</v>
      </c>
      <c r="GH337" s="606">
        <v>313.57584737449804</v>
      </c>
      <c r="GI337" s="606">
        <v>316.56591215774108</v>
      </c>
      <c r="GJ337" s="606">
        <v>542.16804053247938</v>
      </c>
      <c r="GK337" s="606">
        <v>616.76609535752186</v>
      </c>
      <c r="GL337" s="606">
        <v>618.76260753768929</v>
      </c>
      <c r="GM337" s="606">
        <v>749.9194107520334</v>
      </c>
      <c r="GN337" s="606">
        <v>695.37009781364463</v>
      </c>
      <c r="GO337" s="606">
        <v>774.75793283400401</v>
      </c>
      <c r="GP337" s="606">
        <v>809.25159688270367</v>
      </c>
      <c r="GQ337" s="606">
        <v>556.42053927755455</v>
      </c>
      <c r="GR337" s="606">
        <v>449.21835170799022</v>
      </c>
      <c r="GS337" s="606">
        <v>474.02126960303531</v>
      </c>
      <c r="GT337" s="606">
        <v>525.69592980226321</v>
      </c>
      <c r="GU337" s="606">
        <v>672.73812813017139</v>
      </c>
      <c r="GV337" s="606">
        <v>761.87069394758271</v>
      </c>
      <c r="GW337" s="606">
        <v>755.55865695913508</v>
      </c>
      <c r="GX337" s="606">
        <v>858.0034585694541</v>
      </c>
      <c r="GY337" s="606">
        <v>817.12970996406375</v>
      </c>
      <c r="GZ337" s="606">
        <v>508.15327754192322</v>
      </c>
      <c r="HA337" s="606">
        <v>712.64107100645322</v>
      </c>
      <c r="HB337" s="606">
        <v>755.80255907783169</v>
      </c>
      <c r="HC337" s="606">
        <v>657.87716160856019</v>
      </c>
      <c r="HD337" s="606">
        <v>652.5221480699189</v>
      </c>
      <c r="HE337" s="606">
        <v>752.55904083388475</v>
      </c>
      <c r="HF337" s="606">
        <v>606.48840910812135</v>
      </c>
      <c r="HG337" s="606">
        <v>718.80453004935509</v>
      </c>
      <c r="HH337" s="606">
        <v>844.97132095973279</v>
      </c>
      <c r="HI337" s="606">
        <v>871.74532806783543</v>
      </c>
      <c r="HJ337" s="606">
        <v>982.84211422282408</v>
      </c>
      <c r="HK337" s="606">
        <v>986.02360218446029</v>
      </c>
      <c r="HL337" s="606">
        <v>216.18234705134978</v>
      </c>
      <c r="HM337" s="606"/>
      <c r="HN337" s="606"/>
      <c r="HO337" s="606"/>
      <c r="HP337" s="606"/>
      <c r="HQ337" s="606"/>
      <c r="HR337" s="606"/>
      <c r="HS337" s="606"/>
      <c r="HT337" s="606"/>
      <c r="HU337" s="606"/>
      <c r="HV337" s="606"/>
      <c r="HW337" s="606"/>
      <c r="HX337" s="606"/>
      <c r="HY337" s="606"/>
      <c r="KT337" s="280"/>
    </row>
    <row r="338" spans="1:306" outlineLevel="1">
      <c r="A338" s="96" t="s">
        <v>372</v>
      </c>
      <c r="B338" s="96" t="s">
        <v>338</v>
      </c>
      <c r="D338" s="296" t="s">
        <v>3766</v>
      </c>
      <c r="E338" s="293"/>
      <c r="F338" s="293"/>
      <c r="G338" s="293"/>
      <c r="H338" s="293"/>
      <c r="I338" s="293"/>
      <c r="J338" s="293"/>
      <c r="K338" s="293"/>
      <c r="L338" s="293"/>
      <c r="M338" s="293"/>
      <c r="N338" s="293"/>
      <c r="O338" s="293"/>
      <c r="P338" s="293"/>
      <c r="Q338" s="293"/>
      <c r="R338" s="293"/>
      <c r="S338" s="293"/>
      <c r="T338" s="293"/>
      <c r="U338" s="293"/>
      <c r="V338" s="293"/>
      <c r="W338" s="293"/>
      <c r="X338" s="293"/>
      <c r="Y338" s="293"/>
      <c r="Z338" s="293"/>
      <c r="AA338" s="293"/>
      <c r="AB338" s="293"/>
      <c r="AC338" s="293"/>
      <c r="AD338" s="293"/>
      <c r="AE338" s="293"/>
      <c r="AF338" s="293"/>
      <c r="AG338" s="293"/>
      <c r="AH338" s="293"/>
      <c r="AI338" s="293"/>
      <c r="AJ338" s="293"/>
      <c r="AK338" s="293"/>
      <c r="AL338" s="293"/>
      <c r="AM338" s="293"/>
      <c r="AN338" s="293">
        <v>84.347031560000005</v>
      </c>
      <c r="AO338" s="293">
        <v>71.148633560000007</v>
      </c>
      <c r="AP338" s="293">
        <v>81.855825383999999</v>
      </c>
      <c r="AQ338" s="293">
        <v>92.481823165999998</v>
      </c>
      <c r="AR338" s="293">
        <v>102.07795087</v>
      </c>
      <c r="AS338" s="293">
        <v>125.999129197</v>
      </c>
      <c r="AT338" s="293">
        <v>97.811308843999996</v>
      </c>
      <c r="AU338" s="293">
        <v>100.609786294</v>
      </c>
      <c r="AV338" s="293">
        <v>122.51019702799999</v>
      </c>
      <c r="AW338" s="293">
        <v>100.87192718099999</v>
      </c>
      <c r="AX338" s="293">
        <v>92.695393607</v>
      </c>
      <c r="AY338" s="293">
        <v>128.26429424700001</v>
      </c>
      <c r="AZ338" s="293">
        <v>143.901982296</v>
      </c>
      <c r="BA338" s="293">
        <v>130.71668885700001</v>
      </c>
      <c r="BB338" s="293">
        <v>148.620246006</v>
      </c>
      <c r="BC338" s="293">
        <v>156.974220006</v>
      </c>
      <c r="BD338" s="293">
        <v>126.085018021</v>
      </c>
      <c r="BE338" s="293">
        <v>144.439602799</v>
      </c>
      <c r="BF338" s="293">
        <v>175.31526647245261</v>
      </c>
      <c r="BG338" s="293">
        <v>138.46863570700003</v>
      </c>
      <c r="BH338" s="293">
        <v>132.99405414700001</v>
      </c>
      <c r="BI338" s="293">
        <v>129.251400012</v>
      </c>
      <c r="BJ338" s="293">
        <v>127.08892901200002</v>
      </c>
      <c r="BK338" s="293">
        <v>142.19910441638001</v>
      </c>
      <c r="BL338" s="293">
        <v>118.816936</v>
      </c>
      <c r="BM338" s="293">
        <v>116.64292099999999</v>
      </c>
      <c r="BN338" s="293">
        <v>108.15172799999999</v>
      </c>
      <c r="BO338" s="293">
        <v>95.617458999999997</v>
      </c>
      <c r="BP338" s="293">
        <v>119.66772700000001</v>
      </c>
      <c r="BQ338" s="293">
        <v>158.726944</v>
      </c>
      <c r="BR338" s="293">
        <v>142.678169</v>
      </c>
      <c r="BS338" s="293">
        <v>124.89591300000001</v>
      </c>
      <c r="BT338" s="293">
        <v>130.250302</v>
      </c>
      <c r="BU338" s="293">
        <v>116.9328332</v>
      </c>
      <c r="BV338" s="293">
        <v>108.18710300000001</v>
      </c>
      <c r="BW338" s="293">
        <v>99.904561999999999</v>
      </c>
      <c r="BX338" s="293">
        <v>106.46562900000001</v>
      </c>
      <c r="BY338" s="293">
        <v>124.01933099999999</v>
      </c>
      <c r="BZ338" s="293">
        <v>121.49953699999999</v>
      </c>
      <c r="CA338" s="293">
        <v>127.88905499999998</v>
      </c>
      <c r="CB338" s="293">
        <v>131.96559699999997</v>
      </c>
      <c r="CC338" s="293">
        <v>122.76741200000001</v>
      </c>
      <c r="CD338" s="293">
        <v>150.31938999999997</v>
      </c>
      <c r="CE338" s="294">
        <v>154.54665799999998</v>
      </c>
      <c r="CF338" s="293">
        <v>167.30282099999999</v>
      </c>
      <c r="CG338" s="293">
        <v>165.628342</v>
      </c>
      <c r="CH338" s="293">
        <v>175.57156600000002</v>
      </c>
      <c r="CI338" s="293">
        <v>190.644586</v>
      </c>
      <c r="CJ338" s="293">
        <v>193.72552099999996</v>
      </c>
      <c r="CK338" s="293">
        <v>193.20894940335967</v>
      </c>
      <c r="CL338" s="293">
        <v>192.09349170661866</v>
      </c>
      <c r="CM338" s="293">
        <v>195.45850189488408</v>
      </c>
      <c r="CN338" s="293">
        <v>196.17035339597379</v>
      </c>
      <c r="CO338" s="293">
        <v>207.2208</v>
      </c>
      <c r="CP338" s="295">
        <v>204.74185975791875</v>
      </c>
      <c r="CQ338" s="293">
        <v>204.19466829645359</v>
      </c>
      <c r="CR338" s="293">
        <v>211.11023638920292</v>
      </c>
      <c r="CS338" s="293">
        <v>217.82374620628843</v>
      </c>
      <c r="CT338" s="293">
        <v>239.89272170758892</v>
      </c>
      <c r="CU338" s="293">
        <v>224.85068030274684</v>
      </c>
      <c r="CV338" s="293">
        <v>222.34580334599616</v>
      </c>
      <c r="CW338" s="293">
        <v>225.06115197807881</v>
      </c>
      <c r="CX338" s="293">
        <v>232.65169059129684</v>
      </c>
      <c r="CY338" s="293">
        <v>231.40109748304963</v>
      </c>
      <c r="CZ338" s="293">
        <v>233.12940251354823</v>
      </c>
      <c r="DA338" s="293">
        <v>265.83976442499227</v>
      </c>
      <c r="DB338" s="1288">
        <v>287.026450698058</v>
      </c>
      <c r="DC338" s="293">
        <v>304.51999026117437</v>
      </c>
      <c r="DD338" s="293">
        <v>332.91196703110961</v>
      </c>
      <c r="DE338" s="293">
        <v>323.02819617666569</v>
      </c>
      <c r="DF338" s="293">
        <v>320.12204575042654</v>
      </c>
      <c r="DG338" s="293">
        <v>317.08113602290535</v>
      </c>
      <c r="DH338" s="293">
        <v>304.0536812783451</v>
      </c>
      <c r="DI338" s="293">
        <v>300.77638204412796</v>
      </c>
      <c r="DJ338" s="293">
        <v>305.22311111461778</v>
      </c>
      <c r="DK338" s="293">
        <v>315.70797831450204</v>
      </c>
      <c r="DL338" s="293">
        <v>285.86461109436038</v>
      </c>
      <c r="DM338" s="293">
        <v>299.69431951615775</v>
      </c>
      <c r="DN338" s="295">
        <v>318.26759736565992</v>
      </c>
      <c r="DO338" s="293">
        <v>317.90671806902731</v>
      </c>
      <c r="DP338" s="293">
        <v>335.61974912185997</v>
      </c>
      <c r="DQ338" s="293">
        <v>299.94877318269255</v>
      </c>
      <c r="DR338" s="293">
        <v>290.39825131459651</v>
      </c>
      <c r="DS338" s="293">
        <v>311.53112523460538</v>
      </c>
      <c r="DT338" s="293">
        <v>284.50378182527243</v>
      </c>
      <c r="DU338" s="293">
        <v>291.67629989413933</v>
      </c>
      <c r="DV338" s="293">
        <v>299.23647032889454</v>
      </c>
      <c r="DW338" s="293">
        <v>319.67291196986633</v>
      </c>
      <c r="DX338" s="293">
        <v>317.41356503437783</v>
      </c>
      <c r="DY338" s="293">
        <v>317.19414101459921</v>
      </c>
      <c r="DZ338" s="295">
        <v>344.44386704052943</v>
      </c>
      <c r="EA338" s="293">
        <v>360.43939341839962</v>
      </c>
      <c r="EB338" s="293">
        <v>395.71520117695565</v>
      </c>
      <c r="EC338" s="293">
        <v>408.09114878788728</v>
      </c>
      <c r="ED338" s="293">
        <v>393.81612339360993</v>
      </c>
      <c r="EE338" s="293">
        <v>403.72794388930595</v>
      </c>
      <c r="EF338" s="293">
        <v>379.38229651247417</v>
      </c>
      <c r="EG338" s="293">
        <v>479.00098612048896</v>
      </c>
      <c r="EH338" s="293">
        <v>483.59395168454932</v>
      </c>
      <c r="EI338" s="293">
        <v>474.58037776398317</v>
      </c>
      <c r="EJ338" s="293">
        <v>450.26892701745288</v>
      </c>
      <c r="EK338" s="293">
        <v>476.52565554177562</v>
      </c>
      <c r="EL338" s="295">
        <v>491.86827124235361</v>
      </c>
      <c r="EM338" s="1080">
        <v>506.3914637388001</v>
      </c>
      <c r="EN338" s="1080">
        <v>523.29341969903862</v>
      </c>
      <c r="EO338" s="1080">
        <v>523.33982911117369</v>
      </c>
      <c r="EP338" s="1080">
        <v>534.28191965148244</v>
      </c>
      <c r="EQ338" s="1080">
        <v>533.82616670980065</v>
      </c>
      <c r="ER338" s="1080">
        <v>443.14919493892114</v>
      </c>
      <c r="ES338" s="1080">
        <v>459.39308833391601</v>
      </c>
      <c r="ET338" s="1080">
        <v>460.71725732111088</v>
      </c>
      <c r="EU338" s="1080">
        <v>474.19544774203598</v>
      </c>
      <c r="EV338" s="1080">
        <v>502.32633273098133</v>
      </c>
      <c r="EW338" s="1080">
        <v>508.1038860257604</v>
      </c>
      <c r="EX338" s="1340">
        <v>537.74071897013675</v>
      </c>
      <c r="EY338" s="1080">
        <v>530.79116472425596</v>
      </c>
      <c r="EZ338" s="1080">
        <v>540.41293787206757</v>
      </c>
      <c r="FA338" s="1080">
        <v>532.35461094211598</v>
      </c>
      <c r="FB338" s="1080">
        <v>546.06439749511264</v>
      </c>
      <c r="FC338" s="1080">
        <v>560.06489370341285</v>
      </c>
      <c r="FD338" s="1080">
        <v>582.64890022300608</v>
      </c>
      <c r="FE338" s="1080">
        <v>617.80204128615014</v>
      </c>
      <c r="FF338" s="1080">
        <v>652.11828692858046</v>
      </c>
      <c r="FG338" s="1080">
        <v>672.68334389684549</v>
      </c>
      <c r="FH338" s="1080">
        <v>694.02611294087433</v>
      </c>
      <c r="FI338" s="1080">
        <v>709.64280610627441</v>
      </c>
      <c r="FJ338" s="1340">
        <v>749.03118975422262</v>
      </c>
      <c r="FK338" s="1080">
        <v>751.32787603583085</v>
      </c>
      <c r="FL338" s="1080">
        <v>775.63925737515831</v>
      </c>
      <c r="FM338" s="1080">
        <v>771.05602633105764</v>
      </c>
      <c r="FN338" s="1080">
        <v>785.49179699997478</v>
      </c>
      <c r="FO338" s="1080">
        <v>798.07090992664018</v>
      </c>
      <c r="FP338" s="1080">
        <v>829.69767762535901</v>
      </c>
      <c r="FQ338" s="293">
        <v>831.92711364215916</v>
      </c>
      <c r="FR338" s="293">
        <v>843.68165894510503</v>
      </c>
      <c r="FS338" s="293">
        <v>864.06122720551798</v>
      </c>
      <c r="FT338" s="293">
        <v>874.7579864214805</v>
      </c>
      <c r="FU338" s="293">
        <v>869.28915559534528</v>
      </c>
      <c r="FV338" s="293">
        <v>934.89482682505763</v>
      </c>
      <c r="FW338" s="293">
        <v>936.60459747137566</v>
      </c>
      <c r="FX338" s="293">
        <v>1010.2196268948492</v>
      </c>
      <c r="FY338" s="293">
        <v>987.94140439836303</v>
      </c>
      <c r="FZ338" s="293">
        <v>999.00222809627303</v>
      </c>
      <c r="GA338" s="293">
        <v>1043.7710589927838</v>
      </c>
      <c r="GB338" s="293">
        <v>1087.860474778523</v>
      </c>
      <c r="GC338" s="293">
        <v>1084.7081056203469</v>
      </c>
      <c r="GD338" s="293">
        <v>1086.5604009133419</v>
      </c>
      <c r="GE338" s="293">
        <v>1111.088501910702</v>
      </c>
      <c r="GF338" s="293">
        <v>1128.910304682111</v>
      </c>
      <c r="GG338" s="293">
        <v>1137.9666844395681</v>
      </c>
      <c r="GH338" s="293">
        <v>1153.8088166893049</v>
      </c>
      <c r="GI338" s="293">
        <v>1175.6828240072773</v>
      </c>
      <c r="GJ338" s="293">
        <v>1250.4840209679192</v>
      </c>
      <c r="GK338" s="293">
        <v>1292.4382667584284</v>
      </c>
      <c r="GL338" s="293">
        <v>1264.7236266839491</v>
      </c>
      <c r="GM338" s="293">
        <v>1377.5728174743203</v>
      </c>
      <c r="GN338" s="293">
        <v>1398.6897875407396</v>
      </c>
      <c r="GO338" s="293">
        <v>1334.6310426391703</v>
      </c>
      <c r="GP338" s="293">
        <v>1305.6255000737801</v>
      </c>
      <c r="GQ338" s="293">
        <v>1260.5938692774002</v>
      </c>
      <c r="GR338" s="293">
        <v>1280.0316482112198</v>
      </c>
      <c r="GS338" s="293">
        <v>1285.065603684003</v>
      </c>
      <c r="GT338" s="293">
        <v>1288.084919774743</v>
      </c>
      <c r="GU338" s="293">
        <v>1364.4276869125781</v>
      </c>
      <c r="GV338" s="293">
        <v>1352.9666143526094</v>
      </c>
      <c r="GW338" s="293">
        <v>1351.9747720919631</v>
      </c>
      <c r="GX338" s="293">
        <v>1383.6856685549531</v>
      </c>
      <c r="GY338" s="293">
        <v>1388.8012055773729</v>
      </c>
      <c r="GZ338" s="293">
        <v>1405.779446626455</v>
      </c>
      <c r="HA338" s="293">
        <v>1350.4887846376741</v>
      </c>
      <c r="HB338" s="293">
        <v>1303.2519702223506</v>
      </c>
      <c r="HC338" s="293">
        <v>1312.4106618818146</v>
      </c>
      <c r="HD338" s="293">
        <v>1329.8504362603749</v>
      </c>
      <c r="HE338" s="293">
        <v>1343.4619632838881</v>
      </c>
      <c r="HF338" s="293">
        <v>1338.7888522083949</v>
      </c>
      <c r="HG338" s="293">
        <v>1351.0966026961091</v>
      </c>
      <c r="HH338" s="293">
        <v>1443.2632511949951</v>
      </c>
      <c r="HI338" s="293">
        <v>1508.9646655018621</v>
      </c>
      <c r="HJ338" s="293">
        <v>1559.9851334049577</v>
      </c>
      <c r="HK338" s="293">
        <v>1611.4574904105184</v>
      </c>
      <c r="HL338" s="293">
        <v>1621.4142430375164</v>
      </c>
      <c r="HM338" s="293">
        <v>1610.0614857650776</v>
      </c>
      <c r="HN338" s="293">
        <v>1564.8873229917815</v>
      </c>
      <c r="HO338" s="293">
        <v>1516.0362455421309</v>
      </c>
      <c r="HP338" s="293">
        <v>1541.8464522374561</v>
      </c>
      <c r="HQ338" s="293">
        <v>1528.9960927340928</v>
      </c>
      <c r="HR338" s="293">
        <v>1570.7535103267157</v>
      </c>
      <c r="HS338" s="293">
        <v>1726.6359966630944</v>
      </c>
      <c r="HT338" s="293">
        <v>1753.9483468626051</v>
      </c>
      <c r="HU338" s="293">
        <v>1794.4563338567573</v>
      </c>
      <c r="HV338" s="293">
        <v>1829.7816305047074</v>
      </c>
      <c r="HW338" s="293">
        <v>1857.9091350763892</v>
      </c>
      <c r="HX338" s="293">
        <v>1863.4491699335927</v>
      </c>
      <c r="HY338" s="293"/>
      <c r="KT338" s="280"/>
    </row>
    <row r="339" spans="1:306" outlineLevel="1">
      <c r="D339" s="300" t="s">
        <v>3768</v>
      </c>
      <c r="E339" s="293"/>
      <c r="F339" s="293"/>
      <c r="G339" s="293"/>
      <c r="H339" s="293"/>
      <c r="I339" s="293"/>
      <c r="J339" s="293"/>
      <c r="K339" s="293"/>
      <c r="L339" s="293"/>
      <c r="M339" s="293"/>
      <c r="N339" s="293"/>
      <c r="O339" s="293"/>
      <c r="P339" s="293"/>
      <c r="Q339" s="293"/>
      <c r="R339" s="293"/>
      <c r="S339" s="293"/>
      <c r="T339" s="293"/>
      <c r="U339" s="293"/>
      <c r="V339" s="293"/>
      <c r="W339" s="293"/>
      <c r="X339" s="293"/>
      <c r="Y339" s="29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c r="BN339" s="293"/>
      <c r="BO339" s="293"/>
      <c r="BP339" s="293"/>
      <c r="BQ339" s="293"/>
      <c r="BR339" s="293"/>
      <c r="BS339" s="293"/>
      <c r="BT339" s="293"/>
      <c r="BU339" s="293"/>
      <c r="BV339" s="293"/>
      <c r="BW339" s="293"/>
      <c r="BX339" s="293"/>
      <c r="BY339" s="293"/>
      <c r="BZ339" s="293"/>
      <c r="CA339" s="293"/>
      <c r="CB339" s="293"/>
      <c r="CC339" s="293"/>
      <c r="CD339" s="293"/>
      <c r="CE339" s="294"/>
      <c r="CF339" s="293"/>
      <c r="CG339" s="293"/>
      <c r="CH339" s="293"/>
      <c r="CI339" s="293"/>
      <c r="CJ339" s="293"/>
      <c r="CK339" s="293"/>
      <c r="CL339" s="293"/>
      <c r="CM339" s="293"/>
      <c r="CN339" s="293"/>
      <c r="CO339" s="293"/>
      <c r="CP339" s="295"/>
      <c r="CQ339" s="293"/>
      <c r="CR339" s="293"/>
      <c r="CS339" s="293"/>
      <c r="CT339" s="293"/>
      <c r="CU339" s="293"/>
      <c r="CV339" s="293"/>
      <c r="CW339" s="293"/>
      <c r="CX339" s="293"/>
      <c r="CY339" s="293"/>
      <c r="CZ339" s="293"/>
      <c r="DA339" s="293"/>
      <c r="DB339" s="1288"/>
      <c r="DC339" s="293"/>
      <c r="DD339" s="293"/>
      <c r="DE339" s="293"/>
      <c r="DF339" s="293"/>
      <c r="DG339" s="293"/>
      <c r="DH339" s="293"/>
      <c r="DI339" s="293"/>
      <c r="DJ339" s="293"/>
      <c r="DK339" s="293"/>
      <c r="DL339" s="293"/>
      <c r="DM339" s="293"/>
      <c r="DN339" s="295"/>
      <c r="DO339" s="293"/>
      <c r="DP339" s="293"/>
      <c r="DQ339" s="293"/>
      <c r="DR339" s="293"/>
      <c r="DS339" s="293"/>
      <c r="DT339" s="293"/>
      <c r="DU339" s="293"/>
      <c r="DV339" s="293"/>
      <c r="DW339" s="293"/>
      <c r="DX339" s="293"/>
      <c r="DY339" s="293"/>
      <c r="DZ339" s="295"/>
      <c r="EA339" s="293"/>
      <c r="EB339" s="293"/>
      <c r="EC339" s="293"/>
      <c r="ED339" s="293"/>
      <c r="EE339" s="293"/>
      <c r="EF339" s="293"/>
      <c r="EG339" s="293"/>
      <c r="EH339" s="293"/>
      <c r="EI339" s="293"/>
      <c r="EJ339" s="293"/>
      <c r="EK339" s="293"/>
      <c r="EL339" s="295"/>
      <c r="EM339" s="1080"/>
      <c r="EN339" s="1080"/>
      <c r="EO339" s="1080"/>
      <c r="EP339" s="1080"/>
      <c r="EQ339" s="1080"/>
      <c r="ER339" s="1080"/>
      <c r="ES339" s="1080"/>
      <c r="ET339" s="1080"/>
      <c r="EU339" s="1080"/>
      <c r="EV339" s="1080"/>
      <c r="EW339" s="1080"/>
      <c r="EX339" s="1340"/>
      <c r="EY339" s="1080"/>
      <c r="EZ339" s="1080"/>
      <c r="FA339" s="1080"/>
      <c r="FB339" s="1080"/>
      <c r="FC339" s="1080"/>
      <c r="FD339" s="1080"/>
      <c r="FE339" s="1080"/>
      <c r="FF339" s="1080"/>
      <c r="FG339" s="1080"/>
      <c r="FH339" s="1080"/>
      <c r="FI339" s="1080"/>
      <c r="FJ339" s="1340"/>
      <c r="FK339" s="1080"/>
      <c r="FL339" s="1080"/>
      <c r="FM339" s="1080"/>
      <c r="FN339" s="1080"/>
      <c r="FO339" s="1080"/>
      <c r="FP339" s="1080"/>
      <c r="FQ339" s="293"/>
      <c r="FR339" s="293"/>
      <c r="FS339" s="293"/>
      <c r="FT339" s="293"/>
      <c r="FU339" s="293"/>
      <c r="FV339" s="293"/>
      <c r="FW339" s="293"/>
      <c r="FX339" s="293"/>
      <c r="FY339" s="293"/>
      <c r="FZ339" s="293"/>
      <c r="GA339" s="293"/>
      <c r="GB339" s="293"/>
      <c r="GC339" s="293"/>
      <c r="GD339" s="293"/>
      <c r="GE339" s="293"/>
      <c r="GF339" s="293"/>
      <c r="GG339" s="293"/>
      <c r="GH339" s="293"/>
      <c r="GI339" s="293"/>
      <c r="GJ339" s="293"/>
      <c r="GK339" s="293"/>
      <c r="GL339" s="293"/>
      <c r="GM339" s="293"/>
      <c r="GN339" s="293"/>
      <c r="GO339" s="293"/>
      <c r="GP339" s="293"/>
      <c r="GQ339" s="293"/>
      <c r="GR339" s="293"/>
      <c r="GS339" s="293"/>
      <c r="GT339" s="293"/>
      <c r="GU339" s="293"/>
      <c r="GV339" s="293"/>
      <c r="GW339" s="293"/>
      <c r="GX339" s="293"/>
      <c r="GY339" s="293"/>
      <c r="GZ339" s="293"/>
      <c r="HA339" s="293"/>
      <c r="HB339" s="293"/>
      <c r="HC339" s="293"/>
      <c r="HD339" s="293"/>
      <c r="HE339" s="293"/>
      <c r="HF339" s="293"/>
      <c r="HG339" s="293"/>
      <c r="HH339" s="293"/>
      <c r="HI339" s="293"/>
      <c r="HJ339" s="293"/>
      <c r="HK339" s="293"/>
      <c r="HL339" s="293"/>
      <c r="HM339" s="293"/>
      <c r="HN339" s="293"/>
      <c r="HO339" s="293"/>
      <c r="HP339" s="293"/>
      <c r="HQ339" s="293"/>
      <c r="HR339" s="293"/>
      <c r="HS339" s="293"/>
      <c r="HT339" s="293"/>
      <c r="HU339" s="293"/>
      <c r="HV339" s="293"/>
      <c r="HW339" s="293"/>
      <c r="HX339" s="293"/>
      <c r="HY339" s="293"/>
      <c r="KT339" s="280"/>
    </row>
    <row r="340" spans="1:306" outlineLevel="1">
      <c r="D340" s="2127" t="s">
        <v>3767</v>
      </c>
      <c r="E340" s="293"/>
      <c r="F340" s="293"/>
      <c r="G340" s="293"/>
      <c r="H340" s="293"/>
      <c r="I340" s="293"/>
      <c r="J340" s="293"/>
      <c r="K340" s="293"/>
      <c r="L340" s="293"/>
      <c r="M340" s="293"/>
      <c r="N340" s="293"/>
      <c r="O340" s="293"/>
      <c r="P340" s="293"/>
      <c r="Q340" s="293"/>
      <c r="R340" s="293"/>
      <c r="S340" s="293"/>
      <c r="T340" s="293"/>
      <c r="U340" s="293"/>
      <c r="V340" s="293"/>
      <c r="W340" s="293"/>
      <c r="X340" s="293"/>
      <c r="Y340" s="29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c r="BN340" s="293"/>
      <c r="BO340" s="293"/>
      <c r="BP340" s="293"/>
      <c r="BQ340" s="293"/>
      <c r="BR340" s="293"/>
      <c r="BS340" s="293"/>
      <c r="BT340" s="293"/>
      <c r="BU340" s="293"/>
      <c r="BV340" s="293"/>
      <c r="BW340" s="293"/>
      <c r="BX340" s="293"/>
      <c r="BY340" s="293"/>
      <c r="BZ340" s="293"/>
      <c r="CA340" s="293"/>
      <c r="CB340" s="293"/>
      <c r="CC340" s="293"/>
      <c r="CD340" s="293"/>
      <c r="CE340" s="294"/>
      <c r="CF340" s="293"/>
      <c r="CG340" s="293"/>
      <c r="CH340" s="293"/>
      <c r="CI340" s="293"/>
      <c r="CJ340" s="293"/>
      <c r="CK340" s="293"/>
      <c r="CL340" s="293"/>
      <c r="CM340" s="293"/>
      <c r="CN340" s="293"/>
      <c r="CO340" s="293"/>
      <c r="CP340" s="295"/>
      <c r="CQ340" s="293"/>
      <c r="CR340" s="293"/>
      <c r="CS340" s="293"/>
      <c r="CT340" s="293"/>
      <c r="CU340" s="293"/>
      <c r="CV340" s="293"/>
      <c r="CW340" s="293"/>
      <c r="CX340" s="293"/>
      <c r="CY340" s="293"/>
      <c r="CZ340" s="293"/>
      <c r="DA340" s="293"/>
      <c r="DB340" s="1288"/>
      <c r="DC340" s="293">
        <v>48.741799999999998</v>
      </c>
      <c r="DD340" s="293">
        <v>72.772800000000004</v>
      </c>
      <c r="DE340" s="293">
        <v>64.927999999999997</v>
      </c>
      <c r="DF340" s="293">
        <v>57.739000000000004</v>
      </c>
      <c r="DG340" s="293">
        <v>48.790000000000006</v>
      </c>
      <c r="DH340" s="293">
        <v>38.572000000000003</v>
      </c>
      <c r="DI340" s="293">
        <v>41.635068167000007</v>
      </c>
      <c r="DJ340" s="293">
        <v>38.572809999999997</v>
      </c>
      <c r="DK340" s="293">
        <v>39.759438613</v>
      </c>
      <c r="DL340" s="293">
        <v>38.071109999999997</v>
      </c>
      <c r="DM340" s="293">
        <v>38.071109999999997</v>
      </c>
      <c r="DN340" s="295">
        <v>43.125323700000003</v>
      </c>
      <c r="DO340" s="293">
        <v>45.913110000000003</v>
      </c>
      <c r="DP340" s="293">
        <v>75.489109999999997</v>
      </c>
      <c r="DQ340" s="293">
        <v>58.129109999999997</v>
      </c>
      <c r="DR340" s="293">
        <v>58.348109999999998</v>
      </c>
      <c r="DS340" s="293">
        <v>72.923189584000013</v>
      </c>
      <c r="DT340" s="293">
        <v>37.525739999999999</v>
      </c>
      <c r="DU340" s="293">
        <v>47.858739999999997</v>
      </c>
      <c r="DV340" s="293">
        <v>56.665869999999998</v>
      </c>
      <c r="DW340" s="293">
        <v>66.819739999999996</v>
      </c>
      <c r="DX340" s="293">
        <v>71.391739999999984</v>
      </c>
      <c r="DY340" s="293">
        <v>67.41073999999999</v>
      </c>
      <c r="DZ340" s="295">
        <v>79.145739999999989</v>
      </c>
      <c r="EA340" s="293">
        <v>46.379739999999998</v>
      </c>
      <c r="EB340" s="293">
        <v>66.607739999999993</v>
      </c>
      <c r="EC340" s="293">
        <v>66.031739999999985</v>
      </c>
      <c r="ED340" s="293">
        <v>50.506540000000001</v>
      </c>
      <c r="EE340" s="293">
        <v>69.174540000000007</v>
      </c>
      <c r="EF340" s="293">
        <v>37.322540000000004</v>
      </c>
      <c r="EG340" s="293">
        <v>128.49965037501462</v>
      </c>
      <c r="EH340" s="293">
        <v>129.74471809349106</v>
      </c>
      <c r="EI340" s="293">
        <v>121.92347813422316</v>
      </c>
      <c r="EJ340" s="293">
        <v>117.60249128340757</v>
      </c>
      <c r="EK340" s="293">
        <v>136.27266471308133</v>
      </c>
      <c r="EL340" s="295">
        <v>135.16777485384654</v>
      </c>
      <c r="EM340" s="1080">
        <v>147.84619697668228</v>
      </c>
      <c r="EN340" s="1080">
        <v>139.40138385509329</v>
      </c>
      <c r="EO340" s="1080">
        <v>135.53904096819446</v>
      </c>
      <c r="EP340" s="1080">
        <v>145.22133263336343</v>
      </c>
      <c r="EQ340" s="1080">
        <v>164.29632574201491</v>
      </c>
      <c r="ER340" s="1080">
        <v>87.286523993999992</v>
      </c>
      <c r="ES340" s="1080">
        <v>90.295367916000004</v>
      </c>
      <c r="ET340" s="1080">
        <v>87.669719580549952</v>
      </c>
      <c r="EU340" s="1080">
        <v>88.002205191576024</v>
      </c>
      <c r="EV340" s="1080">
        <v>88.021042312961328</v>
      </c>
      <c r="EW340" s="1080">
        <v>94.981262934241357</v>
      </c>
      <c r="EX340" s="1340">
        <v>88.290439494118829</v>
      </c>
      <c r="EY340" s="1080">
        <v>107.12922268285106</v>
      </c>
      <c r="EZ340" s="1080">
        <v>110.57888683078964</v>
      </c>
      <c r="FA340" s="1080">
        <v>98.98765580909901</v>
      </c>
      <c r="FB340" s="1080">
        <v>100.40450536973756</v>
      </c>
      <c r="FC340" s="1080">
        <v>85.243838848216768</v>
      </c>
      <c r="FD340" s="1080">
        <v>85.484326535909048</v>
      </c>
      <c r="FE340" s="1080">
        <v>85.691675807131134</v>
      </c>
      <c r="FF340" s="1080">
        <v>85.872860260797594</v>
      </c>
      <c r="FG340" s="1080">
        <v>85.959053780603412</v>
      </c>
      <c r="FH340" s="1080">
        <v>86.018631528689298</v>
      </c>
      <c r="FI340" s="1080">
        <v>86.004996057954386</v>
      </c>
      <c r="FJ340" s="1340">
        <v>86.209508847676631</v>
      </c>
      <c r="FK340" s="1080">
        <v>86.592767641868676</v>
      </c>
      <c r="FL340" s="1080">
        <v>86.953768533689328</v>
      </c>
      <c r="FM340" s="1080">
        <v>79.803782255851488</v>
      </c>
      <c r="FN340" s="1080">
        <v>80.177859264350687</v>
      </c>
      <c r="FO340" s="1080">
        <v>80.352478070332069</v>
      </c>
      <c r="FP340" s="1080">
        <v>80.586619423205889</v>
      </c>
      <c r="FQ340" s="293">
        <v>80.744120921752156</v>
      </c>
      <c r="FR340" s="293">
        <v>80.846433506741789</v>
      </c>
      <c r="FS340" s="293">
        <v>80.980593360121162</v>
      </c>
      <c r="FT340" s="293">
        <v>81.145684646627586</v>
      </c>
      <c r="FU340" s="293">
        <v>81.143586427439345</v>
      </c>
      <c r="FV340" s="293">
        <v>81.307641247836671</v>
      </c>
      <c r="FW340" s="293">
        <v>81.473427841609634</v>
      </c>
      <c r="FX340" s="293">
        <v>119.20556910207313</v>
      </c>
      <c r="FY340" s="293">
        <v>112.52827814356726</v>
      </c>
      <c r="FZ340" s="293">
        <v>114.04303921021311</v>
      </c>
      <c r="GA340" s="293">
        <v>114.42271000000001</v>
      </c>
      <c r="GB340" s="293">
        <v>114.72924999999999</v>
      </c>
      <c r="GC340" s="293">
        <v>115.00585000000001</v>
      </c>
      <c r="GD340" s="293">
        <v>115.59132000000001</v>
      </c>
      <c r="GE340" s="293">
        <v>115.89031</v>
      </c>
      <c r="GF340" s="293">
        <v>116.02865000000001</v>
      </c>
      <c r="GG340" s="293">
        <v>116.23447999999999</v>
      </c>
      <c r="GH340" s="293">
        <v>116.45761</v>
      </c>
      <c r="GI340" s="293">
        <v>116.87569000000001</v>
      </c>
      <c r="GJ340" s="293">
        <v>117.21254</v>
      </c>
      <c r="GK340" s="293">
        <v>106.87901999999998</v>
      </c>
      <c r="GL340" s="293">
        <v>106.73985999999999</v>
      </c>
      <c r="GM340" s="293">
        <v>107.97825</v>
      </c>
      <c r="GN340" s="293">
        <v>109.62828</v>
      </c>
      <c r="GO340" s="293">
        <v>111.27509999999999</v>
      </c>
      <c r="GP340" s="293">
        <v>111.75076999999999</v>
      </c>
      <c r="GQ340" s="293">
        <v>113.34752999999999</v>
      </c>
      <c r="GR340" s="293">
        <v>114.88074999999999</v>
      </c>
      <c r="GS340" s="293">
        <v>116.81387999999998</v>
      </c>
      <c r="GT340" s="293">
        <v>120.36933000000001</v>
      </c>
      <c r="GU340" s="293">
        <v>122.06509999999999</v>
      </c>
      <c r="GV340" s="293">
        <v>121.29101</v>
      </c>
      <c r="GW340" s="293">
        <v>119.36275999999999</v>
      </c>
      <c r="GX340" s="293">
        <v>121.22064999999999</v>
      </c>
      <c r="GY340" s="293">
        <v>123.29471000000001</v>
      </c>
      <c r="GZ340" s="293">
        <v>125.51711999999999</v>
      </c>
      <c r="HA340" s="293">
        <v>127.08816</v>
      </c>
      <c r="HB340" s="293">
        <v>125.00538</v>
      </c>
      <c r="HC340" s="293">
        <v>126.32037</v>
      </c>
      <c r="HD340" s="293">
        <v>127.29629</v>
      </c>
      <c r="HE340" s="293">
        <v>126.62769</v>
      </c>
      <c r="HF340" s="293">
        <v>127.97038999999999</v>
      </c>
      <c r="HG340" s="293">
        <v>129.12107</v>
      </c>
      <c r="HH340" s="293">
        <v>127.93961999999999</v>
      </c>
      <c r="HI340" s="293">
        <v>129.52975000000001</v>
      </c>
      <c r="HJ340" s="293">
        <v>131.56632000000002</v>
      </c>
      <c r="HK340" s="293">
        <v>133.25452999999999</v>
      </c>
      <c r="HL340" s="293">
        <v>134.70258999999999</v>
      </c>
      <c r="HM340" s="293">
        <v>136.31151</v>
      </c>
      <c r="HN340" s="293">
        <v>134.41776999999999</v>
      </c>
      <c r="HO340" s="293">
        <v>135.87751</v>
      </c>
      <c r="HP340" s="293">
        <v>136.61985000000001</v>
      </c>
      <c r="HQ340" s="293">
        <v>137.44215</v>
      </c>
      <c r="HR340" s="293">
        <v>139.27704999999997</v>
      </c>
      <c r="HS340" s="293">
        <v>140.61243999999999</v>
      </c>
      <c r="HT340" s="293">
        <v>137.94789</v>
      </c>
      <c r="HU340" s="293">
        <v>138.74168</v>
      </c>
      <c r="HV340" s="293">
        <v>139.48495</v>
      </c>
      <c r="HW340" s="293">
        <v>140.19636</v>
      </c>
      <c r="HX340" s="293">
        <v>140.91626000000002</v>
      </c>
      <c r="HY340" s="293"/>
      <c r="KT340" s="280"/>
    </row>
    <row r="341" spans="1:306" outlineLevel="1">
      <c r="D341" s="300" t="s">
        <v>3769</v>
      </c>
      <c r="E341" s="293"/>
      <c r="F341" s="293"/>
      <c r="G341" s="293"/>
      <c r="H341" s="293"/>
      <c r="I341" s="293"/>
      <c r="J341" s="293"/>
      <c r="K341" s="293"/>
      <c r="L341" s="293"/>
      <c r="M341" s="293"/>
      <c r="N341" s="293"/>
      <c r="O341" s="293"/>
      <c r="P341" s="293"/>
      <c r="Q341" s="293"/>
      <c r="R341" s="293"/>
      <c r="S341" s="293"/>
      <c r="T341" s="293"/>
      <c r="U341" s="293"/>
      <c r="V341" s="293"/>
      <c r="W341" s="293"/>
      <c r="X341" s="293"/>
      <c r="Y341" s="29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c r="BN341" s="293"/>
      <c r="BO341" s="293"/>
      <c r="BP341" s="293"/>
      <c r="BQ341" s="293"/>
      <c r="BR341" s="293"/>
      <c r="BS341" s="293"/>
      <c r="BT341" s="293"/>
      <c r="BU341" s="293"/>
      <c r="BV341" s="293"/>
      <c r="BW341" s="293"/>
      <c r="BX341" s="293"/>
      <c r="BY341" s="293"/>
      <c r="BZ341" s="293"/>
      <c r="CA341" s="293"/>
      <c r="CB341" s="293"/>
      <c r="CC341" s="293"/>
      <c r="CD341" s="293"/>
      <c r="CE341" s="294"/>
      <c r="CF341" s="293"/>
      <c r="CG341" s="293"/>
      <c r="CH341" s="293"/>
      <c r="CI341" s="293"/>
      <c r="CJ341" s="293"/>
      <c r="CK341" s="293"/>
      <c r="CL341" s="293"/>
      <c r="CM341" s="293"/>
      <c r="CN341" s="293"/>
      <c r="CO341" s="293"/>
      <c r="CP341" s="295"/>
      <c r="CQ341" s="293"/>
      <c r="CR341" s="293"/>
      <c r="CS341" s="293"/>
      <c r="CT341" s="293"/>
      <c r="CU341" s="293"/>
      <c r="CV341" s="293"/>
      <c r="CW341" s="293"/>
      <c r="CX341" s="293"/>
      <c r="CY341" s="293"/>
      <c r="CZ341" s="293"/>
      <c r="DA341" s="293"/>
      <c r="DB341" s="1288"/>
      <c r="DC341" s="293">
        <v>255.77819026117436</v>
      </c>
      <c r="DD341" s="293">
        <v>260.13916703110959</v>
      </c>
      <c r="DE341" s="293">
        <v>258.10019617666569</v>
      </c>
      <c r="DF341" s="293">
        <v>262.3830457504265</v>
      </c>
      <c r="DG341" s="293">
        <v>268.29113602290533</v>
      </c>
      <c r="DH341" s="293">
        <v>265.48168127834509</v>
      </c>
      <c r="DI341" s="293">
        <v>259.14131387712797</v>
      </c>
      <c r="DJ341" s="293">
        <v>266.65030111461778</v>
      </c>
      <c r="DK341" s="293">
        <v>275.94853970150206</v>
      </c>
      <c r="DL341" s="293">
        <v>247.79350109436038</v>
      </c>
      <c r="DM341" s="293">
        <v>261.62320951615777</v>
      </c>
      <c r="DN341" s="295">
        <v>275.1422736656599</v>
      </c>
      <c r="DO341" s="293">
        <v>271.99360806902729</v>
      </c>
      <c r="DP341" s="293">
        <v>260.13063912185999</v>
      </c>
      <c r="DQ341" s="293">
        <v>241.81966318269252</v>
      </c>
      <c r="DR341" s="293">
        <v>232.05014131459652</v>
      </c>
      <c r="DS341" s="293">
        <v>238.60793565060536</v>
      </c>
      <c r="DT341" s="293">
        <v>246.97804182527241</v>
      </c>
      <c r="DU341" s="293">
        <v>243.81755989413932</v>
      </c>
      <c r="DV341" s="293">
        <v>242.57060032889453</v>
      </c>
      <c r="DW341" s="293">
        <v>252.85317196986634</v>
      </c>
      <c r="DX341" s="293">
        <v>246.02182503437785</v>
      </c>
      <c r="DY341" s="293">
        <v>249.78340101459924</v>
      </c>
      <c r="DZ341" s="295">
        <v>265.29812704052944</v>
      </c>
      <c r="EA341" s="293">
        <v>314.05965341839965</v>
      </c>
      <c r="EB341" s="293">
        <v>329.10746117695567</v>
      </c>
      <c r="EC341" s="293">
        <v>342.05940878788732</v>
      </c>
      <c r="ED341" s="293">
        <v>343.30958339360996</v>
      </c>
      <c r="EE341" s="293">
        <v>334.55340388930591</v>
      </c>
      <c r="EF341" s="293">
        <v>342.05975651247417</v>
      </c>
      <c r="EG341" s="293">
        <v>350.50133574547436</v>
      </c>
      <c r="EH341" s="293">
        <v>353.84923359105824</v>
      </c>
      <c r="EI341" s="293">
        <v>352.65689962976001</v>
      </c>
      <c r="EJ341" s="293">
        <v>332.66643573404531</v>
      </c>
      <c r="EK341" s="293">
        <v>340.25299082869429</v>
      </c>
      <c r="EL341" s="295">
        <v>356.70049638850708</v>
      </c>
      <c r="EM341" s="1080">
        <v>358.54526676211782</v>
      </c>
      <c r="EN341" s="1080">
        <v>383.89203584394534</v>
      </c>
      <c r="EO341" s="1080">
        <v>387.80078814297929</v>
      </c>
      <c r="EP341" s="1080">
        <v>389.06058701811901</v>
      </c>
      <c r="EQ341" s="1080">
        <v>369.52984096778579</v>
      </c>
      <c r="ER341" s="1080">
        <v>355.86267094492115</v>
      </c>
      <c r="ES341" s="1080">
        <v>369.09772041791598</v>
      </c>
      <c r="ET341" s="1080">
        <v>373.04753774056093</v>
      </c>
      <c r="EU341" s="1080">
        <v>386.19324255045996</v>
      </c>
      <c r="EV341" s="1080">
        <v>414.30529041802004</v>
      </c>
      <c r="EW341" s="1080">
        <v>413.12262309151902</v>
      </c>
      <c r="EX341" s="1340">
        <v>449.45027947601795</v>
      </c>
      <c r="EY341" s="1080">
        <v>423.66194204140493</v>
      </c>
      <c r="EZ341" s="1080">
        <v>429.83405104127797</v>
      </c>
      <c r="FA341" s="1080">
        <v>433.36695513301697</v>
      </c>
      <c r="FB341" s="1080">
        <v>445.65989212537505</v>
      </c>
      <c r="FC341" s="1080">
        <v>474.82105485519605</v>
      </c>
      <c r="FD341" s="1080">
        <v>497.16457368709706</v>
      </c>
      <c r="FE341" s="1080">
        <v>532.11036547901904</v>
      </c>
      <c r="FF341" s="1080">
        <v>566.24542666778291</v>
      </c>
      <c r="FG341" s="1080">
        <v>586.72429011624206</v>
      </c>
      <c r="FH341" s="1080">
        <v>608.00748141218503</v>
      </c>
      <c r="FI341" s="1080">
        <v>623.63781004832003</v>
      </c>
      <c r="FJ341" s="1340">
        <v>662.82168090654602</v>
      </c>
      <c r="FK341" s="1080">
        <v>664.73510839396215</v>
      </c>
      <c r="FL341" s="1080">
        <v>688.68548884146901</v>
      </c>
      <c r="FM341" s="1080">
        <v>691.25224407520614</v>
      </c>
      <c r="FN341" s="1080">
        <v>705.31393773562411</v>
      </c>
      <c r="FO341" s="1080">
        <v>717.71843185630814</v>
      </c>
      <c r="FP341" s="1080">
        <v>749.11105820215312</v>
      </c>
      <c r="FQ341" s="293">
        <v>751.18299272040701</v>
      </c>
      <c r="FR341" s="293">
        <v>762.83522543836318</v>
      </c>
      <c r="FS341" s="293">
        <v>783.08063384539685</v>
      </c>
      <c r="FT341" s="293">
        <v>793.61230177485288</v>
      </c>
      <c r="FU341" s="293">
        <v>788.14556916790593</v>
      </c>
      <c r="FV341" s="293">
        <v>853.58718557722091</v>
      </c>
      <c r="FW341" s="293">
        <v>855.13116962976608</v>
      </c>
      <c r="FX341" s="293">
        <v>891.01405779277604</v>
      </c>
      <c r="FY341" s="293">
        <v>875.41312625479577</v>
      </c>
      <c r="FZ341" s="293">
        <v>884.95918888605991</v>
      </c>
      <c r="GA341" s="293">
        <v>929.34834899278383</v>
      </c>
      <c r="GB341" s="293">
        <v>973.13122477852301</v>
      </c>
      <c r="GC341" s="293">
        <v>969.70225562034682</v>
      </c>
      <c r="GD341" s="293">
        <v>970.96908091334194</v>
      </c>
      <c r="GE341" s="293">
        <v>995.19819191070201</v>
      </c>
      <c r="GF341" s="293">
        <v>1012.881654682111</v>
      </c>
      <c r="GG341" s="293">
        <v>1021.732204439568</v>
      </c>
      <c r="GH341" s="293">
        <v>1037.3512066893049</v>
      </c>
      <c r="GI341" s="293">
        <v>1058.8071340072772</v>
      </c>
      <c r="GJ341" s="293">
        <v>1133.2714809679192</v>
      </c>
      <c r="GK341" s="293">
        <v>1185.5592467584283</v>
      </c>
      <c r="GL341" s="293">
        <v>1157.9837666839492</v>
      </c>
      <c r="GM341" s="293">
        <v>1269.5945674743202</v>
      </c>
      <c r="GN341" s="293">
        <v>1289.0615075407397</v>
      </c>
      <c r="GO341" s="293">
        <v>1223.3559426391703</v>
      </c>
      <c r="GP341" s="293">
        <v>1193.87473007378</v>
      </c>
      <c r="GQ341" s="293">
        <v>1147.2463392774002</v>
      </c>
      <c r="GR341" s="293">
        <v>1165.1508982112198</v>
      </c>
      <c r="GS341" s="293">
        <v>1168.2517236840031</v>
      </c>
      <c r="GT341" s="293">
        <v>1167.715589774743</v>
      </c>
      <c r="GU341" s="293">
        <v>1242.3625869125781</v>
      </c>
      <c r="GV341" s="293">
        <v>1231.6756043526095</v>
      </c>
      <c r="GW341" s="293">
        <v>1232.6120120919632</v>
      </c>
      <c r="GX341" s="293">
        <v>1262.4650185549531</v>
      </c>
      <c r="GY341" s="293">
        <v>1265.5064955773728</v>
      </c>
      <c r="GZ341" s="293">
        <v>1280.262326626455</v>
      </c>
      <c r="HA341" s="293">
        <v>1223.4006246376741</v>
      </c>
      <c r="HB341" s="293">
        <v>1178.2465902223505</v>
      </c>
      <c r="HC341" s="293">
        <v>1186.0902918818147</v>
      </c>
      <c r="HD341" s="293">
        <v>1202.5541462603749</v>
      </c>
      <c r="HE341" s="293">
        <v>1216.834273283888</v>
      </c>
      <c r="HF341" s="293">
        <v>1210.818462208395</v>
      </c>
      <c r="HG341" s="293">
        <v>1221.9755326961092</v>
      </c>
      <c r="HH341" s="293">
        <v>1315.3236311949952</v>
      </c>
      <c r="HI341" s="293">
        <v>1379.4349155018622</v>
      </c>
      <c r="HJ341" s="293">
        <v>1428.4188134049575</v>
      </c>
      <c r="HK341" s="293">
        <v>1478.2029604105185</v>
      </c>
      <c r="HL341" s="293">
        <v>1486.7116530375163</v>
      </c>
      <c r="HM341" s="293">
        <v>1473.7499757650776</v>
      </c>
      <c r="HN341" s="293">
        <v>1430.4695529917815</v>
      </c>
      <c r="HO341" s="293">
        <v>1380.1587355421309</v>
      </c>
      <c r="HP341" s="293">
        <v>1405.2266022374561</v>
      </c>
      <c r="HQ341" s="293">
        <v>1391.5539427340927</v>
      </c>
      <c r="HR341" s="293">
        <v>1431.4764603267158</v>
      </c>
      <c r="HS341" s="293">
        <v>1586.0235566630945</v>
      </c>
      <c r="HT341" s="293">
        <v>1616.0004568626052</v>
      </c>
      <c r="HU341" s="293">
        <v>1655.7146538567572</v>
      </c>
      <c r="HV341" s="293">
        <v>1690.2966805047074</v>
      </c>
      <c r="HW341" s="293">
        <v>1717.7127750763893</v>
      </c>
      <c r="HX341" s="293">
        <v>1722.5329099335927</v>
      </c>
      <c r="HY341" s="293"/>
      <c r="KT341" s="280"/>
    </row>
    <row r="342" spans="1:306" outlineLevel="1">
      <c r="A342" s="96" t="s">
        <v>372</v>
      </c>
      <c r="B342" s="96" t="s">
        <v>338</v>
      </c>
      <c r="D342" s="296" t="s">
        <v>3701</v>
      </c>
      <c r="E342" s="293"/>
      <c r="F342" s="293"/>
      <c r="G342" s="293"/>
      <c r="H342" s="293"/>
      <c r="I342" s="293"/>
      <c r="J342" s="293"/>
      <c r="K342" s="293"/>
      <c r="L342" s="293"/>
      <c r="M342" s="293"/>
      <c r="N342" s="293"/>
      <c r="O342" s="293"/>
      <c r="P342" s="293"/>
      <c r="Q342" s="293"/>
      <c r="R342" s="293"/>
      <c r="S342" s="293"/>
      <c r="T342" s="293"/>
      <c r="U342" s="293"/>
      <c r="V342" s="293"/>
      <c r="W342" s="293"/>
      <c r="X342" s="293"/>
      <c r="Y342" s="293"/>
      <c r="Z342" s="293"/>
      <c r="AA342" s="293"/>
      <c r="AB342" s="293"/>
      <c r="AC342" s="293"/>
      <c r="AD342" s="293"/>
      <c r="AE342" s="293"/>
      <c r="AF342" s="293"/>
      <c r="AG342" s="293"/>
      <c r="AH342" s="293"/>
      <c r="AI342" s="293"/>
      <c r="AJ342" s="293"/>
      <c r="AK342" s="293"/>
      <c r="AL342" s="293"/>
      <c r="AM342" s="293"/>
      <c r="AN342" s="293">
        <v>225.67301000000003</v>
      </c>
      <c r="AO342" s="293">
        <v>220.54550719499997</v>
      </c>
      <c r="AP342" s="293">
        <v>209.30545707499999</v>
      </c>
      <c r="AQ342" s="293">
        <v>212.41826959399998</v>
      </c>
      <c r="AR342" s="293">
        <v>215.05641248999996</v>
      </c>
      <c r="AS342" s="293">
        <v>222.73418784500001</v>
      </c>
      <c r="AT342" s="293">
        <v>223.59432199299999</v>
      </c>
      <c r="AU342" s="293">
        <v>211.93460993100001</v>
      </c>
      <c r="AV342" s="293">
        <v>199.860311094</v>
      </c>
      <c r="AW342" s="293">
        <v>233.348632299</v>
      </c>
      <c r="AX342" s="293">
        <v>216.55941350500001</v>
      </c>
      <c r="AY342" s="293">
        <v>217.37741207799999</v>
      </c>
      <c r="AZ342" s="293">
        <v>275.22690607600003</v>
      </c>
      <c r="BA342" s="293">
        <v>253.23008097099995</v>
      </c>
      <c r="BB342" s="293">
        <v>271.58224502600001</v>
      </c>
      <c r="BC342" s="293">
        <v>255.55130501600001</v>
      </c>
      <c r="BD342" s="293">
        <v>272.93819400000007</v>
      </c>
      <c r="BE342" s="293">
        <v>234.89558061499997</v>
      </c>
      <c r="BF342" s="293">
        <v>223.49186782387096</v>
      </c>
      <c r="BG342" s="293">
        <v>203.79721246699998</v>
      </c>
      <c r="BH342" s="293">
        <v>221.85857056400002</v>
      </c>
      <c r="BI342" s="293">
        <v>243.82574610600003</v>
      </c>
      <c r="BJ342" s="293">
        <v>308.049923874</v>
      </c>
      <c r="BK342" s="293">
        <v>288.25733387400004</v>
      </c>
      <c r="BL342" s="293">
        <v>337.07441809299996</v>
      </c>
      <c r="BM342" s="293">
        <v>321.58553899999998</v>
      </c>
      <c r="BN342" s="293">
        <v>263.91120063599999</v>
      </c>
      <c r="BO342" s="293">
        <v>233.82539216700002</v>
      </c>
      <c r="BP342" s="293">
        <v>225.18301165100002</v>
      </c>
      <c r="BQ342" s="293">
        <v>202.97736814199999</v>
      </c>
      <c r="BR342" s="293">
        <v>194.924204968</v>
      </c>
      <c r="BS342" s="293">
        <v>213.110626868</v>
      </c>
      <c r="BT342" s="293">
        <v>208.72521130500002</v>
      </c>
      <c r="BU342" s="293">
        <v>218.22183776599999</v>
      </c>
      <c r="BV342" s="293">
        <v>223.59448963599999</v>
      </c>
      <c r="BW342" s="293">
        <v>216.42198849600001</v>
      </c>
      <c r="BX342" s="293">
        <v>243.41188999999997</v>
      </c>
      <c r="BY342" s="293">
        <v>218.65687196800002</v>
      </c>
      <c r="BZ342" s="293">
        <v>183.63000156199999</v>
      </c>
      <c r="CA342" s="293">
        <v>204.30031551399998</v>
      </c>
      <c r="CB342" s="293">
        <v>199.481082044</v>
      </c>
      <c r="CC342" s="293">
        <v>336.77280751800004</v>
      </c>
      <c r="CD342" s="293">
        <v>314.29227144399999</v>
      </c>
      <c r="CE342" s="294">
        <v>353.70955477300004</v>
      </c>
      <c r="CF342" s="293">
        <v>340.35975662099997</v>
      </c>
      <c r="CG342" s="293">
        <v>357.81023151400001</v>
      </c>
      <c r="CH342" s="293">
        <v>373.44555616000002</v>
      </c>
      <c r="CI342" s="293">
        <v>365.06446875300003</v>
      </c>
      <c r="CJ342" s="293">
        <v>381.03358536799999</v>
      </c>
      <c r="CK342" s="293">
        <v>346.92819052205732</v>
      </c>
      <c r="CL342" s="293">
        <v>318.41532183680522</v>
      </c>
      <c r="CM342" s="293">
        <v>300.60088208842723</v>
      </c>
      <c r="CN342" s="293">
        <v>278.25470396558791</v>
      </c>
      <c r="CO342" s="293">
        <v>287.91869368914098</v>
      </c>
      <c r="CP342" s="295">
        <v>218.06509613077117</v>
      </c>
      <c r="CQ342" s="293">
        <v>184.20157293891003</v>
      </c>
      <c r="CR342" s="293">
        <v>189.08156541759101</v>
      </c>
      <c r="CS342" s="293">
        <v>163.80121475487394</v>
      </c>
      <c r="CT342" s="293">
        <v>158.06199359492385</v>
      </c>
      <c r="CU342" s="293">
        <v>158.26648018141933</v>
      </c>
      <c r="CV342" s="293">
        <v>243.81797359917982</v>
      </c>
      <c r="CW342" s="293">
        <v>213.8593363267731</v>
      </c>
      <c r="CX342" s="293">
        <v>237.80805657365039</v>
      </c>
      <c r="CY342" s="293">
        <v>234.84415910019706</v>
      </c>
      <c r="CZ342" s="293">
        <v>211.37534380752922</v>
      </c>
      <c r="DA342" s="293">
        <v>201.77588934722934</v>
      </c>
      <c r="DB342" s="1288">
        <v>162.03341000974532</v>
      </c>
      <c r="DC342" s="293">
        <v>174.90055457869721</v>
      </c>
      <c r="DD342" s="293">
        <v>190.70842206871021</v>
      </c>
      <c r="DE342" s="293">
        <v>223.02142148082794</v>
      </c>
      <c r="DF342" s="293">
        <v>178.11211581551942</v>
      </c>
      <c r="DG342" s="293">
        <v>192.36208594681199</v>
      </c>
      <c r="DH342" s="293">
        <v>263.99083828276412</v>
      </c>
      <c r="DI342" s="293">
        <v>214.18694250507247</v>
      </c>
      <c r="DJ342" s="293">
        <v>217.07754984880739</v>
      </c>
      <c r="DK342" s="293">
        <v>241.73121451390034</v>
      </c>
      <c r="DL342" s="293">
        <v>244.06962320563002</v>
      </c>
      <c r="DM342" s="293">
        <v>226.61957545147573</v>
      </c>
      <c r="DN342" s="295">
        <v>191.18981385804227</v>
      </c>
      <c r="DO342" s="293">
        <v>214.67451419311425</v>
      </c>
      <c r="DP342" s="293">
        <v>232.70967590271053</v>
      </c>
      <c r="DQ342" s="293">
        <v>245.10051189578087</v>
      </c>
      <c r="DR342" s="293">
        <v>237.50738679222525</v>
      </c>
      <c r="DS342" s="293">
        <v>241.40754446567334</v>
      </c>
      <c r="DT342" s="293">
        <v>259.5576908636537</v>
      </c>
      <c r="DU342" s="293">
        <v>274.99170682098213</v>
      </c>
      <c r="DV342" s="293">
        <v>227.00840864918308</v>
      </c>
      <c r="DW342" s="293">
        <v>263.44264912113101</v>
      </c>
      <c r="DX342" s="293">
        <v>252.63604073154116</v>
      </c>
      <c r="DY342" s="293">
        <v>212.14153402781511</v>
      </c>
      <c r="DZ342" s="295">
        <v>193.99476704994618</v>
      </c>
      <c r="EA342" s="293">
        <v>194.21408291521908</v>
      </c>
      <c r="EB342" s="293">
        <v>202.6296953171919</v>
      </c>
      <c r="EC342" s="293">
        <v>232.89859267202593</v>
      </c>
      <c r="ED342" s="293">
        <v>227.08678888914758</v>
      </c>
      <c r="EE342" s="293">
        <v>234.63396957524151</v>
      </c>
      <c r="EF342" s="293">
        <v>310.0554853186585</v>
      </c>
      <c r="EG342" s="293">
        <v>306.26700519887521</v>
      </c>
      <c r="EH342" s="293">
        <v>289.3180749915748</v>
      </c>
      <c r="EI342" s="293">
        <v>290.90961275747782</v>
      </c>
      <c r="EJ342" s="293">
        <v>268.18681440701027</v>
      </c>
      <c r="EK342" s="293">
        <v>246.38768827922166</v>
      </c>
      <c r="EL342" s="295">
        <v>242.18109963273318</v>
      </c>
      <c r="EM342" s="1080">
        <v>255.0995883617997</v>
      </c>
      <c r="EN342" s="1080">
        <v>290.31227328959829</v>
      </c>
      <c r="EO342" s="1080">
        <v>292.22120051373759</v>
      </c>
      <c r="EP342" s="1080">
        <v>256.41088376503973</v>
      </c>
      <c r="EQ342" s="1080">
        <v>250.28616335814135</v>
      </c>
      <c r="ER342" s="1080">
        <v>383.31117605726007</v>
      </c>
      <c r="ES342" s="1080">
        <v>344.95648435190702</v>
      </c>
      <c r="ET342" s="1080">
        <v>324.83334425685069</v>
      </c>
      <c r="EU342" s="1080">
        <v>296.48625854634082</v>
      </c>
      <c r="EV342" s="1080">
        <v>281.52528036538507</v>
      </c>
      <c r="EW342" s="1080">
        <v>256.61684868023622</v>
      </c>
      <c r="EX342" s="1340">
        <v>280.81693907259472</v>
      </c>
      <c r="EY342" s="1080">
        <v>271.98628682274858</v>
      </c>
      <c r="EZ342" s="1080">
        <v>291.11828153811257</v>
      </c>
      <c r="FA342" s="1080">
        <v>313.91295402669925</v>
      </c>
      <c r="FB342" s="1080">
        <v>338.35277441024158</v>
      </c>
      <c r="FC342" s="1080">
        <v>324.08455847815617</v>
      </c>
      <c r="FD342" s="1080">
        <v>453.7633503328824</v>
      </c>
      <c r="FE342" s="1080">
        <v>467.89723057149865</v>
      </c>
      <c r="FF342" s="1080">
        <v>422.0706388225405</v>
      </c>
      <c r="FG342" s="1080">
        <v>428.01769504647052</v>
      </c>
      <c r="FH342" s="1080">
        <v>511.7884247395242</v>
      </c>
      <c r="FI342" s="1080">
        <v>442.96645731461615</v>
      </c>
      <c r="FJ342" s="1340">
        <v>588.35939704422935</v>
      </c>
      <c r="FK342" s="1080">
        <v>707.5869651371537</v>
      </c>
      <c r="FL342" s="1080">
        <v>713.51760568127656</v>
      </c>
      <c r="FM342" s="1080">
        <v>812.212122657745</v>
      </c>
      <c r="FN342" s="1080">
        <v>803.15428859483052</v>
      </c>
      <c r="FO342" s="1080">
        <v>727.13197896963663</v>
      </c>
      <c r="FP342" s="1080">
        <v>873.37745944008736</v>
      </c>
      <c r="FQ342" s="293">
        <v>837.25308032699286</v>
      </c>
      <c r="FR342" s="293">
        <v>746.48023514049214</v>
      </c>
      <c r="FS342" s="293">
        <v>783.68960794213683</v>
      </c>
      <c r="FT342" s="293">
        <v>819.49598182868544</v>
      </c>
      <c r="FU342" s="293">
        <v>722.20089312039158</v>
      </c>
      <c r="FV342" s="293">
        <v>631.52341804718799</v>
      </c>
      <c r="FW342" s="293">
        <v>710.04566266334371</v>
      </c>
      <c r="FX342" s="293">
        <v>860.81946403300185</v>
      </c>
      <c r="FY342" s="293">
        <v>751.37127433848241</v>
      </c>
      <c r="FZ342" s="293">
        <v>734.24268290206408</v>
      </c>
      <c r="GA342" s="293">
        <v>738.52126690208797</v>
      </c>
      <c r="GB342" s="293">
        <v>773.5949953283133</v>
      </c>
      <c r="GC342" s="293">
        <v>665.10802837438632</v>
      </c>
      <c r="GD342" s="293">
        <v>629.81946108870682</v>
      </c>
      <c r="GE342" s="293">
        <v>819.75773581142096</v>
      </c>
      <c r="GF342" s="293">
        <v>842.5871921902758</v>
      </c>
      <c r="GG342" s="293">
        <v>906.58717727657529</v>
      </c>
      <c r="GH342" s="293">
        <v>840.23296931480684</v>
      </c>
      <c r="GI342" s="293">
        <v>859.11691184953622</v>
      </c>
      <c r="GJ342" s="293">
        <v>708.31598043543977</v>
      </c>
      <c r="GK342" s="293">
        <v>675.67217140090656</v>
      </c>
      <c r="GL342" s="293">
        <v>645.96101914625979</v>
      </c>
      <c r="GM342" s="293">
        <v>627.65340672228695</v>
      </c>
      <c r="GN342" s="293">
        <v>703.31968972709501</v>
      </c>
      <c r="GO342" s="293">
        <v>559.87310980516634</v>
      </c>
      <c r="GP342" s="293">
        <v>496.37390319107647</v>
      </c>
      <c r="GQ342" s="293">
        <v>704.17332999984569</v>
      </c>
      <c r="GR342" s="293">
        <v>830.81329650322959</v>
      </c>
      <c r="GS342" s="293">
        <v>811.0443340809677</v>
      </c>
      <c r="GT342" s="293">
        <v>762.38898997247975</v>
      </c>
      <c r="GU342" s="293">
        <v>711.03946123850392</v>
      </c>
      <c r="GV342" s="293">
        <v>606.86446040768737</v>
      </c>
      <c r="GW342" s="293">
        <v>615.14816727671928</v>
      </c>
      <c r="GX342" s="293">
        <v>546.87921521435192</v>
      </c>
      <c r="GY342" s="293">
        <v>590.93603132821931</v>
      </c>
      <c r="GZ342" s="293">
        <v>921.11698262875348</v>
      </c>
      <c r="HA342" s="293">
        <v>660.21933968163876</v>
      </c>
      <c r="HB342" s="293">
        <v>607.23487490074126</v>
      </c>
      <c r="HC342" s="293">
        <v>675.72872149135424</v>
      </c>
      <c r="HD342" s="293">
        <v>697.73155038797597</v>
      </c>
      <c r="HE342" s="293">
        <v>620.24549859129149</v>
      </c>
      <c r="HF342" s="293">
        <v>749.79164768540534</v>
      </c>
      <c r="HG342" s="293">
        <v>658.60054710879842</v>
      </c>
      <c r="HH342" s="293">
        <v>615.39472326176758</v>
      </c>
      <c r="HI342" s="293">
        <v>662.34793753515635</v>
      </c>
      <c r="HJ342" s="293">
        <v>601.7291988071056</v>
      </c>
      <c r="HK342" s="293">
        <v>644.32117223775663</v>
      </c>
      <c r="HL342" s="293">
        <v>1429.6901637428834</v>
      </c>
      <c r="HM342" s="293">
        <v>1270.7463721708928</v>
      </c>
      <c r="HN342" s="293">
        <v>1014.9823873473839</v>
      </c>
      <c r="HO342" s="293">
        <v>910.90261094928496</v>
      </c>
      <c r="HP342" s="293">
        <v>927.36466128163022</v>
      </c>
      <c r="HQ342" s="293">
        <v>853.13099869218092</v>
      </c>
      <c r="HR342" s="293">
        <v>950.68517734041961</v>
      </c>
      <c r="HS342" s="293">
        <v>835.68718448273194</v>
      </c>
      <c r="HT342" s="293">
        <v>857.25184727306737</v>
      </c>
      <c r="HU342" s="293">
        <v>1120.6713766799739</v>
      </c>
      <c r="HV342" s="293">
        <v>1045.2940911479079</v>
      </c>
      <c r="HW342" s="293">
        <v>1104.1331496332521</v>
      </c>
      <c r="HX342" s="293">
        <v>1123.466530734388</v>
      </c>
      <c r="HY342" s="293"/>
      <c r="KT342" s="280"/>
    </row>
    <row r="343" spans="1:306" outlineLevel="1">
      <c r="D343" s="300" t="s">
        <v>3770</v>
      </c>
      <c r="E343" s="293"/>
      <c r="F343" s="293"/>
      <c r="G343" s="293"/>
      <c r="H343" s="293"/>
      <c r="I343" s="293"/>
      <c r="J343" s="293"/>
      <c r="K343" s="293"/>
      <c r="L343" s="293"/>
      <c r="M343" s="293"/>
      <c r="N343" s="293"/>
      <c r="O343" s="293"/>
      <c r="P343" s="293"/>
      <c r="Q343" s="293"/>
      <c r="R343" s="293"/>
      <c r="S343" s="293"/>
      <c r="T343" s="293"/>
      <c r="U343" s="293"/>
      <c r="V343" s="293"/>
      <c r="W343" s="293"/>
      <c r="X343" s="293"/>
      <c r="Y343" s="29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c r="BN343" s="293"/>
      <c r="BO343" s="293"/>
      <c r="BP343" s="293"/>
      <c r="BQ343" s="293"/>
      <c r="BR343" s="293"/>
      <c r="BS343" s="293"/>
      <c r="BT343" s="293"/>
      <c r="BU343" s="293"/>
      <c r="BV343" s="293"/>
      <c r="BW343" s="293"/>
      <c r="BX343" s="293"/>
      <c r="BY343" s="293"/>
      <c r="BZ343" s="293"/>
      <c r="CA343" s="293"/>
      <c r="CB343" s="293"/>
      <c r="CC343" s="293"/>
      <c r="CD343" s="293"/>
      <c r="CE343" s="294"/>
      <c r="CF343" s="293"/>
      <c r="CG343" s="293"/>
      <c r="CH343" s="293"/>
      <c r="CI343" s="293"/>
      <c r="CJ343" s="293"/>
      <c r="CK343" s="293"/>
      <c r="CL343" s="293"/>
      <c r="CM343" s="293"/>
      <c r="CN343" s="293"/>
      <c r="CO343" s="293"/>
      <c r="CP343" s="295"/>
      <c r="CQ343" s="293"/>
      <c r="CR343" s="293"/>
      <c r="CS343" s="293"/>
      <c r="CT343" s="293"/>
      <c r="CU343" s="293"/>
      <c r="CV343" s="293"/>
      <c r="CW343" s="293"/>
      <c r="CX343" s="293"/>
      <c r="CY343" s="293"/>
      <c r="CZ343" s="293"/>
      <c r="DA343" s="293"/>
      <c r="DB343" s="1288"/>
      <c r="DC343" s="293">
        <v>149.33162010125</v>
      </c>
      <c r="DD343" s="293">
        <v>163.55028501840999</v>
      </c>
      <c r="DE343" s="293">
        <v>188.71587827983998</v>
      </c>
      <c r="DF343" s="293">
        <v>150.29504616848999</v>
      </c>
      <c r="DG343" s="293">
        <v>160.19878229638002</v>
      </c>
      <c r="DH343" s="293">
        <v>229.256240967</v>
      </c>
      <c r="DI343" s="293">
        <v>188.09147937481998</v>
      </c>
      <c r="DJ343" s="293">
        <v>191.04347473597002</v>
      </c>
      <c r="DK343" s="293">
        <v>201.82252739321999</v>
      </c>
      <c r="DL343" s="293">
        <v>217.75051623145998</v>
      </c>
      <c r="DM343" s="293">
        <v>202.43843514398</v>
      </c>
      <c r="DN343" s="295">
        <v>165.78306438432998</v>
      </c>
      <c r="DO343" s="293">
        <v>188.67762914446001</v>
      </c>
      <c r="DP343" s="293">
        <v>204.35271545064001</v>
      </c>
      <c r="DQ343" s="293">
        <v>218.36682219648998</v>
      </c>
      <c r="DR343" s="293">
        <v>209.90205095478998</v>
      </c>
      <c r="DS343" s="293">
        <v>215.18993973676001</v>
      </c>
      <c r="DT343" s="293">
        <v>237.94894853970001</v>
      </c>
      <c r="DU343" s="293">
        <v>253.09440022466666</v>
      </c>
      <c r="DV343" s="293">
        <v>207.14709596833333</v>
      </c>
      <c r="DW343" s="293">
        <v>228.56298367766669</v>
      </c>
      <c r="DX343" s="293">
        <v>229.78156467433334</v>
      </c>
      <c r="DY343" s="293">
        <v>188.27862785466667</v>
      </c>
      <c r="DZ343" s="295">
        <v>176.19268960033332</v>
      </c>
      <c r="EA343" s="293">
        <v>175.48531596833331</v>
      </c>
      <c r="EB343" s="293">
        <v>177.61379108033333</v>
      </c>
      <c r="EC343" s="293">
        <v>196.48553197633333</v>
      </c>
      <c r="ED343" s="293">
        <v>191.46398245833333</v>
      </c>
      <c r="EE343" s="293">
        <v>190.07703511299997</v>
      </c>
      <c r="EF343" s="293">
        <v>265.3422867006667</v>
      </c>
      <c r="EG343" s="293">
        <v>259.04312135700008</v>
      </c>
      <c r="EH343" s="293">
        <v>242.889992474</v>
      </c>
      <c r="EI343" s="293">
        <v>224.15406093933333</v>
      </c>
      <c r="EJ343" s="293">
        <v>220.61871504833331</v>
      </c>
      <c r="EK343" s="293">
        <v>198.01962225466667</v>
      </c>
      <c r="EL343" s="295">
        <v>194.23832628666668</v>
      </c>
      <c r="EM343" s="1080">
        <v>212.01893171099999</v>
      </c>
      <c r="EN343" s="1080">
        <v>240.92866664433333</v>
      </c>
      <c r="EO343" s="1080">
        <v>233.16044943500003</v>
      </c>
      <c r="EP343" s="1080">
        <v>205.03633925266666</v>
      </c>
      <c r="EQ343" s="1080">
        <v>205.47836131633335</v>
      </c>
      <c r="ER343" s="1080">
        <v>317.31929287066669</v>
      </c>
      <c r="ES343" s="1080">
        <v>279.53143102533335</v>
      </c>
      <c r="ET343" s="1080">
        <v>266.89302015866667</v>
      </c>
      <c r="EU343" s="1080">
        <v>231.24317950099999</v>
      </c>
      <c r="EV343" s="1080">
        <v>225.44915619100004</v>
      </c>
      <c r="EW343" s="1080">
        <v>203.60626367266667</v>
      </c>
      <c r="EX343" s="1340">
        <v>227.74618592433333</v>
      </c>
      <c r="EY343" s="1080">
        <v>217.73851764199998</v>
      </c>
      <c r="EZ343" s="1080">
        <v>232.95372592466668</v>
      </c>
      <c r="FA343" s="1080">
        <v>239.46271997366668</v>
      </c>
      <c r="FB343" s="1080">
        <v>284.21111464100005</v>
      </c>
      <c r="FC343" s="1080">
        <v>266.97354098533344</v>
      </c>
      <c r="FD343" s="1080">
        <v>402.32962967266673</v>
      </c>
      <c r="FE343" s="1080">
        <v>408.76805400833331</v>
      </c>
      <c r="FF343" s="1080">
        <v>375.69880759033327</v>
      </c>
      <c r="FG343" s="1080">
        <v>364.26009885000002</v>
      </c>
      <c r="FH343" s="1080">
        <v>440.75821246266662</v>
      </c>
      <c r="FI343" s="1080">
        <v>377.18486219866668</v>
      </c>
      <c r="FJ343" s="1340">
        <v>524.73770260099991</v>
      </c>
      <c r="FK343" s="1080">
        <v>629.42356267933326</v>
      </c>
      <c r="FL343" s="1080">
        <v>615.05605017433345</v>
      </c>
      <c r="FM343" s="1080">
        <v>718.90409200066665</v>
      </c>
      <c r="FN343" s="1080">
        <v>709.75415673166674</v>
      </c>
      <c r="FO343" s="1080">
        <v>633.07674122733317</v>
      </c>
      <c r="FP343" s="1080">
        <v>771.69356843133301</v>
      </c>
      <c r="FQ343" s="293">
        <v>747.7778259823333</v>
      </c>
      <c r="FR343" s="293">
        <v>659.09620725166656</v>
      </c>
      <c r="FS343" s="293">
        <v>684.54169810966664</v>
      </c>
      <c r="FT343" s="293">
        <v>731.68258802933326</v>
      </c>
      <c r="FU343" s="293">
        <v>634.31506724466669</v>
      </c>
      <c r="FV343" s="293">
        <v>558.5993192553334</v>
      </c>
      <c r="FW343" s="293">
        <v>620.6783981013333</v>
      </c>
      <c r="FX343" s="293">
        <v>756.4773069503334</v>
      </c>
      <c r="FY343" s="293">
        <v>637.17373898000005</v>
      </c>
      <c r="FZ343" s="293">
        <v>623.05600381133343</v>
      </c>
      <c r="GA343" s="293">
        <v>634.66823624666665</v>
      </c>
      <c r="GB343" s="293">
        <v>658.18528380433315</v>
      </c>
      <c r="GC343" s="293">
        <v>554.37766315533327</v>
      </c>
      <c r="GD343" s="293">
        <v>518.76705800166678</v>
      </c>
      <c r="GE343" s="293">
        <v>673.04167294566662</v>
      </c>
      <c r="GF343" s="293">
        <v>738.83515192566676</v>
      </c>
      <c r="GG343" s="293">
        <v>795.86740060866669</v>
      </c>
      <c r="GH343" s="293">
        <v>729.65124203999994</v>
      </c>
      <c r="GI343" s="293">
        <v>706.39272330899996</v>
      </c>
      <c r="GJ343" s="293">
        <v>557.04914813766663</v>
      </c>
      <c r="GK343" s="293">
        <v>503.33133297666666</v>
      </c>
      <c r="GL343" s="293">
        <v>463.68931760366661</v>
      </c>
      <c r="GM343" s="293">
        <v>401.69213101866666</v>
      </c>
      <c r="GN343" s="293">
        <v>563.2329518043332</v>
      </c>
      <c r="GO343" s="293">
        <v>397.03178302033336</v>
      </c>
      <c r="GP343" s="293">
        <v>367.72345731066662</v>
      </c>
      <c r="GQ343" s="293">
        <v>566.89385011933337</v>
      </c>
      <c r="GR343" s="293">
        <v>726.18292172233328</v>
      </c>
      <c r="GS343" s="293">
        <v>696.10138519833345</v>
      </c>
      <c r="GT343" s="293">
        <v>650.35751555833326</v>
      </c>
      <c r="GU343" s="293">
        <v>554.74574499833341</v>
      </c>
      <c r="GV343" s="293">
        <v>447.24256664933336</v>
      </c>
      <c r="GW343" s="293">
        <v>472.40055616599994</v>
      </c>
      <c r="GX343" s="293">
        <v>431.59746284833324</v>
      </c>
      <c r="GY343" s="293">
        <v>470.412578709</v>
      </c>
      <c r="GZ343" s="293">
        <v>778.64318398299997</v>
      </c>
      <c r="HA343" s="293">
        <v>521.77783123133338</v>
      </c>
      <c r="HB343" s="293">
        <v>455.77701414299997</v>
      </c>
      <c r="HC343" s="293">
        <v>514.35088789699989</v>
      </c>
      <c r="HD343" s="293">
        <v>543.26750672399999</v>
      </c>
      <c r="HE343" s="293">
        <v>515.05940592933325</v>
      </c>
      <c r="HF343" s="293">
        <v>641.93772850099992</v>
      </c>
      <c r="HG343" s="293">
        <v>536.03325875966675</v>
      </c>
      <c r="HH343" s="293">
        <v>493.61865835833328</v>
      </c>
      <c r="HI343" s="293">
        <v>470.51381723433326</v>
      </c>
      <c r="HJ343" s="293">
        <v>471.82184649666664</v>
      </c>
      <c r="HK343" s="293">
        <v>526.94874399833338</v>
      </c>
      <c r="HL343" s="293">
        <v>1228.686116286</v>
      </c>
      <c r="HM343" s="293"/>
      <c r="HN343" s="293"/>
      <c r="HO343" s="293"/>
      <c r="HP343" s="293"/>
      <c r="HQ343" s="293"/>
      <c r="HR343" s="293"/>
      <c r="HS343" s="293"/>
      <c r="HT343" s="293"/>
      <c r="HU343" s="293"/>
      <c r="HV343" s="293"/>
      <c r="HW343" s="293"/>
      <c r="HX343" s="293"/>
      <c r="HY343" s="293"/>
      <c r="KT343" s="280"/>
    </row>
    <row r="344" spans="1:306" outlineLevel="1">
      <c r="D344" s="301" t="s">
        <v>3782</v>
      </c>
      <c r="E344" s="293"/>
      <c r="F344" s="293"/>
      <c r="G344" s="293"/>
      <c r="H344" s="293"/>
      <c r="I344" s="293"/>
      <c r="J344" s="293"/>
      <c r="K344" s="293"/>
      <c r="L344" s="293"/>
      <c r="M344" s="293"/>
      <c r="N344" s="293"/>
      <c r="O344" s="293"/>
      <c r="P344" s="293"/>
      <c r="Q344" s="293"/>
      <c r="R344" s="293"/>
      <c r="S344" s="293"/>
      <c r="T344" s="293"/>
      <c r="U344" s="293"/>
      <c r="V344" s="293"/>
      <c r="W344" s="293"/>
      <c r="X344" s="293"/>
      <c r="Y344" s="29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c r="BN344" s="293"/>
      <c r="BO344" s="293"/>
      <c r="BP344" s="293"/>
      <c r="BQ344" s="293"/>
      <c r="BR344" s="293"/>
      <c r="BS344" s="293"/>
      <c r="BT344" s="293"/>
      <c r="BU344" s="293"/>
      <c r="BV344" s="293"/>
      <c r="BW344" s="293"/>
      <c r="BX344" s="293"/>
      <c r="BY344" s="293"/>
      <c r="BZ344" s="293"/>
      <c r="CA344" s="293"/>
      <c r="CB344" s="293"/>
      <c r="CC344" s="293"/>
      <c r="CD344" s="293"/>
      <c r="CE344" s="294"/>
      <c r="CF344" s="293"/>
      <c r="CG344" s="293"/>
      <c r="CH344" s="293"/>
      <c r="CI344" s="293"/>
      <c r="CJ344" s="293"/>
      <c r="CK344" s="293"/>
      <c r="CL344" s="293"/>
      <c r="CM344" s="293"/>
      <c r="CN344" s="293"/>
      <c r="CO344" s="293"/>
      <c r="CP344" s="295"/>
      <c r="CQ344" s="293"/>
      <c r="CR344" s="293"/>
      <c r="CS344" s="293"/>
      <c r="CT344" s="293"/>
      <c r="CU344" s="293"/>
      <c r="CV344" s="293"/>
      <c r="CW344" s="293"/>
      <c r="CX344" s="293"/>
      <c r="CY344" s="293"/>
      <c r="CZ344" s="293"/>
      <c r="DA344" s="293"/>
      <c r="DB344" s="1288"/>
      <c r="DC344" s="293">
        <v>0</v>
      </c>
      <c r="DD344" s="293">
        <v>0</v>
      </c>
      <c r="DE344" s="293">
        <v>0</v>
      </c>
      <c r="DF344" s="293">
        <v>0</v>
      </c>
      <c r="DG344" s="293">
        <v>0</v>
      </c>
      <c r="DH344" s="293">
        <v>20.6</v>
      </c>
      <c r="DI344" s="293">
        <v>0</v>
      </c>
      <c r="DJ344" s="293">
        <v>0</v>
      </c>
      <c r="DK344" s="293">
        <v>0</v>
      </c>
      <c r="DL344" s="293">
        <v>0</v>
      </c>
      <c r="DM344" s="293">
        <v>0</v>
      </c>
      <c r="DN344" s="295">
        <v>0</v>
      </c>
      <c r="DO344" s="293">
        <v>0</v>
      </c>
      <c r="DP344" s="293">
        <v>0</v>
      </c>
      <c r="DQ344" s="293">
        <v>0</v>
      </c>
      <c r="DR344" s="293">
        <v>0</v>
      </c>
      <c r="DS344" s="293">
        <v>0</v>
      </c>
      <c r="DT344" s="293">
        <v>0</v>
      </c>
      <c r="DU344" s="293">
        <v>0</v>
      </c>
      <c r="DV344" s="293">
        <v>0</v>
      </c>
      <c r="DW344" s="293">
        <v>0</v>
      </c>
      <c r="DX344" s="293">
        <v>0</v>
      </c>
      <c r="DY344" s="293">
        <v>0</v>
      </c>
      <c r="DZ344" s="295">
        <v>0</v>
      </c>
      <c r="EA344" s="293">
        <v>0</v>
      </c>
      <c r="EB344" s="293">
        <v>0</v>
      </c>
      <c r="EC344" s="293">
        <v>0</v>
      </c>
      <c r="ED344" s="293">
        <v>0</v>
      </c>
      <c r="EE344" s="293">
        <v>0</v>
      </c>
      <c r="EF344" s="293">
        <v>7.8490000000000002</v>
      </c>
      <c r="EG344" s="293">
        <v>0</v>
      </c>
      <c r="EH344" s="293">
        <v>0</v>
      </c>
      <c r="EI344" s="293">
        <v>0</v>
      </c>
      <c r="EJ344" s="293">
        <v>0</v>
      </c>
      <c r="EK344" s="293">
        <v>0</v>
      </c>
      <c r="EL344" s="295">
        <v>0</v>
      </c>
      <c r="EM344" s="1080">
        <v>0</v>
      </c>
      <c r="EN344" s="1080">
        <v>0</v>
      </c>
      <c r="EO344" s="1080">
        <v>0</v>
      </c>
      <c r="EP344" s="1080">
        <v>0</v>
      </c>
      <c r="EQ344" s="1080">
        <v>0</v>
      </c>
      <c r="ER344" s="1080">
        <v>46.933</v>
      </c>
      <c r="ES344" s="1080">
        <v>0</v>
      </c>
      <c r="ET344" s="1080">
        <v>24.567</v>
      </c>
      <c r="EU344" s="1080">
        <v>0</v>
      </c>
      <c r="EV344" s="1080">
        <v>7.1870000000000003</v>
      </c>
      <c r="EW344" s="1080">
        <v>0</v>
      </c>
      <c r="EX344" s="1340">
        <v>12.975</v>
      </c>
      <c r="EY344" s="1080">
        <v>0</v>
      </c>
      <c r="EZ344" s="1080">
        <v>0</v>
      </c>
      <c r="FA344" s="1080">
        <v>0</v>
      </c>
      <c r="FB344" s="1080">
        <v>0</v>
      </c>
      <c r="FC344" s="1080">
        <v>10.141999999999999</v>
      </c>
      <c r="FD344" s="1080">
        <v>113.08</v>
      </c>
      <c r="FE344" s="1080">
        <v>114.399</v>
      </c>
      <c r="FF344" s="1080">
        <v>81.894000000000005</v>
      </c>
      <c r="FG344" s="1080">
        <v>87.228999999999999</v>
      </c>
      <c r="FH344" s="1080">
        <v>99.236000000000004</v>
      </c>
      <c r="FI344" s="1080">
        <v>41.781999999999996</v>
      </c>
      <c r="FJ344" s="1340">
        <v>81.795000000000002</v>
      </c>
      <c r="FK344" s="1080">
        <v>188.23099999999999</v>
      </c>
      <c r="FL344" s="1080">
        <v>167.84800000000001</v>
      </c>
      <c r="FM344" s="1080">
        <v>205.57900000000001</v>
      </c>
      <c r="FN344" s="1080">
        <v>171.76499999999999</v>
      </c>
      <c r="FO344" s="1080">
        <v>90.997</v>
      </c>
      <c r="FP344" s="1080">
        <v>144.78100000000001</v>
      </c>
      <c r="FQ344" s="293">
        <v>114.068</v>
      </c>
      <c r="FR344" s="293">
        <v>84.558999999999997</v>
      </c>
      <c r="FS344" s="293">
        <v>156.279</v>
      </c>
      <c r="FT344" s="293">
        <v>117.581</v>
      </c>
      <c r="FU344" s="293">
        <v>92.304000000000002</v>
      </c>
      <c r="FV344" s="293">
        <v>155.06299999999999</v>
      </c>
      <c r="FW344" s="293">
        <v>145.29300000000001</v>
      </c>
      <c r="FX344" s="293">
        <v>82.707999999999998</v>
      </c>
      <c r="FY344" s="293">
        <v>89.992999999999995</v>
      </c>
      <c r="FZ344" s="293">
        <v>140.72</v>
      </c>
      <c r="GA344" s="293">
        <v>178.79900000000001</v>
      </c>
      <c r="GB344" s="293">
        <v>174.86099999999999</v>
      </c>
      <c r="GC344" s="293">
        <v>165.13200000000001</v>
      </c>
      <c r="GD344" s="293">
        <v>142.816</v>
      </c>
      <c r="GE344" s="293">
        <v>262.96499999999997</v>
      </c>
      <c r="GF344" s="293">
        <v>284.98700000000002</v>
      </c>
      <c r="GG344" s="293">
        <v>194.70699999999999</v>
      </c>
      <c r="GH344" s="293">
        <v>190.964</v>
      </c>
      <c r="GI344" s="293">
        <v>118.236</v>
      </c>
      <c r="GJ344" s="293">
        <v>75.790999999999997</v>
      </c>
      <c r="GK344" s="293">
        <v>84.665000000000006</v>
      </c>
      <c r="GL344" s="293">
        <v>92.671000000000006</v>
      </c>
      <c r="GM344" s="293">
        <v>78.236000000000004</v>
      </c>
      <c r="GN344" s="293">
        <v>112.428</v>
      </c>
      <c r="GO344" s="293">
        <v>106.47</v>
      </c>
      <c r="GP344" s="293">
        <v>81.951999999999998</v>
      </c>
      <c r="GQ344" s="293">
        <v>134.56299999999999</v>
      </c>
      <c r="GR344" s="293">
        <v>307.62700000000001</v>
      </c>
      <c r="GS344" s="293">
        <v>267.25400000000002</v>
      </c>
      <c r="GT344" s="293">
        <v>311.60000000000002</v>
      </c>
      <c r="GU344" s="293">
        <v>189.77</v>
      </c>
      <c r="GV344" s="293">
        <v>140.75</v>
      </c>
      <c r="GW344" s="293">
        <v>125.027</v>
      </c>
      <c r="GX344" s="293">
        <v>107.502</v>
      </c>
      <c r="GY344" s="293">
        <v>177.88499999999999</v>
      </c>
      <c r="GZ344" s="293">
        <v>231.67599999999999</v>
      </c>
      <c r="HA344" s="293">
        <v>229.785</v>
      </c>
      <c r="HB344" s="293">
        <v>182.36199999999999</v>
      </c>
      <c r="HC344" s="293">
        <v>215.97800000000001</v>
      </c>
      <c r="HD344" s="293">
        <v>249.119</v>
      </c>
      <c r="HE344" s="293">
        <v>235.65600000000001</v>
      </c>
      <c r="HF344" s="293">
        <v>388.096</v>
      </c>
      <c r="HG344" s="293">
        <v>235.643</v>
      </c>
      <c r="HH344" s="293">
        <v>215.291</v>
      </c>
      <c r="HI344" s="293">
        <v>163.042</v>
      </c>
      <c r="HJ344" s="293">
        <v>215.471</v>
      </c>
      <c r="HK344" s="293">
        <v>266.70800000000003</v>
      </c>
      <c r="HL344" s="293">
        <v>701.92399999999998</v>
      </c>
      <c r="HM344" s="293"/>
      <c r="HN344" s="293"/>
      <c r="HO344" s="293"/>
      <c r="HP344" s="293"/>
      <c r="HQ344" s="293"/>
      <c r="HR344" s="293"/>
      <c r="HS344" s="293"/>
      <c r="HT344" s="293"/>
      <c r="HU344" s="293"/>
      <c r="HV344" s="293"/>
      <c r="HW344" s="293"/>
      <c r="HX344" s="293"/>
      <c r="HY344" s="293"/>
      <c r="KT344" s="280"/>
    </row>
    <row r="345" spans="1:306" outlineLevel="1">
      <c r="D345" s="301" t="s">
        <v>3781</v>
      </c>
      <c r="E345" s="293"/>
      <c r="F345" s="293"/>
      <c r="G345" s="293"/>
      <c r="H345" s="293"/>
      <c r="I345" s="293"/>
      <c r="J345" s="293"/>
      <c r="K345" s="293"/>
      <c r="L345" s="293"/>
      <c r="M345" s="293"/>
      <c r="N345" s="293"/>
      <c r="O345" s="293"/>
      <c r="P345" s="293"/>
      <c r="Q345" s="293"/>
      <c r="R345" s="293"/>
      <c r="S345" s="293"/>
      <c r="T345" s="293"/>
      <c r="U345" s="293"/>
      <c r="V345" s="293"/>
      <c r="W345" s="293"/>
      <c r="X345" s="293"/>
      <c r="Y345" s="29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c r="BN345" s="293"/>
      <c r="BO345" s="293"/>
      <c r="BP345" s="293"/>
      <c r="BQ345" s="293"/>
      <c r="BR345" s="293"/>
      <c r="BS345" s="293"/>
      <c r="BT345" s="293"/>
      <c r="BU345" s="293"/>
      <c r="BV345" s="293"/>
      <c r="BW345" s="293"/>
      <c r="BX345" s="293"/>
      <c r="BY345" s="293"/>
      <c r="BZ345" s="293"/>
      <c r="CA345" s="293"/>
      <c r="CB345" s="293"/>
      <c r="CC345" s="293"/>
      <c r="CD345" s="293"/>
      <c r="CE345" s="294"/>
      <c r="CF345" s="293"/>
      <c r="CG345" s="293"/>
      <c r="CH345" s="293"/>
      <c r="CI345" s="293"/>
      <c r="CJ345" s="293"/>
      <c r="CK345" s="293"/>
      <c r="CL345" s="293"/>
      <c r="CM345" s="293"/>
      <c r="CN345" s="293"/>
      <c r="CO345" s="293"/>
      <c r="CP345" s="295"/>
      <c r="CQ345" s="293"/>
      <c r="CR345" s="293"/>
      <c r="CS345" s="293"/>
      <c r="CT345" s="293"/>
      <c r="CU345" s="293"/>
      <c r="CV345" s="293"/>
      <c r="CW345" s="293"/>
      <c r="CX345" s="293"/>
      <c r="CY345" s="293"/>
      <c r="CZ345" s="293"/>
      <c r="DA345" s="293"/>
      <c r="DB345" s="1288"/>
      <c r="DC345" s="293">
        <v>149.33162010125</v>
      </c>
      <c r="DD345" s="293">
        <v>163.55028501840999</v>
      </c>
      <c r="DE345" s="293">
        <v>188.71587827983998</v>
      </c>
      <c r="DF345" s="293">
        <v>150.29504616848999</v>
      </c>
      <c r="DG345" s="293">
        <v>160.19878229638002</v>
      </c>
      <c r="DH345" s="293">
        <v>208.656240967</v>
      </c>
      <c r="DI345" s="293">
        <v>188.09147937481998</v>
      </c>
      <c r="DJ345" s="293">
        <v>191.04347473597002</v>
      </c>
      <c r="DK345" s="293">
        <v>201.82252739321999</v>
      </c>
      <c r="DL345" s="293">
        <v>217.75051623145998</v>
      </c>
      <c r="DM345" s="293">
        <v>202.43843514398</v>
      </c>
      <c r="DN345" s="295">
        <v>165.78306438432998</v>
      </c>
      <c r="DO345" s="293">
        <v>188.67762914446001</v>
      </c>
      <c r="DP345" s="293">
        <v>204.35271545064001</v>
      </c>
      <c r="DQ345" s="293">
        <v>218.36682219648998</v>
      </c>
      <c r="DR345" s="293">
        <v>209.90205095478998</v>
      </c>
      <c r="DS345" s="293">
        <v>215.18993973676001</v>
      </c>
      <c r="DT345" s="293">
        <v>237.94894853970001</v>
      </c>
      <c r="DU345" s="293">
        <v>253.09440022466666</v>
      </c>
      <c r="DV345" s="293">
        <v>207.14709596833333</v>
      </c>
      <c r="DW345" s="293">
        <v>228.56298367766669</v>
      </c>
      <c r="DX345" s="293">
        <v>229.78156467433334</v>
      </c>
      <c r="DY345" s="293">
        <v>188.27862785466667</v>
      </c>
      <c r="DZ345" s="295">
        <v>176.19268960033332</v>
      </c>
      <c r="EA345" s="293">
        <v>175.48531596833331</v>
      </c>
      <c r="EB345" s="293">
        <v>177.61379108033333</v>
      </c>
      <c r="EC345" s="293">
        <v>196.48553197633333</v>
      </c>
      <c r="ED345" s="293">
        <v>191.46398245833333</v>
      </c>
      <c r="EE345" s="293">
        <v>190.07703511299997</v>
      </c>
      <c r="EF345" s="293">
        <v>257.49328670066672</v>
      </c>
      <c r="EG345" s="293">
        <v>259.04312135700008</v>
      </c>
      <c r="EH345" s="293">
        <v>242.889992474</v>
      </c>
      <c r="EI345" s="293">
        <v>224.15406093933333</v>
      </c>
      <c r="EJ345" s="293">
        <v>220.61871504833331</v>
      </c>
      <c r="EK345" s="293">
        <v>198.01962225466667</v>
      </c>
      <c r="EL345" s="295">
        <v>194.23832628666668</v>
      </c>
      <c r="EM345" s="1080">
        <v>212.01893171099999</v>
      </c>
      <c r="EN345" s="1080">
        <v>240.92866664433333</v>
      </c>
      <c r="EO345" s="1080">
        <v>233.16044943500003</v>
      </c>
      <c r="EP345" s="1080">
        <v>205.03633925266666</v>
      </c>
      <c r="EQ345" s="1080">
        <v>205.47836131633335</v>
      </c>
      <c r="ER345" s="1080">
        <v>270.38629287066669</v>
      </c>
      <c r="ES345" s="1080">
        <v>279.53143102533335</v>
      </c>
      <c r="ET345" s="1080">
        <v>242.32602015866667</v>
      </c>
      <c r="EU345" s="1080">
        <v>231.24317950099999</v>
      </c>
      <c r="EV345" s="1080">
        <v>218.26215619100003</v>
      </c>
      <c r="EW345" s="1080">
        <v>203.60626367266667</v>
      </c>
      <c r="EX345" s="1340">
        <v>214.77118592433334</v>
      </c>
      <c r="EY345" s="1080">
        <v>217.73851764199998</v>
      </c>
      <c r="EZ345" s="1080">
        <v>232.95372592466668</v>
      </c>
      <c r="FA345" s="1080">
        <v>239.46271997366668</v>
      </c>
      <c r="FB345" s="1080">
        <v>284.21111464100005</v>
      </c>
      <c r="FC345" s="1080">
        <v>256.83154098533345</v>
      </c>
      <c r="FD345" s="1080">
        <v>289.24962967266674</v>
      </c>
      <c r="FE345" s="1080">
        <v>294.36905400833331</v>
      </c>
      <c r="FF345" s="1080">
        <v>293.80480759033327</v>
      </c>
      <c r="FG345" s="1080">
        <v>277.03109885000003</v>
      </c>
      <c r="FH345" s="1080">
        <v>341.52221246266663</v>
      </c>
      <c r="FI345" s="1080">
        <v>335.4028621986667</v>
      </c>
      <c r="FJ345" s="1340">
        <v>442.94270260099989</v>
      </c>
      <c r="FK345" s="1080">
        <v>441.19256267933326</v>
      </c>
      <c r="FL345" s="1080">
        <v>447.20805017433344</v>
      </c>
      <c r="FM345" s="1080">
        <v>513.3250920006667</v>
      </c>
      <c r="FN345" s="1080">
        <v>537.98915673166675</v>
      </c>
      <c r="FO345" s="1080">
        <v>542.07974122733322</v>
      </c>
      <c r="FP345" s="1080">
        <v>626.91256843133306</v>
      </c>
      <c r="FQ345" s="293">
        <v>633.70982598233331</v>
      </c>
      <c r="FR345" s="293">
        <v>574.53720725166659</v>
      </c>
      <c r="FS345" s="293">
        <v>528.26269810966664</v>
      </c>
      <c r="FT345" s="293">
        <v>614.10158802933324</v>
      </c>
      <c r="FU345" s="293">
        <v>542.01106724466672</v>
      </c>
      <c r="FV345" s="293">
        <v>403.53631925533341</v>
      </c>
      <c r="FW345" s="293">
        <v>475.38539810133329</v>
      </c>
      <c r="FX345" s="293">
        <v>673.76930695033343</v>
      </c>
      <c r="FY345" s="293">
        <v>547.18073898000011</v>
      </c>
      <c r="FZ345" s="293">
        <v>482.3360038113334</v>
      </c>
      <c r="GA345" s="293">
        <v>455.86923624666667</v>
      </c>
      <c r="GB345" s="293">
        <v>483.32428380433316</v>
      </c>
      <c r="GC345" s="293">
        <v>389.24566315533326</v>
      </c>
      <c r="GD345" s="293">
        <v>375.95105800166675</v>
      </c>
      <c r="GE345" s="293">
        <v>410.07667294566664</v>
      </c>
      <c r="GF345" s="293">
        <v>453.84815192566674</v>
      </c>
      <c r="GG345" s="293">
        <v>601.16040060866669</v>
      </c>
      <c r="GH345" s="293">
        <v>538.68724204</v>
      </c>
      <c r="GI345" s="293">
        <v>588.15672330899997</v>
      </c>
      <c r="GJ345" s="293">
        <v>481.25814813766664</v>
      </c>
      <c r="GK345" s="293">
        <v>418.66633297666664</v>
      </c>
      <c r="GL345" s="293">
        <v>371.01831760366662</v>
      </c>
      <c r="GM345" s="293">
        <v>323.45613101866667</v>
      </c>
      <c r="GN345" s="293">
        <v>450.8049518043332</v>
      </c>
      <c r="GO345" s="293">
        <v>290.56178302033334</v>
      </c>
      <c r="GP345" s="293">
        <v>285.77145731066662</v>
      </c>
      <c r="GQ345" s="293">
        <v>432.33085011933338</v>
      </c>
      <c r="GR345" s="293">
        <v>418.55592172233327</v>
      </c>
      <c r="GS345" s="293">
        <v>428.84738519833343</v>
      </c>
      <c r="GT345" s="293">
        <v>338.75751555833324</v>
      </c>
      <c r="GU345" s="293">
        <v>364.97574499833343</v>
      </c>
      <c r="GV345" s="293">
        <v>306.49256664933336</v>
      </c>
      <c r="GW345" s="293">
        <v>347.37355616599996</v>
      </c>
      <c r="GX345" s="293">
        <v>324.09546284833323</v>
      </c>
      <c r="GY345" s="293">
        <v>292.52757870900001</v>
      </c>
      <c r="GZ345" s="293">
        <v>546.96718398300004</v>
      </c>
      <c r="HA345" s="293">
        <v>291.99283123133341</v>
      </c>
      <c r="HB345" s="293">
        <v>273.41501414300001</v>
      </c>
      <c r="HC345" s="293">
        <v>298.37288789699988</v>
      </c>
      <c r="HD345" s="293">
        <v>294.14850672399996</v>
      </c>
      <c r="HE345" s="293">
        <v>279.40340592933325</v>
      </c>
      <c r="HF345" s="293">
        <v>253.84172850099992</v>
      </c>
      <c r="HG345" s="293">
        <v>300.39025875966672</v>
      </c>
      <c r="HH345" s="293">
        <v>278.32765835833328</v>
      </c>
      <c r="HI345" s="293">
        <v>307.47181723433323</v>
      </c>
      <c r="HJ345" s="293">
        <v>256.35084649666663</v>
      </c>
      <c r="HK345" s="293">
        <v>260.24074399833336</v>
      </c>
      <c r="HL345" s="293">
        <v>526.76211628600004</v>
      </c>
      <c r="HM345" s="293"/>
      <c r="HN345" s="293"/>
      <c r="HO345" s="293"/>
      <c r="HP345" s="293"/>
      <c r="HQ345" s="293"/>
      <c r="HR345" s="293"/>
      <c r="HS345" s="293"/>
      <c r="HT345" s="293"/>
      <c r="HU345" s="293"/>
      <c r="HV345" s="293"/>
      <c r="HW345" s="293"/>
      <c r="HX345" s="293"/>
      <c r="HY345" s="293"/>
      <c r="KT345" s="280"/>
    </row>
    <row r="347" spans="1:306" outlineLevel="1">
      <c r="CE347" s="793"/>
      <c r="CP347" s="280"/>
      <c r="DC347" s="843" t="s">
        <v>1051</v>
      </c>
      <c r="EA347" s="279"/>
      <c r="EB347" s="279"/>
      <c r="EC347" s="279"/>
      <c r="ED347" s="279"/>
      <c r="EE347" s="279"/>
      <c r="EF347" s="279"/>
      <c r="EG347" s="279"/>
      <c r="EH347" s="279"/>
      <c r="EI347" s="279"/>
      <c r="EJ347" s="279"/>
      <c r="EK347" s="279"/>
      <c r="EL347" s="280"/>
      <c r="EM347" s="279"/>
      <c r="EN347" s="279"/>
      <c r="EO347" s="279"/>
      <c r="EP347" s="279"/>
      <c r="EQ347" s="279"/>
      <c r="ER347" s="279"/>
      <c r="ES347" s="279"/>
      <c r="ET347" s="279"/>
      <c r="EU347" s="279"/>
      <c r="EV347" s="279"/>
      <c r="EW347" s="279"/>
      <c r="EX347" s="280"/>
      <c r="EY347" s="279"/>
      <c r="EZ347" s="279"/>
      <c r="FA347" s="279"/>
      <c r="FB347" s="279"/>
      <c r="FC347" s="279"/>
      <c r="FD347" s="279"/>
      <c r="FE347" s="279"/>
      <c r="FF347" s="279"/>
      <c r="FG347" s="279"/>
      <c r="FH347" s="279"/>
      <c r="FI347" s="279"/>
      <c r="FJ347" s="280"/>
      <c r="FK347" s="279"/>
      <c r="FL347" s="279"/>
      <c r="FM347" s="279"/>
      <c r="FN347" s="279"/>
      <c r="FO347" s="279"/>
      <c r="FP347" s="279"/>
      <c r="FQ347" s="279"/>
      <c r="FR347" s="279"/>
      <c r="FS347" s="279"/>
      <c r="FT347" s="279"/>
      <c r="FU347" s="279"/>
      <c r="FV347" s="279"/>
      <c r="FW347" s="279"/>
      <c r="FX347" s="279"/>
      <c r="FY347" s="279"/>
      <c r="FZ347" s="279"/>
      <c r="GA347" s="279"/>
      <c r="GB347" s="279"/>
      <c r="GC347" s="279"/>
      <c r="GD347" s="279"/>
      <c r="GE347" s="279"/>
      <c r="GF347" s="279"/>
      <c r="GG347" s="279"/>
      <c r="GH347" s="279"/>
      <c r="GI347" s="279"/>
      <c r="GJ347" s="279"/>
      <c r="GK347" s="279"/>
      <c r="GL347" s="279"/>
      <c r="GM347" s="279"/>
      <c r="GN347" s="279"/>
      <c r="GO347" s="279"/>
      <c r="GP347" s="279"/>
      <c r="GQ347" s="279"/>
      <c r="GR347" s="279"/>
      <c r="GS347" s="279"/>
      <c r="GT347" s="279"/>
      <c r="GU347" s="279"/>
      <c r="GV347" s="279"/>
      <c r="GW347" s="279"/>
      <c r="GX347" s="279"/>
      <c r="GY347" s="279"/>
      <c r="GZ347" s="279"/>
      <c r="HA347" s="279"/>
      <c r="HB347" s="279"/>
      <c r="HC347" s="279"/>
      <c r="HD347" s="279"/>
      <c r="HE347" s="279"/>
      <c r="HF347" s="279"/>
      <c r="HG347" s="279"/>
      <c r="HH347" s="279"/>
      <c r="HI347" s="279"/>
      <c r="HJ347" s="279"/>
      <c r="HK347" s="279"/>
      <c r="HL347" s="279"/>
      <c r="HM347" s="279"/>
      <c r="HN347" s="279"/>
      <c r="HO347" s="279"/>
      <c r="HP347" s="279"/>
      <c r="HQ347" s="279"/>
      <c r="HR347" s="279"/>
      <c r="HS347" s="279"/>
      <c r="HT347" s="279"/>
      <c r="HU347" s="279"/>
      <c r="HV347" s="279"/>
      <c r="HW347" s="279"/>
      <c r="HX347" s="279"/>
      <c r="HY347" s="279"/>
      <c r="KT347" s="280"/>
    </row>
    <row r="348" spans="1:306" outlineLevel="1">
      <c r="CE348" s="793"/>
      <c r="CP348" s="280"/>
      <c r="EA348" s="279"/>
      <c r="EB348" s="279"/>
      <c r="EC348" s="279"/>
      <c r="ED348" s="279"/>
      <c r="EE348" s="279"/>
      <c r="EF348" s="279"/>
      <c r="EG348" s="279"/>
      <c r="EH348" s="279"/>
      <c r="EI348" s="279"/>
      <c r="EJ348" s="279"/>
      <c r="EK348" s="279"/>
      <c r="EL348" s="280"/>
      <c r="EM348" s="279"/>
      <c r="EN348" s="279"/>
      <c r="EO348" s="279"/>
      <c r="EP348" s="279"/>
      <c r="EQ348" s="279"/>
      <c r="ER348" s="279"/>
      <c r="ES348" s="279"/>
      <c r="ET348" s="279"/>
      <c r="EU348" s="279"/>
      <c r="EV348" s="279"/>
      <c r="EW348" s="279"/>
      <c r="EX348" s="280"/>
      <c r="EY348" s="279"/>
      <c r="EZ348" s="279"/>
      <c r="FA348" s="279"/>
      <c r="FB348" s="279"/>
      <c r="FC348" s="279"/>
      <c r="FD348" s="279"/>
      <c r="FE348" s="279"/>
      <c r="FF348" s="279"/>
      <c r="FG348" s="279"/>
      <c r="FH348" s="279"/>
      <c r="FI348" s="279"/>
      <c r="FJ348" s="280"/>
      <c r="FK348" s="279"/>
      <c r="FL348" s="279"/>
      <c r="FM348" s="279"/>
      <c r="FN348" s="279"/>
      <c r="FO348" s="279"/>
      <c r="FP348" s="279"/>
      <c r="FQ348" s="279"/>
      <c r="FR348" s="279"/>
      <c r="FS348" s="279"/>
      <c r="FT348" s="279"/>
      <c r="FU348" s="279"/>
      <c r="FV348" s="279"/>
      <c r="FW348" s="279"/>
      <c r="FX348" s="279"/>
      <c r="FY348" s="279"/>
      <c r="FZ348" s="279"/>
      <c r="GA348" s="279"/>
      <c r="GB348" s="279"/>
      <c r="GC348" s="279"/>
      <c r="GD348" s="279"/>
      <c r="GE348" s="279"/>
      <c r="GF348" s="279"/>
      <c r="GG348" s="279"/>
      <c r="GH348" s="279"/>
      <c r="GI348" s="279">
        <f>GI354+GI357</f>
        <v>50.218975899664734</v>
      </c>
      <c r="GJ348" s="279">
        <f>GJ354+GJ357</f>
        <v>54.23449619174643</v>
      </c>
      <c r="GK348" s="279">
        <f>GK354+GK357</f>
        <v>65.231147794521277</v>
      </c>
      <c r="GL348" s="279">
        <f>GL354+GL357</f>
        <v>46.642796916478801</v>
      </c>
      <c r="GM348" s="279"/>
      <c r="GN348" s="279"/>
      <c r="GO348" s="279"/>
      <c r="GP348" s="279"/>
      <c r="GQ348" s="279"/>
      <c r="GR348" s="279"/>
      <c r="GS348" s="279"/>
      <c r="GT348" s="279"/>
      <c r="GU348" s="279"/>
      <c r="GV348" s="279"/>
      <c r="GW348" s="279"/>
      <c r="GX348" s="279"/>
      <c r="GY348" s="279"/>
      <c r="GZ348" s="279"/>
      <c r="HA348" s="279"/>
      <c r="HB348" s="279"/>
      <c r="HC348" s="279"/>
      <c r="HD348" s="279"/>
      <c r="HE348" s="279"/>
      <c r="HF348" s="279"/>
      <c r="HG348" s="279"/>
      <c r="HH348" s="279"/>
      <c r="HI348" s="279"/>
      <c r="HJ348" s="279"/>
      <c r="HK348" s="279"/>
      <c r="HL348" s="279"/>
      <c r="HM348" s="279"/>
      <c r="HN348" s="279"/>
      <c r="HO348" s="279"/>
      <c r="HP348" s="279"/>
      <c r="HQ348" s="279"/>
      <c r="HR348" s="279"/>
      <c r="HS348" s="279"/>
      <c r="HT348" s="279"/>
      <c r="HU348" s="279"/>
      <c r="HV348" s="279"/>
      <c r="HW348" s="279"/>
      <c r="HX348" s="279"/>
      <c r="HY348" s="279"/>
      <c r="KT348" s="280"/>
    </row>
    <row r="349" spans="1:306" outlineLevel="1">
      <c r="CE349" s="793"/>
      <c r="CP349" s="280"/>
      <c r="EA349" s="279"/>
      <c r="EB349" s="279"/>
      <c r="EC349" s="279"/>
      <c r="ED349" s="279"/>
      <c r="EE349" s="279"/>
      <c r="EF349" s="279"/>
      <c r="EG349" s="279"/>
      <c r="EH349" s="279"/>
      <c r="EI349" s="279"/>
      <c r="EJ349" s="279"/>
      <c r="EK349" s="279"/>
      <c r="EL349" s="280"/>
      <c r="EM349" s="279"/>
      <c r="EN349" s="279"/>
      <c r="EO349" s="279"/>
      <c r="EP349" s="279"/>
      <c r="EQ349" s="279"/>
      <c r="ER349" s="279"/>
      <c r="ES349" s="279"/>
      <c r="ET349" s="279"/>
      <c r="EU349" s="279"/>
      <c r="EV349" s="279"/>
      <c r="EW349" s="279"/>
      <c r="EX349" s="280"/>
      <c r="EY349" s="279"/>
      <c r="EZ349" s="279"/>
      <c r="FA349" s="279"/>
      <c r="FB349" s="279"/>
      <c r="FC349" s="279"/>
      <c r="FD349" s="279"/>
      <c r="FE349" s="279"/>
      <c r="FF349" s="279"/>
      <c r="FG349" s="279"/>
      <c r="FH349" s="279"/>
      <c r="FI349" s="279"/>
      <c r="FJ349" s="280"/>
      <c r="FK349" s="279"/>
      <c r="FL349" s="279"/>
      <c r="FM349" s="279"/>
      <c r="FN349" s="279"/>
      <c r="FO349" s="279"/>
      <c r="FP349" s="279"/>
      <c r="FQ349" s="279"/>
      <c r="FR349" s="279"/>
      <c r="FS349" s="279"/>
      <c r="FT349" s="279"/>
      <c r="FU349" s="279"/>
      <c r="FV349" s="279"/>
      <c r="FW349" s="279"/>
      <c r="FX349" s="279"/>
      <c r="FY349" s="279"/>
      <c r="FZ349" s="279"/>
      <c r="GA349" s="279"/>
      <c r="GB349" s="279"/>
      <c r="GC349" s="279"/>
      <c r="GD349" s="279"/>
      <c r="GE349" s="279"/>
      <c r="GF349" s="279"/>
      <c r="GG349" s="279"/>
      <c r="GH349" s="279"/>
      <c r="GI349" s="279"/>
      <c r="GJ349" s="279"/>
      <c r="GK349" s="279"/>
      <c r="GL349" s="279"/>
      <c r="GM349" s="1678"/>
      <c r="GN349" s="279"/>
      <c r="GO349" s="279"/>
      <c r="GP349" s="279"/>
      <c r="GQ349" s="279"/>
      <c r="GR349" s="279"/>
      <c r="GS349" s="279"/>
      <c r="GT349" s="279"/>
      <c r="GU349" s="279"/>
      <c r="GV349" s="279"/>
      <c r="GW349" s="279"/>
      <c r="GX349" s="279"/>
      <c r="GY349" s="279"/>
      <c r="GZ349" s="279"/>
      <c r="HA349" s="279"/>
      <c r="HB349" s="279"/>
      <c r="HC349" s="279"/>
      <c r="HD349" s="279"/>
      <c r="HE349" s="279"/>
      <c r="HF349" s="279"/>
      <c r="HG349" s="279"/>
      <c r="HH349" s="279"/>
      <c r="HI349" s="279"/>
      <c r="HJ349" s="279"/>
      <c r="HK349" s="279"/>
      <c r="HL349" s="279"/>
      <c r="HM349" s="279"/>
      <c r="HN349" s="279"/>
      <c r="HO349" s="279"/>
      <c r="HP349" s="279"/>
      <c r="HQ349" s="279"/>
      <c r="HR349" s="279"/>
      <c r="HS349" s="279"/>
      <c r="HT349" s="279"/>
      <c r="HU349" s="279"/>
      <c r="HV349" s="279"/>
      <c r="HW349" s="279"/>
      <c r="HX349" s="279"/>
      <c r="HY349" s="279"/>
      <c r="KT349" s="280"/>
    </row>
    <row r="350" spans="1:306" ht="17.399999999999999" outlineLevel="1">
      <c r="D350" s="1267" t="s">
        <v>3713</v>
      </c>
      <c r="E350" s="1079">
        <v>39083</v>
      </c>
      <c r="F350" s="1079">
        <v>39114</v>
      </c>
      <c r="G350" s="1079">
        <v>39142</v>
      </c>
      <c r="H350" s="1079">
        <v>39173</v>
      </c>
      <c r="I350" s="1079">
        <v>39203</v>
      </c>
      <c r="J350" s="1079">
        <v>39234</v>
      </c>
      <c r="K350" s="1079">
        <v>39264</v>
      </c>
      <c r="L350" s="1079">
        <v>39295</v>
      </c>
      <c r="M350" s="1079">
        <v>39326</v>
      </c>
      <c r="N350" s="1079">
        <v>39356</v>
      </c>
      <c r="O350" s="1079">
        <v>39387</v>
      </c>
      <c r="P350" s="1079">
        <v>39417</v>
      </c>
      <c r="Q350" s="1079">
        <v>39448</v>
      </c>
      <c r="R350" s="1079">
        <v>39479</v>
      </c>
      <c r="S350" s="1079">
        <v>39508</v>
      </c>
      <c r="T350" s="1079">
        <v>39539</v>
      </c>
      <c r="U350" s="1079">
        <v>39569</v>
      </c>
      <c r="V350" s="1079">
        <v>39600</v>
      </c>
      <c r="W350" s="1079">
        <v>39630</v>
      </c>
      <c r="X350" s="1079">
        <v>39661</v>
      </c>
      <c r="Y350" s="1079">
        <v>39692</v>
      </c>
      <c r="Z350" s="1079">
        <v>39722</v>
      </c>
      <c r="AA350" s="1079">
        <v>39753</v>
      </c>
      <c r="AB350" s="1079">
        <v>39783</v>
      </c>
      <c r="AC350" s="1079">
        <v>39814</v>
      </c>
      <c r="AD350" s="1079">
        <v>39845</v>
      </c>
      <c r="AE350" s="1079">
        <v>39873</v>
      </c>
      <c r="AF350" s="1079">
        <v>39904</v>
      </c>
      <c r="AG350" s="1079">
        <v>39934</v>
      </c>
      <c r="AH350" s="1079">
        <v>39965</v>
      </c>
      <c r="AI350" s="1079">
        <v>39995</v>
      </c>
      <c r="AJ350" s="1079">
        <v>40026</v>
      </c>
      <c r="AK350" s="1079">
        <v>40057</v>
      </c>
      <c r="AL350" s="1079">
        <v>40087</v>
      </c>
      <c r="AM350" s="1079">
        <v>40118</v>
      </c>
      <c r="AN350" s="1079">
        <v>40148</v>
      </c>
      <c r="AO350" s="1079">
        <v>40179</v>
      </c>
      <c r="AP350" s="1079">
        <v>40210</v>
      </c>
      <c r="AQ350" s="1079">
        <v>40238</v>
      </c>
      <c r="AR350" s="1079">
        <v>40269</v>
      </c>
      <c r="AS350" s="1079">
        <v>40299</v>
      </c>
      <c r="AT350" s="1079">
        <v>40330</v>
      </c>
      <c r="AU350" s="1079">
        <v>40360</v>
      </c>
      <c r="AV350" s="1079">
        <v>40391</v>
      </c>
      <c r="AW350" s="1079">
        <v>40422</v>
      </c>
      <c r="AX350" s="1079">
        <v>40452</v>
      </c>
      <c r="AY350" s="1079">
        <v>40483</v>
      </c>
      <c r="AZ350" s="1079">
        <v>40513</v>
      </c>
      <c r="BA350" s="1079">
        <v>40544</v>
      </c>
      <c r="BB350" s="1079">
        <v>40575</v>
      </c>
      <c r="BC350" s="1079">
        <v>40603</v>
      </c>
      <c r="BD350" s="1079">
        <v>40634</v>
      </c>
      <c r="BE350" s="1079">
        <v>40664</v>
      </c>
      <c r="BF350" s="1079">
        <v>40695</v>
      </c>
      <c r="BG350" s="1079">
        <v>40725</v>
      </c>
      <c r="BH350" s="1079">
        <v>40756</v>
      </c>
      <c r="BI350" s="1079">
        <v>40787</v>
      </c>
      <c r="BJ350" s="1079">
        <v>40817</v>
      </c>
      <c r="BK350" s="1079">
        <v>40848</v>
      </c>
      <c r="BL350" s="1079">
        <v>40878</v>
      </c>
      <c r="BM350" s="1079">
        <v>40909</v>
      </c>
      <c r="BN350" s="1079">
        <v>40940</v>
      </c>
      <c r="BO350" s="1079">
        <v>40969</v>
      </c>
      <c r="BP350" s="1079">
        <v>41000</v>
      </c>
      <c r="BQ350" s="1079">
        <v>41030</v>
      </c>
      <c r="BR350" s="1079">
        <v>41061</v>
      </c>
      <c r="BS350" s="1079">
        <v>41091</v>
      </c>
      <c r="BT350" s="1079">
        <v>41122</v>
      </c>
      <c r="BU350" s="1079">
        <v>41153</v>
      </c>
      <c r="BV350" s="1079">
        <v>41183</v>
      </c>
      <c r="BW350" s="1079">
        <v>41214</v>
      </c>
      <c r="BX350" s="1079">
        <v>41244</v>
      </c>
      <c r="BY350" s="1079">
        <v>41275</v>
      </c>
      <c r="BZ350" s="1079">
        <v>41306</v>
      </c>
      <c r="CA350" s="1079">
        <v>41334</v>
      </c>
      <c r="CB350" s="1079">
        <v>41365</v>
      </c>
      <c r="CC350" s="1079">
        <v>41395</v>
      </c>
      <c r="CD350" s="1079">
        <v>41426</v>
      </c>
      <c r="CE350" s="1079">
        <v>41456</v>
      </c>
      <c r="CF350" s="1079">
        <v>41487</v>
      </c>
      <c r="CG350" s="1079">
        <v>41518</v>
      </c>
      <c r="CH350" s="1079">
        <v>41548</v>
      </c>
      <c r="CI350" s="1079">
        <v>41579</v>
      </c>
      <c r="CJ350" s="1079">
        <v>41609</v>
      </c>
      <c r="CK350" s="1079">
        <v>41640</v>
      </c>
      <c r="CL350" s="1079">
        <v>41671</v>
      </c>
      <c r="CM350" s="1079">
        <v>41699</v>
      </c>
      <c r="CN350" s="1079">
        <v>41730</v>
      </c>
      <c r="CO350" s="1079">
        <v>41760</v>
      </c>
      <c r="CP350" s="1079">
        <v>41791</v>
      </c>
      <c r="CQ350" s="1079">
        <v>41821</v>
      </c>
      <c r="CR350" s="1079">
        <v>41852</v>
      </c>
      <c r="CS350" s="1079">
        <v>41883</v>
      </c>
      <c r="CT350" s="1079">
        <v>41913</v>
      </c>
      <c r="CU350" s="1079">
        <v>41944</v>
      </c>
      <c r="CV350" s="1079">
        <v>41974</v>
      </c>
      <c r="CW350" s="1079">
        <v>42005</v>
      </c>
      <c r="CX350" s="1079">
        <v>42036</v>
      </c>
      <c r="CY350" s="1079">
        <v>42064</v>
      </c>
      <c r="CZ350" s="1079">
        <v>42095</v>
      </c>
      <c r="DA350" s="1079">
        <v>42125</v>
      </c>
      <c r="DB350" s="1079">
        <v>42156</v>
      </c>
      <c r="DC350" s="1079">
        <v>42186</v>
      </c>
      <c r="DD350" s="1079">
        <v>42217</v>
      </c>
      <c r="DE350" s="1079">
        <v>42248</v>
      </c>
      <c r="DF350" s="1079">
        <v>42278</v>
      </c>
      <c r="DG350" s="1079">
        <v>42309</v>
      </c>
      <c r="DH350" s="1079">
        <v>42339</v>
      </c>
      <c r="DI350" s="1079">
        <v>42370</v>
      </c>
      <c r="DJ350" s="1079">
        <v>42401</v>
      </c>
      <c r="DK350" s="1079">
        <v>42430</v>
      </c>
      <c r="DL350" s="1079">
        <v>42461</v>
      </c>
      <c r="DM350" s="1079">
        <v>42491</v>
      </c>
      <c r="DN350" s="1079">
        <v>42522</v>
      </c>
      <c r="DO350" s="1079">
        <v>42552</v>
      </c>
      <c r="DP350" s="1079">
        <v>42583</v>
      </c>
      <c r="DQ350" s="1079">
        <v>42615</v>
      </c>
      <c r="DR350" s="1079">
        <v>42646</v>
      </c>
      <c r="DS350" s="1079">
        <v>42678</v>
      </c>
      <c r="DT350" s="1079">
        <v>42709</v>
      </c>
      <c r="DU350" s="1079">
        <v>42736</v>
      </c>
      <c r="DV350" s="1079">
        <v>42767</v>
      </c>
      <c r="DW350" s="1079">
        <v>42795</v>
      </c>
      <c r="DX350" s="1079">
        <v>42826</v>
      </c>
      <c r="DY350" s="1079">
        <v>42856</v>
      </c>
      <c r="DZ350" s="1079">
        <v>42887</v>
      </c>
      <c r="EA350" s="1079">
        <v>42917</v>
      </c>
      <c r="EB350" s="1079">
        <v>42948</v>
      </c>
      <c r="EC350" s="1079">
        <v>42979</v>
      </c>
      <c r="ED350" s="1079">
        <v>43009</v>
      </c>
      <c r="EE350" s="1079">
        <v>43040</v>
      </c>
      <c r="EF350" s="1079">
        <v>43070</v>
      </c>
      <c r="EG350" s="1079">
        <v>43101</v>
      </c>
      <c r="EH350" s="1079">
        <v>43132</v>
      </c>
      <c r="EI350" s="1079">
        <v>43160</v>
      </c>
      <c r="EJ350" s="1079">
        <v>43191</v>
      </c>
      <c r="EK350" s="1079">
        <v>43221</v>
      </c>
      <c r="EL350" s="1079">
        <v>43252</v>
      </c>
      <c r="EM350" s="1079">
        <v>43282</v>
      </c>
      <c r="EN350" s="1079">
        <v>43313</v>
      </c>
      <c r="EO350" s="1079">
        <v>43344</v>
      </c>
      <c r="EP350" s="1079">
        <v>43374</v>
      </c>
      <c r="EQ350" s="1079">
        <v>43405</v>
      </c>
      <c r="ER350" s="1079">
        <v>43435</v>
      </c>
      <c r="ES350" s="1079">
        <v>43466</v>
      </c>
      <c r="ET350" s="1079">
        <v>43497</v>
      </c>
      <c r="EU350" s="1079">
        <v>43525</v>
      </c>
      <c r="EV350" s="1079">
        <v>43556</v>
      </c>
      <c r="EW350" s="1079">
        <v>43586</v>
      </c>
      <c r="EX350" s="1079">
        <v>43617</v>
      </c>
      <c r="EY350" s="1079">
        <v>43647</v>
      </c>
      <c r="EZ350" s="1079">
        <v>43678</v>
      </c>
      <c r="FA350" s="1079">
        <v>43709</v>
      </c>
      <c r="FB350" s="1079">
        <v>43739</v>
      </c>
      <c r="FC350" s="1079">
        <v>43770</v>
      </c>
      <c r="FD350" s="1079">
        <v>43800</v>
      </c>
      <c r="FE350" s="1079">
        <v>43831</v>
      </c>
      <c r="FF350" s="1079">
        <v>43862</v>
      </c>
      <c r="FG350" s="1079">
        <v>43891</v>
      </c>
      <c r="FH350" s="1079">
        <v>43922</v>
      </c>
      <c r="FI350" s="1079">
        <v>43952</v>
      </c>
      <c r="FJ350" s="1079">
        <v>43983</v>
      </c>
      <c r="FK350" s="1079">
        <v>44013</v>
      </c>
      <c r="FL350" s="1079">
        <v>44044</v>
      </c>
      <c r="FM350" s="1079">
        <v>44075</v>
      </c>
      <c r="FN350" s="1079">
        <v>44105</v>
      </c>
      <c r="FO350" s="1079">
        <v>44136</v>
      </c>
      <c r="FP350" s="1079">
        <v>44166</v>
      </c>
      <c r="FQ350" s="1079">
        <v>44197</v>
      </c>
      <c r="FR350" s="1079">
        <v>44228</v>
      </c>
      <c r="FS350" s="1079">
        <v>44256</v>
      </c>
      <c r="FT350" s="1079">
        <v>44287</v>
      </c>
      <c r="FU350" s="1079">
        <v>44317</v>
      </c>
      <c r="FV350" s="1079">
        <v>44348</v>
      </c>
      <c r="FW350" s="1079">
        <v>44378</v>
      </c>
      <c r="FX350" s="1079">
        <v>44409</v>
      </c>
      <c r="FY350" s="1079">
        <v>44440</v>
      </c>
      <c r="FZ350" s="1079">
        <v>44470</v>
      </c>
      <c r="GA350" s="1079">
        <v>44501</v>
      </c>
      <c r="GB350" s="1079">
        <v>44531</v>
      </c>
      <c r="GC350" s="1079">
        <v>44562</v>
      </c>
      <c r="GD350" s="1079">
        <v>44593</v>
      </c>
      <c r="GE350" s="1079">
        <v>44621</v>
      </c>
      <c r="GF350" s="1079">
        <v>44652</v>
      </c>
      <c r="GG350" s="1079">
        <v>44682</v>
      </c>
      <c r="GH350" s="1079">
        <v>44713</v>
      </c>
      <c r="GI350" s="1079">
        <v>44743</v>
      </c>
      <c r="GJ350" s="1079">
        <v>44774</v>
      </c>
      <c r="GK350" s="1079">
        <v>44805</v>
      </c>
      <c r="GL350" s="1079">
        <v>44835</v>
      </c>
      <c r="GM350" s="1079">
        <v>44866</v>
      </c>
      <c r="GN350" s="1079">
        <v>44896</v>
      </c>
      <c r="GO350" s="1079">
        <v>44927</v>
      </c>
      <c r="GP350" s="1079">
        <v>44958</v>
      </c>
      <c r="GQ350" s="1079">
        <v>44986</v>
      </c>
      <c r="GR350" s="1079">
        <v>45017</v>
      </c>
      <c r="GS350" s="1079">
        <v>45047</v>
      </c>
      <c r="GT350" s="1079">
        <v>45078</v>
      </c>
      <c r="GU350" s="1079">
        <v>45108</v>
      </c>
      <c r="GV350" s="1079">
        <v>45139</v>
      </c>
      <c r="GW350" s="1079">
        <v>45170</v>
      </c>
      <c r="GX350" s="1079">
        <v>45200</v>
      </c>
      <c r="GY350" s="1079">
        <v>45231</v>
      </c>
      <c r="GZ350" s="1079">
        <v>45261</v>
      </c>
      <c r="HA350" s="1079">
        <v>45292</v>
      </c>
      <c r="HB350" s="1079">
        <v>45323</v>
      </c>
      <c r="HC350" s="1079">
        <v>45352</v>
      </c>
      <c r="HD350" s="1079">
        <v>45383</v>
      </c>
      <c r="HE350" s="1079">
        <v>45413</v>
      </c>
      <c r="HF350" s="1079">
        <v>45444</v>
      </c>
      <c r="HG350" s="1079">
        <v>45474</v>
      </c>
      <c r="HH350" s="1079">
        <v>45505</v>
      </c>
      <c r="HI350" s="1079">
        <v>45536</v>
      </c>
      <c r="HJ350" s="1079">
        <v>45566</v>
      </c>
      <c r="HK350" s="1079">
        <v>45597</v>
      </c>
      <c r="HL350" s="1079">
        <v>45627</v>
      </c>
      <c r="HM350" s="1079">
        <v>45658</v>
      </c>
      <c r="HN350" s="1079">
        <v>45689</v>
      </c>
      <c r="HO350" s="1079">
        <v>45717</v>
      </c>
      <c r="HP350" s="1079">
        <v>45748</v>
      </c>
      <c r="HQ350" s="1079">
        <v>45778</v>
      </c>
      <c r="HR350" s="1079">
        <v>45809</v>
      </c>
      <c r="HS350" s="1079">
        <v>45839</v>
      </c>
      <c r="HT350" s="1079">
        <v>45870</v>
      </c>
      <c r="HU350" s="1079">
        <v>45901</v>
      </c>
      <c r="HV350" s="1079">
        <v>45931</v>
      </c>
      <c r="HW350" s="1079">
        <v>45962</v>
      </c>
      <c r="HX350" s="1079">
        <v>45992</v>
      </c>
      <c r="HY350" s="1079"/>
      <c r="KT350" s="280"/>
    </row>
    <row r="351" spans="1:306" outlineLevel="1">
      <c r="A351" s="291" t="s">
        <v>460</v>
      </c>
      <c r="D351" s="319" t="s">
        <v>461</v>
      </c>
      <c r="E351" s="293"/>
      <c r="F351" s="293"/>
      <c r="G351" s="293"/>
      <c r="H351" s="293"/>
      <c r="I351" s="293"/>
      <c r="J351" s="293"/>
      <c r="K351" s="293"/>
      <c r="L351" s="293"/>
      <c r="M351" s="293"/>
      <c r="N351" s="293"/>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c r="BN351" s="293"/>
      <c r="BO351" s="293"/>
      <c r="BP351" s="293"/>
      <c r="BQ351" s="293"/>
      <c r="BR351" s="293"/>
      <c r="BS351" s="293"/>
      <c r="BT351" s="293"/>
      <c r="BU351" s="293"/>
      <c r="BV351" s="293"/>
      <c r="BW351" s="293"/>
      <c r="BX351" s="293"/>
      <c r="BY351" s="293"/>
      <c r="BZ351" s="293"/>
      <c r="CA351" s="293"/>
      <c r="CB351" s="293"/>
      <c r="CC351" s="293"/>
      <c r="CD351" s="293"/>
      <c r="CE351" s="294"/>
      <c r="CF351" s="293"/>
      <c r="CG351" s="293"/>
      <c r="CH351" s="293"/>
      <c r="CI351" s="293"/>
      <c r="CJ351" s="293"/>
      <c r="CK351" s="293"/>
      <c r="CL351" s="293"/>
      <c r="CM351" s="293"/>
      <c r="CN351" s="293"/>
      <c r="CO351" s="293"/>
      <c r="CP351" s="295"/>
      <c r="CQ351" s="293"/>
      <c r="CR351" s="293"/>
      <c r="CS351" s="293"/>
      <c r="CT351" s="293"/>
      <c r="CU351" s="293"/>
      <c r="CV351" s="293"/>
      <c r="CW351" s="293"/>
      <c r="CX351" s="293"/>
      <c r="CY351" s="293"/>
      <c r="CZ351" s="293"/>
      <c r="DA351" s="293"/>
      <c r="DB351" s="1288"/>
      <c r="DC351" s="293"/>
      <c r="DD351" s="293"/>
      <c r="DE351" s="293"/>
      <c r="DF351" s="293"/>
      <c r="DG351" s="293"/>
      <c r="DH351" s="293"/>
      <c r="DI351" s="293"/>
      <c r="DJ351" s="293"/>
      <c r="DK351" s="293"/>
      <c r="DL351" s="293"/>
      <c r="DM351" s="293"/>
      <c r="DN351" s="295"/>
      <c r="DO351" s="293"/>
      <c r="DP351" s="293"/>
      <c r="DQ351" s="293"/>
      <c r="DR351" s="293"/>
      <c r="DS351" s="293"/>
      <c r="DT351" s="293"/>
      <c r="DU351" s="293"/>
      <c r="DV351" s="293"/>
      <c r="DW351" s="293"/>
      <c r="DX351" s="293"/>
      <c r="DY351" s="293"/>
      <c r="DZ351" s="295"/>
      <c r="EA351" s="293"/>
      <c r="EB351" s="293"/>
      <c r="EC351" s="293"/>
      <c r="ED351" s="293"/>
      <c r="EE351" s="293"/>
      <c r="EF351" s="293"/>
      <c r="EG351" s="293"/>
      <c r="EH351" s="293"/>
      <c r="EI351" s="293"/>
      <c r="EJ351" s="293"/>
      <c r="EK351" s="293"/>
      <c r="EL351" s="295"/>
      <c r="EM351" s="293"/>
      <c r="EN351" s="293"/>
      <c r="EO351" s="293"/>
      <c r="EP351" s="293"/>
      <c r="EQ351" s="293"/>
      <c r="ER351" s="293"/>
      <c r="ES351" s="293"/>
      <c r="ET351" s="293"/>
      <c r="EU351" s="293"/>
      <c r="EV351" s="293"/>
      <c r="EW351" s="293"/>
      <c r="EX351" s="295"/>
      <c r="EY351" s="293"/>
      <c r="EZ351" s="293"/>
      <c r="FA351" s="293"/>
      <c r="FB351" s="293"/>
      <c r="FC351" s="293"/>
      <c r="FD351" s="293"/>
      <c r="FE351" s="293"/>
      <c r="FF351" s="293"/>
      <c r="FG351" s="293"/>
      <c r="FH351" s="293"/>
      <c r="FI351" s="293"/>
      <c r="FJ351" s="295"/>
      <c r="FK351" s="293"/>
      <c r="FL351" s="293"/>
      <c r="FM351" s="293"/>
      <c r="FN351" s="293"/>
      <c r="FO351" s="293"/>
      <c r="FP351" s="293"/>
      <c r="FQ351" s="293"/>
      <c r="FR351" s="293"/>
      <c r="FS351" s="293"/>
      <c r="FT351" s="293"/>
      <c r="FU351" s="293"/>
      <c r="FV351" s="293"/>
      <c r="FW351" s="293"/>
      <c r="FX351" s="293"/>
      <c r="FY351" s="293"/>
      <c r="FZ351" s="293"/>
      <c r="GA351" s="293"/>
      <c r="GB351" s="293"/>
      <c r="GC351" s="293"/>
      <c r="GD351" s="293"/>
      <c r="GE351" s="293"/>
      <c r="GF351" s="293"/>
      <c r="GG351" s="293"/>
      <c r="GH351" s="293"/>
      <c r="GI351" s="293"/>
      <c r="GJ351" s="293"/>
      <c r="GK351" s="293"/>
      <c r="GL351" s="293"/>
      <c r="GM351" s="293"/>
      <c r="GN351" s="293"/>
      <c r="GO351" s="293"/>
      <c r="GP351" s="293"/>
      <c r="GQ351" s="293"/>
      <c r="GR351" s="293"/>
      <c r="GS351" s="293"/>
      <c r="GT351" s="293"/>
      <c r="GU351" s="293"/>
      <c r="GV351" s="293"/>
      <c r="GW351" s="293"/>
      <c r="GX351" s="293"/>
      <c r="GY351" s="293"/>
      <c r="GZ351" s="293"/>
      <c r="HA351" s="293"/>
      <c r="HB351" s="293"/>
      <c r="HC351" s="293"/>
      <c r="HD351" s="293"/>
      <c r="HE351" s="293"/>
      <c r="HF351" s="293"/>
      <c r="HG351" s="293"/>
      <c r="HH351" s="293"/>
      <c r="HI351" s="293"/>
      <c r="HJ351" s="293"/>
      <c r="HK351" s="293"/>
      <c r="HL351" s="293"/>
      <c r="HM351" s="293"/>
      <c r="HN351" s="293"/>
      <c r="HO351" s="293"/>
      <c r="HP351" s="293"/>
      <c r="HQ351" s="293"/>
      <c r="HR351" s="293"/>
      <c r="HS351" s="293"/>
      <c r="HT351" s="293"/>
      <c r="HU351" s="293"/>
      <c r="HV351" s="293"/>
      <c r="HW351" s="293"/>
      <c r="HX351" s="293"/>
      <c r="HY351" s="293"/>
      <c r="KT351" s="280"/>
    </row>
    <row r="352" spans="1:306" outlineLevel="1">
      <c r="A352" s="96" t="s">
        <v>395</v>
      </c>
      <c r="B352" s="96" t="s">
        <v>338</v>
      </c>
      <c r="D352" s="319" t="s">
        <v>462</v>
      </c>
      <c r="E352" s="293"/>
      <c r="F352" s="293"/>
      <c r="G352" s="293"/>
      <c r="H352" s="293"/>
      <c r="I352" s="293"/>
      <c r="J352" s="293"/>
      <c r="K352" s="293"/>
      <c r="L352" s="293"/>
      <c r="M352" s="293"/>
      <c r="N352" s="293"/>
      <c r="O352" s="293"/>
      <c r="P352" s="293"/>
      <c r="Q352" s="293"/>
      <c r="R352" s="293"/>
      <c r="S352" s="293"/>
      <c r="T352" s="293"/>
      <c r="U352" s="293"/>
      <c r="V352" s="293"/>
      <c r="W352" s="293"/>
      <c r="X352" s="293"/>
      <c r="Y352" s="29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c r="BN352" s="293"/>
      <c r="BO352" s="293"/>
      <c r="BP352" s="293"/>
      <c r="BQ352" s="293"/>
      <c r="BR352" s="293"/>
      <c r="BS352" s="293"/>
      <c r="BT352" s="293"/>
      <c r="BU352" s="293"/>
      <c r="BV352" s="293"/>
      <c r="BW352" s="293"/>
      <c r="BX352" s="293"/>
      <c r="BY352" s="293"/>
      <c r="BZ352" s="293"/>
      <c r="CA352" s="293"/>
      <c r="CB352" s="293"/>
      <c r="CC352" s="293"/>
      <c r="CD352" s="293"/>
      <c r="CE352" s="294">
        <v>47.617064136600007</v>
      </c>
      <c r="CF352" s="293">
        <v>53.907251717999998</v>
      </c>
      <c r="CG352" s="293">
        <v>65.190181342100004</v>
      </c>
      <c r="CH352" s="293">
        <v>54.087637409999999</v>
      </c>
      <c r="CI352" s="293">
        <v>53.84528620079999</v>
      </c>
      <c r="CJ352" s="293">
        <v>68.130436793900003</v>
      </c>
      <c r="CK352" s="293">
        <v>59.819924644799997</v>
      </c>
      <c r="CL352" s="293">
        <v>55.9432367223</v>
      </c>
      <c r="CM352" s="293">
        <v>64.537803322999991</v>
      </c>
      <c r="CN352" s="293">
        <v>55.778860669299995</v>
      </c>
      <c r="CO352" s="293">
        <v>61.522298340200003</v>
      </c>
      <c r="CP352" s="295">
        <v>87.613793423199994</v>
      </c>
      <c r="CQ352" s="293">
        <v>60.055278852200004</v>
      </c>
      <c r="CR352" s="293">
        <v>58.9379179584</v>
      </c>
      <c r="CS352" s="293">
        <v>77.510741187099995</v>
      </c>
      <c r="CT352" s="293">
        <v>56.9335934944</v>
      </c>
      <c r="CU352" s="293">
        <v>55.196689518399999</v>
      </c>
      <c r="CV352" s="293">
        <v>79.607384622699996</v>
      </c>
      <c r="CW352" s="293">
        <v>63.361825936499997</v>
      </c>
      <c r="CX352" s="293">
        <v>56.621350344900002</v>
      </c>
      <c r="CY352" s="293">
        <v>89.253470781000004</v>
      </c>
      <c r="CZ352" s="293">
        <v>68.829649387199993</v>
      </c>
      <c r="DA352" s="293">
        <v>65.284426183800008</v>
      </c>
      <c r="DB352" s="1288">
        <v>93.367642129199993</v>
      </c>
      <c r="DC352" s="293">
        <v>66.899926132465808</v>
      </c>
      <c r="DD352" s="293">
        <v>68.245586880935562</v>
      </c>
      <c r="DE352" s="293">
        <v>86.824346869568416</v>
      </c>
      <c r="DF352" s="293">
        <v>77.768789279906358</v>
      </c>
      <c r="DG352" s="293">
        <v>70.290688721549131</v>
      </c>
      <c r="DH352" s="293">
        <v>94.437271875493821</v>
      </c>
      <c r="DI352" s="293">
        <v>76.998886418319074</v>
      </c>
      <c r="DJ352" s="293">
        <v>72.781232871814339</v>
      </c>
      <c r="DK352" s="293">
        <v>113.69690742097904</v>
      </c>
      <c r="DL352" s="293">
        <v>78.445692153350137</v>
      </c>
      <c r="DM352" s="293">
        <v>78.436310386163612</v>
      </c>
      <c r="DN352" s="295">
        <v>115.54161037543037</v>
      </c>
      <c r="DO352" s="293">
        <v>67.24378485328306</v>
      </c>
      <c r="DP352" s="293">
        <v>80.020170967565377</v>
      </c>
      <c r="DQ352" s="293">
        <v>93.417646211050737</v>
      </c>
      <c r="DR352" s="293">
        <v>71.710702953049363</v>
      </c>
      <c r="DS352" s="293">
        <v>74.685107629818347</v>
      </c>
      <c r="DT352" s="293">
        <v>100.0551486989196</v>
      </c>
      <c r="DU352" s="293">
        <v>83.668729627200236</v>
      </c>
      <c r="DV352" s="293">
        <v>77.275728463722075</v>
      </c>
      <c r="DW352" s="293">
        <v>126.0845368149709</v>
      </c>
      <c r="DX352" s="293">
        <v>76.135244471367301</v>
      </c>
      <c r="DY352" s="293">
        <v>83.725678370989797</v>
      </c>
      <c r="DZ352" s="295">
        <v>118.39807715427889</v>
      </c>
      <c r="EA352" s="293">
        <v>77.131139934568424</v>
      </c>
      <c r="EB352" s="293">
        <v>85.064671576639626</v>
      </c>
      <c r="EC352" s="293">
        <v>105.73529056923476</v>
      </c>
      <c r="ED352" s="293">
        <v>91.398602824108167</v>
      </c>
      <c r="EE352" s="293">
        <v>85.558614639260611</v>
      </c>
      <c r="EF352" s="293">
        <v>114.65280414025804</v>
      </c>
      <c r="EG352" s="293">
        <v>99.51139740181128</v>
      </c>
      <c r="EH352" s="293">
        <v>84.319556122114008</v>
      </c>
      <c r="EI352" s="293">
        <v>133.25942373731618</v>
      </c>
      <c r="EJ352" s="293">
        <v>103.29260755838931</v>
      </c>
      <c r="EK352" s="293">
        <v>89.475933699727847</v>
      </c>
      <c r="EL352" s="295">
        <v>129.57340025709945</v>
      </c>
      <c r="EM352" s="293">
        <v>88.812454326839998</v>
      </c>
      <c r="EN352" s="293">
        <v>103.19555137677001</v>
      </c>
      <c r="EO352" s="293">
        <v>116.14608373476</v>
      </c>
      <c r="EP352" s="293">
        <v>101.63279526957668</v>
      </c>
      <c r="EQ352" s="293">
        <v>99.20474964683666</v>
      </c>
      <c r="ER352" s="293">
        <v>138.3298491095467</v>
      </c>
      <c r="ES352" s="293">
        <v>117.4347124288328</v>
      </c>
      <c r="ET352" s="293">
        <v>106.05712111844994</v>
      </c>
      <c r="EU352" s="293">
        <v>128.69624140632001</v>
      </c>
      <c r="EV352" s="293">
        <v>128.4253273124944</v>
      </c>
      <c r="EW352" s="293">
        <v>114.30942840778002</v>
      </c>
      <c r="EX352" s="295">
        <v>160.27794428067008</v>
      </c>
      <c r="EY352" s="293">
        <v>105.65950605125064</v>
      </c>
      <c r="EZ352" s="293">
        <v>114.2113842418846</v>
      </c>
      <c r="FA352" s="293">
        <v>132.89683536742749</v>
      </c>
      <c r="FB352" s="293">
        <v>108.92264112604063</v>
      </c>
      <c r="FC352" s="293">
        <v>106.68326342096984</v>
      </c>
      <c r="FD352" s="293">
        <v>165.17336859615594</v>
      </c>
      <c r="FE352" s="293">
        <v>129.17978821231756</v>
      </c>
      <c r="FF352" s="293">
        <v>116.33520310306274</v>
      </c>
      <c r="FG352" s="293">
        <v>123.84354192911091</v>
      </c>
      <c r="FH352" s="293">
        <v>111.61971296276113</v>
      </c>
      <c r="FI352" s="293">
        <v>92.550406284305652</v>
      </c>
      <c r="FJ352" s="295">
        <v>168.5330629930489</v>
      </c>
      <c r="FK352" s="293">
        <v>99.945885748172259</v>
      </c>
      <c r="FL352" s="293">
        <v>106.90137584125107</v>
      </c>
      <c r="FM352" s="293">
        <v>155.09121168506633</v>
      </c>
      <c r="FN352" s="293">
        <v>118.94741214038808</v>
      </c>
      <c r="FO352" s="293">
        <v>119.17105225139113</v>
      </c>
      <c r="FP352" s="293">
        <v>161.98099204682552</v>
      </c>
      <c r="FQ352" s="293">
        <v>118.21035142438593</v>
      </c>
      <c r="FR352" s="293">
        <v>121.65400060516743</v>
      </c>
      <c r="FS352" s="293">
        <v>169.64471663081804</v>
      </c>
      <c r="FT352" s="293">
        <v>131.6406722489491</v>
      </c>
      <c r="FU352" s="293">
        <v>129.16985994808741</v>
      </c>
      <c r="FV352" s="293">
        <v>189.33175192633266</v>
      </c>
      <c r="FW352" s="293">
        <v>110.1156569781196</v>
      </c>
      <c r="FX352" s="293">
        <v>123.39516343103196</v>
      </c>
      <c r="FY352" s="293">
        <v>167.87899487170446</v>
      </c>
      <c r="FZ352" s="293">
        <v>129.13909366182429</v>
      </c>
      <c r="GA352" s="293">
        <v>135.90353463757307</v>
      </c>
      <c r="GB352" s="293">
        <v>186.33327966820102</v>
      </c>
      <c r="GC352" s="293">
        <v>146.46208294654627</v>
      </c>
      <c r="GD352" s="293">
        <v>134.54808684712521</v>
      </c>
      <c r="GE352" s="293">
        <v>232.31337755216748</v>
      </c>
      <c r="GF352" s="293">
        <v>142.49260437009488</v>
      </c>
      <c r="GG352" s="293">
        <v>145.4445077296626</v>
      </c>
      <c r="GH352" s="293">
        <v>222.74720845481093</v>
      </c>
      <c r="GI352" s="293">
        <v>145.96192723773106</v>
      </c>
      <c r="GJ352" s="293">
        <v>170.08469428493058</v>
      </c>
      <c r="GK352" s="293">
        <v>214.70250271454987</v>
      </c>
      <c r="GL352" s="293">
        <v>143.56997105973565</v>
      </c>
      <c r="GM352" s="293">
        <v>167.57943580356661</v>
      </c>
      <c r="GN352" s="293">
        <v>228.35396693025768</v>
      </c>
      <c r="GO352" s="293">
        <v>198.11964804166763</v>
      </c>
      <c r="GP352" s="293">
        <v>145.38917010292784</v>
      </c>
      <c r="GQ352" s="293">
        <v>258.82715269015324</v>
      </c>
      <c r="GR352" s="293">
        <v>183.31387861149003</v>
      </c>
      <c r="GS352" s="293">
        <v>170.87591844504999</v>
      </c>
      <c r="GT352" s="293">
        <v>260.59353089068003</v>
      </c>
      <c r="GU352" s="293">
        <v>181.55472185685062</v>
      </c>
      <c r="GV352" s="293">
        <v>182.46648224496246</v>
      </c>
      <c r="GW352" s="293">
        <v>218.33074797871626</v>
      </c>
      <c r="GX352" s="293">
        <v>191.66390280255001</v>
      </c>
      <c r="GY352" s="293">
        <v>176.02157551367949</v>
      </c>
      <c r="GZ352" s="293">
        <v>239.0768803329</v>
      </c>
      <c r="HA352" s="293"/>
      <c r="HB352" s="293"/>
      <c r="HC352" s="293"/>
      <c r="HD352" s="293"/>
      <c r="HE352" s="293"/>
      <c r="HF352" s="293"/>
      <c r="HG352" s="293"/>
      <c r="HH352" s="293"/>
      <c r="HI352" s="293"/>
      <c r="HJ352" s="293"/>
      <c r="HK352" s="293"/>
      <c r="HL352" s="293"/>
      <c r="HM352" s="293"/>
      <c r="HN352" s="293"/>
      <c r="HO352" s="293"/>
      <c r="HP352" s="293"/>
      <c r="HQ352" s="293"/>
      <c r="HR352" s="293"/>
      <c r="HS352" s="293"/>
      <c r="HT352" s="293"/>
      <c r="HU352" s="293"/>
      <c r="HV352" s="293"/>
      <c r="HW352" s="293"/>
      <c r="HX352" s="293"/>
      <c r="HY352" s="293"/>
      <c r="KT352" s="280"/>
    </row>
    <row r="353" spans="1:336" outlineLevel="1">
      <c r="A353" s="96" t="s">
        <v>395</v>
      </c>
      <c r="B353" s="96" t="s">
        <v>338</v>
      </c>
      <c r="D353" s="320" t="s">
        <v>463</v>
      </c>
      <c r="E353" s="293"/>
      <c r="F353" s="293"/>
      <c r="G353" s="293"/>
      <c r="H353" s="293"/>
      <c r="I353" s="293"/>
      <c r="J353" s="293"/>
      <c r="K353" s="293"/>
      <c r="L353" s="293"/>
      <c r="M353" s="293"/>
      <c r="N353" s="293"/>
      <c r="O353" s="293"/>
      <c r="P353" s="293"/>
      <c r="Q353" s="293"/>
      <c r="R353" s="293"/>
      <c r="S353" s="293"/>
      <c r="T353" s="293"/>
      <c r="U353" s="293"/>
      <c r="V353" s="293"/>
      <c r="W353" s="293"/>
      <c r="X353" s="293"/>
      <c r="Y353" s="29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c r="BN353" s="293"/>
      <c r="BO353" s="293"/>
      <c r="BP353" s="293"/>
      <c r="BQ353" s="293"/>
      <c r="BR353" s="293"/>
      <c r="BS353" s="293"/>
      <c r="BT353" s="293"/>
      <c r="BU353" s="293"/>
      <c r="BV353" s="293"/>
      <c r="BW353" s="293"/>
      <c r="BX353" s="293"/>
      <c r="BY353" s="293"/>
      <c r="BZ353" s="293"/>
      <c r="CA353" s="293"/>
      <c r="CB353" s="293"/>
      <c r="CC353" s="293"/>
      <c r="CD353" s="293"/>
      <c r="CE353" s="294">
        <v>17.442865989000001</v>
      </c>
      <c r="CF353" s="293">
        <v>19.525892276</v>
      </c>
      <c r="CG353" s="293">
        <v>29.068709611999999</v>
      </c>
      <c r="CH353" s="293">
        <v>19.932281134</v>
      </c>
      <c r="CI353" s="293">
        <v>18.564633012999998</v>
      </c>
      <c r="CJ353" s="293">
        <v>33.827118311</v>
      </c>
      <c r="CK353" s="293">
        <v>21.141859377000003</v>
      </c>
      <c r="CL353" s="293">
        <v>20.952411226999999</v>
      </c>
      <c r="CM353" s="293">
        <v>28.781427078</v>
      </c>
      <c r="CN353" s="293">
        <v>21.026310951999999</v>
      </c>
      <c r="CO353" s="293">
        <v>20.391816973000001</v>
      </c>
      <c r="CP353" s="295">
        <v>37.229654887999999</v>
      </c>
      <c r="CQ353" s="293">
        <v>22.069318692000003</v>
      </c>
      <c r="CR353" s="293">
        <v>21.066326490000002</v>
      </c>
      <c r="CS353" s="293">
        <v>33.752981474999999</v>
      </c>
      <c r="CT353" s="293">
        <v>20.554321023</v>
      </c>
      <c r="CU353" s="293">
        <v>18.533772878000001</v>
      </c>
      <c r="CV353" s="293">
        <v>38.569907888000003</v>
      </c>
      <c r="CW353" s="293">
        <v>24.528582481000001</v>
      </c>
      <c r="CX353" s="293">
        <v>20.478766830999998</v>
      </c>
      <c r="CY353" s="293">
        <v>49.998201248999997</v>
      </c>
      <c r="CZ353" s="293">
        <v>28.614825071999999</v>
      </c>
      <c r="DA353" s="293">
        <v>24.454279628000002</v>
      </c>
      <c r="DB353" s="1288">
        <v>39.297474163000004</v>
      </c>
      <c r="DC353" s="293">
        <v>24.97770777808697</v>
      </c>
      <c r="DD353" s="293">
        <v>24.069154116661423</v>
      </c>
      <c r="DE353" s="293">
        <v>37.947137373144983</v>
      </c>
      <c r="DF353" s="293">
        <v>26.526863113310718</v>
      </c>
      <c r="DG353" s="293">
        <v>22.842077699533458</v>
      </c>
      <c r="DH353" s="293">
        <v>44.97296507686093</v>
      </c>
      <c r="DI353" s="293">
        <v>29.489573230082442</v>
      </c>
      <c r="DJ353" s="293">
        <v>24.739166191259773</v>
      </c>
      <c r="DK353" s="293">
        <v>64.363901094079523</v>
      </c>
      <c r="DL353" s="293">
        <v>30.417722433606038</v>
      </c>
      <c r="DM353" s="293">
        <v>27.793850016598867</v>
      </c>
      <c r="DN353" s="295">
        <v>48.846946710689501</v>
      </c>
      <c r="DO353" s="293">
        <v>21.471689881572686</v>
      </c>
      <c r="DP353" s="293">
        <v>30.266054382305445</v>
      </c>
      <c r="DQ353" s="293">
        <v>39.425181638268725</v>
      </c>
      <c r="DR353" s="293">
        <v>26.784761667258937</v>
      </c>
      <c r="DS353" s="293">
        <v>26.677548393080393</v>
      </c>
      <c r="DT353" s="293">
        <v>43.318929067927989</v>
      </c>
      <c r="DU353" s="293">
        <v>32.470388110317217</v>
      </c>
      <c r="DV353" s="293">
        <v>26.946016230133992</v>
      </c>
      <c r="DW353" s="293">
        <v>68.597441655491167</v>
      </c>
      <c r="DX353" s="293">
        <v>26.875956962522089</v>
      </c>
      <c r="DY353" s="293">
        <v>29.738585438124417</v>
      </c>
      <c r="DZ353" s="295">
        <v>48.540318290994371</v>
      </c>
      <c r="EA353" s="293">
        <v>25.455277023792288</v>
      </c>
      <c r="EB353" s="293">
        <v>32.018292819407755</v>
      </c>
      <c r="EC353" s="293">
        <v>43.027304943689934</v>
      </c>
      <c r="ED353" s="293">
        <v>33.39073301665713</v>
      </c>
      <c r="EE353" s="293">
        <v>29.720448230942814</v>
      </c>
      <c r="EF353" s="293">
        <v>47.180959559145705</v>
      </c>
      <c r="EG353" s="293">
        <v>37.966086083231247</v>
      </c>
      <c r="EH353" s="293">
        <v>28.652020048842438</v>
      </c>
      <c r="EI353" s="293">
        <v>66.11191067311718</v>
      </c>
      <c r="EJ353" s="293">
        <v>44.887675344763323</v>
      </c>
      <c r="EK353" s="293">
        <v>30.249393652575279</v>
      </c>
      <c r="EL353" s="295">
        <v>52.766372826799838</v>
      </c>
      <c r="EM353" s="293">
        <v>32.903887653520002</v>
      </c>
      <c r="EN353" s="293">
        <v>38.718924392970003</v>
      </c>
      <c r="EO353" s="293">
        <v>53.269384041799995</v>
      </c>
      <c r="EP353" s="293">
        <v>43.582974409280006</v>
      </c>
      <c r="EQ353" s="293">
        <v>37.346238129779998</v>
      </c>
      <c r="ER353" s="293">
        <v>64.889195948490041</v>
      </c>
      <c r="ES353" s="293">
        <v>45.557114181480003</v>
      </c>
      <c r="ET353" s="293">
        <v>38.634797108739996</v>
      </c>
      <c r="EU353" s="293">
        <v>56.830703252639999</v>
      </c>
      <c r="EV353" s="293">
        <v>59.092180732999999</v>
      </c>
      <c r="EW353" s="293">
        <v>45.748966423500008</v>
      </c>
      <c r="EX353" s="295">
        <v>78.799486449000057</v>
      </c>
      <c r="EY353" s="293">
        <v>40.861348706000001</v>
      </c>
      <c r="EZ353" s="293">
        <v>40.236363533999992</v>
      </c>
      <c r="FA353" s="293">
        <v>62.600567380000001</v>
      </c>
      <c r="FB353" s="293">
        <v>40.196479917999994</v>
      </c>
      <c r="FC353" s="293">
        <v>35.382652612999998</v>
      </c>
      <c r="FD353" s="293">
        <v>74.515635992236128</v>
      </c>
      <c r="FE353" s="293">
        <v>50.561232297057551</v>
      </c>
      <c r="FF353" s="293">
        <v>46.994172765410902</v>
      </c>
      <c r="FG353" s="293">
        <v>52.490747917832323</v>
      </c>
      <c r="FH353" s="293">
        <v>67.0517552428323</v>
      </c>
      <c r="FI353" s="293">
        <v>44.051889430022307</v>
      </c>
      <c r="FJ353" s="295">
        <v>86.532698150732344</v>
      </c>
      <c r="FK353" s="293">
        <v>36.289047524419288</v>
      </c>
      <c r="FL353" s="293">
        <v>36.019796794131103</v>
      </c>
      <c r="FM353" s="293">
        <v>72.440413640439601</v>
      </c>
      <c r="FN353" s="293">
        <v>42.868981288514391</v>
      </c>
      <c r="FO353" s="293">
        <v>45.484406372303361</v>
      </c>
      <c r="FP353" s="293">
        <v>76.286844757701388</v>
      </c>
      <c r="FQ353" s="293">
        <v>49.103212532440324</v>
      </c>
      <c r="FR353" s="293">
        <v>52.336578481208335</v>
      </c>
      <c r="FS353" s="293">
        <v>93.267847900999698</v>
      </c>
      <c r="FT353" s="293">
        <v>53.732223183644123</v>
      </c>
      <c r="FU353" s="293">
        <v>50.45175707796222</v>
      </c>
      <c r="FV353" s="293">
        <v>94.271498006713855</v>
      </c>
      <c r="FW353" s="293">
        <v>42.931996948309646</v>
      </c>
      <c r="FX353" s="293">
        <v>51.976516482732585</v>
      </c>
      <c r="FY353" s="293">
        <v>85.710003864002815</v>
      </c>
      <c r="FZ353" s="293">
        <v>50.884118057186733</v>
      </c>
      <c r="GA353" s="293">
        <v>53.532433952667745</v>
      </c>
      <c r="GB353" s="293">
        <v>92.791841307198808</v>
      </c>
      <c r="GC353" s="293">
        <v>60.325505074531428</v>
      </c>
      <c r="GD353" s="293">
        <v>54.330143900996141</v>
      </c>
      <c r="GE353" s="293">
        <v>131.26415922232482</v>
      </c>
      <c r="GF353" s="293">
        <v>55.649899866840457</v>
      </c>
      <c r="GG353" s="293">
        <v>59.435778794574979</v>
      </c>
      <c r="GH353" s="293">
        <v>114.72444861402933</v>
      </c>
      <c r="GI353" s="293">
        <v>53.123686379850106</v>
      </c>
      <c r="GJ353" s="293">
        <v>58.948799788705571</v>
      </c>
      <c r="GK353" s="293">
        <v>106.09635069151501</v>
      </c>
      <c r="GL353" s="293">
        <v>50.275023219469276</v>
      </c>
      <c r="GM353" s="293">
        <v>69.215401015664426</v>
      </c>
      <c r="GN353" s="293">
        <v>117.42964368126491</v>
      </c>
      <c r="GO353" s="293">
        <v>64.054880874155515</v>
      </c>
      <c r="GP353" s="293">
        <v>46.815222749658268</v>
      </c>
      <c r="GQ353" s="293">
        <v>147.20322203769587</v>
      </c>
      <c r="GR353" s="293">
        <v>87.433578659999995</v>
      </c>
      <c r="GS353" s="293">
        <v>66.499599309999994</v>
      </c>
      <c r="GT353" s="293">
        <v>142.39999370300001</v>
      </c>
      <c r="GU353" s="293">
        <v>71.838405088999991</v>
      </c>
      <c r="GV353" s="293">
        <v>70.983312988999984</v>
      </c>
      <c r="GW353" s="293">
        <v>110.957612408</v>
      </c>
      <c r="GX353" s="293">
        <v>82.024519187999999</v>
      </c>
      <c r="GY353" s="293">
        <v>73.172715019999998</v>
      </c>
      <c r="GZ353" s="293">
        <v>139.43906328199998</v>
      </c>
      <c r="HA353" s="293">
        <v>88.183945691999995</v>
      </c>
      <c r="HB353" s="293">
        <v>65.311859411967333</v>
      </c>
      <c r="HC353" s="293">
        <v>91.63107527599999</v>
      </c>
      <c r="HD353" s="293">
        <v>131.1451816076123</v>
      </c>
      <c r="HE353" s="293">
        <v>85.313004088487276</v>
      </c>
      <c r="HF353" s="293">
        <v>168.57115475694047</v>
      </c>
      <c r="HG353" s="293">
        <v>74.32016508000001</v>
      </c>
      <c r="HH353" s="293">
        <v>81.87931893199999</v>
      </c>
      <c r="HI353" s="293">
        <v>143.00261516899999</v>
      </c>
      <c r="HJ353" s="293">
        <v>86.889979795466431</v>
      </c>
      <c r="HK353" s="293">
        <v>87.558215688759091</v>
      </c>
      <c r="HL353" s="293">
        <v>162.02002678946647</v>
      </c>
      <c r="HM353" s="293">
        <v>100.75755591800001</v>
      </c>
      <c r="HN353" s="293">
        <v>77.420642895000015</v>
      </c>
      <c r="HO353" s="293">
        <v>152.38004982500024</v>
      </c>
      <c r="HP353" s="293">
        <v>109.11882329800001</v>
      </c>
      <c r="HQ353" s="293">
        <v>81.409293255000023</v>
      </c>
      <c r="HR353" s="293">
        <v>200.659736536</v>
      </c>
      <c r="HS353" s="293">
        <v>89.553364767999994</v>
      </c>
      <c r="HT353" s="293">
        <v>88.725336777110002</v>
      </c>
      <c r="HU353" s="293">
        <v>175.46021229600001</v>
      </c>
      <c r="HV353" s="293">
        <v>111.97940287</v>
      </c>
      <c r="HW353" s="293">
        <v>83.664460053999989</v>
      </c>
      <c r="HX353" s="293">
        <v>196.43665092800003</v>
      </c>
      <c r="HY353" s="293"/>
      <c r="KT353" s="280"/>
    </row>
    <row r="354" spans="1:336" outlineLevel="1">
      <c r="A354" s="96" t="s">
        <v>395</v>
      </c>
      <c r="B354" s="96" t="s">
        <v>338</v>
      </c>
      <c r="D354" s="321" t="s">
        <v>464</v>
      </c>
      <c r="E354" s="293"/>
      <c r="F354" s="293"/>
      <c r="G354" s="293"/>
      <c r="H354" s="293"/>
      <c r="I354" s="293"/>
      <c r="J354" s="293"/>
      <c r="K354" s="293"/>
      <c r="L354" s="293"/>
      <c r="M354" s="293"/>
      <c r="N354" s="293"/>
      <c r="O354" s="293"/>
      <c r="P354" s="293"/>
      <c r="Q354" s="293"/>
      <c r="R354" s="293"/>
      <c r="S354" s="293"/>
      <c r="T354" s="293"/>
      <c r="U354" s="293"/>
      <c r="V354" s="293"/>
      <c r="W354" s="293"/>
      <c r="X354" s="293"/>
      <c r="Y354" s="29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c r="BN354" s="293"/>
      <c r="BO354" s="293"/>
      <c r="BP354" s="293"/>
      <c r="BQ354" s="293"/>
      <c r="BR354" s="293"/>
      <c r="BS354" s="293"/>
      <c r="BT354" s="293"/>
      <c r="BU354" s="293"/>
      <c r="BV354" s="293"/>
      <c r="BW354" s="293"/>
      <c r="BX354" s="293"/>
      <c r="BY354" s="293"/>
      <c r="BZ354" s="293"/>
      <c r="CA354" s="293"/>
      <c r="CB354" s="293"/>
      <c r="CC354" s="293"/>
      <c r="CD354" s="293"/>
      <c r="CE354" s="294">
        <v>15.335722871</v>
      </c>
      <c r="CF354" s="293">
        <v>18.453643707000001</v>
      </c>
      <c r="CG354" s="293">
        <v>19.47672549</v>
      </c>
      <c r="CH354" s="293">
        <v>17.97492677</v>
      </c>
      <c r="CI354" s="293">
        <v>17.2901992</v>
      </c>
      <c r="CJ354" s="293">
        <v>23.874331232999999</v>
      </c>
      <c r="CK354" s="293">
        <v>18.637431190000001</v>
      </c>
      <c r="CL354" s="293">
        <v>19.059659594999999</v>
      </c>
      <c r="CM354" s="293">
        <v>19.301946052000002</v>
      </c>
      <c r="CN354" s="293">
        <v>18.818232368</v>
      </c>
      <c r="CO354" s="293">
        <v>18.574974748999999</v>
      </c>
      <c r="CP354" s="295">
        <v>27.654926967000002</v>
      </c>
      <c r="CQ354" s="293">
        <v>19.027270161000001</v>
      </c>
      <c r="CR354" s="293">
        <v>17.945877120999999</v>
      </c>
      <c r="CS354" s="293">
        <v>23.738315861</v>
      </c>
      <c r="CT354" s="293">
        <v>18.921073360000001</v>
      </c>
      <c r="CU354" s="293">
        <v>17.030863909000001</v>
      </c>
      <c r="CV354" s="293">
        <v>26.419475679000001</v>
      </c>
      <c r="CW354" s="293">
        <v>22.337229367999999</v>
      </c>
      <c r="CX354" s="293">
        <v>18.098628601000001</v>
      </c>
      <c r="CY354" s="293">
        <v>25.821663387000001</v>
      </c>
      <c r="CZ354" s="293">
        <v>26.245589175999999</v>
      </c>
      <c r="DA354" s="293">
        <v>21.564693520999999</v>
      </c>
      <c r="DB354" s="1288">
        <v>29.496832703999999</v>
      </c>
      <c r="DC354" s="293">
        <v>21.615782720326401</v>
      </c>
      <c r="DD354" s="293">
        <v>20.294735996621601</v>
      </c>
      <c r="DE354" s="293">
        <v>26.120960418486298</v>
      </c>
      <c r="DF354" s="293">
        <v>24.477194525631102</v>
      </c>
      <c r="DG354" s="293">
        <v>21.004385424461599</v>
      </c>
      <c r="DH354" s="293">
        <v>31.049560698246001</v>
      </c>
      <c r="DI354" s="293">
        <v>27.840487462747099</v>
      </c>
      <c r="DJ354" s="293">
        <v>23.1781468343546</v>
      </c>
      <c r="DK354" s="293">
        <v>40.983306076958698</v>
      </c>
      <c r="DL354" s="293">
        <v>28.405466405739702</v>
      </c>
      <c r="DM354" s="293">
        <v>25.082436725609902</v>
      </c>
      <c r="DN354" s="295">
        <v>36.968642948916873</v>
      </c>
      <c r="DO354" s="293">
        <v>18.759607335242031</v>
      </c>
      <c r="DP354" s="293">
        <v>28.357289014025195</v>
      </c>
      <c r="DQ354" s="293">
        <v>27.610516804926178</v>
      </c>
      <c r="DR354" s="293">
        <v>25.009836839513426</v>
      </c>
      <c r="DS354" s="293">
        <v>24.688640878436349</v>
      </c>
      <c r="DT354" s="293">
        <v>33.988548327140684</v>
      </c>
      <c r="DU354" s="293">
        <v>26.924952377653902</v>
      </c>
      <c r="DV354" s="293">
        <v>24.643297991831403</v>
      </c>
      <c r="DW354" s="293">
        <v>46.639684487487699</v>
      </c>
      <c r="DX354" s="293">
        <v>24.402116171907899</v>
      </c>
      <c r="DY354" s="293">
        <v>27.5322358404174</v>
      </c>
      <c r="DZ354" s="295">
        <v>33.036661162635802</v>
      </c>
      <c r="EA354" s="293">
        <v>22.906499245785181</v>
      </c>
      <c r="EB354" s="293">
        <v>29.698573642996624</v>
      </c>
      <c r="EC354" s="293">
        <v>30.146715729253604</v>
      </c>
      <c r="ED354" s="293">
        <v>29.90945527667018</v>
      </c>
      <c r="EE354" s="293">
        <v>27.174290085773425</v>
      </c>
      <c r="EF354" s="293">
        <v>35.693886513293407</v>
      </c>
      <c r="EG354" s="293">
        <v>32.17962014580138</v>
      </c>
      <c r="EH354" s="293">
        <v>26.238264961253353</v>
      </c>
      <c r="EI354" s="293">
        <v>45.753920926414622</v>
      </c>
      <c r="EJ354" s="293">
        <v>29.842121318948323</v>
      </c>
      <c r="EK354" s="293">
        <v>27.659507785700331</v>
      </c>
      <c r="EL354" s="295">
        <v>36.110250100628754</v>
      </c>
      <c r="EM354" s="293">
        <v>21.197964669000001</v>
      </c>
      <c r="EN354" s="293">
        <v>26.297894826</v>
      </c>
      <c r="EO354" s="293">
        <v>25.640282977999998</v>
      </c>
      <c r="EP354" s="293">
        <v>25.162036771</v>
      </c>
      <c r="EQ354" s="293">
        <v>26.049817039000001</v>
      </c>
      <c r="ER354" s="293">
        <v>29.227038579800048</v>
      </c>
      <c r="ES354" s="293">
        <v>26.956796173000001</v>
      </c>
      <c r="ET354" s="293">
        <v>26.604466951999999</v>
      </c>
      <c r="EU354" s="293">
        <v>28.8569176779</v>
      </c>
      <c r="EV354" s="293">
        <v>27.234412380999999</v>
      </c>
      <c r="EW354" s="293">
        <v>28.292670561816003</v>
      </c>
      <c r="EX354" s="295">
        <v>29.380920583622</v>
      </c>
      <c r="EY354" s="293">
        <v>35.1922169493875</v>
      </c>
      <c r="EZ354" s="293">
        <v>36.736436433049995</v>
      </c>
      <c r="FA354" s="293">
        <v>39.451931595097498</v>
      </c>
      <c r="FB354" s="293">
        <v>35.854395532299996</v>
      </c>
      <c r="FC354" s="293">
        <v>32.903049460733499</v>
      </c>
      <c r="FD354" s="293">
        <v>52.796362157162115</v>
      </c>
      <c r="FE354" s="293">
        <v>48.026780050009052</v>
      </c>
      <c r="FF354" s="293">
        <v>43.478022334660892</v>
      </c>
      <c r="FG354" s="293">
        <v>41.94372338853232</v>
      </c>
      <c r="FH354" s="293">
        <v>35.575190619832306</v>
      </c>
      <c r="FI354" s="293">
        <v>40.931714567832309</v>
      </c>
      <c r="FJ354" s="295">
        <v>58.830155635519851</v>
      </c>
      <c r="FK354" s="293">
        <v>34.122865568916787</v>
      </c>
      <c r="FL354" s="293">
        <v>29.537551809794103</v>
      </c>
      <c r="FM354" s="293">
        <v>46.167131573128607</v>
      </c>
      <c r="FN354" s="293">
        <v>40.735007468086749</v>
      </c>
      <c r="FO354" s="293">
        <v>40.831429681469267</v>
      </c>
      <c r="FP354" s="293">
        <v>51.153144298998221</v>
      </c>
      <c r="FQ354" s="293">
        <v>47.07369008529318</v>
      </c>
      <c r="FR354" s="293">
        <v>50.239993272733962</v>
      </c>
      <c r="FS354" s="293">
        <v>54.692521657624496</v>
      </c>
      <c r="FT354" s="293">
        <v>48.768606909993665</v>
      </c>
      <c r="FU354" s="293">
        <v>45.784417457005091</v>
      </c>
      <c r="FV354" s="293">
        <v>63.867142929825107</v>
      </c>
      <c r="FW354" s="293">
        <v>39.773257880022108</v>
      </c>
      <c r="FX354" s="293">
        <v>47.811507659362029</v>
      </c>
      <c r="FY354" s="293">
        <v>53.316081569909386</v>
      </c>
      <c r="FZ354" s="293">
        <v>47.725642027853183</v>
      </c>
      <c r="GA354" s="293">
        <v>49.048040240920493</v>
      </c>
      <c r="GB354" s="293">
        <v>58.046851359131836</v>
      </c>
      <c r="GC354" s="293">
        <v>56.981845465852921</v>
      </c>
      <c r="GD354" s="293">
        <v>49.206752542867306</v>
      </c>
      <c r="GE354" s="293">
        <v>71.063010106402189</v>
      </c>
      <c r="GF354" s="293">
        <v>51.744107802422583</v>
      </c>
      <c r="GG354" s="293">
        <v>54.380453467655663</v>
      </c>
      <c r="GH354" s="293">
        <v>74.027358089106286</v>
      </c>
      <c r="GI354" s="293">
        <v>50.138606712664732</v>
      </c>
      <c r="GJ354" s="293">
        <v>54.105265546746431</v>
      </c>
      <c r="GK354" s="293">
        <v>65.065858448521283</v>
      </c>
      <c r="GL354" s="293">
        <v>46.564723105478798</v>
      </c>
      <c r="GM354" s="293">
        <v>65.445831130025582</v>
      </c>
      <c r="GN354" s="293">
        <v>73.699421651695843</v>
      </c>
      <c r="GO354" s="293">
        <v>69.336410309564101</v>
      </c>
      <c r="GP354" s="293">
        <v>44.772263015658055</v>
      </c>
      <c r="GQ354" s="293">
        <v>71.232426729750131</v>
      </c>
      <c r="GR354" s="293">
        <v>62.431906822999998</v>
      </c>
      <c r="GS354" s="293">
        <v>59.816675173</v>
      </c>
      <c r="GT354" s="293">
        <v>83.444036252999993</v>
      </c>
      <c r="GU354" s="293">
        <v>62.454723569999999</v>
      </c>
      <c r="GV354" s="293">
        <v>64.000766596999995</v>
      </c>
      <c r="GW354" s="293">
        <v>59.770251220999995</v>
      </c>
      <c r="GX354" s="293">
        <v>60.869588732000004</v>
      </c>
      <c r="GY354" s="293">
        <v>65.704452418000002</v>
      </c>
      <c r="GZ354" s="293">
        <v>72.714730935999995</v>
      </c>
      <c r="HA354" s="293">
        <v>71.093015197</v>
      </c>
      <c r="HB354" s="293">
        <v>56.698748836930704</v>
      </c>
      <c r="HC354" s="293">
        <v>57.535459471999999</v>
      </c>
      <c r="HD354" s="293">
        <v>73.892993284572299</v>
      </c>
      <c r="HE354" s="293">
        <v>73.411471319487276</v>
      </c>
      <c r="HF354" s="293">
        <v>98.695551528989284</v>
      </c>
      <c r="HG354" s="293">
        <v>63.085397977000007</v>
      </c>
      <c r="HH354" s="293">
        <v>71.265702486999999</v>
      </c>
      <c r="HI354" s="293">
        <v>70.846427525999999</v>
      </c>
      <c r="HJ354" s="293">
        <v>70.999309431466429</v>
      </c>
      <c r="HK354" s="293">
        <v>78.521305786759086</v>
      </c>
      <c r="HL354" s="293">
        <v>80.300415599466476</v>
      </c>
      <c r="HM354" s="293">
        <v>91.021293917999998</v>
      </c>
      <c r="HN354" s="293">
        <v>64.175092375000006</v>
      </c>
      <c r="HO354" s="293">
        <v>74.678139743000244</v>
      </c>
      <c r="HP354" s="293">
        <v>86.921214723000006</v>
      </c>
      <c r="HQ354" s="293">
        <v>69.937376663000009</v>
      </c>
      <c r="HR354" s="293">
        <v>123.147786178</v>
      </c>
      <c r="HS354" s="293">
        <v>79.131197313999991</v>
      </c>
      <c r="HT354" s="293">
        <v>79.669808875110007</v>
      </c>
      <c r="HU354" s="293">
        <v>90.530928720999995</v>
      </c>
      <c r="HV354" s="293">
        <v>99.432752644000004</v>
      </c>
      <c r="HW354" s="293">
        <v>72.204163855999994</v>
      </c>
      <c r="HX354" s="293">
        <v>113.92483451900003</v>
      </c>
      <c r="HY354" s="293"/>
      <c r="KT354" s="280"/>
    </row>
    <row r="355" spans="1:336" s="882" customFormat="1" outlineLevel="1">
      <c r="A355" s="1759"/>
      <c r="B355" s="1759"/>
      <c r="C355" s="1759"/>
      <c r="D355" s="2060" t="s">
        <v>3693</v>
      </c>
      <c r="CE355" s="2058"/>
      <c r="CP355" s="1268"/>
      <c r="DB355" s="2059"/>
      <c r="DN355" s="1268"/>
      <c r="DZ355" s="1268"/>
      <c r="EL355" s="1268"/>
      <c r="EX355" s="1268"/>
      <c r="FJ355" s="1268"/>
      <c r="GI355" s="882">
        <v>35.548719526906801</v>
      </c>
      <c r="GJ355" s="882">
        <v>43.323099268287628</v>
      </c>
      <c r="GK355" s="882">
        <v>46.890647045251882</v>
      </c>
      <c r="GL355" s="882">
        <v>36.568873943458421</v>
      </c>
      <c r="GM355" s="882">
        <v>44.008696712362621</v>
      </c>
      <c r="GN355" s="882">
        <v>44.047725820364214</v>
      </c>
      <c r="GO355" s="882">
        <v>44.579356107946793</v>
      </c>
      <c r="GP355" s="882">
        <v>37.816152288837955</v>
      </c>
      <c r="GQ355" s="882">
        <v>46.027731770420445</v>
      </c>
      <c r="GR355" s="882">
        <v>45.159624024999999</v>
      </c>
      <c r="GS355" s="882">
        <v>43.325625015999996</v>
      </c>
      <c r="GT355" s="882">
        <v>49.783220855000003</v>
      </c>
      <c r="GU355" s="882">
        <v>43.418177669999999</v>
      </c>
      <c r="GV355" s="882">
        <v>47.587783856000001</v>
      </c>
      <c r="GW355" s="882">
        <v>47.664863766000003</v>
      </c>
      <c r="GX355" s="882">
        <v>45.869156676999999</v>
      </c>
      <c r="GY355" s="882">
        <v>50.465089507999998</v>
      </c>
      <c r="GZ355" s="882">
        <v>44.943801065000002</v>
      </c>
      <c r="HA355" s="882">
        <v>50.688841596000003</v>
      </c>
      <c r="HB355" s="882">
        <v>46.068459306000001</v>
      </c>
      <c r="HC355" s="882">
        <v>46.251957855000001</v>
      </c>
      <c r="HD355" s="882">
        <v>50.046320399572295</v>
      </c>
      <c r="HE355" s="882">
        <v>47.755519461487275</v>
      </c>
      <c r="HF355" s="882">
        <v>49.634627178940498</v>
      </c>
      <c r="HG355" s="882">
        <v>47.209883017999999</v>
      </c>
      <c r="HH355" s="882">
        <v>50.716206493000001</v>
      </c>
      <c r="HI355" s="882">
        <v>47.457768825000002</v>
      </c>
      <c r="HJ355" s="882">
        <v>52.635279752999999</v>
      </c>
      <c r="HK355" s="882">
        <v>50.159288471000004</v>
      </c>
      <c r="HL355" s="882">
        <v>50.967313023999999</v>
      </c>
      <c r="HM355" s="882">
        <v>56.811953008000003</v>
      </c>
      <c r="HN355" s="882">
        <v>52.910628166999999</v>
      </c>
      <c r="HO355" s="882">
        <v>55.259836178999997</v>
      </c>
      <c r="HP355" s="882">
        <v>60.237178874999998</v>
      </c>
      <c r="HQ355" s="882">
        <v>57.772361461000003</v>
      </c>
      <c r="HR355" s="882">
        <v>57.507426258999999</v>
      </c>
      <c r="HS355" s="882">
        <v>58.220664980999999</v>
      </c>
      <c r="HT355" s="882">
        <v>58.516873447110001</v>
      </c>
      <c r="HU355" s="882">
        <v>59.145175348999999</v>
      </c>
      <c r="HV355" s="882">
        <v>63.818016890000003</v>
      </c>
      <c r="HW355" s="882">
        <v>58.343396421999998</v>
      </c>
      <c r="HX355" s="882">
        <v>64.765032181000009</v>
      </c>
      <c r="KT355" s="1268"/>
    </row>
    <row r="356" spans="1:336" s="882" customFormat="1" outlineLevel="1">
      <c r="A356" s="1759"/>
      <c r="B356" s="1759"/>
      <c r="C356" s="1759"/>
      <c r="D356" s="2060" t="s">
        <v>3694</v>
      </c>
      <c r="CE356" s="2058"/>
      <c r="CP356" s="1268"/>
      <c r="DB356" s="2059"/>
      <c r="DN356" s="1268"/>
      <c r="DZ356" s="1268"/>
      <c r="EL356" s="1268"/>
      <c r="EX356" s="1268"/>
      <c r="FJ356" s="1268"/>
      <c r="GI356" s="882">
        <v>0.15487099058492523</v>
      </c>
      <c r="GJ356" s="882">
        <v>0.18291100890380266</v>
      </c>
      <c r="GK356" s="882">
        <v>2.1078567871351916</v>
      </c>
      <c r="GL356" s="882">
        <v>0.20319066602038116</v>
      </c>
      <c r="GM356" s="882">
        <v>0.21771515409051984</v>
      </c>
      <c r="GN356" s="882">
        <v>2.0888590387325188</v>
      </c>
      <c r="GO356" s="882">
        <v>0.40093094958978692</v>
      </c>
      <c r="GP356" s="882">
        <v>0.29870243111524875</v>
      </c>
      <c r="GQ356" s="882">
        <v>3.0246788316186239</v>
      </c>
      <c r="GR356" s="882">
        <v>0.49929768200000002</v>
      </c>
      <c r="GS356" s="882">
        <v>0.22154843799999999</v>
      </c>
      <c r="GT356" s="882">
        <v>2.3526174169999998</v>
      </c>
      <c r="GU356" s="882">
        <v>0.28365233899999998</v>
      </c>
      <c r="GV356" s="882">
        <v>0.24545773000000001</v>
      </c>
      <c r="GW356" s="882">
        <v>1.9132998779999999</v>
      </c>
      <c r="GX356" s="882">
        <v>0.67849996099999998</v>
      </c>
      <c r="GY356" s="882">
        <v>0.32204750700000001</v>
      </c>
      <c r="GZ356" s="882">
        <v>1.9153989709999999</v>
      </c>
      <c r="HA356" s="882">
        <v>0.78772297899999999</v>
      </c>
      <c r="HB356" s="882">
        <v>0.42606898993070302</v>
      </c>
      <c r="HC356" s="882">
        <v>2.076718547</v>
      </c>
      <c r="HD356" s="882">
        <v>1.8975815620000001</v>
      </c>
      <c r="HE356" s="882">
        <v>0.44693742199999997</v>
      </c>
      <c r="HF356" s="882">
        <v>3.3242579360487978</v>
      </c>
      <c r="HG356" s="882">
        <v>0.55504905900000001</v>
      </c>
      <c r="HH356" s="882">
        <v>0.41398711700000002</v>
      </c>
      <c r="HI356" s="882">
        <v>2.6892592350000002</v>
      </c>
      <c r="HJ356" s="882">
        <v>0.83399204800000004</v>
      </c>
      <c r="HK356" s="882">
        <v>0.498603452</v>
      </c>
      <c r="HL356" s="882">
        <v>2.9068047764699996</v>
      </c>
      <c r="HM356" s="882">
        <v>0.50499119000000003</v>
      </c>
      <c r="HN356" s="882">
        <v>0.50783986299999995</v>
      </c>
      <c r="HO356" s="882">
        <v>4.0902584089999996</v>
      </c>
      <c r="HP356" s="882">
        <v>1.1003252610000001</v>
      </c>
      <c r="HQ356" s="882">
        <v>0.66285286799999998</v>
      </c>
      <c r="HR356" s="882">
        <v>3.8317020080000002</v>
      </c>
      <c r="HS356" s="882">
        <v>0.63353561400000002</v>
      </c>
      <c r="HT356" s="882">
        <v>0.55461336800000005</v>
      </c>
      <c r="HU356" s="882">
        <v>3.1440432949999999</v>
      </c>
      <c r="HV356" s="882">
        <v>0.77004163299999995</v>
      </c>
      <c r="HW356" s="882">
        <v>0.51170086000000004</v>
      </c>
      <c r="HX356" s="882">
        <v>3.2670029270000001</v>
      </c>
      <c r="KT356" s="1268"/>
    </row>
    <row r="357" spans="1:336" s="882" customFormat="1" outlineLevel="1">
      <c r="A357" s="1759"/>
      <c r="B357" s="1759"/>
      <c r="C357" s="1759"/>
      <c r="D357" s="2060" t="s">
        <v>3750</v>
      </c>
      <c r="CE357" s="2058"/>
      <c r="CP357" s="1268"/>
      <c r="DB357" s="2059"/>
      <c r="DN357" s="1268"/>
      <c r="DO357" s="882">
        <v>0</v>
      </c>
      <c r="DP357" s="882">
        <v>0</v>
      </c>
      <c r="DQ357" s="882">
        <v>0</v>
      </c>
      <c r="DR357" s="882">
        <v>0</v>
      </c>
      <c r="DS357" s="882">
        <v>0</v>
      </c>
      <c r="DT357" s="882">
        <v>0</v>
      </c>
      <c r="DU357" s="882">
        <v>0</v>
      </c>
      <c r="DV357" s="882">
        <v>0</v>
      </c>
      <c r="DW357" s="882">
        <v>0</v>
      </c>
      <c r="DX357" s="882">
        <v>0</v>
      </c>
      <c r="DY357" s="882">
        <v>0</v>
      </c>
      <c r="DZ357" s="1268">
        <v>0</v>
      </c>
      <c r="EA357" s="882">
        <v>0</v>
      </c>
      <c r="EB357" s="882">
        <v>0</v>
      </c>
      <c r="EC357" s="882">
        <v>0</v>
      </c>
      <c r="ED357" s="882">
        <v>0</v>
      </c>
      <c r="EE357" s="882">
        <v>0</v>
      </c>
      <c r="EF357" s="882">
        <v>0</v>
      </c>
      <c r="EG357" s="882">
        <v>0</v>
      </c>
      <c r="EH357" s="882">
        <v>0</v>
      </c>
      <c r="EI357" s="882">
        <v>0</v>
      </c>
      <c r="EJ357" s="882">
        <v>0</v>
      </c>
      <c r="EK357" s="882">
        <v>0</v>
      </c>
      <c r="EL357" s="1268">
        <v>0</v>
      </c>
      <c r="EM357" s="882">
        <v>0</v>
      </c>
      <c r="EN357" s="882">
        <v>0</v>
      </c>
      <c r="EO357" s="882">
        <v>0</v>
      </c>
      <c r="EP357" s="882">
        <v>0</v>
      </c>
      <c r="EQ357" s="882">
        <v>0</v>
      </c>
      <c r="ER357" s="882">
        <v>0</v>
      </c>
      <c r="ES357" s="882">
        <v>0</v>
      </c>
      <c r="ET357" s="882">
        <v>0</v>
      </c>
      <c r="EU357" s="882">
        <v>0</v>
      </c>
      <c r="EV357" s="882">
        <v>0</v>
      </c>
      <c r="EW357" s="882">
        <v>0</v>
      </c>
      <c r="EX357" s="1268">
        <v>0</v>
      </c>
      <c r="FJ357" s="1268"/>
      <c r="FW357" s="882">
        <v>9.0079269557552702E-2</v>
      </c>
      <c r="FX357" s="882">
        <v>0.11242255482291161</v>
      </c>
      <c r="FY357" s="882">
        <v>0.1382445306195357</v>
      </c>
      <c r="FZ357" s="882">
        <v>8.1435755594487902E-2</v>
      </c>
      <c r="GA357" s="882">
        <v>0.11747313632447541</v>
      </c>
      <c r="GB357" s="882">
        <v>0.32929104408103671</v>
      </c>
      <c r="GC357" s="882">
        <v>2.2589937846118051</v>
      </c>
      <c r="GD357" s="882">
        <v>2.8351787347910138</v>
      </c>
      <c r="GE357" s="882">
        <v>5.0180548739471771</v>
      </c>
      <c r="GF357" s="882">
        <v>0.3120432234541492</v>
      </c>
      <c r="GG357" s="882">
        <v>0.32104673123372712</v>
      </c>
      <c r="GH357" s="882">
        <v>0.3516410099653603</v>
      </c>
      <c r="GI357" s="882">
        <v>8.0369186999999995E-2</v>
      </c>
      <c r="GJ357" s="882">
        <v>0.12923064500000001</v>
      </c>
      <c r="GK357" s="882">
        <v>0.165289346</v>
      </c>
      <c r="GL357" s="882">
        <v>7.8073811000000007E-2</v>
      </c>
      <c r="GM357" s="882">
        <v>7.6941433000000004E-2</v>
      </c>
      <c r="GN357" s="882">
        <v>0.25645975500000001</v>
      </c>
      <c r="GO357" s="882">
        <v>10.809168018999999</v>
      </c>
      <c r="GP357" s="882">
        <v>0.59952304099999998</v>
      </c>
      <c r="GQ357" s="882">
        <v>0.53717110400000001</v>
      </c>
      <c r="GR357" s="882">
        <v>0.18563595099999999</v>
      </c>
      <c r="GS357" s="882">
        <v>0.173010463</v>
      </c>
      <c r="GT357" s="882">
        <v>0.15585046699999999</v>
      </c>
      <c r="GU357" s="882">
        <v>8.8894257000000004E-2</v>
      </c>
      <c r="GV357" s="882">
        <v>8.9590568999999995E-2</v>
      </c>
      <c r="GW357" s="882">
        <v>0.116235886</v>
      </c>
      <c r="GX357" s="882">
        <v>0.13788588099999999</v>
      </c>
      <c r="GY357" s="882">
        <v>2.2609674000000002</v>
      </c>
      <c r="GZ357" s="882">
        <v>10.622033209</v>
      </c>
      <c r="HA357" s="882">
        <v>0.44088069800000002</v>
      </c>
      <c r="HB357" s="882">
        <v>0.23147989199999999</v>
      </c>
      <c r="HC357" s="882">
        <v>0.18693738900000001</v>
      </c>
      <c r="HD357" s="882">
        <v>0.197503283</v>
      </c>
      <c r="HE357" s="882">
        <v>14.604376746</v>
      </c>
      <c r="HF357" s="882">
        <v>0</v>
      </c>
      <c r="HG357" s="882">
        <v>0.12607800299999999</v>
      </c>
      <c r="HH357" s="882">
        <v>0.12514935099999999</v>
      </c>
      <c r="HI357" s="882">
        <v>0.10389886500000001</v>
      </c>
      <c r="HJ357" s="882">
        <v>0.16091638899999999</v>
      </c>
      <c r="HK357" s="882">
        <v>0.150893578</v>
      </c>
      <c r="HL357" s="882">
        <v>1.1863188602222223</v>
      </c>
      <c r="HM357" s="882">
        <v>13.743112732</v>
      </c>
      <c r="HN357" s="882">
        <v>0.68500681600000002</v>
      </c>
      <c r="HO357" s="882">
        <v>0.56364412500000005</v>
      </c>
      <c r="HP357" s="882">
        <v>0.31118172199999999</v>
      </c>
      <c r="HQ357" s="882">
        <v>0.23031627800000001</v>
      </c>
      <c r="HR357" s="882">
        <v>0.18727841200000001</v>
      </c>
      <c r="HS357" s="882">
        <v>0.15971184199999999</v>
      </c>
      <c r="HT357" s="882">
        <v>0.18300286399999999</v>
      </c>
      <c r="HU357" s="882">
        <v>9.4161558000000006E-2</v>
      </c>
      <c r="HV357" s="882">
        <v>0.184720522</v>
      </c>
      <c r="HW357" s="882">
        <v>0.36062019200000001</v>
      </c>
      <c r="HX357" s="882">
        <v>2.4867867430000001</v>
      </c>
      <c r="KT357" s="1268"/>
    </row>
    <row r="358" spans="1:336" outlineLevel="1">
      <c r="A358" s="96" t="s">
        <v>395</v>
      </c>
      <c r="B358" s="96" t="s">
        <v>338</v>
      </c>
      <c r="D358" s="321" t="s">
        <v>465</v>
      </c>
      <c r="E358" s="293"/>
      <c r="F358" s="293"/>
      <c r="G358" s="293"/>
      <c r="H358" s="293"/>
      <c r="I358" s="293"/>
      <c r="J358" s="293"/>
      <c r="K358" s="293"/>
      <c r="L358" s="293"/>
      <c r="M358" s="293"/>
      <c r="N358" s="293"/>
      <c r="O358" s="293"/>
      <c r="P358" s="293"/>
      <c r="Q358" s="293"/>
      <c r="R358" s="293"/>
      <c r="S358" s="293"/>
      <c r="T358" s="293"/>
      <c r="U358" s="293"/>
      <c r="V358" s="293"/>
      <c r="W358" s="293"/>
      <c r="X358" s="293"/>
      <c r="Y358" s="29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c r="BN358" s="293"/>
      <c r="BO358" s="293"/>
      <c r="BP358" s="293"/>
      <c r="BQ358" s="293"/>
      <c r="BR358" s="293"/>
      <c r="BS358" s="293"/>
      <c r="BT358" s="293"/>
      <c r="BU358" s="293"/>
      <c r="BV358" s="293"/>
      <c r="BW358" s="293"/>
      <c r="BX358" s="293"/>
      <c r="BY358" s="293"/>
      <c r="BZ358" s="293"/>
      <c r="CA358" s="293"/>
      <c r="CB358" s="293"/>
      <c r="CC358" s="293"/>
      <c r="CD358" s="293"/>
      <c r="CE358" s="294">
        <v>1.5730296479999999</v>
      </c>
      <c r="CF358" s="293">
        <v>0.97670188199999997</v>
      </c>
      <c r="CG358" s="293">
        <v>9.4186684389999993</v>
      </c>
      <c r="CH358" s="293">
        <v>1.8630770430000001</v>
      </c>
      <c r="CI358" s="293">
        <v>1.1954280770000001</v>
      </c>
      <c r="CJ358" s="293">
        <v>9.7989566579999998</v>
      </c>
      <c r="CK358" s="293">
        <v>2.4694584509999999</v>
      </c>
      <c r="CL358" s="293">
        <v>1.7785372589999999</v>
      </c>
      <c r="CM358" s="293">
        <v>9.4464840460000001</v>
      </c>
      <c r="CN358" s="293">
        <v>2.1443526300000002</v>
      </c>
      <c r="CO358" s="293">
        <v>1.6340826150000001</v>
      </c>
      <c r="CP358" s="295">
        <v>9.4330410859999994</v>
      </c>
      <c r="CQ358" s="293">
        <v>2.2409145150000001</v>
      </c>
      <c r="CR358" s="293">
        <v>3.0693548019999999</v>
      </c>
      <c r="CS358" s="293">
        <v>9.8133753929999994</v>
      </c>
      <c r="CT358" s="293">
        <v>1.547996798</v>
      </c>
      <c r="CU358" s="293">
        <v>1.3657390899999999</v>
      </c>
      <c r="CV358" s="293">
        <v>11.792154244000001</v>
      </c>
      <c r="CW358" s="293">
        <v>1.8611490470000001</v>
      </c>
      <c r="CX358" s="293">
        <v>1.438724117</v>
      </c>
      <c r="CY358" s="293">
        <v>18.633277406000001</v>
      </c>
      <c r="CZ358" s="293">
        <v>2.062493167</v>
      </c>
      <c r="DA358" s="293">
        <v>1.7284441660000001</v>
      </c>
      <c r="DB358" s="1288">
        <v>9.5983201129999998</v>
      </c>
      <c r="DC358" s="293">
        <v>2.5139195502253058</v>
      </c>
      <c r="DD358" s="293">
        <v>3.7630873299630063</v>
      </c>
      <c r="DE358" s="293">
        <v>11.68637619439046</v>
      </c>
      <c r="DF358" s="293">
        <v>2.0360228759916845</v>
      </c>
      <c r="DG358" s="293">
        <v>1.7661458738708549</v>
      </c>
      <c r="DH358" s="293">
        <v>13.643366255934502</v>
      </c>
      <c r="DI358" s="293">
        <v>1.563789465276193</v>
      </c>
      <c r="DJ358" s="293">
        <v>1.3925557091066323</v>
      </c>
      <c r="DK358" s="293">
        <v>23.131304899402526</v>
      </c>
      <c r="DL358" s="293">
        <v>1.9295721089040818</v>
      </c>
      <c r="DM358" s="293">
        <v>1.4832985522586397</v>
      </c>
      <c r="DN358" s="295">
        <v>11.804466063702753</v>
      </c>
      <c r="DO358" s="293">
        <v>2.7120825463306559</v>
      </c>
      <c r="DP358" s="293">
        <v>1.9087653682802499</v>
      </c>
      <c r="DQ358" s="293">
        <v>11.814664833342544</v>
      </c>
      <c r="DR358" s="293">
        <v>1.774924827745511</v>
      </c>
      <c r="DS358" s="293">
        <v>1.9889075146440458</v>
      </c>
      <c r="DT358" s="293">
        <v>9.3303807407873034</v>
      </c>
      <c r="DU358" s="293">
        <v>5.5454357326633161</v>
      </c>
      <c r="DV358" s="293">
        <v>2.3027182383025888</v>
      </c>
      <c r="DW358" s="293">
        <v>21.957757168003475</v>
      </c>
      <c r="DX358" s="293">
        <v>2.4738407906141884</v>
      </c>
      <c r="DY358" s="293">
        <v>2.2063495977070189</v>
      </c>
      <c r="DZ358" s="295">
        <v>15.503657128358569</v>
      </c>
      <c r="EA358" s="293">
        <v>2.5487777780071084</v>
      </c>
      <c r="EB358" s="293">
        <v>2.3197191764111311</v>
      </c>
      <c r="EC358" s="293">
        <v>12.880589214436329</v>
      </c>
      <c r="ED358" s="293">
        <v>3.4812777399869472</v>
      </c>
      <c r="EE358" s="293">
        <v>2.5461581451693878</v>
      </c>
      <c r="EF358" s="293">
        <v>11.487073045852295</v>
      </c>
      <c r="EG358" s="293">
        <v>5.7864659374298659</v>
      </c>
      <c r="EH358" s="293">
        <v>2.4137550875890854</v>
      </c>
      <c r="EI358" s="293">
        <v>20.357989746702554</v>
      </c>
      <c r="EJ358" s="293">
        <v>15.045554025815004</v>
      </c>
      <c r="EK358" s="293">
        <v>2.5898858668749485</v>
      </c>
      <c r="EL358" s="295">
        <v>16.65612272617108</v>
      </c>
      <c r="EM358" s="293">
        <v>8.0171895217000007</v>
      </c>
      <c r="EN358" s="293">
        <v>7.6326909110000001</v>
      </c>
      <c r="EO358" s="293">
        <v>19.951550846</v>
      </c>
      <c r="EP358" s="293">
        <v>8.7253771568000023</v>
      </c>
      <c r="EQ358" s="293">
        <v>7.3900947737899996</v>
      </c>
      <c r="ER358" s="293">
        <v>22.995967151999999</v>
      </c>
      <c r="ES358" s="293">
        <v>11.053207402549821</v>
      </c>
      <c r="ET358" s="293">
        <v>6.7440808205887608</v>
      </c>
      <c r="EU358" s="293">
        <v>20.469464532859995</v>
      </c>
      <c r="EV358" s="293">
        <v>21.805136288621988</v>
      </c>
      <c r="EW358" s="293">
        <v>10.348055409617599</v>
      </c>
      <c r="EX358" s="295">
        <v>26.064018340025321</v>
      </c>
      <c r="EY358" s="293">
        <v>5.6691317566124999</v>
      </c>
      <c r="EZ358" s="293">
        <v>3.1584593709499997</v>
      </c>
      <c r="FA358" s="293">
        <v>23.148635784902499</v>
      </c>
      <c r="FB358" s="293">
        <v>4.3420843856999998</v>
      </c>
      <c r="FC358" s="293">
        <v>2.4796031522664999</v>
      </c>
      <c r="FD358" s="293">
        <v>21.718577542074001</v>
      </c>
      <c r="FE358" s="293">
        <v>2.4194112470485001</v>
      </c>
      <c r="FF358" s="293">
        <v>3.0752299747500063</v>
      </c>
      <c r="FG358" s="293">
        <v>10.436133959299999</v>
      </c>
      <c r="FH358" s="293">
        <v>31.031957757000001</v>
      </c>
      <c r="FI358" s="293">
        <v>2.4544786861899999</v>
      </c>
      <c r="FJ358" s="295">
        <v>27.622070599212503</v>
      </c>
      <c r="FK358" s="293">
        <v>2.0141423475025002</v>
      </c>
      <c r="FL358" s="293">
        <v>5.8497418773370002</v>
      </c>
      <c r="FM358" s="293">
        <v>25.919240270311001</v>
      </c>
      <c r="FN358" s="293">
        <v>1.8741215365647395</v>
      </c>
      <c r="FO358" s="293">
        <v>3.8368395035358707</v>
      </c>
      <c r="FP358" s="293">
        <v>25.124649633900006</v>
      </c>
      <c r="FQ358" s="293">
        <v>1.8790977295475906</v>
      </c>
      <c r="FR358" s="293">
        <v>2.0360644351414678</v>
      </c>
      <c r="FS358" s="293">
        <v>38.096511741148568</v>
      </c>
      <c r="FT358" s="293">
        <v>4.8361935634721194</v>
      </c>
      <c r="FU358" s="293">
        <v>4.0635507007919651</v>
      </c>
      <c r="FV358" s="293">
        <v>30.093867868906994</v>
      </c>
      <c r="FW358" s="293">
        <v>3.0931157336716786</v>
      </c>
      <c r="FX358" s="293">
        <v>2.9578170754016724</v>
      </c>
      <c r="FY358" s="293">
        <v>31.590570183253917</v>
      </c>
      <c r="FZ358" s="293">
        <v>2.7444128197145288</v>
      </c>
      <c r="GA358" s="293">
        <v>3.500495736710513</v>
      </c>
      <c r="GB358" s="293">
        <v>33.653427418945277</v>
      </c>
      <c r="GC358" s="293">
        <v>3.2643601404860303</v>
      </c>
      <c r="GD358" s="293">
        <v>4.1383682588390167</v>
      </c>
      <c r="GE358" s="293">
        <v>60.201149115922632</v>
      </c>
      <c r="GF358" s="293">
        <v>3.7721243841979328</v>
      </c>
      <c r="GG358" s="293">
        <v>4.081840411819174</v>
      </c>
      <c r="GH358" s="293">
        <v>40.579637130642141</v>
      </c>
      <c r="GI358" s="293">
        <v>2.98730281723526</v>
      </c>
      <c r="GJ358" s="293">
        <v>4.8915192968696362</v>
      </c>
      <c r="GK358" s="293">
        <v>40.161849262949666</v>
      </c>
      <c r="GL358" s="293">
        <v>3.7883739249904789</v>
      </c>
      <c r="GM358" s="293">
        <v>3.8465113186388544</v>
      </c>
      <c r="GN358" s="293">
        <v>43.984218038250795</v>
      </c>
      <c r="GO358" s="293">
        <v>5.1486260659438763</v>
      </c>
      <c r="GP358" s="293">
        <v>2.6027649612893375</v>
      </c>
      <c r="GQ358" s="293">
        <v>75.442302689699162</v>
      </c>
      <c r="GR358" s="293">
        <v>24.556008839</v>
      </c>
      <c r="GS358" s="293">
        <v>6.7257222309999998</v>
      </c>
      <c r="GT358" s="293">
        <v>58.147585100999997</v>
      </c>
      <c r="GU358" s="293">
        <v>9.3836815189999996</v>
      </c>
      <c r="GV358" s="293">
        <v>6.9028595749999999</v>
      </c>
      <c r="GW358" s="293">
        <v>50.017063280000002</v>
      </c>
      <c r="GX358" s="293">
        <v>21.154606075</v>
      </c>
      <c r="GY358" s="293">
        <v>7.467787006</v>
      </c>
      <c r="GZ358" s="293">
        <v>65.672315490000003</v>
      </c>
      <c r="HA358" s="293">
        <v>17.039462058000002</v>
      </c>
      <c r="HB358" s="293">
        <v>8.5030904650366406</v>
      </c>
      <c r="HC358" s="293">
        <v>33.034236874999998</v>
      </c>
      <c r="HD358" s="293">
        <v>57.19510828904</v>
      </c>
      <c r="HE358" s="293">
        <v>11.901532768999999</v>
      </c>
      <c r="HF358" s="293">
        <v>68.840429567951205</v>
      </c>
      <c r="HG358" s="293">
        <v>11.234767102999999</v>
      </c>
      <c r="HH358" s="293">
        <v>10.494336979</v>
      </c>
      <c r="HI358" s="293">
        <v>71.037801744999996</v>
      </c>
      <c r="HJ358" s="293">
        <v>15.845187838999999</v>
      </c>
      <c r="HK358" s="293">
        <v>9.0369099019999997</v>
      </c>
      <c r="HL358" s="293">
        <v>80.733451861000006</v>
      </c>
      <c r="HM358" s="293">
        <v>9.6740840890000008</v>
      </c>
      <c r="HN358" s="293">
        <v>13.099595718</v>
      </c>
      <c r="HO358" s="293">
        <v>76.506055630000006</v>
      </c>
      <c r="HP358" s="293">
        <v>22.101121527</v>
      </c>
      <c r="HQ358" s="293">
        <v>11.444983981</v>
      </c>
      <c r="HR358" s="293">
        <v>76.531864991000006</v>
      </c>
      <c r="HS358" s="293">
        <v>10.303924452</v>
      </c>
      <c r="HT358" s="293">
        <v>8.9095091830000008</v>
      </c>
      <c r="HU358" s="293">
        <v>83.749376154000004</v>
      </c>
      <c r="HV358" s="293">
        <v>12.499164576</v>
      </c>
      <c r="HW358" s="293">
        <v>11.397168801999999</v>
      </c>
      <c r="HX358" s="293">
        <v>81.548663212999998</v>
      </c>
      <c r="HY358" s="293"/>
      <c r="KT358" s="280"/>
    </row>
    <row r="359" spans="1:336" outlineLevel="1">
      <c r="A359" s="96" t="s">
        <v>395</v>
      </c>
      <c r="B359" s="96" t="s">
        <v>338</v>
      </c>
      <c r="D359" s="321" t="s">
        <v>466</v>
      </c>
      <c r="E359" s="293"/>
      <c r="F359" s="293"/>
      <c r="G359" s="293"/>
      <c r="H359" s="293"/>
      <c r="I359" s="293"/>
      <c r="J359" s="293"/>
      <c r="K359" s="293"/>
      <c r="L359" s="293"/>
      <c r="M359" s="293"/>
      <c r="N359" s="293"/>
      <c r="O359" s="293"/>
      <c r="P359" s="293"/>
      <c r="Q359" s="293"/>
      <c r="R359" s="293"/>
      <c r="S359" s="293"/>
      <c r="T359" s="293"/>
      <c r="U359" s="293"/>
      <c r="V359" s="293"/>
      <c r="W359" s="293"/>
      <c r="X359" s="293"/>
      <c r="Y359" s="29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c r="BN359" s="293"/>
      <c r="BO359" s="293"/>
      <c r="BP359" s="293"/>
      <c r="BQ359" s="293"/>
      <c r="BR359" s="293"/>
      <c r="BS359" s="293"/>
      <c r="BT359" s="293"/>
      <c r="BU359" s="293"/>
      <c r="BV359" s="293"/>
      <c r="BW359" s="293"/>
      <c r="BX359" s="293"/>
      <c r="BY359" s="293"/>
      <c r="BZ359" s="293"/>
      <c r="CA359" s="293"/>
      <c r="CB359" s="293"/>
      <c r="CC359" s="293"/>
      <c r="CD359" s="293"/>
      <c r="CE359" s="294">
        <v>0.53411346999999998</v>
      </c>
      <c r="CF359" s="293">
        <v>9.5546687000000005E-2</v>
      </c>
      <c r="CG359" s="293">
        <v>0.173315683</v>
      </c>
      <c r="CH359" s="293">
        <v>9.4277320999999997E-2</v>
      </c>
      <c r="CI359" s="293">
        <v>7.9005735999999993E-2</v>
      </c>
      <c r="CJ359" s="293">
        <v>0.15383042</v>
      </c>
      <c r="CK359" s="293">
        <v>3.4969736000000001E-2</v>
      </c>
      <c r="CL359" s="293">
        <v>0.11421437299999999</v>
      </c>
      <c r="CM359" s="293">
        <v>3.2996980000000002E-2</v>
      </c>
      <c r="CN359" s="293">
        <v>6.3725954000000001E-2</v>
      </c>
      <c r="CO359" s="293">
        <v>0.18275960899999999</v>
      </c>
      <c r="CP359" s="295">
        <v>0.14168683500000001</v>
      </c>
      <c r="CQ359" s="293">
        <v>0.69328922599999998</v>
      </c>
      <c r="CR359" s="293">
        <v>1.1469060999999999E-2</v>
      </c>
      <c r="CS359" s="293">
        <v>0.148508689</v>
      </c>
      <c r="CT359" s="293">
        <v>1.3437433E-2</v>
      </c>
      <c r="CU359" s="293">
        <v>5.7819868000000003E-2</v>
      </c>
      <c r="CV359" s="293">
        <v>0.23990425500000001</v>
      </c>
      <c r="CW359" s="293">
        <v>6.6524533999999996E-2</v>
      </c>
      <c r="CX359" s="293">
        <v>0.13973018000000001</v>
      </c>
      <c r="CY359" s="293">
        <v>0.21324430999999999</v>
      </c>
      <c r="CZ359" s="293">
        <v>8.0133698000000003E-2</v>
      </c>
      <c r="DA359" s="293">
        <v>1.049353894</v>
      </c>
      <c r="DB359" s="1288">
        <v>6.5593282000000003E-2</v>
      </c>
      <c r="DC359" s="293">
        <v>0.84800550753526072</v>
      </c>
      <c r="DD359" s="293">
        <v>1.133079007681527E-2</v>
      </c>
      <c r="DE359" s="293">
        <v>0.13980076026822338</v>
      </c>
      <c r="DF359" s="293">
        <v>1.3645711687930745E-2</v>
      </c>
      <c r="DG359" s="293">
        <v>7.1546401201005583E-2</v>
      </c>
      <c r="DH359" s="293">
        <v>0.28003812268042177</v>
      </c>
      <c r="DI359" s="293">
        <v>8.5296302059148024E-2</v>
      </c>
      <c r="DJ359" s="293">
        <v>0.16846364779854342</v>
      </c>
      <c r="DK359" s="293">
        <v>0.24929011771830573</v>
      </c>
      <c r="DL359" s="293">
        <v>8.2683918962252689E-2</v>
      </c>
      <c r="DM359" s="293">
        <v>1.2281147387303275</v>
      </c>
      <c r="DN359" s="295">
        <v>7.3837698069873031E-2</v>
      </c>
      <c r="DO359" s="293">
        <v>0</v>
      </c>
      <c r="DP359" s="293">
        <v>0</v>
      </c>
      <c r="DQ359" s="293">
        <v>0</v>
      </c>
      <c r="DR359" s="293">
        <v>0</v>
      </c>
      <c r="DS359" s="293">
        <v>0</v>
      </c>
      <c r="DT359" s="293">
        <v>0</v>
      </c>
      <c r="DU359" s="293">
        <v>0</v>
      </c>
      <c r="DV359" s="293">
        <v>0</v>
      </c>
      <c r="DW359" s="293">
        <v>0</v>
      </c>
      <c r="DX359" s="293">
        <v>0</v>
      </c>
      <c r="DY359" s="293">
        <v>0</v>
      </c>
      <c r="DZ359" s="295">
        <v>0</v>
      </c>
      <c r="EA359" s="293">
        <v>0</v>
      </c>
      <c r="EB359" s="293">
        <v>0</v>
      </c>
      <c r="EC359" s="293">
        <v>0</v>
      </c>
      <c r="ED359" s="293">
        <v>0</v>
      </c>
      <c r="EE359" s="293">
        <v>0</v>
      </c>
      <c r="EF359" s="293">
        <v>0</v>
      </c>
      <c r="EG359" s="293">
        <v>0</v>
      </c>
      <c r="EH359" s="293">
        <v>0</v>
      </c>
      <c r="EI359" s="293">
        <v>0</v>
      </c>
      <c r="EJ359" s="293">
        <v>0</v>
      </c>
      <c r="EK359" s="293">
        <v>0</v>
      </c>
      <c r="EL359" s="295">
        <v>0</v>
      </c>
      <c r="EM359" s="293">
        <v>3.6887334628199997</v>
      </c>
      <c r="EN359" s="293">
        <v>4.7883386559700005</v>
      </c>
      <c r="EO359" s="293">
        <v>7.6775502178000004</v>
      </c>
      <c r="EP359" s="293">
        <v>9.6955604814799994</v>
      </c>
      <c r="EQ359" s="293">
        <v>3.90632631699</v>
      </c>
      <c r="ER359" s="293">
        <v>12.666190216690001</v>
      </c>
      <c r="ES359" s="293">
        <v>7.547110605930178</v>
      </c>
      <c r="ET359" s="293">
        <v>5.286249336151239</v>
      </c>
      <c r="EU359" s="293">
        <v>7.504321041880007</v>
      </c>
      <c r="EV359" s="293">
        <v>10.052632063378015</v>
      </c>
      <c r="EW359" s="293">
        <v>7.1082404520664015</v>
      </c>
      <c r="EX359" s="295">
        <v>23.354547525352729</v>
      </c>
      <c r="EY359" s="293">
        <v>0</v>
      </c>
      <c r="EZ359" s="293">
        <v>0.34146773000000002</v>
      </c>
      <c r="FA359" s="293">
        <v>0</v>
      </c>
      <c r="FB359" s="293">
        <v>0</v>
      </c>
      <c r="FC359" s="293">
        <v>0</v>
      </c>
      <c r="FD359" s="293">
        <v>6.9629299999999996E-4</v>
      </c>
      <c r="FE359" s="293">
        <v>6.9629299999999996E-4</v>
      </c>
      <c r="FF359" s="293">
        <v>6.9629299999999996E-4</v>
      </c>
      <c r="FG359" s="293">
        <v>6.9629299999999996E-4</v>
      </c>
      <c r="FH359" s="293">
        <v>6.9629299999999996E-4</v>
      </c>
      <c r="FI359" s="293">
        <v>6.9629299999999996E-4</v>
      </c>
      <c r="FJ359" s="295">
        <v>6.9629299999999996E-4</v>
      </c>
      <c r="FK359" s="293">
        <v>0.15203960799999999</v>
      </c>
      <c r="FL359" s="293">
        <v>0.63250310700000001</v>
      </c>
      <c r="FM359" s="293">
        <v>0.35404179699999999</v>
      </c>
      <c r="FN359" s="293">
        <v>0.25985228386290415</v>
      </c>
      <c r="FO359" s="293">
        <v>0.81613718729822671</v>
      </c>
      <c r="FP359" s="293">
        <v>9.0508248031688412E-3</v>
      </c>
      <c r="FQ359" s="293">
        <v>0.15042471759955364</v>
      </c>
      <c r="FR359" s="293">
        <v>6.0520773332907188E-2</v>
      </c>
      <c r="FS359" s="293">
        <v>0.47881450222663779</v>
      </c>
      <c r="FT359" s="293">
        <v>0.12742271017833698</v>
      </c>
      <c r="FU359" s="293">
        <v>0.60378892016516228</v>
      </c>
      <c r="FV359" s="293">
        <v>0.31048720798174972</v>
      </c>
      <c r="FW359" s="293">
        <v>6.5623334615857107E-2</v>
      </c>
      <c r="FX359" s="293">
        <v>1.2071917479688861</v>
      </c>
      <c r="FY359" s="293">
        <v>0.80335211083950586</v>
      </c>
      <c r="FZ359" s="293">
        <v>0.41406320961902249</v>
      </c>
      <c r="GA359" s="293">
        <v>0.98389797503674348</v>
      </c>
      <c r="GB359" s="293">
        <v>1.0915625291216942</v>
      </c>
      <c r="GC359" s="293">
        <v>7.9299468192470537E-2</v>
      </c>
      <c r="GD359" s="293">
        <v>0.98502309928981702</v>
      </c>
      <c r="GE359" s="293">
        <v>0</v>
      </c>
      <c r="GF359" s="293">
        <v>0.13366768021994574</v>
      </c>
      <c r="GG359" s="293">
        <v>0.97348491510014123</v>
      </c>
      <c r="GH359" s="293">
        <v>0.11745339428090311</v>
      </c>
      <c r="GI359" s="293">
        <v>7.8146036950115433E-2</v>
      </c>
      <c r="GJ359" s="293">
        <v>8.1245590089511141E-2</v>
      </c>
      <c r="GK359" s="293">
        <v>1.0339323260440725</v>
      </c>
      <c r="GL359" s="293">
        <v>0</v>
      </c>
      <c r="GM359" s="293">
        <v>0</v>
      </c>
      <c r="GN359" s="293">
        <v>2.4637463182604151E-3</v>
      </c>
      <c r="GO359" s="293">
        <v>0.37901251764753963</v>
      </c>
      <c r="GP359" s="293">
        <v>3.971781371087859E-2</v>
      </c>
      <c r="GQ359" s="293">
        <v>1.0656637222465877</v>
      </c>
      <c r="GR359" s="293">
        <v>0.63129894900000005</v>
      </c>
      <c r="GS359" s="293">
        <v>0.13021236899999999</v>
      </c>
      <c r="GT359" s="293">
        <v>0.96422281600000004</v>
      </c>
      <c r="GU359" s="293">
        <v>0</v>
      </c>
      <c r="GV359" s="293">
        <v>7.9686816999999993E-2</v>
      </c>
      <c r="GW359" s="293">
        <v>1.1702979069999999</v>
      </c>
      <c r="GX359" s="293">
        <v>3.24381E-4</v>
      </c>
      <c r="GY359" s="293">
        <v>4.75596E-4</v>
      </c>
      <c r="GZ359" s="293">
        <v>1.0520168560000001</v>
      </c>
      <c r="HA359" s="293">
        <v>5.1468436999999999E-2</v>
      </c>
      <c r="HB359" s="293">
        <v>0.11002011</v>
      </c>
      <c r="HC359" s="293">
        <v>1.061378929</v>
      </c>
      <c r="HD359" s="293">
        <v>5.7080034000000002E-2</v>
      </c>
      <c r="HE359" s="293">
        <v>0</v>
      </c>
      <c r="HF359" s="293">
        <v>1.0351736600000001</v>
      </c>
      <c r="HG359" s="293">
        <v>0</v>
      </c>
      <c r="HH359" s="293">
        <v>0.119279466</v>
      </c>
      <c r="HI359" s="293">
        <v>1.1183858980000001</v>
      </c>
      <c r="HJ359" s="293">
        <v>4.5482525000000003E-2</v>
      </c>
      <c r="HK359" s="293">
        <v>0</v>
      </c>
      <c r="HL359" s="293">
        <v>0.98615932900000003</v>
      </c>
      <c r="HM359" s="293">
        <v>6.2177911000000002E-2</v>
      </c>
      <c r="HN359" s="293">
        <v>0.14595480199999999</v>
      </c>
      <c r="HO359" s="293">
        <v>1.1958544520000001</v>
      </c>
      <c r="HP359" s="293">
        <v>9.6487048000000006E-2</v>
      </c>
      <c r="HQ359" s="293">
        <v>2.6932610999999999E-2</v>
      </c>
      <c r="HR359" s="293">
        <v>0.98008536700000004</v>
      </c>
      <c r="HS359" s="293">
        <v>0.118243002</v>
      </c>
      <c r="HT359" s="293">
        <v>0.14601871899999999</v>
      </c>
      <c r="HU359" s="293">
        <v>1.179907421</v>
      </c>
      <c r="HV359" s="293">
        <v>4.7485649999999997E-2</v>
      </c>
      <c r="HW359" s="293">
        <v>6.3127396000000002E-2</v>
      </c>
      <c r="HX359" s="293">
        <v>0.96315319600000004</v>
      </c>
      <c r="HY359" s="293"/>
      <c r="KT359" s="280"/>
    </row>
    <row r="360" spans="1:336" outlineLevel="1">
      <c r="A360" s="96" t="s">
        <v>395</v>
      </c>
      <c r="B360" s="96" t="s">
        <v>338</v>
      </c>
      <c r="D360" s="320" t="s">
        <v>467</v>
      </c>
      <c r="E360" s="293"/>
      <c r="F360" s="293"/>
      <c r="G360" s="293"/>
      <c r="H360" s="293"/>
      <c r="I360" s="293"/>
      <c r="J360" s="293"/>
      <c r="K360" s="293"/>
      <c r="L360" s="293"/>
      <c r="M360" s="293"/>
      <c r="N360" s="293"/>
      <c r="O360" s="293"/>
      <c r="P360" s="293"/>
      <c r="Q360" s="293"/>
      <c r="R360" s="293"/>
      <c r="S360" s="293"/>
      <c r="T360" s="293"/>
      <c r="U360" s="293"/>
      <c r="V360" s="293"/>
      <c r="W360" s="293"/>
      <c r="X360" s="293"/>
      <c r="Y360" s="29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c r="BN360" s="293"/>
      <c r="BO360" s="293"/>
      <c r="BP360" s="293"/>
      <c r="BQ360" s="293"/>
      <c r="BR360" s="293"/>
      <c r="BS360" s="293"/>
      <c r="BT360" s="293"/>
      <c r="BU360" s="293"/>
      <c r="BV360" s="293"/>
      <c r="BW360" s="293"/>
      <c r="BX360" s="293"/>
      <c r="BY360" s="293"/>
      <c r="BZ360" s="293"/>
      <c r="CA360" s="293"/>
      <c r="CB360" s="293"/>
      <c r="CC360" s="293"/>
      <c r="CD360" s="293"/>
      <c r="CE360" s="294">
        <v>0</v>
      </c>
      <c r="CF360" s="293">
        <v>0</v>
      </c>
      <c r="CG360" s="293">
        <v>0</v>
      </c>
      <c r="CH360" s="293">
        <v>0</v>
      </c>
      <c r="CI360" s="293">
        <v>0</v>
      </c>
      <c r="CJ360" s="293">
        <v>0</v>
      </c>
      <c r="CK360" s="293">
        <v>0</v>
      </c>
      <c r="CL360" s="293">
        <v>0</v>
      </c>
      <c r="CM360" s="293">
        <v>0</v>
      </c>
      <c r="CN360" s="293">
        <v>0</v>
      </c>
      <c r="CO360" s="293">
        <v>0</v>
      </c>
      <c r="CP360" s="295">
        <v>0</v>
      </c>
      <c r="CQ360" s="293">
        <v>0</v>
      </c>
      <c r="CR360" s="293">
        <v>0</v>
      </c>
      <c r="CS360" s="293">
        <v>0</v>
      </c>
      <c r="CT360" s="293">
        <v>0</v>
      </c>
      <c r="CU360" s="293">
        <v>0</v>
      </c>
      <c r="CV360" s="293">
        <v>0</v>
      </c>
      <c r="CW360" s="293">
        <v>0</v>
      </c>
      <c r="CX360" s="293">
        <v>0</v>
      </c>
      <c r="CY360" s="293">
        <v>0</v>
      </c>
      <c r="CZ360" s="293">
        <v>0</v>
      </c>
      <c r="DA360" s="293">
        <v>0</v>
      </c>
      <c r="DB360" s="1288">
        <v>0</v>
      </c>
      <c r="DC360" s="293">
        <v>0</v>
      </c>
      <c r="DD360" s="293">
        <v>0</v>
      </c>
      <c r="DE360" s="293">
        <v>0</v>
      </c>
      <c r="DF360" s="293">
        <v>0</v>
      </c>
      <c r="DG360" s="293">
        <v>0</v>
      </c>
      <c r="DH360" s="293">
        <v>0</v>
      </c>
      <c r="DI360" s="293">
        <v>0</v>
      </c>
      <c r="DJ360" s="293">
        <v>0</v>
      </c>
      <c r="DK360" s="293">
        <v>0</v>
      </c>
      <c r="DL360" s="293">
        <v>0</v>
      </c>
      <c r="DM360" s="293">
        <v>0</v>
      </c>
      <c r="DN360" s="295">
        <v>0</v>
      </c>
      <c r="DO360" s="293">
        <v>0</v>
      </c>
      <c r="DP360" s="293">
        <v>0</v>
      </c>
      <c r="DQ360" s="293">
        <v>0</v>
      </c>
      <c r="DR360" s="293">
        <v>0</v>
      </c>
      <c r="DS360" s="293">
        <v>0</v>
      </c>
      <c r="DT360" s="293">
        <v>0</v>
      </c>
      <c r="DU360" s="293">
        <v>0</v>
      </c>
      <c r="DV360" s="293">
        <v>0</v>
      </c>
      <c r="DW360" s="293">
        <v>0</v>
      </c>
      <c r="DX360" s="293">
        <v>0</v>
      </c>
      <c r="DY360" s="293">
        <v>0</v>
      </c>
      <c r="DZ360" s="295">
        <v>0</v>
      </c>
      <c r="EA360" s="293">
        <v>0</v>
      </c>
      <c r="EB360" s="293">
        <v>0</v>
      </c>
      <c r="EC360" s="293">
        <v>0</v>
      </c>
      <c r="ED360" s="293">
        <v>0</v>
      </c>
      <c r="EE360" s="293">
        <v>0</v>
      </c>
      <c r="EF360" s="293">
        <v>0</v>
      </c>
      <c r="EG360" s="293">
        <v>0</v>
      </c>
      <c r="EH360" s="293">
        <v>0</v>
      </c>
      <c r="EI360" s="293">
        <v>0</v>
      </c>
      <c r="EJ360" s="293">
        <v>0</v>
      </c>
      <c r="EK360" s="293">
        <v>0</v>
      </c>
      <c r="EL360" s="295">
        <v>0</v>
      </c>
      <c r="EM360" s="293">
        <v>0</v>
      </c>
      <c r="EN360" s="293">
        <v>0</v>
      </c>
      <c r="EO360" s="293">
        <v>0</v>
      </c>
      <c r="EP360" s="293">
        <v>0</v>
      </c>
      <c r="EQ360" s="293">
        <v>0</v>
      </c>
      <c r="ER360" s="293">
        <v>0</v>
      </c>
      <c r="ES360" s="293">
        <v>0</v>
      </c>
      <c r="ET360" s="293">
        <v>0</v>
      </c>
      <c r="EU360" s="293">
        <v>0</v>
      </c>
      <c r="EV360" s="293">
        <v>0</v>
      </c>
      <c r="EW360" s="293">
        <v>0</v>
      </c>
      <c r="EX360" s="295">
        <v>0</v>
      </c>
      <c r="EY360" s="293">
        <v>0</v>
      </c>
      <c r="EZ360" s="293">
        <v>0</v>
      </c>
      <c r="FA360" s="293">
        <v>0</v>
      </c>
      <c r="FB360" s="293">
        <v>0</v>
      </c>
      <c r="FC360" s="293">
        <v>0</v>
      </c>
      <c r="FD360" s="293">
        <v>0</v>
      </c>
      <c r="FE360" s="293">
        <v>0</v>
      </c>
      <c r="FF360" s="293">
        <v>0</v>
      </c>
      <c r="FG360" s="293">
        <v>0</v>
      </c>
      <c r="FH360" s="293">
        <v>0</v>
      </c>
      <c r="FI360" s="293">
        <v>0</v>
      </c>
      <c r="FJ360" s="295">
        <v>0</v>
      </c>
      <c r="FK360" s="293">
        <v>0</v>
      </c>
      <c r="FL360" s="293">
        <v>0</v>
      </c>
      <c r="FM360" s="293">
        <v>0</v>
      </c>
      <c r="FN360" s="293">
        <v>0</v>
      </c>
      <c r="FO360" s="293">
        <v>0</v>
      </c>
      <c r="FP360" s="293">
        <v>0</v>
      </c>
      <c r="FQ360" s="293">
        <v>0</v>
      </c>
      <c r="FR360" s="293">
        <v>0</v>
      </c>
      <c r="FS360" s="293">
        <v>0</v>
      </c>
      <c r="FT360" s="293">
        <v>0</v>
      </c>
      <c r="FU360" s="293">
        <v>0</v>
      </c>
      <c r="FV360" s="293">
        <v>0</v>
      </c>
      <c r="FW360" s="293">
        <v>0</v>
      </c>
      <c r="FX360" s="293">
        <v>0</v>
      </c>
      <c r="FY360" s="293">
        <v>0</v>
      </c>
      <c r="FZ360" s="293">
        <v>0</v>
      </c>
      <c r="GA360" s="293">
        <v>0</v>
      </c>
      <c r="GB360" s="293">
        <v>0</v>
      </c>
      <c r="GC360" s="293">
        <v>0</v>
      </c>
      <c r="GD360" s="293">
        <v>0</v>
      </c>
      <c r="GE360" s="293">
        <v>0</v>
      </c>
      <c r="GF360" s="293">
        <v>0</v>
      </c>
      <c r="GG360" s="293">
        <v>0</v>
      </c>
      <c r="GH360" s="293">
        <v>0</v>
      </c>
      <c r="GI360" s="293">
        <v>0</v>
      </c>
      <c r="GJ360" s="293">
        <v>0</v>
      </c>
      <c r="GK360" s="293">
        <v>0</v>
      </c>
      <c r="GL360" s="293">
        <v>0</v>
      </c>
      <c r="GM360" s="293">
        <v>0</v>
      </c>
      <c r="GN360" s="293">
        <v>0</v>
      </c>
      <c r="GO360" s="293">
        <v>0</v>
      </c>
      <c r="GP360" s="293">
        <v>0</v>
      </c>
      <c r="GQ360" s="293">
        <v>0</v>
      </c>
      <c r="GR360" s="293">
        <v>0</v>
      </c>
      <c r="GS360" s="293">
        <v>0</v>
      </c>
      <c r="GT360" s="293">
        <v>0</v>
      </c>
      <c r="GU360" s="293">
        <v>0</v>
      </c>
      <c r="GV360" s="293">
        <v>0</v>
      </c>
      <c r="GW360" s="293">
        <v>0</v>
      </c>
      <c r="GX360" s="293">
        <v>0</v>
      </c>
      <c r="GY360" s="293">
        <v>0</v>
      </c>
      <c r="GZ360" s="293">
        <v>0</v>
      </c>
      <c r="HA360" s="293">
        <v>0</v>
      </c>
      <c r="HB360" s="293">
        <v>0</v>
      </c>
      <c r="HC360" s="293">
        <v>0</v>
      </c>
      <c r="HD360" s="293">
        <v>0</v>
      </c>
      <c r="HE360" s="293">
        <v>0</v>
      </c>
      <c r="HF360" s="293">
        <v>0</v>
      </c>
      <c r="HG360" s="293">
        <v>0</v>
      </c>
      <c r="HH360" s="293">
        <v>0</v>
      </c>
      <c r="HI360" s="293">
        <v>0</v>
      </c>
      <c r="HJ360" s="293">
        <v>0</v>
      </c>
      <c r="HK360" s="293">
        <v>0</v>
      </c>
      <c r="HL360" s="293">
        <v>0</v>
      </c>
      <c r="HM360" s="293">
        <v>0</v>
      </c>
      <c r="HN360" s="293">
        <v>0</v>
      </c>
      <c r="HO360" s="293">
        <v>0</v>
      </c>
      <c r="HP360" s="293">
        <v>0</v>
      </c>
      <c r="HQ360" s="293">
        <v>0</v>
      </c>
      <c r="HR360" s="293">
        <v>0</v>
      </c>
      <c r="HS360" s="293">
        <v>0</v>
      </c>
      <c r="HT360" s="293">
        <v>0</v>
      </c>
      <c r="HU360" s="293">
        <v>0</v>
      </c>
      <c r="HV360" s="293">
        <v>0</v>
      </c>
      <c r="HW360" s="293">
        <v>0</v>
      </c>
      <c r="HX360" s="293">
        <v>0</v>
      </c>
      <c r="HY360" s="293"/>
      <c r="KT360" s="280"/>
    </row>
    <row r="361" spans="1:336" outlineLevel="1">
      <c r="A361" s="96" t="s">
        <v>395</v>
      </c>
      <c r="B361" s="96" t="s">
        <v>338</v>
      </c>
      <c r="D361" s="320" t="s">
        <v>468</v>
      </c>
      <c r="E361" s="293"/>
      <c r="F361" s="293"/>
      <c r="G361" s="293"/>
      <c r="H361" s="293"/>
      <c r="I361" s="293"/>
      <c r="J361" s="293"/>
      <c r="K361" s="293"/>
      <c r="L361" s="293"/>
      <c r="M361" s="293"/>
      <c r="N361" s="293"/>
      <c r="O361" s="293"/>
      <c r="P361" s="293"/>
      <c r="Q361" s="293"/>
      <c r="R361" s="293"/>
      <c r="S361" s="293"/>
      <c r="T361" s="293"/>
      <c r="U361" s="293"/>
      <c r="V361" s="293"/>
      <c r="W361" s="293"/>
      <c r="X361" s="293"/>
      <c r="Y361" s="29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c r="BN361" s="293"/>
      <c r="BO361" s="293"/>
      <c r="BP361" s="293"/>
      <c r="BQ361" s="293"/>
      <c r="BR361" s="293"/>
      <c r="BS361" s="293"/>
      <c r="BT361" s="293"/>
      <c r="BU361" s="293"/>
      <c r="BV361" s="293"/>
      <c r="BW361" s="293"/>
      <c r="BX361" s="293"/>
      <c r="BY361" s="293"/>
      <c r="BZ361" s="293"/>
      <c r="CA361" s="293"/>
      <c r="CB361" s="293"/>
      <c r="CC361" s="293"/>
      <c r="CD361" s="293"/>
      <c r="CE361" s="294">
        <v>0.18629873899999999</v>
      </c>
      <c r="CF361" s="293">
        <v>0.15920899499999999</v>
      </c>
      <c r="CG361" s="293">
        <v>0.178470882</v>
      </c>
      <c r="CH361" s="293">
        <v>0.14890092199999999</v>
      </c>
      <c r="CI361" s="293">
        <v>5.8584415000000001E-2</v>
      </c>
      <c r="CJ361" s="293">
        <v>3.9463314999999999E-2</v>
      </c>
      <c r="CK361" s="293">
        <v>4.5416657000000006E-2</v>
      </c>
      <c r="CL361" s="293">
        <v>3.8194131999999999E-2</v>
      </c>
      <c r="CM361" s="293">
        <v>4.3593558999999997E-2</v>
      </c>
      <c r="CN361" s="293">
        <v>5.3488122999999999E-2</v>
      </c>
      <c r="CO361" s="293">
        <v>4.7626489000000001E-2</v>
      </c>
      <c r="CP361" s="295">
        <v>4.8304062000000002E-2</v>
      </c>
      <c r="CQ361" s="293">
        <v>6.412235899999999E-2</v>
      </c>
      <c r="CR361" s="293">
        <v>0.114669695</v>
      </c>
      <c r="CS361" s="293">
        <v>7.2307892999999998E-2</v>
      </c>
      <c r="CT361" s="293">
        <v>6.9772398999999999E-2</v>
      </c>
      <c r="CU361" s="293">
        <v>5.8702160999999996E-2</v>
      </c>
      <c r="CV361" s="293">
        <v>7.5232731999999997E-2</v>
      </c>
      <c r="CW361" s="293">
        <v>0.120808481</v>
      </c>
      <c r="CX361" s="293">
        <v>0.12825484600000001</v>
      </c>
      <c r="CY361" s="293">
        <v>0.53072420300000001</v>
      </c>
      <c r="CZ361" s="293">
        <v>8.1767031000000004E-2</v>
      </c>
      <c r="DA361" s="293">
        <v>7.9343087000000007E-2</v>
      </c>
      <c r="DB361" s="1288">
        <v>7.8761975000000012E-2</v>
      </c>
      <c r="DC361" s="293">
        <v>5.2479115912306515E-2</v>
      </c>
      <c r="DD361" s="293">
        <v>5.585934207981038E-2</v>
      </c>
      <c r="DE361" s="293">
        <v>5.4293539633636964E-2</v>
      </c>
      <c r="DF361" s="293">
        <v>5.7689530012355966E-2</v>
      </c>
      <c r="DG361" s="293">
        <v>5.2496844027921589E-2</v>
      </c>
      <c r="DH361" s="293">
        <v>6.3531550415572804E-2</v>
      </c>
      <c r="DI361" s="293">
        <v>6.6451509381005192E-2</v>
      </c>
      <c r="DJ361" s="293">
        <v>7.8612076607345538E-2</v>
      </c>
      <c r="DK361" s="293">
        <v>8.6829504111233038E-2</v>
      </c>
      <c r="DL361" s="293">
        <v>6.0433057344616049E-2</v>
      </c>
      <c r="DM361" s="293">
        <v>8.3567027433352675E-2</v>
      </c>
      <c r="DN361" s="295">
        <v>8.6814832929161853E-2</v>
      </c>
      <c r="DO361" s="293">
        <v>5.2048008536990868E-2</v>
      </c>
      <c r="DP361" s="293">
        <v>6.3192970219200617E-2</v>
      </c>
      <c r="DQ361" s="293">
        <v>5.1235985145528594E-2</v>
      </c>
      <c r="DR361" s="293">
        <v>5.4968291556039169E-2</v>
      </c>
      <c r="DS361" s="293">
        <v>5.137729354512878E-2</v>
      </c>
      <c r="DT361" s="293">
        <v>4.793513934449424E-2</v>
      </c>
      <c r="DU361" s="293">
        <v>4.4889627093318708E-2</v>
      </c>
      <c r="DV361" s="293">
        <v>4.096047780590089E-2</v>
      </c>
      <c r="DW361" s="293">
        <v>5.4415358044534401E-2</v>
      </c>
      <c r="DX361" s="293">
        <v>4.5040508734504929E-2</v>
      </c>
      <c r="DY361" s="293">
        <v>5.8503370240740829E-2</v>
      </c>
      <c r="DZ361" s="295">
        <v>4.5218736847096395E-2</v>
      </c>
      <c r="EA361" s="293">
        <v>4.6187208084312524E-11</v>
      </c>
      <c r="EB361" s="293">
        <v>2.3752543848895232E-13</v>
      </c>
      <c r="EC361" s="293">
        <v>7.1074944752443256E-13</v>
      </c>
      <c r="ED361" s="293">
        <v>1.0269602923286729E-12</v>
      </c>
      <c r="EE361" s="293">
        <v>1.7602672137668642E-13</v>
      </c>
      <c r="EF361" s="293">
        <v>3.7982793851907112E-14</v>
      </c>
      <c r="EG361" s="293">
        <v>3.6999291697052164E-13</v>
      </c>
      <c r="EH361" s="293">
        <v>4.1395315342107525E-13</v>
      </c>
      <c r="EI361" s="293">
        <v>1.9518984629729881E-14</v>
      </c>
      <c r="EJ361" s="293">
        <v>2.3367160483534733E-14</v>
      </c>
      <c r="EK361" s="293">
        <v>3.2329481420287986E-13</v>
      </c>
      <c r="EL361" s="295">
        <v>1.2576885197768007E-13</v>
      </c>
      <c r="EM361" s="293">
        <v>0.31462886800000001</v>
      </c>
      <c r="EN361" s="293">
        <v>0.26314551400000002</v>
      </c>
      <c r="EO361" s="293">
        <v>0.19597088800000001</v>
      </c>
      <c r="EP361" s="293">
        <v>0.42047958299999999</v>
      </c>
      <c r="EQ361" s="293">
        <v>0.28871655399999996</v>
      </c>
      <c r="ER361" s="293">
        <v>0.36554615699999998</v>
      </c>
      <c r="ES361" s="293">
        <v>5.7465201069999994</v>
      </c>
      <c r="ET361" s="293">
        <v>1.6758930270000001</v>
      </c>
      <c r="EU361" s="293">
        <v>8.2551049469999995</v>
      </c>
      <c r="EV361" s="293">
        <v>1.1324252939999999</v>
      </c>
      <c r="EW361" s="293">
        <v>0.417966685</v>
      </c>
      <c r="EX361" s="295">
        <v>0.29600300600000001</v>
      </c>
      <c r="EY361" s="293">
        <v>0.13675385796064224</v>
      </c>
      <c r="EZ361" s="293">
        <v>0.12289325796064224</v>
      </c>
      <c r="FA361" s="293">
        <v>0.11405155796064226</v>
      </c>
      <c r="FB361" s="293">
        <v>0.12643465796064224</v>
      </c>
      <c r="FC361" s="293">
        <v>9.1595657960642257E-2</v>
      </c>
      <c r="FD361" s="293">
        <v>0.11365493596064224</v>
      </c>
      <c r="FE361" s="293">
        <v>2.3132621980000003</v>
      </c>
      <c r="FF361" s="293">
        <v>1.0497996283451927</v>
      </c>
      <c r="FG361" s="293">
        <v>0.3926634142885797</v>
      </c>
      <c r="FH361" s="293">
        <v>3.1482156432935386E-2</v>
      </c>
      <c r="FI361" s="293">
        <v>5.1159457960642196E-2</v>
      </c>
      <c r="FJ361" s="295">
        <v>9.9127257960642257E-2</v>
      </c>
      <c r="FK361" s="293">
        <v>0.19186235873786217</v>
      </c>
      <c r="FL361" s="293">
        <v>0.17814652940449016</v>
      </c>
      <c r="FM361" s="293">
        <v>0.19429111185764766</v>
      </c>
      <c r="FN361" s="293">
        <v>0.60447863371770583</v>
      </c>
      <c r="FO361" s="293">
        <v>1.1313748986436614</v>
      </c>
      <c r="FP361" s="293">
        <v>4.9729043880747223</v>
      </c>
      <c r="FQ361" s="293">
        <v>1.2099385805736984</v>
      </c>
      <c r="FR361" s="293">
        <v>1.5253308539083281</v>
      </c>
      <c r="FS361" s="293">
        <v>0.93806127107007642</v>
      </c>
      <c r="FT361" s="293">
        <v>2.8349525329767102</v>
      </c>
      <c r="FU361" s="293">
        <v>2.8251612496666665</v>
      </c>
      <c r="FV361" s="293">
        <v>2.8371726206666663</v>
      </c>
      <c r="FW361" s="293">
        <v>0.24644877124376516</v>
      </c>
      <c r="FX361" s="293">
        <v>0.3317705348749202</v>
      </c>
      <c r="FY361" s="293">
        <v>0.39696251388131465</v>
      </c>
      <c r="FZ361" s="293">
        <v>0.31925356978022218</v>
      </c>
      <c r="GA361" s="293">
        <v>0.43582930656576724</v>
      </c>
      <c r="GB361" s="293">
        <v>1.1366922447600967</v>
      </c>
      <c r="GC361" s="293">
        <v>2.6409874914219094</v>
      </c>
      <c r="GD361" s="293">
        <v>3.3194940210999229</v>
      </c>
      <c r="GE361" s="293">
        <v>6.4050373904781734</v>
      </c>
      <c r="GF361" s="293">
        <v>0.45824303886103701</v>
      </c>
      <c r="GG361" s="293">
        <v>0.46508351724164565</v>
      </c>
      <c r="GH361" s="293">
        <v>0.9513114072779546</v>
      </c>
      <c r="GI361" s="293">
        <v>0.10858707200000001</v>
      </c>
      <c r="GJ361" s="293">
        <v>0.119905739</v>
      </c>
      <c r="GK361" s="293">
        <v>0.120840826</v>
      </c>
      <c r="GL361" s="293">
        <v>0.112895905</v>
      </c>
      <c r="GM361" s="293">
        <v>0.12686587599999999</v>
      </c>
      <c r="GN361" s="293">
        <v>0.11214216</v>
      </c>
      <c r="GO361" s="293">
        <v>0.27268003752899361</v>
      </c>
      <c r="GP361" s="293">
        <v>0.118543777</v>
      </c>
      <c r="GQ361" s="293">
        <v>0.14845968559254585</v>
      </c>
      <c r="GR361" s="293">
        <v>0.19013972900000001</v>
      </c>
      <c r="GS361" s="293">
        <v>0.15852449099999999</v>
      </c>
      <c r="GT361" s="293">
        <v>0.13309398</v>
      </c>
      <c r="GU361" s="293">
        <v>0.862514632</v>
      </c>
      <c r="GV361" s="293">
        <v>0.83800620100000001</v>
      </c>
      <c r="GW361" s="293">
        <v>0.82947120099999994</v>
      </c>
      <c r="GX361" s="293">
        <v>0.796244273</v>
      </c>
      <c r="GY361" s="293">
        <v>1.324951711</v>
      </c>
      <c r="GZ361" s="293">
        <v>1.6741196869999999</v>
      </c>
      <c r="HA361" s="293">
        <v>2.5820993919999999</v>
      </c>
      <c r="HB361" s="293">
        <v>12.626771584</v>
      </c>
      <c r="HC361" s="293">
        <v>2.4519682839999999</v>
      </c>
      <c r="HD361" s="293">
        <v>1.8556768720000001</v>
      </c>
      <c r="HE361" s="293">
        <v>2.3537229829999999</v>
      </c>
      <c r="HF361" s="293">
        <v>2.3060767364535009</v>
      </c>
      <c r="HG361" s="293">
        <v>2.2774786219999998</v>
      </c>
      <c r="HH361" s="293">
        <v>2.280518517</v>
      </c>
      <c r="HI361" s="293">
        <v>2.3483697139999999</v>
      </c>
      <c r="HJ361" s="293">
        <v>3.6097776379999997</v>
      </c>
      <c r="HK361" s="293">
        <v>2.7582048410000004</v>
      </c>
      <c r="HL361" s="293">
        <v>13.009195221222221</v>
      </c>
      <c r="HM361" s="293">
        <v>3.95614774</v>
      </c>
      <c r="HN361" s="293">
        <v>2.4384025970000001</v>
      </c>
      <c r="HO361" s="293">
        <v>2.8114051929999997</v>
      </c>
      <c r="HP361" s="293">
        <v>2.899499483</v>
      </c>
      <c r="HQ361" s="293">
        <v>3.520244672</v>
      </c>
      <c r="HR361" s="293">
        <v>4.071464873</v>
      </c>
      <c r="HS361" s="293">
        <v>3.9449709960000003</v>
      </c>
      <c r="HT361" s="293">
        <v>3.8473299919999997</v>
      </c>
      <c r="HU361" s="293">
        <v>4.0483616620000005</v>
      </c>
      <c r="HV361" s="293">
        <v>4.7439608780000002</v>
      </c>
      <c r="HW361" s="293">
        <v>5.4282521060000004</v>
      </c>
      <c r="HX361" s="293">
        <v>20.454266585999999</v>
      </c>
      <c r="HY361" s="293"/>
      <c r="JP361" s="279">
        <v>0</v>
      </c>
      <c r="JQ361" s="279">
        <v>0</v>
      </c>
      <c r="JR361" s="279">
        <v>0</v>
      </c>
      <c r="JS361" s="279">
        <v>0</v>
      </c>
      <c r="JT361" s="279">
        <v>0</v>
      </c>
      <c r="JU361" s="279">
        <v>0</v>
      </c>
      <c r="JV361" s="279">
        <v>0</v>
      </c>
      <c r="JW361" s="279">
        <v>0</v>
      </c>
      <c r="JX361" s="279">
        <v>0</v>
      </c>
      <c r="JY361" s="279">
        <v>0</v>
      </c>
      <c r="JZ361" s="279">
        <v>0</v>
      </c>
      <c r="KA361" s="279">
        <v>0</v>
      </c>
      <c r="KB361" s="279">
        <v>0</v>
      </c>
      <c r="KC361" s="279">
        <v>0</v>
      </c>
      <c r="KD361" s="279">
        <v>0</v>
      </c>
      <c r="KE361" s="279">
        <v>0</v>
      </c>
      <c r="KF361" s="279">
        <v>0</v>
      </c>
      <c r="KG361" s="279">
        <v>0</v>
      </c>
      <c r="KH361" s="279">
        <v>0</v>
      </c>
      <c r="KI361" s="279">
        <v>0</v>
      </c>
      <c r="KJ361" s="279">
        <v>0</v>
      </c>
      <c r="KK361" s="279">
        <v>0</v>
      </c>
      <c r="KL361" s="279">
        <v>0</v>
      </c>
      <c r="KM361" s="279">
        <v>0</v>
      </c>
      <c r="KN361" s="279">
        <v>0</v>
      </c>
      <c r="KO361" s="279">
        <v>0</v>
      </c>
      <c r="LN361" s="279">
        <v>0</v>
      </c>
      <c r="LO361" s="279">
        <v>0</v>
      </c>
      <c r="LP361" s="279">
        <v>0</v>
      </c>
      <c r="LQ361" s="279">
        <v>0</v>
      </c>
      <c r="LR361" s="279">
        <v>0</v>
      </c>
      <c r="LS361" s="279">
        <v>0</v>
      </c>
      <c r="LT361" s="279">
        <v>0</v>
      </c>
      <c r="LU361" s="279">
        <v>0</v>
      </c>
      <c r="LV361" s="279">
        <v>4.1500000000000004</v>
      </c>
      <c r="LW361" s="279">
        <v>0</v>
      </c>
      <c r="LX361" s="279">
        <v>7.35</v>
      </c>
    </row>
    <row r="362" spans="1:336" outlineLevel="1">
      <c r="A362" s="96" t="s">
        <v>395</v>
      </c>
      <c r="B362" s="96" t="s">
        <v>338</v>
      </c>
      <c r="D362" s="321" t="s">
        <v>469</v>
      </c>
      <c r="E362" s="293"/>
      <c r="F362" s="293"/>
      <c r="G362" s="293"/>
      <c r="H362" s="293"/>
      <c r="I362" s="293"/>
      <c r="J362" s="293"/>
      <c r="K362" s="293"/>
      <c r="L362" s="293"/>
      <c r="M362" s="293"/>
      <c r="N362" s="293"/>
      <c r="O362" s="293"/>
      <c r="P362" s="293"/>
      <c r="Q362" s="293"/>
      <c r="R362" s="293"/>
      <c r="S362" s="293"/>
      <c r="T362" s="293"/>
      <c r="U362" s="293"/>
      <c r="V362" s="293"/>
      <c r="W362" s="293"/>
      <c r="X362" s="293"/>
      <c r="Y362" s="29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c r="BN362" s="293"/>
      <c r="BO362" s="293"/>
      <c r="BP362" s="293"/>
      <c r="BQ362" s="293"/>
      <c r="BR362" s="293"/>
      <c r="BS362" s="293"/>
      <c r="BT362" s="293"/>
      <c r="BU362" s="293"/>
      <c r="BV362" s="293"/>
      <c r="BW362" s="293"/>
      <c r="BX362" s="293"/>
      <c r="BY362" s="293"/>
      <c r="BZ362" s="293"/>
      <c r="CA362" s="293"/>
      <c r="CB362" s="293"/>
      <c r="CC362" s="293"/>
      <c r="CD362" s="293"/>
      <c r="CE362" s="294">
        <v>0</v>
      </c>
      <c r="CF362" s="293">
        <v>0</v>
      </c>
      <c r="CG362" s="293">
        <v>0</v>
      </c>
      <c r="CH362" s="293">
        <v>0</v>
      </c>
      <c r="CI362" s="293">
        <v>0</v>
      </c>
      <c r="CJ362" s="293">
        <v>7.4999999999999993E-5</v>
      </c>
      <c r="CK362" s="293">
        <v>2.2499999999999999E-4</v>
      </c>
      <c r="CL362" s="293">
        <v>0</v>
      </c>
      <c r="CM362" s="293">
        <v>0</v>
      </c>
      <c r="CN362" s="293">
        <v>0</v>
      </c>
      <c r="CO362" s="293">
        <v>1.1999999999999999E-3</v>
      </c>
      <c r="CP362" s="295">
        <v>0</v>
      </c>
      <c r="CQ362" s="293">
        <v>1.1348087E-2</v>
      </c>
      <c r="CR362" s="293">
        <v>5.8128695000000001E-2</v>
      </c>
      <c r="CS362" s="293">
        <v>1.463251E-2</v>
      </c>
      <c r="CT362" s="293">
        <v>1.2963402000000001E-2</v>
      </c>
      <c r="CU362" s="293">
        <v>1.1737841000000001E-2</v>
      </c>
      <c r="CV362" s="293">
        <v>2.0278507000000001E-2</v>
      </c>
      <c r="CW362" s="293">
        <v>5.9038619000000001E-2</v>
      </c>
      <c r="CX362" s="293">
        <v>6.2166051999999999E-2</v>
      </c>
      <c r="CY362" s="293">
        <v>0.45422262699999999</v>
      </c>
      <c r="CZ362" s="293">
        <v>2.2439537999999998E-2</v>
      </c>
      <c r="DA362" s="293">
        <v>6.7278549999999996E-3</v>
      </c>
      <c r="DB362" s="1288">
        <v>3.5048200000000001E-3</v>
      </c>
      <c r="DC362" s="293">
        <v>0</v>
      </c>
      <c r="DD362" s="293">
        <v>0</v>
      </c>
      <c r="DE362" s="293">
        <v>0</v>
      </c>
      <c r="DF362" s="293">
        <v>0</v>
      </c>
      <c r="DG362" s="293">
        <v>0</v>
      </c>
      <c r="DH362" s="293">
        <v>0</v>
      </c>
      <c r="DI362" s="293">
        <v>0</v>
      </c>
      <c r="DJ362" s="293">
        <v>0</v>
      </c>
      <c r="DK362" s="293">
        <v>2.0425244828881366E-5</v>
      </c>
      <c r="DL362" s="293">
        <v>0</v>
      </c>
      <c r="DM362" s="293">
        <v>2.0498504389785221E-3</v>
      </c>
      <c r="DN362" s="295">
        <v>2.308679506124886E-3</v>
      </c>
      <c r="DO362" s="293">
        <v>0</v>
      </c>
      <c r="DP362" s="293">
        <v>0</v>
      </c>
      <c r="DQ362" s="293">
        <v>0</v>
      </c>
      <c r="DR362" s="293">
        <v>0</v>
      </c>
      <c r="DS362" s="293">
        <v>0</v>
      </c>
      <c r="DT362" s="293">
        <v>0</v>
      </c>
      <c r="DU362" s="293">
        <v>0</v>
      </c>
      <c r="DV362" s="293">
        <v>0</v>
      </c>
      <c r="DW362" s="293">
        <v>0</v>
      </c>
      <c r="DX362" s="293">
        <v>0</v>
      </c>
      <c r="DY362" s="293">
        <v>0</v>
      </c>
      <c r="DZ362" s="295">
        <v>0</v>
      </c>
      <c r="EA362" s="293">
        <v>0</v>
      </c>
      <c r="EB362" s="293">
        <v>0</v>
      </c>
      <c r="EC362" s="293">
        <v>0</v>
      </c>
      <c r="ED362" s="293">
        <v>0</v>
      </c>
      <c r="EE362" s="293">
        <v>0</v>
      </c>
      <c r="EF362" s="293">
        <v>0</v>
      </c>
      <c r="EG362" s="293">
        <v>0</v>
      </c>
      <c r="EH362" s="293">
        <v>0</v>
      </c>
      <c r="EI362" s="293">
        <v>0</v>
      </c>
      <c r="EJ362" s="293">
        <v>0</v>
      </c>
      <c r="EK362" s="293">
        <v>0</v>
      </c>
      <c r="EL362" s="295">
        <v>0</v>
      </c>
      <c r="EM362" s="293">
        <v>0.31447588599999998</v>
      </c>
      <c r="EN362" s="293">
        <v>0.26314551400000002</v>
      </c>
      <c r="EO362" s="293">
        <v>0.19594088800000001</v>
      </c>
      <c r="EP362" s="293">
        <v>0.42045458299999999</v>
      </c>
      <c r="EQ362" s="293">
        <v>0.28763700399999997</v>
      </c>
      <c r="ER362" s="293">
        <v>0.36551615700000001</v>
      </c>
      <c r="ES362" s="293">
        <v>5.7445599869999997</v>
      </c>
      <c r="ET362" s="293">
        <v>1.675767827</v>
      </c>
      <c r="EU362" s="293">
        <v>8.2551049469999995</v>
      </c>
      <c r="EV362" s="293">
        <v>1.1323164939999999</v>
      </c>
      <c r="EW362" s="293">
        <v>0.41788988500000002</v>
      </c>
      <c r="EX362" s="295">
        <v>0.29598800600000003</v>
      </c>
      <c r="EY362" s="293">
        <v>3.7694857960642252E-2</v>
      </c>
      <c r="EZ362" s="293">
        <v>3.7694857960642252E-2</v>
      </c>
      <c r="FA362" s="293">
        <v>3.7694857960642252E-2</v>
      </c>
      <c r="FB362" s="293">
        <v>3.7694857960642252E-2</v>
      </c>
      <c r="FC362" s="293">
        <v>3.7694857960642252E-2</v>
      </c>
      <c r="FD362" s="293">
        <v>3.7694857960642252E-2</v>
      </c>
      <c r="FE362" s="293">
        <v>2.2379457980000002</v>
      </c>
      <c r="FF362" s="293">
        <v>0.9801658523451926</v>
      </c>
      <c r="FG362" s="293">
        <v>0.33858319528857972</v>
      </c>
      <c r="FH362" s="293">
        <v>2.5475556432935385E-2</v>
      </c>
      <c r="FI362" s="293">
        <v>1.7694857960642199E-2</v>
      </c>
      <c r="FJ362" s="295">
        <v>3.7694857960642252E-2</v>
      </c>
      <c r="FK362" s="293">
        <v>0.12286875873786218</v>
      </c>
      <c r="FL362" s="293">
        <v>9.658788840449016E-2</v>
      </c>
      <c r="FM362" s="293">
        <v>0.12080531185764766</v>
      </c>
      <c r="FN362" s="293">
        <v>0.51586811290864154</v>
      </c>
      <c r="FO362" s="293">
        <v>1.0640952540166371</v>
      </c>
      <c r="FP362" s="293">
        <v>4.8918301880747226</v>
      </c>
      <c r="FQ362" s="293">
        <v>1.1751401805736985</v>
      </c>
      <c r="FR362" s="293">
        <v>1.4748745539083281</v>
      </c>
      <c r="FS362" s="293">
        <v>0.85330137851797383</v>
      </c>
      <c r="FT362" s="293">
        <v>2.7642761556666664</v>
      </c>
      <c r="FU362" s="293">
        <v>2.7642761556666664</v>
      </c>
      <c r="FV362" s="293">
        <v>2.7642761556666664</v>
      </c>
      <c r="FW362" s="293">
        <v>0.21408797124376516</v>
      </c>
      <c r="FX362" s="293">
        <v>0.26719040687492018</v>
      </c>
      <c r="FY362" s="293">
        <v>0.32856051388131463</v>
      </c>
      <c r="FZ362" s="293">
        <v>0.26030012825631266</v>
      </c>
      <c r="GA362" s="293">
        <v>0.37548951598359065</v>
      </c>
      <c r="GB362" s="293">
        <v>1.0525413607600966</v>
      </c>
      <c r="GC362" s="293">
        <v>2.5698428534219095</v>
      </c>
      <c r="GD362" s="293">
        <v>3.2253137920999229</v>
      </c>
      <c r="GE362" s="293">
        <v>6.3113047404781737</v>
      </c>
      <c r="GF362" s="293">
        <v>0.354981962861037</v>
      </c>
      <c r="GG362" s="293">
        <v>0.36522439924164563</v>
      </c>
      <c r="GH362" s="293">
        <v>0.84630933990063029</v>
      </c>
      <c r="GI362" s="293">
        <v>0.10858707200000001</v>
      </c>
      <c r="GJ362" s="293">
        <v>0.119905739</v>
      </c>
      <c r="GK362" s="293">
        <v>0.120840826</v>
      </c>
      <c r="GL362" s="293">
        <v>0.112895905</v>
      </c>
      <c r="GM362" s="293">
        <v>0.12686587599999999</v>
      </c>
      <c r="GN362" s="293">
        <v>0.11214216</v>
      </c>
      <c r="GO362" s="293">
        <v>0.27268003752899361</v>
      </c>
      <c r="GP362" s="293">
        <v>0.118543777</v>
      </c>
      <c r="GQ362" s="293">
        <v>0.14845968559254585</v>
      </c>
      <c r="GR362" s="293">
        <v>0.19013972900000001</v>
      </c>
      <c r="GS362" s="293">
        <v>0.15852449099999999</v>
      </c>
      <c r="GT362" s="293">
        <v>0.13309398</v>
      </c>
      <c r="GU362" s="293">
        <v>0.38703533299999998</v>
      </c>
      <c r="GV362" s="293">
        <v>0.39915237999999997</v>
      </c>
      <c r="GW362" s="293">
        <v>0.31384641499999999</v>
      </c>
      <c r="GX362" s="293">
        <v>0.33990184200000001</v>
      </c>
      <c r="GY362" s="293">
        <v>0.86268649399999997</v>
      </c>
      <c r="GZ362" s="293">
        <v>1.205841274</v>
      </c>
      <c r="HA362" s="293">
        <v>1.9841014430000001</v>
      </c>
      <c r="HB362" s="293">
        <v>12.169493302999999</v>
      </c>
      <c r="HC362" s="293">
        <v>1.9724492519999999</v>
      </c>
      <c r="HD362" s="293">
        <v>1.3708008850000002</v>
      </c>
      <c r="HE362" s="293">
        <v>1.742631947</v>
      </c>
      <c r="HF362" s="293">
        <v>1.6798463240000001</v>
      </c>
      <c r="HG362" s="293">
        <v>1.5849570639999999</v>
      </c>
      <c r="HH362" s="293">
        <v>1.653213944</v>
      </c>
      <c r="HI362" s="293">
        <v>1.7456988519999999</v>
      </c>
      <c r="HJ362" s="293">
        <v>3.009015534</v>
      </c>
      <c r="HK362" s="293">
        <v>2.2275611030000002</v>
      </c>
      <c r="HL362" s="293">
        <v>12.386454475222221</v>
      </c>
      <c r="HM362" s="293">
        <v>3.3149284190000001</v>
      </c>
      <c r="HN362" s="293">
        <v>1.822977329</v>
      </c>
      <c r="HO362" s="293">
        <v>2.1750272549999998</v>
      </c>
      <c r="HP362" s="293">
        <v>1.989708408</v>
      </c>
      <c r="HQ362" s="293">
        <v>2.3589387550000001</v>
      </c>
      <c r="HR362" s="293">
        <v>2.2423551530000001</v>
      </c>
      <c r="HS362" s="293">
        <v>3.0492853740000001</v>
      </c>
      <c r="HT362" s="293">
        <v>2.808674243</v>
      </c>
      <c r="HU362" s="293">
        <v>2.9681511790000004</v>
      </c>
      <c r="HV362" s="293">
        <v>3.3548878420000001</v>
      </c>
      <c r="HW362" s="293">
        <v>4.0654920670000001</v>
      </c>
      <c r="HX362" s="293">
        <v>15.897167867999999</v>
      </c>
      <c r="HY362" s="293"/>
      <c r="KT362" s="280"/>
    </row>
    <row r="363" spans="1:336" s="882" customFormat="1" outlineLevel="1">
      <c r="A363" s="1759"/>
      <c r="B363" s="1759"/>
      <c r="C363" s="1759"/>
      <c r="D363" s="2060" t="s">
        <v>3762</v>
      </c>
      <c r="CE363" s="2058"/>
      <c r="CP363" s="1268"/>
      <c r="DB363" s="2059"/>
      <c r="DN363" s="1268"/>
      <c r="DZ363" s="1268"/>
      <c r="EL363" s="1268"/>
      <c r="EX363" s="1268"/>
      <c r="FJ363" s="1268"/>
      <c r="FW363" s="882">
        <v>0.21408797124376516</v>
      </c>
      <c r="FX363" s="882">
        <v>0.26719040687492018</v>
      </c>
      <c r="FY363" s="882">
        <v>0.32856051388131463</v>
      </c>
      <c r="FZ363" s="882">
        <v>0.26030012825631266</v>
      </c>
      <c r="GA363" s="882">
        <v>0.37548951598359065</v>
      </c>
      <c r="GB363" s="882">
        <v>1.0525413607600966</v>
      </c>
      <c r="GC363" s="882">
        <v>2.5698428534219095</v>
      </c>
      <c r="GD363" s="882">
        <v>3.2253137920999229</v>
      </c>
      <c r="GE363" s="882">
        <v>6.3113047404781737</v>
      </c>
      <c r="GF363" s="882">
        <v>0.354981962861037</v>
      </c>
      <c r="GG363" s="882">
        <v>0.36522439924164563</v>
      </c>
      <c r="GH363" s="882">
        <v>0.84630933990063029</v>
      </c>
      <c r="GI363" s="882">
        <v>0.42694589399999999</v>
      </c>
      <c r="GJ363" s="882">
        <v>0.49736686299999999</v>
      </c>
      <c r="GK363" s="882">
        <v>0.444226907</v>
      </c>
      <c r="GL363" s="882">
        <v>0.397961591</v>
      </c>
      <c r="GM363" s="882">
        <v>0.65760525800000003</v>
      </c>
      <c r="GN363" s="882">
        <v>2.33899781</v>
      </c>
      <c r="GO363" s="882">
        <v>12.156569825</v>
      </c>
      <c r="GP363" s="882">
        <v>1.133283587</v>
      </c>
      <c r="GQ363" s="882">
        <v>0.87336217599999999</v>
      </c>
      <c r="GR363" s="882">
        <v>0.56205269499999999</v>
      </c>
      <c r="GS363" s="882">
        <v>0.6751952</v>
      </c>
      <c r="GT363" s="882">
        <v>0.68979813199999995</v>
      </c>
      <c r="GU363" s="882">
        <v>0.38703533299999998</v>
      </c>
      <c r="GV363" s="882">
        <v>0.39915237999999997</v>
      </c>
      <c r="GW363" s="882">
        <v>0.31384641499999999</v>
      </c>
      <c r="GX363" s="882">
        <v>0.33990184200000001</v>
      </c>
      <c r="GY363" s="882">
        <v>0.86268649399999997</v>
      </c>
      <c r="GZ363" s="882">
        <v>0.93060706400000004</v>
      </c>
      <c r="HA363" s="882">
        <v>1.8395440510000001</v>
      </c>
      <c r="HB363" s="882">
        <v>12.083977807</v>
      </c>
      <c r="HC363" s="882">
        <v>1.7838924519999999</v>
      </c>
      <c r="HD363" s="882">
        <v>1.2530315780000001</v>
      </c>
      <c r="HE363" s="882">
        <v>1.5840325829999999</v>
      </c>
      <c r="HF363" s="882">
        <v>1.5126292370000001</v>
      </c>
      <c r="HG363" s="882">
        <v>1.3991783</v>
      </c>
      <c r="HH363" s="882">
        <v>1.4593601949999999</v>
      </c>
      <c r="HI363" s="882">
        <v>1.5157594459999999</v>
      </c>
      <c r="HJ363" s="882">
        <v>2.0206470059999999</v>
      </c>
      <c r="HK363" s="882">
        <v>1.993877517</v>
      </c>
      <c r="HL363" s="882">
        <v>12.244947880222222</v>
      </c>
      <c r="HM363" s="882">
        <v>2.581792348</v>
      </c>
      <c r="HN363" s="882">
        <v>1.688410886</v>
      </c>
      <c r="HO363" s="882">
        <v>2.047483497</v>
      </c>
      <c r="HP363" s="882">
        <v>1.844409695</v>
      </c>
      <c r="HQ363" s="882">
        <v>2.16095272</v>
      </c>
      <c r="HR363" s="882">
        <v>2.0950100439999999</v>
      </c>
      <c r="HS363" s="882">
        <v>2.696653473</v>
      </c>
      <c r="HT363" s="882">
        <v>2.4994701510000001</v>
      </c>
      <c r="HU363" s="882">
        <v>2.6519942630000002</v>
      </c>
      <c r="HV363" s="882">
        <v>3.059978632</v>
      </c>
      <c r="HW363" s="882">
        <v>3.667084365</v>
      </c>
      <c r="HX363" s="882">
        <v>15.379497326999999</v>
      </c>
      <c r="KT363" s="1268"/>
    </row>
    <row r="364" spans="1:336" outlineLevel="1">
      <c r="A364" s="96" t="s">
        <v>395</v>
      </c>
      <c r="B364" s="96" t="s">
        <v>338</v>
      </c>
      <c r="D364" s="321" t="s">
        <v>470</v>
      </c>
      <c r="E364" s="293"/>
      <c r="F364" s="293"/>
      <c r="G364" s="293"/>
      <c r="H364" s="293"/>
      <c r="I364" s="293"/>
      <c r="J364" s="293"/>
      <c r="K364" s="293"/>
      <c r="L364" s="293"/>
      <c r="M364" s="293"/>
      <c r="N364" s="293"/>
      <c r="O364" s="293"/>
      <c r="P364" s="293"/>
      <c r="Q364" s="293"/>
      <c r="R364" s="293"/>
      <c r="S364" s="293"/>
      <c r="T364" s="293"/>
      <c r="U364" s="293"/>
      <c r="V364" s="293"/>
      <c r="W364" s="293"/>
      <c r="X364" s="293"/>
      <c r="Y364" s="29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c r="BN364" s="293"/>
      <c r="BO364" s="293"/>
      <c r="BP364" s="293"/>
      <c r="BQ364" s="293"/>
      <c r="BR364" s="293"/>
      <c r="BS364" s="293"/>
      <c r="BT364" s="293"/>
      <c r="BU364" s="293"/>
      <c r="BV364" s="293"/>
      <c r="BW364" s="293"/>
      <c r="BX364" s="293"/>
      <c r="BY364" s="293"/>
      <c r="BZ364" s="293"/>
      <c r="CA364" s="293"/>
      <c r="CB364" s="293"/>
      <c r="CC364" s="293"/>
      <c r="CD364" s="293"/>
      <c r="CE364" s="294">
        <v>0</v>
      </c>
      <c r="CF364" s="293">
        <v>0</v>
      </c>
      <c r="CG364" s="293">
        <v>0</v>
      </c>
      <c r="CH364" s="293">
        <v>0</v>
      </c>
      <c r="CI364" s="293">
        <v>0</v>
      </c>
      <c r="CJ364" s="293">
        <v>0</v>
      </c>
      <c r="CK364" s="293">
        <v>0</v>
      </c>
      <c r="CL364" s="293">
        <v>0</v>
      </c>
      <c r="CM364" s="293">
        <v>0</v>
      </c>
      <c r="CN364" s="293">
        <v>0</v>
      </c>
      <c r="CO364" s="293">
        <v>0</v>
      </c>
      <c r="CP364" s="295">
        <v>0</v>
      </c>
      <c r="CQ364" s="293">
        <v>0</v>
      </c>
      <c r="CR364" s="293">
        <v>0</v>
      </c>
      <c r="CS364" s="293">
        <v>0</v>
      </c>
      <c r="CT364" s="293">
        <v>0</v>
      </c>
      <c r="CU364" s="293">
        <v>0</v>
      </c>
      <c r="CV364" s="293">
        <v>0</v>
      </c>
      <c r="CW364" s="293">
        <v>0</v>
      </c>
      <c r="CX364" s="293">
        <v>0</v>
      </c>
      <c r="CY364" s="293">
        <v>0</v>
      </c>
      <c r="CZ364" s="293">
        <v>0</v>
      </c>
      <c r="DA364" s="293">
        <v>0</v>
      </c>
      <c r="DB364" s="1288">
        <v>0</v>
      </c>
      <c r="DC364" s="293">
        <v>0</v>
      </c>
      <c r="DD364" s="293">
        <v>0</v>
      </c>
      <c r="DE364" s="293">
        <v>0</v>
      </c>
      <c r="DF364" s="293">
        <v>0</v>
      </c>
      <c r="DG364" s="293">
        <v>0</v>
      </c>
      <c r="DH364" s="293">
        <v>0</v>
      </c>
      <c r="DI364" s="293">
        <v>0</v>
      </c>
      <c r="DJ364" s="293">
        <v>0</v>
      </c>
      <c r="DK364" s="293">
        <v>0</v>
      </c>
      <c r="DL364" s="293">
        <v>0</v>
      </c>
      <c r="DM364" s="293">
        <v>0</v>
      </c>
      <c r="DN364" s="295">
        <v>0</v>
      </c>
      <c r="DO364" s="293">
        <v>0</v>
      </c>
      <c r="DP364" s="293">
        <v>0</v>
      </c>
      <c r="DQ364" s="293">
        <v>0</v>
      </c>
      <c r="DR364" s="293">
        <v>0</v>
      </c>
      <c r="DS364" s="293">
        <v>0</v>
      </c>
      <c r="DT364" s="293">
        <v>0</v>
      </c>
      <c r="DU364" s="293">
        <v>0</v>
      </c>
      <c r="DV364" s="293">
        <v>0</v>
      </c>
      <c r="DW364" s="293">
        <v>0</v>
      </c>
      <c r="DX364" s="293">
        <v>0</v>
      </c>
      <c r="DY364" s="293">
        <v>0</v>
      </c>
      <c r="DZ364" s="295">
        <v>0</v>
      </c>
      <c r="EA364" s="293">
        <v>0</v>
      </c>
      <c r="EB364" s="293">
        <v>0</v>
      </c>
      <c r="EC364" s="293">
        <v>0</v>
      </c>
      <c r="ED364" s="293">
        <v>0</v>
      </c>
      <c r="EE364" s="293">
        <v>0</v>
      </c>
      <c r="EF364" s="293">
        <v>0</v>
      </c>
      <c r="EG364" s="293">
        <v>0</v>
      </c>
      <c r="EH364" s="293">
        <v>0</v>
      </c>
      <c r="EI364" s="293">
        <v>0</v>
      </c>
      <c r="EJ364" s="293">
        <v>0</v>
      </c>
      <c r="EK364" s="293">
        <v>0</v>
      </c>
      <c r="EL364" s="295">
        <v>0</v>
      </c>
      <c r="EM364" s="293">
        <v>0</v>
      </c>
      <c r="EN364" s="293">
        <v>0</v>
      </c>
      <c r="EO364" s="293">
        <v>0</v>
      </c>
      <c r="EP364" s="293">
        <v>0</v>
      </c>
      <c r="EQ364" s="293">
        <v>0</v>
      </c>
      <c r="ER364" s="293">
        <v>0</v>
      </c>
      <c r="ES364" s="293">
        <v>0</v>
      </c>
      <c r="ET364" s="293">
        <v>0</v>
      </c>
      <c r="EU364" s="293">
        <v>0</v>
      </c>
      <c r="EV364" s="293">
        <v>0</v>
      </c>
      <c r="EW364" s="293">
        <v>0</v>
      </c>
      <c r="EX364" s="295">
        <v>0</v>
      </c>
      <c r="EY364" s="293">
        <v>0</v>
      </c>
      <c r="EZ364" s="293">
        <v>0</v>
      </c>
      <c r="FA364" s="293">
        <v>0</v>
      </c>
      <c r="FB364" s="293">
        <v>0</v>
      </c>
      <c r="FC364" s="293">
        <v>0</v>
      </c>
      <c r="FD364" s="293">
        <v>0</v>
      </c>
      <c r="FE364" s="293">
        <v>0</v>
      </c>
      <c r="FF364" s="293">
        <v>0</v>
      </c>
      <c r="FG364" s="293">
        <v>0</v>
      </c>
      <c r="FH364" s="293">
        <v>0</v>
      </c>
      <c r="FI364" s="293">
        <v>0</v>
      </c>
      <c r="FJ364" s="295">
        <v>0</v>
      </c>
      <c r="FK364" s="293">
        <v>0</v>
      </c>
      <c r="FL364" s="293">
        <v>0</v>
      </c>
      <c r="FM364" s="293">
        <v>0</v>
      </c>
      <c r="FN364" s="293">
        <v>0</v>
      </c>
      <c r="FO364" s="293">
        <v>0</v>
      </c>
      <c r="FP364" s="293">
        <v>0</v>
      </c>
      <c r="FQ364" s="293">
        <v>0</v>
      </c>
      <c r="FR364" s="293">
        <v>0</v>
      </c>
      <c r="FS364" s="293">
        <v>0</v>
      </c>
      <c r="FT364" s="293">
        <v>0</v>
      </c>
      <c r="FU364" s="293">
        <v>0</v>
      </c>
      <c r="FV364" s="293">
        <v>0</v>
      </c>
      <c r="FW364" s="293">
        <v>0</v>
      </c>
      <c r="FX364" s="293">
        <v>0</v>
      </c>
      <c r="FY364" s="293">
        <v>0</v>
      </c>
      <c r="FZ364" s="293">
        <v>0</v>
      </c>
      <c r="GA364" s="293">
        <v>0</v>
      </c>
      <c r="GB364" s="293">
        <v>0</v>
      </c>
      <c r="GC364" s="293">
        <v>0</v>
      </c>
      <c r="GD364" s="293">
        <v>0</v>
      </c>
      <c r="GE364" s="293">
        <v>0</v>
      </c>
      <c r="GF364" s="293">
        <v>0</v>
      </c>
      <c r="GG364" s="293">
        <v>0</v>
      </c>
      <c r="GH364" s="293">
        <v>0</v>
      </c>
      <c r="GI364" s="293">
        <v>0</v>
      </c>
      <c r="GJ364" s="293">
        <v>0</v>
      </c>
      <c r="GK364" s="293">
        <v>0</v>
      </c>
      <c r="GL364" s="293">
        <v>0</v>
      </c>
      <c r="GM364" s="293">
        <v>0</v>
      </c>
      <c r="GN364" s="293">
        <v>0</v>
      </c>
      <c r="GO364" s="293">
        <v>0</v>
      </c>
      <c r="GP364" s="293">
        <v>0</v>
      </c>
      <c r="GQ364" s="293">
        <v>0</v>
      </c>
      <c r="GR364" s="293">
        <v>0</v>
      </c>
      <c r="GS364" s="293">
        <v>0</v>
      </c>
      <c r="GT364" s="293">
        <v>0</v>
      </c>
      <c r="GU364" s="293">
        <v>0</v>
      </c>
      <c r="GV364" s="293">
        <v>0</v>
      </c>
      <c r="GW364" s="293">
        <v>0</v>
      </c>
      <c r="GX364" s="293">
        <v>0</v>
      </c>
      <c r="GY364" s="293">
        <v>0</v>
      </c>
      <c r="GZ364" s="293">
        <v>0</v>
      </c>
      <c r="HA364" s="293">
        <v>0</v>
      </c>
      <c r="HB364" s="293">
        <v>0</v>
      </c>
      <c r="HC364" s="293">
        <v>0</v>
      </c>
      <c r="HD364" s="293">
        <v>0</v>
      </c>
      <c r="HE364" s="293">
        <v>0</v>
      </c>
      <c r="HF364" s="293">
        <v>0</v>
      </c>
      <c r="HG364" s="293">
        <v>0</v>
      </c>
      <c r="HH364" s="293">
        <v>0</v>
      </c>
      <c r="HI364" s="293">
        <v>0</v>
      </c>
      <c r="HJ364" s="293">
        <v>0</v>
      </c>
      <c r="HK364" s="293">
        <v>0</v>
      </c>
      <c r="HL364" s="293">
        <v>0</v>
      </c>
      <c r="HM364" s="293">
        <v>0</v>
      </c>
      <c r="HN364" s="293">
        <v>0</v>
      </c>
      <c r="HO364" s="293">
        <v>0</v>
      </c>
      <c r="HP364" s="293">
        <v>0</v>
      </c>
      <c r="HQ364" s="293">
        <v>0</v>
      </c>
      <c r="HR364" s="293">
        <v>0</v>
      </c>
      <c r="HS364" s="293">
        <v>0</v>
      </c>
      <c r="HT364" s="293">
        <v>0</v>
      </c>
      <c r="HU364" s="293">
        <v>0</v>
      </c>
      <c r="HV364" s="293">
        <v>0</v>
      </c>
      <c r="HW364" s="293">
        <v>0</v>
      </c>
      <c r="HX364" s="293">
        <v>0</v>
      </c>
      <c r="HY364" s="293"/>
      <c r="KT364" s="280"/>
    </row>
    <row r="365" spans="1:336" outlineLevel="1">
      <c r="A365" s="96" t="s">
        <v>395</v>
      </c>
      <c r="B365" s="96" t="s">
        <v>338</v>
      </c>
      <c r="D365" s="321" t="s">
        <v>471</v>
      </c>
      <c r="E365" s="293"/>
      <c r="F365" s="293"/>
      <c r="G365" s="293"/>
      <c r="H365" s="293"/>
      <c r="I365" s="293"/>
      <c r="J365" s="293"/>
      <c r="K365" s="293"/>
      <c r="L365" s="293"/>
      <c r="M365" s="293"/>
      <c r="N365" s="293"/>
      <c r="O365" s="293"/>
      <c r="P365" s="293"/>
      <c r="Q365" s="293"/>
      <c r="R365" s="293"/>
      <c r="S365" s="293"/>
      <c r="T365" s="293"/>
      <c r="U365" s="293"/>
      <c r="V365" s="293"/>
      <c r="W365" s="293"/>
      <c r="X365" s="293"/>
      <c r="Y365" s="29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c r="BN365" s="293"/>
      <c r="BO365" s="293"/>
      <c r="BP365" s="293"/>
      <c r="BQ365" s="293"/>
      <c r="BR365" s="293"/>
      <c r="BS365" s="293"/>
      <c r="BT365" s="293"/>
      <c r="BU365" s="293"/>
      <c r="BV365" s="293"/>
      <c r="BW365" s="293"/>
      <c r="BX365" s="293"/>
      <c r="BY365" s="293"/>
      <c r="BZ365" s="293"/>
      <c r="CA365" s="293"/>
      <c r="CB365" s="293"/>
      <c r="CC365" s="293"/>
      <c r="CD365" s="293"/>
      <c r="CE365" s="294">
        <v>0</v>
      </c>
      <c r="CF365" s="293">
        <v>0</v>
      </c>
      <c r="CG365" s="293">
        <v>0</v>
      </c>
      <c r="CH365" s="293">
        <v>0</v>
      </c>
      <c r="CI365" s="293">
        <v>0</v>
      </c>
      <c r="CJ365" s="293">
        <v>0</v>
      </c>
      <c r="CK365" s="293">
        <v>0</v>
      </c>
      <c r="CL365" s="293">
        <v>0</v>
      </c>
      <c r="CM365" s="293">
        <v>0</v>
      </c>
      <c r="CN365" s="293">
        <v>0</v>
      </c>
      <c r="CO365" s="293">
        <v>0</v>
      </c>
      <c r="CP365" s="295">
        <v>0</v>
      </c>
      <c r="CQ365" s="293">
        <v>0</v>
      </c>
      <c r="CR365" s="293">
        <v>0</v>
      </c>
      <c r="CS365" s="293">
        <v>0</v>
      </c>
      <c r="CT365" s="293">
        <v>0</v>
      </c>
      <c r="CU365" s="293">
        <v>0</v>
      </c>
      <c r="CV365" s="293">
        <v>0</v>
      </c>
      <c r="CW365" s="293">
        <v>0</v>
      </c>
      <c r="CX365" s="293">
        <v>0</v>
      </c>
      <c r="CY365" s="293">
        <v>0</v>
      </c>
      <c r="CZ365" s="293">
        <v>0</v>
      </c>
      <c r="DA365" s="293">
        <v>0</v>
      </c>
      <c r="DB365" s="1288">
        <v>0</v>
      </c>
      <c r="DC365" s="293">
        <v>0</v>
      </c>
      <c r="DD365" s="293">
        <v>0</v>
      </c>
      <c r="DE365" s="293">
        <v>0</v>
      </c>
      <c r="DF365" s="293">
        <v>0</v>
      </c>
      <c r="DG365" s="293">
        <v>0</v>
      </c>
      <c r="DH365" s="293">
        <v>0</v>
      </c>
      <c r="DI365" s="293">
        <v>0</v>
      </c>
      <c r="DJ365" s="293">
        <v>0</v>
      </c>
      <c r="DK365" s="293">
        <v>0</v>
      </c>
      <c r="DL365" s="293">
        <v>0</v>
      </c>
      <c r="DM365" s="293">
        <v>0</v>
      </c>
      <c r="DN365" s="295">
        <v>0</v>
      </c>
      <c r="DO365" s="293">
        <v>0</v>
      </c>
      <c r="DP365" s="293">
        <v>0</v>
      </c>
      <c r="DQ365" s="293">
        <v>0</v>
      </c>
      <c r="DR365" s="293">
        <v>0</v>
      </c>
      <c r="DS365" s="293">
        <v>0</v>
      </c>
      <c r="DT365" s="293">
        <v>0</v>
      </c>
      <c r="DU365" s="293">
        <v>0</v>
      </c>
      <c r="DV365" s="293">
        <v>0</v>
      </c>
      <c r="DW365" s="293">
        <v>0</v>
      </c>
      <c r="DX365" s="293">
        <v>0</v>
      </c>
      <c r="DY365" s="293">
        <v>0</v>
      </c>
      <c r="DZ365" s="295">
        <v>0</v>
      </c>
      <c r="EA365" s="293">
        <v>0</v>
      </c>
      <c r="EB365" s="293">
        <v>0</v>
      </c>
      <c r="EC365" s="293">
        <v>0</v>
      </c>
      <c r="ED365" s="293">
        <v>0</v>
      </c>
      <c r="EE365" s="293">
        <v>0</v>
      </c>
      <c r="EF365" s="293">
        <v>0</v>
      </c>
      <c r="EG365" s="293">
        <v>0</v>
      </c>
      <c r="EH365" s="293">
        <v>0</v>
      </c>
      <c r="EI365" s="293">
        <v>0</v>
      </c>
      <c r="EJ365" s="293">
        <v>0</v>
      </c>
      <c r="EK365" s="293">
        <v>0</v>
      </c>
      <c r="EL365" s="295">
        <v>0</v>
      </c>
      <c r="EM365" s="293">
        <v>0</v>
      </c>
      <c r="EN365" s="293">
        <v>0</v>
      </c>
      <c r="EO365" s="293">
        <v>0</v>
      </c>
      <c r="EP365" s="293">
        <v>0</v>
      </c>
      <c r="EQ365" s="293">
        <v>0</v>
      </c>
      <c r="ER365" s="293">
        <v>0</v>
      </c>
      <c r="ES365" s="293">
        <v>0</v>
      </c>
      <c r="ET365" s="293">
        <v>0</v>
      </c>
      <c r="EU365" s="293">
        <v>0</v>
      </c>
      <c r="EV365" s="293">
        <v>0</v>
      </c>
      <c r="EW365" s="293">
        <v>0</v>
      </c>
      <c r="EX365" s="295">
        <v>0</v>
      </c>
      <c r="EY365" s="293">
        <v>0</v>
      </c>
      <c r="EZ365" s="293">
        <v>0</v>
      </c>
      <c r="FA365" s="293">
        <v>0</v>
      </c>
      <c r="FB365" s="293">
        <v>0</v>
      </c>
      <c r="FC365" s="293">
        <v>0</v>
      </c>
      <c r="FD365" s="293">
        <v>0</v>
      </c>
      <c r="FE365" s="293">
        <v>0</v>
      </c>
      <c r="FF365" s="293">
        <v>0</v>
      </c>
      <c r="FG365" s="293">
        <v>0</v>
      </c>
      <c r="FH365" s="293">
        <v>0</v>
      </c>
      <c r="FI365" s="293">
        <v>0</v>
      </c>
      <c r="FJ365" s="295">
        <v>0</v>
      </c>
      <c r="FK365" s="293">
        <v>0</v>
      </c>
      <c r="FL365" s="293">
        <v>0</v>
      </c>
      <c r="FM365" s="293">
        <v>0</v>
      </c>
      <c r="FN365" s="293">
        <v>0</v>
      </c>
      <c r="FO365" s="293">
        <v>0</v>
      </c>
      <c r="FP365" s="293">
        <v>0</v>
      </c>
      <c r="FQ365" s="293">
        <v>0</v>
      </c>
      <c r="FR365" s="293">
        <v>0</v>
      </c>
      <c r="FS365" s="293">
        <v>0</v>
      </c>
      <c r="FT365" s="293">
        <v>0</v>
      </c>
      <c r="FU365" s="293">
        <v>0</v>
      </c>
      <c r="FV365" s="293">
        <v>0</v>
      </c>
      <c r="FW365" s="293">
        <v>0</v>
      </c>
      <c r="FX365" s="293">
        <v>0</v>
      </c>
      <c r="FY365" s="293">
        <v>0</v>
      </c>
      <c r="FZ365" s="293">
        <v>0</v>
      </c>
      <c r="GA365" s="293">
        <v>0</v>
      </c>
      <c r="GB365" s="293">
        <v>0</v>
      </c>
      <c r="GC365" s="293">
        <v>0</v>
      </c>
      <c r="GD365" s="293">
        <v>0</v>
      </c>
      <c r="GE365" s="293">
        <v>0</v>
      </c>
      <c r="GF365" s="293">
        <v>0</v>
      </c>
      <c r="GG365" s="293">
        <v>0</v>
      </c>
      <c r="GH365" s="293">
        <v>0</v>
      </c>
      <c r="GI365" s="293">
        <v>0</v>
      </c>
      <c r="GJ365" s="293">
        <v>0</v>
      </c>
      <c r="GK365" s="293">
        <v>0</v>
      </c>
      <c r="GL365" s="293">
        <v>0</v>
      </c>
      <c r="GM365" s="293">
        <v>0</v>
      </c>
      <c r="GN365" s="293">
        <v>0</v>
      </c>
      <c r="GO365" s="293">
        <v>0</v>
      </c>
      <c r="GP365" s="293">
        <v>0</v>
      </c>
      <c r="GQ365" s="293">
        <v>0</v>
      </c>
      <c r="GR365" s="293">
        <v>0</v>
      </c>
      <c r="GS365" s="293">
        <v>0</v>
      </c>
      <c r="GT365" s="293">
        <v>0</v>
      </c>
      <c r="GU365" s="293">
        <v>0</v>
      </c>
      <c r="GV365" s="293">
        <v>0</v>
      </c>
      <c r="GW365" s="293">
        <v>0</v>
      </c>
      <c r="GX365" s="293">
        <v>0</v>
      </c>
      <c r="GY365" s="293">
        <v>0</v>
      </c>
      <c r="GZ365" s="293">
        <v>0</v>
      </c>
      <c r="HA365" s="293">
        <v>0</v>
      </c>
      <c r="HB365" s="293">
        <v>0</v>
      </c>
      <c r="HC365" s="293">
        <v>0</v>
      </c>
      <c r="HD365" s="293">
        <v>0</v>
      </c>
      <c r="HE365" s="293">
        <v>0</v>
      </c>
      <c r="HF365" s="293">
        <v>0</v>
      </c>
      <c r="HG365" s="293">
        <v>0</v>
      </c>
      <c r="HH365" s="293">
        <v>0</v>
      </c>
      <c r="HI365" s="293">
        <v>0</v>
      </c>
      <c r="HJ365" s="293">
        <v>0</v>
      </c>
      <c r="HK365" s="293">
        <v>0</v>
      </c>
      <c r="HL365" s="293">
        <v>0</v>
      </c>
      <c r="HM365" s="293">
        <v>0</v>
      </c>
      <c r="HN365" s="293">
        <v>0</v>
      </c>
      <c r="HO365" s="293">
        <v>0</v>
      </c>
      <c r="HP365" s="293">
        <v>0</v>
      </c>
      <c r="HQ365" s="293">
        <v>0</v>
      </c>
      <c r="HR365" s="293">
        <v>0</v>
      </c>
      <c r="HS365" s="293">
        <v>0</v>
      </c>
      <c r="HT365" s="293">
        <v>0</v>
      </c>
      <c r="HU365" s="293">
        <v>0</v>
      </c>
      <c r="HV365" s="293">
        <v>0</v>
      </c>
      <c r="HW365" s="293">
        <v>0</v>
      </c>
      <c r="HX365" s="293">
        <v>0</v>
      </c>
      <c r="HY365" s="293"/>
      <c r="KT365" s="280"/>
    </row>
    <row r="366" spans="1:336" outlineLevel="1">
      <c r="A366" s="96" t="s">
        <v>395</v>
      </c>
      <c r="B366" s="96" t="s">
        <v>338</v>
      </c>
      <c r="D366" s="321" t="s">
        <v>473</v>
      </c>
      <c r="E366" s="293"/>
      <c r="F366" s="293"/>
      <c r="G366" s="293"/>
      <c r="H366" s="293"/>
      <c r="I366" s="293"/>
      <c r="J366" s="293"/>
      <c r="K366" s="293"/>
      <c r="L366" s="293"/>
      <c r="M366" s="293"/>
      <c r="N366" s="293"/>
      <c r="O366" s="293"/>
      <c r="P366" s="293"/>
      <c r="Q366" s="293"/>
      <c r="R366" s="293"/>
      <c r="S366" s="293"/>
      <c r="T366" s="293"/>
      <c r="U366" s="293"/>
      <c r="V366" s="293"/>
      <c r="W366" s="293"/>
      <c r="X366" s="293"/>
      <c r="Y366" s="29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c r="BN366" s="293"/>
      <c r="BO366" s="293"/>
      <c r="BP366" s="293"/>
      <c r="BQ366" s="293"/>
      <c r="BR366" s="293"/>
      <c r="BS366" s="293"/>
      <c r="BT366" s="293"/>
      <c r="BU366" s="293"/>
      <c r="BV366" s="293"/>
      <c r="BW366" s="293"/>
      <c r="BX366" s="293"/>
      <c r="BY366" s="293"/>
      <c r="BZ366" s="293"/>
      <c r="CA366" s="293"/>
      <c r="CB366" s="293"/>
      <c r="CC366" s="293"/>
      <c r="CD366" s="293"/>
      <c r="CE366" s="294">
        <v>0</v>
      </c>
      <c r="CF366" s="293">
        <v>0</v>
      </c>
      <c r="CG366" s="293">
        <v>0</v>
      </c>
      <c r="CH366" s="293">
        <v>0</v>
      </c>
      <c r="CI366" s="293">
        <v>0</v>
      </c>
      <c r="CJ366" s="293">
        <v>0</v>
      </c>
      <c r="CK366" s="293">
        <v>0</v>
      </c>
      <c r="CL366" s="293">
        <v>0</v>
      </c>
      <c r="CM366" s="293">
        <v>0</v>
      </c>
      <c r="CN366" s="293">
        <v>0</v>
      </c>
      <c r="CO366" s="293">
        <v>0</v>
      </c>
      <c r="CP366" s="295">
        <v>0</v>
      </c>
      <c r="CQ366" s="293">
        <v>0</v>
      </c>
      <c r="CR366" s="293">
        <v>0</v>
      </c>
      <c r="CS366" s="293">
        <v>0</v>
      </c>
      <c r="CT366" s="293">
        <v>0</v>
      </c>
      <c r="CU366" s="293">
        <v>0</v>
      </c>
      <c r="CV366" s="293">
        <v>0</v>
      </c>
      <c r="CW366" s="293">
        <v>0</v>
      </c>
      <c r="CX366" s="293">
        <v>0</v>
      </c>
      <c r="CY366" s="293">
        <v>0</v>
      </c>
      <c r="CZ366" s="293">
        <v>0</v>
      </c>
      <c r="DA366" s="293">
        <v>0</v>
      </c>
      <c r="DB366" s="1288">
        <v>0</v>
      </c>
      <c r="DC366" s="293">
        <v>0</v>
      </c>
      <c r="DD366" s="293">
        <v>0</v>
      </c>
      <c r="DE366" s="293">
        <v>0</v>
      </c>
      <c r="DF366" s="293">
        <v>0</v>
      </c>
      <c r="DG366" s="293">
        <v>0</v>
      </c>
      <c r="DH366" s="293">
        <v>0</v>
      </c>
      <c r="DI366" s="293">
        <v>0</v>
      </c>
      <c r="DJ366" s="293">
        <v>0</v>
      </c>
      <c r="DK366" s="293">
        <v>0</v>
      </c>
      <c r="DL366" s="293">
        <v>0</v>
      </c>
      <c r="DM366" s="293">
        <v>0</v>
      </c>
      <c r="DN366" s="295">
        <v>0</v>
      </c>
      <c r="DO366" s="293">
        <v>0</v>
      </c>
      <c r="DP366" s="293">
        <v>0</v>
      </c>
      <c r="DQ366" s="293">
        <v>0</v>
      </c>
      <c r="DR366" s="293">
        <v>0</v>
      </c>
      <c r="DS366" s="293">
        <v>0</v>
      </c>
      <c r="DT366" s="293">
        <v>0</v>
      </c>
      <c r="DU366" s="293">
        <v>0</v>
      </c>
      <c r="DV366" s="293">
        <v>0</v>
      </c>
      <c r="DW366" s="293">
        <v>0</v>
      </c>
      <c r="DX366" s="293">
        <v>0</v>
      </c>
      <c r="DY366" s="293">
        <v>0</v>
      </c>
      <c r="DZ366" s="295">
        <v>0</v>
      </c>
      <c r="EA366" s="293">
        <v>0</v>
      </c>
      <c r="EB366" s="293">
        <v>0</v>
      </c>
      <c r="EC366" s="293">
        <v>0</v>
      </c>
      <c r="ED366" s="293">
        <v>0</v>
      </c>
      <c r="EE366" s="293">
        <v>0</v>
      </c>
      <c r="EF366" s="293">
        <v>0</v>
      </c>
      <c r="EG366" s="293">
        <v>0</v>
      </c>
      <c r="EH366" s="293">
        <v>0</v>
      </c>
      <c r="EI366" s="293">
        <v>0</v>
      </c>
      <c r="EJ366" s="293">
        <v>0</v>
      </c>
      <c r="EK366" s="293">
        <v>0</v>
      </c>
      <c r="EL366" s="295">
        <v>0</v>
      </c>
      <c r="EM366" s="293">
        <v>0</v>
      </c>
      <c r="EN366" s="293">
        <v>0</v>
      </c>
      <c r="EO366" s="293">
        <v>0</v>
      </c>
      <c r="EP366" s="293">
        <v>0</v>
      </c>
      <c r="EQ366" s="293">
        <v>0</v>
      </c>
      <c r="ER366" s="293">
        <v>0</v>
      </c>
      <c r="ES366" s="293">
        <v>0</v>
      </c>
      <c r="ET366" s="293">
        <v>0</v>
      </c>
      <c r="EU366" s="293">
        <v>0</v>
      </c>
      <c r="EV366" s="293">
        <v>0</v>
      </c>
      <c r="EW366" s="293">
        <v>0</v>
      </c>
      <c r="EX366" s="295">
        <v>0</v>
      </c>
      <c r="EY366" s="293">
        <v>0</v>
      </c>
      <c r="EZ366" s="293">
        <v>0</v>
      </c>
      <c r="FA366" s="293">
        <v>0</v>
      </c>
      <c r="FB366" s="293">
        <v>0</v>
      </c>
      <c r="FC366" s="293">
        <v>0</v>
      </c>
      <c r="FD366" s="293">
        <v>0</v>
      </c>
      <c r="FE366" s="293">
        <v>0</v>
      </c>
      <c r="FF366" s="293">
        <v>0</v>
      </c>
      <c r="FG366" s="293">
        <v>0</v>
      </c>
      <c r="FH366" s="293">
        <v>0</v>
      </c>
      <c r="FI366" s="293">
        <v>0</v>
      </c>
      <c r="FJ366" s="295">
        <v>0</v>
      </c>
      <c r="FK366" s="293">
        <v>0</v>
      </c>
      <c r="FL366" s="293">
        <v>0</v>
      </c>
      <c r="FM366" s="293">
        <v>0</v>
      </c>
      <c r="FN366" s="293">
        <v>0</v>
      </c>
      <c r="FO366" s="293">
        <v>0</v>
      </c>
      <c r="FP366" s="293">
        <v>0</v>
      </c>
      <c r="FQ366" s="293">
        <v>0</v>
      </c>
      <c r="FR366" s="293">
        <v>0</v>
      </c>
      <c r="FS366" s="293">
        <v>0</v>
      </c>
      <c r="FT366" s="293">
        <v>0</v>
      </c>
      <c r="FU366" s="293">
        <v>0</v>
      </c>
      <c r="FV366" s="293">
        <v>0</v>
      </c>
      <c r="FW366" s="293">
        <v>0</v>
      </c>
      <c r="FX366" s="293">
        <v>0</v>
      </c>
      <c r="FY366" s="293">
        <v>0</v>
      </c>
      <c r="FZ366" s="293">
        <v>0</v>
      </c>
      <c r="GA366" s="293">
        <v>0</v>
      </c>
      <c r="GB366" s="293">
        <v>0</v>
      </c>
      <c r="GC366" s="293">
        <v>0</v>
      </c>
      <c r="GD366" s="293">
        <v>0</v>
      </c>
      <c r="GE366" s="293">
        <v>0</v>
      </c>
      <c r="GF366" s="293">
        <v>0</v>
      </c>
      <c r="GG366" s="293">
        <v>0</v>
      </c>
      <c r="GH366" s="293">
        <v>0</v>
      </c>
      <c r="GI366" s="293">
        <v>0</v>
      </c>
      <c r="GJ366" s="293">
        <v>0</v>
      </c>
      <c r="GK366" s="293">
        <v>0</v>
      </c>
      <c r="GL366" s="293">
        <v>0</v>
      </c>
      <c r="GM366" s="293">
        <v>0</v>
      </c>
      <c r="GN366" s="293">
        <v>0</v>
      </c>
      <c r="GO366" s="293">
        <v>0</v>
      </c>
      <c r="GP366" s="293">
        <v>0</v>
      </c>
      <c r="GQ366" s="293">
        <v>0</v>
      </c>
      <c r="GR366" s="293">
        <v>0</v>
      </c>
      <c r="GS366" s="293">
        <v>0</v>
      </c>
      <c r="GT366" s="293">
        <v>0</v>
      </c>
      <c r="GU366" s="293">
        <v>0</v>
      </c>
      <c r="GV366" s="293">
        <v>0</v>
      </c>
      <c r="GW366" s="293">
        <v>0</v>
      </c>
      <c r="GX366" s="293">
        <v>0</v>
      </c>
      <c r="GY366" s="293">
        <v>0</v>
      </c>
      <c r="GZ366" s="293">
        <v>0</v>
      </c>
      <c r="HA366" s="293">
        <v>0</v>
      </c>
      <c r="HB366" s="293">
        <v>0</v>
      </c>
      <c r="HC366" s="293">
        <v>0</v>
      </c>
      <c r="HD366" s="293">
        <v>0</v>
      </c>
      <c r="HE366" s="293">
        <v>0</v>
      </c>
      <c r="HF366" s="293">
        <v>0</v>
      </c>
      <c r="HG366" s="293">
        <v>0</v>
      </c>
      <c r="HH366" s="293">
        <v>0</v>
      </c>
      <c r="HI366" s="293">
        <v>0</v>
      </c>
      <c r="HJ366" s="293">
        <v>0</v>
      </c>
      <c r="HK366" s="293">
        <v>0</v>
      </c>
      <c r="HL366" s="293">
        <v>0</v>
      </c>
      <c r="HM366" s="293">
        <v>0</v>
      </c>
      <c r="HN366" s="293">
        <v>0</v>
      </c>
      <c r="HO366" s="293">
        <v>0</v>
      </c>
      <c r="HP366" s="293">
        <v>0</v>
      </c>
      <c r="HQ366" s="293">
        <v>0</v>
      </c>
      <c r="HR366" s="293">
        <v>0</v>
      </c>
      <c r="HS366" s="293">
        <v>0</v>
      </c>
      <c r="HT366" s="293">
        <v>0</v>
      </c>
      <c r="HU366" s="293">
        <v>0</v>
      </c>
      <c r="HV366" s="293">
        <v>0</v>
      </c>
      <c r="HW366" s="293">
        <v>0</v>
      </c>
      <c r="HX366" s="293">
        <v>0</v>
      </c>
      <c r="HY366" s="293"/>
      <c r="KT366" s="280"/>
    </row>
    <row r="367" spans="1:336" outlineLevel="1">
      <c r="A367" s="96" t="s">
        <v>395</v>
      </c>
      <c r="B367" s="96" t="s">
        <v>338</v>
      </c>
      <c r="D367" s="321" t="s">
        <v>474</v>
      </c>
      <c r="E367" s="293"/>
      <c r="F367" s="293"/>
      <c r="G367" s="293"/>
      <c r="H367" s="293"/>
      <c r="I367" s="293"/>
      <c r="J367" s="293"/>
      <c r="K367" s="293"/>
      <c r="L367" s="293"/>
      <c r="M367" s="293"/>
      <c r="N367" s="293"/>
      <c r="O367" s="293"/>
      <c r="P367" s="293"/>
      <c r="Q367" s="293"/>
      <c r="R367" s="293"/>
      <c r="S367" s="293"/>
      <c r="T367" s="293"/>
      <c r="U367" s="293"/>
      <c r="V367" s="293"/>
      <c r="W367" s="293"/>
      <c r="X367" s="293"/>
      <c r="Y367" s="29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c r="BN367" s="293"/>
      <c r="BO367" s="293"/>
      <c r="BP367" s="293"/>
      <c r="BQ367" s="293"/>
      <c r="BR367" s="293"/>
      <c r="BS367" s="293"/>
      <c r="BT367" s="293"/>
      <c r="BU367" s="293"/>
      <c r="BV367" s="293"/>
      <c r="BW367" s="293"/>
      <c r="BX367" s="293"/>
      <c r="BY367" s="293"/>
      <c r="BZ367" s="293"/>
      <c r="CA367" s="293"/>
      <c r="CB367" s="293"/>
      <c r="CC367" s="293"/>
      <c r="CD367" s="293"/>
      <c r="CE367" s="294">
        <v>0.18629873899999999</v>
      </c>
      <c r="CF367" s="293">
        <v>0.15920899499999999</v>
      </c>
      <c r="CG367" s="293">
        <v>0.178470882</v>
      </c>
      <c r="CH367" s="293">
        <v>0.14890092199999999</v>
      </c>
      <c r="CI367" s="293">
        <v>5.8584415000000001E-2</v>
      </c>
      <c r="CJ367" s="293">
        <v>3.9388315E-2</v>
      </c>
      <c r="CK367" s="293">
        <v>4.5191657000000003E-2</v>
      </c>
      <c r="CL367" s="293">
        <v>3.8194131999999999E-2</v>
      </c>
      <c r="CM367" s="293">
        <v>4.3593558999999997E-2</v>
      </c>
      <c r="CN367" s="293">
        <v>5.3488122999999999E-2</v>
      </c>
      <c r="CO367" s="293">
        <v>4.6426489000000001E-2</v>
      </c>
      <c r="CP367" s="295">
        <v>4.8304062000000002E-2</v>
      </c>
      <c r="CQ367" s="293">
        <v>5.2774271999999997E-2</v>
      </c>
      <c r="CR367" s="293">
        <v>5.6541000000000001E-2</v>
      </c>
      <c r="CS367" s="293">
        <v>5.7675382999999997E-2</v>
      </c>
      <c r="CT367" s="293">
        <v>5.6808997E-2</v>
      </c>
      <c r="CU367" s="293">
        <v>4.6964319999999997E-2</v>
      </c>
      <c r="CV367" s="293">
        <v>5.4954225000000002E-2</v>
      </c>
      <c r="CW367" s="293">
        <v>6.1769862000000002E-2</v>
      </c>
      <c r="CX367" s="293">
        <v>6.6088794000000006E-2</v>
      </c>
      <c r="CY367" s="293">
        <v>7.6501576000000002E-2</v>
      </c>
      <c r="CZ367" s="293">
        <v>5.9327493000000002E-2</v>
      </c>
      <c r="DA367" s="293">
        <v>7.2615232000000002E-2</v>
      </c>
      <c r="DB367" s="1288">
        <v>7.5257155000000006E-2</v>
      </c>
      <c r="DC367" s="293">
        <v>5.2479115912306515E-2</v>
      </c>
      <c r="DD367" s="293">
        <v>5.585934207981038E-2</v>
      </c>
      <c r="DE367" s="293">
        <v>5.4293539633636964E-2</v>
      </c>
      <c r="DF367" s="293">
        <v>5.7689530012355966E-2</v>
      </c>
      <c r="DG367" s="293">
        <v>5.2496844027921589E-2</v>
      </c>
      <c r="DH367" s="293">
        <v>6.3531550415572804E-2</v>
      </c>
      <c r="DI367" s="293">
        <v>6.6451509381005192E-2</v>
      </c>
      <c r="DJ367" s="293">
        <v>7.8612076607345538E-2</v>
      </c>
      <c r="DK367" s="293">
        <v>8.6809078866404155E-2</v>
      </c>
      <c r="DL367" s="293">
        <v>6.0433057344616049E-2</v>
      </c>
      <c r="DM367" s="293">
        <v>8.1517176994374149E-2</v>
      </c>
      <c r="DN367" s="295">
        <v>8.4506153423036967E-2</v>
      </c>
      <c r="DO367" s="293">
        <v>5.2048008536990868E-2</v>
      </c>
      <c r="DP367" s="293">
        <v>6.3192970219200617E-2</v>
      </c>
      <c r="DQ367" s="293">
        <v>5.1235985145528594E-2</v>
      </c>
      <c r="DR367" s="293">
        <v>5.4968291556039169E-2</v>
      </c>
      <c r="DS367" s="293">
        <v>5.137729354512878E-2</v>
      </c>
      <c r="DT367" s="293">
        <v>4.793513934449424E-2</v>
      </c>
      <c r="DU367" s="293">
        <v>4.4889627093318708E-2</v>
      </c>
      <c r="DV367" s="293">
        <v>4.096047780590089E-2</v>
      </c>
      <c r="DW367" s="293">
        <v>5.4415358044534401E-2</v>
      </c>
      <c r="DX367" s="293">
        <v>4.5040508734504929E-2</v>
      </c>
      <c r="DY367" s="293">
        <v>5.8503370240740829E-2</v>
      </c>
      <c r="DZ367" s="295">
        <v>4.5218736847096395E-2</v>
      </c>
      <c r="EA367" s="293">
        <v>4.6187208084312523E-2</v>
      </c>
      <c r="EB367" s="293">
        <v>2.375254384889523E-4</v>
      </c>
      <c r="EC367" s="293">
        <v>7.1074944752443255E-4</v>
      </c>
      <c r="ED367" s="293">
        <v>1.0269602923286729E-3</v>
      </c>
      <c r="EE367" s="293">
        <v>1.7602672137668641E-4</v>
      </c>
      <c r="EF367" s="293">
        <v>3.7982793851907113E-5</v>
      </c>
      <c r="EG367" s="293">
        <v>3.6999291697052163E-4</v>
      </c>
      <c r="EH367" s="293">
        <v>4.1395315342107527E-4</v>
      </c>
      <c r="EI367" s="293">
        <v>1.9518984629729881E-5</v>
      </c>
      <c r="EJ367" s="293">
        <v>2.3367160483534734E-5</v>
      </c>
      <c r="EK367" s="293">
        <v>3.2329481420287988E-4</v>
      </c>
      <c r="EL367" s="295">
        <v>1.2576885197768006E-4</v>
      </c>
      <c r="EM367" s="293">
        <v>1.5298199999999999E-4</v>
      </c>
      <c r="EN367" s="293">
        <v>0</v>
      </c>
      <c r="EO367" s="293">
        <v>3.0000000000000001E-5</v>
      </c>
      <c r="EP367" s="293">
        <v>2.5000000000000001E-5</v>
      </c>
      <c r="EQ367" s="293">
        <v>1.0795500000000001E-3</v>
      </c>
      <c r="ER367" s="293">
        <v>3.0000000000000001E-5</v>
      </c>
      <c r="ES367" s="293">
        <v>1.9601200000000001E-3</v>
      </c>
      <c r="ET367" s="293">
        <v>1.2520000000000001E-4</v>
      </c>
      <c r="EU367" s="293">
        <v>0</v>
      </c>
      <c r="EV367" s="293">
        <v>1.088E-4</v>
      </c>
      <c r="EW367" s="293">
        <v>7.6799999999999997E-5</v>
      </c>
      <c r="EX367" s="295">
        <v>1.5E-5</v>
      </c>
      <c r="EY367" s="293">
        <v>9.9058999999999994E-2</v>
      </c>
      <c r="EZ367" s="293">
        <v>8.5198399999999994E-2</v>
      </c>
      <c r="FA367" s="293">
        <v>7.63567E-2</v>
      </c>
      <c r="FB367" s="293">
        <v>8.8739799999999994E-2</v>
      </c>
      <c r="FC367" s="293">
        <v>5.3900799999999999E-2</v>
      </c>
      <c r="FD367" s="293">
        <v>7.5960078E-2</v>
      </c>
      <c r="FE367" s="293">
        <v>7.5316400000000006E-2</v>
      </c>
      <c r="FF367" s="293">
        <v>6.9633775999999994E-2</v>
      </c>
      <c r="FG367" s="293">
        <v>5.4080218999999999E-2</v>
      </c>
      <c r="FH367" s="293">
        <v>6.0066E-3</v>
      </c>
      <c r="FI367" s="293">
        <v>3.3464599999999997E-2</v>
      </c>
      <c r="FJ367" s="295">
        <v>6.1432399999999998E-2</v>
      </c>
      <c r="FK367" s="293">
        <v>6.8993600000000002E-2</v>
      </c>
      <c r="FL367" s="293">
        <v>8.1558641000000001E-2</v>
      </c>
      <c r="FM367" s="293">
        <v>7.3485800000000004E-2</v>
      </c>
      <c r="FN367" s="293">
        <v>8.8610520809064286E-2</v>
      </c>
      <c r="FO367" s="293">
        <v>6.7279644627024404E-2</v>
      </c>
      <c r="FP367" s="293">
        <v>8.1074199999999999E-2</v>
      </c>
      <c r="FQ367" s="293">
        <v>3.47984E-2</v>
      </c>
      <c r="FR367" s="293">
        <v>5.0456300000000003E-2</v>
      </c>
      <c r="FS367" s="293">
        <v>8.4759892552102548E-2</v>
      </c>
      <c r="FT367" s="293">
        <v>7.0676377310043809E-2</v>
      </c>
      <c r="FU367" s="293">
        <v>6.0885094000000001E-2</v>
      </c>
      <c r="FV367" s="293">
        <v>7.2896464999999994E-2</v>
      </c>
      <c r="FW367" s="293">
        <v>3.2360800000000002E-2</v>
      </c>
      <c r="FX367" s="293">
        <v>6.4580128000000001E-2</v>
      </c>
      <c r="FY367" s="293">
        <v>6.8402000000000004E-2</v>
      </c>
      <c r="FZ367" s="293">
        <v>5.8953441523909536E-2</v>
      </c>
      <c r="GA367" s="293">
        <v>6.0339790582176596E-2</v>
      </c>
      <c r="GB367" s="293">
        <v>8.4150883999999995E-2</v>
      </c>
      <c r="GC367" s="293">
        <v>7.1144637999999996E-2</v>
      </c>
      <c r="GD367" s="293">
        <v>9.4180229000000004E-2</v>
      </c>
      <c r="GE367" s="293">
        <v>9.3732650000000001E-2</v>
      </c>
      <c r="GF367" s="293">
        <v>0.10326107599999999</v>
      </c>
      <c r="GG367" s="293">
        <v>9.9859117999999997E-2</v>
      </c>
      <c r="GH367" s="293">
        <v>0.1050020673773243</v>
      </c>
      <c r="GI367" s="293">
        <v>0</v>
      </c>
      <c r="GJ367" s="293">
        <v>0</v>
      </c>
      <c r="GK367" s="293">
        <v>0</v>
      </c>
      <c r="GL367" s="293">
        <v>0</v>
      </c>
      <c r="GM367" s="293">
        <v>0</v>
      </c>
      <c r="GN367" s="293">
        <v>0</v>
      </c>
      <c r="GO367" s="293">
        <v>0</v>
      </c>
      <c r="GP367" s="293">
        <v>0</v>
      </c>
      <c r="GQ367" s="293">
        <v>0</v>
      </c>
      <c r="GR367" s="293">
        <v>0</v>
      </c>
      <c r="GS367" s="293">
        <v>0</v>
      </c>
      <c r="GT367" s="293">
        <v>0</v>
      </c>
      <c r="GU367" s="293">
        <v>0.47547929900000002</v>
      </c>
      <c r="GV367" s="293">
        <v>0.43885382099999998</v>
      </c>
      <c r="GW367" s="293">
        <v>0.51562478599999995</v>
      </c>
      <c r="GX367" s="293">
        <v>0.45634243099999999</v>
      </c>
      <c r="GY367" s="293">
        <v>0.46226521700000001</v>
      </c>
      <c r="GZ367" s="293">
        <v>0.468278413</v>
      </c>
      <c r="HA367" s="293">
        <v>0.59799794900000003</v>
      </c>
      <c r="HB367" s="293">
        <v>0.45727828100000001</v>
      </c>
      <c r="HC367" s="293">
        <v>0.47951903200000001</v>
      </c>
      <c r="HD367" s="293">
        <v>0.48487598700000001</v>
      </c>
      <c r="HE367" s="293">
        <v>0.61109103600000003</v>
      </c>
      <c r="HF367" s="293">
        <v>0.62623041245350075</v>
      </c>
      <c r="HG367" s="293">
        <v>0.69252155800000004</v>
      </c>
      <c r="HH367" s="293">
        <v>0.62730457299999998</v>
      </c>
      <c r="HI367" s="293">
        <v>0.60267086199999997</v>
      </c>
      <c r="HJ367" s="293">
        <v>0.60076210399999996</v>
      </c>
      <c r="HK367" s="293">
        <v>0.53064373799999998</v>
      </c>
      <c r="HL367" s="293">
        <v>0.62274074599999996</v>
      </c>
      <c r="HM367" s="293">
        <v>0.64121932100000001</v>
      </c>
      <c r="HN367" s="293">
        <v>0.61542526799999997</v>
      </c>
      <c r="HO367" s="293">
        <v>0.63637793799999998</v>
      </c>
      <c r="HP367" s="293">
        <v>0.909791075</v>
      </c>
      <c r="HQ367" s="293">
        <v>1.161305917</v>
      </c>
      <c r="HR367" s="293">
        <v>1.8291097199999999</v>
      </c>
      <c r="HS367" s="293">
        <v>0.89568562200000001</v>
      </c>
      <c r="HT367" s="293">
        <v>1.0386557489999999</v>
      </c>
      <c r="HU367" s="293">
        <v>1.0802104830000001</v>
      </c>
      <c r="HV367" s="293">
        <v>1.3890730360000001</v>
      </c>
      <c r="HW367" s="293">
        <v>1.3627600390000001</v>
      </c>
      <c r="HX367" s="293">
        <v>4.5570987179999998</v>
      </c>
      <c r="HY367" s="293"/>
      <c r="KT367" s="280"/>
    </row>
    <row r="368" spans="1:336" outlineLevel="1">
      <c r="A368" s="96" t="s">
        <v>395</v>
      </c>
      <c r="B368" s="96" t="s">
        <v>338</v>
      </c>
      <c r="D368" s="320" t="s">
        <v>475</v>
      </c>
      <c r="E368" s="293"/>
      <c r="F368" s="293"/>
      <c r="G368" s="293"/>
      <c r="H368" s="293"/>
      <c r="I368" s="293"/>
      <c r="J368" s="293"/>
      <c r="K368" s="293"/>
      <c r="L368" s="293"/>
      <c r="M368" s="293"/>
      <c r="N368" s="293"/>
      <c r="O368" s="293"/>
      <c r="P368" s="293"/>
      <c r="Q368" s="293"/>
      <c r="R368" s="293"/>
      <c r="S368" s="293"/>
      <c r="T368" s="293"/>
      <c r="U368" s="293"/>
      <c r="V368" s="293"/>
      <c r="W368" s="293"/>
      <c r="X368" s="293"/>
      <c r="Y368" s="29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c r="BN368" s="293"/>
      <c r="BO368" s="293"/>
      <c r="BP368" s="293"/>
      <c r="BQ368" s="293"/>
      <c r="BR368" s="293"/>
      <c r="BS368" s="293"/>
      <c r="BT368" s="293"/>
      <c r="BU368" s="293"/>
      <c r="BV368" s="293"/>
      <c r="BW368" s="293"/>
      <c r="BX368" s="293"/>
      <c r="BY368" s="293"/>
      <c r="BZ368" s="293"/>
      <c r="CA368" s="293"/>
      <c r="CB368" s="293"/>
      <c r="CC368" s="293"/>
      <c r="CD368" s="293"/>
      <c r="CE368" s="294">
        <v>26.193950407599999</v>
      </c>
      <c r="CF368" s="293">
        <v>30.537244051999998</v>
      </c>
      <c r="CG368" s="293">
        <v>31.713199928100003</v>
      </c>
      <c r="CH368" s="293">
        <v>29.210378220000003</v>
      </c>
      <c r="CI368" s="293">
        <v>30.778055479799995</v>
      </c>
      <c r="CJ368" s="293">
        <v>29.573716512900003</v>
      </c>
      <c r="CK368" s="293">
        <v>33.513913665799997</v>
      </c>
      <c r="CL368" s="293">
        <v>30.433911302299997</v>
      </c>
      <c r="CM368" s="293">
        <v>31.000781095999997</v>
      </c>
      <c r="CN368" s="293">
        <v>30.170115046299998</v>
      </c>
      <c r="CO368" s="293">
        <v>36.0058408242</v>
      </c>
      <c r="CP368" s="295">
        <v>43.757739748199995</v>
      </c>
      <c r="CQ368" s="293">
        <v>33.471184775199994</v>
      </c>
      <c r="CR368" s="293">
        <v>33.434064120400002</v>
      </c>
      <c r="CS368" s="293">
        <v>38.626960668099997</v>
      </c>
      <c r="CT368" s="293">
        <v>31.706105306399998</v>
      </c>
      <c r="CU368" s="293">
        <v>31.394059134400003</v>
      </c>
      <c r="CV368" s="293">
        <v>35.882737953700001</v>
      </c>
      <c r="CW368" s="293">
        <v>33.075159354500002</v>
      </c>
      <c r="CX368" s="293">
        <v>31.039300498900001</v>
      </c>
      <c r="CY368" s="293">
        <v>37.192440240000003</v>
      </c>
      <c r="CZ368" s="293">
        <v>34.869681115199995</v>
      </c>
      <c r="DA368" s="293">
        <v>34.499460470800003</v>
      </c>
      <c r="DB368" s="1288">
        <v>47.369050485200006</v>
      </c>
      <c r="DC368" s="293">
        <v>37.152220847247435</v>
      </c>
      <c r="DD368" s="293">
        <v>39.11347159675941</v>
      </c>
      <c r="DE368" s="293">
        <v>42.967671525083119</v>
      </c>
      <c r="DF368" s="293">
        <v>44.94925926023231</v>
      </c>
      <c r="DG368" s="293">
        <v>40.775350997670785</v>
      </c>
      <c r="DH368" s="293">
        <v>42.918952010932088</v>
      </c>
      <c r="DI368" s="293">
        <v>41.26642830750005</v>
      </c>
      <c r="DJ368" s="293">
        <v>41.239115872312233</v>
      </c>
      <c r="DK368" s="293">
        <v>42.604703452951888</v>
      </c>
      <c r="DL368" s="293">
        <v>41.523903473342031</v>
      </c>
      <c r="DM368" s="293">
        <v>43.165366416875827</v>
      </c>
      <c r="DN368" s="295">
        <v>59.092532898797486</v>
      </c>
      <c r="DO368" s="293">
        <v>38.445664297665274</v>
      </c>
      <c r="DP368" s="293">
        <v>41.233652227421587</v>
      </c>
      <c r="DQ368" s="293">
        <v>45.783437808304797</v>
      </c>
      <c r="DR368" s="293">
        <v>37.81452832372527</v>
      </c>
      <c r="DS368" s="293">
        <v>40.020885699629673</v>
      </c>
      <c r="DT368" s="293">
        <v>47.777370732519998</v>
      </c>
      <c r="DU368" s="293">
        <v>42.835804453561529</v>
      </c>
      <c r="DV368" s="293">
        <v>42.68298217757912</v>
      </c>
      <c r="DW368" s="293">
        <v>48.179965031960045</v>
      </c>
      <c r="DX368" s="293">
        <v>41.323544411150003</v>
      </c>
      <c r="DY368" s="293">
        <v>43.841985045804634</v>
      </c>
      <c r="DZ368" s="295">
        <v>60.086841465289396</v>
      </c>
      <c r="EA368" s="293">
        <v>43.543357164931251</v>
      </c>
      <c r="EB368" s="293">
        <v>44.347574842021515</v>
      </c>
      <c r="EC368" s="293">
        <v>52.846526088215477</v>
      </c>
      <c r="ED368" s="293">
        <v>48.225939134043763</v>
      </c>
      <c r="EE368" s="293">
        <v>45.185369242105963</v>
      </c>
      <c r="EF368" s="293">
        <v>55.9083828028878</v>
      </c>
      <c r="EG368" s="293">
        <v>50.367792074604417</v>
      </c>
      <c r="EH368" s="293">
        <v>46.768529444280837</v>
      </c>
      <c r="EI368" s="293">
        <v>54.235682428344518</v>
      </c>
      <c r="EJ368" s="293">
        <v>48.953844839073028</v>
      </c>
      <c r="EK368" s="293">
        <v>50.189217396378183</v>
      </c>
      <c r="EL368" s="295">
        <v>64.569952200011286</v>
      </c>
      <c r="EM368" s="293">
        <v>47.52563120632</v>
      </c>
      <c r="EN368" s="293">
        <v>54.722804146800009</v>
      </c>
      <c r="EO368" s="293">
        <v>54.961715030960001</v>
      </c>
      <c r="EP368" s="293">
        <v>49.389373737296673</v>
      </c>
      <c r="EQ368" s="293">
        <v>52.368215546056668</v>
      </c>
      <c r="ER368" s="293">
        <v>62.180448366056659</v>
      </c>
      <c r="ES368" s="293">
        <v>56.079019996352798</v>
      </c>
      <c r="ET368" s="293">
        <v>56.402314137709936</v>
      </c>
      <c r="EU368" s="293">
        <v>54.714496935680003</v>
      </c>
      <c r="EV368" s="293">
        <v>57.778528300494401</v>
      </c>
      <c r="EW368" s="293">
        <v>58.135009390280018</v>
      </c>
      <c r="EX368" s="295">
        <v>71.773079526670003</v>
      </c>
      <c r="EY368" s="293">
        <v>54.263382039290008</v>
      </c>
      <c r="EZ368" s="293">
        <v>61.952180569923961</v>
      </c>
      <c r="FA368" s="293">
        <v>61.400699289466829</v>
      </c>
      <c r="FB368" s="293">
        <v>58.598301699079997</v>
      </c>
      <c r="FC368" s="293">
        <v>60.445300122399203</v>
      </c>
      <c r="FD368" s="293">
        <v>78.471032264479192</v>
      </c>
      <c r="FE368" s="293">
        <v>66.07755830056</v>
      </c>
      <c r="FF368" s="293">
        <v>58.48371647499664</v>
      </c>
      <c r="FG368" s="293">
        <v>60.428050559280003</v>
      </c>
      <c r="FH368" s="293">
        <v>38.734274717475898</v>
      </c>
      <c r="FI368" s="293">
        <v>40.964304717332695</v>
      </c>
      <c r="FJ368" s="295">
        <v>72.390007426795904</v>
      </c>
      <c r="FK368" s="293">
        <v>54.168901728150594</v>
      </c>
      <c r="FL368" s="293">
        <v>60.051041430954385</v>
      </c>
      <c r="FM368" s="293">
        <v>71.479806972853822</v>
      </c>
      <c r="FN368" s="293">
        <v>63.371288552983501</v>
      </c>
      <c r="FO368" s="293">
        <v>61.997095310571702</v>
      </c>
      <c r="FP368" s="293">
        <v>69.343101686268739</v>
      </c>
      <c r="FQ368" s="293">
        <v>60.057290794969944</v>
      </c>
      <c r="FR368" s="293">
        <v>58.694828293877428</v>
      </c>
      <c r="FS368" s="293">
        <v>64.712181678315659</v>
      </c>
      <c r="FT368" s="293">
        <v>64.673643356741692</v>
      </c>
      <c r="FU368" s="293">
        <v>66.447717415473193</v>
      </c>
      <c r="FV368" s="293">
        <v>80.95332279998722</v>
      </c>
      <c r="FW368" s="293">
        <v>57.455082833334053</v>
      </c>
      <c r="FX368" s="293">
        <v>61.040984403823927</v>
      </c>
      <c r="FY368" s="293">
        <v>71.34859550482399</v>
      </c>
      <c r="FZ368" s="293">
        <v>67.735260111406518</v>
      </c>
      <c r="GA368" s="293">
        <v>71.406121894751934</v>
      </c>
      <c r="GB368" s="293">
        <v>79.97994653947751</v>
      </c>
      <c r="GC368" s="293">
        <v>74.128009737574985</v>
      </c>
      <c r="GD368" s="293">
        <v>66.461552756245538</v>
      </c>
      <c r="GE368" s="293">
        <v>83.517696730099829</v>
      </c>
      <c r="GF368" s="293">
        <v>75.203753604971894</v>
      </c>
      <c r="GG368" s="293">
        <v>73.101989073323665</v>
      </c>
      <c r="GH368" s="293">
        <v>91.710698926614242</v>
      </c>
      <c r="GI368" s="293">
        <v>75.83596751694094</v>
      </c>
      <c r="GJ368" s="293">
        <v>91.518969854744995</v>
      </c>
      <c r="GK368" s="293">
        <v>89.953357421414836</v>
      </c>
      <c r="GL368" s="293">
        <v>76.794259471496403</v>
      </c>
      <c r="GM368" s="293">
        <v>79.812763006002214</v>
      </c>
      <c r="GN368" s="293">
        <v>90.371227122600786</v>
      </c>
      <c r="GO368" s="293">
        <v>93.541868119232603</v>
      </c>
      <c r="GP368" s="293">
        <v>78.785211588544087</v>
      </c>
      <c r="GQ368" s="293">
        <v>91.676332418468078</v>
      </c>
      <c r="GR368" s="293">
        <v>80.289282286640002</v>
      </c>
      <c r="GS368" s="293">
        <v>83.865236796749997</v>
      </c>
      <c r="GT368" s="293">
        <v>97.978523219140015</v>
      </c>
      <c r="GU368" s="293">
        <v>93.588156971670628</v>
      </c>
      <c r="GV368" s="293">
        <v>95.09266117670154</v>
      </c>
      <c r="GW368" s="293">
        <v>92.184935714847882</v>
      </c>
      <c r="GX368" s="293">
        <v>95.011488550449997</v>
      </c>
      <c r="GY368" s="293">
        <v>90.740672627979492</v>
      </c>
      <c r="GZ368" s="293">
        <v>94.519543153649991</v>
      </c>
      <c r="HA368" s="293">
        <v>108.52683890841251</v>
      </c>
      <c r="HB368" s="293">
        <v>90.239175114779997</v>
      </c>
      <c r="HC368" s="293">
        <v>93.516958395113221</v>
      </c>
      <c r="HD368" s="293">
        <v>103.89674737625</v>
      </c>
      <c r="HE368" s="293">
        <v>102.254227319295</v>
      </c>
      <c r="HF368" s="293">
        <v>130.19032642524189</v>
      </c>
      <c r="HG368" s="293">
        <v>119.86874236616913</v>
      </c>
      <c r="HH368" s="293">
        <v>111.53782990078483</v>
      </c>
      <c r="HI368" s="293">
        <v>112.14483491384611</v>
      </c>
      <c r="HJ368" s="293">
        <v>124.95749331484998</v>
      </c>
      <c r="HK368" s="293">
        <v>105.55191559369999</v>
      </c>
      <c r="HL368" s="293">
        <v>111.3711804819222</v>
      </c>
      <c r="HM368" s="293">
        <v>139.25446059146091</v>
      </c>
      <c r="HN368" s="293">
        <v>109.02983075476104</v>
      </c>
      <c r="HO368" s="293">
        <v>110.89497578340911</v>
      </c>
      <c r="HP368" s="293">
        <v>122.05574261761694</v>
      </c>
      <c r="HQ368" s="293">
        <v>114.08303553167009</v>
      </c>
      <c r="HR368" s="293">
        <v>138.51546891650182</v>
      </c>
      <c r="HS368" s="293">
        <v>144.17090390292202</v>
      </c>
      <c r="HT368" s="293">
        <v>155.25680619866401</v>
      </c>
      <c r="HU368" s="293">
        <v>148.57455194759606</v>
      </c>
      <c r="HV368" s="293">
        <v>173.26160989092597</v>
      </c>
      <c r="HW368" s="293">
        <v>147.78109822700696</v>
      </c>
      <c r="HX368" s="293">
        <v>161.5893439171</v>
      </c>
      <c r="HY368" s="293"/>
      <c r="KT368" s="280"/>
    </row>
    <row r="369" spans="1:307" outlineLevel="1">
      <c r="A369" s="96" t="s">
        <v>395</v>
      </c>
      <c r="B369" s="96" t="s">
        <v>338</v>
      </c>
      <c r="D369" s="321" t="s">
        <v>476</v>
      </c>
      <c r="E369" s="293"/>
      <c r="F369" s="293"/>
      <c r="G369" s="293"/>
      <c r="H369" s="293"/>
      <c r="I369" s="293"/>
      <c r="J369" s="293"/>
      <c r="K369" s="293"/>
      <c r="L369" s="293"/>
      <c r="M369" s="293"/>
      <c r="N369" s="293"/>
      <c r="O369" s="293"/>
      <c r="P369" s="293"/>
      <c r="Q369" s="293"/>
      <c r="R369" s="293"/>
      <c r="S369" s="293"/>
      <c r="T369" s="293"/>
      <c r="U369" s="293"/>
      <c r="V369" s="293"/>
      <c r="W369" s="293"/>
      <c r="X369" s="293"/>
      <c r="Y369" s="29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c r="BN369" s="293"/>
      <c r="BO369" s="293"/>
      <c r="BP369" s="293"/>
      <c r="BQ369" s="293"/>
      <c r="BR369" s="293"/>
      <c r="BS369" s="293"/>
      <c r="BT369" s="293"/>
      <c r="BU369" s="293"/>
      <c r="BV369" s="293"/>
      <c r="BW369" s="293"/>
      <c r="BX369" s="293"/>
      <c r="BY369" s="293"/>
      <c r="BZ369" s="293"/>
      <c r="CA369" s="293"/>
      <c r="CB369" s="293"/>
      <c r="CC369" s="293"/>
      <c r="CD369" s="293"/>
      <c r="CE369" s="294">
        <v>15.881936169600001</v>
      </c>
      <c r="CF369" s="293">
        <v>18.854891973000001</v>
      </c>
      <c r="CG369" s="293">
        <v>21.022694216100003</v>
      </c>
      <c r="CH369" s="293">
        <v>18.475735869000001</v>
      </c>
      <c r="CI369" s="293">
        <v>20.979492343799997</v>
      </c>
      <c r="CJ369" s="293">
        <v>20.168021736900002</v>
      </c>
      <c r="CK369" s="293">
        <v>21.989315188799999</v>
      </c>
      <c r="CL369" s="293">
        <v>20.275165771299999</v>
      </c>
      <c r="CM369" s="293">
        <v>20.410296612</v>
      </c>
      <c r="CN369" s="293">
        <v>19.940888978299999</v>
      </c>
      <c r="CO369" s="293">
        <v>26.053933561200001</v>
      </c>
      <c r="CP369" s="295">
        <v>33.077771980199998</v>
      </c>
      <c r="CQ369" s="293">
        <v>33.471184775199994</v>
      </c>
      <c r="CR369" s="293">
        <v>33.434064120400002</v>
      </c>
      <c r="CS369" s="293">
        <v>38.626960668099997</v>
      </c>
      <c r="CT369" s="293">
        <v>31.706105306399998</v>
      </c>
      <c r="CU369" s="293">
        <v>31.394059134400003</v>
      </c>
      <c r="CV369" s="293">
        <v>35.882737953700001</v>
      </c>
      <c r="CW369" s="293">
        <v>33.075159354500002</v>
      </c>
      <c r="CX369" s="293">
        <v>31.039300498900001</v>
      </c>
      <c r="CY369" s="293">
        <v>37.192440240000003</v>
      </c>
      <c r="CZ369" s="293">
        <v>34.869681115199995</v>
      </c>
      <c r="DA369" s="293">
        <v>34.499460470800003</v>
      </c>
      <c r="DB369" s="1288">
        <v>47.369050485200006</v>
      </c>
      <c r="DC369" s="293">
        <v>23.266508495967319</v>
      </c>
      <c r="DD369" s="293">
        <v>23.758111601567538</v>
      </c>
      <c r="DE369" s="293">
        <v>27.771328359273731</v>
      </c>
      <c r="DF369" s="293">
        <v>26.057107734049509</v>
      </c>
      <c r="DG369" s="293">
        <v>25.026585214483969</v>
      </c>
      <c r="DH369" s="293">
        <v>25.517735918346453</v>
      </c>
      <c r="DI369" s="293">
        <v>25.528013021523304</v>
      </c>
      <c r="DJ369" s="293">
        <v>24.555686210496649</v>
      </c>
      <c r="DK369" s="293">
        <v>26.906421522073092</v>
      </c>
      <c r="DL369" s="293">
        <v>23.506149810616684</v>
      </c>
      <c r="DM369" s="293">
        <v>24.68303512760636</v>
      </c>
      <c r="DN369" s="295">
        <v>36.569341124057701</v>
      </c>
      <c r="DO369" s="293">
        <v>25.701807561024744</v>
      </c>
      <c r="DP369" s="293">
        <v>26.397325789838082</v>
      </c>
      <c r="DQ369" s="293">
        <v>31.555241930825211</v>
      </c>
      <c r="DR369" s="293">
        <v>26.863054138133752</v>
      </c>
      <c r="DS369" s="293">
        <v>26.717636984190449</v>
      </c>
      <c r="DT369" s="293">
        <v>32.69728655681979</v>
      </c>
      <c r="DU369" s="293">
        <v>29.609370200203948</v>
      </c>
      <c r="DV369" s="293">
        <v>30.218131036601271</v>
      </c>
      <c r="DW369" s="293">
        <v>34.381804019969429</v>
      </c>
      <c r="DX369" s="293">
        <v>28.627043046811128</v>
      </c>
      <c r="DY369" s="293">
        <v>30.426527154767683</v>
      </c>
      <c r="DZ369" s="295">
        <v>45.255670960007315</v>
      </c>
      <c r="EA369" s="293">
        <v>29.397361652393904</v>
      </c>
      <c r="EB369" s="293">
        <v>29.655846328871178</v>
      </c>
      <c r="EC369" s="293">
        <v>38.342055351274077</v>
      </c>
      <c r="ED369" s="293">
        <v>33.930998060903121</v>
      </c>
      <c r="EE369" s="293">
        <v>31.829732903307988</v>
      </c>
      <c r="EF369" s="293">
        <v>40.563303410143575</v>
      </c>
      <c r="EG369" s="293">
        <v>35.919538485570449</v>
      </c>
      <c r="EH369" s="293">
        <v>32.726659883868365</v>
      </c>
      <c r="EI369" s="293">
        <v>39.61005153807298</v>
      </c>
      <c r="EJ369" s="293">
        <v>34.021254095932044</v>
      </c>
      <c r="EK369" s="293">
        <v>34.65518012998443</v>
      </c>
      <c r="EL369" s="295">
        <v>46.603714353491178</v>
      </c>
      <c r="EM369" s="293">
        <v>30.906249728319999</v>
      </c>
      <c r="EN369" s="293">
        <v>35.091470095800005</v>
      </c>
      <c r="EO369" s="293">
        <v>36.65031393396</v>
      </c>
      <c r="EP369" s="293">
        <v>32.886596466520004</v>
      </c>
      <c r="EQ369" s="293">
        <v>35.038868828280002</v>
      </c>
      <c r="ER369" s="293">
        <v>43.132705185279995</v>
      </c>
      <c r="ES369" s="293">
        <v>39.356497086352796</v>
      </c>
      <c r="ET369" s="293">
        <v>37.734449936709929</v>
      </c>
      <c r="EU369" s="293">
        <v>37.11177639868</v>
      </c>
      <c r="EV369" s="293">
        <v>40.404032144494401</v>
      </c>
      <c r="EW369" s="293">
        <v>38.387444583280022</v>
      </c>
      <c r="EX369" s="295">
        <v>51.889292503</v>
      </c>
      <c r="EY369" s="293">
        <v>34.296850887800005</v>
      </c>
      <c r="EZ369" s="293">
        <v>41.130810978923961</v>
      </c>
      <c r="FA369" s="293">
        <v>42.016032445419995</v>
      </c>
      <c r="FB369" s="293">
        <v>40.468883834080003</v>
      </c>
      <c r="FC369" s="293">
        <v>40.459910524399199</v>
      </c>
      <c r="FD369" s="293">
        <v>59.028955909479201</v>
      </c>
      <c r="FE369" s="293">
        <v>39.751392172399996</v>
      </c>
      <c r="FF369" s="293">
        <v>38.875159240119999</v>
      </c>
      <c r="FG369" s="293">
        <v>42.163423852679998</v>
      </c>
      <c r="FH369" s="293">
        <v>28.42865419908</v>
      </c>
      <c r="FI369" s="293">
        <v>25.959696988936798</v>
      </c>
      <c r="FJ369" s="295">
        <v>51.431453945399994</v>
      </c>
      <c r="FK369" s="293">
        <v>35.002858807720003</v>
      </c>
      <c r="FL369" s="293">
        <v>39.207689627559979</v>
      </c>
      <c r="FM369" s="293">
        <v>49.472296509000003</v>
      </c>
      <c r="FN369" s="293">
        <v>42.979163396173341</v>
      </c>
      <c r="FO369" s="293">
        <v>41.368668658497164</v>
      </c>
      <c r="FP369" s="293">
        <v>46.118193713987054</v>
      </c>
      <c r="FQ369" s="293">
        <v>40.440497797398329</v>
      </c>
      <c r="FR369" s="293">
        <v>38.993644202098764</v>
      </c>
      <c r="FS369" s="293">
        <v>43.75181860061484</v>
      </c>
      <c r="FT369" s="293">
        <v>43.0573064332117</v>
      </c>
      <c r="FU369" s="293">
        <v>45.637175283768784</v>
      </c>
      <c r="FV369" s="293">
        <v>59.002626250009676</v>
      </c>
      <c r="FW369" s="293">
        <v>38.676735753829782</v>
      </c>
      <c r="FX369" s="293">
        <v>39.946161936048583</v>
      </c>
      <c r="FY369" s="293">
        <v>48.504380458713548</v>
      </c>
      <c r="FZ369" s="293">
        <v>45.626606782743686</v>
      </c>
      <c r="GA369" s="293">
        <v>48.178742218431545</v>
      </c>
      <c r="GB369" s="293">
        <v>56.630153828914708</v>
      </c>
      <c r="GC369" s="293">
        <v>50.055151263039996</v>
      </c>
      <c r="GD369" s="293">
        <v>43.807227043699996</v>
      </c>
      <c r="GE369" s="293">
        <v>56.012617229773603</v>
      </c>
      <c r="GF369" s="293">
        <v>48.884781706864608</v>
      </c>
      <c r="GG369" s="293">
        <v>51.031707439965153</v>
      </c>
      <c r="GH369" s="293">
        <v>66.063478275774557</v>
      </c>
      <c r="GI369" s="293">
        <v>52.261630586622253</v>
      </c>
      <c r="GJ369" s="293">
        <v>62.788312695233685</v>
      </c>
      <c r="GK369" s="293">
        <v>59.264710403018157</v>
      </c>
      <c r="GL369" s="293">
        <v>51.003329466508958</v>
      </c>
      <c r="GM369" s="293">
        <v>54.271152905200005</v>
      </c>
      <c r="GN369" s="293">
        <v>61.477659934236584</v>
      </c>
      <c r="GO369" s="293">
        <v>60.920412199326172</v>
      </c>
      <c r="GP369" s="293">
        <v>50.197395067350342</v>
      </c>
      <c r="GQ369" s="293">
        <v>62.11656720336142</v>
      </c>
      <c r="GR369" s="293">
        <v>52.755765961640002</v>
      </c>
      <c r="GS369" s="293">
        <v>56.130795758749997</v>
      </c>
      <c r="GT369" s="293">
        <v>66.757954746140001</v>
      </c>
      <c r="GU369" s="293">
        <v>62.181831814199995</v>
      </c>
      <c r="GV369" s="293">
        <v>60.037218570701533</v>
      </c>
      <c r="GW369" s="293">
        <v>59.178527273324072</v>
      </c>
      <c r="GX369" s="293">
        <v>64.542478498449995</v>
      </c>
      <c r="GY369" s="293">
        <v>60.586507752979493</v>
      </c>
      <c r="GZ369" s="293">
        <v>63.480555277650005</v>
      </c>
      <c r="HA369" s="293">
        <v>72.277019610412509</v>
      </c>
      <c r="HB369" s="293">
        <v>57.151694257780001</v>
      </c>
      <c r="HC369" s="293">
        <v>60.889530337113221</v>
      </c>
      <c r="HD369" s="293">
        <v>70.645444112250004</v>
      </c>
      <c r="HE369" s="293">
        <v>69.402485699294999</v>
      </c>
      <c r="HF369" s="293">
        <v>92.542788181232822</v>
      </c>
      <c r="HG369" s="293">
        <v>88.441319920169121</v>
      </c>
      <c r="HH369" s="293">
        <v>73.33246407378482</v>
      </c>
      <c r="HI369" s="293">
        <v>75.233215001846105</v>
      </c>
      <c r="HJ369" s="293">
        <v>88.868271311849995</v>
      </c>
      <c r="HK369" s="293">
        <v>70.441157013699993</v>
      </c>
      <c r="HL369" s="293">
        <v>75.112381955699973</v>
      </c>
      <c r="HM369" s="293">
        <v>93.706752745460918</v>
      </c>
      <c r="HN369" s="293">
        <v>71.677457952761031</v>
      </c>
      <c r="HO369" s="293">
        <v>73.504555467409105</v>
      </c>
      <c r="HP369" s="293">
        <v>82.958277634616948</v>
      </c>
      <c r="HQ369" s="293">
        <v>76.244217041670055</v>
      </c>
      <c r="HR369" s="293">
        <v>94.04911231450204</v>
      </c>
      <c r="HS369" s="293">
        <v>108.83336026992203</v>
      </c>
      <c r="HT369" s="293">
        <v>104.178979323664</v>
      </c>
      <c r="HU369" s="293">
        <v>97.935982490596061</v>
      </c>
      <c r="HV369" s="293">
        <v>120.58003322992597</v>
      </c>
      <c r="HW369" s="293">
        <v>99.362518881006991</v>
      </c>
      <c r="HX369" s="293">
        <v>109.4677229431</v>
      </c>
      <c r="HY369" s="293"/>
      <c r="KT369" s="280"/>
    </row>
    <row r="370" spans="1:307" outlineLevel="1">
      <c r="A370" s="96" t="s">
        <v>395</v>
      </c>
      <c r="B370" s="96" t="s">
        <v>338</v>
      </c>
      <c r="D370" s="321" t="s">
        <v>477</v>
      </c>
      <c r="E370" s="293"/>
      <c r="F370" s="293"/>
      <c r="G370" s="293"/>
      <c r="H370" s="293"/>
      <c r="I370" s="293"/>
      <c r="J370" s="293"/>
      <c r="K370" s="293"/>
      <c r="L370" s="293"/>
      <c r="M370" s="293"/>
      <c r="N370" s="293"/>
      <c r="O370" s="293"/>
      <c r="P370" s="293"/>
      <c r="Q370" s="293"/>
      <c r="R370" s="293"/>
      <c r="S370" s="293"/>
      <c r="T370" s="293"/>
      <c r="U370" s="293"/>
      <c r="V370" s="293"/>
      <c r="W370" s="293"/>
      <c r="X370" s="293"/>
      <c r="Y370" s="29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c r="BN370" s="293"/>
      <c r="BO370" s="293"/>
      <c r="BP370" s="293"/>
      <c r="BQ370" s="293"/>
      <c r="BR370" s="293"/>
      <c r="BS370" s="293"/>
      <c r="BT370" s="293"/>
      <c r="BU370" s="293"/>
      <c r="BV370" s="293"/>
      <c r="BW370" s="293"/>
      <c r="BX370" s="293"/>
      <c r="BY370" s="293"/>
      <c r="BZ370" s="293"/>
      <c r="CA370" s="293"/>
      <c r="CB370" s="293"/>
      <c r="CC370" s="293"/>
      <c r="CD370" s="293"/>
      <c r="CE370" s="294">
        <v>15.881936169600001</v>
      </c>
      <c r="CF370" s="293">
        <v>18.854891973000001</v>
      </c>
      <c r="CG370" s="293">
        <v>21.022694216100003</v>
      </c>
      <c r="CH370" s="293">
        <v>18.475735869000001</v>
      </c>
      <c r="CI370" s="293">
        <v>20.979486082799998</v>
      </c>
      <c r="CJ370" s="293">
        <v>20.168021736900002</v>
      </c>
      <c r="CK370" s="293">
        <v>21.989315188799999</v>
      </c>
      <c r="CL370" s="293">
        <v>20.2751557713</v>
      </c>
      <c r="CM370" s="293">
        <v>20.409192611999998</v>
      </c>
      <c r="CN370" s="293">
        <v>19.940791218299999</v>
      </c>
      <c r="CO370" s="293">
        <v>26.053933561200001</v>
      </c>
      <c r="CP370" s="295">
        <v>33.077771980199998</v>
      </c>
      <c r="CQ370" s="293">
        <v>21.0190435542</v>
      </c>
      <c r="CR370" s="293">
        <v>20.917568714400002</v>
      </c>
      <c r="CS370" s="293">
        <v>26.884899377100002</v>
      </c>
      <c r="CT370" s="293">
        <v>21.2873725854</v>
      </c>
      <c r="CU370" s="293">
        <v>20.929796582400002</v>
      </c>
      <c r="CV370" s="293">
        <v>23.1939375957</v>
      </c>
      <c r="CW370" s="293">
        <v>21.954958753500001</v>
      </c>
      <c r="CX370" s="293">
        <v>20.563003224900001</v>
      </c>
      <c r="CY370" s="293">
        <v>23.182708599000001</v>
      </c>
      <c r="CZ370" s="293">
        <v>23.120711980199999</v>
      </c>
      <c r="DA370" s="293">
        <v>23.529648034800001</v>
      </c>
      <c r="DB370" s="1288">
        <v>34.412194987200003</v>
      </c>
      <c r="DC370" s="293">
        <v>23.266508495967319</v>
      </c>
      <c r="DD370" s="293">
        <v>23.758111601567538</v>
      </c>
      <c r="DE370" s="293">
        <v>27.771328359273731</v>
      </c>
      <c r="DF370" s="293">
        <v>26.057107734049509</v>
      </c>
      <c r="DG370" s="293">
        <v>25.026580111714612</v>
      </c>
      <c r="DH370" s="293">
        <v>25.517735918346453</v>
      </c>
      <c r="DI370" s="293">
        <v>25.528013021523304</v>
      </c>
      <c r="DJ370" s="293">
        <v>24.555686210496649</v>
      </c>
      <c r="DK370" s="293">
        <v>26.906421522073092</v>
      </c>
      <c r="DL370" s="293">
        <v>23.506149810616684</v>
      </c>
      <c r="DM370" s="293">
        <v>24.683025302693412</v>
      </c>
      <c r="DN370" s="295">
        <v>36.569063777088552</v>
      </c>
      <c r="DO370" s="293">
        <v>25.701807561024744</v>
      </c>
      <c r="DP370" s="293">
        <v>26.397325789838082</v>
      </c>
      <c r="DQ370" s="293">
        <v>31.555241930825211</v>
      </c>
      <c r="DR370" s="293">
        <v>26.863054138133752</v>
      </c>
      <c r="DS370" s="293">
        <v>26.717636984190449</v>
      </c>
      <c r="DT370" s="293">
        <v>32.69728655681979</v>
      </c>
      <c r="DU370" s="293">
        <v>29.609370200203948</v>
      </c>
      <c r="DV370" s="293">
        <v>30.218131036601271</v>
      </c>
      <c r="DW370" s="293">
        <v>34.381804019969429</v>
      </c>
      <c r="DX370" s="293">
        <v>28.627043046811128</v>
      </c>
      <c r="DY370" s="293">
        <v>30.426527154767683</v>
      </c>
      <c r="DZ370" s="295">
        <v>45.255670960007315</v>
      </c>
      <c r="EA370" s="293">
        <v>29.397361652393904</v>
      </c>
      <c r="EB370" s="293">
        <v>29.655846328871178</v>
      </c>
      <c r="EC370" s="293">
        <v>38.342055351274077</v>
      </c>
      <c r="ED370" s="293">
        <v>33.930998060903121</v>
      </c>
      <c r="EE370" s="293">
        <v>31.829732903307988</v>
      </c>
      <c r="EF370" s="293">
        <v>40.563303410143575</v>
      </c>
      <c r="EG370" s="293">
        <v>35.919538485570449</v>
      </c>
      <c r="EH370" s="293">
        <v>32.726659883868365</v>
      </c>
      <c r="EI370" s="293">
        <v>39.61005153807298</v>
      </c>
      <c r="EJ370" s="293">
        <v>34.021254095932044</v>
      </c>
      <c r="EK370" s="293">
        <v>34.65518012998443</v>
      </c>
      <c r="EL370" s="295">
        <v>46.603714353491178</v>
      </c>
      <c r="EM370" s="293">
        <v>30.906249728319999</v>
      </c>
      <c r="EN370" s="293">
        <v>35.091470095800005</v>
      </c>
      <c r="EO370" s="293">
        <v>36.65031393396</v>
      </c>
      <c r="EP370" s="293">
        <v>32.886596466520004</v>
      </c>
      <c r="EQ370" s="293">
        <v>35.038868828280002</v>
      </c>
      <c r="ER370" s="293">
        <v>43.132705185279995</v>
      </c>
      <c r="ES370" s="293">
        <v>39.356497086352796</v>
      </c>
      <c r="ET370" s="293">
        <v>37.734449936709929</v>
      </c>
      <c r="EU370" s="293">
        <v>37.11177639868</v>
      </c>
      <c r="EV370" s="293">
        <v>40.404032144494401</v>
      </c>
      <c r="EW370" s="293">
        <v>38.387444583280022</v>
      </c>
      <c r="EX370" s="295">
        <v>51.889292503</v>
      </c>
      <c r="EY370" s="293">
        <v>34.296850887800005</v>
      </c>
      <c r="EZ370" s="293">
        <v>41.130810978923961</v>
      </c>
      <c r="FA370" s="293">
        <v>42.016032445419995</v>
      </c>
      <c r="FB370" s="293">
        <v>40.468883834080003</v>
      </c>
      <c r="FC370" s="293">
        <v>40.459910524399199</v>
      </c>
      <c r="FD370" s="293">
        <v>59.028955909479201</v>
      </c>
      <c r="FE370" s="293">
        <v>39.751392172399996</v>
      </c>
      <c r="FF370" s="293">
        <v>38.875159240119999</v>
      </c>
      <c r="FG370" s="293">
        <v>42.163423852679998</v>
      </c>
      <c r="FH370" s="293">
        <v>28.42865419908</v>
      </c>
      <c r="FI370" s="293">
        <v>25.959696988936798</v>
      </c>
      <c r="FJ370" s="295">
        <v>51.431453945399994</v>
      </c>
      <c r="FK370" s="293">
        <v>35.002858807720003</v>
      </c>
      <c r="FL370" s="293">
        <v>39.207689627559979</v>
      </c>
      <c r="FM370" s="293">
        <v>49.472296509000003</v>
      </c>
      <c r="FN370" s="293">
        <v>42.979163396173341</v>
      </c>
      <c r="FO370" s="293">
        <v>41.368668658497164</v>
      </c>
      <c r="FP370" s="293">
        <v>46.118193713987054</v>
      </c>
      <c r="FQ370" s="293">
        <v>40.440497797398329</v>
      </c>
      <c r="FR370" s="293">
        <v>38.993644202098764</v>
      </c>
      <c r="FS370" s="293">
        <v>43.75181860061484</v>
      </c>
      <c r="FT370" s="293">
        <v>43.0573064332117</v>
      </c>
      <c r="FU370" s="293">
        <v>45.637175283768784</v>
      </c>
      <c r="FV370" s="293">
        <v>59.002626250009676</v>
      </c>
      <c r="FW370" s="293">
        <v>38.676735753829782</v>
      </c>
      <c r="FX370" s="293">
        <v>39.946161936048583</v>
      </c>
      <c r="FY370" s="293">
        <v>48.504380458713548</v>
      </c>
      <c r="FZ370" s="293">
        <v>45.626606782743686</v>
      </c>
      <c r="GA370" s="293">
        <v>48.178742218431545</v>
      </c>
      <c r="GB370" s="293">
        <v>56.630153828914708</v>
      </c>
      <c r="GC370" s="293">
        <v>50.055151263039996</v>
      </c>
      <c r="GD370" s="293">
        <v>43.807227043699996</v>
      </c>
      <c r="GE370" s="293">
        <v>56.012617229773603</v>
      </c>
      <c r="GF370" s="293">
        <v>48.884781706864608</v>
      </c>
      <c r="GG370" s="293">
        <v>51.031707439965153</v>
      </c>
      <c r="GH370" s="293">
        <v>66.063478275774557</v>
      </c>
      <c r="GI370" s="293">
        <v>52.244725581622255</v>
      </c>
      <c r="GJ370" s="293">
        <v>62.765330236233687</v>
      </c>
      <c r="GK370" s="293">
        <v>59.243896196018156</v>
      </c>
      <c r="GL370" s="293">
        <v>50.98288807150896</v>
      </c>
      <c r="GM370" s="293">
        <v>54.250768541200003</v>
      </c>
      <c r="GN370" s="293">
        <v>61.453832934303691</v>
      </c>
      <c r="GO370" s="293">
        <v>60.902610856479178</v>
      </c>
      <c r="GP370" s="293">
        <v>50.187344765715444</v>
      </c>
      <c r="GQ370" s="293">
        <v>62.103972101563201</v>
      </c>
      <c r="GR370" s="293">
        <v>52.735897940640001</v>
      </c>
      <c r="GS370" s="293">
        <v>56.104643205750001</v>
      </c>
      <c r="GT370" s="293">
        <v>66.733926239140004</v>
      </c>
      <c r="GU370" s="293">
        <v>62.158857972199996</v>
      </c>
      <c r="GV370" s="293">
        <v>60.029309262549994</v>
      </c>
      <c r="GW370" s="293">
        <v>59.169522346500003</v>
      </c>
      <c r="GX370" s="293">
        <v>64.52860598545</v>
      </c>
      <c r="GY370" s="293">
        <v>60.572182681979491</v>
      </c>
      <c r="GZ370" s="293">
        <v>63.469634149649998</v>
      </c>
      <c r="HA370" s="293">
        <v>72.264538514412507</v>
      </c>
      <c r="HB370" s="293">
        <v>57.141034558779999</v>
      </c>
      <c r="HC370" s="293">
        <v>60.880727948119997</v>
      </c>
      <c r="HD370" s="293">
        <v>70.631216667250001</v>
      </c>
      <c r="HE370" s="293">
        <v>69.387986040295004</v>
      </c>
      <c r="HF370" s="293">
        <v>92.527496021232821</v>
      </c>
      <c r="HG370" s="293">
        <v>88.426353865169133</v>
      </c>
      <c r="HH370" s="293">
        <v>73.319420889784823</v>
      </c>
      <c r="HI370" s="293">
        <v>75.220508510846102</v>
      </c>
      <c r="HJ370" s="293">
        <v>88.855849391849986</v>
      </c>
      <c r="HK370" s="293">
        <v>70.428333834699998</v>
      </c>
      <c r="HL370" s="293">
        <v>75.098535038699964</v>
      </c>
      <c r="HM370" s="293">
        <v>93.691551994460923</v>
      </c>
      <c r="HN370" s="293">
        <v>71.664753960761033</v>
      </c>
      <c r="HO370" s="293">
        <v>73.489515221409107</v>
      </c>
      <c r="HP370" s="293">
        <v>82.94173279861694</v>
      </c>
      <c r="HQ370" s="293">
        <v>76.226510295670053</v>
      </c>
      <c r="HR370" s="293">
        <v>94.03064137850204</v>
      </c>
      <c r="HS370" s="293">
        <v>108.81817834592202</v>
      </c>
      <c r="HT370" s="293">
        <v>104.16569753866401</v>
      </c>
      <c r="HU370" s="293">
        <v>97.922946180596057</v>
      </c>
      <c r="HV370" s="293">
        <v>120.56579411692599</v>
      </c>
      <c r="HW370" s="293">
        <v>99.350303581006983</v>
      </c>
      <c r="HX370" s="293">
        <v>109.45140863110001</v>
      </c>
      <c r="HY370" s="293"/>
      <c r="KT370" s="280"/>
    </row>
    <row r="371" spans="1:307" s="882" customFormat="1" outlineLevel="1">
      <c r="A371" s="1759"/>
      <c r="B371" s="1759"/>
      <c r="C371" s="1759"/>
      <c r="D371" s="2061" t="s">
        <v>3690</v>
      </c>
      <c r="CE371" s="2058"/>
      <c r="CP371" s="1268"/>
      <c r="DB371" s="2059"/>
      <c r="DN371" s="1268"/>
      <c r="DZ371" s="1268"/>
      <c r="EL371" s="1268"/>
      <c r="EX371" s="1268"/>
      <c r="FJ371" s="1268"/>
      <c r="GI371" s="882">
        <v>18.621550163040002</v>
      </c>
      <c r="GJ371" s="882">
        <v>20.13856173384</v>
      </c>
      <c r="GK371" s="882">
        <v>19.065575122880002</v>
      </c>
      <c r="GL371" s="882">
        <v>17.143206107280001</v>
      </c>
      <c r="GM371" s="882">
        <v>19.147330649919997</v>
      </c>
      <c r="GN371" s="882">
        <v>19.748852192959998</v>
      </c>
      <c r="GO371" s="882">
        <v>17.031914361319998</v>
      </c>
      <c r="GP371" s="882">
        <v>16.660494642299998</v>
      </c>
      <c r="GQ371" s="882">
        <v>18.1204528124</v>
      </c>
      <c r="GR371" s="882">
        <v>14.778540782799999</v>
      </c>
      <c r="GS371" s="882">
        <v>19.547090501</v>
      </c>
      <c r="GT371" s="882">
        <v>17.8728997684</v>
      </c>
      <c r="GU371" s="882">
        <v>19.517355107049998</v>
      </c>
      <c r="GV371" s="882">
        <v>19.299225045250001</v>
      </c>
      <c r="GW371" s="882">
        <v>18.060882726749998</v>
      </c>
      <c r="GX371" s="882">
        <v>17.678909647799998</v>
      </c>
      <c r="GY371" s="882">
        <v>17.581841311750001</v>
      </c>
      <c r="GZ371" s="882">
        <v>19.34944360575</v>
      </c>
      <c r="HA371" s="882">
        <v>20.279060251000001</v>
      </c>
      <c r="HB371" s="882">
        <v>17.884521598880003</v>
      </c>
      <c r="HC371" s="882">
        <v>20.93994063577</v>
      </c>
      <c r="HD371" s="882">
        <v>21.216653540599999</v>
      </c>
      <c r="HE371" s="882">
        <v>22.542889310450001</v>
      </c>
      <c r="HF371" s="882">
        <v>24.683743775949718</v>
      </c>
      <c r="HG371" s="882">
        <v>24.837158954469125</v>
      </c>
      <c r="HH371" s="882">
        <v>27.664315110584813</v>
      </c>
      <c r="HI371" s="882">
        <v>24.032889363196091</v>
      </c>
      <c r="HJ371" s="882">
        <v>25.205551699049998</v>
      </c>
      <c r="HK371" s="882">
        <v>23.306523920899998</v>
      </c>
      <c r="HL371" s="882">
        <v>24.492293114599967</v>
      </c>
      <c r="HM371" s="882">
        <v>25.0167684378</v>
      </c>
      <c r="HN371" s="882">
        <v>22.346394937700001</v>
      </c>
      <c r="HO371" s="882">
        <v>23.319033626299969</v>
      </c>
      <c r="HP371" s="882">
        <v>22.133956423649991</v>
      </c>
      <c r="HQ371" s="882">
        <v>24.539989117050027</v>
      </c>
      <c r="HR371" s="882">
        <v>29.900995368950021</v>
      </c>
      <c r="HS371" s="882">
        <v>37.859755554800003</v>
      </c>
      <c r="HT371" s="882">
        <v>42.734016769699998</v>
      </c>
      <c r="HU371" s="882">
        <v>39.296883099550001</v>
      </c>
      <c r="HV371" s="882">
        <v>47.271114695349993</v>
      </c>
      <c r="HW371" s="882">
        <v>38.413361857149994</v>
      </c>
      <c r="HX371" s="882">
        <v>46.324279427799993</v>
      </c>
      <c r="KT371" s="1268"/>
    </row>
    <row r="372" spans="1:307" s="882" customFormat="1" outlineLevel="1">
      <c r="A372" s="1759"/>
      <c r="B372" s="1759"/>
      <c r="C372" s="1759"/>
      <c r="D372" s="2063" t="s">
        <v>3698</v>
      </c>
      <c r="CE372" s="2058"/>
      <c r="CP372" s="1268"/>
      <c r="DB372" s="2059"/>
      <c r="DN372" s="1268"/>
      <c r="DZ372" s="1268"/>
      <c r="EL372" s="1268"/>
      <c r="EX372" s="1268"/>
      <c r="FJ372" s="1268"/>
      <c r="KT372" s="1268"/>
    </row>
    <row r="373" spans="1:307" s="882" customFormat="1" outlineLevel="1">
      <c r="A373" s="1759"/>
      <c r="B373" s="1759"/>
      <c r="C373" s="1759"/>
      <c r="D373" s="2061" t="s">
        <v>3691</v>
      </c>
      <c r="CE373" s="2058"/>
      <c r="CP373" s="1268"/>
      <c r="DB373" s="2059"/>
      <c r="DN373" s="1268"/>
      <c r="DZ373" s="1268"/>
      <c r="EL373" s="1268"/>
      <c r="EX373" s="1268"/>
      <c r="FJ373" s="1268"/>
      <c r="GI373" s="882">
        <v>26.869045207771087</v>
      </c>
      <c r="GJ373" s="882">
        <v>28.348487532979917</v>
      </c>
      <c r="GK373" s="882">
        <v>32.827277544266494</v>
      </c>
      <c r="GL373" s="882">
        <v>27.278879323101066</v>
      </c>
      <c r="GM373" s="882">
        <v>27.328682793280006</v>
      </c>
      <c r="GN373" s="882">
        <v>33.129504786819304</v>
      </c>
      <c r="GO373" s="882">
        <v>35.963111250913741</v>
      </c>
      <c r="GP373" s="882">
        <v>28.325491965273457</v>
      </c>
      <c r="GQ373" s="882">
        <v>31.943786451876843</v>
      </c>
      <c r="GR373" s="882">
        <v>29.894351546639999</v>
      </c>
      <c r="GS373" s="882">
        <v>26.718174257249999</v>
      </c>
      <c r="GT373" s="882">
        <v>33.876161390740002</v>
      </c>
      <c r="GU373" s="882">
        <v>35.135505214799998</v>
      </c>
      <c r="GV373" s="882">
        <v>34.949686118099997</v>
      </c>
      <c r="GW373" s="882">
        <v>33.971146908099996</v>
      </c>
      <c r="GX373" s="882">
        <v>39.348629041750002</v>
      </c>
      <c r="GY373" s="882">
        <v>33.990762285229494</v>
      </c>
      <c r="GZ373" s="882">
        <v>33.540946054000003</v>
      </c>
      <c r="HA373" s="882">
        <v>43.6850092532625</v>
      </c>
      <c r="HB373" s="882">
        <v>33.31422075735</v>
      </c>
      <c r="HC373" s="882">
        <v>31.9033229715</v>
      </c>
      <c r="HD373" s="882">
        <v>39.975401104199996</v>
      </c>
      <c r="HE373" s="882">
        <v>36.440112760494998</v>
      </c>
      <c r="HF373" s="882">
        <v>45.040769212433105</v>
      </c>
      <c r="HG373" s="882">
        <v>63.589194910699995</v>
      </c>
      <c r="HH373" s="882">
        <v>45.655105779200007</v>
      </c>
      <c r="HI373" s="882">
        <v>51.187619147650004</v>
      </c>
      <c r="HJ373" s="882">
        <v>63.650297692799995</v>
      </c>
      <c r="HK373" s="882">
        <v>47.121809913799993</v>
      </c>
      <c r="HL373" s="882">
        <v>50.606241924099997</v>
      </c>
      <c r="HM373" s="882">
        <v>68.674783556660927</v>
      </c>
      <c r="HN373" s="882">
        <v>49.318359023061028</v>
      </c>
      <c r="HO373" s="882">
        <v>50.170481595109138</v>
      </c>
      <c r="HP373" s="882">
        <v>60.807776374966956</v>
      </c>
      <c r="HQ373" s="882">
        <v>51.686521178620033</v>
      </c>
      <c r="HR373" s="882">
        <v>64.129646009552019</v>
      </c>
      <c r="HS373" s="882">
        <v>70.958422791122018</v>
      </c>
      <c r="HT373" s="882">
        <v>61.431680768964007</v>
      </c>
      <c r="HU373" s="882">
        <v>58.626063081046048</v>
      </c>
      <c r="HV373" s="882">
        <v>73.294679421575992</v>
      </c>
      <c r="HW373" s="882">
        <v>60.936941723856989</v>
      </c>
      <c r="HX373" s="882">
        <v>63.127129203300015</v>
      </c>
      <c r="KT373" s="1268"/>
    </row>
    <row r="374" spans="1:307" outlineLevel="1">
      <c r="A374" s="96" t="s">
        <v>395</v>
      </c>
      <c r="B374" s="96" t="s">
        <v>338</v>
      </c>
      <c r="D374" s="321" t="s">
        <v>478</v>
      </c>
      <c r="E374" s="293"/>
      <c r="F374" s="293"/>
      <c r="G374" s="293"/>
      <c r="H374" s="293"/>
      <c r="I374" s="293"/>
      <c r="J374" s="293"/>
      <c r="K374" s="293"/>
      <c r="L374" s="293"/>
      <c r="M374" s="293"/>
      <c r="N374" s="293"/>
      <c r="O374" s="293"/>
      <c r="P374" s="293"/>
      <c r="Q374" s="293"/>
      <c r="R374" s="293"/>
      <c r="S374" s="293"/>
      <c r="T374" s="293"/>
      <c r="U374" s="293"/>
      <c r="V374" s="293"/>
      <c r="W374" s="293"/>
      <c r="X374" s="293"/>
      <c r="Y374" s="29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c r="BN374" s="293"/>
      <c r="BO374" s="293"/>
      <c r="BP374" s="293"/>
      <c r="BQ374" s="293"/>
      <c r="BR374" s="293"/>
      <c r="BS374" s="293"/>
      <c r="BT374" s="293"/>
      <c r="BU374" s="293"/>
      <c r="BV374" s="293"/>
      <c r="BW374" s="293"/>
      <c r="BX374" s="293"/>
      <c r="BY374" s="293"/>
      <c r="BZ374" s="293"/>
      <c r="CA374" s="293"/>
      <c r="CB374" s="293"/>
      <c r="CC374" s="293"/>
      <c r="CD374" s="293"/>
      <c r="CE374" s="294">
        <v>0</v>
      </c>
      <c r="CF374" s="293">
        <v>0</v>
      </c>
      <c r="CG374" s="293">
        <v>0</v>
      </c>
      <c r="CH374" s="293">
        <v>0</v>
      </c>
      <c r="CI374" s="293">
        <v>6.2609999999999999E-6</v>
      </c>
      <c r="CJ374" s="293">
        <v>0</v>
      </c>
      <c r="CK374" s="293">
        <v>0</v>
      </c>
      <c r="CL374" s="293">
        <v>1.0000000000000001E-5</v>
      </c>
      <c r="CM374" s="293">
        <v>1.1039999999999999E-3</v>
      </c>
      <c r="CN374" s="293">
        <v>9.7759999999999999E-5</v>
      </c>
      <c r="CO374" s="293">
        <v>0</v>
      </c>
      <c r="CP374" s="295">
        <v>0</v>
      </c>
      <c r="CQ374" s="293">
        <v>0</v>
      </c>
      <c r="CR374" s="293">
        <v>0</v>
      </c>
      <c r="CS374" s="293">
        <v>0</v>
      </c>
      <c r="CT374" s="293">
        <v>0</v>
      </c>
      <c r="CU374" s="293">
        <v>4.5650000000000003E-6</v>
      </c>
      <c r="CV374" s="293">
        <v>0</v>
      </c>
      <c r="CW374" s="293">
        <v>0</v>
      </c>
      <c r="CX374" s="293">
        <v>0</v>
      </c>
      <c r="CY374" s="293">
        <v>0</v>
      </c>
      <c r="CZ374" s="293">
        <v>0</v>
      </c>
      <c r="DA374" s="293">
        <v>8.7520000000000002E-6</v>
      </c>
      <c r="DB374" s="1288">
        <v>2.4699200000000002E-4</v>
      </c>
      <c r="DC374" s="293">
        <v>0</v>
      </c>
      <c r="DD374" s="293">
        <v>0</v>
      </c>
      <c r="DE374" s="293">
        <v>0</v>
      </c>
      <c r="DF374" s="293">
        <v>0</v>
      </c>
      <c r="DG374" s="293">
        <v>5.102769357407113E-6</v>
      </c>
      <c r="DH374" s="293">
        <v>0</v>
      </c>
      <c r="DI374" s="293">
        <v>0</v>
      </c>
      <c r="DJ374" s="293">
        <v>0</v>
      </c>
      <c r="DK374" s="293">
        <v>0</v>
      </c>
      <c r="DL374" s="293">
        <v>0</v>
      </c>
      <c r="DM374" s="293">
        <v>9.8249129473932234E-6</v>
      </c>
      <c r="DN374" s="295">
        <v>2.7734696915213906E-4</v>
      </c>
      <c r="DO374" s="293">
        <v>0</v>
      </c>
      <c r="DP374" s="293">
        <v>0</v>
      </c>
      <c r="DQ374" s="293">
        <v>0</v>
      </c>
      <c r="DR374" s="293">
        <v>0</v>
      </c>
      <c r="DS374" s="293">
        <v>0</v>
      </c>
      <c r="DT374" s="293">
        <v>0</v>
      </c>
      <c r="DU374" s="293">
        <v>0</v>
      </c>
      <c r="DV374" s="293">
        <v>0</v>
      </c>
      <c r="DW374" s="293">
        <v>0</v>
      </c>
      <c r="DX374" s="293">
        <v>0</v>
      </c>
      <c r="DY374" s="293">
        <v>0</v>
      </c>
      <c r="DZ374" s="295">
        <v>0</v>
      </c>
      <c r="EA374" s="293">
        <v>0</v>
      </c>
      <c r="EB374" s="293">
        <v>0</v>
      </c>
      <c r="EC374" s="293">
        <v>0</v>
      </c>
      <c r="ED374" s="293">
        <v>0</v>
      </c>
      <c r="EE374" s="293">
        <v>0</v>
      </c>
      <c r="EF374" s="293">
        <v>0</v>
      </c>
      <c r="EG374" s="293">
        <v>0</v>
      </c>
      <c r="EH374" s="293">
        <v>0</v>
      </c>
      <c r="EI374" s="293">
        <v>0</v>
      </c>
      <c r="EJ374" s="293">
        <v>0</v>
      </c>
      <c r="EK374" s="293">
        <v>0</v>
      </c>
      <c r="EL374" s="295">
        <v>0</v>
      </c>
      <c r="EM374" s="293">
        <v>0</v>
      </c>
      <c r="EN374" s="293">
        <v>0</v>
      </c>
      <c r="EO374" s="293">
        <v>0</v>
      </c>
      <c r="EP374" s="293">
        <v>0</v>
      </c>
      <c r="EQ374" s="293">
        <v>0</v>
      </c>
      <c r="ER374" s="293">
        <v>0</v>
      </c>
      <c r="ES374" s="293">
        <v>0</v>
      </c>
      <c r="ET374" s="293">
        <v>0</v>
      </c>
      <c r="EU374" s="293">
        <v>0</v>
      </c>
      <c r="EV374" s="293">
        <v>0</v>
      </c>
      <c r="EW374" s="293">
        <v>0</v>
      </c>
      <c r="EX374" s="295">
        <v>0</v>
      </c>
      <c r="EY374" s="293">
        <v>0</v>
      </c>
      <c r="EZ374" s="293">
        <v>0</v>
      </c>
      <c r="FA374" s="293">
        <v>0</v>
      </c>
      <c r="FB374" s="293">
        <v>0</v>
      </c>
      <c r="FC374" s="293">
        <v>0</v>
      </c>
      <c r="FD374" s="293">
        <v>0</v>
      </c>
      <c r="FE374" s="293">
        <v>0</v>
      </c>
      <c r="FF374" s="293">
        <v>0</v>
      </c>
      <c r="FG374" s="293">
        <v>0</v>
      </c>
      <c r="FH374" s="293">
        <v>0</v>
      </c>
      <c r="FI374" s="293">
        <v>0</v>
      </c>
      <c r="FJ374" s="295">
        <v>0</v>
      </c>
      <c r="FK374" s="293">
        <v>0</v>
      </c>
      <c r="FL374" s="293">
        <v>0</v>
      </c>
      <c r="FM374" s="293">
        <v>0</v>
      </c>
      <c r="FN374" s="293">
        <v>0</v>
      </c>
      <c r="FO374" s="293">
        <v>0</v>
      </c>
      <c r="FP374" s="293">
        <v>0</v>
      </c>
      <c r="FQ374" s="293">
        <v>0</v>
      </c>
      <c r="FR374" s="293">
        <v>0</v>
      </c>
      <c r="FS374" s="293">
        <v>0</v>
      </c>
      <c r="FT374" s="293">
        <v>0</v>
      </c>
      <c r="FU374" s="293">
        <v>0</v>
      </c>
      <c r="FV374" s="293">
        <v>0</v>
      </c>
      <c r="FW374" s="293">
        <v>0</v>
      </c>
      <c r="FX374" s="293">
        <v>0</v>
      </c>
      <c r="FY374" s="293">
        <v>0</v>
      </c>
      <c r="FZ374" s="293">
        <v>0</v>
      </c>
      <c r="GA374" s="293">
        <v>0</v>
      </c>
      <c r="GB374" s="293">
        <v>0</v>
      </c>
      <c r="GC374" s="293">
        <v>0</v>
      </c>
      <c r="GD374" s="293">
        <v>0</v>
      </c>
      <c r="GE374" s="293">
        <v>0</v>
      </c>
      <c r="GF374" s="293">
        <v>0</v>
      </c>
      <c r="GG374" s="293">
        <v>0</v>
      </c>
      <c r="GH374" s="293">
        <v>0</v>
      </c>
      <c r="GI374" s="293">
        <v>0</v>
      </c>
      <c r="GJ374" s="293">
        <v>0</v>
      </c>
      <c r="GK374" s="293">
        <v>0</v>
      </c>
      <c r="GL374" s="293">
        <v>0</v>
      </c>
      <c r="GM374" s="293">
        <v>0</v>
      </c>
      <c r="GN374" s="293">
        <v>0</v>
      </c>
      <c r="GO374" s="293">
        <v>0</v>
      </c>
      <c r="GP374" s="293">
        <v>0</v>
      </c>
      <c r="GQ374" s="293">
        <v>0</v>
      </c>
      <c r="GR374" s="293">
        <v>0</v>
      </c>
      <c r="GS374" s="293">
        <v>0</v>
      </c>
      <c r="GT374" s="293">
        <v>0</v>
      </c>
      <c r="GU374" s="293">
        <v>0</v>
      </c>
      <c r="GV374" s="293">
        <v>0</v>
      </c>
      <c r="GW374" s="293">
        <v>0</v>
      </c>
      <c r="GX374" s="293">
        <v>0</v>
      </c>
      <c r="GY374" s="293">
        <v>0</v>
      </c>
      <c r="GZ374" s="293">
        <v>0</v>
      </c>
      <c r="HA374" s="293">
        <v>0</v>
      </c>
      <c r="HB374" s="293">
        <v>0</v>
      </c>
      <c r="HC374" s="293">
        <v>0</v>
      </c>
      <c r="HD374" s="293">
        <v>0</v>
      </c>
      <c r="HE374" s="293">
        <v>0</v>
      </c>
      <c r="HF374" s="293">
        <v>0</v>
      </c>
      <c r="HG374" s="293">
        <v>0</v>
      </c>
      <c r="HH374" s="293">
        <v>0</v>
      </c>
      <c r="HI374" s="293">
        <v>0</v>
      </c>
      <c r="HJ374" s="293">
        <v>0</v>
      </c>
      <c r="HK374" s="293">
        <v>0</v>
      </c>
      <c r="HL374" s="293">
        <v>0</v>
      </c>
      <c r="HM374" s="293">
        <v>0</v>
      </c>
      <c r="HN374" s="293">
        <v>0</v>
      </c>
      <c r="HO374" s="293">
        <v>0</v>
      </c>
      <c r="HP374" s="293">
        <v>0</v>
      </c>
      <c r="HQ374" s="293">
        <v>0</v>
      </c>
      <c r="HR374" s="293">
        <v>0</v>
      </c>
      <c r="HS374" s="293">
        <v>0</v>
      </c>
      <c r="HT374" s="293">
        <v>0</v>
      </c>
      <c r="HU374" s="293">
        <v>0</v>
      </c>
      <c r="HV374" s="293">
        <v>0</v>
      </c>
      <c r="HW374" s="293">
        <v>0</v>
      </c>
      <c r="HX374" s="293">
        <v>0</v>
      </c>
      <c r="HY374" s="293"/>
      <c r="KT374" s="280"/>
    </row>
    <row r="375" spans="1:307" outlineLevel="1">
      <c r="A375" s="96" t="s">
        <v>395</v>
      </c>
      <c r="B375" s="96" t="s">
        <v>338</v>
      </c>
      <c r="D375" s="321" t="s">
        <v>479</v>
      </c>
      <c r="E375" s="293"/>
      <c r="F375" s="293"/>
      <c r="G375" s="293"/>
      <c r="H375" s="293"/>
      <c r="I375" s="293"/>
      <c r="J375" s="293"/>
      <c r="K375" s="293"/>
      <c r="L375" s="293"/>
      <c r="M375" s="293"/>
      <c r="N375" s="293"/>
      <c r="O375" s="293"/>
      <c r="P375" s="293"/>
      <c r="Q375" s="293"/>
      <c r="R375" s="293"/>
      <c r="S375" s="293"/>
      <c r="T375" s="293"/>
      <c r="U375" s="293"/>
      <c r="V375" s="293"/>
      <c r="W375" s="293"/>
      <c r="X375" s="293"/>
      <c r="Y375" s="29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c r="BN375" s="293"/>
      <c r="BO375" s="293"/>
      <c r="BP375" s="293"/>
      <c r="BQ375" s="293"/>
      <c r="BR375" s="293"/>
      <c r="BS375" s="293"/>
      <c r="BT375" s="293"/>
      <c r="BU375" s="293"/>
      <c r="BV375" s="293"/>
      <c r="BW375" s="293"/>
      <c r="BX375" s="293"/>
      <c r="BY375" s="293"/>
      <c r="BZ375" s="293"/>
      <c r="CA375" s="293"/>
      <c r="CB375" s="293"/>
      <c r="CC375" s="293"/>
      <c r="CD375" s="293"/>
      <c r="CE375" s="294">
        <v>0</v>
      </c>
      <c r="CF375" s="293">
        <v>0</v>
      </c>
      <c r="CG375" s="293">
        <v>0</v>
      </c>
      <c r="CH375" s="293">
        <v>0</v>
      </c>
      <c r="CI375" s="293">
        <v>0</v>
      </c>
      <c r="CJ375" s="293">
        <v>0</v>
      </c>
      <c r="CK375" s="293">
        <v>0</v>
      </c>
      <c r="CL375" s="293">
        <v>0</v>
      </c>
      <c r="CM375" s="293">
        <v>0</v>
      </c>
      <c r="CN375" s="293">
        <v>0</v>
      </c>
      <c r="CO375" s="293">
        <v>0</v>
      </c>
      <c r="CP375" s="295">
        <v>0</v>
      </c>
      <c r="CQ375" s="293">
        <v>0</v>
      </c>
      <c r="CR375" s="293">
        <v>0</v>
      </c>
      <c r="CS375" s="293">
        <v>0</v>
      </c>
      <c r="CT375" s="293">
        <v>0</v>
      </c>
      <c r="CU375" s="293">
        <v>0</v>
      </c>
      <c r="CV375" s="293">
        <v>0</v>
      </c>
      <c r="CW375" s="293">
        <v>0</v>
      </c>
      <c r="CX375" s="293">
        <v>0</v>
      </c>
      <c r="CY375" s="293">
        <v>0</v>
      </c>
      <c r="CZ375" s="293">
        <v>0</v>
      </c>
      <c r="DA375" s="293">
        <v>0</v>
      </c>
      <c r="DB375" s="1288">
        <v>0</v>
      </c>
      <c r="DC375" s="293">
        <v>0</v>
      </c>
      <c r="DD375" s="293">
        <v>0</v>
      </c>
      <c r="DE375" s="293">
        <v>0</v>
      </c>
      <c r="DF375" s="293">
        <v>0</v>
      </c>
      <c r="DG375" s="293">
        <v>0</v>
      </c>
      <c r="DH375" s="293">
        <v>0</v>
      </c>
      <c r="DI375" s="293">
        <v>0</v>
      </c>
      <c r="DJ375" s="293">
        <v>0</v>
      </c>
      <c r="DK375" s="293">
        <v>0</v>
      </c>
      <c r="DL375" s="293">
        <v>0</v>
      </c>
      <c r="DM375" s="293">
        <v>0</v>
      </c>
      <c r="DN375" s="295">
        <v>0</v>
      </c>
      <c r="DO375" s="293">
        <v>0</v>
      </c>
      <c r="DP375" s="293">
        <v>0</v>
      </c>
      <c r="DQ375" s="293">
        <v>0</v>
      </c>
      <c r="DR375" s="293">
        <v>0</v>
      </c>
      <c r="DS375" s="293">
        <v>0</v>
      </c>
      <c r="DT375" s="293">
        <v>0</v>
      </c>
      <c r="DU375" s="293">
        <v>0</v>
      </c>
      <c r="DV375" s="293">
        <v>0</v>
      </c>
      <c r="DW375" s="293">
        <v>0</v>
      </c>
      <c r="DX375" s="293">
        <v>0</v>
      </c>
      <c r="DY375" s="293">
        <v>0</v>
      </c>
      <c r="DZ375" s="295">
        <v>0</v>
      </c>
      <c r="EA375" s="293">
        <v>0</v>
      </c>
      <c r="EB375" s="293">
        <v>0</v>
      </c>
      <c r="EC375" s="293">
        <v>0</v>
      </c>
      <c r="ED375" s="293">
        <v>0</v>
      </c>
      <c r="EE375" s="293">
        <v>0</v>
      </c>
      <c r="EF375" s="293">
        <v>0</v>
      </c>
      <c r="EG375" s="293">
        <v>0</v>
      </c>
      <c r="EH375" s="293">
        <v>0</v>
      </c>
      <c r="EI375" s="293">
        <v>0</v>
      </c>
      <c r="EJ375" s="293">
        <v>0</v>
      </c>
      <c r="EK375" s="293">
        <v>0</v>
      </c>
      <c r="EL375" s="295">
        <v>0</v>
      </c>
      <c r="EM375" s="293">
        <v>0</v>
      </c>
      <c r="EN375" s="293">
        <v>0</v>
      </c>
      <c r="EO375" s="293">
        <v>0</v>
      </c>
      <c r="EP375" s="293">
        <v>0</v>
      </c>
      <c r="EQ375" s="293">
        <v>0</v>
      </c>
      <c r="ER375" s="293">
        <v>0</v>
      </c>
      <c r="ES375" s="293">
        <v>0</v>
      </c>
      <c r="ET375" s="293">
        <v>0</v>
      </c>
      <c r="EU375" s="293">
        <v>0</v>
      </c>
      <c r="EV375" s="293">
        <v>0</v>
      </c>
      <c r="EW375" s="293">
        <v>0</v>
      </c>
      <c r="EX375" s="295">
        <v>0</v>
      </c>
      <c r="EY375" s="293">
        <v>0</v>
      </c>
      <c r="EZ375" s="293">
        <v>0</v>
      </c>
      <c r="FA375" s="293">
        <v>0</v>
      </c>
      <c r="FB375" s="293">
        <v>0</v>
      </c>
      <c r="FC375" s="293">
        <v>0</v>
      </c>
      <c r="FD375" s="293">
        <v>0</v>
      </c>
      <c r="FE375" s="293">
        <v>0</v>
      </c>
      <c r="FF375" s="293">
        <v>0</v>
      </c>
      <c r="FG375" s="293">
        <v>0</v>
      </c>
      <c r="FH375" s="293">
        <v>0</v>
      </c>
      <c r="FI375" s="293">
        <v>0</v>
      </c>
      <c r="FJ375" s="295">
        <v>0</v>
      </c>
      <c r="FK375" s="293">
        <v>0</v>
      </c>
      <c r="FL375" s="293">
        <v>0</v>
      </c>
      <c r="FM375" s="293">
        <v>0</v>
      </c>
      <c r="FN375" s="293">
        <v>0</v>
      </c>
      <c r="FO375" s="293">
        <v>0</v>
      </c>
      <c r="FP375" s="293">
        <v>0</v>
      </c>
      <c r="FQ375" s="293">
        <v>0</v>
      </c>
      <c r="FR375" s="293">
        <v>0</v>
      </c>
      <c r="FS375" s="293">
        <v>0</v>
      </c>
      <c r="FT375" s="293">
        <v>0</v>
      </c>
      <c r="FU375" s="293">
        <v>0</v>
      </c>
      <c r="FV375" s="293">
        <v>0</v>
      </c>
      <c r="FW375" s="293">
        <v>0</v>
      </c>
      <c r="FX375" s="293">
        <v>0</v>
      </c>
      <c r="FY375" s="293">
        <v>0</v>
      </c>
      <c r="FZ375" s="293">
        <v>0</v>
      </c>
      <c r="GA375" s="293">
        <v>0</v>
      </c>
      <c r="GB375" s="293">
        <v>0</v>
      </c>
      <c r="GC375" s="293">
        <v>0</v>
      </c>
      <c r="GD375" s="293">
        <v>0</v>
      </c>
      <c r="GE375" s="293">
        <v>0</v>
      </c>
      <c r="GF375" s="293">
        <v>0</v>
      </c>
      <c r="GG375" s="293">
        <v>0</v>
      </c>
      <c r="GH375" s="293">
        <v>0</v>
      </c>
      <c r="GI375" s="293">
        <v>0</v>
      </c>
      <c r="GJ375" s="293">
        <v>0</v>
      </c>
      <c r="GK375" s="293">
        <v>0</v>
      </c>
      <c r="GL375" s="293">
        <v>0</v>
      </c>
      <c r="GM375" s="293">
        <v>0</v>
      </c>
      <c r="GN375" s="293">
        <v>0</v>
      </c>
      <c r="GO375" s="293">
        <v>0</v>
      </c>
      <c r="GP375" s="293">
        <v>0</v>
      </c>
      <c r="GQ375" s="293">
        <v>0</v>
      </c>
      <c r="GR375" s="293">
        <v>0</v>
      </c>
      <c r="GS375" s="293">
        <v>0</v>
      </c>
      <c r="GT375" s="293">
        <v>0</v>
      </c>
      <c r="GU375" s="293">
        <v>0</v>
      </c>
      <c r="GV375" s="293">
        <v>0</v>
      </c>
      <c r="GW375" s="293">
        <v>0</v>
      </c>
      <c r="GX375" s="293">
        <v>0</v>
      </c>
      <c r="GY375" s="293">
        <v>0</v>
      </c>
      <c r="GZ375" s="293">
        <v>0</v>
      </c>
      <c r="HA375" s="293">
        <v>0</v>
      </c>
      <c r="HB375" s="293">
        <v>0</v>
      </c>
      <c r="HC375" s="293">
        <v>0</v>
      </c>
      <c r="HD375" s="293">
        <v>0</v>
      </c>
      <c r="HE375" s="293">
        <v>0</v>
      </c>
      <c r="HF375" s="293">
        <v>0</v>
      </c>
      <c r="HG375" s="293">
        <v>0</v>
      </c>
      <c r="HH375" s="293">
        <v>0</v>
      </c>
      <c r="HI375" s="293">
        <v>0</v>
      </c>
      <c r="HJ375" s="293">
        <v>0</v>
      </c>
      <c r="HK375" s="293">
        <v>0</v>
      </c>
      <c r="HL375" s="293">
        <v>0</v>
      </c>
      <c r="HM375" s="293">
        <v>0</v>
      </c>
      <c r="HN375" s="293">
        <v>0</v>
      </c>
      <c r="HO375" s="293">
        <v>0</v>
      </c>
      <c r="HP375" s="293">
        <v>0</v>
      </c>
      <c r="HQ375" s="293">
        <v>0</v>
      </c>
      <c r="HR375" s="293">
        <v>0</v>
      </c>
      <c r="HS375" s="293">
        <v>0</v>
      </c>
      <c r="HT375" s="293">
        <v>0</v>
      </c>
      <c r="HU375" s="293">
        <v>0</v>
      </c>
      <c r="HV375" s="293">
        <v>0</v>
      </c>
      <c r="HW375" s="293">
        <v>0</v>
      </c>
      <c r="HX375" s="293">
        <v>0</v>
      </c>
      <c r="HY375" s="293"/>
      <c r="KT375" s="280"/>
    </row>
    <row r="376" spans="1:307" outlineLevel="1">
      <c r="A376" s="96" t="s">
        <v>395</v>
      </c>
      <c r="B376" s="96" t="s">
        <v>338</v>
      </c>
      <c r="D376" s="321" t="s">
        <v>480</v>
      </c>
      <c r="E376" s="293"/>
      <c r="F376" s="293"/>
      <c r="G376" s="293"/>
      <c r="H376" s="293"/>
      <c r="I376" s="293"/>
      <c r="J376" s="293"/>
      <c r="K376" s="293"/>
      <c r="L376" s="293"/>
      <c r="M376" s="293"/>
      <c r="N376" s="293"/>
      <c r="O376" s="293"/>
      <c r="P376" s="293"/>
      <c r="Q376" s="293"/>
      <c r="R376" s="293"/>
      <c r="S376" s="293"/>
      <c r="T376" s="293"/>
      <c r="U376" s="293"/>
      <c r="V376" s="293"/>
      <c r="W376" s="293"/>
      <c r="X376" s="293"/>
      <c r="Y376" s="29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c r="BN376" s="293"/>
      <c r="BO376" s="293"/>
      <c r="BP376" s="293"/>
      <c r="BQ376" s="293"/>
      <c r="BR376" s="293"/>
      <c r="BS376" s="293"/>
      <c r="BT376" s="293"/>
      <c r="BU376" s="293"/>
      <c r="BV376" s="293"/>
      <c r="BW376" s="293"/>
      <c r="BX376" s="293"/>
      <c r="BY376" s="293"/>
      <c r="BZ376" s="293"/>
      <c r="CA376" s="293"/>
      <c r="CB376" s="293"/>
      <c r="CC376" s="293"/>
      <c r="CD376" s="293"/>
      <c r="CE376" s="294">
        <v>10.312014238</v>
      </c>
      <c r="CF376" s="293">
        <v>11.682352078999999</v>
      </c>
      <c r="CG376" s="293">
        <v>10.690505712</v>
      </c>
      <c r="CH376" s="293">
        <v>10.734642351</v>
      </c>
      <c r="CI376" s="293">
        <v>9.7985631360000003</v>
      </c>
      <c r="CJ376" s="293">
        <v>9.4056947760000007</v>
      </c>
      <c r="CK376" s="293">
        <v>11.524598477</v>
      </c>
      <c r="CL376" s="293">
        <v>10.158745530999999</v>
      </c>
      <c r="CM376" s="293">
        <v>10.590484483999999</v>
      </c>
      <c r="CN376" s="293">
        <v>10.229226067999999</v>
      </c>
      <c r="CO376" s="293">
        <v>9.9519072630000007</v>
      </c>
      <c r="CP376" s="295">
        <v>10.679967767999999</v>
      </c>
      <c r="CQ376" s="293">
        <v>12.38807276</v>
      </c>
      <c r="CR376" s="293">
        <v>12.467862021</v>
      </c>
      <c r="CS376" s="293">
        <v>11.696207848</v>
      </c>
      <c r="CT376" s="293">
        <v>10.381398195999999</v>
      </c>
      <c r="CU376" s="293">
        <v>10.439065612</v>
      </c>
      <c r="CV376" s="293">
        <v>12.667704062</v>
      </c>
      <c r="CW376" s="293">
        <v>10.976646073</v>
      </c>
      <c r="CX376" s="293">
        <v>10.287932966</v>
      </c>
      <c r="CY376" s="293">
        <v>10.544515338</v>
      </c>
      <c r="CZ376" s="293">
        <v>11.492866818</v>
      </c>
      <c r="DA376" s="293">
        <v>10.822163140000001</v>
      </c>
      <c r="DB376" s="1288">
        <v>12.855031159999999</v>
      </c>
      <c r="DC376" s="293">
        <v>13.885712351280118</v>
      </c>
      <c r="DD376" s="293">
        <v>14.829079303096313</v>
      </c>
      <c r="DE376" s="293">
        <v>13.77518902838599</v>
      </c>
      <c r="DF376" s="293">
        <v>14.922692627866242</v>
      </c>
      <c r="DG376" s="293">
        <v>13.517082003110152</v>
      </c>
      <c r="DH376" s="293">
        <v>15.628054550338424</v>
      </c>
      <c r="DI376" s="293">
        <v>13.175239244661348</v>
      </c>
      <c r="DJ376" s="293">
        <v>13.077335491675587</v>
      </c>
      <c r="DK376" s="293">
        <v>13.248190450859843</v>
      </c>
      <c r="DL376" s="293">
        <v>12.742532211910587</v>
      </c>
      <c r="DM376" s="293">
        <v>12.568932074627444</v>
      </c>
      <c r="DN376" s="295">
        <v>15.546468166257402</v>
      </c>
      <c r="DO376" s="293">
        <v>12.743856736640529</v>
      </c>
      <c r="DP376" s="293">
        <v>14.836326437583503</v>
      </c>
      <c r="DQ376" s="293">
        <v>14.228195877479589</v>
      </c>
      <c r="DR376" s="293">
        <v>10.951474185591518</v>
      </c>
      <c r="DS376" s="293">
        <v>13.303248715439221</v>
      </c>
      <c r="DT376" s="293">
        <v>15.080084175700211</v>
      </c>
      <c r="DU376" s="293">
        <v>13.226434253357581</v>
      </c>
      <c r="DV376" s="293">
        <v>12.464851140977846</v>
      </c>
      <c r="DW376" s="293">
        <v>13.798161011990613</v>
      </c>
      <c r="DX376" s="293">
        <v>12.696501364338877</v>
      </c>
      <c r="DY376" s="293">
        <v>13.415457891036949</v>
      </c>
      <c r="DZ376" s="295">
        <v>14.831170505282081</v>
      </c>
      <c r="EA376" s="293">
        <v>14.145995512537345</v>
      </c>
      <c r="EB376" s="293">
        <v>14.691728513150336</v>
      </c>
      <c r="EC376" s="293">
        <v>14.5044707369414</v>
      </c>
      <c r="ED376" s="293">
        <v>14.294941073140643</v>
      </c>
      <c r="EE376" s="293">
        <v>13.355636338797972</v>
      </c>
      <c r="EF376" s="293">
        <v>15.345079392744225</v>
      </c>
      <c r="EG376" s="293">
        <v>14.448253589033969</v>
      </c>
      <c r="EH376" s="293">
        <v>14.041869560412472</v>
      </c>
      <c r="EI376" s="293">
        <v>14.625630890271539</v>
      </c>
      <c r="EJ376" s="293">
        <v>14.932590743140988</v>
      </c>
      <c r="EK376" s="293">
        <v>15.534037266393753</v>
      </c>
      <c r="EL376" s="295">
        <v>17.966237846520112</v>
      </c>
      <c r="EM376" s="293">
        <v>16.452051478000001</v>
      </c>
      <c r="EN376" s="293">
        <v>19.421774051</v>
      </c>
      <c r="EO376" s="293">
        <v>18.083721097000002</v>
      </c>
      <c r="EP376" s="293">
        <v>16.299147270776668</v>
      </c>
      <c r="EQ376" s="293">
        <v>17.136581717776668</v>
      </c>
      <c r="ER376" s="293">
        <v>18.885433180776666</v>
      </c>
      <c r="ES376" s="293">
        <v>16.497697909999999</v>
      </c>
      <c r="ET376" s="293">
        <v>18.437644201000001</v>
      </c>
      <c r="EU376" s="293">
        <v>17.389135537000001</v>
      </c>
      <c r="EV376" s="293">
        <v>17.151386156000001</v>
      </c>
      <c r="EW376" s="293">
        <v>19.552364807</v>
      </c>
      <c r="EX376" s="295">
        <v>19.671107023669997</v>
      </c>
      <c r="EY376" s="293">
        <v>19.59418576249</v>
      </c>
      <c r="EZ376" s="293">
        <v>20.436109718000001</v>
      </c>
      <c r="FA376" s="293">
        <v>18.98516237604683</v>
      </c>
      <c r="FB376" s="293">
        <v>18.011922991999999</v>
      </c>
      <c r="FC376" s="293">
        <v>19.608461198000001</v>
      </c>
      <c r="FD376" s="293">
        <v>19.068546339000001</v>
      </c>
      <c r="FE376" s="293">
        <v>19.909591206999998</v>
      </c>
      <c r="FF376" s="293">
        <v>18.654437322</v>
      </c>
      <c r="FG376" s="293">
        <v>17.617448429</v>
      </c>
      <c r="FH376" s="293">
        <v>8.6637359269999994</v>
      </c>
      <c r="FI376" s="293">
        <v>13.405638166999999</v>
      </c>
      <c r="FJ376" s="295">
        <v>19.352599138999999</v>
      </c>
      <c r="FK376" s="293">
        <v>18.84398345258775</v>
      </c>
      <c r="FL376" s="293">
        <v>20.595821602939999</v>
      </c>
      <c r="FM376" s="293">
        <v>21.68748176815107</v>
      </c>
      <c r="FN376" s="293">
        <v>20.345557790859818</v>
      </c>
      <c r="FO376" s="293">
        <v>20.545755038492295</v>
      </c>
      <c r="FP376" s="293">
        <v>23.13632653198728</v>
      </c>
      <c r="FQ376" s="293">
        <v>17.738215291302456</v>
      </c>
      <c r="FR376" s="293">
        <v>17.418107180999996</v>
      </c>
      <c r="FS376" s="293">
        <v>19.614753259000004</v>
      </c>
      <c r="FT376" s="293">
        <v>21.282264591804449</v>
      </c>
      <c r="FU376" s="293">
        <v>20.471551178864715</v>
      </c>
      <c r="FV376" s="293">
        <v>21.594922956410219</v>
      </c>
      <c r="FW376" s="293">
        <v>18.067622638078653</v>
      </c>
      <c r="FX376" s="293">
        <v>20.641168116501973</v>
      </c>
      <c r="FY376" s="293">
        <v>21.972693046623665</v>
      </c>
      <c r="FZ376" s="293">
        <v>21.254760980425406</v>
      </c>
      <c r="GA376" s="293">
        <v>22.469927832496712</v>
      </c>
      <c r="GB376" s="293">
        <v>22.327669297897245</v>
      </c>
      <c r="GC376" s="293">
        <v>21.79843131662</v>
      </c>
      <c r="GD376" s="293">
        <v>20.237493026270002</v>
      </c>
      <c r="GE376" s="293">
        <v>23.498200746375137</v>
      </c>
      <c r="GF376" s="293">
        <v>21.466052514000001</v>
      </c>
      <c r="GG376" s="293">
        <v>20.725141396000001</v>
      </c>
      <c r="GH376" s="293">
        <v>24.324853584447212</v>
      </c>
      <c r="GI376" s="293">
        <v>23.176657358497923</v>
      </c>
      <c r="GJ376" s="293">
        <v>28.247596359008622</v>
      </c>
      <c r="GK376" s="293">
        <v>30.296841981115463</v>
      </c>
      <c r="GL376" s="293">
        <v>25.469940530999995</v>
      </c>
      <c r="GM376" s="293">
        <v>25.183633776999997</v>
      </c>
      <c r="GN376" s="293">
        <v>28.581190517</v>
      </c>
      <c r="GO376" s="293">
        <v>27.723163620000001</v>
      </c>
      <c r="GP376" s="293">
        <v>27.471186628000002</v>
      </c>
      <c r="GQ376" s="293">
        <v>28.922375887000001</v>
      </c>
      <c r="GR376" s="293">
        <v>26.914108077000002</v>
      </c>
      <c r="GS376" s="293">
        <v>27.256239658999998</v>
      </c>
      <c r="GT376" s="293">
        <v>30.707153056999999</v>
      </c>
      <c r="GU376" s="293">
        <v>30.085040145000001</v>
      </c>
      <c r="GV376" s="293">
        <v>33.807194367999998</v>
      </c>
      <c r="GW376" s="293">
        <v>32.269678593000002</v>
      </c>
      <c r="GX376" s="293">
        <v>29.753129599000001</v>
      </c>
      <c r="GY376" s="293">
        <v>29.79562949</v>
      </c>
      <c r="GZ376" s="293">
        <v>30.43527224</v>
      </c>
      <c r="HA376" s="293">
        <v>31.140117139000001</v>
      </c>
      <c r="HB376" s="293">
        <v>30.211059159000001</v>
      </c>
      <c r="HC376" s="293">
        <v>31.647467160000001</v>
      </c>
      <c r="HD376" s="293">
        <v>31.118847344999999</v>
      </c>
      <c r="HE376" s="293">
        <v>31.824080359</v>
      </c>
      <c r="HF376" s="293">
        <v>36.439533484009068</v>
      </c>
      <c r="HG376" s="293">
        <v>29.268599494</v>
      </c>
      <c r="HH376" s="293">
        <v>36.883923897999999</v>
      </c>
      <c r="HI376" s="293">
        <v>35.788384030000003</v>
      </c>
      <c r="HJ376" s="293">
        <v>34.282555879999997</v>
      </c>
      <c r="HK376" s="293">
        <v>33.674921998999999</v>
      </c>
      <c r="HL376" s="293">
        <v>34.750766525000003</v>
      </c>
      <c r="HM376" s="293">
        <v>37.157009326999997</v>
      </c>
      <c r="HN376" s="293">
        <v>35.894756825000002</v>
      </c>
      <c r="HO376" s="293">
        <v>35.863372382000001</v>
      </c>
      <c r="HP376" s="293">
        <v>36.219550777999999</v>
      </c>
      <c r="HQ376" s="293">
        <v>36.459067403000027</v>
      </c>
      <c r="HR376" s="293">
        <v>43.153552174999788</v>
      </c>
      <c r="HS376" s="293">
        <v>30.721247007999999</v>
      </c>
      <c r="HT376" s="293">
        <v>47.182787965000003</v>
      </c>
      <c r="HU376" s="293">
        <v>46.805324374000001</v>
      </c>
      <c r="HV376" s="293">
        <v>47.141018877999997</v>
      </c>
      <c r="HW376" s="293">
        <v>43.079254544999998</v>
      </c>
      <c r="HX376" s="293">
        <v>46.936622573999998</v>
      </c>
      <c r="HY376" s="293"/>
      <c r="KT376" s="280"/>
    </row>
    <row r="377" spans="1:307" outlineLevel="1">
      <c r="D377" s="2099" t="s">
        <v>3771</v>
      </c>
      <c r="CE377" s="793"/>
      <c r="CP377" s="280"/>
      <c r="EA377" s="279"/>
      <c r="EB377" s="279"/>
      <c r="EC377" s="279"/>
      <c r="ED377" s="279"/>
      <c r="EE377" s="279"/>
      <c r="EF377" s="279"/>
      <c r="EG377" s="279"/>
      <c r="EH377" s="279"/>
      <c r="EI377" s="279"/>
      <c r="EJ377" s="279"/>
      <c r="EK377" s="279"/>
      <c r="EL377" s="280"/>
      <c r="EM377" s="279"/>
      <c r="EN377" s="279"/>
      <c r="EO377" s="279"/>
      <c r="EP377" s="279"/>
      <c r="EQ377" s="279"/>
      <c r="ER377" s="279"/>
      <c r="ES377" s="279"/>
      <c r="ET377" s="279"/>
      <c r="EU377" s="279"/>
      <c r="EV377" s="279"/>
      <c r="EW377" s="279"/>
      <c r="EX377" s="280"/>
      <c r="EY377" s="279"/>
      <c r="EZ377" s="279"/>
      <c r="FA377" s="279"/>
      <c r="FB377" s="279"/>
      <c r="FC377" s="279"/>
      <c r="FD377" s="279"/>
      <c r="FE377" s="279"/>
      <c r="FF377" s="279"/>
      <c r="FG377" s="279"/>
      <c r="FH377" s="279"/>
      <c r="FI377" s="279"/>
      <c r="FJ377" s="280"/>
      <c r="FK377" s="279"/>
      <c r="FL377" s="279"/>
      <c r="FM377" s="279"/>
      <c r="FN377" s="279"/>
      <c r="FO377" s="279"/>
      <c r="FP377" s="279"/>
      <c r="FQ377" s="279"/>
      <c r="FR377" s="279"/>
      <c r="FS377" s="279"/>
      <c r="FT377" s="279"/>
      <c r="FU377" s="279"/>
      <c r="FV377" s="279"/>
      <c r="FW377" s="279"/>
      <c r="FX377" s="279"/>
      <c r="FY377" s="279"/>
      <c r="FZ377" s="279"/>
      <c r="GA377" s="279"/>
      <c r="GB377" s="279"/>
      <c r="GC377" s="279"/>
      <c r="GD377" s="279"/>
      <c r="GE377" s="279"/>
      <c r="GF377" s="279"/>
      <c r="GG377" s="279"/>
      <c r="GH377" s="279"/>
      <c r="GI377" s="279">
        <v>11.835811386040781</v>
      </c>
      <c r="GJ377" s="279">
        <v>16.368825286186244</v>
      </c>
      <c r="GK377" s="279">
        <v>18.626655494597099</v>
      </c>
      <c r="GL377" s="279">
        <v>15.247610541046223</v>
      </c>
      <c r="GM377" s="279">
        <v>15.180324250881009</v>
      </c>
      <c r="GN377" s="279">
        <v>18.857287339903351</v>
      </c>
      <c r="GO377" s="279">
        <v>14.022337529</v>
      </c>
      <c r="GP377" s="279">
        <v>16.603586373999999</v>
      </c>
      <c r="GQ377" s="279">
        <v>18.000881171</v>
      </c>
      <c r="GR377" s="279">
        <v>15.797242635</v>
      </c>
      <c r="GS377" s="279">
        <v>18.061040444</v>
      </c>
      <c r="GT377" s="279">
        <v>18.423771622</v>
      </c>
      <c r="GU377" s="279">
        <v>19.517355107049998</v>
      </c>
      <c r="GV377" s="279">
        <v>19.299225045250001</v>
      </c>
      <c r="GW377" s="279">
        <v>18.060882726749998</v>
      </c>
      <c r="GX377" s="279">
        <v>17.678909647799998</v>
      </c>
      <c r="GY377" s="279">
        <v>17.581841311750001</v>
      </c>
      <c r="GZ377" s="279">
        <v>19.34944360575</v>
      </c>
      <c r="HA377" s="279">
        <v>20.279060251000001</v>
      </c>
      <c r="HB377" s="279">
        <v>17.884521598880003</v>
      </c>
      <c r="HC377" s="279">
        <v>20.93994063577</v>
      </c>
      <c r="HD377" s="279">
        <v>21.216653540599999</v>
      </c>
      <c r="HE377" s="279">
        <v>22.542889310450001</v>
      </c>
      <c r="HF377" s="279">
        <v>24.683743775949718</v>
      </c>
      <c r="HG377" s="279">
        <v>18.732350756999999</v>
      </c>
      <c r="HH377" s="279">
        <v>19.765273656000002</v>
      </c>
      <c r="HI377" s="279">
        <v>18.411886663000001</v>
      </c>
      <c r="HJ377" s="279">
        <v>18.721700053999999</v>
      </c>
      <c r="HK377" s="279">
        <v>18.284817916000002</v>
      </c>
      <c r="HL377" s="279">
        <v>19.653992529</v>
      </c>
      <c r="HM377" s="279">
        <v>19.45731155</v>
      </c>
      <c r="HN377" s="279">
        <v>19.138700149000002</v>
      </c>
      <c r="HO377" s="279">
        <v>19.899002755000001</v>
      </c>
      <c r="HP377" s="279">
        <v>18.346471637</v>
      </c>
      <c r="HQ377" s="279">
        <v>19.077167491000029</v>
      </c>
      <c r="HR377" s="279">
        <v>22.915633951999968</v>
      </c>
      <c r="HS377" s="279">
        <v>13.635684697</v>
      </c>
      <c r="HT377" s="279">
        <v>14.705594176</v>
      </c>
      <c r="HU377" s="279">
        <v>14.866858227</v>
      </c>
      <c r="HV377" s="279">
        <v>15.932352476</v>
      </c>
      <c r="HW377" s="279">
        <v>14.410444085</v>
      </c>
      <c r="HX377" s="279">
        <v>17.113375629</v>
      </c>
      <c r="HY377" s="279"/>
      <c r="HZ377" s="279"/>
      <c r="KT377" s="280"/>
      <c r="KU377" s="279"/>
    </row>
    <row r="378" spans="1:307" outlineLevel="1">
      <c r="D378" s="2100" t="s">
        <v>3772</v>
      </c>
      <c r="CE378" s="793"/>
      <c r="CP378" s="280"/>
      <c r="EA378" s="279"/>
      <c r="EB378" s="279"/>
      <c r="EC378" s="279"/>
      <c r="ED378" s="279"/>
      <c r="EE378" s="279"/>
      <c r="EF378" s="279"/>
      <c r="EG378" s="279"/>
      <c r="EH378" s="279"/>
      <c r="EI378" s="279"/>
      <c r="EJ378" s="279"/>
      <c r="EK378" s="279"/>
      <c r="EL378" s="280"/>
      <c r="EM378" s="279"/>
      <c r="EN378" s="279"/>
      <c r="EO378" s="279"/>
      <c r="EP378" s="279"/>
      <c r="EQ378" s="279"/>
      <c r="ER378" s="279"/>
      <c r="ES378" s="279"/>
      <c r="ET378" s="279"/>
      <c r="EU378" s="279"/>
      <c r="EV378" s="279"/>
      <c r="EW378" s="279"/>
      <c r="EX378" s="280"/>
      <c r="EY378" s="279"/>
      <c r="EZ378" s="279"/>
      <c r="FA378" s="279"/>
      <c r="FB378" s="279"/>
      <c r="FC378" s="279"/>
      <c r="FD378" s="279"/>
      <c r="FE378" s="279"/>
      <c r="FF378" s="279"/>
      <c r="FG378" s="279"/>
      <c r="FH378" s="279"/>
      <c r="FI378" s="279"/>
      <c r="FJ378" s="280"/>
      <c r="FK378" s="279"/>
      <c r="FL378" s="279"/>
      <c r="FM378" s="279"/>
      <c r="FN378" s="279"/>
      <c r="FO378" s="279"/>
      <c r="FP378" s="279"/>
      <c r="FQ378" s="279"/>
      <c r="FR378" s="279"/>
      <c r="FS378" s="279"/>
      <c r="FT378" s="279"/>
      <c r="FU378" s="279"/>
      <c r="FV378" s="279"/>
      <c r="FW378" s="279"/>
      <c r="FX378" s="279"/>
      <c r="FY378" s="279"/>
      <c r="FZ378" s="279"/>
      <c r="GA378" s="279"/>
      <c r="GB378" s="279"/>
      <c r="GC378" s="279"/>
      <c r="GD378" s="279"/>
      <c r="GE378" s="279"/>
      <c r="GF378" s="279"/>
      <c r="GG378" s="279"/>
      <c r="GH378" s="279"/>
      <c r="GI378" s="279"/>
      <c r="GJ378" s="279"/>
      <c r="GK378" s="279"/>
      <c r="GL378" s="279"/>
      <c r="GM378" s="279"/>
      <c r="GN378" s="279"/>
      <c r="GO378" s="279"/>
      <c r="GP378" s="279"/>
      <c r="GQ378" s="279"/>
      <c r="GR378" s="279"/>
      <c r="GS378" s="279"/>
      <c r="GT378" s="279"/>
      <c r="GU378" s="279"/>
      <c r="GV378" s="279"/>
      <c r="GW378" s="279"/>
      <c r="GX378" s="279"/>
      <c r="GY378" s="279"/>
      <c r="GZ378" s="279"/>
      <c r="HA378" s="279"/>
      <c r="HB378" s="279"/>
      <c r="HC378" s="279"/>
      <c r="HD378" s="279"/>
      <c r="HE378" s="279"/>
      <c r="HF378" s="279"/>
      <c r="HG378" s="279"/>
      <c r="HH378" s="279"/>
      <c r="HI378" s="279"/>
      <c r="HJ378" s="279"/>
      <c r="HK378" s="279"/>
      <c r="HL378" s="279"/>
      <c r="HM378" s="279"/>
      <c r="HN378" s="279"/>
      <c r="HO378" s="279"/>
      <c r="HP378" s="279"/>
      <c r="HQ378" s="279"/>
      <c r="HR378" s="279"/>
      <c r="HS378" s="279"/>
      <c r="HT378" s="279"/>
      <c r="HU378" s="279"/>
      <c r="HV378" s="279"/>
      <c r="HW378" s="279"/>
      <c r="HX378" s="279"/>
      <c r="HY378" s="279"/>
      <c r="HZ378" s="279"/>
      <c r="KT378" s="280"/>
      <c r="KU378" s="279"/>
    </row>
    <row r="379" spans="1:307" s="882" customFormat="1" outlineLevel="1">
      <c r="A379" s="1759"/>
      <c r="B379" s="1759"/>
      <c r="C379" s="1759"/>
      <c r="D379" s="2100" t="s">
        <v>3692</v>
      </c>
      <c r="CE379" s="2058"/>
      <c r="CP379" s="1268"/>
      <c r="DB379" s="2059"/>
      <c r="DN379" s="1268"/>
      <c r="DZ379" s="1268"/>
      <c r="EL379" s="1268"/>
      <c r="EX379" s="1268"/>
      <c r="FJ379" s="1268"/>
      <c r="GI379" s="882">
        <v>5.9779919821950154</v>
      </c>
      <c r="GJ379" s="882">
        <v>6.6788430700120012</v>
      </c>
      <c r="GK379" s="882">
        <v>7.3153945920791692</v>
      </c>
      <c r="GL379" s="882">
        <v>5.4323572624987468</v>
      </c>
      <c r="GM379" s="882">
        <v>5.8385849877271587</v>
      </c>
      <c r="GN379" s="882">
        <v>6.7370231029338363</v>
      </c>
      <c r="GO379" s="882">
        <v>6.3199946760000003</v>
      </c>
      <c r="GP379" s="882">
        <v>6.1036349349999997</v>
      </c>
      <c r="GQ379" s="882">
        <v>7.3372840100000003</v>
      </c>
      <c r="GR379" s="882">
        <v>5.9364348409999996</v>
      </c>
      <c r="GS379" s="882">
        <v>6.899977614</v>
      </c>
      <c r="GT379" s="882">
        <v>7.1297225979999999</v>
      </c>
      <c r="GU379" s="882">
        <v>6.5349354320000002</v>
      </c>
      <c r="GV379" s="882">
        <v>7.3768387430000004</v>
      </c>
      <c r="GW379" s="882">
        <v>6.7500026560000004</v>
      </c>
      <c r="GX379" s="882">
        <v>6.9109624199999997</v>
      </c>
      <c r="GY379" s="882">
        <v>6.9550547570000001</v>
      </c>
      <c r="GZ379" s="882">
        <v>6.4822809509999999</v>
      </c>
      <c r="HA379" s="882">
        <v>6.8665582140000003</v>
      </c>
      <c r="HB379" s="882">
        <v>6.2953027759999998</v>
      </c>
      <c r="HC379" s="882">
        <v>7.1955132559999999</v>
      </c>
      <c r="HD379" s="882">
        <v>6.6415107329999996</v>
      </c>
      <c r="HE379" s="882">
        <v>7.2066407960000003</v>
      </c>
      <c r="HF379" s="882">
        <v>7.782842338</v>
      </c>
      <c r="HG379" s="882">
        <v>7.5301155949999998</v>
      </c>
      <c r="HH379" s="882">
        <v>8.1051394630000004</v>
      </c>
      <c r="HI379" s="882">
        <v>7.494011414</v>
      </c>
      <c r="HJ379" s="882">
        <v>7.6185479469999997</v>
      </c>
      <c r="HK379" s="882">
        <v>7.2424456289999997</v>
      </c>
      <c r="HL379" s="882">
        <v>7.9957527969999997</v>
      </c>
      <c r="HM379" s="882">
        <v>7.8314167579999996</v>
      </c>
      <c r="HN379" s="882">
        <v>7.6252108859999996</v>
      </c>
      <c r="HO379" s="882">
        <v>7.9537116369999996</v>
      </c>
      <c r="HP379" s="882">
        <v>7.6626812190000004</v>
      </c>
      <c r="HQ379" s="882">
        <v>7.9312455770000003</v>
      </c>
      <c r="HR379" s="882">
        <v>8.0095309490000002</v>
      </c>
      <c r="HS379" s="882">
        <v>18.758657235000001</v>
      </c>
      <c r="HT379" s="882">
        <v>19.049017958</v>
      </c>
      <c r="HU379" s="882">
        <v>19.688566478999999</v>
      </c>
      <c r="HV379" s="882">
        <v>19.566008928999999</v>
      </c>
      <c r="HW379" s="882">
        <v>18.061979344000001</v>
      </c>
      <c r="HX379" s="882">
        <v>20.353049282000001</v>
      </c>
      <c r="KT379" s="1268"/>
    </row>
    <row r="380" spans="1:307" s="882" customFormat="1" outlineLevel="1">
      <c r="A380" s="1759"/>
      <c r="B380" s="1759"/>
      <c r="C380" s="1759"/>
      <c r="D380" s="2128" t="s">
        <v>3073</v>
      </c>
      <c r="CE380" s="2058"/>
      <c r="CP380" s="1268"/>
      <c r="DB380" s="2059"/>
      <c r="DN380" s="1268"/>
      <c r="DZ380" s="1268"/>
      <c r="EL380" s="1268"/>
      <c r="EX380" s="1268"/>
      <c r="FJ380" s="1268"/>
      <c r="FW380" s="882">
        <v>0.828245024</v>
      </c>
      <c r="FX380" s="882">
        <v>1.091022758</v>
      </c>
      <c r="FY380" s="882">
        <v>1.1813036130000001</v>
      </c>
      <c r="FZ380" s="882">
        <v>1.1446105390000001</v>
      </c>
      <c r="GA380" s="882">
        <v>1.1751307639999999</v>
      </c>
      <c r="GB380" s="882">
        <v>1.2494390500000001</v>
      </c>
      <c r="GC380" s="882">
        <v>1.1935265230000001</v>
      </c>
      <c r="GD380" s="882">
        <v>0.958497143</v>
      </c>
      <c r="GE380" s="882">
        <v>1.11445927</v>
      </c>
      <c r="GF380" s="882">
        <v>1.1999669719999999</v>
      </c>
      <c r="GG380" s="882">
        <v>1.1889153610000001</v>
      </c>
      <c r="GH380" s="882">
        <v>1.385564504</v>
      </c>
      <c r="GI380" s="882">
        <v>1.21073736</v>
      </c>
      <c r="GJ380" s="882">
        <v>1.3205667619999999</v>
      </c>
      <c r="GK380" s="882">
        <v>1.411681636</v>
      </c>
      <c r="GL380" s="882">
        <v>1.1410272400000001</v>
      </c>
      <c r="GM380" s="882">
        <v>1.155290588</v>
      </c>
      <c r="GN380" s="882">
        <v>1.29052203</v>
      </c>
      <c r="GO380" s="882">
        <v>1.2083091020000001</v>
      </c>
      <c r="GP380" s="882">
        <v>1.15882376</v>
      </c>
      <c r="GQ380" s="882">
        <v>1.417136704</v>
      </c>
      <c r="GR380" s="882">
        <v>1.130445774</v>
      </c>
      <c r="GS380" s="882">
        <v>1.3095804870000001</v>
      </c>
      <c r="GT380" s="882">
        <v>1.3766600499999999</v>
      </c>
      <c r="GU380" s="882">
        <v>1.2532150660000001</v>
      </c>
      <c r="GV380" s="882">
        <v>1.4214319870000001</v>
      </c>
      <c r="GW380" s="882">
        <v>1.2920655080000001</v>
      </c>
      <c r="GX380" s="882">
        <v>1.343284208</v>
      </c>
      <c r="GY380" s="882">
        <v>1.313763872</v>
      </c>
      <c r="GZ380" s="882">
        <v>1.25963402</v>
      </c>
      <c r="HA380" s="882">
        <v>1.304045565</v>
      </c>
      <c r="HB380" s="882">
        <v>1.211248026</v>
      </c>
      <c r="HC380" s="882">
        <v>1.3897288139999999</v>
      </c>
      <c r="HD380" s="882">
        <v>1.226373521</v>
      </c>
      <c r="HE380" s="882">
        <v>1.3664009580000001</v>
      </c>
      <c r="HF380" s="882">
        <v>1.3763920160000001</v>
      </c>
      <c r="HG380" s="882">
        <v>1.4508406220000001</v>
      </c>
      <c r="HH380" s="882">
        <v>1.5411530920000001</v>
      </c>
      <c r="HI380" s="882">
        <v>1.4252575679999999</v>
      </c>
      <c r="HJ380" s="882">
        <v>1.4603782380000001</v>
      </c>
      <c r="HK380" s="882">
        <v>1.3586528920000001</v>
      </c>
      <c r="HL380" s="882">
        <v>1.5133927810000001</v>
      </c>
      <c r="HM380" s="882">
        <v>1.487774004</v>
      </c>
      <c r="HN380" s="882">
        <v>1.4247102270000001</v>
      </c>
      <c r="HO380" s="882">
        <v>1.479416692</v>
      </c>
      <c r="HP380" s="882">
        <v>1.4584101650000001</v>
      </c>
      <c r="HQ380" s="882">
        <v>1.483908215</v>
      </c>
      <c r="HR380" s="882">
        <v>2.3340540490000001</v>
      </c>
      <c r="HS380" s="882">
        <v>2.502546851</v>
      </c>
      <c r="HT380" s="882">
        <v>2.4564866809999999</v>
      </c>
      <c r="HU380" s="882">
        <v>2.5490056499999998</v>
      </c>
      <c r="HV380" s="882">
        <v>2.5066022999999999</v>
      </c>
      <c r="HW380" s="882">
        <v>2.2360938450000001</v>
      </c>
      <c r="HX380" s="882">
        <v>2.6153892999999999</v>
      </c>
      <c r="KT380" s="1268"/>
    </row>
    <row r="381" spans="1:307" s="882" customFormat="1" outlineLevel="1">
      <c r="A381" s="1759"/>
      <c r="B381" s="1759"/>
      <c r="C381" s="1759"/>
      <c r="D381" s="2128" t="s">
        <v>3061</v>
      </c>
      <c r="CE381" s="2058"/>
      <c r="CP381" s="1268"/>
      <c r="DB381" s="2059"/>
      <c r="DN381" s="1268"/>
      <c r="DZ381" s="1268"/>
      <c r="EL381" s="1268"/>
      <c r="EX381" s="1268"/>
      <c r="FJ381" s="1268"/>
      <c r="FW381" s="882">
        <v>1.7884611360786498</v>
      </c>
      <c r="FX381" s="882">
        <v>1.7175631045019708</v>
      </c>
      <c r="FY381" s="882">
        <v>1.5141902276236654</v>
      </c>
      <c r="FZ381" s="882">
        <v>1.4675749104254083</v>
      </c>
      <c r="GA381" s="882">
        <v>1.5696364994967102</v>
      </c>
      <c r="GB381" s="882">
        <v>1.7274268752068689</v>
      </c>
      <c r="GC381" s="882">
        <v>1.3616914986199975</v>
      </c>
      <c r="GD381" s="882">
        <v>1.2976991952699999</v>
      </c>
      <c r="GE381" s="882">
        <v>2.2069305183751373</v>
      </c>
      <c r="GF381" s="882">
        <v>0</v>
      </c>
      <c r="GG381" s="882">
        <v>0</v>
      </c>
      <c r="GH381" s="882">
        <v>0</v>
      </c>
      <c r="GI381" s="882">
        <v>8.5584979223574438E-6</v>
      </c>
      <c r="GJ381" s="882">
        <v>3.3478320120086207</v>
      </c>
      <c r="GK381" s="882">
        <v>4.959474629115463</v>
      </c>
      <c r="GL381" s="882">
        <v>3.9962475849999999</v>
      </c>
      <c r="GM381" s="882">
        <v>4.0668713849999998</v>
      </c>
      <c r="GN381" s="882">
        <v>4.5343731800000002</v>
      </c>
      <c r="GO381" s="882">
        <v>4.2359832549999998</v>
      </c>
      <c r="GP381" s="882">
        <v>4.081165425</v>
      </c>
      <c r="GQ381" s="882">
        <v>4.9792459649999996</v>
      </c>
      <c r="GR381" s="882">
        <v>4.0629598549999999</v>
      </c>
      <c r="GS381" s="882">
        <v>4.6105536000000003</v>
      </c>
      <c r="GT381" s="882">
        <v>4.8366650550000001</v>
      </c>
      <c r="GU381" s="882">
        <v>4.3909459850000001</v>
      </c>
      <c r="GV381" s="882">
        <v>4.9943378750000003</v>
      </c>
      <c r="GW381" s="882">
        <v>4.5397962349999998</v>
      </c>
      <c r="GX381" s="882">
        <v>4.7502431300000003</v>
      </c>
      <c r="GY381" s="882">
        <v>4.6160356</v>
      </c>
      <c r="GZ381" s="882">
        <v>4.422406305</v>
      </c>
      <c r="HA381" s="882">
        <v>4.5813317050000002</v>
      </c>
      <c r="HB381" s="882">
        <v>4.2655642450000002</v>
      </c>
      <c r="HC381" s="882">
        <v>4.8779792649999996</v>
      </c>
      <c r="HD381" s="882">
        <v>4.3137745450000002</v>
      </c>
      <c r="HE381" s="882">
        <v>4.7965803100000004</v>
      </c>
      <c r="HF381" s="882">
        <v>4.8358005999999998</v>
      </c>
      <c r="HG381" s="882">
        <v>5.0878819799999997</v>
      </c>
      <c r="HH381" s="882">
        <v>5.4246677600000002</v>
      </c>
      <c r="HI381" s="882">
        <v>5.0032457749999999</v>
      </c>
      <c r="HJ381" s="882">
        <v>5.1396817749999997</v>
      </c>
      <c r="HK381" s="882">
        <v>4.7697885299999996</v>
      </c>
      <c r="HL381" s="882">
        <v>5.2113831839999998</v>
      </c>
      <c r="HM381" s="882">
        <v>5.2260425609999999</v>
      </c>
      <c r="HN381" s="882">
        <v>5.0108948849999999</v>
      </c>
      <c r="HO381" s="882">
        <v>5.1964591149999997</v>
      </c>
      <c r="HP381" s="882">
        <v>5.1190543399999999</v>
      </c>
      <c r="HQ381" s="882">
        <v>5.2095490409999998</v>
      </c>
      <c r="HR381" s="882">
        <v>7.3701624949999998</v>
      </c>
      <c r="HS381" s="882">
        <v>7.7715946870000003</v>
      </c>
      <c r="HT381" s="882">
        <v>7.9488815150000001</v>
      </c>
      <c r="HU381" s="882">
        <v>8.3837178580000007</v>
      </c>
      <c r="HV381" s="882">
        <v>8.3127833530000004</v>
      </c>
      <c r="HW381" s="882">
        <v>7.5047545050000002</v>
      </c>
      <c r="HX381" s="882">
        <v>8.8114256260000001</v>
      </c>
      <c r="KT381" s="1268"/>
    </row>
    <row r="382" spans="1:307" outlineLevel="1">
      <c r="D382" s="2099" t="s">
        <v>3734</v>
      </c>
      <c r="CE382" s="793"/>
      <c r="CP382" s="280"/>
      <c r="EA382" s="279"/>
      <c r="EB382" s="279"/>
      <c r="EC382" s="279"/>
      <c r="ED382" s="279"/>
      <c r="EE382" s="279"/>
      <c r="EF382" s="279"/>
      <c r="EG382" s="279"/>
      <c r="EH382" s="279"/>
      <c r="EI382" s="279"/>
      <c r="EJ382" s="279"/>
      <c r="EK382" s="279"/>
      <c r="EL382" s="280"/>
      <c r="EM382" s="279"/>
      <c r="EN382" s="279"/>
      <c r="EO382" s="279"/>
      <c r="EP382" s="279"/>
      <c r="EQ382" s="279"/>
      <c r="ER382" s="279"/>
      <c r="ES382" s="279"/>
      <c r="ET382" s="279"/>
      <c r="EU382" s="279"/>
      <c r="EV382" s="279"/>
      <c r="EW382" s="279"/>
      <c r="EX382" s="280"/>
      <c r="EY382" s="279"/>
      <c r="EZ382" s="279"/>
      <c r="FA382" s="279"/>
      <c r="FB382" s="279"/>
      <c r="FC382" s="279"/>
      <c r="FD382" s="279"/>
      <c r="FE382" s="279"/>
      <c r="FF382" s="279"/>
      <c r="FG382" s="279"/>
      <c r="FH382" s="279"/>
      <c r="FI382" s="279"/>
      <c r="FJ382" s="280"/>
      <c r="FK382" s="279"/>
      <c r="FL382" s="279"/>
      <c r="FM382" s="279"/>
      <c r="FN382" s="279"/>
      <c r="FO382" s="279"/>
      <c r="FP382" s="279"/>
      <c r="FQ382" s="279"/>
      <c r="FR382" s="279"/>
      <c r="FS382" s="279"/>
      <c r="FT382" s="279"/>
      <c r="FU382" s="279"/>
      <c r="FV382" s="279"/>
      <c r="FW382" s="279"/>
      <c r="FX382" s="279"/>
      <c r="FY382" s="279"/>
      <c r="FZ382" s="279"/>
      <c r="GA382" s="279"/>
      <c r="GB382" s="279"/>
      <c r="GC382" s="279"/>
      <c r="GD382" s="279"/>
      <c r="GE382" s="279"/>
      <c r="GF382" s="279"/>
      <c r="GG382" s="279"/>
      <c r="GH382" s="279"/>
      <c r="GI382" s="279">
        <f>GI376-GI377</f>
        <v>11.340845972457142</v>
      </c>
      <c r="GJ382" s="279">
        <f t="shared" ref="GJ382:HF382" si="254">GJ376-GJ377</f>
        <v>11.878771072822378</v>
      </c>
      <c r="GK382" s="279">
        <f t="shared" si="254"/>
        <v>11.670186486518364</v>
      </c>
      <c r="GL382" s="279">
        <f t="shared" si="254"/>
        <v>10.222329989953773</v>
      </c>
      <c r="GM382" s="279">
        <f t="shared" si="254"/>
        <v>10.003309526118988</v>
      </c>
      <c r="GN382" s="279">
        <f t="shared" si="254"/>
        <v>9.7239031770966484</v>
      </c>
      <c r="GO382" s="279">
        <f t="shared" si="254"/>
        <v>13.700826091000001</v>
      </c>
      <c r="GP382" s="279">
        <f t="shared" si="254"/>
        <v>10.867600254000003</v>
      </c>
      <c r="GQ382" s="279">
        <f t="shared" si="254"/>
        <v>10.921494716000002</v>
      </c>
      <c r="GR382" s="279">
        <f t="shared" si="254"/>
        <v>11.116865442000002</v>
      </c>
      <c r="GS382" s="279">
        <f t="shared" si="254"/>
        <v>9.1951992149999988</v>
      </c>
      <c r="GT382" s="279">
        <f t="shared" si="254"/>
        <v>12.283381434999999</v>
      </c>
      <c r="GU382" s="279">
        <f t="shared" si="254"/>
        <v>10.567685037950003</v>
      </c>
      <c r="GV382" s="279">
        <f t="shared" si="254"/>
        <v>14.507969322749997</v>
      </c>
      <c r="GW382" s="279">
        <f t="shared" si="254"/>
        <v>14.208795866250004</v>
      </c>
      <c r="GX382" s="279">
        <f t="shared" si="254"/>
        <v>12.074219951200003</v>
      </c>
      <c r="GY382" s="279">
        <f t="shared" si="254"/>
        <v>12.213788178249999</v>
      </c>
      <c r="GZ382" s="279">
        <f t="shared" si="254"/>
        <v>11.085828634249999</v>
      </c>
      <c r="HA382" s="279">
        <f t="shared" si="254"/>
        <v>10.861056888</v>
      </c>
      <c r="HB382" s="279">
        <f t="shared" si="254"/>
        <v>12.326537560119998</v>
      </c>
      <c r="HC382" s="279">
        <f t="shared" si="254"/>
        <v>10.707526524230001</v>
      </c>
      <c r="HD382" s="279">
        <f t="shared" si="254"/>
        <v>9.9021938043999995</v>
      </c>
      <c r="HE382" s="279">
        <f t="shared" si="254"/>
        <v>9.2811910485499993</v>
      </c>
      <c r="HF382" s="279">
        <f t="shared" si="254"/>
        <v>11.75578970805935</v>
      </c>
      <c r="HG382" s="279">
        <v>10.536248736999999</v>
      </c>
      <c r="HH382" s="279">
        <v>17.13174244</v>
      </c>
      <c r="HI382" s="279">
        <v>17.403246550999999</v>
      </c>
      <c r="HJ382" s="279">
        <v>15.586295436</v>
      </c>
      <c r="HK382" s="279">
        <v>15.409531309</v>
      </c>
      <c r="HL382" s="279">
        <v>15.121135228</v>
      </c>
      <c r="HM382" s="279">
        <v>17.724151422999999</v>
      </c>
      <c r="HN382" s="279">
        <v>16.784662189999999</v>
      </c>
      <c r="HO382" s="279">
        <v>15.997013987000001</v>
      </c>
      <c r="HP382" s="279">
        <v>17.898038970999998</v>
      </c>
      <c r="HQ382" s="279">
        <v>17.420294225999999</v>
      </c>
      <c r="HR382" s="279">
        <v>20.274094912999818</v>
      </c>
      <c r="HS382" s="279">
        <v>17.085562310999997</v>
      </c>
      <c r="HT382" s="279">
        <v>32.477193789000005</v>
      </c>
      <c r="HU382" s="279">
        <v>31.938466147</v>
      </c>
      <c r="HV382" s="279">
        <v>31.208666401999999</v>
      </c>
      <c r="HW382" s="279">
        <v>28.668810459999996</v>
      </c>
      <c r="HX382" s="279">
        <v>29.823246944999998</v>
      </c>
      <c r="HY382" s="279"/>
      <c r="HZ382" s="279"/>
      <c r="KT382" s="280"/>
      <c r="KU382" s="279"/>
    </row>
    <row r="383" spans="1:307" outlineLevel="1">
      <c r="A383" s="96" t="s">
        <v>395</v>
      </c>
      <c r="B383" s="96" t="s">
        <v>338</v>
      </c>
      <c r="D383" s="321" t="s">
        <v>481</v>
      </c>
      <c r="E383" s="293"/>
      <c r="F383" s="293"/>
      <c r="G383" s="293"/>
      <c r="H383" s="293"/>
      <c r="I383" s="293"/>
      <c r="J383" s="293"/>
      <c r="K383" s="293"/>
      <c r="L383" s="293"/>
      <c r="M383" s="293"/>
      <c r="N383" s="293"/>
      <c r="O383" s="293"/>
      <c r="P383" s="293"/>
      <c r="Q383" s="293"/>
      <c r="R383" s="293"/>
      <c r="S383" s="293"/>
      <c r="T383" s="293"/>
      <c r="U383" s="293"/>
      <c r="V383" s="293"/>
      <c r="W383" s="293"/>
      <c r="X383" s="293"/>
      <c r="Y383" s="29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c r="BN383" s="293"/>
      <c r="BO383" s="293"/>
      <c r="BP383" s="293"/>
      <c r="BQ383" s="293"/>
      <c r="BR383" s="293"/>
      <c r="BS383" s="293"/>
      <c r="BT383" s="293"/>
      <c r="BU383" s="293"/>
      <c r="BV383" s="293"/>
      <c r="BW383" s="293"/>
      <c r="BX383" s="293"/>
      <c r="BY383" s="293"/>
      <c r="BZ383" s="293"/>
      <c r="CA383" s="293"/>
      <c r="CB383" s="293"/>
      <c r="CC383" s="293"/>
      <c r="CD383" s="293"/>
      <c r="CE383" s="294">
        <v>0</v>
      </c>
      <c r="CF383" s="293">
        <v>0</v>
      </c>
      <c r="CG383" s="293">
        <v>0</v>
      </c>
      <c r="CH383" s="293">
        <v>0</v>
      </c>
      <c r="CI383" s="293">
        <v>0</v>
      </c>
      <c r="CJ383" s="293">
        <v>0</v>
      </c>
      <c r="CK383" s="293">
        <v>0</v>
      </c>
      <c r="CL383" s="293">
        <v>0</v>
      </c>
      <c r="CM383" s="293">
        <v>0</v>
      </c>
      <c r="CN383" s="293">
        <v>0</v>
      </c>
      <c r="CO383" s="293">
        <v>0</v>
      </c>
      <c r="CP383" s="295">
        <v>0</v>
      </c>
      <c r="CQ383" s="293">
        <v>0</v>
      </c>
      <c r="CR383" s="293">
        <v>0</v>
      </c>
      <c r="CS383" s="293">
        <v>0</v>
      </c>
      <c r="CT383" s="293">
        <v>0</v>
      </c>
      <c r="CU383" s="293">
        <v>0</v>
      </c>
      <c r="CV383" s="293">
        <v>0</v>
      </c>
      <c r="CW383" s="293">
        <v>0</v>
      </c>
      <c r="CX383" s="293">
        <v>0</v>
      </c>
      <c r="CY383" s="293">
        <v>0</v>
      </c>
      <c r="CZ383" s="293">
        <v>0</v>
      </c>
      <c r="DA383" s="293">
        <v>0</v>
      </c>
      <c r="DB383" s="1288">
        <v>0</v>
      </c>
      <c r="DC383" s="293">
        <v>0</v>
      </c>
      <c r="DD383" s="293">
        <v>0</v>
      </c>
      <c r="DE383" s="293">
        <v>0</v>
      </c>
      <c r="DF383" s="293">
        <v>0</v>
      </c>
      <c r="DG383" s="293">
        <v>0</v>
      </c>
      <c r="DH383" s="293">
        <v>0</v>
      </c>
      <c r="DI383" s="293">
        <v>0</v>
      </c>
      <c r="DJ383" s="293">
        <v>0</v>
      </c>
      <c r="DK383" s="293">
        <v>0</v>
      </c>
      <c r="DL383" s="293">
        <v>0</v>
      </c>
      <c r="DM383" s="293">
        <v>0</v>
      </c>
      <c r="DN383" s="295">
        <v>0</v>
      </c>
      <c r="DO383" s="293">
        <v>0</v>
      </c>
      <c r="DP383" s="293">
        <v>0</v>
      </c>
      <c r="DQ383" s="293">
        <v>0</v>
      </c>
      <c r="DR383" s="293">
        <v>0</v>
      </c>
      <c r="DS383" s="293">
        <v>0</v>
      </c>
      <c r="DT383" s="293">
        <v>0</v>
      </c>
      <c r="DU383" s="293">
        <v>0</v>
      </c>
      <c r="DV383" s="293">
        <v>0</v>
      </c>
      <c r="DW383" s="293">
        <v>0</v>
      </c>
      <c r="DX383" s="293">
        <v>0</v>
      </c>
      <c r="DY383" s="293">
        <v>0</v>
      </c>
      <c r="DZ383" s="295">
        <v>0</v>
      </c>
      <c r="EA383" s="293">
        <v>0</v>
      </c>
      <c r="EB383" s="293">
        <v>0</v>
      </c>
      <c r="EC383" s="293">
        <v>0</v>
      </c>
      <c r="ED383" s="293">
        <v>0</v>
      </c>
      <c r="EE383" s="293">
        <v>0</v>
      </c>
      <c r="EF383" s="293">
        <v>0</v>
      </c>
      <c r="EG383" s="293">
        <v>0</v>
      </c>
      <c r="EH383" s="293">
        <v>0</v>
      </c>
      <c r="EI383" s="293">
        <v>0</v>
      </c>
      <c r="EJ383" s="293">
        <v>0</v>
      </c>
      <c r="EK383" s="293">
        <v>0</v>
      </c>
      <c r="EL383" s="295">
        <v>0</v>
      </c>
      <c r="EM383" s="293">
        <v>0</v>
      </c>
      <c r="EN383" s="293">
        <v>0</v>
      </c>
      <c r="EO383" s="293">
        <v>0</v>
      </c>
      <c r="EP383" s="293">
        <v>0</v>
      </c>
      <c r="EQ383" s="293">
        <v>0</v>
      </c>
      <c r="ER383" s="293">
        <v>0</v>
      </c>
      <c r="ES383" s="293">
        <v>0</v>
      </c>
      <c r="ET383" s="293">
        <v>0</v>
      </c>
      <c r="EU383" s="293">
        <v>0</v>
      </c>
      <c r="EV383" s="293">
        <v>0</v>
      </c>
      <c r="EW383" s="293">
        <v>0</v>
      </c>
      <c r="EX383" s="295">
        <v>0</v>
      </c>
      <c r="EY383" s="293">
        <v>0</v>
      </c>
      <c r="EZ383" s="293">
        <v>0</v>
      </c>
      <c r="FA383" s="293">
        <v>0</v>
      </c>
      <c r="FB383" s="293">
        <v>0</v>
      </c>
      <c r="FC383" s="293">
        <v>0</v>
      </c>
      <c r="FD383" s="293">
        <v>0</v>
      </c>
      <c r="FE383" s="293">
        <v>0</v>
      </c>
      <c r="FF383" s="293">
        <v>0</v>
      </c>
      <c r="FG383" s="293">
        <v>0</v>
      </c>
      <c r="FH383" s="293">
        <v>0</v>
      </c>
      <c r="FI383" s="293">
        <v>0</v>
      </c>
      <c r="FJ383" s="295">
        <v>0</v>
      </c>
      <c r="FK383" s="293">
        <v>0</v>
      </c>
      <c r="FL383" s="293">
        <v>0</v>
      </c>
      <c r="FM383" s="293">
        <v>0</v>
      </c>
      <c r="FN383" s="293">
        <v>0</v>
      </c>
      <c r="FO383" s="293">
        <v>0</v>
      </c>
      <c r="FP383" s="293">
        <v>0</v>
      </c>
      <c r="FQ383" s="293">
        <v>0</v>
      </c>
      <c r="FR383" s="293">
        <v>0</v>
      </c>
      <c r="FS383" s="293">
        <v>0</v>
      </c>
      <c r="FT383" s="293">
        <v>0</v>
      </c>
      <c r="FU383" s="293">
        <v>0</v>
      </c>
      <c r="FV383" s="293">
        <v>0</v>
      </c>
      <c r="FW383" s="293">
        <v>0</v>
      </c>
      <c r="FX383" s="293">
        <v>0</v>
      </c>
      <c r="FY383" s="293">
        <v>0</v>
      </c>
      <c r="FZ383" s="293">
        <v>0</v>
      </c>
      <c r="GA383" s="293">
        <v>0</v>
      </c>
      <c r="GB383" s="293">
        <v>0</v>
      </c>
      <c r="GC383" s="293">
        <v>0</v>
      </c>
      <c r="GD383" s="293">
        <v>0</v>
      </c>
      <c r="GE383" s="293">
        <v>0</v>
      </c>
      <c r="GF383" s="293">
        <v>0</v>
      </c>
      <c r="GG383" s="293">
        <v>0</v>
      </c>
      <c r="GH383" s="293">
        <v>0</v>
      </c>
      <c r="GI383" s="293">
        <v>0</v>
      </c>
      <c r="GJ383" s="293">
        <v>0</v>
      </c>
      <c r="GK383" s="293">
        <v>0</v>
      </c>
      <c r="GL383" s="293">
        <v>0</v>
      </c>
      <c r="GM383" s="293">
        <v>0</v>
      </c>
      <c r="GN383" s="293">
        <v>0</v>
      </c>
      <c r="GO383" s="293">
        <v>0</v>
      </c>
      <c r="GP383" s="293">
        <v>0</v>
      </c>
      <c r="GQ383" s="293">
        <v>0</v>
      </c>
      <c r="GR383" s="293">
        <v>0</v>
      </c>
      <c r="GS383" s="293">
        <v>0</v>
      </c>
      <c r="GT383" s="293">
        <v>0</v>
      </c>
      <c r="GU383" s="293">
        <v>0</v>
      </c>
      <c r="GV383" s="293">
        <v>0</v>
      </c>
      <c r="GW383" s="293">
        <v>0</v>
      </c>
      <c r="GX383" s="293">
        <v>0</v>
      </c>
      <c r="GY383" s="293">
        <v>0</v>
      </c>
      <c r="GZ383" s="293">
        <v>0</v>
      </c>
      <c r="HA383" s="293">
        <v>0</v>
      </c>
      <c r="HB383" s="293">
        <v>0</v>
      </c>
      <c r="HC383" s="293">
        <v>0</v>
      </c>
      <c r="HD383" s="293">
        <v>0</v>
      </c>
      <c r="HE383" s="293">
        <v>0</v>
      </c>
      <c r="HF383" s="293">
        <v>0</v>
      </c>
      <c r="HG383" s="293">
        <v>0</v>
      </c>
      <c r="HH383" s="293">
        <v>0</v>
      </c>
      <c r="HI383" s="293">
        <v>0</v>
      </c>
      <c r="HJ383" s="293">
        <v>0</v>
      </c>
      <c r="HK383" s="293">
        <v>0</v>
      </c>
      <c r="HL383" s="293">
        <v>0</v>
      </c>
      <c r="HM383" s="293">
        <v>0</v>
      </c>
      <c r="HN383" s="293">
        <v>0</v>
      </c>
      <c r="HO383" s="293">
        <v>0</v>
      </c>
      <c r="HP383" s="293">
        <v>0</v>
      </c>
      <c r="HQ383" s="293">
        <v>0</v>
      </c>
      <c r="HR383" s="293">
        <v>0</v>
      </c>
      <c r="HS383" s="293">
        <v>0</v>
      </c>
      <c r="HT383" s="293">
        <v>0</v>
      </c>
      <c r="HU383" s="293">
        <v>0</v>
      </c>
      <c r="HV383" s="293">
        <v>0</v>
      </c>
      <c r="HW383" s="293">
        <v>0</v>
      </c>
      <c r="HX383" s="293">
        <v>0</v>
      </c>
      <c r="HY383" s="293"/>
      <c r="KT383" s="280"/>
    </row>
    <row r="384" spans="1:307" outlineLevel="1">
      <c r="A384" s="96" t="s">
        <v>395</v>
      </c>
      <c r="B384" s="96" t="s">
        <v>338</v>
      </c>
      <c r="D384" s="321" t="s">
        <v>482</v>
      </c>
      <c r="E384" s="293"/>
      <c r="F384" s="293"/>
      <c r="G384" s="293"/>
      <c r="H384" s="293"/>
      <c r="I384" s="293"/>
      <c r="J384" s="293"/>
      <c r="K384" s="293"/>
      <c r="L384" s="293"/>
      <c r="M384" s="293"/>
      <c r="N384" s="293"/>
      <c r="O384" s="293"/>
      <c r="P384" s="293"/>
      <c r="Q384" s="293"/>
      <c r="R384" s="293"/>
      <c r="S384" s="293"/>
      <c r="T384" s="293"/>
      <c r="U384" s="293"/>
      <c r="V384" s="293"/>
      <c r="W384" s="293"/>
      <c r="X384" s="293"/>
      <c r="Y384" s="29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c r="BN384" s="293"/>
      <c r="BO384" s="293"/>
      <c r="BP384" s="293"/>
      <c r="BQ384" s="293"/>
      <c r="BR384" s="293"/>
      <c r="BS384" s="293"/>
      <c r="BT384" s="293"/>
      <c r="BU384" s="293"/>
      <c r="BV384" s="293"/>
      <c r="BW384" s="293"/>
      <c r="BX384" s="293"/>
      <c r="BY384" s="293"/>
      <c r="BZ384" s="293"/>
      <c r="CA384" s="293"/>
      <c r="CB384" s="293"/>
      <c r="CC384" s="293"/>
      <c r="CD384" s="293"/>
      <c r="CE384" s="294">
        <v>0</v>
      </c>
      <c r="CF384" s="293">
        <v>0</v>
      </c>
      <c r="CG384" s="293">
        <v>0</v>
      </c>
      <c r="CH384" s="293">
        <v>0</v>
      </c>
      <c r="CI384" s="293">
        <v>0</v>
      </c>
      <c r="CJ384" s="293">
        <v>0</v>
      </c>
      <c r="CK384" s="293">
        <v>0</v>
      </c>
      <c r="CL384" s="293">
        <v>0</v>
      </c>
      <c r="CM384" s="293">
        <v>0</v>
      </c>
      <c r="CN384" s="293">
        <v>0</v>
      </c>
      <c r="CO384" s="293">
        <v>0</v>
      </c>
      <c r="CP384" s="295">
        <v>0</v>
      </c>
      <c r="CQ384" s="293">
        <v>0</v>
      </c>
      <c r="CR384" s="293">
        <v>0</v>
      </c>
      <c r="CS384" s="293">
        <v>0</v>
      </c>
      <c r="CT384" s="293">
        <v>0</v>
      </c>
      <c r="CU384" s="293">
        <v>0</v>
      </c>
      <c r="CV384" s="293">
        <v>0</v>
      </c>
      <c r="CW384" s="293">
        <v>0</v>
      </c>
      <c r="CX384" s="293">
        <v>0</v>
      </c>
      <c r="CY384" s="293">
        <v>0</v>
      </c>
      <c r="CZ384" s="293">
        <v>0</v>
      </c>
      <c r="DA384" s="293">
        <v>0</v>
      </c>
      <c r="DB384" s="1288">
        <v>0</v>
      </c>
      <c r="DC384" s="293">
        <v>0</v>
      </c>
      <c r="DD384" s="293">
        <v>0</v>
      </c>
      <c r="DE384" s="293">
        <v>0</v>
      </c>
      <c r="DF384" s="293">
        <v>0</v>
      </c>
      <c r="DG384" s="293">
        <v>0</v>
      </c>
      <c r="DH384" s="293">
        <v>0</v>
      </c>
      <c r="DI384" s="293">
        <v>0</v>
      </c>
      <c r="DJ384" s="293">
        <v>0</v>
      </c>
      <c r="DK384" s="293">
        <v>0</v>
      </c>
      <c r="DL384" s="293">
        <v>0</v>
      </c>
      <c r="DM384" s="293">
        <v>0</v>
      </c>
      <c r="DN384" s="295">
        <v>0</v>
      </c>
      <c r="DO384" s="293">
        <v>0</v>
      </c>
      <c r="DP384" s="293">
        <v>0</v>
      </c>
      <c r="DQ384" s="293">
        <v>0</v>
      </c>
      <c r="DR384" s="293">
        <v>0</v>
      </c>
      <c r="DS384" s="293">
        <v>0</v>
      </c>
      <c r="DT384" s="293">
        <v>0</v>
      </c>
      <c r="DU384" s="293">
        <v>0</v>
      </c>
      <c r="DV384" s="293">
        <v>0</v>
      </c>
      <c r="DW384" s="293">
        <v>0</v>
      </c>
      <c r="DX384" s="293">
        <v>0</v>
      </c>
      <c r="DY384" s="293">
        <v>0</v>
      </c>
      <c r="DZ384" s="295">
        <v>0</v>
      </c>
      <c r="EA384" s="293">
        <v>0</v>
      </c>
      <c r="EB384" s="293">
        <v>0</v>
      </c>
      <c r="EC384" s="293">
        <v>0</v>
      </c>
      <c r="ED384" s="293">
        <v>0</v>
      </c>
      <c r="EE384" s="293">
        <v>0</v>
      </c>
      <c r="EF384" s="293">
        <v>0</v>
      </c>
      <c r="EG384" s="293">
        <v>0</v>
      </c>
      <c r="EH384" s="293">
        <v>0</v>
      </c>
      <c r="EI384" s="293">
        <v>0</v>
      </c>
      <c r="EJ384" s="293">
        <v>0</v>
      </c>
      <c r="EK384" s="293">
        <v>0</v>
      </c>
      <c r="EL384" s="295">
        <v>0</v>
      </c>
      <c r="EM384" s="293">
        <v>0</v>
      </c>
      <c r="EN384" s="293">
        <v>0</v>
      </c>
      <c r="EO384" s="293">
        <v>0</v>
      </c>
      <c r="EP384" s="293">
        <v>0</v>
      </c>
      <c r="EQ384" s="293">
        <v>0</v>
      </c>
      <c r="ER384" s="293">
        <v>0</v>
      </c>
      <c r="ES384" s="293">
        <v>0</v>
      </c>
      <c r="ET384" s="293">
        <v>0</v>
      </c>
      <c r="EU384" s="293">
        <v>0</v>
      </c>
      <c r="EV384" s="293">
        <v>0</v>
      </c>
      <c r="EW384" s="293">
        <v>0</v>
      </c>
      <c r="EX384" s="295">
        <v>0</v>
      </c>
      <c r="EY384" s="293">
        <v>0.10653807999999999</v>
      </c>
      <c r="EZ384" s="293">
        <v>0.119452564</v>
      </c>
      <c r="FA384" s="293">
        <v>0.13369715900000001</v>
      </c>
      <c r="FB384" s="293">
        <v>0.117494873</v>
      </c>
      <c r="FC384" s="293">
        <v>0.11112109100000001</v>
      </c>
      <c r="FD384" s="293">
        <v>0.107722707</v>
      </c>
      <c r="FE384" s="293">
        <v>0.11991792900000001</v>
      </c>
      <c r="FF384" s="293">
        <v>0.134249074</v>
      </c>
      <c r="FG384" s="293">
        <v>0.12293912899999999</v>
      </c>
      <c r="FH384" s="293">
        <v>4.6729676999999997E-2</v>
      </c>
      <c r="FI384" s="293">
        <v>3.814647E-3</v>
      </c>
      <c r="FJ384" s="295">
        <v>1.0799428E-2</v>
      </c>
      <c r="FK384" s="293">
        <v>2.6409012999999999E-2</v>
      </c>
      <c r="FL384" s="293">
        <v>1.5117556000000001E-2</v>
      </c>
      <c r="FM384" s="293">
        <v>2.9343368000000002E-2</v>
      </c>
      <c r="FN384" s="293">
        <v>4.6567365950341562E-2</v>
      </c>
      <c r="FO384" s="293">
        <v>8.0208810855810081E-2</v>
      </c>
      <c r="FP384" s="293">
        <v>7.7259509594136175E-2</v>
      </c>
      <c r="FQ384" s="293">
        <v>0.11215451619431686</v>
      </c>
      <c r="FR384" s="293">
        <v>6.6105133672819394E-2</v>
      </c>
      <c r="FS384" s="293">
        <v>6.2961698881499398E-2</v>
      </c>
      <c r="FT384" s="293">
        <v>5.2771587392215019E-2</v>
      </c>
      <c r="FU384" s="293">
        <v>5.7690208506360106E-2</v>
      </c>
      <c r="FV384" s="293">
        <v>7.4472849233990973E-2</v>
      </c>
      <c r="FW384" s="293">
        <v>8.2250240226935292E-2</v>
      </c>
      <c r="FX384" s="293">
        <v>9.0805313971209292E-2</v>
      </c>
      <c r="FY384" s="293">
        <v>6.290088198763627E-2</v>
      </c>
      <c r="FZ384" s="293">
        <v>0.11254463923743112</v>
      </c>
      <c r="GA384" s="293">
        <v>5.3539901131737538E-2</v>
      </c>
      <c r="GB384" s="293">
        <v>0.18795065650670742</v>
      </c>
      <c r="GC384" s="293">
        <v>0.20999435494870752</v>
      </c>
      <c r="GD384" s="293">
        <v>0.20817016616648687</v>
      </c>
      <c r="GE384" s="293">
        <v>0.18023657502643631</v>
      </c>
      <c r="GF384" s="293">
        <v>0.16923144942246571</v>
      </c>
      <c r="GG384" s="293">
        <v>0.17581170783388561</v>
      </c>
      <c r="GH384" s="293">
        <v>0.15567696859847699</v>
      </c>
      <c r="GI384" s="293">
        <v>0</v>
      </c>
      <c r="GJ384" s="293">
        <v>0</v>
      </c>
      <c r="GK384" s="293">
        <v>0</v>
      </c>
      <c r="GL384" s="293">
        <v>0</v>
      </c>
      <c r="GM384" s="293">
        <v>0</v>
      </c>
      <c r="GN384" s="293">
        <v>0</v>
      </c>
      <c r="GO384" s="293">
        <v>0</v>
      </c>
      <c r="GP384" s="293">
        <v>0</v>
      </c>
      <c r="GQ384" s="293">
        <v>0</v>
      </c>
      <c r="GR384" s="293">
        <v>0</v>
      </c>
      <c r="GS384" s="293">
        <v>0</v>
      </c>
      <c r="GT384" s="293">
        <v>0</v>
      </c>
      <c r="GU384" s="293">
        <v>0.19999550699999999</v>
      </c>
      <c r="GV384" s="293">
        <v>0.24524757899999999</v>
      </c>
      <c r="GW384" s="293">
        <v>0.237309567</v>
      </c>
      <c r="GX384" s="293">
        <v>0.21867305200000001</v>
      </c>
      <c r="GY384" s="293">
        <v>5.9883767999999997E-2</v>
      </c>
      <c r="GZ384" s="293">
        <v>0.38814536799999999</v>
      </c>
      <c r="HA384" s="293">
        <v>0.39780178300000002</v>
      </c>
      <c r="HB384" s="293">
        <v>0.37802133799999998</v>
      </c>
      <c r="HC384" s="293">
        <v>0.385825005</v>
      </c>
      <c r="HD384" s="293">
        <v>0.44115505100000002</v>
      </c>
      <c r="HE384" s="293">
        <v>0.518501294</v>
      </c>
      <c r="HF384" s="293">
        <v>0.50786886399999998</v>
      </c>
      <c r="HG384" s="293">
        <v>0.51054981600000005</v>
      </c>
      <c r="HH384" s="293">
        <v>0.48340100899999999</v>
      </c>
      <c r="HI384" s="293">
        <v>0.46028750299999999</v>
      </c>
      <c r="HJ384" s="293">
        <v>0.57127893699999999</v>
      </c>
      <c r="HK384" s="293">
        <v>0.58402084099999996</v>
      </c>
      <c r="HL384" s="293">
        <v>0.70045251500000005</v>
      </c>
      <c r="HM384" s="293">
        <v>0.70818774399999995</v>
      </c>
      <c r="HN384" s="293">
        <v>0.56814267900000004</v>
      </c>
      <c r="HO384" s="293">
        <v>0.66096034400000003</v>
      </c>
      <c r="HP384" s="293">
        <v>0.63541737700000001</v>
      </c>
      <c r="HQ384" s="293">
        <v>0.72147112199999996</v>
      </c>
      <c r="HR384" s="293">
        <v>0.69097228799999999</v>
      </c>
      <c r="HS384" s="293">
        <v>0.66076011999999995</v>
      </c>
      <c r="HT384" s="293">
        <v>1.1497363460000001</v>
      </c>
      <c r="HU384" s="293">
        <v>1.296465226</v>
      </c>
      <c r="HV384" s="293">
        <v>1.287719778</v>
      </c>
      <c r="HW384" s="293">
        <v>2.2738004420000002</v>
      </c>
      <c r="HX384" s="293">
        <v>2.4058936759999998</v>
      </c>
      <c r="HY384" s="293"/>
      <c r="KT384" s="280"/>
    </row>
    <row r="385" spans="1:306" outlineLevel="1">
      <c r="A385" s="96" t="s">
        <v>395</v>
      </c>
      <c r="B385" s="96" t="s">
        <v>338</v>
      </c>
      <c r="D385" s="321" t="s">
        <v>483</v>
      </c>
      <c r="E385" s="293"/>
      <c r="F385" s="293"/>
      <c r="G385" s="293"/>
      <c r="H385" s="293"/>
      <c r="I385" s="293"/>
      <c r="J385" s="293"/>
      <c r="K385" s="293"/>
      <c r="L385" s="293"/>
      <c r="M385" s="293"/>
      <c r="N385" s="293"/>
      <c r="O385" s="293"/>
      <c r="P385" s="293"/>
      <c r="Q385" s="293"/>
      <c r="R385" s="293"/>
      <c r="S385" s="293"/>
      <c r="T385" s="293"/>
      <c r="U385" s="293"/>
      <c r="V385" s="293"/>
      <c r="W385" s="293"/>
      <c r="X385" s="293"/>
      <c r="Y385" s="29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c r="BN385" s="293"/>
      <c r="BO385" s="293"/>
      <c r="BP385" s="293"/>
      <c r="BQ385" s="293"/>
      <c r="BR385" s="293"/>
      <c r="BS385" s="293"/>
      <c r="BT385" s="293"/>
      <c r="BU385" s="293"/>
      <c r="BV385" s="293"/>
      <c r="BW385" s="293"/>
      <c r="BX385" s="293"/>
      <c r="BY385" s="293"/>
      <c r="BZ385" s="293"/>
      <c r="CA385" s="293"/>
      <c r="CB385" s="293"/>
      <c r="CC385" s="293"/>
      <c r="CD385" s="293"/>
      <c r="CE385" s="294">
        <v>0</v>
      </c>
      <c r="CF385" s="293">
        <v>0</v>
      </c>
      <c r="CG385" s="293">
        <v>0</v>
      </c>
      <c r="CH385" s="293">
        <v>0</v>
      </c>
      <c r="CI385" s="293">
        <v>0</v>
      </c>
      <c r="CJ385" s="293">
        <v>0</v>
      </c>
      <c r="CK385" s="293">
        <v>0</v>
      </c>
      <c r="CL385" s="293">
        <v>0</v>
      </c>
      <c r="CM385" s="293">
        <v>0</v>
      </c>
      <c r="CN385" s="293">
        <v>0</v>
      </c>
      <c r="CO385" s="293">
        <v>0</v>
      </c>
      <c r="CP385" s="295">
        <v>0</v>
      </c>
      <c r="CQ385" s="293">
        <v>6.4068461000000007E-2</v>
      </c>
      <c r="CR385" s="293">
        <v>4.8633385000000001E-2</v>
      </c>
      <c r="CS385" s="293">
        <v>4.5853443000000001E-2</v>
      </c>
      <c r="CT385" s="293">
        <v>3.7334525E-2</v>
      </c>
      <c r="CU385" s="293">
        <v>2.5196940000000001E-2</v>
      </c>
      <c r="CV385" s="293">
        <v>2.1096296E-2</v>
      </c>
      <c r="CW385" s="293">
        <v>0.14355452799999999</v>
      </c>
      <c r="CX385" s="293">
        <v>0.18836430800000001</v>
      </c>
      <c r="CY385" s="293">
        <v>3.4652163030000001</v>
      </c>
      <c r="CZ385" s="293">
        <v>0.25610231700000002</v>
      </c>
      <c r="DA385" s="293">
        <v>0.14764929600000001</v>
      </c>
      <c r="DB385" s="1288">
        <v>0.101824338</v>
      </c>
      <c r="DC385" s="293">
        <v>0</v>
      </c>
      <c r="DD385" s="293">
        <v>0.52628069209555683</v>
      </c>
      <c r="DE385" s="293">
        <v>1.4211541374234002</v>
      </c>
      <c r="DF385" s="293">
        <v>3.9694588983165602</v>
      </c>
      <c r="DG385" s="293">
        <v>2.2316837800766649</v>
      </c>
      <c r="DH385" s="293">
        <v>1.7731615422472089</v>
      </c>
      <c r="DI385" s="293">
        <v>2.5631760413154012</v>
      </c>
      <c r="DJ385" s="293">
        <v>3.6060941701399969</v>
      </c>
      <c r="DK385" s="293">
        <v>2.4500914800189548</v>
      </c>
      <c r="DL385" s="293">
        <v>5.2752214508147572</v>
      </c>
      <c r="DM385" s="293">
        <v>5.9133992146420242</v>
      </c>
      <c r="DN385" s="295">
        <v>6.9767236084823825</v>
      </c>
      <c r="DO385" s="293">
        <v>0</v>
      </c>
      <c r="DP385" s="293">
        <v>0</v>
      </c>
      <c r="DQ385" s="293">
        <v>0</v>
      </c>
      <c r="DR385" s="293">
        <v>0</v>
      </c>
      <c r="DS385" s="293">
        <v>0</v>
      </c>
      <c r="DT385" s="293">
        <v>0</v>
      </c>
      <c r="DU385" s="293">
        <v>0</v>
      </c>
      <c r="DV385" s="293">
        <v>0</v>
      </c>
      <c r="DW385" s="293">
        <v>0</v>
      </c>
      <c r="DX385" s="293">
        <v>0</v>
      </c>
      <c r="DY385" s="293">
        <v>0</v>
      </c>
      <c r="DZ385" s="295">
        <v>0</v>
      </c>
      <c r="EA385" s="293">
        <v>0</v>
      </c>
      <c r="EB385" s="293">
        <v>0</v>
      </c>
      <c r="EC385" s="293">
        <v>0</v>
      </c>
      <c r="ED385" s="293">
        <v>0</v>
      </c>
      <c r="EE385" s="293">
        <v>0</v>
      </c>
      <c r="EF385" s="293">
        <v>0</v>
      </c>
      <c r="EG385" s="293">
        <v>0</v>
      </c>
      <c r="EH385" s="293">
        <v>0</v>
      </c>
      <c r="EI385" s="293">
        <v>0</v>
      </c>
      <c r="EJ385" s="293">
        <v>0</v>
      </c>
      <c r="EK385" s="293">
        <v>0</v>
      </c>
      <c r="EL385" s="295">
        <v>0</v>
      </c>
      <c r="EM385" s="293">
        <v>0.16733000000000001</v>
      </c>
      <c r="EN385" s="293">
        <v>0.20956</v>
      </c>
      <c r="EO385" s="293">
        <v>0.22767999999999999</v>
      </c>
      <c r="EP385" s="293">
        <v>0.20363000000000001</v>
      </c>
      <c r="EQ385" s="293">
        <v>0.19276499999999999</v>
      </c>
      <c r="ER385" s="293">
        <v>0.16231000000000001</v>
      </c>
      <c r="ES385" s="293">
        <v>0.224825</v>
      </c>
      <c r="ET385" s="293">
        <v>0.23022000000000001</v>
      </c>
      <c r="EU385" s="293">
        <v>0.213585</v>
      </c>
      <c r="EV385" s="293">
        <v>0.22311</v>
      </c>
      <c r="EW385" s="293">
        <v>0.19520000000000001</v>
      </c>
      <c r="EX385" s="295">
        <v>0.21268000000000001</v>
      </c>
      <c r="EY385" s="293">
        <v>0.26580730899999999</v>
      </c>
      <c r="EZ385" s="293">
        <v>0.26580730899999999</v>
      </c>
      <c r="FA385" s="293">
        <v>0.26580730899999999</v>
      </c>
      <c r="FB385" s="293">
        <v>0</v>
      </c>
      <c r="FC385" s="293">
        <v>0.26580730899999999</v>
      </c>
      <c r="FD385" s="293">
        <v>0.26580730899999999</v>
      </c>
      <c r="FE385" s="293">
        <v>6.2966569921600009</v>
      </c>
      <c r="FF385" s="293">
        <v>0.8198708388766387</v>
      </c>
      <c r="FG385" s="293">
        <v>0.52423914859999998</v>
      </c>
      <c r="FH385" s="293">
        <v>1.5951549143959001</v>
      </c>
      <c r="FI385" s="293">
        <v>1.5951549143959001</v>
      </c>
      <c r="FJ385" s="295">
        <v>1.5951549143959001</v>
      </c>
      <c r="FK385" s="293">
        <v>0.29565045484284408</v>
      </c>
      <c r="FL385" s="293">
        <v>0.23241264445440948</v>
      </c>
      <c r="FM385" s="293">
        <v>0.29068532770274641</v>
      </c>
      <c r="FN385" s="293">
        <v>0</v>
      </c>
      <c r="FO385" s="293">
        <v>2.4628027264377026E-3</v>
      </c>
      <c r="FP385" s="293">
        <v>1.1321930700268231E-2</v>
      </c>
      <c r="FQ385" s="293">
        <v>1.7664231900748419</v>
      </c>
      <c r="FR385" s="293">
        <v>2.2169717771058468</v>
      </c>
      <c r="FS385" s="293">
        <v>1.2826481198193107</v>
      </c>
      <c r="FT385" s="293">
        <v>0.2813007443333333</v>
      </c>
      <c r="FU385" s="293">
        <v>0.2813007443333333</v>
      </c>
      <c r="FV385" s="293">
        <v>0.2813007443333333</v>
      </c>
      <c r="FW385" s="293">
        <v>9.2340063198682126E-2</v>
      </c>
      <c r="FX385" s="293">
        <v>0.11524411630216823</v>
      </c>
      <c r="FY385" s="293">
        <v>0.14171416749914964</v>
      </c>
      <c r="FZ385" s="293">
        <v>0</v>
      </c>
      <c r="GA385" s="293">
        <v>9.6456097691933931E-2</v>
      </c>
      <c r="GB385" s="293">
        <v>0.27037780815886664</v>
      </c>
      <c r="GC385" s="293">
        <v>1.2426386619662857</v>
      </c>
      <c r="GD385" s="293">
        <v>1.5595893771090639</v>
      </c>
      <c r="GE385" s="293">
        <v>3.0518096729246502</v>
      </c>
      <c r="GF385" s="293">
        <v>0.17165030568481376</v>
      </c>
      <c r="GG385" s="293">
        <v>0.17660300052462727</v>
      </c>
      <c r="GH385" s="293">
        <v>0.27698401279400947</v>
      </c>
      <c r="GI385" s="293"/>
      <c r="GJ385" s="293"/>
      <c r="GK385" s="293"/>
      <c r="GL385" s="293"/>
      <c r="GM385" s="293"/>
      <c r="GN385" s="293"/>
      <c r="GO385" s="293"/>
      <c r="GP385" s="293"/>
      <c r="GQ385" s="293"/>
      <c r="GR385" s="293"/>
      <c r="GS385" s="293"/>
      <c r="GT385" s="293"/>
      <c r="GU385" s="293">
        <v>0</v>
      </c>
      <c r="GV385" s="293">
        <v>0</v>
      </c>
      <c r="GW385" s="293">
        <v>0</v>
      </c>
      <c r="GX385" s="293">
        <v>0</v>
      </c>
      <c r="GY385" s="293">
        <v>0</v>
      </c>
      <c r="GZ385" s="293">
        <v>0</v>
      </c>
      <c r="HA385" s="293">
        <v>0</v>
      </c>
      <c r="HB385" s="293">
        <v>0</v>
      </c>
      <c r="HC385" s="293">
        <v>0</v>
      </c>
      <c r="HD385" s="293">
        <v>0</v>
      </c>
      <c r="HE385" s="293">
        <v>0</v>
      </c>
      <c r="HF385" s="293">
        <v>0</v>
      </c>
      <c r="HG385" s="293">
        <v>0</v>
      </c>
      <c r="HH385" s="293">
        <v>0</v>
      </c>
      <c r="HI385" s="293">
        <v>0</v>
      </c>
      <c r="HJ385" s="293">
        <v>0</v>
      </c>
      <c r="HK385" s="293">
        <v>0</v>
      </c>
      <c r="HL385" s="293">
        <v>0</v>
      </c>
      <c r="HM385" s="293">
        <v>0</v>
      </c>
      <c r="HN385" s="293">
        <v>0</v>
      </c>
      <c r="HO385" s="293">
        <v>0</v>
      </c>
      <c r="HP385" s="293">
        <v>0</v>
      </c>
      <c r="HQ385" s="293">
        <v>0</v>
      </c>
      <c r="HR385" s="293">
        <v>0</v>
      </c>
      <c r="HS385" s="293">
        <v>0</v>
      </c>
      <c r="HT385" s="293">
        <v>0</v>
      </c>
      <c r="HU385" s="293">
        <v>0</v>
      </c>
      <c r="HV385" s="293">
        <v>0</v>
      </c>
      <c r="HW385" s="293">
        <v>0</v>
      </c>
      <c r="HX385" s="293">
        <v>0</v>
      </c>
      <c r="HY385" s="293"/>
      <c r="KT385" s="280"/>
    </row>
    <row r="386" spans="1:306" outlineLevel="1">
      <c r="A386" s="96" t="s">
        <v>395</v>
      </c>
      <c r="B386" s="96" t="s">
        <v>338</v>
      </c>
      <c r="D386" s="321" t="s">
        <v>484</v>
      </c>
      <c r="E386" s="293"/>
      <c r="F386" s="293"/>
      <c r="G386" s="293"/>
      <c r="H386" s="293"/>
      <c r="I386" s="293"/>
      <c r="J386" s="293"/>
      <c r="K386" s="293"/>
      <c r="L386" s="293"/>
      <c r="M386" s="293"/>
      <c r="N386" s="293"/>
      <c r="O386" s="293"/>
      <c r="P386" s="293"/>
      <c r="Q386" s="293"/>
      <c r="R386" s="293"/>
      <c r="S386" s="293"/>
      <c r="T386" s="293"/>
      <c r="U386" s="293"/>
      <c r="V386" s="293"/>
      <c r="W386" s="293"/>
      <c r="X386" s="293"/>
      <c r="Y386" s="29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c r="BN386" s="293"/>
      <c r="BO386" s="293"/>
      <c r="BP386" s="293"/>
      <c r="BQ386" s="293"/>
      <c r="BR386" s="293"/>
      <c r="BS386" s="293"/>
      <c r="BT386" s="293"/>
      <c r="BU386" s="293"/>
      <c r="BV386" s="293"/>
      <c r="BW386" s="293"/>
      <c r="BX386" s="293"/>
      <c r="BY386" s="293"/>
      <c r="BZ386" s="293"/>
      <c r="CA386" s="293"/>
      <c r="CB386" s="293"/>
      <c r="CC386" s="293"/>
      <c r="CD386" s="293"/>
      <c r="CE386" s="294">
        <v>0</v>
      </c>
      <c r="CF386" s="293">
        <v>0</v>
      </c>
      <c r="CG386" s="293">
        <v>0</v>
      </c>
      <c r="CH386" s="293">
        <v>0</v>
      </c>
      <c r="CI386" s="293">
        <v>0</v>
      </c>
      <c r="CJ386" s="293">
        <v>0</v>
      </c>
      <c r="CK386" s="293">
        <v>0</v>
      </c>
      <c r="CL386" s="293">
        <v>0</v>
      </c>
      <c r="CM386" s="293">
        <v>0</v>
      </c>
      <c r="CN386" s="293">
        <v>0</v>
      </c>
      <c r="CO386" s="293">
        <v>0</v>
      </c>
      <c r="CP386" s="295">
        <v>0</v>
      </c>
      <c r="CQ386" s="293">
        <v>0</v>
      </c>
      <c r="CR386" s="293">
        <v>3.0000000000000001E-6</v>
      </c>
      <c r="CS386" s="293">
        <v>0</v>
      </c>
      <c r="CT386" s="293">
        <v>0</v>
      </c>
      <c r="CU386" s="293">
        <v>0</v>
      </c>
      <c r="CV386" s="293">
        <v>0</v>
      </c>
      <c r="CW386" s="293">
        <v>0</v>
      </c>
      <c r="CX386" s="293">
        <v>0</v>
      </c>
      <c r="CY386" s="293">
        <v>0</v>
      </c>
      <c r="CZ386" s="293">
        <v>0</v>
      </c>
      <c r="DA386" s="293">
        <v>0</v>
      </c>
      <c r="DB386" s="1288">
        <v>5.3999999999999998E-5</v>
      </c>
      <c r="DC386" s="293">
        <v>0</v>
      </c>
      <c r="DD386" s="293">
        <v>2.9638320199400635E-6</v>
      </c>
      <c r="DE386" s="293">
        <v>0</v>
      </c>
      <c r="DF386" s="293">
        <v>0</v>
      </c>
      <c r="DG386" s="293">
        <v>0</v>
      </c>
      <c r="DH386" s="293">
        <v>0</v>
      </c>
      <c r="DI386" s="293">
        <v>0</v>
      </c>
      <c r="DJ386" s="293">
        <v>0</v>
      </c>
      <c r="DK386" s="293">
        <v>0</v>
      </c>
      <c r="DL386" s="293">
        <v>0</v>
      </c>
      <c r="DM386" s="293">
        <v>0</v>
      </c>
      <c r="DN386" s="295">
        <v>6.063652399355246E-5</v>
      </c>
      <c r="DO386" s="293">
        <v>0</v>
      </c>
      <c r="DP386" s="293">
        <v>0</v>
      </c>
      <c r="DQ386" s="293">
        <v>0</v>
      </c>
      <c r="DR386" s="293">
        <v>0</v>
      </c>
      <c r="DS386" s="293">
        <v>0</v>
      </c>
      <c r="DT386" s="293">
        <v>0</v>
      </c>
      <c r="DU386" s="293">
        <v>0</v>
      </c>
      <c r="DV386" s="293">
        <v>0</v>
      </c>
      <c r="DW386" s="293">
        <v>0</v>
      </c>
      <c r="DX386" s="293">
        <v>0</v>
      </c>
      <c r="DY386" s="293">
        <v>0</v>
      </c>
      <c r="DZ386" s="295">
        <v>0</v>
      </c>
      <c r="EA386" s="293">
        <v>0</v>
      </c>
      <c r="EB386" s="293">
        <v>0</v>
      </c>
      <c r="EC386" s="293">
        <v>0</v>
      </c>
      <c r="ED386" s="293">
        <v>0</v>
      </c>
      <c r="EE386" s="293">
        <v>0</v>
      </c>
      <c r="EF386" s="293">
        <v>0</v>
      </c>
      <c r="EG386" s="293">
        <v>0</v>
      </c>
      <c r="EH386" s="293">
        <v>0</v>
      </c>
      <c r="EI386" s="293">
        <v>0</v>
      </c>
      <c r="EJ386" s="293">
        <v>0</v>
      </c>
      <c r="EK386" s="293">
        <v>0</v>
      </c>
      <c r="EL386" s="295">
        <v>0</v>
      </c>
      <c r="EM386" s="293">
        <v>0.16733000000000001</v>
      </c>
      <c r="EN386" s="293">
        <v>0.20956</v>
      </c>
      <c r="EO386" s="293">
        <v>0.22767999999999999</v>
      </c>
      <c r="EP386" s="293">
        <v>0.20363000000000001</v>
      </c>
      <c r="EQ386" s="293">
        <v>0.19276499999999999</v>
      </c>
      <c r="ER386" s="293">
        <v>0.16231000000000001</v>
      </c>
      <c r="ES386" s="293">
        <v>0.224825</v>
      </c>
      <c r="ET386" s="293">
        <v>0.23022000000000001</v>
      </c>
      <c r="EU386" s="293">
        <v>0.213585</v>
      </c>
      <c r="EV386" s="293">
        <v>0.22311</v>
      </c>
      <c r="EW386" s="293">
        <v>0.19520000000000001</v>
      </c>
      <c r="EX386" s="295">
        <v>0.21268000000000001</v>
      </c>
      <c r="EY386" s="293">
        <v>0</v>
      </c>
      <c r="EZ386" s="293">
        <v>0</v>
      </c>
      <c r="FA386" s="293">
        <v>0</v>
      </c>
      <c r="FB386" s="293">
        <v>0</v>
      </c>
      <c r="FC386" s="293">
        <v>0</v>
      </c>
      <c r="FD386" s="293">
        <v>0</v>
      </c>
      <c r="FE386" s="293">
        <v>0</v>
      </c>
      <c r="FF386" s="293">
        <v>0</v>
      </c>
      <c r="FG386" s="293">
        <v>0</v>
      </c>
      <c r="FH386" s="293">
        <v>0</v>
      </c>
      <c r="FI386" s="293">
        <v>0</v>
      </c>
      <c r="FJ386" s="295">
        <v>0</v>
      </c>
      <c r="FK386" s="293">
        <v>0</v>
      </c>
      <c r="FL386" s="293">
        <v>0</v>
      </c>
      <c r="FM386" s="293">
        <v>0</v>
      </c>
      <c r="FN386" s="293">
        <v>0</v>
      </c>
      <c r="FO386" s="293">
        <v>0</v>
      </c>
      <c r="FP386" s="293">
        <v>0</v>
      </c>
      <c r="FQ386" s="293">
        <v>0</v>
      </c>
      <c r="FR386" s="293">
        <v>0</v>
      </c>
      <c r="FS386" s="293">
        <v>0</v>
      </c>
      <c r="FT386" s="293">
        <v>0</v>
      </c>
      <c r="FU386" s="293">
        <v>0</v>
      </c>
      <c r="FV386" s="293">
        <v>0</v>
      </c>
      <c r="FW386" s="293">
        <v>0</v>
      </c>
      <c r="FX386" s="293">
        <v>0</v>
      </c>
      <c r="FY386" s="293">
        <v>0</v>
      </c>
      <c r="FZ386" s="293">
        <v>0</v>
      </c>
      <c r="GA386" s="293">
        <v>0</v>
      </c>
      <c r="GB386" s="293">
        <v>0</v>
      </c>
      <c r="GC386" s="293">
        <v>0</v>
      </c>
      <c r="GD386" s="293">
        <v>0</v>
      </c>
      <c r="GE386" s="293">
        <v>0</v>
      </c>
      <c r="GF386" s="293">
        <v>0</v>
      </c>
      <c r="GG386" s="293">
        <v>0</v>
      </c>
      <c r="GH386" s="293">
        <v>0</v>
      </c>
      <c r="GI386" s="293">
        <v>0</v>
      </c>
      <c r="GJ386" s="293">
        <v>0</v>
      </c>
      <c r="GK386" s="293">
        <v>0</v>
      </c>
      <c r="GL386" s="293">
        <v>0</v>
      </c>
      <c r="GM386" s="293">
        <v>0</v>
      </c>
      <c r="GN386" s="293">
        <v>0</v>
      </c>
      <c r="GO386" s="293">
        <v>0</v>
      </c>
      <c r="GP386" s="293">
        <v>0</v>
      </c>
      <c r="GQ386" s="293">
        <v>0</v>
      </c>
      <c r="GR386" s="293">
        <v>0</v>
      </c>
      <c r="GS386" s="293">
        <v>0</v>
      </c>
      <c r="GT386" s="293">
        <v>0</v>
      </c>
      <c r="GU386" s="293">
        <v>0</v>
      </c>
      <c r="GV386" s="293">
        <v>0</v>
      </c>
      <c r="GW386" s="293">
        <v>0</v>
      </c>
      <c r="GX386" s="293">
        <v>0</v>
      </c>
      <c r="GY386" s="293">
        <v>0</v>
      </c>
      <c r="GZ386" s="293">
        <v>0</v>
      </c>
      <c r="HA386" s="293">
        <v>0</v>
      </c>
      <c r="HB386" s="293">
        <v>0</v>
      </c>
      <c r="HC386" s="293">
        <v>0</v>
      </c>
      <c r="HD386" s="293">
        <v>0</v>
      </c>
      <c r="HE386" s="293">
        <v>0</v>
      </c>
      <c r="HF386" s="293">
        <v>0</v>
      </c>
      <c r="HG386" s="293">
        <v>0</v>
      </c>
      <c r="HH386" s="293">
        <v>0</v>
      </c>
      <c r="HI386" s="293">
        <v>0</v>
      </c>
      <c r="HJ386" s="293">
        <v>0</v>
      </c>
      <c r="HK386" s="293">
        <v>0</v>
      </c>
      <c r="HL386" s="293">
        <v>0</v>
      </c>
      <c r="HM386" s="293">
        <v>0</v>
      </c>
      <c r="HN386" s="293">
        <v>0</v>
      </c>
      <c r="HO386" s="293">
        <v>0</v>
      </c>
      <c r="HP386" s="293">
        <v>0</v>
      </c>
      <c r="HQ386" s="293">
        <v>0</v>
      </c>
      <c r="HR386" s="293">
        <v>0</v>
      </c>
      <c r="HS386" s="293">
        <v>0</v>
      </c>
      <c r="HT386" s="293">
        <v>0</v>
      </c>
      <c r="HU386" s="293">
        <v>0</v>
      </c>
      <c r="HV386" s="293">
        <v>0</v>
      </c>
      <c r="HW386" s="293">
        <v>0</v>
      </c>
      <c r="HX386" s="293">
        <v>0</v>
      </c>
      <c r="HY386" s="293"/>
      <c r="KT386" s="280"/>
    </row>
    <row r="387" spans="1:306" outlineLevel="1">
      <c r="A387" s="96" t="s">
        <v>395</v>
      </c>
      <c r="B387" s="96" t="s">
        <v>338</v>
      </c>
      <c r="D387" s="321" t="s">
        <v>485</v>
      </c>
      <c r="E387" s="293"/>
      <c r="F387" s="293"/>
      <c r="G387" s="293"/>
      <c r="H387" s="293"/>
      <c r="I387" s="293"/>
      <c r="J387" s="293"/>
      <c r="K387" s="293"/>
      <c r="L387" s="293"/>
      <c r="M387" s="293"/>
      <c r="N387" s="293"/>
      <c r="O387" s="293"/>
      <c r="P387" s="293"/>
      <c r="Q387" s="293"/>
      <c r="R387" s="293"/>
      <c r="S387" s="293"/>
      <c r="T387" s="293"/>
      <c r="U387" s="293"/>
      <c r="V387" s="293"/>
      <c r="W387" s="293"/>
      <c r="X387" s="293"/>
      <c r="Y387" s="29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c r="BN387" s="293"/>
      <c r="BO387" s="293"/>
      <c r="BP387" s="293"/>
      <c r="BQ387" s="293"/>
      <c r="BR387" s="293"/>
      <c r="BS387" s="293"/>
      <c r="BT387" s="293"/>
      <c r="BU387" s="293"/>
      <c r="BV387" s="293"/>
      <c r="BW387" s="293"/>
      <c r="BX387" s="293"/>
      <c r="BY387" s="293"/>
      <c r="BZ387" s="293"/>
      <c r="CA387" s="293"/>
      <c r="CB387" s="293"/>
      <c r="CC387" s="293"/>
      <c r="CD387" s="293"/>
      <c r="CE387" s="294">
        <v>0</v>
      </c>
      <c r="CF387" s="293">
        <v>0</v>
      </c>
      <c r="CG387" s="293">
        <v>0</v>
      </c>
      <c r="CH387" s="293">
        <v>0</v>
      </c>
      <c r="CI387" s="293">
        <v>0</v>
      </c>
      <c r="CJ387" s="293">
        <v>0</v>
      </c>
      <c r="CK387" s="293">
        <v>0</v>
      </c>
      <c r="CL387" s="293">
        <v>0</v>
      </c>
      <c r="CM387" s="293">
        <v>0</v>
      </c>
      <c r="CN387" s="293">
        <v>0</v>
      </c>
      <c r="CO387" s="293">
        <v>0</v>
      </c>
      <c r="CP387" s="295">
        <v>0</v>
      </c>
      <c r="CQ387" s="293">
        <v>6.4068461000000007E-2</v>
      </c>
      <c r="CR387" s="293">
        <v>4.8630384999999998E-2</v>
      </c>
      <c r="CS387" s="293">
        <v>4.5853443000000001E-2</v>
      </c>
      <c r="CT387" s="293">
        <v>3.7334525E-2</v>
      </c>
      <c r="CU387" s="293">
        <v>2.5196940000000001E-2</v>
      </c>
      <c r="CV387" s="293">
        <v>2.1096296E-2</v>
      </c>
      <c r="CW387" s="293">
        <v>0.14355452799999999</v>
      </c>
      <c r="CX387" s="293">
        <v>0.18836430800000001</v>
      </c>
      <c r="CY387" s="293">
        <v>3.4652163030000001</v>
      </c>
      <c r="CZ387" s="293">
        <v>0.25610231700000002</v>
      </c>
      <c r="DA387" s="293">
        <v>0.14764929600000001</v>
      </c>
      <c r="DB387" s="1288">
        <v>0.101770338</v>
      </c>
      <c r="DC387" s="293">
        <v>0</v>
      </c>
      <c r="DD387" s="293">
        <v>0.52627772826353691</v>
      </c>
      <c r="DE387" s="293">
        <v>1.4211541374234002</v>
      </c>
      <c r="DF387" s="293">
        <v>3.9694588983165602</v>
      </c>
      <c r="DG387" s="293">
        <v>2.2316837800766649</v>
      </c>
      <c r="DH387" s="293">
        <v>1.7731615422472089</v>
      </c>
      <c r="DI387" s="293">
        <v>2.5631760413154012</v>
      </c>
      <c r="DJ387" s="293">
        <v>3.6060941701399969</v>
      </c>
      <c r="DK387" s="293">
        <v>2.4500914800189548</v>
      </c>
      <c r="DL387" s="293">
        <v>5.2752214508147572</v>
      </c>
      <c r="DM387" s="293">
        <v>5.9133992146420242</v>
      </c>
      <c r="DN387" s="295">
        <v>6.9766629719583886</v>
      </c>
      <c r="DO387" s="293">
        <v>0</v>
      </c>
      <c r="DP387" s="293">
        <v>0</v>
      </c>
      <c r="DQ387" s="293">
        <v>0</v>
      </c>
      <c r="DR387" s="293">
        <v>0</v>
      </c>
      <c r="DS387" s="293">
        <v>0</v>
      </c>
      <c r="DT387" s="293">
        <v>0</v>
      </c>
      <c r="DU387" s="293">
        <v>0</v>
      </c>
      <c r="DV387" s="293">
        <v>0</v>
      </c>
      <c r="DW387" s="293">
        <v>0</v>
      </c>
      <c r="DX387" s="293">
        <v>0</v>
      </c>
      <c r="DY387" s="293">
        <v>0</v>
      </c>
      <c r="DZ387" s="295">
        <v>0</v>
      </c>
      <c r="EA387" s="293">
        <v>0</v>
      </c>
      <c r="EB387" s="293">
        <v>0</v>
      </c>
      <c r="EC387" s="293">
        <v>0</v>
      </c>
      <c r="ED387" s="293">
        <v>0</v>
      </c>
      <c r="EE387" s="293">
        <v>0</v>
      </c>
      <c r="EF387" s="293">
        <v>0</v>
      </c>
      <c r="EG387" s="293">
        <v>0</v>
      </c>
      <c r="EH387" s="293">
        <v>0</v>
      </c>
      <c r="EI387" s="293">
        <v>0</v>
      </c>
      <c r="EJ387" s="293">
        <v>0</v>
      </c>
      <c r="EK387" s="293">
        <v>0</v>
      </c>
      <c r="EL387" s="295">
        <v>0</v>
      </c>
      <c r="EM387" s="293">
        <v>0</v>
      </c>
      <c r="EN387" s="293">
        <v>0</v>
      </c>
      <c r="EO387" s="293">
        <v>0</v>
      </c>
      <c r="EP387" s="293">
        <v>0</v>
      </c>
      <c r="EQ387" s="293">
        <v>0</v>
      </c>
      <c r="ER387" s="293">
        <v>0</v>
      </c>
      <c r="ES387" s="293">
        <v>0</v>
      </c>
      <c r="ET387" s="293">
        <v>0</v>
      </c>
      <c r="EU387" s="293">
        <v>0</v>
      </c>
      <c r="EV387" s="293">
        <v>0</v>
      </c>
      <c r="EW387" s="293">
        <v>0</v>
      </c>
      <c r="EX387" s="295">
        <v>0</v>
      </c>
      <c r="EY387" s="293">
        <v>0.26580730899999999</v>
      </c>
      <c r="EZ387" s="293">
        <v>0.26580730899999999</v>
      </c>
      <c r="FA387" s="293">
        <v>0.26580730899999999</v>
      </c>
      <c r="FB387" s="293">
        <v>0.26580730899999999</v>
      </c>
      <c r="FC387" s="293">
        <v>0.26580730899999999</v>
      </c>
      <c r="FD387" s="293">
        <v>0.26580730899999999</v>
      </c>
      <c r="FE387" s="293">
        <v>6.2966569921600009</v>
      </c>
      <c r="FF387" s="293">
        <v>0.8198708388766387</v>
      </c>
      <c r="FG387" s="293">
        <v>0.52423914859999998</v>
      </c>
      <c r="FH387" s="293">
        <v>1.5951549143959001</v>
      </c>
      <c r="FI387" s="293">
        <v>1.5951549143959001</v>
      </c>
      <c r="FJ387" s="295">
        <v>1.5951549143959001</v>
      </c>
      <c r="FK387" s="293">
        <v>0.29565045484284408</v>
      </c>
      <c r="FL387" s="293">
        <v>0.23241264445440948</v>
      </c>
      <c r="FM387" s="293">
        <v>0.29068532770274641</v>
      </c>
      <c r="FN387" s="293">
        <v>1.1939545732940664E-3</v>
      </c>
      <c r="FO387" s="293">
        <v>2.4628027264377026E-3</v>
      </c>
      <c r="FP387" s="293">
        <v>1.1321930700268231E-2</v>
      </c>
      <c r="FQ387" s="293">
        <v>1.7664231900748419</v>
      </c>
      <c r="FR387" s="293">
        <v>2.2169717771058468</v>
      </c>
      <c r="FS387" s="293">
        <v>1.2826481198193107</v>
      </c>
      <c r="FT387" s="293">
        <v>0.2813007443333333</v>
      </c>
      <c r="FU387" s="293">
        <v>0.2813007443333333</v>
      </c>
      <c r="FV387" s="293">
        <v>0.2813007443333333</v>
      </c>
      <c r="FW387" s="293">
        <v>9.2340063198682126E-2</v>
      </c>
      <c r="FX387" s="293">
        <v>0.11524411630216823</v>
      </c>
      <c r="FY387" s="293">
        <v>0.14171416749914964</v>
      </c>
      <c r="FZ387" s="293">
        <v>6.6866140149199421E-2</v>
      </c>
      <c r="GA387" s="293">
        <v>9.6456097691933931E-2</v>
      </c>
      <c r="GB387" s="293">
        <v>0.27037780815886664</v>
      </c>
      <c r="GC387" s="293">
        <v>1.2426386619662857</v>
      </c>
      <c r="GD387" s="293">
        <v>1.5595893771090639</v>
      </c>
      <c r="GE387" s="293">
        <v>3.0518096729246502</v>
      </c>
      <c r="GF387" s="293">
        <v>0.17165030568481376</v>
      </c>
      <c r="GG387" s="293">
        <v>0.17660300052462727</v>
      </c>
      <c r="GH387" s="293">
        <v>0.27698401279400947</v>
      </c>
      <c r="GI387" s="293"/>
      <c r="GJ387" s="293"/>
      <c r="GK387" s="293"/>
      <c r="GL387" s="293"/>
      <c r="GM387" s="293"/>
      <c r="GN387" s="293"/>
      <c r="GO387" s="293"/>
      <c r="GP387" s="293"/>
      <c r="GQ387" s="293"/>
      <c r="GR387" s="293"/>
      <c r="GS387" s="293"/>
      <c r="GT387" s="293"/>
      <c r="GU387" s="293">
        <v>0.50321992000000004</v>
      </c>
      <c r="GV387" s="293">
        <v>0.60779959400000005</v>
      </c>
      <c r="GW387" s="293">
        <v>0.49503668099999998</v>
      </c>
      <c r="GX387" s="293">
        <v>0.49720740099999999</v>
      </c>
      <c r="GY387" s="293">
        <v>0.25866908399999999</v>
      </c>
      <c r="GZ387" s="293">
        <v>9.1145840000000006E-2</v>
      </c>
      <c r="HA387" s="293">
        <v>4.5787891690000002</v>
      </c>
      <c r="HB387" s="293">
        <v>2.4912074770000001</v>
      </c>
      <c r="HC387" s="293">
        <v>0.57395500700000002</v>
      </c>
      <c r="HD387" s="293">
        <v>1.6551297110000001</v>
      </c>
      <c r="HE387" s="293">
        <v>0.47746946800000001</v>
      </c>
      <c r="HF387" s="293">
        <v>0.69640668999999999</v>
      </c>
      <c r="HG387" s="293">
        <v>1.4705108929999999</v>
      </c>
      <c r="HH387" s="293">
        <v>0.35344490099999998</v>
      </c>
      <c r="HI387" s="293">
        <v>0.52472494999999997</v>
      </c>
      <c r="HJ387" s="293">
        <v>1.2265425750000001</v>
      </c>
      <c r="HK387" s="293">
        <v>0.41492590299999998</v>
      </c>
      <c r="HL387" s="293">
        <v>0.80634871922222218</v>
      </c>
      <c r="HM387" s="293">
        <v>7.6825107749999999</v>
      </c>
      <c r="HN387" s="293">
        <v>0.77382195899999995</v>
      </c>
      <c r="HO387" s="293">
        <v>0.86608759000000002</v>
      </c>
      <c r="HP387" s="293">
        <v>1.985425024</v>
      </c>
      <c r="HQ387" s="293">
        <v>0.54973059300000005</v>
      </c>
      <c r="HR387" s="293">
        <v>0.62183213900000001</v>
      </c>
      <c r="HS387" s="293">
        <v>1.8019394980000001</v>
      </c>
      <c r="HT387" s="293">
        <v>0.47487448700000001</v>
      </c>
      <c r="HU387" s="293">
        <v>0.52530582999999997</v>
      </c>
      <c r="HV387" s="293">
        <v>1.675391273</v>
      </c>
      <c r="HW387" s="293">
        <v>0.43035506200000001</v>
      </c>
      <c r="HX387" s="293">
        <v>0.42810213899999999</v>
      </c>
      <c r="HY387" s="293"/>
      <c r="KT387" s="280"/>
    </row>
    <row r="388" spans="1:306" outlineLevel="1">
      <c r="D388" s="2081" t="s">
        <v>3056</v>
      </c>
      <c r="E388" s="293"/>
      <c r="F388" s="293"/>
      <c r="G388" s="293"/>
      <c r="H388" s="293"/>
      <c r="I388" s="293"/>
      <c r="J388" s="293"/>
      <c r="K388" s="293"/>
      <c r="L388" s="293"/>
      <c r="M388" s="293"/>
      <c r="N388" s="293"/>
      <c r="O388" s="293"/>
      <c r="P388" s="293"/>
      <c r="Q388" s="293"/>
      <c r="R388" s="293"/>
      <c r="S388" s="293"/>
      <c r="T388" s="293"/>
      <c r="U388" s="293"/>
      <c r="V388" s="293"/>
      <c r="W388" s="293"/>
      <c r="X388" s="293"/>
      <c r="Y388" s="29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c r="BN388" s="293"/>
      <c r="BO388" s="293"/>
      <c r="BP388" s="293"/>
      <c r="BQ388" s="293"/>
      <c r="BR388" s="293"/>
      <c r="BS388" s="293"/>
      <c r="BT388" s="293"/>
      <c r="BU388" s="293"/>
      <c r="BV388" s="293"/>
      <c r="BW388" s="293"/>
      <c r="BX388" s="293"/>
      <c r="BY388" s="293"/>
      <c r="BZ388" s="293"/>
      <c r="CA388" s="293"/>
      <c r="CB388" s="293"/>
      <c r="CC388" s="293"/>
      <c r="CD388" s="293"/>
      <c r="CE388" s="294"/>
      <c r="CF388" s="293"/>
      <c r="CG388" s="293"/>
      <c r="CH388" s="293"/>
      <c r="CI388" s="293"/>
      <c r="CJ388" s="293"/>
      <c r="CK388" s="293"/>
      <c r="CL388" s="293"/>
      <c r="CM388" s="293"/>
      <c r="CN388" s="293"/>
      <c r="CO388" s="293"/>
      <c r="CP388" s="295"/>
      <c r="CQ388" s="293"/>
      <c r="CR388" s="293"/>
      <c r="CS388" s="293"/>
      <c r="CT388" s="293"/>
      <c r="CU388" s="293"/>
      <c r="CV388" s="293"/>
      <c r="CW388" s="293"/>
      <c r="CX388" s="293"/>
      <c r="CY388" s="293"/>
      <c r="CZ388" s="293"/>
      <c r="DA388" s="293"/>
      <c r="DB388" s="1288"/>
      <c r="DC388" s="293"/>
      <c r="DD388" s="293"/>
      <c r="DE388" s="293"/>
      <c r="DF388" s="293"/>
      <c r="DG388" s="293"/>
      <c r="DH388" s="293"/>
      <c r="DI388" s="293"/>
      <c r="DJ388" s="293"/>
      <c r="DK388" s="293"/>
      <c r="DL388" s="293"/>
      <c r="DM388" s="293"/>
      <c r="DN388" s="295"/>
      <c r="DO388" s="293"/>
      <c r="DP388" s="293"/>
      <c r="DQ388" s="293"/>
      <c r="DR388" s="293"/>
      <c r="DS388" s="293"/>
      <c r="DT388" s="293"/>
      <c r="DU388" s="293"/>
      <c r="DV388" s="293"/>
      <c r="DW388" s="293"/>
      <c r="DX388" s="293"/>
      <c r="DY388" s="293"/>
      <c r="DZ388" s="295"/>
      <c r="EA388" s="293"/>
      <c r="EB388" s="293"/>
      <c r="EC388" s="293"/>
      <c r="ED388" s="293"/>
      <c r="EE388" s="293"/>
      <c r="EF388" s="293"/>
      <c r="EG388" s="293"/>
      <c r="EH388" s="293"/>
      <c r="EI388" s="293"/>
      <c r="EJ388" s="293"/>
      <c r="EK388" s="293"/>
      <c r="EL388" s="295"/>
      <c r="EM388" s="293"/>
      <c r="EN388" s="293"/>
      <c r="EO388" s="293"/>
      <c r="EP388" s="293"/>
      <c r="EQ388" s="293"/>
      <c r="ER388" s="293"/>
      <c r="ES388" s="293"/>
      <c r="ET388" s="293"/>
      <c r="EU388" s="293"/>
      <c r="EV388" s="293"/>
      <c r="EW388" s="293"/>
      <c r="EX388" s="295"/>
      <c r="EY388" s="293"/>
      <c r="EZ388" s="293"/>
      <c r="FA388" s="293"/>
      <c r="FB388" s="293"/>
      <c r="FC388" s="293"/>
      <c r="FD388" s="293"/>
      <c r="FE388" s="293"/>
      <c r="FF388" s="293"/>
      <c r="FG388" s="293"/>
      <c r="FH388" s="293"/>
      <c r="FI388" s="293"/>
      <c r="FJ388" s="295"/>
      <c r="FK388" s="293"/>
      <c r="FL388" s="293"/>
      <c r="FM388" s="293"/>
      <c r="FN388" s="293"/>
      <c r="FO388" s="293"/>
      <c r="FP388" s="293"/>
      <c r="FQ388" s="293"/>
      <c r="FR388" s="293"/>
      <c r="FS388" s="293"/>
      <c r="FT388" s="293"/>
      <c r="FU388" s="293"/>
      <c r="FV388" s="293"/>
      <c r="FW388" s="293">
        <v>9.2340063198682126E-2</v>
      </c>
      <c r="FX388" s="293">
        <v>0.11524411630216823</v>
      </c>
      <c r="FY388" s="293">
        <v>0.14171416749914964</v>
      </c>
      <c r="FZ388" s="293">
        <v>6.6866140149199421E-2</v>
      </c>
      <c r="GA388" s="293">
        <v>9.6456097691933931E-2</v>
      </c>
      <c r="GB388" s="293">
        <v>0.27037780815886664</v>
      </c>
      <c r="GC388" s="293">
        <v>1.2426386619662857</v>
      </c>
      <c r="GD388" s="293">
        <v>1.5595893771090639</v>
      </c>
      <c r="GE388" s="293">
        <v>3.0518096729246502</v>
      </c>
      <c r="GF388" s="293">
        <v>0.17165030568481376</v>
      </c>
      <c r="GG388" s="293">
        <v>0.17660300052462727</v>
      </c>
      <c r="GH388" s="293">
        <v>0.27698401279400947</v>
      </c>
      <c r="GI388" s="293">
        <v>0.13460255700000001</v>
      </c>
      <c r="GJ388" s="293">
        <v>0.159268837</v>
      </c>
      <c r="GK388" s="293">
        <v>0.14826814999999999</v>
      </c>
      <c r="GL388" s="293">
        <v>0.113621295</v>
      </c>
      <c r="GM388" s="293">
        <v>0.12733825400000001</v>
      </c>
      <c r="GN388" s="293">
        <v>0.15216264099999999</v>
      </c>
      <c r="GO388" s="293">
        <v>4.7044156880000001</v>
      </c>
      <c r="GP388" s="293">
        <v>0.805456756</v>
      </c>
      <c r="GQ388" s="293">
        <v>0.47953915200000002</v>
      </c>
      <c r="GR388" s="293">
        <v>0.20474355699999999</v>
      </c>
      <c r="GS388" s="293">
        <v>0.21043287699999999</v>
      </c>
      <c r="GT388" s="293">
        <v>0.160150235</v>
      </c>
      <c r="GU388" s="293">
        <v>0.50321992000000004</v>
      </c>
      <c r="GV388" s="293">
        <v>0.60779959400000005</v>
      </c>
      <c r="GW388" s="293">
        <v>0.49503668099999998</v>
      </c>
      <c r="GX388" s="293">
        <v>0.49720740099999999</v>
      </c>
      <c r="GY388" s="293">
        <v>0.25866908399999999</v>
      </c>
      <c r="GZ388" s="293">
        <v>9.1145840000000006E-2</v>
      </c>
      <c r="HA388" s="293">
        <v>4.5787891690000002</v>
      </c>
      <c r="HB388" s="293">
        <v>2.4912074770000001</v>
      </c>
      <c r="HC388" s="293">
        <v>0.57395500700000002</v>
      </c>
      <c r="HD388" s="293">
        <v>1.6551297110000001</v>
      </c>
      <c r="HE388" s="293">
        <v>0.47746946800000001</v>
      </c>
      <c r="HF388" s="293">
        <v>0.69640668999999999</v>
      </c>
      <c r="HG388" s="293">
        <v>1.4705108929999999</v>
      </c>
      <c r="HH388" s="293">
        <v>0.35344490099999998</v>
      </c>
      <c r="HI388" s="293">
        <v>0.52472494999999997</v>
      </c>
      <c r="HJ388" s="293">
        <v>1.2265425750000001</v>
      </c>
      <c r="HK388" s="293">
        <v>0.41492590299999998</v>
      </c>
      <c r="HL388" s="293">
        <v>0.80634871922222218</v>
      </c>
      <c r="HM388" s="293">
        <v>7.6825107749999999</v>
      </c>
      <c r="HN388" s="293">
        <v>0.77382195899999995</v>
      </c>
      <c r="HO388" s="293">
        <v>0.86608759000000002</v>
      </c>
      <c r="HP388" s="293">
        <v>1.985425024</v>
      </c>
      <c r="HQ388" s="293">
        <v>0.54973059300000005</v>
      </c>
      <c r="HR388" s="293">
        <v>0.62183213900000001</v>
      </c>
      <c r="HS388" s="293">
        <v>1.8019394980000001</v>
      </c>
      <c r="HT388" s="293">
        <v>0.47487448700000001</v>
      </c>
      <c r="HU388" s="293">
        <v>0.52530582999999997</v>
      </c>
      <c r="HV388" s="293">
        <v>1.675391273</v>
      </c>
      <c r="HW388" s="293">
        <v>0.43035506200000001</v>
      </c>
      <c r="HX388" s="293">
        <v>0.42810213899999999</v>
      </c>
      <c r="HY388" s="293"/>
      <c r="KT388" s="280"/>
    </row>
    <row r="389" spans="1:306" outlineLevel="1">
      <c r="A389" s="96" t="s">
        <v>395</v>
      </c>
      <c r="B389" s="96" t="s">
        <v>338</v>
      </c>
      <c r="D389" s="321" t="s">
        <v>472</v>
      </c>
      <c r="E389" s="293"/>
      <c r="F389" s="293"/>
      <c r="G389" s="293"/>
      <c r="H389" s="293"/>
      <c r="I389" s="293"/>
      <c r="J389" s="293"/>
      <c r="K389" s="293"/>
      <c r="L389" s="293"/>
      <c r="M389" s="293"/>
      <c r="N389" s="293"/>
      <c r="O389" s="293"/>
      <c r="P389" s="293"/>
      <c r="Q389" s="293"/>
      <c r="R389" s="293"/>
      <c r="S389" s="293"/>
      <c r="T389" s="293"/>
      <c r="U389" s="293"/>
      <c r="V389" s="293"/>
      <c r="W389" s="293"/>
      <c r="X389" s="293"/>
      <c r="Y389" s="29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c r="BN389" s="293"/>
      <c r="BO389" s="293"/>
      <c r="BP389" s="293"/>
      <c r="BQ389" s="293"/>
      <c r="BR389" s="293"/>
      <c r="BS389" s="293"/>
      <c r="BT389" s="293"/>
      <c r="BU389" s="293"/>
      <c r="BV389" s="293"/>
      <c r="BW389" s="293"/>
      <c r="BX389" s="293"/>
      <c r="BY389" s="293"/>
      <c r="BZ389" s="293"/>
      <c r="CA389" s="293"/>
      <c r="CB389" s="293"/>
      <c r="CC389" s="293"/>
      <c r="CD389" s="293"/>
      <c r="CE389" s="294">
        <v>0</v>
      </c>
      <c r="CF389" s="293">
        <v>0</v>
      </c>
      <c r="CG389" s="293">
        <v>0</v>
      </c>
      <c r="CH389" s="293">
        <v>0</v>
      </c>
      <c r="CI389" s="293">
        <v>0</v>
      </c>
      <c r="CJ389" s="293">
        <v>0</v>
      </c>
      <c r="CK389" s="293">
        <v>0</v>
      </c>
      <c r="CL389" s="293">
        <v>0</v>
      </c>
      <c r="CM389" s="293">
        <v>0</v>
      </c>
      <c r="CN389" s="293">
        <v>0</v>
      </c>
      <c r="CO389" s="293">
        <v>0</v>
      </c>
      <c r="CP389" s="295">
        <v>0</v>
      </c>
      <c r="CQ389" s="293">
        <v>0</v>
      </c>
      <c r="CR389" s="293">
        <v>0</v>
      </c>
      <c r="CS389" s="293">
        <v>0</v>
      </c>
      <c r="CT389" s="293">
        <v>0</v>
      </c>
      <c r="CU389" s="293">
        <v>0</v>
      </c>
      <c r="CV389" s="293">
        <v>0</v>
      </c>
      <c r="CW389" s="293">
        <v>0</v>
      </c>
      <c r="CX389" s="293">
        <v>0</v>
      </c>
      <c r="CY389" s="293">
        <v>0</v>
      </c>
      <c r="CZ389" s="293">
        <v>0</v>
      </c>
      <c r="DA389" s="293">
        <v>0</v>
      </c>
      <c r="DB389" s="1288">
        <v>0</v>
      </c>
      <c r="DC389" s="293">
        <v>0</v>
      </c>
      <c r="DD389" s="293">
        <v>0</v>
      </c>
      <c r="DE389" s="293">
        <v>0</v>
      </c>
      <c r="DF389" s="293">
        <v>0</v>
      </c>
      <c r="DG389" s="293">
        <v>0</v>
      </c>
      <c r="DH389" s="293">
        <v>0</v>
      </c>
      <c r="DI389" s="293">
        <v>0</v>
      </c>
      <c r="DJ389" s="293">
        <v>0</v>
      </c>
      <c r="DK389" s="293">
        <v>0</v>
      </c>
      <c r="DL389" s="293">
        <v>0</v>
      </c>
      <c r="DM389" s="293">
        <v>0</v>
      </c>
      <c r="DN389" s="295">
        <v>0</v>
      </c>
      <c r="DO389" s="293">
        <v>0</v>
      </c>
      <c r="DP389" s="293">
        <v>0</v>
      </c>
      <c r="DQ389" s="293">
        <v>0</v>
      </c>
      <c r="DR389" s="293">
        <v>0</v>
      </c>
      <c r="DS389" s="293">
        <v>0</v>
      </c>
      <c r="DT389" s="293">
        <v>0</v>
      </c>
      <c r="DU389" s="293">
        <v>0</v>
      </c>
      <c r="DV389" s="293">
        <v>0</v>
      </c>
      <c r="DW389" s="293">
        <v>0</v>
      </c>
      <c r="DX389" s="293">
        <v>0</v>
      </c>
      <c r="DY389" s="293">
        <v>0</v>
      </c>
      <c r="DZ389" s="295">
        <v>0</v>
      </c>
      <c r="EA389" s="293">
        <v>0</v>
      </c>
      <c r="EB389" s="293">
        <v>0</v>
      </c>
      <c r="EC389" s="293">
        <v>0</v>
      </c>
      <c r="ED389" s="293">
        <v>0</v>
      </c>
      <c r="EE389" s="293">
        <v>0</v>
      </c>
      <c r="EF389" s="293">
        <v>0</v>
      </c>
      <c r="EG389" s="293">
        <v>0</v>
      </c>
      <c r="EH389" s="293">
        <v>0</v>
      </c>
      <c r="EI389" s="293">
        <v>0</v>
      </c>
      <c r="EJ389" s="293">
        <v>0</v>
      </c>
      <c r="EK389" s="293">
        <v>0</v>
      </c>
      <c r="EL389" s="295">
        <v>0</v>
      </c>
      <c r="EM389" s="293">
        <v>0</v>
      </c>
      <c r="EN389" s="293">
        <v>0</v>
      </c>
      <c r="EO389" s="293">
        <v>0</v>
      </c>
      <c r="EP389" s="293">
        <v>0</v>
      </c>
      <c r="EQ389" s="293">
        <v>0</v>
      </c>
      <c r="ER389" s="293">
        <v>0</v>
      </c>
      <c r="ES389" s="293">
        <v>0</v>
      </c>
      <c r="ET389" s="293">
        <v>0</v>
      </c>
      <c r="EU389" s="293">
        <v>0</v>
      </c>
      <c r="EV389" s="293">
        <v>0</v>
      </c>
      <c r="EW389" s="293">
        <v>0</v>
      </c>
      <c r="EX389" s="295">
        <v>0</v>
      </c>
      <c r="EY389" s="293">
        <v>0</v>
      </c>
      <c r="EZ389" s="293">
        <v>0</v>
      </c>
      <c r="FA389" s="293">
        <v>0</v>
      </c>
      <c r="FB389" s="293">
        <v>0</v>
      </c>
      <c r="FC389" s="293">
        <v>0</v>
      </c>
      <c r="FD389" s="293">
        <v>0</v>
      </c>
      <c r="FE389" s="293">
        <v>0</v>
      </c>
      <c r="FF389" s="293">
        <v>0</v>
      </c>
      <c r="FG389" s="293">
        <v>0</v>
      </c>
      <c r="FH389" s="293">
        <v>0</v>
      </c>
      <c r="FI389" s="293">
        <v>0</v>
      </c>
      <c r="FJ389" s="295">
        <v>0</v>
      </c>
      <c r="FK389" s="293">
        <v>0</v>
      </c>
      <c r="FL389" s="293">
        <v>0</v>
      </c>
      <c r="FM389" s="293">
        <v>0</v>
      </c>
      <c r="FN389" s="293">
        <v>0</v>
      </c>
      <c r="FO389" s="293">
        <v>0</v>
      </c>
      <c r="FP389" s="293">
        <v>0</v>
      </c>
      <c r="FQ389" s="293">
        <v>0</v>
      </c>
      <c r="FR389" s="293">
        <v>0</v>
      </c>
      <c r="FS389" s="293">
        <v>0</v>
      </c>
      <c r="FT389" s="293">
        <v>0</v>
      </c>
      <c r="FU389" s="293">
        <v>0</v>
      </c>
      <c r="FV389" s="293">
        <v>0</v>
      </c>
      <c r="FW389" s="293">
        <v>0</v>
      </c>
      <c r="FX389" s="293">
        <v>0</v>
      </c>
      <c r="FY389" s="293">
        <v>0</v>
      </c>
      <c r="FZ389" s="293">
        <v>0</v>
      </c>
      <c r="GA389" s="293">
        <v>0</v>
      </c>
      <c r="GB389" s="293">
        <v>0</v>
      </c>
      <c r="GC389" s="293">
        <v>0</v>
      </c>
      <c r="GD389" s="293">
        <v>0</v>
      </c>
      <c r="GE389" s="293">
        <v>0</v>
      </c>
      <c r="GF389" s="293">
        <v>0</v>
      </c>
      <c r="GG389" s="293">
        <v>0</v>
      </c>
      <c r="GH389" s="293">
        <v>0</v>
      </c>
      <c r="GI389" s="293">
        <v>0</v>
      </c>
      <c r="GJ389" s="293">
        <v>0</v>
      </c>
      <c r="GK389" s="293">
        <v>0</v>
      </c>
      <c r="GL389" s="293">
        <v>0</v>
      </c>
      <c r="GM389" s="293">
        <v>0</v>
      </c>
      <c r="GN389" s="293">
        <v>0</v>
      </c>
      <c r="GO389" s="293">
        <v>0</v>
      </c>
      <c r="GP389" s="293">
        <v>0</v>
      </c>
      <c r="GQ389" s="293">
        <v>0</v>
      </c>
      <c r="GR389" s="293">
        <v>0</v>
      </c>
      <c r="GS389" s="293">
        <v>0</v>
      </c>
      <c r="GT389" s="293">
        <v>0</v>
      </c>
      <c r="GU389" s="293">
        <v>2.2973842000000001E-2</v>
      </c>
      <c r="GV389" s="293">
        <v>7.9093081515383343E-3</v>
      </c>
      <c r="GW389" s="293">
        <v>9.0049268240762655E-3</v>
      </c>
      <c r="GX389" s="293">
        <v>1.3872513E-2</v>
      </c>
      <c r="GY389" s="293">
        <v>1.4325071E-2</v>
      </c>
      <c r="GZ389" s="293">
        <v>1.0921128E-2</v>
      </c>
      <c r="HA389" s="293">
        <v>1.2481096000000001E-2</v>
      </c>
      <c r="HB389" s="293">
        <v>1.0659699E-2</v>
      </c>
      <c r="HC389" s="293">
        <v>8.8023889932264329E-3</v>
      </c>
      <c r="HD389" s="293">
        <v>1.4227445E-2</v>
      </c>
      <c r="HE389" s="293">
        <v>1.4499659E-2</v>
      </c>
      <c r="HF389" s="293">
        <v>1.509216E-2</v>
      </c>
      <c r="HG389" s="293">
        <v>1.4966055000000001E-2</v>
      </c>
      <c r="HH389" s="293">
        <v>1.3043183999999999E-2</v>
      </c>
      <c r="HI389" s="293">
        <v>1.2706491E-2</v>
      </c>
      <c r="HJ389" s="293">
        <v>1.2421919999999999E-2</v>
      </c>
      <c r="HK389" s="293">
        <v>1.2823179000000001E-2</v>
      </c>
      <c r="HL389" s="293">
        <v>1.3846917E-2</v>
      </c>
      <c r="HM389" s="293">
        <v>1.5200751E-2</v>
      </c>
      <c r="HN389" s="293">
        <v>1.2703992000000001E-2</v>
      </c>
      <c r="HO389" s="293">
        <v>1.5040246E-2</v>
      </c>
      <c r="HP389" s="293">
        <v>1.6544836E-2</v>
      </c>
      <c r="HQ389" s="293">
        <v>1.7706745999999999E-2</v>
      </c>
      <c r="HR389" s="293">
        <v>1.8470936E-2</v>
      </c>
      <c r="HS389" s="293">
        <v>1.5181923999999999E-2</v>
      </c>
      <c r="HT389" s="293">
        <v>1.3281785000000001E-2</v>
      </c>
      <c r="HU389" s="293">
        <v>1.3036310000000001E-2</v>
      </c>
      <c r="HV389" s="293">
        <v>1.4239112999999999E-2</v>
      </c>
      <c r="HW389" s="293">
        <v>1.22153E-2</v>
      </c>
      <c r="HX389" s="293">
        <v>1.6314312000000001E-2</v>
      </c>
      <c r="HY389" s="293"/>
      <c r="KT389" s="280"/>
    </row>
    <row r="390" spans="1:306" outlineLevel="1">
      <c r="A390" s="96" t="s">
        <v>395</v>
      </c>
      <c r="B390" s="96" t="s">
        <v>338</v>
      </c>
      <c r="D390" s="321" t="s">
        <v>486</v>
      </c>
      <c r="E390" s="293"/>
      <c r="F390" s="293"/>
      <c r="G390" s="293"/>
      <c r="H390" s="293"/>
      <c r="I390" s="293"/>
      <c r="J390" s="293"/>
      <c r="K390" s="293"/>
      <c r="L390" s="293"/>
      <c r="M390" s="293"/>
      <c r="N390" s="293"/>
      <c r="O390" s="293"/>
      <c r="P390" s="293"/>
      <c r="Q390" s="293"/>
      <c r="R390" s="293"/>
      <c r="S390" s="293"/>
      <c r="T390" s="293"/>
      <c r="U390" s="293"/>
      <c r="V390" s="293"/>
      <c r="W390" s="293"/>
      <c r="X390" s="293"/>
      <c r="Y390" s="29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c r="BN390" s="293"/>
      <c r="BO390" s="293"/>
      <c r="BP390" s="293"/>
      <c r="BQ390" s="293"/>
      <c r="BR390" s="293"/>
      <c r="BS390" s="293"/>
      <c r="BT390" s="293"/>
      <c r="BU390" s="293"/>
      <c r="BV390" s="293"/>
      <c r="BW390" s="293"/>
      <c r="BX390" s="293"/>
      <c r="BY390" s="293"/>
      <c r="BZ390" s="293"/>
      <c r="CA390" s="293"/>
      <c r="CB390" s="293"/>
      <c r="CC390" s="293"/>
      <c r="CD390" s="293"/>
      <c r="CE390" s="294">
        <v>0</v>
      </c>
      <c r="CF390" s="293">
        <v>0</v>
      </c>
      <c r="CG390" s="293">
        <v>0</v>
      </c>
      <c r="CH390" s="293">
        <v>0</v>
      </c>
      <c r="CI390" s="293">
        <v>0</v>
      </c>
      <c r="CJ390" s="293">
        <v>0</v>
      </c>
      <c r="CK390" s="293">
        <v>0</v>
      </c>
      <c r="CL390" s="293">
        <v>0</v>
      </c>
      <c r="CM390" s="293">
        <v>0</v>
      </c>
      <c r="CN390" s="293">
        <v>0</v>
      </c>
      <c r="CO390" s="293">
        <v>0</v>
      </c>
      <c r="CP390" s="295">
        <v>0</v>
      </c>
      <c r="CQ390" s="293">
        <v>0</v>
      </c>
      <c r="CR390" s="293">
        <v>0</v>
      </c>
      <c r="CS390" s="293">
        <v>0</v>
      </c>
      <c r="CT390" s="293">
        <v>0</v>
      </c>
      <c r="CU390" s="293">
        <v>0</v>
      </c>
      <c r="CV390" s="293">
        <v>0</v>
      </c>
      <c r="CW390" s="293">
        <v>0</v>
      </c>
      <c r="CX390" s="293">
        <v>0</v>
      </c>
      <c r="CY390" s="293">
        <v>0</v>
      </c>
      <c r="CZ390" s="293">
        <v>0</v>
      </c>
      <c r="DA390" s="293">
        <v>0</v>
      </c>
      <c r="DB390" s="1288">
        <v>0</v>
      </c>
      <c r="DC390" s="293">
        <v>0</v>
      </c>
      <c r="DD390" s="293">
        <v>0</v>
      </c>
      <c r="DE390" s="293">
        <v>0</v>
      </c>
      <c r="DF390" s="293">
        <v>0</v>
      </c>
      <c r="DG390" s="293">
        <v>0</v>
      </c>
      <c r="DH390" s="293">
        <v>0</v>
      </c>
      <c r="DI390" s="293">
        <v>0</v>
      </c>
      <c r="DJ390" s="293">
        <v>0</v>
      </c>
      <c r="DK390" s="293">
        <v>0</v>
      </c>
      <c r="DL390" s="293">
        <v>0</v>
      </c>
      <c r="DM390" s="293">
        <v>0</v>
      </c>
      <c r="DN390" s="295">
        <v>0</v>
      </c>
      <c r="DO390" s="293">
        <v>0</v>
      </c>
      <c r="DP390" s="293">
        <v>0</v>
      </c>
      <c r="DQ390" s="293">
        <v>0</v>
      </c>
      <c r="DR390" s="293">
        <v>0</v>
      </c>
      <c r="DS390" s="293">
        <v>0</v>
      </c>
      <c r="DT390" s="293">
        <v>0</v>
      </c>
      <c r="DU390" s="293">
        <v>0</v>
      </c>
      <c r="DV390" s="293">
        <v>0</v>
      </c>
      <c r="DW390" s="293">
        <v>0</v>
      </c>
      <c r="DX390" s="293">
        <v>0</v>
      </c>
      <c r="DY390" s="293">
        <v>0</v>
      </c>
      <c r="DZ390" s="295">
        <v>0</v>
      </c>
      <c r="EA390" s="293">
        <v>0</v>
      </c>
      <c r="EB390" s="293">
        <v>0</v>
      </c>
      <c r="EC390" s="293">
        <v>0</v>
      </c>
      <c r="ED390" s="293">
        <v>0</v>
      </c>
      <c r="EE390" s="293">
        <v>0</v>
      </c>
      <c r="EF390" s="293">
        <v>0</v>
      </c>
      <c r="EG390" s="293">
        <v>0</v>
      </c>
      <c r="EH390" s="293">
        <v>0</v>
      </c>
      <c r="EI390" s="293">
        <v>0</v>
      </c>
      <c r="EJ390" s="293">
        <v>0</v>
      </c>
      <c r="EK390" s="293">
        <v>0</v>
      </c>
      <c r="EL390" s="295">
        <v>0</v>
      </c>
      <c r="EM390" s="293">
        <v>0</v>
      </c>
      <c r="EN390" s="293">
        <v>0</v>
      </c>
      <c r="EO390" s="293">
        <v>0</v>
      </c>
      <c r="EP390" s="293">
        <v>0</v>
      </c>
      <c r="EQ390" s="293">
        <v>0</v>
      </c>
      <c r="ER390" s="293">
        <v>0</v>
      </c>
      <c r="ES390" s="293">
        <v>0</v>
      </c>
      <c r="ET390" s="293">
        <v>0</v>
      </c>
      <c r="EU390" s="293">
        <v>0</v>
      </c>
      <c r="EV390" s="293">
        <v>0</v>
      </c>
      <c r="EW390" s="293">
        <v>0</v>
      </c>
      <c r="EX390" s="295">
        <v>0</v>
      </c>
      <c r="EY390" s="293">
        <v>0</v>
      </c>
      <c r="EZ390" s="293">
        <v>0</v>
      </c>
      <c r="FA390" s="293">
        <v>0</v>
      </c>
      <c r="FB390" s="293">
        <v>0</v>
      </c>
      <c r="FC390" s="293">
        <v>0</v>
      </c>
      <c r="FD390" s="293">
        <v>0</v>
      </c>
      <c r="FE390" s="293">
        <v>0</v>
      </c>
      <c r="FF390" s="293">
        <v>0</v>
      </c>
      <c r="FG390" s="293">
        <v>0</v>
      </c>
      <c r="FH390" s="293">
        <v>0</v>
      </c>
      <c r="FI390" s="293">
        <v>0</v>
      </c>
      <c r="FJ390" s="295">
        <v>0</v>
      </c>
      <c r="FK390" s="293">
        <v>0</v>
      </c>
      <c r="FL390" s="293">
        <v>0</v>
      </c>
      <c r="FM390" s="293">
        <v>0</v>
      </c>
      <c r="FN390" s="293">
        <v>0</v>
      </c>
      <c r="FO390" s="293">
        <v>0</v>
      </c>
      <c r="FP390" s="293">
        <v>0</v>
      </c>
      <c r="FQ390" s="293">
        <v>0</v>
      </c>
      <c r="FR390" s="293">
        <v>0</v>
      </c>
      <c r="FS390" s="293">
        <v>0</v>
      </c>
      <c r="FT390" s="293">
        <v>0</v>
      </c>
      <c r="FU390" s="293">
        <v>0</v>
      </c>
      <c r="FV390" s="293">
        <v>0</v>
      </c>
      <c r="FW390" s="293">
        <v>0.53613413799999998</v>
      </c>
      <c r="FX390" s="293">
        <v>0.24760492100000001</v>
      </c>
      <c r="FY390" s="293">
        <v>0.66690695</v>
      </c>
      <c r="FZ390" s="293">
        <v>0.74134770900000002</v>
      </c>
      <c r="GA390" s="293">
        <v>0.60745584500000005</v>
      </c>
      <c r="GB390" s="293">
        <v>0.56379494799999996</v>
      </c>
      <c r="GC390" s="293">
        <v>0.82179414100000003</v>
      </c>
      <c r="GD390" s="293">
        <v>0.64907314299999996</v>
      </c>
      <c r="GE390" s="293">
        <v>0.77483250599999998</v>
      </c>
      <c r="GF390" s="293">
        <v>4.5120376289999999</v>
      </c>
      <c r="GG390" s="293">
        <v>0.992725529</v>
      </c>
      <c r="GH390" s="293">
        <v>0.88970608500000004</v>
      </c>
      <c r="GI390" s="293">
        <v>0</v>
      </c>
      <c r="GJ390" s="293">
        <v>0</v>
      </c>
      <c r="GK390" s="293">
        <v>0</v>
      </c>
      <c r="GL390" s="293">
        <v>0</v>
      </c>
      <c r="GM390" s="293">
        <v>0</v>
      </c>
      <c r="GN390" s="293">
        <v>0</v>
      </c>
      <c r="GO390" s="293">
        <v>0</v>
      </c>
      <c r="GP390" s="293">
        <v>0</v>
      </c>
      <c r="GQ390" s="293">
        <v>0</v>
      </c>
      <c r="GR390" s="293">
        <v>0</v>
      </c>
      <c r="GS390" s="293">
        <v>0</v>
      </c>
      <c r="GT390" s="293">
        <v>0</v>
      </c>
      <c r="GU390" s="293">
        <v>0.61806958547062929</v>
      </c>
      <c r="GV390" s="293">
        <v>0.39520106500000002</v>
      </c>
      <c r="GW390" s="293">
        <v>4.3836005238156017E-3</v>
      </c>
      <c r="GX390" s="293">
        <v>0</v>
      </c>
      <c r="GY390" s="293">
        <v>3.9982533000000001E-2</v>
      </c>
      <c r="GZ390" s="293">
        <v>0.124424428</v>
      </c>
      <c r="HA390" s="293">
        <v>0.13311120700000001</v>
      </c>
      <c r="HB390" s="293">
        <v>7.1928829999999997E-3</v>
      </c>
      <c r="HC390" s="293">
        <v>2.0180885999999999E-2</v>
      </c>
      <c r="HD390" s="293">
        <v>3.6171157000000002E-2</v>
      </c>
      <c r="HE390" s="293">
        <v>3.1690498999999997E-2</v>
      </c>
      <c r="HF390" s="293">
        <v>3.7292060000000001E-3</v>
      </c>
      <c r="HG390" s="293">
        <v>0.17776224299999999</v>
      </c>
      <c r="HH390" s="293">
        <v>0.48459601899999999</v>
      </c>
      <c r="HI390" s="293">
        <v>0.13822342900000001</v>
      </c>
      <c r="HJ390" s="293">
        <v>8.8446110000000005E-3</v>
      </c>
      <c r="HK390" s="293">
        <v>0.436889837</v>
      </c>
      <c r="HL390" s="293">
        <v>1.230767E-3</v>
      </c>
      <c r="HM390" s="293">
        <v>0</v>
      </c>
      <c r="HN390" s="293">
        <v>0.11565133900000001</v>
      </c>
      <c r="HO390" s="293">
        <v>0</v>
      </c>
      <c r="HP390" s="293">
        <v>0.25707180400000001</v>
      </c>
      <c r="HQ390" s="293">
        <v>0.10854937200000001</v>
      </c>
      <c r="HR390" s="293">
        <v>0</v>
      </c>
      <c r="HS390" s="293">
        <v>2.1535970070000001</v>
      </c>
      <c r="HT390" s="293">
        <v>2.270428077</v>
      </c>
      <c r="HU390" s="293">
        <v>2.0114740270000002</v>
      </c>
      <c r="HV390" s="293">
        <v>2.5774467319999999</v>
      </c>
      <c r="HW390" s="293">
        <v>2.635169297</v>
      </c>
      <c r="HX390" s="293">
        <v>2.3510025849999998</v>
      </c>
      <c r="HY390" s="293"/>
      <c r="KT390" s="280"/>
    </row>
    <row r="391" spans="1:306" outlineLevel="1">
      <c r="A391" s="96" t="s">
        <v>395</v>
      </c>
      <c r="B391" s="96" t="s">
        <v>338</v>
      </c>
      <c r="D391" s="320" t="s">
        <v>487</v>
      </c>
      <c r="E391" s="293"/>
      <c r="F391" s="293"/>
      <c r="G391" s="293"/>
      <c r="H391" s="293"/>
      <c r="I391" s="293"/>
      <c r="J391" s="293"/>
      <c r="K391" s="293"/>
      <c r="L391" s="293"/>
      <c r="M391" s="293"/>
      <c r="N391" s="293"/>
      <c r="O391" s="293"/>
      <c r="P391" s="293"/>
      <c r="Q391" s="293"/>
      <c r="R391" s="293"/>
      <c r="S391" s="293"/>
      <c r="T391" s="293"/>
      <c r="U391" s="293"/>
      <c r="V391" s="293"/>
      <c r="W391" s="293"/>
      <c r="X391" s="293"/>
      <c r="Y391" s="29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c r="BN391" s="293"/>
      <c r="BO391" s="293"/>
      <c r="BP391" s="293"/>
      <c r="BQ391" s="293"/>
      <c r="BR391" s="293"/>
      <c r="BS391" s="293"/>
      <c r="BT391" s="293"/>
      <c r="BU391" s="293"/>
      <c r="BV391" s="293"/>
      <c r="BW391" s="293"/>
      <c r="BX391" s="293"/>
      <c r="BY391" s="293"/>
      <c r="BZ391" s="293"/>
      <c r="CA391" s="293"/>
      <c r="CB391" s="293"/>
      <c r="CC391" s="293"/>
      <c r="CD391" s="293"/>
      <c r="CE391" s="294">
        <v>3.7939490010000001</v>
      </c>
      <c r="CF391" s="293">
        <v>3.6849063950000001</v>
      </c>
      <c r="CG391" s="293">
        <v>4.2298009200000006</v>
      </c>
      <c r="CH391" s="293">
        <v>4.7960771339999999</v>
      </c>
      <c r="CI391" s="293">
        <v>4.4440132929999994</v>
      </c>
      <c r="CJ391" s="293">
        <v>4.6901386550000002</v>
      </c>
      <c r="CK391" s="293">
        <v>5.1187349449999999</v>
      </c>
      <c r="CL391" s="293">
        <v>4.5187200610000007</v>
      </c>
      <c r="CM391" s="293">
        <v>4.7120015899999999</v>
      </c>
      <c r="CN391" s="293">
        <v>4.5289465480000004</v>
      </c>
      <c r="CO391" s="293">
        <v>5.0770140540000002</v>
      </c>
      <c r="CP391" s="295">
        <v>6.5780947249999997</v>
      </c>
      <c r="CQ391" s="293">
        <v>4.5260695740000001</v>
      </c>
      <c r="CR391" s="293">
        <v>4.4296167329999996</v>
      </c>
      <c r="CS391" s="293">
        <v>5.1189771039999998</v>
      </c>
      <c r="CT391" s="293">
        <v>4.653692693</v>
      </c>
      <c r="CU391" s="293">
        <v>5.2470855609999996</v>
      </c>
      <c r="CV391" s="293">
        <v>5.120880852</v>
      </c>
      <c r="CW391" s="293">
        <v>5.8398687669999996</v>
      </c>
      <c r="CX391" s="293">
        <v>5.2255585289999997</v>
      </c>
      <c r="CY391" s="293">
        <v>5.4515260190000001</v>
      </c>
      <c r="CZ391" s="293">
        <v>5.5418820239999995</v>
      </c>
      <c r="DA391" s="293">
        <v>6.403867397</v>
      </c>
      <c r="DB391" s="1288">
        <v>6.7253262319999996</v>
      </c>
      <c r="DC391" s="293">
        <v>4.717518391219099</v>
      </c>
      <c r="DD391" s="293">
        <v>5.0071018254349102</v>
      </c>
      <c r="DE391" s="293">
        <v>5.8552444317066703</v>
      </c>
      <c r="DF391" s="293">
        <v>6.2349773763509688</v>
      </c>
      <c r="DG391" s="293">
        <v>6.6207631803169766</v>
      </c>
      <c r="DH391" s="293">
        <v>6.4818232372852265</v>
      </c>
      <c r="DI391" s="293">
        <v>6.1764333713555928</v>
      </c>
      <c r="DJ391" s="293">
        <v>6.7243387316349805</v>
      </c>
      <c r="DK391" s="293">
        <v>6.6414733698364117</v>
      </c>
      <c r="DL391" s="293">
        <v>6.4436331890574552</v>
      </c>
      <c r="DM391" s="293">
        <v>7.3935269252555615</v>
      </c>
      <c r="DN391" s="295">
        <v>7.5153159330142207</v>
      </c>
      <c r="DO391" s="293">
        <v>5.8731630538802673</v>
      </c>
      <c r="DP391" s="293">
        <v>6.8078431655664318</v>
      </c>
      <c r="DQ391" s="293">
        <v>6.4688609146038862</v>
      </c>
      <c r="DR391" s="293">
        <v>5.6332750131440354</v>
      </c>
      <c r="DS391" s="293">
        <v>6.2808248521408157</v>
      </c>
      <c r="DT391" s="293">
        <v>6.9785687391861932</v>
      </c>
      <c r="DU391" s="293">
        <v>6.4535900326504123</v>
      </c>
      <c r="DV391" s="293">
        <v>6.1697360451144787</v>
      </c>
      <c r="DW391" s="293">
        <v>7.4766078562602099</v>
      </c>
      <c r="DX391" s="293">
        <v>6.3795661551859313</v>
      </c>
      <c r="DY391" s="293">
        <v>8.3772605749685294</v>
      </c>
      <c r="DZ391" s="295">
        <v>7.7605591533426193</v>
      </c>
      <c r="EA391" s="293">
        <v>6.1493475067648262</v>
      </c>
      <c r="EB391" s="293">
        <v>6.2040950000465163</v>
      </c>
      <c r="EC391" s="293">
        <v>6.9022639913784412</v>
      </c>
      <c r="ED391" s="293">
        <v>7.5065225584641651</v>
      </c>
      <c r="EE391" s="293">
        <v>6.7874645516201646</v>
      </c>
      <c r="EF391" s="293">
        <v>8.0890839007437059</v>
      </c>
      <c r="EG391" s="293">
        <v>7.8174915835055865</v>
      </c>
      <c r="EH391" s="293">
        <v>6.1129786020533592</v>
      </c>
      <c r="EI391" s="293">
        <v>7.2803985792543404</v>
      </c>
      <c r="EJ391" s="293">
        <v>6.1156640965712405</v>
      </c>
      <c r="EK391" s="293">
        <v>7.357798925689039</v>
      </c>
      <c r="EL391" s="295">
        <v>7.2199111359018326</v>
      </c>
      <c r="EM391" s="293">
        <v>8.0683065989999996</v>
      </c>
      <c r="EN391" s="293">
        <v>9.4906773229999999</v>
      </c>
      <c r="EO391" s="293">
        <v>7.7190137740000004</v>
      </c>
      <c r="EP391" s="293">
        <v>8.2399675400000003</v>
      </c>
      <c r="EQ391" s="293">
        <v>9.2015794169999996</v>
      </c>
      <c r="ER391" s="293">
        <v>10.894658637999999</v>
      </c>
      <c r="ES391" s="293">
        <v>10.052058144</v>
      </c>
      <c r="ET391" s="293">
        <v>9.3441168450000003</v>
      </c>
      <c r="EU391" s="293">
        <v>8.8959362710000001</v>
      </c>
      <c r="EV391" s="293">
        <v>10.422192985000001</v>
      </c>
      <c r="EW391" s="293">
        <v>10.007485909</v>
      </c>
      <c r="EX391" s="295">
        <v>9.4093752990000006</v>
      </c>
      <c r="EY391" s="293">
        <v>10.398021448</v>
      </c>
      <c r="EZ391" s="293">
        <v>11.89994688</v>
      </c>
      <c r="FA391" s="293">
        <v>8.7815171400000001</v>
      </c>
      <c r="FB391" s="293">
        <v>10.001424850999999</v>
      </c>
      <c r="FC391" s="293">
        <v>10.763715027610001</v>
      </c>
      <c r="FD391" s="293">
        <v>12.073045403479998</v>
      </c>
      <c r="FE391" s="293">
        <v>10.227735416700002</v>
      </c>
      <c r="FF391" s="293">
        <v>9.8075142343100001</v>
      </c>
      <c r="FG391" s="293">
        <v>10.532080037709999</v>
      </c>
      <c r="FH391" s="293">
        <v>5.8022008460200007</v>
      </c>
      <c r="FI391" s="293">
        <v>7.48305267899</v>
      </c>
      <c r="FJ391" s="295">
        <v>9.5112301575600018</v>
      </c>
      <c r="FK391" s="293">
        <v>9.296074136864517</v>
      </c>
      <c r="FL391" s="293">
        <v>10.65239108676109</v>
      </c>
      <c r="FM391" s="293">
        <v>10.976699959915249</v>
      </c>
      <c r="FN391" s="293">
        <v>12.10266366517248</v>
      </c>
      <c r="FO391" s="293">
        <v>10.558175669872419</v>
      </c>
      <c r="FP391" s="293">
        <v>11.37814121478068</v>
      </c>
      <c r="FQ391" s="293">
        <v>7.8399095164019643</v>
      </c>
      <c r="FR391" s="293">
        <v>9.0972629761733455</v>
      </c>
      <c r="FS391" s="293">
        <v>10.726625780432572</v>
      </c>
      <c r="FT391" s="293">
        <v>10.399853175586575</v>
      </c>
      <c r="FU391" s="293">
        <v>9.4452242049853279</v>
      </c>
      <c r="FV391" s="293">
        <v>11.269758498964924</v>
      </c>
      <c r="FW391" s="293">
        <v>9.4821284252321298</v>
      </c>
      <c r="FX391" s="293">
        <v>10.045892009600527</v>
      </c>
      <c r="FY391" s="293">
        <v>10.423432988996325</v>
      </c>
      <c r="FZ391" s="293">
        <v>10.200461923450804</v>
      </c>
      <c r="GA391" s="293">
        <v>10.529149483587618</v>
      </c>
      <c r="GB391" s="293">
        <v>12.424799576764602</v>
      </c>
      <c r="GC391" s="293">
        <v>9.3675806430179698</v>
      </c>
      <c r="GD391" s="293">
        <v>10.436896168783601</v>
      </c>
      <c r="GE391" s="293">
        <v>11.12648420926465</v>
      </c>
      <c r="GF391" s="293">
        <v>11.180707859421489</v>
      </c>
      <c r="GG391" s="293">
        <v>12.441656344522334</v>
      </c>
      <c r="GH391" s="293">
        <v>15.360749506889384</v>
      </c>
      <c r="GI391" s="293">
        <v>16.38637118794</v>
      </c>
      <c r="GJ391" s="293">
        <v>18.870421394480001</v>
      </c>
      <c r="GK391" s="293">
        <v>17.922437522620001</v>
      </c>
      <c r="GL391" s="293">
        <v>15.91175706177</v>
      </c>
      <c r="GM391" s="293">
        <v>17.6898592149</v>
      </c>
      <c r="GN391" s="293">
        <v>17.845496401392008</v>
      </c>
      <c r="GO391" s="293">
        <v>17.28448116675051</v>
      </c>
      <c r="GP391" s="293">
        <v>17.937385359725457</v>
      </c>
      <c r="GQ391" s="293">
        <v>18.388605268396716</v>
      </c>
      <c r="GR391" s="293">
        <v>14.653189289850001</v>
      </c>
      <c r="GS391" s="293">
        <v>19.5043521843</v>
      </c>
      <c r="GT391" s="293">
        <v>19.236271389540001</v>
      </c>
      <c r="GU391" s="293">
        <v>16.109238721179999</v>
      </c>
      <c r="GV391" s="293">
        <v>16.080309593607428</v>
      </c>
      <c r="GW391" s="293">
        <v>15.752290386280876</v>
      </c>
      <c r="GX391" s="293">
        <v>14.5539997201</v>
      </c>
      <c r="GY391" s="293">
        <v>14.038801213699999</v>
      </c>
      <c r="GZ391" s="293">
        <v>15.968614914</v>
      </c>
      <c r="HA391" s="293">
        <v>16.682865285489999</v>
      </c>
      <c r="HB391" s="293">
        <v>14.36316860374</v>
      </c>
      <c r="HC391" s="293">
        <v>15.680942144125849</v>
      </c>
      <c r="HD391" s="293">
        <v>15.896774606989998</v>
      </c>
      <c r="HE391" s="293">
        <v>18.334208299580002</v>
      </c>
      <c r="HF391" s="293">
        <v>21.025106816680001</v>
      </c>
      <c r="HG391" s="293">
        <v>18.810523006650005</v>
      </c>
      <c r="HH391" s="293">
        <v>21.599772738509998</v>
      </c>
      <c r="HI391" s="293">
        <v>18.723085021669998</v>
      </c>
      <c r="HJ391" s="293">
        <v>20.84783622094</v>
      </c>
      <c r="HK391" s="293">
        <v>19.475042627266152</v>
      </c>
      <c r="HL391" s="293">
        <v>25.732392115283858</v>
      </c>
      <c r="HM391" s="293">
        <v>19.551557754339999</v>
      </c>
      <c r="HN391" s="293">
        <v>17.592179521950001</v>
      </c>
      <c r="HO391" s="293">
        <v>21.37660780761</v>
      </c>
      <c r="HP391" s="293">
        <v>17.589842046209998</v>
      </c>
      <c r="HQ391" s="293">
        <v>20.041385776709998</v>
      </c>
      <c r="HR391" s="293">
        <v>21.063688336639999</v>
      </c>
      <c r="HS391" s="293">
        <v>19.760724558</v>
      </c>
      <c r="HT391" s="293">
        <v>21.930891502000001</v>
      </c>
      <c r="HU391" s="293">
        <v>19.731335023</v>
      </c>
      <c r="HV391" s="293">
        <v>25.365873542999999</v>
      </c>
      <c r="HW391" s="293">
        <v>20.044307132</v>
      </c>
      <c r="HX391" s="293">
        <v>27.384216580370001</v>
      </c>
      <c r="HY391" s="293"/>
      <c r="KT391" s="280"/>
    </row>
    <row r="392" spans="1:306" outlineLevel="1">
      <c r="A392" s="96" t="s">
        <v>395</v>
      </c>
      <c r="B392" s="96" t="s">
        <v>338</v>
      </c>
      <c r="D392" s="321" t="s">
        <v>488</v>
      </c>
      <c r="E392" s="293"/>
      <c r="F392" s="293"/>
      <c r="G392" s="293"/>
      <c r="H392" s="293"/>
      <c r="I392" s="293"/>
      <c r="J392" s="293"/>
      <c r="K392" s="293"/>
      <c r="L392" s="293"/>
      <c r="M392" s="293"/>
      <c r="N392" s="293"/>
      <c r="O392" s="293"/>
      <c r="P392" s="293"/>
      <c r="Q392" s="293"/>
      <c r="R392" s="293"/>
      <c r="S392" s="293"/>
      <c r="T392" s="293"/>
      <c r="U392" s="293"/>
      <c r="V392" s="293"/>
      <c r="W392" s="293"/>
      <c r="X392" s="293"/>
      <c r="Y392" s="29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c r="BN392" s="293"/>
      <c r="BO392" s="293"/>
      <c r="BP392" s="293"/>
      <c r="BQ392" s="293"/>
      <c r="BR392" s="293"/>
      <c r="BS392" s="293"/>
      <c r="BT392" s="293"/>
      <c r="BU392" s="293"/>
      <c r="BV392" s="293"/>
      <c r="BW392" s="293"/>
      <c r="BX392" s="293"/>
      <c r="BY392" s="293"/>
      <c r="BZ392" s="293"/>
      <c r="CA392" s="293"/>
      <c r="CB392" s="293"/>
      <c r="CC392" s="293"/>
      <c r="CD392" s="293"/>
      <c r="CE392" s="294">
        <v>3.7649300010000002</v>
      </c>
      <c r="CF392" s="293">
        <v>3.654463367</v>
      </c>
      <c r="CG392" s="293">
        <v>4.2003979640000004</v>
      </c>
      <c r="CH392" s="293">
        <v>4.7701381339999998</v>
      </c>
      <c r="CI392" s="293">
        <v>4.4225586779999997</v>
      </c>
      <c r="CJ392" s="293">
        <v>4.662408235</v>
      </c>
      <c r="CK392" s="293">
        <v>5.0886850260000003</v>
      </c>
      <c r="CL392" s="293">
        <v>4.4849622350000002</v>
      </c>
      <c r="CM392" s="293">
        <v>4.6669248640000003</v>
      </c>
      <c r="CN392" s="293">
        <v>4.4794063450000001</v>
      </c>
      <c r="CO392" s="293">
        <v>5.0232119920000002</v>
      </c>
      <c r="CP392" s="295">
        <v>4.5355961279999999</v>
      </c>
      <c r="CQ392" s="293">
        <v>4.4336139489999997</v>
      </c>
      <c r="CR392" s="293">
        <v>4.37160057</v>
      </c>
      <c r="CS392" s="293">
        <v>5.0647123540000001</v>
      </c>
      <c r="CT392" s="293">
        <v>4.6030556569999996</v>
      </c>
      <c r="CU392" s="293">
        <v>5.190752088</v>
      </c>
      <c r="CV392" s="293">
        <v>5.0590093649999996</v>
      </c>
      <c r="CW392" s="293">
        <v>5.779398284</v>
      </c>
      <c r="CX392" s="293">
        <v>5.1601387259999996</v>
      </c>
      <c r="CY392" s="293">
        <v>5.3850232470000003</v>
      </c>
      <c r="CZ392" s="293">
        <v>5.4852656059999996</v>
      </c>
      <c r="DA392" s="293">
        <v>6.3460526159999997</v>
      </c>
      <c r="DB392" s="1288">
        <v>6.6693261149999996</v>
      </c>
      <c r="DC392" s="293">
        <v>4.6211519734745101</v>
      </c>
      <c r="DD392" s="293">
        <v>4.9415221481915275</v>
      </c>
      <c r="DE392" s="293">
        <v>5.7931747312918791</v>
      </c>
      <c r="DF392" s="293">
        <v>6.1671343117798232</v>
      </c>
      <c r="DG392" s="293">
        <v>6.549681704796555</v>
      </c>
      <c r="DH392" s="293">
        <v>6.4035085774146765</v>
      </c>
      <c r="DI392" s="293">
        <v>6.1124778401467887</v>
      </c>
      <c r="DJ392" s="293">
        <v>6.6401554021999516</v>
      </c>
      <c r="DK392" s="293">
        <v>6.5604545160844632</v>
      </c>
      <c r="DL392" s="293">
        <v>6.3778043914593727</v>
      </c>
      <c r="DM392" s="293">
        <v>7.3255949161749987</v>
      </c>
      <c r="DN392" s="295">
        <v>7.4527377684728098</v>
      </c>
      <c r="DO392" s="293">
        <v>5.8731630538802673</v>
      </c>
      <c r="DP392" s="293">
        <v>6.8078431655664318</v>
      </c>
      <c r="DQ392" s="293">
        <v>6.4688609146038862</v>
      </c>
      <c r="DR392" s="293">
        <v>5.6332750131440354</v>
      </c>
      <c r="DS392" s="293">
        <v>6.2808248521408157</v>
      </c>
      <c r="DT392" s="293">
        <v>6.9785687391861932</v>
      </c>
      <c r="DU392" s="293">
        <v>6.4535900326504123</v>
      </c>
      <c r="DV392" s="293">
        <v>6.1666189870583787</v>
      </c>
      <c r="DW392" s="293">
        <v>7.4766078562602099</v>
      </c>
      <c r="DX392" s="293">
        <v>6.3795661551859313</v>
      </c>
      <c r="DY392" s="293">
        <v>8.32572093050379</v>
      </c>
      <c r="DZ392" s="295">
        <v>7.6946739900874261</v>
      </c>
      <c r="EA392" s="293">
        <v>5.9709157452946702</v>
      </c>
      <c r="EB392" s="293">
        <v>6.1930267862607513</v>
      </c>
      <c r="EC392" s="293">
        <v>6.8366706782345226</v>
      </c>
      <c r="ED392" s="293">
        <v>7.3996390542959301</v>
      </c>
      <c r="EE392" s="293">
        <v>6.6481701830412749</v>
      </c>
      <c r="EF392" s="293">
        <v>7.9097141246217415</v>
      </c>
      <c r="EG392" s="293">
        <v>7.7976141556567224</v>
      </c>
      <c r="EH392" s="293">
        <v>6.0899358810040418</v>
      </c>
      <c r="EI392" s="293">
        <v>7.2599918001110302</v>
      </c>
      <c r="EJ392" s="293">
        <v>6.09850100077443</v>
      </c>
      <c r="EK392" s="293">
        <v>7.3423507888719568</v>
      </c>
      <c r="EL392" s="295">
        <v>7.1986020821000141</v>
      </c>
      <c r="EM392" s="293">
        <v>8.0683065989999996</v>
      </c>
      <c r="EN392" s="293">
        <v>9.4906773229999999</v>
      </c>
      <c r="EO392" s="293">
        <v>7.7190137740000004</v>
      </c>
      <c r="EP392" s="293">
        <v>8.2399675400000003</v>
      </c>
      <c r="EQ392" s="293">
        <v>9.2015794169999996</v>
      </c>
      <c r="ER392" s="293">
        <v>10.894658637999999</v>
      </c>
      <c r="ES392" s="293">
        <v>10.052058144</v>
      </c>
      <c r="ET392" s="293">
        <v>9.3441168450000003</v>
      </c>
      <c r="EU392" s="293">
        <v>8.8959362710000001</v>
      </c>
      <c r="EV392" s="293">
        <v>10.422192985000001</v>
      </c>
      <c r="EW392" s="293">
        <v>10.007485909</v>
      </c>
      <c r="EX392" s="295">
        <v>9.4093752990000006</v>
      </c>
      <c r="EY392" s="293">
        <v>10.390131737999999</v>
      </c>
      <c r="EZ392" s="293">
        <v>11.890927289</v>
      </c>
      <c r="FA392" s="293">
        <v>8.7742525570000005</v>
      </c>
      <c r="FB392" s="293">
        <v>9.9941077699999994</v>
      </c>
      <c r="FC392" s="293">
        <v>10.75621766461</v>
      </c>
      <c r="FD392" s="293">
        <v>12.063946789479999</v>
      </c>
      <c r="FE392" s="293">
        <v>10.217109155700001</v>
      </c>
      <c r="FF392" s="293">
        <v>9.7985069233100006</v>
      </c>
      <c r="FG392" s="293">
        <v>10.521560971709999</v>
      </c>
      <c r="FH392" s="293">
        <v>5.7948877540200003</v>
      </c>
      <c r="FI392" s="293">
        <v>7.4764164659899999</v>
      </c>
      <c r="FJ392" s="295">
        <v>9.4979612185600022</v>
      </c>
      <c r="FK392" s="293">
        <v>9.2834013466618099</v>
      </c>
      <c r="FL392" s="293">
        <v>10.647164430312086</v>
      </c>
      <c r="FM392" s="293">
        <v>10.974569157896138</v>
      </c>
      <c r="FN392" s="293">
        <v>12.099828045799677</v>
      </c>
      <c r="FO392" s="293">
        <v>10.556424125698003</v>
      </c>
      <c r="FP392" s="293">
        <v>11.376889681862176</v>
      </c>
      <c r="FQ392" s="293">
        <v>7.8387063296804564</v>
      </c>
      <c r="FR392" s="293">
        <v>9.0959619742715212</v>
      </c>
      <c r="FS392" s="293">
        <v>10.724988879002872</v>
      </c>
      <c r="FT392" s="293">
        <v>10.397643512870836</v>
      </c>
      <c r="FU392" s="293">
        <v>9.4421136143409647</v>
      </c>
      <c r="FV392" s="293">
        <v>11.266880211771658</v>
      </c>
      <c r="FW392" s="293">
        <v>9.4809287640814972</v>
      </c>
      <c r="FX392" s="293">
        <v>10.044828791337999</v>
      </c>
      <c r="FY392" s="293">
        <v>10.422652361827392</v>
      </c>
      <c r="FZ392" s="293">
        <v>10.199248105446308</v>
      </c>
      <c r="GA392" s="293">
        <v>10.527990284408517</v>
      </c>
      <c r="GB392" s="293">
        <v>12.42368400400418</v>
      </c>
      <c r="GC392" s="293">
        <v>9.3664109229519799</v>
      </c>
      <c r="GD392" s="293">
        <v>10.436108789197581</v>
      </c>
      <c r="GE392" s="293">
        <v>11.125297359105671</v>
      </c>
      <c r="GF392" s="293">
        <v>11.180707859421489</v>
      </c>
      <c r="GG392" s="293">
        <v>12.441656344522334</v>
      </c>
      <c r="GH392" s="293">
        <v>15.360749506889384</v>
      </c>
      <c r="GI392" s="293">
        <v>16.38637118794</v>
      </c>
      <c r="GJ392" s="293">
        <v>18.870421394480001</v>
      </c>
      <c r="GK392" s="293">
        <v>17.902703465620004</v>
      </c>
      <c r="GL392" s="293">
        <v>15.911751761770001</v>
      </c>
      <c r="GM392" s="293">
        <v>17.6898592149</v>
      </c>
      <c r="GN392" s="293">
        <v>17.845496401392008</v>
      </c>
      <c r="GO392" s="293">
        <v>17.272801511078217</v>
      </c>
      <c r="GP392" s="293">
        <v>17.937385359725457</v>
      </c>
      <c r="GQ392" s="293">
        <v>18.388551817730875</v>
      </c>
      <c r="GR392" s="293">
        <v>14.653189289850001</v>
      </c>
      <c r="GS392" s="293">
        <v>19.5043521843</v>
      </c>
      <c r="GT392" s="293">
        <v>19.236271389540001</v>
      </c>
      <c r="GU392" s="293">
        <v>16.09821875718</v>
      </c>
      <c r="GV392" s="293">
        <v>16.080309593607428</v>
      </c>
      <c r="GW392" s="293">
        <v>15.752290386280876</v>
      </c>
      <c r="GX392" s="293">
        <v>14.5539440301</v>
      </c>
      <c r="GY392" s="293">
        <v>14.0387825207</v>
      </c>
      <c r="GZ392" s="293">
        <v>15.96860227</v>
      </c>
      <c r="HA392" s="293">
        <v>16.682865285489999</v>
      </c>
      <c r="HB392" s="293">
        <v>14.36313648374</v>
      </c>
      <c r="HC392" s="293">
        <v>15.680938436036636</v>
      </c>
      <c r="HD392" s="293">
        <v>15.896748486989999</v>
      </c>
      <c r="HE392" s="293">
        <v>18.334208299580002</v>
      </c>
      <c r="HF392" s="293">
        <v>21.025106816680001</v>
      </c>
      <c r="HG392" s="293">
        <v>18.628259372650003</v>
      </c>
      <c r="HH392" s="293">
        <v>21.175846789509997</v>
      </c>
      <c r="HI392" s="293">
        <v>18.10141797767</v>
      </c>
      <c r="HJ392" s="293">
        <v>20.43742023994</v>
      </c>
      <c r="HK392" s="293">
        <v>17.264602129266152</v>
      </c>
      <c r="HL392" s="293">
        <v>21.248584009283856</v>
      </c>
      <c r="HM392" s="293">
        <v>19.09770419234</v>
      </c>
      <c r="HN392" s="293">
        <v>17.03184268895</v>
      </c>
      <c r="HO392" s="293">
        <v>18.999674508609999</v>
      </c>
      <c r="HP392" s="293">
        <v>16.847194861209999</v>
      </c>
      <c r="HQ392" s="293">
        <v>18.999140111709998</v>
      </c>
      <c r="HR392" s="293">
        <v>20.10712749464</v>
      </c>
      <c r="HS392" s="293">
        <v>16.862617924999999</v>
      </c>
      <c r="HT392" s="293">
        <v>18.781337984</v>
      </c>
      <c r="HU392" s="293">
        <v>16.744407281000001</v>
      </c>
      <c r="HV392" s="293">
        <v>21.620486313000001</v>
      </c>
      <c r="HW392" s="293">
        <v>16.965396950999999</v>
      </c>
      <c r="HX392" s="293">
        <v>23.596900496</v>
      </c>
      <c r="HY392" s="293"/>
      <c r="KT392" s="280"/>
    </row>
    <row r="393" spans="1:306" outlineLevel="1">
      <c r="D393" s="2062" t="s">
        <v>3071</v>
      </c>
      <c r="E393" s="2150"/>
      <c r="F393" s="2150"/>
      <c r="G393" s="2150"/>
      <c r="H393" s="2150"/>
      <c r="I393" s="2150"/>
      <c r="J393" s="2150"/>
      <c r="K393" s="2150"/>
      <c r="L393" s="2150"/>
      <c r="M393" s="2150"/>
      <c r="N393" s="2150"/>
      <c r="O393" s="2150"/>
      <c r="P393" s="2150"/>
      <c r="Q393" s="2150"/>
      <c r="R393" s="2150"/>
      <c r="S393" s="2150"/>
      <c r="T393" s="2150"/>
      <c r="U393" s="2150"/>
      <c r="V393" s="2150"/>
      <c r="W393" s="2150"/>
      <c r="X393" s="2150"/>
      <c r="Y393" s="2150"/>
      <c r="Z393" s="2150"/>
      <c r="AA393" s="2150"/>
      <c r="AB393" s="2150"/>
      <c r="AC393" s="2150"/>
      <c r="AD393" s="2150"/>
      <c r="AE393" s="2150"/>
      <c r="AF393" s="2150"/>
      <c r="AG393" s="2150"/>
      <c r="AH393" s="2150"/>
      <c r="AI393" s="2150"/>
      <c r="AJ393" s="2150"/>
      <c r="AK393" s="2150"/>
      <c r="AL393" s="2150"/>
      <c r="AM393" s="2150"/>
      <c r="AN393" s="2150"/>
      <c r="AO393" s="2150"/>
      <c r="AP393" s="2150"/>
      <c r="AQ393" s="2150"/>
      <c r="AR393" s="2150"/>
      <c r="AS393" s="2150"/>
      <c r="AT393" s="2150"/>
      <c r="AU393" s="2150"/>
      <c r="AV393" s="2150"/>
      <c r="AW393" s="2150"/>
      <c r="AX393" s="2150"/>
      <c r="AY393" s="2150"/>
      <c r="AZ393" s="2150"/>
      <c r="BA393" s="2150"/>
      <c r="BB393" s="2150"/>
      <c r="BC393" s="2150"/>
      <c r="BD393" s="2150"/>
      <c r="BE393" s="2150"/>
      <c r="BF393" s="2150"/>
      <c r="BG393" s="2150"/>
      <c r="BH393" s="2150"/>
      <c r="BI393" s="2150"/>
      <c r="BJ393" s="2150"/>
      <c r="BK393" s="2150"/>
      <c r="BL393" s="2150"/>
      <c r="BM393" s="2150"/>
      <c r="BN393" s="2150"/>
      <c r="BO393" s="2150"/>
      <c r="BP393" s="2150"/>
      <c r="BQ393" s="2150"/>
      <c r="BR393" s="2150"/>
      <c r="BS393" s="2150"/>
      <c r="BT393" s="2150"/>
      <c r="BU393" s="2150"/>
      <c r="BV393" s="2150"/>
      <c r="BW393" s="2150"/>
      <c r="BX393" s="2150"/>
      <c r="BY393" s="2150"/>
      <c r="BZ393" s="2150"/>
      <c r="CA393" s="2150"/>
      <c r="CB393" s="2150"/>
      <c r="CC393" s="2150"/>
      <c r="CD393" s="2150"/>
      <c r="CE393" s="2151"/>
      <c r="CF393" s="2150"/>
      <c r="CG393" s="2150"/>
      <c r="CH393" s="2150"/>
      <c r="CI393" s="2150"/>
      <c r="CJ393" s="2150"/>
      <c r="CK393" s="2150"/>
      <c r="CL393" s="2150"/>
      <c r="CM393" s="2150"/>
      <c r="CN393" s="2150"/>
      <c r="CO393" s="2150"/>
      <c r="CP393" s="2152"/>
      <c r="CQ393" s="2150"/>
      <c r="CR393" s="2150"/>
      <c r="CS393" s="2150"/>
      <c r="CT393" s="2150"/>
      <c r="CU393" s="2150"/>
      <c r="CV393" s="2150"/>
      <c r="CW393" s="2150"/>
      <c r="CX393" s="2150"/>
      <c r="CY393" s="2150"/>
      <c r="CZ393" s="2150"/>
      <c r="DA393" s="2150"/>
      <c r="DB393" s="2153"/>
      <c r="DC393" s="2150"/>
      <c r="DD393" s="2150"/>
      <c r="DE393" s="2150"/>
      <c r="DF393" s="2150"/>
      <c r="DG393" s="2150"/>
      <c r="DH393" s="2150"/>
      <c r="DI393" s="2150"/>
      <c r="DJ393" s="2150"/>
      <c r="DK393" s="2150"/>
      <c r="DL393" s="293"/>
      <c r="DM393" s="293"/>
      <c r="DN393" s="295"/>
      <c r="DO393" s="293"/>
      <c r="DP393" s="293"/>
      <c r="DQ393" s="293"/>
      <c r="DR393" s="293"/>
      <c r="DS393" s="293"/>
      <c r="DT393" s="293"/>
      <c r="DU393" s="293"/>
      <c r="DV393" s="293"/>
      <c r="DW393" s="293"/>
      <c r="DX393" s="293"/>
      <c r="DY393" s="293"/>
      <c r="DZ393" s="295"/>
      <c r="EA393" s="293"/>
      <c r="EB393" s="293"/>
      <c r="EC393" s="293"/>
      <c r="ED393" s="293"/>
      <c r="EE393" s="293"/>
      <c r="EF393" s="293"/>
      <c r="EG393" s="293"/>
      <c r="EH393" s="293"/>
      <c r="EI393" s="293"/>
      <c r="EJ393" s="293"/>
      <c r="EK393" s="293"/>
      <c r="EL393" s="295"/>
      <c r="EM393" s="293"/>
      <c r="EN393" s="293"/>
      <c r="EO393" s="293"/>
      <c r="EP393" s="293"/>
      <c r="EQ393" s="293"/>
      <c r="ER393" s="293"/>
      <c r="ES393" s="293"/>
      <c r="ET393" s="293"/>
      <c r="EU393" s="293"/>
      <c r="EV393" s="293"/>
      <c r="EW393" s="293"/>
      <c r="EX393" s="295"/>
      <c r="EY393" s="293"/>
      <c r="EZ393" s="293"/>
      <c r="FA393" s="293"/>
      <c r="FB393" s="293"/>
      <c r="FC393" s="293"/>
      <c r="FD393" s="293"/>
      <c r="FE393" s="293"/>
      <c r="FF393" s="293"/>
      <c r="FG393" s="293"/>
      <c r="FH393" s="293"/>
      <c r="FI393" s="293"/>
      <c r="FJ393" s="295"/>
      <c r="FK393" s="293"/>
      <c r="FL393" s="293"/>
      <c r="FM393" s="293"/>
      <c r="FN393" s="293"/>
      <c r="FO393" s="293"/>
      <c r="FP393" s="293"/>
      <c r="FQ393" s="293"/>
      <c r="FR393" s="293"/>
      <c r="FS393" s="293"/>
      <c r="FT393" s="293"/>
      <c r="FU393" s="293"/>
      <c r="FV393" s="293"/>
      <c r="FW393" s="293">
        <v>1.142374225</v>
      </c>
      <c r="FX393" s="293">
        <v>1.3714005600000001</v>
      </c>
      <c r="FY393" s="293">
        <v>1.3486233999999999</v>
      </c>
      <c r="FZ393" s="293">
        <v>1.3361463929999999</v>
      </c>
      <c r="GA393" s="293">
        <v>1.3245327259999999</v>
      </c>
      <c r="GB393" s="293">
        <v>1.570408018</v>
      </c>
      <c r="GC393" s="293">
        <v>1.426327613</v>
      </c>
      <c r="GD393" s="293">
        <v>1.3598600949999999</v>
      </c>
      <c r="GE393" s="293">
        <v>1.47652962</v>
      </c>
      <c r="GF393" s="293">
        <v>1.671819607</v>
      </c>
      <c r="GG393" s="293">
        <v>1.781849389</v>
      </c>
      <c r="GH393" s="293">
        <v>2.2344886580000001</v>
      </c>
      <c r="GI393" s="293">
        <v>1.879521035</v>
      </c>
      <c r="GJ393" s="293">
        <v>2.1783190979999998</v>
      </c>
      <c r="GK393" s="293">
        <v>2.1223117720000002</v>
      </c>
      <c r="GL393" s="293">
        <v>1.8411083859999999</v>
      </c>
      <c r="GM393" s="293">
        <v>2.0267621070000001</v>
      </c>
      <c r="GN393" s="293">
        <v>2.1458013060000001</v>
      </c>
      <c r="GO393" s="293">
        <v>2.0240819110000001</v>
      </c>
      <c r="GP393" s="293">
        <v>1.9149301700000001</v>
      </c>
      <c r="GQ393" s="293">
        <v>2.1255325799999998</v>
      </c>
      <c r="GR393" s="293">
        <v>1.6310646289999999</v>
      </c>
      <c r="GS393" s="293">
        <v>2.2950203239999998</v>
      </c>
      <c r="GT393" s="293">
        <v>2.2538759659999998</v>
      </c>
      <c r="GU393" s="293">
        <v>2.12214714</v>
      </c>
      <c r="GV393" s="293">
        <v>2.1670857479999999</v>
      </c>
      <c r="GW393" s="293">
        <v>2.1718456270000002</v>
      </c>
      <c r="GX393" s="293">
        <v>2.220623019</v>
      </c>
      <c r="GY393" s="293">
        <v>2.204828091</v>
      </c>
      <c r="GZ393" s="293">
        <v>2.442708648</v>
      </c>
      <c r="HA393" s="293">
        <v>2.610357413</v>
      </c>
      <c r="HB393" s="293">
        <v>2.18930932</v>
      </c>
      <c r="HC393" s="293">
        <v>2.5189404280000001</v>
      </c>
      <c r="HD393" s="293">
        <v>2.7636696440000001</v>
      </c>
      <c r="HE393" s="293">
        <v>2.744250488</v>
      </c>
      <c r="HF393" s="293">
        <v>3.0336654850000002</v>
      </c>
      <c r="HG393" s="293">
        <v>2.7809004339999999</v>
      </c>
      <c r="HH393" s="293">
        <v>2.9228121969999998</v>
      </c>
      <c r="HI393" s="293">
        <v>2.6849386069999999</v>
      </c>
      <c r="HJ393" s="293">
        <v>2.7153306050000001</v>
      </c>
      <c r="HK393" s="293">
        <v>2.5944976670000002</v>
      </c>
      <c r="HL393" s="293">
        <v>2.863231195</v>
      </c>
      <c r="HM393" s="293">
        <v>2.6600246310000002</v>
      </c>
      <c r="HN393" s="293">
        <v>2.2921553829999999</v>
      </c>
      <c r="HO393" s="293">
        <v>2.7342626299999999</v>
      </c>
      <c r="HP393" s="293">
        <v>2.5559861449999999</v>
      </c>
      <c r="HQ393" s="293">
        <v>2.9015952359999999</v>
      </c>
      <c r="HR393" s="293">
        <v>3.2460479759999998</v>
      </c>
      <c r="HS393" s="293">
        <v>2.5621303630000001</v>
      </c>
      <c r="HT393" s="293">
        <v>2.7840921089999999</v>
      </c>
      <c r="HU393" s="293">
        <v>2.6396960489999999</v>
      </c>
      <c r="HV393" s="293">
        <v>3.3091891900000001</v>
      </c>
      <c r="HW393" s="293">
        <v>2.719871645</v>
      </c>
      <c r="HX393" s="293">
        <v>3.3472108733299999</v>
      </c>
      <c r="HY393" s="293"/>
      <c r="KT393" s="280"/>
    </row>
    <row r="394" spans="1:306" outlineLevel="1">
      <c r="D394" s="2062" t="s">
        <v>3072</v>
      </c>
      <c r="E394" s="2150"/>
      <c r="F394" s="2150"/>
      <c r="G394" s="2150"/>
      <c r="H394" s="2150"/>
      <c r="I394" s="2150"/>
      <c r="J394" s="2150"/>
      <c r="K394" s="2150"/>
      <c r="L394" s="2150"/>
      <c r="M394" s="2150"/>
      <c r="N394" s="2150"/>
      <c r="O394" s="2150"/>
      <c r="P394" s="2150"/>
      <c r="Q394" s="2150"/>
      <c r="R394" s="2150"/>
      <c r="S394" s="2150"/>
      <c r="T394" s="2150"/>
      <c r="U394" s="2150"/>
      <c r="V394" s="2150"/>
      <c r="W394" s="2150"/>
      <c r="X394" s="2150"/>
      <c r="Y394" s="2150"/>
      <c r="Z394" s="2150"/>
      <c r="AA394" s="2150"/>
      <c r="AB394" s="2150"/>
      <c r="AC394" s="2150"/>
      <c r="AD394" s="2150"/>
      <c r="AE394" s="2150"/>
      <c r="AF394" s="2150"/>
      <c r="AG394" s="2150"/>
      <c r="AH394" s="2150"/>
      <c r="AI394" s="2150"/>
      <c r="AJ394" s="2150"/>
      <c r="AK394" s="2150"/>
      <c r="AL394" s="2150"/>
      <c r="AM394" s="2150"/>
      <c r="AN394" s="2150"/>
      <c r="AO394" s="2150"/>
      <c r="AP394" s="2150"/>
      <c r="AQ394" s="2150"/>
      <c r="AR394" s="2150"/>
      <c r="AS394" s="2150"/>
      <c r="AT394" s="2150"/>
      <c r="AU394" s="2150"/>
      <c r="AV394" s="2150"/>
      <c r="AW394" s="2150"/>
      <c r="AX394" s="2150"/>
      <c r="AY394" s="2150"/>
      <c r="AZ394" s="2150"/>
      <c r="BA394" s="2150"/>
      <c r="BB394" s="2150"/>
      <c r="BC394" s="2150"/>
      <c r="BD394" s="2150"/>
      <c r="BE394" s="2150"/>
      <c r="BF394" s="2150"/>
      <c r="BG394" s="2150"/>
      <c r="BH394" s="2150"/>
      <c r="BI394" s="2150"/>
      <c r="BJ394" s="2150"/>
      <c r="BK394" s="2150"/>
      <c r="BL394" s="2150"/>
      <c r="BM394" s="2150"/>
      <c r="BN394" s="2150"/>
      <c r="BO394" s="2150"/>
      <c r="BP394" s="2150"/>
      <c r="BQ394" s="2150"/>
      <c r="BR394" s="2150"/>
      <c r="BS394" s="2150"/>
      <c r="BT394" s="2150"/>
      <c r="BU394" s="2150"/>
      <c r="BV394" s="2150"/>
      <c r="BW394" s="2150"/>
      <c r="BX394" s="2150"/>
      <c r="BY394" s="2150"/>
      <c r="BZ394" s="2150"/>
      <c r="CA394" s="2150"/>
      <c r="CB394" s="2150"/>
      <c r="CC394" s="2150"/>
      <c r="CD394" s="2150"/>
      <c r="CE394" s="2151"/>
      <c r="CF394" s="2150"/>
      <c r="CG394" s="2150"/>
      <c r="CH394" s="2150"/>
      <c r="CI394" s="2150"/>
      <c r="CJ394" s="2150"/>
      <c r="CK394" s="2150"/>
      <c r="CL394" s="2150"/>
      <c r="CM394" s="2150"/>
      <c r="CN394" s="2150"/>
      <c r="CO394" s="2150"/>
      <c r="CP394" s="2152"/>
      <c r="CQ394" s="2150"/>
      <c r="CR394" s="2150"/>
      <c r="CS394" s="2150"/>
      <c r="CT394" s="2150"/>
      <c r="CU394" s="2150"/>
      <c r="CV394" s="2150"/>
      <c r="CW394" s="2150"/>
      <c r="CX394" s="2150"/>
      <c r="CY394" s="2150"/>
      <c r="CZ394" s="2150"/>
      <c r="DA394" s="2150"/>
      <c r="DB394" s="2153"/>
      <c r="DC394" s="2150"/>
      <c r="DD394" s="2150"/>
      <c r="DE394" s="2150"/>
      <c r="DF394" s="2150"/>
      <c r="DG394" s="2150"/>
      <c r="DH394" s="2150"/>
      <c r="DI394" s="2150"/>
      <c r="DJ394" s="2150"/>
      <c r="DK394" s="2150"/>
      <c r="DL394" s="293"/>
      <c r="DM394" s="293"/>
      <c r="DN394" s="295"/>
      <c r="DO394" s="293"/>
      <c r="DP394" s="293"/>
      <c r="DQ394" s="293"/>
      <c r="DR394" s="293"/>
      <c r="DS394" s="293"/>
      <c r="DT394" s="293"/>
      <c r="DU394" s="293"/>
      <c r="DV394" s="293"/>
      <c r="DW394" s="293"/>
      <c r="DX394" s="293"/>
      <c r="DY394" s="293"/>
      <c r="DZ394" s="295"/>
      <c r="EA394" s="293"/>
      <c r="EB394" s="293"/>
      <c r="EC394" s="293"/>
      <c r="ED394" s="293"/>
      <c r="EE394" s="293"/>
      <c r="EF394" s="293"/>
      <c r="EG394" s="293"/>
      <c r="EH394" s="293"/>
      <c r="EI394" s="293"/>
      <c r="EJ394" s="293"/>
      <c r="EK394" s="293"/>
      <c r="EL394" s="295"/>
      <c r="EM394" s="293"/>
      <c r="EN394" s="293"/>
      <c r="EO394" s="293"/>
      <c r="EP394" s="293"/>
      <c r="EQ394" s="293"/>
      <c r="ER394" s="293"/>
      <c r="ES394" s="293"/>
      <c r="ET394" s="293"/>
      <c r="EU394" s="293"/>
      <c r="EV394" s="293"/>
      <c r="EW394" s="293"/>
      <c r="EX394" s="295"/>
      <c r="EY394" s="293"/>
      <c r="EZ394" s="293"/>
      <c r="FA394" s="293"/>
      <c r="FB394" s="293"/>
      <c r="FC394" s="293"/>
      <c r="FD394" s="293"/>
      <c r="FE394" s="293"/>
      <c r="FF394" s="293"/>
      <c r="FG394" s="293"/>
      <c r="FH394" s="293"/>
      <c r="FI394" s="293"/>
      <c r="FJ394" s="295"/>
      <c r="FK394" s="293"/>
      <c r="FL394" s="293"/>
      <c r="FM394" s="293"/>
      <c r="FN394" s="293"/>
      <c r="FO394" s="293"/>
      <c r="FP394" s="293"/>
      <c r="FQ394" s="293"/>
      <c r="FR394" s="293"/>
      <c r="FS394" s="293"/>
      <c r="FT394" s="293"/>
      <c r="FU394" s="293"/>
      <c r="FV394" s="293"/>
      <c r="FW394" s="293">
        <v>0.151499141</v>
      </c>
      <c r="FX394" s="293">
        <v>0.17055729</v>
      </c>
      <c r="FY394" s="293">
        <v>0.17473365900000001</v>
      </c>
      <c r="FZ394" s="293">
        <v>0.174869108</v>
      </c>
      <c r="GA394" s="293">
        <v>0.168777448</v>
      </c>
      <c r="GB394" s="293">
        <v>0.18668902400000001</v>
      </c>
      <c r="GC394" s="293">
        <v>0.19409479399999999</v>
      </c>
      <c r="GD394" s="293">
        <v>0.17683579099999999</v>
      </c>
      <c r="GE394" s="293">
        <v>0.19785641300000001</v>
      </c>
      <c r="GF394" s="293">
        <v>0.20060424399999999</v>
      </c>
      <c r="GG394" s="293">
        <v>0.227485671</v>
      </c>
      <c r="GH394" s="293">
        <v>0.28658639400000002</v>
      </c>
      <c r="GI394" s="293">
        <v>0.239341902</v>
      </c>
      <c r="GJ394" s="293">
        <v>0.28002997600000001</v>
      </c>
      <c r="GK394" s="293">
        <v>0.271350231</v>
      </c>
      <c r="GL394" s="293">
        <v>0.236687542</v>
      </c>
      <c r="GM394" s="293">
        <v>0.25746289900000002</v>
      </c>
      <c r="GN394" s="293">
        <v>0.27490142899999997</v>
      </c>
      <c r="GO394" s="293">
        <v>0.25368069700000001</v>
      </c>
      <c r="GP394" s="293">
        <v>0.23767899100000001</v>
      </c>
      <c r="GQ394" s="293">
        <v>0.26934907299999999</v>
      </c>
      <c r="GR394" s="293">
        <v>0.181288001</v>
      </c>
      <c r="GS394" s="293">
        <v>0.292236985</v>
      </c>
      <c r="GT394" s="293">
        <v>0.284246844</v>
      </c>
      <c r="GU394" s="293">
        <v>0.26954578499999998</v>
      </c>
      <c r="GV394" s="293">
        <v>0.27515811400000001</v>
      </c>
      <c r="GW394" s="293">
        <v>0.273028508</v>
      </c>
      <c r="GX394" s="293">
        <v>0.281283269</v>
      </c>
      <c r="GY394" s="293">
        <v>0.28033565500000002</v>
      </c>
      <c r="GZ394" s="293">
        <v>0.313937097</v>
      </c>
      <c r="HA394" s="293">
        <v>0.32739517299999998</v>
      </c>
      <c r="HB394" s="293">
        <v>0.273230957</v>
      </c>
      <c r="HC394" s="293">
        <v>0.31121012799999997</v>
      </c>
      <c r="HD394" s="293">
        <v>0.34604845400000001</v>
      </c>
      <c r="HE394" s="293">
        <v>0.34641095999999999</v>
      </c>
      <c r="HF394" s="293">
        <v>0.39034159400000001</v>
      </c>
      <c r="HG394" s="293">
        <v>0.35167994200000002</v>
      </c>
      <c r="HH394" s="293">
        <v>0.37136045600000001</v>
      </c>
      <c r="HI394" s="293">
        <v>0.34176325600000002</v>
      </c>
      <c r="HJ394" s="293">
        <v>0.33996253399999998</v>
      </c>
      <c r="HK394" s="293">
        <v>0.32839048399999998</v>
      </c>
      <c r="HL394" s="293">
        <v>0.354267265</v>
      </c>
      <c r="HM394" s="293">
        <v>0.333138343</v>
      </c>
      <c r="HN394" s="293">
        <v>0.42217533499999998</v>
      </c>
      <c r="HO394" s="293">
        <v>0.34271981800000001</v>
      </c>
      <c r="HP394" s="293">
        <v>0.32193376499999998</v>
      </c>
      <c r="HQ394" s="293">
        <v>0.360564249</v>
      </c>
      <c r="HR394" s="293">
        <v>0.42768734800000002</v>
      </c>
      <c r="HS394" s="293">
        <v>0.33597627000000002</v>
      </c>
      <c r="HT394" s="293">
        <v>0.36545416600000002</v>
      </c>
      <c r="HU394" s="293">
        <v>0.34723169300000001</v>
      </c>
      <c r="HV394" s="293">
        <v>0.43619804000000001</v>
      </c>
      <c r="HW394" s="293">
        <v>0.35899488699999998</v>
      </c>
      <c r="HX394" s="293">
        <v>0.44006886504000003</v>
      </c>
      <c r="HY394" s="293"/>
      <c r="KT394" s="280"/>
    </row>
    <row r="395" spans="1:306" outlineLevel="1">
      <c r="A395" s="96" t="s">
        <v>395</v>
      </c>
      <c r="B395" s="96" t="s">
        <v>338</v>
      </c>
      <c r="D395" s="321" t="s">
        <v>489</v>
      </c>
      <c r="E395" s="293"/>
      <c r="F395" s="293"/>
      <c r="G395" s="293"/>
      <c r="H395" s="293"/>
      <c r="I395" s="293"/>
      <c r="J395" s="293"/>
      <c r="K395" s="293"/>
      <c r="L395" s="293"/>
      <c r="M395" s="293"/>
      <c r="N395" s="293"/>
      <c r="O395" s="293"/>
      <c r="P395" s="293"/>
      <c r="Q395" s="293"/>
      <c r="R395" s="293"/>
      <c r="S395" s="293"/>
      <c r="T395" s="293"/>
      <c r="U395" s="293"/>
      <c r="V395" s="293"/>
      <c r="W395" s="293"/>
      <c r="X395" s="293"/>
      <c r="Y395" s="29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c r="BN395" s="293"/>
      <c r="BO395" s="293"/>
      <c r="BP395" s="293"/>
      <c r="BQ395" s="293"/>
      <c r="BR395" s="293"/>
      <c r="BS395" s="293"/>
      <c r="BT395" s="293"/>
      <c r="BU395" s="293"/>
      <c r="BV395" s="293"/>
      <c r="BW395" s="293"/>
      <c r="BX395" s="293"/>
      <c r="BY395" s="293"/>
      <c r="BZ395" s="293"/>
      <c r="CA395" s="293"/>
      <c r="CB395" s="293"/>
      <c r="CC395" s="293"/>
      <c r="CD395" s="293"/>
      <c r="CE395" s="294">
        <v>0</v>
      </c>
      <c r="CF395" s="293">
        <v>0</v>
      </c>
      <c r="CG395" s="293">
        <v>0</v>
      </c>
      <c r="CH395" s="293">
        <v>0</v>
      </c>
      <c r="CI395" s="293">
        <v>0</v>
      </c>
      <c r="CJ395" s="293">
        <v>0</v>
      </c>
      <c r="CK395" s="293">
        <v>0</v>
      </c>
      <c r="CL395" s="293">
        <v>0</v>
      </c>
      <c r="CM395" s="293">
        <v>0</v>
      </c>
      <c r="CN395" s="293">
        <v>0</v>
      </c>
      <c r="CO395" s="293">
        <v>0</v>
      </c>
      <c r="CP395" s="295">
        <v>0</v>
      </c>
      <c r="CQ395" s="293">
        <v>0</v>
      </c>
      <c r="CR395" s="293">
        <v>0</v>
      </c>
      <c r="CS395" s="293">
        <v>0</v>
      </c>
      <c r="CT395" s="293">
        <v>0</v>
      </c>
      <c r="CU395" s="293">
        <v>0</v>
      </c>
      <c r="CV395" s="293">
        <v>0</v>
      </c>
      <c r="CW395" s="293">
        <v>0</v>
      </c>
      <c r="CX395" s="293">
        <v>0</v>
      </c>
      <c r="CY395" s="293">
        <v>0</v>
      </c>
      <c r="CZ395" s="293">
        <v>0</v>
      </c>
      <c r="DA395" s="293">
        <v>0</v>
      </c>
      <c r="DB395" s="1288">
        <v>0</v>
      </c>
      <c r="DC395" s="293">
        <v>0</v>
      </c>
      <c r="DD395" s="293">
        <v>0</v>
      </c>
      <c r="DE395" s="293">
        <v>0</v>
      </c>
      <c r="DF395" s="293">
        <v>0</v>
      </c>
      <c r="DG395" s="293">
        <v>0</v>
      </c>
      <c r="DH395" s="293">
        <v>0</v>
      </c>
      <c r="DI395" s="293">
        <v>0</v>
      </c>
      <c r="DJ395" s="293">
        <v>0</v>
      </c>
      <c r="DK395" s="293">
        <v>0</v>
      </c>
      <c r="DL395" s="293">
        <v>0</v>
      </c>
      <c r="DM395" s="293">
        <v>0</v>
      </c>
      <c r="DN395" s="295">
        <v>0</v>
      </c>
      <c r="DO395" s="293">
        <v>0</v>
      </c>
      <c r="DP395" s="293">
        <v>0</v>
      </c>
      <c r="DQ395" s="293">
        <v>0</v>
      </c>
      <c r="DR395" s="293">
        <v>0</v>
      </c>
      <c r="DS395" s="293">
        <v>0</v>
      </c>
      <c r="DT395" s="293">
        <v>0</v>
      </c>
      <c r="DU395" s="293">
        <v>0</v>
      </c>
      <c r="DV395" s="293">
        <v>0</v>
      </c>
      <c r="DW395" s="293">
        <v>0</v>
      </c>
      <c r="DX395" s="293">
        <v>0</v>
      </c>
      <c r="DY395" s="293">
        <v>0</v>
      </c>
      <c r="DZ395" s="295">
        <v>0</v>
      </c>
      <c r="EA395" s="293">
        <v>0</v>
      </c>
      <c r="EB395" s="293">
        <v>0</v>
      </c>
      <c r="EC395" s="293">
        <v>0</v>
      </c>
      <c r="ED395" s="293">
        <v>0</v>
      </c>
      <c r="EE395" s="293">
        <v>0</v>
      </c>
      <c r="EF395" s="293">
        <v>0</v>
      </c>
      <c r="EG395" s="293">
        <v>0</v>
      </c>
      <c r="EH395" s="293">
        <v>0</v>
      </c>
      <c r="EI395" s="293">
        <v>0</v>
      </c>
      <c r="EJ395" s="293">
        <v>0</v>
      </c>
      <c r="EK395" s="293">
        <v>0</v>
      </c>
      <c r="EL395" s="295">
        <v>0</v>
      </c>
      <c r="EM395" s="293">
        <v>0</v>
      </c>
      <c r="EN395" s="293">
        <v>0</v>
      </c>
      <c r="EO395" s="293">
        <v>0</v>
      </c>
      <c r="EP395" s="293">
        <v>0</v>
      </c>
      <c r="EQ395" s="293">
        <v>0</v>
      </c>
      <c r="ER395" s="293">
        <v>0</v>
      </c>
      <c r="ES395" s="293">
        <v>0</v>
      </c>
      <c r="ET395" s="293">
        <v>0</v>
      </c>
      <c r="EU395" s="293">
        <v>0</v>
      </c>
      <c r="EV395" s="293">
        <v>0</v>
      </c>
      <c r="EW395" s="293">
        <v>0</v>
      </c>
      <c r="EX395" s="295">
        <v>0</v>
      </c>
      <c r="EY395" s="293">
        <v>7.8897099999999994E-3</v>
      </c>
      <c r="EZ395" s="293">
        <v>9.0195910000000004E-3</v>
      </c>
      <c r="FA395" s="293">
        <v>7.2645829999999998E-3</v>
      </c>
      <c r="FB395" s="293">
        <v>7.3170809999999996E-3</v>
      </c>
      <c r="FC395" s="293">
        <v>7.4973629999999999E-3</v>
      </c>
      <c r="FD395" s="293">
        <v>9.0986139999999997E-3</v>
      </c>
      <c r="FE395" s="293">
        <v>1.0626261E-2</v>
      </c>
      <c r="FF395" s="293">
        <v>9.0073110000000005E-3</v>
      </c>
      <c r="FG395" s="293">
        <v>1.0519066000000001E-2</v>
      </c>
      <c r="FH395" s="293">
        <v>7.3130920000000002E-3</v>
      </c>
      <c r="FI395" s="293">
        <v>6.6362130000000002E-3</v>
      </c>
      <c r="FJ395" s="295">
        <v>1.3268939E-2</v>
      </c>
      <c r="FK395" s="293">
        <v>1.2672790202706292E-2</v>
      </c>
      <c r="FL395" s="293">
        <v>5.2266564490041443E-3</v>
      </c>
      <c r="FM395" s="293">
        <v>2.130802019112327E-3</v>
      </c>
      <c r="FN395" s="293">
        <v>2.8356193728027528E-3</v>
      </c>
      <c r="FO395" s="293">
        <v>1.7515441744158345E-3</v>
      </c>
      <c r="FP395" s="293">
        <v>1.2515329185041437E-3</v>
      </c>
      <c r="FQ395" s="293">
        <v>1.2031867215080677E-3</v>
      </c>
      <c r="FR395" s="293">
        <v>1.3010019018243793E-3</v>
      </c>
      <c r="FS395" s="293">
        <v>1.6369014297009372E-3</v>
      </c>
      <c r="FT395" s="293">
        <v>2.2096627157388712E-3</v>
      </c>
      <c r="FU395" s="293">
        <v>3.1105906443623559E-3</v>
      </c>
      <c r="FV395" s="293">
        <v>2.8782871932655487E-3</v>
      </c>
      <c r="FW395" s="293">
        <v>1.1996611506319809E-3</v>
      </c>
      <c r="FX395" s="293">
        <v>1.0632182625275946E-3</v>
      </c>
      <c r="FY395" s="293">
        <v>7.8062716893183607E-4</v>
      </c>
      <c r="FZ395" s="293">
        <v>1.2138180044963423E-3</v>
      </c>
      <c r="GA395" s="293">
        <v>1.1591991791016049E-3</v>
      </c>
      <c r="GB395" s="293">
        <v>1.1155727604234284E-3</v>
      </c>
      <c r="GC395" s="293">
        <v>1.1697200659900116E-3</v>
      </c>
      <c r="GD395" s="293">
        <v>7.8737958602049032E-4</v>
      </c>
      <c r="GE395" s="293">
        <v>1.186850158978668E-3</v>
      </c>
      <c r="GF395" s="293">
        <v>0</v>
      </c>
      <c r="GG395" s="293">
        <v>0</v>
      </c>
      <c r="GH395" s="293">
        <v>0</v>
      </c>
      <c r="GI395" s="293">
        <v>0</v>
      </c>
      <c r="GJ395" s="293">
        <v>0</v>
      </c>
      <c r="GK395" s="293">
        <v>0</v>
      </c>
      <c r="GL395" s="293">
        <v>0</v>
      </c>
      <c r="GM395" s="293">
        <v>0</v>
      </c>
      <c r="GN395" s="293">
        <v>0</v>
      </c>
      <c r="GO395" s="293">
        <v>0</v>
      </c>
      <c r="GP395" s="293">
        <v>0</v>
      </c>
      <c r="GQ395" s="293">
        <v>0</v>
      </c>
      <c r="GR395" s="293">
        <v>0</v>
      </c>
      <c r="GS395" s="293">
        <v>0</v>
      </c>
      <c r="GT395" s="293">
        <v>0</v>
      </c>
      <c r="GU395" s="293">
        <v>1.1019964E-2</v>
      </c>
      <c r="GV395" s="293">
        <v>0</v>
      </c>
      <c r="GW395" s="293">
        <v>0</v>
      </c>
      <c r="GX395" s="293">
        <v>5.5689999999999997E-5</v>
      </c>
      <c r="GY395" s="293">
        <v>1.8692999999999999E-5</v>
      </c>
      <c r="GZ395" s="293">
        <v>1.2644E-5</v>
      </c>
      <c r="HA395" s="293">
        <v>0</v>
      </c>
      <c r="HB395" s="293">
        <v>3.2119999999999997E-5</v>
      </c>
      <c r="HC395" s="293">
        <v>3.7080892141609686E-6</v>
      </c>
      <c r="HD395" s="293">
        <v>2.6120000000000001E-5</v>
      </c>
      <c r="HE395" s="293">
        <v>0</v>
      </c>
      <c r="HF395" s="293">
        <v>0</v>
      </c>
      <c r="HG395" s="293">
        <v>0.18226363400000001</v>
      </c>
      <c r="HH395" s="293">
        <v>0.42392594900000002</v>
      </c>
      <c r="HI395" s="293">
        <v>0.62166704399999995</v>
      </c>
      <c r="HJ395" s="293">
        <v>0.41041598099999999</v>
      </c>
      <c r="HK395" s="293">
        <v>2.2104404980000001</v>
      </c>
      <c r="HL395" s="293">
        <v>4.4838081059999997</v>
      </c>
      <c r="HM395" s="293">
        <v>0.45385356199999999</v>
      </c>
      <c r="HN395" s="293">
        <v>0.56033683300000003</v>
      </c>
      <c r="HO395" s="293">
        <v>2.3769332990000001</v>
      </c>
      <c r="HP395" s="293">
        <v>0.74264718500000004</v>
      </c>
      <c r="HQ395" s="293">
        <v>1.042245665</v>
      </c>
      <c r="HR395" s="293">
        <v>0.95656084200000002</v>
      </c>
      <c r="HS395" s="293">
        <v>0</v>
      </c>
      <c r="HT395" s="293">
        <v>7.2429999999999999E-6</v>
      </c>
      <c r="HU395" s="293">
        <v>0</v>
      </c>
      <c r="HV395" s="293">
        <v>0</v>
      </c>
      <c r="HW395" s="293">
        <v>4.3649000000000002E-5</v>
      </c>
      <c r="HX395" s="293">
        <v>3.6346000000000001E-5</v>
      </c>
      <c r="HY395" s="293"/>
      <c r="KT395" s="280"/>
    </row>
    <row r="396" spans="1:306" outlineLevel="1">
      <c r="A396" s="96" t="s">
        <v>395</v>
      </c>
      <c r="B396" s="96" t="s">
        <v>338</v>
      </c>
      <c r="D396" s="321" t="s">
        <v>490</v>
      </c>
      <c r="E396" s="293"/>
      <c r="F396" s="293"/>
      <c r="G396" s="293"/>
      <c r="H396" s="293"/>
      <c r="I396" s="293"/>
      <c r="J396" s="293"/>
      <c r="K396" s="293"/>
      <c r="L396" s="293"/>
      <c r="M396" s="293"/>
      <c r="N396" s="293"/>
      <c r="O396" s="293"/>
      <c r="P396" s="293"/>
      <c r="Q396" s="293"/>
      <c r="R396" s="293"/>
      <c r="S396" s="293"/>
      <c r="T396" s="293"/>
      <c r="U396" s="293"/>
      <c r="V396" s="293"/>
      <c r="W396" s="293"/>
      <c r="X396" s="293"/>
      <c r="Y396" s="29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c r="BN396" s="293"/>
      <c r="BO396" s="293"/>
      <c r="BP396" s="293"/>
      <c r="BQ396" s="293"/>
      <c r="BR396" s="293"/>
      <c r="BS396" s="293"/>
      <c r="BT396" s="293"/>
      <c r="BU396" s="293"/>
      <c r="BV396" s="293"/>
      <c r="BW396" s="293"/>
      <c r="BX396" s="293"/>
      <c r="BY396" s="293"/>
      <c r="BZ396" s="293"/>
      <c r="CA396" s="293"/>
      <c r="CB396" s="293"/>
      <c r="CC396" s="293"/>
      <c r="CD396" s="293"/>
      <c r="CE396" s="294">
        <v>0</v>
      </c>
      <c r="CF396" s="293">
        <v>0</v>
      </c>
      <c r="CG396" s="293">
        <v>0</v>
      </c>
      <c r="CH396" s="293">
        <v>0</v>
      </c>
      <c r="CI396" s="293">
        <v>0</v>
      </c>
      <c r="CJ396" s="293">
        <v>0</v>
      </c>
      <c r="CK396" s="293">
        <v>0</v>
      </c>
      <c r="CL396" s="293">
        <v>0</v>
      </c>
      <c r="CM396" s="293">
        <v>0</v>
      </c>
      <c r="CN396" s="293">
        <v>0</v>
      </c>
      <c r="CO396" s="293">
        <v>0</v>
      </c>
      <c r="CP396" s="295">
        <v>0</v>
      </c>
      <c r="CQ396" s="293">
        <v>0</v>
      </c>
      <c r="CR396" s="293">
        <v>0</v>
      </c>
      <c r="CS396" s="293">
        <v>0</v>
      </c>
      <c r="CT396" s="293">
        <v>0</v>
      </c>
      <c r="CU396" s="293">
        <v>0</v>
      </c>
      <c r="CV396" s="293">
        <v>0</v>
      </c>
      <c r="CW396" s="293">
        <v>0</v>
      </c>
      <c r="CX396" s="293">
        <v>0</v>
      </c>
      <c r="CY396" s="293">
        <v>0</v>
      </c>
      <c r="CZ396" s="293">
        <v>0</v>
      </c>
      <c r="DA396" s="293">
        <v>0</v>
      </c>
      <c r="DB396" s="1288">
        <v>0</v>
      </c>
      <c r="DC396" s="293">
        <v>0</v>
      </c>
      <c r="DD396" s="293">
        <v>0</v>
      </c>
      <c r="DE396" s="293">
        <v>0</v>
      </c>
      <c r="DF396" s="293">
        <v>0</v>
      </c>
      <c r="DG396" s="293">
        <v>0</v>
      </c>
      <c r="DH396" s="293">
        <v>0</v>
      </c>
      <c r="DI396" s="293">
        <v>0</v>
      </c>
      <c r="DJ396" s="293">
        <v>0</v>
      </c>
      <c r="DK396" s="293">
        <v>0</v>
      </c>
      <c r="DL396" s="293">
        <v>0</v>
      </c>
      <c r="DM396" s="293">
        <v>0</v>
      </c>
      <c r="DN396" s="295">
        <v>0</v>
      </c>
      <c r="DO396" s="293">
        <v>0</v>
      </c>
      <c r="DP396" s="293">
        <v>0</v>
      </c>
      <c r="DQ396" s="293">
        <v>0</v>
      </c>
      <c r="DR396" s="293">
        <v>0</v>
      </c>
      <c r="DS396" s="293">
        <v>0</v>
      </c>
      <c r="DT396" s="293">
        <v>0</v>
      </c>
      <c r="DU396" s="293">
        <v>0</v>
      </c>
      <c r="DV396" s="293">
        <v>0</v>
      </c>
      <c r="DW396" s="293">
        <v>0</v>
      </c>
      <c r="DX396" s="293">
        <v>0</v>
      </c>
      <c r="DY396" s="293">
        <v>0</v>
      </c>
      <c r="DZ396" s="295">
        <v>0</v>
      </c>
      <c r="EA396" s="293">
        <v>0</v>
      </c>
      <c r="EB396" s="293">
        <v>0</v>
      </c>
      <c r="EC396" s="293">
        <v>0</v>
      </c>
      <c r="ED396" s="293">
        <v>0</v>
      </c>
      <c r="EE396" s="293">
        <v>0</v>
      </c>
      <c r="EF396" s="293">
        <v>0</v>
      </c>
      <c r="EG396" s="293">
        <v>0</v>
      </c>
      <c r="EH396" s="293">
        <v>0</v>
      </c>
      <c r="EI396" s="293">
        <v>0</v>
      </c>
      <c r="EJ396" s="293">
        <v>0</v>
      </c>
      <c r="EK396" s="293">
        <v>0</v>
      </c>
      <c r="EL396" s="295">
        <v>0</v>
      </c>
      <c r="EM396" s="293">
        <v>0</v>
      </c>
      <c r="EN396" s="293">
        <v>0</v>
      </c>
      <c r="EO396" s="293">
        <v>0</v>
      </c>
      <c r="EP396" s="293">
        <v>0</v>
      </c>
      <c r="EQ396" s="293">
        <v>0</v>
      </c>
      <c r="ER396" s="293">
        <v>0</v>
      </c>
      <c r="ES396" s="293">
        <v>0</v>
      </c>
      <c r="ET396" s="293">
        <v>0</v>
      </c>
      <c r="EU396" s="293">
        <v>0</v>
      </c>
      <c r="EV396" s="293">
        <v>0</v>
      </c>
      <c r="EW396" s="293">
        <v>0</v>
      </c>
      <c r="EX396" s="295">
        <v>0</v>
      </c>
      <c r="EY396" s="293">
        <v>0</v>
      </c>
      <c r="EZ396" s="293">
        <v>0</v>
      </c>
      <c r="FA396" s="293">
        <v>0</v>
      </c>
      <c r="FB396" s="293">
        <v>0</v>
      </c>
      <c r="FC396" s="293">
        <v>0</v>
      </c>
      <c r="FD396" s="293">
        <v>0</v>
      </c>
      <c r="FE396" s="293">
        <v>0</v>
      </c>
      <c r="FF396" s="293">
        <v>0</v>
      </c>
      <c r="FG396" s="293">
        <v>0</v>
      </c>
      <c r="FH396" s="293">
        <v>0</v>
      </c>
      <c r="FI396" s="293">
        <v>0</v>
      </c>
      <c r="FJ396" s="295">
        <v>0</v>
      </c>
      <c r="FK396" s="293">
        <v>0</v>
      </c>
      <c r="FL396" s="293">
        <v>0</v>
      </c>
      <c r="FM396" s="293">
        <v>0</v>
      </c>
      <c r="FN396" s="293">
        <v>0</v>
      </c>
      <c r="FO396" s="293">
        <v>0</v>
      </c>
      <c r="FP396" s="293">
        <v>0</v>
      </c>
      <c r="FQ396" s="293">
        <v>0</v>
      </c>
      <c r="FR396" s="293">
        <v>0</v>
      </c>
      <c r="FS396" s="293">
        <v>0</v>
      </c>
      <c r="FT396" s="293">
        <v>0</v>
      </c>
      <c r="FU396" s="293">
        <v>0</v>
      </c>
      <c r="FV396" s="293">
        <v>0</v>
      </c>
      <c r="FW396" s="293">
        <v>0</v>
      </c>
      <c r="FX396" s="293">
        <v>0</v>
      </c>
      <c r="FY396" s="293">
        <v>0</v>
      </c>
      <c r="FZ396" s="293">
        <v>0</v>
      </c>
      <c r="GA396" s="293">
        <v>0</v>
      </c>
      <c r="GB396" s="293">
        <v>0</v>
      </c>
      <c r="GC396" s="293">
        <v>0</v>
      </c>
      <c r="GD396" s="293">
        <v>0</v>
      </c>
      <c r="GE396" s="293">
        <v>0</v>
      </c>
      <c r="GF396" s="293">
        <v>0</v>
      </c>
      <c r="GG396" s="293">
        <v>0</v>
      </c>
      <c r="GH396" s="293">
        <v>0</v>
      </c>
      <c r="GI396" s="293">
        <v>0</v>
      </c>
      <c r="GJ396" s="293">
        <v>0</v>
      </c>
      <c r="GK396" s="293">
        <v>0</v>
      </c>
      <c r="GL396" s="293">
        <v>0</v>
      </c>
      <c r="GM396" s="293">
        <v>0</v>
      </c>
      <c r="GN396" s="293">
        <v>0</v>
      </c>
      <c r="GO396" s="293">
        <v>0</v>
      </c>
      <c r="GP396" s="293">
        <v>0</v>
      </c>
      <c r="GQ396" s="293">
        <v>0</v>
      </c>
      <c r="GR396" s="293">
        <v>0</v>
      </c>
      <c r="GS396" s="293">
        <v>0</v>
      </c>
      <c r="GT396" s="293">
        <v>0</v>
      </c>
      <c r="GU396" s="293">
        <v>0</v>
      </c>
      <c r="GV396" s="293">
        <v>0</v>
      </c>
      <c r="GW396" s="293">
        <v>0</v>
      </c>
      <c r="GX396" s="293">
        <v>0</v>
      </c>
      <c r="GY396" s="293">
        <v>0</v>
      </c>
      <c r="GZ396" s="293">
        <v>0</v>
      </c>
      <c r="HA396" s="293">
        <v>0</v>
      </c>
      <c r="HB396" s="293">
        <v>0</v>
      </c>
      <c r="HC396" s="293">
        <v>0</v>
      </c>
      <c r="HD396" s="293">
        <v>0</v>
      </c>
      <c r="HE396" s="293">
        <v>0</v>
      </c>
      <c r="HF396" s="293">
        <v>0</v>
      </c>
      <c r="HG396" s="293">
        <v>0</v>
      </c>
      <c r="HH396" s="293">
        <v>0</v>
      </c>
      <c r="HI396" s="293">
        <v>0</v>
      </c>
      <c r="HJ396" s="293">
        <v>0</v>
      </c>
      <c r="HK396" s="293">
        <v>0</v>
      </c>
      <c r="HL396" s="293">
        <v>0</v>
      </c>
      <c r="HM396" s="293">
        <v>0</v>
      </c>
      <c r="HN396" s="293">
        <v>0</v>
      </c>
      <c r="HO396" s="293">
        <v>0</v>
      </c>
      <c r="HP396" s="293">
        <v>0</v>
      </c>
      <c r="HQ396" s="293">
        <v>0</v>
      </c>
      <c r="HR396" s="293">
        <v>0</v>
      </c>
      <c r="HS396" s="293">
        <v>0</v>
      </c>
      <c r="HT396" s="293">
        <v>0</v>
      </c>
      <c r="HU396" s="293">
        <v>0</v>
      </c>
      <c r="HV396" s="293">
        <v>0</v>
      </c>
      <c r="HW396" s="293">
        <v>0</v>
      </c>
      <c r="HX396" s="293">
        <v>0</v>
      </c>
      <c r="HY396" s="293"/>
      <c r="KT396" s="280"/>
    </row>
    <row r="397" spans="1:306" outlineLevel="1">
      <c r="A397" s="96" t="s">
        <v>395</v>
      </c>
      <c r="B397" s="96" t="s">
        <v>338</v>
      </c>
      <c r="D397" s="321" t="s">
        <v>491</v>
      </c>
      <c r="E397" s="293"/>
      <c r="F397" s="293"/>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c r="BN397" s="293"/>
      <c r="BO397" s="293"/>
      <c r="BP397" s="293"/>
      <c r="BQ397" s="293"/>
      <c r="BR397" s="293"/>
      <c r="BS397" s="293"/>
      <c r="BT397" s="293"/>
      <c r="BU397" s="293"/>
      <c r="BV397" s="293"/>
      <c r="BW397" s="293"/>
      <c r="BX397" s="293"/>
      <c r="BY397" s="293"/>
      <c r="BZ397" s="293"/>
      <c r="CA397" s="293"/>
      <c r="CB397" s="293"/>
      <c r="CC397" s="293"/>
      <c r="CD397" s="293"/>
      <c r="CE397" s="294">
        <v>0</v>
      </c>
      <c r="CF397" s="293">
        <v>0</v>
      </c>
      <c r="CG397" s="293">
        <v>0</v>
      </c>
      <c r="CH397" s="293">
        <v>0</v>
      </c>
      <c r="CI397" s="293">
        <v>0</v>
      </c>
      <c r="CJ397" s="293">
        <v>0</v>
      </c>
      <c r="CK397" s="293">
        <v>0</v>
      </c>
      <c r="CL397" s="293">
        <v>0</v>
      </c>
      <c r="CM397" s="293">
        <v>0</v>
      </c>
      <c r="CN397" s="293">
        <v>0</v>
      </c>
      <c r="CO397" s="293">
        <v>0</v>
      </c>
      <c r="CP397" s="295">
        <v>0</v>
      </c>
      <c r="CQ397" s="293">
        <v>0</v>
      </c>
      <c r="CR397" s="293">
        <v>0</v>
      </c>
      <c r="CS397" s="293">
        <v>0</v>
      </c>
      <c r="CT397" s="293">
        <v>0</v>
      </c>
      <c r="CU397" s="293">
        <v>0</v>
      </c>
      <c r="CV397" s="293">
        <v>0</v>
      </c>
      <c r="CW397" s="293">
        <v>0</v>
      </c>
      <c r="CX397" s="293">
        <v>0</v>
      </c>
      <c r="CY397" s="293">
        <v>0</v>
      </c>
      <c r="CZ397" s="293">
        <v>0</v>
      </c>
      <c r="DA397" s="293">
        <v>0</v>
      </c>
      <c r="DB397" s="1288">
        <v>0</v>
      </c>
      <c r="DC397" s="293">
        <v>0</v>
      </c>
      <c r="DD397" s="293">
        <v>0</v>
      </c>
      <c r="DE397" s="293">
        <v>0</v>
      </c>
      <c r="DF397" s="293">
        <v>0</v>
      </c>
      <c r="DG397" s="293">
        <v>0</v>
      </c>
      <c r="DH397" s="293">
        <v>0</v>
      </c>
      <c r="DI397" s="293">
        <v>0</v>
      </c>
      <c r="DJ397" s="293">
        <v>0</v>
      </c>
      <c r="DK397" s="293">
        <v>0</v>
      </c>
      <c r="DL397" s="293">
        <v>0</v>
      </c>
      <c r="DM397" s="293">
        <v>0</v>
      </c>
      <c r="DN397" s="295">
        <v>0</v>
      </c>
      <c r="DO397" s="293">
        <v>0</v>
      </c>
      <c r="DP397" s="293">
        <v>0</v>
      </c>
      <c r="DQ397" s="293">
        <v>0</v>
      </c>
      <c r="DR397" s="293">
        <v>0</v>
      </c>
      <c r="DS397" s="293">
        <v>0</v>
      </c>
      <c r="DT397" s="293">
        <v>0</v>
      </c>
      <c r="DU397" s="293">
        <v>0</v>
      </c>
      <c r="DV397" s="293">
        <v>0</v>
      </c>
      <c r="DW397" s="293">
        <v>0</v>
      </c>
      <c r="DX397" s="293">
        <v>0</v>
      </c>
      <c r="DY397" s="293">
        <v>0</v>
      </c>
      <c r="DZ397" s="295">
        <v>0</v>
      </c>
      <c r="EA397" s="293">
        <v>0</v>
      </c>
      <c r="EB397" s="293">
        <v>0</v>
      </c>
      <c r="EC397" s="293">
        <v>0</v>
      </c>
      <c r="ED397" s="293">
        <v>0</v>
      </c>
      <c r="EE397" s="293">
        <v>0</v>
      </c>
      <c r="EF397" s="293">
        <v>0</v>
      </c>
      <c r="EG397" s="293">
        <v>0</v>
      </c>
      <c r="EH397" s="293">
        <v>0</v>
      </c>
      <c r="EI397" s="293">
        <v>0</v>
      </c>
      <c r="EJ397" s="293">
        <v>0</v>
      </c>
      <c r="EK397" s="293">
        <v>0</v>
      </c>
      <c r="EL397" s="295">
        <v>0</v>
      </c>
      <c r="EM397" s="293">
        <v>0</v>
      </c>
      <c r="EN397" s="293">
        <v>0</v>
      </c>
      <c r="EO397" s="293">
        <v>0</v>
      </c>
      <c r="EP397" s="293">
        <v>0</v>
      </c>
      <c r="EQ397" s="293">
        <v>0</v>
      </c>
      <c r="ER397" s="293">
        <v>0</v>
      </c>
      <c r="ES397" s="293">
        <v>0</v>
      </c>
      <c r="ET397" s="293">
        <v>0</v>
      </c>
      <c r="EU397" s="293">
        <v>0</v>
      </c>
      <c r="EV397" s="293">
        <v>0</v>
      </c>
      <c r="EW397" s="293">
        <v>0</v>
      </c>
      <c r="EX397" s="295">
        <v>0</v>
      </c>
      <c r="EY397" s="293">
        <v>0</v>
      </c>
      <c r="EZ397" s="293">
        <v>0</v>
      </c>
      <c r="FA397" s="293">
        <v>0</v>
      </c>
      <c r="FB397" s="293">
        <v>0</v>
      </c>
      <c r="FC397" s="293">
        <v>0</v>
      </c>
      <c r="FD397" s="293">
        <v>0</v>
      </c>
      <c r="FE397" s="293">
        <v>0</v>
      </c>
      <c r="FF397" s="293">
        <v>0</v>
      </c>
      <c r="FG397" s="293">
        <v>0</v>
      </c>
      <c r="FH397" s="293">
        <v>0</v>
      </c>
      <c r="FI397" s="293">
        <v>0</v>
      </c>
      <c r="FJ397" s="295">
        <v>0</v>
      </c>
      <c r="FK397" s="293">
        <v>0</v>
      </c>
      <c r="FL397" s="293">
        <v>0</v>
      </c>
      <c r="FM397" s="293">
        <v>0</v>
      </c>
      <c r="FN397" s="293">
        <v>0</v>
      </c>
      <c r="FO397" s="293">
        <v>0</v>
      </c>
      <c r="FP397" s="293">
        <v>0</v>
      </c>
      <c r="FQ397" s="293">
        <v>0</v>
      </c>
      <c r="FR397" s="293">
        <v>0</v>
      </c>
      <c r="FS397" s="293">
        <v>0</v>
      </c>
      <c r="FT397" s="293">
        <v>0</v>
      </c>
      <c r="FU397" s="293">
        <v>0</v>
      </c>
      <c r="FV397" s="293">
        <v>0</v>
      </c>
      <c r="FW397" s="293">
        <v>0</v>
      </c>
      <c r="FX397" s="293">
        <v>0</v>
      </c>
      <c r="FY397" s="293">
        <v>0</v>
      </c>
      <c r="FZ397" s="293">
        <v>0</v>
      </c>
      <c r="GA397" s="293">
        <v>0</v>
      </c>
      <c r="GB397" s="293">
        <v>0</v>
      </c>
      <c r="GC397" s="293">
        <v>0</v>
      </c>
      <c r="GD397" s="293">
        <v>0</v>
      </c>
      <c r="GE397" s="293">
        <v>0</v>
      </c>
      <c r="GF397" s="293">
        <v>0</v>
      </c>
      <c r="GG397" s="293">
        <v>0</v>
      </c>
      <c r="GH397" s="293">
        <v>0</v>
      </c>
      <c r="GI397" s="293">
        <v>0</v>
      </c>
      <c r="GJ397" s="293">
        <v>0</v>
      </c>
      <c r="GK397" s="293">
        <v>0</v>
      </c>
      <c r="GL397" s="293">
        <v>0</v>
      </c>
      <c r="GM397" s="293">
        <v>0</v>
      </c>
      <c r="GN397" s="293">
        <v>0</v>
      </c>
      <c r="GO397" s="293">
        <v>0</v>
      </c>
      <c r="GP397" s="293">
        <v>0</v>
      </c>
      <c r="GQ397" s="293">
        <v>0</v>
      </c>
      <c r="GR397" s="293">
        <v>0</v>
      </c>
      <c r="GS397" s="293">
        <v>0</v>
      </c>
      <c r="GT397" s="293">
        <v>0</v>
      </c>
      <c r="GU397" s="293">
        <v>0</v>
      </c>
      <c r="GV397" s="293">
        <v>0</v>
      </c>
      <c r="GW397" s="293">
        <v>0</v>
      </c>
      <c r="GX397" s="293">
        <v>0</v>
      </c>
      <c r="GY397" s="293">
        <v>0</v>
      </c>
      <c r="GZ397" s="293">
        <v>0</v>
      </c>
      <c r="HA397" s="293">
        <v>0</v>
      </c>
      <c r="HB397" s="293">
        <v>0</v>
      </c>
      <c r="HC397" s="293">
        <v>0</v>
      </c>
      <c r="HD397" s="293">
        <v>0</v>
      </c>
      <c r="HE397" s="293">
        <v>0</v>
      </c>
      <c r="HF397" s="293">
        <v>0</v>
      </c>
      <c r="HG397" s="293">
        <v>0</v>
      </c>
      <c r="HH397" s="293">
        <v>0</v>
      </c>
      <c r="HI397" s="293">
        <v>0</v>
      </c>
      <c r="HJ397" s="293">
        <v>0</v>
      </c>
      <c r="HK397" s="293">
        <v>0</v>
      </c>
      <c r="HL397" s="293">
        <v>0</v>
      </c>
      <c r="HM397" s="293">
        <v>0</v>
      </c>
      <c r="HN397" s="293">
        <v>0</v>
      </c>
      <c r="HO397" s="293">
        <v>0</v>
      </c>
      <c r="HP397" s="293">
        <v>0</v>
      </c>
      <c r="HQ397" s="293">
        <v>0</v>
      </c>
      <c r="HR397" s="293">
        <v>0</v>
      </c>
      <c r="HS397" s="293">
        <v>0</v>
      </c>
      <c r="HT397" s="293">
        <v>0</v>
      </c>
      <c r="HU397" s="293">
        <v>0</v>
      </c>
      <c r="HV397" s="293">
        <v>0</v>
      </c>
      <c r="HW397" s="293">
        <v>0</v>
      </c>
      <c r="HX397" s="293">
        <v>0</v>
      </c>
      <c r="HY397" s="293"/>
      <c r="KT397" s="280"/>
    </row>
    <row r="398" spans="1:306" outlineLevel="1">
      <c r="A398" s="96" t="s">
        <v>395</v>
      </c>
      <c r="B398" s="96" t="s">
        <v>338</v>
      </c>
      <c r="D398" s="321" t="s">
        <v>492</v>
      </c>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c r="BN398" s="293"/>
      <c r="BO398" s="293"/>
      <c r="BP398" s="293"/>
      <c r="BQ398" s="293"/>
      <c r="BR398" s="293"/>
      <c r="BS398" s="293"/>
      <c r="BT398" s="293"/>
      <c r="BU398" s="293"/>
      <c r="BV398" s="293"/>
      <c r="BW398" s="293"/>
      <c r="BX398" s="293"/>
      <c r="BY398" s="293"/>
      <c r="BZ398" s="293"/>
      <c r="CA398" s="293"/>
      <c r="CB398" s="293"/>
      <c r="CC398" s="293"/>
      <c r="CD398" s="293"/>
      <c r="CE398" s="294">
        <v>0</v>
      </c>
      <c r="CF398" s="293">
        <v>0</v>
      </c>
      <c r="CG398" s="293">
        <v>0</v>
      </c>
      <c r="CH398" s="293">
        <v>0</v>
      </c>
      <c r="CI398" s="293">
        <v>0</v>
      </c>
      <c r="CJ398" s="293">
        <v>0</v>
      </c>
      <c r="CK398" s="293">
        <v>0</v>
      </c>
      <c r="CL398" s="293">
        <v>0</v>
      </c>
      <c r="CM398" s="293">
        <v>0</v>
      </c>
      <c r="CN398" s="293">
        <v>0</v>
      </c>
      <c r="CO398" s="293">
        <v>0</v>
      </c>
      <c r="CP398" s="295">
        <v>0</v>
      </c>
      <c r="CQ398" s="293">
        <v>0</v>
      </c>
      <c r="CR398" s="293">
        <v>0</v>
      </c>
      <c r="CS398" s="293">
        <v>0</v>
      </c>
      <c r="CT398" s="293">
        <v>0</v>
      </c>
      <c r="CU398" s="293">
        <v>0</v>
      </c>
      <c r="CV398" s="293">
        <v>0</v>
      </c>
      <c r="CW398" s="293">
        <v>0</v>
      </c>
      <c r="CX398" s="293">
        <v>0</v>
      </c>
      <c r="CY398" s="293">
        <v>0</v>
      </c>
      <c r="CZ398" s="293">
        <v>0</v>
      </c>
      <c r="DA398" s="293">
        <v>0</v>
      </c>
      <c r="DB398" s="1288">
        <v>0</v>
      </c>
      <c r="DC398" s="293">
        <v>0</v>
      </c>
      <c r="DD398" s="293">
        <v>0</v>
      </c>
      <c r="DE398" s="293">
        <v>0</v>
      </c>
      <c r="DF398" s="293">
        <v>0</v>
      </c>
      <c r="DG398" s="293">
        <v>0</v>
      </c>
      <c r="DH398" s="293">
        <v>0</v>
      </c>
      <c r="DI398" s="293">
        <v>0</v>
      </c>
      <c r="DJ398" s="293">
        <v>0</v>
      </c>
      <c r="DK398" s="293">
        <v>0</v>
      </c>
      <c r="DL398" s="293">
        <v>0</v>
      </c>
      <c r="DM398" s="293">
        <v>0</v>
      </c>
      <c r="DN398" s="295">
        <v>0</v>
      </c>
      <c r="DO398" s="293">
        <v>0</v>
      </c>
      <c r="DP398" s="293">
        <v>0</v>
      </c>
      <c r="DQ398" s="293">
        <v>0</v>
      </c>
      <c r="DR398" s="293">
        <v>0</v>
      </c>
      <c r="DS398" s="293">
        <v>0</v>
      </c>
      <c r="DT398" s="293">
        <v>0</v>
      </c>
      <c r="DU398" s="293">
        <v>0</v>
      </c>
      <c r="DV398" s="293">
        <v>0</v>
      </c>
      <c r="DW398" s="293">
        <v>0</v>
      </c>
      <c r="DX398" s="293">
        <v>0</v>
      </c>
      <c r="DY398" s="293">
        <v>0</v>
      </c>
      <c r="DZ398" s="295">
        <v>0</v>
      </c>
      <c r="EA398" s="293">
        <v>0</v>
      </c>
      <c r="EB398" s="293">
        <v>0</v>
      </c>
      <c r="EC398" s="293">
        <v>0</v>
      </c>
      <c r="ED398" s="293">
        <v>0</v>
      </c>
      <c r="EE398" s="293">
        <v>0</v>
      </c>
      <c r="EF398" s="293">
        <v>0</v>
      </c>
      <c r="EG398" s="293">
        <v>0</v>
      </c>
      <c r="EH398" s="293">
        <v>0</v>
      </c>
      <c r="EI398" s="293">
        <v>0</v>
      </c>
      <c r="EJ398" s="293">
        <v>0</v>
      </c>
      <c r="EK398" s="293">
        <v>0</v>
      </c>
      <c r="EL398" s="295">
        <v>0</v>
      </c>
      <c r="EM398" s="293">
        <v>0</v>
      </c>
      <c r="EN398" s="293">
        <v>0</v>
      </c>
      <c r="EO398" s="293">
        <v>0</v>
      </c>
      <c r="EP398" s="293">
        <v>0</v>
      </c>
      <c r="EQ398" s="293">
        <v>0</v>
      </c>
      <c r="ER398" s="293">
        <v>0</v>
      </c>
      <c r="ES398" s="293">
        <v>0</v>
      </c>
      <c r="ET398" s="293">
        <v>0</v>
      </c>
      <c r="EU398" s="293">
        <v>0</v>
      </c>
      <c r="EV398" s="293">
        <v>0</v>
      </c>
      <c r="EW398" s="293">
        <v>0</v>
      </c>
      <c r="EX398" s="295">
        <v>0</v>
      </c>
      <c r="EY398" s="293">
        <v>0</v>
      </c>
      <c r="EZ398" s="293">
        <v>0</v>
      </c>
      <c r="FA398" s="293">
        <v>0</v>
      </c>
      <c r="FB398" s="293">
        <v>0</v>
      </c>
      <c r="FC398" s="293">
        <v>0</v>
      </c>
      <c r="FD398" s="293">
        <v>0</v>
      </c>
      <c r="FE398" s="293">
        <v>0</v>
      </c>
      <c r="FF398" s="293">
        <v>0</v>
      </c>
      <c r="FG398" s="293">
        <v>0</v>
      </c>
      <c r="FH398" s="293">
        <v>0</v>
      </c>
      <c r="FI398" s="293">
        <v>0</v>
      </c>
      <c r="FJ398" s="295">
        <v>0</v>
      </c>
      <c r="FK398" s="293">
        <v>0</v>
      </c>
      <c r="FL398" s="293">
        <v>0</v>
      </c>
      <c r="FM398" s="293">
        <v>0</v>
      </c>
      <c r="FN398" s="293">
        <v>0</v>
      </c>
      <c r="FO398" s="293">
        <v>0</v>
      </c>
      <c r="FP398" s="293">
        <v>0</v>
      </c>
      <c r="FQ398" s="293">
        <v>0</v>
      </c>
      <c r="FR398" s="293">
        <v>0</v>
      </c>
      <c r="FS398" s="293">
        <v>0</v>
      </c>
      <c r="FT398" s="293">
        <v>0</v>
      </c>
      <c r="FU398" s="293">
        <v>0</v>
      </c>
      <c r="FV398" s="293">
        <v>0</v>
      </c>
      <c r="FW398" s="293">
        <v>0</v>
      </c>
      <c r="FX398" s="293">
        <v>0</v>
      </c>
      <c r="FY398" s="293">
        <v>0</v>
      </c>
      <c r="FZ398" s="293">
        <v>0</v>
      </c>
      <c r="GA398" s="293">
        <v>0</v>
      </c>
      <c r="GB398" s="293">
        <v>0</v>
      </c>
      <c r="GC398" s="293">
        <v>0</v>
      </c>
      <c r="GD398" s="293">
        <v>0</v>
      </c>
      <c r="GE398" s="293">
        <v>0</v>
      </c>
      <c r="GF398" s="293">
        <v>0</v>
      </c>
      <c r="GG398" s="293">
        <v>0</v>
      </c>
      <c r="GH398" s="293">
        <v>0</v>
      </c>
      <c r="GI398" s="293">
        <v>0</v>
      </c>
      <c r="GJ398" s="293">
        <v>0</v>
      </c>
      <c r="GK398" s="293">
        <v>0</v>
      </c>
      <c r="GL398" s="293">
        <v>0</v>
      </c>
      <c r="GM398" s="293">
        <v>0</v>
      </c>
      <c r="GN398" s="293">
        <v>0</v>
      </c>
      <c r="GO398" s="293">
        <v>0</v>
      </c>
      <c r="GP398" s="293">
        <v>0</v>
      </c>
      <c r="GQ398" s="293">
        <v>0</v>
      </c>
      <c r="GR398" s="293">
        <v>0</v>
      </c>
      <c r="GS398" s="293">
        <v>0</v>
      </c>
      <c r="GT398" s="293">
        <v>0</v>
      </c>
      <c r="GU398" s="293">
        <v>0</v>
      </c>
      <c r="GV398" s="293">
        <v>0</v>
      </c>
      <c r="GW398" s="293">
        <v>0</v>
      </c>
      <c r="GX398" s="293">
        <v>0</v>
      </c>
      <c r="GY398" s="293">
        <v>0</v>
      </c>
      <c r="GZ398" s="293">
        <v>0</v>
      </c>
      <c r="HA398" s="293">
        <v>0</v>
      </c>
      <c r="HB398" s="293">
        <v>0</v>
      </c>
      <c r="HC398" s="293">
        <v>0</v>
      </c>
      <c r="HD398" s="293">
        <v>0</v>
      </c>
      <c r="HE398" s="293">
        <v>0</v>
      </c>
      <c r="HF398" s="293">
        <v>0</v>
      </c>
      <c r="HG398" s="293">
        <v>0</v>
      </c>
      <c r="HH398" s="293">
        <v>0</v>
      </c>
      <c r="HI398" s="293">
        <v>0</v>
      </c>
      <c r="HJ398" s="293">
        <v>0</v>
      </c>
      <c r="HK398" s="293">
        <v>0</v>
      </c>
      <c r="HL398" s="293">
        <v>0</v>
      </c>
      <c r="HM398" s="293">
        <v>0</v>
      </c>
      <c r="HN398" s="293">
        <v>0</v>
      </c>
      <c r="HO398" s="293">
        <v>0</v>
      </c>
      <c r="HP398" s="293">
        <v>0</v>
      </c>
      <c r="HQ398" s="293">
        <v>0</v>
      </c>
      <c r="HR398" s="293">
        <v>0</v>
      </c>
      <c r="HS398" s="293">
        <v>0</v>
      </c>
      <c r="HT398" s="293">
        <v>0</v>
      </c>
      <c r="HU398" s="293">
        <v>0</v>
      </c>
      <c r="HV398" s="293">
        <v>0</v>
      </c>
      <c r="HW398" s="293">
        <v>0</v>
      </c>
      <c r="HX398" s="293">
        <v>0</v>
      </c>
      <c r="HY398" s="293"/>
      <c r="KT398" s="280"/>
    </row>
    <row r="399" spans="1:306" outlineLevel="1">
      <c r="A399" s="96" t="s">
        <v>395</v>
      </c>
      <c r="B399" s="96" t="s">
        <v>338</v>
      </c>
      <c r="D399" s="321" t="s">
        <v>493</v>
      </c>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c r="BN399" s="293"/>
      <c r="BO399" s="293"/>
      <c r="BP399" s="293"/>
      <c r="BQ399" s="293"/>
      <c r="BR399" s="293"/>
      <c r="BS399" s="293"/>
      <c r="BT399" s="293"/>
      <c r="BU399" s="293"/>
      <c r="BV399" s="293"/>
      <c r="BW399" s="293"/>
      <c r="BX399" s="293"/>
      <c r="BY399" s="293"/>
      <c r="BZ399" s="293"/>
      <c r="CA399" s="293"/>
      <c r="CB399" s="293"/>
      <c r="CC399" s="293"/>
      <c r="CD399" s="293"/>
      <c r="CE399" s="294">
        <v>2.9019E-2</v>
      </c>
      <c r="CF399" s="293">
        <v>3.0443028E-2</v>
      </c>
      <c r="CG399" s="293">
        <v>2.9402956000000001E-2</v>
      </c>
      <c r="CH399" s="293">
        <v>2.5939E-2</v>
      </c>
      <c r="CI399" s="293">
        <v>2.1454615E-2</v>
      </c>
      <c r="CJ399" s="293">
        <v>2.7730419999999999E-2</v>
      </c>
      <c r="CK399" s="293">
        <v>3.0049919000000001E-2</v>
      </c>
      <c r="CL399" s="293">
        <v>3.3757825999999998E-2</v>
      </c>
      <c r="CM399" s="293">
        <v>4.5076725999999998E-2</v>
      </c>
      <c r="CN399" s="293">
        <v>4.9540202999999998E-2</v>
      </c>
      <c r="CO399" s="293">
        <v>5.3802061999999998E-2</v>
      </c>
      <c r="CP399" s="295">
        <v>2.0424985969999998</v>
      </c>
      <c r="CQ399" s="293">
        <v>9.2455625E-2</v>
      </c>
      <c r="CR399" s="293">
        <v>5.8016163000000003E-2</v>
      </c>
      <c r="CS399" s="293">
        <v>5.426475E-2</v>
      </c>
      <c r="CT399" s="293">
        <v>5.0637036000000003E-2</v>
      </c>
      <c r="CU399" s="293">
        <v>5.6333473000000002E-2</v>
      </c>
      <c r="CV399" s="293">
        <v>6.1871487000000003E-2</v>
      </c>
      <c r="CW399" s="293">
        <v>6.0470482999999998E-2</v>
      </c>
      <c r="CX399" s="293">
        <v>6.5419802999999999E-2</v>
      </c>
      <c r="CY399" s="293">
        <v>6.6502772000000002E-2</v>
      </c>
      <c r="CZ399" s="293">
        <v>5.6616418000000002E-2</v>
      </c>
      <c r="DA399" s="293">
        <v>5.7814781000000003E-2</v>
      </c>
      <c r="DB399" s="1288">
        <v>5.6000117000000002E-2</v>
      </c>
      <c r="DC399" s="293">
        <v>9.6366417744588609E-2</v>
      </c>
      <c r="DD399" s="293">
        <v>6.5579677243383164E-2</v>
      </c>
      <c r="DE399" s="293">
        <v>6.2069700414791013E-2</v>
      </c>
      <c r="DF399" s="293">
        <v>6.7843064571146069E-2</v>
      </c>
      <c r="DG399" s="293">
        <v>7.1081475520421863E-2</v>
      </c>
      <c r="DH399" s="293">
        <v>7.831465987054971E-2</v>
      </c>
      <c r="DI399" s="293">
        <v>6.3955531208804484E-2</v>
      </c>
      <c r="DJ399" s="293">
        <v>8.418332943502857E-2</v>
      </c>
      <c r="DK399" s="293">
        <v>8.1018853751948422E-2</v>
      </c>
      <c r="DL399" s="293">
        <v>6.5828797598082897E-2</v>
      </c>
      <c r="DM399" s="293">
        <v>6.7932009080562794E-2</v>
      </c>
      <c r="DN399" s="295">
        <v>6.2578164541410547E-2</v>
      </c>
      <c r="DO399" s="293">
        <v>0</v>
      </c>
      <c r="DP399" s="293">
        <v>0</v>
      </c>
      <c r="DQ399" s="293">
        <v>0</v>
      </c>
      <c r="DR399" s="293">
        <v>0</v>
      </c>
      <c r="DS399" s="293">
        <v>0</v>
      </c>
      <c r="DT399" s="293">
        <v>0</v>
      </c>
      <c r="DU399" s="293">
        <v>0</v>
      </c>
      <c r="DV399" s="293">
        <v>0</v>
      </c>
      <c r="DW399" s="293">
        <v>0</v>
      </c>
      <c r="DX399" s="293">
        <v>0</v>
      </c>
      <c r="DY399" s="293">
        <v>0</v>
      </c>
      <c r="DZ399" s="295">
        <v>0</v>
      </c>
      <c r="EA399" s="293">
        <v>0.17843176147015635</v>
      </c>
      <c r="EB399" s="293">
        <v>1.1068213785765339E-2</v>
      </c>
      <c r="EC399" s="293">
        <v>6.5593313143918724E-2</v>
      </c>
      <c r="ED399" s="293">
        <v>0.10688350416823514</v>
      </c>
      <c r="EE399" s="293">
        <v>0.13929436857888944</v>
      </c>
      <c r="EF399" s="293">
        <v>0.17936977612196442</v>
      </c>
      <c r="EG399" s="293">
        <v>1.9877427848863954E-2</v>
      </c>
      <c r="EH399" s="293">
        <v>2.304272104931706E-2</v>
      </c>
      <c r="EI399" s="293">
        <v>2.0406779143309947E-2</v>
      </c>
      <c r="EJ399" s="293">
        <v>1.7163095796810426E-2</v>
      </c>
      <c r="EK399" s="293">
        <v>1.544813681708251E-2</v>
      </c>
      <c r="EL399" s="295">
        <v>2.1309053801818231E-2</v>
      </c>
      <c r="EM399" s="293">
        <v>0</v>
      </c>
      <c r="EN399" s="293">
        <v>0</v>
      </c>
      <c r="EO399" s="293">
        <v>0</v>
      </c>
      <c r="EP399" s="293">
        <v>0</v>
      </c>
      <c r="EQ399" s="293">
        <v>0</v>
      </c>
      <c r="ER399" s="293">
        <v>0</v>
      </c>
      <c r="ES399" s="293">
        <v>0</v>
      </c>
      <c r="ET399" s="293">
        <v>0</v>
      </c>
      <c r="EU399" s="293">
        <v>0</v>
      </c>
      <c r="EV399" s="293">
        <v>0</v>
      </c>
      <c r="EW399" s="293">
        <v>0</v>
      </c>
      <c r="EX399" s="295">
        <v>0</v>
      </c>
      <c r="EY399" s="293">
        <v>0</v>
      </c>
      <c r="EZ399" s="293">
        <v>0</v>
      </c>
      <c r="FA399" s="293">
        <v>0</v>
      </c>
      <c r="FB399" s="293">
        <v>0</v>
      </c>
      <c r="FC399" s="293">
        <v>0</v>
      </c>
      <c r="FD399" s="293">
        <v>0</v>
      </c>
      <c r="FE399" s="293">
        <v>0</v>
      </c>
      <c r="FF399" s="293">
        <v>0</v>
      </c>
      <c r="FG399" s="293">
        <v>0</v>
      </c>
      <c r="FH399" s="293">
        <v>0</v>
      </c>
      <c r="FI399" s="293">
        <v>0</v>
      </c>
      <c r="FJ399" s="295">
        <v>0</v>
      </c>
      <c r="FK399" s="293">
        <v>0</v>
      </c>
      <c r="FL399" s="293">
        <v>0</v>
      </c>
      <c r="FM399" s="293">
        <v>0</v>
      </c>
      <c r="FN399" s="293">
        <v>0</v>
      </c>
      <c r="FO399" s="293">
        <v>0</v>
      </c>
      <c r="FP399" s="293">
        <v>0</v>
      </c>
      <c r="FQ399" s="293">
        <v>0</v>
      </c>
      <c r="FR399" s="293">
        <v>0</v>
      </c>
      <c r="FS399" s="293">
        <v>0</v>
      </c>
      <c r="FT399" s="293">
        <v>0</v>
      </c>
      <c r="FU399" s="293">
        <v>0</v>
      </c>
      <c r="FV399" s="293">
        <v>0</v>
      </c>
      <c r="FW399" s="293">
        <v>0</v>
      </c>
      <c r="FX399" s="293">
        <v>0</v>
      </c>
      <c r="FY399" s="293">
        <v>0</v>
      </c>
      <c r="FZ399" s="293">
        <v>0</v>
      </c>
      <c r="GA399" s="293">
        <v>0</v>
      </c>
      <c r="GB399" s="293">
        <v>0</v>
      </c>
      <c r="GC399" s="293">
        <v>0</v>
      </c>
      <c r="GD399" s="293">
        <v>0</v>
      </c>
      <c r="GE399" s="293">
        <v>0</v>
      </c>
      <c r="GF399" s="293">
        <v>0</v>
      </c>
      <c r="GG399" s="293">
        <v>0</v>
      </c>
      <c r="GH399" s="293">
        <v>0</v>
      </c>
      <c r="GI399" s="293">
        <v>0</v>
      </c>
      <c r="GJ399" s="293">
        <v>0</v>
      </c>
      <c r="GK399" s="293">
        <v>0</v>
      </c>
      <c r="GL399" s="293">
        <v>0</v>
      </c>
      <c r="GM399" s="293">
        <v>0</v>
      </c>
      <c r="GN399" s="293">
        <v>0</v>
      </c>
      <c r="GO399" s="293">
        <v>0</v>
      </c>
      <c r="GP399" s="293">
        <v>0</v>
      </c>
      <c r="GQ399" s="293">
        <v>0</v>
      </c>
      <c r="GR399" s="293">
        <v>0</v>
      </c>
      <c r="GS399" s="293">
        <v>0</v>
      </c>
      <c r="GT399" s="293">
        <v>0</v>
      </c>
      <c r="GU399" s="293">
        <v>0</v>
      </c>
      <c r="GV399" s="293">
        <v>0</v>
      </c>
      <c r="GW399" s="293">
        <v>0</v>
      </c>
      <c r="GX399" s="293">
        <v>0</v>
      </c>
      <c r="GY399" s="293">
        <v>0</v>
      </c>
      <c r="GZ399" s="293">
        <v>0</v>
      </c>
      <c r="HA399" s="293">
        <v>0</v>
      </c>
      <c r="HB399" s="293">
        <v>0</v>
      </c>
      <c r="HC399" s="293">
        <v>0</v>
      </c>
      <c r="HD399" s="293">
        <v>0</v>
      </c>
      <c r="HE399" s="293">
        <v>0</v>
      </c>
      <c r="HF399" s="293">
        <v>0</v>
      </c>
      <c r="HG399" s="293">
        <v>0</v>
      </c>
      <c r="HH399" s="293">
        <v>0</v>
      </c>
      <c r="HI399" s="293">
        <v>0</v>
      </c>
      <c r="HJ399" s="293">
        <v>0</v>
      </c>
      <c r="HK399" s="293">
        <v>0</v>
      </c>
      <c r="HL399" s="293">
        <v>0</v>
      </c>
      <c r="HM399" s="293">
        <v>0</v>
      </c>
      <c r="HN399" s="293">
        <v>0</v>
      </c>
      <c r="HO399" s="293">
        <v>0</v>
      </c>
      <c r="HP399" s="293">
        <v>0</v>
      </c>
      <c r="HQ399" s="293">
        <v>0</v>
      </c>
      <c r="HR399" s="293">
        <v>0</v>
      </c>
      <c r="HS399" s="293">
        <v>0</v>
      </c>
      <c r="HT399" s="293">
        <v>0</v>
      </c>
      <c r="HU399" s="293">
        <v>0</v>
      </c>
      <c r="HV399" s="293">
        <v>0</v>
      </c>
      <c r="HW399" s="293">
        <v>0</v>
      </c>
      <c r="HX399" s="293">
        <v>0</v>
      </c>
      <c r="HY399" s="293"/>
      <c r="KT399" s="280"/>
    </row>
    <row r="400" spans="1:306" outlineLevel="1">
      <c r="A400" s="96" t="s">
        <v>395</v>
      </c>
      <c r="B400" s="96" t="s">
        <v>338</v>
      </c>
      <c r="D400" s="320" t="s">
        <v>494</v>
      </c>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c r="BN400" s="293"/>
      <c r="BO400" s="293"/>
      <c r="BP400" s="293"/>
      <c r="BQ400" s="293"/>
      <c r="BR400" s="293"/>
      <c r="BS400" s="293"/>
      <c r="BT400" s="293"/>
      <c r="BU400" s="293"/>
      <c r="BV400" s="293"/>
      <c r="BW400" s="293"/>
      <c r="BX400" s="293"/>
      <c r="BY400" s="293"/>
      <c r="BZ400" s="293"/>
      <c r="CA400" s="293"/>
      <c r="CB400" s="293"/>
      <c r="CC400" s="293"/>
      <c r="CD400" s="293"/>
      <c r="CE400" s="294">
        <v>0</v>
      </c>
      <c r="CF400" s="293">
        <v>0</v>
      </c>
      <c r="CG400" s="293">
        <v>0</v>
      </c>
      <c r="CH400" s="293">
        <v>0</v>
      </c>
      <c r="CI400" s="293">
        <v>0</v>
      </c>
      <c r="CJ400" s="293">
        <v>0</v>
      </c>
      <c r="CK400" s="293">
        <v>0</v>
      </c>
      <c r="CL400" s="293">
        <v>0</v>
      </c>
      <c r="CM400" s="293">
        <v>0</v>
      </c>
      <c r="CN400" s="293">
        <v>0</v>
      </c>
      <c r="CO400" s="293">
        <v>0</v>
      </c>
      <c r="CP400" s="295">
        <v>0</v>
      </c>
      <c r="CQ400" s="293">
        <v>0</v>
      </c>
      <c r="CR400" s="293">
        <v>0</v>
      </c>
      <c r="CS400" s="293">
        <v>0</v>
      </c>
      <c r="CT400" s="293">
        <v>0</v>
      </c>
      <c r="CU400" s="293">
        <v>0</v>
      </c>
      <c r="CV400" s="293">
        <v>0</v>
      </c>
      <c r="CW400" s="293">
        <v>0</v>
      </c>
      <c r="CX400" s="293">
        <v>0</v>
      </c>
      <c r="CY400" s="293">
        <v>0</v>
      </c>
      <c r="CZ400" s="293">
        <v>0</v>
      </c>
      <c r="DA400" s="293">
        <v>0</v>
      </c>
      <c r="DB400" s="1288">
        <v>0</v>
      </c>
      <c r="DC400" s="293">
        <v>0</v>
      </c>
      <c r="DD400" s="293">
        <v>0</v>
      </c>
      <c r="DE400" s="293">
        <v>0</v>
      </c>
      <c r="DF400" s="293">
        <v>0</v>
      </c>
      <c r="DG400" s="293">
        <v>0</v>
      </c>
      <c r="DH400" s="293">
        <v>0</v>
      </c>
      <c r="DI400" s="293">
        <v>0</v>
      </c>
      <c r="DJ400" s="293">
        <v>0</v>
      </c>
      <c r="DK400" s="293">
        <v>0</v>
      </c>
      <c r="DL400" s="293">
        <v>0</v>
      </c>
      <c r="DM400" s="293">
        <v>0</v>
      </c>
      <c r="DN400" s="295">
        <v>0</v>
      </c>
      <c r="DO400" s="293">
        <v>1.4012196116278401</v>
      </c>
      <c r="DP400" s="293">
        <v>1.6494282220527039</v>
      </c>
      <c r="DQ400" s="293">
        <v>1.6889298647278099</v>
      </c>
      <c r="DR400" s="293">
        <v>1.4231696573650972</v>
      </c>
      <c r="DS400" s="293">
        <v>1.6544713914223328</v>
      </c>
      <c r="DT400" s="293">
        <v>1.932345019940918</v>
      </c>
      <c r="DU400" s="293">
        <v>1.8640574035777588</v>
      </c>
      <c r="DV400" s="293">
        <v>1.4360335330885925</v>
      </c>
      <c r="DW400" s="293">
        <v>1.7761069132149354</v>
      </c>
      <c r="DX400" s="293">
        <v>1.5111364337747801</v>
      </c>
      <c r="DY400" s="293">
        <v>1.70934394185147</v>
      </c>
      <c r="DZ400" s="295">
        <v>1.9651395078054199</v>
      </c>
      <c r="EA400" s="293">
        <v>1.9831582390338744</v>
      </c>
      <c r="EB400" s="293">
        <v>2.4947089151636046</v>
      </c>
      <c r="EC400" s="293">
        <v>2.9591955459501955</v>
      </c>
      <c r="ED400" s="293">
        <v>2.2754081149420622</v>
      </c>
      <c r="EE400" s="293">
        <v>3.8653326145914919</v>
      </c>
      <c r="EF400" s="293">
        <v>3.4743778774808045</v>
      </c>
      <c r="EG400" s="293">
        <v>3.3600276604696502</v>
      </c>
      <c r="EH400" s="293">
        <v>2.7860280269369659</v>
      </c>
      <c r="EI400" s="293">
        <v>5.6314320566001435</v>
      </c>
      <c r="EJ400" s="293">
        <v>3.3354232779817048</v>
      </c>
      <c r="EK400" s="293">
        <v>1.6795237250850219</v>
      </c>
      <c r="EL400" s="295">
        <v>5.0171640943863522</v>
      </c>
      <c r="EM400" s="293">
        <v>0</v>
      </c>
      <c r="EN400" s="293">
        <v>0</v>
      </c>
      <c r="EO400" s="293">
        <v>0</v>
      </c>
      <c r="EP400" s="293">
        <v>0</v>
      </c>
      <c r="EQ400" s="293">
        <v>0</v>
      </c>
      <c r="ER400" s="293">
        <v>0</v>
      </c>
      <c r="ES400" s="293">
        <v>0</v>
      </c>
      <c r="ET400" s="293">
        <v>0</v>
      </c>
      <c r="EU400" s="293">
        <v>0</v>
      </c>
      <c r="EV400" s="293">
        <v>0</v>
      </c>
      <c r="EW400" s="293">
        <v>0</v>
      </c>
      <c r="EX400" s="295">
        <v>0</v>
      </c>
      <c r="EY400" s="293">
        <v>0</v>
      </c>
      <c r="EZ400" s="293">
        <v>0</v>
      </c>
      <c r="FA400" s="293">
        <v>0</v>
      </c>
      <c r="FB400" s="293">
        <v>0</v>
      </c>
      <c r="FC400" s="293">
        <v>0</v>
      </c>
      <c r="FD400" s="293">
        <v>0</v>
      </c>
      <c r="FE400" s="293">
        <v>0</v>
      </c>
      <c r="FF400" s="293">
        <v>0</v>
      </c>
      <c r="FG400" s="293">
        <v>0</v>
      </c>
      <c r="FH400" s="293">
        <v>0</v>
      </c>
      <c r="FI400" s="293">
        <v>0</v>
      </c>
      <c r="FJ400" s="295">
        <v>0</v>
      </c>
      <c r="FK400" s="293">
        <v>0</v>
      </c>
      <c r="FL400" s="293">
        <v>0</v>
      </c>
      <c r="FM400" s="293">
        <v>0</v>
      </c>
      <c r="FN400" s="293">
        <v>0</v>
      </c>
      <c r="FO400" s="293">
        <v>0</v>
      </c>
      <c r="FP400" s="293">
        <v>0</v>
      </c>
      <c r="FQ400" s="293">
        <v>0</v>
      </c>
      <c r="FR400" s="293">
        <v>0</v>
      </c>
      <c r="FS400" s="293">
        <v>0</v>
      </c>
      <c r="FT400" s="293">
        <v>0</v>
      </c>
      <c r="FU400" s="293">
        <v>0</v>
      </c>
      <c r="FV400" s="293">
        <v>0</v>
      </c>
      <c r="FW400" s="293">
        <v>0</v>
      </c>
      <c r="FX400" s="293">
        <v>0</v>
      </c>
      <c r="FY400" s="293">
        <v>0</v>
      </c>
      <c r="FZ400" s="293">
        <v>0</v>
      </c>
      <c r="GA400" s="293">
        <v>0</v>
      </c>
      <c r="GB400" s="293">
        <v>0</v>
      </c>
      <c r="GC400" s="293">
        <v>0</v>
      </c>
      <c r="GD400" s="293">
        <v>0</v>
      </c>
      <c r="GE400" s="293">
        <v>0</v>
      </c>
      <c r="GF400" s="293">
        <v>0</v>
      </c>
      <c r="GG400" s="293">
        <v>0</v>
      </c>
      <c r="GH400" s="293">
        <v>0</v>
      </c>
      <c r="GI400" s="293">
        <v>0</v>
      </c>
      <c r="GJ400" s="293">
        <v>0</v>
      </c>
      <c r="GK400" s="293">
        <v>0</v>
      </c>
      <c r="GL400" s="293">
        <v>0</v>
      </c>
      <c r="GM400" s="293">
        <v>0</v>
      </c>
      <c r="GN400" s="293">
        <v>0</v>
      </c>
      <c r="GO400" s="293">
        <v>0</v>
      </c>
      <c r="GP400" s="293">
        <v>0</v>
      </c>
      <c r="GQ400" s="293">
        <v>0</v>
      </c>
      <c r="GR400" s="293">
        <v>0</v>
      </c>
      <c r="GS400" s="293">
        <v>0</v>
      </c>
      <c r="GT400" s="293">
        <v>0</v>
      </c>
      <c r="GU400" s="293">
        <v>0</v>
      </c>
      <c r="GV400" s="293">
        <v>0</v>
      </c>
      <c r="GW400" s="293">
        <v>0</v>
      </c>
      <c r="GX400" s="293">
        <v>0</v>
      </c>
      <c r="GY400" s="293">
        <v>0</v>
      </c>
      <c r="GZ400" s="293">
        <v>0</v>
      </c>
      <c r="HA400" s="293">
        <v>0</v>
      </c>
      <c r="HB400" s="293">
        <v>0</v>
      </c>
      <c r="HC400" s="293">
        <v>0</v>
      </c>
      <c r="HD400" s="293">
        <v>0</v>
      </c>
      <c r="HE400" s="293">
        <v>0</v>
      </c>
      <c r="HF400" s="293">
        <v>0</v>
      </c>
      <c r="HG400" s="293">
        <v>0</v>
      </c>
      <c r="HH400" s="293">
        <v>0</v>
      </c>
      <c r="HI400" s="293">
        <v>0</v>
      </c>
      <c r="HJ400" s="293">
        <v>0</v>
      </c>
      <c r="HK400" s="293">
        <v>0</v>
      </c>
      <c r="HL400" s="293">
        <v>0</v>
      </c>
      <c r="HM400" s="293">
        <v>0</v>
      </c>
      <c r="HN400" s="293">
        <v>0</v>
      </c>
      <c r="HO400" s="293">
        <v>0</v>
      </c>
      <c r="HP400" s="293">
        <v>0</v>
      </c>
      <c r="HQ400" s="293">
        <v>0</v>
      </c>
      <c r="HR400" s="293">
        <v>0</v>
      </c>
      <c r="HS400" s="293">
        <v>0</v>
      </c>
      <c r="HT400" s="293">
        <v>0</v>
      </c>
      <c r="HU400" s="293">
        <v>0</v>
      </c>
      <c r="HV400" s="293">
        <v>0</v>
      </c>
      <c r="HW400" s="293">
        <v>0</v>
      </c>
      <c r="HX400" s="293">
        <v>0</v>
      </c>
      <c r="HY400" s="293"/>
      <c r="KT400" s="280"/>
    </row>
    <row r="401" spans="1:306" outlineLevel="1">
      <c r="A401" s="96" t="s">
        <v>495</v>
      </c>
      <c r="B401" s="96" t="s">
        <v>495</v>
      </c>
      <c r="D401" s="319" t="s">
        <v>496</v>
      </c>
      <c r="E401" s="293"/>
      <c r="F401" s="293"/>
      <c r="G401" s="293"/>
      <c r="H401" s="293"/>
      <c r="I401" s="293"/>
      <c r="J401" s="293"/>
      <c r="K401" s="293"/>
      <c r="L401" s="293"/>
      <c r="M401" s="293"/>
      <c r="N401" s="293"/>
      <c r="O401" s="293"/>
      <c r="P401" s="293"/>
      <c r="Q401" s="293"/>
      <c r="R401" s="293"/>
      <c r="S401" s="293"/>
      <c r="T401" s="293"/>
      <c r="U401" s="293"/>
      <c r="V401" s="293"/>
      <c r="W401" s="293"/>
      <c r="X401" s="293"/>
      <c r="Y401" s="29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c r="BN401" s="293"/>
      <c r="BO401" s="293"/>
      <c r="BP401" s="293"/>
      <c r="BQ401" s="293"/>
      <c r="BR401" s="293"/>
      <c r="BS401" s="293"/>
      <c r="BT401" s="293"/>
      <c r="BU401" s="293"/>
      <c r="BV401" s="293"/>
      <c r="BW401" s="293"/>
      <c r="BX401" s="293"/>
      <c r="BY401" s="293"/>
      <c r="BZ401" s="293"/>
      <c r="CA401" s="293"/>
      <c r="CB401" s="293"/>
      <c r="CC401" s="293"/>
      <c r="CD401" s="293"/>
      <c r="CE401" s="294">
        <v>0</v>
      </c>
      <c r="CF401" s="293">
        <v>0</v>
      </c>
      <c r="CG401" s="293">
        <v>0</v>
      </c>
      <c r="CH401" s="293">
        <v>0</v>
      </c>
      <c r="CI401" s="293">
        <v>0</v>
      </c>
      <c r="CJ401" s="293">
        <v>0</v>
      </c>
      <c r="CK401" s="293">
        <v>0</v>
      </c>
      <c r="CL401" s="293">
        <v>0</v>
      </c>
      <c r="CM401" s="293">
        <v>0</v>
      </c>
      <c r="CN401" s="293">
        <v>0</v>
      </c>
      <c r="CO401" s="293">
        <v>0</v>
      </c>
      <c r="CP401" s="295">
        <v>0</v>
      </c>
      <c r="CQ401" s="293">
        <v>0</v>
      </c>
      <c r="CR401" s="293">
        <v>0</v>
      </c>
      <c r="CS401" s="293">
        <v>0</v>
      </c>
      <c r="CT401" s="293">
        <v>0</v>
      </c>
      <c r="CU401" s="293">
        <v>0</v>
      </c>
      <c r="CV401" s="293">
        <v>0</v>
      </c>
      <c r="CW401" s="293">
        <v>0</v>
      </c>
      <c r="CX401" s="293">
        <v>0</v>
      </c>
      <c r="CY401" s="293">
        <v>0</v>
      </c>
      <c r="CZ401" s="293">
        <v>0</v>
      </c>
      <c r="DA401" s="293">
        <v>0</v>
      </c>
      <c r="DB401" s="1288">
        <v>0</v>
      </c>
      <c r="DC401" s="293">
        <v>0</v>
      </c>
      <c r="DD401" s="293">
        <v>0</v>
      </c>
      <c r="DE401" s="293">
        <v>0</v>
      </c>
      <c r="DF401" s="293">
        <v>0</v>
      </c>
      <c r="DG401" s="293">
        <v>0</v>
      </c>
      <c r="DH401" s="293">
        <v>0</v>
      </c>
      <c r="DI401" s="293">
        <v>0</v>
      </c>
      <c r="DJ401" s="293">
        <v>0</v>
      </c>
      <c r="DK401" s="293">
        <v>0</v>
      </c>
      <c r="DL401" s="293">
        <v>0</v>
      </c>
      <c r="DM401" s="293">
        <v>0</v>
      </c>
      <c r="DN401" s="295">
        <v>0</v>
      </c>
      <c r="DO401" s="293">
        <v>0</v>
      </c>
      <c r="DP401" s="293">
        <v>0</v>
      </c>
      <c r="DQ401" s="293">
        <v>0</v>
      </c>
      <c r="DR401" s="293">
        <v>0</v>
      </c>
      <c r="DS401" s="293">
        <v>0</v>
      </c>
      <c r="DT401" s="293">
        <v>0</v>
      </c>
      <c r="DU401" s="293">
        <v>0</v>
      </c>
      <c r="DV401" s="293">
        <v>0</v>
      </c>
      <c r="DW401" s="293">
        <v>0</v>
      </c>
      <c r="DX401" s="293">
        <v>0</v>
      </c>
      <c r="DY401" s="293">
        <v>0</v>
      </c>
      <c r="DZ401" s="295">
        <v>0</v>
      </c>
      <c r="EA401" s="293">
        <v>0</v>
      </c>
      <c r="EB401" s="293">
        <v>0</v>
      </c>
      <c r="EC401" s="293">
        <v>0</v>
      </c>
      <c r="ED401" s="293">
        <v>0</v>
      </c>
      <c r="EE401" s="293">
        <v>0</v>
      </c>
      <c r="EF401" s="293">
        <v>0</v>
      </c>
      <c r="EG401" s="293">
        <v>0</v>
      </c>
      <c r="EH401" s="293">
        <v>0</v>
      </c>
      <c r="EI401" s="293">
        <v>0</v>
      </c>
      <c r="EJ401" s="293">
        <v>0</v>
      </c>
      <c r="EK401" s="293">
        <v>0</v>
      </c>
      <c r="EL401" s="295">
        <v>0</v>
      </c>
      <c r="EM401" s="293">
        <v>0</v>
      </c>
      <c r="EN401" s="293">
        <v>0</v>
      </c>
      <c r="EO401" s="293">
        <v>0</v>
      </c>
      <c r="EP401" s="293">
        <v>0</v>
      </c>
      <c r="EQ401" s="293">
        <v>0</v>
      </c>
      <c r="ER401" s="293">
        <v>0</v>
      </c>
      <c r="ES401" s="293">
        <v>0</v>
      </c>
      <c r="ET401" s="293">
        <v>0</v>
      </c>
      <c r="EU401" s="293">
        <v>0</v>
      </c>
      <c r="EV401" s="293">
        <v>0</v>
      </c>
      <c r="EW401" s="293">
        <v>0</v>
      </c>
      <c r="EX401" s="295">
        <v>0</v>
      </c>
      <c r="EY401" s="293">
        <v>0</v>
      </c>
      <c r="EZ401" s="293">
        <v>0</v>
      </c>
      <c r="FA401" s="293">
        <v>0</v>
      </c>
      <c r="FB401" s="293">
        <v>0</v>
      </c>
      <c r="FC401" s="293">
        <v>0</v>
      </c>
      <c r="FD401" s="293">
        <v>0</v>
      </c>
      <c r="FE401" s="293">
        <v>0</v>
      </c>
      <c r="FF401" s="293">
        <v>0</v>
      </c>
      <c r="FG401" s="293">
        <v>0</v>
      </c>
      <c r="FH401" s="293">
        <v>0</v>
      </c>
      <c r="FI401" s="293">
        <v>0</v>
      </c>
      <c r="FJ401" s="295">
        <v>0</v>
      </c>
      <c r="FK401" s="293">
        <v>0</v>
      </c>
      <c r="FL401" s="293">
        <v>0</v>
      </c>
      <c r="FM401" s="293">
        <v>0</v>
      </c>
      <c r="FN401" s="293">
        <v>0</v>
      </c>
      <c r="FO401" s="293">
        <v>0</v>
      </c>
      <c r="FP401" s="293">
        <v>0</v>
      </c>
      <c r="FQ401" s="293">
        <v>0</v>
      </c>
      <c r="FR401" s="293">
        <v>0</v>
      </c>
      <c r="FS401" s="293">
        <v>0</v>
      </c>
      <c r="FT401" s="293">
        <v>0</v>
      </c>
      <c r="FU401" s="293">
        <v>0</v>
      </c>
      <c r="FV401" s="293">
        <v>0</v>
      </c>
      <c r="FW401" s="293">
        <v>0</v>
      </c>
      <c r="FX401" s="293">
        <v>0</v>
      </c>
      <c r="FY401" s="293">
        <v>0</v>
      </c>
      <c r="FZ401" s="293">
        <v>0</v>
      </c>
      <c r="GA401" s="293">
        <v>0</v>
      </c>
      <c r="GB401" s="293">
        <v>0</v>
      </c>
      <c r="GC401" s="293">
        <v>0</v>
      </c>
      <c r="GD401" s="293">
        <v>0</v>
      </c>
      <c r="GE401" s="293">
        <v>0</v>
      </c>
      <c r="GF401" s="293">
        <v>0</v>
      </c>
      <c r="GG401" s="293">
        <v>0</v>
      </c>
      <c r="GH401" s="293">
        <v>0</v>
      </c>
      <c r="GI401" s="293">
        <v>0</v>
      </c>
      <c r="GJ401" s="293">
        <v>0</v>
      </c>
      <c r="GK401" s="293">
        <v>0</v>
      </c>
      <c r="GL401" s="293">
        <v>0</v>
      </c>
      <c r="GM401" s="293">
        <v>0</v>
      </c>
      <c r="GN401" s="293">
        <v>0</v>
      </c>
      <c r="GO401" s="293">
        <v>0</v>
      </c>
      <c r="GP401" s="293">
        <v>0</v>
      </c>
      <c r="GQ401" s="293">
        <v>0</v>
      </c>
      <c r="GR401" s="293">
        <v>0</v>
      </c>
      <c r="GS401" s="293">
        <v>0</v>
      </c>
      <c r="GT401" s="293">
        <v>0</v>
      </c>
      <c r="GU401" s="293">
        <v>0</v>
      </c>
      <c r="GV401" s="293">
        <v>0</v>
      </c>
      <c r="GW401" s="293">
        <v>0</v>
      </c>
      <c r="GX401" s="293">
        <v>0</v>
      </c>
      <c r="GY401" s="293">
        <v>0</v>
      </c>
      <c r="GZ401" s="293">
        <v>0</v>
      </c>
      <c r="HA401" s="293">
        <v>0</v>
      </c>
      <c r="HB401" s="293">
        <v>0</v>
      </c>
      <c r="HC401" s="293">
        <v>0</v>
      </c>
      <c r="HD401" s="293">
        <v>0</v>
      </c>
      <c r="HE401" s="293">
        <v>0</v>
      </c>
      <c r="HF401" s="293">
        <v>0</v>
      </c>
      <c r="HG401" s="293">
        <v>0</v>
      </c>
      <c r="HH401" s="293">
        <v>0</v>
      </c>
      <c r="HI401" s="293">
        <v>0</v>
      </c>
      <c r="HJ401" s="293">
        <v>0</v>
      </c>
      <c r="HK401" s="293">
        <v>0</v>
      </c>
      <c r="HL401" s="293">
        <v>0</v>
      </c>
      <c r="HM401" s="293">
        <v>0</v>
      </c>
      <c r="HN401" s="293">
        <v>0</v>
      </c>
      <c r="HO401" s="293">
        <v>0</v>
      </c>
      <c r="HP401" s="293">
        <v>0</v>
      </c>
      <c r="HQ401" s="293">
        <v>0</v>
      </c>
      <c r="HR401" s="293">
        <v>0</v>
      </c>
      <c r="HS401" s="293">
        <v>0</v>
      </c>
      <c r="HT401" s="293">
        <v>0</v>
      </c>
      <c r="HU401" s="293">
        <v>0</v>
      </c>
      <c r="HV401" s="293">
        <v>0</v>
      </c>
      <c r="HW401" s="293">
        <v>0</v>
      </c>
      <c r="HX401" s="293">
        <v>0</v>
      </c>
      <c r="HY401" s="293"/>
      <c r="KT401" s="280"/>
    </row>
    <row r="402" spans="1:306" outlineLevel="1">
      <c r="A402" s="96" t="s">
        <v>495</v>
      </c>
      <c r="B402" s="96" t="s">
        <v>495</v>
      </c>
      <c r="D402" s="320" t="s">
        <v>497</v>
      </c>
      <c r="E402" s="293"/>
      <c r="F402" s="293"/>
      <c r="G402" s="293"/>
      <c r="H402" s="293"/>
      <c r="I402" s="293"/>
      <c r="J402" s="293"/>
      <c r="K402" s="293"/>
      <c r="L402" s="293"/>
      <c r="M402" s="293"/>
      <c r="N402" s="293"/>
      <c r="O402" s="293"/>
      <c r="P402" s="293"/>
      <c r="Q402" s="293"/>
      <c r="R402" s="293"/>
      <c r="S402" s="293"/>
      <c r="T402" s="293"/>
      <c r="U402" s="293"/>
      <c r="V402" s="293"/>
      <c r="W402" s="293"/>
      <c r="X402" s="293"/>
      <c r="Y402" s="29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c r="BN402" s="293"/>
      <c r="BO402" s="293"/>
      <c r="BP402" s="293"/>
      <c r="BQ402" s="293"/>
      <c r="BR402" s="293"/>
      <c r="BS402" s="293"/>
      <c r="BT402" s="293"/>
      <c r="BU402" s="293"/>
      <c r="BV402" s="293"/>
      <c r="BW402" s="293"/>
      <c r="BX402" s="293"/>
      <c r="BY402" s="293"/>
      <c r="BZ402" s="293"/>
      <c r="CA402" s="293"/>
      <c r="CB402" s="293"/>
      <c r="CC402" s="293"/>
      <c r="CD402" s="293"/>
      <c r="CE402" s="293">
        <v>0</v>
      </c>
      <c r="CF402" s="293">
        <v>0</v>
      </c>
      <c r="CG402" s="293">
        <v>0</v>
      </c>
      <c r="CH402" s="293">
        <v>0</v>
      </c>
      <c r="CI402" s="293">
        <v>0</v>
      </c>
      <c r="CJ402" s="293">
        <v>0</v>
      </c>
      <c r="CK402" s="293">
        <v>0</v>
      </c>
      <c r="CL402" s="293">
        <v>0</v>
      </c>
      <c r="CM402" s="293">
        <v>0</v>
      </c>
      <c r="CN402" s="293">
        <v>0</v>
      </c>
      <c r="CO402" s="293">
        <v>0</v>
      </c>
      <c r="CP402" s="295">
        <v>0</v>
      </c>
      <c r="CQ402" s="293">
        <v>0</v>
      </c>
      <c r="CR402" s="293">
        <v>0</v>
      </c>
      <c r="CS402" s="293">
        <v>0</v>
      </c>
      <c r="CT402" s="293">
        <v>0</v>
      </c>
      <c r="CU402" s="293">
        <v>0</v>
      </c>
      <c r="CV402" s="293">
        <v>0</v>
      </c>
      <c r="CW402" s="293">
        <v>0</v>
      </c>
      <c r="CX402" s="293">
        <v>0</v>
      </c>
      <c r="CY402" s="293">
        <v>0</v>
      </c>
      <c r="CZ402" s="293">
        <v>0</v>
      </c>
      <c r="DA402" s="293">
        <v>0</v>
      </c>
      <c r="DB402" s="1288">
        <v>0</v>
      </c>
      <c r="DC402" s="293">
        <v>0</v>
      </c>
      <c r="DD402" s="293">
        <v>0</v>
      </c>
      <c r="DE402" s="293">
        <v>0</v>
      </c>
      <c r="DF402" s="293">
        <v>0</v>
      </c>
      <c r="DG402" s="293">
        <v>0</v>
      </c>
      <c r="DH402" s="293">
        <v>0</v>
      </c>
      <c r="DI402" s="293">
        <v>0</v>
      </c>
      <c r="DJ402" s="293">
        <v>0</v>
      </c>
      <c r="DK402" s="293">
        <v>0</v>
      </c>
      <c r="DL402" s="293">
        <v>0</v>
      </c>
      <c r="DM402" s="293">
        <v>0</v>
      </c>
      <c r="DN402" s="295">
        <v>0</v>
      </c>
      <c r="DO402" s="293">
        <v>0</v>
      </c>
      <c r="DP402" s="293">
        <v>0</v>
      </c>
      <c r="DQ402" s="293">
        <v>0</v>
      </c>
      <c r="DR402" s="293">
        <v>0</v>
      </c>
      <c r="DS402" s="293">
        <v>0</v>
      </c>
      <c r="DT402" s="293">
        <v>0</v>
      </c>
      <c r="DU402" s="293">
        <v>0</v>
      </c>
      <c r="DV402" s="293">
        <v>0</v>
      </c>
      <c r="DW402" s="293">
        <v>0</v>
      </c>
      <c r="DX402" s="293">
        <v>0</v>
      </c>
      <c r="DY402" s="293">
        <v>0</v>
      </c>
      <c r="DZ402" s="295">
        <v>0</v>
      </c>
      <c r="EA402" s="293">
        <v>0</v>
      </c>
      <c r="EB402" s="293">
        <v>0</v>
      </c>
      <c r="EC402" s="293">
        <v>0</v>
      </c>
      <c r="ED402" s="293">
        <v>0</v>
      </c>
      <c r="EE402" s="293">
        <v>0</v>
      </c>
      <c r="EF402" s="293">
        <v>0</v>
      </c>
      <c r="EG402" s="293">
        <v>0</v>
      </c>
      <c r="EH402" s="293">
        <v>0</v>
      </c>
      <c r="EI402" s="293">
        <v>0</v>
      </c>
      <c r="EJ402" s="293">
        <v>0</v>
      </c>
      <c r="EK402" s="293">
        <v>0</v>
      </c>
      <c r="EL402" s="295">
        <v>0</v>
      </c>
      <c r="EM402" s="293">
        <v>0</v>
      </c>
      <c r="EN402" s="293">
        <v>0</v>
      </c>
      <c r="EO402" s="293">
        <v>0</v>
      </c>
      <c r="EP402" s="293">
        <v>0</v>
      </c>
      <c r="EQ402" s="293">
        <v>0</v>
      </c>
      <c r="ER402" s="293">
        <v>0</v>
      </c>
      <c r="ES402" s="293">
        <v>0</v>
      </c>
      <c r="ET402" s="293">
        <v>0</v>
      </c>
      <c r="EU402" s="293">
        <v>0</v>
      </c>
      <c r="EV402" s="293">
        <v>0</v>
      </c>
      <c r="EW402" s="293">
        <v>0</v>
      </c>
      <c r="EX402" s="295">
        <v>0</v>
      </c>
      <c r="EY402" s="293">
        <v>0</v>
      </c>
      <c r="EZ402" s="293">
        <v>0</v>
      </c>
      <c r="FA402" s="293">
        <v>0</v>
      </c>
      <c r="FB402" s="293">
        <v>0</v>
      </c>
      <c r="FC402" s="293">
        <v>0</v>
      </c>
      <c r="FD402" s="293">
        <v>0</v>
      </c>
      <c r="FE402" s="293">
        <v>0</v>
      </c>
      <c r="FF402" s="293">
        <v>0</v>
      </c>
      <c r="FG402" s="293">
        <v>0</v>
      </c>
      <c r="FH402" s="293">
        <v>0</v>
      </c>
      <c r="FI402" s="293">
        <v>0</v>
      </c>
      <c r="FJ402" s="295">
        <v>0</v>
      </c>
      <c r="FK402" s="293">
        <v>0</v>
      </c>
      <c r="FL402" s="293">
        <v>0</v>
      </c>
      <c r="FM402" s="293">
        <v>0</v>
      </c>
      <c r="FN402" s="293">
        <v>0</v>
      </c>
      <c r="FO402" s="293">
        <v>0</v>
      </c>
      <c r="FP402" s="293">
        <v>0</v>
      </c>
      <c r="FQ402" s="293">
        <v>0</v>
      </c>
      <c r="FR402" s="293">
        <v>0</v>
      </c>
      <c r="FS402" s="293">
        <v>0</v>
      </c>
      <c r="FT402" s="293">
        <v>0</v>
      </c>
      <c r="FU402" s="293">
        <v>0</v>
      </c>
      <c r="FV402" s="293">
        <v>0</v>
      </c>
      <c r="FW402" s="293">
        <v>0</v>
      </c>
      <c r="FX402" s="293">
        <v>0</v>
      </c>
      <c r="FY402" s="293">
        <v>0</v>
      </c>
      <c r="FZ402" s="293">
        <v>0</v>
      </c>
      <c r="GA402" s="293">
        <v>0</v>
      </c>
      <c r="GB402" s="293">
        <v>0</v>
      </c>
      <c r="GC402" s="293">
        <v>0</v>
      </c>
      <c r="GD402" s="293">
        <v>0</v>
      </c>
      <c r="GE402" s="293">
        <v>0</v>
      </c>
      <c r="GF402" s="293">
        <v>0</v>
      </c>
      <c r="GG402" s="293">
        <v>0</v>
      </c>
      <c r="GH402" s="293">
        <v>0</v>
      </c>
      <c r="GI402" s="293">
        <v>0</v>
      </c>
      <c r="GJ402" s="293">
        <v>0</v>
      </c>
      <c r="GK402" s="293">
        <v>0</v>
      </c>
      <c r="GL402" s="293">
        <v>0</v>
      </c>
      <c r="GM402" s="293">
        <v>0</v>
      </c>
      <c r="GN402" s="293">
        <v>0</v>
      </c>
      <c r="GO402" s="293">
        <v>0</v>
      </c>
      <c r="GP402" s="293">
        <v>0</v>
      </c>
      <c r="GQ402" s="293">
        <v>0</v>
      </c>
      <c r="GR402" s="293">
        <v>0</v>
      </c>
      <c r="GS402" s="293">
        <v>0</v>
      </c>
      <c r="GT402" s="293">
        <v>0</v>
      </c>
      <c r="GU402" s="293">
        <v>0</v>
      </c>
      <c r="GV402" s="293">
        <v>0</v>
      </c>
      <c r="GW402" s="293">
        <v>0</v>
      </c>
      <c r="GX402" s="293">
        <v>0</v>
      </c>
      <c r="GY402" s="293">
        <v>0</v>
      </c>
      <c r="GZ402" s="293">
        <v>0</v>
      </c>
      <c r="HA402" s="293">
        <v>0</v>
      </c>
      <c r="HB402" s="293">
        <v>0</v>
      </c>
      <c r="HC402" s="293">
        <v>0</v>
      </c>
      <c r="HD402" s="293">
        <v>0</v>
      </c>
      <c r="HE402" s="293">
        <v>0</v>
      </c>
      <c r="HF402" s="293">
        <v>0</v>
      </c>
      <c r="HG402" s="293">
        <v>0</v>
      </c>
      <c r="HH402" s="293">
        <v>0</v>
      </c>
      <c r="HI402" s="293">
        <v>0</v>
      </c>
      <c r="HJ402" s="293">
        <v>0</v>
      </c>
      <c r="HK402" s="293">
        <v>0</v>
      </c>
      <c r="HL402" s="293">
        <v>0</v>
      </c>
      <c r="HM402" s="293">
        <v>0</v>
      </c>
      <c r="HN402" s="293">
        <v>0</v>
      </c>
      <c r="HO402" s="293">
        <v>0</v>
      </c>
      <c r="HP402" s="293">
        <v>0</v>
      </c>
      <c r="HQ402" s="293">
        <v>0</v>
      </c>
      <c r="HR402" s="293">
        <v>0</v>
      </c>
      <c r="HS402" s="293">
        <v>0</v>
      </c>
      <c r="HT402" s="293">
        <v>0</v>
      </c>
      <c r="HU402" s="293">
        <v>0</v>
      </c>
      <c r="HV402" s="293">
        <v>0</v>
      </c>
      <c r="HW402" s="293">
        <v>0</v>
      </c>
      <c r="HX402" s="293">
        <v>0</v>
      </c>
      <c r="HY402" s="293"/>
      <c r="KT402" s="280"/>
    </row>
    <row r="403" spans="1:306" outlineLevel="1">
      <c r="A403" s="96" t="s">
        <v>495</v>
      </c>
      <c r="B403" s="96" t="s">
        <v>495</v>
      </c>
      <c r="D403" s="321" t="s">
        <v>498</v>
      </c>
      <c r="E403" s="293"/>
      <c r="F403" s="293"/>
      <c r="G403" s="293"/>
      <c r="H403" s="293"/>
      <c r="I403" s="293"/>
      <c r="J403" s="293"/>
      <c r="K403" s="293"/>
      <c r="L403" s="293"/>
      <c r="M403" s="293"/>
      <c r="N403" s="293"/>
      <c r="O403" s="293"/>
      <c r="P403" s="293"/>
      <c r="Q403" s="293"/>
      <c r="R403" s="293"/>
      <c r="S403" s="293"/>
      <c r="T403" s="293"/>
      <c r="U403" s="293"/>
      <c r="V403" s="293"/>
      <c r="W403" s="293"/>
      <c r="X403" s="293"/>
      <c r="Y403" s="29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c r="BN403" s="293"/>
      <c r="BO403" s="293"/>
      <c r="BP403" s="293"/>
      <c r="BQ403" s="293"/>
      <c r="BR403" s="293"/>
      <c r="BS403" s="293"/>
      <c r="BT403" s="293"/>
      <c r="BU403" s="293"/>
      <c r="BV403" s="293"/>
      <c r="BW403" s="293"/>
      <c r="BX403" s="293"/>
      <c r="BY403" s="293"/>
      <c r="BZ403" s="293"/>
      <c r="CA403" s="293"/>
      <c r="CB403" s="293"/>
      <c r="CC403" s="293"/>
      <c r="CD403" s="293"/>
      <c r="CE403" s="293">
        <v>0</v>
      </c>
      <c r="CF403" s="293">
        <v>0</v>
      </c>
      <c r="CG403" s="293">
        <v>0</v>
      </c>
      <c r="CH403" s="293">
        <v>0</v>
      </c>
      <c r="CI403" s="293">
        <v>0</v>
      </c>
      <c r="CJ403" s="293">
        <v>0</v>
      </c>
      <c r="CK403" s="293">
        <v>0</v>
      </c>
      <c r="CL403" s="293">
        <v>0</v>
      </c>
      <c r="CM403" s="293">
        <v>0</v>
      </c>
      <c r="CN403" s="293">
        <v>0</v>
      </c>
      <c r="CO403" s="293">
        <v>0</v>
      </c>
      <c r="CP403" s="295">
        <v>0</v>
      </c>
      <c r="CQ403" s="293">
        <v>0</v>
      </c>
      <c r="CR403" s="293">
        <v>0</v>
      </c>
      <c r="CS403" s="293">
        <v>0</v>
      </c>
      <c r="CT403" s="293">
        <v>0</v>
      </c>
      <c r="CU403" s="293">
        <v>0</v>
      </c>
      <c r="CV403" s="293">
        <v>0</v>
      </c>
      <c r="CW403" s="293">
        <v>0</v>
      </c>
      <c r="CX403" s="293">
        <v>0</v>
      </c>
      <c r="CY403" s="293">
        <v>0</v>
      </c>
      <c r="CZ403" s="293">
        <v>0</v>
      </c>
      <c r="DA403" s="293">
        <v>0</v>
      </c>
      <c r="DB403" s="1288">
        <v>0</v>
      </c>
      <c r="DC403" s="293">
        <v>0</v>
      </c>
      <c r="DD403" s="293">
        <v>0</v>
      </c>
      <c r="DE403" s="293">
        <v>0</v>
      </c>
      <c r="DF403" s="293">
        <v>0</v>
      </c>
      <c r="DG403" s="293">
        <v>0</v>
      </c>
      <c r="DH403" s="293">
        <v>0</v>
      </c>
      <c r="DI403" s="293">
        <v>0</v>
      </c>
      <c r="DJ403" s="293">
        <v>0</v>
      </c>
      <c r="DK403" s="293">
        <v>0</v>
      </c>
      <c r="DL403" s="293">
        <v>0</v>
      </c>
      <c r="DM403" s="293">
        <v>0</v>
      </c>
      <c r="DN403" s="295">
        <v>0</v>
      </c>
      <c r="DO403" s="293">
        <v>0</v>
      </c>
      <c r="DP403" s="293">
        <v>0</v>
      </c>
      <c r="DQ403" s="293">
        <v>0</v>
      </c>
      <c r="DR403" s="293">
        <v>0</v>
      </c>
      <c r="DS403" s="293">
        <v>0</v>
      </c>
      <c r="DT403" s="293">
        <v>0</v>
      </c>
      <c r="DU403" s="293">
        <v>0</v>
      </c>
      <c r="DV403" s="293">
        <v>0</v>
      </c>
      <c r="DW403" s="293">
        <v>0</v>
      </c>
      <c r="DX403" s="293">
        <v>0</v>
      </c>
      <c r="DY403" s="293">
        <v>0</v>
      </c>
      <c r="DZ403" s="295">
        <v>0</v>
      </c>
      <c r="EA403" s="293">
        <v>0</v>
      </c>
      <c r="EB403" s="293">
        <v>0</v>
      </c>
      <c r="EC403" s="293">
        <v>0</v>
      </c>
      <c r="ED403" s="293">
        <v>0</v>
      </c>
      <c r="EE403" s="293">
        <v>0</v>
      </c>
      <c r="EF403" s="293">
        <v>0</v>
      </c>
      <c r="EG403" s="293">
        <v>0</v>
      </c>
      <c r="EH403" s="293">
        <v>0</v>
      </c>
      <c r="EI403" s="293">
        <v>0</v>
      </c>
      <c r="EJ403" s="293">
        <v>0</v>
      </c>
      <c r="EK403" s="293">
        <v>0</v>
      </c>
      <c r="EL403" s="295">
        <v>0</v>
      </c>
      <c r="EM403" s="293">
        <v>0</v>
      </c>
      <c r="EN403" s="293">
        <v>0</v>
      </c>
      <c r="EO403" s="293">
        <v>0</v>
      </c>
      <c r="EP403" s="293">
        <v>0</v>
      </c>
      <c r="EQ403" s="293">
        <v>0</v>
      </c>
      <c r="ER403" s="293">
        <v>0</v>
      </c>
      <c r="ES403" s="293">
        <v>0</v>
      </c>
      <c r="ET403" s="293">
        <v>0</v>
      </c>
      <c r="EU403" s="293">
        <v>0</v>
      </c>
      <c r="EV403" s="293">
        <v>0</v>
      </c>
      <c r="EW403" s="293">
        <v>0</v>
      </c>
      <c r="EX403" s="295">
        <v>0</v>
      </c>
      <c r="EY403" s="293">
        <v>0</v>
      </c>
      <c r="EZ403" s="293">
        <v>0</v>
      </c>
      <c r="FA403" s="293">
        <v>0</v>
      </c>
      <c r="FB403" s="293">
        <v>0</v>
      </c>
      <c r="FC403" s="293">
        <v>0</v>
      </c>
      <c r="FD403" s="293">
        <v>0</v>
      </c>
      <c r="FE403" s="293">
        <v>0</v>
      </c>
      <c r="FF403" s="293">
        <v>0</v>
      </c>
      <c r="FG403" s="293">
        <v>0</v>
      </c>
      <c r="FH403" s="293">
        <v>0</v>
      </c>
      <c r="FI403" s="293">
        <v>0</v>
      </c>
      <c r="FJ403" s="295">
        <v>0</v>
      </c>
      <c r="FK403" s="293">
        <v>0</v>
      </c>
      <c r="FL403" s="293">
        <v>0</v>
      </c>
      <c r="FM403" s="293">
        <v>0</v>
      </c>
      <c r="FN403" s="293">
        <v>0</v>
      </c>
      <c r="FO403" s="293">
        <v>0</v>
      </c>
      <c r="FP403" s="293">
        <v>0</v>
      </c>
      <c r="FQ403" s="293">
        <v>0</v>
      </c>
      <c r="FR403" s="293">
        <v>0</v>
      </c>
      <c r="FS403" s="293">
        <v>0</v>
      </c>
      <c r="FT403" s="293">
        <v>0</v>
      </c>
      <c r="FU403" s="293">
        <v>0</v>
      </c>
      <c r="FV403" s="293">
        <v>0</v>
      </c>
      <c r="FW403" s="293">
        <v>0</v>
      </c>
      <c r="FX403" s="293">
        <v>0</v>
      </c>
      <c r="FY403" s="293">
        <v>0</v>
      </c>
      <c r="FZ403" s="293">
        <v>0</v>
      </c>
      <c r="GA403" s="293">
        <v>0</v>
      </c>
      <c r="GB403" s="293">
        <v>0</v>
      </c>
      <c r="GC403" s="293">
        <v>0</v>
      </c>
      <c r="GD403" s="293">
        <v>0</v>
      </c>
      <c r="GE403" s="293">
        <v>0</v>
      </c>
      <c r="GF403" s="293">
        <v>0</v>
      </c>
      <c r="GG403" s="293">
        <v>0</v>
      </c>
      <c r="GH403" s="293">
        <v>0</v>
      </c>
      <c r="GI403" s="293">
        <v>0</v>
      </c>
      <c r="GJ403" s="293">
        <v>0</v>
      </c>
      <c r="GK403" s="293">
        <v>0</v>
      </c>
      <c r="GL403" s="293">
        <v>0</v>
      </c>
      <c r="GM403" s="293">
        <v>0</v>
      </c>
      <c r="GN403" s="293">
        <v>0</v>
      </c>
      <c r="GO403" s="293">
        <v>0</v>
      </c>
      <c r="GP403" s="293">
        <v>0</v>
      </c>
      <c r="GQ403" s="293">
        <v>0</v>
      </c>
      <c r="GR403" s="293">
        <v>0</v>
      </c>
      <c r="GS403" s="293">
        <v>0</v>
      </c>
      <c r="GT403" s="293">
        <v>0</v>
      </c>
      <c r="GU403" s="293">
        <v>0</v>
      </c>
      <c r="GV403" s="293">
        <v>0</v>
      </c>
      <c r="GW403" s="293">
        <v>0</v>
      </c>
      <c r="GX403" s="293">
        <v>0</v>
      </c>
      <c r="GY403" s="293">
        <v>0</v>
      </c>
      <c r="GZ403" s="293">
        <v>0</v>
      </c>
      <c r="HA403" s="293">
        <v>0</v>
      </c>
      <c r="HB403" s="293">
        <v>0</v>
      </c>
      <c r="HC403" s="293">
        <v>0</v>
      </c>
      <c r="HD403" s="293">
        <v>0</v>
      </c>
      <c r="HE403" s="293">
        <v>0</v>
      </c>
      <c r="HF403" s="293">
        <v>0</v>
      </c>
      <c r="HG403" s="293">
        <v>0</v>
      </c>
      <c r="HH403" s="293">
        <v>0</v>
      </c>
      <c r="HI403" s="293">
        <v>0</v>
      </c>
      <c r="HJ403" s="293">
        <v>0</v>
      </c>
      <c r="HK403" s="293">
        <v>0</v>
      </c>
      <c r="HL403" s="293">
        <v>0</v>
      </c>
      <c r="HM403" s="293">
        <v>0</v>
      </c>
      <c r="HN403" s="293">
        <v>0</v>
      </c>
      <c r="HO403" s="293">
        <v>0</v>
      </c>
      <c r="HP403" s="293">
        <v>0</v>
      </c>
      <c r="HQ403" s="293">
        <v>0</v>
      </c>
      <c r="HR403" s="293">
        <v>0</v>
      </c>
      <c r="HS403" s="293">
        <v>0</v>
      </c>
      <c r="HT403" s="293">
        <v>0</v>
      </c>
      <c r="HU403" s="293">
        <v>0</v>
      </c>
      <c r="HV403" s="293">
        <v>0</v>
      </c>
      <c r="HW403" s="293">
        <v>0</v>
      </c>
      <c r="HX403" s="293">
        <v>0</v>
      </c>
      <c r="HY403" s="293"/>
      <c r="KT403" s="280"/>
    </row>
    <row r="404" spans="1:306" outlineLevel="1">
      <c r="A404" s="96" t="s">
        <v>495</v>
      </c>
      <c r="B404" s="96" t="s">
        <v>495</v>
      </c>
      <c r="D404" s="321" t="s">
        <v>499</v>
      </c>
      <c r="E404" s="293"/>
      <c r="F404" s="293"/>
      <c r="G404" s="293"/>
      <c r="H404" s="293"/>
      <c r="I404" s="293"/>
      <c r="J404" s="293"/>
      <c r="K404" s="293"/>
      <c r="L404" s="293"/>
      <c r="M404" s="293"/>
      <c r="N404" s="293"/>
      <c r="O404" s="293"/>
      <c r="P404" s="293"/>
      <c r="Q404" s="293"/>
      <c r="R404" s="293"/>
      <c r="S404" s="293"/>
      <c r="T404" s="293"/>
      <c r="U404" s="293"/>
      <c r="V404" s="293"/>
      <c r="W404" s="293"/>
      <c r="X404" s="293"/>
      <c r="Y404" s="29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c r="BN404" s="293"/>
      <c r="BO404" s="293"/>
      <c r="BP404" s="293"/>
      <c r="BQ404" s="293"/>
      <c r="BR404" s="293"/>
      <c r="BS404" s="293"/>
      <c r="BT404" s="293"/>
      <c r="BU404" s="293"/>
      <c r="BV404" s="293"/>
      <c r="BW404" s="293"/>
      <c r="BX404" s="293"/>
      <c r="BY404" s="293"/>
      <c r="BZ404" s="293"/>
      <c r="CA404" s="293"/>
      <c r="CB404" s="293"/>
      <c r="CC404" s="293"/>
      <c r="CD404" s="293"/>
      <c r="CE404" s="293">
        <v>0</v>
      </c>
      <c r="CF404" s="293">
        <v>0</v>
      </c>
      <c r="CG404" s="293">
        <v>0</v>
      </c>
      <c r="CH404" s="293">
        <v>0</v>
      </c>
      <c r="CI404" s="293">
        <v>0</v>
      </c>
      <c r="CJ404" s="293">
        <v>0</v>
      </c>
      <c r="CK404" s="293">
        <v>0</v>
      </c>
      <c r="CL404" s="293">
        <v>0</v>
      </c>
      <c r="CM404" s="293">
        <v>0</v>
      </c>
      <c r="CN404" s="293">
        <v>0</v>
      </c>
      <c r="CO404" s="293">
        <v>0</v>
      </c>
      <c r="CP404" s="295">
        <v>0</v>
      </c>
      <c r="CQ404" s="293">
        <v>0</v>
      </c>
      <c r="CR404" s="293">
        <v>0</v>
      </c>
      <c r="CS404" s="293">
        <v>0</v>
      </c>
      <c r="CT404" s="293">
        <v>0</v>
      </c>
      <c r="CU404" s="293">
        <v>0</v>
      </c>
      <c r="CV404" s="293">
        <v>0</v>
      </c>
      <c r="CW404" s="293">
        <v>0</v>
      </c>
      <c r="CX404" s="293">
        <v>0</v>
      </c>
      <c r="CY404" s="293">
        <v>0</v>
      </c>
      <c r="CZ404" s="293">
        <v>0</v>
      </c>
      <c r="DA404" s="293">
        <v>0</v>
      </c>
      <c r="DB404" s="1288">
        <v>0</v>
      </c>
      <c r="DC404" s="293">
        <v>0</v>
      </c>
      <c r="DD404" s="293">
        <v>0</v>
      </c>
      <c r="DE404" s="293">
        <v>0</v>
      </c>
      <c r="DF404" s="293">
        <v>0</v>
      </c>
      <c r="DG404" s="293">
        <v>0</v>
      </c>
      <c r="DH404" s="293">
        <v>0</v>
      </c>
      <c r="DI404" s="293">
        <v>0</v>
      </c>
      <c r="DJ404" s="293">
        <v>0</v>
      </c>
      <c r="DK404" s="293">
        <v>0</v>
      </c>
      <c r="DL404" s="293">
        <v>0</v>
      </c>
      <c r="DM404" s="293">
        <v>0</v>
      </c>
      <c r="DN404" s="295">
        <v>0</v>
      </c>
      <c r="DO404" s="293">
        <v>0</v>
      </c>
      <c r="DP404" s="293">
        <v>0</v>
      </c>
      <c r="DQ404" s="293">
        <v>0</v>
      </c>
      <c r="DR404" s="293">
        <v>0</v>
      </c>
      <c r="DS404" s="293">
        <v>0</v>
      </c>
      <c r="DT404" s="293">
        <v>0</v>
      </c>
      <c r="DU404" s="293">
        <v>0</v>
      </c>
      <c r="DV404" s="293">
        <v>0</v>
      </c>
      <c r="DW404" s="293">
        <v>0</v>
      </c>
      <c r="DX404" s="293">
        <v>0</v>
      </c>
      <c r="DY404" s="293">
        <v>0</v>
      </c>
      <c r="DZ404" s="295">
        <v>0</v>
      </c>
      <c r="EA404" s="293">
        <v>0</v>
      </c>
      <c r="EB404" s="293">
        <v>0</v>
      </c>
      <c r="EC404" s="293">
        <v>0</v>
      </c>
      <c r="ED404" s="293">
        <v>0</v>
      </c>
      <c r="EE404" s="293">
        <v>0</v>
      </c>
      <c r="EF404" s="293">
        <v>0</v>
      </c>
      <c r="EG404" s="293">
        <v>0</v>
      </c>
      <c r="EH404" s="293">
        <v>0</v>
      </c>
      <c r="EI404" s="293">
        <v>0</v>
      </c>
      <c r="EJ404" s="293">
        <v>0</v>
      </c>
      <c r="EK404" s="293">
        <v>0</v>
      </c>
      <c r="EL404" s="295">
        <v>0</v>
      </c>
      <c r="EM404" s="293">
        <v>0</v>
      </c>
      <c r="EN404" s="293">
        <v>0</v>
      </c>
      <c r="EO404" s="293">
        <v>0</v>
      </c>
      <c r="EP404" s="293">
        <v>0</v>
      </c>
      <c r="EQ404" s="293">
        <v>0</v>
      </c>
      <c r="ER404" s="293">
        <v>0</v>
      </c>
      <c r="ES404" s="293">
        <v>0</v>
      </c>
      <c r="ET404" s="293">
        <v>0</v>
      </c>
      <c r="EU404" s="293">
        <v>0</v>
      </c>
      <c r="EV404" s="293">
        <v>0</v>
      </c>
      <c r="EW404" s="293">
        <v>0</v>
      </c>
      <c r="EX404" s="295">
        <v>0</v>
      </c>
      <c r="EY404" s="293">
        <v>0</v>
      </c>
      <c r="EZ404" s="293">
        <v>0</v>
      </c>
      <c r="FA404" s="293">
        <v>0</v>
      </c>
      <c r="FB404" s="293">
        <v>0</v>
      </c>
      <c r="FC404" s="293">
        <v>0</v>
      </c>
      <c r="FD404" s="293">
        <v>0</v>
      </c>
      <c r="FE404" s="293">
        <v>0</v>
      </c>
      <c r="FF404" s="293">
        <v>0</v>
      </c>
      <c r="FG404" s="293">
        <v>0</v>
      </c>
      <c r="FH404" s="293">
        <v>0</v>
      </c>
      <c r="FI404" s="293">
        <v>0</v>
      </c>
      <c r="FJ404" s="295">
        <v>0</v>
      </c>
      <c r="FK404" s="293">
        <v>0</v>
      </c>
      <c r="FL404" s="293">
        <v>0</v>
      </c>
      <c r="FM404" s="293">
        <v>0</v>
      </c>
      <c r="FN404" s="293">
        <v>0</v>
      </c>
      <c r="FO404" s="293">
        <v>0</v>
      </c>
      <c r="FP404" s="293">
        <v>0</v>
      </c>
      <c r="FQ404" s="293">
        <v>0</v>
      </c>
      <c r="FR404" s="293">
        <v>0</v>
      </c>
      <c r="FS404" s="293">
        <v>0</v>
      </c>
      <c r="FT404" s="293">
        <v>0</v>
      </c>
      <c r="FU404" s="293">
        <v>0</v>
      </c>
      <c r="FV404" s="293">
        <v>0</v>
      </c>
      <c r="FW404" s="293">
        <v>0</v>
      </c>
      <c r="FX404" s="293">
        <v>0</v>
      </c>
      <c r="FY404" s="293">
        <v>0</v>
      </c>
      <c r="FZ404" s="293">
        <v>0</v>
      </c>
      <c r="GA404" s="293">
        <v>0</v>
      </c>
      <c r="GB404" s="293">
        <v>0</v>
      </c>
      <c r="GC404" s="293">
        <v>0</v>
      </c>
      <c r="GD404" s="293">
        <v>0</v>
      </c>
      <c r="GE404" s="293">
        <v>0</v>
      </c>
      <c r="GF404" s="293">
        <v>0</v>
      </c>
      <c r="GG404" s="293">
        <v>0</v>
      </c>
      <c r="GH404" s="293">
        <v>0</v>
      </c>
      <c r="GI404" s="293">
        <v>0</v>
      </c>
      <c r="GJ404" s="293">
        <v>0</v>
      </c>
      <c r="GK404" s="293">
        <v>0</v>
      </c>
      <c r="GL404" s="293">
        <v>0</v>
      </c>
      <c r="GM404" s="293">
        <v>0</v>
      </c>
      <c r="GN404" s="293">
        <v>0</v>
      </c>
      <c r="GO404" s="293">
        <v>0</v>
      </c>
      <c r="GP404" s="293">
        <v>0</v>
      </c>
      <c r="GQ404" s="293">
        <v>0</v>
      </c>
      <c r="GR404" s="293">
        <v>0</v>
      </c>
      <c r="GS404" s="293">
        <v>0</v>
      </c>
      <c r="GT404" s="293">
        <v>0</v>
      </c>
      <c r="GU404" s="293">
        <v>0</v>
      </c>
      <c r="GV404" s="293">
        <v>0</v>
      </c>
      <c r="GW404" s="293">
        <v>0</v>
      </c>
      <c r="GX404" s="293">
        <v>0</v>
      </c>
      <c r="GY404" s="293">
        <v>0</v>
      </c>
      <c r="GZ404" s="293">
        <v>0</v>
      </c>
      <c r="HA404" s="293">
        <v>0</v>
      </c>
      <c r="HB404" s="293">
        <v>0</v>
      </c>
      <c r="HC404" s="293">
        <v>0</v>
      </c>
      <c r="HD404" s="293">
        <v>0</v>
      </c>
      <c r="HE404" s="293">
        <v>0</v>
      </c>
      <c r="HF404" s="293">
        <v>0</v>
      </c>
      <c r="HG404" s="293">
        <v>0</v>
      </c>
      <c r="HH404" s="293">
        <v>0</v>
      </c>
      <c r="HI404" s="293">
        <v>0</v>
      </c>
      <c r="HJ404" s="293">
        <v>0</v>
      </c>
      <c r="HK404" s="293">
        <v>0</v>
      </c>
      <c r="HL404" s="293">
        <v>0</v>
      </c>
      <c r="HM404" s="293">
        <v>0</v>
      </c>
      <c r="HN404" s="293">
        <v>0</v>
      </c>
      <c r="HO404" s="293">
        <v>0</v>
      </c>
      <c r="HP404" s="293">
        <v>0</v>
      </c>
      <c r="HQ404" s="293">
        <v>0</v>
      </c>
      <c r="HR404" s="293">
        <v>0</v>
      </c>
      <c r="HS404" s="293">
        <v>0</v>
      </c>
      <c r="HT404" s="293">
        <v>0</v>
      </c>
      <c r="HU404" s="293">
        <v>0</v>
      </c>
      <c r="HV404" s="293">
        <v>0</v>
      </c>
      <c r="HW404" s="293">
        <v>0</v>
      </c>
      <c r="HX404" s="293">
        <v>0</v>
      </c>
      <c r="HY404" s="293"/>
      <c r="KT404" s="280"/>
    </row>
    <row r="405" spans="1:306" outlineLevel="1">
      <c r="A405" s="96" t="s">
        <v>495</v>
      </c>
      <c r="B405" s="96" t="s">
        <v>495</v>
      </c>
      <c r="D405" s="321" t="s">
        <v>500</v>
      </c>
      <c r="E405" s="293"/>
      <c r="F405" s="293"/>
      <c r="G405" s="293"/>
      <c r="H405" s="293"/>
      <c r="I405" s="293"/>
      <c r="J405" s="293"/>
      <c r="K405" s="293"/>
      <c r="L405" s="293"/>
      <c r="M405" s="293"/>
      <c r="N405" s="293"/>
      <c r="O405" s="293"/>
      <c r="P405" s="293"/>
      <c r="Q405" s="293"/>
      <c r="R405" s="293"/>
      <c r="S405" s="293"/>
      <c r="T405" s="293"/>
      <c r="U405" s="293"/>
      <c r="V405" s="293"/>
      <c r="W405" s="293"/>
      <c r="X405" s="293"/>
      <c r="Y405" s="29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c r="BN405" s="293"/>
      <c r="BO405" s="293"/>
      <c r="BP405" s="293"/>
      <c r="BQ405" s="293"/>
      <c r="BR405" s="293"/>
      <c r="BS405" s="293"/>
      <c r="BT405" s="293"/>
      <c r="BU405" s="293"/>
      <c r="BV405" s="293"/>
      <c r="BW405" s="293"/>
      <c r="BX405" s="293"/>
      <c r="BY405" s="293"/>
      <c r="BZ405" s="293"/>
      <c r="CA405" s="293"/>
      <c r="CB405" s="293"/>
      <c r="CC405" s="293"/>
      <c r="CD405" s="293"/>
      <c r="CE405" s="293">
        <v>0</v>
      </c>
      <c r="CF405" s="293">
        <v>0</v>
      </c>
      <c r="CG405" s="293">
        <v>0</v>
      </c>
      <c r="CH405" s="293">
        <v>0</v>
      </c>
      <c r="CI405" s="293">
        <v>0</v>
      </c>
      <c r="CJ405" s="293">
        <v>0</v>
      </c>
      <c r="CK405" s="293">
        <v>0</v>
      </c>
      <c r="CL405" s="293">
        <v>0</v>
      </c>
      <c r="CM405" s="293">
        <v>0</v>
      </c>
      <c r="CN405" s="293">
        <v>0</v>
      </c>
      <c r="CO405" s="293">
        <v>0</v>
      </c>
      <c r="CP405" s="295">
        <v>0</v>
      </c>
      <c r="CQ405" s="293">
        <v>0</v>
      </c>
      <c r="CR405" s="293">
        <v>0</v>
      </c>
      <c r="CS405" s="293">
        <v>0</v>
      </c>
      <c r="CT405" s="293">
        <v>0</v>
      </c>
      <c r="CU405" s="293">
        <v>0</v>
      </c>
      <c r="CV405" s="293">
        <v>0</v>
      </c>
      <c r="CW405" s="293">
        <v>0</v>
      </c>
      <c r="CX405" s="293">
        <v>0</v>
      </c>
      <c r="CY405" s="293">
        <v>0</v>
      </c>
      <c r="CZ405" s="293">
        <v>0</v>
      </c>
      <c r="DA405" s="293">
        <v>0</v>
      </c>
      <c r="DB405" s="1288">
        <v>0</v>
      </c>
      <c r="DC405" s="293">
        <v>0</v>
      </c>
      <c r="DD405" s="293">
        <v>0</v>
      </c>
      <c r="DE405" s="293">
        <v>0</v>
      </c>
      <c r="DF405" s="293">
        <v>0</v>
      </c>
      <c r="DG405" s="293">
        <v>0</v>
      </c>
      <c r="DH405" s="293">
        <v>0</v>
      </c>
      <c r="DI405" s="293">
        <v>0</v>
      </c>
      <c r="DJ405" s="293">
        <v>0</v>
      </c>
      <c r="DK405" s="293">
        <v>0</v>
      </c>
      <c r="DL405" s="293">
        <v>0</v>
      </c>
      <c r="DM405" s="293">
        <v>0</v>
      </c>
      <c r="DN405" s="295">
        <v>0</v>
      </c>
      <c r="DO405" s="293">
        <v>0</v>
      </c>
      <c r="DP405" s="293">
        <v>0</v>
      </c>
      <c r="DQ405" s="293">
        <v>0</v>
      </c>
      <c r="DR405" s="293">
        <v>0</v>
      </c>
      <c r="DS405" s="293">
        <v>0</v>
      </c>
      <c r="DT405" s="293">
        <v>0</v>
      </c>
      <c r="DU405" s="293">
        <v>0</v>
      </c>
      <c r="DV405" s="293">
        <v>0</v>
      </c>
      <c r="DW405" s="293">
        <v>0</v>
      </c>
      <c r="DX405" s="293">
        <v>0</v>
      </c>
      <c r="DY405" s="293">
        <v>0</v>
      </c>
      <c r="DZ405" s="295">
        <v>0</v>
      </c>
      <c r="EA405" s="293">
        <v>0</v>
      </c>
      <c r="EB405" s="293">
        <v>0</v>
      </c>
      <c r="EC405" s="293">
        <v>0</v>
      </c>
      <c r="ED405" s="293">
        <v>0</v>
      </c>
      <c r="EE405" s="293">
        <v>0</v>
      </c>
      <c r="EF405" s="293">
        <v>0</v>
      </c>
      <c r="EG405" s="293">
        <v>0</v>
      </c>
      <c r="EH405" s="293">
        <v>0</v>
      </c>
      <c r="EI405" s="293">
        <v>0</v>
      </c>
      <c r="EJ405" s="293">
        <v>0</v>
      </c>
      <c r="EK405" s="293">
        <v>0</v>
      </c>
      <c r="EL405" s="295">
        <v>0</v>
      </c>
      <c r="EM405" s="293">
        <v>0</v>
      </c>
      <c r="EN405" s="293">
        <v>0</v>
      </c>
      <c r="EO405" s="293">
        <v>0</v>
      </c>
      <c r="EP405" s="293">
        <v>0</v>
      </c>
      <c r="EQ405" s="293">
        <v>0</v>
      </c>
      <c r="ER405" s="293">
        <v>0</v>
      </c>
      <c r="ES405" s="293">
        <v>0</v>
      </c>
      <c r="ET405" s="293">
        <v>0</v>
      </c>
      <c r="EU405" s="293">
        <v>0</v>
      </c>
      <c r="EV405" s="293">
        <v>0</v>
      </c>
      <c r="EW405" s="293">
        <v>0</v>
      </c>
      <c r="EX405" s="295">
        <v>0</v>
      </c>
      <c r="EY405" s="293">
        <v>0</v>
      </c>
      <c r="EZ405" s="293">
        <v>0</v>
      </c>
      <c r="FA405" s="293">
        <v>0</v>
      </c>
      <c r="FB405" s="293">
        <v>0</v>
      </c>
      <c r="FC405" s="293">
        <v>0</v>
      </c>
      <c r="FD405" s="293">
        <v>0</v>
      </c>
      <c r="FE405" s="293">
        <v>0</v>
      </c>
      <c r="FF405" s="293">
        <v>0</v>
      </c>
      <c r="FG405" s="293">
        <v>0</v>
      </c>
      <c r="FH405" s="293">
        <v>0</v>
      </c>
      <c r="FI405" s="293">
        <v>0</v>
      </c>
      <c r="FJ405" s="295">
        <v>0</v>
      </c>
      <c r="FK405" s="293">
        <v>0</v>
      </c>
      <c r="FL405" s="293">
        <v>0</v>
      </c>
      <c r="FM405" s="293">
        <v>0</v>
      </c>
      <c r="FN405" s="293">
        <v>0</v>
      </c>
      <c r="FO405" s="293">
        <v>0</v>
      </c>
      <c r="FP405" s="293">
        <v>0</v>
      </c>
      <c r="FQ405" s="293">
        <v>0</v>
      </c>
      <c r="FR405" s="293">
        <v>0</v>
      </c>
      <c r="FS405" s="293">
        <v>0</v>
      </c>
      <c r="FT405" s="293">
        <v>0</v>
      </c>
      <c r="FU405" s="293">
        <v>0</v>
      </c>
      <c r="FV405" s="293">
        <v>0</v>
      </c>
      <c r="FW405" s="293">
        <v>0</v>
      </c>
      <c r="FX405" s="293">
        <v>0</v>
      </c>
      <c r="FY405" s="293">
        <v>0</v>
      </c>
      <c r="FZ405" s="293">
        <v>0</v>
      </c>
      <c r="GA405" s="293">
        <v>0</v>
      </c>
      <c r="GB405" s="293">
        <v>0</v>
      </c>
      <c r="GC405" s="293">
        <v>0</v>
      </c>
      <c r="GD405" s="293">
        <v>0</v>
      </c>
      <c r="GE405" s="293">
        <v>0</v>
      </c>
      <c r="GF405" s="293">
        <v>0</v>
      </c>
      <c r="GG405" s="293">
        <v>0</v>
      </c>
      <c r="GH405" s="293">
        <v>0</v>
      </c>
      <c r="GI405" s="293">
        <v>0</v>
      </c>
      <c r="GJ405" s="293">
        <v>0</v>
      </c>
      <c r="GK405" s="293">
        <v>0</v>
      </c>
      <c r="GL405" s="293">
        <v>0</v>
      </c>
      <c r="GM405" s="293">
        <v>0</v>
      </c>
      <c r="GN405" s="293">
        <v>0</v>
      </c>
      <c r="GO405" s="293">
        <v>0</v>
      </c>
      <c r="GP405" s="293">
        <v>0</v>
      </c>
      <c r="GQ405" s="293">
        <v>0</v>
      </c>
      <c r="GR405" s="293">
        <v>0</v>
      </c>
      <c r="GS405" s="293">
        <v>0</v>
      </c>
      <c r="GT405" s="293">
        <v>0</v>
      </c>
      <c r="GU405" s="293">
        <v>0</v>
      </c>
      <c r="GV405" s="293">
        <v>0</v>
      </c>
      <c r="GW405" s="293">
        <v>0</v>
      </c>
      <c r="GX405" s="293">
        <v>0</v>
      </c>
      <c r="GY405" s="293">
        <v>0</v>
      </c>
      <c r="GZ405" s="293">
        <v>0</v>
      </c>
      <c r="HA405" s="293">
        <v>0</v>
      </c>
      <c r="HB405" s="293">
        <v>0</v>
      </c>
      <c r="HC405" s="293">
        <v>0</v>
      </c>
      <c r="HD405" s="293">
        <v>0</v>
      </c>
      <c r="HE405" s="293">
        <v>0</v>
      </c>
      <c r="HF405" s="293">
        <v>0</v>
      </c>
      <c r="HG405" s="293">
        <v>0</v>
      </c>
      <c r="HH405" s="293">
        <v>0</v>
      </c>
      <c r="HI405" s="293">
        <v>0</v>
      </c>
      <c r="HJ405" s="293">
        <v>0</v>
      </c>
      <c r="HK405" s="293">
        <v>0</v>
      </c>
      <c r="HL405" s="293">
        <v>0</v>
      </c>
      <c r="HM405" s="293">
        <v>0</v>
      </c>
      <c r="HN405" s="293">
        <v>0</v>
      </c>
      <c r="HO405" s="293">
        <v>0</v>
      </c>
      <c r="HP405" s="293">
        <v>0</v>
      </c>
      <c r="HQ405" s="293">
        <v>0</v>
      </c>
      <c r="HR405" s="293">
        <v>0</v>
      </c>
      <c r="HS405" s="293">
        <v>0</v>
      </c>
      <c r="HT405" s="293">
        <v>0</v>
      </c>
      <c r="HU405" s="293">
        <v>0</v>
      </c>
      <c r="HV405" s="293">
        <v>0</v>
      </c>
      <c r="HW405" s="293">
        <v>0</v>
      </c>
      <c r="HX405" s="293">
        <v>0</v>
      </c>
      <c r="HY405" s="293"/>
      <c r="KT405" s="280"/>
    </row>
    <row r="406" spans="1:306" outlineLevel="1">
      <c r="A406" s="96" t="s">
        <v>495</v>
      </c>
      <c r="B406" s="96" t="s">
        <v>495</v>
      </c>
      <c r="D406" s="321" t="s">
        <v>501</v>
      </c>
      <c r="E406" s="293"/>
      <c r="F406" s="293"/>
      <c r="G406" s="293"/>
      <c r="H406" s="293"/>
      <c r="I406" s="293"/>
      <c r="J406" s="293"/>
      <c r="K406" s="293"/>
      <c r="L406" s="293"/>
      <c r="M406" s="293"/>
      <c r="N406" s="293"/>
      <c r="O406" s="293"/>
      <c r="P406" s="293"/>
      <c r="Q406" s="293"/>
      <c r="R406" s="293"/>
      <c r="S406" s="293"/>
      <c r="T406" s="293"/>
      <c r="U406" s="293"/>
      <c r="V406" s="293"/>
      <c r="W406" s="293"/>
      <c r="X406" s="293"/>
      <c r="Y406" s="29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c r="BN406" s="293"/>
      <c r="BO406" s="293"/>
      <c r="BP406" s="293"/>
      <c r="BQ406" s="293"/>
      <c r="BR406" s="293"/>
      <c r="BS406" s="293"/>
      <c r="BT406" s="293"/>
      <c r="BU406" s="293"/>
      <c r="BV406" s="293"/>
      <c r="BW406" s="293"/>
      <c r="BX406" s="293"/>
      <c r="BY406" s="293"/>
      <c r="BZ406" s="293"/>
      <c r="CA406" s="293"/>
      <c r="CB406" s="293"/>
      <c r="CC406" s="293"/>
      <c r="CD406" s="293"/>
      <c r="CE406" s="293">
        <v>0</v>
      </c>
      <c r="CF406" s="293">
        <v>0</v>
      </c>
      <c r="CG406" s="293">
        <v>0</v>
      </c>
      <c r="CH406" s="293">
        <v>0</v>
      </c>
      <c r="CI406" s="293">
        <v>0</v>
      </c>
      <c r="CJ406" s="293">
        <v>0</v>
      </c>
      <c r="CK406" s="293">
        <v>0</v>
      </c>
      <c r="CL406" s="293">
        <v>0</v>
      </c>
      <c r="CM406" s="293">
        <v>0</v>
      </c>
      <c r="CN406" s="293">
        <v>0</v>
      </c>
      <c r="CO406" s="293">
        <v>0</v>
      </c>
      <c r="CP406" s="295">
        <v>0</v>
      </c>
      <c r="CQ406" s="293">
        <v>0</v>
      </c>
      <c r="CR406" s="293">
        <v>0</v>
      </c>
      <c r="CS406" s="293">
        <v>0</v>
      </c>
      <c r="CT406" s="293">
        <v>0</v>
      </c>
      <c r="CU406" s="293">
        <v>0</v>
      </c>
      <c r="CV406" s="293">
        <v>0</v>
      </c>
      <c r="CW406" s="293">
        <v>0</v>
      </c>
      <c r="CX406" s="293">
        <v>0</v>
      </c>
      <c r="CY406" s="293">
        <v>0</v>
      </c>
      <c r="CZ406" s="293">
        <v>0</v>
      </c>
      <c r="DA406" s="293">
        <v>0</v>
      </c>
      <c r="DB406" s="1288">
        <v>0</v>
      </c>
      <c r="DC406" s="293">
        <v>0</v>
      </c>
      <c r="DD406" s="293">
        <v>0</v>
      </c>
      <c r="DE406" s="293">
        <v>0</v>
      </c>
      <c r="DF406" s="293">
        <v>0</v>
      </c>
      <c r="DG406" s="293">
        <v>0</v>
      </c>
      <c r="DH406" s="293">
        <v>0</v>
      </c>
      <c r="DI406" s="293">
        <v>0</v>
      </c>
      <c r="DJ406" s="293">
        <v>0</v>
      </c>
      <c r="DK406" s="293">
        <v>0</v>
      </c>
      <c r="DL406" s="293">
        <v>0</v>
      </c>
      <c r="DM406" s="293">
        <v>0</v>
      </c>
      <c r="DN406" s="295">
        <v>0</v>
      </c>
      <c r="DO406" s="293">
        <v>0</v>
      </c>
      <c r="DP406" s="293">
        <v>0</v>
      </c>
      <c r="DQ406" s="293">
        <v>0</v>
      </c>
      <c r="DR406" s="293">
        <v>0</v>
      </c>
      <c r="DS406" s="293">
        <v>0</v>
      </c>
      <c r="DT406" s="293">
        <v>0</v>
      </c>
      <c r="DU406" s="293">
        <v>0</v>
      </c>
      <c r="DV406" s="293">
        <v>0</v>
      </c>
      <c r="DW406" s="293">
        <v>0</v>
      </c>
      <c r="DX406" s="293">
        <v>0</v>
      </c>
      <c r="DY406" s="293">
        <v>0</v>
      </c>
      <c r="DZ406" s="295">
        <v>0</v>
      </c>
      <c r="EA406" s="293">
        <v>0</v>
      </c>
      <c r="EB406" s="293">
        <v>0</v>
      </c>
      <c r="EC406" s="293">
        <v>0</v>
      </c>
      <c r="ED406" s="293">
        <v>0</v>
      </c>
      <c r="EE406" s="293">
        <v>0</v>
      </c>
      <c r="EF406" s="293">
        <v>0</v>
      </c>
      <c r="EG406" s="293">
        <v>0</v>
      </c>
      <c r="EH406" s="293">
        <v>0</v>
      </c>
      <c r="EI406" s="293">
        <v>0</v>
      </c>
      <c r="EJ406" s="293">
        <v>0</v>
      </c>
      <c r="EK406" s="293">
        <v>0</v>
      </c>
      <c r="EL406" s="295">
        <v>0</v>
      </c>
      <c r="EM406" s="293">
        <v>0</v>
      </c>
      <c r="EN406" s="293">
        <v>0</v>
      </c>
      <c r="EO406" s="293">
        <v>0</v>
      </c>
      <c r="EP406" s="293">
        <v>0</v>
      </c>
      <c r="EQ406" s="293">
        <v>0</v>
      </c>
      <c r="ER406" s="293">
        <v>0</v>
      </c>
      <c r="ES406" s="293">
        <v>0</v>
      </c>
      <c r="ET406" s="293">
        <v>0</v>
      </c>
      <c r="EU406" s="293">
        <v>0</v>
      </c>
      <c r="EV406" s="293">
        <v>0</v>
      </c>
      <c r="EW406" s="293">
        <v>0</v>
      </c>
      <c r="EX406" s="295">
        <v>0</v>
      </c>
      <c r="EY406" s="293">
        <v>0</v>
      </c>
      <c r="EZ406" s="293">
        <v>0</v>
      </c>
      <c r="FA406" s="293">
        <v>0</v>
      </c>
      <c r="FB406" s="293">
        <v>0</v>
      </c>
      <c r="FC406" s="293">
        <v>0</v>
      </c>
      <c r="FD406" s="293">
        <v>0</v>
      </c>
      <c r="FE406" s="293">
        <v>0</v>
      </c>
      <c r="FF406" s="293">
        <v>0</v>
      </c>
      <c r="FG406" s="293">
        <v>0</v>
      </c>
      <c r="FH406" s="293">
        <v>0</v>
      </c>
      <c r="FI406" s="293">
        <v>0</v>
      </c>
      <c r="FJ406" s="295">
        <v>0</v>
      </c>
      <c r="FK406" s="293">
        <v>0</v>
      </c>
      <c r="FL406" s="293">
        <v>0</v>
      </c>
      <c r="FM406" s="293">
        <v>0</v>
      </c>
      <c r="FN406" s="293">
        <v>0</v>
      </c>
      <c r="FO406" s="293">
        <v>0</v>
      </c>
      <c r="FP406" s="293">
        <v>0</v>
      </c>
      <c r="FQ406" s="293">
        <v>0</v>
      </c>
      <c r="FR406" s="293">
        <v>0</v>
      </c>
      <c r="FS406" s="293">
        <v>0</v>
      </c>
      <c r="FT406" s="293">
        <v>0</v>
      </c>
      <c r="FU406" s="293">
        <v>0</v>
      </c>
      <c r="FV406" s="293">
        <v>0</v>
      </c>
      <c r="FW406" s="293">
        <v>0</v>
      </c>
      <c r="FX406" s="293">
        <v>0</v>
      </c>
      <c r="FY406" s="293">
        <v>0</v>
      </c>
      <c r="FZ406" s="293">
        <v>0</v>
      </c>
      <c r="GA406" s="293">
        <v>0</v>
      </c>
      <c r="GB406" s="293">
        <v>0</v>
      </c>
      <c r="GC406" s="293">
        <v>0</v>
      </c>
      <c r="GD406" s="293">
        <v>0</v>
      </c>
      <c r="GE406" s="293">
        <v>0</v>
      </c>
      <c r="GF406" s="293">
        <v>0</v>
      </c>
      <c r="GG406" s="293">
        <v>0</v>
      </c>
      <c r="GH406" s="293">
        <v>0</v>
      </c>
      <c r="GI406" s="293">
        <v>0</v>
      </c>
      <c r="GJ406" s="293">
        <v>0</v>
      </c>
      <c r="GK406" s="293">
        <v>0</v>
      </c>
      <c r="GL406" s="293">
        <v>0</v>
      </c>
      <c r="GM406" s="293">
        <v>0</v>
      </c>
      <c r="GN406" s="293">
        <v>0</v>
      </c>
      <c r="GO406" s="293">
        <v>0</v>
      </c>
      <c r="GP406" s="293">
        <v>0</v>
      </c>
      <c r="GQ406" s="293">
        <v>0</v>
      </c>
      <c r="GR406" s="293">
        <v>0</v>
      </c>
      <c r="GS406" s="293">
        <v>0</v>
      </c>
      <c r="GT406" s="293">
        <v>0</v>
      </c>
      <c r="GU406" s="293">
        <v>0</v>
      </c>
      <c r="GV406" s="293">
        <v>0</v>
      </c>
      <c r="GW406" s="293">
        <v>0</v>
      </c>
      <c r="GX406" s="293">
        <v>0</v>
      </c>
      <c r="GY406" s="293">
        <v>0</v>
      </c>
      <c r="GZ406" s="293">
        <v>0</v>
      </c>
      <c r="HA406" s="293">
        <v>0</v>
      </c>
      <c r="HB406" s="293">
        <v>0</v>
      </c>
      <c r="HC406" s="293">
        <v>0</v>
      </c>
      <c r="HD406" s="293">
        <v>0</v>
      </c>
      <c r="HE406" s="293">
        <v>0</v>
      </c>
      <c r="HF406" s="293">
        <v>0</v>
      </c>
      <c r="HG406" s="293">
        <v>0</v>
      </c>
      <c r="HH406" s="293">
        <v>0</v>
      </c>
      <c r="HI406" s="293">
        <v>0</v>
      </c>
      <c r="HJ406" s="293">
        <v>0</v>
      </c>
      <c r="HK406" s="293">
        <v>0</v>
      </c>
      <c r="HL406" s="293">
        <v>0</v>
      </c>
      <c r="HM406" s="293">
        <v>0</v>
      </c>
      <c r="HN406" s="293">
        <v>0</v>
      </c>
      <c r="HO406" s="293">
        <v>0</v>
      </c>
      <c r="HP406" s="293">
        <v>0</v>
      </c>
      <c r="HQ406" s="293">
        <v>0</v>
      </c>
      <c r="HR406" s="293">
        <v>0</v>
      </c>
      <c r="HS406" s="293">
        <v>0</v>
      </c>
      <c r="HT406" s="293">
        <v>0</v>
      </c>
      <c r="HU406" s="293">
        <v>0</v>
      </c>
      <c r="HV406" s="293">
        <v>0</v>
      </c>
      <c r="HW406" s="293">
        <v>0</v>
      </c>
      <c r="HX406" s="293">
        <v>0</v>
      </c>
      <c r="HY406" s="293"/>
      <c r="KT406" s="280"/>
    </row>
    <row r="407" spans="1:306" outlineLevel="1">
      <c r="A407" s="96" t="s">
        <v>495</v>
      </c>
      <c r="B407" s="96" t="s">
        <v>495</v>
      </c>
      <c r="D407" s="320" t="s">
        <v>502</v>
      </c>
      <c r="E407" s="293"/>
      <c r="F407" s="293"/>
      <c r="G407" s="293"/>
      <c r="H407" s="293"/>
      <c r="I407" s="293"/>
      <c r="J407" s="293"/>
      <c r="K407" s="293"/>
      <c r="L407" s="293"/>
      <c r="M407" s="293"/>
      <c r="N407" s="293"/>
      <c r="O407" s="293"/>
      <c r="P407" s="293"/>
      <c r="Q407" s="293"/>
      <c r="R407" s="293"/>
      <c r="S407" s="293"/>
      <c r="T407" s="293"/>
      <c r="U407" s="293"/>
      <c r="V407" s="293"/>
      <c r="W407" s="293"/>
      <c r="X407" s="293"/>
      <c r="Y407" s="29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c r="BN407" s="293"/>
      <c r="BO407" s="293"/>
      <c r="BP407" s="293"/>
      <c r="BQ407" s="293"/>
      <c r="BR407" s="293"/>
      <c r="BS407" s="293"/>
      <c r="BT407" s="293"/>
      <c r="BU407" s="293"/>
      <c r="BV407" s="293"/>
      <c r="BW407" s="293"/>
      <c r="BX407" s="293"/>
      <c r="BY407" s="293"/>
      <c r="BZ407" s="293"/>
      <c r="CA407" s="293"/>
      <c r="CB407" s="293"/>
      <c r="CC407" s="293"/>
      <c r="CD407" s="293"/>
      <c r="CE407" s="294">
        <v>0</v>
      </c>
      <c r="CF407" s="293">
        <v>0</v>
      </c>
      <c r="CG407" s="293">
        <v>0</v>
      </c>
      <c r="CH407" s="293">
        <v>0</v>
      </c>
      <c r="CI407" s="293">
        <v>0</v>
      </c>
      <c r="CJ407" s="293">
        <v>0</v>
      </c>
      <c r="CK407" s="293">
        <v>0</v>
      </c>
      <c r="CL407" s="293">
        <v>0</v>
      </c>
      <c r="CM407" s="293">
        <v>0</v>
      </c>
      <c r="CN407" s="293">
        <v>0</v>
      </c>
      <c r="CO407" s="293">
        <v>0</v>
      </c>
      <c r="CP407" s="295">
        <v>0</v>
      </c>
      <c r="CQ407" s="293">
        <v>0</v>
      </c>
      <c r="CR407" s="293">
        <v>0</v>
      </c>
      <c r="CS407" s="293">
        <v>0</v>
      </c>
      <c r="CT407" s="293">
        <v>0</v>
      </c>
      <c r="CU407" s="293">
        <v>0</v>
      </c>
      <c r="CV407" s="293">
        <v>0</v>
      </c>
      <c r="CW407" s="293">
        <v>0</v>
      </c>
      <c r="CX407" s="293">
        <v>0</v>
      </c>
      <c r="CY407" s="293">
        <v>0</v>
      </c>
      <c r="CZ407" s="293">
        <v>0</v>
      </c>
      <c r="DA407" s="293">
        <v>0</v>
      </c>
      <c r="DB407" s="1288">
        <v>0</v>
      </c>
      <c r="DC407" s="293">
        <v>0</v>
      </c>
      <c r="DD407" s="293">
        <v>0</v>
      </c>
      <c r="DE407" s="293">
        <v>0</v>
      </c>
      <c r="DF407" s="293">
        <v>0</v>
      </c>
      <c r="DG407" s="293">
        <v>0</v>
      </c>
      <c r="DH407" s="293">
        <v>0</v>
      </c>
      <c r="DI407" s="293">
        <v>0</v>
      </c>
      <c r="DJ407" s="293">
        <v>0</v>
      </c>
      <c r="DK407" s="293">
        <v>0</v>
      </c>
      <c r="DL407" s="293">
        <v>0</v>
      </c>
      <c r="DM407" s="293">
        <v>0</v>
      </c>
      <c r="DN407" s="295">
        <v>0</v>
      </c>
      <c r="DO407" s="293">
        <v>0</v>
      </c>
      <c r="DP407" s="293">
        <v>0</v>
      </c>
      <c r="DQ407" s="293">
        <v>0</v>
      </c>
      <c r="DR407" s="293">
        <v>0</v>
      </c>
      <c r="DS407" s="293">
        <v>0</v>
      </c>
      <c r="DT407" s="293">
        <v>0</v>
      </c>
      <c r="DU407" s="293">
        <v>0</v>
      </c>
      <c r="DV407" s="293">
        <v>0</v>
      </c>
      <c r="DW407" s="293">
        <v>0</v>
      </c>
      <c r="DX407" s="293">
        <v>0</v>
      </c>
      <c r="DY407" s="293">
        <v>0</v>
      </c>
      <c r="DZ407" s="295">
        <v>0</v>
      </c>
      <c r="EA407" s="293">
        <v>0</v>
      </c>
      <c r="EB407" s="293">
        <v>0</v>
      </c>
      <c r="EC407" s="293">
        <v>0</v>
      </c>
      <c r="ED407" s="293">
        <v>0</v>
      </c>
      <c r="EE407" s="293">
        <v>0</v>
      </c>
      <c r="EF407" s="293">
        <v>0</v>
      </c>
      <c r="EG407" s="293">
        <v>0</v>
      </c>
      <c r="EH407" s="293">
        <v>0</v>
      </c>
      <c r="EI407" s="293">
        <v>0</v>
      </c>
      <c r="EJ407" s="293">
        <v>0</v>
      </c>
      <c r="EK407" s="293">
        <v>0</v>
      </c>
      <c r="EL407" s="295">
        <v>0</v>
      </c>
      <c r="EM407" s="293">
        <v>0</v>
      </c>
      <c r="EN407" s="293">
        <v>0</v>
      </c>
      <c r="EO407" s="293">
        <v>0</v>
      </c>
      <c r="EP407" s="293">
        <v>0</v>
      </c>
      <c r="EQ407" s="293">
        <v>0</v>
      </c>
      <c r="ER407" s="293">
        <v>0</v>
      </c>
      <c r="ES407" s="293">
        <v>0</v>
      </c>
      <c r="ET407" s="293">
        <v>0</v>
      </c>
      <c r="EU407" s="293">
        <v>0</v>
      </c>
      <c r="EV407" s="293">
        <v>0</v>
      </c>
      <c r="EW407" s="293">
        <v>0</v>
      </c>
      <c r="EX407" s="295">
        <v>0</v>
      </c>
      <c r="EY407" s="293">
        <v>0</v>
      </c>
      <c r="EZ407" s="293">
        <v>0</v>
      </c>
      <c r="FA407" s="293">
        <v>0</v>
      </c>
      <c r="FB407" s="293">
        <v>0</v>
      </c>
      <c r="FC407" s="293">
        <v>0</v>
      </c>
      <c r="FD407" s="293">
        <v>0</v>
      </c>
      <c r="FE407" s="293">
        <v>0</v>
      </c>
      <c r="FF407" s="293">
        <v>0</v>
      </c>
      <c r="FG407" s="293">
        <v>0</v>
      </c>
      <c r="FH407" s="293">
        <v>0</v>
      </c>
      <c r="FI407" s="293">
        <v>0</v>
      </c>
      <c r="FJ407" s="295">
        <v>0</v>
      </c>
      <c r="FK407" s="293">
        <v>0</v>
      </c>
      <c r="FL407" s="293">
        <v>0</v>
      </c>
      <c r="FM407" s="293">
        <v>0</v>
      </c>
      <c r="FN407" s="293">
        <v>0</v>
      </c>
      <c r="FO407" s="293">
        <v>0</v>
      </c>
      <c r="FP407" s="293">
        <v>0</v>
      </c>
      <c r="FQ407" s="293">
        <v>0</v>
      </c>
      <c r="FR407" s="293">
        <v>0</v>
      </c>
      <c r="FS407" s="293">
        <v>0</v>
      </c>
      <c r="FT407" s="293">
        <v>0</v>
      </c>
      <c r="FU407" s="293">
        <v>0</v>
      </c>
      <c r="FV407" s="293">
        <v>0</v>
      </c>
      <c r="FW407" s="293">
        <v>0</v>
      </c>
      <c r="FX407" s="293">
        <v>0</v>
      </c>
      <c r="FY407" s="293">
        <v>0</v>
      </c>
      <c r="FZ407" s="293">
        <v>0</v>
      </c>
      <c r="GA407" s="293">
        <v>0</v>
      </c>
      <c r="GB407" s="293">
        <v>0</v>
      </c>
      <c r="GC407" s="293">
        <v>0</v>
      </c>
      <c r="GD407" s="293">
        <v>0</v>
      </c>
      <c r="GE407" s="293">
        <v>0</v>
      </c>
      <c r="GF407" s="293">
        <v>0</v>
      </c>
      <c r="GG407" s="293">
        <v>0</v>
      </c>
      <c r="GH407" s="293">
        <v>0</v>
      </c>
      <c r="GI407" s="293">
        <v>0</v>
      </c>
      <c r="GJ407" s="293">
        <v>0</v>
      </c>
      <c r="GK407" s="293">
        <v>0</v>
      </c>
      <c r="GL407" s="293">
        <v>0</v>
      </c>
      <c r="GM407" s="293">
        <v>0</v>
      </c>
      <c r="GN407" s="293">
        <v>0</v>
      </c>
      <c r="GO407" s="293">
        <v>0</v>
      </c>
      <c r="GP407" s="293">
        <v>0</v>
      </c>
      <c r="GQ407" s="293">
        <v>0</v>
      </c>
      <c r="GR407" s="293">
        <v>0</v>
      </c>
      <c r="GS407" s="293">
        <v>0</v>
      </c>
      <c r="GT407" s="293">
        <v>0</v>
      </c>
      <c r="GU407" s="293">
        <v>0</v>
      </c>
      <c r="GV407" s="293">
        <v>0</v>
      </c>
      <c r="GW407" s="293">
        <v>0</v>
      </c>
      <c r="GX407" s="293">
        <v>0</v>
      </c>
      <c r="GY407" s="293">
        <v>0</v>
      </c>
      <c r="GZ407" s="293">
        <v>0</v>
      </c>
      <c r="HA407" s="293">
        <v>0</v>
      </c>
      <c r="HB407" s="293">
        <v>0</v>
      </c>
      <c r="HC407" s="293">
        <v>0</v>
      </c>
      <c r="HD407" s="293">
        <v>0</v>
      </c>
      <c r="HE407" s="293">
        <v>0</v>
      </c>
      <c r="HF407" s="293">
        <v>0</v>
      </c>
      <c r="HG407" s="293">
        <v>0</v>
      </c>
      <c r="HH407" s="293">
        <v>0</v>
      </c>
      <c r="HI407" s="293">
        <v>0</v>
      </c>
      <c r="HJ407" s="293">
        <v>0</v>
      </c>
      <c r="HK407" s="293">
        <v>0</v>
      </c>
      <c r="HL407" s="293">
        <v>0</v>
      </c>
      <c r="HM407" s="293">
        <v>0</v>
      </c>
      <c r="HN407" s="293">
        <v>0</v>
      </c>
      <c r="HO407" s="293">
        <v>0</v>
      </c>
      <c r="HP407" s="293">
        <v>0</v>
      </c>
      <c r="HQ407" s="293">
        <v>0</v>
      </c>
      <c r="HR407" s="293">
        <v>0</v>
      </c>
      <c r="HS407" s="293">
        <v>0</v>
      </c>
      <c r="HT407" s="293">
        <v>0</v>
      </c>
      <c r="HU407" s="293">
        <v>0</v>
      </c>
      <c r="HV407" s="293">
        <v>0</v>
      </c>
      <c r="HW407" s="293">
        <v>0</v>
      </c>
      <c r="HX407" s="293">
        <v>0</v>
      </c>
      <c r="HY407" s="293"/>
      <c r="KT407" s="280"/>
    </row>
    <row r="408" spans="1:306" outlineLevel="1">
      <c r="A408" s="96" t="s">
        <v>495</v>
      </c>
      <c r="B408" s="96" t="s">
        <v>495</v>
      </c>
      <c r="D408" s="321" t="s">
        <v>498</v>
      </c>
      <c r="E408" s="293"/>
      <c r="F408" s="293"/>
      <c r="G408" s="293"/>
      <c r="H408" s="293"/>
      <c r="I408" s="293"/>
      <c r="J408" s="293"/>
      <c r="K408" s="293"/>
      <c r="L408" s="293"/>
      <c r="M408" s="293"/>
      <c r="N408" s="293"/>
      <c r="O408" s="293"/>
      <c r="P408" s="293"/>
      <c r="Q408" s="293"/>
      <c r="R408" s="293"/>
      <c r="S408" s="293"/>
      <c r="T408" s="293"/>
      <c r="U408" s="293"/>
      <c r="V408" s="293"/>
      <c r="W408" s="293"/>
      <c r="X408" s="293"/>
      <c r="Y408" s="29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c r="BN408" s="293"/>
      <c r="BO408" s="293"/>
      <c r="BP408" s="293"/>
      <c r="BQ408" s="293"/>
      <c r="BR408" s="293"/>
      <c r="BS408" s="293"/>
      <c r="BT408" s="293"/>
      <c r="BU408" s="293"/>
      <c r="BV408" s="293"/>
      <c r="BW408" s="293"/>
      <c r="BX408" s="293"/>
      <c r="BY408" s="293"/>
      <c r="BZ408" s="293"/>
      <c r="CA408" s="293"/>
      <c r="CB408" s="293"/>
      <c r="CC408" s="293"/>
      <c r="CD408" s="293"/>
      <c r="CE408" s="294">
        <v>0</v>
      </c>
      <c r="CF408" s="293">
        <v>0</v>
      </c>
      <c r="CG408" s="293">
        <v>0</v>
      </c>
      <c r="CH408" s="293">
        <v>0</v>
      </c>
      <c r="CI408" s="293">
        <v>0</v>
      </c>
      <c r="CJ408" s="293">
        <v>0</v>
      </c>
      <c r="CK408" s="293">
        <v>0</v>
      </c>
      <c r="CL408" s="293">
        <v>0</v>
      </c>
      <c r="CM408" s="293">
        <v>0</v>
      </c>
      <c r="CN408" s="293">
        <v>0</v>
      </c>
      <c r="CO408" s="293">
        <v>0</v>
      </c>
      <c r="CP408" s="295">
        <v>0</v>
      </c>
      <c r="CQ408" s="293">
        <v>0</v>
      </c>
      <c r="CR408" s="293">
        <v>0</v>
      </c>
      <c r="CS408" s="293">
        <v>0</v>
      </c>
      <c r="CT408" s="293">
        <v>0</v>
      </c>
      <c r="CU408" s="293">
        <v>0</v>
      </c>
      <c r="CV408" s="293">
        <v>0</v>
      </c>
      <c r="CW408" s="293">
        <v>0</v>
      </c>
      <c r="CX408" s="293">
        <v>0</v>
      </c>
      <c r="CY408" s="293">
        <v>0</v>
      </c>
      <c r="CZ408" s="293">
        <v>0</v>
      </c>
      <c r="DA408" s="293">
        <v>0</v>
      </c>
      <c r="DB408" s="1288">
        <v>0</v>
      </c>
      <c r="DC408" s="293">
        <v>0</v>
      </c>
      <c r="DD408" s="293">
        <v>0</v>
      </c>
      <c r="DE408" s="293">
        <v>0</v>
      </c>
      <c r="DF408" s="293">
        <v>0</v>
      </c>
      <c r="DG408" s="293">
        <v>0</v>
      </c>
      <c r="DH408" s="293">
        <v>0</v>
      </c>
      <c r="DI408" s="293">
        <v>0</v>
      </c>
      <c r="DJ408" s="293">
        <v>0</v>
      </c>
      <c r="DK408" s="293">
        <v>0</v>
      </c>
      <c r="DL408" s="293">
        <v>0</v>
      </c>
      <c r="DM408" s="293">
        <v>0</v>
      </c>
      <c r="DN408" s="295">
        <v>0</v>
      </c>
      <c r="DO408" s="293">
        <v>0</v>
      </c>
      <c r="DP408" s="293">
        <v>0</v>
      </c>
      <c r="DQ408" s="293">
        <v>0</v>
      </c>
      <c r="DR408" s="293">
        <v>0</v>
      </c>
      <c r="DS408" s="293">
        <v>0</v>
      </c>
      <c r="DT408" s="293">
        <v>0</v>
      </c>
      <c r="DU408" s="293">
        <v>0</v>
      </c>
      <c r="DV408" s="293">
        <v>0</v>
      </c>
      <c r="DW408" s="293">
        <v>0</v>
      </c>
      <c r="DX408" s="293">
        <v>0</v>
      </c>
      <c r="DY408" s="293">
        <v>0</v>
      </c>
      <c r="DZ408" s="295">
        <v>0</v>
      </c>
      <c r="EA408" s="293">
        <v>0</v>
      </c>
      <c r="EB408" s="293">
        <v>0</v>
      </c>
      <c r="EC408" s="293">
        <v>0</v>
      </c>
      <c r="ED408" s="293">
        <v>0</v>
      </c>
      <c r="EE408" s="293">
        <v>0</v>
      </c>
      <c r="EF408" s="293">
        <v>0</v>
      </c>
      <c r="EG408" s="293">
        <v>0</v>
      </c>
      <c r="EH408" s="293">
        <v>0</v>
      </c>
      <c r="EI408" s="293">
        <v>0</v>
      </c>
      <c r="EJ408" s="293">
        <v>0</v>
      </c>
      <c r="EK408" s="293">
        <v>0</v>
      </c>
      <c r="EL408" s="295">
        <v>0</v>
      </c>
      <c r="EM408" s="293">
        <v>0</v>
      </c>
      <c r="EN408" s="293">
        <v>0</v>
      </c>
      <c r="EO408" s="293">
        <v>0</v>
      </c>
      <c r="EP408" s="293">
        <v>0</v>
      </c>
      <c r="EQ408" s="293">
        <v>0</v>
      </c>
      <c r="ER408" s="293">
        <v>0</v>
      </c>
      <c r="ES408" s="293">
        <v>0</v>
      </c>
      <c r="ET408" s="293">
        <v>0</v>
      </c>
      <c r="EU408" s="293">
        <v>0</v>
      </c>
      <c r="EV408" s="293">
        <v>0</v>
      </c>
      <c r="EW408" s="293">
        <v>0</v>
      </c>
      <c r="EX408" s="295">
        <v>0</v>
      </c>
      <c r="EY408" s="293">
        <v>0</v>
      </c>
      <c r="EZ408" s="293">
        <v>0</v>
      </c>
      <c r="FA408" s="293">
        <v>0</v>
      </c>
      <c r="FB408" s="293">
        <v>0</v>
      </c>
      <c r="FC408" s="293">
        <v>0</v>
      </c>
      <c r="FD408" s="293">
        <v>0</v>
      </c>
      <c r="FE408" s="293">
        <v>0</v>
      </c>
      <c r="FF408" s="293">
        <v>0</v>
      </c>
      <c r="FG408" s="293">
        <v>0</v>
      </c>
      <c r="FH408" s="293">
        <v>0</v>
      </c>
      <c r="FI408" s="293">
        <v>0</v>
      </c>
      <c r="FJ408" s="295">
        <v>0</v>
      </c>
      <c r="FK408" s="293">
        <v>0</v>
      </c>
      <c r="FL408" s="293">
        <v>0</v>
      </c>
      <c r="FM408" s="293">
        <v>0</v>
      </c>
      <c r="FN408" s="293">
        <v>0</v>
      </c>
      <c r="FO408" s="293">
        <v>0</v>
      </c>
      <c r="FP408" s="293">
        <v>0</v>
      </c>
      <c r="FQ408" s="293">
        <v>0</v>
      </c>
      <c r="FR408" s="293">
        <v>0</v>
      </c>
      <c r="FS408" s="293">
        <v>0</v>
      </c>
      <c r="FT408" s="293">
        <v>0</v>
      </c>
      <c r="FU408" s="293">
        <v>0</v>
      </c>
      <c r="FV408" s="293">
        <v>0</v>
      </c>
      <c r="FW408" s="293">
        <v>0</v>
      </c>
      <c r="FX408" s="293">
        <v>0</v>
      </c>
      <c r="FY408" s="293">
        <v>0</v>
      </c>
      <c r="FZ408" s="293">
        <v>0</v>
      </c>
      <c r="GA408" s="293">
        <v>0</v>
      </c>
      <c r="GB408" s="293">
        <v>0</v>
      </c>
      <c r="GC408" s="293">
        <v>0</v>
      </c>
      <c r="GD408" s="293">
        <v>0</v>
      </c>
      <c r="GE408" s="293">
        <v>0</v>
      </c>
      <c r="GF408" s="293">
        <v>0</v>
      </c>
      <c r="GG408" s="293">
        <v>0</v>
      </c>
      <c r="GH408" s="293">
        <v>0</v>
      </c>
      <c r="GI408" s="293">
        <v>0</v>
      </c>
      <c r="GJ408" s="293">
        <v>0</v>
      </c>
      <c r="GK408" s="293">
        <v>0</v>
      </c>
      <c r="GL408" s="293">
        <v>0</v>
      </c>
      <c r="GM408" s="293">
        <v>0</v>
      </c>
      <c r="GN408" s="293">
        <v>0</v>
      </c>
      <c r="GO408" s="293">
        <v>0</v>
      </c>
      <c r="GP408" s="293">
        <v>0</v>
      </c>
      <c r="GQ408" s="293">
        <v>0</v>
      </c>
      <c r="GR408" s="293">
        <v>0</v>
      </c>
      <c r="GS408" s="293">
        <v>0</v>
      </c>
      <c r="GT408" s="293">
        <v>0</v>
      </c>
      <c r="GU408" s="293">
        <v>0</v>
      </c>
      <c r="GV408" s="293">
        <v>0</v>
      </c>
      <c r="GW408" s="293">
        <v>0</v>
      </c>
      <c r="GX408" s="293">
        <v>0</v>
      </c>
      <c r="GY408" s="293">
        <v>0</v>
      </c>
      <c r="GZ408" s="293">
        <v>0</v>
      </c>
      <c r="HA408" s="293">
        <v>0</v>
      </c>
      <c r="HB408" s="293">
        <v>0</v>
      </c>
      <c r="HC408" s="293">
        <v>0</v>
      </c>
      <c r="HD408" s="293">
        <v>0</v>
      </c>
      <c r="HE408" s="293">
        <v>0</v>
      </c>
      <c r="HF408" s="293">
        <v>0</v>
      </c>
      <c r="HG408" s="293">
        <v>0</v>
      </c>
      <c r="HH408" s="293">
        <v>0</v>
      </c>
      <c r="HI408" s="293">
        <v>0</v>
      </c>
      <c r="HJ408" s="293">
        <v>0</v>
      </c>
      <c r="HK408" s="293">
        <v>0</v>
      </c>
      <c r="HL408" s="293">
        <v>0</v>
      </c>
      <c r="HM408" s="293">
        <v>0</v>
      </c>
      <c r="HN408" s="293">
        <v>0</v>
      </c>
      <c r="HO408" s="293">
        <v>0</v>
      </c>
      <c r="HP408" s="293">
        <v>0</v>
      </c>
      <c r="HQ408" s="293">
        <v>0</v>
      </c>
      <c r="HR408" s="293">
        <v>0</v>
      </c>
      <c r="HS408" s="293">
        <v>0</v>
      </c>
      <c r="HT408" s="293">
        <v>0</v>
      </c>
      <c r="HU408" s="293">
        <v>0</v>
      </c>
      <c r="HV408" s="293">
        <v>0</v>
      </c>
      <c r="HW408" s="293">
        <v>0</v>
      </c>
      <c r="HX408" s="293">
        <v>0</v>
      </c>
      <c r="HY408" s="293"/>
      <c r="KT408" s="280"/>
    </row>
    <row r="409" spans="1:306" outlineLevel="1">
      <c r="A409" s="96" t="s">
        <v>495</v>
      </c>
      <c r="B409" s="96" t="s">
        <v>495</v>
      </c>
      <c r="D409" s="321" t="s">
        <v>499</v>
      </c>
      <c r="E409" s="293"/>
      <c r="F409" s="293"/>
      <c r="G409" s="293"/>
      <c r="H409" s="293"/>
      <c r="I409" s="293"/>
      <c r="J409" s="293"/>
      <c r="K409" s="293"/>
      <c r="L409" s="293"/>
      <c r="M409" s="293"/>
      <c r="N409" s="293"/>
      <c r="O409" s="293"/>
      <c r="P409" s="293"/>
      <c r="Q409" s="293"/>
      <c r="R409" s="293"/>
      <c r="S409" s="293"/>
      <c r="T409" s="293"/>
      <c r="U409" s="293"/>
      <c r="V409" s="293"/>
      <c r="W409" s="293"/>
      <c r="X409" s="293"/>
      <c r="Y409" s="29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c r="BN409" s="293"/>
      <c r="BO409" s="293"/>
      <c r="BP409" s="293"/>
      <c r="BQ409" s="293"/>
      <c r="BR409" s="293"/>
      <c r="BS409" s="293"/>
      <c r="BT409" s="293"/>
      <c r="BU409" s="293"/>
      <c r="BV409" s="293"/>
      <c r="BW409" s="293"/>
      <c r="BX409" s="293"/>
      <c r="BY409" s="293"/>
      <c r="BZ409" s="293"/>
      <c r="CA409" s="293"/>
      <c r="CB409" s="293"/>
      <c r="CC409" s="293"/>
      <c r="CD409" s="293"/>
      <c r="CE409" s="294">
        <v>0</v>
      </c>
      <c r="CF409" s="293">
        <v>0</v>
      </c>
      <c r="CG409" s="293">
        <v>0</v>
      </c>
      <c r="CH409" s="293">
        <v>0</v>
      </c>
      <c r="CI409" s="293">
        <v>0</v>
      </c>
      <c r="CJ409" s="293">
        <v>0</v>
      </c>
      <c r="CK409" s="293">
        <v>0</v>
      </c>
      <c r="CL409" s="293">
        <v>0</v>
      </c>
      <c r="CM409" s="293">
        <v>0</v>
      </c>
      <c r="CN409" s="293">
        <v>0</v>
      </c>
      <c r="CO409" s="293">
        <v>0</v>
      </c>
      <c r="CP409" s="295">
        <v>0</v>
      </c>
      <c r="CQ409" s="293">
        <v>0</v>
      </c>
      <c r="CR409" s="293">
        <v>0</v>
      </c>
      <c r="CS409" s="293">
        <v>0</v>
      </c>
      <c r="CT409" s="293">
        <v>0</v>
      </c>
      <c r="CU409" s="293">
        <v>0</v>
      </c>
      <c r="CV409" s="293">
        <v>0</v>
      </c>
      <c r="CW409" s="293">
        <v>0</v>
      </c>
      <c r="CX409" s="293">
        <v>0</v>
      </c>
      <c r="CY409" s="293">
        <v>0</v>
      </c>
      <c r="CZ409" s="293">
        <v>0</v>
      </c>
      <c r="DA409" s="293">
        <v>0</v>
      </c>
      <c r="DB409" s="1288">
        <v>0</v>
      </c>
      <c r="DC409" s="293">
        <v>0</v>
      </c>
      <c r="DD409" s="293">
        <v>0</v>
      </c>
      <c r="DE409" s="293">
        <v>0</v>
      </c>
      <c r="DF409" s="293">
        <v>0</v>
      </c>
      <c r="DG409" s="293">
        <v>0</v>
      </c>
      <c r="DH409" s="293">
        <v>0</v>
      </c>
      <c r="DI409" s="293">
        <v>0</v>
      </c>
      <c r="DJ409" s="293">
        <v>0</v>
      </c>
      <c r="DK409" s="293">
        <v>0</v>
      </c>
      <c r="DL409" s="293">
        <v>0</v>
      </c>
      <c r="DM409" s="293">
        <v>0</v>
      </c>
      <c r="DN409" s="295">
        <v>0</v>
      </c>
      <c r="DO409" s="293">
        <v>0</v>
      </c>
      <c r="DP409" s="293">
        <v>0</v>
      </c>
      <c r="DQ409" s="293">
        <v>0</v>
      </c>
      <c r="DR409" s="293">
        <v>0</v>
      </c>
      <c r="DS409" s="293">
        <v>0</v>
      </c>
      <c r="DT409" s="293">
        <v>0</v>
      </c>
      <c r="DU409" s="293">
        <v>0</v>
      </c>
      <c r="DV409" s="293">
        <v>0</v>
      </c>
      <c r="DW409" s="293">
        <v>0</v>
      </c>
      <c r="DX409" s="293">
        <v>0</v>
      </c>
      <c r="DY409" s="293">
        <v>0</v>
      </c>
      <c r="DZ409" s="295">
        <v>0</v>
      </c>
      <c r="EA409" s="293">
        <v>0</v>
      </c>
      <c r="EB409" s="293">
        <v>0</v>
      </c>
      <c r="EC409" s="293">
        <v>0</v>
      </c>
      <c r="ED409" s="293">
        <v>0</v>
      </c>
      <c r="EE409" s="293">
        <v>0</v>
      </c>
      <c r="EF409" s="293">
        <v>0</v>
      </c>
      <c r="EG409" s="293">
        <v>0</v>
      </c>
      <c r="EH409" s="293">
        <v>0</v>
      </c>
      <c r="EI409" s="293">
        <v>0</v>
      </c>
      <c r="EJ409" s="293">
        <v>0</v>
      </c>
      <c r="EK409" s="293">
        <v>0</v>
      </c>
      <c r="EL409" s="295">
        <v>0</v>
      </c>
      <c r="EM409" s="293">
        <v>0</v>
      </c>
      <c r="EN409" s="293">
        <v>0</v>
      </c>
      <c r="EO409" s="293">
        <v>0</v>
      </c>
      <c r="EP409" s="293">
        <v>0</v>
      </c>
      <c r="EQ409" s="293">
        <v>0</v>
      </c>
      <c r="ER409" s="293">
        <v>0</v>
      </c>
      <c r="ES409" s="293">
        <v>0</v>
      </c>
      <c r="ET409" s="293">
        <v>0</v>
      </c>
      <c r="EU409" s="293">
        <v>0</v>
      </c>
      <c r="EV409" s="293">
        <v>0</v>
      </c>
      <c r="EW409" s="293">
        <v>0</v>
      </c>
      <c r="EX409" s="295">
        <v>0</v>
      </c>
      <c r="EY409" s="293">
        <v>0</v>
      </c>
      <c r="EZ409" s="293">
        <v>0</v>
      </c>
      <c r="FA409" s="293">
        <v>0</v>
      </c>
      <c r="FB409" s="293">
        <v>0</v>
      </c>
      <c r="FC409" s="293">
        <v>0</v>
      </c>
      <c r="FD409" s="293">
        <v>0</v>
      </c>
      <c r="FE409" s="293">
        <v>0</v>
      </c>
      <c r="FF409" s="293">
        <v>0</v>
      </c>
      <c r="FG409" s="293">
        <v>0</v>
      </c>
      <c r="FH409" s="293">
        <v>0</v>
      </c>
      <c r="FI409" s="293">
        <v>0</v>
      </c>
      <c r="FJ409" s="295">
        <v>0</v>
      </c>
      <c r="FK409" s="293">
        <v>0</v>
      </c>
      <c r="FL409" s="293">
        <v>0</v>
      </c>
      <c r="FM409" s="293">
        <v>0</v>
      </c>
      <c r="FN409" s="293">
        <v>0</v>
      </c>
      <c r="FO409" s="293">
        <v>0</v>
      </c>
      <c r="FP409" s="293">
        <v>0</v>
      </c>
      <c r="FQ409" s="293">
        <v>0</v>
      </c>
      <c r="FR409" s="293">
        <v>0</v>
      </c>
      <c r="FS409" s="293">
        <v>0</v>
      </c>
      <c r="FT409" s="293">
        <v>0</v>
      </c>
      <c r="FU409" s="293">
        <v>0</v>
      </c>
      <c r="FV409" s="293">
        <v>0</v>
      </c>
      <c r="FW409" s="293">
        <v>0</v>
      </c>
      <c r="FX409" s="293">
        <v>0</v>
      </c>
      <c r="FY409" s="293">
        <v>0</v>
      </c>
      <c r="FZ409" s="293">
        <v>0</v>
      </c>
      <c r="GA409" s="293">
        <v>0</v>
      </c>
      <c r="GB409" s="293">
        <v>0</v>
      </c>
      <c r="GC409" s="293">
        <v>0</v>
      </c>
      <c r="GD409" s="293">
        <v>0</v>
      </c>
      <c r="GE409" s="293">
        <v>0</v>
      </c>
      <c r="GF409" s="293">
        <v>0</v>
      </c>
      <c r="GG409" s="293">
        <v>0</v>
      </c>
      <c r="GH409" s="293">
        <v>0</v>
      </c>
      <c r="GI409" s="293">
        <v>0</v>
      </c>
      <c r="GJ409" s="293">
        <v>0</v>
      </c>
      <c r="GK409" s="293">
        <v>0</v>
      </c>
      <c r="GL409" s="293">
        <v>0</v>
      </c>
      <c r="GM409" s="293">
        <v>0</v>
      </c>
      <c r="GN409" s="293">
        <v>0</v>
      </c>
      <c r="GO409" s="293">
        <v>0</v>
      </c>
      <c r="GP409" s="293">
        <v>0</v>
      </c>
      <c r="GQ409" s="293">
        <v>0</v>
      </c>
      <c r="GR409" s="293">
        <v>0</v>
      </c>
      <c r="GS409" s="293">
        <v>0</v>
      </c>
      <c r="GT409" s="293">
        <v>0</v>
      </c>
      <c r="GU409" s="293">
        <v>0</v>
      </c>
      <c r="GV409" s="293">
        <v>0</v>
      </c>
      <c r="GW409" s="293">
        <v>0</v>
      </c>
      <c r="GX409" s="293">
        <v>0</v>
      </c>
      <c r="GY409" s="293">
        <v>0</v>
      </c>
      <c r="GZ409" s="293">
        <v>0</v>
      </c>
      <c r="HA409" s="293">
        <v>0</v>
      </c>
      <c r="HB409" s="293">
        <v>0</v>
      </c>
      <c r="HC409" s="293">
        <v>0</v>
      </c>
      <c r="HD409" s="293">
        <v>0</v>
      </c>
      <c r="HE409" s="293">
        <v>0</v>
      </c>
      <c r="HF409" s="293">
        <v>0</v>
      </c>
      <c r="HG409" s="293">
        <v>0</v>
      </c>
      <c r="HH409" s="293">
        <v>0</v>
      </c>
      <c r="HI409" s="293">
        <v>0</v>
      </c>
      <c r="HJ409" s="293">
        <v>0</v>
      </c>
      <c r="HK409" s="293">
        <v>0</v>
      </c>
      <c r="HL409" s="293">
        <v>0</v>
      </c>
      <c r="HM409" s="293">
        <v>0</v>
      </c>
      <c r="HN409" s="293">
        <v>0</v>
      </c>
      <c r="HO409" s="293">
        <v>0</v>
      </c>
      <c r="HP409" s="293">
        <v>0</v>
      </c>
      <c r="HQ409" s="293">
        <v>0</v>
      </c>
      <c r="HR409" s="293">
        <v>0</v>
      </c>
      <c r="HS409" s="293">
        <v>0</v>
      </c>
      <c r="HT409" s="293">
        <v>0</v>
      </c>
      <c r="HU409" s="293">
        <v>0</v>
      </c>
      <c r="HV409" s="293">
        <v>0</v>
      </c>
      <c r="HW409" s="293">
        <v>0</v>
      </c>
      <c r="HX409" s="293">
        <v>0</v>
      </c>
      <c r="HY409" s="293"/>
      <c r="KT409" s="280"/>
    </row>
    <row r="410" spans="1:306" outlineLevel="1">
      <c r="A410" s="96" t="s">
        <v>495</v>
      </c>
      <c r="B410" s="96" t="s">
        <v>495</v>
      </c>
      <c r="D410" s="321" t="s">
        <v>503</v>
      </c>
      <c r="E410" s="293"/>
      <c r="F410" s="293"/>
      <c r="G410" s="293"/>
      <c r="H410" s="293"/>
      <c r="I410" s="293"/>
      <c r="J410" s="293"/>
      <c r="K410" s="293"/>
      <c r="L410" s="293"/>
      <c r="M410" s="293"/>
      <c r="N410" s="293"/>
      <c r="O410" s="293"/>
      <c r="P410" s="293"/>
      <c r="Q410" s="293"/>
      <c r="R410" s="293"/>
      <c r="S410" s="293"/>
      <c r="T410" s="293"/>
      <c r="U410" s="293"/>
      <c r="V410" s="293"/>
      <c r="W410" s="293"/>
      <c r="X410" s="293"/>
      <c r="Y410" s="29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c r="BN410" s="293"/>
      <c r="BO410" s="293"/>
      <c r="BP410" s="293"/>
      <c r="BQ410" s="293"/>
      <c r="BR410" s="293"/>
      <c r="BS410" s="293"/>
      <c r="BT410" s="293"/>
      <c r="BU410" s="293"/>
      <c r="BV410" s="293"/>
      <c r="BW410" s="293"/>
      <c r="BX410" s="293"/>
      <c r="BY410" s="293"/>
      <c r="BZ410" s="293"/>
      <c r="CA410" s="293"/>
      <c r="CB410" s="293"/>
      <c r="CC410" s="293"/>
      <c r="CD410" s="293"/>
      <c r="CE410" s="294">
        <v>0</v>
      </c>
      <c r="CF410" s="293">
        <v>0</v>
      </c>
      <c r="CG410" s="293">
        <v>0</v>
      </c>
      <c r="CH410" s="293">
        <v>0</v>
      </c>
      <c r="CI410" s="293">
        <v>0</v>
      </c>
      <c r="CJ410" s="293">
        <v>0</v>
      </c>
      <c r="CK410" s="293">
        <v>0</v>
      </c>
      <c r="CL410" s="293">
        <v>0</v>
      </c>
      <c r="CM410" s="293">
        <v>0</v>
      </c>
      <c r="CN410" s="293">
        <v>0</v>
      </c>
      <c r="CO410" s="293">
        <v>0</v>
      </c>
      <c r="CP410" s="295">
        <v>0</v>
      </c>
      <c r="CQ410" s="293">
        <v>0</v>
      </c>
      <c r="CR410" s="293">
        <v>0</v>
      </c>
      <c r="CS410" s="293">
        <v>0</v>
      </c>
      <c r="CT410" s="293">
        <v>0</v>
      </c>
      <c r="CU410" s="293">
        <v>0</v>
      </c>
      <c r="CV410" s="293">
        <v>0</v>
      </c>
      <c r="CW410" s="293">
        <v>0</v>
      </c>
      <c r="CX410" s="293">
        <v>0</v>
      </c>
      <c r="CY410" s="293">
        <v>0</v>
      </c>
      <c r="CZ410" s="293">
        <v>0</v>
      </c>
      <c r="DA410" s="293">
        <v>0</v>
      </c>
      <c r="DB410" s="1288">
        <v>0</v>
      </c>
      <c r="DC410" s="293">
        <v>0</v>
      </c>
      <c r="DD410" s="293">
        <v>0</v>
      </c>
      <c r="DE410" s="293">
        <v>0</v>
      </c>
      <c r="DF410" s="293">
        <v>0</v>
      </c>
      <c r="DG410" s="293">
        <v>0</v>
      </c>
      <c r="DH410" s="293">
        <v>0</v>
      </c>
      <c r="DI410" s="293">
        <v>0</v>
      </c>
      <c r="DJ410" s="293">
        <v>0</v>
      </c>
      <c r="DK410" s="293">
        <v>0</v>
      </c>
      <c r="DL410" s="293">
        <v>0</v>
      </c>
      <c r="DM410" s="293">
        <v>0</v>
      </c>
      <c r="DN410" s="295">
        <v>0</v>
      </c>
      <c r="DO410" s="293">
        <v>0</v>
      </c>
      <c r="DP410" s="293">
        <v>0</v>
      </c>
      <c r="DQ410" s="293">
        <v>0</v>
      </c>
      <c r="DR410" s="293">
        <v>0</v>
      </c>
      <c r="DS410" s="293">
        <v>0</v>
      </c>
      <c r="DT410" s="293">
        <v>0</v>
      </c>
      <c r="DU410" s="293">
        <v>0</v>
      </c>
      <c r="DV410" s="293">
        <v>0</v>
      </c>
      <c r="DW410" s="293">
        <v>0</v>
      </c>
      <c r="DX410" s="293">
        <v>0</v>
      </c>
      <c r="DY410" s="293">
        <v>0</v>
      </c>
      <c r="DZ410" s="295">
        <v>0</v>
      </c>
      <c r="EA410" s="293">
        <v>0</v>
      </c>
      <c r="EB410" s="293">
        <v>0</v>
      </c>
      <c r="EC410" s="293">
        <v>0</v>
      </c>
      <c r="ED410" s="293">
        <v>0</v>
      </c>
      <c r="EE410" s="293">
        <v>0</v>
      </c>
      <c r="EF410" s="293">
        <v>0</v>
      </c>
      <c r="EG410" s="293">
        <v>0</v>
      </c>
      <c r="EH410" s="293">
        <v>0</v>
      </c>
      <c r="EI410" s="293">
        <v>0</v>
      </c>
      <c r="EJ410" s="293">
        <v>0</v>
      </c>
      <c r="EK410" s="293">
        <v>0</v>
      </c>
      <c r="EL410" s="295">
        <v>0</v>
      </c>
      <c r="EM410" s="293">
        <v>0</v>
      </c>
      <c r="EN410" s="293">
        <v>0</v>
      </c>
      <c r="EO410" s="293">
        <v>0</v>
      </c>
      <c r="EP410" s="293">
        <v>0</v>
      </c>
      <c r="EQ410" s="293">
        <v>0</v>
      </c>
      <c r="ER410" s="293">
        <v>0</v>
      </c>
      <c r="ES410" s="293">
        <v>0</v>
      </c>
      <c r="ET410" s="293">
        <v>0</v>
      </c>
      <c r="EU410" s="293">
        <v>0</v>
      </c>
      <c r="EV410" s="293">
        <v>0</v>
      </c>
      <c r="EW410" s="293">
        <v>0</v>
      </c>
      <c r="EX410" s="295">
        <v>0</v>
      </c>
      <c r="EY410" s="293">
        <v>0</v>
      </c>
      <c r="EZ410" s="293">
        <v>0</v>
      </c>
      <c r="FA410" s="293">
        <v>0</v>
      </c>
      <c r="FB410" s="293">
        <v>0</v>
      </c>
      <c r="FC410" s="293">
        <v>0</v>
      </c>
      <c r="FD410" s="293">
        <v>0</v>
      </c>
      <c r="FE410" s="293">
        <v>0</v>
      </c>
      <c r="FF410" s="293">
        <v>0</v>
      </c>
      <c r="FG410" s="293">
        <v>0</v>
      </c>
      <c r="FH410" s="293">
        <v>0</v>
      </c>
      <c r="FI410" s="293">
        <v>0</v>
      </c>
      <c r="FJ410" s="295">
        <v>0</v>
      </c>
      <c r="FK410" s="293">
        <v>0</v>
      </c>
      <c r="FL410" s="293">
        <v>0</v>
      </c>
      <c r="FM410" s="293">
        <v>0</v>
      </c>
      <c r="FN410" s="293">
        <v>0</v>
      </c>
      <c r="FO410" s="293">
        <v>0</v>
      </c>
      <c r="FP410" s="293">
        <v>0</v>
      </c>
      <c r="FQ410" s="293">
        <v>0</v>
      </c>
      <c r="FR410" s="293">
        <v>0</v>
      </c>
      <c r="FS410" s="293">
        <v>0</v>
      </c>
      <c r="FT410" s="293">
        <v>0</v>
      </c>
      <c r="FU410" s="293">
        <v>0</v>
      </c>
      <c r="FV410" s="293">
        <v>0</v>
      </c>
      <c r="FW410" s="293">
        <v>0</v>
      </c>
      <c r="FX410" s="293">
        <v>0</v>
      </c>
      <c r="FY410" s="293">
        <v>0</v>
      </c>
      <c r="FZ410" s="293">
        <v>0</v>
      </c>
      <c r="GA410" s="293">
        <v>0</v>
      </c>
      <c r="GB410" s="293">
        <v>0</v>
      </c>
      <c r="GC410" s="293">
        <v>0</v>
      </c>
      <c r="GD410" s="293">
        <v>0</v>
      </c>
      <c r="GE410" s="293">
        <v>0</v>
      </c>
      <c r="GF410" s="293">
        <v>0</v>
      </c>
      <c r="GG410" s="293">
        <v>0</v>
      </c>
      <c r="GH410" s="293">
        <v>0</v>
      </c>
      <c r="GI410" s="293">
        <v>0</v>
      </c>
      <c r="GJ410" s="293">
        <v>0</v>
      </c>
      <c r="GK410" s="293">
        <v>0</v>
      </c>
      <c r="GL410" s="293">
        <v>0</v>
      </c>
      <c r="GM410" s="293">
        <v>0</v>
      </c>
      <c r="GN410" s="293">
        <v>0</v>
      </c>
      <c r="GO410" s="293">
        <v>0</v>
      </c>
      <c r="GP410" s="293">
        <v>0</v>
      </c>
      <c r="GQ410" s="293">
        <v>0</v>
      </c>
      <c r="GR410" s="293">
        <v>0</v>
      </c>
      <c r="GS410" s="293">
        <v>0</v>
      </c>
      <c r="GT410" s="293">
        <v>0</v>
      </c>
      <c r="GU410" s="293">
        <v>0</v>
      </c>
      <c r="GV410" s="293">
        <v>0</v>
      </c>
      <c r="GW410" s="293">
        <v>0</v>
      </c>
      <c r="GX410" s="293">
        <v>0</v>
      </c>
      <c r="GY410" s="293">
        <v>0</v>
      </c>
      <c r="GZ410" s="293">
        <v>0</v>
      </c>
      <c r="HA410" s="293">
        <v>0</v>
      </c>
      <c r="HB410" s="293">
        <v>0</v>
      </c>
      <c r="HC410" s="293">
        <v>0</v>
      </c>
      <c r="HD410" s="293">
        <v>0</v>
      </c>
      <c r="HE410" s="293">
        <v>0</v>
      </c>
      <c r="HF410" s="293">
        <v>0</v>
      </c>
      <c r="HG410" s="293">
        <v>0</v>
      </c>
      <c r="HH410" s="293">
        <v>0</v>
      </c>
      <c r="HI410" s="293">
        <v>0</v>
      </c>
      <c r="HJ410" s="293">
        <v>0</v>
      </c>
      <c r="HK410" s="293">
        <v>0</v>
      </c>
      <c r="HL410" s="293">
        <v>0</v>
      </c>
      <c r="HM410" s="293">
        <v>0</v>
      </c>
      <c r="HN410" s="293">
        <v>0</v>
      </c>
      <c r="HO410" s="293">
        <v>0</v>
      </c>
      <c r="HP410" s="293">
        <v>0</v>
      </c>
      <c r="HQ410" s="293">
        <v>0</v>
      </c>
      <c r="HR410" s="293">
        <v>0</v>
      </c>
      <c r="HS410" s="293">
        <v>0</v>
      </c>
      <c r="HT410" s="293">
        <v>0</v>
      </c>
      <c r="HU410" s="293">
        <v>0</v>
      </c>
      <c r="HV410" s="293">
        <v>0</v>
      </c>
      <c r="HW410" s="293">
        <v>0</v>
      </c>
      <c r="HX410" s="293">
        <v>0</v>
      </c>
      <c r="HY410" s="293"/>
      <c r="KT410" s="280"/>
    </row>
    <row r="411" spans="1:306" outlineLevel="1">
      <c r="A411" s="96" t="s">
        <v>372</v>
      </c>
      <c r="B411" s="96" t="s">
        <v>338</v>
      </c>
      <c r="D411" s="319" t="s">
        <v>504</v>
      </c>
      <c r="E411" s="293"/>
      <c r="F411" s="293"/>
      <c r="G411" s="293"/>
      <c r="H411" s="293"/>
      <c r="I411" s="293"/>
      <c r="J411" s="293"/>
      <c r="K411" s="293"/>
      <c r="L411" s="293"/>
      <c r="M411" s="293"/>
      <c r="N411" s="293"/>
      <c r="O411" s="293"/>
      <c r="P411" s="293"/>
      <c r="Q411" s="293"/>
      <c r="R411" s="293"/>
      <c r="S411" s="293"/>
      <c r="T411" s="293"/>
      <c r="U411" s="293"/>
      <c r="V411" s="293"/>
      <c r="W411" s="293"/>
      <c r="X411" s="293"/>
      <c r="Y411" s="29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c r="BN411" s="293"/>
      <c r="BO411" s="293"/>
      <c r="BP411" s="293"/>
      <c r="BQ411" s="293"/>
      <c r="BR411" s="293"/>
      <c r="BS411" s="293"/>
      <c r="BT411" s="293"/>
      <c r="BU411" s="293"/>
      <c r="BV411" s="293"/>
      <c r="BW411" s="293"/>
      <c r="BX411" s="293"/>
      <c r="BY411" s="293"/>
      <c r="BZ411" s="293"/>
      <c r="CA411" s="293"/>
      <c r="CB411" s="293"/>
      <c r="CC411" s="293"/>
      <c r="CD411" s="293"/>
      <c r="CE411" s="294">
        <v>31.294496220706698</v>
      </c>
      <c r="CF411" s="293">
        <v>38.849477566021811</v>
      </c>
      <c r="CG411" s="293">
        <v>76.031701622894502</v>
      </c>
      <c r="CH411" s="293">
        <v>48.3828124680496</v>
      </c>
      <c r="CI411" s="293">
        <v>36.012732783613451</v>
      </c>
      <c r="CJ411" s="293">
        <v>62.84400919591495</v>
      </c>
      <c r="CK411" s="293">
        <v>22.369328398681304</v>
      </c>
      <c r="CL411" s="293">
        <v>15.370313869472696</v>
      </c>
      <c r="CM411" s="293">
        <v>15.260357731845993</v>
      </c>
      <c r="CN411" s="293">
        <v>60.223322623538365</v>
      </c>
      <c r="CO411" s="293">
        <v>36.611849603410164</v>
      </c>
      <c r="CP411" s="295">
        <v>31.066255138470598</v>
      </c>
      <c r="CQ411" s="293">
        <v>34.448433302576923</v>
      </c>
      <c r="CR411" s="293">
        <v>20.63533699242986</v>
      </c>
      <c r="CS411" s="293">
        <v>32.087946900292721</v>
      </c>
      <c r="CT411" s="293">
        <v>27.612034403931105</v>
      </c>
      <c r="CU411" s="293">
        <v>37.436683176818299</v>
      </c>
      <c r="CV411" s="293">
        <v>88.698945014422492</v>
      </c>
      <c r="CW411" s="293">
        <v>19.204165503062438</v>
      </c>
      <c r="CX411" s="293">
        <v>20.746947771968358</v>
      </c>
      <c r="CY411" s="293">
        <v>35.869115706465713</v>
      </c>
      <c r="CZ411" s="293">
        <v>25.985062782443698</v>
      </c>
      <c r="DA411" s="293">
        <v>51.924950351204735</v>
      </c>
      <c r="DB411" s="1288">
        <v>21.277785089683185</v>
      </c>
      <c r="DC411" s="293">
        <v>31.952444359087636</v>
      </c>
      <c r="DD411" s="293">
        <v>25.176932769502265</v>
      </c>
      <c r="DE411" s="293">
        <v>37.733474002093303</v>
      </c>
      <c r="DF411" s="293">
        <v>10.630564396348262</v>
      </c>
      <c r="DG411" s="293">
        <v>42.242365627815268</v>
      </c>
      <c r="DH411" s="293">
        <v>51.857928151955861</v>
      </c>
      <c r="DI411" s="293">
        <v>10.091643304932198</v>
      </c>
      <c r="DJ411" s="293">
        <v>14.552678703328509</v>
      </c>
      <c r="DK411" s="293">
        <v>15.303282783798712</v>
      </c>
      <c r="DL411" s="293">
        <v>65.287056068877121</v>
      </c>
      <c r="DM411" s="293">
        <v>19.525803094469907</v>
      </c>
      <c r="DN411" s="295">
        <v>49.359432531340339</v>
      </c>
      <c r="DO411" s="293">
        <v>33.422444226957452</v>
      </c>
      <c r="DP411" s="293">
        <v>18.29263575142069</v>
      </c>
      <c r="DQ411" s="293">
        <v>12.474113623446415</v>
      </c>
      <c r="DR411" s="293">
        <v>3.5377734003285308</v>
      </c>
      <c r="DS411" s="293">
        <v>31.35309165422964</v>
      </c>
      <c r="DT411" s="293">
        <v>66.135865509090536</v>
      </c>
      <c r="DU411" s="293">
        <v>26.913274467305172</v>
      </c>
      <c r="DV411" s="293">
        <v>15.756937633074747</v>
      </c>
      <c r="DW411" s="293">
        <v>20.479289792514571</v>
      </c>
      <c r="DX411" s="293">
        <v>18.128668872949451</v>
      </c>
      <c r="DY411" s="293">
        <v>11.651588312578538</v>
      </c>
      <c r="DZ411" s="295">
        <v>72.036400702622785</v>
      </c>
      <c r="EA411" s="293">
        <v>34.374027905691761</v>
      </c>
      <c r="EB411" s="293">
        <v>19.935162580397741</v>
      </c>
      <c r="EC411" s="293">
        <v>25.342666027910504</v>
      </c>
      <c r="ED411" s="293">
        <v>23.34687522806593</v>
      </c>
      <c r="EE411" s="293">
        <v>28.348180612750795</v>
      </c>
      <c r="EF411" s="293">
        <v>63.428379327498348</v>
      </c>
      <c r="EG411" s="293">
        <v>47.224657854775174</v>
      </c>
      <c r="EH411" s="293">
        <v>16.080746444490156</v>
      </c>
      <c r="EI411" s="293">
        <v>37.312599014628738</v>
      </c>
      <c r="EJ411" s="293">
        <v>24.48871988855079</v>
      </c>
      <c r="EK411" s="293">
        <v>8.1360103973705851</v>
      </c>
      <c r="EL411" s="295">
        <v>30.89065158657996</v>
      </c>
      <c r="EM411" s="293">
        <v>23.923055191511224</v>
      </c>
      <c r="EN411" s="293">
        <v>33.012554116012367</v>
      </c>
      <c r="EO411" s="293">
        <v>32.159939741700256</v>
      </c>
      <c r="EP411" s="293">
        <v>25.713574178749187</v>
      </c>
      <c r="EQ411" s="293">
        <v>8.589162902411001</v>
      </c>
      <c r="ER411" s="293">
        <v>111.15390138590099</v>
      </c>
      <c r="ES411" s="293">
        <v>25.804821157746737</v>
      </c>
      <c r="ET411" s="293">
        <v>40.261564226468217</v>
      </c>
      <c r="EU411" s="293">
        <v>26.416724477371513</v>
      </c>
      <c r="EV411" s="293">
        <v>31.9069752635531</v>
      </c>
      <c r="EW411" s="293">
        <v>9.2735813359162655</v>
      </c>
      <c r="EX411" s="295">
        <v>26.53420387887488</v>
      </c>
      <c r="EY411" s="293">
        <v>32.241833855093404</v>
      </c>
      <c r="EZ411" s="293">
        <v>19.120340874614172</v>
      </c>
      <c r="FA411" s="293">
        <v>42.084767594036236</v>
      </c>
      <c r="FB411" s="293">
        <v>17.141012261463228</v>
      </c>
      <c r="FC411" s="293">
        <v>28.591621457094867</v>
      </c>
      <c r="FD411" s="293">
        <v>81.29019426761478</v>
      </c>
      <c r="FE411" s="293">
        <v>18.57477772208745</v>
      </c>
      <c r="FF411" s="293">
        <v>40.829624657206764</v>
      </c>
      <c r="FG411" s="293">
        <v>23.485399915408056</v>
      </c>
      <c r="FH411" s="293">
        <v>43.434433253070914</v>
      </c>
      <c r="FI411" s="293">
        <v>25.711020665681996</v>
      </c>
      <c r="FJ411" s="295">
        <v>65.053378120495665</v>
      </c>
      <c r="FK411" s="293">
        <v>18.016468952481294</v>
      </c>
      <c r="FL411" s="293">
        <v>22.038160849417618</v>
      </c>
      <c r="FM411" s="293">
        <v>85.114840036842878</v>
      </c>
      <c r="FN411" s="293">
        <v>55.795753342564119</v>
      </c>
      <c r="FO411" s="293">
        <v>24.596989962932081</v>
      </c>
      <c r="FP411" s="293">
        <v>52.943284085381222</v>
      </c>
      <c r="FQ411" s="293">
        <v>26.0973223375467</v>
      </c>
      <c r="FR411" s="293">
        <v>26.0973223375467</v>
      </c>
      <c r="FS411" s="293">
        <v>101.97518335178538</v>
      </c>
      <c r="FT411" s="293">
        <v>40.092255082663847</v>
      </c>
      <c r="FU411" s="293">
        <v>26.540783368213397</v>
      </c>
      <c r="FV411" s="293">
        <v>81.779804093706915</v>
      </c>
      <c r="FW411" s="293">
        <v>25.536817192198459</v>
      </c>
      <c r="FX411" s="293">
        <v>68.769149023021257</v>
      </c>
      <c r="FY411" s="293">
        <v>34.1409768277097</v>
      </c>
      <c r="FZ411" s="293">
        <v>51.587092125766084</v>
      </c>
      <c r="GA411" s="293">
        <v>54.156510223755291</v>
      </c>
      <c r="GB411" s="293">
        <v>64.522391058925933</v>
      </c>
      <c r="GC411" s="293">
        <v>51.379938509455535</v>
      </c>
      <c r="GD411" s="293">
        <v>32.894609653005027</v>
      </c>
      <c r="GE411" s="293">
        <v>127.61318963777623</v>
      </c>
      <c r="GF411" s="293">
        <v>64.638842304396093</v>
      </c>
      <c r="GG411" s="293">
        <v>211.40135803759989</v>
      </c>
      <c r="GH411" s="293">
        <v>37.543484832671957</v>
      </c>
      <c r="GI411" s="293">
        <v>62.748726437076833</v>
      </c>
      <c r="GJ411" s="293">
        <v>33.99698954757698</v>
      </c>
      <c r="GK411" s="293">
        <v>31.0326441574929</v>
      </c>
      <c r="GL411" s="293">
        <v>54.975020401665994</v>
      </c>
      <c r="GM411" s="293">
        <v>31.0326441574929</v>
      </c>
      <c r="GN411" s="293">
        <v>58.862560093245818</v>
      </c>
      <c r="GO411" s="293">
        <v>36.823556696673975</v>
      </c>
      <c r="GP411" s="293">
        <v>35.848173299673974</v>
      </c>
      <c r="GQ411" s="293">
        <v>35.848173299673974</v>
      </c>
      <c r="GR411" s="293">
        <v>211.78476898054427</v>
      </c>
      <c r="GS411" s="293">
        <v>47.861229932689682</v>
      </c>
      <c r="GT411" s="293">
        <v>70.492758751144535</v>
      </c>
      <c r="GU411" s="293">
        <v>34.381813544500368</v>
      </c>
      <c r="GV411" s="293">
        <v>9.7639445017651276</v>
      </c>
      <c r="GW411" s="293">
        <v>127.49641382185916</v>
      </c>
      <c r="GX411" s="293">
        <v>14.899181219072448</v>
      </c>
      <c r="GY411" s="293">
        <v>22.534442006360759</v>
      </c>
      <c r="GZ411" s="293">
        <v>125.2904778409454</v>
      </c>
      <c r="HA411" s="293">
        <v>14.411668654781918</v>
      </c>
      <c r="HB411" s="293">
        <v>0</v>
      </c>
      <c r="HC411" s="293">
        <v>135.58406579948007</v>
      </c>
      <c r="HD411" s="293">
        <v>29.529508718633497</v>
      </c>
      <c r="HE411" s="293">
        <v>91.100709918904002</v>
      </c>
      <c r="HF411" s="293">
        <v>152.79918350532938</v>
      </c>
      <c r="HG411" s="293">
        <v>36.550565428489207</v>
      </c>
      <c r="HH411" s="293">
        <v>0</v>
      </c>
      <c r="HI411" s="293">
        <v>121.5161496827613</v>
      </c>
      <c r="HJ411" s="293">
        <v>34.237850121589396</v>
      </c>
      <c r="HK411" s="293">
        <v>6.9469754804080805</v>
      </c>
      <c r="HL411" s="293">
        <v>163.71812133269415</v>
      </c>
      <c r="HM411" s="293">
        <v>14.90240277279772</v>
      </c>
      <c r="HN411" s="293">
        <v>0</v>
      </c>
      <c r="HO411" s="293">
        <v>103.08538457683022</v>
      </c>
      <c r="HP411" s="293">
        <v>0</v>
      </c>
      <c r="HQ411" s="293">
        <v>6.5565700777080353</v>
      </c>
      <c r="HR411" s="293">
        <v>127.07845223580055</v>
      </c>
      <c r="HS411" s="293">
        <v>29.246894488254931</v>
      </c>
      <c r="HT411" s="293">
        <v>0</v>
      </c>
      <c r="HU411" s="293">
        <v>138.44185663837064</v>
      </c>
      <c r="HV411" s="293">
        <v>14.001812152559998</v>
      </c>
      <c r="HW411" s="293">
        <v>0</v>
      </c>
      <c r="HX411" s="293">
        <v>138.27739944207173</v>
      </c>
      <c r="HY411" s="293"/>
      <c r="KT411" s="280"/>
    </row>
    <row r="412" spans="1:306" outlineLevel="1">
      <c r="A412" s="96" t="s">
        <v>372</v>
      </c>
      <c r="B412" s="96" t="s">
        <v>338</v>
      </c>
      <c r="D412" s="320" t="s">
        <v>505</v>
      </c>
      <c r="E412" s="293"/>
      <c r="F412" s="293"/>
      <c r="G412" s="293"/>
      <c r="H412" s="293"/>
      <c r="I412" s="293"/>
      <c r="J412" s="293"/>
      <c r="K412" s="293"/>
      <c r="L412" s="293"/>
      <c r="M412" s="293"/>
      <c r="N412" s="293"/>
      <c r="O412" s="293"/>
      <c r="P412" s="293"/>
      <c r="Q412" s="293"/>
      <c r="R412" s="293"/>
      <c r="S412" s="293"/>
      <c r="T412" s="293"/>
      <c r="U412" s="293"/>
      <c r="V412" s="293"/>
      <c r="W412" s="293"/>
      <c r="X412" s="293"/>
      <c r="Y412" s="29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c r="BN412" s="293"/>
      <c r="BO412" s="293"/>
      <c r="BP412" s="293"/>
      <c r="BQ412" s="293"/>
      <c r="BR412" s="293"/>
      <c r="BS412" s="293"/>
      <c r="BT412" s="293"/>
      <c r="BU412" s="293"/>
      <c r="BV412" s="293"/>
      <c r="BW412" s="293"/>
      <c r="BX412" s="293"/>
      <c r="BY412" s="293"/>
      <c r="BZ412" s="293"/>
      <c r="CA412" s="293"/>
      <c r="CB412" s="293"/>
      <c r="CC412" s="293"/>
      <c r="CD412" s="293"/>
      <c r="CE412" s="294">
        <v>0</v>
      </c>
      <c r="CF412" s="293">
        <v>0</v>
      </c>
      <c r="CG412" s="293">
        <v>0</v>
      </c>
      <c r="CH412" s="293">
        <v>0</v>
      </c>
      <c r="CI412" s="293">
        <v>0</v>
      </c>
      <c r="CJ412" s="293">
        <v>0</v>
      </c>
      <c r="CK412" s="293">
        <v>0</v>
      </c>
      <c r="CL412" s="293">
        <v>0</v>
      </c>
      <c r="CM412" s="293">
        <v>0</v>
      </c>
      <c r="CN412" s="293">
        <v>0</v>
      </c>
      <c r="CO412" s="293">
        <v>0</v>
      </c>
      <c r="CP412" s="295">
        <v>0</v>
      </c>
      <c r="CQ412" s="293">
        <v>0</v>
      </c>
      <c r="CR412" s="293">
        <v>0</v>
      </c>
      <c r="CS412" s="293">
        <v>0</v>
      </c>
      <c r="CT412" s="293">
        <v>0</v>
      </c>
      <c r="CU412" s="293">
        <v>0</v>
      </c>
      <c r="CV412" s="293">
        <v>0</v>
      </c>
      <c r="CW412" s="293">
        <v>0</v>
      </c>
      <c r="CX412" s="293">
        <v>0</v>
      </c>
      <c r="CY412" s="293">
        <v>0</v>
      </c>
      <c r="CZ412" s="293">
        <v>0</v>
      </c>
      <c r="DA412" s="293">
        <v>0</v>
      </c>
      <c r="DB412" s="1288">
        <v>0</v>
      </c>
      <c r="DC412" s="293">
        <v>0</v>
      </c>
      <c r="DD412" s="293">
        <v>0</v>
      </c>
      <c r="DE412" s="293">
        <v>0</v>
      </c>
      <c r="DF412" s="293">
        <v>0</v>
      </c>
      <c r="DG412" s="293">
        <v>0</v>
      </c>
      <c r="DH412" s="293">
        <v>0</v>
      </c>
      <c r="DI412" s="293">
        <v>0</v>
      </c>
      <c r="DJ412" s="293">
        <v>0</v>
      </c>
      <c r="DK412" s="293">
        <v>0</v>
      </c>
      <c r="DL412" s="293">
        <v>0</v>
      </c>
      <c r="DM412" s="293">
        <v>0</v>
      </c>
      <c r="DN412" s="295">
        <v>0</v>
      </c>
      <c r="DO412" s="293">
        <v>0</v>
      </c>
      <c r="DP412" s="293">
        <v>0</v>
      </c>
      <c r="DQ412" s="293">
        <v>0</v>
      </c>
      <c r="DR412" s="293">
        <v>0</v>
      </c>
      <c r="DS412" s="293">
        <v>0</v>
      </c>
      <c r="DT412" s="293">
        <v>0</v>
      </c>
      <c r="DU412" s="293">
        <v>0</v>
      </c>
      <c r="DV412" s="293">
        <v>0</v>
      </c>
      <c r="DW412" s="293">
        <v>0</v>
      </c>
      <c r="DX412" s="293">
        <v>0</v>
      </c>
      <c r="DY412" s="293">
        <v>0</v>
      </c>
      <c r="DZ412" s="295">
        <v>0</v>
      </c>
      <c r="EA412" s="293">
        <v>0</v>
      </c>
      <c r="EB412" s="293">
        <v>0</v>
      </c>
      <c r="EC412" s="293">
        <v>0</v>
      </c>
      <c r="ED412" s="293">
        <v>0</v>
      </c>
      <c r="EE412" s="293">
        <v>0</v>
      </c>
      <c r="EF412" s="293">
        <v>0</v>
      </c>
      <c r="EG412" s="293">
        <v>0</v>
      </c>
      <c r="EH412" s="293">
        <v>0</v>
      </c>
      <c r="EI412" s="293">
        <v>0</v>
      </c>
      <c r="EJ412" s="293">
        <v>0</v>
      </c>
      <c r="EK412" s="293">
        <v>0</v>
      </c>
      <c r="EL412" s="295">
        <v>0</v>
      </c>
      <c r="EM412" s="293">
        <v>0</v>
      </c>
      <c r="EN412" s="293">
        <v>0</v>
      </c>
      <c r="EO412" s="293">
        <v>0</v>
      </c>
      <c r="EP412" s="293">
        <v>0</v>
      </c>
      <c r="EQ412" s="293">
        <v>0</v>
      </c>
      <c r="ER412" s="293">
        <v>0</v>
      </c>
      <c r="ES412" s="293">
        <v>0</v>
      </c>
      <c r="ET412" s="293">
        <v>0</v>
      </c>
      <c r="EU412" s="293">
        <v>0</v>
      </c>
      <c r="EV412" s="293">
        <v>0</v>
      </c>
      <c r="EW412" s="293">
        <v>0</v>
      </c>
      <c r="EX412" s="295">
        <v>0</v>
      </c>
      <c r="EY412" s="293">
        <v>0</v>
      </c>
      <c r="EZ412" s="293">
        <v>0</v>
      </c>
      <c r="FA412" s="293">
        <v>0</v>
      </c>
      <c r="FB412" s="293">
        <v>0</v>
      </c>
      <c r="FC412" s="293">
        <v>0</v>
      </c>
      <c r="FD412" s="293">
        <v>0</v>
      </c>
      <c r="FE412" s="293">
        <v>0</v>
      </c>
      <c r="FF412" s="293">
        <v>0</v>
      </c>
      <c r="FG412" s="293">
        <v>0</v>
      </c>
      <c r="FH412" s="293">
        <v>0</v>
      </c>
      <c r="FI412" s="293">
        <v>0</v>
      </c>
      <c r="FJ412" s="295">
        <v>0</v>
      </c>
      <c r="FK412" s="293">
        <v>0</v>
      </c>
      <c r="FL412" s="293">
        <v>0</v>
      </c>
      <c r="FM412" s="293">
        <v>0</v>
      </c>
      <c r="FN412" s="293">
        <v>0</v>
      </c>
      <c r="FO412" s="293">
        <v>0</v>
      </c>
      <c r="FP412" s="293">
        <v>0</v>
      </c>
      <c r="FQ412" s="293">
        <v>0</v>
      </c>
      <c r="FR412" s="293">
        <v>0</v>
      </c>
      <c r="FS412" s="293">
        <v>0</v>
      </c>
      <c r="FT412" s="293">
        <v>4.0488905105571265</v>
      </c>
      <c r="FU412" s="293">
        <v>0</v>
      </c>
      <c r="FV412" s="293">
        <v>0</v>
      </c>
      <c r="FW412" s="293">
        <v>0</v>
      </c>
      <c r="FX412" s="293">
        <v>0</v>
      </c>
      <c r="FY412" s="293">
        <v>0</v>
      </c>
      <c r="FZ412" s="293">
        <v>0</v>
      </c>
      <c r="GA412" s="293">
        <v>6.18907129997271</v>
      </c>
      <c r="GB412" s="293">
        <v>29.757070639362848</v>
      </c>
      <c r="GC412" s="293">
        <v>0</v>
      </c>
      <c r="GD412" s="293">
        <v>0</v>
      </c>
      <c r="GE412" s="293">
        <v>0</v>
      </c>
      <c r="GF412" s="293">
        <v>0</v>
      </c>
      <c r="GG412" s="293">
        <v>178.58328382937401</v>
      </c>
      <c r="GH412" s="293">
        <v>0</v>
      </c>
      <c r="GI412" s="293">
        <v>14.81502815</v>
      </c>
      <c r="GJ412" s="293">
        <v>14.81502815</v>
      </c>
      <c r="GK412" s="293">
        <v>14.81502815</v>
      </c>
      <c r="GL412" s="293">
        <v>20.359520180055206</v>
      </c>
      <c r="GM412" s="293">
        <v>14.81502815</v>
      </c>
      <c r="GN412" s="293">
        <v>27.663576914</v>
      </c>
      <c r="GO412" s="293">
        <v>26.330020899520001</v>
      </c>
      <c r="GP412" s="293">
        <v>26.330020899520001</v>
      </c>
      <c r="GQ412" s="293">
        <v>26.330020899520001</v>
      </c>
      <c r="GR412" s="293">
        <v>164.87697557811998</v>
      </c>
      <c r="GS412" s="293">
        <v>28.136248942555714</v>
      </c>
      <c r="GT412" s="293">
        <v>26.330020899520001</v>
      </c>
      <c r="GU412" s="293">
        <v>0</v>
      </c>
      <c r="GV412" s="293">
        <v>0</v>
      </c>
      <c r="GW412" s="293">
        <v>74.85618628968507</v>
      </c>
      <c r="GX412" s="293">
        <v>0</v>
      </c>
      <c r="GY412" s="293">
        <v>20.479901550034139</v>
      </c>
      <c r="GZ412" s="293">
        <v>72.266987752008589</v>
      </c>
      <c r="HA412" s="293">
        <v>0</v>
      </c>
      <c r="HB412" s="293">
        <v>0</v>
      </c>
      <c r="HC412" s="293">
        <v>87.700392731184422</v>
      </c>
      <c r="HD412" s="293">
        <v>0</v>
      </c>
      <c r="HE412" s="293">
        <v>81.742566145485355</v>
      </c>
      <c r="HF412" s="293">
        <v>86.715186151799713</v>
      </c>
      <c r="HG412" s="293">
        <v>0</v>
      </c>
      <c r="HH412" s="293">
        <v>0</v>
      </c>
      <c r="HI412" s="293">
        <v>76.674013141162661</v>
      </c>
      <c r="HJ412" s="293">
        <v>0</v>
      </c>
      <c r="HK412" s="293">
        <v>6.9469754804080805</v>
      </c>
      <c r="HL412" s="293">
        <v>105.77887260819162</v>
      </c>
      <c r="HM412" s="293">
        <v>0</v>
      </c>
      <c r="HN412" s="293">
        <v>0</v>
      </c>
      <c r="HO412" s="293">
        <v>67.522017559415104</v>
      </c>
      <c r="HP412" s="293">
        <v>0</v>
      </c>
      <c r="HQ412" s="293">
        <v>0</v>
      </c>
      <c r="HR412" s="293">
        <v>68.214742099381553</v>
      </c>
      <c r="HS412" s="293">
        <v>0</v>
      </c>
      <c r="HT412" s="293">
        <v>0</v>
      </c>
      <c r="HU412" s="293">
        <v>69.447124157592043</v>
      </c>
      <c r="HV412" s="293">
        <v>0</v>
      </c>
      <c r="HW412" s="293">
        <v>0</v>
      </c>
      <c r="HX412" s="293">
        <v>69.765940058209665</v>
      </c>
      <c r="HY412" s="293"/>
      <c r="KT412" s="280"/>
    </row>
    <row r="413" spans="1:306" outlineLevel="1">
      <c r="A413" s="96" t="s">
        <v>372</v>
      </c>
      <c r="B413" s="96" t="s">
        <v>338</v>
      </c>
      <c r="D413" s="321" t="s">
        <v>506</v>
      </c>
      <c r="E413" s="293"/>
      <c r="F413" s="293"/>
      <c r="G413" s="293"/>
      <c r="H413" s="293"/>
      <c r="I413" s="293"/>
      <c r="J413" s="293"/>
      <c r="K413" s="293"/>
      <c r="L413" s="293"/>
      <c r="M413" s="293"/>
      <c r="N413" s="293"/>
      <c r="O413" s="293"/>
      <c r="P413" s="293"/>
      <c r="Q413" s="293"/>
      <c r="R413" s="293"/>
      <c r="S413" s="293"/>
      <c r="T413" s="293"/>
      <c r="U413" s="293"/>
      <c r="V413" s="293"/>
      <c r="W413" s="293"/>
      <c r="X413" s="293"/>
      <c r="Y413" s="29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c r="BN413" s="293"/>
      <c r="BO413" s="293"/>
      <c r="BP413" s="293"/>
      <c r="BQ413" s="293"/>
      <c r="BR413" s="293"/>
      <c r="BS413" s="293"/>
      <c r="BT413" s="293"/>
      <c r="BU413" s="293"/>
      <c r="BV413" s="293"/>
      <c r="BW413" s="293"/>
      <c r="BX413" s="293"/>
      <c r="BY413" s="293"/>
      <c r="BZ413" s="293"/>
      <c r="CA413" s="293"/>
      <c r="CB413" s="293"/>
      <c r="CC413" s="293"/>
      <c r="CD413" s="293"/>
      <c r="CE413" s="293">
        <v>0</v>
      </c>
      <c r="CF413" s="293">
        <v>0</v>
      </c>
      <c r="CG413" s="293">
        <v>0</v>
      </c>
      <c r="CH413" s="293">
        <v>0</v>
      </c>
      <c r="CI413" s="293">
        <v>0</v>
      </c>
      <c r="CJ413" s="293">
        <v>0</v>
      </c>
      <c r="CK413" s="293">
        <v>0</v>
      </c>
      <c r="CL413" s="293">
        <v>0</v>
      </c>
      <c r="CM413" s="293">
        <v>0</v>
      </c>
      <c r="CN413" s="293">
        <v>0</v>
      </c>
      <c r="CO413" s="293">
        <v>0</v>
      </c>
      <c r="CP413" s="295">
        <v>0</v>
      </c>
      <c r="CQ413" s="293">
        <v>0</v>
      </c>
      <c r="CR413" s="293">
        <v>0</v>
      </c>
      <c r="CS413" s="293">
        <v>0</v>
      </c>
      <c r="CT413" s="293">
        <v>0</v>
      </c>
      <c r="CU413" s="293">
        <v>0</v>
      </c>
      <c r="CV413" s="293">
        <v>0</v>
      </c>
      <c r="CW413" s="293">
        <v>0</v>
      </c>
      <c r="CX413" s="293">
        <v>0</v>
      </c>
      <c r="CY413" s="293">
        <v>0</v>
      </c>
      <c r="CZ413" s="293">
        <v>0</v>
      </c>
      <c r="DA413" s="293">
        <v>0</v>
      </c>
      <c r="DB413" s="1288">
        <v>0</v>
      </c>
      <c r="DC413" s="293">
        <v>0</v>
      </c>
      <c r="DD413" s="293">
        <v>0</v>
      </c>
      <c r="DE413" s="293">
        <v>0</v>
      </c>
      <c r="DF413" s="293">
        <v>0</v>
      </c>
      <c r="DG413" s="293">
        <v>0</v>
      </c>
      <c r="DH413" s="293">
        <v>0</v>
      </c>
      <c r="DI413" s="293">
        <v>0</v>
      </c>
      <c r="DJ413" s="293">
        <v>0</v>
      </c>
      <c r="DK413" s="293">
        <v>0</v>
      </c>
      <c r="DL413" s="293">
        <v>0</v>
      </c>
      <c r="DM413" s="293">
        <v>0</v>
      </c>
      <c r="DN413" s="295">
        <v>0</v>
      </c>
      <c r="DO413" s="293">
        <v>16.600601300289206</v>
      </c>
      <c r="DP413" s="293">
        <v>6.15912446300276</v>
      </c>
      <c r="DQ413" s="293">
        <v>0.36889618367652649</v>
      </c>
      <c r="DR413" s="293">
        <v>0.3018041686636207</v>
      </c>
      <c r="DS413" s="293">
        <v>7.0875698198049868</v>
      </c>
      <c r="DT413" s="293">
        <v>27.439521254223713</v>
      </c>
      <c r="DU413" s="293">
        <v>5.179773115333397E-2</v>
      </c>
      <c r="DV413" s="293">
        <v>5.8007764595570457E-2</v>
      </c>
      <c r="DW413" s="293">
        <v>10.541360405145587</v>
      </c>
      <c r="DX413" s="293">
        <v>2.0703769716469367E-2</v>
      </c>
      <c r="DY413" s="293">
        <v>4.4983689553372501E-2</v>
      </c>
      <c r="DZ413" s="295">
        <v>0.19766063222458286</v>
      </c>
      <c r="EA413" s="293">
        <v>5.89555870610981</v>
      </c>
      <c r="EB413" s="293">
        <v>6.4121414643872559</v>
      </c>
      <c r="EC413" s="293">
        <v>6.3896163980000003</v>
      </c>
      <c r="ED413" s="293">
        <v>4.8874335853238193E-2</v>
      </c>
      <c r="EE413" s="293">
        <v>5.1864803727297613</v>
      </c>
      <c r="EF413" s="293">
        <v>16.549897689864551</v>
      </c>
      <c r="EG413" s="293">
        <v>11.749718728585187</v>
      </c>
      <c r="EH413" s="293">
        <v>0.10086442254855665</v>
      </c>
      <c r="EI413" s="293">
        <v>2.681430422759524</v>
      </c>
      <c r="EJ413" s="293">
        <v>7.1357226622450884</v>
      </c>
      <c r="EK413" s="293">
        <v>5.0993692085567657E-2</v>
      </c>
      <c r="EL413" s="295">
        <v>0.7199081113879362</v>
      </c>
      <c r="EM413" s="293">
        <v>2.1782744436593422</v>
      </c>
      <c r="EN413" s="293">
        <v>4.4297227553648515</v>
      </c>
      <c r="EO413" s="293">
        <v>9.8563909410486317E-2</v>
      </c>
      <c r="EP413" s="293">
        <v>2.364907381854027E-2</v>
      </c>
      <c r="EQ413" s="293">
        <v>2.350520414</v>
      </c>
      <c r="ER413" s="293">
        <v>7.9641907069496227</v>
      </c>
      <c r="ES413" s="293">
        <v>1.0648808655175259E-2</v>
      </c>
      <c r="ET413" s="293">
        <v>6.6596087007049165E-2</v>
      </c>
      <c r="EU413" s="293">
        <v>9.7848614553610838E-2</v>
      </c>
      <c r="EV413" s="293">
        <v>1.442574663636075</v>
      </c>
      <c r="EW413" s="293">
        <v>0</v>
      </c>
      <c r="EX413" s="295">
        <v>0.21532801592438158</v>
      </c>
      <c r="EY413" s="293">
        <v>0</v>
      </c>
      <c r="EZ413" s="293">
        <v>0</v>
      </c>
      <c r="FA413" s="293">
        <v>9.608507644444737</v>
      </c>
      <c r="FB413" s="293">
        <v>0</v>
      </c>
      <c r="FC413" s="293">
        <v>0</v>
      </c>
      <c r="FD413" s="293">
        <v>6.3793097794931803</v>
      </c>
      <c r="FE413" s="293">
        <v>0</v>
      </c>
      <c r="FF413" s="293">
        <v>0</v>
      </c>
      <c r="FG413" s="293">
        <v>0</v>
      </c>
      <c r="FH413" s="293">
        <v>3.2316815069999998</v>
      </c>
      <c r="FI413" s="293">
        <v>0</v>
      </c>
      <c r="FJ413" s="295">
        <v>4.9663468379999998</v>
      </c>
      <c r="FK413" s="293">
        <v>0</v>
      </c>
      <c r="FL413" s="293">
        <v>0</v>
      </c>
      <c r="FM413" s="293">
        <v>0</v>
      </c>
      <c r="FN413" s="293">
        <v>0</v>
      </c>
      <c r="FO413" s="293">
        <v>0</v>
      </c>
      <c r="FP413" s="293">
        <v>0</v>
      </c>
      <c r="FQ413" s="293">
        <v>0</v>
      </c>
      <c r="FR413" s="293">
        <v>0</v>
      </c>
      <c r="FS413" s="293">
        <v>0</v>
      </c>
      <c r="FT413" s="293">
        <v>4.0488905105571265</v>
      </c>
      <c r="FU413" s="293">
        <v>0</v>
      </c>
      <c r="FV413" s="293">
        <v>0</v>
      </c>
      <c r="FW413" s="293">
        <v>0</v>
      </c>
      <c r="FX413" s="293">
        <v>0</v>
      </c>
      <c r="FY413" s="293">
        <v>0</v>
      </c>
      <c r="FZ413" s="293">
        <v>0</v>
      </c>
      <c r="GA413" s="293">
        <v>6.18907129997271</v>
      </c>
      <c r="GB413" s="293">
        <v>29.757070639362848</v>
      </c>
      <c r="GC413" s="293">
        <v>0</v>
      </c>
      <c r="GD413" s="293">
        <v>0</v>
      </c>
      <c r="GE413" s="293">
        <v>0</v>
      </c>
      <c r="GF413" s="293">
        <v>0</v>
      </c>
      <c r="GG413" s="293">
        <v>178.58328382937401</v>
      </c>
      <c r="GH413" s="293">
        <v>0</v>
      </c>
      <c r="GI413" s="293">
        <v>0</v>
      </c>
      <c r="GJ413" s="293">
        <v>0</v>
      </c>
      <c r="GK413" s="293">
        <v>0</v>
      </c>
      <c r="GL413" s="293">
        <v>5.5444920300552072</v>
      </c>
      <c r="GM413" s="293">
        <v>0</v>
      </c>
      <c r="GN413" s="293">
        <v>12.848548764</v>
      </c>
      <c r="GO413" s="293">
        <v>0</v>
      </c>
      <c r="GP413" s="293">
        <v>0</v>
      </c>
      <c r="GQ413" s="293">
        <v>0</v>
      </c>
      <c r="GR413" s="293">
        <v>138.5469546786</v>
      </c>
      <c r="GS413" s="293">
        <v>1.806228043035714</v>
      </c>
      <c r="GT413" s="293">
        <v>0</v>
      </c>
      <c r="GU413" s="293">
        <v>0</v>
      </c>
      <c r="GV413" s="293">
        <v>0</v>
      </c>
      <c r="GW413" s="293">
        <v>2.5891985376764812</v>
      </c>
      <c r="GX413" s="293">
        <v>0</v>
      </c>
      <c r="GY413" s="293">
        <v>20.479901550034139</v>
      </c>
      <c r="GZ413" s="293">
        <v>0</v>
      </c>
      <c r="HA413" s="293">
        <v>0</v>
      </c>
      <c r="HB413" s="293">
        <v>0</v>
      </c>
      <c r="HC413" s="293">
        <v>0.98520657938470313</v>
      </c>
      <c r="HD413" s="293">
        <v>0</v>
      </c>
      <c r="HE413" s="293">
        <v>81.742566145485355</v>
      </c>
      <c r="HF413" s="293">
        <v>0</v>
      </c>
      <c r="HG413" s="293">
        <v>0</v>
      </c>
      <c r="HH413" s="293">
        <v>0</v>
      </c>
      <c r="HI413" s="293">
        <v>0</v>
      </c>
      <c r="HJ413" s="293">
        <v>0</v>
      </c>
      <c r="HK413" s="293">
        <v>6.9469754804080805</v>
      </c>
      <c r="HL413" s="293">
        <v>29.104859467028962</v>
      </c>
      <c r="HM413" s="293">
        <v>0</v>
      </c>
      <c r="HN413" s="293">
        <v>0</v>
      </c>
      <c r="HO413" s="293">
        <v>0</v>
      </c>
      <c r="HP413" s="293">
        <v>0</v>
      </c>
      <c r="HQ413" s="293">
        <v>0</v>
      </c>
      <c r="HR413" s="293">
        <v>0</v>
      </c>
      <c r="HS413" s="293">
        <v>0</v>
      </c>
      <c r="HT413" s="293">
        <v>0</v>
      </c>
      <c r="HU413" s="293">
        <v>0</v>
      </c>
      <c r="HV413" s="293">
        <v>0</v>
      </c>
      <c r="HW413" s="293">
        <v>0</v>
      </c>
      <c r="HX413" s="293">
        <v>0</v>
      </c>
      <c r="HY413" s="293"/>
      <c r="KT413" s="280"/>
    </row>
    <row r="414" spans="1:306" outlineLevel="1">
      <c r="A414" s="96" t="s">
        <v>372</v>
      </c>
      <c r="B414" s="96" t="s">
        <v>338</v>
      </c>
      <c r="D414" s="321" t="s">
        <v>507</v>
      </c>
      <c r="E414" s="293"/>
      <c r="F414" s="293"/>
      <c r="G414" s="293"/>
      <c r="H414" s="293"/>
      <c r="I414" s="293"/>
      <c r="J414" s="293"/>
      <c r="K414" s="293"/>
      <c r="L414" s="293"/>
      <c r="M414" s="293"/>
      <c r="N414" s="293"/>
      <c r="O414" s="293"/>
      <c r="P414" s="293"/>
      <c r="Q414" s="293"/>
      <c r="R414" s="293"/>
      <c r="S414" s="293"/>
      <c r="T414" s="293"/>
      <c r="U414" s="293"/>
      <c r="V414" s="293"/>
      <c r="W414" s="293"/>
      <c r="X414" s="293"/>
      <c r="Y414" s="29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c r="BN414" s="293"/>
      <c r="BO414" s="293"/>
      <c r="BP414" s="293"/>
      <c r="BQ414" s="293"/>
      <c r="BR414" s="293"/>
      <c r="BS414" s="293"/>
      <c r="BT414" s="293"/>
      <c r="BU414" s="293"/>
      <c r="BV414" s="293"/>
      <c r="BW414" s="293"/>
      <c r="BX414" s="293"/>
      <c r="BY414" s="293"/>
      <c r="BZ414" s="293"/>
      <c r="CA414" s="293"/>
      <c r="CB414" s="293"/>
      <c r="CC414" s="293"/>
      <c r="CD414" s="293"/>
      <c r="CE414" s="293">
        <v>0</v>
      </c>
      <c r="CF414" s="293">
        <v>0</v>
      </c>
      <c r="CG414" s="293">
        <v>0</v>
      </c>
      <c r="CH414" s="293">
        <v>0</v>
      </c>
      <c r="CI414" s="293">
        <v>0</v>
      </c>
      <c r="CJ414" s="293">
        <v>0</v>
      </c>
      <c r="CK414" s="293">
        <v>0</v>
      </c>
      <c r="CL414" s="293">
        <v>0</v>
      </c>
      <c r="CM414" s="293">
        <v>0</v>
      </c>
      <c r="CN414" s="293">
        <v>0</v>
      </c>
      <c r="CO414" s="293">
        <v>0</v>
      </c>
      <c r="CP414" s="295">
        <v>0</v>
      </c>
      <c r="CQ414" s="293">
        <v>0</v>
      </c>
      <c r="CR414" s="293">
        <v>0</v>
      </c>
      <c r="CS414" s="293">
        <v>0</v>
      </c>
      <c r="CT414" s="293">
        <v>0</v>
      </c>
      <c r="CU414" s="293">
        <v>0</v>
      </c>
      <c r="CV414" s="293">
        <v>0</v>
      </c>
      <c r="CW414" s="293">
        <v>0</v>
      </c>
      <c r="CX414" s="293">
        <v>0</v>
      </c>
      <c r="CY414" s="293">
        <v>0</v>
      </c>
      <c r="CZ414" s="293">
        <v>0</v>
      </c>
      <c r="DA414" s="293">
        <v>0</v>
      </c>
      <c r="DB414" s="1288">
        <v>0</v>
      </c>
      <c r="DC414" s="293">
        <v>0</v>
      </c>
      <c r="DD414" s="293">
        <v>0</v>
      </c>
      <c r="DE414" s="293">
        <v>0</v>
      </c>
      <c r="DF414" s="293">
        <v>0</v>
      </c>
      <c r="DG414" s="293">
        <v>0</v>
      </c>
      <c r="DH414" s="293">
        <v>0</v>
      </c>
      <c r="DI414" s="293">
        <v>0</v>
      </c>
      <c r="DJ414" s="293">
        <v>0</v>
      </c>
      <c r="DK414" s="293">
        <v>0</v>
      </c>
      <c r="DL414" s="293">
        <v>0</v>
      </c>
      <c r="DM414" s="293">
        <v>0</v>
      </c>
      <c r="DN414" s="295">
        <v>0</v>
      </c>
      <c r="DO414" s="293">
        <v>0</v>
      </c>
      <c r="DP414" s="293">
        <v>0</v>
      </c>
      <c r="DQ414" s="293">
        <v>0</v>
      </c>
      <c r="DR414" s="293">
        <v>0</v>
      </c>
      <c r="DS414" s="293">
        <v>0</v>
      </c>
      <c r="DT414" s="293">
        <v>0</v>
      </c>
      <c r="DU414" s="293">
        <v>0</v>
      </c>
      <c r="DV414" s="293">
        <v>0</v>
      </c>
      <c r="DW414" s="293">
        <v>0</v>
      </c>
      <c r="DX414" s="293">
        <v>0</v>
      </c>
      <c r="DY414" s="293">
        <v>0</v>
      </c>
      <c r="DZ414" s="295">
        <v>0</v>
      </c>
      <c r="EA414" s="293">
        <v>0</v>
      </c>
      <c r="EB414" s="293">
        <v>0</v>
      </c>
      <c r="EC414" s="293">
        <v>0</v>
      </c>
      <c r="ED414" s="293">
        <v>0</v>
      </c>
      <c r="EE414" s="293">
        <v>0</v>
      </c>
      <c r="EF414" s="293">
        <v>0</v>
      </c>
      <c r="EG414" s="293">
        <v>0</v>
      </c>
      <c r="EH414" s="293">
        <v>0</v>
      </c>
      <c r="EI414" s="293">
        <v>0</v>
      </c>
      <c r="EJ414" s="293">
        <v>0</v>
      </c>
      <c r="EK414" s="293">
        <v>0</v>
      </c>
      <c r="EL414" s="295">
        <v>0</v>
      </c>
      <c r="EM414" s="293">
        <v>0</v>
      </c>
      <c r="EN414" s="293">
        <v>0</v>
      </c>
      <c r="EO414" s="293">
        <v>0</v>
      </c>
      <c r="EP414" s="293">
        <v>0</v>
      </c>
      <c r="EQ414" s="293">
        <v>0</v>
      </c>
      <c r="ER414" s="293">
        <v>0</v>
      </c>
      <c r="ES414" s="293">
        <v>0</v>
      </c>
      <c r="ET414" s="293">
        <v>0</v>
      </c>
      <c r="EU414" s="293">
        <v>0</v>
      </c>
      <c r="EV414" s="293">
        <v>0</v>
      </c>
      <c r="EW414" s="293">
        <v>0</v>
      </c>
      <c r="EX414" s="295">
        <v>0</v>
      </c>
      <c r="EY414" s="293">
        <v>0</v>
      </c>
      <c r="EZ414" s="293">
        <v>0</v>
      </c>
      <c r="FA414" s="293">
        <v>0</v>
      </c>
      <c r="FB414" s="293">
        <v>0</v>
      </c>
      <c r="FC414" s="293">
        <v>0</v>
      </c>
      <c r="FD414" s="293">
        <v>0</v>
      </c>
      <c r="FE414" s="293">
        <v>0</v>
      </c>
      <c r="FF414" s="293">
        <v>0</v>
      </c>
      <c r="FG414" s="293">
        <v>0</v>
      </c>
      <c r="FH414" s="293">
        <v>0</v>
      </c>
      <c r="FI414" s="293">
        <v>0</v>
      </c>
      <c r="FJ414" s="295">
        <v>0</v>
      </c>
      <c r="FK414" s="293">
        <v>0</v>
      </c>
      <c r="FL414" s="293">
        <v>0</v>
      </c>
      <c r="FM414" s="293">
        <v>0</v>
      </c>
      <c r="FN414" s="293">
        <v>0</v>
      </c>
      <c r="FO414" s="293">
        <v>0</v>
      </c>
      <c r="FP414" s="293">
        <v>0</v>
      </c>
      <c r="FQ414" s="293">
        <v>0</v>
      </c>
      <c r="FR414" s="293">
        <v>0</v>
      </c>
      <c r="FS414" s="293">
        <v>0</v>
      </c>
      <c r="FT414" s="293">
        <v>0</v>
      </c>
      <c r="FU414" s="293">
        <v>0</v>
      </c>
      <c r="FV414" s="293">
        <v>0</v>
      </c>
      <c r="FW414" s="293">
        <v>0</v>
      </c>
      <c r="FX414" s="293">
        <v>0</v>
      </c>
      <c r="FY414" s="293">
        <v>0</v>
      </c>
      <c r="FZ414" s="293">
        <v>0</v>
      </c>
      <c r="GA414" s="293">
        <v>0</v>
      </c>
      <c r="GB414" s="293">
        <v>0</v>
      </c>
      <c r="GC414" s="293">
        <v>0</v>
      </c>
      <c r="GD414" s="293">
        <v>0</v>
      </c>
      <c r="GE414" s="293">
        <v>0</v>
      </c>
      <c r="GF414" s="293">
        <v>0</v>
      </c>
      <c r="GG414" s="293">
        <v>0</v>
      </c>
      <c r="GH414" s="293">
        <v>0</v>
      </c>
      <c r="GI414" s="293">
        <v>14.81502815</v>
      </c>
      <c r="GJ414" s="293">
        <v>14.81502815</v>
      </c>
      <c r="GK414" s="293">
        <v>14.81502815</v>
      </c>
      <c r="GL414" s="293">
        <v>14.81502815</v>
      </c>
      <c r="GM414" s="293">
        <v>14.81502815</v>
      </c>
      <c r="GN414" s="293">
        <v>14.81502815</v>
      </c>
      <c r="GO414" s="293">
        <v>26.330020899520001</v>
      </c>
      <c r="GP414" s="293">
        <v>26.330020899520001</v>
      </c>
      <c r="GQ414" s="293">
        <v>26.330020899520001</v>
      </c>
      <c r="GR414" s="293">
        <v>26.330020899520001</v>
      </c>
      <c r="GS414" s="293">
        <v>26.330020899520001</v>
      </c>
      <c r="GT414" s="293">
        <v>26.330020899520001</v>
      </c>
      <c r="GU414" s="293">
        <v>0</v>
      </c>
      <c r="GV414" s="293">
        <v>0</v>
      </c>
      <c r="GW414" s="293">
        <v>72.266987752008589</v>
      </c>
      <c r="GX414" s="293">
        <v>0</v>
      </c>
      <c r="GY414" s="293">
        <v>0</v>
      </c>
      <c r="GZ414" s="293">
        <v>72.266987752008589</v>
      </c>
      <c r="HA414" s="293">
        <v>0</v>
      </c>
      <c r="HB414" s="293">
        <v>0</v>
      </c>
      <c r="HC414" s="293">
        <v>86.715186151799713</v>
      </c>
      <c r="HD414" s="293">
        <v>0</v>
      </c>
      <c r="HE414" s="293">
        <v>0</v>
      </c>
      <c r="HF414" s="293">
        <v>86.715186151799713</v>
      </c>
      <c r="HG414" s="293">
        <v>0</v>
      </c>
      <c r="HH414" s="293">
        <v>0</v>
      </c>
      <c r="HI414" s="293">
        <v>76.674013141162661</v>
      </c>
      <c r="HJ414" s="293">
        <v>0</v>
      </c>
      <c r="HK414" s="293">
        <v>0</v>
      </c>
      <c r="HL414" s="293">
        <v>76.674013141162661</v>
      </c>
      <c r="HM414" s="293">
        <v>0</v>
      </c>
      <c r="HN414" s="293">
        <v>0</v>
      </c>
      <c r="HO414" s="293">
        <v>67.522017559415104</v>
      </c>
      <c r="HP414" s="293">
        <v>0</v>
      </c>
      <c r="HQ414" s="293">
        <v>0</v>
      </c>
      <c r="HR414" s="293">
        <v>68.214742099381553</v>
      </c>
      <c r="HS414" s="293">
        <v>0</v>
      </c>
      <c r="HT414" s="293">
        <v>0</v>
      </c>
      <c r="HU414" s="293">
        <v>69.447124157592043</v>
      </c>
      <c r="HV414" s="293">
        <v>0</v>
      </c>
      <c r="HW414" s="293">
        <v>0</v>
      </c>
      <c r="HX414" s="293">
        <v>69.765940058209665</v>
      </c>
      <c r="HY414" s="293"/>
      <c r="KT414" s="280"/>
    </row>
    <row r="415" spans="1:306" outlineLevel="1">
      <c r="A415" s="96" t="s">
        <v>372</v>
      </c>
      <c r="B415" s="96" t="s">
        <v>338</v>
      </c>
      <c r="D415" s="320" t="s">
        <v>508</v>
      </c>
      <c r="E415" s="293"/>
      <c r="F415" s="293"/>
      <c r="G415" s="293"/>
      <c r="H415" s="293"/>
      <c r="I415" s="293"/>
      <c r="J415" s="293"/>
      <c r="K415" s="293"/>
      <c r="L415" s="293"/>
      <c r="M415" s="293"/>
      <c r="N415" s="293"/>
      <c r="O415" s="293"/>
      <c r="P415" s="293"/>
      <c r="Q415" s="293"/>
      <c r="R415" s="293"/>
      <c r="S415" s="293"/>
      <c r="T415" s="293"/>
      <c r="U415" s="293"/>
      <c r="V415" s="293"/>
      <c r="W415" s="293"/>
      <c r="X415" s="293"/>
      <c r="Y415" s="29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c r="BN415" s="293"/>
      <c r="BO415" s="293"/>
      <c r="BP415" s="293"/>
      <c r="BQ415" s="293"/>
      <c r="BR415" s="293"/>
      <c r="BS415" s="293"/>
      <c r="BT415" s="293"/>
      <c r="BU415" s="293"/>
      <c r="BV415" s="293"/>
      <c r="BW415" s="293"/>
      <c r="BX415" s="293"/>
      <c r="BY415" s="293"/>
      <c r="BZ415" s="293"/>
      <c r="CA415" s="293"/>
      <c r="CB415" s="293"/>
      <c r="CC415" s="293"/>
      <c r="CD415" s="293"/>
      <c r="CE415" s="294">
        <v>31.294496220706698</v>
      </c>
      <c r="CF415" s="293">
        <v>38.849477566021811</v>
      </c>
      <c r="CG415" s="293">
        <v>76.031701622894502</v>
      </c>
      <c r="CH415" s="293">
        <v>48.3828124680496</v>
      </c>
      <c r="CI415" s="293">
        <v>36.012732783613451</v>
      </c>
      <c r="CJ415" s="293">
        <v>62.84400919591495</v>
      </c>
      <c r="CK415" s="293">
        <v>22.369328398681304</v>
      </c>
      <c r="CL415" s="293">
        <v>15.370313869472696</v>
      </c>
      <c r="CM415" s="293">
        <v>15.260357731845993</v>
      </c>
      <c r="CN415" s="293">
        <v>60.223322623538365</v>
      </c>
      <c r="CO415" s="293">
        <v>36.611849603410164</v>
      </c>
      <c r="CP415" s="295">
        <v>31.066255138470598</v>
      </c>
      <c r="CQ415" s="293">
        <v>34.448433302576923</v>
      </c>
      <c r="CR415" s="293">
        <v>20.63533699242986</v>
      </c>
      <c r="CS415" s="293">
        <v>32.087946900292721</v>
      </c>
      <c r="CT415" s="293">
        <v>27.612034403931105</v>
      </c>
      <c r="CU415" s="293">
        <v>37.436683176818299</v>
      </c>
      <c r="CV415" s="293">
        <v>88.698945014422492</v>
      </c>
      <c r="CW415" s="293">
        <v>19.204165503062438</v>
      </c>
      <c r="CX415" s="293">
        <v>20.746947771968358</v>
      </c>
      <c r="CY415" s="293">
        <v>35.869115706465713</v>
      </c>
      <c r="CZ415" s="293">
        <v>25.985062782443698</v>
      </c>
      <c r="DA415" s="293">
        <v>51.924950351204735</v>
      </c>
      <c r="DB415" s="1288">
        <v>21.277785089683185</v>
      </c>
      <c r="DC415" s="293">
        <v>31.952444359087636</v>
      </c>
      <c r="DD415" s="293">
        <v>25.176932769502265</v>
      </c>
      <c r="DE415" s="293">
        <v>37.733474002093303</v>
      </c>
      <c r="DF415" s="293">
        <v>10.630564396348262</v>
      </c>
      <c r="DG415" s="293">
        <v>42.242365627815268</v>
      </c>
      <c r="DH415" s="293">
        <v>51.857928151955861</v>
      </c>
      <c r="DI415" s="293">
        <v>10.091643304932198</v>
      </c>
      <c r="DJ415" s="293">
        <v>14.552678703328509</v>
      </c>
      <c r="DK415" s="293">
        <v>15.303282783798712</v>
      </c>
      <c r="DL415" s="293">
        <v>65.287056068877121</v>
      </c>
      <c r="DM415" s="293">
        <v>19.525803094469907</v>
      </c>
      <c r="DN415" s="295">
        <v>49.359432531340339</v>
      </c>
      <c r="DO415" s="293">
        <v>16.821842926668246</v>
      </c>
      <c r="DP415" s="293">
        <v>12.133511288417928</v>
      </c>
      <c r="DQ415" s="293">
        <v>12.10521743976989</v>
      </c>
      <c r="DR415" s="293">
        <v>3.2359692316649102</v>
      </c>
      <c r="DS415" s="293">
        <v>24.265521834424653</v>
      </c>
      <c r="DT415" s="293">
        <v>38.69634425486683</v>
      </c>
      <c r="DU415" s="293">
        <v>26.861476736151836</v>
      </c>
      <c r="DV415" s="293">
        <v>15.698929868479176</v>
      </c>
      <c r="DW415" s="293">
        <v>9.9379293873689836</v>
      </c>
      <c r="DX415" s="293">
        <v>18.107965103232981</v>
      </c>
      <c r="DY415" s="293">
        <v>11.606604623025165</v>
      </c>
      <c r="DZ415" s="295">
        <v>71.838740070398202</v>
      </c>
      <c r="EA415" s="293">
        <v>28.478469199581948</v>
      </c>
      <c r="EB415" s="293">
        <v>13.523021116010485</v>
      </c>
      <c r="EC415" s="293">
        <v>18.953049629910502</v>
      </c>
      <c r="ED415" s="293">
        <v>23.298000892212691</v>
      </c>
      <c r="EE415" s="293">
        <v>23.161700240021034</v>
      </c>
      <c r="EF415" s="293">
        <v>46.878481637633797</v>
      </c>
      <c r="EG415" s="293">
        <v>35.474939126189987</v>
      </c>
      <c r="EH415" s="293">
        <v>15.9798820219416</v>
      </c>
      <c r="EI415" s="293">
        <v>34.631168591869212</v>
      </c>
      <c r="EJ415" s="293">
        <v>17.3529972263057</v>
      </c>
      <c r="EK415" s="293">
        <v>8.0850167052850175</v>
      </c>
      <c r="EL415" s="295">
        <v>30.170743475192022</v>
      </c>
      <c r="EM415" s="293">
        <v>21.744780747851884</v>
      </c>
      <c r="EN415" s="293">
        <v>28.582831360647518</v>
      </c>
      <c r="EO415" s="293">
        <v>32.06137583228977</v>
      </c>
      <c r="EP415" s="293">
        <v>25.689925104930648</v>
      </c>
      <c r="EQ415" s="293">
        <v>6.238642488411001</v>
      </c>
      <c r="ER415" s="293">
        <v>103.18971067895137</v>
      </c>
      <c r="ES415" s="293">
        <v>25.794172349091561</v>
      </c>
      <c r="ET415" s="293">
        <v>40.194968139461167</v>
      </c>
      <c r="EU415" s="293">
        <v>26.318875862817901</v>
      </c>
      <c r="EV415" s="293">
        <v>30.464400599917024</v>
      </c>
      <c r="EW415" s="293">
        <v>9.2735813359162655</v>
      </c>
      <c r="EX415" s="295">
        <v>26.318875862950499</v>
      </c>
      <c r="EY415" s="293">
        <v>32.241833855093404</v>
      </c>
      <c r="EZ415" s="293">
        <v>19.120340874614172</v>
      </c>
      <c r="FA415" s="293">
        <v>32.476259949591501</v>
      </c>
      <c r="FB415" s="293">
        <v>17.141012261463228</v>
      </c>
      <c r="FC415" s="293">
        <v>28.591621457094867</v>
      </c>
      <c r="FD415" s="293">
        <v>74.910884488121596</v>
      </c>
      <c r="FE415" s="293">
        <v>18.57477772208745</v>
      </c>
      <c r="FF415" s="293">
        <v>40.829624657206764</v>
      </c>
      <c r="FG415" s="293">
        <v>23.485399915408056</v>
      </c>
      <c r="FH415" s="293">
        <v>40.202751746070916</v>
      </c>
      <c r="FI415" s="293">
        <v>25.711020665681996</v>
      </c>
      <c r="FJ415" s="295">
        <v>60.087031282495659</v>
      </c>
      <c r="FK415" s="293">
        <v>18.016468952481294</v>
      </c>
      <c r="FL415" s="293">
        <v>22.038160849417618</v>
      </c>
      <c r="FM415" s="293">
        <v>85.114840036842878</v>
      </c>
      <c r="FN415" s="293">
        <v>55.795753342564119</v>
      </c>
      <c r="FO415" s="293">
        <v>24.596989962932081</v>
      </c>
      <c r="FP415" s="293">
        <v>52.943284085381222</v>
      </c>
      <c r="FQ415" s="293">
        <v>26.0973223375467</v>
      </c>
      <c r="FR415" s="293">
        <v>26.0973223375467</v>
      </c>
      <c r="FS415" s="293">
        <v>101.97518335178538</v>
      </c>
      <c r="FT415" s="293">
        <v>36.043364572106718</v>
      </c>
      <c r="FU415" s="293">
        <v>26.540783368213397</v>
      </c>
      <c r="FV415" s="293">
        <v>81.779804093706915</v>
      </c>
      <c r="FW415" s="293">
        <v>25.536817192198459</v>
      </c>
      <c r="FX415" s="293">
        <v>68.769149023021257</v>
      </c>
      <c r="FY415" s="293">
        <v>34.1409768277097</v>
      </c>
      <c r="FZ415" s="293">
        <v>51.587092125766084</v>
      </c>
      <c r="GA415" s="293">
        <v>47.967438923782581</v>
      </c>
      <c r="GB415" s="293">
        <v>34.765320419563082</v>
      </c>
      <c r="GC415" s="293">
        <v>51.379938509455535</v>
      </c>
      <c r="GD415" s="293">
        <v>32.894609653005027</v>
      </c>
      <c r="GE415" s="293">
        <v>127.61318963777623</v>
      </c>
      <c r="GF415" s="293">
        <v>64.638842304396093</v>
      </c>
      <c r="GG415" s="293">
        <v>32.818074208225894</v>
      </c>
      <c r="GH415" s="293">
        <v>37.543484832671957</v>
      </c>
      <c r="GI415" s="293">
        <v>47.933698287076837</v>
      </c>
      <c r="GJ415" s="293">
        <v>19.18196139757698</v>
      </c>
      <c r="GK415" s="293">
        <v>16.2176160074929</v>
      </c>
      <c r="GL415" s="293">
        <v>34.615500221610787</v>
      </c>
      <c r="GM415" s="293">
        <v>16.2176160074929</v>
      </c>
      <c r="GN415" s="293">
        <v>31.198983179245815</v>
      </c>
      <c r="GO415" s="293">
        <v>10.493535797153971</v>
      </c>
      <c r="GP415" s="293">
        <v>9.518152400153971</v>
      </c>
      <c r="GQ415" s="293">
        <v>9.518152400153971</v>
      </c>
      <c r="GR415" s="293">
        <v>46.907793402424289</v>
      </c>
      <c r="GS415" s="293">
        <v>19.724980990133972</v>
      </c>
      <c r="GT415" s="293">
        <v>44.162737851624527</v>
      </c>
      <c r="GU415" s="293">
        <v>34.381813544500368</v>
      </c>
      <c r="GV415" s="293">
        <v>9.7639445017651276</v>
      </c>
      <c r="GW415" s="293">
        <v>52.640227532174087</v>
      </c>
      <c r="GX415" s="293">
        <v>14.899181219072448</v>
      </c>
      <c r="GY415" s="293">
        <v>2.0545404563266199</v>
      </c>
      <c r="GZ415" s="293">
        <v>53.023490088936811</v>
      </c>
      <c r="HA415" s="293">
        <v>14.411668654781918</v>
      </c>
      <c r="HB415" s="293">
        <v>0</v>
      </c>
      <c r="HC415" s="293">
        <v>47.88367306829565</v>
      </c>
      <c r="HD415" s="293">
        <v>29.529508718633497</v>
      </c>
      <c r="HE415" s="293">
        <v>9.3581437734186519</v>
      </c>
      <c r="HF415" s="293">
        <v>66.083997353529654</v>
      </c>
      <c r="HG415" s="293">
        <v>36.550565428489207</v>
      </c>
      <c r="HH415" s="293">
        <v>0</v>
      </c>
      <c r="HI415" s="293">
        <v>44.842136541598634</v>
      </c>
      <c r="HJ415" s="293">
        <v>34.237850121589396</v>
      </c>
      <c r="HK415" s="293">
        <v>0</v>
      </c>
      <c r="HL415" s="293">
        <v>57.939248724502541</v>
      </c>
      <c r="HM415" s="293">
        <v>14.90240277279772</v>
      </c>
      <c r="HN415" s="293">
        <v>0</v>
      </c>
      <c r="HO415" s="293">
        <v>35.563367017415111</v>
      </c>
      <c r="HP415" s="293">
        <v>0</v>
      </c>
      <c r="HQ415" s="293">
        <v>6.5565700777080353</v>
      </c>
      <c r="HR415" s="293">
        <v>58.863710136419002</v>
      </c>
      <c r="HS415" s="293">
        <v>29.246894488254931</v>
      </c>
      <c r="HT415" s="293">
        <v>0</v>
      </c>
      <c r="HU415" s="293">
        <v>68.994732480778595</v>
      </c>
      <c r="HV415" s="293">
        <v>14.001812152559998</v>
      </c>
      <c r="HW415" s="293">
        <v>0</v>
      </c>
      <c r="HX415" s="293">
        <v>68.511459383862061</v>
      </c>
      <c r="HY415" s="293"/>
      <c r="KT415" s="280"/>
    </row>
    <row r="416" spans="1:306" outlineLevel="1">
      <c r="A416" s="96" t="s">
        <v>372</v>
      </c>
      <c r="B416" s="96" t="s">
        <v>338</v>
      </c>
      <c r="D416" s="321" t="s">
        <v>506</v>
      </c>
      <c r="E416" s="293"/>
      <c r="F416" s="293"/>
      <c r="G416" s="293"/>
      <c r="H416" s="293"/>
      <c r="I416" s="293"/>
      <c r="J416" s="293"/>
      <c r="K416" s="293"/>
      <c r="L416" s="293"/>
      <c r="M416" s="293"/>
      <c r="N416" s="293"/>
      <c r="O416" s="293"/>
      <c r="P416" s="293"/>
      <c r="Q416" s="293"/>
      <c r="R416" s="293"/>
      <c r="S416" s="293"/>
      <c r="T416" s="293"/>
      <c r="U416" s="293"/>
      <c r="V416" s="293"/>
      <c r="W416" s="293"/>
      <c r="X416" s="293"/>
      <c r="Y416" s="29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c r="BN416" s="293"/>
      <c r="BO416" s="293"/>
      <c r="BP416" s="293"/>
      <c r="BQ416" s="293"/>
      <c r="BR416" s="293"/>
      <c r="BS416" s="293"/>
      <c r="BT416" s="293"/>
      <c r="BU416" s="293"/>
      <c r="BV416" s="293"/>
      <c r="BW416" s="293"/>
      <c r="BX416" s="293"/>
      <c r="BY416" s="293"/>
      <c r="BZ416" s="293"/>
      <c r="CA416" s="293"/>
      <c r="CB416" s="293"/>
      <c r="CC416" s="293"/>
      <c r="CD416" s="293"/>
      <c r="CE416" s="294">
        <v>10.649725516935002</v>
      </c>
      <c r="CF416" s="293">
        <v>32.642625870288001</v>
      </c>
      <c r="CG416" s="293">
        <v>42.376945760600009</v>
      </c>
      <c r="CH416" s="293">
        <v>8.2179470510999995</v>
      </c>
      <c r="CI416" s="293">
        <v>2.710436597478</v>
      </c>
      <c r="CJ416" s="293">
        <v>39.538582284914</v>
      </c>
      <c r="CK416" s="293">
        <v>0</v>
      </c>
      <c r="CL416" s="293">
        <v>0</v>
      </c>
      <c r="CM416" s="293">
        <v>0</v>
      </c>
      <c r="CN416" s="293">
        <v>5.1416973700781536</v>
      </c>
      <c r="CO416" s="293">
        <v>20.51012667949999</v>
      </c>
      <c r="CP416" s="295">
        <v>9.2667948451580067</v>
      </c>
      <c r="CQ416" s="293">
        <v>17.574926579780833</v>
      </c>
      <c r="CR416" s="293">
        <v>6.1004475483840262E-2</v>
      </c>
      <c r="CS416" s="293">
        <v>18.410786140034833</v>
      </c>
      <c r="CT416" s="293">
        <v>4.6459715500613363</v>
      </c>
      <c r="CU416" s="293">
        <v>11.644424817805957</v>
      </c>
      <c r="CV416" s="293">
        <v>63.104221270265896</v>
      </c>
      <c r="CW416" s="293">
        <v>0.36886337475031195</v>
      </c>
      <c r="CX416" s="293">
        <v>5.3526167373176399E-2</v>
      </c>
      <c r="CY416" s="293">
        <v>17.62001316069103</v>
      </c>
      <c r="CZ416" s="293">
        <v>13.437569677394109</v>
      </c>
      <c r="DA416" s="293">
        <v>27.297930233327257</v>
      </c>
      <c r="DB416" s="1288">
        <v>0.68446750797208367</v>
      </c>
      <c r="DC416" s="293">
        <v>18.500350525863201</v>
      </c>
      <c r="DD416" s="293">
        <v>6.1547591233999999</v>
      </c>
      <c r="DE416" s="293">
        <v>21.85774148142</v>
      </c>
      <c r="DF416" s="293">
        <v>0.27488678799999999</v>
      </c>
      <c r="DG416" s="293">
        <v>33.148919335843502</v>
      </c>
      <c r="DH416" s="293">
        <v>22.95045653645364</v>
      </c>
      <c r="DI416" s="293">
        <v>0.45384504142463566</v>
      </c>
      <c r="DJ416" s="293">
        <v>3.0471868759055294</v>
      </c>
      <c r="DK416" s="293">
        <v>0.34657287472925635</v>
      </c>
      <c r="DL416" s="293">
        <v>54.368579620764223</v>
      </c>
      <c r="DM416" s="293">
        <v>0.23876751243749914</v>
      </c>
      <c r="DN416" s="295">
        <v>43.464944561485638</v>
      </c>
      <c r="DO416" s="293">
        <v>4.6855716548560604</v>
      </c>
      <c r="DP416" s="293">
        <v>0</v>
      </c>
      <c r="DQ416" s="293">
        <v>0</v>
      </c>
      <c r="DR416" s="293">
        <v>0</v>
      </c>
      <c r="DS416" s="293">
        <v>9.1588665883095004</v>
      </c>
      <c r="DT416" s="293">
        <v>20.663968732646893</v>
      </c>
      <c r="DU416" s="293">
        <v>15.873335991999999</v>
      </c>
      <c r="DV416" s="293">
        <v>0</v>
      </c>
      <c r="DW416" s="293">
        <v>0</v>
      </c>
      <c r="DX416" s="293">
        <v>12.168713068197375</v>
      </c>
      <c r="DY416" s="293">
        <v>0</v>
      </c>
      <c r="DZ416" s="295">
        <v>52.75959672845898</v>
      </c>
      <c r="EA416" s="293">
        <v>16.435436212890188</v>
      </c>
      <c r="EB416" s="293">
        <v>1.9416037326127447</v>
      </c>
      <c r="EC416" s="293">
        <v>0</v>
      </c>
      <c r="ED416" s="293">
        <v>14.085088712740772</v>
      </c>
      <c r="EE416" s="293">
        <v>4.4952272066647154</v>
      </c>
      <c r="EF416" s="293">
        <v>32.180366850462036</v>
      </c>
      <c r="EG416" s="293">
        <v>27.740567568486426</v>
      </c>
      <c r="EH416" s="293">
        <v>3.4351810122460638</v>
      </c>
      <c r="EI416" s="293">
        <v>13.132741159268299</v>
      </c>
      <c r="EJ416" s="293">
        <v>13.831257406782735</v>
      </c>
      <c r="EK416" s="293">
        <v>0</v>
      </c>
      <c r="EL416" s="295">
        <v>0</v>
      </c>
      <c r="EM416" s="293">
        <v>6.0684036755970308</v>
      </c>
      <c r="EN416" s="293">
        <v>12.302054782967376</v>
      </c>
      <c r="EO416" s="293">
        <v>0.10422218235476999</v>
      </c>
      <c r="EP416" s="293">
        <v>0</v>
      </c>
      <c r="EQ416" s="293">
        <v>0</v>
      </c>
      <c r="ER416" s="293">
        <v>71.232557029016377</v>
      </c>
      <c r="ES416" s="293">
        <v>14.021816380000001</v>
      </c>
      <c r="ET416" s="293">
        <v>25.648448246000001</v>
      </c>
      <c r="EU416" s="293">
        <v>0</v>
      </c>
      <c r="EV416" s="293">
        <v>13.419106073131385</v>
      </c>
      <c r="EW416" s="293">
        <v>0</v>
      </c>
      <c r="EX416" s="295">
        <v>0</v>
      </c>
      <c r="EY416" s="293">
        <v>18.885914780479233</v>
      </c>
      <c r="EZ416" s="293">
        <v>0</v>
      </c>
      <c r="FA416" s="293">
        <v>0</v>
      </c>
      <c r="FB416" s="293">
        <v>0</v>
      </c>
      <c r="FC416" s="293">
        <v>9.2111639751582803</v>
      </c>
      <c r="FD416" s="293">
        <v>46.484624538530092</v>
      </c>
      <c r="FE416" s="293">
        <v>0</v>
      </c>
      <c r="FF416" s="293">
        <v>17.942072601710958</v>
      </c>
      <c r="FG416" s="293">
        <v>0</v>
      </c>
      <c r="FH416" s="293">
        <v>23.107773860801</v>
      </c>
      <c r="FI416" s="293">
        <v>0</v>
      </c>
      <c r="FJ416" s="295">
        <v>37.913166435999997</v>
      </c>
      <c r="FK416" s="293">
        <v>0</v>
      </c>
      <c r="FL416" s="293">
        <v>0</v>
      </c>
      <c r="FM416" s="293">
        <v>55.78206542418198</v>
      </c>
      <c r="FN416" s="293">
        <v>35.485712861354926</v>
      </c>
      <c r="FO416" s="293">
        <v>0</v>
      </c>
      <c r="FP416" s="293">
        <v>28.462910114962668</v>
      </c>
      <c r="FQ416" s="293">
        <v>0</v>
      </c>
      <c r="FR416" s="293">
        <v>0</v>
      </c>
      <c r="FS416" s="293">
        <v>74.49219628223868</v>
      </c>
      <c r="FT416" s="293">
        <v>11.165815152893289</v>
      </c>
      <c r="FU416" s="293">
        <v>0</v>
      </c>
      <c r="FV416" s="293">
        <v>56.902254674493491</v>
      </c>
      <c r="FW416" s="293">
        <v>1.2382475E-2</v>
      </c>
      <c r="FX416" s="293">
        <v>43.244714305822797</v>
      </c>
      <c r="FY416" s="293">
        <v>8.6165421105112401</v>
      </c>
      <c r="FZ416" s="293">
        <v>17.063186750203002</v>
      </c>
      <c r="GA416" s="293">
        <v>13.4435335482195</v>
      </c>
      <c r="GB416" s="293">
        <v>0.241415044</v>
      </c>
      <c r="GC416" s="293">
        <v>18.56186430122964</v>
      </c>
      <c r="GD416" s="293">
        <v>7.6535444779132003E-2</v>
      </c>
      <c r="GE416" s="293">
        <v>94.795115429550336</v>
      </c>
      <c r="GF416" s="293">
        <v>31.820768096170202</v>
      </c>
      <c r="GG416" s="293">
        <v>0</v>
      </c>
      <c r="GH416" s="293">
        <v>4.7254106244460603</v>
      </c>
      <c r="GI416" s="293">
        <v>31.716082279583937</v>
      </c>
      <c r="GJ416" s="293">
        <v>2.9643453900840777</v>
      </c>
      <c r="GK416" s="293">
        <v>0</v>
      </c>
      <c r="GL416" s="293">
        <v>18.397884214117887</v>
      </c>
      <c r="GM416" s="293">
        <v>0</v>
      </c>
      <c r="GN416" s="293">
        <v>14.981367171752915</v>
      </c>
      <c r="GO416" s="293">
        <v>0.9753833970000001</v>
      </c>
      <c r="GP416" s="293">
        <v>0</v>
      </c>
      <c r="GQ416" s="293">
        <v>0</v>
      </c>
      <c r="GR416" s="293">
        <v>37.389641002270317</v>
      </c>
      <c r="GS416" s="293">
        <v>10.206828589979999</v>
      </c>
      <c r="GT416" s="293">
        <v>34.644585451470562</v>
      </c>
      <c r="GU416" s="293">
        <v>34.381813544500368</v>
      </c>
      <c r="GV416" s="293">
        <v>9.7639445017651276</v>
      </c>
      <c r="GW416" s="293">
        <v>7.465749931508225</v>
      </c>
      <c r="GX416" s="293">
        <v>14.899181219072448</v>
      </c>
      <c r="GY416" s="293">
        <v>2.0545404563266199</v>
      </c>
      <c r="GZ416" s="293">
        <v>7.8490124882709535</v>
      </c>
      <c r="HA416" s="293">
        <v>14.411668654781918</v>
      </c>
      <c r="HB416" s="293">
        <v>0</v>
      </c>
      <c r="HC416" s="293">
        <v>0</v>
      </c>
      <c r="HD416" s="293">
        <v>29.529508718633497</v>
      </c>
      <c r="HE416" s="293">
        <v>9.3581437734186519</v>
      </c>
      <c r="HF416" s="293">
        <v>18.200324285234</v>
      </c>
      <c r="HG416" s="293">
        <v>36.550565428489207</v>
      </c>
      <c r="HH416" s="293">
        <v>0</v>
      </c>
      <c r="HI416" s="293">
        <v>0</v>
      </c>
      <c r="HJ416" s="293">
        <v>34.237850121589396</v>
      </c>
      <c r="HK416" s="293">
        <v>0</v>
      </c>
      <c r="HL416" s="293">
        <v>13.097112182903905</v>
      </c>
      <c r="HM416" s="293">
        <v>14.90240277279772</v>
      </c>
      <c r="HN416" s="293">
        <v>0</v>
      </c>
      <c r="HO416" s="293">
        <v>0</v>
      </c>
      <c r="HP416" s="293">
        <v>0</v>
      </c>
      <c r="HQ416" s="293">
        <v>6.5565700777080353</v>
      </c>
      <c r="HR416" s="293">
        <v>22.935490024454118</v>
      </c>
      <c r="HS416" s="293">
        <v>29.246894488254931</v>
      </c>
      <c r="HT416" s="293">
        <v>0</v>
      </c>
      <c r="HU416" s="293">
        <v>0.79635628059999997</v>
      </c>
      <c r="HV416" s="293">
        <v>14.001812152559998</v>
      </c>
      <c r="HW416" s="293">
        <v>0</v>
      </c>
      <c r="HX416" s="293">
        <v>0</v>
      </c>
      <c r="HY416" s="293"/>
      <c r="KT416" s="280"/>
    </row>
    <row r="417" spans="1:306" outlineLevel="1">
      <c r="A417" s="96" t="s">
        <v>372</v>
      </c>
      <c r="B417" s="96" t="s">
        <v>338</v>
      </c>
      <c r="D417" s="321" t="s">
        <v>507</v>
      </c>
      <c r="E417" s="293"/>
      <c r="F417" s="293"/>
      <c r="G417" s="293"/>
      <c r="H417" s="293"/>
      <c r="I417" s="293"/>
      <c r="J417" s="293"/>
      <c r="K417" s="293"/>
      <c r="L417" s="293"/>
      <c r="M417" s="293"/>
      <c r="N417" s="293"/>
      <c r="O417" s="293"/>
      <c r="P417" s="293"/>
      <c r="Q417" s="293"/>
      <c r="R417" s="293"/>
      <c r="S417" s="293"/>
      <c r="T417" s="293"/>
      <c r="U417" s="293"/>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c r="BN417" s="293"/>
      <c r="BO417" s="293"/>
      <c r="BP417" s="293"/>
      <c r="BQ417" s="293"/>
      <c r="BR417" s="293"/>
      <c r="BS417" s="293"/>
      <c r="BT417" s="293"/>
      <c r="BU417" s="293"/>
      <c r="BV417" s="293"/>
      <c r="BW417" s="293"/>
      <c r="BX417" s="293"/>
      <c r="BY417" s="293"/>
      <c r="BZ417" s="293"/>
      <c r="CA417" s="293"/>
      <c r="CB417" s="293"/>
      <c r="CC417" s="293"/>
      <c r="CD417" s="293"/>
      <c r="CE417" s="294">
        <v>20.644770703771695</v>
      </c>
      <c r="CF417" s="293">
        <v>6.2068516957338105</v>
      </c>
      <c r="CG417" s="293">
        <v>33.654755862294493</v>
      </c>
      <c r="CH417" s="293">
        <v>40.164865416949603</v>
      </c>
      <c r="CI417" s="293">
        <v>33.30229618613545</v>
      </c>
      <c r="CJ417" s="293">
        <v>23.305426911000946</v>
      </c>
      <c r="CK417" s="293">
        <v>22.369328398681304</v>
      </c>
      <c r="CL417" s="293">
        <v>15.370313869472696</v>
      </c>
      <c r="CM417" s="293">
        <v>15.260357731845993</v>
      </c>
      <c r="CN417" s="293">
        <v>55.08162525346021</v>
      </c>
      <c r="CO417" s="293">
        <v>16.101722923910174</v>
      </c>
      <c r="CP417" s="295">
        <v>21.799460293312592</v>
      </c>
      <c r="CQ417" s="293">
        <v>16.87350672279609</v>
      </c>
      <c r="CR417" s="293">
        <v>20.574332516946019</v>
      </c>
      <c r="CS417" s="293">
        <v>13.677160760257889</v>
      </c>
      <c r="CT417" s="293">
        <v>22.966062853869769</v>
      </c>
      <c r="CU417" s="293">
        <v>25.792258359012344</v>
      </c>
      <c r="CV417" s="293">
        <v>25.594723744156603</v>
      </c>
      <c r="CW417" s="293">
        <v>18.835302128312126</v>
      </c>
      <c r="CX417" s="293">
        <v>20.69342160459518</v>
      </c>
      <c r="CY417" s="293">
        <v>18.249102545774683</v>
      </c>
      <c r="CZ417" s="293">
        <v>12.54749310504959</v>
      </c>
      <c r="DA417" s="293">
        <v>24.627020117877478</v>
      </c>
      <c r="DB417" s="1288">
        <v>20.593317581711101</v>
      </c>
      <c r="DC417" s="293">
        <v>13.452093833224433</v>
      </c>
      <c r="DD417" s="293">
        <v>19.022173646102264</v>
      </c>
      <c r="DE417" s="293">
        <v>15.875732520673303</v>
      </c>
      <c r="DF417" s="293">
        <v>10.355677608348262</v>
      </c>
      <c r="DG417" s="293">
        <v>9.0934462919717642</v>
      </c>
      <c r="DH417" s="293">
        <v>28.907471615502221</v>
      </c>
      <c r="DI417" s="293">
        <v>9.6377982635075625</v>
      </c>
      <c r="DJ417" s="293">
        <v>11.505491827422979</v>
      </c>
      <c r="DK417" s="293">
        <v>14.956709909069456</v>
      </c>
      <c r="DL417" s="293">
        <v>10.918476448112893</v>
      </c>
      <c r="DM417" s="293">
        <v>19.287035582032409</v>
      </c>
      <c r="DN417" s="295">
        <v>5.8944879698547039</v>
      </c>
      <c r="DO417" s="293">
        <v>12.136271271812186</v>
      </c>
      <c r="DP417" s="293">
        <v>12.133511288417928</v>
      </c>
      <c r="DQ417" s="293">
        <v>12.10521743976989</v>
      </c>
      <c r="DR417" s="293">
        <v>3.2359692316649102</v>
      </c>
      <c r="DS417" s="293">
        <v>15.106655246115155</v>
      </c>
      <c r="DT417" s="293">
        <v>18.032375522219933</v>
      </c>
      <c r="DU417" s="293">
        <v>10.988140744151838</v>
      </c>
      <c r="DV417" s="293">
        <v>15.698929868479176</v>
      </c>
      <c r="DW417" s="293">
        <v>9.9379293873689836</v>
      </c>
      <c r="DX417" s="293">
        <v>5.9392520350356071</v>
      </c>
      <c r="DY417" s="293">
        <v>11.606604623025165</v>
      </c>
      <c r="DZ417" s="295">
        <v>19.079143341939226</v>
      </c>
      <c r="EA417" s="293">
        <v>12.04303298669176</v>
      </c>
      <c r="EB417" s="293">
        <v>11.58141738339774</v>
      </c>
      <c r="EC417" s="293">
        <v>18.953049629910502</v>
      </c>
      <c r="ED417" s="293">
        <v>9.2129121794719193</v>
      </c>
      <c r="EE417" s="293">
        <v>18.666473033356318</v>
      </c>
      <c r="EF417" s="293">
        <v>14.698114787171765</v>
      </c>
      <c r="EG417" s="293">
        <v>7.7343715577035592</v>
      </c>
      <c r="EH417" s="293">
        <v>12.544701009695537</v>
      </c>
      <c r="EI417" s="293">
        <v>21.498427432600909</v>
      </c>
      <c r="EJ417" s="293">
        <v>3.5217398195229666</v>
      </c>
      <c r="EK417" s="293">
        <v>8.0850167052850175</v>
      </c>
      <c r="EL417" s="295">
        <v>30.170743475192022</v>
      </c>
      <c r="EM417" s="293">
        <v>15.676377072254855</v>
      </c>
      <c r="EN417" s="293">
        <v>16.280776577680143</v>
      </c>
      <c r="EO417" s="293">
        <v>31.957153649935002</v>
      </c>
      <c r="EP417" s="293">
        <v>25.689925104930648</v>
      </c>
      <c r="EQ417" s="293">
        <v>6.238642488411001</v>
      </c>
      <c r="ER417" s="293">
        <v>31.957153649935002</v>
      </c>
      <c r="ES417" s="293">
        <v>11.77235596909156</v>
      </c>
      <c r="ET417" s="293">
        <v>14.546519893461165</v>
      </c>
      <c r="EU417" s="293">
        <v>26.318875862817901</v>
      </c>
      <c r="EV417" s="293">
        <v>17.045294526785639</v>
      </c>
      <c r="EW417" s="293">
        <v>9.2735813359162655</v>
      </c>
      <c r="EX417" s="295">
        <v>26.318875862950499</v>
      </c>
      <c r="EY417" s="293">
        <v>13.355919074614171</v>
      </c>
      <c r="EZ417" s="293">
        <v>19.120340874614172</v>
      </c>
      <c r="FA417" s="293">
        <v>32.476259949591501</v>
      </c>
      <c r="FB417" s="293">
        <v>17.141012261463228</v>
      </c>
      <c r="FC417" s="293">
        <v>19.380457481936588</v>
      </c>
      <c r="FD417" s="293">
        <v>28.4262599495915</v>
      </c>
      <c r="FE417" s="293">
        <v>18.57477772208745</v>
      </c>
      <c r="FF417" s="293">
        <v>22.887552055495807</v>
      </c>
      <c r="FG417" s="293">
        <v>23.485399915408056</v>
      </c>
      <c r="FH417" s="293">
        <v>17.094977885269913</v>
      </c>
      <c r="FI417" s="293">
        <v>25.711020665681996</v>
      </c>
      <c r="FJ417" s="295">
        <v>22.173864846495658</v>
      </c>
      <c r="FK417" s="293">
        <v>18.016468952481294</v>
      </c>
      <c r="FL417" s="293">
        <v>22.038160849417618</v>
      </c>
      <c r="FM417" s="293">
        <v>29.332774612660895</v>
      </c>
      <c r="FN417" s="293">
        <v>20.310040481209192</v>
      </c>
      <c r="FO417" s="293">
        <v>24.596989962932081</v>
      </c>
      <c r="FP417" s="293">
        <v>24.480373970418551</v>
      </c>
      <c r="FQ417" s="293">
        <v>26.0973223375467</v>
      </c>
      <c r="FR417" s="293">
        <v>26.0973223375467</v>
      </c>
      <c r="FS417" s="293">
        <v>27.482987069546699</v>
      </c>
      <c r="FT417" s="293">
        <v>24.877549419213427</v>
      </c>
      <c r="FU417" s="293">
        <v>26.540783368213397</v>
      </c>
      <c r="FV417" s="293">
        <v>24.877549419213427</v>
      </c>
      <c r="FW417" s="293">
        <v>25.52443471719846</v>
      </c>
      <c r="FX417" s="293">
        <v>25.52443471719846</v>
      </c>
      <c r="FY417" s="293">
        <v>25.52443471719846</v>
      </c>
      <c r="FZ417" s="293">
        <v>34.523905375563082</v>
      </c>
      <c r="GA417" s="293">
        <v>34.523905375563082</v>
      </c>
      <c r="GB417" s="293">
        <v>34.523905375563082</v>
      </c>
      <c r="GC417" s="293">
        <v>32.818074208225894</v>
      </c>
      <c r="GD417" s="293">
        <v>32.818074208225894</v>
      </c>
      <c r="GE417" s="293">
        <v>32.818074208225894</v>
      </c>
      <c r="GF417" s="293">
        <v>32.818074208225894</v>
      </c>
      <c r="GG417" s="293">
        <v>32.818074208225894</v>
      </c>
      <c r="GH417" s="293">
        <v>32.818074208225894</v>
      </c>
      <c r="GI417" s="293">
        <v>16.2176160074929</v>
      </c>
      <c r="GJ417" s="293">
        <v>16.2176160074929</v>
      </c>
      <c r="GK417" s="293">
        <v>16.2176160074929</v>
      </c>
      <c r="GL417" s="293">
        <v>16.2176160074929</v>
      </c>
      <c r="GM417" s="293">
        <v>16.2176160074929</v>
      </c>
      <c r="GN417" s="293">
        <v>16.2176160074929</v>
      </c>
      <c r="GO417" s="293">
        <v>9.518152400153971</v>
      </c>
      <c r="GP417" s="293">
        <v>9.518152400153971</v>
      </c>
      <c r="GQ417" s="293">
        <v>9.518152400153971</v>
      </c>
      <c r="GR417" s="293">
        <v>9.518152400153971</v>
      </c>
      <c r="GS417" s="293">
        <v>9.518152400153971</v>
      </c>
      <c r="GT417" s="293">
        <v>9.518152400153971</v>
      </c>
      <c r="GU417" s="293">
        <v>0</v>
      </c>
      <c r="GV417" s="293">
        <v>0</v>
      </c>
      <c r="GW417" s="293">
        <v>45.17447760066586</v>
      </c>
      <c r="GX417" s="293">
        <v>0</v>
      </c>
      <c r="GY417" s="293">
        <v>0</v>
      </c>
      <c r="GZ417" s="293">
        <v>45.17447760066586</v>
      </c>
      <c r="HA417" s="293">
        <v>0</v>
      </c>
      <c r="HB417" s="293">
        <v>0</v>
      </c>
      <c r="HC417" s="293">
        <v>47.88367306829565</v>
      </c>
      <c r="HD417" s="293">
        <v>0</v>
      </c>
      <c r="HE417" s="293">
        <v>0</v>
      </c>
      <c r="HF417" s="293">
        <v>47.88367306829565</v>
      </c>
      <c r="HG417" s="293">
        <v>0</v>
      </c>
      <c r="HH417" s="293">
        <v>0</v>
      </c>
      <c r="HI417" s="293">
        <v>44.842136541598634</v>
      </c>
      <c r="HJ417" s="293">
        <v>0</v>
      </c>
      <c r="HK417" s="293">
        <v>0</v>
      </c>
      <c r="HL417" s="293">
        <v>44.842136541598634</v>
      </c>
      <c r="HM417" s="293">
        <v>0</v>
      </c>
      <c r="HN417" s="293">
        <v>0</v>
      </c>
      <c r="HO417" s="293">
        <v>35.563367017415111</v>
      </c>
      <c r="HP417" s="293">
        <v>0</v>
      </c>
      <c r="HQ417" s="293">
        <v>0</v>
      </c>
      <c r="HR417" s="293">
        <v>35.928220111964883</v>
      </c>
      <c r="HS417" s="293">
        <v>0</v>
      </c>
      <c r="HT417" s="293">
        <v>0</v>
      </c>
      <c r="HU417" s="293">
        <v>68.1983762001786</v>
      </c>
      <c r="HV417" s="293">
        <v>0</v>
      </c>
      <c r="HW417" s="293">
        <v>0</v>
      </c>
      <c r="HX417" s="293">
        <v>68.511459383862061</v>
      </c>
      <c r="HY417" s="293"/>
      <c r="KT417" s="280"/>
    </row>
    <row r="418" spans="1:306" outlineLevel="1">
      <c r="A418" s="96" t="s">
        <v>495</v>
      </c>
      <c r="B418" s="96" t="s">
        <v>495</v>
      </c>
      <c r="D418" s="320" t="s">
        <v>509</v>
      </c>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c r="BN418" s="293"/>
      <c r="BO418" s="293"/>
      <c r="BP418" s="293"/>
      <c r="BQ418" s="293"/>
      <c r="BR418" s="293"/>
      <c r="BS418" s="293"/>
      <c r="BT418" s="293"/>
      <c r="BU418" s="293"/>
      <c r="BV418" s="293"/>
      <c r="BW418" s="293"/>
      <c r="BX418" s="293"/>
      <c r="BY418" s="293"/>
      <c r="BZ418" s="293"/>
      <c r="CA418" s="293"/>
      <c r="CB418" s="293"/>
      <c r="CC418" s="293"/>
      <c r="CD418" s="293"/>
      <c r="CE418" s="294">
        <v>0</v>
      </c>
      <c r="CF418" s="293">
        <v>0</v>
      </c>
      <c r="CG418" s="293">
        <v>0</v>
      </c>
      <c r="CH418" s="293">
        <v>0</v>
      </c>
      <c r="CI418" s="293">
        <v>0</v>
      </c>
      <c r="CJ418" s="293">
        <v>0</v>
      </c>
      <c r="CK418" s="293">
        <v>0</v>
      </c>
      <c r="CL418" s="293">
        <v>0</v>
      </c>
      <c r="CM418" s="293">
        <v>0</v>
      </c>
      <c r="CN418" s="293">
        <v>0</v>
      </c>
      <c r="CO418" s="293">
        <v>0</v>
      </c>
      <c r="CP418" s="295">
        <v>0</v>
      </c>
      <c r="CQ418" s="293">
        <v>0</v>
      </c>
      <c r="CR418" s="293">
        <v>0</v>
      </c>
      <c r="CS418" s="293">
        <v>0</v>
      </c>
      <c r="CT418" s="293">
        <v>0</v>
      </c>
      <c r="CU418" s="293">
        <v>0</v>
      </c>
      <c r="CV418" s="293">
        <v>0</v>
      </c>
      <c r="CW418" s="293">
        <v>0</v>
      </c>
      <c r="CX418" s="293">
        <v>0</v>
      </c>
      <c r="CY418" s="293">
        <v>0</v>
      </c>
      <c r="CZ418" s="293">
        <v>0</v>
      </c>
      <c r="DA418" s="293">
        <v>0</v>
      </c>
      <c r="DB418" s="1288">
        <v>0</v>
      </c>
      <c r="DC418" s="293">
        <v>0</v>
      </c>
      <c r="DD418" s="293">
        <v>0</v>
      </c>
      <c r="DE418" s="293">
        <v>0</v>
      </c>
      <c r="DF418" s="293">
        <v>0</v>
      </c>
      <c r="DG418" s="293">
        <v>0</v>
      </c>
      <c r="DH418" s="293">
        <v>0</v>
      </c>
      <c r="DI418" s="293">
        <v>0</v>
      </c>
      <c r="DJ418" s="293">
        <v>0</v>
      </c>
      <c r="DK418" s="293">
        <v>0</v>
      </c>
      <c r="DL418" s="293">
        <v>0</v>
      </c>
      <c r="DM418" s="293">
        <v>0</v>
      </c>
      <c r="DN418" s="295">
        <v>0</v>
      </c>
      <c r="DO418" s="293">
        <v>0</v>
      </c>
      <c r="DP418" s="293">
        <v>0</v>
      </c>
      <c r="DQ418" s="293">
        <v>0</v>
      </c>
      <c r="DR418" s="293">
        <v>0</v>
      </c>
      <c r="DS418" s="293">
        <v>0</v>
      </c>
      <c r="DT418" s="293">
        <v>0</v>
      </c>
      <c r="DU418" s="293">
        <v>0</v>
      </c>
      <c r="DV418" s="293">
        <v>0</v>
      </c>
      <c r="DW418" s="293">
        <v>0</v>
      </c>
      <c r="DX418" s="293">
        <v>0</v>
      </c>
      <c r="DY418" s="293">
        <v>0</v>
      </c>
      <c r="DZ418" s="295">
        <v>0</v>
      </c>
      <c r="EA418" s="293">
        <v>0</v>
      </c>
      <c r="EB418" s="293">
        <v>0</v>
      </c>
      <c r="EC418" s="293">
        <v>0</v>
      </c>
      <c r="ED418" s="293">
        <v>0</v>
      </c>
      <c r="EE418" s="293">
        <v>0</v>
      </c>
      <c r="EF418" s="293">
        <v>0</v>
      </c>
      <c r="EG418" s="293">
        <v>0</v>
      </c>
      <c r="EH418" s="293">
        <v>0</v>
      </c>
      <c r="EI418" s="293">
        <v>0</v>
      </c>
      <c r="EJ418" s="293">
        <v>0</v>
      </c>
      <c r="EK418" s="293">
        <v>0</v>
      </c>
      <c r="EL418" s="295">
        <v>0</v>
      </c>
      <c r="EM418" s="293">
        <v>0</v>
      </c>
      <c r="EN418" s="293">
        <v>0</v>
      </c>
      <c r="EO418" s="293">
        <v>0</v>
      </c>
      <c r="EP418" s="293">
        <v>0</v>
      </c>
      <c r="EQ418" s="293">
        <v>0</v>
      </c>
      <c r="ER418" s="293">
        <v>0</v>
      </c>
      <c r="ES418" s="293">
        <v>0</v>
      </c>
      <c r="ET418" s="293">
        <v>0</v>
      </c>
      <c r="EU418" s="293">
        <v>0</v>
      </c>
      <c r="EV418" s="293">
        <v>0</v>
      </c>
      <c r="EW418" s="293">
        <v>0</v>
      </c>
      <c r="EX418" s="295">
        <v>0</v>
      </c>
      <c r="EY418" s="293">
        <v>0</v>
      </c>
      <c r="EZ418" s="293">
        <v>0</v>
      </c>
      <c r="FA418" s="293">
        <v>0</v>
      </c>
      <c r="FB418" s="293">
        <v>0</v>
      </c>
      <c r="FC418" s="293">
        <v>0</v>
      </c>
      <c r="FD418" s="293">
        <v>0</v>
      </c>
      <c r="FE418" s="293">
        <v>0</v>
      </c>
      <c r="FF418" s="293">
        <v>0</v>
      </c>
      <c r="FG418" s="293">
        <v>0</v>
      </c>
      <c r="FH418" s="293">
        <v>0</v>
      </c>
      <c r="FI418" s="293">
        <v>0</v>
      </c>
      <c r="FJ418" s="295">
        <v>0</v>
      </c>
      <c r="FK418" s="293">
        <v>0</v>
      </c>
      <c r="FL418" s="293">
        <v>0</v>
      </c>
      <c r="FM418" s="293">
        <v>0</v>
      </c>
      <c r="FN418" s="293">
        <v>0</v>
      </c>
      <c r="FO418" s="293">
        <v>0</v>
      </c>
      <c r="FP418" s="293">
        <v>0</v>
      </c>
      <c r="FQ418" s="293">
        <v>0</v>
      </c>
      <c r="FR418" s="293">
        <v>0</v>
      </c>
      <c r="FS418" s="293">
        <v>0</v>
      </c>
      <c r="FT418" s="293">
        <v>0</v>
      </c>
      <c r="FU418" s="293">
        <v>0</v>
      </c>
      <c r="FV418" s="293">
        <v>0</v>
      </c>
      <c r="FW418" s="293">
        <v>0</v>
      </c>
      <c r="FX418" s="293">
        <v>0</v>
      </c>
      <c r="FY418" s="293">
        <v>0</v>
      </c>
      <c r="FZ418" s="293">
        <v>0</v>
      </c>
      <c r="GA418" s="293">
        <v>0</v>
      </c>
      <c r="GB418" s="293">
        <v>0</v>
      </c>
      <c r="GC418" s="293">
        <v>0</v>
      </c>
      <c r="GD418" s="293">
        <v>0</v>
      </c>
      <c r="GE418" s="293">
        <v>0</v>
      </c>
      <c r="GF418" s="293">
        <v>0</v>
      </c>
      <c r="GG418" s="293">
        <v>0</v>
      </c>
      <c r="GH418" s="293">
        <v>0</v>
      </c>
      <c r="GI418" s="293">
        <v>0</v>
      </c>
      <c r="GJ418" s="293">
        <v>0</v>
      </c>
      <c r="GK418" s="293">
        <v>0</v>
      </c>
      <c r="GL418" s="293">
        <v>0</v>
      </c>
      <c r="GM418" s="293">
        <v>0</v>
      </c>
      <c r="GN418" s="293">
        <v>0</v>
      </c>
      <c r="GO418" s="293">
        <v>0</v>
      </c>
      <c r="GP418" s="293">
        <v>0</v>
      </c>
      <c r="GQ418" s="293">
        <v>0</v>
      </c>
      <c r="GR418" s="293">
        <v>0</v>
      </c>
      <c r="GS418" s="293">
        <v>0</v>
      </c>
      <c r="GT418" s="293">
        <v>0</v>
      </c>
      <c r="GU418" s="293">
        <v>0</v>
      </c>
      <c r="GV418" s="293">
        <v>0</v>
      </c>
      <c r="GW418" s="293">
        <v>0</v>
      </c>
      <c r="GX418" s="293">
        <v>0</v>
      </c>
      <c r="GY418" s="293">
        <v>0</v>
      </c>
      <c r="GZ418" s="293">
        <v>0</v>
      </c>
      <c r="HA418" s="293">
        <v>0</v>
      </c>
      <c r="HB418" s="293">
        <v>0</v>
      </c>
      <c r="HC418" s="293">
        <v>0</v>
      </c>
      <c r="HD418" s="293">
        <v>0</v>
      </c>
      <c r="HE418" s="293">
        <v>0</v>
      </c>
      <c r="HF418" s="293">
        <v>0</v>
      </c>
      <c r="HG418" s="293">
        <v>0</v>
      </c>
      <c r="HH418" s="293">
        <v>0</v>
      </c>
      <c r="HI418" s="293">
        <v>0</v>
      </c>
      <c r="HJ418" s="293">
        <v>0</v>
      </c>
      <c r="HK418" s="293">
        <v>0</v>
      </c>
      <c r="HL418" s="293">
        <v>0</v>
      </c>
      <c r="HM418" s="293">
        <v>0</v>
      </c>
      <c r="HN418" s="293">
        <v>0</v>
      </c>
      <c r="HO418" s="293">
        <v>0</v>
      </c>
      <c r="HP418" s="293">
        <v>0</v>
      </c>
      <c r="HQ418" s="293">
        <v>0</v>
      </c>
      <c r="HR418" s="293">
        <v>0</v>
      </c>
      <c r="HS418" s="293">
        <v>0</v>
      </c>
      <c r="HT418" s="293">
        <v>0</v>
      </c>
      <c r="HU418" s="293">
        <v>0</v>
      </c>
      <c r="HV418" s="293">
        <v>0</v>
      </c>
      <c r="HW418" s="293">
        <v>0</v>
      </c>
      <c r="HX418" s="293">
        <v>0</v>
      </c>
      <c r="HY418" s="293"/>
      <c r="KT418" s="280"/>
    </row>
    <row r="419" spans="1:306" outlineLevel="1">
      <c r="A419" s="96" t="s">
        <v>495</v>
      </c>
      <c r="B419" s="96" t="s">
        <v>495</v>
      </c>
      <c r="D419" s="321" t="s">
        <v>506</v>
      </c>
      <c r="E419" s="293"/>
      <c r="F419" s="293"/>
      <c r="G419" s="293"/>
      <c r="H419" s="293"/>
      <c r="I419" s="293"/>
      <c r="J419" s="293"/>
      <c r="K419" s="293"/>
      <c r="L419" s="293"/>
      <c r="M419" s="293"/>
      <c r="N419" s="293"/>
      <c r="O419" s="293"/>
      <c r="P419" s="293"/>
      <c r="Q419" s="293"/>
      <c r="R419" s="293"/>
      <c r="S419" s="293"/>
      <c r="T419" s="293"/>
      <c r="U419" s="293"/>
      <c r="V419" s="293"/>
      <c r="W419" s="293"/>
      <c r="X419" s="293"/>
      <c r="Y419" s="29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c r="BN419" s="293"/>
      <c r="BO419" s="293"/>
      <c r="BP419" s="293"/>
      <c r="BQ419" s="293"/>
      <c r="BR419" s="293"/>
      <c r="BS419" s="293"/>
      <c r="BT419" s="293"/>
      <c r="BU419" s="293"/>
      <c r="BV419" s="293"/>
      <c r="BW419" s="293"/>
      <c r="BX419" s="293"/>
      <c r="BY419" s="293"/>
      <c r="BZ419" s="293"/>
      <c r="CA419" s="293"/>
      <c r="CB419" s="293"/>
      <c r="CC419" s="293"/>
      <c r="CD419" s="293"/>
      <c r="CE419" s="293">
        <v>0</v>
      </c>
      <c r="CF419" s="293">
        <v>0</v>
      </c>
      <c r="CG419" s="293">
        <v>0</v>
      </c>
      <c r="CH419" s="293">
        <v>0</v>
      </c>
      <c r="CI419" s="293">
        <v>0</v>
      </c>
      <c r="CJ419" s="293">
        <v>0</v>
      </c>
      <c r="CK419" s="293">
        <v>0</v>
      </c>
      <c r="CL419" s="293">
        <v>0</v>
      </c>
      <c r="CM419" s="293">
        <v>0</v>
      </c>
      <c r="CN419" s="293">
        <v>0</v>
      </c>
      <c r="CO419" s="293">
        <v>0</v>
      </c>
      <c r="CP419" s="295">
        <v>0</v>
      </c>
      <c r="CQ419" s="293">
        <v>0</v>
      </c>
      <c r="CR419" s="293">
        <v>0</v>
      </c>
      <c r="CS419" s="293">
        <v>0</v>
      </c>
      <c r="CT419" s="293">
        <v>0</v>
      </c>
      <c r="CU419" s="293">
        <v>0</v>
      </c>
      <c r="CV419" s="293">
        <v>0</v>
      </c>
      <c r="CW419" s="293">
        <v>0</v>
      </c>
      <c r="CX419" s="293">
        <v>0</v>
      </c>
      <c r="CY419" s="293">
        <v>0</v>
      </c>
      <c r="CZ419" s="293">
        <v>0</v>
      </c>
      <c r="DA419" s="293">
        <v>0</v>
      </c>
      <c r="DB419" s="1288">
        <v>0</v>
      </c>
      <c r="DC419" s="293">
        <v>0</v>
      </c>
      <c r="DD419" s="293">
        <v>0</v>
      </c>
      <c r="DE419" s="293">
        <v>0</v>
      </c>
      <c r="DF419" s="293">
        <v>0</v>
      </c>
      <c r="DG419" s="293">
        <v>0</v>
      </c>
      <c r="DH419" s="293">
        <v>0</v>
      </c>
      <c r="DI419" s="293">
        <v>0</v>
      </c>
      <c r="DJ419" s="293">
        <v>0</v>
      </c>
      <c r="DK419" s="293">
        <v>0</v>
      </c>
      <c r="DL419" s="293">
        <v>0</v>
      </c>
      <c r="DM419" s="293">
        <v>0</v>
      </c>
      <c r="DN419" s="295">
        <v>0</v>
      </c>
      <c r="DO419" s="293">
        <v>0</v>
      </c>
      <c r="DP419" s="293">
        <v>0</v>
      </c>
      <c r="DQ419" s="293">
        <v>0</v>
      </c>
      <c r="DR419" s="293">
        <v>0</v>
      </c>
      <c r="DS419" s="293">
        <v>0</v>
      </c>
      <c r="DT419" s="293">
        <v>0</v>
      </c>
      <c r="DU419" s="293">
        <v>0</v>
      </c>
      <c r="DV419" s="293">
        <v>0</v>
      </c>
      <c r="DW419" s="293">
        <v>0</v>
      </c>
      <c r="DX419" s="293">
        <v>0</v>
      </c>
      <c r="DY419" s="293">
        <v>0</v>
      </c>
      <c r="DZ419" s="295">
        <v>0</v>
      </c>
      <c r="EA419" s="293">
        <v>0</v>
      </c>
      <c r="EB419" s="293">
        <v>0</v>
      </c>
      <c r="EC419" s="293">
        <v>0</v>
      </c>
      <c r="ED419" s="293">
        <v>0</v>
      </c>
      <c r="EE419" s="293">
        <v>0</v>
      </c>
      <c r="EF419" s="293">
        <v>0</v>
      </c>
      <c r="EG419" s="293">
        <v>0</v>
      </c>
      <c r="EH419" s="293">
        <v>0</v>
      </c>
      <c r="EI419" s="293">
        <v>0</v>
      </c>
      <c r="EJ419" s="293">
        <v>0</v>
      </c>
      <c r="EK419" s="293">
        <v>0</v>
      </c>
      <c r="EL419" s="295">
        <v>0</v>
      </c>
      <c r="EM419" s="293">
        <v>0</v>
      </c>
      <c r="EN419" s="293">
        <v>0</v>
      </c>
      <c r="EO419" s="293">
        <v>0</v>
      </c>
      <c r="EP419" s="293">
        <v>0</v>
      </c>
      <c r="EQ419" s="293">
        <v>0</v>
      </c>
      <c r="ER419" s="293">
        <v>0</v>
      </c>
      <c r="ES419" s="293">
        <v>0</v>
      </c>
      <c r="ET419" s="293">
        <v>0</v>
      </c>
      <c r="EU419" s="293">
        <v>0</v>
      </c>
      <c r="EV419" s="293">
        <v>0</v>
      </c>
      <c r="EW419" s="293">
        <v>0</v>
      </c>
      <c r="EX419" s="295">
        <v>0</v>
      </c>
      <c r="EY419" s="293">
        <v>0</v>
      </c>
      <c r="EZ419" s="293">
        <v>0</v>
      </c>
      <c r="FA419" s="293">
        <v>0</v>
      </c>
      <c r="FB419" s="293">
        <v>0</v>
      </c>
      <c r="FC419" s="293">
        <v>0</v>
      </c>
      <c r="FD419" s="293">
        <v>0</v>
      </c>
      <c r="FE419" s="293">
        <v>0</v>
      </c>
      <c r="FF419" s="293">
        <v>0</v>
      </c>
      <c r="FG419" s="293">
        <v>0</v>
      </c>
      <c r="FH419" s="293">
        <v>0</v>
      </c>
      <c r="FI419" s="293">
        <v>0</v>
      </c>
      <c r="FJ419" s="295">
        <v>0</v>
      </c>
      <c r="FK419" s="293">
        <v>0</v>
      </c>
      <c r="FL419" s="293">
        <v>0</v>
      </c>
      <c r="FM419" s="293">
        <v>0</v>
      </c>
      <c r="FN419" s="293">
        <v>0</v>
      </c>
      <c r="FO419" s="293">
        <v>0</v>
      </c>
      <c r="FP419" s="293">
        <v>0</v>
      </c>
      <c r="FQ419" s="293">
        <v>0</v>
      </c>
      <c r="FR419" s="293">
        <v>0</v>
      </c>
      <c r="FS419" s="293">
        <v>0</v>
      </c>
      <c r="FT419" s="293">
        <v>0</v>
      </c>
      <c r="FU419" s="293">
        <v>0</v>
      </c>
      <c r="FV419" s="293">
        <v>0</v>
      </c>
      <c r="FW419" s="293">
        <v>0</v>
      </c>
      <c r="FX419" s="293">
        <v>0</v>
      </c>
      <c r="FY419" s="293">
        <v>0</v>
      </c>
      <c r="FZ419" s="293">
        <v>0</v>
      </c>
      <c r="GA419" s="293">
        <v>0</v>
      </c>
      <c r="GB419" s="293">
        <v>0</v>
      </c>
      <c r="GC419" s="293">
        <v>0</v>
      </c>
      <c r="GD419" s="293">
        <v>0</v>
      </c>
      <c r="GE419" s="293">
        <v>0</v>
      </c>
      <c r="GF419" s="293">
        <v>0</v>
      </c>
      <c r="GG419" s="293">
        <v>0</v>
      </c>
      <c r="GH419" s="293">
        <v>0</v>
      </c>
      <c r="GI419" s="293">
        <v>0</v>
      </c>
      <c r="GJ419" s="293">
        <v>0</v>
      </c>
      <c r="GK419" s="293">
        <v>0</v>
      </c>
      <c r="GL419" s="293">
        <v>0</v>
      </c>
      <c r="GM419" s="293">
        <v>0</v>
      </c>
      <c r="GN419" s="293">
        <v>0</v>
      </c>
      <c r="GO419" s="293">
        <v>0</v>
      </c>
      <c r="GP419" s="293">
        <v>0</v>
      </c>
      <c r="GQ419" s="293">
        <v>0</v>
      </c>
      <c r="GR419" s="293">
        <v>0</v>
      </c>
      <c r="GS419" s="293">
        <v>0</v>
      </c>
      <c r="GT419" s="293">
        <v>0</v>
      </c>
      <c r="GU419" s="293">
        <v>0</v>
      </c>
      <c r="GV419" s="293">
        <v>0</v>
      </c>
      <c r="GW419" s="293">
        <v>0</v>
      </c>
      <c r="GX419" s="293">
        <v>0</v>
      </c>
      <c r="GY419" s="293">
        <v>0</v>
      </c>
      <c r="GZ419" s="293">
        <v>0</v>
      </c>
      <c r="HA419" s="293">
        <v>0</v>
      </c>
      <c r="HB419" s="293">
        <v>0</v>
      </c>
      <c r="HC419" s="293">
        <v>0</v>
      </c>
      <c r="HD419" s="293">
        <v>0</v>
      </c>
      <c r="HE419" s="293">
        <v>0</v>
      </c>
      <c r="HF419" s="293">
        <v>0</v>
      </c>
      <c r="HG419" s="293">
        <v>0</v>
      </c>
      <c r="HH419" s="293">
        <v>0</v>
      </c>
      <c r="HI419" s="293">
        <v>0</v>
      </c>
      <c r="HJ419" s="293">
        <v>0</v>
      </c>
      <c r="HK419" s="293">
        <v>0</v>
      </c>
      <c r="HL419" s="293">
        <v>0</v>
      </c>
      <c r="HM419" s="293">
        <v>0</v>
      </c>
      <c r="HN419" s="293">
        <v>0</v>
      </c>
      <c r="HO419" s="293">
        <v>0</v>
      </c>
      <c r="HP419" s="293">
        <v>0</v>
      </c>
      <c r="HQ419" s="293">
        <v>0</v>
      </c>
      <c r="HR419" s="293">
        <v>0</v>
      </c>
      <c r="HS419" s="293">
        <v>0</v>
      </c>
      <c r="HT419" s="293">
        <v>0</v>
      </c>
      <c r="HU419" s="293">
        <v>0</v>
      </c>
      <c r="HV419" s="293">
        <v>0</v>
      </c>
      <c r="HW419" s="293">
        <v>0</v>
      </c>
      <c r="HX419" s="293">
        <v>0</v>
      </c>
      <c r="HY419" s="293"/>
      <c r="KT419" s="280"/>
    </row>
    <row r="420" spans="1:306" outlineLevel="1">
      <c r="A420" s="96" t="s">
        <v>495</v>
      </c>
      <c r="B420" s="96" t="s">
        <v>495</v>
      </c>
      <c r="D420" s="321" t="s">
        <v>507</v>
      </c>
      <c r="E420" s="293"/>
      <c r="F420" s="293"/>
      <c r="G420" s="293"/>
      <c r="H420" s="293"/>
      <c r="I420" s="293"/>
      <c r="J420" s="293"/>
      <c r="K420" s="293"/>
      <c r="L420" s="293"/>
      <c r="M420" s="293"/>
      <c r="N420" s="293"/>
      <c r="O420" s="293"/>
      <c r="P420" s="293"/>
      <c r="Q420" s="293"/>
      <c r="R420" s="293"/>
      <c r="S420" s="293"/>
      <c r="T420" s="293"/>
      <c r="U420" s="293"/>
      <c r="V420" s="293"/>
      <c r="W420" s="293"/>
      <c r="X420" s="293"/>
      <c r="Y420" s="29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c r="BN420" s="293"/>
      <c r="BO420" s="293"/>
      <c r="BP420" s="293"/>
      <c r="BQ420" s="293"/>
      <c r="BR420" s="293"/>
      <c r="BS420" s="293"/>
      <c r="BT420" s="293"/>
      <c r="BU420" s="293"/>
      <c r="BV420" s="293"/>
      <c r="BW420" s="293"/>
      <c r="BX420" s="293"/>
      <c r="BY420" s="293"/>
      <c r="BZ420" s="293"/>
      <c r="CA420" s="293"/>
      <c r="CB420" s="293"/>
      <c r="CC420" s="293"/>
      <c r="CD420" s="293"/>
      <c r="CE420" s="293">
        <v>0</v>
      </c>
      <c r="CF420" s="293">
        <v>0</v>
      </c>
      <c r="CG420" s="293">
        <v>0</v>
      </c>
      <c r="CH420" s="293">
        <v>0</v>
      </c>
      <c r="CI420" s="293">
        <v>0</v>
      </c>
      <c r="CJ420" s="293">
        <v>0</v>
      </c>
      <c r="CK420" s="293">
        <v>0</v>
      </c>
      <c r="CL420" s="293">
        <v>0</v>
      </c>
      <c r="CM420" s="293">
        <v>0</v>
      </c>
      <c r="CN420" s="293">
        <v>0</v>
      </c>
      <c r="CO420" s="293">
        <v>0</v>
      </c>
      <c r="CP420" s="295">
        <v>0</v>
      </c>
      <c r="CQ420" s="293">
        <v>0</v>
      </c>
      <c r="CR420" s="293">
        <v>0</v>
      </c>
      <c r="CS420" s="293">
        <v>0</v>
      </c>
      <c r="CT420" s="293">
        <v>0</v>
      </c>
      <c r="CU420" s="293">
        <v>0</v>
      </c>
      <c r="CV420" s="293">
        <v>0</v>
      </c>
      <c r="CW420" s="293">
        <v>0</v>
      </c>
      <c r="CX420" s="293">
        <v>0</v>
      </c>
      <c r="CY420" s="293">
        <v>0</v>
      </c>
      <c r="CZ420" s="293">
        <v>0</v>
      </c>
      <c r="DA420" s="293">
        <v>0</v>
      </c>
      <c r="DB420" s="1288">
        <v>0</v>
      </c>
      <c r="DC420" s="293">
        <v>0</v>
      </c>
      <c r="DD420" s="293">
        <v>0</v>
      </c>
      <c r="DE420" s="293">
        <v>0</v>
      </c>
      <c r="DF420" s="293">
        <v>0</v>
      </c>
      <c r="DG420" s="293">
        <v>0</v>
      </c>
      <c r="DH420" s="293">
        <v>0</v>
      </c>
      <c r="DI420" s="293">
        <v>0</v>
      </c>
      <c r="DJ420" s="293">
        <v>0</v>
      </c>
      <c r="DK420" s="293">
        <v>0</v>
      </c>
      <c r="DL420" s="293">
        <v>0</v>
      </c>
      <c r="DM420" s="293">
        <v>0</v>
      </c>
      <c r="DN420" s="295">
        <v>0</v>
      </c>
      <c r="DO420" s="293">
        <v>0</v>
      </c>
      <c r="DP420" s="293">
        <v>0</v>
      </c>
      <c r="DQ420" s="293">
        <v>0</v>
      </c>
      <c r="DR420" s="293">
        <v>0</v>
      </c>
      <c r="DS420" s="293">
        <v>0</v>
      </c>
      <c r="DT420" s="293">
        <v>0</v>
      </c>
      <c r="DU420" s="293">
        <v>0</v>
      </c>
      <c r="DV420" s="293">
        <v>0</v>
      </c>
      <c r="DW420" s="293">
        <v>0</v>
      </c>
      <c r="DX420" s="293">
        <v>0</v>
      </c>
      <c r="DY420" s="293">
        <v>0</v>
      </c>
      <c r="DZ420" s="295">
        <v>0</v>
      </c>
      <c r="EA420" s="293">
        <v>0</v>
      </c>
      <c r="EB420" s="293">
        <v>0</v>
      </c>
      <c r="EC420" s="293">
        <v>0</v>
      </c>
      <c r="ED420" s="293">
        <v>0</v>
      </c>
      <c r="EE420" s="293">
        <v>0</v>
      </c>
      <c r="EF420" s="293">
        <v>0</v>
      </c>
      <c r="EG420" s="293">
        <v>0</v>
      </c>
      <c r="EH420" s="293">
        <v>0</v>
      </c>
      <c r="EI420" s="293">
        <v>0</v>
      </c>
      <c r="EJ420" s="293">
        <v>0</v>
      </c>
      <c r="EK420" s="293">
        <v>0</v>
      </c>
      <c r="EL420" s="295">
        <v>0</v>
      </c>
      <c r="EM420" s="293">
        <v>0</v>
      </c>
      <c r="EN420" s="293">
        <v>0</v>
      </c>
      <c r="EO420" s="293">
        <v>0</v>
      </c>
      <c r="EP420" s="293">
        <v>0</v>
      </c>
      <c r="EQ420" s="293">
        <v>0</v>
      </c>
      <c r="ER420" s="293">
        <v>0</v>
      </c>
      <c r="ES420" s="293">
        <v>0</v>
      </c>
      <c r="ET420" s="293">
        <v>0</v>
      </c>
      <c r="EU420" s="293">
        <v>0</v>
      </c>
      <c r="EV420" s="293">
        <v>0</v>
      </c>
      <c r="EW420" s="293">
        <v>0</v>
      </c>
      <c r="EX420" s="295">
        <v>0</v>
      </c>
      <c r="EY420" s="293">
        <v>0</v>
      </c>
      <c r="EZ420" s="293">
        <v>0</v>
      </c>
      <c r="FA420" s="293">
        <v>0</v>
      </c>
      <c r="FB420" s="293">
        <v>0</v>
      </c>
      <c r="FC420" s="293">
        <v>0</v>
      </c>
      <c r="FD420" s="293">
        <v>0</v>
      </c>
      <c r="FE420" s="293">
        <v>0</v>
      </c>
      <c r="FF420" s="293">
        <v>0</v>
      </c>
      <c r="FG420" s="293">
        <v>0</v>
      </c>
      <c r="FH420" s="293">
        <v>0</v>
      </c>
      <c r="FI420" s="293">
        <v>0</v>
      </c>
      <c r="FJ420" s="295">
        <v>0</v>
      </c>
      <c r="FK420" s="293">
        <v>0</v>
      </c>
      <c r="FL420" s="293">
        <v>0</v>
      </c>
      <c r="FM420" s="293">
        <v>0</v>
      </c>
      <c r="FN420" s="293">
        <v>0</v>
      </c>
      <c r="FO420" s="293">
        <v>0</v>
      </c>
      <c r="FP420" s="293">
        <v>0</v>
      </c>
      <c r="FQ420" s="293">
        <v>0</v>
      </c>
      <c r="FR420" s="293">
        <v>0</v>
      </c>
      <c r="FS420" s="293">
        <v>0</v>
      </c>
      <c r="FT420" s="293">
        <v>0</v>
      </c>
      <c r="FU420" s="293">
        <v>0</v>
      </c>
      <c r="FV420" s="293">
        <v>0</v>
      </c>
      <c r="FW420" s="293">
        <v>0</v>
      </c>
      <c r="FX420" s="293">
        <v>0</v>
      </c>
      <c r="FY420" s="293">
        <v>0</v>
      </c>
      <c r="FZ420" s="293">
        <v>0</v>
      </c>
      <c r="GA420" s="293">
        <v>0</v>
      </c>
      <c r="GB420" s="293">
        <v>0</v>
      </c>
      <c r="GC420" s="293">
        <v>0</v>
      </c>
      <c r="GD420" s="293">
        <v>0</v>
      </c>
      <c r="GE420" s="293">
        <v>0</v>
      </c>
      <c r="GF420" s="293">
        <v>0</v>
      </c>
      <c r="GG420" s="293">
        <v>0</v>
      </c>
      <c r="GH420" s="293">
        <v>0</v>
      </c>
      <c r="GI420" s="293">
        <v>0</v>
      </c>
      <c r="GJ420" s="293">
        <v>0</v>
      </c>
      <c r="GK420" s="293">
        <v>0</v>
      </c>
      <c r="GL420" s="293">
        <v>0</v>
      </c>
      <c r="GM420" s="293">
        <v>0</v>
      </c>
      <c r="GN420" s="293">
        <v>0</v>
      </c>
      <c r="GO420" s="293">
        <v>0</v>
      </c>
      <c r="GP420" s="293">
        <v>0</v>
      </c>
      <c r="GQ420" s="293">
        <v>0</v>
      </c>
      <c r="GR420" s="293">
        <v>0</v>
      </c>
      <c r="GS420" s="293">
        <v>0</v>
      </c>
      <c r="GT420" s="293">
        <v>0</v>
      </c>
      <c r="GU420" s="293">
        <v>0</v>
      </c>
      <c r="GV420" s="293">
        <v>0</v>
      </c>
      <c r="GW420" s="293">
        <v>0</v>
      </c>
      <c r="GX420" s="293">
        <v>0</v>
      </c>
      <c r="GY420" s="293">
        <v>0</v>
      </c>
      <c r="GZ420" s="293">
        <v>0</v>
      </c>
      <c r="HA420" s="293">
        <v>0</v>
      </c>
      <c r="HB420" s="293">
        <v>0</v>
      </c>
      <c r="HC420" s="293">
        <v>0</v>
      </c>
      <c r="HD420" s="293">
        <v>0</v>
      </c>
      <c r="HE420" s="293">
        <v>0</v>
      </c>
      <c r="HF420" s="293">
        <v>0</v>
      </c>
      <c r="HG420" s="293">
        <v>0</v>
      </c>
      <c r="HH420" s="293">
        <v>0</v>
      </c>
      <c r="HI420" s="293">
        <v>0</v>
      </c>
      <c r="HJ420" s="293">
        <v>0</v>
      </c>
      <c r="HK420" s="293">
        <v>0</v>
      </c>
      <c r="HL420" s="293">
        <v>0</v>
      </c>
      <c r="HM420" s="293">
        <v>0</v>
      </c>
      <c r="HN420" s="293">
        <v>0</v>
      </c>
      <c r="HO420" s="293">
        <v>0</v>
      </c>
      <c r="HP420" s="293">
        <v>0</v>
      </c>
      <c r="HQ420" s="293">
        <v>0</v>
      </c>
      <c r="HR420" s="293">
        <v>0</v>
      </c>
      <c r="HS420" s="293">
        <v>0</v>
      </c>
      <c r="HT420" s="293">
        <v>0</v>
      </c>
      <c r="HU420" s="293">
        <v>0</v>
      </c>
      <c r="HV420" s="293">
        <v>0</v>
      </c>
      <c r="HW420" s="293">
        <v>0</v>
      </c>
      <c r="HX420" s="293">
        <v>0</v>
      </c>
      <c r="HY420" s="293"/>
      <c r="KT420" s="280"/>
    </row>
    <row r="421" spans="1:306" outlineLevel="1">
      <c r="A421" s="96" t="s">
        <v>372</v>
      </c>
      <c r="B421" s="96" t="s">
        <v>338</v>
      </c>
      <c r="D421" s="319" t="s">
        <v>510</v>
      </c>
      <c r="E421" s="293"/>
      <c r="F421" s="293"/>
      <c r="G421" s="293"/>
      <c r="H421" s="293"/>
      <c r="I421" s="293"/>
      <c r="J421" s="293"/>
      <c r="K421" s="293"/>
      <c r="L421" s="293"/>
      <c r="M421" s="293"/>
      <c r="N421" s="293"/>
      <c r="O421" s="293"/>
      <c r="P421" s="293"/>
      <c r="Q421" s="293"/>
      <c r="R421" s="293"/>
      <c r="S421" s="293"/>
      <c r="T421" s="293"/>
      <c r="U421" s="293"/>
      <c r="V421" s="293"/>
      <c r="W421" s="293"/>
      <c r="X421" s="293"/>
      <c r="Y421" s="29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c r="BN421" s="293"/>
      <c r="BO421" s="293"/>
      <c r="BP421" s="293"/>
      <c r="BQ421" s="293"/>
      <c r="BR421" s="293"/>
      <c r="BS421" s="293"/>
      <c r="BT421" s="293"/>
      <c r="BU421" s="293"/>
      <c r="BV421" s="293"/>
      <c r="BW421" s="293"/>
      <c r="BX421" s="293"/>
      <c r="BY421" s="293"/>
      <c r="BZ421" s="293"/>
      <c r="CA421" s="293"/>
      <c r="CB421" s="293"/>
      <c r="CC421" s="293"/>
      <c r="CD421" s="293"/>
      <c r="CE421" s="294">
        <v>3.773602833097268</v>
      </c>
      <c r="CF421" s="293">
        <v>7.8182821325727847</v>
      </c>
      <c r="CG421" s="293">
        <v>3.6104804731934399</v>
      </c>
      <c r="CH421" s="293">
        <v>28.03934679175023</v>
      </c>
      <c r="CI421" s="293">
        <v>4.8661733910247236</v>
      </c>
      <c r="CJ421" s="293">
        <v>18.075482076032799</v>
      </c>
      <c r="CK421" s="293">
        <v>3.7769396770250454</v>
      </c>
      <c r="CL421" s="293">
        <v>6.7874119777830728</v>
      </c>
      <c r="CM421" s="293">
        <v>23.460303531456216</v>
      </c>
      <c r="CN421" s="293">
        <v>4.2418208646173605</v>
      </c>
      <c r="CO421" s="293">
        <v>5.9256209439995917</v>
      </c>
      <c r="CP421" s="295">
        <v>26.10459214491987</v>
      </c>
      <c r="CQ421" s="293">
        <v>3.3418364696999996</v>
      </c>
      <c r="CR421" s="293">
        <v>6.5449263030962497</v>
      </c>
      <c r="CS421" s="293">
        <v>7.5501068364899995</v>
      </c>
      <c r="CT421" s="293">
        <v>16.261565968536868</v>
      </c>
      <c r="CU421" s="293">
        <v>4.6290882605947905</v>
      </c>
      <c r="CV421" s="293">
        <v>21.655439408825746</v>
      </c>
      <c r="CW421" s="293">
        <v>6.7834283947911951</v>
      </c>
      <c r="CX421" s="293">
        <v>4.1981558905599998</v>
      </c>
      <c r="CY421" s="293">
        <v>43.364985725967856</v>
      </c>
      <c r="CZ421" s="293">
        <v>23.622884144488452</v>
      </c>
      <c r="DA421" s="293">
        <v>7.0054394432192941</v>
      </c>
      <c r="DB421" s="1288">
        <v>27.583656393924237</v>
      </c>
      <c r="DC421" s="293">
        <v>3.2357062895308499</v>
      </c>
      <c r="DD421" s="293">
        <v>2.2745306210000003</v>
      </c>
      <c r="DE421" s="293">
        <v>13.5381693911893</v>
      </c>
      <c r="DF421" s="293">
        <v>25.970255474577602</v>
      </c>
      <c r="DG421" s="293">
        <v>2.9217145879999999</v>
      </c>
      <c r="DH421" s="293">
        <v>28.899659217306301</v>
      </c>
      <c r="DI421" s="293">
        <v>4.8783868162208996</v>
      </c>
      <c r="DJ421" s="293">
        <v>5.1171349970333297</v>
      </c>
      <c r="DK421" s="293">
        <v>39.4584405782579</v>
      </c>
      <c r="DL421" s="293">
        <v>5.5982327768414804</v>
      </c>
      <c r="DM421" s="293">
        <v>5.6733429452304396</v>
      </c>
      <c r="DN421" s="295">
        <v>30.030674571258427</v>
      </c>
      <c r="DO421" s="293">
        <v>5.864405474916901</v>
      </c>
      <c r="DP421" s="293">
        <v>6.8378481926238717</v>
      </c>
      <c r="DQ421" s="293">
        <v>37.116546520512699</v>
      </c>
      <c r="DR421" s="293">
        <v>12.081748573901143</v>
      </c>
      <c r="DS421" s="293">
        <v>7.3360024290356769</v>
      </c>
      <c r="DT421" s="293">
        <v>43.014089080394044</v>
      </c>
      <c r="DU421" s="293">
        <v>8.1547782268997402</v>
      </c>
      <c r="DV421" s="293">
        <v>7.0820522524339884</v>
      </c>
      <c r="DW421" s="293">
        <v>40.098563240539136</v>
      </c>
      <c r="DX421" s="293">
        <v>8.3576268002064005</v>
      </c>
      <c r="DY421" s="293">
        <v>9.8554637964104632</v>
      </c>
      <c r="DZ421" s="295">
        <v>47.360164741347774</v>
      </c>
      <c r="EA421" s="293">
        <v>7.2527547036434381</v>
      </c>
      <c r="EB421" s="293">
        <v>6.5318750234620744</v>
      </c>
      <c r="EC421" s="293">
        <v>26.858247887388359</v>
      </c>
      <c r="ED421" s="293">
        <v>28.721351107820574</v>
      </c>
      <c r="EE421" s="293">
        <v>8.5077782517982019</v>
      </c>
      <c r="EF421" s="293">
        <v>53.531702429578104</v>
      </c>
      <c r="EG421" s="293">
        <v>11.12780800442701</v>
      </c>
      <c r="EH421" s="293">
        <v>7.7831734905389149</v>
      </c>
      <c r="EI421" s="293">
        <v>23.500836516834458</v>
      </c>
      <c r="EJ421" s="293">
        <v>36.536083130647825</v>
      </c>
      <c r="EK421" s="293">
        <v>17.833473760482146</v>
      </c>
      <c r="EL421" s="295">
        <v>34.345229155187425</v>
      </c>
      <c r="EM421" s="293">
        <v>7.4888774369999993</v>
      </c>
      <c r="EN421" s="293">
        <v>40.843009521381404</v>
      </c>
      <c r="EO421" s="293">
        <v>46.785923167361609</v>
      </c>
      <c r="EP421" s="293">
        <v>18.55738308921201</v>
      </c>
      <c r="EQ421" s="293">
        <v>9.6110066193090482</v>
      </c>
      <c r="ER421" s="293">
        <v>35.266688025447394</v>
      </c>
      <c r="ES421" s="293">
        <v>10.346748043999991</v>
      </c>
      <c r="ET421" s="293">
        <v>5.8391709211</v>
      </c>
      <c r="EU421" s="293">
        <v>43.662565787999995</v>
      </c>
      <c r="EV421" s="293">
        <v>16.099511322836889</v>
      </c>
      <c r="EW421" s="293">
        <v>7.045610838</v>
      </c>
      <c r="EX421" s="295">
        <v>26.208560388999999</v>
      </c>
      <c r="EY421" s="293">
        <v>9.1750337620104041</v>
      </c>
      <c r="EZ421" s="293">
        <v>21.679448522001998</v>
      </c>
      <c r="FA421" s="293">
        <v>48.108473449067887</v>
      </c>
      <c r="FB421" s="293">
        <v>41.303309647297183</v>
      </c>
      <c r="FC421" s="293">
        <v>11.81657427103638</v>
      </c>
      <c r="FD421" s="293">
        <v>41.641741794899325</v>
      </c>
      <c r="FE421" s="293">
        <v>14.735024890960016</v>
      </c>
      <c r="FF421" s="293">
        <v>9.3852508562531689</v>
      </c>
      <c r="FG421" s="293">
        <v>12.538681632529986</v>
      </c>
      <c r="FH421" s="293">
        <v>18.712704155814109</v>
      </c>
      <c r="FI421" s="293">
        <v>37.976299437211026</v>
      </c>
      <c r="FJ421" s="295">
        <v>12.722002488007465</v>
      </c>
      <c r="FK421" s="293">
        <v>8.0981259595561923</v>
      </c>
      <c r="FL421" s="293">
        <v>8.6108858428315358</v>
      </c>
      <c r="FM421" s="293">
        <v>86.909853386565914</v>
      </c>
      <c r="FN421" s="293">
        <v>27.54278671824477</v>
      </c>
      <c r="FO421" s="293">
        <v>11.169055637366844</v>
      </c>
      <c r="FP421" s="293">
        <v>67.230759273435282</v>
      </c>
      <c r="FQ421" s="293">
        <v>10.174064402360132</v>
      </c>
      <c r="FR421" s="293">
        <v>9.5004950430328599</v>
      </c>
      <c r="FS421" s="293">
        <v>16.75108791575078</v>
      </c>
      <c r="FT421" s="293">
        <v>58.472400077390581</v>
      </c>
      <c r="FU421" s="293">
        <v>9.7849742606808618</v>
      </c>
      <c r="FV421" s="293">
        <v>52.07429201195486</v>
      </c>
      <c r="FW421" s="293">
        <v>8.3976877939031542</v>
      </c>
      <c r="FX421" s="293">
        <v>8.441170142468966</v>
      </c>
      <c r="FY421" s="293">
        <v>65.554970758750216</v>
      </c>
      <c r="FZ421" s="293">
        <v>27.739173847568807</v>
      </c>
      <c r="GA421" s="293">
        <v>57.842734102384561</v>
      </c>
      <c r="GB421" s="293">
        <v>30.421683713950962</v>
      </c>
      <c r="GC421" s="293">
        <v>15.110415030851957</v>
      </c>
      <c r="GD421" s="293">
        <v>46.384958962221042</v>
      </c>
      <c r="GE421" s="293">
        <v>23.136475927755605</v>
      </c>
      <c r="GF421" s="293">
        <v>29.472443897830001</v>
      </c>
      <c r="GG421" s="293">
        <v>10.466326267348695</v>
      </c>
      <c r="GH421" s="293">
        <v>67.187691652926262</v>
      </c>
      <c r="GI421" s="293"/>
      <c r="GJ421" s="293"/>
      <c r="GK421" s="293"/>
      <c r="GL421" s="293"/>
      <c r="GM421" s="293"/>
      <c r="GN421" s="293"/>
      <c r="GO421" s="293"/>
      <c r="GP421" s="293"/>
      <c r="GQ421" s="293"/>
      <c r="GR421" s="293"/>
      <c r="GS421" s="293"/>
      <c r="GT421" s="293"/>
      <c r="GU421" s="293"/>
      <c r="GV421" s="293"/>
      <c r="GW421" s="293"/>
      <c r="GX421" s="293"/>
      <c r="GY421" s="293"/>
      <c r="GZ421" s="293"/>
      <c r="HA421" s="293"/>
      <c r="HB421" s="293"/>
      <c r="HC421" s="293"/>
      <c r="HD421" s="293"/>
      <c r="HE421" s="293"/>
      <c r="HF421" s="293"/>
      <c r="HG421" s="293"/>
      <c r="HH421" s="293"/>
      <c r="HI421" s="293"/>
      <c r="HJ421" s="293"/>
      <c r="HK421" s="293"/>
      <c r="HL421" s="293"/>
      <c r="HM421" s="293"/>
      <c r="HN421" s="293"/>
      <c r="HO421" s="293"/>
      <c r="HP421" s="293"/>
      <c r="HQ421" s="293"/>
      <c r="HR421" s="293"/>
      <c r="HS421" s="293"/>
      <c r="HT421" s="293"/>
      <c r="HU421" s="293"/>
      <c r="HV421" s="293"/>
      <c r="HW421" s="293"/>
      <c r="HX421" s="293"/>
      <c r="HY421" s="293"/>
      <c r="KT421" s="280"/>
    </row>
    <row r="422" spans="1:306" outlineLevel="1">
      <c r="A422" s="96" t="s">
        <v>372</v>
      </c>
      <c r="B422" s="96" t="s">
        <v>338</v>
      </c>
      <c r="D422" s="320" t="s">
        <v>511</v>
      </c>
      <c r="E422" s="293"/>
      <c r="F422" s="293"/>
      <c r="G422" s="293"/>
      <c r="H422" s="293"/>
      <c r="I422" s="293"/>
      <c r="J422" s="293"/>
      <c r="K422" s="293"/>
      <c r="L422" s="293"/>
      <c r="M422" s="293"/>
      <c r="N422" s="293"/>
      <c r="O422" s="293"/>
      <c r="P422" s="293"/>
      <c r="Q422" s="293"/>
      <c r="R422" s="293"/>
      <c r="S422" s="293"/>
      <c r="T422" s="293"/>
      <c r="U422" s="293"/>
      <c r="V422" s="293"/>
      <c r="W422" s="293"/>
      <c r="X422" s="293"/>
      <c r="Y422" s="29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c r="BN422" s="293"/>
      <c r="BO422" s="293"/>
      <c r="BP422" s="293"/>
      <c r="BQ422" s="293"/>
      <c r="BR422" s="293"/>
      <c r="BS422" s="293"/>
      <c r="BT422" s="293"/>
      <c r="BU422" s="293"/>
      <c r="BV422" s="293"/>
      <c r="BW422" s="293"/>
      <c r="BX422" s="293"/>
      <c r="BY422" s="293"/>
      <c r="BZ422" s="293"/>
      <c r="CA422" s="293"/>
      <c r="CB422" s="293"/>
      <c r="CC422" s="293"/>
      <c r="CD422" s="293"/>
      <c r="CE422" s="294">
        <v>0.42411765699999998</v>
      </c>
      <c r="CF422" s="293">
        <v>2.5073829549999997</v>
      </c>
      <c r="CG422" s="293">
        <v>0.49407995200000004</v>
      </c>
      <c r="CH422" s="293">
        <v>0.39170781799999999</v>
      </c>
      <c r="CI422" s="293">
        <v>0.53165609300000005</v>
      </c>
      <c r="CJ422" s="293">
        <v>0.34950223200000002</v>
      </c>
      <c r="CK422" s="293">
        <v>0.273336464</v>
      </c>
      <c r="CL422" s="293">
        <v>0.37588870600000002</v>
      </c>
      <c r="CM422" s="293">
        <v>0.27494637999999999</v>
      </c>
      <c r="CN422" s="293">
        <v>0.50402692500000001</v>
      </c>
      <c r="CO422" s="293">
        <v>0.42779299499999995</v>
      </c>
      <c r="CP422" s="295">
        <v>0.20996990900000001</v>
      </c>
      <c r="CQ422" s="293">
        <v>0.25210226200000002</v>
      </c>
      <c r="CR422" s="293">
        <v>2.6261131999999998</v>
      </c>
      <c r="CS422" s="293">
        <v>1.899018369</v>
      </c>
      <c r="CT422" s="293">
        <v>0.22562015299999999</v>
      </c>
      <c r="CU422" s="293">
        <v>0.19519945999999999</v>
      </c>
      <c r="CV422" s="293">
        <v>5.6464017999999998E-2</v>
      </c>
      <c r="CW422" s="293">
        <v>0.109400867</v>
      </c>
      <c r="CX422" s="293">
        <v>0.17085389600000001</v>
      </c>
      <c r="CY422" s="293">
        <v>0.201691177</v>
      </c>
      <c r="CZ422" s="293">
        <v>0.348341079</v>
      </c>
      <c r="DA422" s="293">
        <v>0.25666332400000003</v>
      </c>
      <c r="DB422" s="1288">
        <v>3.3604609779999999</v>
      </c>
      <c r="DC422" s="293">
        <v>0</v>
      </c>
      <c r="DD422" s="293">
        <v>0</v>
      </c>
      <c r="DE422" s="293">
        <v>0.311</v>
      </c>
      <c r="DF422" s="293">
        <v>8.0000000000000002E-3</v>
      </c>
      <c r="DG422" s="293">
        <v>0</v>
      </c>
      <c r="DH422" s="293">
        <v>0.15</v>
      </c>
      <c r="DI422" s="293">
        <v>0</v>
      </c>
      <c r="DJ422" s="293">
        <v>4.0000000000000001E-3</v>
      </c>
      <c r="DK422" s="293">
        <v>0</v>
      </c>
      <c r="DL422" s="293">
        <v>0.33400000000000002</v>
      </c>
      <c r="DM422" s="293">
        <v>0</v>
      </c>
      <c r="DN422" s="295">
        <v>4.093</v>
      </c>
      <c r="DO422" s="293">
        <v>0.27275503595865902</v>
      </c>
      <c r="DP422" s="293">
        <v>0.13691573476460012</v>
      </c>
      <c r="DQ422" s="293">
        <v>0.29403610878610426</v>
      </c>
      <c r="DR422" s="293">
        <v>0.37726801619882</v>
      </c>
      <c r="DS422" s="293">
        <v>0.19325706514218965</v>
      </c>
      <c r="DT422" s="293">
        <v>0.38170584152654141</v>
      </c>
      <c r="DU422" s="293">
        <v>0.17927338428701151</v>
      </c>
      <c r="DV422" s="293">
        <v>0.3562400584501112</v>
      </c>
      <c r="DW422" s="293">
        <v>0.60798901617621515</v>
      </c>
      <c r="DX422" s="293">
        <v>0.17125279287636225</v>
      </c>
      <c r="DY422" s="293">
        <v>0.47455601938920611</v>
      </c>
      <c r="DZ422" s="295">
        <v>4.1264848004812089</v>
      </c>
      <c r="EA422" s="293">
        <v>0.99990214406361466</v>
      </c>
      <c r="EB422" s="293">
        <v>0.27852339059275361</v>
      </c>
      <c r="EC422" s="293">
        <v>0.20422662926574031</v>
      </c>
      <c r="ED422" s="293">
        <v>0.74494557809681083</v>
      </c>
      <c r="EE422" s="293">
        <v>0.63782926969350562</v>
      </c>
      <c r="EF422" s="293">
        <v>1.972298738839442</v>
      </c>
      <c r="EG422" s="293">
        <v>0.73811955136459251</v>
      </c>
      <c r="EH422" s="293">
        <v>0.38431697922910513</v>
      </c>
      <c r="EI422" s="293">
        <v>0.40575158412395818</v>
      </c>
      <c r="EJ422" s="293">
        <v>0.38080934176827952</v>
      </c>
      <c r="EK422" s="293">
        <v>0.12208876173982063</v>
      </c>
      <c r="EL422" s="295">
        <v>2.7741284554356915</v>
      </c>
      <c r="EM422" s="293">
        <v>0.446381417</v>
      </c>
      <c r="EN422" s="293">
        <v>0.37882296199999999</v>
      </c>
      <c r="EO422" s="293">
        <v>0.43899298399999997</v>
      </c>
      <c r="EP422" s="293">
        <v>0.41913514200000002</v>
      </c>
      <c r="EQ422" s="293">
        <v>0.37956826100000002</v>
      </c>
      <c r="ER422" s="293">
        <v>0.46952987499999999</v>
      </c>
      <c r="ES422" s="293">
        <v>0.37303118600000001</v>
      </c>
      <c r="ET422" s="293">
        <v>0.39464575600000001</v>
      </c>
      <c r="EU422" s="293">
        <v>0.38522885299999998</v>
      </c>
      <c r="EV422" s="293">
        <v>0.31141468500000002</v>
      </c>
      <c r="EW422" s="293">
        <v>0.36140069600000002</v>
      </c>
      <c r="EX422" s="295">
        <v>0.37888442500000002</v>
      </c>
      <c r="EY422" s="293">
        <v>1.5790409411999997</v>
      </c>
      <c r="EZ422" s="293">
        <v>2.5435839422800002</v>
      </c>
      <c r="FA422" s="293">
        <v>2.2017863289999999</v>
      </c>
      <c r="FB422" s="293">
        <v>1.5297826892399999</v>
      </c>
      <c r="FC422" s="293">
        <v>2.7402879711199999</v>
      </c>
      <c r="FD422" s="293">
        <v>1.9113574153999999</v>
      </c>
      <c r="FE422" s="293">
        <v>1.24339174502</v>
      </c>
      <c r="FF422" s="293">
        <v>1.59248714214</v>
      </c>
      <c r="FG422" s="293">
        <v>1.7139272865199999</v>
      </c>
      <c r="FH422" s="293">
        <v>1.19660034264</v>
      </c>
      <c r="FI422" s="293">
        <v>0.80393395703999992</v>
      </c>
      <c r="FJ422" s="295">
        <v>1.2714591299400004</v>
      </c>
      <c r="FK422" s="293">
        <v>1.5928214432000001</v>
      </c>
      <c r="FL422" s="293">
        <v>1.24998923837</v>
      </c>
      <c r="FM422" s="293">
        <v>1.518097074715266</v>
      </c>
      <c r="FN422" s="293">
        <v>1.7416583268114421</v>
      </c>
      <c r="FO422" s="293">
        <v>1.1670106619498282</v>
      </c>
      <c r="FP422" s="293">
        <v>1.770644669555832</v>
      </c>
      <c r="FQ422" s="293">
        <v>1.8155118051784016</v>
      </c>
      <c r="FR422" s="293">
        <v>2.0569109538487074</v>
      </c>
      <c r="FS422" s="293">
        <v>1.4406132151087707</v>
      </c>
      <c r="FT422" s="293">
        <v>1.4564551837749273</v>
      </c>
      <c r="FU422" s="293">
        <v>1.4431878242198071</v>
      </c>
      <c r="FV422" s="293">
        <v>2.3315102905560745</v>
      </c>
      <c r="FW422" s="293">
        <v>1.9413417945431548</v>
      </c>
      <c r="FX422" s="293">
        <v>0.93562625923935228</v>
      </c>
      <c r="FY422" s="293">
        <v>1.3737111405424205</v>
      </c>
      <c r="FZ422" s="293">
        <v>0.8299057456765998</v>
      </c>
      <c r="GA422" s="293">
        <v>0.82019962607456109</v>
      </c>
      <c r="GB422" s="293">
        <v>1.1932862675797971</v>
      </c>
      <c r="GC422" s="293">
        <v>1.0970836272819584</v>
      </c>
      <c r="GD422" s="293">
        <v>0.8630207143460058</v>
      </c>
      <c r="GE422" s="293">
        <v>0.83827016145915012</v>
      </c>
      <c r="GF422" s="293">
        <v>0.59219634099999996</v>
      </c>
      <c r="GG422" s="293">
        <v>1.279616879</v>
      </c>
      <c r="GH422" s="293">
        <v>1.585185066</v>
      </c>
      <c r="GI422" s="293">
        <v>1.394870656698409</v>
      </c>
      <c r="GJ422" s="293">
        <v>1.5214866952370725</v>
      </c>
      <c r="GK422" s="293">
        <v>1.3287745824178832</v>
      </c>
      <c r="GL422" s="293">
        <v>1.1531979933135186</v>
      </c>
      <c r="GM422" s="293">
        <v>0.89835558173760088</v>
      </c>
      <c r="GN422" s="293">
        <v>1.7016470251771298</v>
      </c>
      <c r="GO422" s="293">
        <v>1.1333693422496438</v>
      </c>
      <c r="GP422" s="293">
        <v>0.74823814801286437</v>
      </c>
      <c r="GQ422" s="293">
        <v>1.2292553834790385</v>
      </c>
      <c r="GR422" s="293">
        <v>1.41419585798</v>
      </c>
      <c r="GS422" s="293">
        <v>0.96602921900000005</v>
      </c>
      <c r="GT422" s="293">
        <v>1.1407991200000001</v>
      </c>
      <c r="GU422" s="293">
        <v>1.3015250044</v>
      </c>
      <c r="GV422" s="293">
        <v>1.1709209948000001</v>
      </c>
      <c r="GW422" s="293">
        <v>1.293057557</v>
      </c>
      <c r="GX422" s="293">
        <v>1.0839306975</v>
      </c>
      <c r="GY422" s="293">
        <v>1.12674518615</v>
      </c>
      <c r="GZ422" s="293">
        <v>1.0460221473</v>
      </c>
      <c r="HA422" s="293">
        <v>1.159986167</v>
      </c>
      <c r="HB422" s="293">
        <v>1.3487452909890718</v>
      </c>
      <c r="HC422" s="293">
        <v>1.1820561762499999</v>
      </c>
      <c r="HD422" s="293">
        <v>1.6419433128000001</v>
      </c>
      <c r="HE422" s="293">
        <v>10.665542854</v>
      </c>
      <c r="HF422" s="293">
        <v>1.4559923667500001</v>
      </c>
      <c r="HG422" s="293">
        <v>1.6216983287</v>
      </c>
      <c r="HH422" s="293">
        <v>1.0662832596</v>
      </c>
      <c r="HI422" s="293">
        <v>0.22232799119999999</v>
      </c>
      <c r="HJ422" s="293">
        <v>0.25443477785000002</v>
      </c>
      <c r="HK422" s="293">
        <v>0.19089202594999999</v>
      </c>
      <c r="HL422" s="293">
        <v>0.28605253489999999</v>
      </c>
      <c r="HM422" s="293">
        <v>0.28035572514999996</v>
      </c>
      <c r="HN422" s="293">
        <v>0.30719848839999997</v>
      </c>
      <c r="HO422" s="293">
        <v>0.24569497775000002</v>
      </c>
      <c r="HP422" s="293">
        <v>0.11852685804999999</v>
      </c>
      <c r="HQ422" s="293">
        <v>0.76571388524999995</v>
      </c>
      <c r="HR422" s="293">
        <v>7.4814296821999999</v>
      </c>
      <c r="HS422" s="293">
        <v>0.48066877845</v>
      </c>
      <c r="HT422" s="293">
        <v>0.2232557275</v>
      </c>
      <c r="HU422" s="293">
        <v>0.22240996100000002</v>
      </c>
      <c r="HV422" s="293">
        <v>0.251888997</v>
      </c>
      <c r="HW422" s="293">
        <v>0.18649309324999999</v>
      </c>
      <c r="HX422" s="293">
        <v>18.10201110225</v>
      </c>
      <c r="HY422" s="293"/>
      <c r="KT422" s="280"/>
    </row>
    <row r="423" spans="1:306" outlineLevel="1">
      <c r="A423" s="96" t="s">
        <v>372</v>
      </c>
      <c r="B423" s="96" t="s">
        <v>338</v>
      </c>
      <c r="D423" s="321" t="s">
        <v>512</v>
      </c>
      <c r="E423" s="293"/>
      <c r="F423" s="293"/>
      <c r="G423" s="293"/>
      <c r="H423" s="293"/>
      <c r="I423" s="293"/>
      <c r="J423" s="293"/>
      <c r="K423" s="293"/>
      <c r="L423" s="293"/>
      <c r="M423" s="293"/>
      <c r="N423" s="293"/>
      <c r="O423" s="293"/>
      <c r="P423" s="293"/>
      <c r="Q423" s="293"/>
      <c r="R423" s="293"/>
      <c r="S423" s="293"/>
      <c r="T423" s="293"/>
      <c r="U423" s="293"/>
      <c r="V423" s="293"/>
      <c r="W423" s="293"/>
      <c r="X423" s="293"/>
      <c r="Y423" s="29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c r="BN423" s="293"/>
      <c r="BO423" s="293"/>
      <c r="BP423" s="293"/>
      <c r="BQ423" s="293"/>
      <c r="BR423" s="293"/>
      <c r="BS423" s="293"/>
      <c r="BT423" s="293"/>
      <c r="BU423" s="293"/>
      <c r="BV423" s="293"/>
      <c r="BW423" s="293"/>
      <c r="BX423" s="293"/>
      <c r="BY423" s="293"/>
      <c r="BZ423" s="293"/>
      <c r="CA423" s="293"/>
      <c r="CB423" s="293"/>
      <c r="CC423" s="293"/>
      <c r="CD423" s="293"/>
      <c r="CE423" s="294">
        <v>0.31953783099999999</v>
      </c>
      <c r="CF423" s="293">
        <v>1.2531272</v>
      </c>
      <c r="CG423" s="293">
        <v>0.41102835000000004</v>
      </c>
      <c r="CH423" s="293">
        <v>0.34850524399999999</v>
      </c>
      <c r="CI423" s="293">
        <v>0.53165609300000005</v>
      </c>
      <c r="CJ423" s="293">
        <v>0.34950223200000002</v>
      </c>
      <c r="CK423" s="293">
        <v>0.23318187400000001</v>
      </c>
      <c r="CL423" s="293">
        <v>0.37588870600000002</v>
      </c>
      <c r="CM423" s="293">
        <v>0.27494637999999999</v>
      </c>
      <c r="CN423" s="293">
        <v>9.0026925000000008E-2</v>
      </c>
      <c r="CO423" s="293">
        <v>0.38279299499999997</v>
      </c>
      <c r="CP423" s="295">
        <v>0.20996990900000001</v>
      </c>
      <c r="CQ423" s="293">
        <v>0.25210226200000002</v>
      </c>
      <c r="CR423" s="293">
        <v>2.3781132</v>
      </c>
      <c r="CS423" s="293">
        <v>1.899018369</v>
      </c>
      <c r="CT423" s="293">
        <v>0.22562015299999999</v>
      </c>
      <c r="CU423" s="293">
        <v>0.19519945999999999</v>
      </c>
      <c r="CV423" s="293">
        <v>5.6464017999999998E-2</v>
      </c>
      <c r="CW423" s="293">
        <v>0.109400867</v>
      </c>
      <c r="CX423" s="293">
        <v>0.17085389600000001</v>
      </c>
      <c r="CY423" s="293">
        <v>0.201691177</v>
      </c>
      <c r="CZ423" s="293">
        <v>0.288341079</v>
      </c>
      <c r="DA423" s="293">
        <v>0.25666332400000003</v>
      </c>
      <c r="DB423" s="1288">
        <v>0.27646097800000002</v>
      </c>
      <c r="DC423" s="293">
        <v>0</v>
      </c>
      <c r="DD423" s="293">
        <v>0</v>
      </c>
      <c r="DE423" s="293">
        <v>0</v>
      </c>
      <c r="DF423" s="293">
        <v>0</v>
      </c>
      <c r="DG423" s="293">
        <v>0</v>
      </c>
      <c r="DH423" s="293">
        <v>0</v>
      </c>
      <c r="DI423" s="293">
        <v>0</v>
      </c>
      <c r="DJ423" s="293">
        <v>4.0000000000000001E-3</v>
      </c>
      <c r="DK423" s="293">
        <v>0</v>
      </c>
      <c r="DL423" s="293">
        <v>2E-3</v>
      </c>
      <c r="DM423" s="293">
        <v>0</v>
      </c>
      <c r="DN423" s="295">
        <v>1.548</v>
      </c>
      <c r="DO423" s="293">
        <v>0.27275503595865902</v>
      </c>
      <c r="DP423" s="293">
        <v>0.13691573476460012</v>
      </c>
      <c r="DQ423" s="293">
        <v>0.29403610878610426</v>
      </c>
      <c r="DR423" s="293">
        <v>0.37726801619882</v>
      </c>
      <c r="DS423" s="293">
        <v>0.19325706514218965</v>
      </c>
      <c r="DT423" s="293">
        <v>0.38170584152654141</v>
      </c>
      <c r="DU423" s="293">
        <v>0.17927338428701151</v>
      </c>
      <c r="DV423" s="293">
        <v>0.3562400584501112</v>
      </c>
      <c r="DW423" s="293">
        <v>0.60798901617621515</v>
      </c>
      <c r="DX423" s="293">
        <v>0.17125279287636225</v>
      </c>
      <c r="DY423" s="293">
        <v>0.47455601938920611</v>
      </c>
      <c r="DZ423" s="295">
        <v>0.86503258648120851</v>
      </c>
      <c r="EA423" s="293">
        <v>0.99990214406361466</v>
      </c>
      <c r="EB423" s="293">
        <v>0.27852339059275361</v>
      </c>
      <c r="EC423" s="293">
        <v>0.20422662926574031</v>
      </c>
      <c r="ED423" s="293">
        <v>0.23100134709681086</v>
      </c>
      <c r="EE423" s="293">
        <v>0.63782926969350562</v>
      </c>
      <c r="EF423" s="293">
        <v>1.972298738839442</v>
      </c>
      <c r="EG423" s="293">
        <v>0.73811955136459251</v>
      </c>
      <c r="EH423" s="293">
        <v>0.38431697922910513</v>
      </c>
      <c r="EI423" s="293">
        <v>0.40575158412395818</v>
      </c>
      <c r="EJ423" s="293">
        <v>0.17080934176827953</v>
      </c>
      <c r="EK423" s="293">
        <v>0.10608876173982063</v>
      </c>
      <c r="EL423" s="295">
        <v>0.16210954043569137</v>
      </c>
      <c r="EM423" s="293">
        <v>0</v>
      </c>
      <c r="EN423" s="293">
        <v>0</v>
      </c>
      <c r="EO423" s="293">
        <v>0</v>
      </c>
      <c r="EP423" s="293">
        <v>0</v>
      </c>
      <c r="EQ423" s="293">
        <v>0</v>
      </c>
      <c r="ER423" s="293">
        <v>0</v>
      </c>
      <c r="ES423" s="293">
        <v>0</v>
      </c>
      <c r="ET423" s="293">
        <v>0</v>
      </c>
      <c r="EU423" s="293">
        <v>0</v>
      </c>
      <c r="EV423" s="293">
        <v>0</v>
      </c>
      <c r="EW423" s="293">
        <v>0</v>
      </c>
      <c r="EX423" s="295">
        <v>0</v>
      </c>
      <c r="EY423" s="293">
        <v>1.0603227551999999</v>
      </c>
      <c r="EZ423" s="293">
        <v>2.3138055242800002</v>
      </c>
      <c r="FA423" s="293">
        <v>1.9311447209999999</v>
      </c>
      <c r="FB423" s="293">
        <v>1.2681437422399999</v>
      </c>
      <c r="FC423" s="293">
        <v>2.46918483912</v>
      </c>
      <c r="FD423" s="293">
        <v>1.5401608593999998</v>
      </c>
      <c r="FE423" s="293">
        <v>0.95148537501999997</v>
      </c>
      <c r="FF423" s="293">
        <v>1.3194295061399999</v>
      </c>
      <c r="FG423" s="293">
        <v>1.46625427952</v>
      </c>
      <c r="FH423" s="293">
        <v>0.97736562364000013</v>
      </c>
      <c r="FI423" s="293">
        <v>0.54316732103999998</v>
      </c>
      <c r="FJ423" s="295">
        <v>1.1830160649400003</v>
      </c>
      <c r="FK423" s="293">
        <v>0.93103091020000006</v>
      </c>
      <c r="FL423" s="293">
        <v>0.96139398136999998</v>
      </c>
      <c r="FM423" s="293">
        <v>1.2506923210400001</v>
      </c>
      <c r="FN423" s="293">
        <v>1.1685909724609986</v>
      </c>
      <c r="FO423" s="293">
        <v>0.91123084888249695</v>
      </c>
      <c r="FP423" s="293">
        <v>1.4607784838678952</v>
      </c>
      <c r="FQ423" s="293">
        <v>1.4595349277567042</v>
      </c>
      <c r="FR423" s="293">
        <v>1.8308382841322961</v>
      </c>
      <c r="FS423" s="293">
        <v>1.0249331411440332</v>
      </c>
      <c r="FT423" s="293">
        <v>0.90877478960336411</v>
      </c>
      <c r="FU423" s="293">
        <v>1.0316682406701274</v>
      </c>
      <c r="FV423" s="293">
        <v>1.6524999792397439</v>
      </c>
      <c r="FW423" s="293">
        <v>1.7007960426910091</v>
      </c>
      <c r="FX423" s="293">
        <v>0.79959669542324818</v>
      </c>
      <c r="FY423" s="293">
        <v>1.2455452996862408</v>
      </c>
      <c r="FZ423" s="293">
        <v>0.81583218204676855</v>
      </c>
      <c r="GA423" s="293">
        <v>0.82018315040790779</v>
      </c>
      <c r="GB423" s="293">
        <v>1.141135206401904</v>
      </c>
      <c r="GC423" s="293">
        <v>1.0970836272819584</v>
      </c>
      <c r="GD423" s="293">
        <v>0.83797054894602541</v>
      </c>
      <c r="GE423" s="293">
        <v>0.83827016145915012</v>
      </c>
      <c r="GF423" s="293">
        <v>0.59219634099999996</v>
      </c>
      <c r="GG423" s="293">
        <v>1.279616879</v>
      </c>
      <c r="GH423" s="293">
        <v>1.585185066</v>
      </c>
      <c r="GI423" s="293">
        <v>0.53065387711361145</v>
      </c>
      <c r="GJ423" s="293">
        <v>0.80185078515701469</v>
      </c>
      <c r="GK423" s="293">
        <v>0.53416604367341647</v>
      </c>
      <c r="GL423" s="293">
        <v>0.57592804931351838</v>
      </c>
      <c r="GM423" s="293">
        <v>0.24123587277145539</v>
      </c>
      <c r="GN423" s="293">
        <v>0.75691242965084937</v>
      </c>
      <c r="GO423" s="293">
        <v>0.21224006759173406</v>
      </c>
      <c r="GP423" s="293">
        <v>0.1624172070128643</v>
      </c>
      <c r="GQ423" s="293">
        <v>0.48718092297107868</v>
      </c>
      <c r="GR423" s="293">
        <v>0.54503668098000002</v>
      </c>
      <c r="GS423" s="293">
        <v>0.29089334500000003</v>
      </c>
      <c r="GT423" s="293">
        <v>0.33836328300000001</v>
      </c>
      <c r="GU423" s="293">
        <v>0.28986165739999997</v>
      </c>
      <c r="GV423" s="293">
        <v>0.38619191680000009</v>
      </c>
      <c r="GW423" s="293">
        <v>0.54144656599999996</v>
      </c>
      <c r="GX423" s="293">
        <v>0.2007817415</v>
      </c>
      <c r="GY423" s="293">
        <v>0.31793908015</v>
      </c>
      <c r="GZ423" s="293">
        <v>0.33982641530000002</v>
      </c>
      <c r="HA423" s="293">
        <v>0.18146204899999999</v>
      </c>
      <c r="HB423" s="293">
        <v>0.35237570398907175</v>
      </c>
      <c r="HC423" s="293">
        <v>0.45324221125000003</v>
      </c>
      <c r="HD423" s="293">
        <v>0.40902524880000002</v>
      </c>
      <c r="HE423" s="293">
        <v>0.36810757999999999</v>
      </c>
      <c r="HF423" s="293">
        <v>0.41576074974999999</v>
      </c>
      <c r="HG423" s="293">
        <v>0.2952884717</v>
      </c>
      <c r="HH423" s="293">
        <v>0.30457031560000003</v>
      </c>
      <c r="HI423" s="293">
        <v>0.19902697019999999</v>
      </c>
      <c r="HJ423" s="293">
        <v>0.25352194385000004</v>
      </c>
      <c r="HK423" s="293">
        <v>0.17668310194999998</v>
      </c>
      <c r="HL423" s="293">
        <v>0.27235725389999998</v>
      </c>
      <c r="HM423" s="293">
        <v>0.25795349214999996</v>
      </c>
      <c r="HN423" s="293">
        <v>0.2742077114</v>
      </c>
      <c r="HO423" s="293">
        <v>0.24389953575000001</v>
      </c>
      <c r="HP423" s="293">
        <v>0.10689349505</v>
      </c>
      <c r="HQ423" s="293">
        <v>0.21122163525000001</v>
      </c>
      <c r="HR423" s="293">
        <v>0.17270739419999998</v>
      </c>
      <c r="HS423" s="293">
        <v>0.47817328344999999</v>
      </c>
      <c r="HT423" s="293">
        <v>0.22092706149999999</v>
      </c>
      <c r="HU423" s="293">
        <v>0.21872473000000001</v>
      </c>
      <c r="HV423" s="293">
        <v>0.24877479999999999</v>
      </c>
      <c r="HW423" s="293">
        <v>0.18379633525</v>
      </c>
      <c r="HX423" s="293">
        <v>9.9156907249999995E-2</v>
      </c>
      <c r="HY423" s="293"/>
      <c r="KT423" s="280"/>
    </row>
    <row r="424" spans="1:306" outlineLevel="1">
      <c r="A424" s="96" t="s">
        <v>372</v>
      </c>
      <c r="B424" s="96" t="s">
        <v>338</v>
      </c>
      <c r="D424" s="321" t="s">
        <v>513</v>
      </c>
      <c r="E424" s="293"/>
      <c r="F424" s="293"/>
      <c r="G424" s="293"/>
      <c r="H424" s="293"/>
      <c r="I424" s="293"/>
      <c r="J424" s="293"/>
      <c r="K424" s="293"/>
      <c r="L424" s="293"/>
      <c r="M424" s="293"/>
      <c r="N424" s="293"/>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c r="BN424" s="293"/>
      <c r="BO424" s="293"/>
      <c r="BP424" s="293"/>
      <c r="BQ424" s="293"/>
      <c r="BR424" s="293"/>
      <c r="BS424" s="293"/>
      <c r="BT424" s="293"/>
      <c r="BU424" s="293"/>
      <c r="BV424" s="293"/>
      <c r="BW424" s="293"/>
      <c r="BX424" s="293"/>
      <c r="BY424" s="293"/>
      <c r="BZ424" s="293"/>
      <c r="CA424" s="293"/>
      <c r="CB424" s="293"/>
      <c r="CC424" s="293"/>
      <c r="CD424" s="293"/>
      <c r="CE424" s="294">
        <v>0.104579826</v>
      </c>
      <c r="CF424" s="293">
        <v>1.254255755</v>
      </c>
      <c r="CG424" s="293">
        <v>8.3051602000000002E-2</v>
      </c>
      <c r="CH424" s="293">
        <v>4.3202574000000001E-2</v>
      </c>
      <c r="CI424" s="293">
        <v>0</v>
      </c>
      <c r="CJ424" s="293">
        <v>0</v>
      </c>
      <c r="CK424" s="293">
        <v>4.0154589999999997E-2</v>
      </c>
      <c r="CL424" s="293">
        <v>0</v>
      </c>
      <c r="CM424" s="293">
        <v>0</v>
      </c>
      <c r="CN424" s="293">
        <v>0.41399999999999998</v>
      </c>
      <c r="CO424" s="293">
        <v>4.4999999999999998E-2</v>
      </c>
      <c r="CP424" s="295">
        <v>0</v>
      </c>
      <c r="CQ424" s="293">
        <v>0</v>
      </c>
      <c r="CR424" s="293">
        <v>0.248</v>
      </c>
      <c r="CS424" s="293">
        <v>0</v>
      </c>
      <c r="CT424" s="293">
        <v>0</v>
      </c>
      <c r="CU424" s="293">
        <v>0</v>
      </c>
      <c r="CV424" s="293">
        <v>0</v>
      </c>
      <c r="CW424" s="293">
        <v>0</v>
      </c>
      <c r="CX424" s="293">
        <v>0</v>
      </c>
      <c r="CY424" s="293">
        <v>0</v>
      </c>
      <c r="CZ424" s="293">
        <v>0.06</v>
      </c>
      <c r="DA424" s="293">
        <v>0</v>
      </c>
      <c r="DB424" s="1288">
        <v>3.0840000000000001</v>
      </c>
      <c r="DC424" s="293">
        <v>0</v>
      </c>
      <c r="DD424" s="293">
        <v>0</v>
      </c>
      <c r="DE424" s="293">
        <v>0.311</v>
      </c>
      <c r="DF424" s="293">
        <v>8.0000000000000002E-3</v>
      </c>
      <c r="DG424" s="293">
        <v>0</v>
      </c>
      <c r="DH424" s="293">
        <v>0.15</v>
      </c>
      <c r="DI424" s="293">
        <v>0</v>
      </c>
      <c r="DJ424" s="293">
        <v>0</v>
      </c>
      <c r="DK424" s="293">
        <v>0</v>
      </c>
      <c r="DL424" s="293">
        <v>0.33200000000000002</v>
      </c>
      <c r="DM424" s="293">
        <v>0</v>
      </c>
      <c r="DN424" s="295">
        <v>2.5449999999999999</v>
      </c>
      <c r="DO424" s="293">
        <v>0</v>
      </c>
      <c r="DP424" s="293">
        <v>0</v>
      </c>
      <c r="DQ424" s="293">
        <v>0</v>
      </c>
      <c r="DR424" s="293">
        <v>0</v>
      </c>
      <c r="DS424" s="293">
        <v>0</v>
      </c>
      <c r="DT424" s="293">
        <v>0</v>
      </c>
      <c r="DU424" s="293">
        <v>0</v>
      </c>
      <c r="DV424" s="293">
        <v>0</v>
      </c>
      <c r="DW424" s="293">
        <v>0</v>
      </c>
      <c r="DX424" s="293">
        <v>0</v>
      </c>
      <c r="DY424" s="293">
        <v>0</v>
      </c>
      <c r="DZ424" s="295">
        <v>3.2614522140000002</v>
      </c>
      <c r="EA424" s="293">
        <v>0</v>
      </c>
      <c r="EB424" s="293">
        <v>0</v>
      </c>
      <c r="EC424" s="293">
        <v>0</v>
      </c>
      <c r="ED424" s="293">
        <v>0.51394423099999997</v>
      </c>
      <c r="EE424" s="293">
        <v>0</v>
      </c>
      <c r="EF424" s="293">
        <v>0</v>
      </c>
      <c r="EG424" s="293">
        <v>0</v>
      </c>
      <c r="EH424" s="293">
        <v>0</v>
      </c>
      <c r="EI424" s="293">
        <v>0</v>
      </c>
      <c r="EJ424" s="293">
        <v>0.21</v>
      </c>
      <c r="EK424" s="293">
        <v>1.6E-2</v>
      </c>
      <c r="EL424" s="295">
        <v>2.6120189150000002</v>
      </c>
      <c r="EM424" s="293">
        <v>0</v>
      </c>
      <c r="EN424" s="293">
        <v>0</v>
      </c>
      <c r="EO424" s="293">
        <v>0</v>
      </c>
      <c r="EP424" s="293">
        <v>0</v>
      </c>
      <c r="EQ424" s="293">
        <v>0</v>
      </c>
      <c r="ER424" s="293">
        <v>0</v>
      </c>
      <c r="ES424" s="293">
        <v>0</v>
      </c>
      <c r="ET424" s="293">
        <v>0</v>
      </c>
      <c r="EU424" s="293">
        <v>0</v>
      </c>
      <c r="EV424" s="293">
        <v>0</v>
      </c>
      <c r="EW424" s="293">
        <v>0</v>
      </c>
      <c r="EX424" s="295">
        <v>0</v>
      </c>
      <c r="EY424" s="293">
        <v>0</v>
      </c>
      <c r="EZ424" s="293">
        <v>0</v>
      </c>
      <c r="FA424" s="293">
        <v>0</v>
      </c>
      <c r="FB424" s="293">
        <v>0</v>
      </c>
      <c r="FC424" s="293">
        <v>0</v>
      </c>
      <c r="FD424" s="293">
        <v>0</v>
      </c>
      <c r="FE424" s="293">
        <v>0</v>
      </c>
      <c r="FF424" s="293">
        <v>0</v>
      </c>
      <c r="FG424" s="293">
        <v>0</v>
      </c>
      <c r="FH424" s="293">
        <v>0</v>
      </c>
      <c r="FI424" s="293">
        <v>0</v>
      </c>
      <c r="FJ424" s="295">
        <v>0</v>
      </c>
      <c r="FK424" s="293">
        <v>0</v>
      </c>
      <c r="FL424" s="293">
        <v>0</v>
      </c>
      <c r="FM424" s="293">
        <v>0</v>
      </c>
      <c r="FN424" s="293">
        <v>0</v>
      </c>
      <c r="FO424" s="293">
        <v>0</v>
      </c>
      <c r="FP424" s="293">
        <v>0</v>
      </c>
      <c r="FQ424" s="293">
        <v>0</v>
      </c>
      <c r="FR424" s="293">
        <v>0</v>
      </c>
      <c r="FS424" s="293">
        <v>0</v>
      </c>
      <c r="FT424" s="293">
        <v>0</v>
      </c>
      <c r="FU424" s="293">
        <v>0</v>
      </c>
      <c r="FV424" s="293">
        <v>0</v>
      </c>
      <c r="FW424" s="293">
        <v>0</v>
      </c>
      <c r="FX424" s="293">
        <v>0</v>
      </c>
      <c r="FY424" s="293">
        <v>0</v>
      </c>
      <c r="FZ424" s="293">
        <v>0</v>
      </c>
      <c r="GA424" s="293">
        <v>0</v>
      </c>
      <c r="GB424" s="293">
        <v>0</v>
      </c>
      <c r="GC424" s="293">
        <v>0</v>
      </c>
      <c r="GD424" s="293">
        <v>0</v>
      </c>
      <c r="GE424" s="293">
        <v>0</v>
      </c>
      <c r="GF424" s="293">
        <v>0</v>
      </c>
      <c r="GG424" s="293">
        <v>0</v>
      </c>
      <c r="GH424" s="293">
        <v>0</v>
      </c>
      <c r="GI424" s="293">
        <v>0</v>
      </c>
      <c r="GJ424" s="293">
        <v>0</v>
      </c>
      <c r="GK424" s="293">
        <v>0</v>
      </c>
      <c r="GL424" s="293">
        <v>0</v>
      </c>
      <c r="GM424" s="293">
        <v>0</v>
      </c>
      <c r="GN424" s="293">
        <v>0</v>
      </c>
      <c r="GO424" s="293">
        <v>0</v>
      </c>
      <c r="GP424" s="293">
        <v>0</v>
      </c>
      <c r="GQ424" s="293">
        <v>0</v>
      </c>
      <c r="GR424" s="293">
        <v>0</v>
      </c>
      <c r="GS424" s="293">
        <v>0</v>
      </c>
      <c r="GT424" s="293">
        <v>0</v>
      </c>
      <c r="GU424" s="293">
        <v>0</v>
      </c>
      <c r="GV424" s="293">
        <v>0</v>
      </c>
      <c r="GW424" s="293">
        <v>0</v>
      </c>
      <c r="GX424" s="293">
        <v>0</v>
      </c>
      <c r="GY424" s="293">
        <v>0</v>
      </c>
      <c r="GZ424" s="293">
        <v>0</v>
      </c>
      <c r="HA424" s="293">
        <v>0</v>
      </c>
      <c r="HB424" s="293">
        <v>0</v>
      </c>
      <c r="HC424" s="293">
        <v>0</v>
      </c>
      <c r="HD424" s="293">
        <v>0</v>
      </c>
      <c r="HE424" s="293">
        <v>9.3539999999999992</v>
      </c>
      <c r="HF424" s="293">
        <v>0</v>
      </c>
      <c r="HG424" s="293">
        <v>0</v>
      </c>
      <c r="HH424" s="293">
        <v>0</v>
      </c>
      <c r="HI424" s="293">
        <v>0</v>
      </c>
      <c r="HJ424" s="293">
        <v>0</v>
      </c>
      <c r="HK424" s="293">
        <v>0</v>
      </c>
      <c r="HL424" s="293">
        <v>0</v>
      </c>
      <c r="HM424" s="293">
        <v>0</v>
      </c>
      <c r="HN424" s="293">
        <v>0</v>
      </c>
      <c r="HO424" s="293">
        <v>0</v>
      </c>
      <c r="HP424" s="293">
        <v>0</v>
      </c>
      <c r="HQ424" s="293">
        <v>0.54822534899999997</v>
      </c>
      <c r="HR424" s="293">
        <v>7.3</v>
      </c>
      <c r="HS424" s="293">
        <v>0</v>
      </c>
      <c r="HT424" s="293">
        <v>0</v>
      </c>
      <c r="HU424" s="293">
        <v>0</v>
      </c>
      <c r="HV424" s="293">
        <v>0</v>
      </c>
      <c r="HW424" s="293">
        <v>0</v>
      </c>
      <c r="HX424" s="293">
        <v>18</v>
      </c>
      <c r="HY424" s="293"/>
      <c r="KT424" s="280"/>
    </row>
    <row r="425" spans="1:306" outlineLevel="1">
      <c r="A425" s="96" t="s">
        <v>372</v>
      </c>
      <c r="B425" s="96" t="s">
        <v>338</v>
      </c>
      <c r="D425" s="321" t="s">
        <v>514</v>
      </c>
      <c r="E425" s="293"/>
      <c r="F425" s="293"/>
      <c r="G425" s="293"/>
      <c r="H425" s="293"/>
      <c r="I425" s="293"/>
      <c r="J425" s="293"/>
      <c r="K425" s="293"/>
      <c r="L425" s="293"/>
      <c r="M425" s="293"/>
      <c r="N425" s="293"/>
      <c r="O425" s="293"/>
      <c r="P425" s="293"/>
      <c r="Q425" s="293"/>
      <c r="R425" s="293"/>
      <c r="S425" s="293"/>
      <c r="T425" s="293"/>
      <c r="U425" s="293"/>
      <c r="V425" s="293"/>
      <c r="W425" s="293"/>
      <c r="X425" s="293"/>
      <c r="Y425" s="29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c r="BN425" s="293"/>
      <c r="BO425" s="293"/>
      <c r="BP425" s="293"/>
      <c r="BQ425" s="293"/>
      <c r="BR425" s="293"/>
      <c r="BS425" s="293"/>
      <c r="BT425" s="293"/>
      <c r="BU425" s="293"/>
      <c r="BV425" s="293"/>
      <c r="BW425" s="293"/>
      <c r="BX425" s="293"/>
      <c r="BY425" s="293"/>
      <c r="BZ425" s="293"/>
      <c r="CA425" s="293"/>
      <c r="CB425" s="293"/>
      <c r="CC425" s="293"/>
      <c r="CD425" s="293"/>
      <c r="CE425" s="294">
        <v>0</v>
      </c>
      <c r="CF425" s="293">
        <v>0</v>
      </c>
      <c r="CG425" s="293">
        <v>0</v>
      </c>
      <c r="CH425" s="293">
        <v>0</v>
      </c>
      <c r="CI425" s="293">
        <v>0</v>
      </c>
      <c r="CJ425" s="293">
        <v>0</v>
      </c>
      <c r="CK425" s="293">
        <v>0</v>
      </c>
      <c r="CL425" s="293">
        <v>0</v>
      </c>
      <c r="CM425" s="293">
        <v>0</v>
      </c>
      <c r="CN425" s="293">
        <v>0</v>
      </c>
      <c r="CO425" s="293">
        <v>0</v>
      </c>
      <c r="CP425" s="295">
        <v>0</v>
      </c>
      <c r="CQ425" s="293">
        <v>0</v>
      </c>
      <c r="CR425" s="293">
        <v>0</v>
      </c>
      <c r="CS425" s="293">
        <v>0</v>
      </c>
      <c r="CT425" s="293">
        <v>0</v>
      </c>
      <c r="CU425" s="293">
        <v>0</v>
      </c>
      <c r="CV425" s="293">
        <v>0</v>
      </c>
      <c r="CW425" s="293">
        <v>0</v>
      </c>
      <c r="CX425" s="293">
        <v>0</v>
      </c>
      <c r="CY425" s="293">
        <v>0</v>
      </c>
      <c r="CZ425" s="293">
        <v>0</v>
      </c>
      <c r="DA425" s="293">
        <v>0</v>
      </c>
      <c r="DB425" s="1288">
        <v>0</v>
      </c>
      <c r="DC425" s="293">
        <v>0</v>
      </c>
      <c r="DD425" s="293">
        <v>0</v>
      </c>
      <c r="DE425" s="293">
        <v>0</v>
      </c>
      <c r="DF425" s="293">
        <v>0</v>
      </c>
      <c r="DG425" s="293">
        <v>0</v>
      </c>
      <c r="DH425" s="293">
        <v>0</v>
      </c>
      <c r="DI425" s="293">
        <v>0</v>
      </c>
      <c r="DJ425" s="293">
        <v>0</v>
      </c>
      <c r="DK425" s="293">
        <v>0</v>
      </c>
      <c r="DL425" s="293">
        <v>0</v>
      </c>
      <c r="DM425" s="293">
        <v>0</v>
      </c>
      <c r="DN425" s="295">
        <v>0</v>
      </c>
      <c r="DO425" s="293">
        <v>0</v>
      </c>
      <c r="DP425" s="293">
        <v>0</v>
      </c>
      <c r="DQ425" s="293">
        <v>0</v>
      </c>
      <c r="DR425" s="293">
        <v>0</v>
      </c>
      <c r="DS425" s="293">
        <v>0</v>
      </c>
      <c r="DT425" s="293">
        <v>0</v>
      </c>
      <c r="DU425" s="293">
        <v>0</v>
      </c>
      <c r="DV425" s="293">
        <v>0</v>
      </c>
      <c r="DW425" s="293">
        <v>0</v>
      </c>
      <c r="DX425" s="293">
        <v>0</v>
      </c>
      <c r="DY425" s="293">
        <v>0</v>
      </c>
      <c r="DZ425" s="295">
        <v>0</v>
      </c>
      <c r="EA425" s="293">
        <v>0</v>
      </c>
      <c r="EB425" s="293">
        <v>0</v>
      </c>
      <c r="EC425" s="293">
        <v>0</v>
      </c>
      <c r="ED425" s="293">
        <v>0</v>
      </c>
      <c r="EE425" s="293">
        <v>0</v>
      </c>
      <c r="EF425" s="293">
        <v>0</v>
      </c>
      <c r="EG425" s="293">
        <v>0</v>
      </c>
      <c r="EH425" s="293">
        <v>0</v>
      </c>
      <c r="EI425" s="293">
        <v>0</v>
      </c>
      <c r="EJ425" s="293">
        <v>0</v>
      </c>
      <c r="EK425" s="293">
        <v>0</v>
      </c>
      <c r="EL425" s="295">
        <v>0</v>
      </c>
      <c r="EM425" s="293">
        <v>0</v>
      </c>
      <c r="EN425" s="293">
        <v>0</v>
      </c>
      <c r="EO425" s="293">
        <v>0</v>
      </c>
      <c r="EP425" s="293">
        <v>0</v>
      </c>
      <c r="EQ425" s="293">
        <v>0</v>
      </c>
      <c r="ER425" s="293">
        <v>0</v>
      </c>
      <c r="ES425" s="293">
        <v>0</v>
      </c>
      <c r="ET425" s="293">
        <v>0</v>
      </c>
      <c r="EU425" s="293">
        <v>0</v>
      </c>
      <c r="EV425" s="293">
        <v>0</v>
      </c>
      <c r="EW425" s="293">
        <v>0</v>
      </c>
      <c r="EX425" s="295">
        <v>0</v>
      </c>
      <c r="EY425" s="293">
        <v>0</v>
      </c>
      <c r="EZ425" s="293">
        <v>0</v>
      </c>
      <c r="FA425" s="293">
        <v>0</v>
      </c>
      <c r="FB425" s="293">
        <v>0</v>
      </c>
      <c r="FC425" s="293">
        <v>0</v>
      </c>
      <c r="FD425" s="293">
        <v>0</v>
      </c>
      <c r="FE425" s="293">
        <v>0</v>
      </c>
      <c r="FF425" s="293">
        <v>0</v>
      </c>
      <c r="FG425" s="293">
        <v>0</v>
      </c>
      <c r="FH425" s="293">
        <v>0</v>
      </c>
      <c r="FI425" s="293">
        <v>0</v>
      </c>
      <c r="FJ425" s="295">
        <v>0</v>
      </c>
      <c r="FK425" s="293">
        <v>0</v>
      </c>
      <c r="FL425" s="293">
        <v>0</v>
      </c>
      <c r="FM425" s="293">
        <v>0</v>
      </c>
      <c r="FN425" s="293">
        <v>0</v>
      </c>
      <c r="FO425" s="293">
        <v>0</v>
      </c>
      <c r="FP425" s="293">
        <v>0</v>
      </c>
      <c r="FQ425" s="293">
        <v>0</v>
      </c>
      <c r="FR425" s="293">
        <v>0</v>
      </c>
      <c r="FS425" s="293">
        <v>0</v>
      </c>
      <c r="FT425" s="293">
        <v>0</v>
      </c>
      <c r="FU425" s="293">
        <v>0</v>
      </c>
      <c r="FV425" s="293">
        <v>0</v>
      </c>
      <c r="FW425" s="293">
        <v>0</v>
      </c>
      <c r="FX425" s="293">
        <v>0</v>
      </c>
      <c r="FY425" s="293">
        <v>0</v>
      </c>
      <c r="FZ425" s="293">
        <v>0</v>
      </c>
      <c r="GA425" s="293">
        <v>0</v>
      </c>
      <c r="GB425" s="293">
        <v>0</v>
      </c>
      <c r="GC425" s="293">
        <v>0</v>
      </c>
      <c r="GD425" s="293">
        <v>0</v>
      </c>
      <c r="GE425" s="293">
        <v>0</v>
      </c>
      <c r="GF425" s="293">
        <v>0</v>
      </c>
      <c r="GG425" s="293">
        <v>0</v>
      </c>
      <c r="GH425" s="293">
        <v>0</v>
      </c>
      <c r="GI425" s="293">
        <v>0</v>
      </c>
      <c r="GJ425" s="293">
        <v>0</v>
      </c>
      <c r="GK425" s="293">
        <v>0</v>
      </c>
      <c r="GL425" s="293">
        <v>0</v>
      </c>
      <c r="GM425" s="293">
        <v>0</v>
      </c>
      <c r="GN425" s="293">
        <v>0</v>
      </c>
      <c r="GO425" s="293">
        <v>0</v>
      </c>
      <c r="GP425" s="293">
        <v>0</v>
      </c>
      <c r="GQ425" s="293">
        <v>0</v>
      </c>
      <c r="GR425" s="293">
        <v>0</v>
      </c>
      <c r="GS425" s="293">
        <v>0</v>
      </c>
      <c r="GT425" s="293">
        <v>0</v>
      </c>
      <c r="GU425" s="293">
        <v>0</v>
      </c>
      <c r="GV425" s="293">
        <v>0</v>
      </c>
      <c r="GW425" s="293">
        <v>0</v>
      </c>
      <c r="GX425" s="293">
        <v>0</v>
      </c>
      <c r="GY425" s="293">
        <v>0</v>
      </c>
      <c r="GZ425" s="293">
        <v>0</v>
      </c>
      <c r="HA425" s="293">
        <v>0</v>
      </c>
      <c r="HB425" s="293">
        <v>0</v>
      </c>
      <c r="HC425" s="293">
        <v>0</v>
      </c>
      <c r="HD425" s="293">
        <v>0</v>
      </c>
      <c r="HE425" s="293">
        <v>0</v>
      </c>
      <c r="HF425" s="293">
        <v>0</v>
      </c>
      <c r="HG425" s="293">
        <v>0</v>
      </c>
      <c r="HH425" s="293">
        <v>0</v>
      </c>
      <c r="HI425" s="293">
        <v>0</v>
      </c>
      <c r="HJ425" s="293">
        <v>0</v>
      </c>
      <c r="HK425" s="293">
        <v>0</v>
      </c>
      <c r="HL425" s="293">
        <v>0</v>
      </c>
      <c r="HM425" s="293">
        <v>0</v>
      </c>
      <c r="HN425" s="293">
        <v>0</v>
      </c>
      <c r="HO425" s="293">
        <v>0</v>
      </c>
      <c r="HP425" s="293">
        <v>0</v>
      </c>
      <c r="HQ425" s="293">
        <v>0</v>
      </c>
      <c r="HR425" s="293">
        <v>0</v>
      </c>
      <c r="HS425" s="293">
        <v>0</v>
      </c>
      <c r="HT425" s="293">
        <v>0</v>
      </c>
      <c r="HU425" s="293">
        <v>0</v>
      </c>
      <c r="HV425" s="293">
        <v>0</v>
      </c>
      <c r="HW425" s="293">
        <v>0</v>
      </c>
      <c r="HX425" s="293">
        <v>0</v>
      </c>
      <c r="HY425" s="293"/>
      <c r="KT425" s="280"/>
    </row>
    <row r="426" spans="1:306" outlineLevel="1">
      <c r="A426" s="96" t="s">
        <v>372</v>
      </c>
      <c r="B426" s="96" t="s">
        <v>338</v>
      </c>
      <c r="D426" s="321" t="s">
        <v>515</v>
      </c>
      <c r="E426" s="293"/>
      <c r="F426" s="293"/>
      <c r="G426" s="293"/>
      <c r="H426" s="293"/>
      <c r="I426" s="293"/>
      <c r="J426" s="293"/>
      <c r="K426" s="293"/>
      <c r="L426" s="293"/>
      <c r="M426" s="293"/>
      <c r="N426" s="293"/>
      <c r="O426" s="293"/>
      <c r="P426" s="293"/>
      <c r="Q426" s="293"/>
      <c r="R426" s="293"/>
      <c r="S426" s="293"/>
      <c r="T426" s="293"/>
      <c r="U426" s="293"/>
      <c r="V426" s="293"/>
      <c r="W426" s="293"/>
      <c r="X426" s="293"/>
      <c r="Y426" s="29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c r="BN426" s="293"/>
      <c r="BO426" s="293"/>
      <c r="BP426" s="293"/>
      <c r="BQ426" s="293"/>
      <c r="BR426" s="293"/>
      <c r="BS426" s="293"/>
      <c r="BT426" s="293"/>
      <c r="BU426" s="293"/>
      <c r="BV426" s="293"/>
      <c r="BW426" s="293"/>
      <c r="BX426" s="293"/>
      <c r="BY426" s="293"/>
      <c r="BZ426" s="293"/>
      <c r="CA426" s="293"/>
      <c r="CB426" s="293"/>
      <c r="CC426" s="293"/>
      <c r="CD426" s="293"/>
      <c r="CE426" s="294">
        <v>0</v>
      </c>
      <c r="CF426" s="293">
        <v>0</v>
      </c>
      <c r="CG426" s="293">
        <v>0</v>
      </c>
      <c r="CH426" s="293">
        <v>0</v>
      </c>
      <c r="CI426" s="293">
        <v>0</v>
      </c>
      <c r="CJ426" s="293">
        <v>0</v>
      </c>
      <c r="CK426" s="293">
        <v>0</v>
      </c>
      <c r="CL426" s="293">
        <v>0</v>
      </c>
      <c r="CM426" s="293">
        <v>0</v>
      </c>
      <c r="CN426" s="293">
        <v>0</v>
      </c>
      <c r="CO426" s="293">
        <v>0</v>
      </c>
      <c r="CP426" s="295">
        <v>0</v>
      </c>
      <c r="CQ426" s="293">
        <v>0</v>
      </c>
      <c r="CR426" s="293">
        <v>0</v>
      </c>
      <c r="CS426" s="293">
        <v>0</v>
      </c>
      <c r="CT426" s="293">
        <v>0</v>
      </c>
      <c r="CU426" s="293">
        <v>0</v>
      </c>
      <c r="CV426" s="293">
        <v>0</v>
      </c>
      <c r="CW426" s="293">
        <v>0</v>
      </c>
      <c r="CX426" s="293">
        <v>0</v>
      </c>
      <c r="CY426" s="293">
        <v>0</v>
      </c>
      <c r="CZ426" s="293">
        <v>0</v>
      </c>
      <c r="DA426" s="293">
        <v>0</v>
      </c>
      <c r="DB426" s="1288">
        <v>0</v>
      </c>
      <c r="DC426" s="293">
        <v>0</v>
      </c>
      <c r="DD426" s="293">
        <v>0</v>
      </c>
      <c r="DE426" s="293">
        <v>0</v>
      </c>
      <c r="DF426" s="293">
        <v>0</v>
      </c>
      <c r="DG426" s="293">
        <v>0</v>
      </c>
      <c r="DH426" s="293">
        <v>0</v>
      </c>
      <c r="DI426" s="293">
        <v>0</v>
      </c>
      <c r="DJ426" s="293">
        <v>0</v>
      </c>
      <c r="DK426" s="293">
        <v>0</v>
      </c>
      <c r="DL426" s="293">
        <v>0</v>
      </c>
      <c r="DM426" s="293">
        <v>0</v>
      </c>
      <c r="DN426" s="295">
        <v>0</v>
      </c>
      <c r="DO426" s="293">
        <v>0</v>
      </c>
      <c r="DP426" s="293">
        <v>0</v>
      </c>
      <c r="DQ426" s="293">
        <v>0</v>
      </c>
      <c r="DR426" s="293">
        <v>0</v>
      </c>
      <c r="DS426" s="293">
        <v>0</v>
      </c>
      <c r="DT426" s="293">
        <v>0</v>
      </c>
      <c r="DU426" s="293">
        <v>0</v>
      </c>
      <c r="DV426" s="293">
        <v>0</v>
      </c>
      <c r="DW426" s="293">
        <v>0</v>
      </c>
      <c r="DX426" s="293">
        <v>0</v>
      </c>
      <c r="DY426" s="293">
        <v>0</v>
      </c>
      <c r="DZ426" s="295">
        <v>0</v>
      </c>
      <c r="EA426" s="293">
        <v>0</v>
      </c>
      <c r="EB426" s="293">
        <v>0</v>
      </c>
      <c r="EC426" s="293">
        <v>0</v>
      </c>
      <c r="ED426" s="293">
        <v>0</v>
      </c>
      <c r="EE426" s="293">
        <v>0</v>
      </c>
      <c r="EF426" s="293">
        <v>0</v>
      </c>
      <c r="EG426" s="293">
        <v>0</v>
      </c>
      <c r="EH426" s="293">
        <v>0</v>
      </c>
      <c r="EI426" s="293">
        <v>0</v>
      </c>
      <c r="EJ426" s="293">
        <v>0</v>
      </c>
      <c r="EK426" s="293">
        <v>0</v>
      </c>
      <c r="EL426" s="295">
        <v>0</v>
      </c>
      <c r="EM426" s="293">
        <v>0</v>
      </c>
      <c r="EN426" s="293">
        <v>0</v>
      </c>
      <c r="EO426" s="293">
        <v>0</v>
      </c>
      <c r="EP426" s="293">
        <v>0</v>
      </c>
      <c r="EQ426" s="293">
        <v>0</v>
      </c>
      <c r="ER426" s="293">
        <v>0</v>
      </c>
      <c r="ES426" s="293">
        <v>0</v>
      </c>
      <c r="ET426" s="293">
        <v>0</v>
      </c>
      <c r="EU426" s="293">
        <v>0</v>
      </c>
      <c r="EV426" s="293">
        <v>0</v>
      </c>
      <c r="EW426" s="293">
        <v>0</v>
      </c>
      <c r="EX426" s="295">
        <v>0</v>
      </c>
      <c r="EY426" s="293">
        <v>0</v>
      </c>
      <c r="EZ426" s="293">
        <v>0</v>
      </c>
      <c r="FA426" s="293">
        <v>0</v>
      </c>
      <c r="FB426" s="293">
        <v>0</v>
      </c>
      <c r="FC426" s="293">
        <v>0</v>
      </c>
      <c r="FD426" s="293">
        <v>0</v>
      </c>
      <c r="FE426" s="293">
        <v>0</v>
      </c>
      <c r="FF426" s="293">
        <v>0</v>
      </c>
      <c r="FG426" s="293">
        <v>0</v>
      </c>
      <c r="FH426" s="293">
        <v>0</v>
      </c>
      <c r="FI426" s="293">
        <v>0</v>
      </c>
      <c r="FJ426" s="295">
        <v>0</v>
      </c>
      <c r="FK426" s="293">
        <v>0</v>
      </c>
      <c r="FL426" s="293">
        <v>0</v>
      </c>
      <c r="FM426" s="293">
        <v>0</v>
      </c>
      <c r="FN426" s="293">
        <v>0</v>
      </c>
      <c r="FO426" s="293">
        <v>0</v>
      </c>
      <c r="FP426" s="293">
        <v>0</v>
      </c>
      <c r="FQ426" s="293">
        <v>0</v>
      </c>
      <c r="FR426" s="293">
        <v>0</v>
      </c>
      <c r="FS426" s="293">
        <v>0</v>
      </c>
      <c r="FT426" s="293">
        <v>0</v>
      </c>
      <c r="FU426" s="293">
        <v>0</v>
      </c>
      <c r="FV426" s="293">
        <v>0</v>
      </c>
      <c r="FW426" s="293">
        <v>0</v>
      </c>
      <c r="FX426" s="293">
        <v>0</v>
      </c>
      <c r="FY426" s="293">
        <v>0</v>
      </c>
      <c r="FZ426" s="293">
        <v>0</v>
      </c>
      <c r="GA426" s="293">
        <v>0</v>
      </c>
      <c r="GB426" s="293">
        <v>0</v>
      </c>
      <c r="GC426" s="293">
        <v>0</v>
      </c>
      <c r="GD426" s="293">
        <v>0</v>
      </c>
      <c r="GE426" s="293">
        <v>0</v>
      </c>
      <c r="GF426" s="293">
        <v>0</v>
      </c>
      <c r="GG426" s="293">
        <v>0</v>
      </c>
      <c r="GH426" s="293">
        <v>0</v>
      </c>
      <c r="GI426" s="293">
        <v>0</v>
      </c>
      <c r="GJ426" s="293">
        <v>0</v>
      </c>
      <c r="GK426" s="293">
        <v>0</v>
      </c>
      <c r="GL426" s="293">
        <v>0</v>
      </c>
      <c r="GM426" s="293">
        <v>0</v>
      </c>
      <c r="GN426" s="293">
        <v>0</v>
      </c>
      <c r="GO426" s="293">
        <v>0</v>
      </c>
      <c r="GP426" s="293">
        <v>0</v>
      </c>
      <c r="GQ426" s="293">
        <v>0</v>
      </c>
      <c r="GR426" s="293">
        <v>0</v>
      </c>
      <c r="GS426" s="293">
        <v>0</v>
      </c>
      <c r="GT426" s="293">
        <v>0</v>
      </c>
      <c r="GU426" s="293">
        <v>0</v>
      </c>
      <c r="GV426" s="293">
        <v>0</v>
      </c>
      <c r="GW426" s="293">
        <v>0</v>
      </c>
      <c r="GX426" s="293">
        <v>0</v>
      </c>
      <c r="GY426" s="293">
        <v>0</v>
      </c>
      <c r="GZ426" s="293">
        <v>0</v>
      </c>
      <c r="HA426" s="293">
        <v>0</v>
      </c>
      <c r="HB426" s="293">
        <v>0</v>
      </c>
      <c r="HC426" s="293">
        <v>0</v>
      </c>
      <c r="HD426" s="293">
        <v>0</v>
      </c>
      <c r="HE426" s="293">
        <v>0</v>
      </c>
      <c r="HF426" s="293">
        <v>0</v>
      </c>
      <c r="HG426" s="293">
        <v>0</v>
      </c>
      <c r="HH426" s="293">
        <v>0</v>
      </c>
      <c r="HI426" s="293">
        <v>0</v>
      </c>
      <c r="HJ426" s="293">
        <v>0</v>
      </c>
      <c r="HK426" s="293">
        <v>0</v>
      </c>
      <c r="HL426" s="293">
        <v>0</v>
      </c>
      <c r="HM426" s="293">
        <v>0</v>
      </c>
      <c r="HN426" s="293">
        <v>0</v>
      </c>
      <c r="HO426" s="293">
        <v>0</v>
      </c>
      <c r="HP426" s="293">
        <v>0</v>
      </c>
      <c r="HQ426" s="293">
        <v>0</v>
      </c>
      <c r="HR426" s="293">
        <v>0</v>
      </c>
      <c r="HS426" s="293">
        <v>0</v>
      </c>
      <c r="HT426" s="293">
        <v>0</v>
      </c>
      <c r="HU426" s="293">
        <v>0</v>
      </c>
      <c r="HV426" s="293">
        <v>0</v>
      </c>
      <c r="HW426" s="293">
        <v>0</v>
      </c>
      <c r="HX426" s="293">
        <v>0</v>
      </c>
      <c r="HY426" s="293"/>
      <c r="KT426" s="280"/>
    </row>
    <row r="427" spans="1:306" outlineLevel="1">
      <c r="A427" s="96" t="s">
        <v>372</v>
      </c>
      <c r="B427" s="96" t="s">
        <v>338</v>
      </c>
      <c r="D427" s="321" t="s">
        <v>516</v>
      </c>
      <c r="E427" s="293"/>
      <c r="F427" s="293"/>
      <c r="G427" s="293"/>
      <c r="H427" s="293"/>
      <c r="I427" s="293"/>
      <c r="J427" s="293"/>
      <c r="K427" s="293"/>
      <c r="L427" s="293"/>
      <c r="M427" s="293"/>
      <c r="N427" s="293"/>
      <c r="O427" s="293"/>
      <c r="P427" s="293"/>
      <c r="Q427" s="293"/>
      <c r="R427" s="293"/>
      <c r="S427" s="293"/>
      <c r="T427" s="293"/>
      <c r="U427" s="293"/>
      <c r="V427" s="293"/>
      <c r="W427" s="293"/>
      <c r="X427" s="293"/>
      <c r="Y427" s="29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c r="BN427" s="293"/>
      <c r="BO427" s="293"/>
      <c r="BP427" s="293"/>
      <c r="BQ427" s="293"/>
      <c r="BR427" s="293"/>
      <c r="BS427" s="293"/>
      <c r="BT427" s="293"/>
      <c r="BU427" s="293"/>
      <c r="BV427" s="293"/>
      <c r="BW427" s="293"/>
      <c r="BX427" s="293"/>
      <c r="BY427" s="293"/>
      <c r="BZ427" s="293"/>
      <c r="CA427" s="293"/>
      <c r="CB427" s="293"/>
      <c r="CC427" s="293"/>
      <c r="CD427" s="293"/>
      <c r="CE427" s="294">
        <v>0</v>
      </c>
      <c r="CF427" s="293">
        <v>0</v>
      </c>
      <c r="CG427" s="293">
        <v>0</v>
      </c>
      <c r="CH427" s="293">
        <v>0</v>
      </c>
      <c r="CI427" s="293">
        <v>0</v>
      </c>
      <c r="CJ427" s="293">
        <v>0</v>
      </c>
      <c r="CK427" s="293">
        <v>0</v>
      </c>
      <c r="CL427" s="293">
        <v>0</v>
      </c>
      <c r="CM427" s="293">
        <v>0</v>
      </c>
      <c r="CN427" s="293">
        <v>0</v>
      </c>
      <c r="CO427" s="293">
        <v>0</v>
      </c>
      <c r="CP427" s="295">
        <v>0</v>
      </c>
      <c r="CQ427" s="293">
        <v>0</v>
      </c>
      <c r="CR427" s="293">
        <v>0</v>
      </c>
      <c r="CS427" s="293">
        <v>0</v>
      </c>
      <c r="CT427" s="293">
        <v>0</v>
      </c>
      <c r="CU427" s="293">
        <v>0</v>
      </c>
      <c r="CV427" s="293">
        <v>0</v>
      </c>
      <c r="CW427" s="293">
        <v>0</v>
      </c>
      <c r="CX427" s="293">
        <v>0</v>
      </c>
      <c r="CY427" s="293">
        <v>0</v>
      </c>
      <c r="CZ427" s="293">
        <v>0</v>
      </c>
      <c r="DA427" s="293">
        <v>0</v>
      </c>
      <c r="DB427" s="1288">
        <v>0</v>
      </c>
      <c r="DC427" s="293">
        <v>0</v>
      </c>
      <c r="DD427" s="293">
        <v>0</v>
      </c>
      <c r="DE427" s="293">
        <v>0</v>
      </c>
      <c r="DF427" s="293">
        <v>0</v>
      </c>
      <c r="DG427" s="293">
        <v>0</v>
      </c>
      <c r="DH427" s="293">
        <v>0</v>
      </c>
      <c r="DI427" s="293">
        <v>0</v>
      </c>
      <c r="DJ427" s="293">
        <v>0</v>
      </c>
      <c r="DK427" s="293">
        <v>0</v>
      </c>
      <c r="DL427" s="293">
        <v>0</v>
      </c>
      <c r="DM427" s="293">
        <v>0</v>
      </c>
      <c r="DN427" s="295">
        <v>0</v>
      </c>
      <c r="DO427" s="293">
        <v>0</v>
      </c>
      <c r="DP427" s="293">
        <v>0</v>
      </c>
      <c r="DQ427" s="293">
        <v>0</v>
      </c>
      <c r="DR427" s="293">
        <v>0</v>
      </c>
      <c r="DS427" s="293">
        <v>0</v>
      </c>
      <c r="DT427" s="293">
        <v>0</v>
      </c>
      <c r="DU427" s="293">
        <v>0</v>
      </c>
      <c r="DV427" s="293">
        <v>0</v>
      </c>
      <c r="DW427" s="293">
        <v>0</v>
      </c>
      <c r="DX427" s="293">
        <v>0</v>
      </c>
      <c r="DY427" s="293">
        <v>0</v>
      </c>
      <c r="DZ427" s="295">
        <v>0</v>
      </c>
      <c r="EA427" s="293">
        <v>0</v>
      </c>
      <c r="EB427" s="293">
        <v>0</v>
      </c>
      <c r="EC427" s="293">
        <v>0</v>
      </c>
      <c r="ED427" s="293">
        <v>0</v>
      </c>
      <c r="EE427" s="293">
        <v>0</v>
      </c>
      <c r="EF427" s="293">
        <v>0</v>
      </c>
      <c r="EG427" s="293">
        <v>0</v>
      </c>
      <c r="EH427" s="293">
        <v>0</v>
      </c>
      <c r="EI427" s="293">
        <v>0</v>
      </c>
      <c r="EJ427" s="293">
        <v>0</v>
      </c>
      <c r="EK427" s="293">
        <v>0</v>
      </c>
      <c r="EL427" s="295">
        <v>0</v>
      </c>
      <c r="EM427" s="293">
        <v>0.446381417</v>
      </c>
      <c r="EN427" s="293">
        <v>0.37882296199999999</v>
      </c>
      <c r="EO427" s="293">
        <v>0.43899298399999997</v>
      </c>
      <c r="EP427" s="293">
        <v>0.41913514200000002</v>
      </c>
      <c r="EQ427" s="293">
        <v>0.37956826100000002</v>
      </c>
      <c r="ER427" s="293">
        <v>0.46952987499999999</v>
      </c>
      <c r="ES427" s="293">
        <v>0.37303118600000001</v>
      </c>
      <c r="ET427" s="293">
        <v>0.39464575600000001</v>
      </c>
      <c r="EU427" s="293">
        <v>0.38522885299999998</v>
      </c>
      <c r="EV427" s="293">
        <v>0.31141468500000002</v>
      </c>
      <c r="EW427" s="293">
        <v>0.36140069600000002</v>
      </c>
      <c r="EX427" s="295">
        <v>0.37888442500000002</v>
      </c>
      <c r="EY427" s="293">
        <v>0.51871818599999997</v>
      </c>
      <c r="EZ427" s="293">
        <v>0.22977841800000001</v>
      </c>
      <c r="FA427" s="293">
        <v>0.27064160799999998</v>
      </c>
      <c r="FB427" s="293">
        <v>0.26163894700000001</v>
      </c>
      <c r="FC427" s="293">
        <v>0.27110313200000002</v>
      </c>
      <c r="FD427" s="293">
        <v>0.37119655600000001</v>
      </c>
      <c r="FE427" s="293">
        <v>0.29190637000000003</v>
      </c>
      <c r="FF427" s="293">
        <v>0.27305763599999999</v>
      </c>
      <c r="FG427" s="293">
        <v>0.247673007</v>
      </c>
      <c r="FH427" s="293">
        <v>0.21923471899999999</v>
      </c>
      <c r="FI427" s="293">
        <v>0.260766636</v>
      </c>
      <c r="FJ427" s="295">
        <v>8.8443065000000001E-2</v>
      </c>
      <c r="FK427" s="293">
        <v>0.66179053300000001</v>
      </c>
      <c r="FL427" s="293">
        <v>0.28859525699999999</v>
      </c>
      <c r="FM427" s="293">
        <v>0.26740475367526595</v>
      </c>
      <c r="FN427" s="293">
        <v>0.57306735435044331</v>
      </c>
      <c r="FO427" s="293">
        <v>0.25577981306733133</v>
      </c>
      <c r="FP427" s="293">
        <v>0.30986618568793678</v>
      </c>
      <c r="FQ427" s="293">
        <v>0.35597687742169737</v>
      </c>
      <c r="FR427" s="293">
        <v>0.22607266971641143</v>
      </c>
      <c r="FS427" s="293">
        <v>0.41568007396473755</v>
      </c>
      <c r="FT427" s="293">
        <v>0.54768039417156322</v>
      </c>
      <c r="FU427" s="293">
        <v>0.41151958354967971</v>
      </c>
      <c r="FV427" s="293">
        <v>0.67901031131633072</v>
      </c>
      <c r="FW427" s="293">
        <v>0.24054575185214569</v>
      </c>
      <c r="FX427" s="293">
        <v>0.13602956381610412</v>
      </c>
      <c r="FY427" s="293">
        <v>0.1281658408561796</v>
      </c>
      <c r="FZ427" s="293">
        <v>1.394870656698409</v>
      </c>
      <c r="GA427" s="293">
        <v>1.5214866952370725</v>
      </c>
      <c r="GB427" s="293">
        <v>1.3287745824178832</v>
      </c>
      <c r="GC427" s="293">
        <v>1.1531979933135186</v>
      </c>
      <c r="GD427" s="293">
        <v>0.89835558173760088</v>
      </c>
      <c r="GE427" s="293">
        <v>1.7016470251771298</v>
      </c>
      <c r="GF427" s="293">
        <v>0</v>
      </c>
      <c r="GG427" s="293">
        <v>0</v>
      </c>
      <c r="GH427" s="293">
        <v>0</v>
      </c>
      <c r="GI427" s="293">
        <v>0.8642167795847977</v>
      </c>
      <c r="GJ427" s="293">
        <v>0.71963591008005778</v>
      </c>
      <c r="GK427" s="293">
        <v>0.79460853874446669</v>
      </c>
      <c r="GL427" s="293">
        <v>0.57726994399999998</v>
      </c>
      <c r="GM427" s="293">
        <v>0.65711970896614547</v>
      </c>
      <c r="GN427" s="293">
        <v>0.94473459552628036</v>
      </c>
      <c r="GO427" s="293">
        <v>0.92112927465790972</v>
      </c>
      <c r="GP427" s="293">
        <v>0.58582094100000004</v>
      </c>
      <c r="GQ427" s="293">
        <v>0.74207446050795989</v>
      </c>
      <c r="GR427" s="293">
        <v>0.86915917700000001</v>
      </c>
      <c r="GS427" s="293">
        <v>0.67513587399999997</v>
      </c>
      <c r="GT427" s="293">
        <v>0.80243583699999999</v>
      </c>
      <c r="GU427" s="293">
        <v>1.011663347</v>
      </c>
      <c r="GV427" s="293">
        <v>0.78472907800000002</v>
      </c>
      <c r="GW427" s="293">
        <v>0.75161099099999995</v>
      </c>
      <c r="GX427" s="293">
        <v>0.88314895599999998</v>
      </c>
      <c r="GY427" s="293">
        <v>0.80880610600000002</v>
      </c>
      <c r="GZ427" s="293">
        <v>0.70619573199999996</v>
      </c>
      <c r="HA427" s="293">
        <v>0.97852411800000005</v>
      </c>
      <c r="HB427" s="293">
        <v>0.996369587</v>
      </c>
      <c r="HC427" s="293">
        <v>0.72881396499999995</v>
      </c>
      <c r="HD427" s="293">
        <v>1.2329180639999999</v>
      </c>
      <c r="HE427" s="293">
        <v>0.94343527400000005</v>
      </c>
      <c r="HF427" s="293">
        <v>1.0402316170000001</v>
      </c>
      <c r="HG427" s="293">
        <v>1.326409857</v>
      </c>
      <c r="HH427" s="293">
        <v>0.761712944</v>
      </c>
      <c r="HI427" s="293">
        <v>2.3301021000000002E-2</v>
      </c>
      <c r="HJ427" s="293">
        <v>9.1283399999999995E-4</v>
      </c>
      <c r="HK427" s="293">
        <v>1.4208924E-2</v>
      </c>
      <c r="HL427" s="293">
        <v>1.3695281E-2</v>
      </c>
      <c r="HM427" s="293">
        <v>2.2402233000000001E-2</v>
      </c>
      <c r="HN427" s="293">
        <v>3.2990776999999999E-2</v>
      </c>
      <c r="HO427" s="293">
        <v>1.795442E-3</v>
      </c>
      <c r="HP427" s="293">
        <v>1.1633363000000001E-2</v>
      </c>
      <c r="HQ427" s="293">
        <v>6.2669010000000001E-3</v>
      </c>
      <c r="HR427" s="293">
        <v>8.7222879999999999E-3</v>
      </c>
      <c r="HS427" s="293">
        <v>2.4954949999999999E-3</v>
      </c>
      <c r="HT427" s="293">
        <v>2.3286660000000001E-3</v>
      </c>
      <c r="HU427" s="293">
        <v>3.6852310000000002E-3</v>
      </c>
      <c r="HV427" s="293">
        <v>3.114197E-3</v>
      </c>
      <c r="HW427" s="293">
        <v>2.6967580000000001E-3</v>
      </c>
      <c r="HX427" s="293">
        <v>2.8541949999999999E-3</v>
      </c>
      <c r="HY427" s="293"/>
      <c r="KT427" s="280"/>
    </row>
    <row r="428" spans="1:306" outlineLevel="1">
      <c r="A428" s="96" t="s">
        <v>372</v>
      </c>
      <c r="B428" s="96" t="s">
        <v>338</v>
      </c>
      <c r="D428" s="320" t="s">
        <v>517</v>
      </c>
      <c r="E428" s="293"/>
      <c r="F428" s="293"/>
      <c r="G428" s="293"/>
      <c r="H428" s="293"/>
      <c r="I428" s="293"/>
      <c r="J428" s="293"/>
      <c r="K428" s="293"/>
      <c r="L428" s="293"/>
      <c r="M428" s="293"/>
      <c r="N428" s="293"/>
      <c r="O428" s="293"/>
      <c r="P428" s="293"/>
      <c r="Q428" s="293"/>
      <c r="R428" s="293"/>
      <c r="S428" s="293"/>
      <c r="T428" s="293"/>
      <c r="U428" s="293"/>
      <c r="V428" s="293"/>
      <c r="W428" s="293"/>
      <c r="X428" s="293"/>
      <c r="Y428" s="29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c r="BN428" s="293"/>
      <c r="BO428" s="293"/>
      <c r="BP428" s="293"/>
      <c r="BQ428" s="293"/>
      <c r="BR428" s="293"/>
      <c r="BS428" s="293"/>
      <c r="BT428" s="293"/>
      <c r="BU428" s="293"/>
      <c r="BV428" s="293"/>
      <c r="BW428" s="293"/>
      <c r="BX428" s="293"/>
      <c r="BY428" s="293"/>
      <c r="BZ428" s="293"/>
      <c r="CA428" s="293"/>
      <c r="CB428" s="293"/>
      <c r="CC428" s="293"/>
      <c r="CD428" s="293"/>
      <c r="CE428" s="294">
        <v>1.6167831411972675</v>
      </c>
      <c r="CF428" s="293">
        <v>3.6882050805727848</v>
      </c>
      <c r="CG428" s="293">
        <v>1.5499662068934397</v>
      </c>
      <c r="CH428" s="293">
        <v>26.117188124450227</v>
      </c>
      <c r="CI428" s="293">
        <v>1.7346709986247237</v>
      </c>
      <c r="CJ428" s="293">
        <v>14.8250584171328</v>
      </c>
      <c r="CK428" s="293">
        <v>1.5574821470250453</v>
      </c>
      <c r="CL428" s="293">
        <v>4.5251111390830721</v>
      </c>
      <c r="CM428" s="293">
        <v>20.497836527856215</v>
      </c>
      <c r="CN428" s="293">
        <v>1.5607754299173602</v>
      </c>
      <c r="CO428" s="293">
        <v>2.9002088036995914</v>
      </c>
      <c r="CP428" s="295">
        <v>21.072294191219871</v>
      </c>
      <c r="CQ428" s="293">
        <v>1.3976488369</v>
      </c>
      <c r="CR428" s="293">
        <v>2.1886302990962498</v>
      </c>
      <c r="CS428" s="293">
        <v>1.7718507181900001</v>
      </c>
      <c r="CT428" s="293">
        <v>13.24638598783687</v>
      </c>
      <c r="CU428" s="293">
        <v>2.15872342799479</v>
      </c>
      <c r="CV428" s="293">
        <v>18.838668766725746</v>
      </c>
      <c r="CW428" s="293">
        <v>4.431410708191196</v>
      </c>
      <c r="CX428" s="293">
        <v>2.0922114548600002</v>
      </c>
      <c r="CY428" s="293">
        <v>40.092281139967852</v>
      </c>
      <c r="CZ428" s="293">
        <v>20.010567568988449</v>
      </c>
      <c r="DA428" s="293">
        <v>3.7238746661192943</v>
      </c>
      <c r="DB428" s="1288">
        <v>18.278076595324237</v>
      </c>
      <c r="DC428" s="293">
        <v>3.1417062895308541</v>
      </c>
      <c r="DD428" s="293">
        <v>1.9695306210000001</v>
      </c>
      <c r="DE428" s="293">
        <v>12.773169391189322</v>
      </c>
      <c r="DF428" s="293">
        <v>25.440255474577558</v>
      </c>
      <c r="DG428" s="293">
        <v>2.3677145880000001</v>
      </c>
      <c r="DH428" s="293">
        <v>28.26765921730631</v>
      </c>
      <c r="DI428" s="293">
        <v>4.4783868162208949</v>
      </c>
      <c r="DJ428" s="293">
        <v>2.8081349970333327</v>
      </c>
      <c r="DK428" s="293">
        <v>39.258440578257918</v>
      </c>
      <c r="DL428" s="293">
        <v>5.1262327768414773</v>
      </c>
      <c r="DM428" s="293">
        <v>5.6073429452304433</v>
      </c>
      <c r="DN428" s="295">
        <v>25.829674571258462</v>
      </c>
      <c r="DO428" s="293">
        <v>4.0942054783773099</v>
      </c>
      <c r="DP428" s="293">
        <v>5.4135775290166368</v>
      </c>
      <c r="DQ428" s="293">
        <v>35.250741832944399</v>
      </c>
      <c r="DR428" s="293">
        <v>9.504193312803924</v>
      </c>
      <c r="DS428" s="293">
        <v>5.3330825097904846</v>
      </c>
      <c r="DT428" s="293">
        <v>37.063371463442813</v>
      </c>
      <c r="DU428" s="293">
        <v>5.6997514422082549</v>
      </c>
      <c r="DV428" s="293">
        <v>4.9474619458595495</v>
      </c>
      <c r="DW428" s="293">
        <v>36.400695935424416</v>
      </c>
      <c r="DX428" s="293">
        <v>5.5610277849819187</v>
      </c>
      <c r="DY428" s="293">
        <v>5.4410584619438662</v>
      </c>
      <c r="DZ428" s="295">
        <v>35.784775285212312</v>
      </c>
      <c r="EA428" s="293">
        <v>4.7554075989988913</v>
      </c>
      <c r="EB428" s="293">
        <v>4.9659967040266864</v>
      </c>
      <c r="EC428" s="293">
        <v>25.082252679340424</v>
      </c>
      <c r="ED428" s="293">
        <v>25.776118284825365</v>
      </c>
      <c r="EE428" s="293">
        <v>6.0602861280016933</v>
      </c>
      <c r="EF428" s="293">
        <v>45.990391915313971</v>
      </c>
      <c r="EG428" s="293">
        <v>8.1139350526579435</v>
      </c>
      <c r="EH428" s="293">
        <v>5.6205062631854821</v>
      </c>
      <c r="EI428" s="293">
        <v>20.005206643771992</v>
      </c>
      <c r="EJ428" s="293">
        <v>33.529927566531427</v>
      </c>
      <c r="EK428" s="293">
        <v>13.771535683664935</v>
      </c>
      <c r="EL428" s="295">
        <v>24.122196044097482</v>
      </c>
      <c r="EM428" s="293">
        <v>7.0424960199999997</v>
      </c>
      <c r="EN428" s="293">
        <v>40.464186559381403</v>
      </c>
      <c r="EO428" s="293">
        <v>44.179945981361605</v>
      </c>
      <c r="EP428" s="293">
        <v>18.138247947212012</v>
      </c>
      <c r="EQ428" s="293">
        <v>9.2314383583090489</v>
      </c>
      <c r="ER428" s="293">
        <v>32.580119317447398</v>
      </c>
      <c r="ES428" s="293">
        <v>9.9737168579999906</v>
      </c>
      <c r="ET428" s="293">
        <v>5.4445251651</v>
      </c>
      <c r="EU428" s="293">
        <v>41.373921715999998</v>
      </c>
      <c r="EV428" s="293">
        <v>15.78809663783689</v>
      </c>
      <c r="EW428" s="293">
        <v>6.6842101419999995</v>
      </c>
      <c r="EX428" s="295">
        <v>23.707248927999999</v>
      </c>
      <c r="EY428" s="293">
        <v>6.6932532325704042</v>
      </c>
      <c r="EZ428" s="293">
        <v>18.554647278281998</v>
      </c>
      <c r="FA428" s="293">
        <v>41.627558053227887</v>
      </c>
      <c r="FB428" s="293">
        <v>38.38300759809718</v>
      </c>
      <c r="FC428" s="293">
        <v>6.8850920704863805</v>
      </c>
      <c r="FD428" s="293">
        <v>36.049170045379327</v>
      </c>
      <c r="FE428" s="293">
        <v>12.075919238000001</v>
      </c>
      <c r="FF428" s="293">
        <v>6.7709654623431845</v>
      </c>
      <c r="FG428" s="293">
        <v>10.011704121280001</v>
      </c>
      <c r="FH428" s="293">
        <v>17.026678205514109</v>
      </c>
      <c r="FI428" s="293">
        <v>36.479603600361024</v>
      </c>
      <c r="FJ428" s="295">
        <v>8.9335278420674644</v>
      </c>
      <c r="FK428" s="293">
        <v>5.4905550594923902</v>
      </c>
      <c r="FL428" s="293">
        <v>6.2787814167982532</v>
      </c>
      <c r="FM428" s="293">
        <v>83.458812788193399</v>
      </c>
      <c r="FN428" s="293">
        <v>8.3265681001028167</v>
      </c>
      <c r="FO428" s="293">
        <v>8.8591909554926929</v>
      </c>
      <c r="FP428" s="293">
        <v>58.91475530991125</v>
      </c>
      <c r="FQ428" s="293">
        <v>5.8595706443440356</v>
      </c>
      <c r="FR428" s="293">
        <v>6.2599139299738091</v>
      </c>
      <c r="FS428" s="293">
        <v>9.4871765382705071</v>
      </c>
      <c r="FT428" s="293">
        <v>55.644611207796316</v>
      </c>
      <c r="FU428" s="293">
        <v>7.1824640136957143</v>
      </c>
      <c r="FV428" s="293">
        <v>45.591714286455286</v>
      </c>
      <c r="FW428" s="293">
        <v>5.6655055174853022</v>
      </c>
      <c r="FX428" s="293">
        <v>6.2887759753053363</v>
      </c>
      <c r="FY428" s="293">
        <v>58.373979038208603</v>
      </c>
      <c r="FZ428" s="293">
        <v>14.239249687379989</v>
      </c>
      <c r="GA428" s="293">
        <v>55.523537706356599</v>
      </c>
      <c r="GB428" s="293">
        <v>21.796173973252806</v>
      </c>
      <c r="GC428" s="293">
        <v>12.081231768389062</v>
      </c>
      <c r="GD428" s="293">
        <v>44.661561328771228</v>
      </c>
      <c r="GE428" s="293">
        <v>16.396063073699835</v>
      </c>
      <c r="GF428" s="293">
        <v>27.358875574197342</v>
      </c>
      <c r="GG428" s="293">
        <v>7.9164675246468104</v>
      </c>
      <c r="GH428" s="293">
        <v>58.361683088513075</v>
      </c>
      <c r="GI428" s="293">
        <v>9.8596502289075616</v>
      </c>
      <c r="GJ428" s="293">
        <v>9.9968046967865281</v>
      </c>
      <c r="GK428" s="293">
        <v>53.533450637127352</v>
      </c>
      <c r="GL428" s="293">
        <v>14.333028802406302</v>
      </c>
      <c r="GM428" s="293">
        <v>15.093809356477131</v>
      </c>
      <c r="GN428" s="293">
        <v>56.873159462766402</v>
      </c>
      <c r="GO428" s="293">
        <v>17.250100366304356</v>
      </c>
      <c r="GP428" s="293">
        <v>14.793392160612864</v>
      </c>
      <c r="GQ428" s="293">
        <v>59.605681422716977</v>
      </c>
      <c r="GR428" s="293">
        <v>12.331705050066665</v>
      </c>
      <c r="GS428" s="293">
        <v>13.634477371386666</v>
      </c>
      <c r="GT428" s="293">
        <v>44.025331526085537</v>
      </c>
      <c r="GU428" s="293">
        <v>10.725449950520662</v>
      </c>
      <c r="GV428" s="293">
        <v>18.292511232904008</v>
      </c>
      <c r="GW428" s="293">
        <v>98.30599488412571</v>
      </c>
      <c r="GX428" s="293">
        <v>9.93325176912</v>
      </c>
      <c r="GY428" s="293">
        <v>11.446578424230001</v>
      </c>
      <c r="GZ428" s="293">
        <v>86.049504158581627</v>
      </c>
      <c r="HA428" s="293">
        <v>10.54084457327</v>
      </c>
      <c r="HB428" s="293">
        <v>17.166397923217019</v>
      </c>
      <c r="HC428" s="293">
        <v>42.109037957926915</v>
      </c>
      <c r="HD428" s="293">
        <v>43.848020775653893</v>
      </c>
      <c r="HE428" s="293">
        <v>13.317024965192294</v>
      </c>
      <c r="HF428" s="293">
        <v>33.61055604821896</v>
      </c>
      <c r="HG428" s="293">
        <v>35.068585017825903</v>
      </c>
      <c r="HH428" s="293">
        <v>9.9394322954332726</v>
      </c>
      <c r="HI428" s="293">
        <v>83.885068981852783</v>
      </c>
      <c r="HJ428" s="293">
        <v>10.554926877949999</v>
      </c>
      <c r="HK428" s="293">
        <v>9.6045938914299995</v>
      </c>
      <c r="HL428" s="293">
        <v>82.553875998713025</v>
      </c>
      <c r="HM428" s="293">
        <v>10.486595673419995</v>
      </c>
      <c r="HN428" s="293">
        <v>8.4017518406480001</v>
      </c>
      <c r="HO428" s="293">
        <v>23.309610880921998</v>
      </c>
      <c r="HP428" s="293">
        <v>43.881362449199997</v>
      </c>
      <c r="HQ428" s="293">
        <v>12.600237437560017</v>
      </c>
      <c r="HR428" s="293">
        <v>52.304534172561063</v>
      </c>
      <c r="HS428" s="293">
        <v>10.382556947019999</v>
      </c>
      <c r="HT428" s="293">
        <v>23.907858633305004</v>
      </c>
      <c r="HU428" s="293">
        <v>94.257733496910802</v>
      </c>
      <c r="HV428" s="293">
        <v>11.428943489419996</v>
      </c>
      <c r="HW428" s="293">
        <v>10.31703566021001</v>
      </c>
      <c r="HX428" s="293">
        <v>26.926589429670003</v>
      </c>
      <c r="HY428" s="293"/>
      <c r="KT428" s="280"/>
    </row>
    <row r="429" spans="1:306" outlineLevel="1">
      <c r="A429" s="96" t="s">
        <v>372</v>
      </c>
      <c r="B429" s="96" t="s">
        <v>338</v>
      </c>
      <c r="D429" s="321" t="s">
        <v>518</v>
      </c>
      <c r="E429" s="293"/>
      <c r="F429" s="293"/>
      <c r="G429" s="293"/>
      <c r="H429" s="293"/>
      <c r="I429" s="293"/>
      <c r="J429" s="293"/>
      <c r="K429" s="293"/>
      <c r="L429" s="293"/>
      <c r="M429" s="293"/>
      <c r="N429" s="293"/>
      <c r="O429" s="293"/>
      <c r="P429" s="293"/>
      <c r="Q429" s="293"/>
      <c r="R429" s="293"/>
      <c r="S429" s="293"/>
      <c r="T429" s="293"/>
      <c r="U429" s="293"/>
      <c r="V429" s="293"/>
      <c r="W429" s="293"/>
      <c r="X429" s="293"/>
      <c r="Y429" s="29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c r="BN429" s="293"/>
      <c r="BO429" s="293"/>
      <c r="BP429" s="293"/>
      <c r="BQ429" s="293"/>
      <c r="BR429" s="293"/>
      <c r="BS429" s="293"/>
      <c r="BT429" s="293"/>
      <c r="BU429" s="293"/>
      <c r="BV429" s="293"/>
      <c r="BW429" s="293"/>
      <c r="BX429" s="293"/>
      <c r="BY429" s="293"/>
      <c r="BZ429" s="293"/>
      <c r="CA429" s="293"/>
      <c r="CB429" s="293"/>
      <c r="CC429" s="293"/>
      <c r="CD429" s="293"/>
      <c r="CE429" s="294">
        <v>0</v>
      </c>
      <c r="CF429" s="293">
        <v>0</v>
      </c>
      <c r="CG429" s="293">
        <v>0</v>
      </c>
      <c r="CH429" s="293">
        <v>0</v>
      </c>
      <c r="CI429" s="293">
        <v>0</v>
      </c>
      <c r="CJ429" s="293">
        <v>0</v>
      </c>
      <c r="CK429" s="293">
        <v>0</v>
      </c>
      <c r="CL429" s="293">
        <v>0</v>
      </c>
      <c r="CM429" s="293">
        <v>0</v>
      </c>
      <c r="CN429" s="293">
        <v>0</v>
      </c>
      <c r="CO429" s="293">
        <v>0</v>
      </c>
      <c r="CP429" s="295">
        <v>0</v>
      </c>
      <c r="CQ429" s="293">
        <v>0</v>
      </c>
      <c r="CR429" s="293">
        <v>0</v>
      </c>
      <c r="CS429" s="293">
        <v>0</v>
      </c>
      <c r="CT429" s="293">
        <v>0</v>
      </c>
      <c r="CU429" s="293">
        <v>0</v>
      </c>
      <c r="CV429" s="293">
        <v>0</v>
      </c>
      <c r="CW429" s="293">
        <v>0</v>
      </c>
      <c r="CX429" s="293">
        <v>0</v>
      </c>
      <c r="CY429" s="293">
        <v>0</v>
      </c>
      <c r="CZ429" s="293">
        <v>0</v>
      </c>
      <c r="DA429" s="293">
        <v>0</v>
      </c>
      <c r="DB429" s="1288">
        <v>0</v>
      </c>
      <c r="DC429" s="293">
        <v>0</v>
      </c>
      <c r="DD429" s="293">
        <v>0</v>
      </c>
      <c r="DE429" s="293">
        <v>0</v>
      </c>
      <c r="DF429" s="293">
        <v>0</v>
      </c>
      <c r="DG429" s="293">
        <v>0</v>
      </c>
      <c r="DH429" s="293">
        <v>0</v>
      </c>
      <c r="DI429" s="293">
        <v>0</v>
      </c>
      <c r="DJ429" s="293">
        <v>0</v>
      </c>
      <c r="DK429" s="293">
        <v>0</v>
      </c>
      <c r="DL429" s="293">
        <v>0</v>
      </c>
      <c r="DM429" s="293">
        <v>0</v>
      </c>
      <c r="DN429" s="295">
        <v>0</v>
      </c>
      <c r="DO429" s="293">
        <v>0</v>
      </c>
      <c r="DP429" s="293">
        <v>0</v>
      </c>
      <c r="DQ429" s="293">
        <v>0</v>
      </c>
      <c r="DR429" s="293">
        <v>0</v>
      </c>
      <c r="DS429" s="293">
        <v>0</v>
      </c>
      <c r="DT429" s="293">
        <v>0</v>
      </c>
      <c r="DU429" s="293">
        <v>0</v>
      </c>
      <c r="DV429" s="293">
        <v>0</v>
      </c>
      <c r="DW429" s="293">
        <v>0</v>
      </c>
      <c r="DX429" s="293">
        <v>0</v>
      </c>
      <c r="DY429" s="293">
        <v>0</v>
      </c>
      <c r="DZ429" s="295">
        <v>0</v>
      </c>
      <c r="EA429" s="293">
        <v>0</v>
      </c>
      <c r="EB429" s="293">
        <v>0</v>
      </c>
      <c r="EC429" s="293">
        <v>0</v>
      </c>
      <c r="ED429" s="293">
        <v>0</v>
      </c>
      <c r="EE429" s="293">
        <v>0</v>
      </c>
      <c r="EF429" s="293">
        <v>0</v>
      </c>
      <c r="EG429" s="293">
        <v>0</v>
      </c>
      <c r="EH429" s="293">
        <v>0</v>
      </c>
      <c r="EI429" s="293">
        <v>0</v>
      </c>
      <c r="EJ429" s="293">
        <v>0</v>
      </c>
      <c r="EK429" s="293">
        <v>0</v>
      </c>
      <c r="EL429" s="295">
        <v>0</v>
      </c>
      <c r="EM429" s="293">
        <v>0</v>
      </c>
      <c r="EN429" s="293">
        <v>0</v>
      </c>
      <c r="EO429" s="293">
        <v>0</v>
      </c>
      <c r="EP429" s="293">
        <v>0</v>
      </c>
      <c r="EQ429" s="293">
        <v>0</v>
      </c>
      <c r="ER429" s="293">
        <v>0</v>
      </c>
      <c r="ES429" s="293">
        <v>0</v>
      </c>
      <c r="ET429" s="293">
        <v>0</v>
      </c>
      <c r="EU429" s="293">
        <v>0</v>
      </c>
      <c r="EV429" s="293">
        <v>0</v>
      </c>
      <c r="EW429" s="293">
        <v>0</v>
      </c>
      <c r="EX429" s="295">
        <v>0</v>
      </c>
      <c r="EY429" s="293">
        <v>0</v>
      </c>
      <c r="EZ429" s="293">
        <v>0</v>
      </c>
      <c r="FA429" s="293">
        <v>0</v>
      </c>
      <c r="FB429" s="293">
        <v>0</v>
      </c>
      <c r="FC429" s="293">
        <v>0</v>
      </c>
      <c r="FD429" s="293">
        <v>0</v>
      </c>
      <c r="FE429" s="293">
        <v>0</v>
      </c>
      <c r="FF429" s="293">
        <v>0</v>
      </c>
      <c r="FG429" s="293">
        <v>0</v>
      </c>
      <c r="FH429" s="293">
        <v>0</v>
      </c>
      <c r="FI429" s="293">
        <v>0</v>
      </c>
      <c r="FJ429" s="295">
        <v>0</v>
      </c>
      <c r="FK429" s="293">
        <v>0</v>
      </c>
      <c r="FL429" s="293">
        <v>0</v>
      </c>
      <c r="FM429" s="293">
        <v>0</v>
      </c>
      <c r="FN429" s="293">
        <v>0</v>
      </c>
      <c r="FO429" s="293">
        <v>0</v>
      </c>
      <c r="FP429" s="293">
        <v>0</v>
      </c>
      <c r="FQ429" s="293">
        <v>0</v>
      </c>
      <c r="FR429" s="293">
        <v>0</v>
      </c>
      <c r="FS429" s="293">
        <v>0</v>
      </c>
      <c r="FT429" s="293">
        <v>0</v>
      </c>
      <c r="FU429" s="293">
        <v>0</v>
      </c>
      <c r="FV429" s="293">
        <v>0</v>
      </c>
      <c r="FW429" s="293">
        <v>0</v>
      </c>
      <c r="FX429" s="293">
        <v>0</v>
      </c>
      <c r="FY429" s="293">
        <v>0</v>
      </c>
      <c r="FZ429" s="293">
        <v>0</v>
      </c>
      <c r="GA429" s="293">
        <v>0</v>
      </c>
      <c r="GB429" s="293">
        <v>0</v>
      </c>
      <c r="GC429" s="293">
        <v>0</v>
      </c>
      <c r="GD429" s="293">
        <v>0</v>
      </c>
      <c r="GE429" s="293">
        <v>0</v>
      </c>
      <c r="GF429" s="293">
        <v>0</v>
      </c>
      <c r="GG429" s="293">
        <v>0</v>
      </c>
      <c r="GH429" s="293">
        <v>0</v>
      </c>
      <c r="GI429" s="293">
        <v>0</v>
      </c>
      <c r="GJ429" s="293">
        <v>0</v>
      </c>
      <c r="GK429" s="293">
        <v>0</v>
      </c>
      <c r="GL429" s="293">
        <v>0</v>
      </c>
      <c r="GM429" s="293">
        <v>0</v>
      </c>
      <c r="GN429" s="293">
        <v>0</v>
      </c>
      <c r="GO429" s="293">
        <v>0</v>
      </c>
      <c r="GP429" s="293">
        <v>0</v>
      </c>
      <c r="GQ429" s="293">
        <v>0</v>
      </c>
      <c r="GR429" s="293">
        <v>0</v>
      </c>
      <c r="GS429" s="293">
        <v>0</v>
      </c>
      <c r="GT429" s="293">
        <v>0</v>
      </c>
      <c r="GU429" s="293">
        <v>0</v>
      </c>
      <c r="GV429" s="293">
        <v>0</v>
      </c>
      <c r="GW429" s="293">
        <v>0</v>
      </c>
      <c r="GX429" s="293">
        <v>0</v>
      </c>
      <c r="GY429" s="293">
        <v>0</v>
      </c>
      <c r="GZ429" s="293">
        <v>0</v>
      </c>
      <c r="HA429" s="293">
        <v>0</v>
      </c>
      <c r="HB429" s="293">
        <v>0</v>
      </c>
      <c r="HC429" s="293">
        <v>0</v>
      </c>
      <c r="HD429" s="293">
        <v>0</v>
      </c>
      <c r="HE429" s="293">
        <v>0</v>
      </c>
      <c r="HF429" s="293">
        <v>0</v>
      </c>
      <c r="HG429" s="293">
        <v>0</v>
      </c>
      <c r="HH429" s="293">
        <v>0</v>
      </c>
      <c r="HI429" s="293">
        <v>0</v>
      </c>
      <c r="HJ429" s="293">
        <v>0</v>
      </c>
      <c r="HK429" s="293">
        <v>0</v>
      </c>
      <c r="HL429" s="293">
        <v>0</v>
      </c>
      <c r="HM429" s="293">
        <v>0</v>
      </c>
      <c r="HN429" s="293">
        <v>0</v>
      </c>
      <c r="HO429" s="293">
        <v>0</v>
      </c>
      <c r="HP429" s="293">
        <v>0</v>
      </c>
      <c r="HQ429" s="293">
        <v>0</v>
      </c>
      <c r="HR429" s="293">
        <v>0</v>
      </c>
      <c r="HS429" s="293">
        <v>0</v>
      </c>
      <c r="HT429" s="293">
        <v>0</v>
      </c>
      <c r="HU429" s="293">
        <v>0</v>
      </c>
      <c r="HV429" s="293">
        <v>0</v>
      </c>
      <c r="HW429" s="293">
        <v>0</v>
      </c>
      <c r="HX429" s="293">
        <v>0</v>
      </c>
      <c r="HY429" s="293"/>
      <c r="KT429" s="280"/>
    </row>
    <row r="430" spans="1:306" outlineLevel="1">
      <c r="A430" s="96" t="s">
        <v>372</v>
      </c>
      <c r="B430" s="96" t="s">
        <v>338</v>
      </c>
      <c r="D430" s="321" t="s">
        <v>519</v>
      </c>
      <c r="E430" s="293"/>
      <c r="F430" s="293"/>
      <c r="G430" s="293"/>
      <c r="H430" s="293"/>
      <c r="I430" s="293"/>
      <c r="J430" s="293"/>
      <c r="K430" s="293"/>
      <c r="L430" s="293"/>
      <c r="M430" s="293"/>
      <c r="N430" s="293"/>
      <c r="O430" s="293"/>
      <c r="P430" s="293"/>
      <c r="Q430" s="293"/>
      <c r="R430" s="293"/>
      <c r="S430" s="293"/>
      <c r="T430" s="293"/>
      <c r="U430" s="293"/>
      <c r="V430" s="293"/>
      <c r="W430" s="293"/>
      <c r="X430" s="293"/>
      <c r="Y430" s="29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c r="BN430" s="293"/>
      <c r="BO430" s="293"/>
      <c r="BP430" s="293"/>
      <c r="BQ430" s="293"/>
      <c r="BR430" s="293"/>
      <c r="BS430" s="293"/>
      <c r="BT430" s="293"/>
      <c r="BU430" s="293"/>
      <c r="BV430" s="293"/>
      <c r="BW430" s="293"/>
      <c r="BX430" s="293"/>
      <c r="BY430" s="293"/>
      <c r="BZ430" s="293"/>
      <c r="CA430" s="293"/>
      <c r="CB430" s="293"/>
      <c r="CC430" s="293"/>
      <c r="CD430" s="293"/>
      <c r="CE430" s="294">
        <v>0.84612021500000001</v>
      </c>
      <c r="CF430" s="293">
        <v>1.239917706</v>
      </c>
      <c r="CG430" s="293">
        <v>0.81163455799999995</v>
      </c>
      <c r="CH430" s="293">
        <v>1.1469411650000001</v>
      </c>
      <c r="CI430" s="293">
        <v>1.0924245699999999</v>
      </c>
      <c r="CJ430" s="293">
        <v>0.91695716599999999</v>
      </c>
      <c r="CK430" s="293">
        <v>0.88386281799999999</v>
      </c>
      <c r="CL430" s="293">
        <v>0.79949821899999995</v>
      </c>
      <c r="CM430" s="293">
        <v>1.094622336</v>
      </c>
      <c r="CN430" s="293">
        <v>0.66101670800000001</v>
      </c>
      <c r="CO430" s="293">
        <v>1.37028259</v>
      </c>
      <c r="CP430" s="295">
        <v>1.239677871</v>
      </c>
      <c r="CQ430" s="293">
        <v>0.75713307200000002</v>
      </c>
      <c r="CR430" s="293">
        <v>0.86384865900000007</v>
      </c>
      <c r="CS430" s="293">
        <v>1.0818581519999999</v>
      </c>
      <c r="CT430" s="293">
        <v>0.94316988899999998</v>
      </c>
      <c r="CU430" s="293">
        <v>1.1399535000000001</v>
      </c>
      <c r="CV430" s="293">
        <v>0.869352397</v>
      </c>
      <c r="CW430" s="293">
        <v>1.0327421210000001</v>
      </c>
      <c r="CX430" s="293">
        <v>0.80614112999999998</v>
      </c>
      <c r="CY430" s="293">
        <v>0.80478576099999999</v>
      </c>
      <c r="CZ430" s="293">
        <v>1.25552967</v>
      </c>
      <c r="DA430" s="293">
        <v>1.2630899390000001</v>
      </c>
      <c r="DB430" s="1288">
        <v>1.595495163</v>
      </c>
      <c r="DC430" s="293">
        <v>2.7323422260000001</v>
      </c>
      <c r="DD430" s="293">
        <v>1.9695306210000001</v>
      </c>
      <c r="DE430" s="293">
        <v>2.9419112730000001</v>
      </c>
      <c r="DF430" s="293">
        <v>2.210264118</v>
      </c>
      <c r="DG430" s="293">
        <v>2.3677145880000001</v>
      </c>
      <c r="DH430" s="293">
        <v>4.6395279880000002</v>
      </c>
      <c r="DI430" s="293">
        <v>3.299215857333333</v>
      </c>
      <c r="DJ430" s="293">
        <v>2.3583743803333328</v>
      </c>
      <c r="DK430" s="293">
        <v>4.6481581993333325</v>
      </c>
      <c r="DL430" s="293">
        <v>2.216913984333333</v>
      </c>
      <c r="DM430" s="293">
        <v>2.4478672073333327</v>
      </c>
      <c r="DN430" s="295">
        <v>0.55133333333333301</v>
      </c>
      <c r="DO430" s="293">
        <v>3.2524888553773099</v>
      </c>
      <c r="DP430" s="293">
        <v>3.446459883927349</v>
      </c>
      <c r="DQ430" s="293">
        <v>3.5689261370808989</v>
      </c>
      <c r="DR430" s="293">
        <v>3.3435633859533533</v>
      </c>
      <c r="DS430" s="293">
        <v>3.5286734867164888</v>
      </c>
      <c r="DT430" s="293">
        <v>7.0173774340976163</v>
      </c>
      <c r="DU430" s="293">
        <v>4.229113230208255</v>
      </c>
      <c r="DV430" s="293">
        <v>4.1098691158595493</v>
      </c>
      <c r="DW430" s="293">
        <v>4.6729895104244159</v>
      </c>
      <c r="DX430" s="293">
        <v>3.8017053499615452</v>
      </c>
      <c r="DY430" s="293">
        <v>4.477257558041666</v>
      </c>
      <c r="DZ430" s="295">
        <v>5.698768663492813</v>
      </c>
      <c r="EA430" s="293">
        <v>3.9136909759988914</v>
      </c>
      <c r="EB430" s="293">
        <v>3.8151139260266862</v>
      </c>
      <c r="EC430" s="293">
        <v>4.1558004443404251</v>
      </c>
      <c r="ED430" s="293">
        <v>4.7867844218253621</v>
      </c>
      <c r="EE430" s="293">
        <v>5.183299164001693</v>
      </c>
      <c r="EF430" s="293">
        <v>7.8901812493139687</v>
      </c>
      <c r="EG430" s="293">
        <v>4.2537307356579444</v>
      </c>
      <c r="EH430" s="293">
        <v>4.018994933185482</v>
      </c>
      <c r="EI430" s="293">
        <v>4.9306483567719921</v>
      </c>
      <c r="EJ430" s="293">
        <v>4.5815354485314277</v>
      </c>
      <c r="EK430" s="293">
        <v>4.032344568664934</v>
      </c>
      <c r="EL430" s="295">
        <v>5.3981107900974807</v>
      </c>
      <c r="EM430" s="293">
        <v>4.9193208039999998</v>
      </c>
      <c r="EN430" s="293">
        <v>4.1769152370000002</v>
      </c>
      <c r="EO430" s="293">
        <v>9.3931258549999992</v>
      </c>
      <c r="EP430" s="293">
        <v>7.2205925710000001</v>
      </c>
      <c r="EQ430" s="293">
        <v>8.1619172199999994</v>
      </c>
      <c r="ER430" s="293">
        <v>12.602468755</v>
      </c>
      <c r="ES430" s="293">
        <v>6.4096278329999903</v>
      </c>
      <c r="ET430" s="293">
        <v>4.5777012901000003</v>
      </c>
      <c r="EU430" s="293">
        <v>10.178172785999999</v>
      </c>
      <c r="EV430" s="293">
        <v>5.7319480469999995</v>
      </c>
      <c r="EW430" s="293">
        <v>5.753748055</v>
      </c>
      <c r="EX430" s="295">
        <v>12.849049871</v>
      </c>
      <c r="EY430" s="293">
        <v>5.262664585000004</v>
      </c>
      <c r="EZ430" s="293">
        <v>4.9105104329999971</v>
      </c>
      <c r="FA430" s="293">
        <v>10.614566404999994</v>
      </c>
      <c r="FB430" s="293">
        <v>5.982973087666668</v>
      </c>
      <c r="FC430" s="293">
        <v>5.0321488136666686</v>
      </c>
      <c r="FD430" s="293">
        <v>13.741639270186663</v>
      </c>
      <c r="FE430" s="293">
        <v>10.973276706</v>
      </c>
      <c r="FF430" s="293">
        <v>5.2036532519400005</v>
      </c>
      <c r="FG430" s="293">
        <v>8.8470259482800007</v>
      </c>
      <c r="FH430" s="293">
        <v>2.0223138180000007</v>
      </c>
      <c r="FI430" s="293">
        <v>4.7078686879999996</v>
      </c>
      <c r="FJ430" s="295">
        <v>8.2387352850674649</v>
      </c>
      <c r="FK430" s="293">
        <v>4.1809635077728302</v>
      </c>
      <c r="FL430" s="293">
        <v>4.344070762522632</v>
      </c>
      <c r="FM430" s="293">
        <v>7.7392183635863887</v>
      </c>
      <c r="FN430" s="293">
        <v>7.1681718182082301</v>
      </c>
      <c r="FO430" s="293">
        <v>4.4930568851904198</v>
      </c>
      <c r="FP430" s="293">
        <v>13.26570507691347</v>
      </c>
      <c r="FQ430" s="293">
        <v>4.775869532086837</v>
      </c>
      <c r="FR430" s="293">
        <v>5.2003298556468467</v>
      </c>
      <c r="FS430" s="293">
        <v>8.2771314033253613</v>
      </c>
      <c r="FT430" s="293">
        <v>1.7569701169257621</v>
      </c>
      <c r="FU430" s="293">
        <v>5.9387130385604241</v>
      </c>
      <c r="FV430" s="293">
        <v>9.8571338504248942</v>
      </c>
      <c r="FW430" s="293">
        <v>4.5564002029239381</v>
      </c>
      <c r="FX430" s="293">
        <v>5.0377439437933438</v>
      </c>
      <c r="FY430" s="293">
        <v>17.27022690215097</v>
      </c>
      <c r="FZ430" s="293">
        <v>13.138111052309924</v>
      </c>
      <c r="GA430" s="293">
        <v>12.167709325778533</v>
      </c>
      <c r="GB430" s="293">
        <v>16.18517118848273</v>
      </c>
      <c r="GC430" s="293">
        <v>10.914465227937068</v>
      </c>
      <c r="GD430" s="293">
        <v>43.632295053877669</v>
      </c>
      <c r="GE430" s="293">
        <v>15.13273897558325</v>
      </c>
      <c r="GF430" s="293">
        <v>2.6328494555600752</v>
      </c>
      <c r="GG430" s="293">
        <v>6.6875427071732885</v>
      </c>
      <c r="GH430" s="293">
        <v>18.959289332746017</v>
      </c>
      <c r="GI430" s="293">
        <v>5.9181546022953997</v>
      </c>
      <c r="GJ430" s="293">
        <v>6.1299909303831379</v>
      </c>
      <c r="GK430" s="293">
        <v>11.704692125427322</v>
      </c>
      <c r="GL430" s="293">
        <v>10.205421723916889</v>
      </c>
      <c r="GM430" s="293">
        <v>10.072698733208821</v>
      </c>
      <c r="GN430" s="293">
        <v>12.930866568233451</v>
      </c>
      <c r="GO430" s="293">
        <v>11.890697832311565</v>
      </c>
      <c r="GP430" s="293">
        <v>10.619063331474727</v>
      </c>
      <c r="GQ430" s="293">
        <v>11.799154777326669</v>
      </c>
      <c r="GR430" s="293">
        <v>7.9459349121666669</v>
      </c>
      <c r="GS430" s="293">
        <v>8.132609364166667</v>
      </c>
      <c r="GT430" s="293">
        <v>8.9813491721666683</v>
      </c>
      <c r="GU430" s="293">
        <v>8.5854644437892578</v>
      </c>
      <c r="GV430" s="293">
        <v>7.426674227940719</v>
      </c>
      <c r="GW430" s="293">
        <v>26.038505397220156</v>
      </c>
      <c r="GX430" s="293">
        <v>7.2679998719099999</v>
      </c>
      <c r="GY430" s="293">
        <v>7.1623864173899996</v>
      </c>
      <c r="GZ430" s="293">
        <v>18.713971455980001</v>
      </c>
      <c r="HA430" s="293">
        <v>7.9620785439800006</v>
      </c>
      <c r="HB430" s="293">
        <v>6.9139648996799998</v>
      </c>
      <c r="HC430" s="293">
        <v>20.125925459074047</v>
      </c>
      <c r="HD430" s="293">
        <v>5.78453051376</v>
      </c>
      <c r="HE430" s="293">
        <v>6.7625461797399993</v>
      </c>
      <c r="HF430" s="293">
        <v>30.974578281569183</v>
      </c>
      <c r="HG430" s="293">
        <v>7.3758758163199989</v>
      </c>
      <c r="HH430" s="293">
        <v>7.096768563569972</v>
      </c>
      <c r="HI430" s="293">
        <v>23.531517947129998</v>
      </c>
      <c r="HJ430" s="293">
        <v>7.2577778196400011</v>
      </c>
      <c r="HK430" s="293">
        <v>6.8773916845333005</v>
      </c>
      <c r="HL430" s="293">
        <v>25.535159217869843</v>
      </c>
      <c r="HM430" s="293">
        <v>8.1700970788599996</v>
      </c>
      <c r="HN430" s="293">
        <v>6.2947325803099998</v>
      </c>
      <c r="HO430" s="293">
        <v>20.907432702629997</v>
      </c>
      <c r="HP430" s="293">
        <v>6.4938159255100043</v>
      </c>
      <c r="HQ430" s="293">
        <v>10.226875728320012</v>
      </c>
      <c r="HR430" s="293">
        <v>25.380417885240007</v>
      </c>
      <c r="HS430" s="293">
        <v>7.5558838867899993</v>
      </c>
      <c r="HT430" s="293">
        <v>7.8161037287300008</v>
      </c>
      <c r="HU430" s="293">
        <v>34.102881835459996</v>
      </c>
      <c r="HV430" s="293">
        <v>8.5515037359099981</v>
      </c>
      <c r="HW430" s="293">
        <v>7.098492146400007</v>
      </c>
      <c r="HX430" s="293">
        <v>23.51756893348</v>
      </c>
      <c r="HY430" s="293"/>
      <c r="KT430" s="280"/>
    </row>
    <row r="431" spans="1:306" outlineLevel="1">
      <c r="D431" s="2062" t="s">
        <v>3118</v>
      </c>
      <c r="E431" s="293"/>
      <c r="F431" s="293"/>
      <c r="G431" s="293"/>
      <c r="H431" s="293"/>
      <c r="I431" s="293"/>
      <c r="J431" s="293"/>
      <c r="K431" s="293"/>
      <c r="L431" s="293"/>
      <c r="M431" s="293"/>
      <c r="N431" s="293"/>
      <c r="O431" s="293"/>
      <c r="P431" s="293"/>
      <c r="Q431" s="293"/>
      <c r="R431" s="293"/>
      <c r="S431" s="293"/>
      <c r="T431" s="293"/>
      <c r="U431" s="293"/>
      <c r="V431" s="293"/>
      <c r="W431" s="293"/>
      <c r="X431" s="293"/>
      <c r="Y431" s="29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c r="BN431" s="293"/>
      <c r="BO431" s="293"/>
      <c r="BP431" s="293"/>
      <c r="BQ431" s="293"/>
      <c r="BR431" s="293"/>
      <c r="BS431" s="293"/>
      <c r="BT431" s="293"/>
      <c r="BU431" s="293"/>
      <c r="BV431" s="293"/>
      <c r="BW431" s="293"/>
      <c r="BX431" s="293"/>
      <c r="BY431" s="293"/>
      <c r="BZ431" s="293"/>
      <c r="CA431" s="293"/>
      <c r="CB431" s="293"/>
      <c r="CC431" s="293"/>
      <c r="CD431" s="293"/>
      <c r="CE431" s="294"/>
      <c r="CF431" s="293"/>
      <c r="CG431" s="293"/>
      <c r="CH431" s="293"/>
      <c r="CI431" s="293"/>
      <c r="CJ431" s="293"/>
      <c r="CK431" s="293"/>
      <c r="CL431" s="293"/>
      <c r="CM431" s="293"/>
      <c r="CN431" s="293"/>
      <c r="CO431" s="293"/>
      <c r="CP431" s="295"/>
      <c r="CQ431" s="293"/>
      <c r="CR431" s="293"/>
      <c r="CS431" s="293"/>
      <c r="CT431" s="293"/>
      <c r="CU431" s="293"/>
      <c r="CV431" s="293"/>
      <c r="CW431" s="293"/>
      <c r="CX431" s="293"/>
      <c r="CY431" s="293"/>
      <c r="CZ431" s="293"/>
      <c r="DA431" s="293"/>
      <c r="DB431" s="1288"/>
      <c r="DC431" s="293"/>
      <c r="DD431" s="293"/>
      <c r="DE431" s="293"/>
      <c r="DF431" s="293"/>
      <c r="DG431" s="293"/>
      <c r="DH431" s="293"/>
      <c r="DI431" s="293"/>
      <c r="DJ431" s="293"/>
      <c r="DK431" s="293"/>
      <c r="DL431" s="293"/>
      <c r="DM431" s="293"/>
      <c r="DN431" s="295"/>
      <c r="DO431" s="293"/>
      <c r="DP431" s="293"/>
      <c r="DQ431" s="293"/>
      <c r="DR431" s="293"/>
      <c r="DS431" s="293"/>
      <c r="DT431" s="293"/>
      <c r="DU431" s="293"/>
      <c r="DV431" s="293"/>
      <c r="DW431" s="293"/>
      <c r="DX431" s="293"/>
      <c r="DY431" s="293"/>
      <c r="DZ431" s="295"/>
      <c r="EA431" s="293"/>
      <c r="EB431" s="293"/>
      <c r="EC431" s="293"/>
      <c r="ED431" s="293"/>
      <c r="EE431" s="293"/>
      <c r="EF431" s="293"/>
      <c r="EG431" s="293"/>
      <c r="EH431" s="293"/>
      <c r="EI431" s="293"/>
      <c r="EJ431" s="293"/>
      <c r="EK431" s="293"/>
      <c r="EL431" s="295"/>
      <c r="EM431" s="293"/>
      <c r="EN431" s="293"/>
      <c r="EO431" s="293"/>
      <c r="EP431" s="293"/>
      <c r="EQ431" s="293"/>
      <c r="ER431" s="293"/>
      <c r="ES431" s="293"/>
      <c r="ET431" s="293"/>
      <c r="EU431" s="293"/>
      <c r="EV431" s="293"/>
      <c r="EW431" s="293"/>
      <c r="EX431" s="295"/>
      <c r="EY431" s="293"/>
      <c r="EZ431" s="293"/>
      <c r="FA431" s="293"/>
      <c r="FB431" s="293"/>
      <c r="FC431" s="293"/>
      <c r="FD431" s="293"/>
      <c r="FE431" s="293"/>
      <c r="FF431" s="293"/>
      <c r="FG431" s="293"/>
      <c r="FH431" s="293"/>
      <c r="FI431" s="293"/>
      <c r="FJ431" s="295"/>
      <c r="FK431" s="293"/>
      <c r="FL431" s="293"/>
      <c r="FM431" s="293"/>
      <c r="FN431" s="293"/>
      <c r="FO431" s="293"/>
      <c r="FP431" s="293"/>
      <c r="FQ431" s="293"/>
      <c r="FR431" s="293"/>
      <c r="FS431" s="293"/>
      <c r="FT431" s="293"/>
      <c r="FU431" s="293"/>
      <c r="FV431" s="293"/>
      <c r="FW431" s="293">
        <v>0.92318832435999987</v>
      </c>
      <c r="FX431" s="293">
        <v>1.5247529943199998</v>
      </c>
      <c r="FY431" s="293">
        <v>2.4596694842077933</v>
      </c>
      <c r="FZ431" s="293">
        <v>1.9307226408922056</v>
      </c>
      <c r="GA431" s="293">
        <v>1.6797785813100017</v>
      </c>
      <c r="GB431" s="293">
        <v>2.0582854242527948</v>
      </c>
      <c r="GC431" s="293">
        <v>1.6530114376372036</v>
      </c>
      <c r="GD431" s="293">
        <v>1.9862153990710003</v>
      </c>
      <c r="GE431" s="293">
        <v>2.0711385295390019</v>
      </c>
      <c r="GF431" s="293">
        <v>2.173728671830002</v>
      </c>
      <c r="GG431" s="293">
        <v>1.7955816243486999</v>
      </c>
      <c r="GH431" s="293">
        <v>2.7172967976912994</v>
      </c>
      <c r="GI431" s="293">
        <v>2.0682120853497188</v>
      </c>
      <c r="GJ431" s="293">
        <v>2.1222335614302805</v>
      </c>
      <c r="GK431" s="293">
        <v>1.8292268649079999</v>
      </c>
      <c r="GL431" s="293">
        <v>2.1035890286338392</v>
      </c>
      <c r="GM431" s="293">
        <v>2.3860223618304586</v>
      </c>
      <c r="GN431" s="293">
        <v>2.964427220312726</v>
      </c>
      <c r="GO431" s="293">
        <v>2.6429249151448997</v>
      </c>
      <c r="GP431" s="293">
        <v>2.2986638383080602</v>
      </c>
      <c r="GQ431" s="293">
        <v>3.0314129841599997</v>
      </c>
      <c r="GR431" s="293">
        <v>0</v>
      </c>
      <c r="GS431" s="293">
        <v>0</v>
      </c>
      <c r="GT431" s="293">
        <v>0</v>
      </c>
      <c r="GU431" s="293">
        <v>5.2474914807892574</v>
      </c>
      <c r="GV431" s="293">
        <v>3.7494254769407198</v>
      </c>
      <c r="GW431" s="293">
        <v>3.3178440732201553</v>
      </c>
      <c r="GX431" s="293">
        <v>4.0079416719100003</v>
      </c>
      <c r="GY431" s="293">
        <v>3.8370378613900002</v>
      </c>
      <c r="GZ431" s="293">
        <v>4.1440972879800002</v>
      </c>
      <c r="HA431" s="293">
        <v>4.9510413419800017</v>
      </c>
      <c r="HB431" s="293">
        <v>3.84974374968</v>
      </c>
      <c r="HC431" s="293">
        <v>4.7290830312940493</v>
      </c>
      <c r="HD431" s="293">
        <v>3.1378757267599999</v>
      </c>
      <c r="HE431" s="293">
        <v>3.6100148057399997</v>
      </c>
      <c r="HF431" s="293">
        <v>4.2565477254699999</v>
      </c>
      <c r="HG431" s="293">
        <v>4.362090478319999</v>
      </c>
      <c r="HH431" s="293">
        <v>4.1285172975699718</v>
      </c>
      <c r="HI431" s="293">
        <v>3.4442858281299995</v>
      </c>
      <c r="HJ431" s="293">
        <v>3.8810005356400015</v>
      </c>
      <c r="HK431" s="293">
        <v>3.8656673255333005</v>
      </c>
      <c r="HL431" s="293">
        <v>3.2049764485365069</v>
      </c>
      <c r="HM431" s="293">
        <v>4.7780647958599998</v>
      </c>
      <c r="HN431" s="293">
        <v>3.29265499031</v>
      </c>
      <c r="HO431" s="293">
        <v>3.7236164156299947</v>
      </c>
      <c r="HP431" s="293">
        <v>3.3635775865100039</v>
      </c>
      <c r="HQ431" s="293">
        <v>4.0695764953200113</v>
      </c>
      <c r="HR431" s="293">
        <v>6.2353836352400096</v>
      </c>
      <c r="HS431" s="293">
        <v>3.9879700097899993</v>
      </c>
      <c r="HT431" s="293">
        <v>4.0337051357300009</v>
      </c>
      <c r="HU431" s="293">
        <v>3.8974349474600012</v>
      </c>
      <c r="HV431" s="293">
        <v>4.4301556819099979</v>
      </c>
      <c r="HW431" s="293">
        <v>3.248720534400007</v>
      </c>
      <c r="HX431" s="293">
        <v>3.8204561284799978</v>
      </c>
      <c r="HY431" s="293"/>
      <c r="KT431" s="280"/>
    </row>
    <row r="432" spans="1:306" outlineLevel="1">
      <c r="D432" s="2062" t="s">
        <v>3069</v>
      </c>
      <c r="E432" s="293"/>
      <c r="F432" s="293"/>
      <c r="G432" s="293"/>
      <c r="H432" s="293"/>
      <c r="I432" s="293"/>
      <c r="J432" s="293"/>
      <c r="K432" s="293"/>
      <c r="L432" s="293"/>
      <c r="M432" s="293"/>
      <c r="N432" s="293"/>
      <c r="O432" s="293"/>
      <c r="P432" s="293"/>
      <c r="Q432" s="293"/>
      <c r="R432" s="293"/>
      <c r="S432" s="293"/>
      <c r="T432" s="293"/>
      <c r="U432" s="293"/>
      <c r="V432" s="293"/>
      <c r="W432" s="293"/>
      <c r="X432" s="293"/>
      <c r="Y432" s="29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c r="BN432" s="293"/>
      <c r="BO432" s="293"/>
      <c r="BP432" s="293"/>
      <c r="BQ432" s="293"/>
      <c r="BR432" s="293"/>
      <c r="BS432" s="293"/>
      <c r="BT432" s="293"/>
      <c r="BU432" s="293"/>
      <c r="BV432" s="293"/>
      <c r="BW432" s="293"/>
      <c r="BX432" s="293"/>
      <c r="BY432" s="293"/>
      <c r="BZ432" s="293"/>
      <c r="CA432" s="293"/>
      <c r="CB432" s="293"/>
      <c r="CC432" s="293"/>
      <c r="CD432" s="293"/>
      <c r="CE432" s="294"/>
      <c r="CF432" s="293"/>
      <c r="CG432" s="293"/>
      <c r="CH432" s="293"/>
      <c r="CI432" s="293"/>
      <c r="CJ432" s="293"/>
      <c r="CK432" s="293"/>
      <c r="CL432" s="293"/>
      <c r="CM432" s="293"/>
      <c r="CN432" s="293"/>
      <c r="CO432" s="293"/>
      <c r="CP432" s="295"/>
      <c r="CQ432" s="293"/>
      <c r="CR432" s="293"/>
      <c r="CS432" s="293"/>
      <c r="CT432" s="293"/>
      <c r="CU432" s="293"/>
      <c r="CV432" s="293"/>
      <c r="CW432" s="293"/>
      <c r="CX432" s="293"/>
      <c r="CY432" s="293"/>
      <c r="CZ432" s="293"/>
      <c r="DA432" s="293"/>
      <c r="DB432" s="1288"/>
      <c r="DC432" s="293"/>
      <c r="DD432" s="293"/>
      <c r="DE432" s="293"/>
      <c r="DF432" s="293"/>
      <c r="DG432" s="293"/>
      <c r="DH432" s="293"/>
      <c r="DI432" s="293"/>
      <c r="DJ432" s="293"/>
      <c r="DK432" s="293"/>
      <c r="DL432" s="293"/>
      <c r="DM432" s="293"/>
      <c r="DN432" s="295"/>
      <c r="DO432" s="293"/>
      <c r="DP432" s="293"/>
      <c r="DQ432" s="293"/>
      <c r="DR432" s="293"/>
      <c r="DS432" s="293"/>
      <c r="DT432" s="293"/>
      <c r="DU432" s="293"/>
      <c r="DV432" s="293"/>
      <c r="DW432" s="293"/>
      <c r="DX432" s="293"/>
      <c r="DY432" s="293"/>
      <c r="DZ432" s="295"/>
      <c r="EA432" s="293"/>
      <c r="EB432" s="293"/>
      <c r="EC432" s="293"/>
      <c r="ED432" s="293"/>
      <c r="EE432" s="293"/>
      <c r="EF432" s="293"/>
      <c r="EG432" s="293"/>
      <c r="EH432" s="293"/>
      <c r="EI432" s="293"/>
      <c r="EJ432" s="293"/>
      <c r="EK432" s="293"/>
      <c r="EL432" s="295"/>
      <c r="EM432" s="293"/>
      <c r="EN432" s="293"/>
      <c r="EO432" s="293"/>
      <c r="EP432" s="293"/>
      <c r="EQ432" s="293"/>
      <c r="ER432" s="293"/>
      <c r="ES432" s="293"/>
      <c r="ET432" s="293"/>
      <c r="EU432" s="293"/>
      <c r="EV432" s="293"/>
      <c r="EW432" s="293"/>
      <c r="EX432" s="295"/>
      <c r="EY432" s="293"/>
      <c r="EZ432" s="293"/>
      <c r="FA432" s="293"/>
      <c r="FB432" s="293"/>
      <c r="FC432" s="293"/>
      <c r="FD432" s="293"/>
      <c r="FE432" s="293"/>
      <c r="FF432" s="293"/>
      <c r="FG432" s="293"/>
      <c r="FH432" s="293"/>
      <c r="FI432" s="293"/>
      <c r="FJ432" s="295"/>
      <c r="FK432" s="293"/>
      <c r="FL432" s="293"/>
      <c r="FM432" s="293"/>
      <c r="FN432" s="293"/>
      <c r="FO432" s="293"/>
      <c r="FP432" s="293"/>
      <c r="FQ432" s="293"/>
      <c r="FR432" s="293"/>
      <c r="FS432" s="293"/>
      <c r="FT432" s="293"/>
      <c r="FU432" s="293"/>
      <c r="FV432" s="293"/>
      <c r="FW432" s="293">
        <v>2.7427314350000001</v>
      </c>
      <c r="FX432" s="293">
        <v>3.3048278679999998</v>
      </c>
      <c r="FY432" s="293">
        <v>3.4209741390000001</v>
      </c>
      <c r="FZ432" s="293">
        <v>3.0838155999999999</v>
      </c>
      <c r="GA432" s="293">
        <v>3.3429999769999998</v>
      </c>
      <c r="GB432" s="293">
        <v>3.4417001489999999</v>
      </c>
      <c r="GC432" s="293">
        <v>3.8239994500000001</v>
      </c>
      <c r="GD432" s="293">
        <v>2.876337382</v>
      </c>
      <c r="GE432" s="293">
        <v>3.549066308</v>
      </c>
      <c r="GF432" s="293">
        <v>2.6945463589999998</v>
      </c>
      <c r="GG432" s="293">
        <v>3.33441718</v>
      </c>
      <c r="GH432" s="293">
        <v>3.9168072249999999</v>
      </c>
      <c r="GI432" s="293">
        <v>3.3601609429999999</v>
      </c>
      <c r="GJ432" s="293">
        <v>3.8932636230000002</v>
      </c>
      <c r="GK432" s="293">
        <v>3.6109727999999999</v>
      </c>
      <c r="GL432" s="293">
        <v>3.6337095530000001</v>
      </c>
      <c r="GM432" s="293">
        <v>3.7568253989999998</v>
      </c>
      <c r="GN432" s="293">
        <v>4.0893793110000001</v>
      </c>
      <c r="GO432" s="293">
        <v>4.4531423920000002</v>
      </c>
      <c r="GP432" s="293">
        <v>3.5257689679999999</v>
      </c>
      <c r="GQ432" s="293">
        <v>3.9731112679999998</v>
      </c>
      <c r="GR432" s="293">
        <v>3.1513043870000002</v>
      </c>
      <c r="GS432" s="293">
        <v>3.3379788389999998</v>
      </c>
      <c r="GT432" s="293">
        <v>4.1867186470000002</v>
      </c>
      <c r="GU432" s="293">
        <v>3.3379729629999999</v>
      </c>
      <c r="GV432" s="293">
        <v>3.6769997509999999</v>
      </c>
      <c r="GW432" s="293">
        <v>3.6830813880000002</v>
      </c>
      <c r="GX432" s="293">
        <v>3.2600522000000001</v>
      </c>
      <c r="GY432" s="293">
        <v>3.3253455559999998</v>
      </c>
      <c r="GZ432" s="293">
        <v>3.619165873</v>
      </c>
      <c r="HA432" s="293">
        <v>3.010857202</v>
      </c>
      <c r="HB432" s="293">
        <v>3.0642211499999998</v>
      </c>
      <c r="HC432" s="293">
        <v>2.8411651629999999</v>
      </c>
      <c r="HD432" s="293">
        <v>2.6463547869999999</v>
      </c>
      <c r="HE432" s="293">
        <v>3.1518743740000001</v>
      </c>
      <c r="HF432" s="293">
        <v>3.3228378709999999</v>
      </c>
      <c r="HG432" s="293">
        <v>3.0137853379999999</v>
      </c>
      <c r="HH432" s="293">
        <v>2.9682512660000002</v>
      </c>
      <c r="HI432" s="293">
        <v>2.970953373</v>
      </c>
      <c r="HJ432" s="293">
        <v>3.3767772840000001</v>
      </c>
      <c r="HK432" s="293">
        <v>3.011724359</v>
      </c>
      <c r="HL432" s="293">
        <v>4.1929636713333363</v>
      </c>
      <c r="HM432" s="293">
        <v>3.3920322829999998</v>
      </c>
      <c r="HN432" s="293">
        <v>3.0020775899999999</v>
      </c>
      <c r="HO432" s="293">
        <v>3.406110693</v>
      </c>
      <c r="HP432" s="293">
        <v>3.1302383389999999</v>
      </c>
      <c r="HQ432" s="293">
        <v>3.5291995909999998</v>
      </c>
      <c r="HR432" s="293">
        <v>3.6309376389999999</v>
      </c>
      <c r="HS432" s="293">
        <v>3.5679138770000001</v>
      </c>
      <c r="HT432" s="293">
        <v>3.7823985929999999</v>
      </c>
      <c r="HU432" s="293">
        <v>3.7691131859999989</v>
      </c>
      <c r="HV432" s="293">
        <v>4.1213480540000003</v>
      </c>
      <c r="HW432" s="293">
        <v>3.8497716120000001</v>
      </c>
      <c r="HX432" s="293">
        <v>4.6393650859999997</v>
      </c>
      <c r="HY432" s="293"/>
      <c r="KT432" s="280"/>
    </row>
    <row r="433" spans="1:307" outlineLevel="1">
      <c r="A433" s="96" t="s">
        <v>372</v>
      </c>
      <c r="B433" s="96" t="s">
        <v>338</v>
      </c>
      <c r="D433" s="321" t="s">
        <v>520</v>
      </c>
      <c r="E433" s="293"/>
      <c r="F433" s="293"/>
      <c r="G433" s="293"/>
      <c r="H433" s="293"/>
      <c r="I433" s="293"/>
      <c r="J433" s="293"/>
      <c r="K433" s="293"/>
      <c r="L433" s="293"/>
      <c r="M433" s="293"/>
      <c r="N433" s="293"/>
      <c r="O433" s="293"/>
      <c r="P433" s="293"/>
      <c r="Q433" s="293"/>
      <c r="R433" s="293"/>
      <c r="S433" s="293"/>
      <c r="T433" s="293"/>
      <c r="U433" s="293"/>
      <c r="V433" s="293"/>
      <c r="W433" s="293"/>
      <c r="X433" s="293"/>
      <c r="Y433" s="29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c r="BN433" s="293"/>
      <c r="BO433" s="293"/>
      <c r="BP433" s="293"/>
      <c r="BQ433" s="293"/>
      <c r="BR433" s="293"/>
      <c r="BS433" s="293"/>
      <c r="BT433" s="293"/>
      <c r="BU433" s="293"/>
      <c r="BV433" s="293"/>
      <c r="BW433" s="293"/>
      <c r="BX433" s="293"/>
      <c r="BY433" s="293"/>
      <c r="BZ433" s="293"/>
      <c r="CA433" s="293"/>
      <c r="CB433" s="293"/>
      <c r="CC433" s="293"/>
      <c r="CD433" s="293"/>
      <c r="CE433" s="294">
        <v>0.77066292619726762</v>
      </c>
      <c r="CF433" s="293">
        <v>2.4482873745727849</v>
      </c>
      <c r="CG433" s="293">
        <v>0.73833164889343972</v>
      </c>
      <c r="CH433" s="293">
        <v>24.970246959450225</v>
      </c>
      <c r="CI433" s="293">
        <v>0.64224642862472392</v>
      </c>
      <c r="CJ433" s="293">
        <v>13.9081012511328</v>
      </c>
      <c r="CK433" s="293">
        <v>0.67361932902504518</v>
      </c>
      <c r="CL433" s="293">
        <v>3.7256129200830719</v>
      </c>
      <c r="CM433" s="293">
        <v>19.403214191856215</v>
      </c>
      <c r="CN433" s="293">
        <v>0.89975872191736017</v>
      </c>
      <c r="CO433" s="293">
        <v>1.5299262136995913</v>
      </c>
      <c r="CP433" s="295">
        <v>19.83261632021987</v>
      </c>
      <c r="CQ433" s="293">
        <v>0.64051576489999995</v>
      </c>
      <c r="CR433" s="293">
        <v>1.3247816400962495</v>
      </c>
      <c r="CS433" s="293">
        <v>0.68999256619000005</v>
      </c>
      <c r="CT433" s="293">
        <v>12.30321609883687</v>
      </c>
      <c r="CU433" s="293">
        <v>1.0187699279947897</v>
      </c>
      <c r="CV433" s="293">
        <v>17.969316369725746</v>
      </c>
      <c r="CW433" s="293">
        <v>3.3986685871911959</v>
      </c>
      <c r="CX433" s="293">
        <v>1.2860703248600001</v>
      </c>
      <c r="CY433" s="293">
        <v>39.287495378967854</v>
      </c>
      <c r="CZ433" s="293">
        <v>18.755037898988448</v>
      </c>
      <c r="DA433" s="293">
        <v>2.4607847271192944</v>
      </c>
      <c r="DB433" s="1288">
        <v>16.682581432324238</v>
      </c>
      <c r="DC433" s="293">
        <v>0.40936406353085403</v>
      </c>
      <c r="DD433" s="293">
        <v>0</v>
      </c>
      <c r="DE433" s="293">
        <v>9.8312581181893215</v>
      </c>
      <c r="DF433" s="293">
        <v>23.229991356577557</v>
      </c>
      <c r="DG433" s="293">
        <v>0</v>
      </c>
      <c r="DH433" s="293">
        <v>23.628131229306309</v>
      </c>
      <c r="DI433" s="293">
        <v>1.1791709588875621</v>
      </c>
      <c r="DJ433" s="293">
        <v>0.4497606167</v>
      </c>
      <c r="DK433" s="293">
        <v>34.610282378924587</v>
      </c>
      <c r="DL433" s="293">
        <v>2.9093187925081443</v>
      </c>
      <c r="DM433" s="293">
        <v>3.1594757378971106</v>
      </c>
      <c r="DN433" s="295">
        <v>25.27834123792513</v>
      </c>
      <c r="DO433" s="293">
        <v>0.84171662300000005</v>
      </c>
      <c r="DP433" s="293">
        <v>1.967117645089288</v>
      </c>
      <c r="DQ433" s="293">
        <v>31.681815695863499</v>
      </c>
      <c r="DR433" s="293">
        <v>6.1606299268505698</v>
      </c>
      <c r="DS433" s="293">
        <v>1.804409023073996</v>
      </c>
      <c r="DT433" s="293">
        <v>30.045994029345199</v>
      </c>
      <c r="DU433" s="293">
        <v>1.4706382119999999</v>
      </c>
      <c r="DV433" s="293">
        <v>0.83759282999999995</v>
      </c>
      <c r="DW433" s="293">
        <v>31.727706425000001</v>
      </c>
      <c r="DX433" s="293">
        <v>1.759322435020374</v>
      </c>
      <c r="DY433" s="293">
        <v>0.96380090390219997</v>
      </c>
      <c r="DZ433" s="295">
        <v>30.086006621719498</v>
      </c>
      <c r="EA433" s="293">
        <v>0.84171662300000005</v>
      </c>
      <c r="EB433" s="293">
        <v>1.1508827779999999</v>
      </c>
      <c r="EC433" s="293">
        <v>20.926452234999999</v>
      </c>
      <c r="ED433" s="293">
        <v>20.989333863000002</v>
      </c>
      <c r="EE433" s="293">
        <v>0.87698696399999998</v>
      </c>
      <c r="EF433" s="293">
        <v>38.100210666000002</v>
      </c>
      <c r="EG433" s="293">
        <v>3.860204317</v>
      </c>
      <c r="EH433" s="293">
        <v>1.6015113299999999</v>
      </c>
      <c r="EI433" s="293">
        <v>15.074558287</v>
      </c>
      <c r="EJ433" s="293">
        <v>28.948392117999997</v>
      </c>
      <c r="EK433" s="293">
        <v>9.7391911150000006</v>
      </c>
      <c r="EL433" s="295">
        <v>18.724085254000002</v>
      </c>
      <c r="EM433" s="293">
        <v>2.1231752159999999</v>
      </c>
      <c r="EN433" s="293">
        <v>36.2872713223814</v>
      </c>
      <c r="EO433" s="293">
        <v>34.786820126361604</v>
      </c>
      <c r="EP433" s="293">
        <v>10.917655376212011</v>
      </c>
      <c r="EQ433" s="293">
        <v>1.0695211383090499</v>
      </c>
      <c r="ER433" s="293">
        <v>19.977650562447401</v>
      </c>
      <c r="ES433" s="293">
        <v>3.5640890249999999</v>
      </c>
      <c r="ET433" s="293">
        <v>0.86682387499999991</v>
      </c>
      <c r="EU433" s="293">
        <v>31.195748930000001</v>
      </c>
      <c r="EV433" s="293">
        <v>10.056148590836891</v>
      </c>
      <c r="EW433" s="293">
        <v>0.93046208699999999</v>
      </c>
      <c r="EX433" s="295">
        <v>10.858199057</v>
      </c>
      <c r="EY433" s="293">
        <v>1.4305886475704002</v>
      </c>
      <c r="EZ433" s="293">
        <v>13.644136845282</v>
      </c>
      <c r="FA433" s="293">
        <v>31.012991648227889</v>
      </c>
      <c r="FB433" s="293">
        <v>32.400034510430515</v>
      </c>
      <c r="FC433" s="293">
        <v>1.8529432568197119</v>
      </c>
      <c r="FD433" s="293">
        <v>22.307530775192664</v>
      </c>
      <c r="FE433" s="293">
        <v>1.102642532</v>
      </c>
      <c r="FF433" s="293">
        <v>1.5673122104031836</v>
      </c>
      <c r="FG433" s="293">
        <v>1.164678173</v>
      </c>
      <c r="FH433" s="293">
        <v>15.00436438751411</v>
      </c>
      <c r="FI433" s="293">
        <v>31.771734912361026</v>
      </c>
      <c r="FJ433" s="295">
        <v>0.69479255699999998</v>
      </c>
      <c r="FK433" s="293">
        <v>1.30959155171956</v>
      </c>
      <c r="FL433" s="293">
        <v>1.9347106542756209</v>
      </c>
      <c r="FM433" s="293">
        <v>75.71959442460701</v>
      </c>
      <c r="FN433" s="293">
        <v>1.1583962818945865</v>
      </c>
      <c r="FO433" s="293">
        <v>4.366134070302274</v>
      </c>
      <c r="FP433" s="293">
        <v>45.64905023299778</v>
      </c>
      <c r="FQ433" s="293">
        <v>1.0837011122571989</v>
      </c>
      <c r="FR433" s="293">
        <v>1.059584074326962</v>
      </c>
      <c r="FS433" s="293">
        <v>1.2100451349451466</v>
      </c>
      <c r="FT433" s="293">
        <v>53.887641090870552</v>
      </c>
      <c r="FU433" s="293">
        <v>1.24375097513529</v>
      </c>
      <c r="FV433" s="293">
        <v>35.734580436030392</v>
      </c>
      <c r="FW433" s="293">
        <v>1.1091053145613641</v>
      </c>
      <c r="FX433" s="293">
        <v>1.251032031511992</v>
      </c>
      <c r="FY433" s="293">
        <v>41.103752136057629</v>
      </c>
      <c r="FZ433" s="293">
        <v>1.1011386350700656</v>
      </c>
      <c r="GA433" s="293">
        <v>43.355828380578068</v>
      </c>
      <c r="GB433" s="293">
        <v>5.6110027847700756</v>
      </c>
      <c r="GC433" s="293">
        <v>1.1667665404519934</v>
      </c>
      <c r="GD433" s="293">
        <v>1.0292662748935573</v>
      </c>
      <c r="GE433" s="293">
        <v>1.2633240981165843</v>
      </c>
      <c r="GF433" s="293">
        <v>24.726026118637265</v>
      </c>
      <c r="GG433" s="293">
        <v>1.2289248174735214</v>
      </c>
      <c r="GH433" s="293">
        <v>39.402393755767058</v>
      </c>
      <c r="GI433" s="293">
        <v>0</v>
      </c>
      <c r="GJ433" s="293">
        <v>0</v>
      </c>
      <c r="GK433" s="293">
        <v>37.830943720766165</v>
      </c>
      <c r="GL433" s="293">
        <v>0</v>
      </c>
      <c r="GM433" s="293">
        <v>0</v>
      </c>
      <c r="GN433" s="293">
        <v>39.097062721909495</v>
      </c>
      <c r="GO433" s="293">
        <v>0</v>
      </c>
      <c r="GP433" s="293">
        <v>0</v>
      </c>
      <c r="GQ433" s="293">
        <v>42.755879130666671</v>
      </c>
      <c r="GR433" s="293">
        <v>0</v>
      </c>
      <c r="GS433" s="293">
        <v>0</v>
      </c>
      <c r="GT433" s="293">
        <v>26.769587676048875</v>
      </c>
      <c r="GU433" s="293">
        <v>2.1399855067314051</v>
      </c>
      <c r="GV433" s="293">
        <v>10.865837004963289</v>
      </c>
      <c r="GW433" s="293">
        <v>72.267489486905546</v>
      </c>
      <c r="GX433" s="293">
        <v>2.6652518972100006</v>
      </c>
      <c r="GY433" s="293">
        <v>4.2841920068400006</v>
      </c>
      <c r="GZ433" s="293">
        <v>67.335532702601625</v>
      </c>
      <c r="HA433" s="293">
        <v>2.5787660292899997</v>
      </c>
      <c r="HB433" s="293">
        <v>10.252433023537021</v>
      </c>
      <c r="HC433" s="293">
        <v>21.983112498852869</v>
      </c>
      <c r="HD433" s="293">
        <v>38.063490261893897</v>
      </c>
      <c r="HE433" s="293">
        <v>6.5544787854522948</v>
      </c>
      <c r="HF433" s="293">
        <v>2.6359777666497743</v>
      </c>
      <c r="HG433" s="293">
        <v>27.692709201505902</v>
      </c>
      <c r="HH433" s="293">
        <v>2.8426637318633006</v>
      </c>
      <c r="HI433" s="293">
        <v>60.353551034722791</v>
      </c>
      <c r="HJ433" s="293">
        <v>3.2971490583099987</v>
      </c>
      <c r="HK433" s="293">
        <v>2.727202206896699</v>
      </c>
      <c r="HL433" s="293">
        <v>57.018716780843178</v>
      </c>
      <c r="HM433" s="293">
        <v>2.3164985945599943</v>
      </c>
      <c r="HN433" s="293">
        <v>2.1070192603380002</v>
      </c>
      <c r="HO433" s="293">
        <v>2.4021781782920009</v>
      </c>
      <c r="HP433" s="293">
        <v>37.387546523689991</v>
      </c>
      <c r="HQ433" s="293">
        <v>2.3733617092400041</v>
      </c>
      <c r="HR433" s="293">
        <v>26.924116287321052</v>
      </c>
      <c r="HS433" s="293">
        <v>2.826673060230001</v>
      </c>
      <c r="HT433" s="293">
        <v>16.091754904575001</v>
      </c>
      <c r="HU433" s="293">
        <v>60.154851661450806</v>
      </c>
      <c r="HV433" s="293">
        <v>2.8774397535099991</v>
      </c>
      <c r="HW433" s="293">
        <v>3.218543513810002</v>
      </c>
      <c r="HX433" s="293">
        <v>3.409020496190001</v>
      </c>
      <c r="HY433" s="293"/>
      <c r="KT433" s="280"/>
    </row>
    <row r="434" spans="1:307" outlineLevel="1">
      <c r="D434" s="2062" t="s">
        <v>3057</v>
      </c>
      <c r="E434" s="293"/>
      <c r="F434" s="293"/>
      <c r="G434" s="293"/>
      <c r="H434" s="293"/>
      <c r="I434" s="293"/>
      <c r="J434" s="293"/>
      <c r="K434" s="293"/>
      <c r="L434" s="293"/>
      <c r="M434" s="293"/>
      <c r="N434" s="293"/>
      <c r="O434" s="293"/>
      <c r="P434" s="293"/>
      <c r="Q434" s="293"/>
      <c r="R434" s="293"/>
      <c r="S434" s="293"/>
      <c r="T434" s="293"/>
      <c r="U434" s="293"/>
      <c r="V434" s="293"/>
      <c r="W434" s="293"/>
      <c r="X434" s="293"/>
      <c r="Y434" s="29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c r="BN434" s="293"/>
      <c r="BO434" s="293"/>
      <c r="BP434" s="293"/>
      <c r="BQ434" s="293"/>
      <c r="BR434" s="293"/>
      <c r="BS434" s="293"/>
      <c r="BT434" s="293"/>
      <c r="BU434" s="293"/>
      <c r="BV434" s="293"/>
      <c r="BW434" s="293"/>
      <c r="BX434" s="293"/>
      <c r="BY434" s="293"/>
      <c r="BZ434" s="293"/>
      <c r="CA434" s="293"/>
      <c r="CB434" s="293"/>
      <c r="CC434" s="293"/>
      <c r="CD434" s="293"/>
      <c r="CE434" s="294"/>
      <c r="CF434" s="293"/>
      <c r="CG434" s="293"/>
      <c r="CH434" s="293"/>
      <c r="CI434" s="293"/>
      <c r="CJ434" s="293"/>
      <c r="CK434" s="293"/>
      <c r="CL434" s="293"/>
      <c r="CM434" s="293"/>
      <c r="CN434" s="293"/>
      <c r="CO434" s="293"/>
      <c r="CP434" s="295"/>
      <c r="CQ434" s="293"/>
      <c r="CR434" s="293"/>
      <c r="CS434" s="293"/>
      <c r="CT434" s="293"/>
      <c r="CU434" s="293"/>
      <c r="CV434" s="293"/>
      <c r="CW434" s="293"/>
      <c r="CX434" s="293"/>
      <c r="CY434" s="293"/>
      <c r="CZ434" s="293"/>
      <c r="DA434" s="293"/>
      <c r="DB434" s="1288"/>
      <c r="DC434" s="293"/>
      <c r="DD434" s="293"/>
      <c r="DE434" s="293"/>
      <c r="DF434" s="293"/>
      <c r="DG434" s="293"/>
      <c r="DH434" s="293"/>
      <c r="DI434" s="293"/>
      <c r="DJ434" s="293"/>
      <c r="DK434" s="293"/>
      <c r="DL434" s="293"/>
      <c r="DM434" s="293"/>
      <c r="DN434" s="295"/>
      <c r="DO434" s="293"/>
      <c r="DP434" s="293"/>
      <c r="DQ434" s="293"/>
      <c r="DR434" s="293"/>
      <c r="DS434" s="293"/>
      <c r="DT434" s="293"/>
      <c r="DU434" s="293"/>
      <c r="DV434" s="293"/>
      <c r="DW434" s="293"/>
      <c r="DX434" s="293"/>
      <c r="DY434" s="293"/>
      <c r="DZ434" s="295"/>
      <c r="EA434" s="293"/>
      <c r="EB434" s="293"/>
      <c r="EC434" s="293"/>
      <c r="ED434" s="293"/>
      <c r="EE434" s="293"/>
      <c r="EF434" s="293"/>
      <c r="EG434" s="293"/>
      <c r="EH434" s="293"/>
      <c r="EI434" s="293"/>
      <c r="EJ434" s="293"/>
      <c r="EK434" s="293"/>
      <c r="EL434" s="295"/>
      <c r="EM434" s="293"/>
      <c r="EN434" s="293"/>
      <c r="EO434" s="293"/>
      <c r="EP434" s="293"/>
      <c r="EQ434" s="293"/>
      <c r="ER434" s="293"/>
      <c r="ES434" s="293"/>
      <c r="ET434" s="293"/>
      <c r="EU434" s="293"/>
      <c r="EV434" s="293"/>
      <c r="EW434" s="293"/>
      <c r="EX434" s="295"/>
      <c r="EY434" s="293"/>
      <c r="EZ434" s="293"/>
      <c r="FA434" s="293"/>
      <c r="FB434" s="293"/>
      <c r="FC434" s="293"/>
      <c r="FD434" s="293"/>
      <c r="FE434" s="293"/>
      <c r="FF434" s="293"/>
      <c r="FG434" s="293"/>
      <c r="FH434" s="293"/>
      <c r="FI434" s="293"/>
      <c r="FJ434" s="295"/>
      <c r="FK434" s="293"/>
      <c r="FL434" s="293"/>
      <c r="FM434" s="293"/>
      <c r="FN434" s="293"/>
      <c r="FO434" s="293"/>
      <c r="FP434" s="293"/>
      <c r="FQ434" s="293"/>
      <c r="FR434" s="293"/>
      <c r="FS434" s="293"/>
      <c r="FT434" s="293"/>
      <c r="FU434" s="293"/>
      <c r="FV434" s="293"/>
      <c r="FW434" s="293">
        <v>0</v>
      </c>
      <c r="FX434" s="293">
        <v>0.13815066190961411</v>
      </c>
      <c r="FY434" s="293">
        <v>39.901259719999999</v>
      </c>
      <c r="FZ434" s="293">
        <v>0</v>
      </c>
      <c r="GA434" s="293">
        <v>42.270651444000002</v>
      </c>
      <c r="GB434" s="293">
        <v>0</v>
      </c>
      <c r="GC434" s="293">
        <v>0</v>
      </c>
      <c r="GD434" s="293">
        <v>0</v>
      </c>
      <c r="GE434" s="293">
        <v>0</v>
      </c>
      <c r="GF434" s="293">
        <v>23.460708399999998</v>
      </c>
      <c r="GG434" s="293">
        <v>0</v>
      </c>
      <c r="GH434" s="293">
        <v>37.967731396234953</v>
      </c>
      <c r="GI434" s="293">
        <v>0</v>
      </c>
      <c r="GJ434" s="293">
        <v>0</v>
      </c>
      <c r="GK434" s="293">
        <v>37.830943720766165</v>
      </c>
      <c r="GL434" s="293">
        <v>0</v>
      </c>
      <c r="GM434" s="293">
        <v>0</v>
      </c>
      <c r="GN434" s="293">
        <v>39.097062721909495</v>
      </c>
      <c r="GO434" s="293">
        <v>0</v>
      </c>
      <c r="GP434" s="293">
        <v>0</v>
      </c>
      <c r="GQ434" s="293">
        <v>42.755879130666671</v>
      </c>
      <c r="GR434" s="293">
        <v>0</v>
      </c>
      <c r="GS434" s="293">
        <v>0</v>
      </c>
      <c r="GT434" s="293">
        <v>26.769587676048875</v>
      </c>
      <c r="GU434" s="293">
        <v>0</v>
      </c>
      <c r="GV434" s="293">
        <v>8.3532185703925492</v>
      </c>
      <c r="GW434" s="293">
        <v>69.735063820311296</v>
      </c>
      <c r="GX434" s="293">
        <v>0</v>
      </c>
      <c r="GY434" s="293">
        <v>0</v>
      </c>
      <c r="GZ434" s="293">
        <v>64.860627565871624</v>
      </c>
      <c r="HA434" s="293">
        <v>0</v>
      </c>
      <c r="HB434" s="293">
        <v>7.6904207837038214</v>
      </c>
      <c r="HC434" s="293">
        <v>19.23650826862179</v>
      </c>
      <c r="HD434" s="293">
        <v>35.777865754843894</v>
      </c>
      <c r="HE434" s="293">
        <v>3.9089259962722953</v>
      </c>
      <c r="HF434" s="293">
        <v>0</v>
      </c>
      <c r="HG434" s="293">
        <v>24.893886267105898</v>
      </c>
      <c r="HH434" s="293">
        <v>0</v>
      </c>
      <c r="HI434" s="293">
        <v>57.657934019426094</v>
      </c>
      <c r="HJ434" s="293">
        <v>0</v>
      </c>
      <c r="HK434" s="293">
        <v>0</v>
      </c>
      <c r="HL434" s="293">
        <v>54.350666155159878</v>
      </c>
      <c r="HM434" s="293">
        <v>0</v>
      </c>
      <c r="HN434" s="293">
        <v>0</v>
      </c>
      <c r="HO434" s="293">
        <v>0</v>
      </c>
      <c r="HP434" s="293">
        <v>35.424263524999994</v>
      </c>
      <c r="HQ434" s="293">
        <v>0</v>
      </c>
      <c r="HR434" s="293">
        <v>24.153517471054016</v>
      </c>
      <c r="HS434" s="293">
        <v>0</v>
      </c>
      <c r="HT434" s="293">
        <v>13.009523317425003</v>
      </c>
      <c r="HU434" s="293">
        <v>56.9155074000208</v>
      </c>
      <c r="HV434" s="293">
        <v>0</v>
      </c>
      <c r="HW434" s="293">
        <v>0</v>
      </c>
      <c r="HX434" s="293">
        <v>0</v>
      </c>
      <c r="HY434" s="293"/>
      <c r="KT434" s="280"/>
    </row>
    <row r="435" spans="1:307" outlineLevel="1">
      <c r="D435" s="2062" t="s">
        <v>3058</v>
      </c>
      <c r="E435" s="293"/>
      <c r="F435" s="293"/>
      <c r="G435" s="293"/>
      <c r="H435" s="293"/>
      <c r="I435" s="293"/>
      <c r="J435" s="293"/>
      <c r="K435" s="293"/>
      <c r="L435" s="293"/>
      <c r="M435" s="293"/>
      <c r="N435" s="293"/>
      <c r="O435" s="293"/>
      <c r="P435" s="293"/>
      <c r="Q435" s="293"/>
      <c r="R435" s="293"/>
      <c r="S435" s="293"/>
      <c r="T435" s="293"/>
      <c r="U435" s="293"/>
      <c r="V435" s="293"/>
      <c r="W435" s="293"/>
      <c r="X435" s="293"/>
      <c r="Y435" s="29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c r="BN435" s="293"/>
      <c r="BO435" s="293"/>
      <c r="BP435" s="293"/>
      <c r="BQ435" s="293"/>
      <c r="BR435" s="293"/>
      <c r="BS435" s="293"/>
      <c r="BT435" s="293"/>
      <c r="BU435" s="293"/>
      <c r="BV435" s="293"/>
      <c r="BW435" s="293"/>
      <c r="BX435" s="293"/>
      <c r="BY435" s="293"/>
      <c r="BZ435" s="293"/>
      <c r="CA435" s="293"/>
      <c r="CB435" s="293"/>
      <c r="CC435" s="293"/>
      <c r="CD435" s="293"/>
      <c r="CE435" s="294"/>
      <c r="CF435" s="293"/>
      <c r="CG435" s="293"/>
      <c r="CH435" s="293"/>
      <c r="CI435" s="293"/>
      <c r="CJ435" s="293"/>
      <c r="CK435" s="293"/>
      <c r="CL435" s="293"/>
      <c r="CM435" s="293"/>
      <c r="CN435" s="293"/>
      <c r="CO435" s="293"/>
      <c r="CP435" s="295"/>
      <c r="CQ435" s="293"/>
      <c r="CR435" s="293"/>
      <c r="CS435" s="293"/>
      <c r="CT435" s="293"/>
      <c r="CU435" s="293"/>
      <c r="CV435" s="293"/>
      <c r="CW435" s="293"/>
      <c r="CX435" s="293"/>
      <c r="CY435" s="293"/>
      <c r="CZ435" s="293"/>
      <c r="DA435" s="293"/>
      <c r="DB435" s="1288"/>
      <c r="DC435" s="293"/>
      <c r="DD435" s="293"/>
      <c r="DE435" s="293"/>
      <c r="DF435" s="293"/>
      <c r="DG435" s="293"/>
      <c r="DH435" s="293"/>
      <c r="DI435" s="293"/>
      <c r="DJ435" s="293"/>
      <c r="DK435" s="293"/>
      <c r="DL435" s="293"/>
      <c r="DM435" s="293"/>
      <c r="DN435" s="295"/>
      <c r="DO435" s="293"/>
      <c r="DP435" s="293"/>
      <c r="DQ435" s="293"/>
      <c r="DR435" s="293"/>
      <c r="DS435" s="293"/>
      <c r="DT435" s="293"/>
      <c r="DU435" s="293"/>
      <c r="DV435" s="293"/>
      <c r="DW435" s="293"/>
      <c r="DX435" s="293"/>
      <c r="DY435" s="293"/>
      <c r="DZ435" s="295"/>
      <c r="EA435" s="293"/>
      <c r="EB435" s="293"/>
      <c r="EC435" s="293"/>
      <c r="ED435" s="293"/>
      <c r="EE435" s="293"/>
      <c r="EF435" s="293"/>
      <c r="EG435" s="293"/>
      <c r="EH435" s="293"/>
      <c r="EI435" s="293"/>
      <c r="EJ435" s="293"/>
      <c r="EK435" s="293"/>
      <c r="EL435" s="295"/>
      <c r="EM435" s="293"/>
      <c r="EN435" s="293"/>
      <c r="EO435" s="293"/>
      <c r="EP435" s="293"/>
      <c r="EQ435" s="293"/>
      <c r="ER435" s="293"/>
      <c r="ES435" s="293"/>
      <c r="ET435" s="293"/>
      <c r="EU435" s="293"/>
      <c r="EV435" s="293"/>
      <c r="EW435" s="293"/>
      <c r="EX435" s="295"/>
      <c r="EY435" s="293"/>
      <c r="EZ435" s="293"/>
      <c r="FA435" s="293"/>
      <c r="FB435" s="293"/>
      <c r="FC435" s="293"/>
      <c r="FD435" s="293"/>
      <c r="FE435" s="293"/>
      <c r="FF435" s="293"/>
      <c r="FG435" s="293"/>
      <c r="FH435" s="293"/>
      <c r="FI435" s="293"/>
      <c r="FJ435" s="295"/>
      <c r="FK435" s="293"/>
      <c r="FL435" s="293"/>
      <c r="FM435" s="293"/>
      <c r="FN435" s="293"/>
      <c r="FO435" s="293"/>
      <c r="FP435" s="293"/>
      <c r="FQ435" s="293"/>
      <c r="FR435" s="293"/>
      <c r="FS435" s="293"/>
      <c r="FT435" s="293"/>
      <c r="FU435" s="293"/>
      <c r="FV435" s="293"/>
      <c r="FW435" s="293">
        <v>1.0837539477113503</v>
      </c>
      <c r="FX435" s="293">
        <v>1.1663178391680293</v>
      </c>
      <c r="FY435" s="293">
        <v>1.1001783191763348</v>
      </c>
      <c r="FZ435" s="293">
        <v>0.99185076430458929</v>
      </c>
      <c r="GA435" s="293">
        <v>0.98033894384328968</v>
      </c>
      <c r="GB435" s="293">
        <v>0.94836407593313243</v>
      </c>
      <c r="GC435" s="293">
        <v>1.0492069098999999</v>
      </c>
      <c r="GD435" s="293">
        <v>0.93045151773000001</v>
      </c>
      <c r="GE435" s="293">
        <v>1.1183841883199999</v>
      </c>
      <c r="GF435" s="293">
        <v>1.1779837591148656</v>
      </c>
      <c r="GG435" s="293">
        <v>1.1722366772700004</v>
      </c>
      <c r="GH435" s="293">
        <v>1.2878633637100028</v>
      </c>
      <c r="GI435" s="293">
        <v>0</v>
      </c>
      <c r="GJ435" s="293">
        <v>0</v>
      </c>
      <c r="GK435" s="293">
        <v>0</v>
      </c>
      <c r="GL435" s="293">
        <v>0</v>
      </c>
      <c r="GM435" s="293">
        <v>0</v>
      </c>
      <c r="GN435" s="293">
        <v>0</v>
      </c>
      <c r="GO435" s="293">
        <v>0</v>
      </c>
      <c r="GP435" s="293">
        <v>0</v>
      </c>
      <c r="GQ435" s="293">
        <v>0</v>
      </c>
      <c r="GR435" s="293">
        <v>0</v>
      </c>
      <c r="GS435" s="293">
        <v>0</v>
      </c>
      <c r="GT435" s="293">
        <v>0</v>
      </c>
      <c r="GU435" s="293">
        <v>1.9217092337999999</v>
      </c>
      <c r="GV435" s="293">
        <v>2.2274812110000002</v>
      </c>
      <c r="GW435" s="293">
        <v>2.2418770073199998</v>
      </c>
      <c r="GX435" s="293">
        <v>2.29056076629</v>
      </c>
      <c r="GY435" s="293">
        <v>2.0612422753200002</v>
      </c>
      <c r="GZ435" s="293">
        <v>2.1457213335800001</v>
      </c>
      <c r="HA435" s="293">
        <v>2.2639101732899998</v>
      </c>
      <c r="HB435" s="293">
        <v>2.1925374570231999</v>
      </c>
      <c r="HC435" s="293">
        <v>2.2617460433892003</v>
      </c>
      <c r="HD435" s="293">
        <v>1.7822107191800001</v>
      </c>
      <c r="HE435" s="293">
        <v>2.06722526726</v>
      </c>
      <c r="HF435" s="293">
        <v>2.1364147207899999</v>
      </c>
      <c r="HG435" s="293">
        <v>2.3489911910500001</v>
      </c>
      <c r="HH435" s="293">
        <v>2.4842257622399999</v>
      </c>
      <c r="HI435" s="293">
        <v>2.2972412095100001</v>
      </c>
      <c r="HJ435" s="293">
        <v>2.50521087575</v>
      </c>
      <c r="HK435" s="293">
        <v>2.2585284374299999</v>
      </c>
      <c r="HL435" s="293">
        <v>2.0662382325799999</v>
      </c>
      <c r="HM435" s="293">
        <v>1.8484495618699939</v>
      </c>
      <c r="HN435" s="293">
        <v>1.6122617013380001</v>
      </c>
      <c r="HO435" s="293">
        <v>1.6583459134720011</v>
      </c>
      <c r="HP435" s="293">
        <v>1.4885256647299983</v>
      </c>
      <c r="HQ435" s="293">
        <v>1.8013450465000038</v>
      </c>
      <c r="HR435" s="293">
        <v>1.8523016233730722</v>
      </c>
      <c r="HS435" s="293">
        <v>1.8796638455200003</v>
      </c>
      <c r="HT435" s="293">
        <v>2.0985225183199998</v>
      </c>
      <c r="HU435" s="293">
        <v>2.2876837613499998</v>
      </c>
      <c r="HV435" s="293">
        <v>2.0459910551899991</v>
      </c>
      <c r="HW435" s="293">
        <v>2.1126348601800027</v>
      </c>
      <c r="HX435" s="293">
        <v>2.4045416691300008</v>
      </c>
      <c r="HY435" s="293"/>
      <c r="KT435" s="280"/>
    </row>
    <row r="436" spans="1:307" outlineLevel="1">
      <c r="A436" s="96" t="s">
        <v>372</v>
      </c>
      <c r="B436" s="96" t="s">
        <v>338</v>
      </c>
      <c r="D436" s="321" t="s">
        <v>521</v>
      </c>
      <c r="E436" s="293"/>
      <c r="F436" s="293"/>
      <c r="G436" s="293"/>
      <c r="H436" s="293"/>
      <c r="I436" s="293"/>
      <c r="J436" s="293"/>
      <c r="K436" s="293"/>
      <c r="L436" s="293"/>
      <c r="M436" s="293"/>
      <c r="N436" s="293"/>
      <c r="O436" s="293"/>
      <c r="P436" s="293"/>
      <c r="Q436" s="293"/>
      <c r="R436" s="293"/>
      <c r="S436" s="293"/>
      <c r="T436" s="293"/>
      <c r="U436" s="293"/>
      <c r="V436" s="293"/>
      <c r="W436" s="293"/>
      <c r="X436" s="293"/>
      <c r="Y436" s="29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c r="BN436" s="293"/>
      <c r="BO436" s="293"/>
      <c r="BP436" s="293"/>
      <c r="BQ436" s="293"/>
      <c r="BR436" s="293"/>
      <c r="BS436" s="293"/>
      <c r="BT436" s="293"/>
      <c r="BU436" s="293"/>
      <c r="BV436" s="293"/>
      <c r="BW436" s="293"/>
      <c r="BX436" s="293"/>
      <c r="BY436" s="293"/>
      <c r="BZ436" s="293"/>
      <c r="CA436" s="293"/>
      <c r="CB436" s="293"/>
      <c r="CC436" s="293"/>
      <c r="CD436" s="293"/>
      <c r="CE436" s="294">
        <v>0</v>
      </c>
      <c r="CF436" s="293">
        <v>0</v>
      </c>
      <c r="CG436" s="293">
        <v>0</v>
      </c>
      <c r="CH436" s="293">
        <v>0</v>
      </c>
      <c r="CI436" s="293">
        <v>0</v>
      </c>
      <c r="CJ436" s="293">
        <v>0</v>
      </c>
      <c r="CK436" s="293">
        <v>0</v>
      </c>
      <c r="CL436" s="293">
        <v>0</v>
      </c>
      <c r="CM436" s="293">
        <v>0</v>
      </c>
      <c r="CN436" s="293">
        <v>0</v>
      </c>
      <c r="CO436" s="293">
        <v>0</v>
      </c>
      <c r="CP436" s="295">
        <v>0</v>
      </c>
      <c r="CQ436" s="293">
        <v>0</v>
      </c>
      <c r="CR436" s="293">
        <v>0</v>
      </c>
      <c r="CS436" s="293">
        <v>0</v>
      </c>
      <c r="CT436" s="293">
        <v>0</v>
      </c>
      <c r="CU436" s="293">
        <v>0</v>
      </c>
      <c r="CV436" s="293">
        <v>0</v>
      </c>
      <c r="CW436" s="293">
        <v>0</v>
      </c>
      <c r="CX436" s="293">
        <v>0</v>
      </c>
      <c r="CY436" s="293">
        <v>0</v>
      </c>
      <c r="CZ436" s="293">
        <v>0</v>
      </c>
      <c r="DA436" s="293">
        <v>0</v>
      </c>
      <c r="DB436" s="1288">
        <v>0</v>
      </c>
      <c r="DC436" s="293">
        <v>0</v>
      </c>
      <c r="DD436" s="293">
        <v>0</v>
      </c>
      <c r="DE436" s="293">
        <v>0</v>
      </c>
      <c r="DF436" s="293">
        <v>0</v>
      </c>
      <c r="DG436" s="293">
        <v>0</v>
      </c>
      <c r="DH436" s="293">
        <v>0</v>
      </c>
      <c r="DI436" s="293">
        <v>0</v>
      </c>
      <c r="DJ436" s="293">
        <v>0</v>
      </c>
      <c r="DK436" s="293">
        <v>0</v>
      </c>
      <c r="DL436" s="293">
        <v>0</v>
      </c>
      <c r="DM436" s="293">
        <v>0</v>
      </c>
      <c r="DN436" s="295">
        <v>0</v>
      </c>
      <c r="DO436" s="293">
        <v>0</v>
      </c>
      <c r="DP436" s="293">
        <v>0</v>
      </c>
      <c r="DQ436" s="293">
        <v>0</v>
      </c>
      <c r="DR436" s="293">
        <v>0</v>
      </c>
      <c r="DS436" s="293">
        <v>0</v>
      </c>
      <c r="DT436" s="293">
        <v>0</v>
      </c>
      <c r="DU436" s="293">
        <v>0</v>
      </c>
      <c r="DV436" s="293">
        <v>0</v>
      </c>
      <c r="DW436" s="293">
        <v>0</v>
      </c>
      <c r="DX436" s="293">
        <v>0</v>
      </c>
      <c r="DY436" s="293">
        <v>0</v>
      </c>
      <c r="DZ436" s="295">
        <v>0</v>
      </c>
      <c r="EA436" s="293">
        <v>0</v>
      </c>
      <c r="EB436" s="293">
        <v>0</v>
      </c>
      <c r="EC436" s="293">
        <v>0</v>
      </c>
      <c r="ED436" s="293">
        <v>0</v>
      </c>
      <c r="EE436" s="293">
        <v>0</v>
      </c>
      <c r="EF436" s="293">
        <v>0</v>
      </c>
      <c r="EG436" s="293">
        <v>0</v>
      </c>
      <c r="EH436" s="293">
        <v>0</v>
      </c>
      <c r="EI436" s="293">
        <v>0</v>
      </c>
      <c r="EJ436" s="293">
        <v>0</v>
      </c>
      <c r="EK436" s="293">
        <v>0</v>
      </c>
      <c r="EL436" s="295">
        <v>0</v>
      </c>
      <c r="EM436" s="293">
        <v>0</v>
      </c>
      <c r="EN436" s="293">
        <v>0</v>
      </c>
      <c r="EO436" s="293">
        <v>0</v>
      </c>
      <c r="EP436" s="293">
        <v>0</v>
      </c>
      <c r="EQ436" s="293">
        <v>0</v>
      </c>
      <c r="ER436" s="293">
        <v>0</v>
      </c>
      <c r="ES436" s="293">
        <v>0</v>
      </c>
      <c r="ET436" s="293">
        <v>0</v>
      </c>
      <c r="EU436" s="293">
        <v>0</v>
      </c>
      <c r="EV436" s="293">
        <v>0</v>
      </c>
      <c r="EW436" s="293">
        <v>0</v>
      </c>
      <c r="EX436" s="295">
        <v>0</v>
      </c>
      <c r="EY436" s="293">
        <v>0</v>
      </c>
      <c r="EZ436" s="293">
        <v>0</v>
      </c>
      <c r="FA436" s="293">
        <v>0</v>
      </c>
      <c r="FB436" s="293">
        <v>0</v>
      </c>
      <c r="FC436" s="293">
        <v>0</v>
      </c>
      <c r="FD436" s="293">
        <v>0</v>
      </c>
      <c r="FE436" s="293">
        <v>0</v>
      </c>
      <c r="FF436" s="293">
        <v>0</v>
      </c>
      <c r="FG436" s="293">
        <v>0</v>
      </c>
      <c r="FH436" s="293">
        <v>0</v>
      </c>
      <c r="FI436" s="293">
        <v>0</v>
      </c>
      <c r="FJ436" s="295">
        <v>0</v>
      </c>
      <c r="FK436" s="293">
        <v>0</v>
      </c>
      <c r="FL436" s="293">
        <v>0</v>
      </c>
      <c r="FM436" s="293">
        <v>0</v>
      </c>
      <c r="FN436" s="293">
        <v>0</v>
      </c>
      <c r="FO436" s="293">
        <v>0</v>
      </c>
      <c r="FP436" s="293">
        <v>0</v>
      </c>
      <c r="FQ436" s="293">
        <v>0</v>
      </c>
      <c r="FR436" s="293">
        <v>0</v>
      </c>
      <c r="FS436" s="293">
        <v>0</v>
      </c>
      <c r="FT436" s="293">
        <v>0</v>
      </c>
      <c r="FU436" s="293">
        <v>0</v>
      </c>
      <c r="FV436" s="293">
        <v>0</v>
      </c>
      <c r="FW436" s="293">
        <v>0</v>
      </c>
      <c r="FX436" s="293">
        <v>0</v>
      </c>
      <c r="FY436" s="293">
        <v>0</v>
      </c>
      <c r="FZ436" s="293">
        <v>0</v>
      </c>
      <c r="GA436" s="293">
        <v>0</v>
      </c>
      <c r="GB436" s="293">
        <v>0</v>
      </c>
      <c r="GC436" s="293">
        <v>0</v>
      </c>
      <c r="GD436" s="293">
        <v>0</v>
      </c>
      <c r="GE436" s="293">
        <v>0</v>
      </c>
      <c r="GF436" s="293">
        <v>0</v>
      </c>
      <c r="GG436" s="293">
        <v>0</v>
      </c>
      <c r="GH436" s="293">
        <v>0</v>
      </c>
      <c r="GI436" s="293">
        <v>0</v>
      </c>
      <c r="GJ436" s="293">
        <v>0</v>
      </c>
      <c r="GK436" s="293">
        <v>0</v>
      </c>
      <c r="GL436" s="293">
        <v>0</v>
      </c>
      <c r="GM436" s="293">
        <v>0</v>
      </c>
      <c r="GN436" s="293">
        <v>0</v>
      </c>
      <c r="GO436" s="293">
        <v>0</v>
      </c>
      <c r="GP436" s="293">
        <v>0</v>
      </c>
      <c r="GQ436" s="293">
        <v>0</v>
      </c>
      <c r="GR436" s="293">
        <v>0</v>
      </c>
      <c r="GS436" s="293">
        <v>0</v>
      </c>
      <c r="GT436" s="293">
        <v>0</v>
      </c>
      <c r="GU436" s="293">
        <v>0</v>
      </c>
      <c r="GV436" s="293">
        <v>0</v>
      </c>
      <c r="GW436" s="293">
        <v>0</v>
      </c>
      <c r="GX436" s="293">
        <v>0</v>
      </c>
      <c r="GY436" s="293">
        <v>0</v>
      </c>
      <c r="GZ436" s="293">
        <v>0</v>
      </c>
      <c r="HA436" s="293">
        <v>0</v>
      </c>
      <c r="HB436" s="293">
        <v>0</v>
      </c>
      <c r="HC436" s="293">
        <v>0</v>
      </c>
      <c r="HD436" s="293">
        <v>0</v>
      </c>
      <c r="HE436" s="293">
        <v>0</v>
      </c>
      <c r="HF436" s="293">
        <v>0</v>
      </c>
      <c r="HG436" s="293">
        <v>0</v>
      </c>
      <c r="HH436" s="293">
        <v>0</v>
      </c>
      <c r="HI436" s="293">
        <v>0</v>
      </c>
      <c r="HJ436" s="293">
        <v>0</v>
      </c>
      <c r="HK436" s="293">
        <v>0</v>
      </c>
      <c r="HL436" s="293">
        <v>0</v>
      </c>
      <c r="HM436" s="293">
        <v>0</v>
      </c>
      <c r="HN436" s="293">
        <v>0</v>
      </c>
      <c r="HO436" s="293">
        <v>0</v>
      </c>
      <c r="HP436" s="293">
        <v>0</v>
      </c>
      <c r="HQ436" s="293">
        <v>0</v>
      </c>
      <c r="HR436" s="293">
        <v>0</v>
      </c>
      <c r="HS436" s="293">
        <v>0</v>
      </c>
      <c r="HT436" s="293">
        <v>0</v>
      </c>
      <c r="HU436" s="293">
        <v>0</v>
      </c>
      <c r="HV436" s="293">
        <v>0</v>
      </c>
      <c r="HW436" s="293">
        <v>0</v>
      </c>
      <c r="HX436" s="293">
        <v>0</v>
      </c>
      <c r="HY436" s="293"/>
      <c r="KT436" s="280"/>
    </row>
    <row r="437" spans="1:307" outlineLevel="1">
      <c r="A437" s="96" t="s">
        <v>372</v>
      </c>
      <c r="B437" s="96" t="s">
        <v>338</v>
      </c>
      <c r="D437" s="320" t="s">
        <v>522</v>
      </c>
      <c r="E437" s="293"/>
      <c r="F437" s="293"/>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c r="BN437" s="293"/>
      <c r="BO437" s="293"/>
      <c r="BP437" s="293"/>
      <c r="BQ437" s="293"/>
      <c r="BR437" s="293"/>
      <c r="BS437" s="293"/>
      <c r="BT437" s="293"/>
      <c r="BU437" s="293"/>
      <c r="BV437" s="293"/>
      <c r="BW437" s="293"/>
      <c r="BX437" s="293"/>
      <c r="BY437" s="293"/>
      <c r="BZ437" s="293"/>
      <c r="CA437" s="293"/>
      <c r="CB437" s="293"/>
      <c r="CC437" s="293"/>
      <c r="CD437" s="293"/>
      <c r="CE437" s="294">
        <v>1.6134028819000001</v>
      </c>
      <c r="CF437" s="293">
        <v>1.50922179</v>
      </c>
      <c r="CG437" s="293">
        <v>1.4936350092999999</v>
      </c>
      <c r="CH437" s="293">
        <v>1.4227659573</v>
      </c>
      <c r="CI437" s="293">
        <v>1.9368911554000001</v>
      </c>
      <c r="CJ437" s="293">
        <v>2.5915063589000003</v>
      </c>
      <c r="CK437" s="293">
        <v>1.883544903</v>
      </c>
      <c r="CL437" s="293">
        <v>1.5830303257</v>
      </c>
      <c r="CM437" s="293">
        <v>2.3257963326</v>
      </c>
      <c r="CN437" s="293">
        <v>1.7250185097000001</v>
      </c>
      <c r="CO437" s="293">
        <v>2.1126191453000001</v>
      </c>
      <c r="CP437" s="295">
        <v>3.6523280446999999</v>
      </c>
      <c r="CQ437" s="293">
        <v>1.6340853708</v>
      </c>
      <c r="CR437" s="293">
        <v>1.688182804</v>
      </c>
      <c r="CS437" s="293">
        <v>2.7012377493000002</v>
      </c>
      <c r="CT437" s="293">
        <v>2.6915598276999999</v>
      </c>
      <c r="CU437" s="293">
        <v>2.1741653726000001</v>
      </c>
      <c r="CV437" s="293">
        <v>2.3883066240999997</v>
      </c>
      <c r="CW437" s="293">
        <v>1.8756168195999998</v>
      </c>
      <c r="CX437" s="293">
        <v>1.9300905397000001</v>
      </c>
      <c r="CY437" s="293">
        <v>2.6670134089999999</v>
      </c>
      <c r="CZ437" s="293">
        <v>3.2249754964999999</v>
      </c>
      <c r="DA437" s="293">
        <v>2.5619014530999999</v>
      </c>
      <c r="DB437" s="1288">
        <v>4.0061188206000002</v>
      </c>
      <c r="DC437" s="293">
        <v>0</v>
      </c>
      <c r="DD437" s="293">
        <v>0</v>
      </c>
      <c r="DE437" s="293">
        <v>0</v>
      </c>
      <c r="DF437" s="293">
        <v>0</v>
      </c>
      <c r="DG437" s="293">
        <v>0</v>
      </c>
      <c r="DH437" s="293">
        <v>0</v>
      </c>
      <c r="DI437" s="293">
        <v>0</v>
      </c>
      <c r="DJ437" s="293">
        <v>0</v>
      </c>
      <c r="DK437" s="293">
        <v>0</v>
      </c>
      <c r="DL437" s="293">
        <v>0</v>
      </c>
      <c r="DM437" s="293">
        <v>0</v>
      </c>
      <c r="DN437" s="295">
        <v>0</v>
      </c>
      <c r="DO437" s="293">
        <v>1.4974449605809317</v>
      </c>
      <c r="DP437" s="293">
        <v>1.2873549288426345</v>
      </c>
      <c r="DQ437" s="293">
        <v>1.571768578782196</v>
      </c>
      <c r="DR437" s="293">
        <v>2.2002872448983992</v>
      </c>
      <c r="DS437" s="293">
        <v>1.8096628541030026</v>
      </c>
      <c r="DT437" s="293">
        <v>5.5690117754246877</v>
      </c>
      <c r="DU437" s="293">
        <v>2.2757534004044748</v>
      </c>
      <c r="DV437" s="293">
        <v>1.7783502481243276</v>
      </c>
      <c r="DW437" s="293">
        <v>3.0898782889385061</v>
      </c>
      <c r="DX437" s="293">
        <v>2.6253462223481199</v>
      </c>
      <c r="DY437" s="293">
        <v>3.939849315077391</v>
      </c>
      <c r="DZ437" s="295">
        <v>7.4489046556542498</v>
      </c>
      <c r="EA437" s="293">
        <v>1.4974449605809317</v>
      </c>
      <c r="EB437" s="293">
        <v>1.2873549288426345</v>
      </c>
      <c r="EC437" s="293">
        <v>1.571768578782196</v>
      </c>
      <c r="ED437" s="293">
        <v>2.2002872448983992</v>
      </c>
      <c r="EE437" s="293">
        <v>1.8096628541030026</v>
      </c>
      <c r="EF437" s="293">
        <v>5.5690117754246877</v>
      </c>
      <c r="EG437" s="293">
        <v>2.2757534004044748</v>
      </c>
      <c r="EH437" s="293">
        <v>1.7783502481243276</v>
      </c>
      <c r="EI437" s="293">
        <v>3.0898782889385061</v>
      </c>
      <c r="EJ437" s="293">
        <v>2.6253462223481199</v>
      </c>
      <c r="EK437" s="293">
        <v>3.939849315077391</v>
      </c>
      <c r="EL437" s="295">
        <v>7.4489046556542498</v>
      </c>
      <c r="EM437" s="293">
        <v>0</v>
      </c>
      <c r="EN437" s="293">
        <v>0</v>
      </c>
      <c r="EO437" s="293">
        <v>2.1669842020000001</v>
      </c>
      <c r="EP437" s="293">
        <v>0</v>
      </c>
      <c r="EQ437" s="293">
        <v>0</v>
      </c>
      <c r="ER437" s="293">
        <v>2.2170388330000002</v>
      </c>
      <c r="ES437" s="293">
        <v>0</v>
      </c>
      <c r="ET437" s="293">
        <v>0</v>
      </c>
      <c r="EU437" s="293">
        <v>1.9034152189999993</v>
      </c>
      <c r="EV437" s="293">
        <v>0</v>
      </c>
      <c r="EW437" s="293">
        <v>0</v>
      </c>
      <c r="EX437" s="295">
        <v>2.1224270360000013</v>
      </c>
      <c r="EY437" s="293">
        <v>0.90273958824</v>
      </c>
      <c r="EZ437" s="293">
        <v>0.58121730144000006</v>
      </c>
      <c r="FA437" s="293">
        <v>4.2791290668400004</v>
      </c>
      <c r="FB437" s="293">
        <v>1.3905193599600001</v>
      </c>
      <c r="FC437" s="293">
        <v>2.1911942294299998</v>
      </c>
      <c r="FD437" s="293">
        <v>3.6812143341199994</v>
      </c>
      <c r="FE437" s="293">
        <v>1.4157139079400154</v>
      </c>
      <c r="FF437" s="293">
        <v>1.0217982517699848</v>
      </c>
      <c r="FG437" s="293">
        <v>0.813050224729985</v>
      </c>
      <c r="FH437" s="293">
        <v>0.48942560766000004</v>
      </c>
      <c r="FI437" s="293">
        <v>0.69276187980999993</v>
      </c>
      <c r="FJ437" s="295">
        <v>2.5170155160000003</v>
      </c>
      <c r="FK437" s="293">
        <v>1.0147494568638025</v>
      </c>
      <c r="FL437" s="293">
        <v>1.0821151876632829</v>
      </c>
      <c r="FM437" s="293">
        <v>1.9329435236572441</v>
      </c>
      <c r="FN437" s="293">
        <v>1.2647023778557429</v>
      </c>
      <c r="FO437" s="293">
        <v>1.1428540199243229</v>
      </c>
      <c r="FP437" s="293">
        <v>6.5453592939681995</v>
      </c>
      <c r="FQ437" s="293">
        <v>2.498981952837696</v>
      </c>
      <c r="FR437" s="293">
        <v>1.1836701592103434</v>
      </c>
      <c r="FS437" s="293">
        <v>5.8232981623715014</v>
      </c>
      <c r="FT437" s="293">
        <v>1.3713336858193401</v>
      </c>
      <c r="FU437" s="293">
        <v>1.15932242276534</v>
      </c>
      <c r="FV437" s="293">
        <v>4.1510674349435019</v>
      </c>
      <c r="FW437" s="293">
        <v>0.79084048187469802</v>
      </c>
      <c r="FX437" s="293">
        <v>1.2167679079242772</v>
      </c>
      <c r="FY437" s="293">
        <v>5.8072805799991887</v>
      </c>
      <c r="FZ437" s="293">
        <v>1.2534786565122167</v>
      </c>
      <c r="GA437" s="293">
        <v>1.498996769953403</v>
      </c>
      <c r="GB437" s="293">
        <v>7.4322234731183601</v>
      </c>
      <c r="GC437" s="293">
        <v>1.9320996351809372</v>
      </c>
      <c r="GD437" s="293">
        <v>0.86037691910380965</v>
      </c>
      <c r="GE437" s="293">
        <v>5.9021426925966187</v>
      </c>
      <c r="GF437" s="293">
        <v>1.5213719826326582</v>
      </c>
      <c r="GG437" s="293">
        <v>1.2702418637018846</v>
      </c>
      <c r="GH437" s="293">
        <v>7.2408234984131798</v>
      </c>
      <c r="GI437" s="293">
        <v>1.3360051175858887</v>
      </c>
      <c r="GJ437" s="293">
        <v>1.1627659858627004</v>
      </c>
      <c r="GK437" s="293">
        <v>5.3012288965514101</v>
      </c>
      <c r="GL437" s="293">
        <v>1.4735850456273876</v>
      </c>
      <c r="GM437" s="293">
        <v>0.77156123763571494</v>
      </c>
      <c r="GN437" s="293">
        <v>9.2245563813662628</v>
      </c>
      <c r="GO437" s="293">
        <v>0.82242563026443727</v>
      </c>
      <c r="GP437" s="293">
        <v>0.58920832898054376</v>
      </c>
      <c r="GQ437" s="293">
        <v>5.8458780842840969</v>
      </c>
      <c r="GR437" s="293">
        <v>1.20451273825</v>
      </c>
      <c r="GS437" s="293">
        <v>1.0640684041900001</v>
      </c>
      <c r="GT437" s="293">
        <v>36.131534361100002</v>
      </c>
      <c r="GU437" s="293">
        <v>1.1870369302259087</v>
      </c>
      <c r="GV437" s="293">
        <v>0.93243852672851468</v>
      </c>
      <c r="GW437" s="293">
        <v>7.8152820447152225</v>
      </c>
      <c r="GX437" s="293">
        <v>0.88009872154999991</v>
      </c>
      <c r="GY437" s="293">
        <v>0.93499323604999995</v>
      </c>
      <c r="GZ437" s="293">
        <v>7.2852950412500004</v>
      </c>
      <c r="HA437" s="293">
        <v>0.75537497644999996</v>
      </c>
      <c r="HB437" s="293">
        <v>0.93382628329358708</v>
      </c>
      <c r="HC437" s="293">
        <v>8.2277585838709957</v>
      </c>
      <c r="HD437" s="293">
        <v>1.6132916945</v>
      </c>
      <c r="HE437" s="293">
        <v>1.4759069171999999</v>
      </c>
      <c r="HF437" s="293">
        <v>8.1524843603499999</v>
      </c>
      <c r="HG437" s="293">
        <v>1.4363834993</v>
      </c>
      <c r="HH437" s="293">
        <v>1.51306030485</v>
      </c>
      <c r="HI437" s="293">
        <v>8.1107458804500006</v>
      </c>
      <c r="HJ437" s="293">
        <v>2.0256640131000001</v>
      </c>
      <c r="HK437" s="293">
        <v>1.3099890509000001</v>
      </c>
      <c r="HL437" s="293">
        <v>8.9771461500501868</v>
      </c>
      <c r="HM437" s="293">
        <v>1.6556552363499999</v>
      </c>
      <c r="HN437" s="293">
        <v>1.4848173645999998</v>
      </c>
      <c r="HO437" s="293">
        <v>9.3612242783999999</v>
      </c>
      <c r="HP437" s="293">
        <v>0.87486364537000005</v>
      </c>
      <c r="HQ437" s="293">
        <v>1.3672910436499999</v>
      </c>
      <c r="HR437" s="293">
        <v>8.6934421384900009</v>
      </c>
      <c r="HS437" s="293">
        <v>1.85304628735</v>
      </c>
      <c r="HT437" s="293">
        <v>1.6024897355100001</v>
      </c>
      <c r="HU437" s="293">
        <v>8.73486302365</v>
      </c>
      <c r="HV437" s="293">
        <v>1.4001328797000001</v>
      </c>
      <c r="HW437" s="293">
        <v>1.49947897365</v>
      </c>
      <c r="HX437" s="293">
        <v>9.2680083237900011</v>
      </c>
      <c r="HY437" s="293"/>
      <c r="KT437" s="280"/>
    </row>
    <row r="438" spans="1:307" outlineLevel="1">
      <c r="A438" s="96" t="s">
        <v>495</v>
      </c>
      <c r="B438" s="96" t="s">
        <v>495</v>
      </c>
      <c r="D438" s="320" t="s">
        <v>523</v>
      </c>
      <c r="E438" s="293"/>
      <c r="F438" s="293"/>
      <c r="G438" s="293"/>
      <c r="H438" s="293"/>
      <c r="I438" s="293"/>
      <c r="J438" s="293"/>
      <c r="K438" s="293"/>
      <c r="L438" s="293"/>
      <c r="M438" s="293"/>
      <c r="N438" s="293"/>
      <c r="O438" s="293"/>
      <c r="P438" s="293"/>
      <c r="Q438" s="293"/>
      <c r="R438" s="293"/>
      <c r="S438" s="293"/>
      <c r="T438" s="293"/>
      <c r="U438" s="293"/>
      <c r="V438" s="293"/>
      <c r="W438" s="293"/>
      <c r="X438" s="293"/>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c r="BN438" s="293"/>
      <c r="BO438" s="293"/>
      <c r="BP438" s="293"/>
      <c r="BQ438" s="293"/>
      <c r="BR438" s="293"/>
      <c r="BS438" s="293"/>
      <c r="BT438" s="293"/>
      <c r="BU438" s="293"/>
      <c r="BV438" s="293"/>
      <c r="BW438" s="293"/>
      <c r="BX438" s="293"/>
      <c r="BY438" s="293"/>
      <c r="BZ438" s="293"/>
      <c r="CA438" s="293"/>
      <c r="CB438" s="293"/>
      <c r="CC438" s="293"/>
      <c r="CD438" s="293"/>
      <c r="CE438" s="294">
        <v>0</v>
      </c>
      <c r="CF438" s="293">
        <v>0</v>
      </c>
      <c r="CG438" s="293">
        <v>0</v>
      </c>
      <c r="CH438" s="293">
        <v>0</v>
      </c>
      <c r="CI438" s="293">
        <v>0</v>
      </c>
      <c r="CJ438" s="293">
        <v>0</v>
      </c>
      <c r="CK438" s="293">
        <v>0</v>
      </c>
      <c r="CL438" s="293">
        <v>0</v>
      </c>
      <c r="CM438" s="293">
        <v>0</v>
      </c>
      <c r="CN438" s="293">
        <v>0</v>
      </c>
      <c r="CO438" s="293">
        <v>0</v>
      </c>
      <c r="CP438" s="295">
        <v>0</v>
      </c>
      <c r="CQ438" s="293">
        <v>0</v>
      </c>
      <c r="CR438" s="293">
        <v>0</v>
      </c>
      <c r="CS438" s="293">
        <v>0</v>
      </c>
      <c r="CT438" s="293">
        <v>0</v>
      </c>
      <c r="CU438" s="293">
        <v>0</v>
      </c>
      <c r="CV438" s="293">
        <v>0</v>
      </c>
      <c r="CW438" s="293">
        <v>0</v>
      </c>
      <c r="CX438" s="293">
        <v>0</v>
      </c>
      <c r="CY438" s="293">
        <v>0</v>
      </c>
      <c r="CZ438" s="293">
        <v>0</v>
      </c>
      <c r="DA438" s="293">
        <v>0</v>
      </c>
      <c r="DB438" s="1288">
        <v>0</v>
      </c>
      <c r="DC438" s="293">
        <v>0</v>
      </c>
      <c r="DD438" s="293">
        <v>0</v>
      </c>
      <c r="DE438" s="293">
        <v>0</v>
      </c>
      <c r="DF438" s="293">
        <v>0</v>
      </c>
      <c r="DG438" s="293">
        <v>0</v>
      </c>
      <c r="DH438" s="293">
        <v>0</v>
      </c>
      <c r="DI438" s="293">
        <v>0</v>
      </c>
      <c r="DJ438" s="293">
        <v>0</v>
      </c>
      <c r="DK438" s="293">
        <v>0</v>
      </c>
      <c r="DL438" s="293">
        <v>0</v>
      </c>
      <c r="DM438" s="293">
        <v>0</v>
      </c>
      <c r="DN438" s="295">
        <v>0</v>
      </c>
      <c r="DO438" s="293">
        <v>0</v>
      </c>
      <c r="DP438" s="293">
        <v>0</v>
      </c>
      <c r="DQ438" s="293">
        <v>0</v>
      </c>
      <c r="DR438" s="293">
        <v>0</v>
      </c>
      <c r="DS438" s="293">
        <v>0</v>
      </c>
      <c r="DT438" s="293">
        <v>0</v>
      </c>
      <c r="DU438" s="293">
        <v>0</v>
      </c>
      <c r="DV438" s="293">
        <v>0</v>
      </c>
      <c r="DW438" s="293">
        <v>0</v>
      </c>
      <c r="DX438" s="293">
        <v>0</v>
      </c>
      <c r="DY438" s="293">
        <v>0</v>
      </c>
      <c r="DZ438" s="295">
        <v>0</v>
      </c>
      <c r="EA438" s="293">
        <v>0</v>
      </c>
      <c r="EB438" s="293">
        <v>0</v>
      </c>
      <c r="EC438" s="293">
        <v>0</v>
      </c>
      <c r="ED438" s="293">
        <v>0</v>
      </c>
      <c r="EE438" s="293">
        <v>0</v>
      </c>
      <c r="EF438" s="293">
        <v>0</v>
      </c>
      <c r="EG438" s="293">
        <v>0</v>
      </c>
      <c r="EH438" s="293">
        <v>0</v>
      </c>
      <c r="EI438" s="293">
        <v>0</v>
      </c>
      <c r="EJ438" s="293">
        <v>0</v>
      </c>
      <c r="EK438" s="293">
        <v>0</v>
      </c>
      <c r="EL438" s="295">
        <v>0</v>
      </c>
      <c r="EM438" s="293">
        <v>0</v>
      </c>
      <c r="EN438" s="293">
        <v>0</v>
      </c>
      <c r="EO438" s="293">
        <v>0</v>
      </c>
      <c r="EP438" s="293">
        <v>0</v>
      </c>
      <c r="EQ438" s="293">
        <v>0</v>
      </c>
      <c r="ER438" s="293">
        <v>0</v>
      </c>
      <c r="ES438" s="293">
        <v>0</v>
      </c>
      <c r="ET438" s="293">
        <v>0</v>
      </c>
      <c r="EU438" s="293">
        <v>0</v>
      </c>
      <c r="EV438" s="293">
        <v>0</v>
      </c>
      <c r="EW438" s="293">
        <v>0</v>
      </c>
      <c r="EX438" s="295">
        <v>0</v>
      </c>
      <c r="EY438" s="293">
        <v>0</v>
      </c>
      <c r="EZ438" s="293">
        <v>0</v>
      </c>
      <c r="FA438" s="293">
        <v>0</v>
      </c>
      <c r="FB438" s="293">
        <v>0</v>
      </c>
      <c r="FC438" s="293">
        <v>0</v>
      </c>
      <c r="FD438" s="293">
        <v>0</v>
      </c>
      <c r="FE438" s="293">
        <v>0</v>
      </c>
      <c r="FF438" s="293">
        <v>0</v>
      </c>
      <c r="FG438" s="293">
        <v>0</v>
      </c>
      <c r="FH438" s="293">
        <v>0</v>
      </c>
      <c r="FI438" s="293">
        <v>0</v>
      </c>
      <c r="FJ438" s="295">
        <v>0</v>
      </c>
      <c r="FK438" s="293">
        <v>0</v>
      </c>
      <c r="FL438" s="293">
        <v>0</v>
      </c>
      <c r="FM438" s="293">
        <v>0</v>
      </c>
      <c r="FN438" s="293">
        <v>16.209857913474771</v>
      </c>
      <c r="FO438" s="293">
        <v>0</v>
      </c>
      <c r="FP438" s="293">
        <v>0</v>
      </c>
      <c r="FQ438" s="293">
        <v>0</v>
      </c>
      <c r="FR438" s="293">
        <v>0</v>
      </c>
      <c r="FS438" s="293">
        <v>0</v>
      </c>
      <c r="FT438" s="293">
        <v>19.094966261</v>
      </c>
      <c r="FU438" s="293">
        <v>0</v>
      </c>
      <c r="FV438" s="293">
        <v>0</v>
      </c>
      <c r="FW438" s="293">
        <v>0</v>
      </c>
      <c r="FX438" s="293">
        <v>0</v>
      </c>
      <c r="FY438" s="293">
        <v>0</v>
      </c>
      <c r="FZ438" s="293">
        <v>11.416539758000001</v>
      </c>
      <c r="GA438" s="293">
        <v>0</v>
      </c>
      <c r="GB438" s="293">
        <v>0</v>
      </c>
      <c r="GC438" s="293">
        <v>0</v>
      </c>
      <c r="GD438" s="293">
        <v>0</v>
      </c>
      <c r="GE438" s="293">
        <v>0</v>
      </c>
      <c r="GF438" s="293">
        <v>0</v>
      </c>
      <c r="GG438" s="293">
        <v>0</v>
      </c>
      <c r="GH438" s="293">
        <v>0</v>
      </c>
      <c r="GI438" s="293">
        <v>0</v>
      </c>
      <c r="GJ438" s="293">
        <v>0</v>
      </c>
      <c r="GK438" s="293">
        <v>0</v>
      </c>
      <c r="GL438" s="293">
        <v>0</v>
      </c>
      <c r="GM438" s="293">
        <v>0</v>
      </c>
      <c r="GN438" s="293">
        <v>0</v>
      </c>
      <c r="GO438" s="293">
        <v>0</v>
      </c>
      <c r="GP438" s="293">
        <v>0</v>
      </c>
      <c r="GQ438" s="293">
        <v>0</v>
      </c>
      <c r="GR438" s="293">
        <v>0</v>
      </c>
      <c r="GS438" s="293">
        <v>0</v>
      </c>
      <c r="GT438" s="293">
        <v>0</v>
      </c>
      <c r="GU438" s="293">
        <v>0</v>
      </c>
      <c r="GV438" s="293">
        <v>0</v>
      </c>
      <c r="GW438" s="293">
        <v>0</v>
      </c>
      <c r="GX438" s="293">
        <v>0</v>
      </c>
      <c r="GY438" s="293">
        <v>0</v>
      </c>
      <c r="GZ438" s="293">
        <v>0</v>
      </c>
      <c r="HA438" s="293">
        <v>0</v>
      </c>
      <c r="HB438" s="293">
        <v>0</v>
      </c>
      <c r="HC438" s="293">
        <v>0</v>
      </c>
      <c r="HD438" s="293">
        <v>0</v>
      </c>
      <c r="HE438" s="293">
        <v>0</v>
      </c>
      <c r="HF438" s="293">
        <v>0</v>
      </c>
      <c r="HG438" s="293">
        <v>52.070578646999998</v>
      </c>
      <c r="HH438" s="293">
        <v>0</v>
      </c>
      <c r="HI438" s="293">
        <v>0</v>
      </c>
      <c r="HJ438" s="293">
        <v>0</v>
      </c>
      <c r="HK438" s="293">
        <v>0</v>
      </c>
      <c r="HL438" s="293">
        <v>0</v>
      </c>
      <c r="HM438" s="293">
        <v>0</v>
      </c>
      <c r="HN438" s="293">
        <v>0</v>
      </c>
      <c r="HO438" s="293">
        <v>0</v>
      </c>
      <c r="HP438" s="293">
        <v>0</v>
      </c>
      <c r="HQ438" s="293">
        <v>0</v>
      </c>
      <c r="HR438" s="293">
        <v>0</v>
      </c>
      <c r="HS438" s="293">
        <v>0</v>
      </c>
      <c r="HT438" s="293">
        <v>0</v>
      </c>
      <c r="HU438" s="293">
        <v>0</v>
      </c>
      <c r="HV438" s="293">
        <v>0</v>
      </c>
      <c r="HW438" s="293">
        <v>0</v>
      </c>
      <c r="HX438" s="293">
        <v>0</v>
      </c>
      <c r="HY438" s="293"/>
      <c r="KT438" s="280"/>
    </row>
    <row r="439" spans="1:307" outlineLevel="1">
      <c r="A439" s="96" t="s">
        <v>495</v>
      </c>
      <c r="B439" s="96" t="s">
        <v>495</v>
      </c>
      <c r="D439" s="321" t="s">
        <v>506</v>
      </c>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c r="BN439" s="293"/>
      <c r="BO439" s="293"/>
      <c r="BP439" s="293"/>
      <c r="BQ439" s="293"/>
      <c r="BR439" s="293"/>
      <c r="BS439" s="293"/>
      <c r="BT439" s="293"/>
      <c r="BU439" s="293"/>
      <c r="BV439" s="293"/>
      <c r="BW439" s="293"/>
      <c r="BX439" s="293"/>
      <c r="BY439" s="293"/>
      <c r="BZ439" s="293"/>
      <c r="CA439" s="293"/>
      <c r="CB439" s="293"/>
      <c r="CC439" s="293"/>
      <c r="CD439" s="293"/>
      <c r="CE439" s="294">
        <v>0</v>
      </c>
      <c r="CF439" s="293">
        <v>0</v>
      </c>
      <c r="CG439" s="293">
        <v>0</v>
      </c>
      <c r="CH439" s="293">
        <v>0</v>
      </c>
      <c r="CI439" s="293">
        <v>0</v>
      </c>
      <c r="CJ439" s="293">
        <v>0</v>
      </c>
      <c r="CK439" s="293">
        <v>0</v>
      </c>
      <c r="CL439" s="293">
        <v>0</v>
      </c>
      <c r="CM439" s="293">
        <v>0</v>
      </c>
      <c r="CN439" s="293">
        <v>0</v>
      </c>
      <c r="CO439" s="293">
        <v>0</v>
      </c>
      <c r="CP439" s="295">
        <v>0</v>
      </c>
      <c r="CQ439" s="293">
        <v>0</v>
      </c>
      <c r="CR439" s="293">
        <v>0</v>
      </c>
      <c r="CS439" s="293">
        <v>0</v>
      </c>
      <c r="CT439" s="293">
        <v>0</v>
      </c>
      <c r="CU439" s="293">
        <v>0</v>
      </c>
      <c r="CV439" s="293">
        <v>0</v>
      </c>
      <c r="CW439" s="293">
        <v>0</v>
      </c>
      <c r="CX439" s="293">
        <v>0</v>
      </c>
      <c r="CY439" s="293">
        <v>0</v>
      </c>
      <c r="CZ439" s="293">
        <v>0</v>
      </c>
      <c r="DA439" s="293">
        <v>0</v>
      </c>
      <c r="DB439" s="1288">
        <v>0</v>
      </c>
      <c r="DC439" s="293">
        <v>0</v>
      </c>
      <c r="DD439" s="293">
        <v>0</v>
      </c>
      <c r="DE439" s="293">
        <v>0</v>
      </c>
      <c r="DF439" s="293">
        <v>0</v>
      </c>
      <c r="DG439" s="293">
        <v>0</v>
      </c>
      <c r="DH439" s="293">
        <v>0</v>
      </c>
      <c r="DI439" s="293">
        <v>0</v>
      </c>
      <c r="DJ439" s="293">
        <v>0</v>
      </c>
      <c r="DK439" s="293">
        <v>0</v>
      </c>
      <c r="DL439" s="293">
        <v>0</v>
      </c>
      <c r="DM439" s="293">
        <v>0</v>
      </c>
      <c r="DN439" s="295">
        <v>0</v>
      </c>
      <c r="DO439" s="293">
        <v>0</v>
      </c>
      <c r="DP439" s="293">
        <v>0</v>
      </c>
      <c r="DQ439" s="293">
        <v>0</v>
      </c>
      <c r="DR439" s="293">
        <v>0</v>
      </c>
      <c r="DS439" s="293">
        <v>0</v>
      </c>
      <c r="DT439" s="293">
        <v>0</v>
      </c>
      <c r="DU439" s="293">
        <v>0</v>
      </c>
      <c r="DV439" s="293">
        <v>0</v>
      </c>
      <c r="DW439" s="293">
        <v>0</v>
      </c>
      <c r="DX439" s="293">
        <v>0</v>
      </c>
      <c r="DY439" s="293">
        <v>0</v>
      </c>
      <c r="DZ439" s="295">
        <v>0</v>
      </c>
      <c r="EA439" s="293">
        <v>0</v>
      </c>
      <c r="EB439" s="293">
        <v>0</v>
      </c>
      <c r="EC439" s="293">
        <v>0</v>
      </c>
      <c r="ED439" s="293">
        <v>0</v>
      </c>
      <c r="EE439" s="293">
        <v>0</v>
      </c>
      <c r="EF439" s="293">
        <v>0</v>
      </c>
      <c r="EG439" s="293">
        <v>0</v>
      </c>
      <c r="EH439" s="293">
        <v>0</v>
      </c>
      <c r="EI439" s="293">
        <v>0</v>
      </c>
      <c r="EJ439" s="293">
        <v>0</v>
      </c>
      <c r="EK439" s="293">
        <v>0</v>
      </c>
      <c r="EL439" s="295">
        <v>0</v>
      </c>
      <c r="EM439" s="293">
        <v>0</v>
      </c>
      <c r="EN439" s="293">
        <v>0</v>
      </c>
      <c r="EO439" s="293">
        <v>0</v>
      </c>
      <c r="EP439" s="293">
        <v>0</v>
      </c>
      <c r="EQ439" s="293">
        <v>0</v>
      </c>
      <c r="ER439" s="293">
        <v>0</v>
      </c>
      <c r="ES439" s="293">
        <v>0</v>
      </c>
      <c r="ET439" s="293">
        <v>0</v>
      </c>
      <c r="EU439" s="293">
        <v>0</v>
      </c>
      <c r="EV439" s="293">
        <v>0</v>
      </c>
      <c r="EW439" s="293">
        <v>0</v>
      </c>
      <c r="EX439" s="295">
        <v>0</v>
      </c>
      <c r="EY439" s="293">
        <v>0</v>
      </c>
      <c r="EZ439" s="293">
        <v>0</v>
      </c>
      <c r="FA439" s="293">
        <v>0</v>
      </c>
      <c r="FB439" s="293">
        <v>0</v>
      </c>
      <c r="FC439" s="293">
        <v>0</v>
      </c>
      <c r="FD439" s="293">
        <v>0</v>
      </c>
      <c r="FE439" s="293">
        <v>0</v>
      </c>
      <c r="FF439" s="293">
        <v>0</v>
      </c>
      <c r="FG439" s="293">
        <v>0</v>
      </c>
      <c r="FH439" s="293">
        <v>0</v>
      </c>
      <c r="FI439" s="293">
        <v>0</v>
      </c>
      <c r="FJ439" s="295">
        <v>0</v>
      </c>
      <c r="FK439" s="293">
        <v>0</v>
      </c>
      <c r="FL439" s="293">
        <v>0</v>
      </c>
      <c r="FM439" s="293">
        <v>0</v>
      </c>
      <c r="FN439" s="293">
        <v>0</v>
      </c>
      <c r="FO439" s="293">
        <v>0</v>
      </c>
      <c r="FP439" s="293">
        <v>0</v>
      </c>
      <c r="FQ439" s="293">
        <v>0</v>
      </c>
      <c r="FR439" s="293">
        <v>0</v>
      </c>
      <c r="FS439" s="293">
        <v>0</v>
      </c>
      <c r="FT439" s="293">
        <v>0</v>
      </c>
      <c r="FU439" s="293">
        <v>0</v>
      </c>
      <c r="FV439" s="293">
        <v>0</v>
      </c>
      <c r="FW439" s="293">
        <v>0</v>
      </c>
      <c r="FX439" s="293">
        <v>0</v>
      </c>
      <c r="FY439" s="293">
        <v>0</v>
      </c>
      <c r="FZ439" s="293">
        <v>0</v>
      </c>
      <c r="GA439" s="293">
        <v>0</v>
      </c>
      <c r="GB439" s="293">
        <v>0</v>
      </c>
      <c r="GC439" s="293">
        <v>0</v>
      </c>
      <c r="GD439" s="293">
        <v>0</v>
      </c>
      <c r="GE439" s="293">
        <v>0</v>
      </c>
      <c r="GF439" s="293">
        <v>0</v>
      </c>
      <c r="GG439" s="293">
        <v>0</v>
      </c>
      <c r="GH439" s="293">
        <v>0</v>
      </c>
      <c r="GI439" s="293">
        <v>0</v>
      </c>
      <c r="GJ439" s="293">
        <v>0</v>
      </c>
      <c r="GK439" s="293">
        <v>0</v>
      </c>
      <c r="GL439" s="293">
        <v>0</v>
      </c>
      <c r="GM439" s="293">
        <v>0</v>
      </c>
      <c r="GN439" s="293">
        <v>0</v>
      </c>
      <c r="GO439" s="293">
        <v>0</v>
      </c>
      <c r="GP439" s="293">
        <v>0</v>
      </c>
      <c r="GQ439" s="293">
        <v>0</v>
      </c>
      <c r="GR439" s="293">
        <v>0</v>
      </c>
      <c r="GS439" s="293">
        <v>0</v>
      </c>
      <c r="GT439" s="293">
        <v>0</v>
      </c>
      <c r="GU439" s="293">
        <v>0</v>
      </c>
      <c r="GV439" s="293">
        <v>0</v>
      </c>
      <c r="GW439" s="293">
        <v>0</v>
      </c>
      <c r="GX439" s="293">
        <v>0</v>
      </c>
      <c r="GY439" s="293">
        <v>0</v>
      </c>
      <c r="GZ439" s="293">
        <v>0</v>
      </c>
      <c r="HA439" s="293">
        <v>0</v>
      </c>
      <c r="HB439" s="293">
        <v>0</v>
      </c>
      <c r="HC439" s="293">
        <v>0</v>
      </c>
      <c r="HD439" s="293">
        <v>0</v>
      </c>
      <c r="HE439" s="293">
        <v>0</v>
      </c>
      <c r="HF439" s="293">
        <v>0</v>
      </c>
      <c r="HG439" s="293">
        <v>52.070578646999998</v>
      </c>
      <c r="HH439" s="293">
        <v>0</v>
      </c>
      <c r="HI439" s="293">
        <v>0</v>
      </c>
      <c r="HJ439" s="293">
        <v>0</v>
      </c>
      <c r="HK439" s="293">
        <v>0</v>
      </c>
      <c r="HL439" s="293">
        <v>0</v>
      </c>
      <c r="HM439" s="293">
        <v>0</v>
      </c>
      <c r="HN439" s="293">
        <v>0</v>
      </c>
      <c r="HO439" s="293">
        <v>0</v>
      </c>
      <c r="HP439" s="293">
        <v>0</v>
      </c>
      <c r="HQ439" s="293">
        <v>0</v>
      </c>
      <c r="HR439" s="293">
        <v>0</v>
      </c>
      <c r="HS439" s="293">
        <v>0</v>
      </c>
      <c r="HT439" s="293">
        <v>0</v>
      </c>
      <c r="HU439" s="293">
        <v>0</v>
      </c>
      <c r="HV439" s="293">
        <v>0</v>
      </c>
      <c r="HW439" s="293">
        <v>0</v>
      </c>
      <c r="HX439" s="293">
        <v>0</v>
      </c>
      <c r="HY439" s="293"/>
      <c r="KT439" s="280"/>
    </row>
    <row r="440" spans="1:307" outlineLevel="1">
      <c r="A440" s="96" t="s">
        <v>495</v>
      </c>
      <c r="B440" s="96" t="s">
        <v>495</v>
      </c>
      <c r="D440" s="321" t="s">
        <v>507</v>
      </c>
      <c r="E440" s="293"/>
      <c r="F440" s="293"/>
      <c r="G440" s="293"/>
      <c r="H440" s="293"/>
      <c r="I440" s="293"/>
      <c r="J440" s="293"/>
      <c r="K440" s="293"/>
      <c r="L440" s="293"/>
      <c r="M440" s="293"/>
      <c r="N440" s="293"/>
      <c r="O440" s="293"/>
      <c r="P440" s="293"/>
      <c r="Q440" s="293"/>
      <c r="R440" s="293"/>
      <c r="S440" s="293"/>
      <c r="T440" s="293"/>
      <c r="U440" s="293"/>
      <c r="V440" s="293"/>
      <c r="W440" s="293"/>
      <c r="X440" s="293"/>
      <c r="Y440" s="29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c r="BN440" s="293"/>
      <c r="BO440" s="293"/>
      <c r="BP440" s="293"/>
      <c r="BQ440" s="293"/>
      <c r="BR440" s="293"/>
      <c r="BS440" s="293"/>
      <c r="BT440" s="293"/>
      <c r="BU440" s="293"/>
      <c r="BV440" s="293"/>
      <c r="BW440" s="293"/>
      <c r="BX440" s="293"/>
      <c r="BY440" s="293"/>
      <c r="BZ440" s="293"/>
      <c r="CA440" s="293"/>
      <c r="CB440" s="293"/>
      <c r="CC440" s="293"/>
      <c r="CD440" s="293"/>
      <c r="CE440" s="294">
        <v>0</v>
      </c>
      <c r="CF440" s="293">
        <v>0</v>
      </c>
      <c r="CG440" s="293">
        <v>0</v>
      </c>
      <c r="CH440" s="293">
        <v>0</v>
      </c>
      <c r="CI440" s="293">
        <v>0</v>
      </c>
      <c r="CJ440" s="293">
        <v>0</v>
      </c>
      <c r="CK440" s="293">
        <v>0</v>
      </c>
      <c r="CL440" s="293">
        <v>0</v>
      </c>
      <c r="CM440" s="293">
        <v>0</v>
      </c>
      <c r="CN440" s="293">
        <v>0</v>
      </c>
      <c r="CO440" s="293">
        <v>0</v>
      </c>
      <c r="CP440" s="295">
        <v>0</v>
      </c>
      <c r="CQ440" s="293">
        <v>0</v>
      </c>
      <c r="CR440" s="293">
        <v>0</v>
      </c>
      <c r="CS440" s="293">
        <v>0</v>
      </c>
      <c r="CT440" s="293">
        <v>0</v>
      </c>
      <c r="CU440" s="293">
        <v>0</v>
      </c>
      <c r="CV440" s="293">
        <v>0</v>
      </c>
      <c r="CW440" s="293">
        <v>0</v>
      </c>
      <c r="CX440" s="293">
        <v>0</v>
      </c>
      <c r="CY440" s="293">
        <v>0</v>
      </c>
      <c r="CZ440" s="293">
        <v>0</v>
      </c>
      <c r="DA440" s="293">
        <v>0</v>
      </c>
      <c r="DB440" s="1288">
        <v>0</v>
      </c>
      <c r="DC440" s="293">
        <v>0</v>
      </c>
      <c r="DD440" s="293">
        <v>0</v>
      </c>
      <c r="DE440" s="293">
        <v>0</v>
      </c>
      <c r="DF440" s="293">
        <v>0</v>
      </c>
      <c r="DG440" s="293">
        <v>0</v>
      </c>
      <c r="DH440" s="293">
        <v>0</v>
      </c>
      <c r="DI440" s="293">
        <v>0</v>
      </c>
      <c r="DJ440" s="293">
        <v>0</v>
      </c>
      <c r="DK440" s="293">
        <v>0</v>
      </c>
      <c r="DL440" s="293">
        <v>0</v>
      </c>
      <c r="DM440" s="293">
        <v>0</v>
      </c>
      <c r="DN440" s="295">
        <v>0</v>
      </c>
      <c r="DO440" s="293">
        <v>0</v>
      </c>
      <c r="DP440" s="293">
        <v>0</v>
      </c>
      <c r="DQ440" s="293">
        <v>0</v>
      </c>
      <c r="DR440" s="293">
        <v>0</v>
      </c>
      <c r="DS440" s="293">
        <v>0</v>
      </c>
      <c r="DT440" s="293">
        <v>0</v>
      </c>
      <c r="DU440" s="293">
        <v>0</v>
      </c>
      <c r="DV440" s="293">
        <v>0</v>
      </c>
      <c r="DW440" s="293">
        <v>0</v>
      </c>
      <c r="DX440" s="293">
        <v>0</v>
      </c>
      <c r="DY440" s="293">
        <v>0</v>
      </c>
      <c r="DZ440" s="295">
        <v>0</v>
      </c>
      <c r="EA440" s="293">
        <v>0</v>
      </c>
      <c r="EB440" s="293">
        <v>0</v>
      </c>
      <c r="EC440" s="293">
        <v>0</v>
      </c>
      <c r="ED440" s="293">
        <v>0</v>
      </c>
      <c r="EE440" s="293">
        <v>0</v>
      </c>
      <c r="EF440" s="293">
        <v>0</v>
      </c>
      <c r="EG440" s="293">
        <v>0</v>
      </c>
      <c r="EH440" s="293">
        <v>0</v>
      </c>
      <c r="EI440" s="293">
        <v>0</v>
      </c>
      <c r="EJ440" s="293">
        <v>0</v>
      </c>
      <c r="EK440" s="293">
        <v>0</v>
      </c>
      <c r="EL440" s="295">
        <v>0</v>
      </c>
      <c r="EM440" s="293">
        <v>0</v>
      </c>
      <c r="EN440" s="293">
        <v>0</v>
      </c>
      <c r="EO440" s="293">
        <v>0</v>
      </c>
      <c r="EP440" s="293">
        <v>0</v>
      </c>
      <c r="EQ440" s="293">
        <v>0</v>
      </c>
      <c r="ER440" s="293">
        <v>0</v>
      </c>
      <c r="ES440" s="293">
        <v>0</v>
      </c>
      <c r="ET440" s="293">
        <v>0</v>
      </c>
      <c r="EU440" s="293">
        <v>0</v>
      </c>
      <c r="EV440" s="293">
        <v>0</v>
      </c>
      <c r="EW440" s="293">
        <v>0</v>
      </c>
      <c r="EX440" s="295">
        <v>0</v>
      </c>
      <c r="EY440" s="293">
        <v>0</v>
      </c>
      <c r="EZ440" s="293">
        <v>0</v>
      </c>
      <c r="FA440" s="293">
        <v>0</v>
      </c>
      <c r="FB440" s="293">
        <v>0</v>
      </c>
      <c r="FC440" s="293">
        <v>0</v>
      </c>
      <c r="FD440" s="293">
        <v>0</v>
      </c>
      <c r="FE440" s="293">
        <v>0</v>
      </c>
      <c r="FF440" s="293">
        <v>0</v>
      </c>
      <c r="FG440" s="293">
        <v>0</v>
      </c>
      <c r="FH440" s="293">
        <v>0</v>
      </c>
      <c r="FI440" s="293">
        <v>0</v>
      </c>
      <c r="FJ440" s="295">
        <v>0</v>
      </c>
      <c r="FK440" s="293">
        <v>0</v>
      </c>
      <c r="FL440" s="293">
        <v>0</v>
      </c>
      <c r="FM440" s="293">
        <v>0</v>
      </c>
      <c r="FN440" s="293">
        <v>16.209857913474771</v>
      </c>
      <c r="FO440" s="293">
        <v>0</v>
      </c>
      <c r="FP440" s="293">
        <v>0</v>
      </c>
      <c r="FQ440" s="293">
        <v>0</v>
      </c>
      <c r="FR440" s="293">
        <v>0</v>
      </c>
      <c r="FS440" s="293">
        <v>0</v>
      </c>
      <c r="FT440" s="293">
        <v>19.094966261</v>
      </c>
      <c r="FU440" s="293">
        <v>0</v>
      </c>
      <c r="FV440" s="293">
        <v>0</v>
      </c>
      <c r="FW440" s="293">
        <v>0</v>
      </c>
      <c r="FX440" s="293">
        <v>0</v>
      </c>
      <c r="FY440" s="293">
        <v>0</v>
      </c>
      <c r="FZ440" s="293">
        <v>11.416539758000001</v>
      </c>
      <c r="GA440" s="293">
        <v>0</v>
      </c>
      <c r="GB440" s="293">
        <v>0</v>
      </c>
      <c r="GC440" s="293">
        <v>0</v>
      </c>
      <c r="GD440" s="293">
        <v>0</v>
      </c>
      <c r="GE440" s="293">
        <v>0</v>
      </c>
      <c r="GF440" s="293">
        <v>0</v>
      </c>
      <c r="GG440" s="293">
        <v>0</v>
      </c>
      <c r="GH440" s="293">
        <v>0</v>
      </c>
      <c r="GI440" s="293">
        <v>0</v>
      </c>
      <c r="GJ440" s="293">
        <v>0</v>
      </c>
      <c r="GK440" s="293">
        <v>0</v>
      </c>
      <c r="GL440" s="293">
        <v>0</v>
      </c>
      <c r="GM440" s="293">
        <v>0</v>
      </c>
      <c r="GN440" s="293">
        <v>0</v>
      </c>
      <c r="GO440" s="293">
        <v>0</v>
      </c>
      <c r="GP440" s="293">
        <v>0</v>
      </c>
      <c r="GQ440" s="293">
        <v>0</v>
      </c>
      <c r="GR440" s="293">
        <v>0</v>
      </c>
      <c r="GS440" s="293">
        <v>0</v>
      </c>
      <c r="GT440" s="293">
        <v>0</v>
      </c>
      <c r="GU440" s="293">
        <v>0</v>
      </c>
      <c r="GV440" s="293">
        <v>0</v>
      </c>
      <c r="GW440" s="293">
        <v>0</v>
      </c>
      <c r="GX440" s="293">
        <v>0</v>
      </c>
      <c r="GY440" s="293">
        <v>0</v>
      </c>
      <c r="GZ440" s="293">
        <v>0</v>
      </c>
      <c r="HA440" s="293">
        <v>0</v>
      </c>
      <c r="HB440" s="293">
        <v>0</v>
      </c>
      <c r="HC440" s="293">
        <v>0</v>
      </c>
      <c r="HD440" s="293">
        <v>0</v>
      </c>
      <c r="HE440" s="293">
        <v>0</v>
      </c>
      <c r="HF440" s="293">
        <v>0</v>
      </c>
      <c r="HG440" s="293">
        <v>0</v>
      </c>
      <c r="HH440" s="293">
        <v>0</v>
      </c>
      <c r="HI440" s="293">
        <v>0</v>
      </c>
      <c r="HJ440" s="293">
        <v>0</v>
      </c>
      <c r="HK440" s="293">
        <v>0</v>
      </c>
      <c r="HL440" s="293">
        <v>0</v>
      </c>
      <c r="HM440" s="293">
        <v>0</v>
      </c>
      <c r="HN440" s="293">
        <v>0</v>
      </c>
      <c r="HO440" s="293">
        <v>0</v>
      </c>
      <c r="HP440" s="293">
        <v>0</v>
      </c>
      <c r="HQ440" s="293">
        <v>0</v>
      </c>
      <c r="HR440" s="293">
        <v>0</v>
      </c>
      <c r="HS440" s="293">
        <v>0</v>
      </c>
      <c r="HT440" s="293">
        <v>0</v>
      </c>
      <c r="HU440" s="293">
        <v>0</v>
      </c>
      <c r="HV440" s="293">
        <v>0</v>
      </c>
      <c r="HW440" s="293">
        <v>0</v>
      </c>
      <c r="HX440" s="293">
        <v>0</v>
      </c>
      <c r="HY440" s="293"/>
      <c r="KT440" s="280"/>
    </row>
    <row r="441" spans="1:307" outlineLevel="1">
      <c r="A441" s="96" t="s">
        <v>372</v>
      </c>
      <c r="B441" s="96" t="s">
        <v>338</v>
      </c>
      <c r="D441" s="320" t="s">
        <v>524</v>
      </c>
      <c r="E441" s="293"/>
      <c r="F441" s="293"/>
      <c r="G441" s="293"/>
      <c r="H441" s="293"/>
      <c r="I441" s="293"/>
      <c r="J441" s="293"/>
      <c r="K441" s="293"/>
      <c r="L441" s="293"/>
      <c r="M441" s="293"/>
      <c r="N441" s="293"/>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c r="BN441" s="293"/>
      <c r="BO441" s="293"/>
      <c r="BP441" s="293"/>
      <c r="BQ441" s="293"/>
      <c r="BR441" s="293"/>
      <c r="BS441" s="293"/>
      <c r="BT441" s="293"/>
      <c r="BU441" s="293"/>
      <c r="BV441" s="293"/>
      <c r="BW441" s="293"/>
      <c r="BX441" s="293"/>
      <c r="BY441" s="293"/>
      <c r="BZ441" s="293"/>
      <c r="CA441" s="293"/>
      <c r="CB441" s="293"/>
      <c r="CC441" s="293"/>
      <c r="CD441" s="293"/>
      <c r="CE441" s="294">
        <v>0.119299153</v>
      </c>
      <c r="CF441" s="293">
        <v>0.11347230699999999</v>
      </c>
      <c r="CG441" s="293">
        <v>7.2799304999999995E-2</v>
      </c>
      <c r="CH441" s="293">
        <v>0.107684892</v>
      </c>
      <c r="CI441" s="293">
        <v>0.662955144</v>
      </c>
      <c r="CJ441" s="293">
        <v>0.30941506800000002</v>
      </c>
      <c r="CK441" s="293">
        <v>6.2576163000000004E-2</v>
      </c>
      <c r="CL441" s="293">
        <v>0.303381807</v>
      </c>
      <c r="CM441" s="293">
        <v>0.36172429099999998</v>
      </c>
      <c r="CN441" s="293">
        <v>0.45200000000000001</v>
      </c>
      <c r="CO441" s="293">
        <v>0.48499999999999999</v>
      </c>
      <c r="CP441" s="295">
        <v>1.17</v>
      </c>
      <c r="CQ441" s="293">
        <v>5.8000000000000003E-2</v>
      </c>
      <c r="CR441" s="293">
        <v>4.2000000000000003E-2</v>
      </c>
      <c r="CS441" s="293">
        <v>1.1779999999999999</v>
      </c>
      <c r="CT441" s="293">
        <v>9.8000000000000004E-2</v>
      </c>
      <c r="CU441" s="293">
        <v>0.10100000000000001</v>
      </c>
      <c r="CV441" s="293">
        <v>0.372</v>
      </c>
      <c r="CW441" s="293">
        <v>0.36699999999999999</v>
      </c>
      <c r="CX441" s="293">
        <v>5.0000000000000001E-3</v>
      </c>
      <c r="CY441" s="293">
        <v>0.40400000000000003</v>
      </c>
      <c r="CZ441" s="293">
        <v>3.9E-2</v>
      </c>
      <c r="DA441" s="293">
        <v>0.46300000000000002</v>
      </c>
      <c r="DB441" s="1288">
        <v>1.9390000000000001</v>
      </c>
      <c r="DC441" s="293">
        <v>9.4E-2</v>
      </c>
      <c r="DD441" s="293">
        <v>0.30499999999999999</v>
      </c>
      <c r="DE441" s="293">
        <v>0.45400000000000001</v>
      </c>
      <c r="DF441" s="293">
        <v>0.52200000000000002</v>
      </c>
      <c r="DG441" s="293">
        <v>0.55400000000000005</v>
      </c>
      <c r="DH441" s="293">
        <v>0.48199999999999998</v>
      </c>
      <c r="DI441" s="293">
        <v>0.4</v>
      </c>
      <c r="DJ441" s="293">
        <v>2.3050000000000002</v>
      </c>
      <c r="DK441" s="293">
        <v>0.2</v>
      </c>
      <c r="DL441" s="293">
        <v>0.13800000000000001</v>
      </c>
      <c r="DM441" s="293">
        <v>6.6000000000000003E-2</v>
      </c>
      <c r="DN441" s="295">
        <v>0.108</v>
      </c>
      <c r="DO441" s="293">
        <v>0</v>
      </c>
      <c r="DP441" s="293">
        <v>0</v>
      </c>
      <c r="DQ441" s="293">
        <v>0</v>
      </c>
      <c r="DR441" s="293">
        <v>0</v>
      </c>
      <c r="DS441" s="293">
        <v>0</v>
      </c>
      <c r="DT441" s="293">
        <v>0</v>
      </c>
      <c r="DU441" s="293">
        <v>0</v>
      </c>
      <c r="DV441" s="293">
        <v>0</v>
      </c>
      <c r="DW441" s="293">
        <v>0</v>
      </c>
      <c r="DX441" s="293">
        <v>0</v>
      </c>
      <c r="DY441" s="293">
        <v>0</v>
      </c>
      <c r="DZ441" s="295">
        <v>0</v>
      </c>
      <c r="EA441" s="293">
        <v>0</v>
      </c>
      <c r="EB441" s="293">
        <v>0</v>
      </c>
      <c r="EC441" s="293">
        <v>0</v>
      </c>
      <c r="ED441" s="293">
        <v>0</v>
      </c>
      <c r="EE441" s="293">
        <v>0</v>
      </c>
      <c r="EF441" s="293">
        <v>0</v>
      </c>
      <c r="EG441" s="293">
        <v>0</v>
      </c>
      <c r="EH441" s="293">
        <v>0</v>
      </c>
      <c r="EI441" s="293">
        <v>0</v>
      </c>
      <c r="EJ441" s="293">
        <v>0</v>
      </c>
      <c r="EK441" s="293">
        <v>0</v>
      </c>
      <c r="EL441" s="295">
        <v>0</v>
      </c>
      <c r="EM441" s="293">
        <v>0</v>
      </c>
      <c r="EN441" s="293">
        <v>0</v>
      </c>
      <c r="EO441" s="293">
        <v>0</v>
      </c>
      <c r="EP441" s="293">
        <v>0</v>
      </c>
      <c r="EQ441" s="293">
        <v>0</v>
      </c>
      <c r="ER441" s="293">
        <v>0</v>
      </c>
      <c r="ES441" s="293">
        <v>0</v>
      </c>
      <c r="ET441" s="293">
        <v>0</v>
      </c>
      <c r="EU441" s="293">
        <v>0</v>
      </c>
      <c r="EV441" s="293">
        <v>0</v>
      </c>
      <c r="EW441" s="293">
        <v>0</v>
      </c>
      <c r="EX441" s="295">
        <v>0</v>
      </c>
      <c r="EY441" s="293">
        <v>0</v>
      </c>
      <c r="EZ441" s="293">
        <v>0</v>
      </c>
      <c r="FA441" s="293">
        <v>0</v>
      </c>
      <c r="FB441" s="293">
        <v>0</v>
      </c>
      <c r="FC441" s="293">
        <v>0</v>
      </c>
      <c r="FD441" s="293">
        <v>0</v>
      </c>
      <c r="FE441" s="293">
        <v>0</v>
      </c>
      <c r="FF441" s="293">
        <v>0</v>
      </c>
      <c r="FG441" s="293">
        <v>0</v>
      </c>
      <c r="FH441" s="293">
        <v>0</v>
      </c>
      <c r="FI441" s="293">
        <v>0</v>
      </c>
      <c r="FJ441" s="295">
        <v>0</v>
      </c>
      <c r="FK441" s="293">
        <v>0</v>
      </c>
      <c r="FL441" s="293">
        <v>0</v>
      </c>
      <c r="FM441" s="293">
        <v>0</v>
      </c>
      <c r="FN441" s="293">
        <v>0</v>
      </c>
      <c r="FO441" s="293">
        <v>0</v>
      </c>
      <c r="FP441" s="293">
        <v>0</v>
      </c>
      <c r="FQ441" s="293">
        <v>0</v>
      </c>
      <c r="FR441" s="293">
        <v>0</v>
      </c>
      <c r="FS441" s="293">
        <v>0</v>
      </c>
      <c r="FT441" s="293">
        <v>0</v>
      </c>
      <c r="FU441" s="293">
        <v>0</v>
      </c>
      <c r="FV441" s="293">
        <v>0</v>
      </c>
      <c r="FW441" s="293">
        <v>0</v>
      </c>
      <c r="FX441" s="293">
        <v>0</v>
      </c>
      <c r="FY441" s="293">
        <v>0</v>
      </c>
      <c r="FZ441" s="293">
        <v>0</v>
      </c>
      <c r="GA441" s="293">
        <v>0</v>
      </c>
      <c r="GB441" s="293">
        <v>0</v>
      </c>
      <c r="GC441" s="293">
        <v>0</v>
      </c>
      <c r="GD441" s="293">
        <v>0</v>
      </c>
      <c r="GE441" s="293">
        <v>0</v>
      </c>
      <c r="GF441" s="293">
        <v>0</v>
      </c>
      <c r="GG441" s="293">
        <v>0</v>
      </c>
      <c r="GH441" s="293">
        <v>0</v>
      </c>
      <c r="GI441" s="293">
        <v>0</v>
      </c>
      <c r="GJ441" s="293">
        <v>0</v>
      </c>
      <c r="GK441" s="293">
        <v>0</v>
      </c>
      <c r="GL441" s="293">
        <v>0</v>
      </c>
      <c r="GM441" s="293">
        <v>0</v>
      </c>
      <c r="GN441" s="293">
        <v>0</v>
      </c>
      <c r="GO441" s="293">
        <v>0</v>
      </c>
      <c r="GP441" s="293">
        <v>0</v>
      </c>
      <c r="GQ441" s="293">
        <v>0</v>
      </c>
      <c r="GR441" s="293">
        <v>0</v>
      </c>
      <c r="GS441" s="293">
        <v>0</v>
      </c>
      <c r="GT441" s="293">
        <v>0</v>
      </c>
      <c r="GU441" s="293">
        <v>0</v>
      </c>
      <c r="GV441" s="293">
        <v>0</v>
      </c>
      <c r="GW441" s="293">
        <v>0</v>
      </c>
      <c r="GX441" s="293">
        <v>0</v>
      </c>
      <c r="GY441" s="293">
        <v>0</v>
      </c>
      <c r="GZ441" s="293">
        <v>0</v>
      </c>
      <c r="HA441" s="293">
        <v>0</v>
      </c>
      <c r="HB441" s="293">
        <v>0</v>
      </c>
      <c r="HC441" s="293">
        <v>0</v>
      </c>
      <c r="HD441" s="293">
        <v>0</v>
      </c>
      <c r="HE441" s="293">
        <v>0</v>
      </c>
      <c r="HF441" s="293">
        <v>0</v>
      </c>
      <c r="HG441" s="293">
        <v>0</v>
      </c>
      <c r="HH441" s="293">
        <v>0</v>
      </c>
      <c r="HI441" s="293">
        <v>0</v>
      </c>
      <c r="HJ441" s="293">
        <v>0</v>
      </c>
      <c r="HK441" s="293">
        <v>0</v>
      </c>
      <c r="HL441" s="293">
        <v>0</v>
      </c>
      <c r="HM441" s="293">
        <v>0</v>
      </c>
      <c r="HN441" s="293">
        <v>0</v>
      </c>
      <c r="HO441" s="293">
        <v>0</v>
      </c>
      <c r="HP441" s="293">
        <v>0</v>
      </c>
      <c r="HQ441" s="293">
        <v>0</v>
      </c>
      <c r="HR441" s="293">
        <v>0</v>
      </c>
      <c r="HS441" s="293">
        <v>0</v>
      </c>
      <c r="HT441" s="293">
        <v>0</v>
      </c>
      <c r="HU441" s="293">
        <v>0</v>
      </c>
      <c r="HV441" s="293">
        <v>0</v>
      </c>
      <c r="HW441" s="293">
        <v>0</v>
      </c>
      <c r="HX441" s="293">
        <v>0</v>
      </c>
      <c r="HY441" s="293"/>
      <c r="KT441" s="280"/>
    </row>
    <row r="442" spans="1:307" outlineLevel="1">
      <c r="D442" s="320"/>
      <c r="E442" s="293"/>
      <c r="F442" s="293"/>
      <c r="G442" s="293"/>
      <c r="H442" s="293"/>
      <c r="I442" s="293"/>
      <c r="J442" s="293"/>
      <c r="K442" s="293"/>
      <c r="L442" s="293"/>
      <c r="M442" s="293"/>
      <c r="N442" s="293"/>
      <c r="O442" s="293"/>
      <c r="P442" s="293"/>
      <c r="Q442" s="293"/>
      <c r="R442" s="293"/>
      <c r="S442" s="293"/>
      <c r="T442" s="293"/>
      <c r="U442" s="293"/>
      <c r="V442" s="293"/>
      <c r="W442" s="293"/>
      <c r="X442" s="293"/>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c r="BN442" s="293"/>
      <c r="BO442" s="293"/>
      <c r="BP442" s="293"/>
      <c r="BQ442" s="293"/>
      <c r="BR442" s="293"/>
      <c r="BS442" s="293"/>
      <c r="BT442" s="293"/>
      <c r="BU442" s="293"/>
      <c r="BV442" s="293"/>
      <c r="BW442" s="293"/>
      <c r="BX442" s="293"/>
      <c r="BY442" s="293"/>
      <c r="BZ442" s="293"/>
      <c r="CA442" s="293"/>
      <c r="CB442" s="293"/>
      <c r="CC442" s="293"/>
      <c r="CD442" s="293"/>
      <c r="CE442" s="294"/>
      <c r="CF442" s="293"/>
      <c r="CG442" s="293"/>
      <c r="CH442" s="293"/>
      <c r="CI442" s="293"/>
      <c r="CJ442" s="293"/>
      <c r="CK442" s="293"/>
      <c r="CL442" s="293"/>
      <c r="CM442" s="293"/>
      <c r="CN442" s="293"/>
      <c r="CO442" s="293"/>
      <c r="CP442" s="295"/>
      <c r="CQ442" s="293"/>
      <c r="CR442" s="293"/>
      <c r="CS442" s="293"/>
      <c r="CT442" s="293"/>
      <c r="CU442" s="293"/>
      <c r="CV442" s="293"/>
      <c r="CW442" s="293"/>
      <c r="CX442" s="293"/>
      <c r="CY442" s="293"/>
      <c r="CZ442" s="293"/>
      <c r="DA442" s="293"/>
      <c r="DB442" s="1288"/>
      <c r="DC442" s="293"/>
      <c r="DD442" s="293"/>
      <c r="DE442" s="293"/>
      <c r="DF442" s="293"/>
      <c r="DG442" s="293"/>
      <c r="DH442" s="293"/>
      <c r="DI442" s="293"/>
      <c r="DJ442" s="293"/>
      <c r="DK442" s="293"/>
      <c r="DL442" s="293"/>
      <c r="DM442" s="293"/>
      <c r="DN442" s="295"/>
      <c r="DO442" s="293"/>
      <c r="DP442" s="293"/>
      <c r="DQ442" s="293"/>
      <c r="DR442" s="293"/>
      <c r="DS442" s="293"/>
      <c r="DT442" s="293"/>
      <c r="DU442" s="293"/>
      <c r="DV442" s="293"/>
      <c r="DW442" s="293"/>
      <c r="DX442" s="293"/>
      <c r="DY442" s="293"/>
      <c r="DZ442" s="295"/>
      <c r="EA442" s="293"/>
      <c r="EB442" s="293"/>
      <c r="EC442" s="293"/>
      <c r="ED442" s="293"/>
      <c r="EE442" s="293"/>
      <c r="EF442" s="293"/>
      <c r="EG442" s="293"/>
      <c r="EH442" s="293"/>
      <c r="EI442" s="293"/>
      <c r="EJ442" s="293"/>
      <c r="EK442" s="293"/>
      <c r="EL442" s="295"/>
      <c r="EM442" s="293"/>
      <c r="EN442" s="293"/>
      <c r="EO442" s="293"/>
      <c r="EP442" s="293"/>
      <c r="EQ442" s="293"/>
      <c r="ER442" s="293"/>
      <c r="ES442" s="293"/>
      <c r="ET442" s="293"/>
      <c r="EU442" s="293"/>
      <c r="EV442" s="293"/>
      <c r="EW442" s="293"/>
      <c r="EX442" s="295"/>
      <c r="EY442" s="293"/>
      <c r="EZ442" s="293"/>
      <c r="FA442" s="293"/>
      <c r="FB442" s="293"/>
      <c r="FC442" s="293"/>
      <c r="FD442" s="293"/>
      <c r="FE442" s="293"/>
      <c r="FF442" s="293"/>
      <c r="FG442" s="293"/>
      <c r="FH442" s="293"/>
      <c r="FI442" s="293"/>
      <c r="FJ442" s="295"/>
      <c r="FK442" s="293"/>
      <c r="FL442" s="293"/>
      <c r="FM442" s="293"/>
      <c r="FN442" s="293"/>
      <c r="FO442" s="293"/>
      <c r="FP442" s="293"/>
      <c r="FQ442" s="293"/>
      <c r="FR442" s="293"/>
      <c r="FS442" s="293"/>
      <c r="FT442" s="293"/>
      <c r="FU442" s="293"/>
      <c r="FV442" s="293"/>
      <c r="FW442" s="293"/>
      <c r="FX442" s="293"/>
      <c r="FY442" s="293"/>
      <c r="FZ442" s="293"/>
      <c r="GA442" s="293"/>
      <c r="GB442" s="293"/>
      <c r="GC442" s="293"/>
      <c r="GD442" s="293"/>
      <c r="GE442" s="293"/>
      <c r="GF442" s="293"/>
      <c r="GG442" s="293"/>
      <c r="GH442" s="293"/>
      <c r="GI442" s="293"/>
      <c r="GJ442" s="293"/>
      <c r="GK442" s="293"/>
      <c r="GL442" s="293"/>
      <c r="GM442" s="293"/>
      <c r="GN442" s="293"/>
      <c r="GO442" s="293"/>
      <c r="GP442" s="293"/>
      <c r="GQ442" s="293"/>
      <c r="GR442" s="293"/>
      <c r="GS442" s="293"/>
      <c r="GT442" s="293"/>
      <c r="GU442" s="293"/>
      <c r="GV442" s="293"/>
      <c r="GW442" s="293"/>
      <c r="GX442" s="293"/>
      <c r="GY442" s="293"/>
      <c r="GZ442" s="293"/>
      <c r="HA442" s="293"/>
      <c r="HB442" s="293"/>
      <c r="HC442" s="293"/>
      <c r="HD442" s="293"/>
      <c r="HE442" s="293"/>
      <c r="HF442" s="293"/>
      <c r="HG442" s="293"/>
      <c r="HH442" s="293"/>
      <c r="HI442" s="293"/>
      <c r="HJ442" s="293"/>
      <c r="HK442" s="293"/>
      <c r="HL442" s="293"/>
      <c r="HM442" s="293"/>
      <c r="HN442" s="293"/>
      <c r="HO442" s="293"/>
      <c r="HP442" s="293"/>
      <c r="HQ442" s="293"/>
      <c r="HR442" s="293"/>
      <c r="HS442" s="293"/>
      <c r="HT442" s="293"/>
      <c r="HU442" s="293"/>
      <c r="HV442" s="293"/>
      <c r="HW442" s="293"/>
      <c r="HX442" s="293"/>
      <c r="HY442" s="293"/>
      <c r="KT442" s="280"/>
    </row>
    <row r="443" spans="1:307" outlineLevel="1">
      <c r="D443" s="2080"/>
      <c r="CE443" s="793"/>
      <c r="CP443" s="280"/>
      <c r="EA443" s="279"/>
      <c r="EB443" s="279"/>
      <c r="EC443" s="279"/>
      <c r="ED443" s="279"/>
      <c r="EE443" s="279"/>
      <c r="EF443" s="279"/>
      <c r="EG443" s="279"/>
      <c r="EH443" s="279"/>
      <c r="EI443" s="279"/>
      <c r="EJ443" s="279"/>
      <c r="EK443" s="279"/>
      <c r="EL443" s="280"/>
      <c r="EM443" s="279"/>
      <c r="EN443" s="279"/>
      <c r="EO443" s="279"/>
      <c r="EP443" s="279"/>
      <c r="EQ443" s="279"/>
      <c r="ER443" s="279"/>
      <c r="ES443" s="279"/>
      <c r="ET443" s="279"/>
      <c r="EU443" s="279"/>
      <c r="EV443" s="279"/>
      <c r="EW443" s="279"/>
      <c r="EX443" s="280"/>
      <c r="EY443" s="279"/>
      <c r="EZ443" s="279"/>
      <c r="FA443" s="279"/>
      <c r="FB443" s="279"/>
      <c r="FC443" s="279"/>
      <c r="FD443" s="279"/>
      <c r="FE443" s="279"/>
      <c r="FF443" s="279"/>
      <c r="FG443" s="279"/>
      <c r="FH443" s="279"/>
      <c r="FI443" s="279"/>
      <c r="FJ443" s="280"/>
      <c r="FK443" s="279"/>
      <c r="FL443" s="279"/>
      <c r="FM443" s="279"/>
      <c r="FN443" s="279"/>
      <c r="FO443" s="279"/>
      <c r="FP443" s="279"/>
      <c r="FQ443" s="279"/>
      <c r="FR443" s="279"/>
      <c r="FS443" s="279"/>
      <c r="FT443" s="279"/>
      <c r="FU443" s="279"/>
      <c r="FV443" s="279"/>
      <c r="FW443" s="279"/>
      <c r="FX443" s="279"/>
      <c r="FY443" s="279"/>
      <c r="FZ443" s="279"/>
      <c r="GA443" s="279"/>
      <c r="GB443" s="279"/>
      <c r="GC443" s="279"/>
      <c r="GD443" s="279"/>
      <c r="GE443" s="279"/>
      <c r="GF443" s="279"/>
      <c r="GG443" s="279"/>
      <c r="GH443" s="279"/>
      <c r="GI443" s="279"/>
      <c r="GJ443" s="279"/>
      <c r="GK443" s="279"/>
      <c r="GL443" s="279"/>
      <c r="GM443" s="279"/>
      <c r="GN443" s="279"/>
      <c r="GO443" s="279"/>
      <c r="GP443" s="279"/>
      <c r="GQ443" s="279"/>
      <c r="GR443" s="279"/>
      <c r="GS443" s="279"/>
      <c r="GT443" s="279"/>
      <c r="GU443" s="279"/>
      <c r="GV443" s="279"/>
      <c r="GW443" s="279"/>
      <c r="GX443" s="279"/>
      <c r="GY443" s="279"/>
      <c r="GZ443" s="279"/>
      <c r="HA443" s="279"/>
      <c r="HB443" s="279"/>
      <c r="HC443" s="279"/>
      <c r="HD443" s="279"/>
      <c r="HE443" s="279"/>
      <c r="HF443" s="279"/>
      <c r="HG443" s="279"/>
      <c r="HH443" s="279"/>
      <c r="HI443" s="279"/>
      <c r="HJ443" s="279"/>
      <c r="HK443" s="279"/>
      <c r="HL443" s="279"/>
      <c r="HM443" s="279"/>
      <c r="HN443" s="279"/>
      <c r="HO443" s="279"/>
      <c r="HP443" s="279"/>
      <c r="HQ443" s="279"/>
      <c r="HR443" s="279"/>
      <c r="HS443" s="279"/>
      <c r="HT443" s="279"/>
      <c r="HU443" s="279"/>
      <c r="HV443" s="279"/>
      <c r="HW443" s="279"/>
      <c r="HX443" s="279"/>
      <c r="HY443" s="279"/>
      <c r="HZ443" s="279"/>
      <c r="KT443" s="280"/>
      <c r="KU443" s="279"/>
    </row>
    <row r="444" spans="1:307" outlineLevel="1">
      <c r="A444" s="96" t="s">
        <v>3711</v>
      </c>
      <c r="D444" s="347" t="s">
        <v>3711</v>
      </c>
      <c r="CE444" s="793"/>
      <c r="CP444" s="280"/>
      <c r="DN444" s="1268"/>
      <c r="DO444" s="882"/>
      <c r="DP444" s="882"/>
      <c r="DQ444" s="882"/>
      <c r="DR444" s="882"/>
      <c r="DS444" s="882"/>
      <c r="DT444" s="882"/>
      <c r="DU444" s="882"/>
      <c r="DV444" s="882"/>
      <c r="DW444" s="882"/>
      <c r="DX444" s="882"/>
      <c r="DY444" s="882"/>
      <c r="DZ444" s="1268"/>
      <c r="EA444" s="882"/>
      <c r="EB444" s="882"/>
      <c r="EC444" s="882"/>
      <c r="ED444" s="882"/>
      <c r="EE444" s="279"/>
      <c r="EF444" s="279"/>
      <c r="EG444" s="279"/>
      <c r="EH444" s="279"/>
      <c r="EI444" s="279"/>
      <c r="EJ444" s="279"/>
      <c r="EK444" s="279"/>
      <c r="EL444" s="1268"/>
      <c r="EM444" s="882"/>
      <c r="EN444" s="279"/>
      <c r="EO444" s="279"/>
      <c r="EP444" s="279"/>
      <c r="EQ444" s="279"/>
      <c r="ER444" s="279"/>
      <c r="ES444" s="279"/>
      <c r="ET444" s="279"/>
      <c r="EU444" s="279"/>
      <c r="EV444" s="279"/>
      <c r="EW444" s="279"/>
      <c r="EX444" s="1268"/>
      <c r="EY444" s="279"/>
      <c r="EZ444" s="279"/>
      <c r="FA444" s="279"/>
      <c r="FB444" s="279"/>
      <c r="FC444" s="279"/>
      <c r="FD444" s="279"/>
      <c r="FE444" s="279"/>
      <c r="FF444" s="279"/>
      <c r="FG444" s="279"/>
      <c r="FH444" s="279"/>
      <c r="FI444" s="279"/>
      <c r="FJ444" s="1268"/>
      <c r="FK444" s="279"/>
      <c r="FL444" s="279"/>
      <c r="FM444" s="279"/>
      <c r="FN444" s="279"/>
      <c r="FO444" s="279"/>
      <c r="FP444" s="279"/>
      <c r="FQ444" s="279"/>
      <c r="FR444" s="279"/>
      <c r="FS444" s="279"/>
      <c r="FT444" s="279"/>
      <c r="FU444" s="279"/>
      <c r="FV444" s="279"/>
      <c r="FW444" s="279"/>
      <c r="FX444" s="279"/>
      <c r="FY444" s="279"/>
      <c r="FZ444" s="279"/>
      <c r="GA444" s="279"/>
      <c r="GB444" s="279"/>
      <c r="GC444" s="279"/>
      <c r="GD444" s="279"/>
      <c r="GE444" s="279"/>
      <c r="GF444" s="279"/>
      <c r="GG444" s="279"/>
      <c r="GH444" s="279"/>
      <c r="GI444" s="279"/>
      <c r="GJ444" s="279"/>
      <c r="GK444" s="279"/>
      <c r="GL444" s="279"/>
      <c r="GM444" s="279"/>
      <c r="GN444" s="279"/>
      <c r="GO444" s="279"/>
      <c r="GP444" s="279"/>
      <c r="GQ444" s="279"/>
      <c r="GR444" s="279"/>
      <c r="GS444" s="279"/>
      <c r="GT444" s="279"/>
      <c r="GU444" s="279"/>
      <c r="GV444" s="279"/>
      <c r="GW444" s="279"/>
      <c r="GX444" s="279"/>
      <c r="GY444" s="279"/>
      <c r="GZ444" s="279"/>
      <c r="HA444" s="279"/>
      <c r="HB444" s="279"/>
      <c r="HC444" s="279"/>
      <c r="HD444" s="279"/>
      <c r="HE444" s="279"/>
      <c r="HF444" s="279"/>
      <c r="HG444" s="279"/>
      <c r="HH444" s="279"/>
      <c r="HI444" s="279"/>
      <c r="HJ444" s="279"/>
      <c r="HK444" s="279"/>
      <c r="HL444" s="279"/>
      <c r="HM444" s="279"/>
      <c r="HN444" s="279"/>
      <c r="HO444" s="279"/>
      <c r="HP444" s="279"/>
      <c r="HQ444" s="279"/>
      <c r="HR444" s="279"/>
      <c r="HS444" s="279"/>
      <c r="HT444" s="279"/>
      <c r="HU444" s="279"/>
      <c r="HV444" s="279"/>
      <c r="HW444" s="279"/>
      <c r="HX444" s="279"/>
      <c r="HY444" s="279"/>
      <c r="KT444" s="280"/>
    </row>
    <row r="445" spans="1:307" outlineLevel="1">
      <c r="A445" s="96" t="s">
        <v>3712</v>
      </c>
      <c r="B445" s="96" t="s">
        <v>338</v>
      </c>
      <c r="D445" s="1257" t="s">
        <v>3070</v>
      </c>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c r="BN445" s="293"/>
      <c r="BO445" s="293"/>
      <c r="BP445" s="293"/>
      <c r="BQ445" s="293"/>
      <c r="BR445" s="293"/>
      <c r="BS445" s="293"/>
      <c r="BT445" s="293"/>
      <c r="BU445" s="293"/>
      <c r="BV445" s="293"/>
      <c r="BW445" s="293"/>
      <c r="BX445" s="293"/>
      <c r="BY445" s="293"/>
      <c r="BZ445" s="293"/>
      <c r="CA445" s="293"/>
      <c r="CB445" s="293"/>
      <c r="CC445" s="293"/>
      <c r="CD445" s="293"/>
      <c r="CE445" s="294"/>
      <c r="CF445" s="293"/>
      <c r="CG445" s="293"/>
      <c r="CH445" s="293"/>
      <c r="CI445" s="293"/>
      <c r="CJ445" s="293"/>
      <c r="CK445" s="293"/>
      <c r="CL445" s="293"/>
      <c r="CM445" s="293"/>
      <c r="CN445" s="293"/>
      <c r="CO445" s="293"/>
      <c r="CP445" s="295"/>
      <c r="CQ445" s="293"/>
      <c r="CR445" s="293"/>
      <c r="CS445" s="293"/>
      <c r="CT445" s="293"/>
      <c r="CU445" s="293"/>
      <c r="CV445" s="293"/>
      <c r="CW445" s="293"/>
      <c r="CX445" s="293"/>
      <c r="CY445" s="293"/>
      <c r="CZ445" s="293"/>
      <c r="DA445" s="293"/>
      <c r="DB445" s="1288"/>
      <c r="DC445" s="293"/>
      <c r="DD445" s="293"/>
      <c r="DE445" s="293"/>
      <c r="DF445" s="293"/>
      <c r="DG445" s="293"/>
      <c r="DH445" s="293"/>
      <c r="DI445" s="293"/>
      <c r="DJ445" s="293"/>
      <c r="DK445" s="293"/>
      <c r="DL445" s="293"/>
      <c r="DM445" s="293"/>
      <c r="DN445" s="295"/>
      <c r="DO445" s="293"/>
      <c r="DP445" s="293"/>
      <c r="DQ445" s="293"/>
      <c r="DR445" s="293"/>
      <c r="DS445" s="293"/>
      <c r="DT445" s="293"/>
      <c r="DU445" s="293"/>
      <c r="DV445" s="293"/>
      <c r="DW445" s="293"/>
      <c r="DX445" s="293"/>
      <c r="DY445" s="293"/>
      <c r="DZ445" s="295"/>
      <c r="EA445" s="293"/>
      <c r="EB445" s="293"/>
      <c r="EC445" s="293"/>
      <c r="ED445" s="293"/>
      <c r="EE445" s="293"/>
      <c r="EF445" s="293"/>
      <c r="EG445" s="293"/>
      <c r="EH445" s="293"/>
      <c r="EI445" s="293"/>
      <c r="EJ445" s="293"/>
      <c r="EK445" s="293"/>
      <c r="EL445" s="295"/>
      <c r="EM445" s="293"/>
      <c r="EN445" s="293"/>
      <c r="EO445" s="293"/>
      <c r="EP445" s="293"/>
      <c r="EQ445" s="293"/>
      <c r="ER445" s="293"/>
      <c r="ES445" s="293"/>
      <c r="ET445" s="293"/>
      <c r="EU445" s="293"/>
      <c r="EV445" s="293"/>
      <c r="EW445" s="293"/>
      <c r="EX445" s="295"/>
      <c r="EY445" s="293"/>
      <c r="EZ445" s="293"/>
      <c r="FA445" s="293"/>
      <c r="FB445" s="293"/>
      <c r="FC445" s="293"/>
      <c r="FD445" s="293"/>
      <c r="FE445" s="293"/>
      <c r="FF445" s="293"/>
      <c r="FG445" s="293"/>
      <c r="FH445" s="293"/>
      <c r="FI445" s="293"/>
      <c r="FJ445" s="295"/>
      <c r="FK445" s="293"/>
      <c r="FL445" s="293"/>
      <c r="FM445" s="293"/>
      <c r="FN445" s="293"/>
      <c r="FO445" s="293"/>
      <c r="FP445" s="293"/>
      <c r="FQ445" s="293"/>
      <c r="FR445" s="293"/>
      <c r="FS445" s="293"/>
      <c r="FT445" s="293"/>
      <c r="FU445" s="293"/>
      <c r="FV445" s="293"/>
      <c r="FW445" s="293">
        <v>0.89048044356393818</v>
      </c>
      <c r="FX445" s="293">
        <v>0.20816308147334395</v>
      </c>
      <c r="FY445" s="293">
        <v>11.389583278943176</v>
      </c>
      <c r="FZ445" s="293">
        <v>8.1235728114177181</v>
      </c>
      <c r="GA445" s="293">
        <v>7.1449307674685318</v>
      </c>
      <c r="GB445" s="293">
        <v>10.685185615229937</v>
      </c>
      <c r="GC445" s="293">
        <v>5.4374543402998636</v>
      </c>
      <c r="GD445" s="293">
        <v>38.769742272806667</v>
      </c>
      <c r="GE445" s="293">
        <v>9.5125341380442467</v>
      </c>
      <c r="GF445" s="293">
        <v>0</v>
      </c>
      <c r="GG445" s="293">
        <v>1.5575439028245883</v>
      </c>
      <c r="GH445" s="293">
        <v>12.325185310054717</v>
      </c>
      <c r="GI445" s="293">
        <v>0.4897815739456805</v>
      </c>
      <c r="GJ445" s="293">
        <v>0.1144937459528574</v>
      </c>
      <c r="GK445" s="293">
        <v>6.2644924605193237</v>
      </c>
      <c r="GL445" s="293">
        <v>4.4681231422830496</v>
      </c>
      <c r="GM445" s="293">
        <v>3.929850972378361</v>
      </c>
      <c r="GN445" s="293">
        <v>5.8770600369207262</v>
      </c>
      <c r="GO445" s="293">
        <v>4.7946305251666672</v>
      </c>
      <c r="GP445" s="293">
        <v>4.7946305251666672</v>
      </c>
      <c r="GQ445" s="293">
        <v>4.7946305251666672</v>
      </c>
      <c r="GR445" s="293">
        <v>4.7946305251666672</v>
      </c>
      <c r="GS445" s="293">
        <v>4.7946305251666672</v>
      </c>
      <c r="GT445" s="293">
        <v>4.7946305251666672</v>
      </c>
      <c r="GU445" s="293">
        <v>0</v>
      </c>
      <c r="GV445" s="293">
        <v>0</v>
      </c>
      <c r="GW445" s="293">
        <v>19.037579936</v>
      </c>
      <c r="GX445" s="293">
        <v>0</v>
      </c>
      <c r="GY445" s="293">
        <v>0</v>
      </c>
      <c r="GZ445" s="293">
        <v>10.950588294999999</v>
      </c>
      <c r="HA445" s="293">
        <v>0</v>
      </c>
      <c r="HB445" s="293">
        <v>0</v>
      </c>
      <c r="HC445" s="293">
        <v>12.555359264779998</v>
      </c>
      <c r="HD445" s="293">
        <v>0</v>
      </c>
      <c r="HE445" s="293">
        <v>0</v>
      </c>
      <c r="HF445" s="293">
        <v>13.93294442322</v>
      </c>
      <c r="HG445" s="293">
        <v>0</v>
      </c>
      <c r="HH445" s="293">
        <v>0</v>
      </c>
      <c r="HI445" s="293">
        <v>17.116278745999999</v>
      </c>
      <c r="HJ445" s="293">
        <v>0</v>
      </c>
      <c r="HK445" s="293">
        <v>0</v>
      </c>
      <c r="HL445" s="293">
        <v>18.137219097999999</v>
      </c>
      <c r="HM445" s="293">
        <v>0</v>
      </c>
      <c r="HN445" s="293">
        <v>0</v>
      </c>
      <c r="HO445" s="293">
        <v>13.777705594</v>
      </c>
      <c r="HP445" s="293">
        <v>0</v>
      </c>
      <c r="HQ445" s="293">
        <v>2.628099642</v>
      </c>
      <c r="HR445" s="293">
        <v>15.514096610999999</v>
      </c>
      <c r="HS445" s="293">
        <v>0</v>
      </c>
      <c r="HT445" s="293">
        <v>0</v>
      </c>
      <c r="HU445" s="293">
        <v>26.436333701999999</v>
      </c>
      <c r="HV445" s="293">
        <v>0</v>
      </c>
      <c r="HW445" s="293">
        <v>0</v>
      </c>
      <c r="HX445" s="293">
        <v>15.057747719</v>
      </c>
      <c r="HY445" s="293"/>
      <c r="KT445" s="280"/>
    </row>
    <row r="446" spans="1:307" outlineLevel="1">
      <c r="A446" s="96" t="s">
        <v>3712</v>
      </c>
      <c r="B446" s="96" t="s">
        <v>338</v>
      </c>
      <c r="D446" s="1257" t="s">
        <v>3714</v>
      </c>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c r="BN446" s="293"/>
      <c r="BO446" s="293"/>
      <c r="BP446" s="293"/>
      <c r="BQ446" s="293"/>
      <c r="BR446" s="293"/>
      <c r="BS446" s="293"/>
      <c r="BT446" s="293"/>
      <c r="BU446" s="293"/>
      <c r="BV446" s="293"/>
      <c r="BW446" s="293"/>
      <c r="BX446" s="293"/>
      <c r="BY446" s="293"/>
      <c r="BZ446" s="293"/>
      <c r="CA446" s="293"/>
      <c r="CB446" s="293"/>
      <c r="CC446" s="293"/>
      <c r="CD446" s="293"/>
      <c r="CE446" s="294"/>
      <c r="CF446" s="293"/>
      <c r="CG446" s="293"/>
      <c r="CH446" s="293"/>
      <c r="CI446" s="293"/>
      <c r="CJ446" s="293"/>
      <c r="CK446" s="293"/>
      <c r="CL446" s="293"/>
      <c r="CM446" s="293"/>
      <c r="CN446" s="293"/>
      <c r="CO446" s="293"/>
      <c r="CP446" s="295"/>
      <c r="CQ446" s="293"/>
      <c r="CR446" s="293"/>
      <c r="CS446" s="293"/>
      <c r="CT446" s="293"/>
      <c r="CU446" s="293"/>
      <c r="CV446" s="293"/>
      <c r="CW446" s="293"/>
      <c r="CX446" s="293"/>
      <c r="CY446" s="293"/>
      <c r="CZ446" s="293"/>
      <c r="DA446" s="293"/>
      <c r="DB446" s="1288"/>
      <c r="DC446" s="293" t="s">
        <v>1007</v>
      </c>
      <c r="DD446" s="293"/>
      <c r="DE446" s="293"/>
      <c r="DF446" s="293"/>
      <c r="DG446" s="293"/>
      <c r="DH446" s="293"/>
      <c r="DI446" s="293"/>
      <c r="DJ446" s="293"/>
      <c r="DK446" s="293"/>
      <c r="DL446" s="293"/>
      <c r="DM446" s="293"/>
      <c r="DN446" s="295"/>
      <c r="DO446" s="293"/>
      <c r="DP446" s="293"/>
      <c r="DQ446" s="293"/>
      <c r="DR446" s="293"/>
      <c r="DS446" s="293"/>
      <c r="DT446" s="293"/>
      <c r="DU446" s="293"/>
      <c r="DV446" s="293"/>
      <c r="DW446" s="293"/>
      <c r="DX446" s="293"/>
      <c r="DY446" s="293"/>
      <c r="DZ446" s="295"/>
      <c r="EA446" s="293"/>
      <c r="EB446" s="293"/>
      <c r="EC446" s="293"/>
      <c r="ED446" s="293"/>
      <c r="EE446" s="293"/>
      <c r="EF446" s="293"/>
      <c r="EG446" s="293"/>
      <c r="EH446" s="293"/>
      <c r="EI446" s="293"/>
      <c r="EJ446" s="293"/>
      <c r="EK446" s="293"/>
      <c r="EL446" s="295"/>
      <c r="EM446" s="293"/>
      <c r="EN446" s="293"/>
      <c r="EO446" s="293">
        <v>2.1669842020000001</v>
      </c>
      <c r="EP446" s="293"/>
      <c r="EQ446" s="293"/>
      <c r="ER446" s="293">
        <v>2.2170388330000002</v>
      </c>
      <c r="ES446" s="293">
        <v>0</v>
      </c>
      <c r="ET446" s="293">
        <v>0</v>
      </c>
      <c r="EU446" s="293">
        <v>1.9034152189999993</v>
      </c>
      <c r="EV446" s="293">
        <v>0</v>
      </c>
      <c r="EW446" s="293">
        <v>0</v>
      </c>
      <c r="EX446" s="295">
        <v>2.1224270360000013</v>
      </c>
      <c r="EY446" s="293"/>
      <c r="EZ446" s="293"/>
      <c r="FA446" s="293"/>
      <c r="FB446" s="293"/>
      <c r="FC446" s="293"/>
      <c r="FD446" s="293"/>
      <c r="FE446" s="293"/>
      <c r="FF446" s="293"/>
      <c r="FG446" s="293"/>
      <c r="FH446" s="293"/>
      <c r="FI446" s="293"/>
      <c r="FJ446" s="295"/>
      <c r="FK446" s="293"/>
      <c r="FL446" s="293"/>
      <c r="FM446" s="293"/>
      <c r="FN446" s="293"/>
      <c r="FO446" s="293"/>
      <c r="FP446" s="293"/>
      <c r="FQ446" s="293"/>
      <c r="FR446" s="293"/>
      <c r="FS446" s="293"/>
      <c r="FT446" s="293"/>
      <c r="FU446" s="293"/>
      <c r="FV446" s="293"/>
      <c r="FW446" s="293">
        <v>0</v>
      </c>
      <c r="FX446" s="293">
        <v>0</v>
      </c>
      <c r="FY446" s="293">
        <v>0</v>
      </c>
      <c r="FZ446" s="293">
        <v>0</v>
      </c>
      <c r="GA446" s="293">
        <v>0</v>
      </c>
      <c r="GB446" s="293">
        <v>5.0882907560000001</v>
      </c>
      <c r="GC446" s="293">
        <v>0</v>
      </c>
      <c r="GD446" s="293">
        <v>0</v>
      </c>
      <c r="GE446" s="293">
        <v>4.1749723110000003</v>
      </c>
      <c r="GF446" s="293">
        <v>0</v>
      </c>
      <c r="GG446" s="293">
        <v>0</v>
      </c>
      <c r="GH446" s="293">
        <v>7.5733823740000004</v>
      </c>
      <c r="GI446" s="293">
        <v>0</v>
      </c>
      <c r="GJ446" s="293">
        <v>0</v>
      </c>
      <c r="GK446" s="293">
        <v>4.2565631896947203</v>
      </c>
      <c r="GL446" s="293">
        <v>0</v>
      </c>
      <c r="GM446" s="293">
        <v>0</v>
      </c>
      <c r="GN446" s="293">
        <v>7.8374443953052797</v>
      </c>
      <c r="GO446" s="293">
        <v>0</v>
      </c>
      <c r="GP446" s="293">
        <v>0</v>
      </c>
      <c r="GQ446" s="293">
        <v>4.668619745</v>
      </c>
      <c r="GR446" s="293">
        <v>0</v>
      </c>
      <c r="GS446" s="293">
        <v>0</v>
      </c>
      <c r="GT446" s="293">
        <v>6.4630102349999996</v>
      </c>
      <c r="GU446" s="293">
        <v>0</v>
      </c>
      <c r="GV446" s="293">
        <v>0</v>
      </c>
      <c r="GW446" s="293">
        <v>6.9110671999999997</v>
      </c>
      <c r="GX446" s="293">
        <v>0</v>
      </c>
      <c r="GY446" s="293">
        <v>0</v>
      </c>
      <c r="GZ446" s="293">
        <v>6.4017662</v>
      </c>
      <c r="HA446" s="293">
        <v>0</v>
      </c>
      <c r="HB446" s="293">
        <v>0</v>
      </c>
      <c r="HC446" s="293">
        <v>6.6403872000000002</v>
      </c>
      <c r="HD446" s="293">
        <v>0</v>
      </c>
      <c r="HE446" s="293">
        <v>0</v>
      </c>
      <c r="HF446" s="293">
        <v>5.6018812000000002</v>
      </c>
      <c r="HG446" s="293">
        <v>0</v>
      </c>
      <c r="HH446" s="293">
        <v>0</v>
      </c>
      <c r="HI446" s="293">
        <v>6.6362009999999998</v>
      </c>
      <c r="HJ446" s="293">
        <v>0</v>
      </c>
      <c r="HK446" s="293">
        <v>0</v>
      </c>
      <c r="HL446" s="293">
        <v>7.6570984879999999</v>
      </c>
      <c r="HM446" s="293">
        <v>0</v>
      </c>
      <c r="HN446" s="293">
        <v>0</v>
      </c>
      <c r="HO446" s="293">
        <v>7.6120700000000001</v>
      </c>
      <c r="HP446" s="293">
        <v>0</v>
      </c>
      <c r="HQ446" s="293">
        <v>0</v>
      </c>
      <c r="HR446" s="293">
        <v>7.3355617100000003</v>
      </c>
      <c r="HS446" s="293">
        <v>0</v>
      </c>
      <c r="HT446" s="293">
        <v>0</v>
      </c>
      <c r="HU446" s="293">
        <v>7.5563668000000002</v>
      </c>
      <c r="HV446" s="293">
        <v>0</v>
      </c>
      <c r="HW446" s="293">
        <v>0</v>
      </c>
      <c r="HX446" s="293">
        <v>8.1033525970000007</v>
      </c>
      <c r="HY446" s="293"/>
      <c r="KT446" s="280"/>
    </row>
    <row r="447" spans="1:307" outlineLevel="1">
      <c r="CE447" s="793"/>
      <c r="CP447" s="280"/>
      <c r="DN447" s="1268"/>
      <c r="DO447" s="882"/>
      <c r="DP447" s="882"/>
      <c r="DQ447" s="882"/>
      <c r="DR447" s="882"/>
      <c r="DS447" s="882"/>
      <c r="DT447" s="882"/>
      <c r="DU447" s="882"/>
      <c r="DV447" s="882"/>
      <c r="DW447" s="882"/>
      <c r="DX447" s="882"/>
      <c r="DY447" s="882"/>
      <c r="DZ447" s="1268"/>
      <c r="EA447" s="882"/>
      <c r="EB447" s="882"/>
      <c r="EC447" s="882"/>
      <c r="ED447" s="882"/>
      <c r="EE447" s="279"/>
      <c r="EF447" s="279"/>
      <c r="EG447" s="279"/>
      <c r="EH447" s="279"/>
      <c r="EI447" s="279"/>
      <c r="EJ447" s="279"/>
      <c r="EK447" s="279"/>
      <c r="EL447" s="1268"/>
      <c r="EM447" s="882"/>
      <c r="EN447" s="279"/>
      <c r="EO447" s="279"/>
      <c r="EP447" s="279"/>
      <c r="EQ447" s="279"/>
      <c r="ER447" s="279"/>
      <c r="ES447" s="279"/>
      <c r="ET447" s="279"/>
      <c r="EU447" s="279"/>
      <c r="EV447" s="279"/>
      <c r="EW447" s="279"/>
      <c r="EX447" s="1268"/>
      <c r="EY447" s="279"/>
      <c r="EZ447" s="279"/>
      <c r="FA447" s="279"/>
      <c r="FB447" s="279"/>
      <c r="FC447" s="279"/>
      <c r="FD447" s="279"/>
      <c r="FE447" s="279"/>
      <c r="FF447" s="279"/>
      <c r="FG447" s="279"/>
      <c r="FH447" s="279"/>
      <c r="FI447" s="279"/>
      <c r="FJ447" s="1268"/>
      <c r="FK447" s="279"/>
      <c r="FL447" s="279"/>
      <c r="FM447" s="279"/>
      <c r="FN447" s="279"/>
      <c r="FO447" s="279"/>
      <c r="FP447" s="279"/>
      <c r="FQ447" s="279"/>
      <c r="FR447" s="279"/>
      <c r="FS447" s="279"/>
      <c r="FT447" s="279"/>
      <c r="FU447" s="279"/>
      <c r="FV447" s="279"/>
      <c r="FW447" s="279"/>
      <c r="FX447" s="279"/>
      <c r="FY447" s="279"/>
      <c r="FZ447" s="279"/>
      <c r="GA447" s="279"/>
      <c r="GB447" s="279"/>
      <c r="GC447" s="279"/>
      <c r="GD447" s="279"/>
      <c r="GE447" s="279"/>
      <c r="GF447" s="279"/>
      <c r="GG447" s="279"/>
      <c r="GH447" s="279"/>
      <c r="GI447" s="279"/>
      <c r="GJ447" s="279"/>
      <c r="GK447" s="279"/>
      <c r="GL447" s="279"/>
      <c r="GM447" s="279"/>
      <c r="GN447" s="279"/>
      <c r="GO447" s="279"/>
      <c r="GP447" s="279"/>
      <c r="GQ447" s="279"/>
      <c r="GR447" s="279"/>
      <c r="GS447" s="279"/>
      <c r="GT447" s="279"/>
      <c r="GU447" s="279"/>
      <c r="GV447" s="279"/>
      <c r="GW447" s="279"/>
      <c r="GX447" s="279"/>
      <c r="GY447" s="279"/>
      <c r="GZ447" s="279"/>
      <c r="HA447" s="279"/>
      <c r="HB447" s="279"/>
      <c r="HC447" s="279"/>
      <c r="HD447" s="279"/>
      <c r="HE447" s="279"/>
      <c r="HF447" s="279"/>
      <c r="HG447" s="279"/>
      <c r="HH447" s="279"/>
      <c r="HI447" s="279"/>
      <c r="HJ447" s="279"/>
      <c r="HK447" s="279"/>
      <c r="HL447" s="279"/>
      <c r="HM447" s="279"/>
      <c r="HN447" s="279"/>
      <c r="HO447" s="279"/>
      <c r="HP447" s="279"/>
      <c r="HQ447" s="279"/>
      <c r="HR447" s="279"/>
      <c r="HS447" s="279"/>
      <c r="HT447" s="279"/>
      <c r="HU447" s="279"/>
      <c r="HV447" s="279"/>
      <c r="HW447" s="279"/>
      <c r="HX447" s="279"/>
      <c r="HY447" s="279"/>
      <c r="KT447" s="280"/>
    </row>
    <row r="448" spans="1:307" outlineLevel="1">
      <c r="A448" s="291" t="s">
        <v>1041</v>
      </c>
      <c r="CE448" s="793"/>
      <c r="CP448" s="280"/>
      <c r="DN448" s="1268"/>
      <c r="DO448" s="882"/>
      <c r="DP448" s="882"/>
      <c r="DQ448" s="882"/>
      <c r="DR448" s="882"/>
      <c r="DS448" s="882"/>
      <c r="DT448" s="882"/>
      <c r="DU448" s="882"/>
      <c r="DV448" s="882"/>
      <c r="DW448" s="882"/>
      <c r="DX448" s="882"/>
      <c r="DY448" s="882"/>
      <c r="DZ448" s="1268"/>
      <c r="EA448" s="882"/>
      <c r="EB448" s="882"/>
      <c r="EC448" s="882"/>
      <c r="ED448" s="882"/>
      <c r="EE448" s="279"/>
      <c r="EF448" s="279"/>
      <c r="EG448" s="279"/>
      <c r="EH448" s="279"/>
      <c r="EI448" s="279"/>
      <c r="EJ448" s="279"/>
      <c r="EK448" s="279"/>
      <c r="EL448" s="1268"/>
      <c r="EM448" s="882"/>
      <c r="EN448" s="279"/>
      <c r="EO448" s="279"/>
      <c r="EP448" s="279"/>
      <c r="EQ448" s="279"/>
      <c r="ER448" s="279"/>
      <c r="ES448" s="279"/>
      <c r="ET448" s="279"/>
      <c r="EU448" s="279"/>
      <c r="EV448" s="279"/>
      <c r="EW448" s="279"/>
      <c r="EX448" s="1268"/>
      <c r="EY448" s="279"/>
      <c r="EZ448" s="279"/>
      <c r="FA448" s="279"/>
      <c r="FB448" s="279"/>
      <c r="FC448" s="279"/>
      <c r="FD448" s="279"/>
      <c r="FE448" s="279"/>
      <c r="FF448" s="279"/>
      <c r="FG448" s="279"/>
      <c r="FH448" s="279"/>
      <c r="FI448" s="279"/>
      <c r="FJ448" s="1268"/>
      <c r="FK448" s="279"/>
      <c r="FL448" s="279"/>
      <c r="FM448" s="279"/>
      <c r="FN448" s="279"/>
      <c r="FO448" s="279"/>
      <c r="FP448" s="279"/>
      <c r="FQ448" s="279"/>
      <c r="FR448" s="279"/>
      <c r="FS448" s="279"/>
      <c r="FT448" s="279"/>
      <c r="FU448" s="279"/>
      <c r="FV448" s="279"/>
      <c r="FW448" s="279"/>
      <c r="FX448" s="279"/>
      <c r="FY448" s="279"/>
      <c r="FZ448" s="279"/>
      <c r="GA448" s="279"/>
      <c r="GB448" s="279"/>
      <c r="GC448" s="279"/>
      <c r="GD448" s="279"/>
      <c r="GE448" s="279"/>
      <c r="GF448" s="279"/>
      <c r="GG448" s="279"/>
      <c r="GH448" s="279"/>
      <c r="GI448" s="279"/>
      <c r="GJ448" s="279"/>
      <c r="GK448" s="279"/>
      <c r="GL448" s="279"/>
      <c r="GM448" s="279"/>
      <c r="GN448" s="279"/>
      <c r="GO448" s="279"/>
      <c r="GP448" s="279"/>
      <c r="GQ448" s="279"/>
      <c r="GR448" s="279"/>
      <c r="GS448" s="279"/>
      <c r="GT448" s="279"/>
      <c r="GU448" s="279"/>
      <c r="GV448" s="279"/>
      <c r="GW448" s="279"/>
      <c r="GX448" s="279"/>
      <c r="GY448" s="279"/>
      <c r="GZ448" s="279"/>
      <c r="HA448" s="279"/>
      <c r="HB448" s="279"/>
      <c r="HC448" s="279"/>
      <c r="HD448" s="279"/>
      <c r="HE448" s="279"/>
      <c r="HF448" s="279"/>
      <c r="HG448" s="279"/>
      <c r="HH448" s="279"/>
      <c r="HI448" s="279"/>
      <c r="HJ448" s="279"/>
      <c r="HK448" s="279"/>
      <c r="HL448" s="279"/>
      <c r="HM448" s="279"/>
      <c r="HN448" s="279"/>
      <c r="HO448" s="279"/>
      <c r="HP448" s="279"/>
      <c r="HQ448" s="279"/>
      <c r="HR448" s="279"/>
      <c r="HS448" s="279"/>
      <c r="HT448" s="279"/>
      <c r="HU448" s="279"/>
      <c r="HV448" s="279"/>
      <c r="HW448" s="279"/>
      <c r="HX448" s="279"/>
      <c r="HY448" s="279"/>
      <c r="KT448" s="280"/>
    </row>
    <row r="449" spans="1:307" s="650" customFormat="1" outlineLevel="1">
      <c r="A449" s="644" t="s">
        <v>525</v>
      </c>
      <c r="B449" s="644"/>
      <c r="C449" s="644"/>
      <c r="D449" s="1254" t="s">
        <v>526</v>
      </c>
      <c r="E449" s="646"/>
      <c r="F449" s="646"/>
      <c r="G449" s="646"/>
      <c r="H449" s="646"/>
      <c r="I449" s="646"/>
      <c r="J449" s="646"/>
      <c r="K449" s="646"/>
      <c r="L449" s="646"/>
      <c r="M449" s="646"/>
      <c r="N449" s="646"/>
      <c r="O449" s="646"/>
      <c r="P449" s="646"/>
      <c r="Q449" s="646"/>
      <c r="R449" s="646"/>
      <c r="S449" s="646"/>
      <c r="T449" s="646"/>
      <c r="U449" s="646"/>
      <c r="V449" s="646"/>
      <c r="W449" s="646"/>
      <c r="X449" s="646"/>
      <c r="Y449" s="646"/>
      <c r="Z449" s="646"/>
      <c r="AA449" s="646"/>
      <c r="AB449" s="646"/>
      <c r="AC449" s="646"/>
      <c r="AD449" s="646"/>
      <c r="AE449" s="646"/>
      <c r="AF449" s="646"/>
      <c r="AG449" s="646"/>
      <c r="AH449" s="646"/>
      <c r="AI449" s="646"/>
      <c r="AJ449" s="646"/>
      <c r="AK449" s="646"/>
      <c r="AL449" s="646"/>
      <c r="AM449" s="646"/>
      <c r="AN449" s="646"/>
      <c r="AO449" s="646"/>
      <c r="AP449" s="646"/>
      <c r="AQ449" s="646"/>
      <c r="AR449" s="646"/>
      <c r="AS449" s="646"/>
      <c r="AT449" s="646"/>
      <c r="AU449" s="646"/>
      <c r="AV449" s="646"/>
      <c r="AW449" s="646"/>
      <c r="AX449" s="646"/>
      <c r="AY449" s="646"/>
      <c r="AZ449" s="646"/>
      <c r="BA449" s="646"/>
      <c r="BB449" s="646"/>
      <c r="BC449" s="646"/>
      <c r="BD449" s="646"/>
      <c r="BE449" s="646"/>
      <c r="BF449" s="646"/>
      <c r="BG449" s="646"/>
      <c r="BH449" s="646"/>
      <c r="BI449" s="646"/>
      <c r="BJ449" s="646"/>
      <c r="BK449" s="646"/>
      <c r="BL449" s="646"/>
      <c r="BM449" s="646"/>
      <c r="BN449" s="646"/>
      <c r="BO449" s="646"/>
      <c r="BP449" s="646"/>
      <c r="BQ449" s="646"/>
      <c r="BR449" s="646"/>
      <c r="BS449" s="646"/>
      <c r="BT449" s="646"/>
      <c r="BU449" s="646"/>
      <c r="BV449" s="646"/>
      <c r="BW449" s="646"/>
      <c r="BX449" s="646"/>
      <c r="BY449" s="646"/>
      <c r="BZ449" s="646"/>
      <c r="CA449" s="646"/>
      <c r="CB449" s="646"/>
      <c r="CC449" s="646"/>
      <c r="CD449" s="646"/>
      <c r="CE449" s="646">
        <v>71.458612352207666</v>
      </c>
      <c r="CF449" s="646">
        <v>80.614230169444525</v>
      </c>
      <c r="CG449" s="646">
        <v>56.53873985673652</v>
      </c>
      <c r="CH449" s="646">
        <v>112.84926202137515</v>
      </c>
      <c r="CI449" s="646">
        <v>58.41319784896168</v>
      </c>
      <c r="CJ449" s="646">
        <v>58.648621584906493</v>
      </c>
      <c r="CK449" s="646">
        <v>95.979081952908501</v>
      </c>
      <c r="CL449" s="646">
        <v>62.087554476596175</v>
      </c>
      <c r="CM449" s="646">
        <v>59.108390563097089</v>
      </c>
      <c r="CN449" s="646">
        <v>114.98262093264997</v>
      </c>
      <c r="CO449" s="646">
        <v>84.451621389061472</v>
      </c>
      <c r="CP449" s="648">
        <v>47.933403958317456</v>
      </c>
      <c r="CQ449" s="646">
        <v>100.17957960570411</v>
      </c>
      <c r="CR449" s="646">
        <v>76.755145306457905</v>
      </c>
      <c r="CS449" s="646">
        <v>78.99562305287499</v>
      </c>
      <c r="CT449" s="646">
        <v>90.375015269121633</v>
      </c>
      <c r="CU449" s="646">
        <v>74.556325616232883</v>
      </c>
      <c r="CV449" s="646">
        <v>74.798320147405676</v>
      </c>
      <c r="CW449" s="646">
        <v>83.594369939108489</v>
      </c>
      <c r="CX449" s="646">
        <v>55.364763503715224</v>
      </c>
      <c r="CY449" s="646">
        <v>102.5462955264567</v>
      </c>
      <c r="CZ449" s="646">
        <v>137.93081720125494</v>
      </c>
      <c r="DA449" s="646">
        <v>75.620315410053152</v>
      </c>
      <c r="DB449" s="1297">
        <v>36.487652212698229</v>
      </c>
      <c r="DC449" s="646">
        <v>115.07450532287467</v>
      </c>
      <c r="DD449" s="646">
        <v>88.600249235000007</v>
      </c>
      <c r="DE449" s="646">
        <v>75.262546940399986</v>
      </c>
      <c r="DF449" s="646">
        <v>152.2468426775811</v>
      </c>
      <c r="DG449" s="646">
        <v>83.222383627999989</v>
      </c>
      <c r="DH449" s="646">
        <v>76.716107223000009</v>
      </c>
      <c r="DI449" s="646">
        <v>124.87842583198848</v>
      </c>
      <c r="DJ449" s="646">
        <v>78.511082680869407</v>
      </c>
      <c r="DK449" s="646">
        <v>90.745945551081348</v>
      </c>
      <c r="DL449" s="646">
        <v>125.2924094857818</v>
      </c>
      <c r="DM449" s="646">
        <v>74.90322348545844</v>
      </c>
      <c r="DN449" s="648">
        <v>61.502820190708533</v>
      </c>
      <c r="DO449" s="646">
        <v>144.07550871509005</v>
      </c>
      <c r="DP449" s="646">
        <v>113.07770425551797</v>
      </c>
      <c r="DQ449" s="646">
        <v>76.082356122777597</v>
      </c>
      <c r="DR449" s="646">
        <v>156.06651094656246</v>
      </c>
      <c r="DS449" s="646">
        <v>104.26100455498974</v>
      </c>
      <c r="DT449" s="646">
        <v>111.50208148811539</v>
      </c>
      <c r="DU449" s="646">
        <v>132.61847265266206</v>
      </c>
      <c r="DV449" s="646">
        <v>104.58270080807941</v>
      </c>
      <c r="DW449" s="646">
        <v>79.563794331681549</v>
      </c>
      <c r="DX449" s="646">
        <v>153.83782506362562</v>
      </c>
      <c r="DY449" s="646">
        <v>100.9167906141913</v>
      </c>
      <c r="DZ449" s="648">
        <v>46.872684568321155</v>
      </c>
      <c r="EA449" s="646">
        <v>145.30212676947173</v>
      </c>
      <c r="EB449" s="646">
        <v>130.68953977944261</v>
      </c>
      <c r="EC449" s="646">
        <v>141.10338209713646</v>
      </c>
      <c r="ED449" s="646">
        <v>140.02275301199998</v>
      </c>
      <c r="EE449" s="646">
        <v>96.151639869999997</v>
      </c>
      <c r="EF449" s="646">
        <v>90.247179783000007</v>
      </c>
      <c r="EG449" s="646">
        <v>156.25003193032137</v>
      </c>
      <c r="EH449" s="646">
        <v>94.812955786241616</v>
      </c>
      <c r="EI449" s="646">
        <v>124.76817025059032</v>
      </c>
      <c r="EJ449" s="646">
        <v>119.00127803696546</v>
      </c>
      <c r="EK449" s="646">
        <v>120.87081263640491</v>
      </c>
      <c r="EL449" s="648">
        <v>77.702326093316088</v>
      </c>
      <c r="EM449" s="646">
        <v>109.85451754499697</v>
      </c>
      <c r="EN449" s="646">
        <v>125.79905447463875</v>
      </c>
      <c r="EO449" s="646">
        <v>102.91453615671431</v>
      </c>
      <c r="EP449" s="646">
        <v>157.58331419881409</v>
      </c>
      <c r="EQ449" s="646">
        <v>145.96961350311793</v>
      </c>
      <c r="ER449" s="646">
        <v>106.89384576221238</v>
      </c>
      <c r="ES449" s="646">
        <v>135.51409806396794</v>
      </c>
      <c r="ET449" s="646">
        <v>117.00239800372515</v>
      </c>
      <c r="EU449" s="646">
        <v>138.66612055156887</v>
      </c>
      <c r="EV449" s="646">
        <v>276.39451889608108</v>
      </c>
      <c r="EW449" s="646">
        <v>169.57482779654237</v>
      </c>
      <c r="EX449" s="648">
        <v>80.696747638226839</v>
      </c>
      <c r="EY449" s="646">
        <v>135.54473385247792</v>
      </c>
      <c r="EZ449" s="646">
        <v>150.91730850391738</v>
      </c>
      <c r="FA449" s="646">
        <v>150.34048970330511</v>
      </c>
      <c r="FB449" s="646">
        <v>152.86264558400836</v>
      </c>
      <c r="FC449" s="646">
        <v>167.49266295468342</v>
      </c>
      <c r="FD449" s="646">
        <v>153.30630701289576</v>
      </c>
      <c r="FE449" s="646">
        <v>141.90985569054118</v>
      </c>
      <c r="FF449" s="646">
        <v>166.06225588561682</v>
      </c>
      <c r="FG449" s="646">
        <v>169.20589458029306</v>
      </c>
      <c r="FH449" s="646">
        <v>147.73294296268554</v>
      </c>
      <c r="FI449" s="646">
        <v>252.83473571944506</v>
      </c>
      <c r="FJ449" s="648">
        <v>112.92171774518997</v>
      </c>
      <c r="FK449" s="646">
        <f t="shared" ref="FK449:FP449" si="255">FK450+FK451+FK452+FK453+FK456+FK459+FK468+FK469</f>
        <v>219.1918465372174</v>
      </c>
      <c r="FL449" s="646">
        <f t="shared" si="255"/>
        <v>155.82205387646056</v>
      </c>
      <c r="FM449" s="646">
        <f t="shared" si="255"/>
        <v>167.81463236436889</v>
      </c>
      <c r="FN449" s="646">
        <f t="shared" si="255"/>
        <v>142.24071716064336</v>
      </c>
      <c r="FO449" s="646">
        <f t="shared" si="255"/>
        <v>198.30870370624206</v>
      </c>
      <c r="FP449" s="646">
        <f t="shared" si="255"/>
        <v>160.83325130389358</v>
      </c>
      <c r="FQ449" s="646">
        <v>119.74511789993736</v>
      </c>
      <c r="FR449" s="646">
        <v>161.14429667342094</v>
      </c>
      <c r="FS449" s="646">
        <v>182.70007181548141</v>
      </c>
      <c r="FT449" s="646">
        <v>170.5411933862847</v>
      </c>
      <c r="FU449" s="646">
        <v>289.50421094387059</v>
      </c>
      <c r="FV449" s="646">
        <v>121.51134231148433</v>
      </c>
      <c r="FW449" s="646">
        <v>151.80794224983575</v>
      </c>
      <c r="FX449" s="646">
        <v>182.72433729046381</v>
      </c>
      <c r="FY449" s="646">
        <v>288.38844737599351</v>
      </c>
      <c r="FZ449" s="646">
        <v>177.82332819536788</v>
      </c>
      <c r="GA449" s="646">
        <v>179.01943237914801</v>
      </c>
      <c r="GB449" s="646">
        <v>164.6325557816927</v>
      </c>
      <c r="GC449" s="646">
        <v>197.80811904856702</v>
      </c>
      <c r="GD449" s="646">
        <v>250.93833467570244</v>
      </c>
      <c r="GE449" s="646">
        <v>208.77223398815104</v>
      </c>
      <c r="GF449" s="646">
        <v>230.91735339860341</v>
      </c>
      <c r="GG449" s="646">
        <v>262.55063902730666</v>
      </c>
      <c r="GH449" s="646">
        <v>172.5182399804556</v>
      </c>
      <c r="GI449" s="646">
        <f t="shared" ref="GI449:GT449" si="256">GI450+GI451+GI453+GI456+GI459+GI468+GI469</f>
        <v>257.5454968214832</v>
      </c>
      <c r="GJ449" s="646">
        <f t="shared" si="256"/>
        <v>281.09502307627758</v>
      </c>
      <c r="GK449" s="646">
        <f t="shared" si="256"/>
        <v>241.58285759185569</v>
      </c>
      <c r="GL449" s="646">
        <f t="shared" si="256"/>
        <v>205.05214757106037</v>
      </c>
      <c r="GM449" s="646">
        <f t="shared" si="256"/>
        <v>216.49314831084266</v>
      </c>
      <c r="GN449" s="646">
        <f t="shared" si="256"/>
        <v>159.05253265239878</v>
      </c>
      <c r="GO449" s="646">
        <f t="shared" si="256"/>
        <v>225.1136218782292</v>
      </c>
      <c r="GP449" s="646">
        <f t="shared" si="256"/>
        <v>212.3992348710471</v>
      </c>
      <c r="GQ449" s="646">
        <f t="shared" si="256"/>
        <v>207.33054668257515</v>
      </c>
      <c r="GR449" s="646">
        <f t="shared" si="256"/>
        <v>304.74168630998582</v>
      </c>
      <c r="GS449" s="646">
        <f t="shared" si="256"/>
        <v>380.85325936667687</v>
      </c>
      <c r="GT449" s="646">
        <f t="shared" si="256"/>
        <v>165.43507792166898</v>
      </c>
      <c r="GU449" s="646">
        <v>184.67336250382041</v>
      </c>
      <c r="GV449" s="646">
        <v>277.40657337020019</v>
      </c>
      <c r="GW449" s="646">
        <v>265.32312881129747</v>
      </c>
      <c r="GX449" s="646">
        <v>215.34851151694906</v>
      </c>
      <c r="GY449" s="646">
        <v>246.89019660525443</v>
      </c>
      <c r="GZ449" s="646">
        <v>224.44205997715068</v>
      </c>
      <c r="HA449" s="646">
        <v>260.7184256565896</v>
      </c>
      <c r="HB449" s="646">
        <v>306.47656616645116</v>
      </c>
      <c r="HC449" s="646">
        <v>204.06977351211842</v>
      </c>
      <c r="HD449" s="646">
        <v>268.19963427527472</v>
      </c>
      <c r="HE449" s="646">
        <v>382.08929568552065</v>
      </c>
      <c r="HF449" s="646">
        <v>337.30442969236077</v>
      </c>
      <c r="HG449" s="646"/>
      <c r="HH449" s="646"/>
      <c r="HI449" s="646"/>
      <c r="HJ449" s="646"/>
      <c r="HK449" s="646"/>
      <c r="HL449" s="646"/>
      <c r="HM449" s="646"/>
      <c r="HN449" s="646"/>
      <c r="HO449" s="646"/>
      <c r="HP449" s="646"/>
      <c r="HQ449" s="646"/>
      <c r="HR449" s="646"/>
      <c r="HS449" s="646"/>
      <c r="HT449" s="646"/>
      <c r="HU449" s="646"/>
      <c r="HV449" s="646"/>
      <c r="HW449" s="646"/>
      <c r="HX449" s="646"/>
      <c r="HY449" s="646"/>
      <c r="HZ449" s="649"/>
      <c r="KT449" s="651"/>
      <c r="KU449" s="649"/>
    </row>
    <row r="450" spans="1:307" s="650" customFormat="1" outlineLevel="1">
      <c r="A450" s="644" t="s">
        <v>878</v>
      </c>
      <c r="B450" s="644" t="s">
        <v>338</v>
      </c>
      <c r="C450" s="644"/>
      <c r="D450" s="1257" t="s">
        <v>527</v>
      </c>
      <c r="E450" s="646"/>
      <c r="F450" s="646"/>
      <c r="G450" s="646"/>
      <c r="H450" s="646"/>
      <c r="I450" s="646"/>
      <c r="J450" s="646"/>
      <c r="K450" s="646"/>
      <c r="L450" s="646"/>
      <c r="M450" s="646"/>
      <c r="N450" s="646"/>
      <c r="O450" s="646"/>
      <c r="P450" s="646"/>
      <c r="Q450" s="646"/>
      <c r="R450" s="646"/>
      <c r="S450" s="646"/>
      <c r="T450" s="646"/>
      <c r="U450" s="646"/>
      <c r="V450" s="646"/>
      <c r="W450" s="646"/>
      <c r="X450" s="646"/>
      <c r="Y450" s="646"/>
      <c r="Z450" s="646"/>
      <c r="AA450" s="646"/>
      <c r="AB450" s="646"/>
      <c r="AC450" s="646"/>
      <c r="AD450" s="646"/>
      <c r="AE450" s="646"/>
      <c r="AF450" s="646"/>
      <c r="AG450" s="646"/>
      <c r="AH450" s="646"/>
      <c r="AI450" s="646"/>
      <c r="AJ450" s="646"/>
      <c r="AK450" s="646"/>
      <c r="AL450" s="646"/>
      <c r="AM450" s="646"/>
      <c r="AN450" s="646"/>
      <c r="AO450" s="646"/>
      <c r="AP450" s="646"/>
      <c r="AQ450" s="646"/>
      <c r="AR450" s="646"/>
      <c r="AS450" s="646"/>
      <c r="AT450" s="646"/>
      <c r="AU450" s="646"/>
      <c r="AV450" s="646"/>
      <c r="AW450" s="646"/>
      <c r="AX450" s="646"/>
      <c r="AY450" s="646"/>
      <c r="AZ450" s="646"/>
      <c r="BA450" s="646"/>
      <c r="BB450" s="646"/>
      <c r="BC450" s="646"/>
      <c r="BD450" s="646"/>
      <c r="BE450" s="646"/>
      <c r="BF450" s="646"/>
      <c r="BG450" s="646">
        <v>15.095381744879999</v>
      </c>
      <c r="BH450" s="646">
        <v>20.234721632060001</v>
      </c>
      <c r="BI450" s="646">
        <v>14.452226852000001</v>
      </c>
      <c r="BJ450" s="646">
        <v>23.318940307999998</v>
      </c>
      <c r="BK450" s="646">
        <v>14.50986174</v>
      </c>
      <c r="BL450" s="646">
        <v>13.045122568</v>
      </c>
      <c r="BM450" s="646">
        <v>21.147525022</v>
      </c>
      <c r="BN450" s="646">
        <v>14.770075467</v>
      </c>
      <c r="BO450" s="646">
        <v>15.294659724000001</v>
      </c>
      <c r="BP450" s="646">
        <v>27.17590221307</v>
      </c>
      <c r="BQ450" s="646">
        <v>20.518297496999999</v>
      </c>
      <c r="BR450" s="646">
        <v>14.395791967999999</v>
      </c>
      <c r="BS450" s="646">
        <v>21.803452902</v>
      </c>
      <c r="BT450" s="646">
        <v>23.410404086</v>
      </c>
      <c r="BU450" s="646">
        <v>15.341779162</v>
      </c>
      <c r="BV450" s="646">
        <v>30.313546311</v>
      </c>
      <c r="BW450" s="646">
        <v>18.581134969000001</v>
      </c>
      <c r="BX450" s="646">
        <v>17.695401184000001</v>
      </c>
      <c r="BY450" s="646">
        <v>22.579168789000001</v>
      </c>
      <c r="BZ450" s="646">
        <v>22.708549825999999</v>
      </c>
      <c r="CA450" s="646">
        <v>19.934396320000001</v>
      </c>
      <c r="CB450" s="646">
        <v>28.639394724999999</v>
      </c>
      <c r="CC450" s="646">
        <v>20.336807159999999</v>
      </c>
      <c r="CD450" s="646">
        <v>17.158938525</v>
      </c>
      <c r="CE450" s="647">
        <v>12.084946429</v>
      </c>
      <c r="CF450" s="646">
        <v>16.641337970999999</v>
      </c>
      <c r="CG450" s="646">
        <v>11.535242481999999</v>
      </c>
      <c r="CH450" s="646">
        <v>13.446777431999999</v>
      </c>
      <c r="CI450" s="646">
        <v>11.549069116</v>
      </c>
      <c r="CJ450" s="646">
        <v>21.617347962</v>
      </c>
      <c r="CK450" s="646">
        <v>18.68057962</v>
      </c>
      <c r="CL450" s="646">
        <v>12.042587356</v>
      </c>
      <c r="CM450" s="646">
        <v>11.203913953000001</v>
      </c>
      <c r="CN450" s="646">
        <v>20.462549265</v>
      </c>
      <c r="CO450" s="646">
        <v>14.246940855</v>
      </c>
      <c r="CP450" s="648">
        <v>13.797846104</v>
      </c>
      <c r="CQ450" s="646">
        <v>22.125224177</v>
      </c>
      <c r="CR450" s="646">
        <v>11.680938012999999</v>
      </c>
      <c r="CS450" s="646">
        <v>10.632267025000001</v>
      </c>
      <c r="CT450" s="646">
        <v>14.917411334000001</v>
      </c>
      <c r="CU450" s="646">
        <v>17.665506487000002</v>
      </c>
      <c r="CV450" s="646">
        <v>16.019195677999999</v>
      </c>
      <c r="CW450" s="646">
        <v>14.803298207000001</v>
      </c>
      <c r="CX450" s="646">
        <v>10.862487550000001</v>
      </c>
      <c r="CY450" s="646">
        <v>13.994371896000001</v>
      </c>
      <c r="CZ450" s="646">
        <v>29.684601096999998</v>
      </c>
      <c r="DA450" s="646">
        <v>12.741810667999999</v>
      </c>
      <c r="DB450" s="1297">
        <v>12.381021744</v>
      </c>
      <c r="DC450" s="646">
        <v>21.025343853999999</v>
      </c>
      <c r="DD450" s="646">
        <v>17.064450883999999</v>
      </c>
      <c r="DE450" s="646">
        <v>12.503224723000001</v>
      </c>
      <c r="DF450" s="646">
        <v>26.648569129999998</v>
      </c>
      <c r="DG450" s="646">
        <v>12.589854769</v>
      </c>
      <c r="DH450" s="646">
        <v>12.981874009</v>
      </c>
      <c r="DI450" s="646">
        <v>24.570269512000003</v>
      </c>
      <c r="DJ450" s="646">
        <v>14.147599534999999</v>
      </c>
      <c r="DK450" s="646">
        <v>17.980855743999999</v>
      </c>
      <c r="DL450" s="646">
        <v>25.03187844</v>
      </c>
      <c r="DM450" s="646">
        <v>14.284373578</v>
      </c>
      <c r="DN450" s="648">
        <v>15.932570696999999</v>
      </c>
      <c r="DO450" s="646">
        <v>29.167450424999998</v>
      </c>
      <c r="DP450" s="646">
        <v>19.129080138999999</v>
      </c>
      <c r="DQ450" s="646">
        <v>14.161995213999999</v>
      </c>
      <c r="DR450" s="646">
        <v>24.304254657000001</v>
      </c>
      <c r="DS450" s="646">
        <v>22.521776881000001</v>
      </c>
      <c r="DT450" s="646">
        <v>28.084439060000001</v>
      </c>
      <c r="DU450" s="646">
        <v>17.621245055999999</v>
      </c>
      <c r="DV450" s="646">
        <v>14.694104893</v>
      </c>
      <c r="DW450" s="646">
        <v>15.788266745</v>
      </c>
      <c r="DX450" s="646">
        <v>18.858721238000001</v>
      </c>
      <c r="DY450" s="646">
        <v>20.154612772</v>
      </c>
      <c r="DZ450" s="648">
        <v>12.514045055</v>
      </c>
      <c r="EA450" s="646">
        <v>19.792766867000001</v>
      </c>
      <c r="EB450" s="646">
        <v>29.107965469</v>
      </c>
      <c r="EC450" s="646">
        <v>17.851015699000001</v>
      </c>
      <c r="ED450" s="646">
        <v>25.050136369999997</v>
      </c>
      <c r="EE450" s="646">
        <v>16.03047767</v>
      </c>
      <c r="EF450" s="646">
        <v>17.075456347999999</v>
      </c>
      <c r="EG450" s="646">
        <v>29.697801458000001</v>
      </c>
      <c r="EH450" s="646">
        <v>17.353562953000001</v>
      </c>
      <c r="EI450" s="646">
        <v>19.302877180999999</v>
      </c>
      <c r="EJ450" s="646">
        <v>16.074630841000001</v>
      </c>
      <c r="EK450" s="646">
        <v>17.364053209000001</v>
      </c>
      <c r="EL450" s="648">
        <v>27.018982661999999</v>
      </c>
      <c r="EM450" s="646">
        <v>22.357965588999999</v>
      </c>
      <c r="EN450" s="646">
        <v>16.751667105999999</v>
      </c>
      <c r="EO450" s="646">
        <v>21.494867534000001</v>
      </c>
      <c r="EP450" s="646">
        <v>19.897867833999999</v>
      </c>
      <c r="EQ450" s="646">
        <v>20.456608388999999</v>
      </c>
      <c r="ER450" s="646">
        <v>19.093174125000001</v>
      </c>
      <c r="ES450" s="646">
        <v>18.326633822000002</v>
      </c>
      <c r="ET450" s="646">
        <v>16.340402107999999</v>
      </c>
      <c r="EU450" s="646">
        <v>19.299630279999999</v>
      </c>
      <c r="EV450" s="646">
        <v>30.557929358999999</v>
      </c>
      <c r="EW450" s="646">
        <v>18.860687762000001</v>
      </c>
      <c r="EX450" s="648">
        <v>18.451488112</v>
      </c>
      <c r="EY450" s="646">
        <v>24.239414982</v>
      </c>
      <c r="EZ450" s="646">
        <v>22.120656127</v>
      </c>
      <c r="FA450" s="646">
        <v>24.752837227000001</v>
      </c>
      <c r="FB450" s="646">
        <v>21.791038657000001</v>
      </c>
      <c r="FC450" s="646">
        <v>20.659359716000001</v>
      </c>
      <c r="FD450" s="646">
        <v>20.369496972</v>
      </c>
      <c r="FE450" s="646">
        <v>23.644461118999999</v>
      </c>
      <c r="FF450" s="646">
        <v>23.365711551</v>
      </c>
      <c r="FG450" s="646">
        <v>23.756543451999999</v>
      </c>
      <c r="FH450" s="646">
        <v>21.769161843999999</v>
      </c>
      <c r="FI450" s="646">
        <v>20.625322347000001</v>
      </c>
      <c r="FJ450" s="648">
        <v>19.233060912999999</v>
      </c>
      <c r="FK450" s="646">
        <v>29.570546665999998</v>
      </c>
      <c r="FL450" s="646">
        <v>22.137874499999999</v>
      </c>
      <c r="FM450" s="646">
        <v>27.730051836000001</v>
      </c>
      <c r="FN450" s="646">
        <v>21.882148518000001</v>
      </c>
      <c r="FO450" s="646">
        <v>23.733691864000001</v>
      </c>
      <c r="FP450" s="646">
        <v>24.722198594999998</v>
      </c>
      <c r="FQ450" s="646">
        <v>24.172258857999999</v>
      </c>
      <c r="FR450" s="646">
        <v>23.306203089</v>
      </c>
      <c r="FS450" s="646">
        <v>27.001394251000001</v>
      </c>
      <c r="FT450" s="646">
        <v>27.925303683999999</v>
      </c>
      <c r="FU450" s="646">
        <v>22.811686567999999</v>
      </c>
      <c r="FV450" s="646">
        <v>27.270000856999999</v>
      </c>
      <c r="FW450" s="646">
        <v>27.985889607000001</v>
      </c>
      <c r="FX450" s="646">
        <v>25.470386143999999</v>
      </c>
      <c r="FY450" s="646">
        <v>27.882268113999999</v>
      </c>
      <c r="FZ450" s="646">
        <v>23.928393582000002</v>
      </c>
      <c r="GA450" s="646">
        <v>23.051851422999999</v>
      </c>
      <c r="GB450" s="646">
        <v>27.792378003</v>
      </c>
      <c r="GC450" s="646">
        <v>27.425837423000001</v>
      </c>
      <c r="GD450" s="646">
        <v>23.265284333</v>
      </c>
      <c r="GE450" s="646">
        <v>31.804743653999999</v>
      </c>
      <c r="GF450" s="646">
        <v>28.850202827</v>
      </c>
      <c r="GG450" s="646">
        <v>24.292558516</v>
      </c>
      <c r="GH450" s="646">
        <v>25.983635314000001</v>
      </c>
      <c r="GI450" s="646">
        <v>30.113241413643486</v>
      </c>
      <c r="GJ450" s="646">
        <v>35.679176520696799</v>
      </c>
      <c r="GK450" s="646">
        <v>31.007582065659722</v>
      </c>
      <c r="GL450" s="646">
        <v>28.178557720533593</v>
      </c>
      <c r="GM450" s="646">
        <v>27.095698616651859</v>
      </c>
      <c r="GN450" s="646">
        <v>31.791908731814541</v>
      </c>
      <c r="GO450" s="646">
        <v>29.058697854856561</v>
      </c>
      <c r="GP450" s="646">
        <v>26.849872090047256</v>
      </c>
      <c r="GQ450" s="646">
        <v>29.84603631209621</v>
      </c>
      <c r="GR450" s="646">
        <v>32.732846604310609</v>
      </c>
      <c r="GS450" s="646">
        <v>31.472732499674731</v>
      </c>
      <c r="GT450" s="646">
        <v>33.887481956014653</v>
      </c>
      <c r="GU450" s="646">
        <v>33.482240844000003</v>
      </c>
      <c r="GV450" s="646">
        <v>39.155358345000003</v>
      </c>
      <c r="GW450" s="646">
        <v>32.590146595999997</v>
      </c>
      <c r="GX450" s="646">
        <v>45.176959107999998</v>
      </c>
      <c r="GY450" s="646">
        <v>41.296475426999997</v>
      </c>
      <c r="GZ450" s="646">
        <v>41.820793868999999</v>
      </c>
      <c r="HA450" s="646">
        <v>37.895347049999998</v>
      </c>
      <c r="HB450" s="646">
        <v>32.708509130000003</v>
      </c>
      <c r="HC450" s="646">
        <v>36.492180198</v>
      </c>
      <c r="HD450" s="646">
        <v>40.309171553999995</v>
      </c>
      <c r="HE450" s="646">
        <v>42.03648329</v>
      </c>
      <c r="HF450" s="646">
        <v>44.443864097999999</v>
      </c>
      <c r="HG450" s="646">
        <v>43.698971552000003</v>
      </c>
      <c r="HH450" s="646">
        <v>57.223333187999998</v>
      </c>
      <c r="HI450" s="646">
        <v>36.875991384999999</v>
      </c>
      <c r="HJ450" s="646">
        <v>51.656112299999997</v>
      </c>
      <c r="HK450" s="646">
        <v>45.934828422999999</v>
      </c>
      <c r="HL450" s="646">
        <v>39.459263438000001</v>
      </c>
      <c r="HM450" s="646">
        <v>38.586309180000001</v>
      </c>
      <c r="HN450" s="646">
        <v>42.951695487000002</v>
      </c>
      <c r="HO450" s="646">
        <v>65.456874618000001</v>
      </c>
      <c r="HP450" s="646">
        <v>54.994141072999994</v>
      </c>
      <c r="HQ450" s="646">
        <v>46.646522693999998</v>
      </c>
      <c r="HR450" s="646">
        <v>45.587068742</v>
      </c>
      <c r="HS450" s="646">
        <v>51.942461476000005</v>
      </c>
      <c r="HT450" s="646">
        <v>50.838722492000002</v>
      </c>
      <c r="HU450" s="646">
        <v>64.668022708999999</v>
      </c>
      <c r="HV450" s="646">
        <v>41.701337670000001</v>
      </c>
      <c r="HW450" s="646">
        <v>40.682543291999998</v>
      </c>
      <c r="HX450" s="646">
        <v>86.183681393000001</v>
      </c>
      <c r="HY450" s="646"/>
      <c r="HZ450" s="649"/>
      <c r="KT450" s="651"/>
      <c r="KU450" s="649"/>
    </row>
    <row r="451" spans="1:307" s="650" customFormat="1" outlineLevel="1">
      <c r="A451" s="644" t="s">
        <v>878</v>
      </c>
      <c r="B451" s="644" t="s">
        <v>338</v>
      </c>
      <c r="C451" s="644"/>
      <c r="D451" s="1257" t="s">
        <v>528</v>
      </c>
      <c r="E451" s="646"/>
      <c r="F451" s="646"/>
      <c r="G451" s="646"/>
      <c r="H451" s="646"/>
      <c r="I451" s="646"/>
      <c r="J451" s="646"/>
      <c r="K451" s="646"/>
      <c r="L451" s="646"/>
      <c r="M451" s="646"/>
      <c r="N451" s="646"/>
      <c r="O451" s="646"/>
      <c r="P451" s="646"/>
      <c r="Q451" s="646"/>
      <c r="R451" s="646"/>
      <c r="S451" s="646"/>
      <c r="T451" s="646"/>
      <c r="U451" s="646"/>
      <c r="V451" s="646"/>
      <c r="W451" s="646"/>
      <c r="X451" s="646"/>
      <c r="Y451" s="646"/>
      <c r="Z451" s="646"/>
      <c r="AA451" s="646"/>
      <c r="AB451" s="646"/>
      <c r="AC451" s="646"/>
      <c r="AD451" s="646"/>
      <c r="AE451" s="646"/>
      <c r="AF451" s="646"/>
      <c r="AG451" s="646"/>
      <c r="AH451" s="646"/>
      <c r="AI451" s="646"/>
      <c r="AJ451" s="646"/>
      <c r="AK451" s="646"/>
      <c r="AL451" s="646"/>
      <c r="AM451" s="646"/>
      <c r="AN451" s="646"/>
      <c r="AO451" s="646"/>
      <c r="AP451" s="646"/>
      <c r="AQ451" s="646"/>
      <c r="AR451" s="646"/>
      <c r="AS451" s="646"/>
      <c r="AT451" s="646"/>
      <c r="AU451" s="646"/>
      <c r="AV451" s="646"/>
      <c r="AW451" s="646"/>
      <c r="AX451" s="646"/>
      <c r="AY451" s="646"/>
      <c r="AZ451" s="646"/>
      <c r="BA451" s="646"/>
      <c r="BB451" s="646"/>
      <c r="BC451" s="646"/>
      <c r="BD451" s="646"/>
      <c r="BE451" s="646"/>
      <c r="BF451" s="646"/>
      <c r="BG451" s="646">
        <v>20.688596970159999</v>
      </c>
      <c r="BH451" s="646">
        <v>40.874441569289999</v>
      </c>
      <c r="BI451" s="646">
        <v>20.520046135729999</v>
      </c>
      <c r="BJ451" s="646">
        <v>37.145521713000001</v>
      </c>
      <c r="BK451" s="646">
        <v>26.691796255</v>
      </c>
      <c r="BL451" s="646">
        <v>15.134125903999999</v>
      </c>
      <c r="BM451" s="646">
        <v>30.254810819999999</v>
      </c>
      <c r="BN451" s="646">
        <v>23.314049823000001</v>
      </c>
      <c r="BO451" s="646">
        <v>20.342163519269999</v>
      </c>
      <c r="BP451" s="646">
        <v>34.491371984129998</v>
      </c>
      <c r="BQ451" s="646">
        <v>36.223673911790002</v>
      </c>
      <c r="BR451" s="646">
        <v>8.2638545402499997</v>
      </c>
      <c r="BS451" s="646">
        <v>21.700445538</v>
      </c>
      <c r="BT451" s="646">
        <v>18.251936741130002</v>
      </c>
      <c r="BU451" s="646">
        <v>12.904327297</v>
      </c>
      <c r="BV451" s="646">
        <v>32.799223348159998</v>
      </c>
      <c r="BW451" s="646">
        <v>17.501554906999999</v>
      </c>
      <c r="BX451" s="646">
        <v>10.529887762</v>
      </c>
      <c r="BY451" s="646">
        <v>23.578153191999998</v>
      </c>
      <c r="BZ451" s="646">
        <v>16.604365275299998</v>
      </c>
      <c r="CA451" s="646">
        <v>13.98110791561</v>
      </c>
      <c r="CB451" s="646">
        <v>28.17318181141</v>
      </c>
      <c r="CC451" s="646">
        <v>27.699043616179999</v>
      </c>
      <c r="CD451" s="646">
        <v>10.53953322998</v>
      </c>
      <c r="CE451" s="647">
        <v>15.731054242000001</v>
      </c>
      <c r="CF451" s="646">
        <v>16.405483981</v>
      </c>
      <c r="CG451" s="646">
        <v>21.585533810000001</v>
      </c>
      <c r="CH451" s="646">
        <v>27.350314616999999</v>
      </c>
      <c r="CI451" s="646">
        <v>13.658730389</v>
      </c>
      <c r="CJ451" s="646">
        <v>18.427161891000001</v>
      </c>
      <c r="CK451" s="646">
        <v>39.833826203000001</v>
      </c>
      <c r="CL451" s="646">
        <v>18.251172755999999</v>
      </c>
      <c r="CM451" s="646">
        <v>14.671889995000001</v>
      </c>
      <c r="CN451" s="646">
        <v>50.69286614</v>
      </c>
      <c r="CO451" s="646">
        <v>25.034705138</v>
      </c>
      <c r="CP451" s="648">
        <v>16.970877212000001</v>
      </c>
      <c r="CQ451" s="646">
        <v>20.994125008000001</v>
      </c>
      <c r="CR451" s="646">
        <v>20.283407453999999</v>
      </c>
      <c r="CS451" s="646">
        <v>31.619234175999999</v>
      </c>
      <c r="CT451" s="646">
        <v>19.26378047</v>
      </c>
      <c r="CU451" s="646">
        <v>24.645373439</v>
      </c>
      <c r="CV451" s="646">
        <v>18.372023926000001</v>
      </c>
      <c r="CW451" s="646">
        <v>21.650760910999999</v>
      </c>
      <c r="CX451" s="646">
        <v>15.237479366000001</v>
      </c>
      <c r="CY451" s="646">
        <v>34.053341205000002</v>
      </c>
      <c r="CZ451" s="646">
        <v>26.004351462999999</v>
      </c>
      <c r="DA451" s="646">
        <v>18.784718505000001</v>
      </c>
      <c r="DB451" s="1297">
        <v>6.0589450539999996</v>
      </c>
      <c r="DC451" s="646">
        <v>38.149480719000003</v>
      </c>
      <c r="DD451" s="646">
        <v>23.557425863999999</v>
      </c>
      <c r="DE451" s="646">
        <v>30.633589646000001</v>
      </c>
      <c r="DF451" s="646">
        <v>49.601166610999996</v>
      </c>
      <c r="DG451" s="646">
        <v>20.703508348</v>
      </c>
      <c r="DH451" s="646">
        <v>22.386334601000001</v>
      </c>
      <c r="DI451" s="646">
        <v>42.277166563999998</v>
      </c>
      <c r="DJ451" s="646">
        <v>21.631391396000001</v>
      </c>
      <c r="DK451" s="646">
        <v>23.819228024000001</v>
      </c>
      <c r="DL451" s="646">
        <v>14.698335522000001</v>
      </c>
      <c r="DM451" s="646">
        <v>27.17271002</v>
      </c>
      <c r="DN451" s="648">
        <v>15.134866927999999</v>
      </c>
      <c r="DO451" s="646">
        <v>47.374549019</v>
      </c>
      <c r="DP451" s="646">
        <v>45.593146375000003</v>
      </c>
      <c r="DQ451" s="646">
        <v>28.136756302999999</v>
      </c>
      <c r="DR451" s="646">
        <v>45.042658940000003</v>
      </c>
      <c r="DS451" s="646">
        <v>30.61220647</v>
      </c>
      <c r="DT451" s="646">
        <v>46.316157398999998</v>
      </c>
      <c r="DU451" s="646">
        <v>50.922013946</v>
      </c>
      <c r="DV451" s="646">
        <v>23.300554481999999</v>
      </c>
      <c r="DW451" s="646">
        <v>24.161431893</v>
      </c>
      <c r="DX451" s="646">
        <v>52.569274215999997</v>
      </c>
      <c r="DY451" s="646">
        <v>24.781575438000001</v>
      </c>
      <c r="DZ451" s="648">
        <v>8.3918777309999992</v>
      </c>
      <c r="EA451" s="646">
        <v>69.744524425999998</v>
      </c>
      <c r="EB451" s="646">
        <v>29.526782001000001</v>
      </c>
      <c r="EC451" s="646">
        <v>51.114499516999999</v>
      </c>
      <c r="ED451" s="646">
        <v>48.703344149000003</v>
      </c>
      <c r="EE451" s="646">
        <v>29.01836788</v>
      </c>
      <c r="EF451" s="646">
        <v>31.611046483999999</v>
      </c>
      <c r="EG451" s="646">
        <v>41.164901991000001</v>
      </c>
      <c r="EH451" s="646">
        <v>17.915828225999999</v>
      </c>
      <c r="EI451" s="646">
        <v>33.183104206000003</v>
      </c>
      <c r="EJ451" s="646">
        <v>25.228070025000001</v>
      </c>
      <c r="EK451" s="646">
        <v>43.216112066999997</v>
      </c>
      <c r="EL451" s="648">
        <v>22.027895014999999</v>
      </c>
      <c r="EM451" s="646">
        <v>27.052861472453998</v>
      </c>
      <c r="EN451" s="646">
        <v>56.237058191454004</v>
      </c>
      <c r="EO451" s="646">
        <v>23.925407272453999</v>
      </c>
      <c r="EP451" s="646">
        <v>41.124411655454004</v>
      </c>
      <c r="EQ451" s="646">
        <v>33.319237932454001</v>
      </c>
      <c r="ER451" s="646">
        <v>19.377736530453998</v>
      </c>
      <c r="ES451" s="646">
        <v>36.394684280454001</v>
      </c>
      <c r="ET451" s="646">
        <v>27.574568909453998</v>
      </c>
      <c r="EU451" s="646">
        <v>34.076756706453999</v>
      </c>
      <c r="EV451" s="646">
        <v>110.485519330454</v>
      </c>
      <c r="EW451" s="646">
        <v>54.780842942454001</v>
      </c>
      <c r="EX451" s="648">
        <v>17.718438524454001</v>
      </c>
      <c r="EY451" s="646">
        <v>34.066597782166703</v>
      </c>
      <c r="EZ451" s="646">
        <v>32.383621068166704</v>
      </c>
      <c r="FA451" s="646">
        <v>45.417365403166706</v>
      </c>
      <c r="FB451" s="646">
        <v>27.211199387166602</v>
      </c>
      <c r="FC451" s="646">
        <v>47.7747409241667</v>
      </c>
      <c r="FD451" s="646">
        <v>36.368678084166703</v>
      </c>
      <c r="FE451" s="646">
        <v>53.806526589999997</v>
      </c>
      <c r="FF451" s="646">
        <v>52.605987659</v>
      </c>
      <c r="FG451" s="646">
        <v>69.132440504000002</v>
      </c>
      <c r="FH451" s="646">
        <v>55.429907583999999</v>
      </c>
      <c r="FI451" s="646">
        <v>65.508302673000003</v>
      </c>
      <c r="FJ451" s="648">
        <v>52.641321752000003</v>
      </c>
      <c r="FK451" s="646">
        <v>54.894438030000003</v>
      </c>
      <c r="FL451" s="646">
        <v>54.930171158999997</v>
      </c>
      <c r="FM451" s="646">
        <v>51.826503940000002</v>
      </c>
      <c r="FN451" s="646">
        <v>36.277940762</v>
      </c>
      <c r="FO451" s="646">
        <v>35.521056952000002</v>
      </c>
      <c r="FP451" s="646">
        <v>55.347619846999997</v>
      </c>
      <c r="FQ451" s="646">
        <v>23.825312903</v>
      </c>
      <c r="FR451" s="646">
        <v>28.573352698000001</v>
      </c>
      <c r="FS451" s="646">
        <v>57.081974254000002</v>
      </c>
      <c r="FT451" s="646">
        <v>49.100866228000001</v>
      </c>
      <c r="FU451" s="646">
        <v>127.31638301700001</v>
      </c>
      <c r="FV451" s="646">
        <v>49.280792273000003</v>
      </c>
      <c r="FW451" s="646">
        <v>33.126714421999999</v>
      </c>
      <c r="FX451" s="646">
        <v>33.956093015999997</v>
      </c>
      <c r="FY451" s="646">
        <v>56.031679732000001</v>
      </c>
      <c r="FZ451" s="646">
        <v>67.436981486999997</v>
      </c>
      <c r="GA451" s="646">
        <v>43.402174666999997</v>
      </c>
      <c r="GB451" s="646">
        <v>48.40213387</v>
      </c>
      <c r="GC451" s="646">
        <v>60.231999448000003</v>
      </c>
      <c r="GD451" s="646">
        <v>59.949230440999997</v>
      </c>
      <c r="GE451" s="646">
        <v>65.633617379</v>
      </c>
      <c r="GF451" s="646">
        <v>82.122683185</v>
      </c>
      <c r="GG451" s="646">
        <v>68.668458121000015</v>
      </c>
      <c r="GH451" s="646">
        <v>69.451322118999997</v>
      </c>
      <c r="GI451" s="646">
        <v>86.392535342069294</v>
      </c>
      <c r="GJ451" s="646">
        <v>69.968808116422721</v>
      </c>
      <c r="GK451" s="646">
        <v>70.838656541507945</v>
      </c>
      <c r="GL451" s="646">
        <v>61.869439425874084</v>
      </c>
      <c r="GM451" s="646">
        <v>54.37241176452406</v>
      </c>
      <c r="GN451" s="646">
        <v>40.239489522601893</v>
      </c>
      <c r="GO451" s="646">
        <v>50.573129334638331</v>
      </c>
      <c r="GP451" s="646">
        <v>44.460187846740155</v>
      </c>
      <c r="GQ451" s="646">
        <v>63.04187707262151</v>
      </c>
      <c r="GR451" s="646">
        <v>68.459258315378122</v>
      </c>
      <c r="GS451" s="646">
        <v>108.7472268109677</v>
      </c>
      <c r="GT451" s="646">
        <v>24.236979906654174</v>
      </c>
      <c r="GU451" s="646">
        <v>46.042977123999997</v>
      </c>
      <c r="GV451" s="646">
        <v>42.101963419</v>
      </c>
      <c r="GW451" s="646">
        <v>100.174835649</v>
      </c>
      <c r="GX451" s="646">
        <v>59.234085694000001</v>
      </c>
      <c r="GY451" s="646">
        <v>44.001146071999997</v>
      </c>
      <c r="GZ451" s="646">
        <v>65.571522169999994</v>
      </c>
      <c r="HA451" s="646">
        <v>68.671740002999996</v>
      </c>
      <c r="HB451" s="646">
        <v>69.454597501999999</v>
      </c>
      <c r="HC451" s="646">
        <v>38.842915599000001</v>
      </c>
      <c r="HD451" s="646">
        <v>71.721038477999997</v>
      </c>
      <c r="HE451" s="646">
        <v>120.50202976200001</v>
      </c>
      <c r="HF451" s="646">
        <v>72.381148528000097</v>
      </c>
      <c r="HG451" s="646">
        <v>119.773264248</v>
      </c>
      <c r="HH451" s="646">
        <v>59.918673392000002</v>
      </c>
      <c r="HI451" s="646">
        <v>57.874406163000003</v>
      </c>
      <c r="HJ451" s="646">
        <v>65.121840214000002</v>
      </c>
      <c r="HK451" s="646">
        <v>62.167580938</v>
      </c>
      <c r="HL451" s="646">
        <v>89.430128607</v>
      </c>
      <c r="HM451" s="646">
        <v>77.234186745000002</v>
      </c>
      <c r="HN451" s="646">
        <v>62.490706506999999</v>
      </c>
      <c r="HO451" s="646">
        <v>69.046757434999989</v>
      </c>
      <c r="HP451" s="646">
        <v>58.428867623000002</v>
      </c>
      <c r="HQ451" s="646">
        <v>25.083662969000002</v>
      </c>
      <c r="HR451" s="646">
        <v>57.284128770000002</v>
      </c>
      <c r="HS451" s="646">
        <v>76.920484135999999</v>
      </c>
      <c r="HT451" s="646">
        <v>66.972420485000001</v>
      </c>
      <c r="HU451" s="646">
        <v>64.938608340000002</v>
      </c>
      <c r="HV451" s="646">
        <v>68.391089633999997</v>
      </c>
      <c r="HW451" s="646">
        <v>98.659284611000004</v>
      </c>
      <c r="HX451" s="646">
        <v>49.513932105999984</v>
      </c>
      <c r="HY451" s="646"/>
      <c r="HZ451" s="649"/>
      <c r="KT451" s="651"/>
      <c r="KU451" s="649"/>
    </row>
    <row r="452" spans="1:307" s="650" customFormat="1" outlineLevel="1">
      <c r="A452" s="644" t="s">
        <v>878</v>
      </c>
      <c r="B452" s="644" t="s">
        <v>338</v>
      </c>
      <c r="C452" s="644"/>
      <c r="D452" s="1257" t="s">
        <v>529</v>
      </c>
      <c r="E452" s="646"/>
      <c r="F452" s="646"/>
      <c r="G452" s="646"/>
      <c r="H452" s="646"/>
      <c r="I452" s="646"/>
      <c r="J452" s="646"/>
      <c r="K452" s="646"/>
      <c r="L452" s="646"/>
      <c r="M452" s="646"/>
      <c r="N452" s="646"/>
      <c r="O452" s="646"/>
      <c r="P452" s="646"/>
      <c r="Q452" s="646"/>
      <c r="R452" s="646"/>
      <c r="S452" s="646"/>
      <c r="T452" s="646"/>
      <c r="U452" s="646"/>
      <c r="V452" s="646"/>
      <c r="W452" s="646"/>
      <c r="X452" s="646"/>
      <c r="Y452" s="646"/>
      <c r="Z452" s="646"/>
      <c r="AA452" s="646"/>
      <c r="AB452" s="646"/>
      <c r="AC452" s="646"/>
      <c r="AD452" s="646"/>
      <c r="AE452" s="646"/>
      <c r="AF452" s="646"/>
      <c r="AG452" s="646"/>
      <c r="AH452" s="646"/>
      <c r="AI452" s="646"/>
      <c r="AJ452" s="646"/>
      <c r="AK452" s="646"/>
      <c r="AL452" s="646"/>
      <c r="AM452" s="646"/>
      <c r="AN452" s="646"/>
      <c r="AO452" s="646"/>
      <c r="AP452" s="646"/>
      <c r="AQ452" s="646"/>
      <c r="AR452" s="646"/>
      <c r="AS452" s="646"/>
      <c r="AT452" s="646"/>
      <c r="AU452" s="646"/>
      <c r="AV452" s="646"/>
      <c r="AW452" s="646"/>
      <c r="AX452" s="646"/>
      <c r="AY452" s="646"/>
      <c r="AZ452" s="646"/>
      <c r="BA452" s="646"/>
      <c r="BB452" s="646"/>
      <c r="BC452" s="646"/>
      <c r="BD452" s="646"/>
      <c r="BE452" s="646"/>
      <c r="BF452" s="646"/>
      <c r="BG452" s="646">
        <v>0</v>
      </c>
      <c r="BH452" s="646">
        <v>0</v>
      </c>
      <c r="BI452" s="646">
        <v>0</v>
      </c>
      <c r="BJ452" s="646">
        <v>0</v>
      </c>
      <c r="BK452" s="646">
        <v>0</v>
      </c>
      <c r="BL452" s="646">
        <v>0</v>
      </c>
      <c r="BM452" s="646">
        <v>0</v>
      </c>
      <c r="BN452" s="646">
        <v>0</v>
      </c>
      <c r="BO452" s="646">
        <v>0</v>
      </c>
      <c r="BP452" s="646">
        <v>0</v>
      </c>
      <c r="BQ452" s="646">
        <v>0</v>
      </c>
      <c r="BR452" s="646">
        <v>0</v>
      </c>
      <c r="BS452" s="646">
        <v>0</v>
      </c>
      <c r="BT452" s="646">
        <v>0</v>
      </c>
      <c r="BU452" s="646">
        <v>0</v>
      </c>
      <c r="BV452" s="646">
        <v>0</v>
      </c>
      <c r="BW452" s="646">
        <v>0</v>
      </c>
      <c r="BX452" s="646">
        <v>0</v>
      </c>
      <c r="BY452" s="646">
        <v>0</v>
      </c>
      <c r="BZ452" s="646">
        <v>0</v>
      </c>
      <c r="CA452" s="646">
        <v>0</v>
      </c>
      <c r="CB452" s="646">
        <v>0</v>
      </c>
      <c r="CC452" s="646">
        <v>0</v>
      </c>
      <c r="CD452" s="646">
        <v>0</v>
      </c>
      <c r="CE452" s="647">
        <v>0</v>
      </c>
      <c r="CF452" s="646">
        <v>0</v>
      </c>
      <c r="CG452" s="646">
        <v>0</v>
      </c>
      <c r="CH452" s="646">
        <v>0</v>
      </c>
      <c r="CI452" s="646">
        <v>0</v>
      </c>
      <c r="CJ452" s="646">
        <v>0</v>
      </c>
      <c r="CK452" s="646">
        <v>0</v>
      </c>
      <c r="CL452" s="646">
        <v>0</v>
      </c>
      <c r="CM452" s="646">
        <v>0</v>
      </c>
      <c r="CN452" s="646">
        <v>0</v>
      </c>
      <c r="CO452" s="646">
        <v>0</v>
      </c>
      <c r="CP452" s="648">
        <v>0</v>
      </c>
      <c r="CQ452" s="646">
        <v>0</v>
      </c>
      <c r="CR452" s="646">
        <v>0</v>
      </c>
      <c r="CS452" s="646">
        <v>0</v>
      </c>
      <c r="CT452" s="646">
        <v>0</v>
      </c>
      <c r="CU452" s="646">
        <v>0</v>
      </c>
      <c r="CV452" s="646">
        <v>0</v>
      </c>
      <c r="CW452" s="646">
        <v>0</v>
      </c>
      <c r="CX452" s="646">
        <v>0</v>
      </c>
      <c r="CY452" s="646">
        <v>0</v>
      </c>
      <c r="CZ452" s="646">
        <v>0</v>
      </c>
      <c r="DA452" s="646">
        <v>0</v>
      </c>
      <c r="DB452" s="1297">
        <v>0</v>
      </c>
      <c r="DC452" s="646">
        <v>0</v>
      </c>
      <c r="DD452" s="646">
        <v>0</v>
      </c>
      <c r="DE452" s="646">
        <v>0</v>
      </c>
      <c r="DF452" s="646">
        <v>0</v>
      </c>
      <c r="DG452" s="646">
        <v>0</v>
      </c>
      <c r="DH452" s="646">
        <v>0</v>
      </c>
      <c r="DI452" s="646">
        <v>0</v>
      </c>
      <c r="DJ452" s="646">
        <v>0</v>
      </c>
      <c r="DK452" s="646">
        <v>0</v>
      </c>
      <c r="DL452" s="646">
        <v>0</v>
      </c>
      <c r="DM452" s="646">
        <v>0</v>
      </c>
      <c r="DN452" s="648">
        <v>0</v>
      </c>
      <c r="DO452" s="646">
        <v>0</v>
      </c>
      <c r="DP452" s="646">
        <v>0</v>
      </c>
      <c r="DQ452" s="646">
        <v>0</v>
      </c>
      <c r="DR452" s="646">
        <v>0</v>
      </c>
      <c r="DS452" s="646">
        <v>0</v>
      </c>
      <c r="DT452" s="646">
        <v>0</v>
      </c>
      <c r="DU452" s="646">
        <v>0</v>
      </c>
      <c r="DV452" s="646">
        <v>0</v>
      </c>
      <c r="DW452" s="646">
        <v>0</v>
      </c>
      <c r="DX452" s="646">
        <v>0</v>
      </c>
      <c r="DY452" s="646">
        <v>0</v>
      </c>
      <c r="DZ452" s="648">
        <v>0</v>
      </c>
      <c r="EA452" s="646">
        <v>0</v>
      </c>
      <c r="EB452" s="646">
        <v>0</v>
      </c>
      <c r="EC452" s="646">
        <v>0</v>
      </c>
      <c r="ED452" s="646">
        <v>0</v>
      </c>
      <c r="EE452" s="646">
        <v>0</v>
      </c>
      <c r="EF452" s="646">
        <v>0</v>
      </c>
      <c r="EG452" s="646">
        <v>0</v>
      </c>
      <c r="EH452" s="646">
        <v>0</v>
      </c>
      <c r="EI452" s="646">
        <v>0</v>
      </c>
      <c r="EJ452" s="646">
        <v>0</v>
      </c>
      <c r="EK452" s="646">
        <v>0</v>
      </c>
      <c r="EL452" s="648">
        <v>0</v>
      </c>
      <c r="EM452" s="646">
        <v>0</v>
      </c>
      <c r="EN452" s="646">
        <v>0</v>
      </c>
      <c r="EO452" s="646">
        <v>0</v>
      </c>
      <c r="EP452" s="646">
        <v>0</v>
      </c>
      <c r="EQ452" s="646">
        <v>0</v>
      </c>
      <c r="ER452" s="646">
        <v>0</v>
      </c>
      <c r="ES452" s="646">
        <v>0</v>
      </c>
      <c r="ET452" s="646">
        <v>0</v>
      </c>
      <c r="EU452" s="646">
        <v>0</v>
      </c>
      <c r="EV452" s="646">
        <v>0</v>
      </c>
      <c r="EW452" s="646">
        <v>0</v>
      </c>
      <c r="EX452" s="648">
        <v>0</v>
      </c>
      <c r="EY452" s="646">
        <v>0</v>
      </c>
      <c r="EZ452" s="646">
        <v>0</v>
      </c>
      <c r="FA452" s="646">
        <v>0</v>
      </c>
      <c r="FB452" s="646">
        <v>0</v>
      </c>
      <c r="FC452" s="646">
        <v>0</v>
      </c>
      <c r="FD452" s="646">
        <v>0</v>
      </c>
      <c r="FE452" s="646">
        <v>0</v>
      </c>
      <c r="FF452" s="646">
        <v>0</v>
      </c>
      <c r="FG452" s="646">
        <v>0</v>
      </c>
      <c r="FH452" s="646">
        <v>0</v>
      </c>
      <c r="FI452" s="646">
        <v>0</v>
      </c>
      <c r="FJ452" s="648">
        <v>0</v>
      </c>
      <c r="FK452" s="646">
        <v>0</v>
      </c>
      <c r="FL452" s="646">
        <v>0</v>
      </c>
      <c r="FM452" s="646">
        <v>0</v>
      </c>
      <c r="FN452" s="646">
        <v>0</v>
      </c>
      <c r="FO452" s="646">
        <v>0</v>
      </c>
      <c r="FP452" s="646">
        <v>0</v>
      </c>
      <c r="FQ452" s="646">
        <v>0</v>
      </c>
      <c r="FR452" s="646">
        <v>0</v>
      </c>
      <c r="FS452" s="646">
        <v>0</v>
      </c>
      <c r="FT452" s="646">
        <v>0</v>
      </c>
      <c r="FU452" s="646">
        <v>0</v>
      </c>
      <c r="FV452" s="646">
        <v>0</v>
      </c>
      <c r="FW452" s="646">
        <v>0</v>
      </c>
      <c r="FX452" s="646">
        <v>0</v>
      </c>
      <c r="FY452" s="646">
        <v>0</v>
      </c>
      <c r="FZ452" s="646">
        <v>0</v>
      </c>
      <c r="GA452" s="646">
        <v>0</v>
      </c>
      <c r="GB452" s="646">
        <v>0</v>
      </c>
      <c r="GC452" s="646">
        <v>0</v>
      </c>
      <c r="GD452" s="646">
        <v>0</v>
      </c>
      <c r="GE452" s="646">
        <v>0</v>
      </c>
      <c r="GF452" s="646">
        <v>0</v>
      </c>
      <c r="GG452" s="646">
        <v>0</v>
      </c>
      <c r="GH452" s="646">
        <v>0</v>
      </c>
      <c r="GI452" s="646">
        <v>0</v>
      </c>
      <c r="GJ452" s="646">
        <v>0</v>
      </c>
      <c r="GK452" s="646">
        <v>0</v>
      </c>
      <c r="GL452" s="646">
        <v>0</v>
      </c>
      <c r="GM452" s="646">
        <v>0</v>
      </c>
      <c r="GN452" s="646">
        <v>0</v>
      </c>
      <c r="GO452" s="646">
        <v>0</v>
      </c>
      <c r="GP452" s="646">
        <v>0</v>
      </c>
      <c r="GQ452" s="646">
        <v>0</v>
      </c>
      <c r="GR452" s="646">
        <v>0</v>
      </c>
      <c r="GS452" s="646">
        <v>0</v>
      </c>
      <c r="GT452" s="646">
        <v>0</v>
      </c>
      <c r="GU452" s="646">
        <v>0</v>
      </c>
      <c r="GV452" s="646">
        <v>0</v>
      </c>
      <c r="GW452" s="646">
        <v>0</v>
      </c>
      <c r="GX452" s="646">
        <v>0</v>
      </c>
      <c r="GY452" s="646">
        <v>0</v>
      </c>
      <c r="GZ452" s="646">
        <v>0</v>
      </c>
      <c r="HA452" s="646">
        <v>0</v>
      </c>
      <c r="HB452" s="646">
        <v>0</v>
      </c>
      <c r="HC452" s="646">
        <v>0</v>
      </c>
      <c r="HD452" s="646">
        <v>0</v>
      </c>
      <c r="HE452" s="646">
        <v>0</v>
      </c>
      <c r="HF452" s="646">
        <v>0</v>
      </c>
      <c r="HG452" s="646">
        <v>0</v>
      </c>
      <c r="HH452" s="646">
        <v>0</v>
      </c>
      <c r="HI452" s="646">
        <v>0</v>
      </c>
      <c r="HJ452" s="646">
        <v>0</v>
      </c>
      <c r="HK452" s="646">
        <v>0</v>
      </c>
      <c r="HL452" s="646">
        <v>0</v>
      </c>
      <c r="HM452" s="646"/>
      <c r="HN452" s="646"/>
      <c r="HO452" s="646"/>
      <c r="HP452" s="646"/>
      <c r="HQ452" s="646"/>
      <c r="HR452" s="646"/>
      <c r="HS452" s="646"/>
      <c r="HT452" s="646"/>
      <c r="HU452" s="646"/>
      <c r="HV452" s="646"/>
      <c r="HW452" s="646"/>
      <c r="HX452" s="646"/>
      <c r="HY452" s="646"/>
      <c r="HZ452" s="649"/>
      <c r="KT452" s="651"/>
      <c r="KU452" s="649"/>
    </row>
    <row r="453" spans="1:307" s="650" customFormat="1" outlineLevel="1">
      <c r="A453" s="644" t="s">
        <v>878</v>
      </c>
      <c r="B453" s="644" t="s">
        <v>338</v>
      </c>
      <c r="C453" s="644"/>
      <c r="D453" s="1257" t="s">
        <v>512</v>
      </c>
      <c r="E453" s="646"/>
      <c r="F453" s="646"/>
      <c r="G453" s="646"/>
      <c r="H453" s="646"/>
      <c r="I453" s="646"/>
      <c r="J453" s="646"/>
      <c r="K453" s="646"/>
      <c r="L453" s="646"/>
      <c r="M453" s="646"/>
      <c r="N453" s="646"/>
      <c r="O453" s="646"/>
      <c r="P453" s="646"/>
      <c r="Q453" s="646"/>
      <c r="R453" s="646"/>
      <c r="S453" s="646"/>
      <c r="T453" s="646"/>
      <c r="U453" s="646"/>
      <c r="V453" s="646"/>
      <c r="W453" s="646"/>
      <c r="X453" s="646"/>
      <c r="Y453" s="646"/>
      <c r="Z453" s="646"/>
      <c r="AA453" s="646"/>
      <c r="AB453" s="646"/>
      <c r="AC453" s="646"/>
      <c r="AD453" s="646"/>
      <c r="AE453" s="646"/>
      <c r="AF453" s="646"/>
      <c r="AG453" s="646"/>
      <c r="AH453" s="646"/>
      <c r="AI453" s="646"/>
      <c r="AJ453" s="646"/>
      <c r="AK453" s="646"/>
      <c r="AL453" s="646"/>
      <c r="AM453" s="646"/>
      <c r="AN453" s="646"/>
      <c r="AO453" s="646"/>
      <c r="AP453" s="646"/>
      <c r="AQ453" s="646"/>
      <c r="AR453" s="646"/>
      <c r="AS453" s="646"/>
      <c r="AT453" s="646"/>
      <c r="AU453" s="646"/>
      <c r="AV453" s="646"/>
      <c r="AW453" s="646"/>
      <c r="AX453" s="646"/>
      <c r="AY453" s="646"/>
      <c r="AZ453" s="646"/>
      <c r="BA453" s="646"/>
      <c r="BB453" s="646"/>
      <c r="BC453" s="646"/>
      <c r="BD453" s="646"/>
      <c r="BE453" s="646"/>
      <c r="BF453" s="646"/>
      <c r="BG453" s="646">
        <v>0.64442542420000004</v>
      </c>
      <c r="BH453" s="646">
        <v>0.74000402574000002</v>
      </c>
      <c r="BI453" s="646">
        <v>3.1333673398599999</v>
      </c>
      <c r="BJ453" s="646">
        <v>0.55994236499999994</v>
      </c>
      <c r="BK453" s="646">
        <v>2.0145336340000002</v>
      </c>
      <c r="BL453" s="646">
        <v>1.919866251</v>
      </c>
      <c r="BM453" s="646">
        <v>1.219471161</v>
      </c>
      <c r="BN453" s="646">
        <v>1.4851347100000001</v>
      </c>
      <c r="BO453" s="646">
        <v>2.7905668549999998</v>
      </c>
      <c r="BP453" s="646">
        <v>1.004922359</v>
      </c>
      <c r="BQ453" s="646">
        <v>0.64335790100000001</v>
      </c>
      <c r="BR453" s="646">
        <v>2.353185335</v>
      </c>
      <c r="BS453" s="646">
        <v>0.29478044799999997</v>
      </c>
      <c r="BT453" s="646">
        <v>1.198582636</v>
      </c>
      <c r="BU453" s="646">
        <v>1.159378325</v>
      </c>
      <c r="BV453" s="646">
        <v>2.6299444830000001</v>
      </c>
      <c r="BW453" s="646">
        <v>2.2229761640000003</v>
      </c>
      <c r="BX453" s="646">
        <v>1.3665123440000002</v>
      </c>
      <c r="BY453" s="646">
        <v>2.1331117160000002</v>
      </c>
      <c r="BZ453" s="646">
        <v>1.8207399930000001</v>
      </c>
      <c r="CA453" s="646">
        <v>1.914010945</v>
      </c>
      <c r="CB453" s="646">
        <v>2.5145817840000002</v>
      </c>
      <c r="CC453" s="646">
        <v>8.8502698479999999</v>
      </c>
      <c r="CD453" s="646">
        <v>3.8778661080000001</v>
      </c>
      <c r="CE453" s="647">
        <v>1.609796041207662</v>
      </c>
      <c r="CF453" s="646">
        <v>2.8524102618245348</v>
      </c>
      <c r="CG453" s="646">
        <v>2.7971942746565119</v>
      </c>
      <c r="CH453" s="646">
        <v>10.859034179375151</v>
      </c>
      <c r="CI453" s="646">
        <v>2.3939403119616838</v>
      </c>
      <c r="CJ453" s="646">
        <v>1.6320062209064963</v>
      </c>
      <c r="CK453" s="646">
        <v>1.8258375629085111</v>
      </c>
      <c r="CL453" s="646">
        <v>1.2099095125961763</v>
      </c>
      <c r="CM453" s="646">
        <v>2.958625179097079</v>
      </c>
      <c r="CN453" s="646">
        <v>11.505393079649982</v>
      </c>
      <c r="CO453" s="646">
        <v>1.6941676820614811</v>
      </c>
      <c r="CP453" s="648">
        <v>2.2384904943174666</v>
      </c>
      <c r="CQ453" s="646">
        <v>1.6860845587041022</v>
      </c>
      <c r="CR453" s="646">
        <v>2.4916075424579196</v>
      </c>
      <c r="CS453" s="646">
        <v>2.3814895858749945</v>
      </c>
      <c r="CT453" s="646">
        <v>11.364908252121625</v>
      </c>
      <c r="CU453" s="646">
        <v>2.9515366672328889</v>
      </c>
      <c r="CV453" s="646">
        <v>1.1844693454056754</v>
      </c>
      <c r="CW453" s="646">
        <v>1.2312581831084859</v>
      </c>
      <c r="CX453" s="646">
        <v>3.0364179947152299</v>
      </c>
      <c r="CY453" s="646">
        <v>2.4927100474566961</v>
      </c>
      <c r="CZ453" s="646">
        <v>12.010492029254976</v>
      </c>
      <c r="DA453" s="646">
        <v>3.1357305790531549</v>
      </c>
      <c r="DB453" s="1297">
        <v>1.9055707876982277</v>
      </c>
      <c r="DC453" s="646">
        <v>1.319552671874697</v>
      </c>
      <c r="DD453" s="646">
        <v>5.1373690910000001</v>
      </c>
      <c r="DE453" s="646">
        <v>2.9720018613999999</v>
      </c>
      <c r="DF453" s="646">
        <v>12.247483175581106</v>
      </c>
      <c r="DG453" s="646">
        <v>4.4292552779999994</v>
      </c>
      <c r="DH453" s="646">
        <v>1.487965363</v>
      </c>
      <c r="DI453" s="646">
        <v>2.1749165699884609</v>
      </c>
      <c r="DJ453" s="646">
        <v>5.4458020928694051</v>
      </c>
      <c r="DK453" s="646">
        <v>2.7054398880813491</v>
      </c>
      <c r="DL453" s="646">
        <v>12.417007610781795</v>
      </c>
      <c r="DM453" s="646">
        <v>4.7381492344584499</v>
      </c>
      <c r="DN453" s="648">
        <v>1.7671193954611395</v>
      </c>
      <c r="DO453" s="646">
        <v>1.5624071460900535</v>
      </c>
      <c r="DP453" s="646">
        <v>2.5781712165179771</v>
      </c>
      <c r="DQ453" s="646">
        <v>10.308560738777594</v>
      </c>
      <c r="DR453" s="646">
        <v>12.804770040562477</v>
      </c>
      <c r="DS453" s="646">
        <v>6.9211153639897427</v>
      </c>
      <c r="DT453" s="646">
        <v>2.8734650891153914</v>
      </c>
      <c r="DU453" s="646">
        <v>3.1088051856620535</v>
      </c>
      <c r="DV453" s="646">
        <v>8.2619049010794026</v>
      </c>
      <c r="DW453" s="646">
        <v>3.466102372681549</v>
      </c>
      <c r="DX453" s="646">
        <v>15.094986895292301</v>
      </c>
      <c r="DY453" s="646">
        <v>1.9753938718579782</v>
      </c>
      <c r="DZ453" s="648">
        <v>3.2361918775691323</v>
      </c>
      <c r="EA453" s="646">
        <v>3.5015318324717364</v>
      </c>
      <c r="EB453" s="646">
        <v>9.8382652614426149</v>
      </c>
      <c r="EC453" s="646">
        <v>6.3399289731364812</v>
      </c>
      <c r="ED453" s="646">
        <v>13.964768911</v>
      </c>
      <c r="EE453" s="646">
        <v>8.0898960740000003</v>
      </c>
      <c r="EF453" s="646">
        <v>2.7822407029999998</v>
      </c>
      <c r="EG453" s="646">
        <v>3.3499686910857536</v>
      </c>
      <c r="EH453" s="646">
        <v>11.022596140739683</v>
      </c>
      <c r="EI453" s="646">
        <v>2.3467054732964439</v>
      </c>
      <c r="EJ453" s="646">
        <v>18.03617356978901</v>
      </c>
      <c r="EK453" s="646">
        <v>7.0078950868328036</v>
      </c>
      <c r="EL453" s="648">
        <v>5.2986119352560879</v>
      </c>
      <c r="EM453" s="646">
        <v>3.8486211165429598</v>
      </c>
      <c r="EN453" s="646">
        <v>10.700859893184743</v>
      </c>
      <c r="EO453" s="646">
        <v>4.6521633732603025</v>
      </c>
      <c r="EP453" s="646">
        <v>16.309403906360082</v>
      </c>
      <c r="EQ453" s="646">
        <v>3.6079288626639343</v>
      </c>
      <c r="ER453" s="646">
        <v>11.427364020758388</v>
      </c>
      <c r="ES453" s="646">
        <v>4.599654032513925</v>
      </c>
      <c r="ET453" s="646">
        <v>11.417378753271166</v>
      </c>
      <c r="EU453" s="646">
        <v>6.4693827281148817</v>
      </c>
      <c r="EV453" s="646">
        <v>14.166945028627095</v>
      </c>
      <c r="EW453" s="646">
        <v>12.389836306088334</v>
      </c>
      <c r="EX453" s="648">
        <v>2.9029321177728376</v>
      </c>
      <c r="EY453" s="646">
        <v>4.2582108953112154</v>
      </c>
      <c r="EZ453" s="646">
        <v>15.021419806750689</v>
      </c>
      <c r="FA453" s="646">
        <v>5.9664849941384102</v>
      </c>
      <c r="FB453" s="646">
        <v>19.494149095841749</v>
      </c>
      <c r="FC453" s="646">
        <v>16.49008988651671</v>
      </c>
      <c r="FD453" s="646">
        <v>6.2893872257290457</v>
      </c>
      <c r="FE453" s="646">
        <v>6.7110417965411377</v>
      </c>
      <c r="FF453" s="646">
        <v>15.967883407616835</v>
      </c>
      <c r="FG453" s="646">
        <v>9.0334709392930357</v>
      </c>
      <c r="FH453" s="646">
        <v>21.409498307685546</v>
      </c>
      <c r="FI453" s="646">
        <v>9.427931472445044</v>
      </c>
      <c r="FJ453" s="648">
        <v>9.0492364981899645</v>
      </c>
      <c r="FK453" s="646">
        <v>6.5947894472174173</v>
      </c>
      <c r="FL453" s="646">
        <v>20.565895935460542</v>
      </c>
      <c r="FM453" s="646">
        <v>12.429435277368885</v>
      </c>
      <c r="FN453" s="646">
        <v>16.620546338643344</v>
      </c>
      <c r="FO453" s="646">
        <v>21.72806158524206</v>
      </c>
      <c r="FP453" s="646">
        <v>5.9063976818935888</v>
      </c>
      <c r="FQ453" s="646">
        <v>7.7234116519373588</v>
      </c>
      <c r="FR453" s="646">
        <v>25.884777593420942</v>
      </c>
      <c r="FS453" s="646">
        <v>13.113680258481391</v>
      </c>
      <c r="FT453" s="646">
        <v>18.082788732618027</v>
      </c>
      <c r="FU453" s="646">
        <v>24.841553885203947</v>
      </c>
      <c r="FV453" s="646">
        <v>7.1945375148176671</v>
      </c>
      <c r="FW453" s="646">
        <v>10.295539063835768</v>
      </c>
      <c r="FX453" s="646">
        <v>39.167970075463799</v>
      </c>
      <c r="FY453" s="646">
        <v>11.62923901199345</v>
      </c>
      <c r="FZ453" s="646">
        <v>4.5180598263678782</v>
      </c>
      <c r="GA453" s="646">
        <v>29.225468595148026</v>
      </c>
      <c r="GB453" s="646">
        <v>7.3349480486927394</v>
      </c>
      <c r="GC453" s="646">
        <v>8.8797004205670298</v>
      </c>
      <c r="GD453" s="646">
        <v>51.884085011702439</v>
      </c>
      <c r="GE453" s="646">
        <v>12.065713394151027</v>
      </c>
      <c r="GF453" s="646">
        <v>5.2082692012701033</v>
      </c>
      <c r="GG453" s="646">
        <v>34.678660724973334</v>
      </c>
      <c r="GH453" s="646">
        <v>5.4473070258898044</v>
      </c>
      <c r="GI453" s="646">
        <v>9.9897070448089718</v>
      </c>
      <c r="GJ453" s="646">
        <v>59.010171550458026</v>
      </c>
      <c r="GK453" s="646">
        <v>15.037356993349603</v>
      </c>
      <c r="GL453" s="646">
        <v>4.8984271749860095</v>
      </c>
      <c r="GM453" s="646">
        <v>42.644514433000012</v>
      </c>
      <c r="GN453" s="646">
        <v>5.7326379243156538</v>
      </c>
      <c r="GO453" s="646">
        <v>12.737969542313675</v>
      </c>
      <c r="GP453" s="646">
        <v>65.092827532489011</v>
      </c>
      <c r="GQ453" s="646">
        <v>16.970537585874933</v>
      </c>
      <c r="GR453" s="646">
        <v>9.8890309096020115</v>
      </c>
      <c r="GS453" s="646">
        <v>54.600416828589402</v>
      </c>
      <c r="GT453" s="646">
        <v>6.8992594013140653</v>
      </c>
      <c r="GU453" s="646">
        <v>15.022112417820438</v>
      </c>
      <c r="GV453" s="646">
        <v>70.298226307200196</v>
      </c>
      <c r="GW453" s="646">
        <v>15.436662169297446</v>
      </c>
      <c r="GX453" s="646">
        <v>9.0332611239490976</v>
      </c>
      <c r="GY453" s="646">
        <v>62.140814393254452</v>
      </c>
      <c r="GZ453" s="646">
        <v>20.142187697150661</v>
      </c>
      <c r="HA453" s="646">
        <v>20.40374766858961</v>
      </c>
      <c r="HB453" s="646">
        <v>78.486753669451161</v>
      </c>
      <c r="HC453" s="646">
        <v>16.46431260011844</v>
      </c>
      <c r="HD453" s="646">
        <v>10.767929105274723</v>
      </c>
      <c r="HE453" s="646">
        <v>65.730429704520603</v>
      </c>
      <c r="HF453" s="646">
        <v>33.794247993360699</v>
      </c>
      <c r="HG453" s="646">
        <v>21.728226095021778</v>
      </c>
      <c r="HH453" s="646">
        <v>84.383029453342687</v>
      </c>
      <c r="HI453" s="646">
        <v>17.086074994220311</v>
      </c>
      <c r="HJ453" s="646">
        <v>13.086107658339365</v>
      </c>
      <c r="HK453" s="646">
        <v>69.18838194771098</v>
      </c>
      <c r="HL453" s="646">
        <v>27.168436258459518</v>
      </c>
      <c r="HM453" s="646">
        <v>26.018564269325807</v>
      </c>
      <c r="HN453" s="646">
        <v>93.626243581390128</v>
      </c>
      <c r="HO453" s="646">
        <v>17.647613942943391</v>
      </c>
      <c r="HP453" s="646">
        <v>14.019882314781865</v>
      </c>
      <c r="HQ453" s="646">
        <v>72.038493025417168</v>
      </c>
      <c r="HR453" s="646">
        <v>29.87770895837977</v>
      </c>
      <c r="HS453" s="646">
        <v>23.049195652374827</v>
      </c>
      <c r="HT453" s="646">
        <v>93.054055206315567</v>
      </c>
      <c r="HU453" s="646">
        <v>18.829048783666558</v>
      </c>
      <c r="HV453" s="646">
        <v>17.612073275868418</v>
      </c>
      <c r="HW453" s="646">
        <v>74.36988517829873</v>
      </c>
      <c r="HX453" s="646">
        <v>34.109080422750871</v>
      </c>
      <c r="HY453" s="646"/>
      <c r="HZ453" s="649"/>
      <c r="KT453" s="651"/>
      <c r="KU453" s="649"/>
    </row>
    <row r="454" spans="1:307" s="650" customFormat="1" outlineLevel="1">
      <c r="A454" s="644" t="s">
        <v>878</v>
      </c>
      <c r="B454" s="644" t="s">
        <v>338</v>
      </c>
      <c r="C454" s="644"/>
      <c r="D454" s="1258" t="s">
        <v>530</v>
      </c>
      <c r="E454" s="646"/>
      <c r="F454" s="646"/>
      <c r="G454" s="646"/>
      <c r="H454" s="646"/>
      <c r="I454" s="646"/>
      <c r="J454" s="646"/>
      <c r="K454" s="646"/>
      <c r="L454" s="646"/>
      <c r="M454" s="646"/>
      <c r="N454" s="646"/>
      <c r="O454" s="646"/>
      <c r="P454" s="646"/>
      <c r="Q454" s="646"/>
      <c r="R454" s="646"/>
      <c r="S454" s="646"/>
      <c r="T454" s="646"/>
      <c r="U454" s="646"/>
      <c r="V454" s="646"/>
      <c r="W454" s="646"/>
      <c r="X454" s="646"/>
      <c r="Y454" s="646"/>
      <c r="Z454" s="646"/>
      <c r="AA454" s="646"/>
      <c r="AB454" s="646"/>
      <c r="AC454" s="646"/>
      <c r="AD454" s="646"/>
      <c r="AE454" s="646"/>
      <c r="AF454" s="646"/>
      <c r="AG454" s="646"/>
      <c r="AH454" s="646"/>
      <c r="AI454" s="646"/>
      <c r="AJ454" s="646"/>
      <c r="AK454" s="646"/>
      <c r="AL454" s="646"/>
      <c r="AM454" s="646"/>
      <c r="AN454" s="646"/>
      <c r="AO454" s="646"/>
      <c r="AP454" s="646"/>
      <c r="AQ454" s="646"/>
      <c r="AR454" s="646"/>
      <c r="AS454" s="646"/>
      <c r="AT454" s="646"/>
      <c r="AU454" s="646"/>
      <c r="AV454" s="646"/>
      <c r="AW454" s="646"/>
      <c r="AX454" s="646"/>
      <c r="AY454" s="646"/>
      <c r="AZ454" s="646"/>
      <c r="BA454" s="646"/>
      <c r="BB454" s="646"/>
      <c r="BC454" s="646"/>
      <c r="BD454" s="646"/>
      <c r="BE454" s="646"/>
      <c r="BF454" s="646"/>
      <c r="BG454" s="646">
        <v>0.64442542420000004</v>
      </c>
      <c r="BH454" s="646">
        <v>0.44419389174000001</v>
      </c>
      <c r="BI454" s="646">
        <v>0.98519447386000003</v>
      </c>
      <c r="BJ454" s="646">
        <v>0.29351833300000002</v>
      </c>
      <c r="BK454" s="646">
        <v>0.25040739400000001</v>
      </c>
      <c r="BL454" s="646">
        <v>0.45723261700000001</v>
      </c>
      <c r="BM454" s="646">
        <v>0.399195407</v>
      </c>
      <c r="BN454" s="646">
        <v>0.23484860199999999</v>
      </c>
      <c r="BO454" s="646">
        <v>0.98848117199999996</v>
      </c>
      <c r="BP454" s="646">
        <v>0.53694283300000001</v>
      </c>
      <c r="BQ454" s="646">
        <v>0.34211329600000001</v>
      </c>
      <c r="BR454" s="646">
        <v>0.21152100099999999</v>
      </c>
      <c r="BS454" s="646">
        <v>0.29478044799999997</v>
      </c>
      <c r="BT454" s="646">
        <v>0.26295763599999999</v>
      </c>
      <c r="BU454" s="646">
        <v>1.159378325</v>
      </c>
      <c r="BV454" s="646">
        <v>0.25431436299999999</v>
      </c>
      <c r="BW454" s="646">
        <v>0.35681724500000001</v>
      </c>
      <c r="BX454" s="646">
        <v>0.26304086100000001</v>
      </c>
      <c r="BY454" s="646">
        <v>0.47239882799999999</v>
      </c>
      <c r="BZ454" s="646">
        <v>1.014155605</v>
      </c>
      <c r="CA454" s="646">
        <v>1.276291265</v>
      </c>
      <c r="CB454" s="646">
        <v>0.29127051199999998</v>
      </c>
      <c r="CC454" s="646">
        <v>7.670850798</v>
      </c>
      <c r="CD454" s="646">
        <v>0.242850555</v>
      </c>
      <c r="CE454" s="647">
        <v>0.6969246684296645</v>
      </c>
      <c r="CF454" s="646">
        <v>0.20840830560696241</v>
      </c>
      <c r="CG454" s="646">
        <v>0.97392462447706141</v>
      </c>
      <c r="CH454" s="646">
        <v>9.8554909258991508</v>
      </c>
      <c r="CI454" s="646">
        <v>0.32145879232868413</v>
      </c>
      <c r="CJ454" s="646">
        <v>0.19237510966634239</v>
      </c>
      <c r="CK454" s="646">
        <v>0.71346271088450908</v>
      </c>
      <c r="CL454" s="646">
        <v>0.21600343383900905</v>
      </c>
      <c r="CM454" s="646">
        <v>1.1769884505048114</v>
      </c>
      <c r="CN454" s="646">
        <v>10.349296616037982</v>
      </c>
      <c r="CO454" s="646">
        <v>0.49532113773663172</v>
      </c>
      <c r="CP454" s="648">
        <v>0.33179743428691255</v>
      </c>
      <c r="CQ454" s="646">
        <v>0.79099153748848061</v>
      </c>
      <c r="CR454" s="646">
        <v>0.11403729645791975</v>
      </c>
      <c r="CS454" s="646">
        <v>1.4733748898749943</v>
      </c>
      <c r="CT454" s="646">
        <v>10.366451704121625</v>
      </c>
      <c r="CU454" s="646">
        <v>0.50758294923288882</v>
      </c>
      <c r="CV454" s="646">
        <v>0.35534728540567539</v>
      </c>
      <c r="CW454" s="646">
        <v>0.24830707547233477</v>
      </c>
      <c r="CX454" s="646">
        <v>0.74359800471522997</v>
      </c>
      <c r="CY454" s="646">
        <v>1.1104098504566957</v>
      </c>
      <c r="CZ454" s="646">
        <v>11.084422587891101</v>
      </c>
      <c r="DA454" s="646">
        <v>0.40285186905315495</v>
      </c>
      <c r="DB454" s="1297">
        <v>0.41327722969822789</v>
      </c>
      <c r="DC454" s="646">
        <v>0.30581300002400003</v>
      </c>
      <c r="DD454" s="646">
        <v>1.3218321449999999</v>
      </c>
      <c r="DE454" s="646">
        <v>1.7112772300000001</v>
      </c>
      <c r="DF454" s="646">
        <v>10.920185254000002</v>
      </c>
      <c r="DG454" s="646">
        <v>0.41516584300000003</v>
      </c>
      <c r="DH454" s="646">
        <v>0.48394333900000003</v>
      </c>
      <c r="DI454" s="646">
        <v>1.017606302988461</v>
      </c>
      <c r="DJ454" s="646">
        <v>1.3759804558694051</v>
      </c>
      <c r="DK454" s="646">
        <v>1.4788225950813481</v>
      </c>
      <c r="DL454" s="646">
        <v>11.335465838468624</v>
      </c>
      <c r="DM454" s="646">
        <v>0.57451591380627609</v>
      </c>
      <c r="DN454" s="648">
        <v>0.40663164738113922</v>
      </c>
      <c r="DO454" s="646">
        <v>0.32722966209005344</v>
      </c>
      <c r="DP454" s="646">
        <v>1.9954767715179773</v>
      </c>
      <c r="DQ454" s="646">
        <v>2.9979238477775936</v>
      </c>
      <c r="DR454" s="646">
        <v>11.535534062562478</v>
      </c>
      <c r="DS454" s="646">
        <v>1.269771634989743</v>
      </c>
      <c r="DT454" s="646">
        <v>0.36580835911539161</v>
      </c>
      <c r="DU454" s="646">
        <v>1.2244464356620535</v>
      </c>
      <c r="DV454" s="646">
        <v>1.4120260280794017</v>
      </c>
      <c r="DW454" s="646">
        <v>3.1098523726815488</v>
      </c>
      <c r="DX454" s="646">
        <v>11.528777302292301</v>
      </c>
      <c r="DY454" s="646">
        <v>0.82126644185797826</v>
      </c>
      <c r="DZ454" s="648">
        <v>0.35050648456913208</v>
      </c>
      <c r="EA454" s="646">
        <v>1.3678306704717365</v>
      </c>
      <c r="EB454" s="646">
        <v>2.772290399442614</v>
      </c>
      <c r="EC454" s="646">
        <v>3.5298521251364812</v>
      </c>
      <c r="ED454" s="646">
        <v>11.962555195</v>
      </c>
      <c r="EE454" s="646">
        <v>0.92720009700000006</v>
      </c>
      <c r="EF454" s="646">
        <v>0.30176913599999999</v>
      </c>
      <c r="EG454" s="646">
        <v>1.1161334320857534</v>
      </c>
      <c r="EH454" s="646">
        <v>3.0604763937396848</v>
      </c>
      <c r="EI454" s="646">
        <v>2.0036299772964439</v>
      </c>
      <c r="EJ454" s="646">
        <v>13.871885997789011</v>
      </c>
      <c r="EK454" s="646">
        <v>0.75602008683280353</v>
      </c>
      <c r="EL454" s="648">
        <v>1.0089266132560877</v>
      </c>
      <c r="EM454" s="646">
        <v>1.6198623873765028</v>
      </c>
      <c r="EN454" s="646">
        <v>2.7373024249772246</v>
      </c>
      <c r="EO454" s="646">
        <v>2.0123866936801722</v>
      </c>
      <c r="EP454" s="646">
        <v>14.22283591316187</v>
      </c>
      <c r="EQ454" s="646">
        <v>1.4073944976639343</v>
      </c>
      <c r="ER454" s="646">
        <v>1.0850148726375077</v>
      </c>
      <c r="ES454" s="646">
        <v>1.7520355385139252</v>
      </c>
      <c r="ET454" s="646">
        <v>2.5448483032711651</v>
      </c>
      <c r="EU454" s="646">
        <v>4.4114107411148815</v>
      </c>
      <c r="EV454" s="646">
        <v>12.708406492627095</v>
      </c>
      <c r="EW454" s="646">
        <v>2.0007631160883328</v>
      </c>
      <c r="EX454" s="648">
        <v>1.3867201917728373</v>
      </c>
      <c r="EY454" s="646">
        <v>2.2628124293112153</v>
      </c>
      <c r="EZ454" s="646">
        <v>3.0044166297506907</v>
      </c>
      <c r="FA454" s="646">
        <v>4.6224758041384097</v>
      </c>
      <c r="FB454" s="646">
        <v>15.064061914841748</v>
      </c>
      <c r="FC454" s="646">
        <v>2.678425054516711</v>
      </c>
      <c r="FD454" s="646">
        <v>0.80721773972904587</v>
      </c>
      <c r="FE454" s="646">
        <v>3.5610480045411377</v>
      </c>
      <c r="FF454" s="646">
        <v>3.2167937696168343</v>
      </c>
      <c r="FG454" s="646">
        <v>5.2020126962930346</v>
      </c>
      <c r="FH454" s="646">
        <v>14.917319584685547</v>
      </c>
      <c r="FI454" s="646">
        <v>3.1411812884450443</v>
      </c>
      <c r="FJ454" s="648">
        <v>2.3392490061899642</v>
      </c>
      <c r="FK454" s="646">
        <v>2.1311138522174171</v>
      </c>
      <c r="FL454" s="646">
        <v>3.6659391624605435</v>
      </c>
      <c r="FM454" s="646">
        <v>6.6097783233688849</v>
      </c>
      <c r="FN454" s="646">
        <v>14.472022977643345</v>
      </c>
      <c r="FO454" s="646">
        <v>3.8616398652420614</v>
      </c>
      <c r="FP454" s="646">
        <v>2.0407557288935885</v>
      </c>
      <c r="FQ454" s="646">
        <v>3.018595064937359</v>
      </c>
      <c r="FR454" s="646">
        <v>4.1255898384212824</v>
      </c>
      <c r="FS454" s="646">
        <v>7.0408369434813904</v>
      </c>
      <c r="FT454" s="646">
        <v>14.877754502618028</v>
      </c>
      <c r="FU454" s="646">
        <v>3.4291717512039499</v>
      </c>
      <c r="FV454" s="646">
        <v>1.9037964901119899</v>
      </c>
      <c r="FW454" s="646">
        <v>3.0111710048357687</v>
      </c>
      <c r="FX454" s="646">
        <v>10.635850491463801</v>
      </c>
      <c r="FY454" s="646">
        <v>6.8643131069934498</v>
      </c>
      <c r="FZ454" s="646">
        <v>1.3540609383678777</v>
      </c>
      <c r="GA454" s="646">
        <v>4.381167408148027</v>
      </c>
      <c r="GB454" s="646">
        <v>1.55055324269274</v>
      </c>
      <c r="GC454" s="646">
        <v>4.1413609305670294</v>
      </c>
      <c r="GD454" s="646">
        <v>21.884791707702441</v>
      </c>
      <c r="GE454" s="646">
        <v>7.526577834151027</v>
      </c>
      <c r="GF454" s="646">
        <v>3.4334906522701032</v>
      </c>
      <c r="GG454" s="646">
        <v>4.0878705869733327</v>
      </c>
      <c r="GH454" s="646">
        <v>1.0963131248898048</v>
      </c>
      <c r="GI454" s="646">
        <v>3.3092056958089713</v>
      </c>
      <c r="GJ454" s="646">
        <v>22.650780052458025</v>
      </c>
      <c r="GK454" s="646">
        <v>7.5170681773496026</v>
      </c>
      <c r="GL454" s="646">
        <v>2.3543160589860102</v>
      </c>
      <c r="GM454" s="646">
        <v>6.4630748740000126</v>
      </c>
      <c r="GN454" s="646">
        <v>1.0409838473156541</v>
      </c>
      <c r="GO454" s="646">
        <v>4.8511278593136762</v>
      </c>
      <c r="GP454" s="646">
        <v>24.788084443489012</v>
      </c>
      <c r="GQ454" s="646">
        <v>7.2483733268749315</v>
      </c>
      <c r="GR454" s="646">
        <v>7.5574463796020108</v>
      </c>
      <c r="GS454" s="646">
        <v>11.596701611589399</v>
      </c>
      <c r="GT454" s="646">
        <v>1.4719005173140647</v>
      </c>
      <c r="GU454" s="646">
        <v>6.7227833908204371</v>
      </c>
      <c r="GV454" s="646">
        <v>28.717426718200194</v>
      </c>
      <c r="GW454" s="646">
        <v>9.5612216072974459</v>
      </c>
      <c r="GX454" s="646">
        <v>5.5347149109490976</v>
      </c>
      <c r="GY454" s="646">
        <v>17.935308096254452</v>
      </c>
      <c r="GZ454" s="646">
        <v>9.6507458941506616</v>
      </c>
      <c r="HA454" s="646">
        <v>7.4258548075896105</v>
      </c>
      <c r="HB454" s="646">
        <v>33.340351213451157</v>
      </c>
      <c r="HC454" s="646">
        <v>10.396354616118439</v>
      </c>
      <c r="HD454" s="646">
        <v>6.8946206912747234</v>
      </c>
      <c r="HE454" s="646">
        <v>20.578426141520598</v>
      </c>
      <c r="HF454" s="646">
        <v>26.494068693360703</v>
      </c>
      <c r="HG454" s="646">
        <v>10.205643385021778</v>
      </c>
      <c r="HH454" s="646">
        <v>34.923771469304235</v>
      </c>
      <c r="HI454" s="646">
        <v>11.380694865912622</v>
      </c>
      <c r="HJ454" s="646">
        <v>8.9955866693393656</v>
      </c>
      <c r="HK454" s="646">
        <v>22.883165412710976</v>
      </c>
      <c r="HL454" s="646">
        <v>18.712078527921058</v>
      </c>
      <c r="HM454" s="646">
        <v>10.459200343325808</v>
      </c>
      <c r="HN454" s="646">
        <v>37.110525243390136</v>
      </c>
      <c r="HO454" s="646">
        <v>12.119694740481856</v>
      </c>
      <c r="HP454" s="646">
        <v>9.2124650947818658</v>
      </c>
      <c r="HQ454" s="646">
        <v>29.257282120417162</v>
      </c>
      <c r="HR454" s="646">
        <v>19.04827812237977</v>
      </c>
      <c r="HS454" s="646">
        <v>11.689570772605597</v>
      </c>
      <c r="HT454" s="646">
        <v>38.980040222315566</v>
      </c>
      <c r="HU454" s="646">
        <v>12.246502945743485</v>
      </c>
      <c r="HV454" s="646">
        <v>11.305602608868417</v>
      </c>
      <c r="HW454" s="646">
        <v>30.077296888298729</v>
      </c>
      <c r="HX454" s="646">
        <v>18.786117362981649</v>
      </c>
      <c r="HY454" s="646"/>
      <c r="HZ454" s="649"/>
      <c r="KT454" s="651"/>
      <c r="KU454" s="649"/>
    </row>
    <row r="455" spans="1:307" s="650" customFormat="1" outlineLevel="1">
      <c r="A455" s="644"/>
      <c r="B455" s="644"/>
      <c r="C455" s="644"/>
      <c r="D455" s="1258" t="s">
        <v>531</v>
      </c>
      <c r="E455" s="646"/>
      <c r="F455" s="646"/>
      <c r="G455" s="646"/>
      <c r="H455" s="646"/>
      <c r="I455" s="646"/>
      <c r="J455" s="646"/>
      <c r="K455" s="646"/>
      <c r="L455" s="646"/>
      <c r="M455" s="646"/>
      <c r="N455" s="646"/>
      <c r="O455" s="646"/>
      <c r="P455" s="646"/>
      <c r="Q455" s="646"/>
      <c r="R455" s="646"/>
      <c r="S455" s="646"/>
      <c r="T455" s="646"/>
      <c r="U455" s="646"/>
      <c r="V455" s="646"/>
      <c r="W455" s="646"/>
      <c r="X455" s="646"/>
      <c r="Y455" s="646"/>
      <c r="Z455" s="646"/>
      <c r="AA455" s="646"/>
      <c r="AB455" s="646"/>
      <c r="AC455" s="646"/>
      <c r="AD455" s="646"/>
      <c r="AE455" s="646"/>
      <c r="AF455" s="646"/>
      <c r="AG455" s="646"/>
      <c r="AH455" s="646"/>
      <c r="AI455" s="646"/>
      <c r="AJ455" s="646"/>
      <c r="AK455" s="646"/>
      <c r="AL455" s="646"/>
      <c r="AM455" s="646"/>
      <c r="AN455" s="646"/>
      <c r="AO455" s="646"/>
      <c r="AP455" s="646"/>
      <c r="AQ455" s="646"/>
      <c r="AR455" s="646"/>
      <c r="AS455" s="646"/>
      <c r="AT455" s="646"/>
      <c r="AU455" s="646"/>
      <c r="AV455" s="646"/>
      <c r="AW455" s="646"/>
      <c r="AX455" s="646"/>
      <c r="AY455" s="646"/>
      <c r="AZ455" s="646"/>
      <c r="BA455" s="646"/>
      <c r="BB455" s="646"/>
      <c r="BC455" s="646"/>
      <c r="BD455" s="646"/>
      <c r="BE455" s="646"/>
      <c r="BF455" s="646"/>
      <c r="BG455" s="646"/>
      <c r="BH455" s="646"/>
      <c r="BI455" s="646"/>
      <c r="BJ455" s="646"/>
      <c r="BK455" s="646"/>
      <c r="BL455" s="646"/>
      <c r="BM455" s="646"/>
      <c r="BN455" s="646"/>
      <c r="BO455" s="646"/>
      <c r="BP455" s="646"/>
      <c r="BQ455" s="646"/>
      <c r="BR455" s="646"/>
      <c r="BS455" s="646"/>
      <c r="BT455" s="646"/>
      <c r="BU455" s="646"/>
      <c r="BV455" s="646"/>
      <c r="BW455" s="646"/>
      <c r="BX455" s="646"/>
      <c r="BY455" s="646"/>
      <c r="BZ455" s="646"/>
      <c r="CA455" s="646"/>
      <c r="CB455" s="646"/>
      <c r="CC455" s="646"/>
      <c r="CD455" s="646"/>
      <c r="CE455" s="647">
        <v>0.91287137277799746</v>
      </c>
      <c r="CF455" s="646">
        <v>2.6440019562175725</v>
      </c>
      <c r="CG455" s="646">
        <v>1.8232696501794503</v>
      </c>
      <c r="CH455" s="646">
        <v>1.003543253476</v>
      </c>
      <c r="CI455" s="646">
        <v>2.0724815196329995</v>
      </c>
      <c r="CJ455" s="646">
        <v>1.4396311112401539</v>
      </c>
      <c r="CK455" s="646">
        <v>1.112374852024002</v>
      </c>
      <c r="CL455" s="646">
        <v>0.9939060787571673</v>
      </c>
      <c r="CM455" s="646">
        <v>1.7816367285922678</v>
      </c>
      <c r="CN455" s="646">
        <v>1.1560964636119997</v>
      </c>
      <c r="CO455" s="646">
        <v>1.1988465443248493</v>
      </c>
      <c r="CP455" s="648">
        <v>1.9066930600305543</v>
      </c>
      <c r="CQ455" s="646">
        <v>0.89509302121562162</v>
      </c>
      <c r="CR455" s="646">
        <v>2.3775702459999999</v>
      </c>
      <c r="CS455" s="646">
        <v>0.90811469600000005</v>
      </c>
      <c r="CT455" s="646">
        <v>0.99845654799999994</v>
      </c>
      <c r="CU455" s="646">
        <v>2.4439537179999999</v>
      </c>
      <c r="CV455" s="646">
        <v>0.82912205999999999</v>
      </c>
      <c r="CW455" s="646">
        <v>0.98295110763615112</v>
      </c>
      <c r="CX455" s="646">
        <v>2.2928199899999999</v>
      </c>
      <c r="CY455" s="646">
        <v>1.3823001970000002</v>
      </c>
      <c r="CZ455" s="646">
        <v>0.9260694413638757</v>
      </c>
      <c r="DA455" s="646">
        <v>2.73287871</v>
      </c>
      <c r="DB455" s="1297">
        <v>1.4922935579999999</v>
      </c>
      <c r="DC455" s="646">
        <v>1.013739671850697</v>
      </c>
      <c r="DD455" s="646">
        <v>3.8155369459999999</v>
      </c>
      <c r="DE455" s="646">
        <v>1.2607246313999998</v>
      </c>
      <c r="DF455" s="646">
        <v>1.327297921581104</v>
      </c>
      <c r="DG455" s="646">
        <v>4.0140894349999998</v>
      </c>
      <c r="DH455" s="646">
        <v>1.004022024</v>
      </c>
      <c r="DI455" s="646">
        <v>1.1573102669999999</v>
      </c>
      <c r="DJ455" s="646">
        <v>4.0698216370000004</v>
      </c>
      <c r="DK455" s="646">
        <v>1.2266172930000008</v>
      </c>
      <c r="DL455" s="646">
        <v>1.0815417723131717</v>
      </c>
      <c r="DM455" s="646">
        <v>4.1636333206521741</v>
      </c>
      <c r="DN455" s="648">
        <v>1.3604877480800004</v>
      </c>
      <c r="DO455" s="646">
        <v>1.235177484</v>
      </c>
      <c r="DP455" s="646">
        <v>0.58269444500000001</v>
      </c>
      <c r="DQ455" s="646">
        <v>7.3106368909999997</v>
      </c>
      <c r="DR455" s="646">
        <v>1.269235978</v>
      </c>
      <c r="DS455" s="646">
        <v>5.6513437289999997</v>
      </c>
      <c r="DT455" s="646">
        <v>2.5076567299999999</v>
      </c>
      <c r="DU455" s="646">
        <v>1.8843587500000001</v>
      </c>
      <c r="DV455" s="646">
        <v>6.8498788730000006</v>
      </c>
      <c r="DW455" s="646">
        <v>0.35625000000000001</v>
      </c>
      <c r="DX455" s="646">
        <v>3.566209593</v>
      </c>
      <c r="DY455" s="646">
        <v>1.15412743</v>
      </c>
      <c r="DZ455" s="648">
        <v>2.8856853930000002</v>
      </c>
      <c r="EA455" s="646">
        <v>2.1337011619999999</v>
      </c>
      <c r="EB455" s="646">
        <v>7.065974862</v>
      </c>
      <c r="EC455" s="646">
        <v>2.810076848</v>
      </c>
      <c r="ED455" s="646">
        <v>2.002213716</v>
      </c>
      <c r="EE455" s="646">
        <v>7.1626959770000003</v>
      </c>
      <c r="EF455" s="646">
        <v>2.4804715669999999</v>
      </c>
      <c r="EG455" s="646">
        <v>2.2338352590000001</v>
      </c>
      <c r="EH455" s="646">
        <v>7.9621197469999991</v>
      </c>
      <c r="EI455" s="646">
        <v>0.34307549599999998</v>
      </c>
      <c r="EJ455" s="646">
        <v>4.1642875720000001</v>
      </c>
      <c r="EK455" s="646">
        <v>6.2518750000000001</v>
      </c>
      <c r="EL455" s="648">
        <v>4.2896853220000004</v>
      </c>
      <c r="EM455" s="646">
        <v>2.228758729166457</v>
      </c>
      <c r="EN455" s="646">
        <v>7.9635574682075188</v>
      </c>
      <c r="EO455" s="646">
        <v>2.6397766795801307</v>
      </c>
      <c r="EP455" s="646">
        <v>2.0865679931982122</v>
      </c>
      <c r="EQ455" s="646">
        <v>2.2005343650000002</v>
      </c>
      <c r="ER455" s="646">
        <v>10.34234914812088</v>
      </c>
      <c r="ES455" s="646">
        <v>2.8476184939999998</v>
      </c>
      <c r="ET455" s="646">
        <v>8.8725304500000011</v>
      </c>
      <c r="EU455" s="646">
        <v>2.0579719870000002</v>
      </c>
      <c r="EV455" s="646">
        <v>1.4585385360000001</v>
      </c>
      <c r="EW455" s="646">
        <v>10.389073190000001</v>
      </c>
      <c r="EX455" s="648">
        <v>1.516211926</v>
      </c>
      <c r="EY455" s="646">
        <v>1.9953984659999999</v>
      </c>
      <c r="EZ455" s="646">
        <v>12.017003176999999</v>
      </c>
      <c r="FA455" s="646">
        <v>1.34400919</v>
      </c>
      <c r="FB455" s="646">
        <v>4.4300871810000002</v>
      </c>
      <c r="FC455" s="646">
        <v>13.811664832</v>
      </c>
      <c r="FD455" s="646">
        <v>5.4821694860000001</v>
      </c>
      <c r="FE455" s="646">
        <v>3.1499937920000001</v>
      </c>
      <c r="FF455" s="646">
        <v>12.751089638</v>
      </c>
      <c r="FG455" s="646">
        <v>3.8314582430000002</v>
      </c>
      <c r="FH455" s="646">
        <v>6.4921787229999994</v>
      </c>
      <c r="FI455" s="646">
        <v>6.2867501839999997</v>
      </c>
      <c r="FJ455" s="648">
        <v>6.7099874919999998</v>
      </c>
      <c r="FK455" s="646">
        <v>4.4636755949999998</v>
      </c>
      <c r="FL455" s="646">
        <v>16.899956773</v>
      </c>
      <c r="FM455" s="646">
        <v>5.819656954</v>
      </c>
      <c r="FN455" s="646">
        <v>2.1485233610000001</v>
      </c>
      <c r="FO455" s="646">
        <v>17.866421719999998</v>
      </c>
      <c r="FP455" s="646">
        <v>3.8656419530000004</v>
      </c>
      <c r="FQ455" s="646">
        <v>4.7048165869999998</v>
      </c>
      <c r="FR455" s="646">
        <v>21.759187754999658</v>
      </c>
      <c r="FS455" s="646">
        <v>6.0728433150000001</v>
      </c>
      <c r="FT455" s="646">
        <v>3.2050342299999999</v>
      </c>
      <c r="FU455" s="646">
        <v>21.412382133999998</v>
      </c>
      <c r="FV455" s="646">
        <v>5.2907410247056772</v>
      </c>
      <c r="FW455" s="646">
        <v>7.2843680590000002</v>
      </c>
      <c r="FX455" s="646">
        <v>28.532119584</v>
      </c>
      <c r="FY455" s="646">
        <v>4.7649259050000001</v>
      </c>
      <c r="FZ455" s="646">
        <v>3.1639988880000001</v>
      </c>
      <c r="GA455" s="646">
        <v>24.844301186999999</v>
      </c>
      <c r="GB455" s="646">
        <v>5.7843948059999999</v>
      </c>
      <c r="GC455" s="646">
        <v>4.7383394899999995</v>
      </c>
      <c r="GD455" s="646">
        <v>29.999293304000002</v>
      </c>
      <c r="GE455" s="646">
        <v>4.5391355600000001</v>
      </c>
      <c r="GF455" s="646">
        <v>1.7747785490000001</v>
      </c>
      <c r="GG455" s="646">
        <v>30.590790138000003</v>
      </c>
      <c r="GH455" s="646">
        <v>4.3509939009999998</v>
      </c>
      <c r="GI455" s="646">
        <v>6.680501349</v>
      </c>
      <c r="GJ455" s="646">
        <v>36.359391498000001</v>
      </c>
      <c r="GK455" s="646">
        <v>7.5202888159999999</v>
      </c>
      <c r="GL455" s="646">
        <v>2.5441111159999998</v>
      </c>
      <c r="GM455" s="646">
        <v>36.181439558999998</v>
      </c>
      <c r="GN455" s="646">
        <v>4.6916540769999999</v>
      </c>
      <c r="GO455" s="646">
        <v>7.8868416830000001</v>
      </c>
      <c r="GP455" s="646">
        <v>40.304743088999999</v>
      </c>
      <c r="GQ455" s="646">
        <v>9.7221642589999995</v>
      </c>
      <c r="GR455" s="646">
        <v>2.3315845300000002</v>
      </c>
      <c r="GS455" s="646">
        <v>43.003715217</v>
      </c>
      <c r="GT455" s="646">
        <v>5.4273588840000002</v>
      </c>
      <c r="GU455" s="646">
        <v>8.2993290270000006</v>
      </c>
      <c r="GV455" s="646">
        <v>41.580799589000002</v>
      </c>
      <c r="GW455" s="646">
        <v>5.8754405619999996</v>
      </c>
      <c r="GX455" s="646">
        <v>3.498546213</v>
      </c>
      <c r="GY455" s="646">
        <v>44.205506296999999</v>
      </c>
      <c r="GZ455" s="646">
        <v>10.491441803000001</v>
      </c>
      <c r="HA455" s="646">
        <v>12.977892861000001</v>
      </c>
      <c r="HB455" s="646">
        <v>45.146402455999997</v>
      </c>
      <c r="HC455" s="646">
        <v>6.0679579840000004</v>
      </c>
      <c r="HD455" s="646">
        <v>3.8733084139999998</v>
      </c>
      <c r="HE455" s="646">
        <v>45.152003563000001</v>
      </c>
      <c r="HF455" s="646">
        <v>7.3001792999999999</v>
      </c>
      <c r="HG455" s="646">
        <v>11.52258271</v>
      </c>
      <c r="HH455" s="646">
        <v>49.459257984038459</v>
      </c>
      <c r="HI455" s="646">
        <v>5.7053801283076897</v>
      </c>
      <c r="HJ455" s="646">
        <v>4.0905209889999998</v>
      </c>
      <c r="HK455" s="646">
        <v>46.305216535</v>
      </c>
      <c r="HL455" s="646">
        <v>8.4563577305384605</v>
      </c>
      <c r="HM455" s="646">
        <v>15.559363926</v>
      </c>
      <c r="HN455" s="646">
        <v>56.515718337999999</v>
      </c>
      <c r="HO455" s="646">
        <v>5.5279192024615336</v>
      </c>
      <c r="HP455" s="646">
        <v>4.8074172199999996</v>
      </c>
      <c r="HQ455" s="646">
        <v>42.781210905000002</v>
      </c>
      <c r="HR455" s="646">
        <v>10.829430836</v>
      </c>
      <c r="HS455" s="646">
        <v>11.35962487976923</v>
      </c>
      <c r="HT455" s="646">
        <v>54.074014984000002</v>
      </c>
      <c r="HU455" s="646">
        <v>6.5825458379230728</v>
      </c>
      <c r="HV455" s="646">
        <v>6.3064706670000001</v>
      </c>
      <c r="HW455" s="646">
        <v>44.292588289999998</v>
      </c>
      <c r="HX455" s="646">
        <v>15.32296305976922</v>
      </c>
      <c r="HY455" s="646"/>
      <c r="HZ455" s="649"/>
      <c r="KT455" s="651"/>
      <c r="KU455" s="649"/>
    </row>
    <row r="456" spans="1:307" s="650" customFormat="1" outlineLevel="1">
      <c r="A456" s="644"/>
      <c r="B456" s="644"/>
      <c r="C456" s="644"/>
      <c r="D456" s="1257" t="s">
        <v>532</v>
      </c>
      <c r="E456" s="646"/>
      <c r="F456" s="646"/>
      <c r="G456" s="646"/>
      <c r="H456" s="646"/>
      <c r="I456" s="646"/>
      <c r="J456" s="646"/>
      <c r="K456" s="646"/>
      <c r="L456" s="646"/>
      <c r="M456" s="646"/>
      <c r="N456" s="646"/>
      <c r="O456" s="646"/>
      <c r="P456" s="646"/>
      <c r="Q456" s="646"/>
      <c r="R456" s="646"/>
      <c r="S456" s="646"/>
      <c r="T456" s="646"/>
      <c r="U456" s="646"/>
      <c r="V456" s="646"/>
      <c r="W456" s="646"/>
      <c r="X456" s="646"/>
      <c r="Y456" s="646"/>
      <c r="Z456" s="646"/>
      <c r="AA456" s="646"/>
      <c r="AB456" s="646"/>
      <c r="AC456" s="646"/>
      <c r="AD456" s="646"/>
      <c r="AE456" s="646"/>
      <c r="AF456" s="646"/>
      <c r="AG456" s="646"/>
      <c r="AH456" s="646"/>
      <c r="AI456" s="646"/>
      <c r="AJ456" s="646"/>
      <c r="AK456" s="646"/>
      <c r="AL456" s="646"/>
      <c r="AM456" s="646"/>
      <c r="AN456" s="646"/>
      <c r="AO456" s="646"/>
      <c r="AP456" s="646"/>
      <c r="AQ456" s="646"/>
      <c r="AR456" s="646"/>
      <c r="AS456" s="646"/>
      <c r="AT456" s="646"/>
      <c r="AU456" s="646"/>
      <c r="AV456" s="646"/>
      <c r="AW456" s="646"/>
      <c r="AX456" s="646"/>
      <c r="AY456" s="646"/>
      <c r="AZ456" s="646"/>
      <c r="BA456" s="646"/>
      <c r="BB456" s="646"/>
      <c r="BC456" s="646"/>
      <c r="BD456" s="646"/>
      <c r="BE456" s="646"/>
      <c r="BF456" s="646"/>
      <c r="BG456" s="646"/>
      <c r="BH456" s="646"/>
      <c r="BI456" s="646"/>
      <c r="BJ456" s="646"/>
      <c r="BK456" s="646"/>
      <c r="BL456" s="646"/>
      <c r="BM456" s="646"/>
      <c r="BN456" s="646"/>
      <c r="BO456" s="646"/>
      <c r="BP456" s="646"/>
      <c r="BQ456" s="646"/>
      <c r="BR456" s="646"/>
      <c r="BS456" s="646"/>
      <c r="BT456" s="646"/>
      <c r="BU456" s="646"/>
      <c r="BV456" s="646"/>
      <c r="BW456" s="646"/>
      <c r="BX456" s="646"/>
      <c r="BY456" s="646"/>
      <c r="BZ456" s="646"/>
      <c r="CA456" s="646"/>
      <c r="CB456" s="646"/>
      <c r="CC456" s="646"/>
      <c r="CD456" s="646"/>
      <c r="CE456" s="647">
        <v>6.6679294430000002</v>
      </c>
      <c r="CF456" s="646">
        <v>12.098923981</v>
      </c>
      <c r="CG456" s="646">
        <v>5.2774683080000004</v>
      </c>
      <c r="CH456" s="646">
        <v>8.405649017</v>
      </c>
      <c r="CI456" s="646">
        <v>5.4065421210000002</v>
      </c>
      <c r="CJ456" s="646">
        <v>3.7144937200000001</v>
      </c>
      <c r="CK456" s="646">
        <v>7.775769103</v>
      </c>
      <c r="CL456" s="646">
        <v>3.7131871599999999</v>
      </c>
      <c r="CM456" s="646">
        <v>2.2626719899999999</v>
      </c>
      <c r="CN456" s="646">
        <v>1.1571859680000001</v>
      </c>
      <c r="CO456" s="646">
        <v>4.4389136469999997</v>
      </c>
      <c r="CP456" s="648">
        <v>2.08324423</v>
      </c>
      <c r="CQ456" s="646">
        <v>8.2475725890000007</v>
      </c>
      <c r="CR456" s="646">
        <v>9.9187609339999998</v>
      </c>
      <c r="CS456" s="646">
        <v>8.5722125560000002</v>
      </c>
      <c r="CT456" s="646">
        <v>6.32988368</v>
      </c>
      <c r="CU456" s="646">
        <v>5.6792275099999996</v>
      </c>
      <c r="CV456" s="646">
        <v>5.3217766769999999</v>
      </c>
      <c r="CW456" s="646">
        <v>4.4623873239999998</v>
      </c>
      <c r="CX456" s="646">
        <v>3.4693421350000002</v>
      </c>
      <c r="CY456" s="646">
        <v>8.36510277</v>
      </c>
      <c r="CZ456" s="646">
        <v>0.69293743799999996</v>
      </c>
      <c r="DA456" s="646">
        <v>6.0929688799999999</v>
      </c>
      <c r="DB456" s="1297">
        <v>3.5319322839999998</v>
      </c>
      <c r="DC456" s="646">
        <v>6.475683912</v>
      </c>
      <c r="DD456" s="646">
        <v>5.6815871610000004</v>
      </c>
      <c r="DE456" s="646">
        <v>6.1174112559999996</v>
      </c>
      <c r="DF456" s="646">
        <v>7.8252532439999998</v>
      </c>
      <c r="DG456" s="646">
        <v>8.2094107090000001</v>
      </c>
      <c r="DH456" s="646">
        <v>17.117251670999998</v>
      </c>
      <c r="DI456" s="646">
        <v>5.8424231969999996</v>
      </c>
      <c r="DJ456" s="646">
        <v>4.5755028119999999</v>
      </c>
      <c r="DK456" s="646">
        <v>6.3702584880000002</v>
      </c>
      <c r="DL456" s="646">
        <v>6.0890114610000001</v>
      </c>
      <c r="DM456" s="646">
        <v>4.2403280079999996</v>
      </c>
      <c r="DN456" s="648">
        <v>5.8292554430000001</v>
      </c>
      <c r="DO456" s="646">
        <v>5.416907331</v>
      </c>
      <c r="DP456" s="646">
        <v>7.213350685</v>
      </c>
      <c r="DQ456" s="646">
        <v>7.0325999880000003</v>
      </c>
      <c r="DR456" s="646">
        <v>7.1949629220000002</v>
      </c>
      <c r="DS456" s="646">
        <v>7.6855553429999999</v>
      </c>
      <c r="DT456" s="646">
        <v>6.0765222530000003</v>
      </c>
      <c r="DU456" s="646">
        <v>7.4745157129999997</v>
      </c>
      <c r="DV456" s="646">
        <v>7.5177942230000001</v>
      </c>
      <c r="DW456" s="646">
        <v>7.1178850169999999</v>
      </c>
      <c r="DX456" s="646">
        <v>7.1008529359999999</v>
      </c>
      <c r="DY456" s="646">
        <v>8.1943856339999996</v>
      </c>
      <c r="DZ456" s="648">
        <v>8.2006891339999992</v>
      </c>
      <c r="EA456" s="646">
        <v>9.965989532</v>
      </c>
      <c r="EB456" s="646">
        <v>4.13940047</v>
      </c>
      <c r="EC456" s="646">
        <v>22.010918264000001</v>
      </c>
      <c r="ED456" s="646">
        <v>7.5019909370000004</v>
      </c>
      <c r="EE456" s="646">
        <v>6.9683450159999998</v>
      </c>
      <c r="EF456" s="646">
        <v>8.2763239150000008</v>
      </c>
      <c r="EG456" s="646">
        <v>7.0859523250000001</v>
      </c>
      <c r="EH456" s="646">
        <v>6.9871453910000003</v>
      </c>
      <c r="EI456" s="646">
        <v>12.972594826</v>
      </c>
      <c r="EJ456" s="646">
        <v>4.3793459710000002</v>
      </c>
      <c r="EK456" s="646">
        <v>9.0947721230000003</v>
      </c>
      <c r="EL456" s="648">
        <v>0.14426433599999999</v>
      </c>
      <c r="EM456" s="646">
        <v>18.047042097999999</v>
      </c>
      <c r="EN456" s="646">
        <v>5.1734300920000003</v>
      </c>
      <c r="EO456" s="646">
        <v>19.373641127999999</v>
      </c>
      <c r="EP456" s="646">
        <v>15.147041689</v>
      </c>
      <c r="EQ456" s="646">
        <v>20.341753901000001</v>
      </c>
      <c r="ER456" s="646">
        <v>3.115334458</v>
      </c>
      <c r="ES456" s="646">
        <v>19.644847804000001</v>
      </c>
      <c r="ET456" s="646">
        <v>9.7095882860000007</v>
      </c>
      <c r="EU456" s="646">
        <v>19.394544584999998</v>
      </c>
      <c r="EV456" s="646">
        <v>10.761032169</v>
      </c>
      <c r="EW456" s="646">
        <v>14.622692425</v>
      </c>
      <c r="EX456" s="648">
        <v>16.695182059</v>
      </c>
      <c r="EY456" s="646">
        <v>21.712690575</v>
      </c>
      <c r="EZ456" s="646">
        <v>11.114351987999999</v>
      </c>
      <c r="FA456" s="646">
        <v>11.900032509000001</v>
      </c>
      <c r="FB456" s="646">
        <v>14.591524823</v>
      </c>
      <c r="FC456" s="646">
        <v>11.329730545</v>
      </c>
      <c r="FD456" s="646">
        <v>24.254430887000002</v>
      </c>
      <c r="FE456" s="646">
        <v>8.2005321450000004</v>
      </c>
      <c r="FF456" s="646">
        <v>15.204791503999999</v>
      </c>
      <c r="FG456" s="646">
        <v>16.483069240999999</v>
      </c>
      <c r="FH456" s="646">
        <v>14.577293595</v>
      </c>
      <c r="FI456" s="646">
        <v>102.28117342</v>
      </c>
      <c r="FJ456" s="648">
        <v>0.29768140900000001</v>
      </c>
      <c r="FK456" s="646">
        <v>27.811291294</v>
      </c>
      <c r="FL456" s="646">
        <v>11.225479156</v>
      </c>
      <c r="FM456" s="646">
        <v>13.472792721999999</v>
      </c>
      <c r="FN456" s="646">
        <v>20.684093917999999</v>
      </c>
      <c r="FO456" s="646">
        <v>61.666165581000001</v>
      </c>
      <c r="FP456" s="646">
        <v>17.208988356999999</v>
      </c>
      <c r="FQ456" s="646">
        <v>11.890612138</v>
      </c>
      <c r="FR456" s="646">
        <v>18.955776752999999</v>
      </c>
      <c r="FS456" s="646">
        <v>39.958805716999997</v>
      </c>
      <c r="FT456" s="646">
        <v>11.446025357</v>
      </c>
      <c r="FU456" s="646">
        <v>25.094716684000002</v>
      </c>
      <c r="FV456" s="646">
        <v>0.74752762899998404</v>
      </c>
      <c r="FW456" s="646">
        <v>19.459869106999999</v>
      </c>
      <c r="FX456" s="646">
        <v>21.798099390000001</v>
      </c>
      <c r="FY456" s="646">
        <v>121.53742553799999</v>
      </c>
      <c r="FZ456" s="646">
        <v>13.339598613</v>
      </c>
      <c r="GA456" s="646">
        <v>12.817958090999999</v>
      </c>
      <c r="GB456" s="646">
        <v>13.872035842000001</v>
      </c>
      <c r="GC456" s="646">
        <v>24.110871527</v>
      </c>
      <c r="GD456" s="646">
        <v>25.281675928999999</v>
      </c>
      <c r="GE456" s="646">
        <v>14.967056428999999</v>
      </c>
      <c r="GF456" s="646">
        <v>46.727591418999999</v>
      </c>
      <c r="GG456" s="646">
        <v>44.496763434999998</v>
      </c>
      <c r="GH456" s="646">
        <v>23.764900379</v>
      </c>
      <c r="GI456" s="646">
        <v>48.572632648943184</v>
      </c>
      <c r="GJ456" s="646">
        <v>20.202051609109375</v>
      </c>
      <c r="GK456" s="646">
        <v>19.825315741947424</v>
      </c>
      <c r="GL456" s="646">
        <v>23.652918717333343</v>
      </c>
      <c r="GM456" s="646">
        <v>22.167689045333344</v>
      </c>
      <c r="GN456" s="646">
        <v>19.389259348333344</v>
      </c>
      <c r="GO456" s="646">
        <v>20.759894925980809</v>
      </c>
      <c r="GP456" s="646">
        <v>12.191398810348149</v>
      </c>
      <c r="GQ456" s="646">
        <v>33.126157733671022</v>
      </c>
      <c r="GR456" s="646">
        <v>17.087662801262233</v>
      </c>
      <c r="GS456" s="646">
        <v>44.173862473216531</v>
      </c>
      <c r="GT456" s="646">
        <v>17.729099891521237</v>
      </c>
      <c r="GU456" s="646">
        <v>7.2778571059999999</v>
      </c>
      <c r="GV456" s="646">
        <v>24.224672508000001</v>
      </c>
      <c r="GW456" s="646">
        <v>22.873544955</v>
      </c>
      <c r="GX456" s="646">
        <v>26.666355211999999</v>
      </c>
      <c r="GY456" s="646">
        <v>26.187000513999998</v>
      </c>
      <c r="GZ456" s="646">
        <v>22.596829109000002</v>
      </c>
      <c r="HA456" s="646">
        <v>35.653566965000003</v>
      </c>
      <c r="HB456" s="646">
        <v>32.817662089999999</v>
      </c>
      <c r="HC456" s="646">
        <v>32.060185777000001</v>
      </c>
      <c r="HD456" s="646">
        <v>23.181013326999999</v>
      </c>
      <c r="HE456" s="646">
        <v>24.577714099000001</v>
      </c>
      <c r="HF456" s="646">
        <v>29.304074536000002</v>
      </c>
      <c r="HG456" s="646">
        <v>18.472463404999999</v>
      </c>
      <c r="HH456" s="646">
        <v>18.681257051999999</v>
      </c>
      <c r="HI456" s="646">
        <v>43.132407661999999</v>
      </c>
      <c r="HJ456" s="646">
        <v>12.041613391</v>
      </c>
      <c r="HK456" s="646">
        <v>23.499425105</v>
      </c>
      <c r="HL456" s="646">
        <v>37.283959138999997</v>
      </c>
      <c r="HM456" s="646">
        <v>33.026215712000003</v>
      </c>
      <c r="HN456" s="646">
        <v>15.991507745</v>
      </c>
      <c r="HO456" s="646">
        <v>41.838242194000003</v>
      </c>
      <c r="HP456" s="646">
        <v>14.579758931999999</v>
      </c>
      <c r="HQ456" s="646">
        <v>50.310469736999998</v>
      </c>
      <c r="HR456" s="646">
        <v>12.787620043</v>
      </c>
      <c r="HS456" s="646">
        <v>25.264691367999998</v>
      </c>
      <c r="HT456" s="646">
        <v>22.385244748999998</v>
      </c>
      <c r="HU456" s="646">
        <v>35.468303765999998</v>
      </c>
      <c r="HV456" s="646">
        <v>37.488093188999997</v>
      </c>
      <c r="HW456" s="646">
        <v>28.955587181000002</v>
      </c>
      <c r="HX456" s="646">
        <v>20.651618786999997</v>
      </c>
      <c r="HY456" s="646"/>
      <c r="HZ456" s="649"/>
      <c r="KT456" s="651"/>
      <c r="KU456" s="649"/>
    </row>
    <row r="457" spans="1:307" s="650" customFormat="1" outlineLevel="1">
      <c r="A457" s="644"/>
      <c r="B457" s="644"/>
      <c r="C457" s="644"/>
      <c r="D457" s="2081" t="s">
        <v>3736</v>
      </c>
      <c r="E457" s="646"/>
      <c r="F457" s="646"/>
      <c r="G457" s="646"/>
      <c r="H457" s="646"/>
      <c r="I457" s="646"/>
      <c r="J457" s="646"/>
      <c r="K457" s="646"/>
      <c r="L457" s="646"/>
      <c r="M457" s="646"/>
      <c r="N457" s="646"/>
      <c r="O457" s="646"/>
      <c r="P457" s="646"/>
      <c r="Q457" s="646"/>
      <c r="R457" s="646"/>
      <c r="S457" s="646"/>
      <c r="T457" s="646"/>
      <c r="U457" s="646"/>
      <c r="V457" s="646"/>
      <c r="W457" s="646"/>
      <c r="X457" s="646"/>
      <c r="Y457" s="646"/>
      <c r="Z457" s="646"/>
      <c r="AA457" s="646"/>
      <c r="AB457" s="646"/>
      <c r="AC457" s="646"/>
      <c r="AD457" s="646"/>
      <c r="AE457" s="646"/>
      <c r="AF457" s="646"/>
      <c r="AG457" s="646"/>
      <c r="AH457" s="646"/>
      <c r="AI457" s="646"/>
      <c r="AJ457" s="646"/>
      <c r="AK457" s="646"/>
      <c r="AL457" s="646"/>
      <c r="AM457" s="646"/>
      <c r="AN457" s="646"/>
      <c r="AO457" s="646"/>
      <c r="AP457" s="646"/>
      <c r="AQ457" s="646"/>
      <c r="AR457" s="646"/>
      <c r="AS457" s="646"/>
      <c r="AT457" s="646"/>
      <c r="AU457" s="646"/>
      <c r="AV457" s="646"/>
      <c r="AW457" s="646"/>
      <c r="AX457" s="646"/>
      <c r="AY457" s="646"/>
      <c r="AZ457" s="646"/>
      <c r="BA457" s="646"/>
      <c r="BB457" s="646"/>
      <c r="BC457" s="646"/>
      <c r="BD457" s="646"/>
      <c r="BE457" s="646"/>
      <c r="BF457" s="646"/>
      <c r="BG457" s="646"/>
      <c r="BH457" s="646"/>
      <c r="BI457" s="646"/>
      <c r="BJ457" s="646"/>
      <c r="BK457" s="646"/>
      <c r="BL457" s="646"/>
      <c r="BM457" s="646"/>
      <c r="BN457" s="646"/>
      <c r="BO457" s="646"/>
      <c r="BP457" s="646"/>
      <c r="BQ457" s="646"/>
      <c r="BR457" s="646"/>
      <c r="BS457" s="646"/>
      <c r="BT457" s="646"/>
      <c r="BU457" s="646"/>
      <c r="BV457" s="646"/>
      <c r="BW457" s="646"/>
      <c r="BX457" s="646"/>
      <c r="BY457" s="646"/>
      <c r="BZ457" s="646"/>
      <c r="CA457" s="646"/>
      <c r="CB457" s="646"/>
      <c r="CC457" s="646"/>
      <c r="CD457" s="646"/>
      <c r="CE457" s="646"/>
      <c r="CF457" s="646"/>
      <c r="CG457" s="646"/>
      <c r="CH457" s="646"/>
      <c r="CI457" s="646"/>
      <c r="CJ457" s="646"/>
      <c r="CK457" s="646"/>
      <c r="CL457" s="646"/>
      <c r="CM457" s="646"/>
      <c r="CN457" s="646"/>
      <c r="CO457" s="646"/>
      <c r="CP457" s="648"/>
      <c r="CQ457" s="646"/>
      <c r="CR457" s="646"/>
      <c r="CS457" s="646"/>
      <c r="CT457" s="646"/>
      <c r="CU457" s="646"/>
      <c r="CV457" s="646"/>
      <c r="CW457" s="646"/>
      <c r="CX457" s="646"/>
      <c r="CY457" s="646"/>
      <c r="CZ457" s="646"/>
      <c r="DA457" s="646"/>
      <c r="DB457" s="1297"/>
      <c r="DC457" s="646">
        <v>3.3</v>
      </c>
      <c r="DD457" s="646">
        <v>3.3</v>
      </c>
      <c r="DE457" s="646">
        <v>3.3</v>
      </c>
      <c r="DF457" s="646">
        <v>3.3</v>
      </c>
      <c r="DG457" s="646">
        <v>3.3</v>
      </c>
      <c r="DH457" s="646">
        <v>3.3</v>
      </c>
      <c r="DI457" s="646">
        <v>3.3</v>
      </c>
      <c r="DJ457" s="646">
        <v>3.3</v>
      </c>
      <c r="DK457" s="646">
        <v>3.3</v>
      </c>
      <c r="DL457" s="646">
        <v>3.3</v>
      </c>
      <c r="DM457" s="646">
        <v>3.3</v>
      </c>
      <c r="DN457" s="648">
        <v>3.3</v>
      </c>
      <c r="DO457" s="646">
        <v>4.8980108539999998</v>
      </c>
      <c r="DP457" s="646">
        <v>6.5999999989999996</v>
      </c>
      <c r="DQ457" s="646">
        <v>6.81953502</v>
      </c>
      <c r="DR457" s="646">
        <v>6.81953502</v>
      </c>
      <c r="DS457" s="646">
        <v>7.6440726510000001</v>
      </c>
      <c r="DT457" s="646">
        <v>5.9949982159999999</v>
      </c>
      <c r="DU457" s="646">
        <v>6.81953502</v>
      </c>
      <c r="DV457" s="646">
        <v>6.81953502</v>
      </c>
      <c r="DW457" s="646">
        <v>6.81953502</v>
      </c>
      <c r="DX457" s="646">
        <v>6.8195348039999999</v>
      </c>
      <c r="DY457" s="646">
        <v>7.9879124170000004</v>
      </c>
      <c r="DZ457" s="648">
        <v>6.8195350120000002</v>
      </c>
      <c r="EA457" s="646">
        <v>9.8000000000000007</v>
      </c>
      <c r="EB457" s="646">
        <v>3.81953502</v>
      </c>
      <c r="EC457" s="646">
        <v>2.1819535019999998</v>
      </c>
      <c r="ED457" s="646">
        <v>6.8195350039999996</v>
      </c>
      <c r="EE457" s="646">
        <v>6.81953502</v>
      </c>
      <c r="EF457" s="646">
        <v>6.8195350279999998</v>
      </c>
      <c r="EG457" s="646">
        <v>6.81953502</v>
      </c>
      <c r="EH457" s="646">
        <v>6.81953502</v>
      </c>
      <c r="EI457" s="646">
        <v>12.721860212999999</v>
      </c>
      <c r="EJ457" s="646">
        <v>4.3411505400000001</v>
      </c>
      <c r="EK457" s="646">
        <v>8.6823010800000002</v>
      </c>
      <c r="EL457" s="648">
        <v>0</v>
      </c>
      <c r="EM457" s="646">
        <v>14.730464983999999</v>
      </c>
      <c r="EN457" s="646">
        <v>3.2421803100000002</v>
      </c>
      <c r="EO457" s="646">
        <v>17.972645320000002</v>
      </c>
      <c r="EP457" s="646">
        <v>8.9863226459999996</v>
      </c>
      <c r="EQ457" s="646">
        <v>18.986322625</v>
      </c>
      <c r="ER457" s="646">
        <v>0</v>
      </c>
      <c r="ES457" s="646">
        <v>17.972645289999999</v>
      </c>
      <c r="ET457" s="646">
        <v>8.9863226449999996</v>
      </c>
      <c r="EU457" s="646">
        <v>8.9863226600000008</v>
      </c>
      <c r="EV457" s="646">
        <v>8.9863226449999996</v>
      </c>
      <c r="EW457" s="646">
        <v>8.9863226479999998</v>
      </c>
      <c r="EX457" s="648">
        <v>0</v>
      </c>
      <c r="EY457" s="646">
        <v>19.983332424</v>
      </c>
      <c r="EZ457" s="646">
        <v>9.9833333399999997</v>
      </c>
      <c r="FA457" s="646">
        <v>9.9833333349999993</v>
      </c>
      <c r="FB457" s="646">
        <v>9.9833333349999993</v>
      </c>
      <c r="FC457" s="646">
        <v>9.9833333349999993</v>
      </c>
      <c r="FD457" s="646">
        <v>9.9833332549999998</v>
      </c>
      <c r="FE457" s="646">
        <v>5.9900000010000003</v>
      </c>
      <c r="FF457" s="646">
        <v>14.016666670999999</v>
      </c>
      <c r="FG457" s="646">
        <v>12.000000003</v>
      </c>
      <c r="FH457" s="646">
        <v>14.01666666</v>
      </c>
      <c r="FI457" s="646">
        <v>11.999999153999999</v>
      </c>
      <c r="FJ457" s="648">
        <v>0</v>
      </c>
      <c r="FK457" s="646">
        <v>14.01666666</v>
      </c>
      <c r="FL457" s="646">
        <v>14.01666666</v>
      </c>
      <c r="FM457" s="646">
        <v>14.01666666</v>
      </c>
      <c r="FN457" s="646">
        <v>14.01666666</v>
      </c>
      <c r="FO457" s="646">
        <v>14.01666666</v>
      </c>
      <c r="FP457" s="646">
        <v>14.01666666</v>
      </c>
      <c r="FQ457" s="646">
        <v>10.011228034</v>
      </c>
      <c r="FR457" s="646">
        <v>10.66133542</v>
      </c>
      <c r="FS457" s="646">
        <v>12.011228021999999</v>
      </c>
      <c r="FT457" s="646">
        <v>10.209801628999999</v>
      </c>
      <c r="FU457" s="646">
        <v>22.022456064</v>
      </c>
      <c r="FV457" s="646">
        <v>0</v>
      </c>
      <c r="FW457" s="646">
        <v>13.897358157999999</v>
      </c>
      <c r="FX457" s="646">
        <v>12.011228024999999</v>
      </c>
      <c r="FY457" s="646">
        <v>113.70904721399999</v>
      </c>
      <c r="FZ457" s="646">
        <v>12.011228023999999</v>
      </c>
      <c r="GA457" s="646">
        <v>12.011228829</v>
      </c>
      <c r="GB457" s="646">
        <v>12.011228037</v>
      </c>
      <c r="GC457" s="646">
        <v>12.631579267999999</v>
      </c>
      <c r="GD457" s="646">
        <v>12.011228471000001</v>
      </c>
      <c r="GE457" s="646">
        <v>12.322820347</v>
      </c>
      <c r="GF457" s="646">
        <v>12.323885028999999</v>
      </c>
      <c r="GG457" s="646">
        <v>24.022456063</v>
      </c>
      <c r="GH457" s="646">
        <v>11.1</v>
      </c>
      <c r="GI457" s="646">
        <v>13.683892987</v>
      </c>
      <c r="GJ457" s="646">
        <v>12.662296105999999</v>
      </c>
      <c r="GK457" s="646">
        <v>12.179882039000001</v>
      </c>
      <c r="GL457" s="646">
        <v>10.597303736000001</v>
      </c>
      <c r="GM457" s="646">
        <v>15.134926411</v>
      </c>
      <c r="GN457" s="646">
        <v>14.171137517</v>
      </c>
      <c r="GO457" s="646">
        <v>13.614349638</v>
      </c>
      <c r="GP457" s="646">
        <v>12.623696037</v>
      </c>
      <c r="GQ457" s="646">
        <v>13.514222057</v>
      </c>
      <c r="GR457" s="646">
        <v>19.302051208530845</v>
      </c>
      <c r="GS457" s="646">
        <v>18.772056935919586</v>
      </c>
      <c r="GT457" s="646">
        <v>20.944185327549565</v>
      </c>
      <c r="GU457" s="646">
        <v>7.2067368209999998</v>
      </c>
      <c r="GV457" s="646">
        <v>16.815718496999999</v>
      </c>
      <c r="GW457" s="646">
        <v>12.011228035</v>
      </c>
      <c r="GX457" s="646">
        <v>12.385181258999999</v>
      </c>
      <c r="GY457" s="646">
        <v>11.960267955999999</v>
      </c>
      <c r="GZ457" s="646">
        <v>14.608982337</v>
      </c>
      <c r="HA457" s="646">
        <v>9.9030098989999988</v>
      </c>
      <c r="HB457" s="646">
        <v>12.011228019000001</v>
      </c>
      <c r="HC457" s="646">
        <v>12.011228017000001</v>
      </c>
      <c r="HD457" s="646">
        <v>14.711228041000002</v>
      </c>
      <c r="HE457" s="646">
        <v>24.021016862</v>
      </c>
      <c r="HF457" s="646">
        <v>28.9</v>
      </c>
      <c r="HG457" s="646">
        <v>12.415000935</v>
      </c>
      <c r="HH457" s="646">
        <v>15.911227801000001</v>
      </c>
      <c r="HI457" s="646">
        <v>12.011227599</v>
      </c>
      <c r="HJ457" s="646">
        <v>12.011227845000001</v>
      </c>
      <c r="HK457" s="646">
        <v>15.413681217999999</v>
      </c>
      <c r="HL457" s="646">
        <v>12.011227999000001</v>
      </c>
      <c r="HM457" s="646">
        <v>24.449042598999998</v>
      </c>
      <c r="HN457" s="646">
        <v>12.011228028</v>
      </c>
      <c r="HO457" s="646">
        <v>19.756749918000001</v>
      </c>
      <c r="HP457" s="646">
        <v>13.710346661999999</v>
      </c>
      <c r="HQ457" s="646">
        <v>12.011227871999999</v>
      </c>
      <c r="HR457" s="646">
        <v>12.011228020000001</v>
      </c>
      <c r="HS457" s="646">
        <v>12.449725647999999</v>
      </c>
      <c r="HT457" s="646">
        <v>12.011228753999999</v>
      </c>
      <c r="HU457" s="646">
        <v>12.011227782000001</v>
      </c>
      <c r="HV457" s="646">
        <v>14.843554469000001</v>
      </c>
      <c r="HW457" s="646">
        <v>12.011227694</v>
      </c>
      <c r="HX457" s="646">
        <v>15.599306855999998</v>
      </c>
      <c r="HY457" s="646"/>
      <c r="HZ457" s="649"/>
      <c r="KT457" s="651"/>
      <c r="KU457" s="649"/>
    </row>
    <row r="458" spans="1:307" s="650" customFormat="1" outlineLevel="1">
      <c r="A458" s="644"/>
      <c r="B458" s="644"/>
      <c r="C458" s="644"/>
      <c r="D458" s="2081" t="s">
        <v>3568</v>
      </c>
      <c r="E458" s="646"/>
      <c r="F458" s="646"/>
      <c r="G458" s="646"/>
      <c r="H458" s="646"/>
      <c r="I458" s="646"/>
      <c r="J458" s="646"/>
      <c r="K458" s="646"/>
      <c r="L458" s="646"/>
      <c r="M458" s="646"/>
      <c r="N458" s="646"/>
      <c r="O458" s="646"/>
      <c r="P458" s="646"/>
      <c r="Q458" s="646"/>
      <c r="R458" s="646"/>
      <c r="S458" s="646"/>
      <c r="T458" s="646"/>
      <c r="U458" s="646"/>
      <c r="V458" s="646"/>
      <c r="W458" s="646"/>
      <c r="X458" s="646"/>
      <c r="Y458" s="646"/>
      <c r="Z458" s="646"/>
      <c r="AA458" s="646"/>
      <c r="AB458" s="646"/>
      <c r="AC458" s="646"/>
      <c r="AD458" s="646"/>
      <c r="AE458" s="646"/>
      <c r="AF458" s="646"/>
      <c r="AG458" s="646"/>
      <c r="AH458" s="646"/>
      <c r="AI458" s="646"/>
      <c r="AJ458" s="646"/>
      <c r="AK458" s="646"/>
      <c r="AL458" s="646"/>
      <c r="AM458" s="646"/>
      <c r="AN458" s="646"/>
      <c r="AO458" s="646"/>
      <c r="AP458" s="646"/>
      <c r="AQ458" s="646"/>
      <c r="AR458" s="646"/>
      <c r="AS458" s="646"/>
      <c r="AT458" s="646"/>
      <c r="AU458" s="646"/>
      <c r="AV458" s="646"/>
      <c r="AW458" s="646"/>
      <c r="AX458" s="646"/>
      <c r="AY458" s="646"/>
      <c r="AZ458" s="646"/>
      <c r="BA458" s="646"/>
      <c r="BB458" s="646"/>
      <c r="BC458" s="646"/>
      <c r="BD458" s="646"/>
      <c r="BE458" s="646"/>
      <c r="BF458" s="646"/>
      <c r="BG458" s="646"/>
      <c r="BH458" s="646"/>
      <c r="BI458" s="646"/>
      <c r="BJ458" s="646"/>
      <c r="BK458" s="646"/>
      <c r="BL458" s="646"/>
      <c r="BM458" s="646"/>
      <c r="BN458" s="646"/>
      <c r="BO458" s="646"/>
      <c r="BP458" s="646"/>
      <c r="BQ458" s="646"/>
      <c r="BR458" s="646"/>
      <c r="BS458" s="646"/>
      <c r="BT458" s="646"/>
      <c r="BU458" s="646"/>
      <c r="BV458" s="646"/>
      <c r="BW458" s="646"/>
      <c r="BX458" s="646"/>
      <c r="BY458" s="646"/>
      <c r="BZ458" s="646"/>
      <c r="CA458" s="646"/>
      <c r="CB458" s="646"/>
      <c r="CC458" s="646"/>
      <c r="CD458" s="646"/>
      <c r="CE458" s="646"/>
      <c r="CF458" s="646"/>
      <c r="CG458" s="646"/>
      <c r="CH458" s="646"/>
      <c r="CI458" s="646"/>
      <c r="CJ458" s="646"/>
      <c r="CK458" s="646"/>
      <c r="CL458" s="646"/>
      <c r="CM458" s="646"/>
      <c r="CN458" s="646"/>
      <c r="CO458" s="646"/>
      <c r="CP458" s="648"/>
      <c r="CQ458" s="646"/>
      <c r="CR458" s="646"/>
      <c r="CS458" s="646"/>
      <c r="CT458" s="646"/>
      <c r="CU458" s="646"/>
      <c r="CV458" s="646"/>
      <c r="CW458" s="646"/>
      <c r="CX458" s="646"/>
      <c r="CY458" s="646"/>
      <c r="CZ458" s="646"/>
      <c r="DA458" s="646"/>
      <c r="DB458" s="1297"/>
      <c r="DC458" s="646"/>
      <c r="DD458" s="646"/>
      <c r="DE458" s="646"/>
      <c r="DF458" s="646"/>
      <c r="DG458" s="646"/>
      <c r="DH458" s="646"/>
      <c r="DI458" s="646"/>
      <c r="DJ458" s="646"/>
      <c r="DK458" s="646"/>
      <c r="DL458" s="646"/>
      <c r="DM458" s="646"/>
      <c r="DN458" s="648"/>
      <c r="DO458" s="646"/>
      <c r="DP458" s="646"/>
      <c r="DQ458" s="646"/>
      <c r="DR458" s="646"/>
      <c r="DS458" s="646"/>
      <c r="DT458" s="646"/>
      <c r="DU458" s="646"/>
      <c r="DV458" s="646"/>
      <c r="DW458" s="646"/>
      <c r="DX458" s="646"/>
      <c r="DY458" s="646"/>
      <c r="DZ458" s="648"/>
      <c r="EA458" s="646"/>
      <c r="EB458" s="646"/>
      <c r="EC458" s="646"/>
      <c r="ED458" s="646"/>
      <c r="EE458" s="646"/>
      <c r="EF458" s="646"/>
      <c r="EG458" s="646"/>
      <c r="EH458" s="646"/>
      <c r="EI458" s="646"/>
      <c r="EJ458" s="646"/>
      <c r="EK458" s="646"/>
      <c r="EL458" s="648"/>
      <c r="EM458" s="646"/>
      <c r="EN458" s="646"/>
      <c r="EO458" s="646"/>
      <c r="EP458" s="646"/>
      <c r="EQ458" s="646"/>
      <c r="ER458" s="646"/>
      <c r="ES458" s="646"/>
      <c r="ET458" s="646"/>
      <c r="EU458" s="646"/>
      <c r="EV458" s="646"/>
      <c r="EW458" s="646"/>
      <c r="EX458" s="648"/>
      <c r="EY458" s="646"/>
      <c r="EZ458" s="646"/>
      <c r="FA458" s="646"/>
      <c r="FB458" s="646"/>
      <c r="FC458" s="646"/>
      <c r="FD458" s="646"/>
      <c r="FE458" s="646"/>
      <c r="FF458" s="646"/>
      <c r="FG458" s="646"/>
      <c r="FH458" s="646"/>
      <c r="FI458" s="646"/>
      <c r="FJ458" s="648"/>
      <c r="FK458" s="646"/>
      <c r="FL458" s="646"/>
      <c r="FM458" s="646"/>
      <c r="FN458" s="646"/>
      <c r="FO458" s="646"/>
      <c r="FP458" s="646"/>
      <c r="FQ458" s="646"/>
      <c r="FR458" s="646"/>
      <c r="FS458" s="646"/>
      <c r="FT458" s="646"/>
      <c r="FU458" s="646"/>
      <c r="FV458" s="646"/>
      <c r="FW458" s="646">
        <v>0</v>
      </c>
      <c r="FX458" s="646">
        <v>7.6285068750000002</v>
      </c>
      <c r="FY458" s="646">
        <v>6.9130072079999998</v>
      </c>
      <c r="FZ458" s="646">
        <v>0.972275589</v>
      </c>
      <c r="GA458" s="646">
        <v>0</v>
      </c>
      <c r="GB458" s="646">
        <v>1.034397571</v>
      </c>
      <c r="GC458" s="646">
        <v>10.066324409</v>
      </c>
      <c r="GD458" s="646">
        <v>10.599482423</v>
      </c>
      <c r="GE458" s="646">
        <v>5.3324771999999999E-2</v>
      </c>
      <c r="GF458" s="646">
        <v>33.243282190999999</v>
      </c>
      <c r="GG458" s="646">
        <v>19.476485557</v>
      </c>
      <c r="GH458" s="646">
        <v>12.37468082</v>
      </c>
      <c r="GI458" s="646">
        <v>32.256767070999999</v>
      </c>
      <c r="GJ458" s="646">
        <v>6.4450805139999998</v>
      </c>
      <c r="GK458" s="646">
        <v>6.571172647</v>
      </c>
      <c r="GL458" s="646">
        <v>12.127108992</v>
      </c>
      <c r="GM458" s="646">
        <v>6.1042566450000004</v>
      </c>
      <c r="GN458" s="646">
        <v>4.2896158419999999</v>
      </c>
      <c r="GO458" s="646">
        <v>9.304975828988816</v>
      </c>
      <c r="GP458" s="646">
        <v>6.6989191371131268E-2</v>
      </c>
      <c r="GQ458" s="646">
        <v>24.539645321640059</v>
      </c>
      <c r="GR458" s="646">
        <v>0.5082772655566401</v>
      </c>
      <c r="GS458" s="646">
        <v>9.774879751092028</v>
      </c>
      <c r="GT458" s="646">
        <v>1.3112309303513316</v>
      </c>
      <c r="GU458" s="646">
        <v>0</v>
      </c>
      <c r="GV458" s="646">
        <v>6.8304974759999997</v>
      </c>
      <c r="GW458" s="646">
        <v>9.5906353109999998</v>
      </c>
      <c r="GX458" s="646">
        <v>14.106473953</v>
      </c>
      <c r="GY458" s="646">
        <v>13.981949655999999</v>
      </c>
      <c r="GZ458" s="646">
        <v>7.1623217090000004</v>
      </c>
      <c r="HA458" s="646">
        <v>22.627860151</v>
      </c>
      <c r="HB458" s="646">
        <v>20.647062464999998</v>
      </c>
      <c r="HC458" s="646">
        <v>18.670902823999999</v>
      </c>
      <c r="HD458" s="646">
        <v>5.5958601909999999</v>
      </c>
      <c r="HE458" s="646">
        <v>0</v>
      </c>
      <c r="HF458" s="646">
        <v>0.41469011299999892</v>
      </c>
      <c r="HG458" s="646">
        <v>2.125583716</v>
      </c>
      <c r="HH458" s="646">
        <v>0</v>
      </c>
      <c r="HI458" s="646">
        <v>30.551920456000001</v>
      </c>
      <c r="HJ458" s="646">
        <v>0</v>
      </c>
      <c r="HK458" s="646">
        <v>8.1419603909999996</v>
      </c>
      <c r="HL458" s="646">
        <v>22.856596831999997</v>
      </c>
      <c r="HM458" s="646">
        <v>7.1755633129999996</v>
      </c>
      <c r="HN458" s="646">
        <v>2.6774560740000002</v>
      </c>
      <c r="HO458" s="646">
        <v>21.632231499</v>
      </c>
      <c r="HP458" s="646">
        <v>-3.9780632999999899E-2</v>
      </c>
      <c r="HQ458" s="646">
        <v>18.319741352000001</v>
      </c>
      <c r="HR458" s="646">
        <v>0.143573746</v>
      </c>
      <c r="HS458" s="646">
        <v>10.543160546999999</v>
      </c>
      <c r="HT458" s="646">
        <v>6.800286614</v>
      </c>
      <c r="HU458" s="646">
        <v>20.095356727999999</v>
      </c>
      <c r="HV458" s="646">
        <v>19.502960345999998</v>
      </c>
      <c r="HW458" s="646">
        <v>13.809625060000002</v>
      </c>
      <c r="HX458" s="646">
        <v>4.1337904160000001</v>
      </c>
      <c r="HY458" s="646"/>
      <c r="HZ458" s="649"/>
      <c r="KT458" s="651"/>
      <c r="KU458" s="649"/>
    </row>
    <row r="459" spans="1:307" s="650" customFormat="1" outlineLevel="1">
      <c r="A459" s="644"/>
      <c r="B459" s="644"/>
      <c r="C459" s="644"/>
      <c r="D459" s="1257" t="s">
        <v>504</v>
      </c>
      <c r="E459" s="646"/>
      <c r="F459" s="646"/>
      <c r="G459" s="646"/>
      <c r="H459" s="646"/>
      <c r="I459" s="646"/>
      <c r="J459" s="646"/>
      <c r="K459" s="646"/>
      <c r="L459" s="646"/>
      <c r="M459" s="646"/>
      <c r="N459" s="646"/>
      <c r="O459" s="646"/>
      <c r="P459" s="646"/>
      <c r="Q459" s="646"/>
      <c r="R459" s="646"/>
      <c r="S459" s="646"/>
      <c r="T459" s="646"/>
      <c r="U459" s="646"/>
      <c r="V459" s="646"/>
      <c r="W459" s="646"/>
      <c r="X459" s="646"/>
      <c r="Y459" s="646"/>
      <c r="Z459" s="646"/>
      <c r="AA459" s="646"/>
      <c r="AB459" s="646"/>
      <c r="AC459" s="646"/>
      <c r="AD459" s="646"/>
      <c r="AE459" s="646"/>
      <c r="AF459" s="646"/>
      <c r="AG459" s="646"/>
      <c r="AH459" s="646"/>
      <c r="AI459" s="646"/>
      <c r="AJ459" s="646"/>
      <c r="AK459" s="646"/>
      <c r="AL459" s="646"/>
      <c r="AM459" s="646"/>
      <c r="AN459" s="646"/>
      <c r="AO459" s="646"/>
      <c r="AP459" s="646"/>
      <c r="AQ459" s="646"/>
      <c r="AR459" s="646"/>
      <c r="AS459" s="646"/>
      <c r="AT459" s="646"/>
      <c r="AU459" s="646"/>
      <c r="AV459" s="646"/>
      <c r="AW459" s="646"/>
      <c r="AX459" s="646"/>
      <c r="AY459" s="646"/>
      <c r="AZ459" s="646"/>
      <c r="BA459" s="646"/>
      <c r="BB459" s="646"/>
      <c r="BC459" s="646"/>
      <c r="BD459" s="646"/>
      <c r="BE459" s="646"/>
      <c r="BF459" s="646"/>
      <c r="BG459" s="646"/>
      <c r="BH459" s="646"/>
      <c r="BI459" s="646"/>
      <c r="BJ459" s="646"/>
      <c r="BK459" s="646"/>
      <c r="BL459" s="646"/>
      <c r="BM459" s="646"/>
      <c r="BN459" s="646"/>
      <c r="BO459" s="646"/>
      <c r="BP459" s="646"/>
      <c r="BQ459" s="646"/>
      <c r="BR459" s="646"/>
      <c r="BS459" s="646"/>
      <c r="BT459" s="646"/>
      <c r="BU459" s="646"/>
      <c r="BV459" s="646"/>
      <c r="BW459" s="646"/>
      <c r="BX459" s="646"/>
      <c r="BY459" s="646"/>
      <c r="BZ459" s="646"/>
      <c r="CA459" s="646"/>
      <c r="CB459" s="646"/>
      <c r="CC459" s="646"/>
      <c r="CD459" s="646"/>
      <c r="CE459" s="647">
        <v>31.008725541</v>
      </c>
      <c r="CF459" s="646">
        <v>30.273590683999998</v>
      </c>
      <c r="CG459" s="646">
        <v>10.388528758</v>
      </c>
      <c r="CH459" s="646">
        <v>45.974676111000001</v>
      </c>
      <c r="CI459" s="646">
        <v>19.159041667</v>
      </c>
      <c r="CJ459" s="646">
        <v>11.326817985</v>
      </c>
      <c r="CK459" s="646">
        <v>22.656131712000001</v>
      </c>
      <c r="CL459" s="646">
        <v>22.451381885</v>
      </c>
      <c r="CM459" s="646">
        <v>24.544405571999999</v>
      </c>
      <c r="CN459" s="646">
        <v>24.582048647000001</v>
      </c>
      <c r="CO459" s="646">
        <v>33.096296940999999</v>
      </c>
      <c r="CP459" s="648">
        <v>10.013272434999999</v>
      </c>
      <c r="CQ459" s="646">
        <v>40.197981695000003</v>
      </c>
      <c r="CR459" s="646">
        <v>26.933200114000002</v>
      </c>
      <c r="CS459" s="646">
        <v>19.441149207000002</v>
      </c>
      <c r="CT459" s="646">
        <v>31.297604437</v>
      </c>
      <c r="CU459" s="646">
        <v>18.023438837999997</v>
      </c>
      <c r="CV459" s="646">
        <v>15.158096090000001</v>
      </c>
      <c r="CW459" s="646">
        <v>32.060133296000004</v>
      </c>
      <c r="CX459" s="646">
        <v>17.047897988999999</v>
      </c>
      <c r="CY459" s="646">
        <v>36.135962094999996</v>
      </c>
      <c r="CZ459" s="646">
        <v>63.817836987</v>
      </c>
      <c r="DA459" s="646">
        <v>27.188026968999999</v>
      </c>
      <c r="DB459" s="1297">
        <v>8.63308608</v>
      </c>
      <c r="DC459" s="646">
        <v>40.971297198999999</v>
      </c>
      <c r="DD459" s="646">
        <v>28.142253245999999</v>
      </c>
      <c r="DE459" s="646">
        <v>17.836921271999998</v>
      </c>
      <c r="DF459" s="646">
        <v>45.278462911000005</v>
      </c>
      <c r="DG459" s="646">
        <v>25.677184793999999</v>
      </c>
      <c r="DH459" s="646">
        <v>16.894015403000001</v>
      </c>
      <c r="DI459" s="646">
        <v>44.115917728999996</v>
      </c>
      <c r="DJ459" s="646">
        <v>25.669929577000001</v>
      </c>
      <c r="DK459" s="646">
        <v>27.229701075999998</v>
      </c>
      <c r="DL459" s="646">
        <v>55.300866290000002</v>
      </c>
      <c r="DM459" s="646">
        <v>18.793402807</v>
      </c>
      <c r="DN459" s="648">
        <v>19.262689222247403</v>
      </c>
      <c r="DO459" s="646">
        <v>46.197484413999995</v>
      </c>
      <c r="DP459" s="646">
        <v>24.385606298999999</v>
      </c>
      <c r="DQ459" s="646">
        <v>13.644596873000001</v>
      </c>
      <c r="DR459" s="646">
        <v>50.457270012999999</v>
      </c>
      <c r="DS459" s="646">
        <v>31.662977454999996</v>
      </c>
      <c r="DT459" s="646">
        <v>21.938369661000003</v>
      </c>
      <c r="DU459" s="646">
        <v>38.391949325999995</v>
      </c>
      <c r="DV459" s="646">
        <v>43.113182641000002</v>
      </c>
      <c r="DW459" s="646">
        <v>25.743103059999999</v>
      </c>
      <c r="DX459" s="646">
        <v>46.866339303333334</v>
      </c>
      <c r="DY459" s="646">
        <v>34.434867947333331</v>
      </c>
      <c r="DZ459" s="648">
        <v>12.80126987175203</v>
      </c>
      <c r="EA459" s="646">
        <v>28.923093293999997</v>
      </c>
      <c r="EB459" s="646">
        <v>50.393107370999999</v>
      </c>
      <c r="EC459" s="646">
        <v>32.933496165000001</v>
      </c>
      <c r="ED459" s="646">
        <v>35.124546735999999</v>
      </c>
      <c r="EE459" s="646">
        <v>22.884346067000003</v>
      </c>
      <c r="EF459" s="646">
        <v>22.275510945000001</v>
      </c>
      <c r="EG459" s="646">
        <v>64.550786417235614</v>
      </c>
      <c r="EH459" s="646">
        <v>29.359093324501938</v>
      </c>
      <c r="EI459" s="646">
        <v>37.523301943293859</v>
      </c>
      <c r="EJ459" s="646">
        <v>43.275898819176454</v>
      </c>
      <c r="EK459" s="646">
        <v>33.662990266572109</v>
      </c>
      <c r="EL459" s="648">
        <v>17.761979595060005</v>
      </c>
      <c r="EM459" s="646">
        <v>29.030877602</v>
      </c>
      <c r="EN459" s="646">
        <v>25.655147072999998</v>
      </c>
      <c r="EO459" s="646">
        <v>23.792101198999998</v>
      </c>
      <c r="EP459" s="646">
        <v>50.102805647000004</v>
      </c>
      <c r="EQ459" s="646">
        <v>41.398202655000006</v>
      </c>
      <c r="ER459" s="646">
        <v>46.237368814</v>
      </c>
      <c r="ES459" s="646">
        <v>40.012950528000005</v>
      </c>
      <c r="ET459" s="646">
        <v>40.463490118000003</v>
      </c>
      <c r="EU459" s="646">
        <v>46.847186884999999</v>
      </c>
      <c r="EV459" s="646">
        <v>75.076510902999999</v>
      </c>
      <c r="EW459" s="646">
        <v>35.338310145000001</v>
      </c>
      <c r="EX459" s="648">
        <v>17.990818781000002</v>
      </c>
      <c r="EY459" s="646">
        <v>27.701123551999999</v>
      </c>
      <c r="EZ459" s="646">
        <v>49.266670255999998</v>
      </c>
      <c r="FA459" s="646">
        <v>53.066344902000004</v>
      </c>
      <c r="FB459" s="646">
        <v>52.420088438000001</v>
      </c>
      <c r="FC459" s="646">
        <v>49.256024263</v>
      </c>
      <c r="FD459" s="646">
        <v>54.089250282000002</v>
      </c>
      <c r="FE459" s="646">
        <v>43.509716311000005</v>
      </c>
      <c r="FF459" s="646">
        <v>39.572331683000002</v>
      </c>
      <c r="FG459" s="646">
        <v>34.260734192000001</v>
      </c>
      <c r="FH459" s="646">
        <v>26.601249519</v>
      </c>
      <c r="FI459" s="646">
        <v>41.101621154</v>
      </c>
      <c r="FJ459" s="648">
        <v>29.527389233000001</v>
      </c>
      <c r="FK459" s="646">
        <v>84.098326310999994</v>
      </c>
      <c r="FL459" s="646">
        <v>35.121430478000001</v>
      </c>
      <c r="FM459" s="646">
        <v>40.145696149000003</v>
      </c>
      <c r="FN459" s="646">
        <v>38.326486105000001</v>
      </c>
      <c r="FO459" s="646">
        <v>45.336893605</v>
      </c>
      <c r="FP459" s="646">
        <v>48.220412689</v>
      </c>
      <c r="FQ459" s="646">
        <v>34.066299086000001</v>
      </c>
      <c r="FR459" s="646">
        <v>54.421940470999999</v>
      </c>
      <c r="FS459" s="646">
        <v>35.178569396999997</v>
      </c>
      <c r="FT459" s="646">
        <v>45.794808373666662</v>
      </c>
      <c r="FU459" s="646">
        <v>56.330775904666666</v>
      </c>
      <c r="FV459" s="646">
        <v>31.932306715666666</v>
      </c>
      <c r="FW459" s="646">
        <v>49.644555738999998</v>
      </c>
      <c r="FX459" s="646">
        <v>51.787573881999997</v>
      </c>
      <c r="FY459" s="646">
        <v>49.700702286000002</v>
      </c>
      <c r="FZ459" s="646">
        <v>45.945355274000001</v>
      </c>
      <c r="GA459" s="646">
        <v>42.378368439999996</v>
      </c>
      <c r="GB459" s="646">
        <v>59.465739681999999</v>
      </c>
      <c r="GC459" s="646">
        <v>64.698303151000005</v>
      </c>
      <c r="GD459" s="646">
        <v>64.279214105000008</v>
      </c>
      <c r="GE459" s="646">
        <v>64.141880111000006</v>
      </c>
      <c r="GF459" s="646">
        <v>54.639908537333326</v>
      </c>
      <c r="GG459" s="646">
        <v>70.65288782333333</v>
      </c>
      <c r="GH459" s="646">
        <v>38.226623678565829</v>
      </c>
      <c r="GI459" s="646">
        <v>68.357943656699163</v>
      </c>
      <c r="GJ459" s="646">
        <v>66.716042902865539</v>
      </c>
      <c r="GK459" s="646">
        <v>73.92601344043527</v>
      </c>
      <c r="GL459" s="646">
        <v>84.116058985333353</v>
      </c>
      <c r="GM459" s="646">
        <v>68.072882353333355</v>
      </c>
      <c r="GN459" s="646">
        <v>56.77643928833335</v>
      </c>
      <c r="GO459" s="646">
        <v>82.723558430967941</v>
      </c>
      <c r="GP459" s="646">
        <v>55.129834198301069</v>
      </c>
      <c r="GQ459" s="646">
        <v>59.004763408730994</v>
      </c>
      <c r="GR459" s="646">
        <v>149.54675498597339</v>
      </c>
      <c r="GS459" s="646">
        <v>128.7977703820456</v>
      </c>
      <c r="GT459" s="646">
        <v>76.431937966981039</v>
      </c>
      <c r="GU459" s="646">
        <v>72.147118411000008</v>
      </c>
      <c r="GV459" s="646">
        <v>82.529984952999996</v>
      </c>
      <c r="GW459" s="646">
        <v>74.879853226999998</v>
      </c>
      <c r="GX459" s="646">
        <v>58.730634465999998</v>
      </c>
      <c r="GY459" s="646">
        <v>60.138067425999992</v>
      </c>
      <c r="GZ459" s="646">
        <v>59.501611813000004</v>
      </c>
      <c r="HA459" s="646">
        <v>86.615461240000002</v>
      </c>
      <c r="HB459" s="646">
        <v>81.329232770999994</v>
      </c>
      <c r="HC459" s="646">
        <v>68.96629579399999</v>
      </c>
      <c r="HD459" s="646">
        <v>99.96426489800001</v>
      </c>
      <c r="HE459" s="646">
        <v>101.97527852</v>
      </c>
      <c r="HF459" s="646">
        <v>146.862624471</v>
      </c>
      <c r="HG459" s="646">
        <v>77.27567547999999</v>
      </c>
      <c r="HH459" s="646">
        <v>86.392341445</v>
      </c>
      <c r="HI459" s="646">
        <v>96.016011820000003</v>
      </c>
      <c r="HJ459" s="646">
        <v>95.609035266000006</v>
      </c>
      <c r="HK459" s="646">
        <v>68.824108565000003</v>
      </c>
      <c r="HL459" s="646">
        <v>76.371406874000002</v>
      </c>
      <c r="HM459" s="646">
        <v>91.847428456999992</v>
      </c>
      <c r="HN459" s="646">
        <v>98.374294246000005</v>
      </c>
      <c r="HO459" s="646">
        <v>74.474652566000003</v>
      </c>
      <c r="HP459" s="646">
        <v>82.014241108666695</v>
      </c>
      <c r="HQ459" s="646">
        <v>86.470065012666709</v>
      </c>
      <c r="HR459" s="646">
        <v>90.782151269666699</v>
      </c>
      <c r="HS459" s="646">
        <v>68.296002334999997</v>
      </c>
      <c r="HT459" s="646">
        <v>146.960527353</v>
      </c>
      <c r="HU459" s="646">
        <v>108.15216611299999</v>
      </c>
      <c r="HV459" s="646">
        <v>77.813149637999999</v>
      </c>
      <c r="HW459" s="646">
        <v>89.405337344000003</v>
      </c>
      <c r="HX459" s="646">
        <v>86.673610080999993</v>
      </c>
      <c r="HY459" s="646"/>
      <c r="HZ459" s="649"/>
      <c r="KT459" s="651"/>
      <c r="KU459" s="649"/>
    </row>
    <row r="460" spans="1:307" s="650" customFormat="1" outlineLevel="1">
      <c r="A460" s="644"/>
      <c r="B460" s="644"/>
      <c r="C460" s="644"/>
      <c r="D460" s="1258" t="s">
        <v>3763</v>
      </c>
      <c r="E460" s="646"/>
      <c r="F460" s="646"/>
      <c r="G460" s="646"/>
      <c r="H460" s="646"/>
      <c r="I460" s="646"/>
      <c r="J460" s="646"/>
      <c r="K460" s="646"/>
      <c r="L460" s="646"/>
      <c r="M460" s="646"/>
      <c r="N460" s="646"/>
      <c r="O460" s="646"/>
      <c r="P460" s="646"/>
      <c r="Q460" s="646"/>
      <c r="R460" s="646"/>
      <c r="S460" s="646"/>
      <c r="T460" s="646"/>
      <c r="U460" s="646"/>
      <c r="V460" s="646"/>
      <c r="W460" s="646"/>
      <c r="X460" s="646"/>
      <c r="Y460" s="646"/>
      <c r="Z460" s="646"/>
      <c r="AA460" s="646"/>
      <c r="AB460" s="646"/>
      <c r="AC460" s="646"/>
      <c r="AD460" s="646"/>
      <c r="AE460" s="646"/>
      <c r="AF460" s="646"/>
      <c r="AG460" s="646"/>
      <c r="AH460" s="646"/>
      <c r="AI460" s="646"/>
      <c r="AJ460" s="646"/>
      <c r="AK460" s="646"/>
      <c r="AL460" s="646"/>
      <c r="AM460" s="646"/>
      <c r="AN460" s="646"/>
      <c r="AO460" s="646"/>
      <c r="AP460" s="646"/>
      <c r="AQ460" s="646"/>
      <c r="AR460" s="646"/>
      <c r="AS460" s="646"/>
      <c r="AT460" s="646"/>
      <c r="AU460" s="646"/>
      <c r="AV460" s="646"/>
      <c r="AW460" s="646"/>
      <c r="AX460" s="646"/>
      <c r="AY460" s="646"/>
      <c r="AZ460" s="646"/>
      <c r="BA460" s="646"/>
      <c r="BB460" s="646"/>
      <c r="BC460" s="646"/>
      <c r="BD460" s="646"/>
      <c r="BE460" s="646"/>
      <c r="BF460" s="646"/>
      <c r="BG460" s="646"/>
      <c r="BH460" s="646"/>
      <c r="BI460" s="646"/>
      <c r="BJ460" s="646"/>
      <c r="BK460" s="646"/>
      <c r="BL460" s="646"/>
      <c r="BM460" s="646"/>
      <c r="BN460" s="646"/>
      <c r="BO460" s="646"/>
      <c r="BP460" s="646"/>
      <c r="BQ460" s="646"/>
      <c r="BR460" s="646"/>
      <c r="BS460" s="646"/>
      <c r="BT460" s="646"/>
      <c r="BU460" s="646"/>
      <c r="BV460" s="646"/>
      <c r="BW460" s="646"/>
      <c r="BX460" s="646"/>
      <c r="BY460" s="646"/>
      <c r="BZ460" s="646"/>
      <c r="CA460" s="646"/>
      <c r="CB460" s="646"/>
      <c r="CC460" s="646"/>
      <c r="CD460" s="646"/>
      <c r="CE460" s="647"/>
      <c r="CF460" s="646"/>
      <c r="CG460" s="646"/>
      <c r="CH460" s="646"/>
      <c r="CI460" s="646"/>
      <c r="CJ460" s="646"/>
      <c r="CK460" s="646"/>
      <c r="CL460" s="646"/>
      <c r="CM460" s="646"/>
      <c r="CN460" s="646"/>
      <c r="CO460" s="646"/>
      <c r="CP460" s="648"/>
      <c r="CQ460" s="646"/>
      <c r="CR460" s="646"/>
      <c r="CS460" s="646"/>
      <c r="CT460" s="646"/>
      <c r="CU460" s="646"/>
      <c r="CV460" s="646"/>
      <c r="CW460" s="646"/>
      <c r="CX460" s="646"/>
      <c r="CY460" s="646"/>
      <c r="CZ460" s="646"/>
      <c r="DA460" s="646"/>
      <c r="DB460" s="1297"/>
      <c r="DC460" s="646"/>
      <c r="DD460" s="646"/>
      <c r="DE460" s="646"/>
      <c r="DF460" s="646"/>
      <c r="DG460" s="646"/>
      <c r="DH460" s="646"/>
      <c r="DI460" s="646"/>
      <c r="DJ460" s="646"/>
      <c r="DK460" s="646"/>
      <c r="DL460" s="646"/>
      <c r="DM460" s="646"/>
      <c r="DN460" s="648"/>
      <c r="DO460" s="646"/>
      <c r="DP460" s="646"/>
      <c r="DQ460" s="646"/>
      <c r="DR460" s="646"/>
      <c r="DS460" s="646"/>
      <c r="DT460" s="646"/>
      <c r="DU460" s="646"/>
      <c r="DV460" s="646"/>
      <c r="DW460" s="646"/>
      <c r="DX460" s="646"/>
      <c r="DY460" s="646"/>
      <c r="DZ460" s="648"/>
      <c r="EA460" s="646"/>
      <c r="EB460" s="646"/>
      <c r="EC460" s="646"/>
      <c r="ED460" s="646"/>
      <c r="EE460" s="646"/>
      <c r="EF460" s="646"/>
      <c r="EG460" s="646"/>
      <c r="EH460" s="646"/>
      <c r="EI460" s="646"/>
      <c r="EJ460" s="646"/>
      <c r="EK460" s="646"/>
      <c r="EL460" s="648"/>
      <c r="EM460" s="646"/>
      <c r="EN460" s="646"/>
      <c r="EO460" s="646"/>
      <c r="EP460" s="646"/>
      <c r="EQ460" s="646"/>
      <c r="ER460" s="646"/>
      <c r="ES460" s="646"/>
      <c r="ET460" s="646"/>
      <c r="EU460" s="646"/>
      <c r="EV460" s="646"/>
      <c r="EW460" s="646"/>
      <c r="EX460" s="648"/>
      <c r="EY460" s="646"/>
      <c r="EZ460" s="646"/>
      <c r="FA460" s="646"/>
      <c r="FB460" s="646"/>
      <c r="FC460" s="646"/>
      <c r="FD460" s="646"/>
      <c r="FE460" s="646"/>
      <c r="FF460" s="646"/>
      <c r="FG460" s="646"/>
      <c r="FH460" s="646"/>
      <c r="FI460" s="646"/>
      <c r="FJ460" s="648"/>
      <c r="FK460" s="646">
        <v>2.1371688739999999</v>
      </c>
      <c r="FL460" s="646">
        <v>2.8902153849999999</v>
      </c>
      <c r="FM460" s="646">
        <v>1.6417362049999999</v>
      </c>
      <c r="FN460" s="646">
        <v>2.1219189379999999</v>
      </c>
      <c r="FO460" s="646">
        <v>1.8290154240000001</v>
      </c>
      <c r="FP460" s="646">
        <v>3.3174320709999998</v>
      </c>
      <c r="FQ460" s="646">
        <v>3.4286400449999999</v>
      </c>
      <c r="FR460" s="646">
        <v>2.2141364800000001</v>
      </c>
      <c r="FS460" s="646">
        <v>1.986429378</v>
      </c>
      <c r="FT460" s="646">
        <v>3.1210657579999999</v>
      </c>
      <c r="FU460" s="646">
        <v>2.9628546120000001</v>
      </c>
      <c r="FV460" s="646">
        <v>1.459065176</v>
      </c>
      <c r="FW460" s="646">
        <v>2.0362483359999999</v>
      </c>
      <c r="FX460" s="646">
        <v>1.921306264</v>
      </c>
      <c r="FY460" s="646">
        <v>1.554755807</v>
      </c>
      <c r="FZ460" s="646">
        <v>1.912427434</v>
      </c>
      <c r="GA460" s="646">
        <v>2.301903802</v>
      </c>
      <c r="GB460" s="646">
        <v>1.5034970670000001</v>
      </c>
      <c r="GC460" s="646">
        <v>2.8282554229999999</v>
      </c>
      <c r="GD460" s="646">
        <v>3.916467269</v>
      </c>
      <c r="GE460" s="646">
        <v>3.0435174800000002</v>
      </c>
      <c r="GF460" s="646">
        <v>4.0775103829999999</v>
      </c>
      <c r="GG460" s="646">
        <v>4.0398529500000002</v>
      </c>
      <c r="GH460" s="646">
        <v>2.819814630572504</v>
      </c>
      <c r="GI460" s="646">
        <v>5.042473310220501</v>
      </c>
      <c r="GJ460" s="646">
        <v>4.9213573098502117</v>
      </c>
      <c r="GK460" s="646">
        <v>5.4532060176720218</v>
      </c>
      <c r="GL460" s="646">
        <v>6.204882120571356</v>
      </c>
      <c r="GM460" s="646">
        <v>5.0214455563545037</v>
      </c>
      <c r="GN460" s="646">
        <v>4.1881552376498155</v>
      </c>
      <c r="GO460" s="646">
        <v>2.394374231226009</v>
      </c>
      <c r="GP460" s="646">
        <v>2.4001466263561686</v>
      </c>
      <c r="GQ460" s="646">
        <v>2.0018517860899641</v>
      </c>
      <c r="GR460" s="646">
        <v>4.4210207876349639</v>
      </c>
      <c r="GS460" s="646">
        <v>4.392470597202931</v>
      </c>
      <c r="GT460" s="646">
        <v>6.1165085663307446</v>
      </c>
      <c r="GU460" s="646">
        <v>4.1272821479999999</v>
      </c>
      <c r="GV460" s="646">
        <v>4.6155939940000001</v>
      </c>
      <c r="GW460" s="646">
        <v>4.4799232730000007</v>
      </c>
      <c r="GX460" s="646">
        <v>4.6761860149999999</v>
      </c>
      <c r="GY460" s="646">
        <v>4.6743918930000001</v>
      </c>
      <c r="GZ460" s="646">
        <v>4.4357542399999996</v>
      </c>
      <c r="HA460" s="646">
        <v>4.0301846770000003</v>
      </c>
      <c r="HB460" s="646">
        <v>4.5359558339999992</v>
      </c>
      <c r="HC460" s="646">
        <v>4.4626346840000002</v>
      </c>
      <c r="HD460" s="646">
        <v>7.273365514</v>
      </c>
      <c r="HE460" s="646">
        <v>9.011865169</v>
      </c>
      <c r="HF460" s="646">
        <v>12.120709433999998</v>
      </c>
      <c r="HG460" s="646">
        <v>13.133170757999999</v>
      </c>
      <c r="HH460" s="646">
        <v>3.7521274770000002</v>
      </c>
      <c r="HI460" s="646">
        <v>2.4924958670000001</v>
      </c>
      <c r="HJ460" s="646">
        <v>11.763318237</v>
      </c>
      <c r="HK460" s="646">
        <v>4.8615421440000004</v>
      </c>
      <c r="HL460" s="646">
        <v>2.736469778</v>
      </c>
      <c r="HM460" s="646">
        <v>2.228800165</v>
      </c>
      <c r="HN460" s="646">
        <v>18.570279038999999</v>
      </c>
      <c r="HO460" s="646">
        <v>7.641630009</v>
      </c>
      <c r="HP460" s="646">
        <v>6.0815810690000003</v>
      </c>
      <c r="HQ460" s="646">
        <v>6.1562342200000009</v>
      </c>
      <c r="HR460" s="646">
        <v>7.824186117</v>
      </c>
      <c r="HS460" s="646">
        <v>6.3614942130000003</v>
      </c>
      <c r="HT460" s="646">
        <v>3.8425349240000002</v>
      </c>
      <c r="HU460" s="646">
        <v>17.525149939999999</v>
      </c>
      <c r="HV460" s="646">
        <v>7.6448202700000003</v>
      </c>
      <c r="HW460" s="646">
        <v>8.1914767270000013</v>
      </c>
      <c r="HX460" s="646">
        <v>4.7906949540000001</v>
      </c>
      <c r="HY460" s="646"/>
      <c r="HZ460" s="649"/>
      <c r="KT460" s="651"/>
      <c r="KU460" s="649"/>
    </row>
    <row r="461" spans="1:307" s="650" customFormat="1" outlineLevel="1">
      <c r="A461" s="644"/>
      <c r="B461" s="644"/>
      <c r="C461" s="644"/>
      <c r="D461" s="2081" t="s">
        <v>553</v>
      </c>
      <c r="E461" s="646"/>
      <c r="F461" s="646"/>
      <c r="G461" s="646"/>
      <c r="H461" s="646"/>
      <c r="I461" s="646"/>
      <c r="J461" s="646"/>
      <c r="K461" s="646"/>
      <c r="L461" s="646"/>
      <c r="M461" s="646"/>
      <c r="N461" s="646"/>
      <c r="O461" s="646"/>
      <c r="P461" s="646"/>
      <c r="Q461" s="646"/>
      <c r="R461" s="646"/>
      <c r="S461" s="646"/>
      <c r="T461" s="646"/>
      <c r="U461" s="646"/>
      <c r="V461" s="646"/>
      <c r="W461" s="646"/>
      <c r="X461" s="646"/>
      <c r="Y461" s="646"/>
      <c r="Z461" s="646"/>
      <c r="AA461" s="646"/>
      <c r="AB461" s="646"/>
      <c r="AC461" s="646"/>
      <c r="AD461" s="646"/>
      <c r="AE461" s="646"/>
      <c r="AF461" s="646"/>
      <c r="AG461" s="646"/>
      <c r="AH461" s="646"/>
      <c r="AI461" s="646"/>
      <c r="AJ461" s="646"/>
      <c r="AK461" s="646"/>
      <c r="AL461" s="646"/>
      <c r="AM461" s="646"/>
      <c r="AN461" s="646"/>
      <c r="AO461" s="646"/>
      <c r="AP461" s="646"/>
      <c r="AQ461" s="646"/>
      <c r="AR461" s="646"/>
      <c r="AS461" s="646"/>
      <c r="AT461" s="646"/>
      <c r="AU461" s="646"/>
      <c r="AV461" s="646"/>
      <c r="AW461" s="646"/>
      <c r="AX461" s="646"/>
      <c r="AY461" s="646"/>
      <c r="AZ461" s="646"/>
      <c r="BA461" s="646"/>
      <c r="BB461" s="646"/>
      <c r="BC461" s="646"/>
      <c r="BD461" s="646"/>
      <c r="BE461" s="646"/>
      <c r="BF461" s="646"/>
      <c r="BG461" s="646"/>
      <c r="BH461" s="646"/>
      <c r="BI461" s="646"/>
      <c r="BJ461" s="646"/>
      <c r="BK461" s="646"/>
      <c r="BL461" s="646"/>
      <c r="BM461" s="646"/>
      <c r="BN461" s="646"/>
      <c r="BO461" s="646"/>
      <c r="BP461" s="646"/>
      <c r="BQ461" s="646"/>
      <c r="BR461" s="646"/>
      <c r="BS461" s="646"/>
      <c r="BT461" s="646"/>
      <c r="BU461" s="646"/>
      <c r="BV461" s="646"/>
      <c r="BW461" s="646"/>
      <c r="BX461" s="646"/>
      <c r="BY461" s="646"/>
      <c r="BZ461" s="646"/>
      <c r="CA461" s="646"/>
      <c r="CB461" s="646"/>
      <c r="CC461" s="646"/>
      <c r="CD461" s="646"/>
      <c r="CE461" s="647"/>
      <c r="CF461" s="646"/>
      <c r="CG461" s="646"/>
      <c r="CH461" s="646"/>
      <c r="CI461" s="646"/>
      <c r="CJ461" s="646"/>
      <c r="CK461" s="646"/>
      <c r="CL461" s="646"/>
      <c r="CM461" s="646"/>
      <c r="CN461" s="646"/>
      <c r="CO461" s="646"/>
      <c r="CP461" s="648"/>
      <c r="CQ461" s="646"/>
      <c r="CR461" s="646"/>
      <c r="CS461" s="646"/>
      <c r="CT461" s="646"/>
      <c r="CU461" s="646"/>
      <c r="CV461" s="646"/>
      <c r="CW461" s="646"/>
      <c r="CX461" s="646"/>
      <c r="CY461" s="646"/>
      <c r="CZ461" s="646"/>
      <c r="DA461" s="646"/>
      <c r="DB461" s="1297"/>
      <c r="DC461" s="646"/>
      <c r="DD461" s="646"/>
      <c r="DE461" s="646"/>
      <c r="DF461" s="646"/>
      <c r="DG461" s="646"/>
      <c r="DH461" s="646"/>
      <c r="DI461" s="646"/>
      <c r="DJ461" s="646"/>
      <c r="DK461" s="646"/>
      <c r="DL461" s="646"/>
      <c r="DM461" s="646"/>
      <c r="DN461" s="648"/>
      <c r="DO461" s="646"/>
      <c r="DP461" s="646"/>
      <c r="DQ461" s="646"/>
      <c r="DR461" s="646"/>
      <c r="DS461" s="646"/>
      <c r="DT461" s="646"/>
      <c r="DU461" s="646"/>
      <c r="DV461" s="646"/>
      <c r="DW461" s="646"/>
      <c r="DX461" s="646"/>
      <c r="DY461" s="646"/>
      <c r="DZ461" s="648"/>
      <c r="EA461" s="646"/>
      <c r="EB461" s="646"/>
      <c r="EC461" s="646"/>
      <c r="ED461" s="646"/>
      <c r="EE461" s="646"/>
      <c r="EF461" s="646"/>
      <c r="EG461" s="646"/>
      <c r="EH461" s="646"/>
      <c r="EI461" s="646"/>
      <c r="EJ461" s="646"/>
      <c r="EK461" s="646"/>
      <c r="EL461" s="648"/>
      <c r="EM461" s="646"/>
      <c r="EN461" s="646"/>
      <c r="EO461" s="646"/>
      <c r="EP461" s="646"/>
      <c r="EQ461" s="646"/>
      <c r="ER461" s="646"/>
      <c r="ES461" s="646"/>
      <c r="ET461" s="646"/>
      <c r="EU461" s="646"/>
      <c r="EV461" s="646"/>
      <c r="EW461" s="646"/>
      <c r="EX461" s="648"/>
      <c r="EY461" s="646"/>
      <c r="EZ461" s="646"/>
      <c r="FA461" s="646"/>
      <c r="FB461" s="646"/>
      <c r="FC461" s="646"/>
      <c r="FD461" s="646"/>
      <c r="FE461" s="646"/>
      <c r="FF461" s="646"/>
      <c r="FG461" s="646"/>
      <c r="FH461" s="646"/>
      <c r="FI461" s="646"/>
      <c r="FJ461" s="648"/>
      <c r="FK461" s="646">
        <v>1.645408304</v>
      </c>
      <c r="FL461" s="646">
        <v>1.4702972000000001</v>
      </c>
      <c r="FM461" s="646">
        <v>1.5447394780000001</v>
      </c>
      <c r="FN461" s="646">
        <v>1.6877584059999999</v>
      </c>
      <c r="FO461" s="646">
        <v>1.5500421259999999</v>
      </c>
      <c r="FP461" s="646">
        <v>1.550014995</v>
      </c>
      <c r="FQ461" s="646">
        <v>1.571009085</v>
      </c>
      <c r="FR461" s="646">
        <v>1.4258154869999999</v>
      </c>
      <c r="FS461" s="646">
        <v>1.425815061</v>
      </c>
      <c r="FT461" s="646">
        <v>1.6292769739999999</v>
      </c>
      <c r="FU461" s="646">
        <v>1.48672358</v>
      </c>
      <c r="FV461" s="646">
        <v>1.4351826160000001</v>
      </c>
      <c r="FW461" s="646">
        <v>1.578747739</v>
      </c>
      <c r="FX461" s="646">
        <v>1.456572991</v>
      </c>
      <c r="FY461" s="646">
        <v>1.434116454</v>
      </c>
      <c r="FZ461" s="646">
        <v>1.524731576</v>
      </c>
      <c r="GA461" s="646">
        <v>1.501272494</v>
      </c>
      <c r="GB461" s="646">
        <v>1.485732469</v>
      </c>
      <c r="GC461" s="646">
        <v>1.6305605519999999</v>
      </c>
      <c r="GD461" s="646">
        <v>2.4271531460000002</v>
      </c>
      <c r="GE461" s="646">
        <v>2.9299431650000001</v>
      </c>
      <c r="GF461" s="646">
        <v>3.5495222709999998</v>
      </c>
      <c r="GG461" s="646">
        <v>2.727995919</v>
      </c>
      <c r="GH461" s="646">
        <v>2.8092080695725041</v>
      </c>
      <c r="GI461" s="646">
        <v>3.405036465980265</v>
      </c>
      <c r="GJ461" s="646">
        <v>3.3232503319736417</v>
      </c>
      <c r="GK461" s="646">
        <v>3.6823923904644893</v>
      </c>
      <c r="GL461" s="646">
        <v>4.1899775344037522</v>
      </c>
      <c r="GM461" s="646">
        <v>3.3908370316339784</v>
      </c>
      <c r="GN461" s="646">
        <v>2.8281401669452277</v>
      </c>
      <c r="GO461" s="646">
        <v>1.5903192130027022</v>
      </c>
      <c r="GP461" s="646">
        <v>1.5705014257670262</v>
      </c>
      <c r="GQ461" s="646">
        <v>1.8621303010295343</v>
      </c>
      <c r="GR461" s="646">
        <v>3.984146728808089</v>
      </c>
      <c r="GS461" s="646">
        <v>3.9782170336070259</v>
      </c>
      <c r="GT461" s="646">
        <v>3.524997605359852</v>
      </c>
      <c r="GU461" s="646">
        <v>2.6969169429999997</v>
      </c>
      <c r="GV461" s="646">
        <v>3.1855014830000004</v>
      </c>
      <c r="GW461" s="646">
        <v>2.8602765080000001</v>
      </c>
      <c r="GX461" s="646">
        <v>3.2497314399999997</v>
      </c>
      <c r="GY461" s="646">
        <v>3.1248673199999999</v>
      </c>
      <c r="GZ461" s="646">
        <v>2.8860398329999999</v>
      </c>
      <c r="HA461" s="646">
        <v>2.712376017</v>
      </c>
      <c r="HB461" s="646">
        <v>3.0217059209999997</v>
      </c>
      <c r="HC461" s="646">
        <v>2.914505084</v>
      </c>
      <c r="HD461" s="646">
        <v>4.1702437020000005</v>
      </c>
      <c r="HE461" s="646">
        <v>4.3090685249999998</v>
      </c>
      <c r="HF461" s="646">
        <v>6.8217058489999998</v>
      </c>
      <c r="HG461" s="646">
        <v>4.4146400789999998</v>
      </c>
      <c r="HH461" s="646">
        <v>2.4043520030000001</v>
      </c>
      <c r="HI461" s="646">
        <v>2.3597835979999999</v>
      </c>
      <c r="HJ461" s="646">
        <v>6.7960154409999998</v>
      </c>
      <c r="HK461" s="646">
        <v>4.4271964959999996</v>
      </c>
      <c r="HL461" s="646">
        <v>2.51217757</v>
      </c>
      <c r="HM461" s="646">
        <v>2.0957489420000002</v>
      </c>
      <c r="HN461" s="646">
        <v>13.796283144999999</v>
      </c>
      <c r="HO461" s="646">
        <v>2.5522789019999998</v>
      </c>
      <c r="HP461" s="646">
        <v>3.0499180770000001</v>
      </c>
      <c r="HQ461" s="646">
        <v>3.4473871579999997</v>
      </c>
      <c r="HR461" s="646">
        <v>4.7694024019999999</v>
      </c>
      <c r="HS461" s="646">
        <v>6.179811538</v>
      </c>
      <c r="HT461" s="646">
        <v>3.1942065149999999</v>
      </c>
      <c r="HU461" s="646">
        <v>6.5877038169999995</v>
      </c>
      <c r="HV461" s="646">
        <v>6.8431840270000004</v>
      </c>
      <c r="HW461" s="646">
        <v>7.0941676890000007</v>
      </c>
      <c r="HX461" s="646">
        <v>3.014229834</v>
      </c>
      <c r="HY461" s="646"/>
      <c r="HZ461" s="649"/>
      <c r="KT461" s="651"/>
      <c r="KU461" s="649"/>
    </row>
    <row r="462" spans="1:307" s="650" customFormat="1" outlineLevel="1">
      <c r="A462" s="644"/>
      <c r="B462" s="644"/>
      <c r="C462" s="644"/>
      <c r="D462" s="2062" t="s">
        <v>3126</v>
      </c>
      <c r="E462" s="646"/>
      <c r="F462" s="646"/>
      <c r="G462" s="646"/>
      <c r="H462" s="646"/>
      <c r="I462" s="646"/>
      <c r="J462" s="646"/>
      <c r="K462" s="646"/>
      <c r="L462" s="646"/>
      <c r="M462" s="646"/>
      <c r="N462" s="646"/>
      <c r="O462" s="646"/>
      <c r="P462" s="646"/>
      <c r="Q462" s="646"/>
      <c r="R462" s="646"/>
      <c r="S462" s="646"/>
      <c r="T462" s="646"/>
      <c r="U462" s="646"/>
      <c r="V462" s="646"/>
      <c r="W462" s="646"/>
      <c r="X462" s="646"/>
      <c r="Y462" s="646"/>
      <c r="Z462" s="646"/>
      <c r="AA462" s="646"/>
      <c r="AB462" s="646"/>
      <c r="AC462" s="646"/>
      <c r="AD462" s="646"/>
      <c r="AE462" s="646"/>
      <c r="AF462" s="646"/>
      <c r="AG462" s="646"/>
      <c r="AH462" s="646"/>
      <c r="AI462" s="646"/>
      <c r="AJ462" s="646"/>
      <c r="AK462" s="646"/>
      <c r="AL462" s="646"/>
      <c r="AM462" s="646"/>
      <c r="AN462" s="646"/>
      <c r="AO462" s="646"/>
      <c r="AP462" s="646"/>
      <c r="AQ462" s="646"/>
      <c r="AR462" s="646"/>
      <c r="AS462" s="646"/>
      <c r="AT462" s="646"/>
      <c r="AU462" s="646"/>
      <c r="AV462" s="646"/>
      <c r="AW462" s="646"/>
      <c r="AX462" s="646"/>
      <c r="AY462" s="646"/>
      <c r="AZ462" s="646"/>
      <c r="BA462" s="646"/>
      <c r="BB462" s="646"/>
      <c r="BC462" s="646"/>
      <c r="BD462" s="646"/>
      <c r="BE462" s="646"/>
      <c r="BF462" s="646"/>
      <c r="BG462" s="646"/>
      <c r="BH462" s="646"/>
      <c r="BI462" s="646"/>
      <c r="BJ462" s="646"/>
      <c r="BK462" s="646"/>
      <c r="BL462" s="646"/>
      <c r="BM462" s="646"/>
      <c r="BN462" s="646"/>
      <c r="BO462" s="646"/>
      <c r="BP462" s="646"/>
      <c r="BQ462" s="646"/>
      <c r="BR462" s="646"/>
      <c r="BS462" s="646"/>
      <c r="BT462" s="646"/>
      <c r="BU462" s="646"/>
      <c r="BV462" s="646"/>
      <c r="BW462" s="646"/>
      <c r="BX462" s="646"/>
      <c r="BY462" s="646"/>
      <c r="BZ462" s="646"/>
      <c r="CA462" s="646"/>
      <c r="CB462" s="646"/>
      <c r="CC462" s="646"/>
      <c r="CD462" s="646"/>
      <c r="CE462" s="647"/>
      <c r="CF462" s="646"/>
      <c r="CG462" s="646"/>
      <c r="CH462" s="646"/>
      <c r="CI462" s="646"/>
      <c r="CJ462" s="646"/>
      <c r="CK462" s="646"/>
      <c r="CL462" s="646"/>
      <c r="CM462" s="646"/>
      <c r="CN462" s="646"/>
      <c r="CO462" s="646"/>
      <c r="CP462" s="648"/>
      <c r="CQ462" s="646"/>
      <c r="CR462" s="646"/>
      <c r="CS462" s="646"/>
      <c r="CT462" s="646"/>
      <c r="CU462" s="646"/>
      <c r="CV462" s="646"/>
      <c r="CW462" s="646"/>
      <c r="CX462" s="646"/>
      <c r="CY462" s="646"/>
      <c r="CZ462" s="646"/>
      <c r="DA462" s="646"/>
      <c r="DB462" s="1297"/>
      <c r="DC462" s="646"/>
      <c r="DD462" s="646"/>
      <c r="DE462" s="646"/>
      <c r="DF462" s="646"/>
      <c r="DG462" s="646"/>
      <c r="DH462" s="646"/>
      <c r="DI462" s="646"/>
      <c r="DJ462" s="646"/>
      <c r="DK462" s="646"/>
      <c r="DL462" s="646"/>
      <c r="DM462" s="646"/>
      <c r="DN462" s="648"/>
      <c r="DO462" s="646"/>
      <c r="DP462" s="646"/>
      <c r="DQ462" s="646"/>
      <c r="DR462" s="646"/>
      <c r="DS462" s="646"/>
      <c r="DT462" s="646"/>
      <c r="DU462" s="646"/>
      <c r="DV462" s="646"/>
      <c r="DW462" s="646"/>
      <c r="DX462" s="646"/>
      <c r="DY462" s="646"/>
      <c r="DZ462" s="648"/>
      <c r="EA462" s="646"/>
      <c r="EB462" s="646"/>
      <c r="EC462" s="646"/>
      <c r="ED462" s="646"/>
      <c r="EE462" s="646"/>
      <c r="EF462" s="646"/>
      <c r="EG462" s="646"/>
      <c r="EH462" s="646"/>
      <c r="EI462" s="646"/>
      <c r="EJ462" s="646"/>
      <c r="EK462" s="646"/>
      <c r="EL462" s="648"/>
      <c r="EM462" s="646"/>
      <c r="EN462" s="646"/>
      <c r="EO462" s="646"/>
      <c r="EP462" s="646"/>
      <c r="EQ462" s="646"/>
      <c r="ER462" s="646"/>
      <c r="ES462" s="646"/>
      <c r="ET462" s="646"/>
      <c r="EU462" s="646"/>
      <c r="EV462" s="646"/>
      <c r="EW462" s="646"/>
      <c r="EX462" s="648"/>
      <c r="EY462" s="646"/>
      <c r="EZ462" s="646"/>
      <c r="FA462" s="646"/>
      <c r="FB462" s="646"/>
      <c r="FC462" s="646"/>
      <c r="FD462" s="646"/>
      <c r="FE462" s="646"/>
      <c r="FF462" s="646"/>
      <c r="FG462" s="646"/>
      <c r="FH462" s="646"/>
      <c r="FI462" s="646"/>
      <c r="FJ462" s="648"/>
      <c r="FK462" s="646">
        <v>1.4220644140000001</v>
      </c>
      <c r="FL462" s="646">
        <v>1.3937961539999999</v>
      </c>
      <c r="FM462" s="646">
        <v>1.450332677</v>
      </c>
      <c r="FN462" s="646">
        <v>1.426627922</v>
      </c>
      <c r="FO462" s="646">
        <v>1.4220644140000001</v>
      </c>
      <c r="FP462" s="646">
        <v>1.435370856</v>
      </c>
      <c r="FQ462" s="646">
        <v>1.3524104079999999</v>
      </c>
      <c r="FR462" s="646">
        <v>1.3524104079999999</v>
      </c>
      <c r="FS462" s="646">
        <v>1.352409982</v>
      </c>
      <c r="FT462" s="646">
        <v>1.435181754</v>
      </c>
      <c r="FU462" s="646">
        <v>1.435181754</v>
      </c>
      <c r="FV462" s="646">
        <v>1.4351826160000001</v>
      </c>
      <c r="FW462" s="646">
        <v>1.393772494</v>
      </c>
      <c r="FX462" s="646">
        <v>1.393772494</v>
      </c>
      <c r="FY462" s="646">
        <v>1.3939524940000001</v>
      </c>
      <c r="FZ462" s="646">
        <v>1.3939524940000001</v>
      </c>
      <c r="GA462" s="646">
        <v>1.393772494</v>
      </c>
      <c r="GB462" s="646">
        <v>1.393772494</v>
      </c>
      <c r="GC462" s="646">
        <v>1.427153146</v>
      </c>
      <c r="GD462" s="646">
        <v>2.4271531460000002</v>
      </c>
      <c r="GE462" s="646">
        <v>2.9299431650000001</v>
      </c>
      <c r="GF462" s="646">
        <v>2.4485203090000001</v>
      </c>
      <c r="GG462" s="646">
        <v>2.7029959190000001</v>
      </c>
      <c r="GH462" s="646">
        <v>2.8092080695725041</v>
      </c>
      <c r="GI462" s="646">
        <v>1.3144160300000001</v>
      </c>
      <c r="GJ462" s="646">
        <v>2.56750072</v>
      </c>
      <c r="GK462" s="646">
        <v>1.9409583749999999</v>
      </c>
      <c r="GL462" s="646">
        <v>1.732610859</v>
      </c>
      <c r="GM462" s="646">
        <v>1.702680996</v>
      </c>
      <c r="GN462" s="646">
        <v>2.3875832699999999</v>
      </c>
      <c r="GO462" s="646">
        <v>1.5088087701860999</v>
      </c>
      <c r="GP462" s="646">
        <v>1.4972201459138099</v>
      </c>
      <c r="GQ462" s="646">
        <v>1.7687772132834327</v>
      </c>
      <c r="GR462" s="646">
        <v>3.5954092801093025</v>
      </c>
      <c r="GS462" s="646">
        <v>3.9782170336070259</v>
      </c>
      <c r="GT462" s="646">
        <v>3.524997605359852</v>
      </c>
      <c r="GU462" s="646">
        <v>2.6365614650000002</v>
      </c>
      <c r="GV462" s="646">
        <v>3.1300024860000004</v>
      </c>
      <c r="GW462" s="646">
        <v>2.7601328069999997</v>
      </c>
      <c r="GX462" s="646">
        <v>3.0078976319999997</v>
      </c>
      <c r="GY462" s="646">
        <v>2.8704634430000002</v>
      </c>
      <c r="GZ462" s="646">
        <v>2.7212567559999998</v>
      </c>
      <c r="HA462" s="646">
        <v>2.304234176</v>
      </c>
      <c r="HB462" s="646">
        <v>2.7217059209999999</v>
      </c>
      <c r="HC462" s="646">
        <v>2.604234215</v>
      </c>
      <c r="HD462" s="646">
        <v>2.0653872230000001</v>
      </c>
      <c r="HE462" s="646">
        <v>3.3090685249999998</v>
      </c>
      <c r="HF462" s="646">
        <v>3.8217058489999998</v>
      </c>
      <c r="HG462" s="646">
        <v>4.2829496319999993</v>
      </c>
      <c r="HH462" s="646">
        <v>2.2795030170000001</v>
      </c>
      <c r="HI462" s="646">
        <v>2.2829496319999998</v>
      </c>
      <c r="HJ462" s="646">
        <v>1.5964976690000001</v>
      </c>
      <c r="HK462" s="646">
        <v>4.2825825909999997</v>
      </c>
      <c r="HL462" s="646">
        <v>2.4853436040000001</v>
      </c>
      <c r="HM462" s="646">
        <v>1.863989897</v>
      </c>
      <c r="HN462" s="646">
        <v>6.4054710020000005</v>
      </c>
      <c r="HO462" s="646">
        <v>1.9054710020000001</v>
      </c>
      <c r="HP462" s="646">
        <v>2.6473871600000001</v>
      </c>
      <c r="HQ462" s="646">
        <v>3.247387158</v>
      </c>
      <c r="HR462" s="646">
        <v>4.2422513760000005</v>
      </c>
      <c r="HS462" s="646">
        <v>4.7775214229999996</v>
      </c>
      <c r="HT462" s="646">
        <v>2.777521422</v>
      </c>
      <c r="HU462" s="646">
        <v>2.7775214240000001</v>
      </c>
      <c r="HV462" s="646">
        <v>3.777521423</v>
      </c>
      <c r="HW462" s="646">
        <v>3.4775214229999998</v>
      </c>
      <c r="HX462" s="646">
        <v>2.777521423</v>
      </c>
      <c r="HY462" s="646"/>
      <c r="HZ462" s="649"/>
      <c r="KT462" s="651"/>
      <c r="KU462" s="649"/>
    </row>
    <row r="463" spans="1:307" s="650" customFormat="1" outlineLevel="1">
      <c r="A463" s="644"/>
      <c r="B463" s="644"/>
      <c r="C463" s="644"/>
      <c r="D463" s="2081" t="s">
        <v>554</v>
      </c>
      <c r="E463" s="646"/>
      <c r="F463" s="646"/>
      <c r="G463" s="646"/>
      <c r="H463" s="646"/>
      <c r="I463" s="646"/>
      <c r="J463" s="646"/>
      <c r="K463" s="646"/>
      <c r="L463" s="646"/>
      <c r="M463" s="646"/>
      <c r="N463" s="646"/>
      <c r="O463" s="646"/>
      <c r="P463" s="646"/>
      <c r="Q463" s="646"/>
      <c r="R463" s="646"/>
      <c r="S463" s="646"/>
      <c r="T463" s="646"/>
      <c r="U463" s="646"/>
      <c r="V463" s="646"/>
      <c r="W463" s="646"/>
      <c r="X463" s="646"/>
      <c r="Y463" s="646"/>
      <c r="Z463" s="646"/>
      <c r="AA463" s="646"/>
      <c r="AB463" s="646"/>
      <c r="AC463" s="646"/>
      <c r="AD463" s="646"/>
      <c r="AE463" s="646"/>
      <c r="AF463" s="646"/>
      <c r="AG463" s="646"/>
      <c r="AH463" s="646"/>
      <c r="AI463" s="646"/>
      <c r="AJ463" s="646"/>
      <c r="AK463" s="646"/>
      <c r="AL463" s="646"/>
      <c r="AM463" s="646"/>
      <c r="AN463" s="646"/>
      <c r="AO463" s="646"/>
      <c r="AP463" s="646"/>
      <c r="AQ463" s="646"/>
      <c r="AR463" s="646"/>
      <c r="AS463" s="646"/>
      <c r="AT463" s="646"/>
      <c r="AU463" s="646"/>
      <c r="AV463" s="646"/>
      <c r="AW463" s="646"/>
      <c r="AX463" s="646"/>
      <c r="AY463" s="646"/>
      <c r="AZ463" s="646"/>
      <c r="BA463" s="646"/>
      <c r="BB463" s="646"/>
      <c r="BC463" s="646"/>
      <c r="BD463" s="646"/>
      <c r="BE463" s="646"/>
      <c r="BF463" s="646"/>
      <c r="BG463" s="646"/>
      <c r="BH463" s="646"/>
      <c r="BI463" s="646"/>
      <c r="BJ463" s="646"/>
      <c r="BK463" s="646"/>
      <c r="BL463" s="646"/>
      <c r="BM463" s="646"/>
      <c r="BN463" s="646"/>
      <c r="BO463" s="646"/>
      <c r="BP463" s="646"/>
      <c r="BQ463" s="646"/>
      <c r="BR463" s="646"/>
      <c r="BS463" s="646"/>
      <c r="BT463" s="646"/>
      <c r="BU463" s="646"/>
      <c r="BV463" s="646"/>
      <c r="BW463" s="646"/>
      <c r="BX463" s="646"/>
      <c r="BY463" s="646"/>
      <c r="BZ463" s="646"/>
      <c r="CA463" s="646"/>
      <c r="CB463" s="646"/>
      <c r="CC463" s="646"/>
      <c r="CD463" s="646"/>
      <c r="CE463" s="647"/>
      <c r="CF463" s="646"/>
      <c r="CG463" s="646"/>
      <c r="CH463" s="646"/>
      <c r="CI463" s="646"/>
      <c r="CJ463" s="646"/>
      <c r="CK463" s="646"/>
      <c r="CL463" s="646"/>
      <c r="CM463" s="646"/>
      <c r="CN463" s="646"/>
      <c r="CO463" s="646"/>
      <c r="CP463" s="648"/>
      <c r="CQ463" s="646"/>
      <c r="CR463" s="646"/>
      <c r="CS463" s="646"/>
      <c r="CT463" s="646"/>
      <c r="CU463" s="646"/>
      <c r="CV463" s="646"/>
      <c r="CW463" s="646"/>
      <c r="CX463" s="646"/>
      <c r="CY463" s="646"/>
      <c r="CZ463" s="646"/>
      <c r="DA463" s="646"/>
      <c r="DB463" s="1297"/>
      <c r="DC463" s="646"/>
      <c r="DD463" s="646"/>
      <c r="DE463" s="646"/>
      <c r="DF463" s="646"/>
      <c r="DG463" s="646"/>
      <c r="DH463" s="646"/>
      <c r="DI463" s="646"/>
      <c r="DJ463" s="646"/>
      <c r="DK463" s="646"/>
      <c r="DL463" s="646"/>
      <c r="DM463" s="646"/>
      <c r="DN463" s="648"/>
      <c r="DO463" s="646"/>
      <c r="DP463" s="646"/>
      <c r="DQ463" s="646"/>
      <c r="DR463" s="646"/>
      <c r="DS463" s="646"/>
      <c r="DT463" s="646"/>
      <c r="DU463" s="646"/>
      <c r="DV463" s="646"/>
      <c r="DW463" s="646"/>
      <c r="DX463" s="646"/>
      <c r="DY463" s="646"/>
      <c r="DZ463" s="648"/>
      <c r="EA463" s="646"/>
      <c r="EB463" s="646"/>
      <c r="EC463" s="646"/>
      <c r="ED463" s="646"/>
      <c r="EE463" s="646"/>
      <c r="EF463" s="646"/>
      <c r="EG463" s="646"/>
      <c r="EH463" s="646"/>
      <c r="EI463" s="646"/>
      <c r="EJ463" s="646"/>
      <c r="EK463" s="646"/>
      <c r="EL463" s="648"/>
      <c r="EM463" s="646"/>
      <c r="EN463" s="646"/>
      <c r="EO463" s="646"/>
      <c r="EP463" s="646"/>
      <c r="EQ463" s="646"/>
      <c r="ER463" s="646"/>
      <c r="ES463" s="646"/>
      <c r="ET463" s="646"/>
      <c r="EU463" s="646"/>
      <c r="EV463" s="646"/>
      <c r="EW463" s="646"/>
      <c r="EX463" s="648"/>
      <c r="EY463" s="646"/>
      <c r="EZ463" s="646"/>
      <c r="FA463" s="646"/>
      <c r="FB463" s="646"/>
      <c r="FC463" s="646"/>
      <c r="FD463" s="646"/>
      <c r="FE463" s="646"/>
      <c r="FF463" s="646"/>
      <c r="FG463" s="646"/>
      <c r="FH463" s="646"/>
      <c r="FI463" s="646"/>
      <c r="FJ463" s="648"/>
      <c r="FK463" s="646">
        <v>0.49176057000000001</v>
      </c>
      <c r="FL463" s="646">
        <v>1.419918185</v>
      </c>
      <c r="FM463" s="646">
        <v>9.6996727000000005E-2</v>
      </c>
      <c r="FN463" s="646">
        <v>0.43416053199999999</v>
      </c>
      <c r="FO463" s="646">
        <v>0.27897329799999998</v>
      </c>
      <c r="FP463" s="646">
        <v>1.7674170760000001</v>
      </c>
      <c r="FQ463" s="646">
        <v>1.8576309600000001</v>
      </c>
      <c r="FR463" s="646">
        <v>0.78832099300000003</v>
      </c>
      <c r="FS463" s="646">
        <v>0.56061431699999997</v>
      </c>
      <c r="FT463" s="646">
        <v>1.4917887839999999</v>
      </c>
      <c r="FU463" s="646">
        <v>1.4761310320000001</v>
      </c>
      <c r="FV463" s="646">
        <v>2.3882560000000001E-2</v>
      </c>
      <c r="FW463" s="646">
        <v>0.45750059700000001</v>
      </c>
      <c r="FX463" s="646">
        <v>0.464733273</v>
      </c>
      <c r="FY463" s="646">
        <v>0.120639353</v>
      </c>
      <c r="FZ463" s="646">
        <v>0.387695858</v>
      </c>
      <c r="GA463" s="646">
        <v>0.80063130800000004</v>
      </c>
      <c r="GB463" s="646">
        <v>1.7764598E-2</v>
      </c>
      <c r="GC463" s="646">
        <v>1.1976948709999999</v>
      </c>
      <c r="GD463" s="646">
        <v>1.489314123</v>
      </c>
      <c r="GE463" s="646">
        <v>0.113574315</v>
      </c>
      <c r="GF463" s="646">
        <v>0.52798811199999995</v>
      </c>
      <c r="GG463" s="646">
        <v>1.311857031</v>
      </c>
      <c r="GH463" s="646">
        <v>1.0606561E-2</v>
      </c>
      <c r="GI463" s="646">
        <v>1.6374368442402361</v>
      </c>
      <c r="GJ463" s="646">
        <v>1.59810697787657</v>
      </c>
      <c r="GK463" s="646">
        <v>1.7708136272075328</v>
      </c>
      <c r="GL463" s="646">
        <v>2.0149045861676038</v>
      </c>
      <c r="GM463" s="646">
        <v>1.6306085247205253</v>
      </c>
      <c r="GN463" s="646">
        <v>1.3600150707045875</v>
      </c>
      <c r="GO463" s="646">
        <v>0.80405501822330661</v>
      </c>
      <c r="GP463" s="646">
        <v>0.8296452005891426</v>
      </c>
      <c r="GQ463" s="646">
        <v>0.13972148506042958</v>
      </c>
      <c r="GR463" s="646">
        <v>0.43687405882687508</v>
      </c>
      <c r="GS463" s="646">
        <v>0.41425356359590526</v>
      </c>
      <c r="GT463" s="646">
        <v>2.5915109609708931</v>
      </c>
      <c r="GU463" s="646">
        <v>1.430365205</v>
      </c>
      <c r="GV463" s="646">
        <v>1.430092511</v>
      </c>
      <c r="GW463" s="646">
        <v>1.6196467650000002</v>
      </c>
      <c r="GX463" s="646">
        <v>1.4264545749999999</v>
      </c>
      <c r="GY463" s="646">
        <v>1.549524573</v>
      </c>
      <c r="GZ463" s="646">
        <v>1.549714407</v>
      </c>
      <c r="HA463" s="646">
        <v>1.3178086600000001</v>
      </c>
      <c r="HB463" s="646">
        <v>1.514249913</v>
      </c>
      <c r="HC463" s="646">
        <v>1.5481296</v>
      </c>
      <c r="HD463" s="646">
        <v>3.1031218119999999</v>
      </c>
      <c r="HE463" s="646">
        <v>4.7027966440000002</v>
      </c>
      <c r="HF463" s="646">
        <v>5.2990035849999995</v>
      </c>
      <c r="HG463" s="646">
        <v>8.7185306789999988</v>
      </c>
      <c r="HH463" s="646">
        <v>1.3477754740000001</v>
      </c>
      <c r="HI463" s="646">
        <v>0.13271226900000022</v>
      </c>
      <c r="HJ463" s="646">
        <v>4.9673027960000002</v>
      </c>
      <c r="HK463" s="646">
        <v>0.43434564800000075</v>
      </c>
      <c r="HL463" s="646">
        <v>0.22429220799999999</v>
      </c>
      <c r="HM463" s="646">
        <v>0.133051223</v>
      </c>
      <c r="HN463" s="646">
        <v>4.7739958940000005</v>
      </c>
      <c r="HO463" s="646">
        <v>5.0893511069999988</v>
      </c>
      <c r="HP463" s="646">
        <v>3.0316629920000002</v>
      </c>
      <c r="HQ463" s="646">
        <v>2.7088470619999998</v>
      </c>
      <c r="HR463" s="646">
        <v>3.0547837150000001</v>
      </c>
      <c r="HS463" s="646">
        <v>0.18168267499999999</v>
      </c>
      <c r="HT463" s="646">
        <v>0.64832840899999999</v>
      </c>
      <c r="HU463" s="646">
        <v>10.937446123000001</v>
      </c>
      <c r="HV463" s="646">
        <v>0.80163624300000003</v>
      </c>
      <c r="HW463" s="646">
        <v>1.0973090379999992</v>
      </c>
      <c r="HX463" s="646">
        <v>1.7764651199999999</v>
      </c>
      <c r="HY463" s="646"/>
      <c r="HZ463" s="649"/>
      <c r="KT463" s="651"/>
      <c r="KU463" s="649"/>
    </row>
    <row r="464" spans="1:307" s="650" customFormat="1" outlineLevel="1">
      <c r="A464" s="644"/>
      <c r="B464" s="644"/>
      <c r="C464" s="644"/>
      <c r="D464" s="1258" t="s">
        <v>3764</v>
      </c>
      <c r="E464" s="646"/>
      <c r="F464" s="646"/>
      <c r="G464" s="646"/>
      <c r="H464" s="646"/>
      <c r="I464" s="646"/>
      <c r="J464" s="646"/>
      <c r="K464" s="646"/>
      <c r="L464" s="646"/>
      <c r="M464" s="646"/>
      <c r="N464" s="646"/>
      <c r="O464" s="646"/>
      <c r="P464" s="646"/>
      <c r="Q464" s="646"/>
      <c r="R464" s="646"/>
      <c r="S464" s="646"/>
      <c r="T464" s="646"/>
      <c r="U464" s="646"/>
      <c r="V464" s="646"/>
      <c r="W464" s="646"/>
      <c r="X464" s="646"/>
      <c r="Y464" s="646"/>
      <c r="Z464" s="646"/>
      <c r="AA464" s="646"/>
      <c r="AB464" s="646"/>
      <c r="AC464" s="646"/>
      <c r="AD464" s="646"/>
      <c r="AE464" s="646"/>
      <c r="AF464" s="646"/>
      <c r="AG464" s="646"/>
      <c r="AH464" s="646"/>
      <c r="AI464" s="646"/>
      <c r="AJ464" s="646"/>
      <c r="AK464" s="646"/>
      <c r="AL464" s="646"/>
      <c r="AM464" s="646"/>
      <c r="AN464" s="646"/>
      <c r="AO464" s="646"/>
      <c r="AP464" s="646"/>
      <c r="AQ464" s="646"/>
      <c r="AR464" s="646"/>
      <c r="AS464" s="646"/>
      <c r="AT464" s="646"/>
      <c r="AU464" s="646"/>
      <c r="AV464" s="646"/>
      <c r="AW464" s="646"/>
      <c r="AX464" s="646"/>
      <c r="AY464" s="646"/>
      <c r="AZ464" s="646"/>
      <c r="BA464" s="646"/>
      <c r="BB464" s="646"/>
      <c r="BC464" s="646"/>
      <c r="BD464" s="646"/>
      <c r="BE464" s="646"/>
      <c r="BF464" s="646"/>
      <c r="BG464" s="646"/>
      <c r="BH464" s="646"/>
      <c r="BI464" s="646"/>
      <c r="BJ464" s="646"/>
      <c r="BK464" s="646"/>
      <c r="BL464" s="646"/>
      <c r="BM464" s="646"/>
      <c r="BN464" s="646"/>
      <c r="BO464" s="646"/>
      <c r="BP464" s="646"/>
      <c r="BQ464" s="646"/>
      <c r="BR464" s="646"/>
      <c r="BS464" s="646"/>
      <c r="BT464" s="646"/>
      <c r="BU464" s="646"/>
      <c r="BV464" s="646"/>
      <c r="BW464" s="646"/>
      <c r="BX464" s="646"/>
      <c r="BY464" s="646"/>
      <c r="BZ464" s="646"/>
      <c r="CA464" s="646"/>
      <c r="CB464" s="646"/>
      <c r="CC464" s="646"/>
      <c r="CD464" s="646"/>
      <c r="CE464" s="647"/>
      <c r="CF464" s="646"/>
      <c r="CG464" s="646"/>
      <c r="CH464" s="646"/>
      <c r="CI464" s="646"/>
      <c r="CJ464" s="646"/>
      <c r="CK464" s="646"/>
      <c r="CL464" s="646"/>
      <c r="CM464" s="646"/>
      <c r="CN464" s="646"/>
      <c r="CO464" s="646"/>
      <c r="CP464" s="648"/>
      <c r="CQ464" s="646"/>
      <c r="CR464" s="646"/>
      <c r="CS464" s="646"/>
      <c r="CT464" s="646"/>
      <c r="CU464" s="646"/>
      <c r="CV464" s="646"/>
      <c r="CW464" s="646"/>
      <c r="CX464" s="646"/>
      <c r="CY464" s="646"/>
      <c r="CZ464" s="646"/>
      <c r="DA464" s="646"/>
      <c r="DB464" s="1297"/>
      <c r="DC464" s="646"/>
      <c r="DD464" s="646"/>
      <c r="DE464" s="646"/>
      <c r="DF464" s="646"/>
      <c r="DG464" s="646"/>
      <c r="DH464" s="646"/>
      <c r="DI464" s="646"/>
      <c r="DJ464" s="646"/>
      <c r="DK464" s="646"/>
      <c r="DL464" s="646"/>
      <c r="DM464" s="646"/>
      <c r="DN464" s="648"/>
      <c r="DO464" s="646"/>
      <c r="DP464" s="646"/>
      <c r="DQ464" s="646"/>
      <c r="DR464" s="646"/>
      <c r="DS464" s="646"/>
      <c r="DT464" s="646"/>
      <c r="DU464" s="646"/>
      <c r="DV464" s="646"/>
      <c r="DW464" s="646"/>
      <c r="DX464" s="646"/>
      <c r="DY464" s="646"/>
      <c r="DZ464" s="648"/>
      <c r="EA464" s="646"/>
      <c r="EB464" s="646"/>
      <c r="EC464" s="646"/>
      <c r="ED464" s="646"/>
      <c r="EE464" s="646"/>
      <c r="EF464" s="646"/>
      <c r="EG464" s="646"/>
      <c r="EH464" s="646"/>
      <c r="EI464" s="646"/>
      <c r="EJ464" s="646"/>
      <c r="EK464" s="646"/>
      <c r="EL464" s="648"/>
      <c r="EM464" s="646"/>
      <c r="EN464" s="646"/>
      <c r="EO464" s="646"/>
      <c r="EP464" s="646"/>
      <c r="EQ464" s="646"/>
      <c r="ER464" s="646"/>
      <c r="ES464" s="646"/>
      <c r="ET464" s="646"/>
      <c r="EU464" s="646"/>
      <c r="EV464" s="646"/>
      <c r="EW464" s="646"/>
      <c r="EX464" s="648"/>
      <c r="EY464" s="646"/>
      <c r="EZ464" s="646"/>
      <c r="FA464" s="646"/>
      <c r="FB464" s="646"/>
      <c r="FC464" s="646"/>
      <c r="FD464" s="646"/>
      <c r="FE464" s="646"/>
      <c r="FF464" s="646"/>
      <c r="FG464" s="646"/>
      <c r="FH464" s="646"/>
      <c r="FI464" s="646"/>
      <c r="FJ464" s="648"/>
      <c r="FK464" s="646">
        <v>81.961157436999997</v>
      </c>
      <c r="FL464" s="646">
        <v>32.231215093000003</v>
      </c>
      <c r="FM464" s="646">
        <v>38.503959944000002</v>
      </c>
      <c r="FN464" s="646">
        <v>36.204567167</v>
      </c>
      <c r="FO464" s="646">
        <v>43.507878181000002</v>
      </c>
      <c r="FP464" s="646">
        <v>44.902980618000001</v>
      </c>
      <c r="FQ464" s="646">
        <v>30.637659040999999</v>
      </c>
      <c r="FR464" s="646">
        <v>52.207803991000006</v>
      </c>
      <c r="FS464" s="646">
        <v>33.192140019</v>
      </c>
      <c r="FT464" s="646">
        <v>42.673742615666661</v>
      </c>
      <c r="FU464" s="646">
        <v>53.367921292666665</v>
      </c>
      <c r="FV464" s="646">
        <v>30.473241539666667</v>
      </c>
      <c r="FW464" s="646">
        <v>47.608307402999998</v>
      </c>
      <c r="FX464" s="646">
        <v>49.866267618000002</v>
      </c>
      <c r="FY464" s="646">
        <v>48.145946479000003</v>
      </c>
      <c r="FZ464" s="646">
        <v>44.032927839999999</v>
      </c>
      <c r="GA464" s="646">
        <v>40.076464637999997</v>
      </c>
      <c r="GB464" s="646">
        <v>57.962242615000008</v>
      </c>
      <c r="GC464" s="646">
        <v>61.870047727999996</v>
      </c>
      <c r="GD464" s="646">
        <v>60.362746835999999</v>
      </c>
      <c r="GE464" s="646">
        <v>61.098362631000001</v>
      </c>
      <c r="GF464" s="646">
        <v>50.56239815433333</v>
      </c>
      <c r="GG464" s="646">
        <v>66.613034873333319</v>
      </c>
      <c r="GH464" s="646">
        <v>35.406809047993328</v>
      </c>
      <c r="GI464" s="646">
        <v>63.315470346478669</v>
      </c>
      <c r="GJ464" s="646">
        <v>61.79468559301533</v>
      </c>
      <c r="GK464" s="646">
        <v>68.472807422763253</v>
      </c>
      <c r="GL464" s="646">
        <v>77.911176864762012</v>
      </c>
      <c r="GM464" s="646">
        <v>63.051436796978862</v>
      </c>
      <c r="GN464" s="646">
        <v>52.588284050683548</v>
      </c>
      <c r="GO464" s="646">
        <v>80.329184199741931</v>
      </c>
      <c r="GP464" s="646">
        <v>52.729687571944901</v>
      </c>
      <c r="GQ464" s="646">
        <v>57.00291162264103</v>
      </c>
      <c r="GR464" s="646">
        <v>145.12573419833842</v>
      </c>
      <c r="GS464" s="646">
        <v>124.40529978484267</v>
      </c>
      <c r="GT464" s="646">
        <v>70.315429400650288</v>
      </c>
      <c r="GU464" s="646">
        <v>68.019836263000002</v>
      </c>
      <c r="GV464" s="646">
        <v>77.914390959000002</v>
      </c>
      <c r="GW464" s="646">
        <v>70.399929954000001</v>
      </c>
      <c r="GX464" s="646">
        <v>54.054448450999999</v>
      </c>
      <c r="GY464" s="646">
        <v>55.463675532999993</v>
      </c>
      <c r="GZ464" s="646">
        <v>55.065857573000002</v>
      </c>
      <c r="HA464" s="646">
        <v>82.585276563000008</v>
      </c>
      <c r="HB464" s="646">
        <v>76.793276937000002</v>
      </c>
      <c r="HC464" s="646">
        <v>64.503661109999996</v>
      </c>
      <c r="HD464" s="646">
        <v>92.690899384000005</v>
      </c>
      <c r="HE464" s="646">
        <v>92.963413351</v>
      </c>
      <c r="HF464" s="646">
        <v>134.74191503700001</v>
      </c>
      <c r="HG464" s="646">
        <v>64.142504721999998</v>
      </c>
      <c r="HH464" s="646">
        <v>82.640213967999998</v>
      </c>
      <c r="HI464" s="646">
        <v>93.523515953</v>
      </c>
      <c r="HJ464" s="646">
        <v>83.845717028999999</v>
      </c>
      <c r="HK464" s="646">
        <v>63.962566420999998</v>
      </c>
      <c r="HL464" s="646">
        <v>73.634937096000002</v>
      </c>
      <c r="HM464" s="646">
        <v>89.618628291999997</v>
      </c>
      <c r="HN464" s="646">
        <v>79.804015207000006</v>
      </c>
      <c r="HO464" s="646">
        <v>66.833022557000007</v>
      </c>
      <c r="HP464" s="646">
        <v>75.9326600396667</v>
      </c>
      <c r="HQ464" s="646">
        <v>80.313830792666707</v>
      </c>
      <c r="HR464" s="646">
        <v>82.957965152666702</v>
      </c>
      <c r="HS464" s="646">
        <v>61.934508121999997</v>
      </c>
      <c r="HT464" s="646">
        <v>143.117992429</v>
      </c>
      <c r="HU464" s="646">
        <v>90.627016173000001</v>
      </c>
      <c r="HV464" s="646">
        <v>70.168329368000002</v>
      </c>
      <c r="HW464" s="646">
        <v>81.213860616999995</v>
      </c>
      <c r="HX464" s="646">
        <v>81.88291512699999</v>
      </c>
      <c r="HY464" s="646"/>
      <c r="HZ464" s="649"/>
      <c r="KT464" s="651"/>
      <c r="KU464" s="649"/>
    </row>
    <row r="465" spans="1:307" s="650" customFormat="1" outlineLevel="1">
      <c r="A465" s="644"/>
      <c r="B465" s="644"/>
      <c r="C465" s="644"/>
      <c r="D465" s="2081" t="s">
        <v>553</v>
      </c>
      <c r="E465" s="646"/>
      <c r="F465" s="646"/>
      <c r="G465" s="646"/>
      <c r="H465" s="646"/>
      <c r="I465" s="646"/>
      <c r="J465" s="646"/>
      <c r="K465" s="646"/>
      <c r="L465" s="646"/>
      <c r="M465" s="646"/>
      <c r="N465" s="646"/>
      <c r="O465" s="646"/>
      <c r="P465" s="646"/>
      <c r="Q465" s="646"/>
      <c r="R465" s="646"/>
      <c r="S465" s="646"/>
      <c r="T465" s="646"/>
      <c r="U465" s="646"/>
      <c r="V465" s="646"/>
      <c r="W465" s="646"/>
      <c r="X465" s="646"/>
      <c r="Y465" s="646"/>
      <c r="Z465" s="646"/>
      <c r="AA465" s="646"/>
      <c r="AB465" s="646"/>
      <c r="AC465" s="646"/>
      <c r="AD465" s="646"/>
      <c r="AE465" s="646"/>
      <c r="AF465" s="646"/>
      <c r="AG465" s="646"/>
      <c r="AH465" s="646"/>
      <c r="AI465" s="646"/>
      <c r="AJ465" s="646"/>
      <c r="AK465" s="646"/>
      <c r="AL465" s="646"/>
      <c r="AM465" s="646"/>
      <c r="AN465" s="646"/>
      <c r="AO465" s="646"/>
      <c r="AP465" s="646"/>
      <c r="AQ465" s="646"/>
      <c r="AR465" s="646"/>
      <c r="AS465" s="646"/>
      <c r="AT465" s="646"/>
      <c r="AU465" s="646"/>
      <c r="AV465" s="646"/>
      <c r="AW465" s="646"/>
      <c r="AX465" s="646"/>
      <c r="AY465" s="646"/>
      <c r="AZ465" s="646"/>
      <c r="BA465" s="646"/>
      <c r="BB465" s="646"/>
      <c r="BC465" s="646"/>
      <c r="BD465" s="646"/>
      <c r="BE465" s="646"/>
      <c r="BF465" s="646"/>
      <c r="BG465" s="646"/>
      <c r="BH465" s="646"/>
      <c r="BI465" s="646"/>
      <c r="BJ465" s="646"/>
      <c r="BK465" s="646"/>
      <c r="BL465" s="646"/>
      <c r="BM465" s="646"/>
      <c r="BN465" s="646"/>
      <c r="BO465" s="646"/>
      <c r="BP465" s="646"/>
      <c r="BQ465" s="646"/>
      <c r="BR465" s="646"/>
      <c r="BS465" s="646"/>
      <c r="BT465" s="646"/>
      <c r="BU465" s="646"/>
      <c r="BV465" s="646"/>
      <c r="BW465" s="646"/>
      <c r="BX465" s="646"/>
      <c r="BY465" s="646"/>
      <c r="BZ465" s="646"/>
      <c r="CA465" s="646"/>
      <c r="CB465" s="646"/>
      <c r="CC465" s="646"/>
      <c r="CD465" s="646"/>
      <c r="CE465" s="647"/>
      <c r="CF465" s="646"/>
      <c r="CG465" s="646"/>
      <c r="CH465" s="646"/>
      <c r="CI465" s="646"/>
      <c r="CJ465" s="646"/>
      <c r="CK465" s="646"/>
      <c r="CL465" s="646"/>
      <c r="CM465" s="646"/>
      <c r="CN465" s="646"/>
      <c r="CO465" s="646"/>
      <c r="CP465" s="648"/>
      <c r="CQ465" s="646"/>
      <c r="CR465" s="646"/>
      <c r="CS465" s="646"/>
      <c r="CT465" s="646"/>
      <c r="CU465" s="646"/>
      <c r="CV465" s="646"/>
      <c r="CW465" s="646"/>
      <c r="CX465" s="646"/>
      <c r="CY465" s="646"/>
      <c r="CZ465" s="646"/>
      <c r="DA465" s="646"/>
      <c r="DB465" s="1297"/>
      <c r="DC465" s="646"/>
      <c r="DD465" s="646"/>
      <c r="DE465" s="646"/>
      <c r="DF465" s="646"/>
      <c r="DG465" s="646"/>
      <c r="DH465" s="646"/>
      <c r="DI465" s="646"/>
      <c r="DJ465" s="646"/>
      <c r="DK465" s="646"/>
      <c r="DL465" s="646"/>
      <c r="DM465" s="646"/>
      <c r="DN465" s="648"/>
      <c r="DO465" s="646"/>
      <c r="DP465" s="646"/>
      <c r="DQ465" s="646"/>
      <c r="DR465" s="646"/>
      <c r="DS465" s="646"/>
      <c r="DT465" s="646"/>
      <c r="DU465" s="646"/>
      <c r="DV465" s="646"/>
      <c r="DW465" s="646"/>
      <c r="DX465" s="646"/>
      <c r="DY465" s="646"/>
      <c r="DZ465" s="648"/>
      <c r="EA465" s="646"/>
      <c r="EB465" s="646"/>
      <c r="EC465" s="646"/>
      <c r="ED465" s="646"/>
      <c r="EE465" s="646"/>
      <c r="EF465" s="646"/>
      <c r="EG465" s="646"/>
      <c r="EH465" s="646"/>
      <c r="EI465" s="646"/>
      <c r="EJ465" s="646"/>
      <c r="EK465" s="646"/>
      <c r="EL465" s="648"/>
      <c r="EM465" s="646"/>
      <c r="EN465" s="646"/>
      <c r="EO465" s="646"/>
      <c r="EP465" s="646"/>
      <c r="EQ465" s="646"/>
      <c r="ER465" s="646"/>
      <c r="ES465" s="646"/>
      <c r="ET465" s="646"/>
      <c r="EU465" s="646"/>
      <c r="EV465" s="646"/>
      <c r="EW465" s="646"/>
      <c r="EX465" s="648"/>
      <c r="EY465" s="646"/>
      <c r="EZ465" s="646"/>
      <c r="FA465" s="646"/>
      <c r="FB465" s="646"/>
      <c r="FC465" s="646"/>
      <c r="FD465" s="646"/>
      <c r="FE465" s="646"/>
      <c r="FF465" s="646"/>
      <c r="FG465" s="646"/>
      <c r="FH465" s="646"/>
      <c r="FI465" s="646"/>
      <c r="FJ465" s="648"/>
      <c r="FK465" s="646">
        <v>21.013475028999999</v>
      </c>
      <c r="FL465" s="646">
        <v>15.359581321</v>
      </c>
      <c r="FM465" s="646">
        <v>28.156760133999999</v>
      </c>
      <c r="FN465" s="646">
        <v>20.497816748999998</v>
      </c>
      <c r="FO465" s="646">
        <v>25.275483776000002</v>
      </c>
      <c r="FP465" s="646">
        <v>26.235161446999999</v>
      </c>
      <c r="FQ465" s="646">
        <v>15.928431709</v>
      </c>
      <c r="FR465" s="646">
        <v>35.645222158999999</v>
      </c>
      <c r="FS465" s="646">
        <v>24.373610070000002</v>
      </c>
      <c r="FT465" s="646">
        <v>27.144436080999998</v>
      </c>
      <c r="FU465" s="646">
        <v>34.213692524999999</v>
      </c>
      <c r="FV465" s="646">
        <v>19.364294269999998</v>
      </c>
      <c r="FW465" s="646">
        <v>29.781235358</v>
      </c>
      <c r="FX465" s="646">
        <v>36.793182447</v>
      </c>
      <c r="FY465" s="646">
        <v>34.093462453000001</v>
      </c>
      <c r="FZ465" s="646">
        <v>31.306597431</v>
      </c>
      <c r="GA465" s="646">
        <v>30.761781915999997</v>
      </c>
      <c r="GB465" s="646">
        <v>44.081339828000004</v>
      </c>
      <c r="GC465" s="646">
        <v>49.436025641999997</v>
      </c>
      <c r="GD465" s="646">
        <v>47.410516025</v>
      </c>
      <c r="GE465" s="646">
        <v>53.783933732000001</v>
      </c>
      <c r="GF465" s="646">
        <v>40.624879982333326</v>
      </c>
      <c r="GG465" s="646">
        <v>56.515140672333317</v>
      </c>
      <c r="GH465" s="646">
        <v>33.594453238993324</v>
      </c>
      <c r="GI465" s="646">
        <v>45.013457499478669</v>
      </c>
      <c r="GJ465" s="646">
        <v>49.620369932015329</v>
      </c>
      <c r="GK465" s="646">
        <v>46.370719951763249</v>
      </c>
      <c r="GL465" s="646">
        <v>65.844789846095338</v>
      </c>
      <c r="GM465" s="646">
        <v>49.375770024312182</v>
      </c>
      <c r="GN465" s="646">
        <v>33.954399937016873</v>
      </c>
      <c r="GO465" s="646">
        <v>61.079093148709482</v>
      </c>
      <c r="GP465" s="646">
        <v>33.765329866053001</v>
      </c>
      <c r="GQ465" s="646">
        <v>34.389260875581215</v>
      </c>
      <c r="GR465" s="646">
        <v>97.794277297681461</v>
      </c>
      <c r="GS465" s="646">
        <v>108.82744907665959</v>
      </c>
      <c r="GT465" s="646">
        <v>70.229227827890327</v>
      </c>
      <c r="GU465" s="646">
        <v>45.722296176</v>
      </c>
      <c r="GV465" s="646">
        <v>41.990718362999999</v>
      </c>
      <c r="GW465" s="646">
        <v>59.900200235</v>
      </c>
      <c r="GX465" s="646">
        <v>43.570037036999999</v>
      </c>
      <c r="GY465" s="646">
        <v>47.172167208999994</v>
      </c>
      <c r="GZ465" s="646">
        <v>45.029397557999999</v>
      </c>
      <c r="HA465" s="646">
        <v>62.350099483000001</v>
      </c>
      <c r="HB465" s="646">
        <v>58.620192950000003</v>
      </c>
      <c r="HC465" s="646">
        <v>48.328629614</v>
      </c>
      <c r="HD465" s="646">
        <v>60.701139401000006</v>
      </c>
      <c r="HE465" s="646">
        <v>55.675628447999998</v>
      </c>
      <c r="HF465" s="646">
        <v>134.66983843700001</v>
      </c>
      <c r="HG465" s="646">
        <v>55.128630242</v>
      </c>
      <c r="HH465" s="646">
        <v>59.750155153999998</v>
      </c>
      <c r="HI465" s="646">
        <v>53.269613438</v>
      </c>
      <c r="HJ465" s="646">
        <v>68.00249186100001</v>
      </c>
      <c r="HK465" s="646">
        <v>58.623075753999998</v>
      </c>
      <c r="HL465" s="646">
        <v>70.990658312999997</v>
      </c>
      <c r="HM465" s="646">
        <v>70.005075602000005</v>
      </c>
      <c r="HN465" s="646">
        <v>48.783177815000002</v>
      </c>
      <c r="HO465" s="646">
        <v>58.789082512</v>
      </c>
      <c r="HP465" s="646">
        <v>67.07144389966669</v>
      </c>
      <c r="HQ465" s="646">
        <v>74.610172823666701</v>
      </c>
      <c r="HR465" s="646">
        <v>63.535615975666701</v>
      </c>
      <c r="HS465" s="646">
        <v>51.698453528999998</v>
      </c>
      <c r="HT465" s="646">
        <v>118.706338113</v>
      </c>
      <c r="HU465" s="646">
        <v>54.968163750000002</v>
      </c>
      <c r="HV465" s="646">
        <v>60.059080735000009</v>
      </c>
      <c r="HW465" s="646">
        <v>65.026827320999999</v>
      </c>
      <c r="HX465" s="646">
        <v>67.688523919999994</v>
      </c>
      <c r="HY465" s="646"/>
      <c r="HZ465" s="649"/>
      <c r="KT465" s="651"/>
      <c r="KU465" s="649"/>
    </row>
    <row r="466" spans="1:307" s="650" customFormat="1" outlineLevel="1">
      <c r="A466" s="644"/>
      <c r="B466" s="644"/>
      <c r="C466" s="644"/>
      <c r="D466" s="2062" t="s">
        <v>3126</v>
      </c>
      <c r="E466" s="646"/>
      <c r="F466" s="646"/>
      <c r="G466" s="646"/>
      <c r="H466" s="646"/>
      <c r="I466" s="646"/>
      <c r="J466" s="646"/>
      <c r="K466" s="646"/>
      <c r="L466" s="646"/>
      <c r="M466" s="646"/>
      <c r="N466" s="646"/>
      <c r="O466" s="646"/>
      <c r="P466" s="646"/>
      <c r="Q466" s="646"/>
      <c r="R466" s="646"/>
      <c r="S466" s="646"/>
      <c r="T466" s="646"/>
      <c r="U466" s="646"/>
      <c r="V466" s="646"/>
      <c r="W466" s="646"/>
      <c r="X466" s="646"/>
      <c r="Y466" s="646"/>
      <c r="Z466" s="646"/>
      <c r="AA466" s="646"/>
      <c r="AB466" s="646"/>
      <c r="AC466" s="646"/>
      <c r="AD466" s="646"/>
      <c r="AE466" s="646"/>
      <c r="AF466" s="646"/>
      <c r="AG466" s="646"/>
      <c r="AH466" s="646"/>
      <c r="AI466" s="646"/>
      <c r="AJ466" s="646"/>
      <c r="AK466" s="646"/>
      <c r="AL466" s="646"/>
      <c r="AM466" s="646"/>
      <c r="AN466" s="646"/>
      <c r="AO466" s="646"/>
      <c r="AP466" s="646"/>
      <c r="AQ466" s="646"/>
      <c r="AR466" s="646"/>
      <c r="AS466" s="646"/>
      <c r="AT466" s="646"/>
      <c r="AU466" s="646"/>
      <c r="AV466" s="646"/>
      <c r="AW466" s="646"/>
      <c r="AX466" s="646"/>
      <c r="AY466" s="646"/>
      <c r="AZ466" s="646"/>
      <c r="BA466" s="646"/>
      <c r="BB466" s="646"/>
      <c r="BC466" s="646"/>
      <c r="BD466" s="646"/>
      <c r="BE466" s="646"/>
      <c r="BF466" s="646"/>
      <c r="BG466" s="646"/>
      <c r="BH466" s="646"/>
      <c r="BI466" s="646"/>
      <c r="BJ466" s="646"/>
      <c r="BK466" s="646"/>
      <c r="BL466" s="646"/>
      <c r="BM466" s="646"/>
      <c r="BN466" s="646"/>
      <c r="BO466" s="646"/>
      <c r="BP466" s="646"/>
      <c r="BQ466" s="646"/>
      <c r="BR466" s="646"/>
      <c r="BS466" s="646"/>
      <c r="BT466" s="646"/>
      <c r="BU466" s="646"/>
      <c r="BV466" s="646"/>
      <c r="BW466" s="646"/>
      <c r="BX466" s="646"/>
      <c r="BY466" s="646"/>
      <c r="BZ466" s="646"/>
      <c r="CA466" s="646"/>
      <c r="CB466" s="646"/>
      <c r="CC466" s="646"/>
      <c r="CD466" s="646"/>
      <c r="CE466" s="647"/>
      <c r="CF466" s="646"/>
      <c r="CG466" s="646"/>
      <c r="CH466" s="646"/>
      <c r="CI466" s="646"/>
      <c r="CJ466" s="646"/>
      <c r="CK466" s="646"/>
      <c r="CL466" s="646"/>
      <c r="CM466" s="646"/>
      <c r="CN466" s="646"/>
      <c r="CO466" s="646"/>
      <c r="CP466" s="648"/>
      <c r="CQ466" s="646"/>
      <c r="CR466" s="646"/>
      <c r="CS466" s="646"/>
      <c r="CT466" s="646"/>
      <c r="CU466" s="646"/>
      <c r="CV466" s="646"/>
      <c r="CW466" s="646"/>
      <c r="CX466" s="646"/>
      <c r="CY466" s="646"/>
      <c r="CZ466" s="646"/>
      <c r="DA466" s="646"/>
      <c r="DB466" s="1297"/>
      <c r="DC466" s="646"/>
      <c r="DD466" s="646"/>
      <c r="DE466" s="646"/>
      <c r="DF466" s="646"/>
      <c r="DG466" s="646"/>
      <c r="DH466" s="646"/>
      <c r="DI466" s="646"/>
      <c r="DJ466" s="646"/>
      <c r="DK466" s="646"/>
      <c r="DL466" s="646"/>
      <c r="DM466" s="646"/>
      <c r="DN466" s="648"/>
      <c r="DO466" s="646"/>
      <c r="DP466" s="646"/>
      <c r="DQ466" s="646"/>
      <c r="DR466" s="646"/>
      <c r="DS466" s="646"/>
      <c r="DT466" s="646"/>
      <c r="DU466" s="646"/>
      <c r="DV466" s="646"/>
      <c r="DW466" s="646"/>
      <c r="DX466" s="646"/>
      <c r="DY466" s="646"/>
      <c r="DZ466" s="648"/>
      <c r="EA466" s="646"/>
      <c r="EB466" s="646"/>
      <c r="EC466" s="646"/>
      <c r="ED466" s="646"/>
      <c r="EE466" s="646"/>
      <c r="EF466" s="646"/>
      <c r="EG466" s="646"/>
      <c r="EH466" s="646"/>
      <c r="EI466" s="646"/>
      <c r="EJ466" s="646"/>
      <c r="EK466" s="646"/>
      <c r="EL466" s="648"/>
      <c r="EM466" s="646"/>
      <c r="EN466" s="646"/>
      <c r="EO466" s="646"/>
      <c r="EP466" s="646"/>
      <c r="EQ466" s="646"/>
      <c r="ER466" s="646"/>
      <c r="ES466" s="646"/>
      <c r="ET466" s="646"/>
      <c r="EU466" s="646"/>
      <c r="EV466" s="646"/>
      <c r="EW466" s="646"/>
      <c r="EX466" s="648"/>
      <c r="EY466" s="646"/>
      <c r="EZ466" s="646"/>
      <c r="FA466" s="646"/>
      <c r="FB466" s="646"/>
      <c r="FC466" s="646"/>
      <c r="FD466" s="646"/>
      <c r="FE466" s="646"/>
      <c r="FF466" s="646"/>
      <c r="FG466" s="646"/>
      <c r="FH466" s="646"/>
      <c r="FI466" s="646"/>
      <c r="FJ466" s="648"/>
      <c r="FK466" s="646">
        <v>17.482311929000002</v>
      </c>
      <c r="FL466" s="646">
        <v>11.107099948</v>
      </c>
      <c r="FM466" s="646">
        <v>23.679509856999999</v>
      </c>
      <c r="FN466" s="646">
        <v>17.293242465999999</v>
      </c>
      <c r="FO466" s="646">
        <v>22.692469431999999</v>
      </c>
      <c r="FP466" s="646">
        <v>19.269962512999999</v>
      </c>
      <c r="FQ466" s="646">
        <v>12.758703525</v>
      </c>
      <c r="FR466" s="646">
        <v>24.922946290999999</v>
      </c>
      <c r="FS466" s="646">
        <v>20.048546124000001</v>
      </c>
      <c r="FT466" s="646">
        <v>21.973771252999999</v>
      </c>
      <c r="FU466" s="646">
        <v>23.041330871</v>
      </c>
      <c r="FV466" s="646">
        <v>18.024937914999999</v>
      </c>
      <c r="FW466" s="646">
        <v>22.100498948999999</v>
      </c>
      <c r="FX466" s="646">
        <v>24.565963848999999</v>
      </c>
      <c r="FY466" s="646">
        <v>23.576615412999999</v>
      </c>
      <c r="FZ466" s="646">
        <v>23.594416938999998</v>
      </c>
      <c r="GA466" s="646">
        <v>23.165967116000001</v>
      </c>
      <c r="GB466" s="646">
        <v>21.417965687999999</v>
      </c>
      <c r="GC466" s="646">
        <v>26.446485598999999</v>
      </c>
      <c r="GD466" s="646">
        <v>24.253297138000001</v>
      </c>
      <c r="GE466" s="646">
        <v>24.832493839000001</v>
      </c>
      <c r="GF466" s="646">
        <v>33.262776429333329</v>
      </c>
      <c r="GG466" s="646">
        <v>32.914308960333329</v>
      </c>
      <c r="GH466" s="646">
        <v>28.011158680333327</v>
      </c>
      <c r="GI466" s="646">
        <v>24.112011126999999</v>
      </c>
      <c r="GJ466" s="646">
        <v>30.688406675</v>
      </c>
      <c r="GK466" s="646">
        <v>38.752014398999997</v>
      </c>
      <c r="GL466" s="646">
        <v>26.683033745333333</v>
      </c>
      <c r="GM466" s="646">
        <v>42.554643577613213</v>
      </c>
      <c r="GN466" s="646">
        <v>29.696257655678231</v>
      </c>
      <c r="GO466" s="646">
        <v>26.693782936018216</v>
      </c>
      <c r="GP466" s="646">
        <v>26.59898166045965</v>
      </c>
      <c r="GQ466" s="646">
        <v>27.663310263398909</v>
      </c>
      <c r="GR466" s="646">
        <v>55.600319948377077</v>
      </c>
      <c r="GS466" s="646">
        <v>54.053561318717733</v>
      </c>
      <c r="GT466" s="646">
        <v>51.955715162471257</v>
      </c>
      <c r="GU466" s="646">
        <v>44.490954549999998</v>
      </c>
      <c r="GV466" s="646">
        <v>40.536396447000001</v>
      </c>
      <c r="GW466" s="646">
        <v>46.101277069000005</v>
      </c>
      <c r="GX466" s="646">
        <v>36.666316277</v>
      </c>
      <c r="GY466" s="646">
        <v>43.568330525</v>
      </c>
      <c r="GZ466" s="646">
        <v>40.251576471</v>
      </c>
      <c r="HA466" s="646">
        <v>40.073467524000002</v>
      </c>
      <c r="HB466" s="646">
        <v>40.629131823999998</v>
      </c>
      <c r="HC466" s="646">
        <v>35.057675195999998</v>
      </c>
      <c r="HD466" s="646">
        <v>49.377102291</v>
      </c>
      <c r="HE466" s="646">
        <v>44.041375311000003</v>
      </c>
      <c r="HF466" s="646">
        <v>42.247151621999997</v>
      </c>
      <c r="HG466" s="646">
        <v>48.288416775999998</v>
      </c>
      <c r="HH466" s="646">
        <v>48.249017246000001</v>
      </c>
      <c r="HI466" s="646">
        <v>46.232252574</v>
      </c>
      <c r="HJ466" s="646">
        <v>34.779779367000003</v>
      </c>
      <c r="HK466" s="646">
        <v>46.400558386999997</v>
      </c>
      <c r="HL466" s="646">
        <v>61.199443883000001</v>
      </c>
      <c r="HM466" s="646">
        <v>52.059830500000004</v>
      </c>
      <c r="HN466" s="646">
        <v>46.499591997000003</v>
      </c>
      <c r="HO466" s="646">
        <v>49.289120715000003</v>
      </c>
      <c r="HP466" s="646">
        <v>48.337712746000001</v>
      </c>
      <c r="HQ466" s="646">
        <v>49.106649520999994</v>
      </c>
      <c r="HR466" s="646">
        <v>49.726253879000005</v>
      </c>
      <c r="HS466" s="646">
        <v>47.000617882999997</v>
      </c>
      <c r="HT466" s="646">
        <v>80.871715245999994</v>
      </c>
      <c r="HU466" s="646">
        <v>46.884514760999998</v>
      </c>
      <c r="HV466" s="646">
        <v>56.481664074999998</v>
      </c>
      <c r="HW466" s="646">
        <v>61.839559801000007</v>
      </c>
      <c r="HX466" s="646">
        <v>57.371888280999997</v>
      </c>
      <c r="HY466" s="646"/>
      <c r="HZ466" s="649"/>
      <c r="KT466" s="651"/>
      <c r="KU466" s="649"/>
    </row>
    <row r="467" spans="1:307" s="650" customFormat="1" outlineLevel="1">
      <c r="A467" s="644"/>
      <c r="B467" s="644"/>
      <c r="C467" s="644"/>
      <c r="D467" s="2081" t="s">
        <v>554</v>
      </c>
      <c r="E467" s="646"/>
      <c r="F467" s="646"/>
      <c r="G467" s="646"/>
      <c r="H467" s="646"/>
      <c r="I467" s="646"/>
      <c r="J467" s="646"/>
      <c r="K467" s="646"/>
      <c r="L467" s="646"/>
      <c r="M467" s="646"/>
      <c r="N467" s="646"/>
      <c r="O467" s="646"/>
      <c r="P467" s="646"/>
      <c r="Q467" s="646"/>
      <c r="R467" s="646"/>
      <c r="S467" s="646"/>
      <c r="T467" s="646"/>
      <c r="U467" s="646"/>
      <c r="V467" s="646"/>
      <c r="W467" s="646"/>
      <c r="X467" s="646"/>
      <c r="Y467" s="646"/>
      <c r="Z467" s="646"/>
      <c r="AA467" s="646"/>
      <c r="AB467" s="646"/>
      <c r="AC467" s="646"/>
      <c r="AD467" s="646"/>
      <c r="AE467" s="646"/>
      <c r="AF467" s="646"/>
      <c r="AG467" s="646"/>
      <c r="AH467" s="646"/>
      <c r="AI467" s="646"/>
      <c r="AJ467" s="646"/>
      <c r="AK467" s="646"/>
      <c r="AL467" s="646"/>
      <c r="AM467" s="646"/>
      <c r="AN467" s="646"/>
      <c r="AO467" s="646"/>
      <c r="AP467" s="646"/>
      <c r="AQ467" s="646"/>
      <c r="AR467" s="646"/>
      <c r="AS467" s="646"/>
      <c r="AT467" s="646"/>
      <c r="AU467" s="646"/>
      <c r="AV467" s="646"/>
      <c r="AW467" s="646"/>
      <c r="AX467" s="646"/>
      <c r="AY467" s="646"/>
      <c r="AZ467" s="646"/>
      <c r="BA467" s="646"/>
      <c r="BB467" s="646"/>
      <c r="BC467" s="646"/>
      <c r="BD467" s="646"/>
      <c r="BE467" s="646"/>
      <c r="BF467" s="646"/>
      <c r="BG467" s="646"/>
      <c r="BH467" s="646"/>
      <c r="BI467" s="646"/>
      <c r="BJ467" s="646"/>
      <c r="BK467" s="646"/>
      <c r="BL467" s="646"/>
      <c r="BM467" s="646"/>
      <c r="BN467" s="646"/>
      <c r="BO467" s="646"/>
      <c r="BP467" s="646"/>
      <c r="BQ467" s="646"/>
      <c r="BR467" s="646"/>
      <c r="BS467" s="646"/>
      <c r="BT467" s="646"/>
      <c r="BU467" s="646"/>
      <c r="BV467" s="646"/>
      <c r="BW467" s="646"/>
      <c r="BX467" s="646"/>
      <c r="BY467" s="646"/>
      <c r="BZ467" s="646"/>
      <c r="CA467" s="646"/>
      <c r="CB467" s="646"/>
      <c r="CC467" s="646"/>
      <c r="CD467" s="646"/>
      <c r="CE467" s="647"/>
      <c r="CF467" s="646"/>
      <c r="CG467" s="646"/>
      <c r="CH467" s="646"/>
      <c r="CI467" s="646"/>
      <c r="CJ467" s="646"/>
      <c r="CK467" s="646"/>
      <c r="CL467" s="646"/>
      <c r="CM467" s="646"/>
      <c r="CN467" s="646"/>
      <c r="CO467" s="646"/>
      <c r="CP467" s="648"/>
      <c r="CQ467" s="646"/>
      <c r="CR467" s="646"/>
      <c r="CS467" s="646"/>
      <c r="CT467" s="646"/>
      <c r="CU467" s="646"/>
      <c r="CV467" s="646"/>
      <c r="CW467" s="646"/>
      <c r="CX467" s="646"/>
      <c r="CY467" s="646"/>
      <c r="CZ467" s="646"/>
      <c r="DA467" s="646"/>
      <c r="DB467" s="1297"/>
      <c r="DC467" s="646"/>
      <c r="DD467" s="646"/>
      <c r="DE467" s="646"/>
      <c r="DF467" s="646"/>
      <c r="DG467" s="646"/>
      <c r="DH467" s="646"/>
      <c r="DI467" s="646"/>
      <c r="DJ467" s="646"/>
      <c r="DK467" s="646"/>
      <c r="DL467" s="646"/>
      <c r="DM467" s="646"/>
      <c r="DN467" s="648"/>
      <c r="DO467" s="646"/>
      <c r="DP467" s="646"/>
      <c r="DQ467" s="646"/>
      <c r="DR467" s="646"/>
      <c r="DS467" s="646"/>
      <c r="DT467" s="646"/>
      <c r="DU467" s="646"/>
      <c r="DV467" s="646"/>
      <c r="DW467" s="646"/>
      <c r="DX467" s="646"/>
      <c r="DY467" s="646"/>
      <c r="DZ467" s="648"/>
      <c r="EA467" s="646"/>
      <c r="EB467" s="646"/>
      <c r="EC467" s="646"/>
      <c r="ED467" s="646"/>
      <c r="EE467" s="646"/>
      <c r="EF467" s="646"/>
      <c r="EG467" s="646"/>
      <c r="EH467" s="646"/>
      <c r="EI467" s="646"/>
      <c r="EJ467" s="646"/>
      <c r="EK467" s="646"/>
      <c r="EL467" s="648"/>
      <c r="EM467" s="646"/>
      <c r="EN467" s="646"/>
      <c r="EO467" s="646"/>
      <c r="EP467" s="646"/>
      <c r="EQ467" s="646"/>
      <c r="ER467" s="646"/>
      <c r="ES467" s="646"/>
      <c r="ET467" s="646"/>
      <c r="EU467" s="646"/>
      <c r="EV467" s="646"/>
      <c r="EW467" s="646"/>
      <c r="EX467" s="648"/>
      <c r="EY467" s="646"/>
      <c r="EZ467" s="646"/>
      <c r="FA467" s="646"/>
      <c r="FB467" s="646"/>
      <c r="FC467" s="646"/>
      <c r="FD467" s="646"/>
      <c r="FE467" s="646"/>
      <c r="FF467" s="646"/>
      <c r="FG467" s="646"/>
      <c r="FH467" s="646"/>
      <c r="FI467" s="646"/>
      <c r="FJ467" s="648"/>
      <c r="FK467" s="646">
        <v>67.151987477999995</v>
      </c>
      <c r="FL467" s="646">
        <v>13.103881592</v>
      </c>
      <c r="FM467" s="646">
        <v>6.5174172349999999</v>
      </c>
      <c r="FN467" s="646">
        <v>11.968223596</v>
      </c>
      <c r="FO467" s="646">
        <v>13.952888432</v>
      </c>
      <c r="FP467" s="646">
        <v>10.093310023000001</v>
      </c>
      <c r="FQ467" s="646">
        <v>11.487869787999999</v>
      </c>
      <c r="FR467" s="646">
        <v>13.362976810999999</v>
      </c>
      <c r="FS467" s="646">
        <v>8.8185299490000002</v>
      </c>
      <c r="FT467" s="646">
        <v>8.8314962210000001</v>
      </c>
      <c r="FU467" s="646">
        <v>11.765230181</v>
      </c>
      <c r="FV467" s="646">
        <v>2.3514240019999999</v>
      </c>
      <c r="FW467" s="646">
        <v>17.827072045000001</v>
      </c>
      <c r="FX467" s="646">
        <v>13.073085171000001</v>
      </c>
      <c r="FY467" s="646">
        <v>14.052484026</v>
      </c>
      <c r="FZ467" s="646">
        <v>12.726330408999999</v>
      </c>
      <c r="GA467" s="646">
        <v>9.3146827220000006</v>
      </c>
      <c r="GB467" s="646">
        <v>13.880902787</v>
      </c>
      <c r="GC467" s="646">
        <v>12.434022086000001</v>
      </c>
      <c r="GD467" s="646">
        <v>12.952230811</v>
      </c>
      <c r="GE467" s="646">
        <v>7.3144288990000002</v>
      </c>
      <c r="GF467" s="646">
        <v>9.9375181720000008</v>
      </c>
      <c r="GG467" s="646">
        <v>10.097894201000001</v>
      </c>
      <c r="GH467" s="646">
        <v>1.812355809</v>
      </c>
      <c r="GI467" s="646">
        <v>18.302012847</v>
      </c>
      <c r="GJ467" s="646">
        <v>12.174315661</v>
      </c>
      <c r="GK467" s="646">
        <v>22.102087471000001</v>
      </c>
      <c r="GL467" s="646">
        <v>13.048569157498537</v>
      </c>
      <c r="GM467" s="646">
        <v>14.077936119471252</v>
      </c>
      <c r="GN467" s="646">
        <v>17.249432628030206</v>
      </c>
      <c r="GO467" s="646">
        <v>19.250091051032449</v>
      </c>
      <c r="GP467" s="646">
        <v>18.964357705891899</v>
      </c>
      <c r="GQ467" s="646">
        <v>22.613650747059818</v>
      </c>
      <c r="GR467" s="646">
        <v>47.33145690065696</v>
      </c>
      <c r="GS467" s="646">
        <v>15.57785070818308</v>
      </c>
      <c r="GT467" s="646">
        <v>8.6201572759962514E-2</v>
      </c>
      <c r="GU467" s="646">
        <v>22.297540086999998</v>
      </c>
      <c r="GV467" s="646">
        <v>35.923672596000003</v>
      </c>
      <c r="GW467" s="646">
        <v>10.499729719000001</v>
      </c>
      <c r="GX467" s="646">
        <v>10.484411414</v>
      </c>
      <c r="GY467" s="646">
        <v>8.2915083240000005</v>
      </c>
      <c r="GZ467" s="646">
        <v>10.036460014999999</v>
      </c>
      <c r="HA467" s="646">
        <v>20.23517708</v>
      </c>
      <c r="HB467" s="646">
        <v>18.173083986999998</v>
      </c>
      <c r="HC467" s="646">
        <v>16.175031495999999</v>
      </c>
      <c r="HD467" s="646">
        <v>31.989759982999999</v>
      </c>
      <c r="HE467" s="646">
        <v>37.287784903000002</v>
      </c>
      <c r="HF467" s="646">
        <v>7.2076600000000005E-2</v>
      </c>
      <c r="HG467" s="646">
        <v>9.0138744800000019</v>
      </c>
      <c r="HH467" s="646">
        <v>22.890058814</v>
      </c>
      <c r="HI467" s="646">
        <v>40.253902515</v>
      </c>
      <c r="HJ467" s="646">
        <v>15.843225168</v>
      </c>
      <c r="HK467" s="646">
        <v>5.3394906669999997</v>
      </c>
      <c r="HL467" s="646">
        <v>2.6442787830000043</v>
      </c>
      <c r="HM467" s="646">
        <v>19.613552689999999</v>
      </c>
      <c r="HN467" s="646">
        <v>31.020837392000001</v>
      </c>
      <c r="HO467" s="646">
        <v>8.0439400449999994</v>
      </c>
      <c r="HP467" s="646">
        <v>8.8612161399999998</v>
      </c>
      <c r="HQ467" s="646">
        <v>5.703657969</v>
      </c>
      <c r="HR467" s="646">
        <v>19.422349177000001</v>
      </c>
      <c r="HS467" s="646">
        <v>10.236054593</v>
      </c>
      <c r="HT467" s="646">
        <v>24.470486940000001</v>
      </c>
      <c r="HU467" s="646">
        <v>35.600019799000002</v>
      </c>
      <c r="HV467" s="646">
        <v>10.109248633</v>
      </c>
      <c r="HW467" s="646">
        <v>16.187033295999992</v>
      </c>
      <c r="HX467" s="646">
        <v>14.194391206999999</v>
      </c>
      <c r="HY467" s="646"/>
      <c r="HZ467" s="649"/>
      <c r="KT467" s="651"/>
      <c r="KU467" s="649"/>
    </row>
    <row r="468" spans="1:307" s="650" customFormat="1" outlineLevel="1">
      <c r="A468" s="644"/>
      <c r="B468" s="644"/>
      <c r="C468" s="644"/>
      <c r="D468" s="1257" t="s">
        <v>533</v>
      </c>
      <c r="E468" s="646"/>
      <c r="F468" s="646"/>
      <c r="G468" s="646"/>
      <c r="H468" s="646"/>
      <c r="I468" s="646"/>
      <c r="J468" s="646"/>
      <c r="K468" s="646"/>
      <c r="L468" s="646"/>
      <c r="M468" s="646"/>
      <c r="N468" s="646"/>
      <c r="O468" s="646"/>
      <c r="P468" s="646"/>
      <c r="Q468" s="646"/>
      <c r="R468" s="646"/>
      <c r="S468" s="646"/>
      <c r="T468" s="646"/>
      <c r="U468" s="646"/>
      <c r="V468" s="646"/>
      <c r="W468" s="646"/>
      <c r="X468" s="646"/>
      <c r="Y468" s="646"/>
      <c r="Z468" s="646"/>
      <c r="AA468" s="646"/>
      <c r="AB468" s="646"/>
      <c r="AC468" s="646"/>
      <c r="AD468" s="646"/>
      <c r="AE468" s="646"/>
      <c r="AF468" s="646"/>
      <c r="AG468" s="646"/>
      <c r="AH468" s="646"/>
      <c r="AI468" s="646"/>
      <c r="AJ468" s="646"/>
      <c r="AK468" s="646"/>
      <c r="AL468" s="646"/>
      <c r="AM468" s="646"/>
      <c r="AN468" s="646"/>
      <c r="AO468" s="646"/>
      <c r="AP468" s="646"/>
      <c r="AQ468" s="646"/>
      <c r="AR468" s="646"/>
      <c r="AS468" s="646"/>
      <c r="AT468" s="646"/>
      <c r="AU468" s="646"/>
      <c r="AV468" s="646"/>
      <c r="AW468" s="646"/>
      <c r="AX468" s="646"/>
      <c r="AY468" s="646"/>
      <c r="AZ468" s="646"/>
      <c r="BA468" s="646"/>
      <c r="BB468" s="646"/>
      <c r="BC468" s="646"/>
      <c r="BD468" s="646"/>
      <c r="BE468" s="646"/>
      <c r="BF468" s="646"/>
      <c r="BG468" s="646"/>
      <c r="BH468" s="646"/>
      <c r="BI468" s="646"/>
      <c r="BJ468" s="646"/>
      <c r="BK468" s="646"/>
      <c r="BL468" s="646"/>
      <c r="BM468" s="646"/>
      <c r="BN468" s="646"/>
      <c r="BO468" s="646"/>
      <c r="BP468" s="646"/>
      <c r="BQ468" s="646"/>
      <c r="BR468" s="646"/>
      <c r="BS468" s="646"/>
      <c r="BT468" s="646"/>
      <c r="BU468" s="646"/>
      <c r="BV468" s="646"/>
      <c r="BW468" s="646"/>
      <c r="BX468" s="646"/>
      <c r="BY468" s="646"/>
      <c r="BZ468" s="646"/>
      <c r="CA468" s="646"/>
      <c r="CB468" s="646"/>
      <c r="CC468" s="646"/>
      <c r="CD468" s="646"/>
      <c r="CE468" s="647">
        <v>1.694336734</v>
      </c>
      <c r="CF468" s="646">
        <v>0.34213592300000001</v>
      </c>
      <c r="CG468" s="646">
        <v>2.0015177820000001</v>
      </c>
      <c r="CH468" s="646">
        <v>2.643980714</v>
      </c>
      <c r="CI468" s="646">
        <v>1.9010356150000001</v>
      </c>
      <c r="CJ468" s="646">
        <v>0.37540928699999998</v>
      </c>
      <c r="CK468" s="646">
        <v>1.9275458009999999</v>
      </c>
      <c r="CL468" s="646">
        <v>2.3708177899999998</v>
      </c>
      <c r="CM468" s="646">
        <v>1.4137448189999999</v>
      </c>
      <c r="CN468" s="646">
        <v>4.0224860720000004</v>
      </c>
      <c r="CO468" s="646">
        <v>3.435584135</v>
      </c>
      <c r="CP468" s="648">
        <v>0.75093030500000002</v>
      </c>
      <c r="CQ468" s="646">
        <v>2.3906111839999999</v>
      </c>
      <c r="CR468" s="646">
        <v>1.0183012629999999</v>
      </c>
      <c r="CS468" s="646">
        <v>0.82287460700000004</v>
      </c>
      <c r="CT468" s="646">
        <v>1.3026442389999999</v>
      </c>
      <c r="CU468" s="646">
        <v>0.97001537400000004</v>
      </c>
      <c r="CV468" s="646">
        <v>1.7521545860000001</v>
      </c>
      <c r="CW468" s="646">
        <v>1.165955109</v>
      </c>
      <c r="CX468" s="646">
        <v>0.74236926700000005</v>
      </c>
      <c r="CY468" s="646">
        <v>4.8269116089999997</v>
      </c>
      <c r="CZ468" s="646">
        <v>3.0675081569999998</v>
      </c>
      <c r="DA468" s="646">
        <v>3.6386895080000001</v>
      </c>
      <c r="DB468" s="1297">
        <v>0.86262805399999998</v>
      </c>
      <c r="DC468" s="646">
        <v>1.5044696980000001</v>
      </c>
      <c r="DD468" s="646">
        <v>0.627667647</v>
      </c>
      <c r="DE468" s="646">
        <v>1.7528183930000001</v>
      </c>
      <c r="DF468" s="646">
        <v>2.3458812569999998</v>
      </c>
      <c r="DG468" s="646">
        <v>2.1914482510000002</v>
      </c>
      <c r="DH468" s="646">
        <v>1.343832125</v>
      </c>
      <c r="DI468" s="646">
        <v>1.9781937430000001</v>
      </c>
      <c r="DJ468" s="646">
        <v>2.1640983980000001</v>
      </c>
      <c r="DK468" s="646">
        <v>3.3052532179999998</v>
      </c>
      <c r="DL468" s="646">
        <v>4.0667894770000004</v>
      </c>
      <c r="DM468" s="646">
        <v>2.0382407599999999</v>
      </c>
      <c r="DN468" s="648">
        <v>1.288448796</v>
      </c>
      <c r="DO468" s="646">
        <v>0.95087065599999998</v>
      </c>
      <c r="DP468" s="646">
        <v>1.4591613000000001</v>
      </c>
      <c r="DQ468" s="646">
        <v>0.74290474699999998</v>
      </c>
      <c r="DR468" s="646">
        <v>1.5319065089999999</v>
      </c>
      <c r="DS468" s="646">
        <v>1.4276739469999999</v>
      </c>
      <c r="DT468" s="646">
        <v>2.712064518</v>
      </c>
      <c r="DU468" s="646">
        <v>0.98750042400000004</v>
      </c>
      <c r="DV468" s="646">
        <v>2.4017155840000002</v>
      </c>
      <c r="DW468" s="646">
        <v>0.82440291700000001</v>
      </c>
      <c r="DX468" s="646">
        <v>5.6141318489999996</v>
      </c>
      <c r="DY468" s="646">
        <v>4.3962038139999997</v>
      </c>
      <c r="DZ468" s="648">
        <v>0.62810827400000002</v>
      </c>
      <c r="EA468" s="646">
        <v>1.1708866120000001</v>
      </c>
      <c r="EB468" s="646">
        <v>0.75580043500000005</v>
      </c>
      <c r="EC468" s="646">
        <v>1.755143793</v>
      </c>
      <c r="ED468" s="646">
        <v>1.0557142559999999</v>
      </c>
      <c r="EE468" s="646">
        <v>2.0397238419999999</v>
      </c>
      <c r="EF468" s="646">
        <v>0.916798157</v>
      </c>
      <c r="EG468" s="646">
        <v>2.5546144399999999</v>
      </c>
      <c r="EH468" s="646">
        <v>1.889572751</v>
      </c>
      <c r="EI468" s="646">
        <v>4.6231627990000002</v>
      </c>
      <c r="EJ468" s="646">
        <v>4.7630311250000004</v>
      </c>
      <c r="EK468" s="646">
        <v>2.7607849450000002</v>
      </c>
      <c r="EL468" s="648">
        <v>0.89356759299999999</v>
      </c>
      <c r="EM468" s="646">
        <v>1.6142200179999999</v>
      </c>
      <c r="EN468" s="646">
        <v>0.89031991200000005</v>
      </c>
      <c r="EO468" s="646">
        <v>2.108782589</v>
      </c>
      <c r="EP468" s="646">
        <v>0.73936070499999995</v>
      </c>
      <c r="EQ468" s="646">
        <v>1.3657821000000001</v>
      </c>
      <c r="ER468" s="646">
        <v>3.3043372020000001</v>
      </c>
      <c r="ES468" s="646">
        <v>5.9037791310000003</v>
      </c>
      <c r="ET468" s="646">
        <v>1.060348689</v>
      </c>
      <c r="EU468" s="646">
        <v>2.140259023</v>
      </c>
      <c r="EV468" s="646">
        <v>3.6435456049999999</v>
      </c>
      <c r="EW468" s="646">
        <v>2.2992679119999999</v>
      </c>
      <c r="EX468" s="648">
        <v>0.75024441600000003</v>
      </c>
      <c r="EY468" s="646">
        <v>3.9453585000000002</v>
      </c>
      <c r="EZ468" s="646">
        <v>1.031143436</v>
      </c>
      <c r="FA468" s="646">
        <v>1.4299499920000001</v>
      </c>
      <c r="FB468" s="646">
        <v>5.3039082369999999</v>
      </c>
      <c r="FC468" s="646">
        <v>1.616856469</v>
      </c>
      <c r="FD468" s="646">
        <v>2.4091368800000001</v>
      </c>
      <c r="FE468" s="646">
        <v>1.6777123009999999</v>
      </c>
      <c r="FF468" s="646">
        <v>2.5551396369999999</v>
      </c>
      <c r="FG468" s="646">
        <v>2.2302403979999998</v>
      </c>
      <c r="FH468" s="646">
        <v>1.916184654</v>
      </c>
      <c r="FI468" s="646">
        <v>1.855069549</v>
      </c>
      <c r="FJ468" s="648">
        <v>0.69850705300000004</v>
      </c>
      <c r="FK468" s="646">
        <v>3.4627875640000001</v>
      </c>
      <c r="FL468" s="646">
        <v>1.783247966</v>
      </c>
      <c r="FM468" s="646">
        <v>7.2172518590000001</v>
      </c>
      <c r="FN468" s="646">
        <v>0</v>
      </c>
      <c r="FO468" s="646">
        <v>0</v>
      </c>
      <c r="FP468" s="646">
        <v>0</v>
      </c>
      <c r="FQ468" s="646">
        <v>4.233397504</v>
      </c>
      <c r="FR468" s="646">
        <v>3.3493163429999999</v>
      </c>
      <c r="FS468" s="646">
        <v>6.1376404510000002</v>
      </c>
      <c r="FT468" s="646">
        <v>5.3130471799999999</v>
      </c>
      <c r="FU468" s="646">
        <v>9.2502008829999998</v>
      </c>
      <c r="FV468" s="646">
        <v>0.28717848899999998</v>
      </c>
      <c r="FW468" s="646">
        <v>1.868332189</v>
      </c>
      <c r="FX468" s="646">
        <v>2.2561689999999999</v>
      </c>
      <c r="FY468" s="646">
        <v>13.465075816000001</v>
      </c>
      <c r="FZ468" s="646">
        <v>2.3868783750000002</v>
      </c>
      <c r="GA468" s="646">
        <v>6.4579859539999998</v>
      </c>
      <c r="GB468" s="646">
        <v>1.634244764</v>
      </c>
      <c r="GC468" s="646">
        <v>3.0913987989999998</v>
      </c>
      <c r="GD468" s="646">
        <v>5.1632155390000003</v>
      </c>
      <c r="GE468" s="646">
        <v>6.6170545709999997</v>
      </c>
      <c r="GF468" s="646">
        <v>5.464931773</v>
      </c>
      <c r="GG468" s="646">
        <v>4.6208750360000002</v>
      </c>
      <c r="GH468" s="646">
        <v>3.6398171860000001</v>
      </c>
      <c r="GI468" s="646">
        <v>1.884030804</v>
      </c>
      <c r="GJ468" s="646">
        <v>1.591270019</v>
      </c>
      <c r="GK468" s="646">
        <v>8.5108410780000003</v>
      </c>
      <c r="GL468" s="646">
        <v>1.336745547</v>
      </c>
      <c r="GM468" s="646">
        <v>1.139952098</v>
      </c>
      <c r="GN468" s="646">
        <v>4.0227978369999997</v>
      </c>
      <c r="GO468" s="646">
        <v>12.752151707736497</v>
      </c>
      <c r="GP468" s="646">
        <v>1.1273628969109135</v>
      </c>
      <c r="GQ468" s="646">
        <v>1.8703137062264028</v>
      </c>
      <c r="GR468" s="646">
        <v>6.6646715061964157</v>
      </c>
      <c r="GS468" s="646">
        <v>4.9855332177363447</v>
      </c>
      <c r="GT468" s="646">
        <v>0.21432958219342954</v>
      </c>
      <c r="GU468" s="646">
        <v>2.7584634480000001</v>
      </c>
      <c r="GV468" s="646">
        <v>1.152133259</v>
      </c>
      <c r="GW468" s="646">
        <v>2.0849256779999998</v>
      </c>
      <c r="GX468" s="646">
        <v>5.7714527889999996</v>
      </c>
      <c r="GY468" s="646">
        <v>4.8026612540000002</v>
      </c>
      <c r="GZ468" s="646">
        <v>8.135307353</v>
      </c>
      <c r="HA468" s="646">
        <v>2.6660588619999999</v>
      </c>
      <c r="HB468" s="646">
        <v>2.4553271940000001</v>
      </c>
      <c r="HC468" s="646">
        <v>4.1038805089999997</v>
      </c>
      <c r="HD468" s="646">
        <v>4.0130978170000002</v>
      </c>
      <c r="HE468" s="646">
        <v>5.5731137390000001</v>
      </c>
      <c r="HF468" s="646">
        <v>5.4151836590000002</v>
      </c>
      <c r="HG468" s="646">
        <v>5.6601302419999993</v>
      </c>
      <c r="HH468" s="646">
        <v>7.5886715779999996</v>
      </c>
      <c r="HI468" s="646">
        <v>3.288787932</v>
      </c>
      <c r="HJ468" s="646">
        <v>4.9265698229999995</v>
      </c>
      <c r="HK468" s="646">
        <v>4.8163185730000002</v>
      </c>
      <c r="HL468" s="646">
        <v>6.1045923220000002</v>
      </c>
      <c r="HM468" s="646">
        <v>4.1392073859999998</v>
      </c>
      <c r="HN468" s="646">
        <v>9.4401640879999995</v>
      </c>
      <c r="HO468" s="646">
        <v>3.405911997</v>
      </c>
      <c r="HP468" s="646">
        <v>2.962872698</v>
      </c>
      <c r="HQ468" s="646">
        <v>13.658462206999999</v>
      </c>
      <c r="HR468" s="646">
        <v>0.87762296099999992</v>
      </c>
      <c r="HS468" s="646">
        <v>12.36144968</v>
      </c>
      <c r="HT468" s="646">
        <v>1.2248083169999999</v>
      </c>
      <c r="HU468" s="646">
        <v>3.9095225770000002</v>
      </c>
      <c r="HV468" s="646">
        <v>3.0313680169999997</v>
      </c>
      <c r="HW468" s="646">
        <v>1.2869189649999999</v>
      </c>
      <c r="HX468" s="646">
        <v>15.884445962000001</v>
      </c>
      <c r="HY468" s="646"/>
      <c r="HZ468" s="649"/>
      <c r="KT468" s="651"/>
      <c r="KU468" s="649"/>
    </row>
    <row r="469" spans="1:307" s="650" customFormat="1" outlineLevel="1">
      <c r="A469" s="644"/>
      <c r="B469" s="644"/>
      <c r="C469" s="644"/>
      <c r="D469" s="1257" t="s">
        <v>534</v>
      </c>
      <c r="E469" s="646"/>
      <c r="F469" s="646"/>
      <c r="G469" s="646"/>
      <c r="H469" s="646"/>
      <c r="I469" s="646"/>
      <c r="J469" s="646"/>
      <c r="K469" s="646"/>
      <c r="L469" s="646"/>
      <c r="M469" s="646"/>
      <c r="N469" s="646"/>
      <c r="O469" s="646"/>
      <c r="P469" s="646"/>
      <c r="Q469" s="646"/>
      <c r="R469" s="646"/>
      <c r="S469" s="646"/>
      <c r="T469" s="646"/>
      <c r="U469" s="646"/>
      <c r="V469" s="646"/>
      <c r="W469" s="646"/>
      <c r="X469" s="646"/>
      <c r="Y469" s="646"/>
      <c r="Z469" s="646"/>
      <c r="AA469" s="646"/>
      <c r="AB469" s="646"/>
      <c r="AC469" s="646"/>
      <c r="AD469" s="646"/>
      <c r="AE469" s="646"/>
      <c r="AF469" s="646"/>
      <c r="AG469" s="646"/>
      <c r="AH469" s="646"/>
      <c r="AI469" s="646"/>
      <c r="AJ469" s="646"/>
      <c r="AK469" s="646"/>
      <c r="AL469" s="646"/>
      <c r="AM469" s="646"/>
      <c r="AN469" s="646"/>
      <c r="AO469" s="646"/>
      <c r="AP469" s="646"/>
      <c r="AQ469" s="646"/>
      <c r="AR469" s="646"/>
      <c r="AS469" s="646"/>
      <c r="AT469" s="646"/>
      <c r="AU469" s="646"/>
      <c r="AV469" s="646"/>
      <c r="AW469" s="646"/>
      <c r="AX469" s="646"/>
      <c r="AY469" s="646"/>
      <c r="AZ469" s="646"/>
      <c r="BA469" s="646"/>
      <c r="BB469" s="646"/>
      <c r="BC469" s="646"/>
      <c r="BD469" s="646"/>
      <c r="BE469" s="646"/>
      <c r="BF469" s="646"/>
      <c r="BG469" s="646"/>
      <c r="BH469" s="646"/>
      <c r="BI469" s="646"/>
      <c r="BJ469" s="646"/>
      <c r="BK469" s="646"/>
      <c r="BL469" s="646"/>
      <c r="BM469" s="646"/>
      <c r="BN469" s="646"/>
      <c r="BO469" s="646"/>
      <c r="BP469" s="646"/>
      <c r="BQ469" s="646"/>
      <c r="BR469" s="646"/>
      <c r="BS469" s="646"/>
      <c r="BT469" s="646"/>
      <c r="BU469" s="646"/>
      <c r="BV469" s="646"/>
      <c r="BW469" s="646"/>
      <c r="BX469" s="646"/>
      <c r="BY469" s="646"/>
      <c r="BZ469" s="646"/>
      <c r="CA469" s="646"/>
      <c r="CB469" s="646"/>
      <c r="CC469" s="646"/>
      <c r="CD469" s="646"/>
      <c r="CE469" s="647">
        <v>2.661823922</v>
      </c>
      <c r="CF469" s="646">
        <v>2.0003473676199999</v>
      </c>
      <c r="CG469" s="646">
        <v>2.95325444208</v>
      </c>
      <c r="CH469" s="646">
        <v>4.1688299510000002</v>
      </c>
      <c r="CI469" s="646">
        <v>4.3448386289999998</v>
      </c>
      <c r="CJ469" s="646">
        <v>1.555384519</v>
      </c>
      <c r="CK469" s="646">
        <v>3.279391951</v>
      </c>
      <c r="CL469" s="646">
        <v>2.048498017</v>
      </c>
      <c r="CM469" s="646">
        <v>2.0531390549999999</v>
      </c>
      <c r="CN469" s="646">
        <v>2.5600917609999998</v>
      </c>
      <c r="CO469" s="646">
        <v>2.5050129910000001</v>
      </c>
      <c r="CP469" s="648">
        <v>2.0787431779999999</v>
      </c>
      <c r="CQ469" s="646">
        <v>4.5379803939999999</v>
      </c>
      <c r="CR469" s="646">
        <v>4.428929986</v>
      </c>
      <c r="CS469" s="646">
        <v>5.5263958960000004</v>
      </c>
      <c r="CT469" s="646">
        <v>5.8987828569999996</v>
      </c>
      <c r="CU469" s="646">
        <v>4.6212273010000002</v>
      </c>
      <c r="CV469" s="646">
        <v>16.990603844999999</v>
      </c>
      <c r="CW469" s="646">
        <v>8.220576909</v>
      </c>
      <c r="CX469" s="646">
        <v>4.9687692019999998</v>
      </c>
      <c r="CY469" s="646">
        <v>2.6778959040000001</v>
      </c>
      <c r="CZ469" s="646">
        <v>2.65309003</v>
      </c>
      <c r="DA469" s="646">
        <v>4.0383703009999996</v>
      </c>
      <c r="DB469" s="1297">
        <v>3.114468209</v>
      </c>
      <c r="DC469" s="646">
        <v>5.6286772689999998</v>
      </c>
      <c r="DD469" s="646">
        <v>8.389495342</v>
      </c>
      <c r="DE469" s="646">
        <v>3.4465797889999998</v>
      </c>
      <c r="DF469" s="646">
        <v>8.3000263489999995</v>
      </c>
      <c r="DG469" s="646">
        <v>9.4217214790000003</v>
      </c>
      <c r="DH469" s="646">
        <v>4.5048340509999996</v>
      </c>
      <c r="DI469" s="646">
        <v>3.9195385169999999</v>
      </c>
      <c r="DJ469" s="646">
        <v>4.8767588699999997</v>
      </c>
      <c r="DK469" s="646">
        <v>9.3352091129999994</v>
      </c>
      <c r="DL469" s="646">
        <v>7.6885206850000003</v>
      </c>
      <c r="DM469" s="646">
        <v>3.6360190779999999</v>
      </c>
      <c r="DN469" s="648">
        <v>2.2878697090000002</v>
      </c>
      <c r="DO469" s="646">
        <v>13.405839724</v>
      </c>
      <c r="DP469" s="646">
        <v>12.719188240999999</v>
      </c>
      <c r="DQ469" s="646">
        <v>2.0549422590000002</v>
      </c>
      <c r="DR469" s="646">
        <v>14.730687865</v>
      </c>
      <c r="DS469" s="646">
        <v>3.4296990950000001</v>
      </c>
      <c r="DT469" s="646">
        <v>3.5010635080000001</v>
      </c>
      <c r="DU469" s="646">
        <v>14.112443001999999</v>
      </c>
      <c r="DV469" s="646">
        <v>5.2934440839999999</v>
      </c>
      <c r="DW469" s="646">
        <v>2.4626023269999999</v>
      </c>
      <c r="DX469" s="646">
        <v>7.7335186260000004</v>
      </c>
      <c r="DY469" s="646">
        <v>6.979751137</v>
      </c>
      <c r="DZ469" s="648">
        <v>1.1005026250000001</v>
      </c>
      <c r="EA469" s="646">
        <v>12.203334205999999</v>
      </c>
      <c r="EB469" s="646">
        <v>6.9282187720000001</v>
      </c>
      <c r="EC469" s="646">
        <v>9.0983796859999995</v>
      </c>
      <c r="ED469" s="646">
        <v>8.6222516529999993</v>
      </c>
      <c r="EE469" s="646">
        <v>11.120483321</v>
      </c>
      <c r="EF469" s="646">
        <v>7.3098032310000001</v>
      </c>
      <c r="EG469" s="646">
        <v>7.8460066079999997</v>
      </c>
      <c r="EH469" s="646">
        <v>10.285157</v>
      </c>
      <c r="EI469" s="646">
        <v>14.816423822000001</v>
      </c>
      <c r="EJ469" s="646">
        <v>7.2441276859999997</v>
      </c>
      <c r="EK469" s="646">
        <v>7.7642049389999999</v>
      </c>
      <c r="EL469" s="648">
        <v>4.5570249570000003</v>
      </c>
      <c r="EM469" s="646">
        <v>7.9029296489999998</v>
      </c>
      <c r="EN469" s="646">
        <v>10.390572207</v>
      </c>
      <c r="EO469" s="646">
        <v>7.567573061</v>
      </c>
      <c r="EP469" s="646">
        <v>14.262422762</v>
      </c>
      <c r="EQ469" s="646">
        <v>25.480099663000001</v>
      </c>
      <c r="ER469" s="646">
        <v>4.3385306119999996</v>
      </c>
      <c r="ES469" s="646">
        <v>10.631548466</v>
      </c>
      <c r="ET469" s="646">
        <v>10.43662114</v>
      </c>
      <c r="EU469" s="646">
        <v>10.438360343999999</v>
      </c>
      <c r="EV469" s="646">
        <v>31.703036501</v>
      </c>
      <c r="EW469" s="646">
        <v>31.283190304000001</v>
      </c>
      <c r="EX469" s="648">
        <v>6.187643628</v>
      </c>
      <c r="EY469" s="646">
        <v>19.621337566000001</v>
      </c>
      <c r="EZ469" s="646">
        <v>19.979445821999999</v>
      </c>
      <c r="FA469" s="646">
        <v>7.807474676</v>
      </c>
      <c r="FB469" s="646">
        <v>12.050736946000001</v>
      </c>
      <c r="FC469" s="646">
        <v>20.365861151000001</v>
      </c>
      <c r="FD469" s="646">
        <v>9.5259266819999997</v>
      </c>
      <c r="FE469" s="646">
        <v>4.359865428</v>
      </c>
      <c r="FF469" s="646">
        <v>16.790410443999999</v>
      </c>
      <c r="FG469" s="646">
        <v>14.309395854</v>
      </c>
      <c r="FH469" s="646">
        <v>6.0296474590000004</v>
      </c>
      <c r="FI469" s="646">
        <v>12.035315104</v>
      </c>
      <c r="FJ469" s="648">
        <v>1.4745208869999999</v>
      </c>
      <c r="FK469" s="646">
        <v>12.759667224999999</v>
      </c>
      <c r="FL469" s="646">
        <v>10.057954682</v>
      </c>
      <c r="FM469" s="646">
        <v>14.992900581000001</v>
      </c>
      <c r="FN469" s="646">
        <v>8.449501519</v>
      </c>
      <c r="FO469" s="646">
        <v>10.322834118999999</v>
      </c>
      <c r="FP469" s="646">
        <v>9.4276341339999998</v>
      </c>
      <c r="FQ469" s="646">
        <v>13.833825759</v>
      </c>
      <c r="FR469" s="646">
        <v>6.652929726</v>
      </c>
      <c r="FS469" s="646">
        <v>4.2280074870000002</v>
      </c>
      <c r="FT469" s="646">
        <v>12.878353831</v>
      </c>
      <c r="FU469" s="646">
        <v>23.858894002</v>
      </c>
      <c r="FV469" s="646">
        <v>4.7989988329999997</v>
      </c>
      <c r="FW469" s="646">
        <v>9.4270421219999996</v>
      </c>
      <c r="FX469" s="646">
        <v>8.2880457829999994</v>
      </c>
      <c r="FY469" s="646">
        <v>8.142056878</v>
      </c>
      <c r="FZ469" s="646">
        <v>20.268061037999999</v>
      </c>
      <c r="GA469" s="646">
        <v>21.685625209000001</v>
      </c>
      <c r="GB469" s="646">
        <v>6.1310755720000003</v>
      </c>
      <c r="GC469" s="646">
        <v>9.3700082800000004</v>
      </c>
      <c r="GD469" s="646">
        <v>21.115629317</v>
      </c>
      <c r="GE469" s="646">
        <v>13.54216845</v>
      </c>
      <c r="GF469" s="646">
        <v>7.9037664559999996</v>
      </c>
      <c r="GG469" s="646">
        <v>15.140435371000001</v>
      </c>
      <c r="GH469" s="646">
        <v>6.0046342780000002</v>
      </c>
      <c r="GI469" s="646">
        <v>12.235405911319145</v>
      </c>
      <c r="GJ469" s="646">
        <v>27.927502357725132</v>
      </c>
      <c r="GK469" s="646">
        <v>22.437091730955725</v>
      </c>
      <c r="GL469" s="646">
        <v>1</v>
      </c>
      <c r="GM469" s="646">
        <v>1</v>
      </c>
      <c r="GN469" s="646">
        <v>1.0999999999999943</v>
      </c>
      <c r="GO469" s="646">
        <v>16.508220081735399</v>
      </c>
      <c r="GP469" s="646">
        <v>7.5477514962105259</v>
      </c>
      <c r="GQ469" s="646">
        <v>3.4708608633540838</v>
      </c>
      <c r="GR469" s="646">
        <v>20.36146118726305</v>
      </c>
      <c r="GS469" s="646">
        <v>8.0757171544465809</v>
      </c>
      <c r="GT469" s="646">
        <v>6.0359892169903651</v>
      </c>
      <c r="GU469" s="646">
        <v>7.9425931529999998</v>
      </c>
      <c r="GV469" s="646">
        <v>17.944234579</v>
      </c>
      <c r="GW469" s="646">
        <v>17.283160537000001</v>
      </c>
      <c r="GX469" s="646">
        <v>10.735763124</v>
      </c>
      <c r="GY469" s="646">
        <v>8.324031519</v>
      </c>
      <c r="GZ469" s="646">
        <v>6.673807966</v>
      </c>
      <c r="HA469" s="646">
        <v>8.8125038680000003</v>
      </c>
      <c r="HB469" s="646">
        <v>9.2244838100000006</v>
      </c>
      <c r="HC469" s="646">
        <v>7.1400030350000003</v>
      </c>
      <c r="HD469" s="646">
        <v>18.243119096000001</v>
      </c>
      <c r="HE469" s="646">
        <v>21.694246570999997</v>
      </c>
      <c r="HF469" s="646">
        <v>5.1032864070000006</v>
      </c>
      <c r="HG469" s="646">
        <v>13.967650508</v>
      </c>
      <c r="HH469" s="646">
        <v>9.4310403750000003</v>
      </c>
      <c r="HI469" s="646">
        <v>20.627244749999999</v>
      </c>
      <c r="HJ469" s="646">
        <v>7.3532463220000004</v>
      </c>
      <c r="HK469" s="646">
        <v>14.31074576</v>
      </c>
      <c r="HL469" s="646">
        <v>7.0722045109999998</v>
      </c>
      <c r="HM469" s="646">
        <v>17.812842741000001</v>
      </c>
      <c r="HN469" s="646">
        <v>13.276343023000001</v>
      </c>
      <c r="HO469" s="646">
        <v>12.523233676</v>
      </c>
      <c r="HP469" s="646">
        <v>15.698723694</v>
      </c>
      <c r="HQ469" s="646">
        <v>4.7564697490000007</v>
      </c>
      <c r="HR469" s="646">
        <v>8.1635571320000011</v>
      </c>
      <c r="HS469" s="646">
        <v>18.900547883999998</v>
      </c>
      <c r="HT469" s="646">
        <v>12.151599251999997</v>
      </c>
      <c r="HU469" s="646">
        <v>3.2983921119999984</v>
      </c>
      <c r="HV469" s="646">
        <v>11.885165428999997</v>
      </c>
      <c r="HW469" s="646">
        <v>14.188046665000002</v>
      </c>
      <c r="HX469" s="646">
        <v>16.421820135999997</v>
      </c>
      <c r="HY469" s="646"/>
      <c r="HZ469" s="649"/>
      <c r="KT469" s="651"/>
      <c r="KU469" s="649"/>
    </row>
    <row r="470" spans="1:307" s="650" customFormat="1" outlineLevel="1">
      <c r="A470" s="644" t="s">
        <v>878</v>
      </c>
      <c r="B470" s="644" t="s">
        <v>338</v>
      </c>
      <c r="C470" s="644"/>
      <c r="D470" s="1255" t="s">
        <v>2397</v>
      </c>
      <c r="E470" s="646"/>
      <c r="F470" s="646"/>
      <c r="G470" s="646"/>
      <c r="H470" s="646"/>
      <c r="I470" s="646"/>
      <c r="J470" s="646"/>
      <c r="K470" s="646"/>
      <c r="L470" s="646"/>
      <c r="M470" s="646"/>
      <c r="N470" s="646"/>
      <c r="O470" s="646"/>
      <c r="P470" s="646"/>
      <c r="Q470" s="646"/>
      <c r="R470" s="646"/>
      <c r="S470" s="646"/>
      <c r="T470" s="646"/>
      <c r="U470" s="646"/>
      <c r="V470" s="646"/>
      <c r="W470" s="646"/>
      <c r="X470" s="646"/>
      <c r="Y470" s="646"/>
      <c r="Z470" s="646"/>
      <c r="AA470" s="646"/>
      <c r="AB470" s="646"/>
      <c r="AC470" s="646"/>
      <c r="AD470" s="646"/>
      <c r="AE470" s="646"/>
      <c r="AF470" s="646"/>
      <c r="AG470" s="646"/>
      <c r="AH470" s="646"/>
      <c r="AI470" s="646"/>
      <c r="AJ470" s="646"/>
      <c r="AK470" s="646"/>
      <c r="AL470" s="646"/>
      <c r="AM470" s="646"/>
      <c r="AN470" s="646"/>
      <c r="AO470" s="646"/>
      <c r="AP470" s="646"/>
      <c r="AQ470" s="646"/>
      <c r="AR470" s="646"/>
      <c r="AS470" s="646"/>
      <c r="AT470" s="646"/>
      <c r="AU470" s="646"/>
      <c r="AV470" s="646"/>
      <c r="AW470" s="646"/>
      <c r="AX470" s="646"/>
      <c r="AY470" s="646"/>
      <c r="AZ470" s="646"/>
      <c r="BA470" s="646"/>
      <c r="BB470" s="646"/>
      <c r="BC470" s="646"/>
      <c r="BD470" s="646"/>
      <c r="BE470" s="646"/>
      <c r="BF470" s="646"/>
      <c r="BG470" s="646">
        <v>0</v>
      </c>
      <c r="BH470" s="646">
        <v>0.295810134</v>
      </c>
      <c r="BI470" s="646">
        <v>2.1481728659999999</v>
      </c>
      <c r="BJ470" s="646">
        <v>0.26642403199999998</v>
      </c>
      <c r="BK470" s="646">
        <v>1.76412624</v>
      </c>
      <c r="BL470" s="646">
        <v>1.4626336339999999</v>
      </c>
      <c r="BM470" s="646">
        <v>0.82027575399999997</v>
      </c>
      <c r="BN470" s="646">
        <v>1.2502861080000001</v>
      </c>
      <c r="BO470" s="646">
        <v>1.802085683</v>
      </c>
      <c r="BP470" s="646">
        <v>0.46797952599999998</v>
      </c>
      <c r="BQ470" s="646">
        <v>0.301244605</v>
      </c>
      <c r="BR470" s="646">
        <v>2.1416643340000001</v>
      </c>
      <c r="BS470" s="646">
        <v>0</v>
      </c>
      <c r="BT470" s="646">
        <v>0.93562500000000004</v>
      </c>
      <c r="BU470" s="646">
        <v>0</v>
      </c>
      <c r="BV470" s="646">
        <v>2.3756301199999998</v>
      </c>
      <c r="BW470" s="646">
        <v>1.8661589190000001</v>
      </c>
      <c r="BX470" s="646">
        <v>1.1034714830000001</v>
      </c>
      <c r="BY470" s="646">
        <v>1.6607128879999999</v>
      </c>
      <c r="BZ470" s="646">
        <v>0.80658438799999999</v>
      </c>
      <c r="CA470" s="646">
        <v>0.63771968000000001</v>
      </c>
      <c r="CB470" s="646">
        <v>2.2233112720000001</v>
      </c>
      <c r="CC470" s="646">
        <v>1.1794190499999999</v>
      </c>
      <c r="CD470" s="646">
        <v>3.6350155530000001</v>
      </c>
      <c r="CE470" s="647">
        <v>10.526452686000001</v>
      </c>
      <c r="CF470" s="646">
        <v>15.109569805</v>
      </c>
      <c r="CG470" s="646">
        <v>15.141310662</v>
      </c>
      <c r="CH470" s="646">
        <v>24.206214788</v>
      </c>
      <c r="CI470" s="646">
        <v>17.467736775000002</v>
      </c>
      <c r="CJ470" s="646">
        <v>11.073881504999999</v>
      </c>
      <c r="CK470" s="646">
        <v>21.884380947</v>
      </c>
      <c r="CL470" s="646">
        <v>18.32118797</v>
      </c>
      <c r="CM470" s="646">
        <v>23.854194408000001</v>
      </c>
      <c r="CN470" s="646">
        <v>28.932555223999998</v>
      </c>
      <c r="CO470" s="646">
        <v>51.464723008</v>
      </c>
      <c r="CP470" s="648">
        <v>35.421020681000002</v>
      </c>
      <c r="CQ470" s="646">
        <v>11.76803075493056</v>
      </c>
      <c r="CR470" s="646">
        <v>18.361679120999998</v>
      </c>
      <c r="CS470" s="646">
        <v>22.843350313999998</v>
      </c>
      <c r="CT470" s="646">
        <v>16.358613350000002</v>
      </c>
      <c r="CU470" s="646">
        <v>15.843995942999999</v>
      </c>
      <c r="CV470" s="646">
        <v>14.463915152</v>
      </c>
      <c r="CW470" s="646">
        <v>27.784603081</v>
      </c>
      <c r="CX470" s="646">
        <v>21.432819065</v>
      </c>
      <c r="CY470" s="646">
        <v>30.363084206</v>
      </c>
      <c r="CZ470" s="646">
        <v>47.542389496000006</v>
      </c>
      <c r="DA470" s="646">
        <v>36.940702246376965</v>
      </c>
      <c r="DB470" s="1297">
        <v>32.153853196</v>
      </c>
      <c r="DC470" s="646">
        <v>7.699206792</v>
      </c>
      <c r="DD470" s="646">
        <v>16.413068342999999</v>
      </c>
      <c r="DE470" s="646">
        <v>35.627985338000009</v>
      </c>
      <c r="DF470" s="646">
        <v>36.570868179999998</v>
      </c>
      <c r="DG470" s="646">
        <v>16.263246383000002</v>
      </c>
      <c r="DH470" s="646">
        <v>11.049905589</v>
      </c>
      <c r="DI470" s="646">
        <v>46.698605737000001</v>
      </c>
      <c r="DJ470" s="646">
        <v>25.370697211</v>
      </c>
      <c r="DK470" s="646">
        <v>23.205804473999997</v>
      </c>
      <c r="DL470" s="646">
        <v>40.797149785000002</v>
      </c>
      <c r="DM470" s="646">
        <v>59.219738081000003</v>
      </c>
      <c r="DN470" s="648">
        <v>26.74629178</v>
      </c>
      <c r="DO470" s="646">
        <v>13.413084467999999</v>
      </c>
      <c r="DP470" s="646">
        <v>21.419977733</v>
      </c>
      <c r="DQ470" s="646">
        <v>17.814269811999999</v>
      </c>
      <c r="DR470" s="646">
        <v>24.8299138</v>
      </c>
      <c r="DS470" s="646">
        <v>27.434504454000002</v>
      </c>
      <c r="DT470" s="646">
        <v>16.106640577</v>
      </c>
      <c r="DU470" s="646">
        <v>40.220250265000004</v>
      </c>
      <c r="DV470" s="646">
        <v>20.301798274999999</v>
      </c>
      <c r="DW470" s="646">
        <v>16.703672267000002</v>
      </c>
      <c r="DX470" s="646">
        <v>34.381703754</v>
      </c>
      <c r="DY470" s="646">
        <v>43.791754669999996</v>
      </c>
      <c r="DZ470" s="648">
        <v>23.698941349999998</v>
      </c>
      <c r="EA470" s="646">
        <v>7.0390087609999998</v>
      </c>
      <c r="EB470" s="646">
        <v>29.930735841999997</v>
      </c>
      <c r="EC470" s="646">
        <v>28.334890032000001</v>
      </c>
      <c r="ED470" s="646">
        <v>27.536695631999997</v>
      </c>
      <c r="EE470" s="646">
        <v>22.374099096999998</v>
      </c>
      <c r="EF470" s="646">
        <v>16.740895622</v>
      </c>
      <c r="EG470" s="646">
        <v>55.057142225</v>
      </c>
      <c r="EH470" s="646">
        <v>21.274305705</v>
      </c>
      <c r="EI470" s="646">
        <v>26.485121561</v>
      </c>
      <c r="EJ470" s="646">
        <v>29.823325992000001</v>
      </c>
      <c r="EK470" s="646">
        <v>58.054600934999996</v>
      </c>
      <c r="EL470" s="648">
        <v>19.057433251999999</v>
      </c>
      <c r="EM470" s="648">
        <v>25.460867822000001</v>
      </c>
      <c r="EN470" s="646">
        <v>25.384496069000001</v>
      </c>
      <c r="EO470" s="646">
        <v>27.454722879999998</v>
      </c>
      <c r="EP470" s="646">
        <v>37.240783912000005</v>
      </c>
      <c r="EQ470" s="646">
        <v>26.761320949000002</v>
      </c>
      <c r="ER470" s="646">
        <v>37.710009473999996</v>
      </c>
      <c r="ES470" s="646">
        <v>42.990286253000001</v>
      </c>
      <c r="ET470" s="646">
        <v>45.763296858000004</v>
      </c>
      <c r="EU470" s="646">
        <v>35.748736557000001</v>
      </c>
      <c r="EV470" s="646">
        <v>54.869003861000003</v>
      </c>
      <c r="EW470" s="646">
        <v>78.276147252000001</v>
      </c>
      <c r="EX470" s="648">
        <v>29.014297797000001</v>
      </c>
      <c r="EY470" s="646">
        <v>37.467885670999998</v>
      </c>
      <c r="EZ470" s="646">
        <v>39.451502786000006</v>
      </c>
      <c r="FA470" s="646">
        <v>48.433684837999998</v>
      </c>
      <c r="FB470" s="646">
        <v>42.281539246999998</v>
      </c>
      <c r="FC470" s="646">
        <v>41.602428701999997</v>
      </c>
      <c r="FD470" s="646">
        <v>31.945720539</v>
      </c>
      <c r="FE470" s="646">
        <v>35.485007250999999</v>
      </c>
      <c r="FF470" s="646">
        <v>40.073490468000003</v>
      </c>
      <c r="FG470" s="646">
        <v>29.438954741</v>
      </c>
      <c r="FH470" s="646">
        <v>39.993022592000003</v>
      </c>
      <c r="FI470" s="646">
        <v>64.253409435999998</v>
      </c>
      <c r="FJ470" s="648">
        <v>34.872384849999996</v>
      </c>
      <c r="FK470" s="646">
        <v>36.244246215000004</v>
      </c>
      <c r="FL470" s="646">
        <v>30.388938072999998</v>
      </c>
      <c r="FM470" s="646">
        <v>32.798715348999998</v>
      </c>
      <c r="FN470" s="646">
        <v>42.276793343999998</v>
      </c>
      <c r="FO470" s="646">
        <v>38.236603162999998</v>
      </c>
      <c r="FP470" s="646">
        <v>85.751569892999996</v>
      </c>
      <c r="FQ470" s="646">
        <v>80.119229920999999</v>
      </c>
      <c r="FR470" s="646">
        <v>48.986533313999999</v>
      </c>
      <c r="FS470" s="646">
        <v>38.835669125500004</v>
      </c>
      <c r="FT470" s="646">
        <v>47.047556499999999</v>
      </c>
      <c r="FU470" s="646">
        <v>74.043017501499989</v>
      </c>
      <c r="FV470" s="646">
        <v>14.809122674999999</v>
      </c>
      <c r="FW470" s="646">
        <v>21.499991579</v>
      </c>
      <c r="FX470" s="646">
        <v>26.040309391000001</v>
      </c>
      <c r="FY470" s="646">
        <v>60.757177644999999</v>
      </c>
      <c r="FZ470" s="646">
        <v>85.854329884999999</v>
      </c>
      <c r="GA470" s="646">
        <v>45.169855757999997</v>
      </c>
      <c r="GB470" s="646">
        <v>118.78286667399999</v>
      </c>
      <c r="GC470" s="646">
        <v>105.848004573</v>
      </c>
      <c r="GD470" s="646">
        <v>58.604432637000002</v>
      </c>
      <c r="GE470" s="646">
        <v>92.421183310000004</v>
      </c>
      <c r="GF470" s="646">
        <v>75.868959872000005</v>
      </c>
      <c r="GG470" s="646">
        <v>64.692209547999994</v>
      </c>
      <c r="GH470" s="646">
        <v>47.373694473</v>
      </c>
      <c r="GI470" s="646">
        <f>GI471</f>
        <v>37.559882838189708</v>
      </c>
      <c r="GJ470" s="646">
        <f t="shared" ref="GJ470:GO470" si="257">GJ471</f>
        <v>99.400044857186941</v>
      </c>
      <c r="GK470" s="646">
        <f t="shared" si="257"/>
        <v>85.940072304623357</v>
      </c>
      <c r="GL470" s="646">
        <f t="shared" si="257"/>
        <v>41.014640372293314</v>
      </c>
      <c r="GM470" s="646">
        <f t="shared" si="257"/>
        <v>44.784218966293324</v>
      </c>
      <c r="GN470" s="646">
        <f t="shared" si="257"/>
        <v>11.333778128293314</v>
      </c>
      <c r="GO470" s="646">
        <f t="shared" si="257"/>
        <v>98.7583319798009</v>
      </c>
      <c r="GP470" s="646">
        <f>GP471</f>
        <v>24.197892101491309</v>
      </c>
      <c r="GQ470" s="646">
        <f t="shared" ref="GQ470:GT470" si="258">GQ471</f>
        <v>45.123040253739575</v>
      </c>
      <c r="GR470" s="646">
        <f t="shared" si="258"/>
        <v>147.32418630337381</v>
      </c>
      <c r="GS470" s="646">
        <f t="shared" si="258"/>
        <v>77.892570207755526</v>
      </c>
      <c r="GT470" s="646">
        <f t="shared" si="258"/>
        <v>33.624900862422102</v>
      </c>
      <c r="GU470" s="646">
        <v>36.576551907000002</v>
      </c>
      <c r="GV470" s="646">
        <v>35.305396328</v>
      </c>
      <c r="GW470" s="646">
        <v>47.563737848999999</v>
      </c>
      <c r="GX470" s="646">
        <v>48.569047284</v>
      </c>
      <c r="GY470" s="646">
        <v>35.389751359999998</v>
      </c>
      <c r="GZ470" s="646">
        <v>22.782992631999999</v>
      </c>
      <c r="HA470" s="646">
        <v>104.73686457700001</v>
      </c>
      <c r="HB470" s="646">
        <v>104.506769373</v>
      </c>
      <c r="HC470" s="646">
        <v>55.870180664999999</v>
      </c>
      <c r="HD470" s="646">
        <v>55.033536943000001</v>
      </c>
      <c r="HE470" s="646">
        <v>55.544366477000011</v>
      </c>
      <c r="HF470" s="646">
        <v>55.319894487999989</v>
      </c>
      <c r="HG470" s="646">
        <v>43.600136147999997</v>
      </c>
      <c r="HH470" s="646">
        <v>66.699274482999996</v>
      </c>
      <c r="HI470" s="646">
        <v>42.572112511</v>
      </c>
      <c r="HJ470" s="646">
        <v>116.211748875</v>
      </c>
      <c r="HK470" s="646">
        <v>33.700976709999999</v>
      </c>
      <c r="HL470" s="646">
        <v>34.210212214000002</v>
      </c>
      <c r="HM470" s="646">
        <v>52.413611570999997</v>
      </c>
      <c r="HN470" s="646">
        <v>77.831070867999998</v>
      </c>
      <c r="HO470" s="646">
        <v>50.647756301000001</v>
      </c>
      <c r="HP470" s="646">
        <v>24.762591125000004</v>
      </c>
      <c r="HQ470" s="646">
        <v>34.579855997999999</v>
      </c>
      <c r="HR470" s="646">
        <v>46.816776825999952</v>
      </c>
      <c r="HS470" s="646">
        <f>HS471+HS472</f>
        <v>26.98246971</v>
      </c>
      <c r="HT470" s="646">
        <f t="shared" ref="HT470:HX470" si="259">HT471+HT472</f>
        <v>88.896700311999993</v>
      </c>
      <c r="HU470" s="646">
        <f t="shared" si="259"/>
        <v>31.854105635</v>
      </c>
      <c r="HV470" s="646">
        <f t="shared" si="259"/>
        <v>55.50252261</v>
      </c>
      <c r="HW470" s="646">
        <f t="shared" si="259"/>
        <v>46.803186015000009</v>
      </c>
      <c r="HX470" s="646">
        <f t="shared" si="259"/>
        <v>52.072675497999995</v>
      </c>
      <c r="HY470" s="646"/>
      <c r="HZ470" s="649"/>
      <c r="KT470" s="651"/>
      <c r="KU470" s="649"/>
    </row>
    <row r="471" spans="1:307" s="650" customFormat="1" outlineLevel="1">
      <c r="A471" s="644" t="s">
        <v>878</v>
      </c>
      <c r="B471" s="644" t="s">
        <v>338</v>
      </c>
      <c r="C471" s="644"/>
      <c r="D471" s="1258" t="s">
        <v>536</v>
      </c>
      <c r="E471" s="646"/>
      <c r="F471" s="646"/>
      <c r="G471" s="646"/>
      <c r="H471" s="646"/>
      <c r="I471" s="646"/>
      <c r="J471" s="646"/>
      <c r="K471" s="646"/>
      <c r="L471" s="646"/>
      <c r="M471" s="646"/>
      <c r="N471" s="646"/>
      <c r="O471" s="646"/>
      <c r="P471" s="646"/>
      <c r="Q471" s="646"/>
      <c r="R471" s="646"/>
      <c r="S471" s="646"/>
      <c r="T471" s="646"/>
      <c r="U471" s="646"/>
      <c r="V471" s="646"/>
      <c r="W471" s="646"/>
      <c r="X471" s="646"/>
      <c r="Y471" s="646"/>
      <c r="Z471" s="646"/>
      <c r="AA471" s="646"/>
      <c r="AB471" s="646"/>
      <c r="AC471" s="646"/>
      <c r="AD471" s="646"/>
      <c r="AE471" s="646"/>
      <c r="AF471" s="646"/>
      <c r="AG471" s="646"/>
      <c r="AH471" s="646"/>
      <c r="AI471" s="646"/>
      <c r="AJ471" s="646"/>
      <c r="AK471" s="646"/>
      <c r="AL471" s="646"/>
      <c r="AM471" s="646"/>
      <c r="AN471" s="646"/>
      <c r="AO471" s="646"/>
      <c r="AP471" s="646"/>
      <c r="AQ471" s="646"/>
      <c r="AR471" s="646"/>
      <c r="AS471" s="646"/>
      <c r="AT471" s="646"/>
      <c r="AU471" s="646"/>
      <c r="AV471" s="646"/>
      <c r="AW471" s="646"/>
      <c r="AX471" s="646"/>
      <c r="AY471" s="646"/>
      <c r="AZ471" s="646"/>
      <c r="BA471" s="646"/>
      <c r="BB471" s="646"/>
      <c r="BC471" s="646"/>
      <c r="BD471" s="646"/>
      <c r="BE471" s="646"/>
      <c r="BF471" s="646"/>
      <c r="BG471" s="646">
        <v>6.3785177499200003</v>
      </c>
      <c r="BH471" s="646">
        <v>4.0654800229900001</v>
      </c>
      <c r="BI471" s="646">
        <v>2.80533423313</v>
      </c>
      <c r="BJ471" s="646">
        <v>4.9663082563299996</v>
      </c>
      <c r="BK471" s="646">
        <v>3.2685378679699997</v>
      </c>
      <c r="BL471" s="646">
        <v>3.8206991270000001</v>
      </c>
      <c r="BM471" s="646">
        <v>8.1645339809999999</v>
      </c>
      <c r="BN471" s="646">
        <v>3.0150156429099999</v>
      </c>
      <c r="BO471" s="646">
        <v>4.44633409369</v>
      </c>
      <c r="BP471" s="646">
        <v>7.2452022508400002</v>
      </c>
      <c r="BQ471" s="646">
        <v>4.9420447697899998</v>
      </c>
      <c r="BR471" s="646">
        <v>1.063222133</v>
      </c>
      <c r="BS471" s="646">
        <v>3.6043933539999999</v>
      </c>
      <c r="BT471" s="646">
        <v>3.4133628570000001</v>
      </c>
      <c r="BU471" s="646">
        <v>1.6095153980000001</v>
      </c>
      <c r="BV471" s="646">
        <v>2.581814445</v>
      </c>
      <c r="BW471" s="646">
        <v>2.516736039</v>
      </c>
      <c r="BX471" s="646">
        <v>0.79334064199999998</v>
      </c>
      <c r="BY471" s="646">
        <v>2.3627638649999998</v>
      </c>
      <c r="BZ471" s="646">
        <v>4.5791276439999997</v>
      </c>
      <c r="CA471" s="646">
        <v>0.95770923699999999</v>
      </c>
      <c r="CB471" s="646">
        <v>3.7198677249599998</v>
      </c>
      <c r="CC471" s="646">
        <v>1.06401749881</v>
      </c>
      <c r="CD471" s="646">
        <v>1.631561432</v>
      </c>
      <c r="CE471" s="647">
        <v>10.526452686000001</v>
      </c>
      <c r="CF471" s="646">
        <v>14.788687463</v>
      </c>
      <c r="CG471" s="646">
        <v>15.141310662</v>
      </c>
      <c r="CH471" s="646">
        <v>23.906214788</v>
      </c>
      <c r="CI471" s="646">
        <v>17.150936775000002</v>
      </c>
      <c r="CJ471" s="646">
        <v>11.073881504999999</v>
      </c>
      <c r="CK471" s="646">
        <v>21.884380947</v>
      </c>
      <c r="CL471" s="646">
        <v>18.32118797</v>
      </c>
      <c r="CM471" s="646">
        <v>23.373190814000001</v>
      </c>
      <c r="CN471" s="646">
        <v>27.952275332999999</v>
      </c>
      <c r="CO471" s="646">
        <v>51.030099032000003</v>
      </c>
      <c r="CP471" s="648">
        <v>34.385280105</v>
      </c>
      <c r="CQ471" s="646">
        <v>11.71803075493056</v>
      </c>
      <c r="CR471" s="646">
        <v>14.296176774999999</v>
      </c>
      <c r="CS471" s="646">
        <v>22.625164313999999</v>
      </c>
      <c r="CT471" s="646">
        <v>16.358613350000002</v>
      </c>
      <c r="CU471" s="646">
        <v>15.643995943</v>
      </c>
      <c r="CV471" s="646">
        <v>14.454799152</v>
      </c>
      <c r="CW471" s="646">
        <v>27.779478081000001</v>
      </c>
      <c r="CX471" s="646">
        <v>21.432819065</v>
      </c>
      <c r="CY471" s="646">
        <v>30.063084205999999</v>
      </c>
      <c r="CZ471" s="646">
        <v>46.928807496000005</v>
      </c>
      <c r="DA471" s="646">
        <v>36.640702246376968</v>
      </c>
      <c r="DB471" s="1297">
        <v>32.153853196</v>
      </c>
      <c r="DC471" s="646">
        <v>7.699206792</v>
      </c>
      <c r="DD471" s="646">
        <v>15.615804453999999</v>
      </c>
      <c r="DE471" s="646">
        <v>34.553283314000005</v>
      </c>
      <c r="DF471" s="646">
        <v>35.766758748999997</v>
      </c>
      <c r="DG471" s="646">
        <v>14.505710753000001</v>
      </c>
      <c r="DH471" s="646">
        <v>9.6282044520000003</v>
      </c>
      <c r="DI471" s="646">
        <v>45.308410111000001</v>
      </c>
      <c r="DJ471" s="646">
        <v>24.575965203999999</v>
      </c>
      <c r="DK471" s="646">
        <v>20.724792952999998</v>
      </c>
      <c r="DL471" s="646">
        <v>40.700034496000001</v>
      </c>
      <c r="DM471" s="646">
        <v>57.556615731000001</v>
      </c>
      <c r="DN471" s="648">
        <v>26.028251037</v>
      </c>
      <c r="DO471" s="646">
        <v>13.413084467999999</v>
      </c>
      <c r="DP471" s="646">
        <v>20.513162054999999</v>
      </c>
      <c r="DQ471" s="646">
        <v>17.430781947</v>
      </c>
      <c r="DR471" s="646">
        <v>24.498937213000001</v>
      </c>
      <c r="DS471" s="646">
        <v>26.308812109000002</v>
      </c>
      <c r="DT471" s="646">
        <v>15.421166871</v>
      </c>
      <c r="DU471" s="646">
        <v>38.146938749</v>
      </c>
      <c r="DV471" s="646">
        <v>19.405948199000001</v>
      </c>
      <c r="DW471" s="646">
        <v>16.027426585000001</v>
      </c>
      <c r="DX471" s="646">
        <v>34.381703754</v>
      </c>
      <c r="DY471" s="646">
        <v>43.061038738000001</v>
      </c>
      <c r="DZ471" s="648">
        <v>23.303213546999999</v>
      </c>
      <c r="EA471" s="646">
        <v>7.0390087609999998</v>
      </c>
      <c r="EB471" s="646">
        <v>27.880420234999999</v>
      </c>
      <c r="EC471" s="646">
        <v>27.983209404</v>
      </c>
      <c r="ED471" s="646">
        <v>26.463758969999997</v>
      </c>
      <c r="EE471" s="646">
        <v>22.189802706999998</v>
      </c>
      <c r="EF471" s="646">
        <v>16.484109042</v>
      </c>
      <c r="EG471" s="646">
        <v>53.879159250000001</v>
      </c>
      <c r="EH471" s="646">
        <v>20.661667502</v>
      </c>
      <c r="EI471" s="646">
        <v>25.803920057999999</v>
      </c>
      <c r="EJ471" s="646">
        <v>29.208660017</v>
      </c>
      <c r="EK471" s="646">
        <v>56.536960389999997</v>
      </c>
      <c r="EL471" s="648">
        <v>18.840317065000001</v>
      </c>
      <c r="EM471" s="646">
        <v>25.460867822000001</v>
      </c>
      <c r="EN471" s="646">
        <v>23.237070240000001</v>
      </c>
      <c r="EO471" s="646">
        <v>26.156810261999997</v>
      </c>
      <c r="EP471" s="646">
        <v>35.459373626000001</v>
      </c>
      <c r="EQ471" s="646">
        <v>25.850891169000001</v>
      </c>
      <c r="ER471" s="646">
        <v>37.452469549999996</v>
      </c>
      <c r="ES471" s="646">
        <v>41.463536611000002</v>
      </c>
      <c r="ET471" s="646">
        <v>44.353644627000001</v>
      </c>
      <c r="EU471" s="646">
        <v>34.999554809999999</v>
      </c>
      <c r="EV471" s="646">
        <v>52.172713250000001</v>
      </c>
      <c r="EW471" s="646">
        <v>74.941448680999997</v>
      </c>
      <c r="EX471" s="648">
        <v>28.824252475000002</v>
      </c>
      <c r="EY471" s="646">
        <v>37.467885670999998</v>
      </c>
      <c r="EZ471" s="646">
        <v>38.294529799000003</v>
      </c>
      <c r="FA471" s="646">
        <v>47.459462975999998</v>
      </c>
      <c r="FB471" s="646">
        <v>38.939648501999997</v>
      </c>
      <c r="FC471" s="646">
        <v>38.777168355999997</v>
      </c>
      <c r="FD471" s="646">
        <v>31.242091212999998</v>
      </c>
      <c r="FE471" s="646">
        <v>34.734893370000002</v>
      </c>
      <c r="FF471" s="646">
        <v>39.839215345</v>
      </c>
      <c r="FG471" s="646">
        <v>29.231937251000002</v>
      </c>
      <c r="FH471" s="646">
        <v>39.648290052</v>
      </c>
      <c r="FI471" s="646">
        <v>62.089244090000001</v>
      </c>
      <c r="FJ471" s="648">
        <v>27.429325165000002</v>
      </c>
      <c r="FK471" s="646">
        <v>34.855069626000002</v>
      </c>
      <c r="FL471" s="646">
        <v>30.3539335</v>
      </c>
      <c r="FM471" s="646">
        <v>32.166852878</v>
      </c>
      <c r="FN471" s="646">
        <v>40.761681717999998</v>
      </c>
      <c r="FO471" s="646">
        <v>35.703419597</v>
      </c>
      <c r="FP471" s="646">
        <v>84.823746598</v>
      </c>
      <c r="FQ471" s="646">
        <v>80.119229920999999</v>
      </c>
      <c r="FR471" s="646">
        <v>48.986533313999999</v>
      </c>
      <c r="FS471" s="646">
        <v>35.909699193000002</v>
      </c>
      <c r="FT471" s="646">
        <v>47.047556499999999</v>
      </c>
      <c r="FU471" s="646">
        <v>71.117047568999993</v>
      </c>
      <c r="FV471" s="646">
        <v>14.809122674999999</v>
      </c>
      <c r="FW471" s="646">
        <v>21.499991579</v>
      </c>
      <c r="FX471" s="646">
        <v>26.040309391000001</v>
      </c>
      <c r="FY471" s="646">
        <v>59.389177644999997</v>
      </c>
      <c r="FZ471" s="646">
        <v>85.854329884999999</v>
      </c>
      <c r="GA471" s="646">
        <v>45.169855757999997</v>
      </c>
      <c r="GB471" s="646">
        <v>117.414866674</v>
      </c>
      <c r="GC471" s="646">
        <v>105.848004573</v>
      </c>
      <c r="GD471" s="646">
        <v>58.604432637000002</v>
      </c>
      <c r="GE471" s="646">
        <v>92.421183310000004</v>
      </c>
      <c r="GF471" s="646">
        <v>75.868959872000005</v>
      </c>
      <c r="GG471" s="646">
        <v>64.692209547999994</v>
      </c>
      <c r="GH471" s="646">
        <v>47.373694473</v>
      </c>
      <c r="GI471" s="646">
        <v>37.559882838189708</v>
      </c>
      <c r="GJ471" s="646">
        <v>99.400044857186941</v>
      </c>
      <c r="GK471" s="646">
        <v>85.940072304623357</v>
      </c>
      <c r="GL471" s="646">
        <v>41.014640372293314</v>
      </c>
      <c r="GM471" s="646">
        <v>44.784218966293324</v>
      </c>
      <c r="GN471" s="646">
        <v>11.333778128293314</v>
      </c>
      <c r="GO471" s="646">
        <v>98.7583319798009</v>
      </c>
      <c r="GP471" s="646">
        <v>24.197892101491309</v>
      </c>
      <c r="GQ471" s="646">
        <v>45.123040253739575</v>
      </c>
      <c r="GR471" s="646">
        <v>147.32418630337381</v>
      </c>
      <c r="GS471" s="646">
        <v>77.892570207755526</v>
      </c>
      <c r="GT471" s="646">
        <v>33.624900862422102</v>
      </c>
      <c r="GU471" s="646">
        <v>36.576551907000002</v>
      </c>
      <c r="GV471" s="646">
        <v>35.305396328</v>
      </c>
      <c r="GW471" s="646">
        <v>47.563737848999999</v>
      </c>
      <c r="GX471" s="646">
        <v>48.569047284</v>
      </c>
      <c r="GY471" s="646">
        <v>35.389751359999998</v>
      </c>
      <c r="GZ471" s="646">
        <v>22.782992631999999</v>
      </c>
      <c r="HA471" s="646">
        <v>104.73686457700001</v>
      </c>
      <c r="HB471" s="646">
        <v>104.506769373</v>
      </c>
      <c r="HC471" s="646">
        <v>55.870180664999999</v>
      </c>
      <c r="HD471" s="646">
        <v>55.033536943000001</v>
      </c>
      <c r="HE471" s="646">
        <v>55.544366477000011</v>
      </c>
      <c r="HF471" s="646">
        <v>55.319894487999989</v>
      </c>
      <c r="HG471" s="646">
        <v>43.600136147999997</v>
      </c>
      <c r="HH471" s="646">
        <v>66.699274482999996</v>
      </c>
      <c r="HI471" s="646">
        <v>42.572112511</v>
      </c>
      <c r="HJ471" s="646">
        <v>116.211748875</v>
      </c>
      <c r="HK471" s="646">
        <v>33.700976709999999</v>
      </c>
      <c r="HL471" s="646">
        <v>34.210212214000002</v>
      </c>
      <c r="HM471" s="646">
        <v>52.413611570999997</v>
      </c>
      <c r="HN471" s="646">
        <v>77.831070867999998</v>
      </c>
      <c r="HO471" s="646">
        <v>47.947756300999998</v>
      </c>
      <c r="HP471" s="646">
        <v>24.762591125000004</v>
      </c>
      <c r="HQ471" s="646">
        <v>34.579855997999999</v>
      </c>
      <c r="HR471" s="646">
        <v>44.416776825999953</v>
      </c>
      <c r="HS471" s="646">
        <v>26.98246971</v>
      </c>
      <c r="HT471" s="646">
        <v>88.896700311999993</v>
      </c>
      <c r="HU471" s="646">
        <v>30.51489440184799</v>
      </c>
      <c r="HV471" s="646">
        <v>55.50252261</v>
      </c>
      <c r="HW471" s="646">
        <v>46.803186015000009</v>
      </c>
      <c r="HX471" s="646">
        <v>50.672675497999997</v>
      </c>
      <c r="HY471" s="646"/>
      <c r="HZ471" s="649"/>
      <c r="KT471" s="651"/>
      <c r="KU471" s="649"/>
    </row>
    <row r="472" spans="1:307" s="650" customFormat="1" outlineLevel="1">
      <c r="A472" s="644" t="s">
        <v>878</v>
      </c>
      <c r="B472" s="644" t="s">
        <v>338</v>
      </c>
      <c r="C472" s="644"/>
      <c r="D472" s="1258" t="s">
        <v>537</v>
      </c>
      <c r="E472" s="646"/>
      <c r="F472" s="646"/>
      <c r="G472" s="646"/>
      <c r="H472" s="646"/>
      <c r="I472" s="646"/>
      <c r="J472" s="646"/>
      <c r="K472" s="646"/>
      <c r="L472" s="646"/>
      <c r="M472" s="646"/>
      <c r="N472" s="646"/>
      <c r="O472" s="646"/>
      <c r="P472" s="646"/>
      <c r="Q472" s="646"/>
      <c r="R472" s="646"/>
      <c r="S472" s="646"/>
      <c r="T472" s="646"/>
      <c r="U472" s="646"/>
      <c r="V472" s="646"/>
      <c r="W472" s="646"/>
      <c r="X472" s="646"/>
      <c r="Y472" s="646"/>
      <c r="Z472" s="646"/>
      <c r="AA472" s="646"/>
      <c r="AB472" s="646"/>
      <c r="AC472" s="646"/>
      <c r="AD472" s="646"/>
      <c r="AE472" s="646"/>
      <c r="AF472" s="646"/>
      <c r="AG472" s="646"/>
      <c r="AH472" s="646"/>
      <c r="AI472" s="646"/>
      <c r="AJ472" s="646"/>
      <c r="AK472" s="646"/>
      <c r="AL472" s="646"/>
      <c r="AM472" s="646"/>
      <c r="AN472" s="646"/>
      <c r="AO472" s="646"/>
      <c r="AP472" s="646"/>
      <c r="AQ472" s="646"/>
      <c r="AR472" s="646"/>
      <c r="AS472" s="646"/>
      <c r="AT472" s="646"/>
      <c r="AU472" s="646"/>
      <c r="AV472" s="646"/>
      <c r="AW472" s="646"/>
      <c r="AX472" s="646"/>
      <c r="AY472" s="646"/>
      <c r="AZ472" s="646"/>
      <c r="BA472" s="646"/>
      <c r="BB472" s="646"/>
      <c r="BC472" s="646"/>
      <c r="BD472" s="646"/>
      <c r="BE472" s="646"/>
      <c r="BF472" s="646"/>
      <c r="BG472" s="646">
        <v>3.1646682589999999</v>
      </c>
      <c r="BH472" s="646">
        <v>2.1216136630000002</v>
      </c>
      <c r="BI472" s="646">
        <v>2.3155693419999999</v>
      </c>
      <c r="BJ472" s="646">
        <v>2.5309561120000001</v>
      </c>
      <c r="BK472" s="646">
        <v>2.7737807399999999</v>
      </c>
      <c r="BL472" s="646">
        <v>1.5672233330000001</v>
      </c>
      <c r="BM472" s="646">
        <v>3.3278472560000001</v>
      </c>
      <c r="BN472" s="646">
        <v>2.5370519859999998</v>
      </c>
      <c r="BO472" s="646">
        <v>2.1932652959999999</v>
      </c>
      <c r="BP472" s="646">
        <v>3.4204437099999998</v>
      </c>
      <c r="BQ472" s="646">
        <v>2.7780433250000001</v>
      </c>
      <c r="BR472" s="646">
        <v>0.61276477799999995</v>
      </c>
      <c r="BS472" s="646">
        <v>5.1194473450000002</v>
      </c>
      <c r="BT472" s="646">
        <v>3.0308389149999999</v>
      </c>
      <c r="BU472" s="646">
        <v>2.544931402</v>
      </c>
      <c r="BV472" s="646">
        <v>5.5550273419999998</v>
      </c>
      <c r="BW472" s="646">
        <v>4.5210786729999999</v>
      </c>
      <c r="BX472" s="646">
        <v>2.167588388</v>
      </c>
      <c r="BY472" s="646">
        <v>3.5910185179999998</v>
      </c>
      <c r="BZ472" s="646">
        <v>5.9705719950000002</v>
      </c>
      <c r="CA472" s="646">
        <v>2.6081275690000001</v>
      </c>
      <c r="CB472" s="646">
        <v>8.3581914560000001</v>
      </c>
      <c r="CC472" s="646">
        <v>4.2095795059999999</v>
      </c>
      <c r="CD472" s="646">
        <v>0.76434555999999998</v>
      </c>
      <c r="CE472" s="647">
        <v>0</v>
      </c>
      <c r="CF472" s="646">
        <v>0.32088234199999999</v>
      </c>
      <c r="CG472" s="646">
        <v>0</v>
      </c>
      <c r="CH472" s="646">
        <v>0.3</v>
      </c>
      <c r="CI472" s="646">
        <v>0.31680000000000003</v>
      </c>
      <c r="CJ472" s="646">
        <v>0</v>
      </c>
      <c r="CK472" s="646">
        <v>0</v>
      </c>
      <c r="CL472" s="646">
        <v>0</v>
      </c>
      <c r="CM472" s="646">
        <v>0.226708194</v>
      </c>
      <c r="CN472" s="646">
        <v>0.71366432300000004</v>
      </c>
      <c r="CO472" s="646">
        <v>0.21346294199999999</v>
      </c>
      <c r="CP472" s="648">
        <v>0</v>
      </c>
      <c r="CQ472" s="646">
        <v>0.05</v>
      </c>
      <c r="CR472" s="646">
        <v>0</v>
      </c>
      <c r="CS472" s="646">
        <v>0.21818599999999999</v>
      </c>
      <c r="CT472" s="646">
        <v>0</v>
      </c>
      <c r="CU472" s="646">
        <v>0.2</v>
      </c>
      <c r="CV472" s="646">
        <v>9.1160000000000008E-3</v>
      </c>
      <c r="CW472" s="646">
        <v>5.1250000000000002E-3</v>
      </c>
      <c r="CX472" s="646">
        <v>0</v>
      </c>
      <c r="CY472" s="646">
        <v>0.3</v>
      </c>
      <c r="CZ472" s="646">
        <v>0.61358199999999996</v>
      </c>
      <c r="DA472" s="646">
        <v>0.3</v>
      </c>
      <c r="DB472" s="1297">
        <v>0</v>
      </c>
      <c r="DC472" s="646">
        <v>0</v>
      </c>
      <c r="DD472" s="646">
        <v>0</v>
      </c>
      <c r="DE472" s="646">
        <v>0.6</v>
      </c>
      <c r="DF472" s="646">
        <v>0.3</v>
      </c>
      <c r="DG472" s="646">
        <v>0</v>
      </c>
      <c r="DH472" s="646">
        <v>0</v>
      </c>
      <c r="DI472" s="646">
        <v>0</v>
      </c>
      <c r="DJ472" s="646">
        <v>0.3</v>
      </c>
      <c r="DK472" s="646">
        <v>0.3</v>
      </c>
      <c r="DL472" s="646">
        <v>0</v>
      </c>
      <c r="DM472" s="646">
        <v>0.74068397699999999</v>
      </c>
      <c r="DN472" s="648">
        <v>0</v>
      </c>
      <c r="DO472" s="646">
        <v>0</v>
      </c>
      <c r="DP472" s="646">
        <v>0</v>
      </c>
      <c r="DQ472" s="646">
        <v>0</v>
      </c>
      <c r="DR472" s="646">
        <v>0</v>
      </c>
      <c r="DS472" s="646">
        <v>0</v>
      </c>
      <c r="DT472" s="646">
        <v>0</v>
      </c>
      <c r="DU472" s="646">
        <v>0</v>
      </c>
      <c r="DV472" s="646">
        <v>0</v>
      </c>
      <c r="DW472" s="646">
        <v>0</v>
      </c>
      <c r="DX472" s="646">
        <v>0</v>
      </c>
      <c r="DY472" s="646">
        <v>0</v>
      </c>
      <c r="DZ472" s="648">
        <v>0</v>
      </c>
      <c r="EA472" s="646">
        <v>0</v>
      </c>
      <c r="EB472" s="646">
        <v>0</v>
      </c>
      <c r="EC472" s="646">
        <v>0</v>
      </c>
      <c r="ED472" s="646">
        <v>0</v>
      </c>
      <c r="EE472" s="646">
        <v>0</v>
      </c>
      <c r="EF472" s="646">
        <v>0</v>
      </c>
      <c r="EG472" s="646">
        <v>0</v>
      </c>
      <c r="EH472" s="646">
        <v>0</v>
      </c>
      <c r="EI472" s="646">
        <v>0</v>
      </c>
      <c r="EJ472" s="646">
        <v>0</v>
      </c>
      <c r="EK472" s="646">
        <v>0</v>
      </c>
      <c r="EL472" s="648">
        <v>0</v>
      </c>
      <c r="EM472" s="646">
        <v>0</v>
      </c>
      <c r="EN472" s="646">
        <v>0</v>
      </c>
      <c r="EO472" s="646">
        <v>0</v>
      </c>
      <c r="EP472" s="646">
        <v>0</v>
      </c>
      <c r="EQ472" s="646">
        <v>0</v>
      </c>
      <c r="ER472" s="646">
        <v>0</v>
      </c>
      <c r="ES472" s="646">
        <v>0</v>
      </c>
      <c r="ET472" s="646">
        <v>0</v>
      </c>
      <c r="EU472" s="646">
        <v>0</v>
      </c>
      <c r="EV472" s="646">
        <v>0</v>
      </c>
      <c r="EW472" s="646">
        <v>0</v>
      </c>
      <c r="EX472" s="648">
        <v>0</v>
      </c>
      <c r="EY472" s="646">
        <v>0</v>
      </c>
      <c r="EZ472" s="646">
        <v>0</v>
      </c>
      <c r="FA472" s="646">
        <v>0</v>
      </c>
      <c r="FB472" s="646">
        <v>0</v>
      </c>
      <c r="FC472" s="646">
        <v>0</v>
      </c>
      <c r="FD472" s="646">
        <v>0</v>
      </c>
      <c r="FE472" s="646">
        <v>0</v>
      </c>
      <c r="FF472" s="646">
        <v>0</v>
      </c>
      <c r="FG472" s="646">
        <v>0</v>
      </c>
      <c r="FH472" s="646">
        <v>0</v>
      </c>
      <c r="FI472" s="646">
        <v>0</v>
      </c>
      <c r="FJ472" s="648">
        <v>6.978548</v>
      </c>
      <c r="FK472" s="646">
        <v>0</v>
      </c>
      <c r="FL472" s="646">
        <v>0</v>
      </c>
      <c r="FM472" s="646">
        <v>0</v>
      </c>
      <c r="FN472" s="646">
        <v>0</v>
      </c>
      <c r="FO472" s="646">
        <v>0</v>
      </c>
      <c r="FP472" s="646">
        <v>0</v>
      </c>
      <c r="FQ472" s="646">
        <v>0</v>
      </c>
      <c r="FR472" s="646">
        <v>0</v>
      </c>
      <c r="FS472" s="646">
        <v>2.9259699325000001</v>
      </c>
      <c r="FT472" s="646">
        <v>0</v>
      </c>
      <c r="FU472" s="646">
        <v>2.9259699325000001</v>
      </c>
      <c r="FV472" s="646">
        <v>0</v>
      </c>
      <c r="FW472" s="646">
        <v>0</v>
      </c>
      <c r="FX472" s="646">
        <v>0</v>
      </c>
      <c r="FY472" s="646">
        <v>1.3680000000000001</v>
      </c>
      <c r="FZ472" s="646">
        <v>0</v>
      </c>
      <c r="GA472" s="646">
        <v>0</v>
      </c>
      <c r="GB472" s="646">
        <v>1.3680000000000001</v>
      </c>
      <c r="GC472" s="646">
        <v>0</v>
      </c>
      <c r="GD472" s="646">
        <v>0</v>
      </c>
      <c r="GE472" s="646">
        <v>0</v>
      </c>
      <c r="GF472" s="646">
        <v>0</v>
      </c>
      <c r="GG472" s="646">
        <v>0</v>
      </c>
      <c r="GH472" s="646">
        <v>0</v>
      </c>
      <c r="GI472" s="646">
        <v>0</v>
      </c>
      <c r="GJ472" s="646">
        <v>0</v>
      </c>
      <c r="GK472" s="646">
        <v>0</v>
      </c>
      <c r="GL472" s="646">
        <v>0</v>
      </c>
      <c r="GM472" s="646">
        <v>0</v>
      </c>
      <c r="GN472" s="646">
        <v>0</v>
      </c>
      <c r="GO472" s="646">
        <v>0</v>
      </c>
      <c r="GP472" s="646">
        <v>0</v>
      </c>
      <c r="GQ472" s="646">
        <v>0</v>
      </c>
      <c r="GR472" s="646">
        <v>0</v>
      </c>
      <c r="GS472" s="646">
        <v>0</v>
      </c>
      <c r="GT472" s="646">
        <v>0</v>
      </c>
      <c r="GU472" s="646">
        <v>0</v>
      </c>
      <c r="GV472" s="646">
        <v>0</v>
      </c>
      <c r="GW472" s="646">
        <v>0</v>
      </c>
      <c r="GX472" s="646">
        <v>0</v>
      </c>
      <c r="GY472" s="646">
        <v>0</v>
      </c>
      <c r="GZ472" s="646">
        <v>0</v>
      </c>
      <c r="HA472" s="646">
        <v>0</v>
      </c>
      <c r="HB472" s="646">
        <v>0</v>
      </c>
      <c r="HC472" s="646">
        <v>0</v>
      </c>
      <c r="HD472" s="646">
        <v>0</v>
      </c>
      <c r="HE472" s="646">
        <v>0</v>
      </c>
      <c r="HF472" s="646">
        <v>0</v>
      </c>
      <c r="HG472" s="646">
        <v>0</v>
      </c>
      <c r="HH472" s="646">
        <v>0</v>
      </c>
      <c r="HI472" s="646">
        <v>0</v>
      </c>
      <c r="HJ472" s="646">
        <v>0</v>
      </c>
      <c r="HK472" s="646">
        <v>0</v>
      </c>
      <c r="HL472" s="646">
        <v>0</v>
      </c>
      <c r="HM472" s="646">
        <v>0</v>
      </c>
      <c r="HN472" s="646">
        <v>0</v>
      </c>
      <c r="HO472" s="646">
        <v>2.7</v>
      </c>
      <c r="HP472" s="646">
        <v>0</v>
      </c>
      <c r="HQ472" s="646">
        <v>0</v>
      </c>
      <c r="HR472" s="646">
        <v>2.4</v>
      </c>
      <c r="HS472" s="646">
        <v>0</v>
      </c>
      <c r="HT472" s="646">
        <v>0</v>
      </c>
      <c r="HU472" s="646">
        <v>1.3392112331520101</v>
      </c>
      <c r="HV472" s="646">
        <v>0</v>
      </c>
      <c r="HW472" s="646">
        <v>0</v>
      </c>
      <c r="HX472" s="646">
        <v>1.4</v>
      </c>
      <c r="HY472" s="646"/>
      <c r="HZ472" s="649"/>
      <c r="KT472" s="651"/>
      <c r="KU472" s="649"/>
    </row>
    <row r="473" spans="1:307" s="650" customFormat="1" outlineLevel="1">
      <c r="A473" s="644" t="s">
        <v>878</v>
      </c>
      <c r="B473" s="644" t="s">
        <v>338</v>
      </c>
      <c r="C473" s="644"/>
      <c r="D473" s="1258" t="s">
        <v>538</v>
      </c>
      <c r="E473" s="646"/>
      <c r="F473" s="646"/>
      <c r="G473" s="646"/>
      <c r="H473" s="646"/>
      <c r="I473" s="646"/>
      <c r="J473" s="646"/>
      <c r="K473" s="646"/>
      <c r="L473" s="646"/>
      <c r="M473" s="646"/>
      <c r="N473" s="646"/>
      <c r="O473" s="646"/>
      <c r="P473" s="646"/>
      <c r="Q473" s="646"/>
      <c r="R473" s="646"/>
      <c r="S473" s="646"/>
      <c r="T473" s="646"/>
      <c r="U473" s="646"/>
      <c r="V473" s="646"/>
      <c r="W473" s="646"/>
      <c r="X473" s="646"/>
      <c r="Y473" s="646"/>
      <c r="Z473" s="646"/>
      <c r="AA473" s="646"/>
      <c r="AB473" s="646"/>
      <c r="AC473" s="646"/>
      <c r="AD473" s="646"/>
      <c r="AE473" s="646"/>
      <c r="AF473" s="646"/>
      <c r="AG473" s="646"/>
      <c r="AH473" s="646"/>
      <c r="AI473" s="646"/>
      <c r="AJ473" s="646"/>
      <c r="AK473" s="646"/>
      <c r="AL473" s="646"/>
      <c r="AM473" s="646"/>
      <c r="AN473" s="646"/>
      <c r="AO473" s="646"/>
      <c r="AP473" s="646"/>
      <c r="AQ473" s="646"/>
      <c r="AR473" s="646"/>
      <c r="AS473" s="646"/>
      <c r="AT473" s="646"/>
      <c r="AU473" s="646"/>
      <c r="AV473" s="646"/>
      <c r="AW473" s="646"/>
      <c r="AX473" s="646"/>
      <c r="AY473" s="646"/>
      <c r="AZ473" s="646"/>
      <c r="BA473" s="646"/>
      <c r="BB473" s="646"/>
      <c r="BC473" s="646"/>
      <c r="BD473" s="646"/>
      <c r="BE473" s="646"/>
      <c r="BF473" s="646"/>
      <c r="BG473" s="646">
        <v>0.72797558612000002</v>
      </c>
      <c r="BH473" s="646">
        <v>3.9888344401999998</v>
      </c>
      <c r="BI473" s="646">
        <v>1.166327176</v>
      </c>
      <c r="BJ473" s="646">
        <v>4.5365377540000003</v>
      </c>
      <c r="BK473" s="646">
        <v>2.5838418239999998</v>
      </c>
      <c r="BL473" s="646">
        <v>2.7104474930000002</v>
      </c>
      <c r="BM473" s="646">
        <v>3.7477305379999999</v>
      </c>
      <c r="BN473" s="646">
        <v>3.0145003730000002</v>
      </c>
      <c r="BO473" s="646">
        <v>1.9164415459999999</v>
      </c>
      <c r="BP473" s="646">
        <v>4.6199256719499999</v>
      </c>
      <c r="BQ473" s="646">
        <v>1.9218507739999999</v>
      </c>
      <c r="BR473" s="646">
        <v>0.36023317574000002</v>
      </c>
      <c r="BS473" s="646">
        <v>2.9701385550000001</v>
      </c>
      <c r="BT473" s="646">
        <v>3.0417317160000001</v>
      </c>
      <c r="BU473" s="646">
        <v>0.88294982399999999</v>
      </c>
      <c r="BV473" s="646">
        <v>4.5379594660000002</v>
      </c>
      <c r="BW473" s="646">
        <v>2.1944629180000002</v>
      </c>
      <c r="BX473" s="646">
        <v>3.2697257560000001</v>
      </c>
      <c r="BY473" s="646">
        <v>1.815874443</v>
      </c>
      <c r="BZ473" s="646">
        <v>3.0689477100000002</v>
      </c>
      <c r="CA473" s="646">
        <v>2.213082714</v>
      </c>
      <c r="CB473" s="646">
        <v>4.3015471639999996</v>
      </c>
      <c r="CC473" s="646">
        <v>2.2333725969999998</v>
      </c>
      <c r="CD473" s="646">
        <v>0.85199352900000003</v>
      </c>
      <c r="CE473" s="647">
        <v>0</v>
      </c>
      <c r="CF473" s="646">
        <v>0</v>
      </c>
      <c r="CG473" s="646">
        <v>0</v>
      </c>
      <c r="CH473" s="646">
        <v>0</v>
      </c>
      <c r="CI473" s="646">
        <v>0</v>
      </c>
      <c r="CJ473" s="646">
        <v>0</v>
      </c>
      <c r="CK473" s="646">
        <v>0</v>
      </c>
      <c r="CL473" s="646">
        <v>0</v>
      </c>
      <c r="CM473" s="646">
        <v>0</v>
      </c>
      <c r="CN473" s="646">
        <v>0</v>
      </c>
      <c r="CO473" s="646">
        <v>0</v>
      </c>
      <c r="CP473" s="648">
        <v>0</v>
      </c>
      <c r="CQ473" s="646">
        <v>0</v>
      </c>
      <c r="CR473" s="646">
        <v>0</v>
      </c>
      <c r="CS473" s="646">
        <v>0</v>
      </c>
      <c r="CT473" s="646">
        <v>0</v>
      </c>
      <c r="CU473" s="646">
        <v>0</v>
      </c>
      <c r="CV473" s="646">
        <v>0</v>
      </c>
      <c r="CW473" s="646">
        <v>0</v>
      </c>
      <c r="CX473" s="646">
        <v>0</v>
      </c>
      <c r="CY473" s="646">
        <v>0</v>
      </c>
      <c r="CZ473" s="646">
        <v>0</v>
      </c>
      <c r="DA473" s="646">
        <v>0</v>
      </c>
      <c r="DB473" s="1297">
        <v>0</v>
      </c>
      <c r="DC473" s="646">
        <v>0</v>
      </c>
      <c r="DD473" s="646">
        <v>0</v>
      </c>
      <c r="DE473" s="646">
        <v>0</v>
      </c>
      <c r="DF473" s="646">
        <v>0</v>
      </c>
      <c r="DG473" s="646">
        <v>0</v>
      </c>
      <c r="DH473" s="646">
        <v>0</v>
      </c>
      <c r="DI473" s="646">
        <v>0</v>
      </c>
      <c r="DJ473" s="646">
        <v>0</v>
      </c>
      <c r="DK473" s="646">
        <v>0</v>
      </c>
      <c r="DL473" s="646">
        <v>0</v>
      </c>
      <c r="DM473" s="646">
        <v>0</v>
      </c>
      <c r="DN473" s="648">
        <v>0</v>
      </c>
      <c r="DO473" s="646">
        <v>0</v>
      </c>
      <c r="DP473" s="646">
        <v>0.90681567799999996</v>
      </c>
      <c r="DQ473" s="646">
        <v>0.38348786499999998</v>
      </c>
      <c r="DR473" s="646">
        <v>0.33097658699999999</v>
      </c>
      <c r="DS473" s="646">
        <v>1.125692345</v>
      </c>
      <c r="DT473" s="646">
        <v>0.68547370600000002</v>
      </c>
      <c r="DU473" s="646">
        <v>1.83866822</v>
      </c>
      <c r="DV473" s="646">
        <v>0.895850076</v>
      </c>
      <c r="DW473" s="646">
        <v>0.67624568200000001</v>
      </c>
      <c r="DX473" s="646">
        <v>0</v>
      </c>
      <c r="DY473" s="646">
        <v>0.69160871599999996</v>
      </c>
      <c r="DZ473" s="648">
        <v>0.39572780299999999</v>
      </c>
      <c r="EA473" s="646">
        <v>0</v>
      </c>
      <c r="EB473" s="646">
        <v>2.0503156069999999</v>
      </c>
      <c r="EC473" s="646">
        <v>0.351680628</v>
      </c>
      <c r="ED473" s="646">
        <v>1.0221471120000001</v>
      </c>
      <c r="EE473" s="646">
        <v>0.18429639</v>
      </c>
      <c r="EF473" s="646">
        <v>0.25678657999999999</v>
      </c>
      <c r="EG473" s="646">
        <v>1.1779829749999999</v>
      </c>
      <c r="EH473" s="646">
        <v>0.61263820300000005</v>
      </c>
      <c r="EI473" s="646">
        <v>0.68120150300000004</v>
      </c>
      <c r="EJ473" s="646">
        <v>0.61466597499999998</v>
      </c>
      <c r="EK473" s="646">
        <v>1.5176405449999999</v>
      </c>
      <c r="EL473" s="648">
        <v>0.21711618699999999</v>
      </c>
      <c r="EM473" s="646">
        <v>0</v>
      </c>
      <c r="EN473" s="646">
        <v>0</v>
      </c>
      <c r="EO473" s="646">
        <v>0</v>
      </c>
      <c r="EP473" s="646">
        <v>0</v>
      </c>
      <c r="EQ473" s="646">
        <v>0</v>
      </c>
      <c r="ER473" s="646">
        <v>0</v>
      </c>
      <c r="ES473" s="646">
        <v>0</v>
      </c>
      <c r="ET473" s="646">
        <v>0</v>
      </c>
      <c r="EU473" s="646">
        <v>0</v>
      </c>
      <c r="EV473" s="646">
        <v>0</v>
      </c>
      <c r="EW473" s="646">
        <v>0</v>
      </c>
      <c r="EX473" s="648">
        <v>0</v>
      </c>
      <c r="EY473" s="646">
        <v>0</v>
      </c>
      <c r="EZ473" s="646">
        <v>0</v>
      </c>
      <c r="FA473" s="646">
        <v>0</v>
      </c>
      <c r="FB473" s="646">
        <v>0</v>
      </c>
      <c r="FC473" s="646">
        <v>0</v>
      </c>
      <c r="FD473" s="646">
        <v>0</v>
      </c>
      <c r="FE473" s="646">
        <v>0</v>
      </c>
      <c r="FF473" s="646">
        <v>0</v>
      </c>
      <c r="FG473" s="646">
        <v>0</v>
      </c>
      <c r="FH473" s="646">
        <v>0</v>
      </c>
      <c r="FI473" s="646">
        <v>0</v>
      </c>
      <c r="FJ473" s="648">
        <v>0</v>
      </c>
      <c r="FK473" s="646">
        <v>0</v>
      </c>
      <c r="FL473" s="646">
        <v>0</v>
      </c>
      <c r="FM473" s="646">
        <v>0</v>
      </c>
      <c r="FN473" s="646">
        <v>0</v>
      </c>
      <c r="FO473" s="646">
        <v>0</v>
      </c>
      <c r="FP473" s="646">
        <v>0</v>
      </c>
      <c r="FQ473" s="646">
        <v>0</v>
      </c>
      <c r="FR473" s="646">
        <v>0</v>
      </c>
      <c r="FS473" s="646">
        <v>0</v>
      </c>
      <c r="FT473" s="646">
        <v>0</v>
      </c>
      <c r="FU473" s="646">
        <v>0</v>
      </c>
      <c r="FV473" s="646">
        <v>0</v>
      </c>
      <c r="FW473" s="646">
        <v>0</v>
      </c>
      <c r="FX473" s="646">
        <v>0</v>
      </c>
      <c r="FY473" s="646">
        <v>0</v>
      </c>
      <c r="FZ473" s="646">
        <v>0</v>
      </c>
      <c r="GA473" s="646">
        <v>0</v>
      </c>
      <c r="GB473" s="646">
        <v>0</v>
      </c>
      <c r="GC473" s="646">
        <v>0</v>
      </c>
      <c r="GD473" s="646">
        <v>0</v>
      </c>
      <c r="GE473" s="646">
        <v>0</v>
      </c>
      <c r="GF473" s="646">
        <v>0</v>
      </c>
      <c r="GG473" s="646">
        <v>0</v>
      </c>
      <c r="GH473" s="646">
        <v>0</v>
      </c>
      <c r="GI473" s="646">
        <v>0</v>
      </c>
      <c r="GJ473" s="646">
        <v>0</v>
      </c>
      <c r="GK473" s="646">
        <v>0</v>
      </c>
      <c r="GL473" s="646">
        <v>0</v>
      </c>
      <c r="GM473" s="646">
        <v>0</v>
      </c>
      <c r="GN473" s="646">
        <v>0</v>
      </c>
      <c r="GO473" s="646">
        <v>0</v>
      </c>
      <c r="GP473" s="646">
        <v>0</v>
      </c>
      <c r="GQ473" s="646">
        <v>0</v>
      </c>
      <c r="GR473" s="646">
        <v>0</v>
      </c>
      <c r="GS473" s="646">
        <v>0</v>
      </c>
      <c r="GT473" s="646">
        <v>0</v>
      </c>
      <c r="GU473" s="646">
        <v>0</v>
      </c>
      <c r="GV473" s="646">
        <v>0</v>
      </c>
      <c r="GW473" s="646">
        <v>0</v>
      </c>
      <c r="GX473" s="646">
        <v>0</v>
      </c>
      <c r="GY473" s="646">
        <v>0</v>
      </c>
      <c r="GZ473" s="646">
        <v>0</v>
      </c>
      <c r="HA473" s="646">
        <v>0</v>
      </c>
      <c r="HB473" s="646">
        <v>0</v>
      </c>
      <c r="HC473" s="646">
        <v>0</v>
      </c>
      <c r="HD473" s="646">
        <v>0</v>
      </c>
      <c r="HE473" s="646">
        <v>0</v>
      </c>
      <c r="HF473" s="646">
        <v>0</v>
      </c>
      <c r="HG473" s="646">
        <v>0</v>
      </c>
      <c r="HH473" s="646">
        <v>0</v>
      </c>
      <c r="HI473" s="646">
        <v>0</v>
      </c>
      <c r="HJ473" s="646">
        <v>0</v>
      </c>
      <c r="HK473" s="646">
        <v>0</v>
      </c>
      <c r="HL473" s="646">
        <v>0</v>
      </c>
      <c r="HM473" s="646">
        <v>0</v>
      </c>
      <c r="HN473" s="646">
        <v>0</v>
      </c>
      <c r="HO473" s="646">
        <v>0</v>
      </c>
      <c r="HP473" s="646">
        <v>0</v>
      </c>
      <c r="HQ473" s="646">
        <v>0</v>
      </c>
      <c r="HR473" s="646">
        <v>0</v>
      </c>
      <c r="HS473" s="646">
        <v>0</v>
      </c>
      <c r="HT473" s="646">
        <v>0</v>
      </c>
      <c r="HU473" s="646">
        <v>0</v>
      </c>
      <c r="HV473" s="646">
        <v>0</v>
      </c>
      <c r="HW473" s="646">
        <v>0</v>
      </c>
      <c r="HX473" s="646">
        <v>0</v>
      </c>
      <c r="HY473" s="646"/>
      <c r="HZ473" s="649"/>
      <c r="KT473" s="651"/>
      <c r="KU473" s="649"/>
    </row>
    <row r="474" spans="1:307" s="650" customFormat="1" outlineLevel="1">
      <c r="A474" s="644" t="s">
        <v>878</v>
      </c>
      <c r="B474" s="644" t="s">
        <v>338</v>
      </c>
      <c r="C474" s="644"/>
      <c r="D474" s="1258" t="s">
        <v>539</v>
      </c>
      <c r="E474" s="646"/>
      <c r="F474" s="646"/>
      <c r="G474" s="646"/>
      <c r="H474" s="646"/>
      <c r="I474" s="646"/>
      <c r="J474" s="646"/>
      <c r="K474" s="646"/>
      <c r="L474" s="646"/>
      <c r="M474" s="646"/>
      <c r="N474" s="646"/>
      <c r="O474" s="646"/>
      <c r="P474" s="646"/>
      <c r="Q474" s="646"/>
      <c r="R474" s="646"/>
      <c r="S474" s="646"/>
      <c r="T474" s="646"/>
      <c r="U474" s="646"/>
      <c r="V474" s="646"/>
      <c r="W474" s="646"/>
      <c r="X474" s="646"/>
      <c r="Y474" s="646"/>
      <c r="Z474" s="646"/>
      <c r="AA474" s="646"/>
      <c r="AB474" s="646"/>
      <c r="AC474" s="646"/>
      <c r="AD474" s="646"/>
      <c r="AE474" s="646"/>
      <c r="AF474" s="646"/>
      <c r="AG474" s="646"/>
      <c r="AH474" s="646"/>
      <c r="AI474" s="646"/>
      <c r="AJ474" s="646"/>
      <c r="AK474" s="646"/>
      <c r="AL474" s="646"/>
      <c r="AM474" s="646"/>
      <c r="AN474" s="646"/>
      <c r="AO474" s="646"/>
      <c r="AP474" s="646"/>
      <c r="AQ474" s="646"/>
      <c r="AR474" s="646"/>
      <c r="AS474" s="646"/>
      <c r="AT474" s="646"/>
      <c r="AU474" s="646"/>
      <c r="AV474" s="646"/>
      <c r="AW474" s="646"/>
      <c r="AX474" s="646"/>
      <c r="AY474" s="646"/>
      <c r="AZ474" s="646"/>
      <c r="BA474" s="646"/>
      <c r="BB474" s="646"/>
      <c r="BC474" s="646"/>
      <c r="BD474" s="646"/>
      <c r="BE474" s="646"/>
      <c r="BF474" s="646"/>
      <c r="BG474" s="646">
        <v>0.81184859872000004</v>
      </c>
      <c r="BH474" s="646">
        <v>2.8676003086799997</v>
      </c>
      <c r="BI474" s="646">
        <v>0.91248093966999999</v>
      </c>
      <c r="BJ474" s="646">
        <v>2.400164277</v>
      </c>
      <c r="BK474" s="646">
        <v>1.188430484</v>
      </c>
      <c r="BL474" s="646">
        <v>0.67420349700000004</v>
      </c>
      <c r="BM474" s="646">
        <v>2.1732266076999998</v>
      </c>
      <c r="BN474" s="646">
        <v>1.29983316577</v>
      </c>
      <c r="BO474" s="646">
        <v>1.43837181542</v>
      </c>
      <c r="BP474" s="646">
        <v>5.7028014735100001</v>
      </c>
      <c r="BQ474" s="646">
        <v>3.2707650922</v>
      </c>
      <c r="BR474" s="646">
        <v>1.12417286513</v>
      </c>
      <c r="BS474" s="646">
        <v>3.0876783936999996</v>
      </c>
      <c r="BT474" s="646">
        <v>1.88009708381</v>
      </c>
      <c r="BU474" s="646">
        <v>1.70990795505</v>
      </c>
      <c r="BV474" s="646">
        <v>2.55588468396</v>
      </c>
      <c r="BW474" s="646">
        <v>2.4350349049000002</v>
      </c>
      <c r="BX474" s="646">
        <v>1.5272170220899999</v>
      </c>
      <c r="BY474" s="646">
        <v>2.9031365064000001</v>
      </c>
      <c r="BZ474" s="646">
        <v>6.4055732796899996</v>
      </c>
      <c r="CA474" s="646">
        <v>1.88694791103</v>
      </c>
      <c r="CB474" s="646">
        <v>3.2695313711700003</v>
      </c>
      <c r="CC474" s="646">
        <v>5.2475765770000002</v>
      </c>
      <c r="CD474" s="646">
        <v>1.71546534868</v>
      </c>
      <c r="CE474" s="647">
        <v>0</v>
      </c>
      <c r="CF474" s="646">
        <v>0</v>
      </c>
      <c r="CG474" s="646">
        <v>0</v>
      </c>
      <c r="CH474" s="646">
        <v>0</v>
      </c>
      <c r="CI474" s="646">
        <v>0</v>
      </c>
      <c r="CJ474" s="646">
        <v>0</v>
      </c>
      <c r="CK474" s="646">
        <v>0</v>
      </c>
      <c r="CL474" s="646">
        <v>0</v>
      </c>
      <c r="CM474" s="646">
        <v>0.2542954</v>
      </c>
      <c r="CN474" s="646">
        <v>0.26661556800000002</v>
      </c>
      <c r="CO474" s="646">
        <v>0.22116103400000001</v>
      </c>
      <c r="CP474" s="648">
        <v>1.035740576</v>
      </c>
      <c r="CQ474" s="646">
        <v>0</v>
      </c>
      <c r="CR474" s="646">
        <v>4.0655023459999997</v>
      </c>
      <c r="CS474" s="646">
        <v>0</v>
      </c>
      <c r="CT474" s="646">
        <v>0</v>
      </c>
      <c r="CU474" s="646">
        <v>0</v>
      </c>
      <c r="CV474" s="646">
        <v>0</v>
      </c>
      <c r="CW474" s="646">
        <v>0</v>
      </c>
      <c r="CX474" s="646">
        <v>0</v>
      </c>
      <c r="CY474" s="646">
        <v>0</v>
      </c>
      <c r="CZ474" s="646">
        <v>0</v>
      </c>
      <c r="DA474" s="646">
        <v>0</v>
      </c>
      <c r="DB474" s="1297">
        <v>0</v>
      </c>
      <c r="DC474" s="646">
        <v>0</v>
      </c>
      <c r="DD474" s="646">
        <v>0.797263889</v>
      </c>
      <c r="DE474" s="646">
        <v>0.474702024</v>
      </c>
      <c r="DF474" s="646">
        <v>0.50410943100000005</v>
      </c>
      <c r="DG474" s="646">
        <v>1.75753563</v>
      </c>
      <c r="DH474" s="646">
        <v>1.4217011369999999</v>
      </c>
      <c r="DI474" s="646">
        <v>1.3901956259999999</v>
      </c>
      <c r="DJ474" s="646">
        <v>0.49473200699999997</v>
      </c>
      <c r="DK474" s="646">
        <v>2.1810115209999998</v>
      </c>
      <c r="DL474" s="646">
        <v>9.7115288999999994E-2</v>
      </c>
      <c r="DM474" s="646">
        <v>0.92243837299999998</v>
      </c>
      <c r="DN474" s="648">
        <v>0.71804074299999998</v>
      </c>
      <c r="DO474" s="646">
        <v>0</v>
      </c>
      <c r="DP474" s="646">
        <v>0</v>
      </c>
      <c r="DQ474" s="646">
        <v>0</v>
      </c>
      <c r="DR474" s="646">
        <v>0</v>
      </c>
      <c r="DS474" s="646">
        <v>0</v>
      </c>
      <c r="DT474" s="646">
        <v>0</v>
      </c>
      <c r="DU474" s="646">
        <v>0.234643296</v>
      </c>
      <c r="DV474" s="646">
        <v>0</v>
      </c>
      <c r="DW474" s="646">
        <v>0</v>
      </c>
      <c r="DX474" s="646">
        <v>0</v>
      </c>
      <c r="DY474" s="646">
        <v>3.9107216E-2</v>
      </c>
      <c r="DZ474" s="648">
        <v>0</v>
      </c>
      <c r="EA474" s="646">
        <v>0</v>
      </c>
      <c r="EB474" s="646">
        <v>0</v>
      </c>
      <c r="EC474" s="646">
        <v>0</v>
      </c>
      <c r="ED474" s="646">
        <v>5.0789550000000003E-2</v>
      </c>
      <c r="EE474" s="646">
        <v>0</v>
      </c>
      <c r="EF474" s="646">
        <v>0</v>
      </c>
      <c r="EG474" s="646">
        <v>0</v>
      </c>
      <c r="EH474" s="646">
        <v>0</v>
      </c>
      <c r="EI474" s="646">
        <v>0</v>
      </c>
      <c r="EJ474" s="646">
        <v>0</v>
      </c>
      <c r="EK474" s="646">
        <v>0</v>
      </c>
      <c r="EL474" s="648">
        <v>0</v>
      </c>
      <c r="EM474" s="646">
        <v>0</v>
      </c>
      <c r="EN474" s="646">
        <v>2.1474258289999999</v>
      </c>
      <c r="EO474" s="646">
        <v>1.297912618</v>
      </c>
      <c r="EP474" s="646">
        <v>1.7814102860000001</v>
      </c>
      <c r="EQ474" s="646">
        <v>0.91042977999999997</v>
      </c>
      <c r="ER474" s="646">
        <v>0.25753992399999998</v>
      </c>
      <c r="ES474" s="646">
        <v>1.526749642</v>
      </c>
      <c r="ET474" s="646">
        <v>1.4096522309999999</v>
      </c>
      <c r="EU474" s="646">
        <v>0.74918174699999995</v>
      </c>
      <c r="EV474" s="646">
        <v>2.6962906109999998</v>
      </c>
      <c r="EW474" s="646">
        <v>3.3346985710000001</v>
      </c>
      <c r="EX474" s="648">
        <v>0.19004532199999999</v>
      </c>
      <c r="EY474" s="646">
        <v>0</v>
      </c>
      <c r="EZ474" s="646">
        <v>1.1569729870000001</v>
      </c>
      <c r="FA474" s="646">
        <v>0.97422186200000005</v>
      </c>
      <c r="FB474" s="646">
        <v>3.3418907450000002</v>
      </c>
      <c r="FC474" s="646">
        <v>2.8252603459999999</v>
      </c>
      <c r="FD474" s="646">
        <v>0.70362932600000005</v>
      </c>
      <c r="FE474" s="646">
        <v>0.75011388099999998</v>
      </c>
      <c r="FF474" s="646">
        <v>0.234275123</v>
      </c>
      <c r="FG474" s="646">
        <v>0.20701749</v>
      </c>
      <c r="FH474" s="646">
        <v>0.34473253999999998</v>
      </c>
      <c r="FI474" s="646">
        <v>2.1641653459999999</v>
      </c>
      <c r="FJ474" s="648">
        <v>0.46451168500000001</v>
      </c>
      <c r="FK474" s="646">
        <v>1.3891765890000001</v>
      </c>
      <c r="FL474" s="646">
        <v>3.5004572999999997E-2</v>
      </c>
      <c r="FM474" s="646">
        <v>0.63186247100000004</v>
      </c>
      <c r="FN474" s="646">
        <v>1.5151116259999999</v>
      </c>
      <c r="FO474" s="646">
        <v>2.5331835659999999</v>
      </c>
      <c r="FP474" s="646">
        <v>0.92782329500000005</v>
      </c>
      <c r="FQ474" s="646">
        <v>0</v>
      </c>
      <c r="FR474" s="646">
        <v>0</v>
      </c>
      <c r="FS474" s="646">
        <v>0</v>
      </c>
      <c r="FT474" s="646">
        <v>0</v>
      </c>
      <c r="FU474" s="646">
        <v>0</v>
      </c>
      <c r="FV474" s="646">
        <v>0</v>
      </c>
      <c r="FW474" s="646">
        <v>0</v>
      </c>
      <c r="FX474" s="646">
        <v>0</v>
      </c>
      <c r="FY474" s="646">
        <v>0</v>
      </c>
      <c r="FZ474" s="646">
        <v>0</v>
      </c>
      <c r="GA474" s="646">
        <v>0</v>
      </c>
      <c r="GB474" s="646">
        <v>0</v>
      </c>
      <c r="GC474" s="646">
        <v>0</v>
      </c>
      <c r="GD474" s="646">
        <v>0</v>
      </c>
      <c r="GE474" s="646">
        <v>0</v>
      </c>
      <c r="GF474" s="646">
        <v>0</v>
      </c>
      <c r="GG474" s="646">
        <v>0</v>
      </c>
      <c r="GH474" s="646">
        <v>0</v>
      </c>
      <c r="GI474" s="646">
        <v>0</v>
      </c>
      <c r="GJ474" s="646">
        <v>0</v>
      </c>
      <c r="GK474" s="646">
        <v>0</v>
      </c>
      <c r="GL474" s="646">
        <v>0</v>
      </c>
      <c r="GM474" s="646">
        <v>0</v>
      </c>
      <c r="GN474" s="646">
        <v>0</v>
      </c>
      <c r="GO474" s="646">
        <v>0</v>
      </c>
      <c r="GP474" s="646">
        <v>0</v>
      </c>
      <c r="GQ474" s="646">
        <v>0</v>
      </c>
      <c r="GR474" s="646">
        <v>0</v>
      </c>
      <c r="GS474" s="646">
        <v>0</v>
      </c>
      <c r="GT474" s="646">
        <v>0</v>
      </c>
      <c r="GU474" s="646">
        <v>0</v>
      </c>
      <c r="GV474" s="646">
        <v>0</v>
      </c>
      <c r="GW474" s="646">
        <v>0</v>
      </c>
      <c r="GX474" s="646">
        <v>0</v>
      </c>
      <c r="GY474" s="646">
        <v>0</v>
      </c>
      <c r="GZ474" s="646">
        <v>0</v>
      </c>
      <c r="HA474" s="646">
        <v>0</v>
      </c>
      <c r="HB474" s="646">
        <v>0</v>
      </c>
      <c r="HC474" s="646">
        <v>0</v>
      </c>
      <c r="HD474" s="646">
        <v>0</v>
      </c>
      <c r="HE474" s="646">
        <v>0</v>
      </c>
      <c r="HF474" s="646">
        <v>0</v>
      </c>
      <c r="HG474" s="646">
        <v>0</v>
      </c>
      <c r="HH474" s="646">
        <v>0</v>
      </c>
      <c r="HI474" s="646">
        <v>0</v>
      </c>
      <c r="HJ474" s="646">
        <v>0</v>
      </c>
      <c r="HK474" s="646">
        <v>0</v>
      </c>
      <c r="HL474" s="646">
        <v>0</v>
      </c>
      <c r="HM474" s="646">
        <v>0</v>
      </c>
      <c r="HN474" s="646">
        <v>0</v>
      </c>
      <c r="HO474" s="646">
        <v>0</v>
      </c>
      <c r="HP474" s="646">
        <v>0</v>
      </c>
      <c r="HQ474" s="646">
        <v>0</v>
      </c>
      <c r="HR474" s="646">
        <v>0</v>
      </c>
      <c r="HS474" s="646">
        <v>0</v>
      </c>
      <c r="HT474" s="646">
        <v>0</v>
      </c>
      <c r="HU474" s="646">
        <v>0</v>
      </c>
      <c r="HV474" s="646">
        <v>0</v>
      </c>
      <c r="HW474" s="646">
        <v>0</v>
      </c>
      <c r="HX474" s="646">
        <v>0</v>
      </c>
      <c r="HY474" s="646"/>
      <c r="HZ474" s="649"/>
      <c r="KT474" s="651"/>
      <c r="KU474" s="649"/>
    </row>
    <row r="475" spans="1:307" s="650" customFormat="1" outlineLevel="1">
      <c r="A475" s="644"/>
      <c r="B475" s="644"/>
      <c r="C475" s="644"/>
      <c r="D475" s="1256"/>
      <c r="E475" s="646"/>
      <c r="F475" s="646"/>
      <c r="G475" s="646"/>
      <c r="H475" s="646"/>
      <c r="I475" s="646"/>
      <c r="J475" s="646"/>
      <c r="K475" s="646"/>
      <c r="L475" s="646"/>
      <c r="M475" s="646"/>
      <c r="N475" s="646"/>
      <c r="O475" s="646"/>
      <c r="P475" s="646"/>
      <c r="Q475" s="646"/>
      <c r="R475" s="646"/>
      <c r="S475" s="646"/>
      <c r="T475" s="646"/>
      <c r="U475" s="646"/>
      <c r="V475" s="646"/>
      <c r="W475" s="646"/>
      <c r="X475" s="646"/>
      <c r="Y475" s="646"/>
      <c r="Z475" s="646"/>
      <c r="AA475" s="646"/>
      <c r="AB475" s="646"/>
      <c r="AC475" s="646"/>
      <c r="AD475" s="646"/>
      <c r="AE475" s="646"/>
      <c r="AF475" s="646"/>
      <c r="AG475" s="646"/>
      <c r="AH475" s="646"/>
      <c r="AI475" s="646"/>
      <c r="AJ475" s="646"/>
      <c r="AK475" s="646"/>
      <c r="AL475" s="646"/>
      <c r="AM475" s="646"/>
      <c r="AN475" s="646"/>
      <c r="AO475" s="646"/>
      <c r="AP475" s="646"/>
      <c r="AQ475" s="646"/>
      <c r="AR475" s="646"/>
      <c r="AS475" s="646"/>
      <c r="AT475" s="646"/>
      <c r="AU475" s="646"/>
      <c r="AV475" s="646"/>
      <c r="AW475" s="646"/>
      <c r="AX475" s="646"/>
      <c r="AY475" s="646"/>
      <c r="AZ475" s="646"/>
      <c r="BA475" s="646"/>
      <c r="BB475" s="646"/>
      <c r="BC475" s="646"/>
      <c r="BD475" s="646"/>
      <c r="BE475" s="646"/>
      <c r="BF475" s="646"/>
      <c r="BG475" s="646"/>
      <c r="BH475" s="646"/>
      <c r="BI475" s="646"/>
      <c r="BJ475" s="646"/>
      <c r="BK475" s="646"/>
      <c r="BL475" s="646"/>
      <c r="BM475" s="646"/>
      <c r="BN475" s="646"/>
      <c r="BO475" s="646"/>
      <c r="BP475" s="646"/>
      <c r="BQ475" s="646"/>
      <c r="BR475" s="646"/>
      <c r="BS475" s="646"/>
      <c r="BT475" s="646"/>
      <c r="BU475" s="646"/>
      <c r="BV475" s="646"/>
      <c r="BW475" s="646"/>
      <c r="BX475" s="646"/>
      <c r="BY475" s="646"/>
      <c r="BZ475" s="646"/>
      <c r="CA475" s="646"/>
      <c r="CB475" s="646"/>
      <c r="CC475" s="646"/>
      <c r="CD475" s="646"/>
      <c r="CE475" s="647"/>
      <c r="CF475" s="646"/>
      <c r="CG475" s="646"/>
      <c r="CH475" s="646"/>
      <c r="CI475" s="646"/>
      <c r="CJ475" s="646"/>
      <c r="CK475" s="646"/>
      <c r="CL475" s="646"/>
      <c r="CM475" s="646"/>
      <c r="CN475" s="646"/>
      <c r="CO475" s="646"/>
      <c r="CP475" s="648"/>
      <c r="CQ475" s="646"/>
      <c r="CR475" s="646"/>
      <c r="CS475" s="646"/>
      <c r="CT475" s="646"/>
      <c r="CU475" s="646"/>
      <c r="CV475" s="646"/>
      <c r="CW475" s="646"/>
      <c r="CX475" s="646"/>
      <c r="CY475" s="646"/>
      <c r="CZ475" s="646"/>
      <c r="DA475" s="646"/>
      <c r="DB475" s="1297"/>
      <c r="DC475" s="646"/>
      <c r="DD475" s="646"/>
      <c r="DE475" s="646"/>
      <c r="DF475" s="646"/>
      <c r="DG475" s="646"/>
      <c r="DH475" s="646"/>
      <c r="DI475" s="646"/>
      <c r="DJ475" s="646"/>
      <c r="DK475" s="646"/>
      <c r="DL475" s="646"/>
      <c r="DM475" s="646"/>
      <c r="DN475" s="648"/>
      <c r="DO475" s="646"/>
      <c r="DP475" s="646"/>
      <c r="DQ475" s="646"/>
      <c r="DR475" s="646"/>
      <c r="DS475" s="646"/>
      <c r="DT475" s="646"/>
      <c r="DU475" s="646"/>
      <c r="DV475" s="646"/>
      <c r="DW475" s="646"/>
      <c r="DX475" s="646"/>
      <c r="DY475" s="646"/>
      <c r="DZ475" s="648"/>
      <c r="EA475" s="646"/>
      <c r="EB475" s="646"/>
      <c r="EC475" s="646"/>
      <c r="ED475" s="646"/>
      <c r="EE475" s="646"/>
      <c r="EF475" s="646"/>
      <c r="EG475" s="646"/>
      <c r="EH475" s="646"/>
      <c r="EI475" s="646"/>
      <c r="EJ475" s="646"/>
      <c r="EK475" s="646"/>
      <c r="EL475" s="648"/>
      <c r="EM475" s="646"/>
      <c r="EN475" s="646"/>
      <c r="EO475" s="646"/>
      <c r="EP475" s="646"/>
      <c r="EQ475" s="646"/>
      <c r="ER475" s="646"/>
      <c r="ES475" s="646"/>
      <c r="ET475" s="646"/>
      <c r="EU475" s="646"/>
      <c r="EV475" s="646"/>
      <c r="EW475" s="646"/>
      <c r="EX475" s="648"/>
      <c r="EY475" s="646"/>
      <c r="EZ475" s="646"/>
      <c r="FA475" s="646"/>
      <c r="FB475" s="646"/>
      <c r="FC475" s="646"/>
      <c r="FD475" s="646"/>
      <c r="FE475" s="646"/>
      <c r="FF475" s="646"/>
      <c r="FG475" s="646"/>
      <c r="FH475" s="646"/>
      <c r="FI475" s="646"/>
      <c r="FJ475" s="648"/>
      <c r="FK475" s="646"/>
      <c r="FL475" s="646"/>
      <c r="FM475" s="646"/>
      <c r="FN475" s="646"/>
      <c r="FO475" s="646"/>
      <c r="FP475" s="646"/>
      <c r="FQ475" s="646"/>
      <c r="FR475" s="646"/>
      <c r="FS475" s="646"/>
      <c r="FT475" s="646"/>
      <c r="FU475" s="646"/>
      <c r="FV475" s="646"/>
      <c r="FW475" s="646"/>
      <c r="FX475" s="646"/>
      <c r="FY475" s="646"/>
      <c r="FZ475" s="646"/>
      <c r="GA475" s="646"/>
      <c r="GB475" s="646"/>
      <c r="GC475" s="646"/>
      <c r="GD475" s="646"/>
      <c r="GE475" s="646"/>
      <c r="GF475" s="646"/>
      <c r="GG475" s="646"/>
      <c r="GH475" s="646"/>
      <c r="GI475" s="646"/>
      <c r="GJ475" s="646"/>
      <c r="GK475" s="646"/>
      <c r="GL475" s="646"/>
      <c r="GM475" s="646"/>
      <c r="GN475" s="646"/>
      <c r="GO475" s="646"/>
      <c r="GP475" s="646"/>
      <c r="GQ475" s="646"/>
      <c r="GR475" s="646"/>
      <c r="GS475" s="646"/>
      <c r="GT475" s="646"/>
      <c r="GU475" s="646"/>
      <c r="GV475" s="646"/>
      <c r="GW475" s="646"/>
      <c r="GX475" s="646"/>
      <c r="GY475" s="646"/>
      <c r="GZ475" s="646"/>
      <c r="HA475" s="646"/>
      <c r="HB475" s="646"/>
      <c r="HC475" s="646"/>
      <c r="HD475" s="646"/>
      <c r="HE475" s="646"/>
      <c r="HF475" s="646"/>
      <c r="HG475" s="646"/>
      <c r="HH475" s="646"/>
      <c r="HI475" s="646"/>
      <c r="HJ475" s="646"/>
      <c r="HK475" s="646"/>
      <c r="HL475" s="646"/>
      <c r="HM475" s="646"/>
      <c r="HN475" s="646"/>
      <c r="HO475" s="646"/>
      <c r="HP475" s="646"/>
      <c r="HQ475" s="646"/>
      <c r="HR475" s="646"/>
      <c r="HS475" s="646"/>
      <c r="HT475" s="646"/>
      <c r="HU475" s="646"/>
      <c r="HV475" s="646"/>
      <c r="HW475" s="646"/>
      <c r="HX475" s="646"/>
      <c r="HY475" s="646"/>
      <c r="HZ475" s="649"/>
      <c r="KT475" s="651"/>
      <c r="KU475" s="649"/>
    </row>
    <row r="476" spans="1:307" s="650" customFormat="1" outlineLevel="1">
      <c r="A476" s="644"/>
      <c r="B476" s="644"/>
      <c r="C476" s="644"/>
      <c r="D476" s="1255"/>
      <c r="E476" s="646"/>
      <c r="F476" s="646"/>
      <c r="G476" s="646"/>
      <c r="H476" s="646"/>
      <c r="I476" s="646"/>
      <c r="J476" s="646"/>
      <c r="K476" s="646"/>
      <c r="L476" s="646"/>
      <c r="M476" s="646"/>
      <c r="N476" s="646"/>
      <c r="O476" s="646"/>
      <c r="P476" s="646"/>
      <c r="Q476" s="646"/>
      <c r="R476" s="646"/>
      <c r="S476" s="646"/>
      <c r="T476" s="646"/>
      <c r="U476" s="646"/>
      <c r="V476" s="646"/>
      <c r="W476" s="646"/>
      <c r="X476" s="646"/>
      <c r="Y476" s="646"/>
      <c r="Z476" s="646"/>
      <c r="AA476" s="646"/>
      <c r="AB476" s="646"/>
      <c r="AC476" s="646"/>
      <c r="AD476" s="646"/>
      <c r="AE476" s="646"/>
      <c r="AF476" s="646"/>
      <c r="AG476" s="646"/>
      <c r="AH476" s="646"/>
      <c r="AI476" s="646"/>
      <c r="AJ476" s="646"/>
      <c r="AK476" s="646"/>
      <c r="AL476" s="646"/>
      <c r="AM476" s="646"/>
      <c r="AN476" s="646"/>
      <c r="AO476" s="646"/>
      <c r="AP476" s="646"/>
      <c r="AQ476" s="646"/>
      <c r="AR476" s="646"/>
      <c r="AS476" s="646"/>
      <c r="AT476" s="646"/>
      <c r="AU476" s="646"/>
      <c r="AV476" s="646"/>
      <c r="AW476" s="646"/>
      <c r="AX476" s="646"/>
      <c r="AY476" s="646"/>
      <c r="AZ476" s="646"/>
      <c r="BA476" s="646"/>
      <c r="BB476" s="646"/>
      <c r="BC476" s="646"/>
      <c r="BD476" s="646"/>
      <c r="BE476" s="646"/>
      <c r="BF476" s="646"/>
      <c r="BG476" s="646"/>
      <c r="BH476" s="646"/>
      <c r="BI476" s="646"/>
      <c r="BJ476" s="646"/>
      <c r="BK476" s="646"/>
      <c r="BL476" s="646"/>
      <c r="BM476" s="646"/>
      <c r="BN476" s="646"/>
      <c r="BO476" s="646"/>
      <c r="BP476" s="646"/>
      <c r="BQ476" s="646"/>
      <c r="BR476" s="646"/>
      <c r="BS476" s="646"/>
      <c r="BT476" s="646"/>
      <c r="BU476" s="646"/>
      <c r="BV476" s="646"/>
      <c r="BW476" s="646"/>
      <c r="BX476" s="646"/>
      <c r="BY476" s="646"/>
      <c r="BZ476" s="646"/>
      <c r="CA476" s="646"/>
      <c r="CB476" s="646"/>
      <c r="CC476" s="646"/>
      <c r="CD476" s="646"/>
      <c r="CE476" s="647"/>
      <c r="CF476" s="646"/>
      <c r="CG476" s="646"/>
      <c r="CH476" s="646"/>
      <c r="CI476" s="646"/>
      <c r="CJ476" s="646"/>
      <c r="CK476" s="646"/>
      <c r="CL476" s="646"/>
      <c r="CM476" s="646"/>
      <c r="CN476" s="646"/>
      <c r="CO476" s="646"/>
      <c r="CP476" s="648"/>
      <c r="CQ476" s="646"/>
      <c r="CR476" s="646"/>
      <c r="CS476" s="646"/>
      <c r="CT476" s="646"/>
      <c r="CU476" s="646"/>
      <c r="CV476" s="646"/>
      <c r="CW476" s="646"/>
      <c r="CX476" s="646"/>
      <c r="CY476" s="646"/>
      <c r="CZ476" s="646"/>
      <c r="DA476" s="646"/>
      <c r="DB476" s="1297"/>
      <c r="DC476" s="646"/>
      <c r="DD476" s="646"/>
      <c r="DE476" s="646"/>
      <c r="DF476" s="646"/>
      <c r="DG476" s="646"/>
      <c r="DH476" s="646"/>
      <c r="DI476" s="646"/>
      <c r="DJ476" s="646"/>
      <c r="DK476" s="646"/>
      <c r="DL476" s="646"/>
      <c r="DM476" s="646"/>
      <c r="DN476" s="648"/>
      <c r="DO476" s="646"/>
      <c r="DP476" s="646"/>
      <c r="DQ476" s="646"/>
      <c r="DR476" s="646"/>
      <c r="DS476" s="646"/>
      <c r="DT476" s="646"/>
      <c r="DU476" s="646"/>
      <c r="DV476" s="646"/>
      <c r="DW476" s="646"/>
      <c r="DX476" s="646"/>
      <c r="DY476" s="646"/>
      <c r="DZ476" s="648"/>
      <c r="EA476" s="646"/>
      <c r="EB476" s="646"/>
      <c r="EC476" s="646"/>
      <c r="ED476" s="646"/>
      <c r="EE476" s="646"/>
      <c r="EF476" s="646"/>
      <c r="EG476" s="646"/>
      <c r="EH476" s="646"/>
      <c r="EI476" s="646"/>
      <c r="EJ476" s="646"/>
      <c r="EK476" s="646"/>
      <c r="EL476" s="648"/>
      <c r="EM476" s="646"/>
      <c r="EN476" s="646"/>
      <c r="EO476" s="646"/>
      <c r="EP476" s="646"/>
      <c r="EQ476" s="646"/>
      <c r="ER476" s="646"/>
      <c r="ES476" s="646"/>
      <c r="ET476" s="646"/>
      <c r="EU476" s="646"/>
      <c r="EV476" s="646"/>
      <c r="EW476" s="646"/>
      <c r="EX476" s="648"/>
      <c r="EY476" s="646"/>
      <c r="EZ476" s="646"/>
      <c r="FA476" s="646"/>
      <c r="FB476" s="646"/>
      <c r="FC476" s="646"/>
      <c r="FD476" s="646"/>
      <c r="FE476" s="646"/>
      <c r="FF476" s="646"/>
      <c r="FG476" s="646"/>
      <c r="FH476" s="646"/>
      <c r="FI476" s="646"/>
      <c r="FJ476" s="648"/>
      <c r="FK476" s="646"/>
      <c r="FL476" s="646"/>
      <c r="FM476" s="646"/>
      <c r="FN476" s="646"/>
      <c r="FO476" s="646"/>
      <c r="FP476" s="646"/>
      <c r="FQ476" s="646"/>
      <c r="FR476" s="646"/>
      <c r="FS476" s="646"/>
      <c r="FT476" s="646"/>
      <c r="FU476" s="646"/>
      <c r="FV476" s="646"/>
      <c r="FW476" s="646"/>
      <c r="FX476" s="646"/>
      <c r="FY476" s="646"/>
      <c r="FZ476" s="646"/>
      <c r="GA476" s="646"/>
      <c r="GB476" s="646"/>
      <c r="GC476" s="646"/>
      <c r="GD476" s="646"/>
      <c r="GE476" s="646"/>
      <c r="GF476" s="646"/>
      <c r="GG476" s="646"/>
      <c r="GH476" s="646"/>
      <c r="GI476" s="646"/>
      <c r="GJ476" s="646"/>
      <c r="GK476" s="646"/>
      <c r="GL476" s="646"/>
      <c r="GM476" s="646"/>
      <c r="GN476" s="646"/>
      <c r="GO476" s="646"/>
      <c r="GP476" s="646"/>
      <c r="GQ476" s="646"/>
      <c r="GR476" s="646"/>
      <c r="GS476" s="646"/>
      <c r="GT476" s="646"/>
      <c r="GU476" s="646"/>
      <c r="GV476" s="646"/>
      <c r="GW476" s="646"/>
      <c r="GX476" s="646"/>
      <c r="GY476" s="646"/>
      <c r="GZ476" s="646"/>
      <c r="HA476" s="646"/>
      <c r="HB476" s="646"/>
      <c r="HC476" s="646"/>
      <c r="HD476" s="646"/>
      <c r="HE476" s="646"/>
      <c r="HF476" s="646"/>
      <c r="HG476" s="646"/>
      <c r="HH476" s="646"/>
      <c r="HI476" s="646"/>
      <c r="HJ476" s="646"/>
      <c r="HK476" s="646"/>
      <c r="HL476" s="646"/>
      <c r="HM476" s="646"/>
      <c r="HN476" s="646"/>
      <c r="HO476" s="646"/>
      <c r="HP476" s="646"/>
      <c r="HQ476" s="646"/>
      <c r="HR476" s="646"/>
      <c r="HS476" s="646"/>
      <c r="HT476" s="646"/>
      <c r="HU476" s="646"/>
      <c r="HV476" s="646"/>
      <c r="HW476" s="646"/>
      <c r="HX476" s="646"/>
      <c r="HY476" s="646"/>
      <c r="HZ476" s="649"/>
      <c r="KT476" s="651"/>
      <c r="KU476" s="649"/>
    </row>
    <row r="477" spans="1:307" s="650" customFormat="1" outlineLevel="1">
      <c r="A477" s="644"/>
      <c r="B477" s="644"/>
      <c r="C477" s="644"/>
      <c r="D477" s="1255"/>
      <c r="E477" s="646"/>
      <c r="F477" s="646"/>
      <c r="G477" s="646"/>
      <c r="H477" s="646"/>
      <c r="I477" s="646"/>
      <c r="J477" s="646"/>
      <c r="K477" s="646"/>
      <c r="L477" s="646"/>
      <c r="M477" s="646"/>
      <c r="N477" s="646"/>
      <c r="O477" s="646"/>
      <c r="P477" s="646"/>
      <c r="Q477" s="646"/>
      <c r="R477" s="646"/>
      <c r="S477" s="646"/>
      <c r="T477" s="646"/>
      <c r="U477" s="646"/>
      <c r="V477" s="646"/>
      <c r="W477" s="646"/>
      <c r="X477" s="646"/>
      <c r="Y477" s="646"/>
      <c r="Z477" s="646"/>
      <c r="AA477" s="646"/>
      <c r="AB477" s="646"/>
      <c r="AC477" s="646"/>
      <c r="AD477" s="646"/>
      <c r="AE477" s="646"/>
      <c r="AF477" s="646"/>
      <c r="AG477" s="646"/>
      <c r="AH477" s="646"/>
      <c r="AI477" s="646"/>
      <c r="AJ477" s="646"/>
      <c r="AK477" s="646"/>
      <c r="AL477" s="646"/>
      <c r="AM477" s="646"/>
      <c r="AN477" s="646"/>
      <c r="AO477" s="646"/>
      <c r="AP477" s="646"/>
      <c r="AQ477" s="646"/>
      <c r="AR477" s="646"/>
      <c r="AS477" s="646"/>
      <c r="AT477" s="646"/>
      <c r="AU477" s="646"/>
      <c r="AV477" s="646"/>
      <c r="AW477" s="646"/>
      <c r="AX477" s="646"/>
      <c r="AY477" s="646"/>
      <c r="AZ477" s="646"/>
      <c r="BA477" s="646"/>
      <c r="BB477" s="646"/>
      <c r="BC477" s="646"/>
      <c r="BD477" s="646"/>
      <c r="BE477" s="646"/>
      <c r="BF477" s="646"/>
      <c r="BG477" s="646"/>
      <c r="BH477" s="646"/>
      <c r="BI477" s="646"/>
      <c r="BJ477" s="646"/>
      <c r="BK477" s="646"/>
      <c r="BL477" s="646"/>
      <c r="BM477" s="646"/>
      <c r="BN477" s="646"/>
      <c r="BO477" s="646"/>
      <c r="BP477" s="646"/>
      <c r="BQ477" s="646"/>
      <c r="BR477" s="646"/>
      <c r="BS477" s="646"/>
      <c r="BT477" s="646"/>
      <c r="BU477" s="646"/>
      <c r="BV477" s="646"/>
      <c r="BW477" s="646"/>
      <c r="BX477" s="646"/>
      <c r="BY477" s="646"/>
      <c r="BZ477" s="646"/>
      <c r="CA477" s="646"/>
      <c r="CB477" s="646"/>
      <c r="CC477" s="646"/>
      <c r="CD477" s="646"/>
      <c r="CE477" s="647"/>
      <c r="CF477" s="646"/>
      <c r="CG477" s="646"/>
      <c r="CH477" s="646"/>
      <c r="CI477" s="646"/>
      <c r="CJ477" s="646"/>
      <c r="CK477" s="646"/>
      <c r="CL477" s="646"/>
      <c r="CM477" s="646"/>
      <c r="CN477" s="646"/>
      <c r="CO477" s="646"/>
      <c r="CP477" s="648"/>
      <c r="CQ477" s="646"/>
      <c r="CR477" s="646"/>
      <c r="CS477" s="646"/>
      <c r="CT477" s="646"/>
      <c r="CU477" s="646"/>
      <c r="CV477" s="646"/>
      <c r="CW477" s="646"/>
      <c r="CX477" s="646"/>
      <c r="CY477" s="646"/>
      <c r="CZ477" s="646"/>
      <c r="DA477" s="646"/>
      <c r="DB477" s="1297"/>
      <c r="DC477" s="646"/>
      <c r="DD477" s="646"/>
      <c r="DE477" s="646"/>
      <c r="DF477" s="646"/>
      <c r="DG477" s="646"/>
      <c r="DH477" s="646"/>
      <c r="DI477" s="646"/>
      <c r="DJ477" s="646"/>
      <c r="DK477" s="646"/>
      <c r="DL477" s="646"/>
      <c r="DM477" s="646"/>
      <c r="DN477" s="648"/>
      <c r="DO477" s="646"/>
      <c r="DP477" s="646"/>
      <c r="DQ477" s="646"/>
      <c r="DR477" s="646"/>
      <c r="DS477" s="646"/>
      <c r="DT477" s="646"/>
      <c r="DU477" s="646"/>
      <c r="DV477" s="646"/>
      <c r="DW477" s="646"/>
      <c r="DX477" s="646"/>
      <c r="DY477" s="646"/>
      <c r="DZ477" s="648"/>
      <c r="EA477" s="646"/>
      <c r="EB477" s="646"/>
      <c r="EC477" s="646"/>
      <c r="ED477" s="646"/>
      <c r="EE477" s="646"/>
      <c r="EF477" s="646"/>
      <c r="EG477" s="646"/>
      <c r="EH477" s="646"/>
      <c r="EI477" s="646"/>
      <c r="EJ477" s="646"/>
      <c r="EK477" s="646"/>
      <c r="EL477" s="648"/>
      <c r="EM477" s="646"/>
      <c r="EN477" s="646"/>
      <c r="EO477" s="646"/>
      <c r="EP477" s="646"/>
      <c r="EQ477" s="646"/>
      <c r="ER477" s="646"/>
      <c r="ES477" s="646"/>
      <c r="ET477" s="646"/>
      <c r="EU477" s="646"/>
      <c r="EV477" s="646"/>
      <c r="EW477" s="646"/>
      <c r="EX477" s="648"/>
      <c r="EY477" s="646"/>
      <c r="EZ477" s="646"/>
      <c r="FA477" s="646"/>
      <c r="FB477" s="646"/>
      <c r="FC477" s="646"/>
      <c r="FD477" s="646"/>
      <c r="FE477" s="646"/>
      <c r="FF477" s="646"/>
      <c r="FG477" s="646"/>
      <c r="FH477" s="646"/>
      <c r="FI477" s="646"/>
      <c r="FJ477" s="648"/>
      <c r="FK477" s="646"/>
      <c r="FL477" s="646"/>
      <c r="FM477" s="646"/>
      <c r="FN477" s="646"/>
      <c r="FO477" s="646"/>
      <c r="FP477" s="646"/>
      <c r="FQ477" s="646"/>
      <c r="FR477" s="646"/>
      <c r="FS477" s="646"/>
      <c r="FT477" s="646"/>
      <c r="FU477" s="646"/>
      <c r="FV477" s="646"/>
      <c r="FW477" s="646"/>
      <c r="FX477" s="646"/>
      <c r="FY477" s="646"/>
      <c r="FZ477" s="646"/>
      <c r="GA477" s="646"/>
      <c r="GB477" s="646"/>
      <c r="GC477" s="646"/>
      <c r="GD477" s="646"/>
      <c r="GE477" s="646"/>
      <c r="GF477" s="646"/>
      <c r="GG477" s="646"/>
      <c r="GH477" s="646"/>
      <c r="GI477" s="646"/>
      <c r="GJ477" s="646"/>
      <c r="GK477" s="646"/>
      <c r="GL477" s="646"/>
      <c r="GM477" s="646"/>
      <c r="GN477" s="646"/>
      <c r="GO477" s="646"/>
      <c r="GP477" s="646"/>
      <c r="GQ477" s="646"/>
      <c r="GR477" s="646"/>
      <c r="GS477" s="646"/>
      <c r="GT477" s="646"/>
      <c r="GU477" s="646"/>
      <c r="GV477" s="646"/>
      <c r="GW477" s="646"/>
      <c r="GX477" s="646"/>
      <c r="GY477" s="646"/>
      <c r="GZ477" s="646"/>
      <c r="HA477" s="646"/>
      <c r="HB477" s="646"/>
      <c r="HC477" s="646"/>
      <c r="HD477" s="646"/>
      <c r="HE477" s="646"/>
      <c r="HF477" s="646"/>
      <c r="HG477" s="646"/>
      <c r="HH477" s="646"/>
      <c r="HI477" s="646"/>
      <c r="HJ477" s="646"/>
      <c r="HK477" s="646"/>
      <c r="HL477" s="646"/>
      <c r="HM477" s="646"/>
      <c r="HN477" s="646"/>
      <c r="HO477" s="646"/>
      <c r="HP477" s="646"/>
      <c r="HQ477" s="646"/>
      <c r="HR477" s="646"/>
      <c r="HS477" s="646"/>
      <c r="HT477" s="646"/>
      <c r="HU477" s="646"/>
      <c r="HV477" s="646"/>
      <c r="HW477" s="646"/>
      <c r="HX477" s="646"/>
      <c r="HY477" s="646"/>
      <c r="HZ477" s="649"/>
      <c r="KT477" s="651"/>
      <c r="KU477" s="649"/>
    </row>
    <row r="478" spans="1:307" s="650" customFormat="1" outlineLevel="1">
      <c r="A478" s="644"/>
      <c r="B478" s="644"/>
      <c r="C478" s="644"/>
      <c r="D478" s="1255"/>
      <c r="E478" s="646"/>
      <c r="F478" s="646"/>
      <c r="G478" s="646"/>
      <c r="H478" s="646"/>
      <c r="I478" s="646"/>
      <c r="J478" s="646"/>
      <c r="K478" s="646"/>
      <c r="L478" s="646"/>
      <c r="M478" s="646"/>
      <c r="N478" s="646"/>
      <c r="O478" s="646"/>
      <c r="P478" s="646"/>
      <c r="Q478" s="646"/>
      <c r="R478" s="646"/>
      <c r="S478" s="646"/>
      <c r="T478" s="646"/>
      <c r="U478" s="646"/>
      <c r="V478" s="646"/>
      <c r="W478" s="646"/>
      <c r="X478" s="646"/>
      <c r="Y478" s="646"/>
      <c r="Z478" s="646"/>
      <c r="AA478" s="646"/>
      <c r="AB478" s="646"/>
      <c r="AC478" s="646"/>
      <c r="AD478" s="646"/>
      <c r="AE478" s="646"/>
      <c r="AF478" s="646"/>
      <c r="AG478" s="646"/>
      <c r="AH478" s="646"/>
      <c r="AI478" s="646"/>
      <c r="AJ478" s="646"/>
      <c r="AK478" s="646"/>
      <c r="AL478" s="646"/>
      <c r="AM478" s="646"/>
      <c r="AN478" s="646"/>
      <c r="AO478" s="646"/>
      <c r="AP478" s="646"/>
      <c r="AQ478" s="646"/>
      <c r="AR478" s="646"/>
      <c r="AS478" s="646"/>
      <c r="AT478" s="646"/>
      <c r="AU478" s="646"/>
      <c r="AV478" s="646"/>
      <c r="AW478" s="646"/>
      <c r="AX478" s="646"/>
      <c r="AY478" s="646"/>
      <c r="AZ478" s="646"/>
      <c r="BA478" s="646"/>
      <c r="BB478" s="646"/>
      <c r="BC478" s="646"/>
      <c r="BD478" s="646"/>
      <c r="BE478" s="646"/>
      <c r="BF478" s="646"/>
      <c r="BG478" s="646"/>
      <c r="BH478" s="646"/>
      <c r="BI478" s="646"/>
      <c r="BJ478" s="646"/>
      <c r="BK478" s="646"/>
      <c r="BL478" s="646"/>
      <c r="BM478" s="646"/>
      <c r="BN478" s="646"/>
      <c r="BO478" s="646"/>
      <c r="BP478" s="646"/>
      <c r="BQ478" s="646"/>
      <c r="BR478" s="646"/>
      <c r="BS478" s="646"/>
      <c r="BT478" s="646"/>
      <c r="BU478" s="646"/>
      <c r="BV478" s="646"/>
      <c r="BW478" s="646"/>
      <c r="BX478" s="646"/>
      <c r="BY478" s="646"/>
      <c r="BZ478" s="646"/>
      <c r="CA478" s="646"/>
      <c r="CB478" s="646"/>
      <c r="CC478" s="646"/>
      <c r="CD478" s="646"/>
      <c r="CE478" s="647"/>
      <c r="CF478" s="646"/>
      <c r="CG478" s="646"/>
      <c r="CH478" s="646"/>
      <c r="CI478" s="646"/>
      <c r="CJ478" s="646"/>
      <c r="CK478" s="646"/>
      <c r="CL478" s="646"/>
      <c r="CM478" s="646"/>
      <c r="CN478" s="646"/>
      <c r="CO478" s="646"/>
      <c r="CP478" s="648"/>
      <c r="CQ478" s="646"/>
      <c r="CR478" s="646"/>
      <c r="CS478" s="646"/>
      <c r="CT478" s="646"/>
      <c r="CU478" s="646"/>
      <c r="CV478" s="646"/>
      <c r="CW478" s="646"/>
      <c r="CX478" s="646"/>
      <c r="CY478" s="646"/>
      <c r="CZ478" s="646"/>
      <c r="DA478" s="646"/>
      <c r="DB478" s="1297"/>
      <c r="DC478" s="646"/>
      <c r="DD478" s="646"/>
      <c r="DE478" s="646"/>
      <c r="DF478" s="646"/>
      <c r="DG478" s="646"/>
      <c r="DH478" s="646"/>
      <c r="DI478" s="646"/>
      <c r="DJ478" s="646"/>
      <c r="DK478" s="646"/>
      <c r="DL478" s="646"/>
      <c r="DM478" s="646"/>
      <c r="DN478" s="648"/>
      <c r="DO478" s="646"/>
      <c r="DP478" s="646"/>
      <c r="DQ478" s="646"/>
      <c r="DR478" s="646"/>
      <c r="DS478" s="646"/>
      <c r="DT478" s="646"/>
      <c r="DU478" s="646"/>
      <c r="DV478" s="646"/>
      <c r="DW478" s="646"/>
      <c r="DX478" s="646"/>
      <c r="DY478" s="646"/>
      <c r="DZ478" s="648"/>
      <c r="EA478" s="646"/>
      <c r="EB478" s="646"/>
      <c r="EC478" s="646"/>
      <c r="ED478" s="646"/>
      <c r="EE478" s="646"/>
      <c r="EF478" s="646"/>
      <c r="EG478" s="646"/>
      <c r="EH478" s="646"/>
      <c r="EI478" s="646"/>
      <c r="EJ478" s="646"/>
      <c r="EK478" s="646"/>
      <c r="EL478" s="648"/>
      <c r="EM478" s="646"/>
      <c r="EN478" s="646"/>
      <c r="EO478" s="646"/>
      <c r="EP478" s="646"/>
      <c r="EQ478" s="646"/>
      <c r="ER478" s="646"/>
      <c r="ES478" s="646"/>
      <c r="ET478" s="646"/>
      <c r="EU478" s="646"/>
      <c r="EV478" s="646"/>
      <c r="EW478" s="646"/>
      <c r="EX478" s="648"/>
      <c r="EY478" s="646"/>
      <c r="EZ478" s="646"/>
      <c r="FA478" s="646"/>
      <c r="FB478" s="646"/>
      <c r="FC478" s="646"/>
      <c r="FD478" s="646"/>
      <c r="FE478" s="646"/>
      <c r="FF478" s="646"/>
      <c r="FG478" s="646"/>
      <c r="FH478" s="646"/>
      <c r="FI478" s="646"/>
      <c r="FJ478" s="648"/>
      <c r="FK478" s="646"/>
      <c r="FL478" s="646"/>
      <c r="FM478" s="646"/>
      <c r="FN478" s="646"/>
      <c r="FO478" s="646"/>
      <c r="FP478" s="646"/>
      <c r="FQ478" s="646"/>
      <c r="FR478" s="646"/>
      <c r="FS478" s="646"/>
      <c r="FT478" s="646"/>
      <c r="FU478" s="646"/>
      <c r="FV478" s="646"/>
      <c r="FW478" s="646"/>
      <c r="FX478" s="646"/>
      <c r="FY478" s="646"/>
      <c r="FZ478" s="646"/>
      <c r="GA478" s="646"/>
      <c r="GB478" s="646"/>
      <c r="GC478" s="646"/>
      <c r="GD478" s="646"/>
      <c r="GE478" s="646"/>
      <c r="GF478" s="646"/>
      <c r="GG478" s="646"/>
      <c r="GH478" s="646"/>
      <c r="GI478" s="646"/>
      <c r="GJ478" s="646"/>
      <c r="GK478" s="646"/>
      <c r="GL478" s="646"/>
      <c r="GM478" s="646"/>
      <c r="GN478" s="646"/>
      <c r="GO478" s="646"/>
      <c r="GP478" s="646"/>
      <c r="GQ478" s="646"/>
      <c r="GR478" s="646"/>
      <c r="GS478" s="646"/>
      <c r="GT478" s="646"/>
      <c r="GU478" s="646"/>
      <c r="GV478" s="646"/>
      <c r="GW478" s="646"/>
      <c r="GX478" s="646"/>
      <c r="GY478" s="646"/>
      <c r="GZ478" s="646"/>
      <c r="HA478" s="646"/>
      <c r="HB478" s="646"/>
      <c r="HC478" s="646"/>
      <c r="HD478" s="646"/>
      <c r="HE478" s="646"/>
      <c r="HF478" s="646"/>
      <c r="HG478" s="646"/>
      <c r="HH478" s="646"/>
      <c r="HI478" s="646"/>
      <c r="HJ478" s="646"/>
      <c r="HK478" s="646"/>
      <c r="HL478" s="646"/>
      <c r="HM478" s="646"/>
      <c r="HN478" s="646"/>
      <c r="HO478" s="646"/>
      <c r="HP478" s="646"/>
      <c r="HQ478" s="646"/>
      <c r="HR478" s="646"/>
      <c r="HS478" s="646"/>
      <c r="HT478" s="646"/>
      <c r="HU478" s="646"/>
      <c r="HV478" s="646"/>
      <c r="HW478" s="646"/>
      <c r="HX478" s="646"/>
      <c r="HY478" s="646"/>
      <c r="HZ478" s="649"/>
      <c r="KT478" s="651"/>
      <c r="KU478" s="649"/>
    </row>
    <row r="479" spans="1:307" s="650" customFormat="1" outlineLevel="1">
      <c r="A479" s="644"/>
      <c r="B479" s="644"/>
      <c r="C479" s="644"/>
      <c r="D479" s="1255"/>
      <c r="E479" s="646"/>
      <c r="F479" s="646"/>
      <c r="G479" s="646"/>
      <c r="H479" s="646"/>
      <c r="I479" s="646"/>
      <c r="J479" s="646"/>
      <c r="K479" s="646"/>
      <c r="L479" s="646"/>
      <c r="M479" s="646"/>
      <c r="N479" s="646"/>
      <c r="O479" s="646"/>
      <c r="P479" s="646"/>
      <c r="Q479" s="646"/>
      <c r="R479" s="646"/>
      <c r="S479" s="646"/>
      <c r="T479" s="646"/>
      <c r="U479" s="646"/>
      <c r="V479" s="646"/>
      <c r="W479" s="646"/>
      <c r="X479" s="646"/>
      <c r="Y479" s="646"/>
      <c r="Z479" s="646"/>
      <c r="AA479" s="646"/>
      <c r="AB479" s="646"/>
      <c r="AC479" s="646"/>
      <c r="AD479" s="646"/>
      <c r="AE479" s="646"/>
      <c r="AF479" s="646"/>
      <c r="AG479" s="646"/>
      <c r="AH479" s="646"/>
      <c r="AI479" s="646"/>
      <c r="AJ479" s="646"/>
      <c r="AK479" s="646"/>
      <c r="AL479" s="646"/>
      <c r="AM479" s="646"/>
      <c r="AN479" s="646"/>
      <c r="AO479" s="646"/>
      <c r="AP479" s="646"/>
      <c r="AQ479" s="646"/>
      <c r="AR479" s="646"/>
      <c r="AS479" s="646"/>
      <c r="AT479" s="646"/>
      <c r="AU479" s="646"/>
      <c r="AV479" s="646"/>
      <c r="AW479" s="646"/>
      <c r="AX479" s="646"/>
      <c r="AY479" s="646"/>
      <c r="AZ479" s="646"/>
      <c r="BA479" s="646"/>
      <c r="BB479" s="646"/>
      <c r="BC479" s="646"/>
      <c r="BD479" s="646"/>
      <c r="BE479" s="646"/>
      <c r="BF479" s="646"/>
      <c r="BG479" s="646"/>
      <c r="BH479" s="646"/>
      <c r="BI479" s="646"/>
      <c r="BJ479" s="646"/>
      <c r="BK479" s="646"/>
      <c r="BL479" s="646"/>
      <c r="BM479" s="646"/>
      <c r="BN479" s="646"/>
      <c r="BO479" s="646"/>
      <c r="BP479" s="646"/>
      <c r="BQ479" s="646"/>
      <c r="BR479" s="646"/>
      <c r="BS479" s="646"/>
      <c r="BT479" s="646"/>
      <c r="BU479" s="646"/>
      <c r="BV479" s="646"/>
      <c r="BW479" s="646"/>
      <c r="BX479" s="646"/>
      <c r="BY479" s="646"/>
      <c r="BZ479" s="646"/>
      <c r="CA479" s="646"/>
      <c r="CB479" s="646"/>
      <c r="CC479" s="646"/>
      <c r="CD479" s="646"/>
      <c r="CE479" s="1260"/>
      <c r="CF479" s="646"/>
      <c r="CG479" s="646"/>
      <c r="CH479" s="646"/>
      <c r="CI479" s="646"/>
      <c r="CJ479" s="646"/>
      <c r="CK479" s="646"/>
      <c r="CL479" s="646"/>
      <c r="CM479" s="646"/>
      <c r="CN479" s="646"/>
      <c r="CO479" s="646"/>
      <c r="CP479" s="648"/>
      <c r="CQ479" s="646"/>
      <c r="CR479" s="646"/>
      <c r="CS479" s="646"/>
      <c r="CT479" s="646"/>
      <c r="CU479" s="646"/>
      <c r="CV479" s="646"/>
      <c r="CW479" s="646"/>
      <c r="CX479" s="646"/>
      <c r="CY479" s="646"/>
      <c r="CZ479" s="646"/>
      <c r="DA479" s="646"/>
      <c r="DB479" s="1297"/>
      <c r="DC479" s="646"/>
      <c r="DD479" s="646"/>
      <c r="DE479" s="646"/>
      <c r="DF479" s="646"/>
      <c r="DG479" s="646"/>
      <c r="DH479" s="646"/>
      <c r="DI479" s="646"/>
      <c r="DJ479" s="646"/>
      <c r="DK479" s="646"/>
      <c r="DL479" s="646"/>
      <c r="DM479" s="646"/>
      <c r="DN479" s="648"/>
      <c r="DO479" s="646"/>
      <c r="DP479" s="646"/>
      <c r="DQ479" s="646"/>
      <c r="DR479" s="646"/>
      <c r="DS479" s="646"/>
      <c r="DT479" s="646"/>
      <c r="DU479" s="646"/>
      <c r="DV479" s="646"/>
      <c r="DW479" s="646"/>
      <c r="DX479" s="646"/>
      <c r="DY479" s="646"/>
      <c r="DZ479" s="648"/>
      <c r="EA479" s="646"/>
      <c r="EB479" s="646"/>
      <c r="EC479" s="646"/>
      <c r="ED479" s="646"/>
      <c r="EE479" s="646"/>
      <c r="EF479" s="646"/>
      <c r="EG479" s="646"/>
      <c r="EH479" s="646"/>
      <c r="EI479" s="646"/>
      <c r="EJ479" s="646"/>
      <c r="EK479" s="646"/>
      <c r="EL479" s="648"/>
      <c r="EM479" s="646"/>
      <c r="EN479" s="646"/>
      <c r="EO479" s="646"/>
      <c r="EP479" s="646"/>
      <c r="EQ479" s="646"/>
      <c r="ER479" s="646"/>
      <c r="ES479" s="646"/>
      <c r="ET479" s="646"/>
      <c r="EU479" s="646"/>
      <c r="EV479" s="646"/>
      <c r="EW479" s="646"/>
      <c r="EX479" s="648"/>
      <c r="EY479" s="646"/>
      <c r="EZ479" s="646"/>
      <c r="FA479" s="646"/>
      <c r="FB479" s="646"/>
      <c r="FC479" s="646"/>
      <c r="FD479" s="646"/>
      <c r="FE479" s="646"/>
      <c r="FF479" s="646"/>
      <c r="FG479" s="646"/>
      <c r="FH479" s="646"/>
      <c r="FI479" s="646"/>
      <c r="FJ479" s="648"/>
      <c r="FK479" s="646"/>
      <c r="FL479" s="646"/>
      <c r="FM479" s="646"/>
      <c r="FN479" s="646"/>
      <c r="FO479" s="646"/>
      <c r="FP479" s="646"/>
      <c r="FQ479" s="646"/>
      <c r="FR479" s="646"/>
      <c r="FS479" s="646"/>
      <c r="FT479" s="646"/>
      <c r="FU479" s="646"/>
      <c r="FV479" s="646"/>
      <c r="FW479" s="646"/>
      <c r="FX479" s="646"/>
      <c r="FY479" s="646"/>
      <c r="FZ479" s="646"/>
      <c r="GA479" s="646"/>
      <c r="GB479" s="646"/>
      <c r="GC479" s="646"/>
      <c r="GD479" s="646"/>
      <c r="GE479" s="646"/>
      <c r="GF479" s="646"/>
      <c r="GG479" s="646"/>
      <c r="GH479" s="646"/>
      <c r="GI479" s="646"/>
      <c r="GJ479" s="646"/>
      <c r="GK479" s="646"/>
      <c r="GL479" s="646"/>
      <c r="GM479" s="646"/>
      <c r="GN479" s="646"/>
      <c r="GO479" s="646"/>
      <c r="GP479" s="646"/>
      <c r="GQ479" s="646"/>
      <c r="GR479" s="646"/>
      <c r="GS479" s="646"/>
      <c r="GT479" s="646"/>
      <c r="GU479" s="646"/>
      <c r="GV479" s="646"/>
      <c r="GW479" s="646"/>
      <c r="GX479" s="646"/>
      <c r="GY479" s="646"/>
      <c r="GZ479" s="646"/>
      <c r="HA479" s="646"/>
      <c r="HB479" s="646"/>
      <c r="HC479" s="646"/>
      <c r="HD479" s="646"/>
      <c r="HE479" s="646"/>
      <c r="HF479" s="646"/>
      <c r="HG479" s="646"/>
      <c r="HH479" s="646"/>
      <c r="HI479" s="646"/>
      <c r="HJ479" s="646"/>
      <c r="HK479" s="646"/>
      <c r="HL479" s="646"/>
      <c r="HM479" s="646"/>
      <c r="HN479" s="646"/>
      <c r="HO479" s="646"/>
      <c r="HP479" s="646"/>
      <c r="HQ479" s="646"/>
      <c r="HR479" s="646"/>
      <c r="HS479" s="646"/>
      <c r="HT479" s="646"/>
      <c r="HU479" s="646"/>
      <c r="HV479" s="646"/>
      <c r="HW479" s="646"/>
      <c r="HX479" s="646"/>
      <c r="HY479" s="646"/>
      <c r="HZ479" s="649"/>
      <c r="KT479" s="651"/>
      <c r="KU479" s="649"/>
    </row>
    <row r="480" spans="1:307" s="650" customFormat="1" outlineLevel="1">
      <c r="A480" s="644" t="s">
        <v>878</v>
      </c>
      <c r="B480" s="644" t="s">
        <v>338</v>
      </c>
      <c r="C480" s="644"/>
      <c r="D480" s="1254" t="s">
        <v>540</v>
      </c>
      <c r="E480" s="646"/>
      <c r="F480" s="646"/>
      <c r="G480" s="646"/>
      <c r="H480" s="646"/>
      <c r="I480" s="646"/>
      <c r="J480" s="646"/>
      <c r="K480" s="646"/>
      <c r="L480" s="646"/>
      <c r="M480" s="646"/>
      <c r="N480" s="646"/>
      <c r="O480" s="646"/>
      <c r="P480" s="646"/>
      <c r="Q480" s="646"/>
      <c r="R480" s="646"/>
      <c r="S480" s="646"/>
      <c r="T480" s="646"/>
      <c r="U480" s="646"/>
      <c r="V480" s="646"/>
      <c r="W480" s="646"/>
      <c r="X480" s="646"/>
      <c r="Y480" s="646"/>
      <c r="Z480" s="646"/>
      <c r="AA480" s="646"/>
      <c r="AB480" s="646"/>
      <c r="AC480" s="646"/>
      <c r="AD480" s="646"/>
      <c r="AE480" s="646"/>
      <c r="AF480" s="646"/>
      <c r="AG480" s="646"/>
      <c r="AH480" s="646"/>
      <c r="AI480" s="646"/>
      <c r="AJ480" s="646"/>
      <c r="AK480" s="646"/>
      <c r="AL480" s="646"/>
      <c r="AM480" s="646"/>
      <c r="AN480" s="646"/>
      <c r="AO480" s="646"/>
      <c r="AP480" s="646"/>
      <c r="AQ480" s="646"/>
      <c r="AR480" s="646"/>
      <c r="AS480" s="646"/>
      <c r="AT480" s="646"/>
      <c r="AU480" s="646"/>
      <c r="AV480" s="646"/>
      <c r="AW480" s="646"/>
      <c r="AX480" s="646"/>
      <c r="AY480" s="646"/>
      <c r="AZ480" s="646"/>
      <c r="BA480" s="646"/>
      <c r="BB480" s="646"/>
      <c r="BC480" s="646"/>
      <c r="BD480" s="646"/>
      <c r="BE480" s="646"/>
      <c r="BF480" s="646"/>
      <c r="BG480" s="646"/>
      <c r="BH480" s="646"/>
      <c r="BI480" s="646"/>
      <c r="BJ480" s="646"/>
      <c r="BK480" s="646"/>
      <c r="BL480" s="646"/>
      <c r="BM480" s="646"/>
      <c r="BN480" s="646"/>
      <c r="BO480" s="646"/>
      <c r="BP480" s="646"/>
      <c r="BQ480" s="646"/>
      <c r="BR480" s="646"/>
      <c r="BS480" s="646"/>
      <c r="BT480" s="646"/>
      <c r="BU480" s="646"/>
      <c r="BV480" s="646"/>
      <c r="BW480" s="646"/>
      <c r="BX480" s="646"/>
      <c r="BY480" s="646"/>
      <c r="BZ480" s="646"/>
      <c r="CA480" s="646"/>
      <c r="CB480" s="646"/>
      <c r="CC480" s="646"/>
      <c r="CD480" s="646"/>
      <c r="CE480" s="647"/>
      <c r="CF480" s="646"/>
      <c r="CG480" s="646"/>
      <c r="CH480" s="646"/>
      <c r="CI480" s="646"/>
      <c r="CJ480" s="646"/>
      <c r="CK480" s="646"/>
      <c r="CL480" s="646"/>
      <c r="CM480" s="646"/>
      <c r="CN480" s="646"/>
      <c r="CO480" s="646"/>
      <c r="CP480" s="648"/>
      <c r="CQ480" s="646"/>
      <c r="CR480" s="646"/>
      <c r="CS480" s="646"/>
      <c r="CT480" s="646"/>
      <c r="CU480" s="646"/>
      <c r="CV480" s="646"/>
      <c r="CW480" s="646"/>
      <c r="CX480" s="646"/>
      <c r="CY480" s="646"/>
      <c r="CZ480" s="646"/>
      <c r="DA480" s="646"/>
      <c r="DB480" s="1297"/>
      <c r="DC480" s="646"/>
      <c r="DD480" s="646"/>
      <c r="DE480" s="646"/>
      <c r="DF480" s="646"/>
      <c r="DG480" s="646"/>
      <c r="DH480" s="646"/>
      <c r="DI480" s="646"/>
      <c r="DJ480" s="646"/>
      <c r="DK480" s="646"/>
      <c r="DL480" s="646"/>
      <c r="DM480" s="646"/>
      <c r="DN480" s="648"/>
      <c r="DO480" s="646"/>
      <c r="DP480" s="646"/>
      <c r="DQ480" s="646"/>
      <c r="DR480" s="646"/>
      <c r="DS480" s="646"/>
      <c r="DT480" s="646"/>
      <c r="DU480" s="646"/>
      <c r="DV480" s="646"/>
      <c r="DW480" s="646"/>
      <c r="DX480" s="646"/>
      <c r="DY480" s="646"/>
      <c r="DZ480" s="648"/>
      <c r="EA480" s="646"/>
      <c r="EB480" s="646"/>
      <c r="EC480" s="646"/>
      <c r="ED480" s="646"/>
      <c r="EE480" s="646"/>
      <c r="EF480" s="646"/>
      <c r="EG480" s="646"/>
      <c r="EH480" s="646"/>
      <c r="EI480" s="646"/>
      <c r="EJ480" s="646"/>
      <c r="EK480" s="646"/>
      <c r="EL480" s="648"/>
      <c r="EM480" s="646"/>
      <c r="EN480" s="646"/>
      <c r="EO480" s="646"/>
      <c r="EP480" s="646"/>
      <c r="EQ480" s="646"/>
      <c r="ER480" s="646"/>
      <c r="ES480" s="646"/>
      <c r="ET480" s="646"/>
      <c r="EU480" s="646"/>
      <c r="EV480" s="646"/>
      <c r="EW480" s="646"/>
      <c r="EX480" s="648"/>
      <c r="EY480" s="646"/>
      <c r="EZ480" s="646"/>
      <c r="FA480" s="646"/>
      <c r="FB480" s="646"/>
      <c r="FC480" s="646"/>
      <c r="FD480" s="646"/>
      <c r="FE480" s="646"/>
      <c r="FF480" s="646"/>
      <c r="FG480" s="646"/>
      <c r="FH480" s="646"/>
      <c r="FI480" s="646"/>
      <c r="FJ480" s="648"/>
      <c r="FK480" s="646"/>
      <c r="FL480" s="646"/>
      <c r="FM480" s="646"/>
      <c r="FN480" s="646"/>
      <c r="FO480" s="646"/>
      <c r="FP480" s="646"/>
      <c r="FQ480" s="646"/>
      <c r="FR480" s="646"/>
      <c r="FS480" s="646"/>
      <c r="FT480" s="646"/>
      <c r="FU480" s="646"/>
      <c r="FV480" s="646"/>
      <c r="FW480" s="646"/>
      <c r="FX480" s="646"/>
      <c r="FY480" s="646"/>
      <c r="FZ480" s="646"/>
      <c r="GA480" s="646"/>
      <c r="GB480" s="646"/>
      <c r="GC480" s="646"/>
      <c r="GD480" s="646"/>
      <c r="GE480" s="646"/>
      <c r="GF480" s="646"/>
      <c r="GG480" s="646"/>
      <c r="GH480" s="646"/>
      <c r="GI480" s="646"/>
      <c r="GJ480" s="646"/>
      <c r="GK480" s="646"/>
      <c r="GL480" s="646"/>
      <c r="GM480" s="646"/>
      <c r="GN480" s="646"/>
      <c r="GO480" s="646"/>
      <c r="GP480" s="646"/>
      <c r="GQ480" s="646"/>
      <c r="GR480" s="646"/>
      <c r="GS480" s="646"/>
      <c r="GT480" s="646"/>
      <c r="GU480" s="646"/>
      <c r="GV480" s="646"/>
      <c r="GW480" s="646"/>
      <c r="GX480" s="646"/>
      <c r="GY480" s="646"/>
      <c r="GZ480" s="646"/>
      <c r="HA480" s="646"/>
      <c r="HB480" s="646"/>
      <c r="HC480" s="646"/>
      <c r="HD480" s="646"/>
      <c r="HE480" s="646"/>
      <c r="HF480" s="646"/>
      <c r="HG480" s="646"/>
      <c r="HH480" s="646"/>
      <c r="HI480" s="646"/>
      <c r="HJ480" s="646"/>
      <c r="HK480" s="646"/>
      <c r="HL480" s="646"/>
      <c r="HM480" s="646"/>
      <c r="HN480" s="646"/>
      <c r="HO480" s="646"/>
      <c r="HP480" s="646"/>
      <c r="HQ480" s="646"/>
      <c r="HR480" s="646"/>
      <c r="HS480" s="646"/>
      <c r="HT480" s="646"/>
      <c r="HU480" s="646"/>
      <c r="HV480" s="646"/>
      <c r="HW480" s="646"/>
      <c r="HX480" s="646"/>
      <c r="HY480" s="646"/>
      <c r="HZ480" s="649"/>
      <c r="KT480" s="651"/>
      <c r="KU480" s="649"/>
    </row>
    <row r="481" spans="1:307" s="650" customFormat="1" outlineLevel="1">
      <c r="A481" s="644" t="s">
        <v>878</v>
      </c>
      <c r="B481" s="644" t="s">
        <v>338</v>
      </c>
      <c r="C481" s="644"/>
      <c r="D481" s="1257" t="s">
        <v>527</v>
      </c>
      <c r="E481" s="646"/>
      <c r="F481" s="646"/>
      <c r="G481" s="646"/>
      <c r="H481" s="646"/>
      <c r="I481" s="646"/>
      <c r="J481" s="646"/>
      <c r="K481" s="646"/>
      <c r="L481" s="646"/>
      <c r="M481" s="646"/>
      <c r="N481" s="646"/>
      <c r="O481" s="646"/>
      <c r="P481" s="646"/>
      <c r="Q481" s="646"/>
      <c r="R481" s="646"/>
      <c r="S481" s="646"/>
      <c r="T481" s="646"/>
      <c r="U481" s="646"/>
      <c r="V481" s="646"/>
      <c r="W481" s="646"/>
      <c r="X481" s="646"/>
      <c r="Y481" s="646"/>
      <c r="Z481" s="646"/>
      <c r="AA481" s="646"/>
      <c r="AB481" s="646"/>
      <c r="AC481" s="646"/>
      <c r="AD481" s="646"/>
      <c r="AE481" s="646"/>
      <c r="AF481" s="646"/>
      <c r="AG481" s="646"/>
      <c r="AH481" s="646"/>
      <c r="AI481" s="646"/>
      <c r="AJ481" s="646"/>
      <c r="AK481" s="646"/>
      <c r="AL481" s="646"/>
      <c r="AM481" s="646"/>
      <c r="AN481" s="646"/>
      <c r="AO481" s="646"/>
      <c r="AP481" s="646"/>
      <c r="AQ481" s="646"/>
      <c r="AR481" s="646"/>
      <c r="AS481" s="646"/>
      <c r="AT481" s="646"/>
      <c r="AU481" s="646"/>
      <c r="AV481" s="646"/>
      <c r="AW481" s="646"/>
      <c r="AX481" s="646"/>
      <c r="AY481" s="646"/>
      <c r="AZ481" s="646"/>
      <c r="BA481" s="646"/>
      <c r="BB481" s="646"/>
      <c r="BC481" s="646"/>
      <c r="BD481" s="646"/>
      <c r="BE481" s="646"/>
      <c r="BF481" s="646"/>
      <c r="BG481" s="646">
        <v>14.62590968388</v>
      </c>
      <c r="BH481" s="646">
        <v>14.03864079593</v>
      </c>
      <c r="BI481" s="646">
        <v>18.87100924013</v>
      </c>
      <c r="BJ481" s="646">
        <v>17.771158655000001</v>
      </c>
      <c r="BK481" s="646">
        <v>19.700443692</v>
      </c>
      <c r="BL481" s="646">
        <v>15.514381792</v>
      </c>
      <c r="BM481" s="646">
        <v>16.369848270999999</v>
      </c>
      <c r="BN481" s="646">
        <v>16.660671881999999</v>
      </c>
      <c r="BO481" s="646">
        <v>16.004246637000001</v>
      </c>
      <c r="BP481" s="646">
        <v>24.379458758070001</v>
      </c>
      <c r="BQ481" s="646">
        <v>21.475592388999999</v>
      </c>
      <c r="BR481" s="646">
        <v>18.249319561</v>
      </c>
      <c r="BS481" s="646">
        <v>10.548941826</v>
      </c>
      <c r="BT481" s="646">
        <v>31.285726334</v>
      </c>
      <c r="BU481" s="646">
        <v>14.244170955</v>
      </c>
      <c r="BV481" s="646">
        <v>27.791734954999999</v>
      </c>
      <c r="BW481" s="646">
        <v>22.881689232999999</v>
      </c>
      <c r="BX481" s="646">
        <v>18.474235342</v>
      </c>
      <c r="BY481" s="646">
        <v>16.284453805999998</v>
      </c>
      <c r="BZ481" s="646">
        <v>26.042551673999998</v>
      </c>
      <c r="CA481" s="646">
        <v>22.194640643</v>
      </c>
      <c r="CB481" s="646">
        <v>25.408312093999999</v>
      </c>
      <c r="CC481" s="646">
        <v>20.357460507999999</v>
      </c>
      <c r="CD481" s="646">
        <v>22.728604220000001</v>
      </c>
      <c r="CE481" s="646">
        <v>10.600290362000001</v>
      </c>
      <c r="CF481" s="646">
        <v>11.774248847000001</v>
      </c>
      <c r="CG481" s="646">
        <v>11.600561285</v>
      </c>
      <c r="CH481" s="646">
        <v>14.039605471</v>
      </c>
      <c r="CI481" s="646">
        <v>10.686533522</v>
      </c>
      <c r="CJ481" s="646">
        <v>15.149421133000001</v>
      </c>
      <c r="CK481" s="646">
        <v>12.385945779</v>
      </c>
      <c r="CL481" s="646">
        <v>11.936395204</v>
      </c>
      <c r="CM481" s="646">
        <v>11.567820128999999</v>
      </c>
      <c r="CN481" s="646">
        <v>13.507764916999999</v>
      </c>
      <c r="CO481" s="646">
        <v>14.019439759000001</v>
      </c>
      <c r="CP481" s="648">
        <v>16.102348479</v>
      </c>
      <c r="CQ481" s="646">
        <v>15.467234088</v>
      </c>
      <c r="CR481" s="646">
        <v>10.358958889</v>
      </c>
      <c r="CS481" s="646">
        <v>10.004640609000001</v>
      </c>
      <c r="CT481" s="646">
        <v>14.405648848</v>
      </c>
      <c r="CU481" s="646">
        <v>11.663632537</v>
      </c>
      <c r="CV481" s="646">
        <v>14.647925974</v>
      </c>
      <c r="CW481" s="646">
        <v>13.423721248</v>
      </c>
      <c r="CX481" s="646">
        <v>11.987386473999999</v>
      </c>
      <c r="CY481" s="646">
        <v>12.883290507</v>
      </c>
      <c r="CZ481" s="646">
        <v>15.114993569999999</v>
      </c>
      <c r="DA481" s="646">
        <v>11.761072367000001</v>
      </c>
      <c r="DB481" s="1297">
        <v>13.466941565000001</v>
      </c>
      <c r="DC481" s="646">
        <v>12.239318647999999</v>
      </c>
      <c r="DD481" s="646">
        <v>13.488008574</v>
      </c>
      <c r="DE481" s="646">
        <v>11.95808439</v>
      </c>
      <c r="DF481" s="646">
        <v>14.510838178</v>
      </c>
      <c r="DG481" s="646">
        <v>12.593660348</v>
      </c>
      <c r="DH481" s="646">
        <v>13.701158100000001</v>
      </c>
      <c r="DI481" s="646">
        <v>16.002786588999999</v>
      </c>
      <c r="DJ481" s="646">
        <v>12.430528170000001</v>
      </c>
      <c r="DK481" s="646">
        <v>16.154417076000001</v>
      </c>
      <c r="DL481" s="646">
        <v>17.028560666000001</v>
      </c>
      <c r="DM481" s="646">
        <v>13.634244376</v>
      </c>
      <c r="DN481" s="648">
        <v>16.972300560000001</v>
      </c>
      <c r="DO481" s="646">
        <v>16.923922286</v>
      </c>
      <c r="DP481" s="646">
        <v>18.370964908000001</v>
      </c>
      <c r="DQ481" s="646">
        <v>14.47914632</v>
      </c>
      <c r="DR481" s="646">
        <v>19.300726233999999</v>
      </c>
      <c r="DS481" s="646">
        <v>14.494829777</v>
      </c>
      <c r="DT481" s="646">
        <v>16.458223964999998</v>
      </c>
      <c r="DU481" s="646">
        <v>15.610991277</v>
      </c>
      <c r="DV481" s="646">
        <v>14.129246851</v>
      </c>
      <c r="DW481" s="646">
        <v>15.728514418</v>
      </c>
      <c r="DX481" s="646">
        <v>17.193896963</v>
      </c>
      <c r="DY481" s="646">
        <v>19.004412841000001</v>
      </c>
      <c r="DZ481" s="648">
        <v>14.164835503000001</v>
      </c>
      <c r="EA481" s="646">
        <v>18.602292814999998</v>
      </c>
      <c r="EB481" s="646">
        <v>15.725975245000001</v>
      </c>
      <c r="EC481" s="646">
        <v>15.221540017000001</v>
      </c>
      <c r="ED481" s="646">
        <v>17.367720284000001</v>
      </c>
      <c r="EE481" s="646">
        <v>15.080013159</v>
      </c>
      <c r="EF481" s="646">
        <v>16.045038577</v>
      </c>
      <c r="EG481" s="646">
        <v>17.282996335</v>
      </c>
      <c r="EH481" s="646">
        <v>18.562356222999998</v>
      </c>
      <c r="EI481" s="646">
        <v>16.039276530999999</v>
      </c>
      <c r="EJ481" s="646">
        <v>18.452956517000001</v>
      </c>
      <c r="EK481" s="646">
        <v>16.945249711999999</v>
      </c>
      <c r="EL481" s="648">
        <v>18.832687613000001</v>
      </c>
      <c r="EM481" s="646">
        <v>20.206206688000002</v>
      </c>
      <c r="EN481" s="646">
        <v>18.957123085999999</v>
      </c>
      <c r="EO481" s="646">
        <v>19.319275108999999</v>
      </c>
      <c r="EP481" s="646">
        <v>20.976938834999999</v>
      </c>
      <c r="EQ481" s="646">
        <v>19.586635001000001</v>
      </c>
      <c r="ER481" s="646">
        <v>18.913190072999999</v>
      </c>
      <c r="ES481" s="646">
        <v>22.008169992999999</v>
      </c>
      <c r="ET481" s="646">
        <v>18.122683423000002</v>
      </c>
      <c r="EU481" s="646">
        <v>18.542580771000001</v>
      </c>
      <c r="EV481" s="646">
        <v>20.580964764000001</v>
      </c>
      <c r="EW481" s="646">
        <v>17.991540906000001</v>
      </c>
      <c r="EX481" s="648">
        <v>19.847844457000001</v>
      </c>
      <c r="EY481" s="646">
        <v>23.791433258000001</v>
      </c>
      <c r="EZ481" s="646">
        <v>21.904816350000001</v>
      </c>
      <c r="FA481" s="646">
        <v>23.515724288000001</v>
      </c>
      <c r="FB481" s="646">
        <v>23.272851534000001</v>
      </c>
      <c r="FC481" s="646">
        <v>20.579032688000002</v>
      </c>
      <c r="FD481" s="646">
        <v>19.776624564999999</v>
      </c>
      <c r="FE481" s="646">
        <v>24.278543467999999</v>
      </c>
      <c r="FF481" s="646">
        <v>23.630671035999999</v>
      </c>
      <c r="FG481" s="646">
        <v>21.840324984999999</v>
      </c>
      <c r="FH481" s="646">
        <v>19.762142462</v>
      </c>
      <c r="FI481" s="646">
        <v>23.556205521999999</v>
      </c>
      <c r="FJ481" s="648">
        <v>21.428788091000001</v>
      </c>
      <c r="FK481" s="646">
        <f t="shared" ref="FK481:FP481" si="260">FK482+FK483+FK484+FK487+FK490+FK491+FK492</f>
        <v>70.908677852000011</v>
      </c>
      <c r="FL481" s="646">
        <f t="shared" si="260"/>
        <v>92.769312039000013</v>
      </c>
      <c r="FM481" s="646">
        <f t="shared" si="260"/>
        <v>96.222877413000006</v>
      </c>
      <c r="FN481" s="646">
        <f t="shared" si="260"/>
        <v>89.429642293000015</v>
      </c>
      <c r="FO481" s="646">
        <f t="shared" si="260"/>
        <v>74.665784549999998</v>
      </c>
      <c r="FP481" s="646">
        <f t="shared" si="260"/>
        <v>68.350447251999995</v>
      </c>
      <c r="FQ481" s="646">
        <v>25.432940793</v>
      </c>
      <c r="FR481" s="646">
        <v>20.807125568</v>
      </c>
      <c r="FS481" s="646">
        <v>27.525131234</v>
      </c>
      <c r="FT481" s="646">
        <v>29.644086839</v>
      </c>
      <c r="FU481" s="646">
        <v>22.936111258</v>
      </c>
      <c r="FV481" s="646">
        <v>23.333794927</v>
      </c>
      <c r="FW481" s="646">
        <v>30.395615617000001</v>
      </c>
      <c r="FX481" s="646">
        <v>25.778055366</v>
      </c>
      <c r="FY481" s="646">
        <v>23.356521104999999</v>
      </c>
      <c r="FZ481" s="646">
        <v>27.150783051000001</v>
      </c>
      <c r="GA481" s="646">
        <v>23.098409287999999</v>
      </c>
      <c r="GB481" s="646">
        <v>26.393514230000001</v>
      </c>
      <c r="GC481" s="646">
        <v>27.283003291</v>
      </c>
      <c r="GD481" s="646">
        <v>24.359624257</v>
      </c>
      <c r="GE481" s="646">
        <v>31.083989044999999</v>
      </c>
      <c r="GF481" s="646">
        <v>29.203881161000002</v>
      </c>
      <c r="GG481" s="646">
        <v>25.425635191000001</v>
      </c>
      <c r="GH481" s="646">
        <v>26.442965687000001</v>
      </c>
      <c r="GI481" s="646"/>
      <c r="GJ481" s="646"/>
      <c r="GK481" s="646"/>
      <c r="GL481" s="646"/>
      <c r="GM481" s="646"/>
      <c r="GN481" s="646"/>
      <c r="GO481" s="646"/>
      <c r="GP481" s="646"/>
      <c r="GQ481" s="646"/>
      <c r="GR481" s="646"/>
      <c r="GS481" s="646"/>
      <c r="GT481" s="646"/>
      <c r="GU481" s="646"/>
      <c r="GV481" s="646"/>
      <c r="GW481" s="646"/>
      <c r="GX481" s="646"/>
      <c r="GY481" s="646"/>
      <c r="GZ481" s="646"/>
      <c r="HA481" s="646"/>
      <c r="HB481" s="646"/>
      <c r="HC481" s="646"/>
      <c r="HD481" s="646"/>
      <c r="HE481" s="646"/>
      <c r="HF481" s="646"/>
      <c r="HG481" s="646"/>
      <c r="HH481" s="646"/>
      <c r="HI481" s="646"/>
      <c r="HJ481" s="646"/>
      <c r="HK481" s="646"/>
      <c r="HL481" s="646"/>
      <c r="HM481" s="646"/>
      <c r="HN481" s="646"/>
      <c r="HO481" s="646"/>
      <c r="HP481" s="646"/>
      <c r="HQ481" s="646"/>
      <c r="HR481" s="646"/>
      <c r="HS481" s="646"/>
      <c r="HT481" s="646"/>
      <c r="HU481" s="646"/>
      <c r="HV481" s="646"/>
      <c r="HW481" s="646"/>
      <c r="HX481" s="646"/>
      <c r="HY481" s="646"/>
      <c r="HZ481" s="649"/>
      <c r="KT481" s="651"/>
      <c r="KU481" s="649"/>
    </row>
    <row r="482" spans="1:307" s="650" customFormat="1" outlineLevel="1">
      <c r="A482" s="644" t="s">
        <v>878</v>
      </c>
      <c r="B482" s="644" t="s">
        <v>338</v>
      </c>
      <c r="C482" s="644"/>
      <c r="D482" s="1257" t="s">
        <v>528</v>
      </c>
      <c r="E482" s="646"/>
      <c r="F482" s="646"/>
      <c r="G482" s="646"/>
      <c r="H482" s="646"/>
      <c r="I482" s="646"/>
      <c r="J482" s="646"/>
      <c r="K482" s="646"/>
      <c r="L482" s="646"/>
      <c r="M482" s="646"/>
      <c r="N482" s="646"/>
      <c r="O482" s="646"/>
      <c r="P482" s="646"/>
      <c r="Q482" s="646"/>
      <c r="R482" s="646"/>
      <c r="S482" s="646"/>
      <c r="T482" s="646"/>
      <c r="U482" s="646"/>
      <c r="V482" s="646"/>
      <c r="W482" s="646"/>
      <c r="X482" s="646"/>
      <c r="Y482" s="646"/>
      <c r="Z482" s="646"/>
      <c r="AA482" s="646"/>
      <c r="AB482" s="646"/>
      <c r="AC482" s="646"/>
      <c r="AD482" s="646"/>
      <c r="AE482" s="646"/>
      <c r="AF482" s="646"/>
      <c r="AG482" s="646"/>
      <c r="AH482" s="646"/>
      <c r="AI482" s="646"/>
      <c r="AJ482" s="646"/>
      <c r="AK482" s="646"/>
      <c r="AL482" s="646"/>
      <c r="AM482" s="646"/>
      <c r="AN482" s="646"/>
      <c r="AO482" s="646"/>
      <c r="AP482" s="646"/>
      <c r="AQ482" s="646"/>
      <c r="AR482" s="646"/>
      <c r="AS482" s="646"/>
      <c r="AT482" s="646"/>
      <c r="AU482" s="646"/>
      <c r="AV482" s="646"/>
      <c r="AW482" s="646"/>
      <c r="AX482" s="646"/>
      <c r="AY482" s="646"/>
      <c r="AZ482" s="646"/>
      <c r="BA482" s="646"/>
      <c r="BB482" s="646"/>
      <c r="BC482" s="646"/>
      <c r="BD482" s="646"/>
      <c r="BE482" s="646"/>
      <c r="BF482" s="646"/>
      <c r="BG482" s="646">
        <v>20.528992816159999</v>
      </c>
      <c r="BH482" s="646">
        <v>18.844713566720003</v>
      </c>
      <c r="BI482" s="646">
        <v>37.914903915480004</v>
      </c>
      <c r="BJ482" s="646">
        <v>21.414184939929999</v>
      </c>
      <c r="BK482" s="646">
        <v>31.413771525889999</v>
      </c>
      <c r="BL482" s="646">
        <v>30.115560418000001</v>
      </c>
      <c r="BM482" s="646">
        <v>21.91964441</v>
      </c>
      <c r="BN482" s="646">
        <v>22.129163281</v>
      </c>
      <c r="BO482" s="646">
        <v>28.995896608270002</v>
      </c>
      <c r="BP482" s="646">
        <v>24.458359547130001</v>
      </c>
      <c r="BQ482" s="646">
        <v>23.64728012418</v>
      </c>
      <c r="BR482" s="646">
        <v>32.351800751859997</v>
      </c>
      <c r="BS482" s="646">
        <v>13.830679476</v>
      </c>
      <c r="BT482" s="646">
        <v>19.535356230130002</v>
      </c>
      <c r="BU482" s="646">
        <v>15.431633991</v>
      </c>
      <c r="BV482" s="646">
        <v>28.425404217160001</v>
      </c>
      <c r="BW482" s="646">
        <v>16.920606030999998</v>
      </c>
      <c r="BX482" s="646">
        <v>14.407255295000001</v>
      </c>
      <c r="BY482" s="646">
        <v>17.286754762000001</v>
      </c>
      <c r="BZ482" s="646">
        <v>16.70906683238</v>
      </c>
      <c r="CA482" s="646">
        <v>16.76494754518</v>
      </c>
      <c r="CB482" s="646">
        <v>19.185532136860001</v>
      </c>
      <c r="CC482" s="646">
        <v>27.891112250080003</v>
      </c>
      <c r="CD482" s="646">
        <v>27.383090149979999</v>
      </c>
      <c r="CE482" s="646">
        <v>11.715701344999999</v>
      </c>
      <c r="CF482" s="646">
        <v>13.830558664</v>
      </c>
      <c r="CG482" s="646">
        <v>20.331124741</v>
      </c>
      <c r="CH482" s="646">
        <v>28.512476630999998</v>
      </c>
      <c r="CI482" s="646">
        <v>14.364100268</v>
      </c>
      <c r="CJ482" s="646">
        <v>22.822822944999999</v>
      </c>
      <c r="CK482" s="646">
        <v>32.479202454999999</v>
      </c>
      <c r="CL482" s="646">
        <v>17.769050507999999</v>
      </c>
      <c r="CM482" s="646">
        <v>15.811155536999999</v>
      </c>
      <c r="CN482" s="646">
        <v>34.875116196999997</v>
      </c>
      <c r="CO482" s="646">
        <v>35.867647708</v>
      </c>
      <c r="CP482" s="648">
        <v>29.996274437</v>
      </c>
      <c r="CQ482" s="646">
        <v>15.822172659</v>
      </c>
      <c r="CR482" s="646">
        <v>17.538953532000001</v>
      </c>
      <c r="CS482" s="646">
        <v>32.594615249999997</v>
      </c>
      <c r="CT482" s="646">
        <v>14.340636915999999</v>
      </c>
      <c r="CU482" s="646">
        <v>21.040214732999999</v>
      </c>
      <c r="CV482" s="646">
        <v>21.321606855999999</v>
      </c>
      <c r="CW482" s="646">
        <v>29.643261021000001</v>
      </c>
      <c r="CX482" s="646">
        <v>23.725117392000001</v>
      </c>
      <c r="CY482" s="646">
        <v>46.194208240000002</v>
      </c>
      <c r="CZ482" s="646">
        <v>29.335479638999999</v>
      </c>
      <c r="DA482" s="646">
        <v>23.591707502999999</v>
      </c>
      <c r="DB482" s="1297">
        <v>34.467191733</v>
      </c>
      <c r="DC482" s="646">
        <v>9.5935996279999998</v>
      </c>
      <c r="DD482" s="646">
        <v>38.308645026000001</v>
      </c>
      <c r="DE482" s="646">
        <v>31.745554103</v>
      </c>
      <c r="DF482" s="646">
        <v>38.361971920000002</v>
      </c>
      <c r="DG482" s="646">
        <v>28.845644836000002</v>
      </c>
      <c r="DH482" s="646">
        <v>28.132022410000001</v>
      </c>
      <c r="DI482" s="646">
        <v>34.817320479999999</v>
      </c>
      <c r="DJ482" s="646">
        <v>24.496214258999998</v>
      </c>
      <c r="DK482" s="646">
        <v>18.395891233</v>
      </c>
      <c r="DL482" s="646">
        <v>25.421872676</v>
      </c>
      <c r="DM482" s="646">
        <v>19.580571594999999</v>
      </c>
      <c r="DN482" s="648">
        <v>28.693596080999999</v>
      </c>
      <c r="DO482" s="646">
        <v>40.357375599999997</v>
      </c>
      <c r="DP482" s="646">
        <v>13.172266681</v>
      </c>
      <c r="DQ482" s="646">
        <v>28.189540178000001</v>
      </c>
      <c r="DR482" s="646">
        <v>43.759985229000002</v>
      </c>
      <c r="DS482" s="646">
        <v>30.74947474</v>
      </c>
      <c r="DT482" s="646">
        <v>80.671065489</v>
      </c>
      <c r="DU482" s="646">
        <v>35.446676588000003</v>
      </c>
      <c r="DV482" s="646">
        <v>25.006081950999999</v>
      </c>
      <c r="DW482" s="646">
        <v>37.056219311</v>
      </c>
      <c r="DX482" s="646">
        <v>18.625754405999999</v>
      </c>
      <c r="DY482" s="646">
        <v>30.469799921</v>
      </c>
      <c r="DZ482" s="648">
        <v>39.921327126999998</v>
      </c>
      <c r="EA482" s="646">
        <v>37.837994876000003</v>
      </c>
      <c r="EB482" s="646">
        <v>30.935260658000001</v>
      </c>
      <c r="EC482" s="646">
        <v>49.365783643</v>
      </c>
      <c r="ED482" s="646">
        <v>36.852817137000002</v>
      </c>
      <c r="EE482" s="646">
        <v>23.569324802000001</v>
      </c>
      <c r="EF482" s="646">
        <v>76.978995648999998</v>
      </c>
      <c r="EG482" s="646">
        <v>46.873780355000001</v>
      </c>
      <c r="EH482" s="646">
        <v>17.322330422</v>
      </c>
      <c r="EI482" s="646">
        <v>33.664711830000002</v>
      </c>
      <c r="EJ482" s="646">
        <v>21.934208405</v>
      </c>
      <c r="EK482" s="646">
        <v>29.532252908</v>
      </c>
      <c r="EL482" s="648">
        <v>48.474061882999997</v>
      </c>
      <c r="EM482" s="646">
        <v>18.121855246454004</v>
      </c>
      <c r="EN482" s="646">
        <v>21.522143592676223</v>
      </c>
      <c r="EO482" s="646">
        <v>24.004938986676219</v>
      </c>
      <c r="EP482" s="646">
        <v>35.41258814245397</v>
      </c>
      <c r="EQ482" s="646">
        <v>20.713317243676169</v>
      </c>
      <c r="ER482" s="646">
        <v>47.872531201453995</v>
      </c>
      <c r="ES482" s="646">
        <v>49.238433504454001</v>
      </c>
      <c r="ET482" s="646">
        <v>41.377946347453971</v>
      </c>
      <c r="EU482" s="646">
        <v>22.374091854120675</v>
      </c>
      <c r="EV482" s="646">
        <v>40.960395760454006</v>
      </c>
      <c r="EW482" s="646">
        <v>49.991169588120677</v>
      </c>
      <c r="EX482" s="648">
        <v>79.280163480454036</v>
      </c>
      <c r="EY482" s="646">
        <v>34.531596964000002</v>
      </c>
      <c r="EZ482" s="646">
        <v>38.288390571999997</v>
      </c>
      <c r="FA482" s="646">
        <v>28.846663866</v>
      </c>
      <c r="FB482" s="646">
        <v>34.924225841000002</v>
      </c>
      <c r="FC482" s="646">
        <v>25.523264829999899</v>
      </c>
      <c r="FD482" s="646">
        <v>42.545557563999999</v>
      </c>
      <c r="FE482" s="646">
        <v>65.201118535000006</v>
      </c>
      <c r="FF482" s="646">
        <v>44.083862019999998</v>
      </c>
      <c r="FG482" s="646">
        <v>76.006519507999997</v>
      </c>
      <c r="FH482" s="646">
        <v>41.274952679999998</v>
      </c>
      <c r="FI482" s="646">
        <v>32.559550250999997</v>
      </c>
      <c r="FJ482" s="648">
        <v>28.622868473</v>
      </c>
      <c r="FK482" s="646">
        <v>53.981299043</v>
      </c>
      <c r="FL482" s="646">
        <v>56.796103371000001</v>
      </c>
      <c r="FM482" s="646">
        <v>70.395244955999999</v>
      </c>
      <c r="FN482" s="646">
        <f>56.422314685-4.1003</f>
        <v>52.322014685000006</v>
      </c>
      <c r="FO482" s="646">
        <v>42.060478861999997</v>
      </c>
      <c r="FP482" s="646">
        <v>49.002725881000003</v>
      </c>
      <c r="FQ482" s="646">
        <v>24.268816294000001</v>
      </c>
      <c r="FR482" s="646">
        <v>31.235147418</v>
      </c>
      <c r="FS482" s="646">
        <v>51.188465700000002</v>
      </c>
      <c r="FT482" s="646">
        <v>45.198818729000003</v>
      </c>
      <c r="FU482" s="646">
        <v>35.454920231999999</v>
      </c>
      <c r="FV482" s="646">
        <v>135.61421624600001</v>
      </c>
      <c r="FW482" s="646">
        <v>38.383365242000004</v>
      </c>
      <c r="FX482" s="646">
        <v>72.684272066999995</v>
      </c>
      <c r="FY482" s="646">
        <v>49.164446503000001</v>
      </c>
      <c r="FZ482" s="646">
        <v>44.738776856999998</v>
      </c>
      <c r="GA482" s="646">
        <v>107.54056507</v>
      </c>
      <c r="GB482" s="646">
        <v>18.820083379</v>
      </c>
      <c r="GC482" s="646">
        <v>61.071967622999999</v>
      </c>
      <c r="GD482" s="646">
        <v>39.822583874999999</v>
      </c>
      <c r="GE482" s="646">
        <v>42.437742342</v>
      </c>
      <c r="GF482" s="646">
        <v>51.500498561000001</v>
      </c>
      <c r="GG482" s="646">
        <v>61.788963383000002</v>
      </c>
      <c r="GH482" s="646">
        <v>63.260699911000003</v>
      </c>
      <c r="GI482" s="646"/>
      <c r="GJ482" s="646"/>
      <c r="GK482" s="646"/>
      <c r="GL482" s="646"/>
      <c r="GM482" s="646"/>
      <c r="GN482" s="646"/>
      <c r="GO482" s="646"/>
      <c r="GP482" s="646"/>
      <c r="GQ482" s="646"/>
      <c r="GR482" s="646"/>
      <c r="GS482" s="646"/>
      <c r="GT482" s="646"/>
      <c r="GU482" s="646"/>
      <c r="GV482" s="646"/>
      <c r="GW482" s="646"/>
      <c r="GX482" s="646"/>
      <c r="GY482" s="646"/>
      <c r="GZ482" s="646"/>
      <c r="HA482" s="646"/>
      <c r="HB482" s="646"/>
      <c r="HC482" s="646"/>
      <c r="HD482" s="646"/>
      <c r="HE482" s="646"/>
      <c r="HF482" s="646"/>
      <c r="HG482" s="646"/>
      <c r="HH482" s="646"/>
      <c r="HI482" s="646"/>
      <c r="HJ482" s="646"/>
      <c r="HK482" s="646"/>
      <c r="HL482" s="646"/>
      <c r="HM482" s="646"/>
      <c r="HN482" s="646"/>
      <c r="HO482" s="646"/>
      <c r="HP482" s="646"/>
      <c r="HQ482" s="646"/>
      <c r="HR482" s="646"/>
      <c r="HS482" s="646"/>
      <c r="HT482" s="646"/>
      <c r="HU482" s="646"/>
      <c r="HV482" s="646"/>
      <c r="HW482" s="646"/>
      <c r="HX482" s="646"/>
      <c r="HY482" s="646"/>
      <c r="HZ482" s="649"/>
      <c r="KT482" s="651"/>
      <c r="KU482" s="649"/>
    </row>
    <row r="483" spans="1:307" s="650" customFormat="1" outlineLevel="1">
      <c r="A483" s="644" t="s">
        <v>878</v>
      </c>
      <c r="B483" s="644" t="s">
        <v>338</v>
      </c>
      <c r="C483" s="644"/>
      <c r="D483" s="1257" t="s">
        <v>529</v>
      </c>
      <c r="E483" s="646"/>
      <c r="F483" s="646"/>
      <c r="G483" s="646"/>
      <c r="H483" s="646"/>
      <c r="I483" s="646"/>
      <c r="J483" s="646"/>
      <c r="K483" s="646"/>
      <c r="L483" s="646"/>
      <c r="M483" s="646"/>
      <c r="N483" s="646"/>
      <c r="O483" s="646"/>
      <c r="P483" s="646"/>
      <c r="Q483" s="646"/>
      <c r="R483" s="646"/>
      <c r="S483" s="646"/>
      <c r="T483" s="646"/>
      <c r="U483" s="646"/>
      <c r="V483" s="646"/>
      <c r="W483" s="646"/>
      <c r="X483" s="646"/>
      <c r="Y483" s="646"/>
      <c r="Z483" s="646"/>
      <c r="AA483" s="646"/>
      <c r="AB483" s="646"/>
      <c r="AC483" s="646"/>
      <c r="AD483" s="646"/>
      <c r="AE483" s="646"/>
      <c r="AF483" s="646"/>
      <c r="AG483" s="646"/>
      <c r="AH483" s="646"/>
      <c r="AI483" s="646"/>
      <c r="AJ483" s="646"/>
      <c r="AK483" s="646"/>
      <c r="AL483" s="646"/>
      <c r="AM483" s="646"/>
      <c r="AN483" s="646"/>
      <c r="AO483" s="646"/>
      <c r="AP483" s="646"/>
      <c r="AQ483" s="646"/>
      <c r="AR483" s="646"/>
      <c r="AS483" s="646"/>
      <c r="AT483" s="646"/>
      <c r="AU483" s="646"/>
      <c r="AV483" s="646"/>
      <c r="AW483" s="646"/>
      <c r="AX483" s="646"/>
      <c r="AY483" s="646"/>
      <c r="AZ483" s="646"/>
      <c r="BA483" s="646"/>
      <c r="BB483" s="646"/>
      <c r="BC483" s="646"/>
      <c r="BD483" s="646"/>
      <c r="BE483" s="646"/>
      <c r="BF483" s="646"/>
      <c r="BG483" s="646">
        <v>0</v>
      </c>
      <c r="BH483" s="646">
        <v>0</v>
      </c>
      <c r="BI483" s="646">
        <v>0</v>
      </c>
      <c r="BJ483" s="646">
        <v>0</v>
      </c>
      <c r="BK483" s="646">
        <v>0</v>
      </c>
      <c r="BL483" s="646">
        <v>0</v>
      </c>
      <c r="BM483" s="646">
        <v>0</v>
      </c>
      <c r="BN483" s="646">
        <v>0</v>
      </c>
      <c r="BO483" s="646">
        <v>0</v>
      </c>
      <c r="BP483" s="646">
        <v>0</v>
      </c>
      <c r="BQ483" s="646">
        <v>0</v>
      </c>
      <c r="BR483" s="646">
        <v>0</v>
      </c>
      <c r="BS483" s="646">
        <v>0</v>
      </c>
      <c r="BT483" s="646">
        <v>0</v>
      </c>
      <c r="BU483" s="646">
        <v>0</v>
      </c>
      <c r="BV483" s="646">
        <v>0</v>
      </c>
      <c r="BW483" s="646">
        <v>0</v>
      </c>
      <c r="BX483" s="646">
        <v>0</v>
      </c>
      <c r="BY483" s="646">
        <v>0</v>
      </c>
      <c r="BZ483" s="646">
        <v>0</v>
      </c>
      <c r="CA483" s="646">
        <v>0</v>
      </c>
      <c r="CB483" s="646">
        <v>0</v>
      </c>
      <c r="CC483" s="646">
        <v>0</v>
      </c>
      <c r="CD483" s="646">
        <v>0</v>
      </c>
      <c r="CE483" s="646">
        <v>0</v>
      </c>
      <c r="CF483" s="646">
        <v>0</v>
      </c>
      <c r="CG483" s="646">
        <v>0</v>
      </c>
      <c r="CH483" s="646">
        <v>0</v>
      </c>
      <c r="CI483" s="646">
        <v>0</v>
      </c>
      <c r="CJ483" s="646">
        <v>0</v>
      </c>
      <c r="CK483" s="646">
        <v>0</v>
      </c>
      <c r="CL483" s="646">
        <v>0</v>
      </c>
      <c r="CM483" s="646">
        <v>0</v>
      </c>
      <c r="CN483" s="646">
        <v>0</v>
      </c>
      <c r="CO483" s="646">
        <v>0</v>
      </c>
      <c r="CP483" s="648">
        <v>0</v>
      </c>
      <c r="CQ483" s="646">
        <v>0</v>
      </c>
      <c r="CR483" s="646">
        <v>0</v>
      </c>
      <c r="CS483" s="646">
        <v>0</v>
      </c>
      <c r="CT483" s="646">
        <v>0</v>
      </c>
      <c r="CU483" s="646">
        <v>0</v>
      </c>
      <c r="CV483" s="646">
        <v>0</v>
      </c>
      <c r="CW483" s="646">
        <v>0</v>
      </c>
      <c r="CX483" s="646">
        <v>0</v>
      </c>
      <c r="CY483" s="646">
        <v>0</v>
      </c>
      <c r="CZ483" s="646">
        <v>0</v>
      </c>
      <c r="DA483" s="646">
        <v>0</v>
      </c>
      <c r="DB483" s="1297">
        <v>0</v>
      </c>
      <c r="DC483" s="646">
        <v>0</v>
      </c>
      <c r="DD483" s="646">
        <v>0</v>
      </c>
      <c r="DE483" s="646">
        <v>0</v>
      </c>
      <c r="DF483" s="646">
        <v>0</v>
      </c>
      <c r="DG483" s="646">
        <v>0</v>
      </c>
      <c r="DH483" s="646">
        <v>0</v>
      </c>
      <c r="DI483" s="646">
        <v>0</v>
      </c>
      <c r="DJ483" s="646">
        <v>0</v>
      </c>
      <c r="DK483" s="646">
        <v>0</v>
      </c>
      <c r="DL483" s="646">
        <v>0</v>
      </c>
      <c r="DM483" s="646">
        <v>0</v>
      </c>
      <c r="DN483" s="648">
        <v>0</v>
      </c>
      <c r="DO483" s="646">
        <v>0</v>
      </c>
      <c r="DP483" s="646">
        <v>0</v>
      </c>
      <c r="DQ483" s="646">
        <v>0</v>
      </c>
      <c r="DR483" s="646">
        <v>0</v>
      </c>
      <c r="DS483" s="646">
        <v>0</v>
      </c>
      <c r="DT483" s="646">
        <v>0</v>
      </c>
      <c r="DU483" s="646">
        <v>0</v>
      </c>
      <c r="DV483" s="646">
        <v>0</v>
      </c>
      <c r="DW483" s="646">
        <v>0</v>
      </c>
      <c r="DX483" s="646">
        <v>0</v>
      </c>
      <c r="DY483" s="646">
        <v>0</v>
      </c>
      <c r="DZ483" s="648">
        <v>0</v>
      </c>
      <c r="EA483" s="646">
        <v>0</v>
      </c>
      <c r="EB483" s="646">
        <v>0</v>
      </c>
      <c r="EC483" s="646">
        <v>0</v>
      </c>
      <c r="ED483" s="646">
        <v>0</v>
      </c>
      <c r="EE483" s="646">
        <v>0</v>
      </c>
      <c r="EF483" s="646">
        <v>0</v>
      </c>
      <c r="EG483" s="646">
        <v>0</v>
      </c>
      <c r="EH483" s="646">
        <v>0</v>
      </c>
      <c r="EI483" s="646">
        <v>0</v>
      </c>
      <c r="EJ483" s="646">
        <v>0</v>
      </c>
      <c r="EK483" s="646">
        <v>0</v>
      </c>
      <c r="EL483" s="648">
        <v>0</v>
      </c>
      <c r="EM483" s="646">
        <v>0</v>
      </c>
      <c r="EN483" s="646">
        <v>0</v>
      </c>
      <c r="EO483" s="646">
        <v>0</v>
      </c>
      <c r="EP483" s="646">
        <v>0</v>
      </c>
      <c r="EQ483" s="646">
        <v>0</v>
      </c>
      <c r="ER483" s="646">
        <v>0</v>
      </c>
      <c r="ES483" s="646">
        <v>0</v>
      </c>
      <c r="ET483" s="646">
        <v>0</v>
      </c>
      <c r="EU483" s="646">
        <v>0</v>
      </c>
      <c r="EV483" s="646">
        <v>0</v>
      </c>
      <c r="EW483" s="646">
        <v>0</v>
      </c>
      <c r="EX483" s="648">
        <v>0</v>
      </c>
      <c r="EY483" s="646">
        <v>0</v>
      </c>
      <c r="EZ483" s="646">
        <v>0</v>
      </c>
      <c r="FA483" s="646">
        <v>0</v>
      </c>
      <c r="FB483" s="646">
        <v>0</v>
      </c>
      <c r="FC483" s="646">
        <v>0</v>
      </c>
      <c r="FD483" s="646">
        <v>0</v>
      </c>
      <c r="FE483" s="646">
        <v>0</v>
      </c>
      <c r="FF483" s="646">
        <v>0</v>
      </c>
      <c r="FG483" s="646">
        <v>0</v>
      </c>
      <c r="FH483" s="646">
        <v>0</v>
      </c>
      <c r="FI483" s="646">
        <v>0</v>
      </c>
      <c r="FJ483" s="648">
        <v>0</v>
      </c>
      <c r="FK483" s="646">
        <v>0</v>
      </c>
      <c r="FL483" s="646">
        <v>0</v>
      </c>
      <c r="FM483" s="646">
        <v>0</v>
      </c>
      <c r="FN483" s="646">
        <v>0</v>
      </c>
      <c r="FO483" s="646">
        <v>0</v>
      </c>
      <c r="FP483" s="646">
        <v>0</v>
      </c>
      <c r="FQ483" s="646">
        <v>0</v>
      </c>
      <c r="FR483" s="646">
        <v>0</v>
      </c>
      <c r="FS483" s="646">
        <v>0</v>
      </c>
      <c r="FT483" s="646">
        <v>0</v>
      </c>
      <c r="FU483" s="646">
        <v>0</v>
      </c>
      <c r="FV483" s="646">
        <v>0</v>
      </c>
      <c r="FW483" s="646">
        <v>0</v>
      </c>
      <c r="FX483" s="646">
        <v>0</v>
      </c>
      <c r="FY483" s="646">
        <v>0</v>
      </c>
      <c r="FZ483" s="646">
        <v>0</v>
      </c>
      <c r="GA483" s="646">
        <v>0</v>
      </c>
      <c r="GB483" s="646">
        <v>0</v>
      </c>
      <c r="GC483" s="646">
        <v>0</v>
      </c>
      <c r="GD483" s="646">
        <v>0</v>
      </c>
      <c r="GE483" s="646">
        <v>0</v>
      </c>
      <c r="GF483" s="646">
        <v>0</v>
      </c>
      <c r="GG483" s="646">
        <v>0</v>
      </c>
      <c r="GH483" s="646">
        <v>0</v>
      </c>
      <c r="GI483" s="646"/>
      <c r="GJ483" s="646"/>
      <c r="GK483" s="646"/>
      <c r="GL483" s="646"/>
      <c r="GM483" s="646"/>
      <c r="GN483" s="646"/>
      <c r="GO483" s="646"/>
      <c r="GP483" s="646"/>
      <c r="GQ483" s="646"/>
      <c r="GR483" s="646"/>
      <c r="GS483" s="646"/>
      <c r="GT483" s="646"/>
      <c r="GU483" s="646"/>
      <c r="GV483" s="646"/>
      <c r="GW483" s="646"/>
      <c r="GX483" s="646"/>
      <c r="GY483" s="646"/>
      <c r="GZ483" s="646"/>
      <c r="HA483" s="646"/>
      <c r="HB483" s="646"/>
      <c r="HC483" s="646"/>
      <c r="HD483" s="646"/>
      <c r="HE483" s="646"/>
      <c r="HF483" s="646"/>
      <c r="HG483" s="646"/>
      <c r="HH483" s="646"/>
      <c r="HI483" s="646"/>
      <c r="HJ483" s="646"/>
      <c r="HK483" s="646"/>
      <c r="HL483" s="646"/>
      <c r="HM483" s="646"/>
      <c r="HN483" s="646"/>
      <c r="HO483" s="646"/>
      <c r="HP483" s="646"/>
      <c r="HQ483" s="646"/>
      <c r="HR483" s="646"/>
      <c r="HS483" s="646"/>
      <c r="HT483" s="646"/>
      <c r="HU483" s="646"/>
      <c r="HV483" s="646"/>
      <c r="HW483" s="646"/>
      <c r="HX483" s="646"/>
      <c r="HY483" s="646"/>
      <c r="HZ483" s="649"/>
      <c r="KT483" s="651"/>
      <c r="KU483" s="649"/>
    </row>
    <row r="484" spans="1:307" s="650" customFormat="1" outlineLevel="1">
      <c r="A484" s="644" t="s">
        <v>878</v>
      </c>
      <c r="B484" s="644" t="s">
        <v>338</v>
      </c>
      <c r="C484" s="644"/>
      <c r="D484" s="1257" t="s">
        <v>512</v>
      </c>
      <c r="E484" s="646"/>
      <c r="F484" s="646"/>
      <c r="G484" s="646"/>
      <c r="H484" s="646"/>
      <c r="I484" s="646"/>
      <c r="J484" s="646"/>
      <c r="K484" s="646"/>
      <c r="L484" s="646"/>
      <c r="M484" s="646"/>
      <c r="N484" s="646"/>
      <c r="O484" s="646"/>
      <c r="P484" s="646"/>
      <c r="Q484" s="646"/>
      <c r="R484" s="646"/>
      <c r="S484" s="646"/>
      <c r="T484" s="646"/>
      <c r="U484" s="646"/>
      <c r="V484" s="646"/>
      <c r="W484" s="646"/>
      <c r="X484" s="646"/>
      <c r="Y484" s="646"/>
      <c r="Z484" s="646"/>
      <c r="AA484" s="646"/>
      <c r="AB484" s="646"/>
      <c r="AC484" s="646"/>
      <c r="AD484" s="646"/>
      <c r="AE484" s="646"/>
      <c r="AF484" s="646"/>
      <c r="AG484" s="646"/>
      <c r="AH484" s="646"/>
      <c r="AI484" s="646"/>
      <c r="AJ484" s="646"/>
      <c r="AK484" s="646"/>
      <c r="AL484" s="646"/>
      <c r="AM484" s="646"/>
      <c r="AN484" s="646"/>
      <c r="AO484" s="646"/>
      <c r="AP484" s="646"/>
      <c r="AQ484" s="646"/>
      <c r="AR484" s="646"/>
      <c r="AS484" s="646"/>
      <c r="AT484" s="646"/>
      <c r="AU484" s="646"/>
      <c r="AV484" s="646"/>
      <c r="AW484" s="646"/>
      <c r="AX484" s="646"/>
      <c r="AY484" s="646"/>
      <c r="AZ484" s="646"/>
      <c r="BA484" s="646"/>
      <c r="BB484" s="646"/>
      <c r="BC484" s="646"/>
      <c r="BD484" s="646"/>
      <c r="BE484" s="646"/>
      <c r="BF484" s="646"/>
      <c r="BG484" s="646">
        <v>0.47136276519999998</v>
      </c>
      <c r="BH484" s="646">
        <v>0.56855719612</v>
      </c>
      <c r="BI484" s="646">
        <v>3.3048141694800002</v>
      </c>
      <c r="BJ484" s="646">
        <v>0.55994236499999994</v>
      </c>
      <c r="BK484" s="646">
        <v>2.0145336340000002</v>
      </c>
      <c r="BL484" s="646">
        <v>1.919866251</v>
      </c>
      <c r="BM484" s="646">
        <v>1.219471161</v>
      </c>
      <c r="BN484" s="646">
        <v>1.316947208</v>
      </c>
      <c r="BO484" s="646">
        <v>2.9587543570000001</v>
      </c>
      <c r="BP484" s="646">
        <v>1.177985018</v>
      </c>
      <c r="BQ484" s="646">
        <v>0.61349426200000001</v>
      </c>
      <c r="BR484" s="646">
        <v>2.3830489740000003</v>
      </c>
      <c r="BS484" s="646">
        <v>0.29478044799999997</v>
      </c>
      <c r="BT484" s="646">
        <v>1.198582636</v>
      </c>
      <c r="BU484" s="646">
        <v>1.159378325</v>
      </c>
      <c r="BV484" s="646">
        <v>2.6299444830000001</v>
      </c>
      <c r="BW484" s="646">
        <v>2.2229761640000003</v>
      </c>
      <c r="BX484" s="646">
        <v>1.3665123440000002</v>
      </c>
      <c r="BY484" s="646">
        <v>2.1331117160000002</v>
      </c>
      <c r="BZ484" s="646">
        <v>1.8207399930000001</v>
      </c>
      <c r="CA484" s="646">
        <v>1.905523869</v>
      </c>
      <c r="CB484" s="646">
        <v>2.52306886</v>
      </c>
      <c r="CC484" s="646">
        <v>8.8502698479999999</v>
      </c>
      <c r="CD484" s="646">
        <v>3.8778661080000001</v>
      </c>
      <c r="CE484" s="646">
        <v>7.3648541114296648</v>
      </c>
      <c r="CF484" s="646">
        <v>12.307332286606963</v>
      </c>
      <c r="CG484" s="646">
        <v>6.2513929324770618</v>
      </c>
      <c r="CH484" s="646">
        <v>18.261139942899149</v>
      </c>
      <c r="CI484" s="646">
        <v>5.7280009133286844</v>
      </c>
      <c r="CJ484" s="646">
        <v>3.9068688296663425</v>
      </c>
      <c r="CK484" s="646">
        <v>8.4892318138845084</v>
      </c>
      <c r="CL484" s="646">
        <v>3.9291905938390088</v>
      </c>
      <c r="CM484" s="646">
        <v>3.4396604405048112</v>
      </c>
      <c r="CN484" s="646">
        <v>11.506482584037983</v>
      </c>
      <c r="CO484" s="646">
        <v>4.9342347847366312</v>
      </c>
      <c r="CP484" s="648">
        <v>2.2384904943174666</v>
      </c>
      <c r="CQ484" s="646">
        <v>1.6147822810000001</v>
      </c>
      <c r="CR484" s="646">
        <v>2.690494191</v>
      </c>
      <c r="CS484" s="646">
        <v>2.7286537719999999</v>
      </c>
      <c r="CT484" s="646">
        <v>10.742280388999999</v>
      </c>
      <c r="CU484" s="646">
        <v>2.926404845</v>
      </c>
      <c r="CV484" s="646">
        <v>1.2423336410000001</v>
      </c>
      <c r="CW484" s="646">
        <v>1.720635634</v>
      </c>
      <c r="CX484" s="646">
        <v>1.0965883030000001</v>
      </c>
      <c r="CY484" s="646">
        <v>4.4167458179999999</v>
      </c>
      <c r="CZ484" s="646">
        <v>11.485379681</v>
      </c>
      <c r="DA484" s="646">
        <v>3.1392284250000002</v>
      </c>
      <c r="DB484" s="1297">
        <v>1.8150281640000001</v>
      </c>
      <c r="DC484" s="646">
        <v>1.8949841599999999</v>
      </c>
      <c r="DD484" s="646">
        <v>4.491078076</v>
      </c>
      <c r="DE484" s="646">
        <v>3.3863045870000001</v>
      </c>
      <c r="DF484" s="646">
        <v>11.642573114999999</v>
      </c>
      <c r="DG484" s="646">
        <v>4.4688542629999999</v>
      </c>
      <c r="DH484" s="646">
        <v>1.3725996439999999</v>
      </c>
      <c r="DI484" s="646">
        <v>2.0589334090000002</v>
      </c>
      <c r="DJ484" s="646">
        <v>4.9357321399999998</v>
      </c>
      <c r="DK484" s="646">
        <v>3.4511521900000002</v>
      </c>
      <c r="DL484" s="646">
        <v>12.688350985</v>
      </c>
      <c r="DM484" s="646">
        <v>5.6211685109999996</v>
      </c>
      <c r="DN484" s="648">
        <v>1.665370115</v>
      </c>
      <c r="DO484" s="646">
        <v>2.3167633840000001</v>
      </c>
      <c r="DP484" s="646">
        <v>1.9027358080000001</v>
      </c>
      <c r="DQ484" s="646">
        <v>4.092302611</v>
      </c>
      <c r="DR484" s="646">
        <v>11.526879399</v>
      </c>
      <c r="DS484" s="646">
        <v>9.4295556719999993</v>
      </c>
      <c r="DT484" s="646">
        <v>5.4837887470000002</v>
      </c>
      <c r="DU484" s="646">
        <v>3.605935997</v>
      </c>
      <c r="DV484" s="646">
        <v>8.3153343970000009</v>
      </c>
      <c r="DW484" s="646">
        <v>3.6566513139999999</v>
      </c>
      <c r="DX484" s="646">
        <v>15.735724341999999</v>
      </c>
      <c r="DY484" s="646">
        <v>5.9448669609999998</v>
      </c>
      <c r="DZ484" s="648">
        <v>7.1660838580000004</v>
      </c>
      <c r="EA484" s="646">
        <v>3.5461118319999998</v>
      </c>
      <c r="EB484" s="646">
        <v>9.1508729009999996</v>
      </c>
      <c r="EC484" s="646">
        <v>6.4711025400000004</v>
      </c>
      <c r="ED484" s="646">
        <v>14.627930660000001</v>
      </c>
      <c r="EE484" s="646">
        <v>7.7414311839999996</v>
      </c>
      <c r="EF484" s="646">
        <v>3.4162961630000002</v>
      </c>
      <c r="EG484" s="646">
        <v>3.7387656589999998</v>
      </c>
      <c r="EH484" s="646">
        <v>11.551069546000001</v>
      </c>
      <c r="EI484" s="646">
        <v>5.7762329860000001</v>
      </c>
      <c r="EJ484" s="646">
        <v>16.824690671999999</v>
      </c>
      <c r="EK484" s="646">
        <v>7.6464931549999999</v>
      </c>
      <c r="EL484" s="648">
        <v>4.6746366530000003</v>
      </c>
      <c r="EM484" s="646">
        <v>3.816679057</v>
      </c>
      <c r="EN484" s="646">
        <v>10.486365338000001</v>
      </c>
      <c r="EO484" s="646">
        <v>6.3748220890000002</v>
      </c>
      <c r="EP484" s="646">
        <v>14.542099840000001</v>
      </c>
      <c r="EQ484" s="646">
        <v>11.854197691</v>
      </c>
      <c r="ER484" s="646">
        <v>2.9836837780000001</v>
      </c>
      <c r="ES484" s="646">
        <v>4.597397645</v>
      </c>
      <c r="ET484" s="646">
        <v>11.637998302</v>
      </c>
      <c r="EU484" s="646">
        <v>6.4636354840000001</v>
      </c>
      <c r="EV484" s="646">
        <v>13.977150341</v>
      </c>
      <c r="EW484" s="646">
        <v>12.882842942</v>
      </c>
      <c r="EX484" s="648">
        <v>2.3569134960000002</v>
      </c>
      <c r="EY484" s="646">
        <v>4.256094364</v>
      </c>
      <c r="EZ484" s="646">
        <v>15.040706532</v>
      </c>
      <c r="FA484" s="646">
        <v>5.9650410970000003</v>
      </c>
      <c r="FB484" s="646">
        <v>17.796604900999998</v>
      </c>
      <c r="FC484" s="646">
        <v>16.230708064000002</v>
      </c>
      <c r="FD484" s="646">
        <v>4.2815713789999998</v>
      </c>
      <c r="FE484" s="646">
        <v>2.1055967619999998</v>
      </c>
      <c r="FF484" s="646">
        <v>3.4102348579999999</v>
      </c>
      <c r="FG484" s="646">
        <v>5.0214268710000001</v>
      </c>
      <c r="FH484" s="646">
        <v>36.298597192999999</v>
      </c>
      <c r="FI484" s="646">
        <v>23.813126035</v>
      </c>
      <c r="FJ484" s="648">
        <v>8.3842474459999998</v>
      </c>
      <c r="FK484" s="646">
        <v>6.6017138879999999</v>
      </c>
      <c r="FL484" s="646">
        <v>20.585024864000001</v>
      </c>
      <c r="FM484" s="646">
        <v>11.906033674</v>
      </c>
      <c r="FN484" s="646">
        <v>16.153937051</v>
      </c>
      <c r="FO484" s="646">
        <v>21.821031329</v>
      </c>
      <c r="FP484" s="646">
        <v>5.2804806219999998</v>
      </c>
      <c r="FQ484" s="646">
        <v>5.6125476230000002</v>
      </c>
      <c r="FR484" s="646">
        <v>29.157037155000001</v>
      </c>
      <c r="FS484" s="646">
        <v>10.448763252999999</v>
      </c>
      <c r="FT484" s="646">
        <v>18.074449777000002</v>
      </c>
      <c r="FU484" s="646">
        <v>5.2933192409999998</v>
      </c>
      <c r="FV484" s="646">
        <v>28.523109587</v>
      </c>
      <c r="FW484" s="646">
        <v>11.151010874000001</v>
      </c>
      <c r="FX484" s="646">
        <v>8.5787114130000006</v>
      </c>
      <c r="FY484" s="646">
        <v>37.328038411999998</v>
      </c>
      <c r="FZ484" s="646">
        <v>7.7185855539999997</v>
      </c>
      <c r="GA484" s="646">
        <v>29.487857193</v>
      </c>
      <c r="GB484" s="646">
        <v>6.2606071390000002</v>
      </c>
      <c r="GC484" s="646">
        <v>25.450051139999999</v>
      </c>
      <c r="GD484" s="646">
        <v>34.450936476000003</v>
      </c>
      <c r="GE484" s="646">
        <v>12.762269906</v>
      </c>
      <c r="GF484" s="646">
        <v>3.6692705980000002</v>
      </c>
      <c r="GG484" s="646">
        <v>36.592728929000003</v>
      </c>
      <c r="GH484" s="646">
        <v>4.6747351909999999</v>
      </c>
      <c r="GI484" s="646"/>
      <c r="GJ484" s="646"/>
      <c r="GK484" s="646"/>
      <c r="GL484" s="646"/>
      <c r="GM484" s="646"/>
      <c r="GN484" s="646"/>
      <c r="GO484" s="646"/>
      <c r="GP484" s="646"/>
      <c r="GQ484" s="646"/>
      <c r="GR484" s="646"/>
      <c r="GS484" s="646"/>
      <c r="GT484" s="646"/>
      <c r="GU484" s="646"/>
      <c r="GV484" s="646"/>
      <c r="GW484" s="646"/>
      <c r="GX484" s="646"/>
      <c r="GY484" s="646"/>
      <c r="GZ484" s="646"/>
      <c r="HA484" s="646"/>
      <c r="HB484" s="646"/>
      <c r="HC484" s="646"/>
      <c r="HD484" s="646"/>
      <c r="HE484" s="646"/>
      <c r="HF484" s="646"/>
      <c r="HG484" s="646"/>
      <c r="HH484" s="646"/>
      <c r="HI484" s="646"/>
      <c r="HJ484" s="646"/>
      <c r="HK484" s="646"/>
      <c r="HL484" s="646"/>
      <c r="HM484" s="646"/>
      <c r="HN484" s="646"/>
      <c r="HO484" s="646"/>
      <c r="HP484" s="646"/>
      <c r="HQ484" s="646"/>
      <c r="HR484" s="646"/>
      <c r="HS484" s="646"/>
      <c r="HT484" s="646"/>
      <c r="HU484" s="646"/>
      <c r="HV484" s="646"/>
      <c r="HW484" s="646"/>
      <c r="HX484" s="646"/>
      <c r="HY484" s="646"/>
      <c r="HZ484" s="649"/>
      <c r="KT484" s="651"/>
      <c r="KU484" s="649"/>
    </row>
    <row r="485" spans="1:307" s="650" customFormat="1" outlineLevel="1">
      <c r="A485" s="644" t="s">
        <v>878</v>
      </c>
      <c r="B485" s="644" t="s">
        <v>338</v>
      </c>
      <c r="C485" s="644"/>
      <c r="D485" s="1258" t="s">
        <v>530</v>
      </c>
      <c r="E485" s="646"/>
      <c r="F485" s="646"/>
      <c r="G485" s="646"/>
      <c r="H485" s="646"/>
      <c r="I485" s="646"/>
      <c r="J485" s="646"/>
      <c r="K485" s="646"/>
      <c r="L485" s="646"/>
      <c r="M485" s="646"/>
      <c r="N485" s="646"/>
      <c r="O485" s="646"/>
      <c r="P485" s="646"/>
      <c r="Q485" s="646"/>
      <c r="R485" s="646"/>
      <c r="S485" s="646"/>
      <c r="T485" s="646"/>
      <c r="U485" s="646"/>
      <c r="V485" s="646"/>
      <c r="W485" s="646"/>
      <c r="X485" s="646"/>
      <c r="Y485" s="646"/>
      <c r="Z485" s="646"/>
      <c r="AA485" s="646"/>
      <c r="AB485" s="646"/>
      <c r="AC485" s="646"/>
      <c r="AD485" s="646"/>
      <c r="AE485" s="646"/>
      <c r="AF485" s="646"/>
      <c r="AG485" s="646"/>
      <c r="AH485" s="646"/>
      <c r="AI485" s="646"/>
      <c r="AJ485" s="646"/>
      <c r="AK485" s="646"/>
      <c r="AL485" s="646"/>
      <c r="AM485" s="646"/>
      <c r="AN485" s="646"/>
      <c r="AO485" s="646"/>
      <c r="AP485" s="646"/>
      <c r="AQ485" s="646"/>
      <c r="AR485" s="646"/>
      <c r="AS485" s="646"/>
      <c r="AT485" s="646"/>
      <c r="AU485" s="646"/>
      <c r="AV485" s="646"/>
      <c r="AW485" s="646"/>
      <c r="AX485" s="646"/>
      <c r="AY485" s="646"/>
      <c r="AZ485" s="646"/>
      <c r="BA485" s="646"/>
      <c r="BB485" s="646"/>
      <c r="BC485" s="646"/>
      <c r="BD485" s="646"/>
      <c r="BE485" s="646"/>
      <c r="BF485" s="646"/>
      <c r="BG485" s="646">
        <v>0.47136276519999998</v>
      </c>
      <c r="BH485" s="646">
        <v>0.27274706211999999</v>
      </c>
      <c r="BI485" s="646">
        <v>1.15664130348</v>
      </c>
      <c r="BJ485" s="646">
        <v>0.29351833300000002</v>
      </c>
      <c r="BK485" s="646">
        <v>0.25040739400000001</v>
      </c>
      <c r="BL485" s="646">
        <v>0.45723261700000001</v>
      </c>
      <c r="BM485" s="646">
        <v>0.399195407</v>
      </c>
      <c r="BN485" s="646">
        <v>6.6661100000000001E-2</v>
      </c>
      <c r="BO485" s="646">
        <v>1.1566686740000001</v>
      </c>
      <c r="BP485" s="646">
        <v>0.71000549199999996</v>
      </c>
      <c r="BQ485" s="646">
        <v>0.31224965700000001</v>
      </c>
      <c r="BR485" s="646">
        <v>0.24138464000000001</v>
      </c>
      <c r="BS485" s="646">
        <v>0.29478044799999997</v>
      </c>
      <c r="BT485" s="646">
        <v>0.26295763599999999</v>
      </c>
      <c r="BU485" s="646">
        <v>1.159378325</v>
      </c>
      <c r="BV485" s="646">
        <v>0.25431436299999999</v>
      </c>
      <c r="BW485" s="646">
        <v>0.35681724500000001</v>
      </c>
      <c r="BX485" s="646">
        <v>0.26304086100000001</v>
      </c>
      <c r="BY485" s="646">
        <v>0.47239882799999999</v>
      </c>
      <c r="BZ485" s="646">
        <v>1.014155605</v>
      </c>
      <c r="CA485" s="646">
        <v>1.267804189</v>
      </c>
      <c r="CB485" s="646">
        <v>0.29975758800000002</v>
      </c>
      <c r="CC485" s="646">
        <v>7.670850798</v>
      </c>
      <c r="CD485" s="646">
        <v>0.242850555</v>
      </c>
      <c r="CE485" s="646">
        <v>0.6969246684296645</v>
      </c>
      <c r="CF485" s="646">
        <v>0.20840830560696241</v>
      </c>
      <c r="CG485" s="646">
        <v>0.97392462447706141</v>
      </c>
      <c r="CH485" s="646">
        <v>9.8554909258991508</v>
      </c>
      <c r="CI485" s="646">
        <v>0.32145879232868413</v>
      </c>
      <c r="CJ485" s="646">
        <v>0.19237510966634239</v>
      </c>
      <c r="CK485" s="646">
        <v>0.71346271088450908</v>
      </c>
      <c r="CL485" s="646">
        <v>0.21600343383900905</v>
      </c>
      <c r="CM485" s="646">
        <v>1.1769884505048114</v>
      </c>
      <c r="CN485" s="646">
        <v>10.349296616037982</v>
      </c>
      <c r="CO485" s="646">
        <v>0.49532113773663172</v>
      </c>
      <c r="CP485" s="648">
        <v>0.33179743428691255</v>
      </c>
      <c r="CQ485" s="646">
        <v>0.71878676200000002</v>
      </c>
      <c r="CR485" s="646">
        <v>0.29884553600000002</v>
      </c>
      <c r="CS485" s="646">
        <v>1.805917292</v>
      </c>
      <c r="CT485" s="646">
        <v>9.7326048410000006</v>
      </c>
      <c r="CU485" s="646">
        <v>0.46882611800000001</v>
      </c>
      <c r="CV485" s="646">
        <v>0.28060508200000001</v>
      </c>
      <c r="CW485" s="646">
        <v>0.78783252699999995</v>
      </c>
      <c r="CX485" s="646">
        <v>0.41301081299999998</v>
      </c>
      <c r="CY485" s="646">
        <v>1.425080576</v>
      </c>
      <c r="CZ485" s="646">
        <v>10.55931024</v>
      </c>
      <c r="DA485" s="646">
        <v>0.406349715</v>
      </c>
      <c r="DB485" s="1297">
        <v>0.31310058899999998</v>
      </c>
      <c r="DC485" s="646">
        <v>0.88124448899999996</v>
      </c>
      <c r="DD485" s="646">
        <v>0.67554113000000005</v>
      </c>
      <c r="DE485" s="646">
        <v>2.1526617080000001</v>
      </c>
      <c r="DF485" s="646">
        <v>10.315275193</v>
      </c>
      <c r="DG485" s="646">
        <v>0.45481288199999997</v>
      </c>
      <c r="DH485" s="646">
        <v>0.319691008</v>
      </c>
      <c r="DI485" s="646">
        <v>0.90162314200000004</v>
      </c>
      <c r="DJ485" s="646">
        <v>0.86559799599999998</v>
      </c>
      <c r="DK485" s="646">
        <v>2.5805420059999999</v>
      </c>
      <c r="DL485" s="646">
        <v>10.819309213</v>
      </c>
      <c r="DM485" s="646">
        <v>0.55753518999999996</v>
      </c>
      <c r="DN485" s="648">
        <v>0.28747601299999997</v>
      </c>
      <c r="DO485" s="646">
        <v>1.393725895</v>
      </c>
      <c r="DP485" s="646">
        <v>1.2066371229999999</v>
      </c>
      <c r="DQ485" s="646">
        <v>2.9542493329999999</v>
      </c>
      <c r="DR485" s="646">
        <v>11.468598423</v>
      </c>
      <c r="DS485" s="646">
        <v>3.0916288770000002</v>
      </c>
      <c r="DT485" s="646">
        <v>5.4832322490000003</v>
      </c>
      <c r="DU485" s="646">
        <v>2.001038265</v>
      </c>
      <c r="DV485" s="646">
        <v>2.823913406</v>
      </c>
      <c r="DW485" s="646">
        <v>2.0885248189999999</v>
      </c>
      <c r="DX485" s="646">
        <v>14.952792633</v>
      </c>
      <c r="DY485" s="646">
        <v>1.6970184109999999</v>
      </c>
      <c r="DZ485" s="648">
        <v>5.1292232750000002</v>
      </c>
      <c r="EA485" s="646">
        <v>2.6473932470000001</v>
      </c>
      <c r="EB485" s="646">
        <v>3.4973608820000002</v>
      </c>
      <c r="EC485" s="646">
        <v>4.5550383129999998</v>
      </c>
      <c r="ED485" s="646">
        <v>13.904118070000001</v>
      </c>
      <c r="EE485" s="646">
        <v>1.802860197</v>
      </c>
      <c r="EF485" s="646">
        <v>2.4033611239999999</v>
      </c>
      <c r="EG485" s="646">
        <v>2.8824428279999998</v>
      </c>
      <c r="EH485" s="646">
        <v>4.8117608870000002</v>
      </c>
      <c r="EI485" s="646">
        <v>4.6841101329999999</v>
      </c>
      <c r="EJ485" s="646">
        <v>14.142680024000001</v>
      </c>
      <c r="EK485" s="646">
        <v>1.2108538820000001</v>
      </c>
      <c r="EL485" s="648">
        <v>3.9869962079999999</v>
      </c>
      <c r="EM485" s="646">
        <v>3.0091818429999999</v>
      </c>
      <c r="EN485" s="646">
        <v>4.5573169550000001</v>
      </c>
      <c r="EO485" s="646">
        <v>5.3981225640000003</v>
      </c>
      <c r="EP485" s="646">
        <v>14.456209823</v>
      </c>
      <c r="EQ485" s="646">
        <v>3.2707480119999999</v>
      </c>
      <c r="ER485" s="646">
        <v>2.9836837780000001</v>
      </c>
      <c r="ES485" s="646">
        <v>2.8858004209999999</v>
      </c>
      <c r="ET485" s="646">
        <v>4.7274645030000002</v>
      </c>
      <c r="EU485" s="646">
        <v>6.1804956950000003</v>
      </c>
      <c r="EV485" s="646">
        <v>13.935556629000001</v>
      </c>
      <c r="EW485" s="646">
        <v>3.6501831560000002</v>
      </c>
      <c r="EX485" s="648">
        <v>2.177151528</v>
      </c>
      <c r="EY485" s="646">
        <v>3.3662574260000002</v>
      </c>
      <c r="EZ485" s="646">
        <v>4.5529266130000003</v>
      </c>
      <c r="FA485" s="646">
        <v>4.1780476249999996</v>
      </c>
      <c r="FB485" s="646">
        <v>14.961240265000001</v>
      </c>
      <c r="FC485" s="646">
        <v>4.9232981770000004</v>
      </c>
      <c r="FD485" s="646">
        <v>4.1223030859999996</v>
      </c>
      <c r="FE485" s="646">
        <v>1.1154224779999999</v>
      </c>
      <c r="FF485" s="646">
        <v>3.168919152</v>
      </c>
      <c r="FG485" s="646">
        <v>3.1144872079999999</v>
      </c>
      <c r="FH485" s="646">
        <v>21.792364152000001</v>
      </c>
      <c r="FI485" s="646">
        <v>8.9862828379999993</v>
      </c>
      <c r="FJ485" s="648">
        <v>3.922431097</v>
      </c>
      <c r="FK485" s="646">
        <v>3.3376135520000001</v>
      </c>
      <c r="FL485" s="646">
        <v>5.8283110919999999</v>
      </c>
      <c r="FM485" s="646">
        <v>6.6107949880000003</v>
      </c>
      <c r="FN485" s="646">
        <v>15.938432674</v>
      </c>
      <c r="FO485" s="646">
        <v>4.7089655949999996</v>
      </c>
      <c r="FP485" s="646">
        <v>4.0933872769999997</v>
      </c>
      <c r="FQ485" s="646">
        <v>2.203601065</v>
      </c>
      <c r="FR485" s="646">
        <v>8.195824472</v>
      </c>
      <c r="FS485" s="646">
        <v>5.7240437100000001</v>
      </c>
      <c r="FT485" s="646">
        <v>17.824587964999999</v>
      </c>
      <c r="FU485" s="646">
        <v>3.3611040860000001</v>
      </c>
      <c r="FV485" s="646">
        <v>8.4281089819999995</v>
      </c>
      <c r="FW485" s="646">
        <v>7.9557223129999999</v>
      </c>
      <c r="FX485" s="646">
        <v>8.3125928659999992</v>
      </c>
      <c r="FY485" s="646">
        <v>7.1214515890000003</v>
      </c>
      <c r="FZ485" s="646">
        <v>7.0866075369999999</v>
      </c>
      <c r="GA485" s="646">
        <v>6.4331817009999996</v>
      </c>
      <c r="GB485" s="646">
        <v>5.2675287800000001</v>
      </c>
      <c r="GC485" s="646">
        <v>22.270019085000001</v>
      </c>
      <c r="GD485" s="646">
        <v>6.0312182200000004</v>
      </c>
      <c r="GE485" s="646">
        <v>6.2156036820000002</v>
      </c>
      <c r="GF485" s="646">
        <v>3.245726152</v>
      </c>
      <c r="GG485" s="646">
        <v>7.6029098270000004</v>
      </c>
      <c r="GH485" s="646">
        <v>3.9933554920000001</v>
      </c>
      <c r="GI485" s="646"/>
      <c r="GJ485" s="646"/>
      <c r="GK485" s="646"/>
      <c r="GL485" s="646"/>
      <c r="GM485" s="646"/>
      <c r="GN485" s="646"/>
      <c r="GO485" s="646"/>
      <c r="GP485" s="646"/>
      <c r="GQ485" s="646"/>
      <c r="GR485" s="646"/>
      <c r="GS485" s="646"/>
      <c r="GT485" s="646"/>
      <c r="GU485" s="646"/>
      <c r="GV485" s="646"/>
      <c r="GW485" s="646"/>
      <c r="GX485" s="646"/>
      <c r="GY485" s="646"/>
      <c r="GZ485" s="646"/>
      <c r="HA485" s="646"/>
      <c r="HB485" s="646"/>
      <c r="HC485" s="646"/>
      <c r="HD485" s="646"/>
      <c r="HE485" s="646"/>
      <c r="HF485" s="646"/>
      <c r="HG485" s="646"/>
      <c r="HH485" s="646"/>
      <c r="HI485" s="646"/>
      <c r="HJ485" s="646"/>
      <c r="HK485" s="646"/>
      <c r="HL485" s="646"/>
      <c r="HM485" s="646"/>
      <c r="HN485" s="646"/>
      <c r="HO485" s="646"/>
      <c r="HP485" s="646"/>
      <c r="HQ485" s="646"/>
      <c r="HR485" s="646"/>
      <c r="HS485" s="646"/>
      <c r="HT485" s="646"/>
      <c r="HU485" s="646"/>
      <c r="HV485" s="646"/>
      <c r="HW485" s="646"/>
      <c r="HX485" s="646"/>
      <c r="HY485" s="646"/>
      <c r="HZ485" s="649"/>
      <c r="KT485" s="651"/>
      <c r="KU485" s="649"/>
    </row>
    <row r="486" spans="1:307" s="650" customFormat="1" outlineLevel="1">
      <c r="A486" s="644" t="s">
        <v>878</v>
      </c>
      <c r="B486" s="644" t="s">
        <v>338</v>
      </c>
      <c r="C486" s="644"/>
      <c r="D486" s="1258" t="s">
        <v>531</v>
      </c>
      <c r="E486" s="646"/>
      <c r="F486" s="646"/>
      <c r="G486" s="646"/>
      <c r="H486" s="646"/>
      <c r="I486" s="646"/>
      <c r="J486" s="646"/>
      <c r="K486" s="646"/>
      <c r="L486" s="646"/>
      <c r="M486" s="646"/>
      <c r="N486" s="646"/>
      <c r="O486" s="646"/>
      <c r="P486" s="646"/>
      <c r="Q486" s="646"/>
      <c r="R486" s="646"/>
      <c r="S486" s="646"/>
      <c r="T486" s="646"/>
      <c r="U486" s="646"/>
      <c r="V486" s="646"/>
      <c r="W486" s="646"/>
      <c r="X486" s="646"/>
      <c r="Y486" s="646"/>
      <c r="Z486" s="646"/>
      <c r="AA486" s="646"/>
      <c r="AB486" s="646"/>
      <c r="AC486" s="646"/>
      <c r="AD486" s="646"/>
      <c r="AE486" s="646"/>
      <c r="AF486" s="646"/>
      <c r="AG486" s="646"/>
      <c r="AH486" s="646"/>
      <c r="AI486" s="646"/>
      <c r="AJ486" s="646"/>
      <c r="AK486" s="646"/>
      <c r="AL486" s="646"/>
      <c r="AM486" s="646"/>
      <c r="AN486" s="646"/>
      <c r="AO486" s="646"/>
      <c r="AP486" s="646"/>
      <c r="AQ486" s="646"/>
      <c r="AR486" s="646"/>
      <c r="AS486" s="646"/>
      <c r="AT486" s="646"/>
      <c r="AU486" s="646"/>
      <c r="AV486" s="646"/>
      <c r="AW486" s="646"/>
      <c r="AX486" s="646"/>
      <c r="AY486" s="646"/>
      <c r="AZ486" s="646"/>
      <c r="BA486" s="646"/>
      <c r="BB486" s="646"/>
      <c r="BC486" s="646"/>
      <c r="BD486" s="646"/>
      <c r="BE486" s="646"/>
      <c r="BF486" s="646"/>
      <c r="BG486" s="646">
        <v>0</v>
      </c>
      <c r="BH486" s="646">
        <v>0.295810134</v>
      </c>
      <c r="BI486" s="646">
        <v>2.1481728659999999</v>
      </c>
      <c r="BJ486" s="646">
        <v>0.26642403199999998</v>
      </c>
      <c r="BK486" s="646">
        <v>1.76412624</v>
      </c>
      <c r="BL486" s="646">
        <v>1.4626336339999999</v>
      </c>
      <c r="BM486" s="646">
        <v>0.82027575399999997</v>
      </c>
      <c r="BN486" s="646">
        <v>1.2502861080000001</v>
      </c>
      <c r="BO486" s="646">
        <v>1.802085683</v>
      </c>
      <c r="BP486" s="646">
        <v>0.46797952599999998</v>
      </c>
      <c r="BQ486" s="646">
        <v>0.301244605</v>
      </c>
      <c r="BR486" s="646">
        <v>2.1416643340000001</v>
      </c>
      <c r="BS486" s="646">
        <v>0</v>
      </c>
      <c r="BT486" s="646">
        <v>0.93562500000000004</v>
      </c>
      <c r="BU486" s="646">
        <v>0</v>
      </c>
      <c r="BV486" s="646">
        <v>2.3756301199999998</v>
      </c>
      <c r="BW486" s="646">
        <v>1.8661589190000001</v>
      </c>
      <c r="BX486" s="646">
        <v>1.1034714830000001</v>
      </c>
      <c r="BY486" s="646">
        <v>1.6607128879999999</v>
      </c>
      <c r="BZ486" s="646">
        <v>0.80658438799999999</v>
      </c>
      <c r="CA486" s="646">
        <v>0.63771968000000001</v>
      </c>
      <c r="CB486" s="646">
        <v>2.2233112720000001</v>
      </c>
      <c r="CC486" s="646">
        <v>1.1794190499999999</v>
      </c>
      <c r="CD486" s="646">
        <v>3.6350155530000001</v>
      </c>
      <c r="CE486" s="646">
        <v>0.91287137277799746</v>
      </c>
      <c r="CF486" s="646">
        <v>2.6440019562175725</v>
      </c>
      <c r="CG486" s="646">
        <v>1.8232696501794503</v>
      </c>
      <c r="CH486" s="646">
        <v>1.003543253476</v>
      </c>
      <c r="CI486" s="646">
        <v>2.0724815196329995</v>
      </c>
      <c r="CJ486" s="646">
        <v>1.4396311112401539</v>
      </c>
      <c r="CK486" s="646">
        <v>1.112374852024002</v>
      </c>
      <c r="CL486" s="646">
        <v>0.9939060787571673</v>
      </c>
      <c r="CM486" s="646">
        <v>1.7816367285922678</v>
      </c>
      <c r="CN486" s="646">
        <v>1.1560964636119997</v>
      </c>
      <c r="CO486" s="646">
        <v>1.1988465443248493</v>
      </c>
      <c r="CP486" s="648">
        <v>1.9066930600305543</v>
      </c>
      <c r="CQ486" s="646">
        <v>0.89599551899999996</v>
      </c>
      <c r="CR486" s="646">
        <v>2.391648655</v>
      </c>
      <c r="CS486" s="646">
        <v>0.92273647999999997</v>
      </c>
      <c r="CT486" s="646">
        <v>1.0096755479999999</v>
      </c>
      <c r="CU486" s="646">
        <v>2.457578727</v>
      </c>
      <c r="CV486" s="646">
        <v>0.96172855899999998</v>
      </c>
      <c r="CW486" s="646">
        <v>0.93280310700000002</v>
      </c>
      <c r="CX486" s="646">
        <v>0.68357749000000001</v>
      </c>
      <c r="CY486" s="646">
        <v>2.9916652419999998</v>
      </c>
      <c r="CZ486" s="646">
        <v>0.92606944099999999</v>
      </c>
      <c r="DA486" s="646">
        <v>2.73287871</v>
      </c>
      <c r="DB486" s="1297">
        <v>1.5019275750000001</v>
      </c>
      <c r="DC486" s="646">
        <v>1.013739671</v>
      </c>
      <c r="DD486" s="646">
        <v>3.8155369459999999</v>
      </c>
      <c r="DE486" s="646">
        <v>1.233642879</v>
      </c>
      <c r="DF486" s="646">
        <v>1.3272979220000001</v>
      </c>
      <c r="DG486" s="646">
        <v>4.0140413810000002</v>
      </c>
      <c r="DH486" s="646">
        <v>1.052908636</v>
      </c>
      <c r="DI486" s="646">
        <v>1.1573102669999999</v>
      </c>
      <c r="DJ486" s="646">
        <v>4.0701341439999998</v>
      </c>
      <c r="DK486" s="646">
        <v>0.87061018400000001</v>
      </c>
      <c r="DL486" s="646">
        <v>1.8690417720000001</v>
      </c>
      <c r="DM486" s="646">
        <v>5.0636333210000002</v>
      </c>
      <c r="DN486" s="648">
        <v>1.377894102</v>
      </c>
      <c r="DO486" s="646">
        <v>0.92303748900000004</v>
      </c>
      <c r="DP486" s="646">
        <v>0.69609868500000005</v>
      </c>
      <c r="DQ486" s="646">
        <v>1.1380532779999999</v>
      </c>
      <c r="DR486" s="646">
        <v>5.8280975999999998E-2</v>
      </c>
      <c r="DS486" s="646">
        <v>6.3379267949999996</v>
      </c>
      <c r="DT486" s="646">
        <v>5.56498E-4</v>
      </c>
      <c r="DU486" s="646">
        <v>1.604897732</v>
      </c>
      <c r="DV486" s="646">
        <v>5.491420991</v>
      </c>
      <c r="DW486" s="646">
        <v>1.568126495</v>
      </c>
      <c r="DX486" s="646">
        <v>0.78293170899999998</v>
      </c>
      <c r="DY486" s="646">
        <v>4.2478485499999996</v>
      </c>
      <c r="DZ486" s="648">
        <v>2.0368605830000002</v>
      </c>
      <c r="EA486" s="646">
        <v>0.89871858500000001</v>
      </c>
      <c r="EB486" s="646">
        <v>5.6535120189999999</v>
      </c>
      <c r="EC486" s="646">
        <v>1.9160642269999999</v>
      </c>
      <c r="ED486" s="646">
        <v>0.72381258999999998</v>
      </c>
      <c r="EE486" s="646">
        <v>5.9385709870000003</v>
      </c>
      <c r="EF486" s="646">
        <v>1.012935039</v>
      </c>
      <c r="EG486" s="646">
        <v>0.85632283099999995</v>
      </c>
      <c r="EH486" s="646">
        <v>6.7393086589999998</v>
      </c>
      <c r="EI486" s="646">
        <v>1.092122853</v>
      </c>
      <c r="EJ486" s="646">
        <v>2.6820106479999999</v>
      </c>
      <c r="EK486" s="646">
        <v>6.4356392729999996</v>
      </c>
      <c r="EL486" s="648">
        <v>0.68764044499999999</v>
      </c>
      <c r="EM486" s="646">
        <v>0.80749721399999996</v>
      </c>
      <c r="EN486" s="646">
        <v>5.9290483829999996</v>
      </c>
      <c r="EO486" s="646">
        <v>0.97669952500000001</v>
      </c>
      <c r="EP486" s="646">
        <v>8.5890016999999999E-2</v>
      </c>
      <c r="EQ486" s="646">
        <v>8.5834496789999992</v>
      </c>
      <c r="ER486" s="646">
        <v>0</v>
      </c>
      <c r="ES486" s="646">
        <v>1.7115972239999999</v>
      </c>
      <c r="ET486" s="646">
        <v>6.9105337990000004</v>
      </c>
      <c r="EU486" s="646">
        <v>0.28313978899999998</v>
      </c>
      <c r="EV486" s="646">
        <v>4.1593711999999998E-2</v>
      </c>
      <c r="EW486" s="646">
        <v>9.2326597859999993</v>
      </c>
      <c r="EX486" s="648">
        <v>0.17976196799999999</v>
      </c>
      <c r="EY486" s="646">
        <v>0.88983693799999997</v>
      </c>
      <c r="EZ486" s="646">
        <v>10.487779918999999</v>
      </c>
      <c r="FA486" s="646">
        <v>1.786993472</v>
      </c>
      <c r="FB486" s="646">
        <v>2.835364636</v>
      </c>
      <c r="FC486" s="646">
        <v>11.307409887</v>
      </c>
      <c r="FD486" s="646">
        <v>0.15926829300000001</v>
      </c>
      <c r="FE486" s="646">
        <v>0.99017428399999996</v>
      </c>
      <c r="FF486" s="646">
        <v>0.24131570599999999</v>
      </c>
      <c r="FG486" s="646">
        <v>1.906939663</v>
      </c>
      <c r="FH486" s="646">
        <v>14.506233041</v>
      </c>
      <c r="FI486" s="646">
        <v>14.826843197000001</v>
      </c>
      <c r="FJ486" s="648">
        <v>4.4618163490000002</v>
      </c>
      <c r="FK486" s="646">
        <v>3.2641003359999998</v>
      </c>
      <c r="FL486" s="646">
        <v>14.756713771999999</v>
      </c>
      <c r="FM486" s="646">
        <v>5.2952386860000002</v>
      </c>
      <c r="FN486" s="646">
        <v>0.215504377</v>
      </c>
      <c r="FO486" s="646">
        <v>17.112065734000002</v>
      </c>
      <c r="FP486" s="646">
        <v>1.1870933450000001</v>
      </c>
      <c r="FQ486" s="646">
        <v>3.4089465579999998</v>
      </c>
      <c r="FR486" s="646">
        <v>20.961212682999999</v>
      </c>
      <c r="FS486" s="646">
        <v>4.724719543</v>
      </c>
      <c r="FT486" s="646">
        <v>0.24986181199999999</v>
      </c>
      <c r="FU486" s="646">
        <v>1.932215155</v>
      </c>
      <c r="FV486" s="646">
        <v>20.095000604999999</v>
      </c>
      <c r="FW486" s="646">
        <v>3.1952885609999999</v>
      </c>
      <c r="FX486" s="646">
        <v>0.26611854699999998</v>
      </c>
      <c r="FY486" s="646">
        <v>30.206586822999999</v>
      </c>
      <c r="FZ486" s="646">
        <v>0.631978017</v>
      </c>
      <c r="GA486" s="646">
        <v>23.054675492000001</v>
      </c>
      <c r="GB486" s="646">
        <v>0.99307835899999997</v>
      </c>
      <c r="GC486" s="646">
        <v>3.1800320549999999</v>
      </c>
      <c r="GD486" s="646">
        <v>28.419718255999999</v>
      </c>
      <c r="GE486" s="646">
        <v>6.546666224</v>
      </c>
      <c r="GF486" s="646">
        <v>0.42354444600000002</v>
      </c>
      <c r="GG486" s="646">
        <v>28.989819101999998</v>
      </c>
      <c r="GH486" s="646">
        <v>0.68137969899999995</v>
      </c>
      <c r="GI486" s="646"/>
      <c r="GJ486" s="646"/>
      <c r="GK486" s="646"/>
      <c r="GL486" s="646"/>
      <c r="GM486" s="646"/>
      <c r="GN486" s="646"/>
      <c r="GO486" s="646"/>
      <c r="GP486" s="646"/>
      <c r="GQ486" s="646"/>
      <c r="GR486" s="646"/>
      <c r="GS486" s="646"/>
      <c r="GT486" s="646"/>
      <c r="GU486" s="646"/>
      <c r="GV486" s="646"/>
      <c r="GW486" s="646"/>
      <c r="GX486" s="646"/>
      <c r="GY486" s="646"/>
      <c r="GZ486" s="646"/>
      <c r="HA486" s="646"/>
      <c r="HB486" s="646"/>
      <c r="HC486" s="646"/>
      <c r="HD486" s="646"/>
      <c r="HE486" s="646"/>
      <c r="HF486" s="646"/>
      <c r="HG486" s="646"/>
      <c r="HH486" s="646"/>
      <c r="HI486" s="646"/>
      <c r="HJ486" s="646"/>
      <c r="HK486" s="646"/>
      <c r="HL486" s="646"/>
      <c r="HM486" s="646"/>
      <c r="HN486" s="646"/>
      <c r="HO486" s="646"/>
      <c r="HP486" s="646"/>
      <c r="HQ486" s="646"/>
      <c r="HR486" s="646"/>
      <c r="HS486" s="646"/>
      <c r="HT486" s="646"/>
      <c r="HU486" s="646"/>
      <c r="HV486" s="646"/>
      <c r="HW486" s="646"/>
      <c r="HX486" s="646"/>
      <c r="HY486" s="646"/>
      <c r="HZ486" s="649"/>
      <c r="KT486" s="651"/>
      <c r="KU486" s="649"/>
    </row>
    <row r="487" spans="1:307" s="650" customFormat="1" outlineLevel="1">
      <c r="A487" s="644" t="s">
        <v>878</v>
      </c>
      <c r="B487" s="644" t="s">
        <v>338</v>
      </c>
      <c r="C487" s="644"/>
      <c r="D487" s="1257" t="s">
        <v>532</v>
      </c>
      <c r="E487" s="646"/>
      <c r="F487" s="646"/>
      <c r="G487" s="646"/>
      <c r="H487" s="646"/>
      <c r="I487" s="646"/>
      <c r="J487" s="646"/>
      <c r="K487" s="646"/>
      <c r="L487" s="646"/>
      <c r="M487" s="646"/>
      <c r="N487" s="646"/>
      <c r="O487" s="646"/>
      <c r="P487" s="646"/>
      <c r="Q487" s="646"/>
      <c r="R487" s="646"/>
      <c r="S487" s="646"/>
      <c r="T487" s="646"/>
      <c r="U487" s="646"/>
      <c r="V487" s="646"/>
      <c r="W487" s="646"/>
      <c r="X487" s="646"/>
      <c r="Y487" s="646"/>
      <c r="Z487" s="646"/>
      <c r="AA487" s="646"/>
      <c r="AB487" s="646"/>
      <c r="AC487" s="646"/>
      <c r="AD487" s="646"/>
      <c r="AE487" s="646"/>
      <c r="AF487" s="646"/>
      <c r="AG487" s="646"/>
      <c r="AH487" s="646"/>
      <c r="AI487" s="646"/>
      <c r="AJ487" s="646"/>
      <c r="AK487" s="646"/>
      <c r="AL487" s="646"/>
      <c r="AM487" s="646"/>
      <c r="AN487" s="646"/>
      <c r="AO487" s="646"/>
      <c r="AP487" s="646"/>
      <c r="AQ487" s="646"/>
      <c r="AR487" s="646"/>
      <c r="AS487" s="646"/>
      <c r="AT487" s="646"/>
      <c r="AU487" s="646"/>
      <c r="AV487" s="646"/>
      <c r="AW487" s="646"/>
      <c r="AX487" s="646"/>
      <c r="AY487" s="646"/>
      <c r="AZ487" s="646"/>
      <c r="BA487" s="646"/>
      <c r="BB487" s="646"/>
      <c r="BC487" s="646"/>
      <c r="BD487" s="646"/>
      <c r="BE487" s="646"/>
      <c r="BF487" s="646"/>
      <c r="BG487" s="646">
        <v>6.1982621679200003</v>
      </c>
      <c r="BH487" s="646">
        <v>2.3172893822499998</v>
      </c>
      <c r="BI487" s="646">
        <v>4.55325541764</v>
      </c>
      <c r="BJ487" s="646">
        <v>3.9788268659999999</v>
      </c>
      <c r="BK487" s="646">
        <v>3.3614540133299999</v>
      </c>
      <c r="BL487" s="646">
        <v>4.71526437197</v>
      </c>
      <c r="BM487" s="646">
        <v>8.0694542249999994</v>
      </c>
      <c r="BN487" s="646">
        <v>2.8974127469400002</v>
      </c>
      <c r="BO487" s="646">
        <v>4.5639369896600002</v>
      </c>
      <c r="BP487" s="646">
        <v>5.9901098092899998</v>
      </c>
      <c r="BQ487" s="646">
        <v>2.7216932311999997</v>
      </c>
      <c r="BR487" s="646">
        <v>4.62507574314</v>
      </c>
      <c r="BS487" s="646">
        <v>2.7225717600000001</v>
      </c>
      <c r="BT487" s="646">
        <v>3.496477294</v>
      </c>
      <c r="BU487" s="646">
        <v>1.683756926</v>
      </c>
      <c r="BV487" s="646">
        <v>3.1472072720000002</v>
      </c>
      <c r="BW487" s="646">
        <v>1.8774877750000001</v>
      </c>
      <c r="BX487" s="646">
        <v>1.195469165</v>
      </c>
      <c r="BY487" s="646">
        <v>2.1548902239999999</v>
      </c>
      <c r="BZ487" s="646">
        <v>2.4980055989999999</v>
      </c>
      <c r="CA487" s="646">
        <v>2.801132038</v>
      </c>
      <c r="CB487" s="646">
        <v>3.84197076896</v>
      </c>
      <c r="CC487" s="646">
        <v>0.63717534099999995</v>
      </c>
      <c r="CD487" s="646">
        <v>2.6695091998099998</v>
      </c>
      <c r="CE487" s="646">
        <v>6.6679294430000002</v>
      </c>
      <c r="CF487" s="646">
        <v>12.098923981</v>
      </c>
      <c r="CG487" s="646">
        <v>5.2774683080000004</v>
      </c>
      <c r="CH487" s="646">
        <v>8.405649017</v>
      </c>
      <c r="CI487" s="646">
        <v>5.4065421210000002</v>
      </c>
      <c r="CJ487" s="646">
        <v>3.7144937200000001</v>
      </c>
      <c r="CK487" s="646">
        <v>7.775769103</v>
      </c>
      <c r="CL487" s="646">
        <v>3.7131871599999999</v>
      </c>
      <c r="CM487" s="646">
        <v>2.2626719899999999</v>
      </c>
      <c r="CN487" s="646">
        <v>1.1571859680000001</v>
      </c>
      <c r="CO487" s="646">
        <v>4.4389136469999997</v>
      </c>
      <c r="CP487" s="648">
        <v>2.08324423</v>
      </c>
      <c r="CQ487" s="646">
        <v>4.2403246030000004</v>
      </c>
      <c r="CR487" s="646">
        <v>4.8235567220000002</v>
      </c>
      <c r="CS487" s="646">
        <v>1.732728042</v>
      </c>
      <c r="CT487" s="646">
        <v>2.8115148680000002</v>
      </c>
      <c r="CU487" s="646">
        <v>0.96393463700000004</v>
      </c>
      <c r="CV487" s="646">
        <v>2.8106982120000001</v>
      </c>
      <c r="CW487" s="646">
        <v>1.584600834</v>
      </c>
      <c r="CX487" s="646">
        <v>0.37169211000000002</v>
      </c>
      <c r="CY487" s="646">
        <v>1.6383408479999999</v>
      </c>
      <c r="CZ487" s="646">
        <v>0.61694936</v>
      </c>
      <c r="DA487" s="646">
        <v>1.0896020259999999</v>
      </c>
      <c r="DB487" s="1297">
        <v>1.938049138</v>
      </c>
      <c r="DC487" s="646">
        <v>3.1756839120000002</v>
      </c>
      <c r="DD487" s="646">
        <v>0.99490045999999999</v>
      </c>
      <c r="DE487" s="646">
        <v>2.7725164580000001</v>
      </c>
      <c r="DF487" s="646">
        <v>3.071973549</v>
      </c>
      <c r="DG487" s="646">
        <v>3.2872346019999998</v>
      </c>
      <c r="DH487" s="646">
        <v>6.6100269269999998</v>
      </c>
      <c r="DI487" s="646">
        <v>11.099708001</v>
      </c>
      <c r="DJ487" s="646">
        <v>1.611369772</v>
      </c>
      <c r="DK487" s="646">
        <v>0.85772986500000004</v>
      </c>
      <c r="DL487" s="646">
        <v>3.7949422309999998</v>
      </c>
      <c r="DM487" s="646">
        <v>1.939711542</v>
      </c>
      <c r="DN487" s="648">
        <v>5.0393419870000002</v>
      </c>
      <c r="DO487" s="646">
        <v>0.51889647699999997</v>
      </c>
      <c r="DP487" s="646">
        <v>0.61335068599999998</v>
      </c>
      <c r="DQ487" s="646">
        <v>0.19486178300000001</v>
      </c>
      <c r="DR487" s="646">
        <v>0.35033108699999999</v>
      </c>
      <c r="DS487" s="646">
        <v>5.1482691999999997E-2</v>
      </c>
      <c r="DT487" s="646">
        <v>0.114824037</v>
      </c>
      <c r="DU487" s="646">
        <v>0.65498069299999995</v>
      </c>
      <c r="DV487" s="646">
        <v>0.69825920299999999</v>
      </c>
      <c r="DW487" s="646">
        <v>0.29834999699999998</v>
      </c>
      <c r="DX487" s="646">
        <v>0.17731813199999999</v>
      </c>
      <c r="DY487" s="646">
        <v>0.169011678</v>
      </c>
      <c r="DZ487" s="648">
        <v>1.5226156609999999</v>
      </c>
      <c r="EA487" s="646">
        <v>0.165989532</v>
      </c>
      <c r="EB487" s="646">
        <v>0.31986545</v>
      </c>
      <c r="EC487" s="646">
        <v>0.19138324400000001</v>
      </c>
      <c r="ED487" s="646">
        <v>4.6177976000000003E-2</v>
      </c>
      <c r="EE487" s="646">
        <v>0.240924631</v>
      </c>
      <c r="EF487" s="646">
        <v>2.0009522089999998</v>
      </c>
      <c r="EG487" s="646">
        <v>0.12</v>
      </c>
      <c r="EH487" s="646">
        <v>0.177035577</v>
      </c>
      <c r="EI487" s="646">
        <v>0.38772671199999997</v>
      </c>
      <c r="EJ487" s="646">
        <v>2.5000000000000001E-2</v>
      </c>
      <c r="EK487" s="646">
        <v>0.41566647400000001</v>
      </c>
      <c r="EL487" s="648">
        <v>0.154264336</v>
      </c>
      <c r="EM487" s="646">
        <v>0.44793341199999998</v>
      </c>
      <c r="EN487" s="646">
        <v>0.86507012900000002</v>
      </c>
      <c r="EO487" s="646">
        <v>2.544851016</v>
      </c>
      <c r="EP487" s="646">
        <v>0.72411441700000001</v>
      </c>
      <c r="EQ487" s="646">
        <v>0.27346327599999998</v>
      </c>
      <c r="ER487" s="646">
        <v>1.011371145</v>
      </c>
      <c r="ES487" s="646">
        <v>4.5776601140000004</v>
      </c>
      <c r="ET487" s="646">
        <v>0.40798184999999998</v>
      </c>
      <c r="EU487" s="646">
        <v>0.32322192500000002</v>
      </c>
      <c r="EV487" s="646">
        <v>0.527324927</v>
      </c>
      <c r="EW487" s="646">
        <v>0.29059120799999999</v>
      </c>
      <c r="EX487" s="648">
        <v>1.142747468</v>
      </c>
      <c r="EY487" s="646">
        <v>1.8416246629999999</v>
      </c>
      <c r="EZ487" s="646">
        <v>0.49561306500000002</v>
      </c>
      <c r="FA487" s="646">
        <v>0.90879372599999997</v>
      </c>
      <c r="FB487" s="646">
        <v>0.95036036899999998</v>
      </c>
      <c r="FC487" s="646">
        <v>0.901138408</v>
      </c>
      <c r="FD487" s="646">
        <v>0.77216232699999998</v>
      </c>
      <c r="FE487" s="646">
        <v>2.6948866950000001</v>
      </c>
      <c r="FF487" s="646">
        <v>1.17581296</v>
      </c>
      <c r="FG487" s="646">
        <v>2.1178176E-2</v>
      </c>
      <c r="FH487" s="646">
        <v>2.3307604099999999</v>
      </c>
      <c r="FI487" s="646">
        <v>0.111077497</v>
      </c>
      <c r="FJ487" s="648">
        <v>2.1213536770000001</v>
      </c>
      <c r="FK487" s="646">
        <v>0.39144773199999999</v>
      </c>
      <c r="FL487" s="646">
        <v>1.3826002749999999</v>
      </c>
      <c r="FM487" s="646">
        <v>0.27264172800000003</v>
      </c>
      <c r="FN487" s="646">
        <v>1.0339546660000001</v>
      </c>
      <c r="FO487" s="646">
        <v>0.69265465299999995</v>
      </c>
      <c r="FP487" s="646">
        <v>7.2559501999999998E-2</v>
      </c>
      <c r="FQ487" s="646">
        <v>1.0103349450000001</v>
      </c>
      <c r="FR487" s="646">
        <v>1.1123965680000001</v>
      </c>
      <c r="FS487" s="646">
        <v>0.91120962599999999</v>
      </c>
      <c r="FT487" s="646">
        <v>1.3279819429999999</v>
      </c>
      <c r="FU487" s="646">
        <v>0.684350181</v>
      </c>
      <c r="FV487" s="646">
        <v>3.142473947</v>
      </c>
      <c r="FW487" s="646">
        <v>0.98251094900000002</v>
      </c>
      <c r="FX487" s="646">
        <v>3.7187520279999999</v>
      </c>
      <c r="FY487" s="646">
        <v>3.305942462</v>
      </c>
      <c r="FZ487" s="646">
        <v>0.89891585399999996</v>
      </c>
      <c r="GA487" s="646">
        <v>0.80850952399999998</v>
      </c>
      <c r="GB487" s="646">
        <v>0.87957102899999995</v>
      </c>
      <c r="GC487" s="646">
        <v>0.24068999999999999</v>
      </c>
      <c r="GD487" s="646">
        <v>2.5171355379999998</v>
      </c>
      <c r="GE487" s="646">
        <v>2.5387966949999998</v>
      </c>
      <c r="GF487" s="646">
        <v>3.077552061</v>
      </c>
      <c r="GG487" s="646">
        <v>0.62431673399999998</v>
      </c>
      <c r="GH487" s="646">
        <v>1.470393074</v>
      </c>
      <c r="GI487" s="646"/>
      <c r="GJ487" s="646"/>
      <c r="GK487" s="646"/>
      <c r="GL487" s="646"/>
      <c r="GM487" s="646"/>
      <c r="GN487" s="646"/>
      <c r="GO487" s="646"/>
      <c r="GP487" s="646"/>
      <c r="GQ487" s="646"/>
      <c r="GR487" s="646"/>
      <c r="GS487" s="646"/>
      <c r="GT487" s="646"/>
      <c r="GU487" s="646"/>
      <c r="GV487" s="646"/>
      <c r="GW487" s="646"/>
      <c r="GX487" s="646"/>
      <c r="GY487" s="646"/>
      <c r="GZ487" s="646"/>
      <c r="HA487" s="646"/>
      <c r="HB487" s="646"/>
      <c r="HC487" s="646"/>
      <c r="HD487" s="646"/>
      <c r="HE487" s="646"/>
      <c r="HF487" s="646"/>
      <c r="HG487" s="646"/>
      <c r="HH487" s="646"/>
      <c r="HI487" s="646"/>
      <c r="HJ487" s="646"/>
      <c r="HK487" s="646"/>
      <c r="HL487" s="646"/>
      <c r="HM487" s="646"/>
      <c r="HN487" s="646"/>
      <c r="HO487" s="646"/>
      <c r="HP487" s="646"/>
      <c r="HQ487" s="646"/>
      <c r="HR487" s="646"/>
      <c r="HS487" s="646"/>
      <c r="HT487" s="646"/>
      <c r="HU487" s="646"/>
      <c r="HV487" s="646"/>
      <c r="HW487" s="646"/>
      <c r="HX487" s="646"/>
      <c r="HY487" s="646"/>
      <c r="HZ487" s="649"/>
      <c r="KT487" s="651"/>
      <c r="KU487" s="649"/>
    </row>
    <row r="488" spans="1:307" s="650" customFormat="1" outlineLevel="1">
      <c r="A488" s="644"/>
      <c r="B488" s="644"/>
      <c r="C488" s="644"/>
      <c r="D488" s="2081" t="s">
        <v>3736</v>
      </c>
      <c r="E488" s="646"/>
      <c r="F488" s="646"/>
      <c r="G488" s="646"/>
      <c r="H488" s="646"/>
      <c r="I488" s="646"/>
      <c r="J488" s="646"/>
      <c r="K488" s="646"/>
      <c r="L488" s="646"/>
      <c r="M488" s="646"/>
      <c r="N488" s="646"/>
      <c r="O488" s="646"/>
      <c r="P488" s="646"/>
      <c r="Q488" s="646"/>
      <c r="R488" s="646"/>
      <c r="S488" s="646"/>
      <c r="T488" s="646"/>
      <c r="U488" s="646"/>
      <c r="V488" s="646"/>
      <c r="W488" s="646"/>
      <c r="X488" s="646"/>
      <c r="Y488" s="646"/>
      <c r="Z488" s="646"/>
      <c r="AA488" s="646"/>
      <c r="AB488" s="646"/>
      <c r="AC488" s="646"/>
      <c r="AD488" s="646"/>
      <c r="AE488" s="646"/>
      <c r="AF488" s="646"/>
      <c r="AG488" s="646"/>
      <c r="AH488" s="646"/>
      <c r="AI488" s="646"/>
      <c r="AJ488" s="646"/>
      <c r="AK488" s="646"/>
      <c r="AL488" s="646"/>
      <c r="AM488" s="646"/>
      <c r="AN488" s="646"/>
      <c r="AO488" s="646"/>
      <c r="AP488" s="646"/>
      <c r="AQ488" s="646"/>
      <c r="AR488" s="646"/>
      <c r="AS488" s="646"/>
      <c r="AT488" s="646"/>
      <c r="AU488" s="646"/>
      <c r="AV488" s="646"/>
      <c r="AW488" s="646"/>
      <c r="AX488" s="646"/>
      <c r="AY488" s="646"/>
      <c r="AZ488" s="646"/>
      <c r="BA488" s="646"/>
      <c r="BB488" s="646"/>
      <c r="BC488" s="646"/>
      <c r="BD488" s="646"/>
      <c r="BE488" s="646"/>
      <c r="BF488" s="646"/>
      <c r="BG488" s="646"/>
      <c r="BH488" s="646"/>
      <c r="BI488" s="646"/>
      <c r="BJ488" s="646"/>
      <c r="BK488" s="646"/>
      <c r="BL488" s="646"/>
      <c r="BM488" s="646"/>
      <c r="BN488" s="646"/>
      <c r="BO488" s="646"/>
      <c r="BP488" s="646"/>
      <c r="BQ488" s="646"/>
      <c r="BR488" s="646"/>
      <c r="BS488" s="646"/>
      <c r="BT488" s="646"/>
      <c r="BU488" s="646"/>
      <c r="BV488" s="646"/>
      <c r="BW488" s="646"/>
      <c r="BX488" s="646"/>
      <c r="BY488" s="646"/>
      <c r="BZ488" s="646"/>
      <c r="CA488" s="646"/>
      <c r="CB488" s="646"/>
      <c r="CC488" s="646"/>
      <c r="CD488" s="646"/>
      <c r="CE488" s="646"/>
      <c r="CF488" s="646"/>
      <c r="CG488" s="646"/>
      <c r="CH488" s="646"/>
      <c r="CI488" s="646"/>
      <c r="CJ488" s="646"/>
      <c r="CK488" s="646"/>
      <c r="CL488" s="646"/>
      <c r="CM488" s="646"/>
      <c r="CN488" s="646"/>
      <c r="CO488" s="646"/>
      <c r="CP488" s="648"/>
      <c r="CQ488" s="646"/>
      <c r="CR488" s="646"/>
      <c r="CS488" s="646"/>
      <c r="CT488" s="646"/>
      <c r="CU488" s="646"/>
      <c r="CV488" s="646"/>
      <c r="CW488" s="646"/>
      <c r="CX488" s="646"/>
      <c r="CY488" s="646"/>
      <c r="CZ488" s="646"/>
      <c r="DA488" s="646"/>
      <c r="DB488" s="1297"/>
      <c r="DC488" s="646"/>
      <c r="DD488" s="646"/>
      <c r="DE488" s="646"/>
      <c r="DF488" s="646"/>
      <c r="DG488" s="646"/>
      <c r="DH488" s="646"/>
      <c r="DI488" s="646"/>
      <c r="DJ488" s="646"/>
      <c r="DK488" s="646"/>
      <c r="DL488" s="646"/>
      <c r="DM488" s="646"/>
      <c r="DN488" s="648"/>
      <c r="DO488" s="646"/>
      <c r="DP488" s="646"/>
      <c r="DQ488" s="646"/>
      <c r="DR488" s="646"/>
      <c r="DS488" s="646"/>
      <c r="DT488" s="646"/>
      <c r="DU488" s="646"/>
      <c r="DV488" s="646"/>
      <c r="DW488" s="646"/>
      <c r="DX488" s="646"/>
      <c r="DY488" s="646"/>
      <c r="DZ488" s="648"/>
      <c r="EA488" s="646"/>
      <c r="EB488" s="646"/>
      <c r="EC488" s="646"/>
      <c r="ED488" s="646"/>
      <c r="EE488" s="646"/>
      <c r="EF488" s="646"/>
      <c r="EG488" s="646"/>
      <c r="EH488" s="646"/>
      <c r="EI488" s="646"/>
      <c r="EJ488" s="646"/>
      <c r="EK488" s="646"/>
      <c r="EL488" s="648"/>
      <c r="EM488" s="646"/>
      <c r="EN488" s="646"/>
      <c r="EO488" s="646"/>
      <c r="EP488" s="646"/>
      <c r="EQ488" s="646"/>
      <c r="ER488" s="646"/>
      <c r="ES488" s="646"/>
      <c r="ET488" s="646"/>
      <c r="EU488" s="646"/>
      <c r="EV488" s="646"/>
      <c r="EW488" s="646"/>
      <c r="EX488" s="648"/>
      <c r="EY488" s="646"/>
      <c r="EZ488" s="646"/>
      <c r="FA488" s="646"/>
      <c r="FB488" s="646"/>
      <c r="FC488" s="646"/>
      <c r="FD488" s="646"/>
      <c r="FE488" s="646"/>
      <c r="FF488" s="646"/>
      <c r="FG488" s="646"/>
      <c r="FH488" s="646"/>
      <c r="FI488" s="646"/>
      <c r="FJ488" s="648"/>
      <c r="FK488" s="646"/>
      <c r="FL488" s="646"/>
      <c r="FM488" s="646"/>
      <c r="FN488" s="646"/>
      <c r="FO488" s="646"/>
      <c r="FP488" s="646"/>
      <c r="FQ488" s="646"/>
      <c r="FR488" s="646"/>
      <c r="FS488" s="646"/>
      <c r="FT488" s="646"/>
      <c r="FU488" s="646"/>
      <c r="FV488" s="646"/>
      <c r="FW488" s="646"/>
      <c r="FX488" s="646"/>
      <c r="FY488" s="646"/>
      <c r="FZ488" s="646"/>
      <c r="GA488" s="646"/>
      <c r="GB488" s="646"/>
      <c r="GC488" s="646"/>
      <c r="GD488" s="646"/>
      <c r="GE488" s="646"/>
      <c r="GF488" s="646"/>
      <c r="GG488" s="646"/>
      <c r="GH488" s="646"/>
      <c r="GI488" s="646"/>
      <c r="GJ488" s="646"/>
      <c r="GK488" s="646"/>
      <c r="GL488" s="646"/>
      <c r="GM488" s="646"/>
      <c r="GN488" s="646"/>
      <c r="GO488" s="646"/>
      <c r="GP488" s="646"/>
      <c r="GQ488" s="646"/>
      <c r="GR488" s="646"/>
      <c r="GS488" s="646"/>
      <c r="GT488" s="646"/>
      <c r="GU488" s="646"/>
      <c r="GV488" s="646"/>
      <c r="GW488" s="646"/>
      <c r="GX488" s="646"/>
      <c r="GY488" s="646"/>
      <c r="GZ488" s="646"/>
      <c r="HA488" s="646"/>
      <c r="HB488" s="646"/>
      <c r="HC488" s="646"/>
      <c r="HD488" s="646"/>
      <c r="HE488" s="646"/>
      <c r="HF488" s="646"/>
      <c r="HG488" s="646"/>
      <c r="HH488" s="646"/>
      <c r="HI488" s="646"/>
      <c r="HJ488" s="646"/>
      <c r="HK488" s="646"/>
      <c r="HL488" s="646"/>
      <c r="HM488" s="646"/>
      <c r="HN488" s="646"/>
      <c r="HO488" s="646"/>
      <c r="HP488" s="646"/>
      <c r="HQ488" s="646"/>
      <c r="HR488" s="646"/>
      <c r="HS488" s="646"/>
      <c r="HT488" s="646"/>
      <c r="HU488" s="646"/>
      <c r="HV488" s="646"/>
      <c r="HW488" s="646"/>
      <c r="HX488" s="646"/>
      <c r="HY488" s="646"/>
      <c r="HZ488" s="649"/>
      <c r="KT488" s="651"/>
      <c r="KU488" s="649"/>
    </row>
    <row r="489" spans="1:307" s="650" customFormat="1" outlineLevel="1">
      <c r="A489" s="644"/>
      <c r="B489" s="644"/>
      <c r="C489" s="644"/>
      <c r="D489" s="2081" t="s">
        <v>3568</v>
      </c>
      <c r="E489" s="646"/>
      <c r="F489" s="646"/>
      <c r="G489" s="646"/>
      <c r="H489" s="646"/>
      <c r="I489" s="646"/>
      <c r="J489" s="646"/>
      <c r="K489" s="646"/>
      <c r="L489" s="646"/>
      <c r="M489" s="646"/>
      <c r="N489" s="646"/>
      <c r="O489" s="646"/>
      <c r="P489" s="646"/>
      <c r="Q489" s="646"/>
      <c r="R489" s="646"/>
      <c r="S489" s="646"/>
      <c r="T489" s="646"/>
      <c r="U489" s="646"/>
      <c r="V489" s="646"/>
      <c r="W489" s="646"/>
      <c r="X489" s="646"/>
      <c r="Y489" s="646"/>
      <c r="Z489" s="646"/>
      <c r="AA489" s="646"/>
      <c r="AB489" s="646"/>
      <c r="AC489" s="646"/>
      <c r="AD489" s="646"/>
      <c r="AE489" s="646"/>
      <c r="AF489" s="646"/>
      <c r="AG489" s="646"/>
      <c r="AH489" s="646"/>
      <c r="AI489" s="646"/>
      <c r="AJ489" s="646"/>
      <c r="AK489" s="646"/>
      <c r="AL489" s="646"/>
      <c r="AM489" s="646"/>
      <c r="AN489" s="646"/>
      <c r="AO489" s="646"/>
      <c r="AP489" s="646"/>
      <c r="AQ489" s="646"/>
      <c r="AR489" s="646"/>
      <c r="AS489" s="646"/>
      <c r="AT489" s="646"/>
      <c r="AU489" s="646"/>
      <c r="AV489" s="646"/>
      <c r="AW489" s="646"/>
      <c r="AX489" s="646"/>
      <c r="AY489" s="646"/>
      <c r="AZ489" s="646"/>
      <c r="BA489" s="646"/>
      <c r="BB489" s="646"/>
      <c r="BC489" s="646"/>
      <c r="BD489" s="646"/>
      <c r="BE489" s="646"/>
      <c r="BF489" s="646"/>
      <c r="BG489" s="646"/>
      <c r="BH489" s="646"/>
      <c r="BI489" s="646"/>
      <c r="BJ489" s="646"/>
      <c r="BK489" s="646"/>
      <c r="BL489" s="646"/>
      <c r="BM489" s="646"/>
      <c r="BN489" s="646"/>
      <c r="BO489" s="646"/>
      <c r="BP489" s="646"/>
      <c r="BQ489" s="646"/>
      <c r="BR489" s="646"/>
      <c r="BS489" s="646"/>
      <c r="BT489" s="646"/>
      <c r="BU489" s="646"/>
      <c r="BV489" s="646"/>
      <c r="BW489" s="646"/>
      <c r="BX489" s="646"/>
      <c r="BY489" s="646"/>
      <c r="BZ489" s="646"/>
      <c r="CA489" s="646"/>
      <c r="CB489" s="646"/>
      <c r="CC489" s="646"/>
      <c r="CD489" s="646"/>
      <c r="CE489" s="646"/>
      <c r="CF489" s="646"/>
      <c r="CG489" s="646"/>
      <c r="CH489" s="646"/>
      <c r="CI489" s="646"/>
      <c r="CJ489" s="646"/>
      <c r="CK489" s="646"/>
      <c r="CL489" s="646"/>
      <c r="CM489" s="646"/>
      <c r="CN489" s="646"/>
      <c r="CO489" s="646"/>
      <c r="CP489" s="648"/>
      <c r="CQ489" s="646"/>
      <c r="CR489" s="646"/>
      <c r="CS489" s="646"/>
      <c r="CT489" s="646"/>
      <c r="CU489" s="646"/>
      <c r="CV489" s="646"/>
      <c r="CW489" s="646"/>
      <c r="CX489" s="646"/>
      <c r="CY489" s="646"/>
      <c r="CZ489" s="646"/>
      <c r="DA489" s="646"/>
      <c r="DB489" s="1297"/>
      <c r="DC489" s="646"/>
      <c r="DD489" s="646"/>
      <c r="DE489" s="646"/>
      <c r="DF489" s="646"/>
      <c r="DG489" s="646"/>
      <c r="DH489" s="646"/>
      <c r="DI489" s="646"/>
      <c r="DJ489" s="646"/>
      <c r="DK489" s="646"/>
      <c r="DL489" s="646"/>
      <c r="DM489" s="646"/>
      <c r="DN489" s="648"/>
      <c r="DO489" s="646"/>
      <c r="DP489" s="646"/>
      <c r="DQ489" s="646"/>
      <c r="DR489" s="646"/>
      <c r="DS489" s="646"/>
      <c r="DT489" s="646"/>
      <c r="DU489" s="646"/>
      <c r="DV489" s="646"/>
      <c r="DW489" s="646"/>
      <c r="DX489" s="646"/>
      <c r="DY489" s="646"/>
      <c r="DZ489" s="648"/>
      <c r="EA489" s="646"/>
      <c r="EB489" s="646"/>
      <c r="EC489" s="646"/>
      <c r="ED489" s="646"/>
      <c r="EE489" s="646"/>
      <c r="EF489" s="646"/>
      <c r="EG489" s="646"/>
      <c r="EH489" s="646"/>
      <c r="EI489" s="646"/>
      <c r="EJ489" s="646"/>
      <c r="EK489" s="646"/>
      <c r="EL489" s="648"/>
      <c r="EM489" s="646"/>
      <c r="EN489" s="646"/>
      <c r="EO489" s="646"/>
      <c r="EP489" s="646"/>
      <c r="EQ489" s="646"/>
      <c r="ER489" s="646"/>
      <c r="ES489" s="646"/>
      <c r="ET489" s="646"/>
      <c r="EU489" s="646"/>
      <c r="EV489" s="646"/>
      <c r="EW489" s="646"/>
      <c r="EX489" s="648"/>
      <c r="EY489" s="646"/>
      <c r="EZ489" s="646"/>
      <c r="FA489" s="646"/>
      <c r="FB489" s="646"/>
      <c r="FC489" s="646"/>
      <c r="FD489" s="646"/>
      <c r="FE489" s="646"/>
      <c r="FF489" s="646"/>
      <c r="FG489" s="646"/>
      <c r="FH489" s="646"/>
      <c r="FI489" s="646"/>
      <c r="FJ489" s="648"/>
      <c r="FK489" s="646"/>
      <c r="FL489" s="646"/>
      <c r="FM489" s="646"/>
      <c r="FN489" s="646"/>
      <c r="FO489" s="646"/>
      <c r="FP489" s="646"/>
      <c r="FQ489" s="646"/>
      <c r="FR489" s="646"/>
      <c r="FS489" s="646"/>
      <c r="FT489" s="646"/>
      <c r="FU489" s="646"/>
      <c r="FV489" s="646"/>
      <c r="FW489" s="646"/>
      <c r="FX489" s="646"/>
      <c r="FY489" s="646"/>
      <c r="FZ489" s="646"/>
      <c r="GA489" s="646"/>
      <c r="GB489" s="646"/>
      <c r="GC489" s="646"/>
      <c r="GD489" s="646"/>
      <c r="GE489" s="646"/>
      <c r="GF489" s="646"/>
      <c r="GG489" s="646"/>
      <c r="GH489" s="646"/>
      <c r="GI489" s="646"/>
      <c r="GJ489" s="646"/>
      <c r="GK489" s="646"/>
      <c r="GL489" s="646"/>
      <c r="GM489" s="646"/>
      <c r="GN489" s="646"/>
      <c r="GO489" s="646"/>
      <c r="GP489" s="646"/>
      <c r="GQ489" s="646"/>
      <c r="GR489" s="646"/>
      <c r="GS489" s="646"/>
      <c r="GT489" s="646"/>
      <c r="GU489" s="646"/>
      <c r="GV489" s="646"/>
      <c r="GW489" s="646"/>
      <c r="GX489" s="646"/>
      <c r="GY489" s="646"/>
      <c r="GZ489" s="646"/>
      <c r="HA489" s="646"/>
      <c r="HB489" s="646"/>
      <c r="HC489" s="646"/>
      <c r="HD489" s="646"/>
      <c r="HE489" s="646"/>
      <c r="HF489" s="646"/>
      <c r="HG489" s="646"/>
      <c r="HH489" s="646"/>
      <c r="HI489" s="646"/>
      <c r="HJ489" s="646"/>
      <c r="HK489" s="646"/>
      <c r="HL489" s="646"/>
      <c r="HM489" s="646"/>
      <c r="HN489" s="646"/>
      <c r="HO489" s="646"/>
      <c r="HP489" s="646"/>
      <c r="HQ489" s="646"/>
      <c r="HR489" s="646"/>
      <c r="HS489" s="646"/>
      <c r="HT489" s="646"/>
      <c r="HU489" s="646"/>
      <c r="HV489" s="646"/>
      <c r="HW489" s="646"/>
      <c r="HX489" s="646"/>
      <c r="HY489" s="646"/>
      <c r="HZ489" s="649"/>
      <c r="KT489" s="651"/>
      <c r="KU489" s="649"/>
    </row>
    <row r="490" spans="1:307" s="650" customFormat="1" outlineLevel="1">
      <c r="A490" s="644" t="s">
        <v>878</v>
      </c>
      <c r="B490" s="644" t="s">
        <v>338</v>
      </c>
      <c r="C490" s="644"/>
      <c r="D490" s="1257" t="s">
        <v>504</v>
      </c>
      <c r="E490" s="646"/>
      <c r="F490" s="646"/>
      <c r="G490" s="646"/>
      <c r="H490" s="646"/>
      <c r="I490" s="646"/>
      <c r="J490" s="646"/>
      <c r="K490" s="646"/>
      <c r="L490" s="646"/>
      <c r="M490" s="646"/>
      <c r="N490" s="646"/>
      <c r="O490" s="646"/>
      <c r="P490" s="646"/>
      <c r="Q490" s="646"/>
      <c r="R490" s="646"/>
      <c r="S490" s="646"/>
      <c r="T490" s="646"/>
      <c r="U490" s="646"/>
      <c r="V490" s="646"/>
      <c r="W490" s="646"/>
      <c r="X490" s="646"/>
      <c r="Y490" s="646"/>
      <c r="Z490" s="646"/>
      <c r="AA490" s="646"/>
      <c r="AB490" s="646"/>
      <c r="AC490" s="646"/>
      <c r="AD490" s="646"/>
      <c r="AE490" s="646"/>
      <c r="AF490" s="646"/>
      <c r="AG490" s="646"/>
      <c r="AH490" s="646"/>
      <c r="AI490" s="646"/>
      <c r="AJ490" s="646"/>
      <c r="AK490" s="646"/>
      <c r="AL490" s="646"/>
      <c r="AM490" s="646"/>
      <c r="AN490" s="646"/>
      <c r="AO490" s="646"/>
      <c r="AP490" s="646"/>
      <c r="AQ490" s="646"/>
      <c r="AR490" s="646"/>
      <c r="AS490" s="646"/>
      <c r="AT490" s="646"/>
      <c r="AU490" s="646"/>
      <c r="AV490" s="646"/>
      <c r="AW490" s="646"/>
      <c r="AX490" s="646"/>
      <c r="AY490" s="646"/>
      <c r="AZ490" s="646"/>
      <c r="BA490" s="646"/>
      <c r="BB490" s="646"/>
      <c r="BC490" s="646"/>
      <c r="BD490" s="646"/>
      <c r="BE490" s="646"/>
      <c r="BF490" s="646"/>
      <c r="BG490" s="646">
        <v>3.1646682589999999</v>
      </c>
      <c r="BH490" s="646">
        <v>1.3566893929999999</v>
      </c>
      <c r="BI490" s="646">
        <v>2.0636460130000001</v>
      </c>
      <c r="BJ490" s="646">
        <v>2.3895531349999999</v>
      </c>
      <c r="BK490" s="646">
        <v>3.0317940349999999</v>
      </c>
      <c r="BL490" s="646">
        <v>2.4434910809999999</v>
      </c>
      <c r="BM490" s="646">
        <v>1.3939219519999999</v>
      </c>
      <c r="BN490" s="646">
        <v>4.0298943740000004</v>
      </c>
      <c r="BO490" s="646">
        <v>2.5753890340000001</v>
      </c>
      <c r="BP490" s="646">
        <v>2.8863408150000001</v>
      </c>
      <c r="BQ490" s="646">
        <v>2.6532086229999998</v>
      </c>
      <c r="BR490" s="646">
        <v>1.3546310859999999</v>
      </c>
      <c r="BS490" s="646">
        <v>2.6831947860000001</v>
      </c>
      <c r="BT490" s="646">
        <v>3.7394094349999998</v>
      </c>
      <c r="BU490" s="646">
        <v>3.4956713399999999</v>
      </c>
      <c r="BV490" s="646">
        <v>3.359413081</v>
      </c>
      <c r="BW490" s="646">
        <v>3.8054348729999998</v>
      </c>
      <c r="BX490" s="646">
        <v>4.7830929710000003</v>
      </c>
      <c r="BY490" s="646">
        <v>3.9654185709999998</v>
      </c>
      <c r="BZ490" s="646">
        <v>2.494919576</v>
      </c>
      <c r="CA490" s="646">
        <v>3.4454467019999999</v>
      </c>
      <c r="CB490" s="646">
        <v>4.9126383039999997</v>
      </c>
      <c r="CC490" s="646">
        <v>7.5040574529999997</v>
      </c>
      <c r="CD490" s="646">
        <v>4.2479624960000004</v>
      </c>
      <c r="CE490" s="646">
        <v>31.008725541</v>
      </c>
      <c r="CF490" s="646">
        <v>30.273590683999998</v>
      </c>
      <c r="CG490" s="646">
        <v>10.388528758</v>
      </c>
      <c r="CH490" s="646">
        <v>45.974676111000001</v>
      </c>
      <c r="CI490" s="646">
        <v>19.159041667</v>
      </c>
      <c r="CJ490" s="646">
        <v>11.326817985</v>
      </c>
      <c r="CK490" s="646">
        <v>22.656131712000001</v>
      </c>
      <c r="CL490" s="646">
        <v>22.451381885</v>
      </c>
      <c r="CM490" s="646">
        <v>24.544405571999999</v>
      </c>
      <c r="CN490" s="646">
        <v>24.582048647000001</v>
      </c>
      <c r="CO490" s="646">
        <v>33.096296940999999</v>
      </c>
      <c r="CP490" s="648">
        <v>10.013272434999999</v>
      </c>
      <c r="CQ490" s="646">
        <v>3.2737760790000001</v>
      </c>
      <c r="CR490" s="646">
        <v>2.1063853410000002</v>
      </c>
      <c r="CS490" s="646">
        <v>9.8478279999999994E-3</v>
      </c>
      <c r="CT490" s="646">
        <v>5.5514005759999998</v>
      </c>
      <c r="CU490" s="646">
        <v>3.368202615</v>
      </c>
      <c r="CV490" s="646">
        <v>2.5698883029999999</v>
      </c>
      <c r="CW490" s="646">
        <v>3.6677484379999998</v>
      </c>
      <c r="CX490" s="646">
        <v>2.7081737029999999</v>
      </c>
      <c r="CY490" s="646">
        <v>5.3794600839999998</v>
      </c>
      <c r="CZ490" s="646">
        <v>2.4799077779999998</v>
      </c>
      <c r="DA490" s="646">
        <v>2.0898549869999998</v>
      </c>
      <c r="DB490" s="1297">
        <v>2.5039361520000001</v>
      </c>
      <c r="DC490" s="646">
        <v>0.10249999999999999</v>
      </c>
      <c r="DD490" s="646">
        <v>0</v>
      </c>
      <c r="DE490" s="646">
        <v>0.33151885399999997</v>
      </c>
      <c r="DF490" s="646">
        <v>1.375E-2</v>
      </c>
      <c r="DG490" s="646">
        <v>0.14828867200000001</v>
      </c>
      <c r="DH490" s="646">
        <v>1.4992111939999999</v>
      </c>
      <c r="DI490" s="646">
        <v>1.7026857520000001</v>
      </c>
      <c r="DJ490" s="646">
        <v>1.370977986</v>
      </c>
      <c r="DK490" s="646">
        <v>1.2500000000000001E-2</v>
      </c>
      <c r="DL490" s="646">
        <v>0.21033405999999999</v>
      </c>
      <c r="DM490" s="646">
        <v>6.3427700000000004E-2</v>
      </c>
      <c r="DN490" s="648">
        <v>0.324530068</v>
      </c>
      <c r="DO490" s="646">
        <v>0.36628772599999998</v>
      </c>
      <c r="DP490" s="646">
        <v>0.50115074599999998</v>
      </c>
      <c r="DQ490" s="646">
        <v>0</v>
      </c>
      <c r="DR490" s="646">
        <v>0.45309356899999997</v>
      </c>
      <c r="DS490" s="646">
        <v>0.48926210599999997</v>
      </c>
      <c r="DT490" s="646">
        <v>1.272384746</v>
      </c>
      <c r="DU490" s="646">
        <v>0.1002</v>
      </c>
      <c r="DV490" s="646">
        <v>0.17677923100000001</v>
      </c>
      <c r="DW490" s="646">
        <v>0.145394988</v>
      </c>
      <c r="DX490" s="646">
        <v>1.4653583109999999</v>
      </c>
      <c r="DY490" s="646">
        <v>0.139283134</v>
      </c>
      <c r="DZ490" s="648">
        <v>7.5544352999999995E-2</v>
      </c>
      <c r="EA490" s="646">
        <v>0.58303547200000005</v>
      </c>
      <c r="EB490" s="646">
        <v>0.44929999999999998</v>
      </c>
      <c r="EC490" s="646">
        <v>1.117690525</v>
      </c>
      <c r="ED490" s="646">
        <v>1.051054776</v>
      </c>
      <c r="EE490" s="646">
        <v>0.14128006200000001</v>
      </c>
      <c r="EF490" s="646">
        <v>7.4303200939999998</v>
      </c>
      <c r="EG490" s="646">
        <v>0.73992173800000005</v>
      </c>
      <c r="EH490" s="646">
        <v>1.7762697780000001</v>
      </c>
      <c r="EI490" s="646">
        <v>6.5622729890000002</v>
      </c>
      <c r="EJ490" s="646">
        <v>1.0418898299999999</v>
      </c>
      <c r="EK490" s="646">
        <v>0.17832784400000001</v>
      </c>
      <c r="EL490" s="648">
        <v>1.432735348</v>
      </c>
      <c r="EM490" s="646">
        <v>1.7329764409999999</v>
      </c>
      <c r="EN490" s="646">
        <v>0.68302094499999999</v>
      </c>
      <c r="EO490" s="646">
        <v>1.5416784100000001</v>
      </c>
      <c r="EP490" s="646">
        <v>1.3910209499999999</v>
      </c>
      <c r="EQ490" s="646">
        <v>0.64931336799999995</v>
      </c>
      <c r="ER490" s="646">
        <v>3.8323235219999998</v>
      </c>
      <c r="ES490" s="646">
        <v>2.4469729550000001</v>
      </c>
      <c r="ET490" s="646">
        <v>3.2471084010000002</v>
      </c>
      <c r="EU490" s="646">
        <v>1.68825219</v>
      </c>
      <c r="EV490" s="646">
        <v>1.433911267</v>
      </c>
      <c r="EW490" s="646">
        <v>2.4417357430000002</v>
      </c>
      <c r="EX490" s="648">
        <v>1.2854957970000001</v>
      </c>
      <c r="EY490" s="646">
        <v>2.6580538499999999</v>
      </c>
      <c r="EZ490" s="646">
        <v>0.45479207399999999</v>
      </c>
      <c r="FA490" s="646">
        <v>3.4824536589999999</v>
      </c>
      <c r="FB490" s="646">
        <v>5.6208463699999998</v>
      </c>
      <c r="FC490" s="646">
        <v>2.257191293</v>
      </c>
      <c r="FD490" s="646">
        <v>4.1512521629999997</v>
      </c>
      <c r="FE490" s="646">
        <v>3.9496199590000001</v>
      </c>
      <c r="FF490" s="646">
        <v>1.7501725130000001</v>
      </c>
      <c r="FG490" s="646">
        <v>1.8623476450000001</v>
      </c>
      <c r="FH490" s="646">
        <v>3.9241229049999999</v>
      </c>
      <c r="FI490" s="646">
        <v>1.194909478</v>
      </c>
      <c r="FJ490" s="648">
        <v>7.8571947809999996</v>
      </c>
      <c r="FK490" s="646">
        <v>1.338012945</v>
      </c>
      <c r="FL490" s="646">
        <v>3.9417069950000001</v>
      </c>
      <c r="FM490" s="646">
        <v>3.5286607550000002</v>
      </c>
      <c r="FN490" s="646">
        <v>3.0823356660000001</v>
      </c>
      <c r="FO490" s="646">
        <v>0.87254746500000002</v>
      </c>
      <c r="FP490" s="646">
        <v>2.3428555219999998</v>
      </c>
      <c r="FQ490" s="646">
        <v>2.6917550979999998</v>
      </c>
      <c r="FR490" s="646">
        <v>3.0630478929999998</v>
      </c>
      <c r="FS490" s="646">
        <v>3.147909812</v>
      </c>
      <c r="FT490" s="646">
        <v>1.7708496570000001</v>
      </c>
      <c r="FU490" s="646">
        <v>7.9080206200000003</v>
      </c>
      <c r="FV490" s="646">
        <v>8.3932184210000003</v>
      </c>
      <c r="FW490" s="646">
        <v>1.780001256</v>
      </c>
      <c r="FX490" s="646">
        <v>2.6123140309999999</v>
      </c>
      <c r="FY490" s="646">
        <v>1.2681587969999999</v>
      </c>
      <c r="FZ490" s="646">
        <v>10.771795549</v>
      </c>
      <c r="GA490" s="646">
        <v>4.0033937069999999</v>
      </c>
      <c r="GB490" s="646">
        <v>3.8106890729999998</v>
      </c>
      <c r="GC490" s="646">
        <v>2.194997082</v>
      </c>
      <c r="GD490" s="646">
        <v>2.5186666820000001</v>
      </c>
      <c r="GE490" s="646">
        <v>4.8433499739999997</v>
      </c>
      <c r="GF490" s="646">
        <v>3.0094967869999998</v>
      </c>
      <c r="GG490" s="646">
        <v>2.9871485629999999</v>
      </c>
      <c r="GH490" s="646">
        <v>4.9747553709999996</v>
      </c>
      <c r="GI490" s="646"/>
      <c r="GJ490" s="646"/>
      <c r="GK490" s="646"/>
      <c r="GL490" s="646"/>
      <c r="GM490" s="646"/>
      <c r="GN490" s="646"/>
      <c r="GO490" s="646"/>
      <c r="GP490" s="646"/>
      <c r="GQ490" s="646"/>
      <c r="GR490" s="646"/>
      <c r="GS490" s="646"/>
      <c r="GT490" s="646"/>
      <c r="GU490" s="646"/>
      <c r="GV490" s="646"/>
      <c r="GW490" s="646"/>
      <c r="GX490" s="646"/>
      <c r="GY490" s="646"/>
      <c r="GZ490" s="646"/>
      <c r="HA490" s="646"/>
      <c r="HB490" s="646"/>
      <c r="HC490" s="646"/>
      <c r="HD490" s="646"/>
      <c r="HE490" s="646"/>
      <c r="HF490" s="646"/>
      <c r="HG490" s="646"/>
      <c r="HH490" s="646"/>
      <c r="HI490" s="646"/>
      <c r="HJ490" s="646"/>
      <c r="HK490" s="646"/>
      <c r="HL490" s="646"/>
      <c r="HM490" s="646"/>
      <c r="HN490" s="646"/>
      <c r="HO490" s="646"/>
      <c r="HP490" s="646"/>
      <c r="HQ490" s="646"/>
      <c r="HR490" s="646"/>
      <c r="HS490" s="646"/>
      <c r="HT490" s="646"/>
      <c r="HU490" s="646"/>
      <c r="HV490" s="646"/>
      <c r="HW490" s="646"/>
      <c r="HX490" s="646"/>
      <c r="HY490" s="646"/>
      <c r="HZ490" s="649"/>
      <c r="KT490" s="651"/>
      <c r="KU490" s="649"/>
    </row>
    <row r="491" spans="1:307" s="650" customFormat="1" outlineLevel="1">
      <c r="A491" s="644" t="s">
        <v>878</v>
      </c>
      <c r="B491" s="644" t="s">
        <v>338</v>
      </c>
      <c r="C491" s="644"/>
      <c r="D491" s="1257" t="s">
        <v>533</v>
      </c>
      <c r="E491" s="646"/>
      <c r="F491" s="646"/>
      <c r="G491" s="646"/>
      <c r="H491" s="646"/>
      <c r="I491" s="646"/>
      <c r="J491" s="646"/>
      <c r="K491" s="646"/>
      <c r="L491" s="646"/>
      <c r="M491" s="646"/>
      <c r="N491" s="646"/>
      <c r="O491" s="646"/>
      <c r="P491" s="646"/>
      <c r="Q491" s="646"/>
      <c r="R491" s="646"/>
      <c r="S491" s="646"/>
      <c r="T491" s="646"/>
      <c r="U491" s="646"/>
      <c r="V491" s="646"/>
      <c r="W491" s="646"/>
      <c r="X491" s="646"/>
      <c r="Y491" s="646"/>
      <c r="Z491" s="646"/>
      <c r="AA491" s="646"/>
      <c r="AB491" s="646"/>
      <c r="AC491" s="646"/>
      <c r="AD491" s="646"/>
      <c r="AE491" s="646"/>
      <c r="AF491" s="646"/>
      <c r="AG491" s="646"/>
      <c r="AH491" s="646"/>
      <c r="AI491" s="646"/>
      <c r="AJ491" s="646"/>
      <c r="AK491" s="646"/>
      <c r="AL491" s="646"/>
      <c r="AM491" s="646"/>
      <c r="AN491" s="646"/>
      <c r="AO491" s="646"/>
      <c r="AP491" s="646"/>
      <c r="AQ491" s="646"/>
      <c r="AR491" s="646"/>
      <c r="AS491" s="646"/>
      <c r="AT491" s="646"/>
      <c r="AU491" s="646"/>
      <c r="AV491" s="646"/>
      <c r="AW491" s="646"/>
      <c r="AX491" s="646"/>
      <c r="AY491" s="646"/>
      <c r="AZ491" s="646"/>
      <c r="BA491" s="646"/>
      <c r="BB491" s="646"/>
      <c r="BC491" s="646"/>
      <c r="BD491" s="646"/>
      <c r="BE491" s="646"/>
      <c r="BF491" s="646"/>
      <c r="BG491" s="646">
        <v>0.72092558612000002</v>
      </c>
      <c r="BH491" s="646">
        <v>1.1557089222000001</v>
      </c>
      <c r="BI491" s="646">
        <v>3.7613172000000001</v>
      </c>
      <c r="BJ491" s="646">
        <v>2.253621114</v>
      </c>
      <c r="BK491" s="646">
        <v>3.4752615040000001</v>
      </c>
      <c r="BL491" s="646">
        <v>4.3458839969999996</v>
      </c>
      <c r="BM491" s="646">
        <v>2.6554208510000001</v>
      </c>
      <c r="BN491" s="646">
        <v>3.5675928649999999</v>
      </c>
      <c r="BO491" s="646">
        <v>1.6689395950000001</v>
      </c>
      <c r="BP491" s="646">
        <v>3.7599610939999999</v>
      </c>
      <c r="BQ491" s="646">
        <v>3.1416852239499997</v>
      </c>
      <c r="BR491" s="646">
        <v>0.78832839974000002</v>
      </c>
      <c r="BS491" s="646">
        <v>1.149059217</v>
      </c>
      <c r="BT491" s="646">
        <v>3.710186427</v>
      </c>
      <c r="BU491" s="646">
        <v>1.9730006680000001</v>
      </c>
      <c r="BV491" s="646">
        <v>1.7153026920000001</v>
      </c>
      <c r="BW491" s="646">
        <v>3.6668107210000001</v>
      </c>
      <c r="BX491" s="646">
        <v>1.4669279289999999</v>
      </c>
      <c r="BY491" s="646">
        <v>3.8628478300000002</v>
      </c>
      <c r="BZ491" s="646">
        <v>2.8251077429999998</v>
      </c>
      <c r="CA491" s="646">
        <v>2.251913499</v>
      </c>
      <c r="CB491" s="646">
        <v>3.109607343</v>
      </c>
      <c r="CC491" s="646">
        <v>3.1506330949999999</v>
      </c>
      <c r="CD491" s="646">
        <v>2.499109228</v>
      </c>
      <c r="CE491" s="646">
        <v>1.694336734</v>
      </c>
      <c r="CF491" s="646">
        <v>0.34213592300000001</v>
      </c>
      <c r="CG491" s="646">
        <v>2.0015177820000001</v>
      </c>
      <c r="CH491" s="646">
        <v>2.643980714</v>
      </c>
      <c r="CI491" s="646">
        <v>1.9010356150000001</v>
      </c>
      <c r="CJ491" s="646">
        <v>0.37540928699999998</v>
      </c>
      <c r="CK491" s="646">
        <v>1.9275458009999999</v>
      </c>
      <c r="CL491" s="646">
        <v>2.3708177899999998</v>
      </c>
      <c r="CM491" s="646">
        <v>1.4137448189999999</v>
      </c>
      <c r="CN491" s="646">
        <v>4.0224860720000004</v>
      </c>
      <c r="CO491" s="646">
        <v>3.435584135</v>
      </c>
      <c r="CP491" s="648">
        <v>0.75093030500000002</v>
      </c>
      <c r="CQ491" s="646">
        <v>0.50108198000000004</v>
      </c>
      <c r="CR491" s="646">
        <v>0.70579498600000001</v>
      </c>
      <c r="CS491" s="646">
        <v>2.627728168</v>
      </c>
      <c r="CT491" s="646">
        <v>1.149640464</v>
      </c>
      <c r="CU491" s="646">
        <v>0.69042511900000003</v>
      </c>
      <c r="CV491" s="646">
        <v>1.893058057</v>
      </c>
      <c r="CW491" s="646">
        <v>1.0723429840000001</v>
      </c>
      <c r="CX491" s="646">
        <v>0.74411250299999998</v>
      </c>
      <c r="CY491" s="646">
        <v>3.7730261289999998</v>
      </c>
      <c r="CZ491" s="646">
        <v>6.5021727220000001</v>
      </c>
      <c r="DA491" s="646">
        <v>2.1174950319999999</v>
      </c>
      <c r="DB491" s="1297">
        <v>2.565135953</v>
      </c>
      <c r="DC491" s="646">
        <v>0.37143426499999999</v>
      </c>
      <c r="DD491" s="646">
        <v>1.600259259</v>
      </c>
      <c r="DE491" s="646">
        <v>1.436558215</v>
      </c>
      <c r="DF491" s="646">
        <v>1.9210594670000001</v>
      </c>
      <c r="DG491" s="646">
        <v>1.0480488889999999</v>
      </c>
      <c r="DH491" s="646">
        <v>3.1597996909999999</v>
      </c>
      <c r="DI491" s="646">
        <v>1.1024899800000001</v>
      </c>
      <c r="DJ491" s="646">
        <v>1.678943812</v>
      </c>
      <c r="DK491" s="646">
        <v>2.9707525380000002</v>
      </c>
      <c r="DL491" s="646">
        <v>3.008948212</v>
      </c>
      <c r="DM491" s="646">
        <v>4.4700092710000003</v>
      </c>
      <c r="DN491" s="648">
        <v>1.838838164</v>
      </c>
      <c r="DO491" s="646">
        <v>0.87087565600000005</v>
      </c>
      <c r="DP491" s="646">
        <v>0.66531726000000002</v>
      </c>
      <c r="DQ491" s="646">
        <v>0.54345032999999998</v>
      </c>
      <c r="DR491" s="646">
        <v>1.2810399640000001</v>
      </c>
      <c r="DS491" s="646">
        <v>1.2076118220000001</v>
      </c>
      <c r="DT491" s="646">
        <v>4.1225960490000002</v>
      </c>
      <c r="DU491" s="646">
        <v>0.84651094800000004</v>
      </c>
      <c r="DV491" s="646">
        <v>1.89094009</v>
      </c>
      <c r="DW491" s="646">
        <v>1.0876682769999999</v>
      </c>
      <c r="DX491" s="646">
        <v>3.7440458140000001</v>
      </c>
      <c r="DY491" s="646">
        <v>1.713749974</v>
      </c>
      <c r="DZ491" s="648">
        <v>5.6512367709999998</v>
      </c>
      <c r="EA491" s="646">
        <v>0.85050358599999998</v>
      </c>
      <c r="EB491" s="646">
        <v>0.63764182300000005</v>
      </c>
      <c r="EC491" s="646">
        <v>0.53647527699999997</v>
      </c>
      <c r="ED491" s="646">
        <v>1.79366256</v>
      </c>
      <c r="EE491" s="646">
        <v>0.81351116199999995</v>
      </c>
      <c r="EF491" s="646">
        <v>2.2337285859999998</v>
      </c>
      <c r="EG491" s="646">
        <v>2.8243930490000002</v>
      </c>
      <c r="EH491" s="646">
        <v>1.2821542500000001</v>
      </c>
      <c r="EI491" s="646">
        <v>2.4796532349999998</v>
      </c>
      <c r="EJ491" s="646">
        <v>3.2190159610000002</v>
      </c>
      <c r="EK491" s="646">
        <v>4.925123363</v>
      </c>
      <c r="EL491" s="648">
        <v>2.0753277240000001</v>
      </c>
      <c r="EM491" s="646">
        <v>2.345374633</v>
      </c>
      <c r="EN491" s="646">
        <v>0.98179181299999996</v>
      </c>
      <c r="EO491" s="646">
        <v>1.5982857269999999</v>
      </c>
      <c r="EP491" s="646">
        <v>1.2728774199999999</v>
      </c>
      <c r="EQ491" s="646">
        <v>0.97708624600000005</v>
      </c>
      <c r="ER491" s="646">
        <v>1.7401375649999999</v>
      </c>
      <c r="ES491" s="646">
        <v>4.7282624929999999</v>
      </c>
      <c r="ET491" s="646">
        <v>1.709512978</v>
      </c>
      <c r="EU491" s="646">
        <v>3.3584305620000001</v>
      </c>
      <c r="EV491" s="646">
        <v>2.4272571979999999</v>
      </c>
      <c r="EW491" s="646">
        <v>0.84860154499999996</v>
      </c>
      <c r="EX491" s="648">
        <v>4.4730507380000004</v>
      </c>
      <c r="EY491" s="646">
        <v>2.6154207399999998</v>
      </c>
      <c r="EZ491" s="646">
        <v>1.727881193</v>
      </c>
      <c r="FA491" s="646">
        <v>1.630442041</v>
      </c>
      <c r="FB491" s="646">
        <v>2.286890036</v>
      </c>
      <c r="FC491" s="646">
        <v>4.1411718070000001</v>
      </c>
      <c r="FD491" s="646">
        <v>2.7893007660000002</v>
      </c>
      <c r="FE491" s="646">
        <v>2.4074809830000001</v>
      </c>
      <c r="FF491" s="646">
        <v>1.4637679349999999</v>
      </c>
      <c r="FG491" s="646">
        <v>3.715644003</v>
      </c>
      <c r="FH491" s="646">
        <v>0.80581367100000001</v>
      </c>
      <c r="FI491" s="646">
        <v>2.2990952550000001</v>
      </c>
      <c r="FJ491" s="648">
        <v>1.7970573430000001</v>
      </c>
      <c r="FK491" s="646">
        <v>2.3341029029999998</v>
      </c>
      <c r="FL491" s="646">
        <v>2.187241524</v>
      </c>
      <c r="FM491" s="646">
        <v>1.8688188160000001</v>
      </c>
      <c r="FN491" s="646">
        <v>6.5542663169999997</v>
      </c>
      <c r="FO491" s="646">
        <v>1.1561294639999999</v>
      </c>
      <c r="FP491" s="646">
        <v>3.0157475480000002</v>
      </c>
      <c r="FQ491" s="646">
        <v>2.6207938190000002</v>
      </c>
      <c r="FR491" s="646">
        <v>1.26348327</v>
      </c>
      <c r="FS491" s="646">
        <v>2.9192468520000001</v>
      </c>
      <c r="FT491" s="646">
        <v>3.6616974990000002</v>
      </c>
      <c r="FU491" s="646">
        <v>4.5999152849999998</v>
      </c>
      <c r="FV491" s="646">
        <v>5.8436004739999996</v>
      </c>
      <c r="FW491" s="646">
        <v>1.744094158</v>
      </c>
      <c r="FX491" s="646">
        <v>1.617404702</v>
      </c>
      <c r="FY491" s="646">
        <v>3.5822497910000002</v>
      </c>
      <c r="FZ491" s="646">
        <v>6.7828623139999999</v>
      </c>
      <c r="GA491" s="646">
        <v>5.6447457170000002</v>
      </c>
      <c r="GB491" s="646">
        <v>0.28065633600000001</v>
      </c>
      <c r="GC491" s="646">
        <v>1.2545506879999999</v>
      </c>
      <c r="GD491" s="646">
        <v>0.94783183699999995</v>
      </c>
      <c r="GE491" s="646">
        <v>2.1551079569999998</v>
      </c>
      <c r="GF491" s="646">
        <v>4.6651712910000001</v>
      </c>
      <c r="GG491" s="646">
        <v>0.25423407999999997</v>
      </c>
      <c r="GH491" s="646">
        <v>3.4388899409999998</v>
      </c>
      <c r="GI491" s="646"/>
      <c r="GJ491" s="646"/>
      <c r="GK491" s="646"/>
      <c r="GL491" s="646"/>
      <c r="GM491" s="646"/>
      <c r="GN491" s="646"/>
      <c r="GO491" s="646"/>
      <c r="GP491" s="646"/>
      <c r="GQ491" s="646"/>
      <c r="GR491" s="646"/>
      <c r="GS491" s="646"/>
      <c r="GT491" s="646"/>
      <c r="GU491" s="646"/>
      <c r="GV491" s="646"/>
      <c r="GW491" s="646"/>
      <c r="GX491" s="646"/>
      <c r="GY491" s="646"/>
      <c r="GZ491" s="646"/>
      <c r="HA491" s="646"/>
      <c r="HB491" s="646"/>
      <c r="HC491" s="646"/>
      <c r="HD491" s="646"/>
      <c r="HE491" s="646"/>
      <c r="HF491" s="646"/>
      <c r="HG491" s="646"/>
      <c r="HH491" s="646"/>
      <c r="HI491" s="646"/>
      <c r="HJ491" s="646"/>
      <c r="HK491" s="646"/>
      <c r="HL491" s="646"/>
      <c r="HM491" s="646"/>
      <c r="HN491" s="646"/>
      <c r="HO491" s="646"/>
      <c r="HP491" s="646"/>
      <c r="HQ491" s="646"/>
      <c r="HR491" s="646"/>
      <c r="HS491" s="646"/>
      <c r="HT491" s="646"/>
      <c r="HU491" s="646"/>
      <c r="HV491" s="646"/>
      <c r="HW491" s="646"/>
      <c r="HX491" s="646"/>
      <c r="HY491" s="646"/>
      <c r="HZ491" s="649"/>
      <c r="KT491" s="651"/>
      <c r="KU491" s="649"/>
    </row>
    <row r="492" spans="1:307" s="650" customFormat="1" outlineLevel="1">
      <c r="A492" s="644" t="s">
        <v>878</v>
      </c>
      <c r="B492" s="644" t="s">
        <v>338</v>
      </c>
      <c r="C492" s="644"/>
      <c r="D492" s="1257" t="s">
        <v>534</v>
      </c>
      <c r="E492" s="646"/>
      <c r="F492" s="646"/>
      <c r="G492" s="646"/>
      <c r="H492" s="646"/>
      <c r="I492" s="646"/>
      <c r="J492" s="646"/>
      <c r="K492" s="646"/>
      <c r="L492" s="646"/>
      <c r="M492" s="646"/>
      <c r="N492" s="646"/>
      <c r="O492" s="646"/>
      <c r="P492" s="646"/>
      <c r="Q492" s="646"/>
      <c r="R492" s="646"/>
      <c r="S492" s="646"/>
      <c r="T492" s="646"/>
      <c r="U492" s="646"/>
      <c r="V492" s="646"/>
      <c r="W492" s="646"/>
      <c r="X492" s="646"/>
      <c r="Y492" s="646"/>
      <c r="Z492" s="646"/>
      <c r="AA492" s="646"/>
      <c r="AB492" s="646"/>
      <c r="AC492" s="646"/>
      <c r="AD492" s="646"/>
      <c r="AE492" s="646"/>
      <c r="AF492" s="646"/>
      <c r="AG492" s="646"/>
      <c r="AH492" s="646"/>
      <c r="AI492" s="646"/>
      <c r="AJ492" s="646"/>
      <c r="AK492" s="646"/>
      <c r="AL492" s="646"/>
      <c r="AM492" s="646"/>
      <c r="AN492" s="646"/>
      <c r="AO492" s="646"/>
      <c r="AP492" s="646"/>
      <c r="AQ492" s="646"/>
      <c r="AR492" s="646"/>
      <c r="AS492" s="646"/>
      <c r="AT492" s="646"/>
      <c r="AU492" s="646"/>
      <c r="AV492" s="646"/>
      <c r="AW492" s="646"/>
      <c r="AX492" s="646"/>
      <c r="AY492" s="646"/>
      <c r="AZ492" s="646"/>
      <c r="BA492" s="646"/>
      <c r="BB492" s="646"/>
      <c r="BC492" s="646"/>
      <c r="BD492" s="646"/>
      <c r="BE492" s="646"/>
      <c r="BF492" s="646"/>
      <c r="BG492" s="646">
        <v>0.81184859872000004</v>
      </c>
      <c r="BH492" s="646">
        <v>1.17598098428</v>
      </c>
      <c r="BI492" s="646">
        <v>2.3291960990700002</v>
      </c>
      <c r="BJ492" s="646">
        <v>1.6366400430000001</v>
      </c>
      <c r="BK492" s="646">
        <v>1.449842842</v>
      </c>
      <c r="BL492" s="646">
        <v>1.439797228</v>
      </c>
      <c r="BM492" s="646">
        <v>1.9852411667000001</v>
      </c>
      <c r="BN492" s="646">
        <v>0.84269931476999993</v>
      </c>
      <c r="BO492" s="646">
        <v>2.0045152934199999</v>
      </c>
      <c r="BP492" s="646">
        <v>4.7703482305099998</v>
      </c>
      <c r="BQ492" s="646">
        <v>2.9444524203099998</v>
      </c>
      <c r="BR492" s="646">
        <v>2.4733369040199999</v>
      </c>
      <c r="BS492" s="646">
        <v>2.5219034206999997</v>
      </c>
      <c r="BT492" s="646">
        <v>1.8501141088099999</v>
      </c>
      <c r="BU492" s="646">
        <v>2.1688910320500003</v>
      </c>
      <c r="BV492" s="646">
        <v>2.4951452679599999</v>
      </c>
      <c r="BW492" s="646">
        <v>2.2792512069000002</v>
      </c>
      <c r="BX492" s="646">
        <v>1.60637620609</v>
      </c>
      <c r="BY492" s="646">
        <v>2.1500561264</v>
      </c>
      <c r="BZ492" s="646">
        <v>6.9489243146899993</v>
      </c>
      <c r="CA492" s="646">
        <v>1.96036256203</v>
      </c>
      <c r="CB492" s="646">
        <v>2.9628005661699999</v>
      </c>
      <c r="CC492" s="646">
        <v>5.2905923140299995</v>
      </c>
      <c r="CD492" s="646">
        <v>2.3896339116500003</v>
      </c>
      <c r="CE492" s="646">
        <v>2.661823922</v>
      </c>
      <c r="CF492" s="646">
        <v>2.0003473676199999</v>
      </c>
      <c r="CG492" s="646">
        <v>2.95325444208</v>
      </c>
      <c r="CH492" s="646">
        <v>4.1688299510000002</v>
      </c>
      <c r="CI492" s="646">
        <v>4.3448386289999998</v>
      </c>
      <c r="CJ492" s="646">
        <v>1.555384519</v>
      </c>
      <c r="CK492" s="646">
        <v>3.279391951</v>
      </c>
      <c r="CL492" s="646">
        <v>2.048498017</v>
      </c>
      <c r="CM492" s="646">
        <v>2.0531390549999999</v>
      </c>
      <c r="CN492" s="646">
        <v>2.5600917609999998</v>
      </c>
      <c r="CO492" s="646">
        <v>2.5050129910000001</v>
      </c>
      <c r="CP492" s="648">
        <v>2.0787431779999999</v>
      </c>
      <c r="CQ492" s="646">
        <v>2.591699465</v>
      </c>
      <c r="CR492" s="646">
        <v>3.8147410989999999</v>
      </c>
      <c r="CS492" s="646">
        <v>5.4951883099999996</v>
      </c>
      <c r="CT492" s="646">
        <v>4.1188711549999999</v>
      </c>
      <c r="CU492" s="646">
        <v>2.9689722710000002</v>
      </c>
      <c r="CV492" s="646">
        <v>16.395028993</v>
      </c>
      <c r="CW492" s="646">
        <v>6.823189824</v>
      </c>
      <c r="CX492" s="646">
        <v>2.801362567</v>
      </c>
      <c r="CY492" s="646">
        <v>3.51420887</v>
      </c>
      <c r="CZ492" s="646">
        <v>3.8036469500000001</v>
      </c>
      <c r="DA492" s="646">
        <v>3.9843903549999999</v>
      </c>
      <c r="DB492" s="1297">
        <v>4.1771338709999997</v>
      </c>
      <c r="DC492" s="646">
        <v>4.1966714039999999</v>
      </c>
      <c r="DD492" s="646">
        <v>7.7054440729999998</v>
      </c>
      <c r="DE492" s="646">
        <v>4.1790612710000001</v>
      </c>
      <c r="DF492" s="646">
        <v>8.0403178759999996</v>
      </c>
      <c r="DG492" s="646">
        <v>3.6849840629999999</v>
      </c>
      <c r="DH492" s="646">
        <v>7.2033337050000004</v>
      </c>
      <c r="DI492" s="646">
        <v>2.910443511</v>
      </c>
      <c r="DJ492" s="646">
        <v>3.8112871460000002</v>
      </c>
      <c r="DK492" s="646">
        <v>5.7473695759999996</v>
      </c>
      <c r="DL492" s="646">
        <v>11.977945494</v>
      </c>
      <c r="DM492" s="646">
        <v>3.2821433560000002</v>
      </c>
      <c r="DN492" s="648">
        <v>2.752270921</v>
      </c>
      <c r="DO492" s="646">
        <v>12.861098198000001</v>
      </c>
      <c r="DP492" s="646">
        <v>5.9909393719999997</v>
      </c>
      <c r="DQ492" s="646">
        <v>3.7492118620000001</v>
      </c>
      <c r="DR492" s="646">
        <v>16.892191369999999</v>
      </c>
      <c r="DS492" s="646">
        <v>2.499739892</v>
      </c>
      <c r="DT492" s="646">
        <v>4.7418633379999999</v>
      </c>
      <c r="DU492" s="646">
        <v>10.286713181</v>
      </c>
      <c r="DV492" s="646">
        <v>5.803558131</v>
      </c>
      <c r="DW492" s="646">
        <v>5.0595315259999998</v>
      </c>
      <c r="DX492" s="646">
        <v>4.1044846670000004</v>
      </c>
      <c r="DY492" s="646">
        <v>5.6021774840000003</v>
      </c>
      <c r="DZ492" s="648">
        <v>4.7474345619999996</v>
      </c>
      <c r="EA492" s="646">
        <v>6.4679982230000004</v>
      </c>
      <c r="EB492" s="646">
        <v>6.8325371070000003</v>
      </c>
      <c r="EC492" s="646">
        <v>6.8369028439999999</v>
      </c>
      <c r="ED492" s="646">
        <v>7.9939127660000002</v>
      </c>
      <c r="EE492" s="646">
        <v>5.7412410960000004</v>
      </c>
      <c r="EF492" s="646">
        <v>7.8295061930000003</v>
      </c>
      <c r="EG492" s="646">
        <v>7.8306514140000001</v>
      </c>
      <c r="EH492" s="646">
        <v>8.4975644839999998</v>
      </c>
      <c r="EI492" s="646">
        <v>5.0665644680000002</v>
      </c>
      <c r="EJ492" s="646">
        <v>5.6811614529999996</v>
      </c>
      <c r="EK492" s="646">
        <v>5.501480806</v>
      </c>
      <c r="EL492" s="648">
        <v>5.1325595259999997</v>
      </c>
      <c r="EM492" s="646">
        <v>6.7796482989999998</v>
      </c>
      <c r="EN492" s="646">
        <v>7.6507532467777803</v>
      </c>
      <c r="EO492" s="646">
        <v>7.9406496387777805</v>
      </c>
      <c r="EP492" s="646">
        <v>13.087179517999999</v>
      </c>
      <c r="EQ492" s="646">
        <v>10.144406527777781</v>
      </c>
      <c r="ER492" s="646">
        <v>17.962402991000001</v>
      </c>
      <c r="ES492" s="646">
        <v>13.804651252999999</v>
      </c>
      <c r="ET492" s="646">
        <v>4.7007677599999997</v>
      </c>
      <c r="EU492" s="646">
        <v>13.712212498333329</v>
      </c>
      <c r="EV492" s="646">
        <v>10.037500047</v>
      </c>
      <c r="EW492" s="646">
        <v>14.87784929433333</v>
      </c>
      <c r="EX492" s="648">
        <v>14.215811215</v>
      </c>
      <c r="EY492" s="646">
        <v>17.372936586000002</v>
      </c>
      <c r="EZ492" s="646">
        <v>8.2966082700000001</v>
      </c>
      <c r="FA492" s="646">
        <v>10.65785339</v>
      </c>
      <c r="FB492" s="646">
        <v>7.5657378980000001</v>
      </c>
      <c r="FC492" s="646">
        <v>7.9791308389999998</v>
      </c>
      <c r="FD492" s="646">
        <v>15.311801300999999</v>
      </c>
      <c r="FE492" s="646">
        <v>12.187246658999999</v>
      </c>
      <c r="FF492" s="646">
        <v>18.384998164999999</v>
      </c>
      <c r="FG492" s="646">
        <v>10.166058993</v>
      </c>
      <c r="FH492" s="646">
        <v>7.6384915619999996</v>
      </c>
      <c r="FI492" s="646">
        <v>3.6729320300000001</v>
      </c>
      <c r="FJ492" s="648">
        <v>7.9310596689999997</v>
      </c>
      <c r="FK492" s="646">
        <v>6.2621013410000002</v>
      </c>
      <c r="FL492" s="646">
        <v>7.8766350100000002</v>
      </c>
      <c r="FM492" s="646">
        <v>8.2514774840000005</v>
      </c>
      <c r="FN492" s="646">
        <v>10.283133908</v>
      </c>
      <c r="FO492" s="646">
        <v>8.0629427769999999</v>
      </c>
      <c r="FP492" s="646">
        <v>8.6360781769999999</v>
      </c>
      <c r="FQ492" s="646">
        <v>15.359512964</v>
      </c>
      <c r="FR492" s="646">
        <v>9.4167009329999996</v>
      </c>
      <c r="FS492" s="646">
        <v>4.679258677</v>
      </c>
      <c r="FT492" s="646">
        <v>14.710902853</v>
      </c>
      <c r="FU492" s="646">
        <v>17.360620360999999</v>
      </c>
      <c r="FV492" s="646">
        <v>10.130549576</v>
      </c>
      <c r="FW492" s="646">
        <v>6.6956008130000004</v>
      </c>
      <c r="FX492" s="646">
        <v>12.398858428</v>
      </c>
      <c r="FY492" s="646">
        <v>12.059231357</v>
      </c>
      <c r="FZ492" s="646">
        <v>11.712960528</v>
      </c>
      <c r="GA492" s="646">
        <v>9.2436129759999996</v>
      </c>
      <c r="GB492" s="646">
        <v>16.606232940999998</v>
      </c>
      <c r="GC492" s="646">
        <v>9.9348255860000005</v>
      </c>
      <c r="GD492" s="646">
        <v>10.520450714000001</v>
      </c>
      <c r="GE492" s="646">
        <v>19.144651583000002</v>
      </c>
      <c r="GF492" s="646">
        <v>6.9010833380000003</v>
      </c>
      <c r="GG492" s="646">
        <v>12.405606430000001</v>
      </c>
      <c r="GH492" s="646">
        <v>15.284754016000001</v>
      </c>
      <c r="GI492" s="646"/>
      <c r="GJ492" s="646"/>
      <c r="GK492" s="646"/>
      <c r="GL492" s="646"/>
      <c r="GM492" s="646"/>
      <c r="GN492" s="646"/>
      <c r="GO492" s="646"/>
      <c r="GP492" s="646"/>
      <c r="GQ492" s="646"/>
      <c r="GR492" s="646"/>
      <c r="GS492" s="646"/>
      <c r="GT492" s="646"/>
      <c r="GU492" s="646"/>
      <c r="GV492" s="646"/>
      <c r="GW492" s="646"/>
      <c r="GX492" s="646"/>
      <c r="GY492" s="646"/>
      <c r="GZ492" s="646"/>
      <c r="HA492" s="646"/>
      <c r="HB492" s="646"/>
      <c r="HC492" s="646"/>
      <c r="HD492" s="646"/>
      <c r="HE492" s="646"/>
      <c r="HF492" s="646"/>
      <c r="HG492" s="646"/>
      <c r="HH492" s="646"/>
      <c r="HI492" s="646"/>
      <c r="HJ492" s="646"/>
      <c r="HK492" s="646"/>
      <c r="HL492" s="646"/>
      <c r="HM492" s="646"/>
      <c r="HN492" s="646"/>
      <c r="HO492" s="646"/>
      <c r="HP492" s="646"/>
      <c r="HQ492" s="646"/>
      <c r="HR492" s="646"/>
      <c r="HS492" s="646"/>
      <c r="HT492" s="646"/>
      <c r="HU492" s="646"/>
      <c r="HV492" s="646"/>
      <c r="HW492" s="646"/>
      <c r="HX492" s="646"/>
      <c r="HY492" s="646"/>
      <c r="HZ492" s="649"/>
      <c r="KT492" s="651"/>
      <c r="KU492" s="649"/>
    </row>
    <row r="493" spans="1:307" s="650" customFormat="1" outlineLevel="1">
      <c r="A493" s="644" t="s">
        <v>878</v>
      </c>
      <c r="B493" s="644" t="s">
        <v>338</v>
      </c>
      <c r="C493" s="644"/>
      <c r="D493" s="1255" t="s">
        <v>2397</v>
      </c>
      <c r="E493" s="646"/>
      <c r="F493" s="646"/>
      <c r="G493" s="646"/>
      <c r="H493" s="646"/>
      <c r="I493" s="646"/>
      <c r="J493" s="646"/>
      <c r="K493" s="646"/>
      <c r="L493" s="646"/>
      <c r="M493" s="646"/>
      <c r="N493" s="646"/>
      <c r="O493" s="646"/>
      <c r="P493" s="646"/>
      <c r="Q493" s="646"/>
      <c r="R493" s="646"/>
      <c r="S493" s="646"/>
      <c r="T493" s="646"/>
      <c r="U493" s="646"/>
      <c r="V493" s="646"/>
      <c r="W493" s="646"/>
      <c r="X493" s="646"/>
      <c r="Y493" s="646"/>
      <c r="Z493" s="646"/>
      <c r="AA493" s="646"/>
      <c r="AB493" s="646"/>
      <c r="AC493" s="646"/>
      <c r="AD493" s="646"/>
      <c r="AE493" s="646"/>
      <c r="AF493" s="646"/>
      <c r="AG493" s="646"/>
      <c r="AH493" s="646"/>
      <c r="AI493" s="646"/>
      <c r="AJ493" s="646"/>
      <c r="AK493" s="646"/>
      <c r="AL493" s="646"/>
      <c r="AM493" s="646"/>
      <c r="AN493" s="646"/>
      <c r="AO493" s="646"/>
      <c r="AP493" s="646"/>
      <c r="AQ493" s="646"/>
      <c r="AR493" s="646"/>
      <c r="AS493" s="646"/>
      <c r="AT493" s="646"/>
      <c r="AU493" s="646"/>
      <c r="AV493" s="646"/>
      <c r="AW493" s="646"/>
      <c r="AX493" s="646"/>
      <c r="AY493" s="646"/>
      <c r="AZ493" s="646"/>
      <c r="BA493" s="646"/>
      <c r="BB493" s="646"/>
      <c r="BC493" s="646"/>
      <c r="BD493" s="646"/>
      <c r="BE493" s="646"/>
      <c r="BF493" s="646"/>
      <c r="BG493" s="646">
        <v>4.6850892548000003</v>
      </c>
      <c r="BH493" s="646">
        <v>3.5396899638000003</v>
      </c>
      <c r="BI493" s="646">
        <v>14.984362418110001</v>
      </c>
      <c r="BJ493" s="646">
        <v>20.896043595200002</v>
      </c>
      <c r="BK493" s="646">
        <v>17.102425867000001</v>
      </c>
      <c r="BL493" s="646">
        <v>19.110375611999999</v>
      </c>
      <c r="BM493" s="646">
        <v>10.727401914</v>
      </c>
      <c r="BN493" s="646">
        <v>11.791031952999999</v>
      </c>
      <c r="BO493" s="646">
        <v>16.44639864933</v>
      </c>
      <c r="BP493" s="646">
        <v>6.6658269798400003</v>
      </c>
      <c r="BQ493" s="646">
        <v>38.241485769400001</v>
      </c>
      <c r="BR493" s="646">
        <v>27.956197618990004</v>
      </c>
      <c r="BS493" s="646">
        <v>0.41126810400000002</v>
      </c>
      <c r="BT493" s="646">
        <v>8.3845906289999999</v>
      </c>
      <c r="BU493" s="646">
        <v>23.825367590000003</v>
      </c>
      <c r="BV493" s="646">
        <v>25.132688155</v>
      </c>
      <c r="BW493" s="646">
        <v>17.068305255850003</v>
      </c>
      <c r="BX493" s="646">
        <v>7.5719078160000004</v>
      </c>
      <c r="BY493" s="646">
        <v>20.401845422379999</v>
      </c>
      <c r="BZ493" s="646">
        <v>14.882104697760001</v>
      </c>
      <c r="CA493" s="646">
        <v>19.228526802119998</v>
      </c>
      <c r="CB493" s="646">
        <v>20.502972712999998</v>
      </c>
      <c r="CC493" s="646">
        <v>41.335120702689998</v>
      </c>
      <c r="CD493" s="646">
        <v>50.099825130089997</v>
      </c>
      <c r="CE493" s="646">
        <v>0.44604900600000003</v>
      </c>
      <c r="CF493" s="646">
        <v>14.557620572999999</v>
      </c>
      <c r="CG493" s="646">
        <v>10.759392524000001</v>
      </c>
      <c r="CH493" s="646">
        <v>14.446184479999999</v>
      </c>
      <c r="CI493" s="646">
        <v>27.134588074</v>
      </c>
      <c r="CJ493" s="646">
        <v>27.889136381</v>
      </c>
      <c r="CK493" s="646">
        <v>11.412169047000001</v>
      </c>
      <c r="CL493" s="646">
        <v>15.977541886999999</v>
      </c>
      <c r="CM493" s="646">
        <v>23.084264866000002</v>
      </c>
      <c r="CN493" s="646">
        <v>14.980184170999999</v>
      </c>
      <c r="CO493" s="646">
        <v>34.498019962000001</v>
      </c>
      <c r="CP493" s="648">
        <v>81.895516267999994</v>
      </c>
      <c r="CQ493" s="646">
        <v>1.6310072929999999</v>
      </c>
      <c r="CR493" s="646">
        <v>7.602798215</v>
      </c>
      <c r="CS493" s="646">
        <v>29.167359199</v>
      </c>
      <c r="CT493" s="646">
        <v>15.848975742</v>
      </c>
      <c r="CU493" s="646">
        <v>9.8325243269999998</v>
      </c>
      <c r="CV493" s="646">
        <v>21.673307762</v>
      </c>
      <c r="CW493" s="646">
        <v>16.906566338000001</v>
      </c>
      <c r="CX493" s="646">
        <v>11.10295028</v>
      </c>
      <c r="CY493" s="646">
        <v>32.110825253000002</v>
      </c>
      <c r="CZ493" s="646">
        <v>30.679141774000001</v>
      </c>
      <c r="DA493" s="646">
        <v>32.989214988999997</v>
      </c>
      <c r="DB493" s="1297">
        <v>73.963600792999998</v>
      </c>
      <c r="DC493" s="646">
        <v>3.6373215139999999</v>
      </c>
      <c r="DD493" s="646">
        <v>5.2153847659999997</v>
      </c>
      <c r="DE493" s="646">
        <v>27.825319954000001</v>
      </c>
      <c r="DF493" s="646">
        <v>27.169982095999998</v>
      </c>
      <c r="DG493" s="646">
        <v>15.009490921999999</v>
      </c>
      <c r="DH493" s="646">
        <v>40.272931358000001</v>
      </c>
      <c r="DI493" s="646">
        <v>20.541267917999999</v>
      </c>
      <c r="DJ493" s="646">
        <v>29.850061142000001</v>
      </c>
      <c r="DK493" s="646">
        <v>20.860901262999999</v>
      </c>
      <c r="DL493" s="646">
        <v>24.609312913</v>
      </c>
      <c r="DM493" s="646">
        <v>31.748695616999999</v>
      </c>
      <c r="DN493" s="648">
        <v>85.769032062999997</v>
      </c>
      <c r="DO493" s="646">
        <v>5.0727484379999996</v>
      </c>
      <c r="DP493" s="646">
        <v>4.8513779349999995</v>
      </c>
      <c r="DQ493" s="646">
        <v>0.97017369600000003</v>
      </c>
      <c r="DR493" s="646">
        <v>4.9201951029999993</v>
      </c>
      <c r="DS493" s="646">
        <v>1.1289838649999999</v>
      </c>
      <c r="DT493" s="646">
        <v>9.3005260310000004</v>
      </c>
      <c r="DU493" s="646">
        <v>3.1075889829999999</v>
      </c>
      <c r="DV493" s="646">
        <v>1.9181877970000001</v>
      </c>
      <c r="DW493" s="646">
        <v>3.167219045</v>
      </c>
      <c r="DX493" s="646">
        <v>4.6850214289999998</v>
      </c>
      <c r="DY493" s="646">
        <v>2.9231902080000003</v>
      </c>
      <c r="DZ493" s="648">
        <v>5.9539795129999993</v>
      </c>
      <c r="EA493" s="646">
        <v>7.2999999999999995E-2</v>
      </c>
      <c r="EB493" s="646">
        <v>4.8593561200000003E-2</v>
      </c>
      <c r="EC493" s="646">
        <v>0.24510168409999999</v>
      </c>
      <c r="ED493" s="646">
        <v>0.31179585949999999</v>
      </c>
      <c r="EE493" s="646">
        <v>6.9229274199999996E-2</v>
      </c>
      <c r="EF493" s="646">
        <v>0.34472130180000005</v>
      </c>
      <c r="EG493" s="646">
        <v>0.2879623382</v>
      </c>
      <c r="EH493" s="646">
        <v>0.4646436846</v>
      </c>
      <c r="EI493" s="646">
        <v>0.3985941381</v>
      </c>
      <c r="EJ493" s="646">
        <v>0.38311908690000002</v>
      </c>
      <c r="EK493" s="646">
        <v>7.8221705900000008E-2</v>
      </c>
      <c r="EL493" s="648">
        <v>0.39343018930000001</v>
      </c>
      <c r="EM493" s="646">
        <v>16.950958521</v>
      </c>
      <c r="EN493" s="646">
        <v>23.914637976999998</v>
      </c>
      <c r="EO493" s="646">
        <v>25.160454091000002</v>
      </c>
      <c r="EP493" s="646">
        <v>28.558832124000002</v>
      </c>
      <c r="EQ493" s="646">
        <v>20.076154351</v>
      </c>
      <c r="ER493" s="646">
        <v>66.820887443999993</v>
      </c>
      <c r="ES493" s="646">
        <v>48.920980843999999</v>
      </c>
      <c r="ET493" s="646">
        <v>31.148686434999998</v>
      </c>
      <c r="EU493" s="646">
        <v>33.380394058</v>
      </c>
      <c r="EV493" s="646">
        <v>35.815576378000003</v>
      </c>
      <c r="EW493" s="646">
        <v>34.225087301999999</v>
      </c>
      <c r="EX493" s="648">
        <v>97.016465150000002</v>
      </c>
      <c r="EY493" s="646">
        <v>17.746425795</v>
      </c>
      <c r="EZ493" s="646">
        <v>32.617294085000005</v>
      </c>
      <c r="FA493" s="646">
        <v>29.385705352999999</v>
      </c>
      <c r="FB493" s="646">
        <v>51.625387167</v>
      </c>
      <c r="FC493" s="646">
        <v>36.066536865000003</v>
      </c>
      <c r="FD493" s="646">
        <v>60.998675044000002</v>
      </c>
      <c r="FE493" s="646">
        <v>44.946953505000003</v>
      </c>
      <c r="FF493" s="646">
        <v>40.658971270999999</v>
      </c>
      <c r="FG493" s="646">
        <v>33.257529392000002</v>
      </c>
      <c r="FH493" s="646">
        <v>15.933017722000001</v>
      </c>
      <c r="FI493" s="646">
        <v>36.180398213999993</v>
      </c>
      <c r="FJ493" s="648">
        <v>103.51510762700001</v>
      </c>
      <c r="FK493" s="646">
        <v>14.088492812</v>
      </c>
      <c r="FL493" s="646">
        <v>13.282699363000001</v>
      </c>
      <c r="FM493" s="646">
        <v>12.035185643</v>
      </c>
      <c r="FN493" s="646">
        <v>20.659912942999998</v>
      </c>
      <c r="FO493" s="646">
        <v>21.364731975000002</v>
      </c>
      <c r="FP493" s="646">
        <v>22.337518750000001</v>
      </c>
      <c r="FQ493" s="646">
        <v>47.242508796999999</v>
      </c>
      <c r="FR493" s="646">
        <v>59.851508193999997</v>
      </c>
      <c r="FS493" s="646">
        <v>96.556650220999998</v>
      </c>
      <c r="FT493" s="646">
        <v>28.496043082</v>
      </c>
      <c r="FU493" s="646">
        <v>66.622779985999998</v>
      </c>
      <c r="FV493" s="646">
        <v>102.989037772</v>
      </c>
      <c r="FW493" s="646">
        <v>6.8687319530000002</v>
      </c>
      <c r="FX493" s="646">
        <v>15.812906365</v>
      </c>
      <c r="FY493" s="646">
        <v>19.908345156999999</v>
      </c>
      <c r="FZ493" s="646">
        <v>53.192144355000003</v>
      </c>
      <c r="GA493" s="646">
        <v>78.012973647999999</v>
      </c>
      <c r="GB493" s="646">
        <v>94.398664237000006</v>
      </c>
      <c r="GC493" s="646">
        <v>94.228657702999996</v>
      </c>
      <c r="GD493" s="646">
        <v>62.290836996000003</v>
      </c>
      <c r="GE493" s="646">
        <v>142.52157338500001</v>
      </c>
      <c r="GF493" s="646">
        <v>91.527151167</v>
      </c>
      <c r="GG493" s="646">
        <v>78.863354920999996</v>
      </c>
      <c r="GH493" s="646">
        <v>63.181473207000003</v>
      </c>
      <c r="GI493" s="646"/>
      <c r="GJ493" s="646"/>
      <c r="GK493" s="646"/>
      <c r="GL493" s="646"/>
      <c r="GM493" s="646"/>
      <c r="GN493" s="646"/>
      <c r="GO493" s="646"/>
      <c r="GP493" s="646"/>
      <c r="GQ493" s="646"/>
      <c r="GR493" s="646"/>
      <c r="GS493" s="646"/>
      <c r="GT493" s="646"/>
      <c r="GU493" s="646"/>
      <c r="GV493" s="646"/>
      <c r="GW493" s="646"/>
      <c r="GX493" s="646"/>
      <c r="GY493" s="646"/>
      <c r="GZ493" s="646"/>
      <c r="HA493" s="646"/>
      <c r="HB493" s="646"/>
      <c r="HC493" s="646"/>
      <c r="HD493" s="646"/>
      <c r="HE493" s="646"/>
      <c r="HF493" s="646"/>
      <c r="HG493" s="646"/>
      <c r="HH493" s="646"/>
      <c r="HI493" s="646"/>
      <c r="HJ493" s="646"/>
      <c r="HK493" s="646"/>
      <c r="HL493" s="646"/>
      <c r="HM493" s="646"/>
      <c r="HN493" s="646"/>
      <c r="HO493" s="646"/>
      <c r="HP493" s="646"/>
      <c r="HQ493" s="646"/>
      <c r="HR493" s="646"/>
      <c r="HS493" s="646"/>
      <c r="HT493" s="646"/>
      <c r="HU493" s="646"/>
      <c r="HV493" s="646"/>
      <c r="HW493" s="646"/>
      <c r="HX493" s="646"/>
      <c r="HY493" s="646"/>
      <c r="HZ493" s="649"/>
      <c r="KT493" s="651"/>
      <c r="KU493" s="649"/>
    </row>
    <row r="494" spans="1:307" s="650" customFormat="1" outlineLevel="1">
      <c r="A494" s="644" t="s">
        <v>878</v>
      </c>
      <c r="B494" s="644" t="s">
        <v>338</v>
      </c>
      <c r="C494" s="644"/>
      <c r="D494" s="1258" t="s">
        <v>536</v>
      </c>
      <c r="E494" s="646"/>
      <c r="F494" s="646"/>
      <c r="G494" s="646"/>
      <c r="H494" s="646"/>
      <c r="I494" s="646"/>
      <c r="J494" s="646"/>
      <c r="K494" s="646"/>
      <c r="L494" s="646"/>
      <c r="M494" s="646"/>
      <c r="N494" s="646"/>
      <c r="O494" s="646"/>
      <c r="P494" s="646"/>
      <c r="Q494" s="646"/>
      <c r="R494" s="646"/>
      <c r="S494" s="646"/>
      <c r="T494" s="646"/>
      <c r="U494" s="646"/>
      <c r="V494" s="646"/>
      <c r="W494" s="646"/>
      <c r="X494" s="646"/>
      <c r="Y494" s="646"/>
      <c r="Z494" s="646"/>
      <c r="AA494" s="646"/>
      <c r="AB494" s="646"/>
      <c r="AC494" s="646"/>
      <c r="AD494" s="646"/>
      <c r="AE494" s="646"/>
      <c r="AF494" s="646"/>
      <c r="AG494" s="646"/>
      <c r="AH494" s="646"/>
      <c r="AI494" s="646"/>
      <c r="AJ494" s="646"/>
      <c r="AK494" s="646"/>
      <c r="AL494" s="646"/>
      <c r="AM494" s="646"/>
      <c r="AN494" s="646"/>
      <c r="AO494" s="646"/>
      <c r="AP494" s="646"/>
      <c r="AQ494" s="646"/>
      <c r="AR494" s="646"/>
      <c r="AS494" s="646"/>
      <c r="AT494" s="646"/>
      <c r="AU494" s="646"/>
      <c r="AV494" s="646"/>
      <c r="AW494" s="646"/>
      <c r="AX494" s="646"/>
      <c r="AY494" s="646"/>
      <c r="AZ494" s="646"/>
      <c r="BA494" s="646"/>
      <c r="BB494" s="646"/>
      <c r="BC494" s="646"/>
      <c r="BD494" s="646"/>
      <c r="BE494" s="646"/>
      <c r="BF494" s="646"/>
      <c r="BG494" s="646">
        <v>4.6850892548000003</v>
      </c>
      <c r="BH494" s="646">
        <v>3.5396899638000003</v>
      </c>
      <c r="BI494" s="646">
        <v>14.984362418110001</v>
      </c>
      <c r="BJ494" s="646">
        <v>20.896043595200002</v>
      </c>
      <c r="BK494" s="646">
        <v>17.102425867000001</v>
      </c>
      <c r="BL494" s="646">
        <v>19.032906411999999</v>
      </c>
      <c r="BM494" s="646">
        <v>10.727401914</v>
      </c>
      <c r="BN494" s="646">
        <v>11.791031952999999</v>
      </c>
      <c r="BO494" s="646">
        <v>16.44639864933</v>
      </c>
      <c r="BP494" s="646">
        <v>6.6658269798400003</v>
      </c>
      <c r="BQ494" s="646">
        <v>38.233481569399999</v>
      </c>
      <c r="BR494" s="646">
        <v>27.941240250990003</v>
      </c>
      <c r="BS494" s="646">
        <v>0.41126810400000002</v>
      </c>
      <c r="BT494" s="646">
        <v>8.3845906289999999</v>
      </c>
      <c r="BU494" s="646">
        <v>23.690834656</v>
      </c>
      <c r="BV494" s="646">
        <v>25.132688155</v>
      </c>
      <c r="BW494" s="646">
        <v>16.45830525585</v>
      </c>
      <c r="BX494" s="646">
        <v>7.5719078160000004</v>
      </c>
      <c r="BY494" s="646">
        <v>20.18464193538</v>
      </c>
      <c r="BZ494" s="646">
        <v>14.882104697760001</v>
      </c>
      <c r="CA494" s="646">
        <v>19.196012102119997</v>
      </c>
      <c r="CB494" s="646">
        <v>20.482314299999999</v>
      </c>
      <c r="CC494" s="646">
        <v>39.784927303690004</v>
      </c>
      <c r="CD494" s="646">
        <v>50.088964890089997</v>
      </c>
      <c r="CE494" s="646">
        <v>10.526452686000001</v>
      </c>
      <c r="CF494" s="646">
        <v>14.788687463</v>
      </c>
      <c r="CG494" s="646">
        <v>15.141310662</v>
      </c>
      <c r="CH494" s="646">
        <v>23.906214788</v>
      </c>
      <c r="CI494" s="646">
        <v>17.150936775000002</v>
      </c>
      <c r="CJ494" s="646">
        <v>11.073881504999999</v>
      </c>
      <c r="CK494" s="646">
        <v>21.884380947</v>
      </c>
      <c r="CL494" s="646">
        <v>18.32118797</v>
      </c>
      <c r="CM494" s="646">
        <v>23.373190814000001</v>
      </c>
      <c r="CN494" s="646">
        <v>27.952275332999999</v>
      </c>
      <c r="CO494" s="646">
        <v>51.030099032000003</v>
      </c>
      <c r="CP494" s="648">
        <v>34.385280105</v>
      </c>
      <c r="CQ494" s="646">
        <v>1.6310072929999999</v>
      </c>
      <c r="CR494" s="646">
        <v>7.602798215</v>
      </c>
      <c r="CS494" s="646">
        <v>25.101856853000001</v>
      </c>
      <c r="CT494" s="646">
        <v>14.123975742000001</v>
      </c>
      <c r="CU494" s="646">
        <v>9.7893383269999994</v>
      </c>
      <c r="CV494" s="646">
        <v>21.473307762000001</v>
      </c>
      <c r="CW494" s="646">
        <v>16.906566338000001</v>
      </c>
      <c r="CX494" s="646">
        <v>10.408908952999999</v>
      </c>
      <c r="CY494" s="646">
        <v>31.805700253000001</v>
      </c>
      <c r="CZ494" s="646">
        <v>30.670025773999999</v>
      </c>
      <c r="DA494" s="646">
        <v>32.375632989000003</v>
      </c>
      <c r="DB494" s="1297">
        <v>73.663600793000001</v>
      </c>
      <c r="DC494" s="646">
        <v>3.6373215139999999</v>
      </c>
      <c r="DD494" s="646">
        <v>5.2109607550000003</v>
      </c>
      <c r="DE494" s="646">
        <v>27.461544456999999</v>
      </c>
      <c r="DF494" s="646">
        <v>26.107990024999999</v>
      </c>
      <c r="DG494" s="646">
        <v>13.770402904999999</v>
      </c>
      <c r="DH494" s="646">
        <v>37.324433313</v>
      </c>
      <c r="DI494" s="646">
        <v>20.264262713000001</v>
      </c>
      <c r="DJ494" s="646">
        <v>28.256189130999999</v>
      </c>
      <c r="DK494" s="646">
        <v>20.152594377</v>
      </c>
      <c r="DL494" s="646">
        <v>24.512805493999998</v>
      </c>
      <c r="DM494" s="646">
        <v>31.482509322999999</v>
      </c>
      <c r="DN494" s="648">
        <v>83.412426097999997</v>
      </c>
      <c r="DO494" s="646">
        <v>5.0727484379999996</v>
      </c>
      <c r="DP494" s="646">
        <v>4.7252419569999997</v>
      </c>
      <c r="DQ494" s="646">
        <v>0.50251411999999995</v>
      </c>
      <c r="DR494" s="646">
        <v>4.7662840419999997</v>
      </c>
      <c r="DS494" s="646">
        <v>0.16179064300000001</v>
      </c>
      <c r="DT494" s="646">
        <v>7.5829796869999999</v>
      </c>
      <c r="DU494" s="646">
        <v>2.132260112</v>
      </c>
      <c r="DV494" s="646">
        <v>0.91940471700000004</v>
      </c>
      <c r="DW494" s="646">
        <v>2.4067167220000001</v>
      </c>
      <c r="DX494" s="646">
        <v>4.0927273550000001</v>
      </c>
      <c r="DY494" s="646">
        <v>2.044399002</v>
      </c>
      <c r="DZ494" s="648">
        <v>4.7010034789999997</v>
      </c>
      <c r="EA494" s="646">
        <v>7.2999999999999995E-2</v>
      </c>
      <c r="EB494" s="646">
        <v>4.8240101000000001E-2</v>
      </c>
      <c r="EC494" s="646">
        <v>0.2388319237</v>
      </c>
      <c r="ED494" s="646">
        <v>8.5763174799999994E-2</v>
      </c>
      <c r="EE494" s="646">
        <v>1.4193771000000001E-2</v>
      </c>
      <c r="EF494" s="646">
        <v>0.26682989070000002</v>
      </c>
      <c r="EG494" s="646">
        <v>0.21534243850000001</v>
      </c>
      <c r="EH494" s="646">
        <v>0.41247638599999997</v>
      </c>
      <c r="EI494" s="646">
        <v>0.33070972599999998</v>
      </c>
      <c r="EJ494" s="646">
        <v>0.34896725610000001</v>
      </c>
      <c r="EK494" s="646">
        <v>7.3247569900000004E-2</v>
      </c>
      <c r="EL494" s="648">
        <v>0.2572472267</v>
      </c>
      <c r="EM494" s="646">
        <v>16.452885023</v>
      </c>
      <c r="EN494" s="646">
        <v>23.793613057999998</v>
      </c>
      <c r="EO494" s="646">
        <v>23.747437555000001</v>
      </c>
      <c r="EP494" s="646">
        <v>26.960785636000001</v>
      </c>
      <c r="EQ494" s="646">
        <v>19.653327188999999</v>
      </c>
      <c r="ER494" s="646">
        <v>63.311268587999997</v>
      </c>
      <c r="ES494" s="646">
        <v>48.263376252999997</v>
      </c>
      <c r="ET494" s="646">
        <v>28.388932278999999</v>
      </c>
      <c r="EU494" s="646">
        <v>32.258542865000003</v>
      </c>
      <c r="EV494" s="646">
        <v>34.652859804000002</v>
      </c>
      <c r="EW494" s="646">
        <v>31.472249638000001</v>
      </c>
      <c r="EX494" s="648">
        <v>92.996541280000002</v>
      </c>
      <c r="EY494" s="646">
        <v>17.456981047999999</v>
      </c>
      <c r="EZ494" s="646">
        <v>32.601636671000001</v>
      </c>
      <c r="FA494" s="646">
        <v>29.385705352999999</v>
      </c>
      <c r="FB494" s="646">
        <v>51.025387166999998</v>
      </c>
      <c r="FC494" s="646">
        <v>34.641814052999997</v>
      </c>
      <c r="FD494" s="646">
        <v>60.998675044000002</v>
      </c>
      <c r="FE494" s="646">
        <v>42.749598431000003</v>
      </c>
      <c r="FF494" s="646">
        <v>39.758971271</v>
      </c>
      <c r="FG494" s="646">
        <v>31.655084991999999</v>
      </c>
      <c r="FH494" s="646">
        <v>15.905069041999999</v>
      </c>
      <c r="FI494" s="646">
        <v>28.991135581999998</v>
      </c>
      <c r="FJ494" s="648">
        <v>100.952503913</v>
      </c>
      <c r="FK494" s="646">
        <v>8.2856941650000007</v>
      </c>
      <c r="FL494" s="646">
        <v>11.333873564999999</v>
      </c>
      <c r="FM494" s="646">
        <v>10.182595805</v>
      </c>
      <c r="FN494" s="646">
        <v>28.553840231999999</v>
      </c>
      <c r="FO494" s="646">
        <v>15.481086116</v>
      </c>
      <c r="FP494" s="646">
        <v>14.248660313</v>
      </c>
      <c r="FQ494" s="646">
        <v>14.718118255</v>
      </c>
      <c r="FR494" s="646">
        <v>15.314649355</v>
      </c>
      <c r="FS494" s="646">
        <v>27.028382050000001</v>
      </c>
      <c r="FT494" s="646">
        <v>12.155606046000001</v>
      </c>
      <c r="FU494" s="646">
        <v>34.786607390999997</v>
      </c>
      <c r="FV494" s="646">
        <v>55.421529739</v>
      </c>
      <c r="FW494" s="646">
        <v>3.8419995400000002</v>
      </c>
      <c r="FX494" s="646">
        <v>3.8052269070000002</v>
      </c>
      <c r="FY494" s="646">
        <v>9.6655565340000003</v>
      </c>
      <c r="FZ494" s="646">
        <v>25.242260773000002</v>
      </c>
      <c r="GA494" s="646">
        <v>25.802067166</v>
      </c>
      <c r="GB494" s="646">
        <v>38.642622775</v>
      </c>
      <c r="GC494" s="646">
        <v>94.228657702999996</v>
      </c>
      <c r="GD494" s="646">
        <v>62.290836996000003</v>
      </c>
      <c r="GE494" s="646">
        <v>142.52157338500001</v>
      </c>
      <c r="GF494" s="646">
        <v>91.527151167</v>
      </c>
      <c r="GG494" s="646">
        <v>78.863354920999996</v>
      </c>
      <c r="GH494" s="646">
        <v>63.181473207000003</v>
      </c>
      <c r="GI494" s="646"/>
      <c r="GJ494" s="646"/>
      <c r="GK494" s="646"/>
      <c r="GL494" s="646"/>
      <c r="GM494" s="646"/>
      <c r="GN494" s="646"/>
      <c r="GO494" s="646"/>
      <c r="GP494" s="646"/>
      <c r="GQ494" s="646"/>
      <c r="GR494" s="646"/>
      <c r="GS494" s="646"/>
      <c r="GT494" s="646"/>
      <c r="GU494" s="646"/>
      <c r="GV494" s="646"/>
      <c r="GW494" s="646"/>
      <c r="GX494" s="646"/>
      <c r="GY494" s="646"/>
      <c r="GZ494" s="646"/>
      <c r="HA494" s="646"/>
      <c r="HB494" s="646"/>
      <c r="HC494" s="646"/>
      <c r="HD494" s="646"/>
      <c r="HE494" s="646"/>
      <c r="HF494" s="646"/>
      <c r="HG494" s="646"/>
      <c r="HH494" s="646"/>
      <c r="HI494" s="646"/>
      <c r="HJ494" s="646"/>
      <c r="HK494" s="646"/>
      <c r="HL494" s="646"/>
      <c r="HM494" s="646"/>
      <c r="HN494" s="646"/>
      <c r="HO494" s="646"/>
      <c r="HP494" s="646"/>
      <c r="HQ494" s="646"/>
      <c r="HR494" s="646"/>
      <c r="HS494" s="646"/>
      <c r="HT494" s="646"/>
      <c r="HU494" s="646"/>
      <c r="HV494" s="646"/>
      <c r="HW494" s="646"/>
      <c r="HX494" s="646"/>
      <c r="HY494" s="646"/>
      <c r="HZ494" s="649"/>
      <c r="KT494" s="651"/>
      <c r="KU494" s="649"/>
    </row>
    <row r="495" spans="1:307" s="650" customFormat="1" outlineLevel="1">
      <c r="A495" s="644" t="s">
        <v>878</v>
      </c>
      <c r="B495" s="644" t="s">
        <v>338</v>
      </c>
      <c r="C495" s="644"/>
      <c r="D495" s="1258" t="s">
        <v>537</v>
      </c>
      <c r="E495" s="646"/>
      <c r="F495" s="646"/>
      <c r="G495" s="646"/>
      <c r="H495" s="646"/>
      <c r="I495" s="646"/>
      <c r="J495" s="646"/>
      <c r="K495" s="646"/>
      <c r="L495" s="646"/>
      <c r="M495" s="646"/>
      <c r="N495" s="646"/>
      <c r="O495" s="646"/>
      <c r="P495" s="646"/>
      <c r="Q495" s="646"/>
      <c r="R495" s="646"/>
      <c r="S495" s="646"/>
      <c r="T495" s="646"/>
      <c r="U495" s="646"/>
      <c r="V495" s="646"/>
      <c r="W495" s="646"/>
      <c r="X495" s="646"/>
      <c r="Y495" s="646"/>
      <c r="Z495" s="646"/>
      <c r="AA495" s="646"/>
      <c r="AB495" s="646"/>
      <c r="AC495" s="646"/>
      <c r="AD495" s="646"/>
      <c r="AE495" s="646"/>
      <c r="AF495" s="646"/>
      <c r="AG495" s="646"/>
      <c r="AH495" s="646"/>
      <c r="AI495" s="646"/>
      <c r="AJ495" s="646"/>
      <c r="AK495" s="646"/>
      <c r="AL495" s="646"/>
      <c r="AM495" s="646"/>
      <c r="AN495" s="646"/>
      <c r="AO495" s="646"/>
      <c r="AP495" s="646"/>
      <c r="AQ495" s="646"/>
      <c r="AR495" s="646"/>
      <c r="AS495" s="646"/>
      <c r="AT495" s="646"/>
      <c r="AU495" s="646"/>
      <c r="AV495" s="646"/>
      <c r="AW495" s="646"/>
      <c r="AX495" s="646"/>
      <c r="AY495" s="646"/>
      <c r="AZ495" s="646"/>
      <c r="BA495" s="646"/>
      <c r="BB495" s="646"/>
      <c r="BC495" s="646"/>
      <c r="BD495" s="646"/>
      <c r="BE495" s="646"/>
      <c r="BF495" s="646"/>
      <c r="BG495" s="646">
        <v>0</v>
      </c>
      <c r="BH495" s="646">
        <v>0</v>
      </c>
      <c r="BI495" s="646">
        <v>0</v>
      </c>
      <c r="BJ495" s="646">
        <v>0</v>
      </c>
      <c r="BK495" s="646">
        <v>0</v>
      </c>
      <c r="BL495" s="646">
        <v>0</v>
      </c>
      <c r="BM495" s="646">
        <v>0</v>
      </c>
      <c r="BN495" s="646">
        <v>0</v>
      </c>
      <c r="BO495" s="646">
        <v>0</v>
      </c>
      <c r="BP495" s="646">
        <v>0</v>
      </c>
      <c r="BQ495" s="646">
        <v>0</v>
      </c>
      <c r="BR495" s="646">
        <v>0</v>
      </c>
      <c r="BS495" s="646">
        <v>0</v>
      </c>
      <c r="BT495" s="646">
        <v>0</v>
      </c>
      <c r="BU495" s="646">
        <v>0.10882</v>
      </c>
      <c r="BV495" s="646">
        <v>0</v>
      </c>
      <c r="BW495" s="646">
        <v>0.6</v>
      </c>
      <c r="BX495" s="646">
        <v>0</v>
      </c>
      <c r="BY495" s="646">
        <v>0.2</v>
      </c>
      <c r="BZ495" s="646">
        <v>0</v>
      </c>
      <c r="CA495" s="646">
        <v>2.3514699999999999E-2</v>
      </c>
      <c r="CB495" s="646">
        <v>3.6584130000000001E-3</v>
      </c>
      <c r="CC495" s="646">
        <v>1.4044872230000001</v>
      </c>
      <c r="CD495" s="646">
        <v>0</v>
      </c>
      <c r="CE495" s="646">
        <v>0</v>
      </c>
      <c r="CF495" s="646">
        <v>0.32088234199999999</v>
      </c>
      <c r="CG495" s="646">
        <v>0</v>
      </c>
      <c r="CH495" s="646">
        <v>0.3</v>
      </c>
      <c r="CI495" s="646">
        <v>0.31680000000000003</v>
      </c>
      <c r="CJ495" s="646">
        <v>0</v>
      </c>
      <c r="CK495" s="646">
        <v>0</v>
      </c>
      <c r="CL495" s="646">
        <v>0</v>
      </c>
      <c r="CM495" s="646">
        <v>0.226708194</v>
      </c>
      <c r="CN495" s="646">
        <v>0.71366432300000004</v>
      </c>
      <c r="CO495" s="646">
        <v>0.21346294199999999</v>
      </c>
      <c r="CP495" s="648">
        <v>0</v>
      </c>
      <c r="CQ495" s="646">
        <v>0</v>
      </c>
      <c r="CR495" s="646">
        <v>0</v>
      </c>
      <c r="CS495" s="646">
        <v>0</v>
      </c>
      <c r="CT495" s="646">
        <v>0.22500000000000001</v>
      </c>
      <c r="CU495" s="646">
        <v>4.3186000000000002E-2</v>
      </c>
      <c r="CV495" s="646">
        <v>0.2</v>
      </c>
      <c r="CW495" s="646">
        <v>0</v>
      </c>
      <c r="CX495" s="646">
        <v>0</v>
      </c>
      <c r="CY495" s="646">
        <v>0.30512499999999998</v>
      </c>
      <c r="CZ495" s="646">
        <v>9.1160000000000008E-3</v>
      </c>
      <c r="DA495" s="646">
        <v>0.61358199999999996</v>
      </c>
      <c r="DB495" s="1297">
        <v>0.3</v>
      </c>
      <c r="DC495" s="646">
        <v>0</v>
      </c>
      <c r="DD495" s="646">
        <v>0</v>
      </c>
      <c r="DE495" s="646">
        <v>0.3</v>
      </c>
      <c r="DF495" s="646">
        <v>0.3</v>
      </c>
      <c r="DG495" s="646">
        <v>0.3</v>
      </c>
      <c r="DH495" s="646">
        <v>0</v>
      </c>
      <c r="DI495" s="646">
        <v>0</v>
      </c>
      <c r="DJ495" s="646">
        <v>0</v>
      </c>
      <c r="DK495" s="646">
        <v>0.3</v>
      </c>
      <c r="DL495" s="646">
        <v>0</v>
      </c>
      <c r="DM495" s="646">
        <v>0</v>
      </c>
      <c r="DN495" s="648">
        <v>0.93556195099999995</v>
      </c>
      <c r="DO495" s="646">
        <v>0</v>
      </c>
      <c r="DP495" s="646">
        <v>0</v>
      </c>
      <c r="DQ495" s="646">
        <v>0</v>
      </c>
      <c r="DR495" s="646">
        <v>0</v>
      </c>
      <c r="DS495" s="646">
        <v>0</v>
      </c>
      <c r="DT495" s="646">
        <v>0</v>
      </c>
      <c r="DU495" s="646">
        <v>0</v>
      </c>
      <c r="DV495" s="646">
        <v>0</v>
      </c>
      <c r="DW495" s="646">
        <v>0</v>
      </c>
      <c r="DX495" s="646">
        <v>0</v>
      </c>
      <c r="DY495" s="646">
        <v>0</v>
      </c>
      <c r="DZ495" s="648">
        <v>0</v>
      </c>
      <c r="EA495" s="646">
        <v>0</v>
      </c>
      <c r="EB495" s="646">
        <v>0</v>
      </c>
      <c r="EC495" s="646">
        <v>0</v>
      </c>
      <c r="ED495" s="646">
        <v>0</v>
      </c>
      <c r="EE495" s="646">
        <v>0</v>
      </c>
      <c r="EF495" s="646">
        <v>0</v>
      </c>
      <c r="EG495" s="646">
        <v>0</v>
      </c>
      <c r="EH495" s="646">
        <v>0</v>
      </c>
      <c r="EI495" s="646">
        <v>0</v>
      </c>
      <c r="EJ495" s="646">
        <v>0</v>
      </c>
      <c r="EK495" s="646">
        <v>0</v>
      </c>
      <c r="EL495" s="648">
        <v>0</v>
      </c>
      <c r="EM495" s="646">
        <v>0</v>
      </c>
      <c r="EN495" s="646">
        <v>0</v>
      </c>
      <c r="EO495" s="646">
        <v>0</v>
      </c>
      <c r="EP495" s="646">
        <v>0</v>
      </c>
      <c r="EQ495" s="646">
        <v>0</v>
      </c>
      <c r="ER495" s="646">
        <v>0</v>
      </c>
      <c r="ES495" s="646">
        <v>0</v>
      </c>
      <c r="ET495" s="646">
        <v>0</v>
      </c>
      <c r="EU495" s="646">
        <v>0</v>
      </c>
      <c r="EV495" s="646">
        <v>0</v>
      </c>
      <c r="EW495" s="646">
        <v>0</v>
      </c>
      <c r="EX495" s="648">
        <v>0</v>
      </c>
      <c r="EY495" s="646"/>
      <c r="EZ495" s="646"/>
      <c r="FA495" s="646"/>
      <c r="FB495" s="646"/>
      <c r="FC495" s="646"/>
      <c r="FD495" s="646"/>
      <c r="FE495" s="646"/>
      <c r="FF495" s="646"/>
      <c r="FG495" s="646"/>
      <c r="FH495" s="646"/>
      <c r="FI495" s="646"/>
      <c r="FJ495" s="648"/>
      <c r="FK495" s="646">
        <v>0</v>
      </c>
      <c r="FL495" s="646">
        <v>0</v>
      </c>
      <c r="FM495" s="646">
        <v>0</v>
      </c>
      <c r="FN495" s="646">
        <v>0</v>
      </c>
      <c r="FO495" s="646">
        <v>0</v>
      </c>
      <c r="FP495" s="646">
        <v>0</v>
      </c>
      <c r="FQ495" s="646">
        <v>0</v>
      </c>
      <c r="FR495" s="646">
        <v>0</v>
      </c>
      <c r="FS495" s="646">
        <v>0</v>
      </c>
      <c r="FT495" s="646">
        <v>0</v>
      </c>
      <c r="FU495" s="646">
        <v>0</v>
      </c>
      <c r="FV495" s="646">
        <v>0</v>
      </c>
      <c r="FW495" s="646">
        <v>0</v>
      </c>
      <c r="FX495" s="646">
        <v>0</v>
      </c>
      <c r="FY495" s="646">
        <v>0</v>
      </c>
      <c r="FZ495" s="646">
        <v>0</v>
      </c>
      <c r="GA495" s="646">
        <v>0</v>
      </c>
      <c r="GB495" s="646">
        <v>0</v>
      </c>
      <c r="GC495" s="646">
        <v>0</v>
      </c>
      <c r="GD495" s="646">
        <v>0</v>
      </c>
      <c r="GE495" s="646">
        <v>0</v>
      </c>
      <c r="GF495" s="646">
        <v>0</v>
      </c>
      <c r="GG495" s="646">
        <v>0</v>
      </c>
      <c r="GH495" s="646">
        <v>0</v>
      </c>
      <c r="GI495" s="646"/>
      <c r="GJ495" s="646"/>
      <c r="GK495" s="646"/>
      <c r="GL495" s="646"/>
      <c r="GM495" s="646"/>
      <c r="GN495" s="646"/>
      <c r="GO495" s="646"/>
      <c r="GP495" s="646"/>
      <c r="GQ495" s="646"/>
      <c r="GR495" s="646"/>
      <c r="GS495" s="646"/>
      <c r="GT495" s="646"/>
      <c r="GU495" s="646"/>
      <c r="GV495" s="646"/>
      <c r="GW495" s="646"/>
      <c r="GX495" s="646"/>
      <c r="GY495" s="646"/>
      <c r="GZ495" s="646"/>
      <c r="HA495" s="646"/>
      <c r="HB495" s="646"/>
      <c r="HC495" s="646"/>
      <c r="HD495" s="646"/>
      <c r="HE495" s="646"/>
      <c r="HF495" s="646"/>
      <c r="HG495" s="646"/>
      <c r="HH495" s="646"/>
      <c r="HI495" s="646"/>
      <c r="HJ495" s="646"/>
      <c r="HK495" s="646"/>
      <c r="HL495" s="646"/>
      <c r="HM495" s="646"/>
      <c r="HN495" s="646"/>
      <c r="HO495" s="646"/>
      <c r="HP495" s="646"/>
      <c r="HQ495" s="646"/>
      <c r="HR495" s="646"/>
      <c r="HS495" s="646"/>
      <c r="HT495" s="646"/>
      <c r="HU495" s="646"/>
      <c r="HV495" s="646"/>
      <c r="HW495" s="646"/>
      <c r="HX495" s="646"/>
      <c r="HY495" s="646"/>
      <c r="HZ495" s="649"/>
      <c r="KT495" s="651"/>
      <c r="KU495" s="649"/>
    </row>
    <row r="496" spans="1:307" s="650" customFormat="1" outlineLevel="1">
      <c r="A496" s="644" t="s">
        <v>878</v>
      </c>
      <c r="B496" s="644" t="s">
        <v>338</v>
      </c>
      <c r="C496" s="644"/>
      <c r="D496" s="1258" t="s">
        <v>538</v>
      </c>
      <c r="E496" s="646"/>
      <c r="F496" s="646"/>
      <c r="G496" s="646"/>
      <c r="H496" s="646"/>
      <c r="I496" s="646"/>
      <c r="J496" s="646"/>
      <c r="K496" s="646"/>
      <c r="L496" s="646"/>
      <c r="M496" s="646"/>
      <c r="N496" s="646"/>
      <c r="O496" s="646"/>
      <c r="P496" s="646"/>
      <c r="Q496" s="646"/>
      <c r="R496" s="646"/>
      <c r="S496" s="646"/>
      <c r="T496" s="646"/>
      <c r="U496" s="646"/>
      <c r="V496" s="646"/>
      <c r="W496" s="646"/>
      <c r="X496" s="646"/>
      <c r="Y496" s="646"/>
      <c r="Z496" s="646"/>
      <c r="AA496" s="646"/>
      <c r="AB496" s="646"/>
      <c r="AC496" s="646"/>
      <c r="AD496" s="646"/>
      <c r="AE496" s="646"/>
      <c r="AF496" s="646"/>
      <c r="AG496" s="646"/>
      <c r="AH496" s="646"/>
      <c r="AI496" s="646"/>
      <c r="AJ496" s="646"/>
      <c r="AK496" s="646"/>
      <c r="AL496" s="646"/>
      <c r="AM496" s="646"/>
      <c r="AN496" s="646"/>
      <c r="AO496" s="646"/>
      <c r="AP496" s="646"/>
      <c r="AQ496" s="646"/>
      <c r="AR496" s="646"/>
      <c r="AS496" s="646"/>
      <c r="AT496" s="646"/>
      <c r="AU496" s="646"/>
      <c r="AV496" s="646"/>
      <c r="AW496" s="646"/>
      <c r="AX496" s="646"/>
      <c r="AY496" s="646"/>
      <c r="AZ496" s="646"/>
      <c r="BA496" s="646"/>
      <c r="BB496" s="646"/>
      <c r="BC496" s="646"/>
      <c r="BD496" s="646"/>
      <c r="BE496" s="646"/>
      <c r="BF496" s="646"/>
      <c r="BG496" s="646">
        <v>0</v>
      </c>
      <c r="BH496" s="646">
        <v>0</v>
      </c>
      <c r="BI496" s="646">
        <v>0</v>
      </c>
      <c r="BJ496" s="646">
        <v>0</v>
      </c>
      <c r="BK496" s="646">
        <v>0</v>
      </c>
      <c r="BL496" s="646">
        <v>0</v>
      </c>
      <c r="BM496" s="646">
        <v>0</v>
      </c>
      <c r="BN496" s="646">
        <v>0</v>
      </c>
      <c r="BO496" s="646">
        <v>0</v>
      </c>
      <c r="BP496" s="646">
        <v>0</v>
      </c>
      <c r="BQ496" s="646">
        <v>0</v>
      </c>
      <c r="BR496" s="646">
        <v>0</v>
      </c>
      <c r="BS496" s="646">
        <v>0</v>
      </c>
      <c r="BT496" s="646">
        <v>0</v>
      </c>
      <c r="BU496" s="646">
        <v>0</v>
      </c>
      <c r="BV496" s="646">
        <v>0</v>
      </c>
      <c r="BW496" s="646">
        <v>0</v>
      </c>
      <c r="BX496" s="646">
        <v>0</v>
      </c>
      <c r="BY496" s="646">
        <v>0</v>
      </c>
      <c r="BZ496" s="646">
        <v>0</v>
      </c>
      <c r="CA496" s="646">
        <v>0</v>
      </c>
      <c r="CB496" s="646">
        <v>0</v>
      </c>
      <c r="CC496" s="646">
        <v>0</v>
      </c>
      <c r="CD496" s="646">
        <v>0</v>
      </c>
      <c r="CE496" s="646">
        <v>0</v>
      </c>
      <c r="CF496" s="646">
        <v>0</v>
      </c>
      <c r="CG496" s="646">
        <v>0</v>
      </c>
      <c r="CH496" s="646">
        <v>0</v>
      </c>
      <c r="CI496" s="646">
        <v>0</v>
      </c>
      <c r="CJ496" s="646">
        <v>0</v>
      </c>
      <c r="CK496" s="646">
        <v>0</v>
      </c>
      <c r="CL496" s="646">
        <v>0</v>
      </c>
      <c r="CM496" s="646">
        <v>0</v>
      </c>
      <c r="CN496" s="646">
        <v>0</v>
      </c>
      <c r="CO496" s="646">
        <v>0</v>
      </c>
      <c r="CP496" s="648">
        <v>0</v>
      </c>
      <c r="CQ496" s="646">
        <v>0</v>
      </c>
      <c r="CR496" s="646">
        <v>0</v>
      </c>
      <c r="CS496" s="646">
        <v>0</v>
      </c>
      <c r="CT496" s="646">
        <v>0</v>
      </c>
      <c r="CU496" s="646">
        <v>0</v>
      </c>
      <c r="CV496" s="646">
        <v>0</v>
      </c>
      <c r="CW496" s="646">
        <v>0</v>
      </c>
      <c r="CX496" s="646">
        <v>0</v>
      </c>
      <c r="CY496" s="646">
        <v>0</v>
      </c>
      <c r="CZ496" s="646">
        <v>0</v>
      </c>
      <c r="DA496" s="646">
        <v>0</v>
      </c>
      <c r="DB496" s="1297">
        <v>0</v>
      </c>
      <c r="DC496" s="646">
        <v>0</v>
      </c>
      <c r="DD496" s="646">
        <v>0</v>
      </c>
      <c r="DE496" s="646">
        <v>0</v>
      </c>
      <c r="DF496" s="646">
        <v>0</v>
      </c>
      <c r="DG496" s="646">
        <v>0</v>
      </c>
      <c r="DH496" s="646">
        <v>0</v>
      </c>
      <c r="DI496" s="646">
        <v>0</v>
      </c>
      <c r="DJ496" s="646">
        <v>0</v>
      </c>
      <c r="DK496" s="646">
        <v>0</v>
      </c>
      <c r="DL496" s="646">
        <v>0</v>
      </c>
      <c r="DM496" s="646">
        <v>0</v>
      </c>
      <c r="DN496" s="648">
        <v>0</v>
      </c>
      <c r="DO496" s="646">
        <v>0</v>
      </c>
      <c r="DP496" s="646">
        <v>0.12613597800000001</v>
      </c>
      <c r="DQ496" s="646">
        <v>0.46765957600000002</v>
      </c>
      <c r="DR496" s="646">
        <v>0.15391106099999999</v>
      </c>
      <c r="DS496" s="646">
        <v>0.96719322200000002</v>
      </c>
      <c r="DT496" s="646">
        <v>1.7175463440000001</v>
      </c>
      <c r="DU496" s="646">
        <v>0.97532887099999999</v>
      </c>
      <c r="DV496" s="646">
        <v>0.76413978400000004</v>
      </c>
      <c r="DW496" s="646">
        <v>0.76050232299999998</v>
      </c>
      <c r="DX496" s="646">
        <v>0.592294074</v>
      </c>
      <c r="DY496" s="646">
        <v>0.87879120600000005</v>
      </c>
      <c r="DZ496" s="648">
        <v>1.2138688179999999</v>
      </c>
      <c r="EA496" s="646">
        <v>0</v>
      </c>
      <c r="EB496" s="646">
        <v>3.5346020000000001E-4</v>
      </c>
      <c r="EC496" s="646">
        <v>6.2697604000000002E-3</v>
      </c>
      <c r="ED496" s="646">
        <v>0.22603268469999999</v>
      </c>
      <c r="EE496" s="646">
        <v>4.9956548199999999E-2</v>
      </c>
      <c r="EF496" s="646">
        <v>7.7891411100000002E-2</v>
      </c>
      <c r="EG496" s="646">
        <v>7.2619899700000004E-2</v>
      </c>
      <c r="EH496" s="646">
        <v>5.2167298600000002E-2</v>
      </c>
      <c r="EI496" s="646">
        <v>6.7884412099999999E-2</v>
      </c>
      <c r="EJ496" s="646">
        <v>3.4151830799999998E-2</v>
      </c>
      <c r="EK496" s="646">
        <v>4.9741359999999997E-3</v>
      </c>
      <c r="EL496" s="648">
        <v>0.13618296260000001</v>
      </c>
      <c r="EM496" s="646">
        <v>0</v>
      </c>
      <c r="EN496" s="646">
        <v>0</v>
      </c>
      <c r="EO496" s="646">
        <v>0</v>
      </c>
      <c r="EP496" s="646">
        <v>0</v>
      </c>
      <c r="EQ496" s="646">
        <v>0</v>
      </c>
      <c r="ER496" s="646">
        <v>0.77428875100000005</v>
      </c>
      <c r="ES496" s="646">
        <v>0</v>
      </c>
      <c r="ET496" s="646">
        <v>0.85118382599999998</v>
      </c>
      <c r="EU496" s="646">
        <v>0</v>
      </c>
      <c r="EV496" s="646">
        <v>0.33916903500000001</v>
      </c>
      <c r="EW496" s="646">
        <v>0</v>
      </c>
      <c r="EX496" s="648">
        <v>0.74698232099999995</v>
      </c>
      <c r="EY496" s="646">
        <v>0</v>
      </c>
      <c r="EZ496" s="646">
        <v>7.8287070000000007E-3</v>
      </c>
      <c r="FA496" s="646">
        <v>0</v>
      </c>
      <c r="FB496" s="646">
        <v>0</v>
      </c>
      <c r="FC496" s="646">
        <v>0.17411517400000953</v>
      </c>
      <c r="FD496" s="646">
        <v>0</v>
      </c>
      <c r="FE496" s="646">
        <v>0</v>
      </c>
      <c r="FF496" s="646">
        <v>0.57814471500000253</v>
      </c>
      <c r="FG496" s="646">
        <v>1.4957033800000001</v>
      </c>
      <c r="FH496" s="646">
        <v>1.397434E-2</v>
      </c>
      <c r="FI496" s="646">
        <v>6.4551826399999985</v>
      </c>
      <c r="FJ496" s="648">
        <v>0</v>
      </c>
      <c r="FK496" s="646">
        <v>0</v>
      </c>
      <c r="FL496" s="646">
        <v>0</v>
      </c>
      <c r="FM496" s="646">
        <v>0</v>
      </c>
      <c r="FN496" s="646">
        <v>0</v>
      </c>
      <c r="FO496" s="646">
        <v>0</v>
      </c>
      <c r="FP496" s="646">
        <v>0</v>
      </c>
      <c r="FQ496" s="646">
        <v>0</v>
      </c>
      <c r="FR496" s="646">
        <v>0</v>
      </c>
      <c r="FS496" s="646">
        <v>0</v>
      </c>
      <c r="FT496" s="646">
        <v>0</v>
      </c>
      <c r="FU496" s="646">
        <v>0</v>
      </c>
      <c r="FV496" s="646">
        <v>0</v>
      </c>
      <c r="FW496" s="646">
        <v>0</v>
      </c>
      <c r="FX496" s="646">
        <v>0</v>
      </c>
      <c r="FY496" s="646">
        <v>0</v>
      </c>
      <c r="FZ496" s="646">
        <v>0</v>
      </c>
      <c r="GA496" s="646">
        <v>0</v>
      </c>
      <c r="GB496" s="646">
        <v>0</v>
      </c>
      <c r="GC496" s="646">
        <v>0</v>
      </c>
      <c r="GD496" s="646">
        <v>0</v>
      </c>
      <c r="GE496" s="646">
        <v>0</v>
      </c>
      <c r="GF496" s="646">
        <v>0</v>
      </c>
      <c r="GG496" s="646">
        <v>0</v>
      </c>
      <c r="GH496" s="646">
        <v>0</v>
      </c>
      <c r="GI496" s="646"/>
      <c r="GJ496" s="646"/>
      <c r="GK496" s="646"/>
      <c r="GL496" s="646"/>
      <c r="GM496" s="646"/>
      <c r="GN496" s="646"/>
      <c r="GO496" s="646"/>
      <c r="GP496" s="646"/>
      <c r="GQ496" s="646"/>
      <c r="GR496" s="646"/>
      <c r="GS496" s="646"/>
      <c r="GT496" s="646"/>
      <c r="GU496" s="646"/>
      <c r="GV496" s="646"/>
      <c r="GW496" s="646"/>
      <c r="GX496" s="646"/>
      <c r="GY496" s="646"/>
      <c r="GZ496" s="646"/>
      <c r="HA496" s="646"/>
      <c r="HB496" s="646"/>
      <c r="HC496" s="646"/>
      <c r="HD496" s="646"/>
      <c r="HE496" s="646"/>
      <c r="HF496" s="646"/>
      <c r="HG496" s="646"/>
      <c r="HH496" s="646"/>
      <c r="HI496" s="646"/>
      <c r="HJ496" s="646"/>
      <c r="HK496" s="646"/>
      <c r="HL496" s="646"/>
      <c r="HM496" s="646"/>
      <c r="HN496" s="646"/>
      <c r="HO496" s="646"/>
      <c r="HP496" s="646"/>
      <c r="HQ496" s="646"/>
      <c r="HR496" s="646"/>
      <c r="HS496" s="646"/>
      <c r="HT496" s="646"/>
      <c r="HU496" s="646"/>
      <c r="HV496" s="646"/>
      <c r="HW496" s="646"/>
      <c r="HX496" s="646"/>
      <c r="HY496" s="646"/>
      <c r="HZ496" s="649"/>
      <c r="KT496" s="651"/>
      <c r="KU496" s="649"/>
    </row>
    <row r="497" spans="1:307" s="650" customFormat="1" outlineLevel="1">
      <c r="A497" s="644" t="s">
        <v>878</v>
      </c>
      <c r="B497" s="644" t="s">
        <v>338</v>
      </c>
      <c r="C497" s="644"/>
      <c r="D497" s="1258" t="s">
        <v>539</v>
      </c>
      <c r="E497" s="646"/>
      <c r="F497" s="646"/>
      <c r="G497" s="646"/>
      <c r="H497" s="646"/>
      <c r="I497" s="646"/>
      <c r="J497" s="646"/>
      <c r="K497" s="646"/>
      <c r="L497" s="646"/>
      <c r="M497" s="646"/>
      <c r="N497" s="646"/>
      <c r="O497" s="646"/>
      <c r="P497" s="646"/>
      <c r="Q497" s="646"/>
      <c r="R497" s="646"/>
      <c r="S497" s="646"/>
      <c r="T497" s="646"/>
      <c r="U497" s="646"/>
      <c r="V497" s="646"/>
      <c r="W497" s="646"/>
      <c r="X497" s="646"/>
      <c r="Y497" s="646"/>
      <c r="Z497" s="646"/>
      <c r="AA497" s="646"/>
      <c r="AB497" s="646"/>
      <c r="AC497" s="646"/>
      <c r="AD497" s="646"/>
      <c r="AE497" s="646"/>
      <c r="AF497" s="646"/>
      <c r="AG497" s="646"/>
      <c r="AH497" s="646"/>
      <c r="AI497" s="646"/>
      <c r="AJ497" s="646"/>
      <c r="AK497" s="646"/>
      <c r="AL497" s="646"/>
      <c r="AM497" s="646"/>
      <c r="AN497" s="646"/>
      <c r="AO497" s="646"/>
      <c r="AP497" s="646"/>
      <c r="AQ497" s="646"/>
      <c r="AR497" s="646"/>
      <c r="AS497" s="646"/>
      <c r="AT497" s="646"/>
      <c r="AU497" s="646"/>
      <c r="AV497" s="646"/>
      <c r="AW497" s="646"/>
      <c r="AX497" s="646"/>
      <c r="AY497" s="646"/>
      <c r="AZ497" s="646"/>
      <c r="BA497" s="646"/>
      <c r="BB497" s="646"/>
      <c r="BC497" s="646"/>
      <c r="BD497" s="646"/>
      <c r="BE497" s="646"/>
      <c r="BF497" s="646"/>
      <c r="BG497" s="646">
        <v>0</v>
      </c>
      <c r="BH497" s="646">
        <v>0</v>
      </c>
      <c r="BI497" s="646">
        <v>0</v>
      </c>
      <c r="BJ497" s="646">
        <v>0</v>
      </c>
      <c r="BK497" s="646">
        <v>0</v>
      </c>
      <c r="BL497" s="646">
        <v>7.7469200000000002E-2</v>
      </c>
      <c r="BM497" s="646">
        <v>0</v>
      </c>
      <c r="BN497" s="646">
        <v>0</v>
      </c>
      <c r="BO497" s="646">
        <v>0</v>
      </c>
      <c r="BP497" s="646">
        <v>0</v>
      </c>
      <c r="BQ497" s="646">
        <v>8.0041999999999995E-3</v>
      </c>
      <c r="BR497" s="646">
        <v>1.4957368E-2</v>
      </c>
      <c r="BS497" s="646">
        <v>0</v>
      </c>
      <c r="BT497" s="646">
        <v>0</v>
      </c>
      <c r="BU497" s="646">
        <v>2.5712934E-2</v>
      </c>
      <c r="BV497" s="646">
        <v>0</v>
      </c>
      <c r="BW497" s="646">
        <v>0.01</v>
      </c>
      <c r="BX497" s="646">
        <v>0</v>
      </c>
      <c r="BY497" s="646">
        <v>1.7203487E-2</v>
      </c>
      <c r="BZ497" s="646">
        <v>0</v>
      </c>
      <c r="CA497" s="646">
        <v>8.9999999999999993E-3</v>
      </c>
      <c r="CB497" s="646">
        <v>1.7000000000000001E-2</v>
      </c>
      <c r="CC497" s="646">
        <v>0.14570617599999999</v>
      </c>
      <c r="CD497" s="646">
        <v>1.086024E-2</v>
      </c>
      <c r="CE497" s="646">
        <v>0</v>
      </c>
      <c r="CF497" s="646">
        <v>0</v>
      </c>
      <c r="CG497" s="646">
        <v>0</v>
      </c>
      <c r="CH497" s="646">
        <v>0</v>
      </c>
      <c r="CI497" s="646">
        <v>0</v>
      </c>
      <c r="CJ497" s="646">
        <v>0</v>
      </c>
      <c r="CK497" s="646">
        <v>0</v>
      </c>
      <c r="CL497" s="646">
        <v>0</v>
      </c>
      <c r="CM497" s="646">
        <v>0.2542954</v>
      </c>
      <c r="CN497" s="646">
        <v>0.26661556800000002</v>
      </c>
      <c r="CO497" s="646">
        <v>0.22116103400000001</v>
      </c>
      <c r="CP497" s="648">
        <v>1.035740576</v>
      </c>
      <c r="CQ497" s="646">
        <v>0</v>
      </c>
      <c r="CR497" s="646">
        <v>0</v>
      </c>
      <c r="CS497" s="646">
        <v>4.0655023459999997</v>
      </c>
      <c r="CT497" s="646">
        <v>0</v>
      </c>
      <c r="CU497" s="646">
        <v>0</v>
      </c>
      <c r="CV497" s="646">
        <v>0</v>
      </c>
      <c r="CW497" s="646">
        <v>0</v>
      </c>
      <c r="CX497" s="646">
        <v>0</v>
      </c>
      <c r="CY497" s="646">
        <v>0</v>
      </c>
      <c r="CZ497" s="646">
        <v>0</v>
      </c>
      <c r="DA497" s="646">
        <v>0</v>
      </c>
      <c r="DB497" s="1297">
        <v>0</v>
      </c>
      <c r="DC497" s="646">
        <v>0</v>
      </c>
      <c r="DD497" s="646">
        <v>4.4240110000000003E-3</v>
      </c>
      <c r="DE497" s="646">
        <v>6.3775497E-2</v>
      </c>
      <c r="DF497" s="646">
        <v>0.76199207099999999</v>
      </c>
      <c r="DG497" s="646">
        <v>0.939088017</v>
      </c>
      <c r="DH497" s="646">
        <v>2.948498045</v>
      </c>
      <c r="DI497" s="646">
        <v>0.27700520499999998</v>
      </c>
      <c r="DJ497" s="646">
        <v>1.593872011</v>
      </c>
      <c r="DK497" s="646">
        <v>0.40830688599999998</v>
      </c>
      <c r="DL497" s="646">
        <v>9.6507418999999997E-2</v>
      </c>
      <c r="DM497" s="646">
        <v>0.26618629399999999</v>
      </c>
      <c r="DN497" s="648">
        <v>1.421044014</v>
      </c>
      <c r="DO497" s="646">
        <v>0</v>
      </c>
      <c r="DP497" s="646">
        <v>0</v>
      </c>
      <c r="DQ497" s="646">
        <v>0</v>
      </c>
      <c r="DR497" s="646">
        <v>0</v>
      </c>
      <c r="DS497" s="646">
        <v>0</v>
      </c>
      <c r="DT497" s="646">
        <v>0</v>
      </c>
      <c r="DU497" s="646">
        <v>0</v>
      </c>
      <c r="DV497" s="646">
        <v>0.234643296</v>
      </c>
      <c r="DW497" s="646">
        <v>0</v>
      </c>
      <c r="DX497" s="646">
        <v>0</v>
      </c>
      <c r="DY497" s="646">
        <v>0</v>
      </c>
      <c r="DZ497" s="648">
        <v>3.9107216E-2</v>
      </c>
      <c r="EA497" s="646">
        <v>0</v>
      </c>
      <c r="EB497" s="646">
        <v>0</v>
      </c>
      <c r="EC497" s="646">
        <v>0</v>
      </c>
      <c r="ED497" s="646">
        <v>0</v>
      </c>
      <c r="EE497" s="646">
        <v>5.0789549999999996E-3</v>
      </c>
      <c r="EF497" s="646">
        <v>0</v>
      </c>
      <c r="EG497" s="646">
        <v>0</v>
      </c>
      <c r="EH497" s="646">
        <v>0</v>
      </c>
      <c r="EI497" s="646">
        <v>0</v>
      </c>
      <c r="EJ497" s="646">
        <v>0</v>
      </c>
      <c r="EK497" s="646">
        <v>0</v>
      </c>
      <c r="EL497" s="648">
        <v>0</v>
      </c>
      <c r="EM497" s="646">
        <v>0.498073498</v>
      </c>
      <c r="EN497" s="646">
        <v>0.12102491899999999</v>
      </c>
      <c r="EO497" s="646">
        <v>1.413016536</v>
      </c>
      <c r="EP497" s="646">
        <v>1.598046488</v>
      </c>
      <c r="EQ497" s="646">
        <v>0.42282716199999998</v>
      </c>
      <c r="ER497" s="646">
        <v>2.7353301050000001</v>
      </c>
      <c r="ES497" s="646">
        <v>0.65760459100000002</v>
      </c>
      <c r="ET497" s="646">
        <v>1.9085703300000001</v>
      </c>
      <c r="EU497" s="646">
        <v>1.1218511929999999</v>
      </c>
      <c r="EV497" s="646">
        <v>0.823547539</v>
      </c>
      <c r="EW497" s="646">
        <v>2.7528376639999999</v>
      </c>
      <c r="EX497" s="648">
        <v>3.272941549</v>
      </c>
      <c r="EY497" s="646">
        <v>0.289444747</v>
      </c>
      <c r="EZ497" s="646">
        <v>7.8287070000000007E-3</v>
      </c>
      <c r="FA497" s="646">
        <v>0</v>
      </c>
      <c r="FB497" s="646">
        <v>0.60000000000000298</v>
      </c>
      <c r="FC497" s="646">
        <v>1.250607638</v>
      </c>
      <c r="FD497" s="646">
        <v>0</v>
      </c>
      <c r="FE497" s="646">
        <v>2.1973550739999999</v>
      </c>
      <c r="FF497" s="646">
        <v>0.32185528499999999</v>
      </c>
      <c r="FG497" s="646">
        <v>0.10674102000000001</v>
      </c>
      <c r="FH497" s="646">
        <v>1.397434E-2</v>
      </c>
      <c r="FI497" s="646">
        <v>0.73407999199999996</v>
      </c>
      <c r="FJ497" s="648">
        <v>2.5626037140000006</v>
      </c>
      <c r="FK497" s="646">
        <v>0</v>
      </c>
      <c r="FL497" s="646">
        <v>0.28917658899999998</v>
      </c>
      <c r="FM497" s="646">
        <v>4.3342897999999998E-2</v>
      </c>
      <c r="FN497" s="646">
        <v>1.702114538</v>
      </c>
      <c r="FO497" s="646">
        <v>1.4329310049999999</v>
      </c>
      <c r="FP497" s="646">
        <v>2.9026420439999998</v>
      </c>
      <c r="FQ497" s="646">
        <v>0.33007075800000002</v>
      </c>
      <c r="FR497" s="646">
        <v>0.80335246699999996</v>
      </c>
      <c r="FS497" s="646">
        <v>1.3875609870000001</v>
      </c>
      <c r="FT497" s="646">
        <v>0.30457173300000001</v>
      </c>
      <c r="FU497" s="646">
        <v>1.8677781529999999</v>
      </c>
      <c r="FV497" s="646">
        <v>0.417610333</v>
      </c>
      <c r="FW497" s="646">
        <v>0</v>
      </c>
      <c r="FX497" s="646">
        <v>1.243190749</v>
      </c>
      <c r="FY497" s="646">
        <v>0.53486736599999996</v>
      </c>
      <c r="FZ497" s="646">
        <v>1.06</v>
      </c>
      <c r="GA497" s="646">
        <v>5.2894456999999999</v>
      </c>
      <c r="GB497" s="646">
        <v>5.3605543000000004</v>
      </c>
      <c r="GC497" s="646">
        <v>0</v>
      </c>
      <c r="GD497" s="646">
        <v>0</v>
      </c>
      <c r="GE497" s="646">
        <v>0</v>
      </c>
      <c r="GF497" s="646">
        <v>0</v>
      </c>
      <c r="GG497" s="646">
        <v>0</v>
      </c>
      <c r="GH497" s="646">
        <v>0</v>
      </c>
      <c r="GI497" s="646"/>
      <c r="GJ497" s="646"/>
      <c r="GK497" s="646"/>
      <c r="GL497" s="646"/>
      <c r="GM497" s="646"/>
      <c r="GN497" s="646"/>
      <c r="GO497" s="646"/>
      <c r="GP497" s="646"/>
      <c r="GQ497" s="646"/>
      <c r="GR497" s="646"/>
      <c r="GS497" s="646"/>
      <c r="GT497" s="646"/>
      <c r="GU497" s="646"/>
      <c r="GV497" s="646"/>
      <c r="GW497" s="646"/>
      <c r="GX497" s="646"/>
      <c r="GY497" s="646"/>
      <c r="GZ497" s="646"/>
      <c r="HA497" s="646"/>
      <c r="HB497" s="646"/>
      <c r="HC497" s="646"/>
      <c r="HD497" s="646"/>
      <c r="HE497" s="646"/>
      <c r="HF497" s="646"/>
      <c r="HG497" s="646"/>
      <c r="HH497" s="646"/>
      <c r="HI497" s="646"/>
      <c r="HJ497" s="646"/>
      <c r="HK497" s="646"/>
      <c r="HL497" s="646"/>
      <c r="HM497" s="646"/>
      <c r="HN497" s="646"/>
      <c r="HO497" s="646"/>
      <c r="HP497" s="646"/>
      <c r="HQ497" s="646"/>
      <c r="HR497" s="646"/>
      <c r="HS497" s="646"/>
      <c r="HT497" s="646"/>
      <c r="HU497" s="646"/>
      <c r="HV497" s="646"/>
      <c r="HW497" s="646"/>
      <c r="HX497" s="646"/>
      <c r="HY497" s="646"/>
      <c r="HZ497" s="649"/>
      <c r="KT497" s="651"/>
      <c r="KU497" s="649"/>
    </row>
    <row r="498" spans="1:307" s="650" customFormat="1" hidden="1" outlineLevel="1">
      <c r="A498" s="644" t="s">
        <v>878</v>
      </c>
      <c r="B498" s="644" t="s">
        <v>338</v>
      </c>
      <c r="C498" s="644"/>
      <c r="D498" s="1254" t="s">
        <v>541</v>
      </c>
      <c r="E498" s="646"/>
      <c r="F498" s="646"/>
      <c r="G498" s="646"/>
      <c r="H498" s="646"/>
      <c r="I498" s="646"/>
      <c r="J498" s="646"/>
      <c r="K498" s="646"/>
      <c r="L498" s="646"/>
      <c r="M498" s="646"/>
      <c r="N498" s="646"/>
      <c r="O498" s="646"/>
      <c r="P498" s="646"/>
      <c r="Q498" s="646"/>
      <c r="R498" s="646"/>
      <c r="S498" s="646"/>
      <c r="T498" s="646"/>
      <c r="U498" s="646"/>
      <c r="V498" s="646"/>
      <c r="W498" s="646"/>
      <c r="X498" s="646"/>
      <c r="Y498" s="646"/>
      <c r="Z498" s="646"/>
      <c r="AA498" s="646"/>
      <c r="AB498" s="646"/>
      <c r="AC498" s="646"/>
      <c r="AD498" s="646"/>
      <c r="AE498" s="646"/>
      <c r="AF498" s="646"/>
      <c r="AG498" s="646"/>
      <c r="AH498" s="646"/>
      <c r="AI498" s="646"/>
      <c r="AJ498" s="646"/>
      <c r="AK498" s="646"/>
      <c r="AL498" s="646"/>
      <c r="AM498" s="646"/>
      <c r="AN498" s="646"/>
      <c r="AO498" s="646"/>
      <c r="AP498" s="646"/>
      <c r="AQ498" s="646"/>
      <c r="AR498" s="646"/>
      <c r="AS498" s="646"/>
      <c r="AT498" s="646"/>
      <c r="AU498" s="646"/>
      <c r="AV498" s="646"/>
      <c r="AW498" s="646"/>
      <c r="AX498" s="646"/>
      <c r="AY498" s="646"/>
      <c r="AZ498" s="646"/>
      <c r="BA498" s="646"/>
      <c r="BB498" s="646"/>
      <c r="BC498" s="646"/>
      <c r="BD498" s="646"/>
      <c r="BE498" s="646"/>
      <c r="BF498" s="646"/>
      <c r="BG498" s="646">
        <v>0.94371822399999994</v>
      </c>
      <c r="BH498" s="646">
        <v>43.329043797110003</v>
      </c>
      <c r="BI498" s="646">
        <v>-27.327052015860001</v>
      </c>
      <c r="BJ498" s="646">
        <v>31.589133218199997</v>
      </c>
      <c r="BK498" s="646">
        <v>-13.378060800249999</v>
      </c>
      <c r="BL498" s="646">
        <v>-33.29622597897</v>
      </c>
      <c r="BM498" s="646">
        <v>24.068314014000002</v>
      </c>
      <c r="BN498" s="646">
        <v>-3.1167669670299976</v>
      </c>
      <c r="BO498" s="646">
        <v>-17.091095405080004</v>
      </c>
      <c r="BP498" s="646">
        <v>37.075812703499992</v>
      </c>
      <c r="BQ498" s="646">
        <v>17.133586539680007</v>
      </c>
      <c r="BR498" s="646">
        <v>-55.626131062070002</v>
      </c>
      <c r="BS498" s="646">
        <v>33.644861710999997</v>
      </c>
      <c r="BT498" s="646">
        <v>-3.4076732229999998</v>
      </c>
      <c r="BU498" s="646">
        <v>-16.813617949000001</v>
      </c>
      <c r="BV498" s="646">
        <v>24.98034817085</v>
      </c>
      <c r="BW498" s="646">
        <v>-0.63893541885000005</v>
      </c>
      <c r="BX498" s="646">
        <v>-9.7159265319999992</v>
      </c>
      <c r="BY498" s="646">
        <v>9.8256760740399969</v>
      </c>
      <c r="BZ498" s="646">
        <v>5.0603803001199985</v>
      </c>
      <c r="CA498" s="646">
        <v>-11.917289328689996</v>
      </c>
      <c r="CB498" s="646">
        <v>42.514982727940001</v>
      </c>
      <c r="CC498" s="646">
        <v>-13.616059480640006</v>
      </c>
      <c r="CD498" s="646">
        <v>-56.914421077519997</v>
      </c>
      <c r="CE498" s="646">
        <v>31.808639599999999</v>
      </c>
      <c r="CF498" s="646">
        <v>-8.1269907109999995</v>
      </c>
      <c r="CG498" s="646">
        <v>6.6859770689999998</v>
      </c>
      <c r="CH498" s="646">
        <v>21.824550973000001</v>
      </c>
      <c r="CI498" s="646">
        <v>-7.7382346240000004</v>
      </c>
      <c r="CJ498" s="646">
        <v>-41.174593983000001</v>
      </c>
      <c r="CK498" s="646">
        <v>35.364857600000001</v>
      </c>
      <c r="CL498" s="646">
        <v>2.1360851240000001</v>
      </c>
      <c r="CM498" s="646">
        <v>-2.0618663549999998</v>
      </c>
      <c r="CN498" s="646">
        <v>25.426471167999999</v>
      </c>
      <c r="CO498" s="646">
        <v>16.747803172000001</v>
      </c>
      <c r="CP498" s="648">
        <v>-79.881917555000001</v>
      </c>
      <c r="CQ498" s="646">
        <v>21.284880143999999</v>
      </c>
      <c r="CR498" s="646">
        <v>15.006292824000001</v>
      </c>
      <c r="CS498" s="646">
        <v>-2.1616755670000001</v>
      </c>
      <c r="CT498" s="646">
        <v>8.2902747340000005</v>
      </c>
      <c r="CU498" s="646">
        <v>14.067638216000001</v>
      </c>
      <c r="CV498" s="646">
        <v>-13.939712251</v>
      </c>
      <c r="CW498" s="646">
        <v>7.2815398059999996</v>
      </c>
      <c r="CX498" s="646">
        <v>17.75406121</v>
      </c>
      <c r="CY498" s="646">
        <v>-8.8636818710000007</v>
      </c>
      <c r="CZ498" s="646">
        <v>12.141147432</v>
      </c>
      <c r="DA498" s="646">
        <v>15.717157070000001</v>
      </c>
      <c r="DB498" s="1297">
        <v>-76.454366909000001</v>
      </c>
      <c r="DC498" s="646">
        <v>37.636702925000002</v>
      </c>
      <c r="DD498" s="646">
        <v>-3.7503312680000001</v>
      </c>
      <c r="DE498" s="646">
        <v>8.4308130559999999</v>
      </c>
      <c r="DF498" s="646">
        <v>21.529509368999999</v>
      </c>
      <c r="DG498" s="646">
        <v>0.76183760700000003</v>
      </c>
      <c r="DH498" s="646">
        <v>-34.708503962000002</v>
      </c>
      <c r="DI498" s="646">
        <v>29.328402982</v>
      </c>
      <c r="DJ498" s="646">
        <v>-5.4833340650000002</v>
      </c>
      <c r="DK498" s="646">
        <v>14.938295030000001</v>
      </c>
      <c r="DL498" s="646">
        <v>-2.7388450029999998</v>
      </c>
      <c r="DM498" s="646">
        <v>32.997606068000003</v>
      </c>
      <c r="DN498" s="648">
        <v>-80.737361011999994</v>
      </c>
      <c r="DO498" s="646">
        <v>9.6132284469999991</v>
      </c>
      <c r="DP498" s="646">
        <v>51.353971930999997</v>
      </c>
      <c r="DQ498" s="646">
        <v>2.2106296799999998</v>
      </c>
      <c r="DR498" s="646">
        <v>5.9088543060000003</v>
      </c>
      <c r="DS498" s="646">
        <v>9.6801277339999992</v>
      </c>
      <c r="DT498" s="646">
        <v>-70.734507523000005</v>
      </c>
      <c r="DU498" s="646">
        <v>50.939858530999999</v>
      </c>
      <c r="DV498" s="646">
        <v>-5.2782235499999999</v>
      </c>
      <c r="DW498" s="646">
        <v>-27.574826075000001</v>
      </c>
      <c r="DX498" s="646">
        <v>59.288729955000001</v>
      </c>
      <c r="DY498" s="646">
        <v>17.518485098999999</v>
      </c>
      <c r="DZ498" s="648">
        <v>-93.281594581999997</v>
      </c>
      <c r="EA498" s="646">
        <v>47.21555936</v>
      </c>
      <c r="EB498" s="646">
        <v>21.202175148999999</v>
      </c>
      <c r="EC498" s="646">
        <v>18.482069285000001</v>
      </c>
      <c r="ED498" s="646">
        <v>1.1225844479999962</v>
      </c>
      <c r="EE498" s="646">
        <v>7.6922014360000004</v>
      </c>
      <c r="EF498" s="646">
        <v>-75.861489285000005</v>
      </c>
      <c r="EG498" s="646">
        <v>4.9656702519999998</v>
      </c>
      <c r="EH498" s="646">
        <v>-0.16435275599999999</v>
      </c>
      <c r="EI498" s="646">
        <v>17.983570476000001</v>
      </c>
      <c r="EJ498" s="646">
        <v>21.250397036999999</v>
      </c>
      <c r="EK498" s="646">
        <v>46.389073705000001</v>
      </c>
      <c r="EL498" s="648">
        <v>-75.403993608999997</v>
      </c>
      <c r="EM498" s="646">
        <v>25.837880049999995</v>
      </c>
      <c r="EN498" s="646">
        <v>36.248566873999998</v>
      </c>
      <c r="EO498" s="646">
        <v>0.44080309799999812</v>
      </c>
      <c r="EP498" s="646">
        <v>33.570550891000082</v>
      </c>
      <c r="EQ498" s="646">
        <v>48.574986181000057</v>
      </c>
      <c r="ER498" s="646">
        <v>-92.413272835000001</v>
      </c>
      <c r="ES498" s="646">
        <v>-30.782850932999999</v>
      </c>
      <c r="ET498" s="646">
        <v>9.7400734640000266</v>
      </c>
      <c r="EU498" s="646">
        <v>11.986744914999997</v>
      </c>
      <c r="EV498" s="646">
        <v>147.276351898</v>
      </c>
      <c r="EW498" s="646">
        <v>62.231566880000003</v>
      </c>
      <c r="EX498" s="648">
        <v>-197.58878029100003</v>
      </c>
      <c r="EY498" s="646">
        <v>26.632126699166701</v>
      </c>
      <c r="EZ498" s="646">
        <v>29.299668134166701</v>
      </c>
      <c r="FA498" s="646">
        <v>40.303694945166704</v>
      </c>
      <c r="FB498" s="646">
        <v>-30.529431193833396</v>
      </c>
      <c r="FC498" s="646">
        <v>55.655963521166804</v>
      </c>
      <c r="FD498" s="646">
        <v>-55.130105226833301</v>
      </c>
      <c r="FE498" s="646">
        <v>-32.025499902</v>
      </c>
      <c r="FF498" s="646">
        <v>-2.960942395</v>
      </c>
      <c r="FG498" s="646">
        <v>-8.9043976540000003</v>
      </c>
      <c r="FH498" s="646">
        <v>2.107157188</v>
      </c>
      <c r="FI498" s="646">
        <v>59.248881259999997</v>
      </c>
      <c r="FJ498" s="648">
        <v>-110.55986481399999</v>
      </c>
      <c r="FK498" s="646">
        <v>86.432213680000004</v>
      </c>
      <c r="FL498" s="646">
        <v>13.579289406999999</v>
      </c>
      <c r="FM498" s="646">
        <v>2.3488274950000001</v>
      </c>
      <c r="FN498" s="646">
        <v>-10.703466624000001</v>
      </c>
      <c r="FO498" s="646">
        <v>12.851430151000001</v>
      </c>
      <c r="FP498" s="646">
        <v>53.273304389000003</v>
      </c>
      <c r="FQ498" s="646">
        <v>0</v>
      </c>
      <c r="FR498" s="646">
        <v>0</v>
      </c>
      <c r="FS498" s="646">
        <v>0</v>
      </c>
      <c r="FT498" s="646">
        <v>0</v>
      </c>
      <c r="FU498" s="646">
        <v>0</v>
      </c>
      <c r="FV498" s="646">
        <v>0</v>
      </c>
      <c r="FW498" s="646">
        <v>22.090584243999999</v>
      </c>
      <c r="FX498" s="646">
        <v>-21.442330771999998</v>
      </c>
      <c r="FY498" s="646">
        <v>47.756068955000003</v>
      </c>
      <c r="FZ498" s="646">
        <v>53.548558104999998</v>
      </c>
      <c r="GA498" s="646">
        <v>4.1963563730000004</v>
      </c>
      <c r="GB498" s="646">
        <v>33.844588815999998</v>
      </c>
      <c r="GC498" s="646">
        <v>18.019215185</v>
      </c>
      <c r="GD498" s="646">
        <v>27.795084486</v>
      </c>
      <c r="GE498" s="646">
        <v>-62.382185071000002</v>
      </c>
      <c r="GF498" s="646">
        <v>17.260068576333328</v>
      </c>
      <c r="GG498" s="646">
        <v>-20.990807772666656</v>
      </c>
      <c r="GH498" s="646">
        <v>-41.478239438094171</v>
      </c>
      <c r="GI498" s="646"/>
      <c r="GJ498" s="646"/>
      <c r="GK498" s="646"/>
      <c r="GL498" s="646"/>
      <c r="GM498" s="646"/>
      <c r="GN498" s="646"/>
      <c r="GO498" s="646"/>
      <c r="GP498" s="646"/>
      <c r="GQ498" s="646"/>
      <c r="GR498" s="646"/>
      <c r="GS498" s="646"/>
      <c r="GT498" s="646"/>
      <c r="GU498" s="646"/>
      <c r="GV498" s="646"/>
      <c r="GW498" s="646"/>
      <c r="GX498" s="646"/>
      <c r="GY498" s="646"/>
      <c r="GZ498" s="646"/>
      <c r="HA498" s="646"/>
      <c r="HB498" s="646"/>
      <c r="HC498" s="646"/>
      <c r="HD498" s="646"/>
      <c r="HE498" s="646"/>
      <c r="HF498" s="646"/>
      <c r="HG498" s="646"/>
      <c r="HH498" s="646"/>
      <c r="HI498" s="646"/>
      <c r="HJ498" s="646"/>
      <c r="HK498" s="646"/>
      <c r="HL498" s="646"/>
      <c r="HM498" s="646"/>
      <c r="HN498" s="646"/>
      <c r="HO498" s="646"/>
      <c r="HP498" s="646"/>
      <c r="HQ498" s="646"/>
      <c r="HR498" s="646"/>
      <c r="HS498" s="646"/>
      <c r="HT498" s="646"/>
      <c r="HU498" s="646"/>
      <c r="HV498" s="646"/>
      <c r="HW498" s="646"/>
      <c r="HX498" s="646"/>
      <c r="HY498" s="646"/>
      <c r="HZ498" s="649"/>
      <c r="KT498" s="651"/>
      <c r="KU498" s="649"/>
    </row>
    <row r="499" spans="1:307" s="650" customFormat="1" hidden="1" outlineLevel="1">
      <c r="A499" s="644" t="s">
        <v>878</v>
      </c>
      <c r="B499" s="644" t="s">
        <v>338</v>
      </c>
      <c r="C499" s="644"/>
      <c r="D499" s="1257" t="s">
        <v>527</v>
      </c>
      <c r="E499" s="646"/>
      <c r="F499" s="646"/>
      <c r="G499" s="646"/>
      <c r="H499" s="646"/>
      <c r="I499" s="646">
        <v>1484656067</v>
      </c>
      <c r="J499" s="646">
        <v>228069025</v>
      </c>
      <c r="K499" s="646">
        <v>-65318803</v>
      </c>
      <c r="L499" s="646">
        <v>-592828039</v>
      </c>
      <c r="M499" s="646">
        <v>862535594</v>
      </c>
      <c r="N499" s="646">
        <v>-1789446409</v>
      </c>
      <c r="O499" s="646">
        <v>1924882442</v>
      </c>
      <c r="P499" s="646">
        <v>-190686357</v>
      </c>
      <c r="Q499" s="646">
        <v>-592921953</v>
      </c>
      <c r="R499" s="646">
        <v>1272072054</v>
      </c>
      <c r="S499" s="646">
        <v>-102206258</v>
      </c>
      <c r="T499" s="646">
        <v>-2304502375</v>
      </c>
      <c r="U499" s="646"/>
      <c r="V499" s="646"/>
      <c r="W499" s="646"/>
      <c r="X499" s="646"/>
      <c r="Y499" s="646"/>
      <c r="Z499" s="646"/>
      <c r="AA499" s="646"/>
      <c r="AB499" s="646"/>
      <c r="AC499" s="646"/>
      <c r="AD499" s="646"/>
      <c r="AE499" s="646"/>
      <c r="AF499" s="646"/>
      <c r="AG499" s="646"/>
      <c r="AH499" s="646"/>
      <c r="AI499" s="646"/>
      <c r="AJ499" s="646"/>
      <c r="AK499" s="646"/>
      <c r="AL499" s="646"/>
      <c r="AM499" s="646"/>
      <c r="AN499" s="646"/>
      <c r="AO499" s="646"/>
      <c r="AP499" s="646"/>
      <c r="AQ499" s="646"/>
      <c r="AR499" s="646"/>
      <c r="AS499" s="646"/>
      <c r="AT499" s="646"/>
      <c r="AU499" s="646"/>
      <c r="AV499" s="646"/>
      <c r="AW499" s="646"/>
      <c r="AX499" s="646"/>
      <c r="AY499" s="646"/>
      <c r="AZ499" s="646"/>
      <c r="BA499" s="646"/>
      <c r="BB499" s="646"/>
      <c r="BC499" s="646"/>
      <c r="BD499" s="646"/>
      <c r="BE499" s="646"/>
      <c r="BF499" s="646"/>
      <c r="BG499" s="646">
        <v>0.46947206099999939</v>
      </c>
      <c r="BH499" s="646">
        <v>6.196080836130001</v>
      </c>
      <c r="BI499" s="646">
        <v>-4.4187823881299995</v>
      </c>
      <c r="BJ499" s="646">
        <v>5.5477816529999977</v>
      </c>
      <c r="BK499" s="646">
        <v>-5.1905819520000005</v>
      </c>
      <c r="BL499" s="646">
        <v>-2.469259224</v>
      </c>
      <c r="BM499" s="646">
        <v>4.7776767510000013</v>
      </c>
      <c r="BN499" s="646">
        <v>-1.8905964149999992</v>
      </c>
      <c r="BO499" s="646">
        <v>-0.70958691300000076</v>
      </c>
      <c r="BP499" s="646">
        <v>2.7964434549999986</v>
      </c>
      <c r="BQ499" s="646">
        <v>-0.95729489200000017</v>
      </c>
      <c r="BR499" s="646">
        <v>-3.8535275930000008</v>
      </c>
      <c r="BS499" s="646">
        <v>11.254511076</v>
      </c>
      <c r="BT499" s="646">
        <v>-7.8753222479999998</v>
      </c>
      <c r="BU499" s="646">
        <v>1.0976082070000004</v>
      </c>
      <c r="BV499" s="646">
        <v>2.5218113560000006</v>
      </c>
      <c r="BW499" s="646">
        <v>-4.3005542639999987</v>
      </c>
      <c r="BX499" s="646">
        <v>-0.77883415799999867</v>
      </c>
      <c r="BY499" s="646">
        <v>6.2947149830000022</v>
      </c>
      <c r="BZ499" s="646">
        <v>-3.3340018479999998</v>
      </c>
      <c r="CA499" s="646">
        <v>-2.2602443229999984</v>
      </c>
      <c r="CB499" s="646">
        <v>3.2310826309999996</v>
      </c>
      <c r="CC499" s="646">
        <v>-2.0653347999999738E-2</v>
      </c>
      <c r="CD499" s="646">
        <v>-5.5696656950000012</v>
      </c>
      <c r="CE499" s="646">
        <v>1.484656067</v>
      </c>
      <c r="CF499" s="646">
        <v>0.22806902500000001</v>
      </c>
      <c r="CG499" s="646">
        <v>-6.5318802999999995E-2</v>
      </c>
      <c r="CH499" s="646">
        <v>-0.59282803900000003</v>
      </c>
      <c r="CI499" s="646">
        <v>0.86253559400000002</v>
      </c>
      <c r="CJ499" s="646">
        <v>-1.789446409</v>
      </c>
      <c r="CK499" s="646">
        <v>1.9248824419999999</v>
      </c>
      <c r="CL499" s="646">
        <v>-0.190686357</v>
      </c>
      <c r="CM499" s="646">
        <v>-0.59292195299999995</v>
      </c>
      <c r="CN499" s="646">
        <v>1.2720720539999999</v>
      </c>
      <c r="CO499" s="646">
        <v>-0.10220625799999999</v>
      </c>
      <c r="CP499" s="648">
        <v>-2.3045023750000002</v>
      </c>
      <c r="CQ499" s="646">
        <v>0.48462025399999997</v>
      </c>
      <c r="CR499" s="646">
        <v>1.339414833</v>
      </c>
      <c r="CS499" s="646">
        <v>0.67551548500000003</v>
      </c>
      <c r="CT499" s="646">
        <v>1.0213641440000001</v>
      </c>
      <c r="CU499" s="646">
        <v>0.33140508800000001</v>
      </c>
      <c r="CV499" s="646">
        <v>-2.9736852900000001</v>
      </c>
      <c r="CW499" s="646">
        <v>1.729368883</v>
      </c>
      <c r="CX499" s="646">
        <v>-0.59187271900000005</v>
      </c>
      <c r="CY499" s="646">
        <v>1.675161557</v>
      </c>
      <c r="CZ499" s="646">
        <v>-2.5341216389999999</v>
      </c>
      <c r="DA499" s="646">
        <v>1.052426986</v>
      </c>
      <c r="DB499" s="1297">
        <v>-1.108783332</v>
      </c>
      <c r="DC499" s="646">
        <v>2.5563952579999998</v>
      </c>
      <c r="DD499" s="646">
        <v>-1.2949420410000001</v>
      </c>
      <c r="DE499" s="646">
        <v>0.54514033299999998</v>
      </c>
      <c r="DF499" s="646">
        <v>-4.1132686000000002E-2</v>
      </c>
      <c r="DG499" s="646">
        <v>-3.8055789999999999E-3</v>
      </c>
      <c r="DH499" s="646">
        <v>-0.71928409100000001</v>
      </c>
      <c r="DI499" s="646">
        <v>1.0863908659999999</v>
      </c>
      <c r="DJ499" s="646">
        <v>1.717071365</v>
      </c>
      <c r="DK499" s="646">
        <v>0.89079727500000006</v>
      </c>
      <c r="DL499" s="646">
        <v>-2.7322038659999999</v>
      </c>
      <c r="DM499" s="646">
        <v>0.65012920200000002</v>
      </c>
      <c r="DN499" s="648">
        <v>-2.6402624280000002</v>
      </c>
      <c r="DO499" s="646">
        <v>9.2170900000000007E-3</v>
      </c>
      <c r="DP499" s="646">
        <v>0.758115231</v>
      </c>
      <c r="DQ499" s="646">
        <v>-0.31715110600000002</v>
      </c>
      <c r="DR499" s="646">
        <v>-0.32364421100000001</v>
      </c>
      <c r="DS499" s="646">
        <v>7.4102460999999994E-2</v>
      </c>
      <c r="DT499" s="646">
        <v>-3.0716634999999999E-2</v>
      </c>
      <c r="DU499" s="646">
        <v>0.15104010000000001</v>
      </c>
      <c r="DV499" s="646">
        <v>0.564858042</v>
      </c>
      <c r="DW499" s="646">
        <v>5.9752327000000001E-2</v>
      </c>
      <c r="DX499" s="646">
        <v>-0.33186059600000001</v>
      </c>
      <c r="DY499" s="646">
        <v>1.150199931</v>
      </c>
      <c r="DZ499" s="648">
        <v>-1.650790448</v>
      </c>
      <c r="EA499" s="646">
        <v>1.1904740519999999</v>
      </c>
      <c r="EB499" s="646">
        <v>-0.25641458</v>
      </c>
      <c r="EC499" s="646">
        <v>2.6294756819999998</v>
      </c>
      <c r="ED499" s="646">
        <v>-2.4216858960000001</v>
      </c>
      <c r="EE499" s="646">
        <v>0.89694469399999999</v>
      </c>
      <c r="EF499" s="646">
        <v>-0.76587780100000002</v>
      </c>
      <c r="EG499" s="646">
        <v>0.56320419799999999</v>
      </c>
      <c r="EH499" s="646">
        <v>-1.272953649</v>
      </c>
      <c r="EI499" s="646">
        <v>3.2515884310000001</v>
      </c>
      <c r="EJ499" s="646">
        <v>-2.4429479449999998</v>
      </c>
      <c r="EK499" s="646">
        <v>0.41880349700000002</v>
      </c>
      <c r="EL499" s="648">
        <v>-0.22620009999999999</v>
      </c>
      <c r="EM499" s="646">
        <v>2.151758901</v>
      </c>
      <c r="EN499" s="646">
        <v>-2.20545598</v>
      </c>
      <c r="EO499" s="646">
        <v>2.1755924250000001</v>
      </c>
      <c r="EP499" s="646">
        <v>-1.079071001</v>
      </c>
      <c r="EQ499" s="646">
        <v>0.86997338800000001</v>
      </c>
      <c r="ER499" s="646">
        <v>0.17998405200000001</v>
      </c>
      <c r="ES499" s="646">
        <v>-3.6815361709999999</v>
      </c>
      <c r="ET499" s="646">
        <v>-1.7822813150000001</v>
      </c>
      <c r="EU499" s="646">
        <v>0.75704950900000001</v>
      </c>
      <c r="EV499" s="646">
        <v>9.9769645950000001</v>
      </c>
      <c r="EW499" s="646">
        <v>0.86914685599999997</v>
      </c>
      <c r="EX499" s="648">
        <v>-1.3963563450000001</v>
      </c>
      <c r="EY499" s="646">
        <v>0.44798172400000003</v>
      </c>
      <c r="EZ499" s="646">
        <v>0.21583977700000001</v>
      </c>
      <c r="FA499" s="646">
        <v>1.237112939</v>
      </c>
      <c r="FB499" s="646">
        <v>-1.4818128770000001</v>
      </c>
      <c r="FC499" s="646">
        <v>8.0327027999999995E-2</v>
      </c>
      <c r="FD499" s="646">
        <v>0.59287240699999999</v>
      </c>
      <c r="FE499" s="646">
        <v>-0.63408234900000005</v>
      </c>
      <c r="FF499" s="646">
        <v>-0.26495948499999999</v>
      </c>
      <c r="FG499" s="646">
        <v>1.916218467</v>
      </c>
      <c r="FH499" s="646">
        <v>2.0070193820000002</v>
      </c>
      <c r="FI499" s="646">
        <v>-2.930883175</v>
      </c>
      <c r="FJ499" s="648">
        <v>-2.1957271779999998</v>
      </c>
      <c r="FK499" s="646">
        <v>0.92708052900000004</v>
      </c>
      <c r="FL499" s="646">
        <v>3.7824493979999998</v>
      </c>
      <c r="FM499" s="646">
        <v>9.1539306000000001E-2</v>
      </c>
      <c r="FN499" s="646">
        <v>-3.5705451450000001</v>
      </c>
      <c r="FO499" s="646">
        <v>-6.0003304E-2</v>
      </c>
      <c r="FP499" s="646">
        <v>0.73536371</v>
      </c>
      <c r="FQ499" s="646">
        <v>-1.260681935</v>
      </c>
      <c r="FR499" s="646">
        <v>2.4990775209999998</v>
      </c>
      <c r="FS499" s="646">
        <v>-0.52373698300000004</v>
      </c>
      <c r="FT499" s="646">
        <v>-1.7187831549999999</v>
      </c>
      <c r="FU499" s="646">
        <v>-0.12442469</v>
      </c>
      <c r="FV499" s="646">
        <v>3.9362059299999999</v>
      </c>
      <c r="FW499" s="646">
        <v>-2.40972601</v>
      </c>
      <c r="FX499" s="646">
        <v>-0.30766922200000002</v>
      </c>
      <c r="FY499" s="646">
        <v>4.5257470089999998</v>
      </c>
      <c r="FZ499" s="646">
        <v>-3.2223894689999999</v>
      </c>
      <c r="GA499" s="646">
        <v>-4.6557864999999997E-2</v>
      </c>
      <c r="GB499" s="646">
        <v>1.398863773</v>
      </c>
      <c r="GC499" s="646">
        <v>0.142834132</v>
      </c>
      <c r="GD499" s="646">
        <v>-1.094339924</v>
      </c>
      <c r="GE499" s="646">
        <v>0.72075460899999999</v>
      </c>
      <c r="GF499" s="646">
        <v>-0.35367833399999998</v>
      </c>
      <c r="GG499" s="646">
        <v>-1.1330766750000001</v>
      </c>
      <c r="GH499" s="646">
        <v>-0.45933037300000001</v>
      </c>
      <c r="GI499" s="646"/>
      <c r="GJ499" s="646"/>
      <c r="GK499" s="646"/>
      <c r="GL499" s="646"/>
      <c r="GM499" s="646"/>
      <c r="GN499" s="646"/>
      <c r="GO499" s="646"/>
      <c r="GP499" s="646"/>
      <c r="GQ499" s="646"/>
      <c r="GR499" s="646"/>
      <c r="GS499" s="646"/>
      <c r="GT499" s="646"/>
      <c r="GU499" s="646"/>
      <c r="GV499" s="646"/>
      <c r="GW499" s="646"/>
      <c r="GX499" s="646"/>
      <c r="GY499" s="646"/>
      <c r="GZ499" s="646"/>
      <c r="HA499" s="646"/>
      <c r="HB499" s="646"/>
      <c r="HC499" s="646"/>
      <c r="HD499" s="646"/>
      <c r="HE499" s="646"/>
      <c r="HF499" s="646"/>
      <c r="HG499" s="646"/>
      <c r="HH499" s="646"/>
      <c r="HI499" s="646"/>
      <c r="HJ499" s="646"/>
      <c r="HK499" s="646"/>
      <c r="HL499" s="646"/>
      <c r="HM499" s="646"/>
      <c r="HN499" s="646"/>
      <c r="HO499" s="646"/>
      <c r="HP499" s="646"/>
      <c r="HQ499" s="646"/>
      <c r="HR499" s="646"/>
      <c r="HS499" s="646"/>
      <c r="HT499" s="646"/>
      <c r="HU499" s="646"/>
      <c r="HV499" s="646"/>
      <c r="HW499" s="646"/>
      <c r="HX499" s="646"/>
      <c r="HY499" s="646"/>
      <c r="HZ499" s="649"/>
      <c r="KT499" s="651"/>
      <c r="KU499" s="649"/>
    </row>
    <row r="500" spans="1:307" s="650" customFormat="1" hidden="1" outlineLevel="1">
      <c r="A500" s="644" t="s">
        <v>878</v>
      </c>
      <c r="B500" s="644" t="s">
        <v>338</v>
      </c>
      <c r="C500" s="644"/>
      <c r="D500" s="1257" t="s">
        <v>528</v>
      </c>
      <c r="E500" s="646"/>
      <c r="F500" s="646"/>
      <c r="G500" s="646"/>
      <c r="H500" s="646"/>
      <c r="I500" s="646">
        <v>4015352897</v>
      </c>
      <c r="J500" s="646">
        <v>2574925317</v>
      </c>
      <c r="K500" s="646">
        <v>1254409069</v>
      </c>
      <c r="L500" s="646">
        <v>-1162162014</v>
      </c>
      <c r="M500" s="646">
        <v>-705369879</v>
      </c>
      <c r="N500" s="646">
        <v>-4395661054</v>
      </c>
      <c r="O500" s="646">
        <v>7354623748</v>
      </c>
      <c r="P500" s="646">
        <v>482122248</v>
      </c>
      <c r="Q500" s="646">
        <v>-1139265542</v>
      </c>
      <c r="R500" s="646">
        <v>15817749943</v>
      </c>
      <c r="S500" s="646">
        <v>-10832942570</v>
      </c>
      <c r="T500" s="646">
        <v>-13025397225</v>
      </c>
      <c r="U500" s="646"/>
      <c r="V500" s="646"/>
      <c r="W500" s="646"/>
      <c r="X500" s="646"/>
      <c r="Y500" s="646"/>
      <c r="Z500" s="646"/>
      <c r="AA500" s="646"/>
      <c r="AB500" s="646"/>
      <c r="AC500" s="646"/>
      <c r="AD500" s="646"/>
      <c r="AE500" s="646"/>
      <c r="AF500" s="646"/>
      <c r="AG500" s="646"/>
      <c r="AH500" s="646"/>
      <c r="AI500" s="646"/>
      <c r="AJ500" s="646"/>
      <c r="AK500" s="646"/>
      <c r="AL500" s="646"/>
      <c r="AM500" s="646"/>
      <c r="AN500" s="646"/>
      <c r="AO500" s="646"/>
      <c r="AP500" s="646"/>
      <c r="AQ500" s="646"/>
      <c r="AR500" s="646"/>
      <c r="AS500" s="646"/>
      <c r="AT500" s="646"/>
      <c r="AU500" s="646"/>
      <c r="AV500" s="646"/>
      <c r="AW500" s="646"/>
      <c r="AX500" s="646"/>
      <c r="AY500" s="646"/>
      <c r="AZ500" s="646"/>
      <c r="BA500" s="646"/>
      <c r="BB500" s="646"/>
      <c r="BC500" s="646"/>
      <c r="BD500" s="646"/>
      <c r="BE500" s="646"/>
      <c r="BF500" s="646"/>
      <c r="BG500" s="646">
        <v>0.15960415400000016</v>
      </c>
      <c r="BH500" s="646">
        <v>22.029728002569996</v>
      </c>
      <c r="BI500" s="646">
        <v>-17.394857779750005</v>
      </c>
      <c r="BJ500" s="646">
        <v>15.731336773070002</v>
      </c>
      <c r="BK500" s="646">
        <v>-4.7219752708899989</v>
      </c>
      <c r="BL500" s="646">
        <v>-14.981434514000002</v>
      </c>
      <c r="BM500" s="646">
        <v>8.3351664099999994</v>
      </c>
      <c r="BN500" s="646">
        <v>1.184886542000001</v>
      </c>
      <c r="BO500" s="646">
        <v>-8.6537330890000028</v>
      </c>
      <c r="BP500" s="646">
        <v>10.033012436999996</v>
      </c>
      <c r="BQ500" s="646">
        <v>12.576393787610002</v>
      </c>
      <c r="BR500" s="646">
        <v>-24.087946211609996</v>
      </c>
      <c r="BS500" s="646">
        <v>7.8697660620000001</v>
      </c>
      <c r="BT500" s="646">
        <v>-1.2834194889999999</v>
      </c>
      <c r="BU500" s="646">
        <v>-2.527306694</v>
      </c>
      <c r="BV500" s="646">
        <v>4.3738191309999976</v>
      </c>
      <c r="BW500" s="646">
        <v>0.58094887600000078</v>
      </c>
      <c r="BX500" s="646">
        <v>-3.877367533000001</v>
      </c>
      <c r="BY500" s="646">
        <v>6.2913984299999974</v>
      </c>
      <c r="BZ500" s="646">
        <v>-0.10470155708000206</v>
      </c>
      <c r="CA500" s="646">
        <v>-2.7838396295700001</v>
      </c>
      <c r="CB500" s="646">
        <v>8.9876496745499992</v>
      </c>
      <c r="CC500" s="646">
        <v>-0.1920686339000035</v>
      </c>
      <c r="CD500" s="646">
        <v>-16.843556919999997</v>
      </c>
      <c r="CE500" s="646">
        <v>4.0153528969999996</v>
      </c>
      <c r="CF500" s="646">
        <v>2.5749253169999999</v>
      </c>
      <c r="CG500" s="646">
        <v>1.254409069</v>
      </c>
      <c r="CH500" s="646">
        <v>-1.162162014</v>
      </c>
      <c r="CI500" s="646">
        <v>-0.70536987900000003</v>
      </c>
      <c r="CJ500" s="646">
        <v>-4.3956610539999996</v>
      </c>
      <c r="CK500" s="646">
        <v>7.3546237479999998</v>
      </c>
      <c r="CL500" s="646">
        <v>0.48212224799999998</v>
      </c>
      <c r="CM500" s="646">
        <v>-1.139265542</v>
      </c>
      <c r="CN500" s="646">
        <v>15.817749943000001</v>
      </c>
      <c r="CO500" s="646">
        <v>-10.83294257</v>
      </c>
      <c r="CP500" s="648">
        <v>-13.025397225000001</v>
      </c>
      <c r="CQ500" s="646">
        <v>5.5477273970000001</v>
      </c>
      <c r="CR500" s="646">
        <v>3.3227367889999999</v>
      </c>
      <c r="CS500" s="646">
        <v>-0.114080757</v>
      </c>
      <c r="CT500" s="646">
        <v>5.6751364999999998</v>
      </c>
      <c r="CU500" s="646">
        <v>3.9549416530000001</v>
      </c>
      <c r="CV500" s="646">
        <v>-2.5009228010000002</v>
      </c>
      <c r="CW500" s="646">
        <v>-3.8636968880000002</v>
      </c>
      <c r="CX500" s="646">
        <v>3.2032417519999998</v>
      </c>
      <c r="CY500" s="646">
        <v>-5.4448732160000004</v>
      </c>
      <c r="CZ500" s="646">
        <v>11.804418145</v>
      </c>
      <c r="DA500" s="646">
        <v>3.7905243190000002</v>
      </c>
      <c r="DB500" s="1297">
        <v>-24.543369866999999</v>
      </c>
      <c r="DC500" s="646">
        <v>28.555881091</v>
      </c>
      <c r="DD500" s="646">
        <v>-14.751219162</v>
      </c>
      <c r="DE500" s="646">
        <v>-1.111964457</v>
      </c>
      <c r="DF500" s="646">
        <v>11.239194691</v>
      </c>
      <c r="DG500" s="646">
        <v>-8.1421364880000002</v>
      </c>
      <c r="DH500" s="646">
        <v>-5.7456878089999996</v>
      </c>
      <c r="DI500" s="646">
        <v>7.4598460839999996</v>
      </c>
      <c r="DJ500" s="646">
        <v>-2.8648228630000001</v>
      </c>
      <c r="DK500" s="646">
        <v>5.4233367909999997</v>
      </c>
      <c r="DL500" s="646">
        <v>-10.723537154000001</v>
      </c>
      <c r="DM500" s="646">
        <v>7.5921384249999999</v>
      </c>
      <c r="DN500" s="648">
        <v>-13.558729153</v>
      </c>
      <c r="DO500" s="646">
        <v>7.0171734189999997</v>
      </c>
      <c r="DP500" s="646">
        <v>32.420879694</v>
      </c>
      <c r="DQ500" s="646">
        <v>-5.2783875000000001E-2</v>
      </c>
      <c r="DR500" s="646">
        <v>1.2826737109999999</v>
      </c>
      <c r="DS500" s="646">
        <v>-0.13726827</v>
      </c>
      <c r="DT500" s="646">
        <v>-34.354908090000002</v>
      </c>
      <c r="DU500" s="646">
        <v>15.475337358000001</v>
      </c>
      <c r="DV500" s="646">
        <v>-1.705527469</v>
      </c>
      <c r="DW500" s="646">
        <v>-12.894787418</v>
      </c>
      <c r="DX500" s="646">
        <v>33.943519809999998</v>
      </c>
      <c r="DY500" s="646">
        <v>-5.6882244829999999</v>
      </c>
      <c r="DZ500" s="648">
        <v>-31.529449396</v>
      </c>
      <c r="EA500" s="646">
        <v>31.906529549999998</v>
      </c>
      <c r="EB500" s="646">
        <v>-1.4084786570000001</v>
      </c>
      <c r="EC500" s="646">
        <v>1.7487158739999999</v>
      </c>
      <c r="ED500" s="646">
        <v>11.850527012000001</v>
      </c>
      <c r="EE500" s="646">
        <v>5.4490430779999999</v>
      </c>
      <c r="EF500" s="646">
        <v>-45.367949164999999</v>
      </c>
      <c r="EG500" s="646">
        <v>-5.7088783640000003</v>
      </c>
      <c r="EH500" s="646">
        <v>0.59349780399999996</v>
      </c>
      <c r="EI500" s="646">
        <v>-0.48160762400000001</v>
      </c>
      <c r="EJ500" s="646">
        <v>3.2938616199999999</v>
      </c>
      <c r="EK500" s="646">
        <v>13.683859159000001</v>
      </c>
      <c r="EL500" s="648">
        <v>-26.446166867999999</v>
      </c>
      <c r="EM500" s="646">
        <v>8.9310062259999956</v>
      </c>
      <c r="EN500" s="646">
        <v>34.714914598777781</v>
      </c>
      <c r="EO500" s="646">
        <v>-7.953171422222137E-2</v>
      </c>
      <c r="EP500" s="646">
        <v>5.7118235130000308</v>
      </c>
      <c r="EQ500" s="646">
        <v>12.605920688777832</v>
      </c>
      <c r="ER500" s="646">
        <v>-28.494794670999998</v>
      </c>
      <c r="ES500" s="646">
        <v>-12.843749224</v>
      </c>
      <c r="ET500" s="646">
        <v>-13.803377437999973</v>
      </c>
      <c r="EU500" s="646">
        <v>11.702664852333328</v>
      </c>
      <c r="EV500" s="646">
        <v>69.525123570000005</v>
      </c>
      <c r="EW500" s="646">
        <v>4.7896733543333285</v>
      </c>
      <c r="EX500" s="648">
        <v>-61.561724956000042</v>
      </c>
      <c r="EY500" s="646">
        <v>-0.46499918183329775</v>
      </c>
      <c r="EZ500" s="646">
        <v>-5.9047695038332977</v>
      </c>
      <c r="FA500" s="646">
        <v>16.570701537166702</v>
      </c>
      <c r="FB500" s="646">
        <v>-7.7130264538333968</v>
      </c>
      <c r="FC500" s="646">
        <v>22.251476094166801</v>
      </c>
      <c r="FD500" s="646">
        <v>-6.176879479833298</v>
      </c>
      <c r="FE500" s="646">
        <v>-11.394591945</v>
      </c>
      <c r="FF500" s="646">
        <v>8.5221256390000004</v>
      </c>
      <c r="FG500" s="646">
        <v>-6.8740790040000004</v>
      </c>
      <c r="FH500" s="646">
        <v>14.154954904</v>
      </c>
      <c r="FI500" s="646">
        <v>32.948752421999998</v>
      </c>
      <c r="FJ500" s="648">
        <v>24.018453278999999</v>
      </c>
      <c r="FK500" s="646">
        <v>0.91313898699999996</v>
      </c>
      <c r="FL500" s="646">
        <v>-1.8659322119999999</v>
      </c>
      <c r="FM500" s="646">
        <v>-18.568741016000001</v>
      </c>
      <c r="FN500" s="646">
        <v>-16.044073922999999</v>
      </c>
      <c r="FO500" s="646">
        <v>-6.5394219099999997</v>
      </c>
      <c r="FP500" s="646">
        <v>6.3448939659999999</v>
      </c>
      <c r="FQ500" s="646">
        <v>-0.44350339100000002</v>
      </c>
      <c r="FR500" s="646">
        <v>-2.6617947200000001</v>
      </c>
      <c r="FS500" s="646">
        <v>5.8935085540000003</v>
      </c>
      <c r="FT500" s="646">
        <v>3.902047499</v>
      </c>
      <c r="FU500" s="646">
        <v>91.861462785000001</v>
      </c>
      <c r="FV500" s="646">
        <v>-86.333423972999995</v>
      </c>
      <c r="FW500" s="646">
        <v>-5.2566508199999999</v>
      </c>
      <c r="FX500" s="646">
        <v>-38.728179050999998</v>
      </c>
      <c r="FY500" s="646">
        <v>6.867233229</v>
      </c>
      <c r="FZ500" s="646">
        <v>22.698204629999999</v>
      </c>
      <c r="GA500" s="646">
        <v>32.648118160000003</v>
      </c>
      <c r="GB500" s="646">
        <v>24.493759735000001</v>
      </c>
      <c r="GC500" s="646">
        <v>-0.83996817499999998</v>
      </c>
      <c r="GD500" s="646">
        <v>20.126646566000002</v>
      </c>
      <c r="GE500" s="646">
        <v>23.195875037</v>
      </c>
      <c r="GF500" s="646">
        <v>30.622184623999999</v>
      </c>
      <c r="GG500" s="646">
        <v>6.8794947380000151</v>
      </c>
      <c r="GH500" s="646">
        <v>6.1906222079999997</v>
      </c>
      <c r="GI500" s="646"/>
      <c r="GJ500" s="646"/>
      <c r="GK500" s="646"/>
      <c r="GL500" s="646"/>
      <c r="GM500" s="646"/>
      <c r="GN500" s="646"/>
      <c r="GO500" s="646"/>
      <c r="GP500" s="646"/>
      <c r="GQ500" s="646"/>
      <c r="GR500" s="646"/>
      <c r="GS500" s="646"/>
      <c r="GT500" s="646"/>
      <c r="GU500" s="646"/>
      <c r="GV500" s="646"/>
      <c r="GW500" s="646"/>
      <c r="GX500" s="646"/>
      <c r="GY500" s="646"/>
      <c r="GZ500" s="646"/>
      <c r="HA500" s="646"/>
      <c r="HB500" s="646"/>
      <c r="HC500" s="646"/>
      <c r="HD500" s="646"/>
      <c r="HE500" s="646"/>
      <c r="HF500" s="646"/>
      <c r="HG500" s="646"/>
      <c r="HH500" s="646"/>
      <c r="HI500" s="646"/>
      <c r="HJ500" s="646"/>
      <c r="HK500" s="646"/>
      <c r="HL500" s="646"/>
      <c r="HM500" s="646"/>
      <c r="HN500" s="646"/>
      <c r="HO500" s="646"/>
      <c r="HP500" s="646"/>
      <c r="HQ500" s="646"/>
      <c r="HR500" s="646"/>
      <c r="HS500" s="646"/>
      <c r="HT500" s="646"/>
      <c r="HU500" s="646"/>
      <c r="HV500" s="646"/>
      <c r="HW500" s="646"/>
      <c r="HX500" s="646"/>
      <c r="HY500" s="646"/>
      <c r="HZ500" s="649"/>
      <c r="KT500" s="651"/>
      <c r="KU500" s="649"/>
    </row>
    <row r="501" spans="1:307" s="650" customFormat="1" hidden="1" outlineLevel="1">
      <c r="A501" s="644" t="s">
        <v>878</v>
      </c>
      <c r="B501" s="644" t="s">
        <v>338</v>
      </c>
      <c r="C501" s="644"/>
      <c r="D501" s="1257" t="s">
        <v>532</v>
      </c>
      <c r="E501" s="646"/>
      <c r="F501" s="646"/>
      <c r="G501" s="646"/>
      <c r="H501" s="646"/>
      <c r="I501" s="646">
        <v>2302475608</v>
      </c>
      <c r="J501" s="646">
        <v>-718747116</v>
      </c>
      <c r="K501" s="646">
        <v>359853875</v>
      </c>
      <c r="L501" s="646">
        <v>986813689</v>
      </c>
      <c r="M501" s="646">
        <v>-1129720182</v>
      </c>
      <c r="N501" s="646">
        <v>-1783639080</v>
      </c>
      <c r="O501" s="646">
        <v>2448368956</v>
      </c>
      <c r="P501" s="646">
        <v>-2055840249</v>
      </c>
      <c r="Q501" s="646">
        <v>381684355</v>
      </c>
      <c r="R501" s="646">
        <v>-357862101</v>
      </c>
      <c r="S501" s="646">
        <v>537821801</v>
      </c>
      <c r="T501" s="646">
        <v>-971209556</v>
      </c>
      <c r="U501" s="646"/>
      <c r="V501" s="646"/>
      <c r="W501" s="646"/>
      <c r="X501" s="646"/>
      <c r="Y501" s="646"/>
      <c r="Z501" s="646"/>
      <c r="AA501" s="646"/>
      <c r="AB501" s="646"/>
      <c r="AC501" s="646"/>
      <c r="AD501" s="646"/>
      <c r="AE501" s="646"/>
      <c r="AF501" s="646"/>
      <c r="AG501" s="646"/>
      <c r="AH501" s="646"/>
      <c r="AI501" s="646"/>
      <c r="AJ501" s="646"/>
      <c r="AK501" s="646"/>
      <c r="AL501" s="646"/>
      <c r="AM501" s="646"/>
      <c r="AN501" s="646"/>
      <c r="AO501" s="646"/>
      <c r="AP501" s="646"/>
      <c r="AQ501" s="646"/>
      <c r="AR501" s="646"/>
      <c r="AS501" s="646"/>
      <c r="AT501" s="646"/>
      <c r="AU501" s="646"/>
      <c r="AV501" s="646"/>
      <c r="AW501" s="646"/>
      <c r="AX501" s="646"/>
      <c r="AY501" s="646"/>
      <c r="AZ501" s="646"/>
      <c r="BA501" s="646"/>
      <c r="BB501" s="646"/>
      <c r="BC501" s="646"/>
      <c r="BD501" s="646"/>
      <c r="BE501" s="646"/>
      <c r="BF501" s="646"/>
      <c r="BG501" s="646">
        <v>0.18025558200000003</v>
      </c>
      <c r="BH501" s="646">
        <v>1.7481906407400003</v>
      </c>
      <c r="BI501" s="646">
        <v>-1.74792118451</v>
      </c>
      <c r="BJ501" s="646">
        <v>0.98748139032999971</v>
      </c>
      <c r="BK501" s="646">
        <v>-9.2916145360000257E-2</v>
      </c>
      <c r="BL501" s="646">
        <v>-0.8945652449699999</v>
      </c>
      <c r="BM501" s="646">
        <v>9.5079756000000515E-2</v>
      </c>
      <c r="BN501" s="646">
        <v>0.11760289596999973</v>
      </c>
      <c r="BO501" s="646">
        <v>-0.11760289597000018</v>
      </c>
      <c r="BP501" s="646">
        <v>1.2550924415500004</v>
      </c>
      <c r="BQ501" s="646">
        <v>2.2203515385900001</v>
      </c>
      <c r="BR501" s="646">
        <v>-3.56185361014</v>
      </c>
      <c r="BS501" s="646">
        <v>0.88182159399999982</v>
      </c>
      <c r="BT501" s="646">
        <v>-8.3114436999999874E-2</v>
      </c>
      <c r="BU501" s="646">
        <v>-7.4241527999999946E-2</v>
      </c>
      <c r="BV501" s="646">
        <v>-0.56539282700000015</v>
      </c>
      <c r="BW501" s="646">
        <v>0.6392482639999999</v>
      </c>
      <c r="BX501" s="646">
        <v>-0.40212852300000002</v>
      </c>
      <c r="BY501" s="646">
        <v>0.20787364099999994</v>
      </c>
      <c r="BZ501" s="646">
        <v>2.0811220449999999</v>
      </c>
      <c r="CA501" s="646">
        <v>-1.843422801</v>
      </c>
      <c r="CB501" s="646">
        <v>-0.12210304400000016</v>
      </c>
      <c r="CC501" s="646">
        <v>0.42684215781000001</v>
      </c>
      <c r="CD501" s="646">
        <v>-1.0379477678099998</v>
      </c>
      <c r="CE501" s="646">
        <v>2.302475608</v>
      </c>
      <c r="CF501" s="646">
        <v>-0.71874711599999996</v>
      </c>
      <c r="CG501" s="646">
        <v>0.35985387499999999</v>
      </c>
      <c r="CH501" s="646">
        <v>0.98681368899999999</v>
      </c>
      <c r="CI501" s="646">
        <v>-1.129720182</v>
      </c>
      <c r="CJ501" s="646">
        <v>-1.7836390799999999</v>
      </c>
      <c r="CK501" s="646">
        <v>2.4483689559999999</v>
      </c>
      <c r="CL501" s="646">
        <v>-2.0558402490000001</v>
      </c>
      <c r="CM501" s="646">
        <v>0.38168435499999998</v>
      </c>
      <c r="CN501" s="646">
        <v>-0.35786210099999999</v>
      </c>
      <c r="CO501" s="646">
        <v>0.53782180099999999</v>
      </c>
      <c r="CP501" s="648">
        <v>-0.97120955600000003</v>
      </c>
      <c r="CQ501" s="646">
        <v>0.62342758799999998</v>
      </c>
      <c r="CR501" s="646">
        <v>-0.62342758799999998</v>
      </c>
      <c r="CS501" s="646">
        <v>0.70440946199999999</v>
      </c>
      <c r="CT501" s="646">
        <v>0.64342932200000003</v>
      </c>
      <c r="CU501" s="646">
        <v>0.49029287300000002</v>
      </c>
      <c r="CV501" s="646">
        <v>-0.78892153499999995</v>
      </c>
      <c r="CW501" s="646">
        <v>-0.82661062799999996</v>
      </c>
      <c r="CX501" s="646">
        <v>-0.20234997499999999</v>
      </c>
      <c r="CY501" s="646">
        <v>2.6761922E-2</v>
      </c>
      <c r="CZ501" s="646">
        <v>7.5988078000000001E-2</v>
      </c>
      <c r="DA501" s="646">
        <v>1.6033668539999999</v>
      </c>
      <c r="DB501" s="1297">
        <v>-1.706116854</v>
      </c>
      <c r="DC501" s="646">
        <v>0</v>
      </c>
      <c r="DD501" s="646">
        <v>1.3866867009999999</v>
      </c>
      <c r="DE501" s="646">
        <v>4.4894798E-2</v>
      </c>
      <c r="DF501" s="646">
        <v>1.453279695</v>
      </c>
      <c r="DG501" s="646">
        <v>0.92217610699999997</v>
      </c>
      <c r="DH501" s="646">
        <v>6.5072247440000002</v>
      </c>
      <c r="DI501" s="646">
        <v>-8.557284804</v>
      </c>
      <c r="DJ501" s="646">
        <v>-1.0358669599999999</v>
      </c>
      <c r="DK501" s="646">
        <v>2.6375286230000001</v>
      </c>
      <c r="DL501" s="646">
        <v>-0.58093077000000004</v>
      </c>
      <c r="DM501" s="646">
        <v>-0.57438353399999997</v>
      </c>
      <c r="DN501" s="648">
        <v>-2.1763085000000002</v>
      </c>
      <c r="DO501" s="646">
        <v>0</v>
      </c>
      <c r="DP501" s="646">
        <v>0</v>
      </c>
      <c r="DQ501" s="646">
        <v>1.8203185E-2</v>
      </c>
      <c r="DR501" s="646">
        <v>2.5096815000000001E-2</v>
      </c>
      <c r="DS501" s="646">
        <v>-0.01</v>
      </c>
      <c r="DT501" s="646">
        <v>-3.3300000000000003E-2</v>
      </c>
      <c r="DU501" s="646">
        <v>0</v>
      </c>
      <c r="DV501" s="646">
        <v>0</v>
      </c>
      <c r="DW501" s="646">
        <v>0</v>
      </c>
      <c r="DX501" s="646">
        <v>0.104</v>
      </c>
      <c r="DY501" s="646">
        <v>3.7461539000000002E-2</v>
      </c>
      <c r="DZ501" s="648">
        <v>-0.141461539</v>
      </c>
      <c r="EA501" s="646">
        <v>0</v>
      </c>
      <c r="EB501" s="646">
        <v>0</v>
      </c>
      <c r="EC501" s="646">
        <v>0</v>
      </c>
      <c r="ED501" s="646">
        <v>0.63627795700000001</v>
      </c>
      <c r="EE501" s="646">
        <v>-9.2114635E-2</v>
      </c>
      <c r="EF501" s="646">
        <v>-0.54416332199999995</v>
      </c>
      <c r="EG501" s="646">
        <v>0.146417305</v>
      </c>
      <c r="EH501" s="646">
        <v>-9.4252060000000002E-3</v>
      </c>
      <c r="EI501" s="646">
        <v>-0.13699209900000001</v>
      </c>
      <c r="EJ501" s="646">
        <v>1.3195431000000001E-2</v>
      </c>
      <c r="EK501" s="646">
        <v>-3.1954309999999999E-3</v>
      </c>
      <c r="EL501" s="648">
        <v>-0.01</v>
      </c>
      <c r="EM501" s="646">
        <v>1.778659754</v>
      </c>
      <c r="EN501" s="646">
        <v>-0.57382034699999995</v>
      </c>
      <c r="EO501" s="646">
        <v>-1.143855208</v>
      </c>
      <c r="EP501" s="646">
        <v>2.593542088</v>
      </c>
      <c r="EQ501" s="646">
        <v>1.081968</v>
      </c>
      <c r="ER501" s="646">
        <v>-0.19603668699999999</v>
      </c>
      <c r="ES501" s="646">
        <v>-3.5054576000000002</v>
      </c>
      <c r="ET501" s="646">
        <v>0.31528379099999998</v>
      </c>
      <c r="EU501" s="646">
        <v>8.5000000000000006E-2</v>
      </c>
      <c r="EV501" s="646">
        <v>1.2473845969999999</v>
      </c>
      <c r="EW501" s="646">
        <v>0.56173798399999997</v>
      </c>
      <c r="EX501" s="648">
        <v>-0.74756540900000001</v>
      </c>
      <c r="EY501" s="646">
        <v>-0.29470773500000003</v>
      </c>
      <c r="EZ501" s="646">
        <v>0.63540558300000005</v>
      </c>
      <c r="FA501" s="646">
        <v>0.36741633400000001</v>
      </c>
      <c r="FB501" s="646">
        <v>1.8153174030000001</v>
      </c>
      <c r="FC501" s="646">
        <v>-0.52867840799999999</v>
      </c>
      <c r="FD501" s="646">
        <v>0.498935305</v>
      </c>
      <c r="FE501" s="646">
        <v>-0.78183704399999998</v>
      </c>
      <c r="FF501" s="646">
        <v>1.2311872999999999E-2</v>
      </c>
      <c r="FG501" s="646">
        <v>0.96189106199999996</v>
      </c>
      <c r="FH501" s="646">
        <v>-1.945193145</v>
      </c>
      <c r="FI501" s="646">
        <v>1.584105503</v>
      </c>
      <c r="FJ501" s="648">
        <v>-1.8236722679999999</v>
      </c>
      <c r="FK501" s="646">
        <v>1.218390131</v>
      </c>
      <c r="FL501" s="646">
        <v>-1.011248403</v>
      </c>
      <c r="FM501" s="646">
        <v>-0.108558561</v>
      </c>
      <c r="FN501" s="646">
        <v>2.108993E-2</v>
      </c>
      <c r="FO501" s="646">
        <v>-0.11660796900000001</v>
      </c>
      <c r="FP501" s="646">
        <v>0.26944000000000001</v>
      </c>
      <c r="FQ501" s="646">
        <v>0.57198484400000005</v>
      </c>
      <c r="FR501" s="646">
        <v>-0.22567034899999999</v>
      </c>
      <c r="FS501" s="646">
        <v>-0.25463129499999998</v>
      </c>
      <c r="FT501" s="646">
        <v>-9.1758215000000004E-2</v>
      </c>
      <c r="FU501" s="646">
        <v>2.3879104390000001</v>
      </c>
      <c r="FV501" s="646">
        <v>-2.6603405520000001</v>
      </c>
      <c r="FW501" s="646">
        <v>4.58</v>
      </c>
      <c r="FX501" s="646">
        <v>-1.5603875380000001</v>
      </c>
      <c r="FY501" s="646">
        <v>-2.3905713460000002</v>
      </c>
      <c r="FZ501" s="646">
        <v>-0.54282085400000002</v>
      </c>
      <c r="GA501" s="646">
        <v>-1.7802619999999999E-3</v>
      </c>
      <c r="GB501" s="646">
        <v>-5.3160794999999997E-2</v>
      </c>
      <c r="GC501" s="646">
        <v>1.17227785</v>
      </c>
      <c r="GD501" s="646">
        <v>0.15382949700000001</v>
      </c>
      <c r="GE501" s="646">
        <v>5.2114615000000003E-2</v>
      </c>
      <c r="GF501" s="646">
        <v>-1.9171278620000001</v>
      </c>
      <c r="GG501" s="646">
        <v>0.37350508100000002</v>
      </c>
      <c r="GH501" s="646">
        <v>-1.1801735149999999</v>
      </c>
      <c r="GI501" s="646"/>
      <c r="GJ501" s="646"/>
      <c r="GK501" s="646"/>
      <c r="GL501" s="646"/>
      <c r="GM501" s="646"/>
      <c r="GN501" s="646"/>
      <c r="GO501" s="646"/>
      <c r="GP501" s="646"/>
      <c r="GQ501" s="646"/>
      <c r="GR501" s="646"/>
      <c r="GS501" s="646"/>
      <c r="GT501" s="646"/>
      <c r="GU501" s="646"/>
      <c r="GV501" s="646"/>
      <c r="GW501" s="646"/>
      <c r="GX501" s="646"/>
      <c r="GY501" s="646"/>
      <c r="GZ501" s="646"/>
      <c r="HA501" s="646"/>
      <c r="HB501" s="646"/>
      <c r="HC501" s="646"/>
      <c r="HD501" s="646"/>
      <c r="HE501" s="646"/>
      <c r="HF501" s="646"/>
      <c r="HG501" s="646"/>
      <c r="HH501" s="646"/>
      <c r="HI501" s="646"/>
      <c r="HJ501" s="646"/>
      <c r="HK501" s="646"/>
      <c r="HL501" s="646"/>
      <c r="HM501" s="646"/>
      <c r="HN501" s="646"/>
      <c r="HO501" s="646"/>
      <c r="HP501" s="646"/>
      <c r="HQ501" s="646"/>
      <c r="HR501" s="646"/>
      <c r="HS501" s="646"/>
      <c r="HT501" s="646"/>
      <c r="HU501" s="646"/>
      <c r="HV501" s="646"/>
      <c r="HW501" s="646"/>
      <c r="HX501" s="646"/>
      <c r="HY501" s="646"/>
      <c r="HZ501" s="649"/>
      <c r="KT501" s="651"/>
      <c r="KU501" s="649"/>
    </row>
    <row r="502" spans="1:307" s="650" customFormat="1" hidden="1" outlineLevel="1">
      <c r="A502" s="644" t="s">
        <v>878</v>
      </c>
      <c r="B502" s="644" t="s">
        <v>338</v>
      </c>
      <c r="C502" s="644"/>
      <c r="D502" s="1257" t="s">
        <v>504</v>
      </c>
      <c r="E502" s="646"/>
      <c r="F502" s="646"/>
      <c r="G502" s="646"/>
      <c r="H502" s="646"/>
      <c r="I502" s="646">
        <v>12543756551</v>
      </c>
      <c r="J502" s="646">
        <v>-10079711448</v>
      </c>
      <c r="K502" s="646">
        <v>119467722</v>
      </c>
      <c r="L502" s="646">
        <v>10308136697</v>
      </c>
      <c r="M502" s="646">
        <v>3873634525</v>
      </c>
      <c r="N502" s="646">
        <v>-16589207829</v>
      </c>
      <c r="O502" s="646">
        <v>12686293164</v>
      </c>
      <c r="P502" s="646">
        <v>-1737136420</v>
      </c>
      <c r="Q502" s="646">
        <v>1106199208</v>
      </c>
      <c r="R502" s="646">
        <v>-6232099133</v>
      </c>
      <c r="S502" s="646">
        <v>8375223599</v>
      </c>
      <c r="T502" s="646">
        <v>-14300354485</v>
      </c>
      <c r="U502" s="646"/>
      <c r="V502" s="646"/>
      <c r="W502" s="646"/>
      <c r="X502" s="646"/>
      <c r="Y502" s="646"/>
      <c r="Z502" s="646"/>
      <c r="AA502" s="646"/>
      <c r="AB502" s="646"/>
      <c r="AC502" s="646"/>
      <c r="AD502" s="646"/>
      <c r="AE502" s="646"/>
      <c r="AF502" s="646"/>
      <c r="AG502" s="646"/>
      <c r="AH502" s="646"/>
      <c r="AI502" s="646"/>
      <c r="AJ502" s="646"/>
      <c r="AK502" s="646"/>
      <c r="AL502" s="646"/>
      <c r="AM502" s="646"/>
      <c r="AN502" s="646"/>
      <c r="AO502" s="646"/>
      <c r="AP502" s="646"/>
      <c r="AQ502" s="646"/>
      <c r="AR502" s="646"/>
      <c r="AS502" s="646"/>
      <c r="AT502" s="646"/>
      <c r="AU502" s="646"/>
      <c r="AV502" s="646"/>
      <c r="AW502" s="646"/>
      <c r="AX502" s="646"/>
      <c r="AY502" s="646"/>
      <c r="AZ502" s="646"/>
      <c r="BA502" s="646"/>
      <c r="BB502" s="646"/>
      <c r="BC502" s="646"/>
      <c r="BD502" s="646"/>
      <c r="BE502" s="646"/>
      <c r="BF502" s="646"/>
      <c r="BG502" s="646">
        <v>0</v>
      </c>
      <c r="BH502" s="646">
        <v>0.76492427000000029</v>
      </c>
      <c r="BI502" s="646">
        <v>0.25192332899999981</v>
      </c>
      <c r="BJ502" s="646">
        <v>0.14140297700000026</v>
      </c>
      <c r="BK502" s="646">
        <v>-0.25801329500000003</v>
      </c>
      <c r="BL502" s="646">
        <v>-0.87626774799999985</v>
      </c>
      <c r="BM502" s="646">
        <v>1.9339253040000002</v>
      </c>
      <c r="BN502" s="646">
        <v>-1.4928423880000006</v>
      </c>
      <c r="BO502" s="646">
        <v>-0.38212373800000021</v>
      </c>
      <c r="BP502" s="646">
        <v>0.53410289499999974</v>
      </c>
      <c r="BQ502" s="646">
        <v>0.12483470200000024</v>
      </c>
      <c r="BR502" s="646">
        <v>-0.74186630799999997</v>
      </c>
      <c r="BS502" s="646">
        <v>2.4362525590000002</v>
      </c>
      <c r="BT502" s="646">
        <v>-0.70857051999999987</v>
      </c>
      <c r="BU502" s="646">
        <v>-0.9507399379999999</v>
      </c>
      <c r="BV502" s="646">
        <v>2.1956142609999998</v>
      </c>
      <c r="BW502" s="646">
        <v>0.71564380000000005</v>
      </c>
      <c r="BX502" s="646">
        <v>-2.6155045830000003</v>
      </c>
      <c r="BY502" s="646">
        <v>-0.37440005300000001</v>
      </c>
      <c r="BZ502" s="646">
        <v>3.4756524190000002</v>
      </c>
      <c r="CA502" s="646">
        <v>-0.83731913299999983</v>
      </c>
      <c r="CB502" s="646">
        <v>3.4455531520000005</v>
      </c>
      <c r="CC502" s="646">
        <v>-3.2944779469999999</v>
      </c>
      <c r="CD502" s="646">
        <v>-3.4836169360000007</v>
      </c>
      <c r="CE502" s="646">
        <v>12.543756551</v>
      </c>
      <c r="CF502" s="646">
        <v>-10.079711447999999</v>
      </c>
      <c r="CG502" s="646">
        <v>0.119467722</v>
      </c>
      <c r="CH502" s="646">
        <v>10.308136697</v>
      </c>
      <c r="CI502" s="646">
        <v>3.8736345249999999</v>
      </c>
      <c r="CJ502" s="646">
        <v>-16.589207828999999</v>
      </c>
      <c r="CK502" s="646">
        <v>12.686293164</v>
      </c>
      <c r="CL502" s="646">
        <v>-1.7371364199999999</v>
      </c>
      <c r="CM502" s="646">
        <v>1.106199208</v>
      </c>
      <c r="CN502" s="646">
        <v>-6.2320991330000002</v>
      </c>
      <c r="CO502" s="646">
        <v>8.3752235989999999</v>
      </c>
      <c r="CP502" s="648">
        <v>-14.300354485</v>
      </c>
      <c r="CQ502" s="646">
        <v>3.1609261E-2</v>
      </c>
      <c r="CR502" s="646">
        <v>-3.0416512999999999E-2</v>
      </c>
      <c r="CS502" s="646">
        <v>2.1242390009999998</v>
      </c>
      <c r="CT502" s="646">
        <v>-1.6341817489999999</v>
      </c>
      <c r="CU502" s="646">
        <v>3.484146E-3</v>
      </c>
      <c r="CV502" s="646">
        <v>0.65188679699999996</v>
      </c>
      <c r="CW502" s="646">
        <v>0.55348901299999997</v>
      </c>
      <c r="CX502" s="646">
        <v>0.82374757200000004</v>
      </c>
      <c r="CY502" s="646">
        <v>-2.3476994289999999</v>
      </c>
      <c r="CZ502" s="646">
        <v>0.115947207</v>
      </c>
      <c r="DA502" s="646">
        <v>2.2048039130000001</v>
      </c>
      <c r="DB502" s="1297">
        <v>-2.496909219</v>
      </c>
      <c r="DC502" s="646">
        <v>0</v>
      </c>
      <c r="DD502" s="646">
        <v>0.01</v>
      </c>
      <c r="DE502" s="646">
        <v>4.2538672E-2</v>
      </c>
      <c r="DF502" s="646">
        <v>9.5750000000000002E-2</v>
      </c>
      <c r="DG502" s="646">
        <v>3.2847408140000001</v>
      </c>
      <c r="DH502" s="646">
        <v>-1.478349194</v>
      </c>
      <c r="DI502" s="646">
        <v>-0.576663704</v>
      </c>
      <c r="DJ502" s="646">
        <v>-1.355073126</v>
      </c>
      <c r="DK502" s="646">
        <v>3.6829199999999999E-2</v>
      </c>
      <c r="DL502" s="646">
        <v>-5.1089922000000003E-2</v>
      </c>
      <c r="DM502" s="646">
        <v>0.29516903</v>
      </c>
      <c r="DN502" s="648">
        <v>-0.29370166800000003</v>
      </c>
      <c r="DO502" s="646">
        <v>0</v>
      </c>
      <c r="DP502" s="646">
        <v>0</v>
      </c>
      <c r="DQ502" s="646">
        <v>0</v>
      </c>
      <c r="DR502" s="646">
        <v>0.38419924999999999</v>
      </c>
      <c r="DS502" s="646">
        <v>0.69401464599999996</v>
      </c>
      <c r="DT502" s="646">
        <v>-1.0782138960000001</v>
      </c>
      <c r="DU502" s="646">
        <v>0.17637923</v>
      </c>
      <c r="DV502" s="646">
        <v>-3.3056082000000001E-2</v>
      </c>
      <c r="DW502" s="646">
        <v>-0.14054001399999999</v>
      </c>
      <c r="DX502" s="646">
        <v>0.202125</v>
      </c>
      <c r="DY502" s="646">
        <v>-0.13305978099999999</v>
      </c>
      <c r="DZ502" s="648">
        <v>-7.1848353000000004E-2</v>
      </c>
      <c r="EA502" s="646">
        <v>4.0609999999999999</v>
      </c>
      <c r="EB502" s="646">
        <v>-5.8999999999999997E-2</v>
      </c>
      <c r="EC502" s="646">
        <v>0.92343052599999997</v>
      </c>
      <c r="ED502" s="646">
        <v>-0.53753052499999998</v>
      </c>
      <c r="EE502" s="646">
        <v>3.6689475809999998</v>
      </c>
      <c r="EF502" s="646">
        <v>-7.4177958439999996</v>
      </c>
      <c r="EG502" s="646">
        <v>-0.41256108600000002</v>
      </c>
      <c r="EH502" s="646">
        <v>3.1283811450000001</v>
      </c>
      <c r="EI502" s="646">
        <v>-0.25886268200000001</v>
      </c>
      <c r="EJ502" s="646">
        <v>0.10895822099999999</v>
      </c>
      <c r="EK502" s="646">
        <v>2.9207922929999999</v>
      </c>
      <c r="EL502" s="648">
        <v>-1.025618803</v>
      </c>
      <c r="EM502" s="646">
        <v>-0.60969509099999997</v>
      </c>
      <c r="EN502" s="646">
        <v>1.3722780910000001</v>
      </c>
      <c r="EO502" s="646">
        <v>-1.0193778040000001</v>
      </c>
      <c r="EP502" s="646">
        <v>-0.21577770600000001</v>
      </c>
      <c r="EQ502" s="646">
        <v>0.97081344000000003</v>
      </c>
      <c r="ER502" s="646">
        <v>-2.1888924510000001</v>
      </c>
      <c r="ES502" s="646">
        <v>-1.4123241479999999</v>
      </c>
      <c r="ET502" s="646">
        <v>2.4887449789999998</v>
      </c>
      <c r="EU502" s="646">
        <v>-0.28443316099999999</v>
      </c>
      <c r="EV502" s="646">
        <v>2.9838653399999999</v>
      </c>
      <c r="EW502" s="646">
        <v>0.99691513399999998</v>
      </c>
      <c r="EX502" s="648">
        <v>-1.2849607970000001</v>
      </c>
      <c r="EY502" s="646">
        <v>-0.969664317</v>
      </c>
      <c r="EZ502" s="646">
        <v>1.2432132899999999</v>
      </c>
      <c r="FA502" s="646">
        <v>-1.450112531</v>
      </c>
      <c r="FB502" s="646">
        <v>-2.8075161519999998</v>
      </c>
      <c r="FC502" s="646">
        <v>1.486672743</v>
      </c>
      <c r="FD502" s="646">
        <v>-0.676093795</v>
      </c>
      <c r="FE502" s="646">
        <v>-1.7714029849999999</v>
      </c>
      <c r="FF502" s="646">
        <v>0.114605239</v>
      </c>
      <c r="FG502" s="646">
        <v>3.9531726109999998</v>
      </c>
      <c r="FH502" s="646">
        <v>-1.8555630540000001</v>
      </c>
      <c r="FI502" s="646">
        <v>2.6030791990000002</v>
      </c>
      <c r="FJ502" s="648">
        <v>-7.4909174739999997</v>
      </c>
      <c r="FK502" s="646">
        <v>3.799298716</v>
      </c>
      <c r="FL502" s="646">
        <v>-1.0311738349999999</v>
      </c>
      <c r="FM502" s="646">
        <v>-0.77608235299999995</v>
      </c>
      <c r="FN502" s="646">
        <v>-1.722648298</v>
      </c>
      <c r="FO502" s="646">
        <v>0.71867722300000003</v>
      </c>
      <c r="FP502" s="646">
        <v>8.2472532000000001E-2</v>
      </c>
      <c r="FQ502" s="646">
        <v>0.83646387700000002</v>
      </c>
      <c r="FR502" s="646">
        <v>-1.185186292</v>
      </c>
      <c r="FS502" s="646">
        <v>-0.29457178000000001</v>
      </c>
      <c r="FT502" s="646">
        <v>2.0655515289999999</v>
      </c>
      <c r="FU502" s="646">
        <v>5.4716430120000004</v>
      </c>
      <c r="FV502" s="646">
        <v>-7.8377061379999997</v>
      </c>
      <c r="FW502" s="646">
        <v>1.181530725</v>
      </c>
      <c r="FX502" s="646">
        <v>-1.1732915310000001</v>
      </c>
      <c r="FY502" s="646">
        <v>4.4740035430000002</v>
      </c>
      <c r="FZ502" s="646">
        <v>-4.1285716790000002</v>
      </c>
      <c r="GA502" s="646">
        <v>-1.6340922179999999</v>
      </c>
      <c r="GB502" s="646">
        <v>-3.7458691430000002</v>
      </c>
      <c r="GC502" s="646">
        <v>9.2481655999999995E-2</v>
      </c>
      <c r="GD502" s="646">
        <v>0.615814207</v>
      </c>
      <c r="GE502" s="646">
        <v>-1.6791582329999999</v>
      </c>
      <c r="GF502" s="646">
        <v>-1.4182342429999999</v>
      </c>
      <c r="GG502" s="646">
        <v>-0.24572571000000001</v>
      </c>
      <c r="GH502" s="646">
        <v>-3.2908551240000001</v>
      </c>
      <c r="GI502" s="646"/>
      <c r="GJ502" s="646"/>
      <c r="GK502" s="646"/>
      <c r="GL502" s="646"/>
      <c r="GM502" s="646"/>
      <c r="GN502" s="646"/>
      <c r="GO502" s="646"/>
      <c r="GP502" s="646"/>
      <c r="GQ502" s="646"/>
      <c r="GR502" s="646"/>
      <c r="GS502" s="646"/>
      <c r="GT502" s="646"/>
      <c r="GU502" s="646"/>
      <c r="GV502" s="646"/>
      <c r="GW502" s="646"/>
      <c r="GX502" s="646"/>
      <c r="GY502" s="646"/>
      <c r="GZ502" s="646"/>
      <c r="HA502" s="646"/>
      <c r="HB502" s="646"/>
      <c r="HC502" s="646"/>
      <c r="HD502" s="646"/>
      <c r="HE502" s="646"/>
      <c r="HF502" s="646"/>
      <c r="HG502" s="646"/>
      <c r="HH502" s="646"/>
      <c r="HI502" s="646"/>
      <c r="HJ502" s="646"/>
      <c r="HK502" s="646"/>
      <c r="HL502" s="646"/>
      <c r="HM502" s="646"/>
      <c r="HN502" s="646"/>
      <c r="HO502" s="646"/>
      <c r="HP502" s="646"/>
      <c r="HQ502" s="646"/>
      <c r="HR502" s="646"/>
      <c r="HS502" s="646"/>
      <c r="HT502" s="646"/>
      <c r="HU502" s="646"/>
      <c r="HV502" s="646"/>
      <c r="HW502" s="646"/>
      <c r="HX502" s="646"/>
      <c r="HY502" s="646"/>
      <c r="HZ502" s="649"/>
      <c r="KT502" s="651"/>
      <c r="KU502" s="649"/>
    </row>
    <row r="503" spans="1:307" s="650" customFormat="1" hidden="1" outlineLevel="1">
      <c r="A503" s="644" t="s">
        <v>878</v>
      </c>
      <c r="B503" s="644" t="s">
        <v>338</v>
      </c>
      <c r="C503" s="644"/>
      <c r="D503" s="1257" t="s">
        <v>533</v>
      </c>
      <c r="E503" s="646"/>
      <c r="F503" s="646"/>
      <c r="G503" s="646"/>
      <c r="H503" s="646"/>
      <c r="I503" s="646">
        <v>76546266</v>
      </c>
      <c r="J503" s="646">
        <v>-76546266</v>
      </c>
      <c r="K503" s="646">
        <v>352862066</v>
      </c>
      <c r="L503" s="646">
        <v>1798431214</v>
      </c>
      <c r="M503" s="646">
        <v>-944828303</v>
      </c>
      <c r="N503" s="646">
        <v>-1098027063</v>
      </c>
      <c r="O503" s="646">
        <v>355463903</v>
      </c>
      <c r="P503" s="646">
        <v>1375830918</v>
      </c>
      <c r="Q503" s="646">
        <v>-551627874</v>
      </c>
      <c r="R503" s="646">
        <v>-398900537</v>
      </c>
      <c r="S503" s="646">
        <v>255481516</v>
      </c>
      <c r="T503" s="646">
        <v>-1144685840</v>
      </c>
      <c r="U503" s="646"/>
      <c r="V503" s="646"/>
      <c r="W503" s="646"/>
      <c r="X503" s="646"/>
      <c r="Y503" s="646"/>
      <c r="Z503" s="646"/>
      <c r="AA503" s="646"/>
      <c r="AB503" s="646"/>
      <c r="AC503" s="646"/>
      <c r="AD503" s="646"/>
      <c r="AE503" s="646"/>
      <c r="AF503" s="646"/>
      <c r="AG503" s="646"/>
      <c r="AH503" s="646"/>
      <c r="AI503" s="646"/>
      <c r="AJ503" s="646"/>
      <c r="AK503" s="646"/>
      <c r="AL503" s="646"/>
      <c r="AM503" s="646"/>
      <c r="AN503" s="646"/>
      <c r="AO503" s="646"/>
      <c r="AP503" s="646"/>
      <c r="AQ503" s="646"/>
      <c r="AR503" s="646"/>
      <c r="AS503" s="646"/>
      <c r="AT503" s="646"/>
      <c r="AU503" s="646"/>
      <c r="AV503" s="646"/>
      <c r="AW503" s="646"/>
      <c r="AX503" s="646"/>
      <c r="AY503" s="646"/>
      <c r="AZ503" s="646"/>
      <c r="BA503" s="646"/>
      <c r="BB503" s="646"/>
      <c r="BC503" s="646"/>
      <c r="BD503" s="646"/>
      <c r="BE503" s="646"/>
      <c r="BF503" s="646"/>
      <c r="BG503" s="646">
        <v>7.0500000000000007E-3</v>
      </c>
      <c r="BH503" s="646">
        <v>2.8331255179999997</v>
      </c>
      <c r="BI503" s="646">
        <v>-2.5949900240000003</v>
      </c>
      <c r="BJ503" s="646">
        <v>2.2829166400000003</v>
      </c>
      <c r="BK503" s="646">
        <v>-0.89141968000000027</v>
      </c>
      <c r="BL503" s="646">
        <v>-1.6354365039999994</v>
      </c>
      <c r="BM503" s="646">
        <v>1.0923096869999998</v>
      </c>
      <c r="BN503" s="646">
        <v>-0.55309249199999977</v>
      </c>
      <c r="BO503" s="646">
        <v>0.24750195099999983</v>
      </c>
      <c r="BP503" s="646">
        <v>0.85996457795000003</v>
      </c>
      <c r="BQ503" s="646">
        <v>-1.2198344499499998</v>
      </c>
      <c r="BR503" s="646">
        <v>-0.428095224</v>
      </c>
      <c r="BS503" s="646">
        <v>1.8210793380000001</v>
      </c>
      <c r="BT503" s="646">
        <v>-0.66845471099999987</v>
      </c>
      <c r="BU503" s="646">
        <v>-1.0900508440000001</v>
      </c>
      <c r="BV503" s="646">
        <v>2.8226567740000004</v>
      </c>
      <c r="BW503" s="646">
        <v>-1.4723478029999999</v>
      </c>
      <c r="BX503" s="646">
        <v>1.8027978270000002</v>
      </c>
      <c r="BY503" s="646">
        <v>-2.0469733870000004</v>
      </c>
      <c r="BZ503" s="646">
        <v>0.24383996700000043</v>
      </c>
      <c r="CA503" s="646">
        <v>-3.8830785000000034E-2</v>
      </c>
      <c r="CB503" s="646">
        <v>1.1919398209999996</v>
      </c>
      <c r="CC503" s="646">
        <v>-0.91726049800000009</v>
      </c>
      <c r="CD503" s="646">
        <v>-1.647115699</v>
      </c>
      <c r="CE503" s="646">
        <v>7.6546266000000002E-2</v>
      </c>
      <c r="CF503" s="646">
        <v>-7.6546266000000002E-2</v>
      </c>
      <c r="CG503" s="646">
        <v>0.35286206599999997</v>
      </c>
      <c r="CH503" s="646">
        <v>1.7984312140000001</v>
      </c>
      <c r="CI503" s="646">
        <v>-0.94482830299999998</v>
      </c>
      <c r="CJ503" s="646">
        <v>-1.098027063</v>
      </c>
      <c r="CK503" s="646">
        <v>0.35546390300000003</v>
      </c>
      <c r="CL503" s="646">
        <v>1.3758309179999999</v>
      </c>
      <c r="CM503" s="646">
        <v>-0.55162787400000002</v>
      </c>
      <c r="CN503" s="646">
        <v>-0.398900537</v>
      </c>
      <c r="CO503" s="646">
        <v>0.25548151600000002</v>
      </c>
      <c r="CP503" s="648">
        <v>-1.14468584</v>
      </c>
      <c r="CQ503" s="646">
        <v>1.889529204</v>
      </c>
      <c r="CR503" s="646">
        <v>0.312506277</v>
      </c>
      <c r="CS503" s="646">
        <v>-1.8048535610000001</v>
      </c>
      <c r="CT503" s="646">
        <v>0.15600377500000001</v>
      </c>
      <c r="CU503" s="646">
        <v>0.27959025500000001</v>
      </c>
      <c r="CV503" s="646">
        <v>-0.139903471</v>
      </c>
      <c r="CW503" s="646">
        <v>9.3612125000000004E-2</v>
      </c>
      <c r="CX503" s="646">
        <v>-1.743236E-3</v>
      </c>
      <c r="CY503" s="646">
        <v>2.8260083059999999</v>
      </c>
      <c r="CZ503" s="646">
        <v>-3.4346645649999998</v>
      </c>
      <c r="DA503" s="646">
        <v>1.52642279</v>
      </c>
      <c r="DB503" s="1297">
        <v>-1.702507899</v>
      </c>
      <c r="DC503" s="646">
        <v>1.1330354330000001</v>
      </c>
      <c r="DD503" s="646">
        <v>-0.97259161199999999</v>
      </c>
      <c r="DE503" s="646">
        <v>0.316260178</v>
      </c>
      <c r="DF503" s="646">
        <v>0.42482178999999998</v>
      </c>
      <c r="DG503" s="646">
        <v>1.143399362</v>
      </c>
      <c r="DH503" s="646">
        <v>-1.8159675660000001</v>
      </c>
      <c r="DI503" s="646">
        <v>0.87570376299999997</v>
      </c>
      <c r="DJ503" s="646">
        <v>0.485154586</v>
      </c>
      <c r="DK503" s="646">
        <v>0.33450067999999999</v>
      </c>
      <c r="DL503" s="646">
        <v>1.057841265</v>
      </c>
      <c r="DM503" s="646">
        <v>-2.431768511</v>
      </c>
      <c r="DN503" s="648">
        <v>-0.55038936800000005</v>
      </c>
      <c r="DO503" s="646">
        <v>7.9994999999999997E-2</v>
      </c>
      <c r="DP503" s="646">
        <v>0.79384403999999997</v>
      </c>
      <c r="DQ503" s="646">
        <v>0.19945441699999999</v>
      </c>
      <c r="DR503" s="646">
        <v>0.250866545</v>
      </c>
      <c r="DS503" s="646">
        <v>0.220062125</v>
      </c>
      <c r="DT503" s="646">
        <v>-1.4105315309999999</v>
      </c>
      <c r="DU503" s="646">
        <v>0.140989476</v>
      </c>
      <c r="DV503" s="646">
        <v>0.510775494</v>
      </c>
      <c r="DW503" s="646">
        <v>-0.26326536</v>
      </c>
      <c r="DX503" s="646">
        <v>1.8700860349999999</v>
      </c>
      <c r="DY503" s="646">
        <v>2.68245384</v>
      </c>
      <c r="DZ503" s="648">
        <v>-5.0231284970000001</v>
      </c>
      <c r="EA503" s="646">
        <v>0.32038302600000002</v>
      </c>
      <c r="EB503" s="646">
        <v>0.118158612</v>
      </c>
      <c r="EC503" s="646">
        <v>1.2186685159999999</v>
      </c>
      <c r="ED503" s="646">
        <v>-0.737948304</v>
      </c>
      <c r="EE503" s="646">
        <v>1.2262126799999999</v>
      </c>
      <c r="EF503" s="646">
        <v>-1.3169304289999999</v>
      </c>
      <c r="EG503" s="646">
        <v>-0.269778609</v>
      </c>
      <c r="EH503" s="646">
        <v>0.60741850100000006</v>
      </c>
      <c r="EI503" s="646">
        <v>2.1435095639999999</v>
      </c>
      <c r="EJ503" s="646">
        <v>1.5440151639999999</v>
      </c>
      <c r="EK503" s="646">
        <v>-2.1643384179999998</v>
      </c>
      <c r="EL503" s="648">
        <v>-1.1817601310000001</v>
      </c>
      <c r="EM503" s="646">
        <v>1.2002414699999999</v>
      </c>
      <c r="EN503" s="646">
        <v>0.85758087900000002</v>
      </c>
      <c r="EO503" s="646">
        <v>1.747688071</v>
      </c>
      <c r="EP503" s="646">
        <v>-0.32751185999999999</v>
      </c>
      <c r="EQ503" s="646">
        <v>0.64759031700000003</v>
      </c>
      <c r="ER503" s="646">
        <v>0.61723966799999996</v>
      </c>
      <c r="ES503" s="646">
        <v>4.5886312199999999</v>
      </c>
      <c r="ET503" s="646">
        <v>0.10578379</v>
      </c>
      <c r="EU503" s="646">
        <v>0.88774534800000005</v>
      </c>
      <c r="EV503" s="646">
        <v>1.474755018</v>
      </c>
      <c r="EW503" s="646">
        <v>1.5542824710000001</v>
      </c>
      <c r="EX503" s="648">
        <v>-2.3473772579999999</v>
      </c>
      <c r="EY503" s="646">
        <v>3.4601389239999998</v>
      </c>
      <c r="EZ503" s="646">
        <v>0.99222185399999996</v>
      </c>
      <c r="FA503" s="646">
        <v>0.28147016200000002</v>
      </c>
      <c r="FB503" s="646">
        <v>2.8454002109999998</v>
      </c>
      <c r="FC503" s="646">
        <v>1.267607189</v>
      </c>
      <c r="FD503" s="646">
        <v>1.2623466640000001</v>
      </c>
      <c r="FE503" s="646">
        <v>0.36669284299999999</v>
      </c>
      <c r="FF503" s="646">
        <v>1.8685089560000001</v>
      </c>
      <c r="FG503" s="646">
        <v>1.5470947269999999</v>
      </c>
      <c r="FH503" s="646">
        <v>-0.72729513199999996</v>
      </c>
      <c r="FI503" s="646">
        <v>-0.90613497300000001</v>
      </c>
      <c r="FJ503" s="648">
        <v>-1.809345312</v>
      </c>
      <c r="FK503" s="646">
        <v>3.148135629</v>
      </c>
      <c r="FL503" s="646">
        <v>0.77605259100000001</v>
      </c>
      <c r="FM503" s="646">
        <v>6.7718618350000002</v>
      </c>
      <c r="FN503" s="646">
        <v>-1.0124109130000001</v>
      </c>
      <c r="FO503" s="646">
        <v>-1.252474893</v>
      </c>
      <c r="FP503" s="646">
        <v>-1.0946868599999999</v>
      </c>
      <c r="FQ503" s="646">
        <v>3.3948243649999998</v>
      </c>
      <c r="FR503" s="646">
        <v>2.9795618660000001</v>
      </c>
      <c r="FS503" s="646">
        <v>3.4303241230000001</v>
      </c>
      <c r="FT503" s="646">
        <v>3.398936843</v>
      </c>
      <c r="FU503" s="646">
        <v>7.793452555</v>
      </c>
      <c r="FV503" s="646">
        <v>-0.89607277100000005</v>
      </c>
      <c r="FW503" s="646">
        <v>0.28807087399999998</v>
      </c>
      <c r="FX503" s="646">
        <v>1.742555179</v>
      </c>
      <c r="FY503" s="646">
        <v>11.849814856</v>
      </c>
      <c r="FZ503" s="646">
        <v>1.446922753</v>
      </c>
      <c r="GA503" s="646">
        <v>4.2384848860000002</v>
      </c>
      <c r="GB503" s="646">
        <v>0.480339391</v>
      </c>
      <c r="GC503" s="646">
        <v>-2.852296044</v>
      </c>
      <c r="GD503" s="646">
        <v>7.4606977140000001</v>
      </c>
      <c r="GE503" s="646">
        <v>-8.7666748739999996</v>
      </c>
      <c r="GF503" s="646">
        <v>-0.58857942600000002</v>
      </c>
      <c r="GG503" s="646">
        <v>-6.5939120000000004E-3</v>
      </c>
      <c r="GH503" s="646">
        <v>-10.964019985</v>
      </c>
      <c r="GI503" s="646"/>
      <c r="GJ503" s="646"/>
      <c r="GK503" s="646"/>
      <c r="GL503" s="646"/>
      <c r="GM503" s="646"/>
      <c r="GN503" s="646"/>
      <c r="GO503" s="646"/>
      <c r="GP503" s="646"/>
      <c r="GQ503" s="646"/>
      <c r="GR503" s="646"/>
      <c r="GS503" s="646"/>
      <c r="GT503" s="646"/>
      <c r="GU503" s="646"/>
      <c r="GV503" s="646"/>
      <c r="GW503" s="646"/>
      <c r="GX503" s="646"/>
      <c r="GY503" s="646"/>
      <c r="GZ503" s="646"/>
      <c r="HA503" s="646"/>
      <c r="HB503" s="646"/>
      <c r="HC503" s="646"/>
      <c r="HD503" s="646"/>
      <c r="HE503" s="646"/>
      <c r="HF503" s="646"/>
      <c r="HG503" s="646"/>
      <c r="HH503" s="646"/>
      <c r="HI503" s="646"/>
      <c r="HJ503" s="646"/>
      <c r="HK503" s="646"/>
      <c r="HL503" s="646"/>
      <c r="HM503" s="646"/>
      <c r="HN503" s="646"/>
      <c r="HO503" s="646"/>
      <c r="HP503" s="646"/>
      <c r="HQ503" s="646"/>
      <c r="HR503" s="646"/>
      <c r="HS503" s="646"/>
      <c r="HT503" s="646"/>
      <c r="HU503" s="646"/>
      <c r="HV503" s="646"/>
      <c r="HW503" s="646"/>
      <c r="HX503" s="646"/>
      <c r="HY503" s="646"/>
      <c r="HZ503" s="649"/>
      <c r="KT503" s="651"/>
      <c r="KU503" s="649"/>
    </row>
    <row r="504" spans="1:307" s="650" customFormat="1" hidden="1" outlineLevel="1">
      <c r="A504" s="644" t="s">
        <v>878</v>
      </c>
      <c r="B504" s="644" t="s">
        <v>338</v>
      </c>
      <c r="C504" s="644"/>
      <c r="D504" s="1257" t="s">
        <v>534</v>
      </c>
      <c r="E504" s="646"/>
      <c r="F504" s="646"/>
      <c r="G504" s="646"/>
      <c r="H504" s="646"/>
      <c r="I504" s="646">
        <v>1195348880</v>
      </c>
      <c r="J504" s="646">
        <v>-732715365</v>
      </c>
      <c r="K504" s="646">
        <v>418196616</v>
      </c>
      <c r="L504" s="646">
        <v>236589028</v>
      </c>
      <c r="M504" s="646">
        <v>-267468677</v>
      </c>
      <c r="N504" s="646">
        <v>-833975934</v>
      </c>
      <c r="O504" s="646">
        <v>79814484</v>
      </c>
      <c r="P504" s="646">
        <v>51331016</v>
      </c>
      <c r="Q504" s="646">
        <v>-56390201</v>
      </c>
      <c r="R504" s="646">
        <v>335302795</v>
      </c>
      <c r="S504" s="646">
        <v>-190566767</v>
      </c>
      <c r="T504" s="646">
        <v>-234818113</v>
      </c>
      <c r="U504" s="646"/>
      <c r="V504" s="646"/>
      <c r="W504" s="646"/>
      <c r="X504" s="646"/>
      <c r="Y504" s="646"/>
      <c r="Z504" s="646"/>
      <c r="AA504" s="646"/>
      <c r="AB504" s="646"/>
      <c r="AC504" s="646"/>
      <c r="AD504" s="646"/>
      <c r="AE504" s="646"/>
      <c r="AF504" s="646"/>
      <c r="AG504" s="646"/>
      <c r="AH504" s="646"/>
      <c r="AI504" s="646"/>
      <c r="AJ504" s="646"/>
      <c r="AK504" s="646"/>
      <c r="AL504" s="646"/>
      <c r="AM504" s="646"/>
      <c r="AN504" s="646"/>
      <c r="AO504" s="646"/>
      <c r="AP504" s="646"/>
      <c r="AQ504" s="646"/>
      <c r="AR504" s="646"/>
      <c r="AS504" s="646"/>
      <c r="AT504" s="646"/>
      <c r="AU504" s="646"/>
      <c r="AV504" s="646"/>
      <c r="AW504" s="646"/>
      <c r="AX504" s="646"/>
      <c r="AY504" s="646"/>
      <c r="AZ504" s="646"/>
      <c r="BA504" s="646"/>
      <c r="BB504" s="646"/>
      <c r="BC504" s="646"/>
      <c r="BD504" s="646"/>
      <c r="BE504" s="646"/>
      <c r="BF504" s="646"/>
      <c r="BG504" s="646">
        <v>0</v>
      </c>
      <c r="BH504" s="646">
        <v>1.6916193243999997</v>
      </c>
      <c r="BI504" s="646">
        <v>-1.4167151594000003</v>
      </c>
      <c r="BJ504" s="646">
        <v>0.76352423399999991</v>
      </c>
      <c r="BK504" s="646">
        <v>-0.26141235800000007</v>
      </c>
      <c r="BL504" s="646">
        <v>-0.76559373099999994</v>
      </c>
      <c r="BM504" s="646">
        <v>0.1879854409999997</v>
      </c>
      <c r="BN504" s="646">
        <v>0.45713385100000004</v>
      </c>
      <c r="BO504" s="646">
        <v>-0.56614347799999987</v>
      </c>
      <c r="BP504" s="646">
        <v>0.93245324300000032</v>
      </c>
      <c r="BQ504" s="646">
        <v>0.32631267189000024</v>
      </c>
      <c r="BR504" s="646">
        <v>-1.3491640388899999</v>
      </c>
      <c r="BS504" s="646">
        <v>0.5657749729999999</v>
      </c>
      <c r="BT504" s="646">
        <v>2.9982975000000023E-2</v>
      </c>
      <c r="BU504" s="646">
        <v>-0.45898307700000029</v>
      </c>
      <c r="BV504" s="646">
        <v>6.0739416000000102E-2</v>
      </c>
      <c r="BW504" s="646">
        <v>0.15578369800000003</v>
      </c>
      <c r="BX504" s="646">
        <v>-7.9159184000000105E-2</v>
      </c>
      <c r="BY504" s="646">
        <v>0.7530803800000001</v>
      </c>
      <c r="BZ504" s="646">
        <v>-0.5433510349999997</v>
      </c>
      <c r="CA504" s="646">
        <v>-7.3414650999999997E-2</v>
      </c>
      <c r="CB504" s="646">
        <v>0.30673080500000038</v>
      </c>
      <c r="CC504" s="646">
        <v>-4.3015737029999279E-2</v>
      </c>
      <c r="CD504" s="646">
        <v>-0.67416856297000027</v>
      </c>
      <c r="CE504" s="646">
        <v>1.1953488800000001</v>
      </c>
      <c r="CF504" s="646">
        <v>-0.73271536500000001</v>
      </c>
      <c r="CG504" s="646">
        <v>0.41819661600000002</v>
      </c>
      <c r="CH504" s="646">
        <v>0.23658902800000001</v>
      </c>
      <c r="CI504" s="646">
        <v>-0.26746867699999999</v>
      </c>
      <c r="CJ504" s="646">
        <v>-0.83397593400000003</v>
      </c>
      <c r="CK504" s="646">
        <v>7.9814484000000005E-2</v>
      </c>
      <c r="CL504" s="646">
        <v>5.1331016E-2</v>
      </c>
      <c r="CM504" s="646">
        <v>-5.6390201000000001E-2</v>
      </c>
      <c r="CN504" s="646">
        <v>0.33530279499999999</v>
      </c>
      <c r="CO504" s="646">
        <v>-0.190566767</v>
      </c>
      <c r="CP504" s="648">
        <v>-0.23481811299999999</v>
      </c>
      <c r="CQ504" s="646">
        <v>0.70820933600000002</v>
      </c>
      <c r="CR504" s="646">
        <v>0.60553380700000004</v>
      </c>
      <c r="CS504" s="646">
        <v>-3.5565494000000003E-2</v>
      </c>
      <c r="CT504" s="646">
        <v>-6.5565399999999996E-2</v>
      </c>
      <c r="CU504" s="646">
        <v>0.34788201000000002</v>
      </c>
      <c r="CV504" s="646">
        <v>-0.55888651</v>
      </c>
      <c r="CW504" s="646">
        <v>-0.75653661900000002</v>
      </c>
      <c r="CX504" s="646">
        <v>0.70585537700000001</v>
      </c>
      <c r="CY504" s="646">
        <v>-0.59524889599999997</v>
      </c>
      <c r="CZ504" s="646">
        <v>-0.22194238699999999</v>
      </c>
      <c r="DA504" s="646">
        <v>0.94057700499999997</v>
      </c>
      <c r="DB504" s="1297">
        <v>-1.069692595</v>
      </c>
      <c r="DC504" s="646">
        <v>1.329505865</v>
      </c>
      <c r="DD504" s="646">
        <v>0.67405126900000001</v>
      </c>
      <c r="DE504" s="646">
        <v>-1.1065390079999999</v>
      </c>
      <c r="DF504" s="646">
        <v>0.15020847300000001</v>
      </c>
      <c r="DG504" s="646">
        <v>2.3037079299999998</v>
      </c>
      <c r="DH504" s="646">
        <v>-2.7193616540000001</v>
      </c>
      <c r="DI504" s="646">
        <v>-0.11692704199999999</v>
      </c>
      <c r="DJ504" s="646">
        <v>1.049566864</v>
      </c>
      <c r="DK504" s="646">
        <v>3.538510337</v>
      </c>
      <c r="DL504" s="646">
        <v>-4.4486689469999998</v>
      </c>
      <c r="DM504" s="646">
        <v>-4.7210079999999996E-3</v>
      </c>
      <c r="DN504" s="648">
        <v>-0.49522961199999999</v>
      </c>
      <c r="DO504" s="646">
        <v>0.1784538</v>
      </c>
      <c r="DP504" s="646">
        <v>6.2270981230000002</v>
      </c>
      <c r="DQ504" s="646">
        <v>-1.694269603</v>
      </c>
      <c r="DR504" s="646">
        <v>-2.9987963240000002</v>
      </c>
      <c r="DS504" s="646">
        <v>-0.25331754899999998</v>
      </c>
      <c r="DT504" s="646">
        <v>-1.4349706799999999</v>
      </c>
      <c r="DU504" s="646">
        <v>3.5491505910000001</v>
      </c>
      <c r="DV504" s="646">
        <v>-0.65383719600000001</v>
      </c>
      <c r="DW504" s="646">
        <v>-2.601784173</v>
      </c>
      <c r="DX504" s="646">
        <v>1.961550648</v>
      </c>
      <c r="DY504" s="646">
        <v>1.3713503</v>
      </c>
      <c r="DZ504" s="648">
        <v>-3.6506279369999999</v>
      </c>
      <c r="EA504" s="646">
        <v>1.091300511</v>
      </c>
      <c r="EB504" s="646">
        <v>-0.29461833500000001</v>
      </c>
      <c r="EC504" s="646">
        <v>0.220355791</v>
      </c>
      <c r="ED504" s="646">
        <v>0.114814636</v>
      </c>
      <c r="EE504" s="646">
        <v>1.5690145820000001</v>
      </c>
      <c r="EF504" s="646">
        <v>-0.53222721200000001</v>
      </c>
      <c r="EG504" s="646">
        <v>-0.31200545800000001</v>
      </c>
      <c r="EH504" s="646">
        <v>-3.117058407</v>
      </c>
      <c r="EI504" s="646">
        <v>3.4464490470000002</v>
      </c>
      <c r="EJ504" s="646">
        <v>0.412118182</v>
      </c>
      <c r="EK504" s="646">
        <v>-0.83639600400000003</v>
      </c>
      <c r="EL504" s="648">
        <v>-0.98265111400000005</v>
      </c>
      <c r="EM504" s="646">
        <v>0</v>
      </c>
      <c r="EN504" s="646">
        <v>0.68451992422221952</v>
      </c>
      <c r="EO504" s="646">
        <v>-0.89537718377778053</v>
      </c>
      <c r="EP504" s="646">
        <v>0</v>
      </c>
      <c r="EQ504" s="646">
        <v>13.71556632722222</v>
      </c>
      <c r="ER504" s="646">
        <v>-15.26730345</v>
      </c>
      <c r="ES504" s="646">
        <v>-4.2077515940000003</v>
      </c>
      <c r="ET504" s="646">
        <v>0</v>
      </c>
      <c r="EU504" s="646">
        <v>-4.67767118333333</v>
      </c>
      <c r="EV504" s="646">
        <v>17.247759847000001</v>
      </c>
      <c r="EW504" s="646">
        <v>12.96669013266667</v>
      </c>
      <c r="EX504" s="648">
        <v>-8.0287025869999997</v>
      </c>
      <c r="EY504" s="646">
        <v>0.56001144700000005</v>
      </c>
      <c r="EZ504" s="646">
        <v>9.9848321880000004</v>
      </c>
      <c r="FA504" s="646">
        <v>-4.8827198420000002</v>
      </c>
      <c r="FB504" s="646">
        <v>1.67166883</v>
      </c>
      <c r="FC504" s="646">
        <v>8.6428662759999995</v>
      </c>
      <c r="FD504" s="646">
        <v>-9.2610329870000001</v>
      </c>
      <c r="FE504" s="646">
        <v>-10.005598205</v>
      </c>
      <c r="FF504" s="646">
        <v>-3.4593654730000001</v>
      </c>
      <c r="FG504" s="646">
        <v>-1.672183395</v>
      </c>
      <c r="FH504" s="646">
        <v>-3.6774039539999999</v>
      </c>
      <c r="FI504" s="646">
        <v>4.564394397</v>
      </c>
      <c r="FJ504" s="648">
        <v>-6.8228160889999998</v>
      </c>
      <c r="FK504" s="646">
        <v>1.3602542230000001</v>
      </c>
      <c r="FL504" s="646">
        <v>-0.72921348799999997</v>
      </c>
      <c r="FM504" s="646">
        <v>3.9888446950000001</v>
      </c>
      <c r="FN504" s="646">
        <v>-3.1933197569999998</v>
      </c>
      <c r="FO504" s="646">
        <v>0.66866665400000003</v>
      </c>
      <c r="FP504" s="646">
        <v>-1.633772097</v>
      </c>
      <c r="FQ504" s="646">
        <v>-5.0539061800000002</v>
      </c>
      <c r="FR504" s="646">
        <v>-4.6416328079999998</v>
      </c>
      <c r="FS504" s="646">
        <v>-3.3045892220000002</v>
      </c>
      <c r="FT504" s="646">
        <v>-5.668950208</v>
      </c>
      <c r="FU504" s="646">
        <v>-6.8813899909999998</v>
      </c>
      <c r="FV504" s="646">
        <v>-5.8870630259999999</v>
      </c>
      <c r="FW504" s="646">
        <v>-0.230090672</v>
      </c>
      <c r="FX504" s="646">
        <v>-5.5498351450000003</v>
      </c>
      <c r="FY504" s="646">
        <v>-9.659336819</v>
      </c>
      <c r="FZ504" s="646">
        <v>1.91187664</v>
      </c>
      <c r="GA504" s="646">
        <v>10.072710744</v>
      </c>
      <c r="GB504" s="646">
        <v>-10.539977299</v>
      </c>
      <c r="GC504" s="646">
        <v>-2.852296044</v>
      </c>
      <c r="GD504" s="646">
        <v>7.4606977140000001</v>
      </c>
      <c r="GE504" s="646">
        <v>-8.7666748739999996</v>
      </c>
      <c r="GF504" s="646">
        <v>-0.58857942600000002</v>
      </c>
      <c r="GG504" s="646">
        <v>-6.5939120000000004E-3</v>
      </c>
      <c r="GH504" s="646">
        <v>-10.964019985</v>
      </c>
      <c r="GI504" s="646"/>
      <c r="GJ504" s="646"/>
      <c r="GK504" s="646"/>
      <c r="GL504" s="646"/>
      <c r="GM504" s="646"/>
      <c r="GN504" s="646"/>
      <c r="GO504" s="646"/>
      <c r="GP504" s="646"/>
      <c r="GQ504" s="646"/>
      <c r="GR504" s="646"/>
      <c r="GS504" s="646"/>
      <c r="GT504" s="646"/>
      <c r="GU504" s="646"/>
      <c r="GV504" s="646"/>
      <c r="GW504" s="646"/>
      <c r="GX504" s="646"/>
      <c r="GY504" s="646"/>
      <c r="GZ504" s="646"/>
      <c r="HA504" s="646"/>
      <c r="HB504" s="646"/>
      <c r="HC504" s="646"/>
      <c r="HD504" s="646"/>
      <c r="HE504" s="646"/>
      <c r="HF504" s="646"/>
      <c r="HG504" s="646"/>
      <c r="HH504" s="646"/>
      <c r="HI504" s="646"/>
      <c r="HJ504" s="646"/>
      <c r="HK504" s="646"/>
      <c r="HL504" s="646"/>
      <c r="HM504" s="646"/>
      <c r="HN504" s="646"/>
      <c r="HO504" s="646"/>
      <c r="HP504" s="646"/>
      <c r="HQ504" s="646"/>
      <c r="HR504" s="646"/>
      <c r="HS504" s="646"/>
      <c r="HT504" s="646"/>
      <c r="HU504" s="646"/>
      <c r="HV504" s="646"/>
      <c r="HW504" s="646"/>
      <c r="HX504" s="646"/>
      <c r="HY504" s="646"/>
      <c r="HZ504" s="649"/>
      <c r="KT504" s="651"/>
      <c r="KU504" s="649"/>
    </row>
    <row r="505" spans="1:307" s="650" customFormat="1" hidden="1" outlineLevel="1">
      <c r="A505" s="644" t="s">
        <v>878</v>
      </c>
      <c r="B505" s="644" t="s">
        <v>338</v>
      </c>
      <c r="C505" s="644"/>
      <c r="D505" s="1255" t="s">
        <v>535</v>
      </c>
      <c r="E505" s="646"/>
      <c r="F505" s="646"/>
      <c r="G505" s="646"/>
      <c r="H505" s="646"/>
      <c r="I505" s="646">
        <v>10080403680</v>
      </c>
      <c r="J505" s="646">
        <v>551949232</v>
      </c>
      <c r="K505" s="646">
        <v>4381918138</v>
      </c>
      <c r="L505" s="646">
        <v>9760030308</v>
      </c>
      <c r="M505" s="646">
        <v>-9666851299</v>
      </c>
      <c r="N505" s="646">
        <v>-13925658426</v>
      </c>
      <c r="O505" s="646">
        <v>10472211900</v>
      </c>
      <c r="P505" s="646">
        <v>2343646083</v>
      </c>
      <c r="Q505" s="646">
        <v>769929542</v>
      </c>
      <c r="R505" s="646">
        <v>13952371053</v>
      </c>
      <c r="S505" s="646">
        <v>18316374571</v>
      </c>
      <c r="T505" s="646">
        <v>-46474495587</v>
      </c>
      <c r="U505" s="646"/>
      <c r="V505" s="646"/>
      <c r="W505" s="646"/>
      <c r="X505" s="646"/>
      <c r="Y505" s="646"/>
      <c r="Z505" s="646"/>
      <c r="AA505" s="646"/>
      <c r="AB505" s="646"/>
      <c r="AC505" s="646"/>
      <c r="AD505" s="646"/>
      <c r="AE505" s="646"/>
      <c r="AF505" s="646"/>
      <c r="AG505" s="646"/>
      <c r="AH505" s="646"/>
      <c r="AI505" s="646"/>
      <c r="AJ505" s="646"/>
      <c r="AK505" s="646"/>
      <c r="AL505" s="646"/>
      <c r="AM505" s="646"/>
      <c r="AN505" s="646"/>
      <c r="AO505" s="646"/>
      <c r="AP505" s="646"/>
      <c r="AQ505" s="646"/>
      <c r="AR505" s="646"/>
      <c r="AS505" s="646"/>
      <c r="AT505" s="646"/>
      <c r="AU505" s="646"/>
      <c r="AV505" s="646"/>
      <c r="AW505" s="646"/>
      <c r="AX505" s="646"/>
      <c r="AY505" s="646"/>
      <c r="AZ505" s="646"/>
      <c r="BA505" s="646"/>
      <c r="BB505" s="646"/>
      <c r="BC505" s="646"/>
      <c r="BD505" s="646"/>
      <c r="BE505" s="646"/>
      <c r="BF505" s="646"/>
      <c r="BG505" s="646">
        <v>0.12733642700000036</v>
      </c>
      <c r="BH505" s="646">
        <v>8.0653752052699996</v>
      </c>
      <c r="BI505" s="646">
        <v>-5.7088090700005978E-3</v>
      </c>
      <c r="BJ505" s="646">
        <v>6.1346895507999974</v>
      </c>
      <c r="BK505" s="646">
        <v>-1.9617420990000003</v>
      </c>
      <c r="BL505" s="646">
        <v>-11.673669012999998</v>
      </c>
      <c r="BM505" s="646">
        <v>7.6461706650000014</v>
      </c>
      <c r="BN505" s="646">
        <v>-0.93985896099999877</v>
      </c>
      <c r="BO505" s="646">
        <v>-6.9094072421100012</v>
      </c>
      <c r="BP505" s="646">
        <v>20.664743653999999</v>
      </c>
      <c r="BQ505" s="646">
        <v>4.0628231815400042</v>
      </c>
      <c r="BR505" s="646">
        <v>-21.603678076430004</v>
      </c>
      <c r="BS505" s="646">
        <v>8.8156561090000007</v>
      </c>
      <c r="BT505" s="646">
        <v>7.1812252070000007</v>
      </c>
      <c r="BU505" s="646">
        <v>-12.809904075000002</v>
      </c>
      <c r="BV505" s="646">
        <v>13.57110005985</v>
      </c>
      <c r="BW505" s="646">
        <v>3.0423420101499978</v>
      </c>
      <c r="BX505" s="646">
        <v>-3.7657303780000002</v>
      </c>
      <c r="BY505" s="646">
        <v>-1.3000179199600019</v>
      </c>
      <c r="BZ505" s="646">
        <v>3.2418203091999995</v>
      </c>
      <c r="CA505" s="646">
        <v>-4.0802180061199973</v>
      </c>
      <c r="CB505" s="646">
        <v>25.474129688390001</v>
      </c>
      <c r="CC505" s="646">
        <v>-9.5754254745200029</v>
      </c>
      <c r="CD505" s="646">
        <v>-27.658349496739998</v>
      </c>
      <c r="CE505" s="646">
        <v>10.08040368</v>
      </c>
      <c r="CF505" s="646">
        <v>0.55194923200000001</v>
      </c>
      <c r="CG505" s="646">
        <v>4.3819181379999996</v>
      </c>
      <c r="CH505" s="646">
        <v>9.7600303079999993</v>
      </c>
      <c r="CI505" s="646">
        <v>-9.6668512989999993</v>
      </c>
      <c r="CJ505" s="646">
        <v>-13.925658426</v>
      </c>
      <c r="CK505" s="646">
        <v>10.4722119</v>
      </c>
      <c r="CL505" s="646">
        <v>2.3436460829999999</v>
      </c>
      <c r="CM505" s="646">
        <v>0.76992954199999997</v>
      </c>
      <c r="CN505" s="646">
        <v>13.952371053</v>
      </c>
      <c r="CO505" s="646">
        <v>18.316374571000001</v>
      </c>
      <c r="CP505" s="648">
        <v>-46.474495587</v>
      </c>
      <c r="CQ505" s="646">
        <v>10.172392841000001</v>
      </c>
      <c r="CR505" s="646">
        <v>11.528962736</v>
      </c>
      <c r="CS505" s="646">
        <v>-5.6343631199999997</v>
      </c>
      <c r="CT505" s="646">
        <v>3.44319664</v>
      </c>
      <c r="CU505" s="646">
        <v>7.4961220949999996</v>
      </c>
      <c r="CV505" s="646">
        <v>-6.6715759060000002</v>
      </c>
      <c r="CW505" s="646">
        <v>11.069074771</v>
      </c>
      <c r="CX505" s="646">
        <v>12.43232735</v>
      </c>
      <c r="CY505" s="646">
        <v>-2.7798826509999999</v>
      </c>
      <c r="CZ505" s="646">
        <v>6.3377855930000004</v>
      </c>
      <c r="DA505" s="646">
        <v>3.3894786149999998</v>
      </c>
      <c r="DB505" s="1297">
        <v>-42.628185819000002</v>
      </c>
      <c r="DC505" s="646">
        <v>4.0618852780000001</v>
      </c>
      <c r="DD505" s="646">
        <v>11.197683576999999</v>
      </c>
      <c r="DE505" s="646">
        <v>8.5069838620000002</v>
      </c>
      <c r="DF505" s="646">
        <v>9.4008860839999997</v>
      </c>
      <c r="DG505" s="646">
        <v>1.2537554609999999</v>
      </c>
      <c r="DH505" s="646">
        <v>-28.737078392000001</v>
      </c>
      <c r="DI505" s="646">
        <v>26.157337818999999</v>
      </c>
      <c r="DJ505" s="646">
        <v>-4.479363931</v>
      </c>
      <c r="DK505" s="646">
        <v>2.4072808860000001</v>
      </c>
      <c r="DL505" s="646">
        <v>16.409255629</v>
      </c>
      <c r="DM505" s="646">
        <v>27.471042464</v>
      </c>
      <c r="DN505" s="648">
        <v>-59.022740282999997</v>
      </c>
      <c r="DO505" s="646">
        <v>2.1589295860000002</v>
      </c>
      <c r="DP505" s="646">
        <v>11.259156869</v>
      </c>
      <c r="DQ505" s="646">
        <v>4.1215141879999999</v>
      </c>
      <c r="DR505" s="646">
        <v>6.6884585200000002</v>
      </c>
      <c r="DS505" s="646">
        <v>9.0925343210000005</v>
      </c>
      <c r="DT505" s="646">
        <v>-31.791866690999999</v>
      </c>
      <c r="DU505" s="646">
        <v>23.860370542999998</v>
      </c>
      <c r="DV505" s="646">
        <v>-3.0461111079999998</v>
      </c>
      <c r="DW505" s="646">
        <v>-5.3907089990000001</v>
      </c>
      <c r="DX505" s="646">
        <v>17.071603006</v>
      </c>
      <c r="DY505" s="646">
        <v>17.385140692</v>
      </c>
      <c r="DZ505" s="648">
        <v>-47.318220916000001</v>
      </c>
      <c r="EA505" s="646">
        <v>5.5827596780000004</v>
      </c>
      <c r="EB505" s="646">
        <v>24.093453785000001</v>
      </c>
      <c r="EC505" s="646">
        <v>8.3490965950000007</v>
      </c>
      <c r="ED505" s="646">
        <v>-4.7064379200000035</v>
      </c>
      <c r="EE505" s="646">
        <v>-7.0957296860000003</v>
      </c>
      <c r="EF505" s="646">
        <v>-21.452250733</v>
      </c>
      <c r="EG505" s="646">
        <v>14.361985344000001</v>
      </c>
      <c r="EH505" s="646">
        <v>0.45246139699999999</v>
      </c>
      <c r="EI505" s="646">
        <v>7.0331484389999996</v>
      </c>
      <c r="EJ505" s="646">
        <v>11.683070217999999</v>
      </c>
      <c r="EK505" s="646">
        <v>34.412715022</v>
      </c>
      <c r="EL505" s="648">
        <v>-35.905017860000001</v>
      </c>
      <c r="EM505" s="646">
        <v>8.5095493009999998</v>
      </c>
      <c r="EN505" s="646">
        <v>1.4696640919999999</v>
      </c>
      <c r="EO505" s="646">
        <v>2.2934717889999998</v>
      </c>
      <c r="EP505" s="646">
        <v>8.9554376540000007</v>
      </c>
      <c r="EQ505" s="646">
        <v>6.6825695979999997</v>
      </c>
      <c r="ER505" s="646">
        <v>-29.11127497</v>
      </c>
      <c r="ES505" s="646">
        <v>-5.930694591</v>
      </c>
      <c r="ET505" s="646">
        <v>14.614610423</v>
      </c>
      <c r="EU505" s="646">
        <v>2.3683424990000002</v>
      </c>
      <c r="EV505" s="646">
        <v>19.053427483</v>
      </c>
      <c r="EW505" s="646">
        <v>44.051059950000003</v>
      </c>
      <c r="EX505" s="648">
        <v>-68.002167353000004</v>
      </c>
      <c r="EY505" s="646">
        <v>19.770598197000002</v>
      </c>
      <c r="EZ505" s="646">
        <v>6.8498661150000002</v>
      </c>
      <c r="FA505" s="646">
        <v>19.047979484999999</v>
      </c>
      <c r="FB505" s="646">
        <v>-9.34384792</v>
      </c>
      <c r="FC505" s="646">
        <v>5.5358918370000003</v>
      </c>
      <c r="FD505" s="646">
        <v>-29.052954504999999</v>
      </c>
      <c r="FE505" s="646">
        <v>-9.4619462540000008</v>
      </c>
      <c r="FF505" s="646">
        <v>-0.58548080300000005</v>
      </c>
      <c r="FG505" s="646">
        <v>-3.818574651</v>
      </c>
      <c r="FH505" s="646">
        <v>24.087953550000002</v>
      </c>
      <c r="FI505" s="646">
        <v>28.073011222000002</v>
      </c>
      <c r="FJ505" s="648">
        <v>-75.621270777000007</v>
      </c>
      <c r="FK505" s="646">
        <v>22.155753402999999</v>
      </c>
      <c r="FL505" s="646">
        <v>17.10623871</v>
      </c>
      <c r="FM505" s="646">
        <v>20.763529706</v>
      </c>
      <c r="FN505" s="646">
        <v>21.616880401</v>
      </c>
      <c r="FO505" s="646">
        <v>16.871871188</v>
      </c>
      <c r="FP505" s="646">
        <v>63.414051143000002</v>
      </c>
      <c r="FQ505" s="646">
        <v>32.876721123999999</v>
      </c>
      <c r="FR505" s="646">
        <v>-10.86497488</v>
      </c>
      <c r="FS505" s="646">
        <v>-57.720981095500001</v>
      </c>
      <c r="FT505" s="646">
        <v>18.551513417999999</v>
      </c>
      <c r="FU505" s="646">
        <v>7.4202375155000002</v>
      </c>
      <c r="FV505" s="646">
        <v>-88.179915097000006</v>
      </c>
      <c r="FW505" s="646">
        <v>14.631259626</v>
      </c>
      <c r="FX505" s="646">
        <v>10.227403025999999</v>
      </c>
      <c r="FY505" s="646">
        <v>39.480832487999997</v>
      </c>
      <c r="FZ505" s="646">
        <v>32.662185530000002</v>
      </c>
      <c r="GA505" s="646">
        <v>-32.843117890000002</v>
      </c>
      <c r="GB505" s="646">
        <v>23.016202437</v>
      </c>
      <c r="GC505" s="646">
        <v>11.619346869999999</v>
      </c>
      <c r="GD505" s="646">
        <v>-3.686404359</v>
      </c>
      <c r="GE505" s="646">
        <v>-46.800390075000003</v>
      </c>
      <c r="GF505" s="646">
        <v>-12.988042169</v>
      </c>
      <c r="GG505" s="646">
        <v>-14.171145373</v>
      </c>
      <c r="GH505" s="646">
        <v>-12.007778734</v>
      </c>
      <c r="GI505" s="646"/>
      <c r="GJ505" s="646"/>
      <c r="GK505" s="646"/>
      <c r="GL505" s="646"/>
      <c r="GM505" s="646"/>
      <c r="GN505" s="646"/>
      <c r="GO505" s="646"/>
      <c r="GP505" s="646"/>
      <c r="GQ505" s="646"/>
      <c r="GR505" s="646"/>
      <c r="GS505" s="646"/>
      <c r="GT505" s="646"/>
      <c r="GU505" s="646"/>
      <c r="GV505" s="646"/>
      <c r="GW505" s="646"/>
      <c r="GX505" s="646"/>
      <c r="GY505" s="646"/>
      <c r="GZ505" s="646"/>
      <c r="HA505" s="646"/>
      <c r="HB505" s="646"/>
      <c r="HC505" s="646"/>
      <c r="HD505" s="646"/>
      <c r="HE505" s="646"/>
      <c r="HF505" s="646"/>
      <c r="HG505" s="646"/>
      <c r="HH505" s="646"/>
      <c r="HI505" s="646"/>
      <c r="HJ505" s="646"/>
      <c r="HK505" s="646"/>
      <c r="HL505" s="646"/>
      <c r="HM505" s="646"/>
      <c r="HN505" s="646"/>
      <c r="HO505" s="646"/>
      <c r="HP505" s="646"/>
      <c r="HQ505" s="646"/>
      <c r="HR505" s="646"/>
      <c r="HS505" s="646"/>
      <c r="HT505" s="646"/>
      <c r="HU505" s="646"/>
      <c r="HV505" s="646"/>
      <c r="HW505" s="646"/>
      <c r="HX505" s="646"/>
      <c r="HY505" s="646"/>
      <c r="HZ505" s="649"/>
      <c r="KT505" s="651"/>
      <c r="KU505" s="649"/>
    </row>
    <row r="506" spans="1:307" s="650" customFormat="1" hidden="1" outlineLevel="1">
      <c r="A506" s="644"/>
      <c r="B506" s="644"/>
      <c r="C506" s="644"/>
      <c r="D506" s="1255" t="s">
        <v>3030</v>
      </c>
      <c r="E506" s="646"/>
      <c r="F506" s="646"/>
      <c r="G506" s="646"/>
      <c r="H506" s="646"/>
      <c r="I506" s="646">
        <v>110099651</v>
      </c>
      <c r="J506" s="646">
        <v>125785910</v>
      </c>
      <c r="K506" s="646">
        <v>-135411614</v>
      </c>
      <c r="L506" s="646">
        <v>489540090</v>
      </c>
      <c r="M506" s="646">
        <v>239833597</v>
      </c>
      <c r="N506" s="646">
        <v>-758978188</v>
      </c>
      <c r="O506" s="646">
        <v>43199003</v>
      </c>
      <c r="P506" s="646">
        <v>1866817885</v>
      </c>
      <c r="Q506" s="646">
        <v>-1979473890</v>
      </c>
      <c r="R506" s="646">
        <v>1037837094</v>
      </c>
      <c r="S506" s="646">
        <v>388617280</v>
      </c>
      <c r="T506" s="646">
        <v>-1426454374</v>
      </c>
      <c r="U506" s="646"/>
      <c r="V506" s="646"/>
      <c r="W506" s="646"/>
      <c r="X506" s="646"/>
      <c r="Y506" s="646"/>
      <c r="Z506" s="646"/>
      <c r="AA506" s="646"/>
      <c r="AB506" s="646"/>
      <c r="AC506" s="646"/>
      <c r="AD506" s="646"/>
      <c r="AE506" s="646"/>
      <c r="AF506" s="646"/>
      <c r="AG506" s="646"/>
      <c r="AH506" s="646"/>
      <c r="AI506" s="646"/>
      <c r="AJ506" s="646"/>
      <c r="AK506" s="646"/>
      <c r="AL506" s="646"/>
      <c r="AM506" s="646"/>
      <c r="AN506" s="646"/>
      <c r="AO506" s="646"/>
      <c r="AP506" s="646"/>
      <c r="AQ506" s="646"/>
      <c r="AR506" s="646"/>
      <c r="AS506" s="646"/>
      <c r="AT506" s="646"/>
      <c r="AU506" s="646"/>
      <c r="AV506" s="646"/>
      <c r="AW506" s="646"/>
      <c r="AX506" s="646"/>
      <c r="AY506" s="646"/>
      <c r="AZ506" s="646"/>
      <c r="BA506" s="646"/>
      <c r="BB506" s="646"/>
      <c r="BC506" s="646"/>
      <c r="BD506" s="646"/>
      <c r="BE506" s="646"/>
      <c r="BF506" s="646"/>
      <c r="BG506" s="646"/>
      <c r="BH506" s="646"/>
      <c r="BI506" s="646"/>
      <c r="BJ506" s="646"/>
      <c r="BK506" s="646"/>
      <c r="BL506" s="646"/>
      <c r="BM506" s="646"/>
      <c r="BN506" s="646"/>
      <c r="BO506" s="646"/>
      <c r="BP506" s="646"/>
      <c r="BQ506" s="646"/>
      <c r="BR506" s="646"/>
      <c r="BS506" s="646"/>
      <c r="BT506" s="646"/>
      <c r="BU506" s="646"/>
      <c r="BV506" s="646"/>
      <c r="BW506" s="646"/>
      <c r="BX506" s="646"/>
      <c r="BY506" s="646"/>
      <c r="BZ506" s="646"/>
      <c r="CA506" s="646"/>
      <c r="CB506" s="646"/>
      <c r="CC506" s="646"/>
      <c r="CD506" s="646"/>
      <c r="CE506" s="646">
        <v>0.11009965100000001</v>
      </c>
      <c r="CF506" s="646">
        <v>0.12578591</v>
      </c>
      <c r="CG506" s="646">
        <v>-0.13541161400000001</v>
      </c>
      <c r="CH506" s="646">
        <v>0.48954008999999998</v>
      </c>
      <c r="CI506" s="646">
        <v>0.23983359700000001</v>
      </c>
      <c r="CJ506" s="646">
        <v>-0.75897818800000005</v>
      </c>
      <c r="CK506" s="646">
        <v>4.3199003E-2</v>
      </c>
      <c r="CL506" s="646">
        <v>1.8668178849999999</v>
      </c>
      <c r="CM506" s="646">
        <v>-1.97947389</v>
      </c>
      <c r="CN506" s="646">
        <v>1.0378370939999999</v>
      </c>
      <c r="CO506" s="646">
        <v>0.38861728000000001</v>
      </c>
      <c r="CP506" s="648">
        <v>-1.426454374</v>
      </c>
      <c r="CQ506" s="646">
        <v>1.827364263</v>
      </c>
      <c r="CR506" s="646">
        <v>-1.4490175169999999</v>
      </c>
      <c r="CS506" s="646">
        <v>1.923023417</v>
      </c>
      <c r="CT506" s="646">
        <v>-0.94910849799999997</v>
      </c>
      <c r="CU506" s="646">
        <v>1.163920096</v>
      </c>
      <c r="CV506" s="646">
        <v>-0.95770353500000005</v>
      </c>
      <c r="CW506" s="646">
        <v>-0.71716085100000004</v>
      </c>
      <c r="CX506" s="646">
        <v>1.384855089</v>
      </c>
      <c r="CY506" s="646">
        <v>-2.2239094640000001</v>
      </c>
      <c r="CZ506" s="646">
        <v>-2.2629999999999998E-3</v>
      </c>
      <c r="DA506" s="646">
        <v>1.2095565880000001</v>
      </c>
      <c r="DB506" s="1297">
        <v>-1.1988013239999999</v>
      </c>
      <c r="DC506" s="646">
        <v>0</v>
      </c>
      <c r="DD506" s="646">
        <v>0</v>
      </c>
      <c r="DE506" s="646">
        <v>1.1934986780000001</v>
      </c>
      <c r="DF506" s="646">
        <v>-1.1934986780000001</v>
      </c>
      <c r="DG506" s="646">
        <v>0</v>
      </c>
      <c r="DH506" s="646">
        <v>0</v>
      </c>
      <c r="DI506" s="646">
        <v>3</v>
      </c>
      <c r="DJ506" s="646">
        <v>1</v>
      </c>
      <c r="DK506" s="646">
        <v>-0.33048876199999999</v>
      </c>
      <c r="DL506" s="646">
        <v>-1.6695112379999999</v>
      </c>
      <c r="DM506" s="646">
        <v>0</v>
      </c>
      <c r="DN506" s="648">
        <v>-2</v>
      </c>
      <c r="DO506" s="646">
        <v>0.16945955200000001</v>
      </c>
      <c r="DP506" s="646">
        <v>-0.10512202599999999</v>
      </c>
      <c r="DQ506" s="646">
        <v>-6.4337526000000006E-2</v>
      </c>
      <c r="DR506" s="646">
        <v>0.6</v>
      </c>
      <c r="DS506" s="646">
        <v>0</v>
      </c>
      <c r="DT506" s="646">
        <v>-0.6</v>
      </c>
      <c r="DU506" s="646">
        <v>7.586591233</v>
      </c>
      <c r="DV506" s="646">
        <v>-0.91532523099999996</v>
      </c>
      <c r="DW506" s="646">
        <v>-6.3434924380000002</v>
      </c>
      <c r="DX506" s="646">
        <v>4.4677060519999996</v>
      </c>
      <c r="DY506" s="646">
        <v>0.71316306100000004</v>
      </c>
      <c r="DZ506" s="648">
        <v>-3.8960674960000001</v>
      </c>
      <c r="EA506" s="646">
        <v>3.0631125429999999</v>
      </c>
      <c r="EB506" s="646">
        <v>-0.99092567600000003</v>
      </c>
      <c r="EC506" s="646">
        <v>3.3923263010000002</v>
      </c>
      <c r="ED506" s="646">
        <v>-3.0754325119999999</v>
      </c>
      <c r="EE506" s="646">
        <v>2.0698831420000001</v>
      </c>
      <c r="EF506" s="646">
        <v>1.535705221</v>
      </c>
      <c r="EG506" s="646">
        <v>-3.4027130780000001</v>
      </c>
      <c r="EH506" s="646">
        <v>-0.54667434100000001</v>
      </c>
      <c r="EI506" s="646">
        <v>2.9863374</v>
      </c>
      <c r="EJ506" s="646">
        <v>6.6381261460000003</v>
      </c>
      <c r="EK506" s="646">
        <v>-2.0431664129999998</v>
      </c>
      <c r="EL506" s="648">
        <v>-9.6265787330000006</v>
      </c>
      <c r="EM506" s="646">
        <v>3.8763594889999999</v>
      </c>
      <c r="EN506" s="646">
        <v>-7.1114384000000003E-2</v>
      </c>
      <c r="EO506" s="646">
        <v>-2.6378072769999998</v>
      </c>
      <c r="EP506" s="646">
        <v>17.932108203000048</v>
      </c>
      <c r="EQ506" s="646">
        <v>12.000584421999999</v>
      </c>
      <c r="ER506" s="646">
        <v>-17.952194326000001</v>
      </c>
      <c r="ES506" s="646">
        <v>-3.7899688249999999</v>
      </c>
      <c r="ET506" s="646">
        <v>7.8013092339999996</v>
      </c>
      <c r="EU506" s="646">
        <v>1.148047051</v>
      </c>
      <c r="EV506" s="646">
        <v>25.767071447999999</v>
      </c>
      <c r="EW506" s="646">
        <v>-3.5579390019999999</v>
      </c>
      <c r="EX506" s="648">
        <v>-54.219925586000002</v>
      </c>
      <c r="EY506" s="646">
        <v>4.1227676410000003</v>
      </c>
      <c r="EZ506" s="646">
        <v>15.283058831</v>
      </c>
      <c r="FA506" s="646">
        <v>9.1318468609999996</v>
      </c>
      <c r="FB506" s="646">
        <v>-15.515614234999999</v>
      </c>
      <c r="FC506" s="646">
        <v>16.919800762000001</v>
      </c>
      <c r="FD506" s="646">
        <v>-12.317298836000001</v>
      </c>
      <c r="FE506" s="646">
        <v>1.6572660370000001</v>
      </c>
      <c r="FF506" s="646">
        <v>-9.1686883409999993</v>
      </c>
      <c r="FG506" s="646">
        <v>-4.9179374710000001</v>
      </c>
      <c r="FH506" s="646">
        <v>-29.937315363</v>
      </c>
      <c r="FI506" s="646">
        <v>-6.6874433350000002</v>
      </c>
      <c r="FJ506" s="648">
        <v>-38.814568995000002</v>
      </c>
      <c r="FK506" s="646">
        <v>52.910162061999998</v>
      </c>
      <c r="FL506" s="646">
        <v>-3.447883354</v>
      </c>
      <c r="FM506" s="646">
        <v>-9.8135661170000006</v>
      </c>
      <c r="FN506" s="646">
        <v>-6.7984389189999996</v>
      </c>
      <c r="FO506" s="646">
        <v>2.5607231619999999</v>
      </c>
      <c r="FP506" s="646">
        <v>-14.844458005</v>
      </c>
      <c r="FQ506" s="646">
        <v>0.55290800399999995</v>
      </c>
      <c r="FR506" s="646">
        <v>8.5617777260000008</v>
      </c>
      <c r="FS506" s="646">
        <v>-21.529847774</v>
      </c>
      <c r="FT506" s="646">
        <v>-10.498111439000001</v>
      </c>
      <c r="FU506" s="646">
        <v>-0.27429986699999998</v>
      </c>
      <c r="FV506" s="646">
        <v>-16.246488996</v>
      </c>
      <c r="FW506" s="646">
        <v>9.3061905209999995</v>
      </c>
      <c r="FX506" s="646">
        <v>13.90707351</v>
      </c>
      <c r="FY506" s="646">
        <v>-7.3916540050000004</v>
      </c>
      <c r="FZ506" s="646">
        <v>2.7231505540000001</v>
      </c>
      <c r="GA506" s="646">
        <v>-8.2374091820000004</v>
      </c>
      <c r="GB506" s="646">
        <v>-1.205569283</v>
      </c>
      <c r="GC506" s="646">
        <v>7.6403502850000002</v>
      </c>
      <c r="GD506" s="646">
        <v>1.7455720699999999</v>
      </c>
      <c r="GE506" s="646">
        <v>-32.683987813000002</v>
      </c>
      <c r="GF506" s="646">
        <v>1.7280862873333283</v>
      </c>
      <c r="GG506" s="646">
        <v>-12.582587571666672</v>
      </c>
      <c r="GH506" s="646">
        <v>-20.301013466094169</v>
      </c>
      <c r="GI506" s="646"/>
      <c r="GJ506" s="646"/>
      <c r="GK506" s="646"/>
      <c r="GL506" s="646"/>
      <c r="GM506" s="646"/>
      <c r="GN506" s="646"/>
      <c r="GO506" s="646"/>
      <c r="GP506" s="646"/>
      <c r="GQ506" s="646"/>
      <c r="GR506" s="646"/>
      <c r="GS506" s="646"/>
      <c r="GT506" s="646"/>
      <c r="GU506" s="646"/>
      <c r="GV506" s="646"/>
      <c r="GW506" s="646"/>
      <c r="GX506" s="646"/>
      <c r="GY506" s="646"/>
      <c r="GZ506" s="646"/>
      <c r="HA506" s="646"/>
      <c r="HB506" s="646"/>
      <c r="HC506" s="646"/>
      <c r="HD506" s="646"/>
      <c r="HE506" s="646"/>
      <c r="HF506" s="646"/>
      <c r="HG506" s="646"/>
      <c r="HH506" s="646"/>
      <c r="HI506" s="646"/>
      <c r="HJ506" s="646"/>
      <c r="HK506" s="646"/>
      <c r="HL506" s="646"/>
      <c r="HM506" s="646"/>
      <c r="HN506" s="646"/>
      <c r="HO506" s="646"/>
      <c r="HP506" s="646"/>
      <c r="HQ506" s="646"/>
      <c r="HR506" s="646"/>
      <c r="HS506" s="646"/>
      <c r="HT506" s="646"/>
      <c r="HU506" s="646"/>
      <c r="HV506" s="646"/>
      <c r="HW506" s="646"/>
      <c r="HX506" s="646"/>
      <c r="HY506" s="646"/>
      <c r="HZ506" s="649"/>
      <c r="KT506" s="651"/>
      <c r="KU506" s="649"/>
    </row>
    <row r="507" spans="1:307" s="650" customFormat="1" outlineLevel="1">
      <c r="A507" s="644"/>
      <c r="B507" s="644"/>
      <c r="C507" s="644"/>
      <c r="D507" s="2101"/>
      <c r="CP507" s="651"/>
      <c r="DB507" s="2089"/>
      <c r="DN507" s="651"/>
      <c r="DZ507" s="651"/>
      <c r="EL507" s="651"/>
      <c r="EX507" s="651"/>
      <c r="FJ507" s="651"/>
      <c r="KT507" s="651"/>
    </row>
    <row r="508" spans="1:307" s="1014" customFormat="1" ht="14.2" customHeight="1" outlineLevel="1">
      <c r="A508" s="1259"/>
      <c r="B508" s="1259"/>
      <c r="C508" s="1259"/>
      <c r="D508" s="1261" t="s">
        <v>542</v>
      </c>
      <c r="CE508" s="1262"/>
      <c r="CP508" s="1263"/>
      <c r="DB508" s="1302"/>
      <c r="DN508" s="1263"/>
      <c r="DZ508" s="1263"/>
      <c r="EL508" s="1263"/>
      <c r="EX508" s="1263"/>
      <c r="FJ508" s="1263"/>
      <c r="KT508" s="1263"/>
    </row>
    <row r="509" spans="1:307" s="1014" customFormat="1" outlineLevel="1">
      <c r="A509" s="1259" t="s">
        <v>878</v>
      </c>
      <c r="B509" s="1259" t="s">
        <v>338</v>
      </c>
      <c r="C509" s="1259"/>
      <c r="D509" s="1259" t="s">
        <v>512</v>
      </c>
      <c r="BG509" s="1014">
        <v>0.64442542420000004</v>
      </c>
      <c r="BH509" s="1014">
        <v>0.74000402574000002</v>
      </c>
      <c r="BI509" s="1014">
        <v>3.1333673398599999</v>
      </c>
      <c r="BJ509" s="1014">
        <v>0.55994236499999994</v>
      </c>
      <c r="BK509" s="1014">
        <v>2.0145336340000002</v>
      </c>
      <c r="BL509" s="1014">
        <v>1.919866251</v>
      </c>
      <c r="BM509" s="1014">
        <v>1.219471161</v>
      </c>
      <c r="BN509" s="1014">
        <v>1.4851347100000001</v>
      </c>
      <c r="BO509" s="1014">
        <v>2.7905668549999998</v>
      </c>
      <c r="BP509" s="1014">
        <v>1.004922359</v>
      </c>
      <c r="BQ509" s="1014">
        <v>0.64335790100000001</v>
      </c>
      <c r="BR509" s="1014">
        <v>2.353185335</v>
      </c>
      <c r="BS509" s="1014">
        <v>0.29478044799999997</v>
      </c>
      <c r="BT509" s="1014">
        <v>1.198582636</v>
      </c>
      <c r="BU509" s="1014">
        <v>1.159378325</v>
      </c>
      <c r="BV509" s="1014">
        <v>2.6299444830000001</v>
      </c>
      <c r="BW509" s="1014">
        <v>2.2229761640000003</v>
      </c>
      <c r="BX509" s="1014">
        <v>1.3665123440000002</v>
      </c>
      <c r="BY509" s="1014">
        <v>2.1331117160000002</v>
      </c>
      <c r="BZ509" s="1014">
        <v>1.8207399930000001</v>
      </c>
      <c r="CA509" s="1014">
        <v>1.914010945</v>
      </c>
      <c r="CB509" s="1014">
        <v>2.5145817840000002</v>
      </c>
      <c r="CC509" s="1014">
        <v>8.8502698479999999</v>
      </c>
      <c r="CD509" s="1014">
        <v>3.8778661080000001</v>
      </c>
      <c r="CE509" s="1262">
        <v>0.62834436900000001</v>
      </c>
      <c r="CF509" s="1014">
        <v>1.958956323</v>
      </c>
      <c r="CG509" s="1014">
        <v>1.451404065</v>
      </c>
      <c r="CH509" s="1014">
        <v>13.086894258999999</v>
      </c>
      <c r="CI509" s="1014">
        <v>2.0303838279999997</v>
      </c>
      <c r="CJ509" s="1014">
        <v>1.4082085129999999</v>
      </c>
      <c r="CK509" s="1014">
        <v>2.1825454769999997</v>
      </c>
      <c r="CL509" s="1014">
        <v>0.47200763899999998</v>
      </c>
      <c r="CM509" s="1014">
        <v>1.926717977</v>
      </c>
      <c r="CN509" s="1014">
        <v>13.369324688000001</v>
      </c>
      <c r="CO509" s="1014">
        <v>1.572467031</v>
      </c>
      <c r="CP509" s="1263">
        <v>2.2171769869999998</v>
      </c>
      <c r="CQ509" s="1014">
        <v>1.6139140250000001</v>
      </c>
      <c r="CR509" s="1014">
        <v>2.690494191</v>
      </c>
      <c r="CS509" s="1014">
        <v>2.7286537709999998</v>
      </c>
      <c r="CT509" s="1014">
        <v>10.742280389000001</v>
      </c>
      <c r="CU509" s="1014">
        <v>2.926404845</v>
      </c>
      <c r="CV509" s="1014">
        <v>1.2423336410000001</v>
      </c>
      <c r="CW509" s="1014">
        <v>1.720635634</v>
      </c>
      <c r="CX509" s="1014">
        <v>1.0965883029999999</v>
      </c>
      <c r="CY509" s="1014">
        <v>4.4167458179999999</v>
      </c>
      <c r="CZ509" s="1014">
        <v>11.485379681</v>
      </c>
      <c r="DA509" s="1014">
        <v>3.205517172</v>
      </c>
      <c r="DB509" s="1302">
        <v>1.856683648</v>
      </c>
      <c r="DC509" s="1014">
        <v>1.319552671874697</v>
      </c>
      <c r="DD509" s="1014">
        <v>5.1373690910000001</v>
      </c>
      <c r="DE509" s="1014">
        <v>2.9720018613999999</v>
      </c>
      <c r="DF509" s="1014">
        <v>12.247483175581106</v>
      </c>
      <c r="DG509" s="1014">
        <v>4.4292552779999994</v>
      </c>
      <c r="DH509" s="1014">
        <v>1.487965363</v>
      </c>
      <c r="DI509" s="1014">
        <v>2.1749165699884609</v>
      </c>
      <c r="DJ509" s="1014">
        <v>5.4458020928694051</v>
      </c>
      <c r="DK509" s="1014">
        <v>2.7054398880813491</v>
      </c>
      <c r="DL509" s="1014">
        <v>12.417007610781795</v>
      </c>
      <c r="DM509" s="1014">
        <v>4.7381492344584499</v>
      </c>
      <c r="DN509" s="1263">
        <v>1.7671193954611395</v>
      </c>
      <c r="DO509" s="1014">
        <v>1.5624071460900535</v>
      </c>
      <c r="DP509" s="1014">
        <v>2.5781712165179771</v>
      </c>
      <c r="DQ509" s="1014">
        <v>10.308560738777594</v>
      </c>
      <c r="DR509" s="1014">
        <v>12.804770040562477</v>
      </c>
      <c r="DS509" s="1014">
        <v>6.9211153639897427</v>
      </c>
      <c r="DT509" s="1014">
        <v>2.8734650891153914</v>
      </c>
      <c r="DU509" s="1014">
        <v>3.1088051856620535</v>
      </c>
      <c r="DV509" s="1014">
        <v>8.2619049010794026</v>
      </c>
      <c r="DW509" s="1014">
        <v>3.466102372681549</v>
      </c>
      <c r="DX509" s="1014">
        <v>15.094986895292301</v>
      </c>
      <c r="DY509" s="1014">
        <v>1.9753938718579782</v>
      </c>
      <c r="DZ509" s="1263">
        <v>3.2361918775691323</v>
      </c>
      <c r="EA509" s="1014">
        <v>3.5015318324717364</v>
      </c>
      <c r="EB509" s="1014">
        <v>9.8382652614426149</v>
      </c>
      <c r="EC509" s="1014">
        <v>6.3399289731364812</v>
      </c>
      <c r="ED509" s="1014">
        <v>13.964768911</v>
      </c>
      <c r="EE509" s="1014">
        <v>8.0898960740000003</v>
      </c>
      <c r="EF509" s="1014">
        <v>2.7822407029999998</v>
      </c>
      <c r="EG509" s="1014">
        <v>3.3499686910857536</v>
      </c>
      <c r="EH509" s="1014">
        <v>11.022596140739683</v>
      </c>
      <c r="EI509" s="1014">
        <v>2.3467054732964439</v>
      </c>
      <c r="EJ509" s="1014">
        <v>18.03617356978901</v>
      </c>
      <c r="EK509" s="1014">
        <v>7.0078950868328036</v>
      </c>
      <c r="EL509" s="1263">
        <v>5.2986119352560879</v>
      </c>
      <c r="EM509" s="1014">
        <v>3.8486211165429598</v>
      </c>
      <c r="EN509" s="1014">
        <v>10.700859893184743</v>
      </c>
      <c r="EO509" s="1014">
        <v>4.6521633732603025</v>
      </c>
      <c r="EP509" s="1014">
        <v>16.309403906360082</v>
      </c>
      <c r="EQ509" s="1014">
        <v>3.6079288626639343</v>
      </c>
      <c r="ER509" s="1014">
        <v>11.427364020758388</v>
      </c>
      <c r="ES509" s="1014">
        <v>4.599654032513925</v>
      </c>
      <c r="ET509" s="1014">
        <v>11.417378753271166</v>
      </c>
      <c r="EU509" s="1014">
        <v>6.4693827281148817</v>
      </c>
      <c r="EV509" s="1014">
        <v>14.166945028627095</v>
      </c>
      <c r="EW509" s="1014">
        <v>12.389836306088334</v>
      </c>
      <c r="EX509" s="1263">
        <v>2.9029321177728376</v>
      </c>
      <c r="EY509" s="1014">
        <v>4.2582108953112154</v>
      </c>
      <c r="EZ509" s="1014">
        <v>15.021419806750689</v>
      </c>
      <c r="FA509" s="1014">
        <v>5.9664849941384102</v>
      </c>
      <c r="FB509" s="1014">
        <v>19.494149095841749</v>
      </c>
      <c r="FC509" s="1014">
        <v>16.49008988651671</v>
      </c>
      <c r="FD509" s="1014">
        <v>6.2893872257290457</v>
      </c>
      <c r="FE509" s="1014">
        <v>6.7110417965411377</v>
      </c>
      <c r="FF509" s="1014">
        <v>15.967883407616835</v>
      </c>
      <c r="FG509" s="1014">
        <v>9.0334709392930357</v>
      </c>
      <c r="FH509" s="1014">
        <v>21.409498307685546</v>
      </c>
      <c r="FI509" s="1014">
        <v>9.427931472445044</v>
      </c>
      <c r="FJ509" s="1263">
        <v>9.0492364981899645</v>
      </c>
      <c r="FK509" s="1014">
        <v>6.5947894472174173</v>
      </c>
      <c r="FL509" s="1014">
        <v>20.565895935460542</v>
      </c>
      <c r="FM509" s="1014">
        <v>12.429435277368885</v>
      </c>
      <c r="FN509" s="1014">
        <v>16.620546338643344</v>
      </c>
      <c r="FO509" s="1014">
        <v>21.72806158524206</v>
      </c>
      <c r="FP509" s="1014">
        <v>5.9063976818935888</v>
      </c>
      <c r="FQ509" s="1014">
        <v>7.7234116519373588</v>
      </c>
      <c r="FR509" s="1014">
        <v>25.884777593420942</v>
      </c>
      <c r="FS509" s="1014">
        <v>13.113680258481391</v>
      </c>
      <c r="FT509" s="1014">
        <v>18.082788732618027</v>
      </c>
      <c r="FU509" s="1014">
        <v>24.841553885203947</v>
      </c>
      <c r="FV509" s="1014">
        <v>7.1945375148176671</v>
      </c>
      <c r="FW509" s="1014">
        <v>10.295539063835768</v>
      </c>
      <c r="FX509" s="1014">
        <v>39.167970075463799</v>
      </c>
      <c r="FY509" s="1014">
        <v>11.62923901199345</v>
      </c>
      <c r="FZ509" s="1014">
        <v>4.5180598263678782</v>
      </c>
      <c r="GA509" s="1014">
        <v>29.225468595148026</v>
      </c>
      <c r="GB509" s="1014">
        <v>7.3349480486927394</v>
      </c>
      <c r="GC509" s="1014">
        <v>8.8797004205670298</v>
      </c>
      <c r="GD509" s="1014">
        <v>51.884085011702439</v>
      </c>
      <c r="GE509" s="1014">
        <v>12.065713394151027</v>
      </c>
      <c r="GF509" s="1014">
        <v>5.2082692012701033</v>
      </c>
      <c r="GG509" s="1014">
        <v>34.678660724973334</v>
      </c>
      <c r="GH509" s="1014">
        <v>5.4473070258898044</v>
      </c>
      <c r="GI509" s="1014">
        <v>9.9897070448089718</v>
      </c>
      <c r="GJ509" s="1014">
        <v>59.010171550458026</v>
      </c>
      <c r="GK509" s="1014">
        <v>15.037356993349603</v>
      </c>
      <c r="GL509" s="1014">
        <v>4.8984271749860095</v>
      </c>
      <c r="GM509" s="1014">
        <v>42.644514433000012</v>
      </c>
      <c r="GN509" s="1014">
        <v>5.7326379243156538</v>
      </c>
      <c r="GO509" s="1014">
        <v>12.737969542313675</v>
      </c>
      <c r="GP509" s="1014">
        <v>65.092827532489011</v>
      </c>
      <c r="GQ509" s="1014">
        <v>16.970537585874933</v>
      </c>
      <c r="GR509" s="1014">
        <v>9.8890309096020115</v>
      </c>
      <c r="GS509" s="1014">
        <v>54.600416828589402</v>
      </c>
      <c r="GT509" s="1014">
        <v>6.8992594013140653</v>
      </c>
      <c r="GU509" s="1014">
        <v>15.022112417820438</v>
      </c>
      <c r="GV509" s="1014">
        <v>70.298226307200196</v>
      </c>
      <c r="GW509" s="1014">
        <v>15.436662169297446</v>
      </c>
      <c r="GX509" s="1014">
        <v>9.0332611239490976</v>
      </c>
      <c r="GY509" s="1014">
        <v>62.140814393254452</v>
      </c>
      <c r="GZ509" s="1014">
        <v>20.142187697150661</v>
      </c>
      <c r="HA509" s="1014">
        <v>20.40374766858961</v>
      </c>
      <c r="HB509" s="1014">
        <v>78.486753669451161</v>
      </c>
      <c r="HC509" s="1014">
        <v>16.46431260011844</v>
      </c>
      <c r="HD509" s="1014">
        <v>10.767929105274723</v>
      </c>
      <c r="HE509" s="1014">
        <v>65.730429704520603</v>
      </c>
      <c r="HF509" s="1014">
        <v>33.794247993360699</v>
      </c>
      <c r="HG509" s="1014">
        <v>21.67188593179101</v>
      </c>
      <c r="HH509" s="1014">
        <v>84.382055637342688</v>
      </c>
      <c r="HI509" s="1014">
        <v>17.086074993220311</v>
      </c>
      <c r="HJ509" s="1014">
        <v>12.926356922355417</v>
      </c>
      <c r="HK509" s="1014">
        <v>69.18838194771098</v>
      </c>
      <c r="HL509" s="1014">
        <v>19.114210311865982</v>
      </c>
      <c r="KT509" s="1263"/>
    </row>
    <row r="510" spans="1:307" s="1014" customFormat="1" outlineLevel="1">
      <c r="A510" s="1259" t="s">
        <v>434</v>
      </c>
      <c r="B510" s="1259" t="s">
        <v>338</v>
      </c>
      <c r="C510" s="1259"/>
      <c r="D510" s="1264" t="s">
        <v>530</v>
      </c>
      <c r="BG510" s="1014">
        <v>0.64442542420000004</v>
      </c>
      <c r="BH510" s="1014">
        <v>0.44419389174000001</v>
      </c>
      <c r="BI510" s="1014">
        <v>0.98519447386000003</v>
      </c>
      <c r="BJ510" s="1014">
        <v>0.29351833300000002</v>
      </c>
      <c r="BK510" s="1014">
        <v>0.25040739400000001</v>
      </c>
      <c r="BL510" s="1014">
        <v>0.45723261700000001</v>
      </c>
      <c r="BM510" s="1014">
        <v>0.399195407</v>
      </c>
      <c r="BN510" s="1014">
        <v>0.23484860199999999</v>
      </c>
      <c r="BO510" s="1014">
        <v>0.98848117199999996</v>
      </c>
      <c r="BP510" s="1014">
        <v>0.53694283300000001</v>
      </c>
      <c r="BQ510" s="1014">
        <v>0.34211329600000001</v>
      </c>
      <c r="BR510" s="1014">
        <v>0.21152100099999999</v>
      </c>
      <c r="BS510" s="1014">
        <v>0.29478044799999997</v>
      </c>
      <c r="BT510" s="1014">
        <v>0.26295763599999999</v>
      </c>
      <c r="BU510" s="1014">
        <v>1.159378325</v>
      </c>
      <c r="BV510" s="1014">
        <v>0.25431436299999999</v>
      </c>
      <c r="BW510" s="1014">
        <v>0.35681724500000001</v>
      </c>
      <c r="BX510" s="1014">
        <v>0.26304086100000001</v>
      </c>
      <c r="BY510" s="1014">
        <v>0.47239882799999999</v>
      </c>
      <c r="BZ510" s="1014">
        <v>1.014155605</v>
      </c>
      <c r="CA510" s="1014">
        <v>1.276291265</v>
      </c>
      <c r="CB510" s="1014">
        <v>0.29127051199999998</v>
      </c>
      <c r="CC510" s="1014">
        <v>7.670850798</v>
      </c>
      <c r="CD510" s="1014">
        <v>0.242850555</v>
      </c>
      <c r="CE510" s="1262">
        <v>0.62834436900000001</v>
      </c>
      <c r="CF510" s="1014">
        <v>0.20233494899999999</v>
      </c>
      <c r="CG510" s="1014">
        <v>1.451404065</v>
      </c>
      <c r="CH510" s="1014">
        <v>9.2698339379999997</v>
      </c>
      <c r="CI510" s="1014">
        <v>0.375954605</v>
      </c>
      <c r="CJ510" s="1014">
        <v>0.280524826</v>
      </c>
      <c r="CK510" s="1014">
        <v>0.64144391999999995</v>
      </c>
      <c r="CL510" s="1014">
        <v>0.205787158</v>
      </c>
      <c r="CM510" s="1014">
        <v>1.1252329720000001</v>
      </c>
      <c r="CN510" s="1014">
        <v>10.294691029000001</v>
      </c>
      <c r="CO510" s="1014">
        <v>0.47829205299999999</v>
      </c>
      <c r="CP510" s="1263">
        <v>0.24168825399999999</v>
      </c>
      <c r="CQ510" s="1014">
        <v>0.71878676200000002</v>
      </c>
      <c r="CR510" s="1014">
        <v>0.29884553600000002</v>
      </c>
      <c r="CS510" s="1014">
        <v>1.805917292</v>
      </c>
      <c r="CT510" s="1014">
        <v>9.7326048410000006</v>
      </c>
      <c r="CU510" s="1014">
        <v>0.46882611800000001</v>
      </c>
      <c r="CV510" s="1014">
        <v>0.28060508200000001</v>
      </c>
      <c r="CW510" s="1014">
        <v>0.78783252699999995</v>
      </c>
      <c r="CX510" s="1014">
        <v>0.41301081299999998</v>
      </c>
      <c r="CY510" s="1014">
        <v>1.425080576</v>
      </c>
      <c r="CZ510" s="1014">
        <v>10.55931024</v>
      </c>
      <c r="DA510" s="1014">
        <v>0.47163846199999998</v>
      </c>
      <c r="DB510" s="1302">
        <v>0.247811842</v>
      </c>
      <c r="DC510" s="1014">
        <v>0.30581300002400003</v>
      </c>
      <c r="DD510" s="1014">
        <v>1.3218321449999999</v>
      </c>
      <c r="DE510" s="1014">
        <v>1.7112772300000001</v>
      </c>
      <c r="DF510" s="1014">
        <v>10.920185254000002</v>
      </c>
      <c r="DG510" s="1014">
        <v>0.41516584300000003</v>
      </c>
      <c r="DH510" s="1014">
        <v>0.48394333900000003</v>
      </c>
      <c r="DI510" s="1014">
        <v>1.017606302988461</v>
      </c>
      <c r="DJ510" s="1014">
        <v>1.3759804558694051</v>
      </c>
      <c r="DK510" s="1014">
        <v>1.4788225950813481</v>
      </c>
      <c r="DL510" s="1014">
        <v>11.335465838468624</v>
      </c>
      <c r="DM510" s="1014">
        <v>0.57451591380627609</v>
      </c>
      <c r="DN510" s="1263">
        <v>0.40663164738113922</v>
      </c>
      <c r="DO510" s="1014">
        <v>0.32722966209005344</v>
      </c>
      <c r="DP510" s="1014">
        <v>1.9954767715179773</v>
      </c>
      <c r="DQ510" s="1014">
        <v>2.9979238477775936</v>
      </c>
      <c r="DR510" s="1014">
        <v>11.535534062562478</v>
      </c>
      <c r="DS510" s="1014">
        <v>1.269771634989743</v>
      </c>
      <c r="DT510" s="1014">
        <v>0.36580835911539161</v>
      </c>
      <c r="DU510" s="1014">
        <v>1.2244464356620535</v>
      </c>
      <c r="DV510" s="1014">
        <v>1.4120260280794017</v>
      </c>
      <c r="DW510" s="1014">
        <v>3.1098523726815488</v>
      </c>
      <c r="DX510" s="1014">
        <v>11.528777302292301</v>
      </c>
      <c r="DY510" s="1014">
        <v>0.82126644185797826</v>
      </c>
      <c r="DZ510" s="1263">
        <v>0.35050648456913208</v>
      </c>
      <c r="EA510" s="1014">
        <v>1.3678306704717365</v>
      </c>
      <c r="EB510" s="1014">
        <v>2.772290399442614</v>
      </c>
      <c r="EC510" s="1014">
        <v>3.5298521251364812</v>
      </c>
      <c r="ED510" s="1014">
        <v>11.962555195</v>
      </c>
      <c r="EE510" s="1014">
        <v>0.92720009700000006</v>
      </c>
      <c r="EF510" s="1014">
        <v>0.30176913599999999</v>
      </c>
      <c r="EG510" s="1014">
        <v>1.1161334320857534</v>
      </c>
      <c r="EH510" s="1014">
        <v>3.0604763937396848</v>
      </c>
      <c r="EI510" s="1014">
        <v>2.0036299772964439</v>
      </c>
      <c r="EJ510" s="1014">
        <v>13.871885997789011</v>
      </c>
      <c r="EK510" s="1014">
        <v>0.75602008683280353</v>
      </c>
      <c r="EL510" s="1263">
        <v>1.0089266132560877</v>
      </c>
      <c r="EM510" s="1014">
        <v>1.6198623873765028</v>
      </c>
      <c r="EN510" s="1014">
        <v>2.7373024249772246</v>
      </c>
      <c r="EO510" s="1014">
        <v>2.0123866936801722</v>
      </c>
      <c r="EP510" s="1014">
        <v>14.22283591316187</v>
      </c>
      <c r="EQ510" s="1014">
        <v>1.4073944976639343</v>
      </c>
      <c r="ER510" s="1014">
        <v>1.0850148726375077</v>
      </c>
      <c r="ES510" s="1014">
        <v>1.7520355385139252</v>
      </c>
      <c r="ET510" s="1014">
        <v>2.5448483032711651</v>
      </c>
      <c r="EU510" s="1014">
        <v>4.4114107411148815</v>
      </c>
      <c r="EV510" s="1014">
        <v>12.708406492627095</v>
      </c>
      <c r="EW510" s="1014">
        <v>2.0007631160883328</v>
      </c>
      <c r="EX510" s="1263">
        <v>1.3867201917728373</v>
      </c>
      <c r="EY510" s="1014">
        <v>2.2628124293112153</v>
      </c>
      <c r="EZ510" s="1014">
        <v>3.0044166297506907</v>
      </c>
      <c r="FA510" s="1014">
        <v>4.6224758041384097</v>
      </c>
      <c r="FB510" s="1014">
        <v>15.064061914841748</v>
      </c>
      <c r="FC510" s="1014">
        <v>2.678425054516711</v>
      </c>
      <c r="FD510" s="1014">
        <v>0.80721773972904587</v>
      </c>
      <c r="FE510" s="1014">
        <v>3.5610480045411377</v>
      </c>
      <c r="FF510" s="1014">
        <v>3.2167937696168343</v>
      </c>
      <c r="FG510" s="1014">
        <v>5.2020126962930346</v>
      </c>
      <c r="FH510" s="1014">
        <v>14.917319584685547</v>
      </c>
      <c r="FI510" s="1014">
        <v>3.1411812884450443</v>
      </c>
      <c r="FJ510" s="1263">
        <v>2.3392490061899642</v>
      </c>
      <c r="FK510" s="1014">
        <v>2.1311138522174171</v>
      </c>
      <c r="FL510" s="1014">
        <v>3.6659391624605435</v>
      </c>
      <c r="FM510" s="1014">
        <v>6.6097783233688849</v>
      </c>
      <c r="FN510" s="1014">
        <v>14.472022977643345</v>
      </c>
      <c r="FO510" s="1014">
        <v>3.8616398652420614</v>
      </c>
      <c r="FP510" s="1014">
        <v>2.0407557288935885</v>
      </c>
      <c r="FQ510" s="1014">
        <v>3.018595064937359</v>
      </c>
      <c r="FR510" s="1014">
        <v>4.1255898384212824</v>
      </c>
      <c r="FS510" s="1014">
        <v>7.0408369434813904</v>
      </c>
      <c r="FT510" s="1014">
        <v>14.877754502618028</v>
      </c>
      <c r="FU510" s="1014">
        <v>3.4291717512039499</v>
      </c>
      <c r="FV510" s="1014">
        <v>1.9037964901119899</v>
      </c>
      <c r="FW510" s="1014">
        <v>3.0111710048357687</v>
      </c>
      <c r="FX510" s="1014">
        <v>10.635850491463801</v>
      </c>
      <c r="FY510" s="1014">
        <v>6.8643131069934498</v>
      </c>
      <c r="FZ510" s="1014">
        <v>1.3540609383678777</v>
      </c>
      <c r="GA510" s="1014">
        <v>4.381167408148027</v>
      </c>
      <c r="GB510" s="1014">
        <v>1.55055324269274</v>
      </c>
      <c r="GC510" s="1014">
        <v>4.1413609305670294</v>
      </c>
      <c r="GD510" s="1014">
        <v>21.884791707702441</v>
      </c>
      <c r="GE510" s="1014">
        <v>7.526577834151027</v>
      </c>
      <c r="GF510" s="1014">
        <v>3.4334906522701032</v>
      </c>
      <c r="GG510" s="1014">
        <v>4.0878705869733327</v>
      </c>
      <c r="GH510" s="1014">
        <v>1.0963131248898048</v>
      </c>
      <c r="GI510" s="1014">
        <v>3.3092056958089713</v>
      </c>
      <c r="GJ510" s="1014">
        <v>22.650780052458025</v>
      </c>
      <c r="GK510" s="1014">
        <v>7.5170681773496026</v>
      </c>
      <c r="GL510" s="1014">
        <v>2.3543160589860102</v>
      </c>
      <c r="GM510" s="1014">
        <v>6.4630748740000126</v>
      </c>
      <c r="GN510" s="1014">
        <v>1.0409838473156541</v>
      </c>
      <c r="GO510" s="1014">
        <v>4.8511278593136762</v>
      </c>
      <c r="GP510" s="1014">
        <v>24.788084443489012</v>
      </c>
      <c r="GQ510" s="1014">
        <v>7.2483733268749315</v>
      </c>
      <c r="GR510" s="1014">
        <v>7.5574463796020108</v>
      </c>
      <c r="GS510" s="1014">
        <v>11.596701611589399</v>
      </c>
      <c r="GT510" s="1014">
        <v>1.4719005173140647</v>
      </c>
      <c r="GU510" s="1014">
        <v>6.7227833908204371</v>
      </c>
      <c r="GV510" s="1014">
        <v>28.717426718200194</v>
      </c>
      <c r="GW510" s="1014">
        <v>9.5612216072974459</v>
      </c>
      <c r="GX510" s="1014">
        <v>5.5347149109490976</v>
      </c>
      <c r="GY510" s="1014">
        <v>17.935308096254452</v>
      </c>
      <c r="GZ510" s="1014">
        <v>9.6507458941506616</v>
      </c>
      <c r="HA510" s="1014">
        <v>7.4258548075896105</v>
      </c>
      <c r="HB510" s="1014">
        <v>33.340351213451157</v>
      </c>
      <c r="HC510" s="1014">
        <v>10.396354616118439</v>
      </c>
      <c r="HD510" s="1014">
        <v>6.8946206912747234</v>
      </c>
      <c r="HE510" s="1014">
        <v>20.578426141520598</v>
      </c>
      <c r="HF510" s="1014">
        <v>26.494068693360703</v>
      </c>
      <c r="HG510" s="1014">
        <v>10.205643385021778</v>
      </c>
      <c r="HH510" s="1014">
        <v>34.923771469304235</v>
      </c>
      <c r="HI510" s="1014">
        <v>11.380694865912622</v>
      </c>
      <c r="HJ510" s="1014">
        <v>8.9568610229708039</v>
      </c>
      <c r="HK510" s="1014">
        <v>22.883165412710976</v>
      </c>
      <c r="HL510" s="1014">
        <v>10.657852581327523</v>
      </c>
      <c r="KT510" s="1263"/>
    </row>
    <row r="511" spans="1:307" s="1014" customFormat="1" outlineLevel="1">
      <c r="A511" s="1259" t="s">
        <v>434</v>
      </c>
      <c r="B511" s="1259" t="s">
        <v>338</v>
      </c>
      <c r="C511" s="1259"/>
      <c r="D511" s="1265" t="s">
        <v>543</v>
      </c>
      <c r="BG511" s="1014">
        <v>0</v>
      </c>
      <c r="BH511" s="1014">
        <v>0</v>
      </c>
      <c r="BI511" s="1014">
        <v>0</v>
      </c>
      <c r="BJ511" s="1014">
        <v>0</v>
      </c>
      <c r="BK511" s="1014">
        <v>0</v>
      </c>
      <c r="BL511" s="1014">
        <v>0</v>
      </c>
      <c r="BM511" s="1014">
        <v>0</v>
      </c>
      <c r="BN511" s="1014">
        <v>0</v>
      </c>
      <c r="BO511" s="1014">
        <v>0</v>
      </c>
      <c r="BP511" s="1014">
        <v>0</v>
      </c>
      <c r="BQ511" s="1014">
        <v>0</v>
      </c>
      <c r="BR511" s="1014">
        <v>0</v>
      </c>
      <c r="BS511" s="1014">
        <v>0</v>
      </c>
      <c r="BT511" s="1014">
        <v>0</v>
      </c>
      <c r="BU511" s="1014">
        <v>0</v>
      </c>
      <c r="BV511" s="1014">
        <v>0</v>
      </c>
      <c r="BW511" s="1014">
        <v>0</v>
      </c>
      <c r="BX511" s="1014">
        <v>0</v>
      </c>
      <c r="BY511" s="1014">
        <v>0</v>
      </c>
      <c r="BZ511" s="1014">
        <v>0</v>
      </c>
      <c r="CA511" s="1014">
        <v>0</v>
      </c>
      <c r="CB511" s="1014">
        <v>0</v>
      </c>
      <c r="CC511" s="1014">
        <v>0</v>
      </c>
      <c r="CD511" s="1014">
        <v>0</v>
      </c>
      <c r="CE511" s="1262">
        <v>0</v>
      </c>
      <c r="CF511" s="1014">
        <v>0</v>
      </c>
      <c r="CG511" s="1014">
        <v>0</v>
      </c>
      <c r="CH511" s="1014">
        <v>8.8462357239999996</v>
      </c>
      <c r="CI511" s="1014">
        <v>0</v>
      </c>
      <c r="CJ511" s="1014">
        <v>0</v>
      </c>
      <c r="CK511" s="1014">
        <v>0</v>
      </c>
      <c r="CL511" s="1014">
        <v>0</v>
      </c>
      <c r="CM511" s="1014">
        <v>0</v>
      </c>
      <c r="CN511" s="1014">
        <v>9.0818789049999999</v>
      </c>
      <c r="CO511" s="1014">
        <v>0</v>
      </c>
      <c r="CP511" s="1263">
        <v>0</v>
      </c>
      <c r="CQ511" s="1014">
        <v>0</v>
      </c>
      <c r="CR511" s="1014">
        <v>0</v>
      </c>
      <c r="CS511" s="1014">
        <v>0</v>
      </c>
      <c r="CT511" s="1014">
        <v>9.2230173749999995</v>
      </c>
      <c r="CU511" s="1014">
        <v>0</v>
      </c>
      <c r="CV511" s="1014">
        <v>0</v>
      </c>
      <c r="CW511" s="1014">
        <v>0</v>
      </c>
      <c r="CX511" s="1014">
        <v>0</v>
      </c>
      <c r="CY511" s="1014">
        <v>0</v>
      </c>
      <c r="CZ511" s="1014">
        <v>9.5019107290000004</v>
      </c>
      <c r="DA511" s="1014">
        <v>0</v>
      </c>
      <c r="DB511" s="1302">
        <v>0</v>
      </c>
      <c r="DN511" s="1263"/>
      <c r="DZ511" s="1263"/>
      <c r="EL511" s="1263"/>
      <c r="EX511" s="1263"/>
      <c r="FJ511" s="1263"/>
      <c r="KT511" s="1263"/>
    </row>
    <row r="512" spans="1:307" s="1014" customFormat="1" outlineLevel="1">
      <c r="A512" s="1259" t="s">
        <v>434</v>
      </c>
      <c r="B512" s="1259" t="s">
        <v>338</v>
      </c>
      <c r="C512" s="1259"/>
      <c r="D512" s="1264" t="s">
        <v>531</v>
      </c>
      <c r="BG512" s="1014">
        <v>0</v>
      </c>
      <c r="BH512" s="1014">
        <v>0.295810134</v>
      </c>
      <c r="BI512" s="1014">
        <v>2.1481728659999999</v>
      </c>
      <c r="BJ512" s="1014">
        <v>0.26642403199999998</v>
      </c>
      <c r="BK512" s="1014">
        <v>1.76412624</v>
      </c>
      <c r="BL512" s="1014">
        <v>1.4626336339999999</v>
      </c>
      <c r="BM512" s="1014">
        <v>0.82027575399999997</v>
      </c>
      <c r="BN512" s="1014">
        <v>1.2502861080000001</v>
      </c>
      <c r="BO512" s="1014">
        <v>1.802085683</v>
      </c>
      <c r="BP512" s="1014">
        <v>0.46797952599999998</v>
      </c>
      <c r="BQ512" s="1014">
        <v>0.301244605</v>
      </c>
      <c r="BR512" s="1014">
        <v>2.1416643340000001</v>
      </c>
      <c r="BS512" s="1014">
        <v>0</v>
      </c>
      <c r="BT512" s="1014">
        <v>0.93562500000000004</v>
      </c>
      <c r="BU512" s="1014">
        <v>0</v>
      </c>
      <c r="BV512" s="1014">
        <v>2.3756301199999998</v>
      </c>
      <c r="BW512" s="1014">
        <v>1.8661589190000001</v>
      </c>
      <c r="BX512" s="1014">
        <v>1.1034714830000001</v>
      </c>
      <c r="BY512" s="1014">
        <v>1.6607128879999999</v>
      </c>
      <c r="BZ512" s="1014">
        <v>0.80658438799999999</v>
      </c>
      <c r="CA512" s="1014">
        <v>0.63771968000000001</v>
      </c>
      <c r="CB512" s="1014">
        <v>2.2233112720000001</v>
      </c>
      <c r="CC512" s="1014">
        <v>1.1794190499999999</v>
      </c>
      <c r="CD512" s="1014">
        <v>3.6350155530000001</v>
      </c>
      <c r="CE512" s="1262">
        <v>0</v>
      </c>
      <c r="CF512" s="1014">
        <v>1.7566213740000001</v>
      </c>
      <c r="CG512" s="1014">
        <v>0</v>
      </c>
      <c r="CH512" s="1014">
        <v>3.817060321</v>
      </c>
      <c r="CI512" s="1014">
        <v>1.6544292229999999</v>
      </c>
      <c r="CJ512" s="1014">
        <v>1.127683687</v>
      </c>
      <c r="CK512" s="1014">
        <v>1.541101557</v>
      </c>
      <c r="CL512" s="1014">
        <v>0.26622048100000001</v>
      </c>
      <c r="CM512" s="1014">
        <v>0.80148500499999997</v>
      </c>
      <c r="CN512" s="1014">
        <v>3.0746336589999999</v>
      </c>
      <c r="CO512" s="1014">
        <v>1.0941749780000001</v>
      </c>
      <c r="CP512" s="1263">
        <v>1.9754887329999999</v>
      </c>
      <c r="CQ512" s="1014">
        <v>0.89512726300000001</v>
      </c>
      <c r="CR512" s="1014">
        <v>2.391648655</v>
      </c>
      <c r="CS512" s="1014">
        <v>0.922736479</v>
      </c>
      <c r="CT512" s="1014">
        <v>1.0096755479999999</v>
      </c>
      <c r="CU512" s="1014">
        <v>2.457578727</v>
      </c>
      <c r="CV512" s="1014">
        <v>0.96172855899999998</v>
      </c>
      <c r="CW512" s="1014">
        <v>0.93280310700000002</v>
      </c>
      <c r="CX512" s="1014">
        <v>0.68357749000000001</v>
      </c>
      <c r="CY512" s="1014">
        <v>2.9916652419999998</v>
      </c>
      <c r="CZ512" s="1014">
        <v>0.92606944099999999</v>
      </c>
      <c r="DA512" s="1014">
        <v>2.7338787099999999</v>
      </c>
      <c r="DB512" s="1302">
        <v>1.608871806</v>
      </c>
      <c r="DC512" s="1014">
        <v>1.013739671850697</v>
      </c>
      <c r="DD512" s="1014">
        <v>3.8155369459999999</v>
      </c>
      <c r="DE512" s="1014">
        <v>1.2607246313999998</v>
      </c>
      <c r="DF512" s="1014">
        <v>1.327297921581104</v>
      </c>
      <c r="DG512" s="1014">
        <v>4.0140894349999998</v>
      </c>
      <c r="DH512" s="1014">
        <v>1.004022024</v>
      </c>
      <c r="DI512" s="1014">
        <v>1.1573102669999999</v>
      </c>
      <c r="DJ512" s="1014">
        <v>4.0698216370000004</v>
      </c>
      <c r="DK512" s="1014">
        <v>1.2266172930000008</v>
      </c>
      <c r="DL512" s="1014">
        <v>1.0815417723131717</v>
      </c>
      <c r="DM512" s="1014">
        <v>4.1636333206521741</v>
      </c>
      <c r="DN512" s="1263">
        <v>1.3604877480800004</v>
      </c>
      <c r="DO512" s="1014">
        <v>1.235177484</v>
      </c>
      <c r="DP512" s="1014">
        <v>0.58269444500000001</v>
      </c>
      <c r="DQ512" s="1014">
        <v>7.3106368909999997</v>
      </c>
      <c r="DR512" s="1014">
        <v>1.269235978</v>
      </c>
      <c r="DS512" s="1014">
        <v>5.6513437289999997</v>
      </c>
      <c r="DT512" s="1014">
        <v>2.5076567299999999</v>
      </c>
      <c r="DU512" s="1014">
        <v>1.8843587500000001</v>
      </c>
      <c r="DV512" s="1014">
        <v>6.8498788730000006</v>
      </c>
      <c r="DW512" s="1014">
        <v>0.35625000000000001</v>
      </c>
      <c r="DX512" s="1014">
        <v>3.566209593</v>
      </c>
      <c r="DY512" s="1014">
        <v>1.15412743</v>
      </c>
      <c r="DZ512" s="1263">
        <v>2.8856853930000002</v>
      </c>
      <c r="EA512" s="1014">
        <v>2.1337011619999999</v>
      </c>
      <c r="EB512" s="1014">
        <v>7.065974862</v>
      </c>
      <c r="EC512" s="1014">
        <v>2.810076848</v>
      </c>
      <c r="ED512" s="1014">
        <v>2.002213716</v>
      </c>
      <c r="EE512" s="1014">
        <v>7.1626959770000003</v>
      </c>
      <c r="EF512" s="1014">
        <v>2.4804715669999999</v>
      </c>
      <c r="EG512" s="1014">
        <v>2.2338352590000001</v>
      </c>
      <c r="EH512" s="1014">
        <v>7.9621197469999991</v>
      </c>
      <c r="EI512" s="1014">
        <v>0.34307549599999998</v>
      </c>
      <c r="EJ512" s="1014">
        <v>4.1642875720000001</v>
      </c>
      <c r="EK512" s="1014">
        <v>6.2518750000000001</v>
      </c>
      <c r="EL512" s="1263">
        <v>4.2896853220000004</v>
      </c>
      <c r="EM512" s="1014">
        <v>2.228758729166457</v>
      </c>
      <c r="EN512" s="1014">
        <v>7.9635574682075188</v>
      </c>
      <c r="EO512" s="1014">
        <v>2.6397766795801307</v>
      </c>
      <c r="EP512" s="1014">
        <v>2.0865679931982122</v>
      </c>
      <c r="EQ512" s="1014">
        <v>2.2005343650000002</v>
      </c>
      <c r="ER512" s="1014">
        <v>10.34234914812088</v>
      </c>
      <c r="ES512" s="1014">
        <v>2.8476184939999998</v>
      </c>
      <c r="ET512" s="1014">
        <v>8.8725304500000011</v>
      </c>
      <c r="EU512" s="1014">
        <v>2.0579719870000002</v>
      </c>
      <c r="EV512" s="1014">
        <v>1.4585385360000001</v>
      </c>
      <c r="EW512" s="1014">
        <v>10.389073190000001</v>
      </c>
      <c r="EX512" s="1263">
        <v>1.516211926</v>
      </c>
      <c r="EY512" s="1014">
        <v>1.9953984659999999</v>
      </c>
      <c r="EZ512" s="1014">
        <v>12.017003176999999</v>
      </c>
      <c r="FA512" s="1014">
        <v>1.34400919</v>
      </c>
      <c r="FB512" s="1014">
        <v>4.4300871810000002</v>
      </c>
      <c r="FC512" s="1014">
        <v>13.811664832</v>
      </c>
      <c r="FD512" s="1014">
        <v>5.4821694860000001</v>
      </c>
      <c r="FE512" s="1014">
        <v>3.1499937920000001</v>
      </c>
      <c r="FF512" s="1014">
        <v>12.751089638</v>
      </c>
      <c r="FG512" s="1014">
        <v>3.8314582430000002</v>
      </c>
      <c r="FH512" s="1014">
        <v>6.4921787229999994</v>
      </c>
      <c r="FI512" s="1014">
        <v>6.2867501839999997</v>
      </c>
      <c r="FJ512" s="1263">
        <v>6.7099874919999998</v>
      </c>
      <c r="FK512" s="1014">
        <v>4.4636755949999998</v>
      </c>
      <c r="FL512" s="1014">
        <v>16.899956773</v>
      </c>
      <c r="FM512" s="1014">
        <v>5.819656954</v>
      </c>
      <c r="FN512" s="1014">
        <v>2.1485233610000001</v>
      </c>
      <c r="FO512" s="1014">
        <v>17.866421719999998</v>
      </c>
      <c r="FP512" s="1014">
        <v>3.8656419530000004</v>
      </c>
      <c r="FQ512" s="1014">
        <v>4.7048165869999998</v>
      </c>
      <c r="FR512" s="1014">
        <v>21.759187754999658</v>
      </c>
      <c r="FS512" s="1014">
        <v>6.0728433150000001</v>
      </c>
      <c r="FT512" s="1014">
        <v>3.2050342299999999</v>
      </c>
      <c r="FU512" s="1014">
        <v>21.412382133999998</v>
      </c>
      <c r="FV512" s="1014">
        <v>5.2907410247056772</v>
      </c>
      <c r="FW512" s="1014">
        <v>7.2843680590000002</v>
      </c>
      <c r="FX512" s="1014">
        <v>28.532119584</v>
      </c>
      <c r="FY512" s="1014">
        <v>4.7649259050000001</v>
      </c>
      <c r="FZ512" s="1014">
        <v>3.1639988880000001</v>
      </c>
      <c r="GA512" s="1014">
        <v>24.844301186999999</v>
      </c>
      <c r="GB512" s="1014">
        <v>5.7843948059999999</v>
      </c>
      <c r="GC512" s="1014">
        <v>4.7383394899999995</v>
      </c>
      <c r="GD512" s="1014">
        <v>29.999293304000002</v>
      </c>
      <c r="GE512" s="1014">
        <v>4.5391355600000001</v>
      </c>
      <c r="GF512" s="1014">
        <v>1.7747785490000001</v>
      </c>
      <c r="GG512" s="1014">
        <v>30.590790138000003</v>
      </c>
      <c r="GH512" s="1014">
        <v>4.3509939009999998</v>
      </c>
      <c r="GI512" s="1014">
        <v>6.680501349</v>
      </c>
      <c r="GJ512" s="1014">
        <v>36.359391498000001</v>
      </c>
      <c r="GK512" s="1014">
        <v>7.5202888159999999</v>
      </c>
      <c r="GL512" s="1014">
        <v>2.5441111159999998</v>
      </c>
      <c r="GM512" s="1014">
        <v>36.181439558999998</v>
      </c>
      <c r="GN512" s="1014">
        <v>4.6916540769999999</v>
      </c>
      <c r="GO512" s="1014">
        <v>7.8868416830000001</v>
      </c>
      <c r="GP512" s="1014">
        <v>40.304743088999999</v>
      </c>
      <c r="GQ512" s="1014">
        <v>9.7221642589999995</v>
      </c>
      <c r="GR512" s="1014">
        <v>2.3315845300000002</v>
      </c>
      <c r="GS512" s="1014">
        <v>43.003715217</v>
      </c>
      <c r="GT512" s="1014">
        <v>5.4273588840000002</v>
      </c>
      <c r="GU512" s="1014">
        <v>8.2993290270000006</v>
      </c>
      <c r="GV512" s="1014">
        <v>41.580799589000002</v>
      </c>
      <c r="GW512" s="1014">
        <v>5.8754405619999996</v>
      </c>
      <c r="GX512" s="1014">
        <v>3.498546213</v>
      </c>
      <c r="GY512" s="1014">
        <v>44.205506296999999</v>
      </c>
      <c r="GZ512" s="1014">
        <v>10.491441803000001</v>
      </c>
      <c r="HA512" s="1014">
        <v>12.977892861000001</v>
      </c>
      <c r="HB512" s="1014">
        <v>45.146402455999997</v>
      </c>
      <c r="HC512" s="1014">
        <v>6.0679579840000004</v>
      </c>
      <c r="HD512" s="1014">
        <v>3.8733084139999998</v>
      </c>
      <c r="HE512" s="1014">
        <v>45.152003563000001</v>
      </c>
      <c r="HF512" s="1014">
        <v>7.3001792999999999</v>
      </c>
      <c r="HG512" s="1014">
        <v>11.46624254676923</v>
      </c>
      <c r="HH512" s="1014">
        <v>49.45828416803846</v>
      </c>
      <c r="HI512" s="1014">
        <v>5.7053801273076896</v>
      </c>
      <c r="HJ512" s="1014">
        <v>3.9694958993846128</v>
      </c>
      <c r="HK512" s="1014">
        <v>46.305216535</v>
      </c>
      <c r="HL512" s="1014">
        <v>8.4563577305384605</v>
      </c>
      <c r="KT512" s="1263"/>
    </row>
    <row r="513" spans="1:306" s="1014" customFormat="1" outlineLevel="1">
      <c r="A513" s="1259" t="s">
        <v>434</v>
      </c>
      <c r="B513" s="1259" t="s">
        <v>338</v>
      </c>
      <c r="C513" s="1259"/>
      <c r="D513" s="1259" t="s">
        <v>544</v>
      </c>
      <c r="BG513" s="1014">
        <v>1.9831728930100003</v>
      </c>
      <c r="BH513" s="1014">
        <v>1.3296544529499998</v>
      </c>
      <c r="BI513" s="1014">
        <v>1.93187784137</v>
      </c>
      <c r="BJ513" s="1014">
        <v>0.479169018</v>
      </c>
      <c r="BK513" s="1014">
        <v>1.166195206</v>
      </c>
      <c r="BL513" s="1014">
        <v>3.7011558459999998</v>
      </c>
      <c r="BM513" s="1014">
        <v>4.1174743620000003</v>
      </c>
      <c r="BN513" s="1014">
        <v>2.2541261890700004</v>
      </c>
      <c r="BO513" s="1014">
        <v>2.7890214819999999</v>
      </c>
      <c r="BP513" s="1014">
        <v>3.567708095</v>
      </c>
      <c r="BQ513" s="1014">
        <v>3.3951889450900001</v>
      </c>
      <c r="BR513" s="1014">
        <v>6.62245356743</v>
      </c>
      <c r="BS513" s="1014">
        <v>0.96557876300000001</v>
      </c>
      <c r="BT513" s="1014">
        <v>7.2424847000000001E-2</v>
      </c>
      <c r="BU513" s="1014">
        <v>0.67611396800000001</v>
      </c>
      <c r="BV513" s="1014">
        <v>3.2317306859999997</v>
      </c>
      <c r="BW513" s="1014">
        <v>1.3253601000000002</v>
      </c>
      <c r="BX513" s="1014">
        <v>0.83295369200000002</v>
      </c>
      <c r="BY513" s="1014">
        <v>1.1392456129999999</v>
      </c>
      <c r="BZ513" s="1014">
        <v>0.46771389600000002</v>
      </c>
      <c r="CA513" s="1014">
        <v>0.69489980600000001</v>
      </c>
      <c r="CB513" s="1014">
        <v>0.71632456600000005</v>
      </c>
      <c r="CC513" s="1014">
        <v>2.854530499</v>
      </c>
      <c r="CD513" s="1014">
        <v>6.0947944080000003</v>
      </c>
      <c r="CE513" s="1262">
        <v>0.39586318599999998</v>
      </c>
      <c r="CF513" s="1014">
        <v>0.42736229799999997</v>
      </c>
      <c r="CG513" s="1014">
        <v>0.703602968</v>
      </c>
      <c r="CH513" s="1014">
        <v>2.4406560769999999</v>
      </c>
      <c r="CI513" s="1014">
        <v>1.580804755</v>
      </c>
      <c r="CJ513" s="1014">
        <v>0.87157223399999995</v>
      </c>
      <c r="CK513" s="1014">
        <v>2.2065311749999998</v>
      </c>
      <c r="CL513" s="1014">
        <v>1.0281840710000001</v>
      </c>
      <c r="CM513" s="1014">
        <v>2.360836929</v>
      </c>
      <c r="CN513" s="1014">
        <v>4.9935879760000006</v>
      </c>
      <c r="CO513" s="1014">
        <v>8.219803069000001</v>
      </c>
      <c r="CP513" s="1263">
        <v>0.86198469600000005</v>
      </c>
      <c r="CQ513" s="1014">
        <v>9.8490963990000004</v>
      </c>
      <c r="CR513" s="1014">
        <v>0.102537352</v>
      </c>
      <c r="CS513" s="1014">
        <v>1.3600541789999998</v>
      </c>
      <c r="CT513" s="1014">
        <v>2.0463993569999999</v>
      </c>
      <c r="CU513" s="1014">
        <v>1.4408561609999999</v>
      </c>
      <c r="CV513" s="1014">
        <v>1.1275184149999999</v>
      </c>
      <c r="CW513" s="1014">
        <v>1.1873878469999999</v>
      </c>
      <c r="CX513" s="1014">
        <v>0.103676817</v>
      </c>
      <c r="CY513" s="1014">
        <v>1.763604411</v>
      </c>
      <c r="CZ513" s="1014">
        <v>2.1634711850000001</v>
      </c>
      <c r="DA513" s="1014">
        <v>2.3130289560000001</v>
      </c>
      <c r="DB513" s="1302">
        <v>1.0637032870000001</v>
      </c>
      <c r="DC513" s="1014">
        <f>DC514+DC515</f>
        <v>0.7496316773618682</v>
      </c>
      <c r="DD513" s="1014">
        <f t="shared" ref="DD513:FO513" si="261">DD514+DD515</f>
        <v>0.18844025208556964</v>
      </c>
      <c r="DE513" s="1014">
        <f t="shared" si="261"/>
        <v>1.1651190338380673</v>
      </c>
      <c r="DF513" s="1014">
        <f t="shared" si="261"/>
        <v>2.3537645624842876</v>
      </c>
      <c r="DG513" s="1014">
        <f t="shared" si="261"/>
        <v>0.81354493592348931</v>
      </c>
      <c r="DH513" s="1014">
        <f t="shared" si="261"/>
        <v>2.3913343737472514</v>
      </c>
      <c r="DI513" s="1014">
        <f t="shared" si="261"/>
        <v>0.82900468326802634</v>
      </c>
      <c r="DJ513" s="1014">
        <f t="shared" si="261"/>
        <v>0.11983319186926601</v>
      </c>
      <c r="DK513" s="1014">
        <f t="shared" si="261"/>
        <v>2.3683025380918479</v>
      </c>
      <c r="DL513" s="1014">
        <f t="shared" si="261"/>
        <v>2.6336685600717291</v>
      </c>
      <c r="DM513" s="1014">
        <f t="shared" si="261"/>
        <v>1.9423298927616031</v>
      </c>
      <c r="DN513" s="1014">
        <f t="shared" si="261"/>
        <v>1.5664812432107276</v>
      </c>
      <c r="DO513" s="1014">
        <f t="shared" si="261"/>
        <v>0.81482773460129687</v>
      </c>
      <c r="DP513" s="1014">
        <f t="shared" si="261"/>
        <v>0.18105762339779582</v>
      </c>
      <c r="DQ513" s="1014">
        <f t="shared" si="261"/>
        <v>4.1449209053121328</v>
      </c>
      <c r="DR513" s="1014">
        <f t="shared" si="261"/>
        <v>1.6766759256303281</v>
      </c>
      <c r="DS513" s="1014">
        <f t="shared" si="261"/>
        <v>1.6324040521808563</v>
      </c>
      <c r="DT513" s="1014">
        <f t="shared" si="261"/>
        <v>1.9212676525864625</v>
      </c>
      <c r="DU513" s="1014">
        <f t="shared" si="261"/>
        <v>0.70013142949925244</v>
      </c>
      <c r="DV513" s="1014">
        <f t="shared" si="261"/>
        <v>0.1429723286373058</v>
      </c>
      <c r="DW513" s="1014">
        <f t="shared" si="261"/>
        <v>5.3287087216909566</v>
      </c>
      <c r="DX513" s="1014">
        <f t="shared" si="261"/>
        <v>1.5963297269627943</v>
      </c>
      <c r="DY513" s="1014">
        <f t="shared" si="261"/>
        <v>2.1598769611755211</v>
      </c>
      <c r="DZ513" s="1014">
        <f t="shared" si="261"/>
        <v>1.2814078564345341</v>
      </c>
      <c r="EA513" s="1014">
        <f t="shared" si="261"/>
        <v>1.2814078564345341</v>
      </c>
      <c r="EB513" s="1014">
        <f t="shared" si="261"/>
        <v>0.1508550394771061</v>
      </c>
      <c r="EC513" s="1014">
        <f t="shared" si="261"/>
        <v>4.9908027326786346</v>
      </c>
      <c r="ED513" s="1014">
        <f t="shared" si="261"/>
        <v>2.0712650367908614</v>
      </c>
      <c r="EE513" s="1014">
        <f t="shared" si="261"/>
        <v>1.8791482955264269</v>
      </c>
      <c r="EF513" s="1014">
        <f t="shared" si="261"/>
        <v>2.1693559036259176</v>
      </c>
      <c r="EG513" s="1014">
        <f t="shared" si="261"/>
        <v>1.1618025330384665</v>
      </c>
      <c r="EH513" s="1014">
        <f t="shared" si="261"/>
        <v>0.51454785319515561</v>
      </c>
      <c r="EI513" s="1014">
        <f t="shared" si="261"/>
        <v>3.9915140101251882</v>
      </c>
      <c r="EJ513" s="1014">
        <f t="shared" si="261"/>
        <v>3.2862055830739316</v>
      </c>
      <c r="EK513" s="1014">
        <f t="shared" si="261"/>
        <v>1.5905199425173457</v>
      </c>
      <c r="EL513" s="1014">
        <f t="shared" si="261"/>
        <v>2.7303336994329461</v>
      </c>
      <c r="EM513" s="1014">
        <f t="shared" si="261"/>
        <v>1.3470474729735158</v>
      </c>
      <c r="EN513" s="1014">
        <f t="shared" si="261"/>
        <v>0.52934734873926026</v>
      </c>
      <c r="EO513" s="1014">
        <f t="shared" si="261"/>
        <v>4.0709369091479815</v>
      </c>
      <c r="EP513" s="1014">
        <f t="shared" si="261"/>
        <v>3.3849278688892088</v>
      </c>
      <c r="EQ513" s="1014">
        <f t="shared" si="261"/>
        <v>2.1046109426230299</v>
      </c>
      <c r="ER513" s="1014">
        <f t="shared" si="261"/>
        <v>1.862306207048356</v>
      </c>
      <c r="ES513" s="1014">
        <f t="shared" si="261"/>
        <v>1.1961686853698605</v>
      </c>
      <c r="ET513" s="1014">
        <f t="shared" si="261"/>
        <v>0.84681447803554177</v>
      </c>
      <c r="EU513" s="1014">
        <f t="shared" si="261"/>
        <v>6.3283366049876717</v>
      </c>
      <c r="EV513" s="1014">
        <f t="shared" si="261"/>
        <v>1.7937734377266965</v>
      </c>
      <c r="EW513" s="1014">
        <f t="shared" si="261"/>
        <v>3.4748833155086563</v>
      </c>
      <c r="EX513" s="1014">
        <f t="shared" si="261"/>
        <v>1.7258530270004859</v>
      </c>
      <c r="EY513" s="1014">
        <f t="shared" si="261"/>
        <v>1.2138781874569999</v>
      </c>
      <c r="EZ513" s="1014">
        <f t="shared" si="261"/>
        <v>1.4837054531594001</v>
      </c>
      <c r="FA513" s="1014">
        <f t="shared" si="261"/>
        <v>6.13808794155341</v>
      </c>
      <c r="FB513" s="1014">
        <f t="shared" si="261"/>
        <v>5.6781241033618901</v>
      </c>
      <c r="FC513" s="1014">
        <f t="shared" si="261"/>
        <v>2.1977080392551098</v>
      </c>
      <c r="FD513" s="1014">
        <f t="shared" si="261"/>
        <v>1.9407424889834901</v>
      </c>
      <c r="FE513" s="1014">
        <f t="shared" si="261"/>
        <v>9.7877725839660599</v>
      </c>
      <c r="FF513" s="1014">
        <f t="shared" si="261"/>
        <v>0.91229063457439197</v>
      </c>
      <c r="FG513" s="1014">
        <f t="shared" si="261"/>
        <v>11.3366559583202</v>
      </c>
      <c r="FH513" s="1014">
        <f t="shared" si="261"/>
        <v>5.6902335057443398</v>
      </c>
      <c r="FI513" s="1014">
        <f t="shared" si="261"/>
        <v>1.33152815319922</v>
      </c>
      <c r="FJ513" s="1014">
        <f t="shared" si="261"/>
        <v>7.1919824563977901</v>
      </c>
      <c r="FK513" s="1014">
        <f t="shared" si="261"/>
        <v>6.1199881177133246</v>
      </c>
      <c r="FL513" s="1014">
        <f t="shared" si="261"/>
        <v>1.5830492608096534</v>
      </c>
      <c r="FM513" s="1014">
        <f t="shared" si="261"/>
        <v>16.063851876547236</v>
      </c>
      <c r="FN513" s="1014">
        <f t="shared" si="261"/>
        <v>2.5869239420633345</v>
      </c>
      <c r="FO513" s="1014">
        <f t="shared" si="261"/>
        <v>2.3134264672229445</v>
      </c>
      <c r="FP513" s="1014">
        <f t="shared" ref="FP513:HL513" si="262">FP514+FP515</f>
        <v>6.5370663809978087</v>
      </c>
      <c r="FQ513" s="1014">
        <f t="shared" si="262"/>
        <v>7.8658266829999999</v>
      </c>
      <c r="FR513" s="1014">
        <f t="shared" si="262"/>
        <v>4.2643026479999993</v>
      </c>
      <c r="FS513" s="1014">
        <f t="shared" si="262"/>
        <v>17.094426761000001</v>
      </c>
      <c r="FT513" s="1014">
        <f t="shared" si="262"/>
        <v>2.5643725678531339</v>
      </c>
      <c r="FU513" s="1014">
        <f t="shared" si="262"/>
        <v>1.4306740770765325</v>
      </c>
      <c r="FV513" s="1014">
        <f t="shared" si="262"/>
        <v>7.9453315323161871</v>
      </c>
      <c r="FW513" s="1014">
        <f t="shared" si="262"/>
        <v>8.2773949473601771</v>
      </c>
      <c r="FX513" s="1014">
        <f t="shared" si="262"/>
        <v>6.4585053852723444</v>
      </c>
      <c r="FY513" s="1014">
        <f t="shared" si="262"/>
        <v>16.285536350457846</v>
      </c>
      <c r="FZ513" s="1014">
        <f t="shared" si="262"/>
        <v>3.5614254144632755</v>
      </c>
      <c r="GA513" s="1014">
        <f t="shared" si="262"/>
        <v>2.6219920706043354</v>
      </c>
      <c r="GB513" s="1014">
        <f t="shared" si="262"/>
        <v>7.5800072149037652</v>
      </c>
      <c r="GC513" s="1014">
        <f t="shared" si="262"/>
        <v>8.4400340343236167</v>
      </c>
      <c r="GD513" s="1014">
        <f t="shared" si="262"/>
        <v>6.9202866515433472</v>
      </c>
      <c r="GE513" s="1014">
        <f t="shared" si="262"/>
        <v>20.182490259983336</v>
      </c>
      <c r="GF513" s="1014">
        <f t="shared" si="262"/>
        <v>2.3851724450169742</v>
      </c>
      <c r="GG513" s="1014">
        <f t="shared" si="262"/>
        <v>3.6987022183220533</v>
      </c>
      <c r="GH513" s="1014">
        <f t="shared" si="262"/>
        <v>8.7395320302652468</v>
      </c>
      <c r="GI513" s="1014">
        <f t="shared" si="262"/>
        <v>5.9668814360729998</v>
      </c>
      <c r="GJ513" s="1014">
        <f t="shared" si="262"/>
        <v>10.079679200316708</v>
      </c>
      <c r="GK513" s="1014">
        <f t="shared" si="262"/>
        <v>12.078670919974117</v>
      </c>
      <c r="GL513" s="1014">
        <f t="shared" si="262"/>
        <v>3.6440045660292286</v>
      </c>
      <c r="GM513" s="1014">
        <f t="shared" si="262"/>
        <v>3.7017279152369031</v>
      </c>
      <c r="GN513" s="1014">
        <f t="shared" si="262"/>
        <v>4.0825524908860951</v>
      </c>
      <c r="GO513" s="1014">
        <f t="shared" si="262"/>
        <v>6.2974957106754559</v>
      </c>
      <c r="GP513" s="1014">
        <f t="shared" si="262"/>
        <v>9.3032560143866085</v>
      </c>
      <c r="GQ513" s="1014">
        <f t="shared" si="262"/>
        <v>14.286169340502701</v>
      </c>
      <c r="GR513" s="1014">
        <f t="shared" si="262"/>
        <v>7.6346121869939907</v>
      </c>
      <c r="GS513" s="1014">
        <f t="shared" si="262"/>
        <v>2.9164564757229061</v>
      </c>
      <c r="GT513" s="1014">
        <f t="shared" si="262"/>
        <v>5.2241875519127694</v>
      </c>
      <c r="GU513" s="1014">
        <f t="shared" si="262"/>
        <v>7.0087887445111372</v>
      </c>
      <c r="GV513" s="1014">
        <f t="shared" si="262"/>
        <v>16.363328052948706</v>
      </c>
      <c r="GW513" s="1014">
        <f t="shared" si="262"/>
        <v>15.551342029849531</v>
      </c>
      <c r="GX513" s="1014">
        <f t="shared" si="262"/>
        <v>4.945730337058678</v>
      </c>
      <c r="GY513" s="1014">
        <f t="shared" si="262"/>
        <v>5.6897913588269029</v>
      </c>
      <c r="GZ513" s="1014">
        <f t="shared" si="262"/>
        <v>4.6032437923139335</v>
      </c>
      <c r="HA513" s="1014">
        <f t="shared" si="262"/>
        <v>7.8486008463563071</v>
      </c>
      <c r="HB513" s="1014">
        <f t="shared" si="262"/>
        <v>15.409642435035995</v>
      </c>
      <c r="HC513" s="1014">
        <f t="shared" si="262"/>
        <v>26.101147299722953</v>
      </c>
      <c r="HD513" s="1014">
        <f t="shared" si="262"/>
        <v>6.6872708524373596</v>
      </c>
      <c r="HE513" s="1014">
        <f t="shared" si="262"/>
        <v>8.1896113019177612</v>
      </c>
      <c r="HF513" s="1014">
        <f t="shared" si="262"/>
        <v>6.3437167772692531</v>
      </c>
      <c r="HG513" s="1014">
        <f t="shared" si="262"/>
        <v>6.7197771503866059</v>
      </c>
      <c r="HH513" s="1014">
        <f t="shared" si="262"/>
        <v>17.945138350062486</v>
      </c>
      <c r="HI513" s="1014">
        <f t="shared" si="262"/>
        <v>30.66473143723784</v>
      </c>
      <c r="HJ513" s="1014">
        <f t="shared" si="262"/>
        <v>7.2499250835046833</v>
      </c>
      <c r="HK513" s="1014">
        <f t="shared" si="262"/>
        <v>9.5702900258735983</v>
      </c>
      <c r="HL513" s="1014">
        <f t="shared" si="262"/>
        <v>7.663696942615533</v>
      </c>
      <c r="KT513" s="1263"/>
    </row>
    <row r="514" spans="1:306" s="1014" customFormat="1" outlineLevel="1">
      <c r="A514" s="1259" t="s">
        <v>434</v>
      </c>
      <c r="B514" s="1259" t="s">
        <v>338</v>
      </c>
      <c r="C514" s="1259"/>
      <c r="D514" s="1264" t="s">
        <v>545</v>
      </c>
      <c r="BG514" s="1014">
        <v>1.4339092611400002</v>
      </c>
      <c r="BH514" s="1014">
        <v>1.2588599307799999</v>
      </c>
      <c r="BI514" s="1014">
        <v>1.2832658589999999</v>
      </c>
      <c r="BJ514" s="1014">
        <v>0.11158718300000001</v>
      </c>
      <c r="BK514" s="1014">
        <v>0.35890675100000002</v>
      </c>
      <c r="BL514" s="1014">
        <v>2.9096855509999999</v>
      </c>
      <c r="BM514" s="1014">
        <v>3.5135724719999999</v>
      </c>
      <c r="BN514" s="1014">
        <v>2.1827400040700002</v>
      </c>
      <c r="BO514" s="1014">
        <v>2.1112751959999998</v>
      </c>
      <c r="BP514" s="1014">
        <v>3.2053881049999999</v>
      </c>
      <c r="BQ514" s="1014">
        <v>1.71587691809</v>
      </c>
      <c r="BR514" s="1014">
        <v>5.9508474074300004</v>
      </c>
      <c r="BS514" s="1014">
        <v>0</v>
      </c>
      <c r="BT514" s="1014">
        <v>0</v>
      </c>
      <c r="BU514" s="1014">
        <v>0</v>
      </c>
      <c r="BV514" s="1014">
        <v>2.8422858259999999</v>
      </c>
      <c r="BW514" s="1014">
        <v>0.348430935</v>
      </c>
      <c r="BX514" s="1014">
        <v>0</v>
      </c>
      <c r="BY514" s="1014">
        <v>0.42237032600000002</v>
      </c>
      <c r="BZ514" s="1014">
        <v>0.39297610399999999</v>
      </c>
      <c r="CA514" s="1014">
        <v>0</v>
      </c>
      <c r="CB514" s="1014">
        <v>0</v>
      </c>
      <c r="CC514" s="1014">
        <v>1.8626618290000001</v>
      </c>
      <c r="CD514" s="1014">
        <v>4.5772406180000003</v>
      </c>
      <c r="CE514" s="1262">
        <v>0</v>
      </c>
      <c r="CF514" s="1014">
        <v>0.36952295899999998</v>
      </c>
      <c r="CG514" s="1014">
        <v>0</v>
      </c>
      <c r="CH514" s="1014">
        <v>1.724909799</v>
      </c>
      <c r="CI514" s="1014">
        <v>0.26947505700000002</v>
      </c>
      <c r="CJ514" s="1014">
        <v>0</v>
      </c>
      <c r="CK514" s="1014">
        <v>1.9293396279999999</v>
      </c>
      <c r="CL514" s="1014">
        <v>0.94391963800000001</v>
      </c>
      <c r="CM514" s="1014">
        <v>1.716166812</v>
      </c>
      <c r="CN514" s="1014">
        <v>3.5629766150000002</v>
      </c>
      <c r="CO514" s="1014">
        <v>6</v>
      </c>
      <c r="CP514" s="1263">
        <v>0.107257982</v>
      </c>
      <c r="CQ514" s="1014">
        <v>9.4241119429999998</v>
      </c>
      <c r="CR514" s="1014">
        <v>0</v>
      </c>
      <c r="CS514" s="1014">
        <v>0.107257982</v>
      </c>
      <c r="CT514" s="1014">
        <v>0.97976092999999997</v>
      </c>
      <c r="CU514" s="1014">
        <v>0</v>
      </c>
      <c r="CV514" s="1014">
        <v>0.27485077800000002</v>
      </c>
      <c r="CW514" s="1014">
        <v>0.99200794199999998</v>
      </c>
      <c r="CX514" s="1014">
        <v>0</v>
      </c>
      <c r="CY514" s="1014">
        <v>0.107257982</v>
      </c>
      <c r="CZ514" s="1014">
        <v>1.004408041</v>
      </c>
      <c r="DA514" s="1014">
        <v>0</v>
      </c>
      <c r="DB514" s="1302">
        <v>0.107257982</v>
      </c>
      <c r="DN514" s="1263"/>
      <c r="DZ514" s="1263"/>
      <c r="EL514" s="1263"/>
      <c r="EX514" s="1263"/>
      <c r="FJ514" s="1263"/>
      <c r="KT514" s="1263"/>
    </row>
    <row r="515" spans="1:306" s="1014" customFormat="1" outlineLevel="1">
      <c r="A515" s="1259" t="s">
        <v>434</v>
      </c>
      <c r="B515" s="1259" t="s">
        <v>338</v>
      </c>
      <c r="C515" s="1259"/>
      <c r="D515" s="1264" t="s">
        <v>546</v>
      </c>
      <c r="BG515" s="1014">
        <v>0.54926363187000005</v>
      </c>
      <c r="BH515" s="1014">
        <v>7.0794522169999999E-2</v>
      </c>
      <c r="BI515" s="1014">
        <v>0.64861198236999995</v>
      </c>
      <c r="BJ515" s="1014">
        <v>0.36758183500000002</v>
      </c>
      <c r="BK515" s="1014">
        <v>0.80728845500000002</v>
      </c>
      <c r="BL515" s="1014">
        <v>0.79147029499999999</v>
      </c>
      <c r="BM515" s="1014">
        <v>0.60390189000000005</v>
      </c>
      <c r="BN515" s="1014">
        <v>7.1386185000000005E-2</v>
      </c>
      <c r="BO515" s="1014">
        <v>0.67774628599999998</v>
      </c>
      <c r="BP515" s="1014">
        <v>0.36231998999999998</v>
      </c>
      <c r="BQ515" s="1014">
        <v>1.6793120269999999</v>
      </c>
      <c r="BR515" s="1014">
        <v>0.67160615999999995</v>
      </c>
      <c r="BS515" s="1014">
        <v>0.96557876300000001</v>
      </c>
      <c r="BT515" s="1014">
        <v>7.2424847000000001E-2</v>
      </c>
      <c r="BU515" s="1014">
        <v>0.67611396800000001</v>
      </c>
      <c r="BV515" s="1014">
        <v>0.38944486</v>
      </c>
      <c r="BW515" s="1014">
        <v>0.97692916500000004</v>
      </c>
      <c r="BX515" s="1014">
        <v>0.83295369200000002</v>
      </c>
      <c r="BY515" s="1014">
        <v>0.71687528700000003</v>
      </c>
      <c r="BZ515" s="1014">
        <v>7.4737791999999997E-2</v>
      </c>
      <c r="CA515" s="1014">
        <v>0.69489980600000001</v>
      </c>
      <c r="CB515" s="1014">
        <v>0.71632456600000005</v>
      </c>
      <c r="CC515" s="1014">
        <v>0.99186867000000001</v>
      </c>
      <c r="CD515" s="1014">
        <v>1.51755379</v>
      </c>
      <c r="CE515" s="1262">
        <v>0.39586318599999998</v>
      </c>
      <c r="CF515" s="1014">
        <v>5.7839338999999997E-2</v>
      </c>
      <c r="CG515" s="1014">
        <v>0.703602968</v>
      </c>
      <c r="CH515" s="1014">
        <v>0.71574627800000001</v>
      </c>
      <c r="CI515" s="1014">
        <v>1.311329698</v>
      </c>
      <c r="CJ515" s="1014">
        <v>0.87157223399999995</v>
      </c>
      <c r="CK515" s="1014">
        <v>0.27719154699999998</v>
      </c>
      <c r="CL515" s="1014">
        <v>8.4264433E-2</v>
      </c>
      <c r="CM515" s="1014">
        <v>0.64467011699999999</v>
      </c>
      <c r="CN515" s="1014">
        <v>1.430611361</v>
      </c>
      <c r="CO515" s="1014">
        <v>2.2198030690000001</v>
      </c>
      <c r="CP515" s="1263">
        <v>0.75472671400000002</v>
      </c>
      <c r="CQ515" s="1014">
        <v>0.42498445600000001</v>
      </c>
      <c r="CR515" s="1014">
        <v>0.102537352</v>
      </c>
      <c r="CS515" s="1014">
        <v>1.2527961969999999</v>
      </c>
      <c r="CT515" s="1014">
        <v>1.066638427</v>
      </c>
      <c r="CU515" s="1014">
        <v>1.4408561609999999</v>
      </c>
      <c r="CV515" s="1014">
        <v>0.85266763700000003</v>
      </c>
      <c r="CW515" s="1014">
        <v>0.19537990499999999</v>
      </c>
      <c r="CX515" s="1014">
        <v>0.103676817</v>
      </c>
      <c r="CY515" s="1014">
        <v>1.6563464290000001</v>
      </c>
      <c r="CZ515" s="1014">
        <v>1.1590631440000001</v>
      </c>
      <c r="DA515" s="1014">
        <v>2.3130289560000001</v>
      </c>
      <c r="DB515" s="1302">
        <v>0.95644530500000002</v>
      </c>
      <c r="DC515" s="1014">
        <v>0.7496316773618682</v>
      </c>
      <c r="DD515" s="1014">
        <v>0.18844025208556964</v>
      </c>
      <c r="DE515" s="1014">
        <v>1.1651190338380673</v>
      </c>
      <c r="DF515" s="1014">
        <v>2.3537645624842876</v>
      </c>
      <c r="DG515" s="1014">
        <v>0.81354493592348931</v>
      </c>
      <c r="DH515" s="1014">
        <v>2.3913343737472514</v>
      </c>
      <c r="DI515" s="1014">
        <v>0.82900468326802634</v>
      </c>
      <c r="DJ515" s="1014">
        <v>0.11983319186926601</v>
      </c>
      <c r="DK515" s="1014">
        <v>2.3683025380918479</v>
      </c>
      <c r="DL515" s="1014">
        <v>2.6336685600717291</v>
      </c>
      <c r="DM515" s="1014">
        <v>1.9423298927616031</v>
      </c>
      <c r="DN515" s="1263">
        <v>1.5664812432107276</v>
      </c>
      <c r="DO515" s="1014">
        <v>0.81482773460129687</v>
      </c>
      <c r="DP515" s="1014">
        <v>0.18105762339779582</v>
      </c>
      <c r="DQ515" s="1014">
        <v>4.1449209053121328</v>
      </c>
      <c r="DR515" s="1014">
        <v>1.6766759256303281</v>
      </c>
      <c r="DS515" s="1014">
        <v>1.6324040521808563</v>
      </c>
      <c r="DT515" s="1014">
        <v>1.9212676525864625</v>
      </c>
      <c r="DU515" s="1014">
        <v>0.70013142949925244</v>
      </c>
      <c r="DV515" s="1014">
        <v>0.1429723286373058</v>
      </c>
      <c r="DW515" s="1014">
        <v>5.3287087216909566</v>
      </c>
      <c r="DX515" s="1014">
        <v>1.5963297269627943</v>
      </c>
      <c r="DY515" s="1014">
        <v>2.1598769611755211</v>
      </c>
      <c r="DZ515" s="1263">
        <v>1.2814078564345341</v>
      </c>
      <c r="EA515" s="1014">
        <v>1.2814078564345341</v>
      </c>
      <c r="EB515" s="1014">
        <v>0.1508550394771061</v>
      </c>
      <c r="EC515" s="1014">
        <v>4.9908027326786346</v>
      </c>
      <c r="ED515" s="1014">
        <v>2.0712650367908614</v>
      </c>
      <c r="EE515" s="1014">
        <v>1.8791482955264269</v>
      </c>
      <c r="EF515" s="1014">
        <v>2.1693559036259176</v>
      </c>
      <c r="EG515" s="1014">
        <v>1.1618025330384665</v>
      </c>
      <c r="EH515" s="1014">
        <v>0.51454785319515561</v>
      </c>
      <c r="EI515" s="1014">
        <v>3.9915140101251882</v>
      </c>
      <c r="EJ515" s="1014">
        <v>3.2862055830739316</v>
      </c>
      <c r="EK515" s="1014">
        <v>1.5905199425173457</v>
      </c>
      <c r="EL515" s="1263">
        <v>2.7303336994329461</v>
      </c>
      <c r="EM515" s="1014">
        <v>1.3470474729735158</v>
      </c>
      <c r="EN515" s="1014">
        <v>0.52934734873926026</v>
      </c>
      <c r="EO515" s="1014">
        <v>4.0709369091479815</v>
      </c>
      <c r="EP515" s="1014">
        <v>3.3849278688892088</v>
      </c>
      <c r="EQ515" s="1014">
        <v>2.1046109426230299</v>
      </c>
      <c r="ER515" s="1014">
        <v>1.862306207048356</v>
      </c>
      <c r="ES515" s="1014">
        <v>1.1961686853698605</v>
      </c>
      <c r="ET515" s="1014">
        <v>0.84681447803554177</v>
      </c>
      <c r="EU515" s="1014">
        <v>6.3283366049876717</v>
      </c>
      <c r="EV515" s="1014">
        <v>1.7937734377266965</v>
      </c>
      <c r="EW515" s="1014">
        <v>3.4748833155086563</v>
      </c>
      <c r="EX515" s="1263">
        <v>1.7258530270004859</v>
      </c>
      <c r="EY515" s="1014">
        <v>1.2138781874569999</v>
      </c>
      <c r="EZ515" s="1014">
        <v>1.4837054531594001</v>
      </c>
      <c r="FA515" s="1014">
        <v>6.13808794155341</v>
      </c>
      <c r="FB515" s="1014">
        <v>5.6781241033618901</v>
      </c>
      <c r="FC515" s="1014">
        <v>2.1977080392551098</v>
      </c>
      <c r="FD515" s="1014">
        <v>1.9407424889834901</v>
      </c>
      <c r="FE515" s="1014">
        <v>9.7877725839660599</v>
      </c>
      <c r="FF515" s="1014">
        <v>0.91229063457439197</v>
      </c>
      <c r="FG515" s="1014">
        <v>11.3366559583202</v>
      </c>
      <c r="FH515" s="1014">
        <v>5.6902335057443398</v>
      </c>
      <c r="FI515" s="1014">
        <v>1.33152815319922</v>
      </c>
      <c r="FJ515" s="1263">
        <v>7.1919824563977901</v>
      </c>
      <c r="FK515" s="1014">
        <v>6.1199881177133246</v>
      </c>
      <c r="FL515" s="1014">
        <v>1.5830492608096534</v>
      </c>
      <c r="FM515" s="1014">
        <v>16.063851876547236</v>
      </c>
      <c r="FN515" s="1014">
        <v>2.5869239420633345</v>
      </c>
      <c r="FO515" s="1014">
        <v>2.3134264672229445</v>
      </c>
      <c r="FP515" s="1014">
        <v>6.5370663809978087</v>
      </c>
      <c r="FQ515" s="1014">
        <v>7.8658266829999999</v>
      </c>
      <c r="FR515" s="1014">
        <v>4.2643026479999993</v>
      </c>
      <c r="FS515" s="1014">
        <v>17.094426761000001</v>
      </c>
      <c r="FT515" s="1014">
        <v>2.5643725678531339</v>
      </c>
      <c r="FU515" s="1014">
        <v>1.4306740770765325</v>
      </c>
      <c r="FV515" s="1014">
        <v>7.9453315323161871</v>
      </c>
      <c r="FW515" s="1014">
        <v>8.2773949473601771</v>
      </c>
      <c r="FX515" s="1014">
        <v>6.4585053852723444</v>
      </c>
      <c r="FY515" s="1014">
        <v>16.285536350457846</v>
      </c>
      <c r="FZ515" s="1014">
        <v>3.5614254144632755</v>
      </c>
      <c r="GA515" s="1014">
        <v>2.6219920706043354</v>
      </c>
      <c r="GB515" s="1014">
        <v>7.5800072149037652</v>
      </c>
      <c r="GC515" s="1014">
        <v>8.4400340343236167</v>
      </c>
      <c r="GD515" s="1014">
        <v>6.9202866515433472</v>
      </c>
      <c r="GE515" s="1014">
        <v>20.182490259983336</v>
      </c>
      <c r="GF515" s="1014">
        <v>2.3851724450169742</v>
      </c>
      <c r="GG515" s="1014">
        <v>3.6987022183220533</v>
      </c>
      <c r="GH515" s="1014">
        <v>8.7395320302652468</v>
      </c>
      <c r="GI515" s="1014">
        <v>5.9668814360729998</v>
      </c>
      <c r="GJ515" s="1014">
        <v>10.079679200316708</v>
      </c>
      <c r="GK515" s="1014">
        <v>12.078670919974117</v>
      </c>
      <c r="GL515" s="1014">
        <v>3.6440045660292286</v>
      </c>
      <c r="GM515" s="1014">
        <v>3.7017279152369031</v>
      </c>
      <c r="GN515" s="1014">
        <v>4.0825524908860951</v>
      </c>
      <c r="GO515" s="1014">
        <v>6.2974957106754559</v>
      </c>
      <c r="GP515" s="1014">
        <v>9.3032560143866085</v>
      </c>
      <c r="GQ515" s="1014">
        <v>14.286169340502701</v>
      </c>
      <c r="GR515" s="1014">
        <v>7.6346121869939907</v>
      </c>
      <c r="GS515" s="1014">
        <v>2.9164564757229061</v>
      </c>
      <c r="GT515" s="1014">
        <v>5.2241875519127694</v>
      </c>
      <c r="GU515" s="1014">
        <v>7.0087887445111372</v>
      </c>
      <c r="GV515" s="1014">
        <v>16.363328052948706</v>
      </c>
      <c r="GW515" s="1014">
        <v>15.551342029849531</v>
      </c>
      <c r="GX515" s="1014">
        <v>4.945730337058678</v>
      </c>
      <c r="GY515" s="1014">
        <v>5.6897913588269029</v>
      </c>
      <c r="GZ515" s="1014">
        <v>4.6032437923139335</v>
      </c>
      <c r="HA515" s="1014">
        <v>7.8486008463563071</v>
      </c>
      <c r="HB515" s="1014">
        <v>15.409642435035995</v>
      </c>
      <c r="HC515" s="1014">
        <v>26.101147299722953</v>
      </c>
      <c r="HD515" s="1014">
        <v>6.6872708524373596</v>
      </c>
      <c r="HE515" s="1014">
        <v>8.1896113019177612</v>
      </c>
      <c r="HF515" s="1014">
        <v>6.3437167772692531</v>
      </c>
      <c r="HG515" s="1014">
        <v>6.7197771503866059</v>
      </c>
      <c r="HH515" s="1014">
        <v>17.945138350062486</v>
      </c>
      <c r="HI515" s="1014">
        <v>30.66473143723784</v>
      </c>
      <c r="HJ515" s="1014">
        <v>7.2499250835046833</v>
      </c>
      <c r="HK515" s="1014">
        <v>9.5702900258735983</v>
      </c>
      <c r="HL515" s="1014">
        <v>7.663696942615533</v>
      </c>
      <c r="KT515" s="1263"/>
    </row>
    <row r="516" spans="1:306" s="650" customFormat="1" outlineLevel="1">
      <c r="A516" s="644"/>
      <c r="B516" s="644"/>
      <c r="C516" s="644"/>
      <c r="D516" s="2101"/>
      <c r="CE516" s="2088"/>
      <c r="CP516" s="651"/>
      <c r="DB516" s="2089"/>
      <c r="DN516" s="651"/>
      <c r="DZ516" s="651"/>
      <c r="EL516" s="651"/>
      <c r="EX516" s="651"/>
      <c r="FJ516" s="651"/>
      <c r="KT516" s="651"/>
    </row>
    <row r="517" spans="1:306" s="1014" customFormat="1" hidden="1" outlineLevel="1">
      <c r="A517" s="1259"/>
      <c r="B517" s="1259"/>
      <c r="C517" s="1259"/>
      <c r="D517" s="1261" t="s">
        <v>547</v>
      </c>
      <c r="CE517" s="1262"/>
      <c r="CP517" s="1263"/>
      <c r="DB517" s="1302"/>
      <c r="DN517" s="1263"/>
      <c r="DZ517" s="1263"/>
      <c r="EL517" s="1263"/>
      <c r="EX517" s="1263"/>
      <c r="FJ517" s="1263"/>
      <c r="KT517" s="1263"/>
    </row>
    <row r="518" spans="1:306" s="1014" customFormat="1" hidden="1" outlineLevel="1">
      <c r="A518" s="1259" t="s">
        <v>434</v>
      </c>
      <c r="B518" s="1259" t="s">
        <v>338</v>
      </c>
      <c r="C518" s="1259"/>
      <c r="D518" s="1259" t="s">
        <v>548</v>
      </c>
      <c r="BG518" s="1014">
        <v>4.7578330498000003</v>
      </c>
      <c r="BH518" s="1014">
        <v>11.45864749607</v>
      </c>
      <c r="BI518" s="1014">
        <v>12.475904995040001</v>
      </c>
      <c r="BJ518" s="1014">
        <v>25.778723608</v>
      </c>
      <c r="BK518" s="1014">
        <v>14.932810646</v>
      </c>
      <c r="BL518" s="1014">
        <v>7.098328027</v>
      </c>
      <c r="BM518" s="1014">
        <v>16.509557811000001</v>
      </c>
      <c r="BN518" s="1014">
        <v>10.664857952</v>
      </c>
      <c r="BO518" s="1014">
        <v>8.8322591798899985</v>
      </c>
      <c r="BP518" s="1014">
        <v>26.824496795999998</v>
      </c>
      <c r="BQ518" s="1014">
        <v>39.864305332000001</v>
      </c>
      <c r="BR518" s="1014">
        <v>6.00734740556</v>
      </c>
      <c r="BS518" s="1014">
        <v>8.9979059390000007</v>
      </c>
      <c r="BT518" s="1014">
        <v>15.238155254</v>
      </c>
      <c r="BU518" s="1014">
        <v>10.731943847</v>
      </c>
      <c r="BV518" s="1014">
        <v>38.587528871849997</v>
      </c>
      <c r="BW518" s="1014">
        <v>19.531544925999999</v>
      </c>
      <c r="BX518" s="1014">
        <v>3.5905330520000001</v>
      </c>
      <c r="BY518" s="1014">
        <v>18.874454923419997</v>
      </c>
      <c r="BZ518" s="1014">
        <v>17.799812767959999</v>
      </c>
      <c r="CA518" s="1014">
        <v>14.722461224</v>
      </c>
      <c r="CB518" s="1014">
        <v>44.764328656389999</v>
      </c>
      <c r="CC518" s="1014">
        <v>29.369257379169998</v>
      </c>
      <c r="CD518" s="1014">
        <v>21.752590538349999</v>
      </c>
      <c r="CE518" s="1262">
        <v>13.799762782</v>
      </c>
      <c r="CF518" s="1014">
        <v>27.064540614999999</v>
      </c>
      <c r="CG518" s="1014">
        <v>15.903013340999999</v>
      </c>
      <c r="CH518" s="1014">
        <v>35.997782364000003</v>
      </c>
      <c r="CI518" s="1014">
        <v>24.043516798000002</v>
      </c>
      <c r="CJ518" s="1014">
        <v>12.525031431999999</v>
      </c>
      <c r="CK518" s="1014">
        <v>23.406772897</v>
      </c>
      <c r="CL518" s="1014">
        <v>23.781451985</v>
      </c>
      <c r="CM518" s="1014">
        <v>32.734545326000003</v>
      </c>
      <c r="CN518" s="1014">
        <v>30.981341113999999</v>
      </c>
      <c r="CO518" s="1014">
        <v>63.496856667000003</v>
      </c>
      <c r="CP518" s="1263">
        <v>36.792410846999999</v>
      </c>
      <c r="CQ518" s="1014">
        <v>18.269008048</v>
      </c>
      <c r="CR518" s="1014">
        <v>30.811436336</v>
      </c>
      <c r="CS518" s="1014">
        <v>27.929224511999998</v>
      </c>
      <c r="CT518" s="1014">
        <v>19.250368125000001</v>
      </c>
      <c r="CU518" s="1014">
        <v>19.007677317000002</v>
      </c>
      <c r="CV518" s="1014">
        <v>17.399030760999999</v>
      </c>
      <c r="CW518" s="1014">
        <v>29.492269812</v>
      </c>
      <c r="CX518" s="1014">
        <v>26.040648584000003</v>
      </c>
      <c r="CY518" s="1014">
        <v>42.811430579000003</v>
      </c>
      <c r="CZ518" s="1014">
        <v>70.815177319</v>
      </c>
      <c r="DA518" s="1014">
        <v>41.969846082000004</v>
      </c>
      <c r="DB518" s="1302">
        <v>32.373713420000001</v>
      </c>
      <c r="DN518" s="1263"/>
      <c r="DZ518" s="1263"/>
      <c r="EL518" s="1263"/>
      <c r="EX518" s="1263"/>
      <c r="FJ518" s="1263"/>
      <c r="KT518" s="1263"/>
    </row>
    <row r="519" spans="1:306" s="1014" customFormat="1" hidden="1" outlineLevel="1">
      <c r="A519" s="1259" t="s">
        <v>434</v>
      </c>
      <c r="B519" s="1259" t="s">
        <v>338</v>
      </c>
      <c r="C519" s="1259"/>
      <c r="D519" s="1264" t="s">
        <v>549</v>
      </c>
      <c r="BG519" s="1014">
        <v>4.7578330498000003</v>
      </c>
      <c r="BH519" s="1014">
        <v>11.45864749607</v>
      </c>
      <c r="BI519" s="1014">
        <v>12.475904995040001</v>
      </c>
      <c r="BJ519" s="1014">
        <v>25.778723608</v>
      </c>
      <c r="BK519" s="1014">
        <v>14.932810646</v>
      </c>
      <c r="BL519" s="1014">
        <v>7.098328027</v>
      </c>
      <c r="BM519" s="1014">
        <v>16.509557811000001</v>
      </c>
      <c r="BN519" s="1014">
        <v>10.664857952</v>
      </c>
      <c r="BO519" s="1014">
        <v>8.8322591798899985</v>
      </c>
      <c r="BP519" s="1014">
        <v>26.824496795999998</v>
      </c>
      <c r="BQ519" s="1014">
        <v>39.864305332000001</v>
      </c>
      <c r="BR519" s="1014">
        <v>6.00734740556</v>
      </c>
      <c r="BS519" s="1014">
        <v>8.9979059390000007</v>
      </c>
      <c r="BT519" s="1014">
        <v>15.238155254</v>
      </c>
      <c r="BU519" s="1014">
        <v>10.731943847</v>
      </c>
      <c r="BV519" s="1014">
        <v>38.587528871849997</v>
      </c>
      <c r="BW519" s="1014">
        <v>19.531544925999999</v>
      </c>
      <c r="BX519" s="1014">
        <v>3.5905330520000001</v>
      </c>
      <c r="BY519" s="1014">
        <v>18.874454923419997</v>
      </c>
      <c r="BZ519" s="1014">
        <v>17.799812767959999</v>
      </c>
      <c r="CA519" s="1014">
        <v>14.722461224</v>
      </c>
      <c r="CB519" s="1014">
        <v>44.764328656389999</v>
      </c>
      <c r="CC519" s="1014">
        <v>29.369257379169998</v>
      </c>
      <c r="CD519" s="1014">
        <v>21.752590538349999</v>
      </c>
      <c r="CE519" s="1262">
        <v>7.8191067849999998</v>
      </c>
      <c r="CF519" s="1014">
        <v>27.064540614999999</v>
      </c>
      <c r="CG519" s="1014">
        <v>13.416189155</v>
      </c>
      <c r="CH519" s="1014">
        <v>30.291457128000001</v>
      </c>
      <c r="CI519" s="1014">
        <v>23.937314263000001</v>
      </c>
      <c r="CJ519" s="1014">
        <v>12.362992740999999</v>
      </c>
      <c r="CK519" s="1014">
        <v>21.517392606000001</v>
      </c>
      <c r="CL519" s="1014">
        <v>23.644731281999999</v>
      </c>
      <c r="CM519" s="1014">
        <v>31.943586910000001</v>
      </c>
      <c r="CN519" s="1014">
        <v>26.759737411</v>
      </c>
      <c r="CO519" s="1014">
        <v>62.665904216000001</v>
      </c>
      <c r="CP519" s="1263">
        <v>36.776267578000002</v>
      </c>
      <c r="CQ519" s="1014">
        <v>13.814400286</v>
      </c>
      <c r="CR519" s="1014">
        <v>23.833238537</v>
      </c>
      <c r="CS519" s="1014">
        <v>14.923852677999999</v>
      </c>
      <c r="CT519" s="1014">
        <v>13.973978846</v>
      </c>
      <c r="CU519" s="1014">
        <v>13.488816606</v>
      </c>
      <c r="CV519" s="1014">
        <v>14.592119589999999</v>
      </c>
      <c r="CW519" s="1014">
        <v>22.848072107</v>
      </c>
      <c r="CX519" s="1014">
        <v>20.316693501</v>
      </c>
      <c r="CY519" s="1014">
        <v>34.550758168000002</v>
      </c>
      <c r="CZ519" s="1014">
        <v>62.439092528000003</v>
      </c>
      <c r="DA519" s="1014">
        <v>30.415454227000001</v>
      </c>
      <c r="DB519" s="1302">
        <v>17.402008678000001</v>
      </c>
      <c r="DN519" s="1263"/>
      <c r="DZ519" s="1263"/>
      <c r="EL519" s="1263"/>
      <c r="EX519" s="1263"/>
      <c r="FJ519" s="1263"/>
      <c r="KT519" s="1263"/>
    </row>
    <row r="520" spans="1:306" s="1014" customFormat="1" hidden="1" outlineLevel="1">
      <c r="A520" s="1259" t="s">
        <v>434</v>
      </c>
      <c r="B520" s="1259" t="s">
        <v>338</v>
      </c>
      <c r="C520" s="1259"/>
      <c r="D520" s="1264" t="s">
        <v>550</v>
      </c>
      <c r="BG520" s="1014">
        <v>0</v>
      </c>
      <c r="BH520" s="1014">
        <v>0</v>
      </c>
      <c r="BI520" s="1014">
        <v>0</v>
      </c>
      <c r="BJ520" s="1014">
        <v>0</v>
      </c>
      <c r="BK520" s="1014">
        <v>0</v>
      </c>
      <c r="BL520" s="1014">
        <v>0</v>
      </c>
      <c r="BM520" s="1014">
        <v>0</v>
      </c>
      <c r="BN520" s="1014">
        <v>0</v>
      </c>
      <c r="BO520" s="1014">
        <v>0</v>
      </c>
      <c r="BP520" s="1014">
        <v>0</v>
      </c>
      <c r="BQ520" s="1014">
        <v>0</v>
      </c>
      <c r="BR520" s="1014">
        <v>0</v>
      </c>
      <c r="BS520" s="1014">
        <v>0</v>
      </c>
      <c r="BT520" s="1014">
        <v>0</v>
      </c>
      <c r="BU520" s="1014">
        <v>0</v>
      </c>
      <c r="BV520" s="1014">
        <v>0</v>
      </c>
      <c r="BW520" s="1014">
        <v>0</v>
      </c>
      <c r="BX520" s="1014">
        <v>0</v>
      </c>
      <c r="BY520" s="1014">
        <v>0</v>
      </c>
      <c r="BZ520" s="1014">
        <v>0</v>
      </c>
      <c r="CA520" s="1014">
        <v>0</v>
      </c>
      <c r="CB520" s="1014">
        <v>0</v>
      </c>
      <c r="CC520" s="1014">
        <v>0</v>
      </c>
      <c r="CD520" s="1014">
        <v>0</v>
      </c>
      <c r="CE520" s="1262">
        <v>5.9806559970000004</v>
      </c>
      <c r="CF520" s="1014">
        <v>0</v>
      </c>
      <c r="CG520" s="1014">
        <v>2.4868241860000002</v>
      </c>
      <c r="CH520" s="1014">
        <v>5.7063252359999996</v>
      </c>
      <c r="CI520" s="1014">
        <v>0.106202535</v>
      </c>
      <c r="CJ520" s="1014">
        <v>0.16203869100000001</v>
      </c>
      <c r="CK520" s="1014">
        <v>1.8893802909999999</v>
      </c>
      <c r="CL520" s="1014">
        <v>0.136720703</v>
      </c>
      <c r="CM520" s="1014">
        <v>0.79095841600000005</v>
      </c>
      <c r="CN520" s="1014">
        <v>4.2216037030000004</v>
      </c>
      <c r="CO520" s="1014">
        <v>0.83095245100000004</v>
      </c>
      <c r="CP520" s="1263">
        <v>1.6143268999999998E-2</v>
      </c>
      <c r="CQ520" s="1014">
        <v>4.3384599399999999</v>
      </c>
      <c r="CR520" s="1014">
        <v>2.8334494619999999</v>
      </c>
      <c r="CS520" s="1014">
        <v>5.5940669710000002</v>
      </c>
      <c r="CT520" s="1014">
        <v>2.7899434000000001E-2</v>
      </c>
      <c r="CU520" s="1014">
        <v>0</v>
      </c>
      <c r="CV520" s="1014">
        <v>0</v>
      </c>
      <c r="CW520" s="1014">
        <v>3.0288072960000001</v>
      </c>
      <c r="CX520" s="1014">
        <v>0.14963575000000001</v>
      </c>
      <c r="CY520" s="1014">
        <v>4.3652265970000004</v>
      </c>
      <c r="CZ520" s="1014">
        <v>3.8180877049999999</v>
      </c>
      <c r="DA520" s="1014">
        <v>0.87516175500000004</v>
      </c>
      <c r="DB520" s="1302">
        <v>4.3699023690000001</v>
      </c>
      <c r="DN520" s="1263"/>
      <c r="DZ520" s="1263"/>
      <c r="EL520" s="1263"/>
      <c r="EX520" s="1263"/>
      <c r="FJ520" s="1263"/>
      <c r="KT520" s="1263"/>
    </row>
    <row r="521" spans="1:306" s="1014" customFormat="1" hidden="1" outlineLevel="1">
      <c r="A521" s="1259" t="s">
        <v>434</v>
      </c>
      <c r="B521" s="1259" t="s">
        <v>338</v>
      </c>
      <c r="C521" s="1259"/>
      <c r="D521" s="1264" t="s">
        <v>129</v>
      </c>
      <c r="BG521" s="1014">
        <v>0</v>
      </c>
      <c r="BH521" s="1014">
        <v>0</v>
      </c>
      <c r="BI521" s="1014">
        <v>0</v>
      </c>
      <c r="BJ521" s="1014">
        <v>0</v>
      </c>
      <c r="BK521" s="1014">
        <v>0</v>
      </c>
      <c r="BL521" s="1014">
        <v>0</v>
      </c>
      <c r="BM521" s="1014">
        <v>0</v>
      </c>
      <c r="BN521" s="1014">
        <v>0</v>
      </c>
      <c r="BO521" s="1014">
        <v>0</v>
      </c>
      <c r="BP521" s="1014">
        <v>0</v>
      </c>
      <c r="BQ521" s="1014">
        <v>0</v>
      </c>
      <c r="BR521" s="1014">
        <v>0</v>
      </c>
      <c r="BS521" s="1014">
        <v>0</v>
      </c>
      <c r="BT521" s="1014">
        <v>0</v>
      </c>
      <c r="BU521" s="1014">
        <v>0</v>
      </c>
      <c r="BV521" s="1014">
        <v>0</v>
      </c>
      <c r="BW521" s="1014">
        <v>0</v>
      </c>
      <c r="BX521" s="1014">
        <v>0</v>
      </c>
      <c r="BY521" s="1014">
        <v>0</v>
      </c>
      <c r="BZ521" s="1014">
        <v>0</v>
      </c>
      <c r="CA521" s="1014">
        <v>0</v>
      </c>
      <c r="CB521" s="1014">
        <v>0</v>
      </c>
      <c r="CC521" s="1014">
        <v>0</v>
      </c>
      <c r="CD521" s="1014">
        <v>0</v>
      </c>
      <c r="CE521" s="1262">
        <v>0</v>
      </c>
      <c r="CF521" s="1014">
        <v>0</v>
      </c>
      <c r="CG521" s="1014">
        <v>0</v>
      </c>
      <c r="CH521" s="1014">
        <v>0</v>
      </c>
      <c r="CI521" s="1014">
        <v>0</v>
      </c>
      <c r="CJ521" s="1014">
        <v>0</v>
      </c>
      <c r="CK521" s="1014">
        <v>0</v>
      </c>
      <c r="CL521" s="1014">
        <v>0</v>
      </c>
      <c r="CM521" s="1014">
        <v>0</v>
      </c>
      <c r="CN521" s="1014">
        <v>0</v>
      </c>
      <c r="CO521" s="1014">
        <v>0</v>
      </c>
      <c r="CP521" s="1263">
        <v>0</v>
      </c>
      <c r="CQ521" s="1014">
        <v>0.116147822</v>
      </c>
      <c r="CR521" s="1014">
        <v>4.1447483370000002</v>
      </c>
      <c r="CS521" s="1014">
        <v>7.4113048629999998</v>
      </c>
      <c r="CT521" s="1014">
        <v>5.2484898449999999</v>
      </c>
      <c r="CU521" s="1014">
        <v>5.5188607110000003</v>
      </c>
      <c r="CV521" s="1014">
        <v>2.8069111709999999</v>
      </c>
      <c r="CW521" s="1014">
        <v>3.6153904090000002</v>
      </c>
      <c r="CX521" s="1014">
        <v>5.574319333</v>
      </c>
      <c r="CY521" s="1014">
        <v>3.8954458139999999</v>
      </c>
      <c r="CZ521" s="1014">
        <v>4.5579970860000003</v>
      </c>
      <c r="DA521" s="1014">
        <v>10.6792301</v>
      </c>
      <c r="DB521" s="1302">
        <v>10.601802373</v>
      </c>
      <c r="DN521" s="1263"/>
      <c r="DZ521" s="1263"/>
      <c r="EL521" s="1263"/>
      <c r="EX521" s="1263"/>
      <c r="FJ521" s="1263"/>
      <c r="KT521" s="1263"/>
    </row>
    <row r="522" spans="1:306" s="1014" customFormat="1" hidden="1" outlineLevel="1">
      <c r="A522" s="1259" t="s">
        <v>434</v>
      </c>
      <c r="B522" s="1259" t="s">
        <v>338</v>
      </c>
      <c r="C522" s="1259"/>
      <c r="D522" s="1259" t="s">
        <v>551</v>
      </c>
      <c r="I522" s="1014">
        <v>510000</v>
      </c>
      <c r="BG522" s="1014">
        <v>0</v>
      </c>
      <c r="BH522" s="1014">
        <v>0</v>
      </c>
      <c r="BI522" s="1014">
        <v>2</v>
      </c>
      <c r="BJ522" s="1014">
        <v>0.88721219299999998</v>
      </c>
      <c r="BK522" s="1014">
        <v>0</v>
      </c>
      <c r="BL522" s="1014">
        <v>0</v>
      </c>
      <c r="BM522" s="1014">
        <v>1.5</v>
      </c>
      <c r="BN522" s="1014">
        <v>0</v>
      </c>
      <c r="BO522" s="1014">
        <v>0.27379796232999998</v>
      </c>
      <c r="BP522" s="1014">
        <v>0.22910804384</v>
      </c>
      <c r="BQ522" s="1014">
        <v>2.0193961689400002</v>
      </c>
      <c r="BR522" s="1014">
        <v>0</v>
      </c>
      <c r="BS522" s="1014">
        <v>0</v>
      </c>
      <c r="BT522" s="1014">
        <v>0</v>
      </c>
      <c r="BU522" s="1014">
        <v>0</v>
      </c>
      <c r="BV522" s="1014">
        <v>0</v>
      </c>
      <c r="BW522" s="1014">
        <v>0</v>
      </c>
      <c r="BX522" s="1014">
        <v>0</v>
      </c>
      <c r="BY522" s="1014">
        <v>0</v>
      </c>
      <c r="BZ522" s="1014">
        <v>0</v>
      </c>
      <c r="CA522" s="1014">
        <v>0</v>
      </c>
      <c r="CB522" s="1014">
        <v>1</v>
      </c>
      <c r="CC522" s="1014">
        <v>2.2000000000000002</v>
      </c>
      <c r="CD522" s="1014">
        <v>0</v>
      </c>
      <c r="CE522" s="1262">
        <v>0</v>
      </c>
      <c r="CF522" s="1014">
        <v>0</v>
      </c>
      <c r="CG522" s="1014">
        <v>0</v>
      </c>
      <c r="CH522" s="1014">
        <v>0</v>
      </c>
      <c r="CI522" s="1014">
        <v>0.01</v>
      </c>
      <c r="CJ522" s="1014">
        <v>2.88959645</v>
      </c>
      <c r="CK522" s="1014">
        <v>0</v>
      </c>
      <c r="CL522" s="1014">
        <v>3.8018000000000003E-2</v>
      </c>
      <c r="CM522" s="1014">
        <v>0</v>
      </c>
      <c r="CN522" s="1014">
        <v>0</v>
      </c>
      <c r="CO522" s="1014">
        <v>1.3681535250000001</v>
      </c>
      <c r="CP522" s="1263">
        <v>0</v>
      </c>
      <c r="CQ522" s="1014">
        <v>0.4</v>
      </c>
      <c r="CR522" s="1014">
        <v>0.6</v>
      </c>
      <c r="CS522" s="1014">
        <v>0</v>
      </c>
      <c r="CT522" s="1014">
        <v>1.5</v>
      </c>
      <c r="CU522" s="1014">
        <v>0</v>
      </c>
      <c r="CV522" s="1014">
        <v>0</v>
      </c>
      <c r="CW522" s="1014">
        <v>0.69404132699999999</v>
      </c>
      <c r="CX522" s="1014">
        <v>0</v>
      </c>
      <c r="CY522" s="1014">
        <v>0</v>
      </c>
      <c r="CZ522" s="1014">
        <v>0.225371662</v>
      </c>
      <c r="DA522" s="1014">
        <v>0</v>
      </c>
      <c r="DB522" s="1302">
        <v>0</v>
      </c>
      <c r="DN522" s="1263"/>
      <c r="DZ522" s="1263"/>
      <c r="EL522" s="1263"/>
      <c r="EX522" s="1263"/>
      <c r="FJ522" s="1263"/>
      <c r="KT522" s="1263"/>
    </row>
    <row r="523" spans="1:306" s="650" customFormat="1" ht="24.25" customHeight="1" outlineLevel="1">
      <c r="A523" s="644"/>
      <c r="B523" s="644"/>
      <c r="C523" s="644"/>
      <c r="D523" s="644"/>
      <c r="CE523" s="2088"/>
      <c r="CP523" s="651"/>
      <c r="DB523" s="2089"/>
      <c r="DN523" s="651"/>
      <c r="DZ523" s="651"/>
      <c r="EL523" s="651"/>
      <c r="EX523" s="651"/>
      <c r="FJ523" s="651"/>
      <c r="KT523" s="651"/>
    </row>
    <row r="524" spans="1:306" s="1014" customFormat="1" outlineLevel="1">
      <c r="A524" s="1266" t="s">
        <v>2398</v>
      </c>
      <c r="B524" s="1259"/>
      <c r="C524" s="1259"/>
      <c r="D524" s="1261" t="s">
        <v>3735</v>
      </c>
      <c r="I524" s="1014">
        <f>I522*18%</f>
        <v>91800</v>
      </c>
      <c r="CE524" s="1262"/>
      <c r="CP524" s="1263"/>
      <c r="DB524" s="1302"/>
      <c r="DN524" s="1263"/>
      <c r="DZ524" s="1263"/>
      <c r="EL524" s="1263"/>
      <c r="EX524" s="1263"/>
      <c r="FJ524" s="1263"/>
      <c r="KT524" s="1263"/>
    </row>
    <row r="525" spans="1:306" s="1014" customFormat="1" hidden="1" outlineLevel="1">
      <c r="A525" s="1259" t="s">
        <v>434</v>
      </c>
      <c r="B525" s="1259" t="s">
        <v>338</v>
      </c>
      <c r="C525" s="1259"/>
      <c r="D525" s="1259" t="s">
        <v>552</v>
      </c>
      <c r="I525" s="1014">
        <f>I522*3%</f>
        <v>15300</v>
      </c>
      <c r="BG525" s="1014">
        <v>6.3785177499200003</v>
      </c>
      <c r="BH525" s="1014">
        <v>4.0654800229900001</v>
      </c>
      <c r="BI525" s="1014">
        <v>2.80533423313</v>
      </c>
      <c r="BJ525" s="1014">
        <v>4.7663082563300003</v>
      </c>
      <c r="BK525" s="1014">
        <v>3.3105378679699995</v>
      </c>
      <c r="BL525" s="1014">
        <v>3.862699127</v>
      </c>
      <c r="BM525" s="1014">
        <v>8.0645339810000003</v>
      </c>
      <c r="BN525" s="1014">
        <v>3.0150156429099999</v>
      </c>
      <c r="BO525" s="1014">
        <v>4.3883340936899993</v>
      </c>
      <c r="BP525" s="1014">
        <v>7.2452022508400002</v>
      </c>
      <c r="BQ525" s="1014">
        <v>4.9840447697899997</v>
      </c>
      <c r="BR525" s="1014">
        <v>1.063222133</v>
      </c>
      <c r="BS525" s="1014">
        <v>6.6829778989999999</v>
      </c>
      <c r="BT525" s="1014">
        <v>3.7495323539999998</v>
      </c>
      <c r="BU525" s="1014">
        <v>3.509515398</v>
      </c>
      <c r="BV525" s="1014">
        <v>6.24033952</v>
      </c>
      <c r="BW525" s="1014">
        <v>5.4651647109999999</v>
      </c>
      <c r="BX525" s="1014">
        <v>1.2915165689999999</v>
      </c>
      <c r="BY525" s="1014">
        <v>5.3627638649999998</v>
      </c>
      <c r="BZ525" s="1014">
        <v>7.7077092819999997</v>
      </c>
      <c r="CA525" s="1014">
        <v>2.15723574</v>
      </c>
      <c r="CB525" s="1014">
        <v>6.4913424829600004</v>
      </c>
      <c r="CC525" s="1014">
        <v>48.576090605809995</v>
      </c>
      <c r="CD525" s="1014">
        <v>9.6607053659999984</v>
      </c>
      <c r="CE525" s="1262">
        <v>6.6679294430000002</v>
      </c>
      <c r="CF525" s="1014">
        <v>12.098923981</v>
      </c>
      <c r="CG525" s="1014">
        <v>5.2774683080000004</v>
      </c>
      <c r="CH525" s="1014">
        <v>8.405649017</v>
      </c>
      <c r="CI525" s="1014">
        <v>5.4065421210000002</v>
      </c>
      <c r="CJ525" s="1014">
        <v>3.7144937200000001</v>
      </c>
      <c r="CK525" s="1014">
        <v>7.8029867929999996</v>
      </c>
      <c r="CL525" s="1014">
        <v>3.7131871599999999</v>
      </c>
      <c r="CM525" s="1014">
        <v>2.2626719899999999</v>
      </c>
      <c r="CN525" s="1014">
        <v>1.1571859680000001</v>
      </c>
      <c r="CO525" s="1014">
        <v>4.4658892809999999</v>
      </c>
      <c r="CP525" s="1263">
        <v>2.08324423</v>
      </c>
      <c r="CQ525" s="1014">
        <v>8.2413225889999993</v>
      </c>
      <c r="CR525" s="1014">
        <v>9.9125109340000002</v>
      </c>
      <c r="CS525" s="1014">
        <v>8.5659625560000006</v>
      </c>
      <c r="CT525" s="1014">
        <v>6.3736336800000002</v>
      </c>
      <c r="CU525" s="1014">
        <v>5.6729775099999999</v>
      </c>
      <c r="CV525" s="1014">
        <v>5.3217766769999999</v>
      </c>
      <c r="CW525" s="1014">
        <v>4.4744329769999993</v>
      </c>
      <c r="CX525" s="1014">
        <v>3.4873274420000002</v>
      </c>
      <c r="CY525" s="1014">
        <v>8.36510277</v>
      </c>
      <c r="CZ525" s="1014">
        <v>0.67418743800000003</v>
      </c>
      <c r="DA525" s="1014">
        <v>6.1973580349999997</v>
      </c>
      <c r="DB525" s="1302">
        <v>3.5319322839999998</v>
      </c>
      <c r="DN525" s="1263"/>
      <c r="DZ525" s="1263"/>
      <c r="EL525" s="1263"/>
      <c r="EX525" s="1263"/>
      <c r="FJ525" s="1263"/>
      <c r="KT525" s="1263"/>
    </row>
    <row r="526" spans="1:306" s="1014" customFormat="1" hidden="1" outlineLevel="1">
      <c r="A526" s="1259" t="s">
        <v>434</v>
      </c>
      <c r="B526" s="1259" t="s">
        <v>338</v>
      </c>
      <c r="C526" s="1259"/>
      <c r="D526" s="1264" t="s">
        <v>553</v>
      </c>
      <c r="I526" s="1014">
        <f>SUM(I522:I525)</f>
        <v>617100</v>
      </c>
      <c r="BG526" s="1014">
        <v>6.3785177499200003</v>
      </c>
      <c r="BH526" s="1014">
        <v>4.0654800229900001</v>
      </c>
      <c r="BI526" s="1014">
        <v>2.80533423313</v>
      </c>
      <c r="BJ526" s="1014">
        <v>4.7663082563300003</v>
      </c>
      <c r="BK526" s="1014">
        <v>3.2685378679699997</v>
      </c>
      <c r="BL526" s="1014">
        <v>3.8206991270000001</v>
      </c>
      <c r="BM526" s="1014">
        <v>8.0645339810000003</v>
      </c>
      <c r="BN526" s="1014">
        <v>3.0150156429099999</v>
      </c>
      <c r="BO526" s="1014">
        <v>4.3463340936899995</v>
      </c>
      <c r="BP526" s="1014">
        <v>7.2452022508400002</v>
      </c>
      <c r="BQ526" s="1014">
        <v>4.9420447697899998</v>
      </c>
      <c r="BR526" s="1014">
        <v>1.063222133</v>
      </c>
      <c r="BS526" s="1014">
        <v>6.6829778989999999</v>
      </c>
      <c r="BT526" s="1014">
        <v>3.7495323539999998</v>
      </c>
      <c r="BU526" s="1014">
        <v>3.509515398</v>
      </c>
      <c r="BV526" s="1014">
        <v>6.1784874490000004</v>
      </c>
      <c r="BW526" s="1014">
        <v>5.453476276</v>
      </c>
      <c r="BX526" s="1014">
        <v>1.2915165689999999</v>
      </c>
      <c r="BY526" s="1014">
        <v>5.3627638649999998</v>
      </c>
      <c r="BZ526" s="1014">
        <v>7.7077092819999997</v>
      </c>
      <c r="CA526" s="1014">
        <v>2.15723574</v>
      </c>
      <c r="CB526" s="1014">
        <v>6.4913424829600004</v>
      </c>
      <c r="CC526" s="1014">
        <v>48.523234726809996</v>
      </c>
      <c r="CD526" s="1014">
        <v>9.2677013269999993</v>
      </c>
      <c r="CE526" s="1262">
        <v>6.6679294430000002</v>
      </c>
      <c r="CF526" s="1014">
        <v>12.098923981</v>
      </c>
      <c r="CG526" s="1014">
        <v>5.2774683080000004</v>
      </c>
      <c r="CH526" s="1014">
        <v>8.405649017</v>
      </c>
      <c r="CI526" s="1014">
        <v>5.4065421210000002</v>
      </c>
      <c r="CJ526" s="1014">
        <v>3.7144937200000001</v>
      </c>
      <c r="CK526" s="1014">
        <v>7.775769103</v>
      </c>
      <c r="CL526" s="1014">
        <v>3.7131871599999999</v>
      </c>
      <c r="CM526" s="1014">
        <v>2.2626719899999999</v>
      </c>
      <c r="CN526" s="1014">
        <v>1.1571859680000001</v>
      </c>
      <c r="CO526" s="1014">
        <v>4.4389136469999997</v>
      </c>
      <c r="CP526" s="1263">
        <v>2.08324423</v>
      </c>
      <c r="CQ526" s="1014">
        <v>8.2413225889999993</v>
      </c>
      <c r="CR526" s="1014">
        <v>9.9125109340000002</v>
      </c>
      <c r="CS526" s="1014">
        <v>8.5659625560000006</v>
      </c>
      <c r="CT526" s="1014">
        <v>6.3236336800000004</v>
      </c>
      <c r="CU526" s="1014">
        <v>5.6729775099999999</v>
      </c>
      <c r="CV526" s="1014">
        <v>5.3217766769999999</v>
      </c>
      <c r="CW526" s="1014">
        <v>4.4221878749999997</v>
      </c>
      <c r="CX526" s="1014">
        <v>3.456842135</v>
      </c>
      <c r="CY526" s="1014">
        <v>8.36510277</v>
      </c>
      <c r="CZ526" s="1014">
        <v>0.67418743800000003</v>
      </c>
      <c r="DA526" s="1014">
        <v>6.0929688799999999</v>
      </c>
      <c r="DB526" s="1302">
        <v>3.5319322839999998</v>
      </c>
      <c r="DN526" s="1263"/>
      <c r="DZ526" s="1263"/>
      <c r="EL526" s="1263"/>
      <c r="EX526" s="1263"/>
      <c r="FJ526" s="1263"/>
      <c r="KT526" s="1263"/>
    </row>
    <row r="527" spans="1:306" s="1014" customFormat="1" hidden="1" outlineLevel="1">
      <c r="A527" s="1259" t="s">
        <v>434</v>
      </c>
      <c r="B527" s="1259" t="s">
        <v>338</v>
      </c>
      <c r="C527" s="1259"/>
      <c r="D527" s="1264" t="s">
        <v>554</v>
      </c>
      <c r="BG527" s="1014">
        <v>0</v>
      </c>
      <c r="BH527" s="1014">
        <v>0</v>
      </c>
      <c r="BI527" s="1014">
        <v>0</v>
      </c>
      <c r="BJ527" s="1014">
        <v>0</v>
      </c>
      <c r="BK527" s="1014">
        <v>4.2000000000000003E-2</v>
      </c>
      <c r="BL527" s="1014">
        <v>4.2000000000000003E-2</v>
      </c>
      <c r="BM527" s="1014">
        <v>0</v>
      </c>
      <c r="BN527" s="1014">
        <v>0</v>
      </c>
      <c r="BO527" s="1014">
        <v>4.2000000000000003E-2</v>
      </c>
      <c r="BP527" s="1014">
        <v>0</v>
      </c>
      <c r="BQ527" s="1014">
        <v>4.2000000000000003E-2</v>
      </c>
      <c r="BR527" s="1014">
        <v>0</v>
      </c>
      <c r="BS527" s="1014">
        <v>0</v>
      </c>
      <c r="BT527" s="1014">
        <v>0</v>
      </c>
      <c r="BU527" s="1014">
        <v>0</v>
      </c>
      <c r="BV527" s="1014">
        <v>6.1852071000000002E-2</v>
      </c>
      <c r="BW527" s="1014">
        <v>1.1688435E-2</v>
      </c>
      <c r="BX527" s="1014">
        <v>0</v>
      </c>
      <c r="BY527" s="1014">
        <v>0</v>
      </c>
      <c r="BZ527" s="1014">
        <v>0</v>
      </c>
      <c r="CA527" s="1014">
        <v>0</v>
      </c>
      <c r="CB527" s="1014">
        <v>0</v>
      </c>
      <c r="CC527" s="1014">
        <v>5.2855879000000001E-2</v>
      </c>
      <c r="CD527" s="1014">
        <v>0.39300403900000003</v>
      </c>
      <c r="CE527" s="1262">
        <v>0</v>
      </c>
      <c r="CF527" s="1014">
        <v>0</v>
      </c>
      <c r="CG527" s="1014">
        <v>0</v>
      </c>
      <c r="CH527" s="1014">
        <v>0</v>
      </c>
      <c r="CI527" s="1014">
        <v>0</v>
      </c>
      <c r="CJ527" s="1014">
        <v>0</v>
      </c>
      <c r="CK527" s="1014">
        <v>2.7217689999999999E-2</v>
      </c>
      <c r="CL527" s="1014">
        <v>0</v>
      </c>
      <c r="CM527" s="1014">
        <v>0</v>
      </c>
      <c r="CN527" s="1014">
        <v>0</v>
      </c>
      <c r="CO527" s="1014">
        <v>2.6975633999999998E-2</v>
      </c>
      <c r="CP527" s="1263">
        <v>0</v>
      </c>
      <c r="CQ527" s="1014">
        <v>0</v>
      </c>
      <c r="CR527" s="1014">
        <v>0</v>
      </c>
      <c r="CS527" s="1014">
        <v>0</v>
      </c>
      <c r="CT527" s="1014">
        <v>0.05</v>
      </c>
      <c r="CU527" s="1014">
        <v>0</v>
      </c>
      <c r="CV527" s="1014">
        <v>0</v>
      </c>
      <c r="CW527" s="1014">
        <v>5.2245102000000002E-2</v>
      </c>
      <c r="CX527" s="1014">
        <v>3.0485307E-2</v>
      </c>
      <c r="CY527" s="1014">
        <v>0</v>
      </c>
      <c r="CZ527" s="1014">
        <v>0</v>
      </c>
      <c r="DA527" s="1014">
        <v>0.104389155</v>
      </c>
      <c r="DB527" s="1302">
        <v>0</v>
      </c>
      <c r="DN527" s="1263"/>
      <c r="DZ527" s="1263"/>
      <c r="EL527" s="1263"/>
      <c r="EX527" s="1263"/>
      <c r="FJ527" s="1263"/>
      <c r="KT527" s="1263"/>
    </row>
    <row r="528" spans="1:306" s="1014" customFormat="1" hidden="1" outlineLevel="1">
      <c r="A528" s="1259" t="s">
        <v>434</v>
      </c>
      <c r="B528" s="1259" t="s">
        <v>338</v>
      </c>
      <c r="C528" s="1259"/>
      <c r="D528" s="1259" t="s">
        <v>555</v>
      </c>
      <c r="BG528" s="1014">
        <v>0</v>
      </c>
      <c r="BH528" s="1014">
        <v>9.1972862530000005E-2</v>
      </c>
      <c r="BI528" s="1014">
        <v>2.04254840233</v>
      </c>
      <c r="BJ528" s="1014">
        <v>0.88721219299999998</v>
      </c>
      <c r="BK528" s="1014">
        <v>0</v>
      </c>
      <c r="BL528" s="1014">
        <v>6.9936800000000004E-3</v>
      </c>
      <c r="BM528" s="1014">
        <v>1.5173583209999999</v>
      </c>
      <c r="BN528" s="1014">
        <v>0</v>
      </c>
      <c r="BO528" s="1014">
        <v>0.27379796232999998</v>
      </c>
      <c r="BP528" s="1014">
        <v>0.22910804384</v>
      </c>
      <c r="BQ528" s="1014">
        <v>2.0193961689400002</v>
      </c>
      <c r="BR528" s="1014">
        <v>0</v>
      </c>
      <c r="BS528" s="1014">
        <v>1</v>
      </c>
      <c r="BT528" s="1014">
        <v>0</v>
      </c>
      <c r="BU528" s="1014">
        <v>3.2307500000000003E-2</v>
      </c>
      <c r="BV528" s="1014">
        <v>1.0005605</v>
      </c>
      <c r="BW528" s="1014">
        <v>1.0812499999999999E-2</v>
      </c>
      <c r="BX528" s="1014">
        <v>0</v>
      </c>
      <c r="BY528" s="1014">
        <v>1.1115559690000001</v>
      </c>
      <c r="BZ528" s="1014">
        <v>0</v>
      </c>
      <c r="CA528" s="1014">
        <v>0</v>
      </c>
      <c r="CB528" s="1014">
        <v>1.003479112</v>
      </c>
      <c r="CC528" s="1014">
        <v>64.223598554999995</v>
      </c>
      <c r="CD528" s="1014">
        <v>0.47973121000000002</v>
      </c>
      <c r="CE528" s="1014">
        <v>0</v>
      </c>
      <c r="CF528" s="1014">
        <v>14.183386008999999</v>
      </c>
      <c r="CG528" s="1014">
        <v>1.3150049660000001</v>
      </c>
      <c r="CH528" s="1014">
        <v>0</v>
      </c>
      <c r="CI528" s="1014">
        <v>0.02</v>
      </c>
      <c r="CJ528" s="1014">
        <v>5.7791929</v>
      </c>
      <c r="CK528" s="1014">
        <v>6.9380982900000001</v>
      </c>
      <c r="CL528" s="1014">
        <v>7.6036000000000006E-2</v>
      </c>
      <c r="CM528" s="1014">
        <v>13.871248</v>
      </c>
      <c r="CN528" s="1014">
        <v>1</v>
      </c>
      <c r="CO528" s="1014">
        <v>5.7363070500000006</v>
      </c>
      <c r="CP528" s="1263">
        <v>13.974804199999999</v>
      </c>
      <c r="CQ528" s="1014">
        <v>2.0446890510000002</v>
      </c>
      <c r="CR528" s="1014">
        <v>1.1764951930000001</v>
      </c>
      <c r="CS528" s="1014">
        <v>2.529250207</v>
      </c>
      <c r="CT528" s="1014">
        <v>2.502500334</v>
      </c>
      <c r="CU528" s="1014">
        <v>0.44875757999999999</v>
      </c>
      <c r="CV528" s="1014">
        <v>1.4449781960000001</v>
      </c>
      <c r="CW528" s="1014">
        <v>2.3012383519999999</v>
      </c>
      <c r="CX528" s="1014">
        <v>15.372919039999999</v>
      </c>
      <c r="CY528" s="1014">
        <v>5.6441678419999999</v>
      </c>
      <c r="CZ528" s="1014">
        <v>2.6801831049999998</v>
      </c>
      <c r="DA528" s="1014">
        <v>1.84513269</v>
      </c>
      <c r="DB528" s="1302">
        <v>25.690791000000001</v>
      </c>
      <c r="DC528" s="1014">
        <v>0</v>
      </c>
      <c r="DD528" s="1014">
        <v>0</v>
      </c>
      <c r="DE528" s="1014">
        <v>0</v>
      </c>
      <c r="DF528" s="1014">
        <v>0</v>
      </c>
      <c r="DG528" s="1014">
        <v>0</v>
      </c>
      <c r="DH528" s="1014">
        <v>0</v>
      </c>
      <c r="DI528" s="1014">
        <v>0</v>
      </c>
      <c r="DJ528" s="1014">
        <v>0</v>
      </c>
      <c r="DK528" s="1014">
        <v>0</v>
      </c>
      <c r="DL528" s="1014">
        <v>0</v>
      </c>
      <c r="DM528" s="1014">
        <v>0</v>
      </c>
      <c r="DN528" s="1263">
        <v>0</v>
      </c>
      <c r="DO528" s="1014">
        <v>0.79557091000000002</v>
      </c>
      <c r="DP528" s="1014">
        <v>0.30663901399999999</v>
      </c>
      <c r="DQ528" s="1014">
        <v>0</v>
      </c>
      <c r="DR528" s="1014">
        <v>1.461633175</v>
      </c>
      <c r="DS528" s="1014">
        <v>0</v>
      </c>
      <c r="DT528" s="1014">
        <v>0</v>
      </c>
      <c r="DU528" s="1014">
        <v>1.5806744720000001</v>
      </c>
      <c r="DV528" s="1014">
        <v>0</v>
      </c>
      <c r="DW528" s="1014">
        <v>0</v>
      </c>
      <c r="DX528" s="1014">
        <v>5.229410208</v>
      </c>
      <c r="DY528" s="1014">
        <v>6.7838984839999998</v>
      </c>
      <c r="DZ528" s="1263">
        <v>10.280307347000001</v>
      </c>
      <c r="EA528" s="1014">
        <v>0</v>
      </c>
      <c r="EB528" s="1014">
        <v>0</v>
      </c>
      <c r="EC528" s="1014">
        <v>0</v>
      </c>
      <c r="ED528" s="1014">
        <v>0</v>
      </c>
      <c r="EE528" s="1014">
        <v>0</v>
      </c>
      <c r="EF528" s="1014">
        <v>0</v>
      </c>
      <c r="EG528" s="1014">
        <v>0</v>
      </c>
      <c r="EH528" s="1014">
        <v>0</v>
      </c>
      <c r="EI528" s="1014">
        <v>0</v>
      </c>
      <c r="EJ528" s="1014">
        <v>0</v>
      </c>
      <c r="EK528" s="1014">
        <v>0</v>
      </c>
      <c r="EL528" s="1263">
        <v>0</v>
      </c>
      <c r="EM528" s="1014">
        <v>0</v>
      </c>
      <c r="EN528" s="1014">
        <v>0</v>
      </c>
      <c r="EO528" s="1014">
        <v>0</v>
      </c>
      <c r="EP528" s="1014">
        <v>0</v>
      </c>
      <c r="EQ528" s="1014">
        <v>0</v>
      </c>
      <c r="ER528" s="1014">
        <v>0</v>
      </c>
      <c r="ES528" s="1014">
        <v>0</v>
      </c>
      <c r="ET528" s="1014">
        <v>0</v>
      </c>
      <c r="EU528" s="1014">
        <v>0</v>
      </c>
      <c r="EV528" s="1014">
        <v>0</v>
      </c>
      <c r="EW528" s="1014">
        <v>0</v>
      </c>
      <c r="EX528" s="1263">
        <v>0</v>
      </c>
      <c r="FJ528" s="1263"/>
      <c r="KT528" s="1263"/>
    </row>
    <row r="529" spans="1:306" s="1014" customFormat="1" hidden="1" outlineLevel="1">
      <c r="A529" s="1259" t="s">
        <v>434</v>
      </c>
      <c r="B529" s="1259" t="s">
        <v>338</v>
      </c>
      <c r="C529" s="1259"/>
      <c r="D529" s="1264" t="s">
        <v>553</v>
      </c>
      <c r="BG529" s="1014">
        <v>0</v>
      </c>
      <c r="BH529" s="1014">
        <v>9.1972862530000005E-2</v>
      </c>
      <c r="BI529" s="1014">
        <v>4.2548402329999999E-2</v>
      </c>
      <c r="BJ529" s="1014">
        <v>0</v>
      </c>
      <c r="BK529" s="1014">
        <v>0</v>
      </c>
      <c r="BL529" s="1014">
        <v>6.9936800000000004E-3</v>
      </c>
      <c r="BM529" s="1014">
        <v>1.7358320999999999E-2</v>
      </c>
      <c r="BN529" s="1014">
        <v>0</v>
      </c>
      <c r="BO529" s="1014">
        <v>0</v>
      </c>
      <c r="BP529" s="1014">
        <v>0</v>
      </c>
      <c r="BQ529" s="1014">
        <v>0</v>
      </c>
      <c r="BR529" s="1014">
        <v>0</v>
      </c>
      <c r="BS529" s="1014">
        <v>1</v>
      </c>
      <c r="BT529" s="1014">
        <v>0</v>
      </c>
      <c r="BU529" s="1014">
        <v>3.2307500000000003E-2</v>
      </c>
      <c r="BV529" s="1014">
        <v>1.0005605</v>
      </c>
      <c r="BW529" s="1014">
        <v>1.0812499999999999E-2</v>
      </c>
      <c r="BX529" s="1014">
        <v>0</v>
      </c>
      <c r="BY529" s="1014">
        <v>1.1115559690000001</v>
      </c>
      <c r="BZ529" s="1014">
        <v>0</v>
      </c>
      <c r="CA529" s="1014">
        <v>0</v>
      </c>
      <c r="CB529" s="1014">
        <v>3.4791119999999999E-3</v>
      </c>
      <c r="CC529" s="1014">
        <v>62.023598555</v>
      </c>
      <c r="CD529" s="1014">
        <v>0.47973121000000002</v>
      </c>
      <c r="CE529" s="1262">
        <v>0</v>
      </c>
      <c r="CF529" s="1014">
        <v>14.183386008999999</v>
      </c>
      <c r="CG529" s="1014">
        <v>1.3150049660000001</v>
      </c>
      <c r="CH529" s="1014">
        <v>0</v>
      </c>
      <c r="CI529" s="1014">
        <v>0.01</v>
      </c>
      <c r="CJ529" s="1014">
        <v>2.88959645</v>
      </c>
      <c r="CK529" s="1014">
        <v>6.9380982900000001</v>
      </c>
      <c r="CL529" s="1014">
        <v>3.8018000000000003E-2</v>
      </c>
      <c r="CM529" s="1014">
        <v>13.871248</v>
      </c>
      <c r="CN529" s="1014">
        <v>1</v>
      </c>
      <c r="CO529" s="1014">
        <v>4.3681535250000003</v>
      </c>
      <c r="CP529" s="1263">
        <v>13.974804199999999</v>
      </c>
      <c r="CQ529" s="1014">
        <v>2.0446890510000002</v>
      </c>
      <c r="CR529" s="1014">
        <v>1.1764951930000001</v>
      </c>
      <c r="CS529" s="1014">
        <v>2.529250207</v>
      </c>
      <c r="CT529" s="1014">
        <v>2.502500334</v>
      </c>
      <c r="CU529" s="1014">
        <v>0.44875757999999999</v>
      </c>
      <c r="CV529" s="1014">
        <v>1.4449781960000001</v>
      </c>
      <c r="CW529" s="1014">
        <v>2.3012383519999999</v>
      </c>
      <c r="CX529" s="1014">
        <v>15.372919039999999</v>
      </c>
      <c r="CY529" s="1014">
        <v>5.6441678419999999</v>
      </c>
      <c r="CZ529" s="1014">
        <v>2.6801831049999998</v>
      </c>
      <c r="DA529" s="1014">
        <v>1.84513269</v>
      </c>
      <c r="DB529" s="1302">
        <v>25.690791000000001</v>
      </c>
      <c r="DN529" s="1263"/>
      <c r="DO529" s="1014">
        <v>0.79557091000000002</v>
      </c>
      <c r="DP529" s="1014">
        <v>0.30663901399999999</v>
      </c>
      <c r="DQ529" s="1014">
        <v>0</v>
      </c>
      <c r="DR529" s="1014">
        <v>1.461633175</v>
      </c>
      <c r="DS529" s="1014">
        <v>0</v>
      </c>
      <c r="DT529" s="1014">
        <v>0</v>
      </c>
      <c r="DU529" s="1014">
        <v>1.5806744720000001</v>
      </c>
      <c r="DV529" s="1014">
        <v>0</v>
      </c>
      <c r="DW529" s="1014">
        <v>0</v>
      </c>
      <c r="DX529" s="1014">
        <v>5.229410208</v>
      </c>
      <c r="DY529" s="1014">
        <v>6.7838984839999998</v>
      </c>
      <c r="DZ529" s="1263">
        <v>10.280307347000001</v>
      </c>
      <c r="EL529" s="1263"/>
      <c r="EX529" s="1263"/>
      <c r="FJ529" s="1263"/>
      <c r="KT529" s="1263"/>
    </row>
    <row r="530" spans="1:306" s="1014" customFormat="1" hidden="1" outlineLevel="1">
      <c r="A530" s="1259" t="s">
        <v>434</v>
      </c>
      <c r="B530" s="1259" t="s">
        <v>338</v>
      </c>
      <c r="C530" s="1259"/>
      <c r="D530" s="1264" t="s">
        <v>554</v>
      </c>
      <c r="BG530" s="1014">
        <v>0</v>
      </c>
      <c r="BH530" s="1014">
        <v>0</v>
      </c>
      <c r="BI530" s="1014">
        <v>2</v>
      </c>
      <c r="BJ530" s="1014">
        <v>0.88721219299999998</v>
      </c>
      <c r="BK530" s="1014">
        <v>0</v>
      </c>
      <c r="BL530" s="1014">
        <v>0</v>
      </c>
      <c r="BM530" s="1014">
        <v>1.5</v>
      </c>
      <c r="BN530" s="1014">
        <v>0</v>
      </c>
      <c r="BO530" s="1014">
        <v>0.27379796232999998</v>
      </c>
      <c r="BP530" s="1014">
        <v>0.22910804384</v>
      </c>
      <c r="BQ530" s="1014">
        <v>2.0193961689400002</v>
      </c>
      <c r="BR530" s="1014">
        <v>0</v>
      </c>
      <c r="BS530" s="1014">
        <v>0</v>
      </c>
      <c r="BT530" s="1014">
        <v>0</v>
      </c>
      <c r="BU530" s="1014">
        <v>0</v>
      </c>
      <c r="BV530" s="1014">
        <v>0</v>
      </c>
      <c r="BW530" s="1014">
        <v>0</v>
      </c>
      <c r="BX530" s="1014">
        <v>0</v>
      </c>
      <c r="BY530" s="1014">
        <v>0</v>
      </c>
      <c r="BZ530" s="1014">
        <v>0</v>
      </c>
      <c r="CA530" s="1014">
        <v>0</v>
      </c>
      <c r="CB530" s="1014">
        <v>1</v>
      </c>
      <c r="CC530" s="1014">
        <v>2.2000000000000002</v>
      </c>
      <c r="CD530" s="1014">
        <v>0</v>
      </c>
      <c r="CE530" s="1262">
        <v>0</v>
      </c>
      <c r="CF530" s="1014">
        <v>0</v>
      </c>
      <c r="CG530" s="1014">
        <v>0</v>
      </c>
      <c r="CH530" s="1014">
        <v>0</v>
      </c>
      <c r="CI530" s="1014">
        <v>0.01</v>
      </c>
      <c r="CJ530" s="1014">
        <v>2.88959645</v>
      </c>
      <c r="CK530" s="1014">
        <v>0</v>
      </c>
      <c r="CL530" s="1014">
        <v>3.8018000000000003E-2</v>
      </c>
      <c r="CM530" s="1014">
        <v>0</v>
      </c>
      <c r="CN530" s="1014">
        <v>0</v>
      </c>
      <c r="CO530" s="1014">
        <v>1.3681535250000001</v>
      </c>
      <c r="CP530" s="1263">
        <v>0</v>
      </c>
      <c r="CQ530" s="1014">
        <v>0</v>
      </c>
      <c r="CR530" s="1014">
        <v>0</v>
      </c>
      <c r="CS530" s="1014">
        <v>0</v>
      </c>
      <c r="CT530" s="1014">
        <v>0</v>
      </c>
      <c r="CU530" s="1014">
        <v>0</v>
      </c>
      <c r="CV530" s="1014">
        <v>0</v>
      </c>
      <c r="CW530" s="1014">
        <v>0</v>
      </c>
      <c r="CX530" s="1014">
        <v>0</v>
      </c>
      <c r="CY530" s="1014">
        <v>0</v>
      </c>
      <c r="CZ530" s="1014">
        <v>0</v>
      </c>
      <c r="DA530" s="1014">
        <v>0</v>
      </c>
      <c r="DB530" s="1302">
        <v>0</v>
      </c>
      <c r="DN530" s="1263"/>
      <c r="DZ530" s="1263"/>
      <c r="EL530" s="1263"/>
      <c r="EX530" s="1263"/>
      <c r="FJ530" s="1263"/>
      <c r="KT530" s="1263"/>
    </row>
    <row r="531" spans="1:306" s="1014" customFormat="1" hidden="1" outlineLevel="1">
      <c r="A531" s="1259" t="s">
        <v>434</v>
      </c>
      <c r="B531" s="1259" t="s">
        <v>338</v>
      </c>
      <c r="C531" s="1259"/>
      <c r="D531" s="1259" t="s">
        <v>556</v>
      </c>
      <c r="BG531" s="1014">
        <v>0</v>
      </c>
      <c r="BH531" s="1014">
        <v>0</v>
      </c>
      <c r="BI531" s="1014">
        <v>0</v>
      </c>
      <c r="BJ531" s="1014">
        <v>0</v>
      </c>
      <c r="BK531" s="1014">
        <v>0</v>
      </c>
      <c r="BL531" s="1014">
        <v>0</v>
      </c>
      <c r="BM531" s="1014">
        <v>0</v>
      </c>
      <c r="BN531" s="1014">
        <v>0</v>
      </c>
      <c r="BO531" s="1014">
        <v>0</v>
      </c>
      <c r="BP531" s="1014">
        <v>0</v>
      </c>
      <c r="BQ531" s="1014">
        <v>0</v>
      </c>
      <c r="BR531" s="1014">
        <v>0</v>
      </c>
      <c r="BS531" s="1014">
        <v>4.1666700000000001E-4</v>
      </c>
      <c r="BT531" s="1014">
        <v>4.1666700000000001E-4</v>
      </c>
      <c r="BU531" s="1014">
        <v>0</v>
      </c>
      <c r="BV531" s="1014">
        <v>4.1666700000000001E-4</v>
      </c>
      <c r="BW531" s="1014">
        <v>1.2500009999999999E-3</v>
      </c>
      <c r="BX531" s="1014">
        <v>4.1666700000000001E-4</v>
      </c>
      <c r="BY531" s="1014">
        <v>0</v>
      </c>
      <c r="BZ531" s="1014">
        <v>0</v>
      </c>
      <c r="CA531" s="1014">
        <v>0</v>
      </c>
      <c r="CB531" s="1014">
        <v>0</v>
      </c>
      <c r="CC531" s="1014">
        <v>0</v>
      </c>
      <c r="CD531" s="1014">
        <v>0</v>
      </c>
      <c r="CE531" s="1262">
        <v>0</v>
      </c>
      <c r="CF531" s="1014">
        <v>0</v>
      </c>
      <c r="CG531" s="1014">
        <v>0</v>
      </c>
      <c r="CH531" s="1014">
        <v>0</v>
      </c>
      <c r="CI531" s="1014">
        <v>0</v>
      </c>
      <c r="CJ531" s="1014">
        <v>0</v>
      </c>
      <c r="CK531" s="1014">
        <v>0</v>
      </c>
      <c r="CL531" s="1014">
        <v>0</v>
      </c>
      <c r="CM531" s="1014">
        <v>0</v>
      </c>
      <c r="CN531" s="1014">
        <v>0</v>
      </c>
      <c r="CO531" s="1014">
        <v>0</v>
      </c>
      <c r="CP531" s="1263">
        <v>0</v>
      </c>
      <c r="CQ531" s="1014">
        <v>0</v>
      </c>
      <c r="CR531" s="1014">
        <v>0</v>
      </c>
      <c r="CS531" s="1014">
        <v>0</v>
      </c>
      <c r="CT531" s="1014">
        <v>0</v>
      </c>
      <c r="CU531" s="1014">
        <v>0</v>
      </c>
      <c r="CV531" s="1014">
        <v>0</v>
      </c>
      <c r="CW531" s="1014">
        <v>0</v>
      </c>
      <c r="CX531" s="1014">
        <v>0</v>
      </c>
      <c r="CY531" s="1014">
        <v>0</v>
      </c>
      <c r="CZ531" s="1014">
        <v>0</v>
      </c>
      <c r="DA531" s="1014">
        <v>0</v>
      </c>
      <c r="DB531" s="1302">
        <v>0</v>
      </c>
      <c r="DN531" s="1263"/>
      <c r="DZ531" s="1263"/>
      <c r="EL531" s="1263"/>
      <c r="EX531" s="1263"/>
      <c r="FJ531" s="1263"/>
      <c r="KT531" s="1263"/>
    </row>
    <row r="532" spans="1:306" s="1014" customFormat="1" hidden="1" outlineLevel="1">
      <c r="A532" s="1259" t="s">
        <v>434</v>
      </c>
      <c r="B532" s="1259" t="s">
        <v>338</v>
      </c>
      <c r="C532" s="1259"/>
      <c r="D532" s="1264" t="s">
        <v>553</v>
      </c>
      <c r="BG532" s="1014">
        <v>0</v>
      </c>
      <c r="BH532" s="1014">
        <v>0</v>
      </c>
      <c r="BI532" s="1014">
        <v>0</v>
      </c>
      <c r="BJ532" s="1014">
        <v>0</v>
      </c>
      <c r="BK532" s="1014">
        <v>0</v>
      </c>
      <c r="BL532" s="1014">
        <v>0</v>
      </c>
      <c r="BM532" s="1014">
        <v>0</v>
      </c>
      <c r="BN532" s="1014">
        <v>0</v>
      </c>
      <c r="BO532" s="1014">
        <v>0</v>
      </c>
      <c r="BP532" s="1014">
        <v>0</v>
      </c>
      <c r="BQ532" s="1014">
        <v>0</v>
      </c>
      <c r="BR532" s="1014">
        <v>0</v>
      </c>
      <c r="BS532" s="1014">
        <v>4.1666700000000001E-4</v>
      </c>
      <c r="BT532" s="1014">
        <v>4.1666700000000001E-4</v>
      </c>
      <c r="BU532" s="1014">
        <v>0</v>
      </c>
      <c r="BV532" s="1014">
        <v>4.1666700000000001E-4</v>
      </c>
      <c r="BW532" s="1014">
        <v>1.2500009999999999E-3</v>
      </c>
      <c r="BX532" s="1014">
        <v>4.1666700000000001E-4</v>
      </c>
      <c r="BY532" s="1014">
        <v>0</v>
      </c>
      <c r="BZ532" s="1014">
        <v>0</v>
      </c>
      <c r="CA532" s="1014">
        <v>0</v>
      </c>
      <c r="CB532" s="1014">
        <v>0</v>
      </c>
      <c r="CC532" s="1014">
        <v>0</v>
      </c>
      <c r="CD532" s="1014">
        <v>0</v>
      </c>
      <c r="CE532" s="1262">
        <v>0</v>
      </c>
      <c r="CF532" s="1014">
        <v>0</v>
      </c>
      <c r="CG532" s="1014">
        <v>0</v>
      </c>
      <c r="CH532" s="1014">
        <v>0</v>
      </c>
      <c r="CI532" s="1014">
        <v>0</v>
      </c>
      <c r="CJ532" s="1014">
        <v>0</v>
      </c>
      <c r="CK532" s="1014">
        <v>0</v>
      </c>
      <c r="CL532" s="1014">
        <v>0</v>
      </c>
      <c r="CM532" s="1014">
        <v>0</v>
      </c>
      <c r="CN532" s="1014">
        <v>0</v>
      </c>
      <c r="CO532" s="1014">
        <v>0</v>
      </c>
      <c r="CP532" s="1263">
        <v>0</v>
      </c>
      <c r="CQ532" s="1014">
        <v>0</v>
      </c>
      <c r="CR532" s="1014">
        <v>0</v>
      </c>
      <c r="CS532" s="1014">
        <v>0</v>
      </c>
      <c r="CT532" s="1014">
        <v>0</v>
      </c>
      <c r="CU532" s="1014">
        <v>0</v>
      </c>
      <c r="CV532" s="1014">
        <v>0</v>
      </c>
      <c r="CW532" s="1014">
        <v>0</v>
      </c>
      <c r="CX532" s="1014">
        <v>0</v>
      </c>
      <c r="CY532" s="1014">
        <v>0</v>
      </c>
      <c r="CZ532" s="1014">
        <v>0</v>
      </c>
      <c r="DA532" s="1014">
        <v>0</v>
      </c>
      <c r="DB532" s="1302">
        <v>0</v>
      </c>
      <c r="DN532" s="1263"/>
      <c r="DZ532" s="1263"/>
      <c r="EL532" s="1263"/>
      <c r="EX532" s="1263"/>
      <c r="FJ532" s="1263"/>
      <c r="KT532" s="1263"/>
    </row>
    <row r="533" spans="1:306" s="1014" customFormat="1" hidden="1" outlineLevel="1">
      <c r="A533" s="1259" t="s">
        <v>434</v>
      </c>
      <c r="B533" s="1259" t="s">
        <v>338</v>
      </c>
      <c r="C533" s="1259"/>
      <c r="D533" s="1264" t="s">
        <v>554</v>
      </c>
      <c r="BG533" s="1014">
        <v>0</v>
      </c>
      <c r="BH533" s="1014">
        <v>0</v>
      </c>
      <c r="BI533" s="1014">
        <v>0</v>
      </c>
      <c r="BJ533" s="1014">
        <v>0</v>
      </c>
      <c r="BK533" s="1014">
        <v>0</v>
      </c>
      <c r="BL533" s="1014">
        <v>0</v>
      </c>
      <c r="BM533" s="1014">
        <v>0</v>
      </c>
      <c r="BN533" s="1014">
        <v>0</v>
      </c>
      <c r="BO533" s="1014">
        <v>0</v>
      </c>
      <c r="BP533" s="1014">
        <v>0</v>
      </c>
      <c r="BQ533" s="1014">
        <v>0</v>
      </c>
      <c r="BR533" s="1014">
        <v>0</v>
      </c>
      <c r="BS533" s="1014">
        <v>0</v>
      </c>
      <c r="BT533" s="1014">
        <v>0</v>
      </c>
      <c r="BU533" s="1014">
        <v>0</v>
      </c>
      <c r="BV533" s="1014">
        <v>0</v>
      </c>
      <c r="BW533" s="1014">
        <v>0</v>
      </c>
      <c r="BX533" s="1014">
        <v>0</v>
      </c>
      <c r="BY533" s="1014">
        <v>0</v>
      </c>
      <c r="BZ533" s="1014">
        <v>0</v>
      </c>
      <c r="CA533" s="1014">
        <v>0</v>
      </c>
      <c r="CB533" s="1014">
        <v>0</v>
      </c>
      <c r="CC533" s="1014">
        <v>0</v>
      </c>
      <c r="CD533" s="1014">
        <v>0</v>
      </c>
      <c r="CE533" s="1262">
        <v>0</v>
      </c>
      <c r="CF533" s="1014">
        <v>0</v>
      </c>
      <c r="CG533" s="1014">
        <v>0</v>
      </c>
      <c r="CH533" s="1014">
        <v>0</v>
      </c>
      <c r="CI533" s="1014">
        <v>0</v>
      </c>
      <c r="CJ533" s="1014">
        <v>0</v>
      </c>
      <c r="CK533" s="1014">
        <v>0</v>
      </c>
      <c r="CL533" s="1014">
        <v>0</v>
      </c>
      <c r="CM533" s="1014">
        <v>0</v>
      </c>
      <c r="CN533" s="1014">
        <v>0</v>
      </c>
      <c r="CO533" s="1014">
        <v>0</v>
      </c>
      <c r="CP533" s="1263">
        <v>0</v>
      </c>
      <c r="CQ533" s="1014">
        <v>0</v>
      </c>
      <c r="CR533" s="1014">
        <v>0</v>
      </c>
      <c r="CS533" s="1014">
        <v>0</v>
      </c>
      <c r="CT533" s="1014">
        <v>0</v>
      </c>
      <c r="CU533" s="1014">
        <v>0</v>
      </c>
      <c r="CV533" s="1014">
        <v>0</v>
      </c>
      <c r="CW533" s="1014">
        <v>0</v>
      </c>
      <c r="CX533" s="1014">
        <v>0</v>
      </c>
      <c r="CY533" s="1014">
        <v>0</v>
      </c>
      <c r="CZ533" s="1014">
        <v>0</v>
      </c>
      <c r="DA533" s="1014">
        <v>0</v>
      </c>
      <c r="DB533" s="1302">
        <v>0</v>
      </c>
      <c r="DN533" s="1263"/>
      <c r="DZ533" s="1263"/>
      <c r="EL533" s="1263"/>
      <c r="EX533" s="1263"/>
      <c r="FJ533" s="1263"/>
      <c r="KT533" s="1263"/>
    </row>
    <row r="534" spans="1:306" s="1014" customFormat="1" outlineLevel="1">
      <c r="A534" s="1259"/>
      <c r="B534" s="1259"/>
      <c r="C534" s="1259"/>
      <c r="D534" s="1014" t="s">
        <v>575</v>
      </c>
      <c r="CP534" s="1263"/>
      <c r="DB534" s="1302"/>
      <c r="DC534" s="1014">
        <v>2</v>
      </c>
      <c r="DD534" s="1014">
        <v>10.047593833000001</v>
      </c>
      <c r="DE534" s="1014">
        <v>6.3235096430000004</v>
      </c>
      <c r="DF534" s="1014">
        <v>0.23668661499999999</v>
      </c>
      <c r="DG534" s="1014">
        <v>0.37262134400000002</v>
      </c>
      <c r="DH534" s="1014">
        <v>0</v>
      </c>
      <c r="DI534" s="1014">
        <v>17.852643471</v>
      </c>
      <c r="DJ534" s="1014">
        <v>7.5705152409999998</v>
      </c>
      <c r="DK534" s="1014">
        <v>0.211177904</v>
      </c>
      <c r="DL534" s="1014">
        <v>0.389861544</v>
      </c>
      <c r="DM534" s="1014">
        <v>0</v>
      </c>
      <c r="DN534" s="1263">
        <v>5.3441120770000001</v>
      </c>
      <c r="DO534" s="1014">
        <v>0.79557091000000002</v>
      </c>
      <c r="DP534" s="1014">
        <v>0.30663901399999999</v>
      </c>
      <c r="DQ534" s="1014">
        <v>0</v>
      </c>
      <c r="DR534" s="1014">
        <v>1.461633175</v>
      </c>
      <c r="DS534" s="1014">
        <v>0</v>
      </c>
      <c r="DT534" s="1014">
        <v>0</v>
      </c>
      <c r="DU534" s="1014">
        <v>1.5806744720000001</v>
      </c>
      <c r="DV534" s="1014">
        <v>0</v>
      </c>
      <c r="DW534" s="1014">
        <v>0</v>
      </c>
      <c r="DX534" s="1014">
        <v>5.229410208</v>
      </c>
      <c r="DY534" s="1014">
        <v>6.7838984839999998</v>
      </c>
      <c r="DZ534" s="1263">
        <v>10.280307347000001</v>
      </c>
      <c r="EA534" s="1014">
        <v>0</v>
      </c>
      <c r="EB534" s="1014">
        <v>8.1566134520000002</v>
      </c>
      <c r="EC534" s="1014">
        <v>7.2540280619999997</v>
      </c>
      <c r="ED534" s="1014">
        <v>1.6</v>
      </c>
      <c r="EE534" s="1014">
        <v>3.3892808900000002</v>
      </c>
      <c r="EF534" s="1014">
        <v>5.8281546979999996</v>
      </c>
      <c r="EG534" s="1014">
        <v>3.7936580630000001</v>
      </c>
      <c r="EH534" s="1014">
        <v>1.6461325570000001</v>
      </c>
      <c r="EI534" s="1014">
        <v>6.9573450130000003</v>
      </c>
      <c r="EJ534" s="1014">
        <v>11.576924024</v>
      </c>
      <c r="EK534" s="1014">
        <v>6.8080839639999997</v>
      </c>
      <c r="EL534" s="1263">
        <v>0</v>
      </c>
      <c r="EM534" s="1014">
        <v>2.4750000000000001</v>
      </c>
      <c r="EN534" s="1014">
        <v>3.8014540480000001</v>
      </c>
      <c r="EO534" s="1014">
        <v>6.0622649979999998</v>
      </c>
      <c r="EP534" s="1014">
        <v>0</v>
      </c>
      <c r="EQ534" s="1014">
        <v>0</v>
      </c>
      <c r="ER534" s="1014">
        <v>3.9765202199999998</v>
      </c>
      <c r="ES534" s="1014">
        <v>2.8859739630000001</v>
      </c>
      <c r="ET534" s="1014">
        <v>0</v>
      </c>
      <c r="EU534" s="1014">
        <v>3.939404675</v>
      </c>
      <c r="EV534" s="1014">
        <v>2.8887351529999998</v>
      </c>
      <c r="EW534" s="1014">
        <v>0</v>
      </c>
      <c r="EX534" s="1263">
        <v>3.939404675</v>
      </c>
      <c r="EY534" s="1014">
        <v>2.9627427580000001</v>
      </c>
      <c r="EZ534" s="1014">
        <v>1.464404676</v>
      </c>
      <c r="FA534" s="1014">
        <v>0</v>
      </c>
      <c r="FB534" s="1014">
        <v>82.901972736999994</v>
      </c>
      <c r="FC534" s="1014">
        <v>1.5526046760000001</v>
      </c>
      <c r="FD534" s="1014">
        <v>0</v>
      </c>
      <c r="FE534" s="1014">
        <v>11.865881414</v>
      </c>
      <c r="FF534" s="1014">
        <v>1.80821064</v>
      </c>
      <c r="FG534" s="1014">
        <v>5.3527981000000002E-2</v>
      </c>
      <c r="FH534" s="1014">
        <v>0</v>
      </c>
      <c r="FI534" s="1014">
        <v>0</v>
      </c>
      <c r="FJ534" s="1263">
        <v>1.0382190499999999</v>
      </c>
      <c r="FK534" s="1014">
        <v>0</v>
      </c>
      <c r="FL534" s="1014">
        <v>0</v>
      </c>
      <c r="FM534" s="1014">
        <v>47.715494765000003</v>
      </c>
      <c r="FN534" s="1014">
        <v>0</v>
      </c>
      <c r="FO534" s="1014">
        <v>1.0683389350000001</v>
      </c>
      <c r="FP534" s="1014">
        <v>7.1600264359999999</v>
      </c>
      <c r="FQ534" s="1014">
        <v>5.2808400000000004</v>
      </c>
      <c r="FR534" s="1014">
        <v>3.6483330199999999</v>
      </c>
      <c r="FS534" s="1014">
        <v>3.5096266109999998</v>
      </c>
      <c r="FT534" s="1014">
        <v>3.4183738990000001</v>
      </c>
      <c r="FU534" s="1014">
        <v>5.1646999559999998</v>
      </c>
      <c r="FV534" s="1014">
        <v>30.646021316999999</v>
      </c>
      <c r="FW534" s="1014">
        <v>0</v>
      </c>
      <c r="FX534" s="1014">
        <v>0</v>
      </c>
      <c r="FY534" s="1014">
        <v>6.5765835209999999</v>
      </c>
      <c r="FZ534" s="1014">
        <v>0.70497500000000002</v>
      </c>
      <c r="GA534" s="1014">
        <v>0</v>
      </c>
      <c r="GB534" s="1014">
        <v>7.3348738139999998</v>
      </c>
      <c r="GC534" s="1014">
        <v>1</v>
      </c>
      <c r="GD534" s="1014">
        <v>3.6364257270000002</v>
      </c>
      <c r="GE534" s="1014">
        <v>1.5363514569999999</v>
      </c>
      <c r="GF534" s="1014">
        <v>17.543126211000001</v>
      </c>
      <c r="GG534" s="1014">
        <v>8.5065721930000002</v>
      </c>
      <c r="GH534" s="1014">
        <v>47.64361169</v>
      </c>
      <c r="GI534" s="1014">
        <v>6.0993216676299999</v>
      </c>
      <c r="GJ534" s="1014">
        <v>0</v>
      </c>
      <c r="GK534" s="1014">
        <v>59.345309497339997</v>
      </c>
      <c r="GL534" s="1014">
        <v>0</v>
      </c>
      <c r="GM534" s="1014">
        <v>0</v>
      </c>
      <c r="GN534" s="1014">
        <v>8.8817867980000003</v>
      </c>
      <c r="GO534" s="1014">
        <v>0</v>
      </c>
      <c r="GP534" s="1014">
        <v>0</v>
      </c>
      <c r="GQ534" s="1014">
        <v>8.8794150500000004</v>
      </c>
      <c r="GR534" s="1014">
        <v>0</v>
      </c>
      <c r="GS534" s="1014">
        <v>0</v>
      </c>
      <c r="GT534" s="1014">
        <v>8.8770027139999996</v>
      </c>
      <c r="GU534" s="1014">
        <v>3.6868372699999998</v>
      </c>
      <c r="GV534" s="1014">
        <v>1.6867821860000001</v>
      </c>
      <c r="GW534" s="1014">
        <v>3.4566794760000001</v>
      </c>
      <c r="GX534" s="1014">
        <v>3.1026485639999999</v>
      </c>
      <c r="GY534" s="1014">
        <v>8.5277886630000008</v>
      </c>
      <c r="GZ534" s="1014">
        <v>18.235560100000001</v>
      </c>
      <c r="HA534" s="1014">
        <v>4.0574359040000001</v>
      </c>
      <c r="HB534" s="1014">
        <v>13.711449400999999</v>
      </c>
      <c r="HC534" s="1014">
        <v>14.916460077</v>
      </c>
      <c r="HD534" s="1014">
        <v>1.0527506180000001</v>
      </c>
      <c r="HE534" s="1014">
        <v>1.290070901</v>
      </c>
      <c r="HF534" s="1014">
        <v>9.1668689589999985</v>
      </c>
      <c r="HG534" s="1014">
        <v>56.267772954999998</v>
      </c>
      <c r="HH534" s="1014">
        <v>1</v>
      </c>
      <c r="HI534" s="1014">
        <v>40.276613467418997</v>
      </c>
      <c r="HJ534" s="1014">
        <v>-15.457020599762</v>
      </c>
      <c r="HK534" s="1014">
        <v>0.41358653699999998</v>
      </c>
      <c r="HL534" s="1014">
        <v>8.5680475269999992</v>
      </c>
      <c r="KT534" s="1263"/>
    </row>
    <row r="535" spans="1:306" s="1014" customFormat="1" outlineLevel="1">
      <c r="A535" s="1259"/>
      <c r="B535" s="1259"/>
      <c r="C535" s="1259"/>
      <c r="D535" s="2102" t="s">
        <v>3068</v>
      </c>
      <c r="CP535" s="1263"/>
      <c r="DB535" s="1302"/>
      <c r="DN535" s="1263"/>
      <c r="DZ535" s="1263"/>
      <c r="EL535" s="1263"/>
      <c r="EX535" s="1263"/>
      <c r="EY535" s="1014">
        <v>2.9627427580000001</v>
      </c>
      <c r="EZ535" s="1014">
        <v>1.464404676</v>
      </c>
      <c r="FA535" s="1014">
        <v>0</v>
      </c>
      <c r="FB535" s="1014">
        <v>2.9019727369999999</v>
      </c>
      <c r="FC535" s="1014">
        <v>1.5526046760000001</v>
      </c>
      <c r="FD535" s="1014">
        <v>0</v>
      </c>
      <c r="FE535" s="1014">
        <v>11.865881414</v>
      </c>
      <c r="FF535" s="1014">
        <v>1.80821064</v>
      </c>
      <c r="FG535" s="1014">
        <v>5.3527981000000002E-2</v>
      </c>
      <c r="FH535" s="1014">
        <v>0</v>
      </c>
      <c r="FI535" s="1014">
        <v>0</v>
      </c>
      <c r="FJ535" s="1263">
        <v>1.0382190499999999</v>
      </c>
      <c r="FK535" s="1014">
        <v>3.1917141450000002</v>
      </c>
      <c r="FL535" s="1014">
        <v>0</v>
      </c>
      <c r="FM535" s="1014">
        <v>1.0683389350000001</v>
      </c>
      <c r="FN535" s="1014">
        <v>1.8640157180000001</v>
      </c>
      <c r="FO535" s="1014">
        <v>0</v>
      </c>
      <c r="FP535" s="1014">
        <v>0</v>
      </c>
      <c r="FQ535" s="1014">
        <v>0.28083999999999998</v>
      </c>
      <c r="FR535" s="1014">
        <v>3.6483330199999999</v>
      </c>
      <c r="FS535" s="1014">
        <v>0</v>
      </c>
      <c r="FT535" s="1014">
        <v>3.4183738990000001</v>
      </c>
      <c r="FU535" s="1014">
        <v>5.1646999559999998</v>
      </c>
      <c r="FV535" s="1014">
        <v>0</v>
      </c>
      <c r="FW535" s="1014">
        <v>0</v>
      </c>
      <c r="FX535" s="1014">
        <v>0</v>
      </c>
      <c r="FY535" s="1014">
        <v>6.5765835209999999</v>
      </c>
      <c r="FZ535" s="1014">
        <v>0.70497500000000002</v>
      </c>
      <c r="GA535" s="1014">
        <v>0</v>
      </c>
      <c r="GB535" s="1014">
        <v>7.3348738139999998</v>
      </c>
      <c r="GC535" s="1014">
        <v>1</v>
      </c>
      <c r="GD535" s="1014">
        <v>3.6364257270000002</v>
      </c>
      <c r="GE535" s="1014">
        <v>0.41061130699999998</v>
      </c>
      <c r="GF535" s="1014">
        <v>1.7091764869999999</v>
      </c>
      <c r="GG535" s="1014">
        <v>8.5065721930000002</v>
      </c>
      <c r="GH535" s="1014">
        <v>1.5</v>
      </c>
      <c r="GI535" s="1014">
        <v>0</v>
      </c>
      <c r="GJ535" s="1014">
        <v>0</v>
      </c>
      <c r="GK535" s="1014">
        <v>9.158647491</v>
      </c>
      <c r="GL535" s="1014">
        <v>0</v>
      </c>
      <c r="GM535" s="1014">
        <v>0</v>
      </c>
      <c r="GN535" s="1014">
        <v>8.8817867980000003</v>
      </c>
      <c r="GO535" s="1014">
        <v>0</v>
      </c>
      <c r="GP535" s="1014">
        <v>0</v>
      </c>
      <c r="GQ535" s="1014">
        <v>8.8794150500000004</v>
      </c>
      <c r="GR535" s="1014">
        <v>0</v>
      </c>
      <c r="GS535" s="1014">
        <v>0</v>
      </c>
      <c r="GT535" s="1014">
        <v>8.8770027139999996</v>
      </c>
      <c r="GU535" s="1014">
        <v>3.6868372699999998</v>
      </c>
      <c r="GV535" s="1014">
        <v>1.6867821860000001</v>
      </c>
      <c r="GW535" s="1014">
        <v>3.4566794760000001</v>
      </c>
      <c r="GZ535" s="1014">
        <v>8.9</v>
      </c>
      <c r="HC535" s="1014">
        <v>8.6530146479999992</v>
      </c>
      <c r="HF535" s="1014">
        <v>8.7324903549999995</v>
      </c>
      <c r="HI535" s="1014">
        <v>8.6470179839999997</v>
      </c>
      <c r="HL535" s="1014">
        <v>8.6470179839999997</v>
      </c>
      <c r="KT535" s="1263"/>
    </row>
    <row r="536" spans="1:306" s="1014" customFormat="1" outlineLevel="1">
      <c r="A536" s="1259"/>
      <c r="B536" s="1259"/>
      <c r="C536" s="1259"/>
      <c r="D536" s="2102" t="s">
        <v>3575</v>
      </c>
      <c r="CP536" s="1263"/>
      <c r="DB536" s="1302"/>
      <c r="DN536" s="1263"/>
      <c r="DZ536" s="1263"/>
      <c r="EL536" s="1263"/>
      <c r="EX536" s="1263"/>
      <c r="FJ536" s="1263"/>
      <c r="HG536" s="1014">
        <v>55.139928963999999</v>
      </c>
      <c r="HH536" s="1014">
        <v>0</v>
      </c>
      <c r="HI536" s="1014">
        <v>0</v>
      </c>
      <c r="HJ536" s="1014">
        <v>0</v>
      </c>
      <c r="HK536" s="1014">
        <v>0</v>
      </c>
      <c r="HL536" s="1014">
        <v>0</v>
      </c>
      <c r="KT536" s="1263"/>
    </row>
    <row r="537" spans="1:306" s="1014" customFormat="1" outlineLevel="1">
      <c r="A537" s="1259"/>
      <c r="B537" s="1259"/>
      <c r="C537" s="1259"/>
      <c r="D537" s="2102" t="s">
        <v>3152</v>
      </c>
      <c r="CP537" s="1263"/>
      <c r="DB537" s="1302"/>
      <c r="DN537" s="1263"/>
      <c r="DZ537" s="1263"/>
      <c r="EL537" s="1263"/>
      <c r="EX537" s="1263"/>
      <c r="FJ537" s="1263"/>
      <c r="FQ537" s="1014">
        <v>0</v>
      </c>
      <c r="FR537" s="1014">
        <v>0</v>
      </c>
      <c r="FS537" s="1014">
        <v>0</v>
      </c>
      <c r="FT537" s="1014">
        <v>0</v>
      </c>
      <c r="FU537" s="1014">
        <v>0</v>
      </c>
      <c r="FV537" s="1014">
        <v>0</v>
      </c>
      <c r="FW537" s="1014">
        <v>0</v>
      </c>
      <c r="FX537" s="1014">
        <v>0</v>
      </c>
      <c r="FY537" s="1014">
        <v>0</v>
      </c>
      <c r="FZ537" s="1014">
        <v>0</v>
      </c>
      <c r="GA537" s="1014">
        <v>0</v>
      </c>
      <c r="GB537" s="1014">
        <v>0</v>
      </c>
      <c r="GC537" s="1014">
        <v>0</v>
      </c>
      <c r="GD537" s="1014">
        <v>0</v>
      </c>
      <c r="GE537" s="1014">
        <v>0</v>
      </c>
      <c r="GF537" s="1014">
        <v>0</v>
      </c>
      <c r="GG537" s="1014">
        <v>0</v>
      </c>
      <c r="GH537" s="1014">
        <v>0</v>
      </c>
      <c r="KT537" s="1263"/>
    </row>
    <row r="538" spans="1:306" s="1014" customFormat="1" outlineLevel="1">
      <c r="A538" s="1259"/>
      <c r="B538" s="1259"/>
      <c r="C538" s="1259"/>
      <c r="D538" s="2102" t="s">
        <v>3067</v>
      </c>
      <c r="CP538" s="1263"/>
      <c r="DB538" s="1302"/>
      <c r="DN538" s="1263"/>
      <c r="DZ538" s="1263"/>
      <c r="EL538" s="1263"/>
      <c r="EX538" s="1263"/>
      <c r="FJ538" s="1263"/>
      <c r="FQ538" s="1014">
        <v>0</v>
      </c>
      <c r="FR538" s="1014">
        <v>0</v>
      </c>
      <c r="FS538" s="1014">
        <v>0</v>
      </c>
      <c r="FT538" s="1014">
        <v>0</v>
      </c>
      <c r="FU538" s="1014">
        <v>0</v>
      </c>
      <c r="FV538" s="1014">
        <v>0</v>
      </c>
      <c r="FW538" s="1014">
        <v>0</v>
      </c>
      <c r="FX538" s="1014">
        <v>0</v>
      </c>
      <c r="FY538" s="1014">
        <v>0</v>
      </c>
      <c r="FZ538" s="1014">
        <v>0</v>
      </c>
      <c r="GA538" s="1014">
        <v>0</v>
      </c>
      <c r="GB538" s="1014">
        <v>0</v>
      </c>
      <c r="GC538" s="1014">
        <v>0</v>
      </c>
      <c r="GD538" s="1014">
        <v>0</v>
      </c>
      <c r="GE538" s="1014">
        <v>0</v>
      </c>
      <c r="GF538" s="1014">
        <v>0</v>
      </c>
      <c r="GG538" s="1014">
        <v>0</v>
      </c>
      <c r="GH538" s="1014">
        <v>0</v>
      </c>
      <c r="KT538" s="1263"/>
    </row>
    <row r="539" spans="1:306" s="1014" customFormat="1" outlineLevel="1">
      <c r="A539" s="1259"/>
      <c r="B539" s="1259"/>
      <c r="C539" s="1259"/>
      <c r="D539" s="2102" t="s">
        <v>3066</v>
      </c>
      <c r="CP539" s="1263"/>
      <c r="DB539" s="1302"/>
      <c r="DN539" s="1263"/>
      <c r="DZ539" s="1263"/>
      <c r="EL539" s="1263"/>
      <c r="EX539" s="1263"/>
      <c r="EY539" s="1014">
        <v>0</v>
      </c>
      <c r="EZ539" s="1014">
        <v>0</v>
      </c>
      <c r="FA539" s="1014">
        <v>0</v>
      </c>
      <c r="FB539" s="1014">
        <v>0</v>
      </c>
      <c r="FC539" s="1014">
        <v>0</v>
      </c>
      <c r="FD539" s="1014">
        <v>0</v>
      </c>
      <c r="FE539" s="1014">
        <v>0</v>
      </c>
      <c r="FF539" s="1014">
        <v>0</v>
      </c>
      <c r="FG539" s="1014">
        <v>0</v>
      </c>
      <c r="FH539" s="1014">
        <v>0</v>
      </c>
      <c r="FI539" s="1014">
        <v>0</v>
      </c>
      <c r="FJ539" s="1263">
        <v>0</v>
      </c>
      <c r="FK539" s="1014">
        <v>0</v>
      </c>
      <c r="FL539" s="1014">
        <v>0</v>
      </c>
      <c r="FM539" s="1014">
        <v>44.523780619999997</v>
      </c>
      <c r="FN539" s="1014">
        <v>0</v>
      </c>
      <c r="FO539" s="1014">
        <v>0</v>
      </c>
      <c r="FP539" s="1014">
        <v>5.2960107179999998</v>
      </c>
      <c r="FQ539" s="1014">
        <v>5</v>
      </c>
      <c r="FR539" s="1014">
        <v>0</v>
      </c>
      <c r="FS539" s="1014">
        <v>3.5096266109999998</v>
      </c>
      <c r="FT539" s="1014">
        <v>0</v>
      </c>
      <c r="FU539" s="1014">
        <v>0</v>
      </c>
      <c r="FV539" s="1014">
        <v>30.646021316999999</v>
      </c>
      <c r="FW539" s="1014">
        <v>0</v>
      </c>
      <c r="FX539" s="1014">
        <v>0</v>
      </c>
      <c r="FY539" s="1014">
        <v>0</v>
      </c>
      <c r="FZ539" s="1014">
        <v>0</v>
      </c>
      <c r="GA539" s="1014">
        <v>0</v>
      </c>
      <c r="GB539" s="1014">
        <v>0</v>
      </c>
      <c r="GC539" s="1014">
        <v>0</v>
      </c>
      <c r="GD539" s="1014">
        <v>0</v>
      </c>
      <c r="GE539" s="1014">
        <v>1.1257401499999999</v>
      </c>
      <c r="GF539" s="1014">
        <v>15.833949724</v>
      </c>
      <c r="GG539" s="1014">
        <v>0</v>
      </c>
      <c r="GH539" s="1014">
        <v>46.14361169</v>
      </c>
      <c r="GI539" s="1014">
        <v>6.0993216676299999</v>
      </c>
      <c r="GJ539" s="1014">
        <v>0</v>
      </c>
      <c r="GK539" s="1014">
        <v>50.186662006339994</v>
      </c>
      <c r="GL539" s="1014">
        <v>0</v>
      </c>
      <c r="GM539" s="1014">
        <v>0</v>
      </c>
      <c r="GN539" s="1014">
        <v>0</v>
      </c>
      <c r="GO539" s="1014">
        <v>0</v>
      </c>
      <c r="GP539" s="1014">
        <v>0</v>
      </c>
      <c r="GQ539" s="1014">
        <v>0</v>
      </c>
      <c r="GR539" s="1014">
        <v>0</v>
      </c>
      <c r="GS539" s="1014">
        <v>0</v>
      </c>
      <c r="GT539" s="1014">
        <v>0</v>
      </c>
      <c r="GU539" s="1014">
        <v>0</v>
      </c>
      <c r="GV539" s="1014">
        <v>0</v>
      </c>
      <c r="GW539" s="1014">
        <v>0</v>
      </c>
      <c r="GX539" s="1014">
        <v>3.1</v>
      </c>
      <c r="GY539" s="1014">
        <v>8.5</v>
      </c>
      <c r="GZ539" s="1014">
        <v>8.6</v>
      </c>
      <c r="HA539" s="1014">
        <v>4</v>
      </c>
      <c r="HB539" s="1014">
        <v>13.7</v>
      </c>
      <c r="HC539" s="1014">
        <v>6</v>
      </c>
      <c r="HD539" s="1014">
        <v>1</v>
      </c>
      <c r="HE539" s="1014">
        <v>1</v>
      </c>
      <c r="HF539" s="1014">
        <v>0.4</v>
      </c>
      <c r="HG539" s="1014">
        <v>0</v>
      </c>
      <c r="HH539" s="1014">
        <v>0</v>
      </c>
      <c r="HI539" s="1014">
        <v>33.791349979418996</v>
      </c>
      <c r="HJ539" s="1014">
        <v>4.2459122842379999</v>
      </c>
      <c r="HK539" s="1014">
        <v>0</v>
      </c>
      <c r="HL539" s="1014">
        <v>0</v>
      </c>
      <c r="KT539" s="1263"/>
    </row>
    <row r="540" spans="1:306" s="1014" customFormat="1" outlineLevel="1">
      <c r="A540" s="1259"/>
      <c r="B540" s="1259"/>
      <c r="C540" s="1259"/>
      <c r="D540" s="2102" t="s">
        <v>3576</v>
      </c>
      <c r="CP540" s="1263"/>
      <c r="DB540" s="1302"/>
      <c r="DN540" s="1263"/>
      <c r="DZ540" s="1263"/>
      <c r="EL540" s="1263"/>
      <c r="EX540" s="1263"/>
      <c r="FJ540" s="1263"/>
      <c r="HG540" s="1014">
        <v>0</v>
      </c>
      <c r="HH540" s="1014">
        <v>0</v>
      </c>
      <c r="HI540" s="1014">
        <v>0</v>
      </c>
      <c r="HJ540" s="1014">
        <v>-19.7</v>
      </c>
      <c r="HK540" s="1014">
        <v>0</v>
      </c>
      <c r="HL540" s="1014">
        <v>0</v>
      </c>
      <c r="KT540" s="1263"/>
    </row>
    <row r="541" spans="1:306" s="1014" customFormat="1" outlineLevel="1">
      <c r="A541" s="1259"/>
      <c r="B541" s="1259"/>
      <c r="C541" s="1259"/>
      <c r="D541" s="1014" t="s">
        <v>3062</v>
      </c>
      <c r="CP541" s="1263"/>
      <c r="DB541" s="1302"/>
      <c r="DN541" s="1263"/>
      <c r="DX541" s="1014">
        <v>-8.7790449600000002</v>
      </c>
      <c r="DY541" s="1014">
        <v>0</v>
      </c>
      <c r="DZ541" s="1263">
        <v>0</v>
      </c>
      <c r="EA541" s="1014">
        <v>0</v>
      </c>
      <c r="EB541" s="1014">
        <v>0</v>
      </c>
      <c r="EC541" s="1014">
        <v>0</v>
      </c>
      <c r="ED541" s="1014">
        <v>0</v>
      </c>
      <c r="EE541" s="1014">
        <v>0</v>
      </c>
      <c r="EF541" s="1014">
        <v>9.6253578439999998</v>
      </c>
      <c r="EG541" s="1014">
        <v>0</v>
      </c>
      <c r="EH541" s="1014">
        <v>0</v>
      </c>
      <c r="EI541" s="1014">
        <v>0</v>
      </c>
      <c r="EJ541" s="1014">
        <v>0</v>
      </c>
      <c r="EK541" s="1014">
        <v>0</v>
      </c>
      <c r="EL541" s="1263">
        <v>0</v>
      </c>
      <c r="EM541" s="1014">
        <v>0</v>
      </c>
      <c r="EN541" s="1014">
        <v>0</v>
      </c>
      <c r="EO541" s="1014">
        <v>0</v>
      </c>
      <c r="EP541" s="1014">
        <v>0</v>
      </c>
      <c r="EQ541" s="1014">
        <v>0</v>
      </c>
      <c r="ER541" s="1014">
        <v>0</v>
      </c>
      <c r="ES541" s="1014">
        <v>0</v>
      </c>
      <c r="ET541" s="1014">
        <v>0</v>
      </c>
      <c r="EU541" s="1014">
        <v>0</v>
      </c>
      <c r="EV541" s="1014">
        <v>0</v>
      </c>
      <c r="EW541" s="1014">
        <v>0</v>
      </c>
      <c r="EX541" s="1263">
        <v>0</v>
      </c>
      <c r="EY541" s="1014">
        <v>0</v>
      </c>
      <c r="EZ541" s="1014">
        <v>0</v>
      </c>
      <c r="FA541" s="1014">
        <v>0</v>
      </c>
      <c r="FB541" s="1014">
        <v>0</v>
      </c>
      <c r="FC541" s="1014">
        <v>0</v>
      </c>
      <c r="FJ541" s="1263">
        <v>10</v>
      </c>
      <c r="FK541" s="1014">
        <v>0</v>
      </c>
      <c r="FL541" s="1014">
        <v>0</v>
      </c>
      <c r="FM541" s="1014">
        <v>0</v>
      </c>
      <c r="FN541" s="1014">
        <v>4.1033333320000001</v>
      </c>
      <c r="FO541" s="1014">
        <v>0</v>
      </c>
      <c r="FP541" s="1014">
        <v>0</v>
      </c>
      <c r="FQ541" s="1014">
        <v>0</v>
      </c>
      <c r="FR541" s="1014">
        <v>2.0516666680000002</v>
      </c>
      <c r="FS541" s="1014">
        <v>0</v>
      </c>
      <c r="FT541" s="1014">
        <v>0</v>
      </c>
      <c r="FU541" s="1014">
        <v>0</v>
      </c>
      <c r="FV541" s="1014">
        <v>0</v>
      </c>
      <c r="FW541" s="1014">
        <v>2.3275000000000001</v>
      </c>
      <c r="FX541" s="1014">
        <v>0</v>
      </c>
      <c r="FY541" s="1014">
        <v>6.3560111399999997</v>
      </c>
      <c r="FZ541" s="1014">
        <v>0</v>
      </c>
      <c r="GA541" s="1014">
        <v>11.73360138</v>
      </c>
      <c r="GB541" s="1014">
        <v>5.4698415320000002</v>
      </c>
      <c r="GC541" s="1014">
        <v>0</v>
      </c>
      <c r="GD541" s="1014">
        <v>7.7682330050000008</v>
      </c>
      <c r="GE541" s="1014">
        <v>5.7562135210000003</v>
      </c>
      <c r="GF541" s="1014">
        <v>0</v>
      </c>
      <c r="GG541" s="1014">
        <v>5.7209304950000002</v>
      </c>
      <c r="GH541" s="1014">
        <v>17.315684280999999</v>
      </c>
      <c r="GI541" s="1014">
        <v>0</v>
      </c>
      <c r="GJ541" s="1014">
        <v>0.76380206699999997</v>
      </c>
      <c r="GK541" s="1014">
        <v>12.598956765000001</v>
      </c>
      <c r="GL541" s="1014">
        <v>0</v>
      </c>
      <c r="GM541" s="1014">
        <v>0.57212499999999999</v>
      </c>
      <c r="GN541" s="1014">
        <v>11.418480311</v>
      </c>
      <c r="GO541" s="1014">
        <v>0.57212499999999999</v>
      </c>
      <c r="GP541" s="1014">
        <v>0</v>
      </c>
      <c r="GQ541" s="1014">
        <v>11.580811979</v>
      </c>
      <c r="GR541" s="1014">
        <v>0.499999998</v>
      </c>
      <c r="GS541" s="1014">
        <v>0.56497730000000002</v>
      </c>
      <c r="GT541" s="1014">
        <v>10.781052481</v>
      </c>
      <c r="GU541" s="1014">
        <v>0</v>
      </c>
      <c r="GV541" s="1014">
        <v>3.5007651950000001</v>
      </c>
      <c r="GW541" s="1014">
        <v>7.4345683670000007</v>
      </c>
      <c r="GX541" s="1014">
        <v>0</v>
      </c>
      <c r="GY541" s="1014">
        <v>0.67500000000000004</v>
      </c>
      <c r="GZ541" s="1014">
        <v>6.6525046159999999</v>
      </c>
      <c r="HA541" s="1014">
        <v>0</v>
      </c>
      <c r="HB541" s="1014">
        <v>0</v>
      </c>
      <c r="HC541" s="1014">
        <v>6.1548510219999999</v>
      </c>
      <c r="HD541" s="1014">
        <v>0</v>
      </c>
      <c r="HE541" s="1014">
        <v>0.4375</v>
      </c>
      <c r="HF541" s="1014">
        <v>3.6593230000000001</v>
      </c>
      <c r="HG541" s="1014">
        <v>0.78</v>
      </c>
      <c r="HH541" s="1014">
        <v>2.6735634300000002</v>
      </c>
      <c r="HI541" s="1014">
        <v>7.1987021669999995</v>
      </c>
      <c r="HJ541" s="1014">
        <v>2.045684659</v>
      </c>
      <c r="HK541" s="1014">
        <v>1.43</v>
      </c>
      <c r="HL541" s="1014">
        <v>6.2087890010000004</v>
      </c>
      <c r="KT541" s="1263"/>
    </row>
    <row r="542" spans="1:306" s="1014" customFormat="1" outlineLevel="1">
      <c r="A542" s="1259"/>
      <c r="B542" s="1259"/>
      <c r="C542" s="1259"/>
      <c r="D542" s="2102" t="s">
        <v>3138</v>
      </c>
      <c r="CP542" s="1263"/>
      <c r="DB542" s="1302"/>
      <c r="DN542" s="1263"/>
      <c r="DZ542" s="1263"/>
      <c r="EL542" s="1263"/>
      <c r="EX542" s="1263"/>
      <c r="FJ542" s="1263"/>
      <c r="FQ542" s="1014">
        <v>0</v>
      </c>
      <c r="FR542" s="1014">
        <v>2.0516666680000002</v>
      </c>
      <c r="FS542" s="1014">
        <v>0</v>
      </c>
      <c r="FT542" s="1014">
        <v>0</v>
      </c>
      <c r="FU542" s="1014">
        <v>0</v>
      </c>
      <c r="FV542" s="1014">
        <v>0</v>
      </c>
      <c r="FW542" s="1014">
        <v>2.3275000000000001</v>
      </c>
      <c r="FX542" s="1014">
        <v>0</v>
      </c>
      <c r="FY542" s="1014">
        <v>0</v>
      </c>
      <c r="FZ542" s="1014">
        <v>0</v>
      </c>
      <c r="GA542" s="1014">
        <v>0</v>
      </c>
      <c r="GB542" s="1014">
        <v>0</v>
      </c>
      <c r="GC542" s="1014">
        <v>0</v>
      </c>
      <c r="GD542" s="1014">
        <v>2.3275000000000001</v>
      </c>
      <c r="GE542" s="1014">
        <v>0</v>
      </c>
      <c r="GF542" s="1014">
        <v>0</v>
      </c>
      <c r="GG542" s="1014">
        <v>0</v>
      </c>
      <c r="GH542" s="1014">
        <v>0</v>
      </c>
      <c r="GI542" s="1014">
        <v>0</v>
      </c>
      <c r="GJ542" s="1014">
        <v>0</v>
      </c>
      <c r="GK542" s="1014">
        <v>1.163417817</v>
      </c>
      <c r="GL542" s="1014">
        <v>0</v>
      </c>
      <c r="GM542" s="1014">
        <v>0</v>
      </c>
      <c r="GN542" s="1014">
        <v>1.163417817</v>
      </c>
      <c r="GO542" s="1014">
        <v>0</v>
      </c>
      <c r="GP542" s="1014">
        <v>0</v>
      </c>
      <c r="GQ542" s="1014">
        <v>1.163417817</v>
      </c>
      <c r="GR542" s="1014">
        <v>0</v>
      </c>
      <c r="GS542" s="1014">
        <v>0</v>
      </c>
      <c r="GT542" s="1014">
        <v>1.1634178180000001</v>
      </c>
      <c r="GU542" s="1014">
        <v>0</v>
      </c>
      <c r="GV542" s="1014">
        <v>3.5007651950000001</v>
      </c>
      <c r="GW542" s="1014">
        <v>0.875</v>
      </c>
      <c r="GX542" s="1014">
        <v>0</v>
      </c>
      <c r="GY542" s="1014">
        <v>0</v>
      </c>
      <c r="GZ542" s="1014">
        <v>0.875</v>
      </c>
      <c r="HA542" s="1014">
        <v>0</v>
      </c>
      <c r="HB542" s="1014">
        <v>0</v>
      </c>
      <c r="HC542" s="1014">
        <v>0.4375</v>
      </c>
      <c r="HD542" s="1014">
        <v>0</v>
      </c>
      <c r="HE542" s="1014">
        <v>0.4375</v>
      </c>
      <c r="HF542" s="1014">
        <v>0.875</v>
      </c>
      <c r="HG542" s="1014">
        <v>0</v>
      </c>
      <c r="HH542" s="1014">
        <v>0</v>
      </c>
      <c r="HI542" s="1014">
        <v>1.1801596280000002</v>
      </c>
      <c r="HJ542" s="1014">
        <v>0</v>
      </c>
      <c r="HK542" s="1014">
        <v>0</v>
      </c>
      <c r="HL542" s="1014">
        <v>1.4754610079999999</v>
      </c>
      <c r="KT542" s="1263"/>
    </row>
    <row r="543" spans="1:306" s="1014" customFormat="1" outlineLevel="1">
      <c r="A543" s="1259"/>
      <c r="B543" s="1259"/>
      <c r="C543" s="1259"/>
      <c r="D543" s="2102" t="s">
        <v>3137</v>
      </c>
      <c r="CP543" s="1263"/>
      <c r="DB543" s="1302"/>
      <c r="DN543" s="1263"/>
      <c r="DZ543" s="1263"/>
      <c r="EL543" s="1263"/>
      <c r="EX543" s="1263"/>
      <c r="FJ543" s="1263"/>
      <c r="FQ543" s="1014">
        <v>0</v>
      </c>
      <c r="FR543" s="1014">
        <v>0</v>
      </c>
      <c r="FS543" s="1014">
        <v>0</v>
      </c>
      <c r="FT543" s="1014">
        <v>0</v>
      </c>
      <c r="FU543" s="1014">
        <v>0</v>
      </c>
      <c r="FV543" s="1014">
        <v>0</v>
      </c>
      <c r="FW543" s="1014">
        <v>0</v>
      </c>
      <c r="FX543" s="1014">
        <v>0</v>
      </c>
      <c r="FY543" s="1014">
        <v>6.3560111399999997</v>
      </c>
      <c r="FZ543" s="1014">
        <v>0</v>
      </c>
      <c r="GA543" s="1014">
        <v>0</v>
      </c>
      <c r="GB543" s="1014">
        <v>5.4698415320000002</v>
      </c>
      <c r="GC543" s="1014">
        <v>0</v>
      </c>
      <c r="GD543" s="1014">
        <v>5.4407330050000002</v>
      </c>
      <c r="GE543" s="1014">
        <v>0</v>
      </c>
      <c r="GF543" s="1014">
        <v>0</v>
      </c>
      <c r="GG543" s="1014">
        <v>5.7209304950000002</v>
      </c>
      <c r="GH543" s="1014">
        <v>0</v>
      </c>
      <c r="GI543" s="1014">
        <v>0</v>
      </c>
      <c r="GJ543" s="1014">
        <v>0</v>
      </c>
      <c r="GK543" s="1014">
        <v>5.8165702210000001</v>
      </c>
      <c r="GL543" s="1014">
        <v>0</v>
      </c>
      <c r="GM543" s="1014">
        <v>0</v>
      </c>
      <c r="GN543" s="1014">
        <v>5.788575464</v>
      </c>
      <c r="GO543" s="1014">
        <v>0</v>
      </c>
      <c r="GP543" s="1014">
        <v>0</v>
      </c>
      <c r="GQ543" s="1014">
        <v>5.671366506</v>
      </c>
      <c r="GR543" s="1014">
        <v>0</v>
      </c>
      <c r="GS543" s="1014">
        <v>0</v>
      </c>
      <c r="GT543" s="1014">
        <v>5.7551368180000004</v>
      </c>
      <c r="GU543" s="1014">
        <v>0</v>
      </c>
      <c r="GV543" s="1014">
        <v>0</v>
      </c>
      <c r="GW543" s="1014">
        <v>5.7957663000000004</v>
      </c>
      <c r="GX543" s="1014">
        <v>0</v>
      </c>
      <c r="GY543" s="1014">
        <v>0</v>
      </c>
      <c r="GZ543" s="1014">
        <v>5.7775046159999999</v>
      </c>
      <c r="HA543" s="1014">
        <v>0</v>
      </c>
      <c r="HB543" s="1014">
        <v>0</v>
      </c>
      <c r="HC543" s="1014">
        <v>5.7173510219999999</v>
      </c>
      <c r="HD543" s="1014">
        <v>0</v>
      </c>
      <c r="HE543" s="1014">
        <v>0</v>
      </c>
      <c r="HF543" s="1014">
        <v>2.3843230000000002</v>
      </c>
      <c r="HG543" s="1014">
        <v>0</v>
      </c>
      <c r="HH543" s="1014">
        <v>0</v>
      </c>
      <c r="HI543" s="1014">
        <v>3.9191401799999999</v>
      </c>
      <c r="HJ543" s="1014">
        <v>0.57212499999999999</v>
      </c>
      <c r="HK543" s="1014">
        <v>0</v>
      </c>
      <c r="HL543" s="1014">
        <v>4.4588274410000004</v>
      </c>
      <c r="KT543" s="1263"/>
    </row>
    <row r="544" spans="1:306" s="1014" customFormat="1" outlineLevel="1">
      <c r="A544" s="1259"/>
      <c r="B544" s="1259"/>
      <c r="C544" s="1259"/>
      <c r="D544" s="2102" t="s">
        <v>3183</v>
      </c>
      <c r="CP544" s="1263"/>
      <c r="DB544" s="1302"/>
      <c r="DN544" s="1263"/>
      <c r="DZ544" s="1263"/>
      <c r="EL544" s="1263"/>
      <c r="EX544" s="1263"/>
      <c r="FJ544" s="1263"/>
      <c r="FQ544" s="1014">
        <v>0</v>
      </c>
      <c r="FR544" s="1014">
        <v>0</v>
      </c>
      <c r="FS544" s="1014">
        <v>0</v>
      </c>
      <c r="FT544" s="1014">
        <v>0</v>
      </c>
      <c r="FU544" s="1014">
        <v>0</v>
      </c>
      <c r="FV544" s="1014">
        <v>0</v>
      </c>
      <c r="FW544" s="1014">
        <v>0</v>
      </c>
      <c r="FX544" s="1014">
        <v>0</v>
      </c>
      <c r="FY544" s="1014">
        <v>10.73360138</v>
      </c>
      <c r="FZ544" s="1014">
        <v>0</v>
      </c>
      <c r="GA544" s="1014">
        <v>0</v>
      </c>
      <c r="GB544" s="1014">
        <v>1</v>
      </c>
      <c r="GC544" s="1014">
        <v>0</v>
      </c>
      <c r="GD544" s="1014">
        <v>0</v>
      </c>
      <c r="GE544" s="1014">
        <v>5.7562135210000003</v>
      </c>
      <c r="GF544" s="1014">
        <v>0</v>
      </c>
      <c r="GG544" s="1014">
        <v>0</v>
      </c>
      <c r="GH544" s="1014">
        <v>17.315684280999999</v>
      </c>
      <c r="GI544" s="1014">
        <v>0</v>
      </c>
      <c r="GJ544" s="1014">
        <v>0.76380206699999997</v>
      </c>
      <c r="GK544" s="1014">
        <v>5.6189687270000004</v>
      </c>
      <c r="GL544" s="1014">
        <v>0</v>
      </c>
      <c r="GM544" s="1014">
        <v>0.57212499999999999</v>
      </c>
      <c r="GN544" s="1014">
        <v>4.4664870299999997</v>
      </c>
      <c r="GO544" s="1014">
        <v>0.57212499999999999</v>
      </c>
      <c r="GP544" s="1014">
        <v>0</v>
      </c>
      <c r="GQ544" s="1014">
        <v>4.7460276559999999</v>
      </c>
      <c r="GR544" s="1014">
        <v>0.499999998</v>
      </c>
      <c r="GS544" s="1014">
        <v>0.56497730000000002</v>
      </c>
      <c r="GT544" s="1014">
        <v>3.862497845</v>
      </c>
      <c r="GU544" s="1014">
        <v>0</v>
      </c>
      <c r="GV544" s="1014">
        <v>0</v>
      </c>
      <c r="GW544" s="1014">
        <v>0.76380206699999997</v>
      </c>
      <c r="GX544" s="1014">
        <v>0</v>
      </c>
      <c r="GY544" s="1014">
        <v>0.67500000000000004</v>
      </c>
      <c r="GZ544" s="1014">
        <v>0</v>
      </c>
      <c r="HA544" s="1014">
        <v>0</v>
      </c>
      <c r="HB544" s="1014">
        <v>0</v>
      </c>
      <c r="HC544" s="1014">
        <v>0</v>
      </c>
      <c r="HD544" s="1014">
        <v>0</v>
      </c>
      <c r="HE544" s="1014">
        <v>0</v>
      </c>
      <c r="HF544" s="1014">
        <v>0.4</v>
      </c>
      <c r="HG544" s="1014">
        <v>0.78</v>
      </c>
      <c r="HH544" s="1014">
        <v>2.6735634300000002</v>
      </c>
      <c r="HI544" s="1014">
        <v>2.0994023589999999</v>
      </c>
      <c r="HJ544" s="1014">
        <v>1.473559659</v>
      </c>
      <c r="HK544" s="1014">
        <v>1.43</v>
      </c>
      <c r="HL544" s="1014">
        <v>0.27450055200000012</v>
      </c>
      <c r="KT544" s="1263"/>
    </row>
    <row r="545" spans="2:314">
      <c r="CP545" s="280"/>
      <c r="DZ545" s="1263"/>
      <c r="EA545" s="1014"/>
      <c r="EB545" s="279"/>
      <c r="EC545" s="279"/>
      <c r="ED545" s="279"/>
      <c r="EE545" s="279"/>
      <c r="EF545" s="279"/>
      <c r="EG545" s="279"/>
      <c r="EH545" s="279"/>
      <c r="EI545" s="279"/>
      <c r="EJ545" s="279"/>
      <c r="EK545" s="279"/>
      <c r="EL545" s="280"/>
      <c r="EM545" s="279"/>
      <c r="EN545" s="279"/>
      <c r="EO545" s="279"/>
      <c r="EP545" s="279"/>
      <c r="EQ545" s="279"/>
      <c r="ER545" s="279"/>
      <c r="ES545" s="279"/>
      <c r="ET545" s="279"/>
      <c r="EU545" s="279"/>
      <c r="EV545" s="279"/>
      <c r="EW545" s="279"/>
      <c r="EX545" s="280"/>
      <c r="EY545" s="279"/>
      <c r="EZ545" s="279"/>
      <c r="FA545" s="279"/>
      <c r="FB545" s="279"/>
      <c r="FC545" s="279"/>
      <c r="FD545" s="279"/>
      <c r="FE545" s="279"/>
      <c r="FF545" s="279"/>
      <c r="FG545" s="279"/>
      <c r="FH545" s="279"/>
      <c r="FI545" s="279"/>
      <c r="FJ545" s="280"/>
      <c r="FK545" s="279"/>
      <c r="FL545" s="279"/>
      <c r="FM545" s="279"/>
      <c r="FN545" s="279"/>
      <c r="FO545" s="279"/>
      <c r="FP545" s="279"/>
      <c r="FQ545" s="279"/>
      <c r="FR545" s="279"/>
      <c r="FS545" s="279"/>
      <c r="FT545" s="279"/>
      <c r="FU545" s="279"/>
      <c r="FV545" s="279"/>
      <c r="FW545" s="279"/>
      <c r="FX545" s="279"/>
      <c r="FY545" s="279"/>
      <c r="FZ545" s="279"/>
      <c r="GA545" s="279"/>
      <c r="GB545" s="279"/>
      <c r="GC545" s="279"/>
      <c r="GD545" s="279"/>
      <c r="GE545" s="279"/>
      <c r="GF545" s="279"/>
      <c r="GG545" s="279"/>
      <c r="GH545" s="279"/>
      <c r="GI545" s="279"/>
      <c r="GJ545" s="279"/>
      <c r="GK545" s="279"/>
      <c r="GL545" s="279"/>
      <c r="GM545" s="279"/>
      <c r="GN545" s="279"/>
      <c r="GO545" s="279"/>
      <c r="GP545" s="279"/>
      <c r="GQ545" s="279"/>
      <c r="GR545" s="279"/>
      <c r="GS545" s="279"/>
      <c r="GT545" s="279"/>
      <c r="GU545" s="279"/>
      <c r="GV545" s="279"/>
      <c r="GW545" s="279"/>
      <c r="GX545" s="279"/>
      <c r="GY545" s="279"/>
      <c r="GZ545" s="279"/>
      <c r="HA545" s="279"/>
      <c r="HB545" s="279"/>
      <c r="HC545" s="279"/>
      <c r="HD545" s="279"/>
      <c r="HE545" s="279"/>
      <c r="HF545" s="279"/>
      <c r="HG545" s="279"/>
      <c r="HH545" s="279"/>
      <c r="HI545" s="279"/>
      <c r="HJ545" s="279"/>
      <c r="HK545" s="279"/>
      <c r="HL545" s="279"/>
      <c r="HM545" s="279"/>
      <c r="HN545" s="279"/>
      <c r="HO545" s="279"/>
      <c r="HP545" s="279"/>
      <c r="HQ545" s="279"/>
      <c r="HR545" s="279"/>
      <c r="HS545" s="279"/>
      <c r="HT545" s="279"/>
      <c r="HU545" s="279"/>
      <c r="HV545" s="279"/>
      <c r="HW545" s="279"/>
      <c r="HX545" s="279"/>
      <c r="HY545" s="279"/>
      <c r="ID545" s="562"/>
      <c r="IG545" s="562"/>
      <c r="IH545" s="562"/>
      <c r="IJ545" s="562" t="s">
        <v>802</v>
      </c>
      <c r="IM545" s="562" t="s">
        <v>802</v>
      </c>
      <c r="IP545" s="562" t="s">
        <v>785</v>
      </c>
      <c r="IS545" s="562" t="s">
        <v>785</v>
      </c>
      <c r="IV545" s="562" t="s">
        <v>785</v>
      </c>
      <c r="KT545" s="689"/>
    </row>
    <row r="546" spans="2:314" hidden="1">
      <c r="D546" s="96" t="s">
        <v>969</v>
      </c>
      <c r="CP546" s="280"/>
      <c r="DN546" s="625"/>
      <c r="DO546" s="878"/>
      <c r="EA546" s="279"/>
      <c r="EB546" s="279"/>
      <c r="EC546" s="279"/>
      <c r="ED546" s="279"/>
      <c r="EE546" s="279"/>
      <c r="EF546" s="279"/>
      <c r="EG546" s="279"/>
      <c r="EH546" s="279"/>
      <c r="EI546" s="279"/>
      <c r="EJ546" s="279"/>
      <c r="EK546" s="279"/>
      <c r="EL546" s="280"/>
      <c r="EM546" s="279"/>
      <c r="EN546" s="279"/>
      <c r="EO546" s="279"/>
      <c r="EP546" s="279"/>
      <c r="EQ546" s="279"/>
      <c r="ER546" s="279"/>
      <c r="ES546" s="279"/>
      <c r="ET546" s="279"/>
      <c r="EU546" s="279"/>
      <c r="EV546" s="279"/>
      <c r="EW546" s="279"/>
      <c r="EX546" s="280"/>
      <c r="EY546" s="279"/>
      <c r="EZ546" s="279"/>
      <c r="FA546" s="279"/>
      <c r="FB546" s="279"/>
      <c r="FC546" s="279"/>
      <c r="FD546" s="279"/>
      <c r="FE546" s="279"/>
      <c r="FF546" s="279"/>
      <c r="FG546" s="279"/>
      <c r="FH546" s="279"/>
      <c r="FI546" s="279"/>
      <c r="FJ546" s="280"/>
      <c r="FK546" s="279"/>
      <c r="FL546" s="279"/>
      <c r="FM546" s="279"/>
      <c r="FN546" s="279"/>
      <c r="FO546" s="279"/>
      <c r="FP546" s="279"/>
      <c r="FQ546" s="279"/>
      <c r="FR546" s="279"/>
      <c r="FS546" s="279"/>
      <c r="FT546" s="279"/>
      <c r="FU546" s="279"/>
      <c r="FV546" s="279"/>
      <c r="FW546" s="279"/>
      <c r="FX546" s="279"/>
      <c r="FY546" s="279"/>
      <c r="FZ546" s="279"/>
      <c r="GA546" s="279"/>
      <c r="GB546" s="279"/>
      <c r="GC546" s="279"/>
      <c r="GD546" s="279"/>
      <c r="GE546" s="279"/>
      <c r="GF546" s="279"/>
      <c r="GG546" s="279"/>
      <c r="GH546" s="279"/>
      <c r="GI546" s="279"/>
      <c r="GJ546" s="279"/>
      <c r="GK546" s="279"/>
      <c r="GL546" s="279"/>
      <c r="GM546" s="279"/>
      <c r="GN546" s="279"/>
      <c r="GO546" s="279"/>
      <c r="GP546" s="279"/>
      <c r="GQ546" s="279"/>
      <c r="GR546" s="279"/>
      <c r="GS546" s="279"/>
      <c r="GT546" s="279"/>
      <c r="GU546" s="279"/>
      <c r="GV546" s="279"/>
      <c r="GW546" s="279"/>
      <c r="GX546" s="279"/>
      <c r="GY546" s="279"/>
      <c r="GZ546" s="279"/>
      <c r="HA546" s="279"/>
      <c r="HB546" s="279"/>
      <c r="HC546" s="279"/>
      <c r="HD546" s="279"/>
      <c r="HE546" s="279"/>
      <c r="HF546" s="279"/>
      <c r="HG546" s="279"/>
      <c r="HH546" s="279"/>
      <c r="HI546" s="279"/>
      <c r="HJ546" s="279"/>
      <c r="HK546" s="279"/>
      <c r="HL546" s="279"/>
      <c r="HM546" s="279"/>
      <c r="HN546" s="279"/>
      <c r="HO546" s="279"/>
      <c r="HP546" s="279"/>
      <c r="HQ546" s="279"/>
      <c r="HR546" s="279"/>
      <c r="HS546" s="279"/>
      <c r="HT546" s="279"/>
      <c r="HU546" s="279"/>
      <c r="HV546" s="279"/>
      <c r="HW546" s="279"/>
      <c r="HX546" s="279"/>
      <c r="HY546" s="279"/>
      <c r="ID546" s="443">
        <f t="shared" ref="ID546:IU546" si="263">+ID1</f>
        <v>2015</v>
      </c>
      <c r="IE546" s="443">
        <f t="shared" si="263"/>
        <v>2014</v>
      </c>
      <c r="IF546" s="443">
        <f t="shared" si="263"/>
        <v>2015</v>
      </c>
      <c r="IG546" s="443">
        <f t="shared" si="263"/>
        <v>2015</v>
      </c>
      <c r="IH546" s="443">
        <f t="shared" si="263"/>
        <v>2015</v>
      </c>
      <c r="II546" s="443">
        <f t="shared" si="263"/>
        <v>2016</v>
      </c>
      <c r="IJ546" s="443">
        <f t="shared" si="263"/>
        <v>2016</v>
      </c>
      <c r="IK546" s="443">
        <f t="shared" si="263"/>
        <v>2016</v>
      </c>
      <c r="IL546" s="443">
        <f t="shared" si="263"/>
        <v>2017</v>
      </c>
      <c r="IM546" s="443">
        <f t="shared" si="263"/>
        <v>2017</v>
      </c>
      <c r="IN546" s="443">
        <f t="shared" si="263"/>
        <v>2017</v>
      </c>
      <c r="IO546" s="443">
        <f t="shared" si="263"/>
        <v>2018</v>
      </c>
      <c r="IP546" s="443">
        <f t="shared" si="263"/>
        <v>2018</v>
      </c>
      <c r="IQ546" s="443">
        <f t="shared" si="263"/>
        <v>2018</v>
      </c>
      <c r="IR546" s="443">
        <f t="shared" si="263"/>
        <v>2019</v>
      </c>
      <c r="IS546" s="443">
        <f t="shared" si="263"/>
        <v>2019</v>
      </c>
      <c r="IT546" s="443">
        <f t="shared" si="263"/>
        <v>2019</v>
      </c>
      <c r="IU546" s="443">
        <f t="shared" si="263"/>
        <v>2020</v>
      </c>
      <c r="IV546" s="443">
        <f>+IW1</f>
        <v>2020</v>
      </c>
      <c r="IW546" s="443">
        <f t="shared" ref="IW546:JZ546" si="264">+IW1</f>
        <v>2020</v>
      </c>
      <c r="IX546" s="443">
        <f t="shared" si="264"/>
        <v>2021</v>
      </c>
      <c r="IY546" s="443">
        <f t="shared" si="264"/>
        <v>0</v>
      </c>
      <c r="IZ546" s="443">
        <f t="shared" si="264"/>
        <v>2021</v>
      </c>
      <c r="JA546" s="443">
        <f t="shared" si="264"/>
        <v>2022</v>
      </c>
      <c r="JB546" s="443">
        <f t="shared" si="264"/>
        <v>0</v>
      </c>
      <c r="JC546" s="443">
        <f t="shared" si="264"/>
        <v>2022</v>
      </c>
      <c r="JD546" s="443">
        <f t="shared" si="264"/>
        <v>2023</v>
      </c>
      <c r="JE546" s="443">
        <f t="shared" si="264"/>
        <v>0</v>
      </c>
      <c r="JF546" s="443">
        <f t="shared" si="264"/>
        <v>2023</v>
      </c>
      <c r="JG546" s="443">
        <f t="shared" si="264"/>
        <v>2024</v>
      </c>
      <c r="JH546" s="443">
        <f t="shared" si="264"/>
        <v>0</v>
      </c>
      <c r="JI546" s="443">
        <f t="shared" si="264"/>
        <v>2024</v>
      </c>
      <c r="JJ546" s="443">
        <f t="shared" si="264"/>
        <v>2025</v>
      </c>
      <c r="JK546" s="443">
        <f t="shared" si="264"/>
        <v>0</v>
      </c>
      <c r="JL546" s="443">
        <f t="shared" si="264"/>
        <v>2025</v>
      </c>
      <c r="JM546" s="443">
        <f t="shared" si="264"/>
        <v>2026</v>
      </c>
      <c r="JN546" s="443">
        <f t="shared" si="264"/>
        <v>0</v>
      </c>
      <c r="JO546" s="443">
        <f t="shared" si="264"/>
        <v>2026</v>
      </c>
      <c r="JP546" s="443">
        <f t="shared" si="264"/>
        <v>2027</v>
      </c>
      <c r="JQ546" s="443">
        <f t="shared" si="264"/>
        <v>0</v>
      </c>
      <c r="JR546" s="443">
        <f t="shared" si="264"/>
        <v>2027</v>
      </c>
      <c r="JS546" s="443">
        <f t="shared" si="264"/>
        <v>2028</v>
      </c>
      <c r="JT546" s="443">
        <f t="shared" si="264"/>
        <v>0</v>
      </c>
      <c r="JU546" s="443">
        <f t="shared" si="264"/>
        <v>2028</v>
      </c>
      <c r="JV546" s="443">
        <f t="shared" si="264"/>
        <v>2029</v>
      </c>
      <c r="JW546" s="443">
        <f t="shared" si="264"/>
        <v>0</v>
      </c>
      <c r="JX546" s="443">
        <f t="shared" si="264"/>
        <v>2029</v>
      </c>
      <c r="JY546" s="443">
        <f t="shared" si="264"/>
        <v>2030</v>
      </c>
      <c r="JZ546" s="443">
        <f t="shared" si="264"/>
        <v>0</v>
      </c>
      <c r="KA546" s="443">
        <f t="shared" ref="KA546:KI546" si="265">+KA1</f>
        <v>2030</v>
      </c>
      <c r="KB546" s="443">
        <f t="shared" si="265"/>
        <v>2031</v>
      </c>
      <c r="KC546" s="443">
        <f t="shared" si="265"/>
        <v>0</v>
      </c>
      <c r="KD546" s="443">
        <f t="shared" si="265"/>
        <v>2031</v>
      </c>
      <c r="KE546" s="443">
        <f t="shared" si="265"/>
        <v>2032</v>
      </c>
      <c r="KF546" s="443">
        <f t="shared" si="265"/>
        <v>0</v>
      </c>
      <c r="KG546" s="443">
        <f t="shared" si="265"/>
        <v>2032</v>
      </c>
      <c r="KH546" s="443">
        <f t="shared" si="265"/>
        <v>2033</v>
      </c>
      <c r="KI546" s="443">
        <f t="shared" si="265"/>
        <v>0</v>
      </c>
      <c r="KJ546" s="443">
        <f t="shared" ref="KJ546:KO546" si="266">+KJ1</f>
        <v>2033</v>
      </c>
      <c r="KK546" s="443">
        <f t="shared" si="266"/>
        <v>2034</v>
      </c>
      <c r="KL546" s="443">
        <f t="shared" si="266"/>
        <v>0</v>
      </c>
      <c r="KM546" s="443">
        <f t="shared" si="266"/>
        <v>2034</v>
      </c>
      <c r="KN546" s="443">
        <f t="shared" si="266"/>
        <v>2035</v>
      </c>
      <c r="KO546" s="443">
        <f t="shared" si="266"/>
        <v>0</v>
      </c>
      <c r="KP546" s="443"/>
      <c r="KQ546" s="443"/>
      <c r="KR546" s="443"/>
      <c r="KS546" s="443"/>
      <c r="KT546" s="443"/>
    </row>
    <row r="547" spans="2:314" hidden="1">
      <c r="D547" s="823" t="s">
        <v>622</v>
      </c>
      <c r="E547" s="824"/>
      <c r="F547" s="824"/>
      <c r="G547" s="824"/>
      <c r="H547" s="824"/>
      <c r="I547" s="824"/>
      <c r="J547" s="824"/>
      <c r="K547" s="824"/>
      <c r="L547" s="824"/>
      <c r="M547" s="824"/>
      <c r="N547" s="824"/>
      <c r="O547" s="824"/>
      <c r="P547" s="824"/>
      <c r="Q547" s="824"/>
      <c r="R547" s="824"/>
      <c r="S547" s="824"/>
      <c r="T547" s="824"/>
      <c r="U547" s="824"/>
      <c r="V547" s="824"/>
      <c r="W547" s="824"/>
      <c r="X547" s="824"/>
      <c r="Y547" s="824"/>
      <c r="Z547" s="824"/>
      <c r="AA547" s="824"/>
      <c r="AB547" s="824"/>
      <c r="AC547" s="824"/>
      <c r="AD547" s="824"/>
      <c r="AE547" s="824"/>
      <c r="AF547" s="824"/>
      <c r="AG547" s="824"/>
      <c r="AH547" s="824"/>
      <c r="AI547" s="824"/>
      <c r="AJ547" s="824"/>
      <c r="AK547" s="824"/>
      <c r="AL547" s="824"/>
      <c r="AM547" s="824"/>
      <c r="AN547" s="824"/>
      <c r="AO547" s="824"/>
      <c r="AP547" s="824"/>
      <c r="AQ547" s="824"/>
      <c r="AR547" s="824"/>
      <c r="AS547" s="824"/>
      <c r="AT547" s="824"/>
      <c r="AU547" s="824"/>
      <c r="AV547" s="824"/>
      <c r="AW547" s="824"/>
      <c r="AX547" s="824"/>
      <c r="AY547" s="824"/>
      <c r="AZ547" s="824"/>
      <c r="BA547" s="824"/>
      <c r="BB547" s="824"/>
      <c r="BC547" s="824"/>
      <c r="BD547" s="824"/>
      <c r="BE547" s="824"/>
      <c r="BF547" s="824"/>
      <c r="BG547" s="824"/>
      <c r="BH547" s="824"/>
      <c r="BI547" s="824"/>
      <c r="BJ547" s="824"/>
      <c r="BK547" s="824"/>
      <c r="BL547" s="824"/>
      <c r="BM547" s="824"/>
      <c r="BN547" s="824"/>
      <c r="BO547" s="824"/>
      <c r="BP547" s="824"/>
      <c r="BQ547" s="824"/>
      <c r="BR547" s="824"/>
      <c r="BS547" s="824"/>
      <c r="BT547" s="824"/>
      <c r="BU547" s="824"/>
      <c r="BV547" s="824"/>
      <c r="BW547" s="824"/>
      <c r="BX547" s="824"/>
      <c r="BY547" s="824"/>
      <c r="BZ547" s="824"/>
      <c r="CA547" s="824"/>
      <c r="CB547" s="824"/>
      <c r="CC547" s="824"/>
      <c r="CD547" s="824"/>
      <c r="CE547" s="824"/>
      <c r="CF547" s="824"/>
      <c r="CG547" s="824"/>
      <c r="CH547" s="824"/>
      <c r="CI547" s="824"/>
      <c r="CJ547" s="824"/>
      <c r="CK547" s="824"/>
      <c r="CL547" s="824"/>
      <c r="CM547" s="824"/>
      <c r="CN547" s="824"/>
      <c r="CO547" s="824"/>
      <c r="CP547" s="1281"/>
      <c r="CQ547" s="824"/>
      <c r="CR547" s="824"/>
      <c r="CS547" s="824"/>
      <c r="CT547" s="824"/>
      <c r="CU547" s="824"/>
      <c r="CV547" s="824"/>
      <c r="CW547" s="824"/>
      <c r="CX547" s="824"/>
      <c r="CY547" s="824"/>
      <c r="CZ547" s="824"/>
      <c r="DA547" s="824"/>
      <c r="DB547" s="1303"/>
      <c r="DC547" s="824"/>
      <c r="DD547" s="824"/>
      <c r="DE547" s="824"/>
      <c r="DF547" s="824"/>
      <c r="DG547" s="824"/>
      <c r="DH547" s="824"/>
      <c r="DI547" s="824"/>
      <c r="DJ547" s="824"/>
      <c r="DK547" s="824"/>
      <c r="DL547" s="824"/>
      <c r="DM547" s="824"/>
      <c r="DN547" s="879"/>
      <c r="DO547" s="880"/>
      <c r="DP547" s="824"/>
      <c r="DQ547" s="824"/>
      <c r="DR547" s="824"/>
      <c r="DS547" s="824"/>
      <c r="DT547" s="824"/>
      <c r="DU547" s="824"/>
      <c r="DV547" s="824"/>
      <c r="DW547" s="824"/>
      <c r="DX547" s="824"/>
      <c r="DY547" s="824"/>
      <c r="DZ547" s="625"/>
      <c r="EA547" s="878"/>
      <c r="EB547" s="824"/>
      <c r="EC547" s="824"/>
      <c r="ED547" s="824"/>
      <c r="EE547" s="824"/>
      <c r="EF547" s="824"/>
      <c r="EG547" s="824"/>
      <c r="EH547" s="824"/>
      <c r="EI547" s="824"/>
      <c r="EJ547" s="824"/>
      <c r="EK547" s="824"/>
      <c r="EL547" s="1281"/>
      <c r="EM547" s="824"/>
      <c r="EN547" s="824"/>
      <c r="EO547" s="824"/>
      <c r="EP547" s="824"/>
      <c r="EQ547" s="824"/>
      <c r="ER547" s="824"/>
      <c r="ES547" s="824"/>
      <c r="ET547" s="824"/>
      <c r="EU547" s="824"/>
      <c r="EV547" s="824"/>
      <c r="EW547" s="824"/>
      <c r="EX547" s="1281"/>
      <c r="EY547" s="824"/>
      <c r="EZ547" s="824"/>
      <c r="FA547" s="824"/>
      <c r="FB547" s="824"/>
      <c r="FC547" s="824"/>
      <c r="FD547" s="824"/>
      <c r="FE547" s="824"/>
      <c r="FF547" s="824"/>
      <c r="FG547" s="824"/>
      <c r="FH547" s="824"/>
      <c r="FI547" s="824"/>
      <c r="FJ547" s="1281"/>
      <c r="FK547" s="824"/>
      <c r="FL547" s="824"/>
      <c r="FM547" s="824"/>
      <c r="FN547" s="824"/>
      <c r="FO547" s="824"/>
      <c r="FP547" s="824"/>
      <c r="FQ547" s="824"/>
      <c r="FR547" s="824"/>
      <c r="FS547" s="824"/>
      <c r="FT547" s="824"/>
      <c r="FU547" s="824"/>
      <c r="FV547" s="824"/>
      <c r="FW547" s="824"/>
      <c r="FX547" s="824"/>
      <c r="FY547" s="824"/>
      <c r="FZ547" s="824"/>
      <c r="GA547" s="824"/>
      <c r="GB547" s="824"/>
      <c r="GC547" s="824"/>
      <c r="GD547" s="824"/>
      <c r="GE547" s="824"/>
      <c r="GF547" s="824"/>
      <c r="GG547" s="824"/>
      <c r="GH547" s="824"/>
      <c r="GI547" s="824"/>
      <c r="GJ547" s="824"/>
      <c r="GK547" s="824"/>
      <c r="GL547" s="824"/>
      <c r="GM547" s="824"/>
      <c r="GN547" s="824"/>
      <c r="GO547" s="824"/>
      <c r="GP547" s="824"/>
      <c r="GQ547" s="824"/>
      <c r="GR547" s="824"/>
      <c r="GS547" s="824"/>
      <c r="GT547" s="824"/>
      <c r="GU547" s="824"/>
      <c r="GV547" s="824"/>
      <c r="GW547" s="824"/>
      <c r="GX547" s="824"/>
      <c r="GY547" s="824"/>
      <c r="GZ547" s="824"/>
      <c r="HA547" s="824"/>
      <c r="HB547" s="824"/>
      <c r="HC547" s="824"/>
      <c r="HD547" s="824"/>
      <c r="HE547" s="824"/>
      <c r="HF547" s="824"/>
      <c r="HG547" s="824"/>
      <c r="HH547" s="824"/>
      <c r="HI547" s="824"/>
      <c r="HJ547" s="824"/>
      <c r="HK547" s="824"/>
      <c r="HL547" s="824"/>
      <c r="HM547" s="2726"/>
      <c r="HN547" s="2726"/>
      <c r="HO547" s="2726"/>
      <c r="HP547" s="2726"/>
      <c r="HQ547" s="2726"/>
      <c r="HR547" s="2726"/>
      <c r="HS547" s="2726"/>
      <c r="HT547" s="2726"/>
      <c r="HU547" s="2726"/>
      <c r="HV547" s="2726"/>
      <c r="HW547" s="2726"/>
      <c r="HX547" s="2726"/>
      <c r="HY547" s="824"/>
      <c r="HZ547" s="289"/>
      <c r="IA547" s="3160" t="s">
        <v>1120</v>
      </c>
      <c r="IB547" s="1380"/>
      <c r="IC547" s="1380"/>
      <c r="ID547" s="885" t="str">
        <f>+ID2</f>
        <v>2013/14</v>
      </c>
      <c r="IE547" s="885"/>
      <c r="IF547" s="885"/>
      <c r="IG547" s="885" t="str">
        <f>+IG2</f>
        <v>2014/15</v>
      </c>
      <c r="IH547" s="885"/>
      <c r="II547" s="885"/>
      <c r="IJ547" s="444" t="str">
        <f>+IJ2</f>
        <v>2015/16</v>
      </c>
      <c r="IK547" s="444"/>
      <c r="IL547" s="444"/>
      <c r="IM547" s="444" t="str">
        <f>+IM2</f>
        <v>2016/17</v>
      </c>
      <c r="IN547" s="952"/>
      <c r="IO547" s="444"/>
      <c r="IP547" s="444" t="str">
        <f>+IP2</f>
        <v>2017/18</v>
      </c>
      <c r="IQ547" s="952"/>
      <c r="IR547" s="444"/>
      <c r="IS547" s="444" t="str">
        <f>+IS2</f>
        <v>2018/19</v>
      </c>
      <c r="IT547" s="952"/>
      <c r="IU547" s="444"/>
      <c r="IV547" s="444" t="str">
        <f>+IV2</f>
        <v>2019/20</v>
      </c>
      <c r="IW547" s="952"/>
      <c r="IX547" s="444"/>
      <c r="IY547" s="444" t="str">
        <f>+KT2</f>
        <v>2020/2021</v>
      </c>
      <c r="IZ547" s="952"/>
      <c r="JA547" s="444"/>
      <c r="JB547" s="437" t="str">
        <f>+JB2</f>
        <v>2021/2022</v>
      </c>
      <c r="JC547" s="952"/>
      <c r="JD547" s="444"/>
      <c r="JE547" s="437" t="str">
        <f>+JE2</f>
        <v>2022/2023</v>
      </c>
      <c r="JF547" s="952"/>
      <c r="JG547" s="444"/>
      <c r="JH547" s="437" t="str">
        <f>+JH2</f>
        <v>2023/2024</v>
      </c>
      <c r="JI547" s="952"/>
      <c r="JJ547" s="444"/>
      <c r="JK547" s="437" t="str">
        <f>+JK2</f>
        <v>2024/2025</v>
      </c>
      <c r="JL547" s="952"/>
      <c r="JM547" s="444"/>
      <c r="JN547" s="437" t="str">
        <f>+JN2</f>
        <v>2025/2026</v>
      </c>
      <c r="JO547" s="952"/>
      <c r="JP547" s="444"/>
      <c r="JQ547" s="437" t="str">
        <f>+JQ2</f>
        <v>2026/2027</v>
      </c>
      <c r="JR547" s="952"/>
      <c r="JS547" s="444"/>
      <c r="JT547" s="437" t="str">
        <f>+JT2</f>
        <v>2027/2028</v>
      </c>
      <c r="JU547" s="952"/>
      <c r="JV547" s="444"/>
      <c r="JW547" s="437" t="str">
        <f>+JW2</f>
        <v>2028/2029</v>
      </c>
      <c r="JX547" s="952"/>
      <c r="JY547" s="444"/>
      <c r="JZ547" s="437" t="str">
        <f>+JZ2</f>
        <v>2029/2030</v>
      </c>
      <c r="KA547" s="952"/>
      <c r="KB547" s="444"/>
      <c r="KC547" s="437" t="str">
        <f>+KC2</f>
        <v>2030/2031</v>
      </c>
      <c r="KD547" s="952"/>
      <c r="KE547" s="444"/>
      <c r="KF547" s="437" t="str">
        <f>+KF2</f>
        <v>2031/2032</v>
      </c>
      <c r="KG547" s="952"/>
      <c r="KH547" s="444"/>
      <c r="KI547" s="437" t="str">
        <f>+KI2</f>
        <v>2032/2033</v>
      </c>
      <c r="KJ547" s="952"/>
      <c r="KK547" s="444"/>
      <c r="KL547" s="437" t="str">
        <f>+KL2</f>
        <v>2033/2034</v>
      </c>
      <c r="KM547" s="952"/>
      <c r="KN547" s="444"/>
      <c r="KO547" s="437" t="str">
        <f>+KO2</f>
        <v>2034/2035</v>
      </c>
      <c r="KP547" s="952"/>
      <c r="KQ547" s="444"/>
      <c r="KR547" s="444"/>
      <c r="KS547" s="952"/>
      <c r="KT547" s="444"/>
      <c r="LA547" s="276">
        <f t="shared" ref="LA547:LB549" si="267">+LA1</f>
        <v>2018</v>
      </c>
      <c r="LB547" s="276">
        <f t="shared" si="267"/>
        <v>2018</v>
      </c>
    </row>
    <row r="548" spans="2:314" hidden="1">
      <c r="D548" s="328"/>
      <c r="E548" s="825"/>
      <c r="F548" s="825"/>
      <c r="G548" s="825"/>
      <c r="H548" s="825"/>
      <c r="I548" s="825"/>
      <c r="J548" s="825"/>
      <c r="K548" s="825"/>
      <c r="L548" s="825"/>
      <c r="M548" s="825"/>
      <c r="N548" s="825"/>
      <c r="O548" s="825"/>
      <c r="P548" s="825"/>
      <c r="Q548" s="825"/>
      <c r="R548" s="825"/>
      <c r="S548" s="825"/>
      <c r="T548" s="825"/>
      <c r="U548" s="825"/>
      <c r="V548" s="825"/>
      <c r="W548" s="825"/>
      <c r="X548" s="825"/>
      <c r="Y548" s="825"/>
      <c r="Z548" s="825"/>
      <c r="AA548" s="825"/>
      <c r="AB548" s="825"/>
      <c r="AC548" s="825"/>
      <c r="AD548" s="825"/>
      <c r="AE548" s="825"/>
      <c r="AF548" s="825"/>
      <c r="AG548" s="825"/>
      <c r="AH548" s="825"/>
      <c r="AI548" s="825"/>
      <c r="AJ548" s="825"/>
      <c r="AK548" s="825"/>
      <c r="AL548" s="825"/>
      <c r="AM548" s="825"/>
      <c r="AN548" s="825"/>
      <c r="AO548" s="825"/>
      <c r="AP548" s="825"/>
      <c r="AQ548" s="825"/>
      <c r="AR548" s="825"/>
      <c r="AS548" s="825"/>
      <c r="AT548" s="825"/>
      <c r="AU548" s="825"/>
      <c r="AV548" s="825"/>
      <c r="AW548" s="825"/>
      <c r="AX548" s="825"/>
      <c r="AY548" s="825"/>
      <c r="AZ548" s="825"/>
      <c r="BA548" s="825"/>
      <c r="BB548" s="825"/>
      <c r="BC548" s="825"/>
      <c r="BD548" s="825"/>
      <c r="BE548" s="825"/>
      <c r="BF548" s="825"/>
      <c r="BG548" s="825"/>
      <c r="BH548" s="825"/>
      <c r="BI548" s="825"/>
      <c r="BJ548" s="825"/>
      <c r="BK548" s="825"/>
      <c r="BL548" s="825"/>
      <c r="BM548" s="825"/>
      <c r="BN548" s="825"/>
      <c r="BO548" s="825"/>
      <c r="BP548" s="825"/>
      <c r="BQ548" s="825"/>
      <c r="BR548" s="825"/>
      <c r="BS548" s="825"/>
      <c r="BT548" s="825"/>
      <c r="BU548" s="825"/>
      <c r="BV548" s="825"/>
      <c r="BW548" s="825"/>
      <c r="BX548" s="825"/>
      <c r="BY548" s="825"/>
      <c r="BZ548" s="825"/>
      <c r="CA548" s="825"/>
      <c r="CB548" s="825"/>
      <c r="CC548" s="825"/>
      <c r="CD548" s="825"/>
      <c r="CE548" s="825"/>
      <c r="CF548" s="825"/>
      <c r="CG548" s="825"/>
      <c r="CH548" s="825"/>
      <c r="CI548" s="825"/>
      <c r="CJ548" s="825"/>
      <c r="CK548" s="825"/>
      <c r="CL548" s="825"/>
      <c r="CM548" s="825"/>
      <c r="CN548" s="825"/>
      <c r="CO548" s="825"/>
      <c r="CP548" s="826"/>
      <c r="CQ548" s="825"/>
      <c r="CR548" s="825"/>
      <c r="CS548" s="825"/>
      <c r="CT548" s="825"/>
      <c r="CU548" s="825"/>
      <c r="CV548" s="825"/>
      <c r="CW548" s="825"/>
      <c r="CX548" s="825"/>
      <c r="CY548" s="825"/>
      <c r="CZ548" s="825"/>
      <c r="DA548" s="825"/>
      <c r="DB548" s="1304"/>
      <c r="DC548" s="825"/>
      <c r="DD548" s="825"/>
      <c r="DE548" s="825"/>
      <c r="DF548" s="825"/>
      <c r="DG548" s="825"/>
      <c r="DH548" s="825"/>
      <c r="DI548" s="825"/>
      <c r="DJ548" s="825"/>
      <c r="DK548" s="825"/>
      <c r="DL548" s="825"/>
      <c r="DM548" s="825"/>
      <c r="DN548" s="826"/>
      <c r="DO548" s="825"/>
      <c r="DP548" s="825"/>
      <c r="DQ548" s="825"/>
      <c r="DR548" s="825"/>
      <c r="DS548" s="825"/>
      <c r="DT548" s="825"/>
      <c r="DU548" s="825"/>
      <c r="DV548" s="825"/>
      <c r="DW548" s="825"/>
      <c r="DX548" s="825"/>
      <c r="DY548" s="825"/>
      <c r="DZ548" s="879"/>
      <c r="EA548" s="880"/>
      <c r="EB548" s="825"/>
      <c r="EC548" s="825"/>
      <c r="ED548" s="825"/>
      <c r="EE548" s="825"/>
      <c r="EF548" s="825"/>
      <c r="EG548" s="825"/>
      <c r="EH548" s="825"/>
      <c r="EI548" s="825"/>
      <c r="EJ548" s="825"/>
      <c r="EK548" s="825"/>
      <c r="EL548" s="826"/>
      <c r="EM548" s="825"/>
      <c r="EN548" s="825"/>
      <c r="EO548" s="825"/>
      <c r="EP548" s="825"/>
      <c r="EQ548" s="825"/>
      <c r="ER548" s="825"/>
      <c r="ES548" s="825"/>
      <c r="ET548" s="825"/>
      <c r="EU548" s="825"/>
      <c r="EV548" s="825"/>
      <c r="EW548" s="825"/>
      <c r="EX548" s="826"/>
      <c r="EY548" s="825"/>
      <c r="EZ548" s="825"/>
      <c r="FA548" s="825"/>
      <c r="FB548" s="825"/>
      <c r="FC548" s="825"/>
      <c r="FD548" s="825"/>
      <c r="FE548" s="825"/>
      <c r="FF548" s="825"/>
      <c r="FG548" s="825"/>
      <c r="FH548" s="825"/>
      <c r="FI548" s="825"/>
      <c r="FJ548" s="826"/>
      <c r="FK548" s="825"/>
      <c r="FL548" s="825"/>
      <c r="FM548" s="825"/>
      <c r="FN548" s="825"/>
      <c r="FO548" s="825"/>
      <c r="FP548" s="825"/>
      <c r="FQ548" s="825"/>
      <c r="FR548" s="825"/>
      <c r="FS548" s="825"/>
      <c r="FT548" s="825"/>
      <c r="FU548" s="825"/>
      <c r="FV548" s="825"/>
      <c r="FW548" s="825"/>
      <c r="FX548" s="825"/>
      <c r="FY548" s="825"/>
      <c r="FZ548" s="825"/>
      <c r="GA548" s="825"/>
      <c r="GB548" s="825"/>
      <c r="GC548" s="825"/>
      <c r="GD548" s="825"/>
      <c r="GE548" s="825"/>
      <c r="GF548" s="825"/>
      <c r="GG548" s="825"/>
      <c r="GH548" s="825"/>
      <c r="GI548" s="825"/>
      <c r="GJ548" s="825"/>
      <c r="GK548" s="825"/>
      <c r="GL548" s="825"/>
      <c r="GM548" s="825"/>
      <c r="GN548" s="825"/>
      <c r="GO548" s="825"/>
      <c r="GP548" s="825"/>
      <c r="GQ548" s="825"/>
      <c r="GR548" s="825"/>
      <c r="GS548" s="825"/>
      <c r="GT548" s="825"/>
      <c r="GU548" s="825"/>
      <c r="GV548" s="825"/>
      <c r="GW548" s="825"/>
      <c r="GX548" s="825"/>
      <c r="GY548" s="825"/>
      <c r="GZ548" s="825"/>
      <c r="HA548" s="825"/>
      <c r="HB548" s="825"/>
      <c r="HC548" s="825"/>
      <c r="HD548" s="825"/>
      <c r="HE548" s="825"/>
      <c r="HF548" s="825"/>
      <c r="HG548" s="825"/>
      <c r="HH548" s="825"/>
      <c r="HI548" s="825"/>
      <c r="HJ548" s="825"/>
      <c r="HK548" s="825"/>
      <c r="HL548" s="825"/>
      <c r="HM548" s="825"/>
      <c r="HN548" s="825"/>
      <c r="HO548" s="825"/>
      <c r="HP548" s="825"/>
      <c r="HQ548" s="825"/>
      <c r="HR548" s="825"/>
      <c r="HS548" s="825"/>
      <c r="HT548" s="825"/>
      <c r="HU548" s="825"/>
      <c r="HV548" s="825"/>
      <c r="HW548" s="825"/>
      <c r="HX548" s="825"/>
      <c r="HY548" s="825"/>
      <c r="IA548" s="3161"/>
      <c r="IB548" s="1381"/>
      <c r="IC548" s="1381"/>
      <c r="ID548" s="886" t="s">
        <v>1052</v>
      </c>
      <c r="IE548" s="886" t="str">
        <f>+IE3</f>
        <v>Jul-Dec</v>
      </c>
      <c r="IF548" s="886" t="str">
        <f>+IF3</f>
        <v>Jan-Jun</v>
      </c>
      <c r="IG548" s="722" t="s">
        <v>859</v>
      </c>
      <c r="IH548" s="886" t="str">
        <f>+IH3</f>
        <v>July-Dec</v>
      </c>
      <c r="II548" s="886" t="str">
        <f>+II3</f>
        <v>Jan-June</v>
      </c>
      <c r="IJ548" s="722" t="s">
        <v>859</v>
      </c>
      <c r="IK548" s="437" t="str">
        <f>+IK3</f>
        <v>Jul-Dec</v>
      </c>
      <c r="IL548" s="437" t="str">
        <f>+IL3</f>
        <v>Jan-Jun</v>
      </c>
      <c r="IM548" s="437" t="str">
        <f>+IM3</f>
        <v>Proj.</v>
      </c>
      <c r="IN548" s="437" t="str">
        <f>+IN3</f>
        <v>Jul-Dec</v>
      </c>
      <c r="IO548" s="437" t="str">
        <f>+IO3</f>
        <v>Jan-Jun</v>
      </c>
      <c r="IP548" s="437" t="str">
        <f>+IP3</f>
        <v>Proj.</v>
      </c>
      <c r="IQ548" s="437" t="str">
        <f>+IQ3</f>
        <v>Jul-Dec</v>
      </c>
      <c r="IR548" s="437" t="str">
        <f>+IR3</f>
        <v>Jan-Jun</v>
      </c>
      <c r="IS548" s="437" t="str">
        <f>+IS3</f>
        <v>Proj.</v>
      </c>
      <c r="IT548" s="437" t="str">
        <f>+IT3</f>
        <v>Jul-Dec</v>
      </c>
      <c r="IU548" s="437" t="str">
        <f>+IU3</f>
        <v>Jan-Jun</v>
      </c>
      <c r="IV548" s="437" t="str">
        <f>+IV3</f>
        <v>Proj.</v>
      </c>
      <c r="IW548" s="437" t="str">
        <f>+IW3</f>
        <v>Jul-Dec</v>
      </c>
      <c r="IX548" s="437" t="str">
        <f>+IX3</f>
        <v>Jan-Jun</v>
      </c>
      <c r="IY548" s="437" t="str">
        <f>+KT3</f>
        <v>Proj.</v>
      </c>
      <c r="IZ548" s="437" t="str">
        <f>+IZ3</f>
        <v>Jul-Dec</v>
      </c>
      <c r="JA548" s="437" t="str">
        <f>+JA3</f>
        <v>Jan-Jun</v>
      </c>
      <c r="JB548" s="437" t="str">
        <f>+JB3</f>
        <v>Proj.</v>
      </c>
      <c r="JC548" s="437" t="str">
        <f>+JC3</f>
        <v>Jul-Dec</v>
      </c>
      <c r="JD548" s="437" t="str">
        <f>+JD3</f>
        <v>Jan-Jun</v>
      </c>
      <c r="JE548" s="437" t="str">
        <f>+JE3</f>
        <v>Proj.</v>
      </c>
      <c r="JF548" s="437" t="str">
        <f>+JF3</f>
        <v>Jul-Dec</v>
      </c>
      <c r="JG548" s="437" t="str">
        <f>+JG3</f>
        <v>Jan-Jun</v>
      </c>
      <c r="JH548" s="437" t="str">
        <f>+JH3</f>
        <v>Proj.</v>
      </c>
      <c r="JI548" s="437" t="str">
        <f>+JI3</f>
        <v>Jul-Dec</v>
      </c>
      <c r="JJ548" s="437" t="str">
        <f>+JJ3</f>
        <v>Jan-Jun</v>
      </c>
      <c r="JK548" s="437" t="str">
        <f>+JK3</f>
        <v>Proj.</v>
      </c>
      <c r="JL548" s="437" t="str">
        <f>+JL3</f>
        <v>Jul-Dec</v>
      </c>
      <c r="JM548" s="437" t="str">
        <f>+JM3</f>
        <v>Jan-Jun</v>
      </c>
      <c r="JN548" s="437" t="str">
        <f>+JN3</f>
        <v>Proj.</v>
      </c>
      <c r="JO548" s="437" t="str">
        <f>+JO3</f>
        <v>Jul-Dec</v>
      </c>
      <c r="JP548" s="437" t="str">
        <f>+JP3</f>
        <v>Jan-Jun</v>
      </c>
      <c r="JQ548" s="437" t="str">
        <f>+JQ3</f>
        <v>Proj.</v>
      </c>
      <c r="JR548" s="437" t="str">
        <f>+JR3</f>
        <v>Jul-Dec</v>
      </c>
      <c r="JS548" s="437" t="str">
        <f>+JS3</f>
        <v>Jan-Jun</v>
      </c>
      <c r="JT548" s="437" t="str">
        <f>+JT3</f>
        <v>Proj.</v>
      </c>
      <c r="JU548" s="437" t="str">
        <f>+JU3</f>
        <v>Jul-Dec</v>
      </c>
      <c r="JV548" s="437" t="str">
        <f>+JV3</f>
        <v>Jan-Jun</v>
      </c>
      <c r="JW548" s="437" t="str">
        <f>+JW3</f>
        <v>Proj.</v>
      </c>
      <c r="JX548" s="437" t="str">
        <f>+JX3</f>
        <v>Jul-Dec</v>
      </c>
      <c r="JY548" s="437" t="str">
        <f>+JY3</f>
        <v>Jan-Jun</v>
      </c>
      <c r="JZ548" s="437" t="str">
        <f>+JZ3</f>
        <v>Proj.</v>
      </c>
      <c r="KA548" s="437" t="str">
        <f>+KA3</f>
        <v>Jul-Dec</v>
      </c>
      <c r="KB548" s="437" t="str">
        <f>+KB3</f>
        <v>Jan-Jun</v>
      </c>
      <c r="KC548" s="437" t="str">
        <f>+KC3</f>
        <v>Proj.</v>
      </c>
      <c r="KD548" s="437" t="str">
        <f>+KD3</f>
        <v>Jul-Dec</v>
      </c>
      <c r="KE548" s="437" t="str">
        <f>+KE3</f>
        <v>Jan-Jun</v>
      </c>
      <c r="KF548" s="437" t="str">
        <f>+KF3</f>
        <v>Proj.</v>
      </c>
      <c r="KG548" s="437" t="str">
        <f>+KG3</f>
        <v>Jul-Dec</v>
      </c>
      <c r="KH548" s="437" t="str">
        <f>+KH3</f>
        <v>Jan-Jun</v>
      </c>
      <c r="KI548" s="437" t="str">
        <f>+KI3</f>
        <v>Proj.</v>
      </c>
      <c r="KJ548" s="437" t="str">
        <f>+KJ3</f>
        <v>Jul-Dec</v>
      </c>
      <c r="KK548" s="437" t="str">
        <f>+KK3</f>
        <v>Jan-Jun</v>
      </c>
      <c r="KL548" s="437" t="str">
        <f>+KL3</f>
        <v>Proj.</v>
      </c>
      <c r="KM548" s="437" t="str">
        <f>+KM3</f>
        <v>Jul-Dec</v>
      </c>
      <c r="KN548" s="437" t="str">
        <f>+KN3</f>
        <v>Jan-Jun</v>
      </c>
      <c r="KO548" s="437" t="str">
        <f>+KO3</f>
        <v>Proj.</v>
      </c>
      <c r="KP548" s="437"/>
      <c r="KQ548" s="437"/>
      <c r="KR548" s="437"/>
      <c r="KS548" s="437"/>
      <c r="KT548" s="437"/>
      <c r="LA548" s="282" t="str">
        <f t="shared" si="267"/>
        <v>2017/18</v>
      </c>
      <c r="LB548" s="282" t="str">
        <f t="shared" si="267"/>
        <v>2017/18</v>
      </c>
    </row>
    <row r="549" spans="2:314" hidden="1">
      <c r="D549" s="328"/>
      <c r="CD549" s="352">
        <f t="shared" ref="CD549:DI549" si="268">+CD1</f>
        <v>41426</v>
      </c>
      <c r="CE549" s="352">
        <f t="shared" si="268"/>
        <v>41456</v>
      </c>
      <c r="CF549" s="352">
        <f t="shared" si="268"/>
        <v>41487</v>
      </c>
      <c r="CG549" s="352">
        <f t="shared" si="268"/>
        <v>41518</v>
      </c>
      <c r="CH549" s="352">
        <f t="shared" si="268"/>
        <v>41548</v>
      </c>
      <c r="CI549" s="352">
        <f t="shared" si="268"/>
        <v>41579</v>
      </c>
      <c r="CJ549" s="352">
        <f t="shared" si="268"/>
        <v>41609</v>
      </c>
      <c r="CK549" s="352">
        <f t="shared" si="268"/>
        <v>41640</v>
      </c>
      <c r="CL549" s="352">
        <f t="shared" si="268"/>
        <v>41671</v>
      </c>
      <c r="CM549" s="352">
        <f t="shared" si="268"/>
        <v>41699</v>
      </c>
      <c r="CN549" s="352">
        <f t="shared" si="268"/>
        <v>41730</v>
      </c>
      <c r="CO549" s="352">
        <f t="shared" si="268"/>
        <v>41760</v>
      </c>
      <c r="CP549" s="1282">
        <f t="shared" si="268"/>
        <v>41791</v>
      </c>
      <c r="CQ549" s="352">
        <f t="shared" si="268"/>
        <v>41821</v>
      </c>
      <c r="CR549" s="352">
        <f t="shared" si="268"/>
        <v>41852</v>
      </c>
      <c r="CS549" s="352">
        <f t="shared" si="268"/>
        <v>41883</v>
      </c>
      <c r="CT549" s="352">
        <f t="shared" si="268"/>
        <v>41913</v>
      </c>
      <c r="CU549" s="352">
        <f t="shared" si="268"/>
        <v>41944</v>
      </c>
      <c r="CV549" s="352">
        <f t="shared" si="268"/>
        <v>41974</v>
      </c>
      <c r="CW549" s="352">
        <f t="shared" si="268"/>
        <v>42005</v>
      </c>
      <c r="CX549" s="352">
        <f t="shared" si="268"/>
        <v>42036</v>
      </c>
      <c r="CY549" s="352">
        <f t="shared" si="268"/>
        <v>42064</v>
      </c>
      <c r="CZ549" s="352">
        <f t="shared" si="268"/>
        <v>42095</v>
      </c>
      <c r="DA549" s="352">
        <f t="shared" si="268"/>
        <v>42125</v>
      </c>
      <c r="DB549" s="1305">
        <f t="shared" si="268"/>
        <v>42156</v>
      </c>
      <c r="DC549" s="352">
        <f t="shared" si="268"/>
        <v>42186</v>
      </c>
      <c r="DD549" s="352">
        <f t="shared" si="268"/>
        <v>42217</v>
      </c>
      <c r="DE549" s="352">
        <f t="shared" si="268"/>
        <v>42248</v>
      </c>
      <c r="DF549" s="352">
        <f t="shared" si="268"/>
        <v>42278</v>
      </c>
      <c r="DG549" s="352">
        <f t="shared" si="268"/>
        <v>42309</v>
      </c>
      <c r="DH549" s="352">
        <f t="shared" si="268"/>
        <v>42339</v>
      </c>
      <c r="DI549" s="352">
        <f t="shared" si="268"/>
        <v>42370</v>
      </c>
      <c r="DJ549" s="352">
        <f t="shared" ref="DJ549:EO549" si="269">+DJ1</f>
        <v>42401</v>
      </c>
      <c r="DK549" s="352">
        <f t="shared" si="269"/>
        <v>42430</v>
      </c>
      <c r="DL549" s="352">
        <f t="shared" si="269"/>
        <v>42461</v>
      </c>
      <c r="DM549" s="352">
        <f t="shared" si="269"/>
        <v>42491</v>
      </c>
      <c r="DN549" s="1282">
        <f t="shared" si="269"/>
        <v>42522</v>
      </c>
      <c r="DO549" s="352">
        <f t="shared" si="269"/>
        <v>42552</v>
      </c>
      <c r="DP549" s="352">
        <f t="shared" si="269"/>
        <v>42583</v>
      </c>
      <c r="DQ549" s="352">
        <f t="shared" si="269"/>
        <v>42615</v>
      </c>
      <c r="DR549" s="352">
        <f t="shared" si="269"/>
        <v>42646</v>
      </c>
      <c r="DS549" s="352">
        <f t="shared" si="269"/>
        <v>42678</v>
      </c>
      <c r="DT549" s="352">
        <f t="shared" si="269"/>
        <v>42709</v>
      </c>
      <c r="DU549" s="352">
        <f t="shared" si="269"/>
        <v>42736</v>
      </c>
      <c r="DV549" s="352">
        <f t="shared" si="269"/>
        <v>42767</v>
      </c>
      <c r="DW549" s="352">
        <f t="shared" si="269"/>
        <v>42795</v>
      </c>
      <c r="DX549" s="352">
        <f t="shared" si="269"/>
        <v>42826</v>
      </c>
      <c r="DY549" s="352">
        <f t="shared" si="269"/>
        <v>42856</v>
      </c>
      <c r="DZ549" s="826">
        <f t="shared" si="269"/>
        <v>42887</v>
      </c>
      <c r="EA549" s="825">
        <f t="shared" si="269"/>
        <v>42917</v>
      </c>
      <c r="EB549" s="352">
        <f t="shared" si="269"/>
        <v>42948</v>
      </c>
      <c r="EC549" s="352">
        <f t="shared" si="269"/>
        <v>42979</v>
      </c>
      <c r="ED549" s="352">
        <f t="shared" si="269"/>
        <v>43009</v>
      </c>
      <c r="EE549" s="352">
        <f t="shared" si="269"/>
        <v>43040</v>
      </c>
      <c r="EF549" s="352">
        <f t="shared" si="269"/>
        <v>43070</v>
      </c>
      <c r="EG549" s="352">
        <f t="shared" si="269"/>
        <v>43101</v>
      </c>
      <c r="EH549" s="352">
        <f t="shared" si="269"/>
        <v>43132</v>
      </c>
      <c r="EI549" s="352">
        <f t="shared" si="269"/>
        <v>43160</v>
      </c>
      <c r="EJ549" s="352">
        <f t="shared" si="269"/>
        <v>43191</v>
      </c>
      <c r="EK549" s="352">
        <f t="shared" si="269"/>
        <v>43221</v>
      </c>
      <c r="EL549" s="1282">
        <f t="shared" si="269"/>
        <v>43252</v>
      </c>
      <c r="EM549" s="352">
        <f t="shared" si="269"/>
        <v>43282</v>
      </c>
      <c r="EN549" s="352">
        <f t="shared" si="269"/>
        <v>43313</v>
      </c>
      <c r="EO549" s="352">
        <f t="shared" si="269"/>
        <v>43344</v>
      </c>
      <c r="EP549" s="352">
        <f t="shared" ref="EP549:FI549" si="270">+EP1</f>
        <v>43374</v>
      </c>
      <c r="EQ549" s="352">
        <f t="shared" si="270"/>
        <v>43405</v>
      </c>
      <c r="ER549" s="352">
        <f t="shared" si="270"/>
        <v>43435</v>
      </c>
      <c r="ES549" s="352">
        <f t="shared" si="270"/>
        <v>43466</v>
      </c>
      <c r="ET549" s="352">
        <f t="shared" si="270"/>
        <v>43497</v>
      </c>
      <c r="EU549" s="352">
        <f t="shared" si="270"/>
        <v>43525</v>
      </c>
      <c r="EV549" s="352">
        <f t="shared" si="270"/>
        <v>43556</v>
      </c>
      <c r="EW549" s="352">
        <f t="shared" si="270"/>
        <v>43586</v>
      </c>
      <c r="EX549" s="1282">
        <f t="shared" si="270"/>
        <v>43617</v>
      </c>
      <c r="EY549" s="352">
        <f t="shared" si="270"/>
        <v>43647</v>
      </c>
      <c r="EZ549" s="352">
        <f t="shared" si="270"/>
        <v>43678</v>
      </c>
      <c r="FA549" s="352">
        <f t="shared" si="270"/>
        <v>43709</v>
      </c>
      <c r="FB549" s="352">
        <f t="shared" si="270"/>
        <v>43739</v>
      </c>
      <c r="FC549" s="352">
        <f t="shared" si="270"/>
        <v>43770</v>
      </c>
      <c r="FD549" s="352">
        <f t="shared" si="270"/>
        <v>43800</v>
      </c>
      <c r="FE549" s="352">
        <f t="shared" si="270"/>
        <v>43831</v>
      </c>
      <c r="FF549" s="352">
        <f t="shared" si="270"/>
        <v>43862</v>
      </c>
      <c r="FG549" s="352">
        <f t="shared" si="270"/>
        <v>43891</v>
      </c>
      <c r="FH549" s="352">
        <f t="shared" si="270"/>
        <v>43922</v>
      </c>
      <c r="FI549" s="352">
        <f t="shared" si="270"/>
        <v>43952</v>
      </c>
      <c r="FJ549" s="1282"/>
      <c r="FK549" s="352"/>
      <c r="FL549" s="352"/>
      <c r="FM549" s="352"/>
      <c r="FN549" s="352"/>
      <c r="FO549" s="352"/>
      <c r="FP549" s="352"/>
      <c r="FQ549" s="352"/>
      <c r="FR549" s="352"/>
      <c r="FS549" s="352"/>
      <c r="FT549" s="352"/>
      <c r="FU549" s="352"/>
      <c r="FV549" s="352"/>
      <c r="FW549" s="352"/>
      <c r="FX549" s="352"/>
      <c r="FY549" s="352"/>
      <c r="FZ549" s="352"/>
      <c r="GA549" s="352"/>
      <c r="GB549" s="352"/>
      <c r="GC549" s="352"/>
      <c r="GD549" s="352"/>
      <c r="GE549" s="352"/>
      <c r="GF549" s="352"/>
      <c r="GG549" s="352"/>
      <c r="GH549" s="352"/>
      <c r="GI549" s="352"/>
      <c r="GJ549" s="352"/>
      <c r="GK549" s="352"/>
      <c r="GL549" s="352"/>
      <c r="GM549" s="352"/>
      <c r="GN549" s="352"/>
      <c r="GO549" s="352"/>
      <c r="GP549" s="352"/>
      <c r="GQ549" s="352"/>
      <c r="GR549" s="352"/>
      <c r="GS549" s="352"/>
      <c r="GT549" s="352"/>
      <c r="GU549" s="352"/>
      <c r="GV549" s="352"/>
      <c r="GW549" s="352"/>
      <c r="GX549" s="352"/>
      <c r="GY549" s="352"/>
      <c r="GZ549" s="352"/>
      <c r="HA549" s="352"/>
      <c r="HB549" s="352"/>
      <c r="HC549" s="352"/>
      <c r="HD549" s="352"/>
      <c r="HE549" s="352"/>
      <c r="HF549" s="352"/>
      <c r="HG549" s="352"/>
      <c r="HH549" s="352"/>
      <c r="HI549" s="352"/>
      <c r="HJ549" s="352"/>
      <c r="HK549" s="352"/>
      <c r="HL549" s="352"/>
      <c r="HM549" s="352"/>
      <c r="HN549" s="352"/>
      <c r="HO549" s="352"/>
      <c r="HP549" s="352"/>
      <c r="HQ549" s="352"/>
      <c r="HR549" s="352"/>
      <c r="HS549" s="352"/>
      <c r="HT549" s="352"/>
      <c r="HU549" s="352"/>
      <c r="HV549" s="352"/>
      <c r="HW549" s="352"/>
      <c r="HX549" s="352"/>
      <c r="HY549" s="352"/>
      <c r="ID549" s="323"/>
      <c r="IG549" s="323"/>
      <c r="IJ549" s="323"/>
      <c r="IK549" s="279" t="s">
        <v>1001</v>
      </c>
      <c r="IM549" s="323"/>
      <c r="IN549" s="327"/>
      <c r="IO549" s="327"/>
      <c r="IP549" s="323"/>
      <c r="IQ549" s="327"/>
      <c r="IR549" s="327"/>
      <c r="IS549" s="323"/>
      <c r="IT549" s="327"/>
      <c r="IU549" s="327"/>
      <c r="IV549" s="323"/>
      <c r="IW549" s="327"/>
      <c r="IX549" s="327"/>
      <c r="IY549" s="323"/>
      <c r="IZ549" s="327"/>
      <c r="JA549" s="327"/>
      <c r="JB549" s="323"/>
      <c r="JC549" s="327" t="str">
        <f>+JC3</f>
        <v>Jul-Dec</v>
      </c>
      <c r="JD549" s="327" t="str">
        <f>+JD3</f>
        <v>Jan-Jun</v>
      </c>
      <c r="JE549" s="323"/>
      <c r="JF549" s="327"/>
      <c r="JG549" s="327"/>
      <c r="JH549" s="323"/>
      <c r="JI549" s="327"/>
      <c r="JJ549" s="327"/>
      <c r="JK549" s="323"/>
      <c r="LA549" s="284" t="str">
        <f t="shared" si="267"/>
        <v>Jul-Dec</v>
      </c>
      <c r="LB549" s="284" t="str">
        <f t="shared" si="267"/>
        <v>Jan-Jun</v>
      </c>
    </row>
    <row r="550" spans="2:314" hidden="1">
      <c r="B550" s="96" t="s">
        <v>338</v>
      </c>
      <c r="D550" s="322" t="str">
        <f>+FISC!D743</f>
        <v>Revenue and grants</v>
      </c>
      <c r="E550" s="323">
        <f t="shared" ref="E550:AJ550" si="271">E552+E576</f>
        <v>17.567921312999999</v>
      </c>
      <c r="F550" s="323">
        <f t="shared" si="271"/>
        <v>18.817342955000001</v>
      </c>
      <c r="G550" s="323">
        <f t="shared" si="271"/>
        <v>44.459580340000002</v>
      </c>
      <c r="H550" s="323">
        <f t="shared" si="271"/>
        <v>24.441848096000001</v>
      </c>
      <c r="I550" s="323">
        <f t="shared" si="271"/>
        <v>51.516113346000004</v>
      </c>
      <c r="J550" s="323">
        <f t="shared" si="271"/>
        <v>97.216453211000015</v>
      </c>
      <c r="K550" s="323">
        <f t="shared" si="271"/>
        <v>19.786233704999997</v>
      </c>
      <c r="L550" s="323">
        <f t="shared" si="271"/>
        <v>28.826024725</v>
      </c>
      <c r="M550" s="323">
        <f t="shared" si="271"/>
        <v>44.354562829000002</v>
      </c>
      <c r="N550" s="323">
        <f t="shared" si="271"/>
        <v>30.151426880999999</v>
      </c>
      <c r="O550" s="323">
        <f t="shared" si="271"/>
        <v>23.413298776000001</v>
      </c>
      <c r="P550" s="323">
        <f t="shared" si="271"/>
        <v>59.678926500000003</v>
      </c>
      <c r="Q550" s="323">
        <f t="shared" si="271"/>
        <v>29.251193269999998</v>
      </c>
      <c r="R550" s="323">
        <f t="shared" si="271"/>
        <v>21.164371927000001</v>
      </c>
      <c r="S550" s="323">
        <f t="shared" si="271"/>
        <v>88.816242031999991</v>
      </c>
      <c r="T550" s="323">
        <f t="shared" si="271"/>
        <v>25.994996380000003</v>
      </c>
      <c r="U550" s="323">
        <f t="shared" si="271"/>
        <v>61.182207654000003</v>
      </c>
      <c r="V550" s="323">
        <f t="shared" si="271"/>
        <v>92.412830514000007</v>
      </c>
      <c r="W550" s="323">
        <f t="shared" si="271"/>
        <v>26.935916471999999</v>
      </c>
      <c r="X550" s="323">
        <f t="shared" si="271"/>
        <v>35.083569790999995</v>
      </c>
      <c r="Y550" s="323">
        <f t="shared" si="271"/>
        <v>67.762742703000001</v>
      </c>
      <c r="Z550" s="323">
        <f t="shared" si="271"/>
        <v>49.776869621000003</v>
      </c>
      <c r="AA550" s="323">
        <f t="shared" si="271"/>
        <v>29.930646900999996</v>
      </c>
      <c r="AB550" s="323">
        <f t="shared" si="271"/>
        <v>132.44269054199998</v>
      </c>
      <c r="AC550" s="323">
        <f t="shared" si="271"/>
        <v>29.319654589999999</v>
      </c>
      <c r="AD550" s="323">
        <f t="shared" si="271"/>
        <v>37.497062631000006</v>
      </c>
      <c r="AE550" s="323">
        <f t="shared" si="271"/>
        <v>65.882136634999995</v>
      </c>
      <c r="AF550" s="323">
        <f t="shared" si="271"/>
        <v>80.300595043999991</v>
      </c>
      <c r="AG550" s="323">
        <f t="shared" si="271"/>
        <v>31.634799859000001</v>
      </c>
      <c r="AH550" s="323">
        <f t="shared" si="271"/>
        <v>92.535884168999985</v>
      </c>
      <c r="AI550" s="323">
        <f t="shared" si="271"/>
        <v>40.661176794999996</v>
      </c>
      <c r="AJ550" s="323">
        <f t="shared" si="271"/>
        <v>31.365358114000003</v>
      </c>
      <c r="AK550" s="323">
        <f t="shared" ref="AK550:BP550" si="272">AK552+AK576</f>
        <v>110.58222992</v>
      </c>
      <c r="AL550" s="323">
        <f t="shared" si="272"/>
        <v>80.469577517999994</v>
      </c>
      <c r="AM550" s="323">
        <f t="shared" si="272"/>
        <v>38.042655173999997</v>
      </c>
      <c r="AN550" s="323">
        <f t="shared" si="272"/>
        <v>88.467466396999981</v>
      </c>
      <c r="AO550" s="323">
        <f t="shared" si="272"/>
        <v>51.414137945999997</v>
      </c>
      <c r="AP550" s="323">
        <f t="shared" si="272"/>
        <v>28.208919395999999</v>
      </c>
      <c r="AQ550" s="323">
        <f t="shared" si="272"/>
        <v>81.923191242999991</v>
      </c>
      <c r="AR550" s="323">
        <f t="shared" si="272"/>
        <v>43.457104891</v>
      </c>
      <c r="AS550" s="323">
        <f t="shared" si="272"/>
        <v>40.239970697000004</v>
      </c>
      <c r="AT550" s="323">
        <f t="shared" si="272"/>
        <v>162.241365312</v>
      </c>
      <c r="AU550" s="323">
        <f t="shared" si="272"/>
        <v>38.026135392</v>
      </c>
      <c r="AV550" s="323">
        <f t="shared" si="272"/>
        <v>41.030005124999995</v>
      </c>
      <c r="AW550" s="323">
        <f t="shared" si="272"/>
        <v>133.22447170499998</v>
      </c>
      <c r="AX550" s="323">
        <f t="shared" si="272"/>
        <v>60.783805940000001</v>
      </c>
      <c r="AY550" s="323">
        <f t="shared" si="272"/>
        <v>44.310152950000003</v>
      </c>
      <c r="AZ550" s="323">
        <f t="shared" si="272"/>
        <v>150.604230194</v>
      </c>
      <c r="BA550" s="323">
        <f t="shared" si="272"/>
        <v>40.903606083</v>
      </c>
      <c r="BB550" s="323">
        <f t="shared" si="272"/>
        <v>37.697012786000002</v>
      </c>
      <c r="BC550" s="323">
        <f t="shared" si="272"/>
        <v>78.152326082000002</v>
      </c>
      <c r="BD550" s="323">
        <f t="shared" si="272"/>
        <v>105.66912261376</v>
      </c>
      <c r="BE550" s="323">
        <f t="shared" si="272"/>
        <v>43.306229338230004</v>
      </c>
      <c r="BF550" s="323">
        <f t="shared" si="272"/>
        <v>90.784551812999993</v>
      </c>
      <c r="BG550" s="323">
        <f t="shared" si="272"/>
        <v>77.180308651800004</v>
      </c>
      <c r="BH550" s="323">
        <f t="shared" si="272"/>
        <v>80.865502152200008</v>
      </c>
      <c r="BI550" s="323">
        <f t="shared" si="272"/>
        <v>123.79901238390001</v>
      </c>
      <c r="BJ550" s="323">
        <f t="shared" si="272"/>
        <v>117.794734113</v>
      </c>
      <c r="BK550" s="323">
        <f t="shared" si="272"/>
        <v>48.266520284999999</v>
      </c>
      <c r="BL550" s="323">
        <f t="shared" si="272"/>
        <v>155.04342448400001</v>
      </c>
      <c r="BM550" s="323">
        <f t="shared" si="272"/>
        <v>46.396559704999994</v>
      </c>
      <c r="BN550" s="323">
        <f t="shared" si="272"/>
        <v>48.426343994999996</v>
      </c>
      <c r="BO550" s="323">
        <f t="shared" si="272"/>
        <v>99.923344535999988</v>
      </c>
      <c r="BP550" s="323">
        <f t="shared" si="272"/>
        <v>44.821710919999994</v>
      </c>
      <c r="BQ550" s="323">
        <f t="shared" ref="BQ550:CV550" si="273">BQ552+BQ576</f>
        <v>56.859600789000005</v>
      </c>
      <c r="BR550" s="323">
        <f t="shared" si="273"/>
        <v>157.40981045162576</v>
      </c>
      <c r="BS550" s="323">
        <f t="shared" si="273"/>
        <v>91.514599451901631</v>
      </c>
      <c r="BT550" s="323">
        <f t="shared" si="273"/>
        <v>66.031509459931115</v>
      </c>
      <c r="BU550" s="323">
        <f t="shared" si="273"/>
        <v>80.967502676272119</v>
      </c>
      <c r="BV550" s="323">
        <f t="shared" si="273"/>
        <v>116.00640018889051</v>
      </c>
      <c r="BW550" s="323">
        <f t="shared" si="273"/>
        <v>90.734610517433723</v>
      </c>
      <c r="BX550" s="323">
        <f t="shared" si="273"/>
        <v>102.06086856069035</v>
      </c>
      <c r="BY550" s="323">
        <f t="shared" si="273"/>
        <v>53.00960789090707</v>
      </c>
      <c r="BZ550" s="323">
        <f t="shared" si="273"/>
        <v>56.690963510925009</v>
      </c>
      <c r="CA550" s="323">
        <f t="shared" si="273"/>
        <v>110.13507579811498</v>
      </c>
      <c r="CB550" s="323">
        <f t="shared" si="273"/>
        <v>91.61277264487812</v>
      </c>
      <c r="CC550" s="323">
        <f t="shared" si="273"/>
        <v>106.22123967949275</v>
      </c>
      <c r="CD550" s="323">
        <f t="shared" si="273"/>
        <v>128.45273046759502</v>
      </c>
      <c r="CE550" s="324">
        <f t="shared" si="273"/>
        <v>92.549278820603035</v>
      </c>
      <c r="CF550" s="323">
        <f t="shared" si="273"/>
        <v>99.938945574972621</v>
      </c>
      <c r="CG550" s="323">
        <f t="shared" si="273"/>
        <v>145.21032672111141</v>
      </c>
      <c r="CH550" s="323">
        <f t="shared" si="273"/>
        <v>130.78878670856406</v>
      </c>
      <c r="CI550" s="323">
        <f t="shared" si="273"/>
        <v>94.950408696585725</v>
      </c>
      <c r="CJ550" s="323">
        <f t="shared" si="273"/>
        <v>149.48953430005673</v>
      </c>
      <c r="CK550" s="323">
        <f t="shared" si="273"/>
        <v>86.393434501087185</v>
      </c>
      <c r="CL550" s="323">
        <f t="shared" si="273"/>
        <v>78.682708284346262</v>
      </c>
      <c r="CM550" s="323">
        <f t="shared" si="273"/>
        <v>103.60083830312736</v>
      </c>
      <c r="CN550" s="323">
        <f t="shared" si="273"/>
        <v>120.52623900299716</v>
      </c>
      <c r="CO550" s="323">
        <f t="shared" si="273"/>
        <v>104.29588435704774</v>
      </c>
      <c r="CP550" s="325">
        <f t="shared" si="273"/>
        <v>145.27380767494742</v>
      </c>
      <c r="CQ550" s="323">
        <f t="shared" si="273"/>
        <v>97.910078578325994</v>
      </c>
      <c r="CR550" s="323">
        <f t="shared" si="273"/>
        <v>86.030455176625168</v>
      </c>
      <c r="CS550" s="323">
        <f t="shared" si="273"/>
        <v>135.59195876905008</v>
      </c>
      <c r="CT550" s="323">
        <f t="shared" si="273"/>
        <v>89.399893138344964</v>
      </c>
      <c r="CU550" s="323">
        <f t="shared" si="273"/>
        <v>99.972558798401948</v>
      </c>
      <c r="CV550" s="323">
        <f t="shared" si="273"/>
        <v>204.24973929597542</v>
      </c>
      <c r="CW550" s="323">
        <f t="shared" ref="CW550:EB550" si="274">CW552+CW576</f>
        <v>94.079739736090332</v>
      </c>
      <c r="CX550" s="323">
        <f t="shared" si="274"/>
        <v>88.156585006604615</v>
      </c>
      <c r="CY550" s="323">
        <f t="shared" si="274"/>
        <v>145.39897288906855</v>
      </c>
      <c r="CZ550" s="323">
        <f t="shared" si="274"/>
        <v>102.98120940853774</v>
      </c>
      <c r="DA550" s="323">
        <f t="shared" si="274"/>
        <v>138.48618659496978</v>
      </c>
      <c r="DB550" s="1269">
        <f t="shared" si="274"/>
        <v>126.59136615978392</v>
      </c>
      <c r="DC550" s="323">
        <f t="shared" si="274"/>
        <v>101.96050366480847</v>
      </c>
      <c r="DD550" s="323">
        <f t="shared" si="274"/>
        <v>95.758625995418612</v>
      </c>
      <c r="DE550" s="323">
        <f t="shared" si="274"/>
        <v>142.82365086022676</v>
      </c>
      <c r="DF550" s="323">
        <f t="shared" si="274"/>
        <v>91.41737518377586</v>
      </c>
      <c r="DG550" s="323">
        <f t="shared" si="274"/>
        <v>142.31648369839468</v>
      </c>
      <c r="DH550" s="323">
        <f t="shared" si="274"/>
        <v>152.16968598431581</v>
      </c>
      <c r="DI550" s="323">
        <f t="shared" si="274"/>
        <v>91.243590622009222</v>
      </c>
      <c r="DJ550" s="323">
        <f t="shared" si="274"/>
        <v>92.05816314063874</v>
      </c>
      <c r="DK550" s="323">
        <f t="shared" si="274"/>
        <v>134.19492127884044</v>
      </c>
      <c r="DL550" s="323">
        <f t="shared" si="274"/>
        <v>176.14361614705211</v>
      </c>
      <c r="DM550" s="323">
        <f t="shared" si="274"/>
        <v>100.7147482004043</v>
      </c>
      <c r="DN550" s="325">
        <f t="shared" si="274"/>
        <v>172.10376019729819</v>
      </c>
      <c r="DO550" s="323">
        <f t="shared" si="274"/>
        <v>104.15610795118268</v>
      </c>
      <c r="DP550" s="323">
        <f t="shared" si="274"/>
        <v>94.090764863350216</v>
      </c>
      <c r="DQ550" s="323">
        <f t="shared" si="274"/>
        <v>120.38189589406346</v>
      </c>
      <c r="DR550" s="323">
        <f t="shared" si="274"/>
        <v>82.090781757316677</v>
      </c>
      <c r="DS550" s="323">
        <f t="shared" si="274"/>
        <v>106.55446030601692</v>
      </c>
      <c r="DT550" s="323">
        <f t="shared" si="274"/>
        <v>174.68158912165359</v>
      </c>
      <c r="DU550" s="323">
        <f t="shared" si="274"/>
        <v>139.17018973040666</v>
      </c>
      <c r="DV550" s="323">
        <f t="shared" si="274"/>
        <v>84.463842788291146</v>
      </c>
      <c r="DW550" s="323">
        <f t="shared" si="274"/>
        <v>145.9729173508012</v>
      </c>
      <c r="DX550" s="323">
        <f t="shared" si="274"/>
        <v>120.10751696557838</v>
      </c>
      <c r="DY550" s="323">
        <f t="shared" si="274"/>
        <v>93.763036805140089</v>
      </c>
      <c r="DZ550" s="1282">
        <f t="shared" si="274"/>
        <v>189.80393556796147</v>
      </c>
      <c r="EA550" s="352">
        <f t="shared" si="274"/>
        <v>135.24618055194173</v>
      </c>
      <c r="EB550" s="323">
        <f t="shared" si="274"/>
        <v>111.42573632693774</v>
      </c>
      <c r="EC550" s="323">
        <f t="shared" ref="EC550:EL550" si="275">EC552+EC576</f>
        <v>138.09570629898047</v>
      </c>
      <c r="ED550" s="323">
        <f t="shared" si="275"/>
        <v>136.0485910722104</v>
      </c>
      <c r="EE550" s="323">
        <f t="shared" si="275"/>
        <v>128.20518769250481</v>
      </c>
      <c r="EF550" s="323">
        <f t="shared" si="275"/>
        <v>196.02871647702284</v>
      </c>
      <c r="EG550" s="323">
        <f t="shared" si="275"/>
        <v>154.66476221625661</v>
      </c>
      <c r="EH550" s="323">
        <f t="shared" si="275"/>
        <v>110.92338456036771</v>
      </c>
      <c r="EI550" s="323">
        <f t="shared" si="275"/>
        <v>195.76958368055858</v>
      </c>
      <c r="EJ550" s="323">
        <f t="shared" si="275"/>
        <v>150.76426885620026</v>
      </c>
      <c r="EK550" s="323">
        <f t="shared" si="275"/>
        <v>107.40078340855614</v>
      </c>
      <c r="EL550" s="325">
        <f t="shared" si="275"/>
        <v>177.70134440081637</v>
      </c>
      <c r="EM550" s="323">
        <f t="shared" ref="EM550:ER550" si="276">EM552+EM576</f>
        <v>125.42304298860759</v>
      </c>
      <c r="EN550" s="323">
        <f t="shared" si="276"/>
        <v>154.19304175611461</v>
      </c>
      <c r="EO550" s="323">
        <f t="shared" si="276"/>
        <v>161.5150272982255</v>
      </c>
      <c r="EP550" s="323">
        <f t="shared" si="276"/>
        <v>135.98831258014437</v>
      </c>
      <c r="EQ550" s="323">
        <f t="shared" si="276"/>
        <v>117.37023041524768</v>
      </c>
      <c r="ER550" s="323">
        <f t="shared" si="276"/>
        <v>278.58690740841371</v>
      </c>
      <c r="ES550" s="323">
        <f t="shared" ref="ES550:EX550" si="277">ES552+ES576</f>
        <v>164.79945847497459</v>
      </c>
      <c r="ET550" s="323">
        <f t="shared" si="277"/>
        <v>177.84366955402521</v>
      </c>
      <c r="EU550" s="323">
        <f t="shared" si="277"/>
        <v>168.57609966224513</v>
      </c>
      <c r="EV550" s="323">
        <f t="shared" si="277"/>
        <v>182.10078661291439</v>
      </c>
      <c r="EW550" s="323">
        <f t="shared" si="277"/>
        <v>130.47565852169629</v>
      </c>
      <c r="EX550" s="325">
        <f t="shared" si="277"/>
        <v>203.48230781812748</v>
      </c>
      <c r="EY550" s="323"/>
      <c r="EZ550" s="323"/>
      <c r="FA550" s="323"/>
      <c r="FB550" s="323"/>
      <c r="FC550" s="323"/>
      <c r="FD550" s="323"/>
      <c r="FE550" s="323"/>
      <c r="FF550" s="323"/>
      <c r="FG550" s="323"/>
      <c r="FH550" s="323"/>
      <c r="FI550" s="323"/>
      <c r="FJ550" s="325"/>
      <c r="FK550" s="323"/>
      <c r="FL550" s="323"/>
      <c r="FM550" s="323"/>
      <c r="FN550" s="323"/>
      <c r="FO550" s="323"/>
      <c r="FP550" s="323"/>
      <c r="FQ550" s="323"/>
      <c r="FR550" s="323"/>
      <c r="FS550" s="323"/>
      <c r="FT550" s="323"/>
      <c r="FU550" s="323"/>
      <c r="FV550" s="323"/>
      <c r="FW550" s="323"/>
      <c r="FX550" s="323"/>
      <c r="FY550" s="323"/>
      <c r="FZ550" s="323"/>
      <c r="GA550" s="323"/>
      <c r="GB550" s="323"/>
      <c r="GC550" s="323"/>
      <c r="GD550" s="323"/>
      <c r="GE550" s="323"/>
      <c r="GF550" s="323"/>
      <c r="GG550" s="323"/>
      <c r="GH550" s="323"/>
      <c r="GI550" s="323"/>
      <c r="GJ550" s="323"/>
      <c r="GK550" s="323"/>
      <c r="GL550" s="323"/>
      <c r="GM550" s="323"/>
      <c r="GN550" s="323"/>
      <c r="GO550" s="323"/>
      <c r="GP550" s="323"/>
      <c r="GQ550" s="323"/>
      <c r="GR550" s="323"/>
      <c r="GS550" s="323"/>
      <c r="GT550" s="323"/>
      <c r="GU550" s="323"/>
      <c r="GV550" s="323"/>
      <c r="GW550" s="323"/>
      <c r="GX550" s="323"/>
      <c r="GY550" s="323"/>
      <c r="GZ550" s="323"/>
      <c r="HA550" s="323"/>
      <c r="HB550" s="323"/>
      <c r="HC550" s="323"/>
      <c r="HD550" s="323"/>
      <c r="HE550" s="323"/>
      <c r="HF550" s="323"/>
      <c r="HG550" s="323"/>
      <c r="HH550" s="323"/>
      <c r="HI550" s="323"/>
      <c r="HJ550" s="323"/>
      <c r="HK550" s="323"/>
      <c r="HL550" s="323"/>
      <c r="HM550" s="323"/>
      <c r="HN550" s="323"/>
      <c r="HO550" s="323"/>
      <c r="HP550" s="323"/>
      <c r="HQ550" s="323"/>
      <c r="HR550" s="323"/>
      <c r="HS550" s="323"/>
      <c r="HT550" s="323"/>
      <c r="HU550" s="323"/>
      <c r="HV550" s="323"/>
      <c r="HW550" s="323"/>
      <c r="HX550" s="323"/>
      <c r="HY550" s="323"/>
      <c r="HZ550" s="326"/>
      <c r="IA550" s="322" t="s">
        <v>114</v>
      </c>
      <c r="IB550" s="322"/>
      <c r="IC550" s="322"/>
      <c r="ID550" s="323">
        <f>+FISC!Z743</f>
        <v>1418.6704994724025</v>
      </c>
      <c r="IE550" s="279">
        <f t="shared" ref="IE550:IO550" si="278">IE552+IE576</f>
        <v>713.15468375672367</v>
      </c>
      <c r="IF550" s="279">
        <f t="shared" si="278"/>
        <v>695.69405979505495</v>
      </c>
      <c r="IG550" s="323">
        <f t="shared" si="278"/>
        <v>1408.8487435517786</v>
      </c>
      <c r="IH550" s="279">
        <f t="shared" si="278"/>
        <v>726.44632538694032</v>
      </c>
      <c r="II550" s="279">
        <f t="shared" si="278"/>
        <v>766.458799586243</v>
      </c>
      <c r="IJ550" s="323">
        <f t="shared" si="278"/>
        <v>1492.9051249731833</v>
      </c>
      <c r="IK550" s="279">
        <f t="shared" si="278"/>
        <v>681.95559989358344</v>
      </c>
      <c r="IL550" s="279">
        <f t="shared" si="278"/>
        <v>773.28143920817888</v>
      </c>
      <c r="IM550" s="323">
        <f t="shared" si="278"/>
        <v>1455.2370391017623</v>
      </c>
      <c r="IN550" s="279">
        <f t="shared" si="278"/>
        <v>885.45202754865852</v>
      </c>
      <c r="IO550" s="279">
        <f t="shared" si="278"/>
        <v>934.96040524238811</v>
      </c>
      <c r="IP550" s="323">
        <f>FISC!AC743</f>
        <v>1820.4124327910465</v>
      </c>
      <c r="IQ550" s="279">
        <f>SUM(EM550:ER550)</f>
        <v>973.07656244675343</v>
      </c>
      <c r="IR550" s="279">
        <f>SUM(ES550:EX550)</f>
        <v>1027.277980643983</v>
      </c>
      <c r="IS550" s="323">
        <f>IQ550+IR550</f>
        <v>2000.3545430907366</v>
      </c>
      <c r="IT550" s="279" t="e">
        <f>(IT552+IT576)*0+1127.74842668651</f>
        <v>#REF!</v>
      </c>
      <c r="IU550" s="279" t="e">
        <f>IV550-IT550</f>
        <v>#REF!</v>
      </c>
      <c r="IV550" s="323">
        <f>+FISC!AE743</f>
        <v>2082.0309719952802</v>
      </c>
      <c r="IW550" s="279">
        <f>IW552+IW576</f>
        <v>1020.845015068115</v>
      </c>
      <c r="IX550" s="279">
        <f>IY550-IW550</f>
        <v>1150.6901107311451</v>
      </c>
      <c r="IY550" s="323">
        <f>+FISC!AF743</f>
        <v>2171.5351257992602</v>
      </c>
      <c r="IZ550" s="279">
        <f>IZ552+IZ576</f>
        <v>4550.1329228969034</v>
      </c>
      <c r="JA550" s="279">
        <f>JB550-IZ550</f>
        <v>5506.03838784034</v>
      </c>
      <c r="JB550" s="323">
        <f>+FISC!AG743</f>
        <v>10056.171310737243</v>
      </c>
      <c r="JC550" s="279">
        <f>JC552+JC576</f>
        <v>6744.0750307246071</v>
      </c>
      <c r="JD550" s="279">
        <f>JE550-JC550</f>
        <v>7895.9118494920058</v>
      </c>
      <c r="JE550" s="323">
        <f>+FISC!AH743</f>
        <v>14639.986880216613</v>
      </c>
      <c r="JF550" s="279">
        <f>JF552+JF576</f>
        <v>8122.2480285432839</v>
      </c>
      <c r="JG550" s="279">
        <f>JH550-JF550</f>
        <v>9359.7682044136927</v>
      </c>
      <c r="JH550" s="323">
        <f>+FISC!AI743</f>
        <v>17482.016232956976</v>
      </c>
      <c r="JI550" s="279">
        <f>JI552+JI576</f>
        <v>360.69034145472824</v>
      </c>
      <c r="JJ550" s="279">
        <f>JK550-JI550</f>
        <v>262.38268183523201</v>
      </c>
      <c r="JK550" s="323">
        <f>+FISC!AJ743</f>
        <v>623.07302328996025</v>
      </c>
      <c r="JL550" s="279">
        <f>JL552+JL576</f>
        <v>322.30763537469227</v>
      </c>
      <c r="JM550" s="279">
        <f>JN550-JL550</f>
        <v>-322.30763537469227</v>
      </c>
      <c r="JN550" s="323">
        <f>+FISC!AK743</f>
        <v>0</v>
      </c>
      <c r="JO550" s="323"/>
      <c r="KU550" s="326"/>
      <c r="KV550" s="327"/>
      <c r="KY550" s="279">
        <f>KY552+KY576</f>
        <v>0</v>
      </c>
      <c r="KZ550" s="279">
        <f>KZ552+KZ576</f>
        <v>0</v>
      </c>
      <c r="LA550" s="279">
        <f>LA552+LA576</f>
        <v>0</v>
      </c>
      <c r="LB550" s="279">
        <f>LB552+LB576</f>
        <v>0</v>
      </c>
    </row>
    <row r="551" spans="2:314" hidden="1">
      <c r="D551" s="328"/>
      <c r="E551" s="323"/>
      <c r="F551" s="323"/>
      <c r="G551" s="323"/>
      <c r="H551" s="323"/>
      <c r="I551" s="323"/>
      <c r="J551" s="323"/>
      <c r="K551" s="323"/>
      <c r="L551" s="323"/>
      <c r="M551" s="323"/>
      <c r="N551" s="323"/>
      <c r="O551" s="323"/>
      <c r="P551" s="323"/>
      <c r="Q551" s="323"/>
      <c r="R551" s="323"/>
      <c r="S551" s="323"/>
      <c r="T551" s="323"/>
      <c r="U551" s="323"/>
      <c r="V551" s="323"/>
      <c r="W551" s="323"/>
      <c r="X551" s="323"/>
      <c r="Y551" s="323"/>
      <c r="Z551" s="323"/>
      <c r="AA551" s="323"/>
      <c r="AB551" s="323"/>
      <c r="AC551" s="323"/>
      <c r="AD551" s="323"/>
      <c r="AE551" s="323"/>
      <c r="AF551" s="323"/>
      <c r="AG551" s="323"/>
      <c r="AH551" s="323"/>
      <c r="AI551" s="323"/>
      <c r="AJ551" s="323"/>
      <c r="AK551" s="323"/>
      <c r="AL551" s="323"/>
      <c r="AM551" s="323"/>
      <c r="AN551" s="323"/>
      <c r="AO551" s="323"/>
      <c r="AP551" s="323"/>
      <c r="AQ551" s="323"/>
      <c r="AR551" s="323"/>
      <c r="AS551" s="323"/>
      <c r="AT551" s="323"/>
      <c r="AU551" s="323"/>
      <c r="AV551" s="323"/>
      <c r="AW551" s="323"/>
      <c r="AX551" s="323"/>
      <c r="AY551" s="323"/>
      <c r="AZ551" s="323"/>
      <c r="BA551" s="323"/>
      <c r="BB551" s="323"/>
      <c r="BC551" s="323"/>
      <c r="BD551" s="323"/>
      <c r="BE551" s="323"/>
      <c r="BF551" s="323"/>
      <c r="BG551" s="323"/>
      <c r="BH551" s="323"/>
      <c r="BI551" s="323"/>
      <c r="BJ551" s="323"/>
      <c r="BK551" s="323"/>
      <c r="BL551" s="323"/>
      <c r="BM551" s="323"/>
      <c r="BN551" s="323"/>
      <c r="BO551" s="323"/>
      <c r="BP551" s="323"/>
      <c r="BQ551" s="323"/>
      <c r="BR551" s="323"/>
      <c r="BS551" s="323"/>
      <c r="BT551" s="323"/>
      <c r="BU551" s="323"/>
      <c r="BV551" s="323"/>
      <c r="BW551" s="323"/>
      <c r="BX551" s="323"/>
      <c r="BY551" s="323"/>
      <c r="BZ551" s="323"/>
      <c r="CA551" s="323"/>
      <c r="CB551" s="323"/>
      <c r="CC551" s="323"/>
      <c r="CD551" s="323"/>
      <c r="CE551" s="324"/>
      <c r="CF551" s="323"/>
      <c r="CG551" s="323"/>
      <c r="CH551" s="323"/>
      <c r="CI551" s="323"/>
      <c r="CJ551" s="323"/>
      <c r="CK551" s="323"/>
      <c r="CL551" s="323"/>
      <c r="CM551" s="323"/>
      <c r="CN551" s="323"/>
      <c r="CO551" s="323"/>
      <c r="CP551" s="325"/>
      <c r="CQ551" s="323"/>
      <c r="CR551" s="323"/>
      <c r="CS551" s="323"/>
      <c r="CT551" s="323"/>
      <c r="CU551" s="323"/>
      <c r="CV551" s="323"/>
      <c r="CW551" s="323"/>
      <c r="CX551" s="323"/>
      <c r="CY551" s="323"/>
      <c r="CZ551" s="323"/>
      <c r="DA551" s="323"/>
      <c r="DB551" s="1269"/>
      <c r="DC551" s="323"/>
      <c r="DD551" s="323"/>
      <c r="DE551" s="323"/>
      <c r="DF551" s="323"/>
      <c r="DG551" s="323"/>
      <c r="DH551" s="323"/>
      <c r="DI551" s="323"/>
      <c r="DJ551" s="323"/>
      <c r="DK551" s="323"/>
      <c r="DL551" s="323"/>
      <c r="DM551" s="323"/>
      <c r="DN551" s="325"/>
      <c r="DO551" s="323"/>
      <c r="DP551" s="323"/>
      <c r="DQ551" s="323"/>
      <c r="DR551" s="323"/>
      <c r="DS551" s="323"/>
      <c r="DT551" s="323"/>
      <c r="DU551" s="323"/>
      <c r="DV551" s="323"/>
      <c r="DW551" s="323"/>
      <c r="DX551" s="323"/>
      <c r="DY551" s="323"/>
      <c r="DZ551" s="325"/>
      <c r="EA551" s="323"/>
      <c r="EB551" s="323"/>
      <c r="EC551" s="323"/>
      <c r="ED551" s="323"/>
      <c r="EE551" s="323"/>
      <c r="EF551" s="323"/>
      <c r="EG551" s="323"/>
      <c r="EH551" s="323"/>
      <c r="EI551" s="323"/>
      <c r="EJ551" s="323"/>
      <c r="EK551" s="323"/>
      <c r="EL551" s="325"/>
      <c r="EM551" s="323"/>
      <c r="EN551" s="323"/>
      <c r="EO551" s="323"/>
      <c r="EP551" s="323"/>
      <c r="EQ551" s="323"/>
      <c r="ER551" s="323"/>
      <c r="ES551" s="323"/>
      <c r="ET551" s="323"/>
      <c r="EU551" s="323"/>
      <c r="EV551" s="323"/>
      <c r="EW551" s="323"/>
      <c r="EX551" s="325"/>
      <c r="EY551" s="323"/>
      <c r="EZ551" s="323"/>
      <c r="FA551" s="323"/>
      <c r="FB551" s="323"/>
      <c r="FC551" s="323"/>
      <c r="FD551" s="323"/>
      <c r="FE551" s="323"/>
      <c r="FF551" s="323"/>
      <c r="FG551" s="323"/>
      <c r="FH551" s="323"/>
      <c r="FI551" s="323"/>
      <c r="FJ551" s="325"/>
      <c r="FK551" s="323"/>
      <c r="FL551" s="323"/>
      <c r="FM551" s="323"/>
      <c r="FN551" s="323"/>
      <c r="FO551" s="323"/>
      <c r="FP551" s="323"/>
      <c r="FQ551" s="323"/>
      <c r="FR551" s="323"/>
      <c r="FS551" s="323"/>
      <c r="FT551" s="323"/>
      <c r="FU551" s="323"/>
      <c r="FV551" s="323"/>
      <c r="FW551" s="323"/>
      <c r="FX551" s="323"/>
      <c r="FY551" s="323"/>
      <c r="FZ551" s="323"/>
      <c r="GA551" s="323"/>
      <c r="GB551" s="323"/>
      <c r="GC551" s="323"/>
      <c r="GD551" s="323"/>
      <c r="GE551" s="323"/>
      <c r="GF551" s="323"/>
      <c r="GG551" s="323"/>
      <c r="GH551" s="323"/>
      <c r="GI551" s="323"/>
      <c r="GJ551" s="323"/>
      <c r="GK551" s="323"/>
      <c r="GL551" s="323"/>
      <c r="GM551" s="323"/>
      <c r="GN551" s="323"/>
      <c r="GO551" s="323"/>
      <c r="GP551" s="323"/>
      <c r="GQ551" s="323"/>
      <c r="GR551" s="323"/>
      <c r="GS551" s="323"/>
      <c r="GT551" s="323"/>
      <c r="GU551" s="323"/>
      <c r="GV551" s="323"/>
      <c r="GW551" s="323"/>
      <c r="GX551" s="323"/>
      <c r="GY551" s="323"/>
      <c r="GZ551" s="323"/>
      <c r="HA551" s="323"/>
      <c r="HB551" s="323"/>
      <c r="HC551" s="323"/>
      <c r="HD551" s="323"/>
      <c r="HE551" s="323"/>
      <c r="HF551" s="323"/>
      <c r="HG551" s="323"/>
      <c r="HH551" s="323"/>
      <c r="HI551" s="323"/>
      <c r="HJ551" s="323"/>
      <c r="HK551" s="323"/>
      <c r="HL551" s="323"/>
      <c r="HM551" s="323"/>
      <c r="HN551" s="323"/>
      <c r="HO551" s="323"/>
      <c r="HP551" s="323"/>
      <c r="HQ551" s="323"/>
      <c r="HR551" s="323"/>
      <c r="HS551" s="323"/>
      <c r="HT551" s="323"/>
      <c r="HU551" s="323"/>
      <c r="HV551" s="323"/>
      <c r="HW551" s="323"/>
      <c r="HX551" s="323"/>
      <c r="HY551" s="323"/>
      <c r="HZ551" s="326"/>
      <c r="IA551" s="328"/>
      <c r="IB551" s="328"/>
      <c r="IC551" s="328"/>
      <c r="ID551" s="323"/>
      <c r="IG551" s="323"/>
      <c r="IJ551" s="323"/>
      <c r="IM551" s="323"/>
      <c r="IO551" s="327"/>
      <c r="IP551" s="323"/>
      <c r="IQ551" s="279">
        <f>SUM(EM551:ER551)</f>
        <v>0</v>
      </c>
      <c r="IR551" s="279">
        <f>SUM(ES551:EX551)</f>
        <v>0</v>
      </c>
      <c r="IS551" s="323"/>
      <c r="IT551" s="327"/>
      <c r="IU551" s="327"/>
      <c r="IV551" s="323"/>
      <c r="IY551" s="323"/>
      <c r="IZ551" s="279">
        <f>JB551*JU551</f>
        <v>0</v>
      </c>
      <c r="JA551" s="279">
        <f t="shared" ref="JA551:JA569" si="279">JB551-IZ551</f>
        <v>0</v>
      </c>
      <c r="JB551" s="323"/>
      <c r="JC551" s="279">
        <f>JE551*JU551</f>
        <v>0</v>
      </c>
      <c r="JD551" s="279">
        <f t="shared" ref="JD551:JD620" si="280">JE551-JC551</f>
        <v>0</v>
      </c>
      <c r="JE551" s="323"/>
      <c r="JF551" s="279">
        <f>JH551*JU551</f>
        <v>0</v>
      </c>
      <c r="JG551" s="279">
        <f t="shared" ref="JG551:JG620" si="281">JH551-JF551</f>
        <v>0</v>
      </c>
      <c r="JH551" s="323"/>
      <c r="JI551" s="279">
        <f>JK551*JX551</f>
        <v>0</v>
      </c>
      <c r="JJ551" s="279">
        <f t="shared" ref="JJ551:JJ620" si="282">JK551-JI551</f>
        <v>0</v>
      </c>
      <c r="JK551" s="323"/>
      <c r="JL551" s="279">
        <f>JN551*KA551</f>
        <v>0</v>
      </c>
      <c r="JM551" s="279">
        <f t="shared" ref="JM551:JM620" si="283">JN551-JL551</f>
        <v>0</v>
      </c>
      <c r="JN551" s="323"/>
      <c r="JO551" s="323"/>
      <c r="KU551" s="326"/>
      <c r="KV551" s="327"/>
    </row>
    <row r="552" spans="2:314" hidden="1">
      <c r="B552" s="96" t="s">
        <v>338</v>
      </c>
      <c r="D552" s="322" t="str">
        <f>+FISC!D745</f>
        <v>Total revenue</v>
      </c>
      <c r="E552" s="323">
        <f t="shared" ref="E552:BP552" si="284">E553+E570</f>
        <v>16.5383</v>
      </c>
      <c r="F552" s="323">
        <f t="shared" si="284"/>
        <v>15.875399999999999</v>
      </c>
      <c r="G552" s="323">
        <f t="shared" si="284"/>
        <v>24.213000000000001</v>
      </c>
      <c r="H552" s="323">
        <f t="shared" si="284"/>
        <v>20.4634</v>
      </c>
      <c r="I552" s="323">
        <f t="shared" si="284"/>
        <v>20.900200000000002</v>
      </c>
      <c r="J552" s="323">
        <f t="shared" si="284"/>
        <v>26.330902116000001</v>
      </c>
      <c r="K552" s="323">
        <f t="shared" si="284"/>
        <v>18.669034962999998</v>
      </c>
      <c r="L552" s="323">
        <f t="shared" si="284"/>
        <v>20.163478661999999</v>
      </c>
      <c r="M552" s="323">
        <f t="shared" si="284"/>
        <v>23.201122285</v>
      </c>
      <c r="N552" s="323">
        <f t="shared" si="284"/>
        <v>19.877401225</v>
      </c>
      <c r="O552" s="323">
        <f t="shared" si="284"/>
        <v>21.377868437</v>
      </c>
      <c r="P552" s="323">
        <f t="shared" si="284"/>
        <v>25.326898893999999</v>
      </c>
      <c r="Q552" s="323">
        <f t="shared" si="284"/>
        <v>22.179866305999997</v>
      </c>
      <c r="R552" s="323">
        <f t="shared" si="284"/>
        <v>21.164371927000001</v>
      </c>
      <c r="S552" s="323">
        <f t="shared" si="284"/>
        <v>27.234012576000001</v>
      </c>
      <c r="T552" s="323">
        <f t="shared" si="284"/>
        <v>25.754677922000003</v>
      </c>
      <c r="U552" s="323">
        <f t="shared" si="284"/>
        <v>24.531161763</v>
      </c>
      <c r="V552" s="323">
        <f t="shared" si="284"/>
        <v>40.780660499</v>
      </c>
      <c r="W552" s="323">
        <f t="shared" si="284"/>
        <v>25.122907194</v>
      </c>
      <c r="X552" s="323">
        <f t="shared" si="284"/>
        <v>26.188947629999998</v>
      </c>
      <c r="Y552" s="323">
        <f t="shared" si="284"/>
        <v>36.555613293</v>
      </c>
      <c r="Z552" s="323">
        <f t="shared" si="284"/>
        <v>30.925497113999999</v>
      </c>
      <c r="AA552" s="323">
        <f t="shared" si="284"/>
        <v>27.185696262999997</v>
      </c>
      <c r="AB552" s="323">
        <f t="shared" si="284"/>
        <v>73.355484633000003</v>
      </c>
      <c r="AC552" s="323">
        <f t="shared" si="284"/>
        <v>29.319654589999999</v>
      </c>
      <c r="AD552" s="323">
        <f t="shared" si="284"/>
        <v>29.951000631000003</v>
      </c>
      <c r="AE552" s="323">
        <f t="shared" si="284"/>
        <v>34.806349091999998</v>
      </c>
      <c r="AF552" s="323">
        <f t="shared" si="284"/>
        <v>29.167745937999999</v>
      </c>
      <c r="AG552" s="323">
        <f t="shared" si="284"/>
        <v>29.712147304000002</v>
      </c>
      <c r="AH552" s="323">
        <f t="shared" si="284"/>
        <v>40.743024720999991</v>
      </c>
      <c r="AI552" s="323">
        <f t="shared" si="284"/>
        <v>27.257941557999995</v>
      </c>
      <c r="AJ552" s="323">
        <f t="shared" si="284"/>
        <v>27.793590137000002</v>
      </c>
      <c r="AK552" s="323">
        <f t="shared" si="284"/>
        <v>34.524928839000005</v>
      </c>
      <c r="AL552" s="323">
        <f t="shared" si="284"/>
        <v>27.274276262000001</v>
      </c>
      <c r="AM552" s="323">
        <f t="shared" si="284"/>
        <v>30.466199999999997</v>
      </c>
      <c r="AN552" s="323">
        <f t="shared" si="284"/>
        <v>38.3446</v>
      </c>
      <c r="AO552" s="323">
        <f t="shared" si="284"/>
        <v>29.764936359</v>
      </c>
      <c r="AP552" s="323">
        <f t="shared" si="284"/>
        <v>28.208919395999999</v>
      </c>
      <c r="AQ552" s="323">
        <f t="shared" si="284"/>
        <v>46.601846963</v>
      </c>
      <c r="AR552" s="323">
        <f t="shared" si="284"/>
        <v>30.875261329000001</v>
      </c>
      <c r="AS552" s="323">
        <f t="shared" si="284"/>
        <v>31.183278000000001</v>
      </c>
      <c r="AT552" s="323">
        <f t="shared" si="284"/>
        <v>37.676075787000002</v>
      </c>
      <c r="AU552" s="323">
        <f t="shared" si="284"/>
        <v>31.866403909999999</v>
      </c>
      <c r="AV552" s="323">
        <f t="shared" si="284"/>
        <v>36.252635124999998</v>
      </c>
      <c r="AW552" s="323">
        <f t="shared" si="284"/>
        <v>40.302209705000003</v>
      </c>
      <c r="AX552" s="323">
        <f t="shared" si="284"/>
        <v>34.389034735999999</v>
      </c>
      <c r="AY552" s="323">
        <f t="shared" si="284"/>
        <v>37.329067059000003</v>
      </c>
      <c r="AZ552" s="323">
        <f t="shared" si="284"/>
        <v>46.461917195000005</v>
      </c>
      <c r="BA552" s="323">
        <f t="shared" si="284"/>
        <v>40.372282581</v>
      </c>
      <c r="BB552" s="323">
        <f t="shared" si="284"/>
        <v>32.462750329000002</v>
      </c>
      <c r="BC552" s="323">
        <f t="shared" si="284"/>
        <v>51.692223890000001</v>
      </c>
      <c r="BD552" s="323">
        <f t="shared" si="284"/>
        <v>37.733015287000001</v>
      </c>
      <c r="BE552" s="323">
        <f t="shared" si="284"/>
        <v>42.271061997000004</v>
      </c>
      <c r="BF552" s="323">
        <f t="shared" si="284"/>
        <v>52.966000926999996</v>
      </c>
      <c r="BG552" s="323">
        <f t="shared" si="284"/>
        <v>36.168595312799994</v>
      </c>
      <c r="BH552" s="323">
        <f t="shared" si="284"/>
        <v>43.234283078200001</v>
      </c>
      <c r="BI552" s="323">
        <f t="shared" si="284"/>
        <v>65.594706880900006</v>
      </c>
      <c r="BJ552" s="323">
        <f t="shared" si="284"/>
        <v>41.211862676999999</v>
      </c>
      <c r="BK552" s="323">
        <f t="shared" si="284"/>
        <v>43.569539720999998</v>
      </c>
      <c r="BL552" s="323">
        <f t="shared" si="284"/>
        <v>54.424474300999997</v>
      </c>
      <c r="BM552" s="323">
        <f t="shared" si="284"/>
        <v>44.105241053999997</v>
      </c>
      <c r="BN552" s="323">
        <f t="shared" si="284"/>
        <v>44.312992412999996</v>
      </c>
      <c r="BO552" s="323">
        <f t="shared" si="284"/>
        <v>60.043170514999993</v>
      </c>
      <c r="BP552" s="323">
        <f t="shared" si="284"/>
        <v>44.577221414999997</v>
      </c>
      <c r="BQ552" s="323">
        <f t="shared" ref="BQ552:DN552" si="285">BQ553+BQ570</f>
        <v>56.649560364000003</v>
      </c>
      <c r="BR552" s="323">
        <f t="shared" si="285"/>
        <v>57.936586860999995</v>
      </c>
      <c r="BS552" s="323">
        <f t="shared" si="285"/>
        <v>50.174999999999997</v>
      </c>
      <c r="BT552" s="323">
        <f t="shared" si="285"/>
        <v>51.167600000000007</v>
      </c>
      <c r="BU552" s="323">
        <f t="shared" si="285"/>
        <v>58.022500000000001</v>
      </c>
      <c r="BV552" s="323">
        <f t="shared" si="285"/>
        <v>67.65402367063237</v>
      </c>
      <c r="BW552" s="323">
        <f t="shared" si="285"/>
        <v>49.19572033965882</v>
      </c>
      <c r="BX552" s="323">
        <f t="shared" si="285"/>
        <v>69.986593628505176</v>
      </c>
      <c r="BY552" s="323">
        <f t="shared" si="285"/>
        <v>53.009075458916328</v>
      </c>
      <c r="BZ552" s="323">
        <f t="shared" si="285"/>
        <v>52.648868041803432</v>
      </c>
      <c r="CA552" s="323">
        <f t="shared" si="285"/>
        <v>88.217625266590289</v>
      </c>
      <c r="CB552" s="323">
        <f t="shared" si="285"/>
        <v>53.706899125880469</v>
      </c>
      <c r="CC552" s="323">
        <f t="shared" si="285"/>
        <v>55.896236535222947</v>
      </c>
      <c r="CD552" s="323">
        <f t="shared" si="285"/>
        <v>85.3276152868808</v>
      </c>
      <c r="CE552" s="324">
        <f t="shared" si="285"/>
        <v>60.830473264697275</v>
      </c>
      <c r="CF552" s="323">
        <f t="shared" si="285"/>
        <v>61.031943501572783</v>
      </c>
      <c r="CG552" s="323">
        <f t="shared" si="285"/>
        <v>68.846531850293431</v>
      </c>
      <c r="CH552" s="323">
        <f t="shared" si="285"/>
        <v>82.132439465750224</v>
      </c>
      <c r="CI552" s="323">
        <f t="shared" si="285"/>
        <v>58.711358355824714</v>
      </c>
      <c r="CJ552" s="323">
        <f t="shared" si="285"/>
        <v>86.316598820932796</v>
      </c>
      <c r="CK552" s="323">
        <f t="shared" si="285"/>
        <v>63.573570289825042</v>
      </c>
      <c r="CL552" s="323">
        <f t="shared" si="285"/>
        <v>63.250821485083073</v>
      </c>
      <c r="CM552" s="323">
        <f t="shared" si="285"/>
        <v>87.988916234456212</v>
      </c>
      <c r="CN552" s="323">
        <f t="shared" si="285"/>
        <v>60.020681533917354</v>
      </c>
      <c r="CO552" s="323">
        <f t="shared" si="285"/>
        <v>67.4479192841996</v>
      </c>
      <c r="CP552" s="325">
        <f t="shared" si="285"/>
        <v>113.71838556811986</v>
      </c>
      <c r="CQ552" s="323">
        <f t="shared" si="285"/>
        <v>62.99602087442333</v>
      </c>
      <c r="CR552" s="323">
        <f t="shared" si="285"/>
        <v>65.33411370871147</v>
      </c>
      <c r="CS552" s="323">
        <f t="shared" si="285"/>
        <v>85.09322572872253</v>
      </c>
      <c r="CT552" s="323">
        <f t="shared" si="285"/>
        <v>61.511698774882227</v>
      </c>
      <c r="CU552" s="323">
        <f t="shared" si="285"/>
        <v>59.358373962794374</v>
      </c>
      <c r="CV552" s="323">
        <f t="shared" si="285"/>
        <v>83.649151977615134</v>
      </c>
      <c r="CW552" s="323">
        <f t="shared" si="285"/>
        <v>74.506710858277586</v>
      </c>
      <c r="CX552" s="323">
        <f t="shared" si="285"/>
        <v>67.356111067263086</v>
      </c>
      <c r="CY552" s="323">
        <f t="shared" si="285"/>
        <v>91.909844021911795</v>
      </c>
      <c r="CZ552" s="323">
        <f t="shared" si="285"/>
        <v>74.158829422090108</v>
      </c>
      <c r="DA552" s="323">
        <f t="shared" si="285"/>
        <v>70.44882806760269</v>
      </c>
      <c r="DB552" s="1269">
        <f t="shared" si="285"/>
        <v>104.82506873185119</v>
      </c>
      <c r="DC552" s="323">
        <f t="shared" si="285"/>
        <v>69.560293773846709</v>
      </c>
      <c r="DD552" s="323">
        <f t="shared" si="285"/>
        <v>70.520117501935545</v>
      </c>
      <c r="DE552" s="323">
        <f t="shared" si="285"/>
        <v>90.531258142568404</v>
      </c>
      <c r="DF552" s="323">
        <f t="shared" si="285"/>
        <v>80.509053397906328</v>
      </c>
      <c r="DG552" s="323">
        <f t="shared" si="285"/>
        <v>73.21240330954916</v>
      </c>
      <c r="DH552" s="323">
        <f t="shared" si="285"/>
        <v>99.708799863493851</v>
      </c>
      <c r="DI552" s="323">
        <f t="shared" si="285"/>
        <v>80.698102275652388</v>
      </c>
      <c r="DJ552" s="323">
        <f t="shared" si="285"/>
        <v>77.448607252147653</v>
      </c>
      <c r="DK552" s="323">
        <f t="shared" si="285"/>
        <v>118.54506562031246</v>
      </c>
      <c r="DL552" s="323">
        <f t="shared" si="285"/>
        <v>81.13460613768342</v>
      </c>
      <c r="DM552" s="323">
        <f t="shared" si="285"/>
        <v>80.950177593496889</v>
      </c>
      <c r="DN552" s="325">
        <f t="shared" si="285"/>
        <v>122.2152256734072</v>
      </c>
      <c r="DO552" s="323">
        <f t="shared" ref="DO552:DZ552" si="286">DO553+DO570</f>
        <v>73.140603806900003</v>
      </c>
      <c r="DP552" s="323">
        <f t="shared" si="286"/>
        <v>85.874613060300021</v>
      </c>
      <c r="DQ552" s="323">
        <f t="shared" si="286"/>
        <v>99.786274171000002</v>
      </c>
      <c r="DR552" s="323">
        <f t="shared" si="286"/>
        <v>78.461688966700009</v>
      </c>
      <c r="DS552" s="323">
        <f t="shared" si="286"/>
        <v>80.908753246679993</v>
      </c>
      <c r="DT552" s="323">
        <f t="shared" si="286"/>
        <v>113.88552680144727</v>
      </c>
      <c r="DU552" s="323">
        <f t="shared" si="286"/>
        <v>91.446586292100008</v>
      </c>
      <c r="DV552" s="323">
        <f t="shared" si="286"/>
        <v>84.347827259100001</v>
      </c>
      <c r="DW552" s="323">
        <f t="shared" si="286"/>
        <v>135.34661416151002</v>
      </c>
      <c r="DX552" s="323">
        <f t="shared" si="286"/>
        <v>83.559970221553328</v>
      </c>
      <c r="DY552" s="323">
        <f t="shared" si="286"/>
        <v>93.673069426033351</v>
      </c>
      <c r="DZ552" s="325">
        <f t="shared" si="286"/>
        <v>136.64901757505334</v>
      </c>
      <c r="EA552" s="323">
        <f t="shared" ref="EA552:EL552" si="287">EA553+EA570</f>
        <v>84.42665940725</v>
      </c>
      <c r="EB552" s="323">
        <f t="shared" si="287"/>
        <v>91.424914119540006</v>
      </c>
      <c r="EC552" s="323">
        <f t="shared" si="287"/>
        <v>112.65677547006997</v>
      </c>
      <c r="ED552" s="323">
        <f t="shared" si="287"/>
        <v>98.593675177519998</v>
      </c>
      <c r="EE552" s="323">
        <f t="shared" si="287"/>
        <v>95.31290553716002</v>
      </c>
      <c r="EF552" s="323">
        <f t="shared" si="287"/>
        <v>130.89068889513001</v>
      </c>
      <c r="EG552" s="323">
        <f t="shared" si="287"/>
        <v>107.42943179415485</v>
      </c>
      <c r="EH552" s="323">
        <f t="shared" si="287"/>
        <v>91.336825825805931</v>
      </c>
      <c r="EI552" s="323">
        <f t="shared" si="287"/>
        <v>142.56662475513522</v>
      </c>
      <c r="EJ552" s="323">
        <f t="shared" si="287"/>
        <v>111.50793754862167</v>
      </c>
      <c r="EK552" s="323">
        <f t="shared" si="287"/>
        <v>99.213779319099984</v>
      </c>
      <c r="EL552" s="325">
        <f t="shared" si="287"/>
        <v>146.09078470284848</v>
      </c>
      <c r="EM552" s="323">
        <f t="shared" ref="EM552:ER552" si="288">EM553+EM570</f>
        <v>95.420989451839986</v>
      </c>
      <c r="EN552" s="323">
        <f t="shared" si="288"/>
        <v>108.81270264777001</v>
      </c>
      <c r="EO552" s="323">
        <f t="shared" si="288"/>
        <v>129.15230146476</v>
      </c>
      <c r="EP552" s="323">
        <f t="shared" si="288"/>
        <v>110.25108932757665</v>
      </c>
      <c r="EQ552" s="323">
        <f t="shared" si="288"/>
        <v>108.78106751283667</v>
      </c>
      <c r="ER552" s="323">
        <f t="shared" si="288"/>
        <v>154.62290892254671</v>
      </c>
      <c r="ES552" s="323">
        <f t="shared" ref="ES552:EX552" si="289">ES553+ES570</f>
        <v>124.96217212857266</v>
      </c>
      <c r="ET552" s="323">
        <f t="shared" si="289"/>
        <v>111.86706099454993</v>
      </c>
      <c r="EU552" s="323">
        <f>EU553+EU570</f>
        <v>142.06152657032001</v>
      </c>
      <c r="EV552" s="323">
        <f t="shared" si="289"/>
        <v>135.30856396449443</v>
      </c>
      <c r="EW552" s="323">
        <f t="shared" si="289"/>
        <v>121.20207718578003</v>
      </c>
      <c r="EX552" s="325">
        <f t="shared" si="289"/>
        <v>176.73277592332821</v>
      </c>
      <c r="EY552" s="323"/>
      <c r="EZ552" s="323"/>
      <c r="FA552" s="323"/>
      <c r="FB552" s="323"/>
      <c r="FC552" s="323"/>
      <c r="FD552" s="323"/>
      <c r="FE552" s="323"/>
      <c r="FF552" s="323"/>
      <c r="FG552" s="323"/>
      <c r="FH552" s="323"/>
      <c r="FI552" s="323"/>
      <c r="FJ552" s="325"/>
      <c r="FK552" s="323"/>
      <c r="FL552" s="323"/>
      <c r="FM552" s="323"/>
      <c r="FN552" s="323"/>
      <c r="FO552" s="323"/>
      <c r="FP552" s="323"/>
      <c r="FQ552" s="323"/>
      <c r="FR552" s="323"/>
      <c r="FS552" s="323"/>
      <c r="FT552" s="323"/>
      <c r="FU552" s="323"/>
      <c r="FV552" s="323"/>
      <c r="FW552" s="323"/>
      <c r="FX552" s="323"/>
      <c r="FY552" s="323"/>
      <c r="FZ552" s="323"/>
      <c r="GA552" s="323"/>
      <c r="GB552" s="323"/>
      <c r="GC552" s="323"/>
      <c r="GD552" s="323"/>
      <c r="GE552" s="323"/>
      <c r="GF552" s="323"/>
      <c r="GG552" s="323"/>
      <c r="GH552" s="323"/>
      <c r="GI552" s="323"/>
      <c r="GJ552" s="323"/>
      <c r="GK552" s="323"/>
      <c r="GL552" s="323"/>
      <c r="GM552" s="323"/>
      <c r="GN552" s="323"/>
      <c r="GO552" s="323"/>
      <c r="GP552" s="323"/>
      <c r="GQ552" s="323"/>
      <c r="GR552" s="323"/>
      <c r="GS552" s="323"/>
      <c r="GT552" s="323"/>
      <c r="GU552" s="323"/>
      <c r="GV552" s="323"/>
      <c r="GW552" s="323"/>
      <c r="GX552" s="323"/>
      <c r="GY552" s="323"/>
      <c r="GZ552" s="323"/>
      <c r="HA552" s="323"/>
      <c r="HB552" s="323"/>
      <c r="HC552" s="323"/>
      <c r="HD552" s="323"/>
      <c r="HE552" s="323"/>
      <c r="HF552" s="323"/>
      <c r="HG552" s="323"/>
      <c r="HH552" s="323"/>
      <c r="HI552" s="323"/>
      <c r="HJ552" s="323"/>
      <c r="HK552" s="323"/>
      <c r="HL552" s="323"/>
      <c r="HM552" s="323"/>
      <c r="HN552" s="323"/>
      <c r="HO552" s="323"/>
      <c r="HP552" s="323"/>
      <c r="HQ552" s="323"/>
      <c r="HR552" s="323"/>
      <c r="HS552" s="323"/>
      <c r="HT552" s="323"/>
      <c r="HU552" s="323"/>
      <c r="HV552" s="323"/>
      <c r="HW552" s="323"/>
      <c r="HX552" s="323"/>
      <c r="HY552" s="323"/>
      <c r="HZ552" s="326"/>
      <c r="IA552" s="322" t="s">
        <v>116</v>
      </c>
      <c r="IB552" s="322"/>
      <c r="IC552" s="322"/>
      <c r="ID552" s="323">
        <f>+FISC!Z745</f>
        <v>1002.7568019579999</v>
      </c>
      <c r="IE552" s="279">
        <f>IE553+IE570</f>
        <v>417.94258502714905</v>
      </c>
      <c r="IF552" s="279">
        <f>IF553+IF570</f>
        <v>483.20539216899641</v>
      </c>
      <c r="IG552" s="323">
        <f>IG553+IG570</f>
        <v>901.14797719614558</v>
      </c>
      <c r="IH552" s="279">
        <f t="shared" ref="IH552:IO552" si="290">IH553+IH570</f>
        <v>484.04192598930001</v>
      </c>
      <c r="II552" s="279">
        <f t="shared" si="290"/>
        <v>560.99178455269998</v>
      </c>
      <c r="IJ552" s="323">
        <f t="shared" si="290"/>
        <v>1045.0337105420001</v>
      </c>
      <c r="IK552" s="279">
        <f t="shared" si="290"/>
        <v>532.05746005302717</v>
      </c>
      <c r="IL552" s="279">
        <f t="shared" si="290"/>
        <v>625.02308493534997</v>
      </c>
      <c r="IM552" s="323">
        <f t="shared" si="290"/>
        <v>1157.0805449883771</v>
      </c>
      <c r="IN552" s="279">
        <f>IN553+IN570</f>
        <v>690.68740843367004</v>
      </c>
      <c r="IO552" s="279">
        <f t="shared" si="290"/>
        <v>770.81634748866611</v>
      </c>
      <c r="IP552" s="323">
        <f>FISC!AC745</f>
        <v>1461.503755922336</v>
      </c>
      <c r="IQ552" s="279">
        <f>SUM(EM552:ER552)</f>
        <v>707.04105932733</v>
      </c>
      <c r="IR552" s="279">
        <f>SUM(ES552:EX552)</f>
        <v>812.13417676704523</v>
      </c>
      <c r="IS552" s="323">
        <f>IQ552+IR552</f>
        <v>1519.1752360943751</v>
      </c>
      <c r="IT552" s="279" t="e">
        <f>(IT553+IT570)*0+907.273866170042</f>
        <v>#REF!</v>
      </c>
      <c r="IU552" s="279" t="e">
        <f>IU553+IU570</f>
        <v>#REF!</v>
      </c>
      <c r="IV552" s="323">
        <f>+FISC!AE745</f>
        <v>1649.9486941171201</v>
      </c>
      <c r="IW552" s="279">
        <f>IW553+IW570</f>
        <v>778.6748347533885</v>
      </c>
      <c r="IX552" s="279">
        <f t="shared" ref="IX552:IX620" si="291">IY552-IW552</f>
        <v>900.53660605513141</v>
      </c>
      <c r="IY552" s="323">
        <f>+FISC!AF745</f>
        <v>1679.2114408085199</v>
      </c>
      <c r="IZ552" s="279">
        <f>IZ553+IZ570</f>
        <v>4210.1124857179411</v>
      </c>
      <c r="JA552" s="279">
        <f t="shared" si="279"/>
        <v>5009.8486905271084</v>
      </c>
      <c r="JB552" s="323">
        <f>+FISC!AG745</f>
        <v>9219.9611762450495</v>
      </c>
      <c r="JC552" s="279">
        <f>JC553+JC570</f>
        <v>6469.187631395389</v>
      </c>
      <c r="JD552" s="279">
        <f t="shared" si="280"/>
        <v>7459.505095861683</v>
      </c>
      <c r="JE552" s="323">
        <f>+FISC!AH745</f>
        <v>13928.692727257072</v>
      </c>
      <c r="JF552" s="279">
        <f>JF553+JF570</f>
        <v>7776.6678033838762</v>
      </c>
      <c r="JG552" s="279">
        <f t="shared" si="281"/>
        <v>8947.5317889830367</v>
      </c>
      <c r="JH552" s="323">
        <f>+FISC!AI745</f>
        <v>16724.199592366913</v>
      </c>
      <c r="JI552" s="279">
        <f>JI553+JI570</f>
        <v>0</v>
      </c>
      <c r="JJ552" s="279">
        <f t="shared" si="282"/>
        <v>0</v>
      </c>
      <c r="JK552" s="323">
        <f>+FISC!AJ745</f>
        <v>0</v>
      </c>
      <c r="JL552" s="279">
        <f>JL553+JL570</f>
        <v>0</v>
      </c>
      <c r="JM552" s="279">
        <f t="shared" si="283"/>
        <v>0</v>
      </c>
      <c r="JN552" s="323">
        <f>+FISC!AK745</f>
        <v>0</v>
      </c>
      <c r="JO552" s="323"/>
      <c r="KU552" s="326"/>
      <c r="KV552" s="327"/>
      <c r="KY552" s="279">
        <f>KY553+KY570</f>
        <v>0</v>
      </c>
      <c r="KZ552" s="279">
        <f>KZ553+KZ570</f>
        <v>0</v>
      </c>
      <c r="LA552" s="279">
        <f>LA553+LA570</f>
        <v>0</v>
      </c>
      <c r="LB552" s="279">
        <f>LB553+LB570</f>
        <v>0</v>
      </c>
    </row>
    <row r="553" spans="2:314" hidden="1">
      <c r="B553" s="96" t="s">
        <v>338</v>
      </c>
      <c r="D553" s="328" t="str">
        <f>+FISC!D746</f>
        <v>Tax revenue</v>
      </c>
      <c r="E553" s="323">
        <f t="shared" ref="E553:BP553" si="292">E555+E558+E565</f>
        <v>15.9003</v>
      </c>
      <c r="F553" s="323">
        <f t="shared" si="292"/>
        <v>15.1754</v>
      </c>
      <c r="G553" s="323">
        <f t="shared" si="292"/>
        <v>22.451000000000001</v>
      </c>
      <c r="H553" s="323">
        <f t="shared" si="292"/>
        <v>19.007999999999999</v>
      </c>
      <c r="I553" s="323">
        <f t="shared" si="292"/>
        <v>18.420400000000001</v>
      </c>
      <c r="J553" s="323">
        <f t="shared" si="292"/>
        <v>25.304200000000002</v>
      </c>
      <c r="K553" s="323">
        <f t="shared" si="292"/>
        <v>17.343899999999998</v>
      </c>
      <c r="L553" s="323">
        <f t="shared" si="292"/>
        <v>18.981099999999998</v>
      </c>
      <c r="M553" s="323">
        <f t="shared" si="292"/>
        <v>22.213000000000001</v>
      </c>
      <c r="N553" s="323">
        <f t="shared" si="292"/>
        <v>18.811399999999999</v>
      </c>
      <c r="O553" s="323">
        <f t="shared" si="292"/>
        <v>20.230499999999999</v>
      </c>
      <c r="P553" s="323">
        <f t="shared" si="292"/>
        <v>23.9694</v>
      </c>
      <c r="Q553" s="323">
        <f t="shared" si="292"/>
        <v>21.110899999999997</v>
      </c>
      <c r="R553" s="323">
        <f t="shared" si="292"/>
        <v>20.690200000000001</v>
      </c>
      <c r="S553" s="323">
        <f t="shared" si="292"/>
        <v>26.64</v>
      </c>
      <c r="T553" s="323">
        <f t="shared" si="292"/>
        <v>23.484750000000002</v>
      </c>
      <c r="U553" s="323">
        <f t="shared" si="292"/>
        <v>23.641500000000001</v>
      </c>
      <c r="V553" s="323">
        <f t="shared" si="292"/>
        <v>35.311700000000002</v>
      </c>
      <c r="W553" s="323">
        <f t="shared" si="292"/>
        <v>24.373000000000001</v>
      </c>
      <c r="X553" s="323">
        <f t="shared" si="292"/>
        <v>24.683499999999999</v>
      </c>
      <c r="Y553" s="323">
        <f t="shared" si="292"/>
        <v>35.0578</v>
      </c>
      <c r="Z553" s="323">
        <f t="shared" si="292"/>
        <v>29.308399999999999</v>
      </c>
      <c r="AA553" s="323">
        <f t="shared" si="292"/>
        <v>25.883399999999998</v>
      </c>
      <c r="AB553" s="323">
        <f t="shared" si="292"/>
        <v>38.509300000000003</v>
      </c>
      <c r="AC553" s="323">
        <f t="shared" si="292"/>
        <v>28.049999999999997</v>
      </c>
      <c r="AD553" s="323">
        <f t="shared" si="292"/>
        <v>28.991200000000003</v>
      </c>
      <c r="AE553" s="323">
        <f t="shared" si="292"/>
        <v>34.087299999999999</v>
      </c>
      <c r="AF553" s="323">
        <f t="shared" si="292"/>
        <v>27.322800000000001</v>
      </c>
      <c r="AG553" s="323">
        <f t="shared" si="292"/>
        <v>27.106300000000001</v>
      </c>
      <c r="AH553" s="323">
        <f t="shared" si="292"/>
        <v>37.998499999999993</v>
      </c>
      <c r="AI553" s="323">
        <f t="shared" si="292"/>
        <v>26.509099999999997</v>
      </c>
      <c r="AJ553" s="323">
        <f t="shared" si="292"/>
        <v>27.122990000000001</v>
      </c>
      <c r="AK553" s="323">
        <f t="shared" si="292"/>
        <v>32.590400000000002</v>
      </c>
      <c r="AL553" s="323">
        <f t="shared" si="292"/>
        <v>26.6496</v>
      </c>
      <c r="AM553" s="323">
        <f t="shared" si="292"/>
        <v>29.381499999999996</v>
      </c>
      <c r="AN553" s="323">
        <f t="shared" si="292"/>
        <v>37.007300000000001</v>
      </c>
      <c r="AO553" s="323">
        <f t="shared" si="292"/>
        <v>29.107900000000001</v>
      </c>
      <c r="AP553" s="323">
        <f t="shared" si="292"/>
        <v>27.5167</v>
      </c>
      <c r="AQ553" s="323">
        <f t="shared" si="292"/>
        <v>44.653700000000001</v>
      </c>
      <c r="AR553" s="323">
        <f t="shared" si="292"/>
        <v>29.591200000000001</v>
      </c>
      <c r="AS553" s="323">
        <f t="shared" si="292"/>
        <v>28.273</v>
      </c>
      <c r="AT553" s="323">
        <f t="shared" si="292"/>
        <v>36.551200000000001</v>
      </c>
      <c r="AU553" s="323">
        <f t="shared" si="292"/>
        <v>31.125599999999999</v>
      </c>
      <c r="AV553" s="323">
        <f t="shared" si="292"/>
        <v>33.959099999999999</v>
      </c>
      <c r="AW553" s="323">
        <f t="shared" si="292"/>
        <v>38.682940000000002</v>
      </c>
      <c r="AX553" s="323">
        <f t="shared" si="292"/>
        <v>32.815300000000001</v>
      </c>
      <c r="AY553" s="323">
        <f t="shared" si="292"/>
        <v>35.209800000000001</v>
      </c>
      <c r="AZ553" s="323">
        <f t="shared" si="292"/>
        <v>45.302300000000002</v>
      </c>
      <c r="BA553" s="323">
        <f t="shared" si="292"/>
        <v>38.839300000000001</v>
      </c>
      <c r="BB553" s="323">
        <f t="shared" si="292"/>
        <v>31.636660000000003</v>
      </c>
      <c r="BC553" s="323">
        <f t="shared" si="292"/>
        <v>49.993160000000003</v>
      </c>
      <c r="BD553" s="323">
        <f t="shared" si="292"/>
        <v>36.662460000000003</v>
      </c>
      <c r="BE553" s="323">
        <f t="shared" si="292"/>
        <v>40.415650000000007</v>
      </c>
      <c r="BF553" s="323">
        <f t="shared" si="292"/>
        <v>48.833599999999997</v>
      </c>
      <c r="BG553" s="323">
        <f t="shared" si="292"/>
        <v>35.186429093799994</v>
      </c>
      <c r="BH553" s="323">
        <f t="shared" si="292"/>
        <v>41.686628809200002</v>
      </c>
      <c r="BI553" s="323">
        <f t="shared" si="292"/>
        <v>46.983398117900009</v>
      </c>
      <c r="BJ553" s="323">
        <f t="shared" si="292"/>
        <v>39.902200000000001</v>
      </c>
      <c r="BK553" s="323">
        <f t="shared" si="292"/>
        <v>42.28022</v>
      </c>
      <c r="BL553" s="323">
        <f t="shared" si="292"/>
        <v>52.609954999999999</v>
      </c>
      <c r="BM553" s="323">
        <f t="shared" si="292"/>
        <v>43.249299999999998</v>
      </c>
      <c r="BN553" s="323">
        <f t="shared" si="292"/>
        <v>43.165999999999997</v>
      </c>
      <c r="BO553" s="323">
        <f t="shared" si="292"/>
        <v>58.716899999999995</v>
      </c>
      <c r="BP553" s="323">
        <f t="shared" si="292"/>
        <v>43.5837</v>
      </c>
      <c r="BQ553" s="323">
        <f t="shared" ref="BQ553:DN553" si="293">BQ555+BQ558+BQ565</f>
        <v>53.3812</v>
      </c>
      <c r="BR553" s="323">
        <f t="shared" si="293"/>
        <v>56.333399999999997</v>
      </c>
      <c r="BS553" s="323">
        <f t="shared" si="293"/>
        <v>45.601099999999995</v>
      </c>
      <c r="BT553" s="323">
        <f t="shared" si="293"/>
        <v>49.536300000000004</v>
      </c>
      <c r="BU553" s="323">
        <f t="shared" si="293"/>
        <v>55.069699999999997</v>
      </c>
      <c r="BV553" s="323">
        <f t="shared" si="293"/>
        <v>50.460338782147375</v>
      </c>
      <c r="BW553" s="323">
        <f t="shared" si="293"/>
        <v>47.73854370565882</v>
      </c>
      <c r="BX553" s="323">
        <f t="shared" si="293"/>
        <v>55.734871901255175</v>
      </c>
      <c r="BY553" s="323">
        <f t="shared" si="293"/>
        <v>50.75937849946633</v>
      </c>
      <c r="BZ553" s="323">
        <f t="shared" si="293"/>
        <v>50.630494762198431</v>
      </c>
      <c r="CA553" s="323">
        <f t="shared" si="293"/>
        <v>70.645197296430297</v>
      </c>
      <c r="CB553" s="323">
        <f t="shared" si="293"/>
        <v>50.480923714506467</v>
      </c>
      <c r="CC553" s="323">
        <f t="shared" si="293"/>
        <v>51.997049962222945</v>
      </c>
      <c r="CD553" s="323">
        <f t="shared" si="293"/>
        <v>72.8713855213188</v>
      </c>
      <c r="CE553" s="324">
        <f t="shared" si="293"/>
        <v>50.358473264697274</v>
      </c>
      <c r="CF553" s="323">
        <f t="shared" si="293"/>
        <v>56.400872537300785</v>
      </c>
      <c r="CG553" s="323">
        <f t="shared" si="293"/>
        <v>67.762531850293428</v>
      </c>
      <c r="CH553" s="323">
        <f t="shared" si="293"/>
        <v>56.569088801345231</v>
      </c>
      <c r="CI553" s="323">
        <f t="shared" si="293"/>
        <v>56.830358355824714</v>
      </c>
      <c r="CJ553" s="323">
        <f t="shared" si="293"/>
        <v>71.728807105693789</v>
      </c>
      <c r="CK553" s="323">
        <f t="shared" si="293"/>
        <v>62.628570289825042</v>
      </c>
      <c r="CL553" s="323">
        <f t="shared" si="293"/>
        <v>58.387859632163071</v>
      </c>
      <c r="CM553" s="323">
        <f t="shared" si="293"/>
        <v>67.667474816064214</v>
      </c>
      <c r="CN553" s="323">
        <f t="shared" si="293"/>
        <v>58.232361492253354</v>
      </c>
      <c r="CO553" s="323">
        <f t="shared" si="293"/>
        <v>64.576853616357624</v>
      </c>
      <c r="CP553" s="325">
        <f t="shared" si="293"/>
        <v>92.282024141505644</v>
      </c>
      <c r="CQ553" s="323">
        <f t="shared" si="293"/>
        <v>62.205020874423333</v>
      </c>
      <c r="CR553" s="323">
        <f t="shared" si="293"/>
        <v>61.577752156755217</v>
      </c>
      <c r="CS553" s="323">
        <f t="shared" si="293"/>
        <v>81.209225728722529</v>
      </c>
      <c r="CT553" s="323">
        <f t="shared" si="293"/>
        <v>60.439698774882224</v>
      </c>
      <c r="CU553" s="323">
        <f t="shared" si="293"/>
        <v>58.213373962794371</v>
      </c>
      <c r="CV553" s="323">
        <f t="shared" si="293"/>
        <v>82.503151977615133</v>
      </c>
      <c r="CW553" s="323">
        <f t="shared" si="293"/>
        <v>65.856604348482591</v>
      </c>
      <c r="CX553" s="323">
        <f t="shared" si="293"/>
        <v>58.716004557468082</v>
      </c>
      <c r="CY553" s="323">
        <f t="shared" si="293"/>
        <v>87.614972142911796</v>
      </c>
      <c r="CZ553" s="323">
        <f t="shared" si="293"/>
        <v>72.883829422090102</v>
      </c>
      <c r="DA553" s="323">
        <f t="shared" si="293"/>
        <v>68.82082806760269</v>
      </c>
      <c r="DB553" s="1269">
        <f t="shared" si="293"/>
        <v>98.309068731851184</v>
      </c>
      <c r="DC553" s="323">
        <f t="shared" si="293"/>
        <v>66.733951547846715</v>
      </c>
      <c r="DD553" s="323">
        <f t="shared" si="293"/>
        <v>68.245586880935548</v>
      </c>
      <c r="DE553" s="323">
        <f t="shared" si="293"/>
        <v>86.824346869568402</v>
      </c>
      <c r="DF553" s="323">
        <f t="shared" si="293"/>
        <v>77.768789279906329</v>
      </c>
      <c r="DG553" s="323">
        <f t="shared" si="293"/>
        <v>70.290688721549159</v>
      </c>
      <c r="DH553" s="323">
        <f t="shared" si="293"/>
        <v>94.437271875493849</v>
      </c>
      <c r="DI553" s="323">
        <f t="shared" si="293"/>
        <v>76.99888641831906</v>
      </c>
      <c r="DJ553" s="323">
        <f t="shared" si="293"/>
        <v>72.781232871814325</v>
      </c>
      <c r="DK553" s="323">
        <f t="shared" si="293"/>
        <v>113.69690742097913</v>
      </c>
      <c r="DL553" s="323">
        <f t="shared" si="293"/>
        <v>78.44569215335008</v>
      </c>
      <c r="DM553" s="323">
        <f t="shared" si="293"/>
        <v>78.436310386163555</v>
      </c>
      <c r="DN553" s="325">
        <f t="shared" si="293"/>
        <v>115.65428540618294</v>
      </c>
      <c r="DO553" s="323">
        <f t="shared" ref="DO553:DZ553" si="294">DO555+DO558+DO565</f>
        <v>70.001377174548537</v>
      </c>
      <c r="DP553" s="323">
        <f t="shared" si="294"/>
        <v>82.550819978066912</v>
      </c>
      <c r="DQ553" s="323">
        <f t="shared" si="294"/>
        <v>96.339551639584585</v>
      </c>
      <c r="DR553" s="323">
        <f t="shared" si="294"/>
        <v>75.236561436798738</v>
      </c>
      <c r="DS553" s="323">
        <f t="shared" si="294"/>
        <v>77.488918952174245</v>
      </c>
      <c r="DT553" s="323">
        <f t="shared" si="294"/>
        <v>106.98901336147306</v>
      </c>
      <c r="DU553" s="323">
        <f t="shared" si="294"/>
        <v>87.321007018100005</v>
      </c>
      <c r="DV553" s="323">
        <f t="shared" si="294"/>
        <v>80.3658217081</v>
      </c>
      <c r="DW553" s="323">
        <f t="shared" si="294"/>
        <v>130.80228913051002</v>
      </c>
      <c r="DX553" s="323">
        <f t="shared" si="294"/>
        <v>79.869756277899995</v>
      </c>
      <c r="DY553" s="323">
        <f t="shared" si="294"/>
        <v>89.324089658700018</v>
      </c>
      <c r="DZ553" s="325">
        <f t="shared" si="294"/>
        <v>127.8539387389</v>
      </c>
      <c r="EA553" s="323">
        <f t="shared" ref="EA553:EL553" si="295">EA555+EA558+EA565</f>
        <v>80.651868990290183</v>
      </c>
      <c r="EB553" s="323">
        <f t="shared" si="295"/>
        <v>87.744692091378823</v>
      </c>
      <c r="EC553" s="323">
        <f t="shared" si="295"/>
        <v>108.64829614084678</v>
      </c>
      <c r="ED553" s="323">
        <f t="shared" si="295"/>
        <v>93.959872045710185</v>
      </c>
      <c r="EE553" s="323">
        <f t="shared" si="295"/>
        <v>90.263999976638843</v>
      </c>
      <c r="EF553" s="323">
        <f t="shared" si="295"/>
        <v>123.14485494378681</v>
      </c>
      <c r="EG553" s="323">
        <f t="shared" si="295"/>
        <v>103.31933546870459</v>
      </c>
      <c r="EH553" s="323">
        <f t="shared" si="295"/>
        <v>87.46300630727464</v>
      </c>
      <c r="EI553" s="323">
        <f t="shared" si="295"/>
        <v>137.8075590158904</v>
      </c>
      <c r="EJ553" s="323">
        <f t="shared" si="295"/>
        <v>107.06704100578096</v>
      </c>
      <c r="EK553" s="323">
        <f t="shared" si="295"/>
        <v>94.590637116626951</v>
      </c>
      <c r="EL553" s="325">
        <f t="shared" si="295"/>
        <v>138.22246798691367</v>
      </c>
      <c r="EM553" s="323">
        <f t="shared" ref="EM553:ER553" si="296">EM555+EM558+EM565</f>
        <v>90.501668647839992</v>
      </c>
      <c r="EN553" s="323">
        <f t="shared" si="296"/>
        <v>104.63578741077001</v>
      </c>
      <c r="EO553" s="323">
        <f t="shared" si="296"/>
        <v>117.59219140776001</v>
      </c>
      <c r="EP553" s="323">
        <f t="shared" si="296"/>
        <v>103.03049675657665</v>
      </c>
      <c r="EQ553" s="323">
        <f t="shared" si="296"/>
        <v>100.61915029283668</v>
      </c>
      <c r="ER553" s="323">
        <f t="shared" si="296"/>
        <v>139.80340133454672</v>
      </c>
      <c r="ES553" s="323">
        <f t="shared" ref="ES553:EX553" si="297">ES555+ES558+ES565</f>
        <v>118.55254429557266</v>
      </c>
      <c r="ET553" s="323">
        <f t="shared" si="297"/>
        <v>107.28935970444994</v>
      </c>
      <c r="EU553" s="323">
        <f t="shared" si="297"/>
        <v>129.97993856532003</v>
      </c>
      <c r="EV553" s="323">
        <f t="shared" si="297"/>
        <v>129.57661591749442</v>
      </c>
      <c r="EW553" s="323">
        <f t="shared" si="297"/>
        <v>115.44832913078002</v>
      </c>
      <c r="EX553" s="325">
        <f t="shared" si="297"/>
        <v>161.76129901532821</v>
      </c>
      <c r="EY553" s="323"/>
      <c r="EZ553" s="323"/>
      <c r="FA553" s="323"/>
      <c r="FB553" s="323"/>
      <c r="FC553" s="323"/>
      <c r="FD553" s="323"/>
      <c r="FE553" s="323"/>
      <c r="FF553" s="323"/>
      <c r="FG553" s="323"/>
      <c r="FH553" s="323"/>
      <c r="FI553" s="323"/>
      <c r="FJ553" s="325"/>
      <c r="FK553" s="323"/>
      <c r="FL553" s="323"/>
      <c r="FM553" s="323"/>
      <c r="FN553" s="323"/>
      <c r="FO553" s="323"/>
      <c r="FP553" s="323"/>
      <c r="FQ553" s="323"/>
      <c r="FR553" s="323"/>
      <c r="FS553" s="323"/>
      <c r="FT553" s="323"/>
      <c r="FU553" s="323"/>
      <c r="FV553" s="323"/>
      <c r="FW553" s="323"/>
      <c r="FX553" s="323"/>
      <c r="FY553" s="323"/>
      <c r="FZ553" s="323"/>
      <c r="GA553" s="323"/>
      <c r="GB553" s="323"/>
      <c r="GC553" s="323"/>
      <c r="GD553" s="323"/>
      <c r="GE553" s="323"/>
      <c r="GF553" s="323"/>
      <c r="GG553" s="323"/>
      <c r="GH553" s="323"/>
      <c r="GI553" s="323"/>
      <c r="GJ553" s="323"/>
      <c r="GK553" s="323"/>
      <c r="GL553" s="323"/>
      <c r="GM553" s="323"/>
      <c r="GN553" s="323"/>
      <c r="GO553" s="323"/>
      <c r="GP553" s="323"/>
      <c r="GQ553" s="323"/>
      <c r="GR553" s="323"/>
      <c r="GS553" s="323"/>
      <c r="GT553" s="323"/>
      <c r="GU553" s="323"/>
      <c r="GV553" s="323"/>
      <c r="GW553" s="323"/>
      <c r="GX553" s="323"/>
      <c r="GY553" s="323"/>
      <c r="GZ553" s="323"/>
      <c r="HA553" s="323"/>
      <c r="HB553" s="323"/>
      <c r="HC553" s="323"/>
      <c r="HD553" s="323"/>
      <c r="HE553" s="323"/>
      <c r="HF553" s="323"/>
      <c r="HG553" s="323"/>
      <c r="HH553" s="323"/>
      <c r="HI553" s="323"/>
      <c r="HJ553" s="323"/>
      <c r="HK553" s="323"/>
      <c r="HL553" s="323"/>
      <c r="HM553" s="323"/>
      <c r="HN553" s="323"/>
      <c r="HO553" s="323"/>
      <c r="HP553" s="323"/>
      <c r="HQ553" s="323"/>
      <c r="HR553" s="323"/>
      <c r="HS553" s="323"/>
      <c r="HT553" s="323"/>
      <c r="HU553" s="323"/>
      <c r="HV553" s="323"/>
      <c r="HW553" s="323"/>
      <c r="HX553" s="323"/>
      <c r="HY553" s="323"/>
      <c r="HZ553" s="326"/>
      <c r="IA553" s="328" t="s">
        <v>117</v>
      </c>
      <c r="IB553" s="328"/>
      <c r="IC553" s="328"/>
      <c r="ID553" s="323">
        <f>+FISC!Z746</f>
        <v>871.55680195799994</v>
      </c>
      <c r="IE553" s="279">
        <f>IE555+IE558+IE565</f>
        <v>406.14822347519282</v>
      </c>
      <c r="IF553" s="279">
        <f>IF555+IF558+IF565</f>
        <v>452.2013072704064</v>
      </c>
      <c r="IG553" s="323">
        <f>IG555+IG558+IG565</f>
        <v>858.34953074559928</v>
      </c>
      <c r="IH553" s="279">
        <f t="shared" ref="IH553:IO553" si="298">IH555+IH558+IH565</f>
        <v>464.30063517529999</v>
      </c>
      <c r="II553" s="279">
        <f t="shared" si="298"/>
        <v>536.01331465680903</v>
      </c>
      <c r="IJ553" s="323">
        <f t="shared" si="298"/>
        <v>1000.3139498321091</v>
      </c>
      <c r="IK553" s="279">
        <f t="shared" si="298"/>
        <v>508.60624254264599</v>
      </c>
      <c r="IL553" s="279">
        <f t="shared" si="298"/>
        <v>595.53690253220998</v>
      </c>
      <c r="IM553" s="323">
        <f t="shared" si="298"/>
        <v>1104.143145074856</v>
      </c>
      <c r="IN553" s="279">
        <f t="shared" si="298"/>
        <v>584.41358418865161</v>
      </c>
      <c r="IO553" s="279">
        <f t="shared" si="298"/>
        <v>668.47004690119115</v>
      </c>
      <c r="IP553" s="323">
        <f>FISC!AC746</f>
        <v>1252.8836310898428</v>
      </c>
      <c r="IQ553" s="279">
        <f>SUM(EM553:ER553)</f>
        <v>656.18269585033011</v>
      </c>
      <c r="IR553" s="279">
        <f>SUM(ES553:EX553)</f>
        <v>762.60808662894533</v>
      </c>
      <c r="IS553" s="323">
        <f>IQ553+IR553</f>
        <v>1418.7907824792755</v>
      </c>
      <c r="IT553" s="279" t="e">
        <f>(IT555+IT558+IT565)*0+761.974875597519</f>
        <v>#REF!</v>
      </c>
      <c r="IU553" s="279" t="e">
        <f>IU555+IU558+IU565</f>
        <v>#REF!</v>
      </c>
      <c r="IV553" s="323">
        <f>+FISC!AE746</f>
        <v>1408.2817965614299</v>
      </c>
      <c r="IW553" s="279">
        <f>IW555+IW558+IW565</f>
        <v>691.2363320650652</v>
      </c>
      <c r="IX553" s="279">
        <f t="shared" si="291"/>
        <v>768.6368929977948</v>
      </c>
      <c r="IY553" s="323">
        <f>+FISC!AF746</f>
        <v>1459.87322506286</v>
      </c>
      <c r="IZ553" s="279">
        <f>IZ555+IZ558+IZ565</f>
        <v>4102.3782125241223</v>
      </c>
      <c r="JA553" s="279">
        <f t="shared" si="279"/>
        <v>4789.4811216544795</v>
      </c>
      <c r="JB553" s="323">
        <f>+FISC!AG746</f>
        <v>8891.8593341786018</v>
      </c>
      <c r="JC553" s="279">
        <f>JC555+JC558+JC565</f>
        <v>6287.5530608018726</v>
      </c>
      <c r="JD553" s="279">
        <f t="shared" si="280"/>
        <v>7247.0501104000668</v>
      </c>
      <c r="JE553" s="323">
        <f>+FISC!AH746</f>
        <v>13534.603171201939</v>
      </c>
      <c r="JF553" s="279">
        <f>JF555+JF558+JF565</f>
        <v>7547.0305405058889</v>
      </c>
      <c r="JG553" s="279">
        <f t="shared" si="281"/>
        <v>8682.0598539857419</v>
      </c>
      <c r="JH553" s="323">
        <f>+FISC!AI746</f>
        <v>16229.090394491632</v>
      </c>
      <c r="JI553" s="279">
        <f>JI555+JI558+JI565</f>
        <v>0</v>
      </c>
      <c r="JJ553" s="279">
        <f t="shared" si="282"/>
        <v>0</v>
      </c>
      <c r="JK553" s="323">
        <f>+FISC!AJ746</f>
        <v>0</v>
      </c>
      <c r="JL553" s="279">
        <f>JL555+JL558+JL565</f>
        <v>0</v>
      </c>
      <c r="JM553" s="279">
        <f t="shared" si="283"/>
        <v>0</v>
      </c>
      <c r="JN553" s="323">
        <f>+FISC!AK746</f>
        <v>0</v>
      </c>
      <c r="JO553" s="323"/>
      <c r="KU553" s="326"/>
      <c r="KV553" s="327"/>
      <c r="KY553" s="279">
        <f>KY555+KY558+KY565</f>
        <v>0</v>
      </c>
      <c r="KZ553" s="279">
        <f>KZ555+KZ558+KZ565</f>
        <v>0</v>
      </c>
      <c r="LA553" s="279">
        <f>LA555+LA558+LA565</f>
        <v>0</v>
      </c>
      <c r="LB553" s="279">
        <f>LB555+LB558+LB565</f>
        <v>0</v>
      </c>
    </row>
    <row r="554" spans="2:314" ht="20.25" hidden="1" customHeight="1">
      <c r="B554" s="96" t="s">
        <v>338</v>
      </c>
      <c r="D554" s="328" t="str">
        <f>+FISC!D747</f>
        <v>Contingent</v>
      </c>
      <c r="E554" s="323"/>
      <c r="F554" s="323"/>
      <c r="G554" s="323"/>
      <c r="H554" s="323"/>
      <c r="I554" s="323"/>
      <c r="J554" s="323"/>
      <c r="K554" s="323"/>
      <c r="L554" s="323"/>
      <c r="M554" s="323"/>
      <c r="N554" s="323"/>
      <c r="O554" s="323"/>
      <c r="P554" s="323"/>
      <c r="Q554" s="323"/>
      <c r="R554" s="323"/>
      <c r="S554" s="323"/>
      <c r="T554" s="323"/>
      <c r="U554" s="323"/>
      <c r="V554" s="323"/>
      <c r="W554" s="323"/>
      <c r="X554" s="323"/>
      <c r="Y554" s="323"/>
      <c r="Z554" s="323"/>
      <c r="AA554" s="323"/>
      <c r="AB554" s="323"/>
      <c r="AC554" s="323"/>
      <c r="AD554" s="323"/>
      <c r="AE554" s="323"/>
      <c r="AF554" s="323"/>
      <c r="AG554" s="323"/>
      <c r="AH554" s="323"/>
      <c r="AI554" s="323"/>
      <c r="AJ554" s="323"/>
      <c r="AK554" s="323"/>
      <c r="AL554" s="323"/>
      <c r="AM554" s="323"/>
      <c r="AN554" s="323"/>
      <c r="AO554" s="323"/>
      <c r="AP554" s="323"/>
      <c r="AQ554" s="323"/>
      <c r="AR554" s="323"/>
      <c r="AS554" s="323"/>
      <c r="AT554" s="323"/>
      <c r="AU554" s="323"/>
      <c r="AV554" s="323"/>
      <c r="AW554" s="323"/>
      <c r="AX554" s="323"/>
      <c r="AY554" s="323"/>
      <c r="AZ554" s="323"/>
      <c r="BA554" s="323"/>
      <c r="BB554" s="323"/>
      <c r="BC554" s="323"/>
      <c r="BD554" s="323"/>
      <c r="BE554" s="323"/>
      <c r="BF554" s="323"/>
      <c r="BG554" s="323"/>
      <c r="BH554" s="323"/>
      <c r="BI554" s="323"/>
      <c r="BJ554" s="323"/>
      <c r="BK554" s="323"/>
      <c r="BL554" s="323"/>
      <c r="BM554" s="323"/>
      <c r="BN554" s="323"/>
      <c r="BO554" s="323"/>
      <c r="BP554" s="323"/>
      <c r="BQ554" s="323"/>
      <c r="BR554" s="323"/>
      <c r="BS554" s="323"/>
      <c r="BT554" s="323"/>
      <c r="BU554" s="323"/>
      <c r="BV554" s="323"/>
      <c r="BW554" s="323"/>
      <c r="BX554" s="323"/>
      <c r="BY554" s="323"/>
      <c r="BZ554" s="323"/>
      <c r="CA554" s="323"/>
      <c r="CB554" s="323"/>
      <c r="CC554" s="323"/>
      <c r="CD554" s="323"/>
      <c r="CE554" s="324"/>
      <c r="CF554" s="323"/>
      <c r="CG554" s="323"/>
      <c r="CH554" s="323"/>
      <c r="CI554" s="323"/>
      <c r="CJ554" s="323"/>
      <c r="CK554" s="323"/>
      <c r="CL554" s="323"/>
      <c r="CM554" s="323"/>
      <c r="CN554" s="323"/>
      <c r="CO554" s="323"/>
      <c r="CP554" s="325"/>
      <c r="CQ554" s="323"/>
      <c r="CR554" s="323"/>
      <c r="CS554" s="323"/>
      <c r="CT554" s="323"/>
      <c r="CU554" s="323"/>
      <c r="CV554" s="323"/>
      <c r="CW554" s="323"/>
      <c r="CX554" s="323"/>
      <c r="CY554" s="323"/>
      <c r="CZ554" s="323"/>
      <c r="DA554" s="323"/>
      <c r="DB554" s="1269"/>
      <c r="DC554" s="323"/>
      <c r="DD554" s="323"/>
      <c r="DE554" s="323"/>
      <c r="DF554" s="323"/>
      <c r="DG554" s="323"/>
      <c r="DH554" s="323"/>
      <c r="DI554" s="323"/>
      <c r="DJ554" s="323"/>
      <c r="DK554" s="323"/>
      <c r="DL554" s="323"/>
      <c r="DM554" s="323"/>
      <c r="DN554" s="325"/>
      <c r="DO554" s="323"/>
      <c r="DP554" s="323"/>
      <c r="DQ554" s="323"/>
      <c r="DR554" s="323"/>
      <c r="DS554" s="323"/>
      <c r="DT554" s="323"/>
      <c r="DU554" s="323"/>
      <c r="DV554" s="323"/>
      <c r="DW554" s="323"/>
      <c r="DX554" s="323"/>
      <c r="DY554" s="323"/>
      <c r="DZ554" s="325"/>
      <c r="EA554" s="323"/>
      <c r="EB554" s="323"/>
      <c r="EC554" s="323"/>
      <c r="ED554" s="323"/>
      <c r="EE554" s="323"/>
      <c r="EF554" s="323"/>
      <c r="EG554" s="323"/>
      <c r="EH554" s="323"/>
      <c r="EI554" s="323"/>
      <c r="EJ554" s="323"/>
      <c r="EK554" s="323"/>
      <c r="EL554" s="325"/>
      <c r="EM554" s="323"/>
      <c r="EN554" s="323"/>
      <c r="EO554" s="323"/>
      <c r="EP554" s="323"/>
      <c r="EQ554" s="323"/>
      <c r="ER554" s="323"/>
      <c r="ES554" s="323"/>
      <c r="ET554" s="323"/>
      <c r="EU554" s="323"/>
      <c r="EV554" s="323"/>
      <c r="EW554" s="323"/>
      <c r="EX554" s="325"/>
      <c r="EY554" s="323"/>
      <c r="EZ554" s="323"/>
      <c r="FA554" s="323"/>
      <c r="FB554" s="323"/>
      <c r="FC554" s="323"/>
      <c r="FD554" s="323"/>
      <c r="FE554" s="323"/>
      <c r="FF554" s="323"/>
      <c r="FG554" s="323"/>
      <c r="FH554" s="323"/>
      <c r="FI554" s="323"/>
      <c r="FJ554" s="325"/>
      <c r="FK554" s="323"/>
      <c r="FL554" s="323"/>
      <c r="FM554" s="323"/>
      <c r="FN554" s="323"/>
      <c r="FO554" s="323"/>
      <c r="FP554" s="323"/>
      <c r="FQ554" s="323"/>
      <c r="FR554" s="323"/>
      <c r="FS554" s="323"/>
      <c r="FT554" s="323"/>
      <c r="FU554" s="323"/>
      <c r="FV554" s="323"/>
      <c r="FW554" s="323"/>
      <c r="FX554" s="323"/>
      <c r="FY554" s="323"/>
      <c r="FZ554" s="323"/>
      <c r="GA554" s="323"/>
      <c r="GB554" s="323"/>
      <c r="GC554" s="323"/>
      <c r="GD554" s="323"/>
      <c r="GE554" s="323"/>
      <c r="GF554" s="323"/>
      <c r="GG554" s="323"/>
      <c r="GH554" s="323"/>
      <c r="GI554" s="323"/>
      <c r="GJ554" s="323"/>
      <c r="GK554" s="323"/>
      <c r="GL554" s="323"/>
      <c r="GM554" s="323"/>
      <c r="GN554" s="323"/>
      <c r="GO554" s="323"/>
      <c r="GP554" s="323"/>
      <c r="GQ554" s="323"/>
      <c r="GR554" s="323"/>
      <c r="GS554" s="323"/>
      <c r="GT554" s="323"/>
      <c r="GU554" s="323"/>
      <c r="GV554" s="323"/>
      <c r="GW554" s="323"/>
      <c r="GX554" s="323"/>
      <c r="GY554" s="323"/>
      <c r="GZ554" s="323"/>
      <c r="HA554" s="323"/>
      <c r="HB554" s="323"/>
      <c r="HC554" s="323"/>
      <c r="HD554" s="323"/>
      <c r="HE554" s="323"/>
      <c r="HF554" s="323"/>
      <c r="HG554" s="323"/>
      <c r="HH554" s="323"/>
      <c r="HI554" s="323"/>
      <c r="HJ554" s="323"/>
      <c r="HK554" s="323"/>
      <c r="HL554" s="323"/>
      <c r="HM554" s="323"/>
      <c r="HN554" s="323"/>
      <c r="HO554" s="323"/>
      <c r="HP554" s="323"/>
      <c r="HQ554" s="323"/>
      <c r="HR554" s="323"/>
      <c r="HS554" s="323"/>
      <c r="HT554" s="323"/>
      <c r="HU554" s="323"/>
      <c r="HV554" s="323"/>
      <c r="HW554" s="323"/>
      <c r="HX554" s="323"/>
      <c r="HY554" s="323"/>
      <c r="HZ554" s="326"/>
      <c r="IA554" s="328" t="s">
        <v>118</v>
      </c>
      <c r="IB554" s="328"/>
      <c r="IC554" s="328"/>
      <c r="ID554" s="323"/>
      <c r="IE554" s="279">
        <f t="shared" ref="IE554:IE563" si="299">SUM(CQ554:CV554)</f>
        <v>0</v>
      </c>
      <c r="IF554" s="279">
        <f t="shared" ref="IF554:IF563" si="300">SUM(CW554:DB554)</f>
        <v>0</v>
      </c>
      <c r="IG554" s="323"/>
      <c r="IJ554" s="323"/>
      <c r="IM554" s="323"/>
      <c r="IO554" s="955"/>
      <c r="IP554" s="323"/>
      <c r="IS554" s="323"/>
      <c r="IT554" s="327"/>
      <c r="IU554" s="327"/>
      <c r="IV554" s="323"/>
      <c r="IX554" s="279">
        <f t="shared" si="291"/>
        <v>0</v>
      </c>
      <c r="IY554" s="323"/>
      <c r="IZ554" s="279">
        <f>JB554*JU554</f>
        <v>0</v>
      </c>
      <c r="JA554" s="279">
        <f t="shared" si="279"/>
        <v>0</v>
      </c>
      <c r="JB554" s="323"/>
      <c r="JC554" s="279">
        <f>JE554*JU554</f>
        <v>0</v>
      </c>
      <c r="JD554" s="279">
        <f t="shared" si="280"/>
        <v>0</v>
      </c>
      <c r="JE554" s="323"/>
      <c r="JF554" s="279">
        <f>JH554*JU554</f>
        <v>0</v>
      </c>
      <c r="JG554" s="279">
        <f t="shared" si="281"/>
        <v>0</v>
      </c>
      <c r="JH554" s="323"/>
      <c r="JI554" s="279">
        <f>JK554*JX554</f>
        <v>0</v>
      </c>
      <c r="JJ554" s="279">
        <f t="shared" si="282"/>
        <v>0</v>
      </c>
      <c r="JK554" s="323"/>
      <c r="JL554" s="279">
        <f>JN554*KA554</f>
        <v>0</v>
      </c>
      <c r="JM554" s="279">
        <f t="shared" si="283"/>
        <v>0</v>
      </c>
      <c r="JN554" s="323"/>
      <c r="JO554" s="323"/>
      <c r="KU554" s="326"/>
      <c r="KV554" s="327"/>
    </row>
    <row r="555" spans="2:314" ht="16.2" hidden="1">
      <c r="B555" s="96" t="s">
        <v>338</v>
      </c>
      <c r="D555" s="322" t="str">
        <f>+FISC!D748</f>
        <v>Direct taxes</v>
      </c>
      <c r="E555" s="323">
        <v>4.2294</v>
      </c>
      <c r="F555" s="323">
        <v>4.8996000000000004</v>
      </c>
      <c r="G555" s="323">
        <v>9.74</v>
      </c>
      <c r="H555" s="323">
        <v>6.2172999999999998</v>
      </c>
      <c r="I555" s="323">
        <v>6.1355000000000004</v>
      </c>
      <c r="J555" s="323">
        <v>12.2303</v>
      </c>
      <c r="K555" s="323">
        <v>5.4071999999999996</v>
      </c>
      <c r="L555" s="323">
        <v>5.3875000000000002</v>
      </c>
      <c r="M555" s="323">
        <v>9.8819999999999997</v>
      </c>
      <c r="N555" s="323">
        <v>6.0981000000000005</v>
      </c>
      <c r="O555" s="323">
        <v>5.7516000000000007</v>
      </c>
      <c r="P555" s="323">
        <v>9.8281999999999989</v>
      </c>
      <c r="Q555" s="323">
        <v>6.77</v>
      </c>
      <c r="R555" s="323">
        <v>6.431</v>
      </c>
      <c r="S555" s="323">
        <v>11.5298</v>
      </c>
      <c r="T555" s="323">
        <v>9.7888500000000001</v>
      </c>
      <c r="U555" s="323">
        <v>7.5178000000000003</v>
      </c>
      <c r="V555" s="323">
        <v>18.883900000000001</v>
      </c>
      <c r="W555" s="323">
        <v>7.5696000000000003</v>
      </c>
      <c r="X555" s="323">
        <v>7.1867999999999999</v>
      </c>
      <c r="Y555" s="323">
        <v>15.0951</v>
      </c>
      <c r="Z555" s="323">
        <v>9.2165999999999997</v>
      </c>
      <c r="AA555" s="323">
        <v>6.8547000000000002</v>
      </c>
      <c r="AB555" s="323">
        <v>16.229099999999999</v>
      </c>
      <c r="AC555" s="323">
        <v>8.3041</v>
      </c>
      <c r="AD555" s="323">
        <v>8.0401000000000007</v>
      </c>
      <c r="AE555" s="323">
        <v>15.087200000000001</v>
      </c>
      <c r="AF555" s="323">
        <v>8.5241000000000007</v>
      </c>
      <c r="AG555" s="323">
        <v>9.5237999999999996</v>
      </c>
      <c r="AH555" s="323">
        <v>18.486799999999999</v>
      </c>
      <c r="AI555" s="323">
        <v>8.4802</v>
      </c>
      <c r="AJ555" s="323">
        <v>8.6162900000000011</v>
      </c>
      <c r="AK555" s="323">
        <v>15.2136</v>
      </c>
      <c r="AL555" s="323">
        <v>8.3623999999999992</v>
      </c>
      <c r="AM555" s="323">
        <v>9.8104999999999993</v>
      </c>
      <c r="AN555" s="323">
        <v>18.0078</v>
      </c>
      <c r="AO555" s="323">
        <v>9.7523999999999997</v>
      </c>
      <c r="AP555" s="323">
        <v>9.7409999999999997</v>
      </c>
      <c r="AQ555" s="323">
        <v>23.587599999999998</v>
      </c>
      <c r="AR555" s="323">
        <v>10.6571</v>
      </c>
      <c r="AS555" s="323">
        <v>10.450200000000001</v>
      </c>
      <c r="AT555" s="323">
        <v>16.0748</v>
      </c>
      <c r="AU555" s="323">
        <v>10.8079</v>
      </c>
      <c r="AV555" s="323">
        <v>12.0541</v>
      </c>
      <c r="AW555" s="323">
        <v>16.495439999999999</v>
      </c>
      <c r="AX555" s="323">
        <v>11.353399999999999</v>
      </c>
      <c r="AY555" s="323">
        <v>11.4215</v>
      </c>
      <c r="AZ555" s="323">
        <v>19.632000000000001</v>
      </c>
      <c r="BA555" s="323">
        <v>12.880600000000001</v>
      </c>
      <c r="BB555" s="323">
        <v>10.114100000000001</v>
      </c>
      <c r="BC555" s="323">
        <v>25.939799999999998</v>
      </c>
      <c r="BD555" s="323">
        <v>13.154260000000001</v>
      </c>
      <c r="BE555" s="323">
        <v>15.050450000000001</v>
      </c>
      <c r="BF555" s="323">
        <v>21.799799999999998</v>
      </c>
      <c r="BG555" s="323">
        <v>11.609183778999999</v>
      </c>
      <c r="BH555" s="323">
        <v>13.511276782000003</v>
      </c>
      <c r="BI555" s="323">
        <v>20.077570490000003</v>
      </c>
      <c r="BJ555" s="323">
        <v>15.582799999999999</v>
      </c>
      <c r="BK555" s="323">
        <v>15.340540000000001</v>
      </c>
      <c r="BL555" s="323">
        <v>23.56427</v>
      </c>
      <c r="BM555" s="323">
        <v>15.8581</v>
      </c>
      <c r="BN555" s="323">
        <v>15.1586</v>
      </c>
      <c r="BO555" s="323">
        <v>30.055299999999999</v>
      </c>
      <c r="BP555" s="323">
        <v>17.537200000000002</v>
      </c>
      <c r="BQ555" s="323">
        <v>24.180400000000002</v>
      </c>
      <c r="BR555" s="323">
        <v>25.996700000000001</v>
      </c>
      <c r="BS555" s="323">
        <v>14.869200000000001</v>
      </c>
      <c r="BT555" s="323">
        <v>17.380200000000002</v>
      </c>
      <c r="BU555" s="323">
        <v>23.817799999999998</v>
      </c>
      <c r="BV555" s="323">
        <v>20.085137107999998</v>
      </c>
      <c r="BW555" s="323">
        <v>19.032810089000002</v>
      </c>
      <c r="BX555" s="323">
        <v>25.844017297000001</v>
      </c>
      <c r="BY555" s="323">
        <v>18.816471498000002</v>
      </c>
      <c r="BZ555" s="323">
        <v>22.563897915999998</v>
      </c>
      <c r="CA555" s="323">
        <v>40.967232714000005</v>
      </c>
      <c r="CB555" s="323">
        <v>21.093378254000001</v>
      </c>
      <c r="CC555" s="323">
        <v>21.295209594000003</v>
      </c>
      <c r="CD555" s="323">
        <v>36.377935814000004</v>
      </c>
      <c r="CE555" s="324">
        <f t="shared" ref="CE555:DB555" si="301">+CE187</f>
        <v>19.243223158000003</v>
      </c>
      <c r="CF555" s="323">
        <f t="shared" si="301"/>
        <v>21.131821452999997</v>
      </c>
      <c r="CG555" s="323">
        <f t="shared" si="301"/>
        <v>30.692373311000001</v>
      </c>
      <c r="CH555" s="323">
        <f t="shared" si="301"/>
        <v>21.529209563000002</v>
      </c>
      <c r="CI555" s="323">
        <f t="shared" si="301"/>
        <v>20.612307720999997</v>
      </c>
      <c r="CJ555" s="323">
        <f t="shared" si="301"/>
        <v>36.108084553999994</v>
      </c>
      <c r="CK555" s="323">
        <f t="shared" si="301"/>
        <v>22.963157741</v>
      </c>
      <c r="CL555" s="323">
        <f t="shared" si="301"/>
        <v>22.570024158000003</v>
      </c>
      <c r="CM555" s="323">
        <f t="shared" si="301"/>
        <v>30.981665009</v>
      </c>
      <c r="CN555" s="323">
        <f t="shared" si="301"/>
        <v>22.71248851</v>
      </c>
      <c r="CO555" s="323">
        <f t="shared" si="301"/>
        <v>22.337369929999998</v>
      </c>
      <c r="CP555" s="325">
        <f t="shared" si="301"/>
        <v>40.750513335999997</v>
      </c>
      <c r="CQ555" s="323">
        <f t="shared" si="301"/>
        <v>23.704446707999999</v>
      </c>
      <c r="CR555" s="323">
        <f t="shared" si="301"/>
        <v>22.889832446</v>
      </c>
      <c r="CS555" s="323">
        <f t="shared" si="301"/>
        <v>35.721352616000004</v>
      </c>
      <c r="CT555" s="323">
        <f t="shared" si="301"/>
        <v>23.028986442000001</v>
      </c>
      <c r="CU555" s="323">
        <f t="shared" si="301"/>
        <v>20.431042698000002</v>
      </c>
      <c r="CV555" s="323">
        <f t="shared" si="301"/>
        <v>40.577117606999998</v>
      </c>
      <c r="CW555" s="323">
        <f t="shared" si="301"/>
        <v>26.016992691999999</v>
      </c>
      <c r="CX555" s="323">
        <f t="shared" si="301"/>
        <v>21.560036044</v>
      </c>
      <c r="CY555" s="323">
        <f t="shared" si="301"/>
        <v>47.081547169000004</v>
      </c>
      <c r="CZ555" s="323">
        <f t="shared" si="301"/>
        <v>31.579407516</v>
      </c>
      <c r="DA555" s="323">
        <f t="shared" si="301"/>
        <v>26.762229838000003</v>
      </c>
      <c r="DB555" s="1269">
        <f t="shared" si="301"/>
        <v>43.318694478999994</v>
      </c>
      <c r="DC555" s="323">
        <f t="shared" ref="DC555:EX555" si="302">+DC187+DC556</f>
        <v>25.271828125440468</v>
      </c>
      <c r="DD555" s="323">
        <f t="shared" si="302"/>
        <v>23.721978949147022</v>
      </c>
      <c r="DE555" s="323">
        <f t="shared" si="302"/>
        <v>36.863292639738098</v>
      </c>
      <c r="DF555" s="323">
        <f t="shared" si="302"/>
        <v>28.363050243635684</v>
      </c>
      <c r="DG555" s="323">
        <f t="shared" si="302"/>
        <v>24.900331481291762</v>
      </c>
      <c r="DH555" s="323">
        <f t="shared" si="302"/>
        <v>38.609710525357727</v>
      </c>
      <c r="DI555" s="323">
        <f t="shared" si="302"/>
        <v>29.966839983691674</v>
      </c>
      <c r="DJ555" s="323">
        <f t="shared" si="302"/>
        <v>26.983938657461596</v>
      </c>
      <c r="DK555" s="323">
        <f t="shared" si="302"/>
        <v>62.540453699076309</v>
      </c>
      <c r="DL555" s="323">
        <f t="shared" si="302"/>
        <v>29.754172011383083</v>
      </c>
      <c r="DM555" s="323">
        <f t="shared" si="302"/>
        <v>29.443865395332711</v>
      </c>
      <c r="DN555" s="325">
        <f t="shared" si="302"/>
        <v>49.739442979696335</v>
      </c>
      <c r="DO555" s="323">
        <f t="shared" si="302"/>
        <v>23.913280308648531</v>
      </c>
      <c r="DP555" s="323">
        <f t="shared" si="302"/>
        <v>32.404885582766894</v>
      </c>
      <c r="DQ555" s="323">
        <f t="shared" si="302"/>
        <v>42.25815268258458</v>
      </c>
      <c r="DR555" s="323">
        <f t="shared" si="302"/>
        <v>29.557968987098729</v>
      </c>
      <c r="DS555" s="323">
        <f t="shared" si="302"/>
        <v>28.769558111274247</v>
      </c>
      <c r="DT555" s="323">
        <f t="shared" si="302"/>
        <v>50.827558140653061</v>
      </c>
      <c r="DU555" s="323">
        <f t="shared" si="302"/>
        <v>34.254071183999997</v>
      </c>
      <c r="DV555" s="323">
        <f t="shared" si="302"/>
        <v>29.742180941000001</v>
      </c>
      <c r="DW555" s="323">
        <f t="shared" si="302"/>
        <v>73.297094385510007</v>
      </c>
      <c r="DX555" s="323">
        <f t="shared" si="302"/>
        <v>30.260020454999996</v>
      </c>
      <c r="DY555" s="323">
        <f t="shared" si="302"/>
        <v>34.802364183000002</v>
      </c>
      <c r="DZ555" s="325">
        <f t="shared" si="302"/>
        <v>58.296360038000003</v>
      </c>
      <c r="EA555" s="323">
        <f t="shared" si="302"/>
        <v>28.710028807590181</v>
      </c>
      <c r="EB555" s="323">
        <f t="shared" si="302"/>
        <v>34.816374093478835</v>
      </c>
      <c r="EC555" s="323">
        <f t="shared" si="302"/>
        <v>46.624297544656798</v>
      </c>
      <c r="ED555" s="323">
        <f t="shared" si="302"/>
        <v>36.344994823510177</v>
      </c>
      <c r="EE555" s="323">
        <f t="shared" si="302"/>
        <v>34.72785934047883</v>
      </c>
      <c r="EF555" s="323">
        <f t="shared" si="302"/>
        <v>55.515725913656809</v>
      </c>
      <c r="EG555" s="323">
        <f t="shared" si="302"/>
        <v>43.895696367254587</v>
      </c>
      <c r="EH555" s="323">
        <f t="shared" si="302"/>
        <v>32.119409716304652</v>
      </c>
      <c r="EI555" s="323">
        <f t="shared" si="302"/>
        <v>75.969855363630415</v>
      </c>
      <c r="EJ555" s="323">
        <f t="shared" si="302"/>
        <v>49.582225284816928</v>
      </c>
      <c r="EK555" s="323">
        <f t="shared" si="302"/>
        <v>35.121721916539627</v>
      </c>
      <c r="EL555" s="325">
        <f t="shared" si="302"/>
        <v>65.26671222178615</v>
      </c>
      <c r="EM555" s="323">
        <f t="shared" si="302"/>
        <v>33.385846521520001</v>
      </c>
      <c r="EN555" s="323">
        <f t="shared" si="302"/>
        <v>39.191629906970007</v>
      </c>
      <c r="EO555" s="323">
        <f t="shared" si="302"/>
        <v>53.6930349298</v>
      </c>
      <c r="EP555" s="323">
        <f t="shared" si="302"/>
        <v>44.207083992279998</v>
      </c>
      <c r="EQ555" s="323">
        <f t="shared" si="302"/>
        <v>37.827719683780003</v>
      </c>
      <c r="ER555" s="323">
        <f t="shared" si="302"/>
        <v>65.417052105490043</v>
      </c>
      <c r="ES555" s="323">
        <f t="shared" si="302"/>
        <v>51.40271640221988</v>
      </c>
      <c r="ET555" s="323">
        <f t="shared" si="302"/>
        <v>40.540910135739999</v>
      </c>
      <c r="EU555" s="323">
        <f t="shared" si="302"/>
        <v>65.299393199640008</v>
      </c>
      <c r="EV555" s="323">
        <f t="shared" si="302"/>
        <v>60.447716026999998</v>
      </c>
      <c r="EW555" s="323">
        <f t="shared" si="302"/>
        <v>46.362133108500011</v>
      </c>
      <c r="EX555" s="325">
        <f t="shared" si="302"/>
        <v>79.308169455000041</v>
      </c>
      <c r="EY555" s="323"/>
      <c r="EZ555" s="323"/>
      <c r="FA555" s="323"/>
      <c r="FB555" s="323"/>
      <c r="FC555" s="323"/>
      <c r="FD555" s="323"/>
      <c r="FE555" s="323"/>
      <c r="FF555" s="323"/>
      <c r="FG555" s="323"/>
      <c r="FH555" s="323"/>
      <c r="FI555" s="323"/>
      <c r="FJ555" s="325"/>
      <c r="FK555" s="323"/>
      <c r="FL555" s="323"/>
      <c r="FM555" s="323"/>
      <c r="FN555" s="323"/>
      <c r="FO555" s="323"/>
      <c r="FP555" s="323"/>
      <c r="FQ555" s="323"/>
      <c r="FR555" s="323"/>
      <c r="FS555" s="323"/>
      <c r="FT555" s="323"/>
      <c r="FU555" s="323"/>
      <c r="FV555" s="323"/>
      <c r="FW555" s="323"/>
      <c r="FX555" s="323"/>
      <c r="FY555" s="323"/>
      <c r="FZ555" s="323"/>
      <c r="GA555" s="323"/>
      <c r="GB555" s="323"/>
      <c r="GC555" s="323"/>
      <c r="GD555" s="323"/>
      <c r="GE555" s="323"/>
      <c r="GF555" s="323"/>
      <c r="GG555" s="323"/>
      <c r="GH555" s="323"/>
      <c r="GI555" s="323"/>
      <c r="GJ555" s="323"/>
      <c r="GK555" s="323"/>
      <c r="GL555" s="323"/>
      <c r="GM555" s="323"/>
      <c r="GN555" s="323"/>
      <c r="GO555" s="323"/>
      <c r="GP555" s="323"/>
      <c r="GQ555" s="323"/>
      <c r="GR555" s="323"/>
      <c r="GS555" s="323"/>
      <c r="GT555" s="323"/>
      <c r="GU555" s="323"/>
      <c r="GV555" s="323"/>
      <c r="GW555" s="323"/>
      <c r="GX555" s="323"/>
      <c r="GY555" s="323"/>
      <c r="GZ555" s="323"/>
      <c r="HA555" s="323"/>
      <c r="HB555" s="323"/>
      <c r="HC555" s="323"/>
      <c r="HD555" s="323"/>
      <c r="HE555" s="323"/>
      <c r="HF555" s="323"/>
      <c r="HG555" s="323"/>
      <c r="HH555" s="323"/>
      <c r="HI555" s="323"/>
      <c r="HJ555" s="323"/>
      <c r="HK555" s="323"/>
      <c r="HL555" s="323"/>
      <c r="HM555" s="323"/>
      <c r="HN555" s="323"/>
      <c r="HO555" s="323"/>
      <c r="HP555" s="323"/>
      <c r="HQ555" s="323"/>
      <c r="HR555" s="323"/>
      <c r="HS555" s="323"/>
      <c r="HT555" s="323"/>
      <c r="HU555" s="323"/>
      <c r="HV555" s="323"/>
      <c r="HW555" s="323"/>
      <c r="HX555" s="323"/>
      <c r="HY555" s="323"/>
      <c r="HZ555" s="326"/>
      <c r="IA555" s="322" t="s">
        <v>119</v>
      </c>
      <c r="IB555" s="322"/>
      <c r="IC555" s="322"/>
      <c r="ID555" s="323">
        <f>+FISC!Z748</f>
        <v>375.7</v>
      </c>
      <c r="IE555" s="279">
        <f t="shared" si="299"/>
        <v>166.35277851700002</v>
      </c>
      <c r="IF555" s="279">
        <f t="shared" si="300"/>
        <v>196.31890773800001</v>
      </c>
      <c r="IG555" s="323">
        <f t="shared" ref="IG555:IG563" si="303">SUM(CQ555:DB555)</f>
        <v>362.67168625500005</v>
      </c>
      <c r="IH555" s="279">
        <f t="shared" ref="IH555:IH563" si="304">+SUM(DC555:DH555)</f>
        <v>177.73019196461075</v>
      </c>
      <c r="II555" s="279">
        <f t="shared" ref="II555:II563" si="305">+SUM(DI555:DN555)</f>
        <v>228.42871272664172</v>
      </c>
      <c r="IJ555" s="323">
        <f t="shared" ref="IJ555:IJ583" si="306">IH555+II555</f>
        <v>406.15890469125247</v>
      </c>
      <c r="IK555" s="279">
        <f t="shared" ref="IK555:IK563" si="307">+SUM(DO555:DT555)</f>
        <v>207.73140381302602</v>
      </c>
      <c r="IL555" s="279">
        <f t="shared" ref="IL555:IL563" si="308">SUM(DU555:DZ555)</f>
        <v>260.65209118651001</v>
      </c>
      <c r="IM555" s="323">
        <f t="shared" ref="IM555:IM623" si="309">IK555+IL555</f>
        <v>468.38349499953603</v>
      </c>
      <c r="IN555" s="1064">
        <v>236.73928052337163</v>
      </c>
      <c r="IO555" s="279">
        <f>IP555-IN555</f>
        <v>301.95562087033233</v>
      </c>
      <c r="IP555" s="323">
        <f>FISC!AC748</f>
        <v>538.69490139370396</v>
      </c>
      <c r="IQ555" s="279">
        <f t="shared" ref="IQ555:IQ568" si="310">SUM(EM555:ER555)</f>
        <v>273.72236713984006</v>
      </c>
      <c r="IR555" s="279">
        <f t="shared" ref="IR555:IR568" si="311">SUM(ES555:EX555)</f>
        <v>343.36103832809994</v>
      </c>
      <c r="IS555" s="323">
        <f t="shared" ref="IS555:IS563" si="312">IQ555+IR555</f>
        <v>617.08340546794</v>
      </c>
      <c r="IT555" s="327">
        <f>IV555*0+310.280674604</f>
        <v>310.28067460400001</v>
      </c>
      <c r="IU555" s="279">
        <f>+IV555-IT555</f>
        <v>310.46518133784701</v>
      </c>
      <c r="IV555" s="323">
        <f>+FISC!AE748</f>
        <v>620.74585594184703</v>
      </c>
      <c r="IW555" s="327">
        <f>(IY555*0.4464)+IW556</f>
        <v>307.28766906599412</v>
      </c>
      <c r="IX555" s="279">
        <f t="shared" si="291"/>
        <v>343.40617892234388</v>
      </c>
      <c r="IY555" s="323">
        <f>+FISC!AF748</f>
        <v>650.69384798833801</v>
      </c>
      <c r="IZ555" s="327">
        <f>(JB555*0.445)</f>
        <v>2105.8615993859553</v>
      </c>
      <c r="JA555" s="279">
        <f t="shared" si="279"/>
        <v>2626.4116576611355</v>
      </c>
      <c r="JB555" s="323">
        <f>+FISC!AG748</f>
        <v>4732.2732570470907</v>
      </c>
      <c r="JC555" s="327">
        <f>JE555*0.445</f>
        <v>2656.5195627764115</v>
      </c>
      <c r="JD555" s="279">
        <f t="shared" si="280"/>
        <v>3313.1873198672092</v>
      </c>
      <c r="JE555" s="323">
        <f>+FISC!AH748</f>
        <v>5969.7068826436207</v>
      </c>
      <c r="JF555" s="327">
        <f>JH555*0.445</f>
        <v>3086.81743072772</v>
      </c>
      <c r="JG555" s="279">
        <f t="shared" si="281"/>
        <v>3849.8509529300777</v>
      </c>
      <c r="JH555" s="323">
        <f>+FISC!AI748</f>
        <v>6936.6683836577977</v>
      </c>
      <c r="JI555" s="327">
        <f>JK555*0.445</f>
        <v>0</v>
      </c>
      <c r="JJ555" s="279">
        <f t="shared" si="282"/>
        <v>0</v>
      </c>
      <c r="JK555" s="323">
        <f>+FISC!AJ748</f>
        <v>0</v>
      </c>
      <c r="JL555" s="327">
        <f>JN555*0.445</f>
        <v>0</v>
      </c>
      <c r="JM555" s="279">
        <f t="shared" si="283"/>
        <v>0</v>
      </c>
      <c r="JN555" s="323">
        <f>+FISC!AK748</f>
        <v>0</v>
      </c>
      <c r="JO555" s="323"/>
      <c r="KU555" s="326"/>
      <c r="KV555" s="327"/>
    </row>
    <row r="556" spans="2:314" ht="16.2" hidden="1">
      <c r="B556" s="96" t="s">
        <v>338</v>
      </c>
      <c r="D556" s="328" t="str">
        <f>+FISC!D749</f>
        <v>of which: local government taxes (RRA, at decentralized level)</v>
      </c>
      <c r="E556" s="323"/>
      <c r="F556" s="323"/>
      <c r="G556" s="323"/>
      <c r="H556" s="323"/>
      <c r="I556" s="323"/>
      <c r="J556" s="323"/>
      <c r="K556" s="323"/>
      <c r="L556" s="323"/>
      <c r="M556" s="323"/>
      <c r="N556" s="323"/>
      <c r="O556" s="323"/>
      <c r="P556" s="323"/>
      <c r="Q556" s="323"/>
      <c r="R556" s="323"/>
      <c r="S556" s="323"/>
      <c r="T556" s="323"/>
      <c r="U556" s="323"/>
      <c r="V556" s="323"/>
      <c r="W556" s="323"/>
      <c r="X556" s="323"/>
      <c r="Y556" s="323"/>
      <c r="Z556" s="323"/>
      <c r="AA556" s="323"/>
      <c r="AB556" s="323"/>
      <c r="AC556" s="323"/>
      <c r="AD556" s="323"/>
      <c r="AE556" s="323"/>
      <c r="AF556" s="323"/>
      <c r="AG556" s="323"/>
      <c r="AH556" s="323"/>
      <c r="AI556" s="323"/>
      <c r="AJ556" s="323"/>
      <c r="AK556" s="323"/>
      <c r="AL556" s="323"/>
      <c r="AM556" s="323"/>
      <c r="AN556" s="323"/>
      <c r="AO556" s="323"/>
      <c r="AP556" s="323"/>
      <c r="AQ556" s="323"/>
      <c r="AR556" s="323"/>
      <c r="AS556" s="323"/>
      <c r="AT556" s="323"/>
      <c r="AU556" s="323"/>
      <c r="AV556" s="323"/>
      <c r="AW556" s="323"/>
      <c r="AX556" s="323"/>
      <c r="AY556" s="323"/>
      <c r="AZ556" s="323"/>
      <c r="BA556" s="323"/>
      <c r="BB556" s="323"/>
      <c r="BC556" s="323"/>
      <c r="BD556" s="323"/>
      <c r="BE556" s="323"/>
      <c r="BF556" s="323"/>
      <c r="BG556" s="323"/>
      <c r="BH556" s="323"/>
      <c r="BI556" s="323"/>
      <c r="BJ556" s="323"/>
      <c r="BK556" s="323"/>
      <c r="BL556" s="323"/>
      <c r="BM556" s="323"/>
      <c r="BN556" s="323"/>
      <c r="BO556" s="323"/>
      <c r="BP556" s="323"/>
      <c r="BQ556" s="323"/>
      <c r="BR556" s="323"/>
      <c r="BS556" s="323"/>
      <c r="BT556" s="323"/>
      <c r="BU556" s="323"/>
      <c r="BV556" s="323"/>
      <c r="BW556" s="323"/>
      <c r="BX556" s="323"/>
      <c r="BY556" s="323"/>
      <c r="BZ556" s="323"/>
      <c r="CA556" s="323"/>
      <c r="CB556" s="323"/>
      <c r="CC556" s="323"/>
      <c r="CD556" s="323"/>
      <c r="CE556" s="324">
        <f t="shared" ref="CE556:DJ556" si="313">CE236+CE237+CE238</f>
        <v>0</v>
      </c>
      <c r="CF556" s="323">
        <f t="shared" si="313"/>
        <v>0</v>
      </c>
      <c r="CG556" s="323">
        <f t="shared" si="313"/>
        <v>0</v>
      </c>
      <c r="CH556" s="323">
        <f t="shared" si="313"/>
        <v>0</v>
      </c>
      <c r="CI556" s="323">
        <f t="shared" si="313"/>
        <v>0</v>
      </c>
      <c r="CJ556" s="323">
        <f t="shared" si="313"/>
        <v>0</v>
      </c>
      <c r="CK556" s="323">
        <f t="shared" si="313"/>
        <v>0</v>
      </c>
      <c r="CL556" s="323">
        <f t="shared" si="313"/>
        <v>0</v>
      </c>
      <c r="CM556" s="323">
        <f t="shared" si="313"/>
        <v>0</v>
      </c>
      <c r="CN556" s="323">
        <f t="shared" si="313"/>
        <v>0</v>
      </c>
      <c r="CO556" s="323">
        <f t="shared" si="313"/>
        <v>0</v>
      </c>
      <c r="CP556" s="325">
        <f t="shared" si="313"/>
        <v>0</v>
      </c>
      <c r="CQ556" s="323">
        <f t="shared" si="313"/>
        <v>0.183261338</v>
      </c>
      <c r="CR556" s="323">
        <f t="shared" si="313"/>
        <v>0.14638458600000001</v>
      </c>
      <c r="CS556" s="323">
        <f t="shared" si="313"/>
        <v>0.113267485</v>
      </c>
      <c r="CT556" s="323">
        <f t="shared" si="313"/>
        <v>0.122111359</v>
      </c>
      <c r="CU556" s="323">
        <f t="shared" si="313"/>
        <v>0.116284792</v>
      </c>
      <c r="CV556" s="323">
        <f t="shared" si="313"/>
        <v>0.15974851299999998</v>
      </c>
      <c r="CW556" s="323">
        <f t="shared" si="313"/>
        <v>0.46627267899999997</v>
      </c>
      <c r="CX556" s="323">
        <f t="shared" si="313"/>
        <v>1.052214293</v>
      </c>
      <c r="CY556" s="323">
        <f t="shared" si="313"/>
        <v>9.8454401609999991</v>
      </c>
      <c r="CZ556" s="323">
        <f t="shared" si="313"/>
        <v>0.50515088600000002</v>
      </c>
      <c r="DA556" s="323">
        <f t="shared" si="313"/>
        <v>0.26616519800000005</v>
      </c>
      <c r="DB556" s="1269">
        <f t="shared" si="313"/>
        <v>0.24200322200000002</v>
      </c>
      <c r="DC556" s="323">
        <f t="shared" si="313"/>
        <v>0.265408537</v>
      </c>
      <c r="DD556" s="323">
        <f t="shared" si="313"/>
        <v>0.19027443199999999</v>
      </c>
      <c r="DE556" s="323">
        <f t="shared" si="313"/>
        <v>7.5303182999999996E-2</v>
      </c>
      <c r="DF556" s="323">
        <f t="shared" si="313"/>
        <v>9.3817632999999998E-2</v>
      </c>
      <c r="DG556" s="323">
        <f t="shared" si="313"/>
        <v>9.6626641999999999E-2</v>
      </c>
      <c r="DH556" s="323">
        <f t="shared" si="313"/>
        <v>9.9763664000000002E-2</v>
      </c>
      <c r="DI556" s="323">
        <f t="shared" si="313"/>
        <v>0.35724085500000002</v>
      </c>
      <c r="DJ556" s="323">
        <f t="shared" si="313"/>
        <v>0.94090106299999998</v>
      </c>
      <c r="DK556" s="323">
        <f t="shared" ref="DK556:EP556" si="314">DK236+DK237+DK238</f>
        <v>9.5045297170000005</v>
      </c>
      <c r="DL556" s="323">
        <f t="shared" si="314"/>
        <v>1.38641853</v>
      </c>
      <c r="DM556" s="323">
        <f t="shared" si="314"/>
        <v>0.30435586199999998</v>
      </c>
      <c r="DN556" s="325">
        <f t="shared" si="314"/>
        <v>0.32706426910907299</v>
      </c>
      <c r="DO556" s="323">
        <f t="shared" si="314"/>
        <v>0.16981340364852907</v>
      </c>
      <c r="DP556" s="323">
        <f t="shared" si="314"/>
        <v>0.21171806276689387</v>
      </c>
      <c r="DQ556" s="323">
        <f t="shared" si="314"/>
        <v>0.17637747358457684</v>
      </c>
      <c r="DR556" s="323">
        <f t="shared" si="314"/>
        <v>0.20408398909872857</v>
      </c>
      <c r="DS556" s="323">
        <f t="shared" si="314"/>
        <v>0.22159607649424631</v>
      </c>
      <c r="DT556" s="323">
        <f t="shared" si="314"/>
        <v>0.48598600102578449</v>
      </c>
      <c r="DU556" s="323">
        <f t="shared" si="314"/>
        <v>0.58629205100000004</v>
      </c>
      <c r="DV556" s="323">
        <f t="shared" si="314"/>
        <v>1.5856071979999999</v>
      </c>
      <c r="DW556" s="323">
        <f t="shared" si="314"/>
        <v>12.725059079999999</v>
      </c>
      <c r="DX556" s="323">
        <f t="shared" si="314"/>
        <v>0.57326582100000001</v>
      </c>
      <c r="DY556" s="323">
        <f t="shared" si="314"/>
        <v>0.50074186300000001</v>
      </c>
      <c r="DZ556" s="325">
        <f t="shared" si="314"/>
        <v>0</v>
      </c>
      <c r="EA556" s="323">
        <f t="shared" si="314"/>
        <v>0.22674821419018054</v>
      </c>
      <c r="EB556" s="323">
        <f t="shared" si="314"/>
        <v>0.2361400924788237</v>
      </c>
      <c r="EC556" s="323">
        <f t="shared" si="314"/>
        <v>0.19255294665680348</v>
      </c>
      <c r="ED556" s="323">
        <f t="shared" si="314"/>
        <v>0.22674821419018054</v>
      </c>
      <c r="EE556" s="323">
        <f t="shared" si="314"/>
        <v>0.2361400924788237</v>
      </c>
      <c r="EF556" s="323">
        <f t="shared" si="314"/>
        <v>0.19255294665680348</v>
      </c>
      <c r="EG556" s="323">
        <f t="shared" si="314"/>
        <v>0.85181301325458303</v>
      </c>
      <c r="EH556" s="323">
        <f t="shared" si="314"/>
        <v>1.3401586173046514</v>
      </c>
      <c r="EI556" s="323">
        <f t="shared" si="314"/>
        <v>12.973533580430418</v>
      </c>
      <c r="EJ556" s="323">
        <f t="shared" si="314"/>
        <v>1.4418040524169249</v>
      </c>
      <c r="EK556" s="323">
        <f t="shared" si="314"/>
        <v>0.50146783091962921</v>
      </c>
      <c r="EL556" s="325">
        <f t="shared" si="314"/>
        <v>0.41145482824615598</v>
      </c>
      <c r="EM556" s="323">
        <f t="shared" si="314"/>
        <v>0.31447588599999998</v>
      </c>
      <c r="EN556" s="323">
        <f t="shared" si="314"/>
        <v>0.26314551400000002</v>
      </c>
      <c r="EO556" s="323">
        <f t="shared" si="314"/>
        <v>0.19594088800000001</v>
      </c>
      <c r="EP556" s="323">
        <f t="shared" si="314"/>
        <v>0.42045458299999999</v>
      </c>
      <c r="EQ556" s="323">
        <f t="shared" ref="EQ556:EX556" si="315">EQ236+EQ237+EQ238</f>
        <v>0.28763700399999997</v>
      </c>
      <c r="ER556" s="323">
        <f t="shared" si="315"/>
        <v>0.36551615700000001</v>
      </c>
      <c r="ES556" s="323">
        <f t="shared" si="315"/>
        <v>5.7445599869999997</v>
      </c>
      <c r="ET556" s="323">
        <f t="shared" si="315"/>
        <v>1.675767827</v>
      </c>
      <c r="EU556" s="323">
        <f t="shared" si="315"/>
        <v>8.2551049469999995</v>
      </c>
      <c r="EV556" s="323">
        <f t="shared" si="315"/>
        <v>1.1323164939999999</v>
      </c>
      <c r="EW556" s="323">
        <f t="shared" si="315"/>
        <v>0.41788988500000002</v>
      </c>
      <c r="EX556" s="325">
        <f t="shared" si="315"/>
        <v>0.29598800600000003</v>
      </c>
      <c r="EY556" s="323"/>
      <c r="EZ556" s="323"/>
      <c r="FA556" s="323"/>
      <c r="FB556" s="323"/>
      <c r="FC556" s="323"/>
      <c r="FD556" s="323"/>
      <c r="FE556" s="323"/>
      <c r="FF556" s="323"/>
      <c r="FG556" s="323"/>
      <c r="FH556" s="323"/>
      <c r="FI556" s="323"/>
      <c r="FJ556" s="325"/>
      <c r="FK556" s="323"/>
      <c r="FL556" s="323"/>
      <c r="FM556" s="323"/>
      <c r="FN556" s="323"/>
      <c r="FO556" s="323"/>
      <c r="FP556" s="323"/>
      <c r="FQ556" s="323"/>
      <c r="FR556" s="323"/>
      <c r="FS556" s="323"/>
      <c r="FT556" s="323"/>
      <c r="FU556" s="323"/>
      <c r="FV556" s="323"/>
      <c r="FW556" s="323"/>
      <c r="FX556" s="323"/>
      <c r="FY556" s="323"/>
      <c r="FZ556" s="323"/>
      <c r="GA556" s="323"/>
      <c r="GB556" s="323"/>
      <c r="GC556" s="323"/>
      <c r="GD556" s="323"/>
      <c r="GE556" s="323"/>
      <c r="GF556" s="323"/>
      <c r="GG556" s="323"/>
      <c r="GH556" s="323"/>
      <c r="GI556" s="323"/>
      <c r="GJ556" s="323"/>
      <c r="GK556" s="323"/>
      <c r="GL556" s="323"/>
      <c r="GM556" s="323"/>
      <c r="GN556" s="323"/>
      <c r="GO556" s="323"/>
      <c r="GP556" s="323"/>
      <c r="GQ556" s="323"/>
      <c r="GR556" s="323"/>
      <c r="GS556" s="323"/>
      <c r="GT556" s="323"/>
      <c r="GU556" s="323"/>
      <c r="GV556" s="323"/>
      <c r="GW556" s="323"/>
      <c r="GX556" s="323"/>
      <c r="GY556" s="323"/>
      <c r="GZ556" s="323"/>
      <c r="HA556" s="323"/>
      <c r="HB556" s="323"/>
      <c r="HC556" s="323"/>
      <c r="HD556" s="323"/>
      <c r="HE556" s="323"/>
      <c r="HF556" s="323"/>
      <c r="HG556" s="323"/>
      <c r="HH556" s="323"/>
      <c r="HI556" s="323"/>
      <c r="HJ556" s="323"/>
      <c r="HK556" s="323"/>
      <c r="HL556" s="323"/>
      <c r="HM556" s="323"/>
      <c r="HN556" s="323"/>
      <c r="HO556" s="323"/>
      <c r="HP556" s="323"/>
      <c r="HQ556" s="323"/>
      <c r="HR556" s="323"/>
      <c r="HS556" s="323"/>
      <c r="HT556" s="323"/>
      <c r="HU556" s="323"/>
      <c r="HV556" s="323"/>
      <c r="HW556" s="323"/>
      <c r="HX556" s="323"/>
      <c r="HY556" s="323"/>
      <c r="HZ556" s="326"/>
      <c r="IA556" s="328" t="s">
        <v>928</v>
      </c>
      <c r="IB556" s="328"/>
      <c r="IC556" s="328"/>
      <c r="ID556" s="323">
        <f>+FISC!Z749</f>
        <v>13.2</v>
      </c>
      <c r="IE556" s="279">
        <f t="shared" si="299"/>
        <v>0.84105807299999991</v>
      </c>
      <c r="IF556" s="279">
        <f t="shared" si="300"/>
        <v>12.377246438999999</v>
      </c>
      <c r="IG556" s="323">
        <f t="shared" si="303"/>
        <v>13.218304511999998</v>
      </c>
      <c r="IH556" s="279">
        <f t="shared" si="304"/>
        <v>0.82119409100000007</v>
      </c>
      <c r="II556" s="279">
        <f t="shared" si="305"/>
        <v>12.820510296109074</v>
      </c>
      <c r="IJ556" s="323">
        <f t="shared" si="306"/>
        <v>13.641704387109074</v>
      </c>
      <c r="IK556" s="279">
        <f t="shared" si="307"/>
        <v>1.4695750066187592</v>
      </c>
      <c r="IL556" s="279">
        <f t="shared" si="308"/>
        <v>15.970966013</v>
      </c>
      <c r="IM556" s="323">
        <f t="shared" si="309"/>
        <v>17.44054101961876</v>
      </c>
      <c r="IN556" s="1064">
        <v>1.3108825066516154</v>
      </c>
      <c r="IO556" s="279">
        <f>+IP556-IN556</f>
        <v>17.520231922572361</v>
      </c>
      <c r="IP556" s="323">
        <f>FISC!AC749</f>
        <v>18.831114429223977</v>
      </c>
      <c r="IQ556" s="279">
        <f t="shared" si="310"/>
        <v>1.847170032</v>
      </c>
      <c r="IR556" s="279">
        <f t="shared" si="311"/>
        <v>17.521627146000004</v>
      </c>
      <c r="IS556" s="323">
        <f t="shared" si="312"/>
        <v>19.368797178000005</v>
      </c>
      <c r="IT556" s="327">
        <v>0</v>
      </c>
      <c r="IU556" s="327">
        <f>IV556</f>
        <v>32.093181158512103</v>
      </c>
      <c r="IV556" s="323">
        <f>+FISC!AE749</f>
        <v>32.093181158512103</v>
      </c>
      <c r="IW556" s="279">
        <v>16.817935324</v>
      </c>
      <c r="IX556" s="279">
        <f t="shared" si="291"/>
        <v>21.656821504241602</v>
      </c>
      <c r="IY556" s="323">
        <f>+FISC!AF749</f>
        <v>38.474756828241603</v>
      </c>
      <c r="IZ556" s="279">
        <f>JB556*JU556</f>
        <v>0</v>
      </c>
      <c r="JA556" s="279">
        <f t="shared" si="279"/>
        <v>188.9696470601377</v>
      </c>
      <c r="JB556" s="323">
        <f>+FISC!AG749</f>
        <v>188.9696470601377</v>
      </c>
      <c r="JC556" s="279">
        <f>JE556*JU556</f>
        <v>0</v>
      </c>
      <c r="JD556" s="279">
        <f t="shared" si="280"/>
        <v>212.5927641980868</v>
      </c>
      <c r="JE556" s="323">
        <f>+FISC!AH749</f>
        <v>212.5927641980868</v>
      </c>
      <c r="JF556" s="279">
        <f>JH556*JU556</f>
        <v>0</v>
      </c>
      <c r="JG556" s="279">
        <f t="shared" si="281"/>
        <v>219.61370751191984</v>
      </c>
      <c r="JH556" s="323">
        <f>+FISC!AI749</f>
        <v>219.61370751191984</v>
      </c>
      <c r="JI556" s="279">
        <f>JK556*JX556</f>
        <v>0</v>
      </c>
      <c r="JJ556" s="279">
        <f t="shared" si="282"/>
        <v>0</v>
      </c>
      <c r="JK556" s="323">
        <f>+FISC!AJ749</f>
        <v>0</v>
      </c>
      <c r="JL556" s="279">
        <f>JN556*KA556</f>
        <v>0</v>
      </c>
      <c r="JM556" s="279">
        <f t="shared" si="283"/>
        <v>0</v>
      </c>
      <c r="JN556" s="323">
        <f>+FISC!AK749</f>
        <v>0</v>
      </c>
      <c r="JO556" s="323"/>
      <c r="KU556" s="326"/>
      <c r="KV556" s="327"/>
    </row>
    <row r="557" spans="2:314" hidden="1">
      <c r="B557" s="96" t="s">
        <v>338</v>
      </c>
      <c r="D557" s="328" t="str">
        <f>+FISC!D750</f>
        <v>of which: Taxes on project expenditures (EWSA&amp;RTDA)</v>
      </c>
      <c r="E557" s="323"/>
      <c r="F557" s="323"/>
      <c r="G557" s="323"/>
      <c r="H557" s="323"/>
      <c r="I557" s="323"/>
      <c r="J557" s="323"/>
      <c r="K557" s="323"/>
      <c r="L557" s="323"/>
      <c r="M557" s="323"/>
      <c r="N557" s="323"/>
      <c r="O557" s="323"/>
      <c r="P557" s="323"/>
      <c r="Q557" s="323"/>
      <c r="R557" s="323"/>
      <c r="S557" s="323"/>
      <c r="T557" s="323"/>
      <c r="U557" s="323"/>
      <c r="V557" s="323"/>
      <c r="W557" s="323"/>
      <c r="X557" s="323"/>
      <c r="Y557" s="323"/>
      <c r="Z557" s="323"/>
      <c r="AA557" s="323"/>
      <c r="AB557" s="323"/>
      <c r="AC557" s="323"/>
      <c r="AD557" s="323"/>
      <c r="AE557" s="323"/>
      <c r="AF557" s="323"/>
      <c r="AG557" s="323"/>
      <c r="AH557" s="323"/>
      <c r="AI557" s="323"/>
      <c r="AJ557" s="323"/>
      <c r="AK557" s="323"/>
      <c r="AL557" s="323"/>
      <c r="AM557" s="323"/>
      <c r="AN557" s="323"/>
      <c r="AO557" s="323"/>
      <c r="AP557" s="323"/>
      <c r="AQ557" s="323"/>
      <c r="AR557" s="323"/>
      <c r="AS557" s="323"/>
      <c r="AT557" s="323"/>
      <c r="AU557" s="323"/>
      <c r="AV557" s="323"/>
      <c r="AW557" s="323"/>
      <c r="AX557" s="323"/>
      <c r="AY557" s="323"/>
      <c r="AZ557" s="323"/>
      <c r="BA557" s="323"/>
      <c r="BB557" s="323"/>
      <c r="BC557" s="323"/>
      <c r="BD557" s="323"/>
      <c r="BE557" s="323"/>
      <c r="BF557" s="323"/>
      <c r="BG557" s="323"/>
      <c r="BH557" s="323"/>
      <c r="BI557" s="323"/>
      <c r="BJ557" s="323"/>
      <c r="BK557" s="323"/>
      <c r="BL557" s="323"/>
      <c r="BM557" s="323"/>
      <c r="BN557" s="323"/>
      <c r="BO557" s="323"/>
      <c r="BP557" s="323"/>
      <c r="BQ557" s="323"/>
      <c r="BR557" s="323"/>
      <c r="BS557" s="323"/>
      <c r="BT557" s="323"/>
      <c r="BU557" s="323"/>
      <c r="BV557" s="323"/>
      <c r="BW557" s="323"/>
      <c r="BX557" s="323"/>
      <c r="BY557" s="323"/>
      <c r="BZ557" s="323"/>
      <c r="CA557" s="323"/>
      <c r="CB557" s="323"/>
      <c r="CC557" s="323"/>
      <c r="CD557" s="323"/>
      <c r="CE557" s="324">
        <f t="shared" ref="CE557:DJ557" si="316">CE195+CE200</f>
        <v>0</v>
      </c>
      <c r="CF557" s="323">
        <f t="shared" si="316"/>
        <v>0</v>
      </c>
      <c r="CG557" s="323">
        <f t="shared" si="316"/>
        <v>0</v>
      </c>
      <c r="CH557" s="323">
        <f t="shared" si="316"/>
        <v>0</v>
      </c>
      <c r="CI557" s="323">
        <f t="shared" si="316"/>
        <v>0</v>
      </c>
      <c r="CJ557" s="323">
        <f t="shared" si="316"/>
        <v>0</v>
      </c>
      <c r="CK557" s="323">
        <f t="shared" si="316"/>
        <v>0</v>
      </c>
      <c r="CL557" s="323">
        <f t="shared" si="316"/>
        <v>0</v>
      </c>
      <c r="CM557" s="323">
        <f t="shared" si="316"/>
        <v>0</v>
      </c>
      <c r="CN557" s="323">
        <f t="shared" si="316"/>
        <v>0</v>
      </c>
      <c r="CO557" s="323">
        <f t="shared" si="316"/>
        <v>0</v>
      </c>
      <c r="CP557" s="325">
        <f t="shared" si="316"/>
        <v>0</v>
      </c>
      <c r="CQ557" s="323">
        <f t="shared" si="316"/>
        <v>0.13016541199999998</v>
      </c>
      <c r="CR557" s="323">
        <f t="shared" si="316"/>
        <v>0.12659790099999998</v>
      </c>
      <c r="CS557" s="323">
        <f t="shared" si="316"/>
        <v>1.6082097150000001</v>
      </c>
      <c r="CT557" s="323">
        <f t="shared" si="316"/>
        <v>3.8856827999999996E-2</v>
      </c>
      <c r="CU557" s="323">
        <f t="shared" si="316"/>
        <v>3.5117239999999999E-3</v>
      </c>
      <c r="CV557" s="323">
        <f t="shared" si="316"/>
        <v>0.14133874699999999</v>
      </c>
      <c r="CW557" s="323">
        <f t="shared" si="316"/>
        <v>0.130215894</v>
      </c>
      <c r="CX557" s="323">
        <f t="shared" si="316"/>
        <v>3.751761E-2</v>
      </c>
      <c r="CY557" s="323">
        <f t="shared" si="316"/>
        <v>0.64748757699999993</v>
      </c>
      <c r="CZ557" s="323">
        <f t="shared" si="316"/>
        <v>0.24859647100000001</v>
      </c>
      <c r="DA557" s="323">
        <f t="shared" si="316"/>
        <v>1.2113363530000001</v>
      </c>
      <c r="DB557" s="1269">
        <f t="shared" si="316"/>
        <v>0.13900026200000001</v>
      </c>
      <c r="DC557" s="323">
        <f t="shared" si="316"/>
        <v>0</v>
      </c>
      <c r="DD557" s="323">
        <f t="shared" si="316"/>
        <v>0</v>
      </c>
      <c r="DE557" s="323">
        <f t="shared" si="316"/>
        <v>0</v>
      </c>
      <c r="DF557" s="323">
        <f t="shared" si="316"/>
        <v>0</v>
      </c>
      <c r="DG557" s="323">
        <f t="shared" si="316"/>
        <v>0</v>
      </c>
      <c r="DH557" s="323">
        <f t="shared" si="316"/>
        <v>0</v>
      </c>
      <c r="DI557" s="323">
        <f t="shared" si="316"/>
        <v>0</v>
      </c>
      <c r="DJ557" s="323">
        <f t="shared" si="316"/>
        <v>0</v>
      </c>
      <c r="DK557" s="323">
        <f t="shared" ref="DK557:EP557" si="317">DK195+DK200</f>
        <v>0</v>
      </c>
      <c r="DL557" s="323">
        <f t="shared" si="317"/>
        <v>0</v>
      </c>
      <c r="DM557" s="323">
        <f t="shared" si="317"/>
        <v>0</v>
      </c>
      <c r="DN557" s="325">
        <f t="shared" si="317"/>
        <v>0</v>
      </c>
      <c r="DO557" s="323">
        <f t="shared" si="317"/>
        <v>1.1567251160000001</v>
      </c>
      <c r="DP557" s="323">
        <f t="shared" si="317"/>
        <v>1.324632807</v>
      </c>
      <c r="DQ557" s="323">
        <f t="shared" si="317"/>
        <v>1.4323874729999999</v>
      </c>
      <c r="DR557" s="323">
        <f t="shared" si="317"/>
        <v>1.2586472609999999</v>
      </c>
      <c r="DS557" s="323">
        <f t="shared" si="317"/>
        <v>1.336750181</v>
      </c>
      <c r="DT557" s="323">
        <f t="shared" si="317"/>
        <v>1.403390965</v>
      </c>
      <c r="DU557" s="323">
        <f t="shared" si="317"/>
        <v>0</v>
      </c>
      <c r="DV557" s="323">
        <f t="shared" si="317"/>
        <v>0</v>
      </c>
      <c r="DW557" s="323">
        <f t="shared" si="317"/>
        <v>0</v>
      </c>
      <c r="DX557" s="323">
        <f t="shared" si="317"/>
        <v>0</v>
      </c>
      <c r="DY557" s="323">
        <f t="shared" si="317"/>
        <v>0</v>
      </c>
      <c r="DZ557" s="325">
        <f t="shared" si="317"/>
        <v>0</v>
      </c>
      <c r="EA557" s="323">
        <f t="shared" si="317"/>
        <v>0</v>
      </c>
      <c r="EB557" s="323">
        <f t="shared" si="317"/>
        <v>0</v>
      </c>
      <c r="EC557" s="323">
        <f t="shared" si="317"/>
        <v>0</v>
      </c>
      <c r="ED557" s="323">
        <f t="shared" si="317"/>
        <v>0</v>
      </c>
      <c r="EE557" s="323">
        <f t="shared" si="317"/>
        <v>0</v>
      </c>
      <c r="EF557" s="323">
        <f t="shared" si="317"/>
        <v>0</v>
      </c>
      <c r="EG557" s="323">
        <f t="shared" si="317"/>
        <v>0</v>
      </c>
      <c r="EH557" s="323">
        <f t="shared" si="317"/>
        <v>0</v>
      </c>
      <c r="EI557" s="323">
        <f t="shared" si="317"/>
        <v>0</v>
      </c>
      <c r="EJ557" s="323">
        <f t="shared" si="317"/>
        <v>0</v>
      </c>
      <c r="EK557" s="323">
        <f t="shared" si="317"/>
        <v>0</v>
      </c>
      <c r="EL557" s="325">
        <f t="shared" si="317"/>
        <v>0</v>
      </c>
      <c r="EM557" s="323">
        <f t="shared" si="317"/>
        <v>0</v>
      </c>
      <c r="EN557" s="323">
        <f t="shared" si="317"/>
        <v>0</v>
      </c>
      <c r="EO557" s="323">
        <f t="shared" si="317"/>
        <v>0</v>
      </c>
      <c r="EP557" s="323">
        <f t="shared" si="317"/>
        <v>0</v>
      </c>
      <c r="EQ557" s="323">
        <f t="shared" ref="EQ557:EX557" si="318">EQ195+EQ200</f>
        <v>0</v>
      </c>
      <c r="ER557" s="323">
        <f t="shared" si="318"/>
        <v>0</v>
      </c>
      <c r="ES557" s="323">
        <f t="shared" si="318"/>
        <v>0</v>
      </c>
      <c r="ET557" s="323">
        <f t="shared" si="318"/>
        <v>0</v>
      </c>
      <c r="EU557" s="323">
        <f t="shared" si="318"/>
        <v>0</v>
      </c>
      <c r="EV557" s="323">
        <f t="shared" si="318"/>
        <v>0</v>
      </c>
      <c r="EW557" s="323">
        <f t="shared" si="318"/>
        <v>0</v>
      </c>
      <c r="EX557" s="325">
        <f t="shared" si="318"/>
        <v>0</v>
      </c>
      <c r="EY557" s="323"/>
      <c r="EZ557" s="323"/>
      <c r="FA557" s="323"/>
      <c r="FB557" s="323"/>
      <c r="FC557" s="323"/>
      <c r="FD557" s="323"/>
      <c r="FE557" s="323"/>
      <c r="FF557" s="323"/>
      <c r="FG557" s="323"/>
      <c r="FH557" s="323"/>
      <c r="FI557" s="323"/>
      <c r="FJ557" s="325"/>
      <c r="FK557" s="323"/>
      <c r="FL557" s="323"/>
      <c r="FM557" s="323"/>
      <c r="FN557" s="323"/>
      <c r="FO557" s="323"/>
      <c r="FP557" s="323"/>
      <c r="FQ557" s="323"/>
      <c r="FR557" s="323"/>
      <c r="FS557" s="323"/>
      <c r="FT557" s="323"/>
      <c r="FU557" s="323"/>
      <c r="FV557" s="323"/>
      <c r="FW557" s="323"/>
      <c r="FX557" s="323"/>
      <c r="FY557" s="323"/>
      <c r="FZ557" s="323"/>
      <c r="GA557" s="323"/>
      <c r="GB557" s="323"/>
      <c r="GC557" s="323"/>
      <c r="GD557" s="323"/>
      <c r="GE557" s="323"/>
      <c r="GF557" s="323"/>
      <c r="GG557" s="323"/>
      <c r="GH557" s="323"/>
      <c r="GI557" s="323"/>
      <c r="GJ557" s="323"/>
      <c r="GK557" s="323"/>
      <c r="GL557" s="323"/>
      <c r="GM557" s="323"/>
      <c r="GN557" s="323"/>
      <c r="GO557" s="323"/>
      <c r="GP557" s="323"/>
      <c r="GQ557" s="323"/>
      <c r="GR557" s="323"/>
      <c r="GS557" s="323"/>
      <c r="GT557" s="323"/>
      <c r="GU557" s="323"/>
      <c r="GV557" s="323"/>
      <c r="GW557" s="323"/>
      <c r="GX557" s="323"/>
      <c r="GY557" s="323"/>
      <c r="GZ557" s="323"/>
      <c r="HA557" s="323"/>
      <c r="HB557" s="323"/>
      <c r="HC557" s="323"/>
      <c r="HD557" s="323"/>
      <c r="HE557" s="323"/>
      <c r="HF557" s="323"/>
      <c r="HG557" s="323"/>
      <c r="HH557" s="323"/>
      <c r="HI557" s="323"/>
      <c r="HJ557" s="323"/>
      <c r="HK557" s="323"/>
      <c r="HL557" s="323"/>
      <c r="HM557" s="323"/>
      <c r="HN557" s="323"/>
      <c r="HO557" s="323"/>
      <c r="HP557" s="323"/>
      <c r="HQ557" s="323"/>
      <c r="HR557" s="323"/>
      <c r="HS557" s="323"/>
      <c r="HT557" s="323"/>
      <c r="HU557" s="323"/>
      <c r="HV557" s="323"/>
      <c r="HW557" s="323"/>
      <c r="HX557" s="323"/>
      <c r="HY557" s="323"/>
      <c r="HZ557" s="326"/>
      <c r="IA557" s="328" t="s">
        <v>324</v>
      </c>
      <c r="IB557" s="328"/>
      <c r="IC557" s="328"/>
      <c r="ID557" s="323">
        <f>+FISC!Z750</f>
        <v>0</v>
      </c>
      <c r="IE557" s="279">
        <f t="shared" si="299"/>
        <v>2.048680327</v>
      </c>
      <c r="IF557" s="279">
        <f t="shared" si="300"/>
        <v>2.414154167</v>
      </c>
      <c r="IG557" s="323">
        <f t="shared" si="303"/>
        <v>4.462834494</v>
      </c>
      <c r="IH557" s="279">
        <f t="shared" si="304"/>
        <v>0</v>
      </c>
      <c r="II557" s="279">
        <f t="shared" si="305"/>
        <v>0</v>
      </c>
      <c r="IJ557" s="323">
        <f t="shared" si="306"/>
        <v>0</v>
      </c>
      <c r="IK557" s="279">
        <f t="shared" si="307"/>
        <v>7.9125338029999996</v>
      </c>
      <c r="IL557" s="279">
        <f t="shared" si="308"/>
        <v>0</v>
      </c>
      <c r="IM557" s="323">
        <f t="shared" si="309"/>
        <v>7.9125338029999996</v>
      </c>
      <c r="IO557" s="327"/>
      <c r="IP557" s="323">
        <f>FISC!AC750</f>
        <v>0</v>
      </c>
      <c r="IQ557" s="279">
        <f t="shared" si="310"/>
        <v>0</v>
      </c>
      <c r="IR557" s="279">
        <f t="shared" si="311"/>
        <v>0</v>
      </c>
      <c r="IS557" s="323">
        <f t="shared" si="312"/>
        <v>0</v>
      </c>
      <c r="IT557" s="327"/>
      <c r="IU557" s="327"/>
      <c r="IV557" s="323">
        <f>+FISC!AE750</f>
        <v>0</v>
      </c>
      <c r="IW557" s="279">
        <f>IY557*JU557</f>
        <v>0</v>
      </c>
      <c r="IX557" s="279">
        <f t="shared" si="291"/>
        <v>0</v>
      </c>
      <c r="IY557" s="323">
        <f>+FISC!AF750</f>
        <v>0</v>
      </c>
      <c r="IZ557" s="279">
        <f>JB557*JU557</f>
        <v>0</v>
      </c>
      <c r="JA557" s="279">
        <f t="shared" si="279"/>
        <v>0</v>
      </c>
      <c r="JB557" s="323">
        <f>+FISC!AG750</f>
        <v>0</v>
      </c>
      <c r="JC557" s="279">
        <f>JE557*JU557</f>
        <v>0</v>
      </c>
      <c r="JD557" s="279">
        <f t="shared" si="280"/>
        <v>0</v>
      </c>
      <c r="JE557" s="323">
        <f>+FISC!AH750</f>
        <v>0</v>
      </c>
      <c r="JF557" s="279">
        <f>JH557*JU557</f>
        <v>0</v>
      </c>
      <c r="JG557" s="279">
        <f t="shared" si="281"/>
        <v>0</v>
      </c>
      <c r="JH557" s="323">
        <f>+FISC!AI750</f>
        <v>0</v>
      </c>
      <c r="JI557" s="279">
        <f>JK557*JX557</f>
        <v>0</v>
      </c>
      <c r="JJ557" s="279">
        <f t="shared" si="282"/>
        <v>0</v>
      </c>
      <c r="JK557" s="323">
        <f>+FISC!AJ750</f>
        <v>0</v>
      </c>
      <c r="JL557" s="279">
        <f>JN557*KA557</f>
        <v>0</v>
      </c>
      <c r="JM557" s="279">
        <f t="shared" si="283"/>
        <v>0</v>
      </c>
      <c r="JN557" s="323">
        <f>+FISC!AK750</f>
        <v>0</v>
      </c>
      <c r="JO557" s="323"/>
      <c r="KU557" s="326"/>
      <c r="KV557" s="327"/>
    </row>
    <row r="558" spans="2:314" ht="16.2" hidden="1">
      <c r="B558" s="96" t="s">
        <v>338</v>
      </c>
      <c r="D558" s="322" t="str">
        <f>+FISC!D751</f>
        <v>Taxes on goods and services</v>
      </c>
      <c r="E558" s="323">
        <v>9.4116</v>
      </c>
      <c r="F558" s="323">
        <v>8.2608999999999995</v>
      </c>
      <c r="G558" s="323">
        <v>10.0154</v>
      </c>
      <c r="H558" s="323">
        <v>9.7668999999999997</v>
      </c>
      <c r="I558" s="323">
        <v>9.5553999999999988</v>
      </c>
      <c r="J558" s="323">
        <v>10.387</v>
      </c>
      <c r="K558" s="323">
        <v>9.6048999999999989</v>
      </c>
      <c r="L558" s="323">
        <v>10.3903</v>
      </c>
      <c r="M558" s="323">
        <v>9.9152000000000005</v>
      </c>
      <c r="N558" s="323">
        <v>10.2142</v>
      </c>
      <c r="O558" s="323">
        <v>11.895299999999999</v>
      </c>
      <c r="P558" s="323">
        <v>11.5648</v>
      </c>
      <c r="Q558" s="323">
        <v>11.690299999999999</v>
      </c>
      <c r="R558" s="323">
        <v>11.6149</v>
      </c>
      <c r="S558" s="323">
        <v>11.647500000000001</v>
      </c>
      <c r="T558" s="323">
        <v>10.822700000000001</v>
      </c>
      <c r="U558" s="323">
        <v>12.672799999999999</v>
      </c>
      <c r="V558" s="323">
        <v>12.947899999999999</v>
      </c>
      <c r="W558" s="323">
        <v>13.3018</v>
      </c>
      <c r="X558" s="323">
        <v>13.8018</v>
      </c>
      <c r="Y558" s="323">
        <v>15.9435</v>
      </c>
      <c r="Z558" s="323">
        <v>15.8424</v>
      </c>
      <c r="AA558" s="323">
        <v>14.826799999999999</v>
      </c>
      <c r="AB558" s="323">
        <v>16.5852</v>
      </c>
      <c r="AC558" s="323">
        <v>15.978399999999999</v>
      </c>
      <c r="AD558" s="323">
        <v>16.263300000000001</v>
      </c>
      <c r="AE558" s="323">
        <v>13.9215</v>
      </c>
      <c r="AF558" s="323">
        <v>14.3789</v>
      </c>
      <c r="AG558" s="323">
        <v>13.683200000000001</v>
      </c>
      <c r="AH558" s="323">
        <v>14.745899999999999</v>
      </c>
      <c r="AI558" s="323">
        <v>15.043299999999999</v>
      </c>
      <c r="AJ558" s="323">
        <v>15.857299999999999</v>
      </c>
      <c r="AK558" s="323">
        <v>15.3857</v>
      </c>
      <c r="AL558" s="323">
        <v>15.346200000000001</v>
      </c>
      <c r="AM558" s="323">
        <v>16.407499999999999</v>
      </c>
      <c r="AN558" s="323">
        <v>16.686499999999999</v>
      </c>
      <c r="AO558" s="323">
        <v>16.5548</v>
      </c>
      <c r="AP558" s="323">
        <v>15.553700000000001</v>
      </c>
      <c r="AQ558" s="323">
        <v>17.471700000000002</v>
      </c>
      <c r="AR558" s="323">
        <v>16.3583</v>
      </c>
      <c r="AS558" s="323">
        <v>15.6881</v>
      </c>
      <c r="AT558" s="323">
        <v>17.7105</v>
      </c>
      <c r="AU558" s="323">
        <v>17.6343</v>
      </c>
      <c r="AV558" s="323">
        <v>19.058599999999998</v>
      </c>
      <c r="AW558" s="323">
        <v>18.961500000000001</v>
      </c>
      <c r="AX558" s="323">
        <v>19.161000000000001</v>
      </c>
      <c r="AY558" s="323">
        <v>20.3108</v>
      </c>
      <c r="AZ558" s="323">
        <v>22.339200000000002</v>
      </c>
      <c r="BA558" s="323">
        <v>21.822200000000002</v>
      </c>
      <c r="BB558" s="323">
        <v>19.162560000000003</v>
      </c>
      <c r="BC558" s="323">
        <v>19.557560000000002</v>
      </c>
      <c r="BD558" s="323">
        <v>20.508900000000001</v>
      </c>
      <c r="BE558" s="323">
        <v>22.770299999999999</v>
      </c>
      <c r="BF558" s="323">
        <v>23.7254</v>
      </c>
      <c r="BG558" s="323">
        <v>20.966528663800002</v>
      </c>
      <c r="BH558" s="323">
        <v>23.6671240272</v>
      </c>
      <c r="BI558" s="323">
        <v>23.953027627900003</v>
      </c>
      <c r="BJ558" s="323">
        <v>21.652000000000001</v>
      </c>
      <c r="BK558" s="323">
        <v>23.069839999999999</v>
      </c>
      <c r="BL558" s="323">
        <v>24.892345000000002</v>
      </c>
      <c r="BM558" s="323">
        <v>23.2239</v>
      </c>
      <c r="BN558" s="323">
        <v>24.133299999999998</v>
      </c>
      <c r="BO558" s="323">
        <v>24.619499999999999</v>
      </c>
      <c r="BP558" s="323">
        <v>21.920300000000001</v>
      </c>
      <c r="BQ558" s="323">
        <v>24.101099999999999</v>
      </c>
      <c r="BR558" s="323">
        <v>26.454900000000002</v>
      </c>
      <c r="BS558" s="323">
        <v>25.064599999999999</v>
      </c>
      <c r="BT558" s="323">
        <v>25.4953</v>
      </c>
      <c r="BU558" s="323">
        <v>26.915500000000002</v>
      </c>
      <c r="BV558" s="323">
        <v>26.531306822147378</v>
      </c>
      <c r="BW558" s="323">
        <v>24.98555869265882</v>
      </c>
      <c r="BX558" s="323">
        <v>26.125447644255175</v>
      </c>
      <c r="BY558" s="323">
        <v>27.888198336466331</v>
      </c>
      <c r="BZ558" s="323">
        <v>24.784347504198433</v>
      </c>
      <c r="CA558" s="323">
        <v>26.467188712430286</v>
      </c>
      <c r="CB558" s="323">
        <v>26.181016224506465</v>
      </c>
      <c r="CC558" s="323">
        <v>27.027884673222939</v>
      </c>
      <c r="CD558" s="323">
        <v>32.036213115318802</v>
      </c>
      <c r="CE558" s="324">
        <f t="shared" ref="CE558:DJ558" si="319">CE202</f>
        <v>27.175925627697268</v>
      </c>
      <c r="CF558" s="323">
        <f t="shared" si="319"/>
        <v>31.448783389300786</v>
      </c>
      <c r="CG558" s="323">
        <f t="shared" si="319"/>
        <v>32.695062422293432</v>
      </c>
      <c r="CH558" s="323">
        <f t="shared" si="319"/>
        <v>30.093787589345226</v>
      </c>
      <c r="CI558" s="323">
        <f t="shared" si="319"/>
        <v>31.622931282824723</v>
      </c>
      <c r="CJ558" s="323">
        <f t="shared" si="319"/>
        <v>30.767406408693802</v>
      </c>
      <c r="CK558" s="323">
        <f t="shared" si="319"/>
        <v>34.382431935825046</v>
      </c>
      <c r="CL558" s="323">
        <f t="shared" si="319"/>
        <v>31.154646210163069</v>
      </c>
      <c r="CM558" s="323">
        <f t="shared" si="319"/>
        <v>31.832167890064213</v>
      </c>
      <c r="CN558" s="323">
        <f t="shared" si="319"/>
        <v>30.847774212253356</v>
      </c>
      <c r="CO558" s="323">
        <f t="shared" si="319"/>
        <v>37.059071629357625</v>
      </c>
      <c r="CP558" s="325">
        <f t="shared" si="319"/>
        <v>44.856672864505647</v>
      </c>
      <c r="CQ558" s="323">
        <f t="shared" si="319"/>
        <v>34.044234721423337</v>
      </c>
      <c r="CR558" s="323">
        <f t="shared" si="319"/>
        <v>34.29596958275522</v>
      </c>
      <c r="CS558" s="323">
        <f t="shared" si="319"/>
        <v>40.407163301722527</v>
      </c>
      <c r="CT558" s="323">
        <f t="shared" si="319"/>
        <v>32.822443309882217</v>
      </c>
      <c r="CU558" s="323">
        <f t="shared" si="319"/>
        <v>32.604727360794364</v>
      </c>
      <c r="CV558" s="323">
        <f t="shared" si="319"/>
        <v>36.848967973615132</v>
      </c>
      <c r="CW558" s="323">
        <f t="shared" si="319"/>
        <v>34.063865863482597</v>
      </c>
      <c r="CX558" s="323">
        <f t="shared" si="319"/>
        <v>31.988126682468085</v>
      </c>
      <c r="CY558" s="323">
        <f t="shared" si="319"/>
        <v>35.181410989911789</v>
      </c>
      <c r="CZ558" s="323">
        <f t="shared" si="319"/>
        <v>35.864216277090101</v>
      </c>
      <c r="DA558" s="323">
        <f t="shared" si="319"/>
        <v>35.710730559602688</v>
      </c>
      <c r="DB558" s="1269">
        <f t="shared" si="319"/>
        <v>48.394044200851191</v>
      </c>
      <c r="DC558" s="323">
        <f t="shared" si="319"/>
        <v>36.017546511268577</v>
      </c>
      <c r="DD558" s="323">
        <f t="shared" si="319"/>
        <v>38.71828427882236</v>
      </c>
      <c r="DE558" s="323">
        <f t="shared" si="319"/>
        <v>43.069802325784131</v>
      </c>
      <c r="DF558" s="323">
        <f t="shared" si="319"/>
        <v>41.524162978379593</v>
      </c>
      <c r="DG558" s="323">
        <f t="shared" si="319"/>
        <v>38.419026093744549</v>
      </c>
      <c r="DH558" s="323">
        <f t="shared" si="319"/>
        <v>47.647654626847959</v>
      </c>
      <c r="DI558" s="323">
        <f t="shared" si="319"/>
        <v>40.436518023905741</v>
      </c>
      <c r="DJ558" s="323">
        <f t="shared" si="319"/>
        <v>39.103427348713439</v>
      </c>
      <c r="DK558" s="323">
        <f t="shared" ref="DK558:EP558" si="320">DK202</f>
        <v>44.097411509082349</v>
      </c>
      <c r="DL558" s="323">
        <f t="shared" si="320"/>
        <v>41.603929950538571</v>
      </c>
      <c r="DM558" s="323">
        <f t="shared" si="320"/>
        <v>41.569464513546087</v>
      </c>
      <c r="DN558" s="325">
        <f t="shared" si="320"/>
        <v>58.062729940586692</v>
      </c>
      <c r="DO558" s="323">
        <f t="shared" si="320"/>
        <v>39.527052364900001</v>
      </c>
      <c r="DP558" s="323">
        <f t="shared" si="320"/>
        <v>42.818899499300009</v>
      </c>
      <c r="DQ558" s="323">
        <f t="shared" si="320"/>
        <v>46.790589943999997</v>
      </c>
      <c r="DR558" s="323">
        <f t="shared" si="320"/>
        <v>39.023771138699999</v>
      </c>
      <c r="DS558" s="323">
        <f t="shared" si="320"/>
        <v>41.684953767900005</v>
      </c>
      <c r="DT558" s="323">
        <f t="shared" si="320"/>
        <v>48.221292091819997</v>
      </c>
      <c r="DU558" s="323">
        <f t="shared" si="320"/>
        <v>45.778980718100001</v>
      </c>
      <c r="DV558" s="323">
        <f t="shared" si="320"/>
        <v>43.676228391100004</v>
      </c>
      <c r="DW558" s="323">
        <f t="shared" si="320"/>
        <v>48.967417331000007</v>
      </c>
      <c r="DX558" s="323">
        <f t="shared" si="320"/>
        <v>42.485499302900003</v>
      </c>
      <c r="DY558" s="323">
        <f t="shared" si="320"/>
        <v>45.112971943700011</v>
      </c>
      <c r="DZ558" s="325">
        <f t="shared" si="320"/>
        <v>60.468120292899989</v>
      </c>
      <c r="EA558" s="323">
        <f t="shared" si="320"/>
        <v>44.797875797699994</v>
      </c>
      <c r="EB558" s="323">
        <f t="shared" si="320"/>
        <v>45.5477164399</v>
      </c>
      <c r="EC558" s="323">
        <f t="shared" si="320"/>
        <v>53.77540983518999</v>
      </c>
      <c r="ED558" s="323">
        <f t="shared" si="320"/>
        <v>48.820116958200003</v>
      </c>
      <c r="EE558" s="323">
        <f t="shared" si="320"/>
        <v>47.771835361160008</v>
      </c>
      <c r="EF558" s="323">
        <f t="shared" si="320"/>
        <v>58.566249298130003</v>
      </c>
      <c r="EG558" s="323">
        <f t="shared" si="320"/>
        <v>50.211513377449997</v>
      </c>
      <c r="EH558" s="323">
        <f t="shared" si="320"/>
        <v>48.096043656969997</v>
      </c>
      <c r="EI558" s="323">
        <f t="shared" si="320"/>
        <v>53.197381827259996</v>
      </c>
      <c r="EJ558" s="323">
        <f t="shared" si="320"/>
        <v>50.165768678964042</v>
      </c>
      <c r="EK558" s="323">
        <f t="shared" si="320"/>
        <v>50.777974140087323</v>
      </c>
      <c r="EL558" s="325">
        <f t="shared" si="320"/>
        <v>64.329564190127527</v>
      </c>
      <c r="EM558" s="323">
        <f t="shared" si="320"/>
        <v>49.047515527320002</v>
      </c>
      <c r="EN558" s="323">
        <f t="shared" si="320"/>
        <v>55.9534801808</v>
      </c>
      <c r="EO558" s="323">
        <f t="shared" si="320"/>
        <v>56.180142703960001</v>
      </c>
      <c r="EP558" s="323">
        <f t="shared" si="320"/>
        <v>50.583445224296661</v>
      </c>
      <c r="EQ558" s="323">
        <f t="shared" ref="EQ558:EX558" si="321">EQ202</f>
        <v>53.589851192056663</v>
      </c>
      <c r="ER558" s="323">
        <f t="shared" si="321"/>
        <v>63.491690591056667</v>
      </c>
      <c r="ES558" s="323">
        <f t="shared" si="321"/>
        <v>57.058484830496539</v>
      </c>
      <c r="ET558" s="323">
        <f t="shared" si="321"/>
        <v>57.352404683147306</v>
      </c>
      <c r="EU558" s="323">
        <f t="shared" si="321"/>
        <v>55.750775766247251</v>
      </c>
      <c r="EV558" s="323">
        <f t="shared" si="321"/>
        <v>58.656694224941994</v>
      </c>
      <c r="EW558" s="323">
        <f t="shared" si="321"/>
        <v>59.182104264638305</v>
      </c>
      <c r="EX558" s="325">
        <f t="shared" si="321"/>
        <v>73.132967703428662</v>
      </c>
      <c r="EY558" s="323"/>
      <c r="EZ558" s="323"/>
      <c r="FA558" s="323"/>
      <c r="FB558" s="323"/>
      <c r="FC558" s="323"/>
      <c r="FD558" s="323"/>
      <c r="FE558" s="323"/>
      <c r="FF558" s="323"/>
      <c r="FG558" s="323"/>
      <c r="FH558" s="323"/>
      <c r="FI558" s="323"/>
      <c r="FJ558" s="325"/>
      <c r="FK558" s="323"/>
      <c r="FL558" s="323"/>
      <c r="FM558" s="323"/>
      <c r="FN558" s="323"/>
      <c r="FO558" s="323"/>
      <c r="FP558" s="323"/>
      <c r="FQ558" s="323"/>
      <c r="FR558" s="323"/>
      <c r="FS558" s="323"/>
      <c r="FT558" s="323"/>
      <c r="FU558" s="323"/>
      <c r="FV558" s="323"/>
      <c r="FW558" s="323"/>
      <c r="FX558" s="323"/>
      <c r="FY558" s="323"/>
      <c r="FZ558" s="323"/>
      <c r="GA558" s="323"/>
      <c r="GB558" s="323"/>
      <c r="GC558" s="323"/>
      <c r="GD558" s="323"/>
      <c r="GE558" s="323"/>
      <c r="GF558" s="323"/>
      <c r="GG558" s="323"/>
      <c r="GH558" s="323"/>
      <c r="GI558" s="323"/>
      <c r="GJ558" s="323"/>
      <c r="GK558" s="323"/>
      <c r="GL558" s="323"/>
      <c r="GM558" s="323"/>
      <c r="GN558" s="323"/>
      <c r="GO558" s="323"/>
      <c r="GP558" s="323"/>
      <c r="GQ558" s="323"/>
      <c r="GR558" s="323"/>
      <c r="GS558" s="323"/>
      <c r="GT558" s="323"/>
      <c r="GU558" s="323"/>
      <c r="GV558" s="323"/>
      <c r="GW558" s="323"/>
      <c r="GX558" s="323"/>
      <c r="GY558" s="323"/>
      <c r="GZ558" s="323"/>
      <c r="HA558" s="323"/>
      <c r="HB558" s="323"/>
      <c r="HC558" s="323"/>
      <c r="HD558" s="323"/>
      <c r="HE558" s="323"/>
      <c r="HF558" s="323"/>
      <c r="HG558" s="323"/>
      <c r="HH558" s="323"/>
      <c r="HI558" s="323"/>
      <c r="HJ558" s="323"/>
      <c r="HK558" s="323"/>
      <c r="HL558" s="323"/>
      <c r="HM558" s="323"/>
      <c r="HN558" s="323"/>
      <c r="HO558" s="323"/>
      <c r="HP558" s="323"/>
      <c r="HQ558" s="323"/>
      <c r="HR558" s="323"/>
      <c r="HS558" s="323"/>
      <c r="HT558" s="323"/>
      <c r="HU558" s="323"/>
      <c r="HV558" s="323"/>
      <c r="HW558" s="323"/>
      <c r="HX558" s="323"/>
      <c r="HY558" s="323"/>
      <c r="HZ558" s="326"/>
      <c r="IA558" s="322" t="s">
        <v>121</v>
      </c>
      <c r="IB558" s="322"/>
      <c r="IC558" s="322"/>
      <c r="ID558" s="323">
        <f>+FISC!Z751</f>
        <v>432.4</v>
      </c>
      <c r="IE558" s="279">
        <f t="shared" si="299"/>
        <v>211.02350625019278</v>
      </c>
      <c r="IF558" s="279">
        <f t="shared" si="300"/>
        <v>221.20239457340645</v>
      </c>
      <c r="IG558" s="323">
        <f t="shared" si="303"/>
        <v>432.2259008235992</v>
      </c>
      <c r="IH558" s="279">
        <f t="shared" si="304"/>
        <v>245.39647681484718</v>
      </c>
      <c r="II558" s="279">
        <f t="shared" si="305"/>
        <v>264.87348128637285</v>
      </c>
      <c r="IJ558" s="323">
        <f t="shared" si="306"/>
        <v>510.26995810122003</v>
      </c>
      <c r="IK558" s="279">
        <f t="shared" si="307"/>
        <v>258.06655880661998</v>
      </c>
      <c r="IL558" s="279">
        <f t="shared" si="308"/>
        <v>286.48921797970002</v>
      </c>
      <c r="IM558" s="323">
        <f t="shared" si="309"/>
        <v>544.55577678631994</v>
      </c>
      <c r="IN558" s="1064">
        <v>299.27920369027999</v>
      </c>
      <c r="IO558" s="279">
        <f>IP558-IN558</f>
        <v>316.77824587085883</v>
      </c>
      <c r="IP558" s="323">
        <f>FISC!AC751</f>
        <v>616.05744956113881</v>
      </c>
      <c r="IQ558" s="279">
        <f t="shared" si="310"/>
        <v>328.84612541949002</v>
      </c>
      <c r="IR558" s="279">
        <f t="shared" si="311"/>
        <v>361.13343147290004</v>
      </c>
      <c r="IS558" s="323">
        <f t="shared" si="312"/>
        <v>689.97955689239006</v>
      </c>
      <c r="IT558" s="327" t="e">
        <f>(IV558*0+#REF!)*0+387.265726077519</f>
        <v>#REF!</v>
      </c>
      <c r="IU558" s="279" t="e">
        <f>+IV558-IT558</f>
        <v>#REF!</v>
      </c>
      <c r="IV558" s="323">
        <f>+FISC!AE751</f>
        <v>679.27478904485804</v>
      </c>
      <c r="IW558" s="327">
        <f>(IY558*0.475)*0+332.534078062893</f>
        <v>332.534078062893</v>
      </c>
      <c r="IX558" s="279">
        <f t="shared" si="291"/>
        <v>368.27990663737404</v>
      </c>
      <c r="IY558" s="323">
        <f>+FISC!AF751</f>
        <v>700.81398470026704</v>
      </c>
      <c r="IZ558" s="327">
        <f>(JB558*0.48)</f>
        <v>1590.0226692217159</v>
      </c>
      <c r="JA558" s="279">
        <f t="shared" si="279"/>
        <v>1722.5245583235258</v>
      </c>
      <c r="JB558" s="323">
        <f>+FISC!AG751</f>
        <v>3312.5472275452416</v>
      </c>
      <c r="JC558" s="327">
        <f>JE558*0.48</f>
        <v>3070.8919023544317</v>
      </c>
      <c r="JD558" s="279">
        <f t="shared" si="280"/>
        <v>3326.7995608839678</v>
      </c>
      <c r="JE558" s="323">
        <f>+FISC!AH751</f>
        <v>6397.6914632383996</v>
      </c>
      <c r="JF558" s="327">
        <f>JH558*0.48</f>
        <v>3742.9765392601967</v>
      </c>
      <c r="JG558" s="279">
        <f t="shared" si="281"/>
        <v>4054.8912508652138</v>
      </c>
      <c r="JH558" s="323">
        <f>+FISC!AI751</f>
        <v>7797.8677901254105</v>
      </c>
      <c r="JI558" s="327">
        <f>JK558*0.48</f>
        <v>0</v>
      </c>
      <c r="JJ558" s="279">
        <f t="shared" si="282"/>
        <v>0</v>
      </c>
      <c r="JK558" s="323">
        <f>+FISC!AJ751</f>
        <v>0</v>
      </c>
      <c r="JL558" s="327">
        <f>JN558*0.48</f>
        <v>0</v>
      </c>
      <c r="JM558" s="279">
        <f t="shared" si="283"/>
        <v>0</v>
      </c>
      <c r="JN558" s="323">
        <f>+FISC!AK751</f>
        <v>0</v>
      </c>
      <c r="JO558" s="323"/>
      <c r="KU558" s="326"/>
      <c r="KV558" s="327"/>
    </row>
    <row r="559" spans="2:314" hidden="1">
      <c r="B559" s="96" t="s">
        <v>338</v>
      </c>
      <c r="D559" s="328" t="str">
        <f>+FISC!D752</f>
        <v xml:space="preserve">             o/w: Taxes on projects expenditures (REG&amp;RTDA)</v>
      </c>
      <c r="E559" s="323"/>
      <c r="F559" s="323"/>
      <c r="G559" s="323"/>
      <c r="H559" s="323"/>
      <c r="I559" s="323"/>
      <c r="J559" s="323"/>
      <c r="K559" s="323"/>
      <c r="L559" s="323"/>
      <c r="M559" s="323"/>
      <c r="N559" s="323"/>
      <c r="O559" s="323"/>
      <c r="P559" s="323"/>
      <c r="Q559" s="323"/>
      <c r="R559" s="323"/>
      <c r="S559" s="323"/>
      <c r="T559" s="323"/>
      <c r="U559" s="323"/>
      <c r="V559" s="323"/>
      <c r="W559" s="323"/>
      <c r="X559" s="323"/>
      <c r="Y559" s="323"/>
      <c r="Z559" s="323"/>
      <c r="AA559" s="323"/>
      <c r="AB559" s="323"/>
      <c r="AC559" s="323"/>
      <c r="AD559" s="323"/>
      <c r="AE559" s="323"/>
      <c r="AF559" s="323"/>
      <c r="AG559" s="323"/>
      <c r="AH559" s="323"/>
      <c r="AI559" s="323"/>
      <c r="AJ559" s="323"/>
      <c r="AK559" s="323"/>
      <c r="AL559" s="323"/>
      <c r="AM559" s="323"/>
      <c r="AN559" s="323"/>
      <c r="AO559" s="323"/>
      <c r="AP559" s="323"/>
      <c r="AQ559" s="323"/>
      <c r="AR559" s="323"/>
      <c r="AS559" s="323"/>
      <c r="AT559" s="323"/>
      <c r="AU559" s="323"/>
      <c r="AV559" s="323"/>
      <c r="AW559" s="323"/>
      <c r="AX559" s="323"/>
      <c r="AY559" s="323"/>
      <c r="AZ559" s="323"/>
      <c r="BA559" s="323"/>
      <c r="BB559" s="323"/>
      <c r="BC559" s="323"/>
      <c r="BD559" s="323"/>
      <c r="BE559" s="323"/>
      <c r="BF559" s="323"/>
      <c r="BG559" s="323"/>
      <c r="BH559" s="323"/>
      <c r="BI559" s="323"/>
      <c r="BJ559" s="323"/>
      <c r="BK559" s="323"/>
      <c r="BL559" s="323"/>
      <c r="BM559" s="323"/>
      <c r="BN559" s="323"/>
      <c r="BO559" s="323"/>
      <c r="BP559" s="323"/>
      <c r="BQ559" s="323"/>
      <c r="BR559" s="323"/>
      <c r="BS559" s="323"/>
      <c r="BT559" s="323"/>
      <c r="BU559" s="323"/>
      <c r="BV559" s="323"/>
      <c r="BW559" s="323"/>
      <c r="BX559" s="323"/>
      <c r="BY559" s="323"/>
      <c r="BZ559" s="323"/>
      <c r="CA559" s="323"/>
      <c r="CB559" s="323"/>
      <c r="CC559" s="323"/>
      <c r="CD559" s="323"/>
      <c r="CE559" s="324">
        <f t="shared" ref="CE559:DJ559" si="322">CE207+CE217</f>
        <v>0</v>
      </c>
      <c r="CF559" s="323">
        <f t="shared" si="322"/>
        <v>0</v>
      </c>
      <c r="CG559" s="323">
        <f t="shared" si="322"/>
        <v>0</v>
      </c>
      <c r="CH559" s="323">
        <f t="shared" si="322"/>
        <v>0</v>
      </c>
      <c r="CI559" s="323">
        <f t="shared" si="322"/>
        <v>0</v>
      </c>
      <c r="CJ559" s="323">
        <f t="shared" si="322"/>
        <v>0</v>
      </c>
      <c r="CK559" s="323">
        <f t="shared" si="322"/>
        <v>0</v>
      </c>
      <c r="CL559" s="323">
        <f t="shared" si="322"/>
        <v>0</v>
      </c>
      <c r="CM559" s="323">
        <f t="shared" si="322"/>
        <v>0</v>
      </c>
      <c r="CN559" s="323">
        <f t="shared" si="322"/>
        <v>0</v>
      </c>
      <c r="CO559" s="323">
        <f t="shared" si="322"/>
        <v>0</v>
      </c>
      <c r="CP559" s="325">
        <f t="shared" si="322"/>
        <v>0</v>
      </c>
      <c r="CQ559" s="323">
        <f t="shared" si="322"/>
        <v>1.0064725299999999</v>
      </c>
      <c r="CR559" s="323">
        <f t="shared" si="322"/>
        <v>0.45497435899999999</v>
      </c>
      <c r="CS559" s="323">
        <f t="shared" si="322"/>
        <v>1.9137100419999999</v>
      </c>
      <c r="CT559" s="323">
        <f t="shared" si="322"/>
        <v>0.48784684</v>
      </c>
      <c r="CU559" s="323">
        <f t="shared" si="322"/>
        <v>0.43759795600000001</v>
      </c>
      <c r="CV559" s="323">
        <f t="shared" si="322"/>
        <v>0.97064230700000009</v>
      </c>
      <c r="CW559" s="323">
        <f t="shared" si="322"/>
        <v>1.158739521</v>
      </c>
      <c r="CX559" s="323">
        <f t="shared" si="322"/>
        <v>0.29616374299999998</v>
      </c>
      <c r="CY559" s="323">
        <f t="shared" si="322"/>
        <v>0.28015272299999999</v>
      </c>
      <c r="CZ559" s="323">
        <f t="shared" si="322"/>
        <v>1.1065702239999999</v>
      </c>
      <c r="DA559" s="323">
        <f t="shared" si="322"/>
        <v>2.244692959</v>
      </c>
      <c r="DB559" s="1269">
        <f t="shared" si="322"/>
        <v>0.64485734500000003</v>
      </c>
      <c r="DC559" s="323">
        <f t="shared" si="322"/>
        <v>0.47785493355854752</v>
      </c>
      <c r="DD559" s="323">
        <f t="shared" si="322"/>
        <v>1.4959300313982959</v>
      </c>
      <c r="DE559" s="323">
        <f t="shared" si="322"/>
        <v>0.97319267858136105</v>
      </c>
      <c r="DF559" s="323">
        <f t="shared" si="322"/>
        <v>1.0006039282411332</v>
      </c>
      <c r="DG559" s="323">
        <f t="shared" si="322"/>
        <v>0.84528971338311532</v>
      </c>
      <c r="DH559" s="323">
        <f t="shared" si="322"/>
        <v>1.1130339760716854</v>
      </c>
      <c r="DI559" s="323">
        <f t="shared" si="322"/>
        <v>0.96640011736005382</v>
      </c>
      <c r="DJ559" s="323">
        <f t="shared" si="322"/>
        <v>0.82777730246173653</v>
      </c>
      <c r="DK559" s="323">
        <f t="shared" ref="DK559:EP559" si="323">DK207+DK217</f>
        <v>1.0005557799334683</v>
      </c>
      <c r="DL559" s="323">
        <f t="shared" si="323"/>
        <v>0.98473358730993465</v>
      </c>
      <c r="DM559" s="323">
        <f t="shared" si="323"/>
        <v>0.94368723611745831</v>
      </c>
      <c r="DN559" s="325">
        <f t="shared" si="323"/>
        <v>1.0810589796494359</v>
      </c>
      <c r="DO559" s="323">
        <f t="shared" si="323"/>
        <v>0</v>
      </c>
      <c r="DP559" s="323">
        <f t="shared" si="323"/>
        <v>0</v>
      </c>
      <c r="DQ559" s="323">
        <f t="shared" si="323"/>
        <v>0</v>
      </c>
      <c r="DR559" s="323">
        <f t="shared" si="323"/>
        <v>0</v>
      </c>
      <c r="DS559" s="323">
        <f t="shared" si="323"/>
        <v>0</v>
      </c>
      <c r="DT559" s="323">
        <f t="shared" si="323"/>
        <v>0</v>
      </c>
      <c r="DU559" s="323">
        <f t="shared" si="323"/>
        <v>0</v>
      </c>
      <c r="DV559" s="323">
        <f t="shared" si="323"/>
        <v>0</v>
      </c>
      <c r="DW559" s="323">
        <f t="shared" si="323"/>
        <v>0</v>
      </c>
      <c r="DX559" s="323">
        <f t="shared" si="323"/>
        <v>0</v>
      </c>
      <c r="DY559" s="323">
        <f t="shared" si="323"/>
        <v>0</v>
      </c>
      <c r="DZ559" s="325">
        <f t="shared" si="323"/>
        <v>0</v>
      </c>
      <c r="EA559" s="323">
        <f t="shared" si="323"/>
        <v>0</v>
      </c>
      <c r="EB559" s="323">
        <f t="shared" si="323"/>
        <v>0</v>
      </c>
      <c r="EC559" s="323">
        <f t="shared" si="323"/>
        <v>0</v>
      </c>
      <c r="ED559" s="323">
        <f t="shared" si="323"/>
        <v>0</v>
      </c>
      <c r="EE559" s="323">
        <f t="shared" si="323"/>
        <v>0</v>
      </c>
      <c r="EF559" s="323">
        <f t="shared" si="323"/>
        <v>0</v>
      </c>
      <c r="EG559" s="323">
        <f t="shared" si="323"/>
        <v>0</v>
      </c>
      <c r="EH559" s="323">
        <f t="shared" si="323"/>
        <v>0</v>
      </c>
      <c r="EI559" s="323">
        <f t="shared" si="323"/>
        <v>0</v>
      </c>
      <c r="EJ559" s="323">
        <f t="shared" si="323"/>
        <v>0</v>
      </c>
      <c r="EK559" s="323">
        <f t="shared" si="323"/>
        <v>0</v>
      </c>
      <c r="EL559" s="325">
        <f t="shared" si="323"/>
        <v>0</v>
      </c>
      <c r="EM559" s="323">
        <f t="shared" si="323"/>
        <v>0</v>
      </c>
      <c r="EN559" s="323">
        <f t="shared" si="323"/>
        <v>0</v>
      </c>
      <c r="EO559" s="323">
        <f t="shared" si="323"/>
        <v>0</v>
      </c>
      <c r="EP559" s="323">
        <f t="shared" si="323"/>
        <v>0</v>
      </c>
      <c r="EQ559" s="323">
        <f t="shared" ref="EQ559:EX559" si="324">EQ207+EQ217</f>
        <v>0</v>
      </c>
      <c r="ER559" s="323">
        <f t="shared" si="324"/>
        <v>0</v>
      </c>
      <c r="ES559" s="323">
        <f t="shared" si="324"/>
        <v>0</v>
      </c>
      <c r="ET559" s="323">
        <f t="shared" si="324"/>
        <v>0</v>
      </c>
      <c r="EU559" s="323">
        <f t="shared" si="324"/>
        <v>0</v>
      </c>
      <c r="EV559" s="323">
        <f t="shared" si="324"/>
        <v>0</v>
      </c>
      <c r="EW559" s="323">
        <f t="shared" si="324"/>
        <v>0</v>
      </c>
      <c r="EX559" s="325">
        <f t="shared" si="324"/>
        <v>0</v>
      </c>
      <c r="EY559" s="323"/>
      <c r="EZ559" s="323"/>
      <c r="FA559" s="323"/>
      <c r="FB559" s="323"/>
      <c r="FC559" s="323"/>
      <c r="FD559" s="323"/>
      <c r="FE559" s="323"/>
      <c r="FF559" s="323"/>
      <c r="FG559" s="323"/>
      <c r="FH559" s="323"/>
      <c r="FI559" s="323"/>
      <c r="FJ559" s="325"/>
      <c r="FK559" s="323"/>
      <c r="FL559" s="323"/>
      <c r="FM559" s="323"/>
      <c r="FN559" s="323"/>
      <c r="FO559" s="323"/>
      <c r="FP559" s="323"/>
      <c r="FQ559" s="323"/>
      <c r="FR559" s="323"/>
      <c r="FS559" s="323"/>
      <c r="FT559" s="323"/>
      <c r="FU559" s="323"/>
      <c r="FV559" s="323"/>
      <c r="FW559" s="323"/>
      <c r="FX559" s="323"/>
      <c r="FY559" s="323"/>
      <c r="FZ559" s="323"/>
      <c r="GA559" s="323"/>
      <c r="GB559" s="323"/>
      <c r="GC559" s="323"/>
      <c r="GD559" s="323"/>
      <c r="GE559" s="323"/>
      <c r="GF559" s="323"/>
      <c r="GG559" s="323"/>
      <c r="GH559" s="323"/>
      <c r="GI559" s="323"/>
      <c r="GJ559" s="323"/>
      <c r="GK559" s="323"/>
      <c r="GL559" s="323"/>
      <c r="GM559" s="323"/>
      <c r="GN559" s="323"/>
      <c r="GO559" s="323"/>
      <c r="GP559" s="323"/>
      <c r="GQ559" s="323"/>
      <c r="GR559" s="323"/>
      <c r="GS559" s="323"/>
      <c r="GT559" s="323"/>
      <c r="GU559" s="323"/>
      <c r="GV559" s="323"/>
      <c r="GW559" s="323"/>
      <c r="GX559" s="323"/>
      <c r="GY559" s="323"/>
      <c r="GZ559" s="323"/>
      <c r="HA559" s="323"/>
      <c r="HB559" s="323"/>
      <c r="HC559" s="323"/>
      <c r="HD559" s="323"/>
      <c r="HE559" s="323"/>
      <c r="HF559" s="323"/>
      <c r="HG559" s="323"/>
      <c r="HH559" s="323"/>
      <c r="HI559" s="323"/>
      <c r="HJ559" s="323"/>
      <c r="HK559" s="323"/>
      <c r="HL559" s="323"/>
      <c r="HM559" s="323"/>
      <c r="HN559" s="323"/>
      <c r="HO559" s="323"/>
      <c r="HP559" s="323"/>
      <c r="HQ559" s="323"/>
      <c r="HR559" s="323"/>
      <c r="HS559" s="323"/>
      <c r="HT559" s="323"/>
      <c r="HU559" s="323"/>
      <c r="HV559" s="323"/>
      <c r="HW559" s="323"/>
      <c r="HX559" s="323"/>
      <c r="HY559" s="323"/>
      <c r="HZ559" s="326"/>
      <c r="IA559" s="328" t="s">
        <v>1082</v>
      </c>
      <c r="IB559" s="328"/>
      <c r="IC559" s="328"/>
      <c r="ID559" s="323">
        <f>+FISC!Z752</f>
        <v>11</v>
      </c>
      <c r="IE559" s="279">
        <f t="shared" si="299"/>
        <v>5.2712440340000004</v>
      </c>
      <c r="IF559" s="279">
        <f t="shared" si="300"/>
        <v>5.7311765149999996</v>
      </c>
      <c r="IG559" s="323">
        <f t="shared" si="303"/>
        <v>11.002420549</v>
      </c>
      <c r="IH559" s="279">
        <f t="shared" si="304"/>
        <v>5.9059052612341381</v>
      </c>
      <c r="II559" s="279">
        <f t="shared" si="305"/>
        <v>5.8042130028320873</v>
      </c>
      <c r="IJ559" s="323">
        <f t="shared" si="306"/>
        <v>11.710118264066224</v>
      </c>
      <c r="IK559" s="279">
        <f t="shared" si="307"/>
        <v>0</v>
      </c>
      <c r="IL559" s="279">
        <f t="shared" si="308"/>
        <v>0</v>
      </c>
      <c r="IM559" s="323">
        <f t="shared" si="309"/>
        <v>0</v>
      </c>
      <c r="IN559" s="279">
        <f>+IP559/2*0</f>
        <v>0</v>
      </c>
      <c r="IO559" s="279">
        <f>+IP559-IN559</f>
        <v>0</v>
      </c>
      <c r="IP559" s="323">
        <f>FISC!AC752</f>
        <v>0</v>
      </c>
      <c r="IQ559" s="279">
        <f t="shared" si="310"/>
        <v>0</v>
      </c>
      <c r="IR559" s="279">
        <f t="shared" si="311"/>
        <v>0</v>
      </c>
      <c r="IS559" s="323">
        <f t="shared" si="312"/>
        <v>0</v>
      </c>
      <c r="IT559" s="279">
        <f>+IV559/2</f>
        <v>5.6914107684999999</v>
      </c>
      <c r="IU559" s="279">
        <f>+IV559-IT559</f>
        <v>5.6914107684999999</v>
      </c>
      <c r="IV559" s="323">
        <f>+FISC!AE752</f>
        <v>11.382821537</v>
      </c>
      <c r="IW559" s="327">
        <f>IY559/2</f>
        <v>6.1760343955000003</v>
      </c>
      <c r="IX559" s="279">
        <f t="shared" si="291"/>
        <v>6.1760343955000003</v>
      </c>
      <c r="IY559" s="323">
        <f>+FISC!AF752</f>
        <v>12.352068791000001</v>
      </c>
      <c r="IZ559" s="327">
        <f>JB559/2</f>
        <v>81.978337263952994</v>
      </c>
      <c r="JA559" s="279">
        <f t="shared" si="279"/>
        <v>81.978337263952994</v>
      </c>
      <c r="JB559" s="323">
        <f>+FISC!AG752</f>
        <v>163.95667452790599</v>
      </c>
      <c r="JC559" s="327">
        <f>JE559/2</f>
        <v>81.978337263952994</v>
      </c>
      <c r="JD559" s="279">
        <f t="shared" si="280"/>
        <v>81.978337263952994</v>
      </c>
      <c r="JE559" s="323">
        <f>+FISC!AH752</f>
        <v>163.95667452790599</v>
      </c>
      <c r="JF559" s="327">
        <f>JH559/2</f>
        <v>81.978337263952994</v>
      </c>
      <c r="JG559" s="279">
        <f t="shared" si="281"/>
        <v>81.978337263952994</v>
      </c>
      <c r="JH559" s="323">
        <f>+FISC!AI752</f>
        <v>163.95667452790599</v>
      </c>
      <c r="JI559" s="327">
        <f>JK559/2</f>
        <v>81.978337263952994</v>
      </c>
      <c r="JJ559" s="279">
        <f t="shared" si="282"/>
        <v>81.978337263952994</v>
      </c>
      <c r="JK559" s="323">
        <f>+FISC!AJ752</f>
        <v>163.95667452790599</v>
      </c>
      <c r="JL559" s="327">
        <f>JN559/2</f>
        <v>0</v>
      </c>
      <c r="JM559" s="279">
        <f t="shared" si="283"/>
        <v>0</v>
      </c>
      <c r="JN559" s="323">
        <f>+FISC!AK752</f>
        <v>0</v>
      </c>
      <c r="JO559" s="323"/>
      <c r="KU559" s="326"/>
      <c r="KV559" s="327"/>
    </row>
    <row r="560" spans="2:314" hidden="1">
      <c r="B560" s="96" t="s">
        <v>338</v>
      </c>
      <c r="D560" s="328" t="str">
        <f>+FISC!D753</f>
        <v xml:space="preserve">             o/w: Taxes on domestic goods and services (VAT, excises excl, fuel)</v>
      </c>
      <c r="E560" s="323"/>
      <c r="F560" s="323"/>
      <c r="G560" s="323"/>
      <c r="H560" s="323"/>
      <c r="I560" s="323"/>
      <c r="J560" s="323"/>
      <c r="K560" s="323"/>
      <c r="L560" s="323"/>
      <c r="M560" s="323"/>
      <c r="N560" s="323"/>
      <c r="O560" s="323"/>
      <c r="P560" s="323"/>
      <c r="Q560" s="323"/>
      <c r="R560" s="323"/>
      <c r="S560" s="323"/>
      <c r="T560" s="323"/>
      <c r="U560" s="323"/>
      <c r="V560" s="323"/>
      <c r="W560" s="323"/>
      <c r="X560" s="323"/>
      <c r="Y560" s="323"/>
      <c r="Z560" s="323"/>
      <c r="AA560" s="323"/>
      <c r="AB560" s="323"/>
      <c r="AC560" s="323"/>
      <c r="AD560" s="323"/>
      <c r="AE560" s="323"/>
      <c r="AF560" s="323"/>
      <c r="AG560" s="323"/>
      <c r="AH560" s="323"/>
      <c r="AI560" s="323"/>
      <c r="AJ560" s="323"/>
      <c r="AK560" s="323"/>
      <c r="AL560" s="323"/>
      <c r="AM560" s="323"/>
      <c r="AN560" s="323"/>
      <c r="AO560" s="323"/>
      <c r="AP560" s="323"/>
      <c r="AQ560" s="323"/>
      <c r="AR560" s="323"/>
      <c r="AS560" s="323"/>
      <c r="AT560" s="323"/>
      <c r="AU560" s="323"/>
      <c r="AV560" s="323"/>
      <c r="AW560" s="323"/>
      <c r="AX560" s="323"/>
      <c r="AY560" s="323"/>
      <c r="AZ560" s="323"/>
      <c r="BA560" s="323"/>
      <c r="BB560" s="323"/>
      <c r="BC560" s="323"/>
      <c r="BD560" s="323"/>
      <c r="BE560" s="323"/>
      <c r="BF560" s="323"/>
      <c r="BG560" s="323"/>
      <c r="BH560" s="323"/>
      <c r="BI560" s="323"/>
      <c r="BJ560" s="323"/>
      <c r="BK560" s="323"/>
      <c r="BL560" s="323"/>
      <c r="BM560" s="323"/>
      <c r="BN560" s="323"/>
      <c r="BO560" s="323"/>
      <c r="BP560" s="323"/>
      <c r="BQ560" s="323"/>
      <c r="BR560" s="323"/>
      <c r="BS560" s="323"/>
      <c r="BT560" s="323"/>
      <c r="BU560" s="323"/>
      <c r="BV560" s="323"/>
      <c r="BW560" s="323"/>
      <c r="BX560" s="323"/>
      <c r="BY560" s="323"/>
      <c r="BZ560" s="323"/>
      <c r="CA560" s="323"/>
      <c r="CB560" s="323"/>
      <c r="CC560" s="323"/>
      <c r="CD560" s="323"/>
      <c r="CE560" s="324">
        <f>CE558-CE561-CE562</f>
        <v>17.270255974097267</v>
      </c>
      <c r="CF560" s="323">
        <f t="shared" ref="CF560:DB560" si="325">CF558-CF561-CF562</f>
        <v>22.077285027100785</v>
      </c>
      <c r="CG560" s="323">
        <f t="shared" si="325"/>
        <v>23.048217469493434</v>
      </c>
      <c r="CH560" s="323">
        <f t="shared" si="325"/>
        <v>19.007982754245226</v>
      </c>
      <c r="CI560" s="323">
        <f t="shared" si="325"/>
        <v>20.321649095924723</v>
      </c>
      <c r="CJ560" s="323">
        <f t="shared" si="325"/>
        <v>19.491906868893803</v>
      </c>
      <c r="CK560" s="323">
        <f t="shared" si="325"/>
        <v>22.932730513325048</v>
      </c>
      <c r="CL560" s="323">
        <f t="shared" si="325"/>
        <v>21.182618878963069</v>
      </c>
      <c r="CM560" s="323">
        <f t="shared" si="325"/>
        <v>21.68182496356421</v>
      </c>
      <c r="CN560" s="323">
        <f t="shared" si="325"/>
        <v>19.826946757753355</v>
      </c>
      <c r="CO560" s="323">
        <f t="shared" si="325"/>
        <v>25.628552987957626</v>
      </c>
      <c r="CP560" s="325">
        <f t="shared" si="325"/>
        <v>33.90962099720565</v>
      </c>
      <c r="CQ560" s="323">
        <f t="shared" si="325"/>
        <v>23.012746838823336</v>
      </c>
      <c r="CR560" s="323">
        <f t="shared" si="325"/>
        <v>23.455824333355221</v>
      </c>
      <c r="CS560" s="323">
        <f t="shared" si="325"/>
        <v>28.411715735922524</v>
      </c>
      <c r="CT560" s="323">
        <f t="shared" si="325"/>
        <v>21.681830139282219</v>
      </c>
      <c r="CU560" s="323">
        <f t="shared" si="325"/>
        <v>22.413249771794362</v>
      </c>
      <c r="CV560" s="323">
        <f t="shared" si="325"/>
        <v>24.96925094341513</v>
      </c>
      <c r="CW560" s="323">
        <f t="shared" si="325"/>
        <v>22.656669031982599</v>
      </c>
      <c r="CX560" s="323">
        <f t="shared" si="325"/>
        <v>21.584403275868084</v>
      </c>
      <c r="CY560" s="323">
        <f t="shared" si="325"/>
        <v>23.920495628611786</v>
      </c>
      <c r="CZ560" s="323">
        <f t="shared" si="325"/>
        <v>23.908846541190101</v>
      </c>
      <c r="DA560" s="323">
        <f t="shared" si="325"/>
        <v>22.933728824202689</v>
      </c>
      <c r="DB560" s="1269">
        <f t="shared" si="325"/>
        <v>32.441450827151186</v>
      </c>
      <c r="DC560" s="323">
        <f>DC558-DC561-DC562-DC563</f>
        <v>18.743927042359161</v>
      </c>
      <c r="DD560" s="323">
        <f t="shared" ref="DD560:DN560" si="326">DD558-DD561-DD562-DD563</f>
        <v>21.355715077102367</v>
      </c>
      <c r="DE560" s="323">
        <f t="shared" si="326"/>
        <v>22.908259617458608</v>
      </c>
      <c r="DF560" s="323">
        <f t="shared" si="326"/>
        <v>22.936689253844008</v>
      </c>
      <c r="DG560" s="323">
        <f t="shared" si="326"/>
        <v>20.477908246591131</v>
      </c>
      <c r="DH560" s="323">
        <f t="shared" si="326"/>
        <v>28.480807992572302</v>
      </c>
      <c r="DI560" s="323">
        <f t="shared" si="326"/>
        <v>22.746099446472279</v>
      </c>
      <c r="DJ560" s="323">
        <f t="shared" si="326"/>
        <v>21.515900551392036</v>
      </c>
      <c r="DK560" s="323">
        <f t="shared" si="326"/>
        <v>25.178389891833291</v>
      </c>
      <c r="DL560" s="323">
        <f t="shared" si="326"/>
        <v>23.124773292510465</v>
      </c>
      <c r="DM560" s="323">
        <f t="shared" si="326"/>
        <v>21.809931656545867</v>
      </c>
      <c r="DN560" s="325">
        <f t="shared" si="326"/>
        <v>35.399593231041834</v>
      </c>
      <c r="DO560" s="323">
        <f t="shared" ref="DO560:DT560" si="327">DO558-DO561-DO562-DO563</f>
        <v>22.549650105600001</v>
      </c>
      <c r="DP560" s="323">
        <f t="shared" si="327"/>
        <v>22.694021334500004</v>
      </c>
      <c r="DQ560" s="323">
        <f t="shared" si="327"/>
        <v>26.670725938199997</v>
      </c>
      <c r="DR560" s="323">
        <f t="shared" si="327"/>
        <v>21.270239638299998</v>
      </c>
      <c r="DS560" s="323">
        <f t="shared" si="327"/>
        <v>22.027040283000005</v>
      </c>
      <c r="DT560" s="323">
        <f t="shared" si="327"/>
        <v>27.149422512019996</v>
      </c>
      <c r="DU560" s="323">
        <f t="shared" ref="DU560:DZ560" si="328">DU558-DU561-DU562-DU563</f>
        <v>29.137050843399997</v>
      </c>
      <c r="DV560" s="323">
        <f t="shared" si="328"/>
        <v>26.349207818300005</v>
      </c>
      <c r="DW560" s="323">
        <f t="shared" si="328"/>
        <v>28.638249580400014</v>
      </c>
      <c r="DX560" s="323">
        <f t="shared" si="328"/>
        <v>25.541261044199999</v>
      </c>
      <c r="DY560" s="323">
        <f t="shared" si="328"/>
        <v>25.09565390740001</v>
      </c>
      <c r="DZ560" s="325">
        <f t="shared" si="328"/>
        <v>39.39220616619999</v>
      </c>
      <c r="EA560" s="323">
        <f t="shared" ref="EA560:EL560" si="329">EA558-EA561-EA562-EA563</f>
        <v>27.033976672099993</v>
      </c>
      <c r="EB560" s="323">
        <f t="shared" si="329"/>
        <v>26.198417552900001</v>
      </c>
      <c r="EC560" s="323">
        <f t="shared" si="329"/>
        <v>32.917246938889988</v>
      </c>
      <c r="ED560" s="323">
        <f t="shared" si="329"/>
        <v>28.242780694100002</v>
      </c>
      <c r="EE560" s="323">
        <f t="shared" si="329"/>
        <v>28.956005440900007</v>
      </c>
      <c r="EF560" s="323">
        <f t="shared" si="329"/>
        <v>37.192128367000002</v>
      </c>
      <c r="EG560" s="323">
        <f t="shared" si="329"/>
        <v>30.508323245999996</v>
      </c>
      <c r="EH560" s="323">
        <f t="shared" si="329"/>
        <v>29.263865316</v>
      </c>
      <c r="EI560" s="323">
        <f t="shared" si="329"/>
        <v>32.093352027299993</v>
      </c>
      <c r="EJ560" s="323">
        <f t="shared" si="329"/>
        <v>31.45103612834523</v>
      </c>
      <c r="EK560" s="323">
        <f t="shared" si="329"/>
        <v>28.575332048663711</v>
      </c>
      <c r="EL560" s="325">
        <f t="shared" si="329"/>
        <v>42.293843172759615</v>
      </c>
      <c r="EM560" s="323">
        <f t="shared" ref="EM560:ER560" si="330">EM558-EM561-EM562-EM563</f>
        <v>28.516165579959999</v>
      </c>
      <c r="EN560" s="323">
        <f t="shared" si="330"/>
        <v>31.529582937400001</v>
      </c>
      <c r="EO560" s="323">
        <f t="shared" si="330"/>
        <v>34.407240132920009</v>
      </c>
      <c r="EP560" s="323">
        <f t="shared" si="330"/>
        <v>30.103288415599991</v>
      </c>
      <c r="EQ560" s="323">
        <f t="shared" si="330"/>
        <v>30.201307876119998</v>
      </c>
      <c r="ER560" s="323">
        <f t="shared" si="330"/>
        <v>39.315061756079999</v>
      </c>
      <c r="ES560" s="323">
        <f t="shared" ref="ES560:EX560" si="331">ES558-ES561-ES562-ES563</f>
        <v>36.496671364314402</v>
      </c>
      <c r="ET560" s="323">
        <f t="shared" si="331"/>
        <v>35.728788342376085</v>
      </c>
      <c r="EU560" s="323">
        <f t="shared" si="331"/>
        <v>34.195097262087678</v>
      </c>
      <c r="EV560" s="323">
        <f t="shared" si="331"/>
        <v>35.238250333584716</v>
      </c>
      <c r="EW560" s="323">
        <f t="shared" si="331"/>
        <v>34.681870578485949</v>
      </c>
      <c r="EX560" s="325">
        <f t="shared" si="331"/>
        <v>49.416312197846786</v>
      </c>
      <c r="EY560" s="323"/>
      <c r="EZ560" s="323"/>
      <c r="FA560" s="323"/>
      <c r="FB560" s="323"/>
      <c r="FC560" s="323"/>
      <c r="FD560" s="323"/>
      <c r="FE560" s="323"/>
      <c r="FF560" s="323"/>
      <c r="FG560" s="323"/>
      <c r="FH560" s="323"/>
      <c r="FI560" s="323"/>
      <c r="FJ560" s="325"/>
      <c r="FK560" s="323"/>
      <c r="FL560" s="323"/>
      <c r="FM560" s="323"/>
      <c r="FN560" s="323"/>
      <c r="FO560" s="323"/>
      <c r="FP560" s="323"/>
      <c r="FQ560" s="323"/>
      <c r="FR560" s="323"/>
      <c r="FS560" s="323"/>
      <c r="FT560" s="323"/>
      <c r="FU560" s="323"/>
      <c r="FV560" s="323"/>
      <c r="FW560" s="323"/>
      <c r="FX560" s="323"/>
      <c r="FY560" s="323"/>
      <c r="FZ560" s="323"/>
      <c r="GA560" s="323"/>
      <c r="GB560" s="323"/>
      <c r="GC560" s="323"/>
      <c r="GD560" s="323"/>
      <c r="GE560" s="323"/>
      <c r="GF560" s="323"/>
      <c r="GG560" s="323"/>
      <c r="GH560" s="323"/>
      <c r="GI560" s="323"/>
      <c r="GJ560" s="323"/>
      <c r="GK560" s="323"/>
      <c r="GL560" s="323"/>
      <c r="GM560" s="323"/>
      <c r="GN560" s="323"/>
      <c r="GO560" s="323"/>
      <c r="GP560" s="323"/>
      <c r="GQ560" s="323"/>
      <c r="GR560" s="323"/>
      <c r="GS560" s="323"/>
      <c r="GT560" s="323"/>
      <c r="GU560" s="323"/>
      <c r="GV560" s="323"/>
      <c r="GW560" s="323"/>
      <c r="GX560" s="323"/>
      <c r="GY560" s="323"/>
      <c r="GZ560" s="323"/>
      <c r="HA560" s="323"/>
      <c r="HB560" s="323"/>
      <c r="HC560" s="323"/>
      <c r="HD560" s="323"/>
      <c r="HE560" s="323"/>
      <c r="HF560" s="323"/>
      <c r="HG560" s="323"/>
      <c r="HH560" s="323"/>
      <c r="HI560" s="323"/>
      <c r="HJ560" s="323"/>
      <c r="HK560" s="323"/>
      <c r="HL560" s="323"/>
      <c r="HM560" s="323"/>
      <c r="HN560" s="323"/>
      <c r="HO560" s="323"/>
      <c r="HP560" s="323"/>
      <c r="HQ560" s="323"/>
      <c r="HR560" s="323"/>
      <c r="HS560" s="323"/>
      <c r="HT560" s="323"/>
      <c r="HU560" s="323"/>
      <c r="HV560" s="323"/>
      <c r="HW560" s="323"/>
      <c r="HX560" s="323"/>
      <c r="HY560" s="323"/>
      <c r="HZ560" s="326"/>
      <c r="IA560" s="328" t="s">
        <v>305</v>
      </c>
      <c r="IB560" s="328"/>
      <c r="IC560" s="328"/>
      <c r="ID560" s="323">
        <f>+FISC!Z753</f>
        <v>291.56431106799999</v>
      </c>
      <c r="IE560" s="279">
        <f t="shared" si="299"/>
        <v>143.9446177625928</v>
      </c>
      <c r="IF560" s="279">
        <f t="shared" si="300"/>
        <v>147.44559412900645</v>
      </c>
      <c r="IG560" s="323">
        <f t="shared" si="303"/>
        <v>291.39021189159922</v>
      </c>
      <c r="IH560" s="279">
        <f t="shared" si="304"/>
        <v>134.90330722992758</v>
      </c>
      <c r="II560" s="279">
        <f t="shared" si="305"/>
        <v>149.77468806979579</v>
      </c>
      <c r="IJ560" s="323">
        <f t="shared" si="306"/>
        <v>284.67799529972336</v>
      </c>
      <c r="IK560" s="279">
        <f t="shared" si="307"/>
        <v>142.36109981161999</v>
      </c>
      <c r="IL560" s="279">
        <f t="shared" si="308"/>
        <v>174.15362935990004</v>
      </c>
      <c r="IM560" s="323">
        <f t="shared" si="309"/>
        <v>316.51472917152</v>
      </c>
      <c r="IO560" s="327"/>
      <c r="IP560" s="323">
        <f>FISC!AC753</f>
        <v>367.84438556264797</v>
      </c>
      <c r="IQ560" s="279">
        <f t="shared" si="310"/>
        <v>194.07264669808001</v>
      </c>
      <c r="IR560" s="279">
        <f t="shared" si="311"/>
        <v>225.75699007869562</v>
      </c>
      <c r="IS560" s="323">
        <f t="shared" si="312"/>
        <v>419.8296367767756</v>
      </c>
      <c r="IT560" s="327"/>
      <c r="IU560" s="327"/>
      <c r="IV560" s="323">
        <f>+FISC!AE753</f>
        <v>427.00197743470397</v>
      </c>
      <c r="IW560" s="327">
        <f>IY560*0.48</f>
        <v>161.83368296053393</v>
      </c>
      <c r="IX560" s="279">
        <f t="shared" si="291"/>
        <v>175.31982320724509</v>
      </c>
      <c r="IY560" s="323">
        <f>+FISC!AF753</f>
        <v>337.15350616777903</v>
      </c>
      <c r="IZ560" s="327">
        <f>JB560*0.48</f>
        <v>1574.5685657070119</v>
      </c>
      <c r="JA560" s="279">
        <f t="shared" si="279"/>
        <v>1705.7826128492632</v>
      </c>
      <c r="JB560" s="323">
        <f>+FISC!AG753</f>
        <v>3280.351178556275</v>
      </c>
      <c r="JC560" s="327">
        <f>JE560*0.48</f>
        <v>2270.6522144489072</v>
      </c>
      <c r="JD560" s="279">
        <f t="shared" si="280"/>
        <v>2459.87323231965</v>
      </c>
      <c r="JE560" s="323">
        <f>+FISC!AH753</f>
        <v>4730.5254467685572</v>
      </c>
      <c r="JF560" s="327">
        <f>JH560*0.48</f>
        <v>2735.5601007210166</v>
      </c>
      <c r="JG560" s="279">
        <f t="shared" si="281"/>
        <v>2963.523442447768</v>
      </c>
      <c r="JH560" s="323">
        <f>+FISC!AI753</f>
        <v>5699.0835431687847</v>
      </c>
      <c r="JI560" s="327">
        <f>JK560*0.48</f>
        <v>0</v>
      </c>
      <c r="JJ560" s="279">
        <f t="shared" si="282"/>
        <v>0</v>
      </c>
      <c r="JK560" s="323">
        <f>+FISC!AJ753</f>
        <v>0</v>
      </c>
      <c r="JL560" s="327">
        <f>JN560*0.48</f>
        <v>0</v>
      </c>
      <c r="JM560" s="279">
        <f t="shared" si="283"/>
        <v>0</v>
      </c>
      <c r="JN560" s="323">
        <f>+FISC!AK753</f>
        <v>0</v>
      </c>
      <c r="JO560" s="323"/>
      <c r="KU560" s="326"/>
      <c r="KV560" s="327"/>
    </row>
    <row r="561" spans="2:314" hidden="1">
      <c r="B561" s="96" t="s">
        <v>338</v>
      </c>
      <c r="D561" s="328" t="str">
        <f>+FISC!D754</f>
        <v xml:space="preserve">                VAT on imports</v>
      </c>
      <c r="E561" s="323"/>
      <c r="F561" s="323"/>
      <c r="G561" s="323"/>
      <c r="H561" s="323"/>
      <c r="I561" s="323"/>
      <c r="J561" s="323"/>
      <c r="K561" s="323"/>
      <c r="L561" s="323"/>
      <c r="M561" s="323"/>
      <c r="N561" s="323"/>
      <c r="O561" s="323"/>
      <c r="P561" s="323"/>
      <c r="Q561" s="323"/>
      <c r="R561" s="323"/>
      <c r="S561" s="323"/>
      <c r="T561" s="323"/>
      <c r="U561" s="323"/>
      <c r="V561" s="323"/>
      <c r="W561" s="323"/>
      <c r="X561" s="323"/>
      <c r="Y561" s="323"/>
      <c r="Z561" s="323"/>
      <c r="AA561" s="323"/>
      <c r="AB561" s="323"/>
      <c r="AC561" s="323"/>
      <c r="AD561" s="323"/>
      <c r="AE561" s="323"/>
      <c r="AF561" s="323"/>
      <c r="AG561" s="323"/>
      <c r="AH561" s="323"/>
      <c r="AI561" s="323"/>
      <c r="AJ561" s="323"/>
      <c r="AK561" s="323"/>
      <c r="AL561" s="323"/>
      <c r="AM561" s="323"/>
      <c r="AN561" s="323"/>
      <c r="AO561" s="323"/>
      <c r="AP561" s="323"/>
      <c r="AQ561" s="323"/>
      <c r="AR561" s="323"/>
      <c r="AS561" s="323"/>
      <c r="AT561" s="323"/>
      <c r="AU561" s="323"/>
      <c r="AV561" s="323"/>
      <c r="AW561" s="323"/>
      <c r="AX561" s="323"/>
      <c r="AY561" s="323"/>
      <c r="AZ561" s="323"/>
      <c r="BA561" s="323"/>
      <c r="BB561" s="323"/>
      <c r="BC561" s="323"/>
      <c r="BD561" s="323"/>
      <c r="BE561" s="323"/>
      <c r="BF561" s="323"/>
      <c r="BG561" s="323"/>
      <c r="BH561" s="323"/>
      <c r="BI561" s="323"/>
      <c r="BJ561" s="323"/>
      <c r="BK561" s="323"/>
      <c r="BL561" s="323"/>
      <c r="BM561" s="323"/>
      <c r="BN561" s="323"/>
      <c r="BO561" s="323"/>
      <c r="BP561" s="323"/>
      <c r="BQ561" s="323"/>
      <c r="BR561" s="323"/>
      <c r="BS561" s="323"/>
      <c r="BT561" s="323"/>
      <c r="BU561" s="323"/>
      <c r="BV561" s="323"/>
      <c r="BW561" s="323"/>
      <c r="BX561" s="323"/>
      <c r="BY561" s="323"/>
      <c r="BZ561" s="323"/>
      <c r="CA561" s="323"/>
      <c r="CB561" s="323"/>
      <c r="CC561" s="323"/>
      <c r="CD561" s="323"/>
      <c r="CE561" s="324">
        <f t="shared" ref="CE561:DJ561" si="332">CE216</f>
        <v>6.7366902546</v>
      </c>
      <c r="CF561" s="323">
        <f t="shared" si="332"/>
        <v>6.1068302621999999</v>
      </c>
      <c r="CG561" s="323">
        <f t="shared" si="332"/>
        <v>6.8280531947999998</v>
      </c>
      <c r="CH561" s="323">
        <f t="shared" si="332"/>
        <v>7.8064579251000001</v>
      </c>
      <c r="CI561" s="323">
        <f t="shared" si="332"/>
        <v>8.1603117908999998</v>
      </c>
      <c r="CJ561" s="323">
        <f t="shared" si="332"/>
        <v>7.9802586918000005</v>
      </c>
      <c r="CK561" s="323">
        <f t="shared" si="332"/>
        <v>8.2039759515000004</v>
      </c>
      <c r="CL561" s="323">
        <f t="shared" si="332"/>
        <v>7.2599873472000001</v>
      </c>
      <c r="CM561" s="323">
        <f t="shared" si="332"/>
        <v>7.2809049735000002</v>
      </c>
      <c r="CN561" s="323">
        <f t="shared" si="332"/>
        <v>8.0172674955000005</v>
      </c>
      <c r="CO561" s="323">
        <f t="shared" si="332"/>
        <v>8.3042534394000018</v>
      </c>
      <c r="CP561" s="325">
        <f t="shared" si="332"/>
        <v>7.8717999303000008</v>
      </c>
      <c r="CQ561" s="323">
        <f t="shared" si="332"/>
        <v>7.782627261600001</v>
      </c>
      <c r="CR561" s="323">
        <f t="shared" si="332"/>
        <v>7.6012299054000003</v>
      </c>
      <c r="CS561" s="323">
        <f t="shared" si="332"/>
        <v>8.7531792948000025</v>
      </c>
      <c r="CT561" s="323">
        <f t="shared" si="332"/>
        <v>7.7517604926000008</v>
      </c>
      <c r="CU561" s="323">
        <f t="shared" si="332"/>
        <v>7.5989398680000004</v>
      </c>
      <c r="CV561" s="323">
        <f t="shared" si="332"/>
        <v>8.3404416761999993</v>
      </c>
      <c r="CW561" s="323">
        <f t="shared" si="332"/>
        <v>8.050610515499999</v>
      </c>
      <c r="CX561" s="323">
        <f t="shared" si="332"/>
        <v>7.2574940286</v>
      </c>
      <c r="CY561" s="323">
        <f t="shared" si="332"/>
        <v>7.9065599373000008</v>
      </c>
      <c r="CZ561" s="323">
        <f t="shared" si="332"/>
        <v>8.1813919059000018</v>
      </c>
      <c r="DA561" s="323">
        <f t="shared" si="332"/>
        <v>9.1612123523999998</v>
      </c>
      <c r="DB561" s="1269">
        <f t="shared" si="332"/>
        <v>11.3852438667</v>
      </c>
      <c r="DC561" s="323">
        <f t="shared" si="332"/>
        <v>7.8574058543206524</v>
      </c>
      <c r="DD561" s="323">
        <f t="shared" si="332"/>
        <v>7.363318467042566</v>
      </c>
      <c r="DE561" s="323">
        <f t="shared" si="332"/>
        <v>9.1731760781706662</v>
      </c>
      <c r="DF561" s="323">
        <f t="shared" si="332"/>
        <v>9.267140774954445</v>
      </c>
      <c r="DG561" s="323">
        <f t="shared" si="332"/>
        <v>8.9736080523093253</v>
      </c>
      <c r="DH561" s="323">
        <f t="shared" si="332"/>
        <v>10.063379199121947</v>
      </c>
      <c r="DI561" s="323">
        <f t="shared" si="332"/>
        <v>7.993661997213322</v>
      </c>
      <c r="DJ561" s="323">
        <f t="shared" si="332"/>
        <v>8.6605111779759554</v>
      </c>
      <c r="DK561" s="323">
        <f t="shared" ref="DK561:EP561" si="333">DK216</f>
        <v>9.0816079169001949</v>
      </c>
      <c r="DL561" s="323">
        <f t="shared" si="333"/>
        <v>9.0274323796330638</v>
      </c>
      <c r="DM561" s="323">
        <f t="shared" si="333"/>
        <v>9.7662289284729038</v>
      </c>
      <c r="DN561" s="325">
        <f t="shared" si="333"/>
        <v>11.866588971381663</v>
      </c>
      <c r="DO561" s="323">
        <f t="shared" si="333"/>
        <v>9.8108258972999991</v>
      </c>
      <c r="DP561" s="323">
        <f t="shared" si="333"/>
        <v>11.156453113800003</v>
      </c>
      <c r="DQ561" s="323">
        <f t="shared" si="333"/>
        <v>10.9570908448</v>
      </c>
      <c r="DR561" s="323">
        <f t="shared" si="333"/>
        <v>9.567440680399999</v>
      </c>
      <c r="DS561" s="323">
        <f t="shared" si="333"/>
        <v>10.712232864899999</v>
      </c>
      <c r="DT561" s="323">
        <f t="shared" si="333"/>
        <v>10.824824211799999</v>
      </c>
      <c r="DU561" s="323">
        <f t="shared" si="333"/>
        <v>8.7792521957000016</v>
      </c>
      <c r="DV561" s="323">
        <f t="shared" si="333"/>
        <v>9.5347919117999993</v>
      </c>
      <c r="DW561" s="323">
        <f t="shared" si="333"/>
        <v>11.028032146600001</v>
      </c>
      <c r="DX561" s="323">
        <f t="shared" si="333"/>
        <v>8.9639059277000008</v>
      </c>
      <c r="DY561" s="323">
        <f t="shared" si="333"/>
        <v>11.344663394299999</v>
      </c>
      <c r="DZ561" s="325">
        <f t="shared" si="333"/>
        <v>11.3917456027</v>
      </c>
      <c r="EA561" s="323">
        <f t="shared" si="333"/>
        <v>9.3237178376000003</v>
      </c>
      <c r="EB561" s="323">
        <f t="shared" si="333"/>
        <v>9.8451868539999996</v>
      </c>
      <c r="EC561" s="323">
        <f t="shared" si="333"/>
        <v>11.760298321299999</v>
      </c>
      <c r="ED561" s="323">
        <f t="shared" si="333"/>
        <v>11.451489605500001</v>
      </c>
      <c r="EE561" s="323">
        <f t="shared" si="333"/>
        <v>10.078342945399999</v>
      </c>
      <c r="EF561" s="323">
        <f t="shared" si="333"/>
        <v>11.5178781555</v>
      </c>
      <c r="EG561" s="323">
        <f t="shared" si="333"/>
        <v>11.368516396</v>
      </c>
      <c r="EH561" s="323">
        <f t="shared" si="333"/>
        <v>10.028138416999999</v>
      </c>
      <c r="EI561" s="323">
        <f t="shared" si="333"/>
        <v>11.581017923899999</v>
      </c>
      <c r="EJ561" s="323">
        <f t="shared" si="333"/>
        <v>10.2261374518</v>
      </c>
      <c r="EK561" s="323">
        <f t="shared" si="333"/>
        <v>12.074526229</v>
      </c>
      <c r="EL561" s="325">
        <f t="shared" si="333"/>
        <v>11.542016648200001</v>
      </c>
      <c r="EM561" s="323">
        <f t="shared" si="333"/>
        <v>11.100910027360001</v>
      </c>
      <c r="EN561" s="323">
        <f t="shared" si="333"/>
        <v>13.460010395399999</v>
      </c>
      <c r="EO561" s="323">
        <f t="shared" si="333"/>
        <v>11.702864630040001</v>
      </c>
      <c r="EP561" s="323">
        <f t="shared" si="333"/>
        <v>11.33023760292</v>
      </c>
      <c r="EQ561" s="323">
        <f t="shared" ref="EQ561:EX561" si="334">EQ216</f>
        <v>13.92719101116</v>
      </c>
      <c r="ER561" s="323">
        <f t="shared" si="334"/>
        <v>13.705957183200001</v>
      </c>
      <c r="ES561" s="323">
        <f t="shared" si="334"/>
        <v>12.058170215760001</v>
      </c>
      <c r="ET561" s="323">
        <f t="shared" si="334"/>
        <v>11.533972994280001</v>
      </c>
      <c r="EU561" s="323">
        <f t="shared" si="334"/>
        <v>11.48394955252</v>
      </c>
      <c r="EV561" s="323">
        <f t="shared" si="334"/>
        <v>13.6838825104</v>
      </c>
      <c r="EW561" s="323">
        <f t="shared" si="334"/>
        <v>12.898527870799999</v>
      </c>
      <c r="EX561" s="325">
        <f t="shared" si="334"/>
        <v>13.96304876424</v>
      </c>
      <c r="EY561" s="323"/>
      <c r="EZ561" s="323"/>
      <c r="FA561" s="323"/>
      <c r="FB561" s="323"/>
      <c r="FC561" s="323"/>
      <c r="FD561" s="323"/>
      <c r="FE561" s="323"/>
      <c r="FF561" s="323"/>
      <c r="FG561" s="323"/>
      <c r="FH561" s="323"/>
      <c r="FI561" s="323"/>
      <c r="FJ561" s="325"/>
      <c r="FK561" s="323"/>
      <c r="FL561" s="323"/>
      <c r="FM561" s="323"/>
      <c r="FN561" s="323"/>
      <c r="FO561" s="323"/>
      <c r="FP561" s="323"/>
      <c r="FQ561" s="323"/>
      <c r="FR561" s="323"/>
      <c r="FS561" s="323"/>
      <c r="FT561" s="323"/>
      <c r="FU561" s="323"/>
      <c r="FV561" s="323"/>
      <c r="FW561" s="323"/>
      <c r="FX561" s="323"/>
      <c r="FY561" s="323"/>
      <c r="FZ561" s="323"/>
      <c r="GA561" s="323"/>
      <c r="GB561" s="323"/>
      <c r="GC561" s="323"/>
      <c r="GD561" s="323"/>
      <c r="GE561" s="323"/>
      <c r="GF561" s="323"/>
      <c r="GG561" s="323"/>
      <c r="GH561" s="323"/>
      <c r="GI561" s="323"/>
      <c r="GJ561" s="323"/>
      <c r="GK561" s="323"/>
      <c r="GL561" s="323"/>
      <c r="GM561" s="323"/>
      <c r="GN561" s="323"/>
      <c r="GO561" s="323"/>
      <c r="GP561" s="323"/>
      <c r="GQ561" s="323"/>
      <c r="GR561" s="323"/>
      <c r="GS561" s="323"/>
      <c r="GT561" s="323"/>
      <c r="GU561" s="323"/>
      <c r="GV561" s="323"/>
      <c r="GW561" s="323"/>
      <c r="GX561" s="323"/>
      <c r="GY561" s="323"/>
      <c r="GZ561" s="323"/>
      <c r="HA561" s="323"/>
      <c r="HB561" s="323"/>
      <c r="HC561" s="323"/>
      <c r="HD561" s="323"/>
      <c r="HE561" s="323"/>
      <c r="HF561" s="323"/>
      <c r="HG561" s="323"/>
      <c r="HH561" s="323"/>
      <c r="HI561" s="323"/>
      <c r="HJ561" s="323"/>
      <c r="HK561" s="323"/>
      <c r="HL561" s="323"/>
      <c r="HM561" s="323"/>
      <c r="HN561" s="323"/>
      <c r="HO561" s="323"/>
      <c r="HP561" s="323"/>
      <c r="HQ561" s="323"/>
      <c r="HR561" s="323"/>
      <c r="HS561" s="323"/>
      <c r="HT561" s="323"/>
      <c r="HU561" s="323"/>
      <c r="HV561" s="323"/>
      <c r="HW561" s="323"/>
      <c r="HX561" s="323"/>
      <c r="HY561" s="323"/>
      <c r="HZ561" s="326"/>
      <c r="IA561" s="328" t="s">
        <v>234</v>
      </c>
      <c r="IB561" s="328"/>
      <c r="IC561" s="328"/>
      <c r="ID561" s="323">
        <f>+FISC!Z754</f>
        <v>99.770691104999997</v>
      </c>
      <c r="IE561" s="279">
        <f t="shared" si="299"/>
        <v>47.82817849860001</v>
      </c>
      <c r="IF561" s="279">
        <f t="shared" si="300"/>
        <v>51.942512606400001</v>
      </c>
      <c r="IG561" s="323">
        <f t="shared" si="303"/>
        <v>99.770691104999997</v>
      </c>
      <c r="IH561" s="279">
        <f t="shared" si="304"/>
        <v>52.698028425919603</v>
      </c>
      <c r="II561" s="279">
        <f t="shared" si="305"/>
        <v>56.396031371577109</v>
      </c>
      <c r="IJ561" s="323">
        <f t="shared" si="306"/>
        <v>109.09405979749671</v>
      </c>
      <c r="IK561" s="279">
        <f t="shared" si="307"/>
        <v>63.028867612999996</v>
      </c>
      <c r="IL561" s="279">
        <f t="shared" si="308"/>
        <v>61.042391178800003</v>
      </c>
      <c r="IM561" s="323">
        <f t="shared" si="309"/>
        <v>124.07125879180001</v>
      </c>
      <c r="IO561" s="327"/>
      <c r="IP561" s="323">
        <f>FISC!AC754</f>
        <v>142.49295850171748</v>
      </c>
      <c r="IQ561" s="279">
        <f t="shared" si="310"/>
        <v>75.22717085008</v>
      </c>
      <c r="IR561" s="279">
        <f t="shared" si="311"/>
        <v>75.621551908000001</v>
      </c>
      <c r="IS561" s="323">
        <f t="shared" si="312"/>
        <v>150.84872275807999</v>
      </c>
      <c r="IT561" s="327"/>
      <c r="IU561" s="327"/>
      <c r="IV561" s="323">
        <f>+FISC!AE754</f>
        <v>140.79556880066454</v>
      </c>
      <c r="IW561" s="327">
        <f>IY561*0.48</f>
        <v>67.64694519818363</v>
      </c>
      <c r="IX561" s="279">
        <f t="shared" si="291"/>
        <v>73.28419063136559</v>
      </c>
      <c r="IY561" s="323">
        <f>+FISC!AF754</f>
        <v>140.93113582954922</v>
      </c>
      <c r="IZ561" s="327">
        <f>JB561*0.48</f>
        <v>528.76282162852169</v>
      </c>
      <c r="JA561" s="279">
        <f t="shared" si="279"/>
        <v>572.82639009756519</v>
      </c>
      <c r="JB561" s="323">
        <f>+FISC!AG754</f>
        <v>1101.5892117260869</v>
      </c>
      <c r="JC561" s="327">
        <f>JE561*0.48</f>
        <v>728.62598587542993</v>
      </c>
      <c r="JD561" s="279">
        <f t="shared" si="280"/>
        <v>789.34481803171593</v>
      </c>
      <c r="JE561" s="323">
        <f>+FISC!AH754</f>
        <v>1517.9708039071459</v>
      </c>
      <c r="JF561" s="327">
        <f>JH561*0.48</f>
        <v>932.97338983282816</v>
      </c>
      <c r="JG561" s="279">
        <f t="shared" si="281"/>
        <v>1010.7211723188973</v>
      </c>
      <c r="JH561" s="323">
        <f>+FISC!AI754</f>
        <v>1943.6945621517254</v>
      </c>
      <c r="JI561" s="327">
        <f>JK561*0.48</f>
        <v>0</v>
      </c>
      <c r="JJ561" s="279">
        <f t="shared" si="282"/>
        <v>0</v>
      </c>
      <c r="JK561" s="323">
        <f>+FISC!AJ754</f>
        <v>0</v>
      </c>
      <c r="JL561" s="327">
        <f>JN561*0.48</f>
        <v>0</v>
      </c>
      <c r="JM561" s="279">
        <f t="shared" si="283"/>
        <v>0</v>
      </c>
      <c r="JN561" s="323">
        <f>+FISC!AK754</f>
        <v>0</v>
      </c>
      <c r="JO561" s="323"/>
      <c r="KU561" s="326"/>
      <c r="KV561" s="327"/>
    </row>
    <row r="562" spans="2:314" hidden="1">
      <c r="B562" s="96" t="s">
        <v>338</v>
      </c>
      <c r="D562" s="328" t="str">
        <f>+FISC!D755</f>
        <v xml:space="preserve">                excise duty on fuel (excl. strategic reserve)</v>
      </c>
      <c r="E562" s="323"/>
      <c r="F562" s="323"/>
      <c r="G562" s="323"/>
      <c r="H562" s="323"/>
      <c r="I562" s="323"/>
      <c r="J562" s="323"/>
      <c r="K562" s="323"/>
      <c r="L562" s="323"/>
      <c r="M562" s="323"/>
      <c r="N562" s="323"/>
      <c r="O562" s="323"/>
      <c r="P562" s="323"/>
      <c r="Q562" s="323"/>
      <c r="R562" s="323"/>
      <c r="S562" s="323"/>
      <c r="T562" s="323"/>
      <c r="U562" s="323"/>
      <c r="V562" s="323"/>
      <c r="W562" s="323"/>
      <c r="X562" s="323"/>
      <c r="Y562" s="323"/>
      <c r="Z562" s="323"/>
      <c r="AA562" s="323"/>
      <c r="AB562" s="323"/>
      <c r="AC562" s="323"/>
      <c r="AD562" s="323"/>
      <c r="AE562" s="323"/>
      <c r="AF562" s="323"/>
      <c r="AG562" s="323"/>
      <c r="AH562" s="323"/>
      <c r="AI562" s="323"/>
      <c r="AJ562" s="323"/>
      <c r="AK562" s="323"/>
      <c r="AL562" s="323"/>
      <c r="AM562" s="323"/>
      <c r="AN562" s="323"/>
      <c r="AO562" s="323"/>
      <c r="AP562" s="323"/>
      <c r="AQ562" s="323"/>
      <c r="AR562" s="323"/>
      <c r="AS562" s="323"/>
      <c r="AT562" s="323"/>
      <c r="AU562" s="323"/>
      <c r="AV562" s="323"/>
      <c r="AW562" s="323"/>
      <c r="AX562" s="323"/>
      <c r="AY562" s="323"/>
      <c r="AZ562" s="323"/>
      <c r="BA562" s="323"/>
      <c r="BB562" s="323"/>
      <c r="BC562" s="323"/>
      <c r="BD562" s="323"/>
      <c r="BE562" s="323"/>
      <c r="BF562" s="323"/>
      <c r="BG562" s="323"/>
      <c r="BH562" s="323"/>
      <c r="BI562" s="323"/>
      <c r="BJ562" s="323"/>
      <c r="BK562" s="323"/>
      <c r="BL562" s="323"/>
      <c r="BM562" s="323"/>
      <c r="BN562" s="323"/>
      <c r="BO562" s="323"/>
      <c r="BP562" s="323"/>
      <c r="BQ562" s="323"/>
      <c r="BR562" s="323"/>
      <c r="BS562" s="323"/>
      <c r="BT562" s="323"/>
      <c r="BU562" s="323"/>
      <c r="BV562" s="323"/>
      <c r="BW562" s="323"/>
      <c r="BX562" s="323"/>
      <c r="BY562" s="323"/>
      <c r="BZ562" s="323"/>
      <c r="CA562" s="323"/>
      <c r="CB562" s="323"/>
      <c r="CC562" s="323"/>
      <c r="CD562" s="323"/>
      <c r="CE562" s="324">
        <f t="shared" ref="CE562:DJ562" si="335">CE206</f>
        <v>3.1689793989999999</v>
      </c>
      <c r="CF562" s="323">
        <f t="shared" si="335"/>
        <v>3.2646680999999997</v>
      </c>
      <c r="CG562" s="323">
        <f t="shared" si="335"/>
        <v>2.8187917579999997</v>
      </c>
      <c r="CH562" s="323">
        <f t="shared" si="335"/>
        <v>3.2793469100000001</v>
      </c>
      <c r="CI562" s="323">
        <f t="shared" si="335"/>
        <v>3.1409703960000002</v>
      </c>
      <c r="CJ562" s="323">
        <f t="shared" si="335"/>
        <v>3.2952408479999997</v>
      </c>
      <c r="CK562" s="323">
        <f t="shared" si="335"/>
        <v>3.2457254710000001</v>
      </c>
      <c r="CL562" s="323">
        <f t="shared" si="335"/>
        <v>2.712039984</v>
      </c>
      <c r="CM562" s="323">
        <f t="shared" si="335"/>
        <v>2.8694379530000003</v>
      </c>
      <c r="CN562" s="323">
        <f t="shared" si="335"/>
        <v>3.0035599589999999</v>
      </c>
      <c r="CO562" s="323">
        <f t="shared" si="335"/>
        <v>3.1262652019999999</v>
      </c>
      <c r="CP562" s="325">
        <f t="shared" si="335"/>
        <v>3.075251937</v>
      </c>
      <c r="CQ562" s="323">
        <f t="shared" si="335"/>
        <v>3.2488606209999999</v>
      </c>
      <c r="CR562" s="323">
        <f t="shared" si="335"/>
        <v>3.238915344</v>
      </c>
      <c r="CS562" s="323">
        <f t="shared" si="335"/>
        <v>3.2422682709999999</v>
      </c>
      <c r="CT562" s="323">
        <f t="shared" si="335"/>
        <v>3.3888526780000001</v>
      </c>
      <c r="CU562" s="323">
        <f t="shared" si="335"/>
        <v>2.5925377210000002</v>
      </c>
      <c r="CV562" s="323">
        <f t="shared" si="335"/>
        <v>3.5392753539999999</v>
      </c>
      <c r="CW562" s="323">
        <f t="shared" si="335"/>
        <v>3.356586316</v>
      </c>
      <c r="CX562" s="323">
        <f t="shared" si="335"/>
        <v>3.1462293780000001</v>
      </c>
      <c r="CY562" s="323">
        <f t="shared" si="335"/>
        <v>3.354355424</v>
      </c>
      <c r="CZ562" s="323">
        <f t="shared" si="335"/>
        <v>3.7739778299999998</v>
      </c>
      <c r="DA562" s="323">
        <f t="shared" si="335"/>
        <v>3.6157893829999996</v>
      </c>
      <c r="DB562" s="1269">
        <f t="shared" si="335"/>
        <v>4.5673495070000003</v>
      </c>
      <c r="DC562" s="323">
        <f t="shared" si="335"/>
        <v>6.5516037548088999</v>
      </c>
      <c r="DD562" s="323">
        <f t="shared" si="335"/>
        <v>6.1313639970228753</v>
      </c>
      <c r="DE562" s="323">
        <f t="shared" si="335"/>
        <v>7.3639123965037205</v>
      </c>
      <c r="DF562" s="323">
        <f t="shared" si="335"/>
        <v>5.7518601399761868</v>
      </c>
      <c r="DG562" s="323">
        <f t="shared" si="335"/>
        <v>5.5502397513714117</v>
      </c>
      <c r="DH562" s="323">
        <f t="shared" si="335"/>
        <v>5.4626040483169076</v>
      </c>
      <c r="DI562" s="323">
        <f t="shared" si="335"/>
        <v>6.2514231740000001</v>
      </c>
      <c r="DJ562" s="323">
        <f t="shared" si="335"/>
        <v>5.4853795969999997</v>
      </c>
      <c r="DK562" s="323">
        <f t="shared" ref="DK562:EP562" si="336">DK206</f>
        <v>5.3768416380000001</v>
      </c>
      <c r="DL562" s="323">
        <f t="shared" si="336"/>
        <v>5.1278029370000002</v>
      </c>
      <c r="DM562" s="323">
        <f t="shared" si="336"/>
        <v>5.5426165259999998</v>
      </c>
      <c r="DN562" s="325">
        <f t="shared" si="336"/>
        <v>5.9421715629999996</v>
      </c>
      <c r="DO562" s="323">
        <f t="shared" si="336"/>
        <v>2.956541123</v>
      </c>
      <c r="DP562" s="323">
        <f t="shared" si="336"/>
        <v>4.2391642650000003</v>
      </c>
      <c r="DQ562" s="323">
        <f t="shared" si="336"/>
        <v>4.6278842459999998</v>
      </c>
      <c r="DR562" s="323">
        <f t="shared" si="336"/>
        <v>3.6132463650000002</v>
      </c>
      <c r="DS562" s="323">
        <f t="shared" si="336"/>
        <v>4.2479571060000003</v>
      </c>
      <c r="DT562" s="323">
        <f t="shared" si="336"/>
        <v>5.1771524299999996</v>
      </c>
      <c r="DU562" s="323">
        <f t="shared" si="336"/>
        <v>3.5630113959999998</v>
      </c>
      <c r="DV562" s="323">
        <f t="shared" si="336"/>
        <v>3.792640612</v>
      </c>
      <c r="DW562" s="323">
        <f t="shared" si="336"/>
        <v>4.4536867249999998</v>
      </c>
      <c r="DX562" s="323">
        <f t="shared" si="336"/>
        <v>3.6935304289999999</v>
      </c>
      <c r="DY562" s="323">
        <f t="shared" si="336"/>
        <v>4.0704032720000001</v>
      </c>
      <c r="DZ562" s="325">
        <f t="shared" si="336"/>
        <v>4.7259317359999997</v>
      </c>
      <c r="EA562" s="323">
        <f t="shared" si="336"/>
        <v>3.9197508289999998</v>
      </c>
      <c r="EB562" s="323">
        <f t="shared" si="336"/>
        <v>4.441601414</v>
      </c>
      <c r="EC562" s="323">
        <f t="shared" si="336"/>
        <v>4.3779506379999997</v>
      </c>
      <c r="ED562" s="323">
        <f t="shared" si="336"/>
        <v>4.284085996</v>
      </c>
      <c r="EE562" s="323">
        <f t="shared" si="336"/>
        <v>4.0114392140000001</v>
      </c>
      <c r="EF562" s="323">
        <f t="shared" si="336"/>
        <v>4.6793488439999997</v>
      </c>
      <c r="EG562" s="323">
        <f t="shared" si="336"/>
        <v>3.851187774</v>
      </c>
      <c r="EH562" s="323">
        <f t="shared" si="336"/>
        <v>4.1980587839999997</v>
      </c>
      <c r="EI562" s="323">
        <f t="shared" si="336"/>
        <v>4.5506451840000004</v>
      </c>
      <c r="EJ562" s="323">
        <f t="shared" si="336"/>
        <v>4.0935972188788101</v>
      </c>
      <c r="EK562" s="323">
        <f t="shared" si="336"/>
        <v>5.1052073904136108</v>
      </c>
      <c r="EL562" s="325">
        <f t="shared" si="336"/>
        <v>5.3142629711079108</v>
      </c>
      <c r="EM562" s="323">
        <f t="shared" si="336"/>
        <v>4.5634166029999994</v>
      </c>
      <c r="EN562" s="323">
        <f t="shared" si="336"/>
        <v>5.2825730379999998</v>
      </c>
      <c r="EO562" s="323">
        <f t="shared" si="336"/>
        <v>4.7967218230000004</v>
      </c>
      <c r="EP562" s="323">
        <f t="shared" si="336"/>
        <v>4.4942836369999997</v>
      </c>
      <c r="EQ562" s="323">
        <f t="shared" ref="EQ562:EX562" si="337">EQ206</f>
        <v>4.593065245</v>
      </c>
      <c r="ER562" s="323">
        <f t="shared" si="337"/>
        <v>5.1687548889999997</v>
      </c>
      <c r="ES562" s="323">
        <f t="shared" si="337"/>
        <v>4.1042873664221347</v>
      </c>
      <c r="ET562" s="323">
        <f t="shared" si="337"/>
        <v>4.8625159404912184</v>
      </c>
      <c r="EU562" s="323">
        <f t="shared" si="337"/>
        <v>4.803794123639566</v>
      </c>
      <c r="EV562" s="323">
        <f t="shared" si="337"/>
        <v>4.6857228159572806</v>
      </c>
      <c r="EW562" s="323">
        <f t="shared" si="337"/>
        <v>5.5589025963523504</v>
      </c>
      <c r="EX562" s="325">
        <f t="shared" si="337"/>
        <v>4.6832505486718778</v>
      </c>
      <c r="EY562" s="323"/>
      <c r="EZ562" s="323"/>
      <c r="FA562" s="323"/>
      <c r="FB562" s="323"/>
      <c r="FC562" s="323"/>
      <c r="FD562" s="323"/>
      <c r="FE562" s="323"/>
      <c r="FF562" s="323"/>
      <c r="FG562" s="323"/>
      <c r="FH562" s="323"/>
      <c r="FI562" s="323"/>
      <c r="FJ562" s="325"/>
      <c r="FK562" s="323"/>
      <c r="FL562" s="323"/>
      <c r="FM562" s="323"/>
      <c r="FN562" s="323"/>
      <c r="FO562" s="323"/>
      <c r="FP562" s="323"/>
      <c r="FQ562" s="323"/>
      <c r="FR562" s="323"/>
      <c r="FS562" s="323"/>
      <c r="FT562" s="323"/>
      <c r="FU562" s="323"/>
      <c r="FV562" s="323"/>
      <c r="FW562" s="323"/>
      <c r="FX562" s="323"/>
      <c r="FY562" s="323"/>
      <c r="FZ562" s="323"/>
      <c r="GA562" s="323"/>
      <c r="GB562" s="323"/>
      <c r="GC562" s="323"/>
      <c r="GD562" s="323"/>
      <c r="GE562" s="323"/>
      <c r="GF562" s="323"/>
      <c r="GG562" s="323"/>
      <c r="GH562" s="323"/>
      <c r="GI562" s="323"/>
      <c r="GJ562" s="323"/>
      <c r="GK562" s="323"/>
      <c r="GL562" s="323"/>
      <c r="GM562" s="323"/>
      <c r="GN562" s="323"/>
      <c r="GO562" s="323"/>
      <c r="GP562" s="323"/>
      <c r="GQ562" s="323"/>
      <c r="GR562" s="323"/>
      <c r="GS562" s="323"/>
      <c r="GT562" s="323"/>
      <c r="GU562" s="323"/>
      <c r="GV562" s="323"/>
      <c r="GW562" s="323"/>
      <c r="GX562" s="323"/>
      <c r="GY562" s="323"/>
      <c r="GZ562" s="323"/>
      <c r="HA562" s="323"/>
      <c r="HB562" s="323"/>
      <c r="HC562" s="323"/>
      <c r="HD562" s="323"/>
      <c r="HE562" s="323"/>
      <c r="HF562" s="323"/>
      <c r="HG562" s="323"/>
      <c r="HH562" s="323"/>
      <c r="HI562" s="323"/>
      <c r="HJ562" s="323"/>
      <c r="HK562" s="323"/>
      <c r="HL562" s="323"/>
      <c r="HM562" s="323"/>
      <c r="HN562" s="323"/>
      <c r="HO562" s="323"/>
      <c r="HP562" s="323"/>
      <c r="HQ562" s="323"/>
      <c r="HR562" s="323"/>
      <c r="HS562" s="323"/>
      <c r="HT562" s="323"/>
      <c r="HU562" s="323"/>
      <c r="HV562" s="323"/>
      <c r="HW562" s="323"/>
      <c r="HX562" s="323"/>
      <c r="HY562" s="323"/>
      <c r="HZ562" s="326"/>
      <c r="IA562" s="328" t="s">
        <v>804</v>
      </c>
      <c r="IB562" s="328"/>
      <c r="IC562" s="328"/>
      <c r="ID562" s="323">
        <f>+FISC!Z755</f>
        <v>41.064997827000006</v>
      </c>
      <c r="IE562" s="279">
        <f t="shared" si="299"/>
        <v>19.250709989000001</v>
      </c>
      <c r="IF562" s="279">
        <f t="shared" si="300"/>
        <v>21.814287837999998</v>
      </c>
      <c r="IG562" s="323">
        <f t="shared" si="303"/>
        <v>41.064997827000006</v>
      </c>
      <c r="IH562" s="279">
        <f t="shared" si="304"/>
        <v>36.811584088000004</v>
      </c>
      <c r="II562" s="279">
        <f t="shared" si="305"/>
        <v>33.726235435</v>
      </c>
      <c r="IJ562" s="323">
        <f t="shared" si="306"/>
        <v>70.537819522999996</v>
      </c>
      <c r="IK562" s="279">
        <f t="shared" si="307"/>
        <v>24.861945535</v>
      </c>
      <c r="IL562" s="279">
        <f t="shared" si="308"/>
        <v>24.299204169999999</v>
      </c>
      <c r="IM562" s="323">
        <f t="shared" si="309"/>
        <v>49.161149705</v>
      </c>
      <c r="IO562" s="327"/>
      <c r="IP562" s="323">
        <f>FISC!AC755</f>
        <v>45.414855609714145</v>
      </c>
      <c r="IQ562" s="279">
        <f t="shared" si="310"/>
        <v>28.898815235000001</v>
      </c>
      <c r="IR562" s="279">
        <f t="shared" si="311"/>
        <v>28.698473391534428</v>
      </c>
      <c r="IS562" s="323">
        <f t="shared" si="312"/>
        <v>57.597288626534429</v>
      </c>
      <c r="IT562" s="327"/>
      <c r="IU562" s="327"/>
      <c r="IV562" s="323">
        <f>+FISC!AE755</f>
        <v>52.237534284038475</v>
      </c>
      <c r="IW562" s="327">
        <f>IY562*0.48</f>
        <v>27.002705042532028</v>
      </c>
      <c r="IX562" s="279">
        <f t="shared" si="291"/>
        <v>29.252930462743031</v>
      </c>
      <c r="IY562" s="323">
        <f>+FISC!AF755</f>
        <v>56.255635505275059</v>
      </c>
      <c r="IZ562" s="327">
        <f>JB562*0.48</f>
        <v>32.279688616292596</v>
      </c>
      <c r="JA562" s="279">
        <f t="shared" si="279"/>
        <v>34.969662667650319</v>
      </c>
      <c r="JB562" s="323">
        <f>+FISC!AG500</f>
        <v>67.249351283942914</v>
      </c>
      <c r="JC562" s="327">
        <f>JE562*0.48</f>
        <v>8.4907308447978416</v>
      </c>
      <c r="JD562" s="279">
        <f t="shared" si="280"/>
        <v>9.1982917485309947</v>
      </c>
      <c r="JE562" s="323">
        <f>+FISC!AH755</f>
        <v>17.689022593328836</v>
      </c>
      <c r="JF562" s="327">
        <f>JH562*0.48</f>
        <v>8.8389862098007708</v>
      </c>
      <c r="JG562" s="279">
        <f t="shared" si="281"/>
        <v>9.5755683939508369</v>
      </c>
      <c r="JH562" s="323">
        <f>+FISC!AI755</f>
        <v>18.414554603751608</v>
      </c>
      <c r="JI562" s="327">
        <f>JK562*0.48</f>
        <v>0</v>
      </c>
      <c r="JJ562" s="279">
        <f t="shared" si="282"/>
        <v>0</v>
      </c>
      <c r="JK562" s="323">
        <f>+FISC!AJ755</f>
        <v>0</v>
      </c>
      <c r="JL562" s="327">
        <f>JN562*0.48</f>
        <v>0</v>
      </c>
      <c r="JM562" s="279">
        <f t="shared" si="283"/>
        <v>0</v>
      </c>
      <c r="JN562" s="323">
        <f>+FISC!AK755</f>
        <v>0</v>
      </c>
      <c r="JO562" s="323"/>
      <c r="KU562" s="326"/>
      <c r="KV562" s="327"/>
    </row>
    <row r="563" spans="2:314" hidden="1">
      <c r="B563" s="96" t="s">
        <v>338</v>
      </c>
      <c r="D563" s="328" t="str">
        <f>+FISC!D756</f>
        <v xml:space="preserve">                level fuel (strategic reserve and Road Fund-FER)</v>
      </c>
      <c r="E563" s="323"/>
      <c r="F563" s="323"/>
      <c r="G563" s="323"/>
      <c r="H563" s="323"/>
      <c r="I563" s="323"/>
      <c r="J563" s="323"/>
      <c r="K563" s="323"/>
      <c r="L563" s="323"/>
      <c r="M563" s="323"/>
      <c r="N563" s="323"/>
      <c r="O563" s="323"/>
      <c r="P563" s="323"/>
      <c r="Q563" s="323"/>
      <c r="R563" s="323"/>
      <c r="S563" s="323"/>
      <c r="T563" s="323"/>
      <c r="U563" s="323"/>
      <c r="V563" s="323"/>
      <c r="W563" s="323"/>
      <c r="X563" s="323"/>
      <c r="Y563" s="323"/>
      <c r="Z563" s="323"/>
      <c r="AA563" s="323"/>
      <c r="AB563" s="323"/>
      <c r="AC563" s="323"/>
      <c r="AD563" s="323"/>
      <c r="AE563" s="323"/>
      <c r="AF563" s="323"/>
      <c r="AG563" s="323"/>
      <c r="AH563" s="323"/>
      <c r="AI563" s="323"/>
      <c r="AJ563" s="323"/>
      <c r="AK563" s="323"/>
      <c r="AL563" s="323"/>
      <c r="AM563" s="323"/>
      <c r="AN563" s="323"/>
      <c r="AO563" s="323"/>
      <c r="AP563" s="323"/>
      <c r="AQ563" s="323"/>
      <c r="AR563" s="323"/>
      <c r="AS563" s="323"/>
      <c r="AT563" s="323"/>
      <c r="AU563" s="323"/>
      <c r="AV563" s="323"/>
      <c r="AW563" s="323"/>
      <c r="AX563" s="323"/>
      <c r="AY563" s="323"/>
      <c r="AZ563" s="323"/>
      <c r="BA563" s="323"/>
      <c r="BB563" s="323"/>
      <c r="BC563" s="323"/>
      <c r="BD563" s="323"/>
      <c r="BE563" s="323"/>
      <c r="BF563" s="323"/>
      <c r="BG563" s="323"/>
      <c r="BH563" s="323"/>
      <c r="BI563" s="323"/>
      <c r="BJ563" s="323"/>
      <c r="BK563" s="323"/>
      <c r="BL563" s="323"/>
      <c r="BM563" s="323"/>
      <c r="BN563" s="323"/>
      <c r="BO563" s="323"/>
      <c r="BP563" s="323"/>
      <c r="BQ563" s="323"/>
      <c r="BR563" s="323"/>
      <c r="BS563" s="323"/>
      <c r="BT563" s="323"/>
      <c r="BU563" s="323"/>
      <c r="BV563" s="323"/>
      <c r="BW563" s="323"/>
      <c r="BX563" s="323"/>
      <c r="BY563" s="323"/>
      <c r="BZ563" s="323"/>
      <c r="CA563" s="323"/>
      <c r="CB563" s="323"/>
      <c r="CC563" s="323"/>
      <c r="CD563" s="323"/>
      <c r="CE563" s="324">
        <f t="shared" ref="CE563:DB563" si="338">CE218</f>
        <v>1.9337765021972675</v>
      </c>
      <c r="CF563" s="323">
        <f t="shared" si="338"/>
        <v>1.8288542943007851</v>
      </c>
      <c r="CG563" s="323">
        <f t="shared" si="338"/>
        <v>2.5520020298934396</v>
      </c>
      <c r="CH563" s="323">
        <f t="shared" si="338"/>
        <v>2.2096294350452252</v>
      </c>
      <c r="CI563" s="323">
        <f t="shared" si="338"/>
        <v>1.8083133546247239</v>
      </c>
      <c r="CJ563" s="323">
        <f t="shared" si="338"/>
        <v>2.1623823208938009</v>
      </c>
      <c r="CK563" s="323">
        <f t="shared" si="338"/>
        <v>2.0042194830250453</v>
      </c>
      <c r="CL563" s="323">
        <f t="shared" si="338"/>
        <v>1.9624436171630721</v>
      </c>
      <c r="CM563" s="323">
        <f t="shared" si="338"/>
        <v>1.9815824134642153</v>
      </c>
      <c r="CN563" s="323">
        <f t="shared" si="338"/>
        <v>2.0239803312533597</v>
      </c>
      <c r="CO563" s="323">
        <f t="shared" si="338"/>
        <v>1.8273638328576212</v>
      </c>
      <c r="CP563" s="325">
        <f t="shared" si="338"/>
        <v>2.088726884605653</v>
      </c>
      <c r="CQ563" s="323">
        <f t="shared" si="338"/>
        <v>1.9354408506233358</v>
      </c>
      <c r="CR563" s="323">
        <f t="shared" si="338"/>
        <v>2.3671327554552253</v>
      </c>
      <c r="CS563" s="323">
        <f t="shared" si="338"/>
        <v>2.4923512253225213</v>
      </c>
      <c r="CT563" s="323">
        <f t="shared" si="338"/>
        <v>2.0451090547822162</v>
      </c>
      <c r="CU563" s="323">
        <f t="shared" si="338"/>
        <v>1.9837426961943678</v>
      </c>
      <c r="CV563" s="323">
        <f t="shared" si="338"/>
        <v>2.4548291674151379</v>
      </c>
      <c r="CW563" s="323">
        <f t="shared" si="338"/>
        <v>1.9191719123825999</v>
      </c>
      <c r="CX563" s="323">
        <f t="shared" si="338"/>
        <v>1.8696045928680809</v>
      </c>
      <c r="CY563" s="323">
        <f t="shared" si="338"/>
        <v>2.0711762329117911</v>
      </c>
      <c r="CZ563" s="323">
        <f t="shared" si="338"/>
        <v>2.1223709913900968</v>
      </c>
      <c r="DA563" s="323">
        <f t="shared" si="338"/>
        <v>2.0173544903026883</v>
      </c>
      <c r="DB563" s="1269">
        <f t="shared" si="338"/>
        <v>2.5874132982511866</v>
      </c>
      <c r="DC563" s="323">
        <f t="shared" ref="DC563:EX563" si="339">DC218+DC214</f>
        <v>2.8646098597798604</v>
      </c>
      <c r="DD563" s="323">
        <f t="shared" si="339"/>
        <v>3.8678867376545529</v>
      </c>
      <c r="DE563" s="323">
        <f t="shared" si="339"/>
        <v>3.6244542336511398</v>
      </c>
      <c r="DF563" s="323">
        <f t="shared" si="339"/>
        <v>3.5684728096049549</v>
      </c>
      <c r="DG563" s="323">
        <f t="shared" si="339"/>
        <v>3.4172700434726844</v>
      </c>
      <c r="DH563" s="323">
        <f t="shared" si="339"/>
        <v>3.6408633868368057</v>
      </c>
      <c r="DI563" s="323">
        <f t="shared" si="339"/>
        <v>3.4453334062201399</v>
      </c>
      <c r="DJ563" s="323">
        <f t="shared" si="339"/>
        <v>3.4416360223454472</v>
      </c>
      <c r="DK563" s="323">
        <f t="shared" si="339"/>
        <v>4.4605720623488603</v>
      </c>
      <c r="DL563" s="323">
        <f t="shared" si="339"/>
        <v>4.323921341395045</v>
      </c>
      <c r="DM563" s="323">
        <f t="shared" si="339"/>
        <v>4.4506874025273158</v>
      </c>
      <c r="DN563" s="325">
        <f t="shared" si="339"/>
        <v>4.8543761751631944</v>
      </c>
      <c r="DO563" s="323">
        <f t="shared" si="339"/>
        <v>4.2100352389999998</v>
      </c>
      <c r="DP563" s="323">
        <f t="shared" si="339"/>
        <v>4.7292607860000002</v>
      </c>
      <c r="DQ563" s="323">
        <f t="shared" si="339"/>
        <v>4.5348889149999998</v>
      </c>
      <c r="DR563" s="323">
        <f t="shared" si="339"/>
        <v>4.5728444550000003</v>
      </c>
      <c r="DS563" s="323">
        <f t="shared" si="339"/>
        <v>4.6977235139999998</v>
      </c>
      <c r="DT563" s="323">
        <f t="shared" si="339"/>
        <v>5.0698929380000006</v>
      </c>
      <c r="DU563" s="323">
        <f t="shared" si="339"/>
        <v>4.2996662830000005</v>
      </c>
      <c r="DV563" s="323">
        <f t="shared" si="339"/>
        <v>3.9995880489999998</v>
      </c>
      <c r="DW563" s="323">
        <f t="shared" si="339"/>
        <v>4.8474488789999999</v>
      </c>
      <c r="DX563" s="323">
        <f t="shared" si="339"/>
        <v>4.2868019019999997</v>
      </c>
      <c r="DY563" s="323">
        <f t="shared" si="339"/>
        <v>4.6022513700000003</v>
      </c>
      <c r="DZ563" s="325">
        <f t="shared" si="339"/>
        <v>4.9582367879999998</v>
      </c>
      <c r="EA563" s="323">
        <f t="shared" si="339"/>
        <v>4.520430459</v>
      </c>
      <c r="EB563" s="323">
        <f t="shared" si="339"/>
        <v>5.0625106190000002</v>
      </c>
      <c r="EC563" s="323">
        <f t="shared" si="339"/>
        <v>4.7199139370000003</v>
      </c>
      <c r="ED563" s="323">
        <f t="shared" si="339"/>
        <v>4.8417606625999996</v>
      </c>
      <c r="EE563" s="323">
        <f t="shared" si="339"/>
        <v>4.7260477608600002</v>
      </c>
      <c r="EF563" s="323">
        <f t="shared" si="339"/>
        <v>5.1768939316299996</v>
      </c>
      <c r="EG563" s="323">
        <f t="shared" si="339"/>
        <v>4.4834859614499996</v>
      </c>
      <c r="EH563" s="323">
        <f t="shared" si="339"/>
        <v>4.6059811399699999</v>
      </c>
      <c r="EI563" s="323">
        <f t="shared" si="339"/>
        <v>4.9723666920599996</v>
      </c>
      <c r="EJ563" s="323">
        <f t="shared" si="339"/>
        <v>4.39499787994</v>
      </c>
      <c r="EK563" s="323">
        <f t="shared" si="339"/>
        <v>5.0229084720100037</v>
      </c>
      <c r="EL563" s="325">
        <f t="shared" si="339"/>
        <v>5.1794413980600007</v>
      </c>
      <c r="EM563" s="323">
        <f t="shared" si="339"/>
        <v>4.8670233170000001</v>
      </c>
      <c r="EN563" s="323">
        <f t="shared" si="339"/>
        <v>5.6813138099999998</v>
      </c>
      <c r="EO563" s="323">
        <f t="shared" si="339"/>
        <v>5.2733161179999994</v>
      </c>
      <c r="EP563" s="323">
        <f t="shared" si="339"/>
        <v>4.6556355687766668</v>
      </c>
      <c r="EQ563" s="323">
        <f t="shared" si="339"/>
        <v>4.8682870597766676</v>
      </c>
      <c r="ER563" s="323">
        <f t="shared" si="339"/>
        <v>5.301916762776667</v>
      </c>
      <c r="ES563" s="323">
        <f t="shared" si="339"/>
        <v>4.3993558840000002</v>
      </c>
      <c r="ET563" s="323">
        <f t="shared" si="339"/>
        <v>5.2271274060000001</v>
      </c>
      <c r="EU563" s="323">
        <f t="shared" si="339"/>
        <v>5.2679348280000005</v>
      </c>
      <c r="EV563" s="323">
        <f t="shared" si="339"/>
        <v>5.0488385649999996</v>
      </c>
      <c r="EW563" s="323">
        <f t="shared" si="339"/>
        <v>6.0428032189999996</v>
      </c>
      <c r="EX563" s="325">
        <f t="shared" si="339"/>
        <v>5.0703561926700003</v>
      </c>
      <c r="EY563" s="323"/>
      <c r="EZ563" s="323"/>
      <c r="FA563" s="323"/>
      <c r="FB563" s="323"/>
      <c r="FC563" s="323"/>
      <c r="FD563" s="323"/>
      <c r="FE563" s="323"/>
      <c r="FF563" s="323"/>
      <c r="FG563" s="323"/>
      <c r="FH563" s="323"/>
      <c r="FI563" s="323"/>
      <c r="FJ563" s="325"/>
      <c r="FK563" s="323"/>
      <c r="FL563" s="323"/>
      <c r="FM563" s="323"/>
      <c r="FN563" s="323"/>
      <c r="FO563" s="323"/>
      <c r="FP563" s="323"/>
      <c r="FQ563" s="323"/>
      <c r="FR563" s="323"/>
      <c r="FS563" s="323"/>
      <c r="FT563" s="323"/>
      <c r="FU563" s="323"/>
      <c r="FV563" s="323"/>
      <c r="FW563" s="323"/>
      <c r="FX563" s="323"/>
      <c r="FY563" s="323"/>
      <c r="FZ563" s="323"/>
      <c r="GA563" s="323"/>
      <c r="GB563" s="323"/>
      <c r="GC563" s="323"/>
      <c r="GD563" s="323"/>
      <c r="GE563" s="323"/>
      <c r="GF563" s="323"/>
      <c r="GG563" s="323"/>
      <c r="GH563" s="323"/>
      <c r="GI563" s="323"/>
      <c r="GJ563" s="323"/>
      <c r="GK563" s="323"/>
      <c r="GL563" s="323"/>
      <c r="GM563" s="323"/>
      <c r="GN563" s="323"/>
      <c r="GO563" s="323"/>
      <c r="GP563" s="323"/>
      <c r="GQ563" s="323"/>
      <c r="GR563" s="323"/>
      <c r="GS563" s="323"/>
      <c r="GT563" s="323"/>
      <c r="GU563" s="323"/>
      <c r="GV563" s="323"/>
      <c r="GW563" s="323"/>
      <c r="GX563" s="323"/>
      <c r="GY563" s="323"/>
      <c r="GZ563" s="323"/>
      <c r="HA563" s="323"/>
      <c r="HB563" s="323"/>
      <c r="HC563" s="323"/>
      <c r="HD563" s="323"/>
      <c r="HE563" s="323"/>
      <c r="HF563" s="323"/>
      <c r="HG563" s="323"/>
      <c r="HH563" s="323"/>
      <c r="HI563" s="323"/>
      <c r="HJ563" s="323"/>
      <c r="HK563" s="323"/>
      <c r="HL563" s="323"/>
      <c r="HM563" s="323"/>
      <c r="HN563" s="323"/>
      <c r="HO563" s="323"/>
      <c r="HP563" s="323"/>
      <c r="HQ563" s="323"/>
      <c r="HR563" s="323"/>
      <c r="HS563" s="323"/>
      <c r="HT563" s="323"/>
      <c r="HU563" s="323"/>
      <c r="HV563" s="323"/>
      <c r="HW563" s="323"/>
      <c r="HX563" s="323"/>
      <c r="HY563" s="323"/>
      <c r="HZ563" s="326"/>
      <c r="IA563" s="328" t="s">
        <v>803</v>
      </c>
      <c r="IB563" s="328"/>
      <c r="IC563" s="328"/>
      <c r="ID563" s="323">
        <f>+FISC!Z756</f>
        <v>0</v>
      </c>
      <c r="IE563" s="279">
        <f t="shared" si="299"/>
        <v>13.278605749792805</v>
      </c>
      <c r="IF563" s="279">
        <f t="shared" si="300"/>
        <v>12.587091518106444</v>
      </c>
      <c r="IG563" s="323">
        <f t="shared" si="303"/>
        <v>25.86569726789925</v>
      </c>
      <c r="IH563" s="279">
        <f t="shared" si="304"/>
        <v>20.983557071</v>
      </c>
      <c r="II563" s="279">
        <f t="shared" si="305"/>
        <v>24.976526410000005</v>
      </c>
      <c r="IJ563" s="323">
        <f t="shared" si="306"/>
        <v>45.960083481000005</v>
      </c>
      <c r="IK563" s="279">
        <f t="shared" si="307"/>
        <v>27.814645847000001</v>
      </c>
      <c r="IL563" s="279">
        <f t="shared" si="308"/>
        <v>26.993993271000001</v>
      </c>
      <c r="IM563" s="323">
        <f t="shared" si="309"/>
        <v>54.808639118000002</v>
      </c>
      <c r="IN563" s="279">
        <v>29.047557370090001</v>
      </c>
      <c r="IO563" s="279">
        <f>+IP563-IN563</f>
        <v>28.659181542909995</v>
      </c>
      <c r="IP563" s="323">
        <f>FISC!AC756</f>
        <v>57.706738912999995</v>
      </c>
      <c r="IQ563" s="279">
        <f t="shared" si="310"/>
        <v>30.647492636330004</v>
      </c>
      <c r="IR563" s="279">
        <f t="shared" si="311"/>
        <v>31.056416094670002</v>
      </c>
      <c r="IS563" s="323">
        <f t="shared" si="312"/>
        <v>61.703908731000006</v>
      </c>
      <c r="IT563" s="279">
        <f>+IV563/2</f>
        <v>29.61985426272544</v>
      </c>
      <c r="IU563" s="279">
        <f>+IV563-IT563</f>
        <v>29.61985426272544</v>
      </c>
      <c r="IV563" s="323">
        <f>+FISC!AE756</f>
        <v>59.23970852545088</v>
      </c>
      <c r="IW563" s="327">
        <f>IY563/2</f>
        <v>83.2368535988318</v>
      </c>
      <c r="IX563" s="279">
        <f t="shared" si="291"/>
        <v>83.2368535988318</v>
      </c>
      <c r="IY563" s="323">
        <f>+FISC!AF756</f>
        <v>166.4737071976636</v>
      </c>
      <c r="IZ563" s="327">
        <f>JB563/2</f>
        <v>-568.32125701053133</v>
      </c>
      <c r="JA563" s="279">
        <f t="shared" si="279"/>
        <v>-568.32125701053133</v>
      </c>
      <c r="JB563" s="323">
        <f>+FISC!AG756</f>
        <v>-1136.6425140210627</v>
      </c>
      <c r="JC563" s="327">
        <f>JE563/2</f>
        <v>65.753094984684282</v>
      </c>
      <c r="JD563" s="279">
        <f t="shared" si="280"/>
        <v>65.753094984684282</v>
      </c>
      <c r="JE563" s="323">
        <f>+FISC!AH756</f>
        <v>131.50618996936856</v>
      </c>
      <c r="JF563" s="327">
        <f>JH563/2</f>
        <v>68.337565100574551</v>
      </c>
      <c r="JG563" s="279">
        <f t="shared" si="281"/>
        <v>68.337565100574551</v>
      </c>
      <c r="JH563" s="323">
        <f>+FISC!AI756</f>
        <v>136.6751302011491</v>
      </c>
      <c r="JI563" s="327">
        <f>JK563/2</f>
        <v>0</v>
      </c>
      <c r="JJ563" s="279">
        <f t="shared" si="282"/>
        <v>0</v>
      </c>
      <c r="JK563" s="323">
        <f>+FISC!AJ756</f>
        <v>0</v>
      </c>
      <c r="JL563" s="327">
        <f>JN563/2</f>
        <v>0</v>
      </c>
      <c r="JM563" s="279">
        <f t="shared" si="283"/>
        <v>0</v>
      </c>
      <c r="JN563" s="323">
        <f>+FISC!AK756</f>
        <v>0</v>
      </c>
      <c r="JO563" s="323"/>
      <c r="KU563" s="326"/>
      <c r="KV563" s="327"/>
    </row>
    <row r="564" spans="2:314" hidden="1">
      <c r="D564" s="328"/>
      <c r="E564" s="323"/>
      <c r="F564" s="323"/>
      <c r="G564" s="323"/>
      <c r="H564" s="323"/>
      <c r="I564" s="323"/>
      <c r="J564" s="323"/>
      <c r="K564" s="323"/>
      <c r="L564" s="323"/>
      <c r="M564" s="323"/>
      <c r="N564" s="323"/>
      <c r="O564" s="323"/>
      <c r="P564" s="323"/>
      <c r="Q564" s="323"/>
      <c r="R564" s="323"/>
      <c r="S564" s="323"/>
      <c r="T564" s="323"/>
      <c r="U564" s="323"/>
      <c r="V564" s="323"/>
      <c r="W564" s="323"/>
      <c r="X564" s="323"/>
      <c r="Y564" s="323"/>
      <c r="Z564" s="323"/>
      <c r="AA564" s="323"/>
      <c r="AB564" s="323"/>
      <c r="AC564" s="323"/>
      <c r="AD564" s="323"/>
      <c r="AE564" s="323"/>
      <c r="AF564" s="323"/>
      <c r="AG564" s="323"/>
      <c r="AH564" s="323"/>
      <c r="AI564" s="323"/>
      <c r="AJ564" s="323"/>
      <c r="AK564" s="323"/>
      <c r="AL564" s="323"/>
      <c r="AM564" s="323"/>
      <c r="AN564" s="323"/>
      <c r="AO564" s="323"/>
      <c r="AP564" s="323"/>
      <c r="AQ564" s="323"/>
      <c r="AR564" s="323"/>
      <c r="AS564" s="323"/>
      <c r="AT564" s="323"/>
      <c r="AU564" s="323"/>
      <c r="AV564" s="323"/>
      <c r="AW564" s="323"/>
      <c r="AX564" s="323"/>
      <c r="AY564" s="323"/>
      <c r="AZ564" s="323"/>
      <c r="BA564" s="323"/>
      <c r="BB564" s="323"/>
      <c r="BC564" s="323"/>
      <c r="BD564" s="323"/>
      <c r="BE564" s="323"/>
      <c r="BF564" s="323"/>
      <c r="BG564" s="323"/>
      <c r="BH564" s="323"/>
      <c r="BI564" s="323"/>
      <c r="BJ564" s="323"/>
      <c r="BK564" s="323"/>
      <c r="BL564" s="323"/>
      <c r="BM564" s="323"/>
      <c r="BN564" s="323"/>
      <c r="BO564" s="323"/>
      <c r="BP564" s="323"/>
      <c r="BQ564" s="323"/>
      <c r="BR564" s="323"/>
      <c r="BS564" s="323"/>
      <c r="BT564" s="323"/>
      <c r="BU564" s="323"/>
      <c r="BV564" s="323"/>
      <c r="BW564" s="323"/>
      <c r="BX564" s="323"/>
      <c r="BY564" s="323"/>
      <c r="BZ564" s="323"/>
      <c r="CA564" s="323"/>
      <c r="CB564" s="323"/>
      <c r="CC564" s="323"/>
      <c r="CD564" s="323"/>
      <c r="CE564" s="324"/>
      <c r="CF564" s="323"/>
      <c r="CG564" s="323"/>
      <c r="CH564" s="323"/>
      <c r="CI564" s="323"/>
      <c r="CJ564" s="323"/>
      <c r="CK564" s="323"/>
      <c r="CL564" s="323"/>
      <c r="CM564" s="323"/>
      <c r="CN564" s="323"/>
      <c r="CO564" s="323"/>
      <c r="CP564" s="325"/>
      <c r="CQ564" s="323"/>
      <c r="CR564" s="323"/>
      <c r="CS564" s="323"/>
      <c r="CT564" s="323"/>
      <c r="CU564" s="323"/>
      <c r="CV564" s="323"/>
      <c r="CW564" s="323"/>
      <c r="CX564" s="323"/>
      <c r="CY564" s="323"/>
      <c r="CZ564" s="323"/>
      <c r="DA564" s="323"/>
      <c r="DB564" s="1269"/>
      <c r="DC564" s="323"/>
      <c r="DD564" s="323"/>
      <c r="DE564" s="323"/>
      <c r="DF564" s="323"/>
      <c r="DG564" s="323"/>
      <c r="DH564" s="323"/>
      <c r="DI564" s="323"/>
      <c r="DJ564" s="323"/>
      <c r="DK564" s="323"/>
      <c r="DL564" s="323"/>
      <c r="DM564" s="323"/>
      <c r="DN564" s="325"/>
      <c r="DO564" s="323"/>
      <c r="DP564" s="323"/>
      <c r="DQ564" s="323"/>
      <c r="DR564" s="323"/>
      <c r="DS564" s="323"/>
      <c r="DT564" s="323"/>
      <c r="DU564" s="323"/>
      <c r="DV564" s="323"/>
      <c r="DW564" s="323"/>
      <c r="DX564" s="323"/>
      <c r="DY564" s="323"/>
      <c r="DZ564" s="325"/>
      <c r="EA564" s="323"/>
      <c r="EB564" s="323"/>
      <c r="EC564" s="323"/>
      <c r="ED564" s="323"/>
      <c r="EE564" s="323"/>
      <c r="EF564" s="323"/>
      <c r="EG564" s="323"/>
      <c r="EH564" s="323"/>
      <c r="EI564" s="323"/>
      <c r="EJ564" s="323"/>
      <c r="EK564" s="323"/>
      <c r="EL564" s="325"/>
      <c r="EM564" s="323"/>
      <c r="EN564" s="323"/>
      <c r="EO564" s="323"/>
      <c r="EP564" s="323"/>
      <c r="EQ564" s="323"/>
      <c r="ER564" s="323"/>
      <c r="ES564" s="323"/>
      <c r="ET564" s="323"/>
      <c r="EU564" s="323"/>
      <c r="EV564" s="323"/>
      <c r="EW564" s="323"/>
      <c r="EX564" s="325"/>
      <c r="EY564" s="323"/>
      <c r="EZ564" s="323"/>
      <c r="FA564" s="323"/>
      <c r="FB564" s="323"/>
      <c r="FC564" s="323"/>
      <c r="FD564" s="323"/>
      <c r="FE564" s="323"/>
      <c r="FF564" s="323"/>
      <c r="FG564" s="323"/>
      <c r="FH564" s="323"/>
      <c r="FI564" s="323"/>
      <c r="FJ564" s="325"/>
      <c r="FK564" s="323"/>
      <c r="FL564" s="323"/>
      <c r="FM564" s="323"/>
      <c r="FN564" s="323"/>
      <c r="FO564" s="323"/>
      <c r="FP564" s="323"/>
      <c r="FQ564" s="323"/>
      <c r="FR564" s="323"/>
      <c r="FS564" s="323"/>
      <c r="FT564" s="323"/>
      <c r="FU564" s="323"/>
      <c r="FV564" s="323"/>
      <c r="FW564" s="323"/>
      <c r="FX564" s="323"/>
      <c r="FY564" s="323"/>
      <c r="FZ564" s="323"/>
      <c r="GA564" s="323"/>
      <c r="GB564" s="323"/>
      <c r="GC564" s="323"/>
      <c r="GD564" s="323"/>
      <c r="GE564" s="323"/>
      <c r="GF564" s="323"/>
      <c r="GG564" s="323"/>
      <c r="GH564" s="323"/>
      <c r="GI564" s="323"/>
      <c r="GJ564" s="323"/>
      <c r="GK564" s="323"/>
      <c r="GL564" s="323"/>
      <c r="GM564" s="323"/>
      <c r="GN564" s="323"/>
      <c r="GO564" s="323"/>
      <c r="GP564" s="323"/>
      <c r="GQ564" s="323"/>
      <c r="GR564" s="323"/>
      <c r="GS564" s="323"/>
      <c r="GT564" s="323"/>
      <c r="GU564" s="323"/>
      <c r="GV564" s="323"/>
      <c r="GW564" s="323"/>
      <c r="GX564" s="323"/>
      <c r="GY564" s="323"/>
      <c r="GZ564" s="323"/>
      <c r="HA564" s="323"/>
      <c r="HB564" s="323"/>
      <c r="HC564" s="323"/>
      <c r="HD564" s="323"/>
      <c r="HE564" s="323"/>
      <c r="HF564" s="323"/>
      <c r="HG564" s="323"/>
      <c r="HH564" s="323"/>
      <c r="HI564" s="323"/>
      <c r="HJ564" s="323"/>
      <c r="HK564" s="323"/>
      <c r="HL564" s="323"/>
      <c r="HM564" s="323"/>
      <c r="HN564" s="323"/>
      <c r="HO564" s="323"/>
      <c r="HP564" s="323"/>
      <c r="HQ564" s="323"/>
      <c r="HR564" s="323"/>
      <c r="HS564" s="323"/>
      <c r="HT564" s="323"/>
      <c r="HU564" s="323"/>
      <c r="HV564" s="323"/>
      <c r="HW564" s="323"/>
      <c r="HX564" s="323"/>
      <c r="HY564" s="323"/>
      <c r="HZ564" s="326"/>
      <c r="IA564" s="328"/>
      <c r="IB564" s="328"/>
      <c r="IC564" s="328"/>
      <c r="ID564" s="323"/>
      <c r="IG564" s="323"/>
      <c r="IJ564" s="323"/>
      <c r="IM564" s="323"/>
      <c r="IP564" s="323">
        <f>FISC!AC757</f>
        <v>0</v>
      </c>
      <c r="IQ564" s="279">
        <f t="shared" si="310"/>
        <v>0</v>
      </c>
      <c r="IR564" s="279">
        <f t="shared" si="311"/>
        <v>0</v>
      </c>
      <c r="IS564" s="323">
        <f>IQ564+IR564</f>
        <v>0</v>
      </c>
      <c r="IT564" s="327"/>
      <c r="IU564" s="327"/>
      <c r="IV564" s="323"/>
      <c r="IW564" s="279">
        <f>IY564*JU564</f>
        <v>0</v>
      </c>
      <c r="IX564" s="279">
        <f t="shared" si="291"/>
        <v>0</v>
      </c>
      <c r="IY564" s="323"/>
      <c r="IZ564" s="279">
        <f>JB564*JU564</f>
        <v>0</v>
      </c>
      <c r="JA564" s="279">
        <f t="shared" si="279"/>
        <v>0</v>
      </c>
      <c r="JB564" s="323"/>
      <c r="JC564" s="279">
        <f>JE564*JU564</f>
        <v>0</v>
      </c>
      <c r="JD564" s="279">
        <f t="shared" si="280"/>
        <v>0</v>
      </c>
      <c r="JE564" s="323"/>
      <c r="JF564" s="279">
        <f>JH564*JU564</f>
        <v>0</v>
      </c>
      <c r="JG564" s="279">
        <f t="shared" si="281"/>
        <v>0</v>
      </c>
      <c r="JH564" s="323"/>
      <c r="JI564" s="279">
        <f>JK564*JX564</f>
        <v>0</v>
      </c>
      <c r="JJ564" s="279">
        <f t="shared" si="282"/>
        <v>0</v>
      </c>
      <c r="JK564" s="323"/>
      <c r="JL564" s="279">
        <f>JN564*KA564</f>
        <v>0</v>
      </c>
      <c r="JM564" s="279">
        <f t="shared" si="283"/>
        <v>0</v>
      </c>
      <c r="JN564" s="323"/>
      <c r="JO564" s="323"/>
      <c r="KU564" s="326"/>
      <c r="KV564" s="327"/>
    </row>
    <row r="565" spans="2:314" hidden="1">
      <c r="B565" s="96" t="s">
        <v>338</v>
      </c>
      <c r="D565" s="322" t="str">
        <f>+FISC!D758</f>
        <v>Taxes on international trade</v>
      </c>
      <c r="E565" s="323">
        <v>2.2593000000000001</v>
      </c>
      <c r="F565" s="323">
        <v>2.0148999999999999</v>
      </c>
      <c r="G565" s="323">
        <v>2.6955999999999998</v>
      </c>
      <c r="H565" s="323">
        <v>3.0237999999999996</v>
      </c>
      <c r="I565" s="323">
        <v>2.7294999999999998</v>
      </c>
      <c r="J565" s="323">
        <v>2.6869000000000001</v>
      </c>
      <c r="K565" s="323">
        <v>2.3318000000000003</v>
      </c>
      <c r="L565" s="323">
        <v>3.2033</v>
      </c>
      <c r="M565" s="323">
        <v>2.4158000000000004</v>
      </c>
      <c r="N565" s="323">
        <v>2.4990999999999999</v>
      </c>
      <c r="O565" s="323">
        <v>2.5836000000000001</v>
      </c>
      <c r="P565" s="323">
        <v>2.5763999999999996</v>
      </c>
      <c r="Q565" s="323">
        <v>2.6505999999999998</v>
      </c>
      <c r="R565" s="323">
        <v>2.6443000000000003</v>
      </c>
      <c r="S565" s="323">
        <v>3.4626999999999999</v>
      </c>
      <c r="T565" s="323">
        <v>2.8732000000000002</v>
      </c>
      <c r="U565" s="323">
        <v>3.4509000000000003</v>
      </c>
      <c r="V565" s="323">
        <v>3.4799000000000002</v>
      </c>
      <c r="W565" s="323">
        <v>3.5015999999999998</v>
      </c>
      <c r="X565" s="323">
        <v>3.6949000000000001</v>
      </c>
      <c r="Y565" s="323">
        <v>4.0191999999999997</v>
      </c>
      <c r="Z565" s="323">
        <v>4.2493999999999996</v>
      </c>
      <c r="AA565" s="323">
        <v>4.2018999999999993</v>
      </c>
      <c r="AB565" s="323">
        <v>5.6950000000000003</v>
      </c>
      <c r="AC565" s="323">
        <v>3.7675000000000001</v>
      </c>
      <c r="AD565" s="323">
        <v>4.6877999999999993</v>
      </c>
      <c r="AE565" s="323">
        <v>5.0786000000000007</v>
      </c>
      <c r="AF565" s="323">
        <v>4.4198000000000004</v>
      </c>
      <c r="AG565" s="323">
        <v>3.8992999999999998</v>
      </c>
      <c r="AH565" s="323">
        <v>4.7658000000000005</v>
      </c>
      <c r="AI565" s="323">
        <v>2.9855999999999998</v>
      </c>
      <c r="AJ565" s="323">
        <v>2.6494</v>
      </c>
      <c r="AK565" s="323">
        <v>1.9910999999999999</v>
      </c>
      <c r="AL565" s="323">
        <v>2.9409999999999998</v>
      </c>
      <c r="AM565" s="323">
        <v>3.1635</v>
      </c>
      <c r="AN565" s="323">
        <v>2.3130000000000002</v>
      </c>
      <c r="AO565" s="323">
        <v>2.8007</v>
      </c>
      <c r="AP565" s="323">
        <v>2.222</v>
      </c>
      <c r="AQ565" s="323">
        <v>3.5944000000000003</v>
      </c>
      <c r="AR565" s="323">
        <v>2.5757999999999996</v>
      </c>
      <c r="AS565" s="323">
        <v>2.1346999999999996</v>
      </c>
      <c r="AT565" s="323">
        <v>2.7659000000000002</v>
      </c>
      <c r="AU565" s="323">
        <v>2.6834000000000002</v>
      </c>
      <c r="AV565" s="323">
        <v>2.8464</v>
      </c>
      <c r="AW565" s="323">
        <v>3.226</v>
      </c>
      <c r="AX565" s="323">
        <v>2.3008999999999999</v>
      </c>
      <c r="AY565" s="323">
        <v>3.4775</v>
      </c>
      <c r="AZ565" s="323">
        <v>3.3310999999999997</v>
      </c>
      <c r="BA565" s="323">
        <v>4.1364999999999998</v>
      </c>
      <c r="BB565" s="323">
        <v>2.36</v>
      </c>
      <c r="BC565" s="323">
        <v>4.4958</v>
      </c>
      <c r="BD565" s="323">
        <v>2.9993000000000003</v>
      </c>
      <c r="BE565" s="323">
        <v>2.5949</v>
      </c>
      <c r="BF565" s="323">
        <v>3.3083999999999998</v>
      </c>
      <c r="BG565" s="323">
        <v>2.6107166510000002</v>
      </c>
      <c r="BH565" s="323">
        <v>4.5082279999999999</v>
      </c>
      <c r="BI565" s="323">
        <v>2.9528000000000003</v>
      </c>
      <c r="BJ565" s="323">
        <v>2.6674000000000002</v>
      </c>
      <c r="BK565" s="323">
        <v>3.8698399999999999</v>
      </c>
      <c r="BL565" s="323">
        <v>4.15334</v>
      </c>
      <c r="BM565" s="323">
        <v>4.1672999999999991</v>
      </c>
      <c r="BN565" s="323">
        <v>3.8741000000000003</v>
      </c>
      <c r="BO565" s="323">
        <v>4.0420999999999996</v>
      </c>
      <c r="BP565" s="323">
        <v>4.1261999999999999</v>
      </c>
      <c r="BQ565" s="323">
        <v>5.0997000000000003</v>
      </c>
      <c r="BR565" s="323">
        <v>3.8818000000000001</v>
      </c>
      <c r="BS565" s="323">
        <v>5.6673</v>
      </c>
      <c r="BT565" s="323">
        <v>6.6608000000000001</v>
      </c>
      <c r="BU565" s="323">
        <v>4.3363999999999994</v>
      </c>
      <c r="BV565" s="323">
        <v>3.843894852</v>
      </c>
      <c r="BW565" s="323">
        <v>3.7201749240000002</v>
      </c>
      <c r="BX565" s="323">
        <v>3.76540696</v>
      </c>
      <c r="BY565" s="323">
        <v>4.0547086649999997</v>
      </c>
      <c r="BZ565" s="323">
        <v>3.2822493419999996</v>
      </c>
      <c r="CA565" s="323">
        <v>3.21077587</v>
      </c>
      <c r="CB565" s="323">
        <v>3.2065292360000002</v>
      </c>
      <c r="CC565" s="323">
        <v>3.6739556950000001</v>
      </c>
      <c r="CD565" s="323">
        <v>4.4572365920000001</v>
      </c>
      <c r="CE565" s="324">
        <f t="shared" ref="CE565:DJ565" si="340">CE219</f>
        <v>3.9393244790000002</v>
      </c>
      <c r="CF565" s="323">
        <f t="shared" si="340"/>
        <v>3.8202676950000001</v>
      </c>
      <c r="CG565" s="323">
        <f t="shared" si="340"/>
        <v>4.3750961170000009</v>
      </c>
      <c r="CH565" s="323">
        <f t="shared" si="340"/>
        <v>4.9460916490000004</v>
      </c>
      <c r="CI565" s="323">
        <f t="shared" si="340"/>
        <v>4.5951193520000002</v>
      </c>
      <c r="CJ565" s="323">
        <f t="shared" si="340"/>
        <v>4.8533161430000007</v>
      </c>
      <c r="CK565" s="323">
        <f t="shared" si="340"/>
        <v>5.2829806130000003</v>
      </c>
      <c r="CL565" s="323">
        <f t="shared" si="340"/>
        <v>4.6631892639999997</v>
      </c>
      <c r="CM565" s="323">
        <f t="shared" si="340"/>
        <v>4.853641917</v>
      </c>
      <c r="CN565" s="323">
        <f t="shared" si="340"/>
        <v>4.6720987699999998</v>
      </c>
      <c r="CO565" s="323">
        <f t="shared" si="340"/>
        <v>5.1804120569999998</v>
      </c>
      <c r="CP565" s="325">
        <f t="shared" si="340"/>
        <v>6.6748379409999998</v>
      </c>
      <c r="CQ565" s="323">
        <f t="shared" si="340"/>
        <v>4.4563394450000002</v>
      </c>
      <c r="CR565" s="323">
        <f t="shared" si="340"/>
        <v>4.3919501279999995</v>
      </c>
      <c r="CS565" s="323">
        <f t="shared" si="340"/>
        <v>5.0807098110000002</v>
      </c>
      <c r="CT565" s="323">
        <f t="shared" si="340"/>
        <v>4.5882690229999996</v>
      </c>
      <c r="CU565" s="323">
        <f t="shared" si="340"/>
        <v>5.1776039040000006</v>
      </c>
      <c r="CV565" s="323">
        <f t="shared" si="340"/>
        <v>5.0770663970000003</v>
      </c>
      <c r="CW565" s="323">
        <f t="shared" si="340"/>
        <v>5.7757457929999996</v>
      </c>
      <c r="CX565" s="323">
        <f t="shared" si="340"/>
        <v>5.1678418309999996</v>
      </c>
      <c r="CY565" s="323">
        <f t="shared" si="340"/>
        <v>5.3520139840000001</v>
      </c>
      <c r="CZ565" s="323">
        <f t="shared" si="340"/>
        <v>5.4402056289999994</v>
      </c>
      <c r="DA565" s="323">
        <f t="shared" si="340"/>
        <v>6.3478676700000003</v>
      </c>
      <c r="DB565" s="1269">
        <f t="shared" si="340"/>
        <v>6.5963300519999999</v>
      </c>
      <c r="DC565" s="323">
        <f t="shared" si="340"/>
        <v>5.4445769111376707</v>
      </c>
      <c r="DD565" s="323">
        <f t="shared" si="340"/>
        <v>5.805323652966166</v>
      </c>
      <c r="DE565" s="323">
        <f t="shared" si="340"/>
        <v>6.8912519040461664</v>
      </c>
      <c r="DF565" s="323">
        <f t="shared" si="340"/>
        <v>7.8815760578910536</v>
      </c>
      <c r="DG565" s="323">
        <f t="shared" si="340"/>
        <v>6.9713311465128545</v>
      </c>
      <c r="DH565" s="323">
        <f t="shared" si="340"/>
        <v>8.1799067232881555</v>
      </c>
      <c r="DI565" s="323">
        <f t="shared" si="340"/>
        <v>6.5955284107216379</v>
      </c>
      <c r="DJ565" s="323">
        <f t="shared" si="340"/>
        <v>6.6938668656392997</v>
      </c>
      <c r="DK565" s="323">
        <f t="shared" ref="DK565:EP565" si="341">DK219</f>
        <v>7.0590422128204722</v>
      </c>
      <c r="DL565" s="323">
        <f t="shared" si="341"/>
        <v>7.087590191428438</v>
      </c>
      <c r="DM565" s="323">
        <f t="shared" si="341"/>
        <v>7.4229804772847547</v>
      </c>
      <c r="DN565" s="325">
        <f t="shared" si="341"/>
        <v>7.8521124858999043</v>
      </c>
      <c r="DO565" s="323">
        <f t="shared" si="341"/>
        <v>6.5610445010000005</v>
      </c>
      <c r="DP565" s="323">
        <f t="shared" si="341"/>
        <v>7.3270348959999998</v>
      </c>
      <c r="DQ565" s="323">
        <f t="shared" si="341"/>
        <v>7.2908090130000005</v>
      </c>
      <c r="DR565" s="323">
        <f t="shared" si="341"/>
        <v>6.6548213110000001</v>
      </c>
      <c r="DS565" s="323">
        <f t="shared" si="341"/>
        <v>7.0344070729999997</v>
      </c>
      <c r="DT565" s="323">
        <f t="shared" si="341"/>
        <v>7.9401631290000001</v>
      </c>
      <c r="DU565" s="323">
        <f t="shared" si="341"/>
        <v>7.2879551160000009</v>
      </c>
      <c r="DV565" s="323">
        <f t="shared" si="341"/>
        <v>6.9474123759999991</v>
      </c>
      <c r="DW565" s="323">
        <f t="shared" si="341"/>
        <v>8.5377774140000007</v>
      </c>
      <c r="DX565" s="323">
        <f t="shared" si="341"/>
        <v>7.1242365200000002</v>
      </c>
      <c r="DY565" s="323">
        <f t="shared" si="341"/>
        <v>9.4087535320000004</v>
      </c>
      <c r="DZ565" s="325">
        <f t="shared" si="341"/>
        <v>9.0894584079999987</v>
      </c>
      <c r="EA565" s="323">
        <f t="shared" si="341"/>
        <v>7.1439643850000003</v>
      </c>
      <c r="EB565" s="323">
        <f t="shared" si="341"/>
        <v>7.3806015580000004</v>
      </c>
      <c r="EC565" s="323">
        <f t="shared" si="341"/>
        <v>8.2485887610000006</v>
      </c>
      <c r="ED565" s="323">
        <f t="shared" si="341"/>
        <v>8.7947602640000007</v>
      </c>
      <c r="EE565" s="323">
        <f t="shared" si="341"/>
        <v>7.7643052749999999</v>
      </c>
      <c r="EF565" s="323">
        <f t="shared" si="341"/>
        <v>9.0628797320000007</v>
      </c>
      <c r="EG565" s="323">
        <f t="shared" si="341"/>
        <v>9.2121257239999998</v>
      </c>
      <c r="EH565" s="323">
        <f t="shared" si="341"/>
        <v>7.2475529339999998</v>
      </c>
      <c r="EI565" s="323">
        <f t="shared" si="341"/>
        <v>8.6403218250000009</v>
      </c>
      <c r="EJ565" s="323">
        <f t="shared" si="341"/>
        <v>7.3190470420000002</v>
      </c>
      <c r="EK565" s="323">
        <f t="shared" si="341"/>
        <v>8.6909410600000001</v>
      </c>
      <c r="EL565" s="325">
        <f t="shared" si="341"/>
        <v>8.626191575</v>
      </c>
      <c r="EM565" s="323">
        <f t="shared" si="341"/>
        <v>8.0683065989999996</v>
      </c>
      <c r="EN565" s="323">
        <f t="shared" si="341"/>
        <v>9.4906773229999999</v>
      </c>
      <c r="EO565" s="323">
        <f t="shared" si="341"/>
        <v>7.7190137739999996</v>
      </c>
      <c r="EP565" s="323">
        <f t="shared" si="341"/>
        <v>8.2399675400000003</v>
      </c>
      <c r="EQ565" s="323">
        <f t="shared" ref="EQ565:EX565" si="342">EQ219</f>
        <v>9.2015794169999996</v>
      </c>
      <c r="ER565" s="323">
        <f t="shared" si="342"/>
        <v>10.894658637999999</v>
      </c>
      <c r="ES565" s="323">
        <f t="shared" si="342"/>
        <v>10.091343062856238</v>
      </c>
      <c r="ET565" s="323">
        <f t="shared" si="342"/>
        <v>9.3960448855626328</v>
      </c>
      <c r="EU565" s="323">
        <f t="shared" si="342"/>
        <v>8.9297695994327615</v>
      </c>
      <c r="EV565" s="323">
        <f t="shared" si="342"/>
        <v>10.472205665552421</v>
      </c>
      <c r="EW565" s="323">
        <f t="shared" si="342"/>
        <v>9.9040917576417105</v>
      </c>
      <c r="EX565" s="325">
        <f t="shared" si="342"/>
        <v>9.3201618568994924</v>
      </c>
      <c r="EY565" s="323"/>
      <c r="EZ565" s="323"/>
      <c r="FA565" s="323"/>
      <c r="FB565" s="323"/>
      <c r="FC565" s="323"/>
      <c r="FD565" s="323"/>
      <c r="FE565" s="323"/>
      <c r="FF565" s="323"/>
      <c r="FG565" s="323"/>
      <c r="FH565" s="323"/>
      <c r="FI565" s="323"/>
      <c r="FJ565" s="325"/>
      <c r="FK565" s="323"/>
      <c r="FL565" s="323"/>
      <c r="FM565" s="323"/>
      <c r="FN565" s="323"/>
      <c r="FO565" s="323"/>
      <c r="FP565" s="323"/>
      <c r="FQ565" s="323"/>
      <c r="FR565" s="323"/>
      <c r="FS565" s="323"/>
      <c r="FT565" s="323"/>
      <c r="FU565" s="323"/>
      <c r="FV565" s="323"/>
      <c r="FW565" s="323"/>
      <c r="FX565" s="323"/>
      <c r="FY565" s="323"/>
      <c r="FZ565" s="323"/>
      <c r="GA565" s="323"/>
      <c r="GB565" s="323"/>
      <c r="GC565" s="323"/>
      <c r="GD565" s="323"/>
      <c r="GE565" s="323"/>
      <c r="GF565" s="323"/>
      <c r="GG565" s="323"/>
      <c r="GH565" s="323"/>
      <c r="GI565" s="323"/>
      <c r="GJ565" s="323"/>
      <c r="GK565" s="323"/>
      <c r="GL565" s="323"/>
      <c r="GM565" s="323"/>
      <c r="GN565" s="323"/>
      <c r="GO565" s="323"/>
      <c r="GP565" s="323"/>
      <c r="GQ565" s="323"/>
      <c r="GR565" s="323"/>
      <c r="GS565" s="323"/>
      <c r="GT565" s="323"/>
      <c r="GU565" s="323"/>
      <c r="GV565" s="323"/>
      <c r="GW565" s="323"/>
      <c r="GX565" s="323"/>
      <c r="GY565" s="323"/>
      <c r="GZ565" s="323"/>
      <c r="HA565" s="323"/>
      <c r="HB565" s="323"/>
      <c r="HC565" s="323"/>
      <c r="HD565" s="323"/>
      <c r="HE565" s="323"/>
      <c r="HF565" s="323"/>
      <c r="HG565" s="323"/>
      <c r="HH565" s="323"/>
      <c r="HI565" s="323"/>
      <c r="HJ565" s="323"/>
      <c r="HK565" s="323"/>
      <c r="HL565" s="323"/>
      <c r="HM565" s="323"/>
      <c r="HN565" s="323"/>
      <c r="HO565" s="323"/>
      <c r="HP565" s="323"/>
      <c r="HQ565" s="323"/>
      <c r="HR565" s="323"/>
      <c r="HS565" s="323"/>
      <c r="HT565" s="323"/>
      <c r="HU565" s="323"/>
      <c r="HV565" s="323"/>
      <c r="HW565" s="323"/>
      <c r="HX565" s="323"/>
      <c r="HY565" s="323"/>
      <c r="HZ565" s="326"/>
      <c r="IA565" s="322" t="s">
        <v>123</v>
      </c>
      <c r="IB565" s="322"/>
      <c r="IC565" s="322"/>
      <c r="ID565" s="323">
        <f>+FISC!Z758</f>
        <v>63.456801958</v>
      </c>
      <c r="IE565" s="279">
        <f>SUM(CQ565:CV565)</f>
        <v>28.771938708</v>
      </c>
      <c r="IF565" s="279">
        <f>SUM(CW565:DB565)</f>
        <v>34.680004958999994</v>
      </c>
      <c r="IG565" s="323">
        <f>SUM(CQ565:DB565)</f>
        <v>63.451943666999995</v>
      </c>
      <c r="IH565" s="279">
        <f>+SUM(DC565:DH565)</f>
        <v>41.173966395842065</v>
      </c>
      <c r="II565" s="279">
        <f>+SUM(DI565:DN565)</f>
        <v>42.711120643794501</v>
      </c>
      <c r="IJ565" s="323">
        <f t="shared" si="306"/>
        <v>83.885087039636574</v>
      </c>
      <c r="IK565" s="279">
        <f>+SUM(DO565:DT565)</f>
        <v>42.808279922999994</v>
      </c>
      <c r="IL565" s="279">
        <f>SUM(DU565:DZ565)</f>
        <v>48.395593366</v>
      </c>
      <c r="IM565" s="323">
        <f t="shared" si="309"/>
        <v>91.203873289000001</v>
      </c>
      <c r="IN565" s="279">
        <f>(IP565*0.497)*0+48.395099975</f>
        <v>48.395099975000001</v>
      </c>
      <c r="IO565" s="279">
        <f>+IP565-IN565</f>
        <v>49.736180159999996</v>
      </c>
      <c r="IP565" s="323">
        <f>FISC!AC758</f>
        <v>98.131280134999997</v>
      </c>
      <c r="IQ565" s="279">
        <f t="shared" si="310"/>
        <v>53.614203290999995</v>
      </c>
      <c r="IR565" s="279">
        <f t="shared" si="311"/>
        <v>58.113616827945251</v>
      </c>
      <c r="IS565" s="323">
        <f>IQ565+IR565</f>
        <v>111.72782011894525</v>
      </c>
      <c r="IT565" s="327" t="e">
        <f>(IV565*0+#REF!)*0+64.428474916</f>
        <v>#REF!</v>
      </c>
      <c r="IU565" s="279" t="e">
        <f>+IV565-IT565</f>
        <v>#REF!</v>
      </c>
      <c r="IV565" s="323">
        <f>+FISC!AE758</f>
        <v>108.26115157472482</v>
      </c>
      <c r="IW565" s="327">
        <f>(IY565*0.4799)*0+51.414584936178</f>
        <v>51.414584936178002</v>
      </c>
      <c r="IX565" s="279">
        <f t="shared" si="291"/>
        <v>56.950807438080773</v>
      </c>
      <c r="IY565" s="323">
        <f>+FISC!AF758</f>
        <v>108.36539237425878</v>
      </c>
      <c r="IZ565" s="327">
        <f>(JB565*0.4799)</f>
        <v>406.49394391645126</v>
      </c>
      <c r="JA565" s="279">
        <f t="shared" si="279"/>
        <v>440.5449056698194</v>
      </c>
      <c r="JB565" s="323">
        <f>+FISC!AG758</f>
        <v>847.03884958627066</v>
      </c>
      <c r="JC565" s="327">
        <f>JE565*0.4799</f>
        <v>560.14159567102945</v>
      </c>
      <c r="JD565" s="279">
        <f t="shared" si="280"/>
        <v>607.06322964889034</v>
      </c>
      <c r="JE565" s="323">
        <f>+FISC!AH758</f>
        <v>1167.2048253199198</v>
      </c>
      <c r="JF565" s="327">
        <f>JH565*0.4799</f>
        <v>717.23657051797215</v>
      </c>
      <c r="JG565" s="279">
        <f t="shared" si="281"/>
        <v>777.31765019045076</v>
      </c>
      <c r="JH565" s="323">
        <f>+FISC!AI758</f>
        <v>1494.5542207084229</v>
      </c>
      <c r="JI565" s="327">
        <f>JK565*0.4799</f>
        <v>0</v>
      </c>
      <c r="JJ565" s="279">
        <f t="shared" si="282"/>
        <v>0</v>
      </c>
      <c r="JK565" s="323">
        <f>+FISC!AJ758</f>
        <v>0</v>
      </c>
      <c r="JL565" s="327">
        <f>JN565*0.4799</f>
        <v>0</v>
      </c>
      <c r="JM565" s="279">
        <f t="shared" si="283"/>
        <v>0</v>
      </c>
      <c r="JN565" s="323">
        <f>+FISC!AK758</f>
        <v>0</v>
      </c>
      <c r="JO565" s="323"/>
      <c r="KU565" s="326"/>
      <c r="KV565" s="327"/>
    </row>
    <row r="566" spans="2:314" hidden="1">
      <c r="B566" s="96" t="s">
        <v>338</v>
      </c>
      <c r="D566" s="328" t="str">
        <f>+FISC!D759</f>
        <v>of which Taxes on projects expenditures (EWSA&amp;RTDA)</v>
      </c>
      <c r="E566" s="323"/>
      <c r="F566" s="323"/>
      <c r="G566" s="323"/>
      <c r="H566" s="323"/>
      <c r="I566" s="323"/>
      <c r="J566" s="323"/>
      <c r="K566" s="323"/>
      <c r="L566" s="323"/>
      <c r="M566" s="323"/>
      <c r="N566" s="323"/>
      <c r="O566" s="323"/>
      <c r="P566" s="323"/>
      <c r="Q566" s="323"/>
      <c r="R566" s="323"/>
      <c r="S566" s="323"/>
      <c r="T566" s="323"/>
      <c r="U566" s="323"/>
      <c r="V566" s="323"/>
      <c r="W566" s="323"/>
      <c r="X566" s="323"/>
      <c r="Y566" s="323"/>
      <c r="Z566" s="323"/>
      <c r="AA566" s="323"/>
      <c r="AB566" s="323"/>
      <c r="AC566" s="323"/>
      <c r="AD566" s="323"/>
      <c r="AE566" s="323"/>
      <c r="AF566" s="323"/>
      <c r="AG566" s="323"/>
      <c r="AH566" s="323"/>
      <c r="AI566" s="323"/>
      <c r="AJ566" s="323"/>
      <c r="AK566" s="323"/>
      <c r="AL566" s="323"/>
      <c r="AM566" s="323"/>
      <c r="AN566" s="323"/>
      <c r="AO566" s="323"/>
      <c r="AP566" s="323"/>
      <c r="AQ566" s="323"/>
      <c r="AR566" s="323"/>
      <c r="AS566" s="323"/>
      <c r="AT566" s="323"/>
      <c r="AU566" s="323"/>
      <c r="AV566" s="323"/>
      <c r="AW566" s="323"/>
      <c r="AX566" s="323"/>
      <c r="AY566" s="323"/>
      <c r="AZ566" s="323"/>
      <c r="BA566" s="323"/>
      <c r="BB566" s="323"/>
      <c r="BC566" s="323"/>
      <c r="BD566" s="323"/>
      <c r="BE566" s="323"/>
      <c r="BF566" s="323"/>
      <c r="BG566" s="323"/>
      <c r="BH566" s="323"/>
      <c r="BI566" s="323"/>
      <c r="BJ566" s="323"/>
      <c r="BK566" s="323"/>
      <c r="BL566" s="323"/>
      <c r="BM566" s="323"/>
      <c r="BN566" s="323"/>
      <c r="BO566" s="323"/>
      <c r="BP566" s="323"/>
      <c r="BQ566" s="323"/>
      <c r="BR566" s="323"/>
      <c r="BS566" s="323"/>
      <c r="BT566" s="323"/>
      <c r="BU566" s="323"/>
      <c r="BV566" s="323"/>
      <c r="BW566" s="323"/>
      <c r="BX566" s="323"/>
      <c r="BY566" s="323"/>
      <c r="BZ566" s="323"/>
      <c r="CA566" s="323"/>
      <c r="CB566" s="323"/>
      <c r="CC566" s="323"/>
      <c r="CD566" s="323"/>
      <c r="CE566" s="324">
        <f t="shared" ref="CE566:DJ566" si="343">CE223</f>
        <v>0</v>
      </c>
      <c r="CF566" s="323">
        <f t="shared" si="343"/>
        <v>0</v>
      </c>
      <c r="CG566" s="323">
        <f t="shared" si="343"/>
        <v>0</v>
      </c>
      <c r="CH566" s="323">
        <f t="shared" si="343"/>
        <v>0</v>
      </c>
      <c r="CI566" s="323">
        <f t="shared" si="343"/>
        <v>0</v>
      </c>
      <c r="CJ566" s="323">
        <f t="shared" si="343"/>
        <v>0</v>
      </c>
      <c r="CK566" s="323">
        <f t="shared" si="343"/>
        <v>0</v>
      </c>
      <c r="CL566" s="323">
        <f t="shared" si="343"/>
        <v>0</v>
      </c>
      <c r="CM566" s="323">
        <f t="shared" si="343"/>
        <v>0</v>
      </c>
      <c r="CN566" s="323">
        <f t="shared" si="343"/>
        <v>0</v>
      </c>
      <c r="CO566" s="323">
        <f t="shared" si="343"/>
        <v>0</v>
      </c>
      <c r="CP566" s="325">
        <f t="shared" si="343"/>
        <v>0</v>
      </c>
      <c r="CQ566" s="323">
        <f t="shared" si="343"/>
        <v>0.19613696999999999</v>
      </c>
      <c r="CR566" s="323">
        <f t="shared" si="343"/>
        <v>0.10287481599999999</v>
      </c>
      <c r="CS566" s="323">
        <f t="shared" si="343"/>
        <v>0.88128245100000002</v>
      </c>
      <c r="CT566" s="323">
        <f t="shared" si="343"/>
        <v>0.23854651000000002</v>
      </c>
      <c r="CU566" s="323">
        <f t="shared" si="343"/>
        <v>0.31168724099999995</v>
      </c>
      <c r="CV566" s="323">
        <f t="shared" si="343"/>
        <v>0.46079302799999999</v>
      </c>
      <c r="CW566" s="323">
        <f t="shared" si="343"/>
        <v>0.58105257300000002</v>
      </c>
      <c r="CX566" s="323">
        <f t="shared" si="343"/>
        <v>0.22504149100000001</v>
      </c>
      <c r="CY566" s="323">
        <f t="shared" si="343"/>
        <v>0.17876561399999999</v>
      </c>
      <c r="CZ566" s="323">
        <f t="shared" si="343"/>
        <v>0.46736693800000001</v>
      </c>
      <c r="DA566" s="323">
        <f t="shared" si="343"/>
        <v>1.5094311060000001</v>
      </c>
      <c r="DB566" s="1269">
        <f t="shared" si="343"/>
        <v>0.52489575799999999</v>
      </c>
      <c r="DC566" s="323">
        <f t="shared" si="343"/>
        <v>0.16115076336019576</v>
      </c>
      <c r="DD566" s="323">
        <f t="shared" si="343"/>
        <v>0.61717184066107078</v>
      </c>
      <c r="DE566" s="323">
        <f t="shared" si="343"/>
        <v>0.68831319326028939</v>
      </c>
      <c r="DF566" s="323">
        <f t="shared" si="343"/>
        <v>0.77443400553898456</v>
      </c>
      <c r="DG566" s="323">
        <f t="shared" si="343"/>
        <v>0.75625273719333341</v>
      </c>
      <c r="DH566" s="323">
        <f t="shared" si="343"/>
        <v>0.84409716637573162</v>
      </c>
      <c r="DI566" s="323">
        <f t="shared" si="343"/>
        <v>0.69326260518275218</v>
      </c>
      <c r="DJ566" s="323">
        <f t="shared" si="343"/>
        <v>0.7184912774338551</v>
      </c>
      <c r="DK566" s="323">
        <f t="shared" ref="DK566:EP566" si="344">DK223</f>
        <v>0.76467038815893984</v>
      </c>
      <c r="DL566" s="323">
        <f t="shared" si="344"/>
        <v>0.79742966838863905</v>
      </c>
      <c r="DM566" s="323">
        <f t="shared" si="344"/>
        <v>0.89337474856980625</v>
      </c>
      <c r="DN566" s="325">
        <f t="shared" si="344"/>
        <v>1.0443280373941155</v>
      </c>
      <c r="DO566" s="323">
        <f t="shared" si="344"/>
        <v>0</v>
      </c>
      <c r="DP566" s="323">
        <f t="shared" si="344"/>
        <v>0</v>
      </c>
      <c r="DQ566" s="323">
        <f t="shared" si="344"/>
        <v>0</v>
      </c>
      <c r="DR566" s="323">
        <f t="shared" si="344"/>
        <v>0</v>
      </c>
      <c r="DS566" s="323">
        <f t="shared" si="344"/>
        <v>0</v>
      </c>
      <c r="DT566" s="323">
        <f t="shared" si="344"/>
        <v>0</v>
      </c>
      <c r="DU566" s="323">
        <f t="shared" si="344"/>
        <v>0</v>
      </c>
      <c r="DV566" s="323">
        <f t="shared" si="344"/>
        <v>0</v>
      </c>
      <c r="DW566" s="323">
        <f t="shared" si="344"/>
        <v>0</v>
      </c>
      <c r="DX566" s="323">
        <f t="shared" si="344"/>
        <v>0</v>
      </c>
      <c r="DY566" s="323">
        <f t="shared" si="344"/>
        <v>0</v>
      </c>
      <c r="DZ566" s="325">
        <f t="shared" si="344"/>
        <v>0</v>
      </c>
      <c r="EA566" s="323">
        <f t="shared" si="344"/>
        <v>0</v>
      </c>
      <c r="EB566" s="323">
        <f t="shared" si="344"/>
        <v>0</v>
      </c>
      <c r="EC566" s="323">
        <f t="shared" si="344"/>
        <v>0</v>
      </c>
      <c r="ED566" s="323">
        <f t="shared" si="344"/>
        <v>0</v>
      </c>
      <c r="EE566" s="323">
        <f t="shared" si="344"/>
        <v>0</v>
      </c>
      <c r="EF566" s="323">
        <f t="shared" si="344"/>
        <v>0</v>
      </c>
      <c r="EG566" s="323">
        <f t="shared" si="344"/>
        <v>0</v>
      </c>
      <c r="EH566" s="323">
        <f t="shared" si="344"/>
        <v>0</v>
      </c>
      <c r="EI566" s="323">
        <f t="shared" si="344"/>
        <v>0</v>
      </c>
      <c r="EJ566" s="323">
        <f t="shared" si="344"/>
        <v>0</v>
      </c>
      <c r="EK566" s="323">
        <f t="shared" si="344"/>
        <v>0</v>
      </c>
      <c r="EL566" s="325">
        <f t="shared" si="344"/>
        <v>0</v>
      </c>
      <c r="EM566" s="323">
        <f t="shared" si="344"/>
        <v>0</v>
      </c>
      <c r="EN566" s="323">
        <f t="shared" si="344"/>
        <v>0</v>
      </c>
      <c r="EO566" s="323">
        <f t="shared" si="344"/>
        <v>0</v>
      </c>
      <c r="EP566" s="323">
        <f t="shared" si="344"/>
        <v>0</v>
      </c>
      <c r="EQ566" s="323">
        <f t="shared" ref="EQ566:EX566" si="345">EQ223</f>
        <v>0</v>
      </c>
      <c r="ER566" s="323">
        <f t="shared" si="345"/>
        <v>0</v>
      </c>
      <c r="ES566" s="323">
        <f t="shared" si="345"/>
        <v>0</v>
      </c>
      <c r="ET566" s="323">
        <f t="shared" si="345"/>
        <v>0</v>
      </c>
      <c r="EU566" s="323">
        <f t="shared" si="345"/>
        <v>0</v>
      </c>
      <c r="EV566" s="323">
        <f t="shared" si="345"/>
        <v>0</v>
      </c>
      <c r="EW566" s="323">
        <f t="shared" si="345"/>
        <v>0</v>
      </c>
      <c r="EX566" s="325">
        <f t="shared" si="345"/>
        <v>0</v>
      </c>
      <c r="EY566" s="323"/>
      <c r="EZ566" s="323"/>
      <c r="FA566" s="323"/>
      <c r="FB566" s="323"/>
      <c r="FC566" s="323"/>
      <c r="FD566" s="323"/>
      <c r="FE566" s="323"/>
      <c r="FF566" s="323"/>
      <c r="FG566" s="323"/>
      <c r="FH566" s="323"/>
      <c r="FI566" s="323"/>
      <c r="FJ566" s="325"/>
      <c r="FK566" s="323"/>
      <c r="FL566" s="323"/>
      <c r="FM566" s="323"/>
      <c r="FN566" s="323"/>
      <c r="FO566" s="323"/>
      <c r="FP566" s="323"/>
      <c r="FQ566" s="323"/>
      <c r="FR566" s="323"/>
      <c r="FS566" s="323"/>
      <c r="FT566" s="323"/>
      <c r="FU566" s="323"/>
      <c r="FV566" s="323"/>
      <c r="FW566" s="323"/>
      <c r="FX566" s="323"/>
      <c r="FY566" s="323"/>
      <c r="FZ566" s="323"/>
      <c r="GA566" s="323"/>
      <c r="GB566" s="323"/>
      <c r="GC566" s="323"/>
      <c r="GD566" s="323"/>
      <c r="GE566" s="323"/>
      <c r="GF566" s="323"/>
      <c r="GG566" s="323"/>
      <c r="GH566" s="323"/>
      <c r="GI566" s="323"/>
      <c r="GJ566" s="323"/>
      <c r="GK566" s="323"/>
      <c r="GL566" s="323"/>
      <c r="GM566" s="323"/>
      <c r="GN566" s="323"/>
      <c r="GO566" s="323"/>
      <c r="GP566" s="323"/>
      <c r="GQ566" s="323"/>
      <c r="GR566" s="323"/>
      <c r="GS566" s="323"/>
      <c r="GT566" s="323"/>
      <c r="GU566" s="323"/>
      <c r="GV566" s="323"/>
      <c r="GW566" s="323"/>
      <c r="GX566" s="323"/>
      <c r="GY566" s="323"/>
      <c r="GZ566" s="323"/>
      <c r="HA566" s="323"/>
      <c r="HB566" s="323"/>
      <c r="HC566" s="323"/>
      <c r="HD566" s="323"/>
      <c r="HE566" s="323"/>
      <c r="HF566" s="323"/>
      <c r="HG566" s="323"/>
      <c r="HH566" s="323"/>
      <c r="HI566" s="323"/>
      <c r="HJ566" s="323"/>
      <c r="HK566" s="323"/>
      <c r="HL566" s="323"/>
      <c r="HM566" s="323"/>
      <c r="HN566" s="323"/>
      <c r="HO566" s="323"/>
      <c r="HP566" s="323"/>
      <c r="HQ566" s="323"/>
      <c r="HR566" s="323"/>
      <c r="HS566" s="323"/>
      <c r="HT566" s="323"/>
      <c r="HU566" s="323"/>
      <c r="HV566" s="323"/>
      <c r="HW566" s="323"/>
      <c r="HX566" s="323"/>
      <c r="HY566" s="323"/>
      <c r="HZ566" s="326"/>
      <c r="IA566" s="328" t="s">
        <v>122</v>
      </c>
      <c r="IB566" s="328"/>
      <c r="IC566" s="328"/>
      <c r="ID566" s="323">
        <f>+FISC!Z759</f>
        <v>5.7</v>
      </c>
      <c r="IE566" s="279">
        <f>SUM(CQ566:CV566)</f>
        <v>2.1913210159999998</v>
      </c>
      <c r="IF566" s="279">
        <f>SUM(CW566:DB566)</f>
        <v>3.48655348</v>
      </c>
      <c r="IG566" s="323">
        <f>SUM(CQ566:DB566)</f>
        <v>5.6778744959999994</v>
      </c>
      <c r="IH566" s="279">
        <f>+SUM(DC566:DH566)</f>
        <v>3.8414197063896056</v>
      </c>
      <c r="II566" s="279">
        <f>+SUM(DI566:DN566)</f>
        <v>4.9115567251281078</v>
      </c>
      <c r="IJ566" s="323">
        <f t="shared" si="306"/>
        <v>8.7529764315177125</v>
      </c>
      <c r="IK566" s="279">
        <f>+SUM(DO566:DT566)</f>
        <v>0</v>
      </c>
      <c r="IL566" s="279">
        <f>SUM(DU566:DZ566)</f>
        <v>0</v>
      </c>
      <c r="IM566" s="323">
        <f t="shared" si="309"/>
        <v>0</v>
      </c>
      <c r="IN566" s="279">
        <f>+(IP566/2)*0</f>
        <v>0</v>
      </c>
      <c r="IO566" s="279">
        <f>+IP566-IN566</f>
        <v>0</v>
      </c>
      <c r="IP566" s="323">
        <f>FISC!AC759</f>
        <v>0</v>
      </c>
      <c r="IQ566" s="279">
        <f t="shared" si="310"/>
        <v>0</v>
      </c>
      <c r="IR566" s="279">
        <f t="shared" si="311"/>
        <v>0</v>
      </c>
      <c r="IS566" s="323">
        <f>IQ566+IR566</f>
        <v>0</v>
      </c>
      <c r="IU566" s="327"/>
      <c r="IV566" s="323">
        <f>+FISC!AE759</f>
        <v>0</v>
      </c>
      <c r="IW566" s="279">
        <f>IY566*JU566</f>
        <v>0</v>
      </c>
      <c r="IX566" s="279">
        <f t="shared" si="291"/>
        <v>0</v>
      </c>
      <c r="IY566" s="323">
        <f>+FISC!AF759</f>
        <v>0</v>
      </c>
      <c r="IZ566" s="279">
        <f>JB566*JU566</f>
        <v>0</v>
      </c>
      <c r="JA566" s="279">
        <f t="shared" si="279"/>
        <v>0</v>
      </c>
      <c r="JB566" s="323">
        <f>+FISC!AG759</f>
        <v>0</v>
      </c>
      <c r="JC566" s="279">
        <f>JE566*JU566</f>
        <v>0</v>
      </c>
      <c r="JD566" s="279">
        <f t="shared" si="280"/>
        <v>0</v>
      </c>
      <c r="JE566" s="323">
        <f>+FISC!AH759</f>
        <v>0</v>
      </c>
      <c r="JF566" s="279">
        <f>JH566*JU566</f>
        <v>0</v>
      </c>
      <c r="JG566" s="279">
        <f t="shared" si="281"/>
        <v>0</v>
      </c>
      <c r="JH566" s="323">
        <f>+FISC!AI759</f>
        <v>0</v>
      </c>
      <c r="JI566" s="279">
        <f>JK566*JX566</f>
        <v>0</v>
      </c>
      <c r="JJ566" s="279">
        <f t="shared" si="282"/>
        <v>0</v>
      </c>
      <c r="JK566" s="323">
        <f>+FISC!AJ759</f>
        <v>0</v>
      </c>
      <c r="JL566" s="279">
        <f>JN566*KA566</f>
        <v>0</v>
      </c>
      <c r="JM566" s="279">
        <f t="shared" si="283"/>
        <v>0</v>
      </c>
      <c r="JN566" s="323">
        <f>+FISC!AK759</f>
        <v>0</v>
      </c>
      <c r="JO566" s="323"/>
      <c r="KU566" s="326"/>
      <c r="KV566" s="327"/>
    </row>
    <row r="567" spans="2:314" hidden="1">
      <c r="B567" s="96" t="s">
        <v>338</v>
      </c>
      <c r="D567" s="328" t="str">
        <f>+FISC!D760</f>
        <v>of which 1% EAC levy on imports(EAC secr/projects)</v>
      </c>
      <c r="E567" s="323"/>
      <c r="F567" s="323"/>
      <c r="G567" s="323"/>
      <c r="H567" s="323"/>
      <c r="I567" s="323"/>
      <c r="J567" s="323"/>
      <c r="K567" s="323"/>
      <c r="L567" s="323"/>
      <c r="M567" s="323"/>
      <c r="N567" s="323"/>
      <c r="O567" s="323"/>
      <c r="P567" s="323"/>
      <c r="Q567" s="323"/>
      <c r="R567" s="323"/>
      <c r="S567" s="323"/>
      <c r="T567" s="323"/>
      <c r="U567" s="323"/>
      <c r="V567" s="323"/>
      <c r="W567" s="323"/>
      <c r="X567" s="323"/>
      <c r="Y567" s="323"/>
      <c r="Z567" s="323"/>
      <c r="AA567" s="323"/>
      <c r="AB567" s="323"/>
      <c r="AC567" s="323"/>
      <c r="AD567" s="323"/>
      <c r="AE567" s="323"/>
      <c r="AF567" s="323"/>
      <c r="AG567" s="323"/>
      <c r="AH567" s="323"/>
      <c r="AI567" s="323"/>
      <c r="AJ567" s="323"/>
      <c r="AK567" s="323"/>
      <c r="AL567" s="323"/>
      <c r="AM567" s="323"/>
      <c r="AN567" s="323"/>
      <c r="AO567" s="323"/>
      <c r="AP567" s="323"/>
      <c r="AQ567" s="323"/>
      <c r="AR567" s="323"/>
      <c r="AS567" s="323"/>
      <c r="AT567" s="323"/>
      <c r="AU567" s="323"/>
      <c r="AV567" s="323"/>
      <c r="AW567" s="323"/>
      <c r="AX567" s="323"/>
      <c r="AY567" s="323"/>
      <c r="AZ567" s="323"/>
      <c r="BA567" s="323"/>
      <c r="BB567" s="323"/>
      <c r="BC567" s="323"/>
      <c r="BD567" s="323"/>
      <c r="BE567" s="323"/>
      <c r="BF567" s="323"/>
      <c r="BG567" s="323"/>
      <c r="BH567" s="323"/>
      <c r="BI567" s="323"/>
      <c r="BJ567" s="323"/>
      <c r="BK567" s="323"/>
      <c r="BL567" s="323"/>
      <c r="BM567" s="323"/>
      <c r="BN567" s="323"/>
      <c r="BO567" s="323"/>
      <c r="BP567" s="323"/>
      <c r="BQ567" s="323"/>
      <c r="BR567" s="323"/>
      <c r="BS567" s="323"/>
      <c r="BT567" s="323"/>
      <c r="BU567" s="323"/>
      <c r="BV567" s="323"/>
      <c r="BW567" s="323"/>
      <c r="BX567" s="323"/>
      <c r="BY567" s="323"/>
      <c r="BZ567" s="323"/>
      <c r="CA567" s="323"/>
      <c r="CB567" s="323"/>
      <c r="CC567" s="323"/>
      <c r="CD567" s="323"/>
      <c r="CE567" s="324"/>
      <c r="CF567" s="323"/>
      <c r="CG567" s="323"/>
      <c r="CH567" s="323"/>
      <c r="CI567" s="323"/>
      <c r="CJ567" s="323"/>
      <c r="CK567" s="323"/>
      <c r="CL567" s="323"/>
      <c r="CM567" s="323"/>
      <c r="CN567" s="323"/>
      <c r="CO567" s="323"/>
      <c r="CP567" s="325"/>
      <c r="CQ567" s="323"/>
      <c r="CR567" s="323"/>
      <c r="CS567" s="323"/>
      <c r="CT567" s="323"/>
      <c r="CU567" s="323"/>
      <c r="CV567" s="323"/>
      <c r="CW567" s="323"/>
      <c r="CX567" s="323"/>
      <c r="CY567" s="323"/>
      <c r="CZ567" s="323"/>
      <c r="DA567" s="323"/>
      <c r="DB567" s="1269"/>
      <c r="DC567" s="323"/>
      <c r="DD567" s="323"/>
      <c r="DE567" s="323"/>
      <c r="DF567" s="323"/>
      <c r="DG567" s="323"/>
      <c r="DH567" s="323"/>
      <c r="DI567" s="323"/>
      <c r="DJ567" s="323"/>
      <c r="DK567" s="323"/>
      <c r="DL567" s="323"/>
      <c r="DM567" s="323"/>
      <c r="DN567" s="325"/>
      <c r="DO567" s="323">
        <f t="shared" ref="DO567:EX567" si="346">+DO225</f>
        <v>0.81548350400000003</v>
      </c>
      <c r="DP567" s="323">
        <f t="shared" si="346"/>
        <v>0.89468296199999997</v>
      </c>
      <c r="DQ567" s="323">
        <f t="shared" si="346"/>
        <v>0.88994272699999999</v>
      </c>
      <c r="DR567" s="323">
        <f t="shared" si="346"/>
        <v>0.74259006599999999</v>
      </c>
      <c r="DS567" s="323">
        <f t="shared" si="346"/>
        <v>0.85803408800000003</v>
      </c>
      <c r="DT567" s="323">
        <f t="shared" si="346"/>
        <v>0.95241461699999996</v>
      </c>
      <c r="DU567" s="323">
        <f t="shared" si="346"/>
        <v>0.82779765299999997</v>
      </c>
      <c r="DV567" s="323">
        <f t="shared" si="346"/>
        <v>0.78600829800000005</v>
      </c>
      <c r="DW567" s="323">
        <f t="shared" si="346"/>
        <v>0.92951981500000003</v>
      </c>
      <c r="DX567" s="323">
        <f t="shared" si="346"/>
        <v>0.81068596299999995</v>
      </c>
      <c r="DY567" s="323">
        <f t="shared" si="346"/>
        <v>0.99184130999999998</v>
      </c>
      <c r="DZ567" s="325">
        <f t="shared" si="346"/>
        <v>1.1211130899999999</v>
      </c>
      <c r="EA567" s="323">
        <f t="shared" si="346"/>
        <v>0.86431013499999998</v>
      </c>
      <c r="EB567" s="323">
        <f t="shared" si="346"/>
        <v>0.89608272</v>
      </c>
      <c r="EC567" s="323">
        <f t="shared" si="346"/>
        <v>1.0324487339999999</v>
      </c>
      <c r="ED567" s="323">
        <f t="shared" si="346"/>
        <v>0.98973740300000002</v>
      </c>
      <c r="EE567" s="323">
        <f t="shared" si="346"/>
        <v>0.88089663600000001</v>
      </c>
      <c r="EF567" s="323">
        <f t="shared" si="346"/>
        <v>1.0335363049999999</v>
      </c>
      <c r="EG567" s="323">
        <f t="shared" si="346"/>
        <v>0.97513037800000002</v>
      </c>
      <c r="EH567" s="323">
        <f t="shared" si="346"/>
        <v>0.82774864599999998</v>
      </c>
      <c r="EI567" s="323">
        <f t="shared" si="346"/>
        <v>1.002834577</v>
      </c>
      <c r="EJ567" s="323">
        <f t="shared" si="346"/>
        <v>0.90485316500000001</v>
      </c>
      <c r="EK567" s="323">
        <f t="shared" si="346"/>
        <v>0.98641874200000002</v>
      </c>
      <c r="EL567" s="325">
        <f t="shared" si="346"/>
        <v>1.041281949</v>
      </c>
      <c r="EM567" s="323">
        <f t="shared" si="346"/>
        <v>1.0299287829999999</v>
      </c>
      <c r="EN567" s="323">
        <f t="shared" si="346"/>
        <v>1.1369505499999999</v>
      </c>
      <c r="EO567" s="323">
        <f t="shared" si="346"/>
        <v>1.01343703</v>
      </c>
      <c r="EP567" s="323">
        <f t="shared" si="346"/>
        <v>0.98094202600000002</v>
      </c>
      <c r="EQ567" s="323">
        <f t="shared" si="346"/>
        <v>1.1072251980000001</v>
      </c>
      <c r="ER567" s="323">
        <f t="shared" si="346"/>
        <v>1.2211093550000001</v>
      </c>
      <c r="ES567" s="323">
        <f t="shared" si="346"/>
        <v>1.0309217020000001</v>
      </c>
      <c r="ET567" s="323">
        <f t="shared" si="346"/>
        <v>1.040925815</v>
      </c>
      <c r="EU567" s="323">
        <f t="shared" si="346"/>
        <v>1.025590373</v>
      </c>
      <c r="EV567" s="323">
        <f t="shared" si="346"/>
        <v>1.1776016650000001</v>
      </c>
      <c r="EW567" s="323">
        <f t="shared" si="346"/>
        <v>1.1498127010000001</v>
      </c>
      <c r="EX567" s="325">
        <f t="shared" si="346"/>
        <v>1.099506222</v>
      </c>
      <c r="EY567" s="323"/>
      <c r="EZ567" s="323"/>
      <c r="FA567" s="323"/>
      <c r="FB567" s="323"/>
      <c r="FC567" s="323"/>
      <c r="FD567" s="323"/>
      <c r="FE567" s="323"/>
      <c r="FF567" s="323"/>
      <c r="FG567" s="323"/>
      <c r="FH567" s="323"/>
      <c r="FI567" s="323"/>
      <c r="FJ567" s="325"/>
      <c r="FK567" s="323"/>
      <c r="FL567" s="323"/>
      <c r="FM567" s="323"/>
      <c r="FN567" s="323"/>
      <c r="FO567" s="323"/>
      <c r="FP567" s="323"/>
      <c r="FQ567" s="323"/>
      <c r="FR567" s="323"/>
      <c r="FS567" s="323"/>
      <c r="FT567" s="323"/>
      <c r="FU567" s="323"/>
      <c r="FV567" s="323"/>
      <c r="FW567" s="323"/>
      <c r="FX567" s="323"/>
      <c r="FY567" s="323"/>
      <c r="FZ567" s="323"/>
      <c r="GA567" s="323"/>
      <c r="GB567" s="323"/>
      <c r="GC567" s="323"/>
      <c r="GD567" s="323"/>
      <c r="GE567" s="323"/>
      <c r="GF567" s="323"/>
      <c r="GG567" s="323"/>
      <c r="GH567" s="323"/>
      <c r="GI567" s="323"/>
      <c r="GJ567" s="323"/>
      <c r="GK567" s="323"/>
      <c r="GL567" s="323"/>
      <c r="GM567" s="323"/>
      <c r="GN567" s="323"/>
      <c r="GO567" s="323"/>
      <c r="GP567" s="323"/>
      <c r="GQ567" s="323"/>
      <c r="GR567" s="323"/>
      <c r="GS567" s="323"/>
      <c r="GT567" s="323"/>
      <c r="GU567" s="323"/>
      <c r="GV567" s="323"/>
      <c r="GW567" s="323"/>
      <c r="GX567" s="323"/>
      <c r="GY567" s="323"/>
      <c r="GZ567" s="323"/>
      <c r="HA567" s="323"/>
      <c r="HB567" s="323"/>
      <c r="HC567" s="323"/>
      <c r="HD567" s="323"/>
      <c r="HE567" s="323"/>
      <c r="HF567" s="323"/>
      <c r="HG567" s="323"/>
      <c r="HH567" s="323"/>
      <c r="HI567" s="323"/>
      <c r="HJ567" s="323"/>
      <c r="HK567" s="323"/>
      <c r="HL567" s="323"/>
      <c r="HM567" s="323"/>
      <c r="HN567" s="323"/>
      <c r="HO567" s="323"/>
      <c r="HP567" s="323"/>
      <c r="HQ567" s="323"/>
      <c r="HR567" s="323"/>
      <c r="HS567" s="323"/>
      <c r="HT567" s="323"/>
      <c r="HU567" s="323"/>
      <c r="HV567" s="323"/>
      <c r="HW567" s="323"/>
      <c r="HX567" s="323"/>
      <c r="HY567" s="323"/>
      <c r="HZ567" s="326"/>
      <c r="IA567" s="328" t="s">
        <v>282</v>
      </c>
      <c r="IB567" s="328"/>
      <c r="IC567" s="328"/>
      <c r="ID567" s="323">
        <f>+FISC!Z760</f>
        <v>0</v>
      </c>
      <c r="IE567" s="279">
        <f>SUM(CQ567:CV567)</f>
        <v>0</v>
      </c>
      <c r="IF567" s="279">
        <f>SUM(CW567:DB567)</f>
        <v>0</v>
      </c>
      <c r="IG567" s="323"/>
      <c r="IH567" s="609">
        <v>4.4000000000000004</v>
      </c>
      <c r="II567" s="609">
        <v>4.4000000000000004</v>
      </c>
      <c r="IJ567" s="323">
        <f t="shared" si="306"/>
        <v>8.8000000000000007</v>
      </c>
      <c r="IK567" s="609">
        <f>+SUM(DO567:DT567)</f>
        <v>5.1531479639999995</v>
      </c>
      <c r="IL567" s="609">
        <f>SUM(DU567:DZ567)</f>
        <v>5.4669661290000002</v>
      </c>
      <c r="IM567" s="323">
        <f t="shared" si="309"/>
        <v>10.620114093</v>
      </c>
      <c r="IN567" s="279">
        <v>5.4</v>
      </c>
      <c r="IO567" s="279">
        <f>+IP567-IN567</f>
        <v>6.0352793899999995</v>
      </c>
      <c r="IP567" s="323">
        <f>FISC!AC760</f>
        <v>11.43527939</v>
      </c>
      <c r="IQ567" s="279">
        <f t="shared" si="310"/>
        <v>6.4895929419999998</v>
      </c>
      <c r="IR567" s="279">
        <f t="shared" si="311"/>
        <v>6.5243584779999999</v>
      </c>
      <c r="IS567" s="323">
        <f>IQ567+IR567</f>
        <v>13.01395142</v>
      </c>
      <c r="IT567" s="327">
        <f>+IV567/2</f>
        <v>7.1663822449999994</v>
      </c>
      <c r="IU567" s="279">
        <f>+IV567-IT567</f>
        <v>7.1663822449999994</v>
      </c>
      <c r="IV567" s="323">
        <f>+FISC!AE760</f>
        <v>14.332764489999999</v>
      </c>
      <c r="IW567" s="327">
        <f>IY567/2</f>
        <v>7.4250329984999999</v>
      </c>
      <c r="IX567" s="279">
        <f t="shared" si="291"/>
        <v>7.4250329984999999</v>
      </c>
      <c r="IY567" s="323">
        <f>+FISC!AF760</f>
        <v>14.850065997</v>
      </c>
      <c r="IZ567" s="327">
        <f>JB567/2</f>
        <v>7.9250329984999999</v>
      </c>
      <c r="JA567" s="279">
        <f t="shared" si="279"/>
        <v>7.9250329984999999</v>
      </c>
      <c r="JB567" s="323">
        <f>+FISC!AG760</f>
        <v>15.850065997</v>
      </c>
      <c r="JC567" s="327">
        <f>JE567/2</f>
        <v>9.5794367090396868</v>
      </c>
      <c r="JD567" s="279">
        <f t="shared" si="280"/>
        <v>9.5794367090396868</v>
      </c>
      <c r="JE567" s="323">
        <f>+FISC!AH760</f>
        <v>19.158873418079374</v>
      </c>
      <c r="JF567" s="327">
        <f>JH567/2</f>
        <v>12.084773950973988</v>
      </c>
      <c r="JG567" s="279">
        <f t="shared" si="281"/>
        <v>12.084773950973988</v>
      </c>
      <c r="JH567" s="323">
        <f>+FISC!AI760</f>
        <v>24.169547901947976</v>
      </c>
      <c r="JI567" s="327">
        <f>JK567/2</f>
        <v>0</v>
      </c>
      <c r="JJ567" s="279">
        <f t="shared" si="282"/>
        <v>0</v>
      </c>
      <c r="JK567" s="323">
        <f>+FISC!AJ760</f>
        <v>0</v>
      </c>
      <c r="JL567" s="327">
        <f>JN567/2</f>
        <v>0</v>
      </c>
      <c r="JM567" s="279">
        <f t="shared" si="283"/>
        <v>0</v>
      </c>
      <c r="JN567" s="323">
        <f>+FISC!AK760</f>
        <v>0</v>
      </c>
      <c r="JO567" s="323"/>
      <c r="KU567" s="326"/>
      <c r="KV567" s="327"/>
    </row>
    <row r="568" spans="2:314" hidden="1">
      <c r="D568" s="328" t="s">
        <v>813</v>
      </c>
      <c r="E568" s="323"/>
      <c r="F568" s="323"/>
      <c r="G568" s="323"/>
      <c r="H568" s="323"/>
      <c r="I568" s="323"/>
      <c r="J568" s="323"/>
      <c r="K568" s="323"/>
      <c r="L568" s="323"/>
      <c r="M568" s="323"/>
      <c r="N568" s="323"/>
      <c r="O568" s="323"/>
      <c r="P568" s="323"/>
      <c r="Q568" s="323"/>
      <c r="R568" s="323"/>
      <c r="S568" s="323"/>
      <c r="T568" s="323"/>
      <c r="U568" s="323"/>
      <c r="V568" s="323"/>
      <c r="W568" s="323"/>
      <c r="X568" s="323"/>
      <c r="Y568" s="323"/>
      <c r="Z568" s="323"/>
      <c r="AA568" s="323"/>
      <c r="AB568" s="323"/>
      <c r="AC568" s="323"/>
      <c r="AD568" s="323"/>
      <c r="AE568" s="323"/>
      <c r="AF568" s="323"/>
      <c r="AG568" s="323"/>
      <c r="AH568" s="323"/>
      <c r="AI568" s="323"/>
      <c r="AJ568" s="323"/>
      <c r="AK568" s="323"/>
      <c r="AL568" s="323"/>
      <c r="AM568" s="323"/>
      <c r="AN568" s="323"/>
      <c r="AO568" s="323"/>
      <c r="AP568" s="323"/>
      <c r="AQ568" s="323"/>
      <c r="AR568" s="323"/>
      <c r="AS568" s="323"/>
      <c r="AT568" s="323"/>
      <c r="AU568" s="323"/>
      <c r="AV568" s="323"/>
      <c r="AW568" s="323"/>
      <c r="AX568" s="323"/>
      <c r="AY568" s="323"/>
      <c r="AZ568" s="323"/>
      <c r="BA568" s="323"/>
      <c r="BB568" s="323"/>
      <c r="BC568" s="323"/>
      <c r="BD568" s="323"/>
      <c r="BE568" s="323"/>
      <c r="BF568" s="323"/>
      <c r="BG568" s="323"/>
      <c r="BH568" s="323"/>
      <c r="BI568" s="323"/>
      <c r="BJ568" s="323"/>
      <c r="BK568" s="323"/>
      <c r="BL568" s="323"/>
      <c r="BM568" s="323"/>
      <c r="BN568" s="323"/>
      <c r="BO568" s="323"/>
      <c r="BP568" s="323"/>
      <c r="BQ568" s="323"/>
      <c r="BR568" s="323"/>
      <c r="BS568" s="323"/>
      <c r="BT568" s="323"/>
      <c r="BU568" s="323"/>
      <c r="BV568" s="323"/>
      <c r="BW568" s="323"/>
      <c r="BX568" s="323"/>
      <c r="BY568" s="323"/>
      <c r="BZ568" s="323"/>
      <c r="CA568" s="323"/>
      <c r="CB568" s="323"/>
      <c r="CC568" s="323"/>
      <c r="CD568" s="323"/>
      <c r="CE568" s="324"/>
      <c r="CF568" s="323"/>
      <c r="CG568" s="323"/>
      <c r="CH568" s="323"/>
      <c r="CI568" s="323"/>
      <c r="CJ568" s="323"/>
      <c r="CK568" s="323"/>
      <c r="CL568" s="323"/>
      <c r="CM568" s="323"/>
      <c r="CN568" s="323"/>
      <c r="CO568" s="323"/>
      <c r="CP568" s="325"/>
      <c r="CQ568" s="323"/>
      <c r="CR568" s="323"/>
      <c r="CS568" s="323"/>
      <c r="CT568" s="323"/>
      <c r="CU568" s="323"/>
      <c r="CV568" s="323"/>
      <c r="CW568" s="323"/>
      <c r="CX568" s="323"/>
      <c r="CY568" s="323"/>
      <c r="CZ568" s="323"/>
      <c r="DA568" s="323"/>
      <c r="DB568" s="1269"/>
      <c r="DC568" s="323"/>
      <c r="DD568" s="323"/>
      <c r="DE568" s="323"/>
      <c r="DF568" s="323"/>
      <c r="DG568" s="323"/>
      <c r="DH568" s="323"/>
      <c r="DI568" s="323"/>
      <c r="DJ568" s="323"/>
      <c r="DK568" s="323"/>
      <c r="DL568" s="323"/>
      <c r="DM568" s="323"/>
      <c r="DN568" s="325"/>
      <c r="DO568" s="323"/>
      <c r="DP568" s="323"/>
      <c r="DQ568" s="323"/>
      <c r="DR568" s="323"/>
      <c r="DS568" s="323"/>
      <c r="DT568" s="323"/>
      <c r="DU568" s="323"/>
      <c r="DV568" s="323"/>
      <c r="DW568" s="323"/>
      <c r="DX568" s="323"/>
      <c r="DY568" s="323"/>
      <c r="DZ568" s="325"/>
      <c r="EA568" s="323"/>
      <c r="EB568" s="323"/>
      <c r="EC568" s="323"/>
      <c r="ED568" s="323"/>
      <c r="EE568" s="323"/>
      <c r="EF568" s="323"/>
      <c r="EG568" s="323"/>
      <c r="EH568" s="323"/>
      <c r="EI568" s="323"/>
      <c r="EJ568" s="323"/>
      <c r="EK568" s="323"/>
      <c r="EL568" s="325"/>
      <c r="EM568" s="323"/>
      <c r="EN568" s="323"/>
      <c r="EO568" s="323"/>
      <c r="EP568" s="323"/>
      <c r="EQ568" s="323"/>
      <c r="ER568" s="323"/>
      <c r="ES568" s="323"/>
      <c r="ET568" s="323"/>
      <c r="EU568" s="323"/>
      <c r="EV568" s="323"/>
      <c r="EW568" s="323"/>
      <c r="EX568" s="325"/>
      <c r="EY568" s="323"/>
      <c r="EZ568" s="323"/>
      <c r="FA568" s="323"/>
      <c r="FB568" s="323"/>
      <c r="FC568" s="323"/>
      <c r="FD568" s="323"/>
      <c r="FE568" s="323"/>
      <c r="FF568" s="323"/>
      <c r="FG568" s="323"/>
      <c r="FH568" s="323"/>
      <c r="FI568" s="323"/>
      <c r="FJ568" s="325"/>
      <c r="FK568" s="323"/>
      <c r="FL568" s="323"/>
      <c r="FM568" s="323"/>
      <c r="FN568" s="323"/>
      <c r="FO568" s="323"/>
      <c r="FP568" s="323"/>
      <c r="FQ568" s="323"/>
      <c r="FR568" s="323"/>
      <c r="FS568" s="323"/>
      <c r="FT568" s="323"/>
      <c r="FU568" s="323"/>
      <c r="FV568" s="323"/>
      <c r="FW568" s="323"/>
      <c r="FX568" s="323"/>
      <c r="FY568" s="323"/>
      <c r="FZ568" s="323"/>
      <c r="GA568" s="323"/>
      <c r="GB568" s="323"/>
      <c r="GC568" s="323"/>
      <c r="GD568" s="323"/>
      <c r="GE568" s="323"/>
      <c r="GF568" s="323"/>
      <c r="GG568" s="323"/>
      <c r="GH568" s="323"/>
      <c r="GI568" s="323"/>
      <c r="GJ568" s="323"/>
      <c r="GK568" s="323"/>
      <c r="GL568" s="323"/>
      <c r="GM568" s="323"/>
      <c r="GN568" s="323"/>
      <c r="GO568" s="323"/>
      <c r="GP568" s="323"/>
      <c r="GQ568" s="323"/>
      <c r="GR568" s="323"/>
      <c r="GS568" s="323"/>
      <c r="GT568" s="323"/>
      <c r="GU568" s="323"/>
      <c r="GV568" s="323"/>
      <c r="GW568" s="323"/>
      <c r="GX568" s="323"/>
      <c r="GY568" s="323"/>
      <c r="GZ568" s="323"/>
      <c r="HA568" s="323"/>
      <c r="HB568" s="323"/>
      <c r="HC568" s="323"/>
      <c r="HD568" s="323"/>
      <c r="HE568" s="323"/>
      <c r="HF568" s="323"/>
      <c r="HG568" s="323"/>
      <c r="HH568" s="323"/>
      <c r="HI568" s="323"/>
      <c r="HJ568" s="323"/>
      <c r="HK568" s="323"/>
      <c r="HL568" s="323"/>
      <c r="HM568" s="323"/>
      <c r="HN568" s="323"/>
      <c r="HO568" s="323"/>
      <c r="HP568" s="323"/>
      <c r="HQ568" s="323"/>
      <c r="HR568" s="323"/>
      <c r="HS568" s="323"/>
      <c r="HT568" s="323"/>
      <c r="HU568" s="323"/>
      <c r="HV568" s="323"/>
      <c r="HW568" s="323"/>
      <c r="HX568" s="323"/>
      <c r="HY568" s="323"/>
      <c r="HZ568" s="326"/>
      <c r="IA568" s="328" t="s">
        <v>813</v>
      </c>
      <c r="IB568" s="328"/>
      <c r="IC568" s="328"/>
      <c r="ID568" s="323"/>
      <c r="IG568" s="323"/>
      <c r="IH568" s="609"/>
      <c r="II568" s="609"/>
      <c r="IJ568" s="323"/>
      <c r="IK568" s="609"/>
      <c r="IL568" s="609"/>
      <c r="IM568" s="323"/>
      <c r="IP568" s="323">
        <f>FISC!AC761</f>
        <v>0</v>
      </c>
      <c r="IQ568" s="279">
        <f t="shared" si="310"/>
        <v>0</v>
      </c>
      <c r="IR568" s="279">
        <f t="shared" si="311"/>
        <v>0</v>
      </c>
      <c r="IS568" s="323">
        <f>IQ568+IR568</f>
        <v>0</v>
      </c>
      <c r="IT568" s="327"/>
      <c r="IU568" s="327"/>
      <c r="IV568" s="323"/>
      <c r="IW568" s="279">
        <f>IY568*JU568</f>
        <v>0</v>
      </c>
      <c r="IX568" s="279">
        <f t="shared" si="291"/>
        <v>0</v>
      </c>
      <c r="IY568" s="323"/>
      <c r="IZ568" s="279">
        <f>JB568*JU568</f>
        <v>0</v>
      </c>
      <c r="JA568" s="279">
        <f t="shared" si="279"/>
        <v>0</v>
      </c>
      <c r="JB568" s="323"/>
      <c r="JC568" s="279">
        <f>JE568*JU568</f>
        <v>0</v>
      </c>
      <c r="JD568" s="279">
        <f t="shared" si="280"/>
        <v>0</v>
      </c>
      <c r="JE568" s="323"/>
      <c r="JF568" s="279">
        <f>JH568*JU568</f>
        <v>0</v>
      </c>
      <c r="JG568" s="279">
        <f t="shared" si="281"/>
        <v>0</v>
      </c>
      <c r="JH568" s="323"/>
      <c r="JI568" s="279">
        <f>JK568*JX568</f>
        <v>0</v>
      </c>
      <c r="JJ568" s="279">
        <f t="shared" si="282"/>
        <v>0</v>
      </c>
      <c r="JK568" s="323"/>
      <c r="JL568" s="279">
        <f>JN568*KA568</f>
        <v>0</v>
      </c>
      <c r="JM568" s="279">
        <f t="shared" si="283"/>
        <v>0</v>
      </c>
      <c r="JN568" s="323"/>
      <c r="JO568" s="323"/>
      <c r="KU568" s="326"/>
      <c r="KV568" s="327"/>
    </row>
    <row r="569" spans="2:314" hidden="1">
      <c r="D569" s="328" t="s">
        <v>1157</v>
      </c>
      <c r="E569" s="323"/>
      <c r="F569" s="323"/>
      <c r="G569" s="323"/>
      <c r="H569" s="323"/>
      <c r="I569" s="323"/>
      <c r="J569" s="323"/>
      <c r="K569" s="323"/>
      <c r="L569" s="323"/>
      <c r="M569" s="323"/>
      <c r="N569" s="323"/>
      <c r="O569" s="323"/>
      <c r="P569" s="323"/>
      <c r="Q569" s="323"/>
      <c r="R569" s="323"/>
      <c r="S569" s="323"/>
      <c r="T569" s="323"/>
      <c r="U569" s="323"/>
      <c r="V569" s="323"/>
      <c r="W569" s="323"/>
      <c r="X569" s="323"/>
      <c r="Y569" s="323"/>
      <c r="Z569" s="323"/>
      <c r="AA569" s="323"/>
      <c r="AB569" s="323"/>
      <c r="AC569" s="323"/>
      <c r="AD569" s="323"/>
      <c r="AE569" s="323"/>
      <c r="AF569" s="323"/>
      <c r="AG569" s="323"/>
      <c r="AH569" s="323"/>
      <c r="AI569" s="323"/>
      <c r="AJ569" s="323"/>
      <c r="AK569" s="323"/>
      <c r="AL569" s="323"/>
      <c r="AM569" s="323"/>
      <c r="AN569" s="323"/>
      <c r="AO569" s="323"/>
      <c r="AP569" s="323"/>
      <c r="AQ569" s="323"/>
      <c r="AR569" s="323"/>
      <c r="AS569" s="323"/>
      <c r="AT569" s="323"/>
      <c r="AU569" s="323"/>
      <c r="AV569" s="323"/>
      <c r="AW569" s="323"/>
      <c r="AX569" s="323"/>
      <c r="AY569" s="323"/>
      <c r="AZ569" s="323"/>
      <c r="BA569" s="323"/>
      <c r="BB569" s="323"/>
      <c r="BC569" s="323"/>
      <c r="BD569" s="323"/>
      <c r="BE569" s="323"/>
      <c r="BF569" s="323"/>
      <c r="BG569" s="323"/>
      <c r="BH569" s="323"/>
      <c r="BI569" s="323"/>
      <c r="BJ569" s="323"/>
      <c r="BK569" s="323"/>
      <c r="BL569" s="323"/>
      <c r="BM569" s="323"/>
      <c r="BN569" s="323"/>
      <c r="BO569" s="323"/>
      <c r="BP569" s="323"/>
      <c r="BQ569" s="323"/>
      <c r="BR569" s="323"/>
      <c r="BS569" s="323"/>
      <c r="BT569" s="323"/>
      <c r="BU569" s="323"/>
      <c r="BV569" s="323"/>
      <c r="BW569" s="323"/>
      <c r="BX569" s="323"/>
      <c r="BY569" s="323"/>
      <c r="BZ569" s="323"/>
      <c r="CA569" s="323"/>
      <c r="CB569" s="323"/>
      <c r="CC569" s="323"/>
      <c r="CD569" s="323"/>
      <c r="CE569" s="324"/>
      <c r="CF569" s="323"/>
      <c r="CG569" s="323"/>
      <c r="CH569" s="323"/>
      <c r="CI569" s="323"/>
      <c r="CJ569" s="323"/>
      <c r="CK569" s="323"/>
      <c r="CL569" s="323"/>
      <c r="CM569" s="323"/>
      <c r="CN569" s="323"/>
      <c r="CO569" s="323"/>
      <c r="CP569" s="325"/>
      <c r="CQ569" s="323"/>
      <c r="CR569" s="323"/>
      <c r="CS569" s="323"/>
      <c r="CT569" s="323"/>
      <c r="CU569" s="323"/>
      <c r="CV569" s="323"/>
      <c r="CW569" s="323"/>
      <c r="CX569" s="323"/>
      <c r="CY569" s="323"/>
      <c r="CZ569" s="323"/>
      <c r="DA569" s="323"/>
      <c r="DB569" s="1269"/>
      <c r="DC569" s="323"/>
      <c r="DD569" s="323"/>
      <c r="DE569" s="323"/>
      <c r="DF569" s="323"/>
      <c r="DG569" s="323"/>
      <c r="DH569" s="323"/>
      <c r="DI569" s="323"/>
      <c r="DJ569" s="323"/>
      <c r="DK569" s="323"/>
      <c r="DL569" s="323"/>
      <c r="DM569" s="323"/>
      <c r="DN569" s="325"/>
      <c r="DO569" s="323"/>
      <c r="DP569" s="323"/>
      <c r="DQ569" s="323"/>
      <c r="DR569" s="323"/>
      <c r="DS569" s="323"/>
      <c r="DT569" s="323"/>
      <c r="DU569" s="323"/>
      <c r="DV569" s="323"/>
      <c r="DW569" s="323"/>
      <c r="DX569" s="323"/>
      <c r="DY569" s="323"/>
      <c r="DZ569" s="325"/>
      <c r="EA569" s="323"/>
      <c r="EB569" s="323"/>
      <c r="EC569" s="323"/>
      <c r="ED569" s="323"/>
      <c r="EE569" s="323"/>
      <c r="EF569" s="323"/>
      <c r="EG569" s="323"/>
      <c r="EH569" s="323"/>
      <c r="EI569" s="323"/>
      <c r="EJ569" s="323"/>
      <c r="EK569" s="323"/>
      <c r="EL569" s="325"/>
      <c r="EM569" s="323"/>
      <c r="EN569" s="323"/>
      <c r="EO569" s="323"/>
      <c r="EP569" s="323"/>
      <c r="EQ569" s="323"/>
      <c r="ER569" s="323"/>
      <c r="ES569" s="323"/>
      <c r="ET569" s="323"/>
      <c r="EU569" s="323"/>
      <c r="EV569" s="323"/>
      <c r="EW569" s="323"/>
      <c r="EX569" s="325"/>
      <c r="EY569" s="323"/>
      <c r="EZ569" s="323"/>
      <c r="FA569" s="323"/>
      <c r="FB569" s="323"/>
      <c r="FC569" s="323"/>
      <c r="FD569" s="323"/>
      <c r="FE569" s="323"/>
      <c r="FF569" s="323"/>
      <c r="FG569" s="323"/>
      <c r="FH569" s="323"/>
      <c r="FI569" s="323"/>
      <c r="FJ569" s="325"/>
      <c r="FK569" s="323"/>
      <c r="FL569" s="323"/>
      <c r="FM569" s="323"/>
      <c r="FN569" s="323"/>
      <c r="FO569" s="323"/>
      <c r="FP569" s="323"/>
      <c r="FQ569" s="323"/>
      <c r="FR569" s="323"/>
      <c r="FS569" s="323"/>
      <c r="FT569" s="323"/>
      <c r="FU569" s="323"/>
      <c r="FV569" s="323"/>
      <c r="FW569" s="323"/>
      <c r="FX569" s="323"/>
      <c r="FY569" s="323"/>
      <c r="FZ569" s="323"/>
      <c r="GA569" s="323"/>
      <c r="GB569" s="323"/>
      <c r="GC569" s="323"/>
      <c r="GD569" s="323"/>
      <c r="GE569" s="323"/>
      <c r="GF569" s="323"/>
      <c r="GG569" s="323"/>
      <c r="GH569" s="323"/>
      <c r="GI569" s="323"/>
      <c r="GJ569" s="323"/>
      <c r="GK569" s="323"/>
      <c r="GL569" s="323"/>
      <c r="GM569" s="323"/>
      <c r="GN569" s="323"/>
      <c r="GO569" s="323"/>
      <c r="GP569" s="323"/>
      <c r="GQ569" s="323"/>
      <c r="GR569" s="323"/>
      <c r="GS569" s="323"/>
      <c r="GT569" s="323"/>
      <c r="GU569" s="323"/>
      <c r="GV569" s="323"/>
      <c r="GW569" s="323"/>
      <c r="GX569" s="323"/>
      <c r="GY569" s="323"/>
      <c r="GZ569" s="323"/>
      <c r="HA569" s="323"/>
      <c r="HB569" s="323"/>
      <c r="HC569" s="323"/>
      <c r="HD569" s="323"/>
      <c r="HE569" s="323"/>
      <c r="HF569" s="323"/>
      <c r="HG569" s="323"/>
      <c r="HH569" s="323"/>
      <c r="HI569" s="323"/>
      <c r="HJ569" s="323"/>
      <c r="HK569" s="323"/>
      <c r="HL569" s="323"/>
      <c r="HM569" s="323"/>
      <c r="HN569" s="323"/>
      <c r="HO569" s="323"/>
      <c r="HP569" s="323"/>
      <c r="HQ569" s="323"/>
      <c r="HR569" s="323"/>
      <c r="HS569" s="323"/>
      <c r="HT569" s="323"/>
      <c r="HU569" s="323"/>
      <c r="HV569" s="323"/>
      <c r="HW569" s="323"/>
      <c r="HX569" s="323"/>
      <c r="HY569" s="323"/>
      <c r="HZ569" s="326"/>
      <c r="IA569" s="328" t="s">
        <v>1156</v>
      </c>
      <c r="IB569" s="328"/>
      <c r="IC569" s="328"/>
      <c r="ID569" s="323"/>
      <c r="IG569" s="323"/>
      <c r="IH569" s="609"/>
      <c r="II569" s="609"/>
      <c r="IJ569" s="323"/>
      <c r="IK569" s="609"/>
      <c r="IL569" s="609"/>
      <c r="IM569" s="323"/>
      <c r="IP569" s="323"/>
      <c r="IS569" s="323">
        <v>0</v>
      </c>
      <c r="IT569" s="327"/>
      <c r="IU569" s="327"/>
      <c r="IV569" s="323"/>
      <c r="IW569" s="279">
        <f>IY569*JU569</f>
        <v>0</v>
      </c>
      <c r="IX569" s="279">
        <f t="shared" si="291"/>
        <v>0</v>
      </c>
      <c r="IY569" s="323"/>
      <c r="IZ569" s="279">
        <f>JB569*JU569</f>
        <v>0</v>
      </c>
      <c r="JA569" s="279">
        <f t="shared" si="279"/>
        <v>0</v>
      </c>
      <c r="JB569" s="323"/>
      <c r="JC569" s="279">
        <f>JE569*JU569</f>
        <v>0</v>
      </c>
      <c r="JD569" s="279">
        <f t="shared" si="280"/>
        <v>0</v>
      </c>
      <c r="JE569" s="323"/>
      <c r="JF569" s="279">
        <f>JH569*JU569</f>
        <v>0</v>
      </c>
      <c r="JG569" s="279">
        <f t="shared" si="281"/>
        <v>0</v>
      </c>
      <c r="JH569" s="323"/>
      <c r="JI569" s="279">
        <f>JK569*JX569</f>
        <v>0</v>
      </c>
      <c r="JJ569" s="279">
        <f t="shared" si="282"/>
        <v>0</v>
      </c>
      <c r="JK569" s="323"/>
      <c r="JL569" s="279">
        <f>JN569*KA569</f>
        <v>0</v>
      </c>
      <c r="JM569" s="279">
        <f t="shared" si="283"/>
        <v>0</v>
      </c>
      <c r="JN569" s="323"/>
      <c r="JO569" s="323"/>
      <c r="KU569" s="326"/>
      <c r="KV569" s="327"/>
    </row>
    <row r="570" spans="2:314" hidden="1">
      <c r="B570" s="96" t="s">
        <v>338</v>
      </c>
      <c r="D570" s="322" t="str">
        <f>+FISC!D763</f>
        <v>Non-tax revenue</v>
      </c>
      <c r="E570" s="323">
        <v>0.63800000000000001</v>
      </c>
      <c r="F570" s="323">
        <v>0.7</v>
      </c>
      <c r="G570" s="323">
        <v>1.762</v>
      </c>
      <c r="H570" s="323">
        <v>1.4554</v>
      </c>
      <c r="I570" s="323">
        <v>2.4798</v>
      </c>
      <c r="J570" s="323">
        <v>1.0267021159999998</v>
      </c>
      <c r="K570" s="323">
        <v>1.325134963</v>
      </c>
      <c r="L570" s="323">
        <v>1.1823786620000001</v>
      </c>
      <c r="M570" s="323">
        <v>0.98812228499999999</v>
      </c>
      <c r="N570" s="323">
        <v>1.0660012249999999</v>
      </c>
      <c r="O570" s="323">
        <v>1.1473684370000001</v>
      </c>
      <c r="P570" s="323">
        <v>1.3574988940000001</v>
      </c>
      <c r="Q570" s="323">
        <v>1.0689663060000001</v>
      </c>
      <c r="R570" s="323">
        <v>0.47417192699999999</v>
      </c>
      <c r="S570" s="323">
        <v>0.59401257600000001</v>
      </c>
      <c r="T570" s="323">
        <v>2.2699279219999999</v>
      </c>
      <c r="U570" s="323">
        <v>0.88966176299999999</v>
      </c>
      <c r="V570" s="323">
        <v>5.4689604989999996</v>
      </c>
      <c r="W570" s="323">
        <v>0.74990719400000005</v>
      </c>
      <c r="X570" s="323">
        <v>1.5054476299999999</v>
      </c>
      <c r="Y570" s="323">
        <v>1.4978132929999999</v>
      </c>
      <c r="Z570" s="323">
        <v>1.6170971139999999</v>
      </c>
      <c r="AA570" s="323">
        <v>1.3022962629999999</v>
      </c>
      <c r="AB570" s="323">
        <v>34.846184633</v>
      </c>
      <c r="AC570" s="323">
        <v>1.26965459</v>
      </c>
      <c r="AD570" s="323">
        <v>0.9598006309999999</v>
      </c>
      <c r="AE570" s="323">
        <v>0.719049092</v>
      </c>
      <c r="AF570" s="323">
        <v>1.8449459380000002</v>
      </c>
      <c r="AG570" s="323">
        <v>2.6058473040000001</v>
      </c>
      <c r="AH570" s="323">
        <v>2.7445247210000003</v>
      </c>
      <c r="AI570" s="323">
        <v>0.74884155799999996</v>
      </c>
      <c r="AJ570" s="323">
        <v>0.67060013699999999</v>
      </c>
      <c r="AK570" s="323">
        <v>1.9345288390000002</v>
      </c>
      <c r="AL570" s="323">
        <v>0.62467626199999993</v>
      </c>
      <c r="AM570" s="323">
        <v>1.0847</v>
      </c>
      <c r="AN570" s="323">
        <v>1.3372999999999999</v>
      </c>
      <c r="AO570" s="323">
        <v>0.6570363589999999</v>
      </c>
      <c r="AP570" s="323">
        <v>0.69221939599999993</v>
      </c>
      <c r="AQ570" s="323">
        <v>1.9481469629999999</v>
      </c>
      <c r="AR570" s="323">
        <v>1.2840613289999998</v>
      </c>
      <c r="AS570" s="323">
        <v>2.9102779999999999</v>
      </c>
      <c r="AT570" s="323">
        <v>1.1248757869999999</v>
      </c>
      <c r="AU570" s="323">
        <v>0.74080391000000001</v>
      </c>
      <c r="AV570" s="323">
        <v>2.293535125</v>
      </c>
      <c r="AW570" s="323">
        <v>1.619269705</v>
      </c>
      <c r="AX570" s="323">
        <v>1.573734736</v>
      </c>
      <c r="AY570" s="323">
        <v>2.1192670589999998</v>
      </c>
      <c r="AZ570" s="323">
        <v>1.159617195</v>
      </c>
      <c r="BA570" s="323">
        <v>1.532982581</v>
      </c>
      <c r="BB570" s="323">
        <v>0.82609032900000001</v>
      </c>
      <c r="BC570" s="323">
        <v>1.6990638899999999</v>
      </c>
      <c r="BD570" s="323">
        <v>1.0705552869999999</v>
      </c>
      <c r="BE570" s="323">
        <v>1.855411997</v>
      </c>
      <c r="BF570" s="323">
        <v>4.1324009269999999</v>
      </c>
      <c r="BG570" s="323">
        <v>0.98216621900000001</v>
      </c>
      <c r="BH570" s="323">
        <v>1.5476542690000001</v>
      </c>
      <c r="BI570" s="323">
        <v>18.611308763</v>
      </c>
      <c r="BJ570" s="323">
        <v>1.3096626769999999</v>
      </c>
      <c r="BK570" s="323">
        <v>1.289319721</v>
      </c>
      <c r="BL570" s="323">
        <v>1.814519301</v>
      </c>
      <c r="BM570" s="323">
        <v>0.85594105399999998</v>
      </c>
      <c r="BN570" s="323">
        <v>1.146992413</v>
      </c>
      <c r="BO570" s="323">
        <v>1.326270515</v>
      </c>
      <c r="BP570" s="323">
        <v>0.99352141500000002</v>
      </c>
      <c r="BQ570" s="323">
        <v>3.2683603640000003</v>
      </c>
      <c r="BR570" s="323">
        <v>1.603186861</v>
      </c>
      <c r="BS570" s="323">
        <v>4.5739000000000001</v>
      </c>
      <c r="BT570" s="323">
        <v>1.6313</v>
      </c>
      <c r="BU570" s="323">
        <v>2.9528000000000003</v>
      </c>
      <c r="BV570" s="323">
        <f t="shared" ref="BV570:DN570" si="347">BV571+BV572</f>
        <v>17.193684888484999</v>
      </c>
      <c r="BW570" s="323">
        <f t="shared" si="347"/>
        <v>1.4571766340000001</v>
      </c>
      <c r="BX570" s="323">
        <f t="shared" si="347"/>
        <v>14.251721727249999</v>
      </c>
      <c r="BY570" s="323">
        <f t="shared" si="347"/>
        <v>2.24969695945</v>
      </c>
      <c r="BZ570" s="323">
        <f t="shared" si="347"/>
        <v>2.018373279605</v>
      </c>
      <c r="CA570" s="323">
        <f t="shared" si="347"/>
        <v>17.57242797016</v>
      </c>
      <c r="CB570" s="323">
        <f t="shared" si="347"/>
        <v>3.2259754113740002</v>
      </c>
      <c r="CC570" s="323">
        <f t="shared" si="347"/>
        <v>3.8991865730000002</v>
      </c>
      <c r="CD570" s="323">
        <f t="shared" si="347"/>
        <v>12.456229765562</v>
      </c>
      <c r="CE570" s="324">
        <f t="shared" si="347"/>
        <v>10.472000000000001</v>
      </c>
      <c r="CF570" s="323">
        <f t="shared" si="347"/>
        <v>4.6310709642720003</v>
      </c>
      <c r="CG570" s="323">
        <f t="shared" si="347"/>
        <v>1.0840000000000001</v>
      </c>
      <c r="CH570" s="323">
        <f t="shared" si="347"/>
        <v>25.563350664405</v>
      </c>
      <c r="CI570" s="323">
        <f t="shared" si="347"/>
        <v>1.881</v>
      </c>
      <c r="CJ570" s="323">
        <f t="shared" si="347"/>
        <v>14.587791715239</v>
      </c>
      <c r="CK570" s="323">
        <f t="shared" si="347"/>
        <v>0.94499999999999995</v>
      </c>
      <c r="CL570" s="323">
        <f t="shared" si="347"/>
        <v>4.8629618529199998</v>
      </c>
      <c r="CM570" s="323">
        <f t="shared" si="347"/>
        <v>20.321441418391998</v>
      </c>
      <c r="CN570" s="323">
        <f t="shared" si="347"/>
        <v>1.7883200416640002</v>
      </c>
      <c r="CO570" s="323">
        <f t="shared" si="347"/>
        <v>2.8710656678419699</v>
      </c>
      <c r="CP570" s="325">
        <f t="shared" si="347"/>
        <v>21.436361426614216</v>
      </c>
      <c r="CQ570" s="323">
        <f t="shared" si="347"/>
        <v>0.79100000000000015</v>
      </c>
      <c r="CR570" s="323">
        <f t="shared" si="347"/>
        <v>3.7563615519562497</v>
      </c>
      <c r="CS570" s="323">
        <f t="shared" si="347"/>
        <v>3.8839999999999999</v>
      </c>
      <c r="CT570" s="323">
        <f t="shared" si="347"/>
        <v>1.0720000000000001</v>
      </c>
      <c r="CU570" s="323">
        <f t="shared" si="347"/>
        <v>1.145</v>
      </c>
      <c r="CV570" s="323">
        <f t="shared" si="347"/>
        <v>1.1459999999999999</v>
      </c>
      <c r="CW570" s="323">
        <f t="shared" si="347"/>
        <v>8.6501065097950001</v>
      </c>
      <c r="CX570" s="323">
        <f t="shared" si="347"/>
        <v>8.6401065097950003</v>
      </c>
      <c r="CY570" s="323">
        <f t="shared" si="347"/>
        <v>4.2948718789999996</v>
      </c>
      <c r="CZ570" s="323">
        <f t="shared" si="347"/>
        <v>1.2749999999999999</v>
      </c>
      <c r="DA570" s="323">
        <f t="shared" si="347"/>
        <v>1.6280000000000001</v>
      </c>
      <c r="DB570" s="1269">
        <f t="shared" si="347"/>
        <v>6.516</v>
      </c>
      <c r="DC570" s="323">
        <f t="shared" si="347"/>
        <v>2.826342226</v>
      </c>
      <c r="DD570" s="323">
        <f t="shared" si="347"/>
        <v>2.2745306210000003</v>
      </c>
      <c r="DE570" s="323">
        <f t="shared" si="347"/>
        <v>3.7069112730000002</v>
      </c>
      <c r="DF570" s="323">
        <f t="shared" si="347"/>
        <v>2.7402641180000002</v>
      </c>
      <c r="DG570" s="323">
        <f t="shared" si="347"/>
        <v>2.9217145879999999</v>
      </c>
      <c r="DH570" s="323">
        <f t="shared" si="347"/>
        <v>5.2715279879999999</v>
      </c>
      <c r="DI570" s="323">
        <f t="shared" si="347"/>
        <v>3.6992158573333329</v>
      </c>
      <c r="DJ570" s="323">
        <f t="shared" si="347"/>
        <v>4.6673743803333334</v>
      </c>
      <c r="DK570" s="323">
        <f t="shared" si="347"/>
        <v>4.8481581993333327</v>
      </c>
      <c r="DL570" s="323">
        <f t="shared" si="347"/>
        <v>2.688913984333333</v>
      </c>
      <c r="DM570" s="323">
        <f t="shared" si="347"/>
        <v>2.513867207333333</v>
      </c>
      <c r="DN570" s="325">
        <f t="shared" si="347"/>
        <v>6.5609402672242636</v>
      </c>
      <c r="DO570" s="323">
        <f t="shared" ref="DO570:DT570" si="348">DO571+DO572</f>
        <v>3.139226632351471</v>
      </c>
      <c r="DP570" s="323">
        <f t="shared" si="348"/>
        <v>3.3237930822331059</v>
      </c>
      <c r="DQ570" s="323">
        <f t="shared" si="348"/>
        <v>3.4467225314154231</v>
      </c>
      <c r="DR570" s="323">
        <f t="shared" si="348"/>
        <v>3.2251275299012718</v>
      </c>
      <c r="DS570" s="323">
        <f t="shared" si="348"/>
        <v>3.4198342945057538</v>
      </c>
      <c r="DT570" s="323">
        <f t="shared" si="348"/>
        <v>6.8965134399742158</v>
      </c>
      <c r="DU570" s="323">
        <f t="shared" ref="DU570:DZ570" si="349">DU571+DU572</f>
        <v>4.1255792739999997</v>
      </c>
      <c r="DV570" s="323">
        <f t="shared" si="349"/>
        <v>3.9820055510000003</v>
      </c>
      <c r="DW570" s="323">
        <f t="shared" si="349"/>
        <v>4.5443250309999996</v>
      </c>
      <c r="DX570" s="323">
        <f t="shared" si="349"/>
        <v>3.6902139436533332</v>
      </c>
      <c r="DY570" s="323">
        <f t="shared" si="349"/>
        <v>4.3489797673333301</v>
      </c>
      <c r="DZ570" s="325">
        <f t="shared" si="349"/>
        <v>8.7950788361533299</v>
      </c>
      <c r="EA570" s="323">
        <f t="shared" ref="EA570:EL570" si="350">EA571+EA572</f>
        <v>3.7747904169598194</v>
      </c>
      <c r="EB570" s="323">
        <f t="shared" si="350"/>
        <v>3.6802220281611762</v>
      </c>
      <c r="EC570" s="323">
        <f t="shared" si="350"/>
        <v>4.0084793292231966</v>
      </c>
      <c r="ED570" s="323">
        <f t="shared" si="350"/>
        <v>4.6338031318098185</v>
      </c>
      <c r="EE570" s="323">
        <f t="shared" si="350"/>
        <v>5.0489055605211757</v>
      </c>
      <c r="EF570" s="323">
        <f t="shared" si="350"/>
        <v>7.7458339513431973</v>
      </c>
      <c r="EG570" s="323">
        <f t="shared" si="350"/>
        <v>4.1100963254502538</v>
      </c>
      <c r="EH570" s="323">
        <f t="shared" si="350"/>
        <v>3.8738195185312856</v>
      </c>
      <c r="EI570" s="323">
        <f t="shared" si="350"/>
        <v>4.759065739244817</v>
      </c>
      <c r="EJ570" s="323">
        <f t="shared" si="350"/>
        <v>4.4408965428407114</v>
      </c>
      <c r="EK570" s="323">
        <f t="shared" si="350"/>
        <v>4.6231422024730389</v>
      </c>
      <c r="EL570" s="325">
        <f t="shared" si="350"/>
        <v>7.8683167159348235</v>
      </c>
      <c r="EM570" s="323">
        <f t="shared" ref="EM570:ER570" si="351">EM571+EM572+EM574+EM575</f>
        <v>4.9193208040000007</v>
      </c>
      <c r="EN570" s="323">
        <f t="shared" si="351"/>
        <v>4.1769152370000002</v>
      </c>
      <c r="EO570" s="323">
        <f t="shared" si="351"/>
        <v>11.560110056999999</v>
      </c>
      <c r="EP570" s="323">
        <f t="shared" si="351"/>
        <v>7.2205925710000001</v>
      </c>
      <c r="EQ570" s="323">
        <f t="shared" si="351"/>
        <v>8.1619172199999994</v>
      </c>
      <c r="ER570" s="323">
        <f t="shared" si="351"/>
        <v>14.819507588</v>
      </c>
      <c r="ES570" s="323">
        <f t="shared" ref="ES570:EX570" si="352">ES571+ES572+ES574+ES575</f>
        <v>6.4096278330000001</v>
      </c>
      <c r="ET570" s="323">
        <f t="shared" si="352"/>
        <v>4.5777012901000003</v>
      </c>
      <c r="EU570" s="323">
        <f>EU571+EU572+EU574+EU575</f>
        <v>12.081588004999999</v>
      </c>
      <c r="EV570" s="323">
        <f t="shared" si="352"/>
        <v>5.7319480469999995</v>
      </c>
      <c r="EW570" s="323">
        <f t="shared" si="352"/>
        <v>5.753748055</v>
      </c>
      <c r="EX570" s="325">
        <f t="shared" si="352"/>
        <v>14.971476908000001</v>
      </c>
      <c r="EY570" s="323"/>
      <c r="EZ570" s="323"/>
      <c r="FA570" s="323"/>
      <c r="FB570" s="323"/>
      <c r="FC570" s="323"/>
      <c r="FD570" s="323"/>
      <c r="FE570" s="323"/>
      <c r="FF570" s="323"/>
      <c r="FG570" s="323"/>
      <c r="FH570" s="323"/>
      <c r="FI570" s="323"/>
      <c r="FJ570" s="325"/>
      <c r="FK570" s="323"/>
      <c r="FL570" s="323"/>
      <c r="FM570" s="323"/>
      <c r="FN570" s="323"/>
      <c r="FO570" s="323"/>
      <c r="FP570" s="323"/>
      <c r="FQ570" s="323"/>
      <c r="FR570" s="323"/>
      <c r="FS570" s="323"/>
      <c r="FT570" s="323"/>
      <c r="FU570" s="323"/>
      <c r="FV570" s="323"/>
      <c r="FW570" s="323"/>
      <c r="FX570" s="323"/>
      <c r="FY570" s="323"/>
      <c r="FZ570" s="323"/>
      <c r="GA570" s="323"/>
      <c r="GB570" s="323"/>
      <c r="GC570" s="323"/>
      <c r="GD570" s="323"/>
      <c r="GE570" s="323"/>
      <c r="GF570" s="323"/>
      <c r="GG570" s="323"/>
      <c r="GH570" s="323"/>
      <c r="GI570" s="323"/>
      <c r="GJ570" s="323"/>
      <c r="GK570" s="323"/>
      <c r="GL570" s="323"/>
      <c r="GM570" s="323"/>
      <c r="GN570" s="323"/>
      <c r="GO570" s="323"/>
      <c r="GP570" s="323"/>
      <c r="GQ570" s="323"/>
      <c r="GR570" s="323"/>
      <c r="GS570" s="323"/>
      <c r="GT570" s="323"/>
      <c r="GU570" s="323"/>
      <c r="GV570" s="323"/>
      <c r="GW570" s="323"/>
      <c r="GX570" s="323"/>
      <c r="GY570" s="323"/>
      <c r="GZ570" s="323"/>
      <c r="HA570" s="323"/>
      <c r="HB570" s="323"/>
      <c r="HC570" s="323"/>
      <c r="HD570" s="323"/>
      <c r="HE570" s="323"/>
      <c r="HF570" s="323"/>
      <c r="HG570" s="323"/>
      <c r="HH570" s="323"/>
      <c r="HI570" s="323"/>
      <c r="HJ570" s="323"/>
      <c r="HK570" s="323"/>
      <c r="HL570" s="323"/>
      <c r="HM570" s="323"/>
      <c r="HN570" s="323"/>
      <c r="HO570" s="323"/>
      <c r="HP570" s="323"/>
      <c r="HQ570" s="323"/>
      <c r="HR570" s="323"/>
      <c r="HS570" s="323"/>
      <c r="HT570" s="323"/>
      <c r="HU570" s="323"/>
      <c r="HV570" s="323"/>
      <c r="HW570" s="323"/>
      <c r="HX570" s="323"/>
      <c r="HY570" s="323"/>
      <c r="HZ570" s="326"/>
      <c r="IA570" s="322" t="s">
        <v>124</v>
      </c>
      <c r="IB570" s="322"/>
      <c r="IC570" s="322"/>
      <c r="ID570" s="323">
        <f>+FISC!Z763</f>
        <v>131.19999999999999</v>
      </c>
      <c r="IE570" s="279">
        <f>IE571+IE572</f>
        <v>11.794361551956248</v>
      </c>
      <c r="IF570" s="279">
        <f>IF571+IF572</f>
        <v>31.004084898589994</v>
      </c>
      <c r="IG570" s="323">
        <f>IG571+IG572</f>
        <v>42.798446450546244</v>
      </c>
      <c r="IH570" s="279">
        <f>IH571+IH572</f>
        <v>19.741290814000003</v>
      </c>
      <c r="II570" s="279">
        <f>+SUM(DI570:DN570)</f>
        <v>24.978469895890932</v>
      </c>
      <c r="IJ570" s="323">
        <f t="shared" si="306"/>
        <v>44.719760709890934</v>
      </c>
      <c r="IK570" s="279">
        <f>IK571+IK572</f>
        <v>23.451217510381241</v>
      </c>
      <c r="IL570" s="279">
        <f>SUM(DU570:DZ570)</f>
        <v>29.486182403139992</v>
      </c>
      <c r="IM570" s="323">
        <f t="shared" si="309"/>
        <v>52.937399913521233</v>
      </c>
      <c r="IN570" s="279">
        <f>IN571+IN572</f>
        <v>106.2738242450184</v>
      </c>
      <c r="IO570" s="279">
        <f>IO571+IO572</f>
        <v>102.34630058747493</v>
      </c>
      <c r="IP570" s="323">
        <f>FISC!AC763</f>
        <v>208.62012483249333</v>
      </c>
      <c r="IQ570" s="279">
        <f t="shared" ref="IQ570:IQ583" si="353">SUM(EM570:ER570)</f>
        <v>50.858363477000005</v>
      </c>
      <c r="IR570" s="279">
        <f t="shared" ref="IR570:IR583" si="354">SUM(ES570:EX570)</f>
        <v>49.526090138099995</v>
      </c>
      <c r="IS570" s="323">
        <f>IQ570+IR570</f>
        <v>100.3844536151</v>
      </c>
      <c r="IT570" s="279">
        <f>(IT571+IT572)*0+145.298990572523</f>
        <v>145.298990572523</v>
      </c>
      <c r="IU570" s="279">
        <f>IV570-IT570</f>
        <v>96.367906983169632</v>
      </c>
      <c r="IV570" s="323">
        <f>+FISC!AE763</f>
        <v>241.66689755569263</v>
      </c>
      <c r="IW570" s="327">
        <f>(IW571+IW572)</f>
        <v>87.438502688323297</v>
      </c>
      <c r="IX570" s="279">
        <f t="shared" si="291"/>
        <v>131.89971305732962</v>
      </c>
      <c r="IY570" s="323">
        <f>+FISC!AF763</f>
        <v>219.33821574565292</v>
      </c>
      <c r="IZ570" s="327">
        <f>(IZ571+IZ572)</f>
        <v>107.73427319381855</v>
      </c>
      <c r="JA570" s="279">
        <f>JB570-IZ570</f>
        <v>220.36756887262939</v>
      </c>
      <c r="JB570" s="323">
        <f>+FISC!AG763</f>
        <v>328.10184206644794</v>
      </c>
      <c r="JC570" s="327">
        <f>JC571+JC572</f>
        <v>181.63457059351671</v>
      </c>
      <c r="JD570" s="279">
        <f t="shared" si="280"/>
        <v>212.45498546161653</v>
      </c>
      <c r="JE570" s="323">
        <f>+FISC!AH763</f>
        <v>394.08955605513324</v>
      </c>
      <c r="JF570" s="327">
        <f>JF571+JF572</f>
        <v>229.6372628779871</v>
      </c>
      <c r="JG570" s="279">
        <f t="shared" si="281"/>
        <v>265.47193499729411</v>
      </c>
      <c r="JH570" s="323">
        <f>+FISC!AI763</f>
        <v>495.10919787528121</v>
      </c>
      <c r="JI570" s="327">
        <f>JI571+JI572</f>
        <v>0</v>
      </c>
      <c r="JJ570" s="279">
        <f t="shared" si="282"/>
        <v>0</v>
      </c>
      <c r="JK570" s="323">
        <f>+FISC!AJ763</f>
        <v>0</v>
      </c>
      <c r="JL570" s="327">
        <f>JL571+JL572</f>
        <v>0</v>
      </c>
      <c r="JM570" s="279">
        <f t="shared" si="283"/>
        <v>0</v>
      </c>
      <c r="JN570" s="323">
        <f>+FISC!AK763</f>
        <v>0</v>
      </c>
      <c r="JO570" s="323"/>
      <c r="KU570" s="326"/>
      <c r="KV570" s="327"/>
      <c r="KY570" s="279">
        <f>KY571+KY572</f>
        <v>0</v>
      </c>
      <c r="KZ570" s="279">
        <f>KZ571+KZ572</f>
        <v>0</v>
      </c>
      <c r="LA570" s="279">
        <f>LA571+LA572</f>
        <v>0</v>
      </c>
      <c r="LB570" s="279">
        <f>LB571+LB572</f>
        <v>0</v>
      </c>
    </row>
    <row r="571" spans="2:314" ht="16.5" hidden="1">
      <c r="B571" s="96" t="s">
        <v>338</v>
      </c>
      <c r="D571" s="328" t="str">
        <f>+FISC!D764</f>
        <v xml:space="preserve">  PKO disbursements</v>
      </c>
      <c r="E571" s="323"/>
      <c r="F571" s="323"/>
      <c r="G571" s="323"/>
      <c r="H571" s="323"/>
      <c r="I571" s="323"/>
      <c r="J571" s="323"/>
      <c r="K571" s="323"/>
      <c r="L571" s="323"/>
      <c r="M571" s="323"/>
      <c r="N571" s="323"/>
      <c r="O571" s="323"/>
      <c r="P571" s="323"/>
      <c r="Q571" s="323"/>
      <c r="R571" s="323"/>
      <c r="S571" s="323"/>
      <c r="T571" s="323"/>
      <c r="U571" s="323"/>
      <c r="V571" s="323"/>
      <c r="W571" s="323"/>
      <c r="X571" s="323"/>
      <c r="Y571" s="323"/>
      <c r="Z571" s="323"/>
      <c r="AA571" s="323"/>
      <c r="AB571" s="323"/>
      <c r="AC571" s="323"/>
      <c r="AD571" s="323"/>
      <c r="AE571" s="323"/>
      <c r="AF571" s="323"/>
      <c r="AG571" s="323"/>
      <c r="AH571" s="323"/>
      <c r="AI571" s="323"/>
      <c r="AJ571" s="323"/>
      <c r="AK571" s="323"/>
      <c r="AL571" s="323"/>
      <c r="AM571" s="323"/>
      <c r="AN571" s="323"/>
      <c r="AO571" s="323"/>
      <c r="AP571" s="323"/>
      <c r="AQ571" s="323"/>
      <c r="AR571" s="323"/>
      <c r="AS571" s="323"/>
      <c r="AT571" s="323"/>
      <c r="AU571" s="323"/>
      <c r="AV571" s="323"/>
      <c r="AW571" s="323"/>
      <c r="AX571" s="323"/>
      <c r="AY571" s="323"/>
      <c r="AZ571" s="323"/>
      <c r="BA571" s="323"/>
      <c r="BB571" s="323"/>
      <c r="BC571" s="323"/>
      <c r="BD571" s="323"/>
      <c r="BE571" s="323"/>
      <c r="BF571" s="323"/>
      <c r="BG571" s="323"/>
      <c r="BH571" s="323"/>
      <c r="BI571" s="323"/>
      <c r="BJ571" s="323"/>
      <c r="BK571" s="323"/>
      <c r="BL571" s="323"/>
      <c r="BM571" s="323"/>
      <c r="BN571" s="323"/>
      <c r="BO571" s="323"/>
      <c r="BP571" s="323"/>
      <c r="BQ571" s="323"/>
      <c r="BR571" s="323"/>
      <c r="BS571" s="323"/>
      <c r="BT571" s="323"/>
      <c r="BU571" s="323"/>
      <c r="BV571" s="323">
        <v>16.116490406484999</v>
      </c>
      <c r="BW571" s="323">
        <v>0</v>
      </c>
      <c r="BX571" s="323">
        <v>13.101687593249999</v>
      </c>
      <c r="BY571" s="323">
        <v>0.50452893644999997</v>
      </c>
      <c r="BZ571" s="323">
        <v>9.1953279604999993E-2</v>
      </c>
      <c r="CA571" s="323">
        <v>15.85818579016</v>
      </c>
      <c r="CB571" s="323">
        <v>1.5509446483740001</v>
      </c>
      <c r="CC571" s="323">
        <v>0</v>
      </c>
      <c r="CD571" s="323">
        <v>12.456229765562</v>
      </c>
      <c r="CE571" s="324">
        <f t="shared" ref="CE571:DJ571" si="355">CE154</f>
        <v>0</v>
      </c>
      <c r="CF571" s="323">
        <f t="shared" si="355"/>
        <v>1.7720709642719998</v>
      </c>
      <c r="CG571" s="323">
        <f t="shared" si="355"/>
        <v>0</v>
      </c>
      <c r="CH571" s="323">
        <f t="shared" si="355"/>
        <v>24.277350664404999</v>
      </c>
      <c r="CI571" s="323">
        <f t="shared" si="355"/>
        <v>0</v>
      </c>
      <c r="CJ571" s="323">
        <f t="shared" si="355"/>
        <v>13.187791715238999</v>
      </c>
      <c r="CK571" s="323">
        <f t="shared" si="355"/>
        <v>0</v>
      </c>
      <c r="CL571" s="323">
        <f t="shared" si="355"/>
        <v>3.1359618529199995</v>
      </c>
      <c r="CM571" s="323">
        <f t="shared" si="355"/>
        <v>18.798441418391999</v>
      </c>
      <c r="CN571" s="323">
        <f t="shared" si="355"/>
        <v>0.34932004166400005</v>
      </c>
      <c r="CO571" s="323">
        <f t="shared" si="355"/>
        <v>0.85506566784197013</v>
      </c>
      <c r="CP571" s="325">
        <f t="shared" si="355"/>
        <v>19.123361426614217</v>
      </c>
      <c r="CQ571" s="323">
        <f t="shared" si="355"/>
        <v>0</v>
      </c>
      <c r="CR571" s="323">
        <f t="shared" si="355"/>
        <v>0.5883615519562494</v>
      </c>
      <c r="CS571" s="323">
        <f t="shared" si="355"/>
        <v>0</v>
      </c>
      <c r="CT571" s="323">
        <f t="shared" si="355"/>
        <v>0</v>
      </c>
      <c r="CU571" s="323">
        <f t="shared" si="355"/>
        <v>0</v>
      </c>
      <c r="CV571" s="323">
        <f t="shared" si="355"/>
        <v>0</v>
      </c>
      <c r="CW571" s="323">
        <f t="shared" si="355"/>
        <v>0</v>
      </c>
      <c r="CX571" s="323">
        <f t="shared" si="355"/>
        <v>0</v>
      </c>
      <c r="CY571" s="323">
        <f t="shared" si="355"/>
        <v>0</v>
      </c>
      <c r="CZ571" s="323">
        <f t="shared" si="355"/>
        <v>0</v>
      </c>
      <c r="DA571" s="323">
        <f t="shared" si="355"/>
        <v>0</v>
      </c>
      <c r="DB571" s="1269">
        <f t="shared" si="355"/>
        <v>0</v>
      </c>
      <c r="DC571" s="323">
        <f t="shared" si="355"/>
        <v>0</v>
      </c>
      <c r="DD571" s="323">
        <f t="shared" si="355"/>
        <v>0</v>
      </c>
      <c r="DE571" s="323">
        <f t="shared" si="355"/>
        <v>0</v>
      </c>
      <c r="DF571" s="323">
        <f t="shared" si="355"/>
        <v>0</v>
      </c>
      <c r="DG571" s="323">
        <f t="shared" si="355"/>
        <v>0</v>
      </c>
      <c r="DH571" s="323">
        <f t="shared" si="355"/>
        <v>0</v>
      </c>
      <c r="DI571" s="323">
        <f t="shared" si="355"/>
        <v>0</v>
      </c>
      <c r="DJ571" s="323">
        <f t="shared" si="355"/>
        <v>0</v>
      </c>
      <c r="DK571" s="323">
        <f t="shared" ref="DK571:EP571" si="356">DK154</f>
        <v>0</v>
      </c>
      <c r="DL571" s="323">
        <f t="shared" si="356"/>
        <v>0</v>
      </c>
      <c r="DM571" s="323">
        <f t="shared" si="356"/>
        <v>0</v>
      </c>
      <c r="DN571" s="325">
        <f t="shared" si="356"/>
        <v>0</v>
      </c>
      <c r="DO571" s="323">
        <f t="shared" si="356"/>
        <v>0</v>
      </c>
      <c r="DP571" s="323">
        <f t="shared" si="356"/>
        <v>0</v>
      </c>
      <c r="DQ571" s="323">
        <f t="shared" si="356"/>
        <v>0</v>
      </c>
      <c r="DR571" s="323">
        <f t="shared" si="356"/>
        <v>0</v>
      </c>
      <c r="DS571" s="323">
        <f t="shared" si="356"/>
        <v>0</v>
      </c>
      <c r="DT571" s="323">
        <f t="shared" si="356"/>
        <v>0</v>
      </c>
      <c r="DU571" s="323">
        <f t="shared" si="356"/>
        <v>0</v>
      </c>
      <c r="DV571" s="323">
        <f t="shared" si="356"/>
        <v>0</v>
      </c>
      <c r="DW571" s="323">
        <f t="shared" si="356"/>
        <v>0</v>
      </c>
      <c r="DX571" s="323">
        <f t="shared" si="356"/>
        <v>0</v>
      </c>
      <c r="DY571" s="323">
        <f t="shared" si="356"/>
        <v>0</v>
      </c>
      <c r="DZ571" s="325">
        <f t="shared" si="356"/>
        <v>0</v>
      </c>
      <c r="EA571" s="323">
        <f t="shared" si="356"/>
        <v>0</v>
      </c>
      <c r="EB571" s="323">
        <f t="shared" si="356"/>
        <v>0</v>
      </c>
      <c r="EC571" s="323">
        <f t="shared" si="356"/>
        <v>0</v>
      </c>
      <c r="ED571" s="323">
        <f t="shared" si="356"/>
        <v>0</v>
      </c>
      <c r="EE571" s="323">
        <f t="shared" si="356"/>
        <v>0</v>
      </c>
      <c r="EF571" s="323">
        <f t="shared" si="356"/>
        <v>0</v>
      </c>
      <c r="EG571" s="323">
        <f t="shared" si="356"/>
        <v>0</v>
      </c>
      <c r="EH571" s="323">
        <f t="shared" si="356"/>
        <v>0</v>
      </c>
      <c r="EI571" s="323">
        <f t="shared" si="356"/>
        <v>0</v>
      </c>
      <c r="EJ571" s="323">
        <f t="shared" si="356"/>
        <v>0</v>
      </c>
      <c r="EK571" s="323">
        <f t="shared" si="356"/>
        <v>0</v>
      </c>
      <c r="EL571" s="325">
        <f t="shared" si="356"/>
        <v>0</v>
      </c>
      <c r="EM571" s="323">
        <f t="shared" si="356"/>
        <v>0</v>
      </c>
      <c r="EN571" s="323">
        <f t="shared" si="356"/>
        <v>0</v>
      </c>
      <c r="EO571" s="323">
        <f t="shared" si="356"/>
        <v>0</v>
      </c>
      <c r="EP571" s="323">
        <f t="shared" si="356"/>
        <v>0</v>
      </c>
      <c r="EQ571" s="323">
        <f t="shared" ref="EQ571:EX571" si="357">EQ154</f>
        <v>0</v>
      </c>
      <c r="ER571" s="323">
        <f t="shared" si="357"/>
        <v>0</v>
      </c>
      <c r="ES571" s="323">
        <f t="shared" si="357"/>
        <v>0</v>
      </c>
      <c r="ET571" s="323">
        <f t="shared" si="357"/>
        <v>0</v>
      </c>
      <c r="EU571" s="323">
        <f t="shared" si="357"/>
        <v>0</v>
      </c>
      <c r="EV571" s="323">
        <f t="shared" si="357"/>
        <v>0</v>
      </c>
      <c r="EW571" s="323">
        <f t="shared" si="357"/>
        <v>0</v>
      </c>
      <c r="EX571" s="325">
        <f t="shared" si="357"/>
        <v>0</v>
      </c>
      <c r="EY571" s="323"/>
      <c r="EZ571" s="323"/>
      <c r="FA571" s="323"/>
      <c r="FB571" s="323"/>
      <c r="FC571" s="323"/>
      <c r="FD571" s="323"/>
      <c r="FE571" s="323"/>
      <c r="FF571" s="323"/>
      <c r="FG571" s="323"/>
      <c r="FH571" s="323"/>
      <c r="FI571" s="323"/>
      <c r="FJ571" s="325"/>
      <c r="FK571" s="323"/>
      <c r="FL571" s="323"/>
      <c r="FM571" s="323"/>
      <c r="FN571" s="323"/>
      <c r="FO571" s="323"/>
      <c r="FP571" s="323"/>
      <c r="FQ571" s="323"/>
      <c r="FR571" s="323"/>
      <c r="FS571" s="323"/>
      <c r="FT571" s="323"/>
      <c r="FU571" s="323"/>
      <c r="FV571" s="323"/>
      <c r="FW571" s="323"/>
      <c r="FX571" s="323"/>
      <c r="FY571" s="323"/>
      <c r="FZ571" s="323"/>
      <c r="GA571" s="323"/>
      <c r="GB571" s="323"/>
      <c r="GC571" s="323"/>
      <c r="GD571" s="323"/>
      <c r="GE571" s="323"/>
      <c r="GF571" s="323"/>
      <c r="GG571" s="323"/>
      <c r="GH571" s="323"/>
      <c r="GI571" s="323"/>
      <c r="GJ571" s="323"/>
      <c r="GK571" s="323"/>
      <c r="GL571" s="323"/>
      <c r="GM571" s="323"/>
      <c r="GN571" s="323"/>
      <c r="GO571" s="323"/>
      <c r="GP571" s="323"/>
      <c r="GQ571" s="323"/>
      <c r="GR571" s="323"/>
      <c r="GS571" s="323"/>
      <c r="GT571" s="323"/>
      <c r="GU571" s="323"/>
      <c r="GV571" s="323"/>
      <c r="GW571" s="323"/>
      <c r="GX571" s="323"/>
      <c r="GY571" s="323"/>
      <c r="GZ571" s="323"/>
      <c r="HA571" s="323"/>
      <c r="HB571" s="323"/>
      <c r="HC571" s="323"/>
      <c r="HD571" s="323"/>
      <c r="HE571" s="323"/>
      <c r="HF571" s="323"/>
      <c r="HG571" s="323"/>
      <c r="HH571" s="323"/>
      <c r="HI571" s="323"/>
      <c r="HJ571" s="323"/>
      <c r="HK571" s="323"/>
      <c r="HL571" s="323"/>
      <c r="HM571" s="323"/>
      <c r="HN571" s="323"/>
      <c r="HO571" s="323"/>
      <c r="HP571" s="323"/>
      <c r="HQ571" s="323"/>
      <c r="HR571" s="323"/>
      <c r="HS571" s="323"/>
      <c r="HT571" s="323"/>
      <c r="HU571" s="323"/>
      <c r="HV571" s="323"/>
      <c r="HW571" s="323"/>
      <c r="HX571" s="323"/>
      <c r="HY571" s="323"/>
      <c r="HZ571" s="326"/>
      <c r="IA571" s="328" t="s">
        <v>784</v>
      </c>
      <c r="IB571" s="328"/>
      <c r="IC571" s="328"/>
      <c r="ID571" s="323">
        <f>+FISC!Z764</f>
        <v>89</v>
      </c>
      <c r="IE571" s="279">
        <f>SUM(CQ571:CV571)</f>
        <v>0.5883615519562494</v>
      </c>
      <c r="IF571" s="279">
        <f>SUM(CW571:DB571)</f>
        <v>0</v>
      </c>
      <c r="IG571" s="323">
        <f>SUM(CQ571:DB571)</f>
        <v>0.5883615519562494</v>
      </c>
      <c r="IH571" s="454">
        <f>+SUM(DC571:DH571)</f>
        <v>0</v>
      </c>
      <c r="II571" s="279">
        <f>+SUM(DI571:DN571)</f>
        <v>0</v>
      </c>
      <c r="IJ571" s="323">
        <f t="shared" si="306"/>
        <v>0</v>
      </c>
      <c r="IK571" s="454">
        <f>+SUM(DO571:DT571)</f>
        <v>0</v>
      </c>
      <c r="IL571" s="279">
        <f>SUM(DU571:DZ571)</f>
        <v>0</v>
      </c>
      <c r="IM571" s="323">
        <f t="shared" si="309"/>
        <v>0</v>
      </c>
      <c r="IN571" s="1065">
        <v>77.381789827000006</v>
      </c>
      <c r="IO571" s="279">
        <f>+(IP571-IN571)</f>
        <v>72.670963542999999</v>
      </c>
      <c r="IP571" s="323">
        <f>FISC!AC764</f>
        <v>150.05275337</v>
      </c>
      <c r="IQ571" s="279">
        <f t="shared" si="353"/>
        <v>0</v>
      </c>
      <c r="IR571" s="279">
        <f t="shared" si="354"/>
        <v>0</v>
      </c>
      <c r="IS571" s="323">
        <f>IQ571+IR571</f>
        <v>0</v>
      </c>
      <c r="IT571" s="279">
        <f>++(FISC!AD310*FISC!AE259/1000)*0+95.5101381005232</f>
        <v>95.510138100523207</v>
      </c>
      <c r="IU571" s="279">
        <f>+IV571-IT571</f>
        <v>73.767482580684018</v>
      </c>
      <c r="IV571" s="323">
        <f>+FISC!AE764</f>
        <v>169.27762068120722</v>
      </c>
      <c r="IW571" s="279">
        <f>++(FISC!AE310*FISC!AF259/1000)</f>
        <v>52.359322579499988</v>
      </c>
      <c r="IX571" s="279">
        <f t="shared" si="291"/>
        <v>89.557838506813638</v>
      </c>
      <c r="IY571" s="323">
        <f>+FISC!AF764</f>
        <v>141.91716108631363</v>
      </c>
      <c r="IZ571" s="279">
        <f>++(FISC!AF310*FISC!AG259/1000)</f>
        <v>55.420986193818557</v>
      </c>
      <c r="JA571" s="279">
        <f>JB571-IZ571</f>
        <v>85.166718668608183</v>
      </c>
      <c r="JB571" s="323">
        <f>+FISC!AG764</f>
        <v>140.58770486242673</v>
      </c>
      <c r="JC571" s="279">
        <f>++(FISC!AH310*FISC!AH259/1000)</f>
        <v>60.518540563908395</v>
      </c>
      <c r="JD571" s="279">
        <f t="shared" si="280"/>
        <v>91.338955432008191</v>
      </c>
      <c r="JE571" s="323">
        <f>+FISC!AH764</f>
        <v>151.85749599591659</v>
      </c>
      <c r="JF571" s="279">
        <f>++(FISC!AI310*FISC!AI259/1000)</f>
        <v>70.36446678371216</v>
      </c>
      <c r="JG571" s="279">
        <f t="shared" si="281"/>
        <v>106.19913890301915</v>
      </c>
      <c r="JH571" s="323">
        <f>+FISC!AI764</f>
        <v>176.56360568673131</v>
      </c>
      <c r="JI571" s="279">
        <f>++(FISC!AJ310*FISC!AJ259/1000)</f>
        <v>0</v>
      </c>
      <c r="JJ571" s="279">
        <f t="shared" si="282"/>
        <v>0</v>
      </c>
      <c r="JK571" s="323">
        <f>+FISC!AJ764</f>
        <v>0</v>
      </c>
      <c r="JL571" s="279">
        <f>++(FISC!AK310*FISC!AK259/1000)</f>
        <v>0</v>
      </c>
      <c r="JM571" s="279">
        <f t="shared" si="283"/>
        <v>0</v>
      </c>
      <c r="JN571" s="323">
        <f>+FISC!AK764</f>
        <v>0</v>
      </c>
      <c r="JO571" s="323"/>
      <c r="KU571" s="326"/>
      <c r="KV571" s="327"/>
    </row>
    <row r="572" spans="2:314" hidden="1">
      <c r="B572" s="96" t="s">
        <v>338</v>
      </c>
      <c r="D572" s="328" t="str">
        <f>+FISC!D765</f>
        <v xml:space="preserve">  Other (incl.  local government fees)</v>
      </c>
      <c r="E572" s="323"/>
      <c r="F572" s="323"/>
      <c r="G572" s="323"/>
      <c r="H572" s="323"/>
      <c r="I572" s="323"/>
      <c r="J572" s="323"/>
      <c r="K572" s="323"/>
      <c r="L572" s="323"/>
      <c r="M572" s="323"/>
      <c r="N572" s="323"/>
      <c r="O572" s="323"/>
      <c r="P572" s="323"/>
      <c r="Q572" s="323"/>
      <c r="R572" s="323"/>
      <c r="S572" s="323"/>
      <c r="T572" s="323"/>
      <c r="U572" s="323"/>
      <c r="V572" s="323"/>
      <c r="W572" s="323"/>
      <c r="X572" s="323"/>
      <c r="Y572" s="323"/>
      <c r="Z572" s="323"/>
      <c r="AA572" s="323"/>
      <c r="AB572" s="323"/>
      <c r="AC572" s="323"/>
      <c r="AD572" s="323"/>
      <c r="AE572" s="323"/>
      <c r="AF572" s="323"/>
      <c r="AG572" s="323"/>
      <c r="AH572" s="323"/>
      <c r="AI572" s="323"/>
      <c r="AJ572" s="323"/>
      <c r="AK572" s="323"/>
      <c r="AL572" s="323"/>
      <c r="AM572" s="323"/>
      <c r="AN572" s="323"/>
      <c r="AO572" s="323"/>
      <c r="AP572" s="323"/>
      <c r="AQ572" s="323"/>
      <c r="AR572" s="323"/>
      <c r="AS572" s="323"/>
      <c r="AT572" s="323"/>
      <c r="AU572" s="323"/>
      <c r="AV572" s="323"/>
      <c r="AW572" s="323"/>
      <c r="AX572" s="323"/>
      <c r="AY572" s="323"/>
      <c r="AZ572" s="323"/>
      <c r="BA572" s="323"/>
      <c r="BB572" s="323"/>
      <c r="BC572" s="323"/>
      <c r="BD572" s="323"/>
      <c r="BE572" s="323"/>
      <c r="BF572" s="323"/>
      <c r="BG572" s="323"/>
      <c r="BH572" s="323"/>
      <c r="BI572" s="323"/>
      <c r="BJ572" s="323"/>
      <c r="BK572" s="323"/>
      <c r="BL572" s="323"/>
      <c r="BM572" s="323"/>
      <c r="BN572" s="323"/>
      <c r="BO572" s="323"/>
      <c r="BP572" s="323"/>
      <c r="BQ572" s="323"/>
      <c r="BR572" s="323"/>
      <c r="BS572" s="323"/>
      <c r="BT572" s="323"/>
      <c r="BU572" s="323"/>
      <c r="BV572" s="323">
        <v>1.0771944819999999</v>
      </c>
      <c r="BW572" s="323">
        <v>1.4571766340000001</v>
      </c>
      <c r="BX572" s="323">
        <v>1.150034134</v>
      </c>
      <c r="BY572" s="323">
        <v>1.745168023</v>
      </c>
      <c r="BZ572" s="323">
        <v>1.92642</v>
      </c>
      <c r="CA572" s="323">
        <v>1.7142421800000001</v>
      </c>
      <c r="CB572" s="323">
        <v>1.6750307630000001</v>
      </c>
      <c r="CC572" s="323">
        <v>3.8991865730000002</v>
      </c>
      <c r="CD572" s="323">
        <v>0</v>
      </c>
      <c r="CE572" s="324">
        <f t="shared" ref="CE572:DB572" si="358">CE144+CE239</f>
        <v>10.472000000000001</v>
      </c>
      <c r="CF572" s="323">
        <f t="shared" si="358"/>
        <v>2.8590000000000004</v>
      </c>
      <c r="CG572" s="323">
        <f t="shared" si="358"/>
        <v>1.0840000000000001</v>
      </c>
      <c r="CH572" s="323">
        <f t="shared" si="358"/>
        <v>1.286</v>
      </c>
      <c r="CI572" s="323">
        <f t="shared" si="358"/>
        <v>1.881</v>
      </c>
      <c r="CJ572" s="323">
        <f t="shared" si="358"/>
        <v>1.4</v>
      </c>
      <c r="CK572" s="323">
        <f t="shared" si="358"/>
        <v>0.94499999999999995</v>
      </c>
      <c r="CL572" s="323">
        <f t="shared" si="358"/>
        <v>1.7269999999999999</v>
      </c>
      <c r="CM572" s="323">
        <f t="shared" si="358"/>
        <v>1.5229999999999999</v>
      </c>
      <c r="CN572" s="323">
        <f t="shared" si="358"/>
        <v>1.4390000000000001</v>
      </c>
      <c r="CO572" s="323">
        <f t="shared" si="358"/>
        <v>2.016</v>
      </c>
      <c r="CP572" s="325">
        <f t="shared" si="358"/>
        <v>2.3129999999999997</v>
      </c>
      <c r="CQ572" s="323">
        <f t="shared" si="358"/>
        <v>0.79100000000000015</v>
      </c>
      <c r="CR572" s="323">
        <f t="shared" si="358"/>
        <v>3.1680000000000001</v>
      </c>
      <c r="CS572" s="323">
        <f t="shared" si="358"/>
        <v>3.8839999999999999</v>
      </c>
      <c r="CT572" s="323">
        <f t="shared" si="358"/>
        <v>1.0720000000000001</v>
      </c>
      <c r="CU572" s="323">
        <f t="shared" si="358"/>
        <v>1.145</v>
      </c>
      <c r="CV572" s="323">
        <f t="shared" si="358"/>
        <v>1.1459999999999999</v>
      </c>
      <c r="CW572" s="323">
        <f t="shared" si="358"/>
        <v>8.6501065097950001</v>
      </c>
      <c r="CX572" s="323">
        <f t="shared" si="358"/>
        <v>8.6401065097950003</v>
      </c>
      <c r="CY572" s="323">
        <f t="shared" si="358"/>
        <v>4.2948718789999996</v>
      </c>
      <c r="CZ572" s="323">
        <f t="shared" si="358"/>
        <v>1.2749999999999999</v>
      </c>
      <c r="DA572" s="323">
        <f t="shared" si="358"/>
        <v>1.6280000000000001</v>
      </c>
      <c r="DB572" s="1269">
        <f t="shared" si="358"/>
        <v>6.516</v>
      </c>
      <c r="DC572" s="323">
        <f t="shared" ref="DC572:EX572" si="359">DC143+DC239</f>
        <v>2.826342226</v>
      </c>
      <c r="DD572" s="323">
        <f t="shared" si="359"/>
        <v>2.2745306210000003</v>
      </c>
      <c r="DE572" s="323">
        <f t="shared" si="359"/>
        <v>3.7069112730000002</v>
      </c>
      <c r="DF572" s="323">
        <f t="shared" si="359"/>
        <v>2.7402641180000002</v>
      </c>
      <c r="DG572" s="323">
        <f t="shared" si="359"/>
        <v>2.9217145879999999</v>
      </c>
      <c r="DH572" s="323">
        <f t="shared" si="359"/>
        <v>5.2715279879999999</v>
      </c>
      <c r="DI572" s="323">
        <f t="shared" si="359"/>
        <v>3.6992158573333329</v>
      </c>
      <c r="DJ572" s="323">
        <f t="shared" si="359"/>
        <v>4.6673743803333334</v>
      </c>
      <c r="DK572" s="323">
        <f t="shared" si="359"/>
        <v>4.8481581993333327</v>
      </c>
      <c r="DL572" s="323">
        <f t="shared" si="359"/>
        <v>2.688913984333333</v>
      </c>
      <c r="DM572" s="323">
        <f t="shared" si="359"/>
        <v>2.513867207333333</v>
      </c>
      <c r="DN572" s="325">
        <f t="shared" si="359"/>
        <v>6.5609402672242636</v>
      </c>
      <c r="DO572" s="323">
        <f t="shared" si="359"/>
        <v>3.139226632351471</v>
      </c>
      <c r="DP572" s="323">
        <f t="shared" si="359"/>
        <v>3.3237930822331059</v>
      </c>
      <c r="DQ572" s="323">
        <f t="shared" si="359"/>
        <v>3.4467225314154231</v>
      </c>
      <c r="DR572" s="323">
        <f t="shared" si="359"/>
        <v>3.2251275299012718</v>
      </c>
      <c r="DS572" s="323">
        <f t="shared" si="359"/>
        <v>3.4198342945057538</v>
      </c>
      <c r="DT572" s="323">
        <f t="shared" si="359"/>
        <v>6.8965134399742158</v>
      </c>
      <c r="DU572" s="323">
        <f t="shared" si="359"/>
        <v>4.1255792739999997</v>
      </c>
      <c r="DV572" s="323">
        <f t="shared" si="359"/>
        <v>3.9820055510000003</v>
      </c>
      <c r="DW572" s="323">
        <f t="shared" si="359"/>
        <v>4.5443250309999996</v>
      </c>
      <c r="DX572" s="323">
        <f t="shared" si="359"/>
        <v>3.6902139436533332</v>
      </c>
      <c r="DY572" s="323">
        <f t="shared" si="359"/>
        <v>4.3489797673333301</v>
      </c>
      <c r="DZ572" s="325">
        <f t="shared" si="359"/>
        <v>8.7950788361533299</v>
      </c>
      <c r="EA572" s="323">
        <f t="shared" si="359"/>
        <v>3.7747904169598194</v>
      </c>
      <c r="EB572" s="323">
        <f t="shared" si="359"/>
        <v>3.6802220281611762</v>
      </c>
      <c r="EC572" s="323">
        <f t="shared" si="359"/>
        <v>4.0084793292231966</v>
      </c>
      <c r="ED572" s="323">
        <f t="shared" si="359"/>
        <v>4.6338031318098185</v>
      </c>
      <c r="EE572" s="323">
        <f t="shared" si="359"/>
        <v>5.0489055605211757</v>
      </c>
      <c r="EF572" s="323">
        <f t="shared" si="359"/>
        <v>7.7458339513431973</v>
      </c>
      <c r="EG572" s="323">
        <f t="shared" si="359"/>
        <v>4.1100963254502538</v>
      </c>
      <c r="EH572" s="323">
        <f t="shared" si="359"/>
        <v>3.8738195185312856</v>
      </c>
      <c r="EI572" s="323">
        <f t="shared" si="359"/>
        <v>4.759065739244817</v>
      </c>
      <c r="EJ572" s="323">
        <f t="shared" si="359"/>
        <v>4.4408965428407114</v>
      </c>
      <c r="EK572" s="323">
        <f t="shared" si="359"/>
        <v>4.6231422024730389</v>
      </c>
      <c r="EL572" s="325">
        <f t="shared" si="359"/>
        <v>7.8683167159348235</v>
      </c>
      <c r="EM572" s="323">
        <f t="shared" si="359"/>
        <v>4.9193208040000007</v>
      </c>
      <c r="EN572" s="323">
        <f t="shared" si="359"/>
        <v>4.1769152370000002</v>
      </c>
      <c r="EO572" s="323">
        <f t="shared" si="359"/>
        <v>4.3601471739999997</v>
      </c>
      <c r="EP572" s="323">
        <f t="shared" si="359"/>
        <v>7.2205925710000001</v>
      </c>
      <c r="EQ572" s="323">
        <f t="shared" si="359"/>
        <v>8.1619172199999994</v>
      </c>
      <c r="ER572" s="323">
        <f t="shared" si="359"/>
        <v>8.3665669779999998</v>
      </c>
      <c r="ES572" s="323">
        <f t="shared" si="359"/>
        <v>6.4096278330000001</v>
      </c>
      <c r="ET572" s="323">
        <f t="shared" si="359"/>
        <v>4.5777012901000003</v>
      </c>
      <c r="EU572" s="323">
        <f t="shared" si="359"/>
        <v>5.6641614499999999</v>
      </c>
      <c r="EV572" s="323">
        <f t="shared" si="359"/>
        <v>5.7319480469999995</v>
      </c>
      <c r="EW572" s="323">
        <f t="shared" si="359"/>
        <v>5.753748055</v>
      </c>
      <c r="EX572" s="325">
        <f t="shared" si="359"/>
        <v>6.6843752639999998</v>
      </c>
      <c r="EY572" s="323"/>
      <c r="EZ572" s="323"/>
      <c r="FA572" s="323"/>
      <c r="FB572" s="323"/>
      <c r="FC572" s="323"/>
      <c r="FD572" s="323"/>
      <c r="FE572" s="323"/>
      <c r="FF572" s="323"/>
      <c r="FG572" s="323"/>
      <c r="FH572" s="323"/>
      <c r="FI572" s="323"/>
      <c r="FJ572" s="325"/>
      <c r="FK572" s="323"/>
      <c r="FL572" s="323"/>
      <c r="FM572" s="323"/>
      <c r="FN572" s="323"/>
      <c r="FO572" s="323"/>
      <c r="FP572" s="323"/>
      <c r="FQ572" s="323"/>
      <c r="FR572" s="323"/>
      <c r="FS572" s="323"/>
      <c r="FT572" s="323"/>
      <c r="FU572" s="323"/>
      <c r="FV572" s="323"/>
      <c r="FW572" s="323"/>
      <c r="FX572" s="323"/>
      <c r="FY572" s="323"/>
      <c r="FZ572" s="323"/>
      <c r="GA572" s="323"/>
      <c r="GB572" s="323"/>
      <c r="GC572" s="323"/>
      <c r="GD572" s="323"/>
      <c r="GE572" s="323"/>
      <c r="GF572" s="323"/>
      <c r="GG572" s="323"/>
      <c r="GH572" s="323"/>
      <c r="GI572" s="323"/>
      <c r="GJ572" s="323"/>
      <c r="GK572" s="323"/>
      <c r="GL572" s="323"/>
      <c r="GM572" s="323"/>
      <c r="GN572" s="323"/>
      <c r="GO572" s="323"/>
      <c r="GP572" s="323"/>
      <c r="GQ572" s="323"/>
      <c r="GR572" s="323"/>
      <c r="GS572" s="323"/>
      <c r="GT572" s="323"/>
      <c r="GU572" s="323"/>
      <c r="GV572" s="323"/>
      <c r="GW572" s="323"/>
      <c r="GX572" s="323"/>
      <c r="GY572" s="323"/>
      <c r="GZ572" s="323"/>
      <c r="HA572" s="323"/>
      <c r="HB572" s="323"/>
      <c r="HC572" s="323"/>
      <c r="HD572" s="323"/>
      <c r="HE572" s="323"/>
      <c r="HF572" s="323"/>
      <c r="HG572" s="323"/>
      <c r="HH572" s="323"/>
      <c r="HI572" s="323"/>
      <c r="HJ572" s="323"/>
      <c r="HK572" s="323"/>
      <c r="HL572" s="323"/>
      <c r="HM572" s="323"/>
      <c r="HN572" s="323"/>
      <c r="HO572" s="323"/>
      <c r="HP572" s="323"/>
      <c r="HQ572" s="323"/>
      <c r="HR572" s="323"/>
      <c r="HS572" s="323"/>
      <c r="HT572" s="323"/>
      <c r="HU572" s="323"/>
      <c r="HV572" s="323"/>
      <c r="HW572" s="323"/>
      <c r="HX572" s="323"/>
      <c r="HY572" s="323"/>
      <c r="HZ572" s="326"/>
      <c r="IA572" s="328" t="s">
        <v>1013</v>
      </c>
      <c r="IB572" s="328"/>
      <c r="IC572" s="328"/>
      <c r="ID572" s="323">
        <f>+FISC!Z765</f>
        <v>42.2</v>
      </c>
      <c r="IE572" s="279">
        <f>SUM(CQ572:CV572)</f>
        <v>11.206</v>
      </c>
      <c r="IF572" s="279">
        <f>SUM(CW572:DB572)</f>
        <v>31.004084898589994</v>
      </c>
      <c r="IG572" s="323">
        <f>SUM(CQ572:DB572)</f>
        <v>42.210084898589997</v>
      </c>
      <c r="IH572" s="279">
        <f>+SUM(DC572:DH572)</f>
        <v>19.741290814000003</v>
      </c>
      <c r="II572" s="279">
        <f>+SUM(DI572:DN572)</f>
        <v>24.978469895890932</v>
      </c>
      <c r="IJ572" s="323">
        <f t="shared" si="306"/>
        <v>44.719760709890934</v>
      </c>
      <c r="IK572" s="279">
        <f>+SUM(DO572:DT572)</f>
        <v>23.451217510381241</v>
      </c>
      <c r="IL572" s="279">
        <f>SUM(DU572:DZ572)</f>
        <v>29.486182403139992</v>
      </c>
      <c r="IM572" s="323">
        <f t="shared" si="309"/>
        <v>52.937399913521233</v>
      </c>
      <c r="IN572" s="279">
        <v>28.892034418018401</v>
      </c>
      <c r="IO572" s="279">
        <f>+IP572-IN572</f>
        <v>29.675337044474926</v>
      </c>
      <c r="IP572" s="323">
        <f>FISC!AC765</f>
        <v>58.567371462493327</v>
      </c>
      <c r="IQ572" s="279">
        <f t="shared" si="353"/>
        <v>37.205459984000001</v>
      </c>
      <c r="IR572" s="279">
        <f t="shared" si="354"/>
        <v>34.821561939099993</v>
      </c>
      <c r="IS572" s="323">
        <f>IQ572+IR572</f>
        <v>72.027021923099994</v>
      </c>
      <c r="IT572" s="327">
        <v>49.788852472000002</v>
      </c>
      <c r="IU572" s="279">
        <f>+IV572-IT572</f>
        <v>22.600424402485388</v>
      </c>
      <c r="IV572" s="323">
        <f>+FISC!AE765</f>
        <v>72.38927687448539</v>
      </c>
      <c r="IW572" s="327">
        <v>35.079180108823302</v>
      </c>
      <c r="IX572" s="279">
        <f t="shared" si="291"/>
        <v>42.341874550515975</v>
      </c>
      <c r="IY572" s="323">
        <f>+FISC!AF765</f>
        <v>77.421054659339276</v>
      </c>
      <c r="IZ572" s="327">
        <v>52.313287000000003</v>
      </c>
      <c r="JA572" s="279">
        <f t="shared" ref="JA572:JA642" si="360">JB572-IZ572</f>
        <v>135.20085020402121</v>
      </c>
      <c r="JB572" s="323">
        <f>+FISC!AG765</f>
        <v>187.51413720402121</v>
      </c>
      <c r="JC572" s="327">
        <f>JE572/2</f>
        <v>121.11603002960832</v>
      </c>
      <c r="JD572" s="279">
        <f t="shared" si="280"/>
        <v>121.11603002960832</v>
      </c>
      <c r="JE572" s="323">
        <f>+FISC!AH765</f>
        <v>242.23206005921665</v>
      </c>
      <c r="JF572" s="327">
        <f>JH572/2</f>
        <v>159.27279609427495</v>
      </c>
      <c r="JG572" s="279">
        <f t="shared" si="281"/>
        <v>159.27279609427495</v>
      </c>
      <c r="JH572" s="323">
        <f>+FISC!AI765</f>
        <v>318.5455921885499</v>
      </c>
      <c r="JI572" s="327">
        <f>JK572/2</f>
        <v>0</v>
      </c>
      <c r="JJ572" s="279">
        <f t="shared" si="282"/>
        <v>0</v>
      </c>
      <c r="JK572" s="323">
        <f>+FISC!AJ765</f>
        <v>0</v>
      </c>
      <c r="JL572" s="327">
        <f>JN572/2</f>
        <v>0</v>
      </c>
      <c r="JM572" s="279">
        <f t="shared" si="283"/>
        <v>0</v>
      </c>
      <c r="JN572" s="323">
        <f>+FISC!AK765</f>
        <v>0</v>
      </c>
      <c r="JO572" s="323"/>
      <c r="KU572" s="326"/>
      <c r="KV572" s="327"/>
    </row>
    <row r="573" spans="2:314" ht="16.2" hidden="1">
      <c r="B573" s="96" t="s">
        <v>338</v>
      </c>
      <c r="D573" s="328" t="str">
        <f>+FISC!D766</f>
        <v xml:space="preserve">       of which: local government fees</v>
      </c>
      <c r="E573" s="323"/>
      <c r="F573" s="323"/>
      <c r="G573" s="323"/>
      <c r="H573" s="323"/>
      <c r="I573" s="323"/>
      <c r="J573" s="323"/>
      <c r="K573" s="323"/>
      <c r="L573" s="323"/>
      <c r="M573" s="323"/>
      <c r="N573" s="323"/>
      <c r="O573" s="323"/>
      <c r="P573" s="323"/>
      <c r="Q573" s="323"/>
      <c r="R573" s="323"/>
      <c r="S573" s="323"/>
      <c r="T573" s="323"/>
      <c r="U573" s="323"/>
      <c r="V573" s="323"/>
      <c r="W573" s="323"/>
      <c r="X573" s="323"/>
      <c r="Y573" s="323"/>
      <c r="Z573" s="323"/>
      <c r="AA573" s="323"/>
      <c r="AB573" s="323"/>
      <c r="AC573" s="323"/>
      <c r="AD573" s="323"/>
      <c r="AE573" s="323"/>
      <c r="AF573" s="323"/>
      <c r="AG573" s="323"/>
      <c r="AH573" s="323"/>
      <c r="AI573" s="323"/>
      <c r="AJ573" s="323"/>
      <c r="AK573" s="323"/>
      <c r="AL573" s="323"/>
      <c r="AM573" s="323"/>
      <c r="AN573" s="323"/>
      <c r="AO573" s="323"/>
      <c r="AP573" s="323"/>
      <c r="AQ573" s="323"/>
      <c r="AR573" s="323"/>
      <c r="AS573" s="323"/>
      <c r="AT573" s="323"/>
      <c r="AU573" s="323"/>
      <c r="AV573" s="323"/>
      <c r="AW573" s="323"/>
      <c r="AX573" s="323"/>
      <c r="AY573" s="323"/>
      <c r="AZ573" s="323"/>
      <c r="BA573" s="323"/>
      <c r="BB573" s="323"/>
      <c r="BC573" s="323"/>
      <c r="BD573" s="323"/>
      <c r="BE573" s="323"/>
      <c r="BF573" s="323"/>
      <c r="BG573" s="323"/>
      <c r="BH573" s="323"/>
      <c r="BI573" s="323"/>
      <c r="BJ573" s="323"/>
      <c r="BK573" s="323"/>
      <c r="BL573" s="323"/>
      <c r="BM573" s="323"/>
      <c r="BN573" s="323"/>
      <c r="BO573" s="323"/>
      <c r="BP573" s="323"/>
      <c r="BQ573" s="323"/>
      <c r="BR573" s="323"/>
      <c r="BS573" s="323"/>
      <c r="BT573" s="323"/>
      <c r="BU573" s="323"/>
      <c r="BV573" s="323"/>
      <c r="BW573" s="323"/>
      <c r="BX573" s="323"/>
      <c r="BY573" s="323"/>
      <c r="BZ573" s="323"/>
      <c r="CA573" s="323"/>
      <c r="CB573" s="323"/>
      <c r="CC573" s="323"/>
      <c r="CD573" s="323"/>
      <c r="CE573" s="324">
        <f t="shared" ref="CE573:DJ573" si="361">CE239</f>
        <v>0</v>
      </c>
      <c r="CF573" s="323">
        <f t="shared" si="361"/>
        <v>0</v>
      </c>
      <c r="CG573" s="323">
        <f t="shared" si="361"/>
        <v>0</v>
      </c>
      <c r="CH573" s="323">
        <f t="shared" si="361"/>
        <v>0</v>
      </c>
      <c r="CI573" s="323">
        <f t="shared" si="361"/>
        <v>0</v>
      </c>
      <c r="CJ573" s="323">
        <f t="shared" si="361"/>
        <v>0</v>
      </c>
      <c r="CK573" s="323">
        <f t="shared" si="361"/>
        <v>0</v>
      </c>
      <c r="CL573" s="323">
        <f t="shared" si="361"/>
        <v>0</v>
      </c>
      <c r="CM573" s="323">
        <f t="shared" si="361"/>
        <v>0</v>
      </c>
      <c r="CN573" s="323">
        <f t="shared" si="361"/>
        <v>0</v>
      </c>
      <c r="CO573" s="323">
        <f t="shared" si="361"/>
        <v>0</v>
      </c>
      <c r="CP573" s="325">
        <f t="shared" si="361"/>
        <v>0</v>
      </c>
      <c r="CQ573" s="323">
        <f t="shared" si="361"/>
        <v>0</v>
      </c>
      <c r="CR573" s="323">
        <f t="shared" si="361"/>
        <v>0</v>
      </c>
      <c r="CS573" s="323">
        <f t="shared" si="361"/>
        <v>0</v>
      </c>
      <c r="CT573" s="323">
        <f t="shared" si="361"/>
        <v>0</v>
      </c>
      <c r="CU573" s="323">
        <f t="shared" si="361"/>
        <v>0</v>
      </c>
      <c r="CV573" s="323">
        <f t="shared" si="361"/>
        <v>0</v>
      </c>
      <c r="CW573" s="323">
        <f t="shared" si="361"/>
        <v>7.3491065097949999</v>
      </c>
      <c r="CX573" s="323">
        <f t="shared" si="361"/>
        <v>7.3491065097949999</v>
      </c>
      <c r="CY573" s="323">
        <f t="shared" si="361"/>
        <v>3.1678718789999998</v>
      </c>
      <c r="CZ573" s="323">
        <f t="shared" si="361"/>
        <v>0</v>
      </c>
      <c r="DA573" s="323">
        <f t="shared" si="361"/>
        <v>0</v>
      </c>
      <c r="DB573" s="1269">
        <f t="shared" si="361"/>
        <v>0</v>
      </c>
      <c r="DC573" s="323">
        <f t="shared" si="361"/>
        <v>1.888342226</v>
      </c>
      <c r="DD573" s="323">
        <f t="shared" si="361"/>
        <v>1.286530621</v>
      </c>
      <c r="DE573" s="323">
        <f t="shared" si="361"/>
        <v>1.706911273</v>
      </c>
      <c r="DF573" s="323">
        <f t="shared" si="361"/>
        <v>1.5562641180000001</v>
      </c>
      <c r="DG573" s="323">
        <f t="shared" si="361"/>
        <v>1.695714588</v>
      </c>
      <c r="DH573" s="323">
        <f t="shared" si="361"/>
        <v>4.1205279880000001</v>
      </c>
      <c r="DI573" s="323">
        <f t="shared" si="361"/>
        <v>2.771882524</v>
      </c>
      <c r="DJ573" s="323">
        <f t="shared" si="361"/>
        <v>1.900041047</v>
      </c>
      <c r="DK573" s="323">
        <f t="shared" ref="DK573:EP573" si="362">DK239</f>
        <v>4.2548248659999999</v>
      </c>
      <c r="DL573" s="323">
        <f t="shared" si="362"/>
        <v>1.7565806509999999</v>
      </c>
      <c r="DM573" s="323">
        <f t="shared" si="362"/>
        <v>2.0005338739999998</v>
      </c>
      <c r="DN573" s="325">
        <f t="shared" si="362"/>
        <v>1.8086069338909299</v>
      </c>
      <c r="DO573" s="323">
        <f t="shared" si="362"/>
        <v>1.6531450803514709</v>
      </c>
      <c r="DP573" s="323">
        <f t="shared" si="362"/>
        <v>2.020534381233106</v>
      </c>
      <c r="DQ573" s="323">
        <f t="shared" si="362"/>
        <v>1.9438201444154231</v>
      </c>
      <c r="DR573" s="323">
        <f t="shared" si="362"/>
        <v>1.9867715699012716</v>
      </c>
      <c r="DS573" s="323">
        <f t="shared" si="362"/>
        <v>2.1148053475057536</v>
      </c>
      <c r="DT573" s="323">
        <f t="shared" si="362"/>
        <v>5.3559525459742154</v>
      </c>
      <c r="DU573" s="323">
        <f t="shared" si="362"/>
        <v>2.2916792739999998</v>
      </c>
      <c r="DV573" s="323">
        <f t="shared" si="362"/>
        <v>2.0503062380000001</v>
      </c>
      <c r="DW573" s="323">
        <f t="shared" si="362"/>
        <v>2.933340431</v>
      </c>
      <c r="DX573" s="323">
        <f t="shared" si="362"/>
        <v>1.9550365513333334</v>
      </c>
      <c r="DY573" s="323">
        <f t="shared" si="362"/>
        <v>2.5998176423333299</v>
      </c>
      <c r="DZ573" s="325">
        <f t="shared" si="362"/>
        <v>3.5421288861533302</v>
      </c>
      <c r="EA573" s="323">
        <f t="shared" si="362"/>
        <v>2.2199904568098194</v>
      </c>
      <c r="EB573" s="323">
        <f t="shared" si="362"/>
        <v>2.2668937165211762</v>
      </c>
      <c r="EC573" s="323">
        <f t="shared" si="362"/>
        <v>2.2885579603431965</v>
      </c>
      <c r="ED573" s="323">
        <f t="shared" si="362"/>
        <v>2.7761808718098191</v>
      </c>
      <c r="EE573" s="323">
        <f t="shared" si="362"/>
        <v>2.7539049385211762</v>
      </c>
      <c r="EF573" s="323">
        <f t="shared" si="362"/>
        <v>6.192634617343197</v>
      </c>
      <c r="EG573" s="323">
        <f t="shared" si="362"/>
        <v>2.5395723369810299</v>
      </c>
      <c r="EH573" s="323">
        <f t="shared" si="362"/>
        <v>2.5391290281972885</v>
      </c>
      <c r="EI573" s="323">
        <f t="shared" si="362"/>
        <v>3.295974372863443</v>
      </c>
      <c r="EJ573" s="323">
        <f t="shared" si="362"/>
        <v>2.3145780987595277</v>
      </c>
      <c r="EK573" s="323">
        <f t="shared" si="362"/>
        <v>2.8332227186524785</v>
      </c>
      <c r="EL573" s="325">
        <f t="shared" si="362"/>
        <v>2.9309503558138497</v>
      </c>
      <c r="EM573" s="323">
        <f t="shared" si="362"/>
        <v>2.6034546569999999</v>
      </c>
      <c r="EN573" s="323">
        <f t="shared" si="362"/>
        <v>2.510094257</v>
      </c>
      <c r="EO573" s="323">
        <f t="shared" si="362"/>
        <v>2.5775800250000001</v>
      </c>
      <c r="EP573" s="323">
        <f t="shared" si="362"/>
        <v>3.2720744960000001</v>
      </c>
      <c r="EQ573" s="323">
        <f t="shared" ref="EQ573:EX573" si="363">EQ239</f>
        <v>3.0297721110000002</v>
      </c>
      <c r="ER573" s="323">
        <f t="shared" si="363"/>
        <v>6.9000685620000004</v>
      </c>
      <c r="ES573" s="323">
        <f t="shared" si="363"/>
        <v>3.9918407069999997</v>
      </c>
      <c r="ET573" s="323">
        <f t="shared" si="363"/>
        <v>2.5252701900000001</v>
      </c>
      <c r="EU573" s="323">
        <f t="shared" si="363"/>
        <v>3.5012718550000002</v>
      </c>
      <c r="EV573" s="323">
        <f t="shared" si="363"/>
        <v>3.6209366780000001</v>
      </c>
      <c r="EW573" s="323">
        <f t="shared" si="363"/>
        <v>3.1565331159999999</v>
      </c>
      <c r="EX573" s="325">
        <f t="shared" si="363"/>
        <v>3.5527360720000001</v>
      </c>
      <c r="EY573" s="323"/>
      <c r="EZ573" s="323"/>
      <c r="FA573" s="323"/>
      <c r="FB573" s="323"/>
      <c r="FC573" s="323"/>
      <c r="FD573" s="323"/>
      <c r="FE573" s="323"/>
      <c r="FF573" s="323"/>
      <c r="FG573" s="323"/>
      <c r="FH573" s="323"/>
      <c r="FI573" s="323"/>
      <c r="FJ573" s="325"/>
      <c r="FK573" s="323"/>
      <c r="FL573" s="323"/>
      <c r="FM573" s="323"/>
      <c r="FN573" s="323"/>
      <c r="FO573" s="323"/>
      <c r="FP573" s="323"/>
      <c r="FQ573" s="323"/>
      <c r="FR573" s="323"/>
      <c r="FS573" s="323"/>
      <c r="FT573" s="323"/>
      <c r="FU573" s="323"/>
      <c r="FV573" s="323"/>
      <c r="FW573" s="323"/>
      <c r="FX573" s="323"/>
      <c r="FY573" s="323"/>
      <c r="FZ573" s="323"/>
      <c r="GA573" s="323"/>
      <c r="GB573" s="323"/>
      <c r="GC573" s="323"/>
      <c r="GD573" s="323"/>
      <c r="GE573" s="323"/>
      <c r="GF573" s="323"/>
      <c r="GG573" s="323"/>
      <c r="GH573" s="323"/>
      <c r="GI573" s="323"/>
      <c r="GJ573" s="323"/>
      <c r="GK573" s="323"/>
      <c r="GL573" s="323"/>
      <c r="GM573" s="323"/>
      <c r="GN573" s="323"/>
      <c r="GO573" s="323"/>
      <c r="GP573" s="323"/>
      <c r="GQ573" s="323"/>
      <c r="GR573" s="323"/>
      <c r="GS573" s="323"/>
      <c r="GT573" s="323"/>
      <c r="GU573" s="323"/>
      <c r="GV573" s="323"/>
      <c r="GW573" s="323"/>
      <c r="GX573" s="323"/>
      <c r="GY573" s="323"/>
      <c r="GZ573" s="323"/>
      <c r="HA573" s="323"/>
      <c r="HB573" s="323"/>
      <c r="HC573" s="323"/>
      <c r="HD573" s="323"/>
      <c r="HE573" s="323"/>
      <c r="HF573" s="323"/>
      <c r="HG573" s="323"/>
      <c r="HH573" s="323"/>
      <c r="HI573" s="323"/>
      <c r="HJ573" s="323"/>
      <c r="HK573" s="323"/>
      <c r="HL573" s="323"/>
      <c r="HM573" s="323"/>
      <c r="HN573" s="323"/>
      <c r="HO573" s="323"/>
      <c r="HP573" s="323"/>
      <c r="HQ573" s="323"/>
      <c r="HR573" s="323"/>
      <c r="HS573" s="323"/>
      <c r="HT573" s="323"/>
      <c r="HU573" s="323"/>
      <c r="HV573" s="323"/>
      <c r="HW573" s="323"/>
      <c r="HX573" s="323"/>
      <c r="HY573" s="323"/>
      <c r="HZ573" s="326"/>
      <c r="IA573" s="328" t="s">
        <v>326</v>
      </c>
      <c r="IB573" s="328"/>
      <c r="IC573" s="328"/>
      <c r="ID573" s="323">
        <f>+FISC!Z766</f>
        <v>17.8</v>
      </c>
      <c r="IE573" s="279">
        <f>SUM(CQ573:CV573)</f>
        <v>0</v>
      </c>
      <c r="IF573" s="279">
        <f>SUM(CW573:DB573)</f>
        <v>17.86608489859</v>
      </c>
      <c r="IG573" s="323">
        <f>SUM(CQ573:DB573)</f>
        <v>17.86608489859</v>
      </c>
      <c r="IH573" s="279">
        <f>+SUM(DC573:DH573)</f>
        <v>12.254290814000001</v>
      </c>
      <c r="II573" s="279">
        <f>+SUM(DI573:DN573)</f>
        <v>14.492469895890931</v>
      </c>
      <c r="IJ573" s="323">
        <f t="shared" si="306"/>
        <v>26.746760709890932</v>
      </c>
      <c r="IK573" s="279">
        <f>+SUM(DO573:DT573)</f>
        <v>15.075029069381241</v>
      </c>
      <c r="IL573" s="279">
        <f>SUM(DU573:DZ573)</f>
        <v>15.372309022819994</v>
      </c>
      <c r="IM573" s="323">
        <f t="shared" si="309"/>
        <v>30.447338092201235</v>
      </c>
      <c r="IN573" s="1066">
        <v>18.498162561348384</v>
      </c>
      <c r="IO573" s="279">
        <f>+IP573-IN573</f>
        <v>16.453426911267623</v>
      </c>
      <c r="IP573" s="323">
        <f>FISC!AC766</f>
        <v>34.951589472616007</v>
      </c>
      <c r="IQ573" s="279">
        <f t="shared" si="353"/>
        <v>20.893044108000002</v>
      </c>
      <c r="IR573" s="279">
        <f t="shared" si="354"/>
        <v>20.348588618000001</v>
      </c>
      <c r="IS573" s="323">
        <f>IQ573+IR573</f>
        <v>41.241632726000006</v>
      </c>
      <c r="IT573" s="327">
        <f>+(IV573/2)*0+17.6</f>
        <v>17.600000000000001</v>
      </c>
      <c r="IU573" s="279">
        <f>+IV573-IT573</f>
        <v>11.023589416551399</v>
      </c>
      <c r="IV573" s="323">
        <f>+FISC!AE766</f>
        <v>28.6235894165514</v>
      </c>
      <c r="IW573" s="327">
        <f>(IY573*0.48)*0+14.885477393</f>
        <v>14.885477393</v>
      </c>
      <c r="IX573" s="279">
        <f t="shared" si="291"/>
        <v>20.082860432143299</v>
      </c>
      <c r="IY573" s="323">
        <f>+FISC!AF766</f>
        <v>34.968337825143301</v>
      </c>
      <c r="IZ573" s="327">
        <f>JB573*0.48</f>
        <v>34.172972677595624</v>
      </c>
      <c r="JA573" s="279">
        <f t="shared" si="360"/>
        <v>37.020720400728592</v>
      </c>
      <c r="JB573" s="323">
        <f>+FISC!AG766</f>
        <v>71.193693078324216</v>
      </c>
      <c r="JC573" s="327">
        <f>JE573/2</f>
        <v>45.507741347905281</v>
      </c>
      <c r="JD573" s="279">
        <f t="shared" si="280"/>
        <v>45.507741347905281</v>
      </c>
      <c r="JE573" s="323">
        <f>+FISC!AH766</f>
        <v>91.015482695810562</v>
      </c>
      <c r="JF573" s="327">
        <f>JH573/2</f>
        <v>53.421191939890704</v>
      </c>
      <c r="JG573" s="279">
        <f t="shared" si="281"/>
        <v>53.421191939890704</v>
      </c>
      <c r="JH573" s="323">
        <f>+FISC!AI766</f>
        <v>106.84238387978141</v>
      </c>
      <c r="JI573" s="327">
        <f>JK573/2</f>
        <v>0</v>
      </c>
      <c r="JJ573" s="279">
        <f t="shared" si="282"/>
        <v>0</v>
      </c>
      <c r="JK573" s="323">
        <f>+FISC!AJ766</f>
        <v>0</v>
      </c>
      <c r="JL573" s="327">
        <f>JN573/2</f>
        <v>0</v>
      </c>
      <c r="JM573" s="279">
        <f t="shared" si="283"/>
        <v>0</v>
      </c>
      <c r="JN573" s="323">
        <f>+FISC!AK766</f>
        <v>0</v>
      </c>
      <c r="JO573" s="323"/>
      <c r="KU573" s="326"/>
      <c r="KV573" s="327"/>
    </row>
    <row r="574" spans="2:314" ht="16.2" hidden="1">
      <c r="D574" s="1098" t="s">
        <v>1169</v>
      </c>
      <c r="E574" s="323"/>
      <c r="F574" s="323"/>
      <c r="G574" s="323"/>
      <c r="H574" s="323"/>
      <c r="I574" s="323"/>
      <c r="J574" s="323"/>
      <c r="K574" s="323"/>
      <c r="L574" s="323"/>
      <c r="M574" s="323"/>
      <c r="N574" s="323"/>
      <c r="O574" s="323"/>
      <c r="P574" s="323"/>
      <c r="Q574" s="323"/>
      <c r="R574" s="323"/>
      <c r="S574" s="323"/>
      <c r="T574" s="323"/>
      <c r="U574" s="323"/>
      <c r="V574" s="323"/>
      <c r="W574" s="323"/>
      <c r="X574" s="323"/>
      <c r="Y574" s="323"/>
      <c r="Z574" s="323"/>
      <c r="AA574" s="323"/>
      <c r="AB574" s="323"/>
      <c r="AC574" s="323"/>
      <c r="AD574" s="323"/>
      <c r="AE574" s="323"/>
      <c r="AF574" s="323"/>
      <c r="AG574" s="323"/>
      <c r="AH574" s="323"/>
      <c r="AI574" s="323"/>
      <c r="AJ574" s="323"/>
      <c r="AK574" s="323"/>
      <c r="AL574" s="323"/>
      <c r="AM574" s="323"/>
      <c r="AN574" s="323"/>
      <c r="AO574" s="323"/>
      <c r="AP574" s="323"/>
      <c r="AQ574" s="323"/>
      <c r="AR574" s="323"/>
      <c r="AS574" s="323"/>
      <c r="AT574" s="323"/>
      <c r="AU574" s="323"/>
      <c r="AV574" s="323"/>
      <c r="AW574" s="323"/>
      <c r="AX574" s="323"/>
      <c r="AY574" s="323"/>
      <c r="AZ574" s="323"/>
      <c r="BA574" s="323"/>
      <c r="BB574" s="323"/>
      <c r="BC574" s="323"/>
      <c r="BD574" s="323"/>
      <c r="BE574" s="323"/>
      <c r="BF574" s="323"/>
      <c r="BG574" s="323"/>
      <c r="BH574" s="323"/>
      <c r="BI574" s="323"/>
      <c r="BJ574" s="323"/>
      <c r="BK574" s="323"/>
      <c r="BL574" s="323"/>
      <c r="BM574" s="323"/>
      <c r="BN574" s="323"/>
      <c r="BO574" s="323"/>
      <c r="BP574" s="323"/>
      <c r="BQ574" s="323"/>
      <c r="BR574" s="323"/>
      <c r="BS574" s="323"/>
      <c r="BT574" s="323"/>
      <c r="BU574" s="323"/>
      <c r="BV574" s="323"/>
      <c r="BW574" s="323"/>
      <c r="BX574" s="323"/>
      <c r="BY574" s="323"/>
      <c r="BZ574" s="323"/>
      <c r="CA574" s="323"/>
      <c r="CB574" s="323"/>
      <c r="CC574" s="323"/>
      <c r="CD574" s="323"/>
      <c r="CE574" s="324"/>
      <c r="CF574" s="323"/>
      <c r="CG574" s="323"/>
      <c r="CH574" s="323"/>
      <c r="CI574" s="323"/>
      <c r="CJ574" s="323"/>
      <c r="CK574" s="323"/>
      <c r="CL574" s="323"/>
      <c r="CM574" s="323"/>
      <c r="CN574" s="323"/>
      <c r="CO574" s="323"/>
      <c r="CP574" s="325"/>
      <c r="CQ574" s="323"/>
      <c r="CR574" s="323"/>
      <c r="CS574" s="323"/>
      <c r="CT574" s="323"/>
      <c r="CU574" s="323"/>
      <c r="CV574" s="323"/>
      <c r="CW574" s="323"/>
      <c r="CX574" s="323"/>
      <c r="CY574" s="323"/>
      <c r="CZ574" s="323"/>
      <c r="DA574" s="323"/>
      <c r="DB574" s="1269"/>
      <c r="DC574" s="323"/>
      <c r="DD574" s="323"/>
      <c r="DE574" s="323"/>
      <c r="DF574" s="323"/>
      <c r="DG574" s="323"/>
      <c r="DH574" s="323"/>
      <c r="DI574" s="323"/>
      <c r="DJ574" s="323"/>
      <c r="DK574" s="323"/>
      <c r="DL574" s="323"/>
      <c r="DM574" s="323"/>
      <c r="DN574" s="325"/>
      <c r="DO574" s="323"/>
      <c r="DP574" s="323"/>
      <c r="DQ574" s="323"/>
      <c r="DR574" s="323"/>
      <c r="DS574" s="323"/>
      <c r="DT574" s="323"/>
      <c r="DU574" s="323"/>
      <c r="DV574" s="323"/>
      <c r="DW574" s="323"/>
      <c r="DX574" s="323"/>
      <c r="DY574" s="323"/>
      <c r="DZ574" s="325"/>
      <c r="EA574" s="323"/>
      <c r="EB574" s="323"/>
      <c r="EC574" s="323"/>
      <c r="ED574" s="323"/>
      <c r="EE574" s="323"/>
      <c r="EF574" s="323"/>
      <c r="EG574" s="323"/>
      <c r="EH574" s="323"/>
      <c r="EI574" s="323"/>
      <c r="EJ574" s="323"/>
      <c r="EK574" s="323"/>
      <c r="EL574" s="325"/>
      <c r="EM574" s="323">
        <f t="shared" ref="EM574:EX574" si="364">EM446</f>
        <v>0</v>
      </c>
      <c r="EN574" s="323">
        <f t="shared" si="364"/>
        <v>0</v>
      </c>
      <c r="EO574" s="323">
        <f t="shared" si="364"/>
        <v>2.1669842020000001</v>
      </c>
      <c r="EP574" s="323">
        <f t="shared" si="364"/>
        <v>0</v>
      </c>
      <c r="EQ574" s="323">
        <f t="shared" si="364"/>
        <v>0</v>
      </c>
      <c r="ER574" s="323">
        <f t="shared" si="364"/>
        <v>2.2170388330000002</v>
      </c>
      <c r="ES574" s="323">
        <f t="shared" si="364"/>
        <v>0</v>
      </c>
      <c r="ET574" s="323">
        <f t="shared" si="364"/>
        <v>0</v>
      </c>
      <c r="EU574" s="323">
        <f t="shared" si="364"/>
        <v>1.9034152189999993</v>
      </c>
      <c r="EV574" s="323">
        <f t="shared" si="364"/>
        <v>0</v>
      </c>
      <c r="EW574" s="323">
        <f t="shared" si="364"/>
        <v>0</v>
      </c>
      <c r="EX574" s="325">
        <f t="shared" si="364"/>
        <v>2.1224270360000013</v>
      </c>
      <c r="EY574" s="323"/>
      <c r="EZ574" s="323"/>
      <c r="FA574" s="323"/>
      <c r="FB574" s="323"/>
      <c r="FC574" s="323"/>
      <c r="FD574" s="323"/>
      <c r="FE574" s="323"/>
      <c r="FF574" s="323"/>
      <c r="FG574" s="323"/>
      <c r="FH574" s="323"/>
      <c r="FI574" s="323"/>
      <c r="FJ574" s="325"/>
      <c r="FK574" s="323"/>
      <c r="FL574" s="323"/>
      <c r="FM574" s="323"/>
      <c r="FN574" s="323"/>
      <c r="FO574" s="323"/>
      <c r="FP574" s="323"/>
      <c r="FQ574" s="323"/>
      <c r="FR574" s="323"/>
      <c r="FS574" s="323"/>
      <c r="FT574" s="323"/>
      <c r="FU574" s="323"/>
      <c r="FV574" s="323"/>
      <c r="FW574" s="323"/>
      <c r="FX574" s="323"/>
      <c r="FY574" s="323"/>
      <c r="FZ574" s="323"/>
      <c r="GA574" s="323"/>
      <c r="GB574" s="323"/>
      <c r="GC574" s="323"/>
      <c r="GD574" s="323"/>
      <c r="GE574" s="323"/>
      <c r="GF574" s="323"/>
      <c r="GG574" s="323"/>
      <c r="GH574" s="323"/>
      <c r="GI574" s="323"/>
      <c r="GJ574" s="323"/>
      <c r="GK574" s="323"/>
      <c r="GL574" s="323"/>
      <c r="GM574" s="323"/>
      <c r="GN574" s="323"/>
      <c r="GO574" s="323"/>
      <c r="GP574" s="323"/>
      <c r="GQ574" s="323"/>
      <c r="GR574" s="323"/>
      <c r="GS574" s="323"/>
      <c r="GT574" s="323"/>
      <c r="GU574" s="323"/>
      <c r="GV574" s="323"/>
      <c r="GW574" s="323"/>
      <c r="GX574" s="323"/>
      <c r="GY574" s="323"/>
      <c r="GZ574" s="323"/>
      <c r="HA574" s="323"/>
      <c r="HB574" s="323"/>
      <c r="HC574" s="323"/>
      <c r="HD574" s="323"/>
      <c r="HE574" s="323"/>
      <c r="HF574" s="323"/>
      <c r="HG574" s="323"/>
      <c r="HH574" s="323"/>
      <c r="HI574" s="323"/>
      <c r="HJ574" s="323"/>
      <c r="HK574" s="323"/>
      <c r="HL574" s="323"/>
      <c r="HM574" s="323"/>
      <c r="HN574" s="323"/>
      <c r="HO574" s="323"/>
      <c r="HP574" s="323"/>
      <c r="HQ574" s="323"/>
      <c r="HR574" s="323"/>
      <c r="HS574" s="323"/>
      <c r="HT574" s="323"/>
      <c r="HU574" s="323"/>
      <c r="HV574" s="323"/>
      <c r="HW574" s="323"/>
      <c r="HX574" s="323"/>
      <c r="HY574" s="323"/>
      <c r="HZ574" s="326"/>
      <c r="IA574" s="1098" t="s">
        <v>1169</v>
      </c>
      <c r="IB574" s="1098"/>
      <c r="IC574" s="1098"/>
      <c r="ID574" s="323"/>
      <c r="IG574" s="323"/>
      <c r="IJ574" s="323"/>
      <c r="IM574" s="323"/>
      <c r="IN574" s="1066"/>
      <c r="IP574" s="323"/>
      <c r="IQ574" s="279">
        <f t="shared" si="353"/>
        <v>4.3840230350000002</v>
      </c>
      <c r="IR574" s="279">
        <f t="shared" si="354"/>
        <v>4.0258422550000006</v>
      </c>
      <c r="IS574" s="323">
        <f t="shared" ref="IS574:IS580" si="365">IQ574+IR574</f>
        <v>8.4098652900000008</v>
      </c>
      <c r="IT574" s="327"/>
      <c r="IV574" s="323"/>
      <c r="IW574" s="327"/>
      <c r="IY574" s="323"/>
      <c r="IZ574" s="327"/>
      <c r="JB574" s="323"/>
      <c r="JC574" s="327"/>
      <c r="JE574" s="323"/>
      <c r="JF574" s="327"/>
      <c r="JH574" s="323"/>
      <c r="JI574" s="327"/>
      <c r="JK574" s="323"/>
      <c r="JL574" s="327"/>
      <c r="JN574" s="323"/>
      <c r="JO574" s="323"/>
      <c r="KU574" s="326"/>
      <c r="KV574" s="327"/>
    </row>
    <row r="575" spans="2:314" ht="16.2" hidden="1">
      <c r="D575" s="1098" t="s">
        <v>1170</v>
      </c>
      <c r="E575" s="323"/>
      <c r="F575" s="323"/>
      <c r="G575" s="323"/>
      <c r="H575" s="323"/>
      <c r="I575" s="323"/>
      <c r="J575" s="323"/>
      <c r="K575" s="323"/>
      <c r="L575" s="323"/>
      <c r="M575" s="323"/>
      <c r="N575" s="323"/>
      <c r="O575" s="323"/>
      <c r="P575" s="323"/>
      <c r="Q575" s="323"/>
      <c r="R575" s="323"/>
      <c r="S575" s="323"/>
      <c r="T575" s="323"/>
      <c r="U575" s="323"/>
      <c r="V575" s="323"/>
      <c r="W575" s="323"/>
      <c r="X575" s="323"/>
      <c r="Y575" s="323"/>
      <c r="Z575" s="323"/>
      <c r="AA575" s="323"/>
      <c r="AB575" s="323"/>
      <c r="AC575" s="323"/>
      <c r="AD575" s="323"/>
      <c r="AE575" s="323"/>
      <c r="AF575" s="323"/>
      <c r="AG575" s="323"/>
      <c r="AH575" s="323"/>
      <c r="AI575" s="323"/>
      <c r="AJ575" s="323"/>
      <c r="AK575" s="323"/>
      <c r="AL575" s="323"/>
      <c r="AM575" s="323"/>
      <c r="AN575" s="323"/>
      <c r="AO575" s="323"/>
      <c r="AP575" s="323"/>
      <c r="AQ575" s="323"/>
      <c r="AR575" s="323"/>
      <c r="AS575" s="323"/>
      <c r="AT575" s="323"/>
      <c r="AU575" s="323"/>
      <c r="AV575" s="323"/>
      <c r="AW575" s="323"/>
      <c r="AX575" s="323"/>
      <c r="AY575" s="323"/>
      <c r="AZ575" s="323"/>
      <c r="BA575" s="323"/>
      <c r="BB575" s="323"/>
      <c r="BC575" s="323"/>
      <c r="BD575" s="323"/>
      <c r="BE575" s="323"/>
      <c r="BF575" s="323"/>
      <c r="BG575" s="323"/>
      <c r="BH575" s="323"/>
      <c r="BI575" s="323"/>
      <c r="BJ575" s="323"/>
      <c r="BK575" s="323"/>
      <c r="BL575" s="323"/>
      <c r="BM575" s="323"/>
      <c r="BN575" s="323"/>
      <c r="BO575" s="323"/>
      <c r="BP575" s="323"/>
      <c r="BQ575" s="323"/>
      <c r="BR575" s="323"/>
      <c r="BS575" s="323"/>
      <c r="BT575" s="323"/>
      <c r="BU575" s="323"/>
      <c r="BV575" s="323"/>
      <c r="BW575" s="323"/>
      <c r="BX575" s="323"/>
      <c r="BY575" s="323"/>
      <c r="BZ575" s="323"/>
      <c r="CA575" s="323"/>
      <c r="CB575" s="323"/>
      <c r="CC575" s="323"/>
      <c r="CD575" s="323"/>
      <c r="CE575" s="324"/>
      <c r="CF575" s="323"/>
      <c r="CG575" s="323"/>
      <c r="CH575" s="323"/>
      <c r="CI575" s="323"/>
      <c r="CJ575" s="323"/>
      <c r="CK575" s="323"/>
      <c r="CL575" s="323"/>
      <c r="CM575" s="323"/>
      <c r="CN575" s="323"/>
      <c r="CO575" s="323"/>
      <c r="CP575" s="325"/>
      <c r="CQ575" s="323"/>
      <c r="CR575" s="323"/>
      <c r="CS575" s="323"/>
      <c r="CT575" s="323"/>
      <c r="CU575" s="323"/>
      <c r="CV575" s="323"/>
      <c r="CW575" s="323"/>
      <c r="CX575" s="323"/>
      <c r="CY575" s="323"/>
      <c r="CZ575" s="323"/>
      <c r="DA575" s="323"/>
      <c r="DB575" s="1269"/>
      <c r="DC575" s="323"/>
      <c r="DD575" s="323"/>
      <c r="DE575" s="323"/>
      <c r="DF575" s="323"/>
      <c r="DG575" s="323"/>
      <c r="DH575" s="323"/>
      <c r="DI575" s="323"/>
      <c r="DJ575" s="323"/>
      <c r="DK575" s="323"/>
      <c r="DL575" s="323"/>
      <c r="DM575" s="323"/>
      <c r="DN575" s="325"/>
      <c r="DO575" s="323"/>
      <c r="DP575" s="323"/>
      <c r="DQ575" s="323"/>
      <c r="DR575" s="323"/>
      <c r="DS575" s="323"/>
      <c r="DT575" s="323"/>
      <c r="DU575" s="323"/>
      <c r="DV575" s="323"/>
      <c r="DW575" s="323"/>
      <c r="DX575" s="323"/>
      <c r="DY575" s="323"/>
      <c r="DZ575" s="325"/>
      <c r="EA575" s="323"/>
      <c r="EB575" s="323"/>
      <c r="EC575" s="323"/>
      <c r="ED575" s="323"/>
      <c r="EE575" s="323"/>
      <c r="EF575" s="323"/>
      <c r="EG575" s="323"/>
      <c r="EH575" s="323"/>
      <c r="EI575" s="323"/>
      <c r="EJ575" s="323"/>
      <c r="EK575" s="323"/>
      <c r="EL575" s="325"/>
      <c r="EM575" s="323">
        <f t="shared" ref="EM575:EX575" si="366">EM243</f>
        <v>0</v>
      </c>
      <c r="EN575" s="323">
        <f t="shared" si="366"/>
        <v>0</v>
      </c>
      <c r="EO575" s="323">
        <f t="shared" si="366"/>
        <v>5.0329786810000003</v>
      </c>
      <c r="EP575" s="323">
        <f t="shared" si="366"/>
        <v>0</v>
      </c>
      <c r="EQ575" s="323">
        <f t="shared" si="366"/>
        <v>0</v>
      </c>
      <c r="ER575" s="323">
        <f t="shared" si="366"/>
        <v>4.2359017769999996</v>
      </c>
      <c r="ES575" s="323">
        <f t="shared" si="366"/>
        <v>0</v>
      </c>
      <c r="ET575" s="323">
        <f t="shared" si="366"/>
        <v>0</v>
      </c>
      <c r="EU575" s="323">
        <f t="shared" si="366"/>
        <v>4.5140113359999994</v>
      </c>
      <c r="EV575" s="323">
        <f t="shared" si="366"/>
        <v>0</v>
      </c>
      <c r="EW575" s="323">
        <f t="shared" si="366"/>
        <v>0</v>
      </c>
      <c r="EX575" s="325">
        <f t="shared" si="366"/>
        <v>6.1646746080000003</v>
      </c>
      <c r="EY575" s="323"/>
      <c r="EZ575" s="323"/>
      <c r="FA575" s="323"/>
      <c r="FB575" s="323"/>
      <c r="FC575" s="323"/>
      <c r="FD575" s="323"/>
      <c r="FE575" s="323"/>
      <c r="FF575" s="323"/>
      <c r="FG575" s="323"/>
      <c r="FH575" s="323"/>
      <c r="FI575" s="323"/>
      <c r="FJ575" s="325"/>
      <c r="FK575" s="323"/>
      <c r="FL575" s="323"/>
      <c r="FM575" s="323"/>
      <c r="FN575" s="323"/>
      <c r="FO575" s="323"/>
      <c r="FP575" s="323"/>
      <c r="FQ575" s="323"/>
      <c r="FR575" s="323"/>
      <c r="FS575" s="323"/>
      <c r="FT575" s="323"/>
      <c r="FU575" s="323"/>
      <c r="FV575" s="323"/>
      <c r="FW575" s="323"/>
      <c r="FX575" s="323"/>
      <c r="FY575" s="323"/>
      <c r="FZ575" s="323"/>
      <c r="GA575" s="323"/>
      <c r="GB575" s="323"/>
      <c r="GC575" s="323"/>
      <c r="GD575" s="323"/>
      <c r="GE575" s="323"/>
      <c r="GF575" s="323"/>
      <c r="GG575" s="323"/>
      <c r="GH575" s="323"/>
      <c r="GI575" s="323"/>
      <c r="GJ575" s="323"/>
      <c r="GK575" s="323"/>
      <c r="GL575" s="323"/>
      <c r="GM575" s="323"/>
      <c r="GN575" s="323"/>
      <c r="GO575" s="323"/>
      <c r="GP575" s="323"/>
      <c r="GQ575" s="323"/>
      <c r="GR575" s="323"/>
      <c r="GS575" s="323"/>
      <c r="GT575" s="323"/>
      <c r="GU575" s="323"/>
      <c r="GV575" s="323"/>
      <c r="GW575" s="323"/>
      <c r="GX575" s="323"/>
      <c r="GY575" s="323"/>
      <c r="GZ575" s="323"/>
      <c r="HA575" s="323"/>
      <c r="HB575" s="323"/>
      <c r="HC575" s="323"/>
      <c r="HD575" s="323"/>
      <c r="HE575" s="323"/>
      <c r="HF575" s="323"/>
      <c r="HG575" s="323"/>
      <c r="HH575" s="323"/>
      <c r="HI575" s="323"/>
      <c r="HJ575" s="323"/>
      <c r="HK575" s="323"/>
      <c r="HL575" s="323"/>
      <c r="HM575" s="323"/>
      <c r="HN575" s="323"/>
      <c r="HO575" s="323"/>
      <c r="HP575" s="323"/>
      <c r="HQ575" s="323"/>
      <c r="HR575" s="323"/>
      <c r="HS575" s="323"/>
      <c r="HT575" s="323"/>
      <c r="HU575" s="323"/>
      <c r="HV575" s="323"/>
      <c r="HW575" s="323"/>
      <c r="HX575" s="323"/>
      <c r="HY575" s="323"/>
      <c r="HZ575" s="326"/>
      <c r="IA575" s="1098" t="s">
        <v>1170</v>
      </c>
      <c r="IB575" s="1098"/>
      <c r="IC575" s="1098"/>
      <c r="ID575" s="323"/>
      <c r="IG575" s="323"/>
      <c r="IJ575" s="323"/>
      <c r="IM575" s="323"/>
      <c r="IN575" s="1066"/>
      <c r="IP575" s="323"/>
      <c r="IQ575" s="279">
        <f t="shared" si="353"/>
        <v>9.2688804579999999</v>
      </c>
      <c r="IR575" s="279">
        <f t="shared" si="354"/>
        <v>10.678685944</v>
      </c>
      <c r="IS575" s="323">
        <f t="shared" si="365"/>
        <v>19.947566402</v>
      </c>
      <c r="IT575" s="327"/>
      <c r="IV575" s="323"/>
      <c r="IW575" s="327"/>
      <c r="IY575" s="323"/>
      <c r="IZ575" s="327"/>
      <c r="JB575" s="323"/>
      <c r="JC575" s="327"/>
      <c r="JE575" s="323"/>
      <c r="JF575" s="327"/>
      <c r="JH575" s="323"/>
      <c r="JI575" s="327"/>
      <c r="JK575" s="323"/>
      <c r="JL575" s="327"/>
      <c r="JN575" s="323"/>
      <c r="JO575" s="323"/>
      <c r="KU575" s="326"/>
      <c r="KV575" s="327"/>
    </row>
    <row r="576" spans="2:314" hidden="1">
      <c r="B576" s="96" t="s">
        <v>338</v>
      </c>
      <c r="D576" s="322" t="str">
        <f>+FISC!D772</f>
        <v>Total Grants</v>
      </c>
      <c r="E576" s="323">
        <f t="shared" ref="E576:AJ576" si="367">E577+E582</f>
        <v>1.029621313</v>
      </c>
      <c r="F576" s="323">
        <f t="shared" si="367"/>
        <v>2.941942955</v>
      </c>
      <c r="G576" s="323">
        <f t="shared" si="367"/>
        <v>20.246580340000001</v>
      </c>
      <c r="H576" s="323">
        <f t="shared" si="367"/>
        <v>3.9784480960000002</v>
      </c>
      <c r="I576" s="323">
        <f t="shared" si="367"/>
        <v>30.615913346000003</v>
      </c>
      <c r="J576" s="323">
        <f t="shared" si="367"/>
        <v>70.885551095000011</v>
      </c>
      <c r="K576" s="323">
        <f t="shared" si="367"/>
        <v>1.117198742</v>
      </c>
      <c r="L576" s="323">
        <f t="shared" si="367"/>
        <v>8.6625460630000006</v>
      </c>
      <c r="M576" s="323">
        <f t="shared" si="367"/>
        <v>21.153440543999999</v>
      </c>
      <c r="N576" s="323">
        <f t="shared" si="367"/>
        <v>10.274025655999999</v>
      </c>
      <c r="O576" s="323">
        <f t="shared" si="367"/>
        <v>2.0354303389999999</v>
      </c>
      <c r="P576" s="323">
        <f t="shared" si="367"/>
        <v>34.352027606</v>
      </c>
      <c r="Q576" s="323">
        <f t="shared" si="367"/>
        <v>7.0713269639999998</v>
      </c>
      <c r="R576" s="323">
        <f t="shared" si="367"/>
        <v>0</v>
      </c>
      <c r="S576" s="323">
        <f t="shared" si="367"/>
        <v>61.582229455999993</v>
      </c>
      <c r="T576" s="323">
        <f t="shared" si="367"/>
        <v>0.24031845799999998</v>
      </c>
      <c r="U576" s="323">
        <f t="shared" si="367"/>
        <v>36.651045891000003</v>
      </c>
      <c r="V576" s="323">
        <f t="shared" si="367"/>
        <v>51.632170015</v>
      </c>
      <c r="W576" s="323">
        <f t="shared" si="367"/>
        <v>1.813009278</v>
      </c>
      <c r="X576" s="323">
        <f t="shared" si="367"/>
        <v>8.8946221609999991</v>
      </c>
      <c r="Y576" s="323">
        <f t="shared" si="367"/>
        <v>31.20712941</v>
      </c>
      <c r="Z576" s="323">
        <f t="shared" si="367"/>
        <v>18.851372507000001</v>
      </c>
      <c r="AA576" s="323">
        <f t="shared" si="367"/>
        <v>2.7449506380000002</v>
      </c>
      <c r="AB576" s="323">
        <f t="shared" si="367"/>
        <v>59.087205908999991</v>
      </c>
      <c r="AC576" s="323">
        <f t="shared" si="367"/>
        <v>0</v>
      </c>
      <c r="AD576" s="323">
        <f t="shared" si="367"/>
        <v>7.5460620000000009</v>
      </c>
      <c r="AE576" s="323">
        <f t="shared" si="367"/>
        <v>31.075787542999997</v>
      </c>
      <c r="AF576" s="323">
        <f t="shared" si="367"/>
        <v>51.132849105999995</v>
      </c>
      <c r="AG576" s="323">
        <f t="shared" si="367"/>
        <v>1.922652555</v>
      </c>
      <c r="AH576" s="323">
        <f t="shared" si="367"/>
        <v>51.792859448000002</v>
      </c>
      <c r="AI576" s="323">
        <f t="shared" si="367"/>
        <v>13.403235237000001</v>
      </c>
      <c r="AJ576" s="323">
        <f t="shared" si="367"/>
        <v>3.5717679769999999</v>
      </c>
      <c r="AK576" s="323">
        <f t="shared" ref="AK576:BP576" si="368">AK577+AK582</f>
        <v>76.057301081000006</v>
      </c>
      <c r="AL576" s="323">
        <f t="shared" si="368"/>
        <v>53.195301256</v>
      </c>
      <c r="AM576" s="323">
        <f t="shared" si="368"/>
        <v>7.5764551739999995</v>
      </c>
      <c r="AN576" s="323">
        <f t="shared" si="368"/>
        <v>50.122866396999989</v>
      </c>
      <c r="AO576" s="323">
        <f t="shared" si="368"/>
        <v>21.649201587</v>
      </c>
      <c r="AP576" s="323">
        <f t="shared" si="368"/>
        <v>0</v>
      </c>
      <c r="AQ576" s="323">
        <f t="shared" si="368"/>
        <v>35.321344279999998</v>
      </c>
      <c r="AR576" s="323">
        <f t="shared" si="368"/>
        <v>12.581843562</v>
      </c>
      <c r="AS576" s="323">
        <f t="shared" si="368"/>
        <v>9.056692696999999</v>
      </c>
      <c r="AT576" s="323">
        <f t="shared" si="368"/>
        <v>124.565289525</v>
      </c>
      <c r="AU576" s="323">
        <f t="shared" si="368"/>
        <v>6.1597314819999998</v>
      </c>
      <c r="AV576" s="323">
        <f t="shared" si="368"/>
        <v>4.7773699999999995</v>
      </c>
      <c r="AW576" s="323">
        <f t="shared" si="368"/>
        <v>92.922261999999989</v>
      </c>
      <c r="AX576" s="323">
        <f t="shared" si="368"/>
        <v>26.394771204000001</v>
      </c>
      <c r="AY576" s="323">
        <f t="shared" si="368"/>
        <v>6.9810858910000002</v>
      </c>
      <c r="AZ576" s="323">
        <f t="shared" si="368"/>
        <v>104.142312999</v>
      </c>
      <c r="BA576" s="323">
        <f t="shared" si="368"/>
        <v>0.531323502</v>
      </c>
      <c r="BB576" s="323">
        <f t="shared" si="368"/>
        <v>5.2342624570000007</v>
      </c>
      <c r="BC576" s="323">
        <f t="shared" si="368"/>
        <v>26.460102192000001</v>
      </c>
      <c r="BD576" s="323">
        <f t="shared" si="368"/>
        <v>67.936107326759995</v>
      </c>
      <c r="BE576" s="323">
        <f t="shared" si="368"/>
        <v>1.03516734123</v>
      </c>
      <c r="BF576" s="323">
        <f t="shared" si="368"/>
        <v>37.818550885999997</v>
      </c>
      <c r="BG576" s="323">
        <f t="shared" si="368"/>
        <v>41.011713339000003</v>
      </c>
      <c r="BH576" s="323">
        <f t="shared" si="368"/>
        <v>37.631219074000001</v>
      </c>
      <c r="BI576" s="323">
        <f t="shared" si="368"/>
        <v>58.204305503</v>
      </c>
      <c r="BJ576" s="323">
        <f t="shared" si="368"/>
        <v>76.582871436000005</v>
      </c>
      <c r="BK576" s="323">
        <f t="shared" si="368"/>
        <v>4.6969805640000004</v>
      </c>
      <c r="BL576" s="323">
        <f t="shared" si="368"/>
        <v>100.61895018300001</v>
      </c>
      <c r="BM576" s="323">
        <f t="shared" si="368"/>
        <v>2.2913186510000001</v>
      </c>
      <c r="BN576" s="323">
        <f t="shared" si="368"/>
        <v>4.1133515819999991</v>
      </c>
      <c r="BO576" s="323">
        <f t="shared" si="368"/>
        <v>39.880174020999995</v>
      </c>
      <c r="BP576" s="323">
        <f t="shared" si="368"/>
        <v>0.244489505</v>
      </c>
      <c r="BQ576" s="323">
        <f t="shared" ref="BQ576:CV576" si="369">BQ577+BQ582</f>
        <v>0.210040425</v>
      </c>
      <c r="BR576" s="323">
        <f t="shared" si="369"/>
        <v>99.473223590625764</v>
      </c>
      <c r="BS576" s="323">
        <f t="shared" si="369"/>
        <v>41.339599451901627</v>
      </c>
      <c r="BT576" s="323">
        <f t="shared" si="369"/>
        <v>14.863909459931111</v>
      </c>
      <c r="BU576" s="323">
        <f t="shared" si="369"/>
        <v>22.945002676272118</v>
      </c>
      <c r="BV576" s="323">
        <f t="shared" si="369"/>
        <v>48.35237651825814</v>
      </c>
      <c r="BW576" s="323">
        <f t="shared" si="369"/>
        <v>41.538890177774903</v>
      </c>
      <c r="BX576" s="323">
        <f t="shared" si="369"/>
        <v>32.074274932185176</v>
      </c>
      <c r="BY576" s="323">
        <f t="shared" si="369"/>
        <v>5.3243199074185432E-4</v>
      </c>
      <c r="BZ576" s="323">
        <f t="shared" si="369"/>
        <v>4.0420954691215796</v>
      </c>
      <c r="CA576" s="323">
        <f t="shared" si="369"/>
        <v>21.91745053152469</v>
      </c>
      <c r="CB576" s="323">
        <f t="shared" si="369"/>
        <v>37.905873518997652</v>
      </c>
      <c r="CC576" s="323">
        <f t="shared" si="369"/>
        <v>50.3250031442698</v>
      </c>
      <c r="CD576" s="323">
        <f t="shared" si="369"/>
        <v>43.125115180714218</v>
      </c>
      <c r="CE576" s="324">
        <f t="shared" si="369"/>
        <v>31.718805555905767</v>
      </c>
      <c r="CF576" s="323">
        <f t="shared" si="369"/>
        <v>38.907002073399845</v>
      </c>
      <c r="CG576" s="323">
        <f t="shared" si="369"/>
        <v>76.363794870817969</v>
      </c>
      <c r="CH576" s="323">
        <f t="shared" si="369"/>
        <v>48.656347242813837</v>
      </c>
      <c r="CI576" s="323">
        <f t="shared" si="369"/>
        <v>36.239050340761018</v>
      </c>
      <c r="CJ576" s="323">
        <f t="shared" si="369"/>
        <v>63.172935479123936</v>
      </c>
      <c r="CK576" s="323">
        <f t="shared" si="369"/>
        <v>22.819864211262146</v>
      </c>
      <c r="CL576" s="323">
        <f t="shared" si="369"/>
        <v>15.431886799263191</v>
      </c>
      <c r="CM576" s="323">
        <f t="shared" si="369"/>
        <v>15.611922068671143</v>
      </c>
      <c r="CN576" s="323">
        <f t="shared" si="369"/>
        <v>60.505557469079797</v>
      </c>
      <c r="CO576" s="323">
        <f t="shared" si="369"/>
        <v>36.84796507284814</v>
      </c>
      <c r="CP576" s="325">
        <f t="shared" si="369"/>
        <v>31.555422106827571</v>
      </c>
      <c r="CQ576" s="323">
        <f t="shared" si="369"/>
        <v>34.914057703902671</v>
      </c>
      <c r="CR576" s="323">
        <f t="shared" si="369"/>
        <v>20.696341467913697</v>
      </c>
      <c r="CS576" s="323">
        <f t="shared" si="369"/>
        <v>50.498733040327558</v>
      </c>
      <c r="CT576" s="323">
        <f t="shared" si="369"/>
        <v>27.888194363462738</v>
      </c>
      <c r="CU576" s="323">
        <f t="shared" si="369"/>
        <v>40.614184835607574</v>
      </c>
      <c r="CV576" s="323">
        <f t="shared" si="369"/>
        <v>120.60058731836028</v>
      </c>
      <c r="CW576" s="323">
        <f t="shared" ref="CW576:EB576" si="370">CW577+CW582</f>
        <v>19.573028877812749</v>
      </c>
      <c r="CX576" s="323">
        <f t="shared" si="370"/>
        <v>20.800473939341533</v>
      </c>
      <c r="CY576" s="323">
        <f t="shared" si="370"/>
        <v>53.489128867156744</v>
      </c>
      <c r="CZ576" s="323">
        <f t="shared" si="370"/>
        <v>28.822379986447629</v>
      </c>
      <c r="DA576" s="323">
        <f t="shared" si="370"/>
        <v>68.03735852736709</v>
      </c>
      <c r="DB576" s="1269">
        <f t="shared" si="370"/>
        <v>21.766297427932727</v>
      </c>
      <c r="DC576" s="323">
        <f t="shared" si="370"/>
        <v>32.400209890961769</v>
      </c>
      <c r="DD576" s="323">
        <f t="shared" si="370"/>
        <v>25.238508493483067</v>
      </c>
      <c r="DE576" s="323">
        <f t="shared" si="370"/>
        <v>52.292392717658359</v>
      </c>
      <c r="DF576" s="323">
        <f t="shared" si="370"/>
        <v>10.908321785869528</v>
      </c>
      <c r="DG576" s="323">
        <f t="shared" si="370"/>
        <v>69.104080388845532</v>
      </c>
      <c r="DH576" s="323">
        <f t="shared" si="370"/>
        <v>52.460886120821954</v>
      </c>
      <c r="DI576" s="323">
        <f t="shared" si="370"/>
        <v>10.545488346356837</v>
      </c>
      <c r="DJ576" s="323">
        <f t="shared" si="370"/>
        <v>14.609555888491089</v>
      </c>
      <c r="DK576" s="323">
        <f t="shared" si="370"/>
        <v>15.649855658527972</v>
      </c>
      <c r="DL576" s="323">
        <f t="shared" si="370"/>
        <v>95.00901000936868</v>
      </c>
      <c r="DM576" s="323">
        <f t="shared" si="370"/>
        <v>19.764570606907409</v>
      </c>
      <c r="DN576" s="325">
        <f t="shared" si="370"/>
        <v>49.888534523890989</v>
      </c>
      <c r="DO576" s="323">
        <f t="shared" si="370"/>
        <v>31.015504144282669</v>
      </c>
      <c r="DP576" s="323">
        <f t="shared" si="370"/>
        <v>8.2161518030501934</v>
      </c>
      <c r="DQ576" s="323">
        <f t="shared" si="370"/>
        <v>20.595621723063456</v>
      </c>
      <c r="DR576" s="323">
        <f t="shared" si="370"/>
        <v>3.6290927906166637</v>
      </c>
      <c r="DS576" s="323">
        <f t="shared" si="370"/>
        <v>25.645707059336935</v>
      </c>
      <c r="DT576" s="323">
        <f t="shared" si="370"/>
        <v>60.796062320206318</v>
      </c>
      <c r="DU576" s="323">
        <f t="shared" si="370"/>
        <v>47.723603438306668</v>
      </c>
      <c r="DV576" s="323">
        <f t="shared" si="370"/>
        <v>0.11601552919114091</v>
      </c>
      <c r="DW576" s="323">
        <f t="shared" si="370"/>
        <v>10.626303189291175</v>
      </c>
      <c r="DX576" s="323">
        <f t="shared" si="370"/>
        <v>36.547546744025063</v>
      </c>
      <c r="DY576" s="323">
        <f t="shared" si="370"/>
        <v>8.9967379106745002E-2</v>
      </c>
      <c r="DZ576" s="325">
        <f t="shared" si="370"/>
        <v>53.154917992908146</v>
      </c>
      <c r="EA576" s="323">
        <f t="shared" si="370"/>
        <v>50.819521144691748</v>
      </c>
      <c r="EB576" s="323">
        <f t="shared" si="370"/>
        <v>20.000822207397739</v>
      </c>
      <c r="EC576" s="323">
        <f t="shared" ref="EC576:EL576" si="371">EC577+EC582</f>
        <v>25.438930828910504</v>
      </c>
      <c r="ED576" s="323">
        <f t="shared" si="371"/>
        <v>37.454915894690394</v>
      </c>
      <c r="EE576" s="323">
        <f t="shared" si="371"/>
        <v>32.892282155344802</v>
      </c>
      <c r="EF576" s="323">
        <f t="shared" si="371"/>
        <v>65.138027581892828</v>
      </c>
      <c r="EG576" s="323">
        <f t="shared" si="371"/>
        <v>47.235330422101754</v>
      </c>
      <c r="EH576" s="323">
        <f t="shared" si="371"/>
        <v>19.58655873456177</v>
      </c>
      <c r="EI576" s="323">
        <f t="shared" si="371"/>
        <v>53.202958925423353</v>
      </c>
      <c r="EJ576" s="323">
        <f t="shared" si="371"/>
        <v>39.256331307578606</v>
      </c>
      <c r="EK576" s="323">
        <f t="shared" si="371"/>
        <v>8.1870040894561527</v>
      </c>
      <c r="EL576" s="325">
        <f t="shared" si="371"/>
        <v>31.610559697967894</v>
      </c>
      <c r="EM576" s="323">
        <f t="shared" ref="EM576:ER576" si="372">EM577+EM582</f>
        <v>30.002053536767601</v>
      </c>
      <c r="EN576" s="323">
        <f t="shared" si="372"/>
        <v>45.3803391083446</v>
      </c>
      <c r="EO576" s="323">
        <f t="shared" si="372"/>
        <v>32.362725833465511</v>
      </c>
      <c r="EP576" s="323">
        <f t="shared" si="372"/>
        <v>25.737223252567727</v>
      </c>
      <c r="EQ576" s="323">
        <f t="shared" si="372"/>
        <v>8.589162902411001</v>
      </c>
      <c r="ER576" s="323">
        <f t="shared" si="372"/>
        <v>123.96399848586699</v>
      </c>
      <c r="ES576" s="323">
        <f t="shared" ref="ES576:EX576" si="373">ES577+ES582</f>
        <v>39.83728634640191</v>
      </c>
      <c r="ET576" s="323">
        <f t="shared" si="373"/>
        <v>65.976608559475267</v>
      </c>
      <c r="EU576" s="323">
        <f t="shared" si="373"/>
        <v>26.514573091925122</v>
      </c>
      <c r="EV576" s="323">
        <f t="shared" si="373"/>
        <v>46.792222648419965</v>
      </c>
      <c r="EW576" s="323">
        <f t="shared" si="373"/>
        <v>9.2735813359162655</v>
      </c>
      <c r="EX576" s="325">
        <f t="shared" si="373"/>
        <v>26.749531894799262</v>
      </c>
      <c r="EY576" s="323"/>
      <c r="EZ576" s="323"/>
      <c r="FA576" s="323"/>
      <c r="FB576" s="323"/>
      <c r="FC576" s="323"/>
      <c r="FD576" s="323"/>
      <c r="FE576" s="323"/>
      <c r="FF576" s="323"/>
      <c r="FG576" s="323"/>
      <c r="FH576" s="323"/>
      <c r="FI576" s="323"/>
      <c r="FJ576" s="325"/>
      <c r="FK576" s="323"/>
      <c r="FL576" s="323"/>
      <c r="FM576" s="323"/>
      <c r="FN576" s="323"/>
      <c r="FO576" s="323"/>
      <c r="FP576" s="323"/>
      <c r="FQ576" s="323"/>
      <c r="FR576" s="323"/>
      <c r="FS576" s="323"/>
      <c r="FT576" s="323"/>
      <c r="FU576" s="323"/>
      <c r="FV576" s="323"/>
      <c r="FW576" s="323"/>
      <c r="FX576" s="323"/>
      <c r="FY576" s="323"/>
      <c r="FZ576" s="323"/>
      <c r="GA576" s="323"/>
      <c r="GB576" s="323"/>
      <c r="GC576" s="323"/>
      <c r="GD576" s="323"/>
      <c r="GE576" s="323"/>
      <c r="GF576" s="323"/>
      <c r="GG576" s="323"/>
      <c r="GH576" s="323"/>
      <c r="GI576" s="323"/>
      <c r="GJ576" s="323"/>
      <c r="GK576" s="323"/>
      <c r="GL576" s="323"/>
      <c r="GM576" s="323"/>
      <c r="GN576" s="323"/>
      <c r="GO576" s="323"/>
      <c r="GP576" s="323"/>
      <c r="GQ576" s="323"/>
      <c r="GR576" s="323"/>
      <c r="GS576" s="323"/>
      <c r="GT576" s="323"/>
      <c r="GU576" s="323"/>
      <c r="GV576" s="323"/>
      <c r="GW576" s="323"/>
      <c r="GX576" s="323"/>
      <c r="GY576" s="323"/>
      <c r="GZ576" s="323"/>
      <c r="HA576" s="323"/>
      <c r="HB576" s="323"/>
      <c r="HC576" s="323"/>
      <c r="HD576" s="323"/>
      <c r="HE576" s="323"/>
      <c r="HF576" s="323"/>
      <c r="HG576" s="323"/>
      <c r="HH576" s="323"/>
      <c r="HI576" s="323"/>
      <c r="HJ576" s="323"/>
      <c r="HK576" s="323"/>
      <c r="HL576" s="323"/>
      <c r="HM576" s="323"/>
      <c r="HN576" s="323"/>
      <c r="HO576" s="323"/>
      <c r="HP576" s="323"/>
      <c r="HQ576" s="323"/>
      <c r="HR576" s="323"/>
      <c r="HS576" s="323"/>
      <c r="HT576" s="323"/>
      <c r="HU576" s="323"/>
      <c r="HV576" s="323"/>
      <c r="HW576" s="323"/>
      <c r="HX576" s="323"/>
      <c r="HY576" s="323"/>
      <c r="HZ576" s="326"/>
      <c r="IA576" s="322" t="s">
        <v>125</v>
      </c>
      <c r="IB576" s="322"/>
      <c r="IC576" s="322"/>
      <c r="ID576" s="323">
        <f>+FISC!Z772</f>
        <v>415.91369751440271</v>
      </c>
      <c r="IE576" s="279">
        <f>IE577+IE582</f>
        <v>295.21209872957456</v>
      </c>
      <c r="IF576" s="279">
        <f>IF577+IF582</f>
        <v>212.48866762605849</v>
      </c>
      <c r="IG576" s="323">
        <f>IG577+IG582</f>
        <v>507.70076635563299</v>
      </c>
      <c r="IH576" s="327">
        <f>+IH577+IH582</f>
        <v>242.40439939764025</v>
      </c>
      <c r="II576" s="327">
        <f>+II577+II582</f>
        <v>205.46701503354299</v>
      </c>
      <c r="IJ576" s="323">
        <f>IH576+II576</f>
        <v>447.87141443118321</v>
      </c>
      <c r="IK576" s="327">
        <f>+IK577+IK582</f>
        <v>149.89813984055624</v>
      </c>
      <c r="IL576" s="327">
        <f>+IL577+IL582</f>
        <v>148.25835427282894</v>
      </c>
      <c r="IM576" s="323">
        <f t="shared" si="309"/>
        <v>298.15649411338518</v>
      </c>
      <c r="IN576" s="960">
        <f>+IN577+IN582</f>
        <v>194.76461911498851</v>
      </c>
      <c r="IO576" s="327">
        <f>+IO577+IO582</f>
        <v>164.14405775372194</v>
      </c>
      <c r="IP576" s="323">
        <f>FISC!AC772</f>
        <v>358.90867686871047</v>
      </c>
      <c r="IQ576" s="279">
        <f t="shared" si="353"/>
        <v>266.03550311942342</v>
      </c>
      <c r="IR576" s="279">
        <f t="shared" si="354"/>
        <v>215.1438038769378</v>
      </c>
      <c r="IS576" s="323">
        <f t="shared" si="365"/>
        <v>481.17930699636122</v>
      </c>
      <c r="IT576" s="327">
        <f>+(IT577+IT582)</f>
        <v>221.14359889992647</v>
      </c>
      <c r="IU576" s="327">
        <f>+IU577+IU582</f>
        <v>210.93867897822892</v>
      </c>
      <c r="IV576" s="323">
        <f>+FISC!AE772</f>
        <v>432.08227787815542</v>
      </c>
      <c r="IW576" s="327">
        <f>+IW577+IW582</f>
        <v>242.17018031472651</v>
      </c>
      <c r="IX576" s="279">
        <f t="shared" si="291"/>
        <v>250.15350467601741</v>
      </c>
      <c r="IY576" s="323">
        <f>+FISC!AF772</f>
        <v>492.32368499074391</v>
      </c>
      <c r="IZ576" s="327">
        <f>+IZ577+IZ582</f>
        <v>340.02043717896248</v>
      </c>
      <c r="JA576" s="279">
        <f t="shared" si="360"/>
        <v>496.18969731323097</v>
      </c>
      <c r="JB576" s="323">
        <f>+FISC!AG772</f>
        <v>836.21013449219345</v>
      </c>
      <c r="JC576" s="327">
        <f>+JC577+JC582</f>
        <v>274.88739932921771</v>
      </c>
      <c r="JD576" s="279">
        <f t="shared" si="280"/>
        <v>436.40675363032256</v>
      </c>
      <c r="JE576" s="323">
        <f>+FISC!AH772</f>
        <v>711.29415295954027</v>
      </c>
      <c r="JF576" s="327">
        <f>+JF577+JF582</f>
        <v>345.58022515940763</v>
      </c>
      <c r="JG576" s="279">
        <f t="shared" si="281"/>
        <v>412.23641543065389</v>
      </c>
      <c r="JH576" s="323">
        <f>+FISC!AI772</f>
        <v>757.81664059006152</v>
      </c>
      <c r="JI576" s="327">
        <f>+JI577+JI582</f>
        <v>360.69034145472824</v>
      </c>
      <c r="JJ576" s="279">
        <f t="shared" si="282"/>
        <v>262.38268183523201</v>
      </c>
      <c r="JK576" s="323">
        <f>+FISC!AJ772</f>
        <v>623.07302328996025</v>
      </c>
      <c r="JL576" s="327">
        <f>+JL577+JL582</f>
        <v>322.30763537469227</v>
      </c>
      <c r="JM576" s="279">
        <f t="shared" si="283"/>
        <v>-322.30763537469227</v>
      </c>
      <c r="JN576" s="323">
        <f>+FISC!AK772</f>
        <v>0</v>
      </c>
      <c r="JO576" s="323"/>
      <c r="KU576" s="326"/>
      <c r="KV576" s="327"/>
      <c r="KY576" s="279">
        <f>KY577+KY582</f>
        <v>0</v>
      </c>
      <c r="KZ576" s="279">
        <f>KZ577+KZ582</f>
        <v>0</v>
      </c>
      <c r="LA576" s="279">
        <f>LA577+LA582</f>
        <v>0</v>
      </c>
      <c r="LB576" s="279">
        <f>LB577+LB582</f>
        <v>0</v>
      </c>
    </row>
    <row r="577" spans="1:314" hidden="1">
      <c r="B577" s="96" t="s">
        <v>338</v>
      </c>
      <c r="D577" s="569" t="str">
        <f>+FISC!D773</f>
        <v>Budgetary grants</v>
      </c>
      <c r="E577" s="323">
        <v>1.029621313</v>
      </c>
      <c r="F577" s="323">
        <v>2.941942955</v>
      </c>
      <c r="G577" s="323">
        <v>1.1505803399999999</v>
      </c>
      <c r="H577" s="323">
        <v>3.9784480960000002</v>
      </c>
      <c r="I577" s="323">
        <v>30.615913346000003</v>
      </c>
      <c r="J577" s="323">
        <v>51.965551095000002</v>
      </c>
      <c r="K577" s="323">
        <v>1.117198742</v>
      </c>
      <c r="L577" s="323">
        <v>8.6625460630000006</v>
      </c>
      <c r="M577" s="323">
        <v>0.825440544</v>
      </c>
      <c r="N577" s="323">
        <v>10.274025655999999</v>
      </c>
      <c r="O577" s="323">
        <v>2.0354303389999999</v>
      </c>
      <c r="P577" s="323">
        <v>18.696027606000001</v>
      </c>
      <c r="Q577" s="323">
        <v>7.0713269639999998</v>
      </c>
      <c r="R577" s="323">
        <v>0</v>
      </c>
      <c r="S577" s="323">
        <v>47.972159455999993</v>
      </c>
      <c r="T577" s="323">
        <v>0.24031845799999998</v>
      </c>
      <c r="U577" s="323">
        <v>36.651045891000003</v>
      </c>
      <c r="V577" s="323">
        <v>30.353750014999999</v>
      </c>
      <c r="W577" s="323">
        <v>1.813009278</v>
      </c>
      <c r="X577" s="323">
        <v>8.8946221609999991</v>
      </c>
      <c r="Y577" s="323">
        <v>10.554829409999998</v>
      </c>
      <c r="Z577" s="323">
        <v>18.851372507000001</v>
      </c>
      <c r="AA577" s="323">
        <v>2.7449506380000002</v>
      </c>
      <c r="AB577" s="323">
        <v>20.533005909</v>
      </c>
      <c r="AC577" s="323">
        <v>0</v>
      </c>
      <c r="AD577" s="323">
        <v>7.5460620000000009</v>
      </c>
      <c r="AE577" s="323">
        <v>3.8527875429999998</v>
      </c>
      <c r="AF577" s="323">
        <v>51.132849105999995</v>
      </c>
      <c r="AG577" s="323">
        <v>1.922652555</v>
      </c>
      <c r="AH577" s="323">
        <v>37.021962551999998</v>
      </c>
      <c r="AI577" s="323">
        <v>13.403235237000001</v>
      </c>
      <c r="AJ577" s="323">
        <v>3.5717679769999999</v>
      </c>
      <c r="AK577" s="323">
        <v>44.113459689999999</v>
      </c>
      <c r="AL577" s="323">
        <v>53.195301256</v>
      </c>
      <c r="AM577" s="323">
        <v>7.5764551739999995</v>
      </c>
      <c r="AN577" s="323">
        <v>10.268108200999999</v>
      </c>
      <c r="AO577" s="323">
        <v>21.649201587</v>
      </c>
      <c r="AP577" s="323">
        <v>0</v>
      </c>
      <c r="AQ577" s="323">
        <v>8.0213442799999992</v>
      </c>
      <c r="AR577" s="323">
        <v>12.581843562</v>
      </c>
      <c r="AS577" s="323">
        <v>9.056692696999999</v>
      </c>
      <c r="AT577" s="323">
        <v>97.265289525</v>
      </c>
      <c r="AU577" s="323">
        <v>6.1597314819999998</v>
      </c>
      <c r="AV577" s="323">
        <v>4.7773699999999995</v>
      </c>
      <c r="AW577" s="323">
        <v>58.822261999999988</v>
      </c>
      <c r="AX577" s="323">
        <v>26.394771204000001</v>
      </c>
      <c r="AY577" s="323">
        <v>6.9810858910000002</v>
      </c>
      <c r="AZ577" s="323">
        <v>24.142312999000001</v>
      </c>
      <c r="BA577" s="323">
        <v>0.531323502</v>
      </c>
      <c r="BB577" s="323">
        <v>5.2342624570000007</v>
      </c>
      <c r="BC577" s="323">
        <v>1.0111021920000001</v>
      </c>
      <c r="BD577" s="323">
        <v>67.936107326759995</v>
      </c>
      <c r="BE577" s="323">
        <v>1.03516734123</v>
      </c>
      <c r="BF577" s="323">
        <v>13.367550886</v>
      </c>
      <c r="BG577" s="323">
        <v>41.011713339000003</v>
      </c>
      <c r="BH577" s="323">
        <v>37.631219074000001</v>
      </c>
      <c r="BI577" s="323">
        <v>29.764305502999996</v>
      </c>
      <c r="BJ577" s="323">
        <v>25.662271436000001</v>
      </c>
      <c r="BK577" s="323">
        <v>4.6969805640000004</v>
      </c>
      <c r="BL577" s="323">
        <v>72.178950183000012</v>
      </c>
      <c r="BM577" s="323">
        <v>2.2913186510000001</v>
      </c>
      <c r="BN577" s="323">
        <v>4.1133515819999991</v>
      </c>
      <c r="BO577" s="323">
        <v>11.480174020999998</v>
      </c>
      <c r="BP577" s="323">
        <v>0.244489505</v>
      </c>
      <c r="BQ577" s="323">
        <v>0.210040425</v>
      </c>
      <c r="BR577" s="323">
        <v>36.401174263000001</v>
      </c>
      <c r="BS577" s="323">
        <v>29.136299999999999</v>
      </c>
      <c r="BT577" s="323">
        <v>5.0500000000000003E-2</v>
      </c>
      <c r="BU577" s="323">
        <v>16.354800000000001</v>
      </c>
      <c r="BV577" s="323">
        <v>40.385982536352834</v>
      </c>
      <c r="BW577" s="323">
        <v>0</v>
      </c>
      <c r="BX577" s="323">
        <v>3.0729541479283036</v>
      </c>
      <c r="BY577" s="323">
        <v>5.260235500000876E-4</v>
      </c>
      <c r="BZ577" s="323">
        <v>9.1826426500000002E-2</v>
      </c>
      <c r="CA577" s="323">
        <v>12.982690138090351</v>
      </c>
      <c r="CB577" s="323">
        <v>31.033814600552404</v>
      </c>
      <c r="CC577" s="323">
        <v>17.757997552074478</v>
      </c>
      <c r="CD577" s="323">
        <v>32.66273206789338</v>
      </c>
      <c r="CE577" s="324">
        <f>CE578+CE579</f>
        <v>11.074034852134075</v>
      </c>
      <c r="CF577" s="323">
        <f t="shared" ref="CF577:DN577" si="374">CF578+CF579</f>
        <v>32.700150377666034</v>
      </c>
      <c r="CG577" s="323">
        <f t="shared" si="374"/>
        <v>42.709039008523469</v>
      </c>
      <c r="CH577" s="323">
        <f t="shared" si="374"/>
        <v>8.4914818258642306</v>
      </c>
      <c r="CI577" s="323">
        <f t="shared" si="374"/>
        <v>2.9367541546255658</v>
      </c>
      <c r="CJ577" s="323">
        <f t="shared" si="374"/>
        <v>39.867508568122986</v>
      </c>
      <c r="CK577" s="323">
        <f t="shared" si="374"/>
        <v>0.4505358125808413</v>
      </c>
      <c r="CL577" s="323">
        <f t="shared" si="374"/>
        <v>6.1572929790496084E-2</v>
      </c>
      <c r="CM577" s="323">
        <f t="shared" si="374"/>
        <v>0.3515643368251512</v>
      </c>
      <c r="CN577" s="323">
        <f t="shared" si="374"/>
        <v>5.4239322156195868</v>
      </c>
      <c r="CO577" s="323">
        <f t="shared" si="374"/>
        <v>20.746242148937966</v>
      </c>
      <c r="CP577" s="325">
        <f t="shared" si="374"/>
        <v>9.7559618135149808</v>
      </c>
      <c r="CQ577" s="323">
        <f t="shared" si="374"/>
        <v>18.040550981106584</v>
      </c>
      <c r="CR577" s="323">
        <f t="shared" si="374"/>
        <v>0.12200895096768052</v>
      </c>
      <c r="CS577" s="323">
        <f t="shared" si="374"/>
        <v>36.821572280069667</v>
      </c>
      <c r="CT577" s="323">
        <f t="shared" si="374"/>
        <v>4.922131509592969</v>
      </c>
      <c r="CU577" s="323">
        <f t="shared" si="374"/>
        <v>14.821926476595234</v>
      </c>
      <c r="CV577" s="323">
        <f t="shared" si="374"/>
        <v>95.005863574203687</v>
      </c>
      <c r="CW577" s="323">
        <f t="shared" si="374"/>
        <v>0.73772674950062389</v>
      </c>
      <c r="CX577" s="323">
        <f t="shared" si="374"/>
        <v>0.10705233474635278</v>
      </c>
      <c r="CY577" s="323">
        <f t="shared" si="374"/>
        <v>35.240026321382061</v>
      </c>
      <c r="CZ577" s="323">
        <f t="shared" si="374"/>
        <v>16.274886881398039</v>
      </c>
      <c r="DA577" s="323">
        <f t="shared" si="374"/>
        <v>43.400342935445799</v>
      </c>
      <c r="DB577" s="1269">
        <f t="shared" si="374"/>
        <v>1.1729798462216148</v>
      </c>
      <c r="DC577" s="323">
        <f t="shared" si="374"/>
        <v>18.9425515928632</v>
      </c>
      <c r="DD577" s="323">
        <f t="shared" si="374"/>
        <v>6.2084663164</v>
      </c>
      <c r="DE577" s="323">
        <f t="shared" si="374"/>
        <v>36.410093192840002</v>
      </c>
      <c r="DF577" s="323">
        <f t="shared" si="374"/>
        <v>0.54977357599999999</v>
      </c>
      <c r="DG577" s="323">
        <f t="shared" si="374"/>
        <v>60.008113386810507</v>
      </c>
      <c r="DH577" s="323">
        <f>DH578+DH579</f>
        <v>23.54540133272652</v>
      </c>
      <c r="DI577" s="323">
        <f t="shared" si="374"/>
        <v>0.90769008284927133</v>
      </c>
      <c r="DJ577" s="323">
        <f t="shared" si="374"/>
        <v>3.1040640610681085</v>
      </c>
      <c r="DK577" s="323">
        <f t="shared" si="374"/>
        <v>0.69314574945851271</v>
      </c>
      <c r="DL577" s="323">
        <f t="shared" si="374"/>
        <v>84.090533561255782</v>
      </c>
      <c r="DM577" s="323">
        <f t="shared" si="374"/>
        <v>0.47753502487499827</v>
      </c>
      <c r="DN577" s="325">
        <f t="shared" si="374"/>
        <v>43.994046554036288</v>
      </c>
      <c r="DO577" s="323">
        <f t="shared" ref="DO577:DT577" si="375">DO578+DO579</f>
        <v>26.446531884233437</v>
      </c>
      <c r="DP577" s="323">
        <f t="shared" si="375"/>
        <v>6.2185023440912799</v>
      </c>
      <c r="DQ577" s="323">
        <f t="shared" si="375"/>
        <v>0.73779236735305298</v>
      </c>
      <c r="DR577" s="323">
        <f t="shared" si="375"/>
        <v>0.6036083373272414</v>
      </c>
      <c r="DS577" s="323">
        <f t="shared" si="375"/>
        <v>25.645707059336935</v>
      </c>
      <c r="DT577" s="323">
        <f t="shared" si="375"/>
        <v>60.796062320206318</v>
      </c>
      <c r="DU577" s="323">
        <f t="shared" ref="DU577:DZ577" si="376">DU578+DU579</f>
        <v>31.850267446306667</v>
      </c>
      <c r="DV577" s="323">
        <f t="shared" si="376"/>
        <v>0.11601552919114091</v>
      </c>
      <c r="DW577" s="323">
        <f t="shared" si="376"/>
        <v>10.626303189291175</v>
      </c>
      <c r="DX577" s="323">
        <f t="shared" si="376"/>
        <v>24.378833675827689</v>
      </c>
      <c r="DY577" s="323">
        <f t="shared" si="376"/>
        <v>8.9967379106745002E-2</v>
      </c>
      <c r="DZ577" s="325">
        <f t="shared" si="376"/>
        <v>53.154917992908146</v>
      </c>
      <c r="EA577" s="323">
        <f t="shared" ref="EA577:EL577" si="377">EA578+EA579+EA580</f>
        <v>38.776488157999992</v>
      </c>
      <c r="EB577" s="323">
        <f t="shared" si="377"/>
        <v>8.4194048240000008</v>
      </c>
      <c r="EC577" s="323">
        <f t="shared" si="377"/>
        <v>6.4858811990000005</v>
      </c>
      <c r="ED577" s="323">
        <f t="shared" si="377"/>
        <v>28.242003715218477</v>
      </c>
      <c r="EE577" s="323">
        <f t="shared" si="377"/>
        <v>14.225809121988487</v>
      </c>
      <c r="EF577" s="323">
        <f t="shared" si="377"/>
        <v>50.439912794721067</v>
      </c>
      <c r="EG577" s="323">
        <f t="shared" si="377"/>
        <v>39.500958864398193</v>
      </c>
      <c r="EH577" s="323">
        <f t="shared" si="377"/>
        <v>7.0418577248662313</v>
      </c>
      <c r="EI577" s="323">
        <f t="shared" si="377"/>
        <v>31.704531492822444</v>
      </c>
      <c r="EJ577" s="323">
        <f t="shared" si="377"/>
        <v>35.734591488055642</v>
      </c>
      <c r="EK577" s="323">
        <f t="shared" si="377"/>
        <v>0.10198738417113531</v>
      </c>
      <c r="EL577" s="325">
        <f t="shared" si="377"/>
        <v>1.4398162227758724</v>
      </c>
      <c r="EM577" s="323">
        <f t="shared" ref="EM577:EX577" si="378">EM578+EM579+EM580</f>
        <v>14.325676464512746</v>
      </c>
      <c r="EN577" s="323">
        <f t="shared" si="378"/>
        <v>29.099562530664457</v>
      </c>
      <c r="EO577" s="323">
        <f t="shared" si="378"/>
        <v>0.40557218353051261</v>
      </c>
      <c r="EP577" s="323">
        <f t="shared" si="378"/>
        <v>4.729814763708054E-2</v>
      </c>
      <c r="EQ577" s="323">
        <f t="shared" si="378"/>
        <v>2.350520414</v>
      </c>
      <c r="ER577" s="323">
        <f t="shared" si="378"/>
        <v>92.006844835932</v>
      </c>
      <c r="ES577" s="323">
        <f t="shared" si="378"/>
        <v>28.06493037731035</v>
      </c>
      <c r="ET577" s="323">
        <f t="shared" si="378"/>
        <v>51.4300886660141</v>
      </c>
      <c r="EU577" s="323">
        <f t="shared" si="378"/>
        <v>0.19569722910722168</v>
      </c>
      <c r="EV577" s="323">
        <f t="shared" si="378"/>
        <v>29.74692812163433</v>
      </c>
      <c r="EW577" s="323">
        <f t="shared" si="378"/>
        <v>0</v>
      </c>
      <c r="EX577" s="325">
        <f t="shared" si="378"/>
        <v>0.43065603184876317</v>
      </c>
      <c r="EY577" s="323"/>
      <c r="EZ577" s="323"/>
      <c r="FA577" s="323"/>
      <c r="FB577" s="323"/>
      <c r="FC577" s="323"/>
      <c r="FD577" s="323"/>
      <c r="FE577" s="323"/>
      <c r="FF577" s="323"/>
      <c r="FG577" s="323"/>
      <c r="FH577" s="323"/>
      <c r="FI577" s="323"/>
      <c r="FJ577" s="325"/>
      <c r="FK577" s="323"/>
      <c r="FL577" s="323"/>
      <c r="FM577" s="323"/>
      <c r="FN577" s="323"/>
      <c r="FO577" s="323"/>
      <c r="FP577" s="323"/>
      <c r="FQ577" s="323"/>
      <c r="FR577" s="323"/>
      <c r="FS577" s="323"/>
      <c r="FT577" s="323"/>
      <c r="FU577" s="323"/>
      <c r="FV577" s="323"/>
      <c r="FW577" s="323"/>
      <c r="FX577" s="323"/>
      <c r="FY577" s="323"/>
      <c r="FZ577" s="323"/>
      <c r="GA577" s="323"/>
      <c r="GB577" s="323"/>
      <c r="GC577" s="323"/>
      <c r="GD577" s="323"/>
      <c r="GE577" s="323"/>
      <c r="GF577" s="323"/>
      <c r="GG577" s="323"/>
      <c r="GH577" s="323"/>
      <c r="GI577" s="323"/>
      <c r="GJ577" s="323"/>
      <c r="GK577" s="323"/>
      <c r="GL577" s="323"/>
      <c r="GM577" s="323"/>
      <c r="GN577" s="323"/>
      <c r="GO577" s="323"/>
      <c r="GP577" s="323"/>
      <c r="GQ577" s="323"/>
      <c r="GR577" s="323"/>
      <c r="GS577" s="323"/>
      <c r="GT577" s="323"/>
      <c r="GU577" s="323"/>
      <c r="GV577" s="323"/>
      <c r="GW577" s="323"/>
      <c r="GX577" s="323"/>
      <c r="GY577" s="323"/>
      <c r="GZ577" s="323"/>
      <c r="HA577" s="323"/>
      <c r="HB577" s="323"/>
      <c r="HC577" s="323"/>
      <c r="HD577" s="323"/>
      <c r="HE577" s="323"/>
      <c r="HF577" s="323"/>
      <c r="HG577" s="323"/>
      <c r="HH577" s="323"/>
      <c r="HI577" s="323"/>
      <c r="HJ577" s="323"/>
      <c r="HK577" s="323"/>
      <c r="HL577" s="323"/>
      <c r="HM577" s="323"/>
      <c r="HN577" s="323"/>
      <c r="HO577" s="323"/>
      <c r="HP577" s="323"/>
      <c r="HQ577" s="323"/>
      <c r="HR577" s="323"/>
      <c r="HS577" s="323"/>
      <c r="HT577" s="323"/>
      <c r="HU577" s="323"/>
      <c r="HV577" s="323"/>
      <c r="HW577" s="323"/>
      <c r="HX577" s="323"/>
      <c r="HY577" s="323"/>
      <c r="HZ577" s="326"/>
      <c r="IA577" s="569" t="s">
        <v>126</v>
      </c>
      <c r="IB577" s="569"/>
      <c r="IC577" s="569"/>
      <c r="ID577" s="323">
        <f>+FISC!Z773</f>
        <v>174.88</v>
      </c>
      <c r="IE577" s="279">
        <f>IE578+IE579</f>
        <v>169.73405377253582</v>
      </c>
      <c r="IF577" s="279">
        <f>IF578+IF579</f>
        <v>96.933015068694488</v>
      </c>
      <c r="IG577" s="323">
        <f>IG578+IG579</f>
        <v>266.66706884123028</v>
      </c>
      <c r="IH577" s="279">
        <f>+SUM(DC577:DH577)</f>
        <v>145.66439939764024</v>
      </c>
      <c r="II577" s="279">
        <f>+SUM(DI577:DN577)</f>
        <v>133.26701503354298</v>
      </c>
      <c r="IJ577" s="323">
        <f t="shared" si="306"/>
        <v>278.93141443118321</v>
      </c>
      <c r="IK577" s="279">
        <f>+IK578+IK579+IK581</f>
        <v>120.44820431254826</v>
      </c>
      <c r="IL577" s="279">
        <f>SUM(DU577:DZ577)</f>
        <v>120.21630521263157</v>
      </c>
      <c r="IM577" s="323">
        <f t="shared" si="309"/>
        <v>240.66450952517982</v>
      </c>
      <c r="IN577" s="279">
        <f>+IN578+IN579+IN581</f>
        <v>109.6096191149885</v>
      </c>
      <c r="IO577" s="279">
        <f>+IP577-IN577</f>
        <v>80.589057753721931</v>
      </c>
      <c r="IP577" s="323">
        <f>FISC!AC773</f>
        <v>190.19867686871044</v>
      </c>
      <c r="IQ577" s="279">
        <f t="shared" si="353"/>
        <v>138.2354745762768</v>
      </c>
      <c r="IR577" s="279">
        <f t="shared" si="354"/>
        <v>109.86830042591477</v>
      </c>
      <c r="IS577" s="323">
        <f t="shared" si="365"/>
        <v>248.10377500219158</v>
      </c>
      <c r="IT577" s="279">
        <f>+(IT578+IT579+IT581)</f>
        <v>91.34218276878147</v>
      </c>
      <c r="IU577" s="279">
        <f>+IV577-IT577</f>
        <v>81.045469537872549</v>
      </c>
      <c r="IV577" s="323">
        <f>+FISC!AE773</f>
        <v>172.38765230665402</v>
      </c>
      <c r="IW577" s="279">
        <f>+(IW578+IW579+IW581)</f>
        <v>102.69011821008208</v>
      </c>
      <c r="IX577" s="279">
        <f t="shared" si="291"/>
        <v>100.68804118758847</v>
      </c>
      <c r="IY577" s="323">
        <f>+FISC!AF773</f>
        <v>203.37815939767054</v>
      </c>
      <c r="IZ577" s="279">
        <f>+IZ578+IZ579+IZ581</f>
        <v>118.19559540663424</v>
      </c>
      <c r="JA577" s="279">
        <f t="shared" si="360"/>
        <v>344.947284654067</v>
      </c>
      <c r="JB577" s="323">
        <f>+FISC!AG773</f>
        <v>463.14288006070126</v>
      </c>
      <c r="JC577" s="279">
        <f>+JC578+JC579+JC581</f>
        <v>89.200662842928452</v>
      </c>
      <c r="JD577" s="279">
        <f t="shared" si="280"/>
        <v>215.11329668947656</v>
      </c>
      <c r="JE577" s="323">
        <f>+FISC!AH773</f>
        <v>304.31395953240502</v>
      </c>
      <c r="JF577" s="279">
        <f>+JF578+JF579+JF581</f>
        <v>103.11586376288261</v>
      </c>
      <c r="JG577" s="279">
        <f t="shared" si="281"/>
        <v>149.15818401389566</v>
      </c>
      <c r="JH577" s="323">
        <f>+FISC!AI773</f>
        <v>252.27404777677827</v>
      </c>
      <c r="JI577" s="279">
        <f>+JI578+JI579+JI581</f>
        <v>121.68024248307123</v>
      </c>
      <c r="JJ577" s="279">
        <f t="shared" si="282"/>
        <v>60.493605498022077</v>
      </c>
      <c r="JK577" s="323">
        <f>+FISC!AJ773</f>
        <v>182.1738479810933</v>
      </c>
      <c r="JL577" s="279">
        <f>+JL578+JL579+JL581</f>
        <v>44.478343352268112</v>
      </c>
      <c r="JM577" s="279">
        <f t="shared" si="283"/>
        <v>-44.478343352268112</v>
      </c>
      <c r="JN577" s="323">
        <f>+FISC!AK773</f>
        <v>0</v>
      </c>
      <c r="JO577" s="323"/>
      <c r="KU577" s="326"/>
      <c r="KV577" s="327"/>
      <c r="KY577" s="279">
        <f>KY578+KY579</f>
        <v>0</v>
      </c>
      <c r="KZ577" s="279">
        <f>KZ578+KZ579</f>
        <v>0</v>
      </c>
      <c r="LA577" s="279">
        <f>LA578+LA579</f>
        <v>0</v>
      </c>
      <c r="LB577" s="279">
        <f>LB578+LB579</f>
        <v>0</v>
      </c>
    </row>
    <row r="578" spans="1:314" hidden="1">
      <c r="B578" s="96" t="s">
        <v>338</v>
      </c>
      <c r="D578" s="328" t="str">
        <f>+FISC!D774</f>
        <v>other grants (incl. HIPC grants)</v>
      </c>
      <c r="E578" s="323"/>
      <c r="F578" s="323"/>
      <c r="G578" s="323"/>
      <c r="H578" s="323"/>
      <c r="I578" s="323"/>
      <c r="J578" s="323"/>
      <c r="K578" s="323"/>
      <c r="L578" s="323"/>
      <c r="M578" s="323"/>
      <c r="N578" s="323"/>
      <c r="O578" s="323"/>
      <c r="P578" s="323"/>
      <c r="Q578" s="323"/>
      <c r="R578" s="323"/>
      <c r="S578" s="323"/>
      <c r="T578" s="323"/>
      <c r="U578" s="323"/>
      <c r="V578" s="323"/>
      <c r="W578" s="323"/>
      <c r="X578" s="323"/>
      <c r="Y578" s="323"/>
      <c r="Z578" s="323"/>
      <c r="AA578" s="323"/>
      <c r="AB578" s="323"/>
      <c r="AC578" s="323"/>
      <c r="AD578" s="323"/>
      <c r="AE578" s="323"/>
      <c r="AF578" s="323"/>
      <c r="AG578" s="323"/>
      <c r="AH578" s="323"/>
      <c r="AI578" s="323"/>
      <c r="AJ578" s="323"/>
      <c r="AK578" s="323"/>
      <c r="AL578" s="323"/>
      <c r="AM578" s="323"/>
      <c r="AN578" s="323"/>
      <c r="AO578" s="323"/>
      <c r="AP578" s="323"/>
      <c r="AQ578" s="323"/>
      <c r="AR578" s="323"/>
      <c r="AS578" s="323"/>
      <c r="AT578" s="323"/>
      <c r="AU578" s="323"/>
      <c r="AV578" s="323"/>
      <c r="AW578" s="323"/>
      <c r="AX578" s="323"/>
      <c r="AY578" s="323"/>
      <c r="AZ578" s="323"/>
      <c r="BA578" s="323"/>
      <c r="BB578" s="323"/>
      <c r="BC578" s="323"/>
      <c r="BD578" s="323"/>
      <c r="BE578" s="323"/>
      <c r="BF578" s="323"/>
      <c r="BG578" s="323"/>
      <c r="BH578" s="323"/>
      <c r="BI578" s="323"/>
      <c r="BJ578" s="323"/>
      <c r="BK578" s="323"/>
      <c r="BL578" s="323"/>
      <c r="BM578" s="323"/>
      <c r="BN578" s="323"/>
      <c r="BO578" s="323"/>
      <c r="BP578" s="323"/>
      <c r="BQ578" s="323"/>
      <c r="BR578" s="323"/>
      <c r="BS578" s="323"/>
      <c r="BT578" s="323"/>
      <c r="BU578" s="323"/>
      <c r="BV578" s="323"/>
      <c r="BW578" s="323"/>
      <c r="BX578" s="323"/>
      <c r="BY578" s="323"/>
      <c r="BZ578" s="323"/>
      <c r="CA578" s="323"/>
      <c r="CB578" s="323"/>
      <c r="CC578" s="323"/>
      <c r="CD578" s="323"/>
      <c r="CE578" s="324">
        <f t="shared" ref="CE578:DZ578" si="379">CE158+CE72</f>
        <v>11.074034852134075</v>
      </c>
      <c r="CF578" s="323">
        <f t="shared" si="379"/>
        <v>32.700150377666034</v>
      </c>
      <c r="CG578" s="323">
        <f t="shared" si="379"/>
        <v>42.709039008523469</v>
      </c>
      <c r="CH578" s="323">
        <f t="shared" si="379"/>
        <v>8.4914818258642306</v>
      </c>
      <c r="CI578" s="323">
        <f t="shared" si="379"/>
        <v>2.9367541546255658</v>
      </c>
      <c r="CJ578" s="323">
        <f t="shared" si="379"/>
        <v>39.867508568122986</v>
      </c>
      <c r="CK578" s="323">
        <f t="shared" si="379"/>
        <v>0.4505358125808413</v>
      </c>
      <c r="CL578" s="323">
        <f t="shared" si="379"/>
        <v>6.1572929790496084E-2</v>
      </c>
      <c r="CM578" s="323">
        <f t="shared" si="379"/>
        <v>0.3515643368251512</v>
      </c>
      <c r="CN578" s="323">
        <f t="shared" si="379"/>
        <v>5.4239322156195868</v>
      </c>
      <c r="CO578" s="323">
        <f t="shared" si="379"/>
        <v>20.746242148937966</v>
      </c>
      <c r="CP578" s="325">
        <f t="shared" si="379"/>
        <v>9.7559618135149808</v>
      </c>
      <c r="CQ578" s="323">
        <f t="shared" si="379"/>
        <v>18.040550981106584</v>
      </c>
      <c r="CR578" s="323">
        <f t="shared" si="379"/>
        <v>0.12200895096768052</v>
      </c>
      <c r="CS578" s="323">
        <f t="shared" si="379"/>
        <v>18.756820877966167</v>
      </c>
      <c r="CT578" s="323">
        <f t="shared" si="379"/>
        <v>4.922131509592969</v>
      </c>
      <c r="CU578" s="323">
        <f t="shared" si="379"/>
        <v>11.869980255880577</v>
      </c>
      <c r="CV578" s="323">
        <f t="shared" si="379"/>
        <v>63.607671768507089</v>
      </c>
      <c r="CW578" s="323">
        <f t="shared" si="379"/>
        <v>0.73772674950062389</v>
      </c>
      <c r="CX578" s="323">
        <f t="shared" si="379"/>
        <v>0.10705233474635278</v>
      </c>
      <c r="CY578" s="323">
        <f t="shared" si="379"/>
        <v>17.882533135848092</v>
      </c>
      <c r="CZ578" s="323">
        <f t="shared" si="379"/>
        <v>13.700176600264985</v>
      </c>
      <c r="DA578" s="323">
        <f t="shared" si="379"/>
        <v>27.518677282305099</v>
      </c>
      <c r="DB578" s="1269">
        <f t="shared" si="379"/>
        <v>1.1729798462216148</v>
      </c>
      <c r="DC578" s="323">
        <f t="shared" si="379"/>
        <v>18.9425515928632</v>
      </c>
      <c r="DD578" s="323">
        <f t="shared" si="379"/>
        <v>6.2084663164</v>
      </c>
      <c r="DE578" s="323">
        <f t="shared" si="379"/>
        <v>22.193804700419999</v>
      </c>
      <c r="DF578" s="323">
        <f t="shared" si="379"/>
        <v>0.54977357599999999</v>
      </c>
      <c r="DG578" s="323">
        <f t="shared" si="379"/>
        <v>33.370808235843505</v>
      </c>
      <c r="DH578" s="323">
        <f t="shared" si="379"/>
        <v>23.449189886453638</v>
      </c>
      <c r="DI578" s="323">
        <f t="shared" si="379"/>
        <v>0.90769008284927133</v>
      </c>
      <c r="DJ578" s="323">
        <f t="shared" si="379"/>
        <v>3.1040640610681085</v>
      </c>
      <c r="DK578" s="323">
        <f t="shared" si="379"/>
        <v>0.69314574945851271</v>
      </c>
      <c r="DL578" s="323">
        <f t="shared" si="379"/>
        <v>54.657972142865432</v>
      </c>
      <c r="DM578" s="323">
        <f t="shared" si="379"/>
        <v>0.47753502487499827</v>
      </c>
      <c r="DN578" s="325">
        <f t="shared" si="379"/>
        <v>43.994046554036288</v>
      </c>
      <c r="DO578" s="323">
        <f t="shared" si="379"/>
        <v>21.760960229377375</v>
      </c>
      <c r="DP578" s="323">
        <f t="shared" si="379"/>
        <v>6.2185023440912799</v>
      </c>
      <c r="DQ578" s="323">
        <f t="shared" si="379"/>
        <v>0.73779236735305298</v>
      </c>
      <c r="DR578" s="323">
        <f t="shared" si="379"/>
        <v>0.6036083373272414</v>
      </c>
      <c r="DS578" s="323">
        <f t="shared" si="379"/>
        <v>16.486840471027435</v>
      </c>
      <c r="DT578" s="323">
        <f t="shared" si="379"/>
        <v>48.629106980210416</v>
      </c>
      <c r="DU578" s="323">
        <f t="shared" si="379"/>
        <v>15.976931454306667</v>
      </c>
      <c r="DV578" s="323">
        <f t="shared" si="379"/>
        <v>0.11601552919114091</v>
      </c>
      <c r="DW578" s="323">
        <f t="shared" si="379"/>
        <v>10.626303189291175</v>
      </c>
      <c r="DX578" s="323">
        <f t="shared" si="379"/>
        <v>12.210120607630314</v>
      </c>
      <c r="DY578" s="323">
        <f t="shared" si="379"/>
        <v>8.9967379106745002E-2</v>
      </c>
      <c r="DZ578" s="325">
        <f t="shared" si="379"/>
        <v>53.154917992908146</v>
      </c>
      <c r="EA578" s="323">
        <f>EA158+EA72+EA580</f>
        <v>22.341051945999997</v>
      </c>
      <c r="EB578" s="323">
        <f t="shared" ref="EB578:EX578" si="380">EB158+EB72</f>
        <v>8.4194048240000008</v>
      </c>
      <c r="EC578" s="323">
        <f t="shared" si="380"/>
        <v>6.4858811990000005</v>
      </c>
      <c r="ED578" s="323">
        <f t="shared" si="380"/>
        <v>14.156915003218478</v>
      </c>
      <c r="EE578" s="323">
        <f t="shared" si="380"/>
        <v>9.7305819159884877</v>
      </c>
      <c r="EF578" s="323">
        <f t="shared" si="380"/>
        <v>48.939944976721065</v>
      </c>
      <c r="EG578" s="323">
        <f t="shared" si="380"/>
        <v>39.500958864398193</v>
      </c>
      <c r="EH578" s="323">
        <f t="shared" si="380"/>
        <v>3.6066767128662307</v>
      </c>
      <c r="EI578" s="323">
        <f t="shared" si="380"/>
        <v>15.915036004822444</v>
      </c>
      <c r="EJ578" s="323">
        <f t="shared" si="380"/>
        <v>20.991656163055648</v>
      </c>
      <c r="EK578" s="323">
        <f t="shared" si="380"/>
        <v>0.10198738417113531</v>
      </c>
      <c r="EL578" s="325">
        <f t="shared" si="380"/>
        <v>0.93481372277587238</v>
      </c>
      <c r="EM578" s="323">
        <f t="shared" si="380"/>
        <v>8.2572727895127453</v>
      </c>
      <c r="EN578" s="323">
        <f t="shared" si="380"/>
        <v>16.797507748664454</v>
      </c>
      <c r="EO578" s="323">
        <f t="shared" si="380"/>
        <v>0.30135000153051261</v>
      </c>
      <c r="EP578" s="323">
        <f t="shared" si="380"/>
        <v>4.729814763708054E-2</v>
      </c>
      <c r="EQ578" s="323">
        <f t="shared" si="380"/>
        <v>2.350520414</v>
      </c>
      <c r="ER578" s="323">
        <f t="shared" si="380"/>
        <v>79.408758419248315</v>
      </c>
      <c r="ES578" s="323">
        <f t="shared" si="380"/>
        <v>14.04311399731035</v>
      </c>
      <c r="ET578" s="323">
        <f t="shared" si="380"/>
        <v>25.781640420014099</v>
      </c>
      <c r="EU578" s="323">
        <f t="shared" si="380"/>
        <v>0.19569722910722168</v>
      </c>
      <c r="EV578" s="323">
        <f t="shared" si="380"/>
        <v>14.885247384866869</v>
      </c>
      <c r="EW578" s="323">
        <f t="shared" si="380"/>
        <v>0</v>
      </c>
      <c r="EX578" s="325">
        <f t="shared" si="380"/>
        <v>0.43065603184876317</v>
      </c>
      <c r="EY578" s="323"/>
      <c r="EZ578" s="323"/>
      <c r="FA578" s="323"/>
      <c r="FB578" s="323"/>
      <c r="FC578" s="323"/>
      <c r="FD578" s="323"/>
      <c r="FE578" s="323"/>
      <c r="FF578" s="323"/>
      <c r="FG578" s="323"/>
      <c r="FH578" s="323"/>
      <c r="FI578" s="323"/>
      <c r="FJ578" s="325"/>
      <c r="FK578" s="323"/>
      <c r="FL578" s="323"/>
      <c r="FM578" s="323"/>
      <c r="FN578" s="323"/>
      <c r="FO578" s="323"/>
      <c r="FP578" s="323"/>
      <c r="FQ578" s="323"/>
      <c r="FR578" s="323"/>
      <c r="FS578" s="323"/>
      <c r="FT578" s="323"/>
      <c r="FU578" s="323"/>
      <c r="FV578" s="323"/>
      <c r="FW578" s="323"/>
      <c r="FX578" s="323"/>
      <c r="FY578" s="323"/>
      <c r="FZ578" s="323"/>
      <c r="GA578" s="323"/>
      <c r="GB578" s="323"/>
      <c r="GC578" s="323"/>
      <c r="GD578" s="323"/>
      <c r="GE578" s="323"/>
      <c r="GF578" s="323"/>
      <c r="GG578" s="323"/>
      <c r="GH578" s="323"/>
      <c r="GI578" s="323"/>
      <c r="GJ578" s="323"/>
      <c r="GK578" s="323"/>
      <c r="GL578" s="323"/>
      <c r="GM578" s="323"/>
      <c r="GN578" s="323"/>
      <c r="GO578" s="323"/>
      <c r="GP578" s="323"/>
      <c r="GQ578" s="323"/>
      <c r="GR578" s="323"/>
      <c r="GS578" s="323"/>
      <c r="GT578" s="323"/>
      <c r="GU578" s="323"/>
      <c r="GV578" s="323"/>
      <c r="GW578" s="323"/>
      <c r="GX578" s="323"/>
      <c r="GY578" s="323"/>
      <c r="GZ578" s="323"/>
      <c r="HA578" s="323"/>
      <c r="HB578" s="323"/>
      <c r="HC578" s="323"/>
      <c r="HD578" s="323"/>
      <c r="HE578" s="323"/>
      <c r="HF578" s="323"/>
      <c r="HG578" s="323"/>
      <c r="HH578" s="323"/>
      <c r="HI578" s="323"/>
      <c r="HJ578" s="323"/>
      <c r="HK578" s="323"/>
      <c r="HL578" s="323"/>
      <c r="HM578" s="323"/>
      <c r="HN578" s="323"/>
      <c r="HO578" s="323"/>
      <c r="HP578" s="323"/>
      <c r="HQ578" s="323"/>
      <c r="HR578" s="323"/>
      <c r="HS578" s="323"/>
      <c r="HT578" s="323"/>
      <c r="HU578" s="323"/>
      <c r="HV578" s="323"/>
      <c r="HW578" s="323"/>
      <c r="HX578" s="323"/>
      <c r="HY578" s="323"/>
      <c r="HZ578" s="326"/>
      <c r="IA578" s="328" t="s">
        <v>783</v>
      </c>
      <c r="IB578" s="328"/>
      <c r="IC578" s="328"/>
      <c r="ID578" s="323">
        <f>+FISC!Z774</f>
        <v>86.64</v>
      </c>
      <c r="IE578" s="279">
        <f>SUM(CQ578:CV578)</f>
        <v>117.31916434402106</v>
      </c>
      <c r="IF578" s="279">
        <f>SUM(CW578:DB578)</f>
        <v>61.119145948886768</v>
      </c>
      <c r="IG578" s="323">
        <f>SUM(CQ578:DB578)</f>
        <v>178.43831029290783</v>
      </c>
      <c r="IH578" s="279">
        <f>+IH577-IH579</f>
        <v>104.71459430798035</v>
      </c>
      <c r="II578" s="279">
        <f>+SUM(DI578:DN578)</f>
        <v>103.83445361515261</v>
      </c>
      <c r="IJ578" s="323">
        <f t="shared" si="306"/>
        <v>208.54904792313295</v>
      </c>
      <c r="IK578" s="279">
        <f>+SUM(DO578:DT578)</f>
        <v>94.436810729386792</v>
      </c>
      <c r="IL578" s="279">
        <f>SUM(DU578:DZ578)</f>
        <v>92.174256152434197</v>
      </c>
      <c r="IM578" s="323">
        <f t="shared" si="309"/>
        <v>186.61106688182099</v>
      </c>
      <c r="IN578" s="279">
        <f>((FISC!AB100-FISC!AB104)*FISC!AC259/1000)*0+73.0938991669885</f>
        <v>73.093899166988507</v>
      </c>
      <c r="IO578" s="279">
        <f>+(IP578-IN578)</f>
        <v>46.116443428721951</v>
      </c>
      <c r="IP578" s="323">
        <f>FISC!AC774</f>
        <v>119.21034259571046</v>
      </c>
      <c r="IQ578" s="279">
        <f t="shared" si="353"/>
        <v>107.1627075205931</v>
      </c>
      <c r="IR578" s="279">
        <f t="shared" si="354"/>
        <v>55.336355063147302</v>
      </c>
      <c r="IS578" s="323">
        <f t="shared" si="365"/>
        <v>162.4990625837404</v>
      </c>
      <c r="IT578" s="279">
        <f>+(FISC!AD100*FISC!AE259/1000-IT579)*0+59.5379804134455</f>
        <v>59.537980413445503</v>
      </c>
      <c r="IU578" s="279">
        <f>+IV578-IT578</f>
        <v>36.339740893699307</v>
      </c>
      <c r="IV578" s="323">
        <f>+FISC!AE774</f>
        <v>95.87772130714481</v>
      </c>
      <c r="IW578" s="327">
        <f>FISC!AE100*FISC!AF259/1000-IW579</f>
        <v>56.493201932525047</v>
      </c>
      <c r="IX578" s="279">
        <f t="shared" si="291"/>
        <v>23.216171185364594</v>
      </c>
      <c r="IY578" s="323">
        <f>+FISC!AF774</f>
        <v>79.709373117889641</v>
      </c>
      <c r="IZ578" s="327">
        <f>FISC!AF100*FISC!AG259/1000-IZ579</f>
        <v>35.908363860386473</v>
      </c>
      <c r="JA578" s="279">
        <f t="shared" si="360"/>
        <v>303.53380392430273</v>
      </c>
      <c r="JB578" s="323">
        <f>+FISC!AG774</f>
        <v>339.44216778468922</v>
      </c>
      <c r="JC578" s="327">
        <f>FISC!AG100*FISC!AH259/1000-JC579</f>
        <v>42.621836561935851</v>
      </c>
      <c r="JD578" s="279">
        <f t="shared" si="280"/>
        <v>178.87843254121543</v>
      </c>
      <c r="JE578" s="323">
        <f>+FISC!AH774</f>
        <v>221.50026910315128</v>
      </c>
      <c r="JF578" s="327">
        <f>FISC!AH100*FISC!AI259/1000-JF579</f>
        <v>42.32512208576911</v>
      </c>
      <c r="JG578" s="279">
        <f t="shared" si="281"/>
        <v>122.55459379419661</v>
      </c>
      <c r="JH578" s="323">
        <f>+FISC!AI774</f>
        <v>164.87971587996572</v>
      </c>
      <c r="JI578" s="327">
        <f>FISC!AI100*FISC!AJ259/1000-JI579</f>
        <v>66.436304549689737</v>
      </c>
      <c r="JJ578" s="279">
        <f t="shared" si="282"/>
        <v>31.378569842268234</v>
      </c>
      <c r="JK578" s="323">
        <f>+FISC!AJ774</f>
        <v>97.814874391957972</v>
      </c>
      <c r="JL578" s="327">
        <f>FISC!AJ100*FISC!AK259/1000-JL579</f>
        <v>-14.080672856974068</v>
      </c>
      <c r="JM578" s="279">
        <f t="shared" si="283"/>
        <v>14.080672856974068</v>
      </c>
      <c r="JN578" s="323">
        <f>+FISC!AK774</f>
        <v>0</v>
      </c>
      <c r="JO578" s="323"/>
      <c r="KU578" s="326"/>
      <c r="KV578" s="327"/>
    </row>
    <row r="579" spans="1:314" hidden="1">
      <c r="B579" s="96" t="s">
        <v>338</v>
      </c>
      <c r="D579" s="328" t="str">
        <f>+FISC!D775</f>
        <v>Global Fund</v>
      </c>
      <c r="E579" s="323"/>
      <c r="F579" s="323"/>
      <c r="G579" s="323"/>
      <c r="H579" s="323"/>
      <c r="I579" s="323"/>
      <c r="J579" s="323"/>
      <c r="K579" s="323"/>
      <c r="L579" s="323"/>
      <c r="M579" s="323"/>
      <c r="N579" s="323"/>
      <c r="O579" s="323"/>
      <c r="P579" s="323"/>
      <c r="Q579" s="323"/>
      <c r="R579" s="323"/>
      <c r="S579" s="323"/>
      <c r="T579" s="323"/>
      <c r="U579" s="323"/>
      <c r="V579" s="323"/>
      <c r="W579" s="323"/>
      <c r="X579" s="323"/>
      <c r="Y579" s="323"/>
      <c r="Z579" s="323"/>
      <c r="AA579" s="323"/>
      <c r="AB579" s="323"/>
      <c r="AC579" s="323"/>
      <c r="AD579" s="323"/>
      <c r="AE579" s="323"/>
      <c r="AF579" s="323"/>
      <c r="AG579" s="323"/>
      <c r="AH579" s="323"/>
      <c r="AI579" s="323"/>
      <c r="AJ579" s="323"/>
      <c r="AK579" s="323"/>
      <c r="AL579" s="323"/>
      <c r="AM579" s="323"/>
      <c r="AN579" s="323"/>
      <c r="AO579" s="323"/>
      <c r="AP579" s="323"/>
      <c r="AQ579" s="323"/>
      <c r="AR579" s="323"/>
      <c r="AS579" s="323"/>
      <c r="AT579" s="323"/>
      <c r="AU579" s="323"/>
      <c r="AV579" s="323"/>
      <c r="AW579" s="323"/>
      <c r="AX579" s="323"/>
      <c r="AY579" s="323"/>
      <c r="AZ579" s="323"/>
      <c r="BA579" s="323"/>
      <c r="BB579" s="323"/>
      <c r="BC579" s="323"/>
      <c r="BD579" s="323"/>
      <c r="BE579" s="323"/>
      <c r="BF579" s="323"/>
      <c r="BG579" s="323"/>
      <c r="BH579" s="323"/>
      <c r="BI579" s="323"/>
      <c r="BJ579" s="323"/>
      <c r="BK579" s="323"/>
      <c r="BL579" s="323"/>
      <c r="BM579" s="323"/>
      <c r="BN579" s="323"/>
      <c r="BO579" s="323"/>
      <c r="BP579" s="323"/>
      <c r="BQ579" s="323"/>
      <c r="BR579" s="323"/>
      <c r="BS579" s="323"/>
      <c r="BT579" s="323"/>
      <c r="BU579" s="323"/>
      <c r="BV579" s="323"/>
      <c r="BW579" s="323"/>
      <c r="BX579" s="323"/>
      <c r="BY579" s="323"/>
      <c r="BZ579" s="323"/>
      <c r="CA579" s="323"/>
      <c r="CB579" s="323"/>
      <c r="CC579" s="323"/>
      <c r="CD579" s="323"/>
      <c r="CE579" s="324">
        <v>0</v>
      </c>
      <c r="CF579" s="323">
        <v>0</v>
      </c>
      <c r="CG579" s="323">
        <v>0</v>
      </c>
      <c r="CH579" s="323">
        <v>0</v>
      </c>
      <c r="CI579" s="323">
        <v>0</v>
      </c>
      <c r="CJ579" s="323">
        <v>0</v>
      </c>
      <c r="CK579" s="323">
        <v>0</v>
      </c>
      <c r="CL579" s="323">
        <v>0</v>
      </c>
      <c r="CM579" s="323">
        <v>0</v>
      </c>
      <c r="CN579" s="323">
        <v>0</v>
      </c>
      <c r="CO579" s="323">
        <v>0</v>
      </c>
      <c r="CP579" s="325">
        <v>0</v>
      </c>
      <c r="CQ579" s="323">
        <f t="shared" ref="CQ579:DV579" si="381">CQ161</f>
        <v>0</v>
      </c>
      <c r="CR579" s="323">
        <f t="shared" si="381"/>
        <v>0</v>
      </c>
      <c r="CS579" s="323">
        <f t="shared" si="381"/>
        <v>18.0647514021035</v>
      </c>
      <c r="CT579" s="323">
        <f t="shared" si="381"/>
        <v>0</v>
      </c>
      <c r="CU579" s="323">
        <f t="shared" si="381"/>
        <v>2.9519462207146576</v>
      </c>
      <c r="CV579" s="323">
        <f t="shared" si="381"/>
        <v>31.398191805696605</v>
      </c>
      <c r="CW579" s="323">
        <f t="shared" si="381"/>
        <v>0</v>
      </c>
      <c r="CX579" s="323">
        <f t="shared" si="381"/>
        <v>0</v>
      </c>
      <c r="CY579" s="323">
        <f t="shared" si="381"/>
        <v>17.357493185533968</v>
      </c>
      <c r="CZ579" s="323">
        <f t="shared" si="381"/>
        <v>2.5747102811330551</v>
      </c>
      <c r="DA579" s="323">
        <f t="shared" si="381"/>
        <v>15.881665653140701</v>
      </c>
      <c r="DB579" s="1269">
        <f t="shared" si="381"/>
        <v>0</v>
      </c>
      <c r="DC579" s="323">
        <f t="shared" si="381"/>
        <v>0</v>
      </c>
      <c r="DD579" s="323">
        <f t="shared" si="381"/>
        <v>0</v>
      </c>
      <c r="DE579" s="323">
        <f t="shared" si="381"/>
        <v>14.21628849242</v>
      </c>
      <c r="DF579" s="323">
        <f t="shared" si="381"/>
        <v>0</v>
      </c>
      <c r="DG579" s="323">
        <f t="shared" si="381"/>
        <v>26.637305150966998</v>
      </c>
      <c r="DH579" s="323">
        <f t="shared" si="381"/>
        <v>9.6211446272880308E-2</v>
      </c>
      <c r="DI579" s="323">
        <f t="shared" si="381"/>
        <v>0</v>
      </c>
      <c r="DJ579" s="323">
        <f t="shared" si="381"/>
        <v>0</v>
      </c>
      <c r="DK579" s="323">
        <f t="shared" si="381"/>
        <v>0</v>
      </c>
      <c r="DL579" s="323">
        <f t="shared" si="381"/>
        <v>29.43256141839035</v>
      </c>
      <c r="DM579" s="323">
        <f t="shared" si="381"/>
        <v>0</v>
      </c>
      <c r="DN579" s="325">
        <f t="shared" si="381"/>
        <v>0</v>
      </c>
      <c r="DO579" s="323">
        <f t="shared" si="381"/>
        <v>4.6855716548560604</v>
      </c>
      <c r="DP579" s="323">
        <f t="shared" si="381"/>
        <v>0</v>
      </c>
      <c r="DQ579" s="323">
        <f t="shared" si="381"/>
        <v>0</v>
      </c>
      <c r="DR579" s="323">
        <f t="shared" si="381"/>
        <v>0</v>
      </c>
      <c r="DS579" s="323">
        <f t="shared" si="381"/>
        <v>9.1588665883095004</v>
      </c>
      <c r="DT579" s="323">
        <f t="shared" si="381"/>
        <v>12.1669553399959</v>
      </c>
      <c r="DU579" s="323">
        <f t="shared" si="381"/>
        <v>15.873335991999999</v>
      </c>
      <c r="DV579" s="323">
        <f t="shared" si="381"/>
        <v>0</v>
      </c>
      <c r="DW579" s="323">
        <f t="shared" ref="DW579:EX579" si="382">DW161</f>
        <v>0</v>
      </c>
      <c r="DX579" s="323">
        <f t="shared" si="382"/>
        <v>12.168713068197375</v>
      </c>
      <c r="DY579" s="323">
        <f t="shared" si="382"/>
        <v>0</v>
      </c>
      <c r="DZ579" s="325">
        <f t="shared" si="382"/>
        <v>0</v>
      </c>
      <c r="EA579" s="323">
        <f t="shared" si="382"/>
        <v>16.435436211999999</v>
      </c>
      <c r="EB579" s="323">
        <f t="shared" si="382"/>
        <v>0</v>
      </c>
      <c r="EC579" s="323">
        <f t="shared" si="382"/>
        <v>0</v>
      </c>
      <c r="ED579" s="323">
        <f t="shared" si="382"/>
        <v>14.085088711999999</v>
      </c>
      <c r="EE579" s="323">
        <f t="shared" si="382"/>
        <v>4.495227206</v>
      </c>
      <c r="EF579" s="323">
        <f t="shared" si="382"/>
        <v>1.499967818</v>
      </c>
      <c r="EG579" s="323">
        <f t="shared" si="382"/>
        <v>0</v>
      </c>
      <c r="EH579" s="323">
        <f t="shared" si="382"/>
        <v>3.4351810120000001</v>
      </c>
      <c r="EI579" s="323">
        <f t="shared" si="382"/>
        <v>15.789495488</v>
      </c>
      <c r="EJ579" s="323">
        <f t="shared" si="382"/>
        <v>13.831257405999999</v>
      </c>
      <c r="EK579" s="323">
        <f t="shared" si="382"/>
        <v>0</v>
      </c>
      <c r="EL579" s="325">
        <f t="shared" si="382"/>
        <v>0</v>
      </c>
      <c r="EM579" s="323">
        <f t="shared" si="382"/>
        <v>6.0684036749999999</v>
      </c>
      <c r="EN579" s="323">
        <f t="shared" si="382"/>
        <v>12.302054782000001</v>
      </c>
      <c r="EO579" s="323">
        <f t="shared" si="382"/>
        <v>0.104222182</v>
      </c>
      <c r="EP579" s="323">
        <f t="shared" si="382"/>
        <v>0</v>
      </c>
      <c r="EQ579" s="323">
        <f t="shared" si="382"/>
        <v>0</v>
      </c>
      <c r="ER579" s="323">
        <f t="shared" si="382"/>
        <v>11.431334335000001</v>
      </c>
      <c r="ES579" s="323">
        <f t="shared" si="382"/>
        <v>14.021816380000001</v>
      </c>
      <c r="ET579" s="323">
        <f t="shared" si="382"/>
        <v>25.648448246000001</v>
      </c>
      <c r="EU579" s="323">
        <f t="shared" si="382"/>
        <v>0</v>
      </c>
      <c r="EV579" s="323">
        <f t="shared" si="382"/>
        <v>13.419106073131385</v>
      </c>
      <c r="EW579" s="323">
        <f t="shared" si="382"/>
        <v>0</v>
      </c>
      <c r="EX579" s="325">
        <f t="shared" si="382"/>
        <v>0</v>
      </c>
      <c r="EY579" s="323"/>
      <c r="EZ579" s="323"/>
      <c r="FA579" s="323"/>
      <c r="FB579" s="323"/>
      <c r="FC579" s="323"/>
      <c r="FD579" s="323"/>
      <c r="FE579" s="323"/>
      <c r="FF579" s="323"/>
      <c r="FG579" s="323"/>
      <c r="FH579" s="323"/>
      <c r="FI579" s="323"/>
      <c r="FJ579" s="325"/>
      <c r="FK579" s="323"/>
      <c r="FL579" s="323"/>
      <c r="FM579" s="323"/>
      <c r="FN579" s="323"/>
      <c r="FO579" s="323"/>
      <c r="FP579" s="323"/>
      <c r="FQ579" s="323"/>
      <c r="FR579" s="323"/>
      <c r="FS579" s="323"/>
      <c r="FT579" s="323"/>
      <c r="FU579" s="323"/>
      <c r="FV579" s="323"/>
      <c r="FW579" s="323"/>
      <c r="FX579" s="323"/>
      <c r="FY579" s="323"/>
      <c r="FZ579" s="323"/>
      <c r="GA579" s="323"/>
      <c r="GB579" s="323"/>
      <c r="GC579" s="323"/>
      <c r="GD579" s="323"/>
      <c r="GE579" s="323"/>
      <c r="GF579" s="323"/>
      <c r="GG579" s="323"/>
      <c r="GH579" s="323"/>
      <c r="GI579" s="323"/>
      <c r="GJ579" s="323"/>
      <c r="GK579" s="323"/>
      <c r="GL579" s="323"/>
      <c r="GM579" s="323"/>
      <c r="GN579" s="323"/>
      <c r="GO579" s="323"/>
      <c r="GP579" s="323"/>
      <c r="GQ579" s="323"/>
      <c r="GR579" s="323"/>
      <c r="GS579" s="323"/>
      <c r="GT579" s="323"/>
      <c r="GU579" s="323"/>
      <c r="GV579" s="323"/>
      <c r="GW579" s="323"/>
      <c r="GX579" s="323"/>
      <c r="GY579" s="323"/>
      <c r="GZ579" s="323"/>
      <c r="HA579" s="323"/>
      <c r="HB579" s="323"/>
      <c r="HC579" s="323"/>
      <c r="HD579" s="323"/>
      <c r="HE579" s="323"/>
      <c r="HF579" s="323"/>
      <c r="HG579" s="323"/>
      <c r="HH579" s="323"/>
      <c r="HI579" s="323"/>
      <c r="HJ579" s="323"/>
      <c r="HK579" s="323"/>
      <c r="HL579" s="323"/>
      <c r="HM579" s="323"/>
      <c r="HN579" s="323"/>
      <c r="HO579" s="323"/>
      <c r="HP579" s="323"/>
      <c r="HQ579" s="323"/>
      <c r="HR579" s="323"/>
      <c r="HS579" s="323"/>
      <c r="HT579" s="323"/>
      <c r="HU579" s="323"/>
      <c r="HV579" s="323"/>
      <c r="HW579" s="323"/>
      <c r="HX579" s="323"/>
      <c r="HY579" s="323"/>
      <c r="HZ579" s="326"/>
      <c r="IA579" s="328" t="s">
        <v>129</v>
      </c>
      <c r="IB579" s="328"/>
      <c r="IC579" s="328"/>
      <c r="ID579" s="323">
        <f>+FISC!Z775</f>
        <v>88.24</v>
      </c>
      <c r="IE579" s="279">
        <f>SUM(CQ579:CV579)</f>
        <v>52.414889428514762</v>
      </c>
      <c r="IF579" s="279">
        <f>SUM(CW579:DB579)</f>
        <v>35.81386911980772</v>
      </c>
      <c r="IG579" s="323">
        <f>SUM(CQ579:DB579)</f>
        <v>88.228758548322475</v>
      </c>
      <c r="IH579" s="279">
        <f>+SUM(DC579:DH579)</f>
        <v>40.949805089659883</v>
      </c>
      <c r="II579" s="279">
        <f>+SUM(DI579:DN579)</f>
        <v>29.43256141839035</v>
      </c>
      <c r="IJ579" s="323">
        <f t="shared" si="306"/>
        <v>70.382366508050239</v>
      </c>
      <c r="IK579" s="279">
        <f>+SUM(DO579:DT579)</f>
        <v>26.01139358316146</v>
      </c>
      <c r="IL579" s="279">
        <f>SUM(DU579:DZ579)</f>
        <v>28.042049060197375</v>
      </c>
      <c r="IM579" s="323">
        <f t="shared" si="309"/>
        <v>54.053442643358835</v>
      </c>
      <c r="IN579" s="279">
        <f>(FISC!AB104*FISC!AC259/1000)*0+36.515719948</f>
        <v>36.515719947999997</v>
      </c>
      <c r="IO579" s="279">
        <f>+(IP579-IN579)</f>
        <v>33.055933906000007</v>
      </c>
      <c r="IP579" s="323">
        <f>FISC!AC775</f>
        <v>69.571653854000004</v>
      </c>
      <c r="IQ579" s="279">
        <f t="shared" si="353"/>
        <v>29.906014974000001</v>
      </c>
      <c r="IR579" s="279">
        <f t="shared" si="354"/>
        <v>53.089370699131393</v>
      </c>
      <c r="IS579" s="323">
        <f t="shared" si="365"/>
        <v>82.995385673131395</v>
      </c>
      <c r="IT579" s="279">
        <f>+(FISC!AD104*FISC!AE$259/1000)</f>
        <v>31.804202355335967</v>
      </c>
      <c r="IU579" s="279">
        <f>+IV579-IT579</f>
        <v>34.57366317529921</v>
      </c>
      <c r="IV579" s="323">
        <f>+FISC!AE775</f>
        <v>66.377865530635177</v>
      </c>
      <c r="IW579" s="279">
        <f>+(FISC!AE104*FISC!AF259/1000)</f>
        <v>46.19691627755703</v>
      </c>
      <c r="IX579" s="279">
        <f t="shared" si="291"/>
        <v>22.089524221582472</v>
      </c>
      <c r="IY579" s="323">
        <f>+FISC!AF775</f>
        <v>68.286440499139502</v>
      </c>
      <c r="IZ579" s="279">
        <f>+(FISC!AF104*FISC!AG259/1000)</f>
        <v>82.287231546247767</v>
      </c>
      <c r="JA579" s="279">
        <f t="shared" si="360"/>
        <v>28.320719117670635</v>
      </c>
      <c r="JB579" s="323">
        <f>+FISC!AG775</f>
        <v>110.6079506639184</v>
      </c>
      <c r="JC579" s="279">
        <f>+(FISC!AG104*FISC!AH259/1000)</f>
        <v>46.578826280992601</v>
      </c>
      <c r="JD579" s="279">
        <f t="shared" si="280"/>
        <v>36.234864148261138</v>
      </c>
      <c r="JE579" s="323">
        <f>+FISC!AH775</f>
        <v>82.813690429253739</v>
      </c>
      <c r="JF579" s="279">
        <f>+(FISC!AH104*FISC!AI259/1000)</f>
        <v>60.790741677113502</v>
      </c>
      <c r="JG579" s="279">
        <f t="shared" si="281"/>
        <v>26.603590219699043</v>
      </c>
      <c r="JH579" s="323">
        <f>+FISC!AI775</f>
        <v>87.394331896812545</v>
      </c>
      <c r="JI579" s="279">
        <f>+(FISC!AI104*FISC!AJ259/1000)</f>
        <v>55.243937933381488</v>
      </c>
      <c r="JJ579" s="279">
        <f t="shared" si="282"/>
        <v>29.115035655753843</v>
      </c>
      <c r="JK579" s="323">
        <f>+FISC!AJ775</f>
        <v>84.358973589135331</v>
      </c>
      <c r="JL579" s="279">
        <f>+(FISC!AJ104*FISC!AK259/1000)</f>
        <v>58.559016209242181</v>
      </c>
      <c r="JM579" s="279">
        <f t="shared" si="283"/>
        <v>-58.559016209242181</v>
      </c>
      <c r="JN579" s="323">
        <f>+FISC!AK775</f>
        <v>0</v>
      </c>
      <c r="JO579" s="323"/>
      <c r="KU579" s="326"/>
      <c r="KV579" s="327"/>
    </row>
    <row r="580" spans="1:314" hidden="1">
      <c r="D580" s="328" t="s">
        <v>1140</v>
      </c>
      <c r="E580" s="323"/>
      <c r="F580" s="323"/>
      <c r="G580" s="323"/>
      <c r="H580" s="323"/>
      <c r="I580" s="323"/>
      <c r="J580" s="323"/>
      <c r="K580" s="323"/>
      <c r="L580" s="323"/>
      <c r="M580" s="323"/>
      <c r="N580" s="323"/>
      <c r="O580" s="323"/>
      <c r="P580" s="323"/>
      <c r="Q580" s="323"/>
      <c r="R580" s="323"/>
      <c r="S580" s="323"/>
      <c r="T580" s="323"/>
      <c r="U580" s="323"/>
      <c r="V580" s="323"/>
      <c r="W580" s="323"/>
      <c r="X580" s="323"/>
      <c r="Y580" s="323"/>
      <c r="Z580" s="323"/>
      <c r="AA580" s="323"/>
      <c r="AB580" s="323"/>
      <c r="AC580" s="323"/>
      <c r="AD580" s="323"/>
      <c r="AE580" s="323"/>
      <c r="AF580" s="323"/>
      <c r="AG580" s="323"/>
      <c r="AH580" s="323"/>
      <c r="AI580" s="323"/>
      <c r="AJ580" s="323"/>
      <c r="AK580" s="323"/>
      <c r="AL580" s="323"/>
      <c r="AM580" s="323"/>
      <c r="AN580" s="323"/>
      <c r="AO580" s="323"/>
      <c r="AP580" s="323"/>
      <c r="AQ580" s="323"/>
      <c r="AR580" s="323"/>
      <c r="AS580" s="323"/>
      <c r="AT580" s="323"/>
      <c r="AU580" s="323"/>
      <c r="AV580" s="323"/>
      <c r="AW580" s="323"/>
      <c r="AX580" s="323"/>
      <c r="AY580" s="323"/>
      <c r="AZ580" s="323"/>
      <c r="BA580" s="323"/>
      <c r="BB580" s="323"/>
      <c r="BC580" s="323"/>
      <c r="BD580" s="323"/>
      <c r="BE580" s="323"/>
      <c r="BF580" s="323"/>
      <c r="BG580" s="323"/>
      <c r="BH580" s="323"/>
      <c r="BI580" s="323"/>
      <c r="BJ580" s="323"/>
      <c r="BK580" s="323"/>
      <c r="BL580" s="323"/>
      <c r="BM580" s="323"/>
      <c r="BN580" s="323"/>
      <c r="BO580" s="323"/>
      <c r="BP580" s="323"/>
      <c r="BQ580" s="323"/>
      <c r="BR580" s="323"/>
      <c r="BS580" s="323"/>
      <c r="BT580" s="323"/>
      <c r="BU580" s="323"/>
      <c r="BV580" s="323"/>
      <c r="BW580" s="323"/>
      <c r="BX580" s="323"/>
      <c r="BY580" s="323"/>
      <c r="BZ580" s="323"/>
      <c r="CA580" s="323"/>
      <c r="CB580" s="323"/>
      <c r="CC580" s="323"/>
      <c r="CD580" s="323"/>
      <c r="CE580" s="324"/>
      <c r="CF580" s="323"/>
      <c r="CG580" s="323"/>
      <c r="CH580" s="323"/>
      <c r="CI580" s="323"/>
      <c r="CJ580" s="323"/>
      <c r="CK580" s="323"/>
      <c r="CL580" s="323"/>
      <c r="CM580" s="323"/>
      <c r="CN580" s="323"/>
      <c r="CO580" s="323"/>
      <c r="CP580" s="325"/>
      <c r="CQ580" s="323"/>
      <c r="CR580" s="323"/>
      <c r="CS580" s="323"/>
      <c r="CT580" s="323"/>
      <c r="CU580" s="323"/>
      <c r="CV580" s="323"/>
      <c r="CW580" s="323"/>
      <c r="CX580" s="323"/>
      <c r="CY580" s="323"/>
      <c r="CZ580" s="323"/>
      <c r="DA580" s="323"/>
      <c r="DB580" s="1269"/>
      <c r="DC580" s="323"/>
      <c r="DD580" s="323"/>
      <c r="DE580" s="323"/>
      <c r="DF580" s="323"/>
      <c r="DG580" s="323"/>
      <c r="DH580" s="323"/>
      <c r="DI580" s="323"/>
      <c r="DJ580" s="323"/>
      <c r="DK580" s="323"/>
      <c r="DL580" s="323"/>
      <c r="DM580" s="323"/>
      <c r="DN580" s="325"/>
      <c r="DO580" s="323"/>
      <c r="DP580" s="323"/>
      <c r="DQ580" s="323"/>
      <c r="DR580" s="323"/>
      <c r="DS580" s="323"/>
      <c r="DT580" s="323"/>
      <c r="DU580" s="323"/>
      <c r="DV580" s="323"/>
      <c r="DW580" s="323"/>
      <c r="DX580" s="323"/>
      <c r="DY580" s="323"/>
      <c r="DZ580" s="325"/>
      <c r="EA580" s="323">
        <v>0</v>
      </c>
      <c r="EB580" s="1077">
        <v>0</v>
      </c>
      <c r="EC580" s="1077">
        <v>0</v>
      </c>
      <c r="ED580" s="1077">
        <v>0</v>
      </c>
      <c r="EE580" s="1077">
        <v>0</v>
      </c>
      <c r="EF580" s="1077">
        <v>0</v>
      </c>
      <c r="EG580" s="1077">
        <v>0</v>
      </c>
      <c r="EH580" s="1077">
        <v>0</v>
      </c>
      <c r="EI580" s="1077">
        <v>0</v>
      </c>
      <c r="EJ580" s="1077">
        <v>0.91167791899999995</v>
      </c>
      <c r="EK580" s="1077">
        <v>0</v>
      </c>
      <c r="EL580" s="1341">
        <v>0.50500250000000002</v>
      </c>
      <c r="EM580" s="1077">
        <v>0</v>
      </c>
      <c r="EN580" s="1077">
        <v>0</v>
      </c>
      <c r="EO580" s="1077">
        <v>0</v>
      </c>
      <c r="EP580" s="1077">
        <v>0</v>
      </c>
      <c r="EQ580" s="1077">
        <v>0</v>
      </c>
      <c r="ER580" s="1077">
        <v>1.1667520816836885</v>
      </c>
      <c r="ES580" s="1077">
        <v>0</v>
      </c>
      <c r="ET580" s="1077">
        <v>0</v>
      </c>
      <c r="EU580" s="1077">
        <v>0</v>
      </c>
      <c r="EV580" s="1077">
        <v>1.442574663636075</v>
      </c>
      <c r="EW580" s="1077">
        <v>0</v>
      </c>
      <c r="EX580" s="1341">
        <v>0</v>
      </c>
      <c r="EY580" s="1077"/>
      <c r="EZ580" s="1077"/>
      <c r="FA580" s="1077"/>
      <c r="FB580" s="1077"/>
      <c r="FC580" s="1077"/>
      <c r="FD580" s="1077"/>
      <c r="FE580" s="1077"/>
      <c r="FF580" s="1077"/>
      <c r="FG580" s="1077"/>
      <c r="FH580" s="1077"/>
      <c r="FI580" s="1077"/>
      <c r="FJ580" s="1341"/>
      <c r="FK580" s="1077"/>
      <c r="FL580" s="1077"/>
      <c r="FM580" s="1077"/>
      <c r="FN580" s="1077"/>
      <c r="FO580" s="1077"/>
      <c r="FP580" s="1077"/>
      <c r="FQ580" s="1077"/>
      <c r="FR580" s="1077"/>
      <c r="FS580" s="1077"/>
      <c r="FT580" s="1077"/>
      <c r="FU580" s="1077"/>
      <c r="FV580" s="1077"/>
      <c r="FW580" s="1077"/>
      <c r="FX580" s="1077"/>
      <c r="FY580" s="1077"/>
      <c r="FZ580" s="1077"/>
      <c r="GA580" s="1077"/>
      <c r="GB580" s="1077"/>
      <c r="GC580" s="1077"/>
      <c r="GD580" s="1077"/>
      <c r="GE580" s="1077"/>
      <c r="GF580" s="1077"/>
      <c r="GG580" s="1077"/>
      <c r="GH580" s="1077"/>
      <c r="GI580" s="1077"/>
      <c r="GJ580" s="1077"/>
      <c r="GK580" s="1077"/>
      <c r="GL580" s="1077"/>
      <c r="GM580" s="1077"/>
      <c r="GN580" s="1077"/>
      <c r="GO580" s="1077"/>
      <c r="GP580" s="1077"/>
      <c r="GQ580" s="1077"/>
      <c r="GR580" s="1077"/>
      <c r="GS580" s="1077"/>
      <c r="GT580" s="1077"/>
      <c r="GU580" s="1077"/>
      <c r="GV580" s="1077"/>
      <c r="GW580" s="1077"/>
      <c r="GX580" s="1077"/>
      <c r="GY580" s="1077"/>
      <c r="GZ580" s="1077"/>
      <c r="HA580" s="1077"/>
      <c r="HB580" s="1077"/>
      <c r="HC580" s="1077"/>
      <c r="HD580" s="1077"/>
      <c r="HE580" s="1077"/>
      <c r="HF580" s="1077"/>
      <c r="HG580" s="1077"/>
      <c r="HH580" s="1077"/>
      <c r="HI580" s="1077"/>
      <c r="HJ580" s="1077"/>
      <c r="HK580" s="1077"/>
      <c r="HL580" s="1077"/>
      <c r="HM580" s="1077"/>
      <c r="HN580" s="1077"/>
      <c r="HO580" s="1077"/>
      <c r="HP580" s="1077"/>
      <c r="HQ580" s="1077"/>
      <c r="HR580" s="1077"/>
      <c r="HS580" s="1077"/>
      <c r="HT580" s="1077"/>
      <c r="HU580" s="1077"/>
      <c r="HV580" s="1077"/>
      <c r="HW580" s="1077"/>
      <c r="HX580" s="1077"/>
      <c r="HY580" s="1077"/>
      <c r="HZ580" s="326"/>
      <c r="IA580" s="328" t="s">
        <v>1140</v>
      </c>
      <c r="IB580" s="328"/>
      <c r="IC580" s="328"/>
      <c r="ID580" s="323"/>
      <c r="IG580" s="323"/>
      <c r="IJ580" s="323"/>
      <c r="IM580" s="323"/>
      <c r="IP580" s="323"/>
      <c r="IQ580" s="279">
        <f t="shared" si="353"/>
        <v>1.1667520816836885</v>
      </c>
      <c r="IR580" s="279">
        <f t="shared" si="354"/>
        <v>1.442574663636075</v>
      </c>
      <c r="IS580" s="323">
        <f t="shared" si="365"/>
        <v>2.6093267453197635</v>
      </c>
      <c r="IV580" s="323"/>
      <c r="IW580" s="279">
        <f>IY580*JU580</f>
        <v>0</v>
      </c>
      <c r="IX580" s="279">
        <f t="shared" si="291"/>
        <v>0</v>
      </c>
      <c r="IY580" s="323"/>
      <c r="IZ580" s="279">
        <f>JB580*JU580</f>
        <v>0</v>
      </c>
      <c r="JA580" s="279">
        <f t="shared" si="360"/>
        <v>0</v>
      </c>
      <c r="JB580" s="323"/>
      <c r="JC580" s="279">
        <f>JE580*JU580</f>
        <v>0</v>
      </c>
      <c r="JD580" s="279">
        <f t="shared" si="280"/>
        <v>0</v>
      </c>
      <c r="JE580" s="323"/>
      <c r="JF580" s="279">
        <f>JH580*JU580</f>
        <v>0</v>
      </c>
      <c r="JG580" s="279">
        <f t="shared" si="281"/>
        <v>0</v>
      </c>
      <c r="JH580" s="323"/>
      <c r="JI580" s="279">
        <f>JK580*JX580</f>
        <v>0</v>
      </c>
      <c r="JJ580" s="279">
        <f t="shared" si="282"/>
        <v>0</v>
      </c>
      <c r="JK580" s="323"/>
      <c r="JL580" s="279">
        <f>JN580*KA580</f>
        <v>0</v>
      </c>
      <c r="JM580" s="279">
        <f t="shared" si="283"/>
        <v>0</v>
      </c>
      <c r="JN580" s="323"/>
      <c r="JO580" s="323"/>
      <c r="KU580" s="326"/>
      <c r="KV580" s="327"/>
    </row>
    <row r="581" spans="1:314" hidden="1">
      <c r="D581" s="328" t="s">
        <v>743</v>
      </c>
      <c r="E581" s="323"/>
      <c r="F581" s="323"/>
      <c r="G581" s="323"/>
      <c r="H581" s="323"/>
      <c r="I581" s="323"/>
      <c r="J581" s="323"/>
      <c r="K581" s="323"/>
      <c r="L581" s="323"/>
      <c r="M581" s="323"/>
      <c r="N581" s="323"/>
      <c r="O581" s="323"/>
      <c r="P581" s="323"/>
      <c r="Q581" s="323"/>
      <c r="R581" s="323"/>
      <c r="S581" s="323"/>
      <c r="T581" s="323"/>
      <c r="U581" s="323"/>
      <c r="V581" s="323"/>
      <c r="W581" s="323"/>
      <c r="X581" s="323"/>
      <c r="Y581" s="323"/>
      <c r="Z581" s="323"/>
      <c r="AA581" s="323"/>
      <c r="AB581" s="323"/>
      <c r="AC581" s="323"/>
      <c r="AD581" s="323"/>
      <c r="AE581" s="323"/>
      <c r="AF581" s="323"/>
      <c r="AG581" s="323"/>
      <c r="AH581" s="323"/>
      <c r="AI581" s="323"/>
      <c r="AJ581" s="323"/>
      <c r="AK581" s="323"/>
      <c r="AL581" s="323"/>
      <c r="AM581" s="323"/>
      <c r="AN581" s="323"/>
      <c r="AO581" s="323"/>
      <c r="AP581" s="323"/>
      <c r="AQ581" s="323"/>
      <c r="AR581" s="323"/>
      <c r="AS581" s="323"/>
      <c r="AT581" s="323"/>
      <c r="AU581" s="323"/>
      <c r="AV581" s="323"/>
      <c r="AW581" s="323"/>
      <c r="AX581" s="323"/>
      <c r="AY581" s="323"/>
      <c r="AZ581" s="323"/>
      <c r="BA581" s="323"/>
      <c r="BB581" s="323"/>
      <c r="BC581" s="323"/>
      <c r="BD581" s="323"/>
      <c r="BE581" s="323"/>
      <c r="BF581" s="323"/>
      <c r="BG581" s="323"/>
      <c r="BH581" s="323"/>
      <c r="BI581" s="323"/>
      <c r="BJ581" s="323"/>
      <c r="BK581" s="323"/>
      <c r="BL581" s="323"/>
      <c r="BM581" s="323"/>
      <c r="BN581" s="323"/>
      <c r="BO581" s="323"/>
      <c r="BP581" s="323"/>
      <c r="BQ581" s="323"/>
      <c r="BR581" s="323"/>
      <c r="BS581" s="323"/>
      <c r="BT581" s="323"/>
      <c r="BU581" s="323"/>
      <c r="BV581" s="323"/>
      <c r="BW581" s="323"/>
      <c r="BX581" s="323"/>
      <c r="BY581" s="323"/>
      <c r="BZ581" s="323"/>
      <c r="CA581" s="323"/>
      <c r="CB581" s="323"/>
      <c r="CC581" s="323"/>
      <c r="CD581" s="323"/>
      <c r="CE581" s="324"/>
      <c r="CF581" s="323"/>
      <c r="CG581" s="323"/>
      <c r="CH581" s="323"/>
      <c r="CI581" s="323"/>
      <c r="CJ581" s="323"/>
      <c r="CK581" s="323"/>
      <c r="CL581" s="323"/>
      <c r="CM581" s="323"/>
      <c r="CN581" s="323"/>
      <c r="CO581" s="323"/>
      <c r="CP581" s="325"/>
      <c r="CQ581" s="323"/>
      <c r="CR581" s="323"/>
      <c r="CS581" s="323"/>
      <c r="CT581" s="323"/>
      <c r="CU581" s="323"/>
      <c r="CV581" s="323"/>
      <c r="CW581" s="323"/>
      <c r="CX581" s="323"/>
      <c r="CY581" s="323"/>
      <c r="CZ581" s="323"/>
      <c r="DA581" s="323"/>
      <c r="DB581" s="1269"/>
      <c r="DC581" s="323"/>
      <c r="DD581" s="323"/>
      <c r="DE581" s="323"/>
      <c r="DF581" s="323"/>
      <c r="DG581" s="323"/>
      <c r="DH581" s="323"/>
      <c r="DI581" s="323"/>
      <c r="DJ581" s="323"/>
      <c r="DK581" s="323"/>
      <c r="DL581" s="323"/>
      <c r="DM581" s="323"/>
      <c r="DN581" s="325"/>
      <c r="DO581" s="323"/>
      <c r="DP581" s="323"/>
      <c r="DQ581" s="323"/>
      <c r="DR581" s="323"/>
      <c r="DS581" s="323"/>
      <c r="DT581" s="323"/>
      <c r="DU581" s="323"/>
      <c r="DV581" s="323"/>
      <c r="DW581" s="323"/>
      <c r="DX581" s="323"/>
      <c r="DY581" s="323"/>
      <c r="DZ581" s="325"/>
      <c r="EA581" s="323"/>
      <c r="EB581" s="323"/>
      <c r="EC581" s="323"/>
      <c r="ED581" s="323"/>
      <c r="EE581" s="323"/>
      <c r="EF581" s="323"/>
      <c r="EG581" s="323"/>
      <c r="EH581" s="323"/>
      <c r="EI581" s="323"/>
      <c r="EJ581" s="323"/>
      <c r="EK581" s="323"/>
      <c r="EL581" s="325"/>
      <c r="EM581" s="323"/>
      <c r="EN581" s="323"/>
      <c r="EO581" s="323"/>
      <c r="EP581" s="323"/>
      <c r="EQ581" s="323"/>
      <c r="ER581" s="323"/>
      <c r="ES581" s="323"/>
      <c r="ET581" s="323"/>
      <c r="EU581" s="323"/>
      <c r="EV581" s="323"/>
      <c r="EW581" s="323"/>
      <c r="EX581" s="325"/>
      <c r="EY581" s="323"/>
      <c r="EZ581" s="323"/>
      <c r="FA581" s="323"/>
      <c r="FB581" s="323"/>
      <c r="FC581" s="323"/>
      <c r="FD581" s="323"/>
      <c r="FE581" s="323"/>
      <c r="FF581" s="323"/>
      <c r="FG581" s="323"/>
      <c r="FH581" s="323"/>
      <c r="FI581" s="323"/>
      <c r="FJ581" s="325"/>
      <c r="FK581" s="323"/>
      <c r="FL581" s="323"/>
      <c r="FM581" s="323"/>
      <c r="FN581" s="323"/>
      <c r="FO581" s="323"/>
      <c r="FP581" s="323"/>
      <c r="FQ581" s="323"/>
      <c r="FR581" s="323"/>
      <c r="FS581" s="323"/>
      <c r="FT581" s="323"/>
      <c r="FU581" s="323"/>
      <c r="FV581" s="323"/>
      <c r="FW581" s="323"/>
      <c r="FX581" s="323"/>
      <c r="FY581" s="323"/>
      <c r="FZ581" s="323"/>
      <c r="GA581" s="323"/>
      <c r="GB581" s="323"/>
      <c r="GC581" s="323"/>
      <c r="GD581" s="323"/>
      <c r="GE581" s="323"/>
      <c r="GF581" s="323"/>
      <c r="GG581" s="323"/>
      <c r="GH581" s="323"/>
      <c r="GI581" s="323"/>
      <c r="GJ581" s="323"/>
      <c r="GK581" s="323"/>
      <c r="GL581" s="323"/>
      <c r="GM581" s="323"/>
      <c r="GN581" s="323"/>
      <c r="GO581" s="323"/>
      <c r="GP581" s="323"/>
      <c r="GQ581" s="323"/>
      <c r="GR581" s="323"/>
      <c r="GS581" s="323"/>
      <c r="GT581" s="323"/>
      <c r="GU581" s="323"/>
      <c r="GV581" s="323"/>
      <c r="GW581" s="323"/>
      <c r="GX581" s="323"/>
      <c r="GY581" s="323"/>
      <c r="GZ581" s="323"/>
      <c r="HA581" s="323"/>
      <c r="HB581" s="323"/>
      <c r="HC581" s="323"/>
      <c r="HD581" s="323"/>
      <c r="HE581" s="323"/>
      <c r="HF581" s="323"/>
      <c r="HG581" s="323"/>
      <c r="HH581" s="323"/>
      <c r="HI581" s="323"/>
      <c r="HJ581" s="323"/>
      <c r="HK581" s="323"/>
      <c r="HL581" s="323"/>
      <c r="HM581" s="323"/>
      <c r="HN581" s="323"/>
      <c r="HO581" s="323"/>
      <c r="HP581" s="323"/>
      <c r="HQ581" s="323"/>
      <c r="HR581" s="323"/>
      <c r="HS581" s="323"/>
      <c r="HT581" s="323"/>
      <c r="HU581" s="323"/>
      <c r="HV581" s="323"/>
      <c r="HW581" s="323"/>
      <c r="HX581" s="323"/>
      <c r="HY581" s="323"/>
      <c r="HZ581" s="326"/>
      <c r="IA581" s="328" t="s">
        <v>743</v>
      </c>
      <c r="IB581" s="328"/>
      <c r="IC581" s="328"/>
      <c r="ID581" s="323"/>
      <c r="IG581" s="323"/>
      <c r="IJ581" s="323"/>
      <c r="IM581" s="323">
        <f>IK581+IL581</f>
        <v>0</v>
      </c>
      <c r="IN581" s="279">
        <v>0</v>
      </c>
      <c r="IO581" s="279">
        <f>+IO577-IO578-IO579</f>
        <v>1.4166804189999738</v>
      </c>
      <c r="IP581" s="323">
        <f>FISC!AC778</f>
        <v>0</v>
      </c>
      <c r="IQ581" s="279">
        <f t="shared" si="353"/>
        <v>0</v>
      </c>
      <c r="IR581" s="279">
        <f t="shared" si="354"/>
        <v>0</v>
      </c>
      <c r="IS581" s="323">
        <f>IQ581+IR581</f>
        <v>0</v>
      </c>
      <c r="IT581" s="279">
        <f>+(FISC!AD106*FISC!AE$259/1000)</f>
        <v>0</v>
      </c>
      <c r="IU581" s="279">
        <f>+IV581-IT581</f>
        <v>0</v>
      </c>
      <c r="IV581" s="323">
        <f>+FISC!AE778</f>
        <v>0</v>
      </c>
      <c r="IW581" s="279">
        <f>+(FISC!AE106*FISC!AF259/1000)</f>
        <v>0</v>
      </c>
      <c r="IX581" s="279">
        <f t="shared" si="291"/>
        <v>55.382345780641401</v>
      </c>
      <c r="IY581" s="323">
        <f>+FISC!AF778</f>
        <v>55.382345780641401</v>
      </c>
      <c r="IZ581" s="279">
        <f>+(FISC!AF106*FISC!AG259/1000)</f>
        <v>0</v>
      </c>
      <c r="JA581" s="279">
        <f t="shared" si="360"/>
        <v>13.09276161209365</v>
      </c>
      <c r="JB581" s="323">
        <f>+FISC!AG778</f>
        <v>13.09276161209365</v>
      </c>
      <c r="JC581" s="279">
        <f>+(FISC!AG106*FISC!AH259/1000)</f>
        <v>0</v>
      </c>
      <c r="JD581" s="279">
        <f t="shared" si="280"/>
        <v>0</v>
      </c>
      <c r="JE581" s="323">
        <f>+FISC!AH778</f>
        <v>0</v>
      </c>
      <c r="JF581" s="279">
        <f>+(FISC!AH106*FISC!AI259/1000)</f>
        <v>0</v>
      </c>
      <c r="JG581" s="279">
        <f t="shared" si="281"/>
        <v>0</v>
      </c>
      <c r="JH581" s="323">
        <f>+FISC!AI778</f>
        <v>0</v>
      </c>
      <c r="JI581" s="279">
        <f>+(FISC!AI106*FISC!AJ259/1000)</f>
        <v>0</v>
      </c>
      <c r="JJ581" s="279">
        <f t="shared" si="282"/>
        <v>0</v>
      </c>
      <c r="JK581" s="323">
        <f>+FISC!AJ778</f>
        <v>0</v>
      </c>
      <c r="JL581" s="279">
        <f>+(FISC!AJ106*FISC!AK259/1000)</f>
        <v>0</v>
      </c>
      <c r="JM581" s="279">
        <f t="shared" si="283"/>
        <v>0</v>
      </c>
      <c r="JN581" s="323">
        <f>+FISC!AK778</f>
        <v>0</v>
      </c>
      <c r="JO581" s="323"/>
      <c r="KU581" s="326"/>
      <c r="KV581" s="327"/>
    </row>
    <row r="582" spans="1:314" hidden="1">
      <c r="B582" s="96" t="s">
        <v>338</v>
      </c>
      <c r="D582" s="569" t="str">
        <f>+FISC!D779</f>
        <v>Capital grants</v>
      </c>
      <c r="E582" s="323">
        <v>0</v>
      </c>
      <c r="F582" s="323">
        <v>0</v>
      </c>
      <c r="G582" s="323">
        <v>19.096</v>
      </c>
      <c r="H582" s="323">
        <v>0</v>
      </c>
      <c r="I582" s="323">
        <v>0</v>
      </c>
      <c r="J582" s="323">
        <v>18.920000000000002</v>
      </c>
      <c r="K582" s="323">
        <v>0</v>
      </c>
      <c r="L582" s="323">
        <v>0</v>
      </c>
      <c r="M582" s="323">
        <v>20.327999999999999</v>
      </c>
      <c r="N582" s="323">
        <v>0</v>
      </c>
      <c r="O582" s="323">
        <v>0</v>
      </c>
      <c r="P582" s="323">
        <v>15.656000000000001</v>
      </c>
      <c r="Q582" s="323">
        <v>0</v>
      </c>
      <c r="R582" s="323">
        <v>0</v>
      </c>
      <c r="S582" s="323">
        <v>13.61007</v>
      </c>
      <c r="T582" s="323">
        <v>0</v>
      </c>
      <c r="U582" s="323">
        <v>0</v>
      </c>
      <c r="V582" s="323">
        <v>21.278419999999997</v>
      </c>
      <c r="W582" s="323">
        <v>0</v>
      </c>
      <c r="X582" s="323">
        <v>0</v>
      </c>
      <c r="Y582" s="323">
        <v>20.6523</v>
      </c>
      <c r="Z582" s="323">
        <v>0</v>
      </c>
      <c r="AA582" s="323">
        <v>0</v>
      </c>
      <c r="AB582" s="323">
        <v>38.554199999999994</v>
      </c>
      <c r="AC582" s="323">
        <v>0</v>
      </c>
      <c r="AD582" s="323">
        <v>0</v>
      </c>
      <c r="AE582" s="323">
        <v>27.222999999999999</v>
      </c>
      <c r="AF582" s="323">
        <v>0</v>
      </c>
      <c r="AG582" s="323">
        <v>0</v>
      </c>
      <c r="AH582" s="323">
        <v>14.770896896000002</v>
      </c>
      <c r="AI582" s="323">
        <v>0</v>
      </c>
      <c r="AJ582" s="323">
        <v>0</v>
      </c>
      <c r="AK582" s="323">
        <v>31.943841391000003</v>
      </c>
      <c r="AL582" s="323">
        <v>0</v>
      </c>
      <c r="AM582" s="323">
        <v>0</v>
      </c>
      <c r="AN582" s="323">
        <v>39.854758195999992</v>
      </c>
      <c r="AO582" s="323">
        <v>0</v>
      </c>
      <c r="AP582" s="323">
        <v>0</v>
      </c>
      <c r="AQ582" s="323">
        <v>27.3</v>
      </c>
      <c r="AR582" s="323">
        <v>0</v>
      </c>
      <c r="AS582" s="323">
        <v>0</v>
      </c>
      <c r="AT582" s="323">
        <v>27.3</v>
      </c>
      <c r="AU582" s="323">
        <v>0</v>
      </c>
      <c r="AV582" s="323">
        <v>0</v>
      </c>
      <c r="AW582" s="323">
        <v>34.1</v>
      </c>
      <c r="AX582" s="323">
        <v>0</v>
      </c>
      <c r="AY582" s="323">
        <v>0</v>
      </c>
      <c r="AZ582" s="323">
        <v>80</v>
      </c>
      <c r="BA582" s="323">
        <v>0</v>
      </c>
      <c r="BB582" s="323">
        <v>0</v>
      </c>
      <c r="BC582" s="323">
        <v>25.449000000000002</v>
      </c>
      <c r="BD582" s="323">
        <v>0</v>
      </c>
      <c r="BE582" s="323">
        <v>0</v>
      </c>
      <c r="BF582" s="323">
        <v>24.451000000000001</v>
      </c>
      <c r="BG582" s="323">
        <v>0</v>
      </c>
      <c r="BH582" s="323">
        <v>0</v>
      </c>
      <c r="BI582" s="323">
        <v>28.44</v>
      </c>
      <c r="BJ582" s="323">
        <v>50.9206</v>
      </c>
      <c r="BK582" s="323">
        <v>0</v>
      </c>
      <c r="BL582" s="323">
        <v>28.44</v>
      </c>
      <c r="BM582" s="323">
        <v>0</v>
      </c>
      <c r="BN582" s="323">
        <v>0</v>
      </c>
      <c r="BO582" s="323">
        <v>28.4</v>
      </c>
      <c r="BP582" s="323">
        <v>0</v>
      </c>
      <c r="BQ582" s="323">
        <v>0</v>
      </c>
      <c r="BR582" s="323">
        <v>63.072049327625756</v>
      </c>
      <c r="BS582" s="323">
        <v>12.203299451901628</v>
      </c>
      <c r="BT582" s="323">
        <v>14.813409459931112</v>
      </c>
      <c r="BU582" s="323">
        <v>6.5902026762721153</v>
      </c>
      <c r="BV582" s="323">
        <v>7.9663939819053082</v>
      </c>
      <c r="BW582" s="323">
        <v>41.538890177774903</v>
      </c>
      <c r="BX582" s="323">
        <v>29.001320784256873</v>
      </c>
      <c r="BY582" s="323">
        <v>6.4084407417666696E-6</v>
      </c>
      <c r="BZ582" s="323">
        <v>3.9502690426215792</v>
      </c>
      <c r="CA582" s="323">
        <v>8.9347603934343383</v>
      </c>
      <c r="CB582" s="323">
        <v>6.8720589184452443</v>
      </c>
      <c r="CC582" s="323">
        <v>32.567005592195322</v>
      </c>
      <c r="CD582" s="323">
        <v>10.462383112820836</v>
      </c>
      <c r="CE582" s="324">
        <f>CE583+CE586</f>
        <v>20.644770703771695</v>
      </c>
      <c r="CF582" s="323">
        <f t="shared" ref="CF582:DN582" si="383">CF583+CF586</f>
        <v>6.2068516957338105</v>
      </c>
      <c r="CG582" s="323">
        <f t="shared" si="383"/>
        <v>33.654755862294493</v>
      </c>
      <c r="CH582" s="323">
        <f t="shared" si="383"/>
        <v>40.164865416949603</v>
      </c>
      <c r="CI582" s="323">
        <f t="shared" si="383"/>
        <v>33.30229618613545</v>
      </c>
      <c r="CJ582" s="323">
        <f t="shared" si="383"/>
        <v>23.305426911000946</v>
      </c>
      <c r="CK582" s="323">
        <f t="shared" si="383"/>
        <v>22.369328398681304</v>
      </c>
      <c r="CL582" s="323">
        <f t="shared" si="383"/>
        <v>15.370313869472696</v>
      </c>
      <c r="CM582" s="323">
        <f t="shared" si="383"/>
        <v>15.260357731845993</v>
      </c>
      <c r="CN582" s="323">
        <f t="shared" si="383"/>
        <v>55.08162525346021</v>
      </c>
      <c r="CO582" s="323">
        <f t="shared" si="383"/>
        <v>16.101722923910174</v>
      </c>
      <c r="CP582" s="325">
        <f t="shared" si="383"/>
        <v>21.799460293312592</v>
      </c>
      <c r="CQ582" s="323">
        <f t="shared" si="383"/>
        <v>16.87350672279609</v>
      </c>
      <c r="CR582" s="323">
        <f t="shared" si="383"/>
        <v>20.574332516946019</v>
      </c>
      <c r="CS582" s="323">
        <f t="shared" si="383"/>
        <v>13.677160760257889</v>
      </c>
      <c r="CT582" s="323">
        <f t="shared" si="383"/>
        <v>22.966062853869769</v>
      </c>
      <c r="CU582" s="323">
        <f t="shared" si="383"/>
        <v>25.792258359012344</v>
      </c>
      <c r="CV582" s="323">
        <f t="shared" si="383"/>
        <v>25.594723744156603</v>
      </c>
      <c r="CW582" s="323">
        <f t="shared" si="383"/>
        <v>18.835302128312126</v>
      </c>
      <c r="CX582" s="323">
        <f t="shared" si="383"/>
        <v>20.69342160459518</v>
      </c>
      <c r="CY582" s="323">
        <f t="shared" si="383"/>
        <v>18.249102545774683</v>
      </c>
      <c r="CZ582" s="323">
        <f t="shared" si="383"/>
        <v>12.54749310504959</v>
      </c>
      <c r="DA582" s="323">
        <f t="shared" si="383"/>
        <v>24.637015591921291</v>
      </c>
      <c r="DB582" s="1269">
        <f t="shared" si="383"/>
        <v>20.593317581711112</v>
      </c>
      <c r="DC582" s="323">
        <f t="shared" si="383"/>
        <v>13.457658298098568</v>
      </c>
      <c r="DD582" s="323">
        <f t="shared" si="383"/>
        <v>19.030042177083068</v>
      </c>
      <c r="DE582" s="323">
        <f t="shared" si="383"/>
        <v>15.882299524818357</v>
      </c>
      <c r="DF582" s="323">
        <f t="shared" si="383"/>
        <v>10.358548209869529</v>
      </c>
      <c r="DG582" s="323">
        <f t="shared" si="383"/>
        <v>9.0959670020350281</v>
      </c>
      <c r="DH582" s="323">
        <f t="shared" si="383"/>
        <v>28.915484788095437</v>
      </c>
      <c r="DI582" s="323">
        <f>DI583+DI586</f>
        <v>9.6377982635075661</v>
      </c>
      <c r="DJ582" s="323">
        <f t="shared" si="383"/>
        <v>11.505491827422981</v>
      </c>
      <c r="DK582" s="323">
        <f t="shared" si="383"/>
        <v>14.95670990906946</v>
      </c>
      <c r="DL582" s="323">
        <f t="shared" si="383"/>
        <v>10.918476448112893</v>
      </c>
      <c r="DM582" s="323">
        <f t="shared" si="383"/>
        <v>19.287035582032409</v>
      </c>
      <c r="DN582" s="325">
        <f t="shared" si="383"/>
        <v>5.8944879698547039</v>
      </c>
      <c r="DO582" s="323">
        <f t="shared" ref="DO582:DT582" si="384">DO583+DO586</f>
        <v>4.5689722600492333</v>
      </c>
      <c r="DP582" s="323">
        <f t="shared" si="384"/>
        <v>1.9976494589589138</v>
      </c>
      <c r="DQ582" s="323">
        <f t="shared" si="384"/>
        <v>19.857829355710404</v>
      </c>
      <c r="DR582" s="323">
        <f t="shared" si="384"/>
        <v>3.0254844532894221</v>
      </c>
      <c r="DS582" s="323">
        <f t="shared" si="384"/>
        <v>0</v>
      </c>
      <c r="DT582" s="323">
        <f t="shared" si="384"/>
        <v>0</v>
      </c>
      <c r="DU582" s="323">
        <f t="shared" ref="DU582:DZ582" si="385">DU583+DU586</f>
        <v>15.873335991999999</v>
      </c>
      <c r="DV582" s="323">
        <f t="shared" si="385"/>
        <v>0</v>
      </c>
      <c r="DW582" s="323">
        <f t="shared" si="385"/>
        <v>0</v>
      </c>
      <c r="DX582" s="323">
        <f t="shared" si="385"/>
        <v>12.168713068197375</v>
      </c>
      <c r="DY582" s="323">
        <f t="shared" si="385"/>
        <v>0</v>
      </c>
      <c r="DZ582" s="325">
        <f t="shared" si="385"/>
        <v>0</v>
      </c>
      <c r="EA582" s="323">
        <f t="shared" ref="EA582:EL582" si="386">EA583+EA586</f>
        <v>12.04303298669176</v>
      </c>
      <c r="EB582" s="323">
        <f t="shared" si="386"/>
        <v>11.58141738339774</v>
      </c>
      <c r="EC582" s="323">
        <f t="shared" si="386"/>
        <v>18.953049629910502</v>
      </c>
      <c r="ED582" s="323">
        <f t="shared" si="386"/>
        <v>9.2129121794719193</v>
      </c>
      <c r="EE582" s="323">
        <f t="shared" si="386"/>
        <v>18.666473033356318</v>
      </c>
      <c r="EF582" s="323">
        <f t="shared" si="386"/>
        <v>14.698114787171765</v>
      </c>
      <c r="EG582" s="323">
        <f t="shared" si="386"/>
        <v>7.7343715577035592</v>
      </c>
      <c r="EH582" s="323">
        <f t="shared" si="386"/>
        <v>12.544701009695537</v>
      </c>
      <c r="EI582" s="323">
        <f t="shared" si="386"/>
        <v>21.498427432600909</v>
      </c>
      <c r="EJ582" s="323">
        <f t="shared" si="386"/>
        <v>3.5217398195229666</v>
      </c>
      <c r="EK582" s="323">
        <f t="shared" si="386"/>
        <v>8.0850167052850175</v>
      </c>
      <c r="EL582" s="325">
        <f t="shared" si="386"/>
        <v>30.170743475192022</v>
      </c>
      <c r="EM582" s="323">
        <f t="shared" ref="EM582:ER582" si="387">EM583+EM586</f>
        <v>15.676377072254855</v>
      </c>
      <c r="EN582" s="323">
        <f t="shared" si="387"/>
        <v>16.280776577680143</v>
      </c>
      <c r="EO582" s="323">
        <f t="shared" si="387"/>
        <v>31.957153649935002</v>
      </c>
      <c r="EP582" s="323">
        <f t="shared" si="387"/>
        <v>25.689925104930648</v>
      </c>
      <c r="EQ582" s="323">
        <f t="shared" si="387"/>
        <v>6.238642488411001</v>
      </c>
      <c r="ER582" s="323">
        <f t="shared" si="387"/>
        <v>31.957153649935002</v>
      </c>
      <c r="ES582" s="323">
        <f t="shared" ref="ES582:EX582" si="388">ES583+ES586</f>
        <v>11.77235596909156</v>
      </c>
      <c r="ET582" s="323">
        <f t="shared" si="388"/>
        <v>14.546519893461165</v>
      </c>
      <c r="EU582" s="323">
        <f t="shared" si="388"/>
        <v>26.318875862817901</v>
      </c>
      <c r="EV582" s="323">
        <f t="shared" si="388"/>
        <v>17.045294526785639</v>
      </c>
      <c r="EW582" s="323">
        <f t="shared" si="388"/>
        <v>9.2735813359162655</v>
      </c>
      <c r="EX582" s="325">
        <f t="shared" si="388"/>
        <v>26.318875862950499</v>
      </c>
      <c r="EY582" s="323"/>
      <c r="EZ582" s="323"/>
      <c r="FA582" s="323"/>
      <c r="FB582" s="323"/>
      <c r="FC582" s="323"/>
      <c r="FD582" s="323"/>
      <c r="FE582" s="323"/>
      <c r="FF582" s="323"/>
      <c r="FG582" s="323"/>
      <c r="FH582" s="323"/>
      <c r="FI582" s="323"/>
      <c r="FJ582" s="325"/>
      <c r="FK582" s="323"/>
      <c r="FL582" s="323"/>
      <c r="FM582" s="323"/>
      <c r="FN582" s="323"/>
      <c r="FO582" s="323"/>
      <c r="FP582" s="323"/>
      <c r="FQ582" s="323"/>
      <c r="FR582" s="323"/>
      <c r="FS582" s="323"/>
      <c r="FT582" s="323"/>
      <c r="FU582" s="323"/>
      <c r="FV582" s="323"/>
      <c r="FW582" s="323"/>
      <c r="FX582" s="323"/>
      <c r="FY582" s="323"/>
      <c r="FZ582" s="323"/>
      <c r="GA582" s="323"/>
      <c r="GB582" s="323"/>
      <c r="GC582" s="323"/>
      <c r="GD582" s="323"/>
      <c r="GE582" s="323"/>
      <c r="GF582" s="323"/>
      <c r="GG582" s="323"/>
      <c r="GH582" s="323"/>
      <c r="GI582" s="323"/>
      <c r="GJ582" s="323"/>
      <c r="GK582" s="323"/>
      <c r="GL582" s="323"/>
      <c r="GM582" s="323"/>
      <c r="GN582" s="323"/>
      <c r="GO582" s="323"/>
      <c r="GP582" s="323"/>
      <c r="GQ582" s="323"/>
      <c r="GR582" s="323"/>
      <c r="GS582" s="323"/>
      <c r="GT582" s="323"/>
      <c r="GU582" s="323"/>
      <c r="GV582" s="323"/>
      <c r="GW582" s="323"/>
      <c r="GX582" s="323"/>
      <c r="GY582" s="323"/>
      <c r="GZ582" s="323"/>
      <c r="HA582" s="323"/>
      <c r="HB582" s="323"/>
      <c r="HC582" s="323"/>
      <c r="HD582" s="323"/>
      <c r="HE582" s="323"/>
      <c r="HF582" s="323"/>
      <c r="HG582" s="323"/>
      <c r="HH582" s="323"/>
      <c r="HI582" s="323"/>
      <c r="HJ582" s="323"/>
      <c r="HK582" s="323"/>
      <c r="HL582" s="323"/>
      <c r="HM582" s="323"/>
      <c r="HN582" s="323"/>
      <c r="HO582" s="323"/>
      <c r="HP582" s="323"/>
      <c r="HQ582" s="323"/>
      <c r="HR582" s="323"/>
      <c r="HS582" s="323"/>
      <c r="HT582" s="323"/>
      <c r="HU582" s="323"/>
      <c r="HV582" s="323"/>
      <c r="HW582" s="323"/>
      <c r="HX582" s="323"/>
      <c r="HY582" s="323"/>
      <c r="HZ582" s="326"/>
      <c r="IA582" s="569" t="s">
        <v>127</v>
      </c>
      <c r="IB582" s="569"/>
      <c r="IC582" s="569"/>
      <c r="ID582" s="323">
        <f>+FISC!Z779</f>
        <v>241.03369751440272</v>
      </c>
      <c r="IE582" s="279">
        <f>IE583+IE586</f>
        <v>125.47804495703872</v>
      </c>
      <c r="IF582" s="279">
        <f>IF583+IF586</f>
        <v>115.555652557364</v>
      </c>
      <c r="IG582" s="323">
        <f>IG583+IG586</f>
        <v>241.03369751440272</v>
      </c>
      <c r="IH582" s="279">
        <f>+IH583+IH586</f>
        <v>96.74</v>
      </c>
      <c r="II582" s="279">
        <f>+SUM(DI582:DN582)</f>
        <v>72.200000000000017</v>
      </c>
      <c r="IJ582" s="323">
        <f t="shared" si="306"/>
        <v>168.94</v>
      </c>
      <c r="IK582" s="279">
        <f>+IK583+IK586</f>
        <v>29.449935528007973</v>
      </c>
      <c r="IL582" s="279">
        <f>+IL583+IL586</f>
        <v>28.042049060197375</v>
      </c>
      <c r="IM582" s="323">
        <f t="shared" si="309"/>
        <v>57.491984588205348</v>
      </c>
      <c r="IN582" s="454">
        <f>+IN583+IN586</f>
        <v>85.155000000000001</v>
      </c>
      <c r="IO582" s="279">
        <f>+IO583+IO586</f>
        <v>83.555000000000007</v>
      </c>
      <c r="IP582" s="323">
        <f>FISC!AC779</f>
        <v>168.71</v>
      </c>
      <c r="IQ582" s="279">
        <f t="shared" si="353"/>
        <v>127.80002854314665</v>
      </c>
      <c r="IR582" s="279">
        <f t="shared" si="354"/>
        <v>105.27550345102301</v>
      </c>
      <c r="IS582" s="323">
        <f>IQ582+IR582</f>
        <v>233.07553199416967</v>
      </c>
      <c r="IT582" s="279">
        <f>+(IT583+IT586)</f>
        <v>129.801416131145</v>
      </c>
      <c r="IU582" s="279">
        <f>+IU583+IU586</f>
        <v>129.89320944035637</v>
      </c>
      <c r="IV582" s="323">
        <f>+FISC!AE779</f>
        <v>259.69462557150138</v>
      </c>
      <c r="IW582" s="279">
        <f>+(IW583+IW586)</f>
        <v>139.48006210464442</v>
      </c>
      <c r="IX582" s="279">
        <f t="shared" si="291"/>
        <v>149.46546348842898</v>
      </c>
      <c r="IY582" s="323">
        <f>+FISC!AF779</f>
        <v>288.9455255930734</v>
      </c>
      <c r="IZ582" s="279">
        <f>+IZ583+IZ586</f>
        <v>221.82484177232826</v>
      </c>
      <c r="JA582" s="279">
        <f t="shared" si="360"/>
        <v>151.24241265916393</v>
      </c>
      <c r="JB582" s="323">
        <f>+FISC!AG779</f>
        <v>373.06725443149219</v>
      </c>
      <c r="JC582" s="279">
        <f>+JC583+JC586</f>
        <v>185.68673648628925</v>
      </c>
      <c r="JD582" s="279">
        <f t="shared" si="280"/>
        <v>221.29345694084606</v>
      </c>
      <c r="JE582" s="323">
        <f>+FISC!AH779</f>
        <v>406.9801934271353</v>
      </c>
      <c r="JF582" s="279">
        <f>+JF583+JF586</f>
        <v>242.46436139652499</v>
      </c>
      <c r="JG582" s="279">
        <f t="shared" si="281"/>
        <v>263.07823141675829</v>
      </c>
      <c r="JH582" s="323">
        <f>+FISC!AI779</f>
        <v>505.54259281328331</v>
      </c>
      <c r="JI582" s="279">
        <f>+JI583+JI586</f>
        <v>239.01009897165704</v>
      </c>
      <c r="JJ582" s="279">
        <f t="shared" si="282"/>
        <v>201.88907633720987</v>
      </c>
      <c r="JK582" s="323">
        <f>+FISC!AJ779</f>
        <v>440.89917530886692</v>
      </c>
      <c r="JL582" s="279">
        <f>+JL583+JL586</f>
        <v>277.82929202242417</v>
      </c>
      <c r="JM582" s="279">
        <f t="shared" si="283"/>
        <v>-277.82929202242417</v>
      </c>
      <c r="JN582" s="323">
        <f>+FISC!AK779</f>
        <v>0</v>
      </c>
      <c r="JO582" s="323"/>
      <c r="KU582" s="326"/>
      <c r="KV582" s="327"/>
      <c r="KY582" s="279">
        <f>KY583+KY586</f>
        <v>0</v>
      </c>
      <c r="KZ582" s="279">
        <f>KZ583+KZ586</f>
        <v>0</v>
      </c>
      <c r="LA582" s="279">
        <f>LA583+LA586</f>
        <v>0</v>
      </c>
      <c r="LB582" s="279">
        <f>LB583+LB586</f>
        <v>0</v>
      </c>
    </row>
    <row r="583" spans="1:314" hidden="1">
      <c r="A583" s="279"/>
      <c r="B583" s="96" t="s">
        <v>338</v>
      </c>
      <c r="D583" s="328" t="str">
        <f>+FISC!D780</f>
        <v>Projects</v>
      </c>
      <c r="E583" s="323"/>
      <c r="F583" s="323"/>
      <c r="G583" s="323"/>
      <c r="H583" s="323"/>
      <c r="I583" s="323"/>
      <c r="J583" s="323"/>
      <c r="K583" s="323"/>
      <c r="L583" s="323"/>
      <c r="M583" s="323"/>
      <c r="N583" s="323"/>
      <c r="O583" s="323"/>
      <c r="P583" s="323"/>
      <c r="Q583" s="323"/>
      <c r="R583" s="323"/>
      <c r="S583" s="323"/>
      <c r="T583" s="323"/>
      <c r="U583" s="323"/>
      <c r="V583" s="323"/>
      <c r="W583" s="323"/>
      <c r="X583" s="323"/>
      <c r="Y583" s="323"/>
      <c r="Z583" s="323"/>
      <c r="AA583" s="323"/>
      <c r="AB583" s="323"/>
      <c r="AC583" s="323"/>
      <c r="AD583" s="323"/>
      <c r="AE583" s="323"/>
      <c r="AF583" s="323"/>
      <c r="AG583" s="323"/>
      <c r="AH583" s="323"/>
      <c r="AI583" s="323"/>
      <c r="AJ583" s="323"/>
      <c r="AK583" s="323"/>
      <c r="AL583" s="323"/>
      <c r="AM583" s="323"/>
      <c r="AN583" s="323"/>
      <c r="AO583" s="323"/>
      <c r="AP583" s="323"/>
      <c r="AQ583" s="323"/>
      <c r="AR583" s="323"/>
      <c r="AS583" s="323"/>
      <c r="AT583" s="323"/>
      <c r="AU583" s="323"/>
      <c r="AV583" s="323"/>
      <c r="AW583" s="323"/>
      <c r="AX583" s="323"/>
      <c r="AY583" s="323"/>
      <c r="AZ583" s="323"/>
      <c r="BA583" s="323"/>
      <c r="BB583" s="323"/>
      <c r="BC583" s="323"/>
      <c r="BD583" s="323"/>
      <c r="BE583" s="323"/>
      <c r="BF583" s="323"/>
      <c r="BG583" s="323"/>
      <c r="BH583" s="323"/>
      <c r="BI583" s="323"/>
      <c r="BJ583" s="323"/>
      <c r="BK583" s="323"/>
      <c r="BL583" s="323"/>
      <c r="BM583" s="323"/>
      <c r="BN583" s="323"/>
      <c r="BO583" s="323"/>
      <c r="BP583" s="323"/>
      <c r="BQ583" s="323"/>
      <c r="BR583" s="323"/>
      <c r="BS583" s="323"/>
      <c r="BT583" s="323"/>
      <c r="BU583" s="323"/>
      <c r="BV583" s="323"/>
      <c r="BW583" s="323"/>
      <c r="BX583" s="323"/>
      <c r="BY583" s="323"/>
      <c r="BZ583" s="323"/>
      <c r="CA583" s="323"/>
      <c r="CB583" s="323"/>
      <c r="CC583" s="323"/>
      <c r="CD583" s="323"/>
      <c r="CE583" s="324">
        <v>20.644770703771695</v>
      </c>
      <c r="CF583" s="323">
        <v>6.2068516957338105</v>
      </c>
      <c r="CG583" s="323">
        <v>26.173377600494494</v>
      </c>
      <c r="CH583" s="323">
        <v>27.129957453449606</v>
      </c>
      <c r="CI583" s="323">
        <v>8.6357232848864509</v>
      </c>
      <c r="CJ583" s="323">
        <v>17.259319261663947</v>
      </c>
      <c r="CK583" s="323">
        <v>22.369328398681304</v>
      </c>
      <c r="CL583" s="323">
        <v>15.370313869472696</v>
      </c>
      <c r="CM583" s="323">
        <v>15.260357731845993</v>
      </c>
      <c r="CN583" s="323">
        <v>18.51039941294821</v>
      </c>
      <c r="CO583" s="323">
        <v>16.101722923910174</v>
      </c>
      <c r="CP583" s="325">
        <v>16.925783663141655</v>
      </c>
      <c r="CQ583" s="323">
        <v>16.87350672279609</v>
      </c>
      <c r="CR583" s="323">
        <v>20.574332516946019</v>
      </c>
      <c r="CS583" s="323">
        <v>13.677160760257889</v>
      </c>
      <c r="CT583" s="323">
        <v>22.966062853869769</v>
      </c>
      <c r="CU583" s="323">
        <v>25.792258359012344</v>
      </c>
      <c r="CV583" s="323">
        <v>25.594723744156603</v>
      </c>
      <c r="CW583" s="323">
        <v>18.835302128312126</v>
      </c>
      <c r="CX583" s="323">
        <v>20.69342160459518</v>
      </c>
      <c r="CY583" s="323">
        <v>18.249102545774683</v>
      </c>
      <c r="CZ583" s="323">
        <v>12.54749310504959</v>
      </c>
      <c r="DA583" s="323">
        <v>24.637015591921291</v>
      </c>
      <c r="DB583" s="1269">
        <v>20.593317581711112</v>
      </c>
      <c r="DC583" s="323">
        <f>+DC168/SUM($DC168:$DE168)*96.74/2</f>
        <v>13.457658298098568</v>
      </c>
      <c r="DD583" s="323">
        <f>+DD168/SUM($DC168:$DE168)*96.74/2</f>
        <v>19.030042177083068</v>
      </c>
      <c r="DE583" s="323">
        <f>+DE168/SUM($DC168:$DE168)*96.74/2</f>
        <v>15.882299524818357</v>
      </c>
      <c r="DF583" s="323">
        <f>+DF168/SUM($DF168:$DH168)*96.74/2</f>
        <v>10.358548209869529</v>
      </c>
      <c r="DG583" s="323">
        <f>+DG168/SUM($DF168:$DH168)*96.74/2</f>
        <v>9.0959670020350281</v>
      </c>
      <c r="DH583" s="323">
        <f>+DH168/SUM($DF168:$DH168)*96.74/2</f>
        <v>28.915484788095437</v>
      </c>
      <c r="DI583" s="323">
        <f>+DI168/SUM($DI168:$DK168)*72.2/2</f>
        <v>9.6377982635075661</v>
      </c>
      <c r="DJ583" s="323">
        <f>+DJ168/SUM($DI168:$DK168)*72.2/2</f>
        <v>11.505491827422981</v>
      </c>
      <c r="DK583" s="323">
        <f>+DK168/SUM($DI168:$DK168)*72.2/2</f>
        <v>14.95670990906946</v>
      </c>
      <c r="DL583" s="323">
        <f>+DL168/SUM($DL168:$DN168)*72.2/2</f>
        <v>10.918476448112893</v>
      </c>
      <c r="DM583" s="323">
        <f>+DM168/SUM($DL168:$DN168)*72.2/2</f>
        <v>19.287035582032409</v>
      </c>
      <c r="DN583" s="325">
        <f>+DN168/SUM($DL168:$DN168)*72.2/2</f>
        <v>5.8944879698547039</v>
      </c>
      <c r="DO583" s="888">
        <f t="shared" ref="DO583:EX583" si="389">DO171</f>
        <v>4.5689722600492333</v>
      </c>
      <c r="DP583" s="888">
        <f t="shared" si="389"/>
        <v>1.9976494589589138</v>
      </c>
      <c r="DQ583" s="888">
        <f t="shared" si="389"/>
        <v>19.857829355710404</v>
      </c>
      <c r="DR583" s="888">
        <f t="shared" si="389"/>
        <v>3.0254844532894221</v>
      </c>
      <c r="DS583" s="888">
        <f t="shared" si="389"/>
        <v>0</v>
      </c>
      <c r="DT583" s="888">
        <f t="shared" si="389"/>
        <v>0</v>
      </c>
      <c r="DU583" s="888">
        <f t="shared" si="389"/>
        <v>15.873335991999999</v>
      </c>
      <c r="DV583" s="888">
        <f t="shared" si="389"/>
        <v>0</v>
      </c>
      <c r="DW583" s="888">
        <f t="shared" si="389"/>
        <v>0</v>
      </c>
      <c r="DX583" s="888">
        <f t="shared" si="389"/>
        <v>12.168713068197375</v>
      </c>
      <c r="DY583" s="888">
        <f t="shared" si="389"/>
        <v>0</v>
      </c>
      <c r="DZ583" s="325">
        <f t="shared" si="389"/>
        <v>0</v>
      </c>
      <c r="EA583" s="323">
        <f t="shared" si="389"/>
        <v>12.04303298669176</v>
      </c>
      <c r="EB583" s="888">
        <f t="shared" si="389"/>
        <v>11.58141738339774</v>
      </c>
      <c r="EC583" s="888">
        <f t="shared" si="389"/>
        <v>18.953049629910502</v>
      </c>
      <c r="ED583" s="888">
        <f t="shared" si="389"/>
        <v>9.2129121794719193</v>
      </c>
      <c r="EE583" s="888">
        <f t="shared" si="389"/>
        <v>18.666473033356318</v>
      </c>
      <c r="EF583" s="888">
        <f t="shared" si="389"/>
        <v>14.698114787171765</v>
      </c>
      <c r="EG583" s="888">
        <f t="shared" si="389"/>
        <v>7.7343715577035592</v>
      </c>
      <c r="EH583" s="888">
        <f t="shared" si="389"/>
        <v>12.544701009695537</v>
      </c>
      <c r="EI583" s="888">
        <f t="shared" si="389"/>
        <v>21.498427432600909</v>
      </c>
      <c r="EJ583" s="888">
        <f t="shared" si="389"/>
        <v>3.5217398195229666</v>
      </c>
      <c r="EK583" s="888">
        <f t="shared" si="389"/>
        <v>8.0850167052850175</v>
      </c>
      <c r="EL583" s="1342">
        <f t="shared" si="389"/>
        <v>30.170743475192022</v>
      </c>
      <c r="EM583" s="888">
        <f t="shared" si="389"/>
        <v>15.676377072254855</v>
      </c>
      <c r="EN583" s="888">
        <f t="shared" si="389"/>
        <v>16.280776577680143</v>
      </c>
      <c r="EO583" s="888">
        <f t="shared" si="389"/>
        <v>31.957153649935002</v>
      </c>
      <c r="EP583" s="888">
        <f t="shared" si="389"/>
        <v>25.689925104930648</v>
      </c>
      <c r="EQ583" s="888">
        <f t="shared" si="389"/>
        <v>6.238642488411001</v>
      </c>
      <c r="ER583" s="888">
        <f t="shared" si="389"/>
        <v>31.957153649935002</v>
      </c>
      <c r="ES583" s="888">
        <f t="shared" si="389"/>
        <v>11.77235596909156</v>
      </c>
      <c r="ET583" s="888">
        <f t="shared" si="389"/>
        <v>14.546519893461165</v>
      </c>
      <c r="EU583" s="888">
        <f t="shared" si="389"/>
        <v>26.318875862817901</v>
      </c>
      <c r="EV583" s="888">
        <f t="shared" si="389"/>
        <v>17.045294526785639</v>
      </c>
      <c r="EW583" s="888">
        <f t="shared" si="389"/>
        <v>9.2735813359162655</v>
      </c>
      <c r="EX583" s="1342">
        <f t="shared" si="389"/>
        <v>26.318875862950499</v>
      </c>
      <c r="EY583" s="888"/>
      <c r="EZ583" s="888"/>
      <c r="FA583" s="888"/>
      <c r="FB583" s="888"/>
      <c r="FC583" s="888"/>
      <c r="FD583" s="888"/>
      <c r="FE583" s="888"/>
      <c r="FF583" s="888"/>
      <c r="FG583" s="888"/>
      <c r="FH583" s="888"/>
      <c r="FI583" s="888"/>
      <c r="FJ583" s="1342"/>
      <c r="FK583" s="888"/>
      <c r="FL583" s="888"/>
      <c r="FM583" s="888"/>
      <c r="FN583" s="888"/>
      <c r="FO583" s="888"/>
      <c r="FP583" s="888"/>
      <c r="FQ583" s="888"/>
      <c r="FR583" s="888"/>
      <c r="FS583" s="888"/>
      <c r="FT583" s="888"/>
      <c r="FU583" s="888"/>
      <c r="FV583" s="888"/>
      <c r="FW583" s="888"/>
      <c r="FX583" s="888"/>
      <c r="FY583" s="888"/>
      <c r="FZ583" s="888"/>
      <c r="GA583" s="888"/>
      <c r="GB583" s="888"/>
      <c r="GC583" s="888"/>
      <c r="GD583" s="888"/>
      <c r="GE583" s="888"/>
      <c r="GF583" s="888"/>
      <c r="GG583" s="888"/>
      <c r="GH583" s="888"/>
      <c r="GI583" s="888"/>
      <c r="GJ583" s="888"/>
      <c r="GK583" s="888"/>
      <c r="GL583" s="888"/>
      <c r="GM583" s="888"/>
      <c r="GN583" s="888"/>
      <c r="GO583" s="888"/>
      <c r="GP583" s="888"/>
      <c r="GQ583" s="888"/>
      <c r="GR583" s="888"/>
      <c r="GS583" s="888"/>
      <c r="GT583" s="888"/>
      <c r="GU583" s="888"/>
      <c r="GV583" s="888"/>
      <c r="GW583" s="888"/>
      <c r="GX583" s="888"/>
      <c r="GY583" s="888"/>
      <c r="GZ583" s="888"/>
      <c r="HA583" s="888"/>
      <c r="HB583" s="888"/>
      <c r="HC583" s="888"/>
      <c r="HD583" s="888"/>
      <c r="HE583" s="888"/>
      <c r="HF583" s="888"/>
      <c r="HG583" s="888"/>
      <c r="HH583" s="888"/>
      <c r="HI583" s="888"/>
      <c r="HJ583" s="888"/>
      <c r="HK583" s="888"/>
      <c r="HL583" s="888"/>
      <c r="HM583" s="888"/>
      <c r="HN583" s="888"/>
      <c r="HO583" s="888"/>
      <c r="HP583" s="888"/>
      <c r="HQ583" s="888"/>
      <c r="HR583" s="888"/>
      <c r="HS583" s="888"/>
      <c r="HT583" s="888"/>
      <c r="HU583" s="888"/>
      <c r="HV583" s="888"/>
      <c r="HW583" s="888"/>
      <c r="HX583" s="888"/>
      <c r="HY583" s="888"/>
      <c r="HZ583" s="326"/>
      <c r="IA583" s="328" t="s">
        <v>128</v>
      </c>
      <c r="IB583" s="328"/>
      <c r="IC583" s="328"/>
      <c r="ID583" s="323">
        <f>+FISC!Z780</f>
        <v>241.03369751440272</v>
      </c>
      <c r="IE583" s="279">
        <f>SUM(CQ583:CV583)</f>
        <v>125.47804495703872</v>
      </c>
      <c r="IF583" s="279">
        <f>SUM(CW583:DB583)</f>
        <v>115.555652557364</v>
      </c>
      <c r="IG583" s="323">
        <f>SUM(CQ583:DB583)</f>
        <v>241.03369751440272</v>
      </c>
      <c r="IH583" s="279">
        <f>+SUM(DC583:DH583)</f>
        <v>96.74</v>
      </c>
      <c r="II583" s="279">
        <f>+SUM(DI583:DN583)</f>
        <v>72.200000000000017</v>
      </c>
      <c r="IJ583" s="323">
        <f t="shared" si="306"/>
        <v>168.94</v>
      </c>
      <c r="IK583" s="279">
        <f>SUM(DO583:DT583)</f>
        <v>29.449935528007973</v>
      </c>
      <c r="IL583" s="279">
        <f>SUM(DU583:DZ583)</f>
        <v>28.042049060197375</v>
      </c>
      <c r="IM583" s="323">
        <f t="shared" si="309"/>
        <v>57.491984588205348</v>
      </c>
      <c r="IN583" s="1053">
        <f>(FISC!AB86*FISC!AC259/1000)*0+85.155</f>
        <v>85.155000000000001</v>
      </c>
      <c r="IO583" s="279">
        <f>IP583-IN583</f>
        <v>83.555000000000007</v>
      </c>
      <c r="IP583" s="323">
        <f>FISC!AC780</f>
        <v>168.71</v>
      </c>
      <c r="IQ583" s="279">
        <f t="shared" si="353"/>
        <v>127.80002854314665</v>
      </c>
      <c r="IR583" s="279">
        <f t="shared" si="354"/>
        <v>105.27550345102301</v>
      </c>
      <c r="IS583" s="323">
        <f>IQ583+IR583</f>
        <v>233.07553199416967</v>
      </c>
      <c r="IT583" s="279">
        <f>+(FISC!AD86*FISC!AE259/1000)</f>
        <v>129.801416131145</v>
      </c>
      <c r="IU583" s="279">
        <f>+IV583-IT583</f>
        <v>129.89320944035637</v>
      </c>
      <c r="IV583" s="323">
        <f>+FISC!AE780</f>
        <v>259.69462557150138</v>
      </c>
      <c r="IW583" s="279">
        <f>+(FISC!AE86*FISC!AF259/1000)</f>
        <v>139.48006210464442</v>
      </c>
      <c r="IX583" s="279">
        <f t="shared" si="291"/>
        <v>149.46546348842898</v>
      </c>
      <c r="IY583" s="323">
        <f>+FISC!AF780</f>
        <v>288.9455255930734</v>
      </c>
      <c r="IZ583" s="279">
        <f>+(FISC!AF86*FISC!AG259/1000)</f>
        <v>221.82484177232826</v>
      </c>
      <c r="JA583" s="279">
        <f t="shared" si="360"/>
        <v>151.24241265916393</v>
      </c>
      <c r="JB583" s="323">
        <f>+FISC!AG780</f>
        <v>373.06725443149219</v>
      </c>
      <c r="JC583" s="279">
        <f>+(FISC!AG86*FISC!AH259/1000)</f>
        <v>185.68673648628925</v>
      </c>
      <c r="JD583" s="279">
        <f t="shared" si="280"/>
        <v>221.29345694084606</v>
      </c>
      <c r="JE583" s="323">
        <f>+FISC!AH780</f>
        <v>406.9801934271353</v>
      </c>
      <c r="JF583" s="279">
        <f>+(FISC!AH86*FISC!AI259/1000)</f>
        <v>242.46436139652499</v>
      </c>
      <c r="JG583" s="279">
        <f t="shared" si="281"/>
        <v>263.07823141675829</v>
      </c>
      <c r="JH583" s="323">
        <f>+FISC!AI780</f>
        <v>505.54259281328331</v>
      </c>
      <c r="JI583" s="279">
        <f>+(FISC!AI86*FISC!AJ259/1000)</f>
        <v>239.01009897165704</v>
      </c>
      <c r="JJ583" s="279">
        <f t="shared" si="282"/>
        <v>201.88907633720987</v>
      </c>
      <c r="JK583" s="323">
        <f>+FISC!AJ780</f>
        <v>440.89917530886692</v>
      </c>
      <c r="JL583" s="279">
        <f>+(FISC!AJ86*FISC!AK259/1000)</f>
        <v>277.82929202242417</v>
      </c>
      <c r="JM583" s="279">
        <f t="shared" si="283"/>
        <v>-277.82929202242417</v>
      </c>
      <c r="JN583" s="323">
        <f>+FISC!AK780</f>
        <v>0</v>
      </c>
      <c r="JO583" s="323"/>
      <c r="KU583" s="326"/>
      <c r="KV583" s="327"/>
    </row>
    <row r="584" spans="1:314" hidden="1">
      <c r="A584" s="279"/>
      <c r="D584" s="657" t="s">
        <v>773</v>
      </c>
      <c r="E584" s="323"/>
      <c r="F584" s="323"/>
      <c r="G584" s="323"/>
      <c r="H584" s="323"/>
      <c r="I584" s="323"/>
      <c r="J584" s="323"/>
      <c r="K584" s="323"/>
      <c r="L584" s="323"/>
      <c r="M584" s="323"/>
      <c r="N584" s="323"/>
      <c r="O584" s="323"/>
      <c r="P584" s="323"/>
      <c r="Q584" s="323"/>
      <c r="R584" s="323"/>
      <c r="S584" s="323"/>
      <c r="T584" s="323"/>
      <c r="U584" s="323"/>
      <c r="V584" s="323"/>
      <c r="W584" s="323"/>
      <c r="X584" s="323"/>
      <c r="Y584" s="323"/>
      <c r="Z584" s="323"/>
      <c r="AA584" s="323"/>
      <c r="AB584" s="323"/>
      <c r="AC584" s="323"/>
      <c r="AD584" s="323"/>
      <c r="AE584" s="323"/>
      <c r="AF584" s="323"/>
      <c r="AG584" s="323"/>
      <c r="AH584" s="323"/>
      <c r="AI584" s="323"/>
      <c r="AJ584" s="323"/>
      <c r="AK584" s="323"/>
      <c r="AL584" s="323"/>
      <c r="AM584" s="323"/>
      <c r="AN584" s="323"/>
      <c r="AO584" s="323"/>
      <c r="AP584" s="323"/>
      <c r="AQ584" s="323"/>
      <c r="AR584" s="323"/>
      <c r="AS584" s="323"/>
      <c r="AT584" s="323"/>
      <c r="AU584" s="323"/>
      <c r="AV584" s="323"/>
      <c r="AW584" s="323"/>
      <c r="AX584" s="323"/>
      <c r="AY584" s="323"/>
      <c r="AZ584" s="323"/>
      <c r="BA584" s="323"/>
      <c r="BB584" s="323"/>
      <c r="BC584" s="323"/>
      <c r="BD584" s="323"/>
      <c r="BE584" s="323"/>
      <c r="BF584" s="323"/>
      <c r="BG584" s="323"/>
      <c r="BH584" s="323"/>
      <c r="BI584" s="323"/>
      <c r="BJ584" s="323"/>
      <c r="BK584" s="323"/>
      <c r="BL584" s="323"/>
      <c r="BM584" s="323"/>
      <c r="BN584" s="323"/>
      <c r="BO584" s="323"/>
      <c r="BP584" s="323"/>
      <c r="BQ584" s="323"/>
      <c r="BR584" s="323"/>
      <c r="BS584" s="323"/>
      <c r="BT584" s="323"/>
      <c r="BU584" s="323"/>
      <c r="BV584" s="323"/>
      <c r="BW584" s="323"/>
      <c r="BX584" s="323"/>
      <c r="BY584" s="323"/>
      <c r="BZ584" s="323"/>
      <c r="CA584" s="323"/>
      <c r="CB584" s="323"/>
      <c r="CC584" s="323"/>
      <c r="CD584" s="323"/>
      <c r="CE584" s="324"/>
      <c r="CF584" s="323"/>
      <c r="CG584" s="323"/>
      <c r="CH584" s="323"/>
      <c r="CI584" s="323"/>
      <c r="CJ584" s="323"/>
      <c r="CK584" s="323"/>
      <c r="CL584" s="323"/>
      <c r="CM584" s="323"/>
      <c r="CN584" s="323"/>
      <c r="CO584" s="323"/>
      <c r="CP584" s="325"/>
      <c r="CQ584" s="323"/>
      <c r="CR584" s="323"/>
      <c r="CS584" s="323"/>
      <c r="CT584" s="323"/>
      <c r="CU584" s="323"/>
      <c r="CV584" s="323"/>
      <c r="CW584" s="323"/>
      <c r="CX584" s="323"/>
      <c r="CY584" s="323"/>
      <c r="CZ584" s="323"/>
      <c r="DA584" s="323"/>
      <c r="DB584" s="1269"/>
      <c r="DC584" s="323">
        <v>11.11</v>
      </c>
      <c r="DD584" s="323"/>
      <c r="DE584" s="323"/>
      <c r="DF584" s="323"/>
      <c r="DG584" s="323"/>
      <c r="DH584" s="323"/>
      <c r="DI584" s="323"/>
      <c r="DJ584" s="323"/>
      <c r="DK584" s="323"/>
      <c r="DL584" s="323"/>
      <c r="DM584" s="323"/>
      <c r="DN584" s="325"/>
      <c r="DO584" s="323"/>
      <c r="DP584" s="323"/>
      <c r="DQ584" s="323"/>
      <c r="DR584" s="323"/>
      <c r="DS584" s="323"/>
      <c r="DT584" s="323"/>
      <c r="DU584" s="323"/>
      <c r="DV584" s="323"/>
      <c r="DW584" s="323"/>
      <c r="DX584" s="323"/>
      <c r="DY584" s="323"/>
      <c r="DZ584" s="325"/>
      <c r="EA584" s="888"/>
      <c r="EB584" s="323"/>
      <c r="EC584" s="323"/>
      <c r="ED584" s="323"/>
      <c r="EE584" s="323"/>
      <c r="EF584" s="323"/>
      <c r="EG584" s="323"/>
      <c r="EH584" s="323"/>
      <c r="EI584" s="323"/>
      <c r="EJ584" s="323"/>
      <c r="EK584" s="323"/>
      <c r="EL584" s="325"/>
      <c r="EM584" s="323"/>
      <c r="EN584" s="323"/>
      <c r="EO584" s="323"/>
      <c r="EP584" s="323"/>
      <c r="EQ584" s="323"/>
      <c r="ER584" s="323"/>
      <c r="ES584" s="323"/>
      <c r="ET584" s="323"/>
      <c r="EU584" s="323"/>
      <c r="EV584" s="323"/>
      <c r="EW584" s="323"/>
      <c r="EX584" s="325"/>
      <c r="EY584" s="323"/>
      <c r="EZ584" s="323"/>
      <c r="FA584" s="323"/>
      <c r="FB584" s="323"/>
      <c r="FC584" s="323"/>
      <c r="FD584" s="323"/>
      <c r="FE584" s="323"/>
      <c r="FF584" s="323"/>
      <c r="FG584" s="323"/>
      <c r="FH584" s="323"/>
      <c r="FI584" s="323"/>
      <c r="FJ584" s="325"/>
      <c r="FK584" s="323"/>
      <c r="FL584" s="323"/>
      <c r="FM584" s="323"/>
      <c r="FN584" s="323"/>
      <c r="FO584" s="323"/>
      <c r="FP584" s="323"/>
      <c r="FQ584" s="323"/>
      <c r="FR584" s="323"/>
      <c r="FS584" s="323"/>
      <c r="FT584" s="323"/>
      <c r="FU584" s="323"/>
      <c r="FV584" s="323"/>
      <c r="FW584" s="323"/>
      <c r="FX584" s="323"/>
      <c r="FY584" s="323"/>
      <c r="FZ584" s="323"/>
      <c r="GA584" s="323"/>
      <c r="GB584" s="323"/>
      <c r="GC584" s="323"/>
      <c r="GD584" s="323"/>
      <c r="GE584" s="323"/>
      <c r="GF584" s="323"/>
      <c r="GG584" s="323"/>
      <c r="GH584" s="323"/>
      <c r="GI584" s="323"/>
      <c r="GJ584" s="323"/>
      <c r="GK584" s="323"/>
      <c r="GL584" s="323"/>
      <c r="GM584" s="323"/>
      <c r="GN584" s="323"/>
      <c r="GO584" s="323"/>
      <c r="GP584" s="323"/>
      <c r="GQ584" s="323"/>
      <c r="GR584" s="323"/>
      <c r="GS584" s="323"/>
      <c r="GT584" s="323"/>
      <c r="GU584" s="323"/>
      <c r="GV584" s="323"/>
      <c r="GW584" s="323"/>
      <c r="GX584" s="323"/>
      <c r="GY584" s="323"/>
      <c r="GZ584" s="323"/>
      <c r="HA584" s="323"/>
      <c r="HB584" s="323"/>
      <c r="HC584" s="323"/>
      <c r="HD584" s="323"/>
      <c r="HE584" s="323"/>
      <c r="HF584" s="323"/>
      <c r="HG584" s="323"/>
      <c r="HH584" s="323"/>
      <c r="HI584" s="323"/>
      <c r="HJ584" s="323"/>
      <c r="HK584" s="323"/>
      <c r="HL584" s="323"/>
      <c r="HM584" s="323"/>
      <c r="HN584" s="323"/>
      <c r="HO584" s="323"/>
      <c r="HP584" s="323"/>
      <c r="HQ584" s="323"/>
      <c r="HR584" s="323"/>
      <c r="HS584" s="323"/>
      <c r="HT584" s="323"/>
      <c r="HU584" s="323"/>
      <c r="HV584" s="323"/>
      <c r="HW584" s="323"/>
      <c r="HX584" s="323"/>
      <c r="HY584" s="323"/>
      <c r="HZ584" s="326"/>
      <c r="IA584" s="657" t="s">
        <v>773</v>
      </c>
      <c r="IB584" s="657"/>
      <c r="IC584" s="657"/>
      <c r="ID584" s="323"/>
      <c r="IG584" s="323"/>
      <c r="IJ584" s="323"/>
      <c r="IK584" s="279">
        <f>+SUM(DO584:DT584)</f>
        <v>0</v>
      </c>
      <c r="IL584" s="279">
        <f>SUM(DU584:DZ584)</f>
        <v>0</v>
      </c>
      <c r="IM584" s="323">
        <f t="shared" si="309"/>
        <v>0</v>
      </c>
      <c r="IP584" s="323"/>
      <c r="IS584" s="323"/>
      <c r="IT584" s="327"/>
      <c r="IU584" s="327"/>
      <c r="IV584" s="323"/>
      <c r="IW584" s="279">
        <f>IY584*JU584</f>
        <v>0</v>
      </c>
      <c r="IX584" s="279">
        <f t="shared" si="291"/>
        <v>0</v>
      </c>
      <c r="IY584" s="323"/>
      <c r="IZ584" s="279">
        <f>JB584*JU584</f>
        <v>0</v>
      </c>
      <c r="JA584" s="279">
        <f t="shared" si="360"/>
        <v>0</v>
      </c>
      <c r="JB584" s="323"/>
      <c r="JC584" s="279">
        <f>JE584*JU584</f>
        <v>0</v>
      </c>
      <c r="JD584" s="279">
        <f t="shared" si="280"/>
        <v>0</v>
      </c>
      <c r="JE584" s="323"/>
      <c r="JF584" s="279">
        <f>JH584*JU584</f>
        <v>0</v>
      </c>
      <c r="JG584" s="279">
        <f t="shared" si="281"/>
        <v>0</v>
      </c>
      <c r="JH584" s="323"/>
      <c r="JI584" s="279">
        <f>JK584*JX584</f>
        <v>0</v>
      </c>
      <c r="JJ584" s="279">
        <f t="shared" si="282"/>
        <v>0</v>
      </c>
      <c r="JK584" s="323"/>
      <c r="JL584" s="279">
        <f>JN584*KA584</f>
        <v>0</v>
      </c>
      <c r="JM584" s="279">
        <f t="shared" si="283"/>
        <v>0</v>
      </c>
      <c r="JN584" s="323"/>
      <c r="JO584" s="323"/>
      <c r="KU584" s="326"/>
      <c r="KV584" s="327"/>
    </row>
    <row r="585" spans="1:314" hidden="1">
      <c r="A585" s="279"/>
      <c r="D585" s="657" t="s">
        <v>774</v>
      </c>
      <c r="E585" s="323"/>
      <c r="F585" s="323"/>
      <c r="G585" s="323"/>
      <c r="H585" s="323"/>
      <c r="I585" s="323"/>
      <c r="J585" s="323"/>
      <c r="K585" s="323"/>
      <c r="L585" s="323"/>
      <c r="M585" s="323"/>
      <c r="N585" s="323"/>
      <c r="O585" s="323"/>
      <c r="P585" s="323"/>
      <c r="Q585" s="323"/>
      <c r="R585" s="323"/>
      <c r="S585" s="323"/>
      <c r="T585" s="323"/>
      <c r="U585" s="323"/>
      <c r="V585" s="323"/>
      <c r="W585" s="323"/>
      <c r="X585" s="323"/>
      <c r="Y585" s="323"/>
      <c r="Z585" s="323"/>
      <c r="AA585" s="323"/>
      <c r="AB585" s="323"/>
      <c r="AC585" s="323"/>
      <c r="AD585" s="323"/>
      <c r="AE585" s="323"/>
      <c r="AF585" s="323"/>
      <c r="AG585" s="323"/>
      <c r="AH585" s="323"/>
      <c r="AI585" s="323"/>
      <c r="AJ585" s="323"/>
      <c r="AK585" s="323"/>
      <c r="AL585" s="323"/>
      <c r="AM585" s="323"/>
      <c r="AN585" s="323"/>
      <c r="AO585" s="323"/>
      <c r="AP585" s="323"/>
      <c r="AQ585" s="323"/>
      <c r="AR585" s="323"/>
      <c r="AS585" s="323"/>
      <c r="AT585" s="323"/>
      <c r="AU585" s="323"/>
      <c r="AV585" s="323"/>
      <c r="AW585" s="323"/>
      <c r="AX585" s="323"/>
      <c r="AY585" s="323"/>
      <c r="AZ585" s="323"/>
      <c r="BA585" s="323"/>
      <c r="BB585" s="323"/>
      <c r="BC585" s="323"/>
      <c r="BD585" s="323"/>
      <c r="BE585" s="323"/>
      <c r="BF585" s="323"/>
      <c r="BG585" s="323"/>
      <c r="BH585" s="323"/>
      <c r="BI585" s="323"/>
      <c r="BJ585" s="323"/>
      <c r="BK585" s="323"/>
      <c r="BL585" s="323"/>
      <c r="BM585" s="323"/>
      <c r="BN585" s="323"/>
      <c r="BO585" s="323"/>
      <c r="BP585" s="323"/>
      <c r="BQ585" s="323"/>
      <c r="BR585" s="323"/>
      <c r="BS585" s="323"/>
      <c r="BT585" s="323"/>
      <c r="BU585" s="323"/>
      <c r="BV585" s="323"/>
      <c r="BW585" s="323"/>
      <c r="BX585" s="323"/>
      <c r="BY585" s="323"/>
      <c r="BZ585" s="323"/>
      <c r="CA585" s="323"/>
      <c r="CB585" s="323"/>
      <c r="CC585" s="323"/>
      <c r="CD585" s="323"/>
      <c r="CE585" s="324"/>
      <c r="CF585" s="323"/>
      <c r="CG585" s="323"/>
      <c r="CH585" s="323"/>
      <c r="CI585" s="323"/>
      <c r="CJ585" s="323"/>
      <c r="CK585" s="323"/>
      <c r="CL585" s="323"/>
      <c r="CM585" s="323"/>
      <c r="CN585" s="323"/>
      <c r="CO585" s="323"/>
      <c r="CP585" s="325"/>
      <c r="CQ585" s="323"/>
      <c r="CR585" s="323"/>
      <c r="CS585" s="323"/>
      <c r="CT585" s="323"/>
      <c r="CU585" s="323"/>
      <c r="CV585" s="323"/>
      <c r="CW585" s="323"/>
      <c r="CX585" s="323"/>
      <c r="CY585" s="323"/>
      <c r="CZ585" s="323"/>
      <c r="DA585" s="323"/>
      <c r="DB585" s="1269"/>
      <c r="DC585" s="323">
        <v>0</v>
      </c>
      <c r="DD585" s="323"/>
      <c r="DE585" s="323"/>
      <c r="DF585" s="323"/>
      <c r="DG585" s="323"/>
      <c r="DH585" s="323"/>
      <c r="DI585" s="323"/>
      <c r="DJ585" s="323"/>
      <c r="DK585" s="323"/>
      <c r="DL585" s="323"/>
      <c r="DM585" s="323"/>
      <c r="DN585" s="325"/>
      <c r="DO585" s="323"/>
      <c r="DP585" s="323"/>
      <c r="DQ585" s="323"/>
      <c r="DR585" s="323"/>
      <c r="DS585" s="323"/>
      <c r="DT585" s="323"/>
      <c r="DU585" s="323"/>
      <c r="DV585" s="323"/>
      <c r="DW585" s="323"/>
      <c r="DX585" s="323"/>
      <c r="DY585" s="323"/>
      <c r="DZ585" s="325"/>
      <c r="EA585" s="323"/>
      <c r="EB585" s="323"/>
      <c r="EC585" s="323"/>
      <c r="ED585" s="323"/>
      <c r="EE585" s="323"/>
      <c r="EF585" s="323"/>
      <c r="EG585" s="323"/>
      <c r="EH585" s="323"/>
      <c r="EI585" s="323"/>
      <c r="EJ585" s="323"/>
      <c r="EK585" s="323"/>
      <c r="EL585" s="325"/>
      <c r="EM585" s="323"/>
      <c r="EN585" s="323"/>
      <c r="EO585" s="323"/>
      <c r="EP585" s="323"/>
      <c r="EQ585" s="323"/>
      <c r="ER585" s="323"/>
      <c r="ES585" s="323"/>
      <c r="ET585" s="323"/>
      <c r="EU585" s="323"/>
      <c r="EV585" s="323"/>
      <c r="EW585" s="323"/>
      <c r="EX585" s="325"/>
      <c r="EY585" s="323"/>
      <c r="EZ585" s="323"/>
      <c r="FA585" s="323"/>
      <c r="FB585" s="323"/>
      <c r="FC585" s="323"/>
      <c r="FD585" s="323"/>
      <c r="FE585" s="323"/>
      <c r="FF585" s="323"/>
      <c r="FG585" s="323"/>
      <c r="FH585" s="323"/>
      <c r="FI585" s="323"/>
      <c r="FJ585" s="325"/>
      <c r="FK585" s="323"/>
      <c r="FL585" s="323"/>
      <c r="FM585" s="323"/>
      <c r="FN585" s="323"/>
      <c r="FO585" s="323"/>
      <c r="FP585" s="323"/>
      <c r="FQ585" s="323"/>
      <c r="FR585" s="323"/>
      <c r="FS585" s="323"/>
      <c r="FT585" s="323"/>
      <c r="FU585" s="323"/>
      <c r="FV585" s="323"/>
      <c r="FW585" s="323"/>
      <c r="FX585" s="323"/>
      <c r="FY585" s="323"/>
      <c r="FZ585" s="323"/>
      <c r="GA585" s="323"/>
      <c r="GB585" s="323"/>
      <c r="GC585" s="323"/>
      <c r="GD585" s="323"/>
      <c r="GE585" s="323"/>
      <c r="GF585" s="323"/>
      <c r="GG585" s="323"/>
      <c r="GH585" s="323"/>
      <c r="GI585" s="323"/>
      <c r="GJ585" s="323"/>
      <c r="GK585" s="323"/>
      <c r="GL585" s="323"/>
      <c r="GM585" s="323"/>
      <c r="GN585" s="323"/>
      <c r="GO585" s="323"/>
      <c r="GP585" s="323"/>
      <c r="GQ585" s="323"/>
      <c r="GR585" s="323"/>
      <c r="GS585" s="323"/>
      <c r="GT585" s="323"/>
      <c r="GU585" s="323"/>
      <c r="GV585" s="323"/>
      <c r="GW585" s="323"/>
      <c r="GX585" s="323"/>
      <c r="GY585" s="323"/>
      <c r="GZ585" s="323"/>
      <c r="HA585" s="323"/>
      <c r="HB585" s="323"/>
      <c r="HC585" s="323"/>
      <c r="HD585" s="323"/>
      <c r="HE585" s="323"/>
      <c r="HF585" s="323"/>
      <c r="HG585" s="323"/>
      <c r="HH585" s="323"/>
      <c r="HI585" s="323"/>
      <c r="HJ585" s="323"/>
      <c r="HK585" s="323"/>
      <c r="HL585" s="323"/>
      <c r="HM585" s="323"/>
      <c r="HN585" s="323"/>
      <c r="HO585" s="323"/>
      <c r="HP585" s="323"/>
      <c r="HQ585" s="323"/>
      <c r="HR585" s="323"/>
      <c r="HS585" s="323"/>
      <c r="HT585" s="323"/>
      <c r="HU585" s="323"/>
      <c r="HV585" s="323"/>
      <c r="HW585" s="323"/>
      <c r="HX585" s="323"/>
      <c r="HY585" s="323"/>
      <c r="HZ585" s="326"/>
      <c r="IA585" s="657" t="s">
        <v>774</v>
      </c>
      <c r="IB585" s="657"/>
      <c r="IC585" s="657"/>
      <c r="ID585" s="323"/>
      <c r="IG585" s="323"/>
      <c r="IJ585" s="323"/>
      <c r="IK585" s="279">
        <f>+SUM(DO585:DT585)</f>
        <v>0</v>
      </c>
      <c r="IL585" s="279">
        <f>SUM(DU585:DZ585)</f>
        <v>0</v>
      </c>
      <c r="IM585" s="323">
        <f t="shared" si="309"/>
        <v>0</v>
      </c>
      <c r="IP585" s="323"/>
      <c r="IS585" s="323"/>
      <c r="IT585" s="327"/>
      <c r="IU585" s="327"/>
      <c r="IV585" s="323"/>
      <c r="IW585" s="279">
        <f>IY585*JU585</f>
        <v>0</v>
      </c>
      <c r="IX585" s="279">
        <f t="shared" si="291"/>
        <v>0</v>
      </c>
      <c r="IY585" s="323"/>
      <c r="IZ585" s="279">
        <f>JB585*JU585</f>
        <v>0</v>
      </c>
      <c r="JA585" s="279">
        <f t="shared" si="360"/>
        <v>0</v>
      </c>
      <c r="JB585" s="323"/>
      <c r="JC585" s="279">
        <f>JE585*JU585</f>
        <v>0</v>
      </c>
      <c r="JD585" s="279">
        <f t="shared" si="280"/>
        <v>0</v>
      </c>
      <c r="JE585" s="323"/>
      <c r="JF585" s="279">
        <f>JH585*JU585</f>
        <v>0</v>
      </c>
      <c r="JG585" s="279">
        <f t="shared" si="281"/>
        <v>0</v>
      </c>
      <c r="JH585" s="323"/>
      <c r="JI585" s="279">
        <f>JK585*JX585</f>
        <v>0</v>
      </c>
      <c r="JJ585" s="279">
        <f t="shared" si="282"/>
        <v>0</v>
      </c>
      <c r="JK585" s="323"/>
      <c r="JL585" s="279">
        <f>JN585*KA585</f>
        <v>0</v>
      </c>
      <c r="JM585" s="279">
        <f t="shared" si="283"/>
        <v>0</v>
      </c>
      <c r="JN585" s="323"/>
      <c r="JO585" s="323"/>
      <c r="KU585" s="326"/>
      <c r="KV585" s="327"/>
    </row>
    <row r="586" spans="1:314" hidden="1">
      <c r="A586" s="279"/>
      <c r="B586" s="96" t="s">
        <v>338</v>
      </c>
      <c r="D586" s="328" t="str">
        <f>+FISC!D783</f>
        <v>Global Fund</v>
      </c>
      <c r="E586" s="323"/>
      <c r="F586" s="323"/>
      <c r="G586" s="323"/>
      <c r="H586" s="323"/>
      <c r="I586" s="323"/>
      <c r="J586" s="323"/>
      <c r="K586" s="323"/>
      <c r="L586" s="323"/>
      <c r="M586" s="323"/>
      <c r="N586" s="323"/>
      <c r="O586" s="323"/>
      <c r="P586" s="323"/>
      <c r="Q586" s="323"/>
      <c r="R586" s="323"/>
      <c r="S586" s="323"/>
      <c r="T586" s="323"/>
      <c r="U586" s="323"/>
      <c r="V586" s="323"/>
      <c r="W586" s="323"/>
      <c r="X586" s="323"/>
      <c r="Y586" s="323"/>
      <c r="Z586" s="323"/>
      <c r="AA586" s="323"/>
      <c r="AB586" s="323"/>
      <c r="AC586" s="323"/>
      <c r="AD586" s="323"/>
      <c r="AE586" s="323"/>
      <c r="AF586" s="323"/>
      <c r="AG586" s="323"/>
      <c r="AH586" s="323"/>
      <c r="AI586" s="323"/>
      <c r="AJ586" s="323"/>
      <c r="AK586" s="323"/>
      <c r="AL586" s="323"/>
      <c r="AM586" s="323"/>
      <c r="AN586" s="323"/>
      <c r="AO586" s="323"/>
      <c r="AP586" s="323"/>
      <c r="AQ586" s="323"/>
      <c r="AR586" s="323"/>
      <c r="AS586" s="323"/>
      <c r="AT586" s="323"/>
      <c r="AU586" s="323"/>
      <c r="AV586" s="323"/>
      <c r="AW586" s="323"/>
      <c r="AX586" s="323"/>
      <c r="AY586" s="323"/>
      <c r="AZ586" s="323"/>
      <c r="BA586" s="323"/>
      <c r="BB586" s="323"/>
      <c r="BC586" s="323"/>
      <c r="BD586" s="323"/>
      <c r="BE586" s="323"/>
      <c r="BF586" s="323"/>
      <c r="BG586" s="323"/>
      <c r="BH586" s="323"/>
      <c r="BI586" s="323"/>
      <c r="BJ586" s="323"/>
      <c r="BK586" s="323"/>
      <c r="BL586" s="323"/>
      <c r="BM586" s="323"/>
      <c r="BN586" s="323"/>
      <c r="BO586" s="323"/>
      <c r="BP586" s="323"/>
      <c r="BQ586" s="323"/>
      <c r="BR586" s="323"/>
      <c r="BS586" s="323"/>
      <c r="BT586" s="323"/>
      <c r="BU586" s="323"/>
      <c r="BV586" s="323"/>
      <c r="BW586" s="323"/>
      <c r="BX586" s="323"/>
      <c r="BY586" s="323"/>
      <c r="BZ586" s="323"/>
      <c r="CA586" s="323"/>
      <c r="CB586" s="323"/>
      <c r="CC586" s="323"/>
      <c r="CD586" s="323"/>
      <c r="CE586" s="324">
        <f t="shared" ref="CE586:CP586" si="390">CE161</f>
        <v>0</v>
      </c>
      <c r="CF586" s="323">
        <f t="shared" si="390"/>
        <v>0</v>
      </c>
      <c r="CG586" s="323">
        <f t="shared" si="390"/>
        <v>7.4813782618000015</v>
      </c>
      <c r="CH586" s="323">
        <f t="shared" si="390"/>
        <v>13.034907963499998</v>
      </c>
      <c r="CI586" s="323">
        <f t="shared" si="390"/>
        <v>24.666572901249001</v>
      </c>
      <c r="CJ586" s="323">
        <f t="shared" si="390"/>
        <v>6.0461076493370003</v>
      </c>
      <c r="CK586" s="323">
        <f t="shared" si="390"/>
        <v>0</v>
      </c>
      <c r="CL586" s="323">
        <f t="shared" si="390"/>
        <v>0</v>
      </c>
      <c r="CM586" s="323">
        <f t="shared" si="390"/>
        <v>0</v>
      </c>
      <c r="CN586" s="323">
        <f t="shared" si="390"/>
        <v>36.571225840512</v>
      </c>
      <c r="CO586" s="323">
        <f t="shared" si="390"/>
        <v>0</v>
      </c>
      <c r="CP586" s="325">
        <f t="shared" si="390"/>
        <v>4.8736766301709382</v>
      </c>
      <c r="CQ586" s="323">
        <v>0</v>
      </c>
      <c r="CR586" s="323">
        <v>0</v>
      </c>
      <c r="CS586" s="323">
        <v>0</v>
      </c>
      <c r="CT586" s="323">
        <v>0</v>
      </c>
      <c r="CU586" s="323">
        <v>0</v>
      </c>
      <c r="CV586" s="323">
        <v>0</v>
      </c>
      <c r="CW586" s="323">
        <v>0</v>
      </c>
      <c r="CX586" s="323">
        <v>0</v>
      </c>
      <c r="CY586" s="323">
        <v>0</v>
      </c>
      <c r="CZ586" s="323">
        <v>0</v>
      </c>
      <c r="DA586" s="323">
        <v>0</v>
      </c>
      <c r="DB586" s="1269">
        <v>0</v>
      </c>
      <c r="DC586" s="323"/>
      <c r="DD586" s="323"/>
      <c r="DE586" s="323"/>
      <c r="DF586" s="323"/>
      <c r="DG586" s="323"/>
      <c r="DH586" s="323"/>
      <c r="DI586" s="323"/>
      <c r="DJ586" s="323"/>
      <c r="DK586" s="323"/>
      <c r="DL586" s="323"/>
      <c r="DM586" s="323"/>
      <c r="DN586" s="325"/>
      <c r="DO586" s="323"/>
      <c r="DP586" s="323"/>
      <c r="DQ586" s="323"/>
      <c r="DR586" s="323"/>
      <c r="DS586" s="323"/>
      <c r="DT586" s="323"/>
      <c r="DU586" s="323"/>
      <c r="DV586" s="323"/>
      <c r="DW586" s="323"/>
      <c r="DX586" s="323"/>
      <c r="DY586" s="323"/>
      <c r="DZ586" s="325"/>
      <c r="EA586" s="323"/>
      <c r="EB586" s="323"/>
      <c r="EC586" s="323"/>
      <c r="ED586" s="323"/>
      <c r="EE586" s="323"/>
      <c r="EF586" s="323"/>
      <c r="EG586" s="323"/>
      <c r="EH586" s="323"/>
      <c r="EI586" s="323"/>
      <c r="EJ586" s="323"/>
      <c r="EK586" s="323"/>
      <c r="EL586" s="325"/>
      <c r="EM586" s="323"/>
      <c r="EN586" s="323"/>
      <c r="EO586" s="323"/>
      <c r="EP586" s="323"/>
      <c r="EQ586" s="323"/>
      <c r="ER586" s="323"/>
      <c r="ES586" s="323"/>
      <c r="ET586" s="323"/>
      <c r="EU586" s="323"/>
      <c r="EV586" s="323"/>
      <c r="EW586" s="323"/>
      <c r="EX586" s="325"/>
      <c r="EY586" s="323"/>
      <c r="EZ586" s="323"/>
      <c r="FA586" s="323"/>
      <c r="FB586" s="323"/>
      <c r="FC586" s="323"/>
      <c r="FD586" s="323"/>
      <c r="FE586" s="323"/>
      <c r="FF586" s="323"/>
      <c r="FG586" s="323"/>
      <c r="FH586" s="323"/>
      <c r="FI586" s="323"/>
      <c r="FJ586" s="325"/>
      <c r="FK586" s="323"/>
      <c r="FL586" s="323"/>
      <c r="FM586" s="323"/>
      <c r="FN586" s="323"/>
      <c r="FO586" s="323"/>
      <c r="FP586" s="323"/>
      <c r="FQ586" s="323"/>
      <c r="FR586" s="323"/>
      <c r="FS586" s="323"/>
      <c r="FT586" s="323"/>
      <c r="FU586" s="323"/>
      <c r="FV586" s="323"/>
      <c r="FW586" s="323"/>
      <c r="FX586" s="323"/>
      <c r="FY586" s="323"/>
      <c r="FZ586" s="323"/>
      <c r="GA586" s="323"/>
      <c r="GB586" s="323"/>
      <c r="GC586" s="323"/>
      <c r="GD586" s="323"/>
      <c r="GE586" s="323"/>
      <c r="GF586" s="323"/>
      <c r="GG586" s="323"/>
      <c r="GH586" s="323"/>
      <c r="GI586" s="323"/>
      <c r="GJ586" s="323"/>
      <c r="GK586" s="323"/>
      <c r="GL586" s="323"/>
      <c r="GM586" s="323"/>
      <c r="GN586" s="323"/>
      <c r="GO586" s="323"/>
      <c r="GP586" s="323"/>
      <c r="GQ586" s="323"/>
      <c r="GR586" s="323"/>
      <c r="GS586" s="323"/>
      <c r="GT586" s="323"/>
      <c r="GU586" s="323"/>
      <c r="GV586" s="323"/>
      <c r="GW586" s="323"/>
      <c r="GX586" s="323"/>
      <c r="GY586" s="323"/>
      <c r="GZ586" s="323"/>
      <c r="HA586" s="323"/>
      <c r="HB586" s="323"/>
      <c r="HC586" s="323"/>
      <c r="HD586" s="323"/>
      <c r="HE586" s="323"/>
      <c r="HF586" s="323"/>
      <c r="HG586" s="323"/>
      <c r="HH586" s="323"/>
      <c r="HI586" s="323"/>
      <c r="HJ586" s="323"/>
      <c r="HK586" s="323"/>
      <c r="HL586" s="323"/>
      <c r="HM586" s="323"/>
      <c r="HN586" s="323"/>
      <c r="HO586" s="323"/>
      <c r="HP586" s="323"/>
      <c r="HQ586" s="323"/>
      <c r="HR586" s="323"/>
      <c r="HS586" s="323"/>
      <c r="HT586" s="323"/>
      <c r="HU586" s="323"/>
      <c r="HV586" s="323"/>
      <c r="HW586" s="323"/>
      <c r="HX586" s="323"/>
      <c r="HY586" s="323"/>
      <c r="HZ586" s="326"/>
      <c r="IA586" s="328" t="s">
        <v>129</v>
      </c>
      <c r="IB586" s="328"/>
      <c r="IC586" s="328"/>
      <c r="ID586" s="323">
        <f>+FISC!Z783</f>
        <v>0</v>
      </c>
      <c r="IE586" s="279">
        <f>SUM(CQ586:CV586)</f>
        <v>0</v>
      </c>
      <c r="IF586" s="279">
        <f>SUM(CW586:DB586)</f>
        <v>0</v>
      </c>
      <c r="IG586" s="323">
        <f>SUM(CQ586:DB586)</f>
        <v>0</v>
      </c>
      <c r="IH586" s="279">
        <f>+SUM(DC586:DH586)</f>
        <v>0</v>
      </c>
      <c r="II586" s="279">
        <f>+IJ586-IH586</f>
        <v>0</v>
      </c>
      <c r="IJ586" s="323">
        <v>0</v>
      </c>
      <c r="IK586" s="279">
        <f>+SUM(DO586:DT586)</f>
        <v>0</v>
      </c>
      <c r="IL586" s="279">
        <f>SUM(DU586:DZ586)</f>
        <v>0</v>
      </c>
      <c r="IM586" s="323">
        <f t="shared" si="309"/>
        <v>0</v>
      </c>
      <c r="IN586" s="279">
        <v>0</v>
      </c>
      <c r="IO586" s="327">
        <v>0</v>
      </c>
      <c r="IP586" s="323">
        <f>FISC!AC783</f>
        <v>0</v>
      </c>
      <c r="IQ586" s="279">
        <f>SUM(EM586:ER586)</f>
        <v>0</v>
      </c>
      <c r="IR586" s="279">
        <f>SUM(ES586:EX586)</f>
        <v>0</v>
      </c>
      <c r="IS586" s="323">
        <f>IQ586+IR586</f>
        <v>0</v>
      </c>
      <c r="IT586" s="279">
        <v>0</v>
      </c>
      <c r="IU586" s="327">
        <v>0</v>
      </c>
      <c r="IV586" s="323">
        <f>+FISC!AE783</f>
        <v>0</v>
      </c>
      <c r="IW586" s="279">
        <v>0</v>
      </c>
      <c r="IX586" s="279">
        <f t="shared" si="291"/>
        <v>0</v>
      </c>
      <c r="IY586" s="323">
        <f>+FISC!AF783</f>
        <v>0</v>
      </c>
      <c r="IZ586" s="279">
        <v>0</v>
      </c>
      <c r="JA586" s="279">
        <f t="shared" si="360"/>
        <v>0</v>
      </c>
      <c r="JB586" s="323">
        <f>+FISC!AG783</f>
        <v>0</v>
      </c>
      <c r="JC586" s="279">
        <f>JE586*JU586</f>
        <v>0</v>
      </c>
      <c r="JD586" s="279">
        <f t="shared" si="280"/>
        <v>0</v>
      </c>
      <c r="JE586" s="323">
        <f>+FISC!AH783</f>
        <v>0</v>
      </c>
      <c r="JF586" s="279">
        <f>JH586*JU586</f>
        <v>0</v>
      </c>
      <c r="JG586" s="279">
        <f t="shared" si="281"/>
        <v>0</v>
      </c>
      <c r="JH586" s="323">
        <f>+FISC!AI783</f>
        <v>0</v>
      </c>
      <c r="JI586" s="279">
        <f>JK586*JX586</f>
        <v>0</v>
      </c>
      <c r="JJ586" s="279">
        <f t="shared" si="282"/>
        <v>0</v>
      </c>
      <c r="JK586" s="323">
        <f>+FISC!AJ783</f>
        <v>0</v>
      </c>
      <c r="JL586" s="279">
        <f>JN586*KA586</f>
        <v>0</v>
      </c>
      <c r="JM586" s="279">
        <f t="shared" si="283"/>
        <v>0</v>
      </c>
      <c r="JN586" s="323">
        <f>+FISC!AK783</f>
        <v>0</v>
      </c>
      <c r="JO586" s="323"/>
      <c r="KU586" s="326"/>
      <c r="KV586" s="327"/>
    </row>
    <row r="587" spans="1:314" hidden="1">
      <c r="A587" s="279"/>
      <c r="D587" s="328"/>
      <c r="E587" s="323"/>
      <c r="F587" s="323"/>
      <c r="G587" s="323"/>
      <c r="H587" s="323"/>
      <c r="I587" s="323"/>
      <c r="J587" s="323"/>
      <c r="K587" s="323"/>
      <c r="L587" s="323"/>
      <c r="M587" s="323"/>
      <c r="N587" s="323"/>
      <c r="O587" s="323"/>
      <c r="P587" s="323"/>
      <c r="Q587" s="323"/>
      <c r="R587" s="323"/>
      <c r="S587" s="323"/>
      <c r="T587" s="323"/>
      <c r="U587" s="323"/>
      <c r="V587" s="323"/>
      <c r="W587" s="323"/>
      <c r="X587" s="323"/>
      <c r="Y587" s="323"/>
      <c r="Z587" s="323"/>
      <c r="AA587" s="323"/>
      <c r="AB587" s="323"/>
      <c r="AC587" s="323"/>
      <c r="AD587" s="323"/>
      <c r="AE587" s="323"/>
      <c r="AF587" s="323"/>
      <c r="AG587" s="323"/>
      <c r="AH587" s="323"/>
      <c r="AI587" s="323"/>
      <c r="AJ587" s="323"/>
      <c r="AK587" s="323"/>
      <c r="AL587" s="323"/>
      <c r="AM587" s="323"/>
      <c r="AN587" s="323"/>
      <c r="AO587" s="323"/>
      <c r="AP587" s="323"/>
      <c r="AQ587" s="323"/>
      <c r="AR587" s="323"/>
      <c r="AS587" s="323"/>
      <c r="AT587" s="323"/>
      <c r="AU587" s="323"/>
      <c r="AV587" s="323"/>
      <c r="AW587" s="323"/>
      <c r="AX587" s="323"/>
      <c r="AY587" s="323"/>
      <c r="AZ587" s="323"/>
      <c r="BA587" s="323"/>
      <c r="BB587" s="323"/>
      <c r="BC587" s="323"/>
      <c r="BD587" s="323"/>
      <c r="BE587" s="323"/>
      <c r="BF587" s="323"/>
      <c r="BG587" s="323"/>
      <c r="BH587" s="323"/>
      <c r="BI587" s="323"/>
      <c r="BJ587" s="323"/>
      <c r="BK587" s="323"/>
      <c r="BL587" s="323"/>
      <c r="BM587" s="323"/>
      <c r="BN587" s="323"/>
      <c r="BO587" s="323"/>
      <c r="BP587" s="323"/>
      <c r="BQ587" s="323"/>
      <c r="BR587" s="323"/>
      <c r="BS587" s="323"/>
      <c r="BT587" s="323"/>
      <c r="BU587" s="323"/>
      <c r="BV587" s="323"/>
      <c r="BW587" s="323"/>
      <c r="BX587" s="323"/>
      <c r="BY587" s="323"/>
      <c r="BZ587" s="323"/>
      <c r="CA587" s="323"/>
      <c r="CB587" s="323"/>
      <c r="CC587" s="323"/>
      <c r="CD587" s="323"/>
      <c r="CE587" s="324"/>
      <c r="CF587" s="323"/>
      <c r="CG587" s="323"/>
      <c r="CH587" s="323"/>
      <c r="CI587" s="323"/>
      <c r="CJ587" s="323"/>
      <c r="CK587" s="323"/>
      <c r="CL587" s="323"/>
      <c r="CM587" s="323"/>
      <c r="CN587" s="323"/>
      <c r="CO587" s="323"/>
      <c r="CP587" s="325"/>
      <c r="CQ587" s="323"/>
      <c r="CR587" s="323"/>
      <c r="CS587" s="323"/>
      <c r="CT587" s="323"/>
      <c r="CU587" s="323"/>
      <c r="CV587" s="323"/>
      <c r="CW587" s="323"/>
      <c r="CX587" s="323"/>
      <c r="CY587" s="323"/>
      <c r="CZ587" s="323"/>
      <c r="DA587" s="323"/>
      <c r="DB587" s="1269"/>
      <c r="DC587" s="323"/>
      <c r="DD587" s="323"/>
      <c r="DE587" s="323"/>
      <c r="DF587" s="323"/>
      <c r="DG587" s="323"/>
      <c r="DH587" s="323"/>
      <c r="DI587" s="323"/>
      <c r="DJ587" s="323"/>
      <c r="DK587" s="323"/>
      <c r="DL587" s="323"/>
      <c r="DM587" s="323"/>
      <c r="DN587" s="325"/>
      <c r="DO587" s="323"/>
      <c r="DP587" s="323"/>
      <c r="DQ587" s="323"/>
      <c r="DR587" s="323"/>
      <c r="DS587" s="323"/>
      <c r="DT587" s="323"/>
      <c r="DU587" s="323"/>
      <c r="DV587" s="323"/>
      <c r="DW587" s="323"/>
      <c r="DX587" s="323"/>
      <c r="DY587" s="323"/>
      <c r="DZ587" s="325"/>
      <c r="EA587" s="323"/>
      <c r="EB587" s="323"/>
      <c r="EC587" s="323"/>
      <c r="ED587" s="323"/>
      <c r="EE587" s="323"/>
      <c r="EF587" s="323"/>
      <c r="EG587" s="323"/>
      <c r="EH587" s="323"/>
      <c r="EI587" s="323"/>
      <c r="EJ587" s="323"/>
      <c r="EK587" s="323"/>
      <c r="EL587" s="325"/>
      <c r="EM587" s="323"/>
      <c r="EN587" s="323"/>
      <c r="EO587" s="323"/>
      <c r="EP587" s="323"/>
      <c r="EQ587" s="323"/>
      <c r="ER587" s="323"/>
      <c r="ES587" s="323"/>
      <c r="ET587" s="323"/>
      <c r="EU587" s="323"/>
      <c r="EV587" s="323"/>
      <c r="EW587" s="323"/>
      <c r="EX587" s="325"/>
      <c r="EY587" s="323"/>
      <c r="EZ587" s="323"/>
      <c r="FA587" s="323"/>
      <c r="FB587" s="323"/>
      <c r="FC587" s="323"/>
      <c r="FD587" s="323"/>
      <c r="FE587" s="323"/>
      <c r="FF587" s="323"/>
      <c r="FG587" s="323"/>
      <c r="FH587" s="323"/>
      <c r="FI587" s="323"/>
      <c r="FJ587" s="325"/>
      <c r="FK587" s="323"/>
      <c r="FL587" s="323"/>
      <c r="FM587" s="323"/>
      <c r="FN587" s="323"/>
      <c r="FO587" s="323"/>
      <c r="FP587" s="323"/>
      <c r="FQ587" s="323"/>
      <c r="FR587" s="323"/>
      <c r="FS587" s="323"/>
      <c r="FT587" s="323"/>
      <c r="FU587" s="323"/>
      <c r="FV587" s="323"/>
      <c r="FW587" s="323"/>
      <c r="FX587" s="323"/>
      <c r="FY587" s="323"/>
      <c r="FZ587" s="323"/>
      <c r="GA587" s="323"/>
      <c r="GB587" s="323"/>
      <c r="GC587" s="323"/>
      <c r="GD587" s="323"/>
      <c r="GE587" s="323"/>
      <c r="GF587" s="323"/>
      <c r="GG587" s="323"/>
      <c r="GH587" s="323"/>
      <c r="GI587" s="323"/>
      <c r="GJ587" s="323"/>
      <c r="GK587" s="323"/>
      <c r="GL587" s="323"/>
      <c r="GM587" s="323"/>
      <c r="GN587" s="323"/>
      <c r="GO587" s="323"/>
      <c r="GP587" s="323"/>
      <c r="GQ587" s="323"/>
      <c r="GR587" s="323"/>
      <c r="GS587" s="323"/>
      <c r="GT587" s="323"/>
      <c r="GU587" s="323"/>
      <c r="GV587" s="323"/>
      <c r="GW587" s="323"/>
      <c r="GX587" s="323"/>
      <c r="GY587" s="323"/>
      <c r="GZ587" s="323"/>
      <c r="HA587" s="323"/>
      <c r="HB587" s="323"/>
      <c r="HC587" s="323"/>
      <c r="HD587" s="323"/>
      <c r="HE587" s="323"/>
      <c r="HF587" s="323"/>
      <c r="HG587" s="323"/>
      <c r="HH587" s="323"/>
      <c r="HI587" s="323"/>
      <c r="HJ587" s="323"/>
      <c r="HK587" s="323"/>
      <c r="HL587" s="323"/>
      <c r="HM587" s="323"/>
      <c r="HN587" s="323"/>
      <c r="HO587" s="323"/>
      <c r="HP587" s="323"/>
      <c r="HQ587" s="323"/>
      <c r="HR587" s="323"/>
      <c r="HS587" s="323"/>
      <c r="HT587" s="323"/>
      <c r="HU587" s="323"/>
      <c r="HV587" s="323"/>
      <c r="HW587" s="323"/>
      <c r="HX587" s="323"/>
      <c r="HY587" s="323"/>
      <c r="HZ587" s="326"/>
      <c r="IA587" s="328"/>
      <c r="IB587" s="328"/>
      <c r="IC587" s="328"/>
      <c r="ID587" s="323"/>
      <c r="IG587" s="323"/>
      <c r="IJ587" s="323"/>
      <c r="IM587" s="323"/>
      <c r="IO587" s="327"/>
      <c r="IP587" s="323"/>
      <c r="IS587" s="323"/>
      <c r="IT587" s="327"/>
      <c r="IU587" s="327"/>
      <c r="IV587" s="323"/>
      <c r="IW587" s="279">
        <f>IY587*JU587</f>
        <v>0</v>
      </c>
      <c r="IX587" s="279">
        <f t="shared" si="291"/>
        <v>0</v>
      </c>
      <c r="IY587" s="323"/>
      <c r="IZ587" s="279">
        <f>JB587*JU587</f>
        <v>0</v>
      </c>
      <c r="JA587" s="279">
        <f t="shared" si="360"/>
        <v>0</v>
      </c>
      <c r="JB587" s="323"/>
      <c r="JC587" s="279">
        <f>JE587*JU587</f>
        <v>0</v>
      </c>
      <c r="JD587" s="279">
        <f t="shared" si="280"/>
        <v>0</v>
      </c>
      <c r="JE587" s="323"/>
      <c r="JF587" s="279">
        <f>JH587*JU587</f>
        <v>0</v>
      </c>
      <c r="JG587" s="279">
        <f t="shared" si="281"/>
        <v>0</v>
      </c>
      <c r="JH587" s="323"/>
      <c r="JI587" s="279">
        <f>JK587*JX587</f>
        <v>0</v>
      </c>
      <c r="JJ587" s="279">
        <f t="shared" si="282"/>
        <v>0</v>
      </c>
      <c r="JK587" s="323"/>
      <c r="JL587" s="279">
        <f>JN587*KA587</f>
        <v>0</v>
      </c>
      <c r="JM587" s="279">
        <f t="shared" si="283"/>
        <v>0</v>
      </c>
      <c r="JN587" s="323"/>
      <c r="JO587" s="323"/>
      <c r="KU587" s="326"/>
      <c r="KV587" s="327"/>
    </row>
    <row r="588" spans="1:314" hidden="1">
      <c r="A588" s="279"/>
      <c r="B588" s="96" t="s">
        <v>338</v>
      </c>
      <c r="D588" s="322" t="str">
        <f>+FISC!D786</f>
        <v>Total expenditure and net lending</v>
      </c>
      <c r="E588" s="323">
        <f t="shared" ref="E588:BP588" si="391">E590+E621+E635</f>
        <v>31.113846187904123</v>
      </c>
      <c r="F588" s="323">
        <f t="shared" si="391"/>
        <v>33.929240033719999</v>
      </c>
      <c r="G588" s="323">
        <f t="shared" si="391"/>
        <v>51.190462517032501</v>
      </c>
      <c r="H588" s="323">
        <f t="shared" si="391"/>
        <v>40.268011869128273</v>
      </c>
      <c r="I588" s="323">
        <f t="shared" si="391"/>
        <v>24.212936727898001</v>
      </c>
      <c r="J588" s="323">
        <f t="shared" si="391"/>
        <v>45.179957022725901</v>
      </c>
      <c r="K588" s="323">
        <f t="shared" si="391"/>
        <v>55.8103188453263</v>
      </c>
      <c r="L588" s="323">
        <f t="shared" si="391"/>
        <v>32.404558326849603</v>
      </c>
      <c r="M588" s="323">
        <f t="shared" si="391"/>
        <v>56.868435660884003</v>
      </c>
      <c r="N588" s="323">
        <f t="shared" si="391"/>
        <v>40.114778642740006</v>
      </c>
      <c r="O588" s="323">
        <f t="shared" si="391"/>
        <v>31.185432896099996</v>
      </c>
      <c r="P588" s="323">
        <f t="shared" si="391"/>
        <v>48.464992930080001</v>
      </c>
      <c r="Q588" s="323">
        <f t="shared" si="391"/>
        <v>37.599948009391603</v>
      </c>
      <c r="R588" s="323">
        <f t="shared" si="391"/>
        <v>34.876504099342704</v>
      </c>
      <c r="S588" s="323">
        <f t="shared" si="391"/>
        <v>54.602413516725001</v>
      </c>
      <c r="T588" s="323">
        <f t="shared" si="391"/>
        <v>61.171064788264005</v>
      </c>
      <c r="U588" s="323">
        <f t="shared" si="391"/>
        <v>33.091063065655497</v>
      </c>
      <c r="V588" s="323">
        <f t="shared" si="391"/>
        <v>49.348105392392</v>
      </c>
      <c r="W588" s="323">
        <f t="shared" si="391"/>
        <v>60.218298840349995</v>
      </c>
      <c r="X588" s="323">
        <f t="shared" si="391"/>
        <v>44.479926035408006</v>
      </c>
      <c r="Y588" s="323">
        <f t="shared" si="391"/>
        <v>71.80984676760481</v>
      </c>
      <c r="Z588" s="323">
        <f t="shared" si="391"/>
        <v>88.118180455573395</v>
      </c>
      <c r="AA588" s="323">
        <f t="shared" si="391"/>
        <v>30.6191103237894</v>
      </c>
      <c r="AB588" s="323">
        <f t="shared" si="391"/>
        <v>83.810174073706989</v>
      </c>
      <c r="AC588" s="323">
        <f t="shared" si="391"/>
        <v>49.265808352000001</v>
      </c>
      <c r="AD588" s="323">
        <f t="shared" si="391"/>
        <v>36.787428904000002</v>
      </c>
      <c r="AE588" s="323">
        <f t="shared" si="391"/>
        <v>100.839280293</v>
      </c>
      <c r="AF588" s="323">
        <f t="shared" si="391"/>
        <v>61.970627678999996</v>
      </c>
      <c r="AG588" s="323">
        <f t="shared" si="391"/>
        <v>42.037399139999998</v>
      </c>
      <c r="AH588" s="323">
        <f t="shared" si="391"/>
        <v>58.600805208000011</v>
      </c>
      <c r="AI588" s="323">
        <f t="shared" si="391"/>
        <v>46.727141095</v>
      </c>
      <c r="AJ588" s="323">
        <f t="shared" si="391"/>
        <v>45.196983449999998</v>
      </c>
      <c r="AK588" s="323">
        <f t="shared" si="391"/>
        <v>100.94934549200002</v>
      </c>
      <c r="AL588" s="323">
        <f t="shared" si="391"/>
        <v>73.751512684999994</v>
      </c>
      <c r="AM588" s="323">
        <f t="shared" si="391"/>
        <v>52.546027526000003</v>
      </c>
      <c r="AN588" s="323">
        <f t="shared" si="391"/>
        <v>85.616203753999997</v>
      </c>
      <c r="AO588" s="323">
        <f t="shared" si="391"/>
        <v>66.299067429259992</v>
      </c>
      <c r="AP588" s="323">
        <f t="shared" si="391"/>
        <v>40.593019098060005</v>
      </c>
      <c r="AQ588" s="323">
        <f t="shared" si="391"/>
        <v>84.816624014327218</v>
      </c>
      <c r="AR588" s="323">
        <f t="shared" si="391"/>
        <v>67.161112869120004</v>
      </c>
      <c r="AS588" s="323">
        <f t="shared" si="391"/>
        <v>65.593571150347984</v>
      </c>
      <c r="AT588" s="323">
        <f t="shared" si="391"/>
        <v>76.930057421065598</v>
      </c>
      <c r="AU588" s="323">
        <f t="shared" si="391"/>
        <v>52.346549717240002</v>
      </c>
      <c r="AV588" s="323">
        <f t="shared" si="391"/>
        <v>75.539561062880011</v>
      </c>
      <c r="AW588" s="323">
        <f t="shared" si="391"/>
        <v>99.261310907549984</v>
      </c>
      <c r="AX588" s="323">
        <f t="shared" si="391"/>
        <v>76.398074650079991</v>
      </c>
      <c r="AY588" s="323">
        <f t="shared" si="391"/>
        <v>56.413795972900793</v>
      </c>
      <c r="AZ588" s="323">
        <f t="shared" si="391"/>
        <v>118.0142915183675</v>
      </c>
      <c r="BA588" s="323">
        <f t="shared" si="391"/>
        <v>64.438460127999988</v>
      </c>
      <c r="BB588" s="323">
        <f t="shared" si="391"/>
        <v>45.758440004000001</v>
      </c>
      <c r="BC588" s="323">
        <f t="shared" si="391"/>
        <v>132.03570007300002</v>
      </c>
      <c r="BD588" s="323">
        <f t="shared" si="391"/>
        <v>86.553274928000008</v>
      </c>
      <c r="BE588" s="323">
        <f t="shared" si="391"/>
        <v>94.541698818</v>
      </c>
      <c r="BF588" s="323">
        <f t="shared" si="391"/>
        <v>83.437803747000004</v>
      </c>
      <c r="BG588" s="323">
        <f t="shared" si="391"/>
        <v>50.160957434999993</v>
      </c>
      <c r="BH588" s="323">
        <f t="shared" si="391"/>
        <v>85.418576400999996</v>
      </c>
      <c r="BI588" s="323">
        <f t="shared" si="391"/>
        <v>80.972930940999987</v>
      </c>
      <c r="BJ588" s="323">
        <f t="shared" si="391"/>
        <v>92.236027882819997</v>
      </c>
      <c r="BK588" s="323">
        <f t="shared" si="391"/>
        <v>67.167033942000018</v>
      </c>
      <c r="BL588" s="323">
        <f t="shared" si="391"/>
        <v>120.089135438</v>
      </c>
      <c r="BM588" s="323">
        <f t="shared" si="391"/>
        <v>85.731333924890009</v>
      </c>
      <c r="BN588" s="323">
        <f t="shared" si="391"/>
        <v>59.496136133479993</v>
      </c>
      <c r="BO588" s="323">
        <f t="shared" si="391"/>
        <v>131.36413443499998</v>
      </c>
      <c r="BP588" s="323">
        <f t="shared" si="391"/>
        <v>111.25802000000002</v>
      </c>
      <c r="BQ588" s="323">
        <f t="shared" ref="BQ588:DN588" si="392">BQ590+BQ621+BQ635</f>
        <v>111.82221942385</v>
      </c>
      <c r="BR588" s="323">
        <f t="shared" si="392"/>
        <v>114.05307858658</v>
      </c>
      <c r="BS588" s="323">
        <f t="shared" si="392"/>
        <v>73.728099999999984</v>
      </c>
      <c r="BT588" s="323">
        <f t="shared" si="392"/>
        <v>68.467799999999997</v>
      </c>
      <c r="BU588" s="323">
        <f t="shared" si="392"/>
        <v>136.54740000000001</v>
      </c>
      <c r="BV588" s="323">
        <f t="shared" si="392"/>
        <v>121.91829581300001</v>
      </c>
      <c r="BW588" s="323">
        <f t="shared" si="392"/>
        <v>72.599040844000001</v>
      </c>
      <c r="BX588" s="323">
        <f t="shared" si="392"/>
        <v>41.273675468</v>
      </c>
      <c r="BY588" s="323">
        <f t="shared" si="392"/>
        <v>80.05536907403436</v>
      </c>
      <c r="BZ588" s="323">
        <f t="shared" si="392"/>
        <v>80.258989039645556</v>
      </c>
      <c r="CA588" s="323">
        <f t="shared" si="392"/>
        <v>59.303305091246877</v>
      </c>
      <c r="CB588" s="323">
        <f t="shared" si="392"/>
        <v>127.34907455078395</v>
      </c>
      <c r="CC588" s="323">
        <f t="shared" si="392"/>
        <v>202.61559797621354</v>
      </c>
      <c r="CD588" s="323">
        <f t="shared" si="392"/>
        <v>62.595220320441499</v>
      </c>
      <c r="CE588" s="324">
        <f t="shared" si="392"/>
        <v>75.398048042979383</v>
      </c>
      <c r="CF588" s="323">
        <f t="shared" si="392"/>
        <v>116.41391544855834</v>
      </c>
      <c r="CG588" s="323">
        <f t="shared" si="392"/>
        <v>108.061891988951</v>
      </c>
      <c r="CH588" s="323">
        <f t="shared" si="392"/>
        <v>184.53382344332474</v>
      </c>
      <c r="CI588" s="323">
        <f t="shared" si="392"/>
        <v>114.23956239609714</v>
      </c>
      <c r="CJ588" s="323">
        <f t="shared" si="392"/>
        <v>88.621054460907445</v>
      </c>
      <c r="CK588" s="323">
        <f t="shared" si="392"/>
        <v>156.07666278087683</v>
      </c>
      <c r="CL588" s="323">
        <f t="shared" si="392"/>
        <v>98.019819600030885</v>
      </c>
      <c r="CM588" s="323">
        <f t="shared" si="392"/>
        <v>114.94251640501365</v>
      </c>
      <c r="CN588" s="323">
        <f t="shared" si="392"/>
        <v>195.03469061557522</v>
      </c>
      <c r="CO588" s="323">
        <f t="shared" si="392"/>
        <v>164.44063315294568</v>
      </c>
      <c r="CP588" s="325">
        <f t="shared" si="392"/>
        <v>125.67780354697906</v>
      </c>
      <c r="CQ588" s="323">
        <f t="shared" si="392"/>
        <v>129.35975012920775</v>
      </c>
      <c r="CR588" s="323">
        <f t="shared" si="392"/>
        <v>122.08768675311194</v>
      </c>
      <c r="CS588" s="323">
        <f t="shared" si="392"/>
        <v>153.64729846200487</v>
      </c>
      <c r="CT588" s="323">
        <f t="shared" si="392"/>
        <v>138.7763964415644</v>
      </c>
      <c r="CU588" s="323">
        <f t="shared" si="392"/>
        <v>122.09486237889624</v>
      </c>
      <c r="CV588" s="323">
        <f t="shared" si="392"/>
        <v>122.83016278247229</v>
      </c>
      <c r="CW588" s="323">
        <f t="shared" si="392"/>
        <v>143.17180662702862</v>
      </c>
      <c r="CX588" s="323">
        <f t="shared" si="392"/>
        <v>115.5815087056594</v>
      </c>
      <c r="CY588" s="323">
        <f t="shared" si="392"/>
        <v>165.38609906588039</v>
      </c>
      <c r="CZ588" s="323">
        <f t="shared" si="392"/>
        <v>196.19077385458357</v>
      </c>
      <c r="DA588" s="323">
        <f t="shared" si="392"/>
        <v>158.79279628529045</v>
      </c>
      <c r="DB588" s="1269">
        <f t="shared" si="392"/>
        <v>106.20265475848933</v>
      </c>
      <c r="DC588" s="323">
        <f t="shared" si="392"/>
        <v>125.96836946233627</v>
      </c>
      <c r="DD588" s="323">
        <f t="shared" si="392"/>
        <v>131.66420278981306</v>
      </c>
      <c r="DE588" s="323">
        <f t="shared" si="392"/>
        <v>140.17989622084536</v>
      </c>
      <c r="DF588" s="323">
        <f t="shared" si="392"/>
        <v>188.62283454332567</v>
      </c>
      <c r="DG588" s="323">
        <f t="shared" si="392"/>
        <v>113.83011072677702</v>
      </c>
      <c r="DH588" s="323">
        <f t="shared" si="392"/>
        <v>137.16723786298544</v>
      </c>
      <c r="DI588" s="323">
        <f t="shared" si="392"/>
        <v>200.68346245371302</v>
      </c>
      <c r="DJ588" s="323">
        <f t="shared" si="392"/>
        <v>120.3590521841204</v>
      </c>
      <c r="DK588" s="323">
        <f t="shared" si="392"/>
        <v>137.8281493125568</v>
      </c>
      <c r="DL588" s="323">
        <f t="shared" si="392"/>
        <v>189.5367868554427</v>
      </c>
      <c r="DM588" s="323">
        <f t="shared" si="392"/>
        <v>156.45357130101183</v>
      </c>
      <c r="DN588" s="325">
        <f t="shared" si="392"/>
        <v>101.78704168320186</v>
      </c>
      <c r="DO588" s="323">
        <f t="shared" ref="DO588:DT588" si="393">DO590+DO621+DO635</f>
        <v>131.46487819369986</v>
      </c>
      <c r="DP588" s="323">
        <f t="shared" si="393"/>
        <v>158.15634457587427</v>
      </c>
      <c r="DQ588" s="323">
        <f t="shared" si="393"/>
        <v>132.709202966487</v>
      </c>
      <c r="DR588" s="323">
        <f t="shared" si="393"/>
        <v>183.79972800606998</v>
      </c>
      <c r="DS588" s="323">
        <f t="shared" si="393"/>
        <v>136.22093061931383</v>
      </c>
      <c r="DT588" s="323">
        <f t="shared" si="393"/>
        <v>117.4384778483159</v>
      </c>
      <c r="DU588" s="323">
        <f t="shared" ref="DU588:DZ588" si="394">DU590+DU621+DU635</f>
        <v>216.95460047101957</v>
      </c>
      <c r="DV588" s="323">
        <f t="shared" si="394"/>
        <v>121.4618064237073</v>
      </c>
      <c r="DW588" s="323">
        <f t="shared" si="394"/>
        <v>116.25564582039055</v>
      </c>
      <c r="DX588" s="323">
        <f t="shared" si="394"/>
        <v>230.83955515590986</v>
      </c>
      <c r="DY588" s="323">
        <f t="shared" si="394"/>
        <v>171.53838969519907</v>
      </c>
      <c r="DZ588" s="325">
        <f t="shared" si="394"/>
        <v>151.24317908213447</v>
      </c>
      <c r="EA588" s="323">
        <f t="shared" ref="EA588:EK588" si="395">EA590+EA621+EA635</f>
        <v>168.05316746412961</v>
      </c>
      <c r="EB588" s="323">
        <f t="shared" si="395"/>
        <v>190.28026169930234</v>
      </c>
      <c r="EC588" s="323">
        <f t="shared" si="395"/>
        <v>200.74987264138497</v>
      </c>
      <c r="ED588" s="323">
        <f t="shared" si="395"/>
        <v>201.97593683856834</v>
      </c>
      <c r="EE588" s="323">
        <f t="shared" si="395"/>
        <v>170.27168308078461</v>
      </c>
      <c r="EF588" s="323">
        <f t="shared" si="395"/>
        <v>161.04237998171689</v>
      </c>
      <c r="EG588" s="323">
        <f t="shared" si="395"/>
        <v>211.65316868545517</v>
      </c>
      <c r="EH588" s="323">
        <f t="shared" si="395"/>
        <v>144.19403532654613</v>
      </c>
      <c r="EI588" s="323">
        <f t="shared" si="395"/>
        <v>200.39890556280127</v>
      </c>
      <c r="EJ588" s="323">
        <f t="shared" si="395"/>
        <v>180.82204485402741</v>
      </c>
      <c r="EK588" s="323">
        <f t="shared" si="395"/>
        <v>191.50924666579277</v>
      </c>
      <c r="EL588" s="325">
        <f t="shared" ref="EL588:ER588" si="396">EL590+EL621+EL635</f>
        <v>141.02253382497364</v>
      </c>
      <c r="EM588" s="323">
        <f t="shared" si="396"/>
        <v>167.75508204563778</v>
      </c>
      <c r="EN588" s="323">
        <f t="shared" si="396"/>
        <v>185.82456451754086</v>
      </c>
      <c r="EO588" s="323">
        <f t="shared" si="396"/>
        <v>203.14002864147531</v>
      </c>
      <c r="EP588" s="323">
        <f t="shared" si="396"/>
        <v>234.80290297242672</v>
      </c>
      <c r="EQ588" s="323">
        <f t="shared" si="396"/>
        <v>201.54039909714893</v>
      </c>
      <c r="ER588" s="323">
        <f t="shared" si="396"/>
        <v>231.29813989039039</v>
      </c>
      <c r="ES588" s="323">
        <f t="shared" ref="ES588:EX588" si="397">ES590+ES621+ES635</f>
        <v>201.85594968623349</v>
      </c>
      <c r="ET588" s="323">
        <f t="shared" si="397"/>
        <v>182.42216238521141</v>
      </c>
      <c r="EU588" s="323">
        <f t="shared" si="397"/>
        <v>256.93009212244777</v>
      </c>
      <c r="EV588" s="323">
        <f t="shared" si="397"/>
        <v>282.5670358596937</v>
      </c>
      <c r="EW588" s="323">
        <f t="shared" si="397"/>
        <v>246.7077685166656</v>
      </c>
      <c r="EX588" s="325">
        <f t="shared" si="397"/>
        <v>216.79376871111833</v>
      </c>
      <c r="EY588" s="323"/>
      <c r="EZ588" s="323"/>
      <c r="FA588" s="323"/>
      <c r="FB588" s="323"/>
      <c r="FC588" s="323"/>
      <c r="FD588" s="323"/>
      <c r="FE588" s="323"/>
      <c r="FF588" s="323"/>
      <c r="FG588" s="323"/>
      <c r="FH588" s="323"/>
      <c r="FI588" s="323"/>
      <c r="FJ588" s="325"/>
      <c r="FK588" s="323"/>
      <c r="FL588" s="323"/>
      <c r="FM588" s="323"/>
      <c r="FN588" s="323"/>
      <c r="FO588" s="323"/>
      <c r="FP588" s="323"/>
      <c r="FQ588" s="323"/>
      <c r="FR588" s="323"/>
      <c r="FS588" s="323"/>
      <c r="FT588" s="323"/>
      <c r="FU588" s="323"/>
      <c r="FV588" s="323"/>
      <c r="FW588" s="323"/>
      <c r="FX588" s="323"/>
      <c r="FY588" s="323"/>
      <c r="FZ588" s="323"/>
      <c r="GA588" s="323"/>
      <c r="GB588" s="323"/>
      <c r="GC588" s="323"/>
      <c r="GD588" s="323"/>
      <c r="GE588" s="323"/>
      <c r="GF588" s="323"/>
      <c r="GG588" s="323"/>
      <c r="GH588" s="323"/>
      <c r="GI588" s="323"/>
      <c r="GJ588" s="323"/>
      <c r="GK588" s="323"/>
      <c r="GL588" s="323"/>
      <c r="GM588" s="323"/>
      <c r="GN588" s="323"/>
      <c r="GO588" s="323"/>
      <c r="GP588" s="323"/>
      <c r="GQ588" s="323"/>
      <c r="GR588" s="323"/>
      <c r="GS588" s="323"/>
      <c r="GT588" s="323"/>
      <c r="GU588" s="323"/>
      <c r="GV588" s="323"/>
      <c r="GW588" s="323"/>
      <c r="GX588" s="323"/>
      <c r="GY588" s="323"/>
      <c r="GZ588" s="323"/>
      <c r="HA588" s="323"/>
      <c r="HB588" s="323"/>
      <c r="HC588" s="323"/>
      <c r="HD588" s="323"/>
      <c r="HE588" s="323"/>
      <c r="HF588" s="323"/>
      <c r="HG588" s="323"/>
      <c r="HH588" s="323"/>
      <c r="HI588" s="323"/>
      <c r="HJ588" s="323"/>
      <c r="HK588" s="323"/>
      <c r="HL588" s="323"/>
      <c r="HM588" s="323"/>
      <c r="HN588" s="323"/>
      <c r="HO588" s="323"/>
      <c r="HP588" s="323"/>
      <c r="HQ588" s="323"/>
      <c r="HR588" s="323"/>
      <c r="HS588" s="323"/>
      <c r="HT588" s="323"/>
      <c r="HU588" s="323"/>
      <c r="HV588" s="323"/>
      <c r="HW588" s="323"/>
      <c r="HX588" s="323"/>
      <c r="HY588" s="323"/>
      <c r="HZ588" s="326"/>
      <c r="IA588" s="322" t="s">
        <v>130</v>
      </c>
      <c r="IB588" s="322"/>
      <c r="IC588" s="322"/>
      <c r="ID588" s="323">
        <f>+FISC!Z786</f>
        <v>1720.73</v>
      </c>
      <c r="IE588" s="279">
        <f t="shared" ref="IE588:IL588" si="398">IE590+IE621+IE635</f>
        <v>765.79615694725749</v>
      </c>
      <c r="IF588" s="279">
        <f t="shared" si="398"/>
        <v>885.32563929693174</v>
      </c>
      <c r="IG588" s="323">
        <f t="shared" si="398"/>
        <v>1651.1217962441892</v>
      </c>
      <c r="IH588" s="607">
        <f t="shared" si="398"/>
        <v>837.43265160608269</v>
      </c>
      <c r="II588" s="607">
        <f t="shared" si="398"/>
        <v>906.64806379004654</v>
      </c>
      <c r="IJ588" s="323">
        <f t="shared" si="398"/>
        <v>1744.0807153961293</v>
      </c>
      <c r="IK588" s="607">
        <f t="shared" si="398"/>
        <v>859.78956220976079</v>
      </c>
      <c r="IL588" s="607">
        <f t="shared" si="398"/>
        <v>1008.2931766483607</v>
      </c>
      <c r="IM588" s="323">
        <f t="shared" si="309"/>
        <v>1868.0827388581215</v>
      </c>
      <c r="IN588" s="279">
        <f>IN590+IN621+IN635</f>
        <v>1052.9234134562407</v>
      </c>
      <c r="IO588" s="279">
        <f>IO590+IO621+IO635</f>
        <v>1134.61636743181</v>
      </c>
      <c r="IP588" s="323">
        <f>FISC!AC786</f>
        <v>2187.5397808880507</v>
      </c>
      <c r="IQ588" s="279">
        <f>SUM(EM588:ER588)</f>
        <v>1224.3611171646201</v>
      </c>
      <c r="IR588" s="279">
        <f>SUM(ES588:EX588)</f>
        <v>1387.2767772813704</v>
      </c>
      <c r="IS588" s="323">
        <f>IQ588+IR588</f>
        <v>2611.6378944459902</v>
      </c>
      <c r="IT588" s="279" t="e">
        <f>(IT590+IT621+IT635)*0+1507.10460128539</f>
        <v>#REF!</v>
      </c>
      <c r="IU588" s="279" t="e">
        <f>IV588-IT588</f>
        <v>#REF!</v>
      </c>
      <c r="IV588" s="323">
        <f>+FISC!AE786</f>
        <v>3253.1281054531019</v>
      </c>
      <c r="IW588" s="279">
        <f>IW590+IW621+IW635</f>
        <v>1497.9347851671364</v>
      </c>
      <c r="IX588" s="279">
        <f t="shared" si="291"/>
        <v>1612.3294421911996</v>
      </c>
      <c r="IY588" s="323">
        <f>+FISC!AF786</f>
        <v>3110.264227358336</v>
      </c>
      <c r="IZ588" s="279">
        <f>IZ590+IZ621+IZ635</f>
        <v>1878.9471871909889</v>
      </c>
      <c r="JA588" s="279">
        <f t="shared" si="360"/>
        <v>2129.9303387763566</v>
      </c>
      <c r="JB588" s="323">
        <f>+FISC!AG786</f>
        <v>4008.8775259673457</v>
      </c>
      <c r="JC588" s="279">
        <f>JC590+JC621+JC635</f>
        <v>2257.2924096175611</v>
      </c>
      <c r="JD588" s="279">
        <f t="shared" si="280"/>
        <v>2387.7375994288677</v>
      </c>
      <c r="JE588" s="323">
        <f>+FISC!AH786</f>
        <v>4645.0300090464289</v>
      </c>
      <c r="JF588" s="279">
        <f>JF590+JF621+JF635</f>
        <v>2292.5646009084217</v>
      </c>
      <c r="JG588" s="279">
        <f t="shared" si="281"/>
        <v>3282.8092080275969</v>
      </c>
      <c r="JH588" s="323">
        <f>+FISC!AI786</f>
        <v>5575.3738089360186</v>
      </c>
      <c r="JI588" s="279">
        <f>JI590+JI621+JI635</f>
        <v>2164.3330647490125</v>
      </c>
      <c r="JJ588" s="279">
        <f t="shared" si="282"/>
        <v>2690.2690891876168</v>
      </c>
      <c r="JK588" s="323">
        <f>+FISC!AJ786</f>
        <v>4854.6021539366293</v>
      </c>
      <c r="JL588" s="279">
        <f>JL590+JL621+JL635</f>
        <v>811.08336896435458</v>
      </c>
      <c r="JM588" s="279">
        <f t="shared" si="283"/>
        <v>-811.08336896435458</v>
      </c>
      <c r="JN588" s="323">
        <f>+FISC!AK786</f>
        <v>0</v>
      </c>
      <c r="JO588" s="323"/>
      <c r="KU588" s="326"/>
      <c r="KV588" s="327"/>
      <c r="KY588" s="279">
        <f>KY590+KY621+KY635</f>
        <v>0</v>
      </c>
      <c r="KZ588" s="279">
        <f>KZ590+KZ621+KZ635</f>
        <v>0</v>
      </c>
      <c r="LA588" s="279">
        <f>LA590+LA621+LA635</f>
        <v>0</v>
      </c>
      <c r="LB588" s="279">
        <f>LB590+LB621+LB635</f>
        <v>0</v>
      </c>
    </row>
    <row r="589" spans="1:314" hidden="1">
      <c r="A589" s="279"/>
      <c r="D589" s="328"/>
      <c r="E589" s="323"/>
      <c r="F589" s="323"/>
      <c r="G589" s="323"/>
      <c r="H589" s="323"/>
      <c r="I589" s="323"/>
      <c r="J589" s="323"/>
      <c r="K589" s="323"/>
      <c r="L589" s="323"/>
      <c r="M589" s="323"/>
      <c r="N589" s="323"/>
      <c r="O589" s="323"/>
      <c r="P589" s="323"/>
      <c r="Q589" s="323"/>
      <c r="R589" s="323"/>
      <c r="S589" s="323"/>
      <c r="T589" s="323"/>
      <c r="U589" s="323"/>
      <c r="V589" s="323"/>
      <c r="W589" s="323"/>
      <c r="X589" s="323"/>
      <c r="Y589" s="323"/>
      <c r="Z589" s="323"/>
      <c r="AA589" s="323"/>
      <c r="AB589" s="323"/>
      <c r="AC589" s="323"/>
      <c r="AD589" s="323"/>
      <c r="AE589" s="323"/>
      <c r="AF589" s="323"/>
      <c r="AG589" s="323"/>
      <c r="AH589" s="323"/>
      <c r="AI589" s="323"/>
      <c r="AJ589" s="323"/>
      <c r="AK589" s="323"/>
      <c r="AL589" s="323"/>
      <c r="AM589" s="323"/>
      <c r="AN589" s="323"/>
      <c r="AO589" s="323"/>
      <c r="AP589" s="323"/>
      <c r="AQ589" s="323"/>
      <c r="AR589" s="323"/>
      <c r="AS589" s="323"/>
      <c r="AT589" s="323"/>
      <c r="AU589" s="323"/>
      <c r="AV589" s="323"/>
      <c r="AW589" s="323"/>
      <c r="AX589" s="323"/>
      <c r="AY589" s="323"/>
      <c r="AZ589" s="323"/>
      <c r="BA589" s="323"/>
      <c r="BB589" s="323"/>
      <c r="BC589" s="323"/>
      <c r="BD589" s="323"/>
      <c r="BE589" s="323"/>
      <c r="BF589" s="323"/>
      <c r="BG589" s="323"/>
      <c r="BH589" s="323"/>
      <c r="BI589" s="323"/>
      <c r="BJ589" s="323"/>
      <c r="BK589" s="323"/>
      <c r="BL589" s="323"/>
      <c r="BM589" s="323"/>
      <c r="BN589" s="323"/>
      <c r="BO589" s="323"/>
      <c r="BP589" s="323"/>
      <c r="BQ589" s="323"/>
      <c r="BR589" s="323"/>
      <c r="BS589" s="323"/>
      <c r="BT589" s="323"/>
      <c r="BU589" s="323"/>
      <c r="BV589" s="323"/>
      <c r="BW589" s="323"/>
      <c r="BX589" s="323"/>
      <c r="BY589" s="323"/>
      <c r="BZ589" s="323"/>
      <c r="CA589" s="323"/>
      <c r="CB589" s="323"/>
      <c r="CC589" s="323"/>
      <c r="CD589" s="323"/>
      <c r="CE589" s="324"/>
      <c r="CF589" s="323"/>
      <c r="CG589" s="323"/>
      <c r="CH589" s="323"/>
      <c r="CI589" s="323"/>
      <c r="CJ589" s="323"/>
      <c r="CK589" s="323"/>
      <c r="CL589" s="323"/>
      <c r="CM589" s="323"/>
      <c r="CN589" s="323"/>
      <c r="CO589" s="323"/>
      <c r="CP589" s="325"/>
      <c r="CQ589" s="323"/>
      <c r="CR589" s="323"/>
      <c r="CS589" s="323"/>
      <c r="CT589" s="323"/>
      <c r="CU589" s="323"/>
      <c r="CV589" s="323"/>
      <c r="CW589" s="323"/>
      <c r="CX589" s="323"/>
      <c r="CY589" s="323"/>
      <c r="CZ589" s="323"/>
      <c r="DA589" s="323"/>
      <c r="DB589" s="1269"/>
      <c r="DC589" s="323"/>
      <c r="DD589" s="323"/>
      <c r="DE589" s="323"/>
      <c r="DF589" s="323"/>
      <c r="DG589" s="323"/>
      <c r="DH589" s="323"/>
      <c r="DI589" s="323"/>
      <c r="DJ589" s="323"/>
      <c r="DK589" s="323"/>
      <c r="DL589" s="323"/>
      <c r="DM589" s="323"/>
      <c r="DN589" s="325"/>
      <c r="DO589" s="323"/>
      <c r="DP589" s="323"/>
      <c r="DQ589" s="323"/>
      <c r="DR589" s="323"/>
      <c r="DS589" s="323"/>
      <c r="DT589" s="323"/>
      <c r="DU589" s="323"/>
      <c r="DV589" s="323"/>
      <c r="DW589" s="323"/>
      <c r="DX589" s="323"/>
      <c r="DY589" s="323"/>
      <c r="DZ589" s="325"/>
      <c r="EA589" s="323"/>
      <c r="EB589" s="323"/>
      <c r="EC589" s="323"/>
      <c r="ED589" s="323"/>
      <c r="EE589" s="323"/>
      <c r="EF589" s="323"/>
      <c r="EG589" s="323"/>
      <c r="EH589" s="323"/>
      <c r="EI589" s="323"/>
      <c r="EJ589" s="323"/>
      <c r="EK589" s="323"/>
      <c r="EL589" s="325"/>
      <c r="EM589" s="323"/>
      <c r="EN589" s="323"/>
      <c r="EO589" s="323"/>
      <c r="EP589" s="323"/>
      <c r="EQ589" s="323"/>
      <c r="ER589" s="323"/>
      <c r="ES589" s="323"/>
      <c r="ET589" s="323"/>
      <c r="EU589" s="323"/>
      <c r="EV589" s="323"/>
      <c r="EW589" s="323"/>
      <c r="EX589" s="325"/>
      <c r="EY589" s="323"/>
      <c r="EZ589" s="323"/>
      <c r="FA589" s="323"/>
      <c r="FB589" s="323"/>
      <c r="FC589" s="323"/>
      <c r="FD589" s="323"/>
      <c r="FE589" s="323"/>
      <c r="FF589" s="323"/>
      <c r="FG589" s="323"/>
      <c r="FH589" s="323"/>
      <c r="FI589" s="323"/>
      <c r="FJ589" s="325"/>
      <c r="FK589" s="323"/>
      <c r="FL589" s="323"/>
      <c r="FM589" s="323"/>
      <c r="FN589" s="323"/>
      <c r="FO589" s="323"/>
      <c r="FP589" s="323"/>
      <c r="FQ589" s="323"/>
      <c r="FR589" s="323"/>
      <c r="FS589" s="323"/>
      <c r="FT589" s="323"/>
      <c r="FU589" s="323"/>
      <c r="FV589" s="323"/>
      <c r="FW589" s="323"/>
      <c r="FX589" s="323"/>
      <c r="FY589" s="323"/>
      <c r="FZ589" s="323"/>
      <c r="GA589" s="323"/>
      <c r="GB589" s="323"/>
      <c r="GC589" s="323"/>
      <c r="GD589" s="323"/>
      <c r="GE589" s="323"/>
      <c r="GF589" s="323"/>
      <c r="GG589" s="323"/>
      <c r="GH589" s="323"/>
      <c r="GI589" s="323"/>
      <c r="GJ589" s="323"/>
      <c r="GK589" s="323"/>
      <c r="GL589" s="323"/>
      <c r="GM589" s="323"/>
      <c r="GN589" s="323"/>
      <c r="GO589" s="323"/>
      <c r="GP589" s="323"/>
      <c r="GQ589" s="323"/>
      <c r="GR589" s="323"/>
      <c r="GS589" s="323"/>
      <c r="GT589" s="323"/>
      <c r="GU589" s="323"/>
      <c r="GV589" s="323"/>
      <c r="GW589" s="323"/>
      <c r="GX589" s="323"/>
      <c r="GY589" s="323"/>
      <c r="GZ589" s="323"/>
      <c r="HA589" s="323"/>
      <c r="HB589" s="323"/>
      <c r="HC589" s="323"/>
      <c r="HD589" s="323"/>
      <c r="HE589" s="323"/>
      <c r="HF589" s="323"/>
      <c r="HG589" s="323"/>
      <c r="HH589" s="323"/>
      <c r="HI589" s="323"/>
      <c r="HJ589" s="323"/>
      <c r="HK589" s="323"/>
      <c r="HL589" s="323"/>
      <c r="HM589" s="323"/>
      <c r="HN589" s="323"/>
      <c r="HO589" s="323"/>
      <c r="HP589" s="323"/>
      <c r="HQ589" s="323"/>
      <c r="HR589" s="323"/>
      <c r="HS589" s="323"/>
      <c r="HT589" s="323"/>
      <c r="HU589" s="323"/>
      <c r="HV589" s="323"/>
      <c r="HW589" s="323"/>
      <c r="HX589" s="323"/>
      <c r="HY589" s="323"/>
      <c r="HZ589" s="326"/>
      <c r="IA589" s="328"/>
      <c r="IB589" s="328"/>
      <c r="IC589" s="328"/>
      <c r="ID589" s="323"/>
      <c r="IG589" s="323"/>
      <c r="IJ589" s="323"/>
      <c r="IM589" s="323"/>
      <c r="IO589" s="327"/>
      <c r="IP589" s="323" t="str">
        <f>FISC!AC787</f>
        <v/>
      </c>
      <c r="IS589" s="323"/>
      <c r="IT589" s="327"/>
      <c r="IU589" s="327"/>
      <c r="IV589" s="323"/>
      <c r="IW589" s="279">
        <f>IY589*JU589</f>
        <v>0</v>
      </c>
      <c r="IX589" s="279">
        <f t="shared" si="291"/>
        <v>0</v>
      </c>
      <c r="IY589" s="323"/>
      <c r="IZ589" s="279">
        <f>JB589*JU589</f>
        <v>0</v>
      </c>
      <c r="JA589" s="279">
        <f t="shared" si="360"/>
        <v>0</v>
      </c>
      <c r="JB589" s="323"/>
      <c r="JC589" s="279">
        <f>JE589*JU589</f>
        <v>0</v>
      </c>
      <c r="JD589" s="279">
        <f t="shared" si="280"/>
        <v>0</v>
      </c>
      <c r="JE589" s="323"/>
      <c r="JF589" s="279">
        <f>JH589*JU589</f>
        <v>0</v>
      </c>
      <c r="JG589" s="279">
        <f t="shared" si="281"/>
        <v>0</v>
      </c>
      <c r="JH589" s="323"/>
      <c r="JI589" s="279">
        <f>JK589*JX589</f>
        <v>0</v>
      </c>
      <c r="JJ589" s="279">
        <f t="shared" si="282"/>
        <v>0</v>
      </c>
      <c r="JK589" s="323"/>
      <c r="JL589" s="279">
        <f>JN589*KA589</f>
        <v>0</v>
      </c>
      <c r="JM589" s="279">
        <f t="shared" si="283"/>
        <v>0</v>
      </c>
      <c r="JN589" s="323"/>
      <c r="JO589" s="323"/>
      <c r="KU589" s="326"/>
      <c r="KV589" s="327"/>
    </row>
    <row r="590" spans="1:314" hidden="1">
      <c r="A590" s="279"/>
      <c r="B590" s="96" t="s">
        <v>338</v>
      </c>
      <c r="D590" s="322" t="str">
        <f>+FISC!D788</f>
        <v>Current expenditure</v>
      </c>
      <c r="E590" s="323">
        <f t="shared" ref="E590:BP590" si="399">E591+E595+E599+E606+E614</f>
        <v>23.049126187904125</v>
      </c>
      <c r="F590" s="323">
        <f t="shared" si="399"/>
        <v>27.275290033720001</v>
      </c>
      <c r="G590" s="323">
        <f t="shared" si="399"/>
        <v>19.999892517032499</v>
      </c>
      <c r="H590" s="323">
        <f t="shared" si="399"/>
        <v>31.891371869128271</v>
      </c>
      <c r="I590" s="323">
        <f t="shared" si="399"/>
        <v>20.123406727898001</v>
      </c>
      <c r="J590" s="323">
        <f t="shared" si="399"/>
        <v>14.928457022725899</v>
      </c>
      <c r="K590" s="323">
        <f t="shared" si="399"/>
        <v>41.172398845326299</v>
      </c>
      <c r="L590" s="323">
        <f t="shared" si="399"/>
        <v>28.417058326849602</v>
      </c>
      <c r="M590" s="323">
        <f t="shared" si="399"/>
        <v>21.096905660884005</v>
      </c>
      <c r="N590" s="323">
        <f t="shared" si="399"/>
        <v>31.08143864274</v>
      </c>
      <c r="O590" s="323">
        <f t="shared" si="399"/>
        <v>40.3587728961</v>
      </c>
      <c r="P590" s="323">
        <f t="shared" si="399"/>
        <v>13.24238293008</v>
      </c>
      <c r="Q590" s="323">
        <f t="shared" si="399"/>
        <v>30.5934780093916</v>
      </c>
      <c r="R590" s="323">
        <f t="shared" si="399"/>
        <v>26.812794099342703</v>
      </c>
      <c r="S590" s="323">
        <f t="shared" si="399"/>
        <v>25.449283516725</v>
      </c>
      <c r="T590" s="323">
        <f t="shared" si="399"/>
        <v>42.512664788264004</v>
      </c>
      <c r="U590" s="323">
        <f t="shared" si="399"/>
        <v>27.189123065655501</v>
      </c>
      <c r="V590" s="323">
        <f t="shared" si="399"/>
        <v>21.386345392392002</v>
      </c>
      <c r="W590" s="323">
        <f t="shared" si="399"/>
        <v>47.767398840349998</v>
      </c>
      <c r="X590" s="323">
        <f t="shared" si="399"/>
        <v>30.550656035408004</v>
      </c>
      <c r="Y590" s="323">
        <f t="shared" si="399"/>
        <v>23.123316767604802</v>
      </c>
      <c r="Z590" s="323">
        <f t="shared" si="399"/>
        <v>55.261770455573398</v>
      </c>
      <c r="AA590" s="323">
        <f t="shared" si="399"/>
        <v>23.605660323789401</v>
      </c>
      <c r="AB590" s="323">
        <f t="shared" si="399"/>
        <v>14.248494073706999</v>
      </c>
      <c r="AC590" s="323">
        <f t="shared" si="399"/>
        <v>39.830018351999996</v>
      </c>
      <c r="AD590" s="323">
        <f t="shared" si="399"/>
        <v>26.946588904000002</v>
      </c>
      <c r="AE590" s="323">
        <f t="shared" si="399"/>
        <v>42.166690292999995</v>
      </c>
      <c r="AF590" s="323">
        <f t="shared" si="399"/>
        <v>46.080097678999998</v>
      </c>
      <c r="AG590" s="323">
        <f t="shared" si="399"/>
        <v>27.68391914</v>
      </c>
      <c r="AH590" s="323">
        <f t="shared" si="399"/>
        <v>24.199724196000002</v>
      </c>
      <c r="AI590" s="323">
        <f t="shared" si="399"/>
        <v>38.809691094999998</v>
      </c>
      <c r="AJ590" s="323">
        <f t="shared" si="399"/>
        <v>35.037253449999994</v>
      </c>
      <c r="AK590" s="323">
        <f t="shared" si="399"/>
        <v>33.525973547</v>
      </c>
      <c r="AL590" s="323">
        <f t="shared" si="399"/>
        <v>51.814672684999998</v>
      </c>
      <c r="AM590" s="323">
        <f t="shared" si="399"/>
        <v>31.345127525999999</v>
      </c>
      <c r="AN590" s="323">
        <f t="shared" si="399"/>
        <v>26.933146282999999</v>
      </c>
      <c r="AO590" s="323">
        <f t="shared" si="399"/>
        <v>51.332787429259994</v>
      </c>
      <c r="AP590" s="323">
        <f t="shared" si="399"/>
        <v>26.07999909806</v>
      </c>
      <c r="AQ590" s="323">
        <f t="shared" si="399"/>
        <v>41.740248412327226</v>
      </c>
      <c r="AR590" s="323">
        <f t="shared" si="399"/>
        <v>43.27045286912</v>
      </c>
      <c r="AS590" s="323">
        <f t="shared" si="399"/>
        <v>48.382281150347993</v>
      </c>
      <c r="AT590" s="323">
        <f t="shared" si="399"/>
        <v>31.764888093065601</v>
      </c>
      <c r="AU590" s="323">
        <f t="shared" si="399"/>
        <v>34.288099717240001</v>
      </c>
      <c r="AV590" s="323">
        <f t="shared" si="399"/>
        <v>50.097461062880001</v>
      </c>
      <c r="AW590" s="323">
        <f t="shared" si="399"/>
        <v>40.327094347550002</v>
      </c>
      <c r="AX590" s="323">
        <f t="shared" si="399"/>
        <v>52.639374650080001</v>
      </c>
      <c r="AY590" s="323">
        <f t="shared" si="399"/>
        <v>43.554295972900796</v>
      </c>
      <c r="AZ590" s="323">
        <f t="shared" si="399"/>
        <v>37.488739377367494</v>
      </c>
      <c r="BA590" s="323">
        <f t="shared" si="399"/>
        <v>56.695010128</v>
      </c>
      <c r="BB590" s="323">
        <f t="shared" si="399"/>
        <v>32.663080004000001</v>
      </c>
      <c r="BC590" s="323">
        <f t="shared" si="399"/>
        <v>32.521742717999999</v>
      </c>
      <c r="BD590" s="323">
        <f t="shared" si="399"/>
        <v>61.918554928000006</v>
      </c>
      <c r="BE590" s="323">
        <f t="shared" si="399"/>
        <v>61.159198818</v>
      </c>
      <c r="BF590" s="323">
        <f t="shared" si="399"/>
        <v>25.041280118</v>
      </c>
      <c r="BG590" s="323">
        <f t="shared" si="399"/>
        <v>41.716657434999995</v>
      </c>
      <c r="BH590" s="323">
        <f t="shared" si="399"/>
        <v>63.464046401000004</v>
      </c>
      <c r="BI590" s="323">
        <f t="shared" si="399"/>
        <v>38.801061231999995</v>
      </c>
      <c r="BJ590" s="323">
        <f t="shared" si="399"/>
        <v>68.23604685382</v>
      </c>
      <c r="BK590" s="323">
        <f t="shared" si="399"/>
        <v>47.743873942000008</v>
      </c>
      <c r="BL590" s="323">
        <f t="shared" si="399"/>
        <v>38.517362037000005</v>
      </c>
      <c r="BM590" s="323">
        <f t="shared" si="399"/>
        <v>62.76197392489</v>
      </c>
      <c r="BN590" s="323">
        <f t="shared" si="399"/>
        <v>44.670436133479996</v>
      </c>
      <c r="BO590" s="323">
        <f t="shared" si="399"/>
        <v>43.792253893999998</v>
      </c>
      <c r="BP590" s="323">
        <f t="shared" si="399"/>
        <v>75.347840000000005</v>
      </c>
      <c r="BQ590" s="323">
        <f t="shared" ref="BQ590:DN590" si="400">BQ591+BQ595+BQ599+BQ606+BQ614</f>
        <v>62.355729423849994</v>
      </c>
      <c r="BR590" s="323">
        <f t="shared" si="400"/>
        <v>27.30003376258</v>
      </c>
      <c r="BS590" s="323">
        <f t="shared" si="400"/>
        <v>60.656699999999994</v>
      </c>
      <c r="BT590" s="323">
        <f t="shared" si="400"/>
        <v>53.924499999999995</v>
      </c>
      <c r="BU590" s="323">
        <f t="shared" si="400"/>
        <v>38.252100000000006</v>
      </c>
      <c r="BV590" s="323">
        <f t="shared" si="400"/>
        <v>79.040957728000009</v>
      </c>
      <c r="BW590" s="323">
        <f t="shared" si="400"/>
        <v>50.433012564999999</v>
      </c>
      <c r="BX590" s="323">
        <f t="shared" si="400"/>
        <v>37.282628350000003</v>
      </c>
      <c r="BY590" s="323">
        <f t="shared" si="400"/>
        <v>59.44014836103436</v>
      </c>
      <c r="BZ590" s="323">
        <f t="shared" si="400"/>
        <v>60.16820487764555</v>
      </c>
      <c r="CA590" s="323">
        <f t="shared" si="400"/>
        <v>43.445561018246877</v>
      </c>
      <c r="CB590" s="323">
        <f t="shared" si="400"/>
        <v>79.086111894783954</v>
      </c>
      <c r="CC590" s="323">
        <f t="shared" si="400"/>
        <v>63.566453566213539</v>
      </c>
      <c r="CD590" s="323">
        <f t="shared" si="400"/>
        <v>33.973535486441499</v>
      </c>
      <c r="CE590" s="324">
        <f t="shared" si="400"/>
        <v>65.89267279420767</v>
      </c>
      <c r="CF590" s="323">
        <f t="shared" si="400"/>
        <v>57.698124104824529</v>
      </c>
      <c r="CG590" s="323">
        <f t="shared" si="400"/>
        <v>49.971496275656513</v>
      </c>
      <c r="CH590" s="323">
        <f t="shared" si="400"/>
        <v>98.422676236375139</v>
      </c>
      <c r="CI590" s="323">
        <f t="shared" si="400"/>
        <v>49.352782366961684</v>
      </c>
      <c r="CJ590" s="323">
        <f t="shared" si="400"/>
        <v>43.202628906906497</v>
      </c>
      <c r="CK590" s="323">
        <f t="shared" si="400"/>
        <v>89.589499932908524</v>
      </c>
      <c r="CL590" s="323">
        <f t="shared" si="400"/>
        <v>55.132372310596182</v>
      </c>
      <c r="CM590" s="323">
        <f t="shared" si="400"/>
        <v>49.958458260097075</v>
      </c>
      <c r="CN590" s="323">
        <f t="shared" si="400"/>
        <v>105.69323725464999</v>
      </c>
      <c r="CO590" s="323">
        <f t="shared" si="400"/>
        <v>72.35638998306149</v>
      </c>
      <c r="CP590" s="325">
        <f t="shared" si="400"/>
        <v>42.576317655317467</v>
      </c>
      <c r="CQ590" s="323">
        <f t="shared" si="400"/>
        <v>84.6445758897041</v>
      </c>
      <c r="CR590" s="323">
        <f t="shared" si="400"/>
        <v>60.559389158457925</v>
      </c>
      <c r="CS590" s="323">
        <f t="shared" si="400"/>
        <v>68.815025306874986</v>
      </c>
      <c r="CT590" s="323">
        <f t="shared" si="400"/>
        <v>86.102977654121617</v>
      </c>
      <c r="CU590" s="323">
        <f t="shared" si="400"/>
        <v>61.145606517232892</v>
      </c>
      <c r="CV590" s="323">
        <f t="shared" si="400"/>
        <v>65.339231641405675</v>
      </c>
      <c r="CW590" s="323">
        <f t="shared" si="400"/>
        <v>79.098195164108489</v>
      </c>
      <c r="CX590" s="323">
        <f t="shared" si="400"/>
        <v>58.352478099715235</v>
      </c>
      <c r="CY590" s="323">
        <f t="shared" si="400"/>
        <v>86.142963752456694</v>
      </c>
      <c r="CZ590" s="323">
        <f t="shared" si="400"/>
        <v>100.77455196925499</v>
      </c>
      <c r="DA590" s="323">
        <f t="shared" si="400"/>
        <v>78.566557604053159</v>
      </c>
      <c r="DB590" s="1269">
        <f t="shared" si="400"/>
        <v>36.16869034069822</v>
      </c>
      <c r="DC590" s="323">
        <f t="shared" si="400"/>
        <v>90.299541103874702</v>
      </c>
      <c r="DD590" s="323">
        <f t="shared" si="400"/>
        <v>64.770293596000002</v>
      </c>
      <c r="DE590" s="323">
        <f t="shared" si="400"/>
        <v>63.539698355399999</v>
      </c>
      <c r="DF590" s="323">
        <f t="shared" si="400"/>
        <v>118.66696784858111</v>
      </c>
      <c r="DG590" s="323">
        <f t="shared" si="400"/>
        <v>66.753478653000002</v>
      </c>
      <c r="DH590" s="323">
        <f t="shared" si="400"/>
        <v>68.00374049700001</v>
      </c>
      <c r="DI590" s="323">
        <f t="shared" si="400"/>
        <v>106.18571900198846</v>
      </c>
      <c r="DJ590" s="323">
        <f t="shared" si="400"/>
        <v>54.857941337869406</v>
      </c>
      <c r="DK590" s="323">
        <f t="shared" si="400"/>
        <v>81.728672669081334</v>
      </c>
      <c r="DL590" s="323">
        <f t="shared" si="400"/>
        <v>104.7810163737818</v>
      </c>
      <c r="DM590" s="323">
        <f t="shared" si="400"/>
        <v>64.938635477458448</v>
      </c>
      <c r="DN590" s="325">
        <f t="shared" si="400"/>
        <v>52.447596811461146</v>
      </c>
      <c r="DO590" s="323">
        <f t="shared" ref="DO590:DT590" si="401">DO591+DO595+DO599+DO606+DO614</f>
        <v>94.189350121126623</v>
      </c>
      <c r="DP590" s="323">
        <f t="shared" si="401"/>
        <v>109.63174863150537</v>
      </c>
      <c r="DQ590" s="323">
        <f t="shared" si="401"/>
        <v>66.574285182477595</v>
      </c>
      <c r="DR590" s="323">
        <f t="shared" si="401"/>
        <v>126.42570926667855</v>
      </c>
      <c r="DS590" s="323">
        <f t="shared" si="401"/>
        <v>77.289427144100856</v>
      </c>
      <c r="DT590" s="323">
        <f t="shared" si="401"/>
        <v>76.312393625084894</v>
      </c>
      <c r="DU590" s="323">
        <f t="shared" ref="DU590:DZ590" si="402">DU591+DU595+DU599+DU606+DU614</f>
        <v>117.72280777697755</v>
      </c>
      <c r="DV590" s="323">
        <f t="shared" si="402"/>
        <v>74.308076798532298</v>
      </c>
      <c r="DW590" s="323">
        <f t="shared" si="402"/>
        <v>65.447324410023555</v>
      </c>
      <c r="DX590" s="323">
        <f t="shared" si="402"/>
        <v>134.19765430378447</v>
      </c>
      <c r="DY590" s="323">
        <f t="shared" si="402"/>
        <v>88.376194413126086</v>
      </c>
      <c r="DZ590" s="325">
        <f t="shared" si="402"/>
        <v>104.55258663266946</v>
      </c>
      <c r="EA590" s="323">
        <f t="shared" ref="EA590:EK590" si="403">EA591+EA595+EA599+EA606+EA614</f>
        <v>128.50705953561484</v>
      </c>
      <c r="EB590" s="323">
        <f t="shared" si="403"/>
        <v>93.31134000410762</v>
      </c>
      <c r="EC590" s="323">
        <f t="shared" si="403"/>
        <v>105.63918444513648</v>
      </c>
      <c r="ED590" s="323">
        <f t="shared" si="403"/>
        <v>125.88552663144944</v>
      </c>
      <c r="EE590" s="323">
        <f t="shared" si="403"/>
        <v>94.30247158778829</v>
      </c>
      <c r="EF590" s="323">
        <f t="shared" si="403"/>
        <v>87.742178803600126</v>
      </c>
      <c r="EG590" s="323">
        <f t="shared" si="403"/>
        <v>89.742119457839593</v>
      </c>
      <c r="EH590" s="323">
        <f t="shared" si="403"/>
        <v>84.076770888538576</v>
      </c>
      <c r="EI590" s="323">
        <f t="shared" si="403"/>
        <v>110.26350992984338</v>
      </c>
      <c r="EJ590" s="323">
        <f t="shared" si="403"/>
        <v>105.77374617110647</v>
      </c>
      <c r="EK590" s="323">
        <f t="shared" si="403"/>
        <v>110.48133591043576</v>
      </c>
      <c r="EL590" s="325">
        <f t="shared" ref="EL590:ER590" si="404">EL591+EL595+EL599+EL606+EL614</f>
        <v>63.985476649862626</v>
      </c>
      <c r="EM590" s="323">
        <f t="shared" si="404"/>
        <v>95.377083666542944</v>
      </c>
      <c r="EN590" s="323">
        <f t="shared" si="404"/>
        <v>118.41943667618474</v>
      </c>
      <c r="EO590" s="323">
        <f t="shared" si="404"/>
        <v>97.657939000260299</v>
      </c>
      <c r="EP590" s="323">
        <f t="shared" si="404"/>
        <v>140.67169559236007</v>
      </c>
      <c r="EQ590" s="323">
        <f t="shared" si="404"/>
        <v>114.20902141866392</v>
      </c>
      <c r="ER590" s="323">
        <f t="shared" si="404"/>
        <v>107.69590807075841</v>
      </c>
      <c r="ES590" s="323">
        <f t="shared" ref="ES590:EX590" si="405">ES591+ES595+ES599+ES606+ES614</f>
        <v>89.455681673513922</v>
      </c>
      <c r="ET590" s="323">
        <f t="shared" si="405"/>
        <v>83.963914865321243</v>
      </c>
      <c r="EU590" s="323">
        <f t="shared" si="405"/>
        <v>142.20660928461487</v>
      </c>
      <c r="EV590" s="323">
        <f t="shared" si="405"/>
        <v>146.35231885812709</v>
      </c>
      <c r="EW590" s="323">
        <f t="shared" si="405"/>
        <v>116.38640748158832</v>
      </c>
      <c r="EX590" s="325">
        <f t="shared" si="405"/>
        <v>91.209074666272826</v>
      </c>
      <c r="EY590" s="323"/>
      <c r="EZ590" s="323"/>
      <c r="FA590" s="323"/>
      <c r="FB590" s="323"/>
      <c r="FC590" s="323"/>
      <c r="FD590" s="323"/>
      <c r="FE590" s="323"/>
      <c r="FF590" s="323"/>
      <c r="FG590" s="323"/>
      <c r="FH590" s="323"/>
      <c r="FI590" s="323"/>
      <c r="FJ590" s="325"/>
      <c r="FK590" s="323"/>
      <c r="FL590" s="323"/>
      <c r="FM590" s="323"/>
      <c r="FN590" s="323"/>
      <c r="FO590" s="323"/>
      <c r="FP590" s="323"/>
      <c r="FQ590" s="323"/>
      <c r="FR590" s="323"/>
      <c r="FS590" s="323"/>
      <c r="FT590" s="323"/>
      <c r="FU590" s="323"/>
      <c r="FV590" s="323"/>
      <c r="FW590" s="323"/>
      <c r="FX590" s="323"/>
      <c r="FY590" s="323"/>
      <c r="FZ590" s="323"/>
      <c r="GA590" s="323"/>
      <c r="GB590" s="323"/>
      <c r="GC590" s="323"/>
      <c r="GD590" s="323"/>
      <c r="GE590" s="323"/>
      <c r="GF590" s="323"/>
      <c r="GG590" s="323"/>
      <c r="GH590" s="323"/>
      <c r="GI590" s="323"/>
      <c r="GJ590" s="323"/>
      <c r="GK590" s="323"/>
      <c r="GL590" s="323"/>
      <c r="GM590" s="323"/>
      <c r="GN590" s="323"/>
      <c r="GO590" s="323"/>
      <c r="GP590" s="323"/>
      <c r="GQ590" s="323"/>
      <c r="GR590" s="323"/>
      <c r="GS590" s="323"/>
      <c r="GT590" s="323"/>
      <c r="GU590" s="323"/>
      <c r="GV590" s="323"/>
      <c r="GW590" s="323"/>
      <c r="GX590" s="323"/>
      <c r="GY590" s="323"/>
      <c r="GZ590" s="323"/>
      <c r="HA590" s="323"/>
      <c r="HB590" s="323"/>
      <c r="HC590" s="323"/>
      <c r="HD590" s="323"/>
      <c r="HE590" s="323"/>
      <c r="HF590" s="323"/>
      <c r="HG590" s="323"/>
      <c r="HH590" s="323"/>
      <c r="HI590" s="323"/>
      <c r="HJ590" s="323"/>
      <c r="HK590" s="323"/>
      <c r="HL590" s="323"/>
      <c r="HM590" s="323"/>
      <c r="HN590" s="323"/>
      <c r="HO590" s="323"/>
      <c r="HP590" s="323"/>
      <c r="HQ590" s="323"/>
      <c r="HR590" s="323"/>
      <c r="HS590" s="323"/>
      <c r="HT590" s="323"/>
      <c r="HU590" s="323"/>
      <c r="HV590" s="323"/>
      <c r="HW590" s="323"/>
      <c r="HX590" s="323"/>
      <c r="HY590" s="323"/>
      <c r="HZ590" s="326"/>
      <c r="IA590" s="322" t="s">
        <v>131</v>
      </c>
      <c r="IB590" s="322"/>
      <c r="IC590" s="322"/>
      <c r="ID590" s="323">
        <f>+FISC!Z788</f>
        <v>834.73</v>
      </c>
      <c r="IE590" s="279">
        <f t="shared" ref="IE590:IL590" si="406">IE591+IE595+IE599+IE606+IE614</f>
        <v>426.60680616779723</v>
      </c>
      <c r="IF590" s="279">
        <f t="shared" si="406"/>
        <v>439.10343693028676</v>
      </c>
      <c r="IG590" s="323">
        <f t="shared" si="406"/>
        <v>865.71024309808399</v>
      </c>
      <c r="IH590" s="607">
        <f t="shared" si="406"/>
        <v>472.03372005385575</v>
      </c>
      <c r="II590" s="607">
        <f t="shared" si="406"/>
        <v>464.93958167164061</v>
      </c>
      <c r="IJ590" s="323">
        <f t="shared" si="406"/>
        <v>936.97330172549641</v>
      </c>
      <c r="IK590" s="607">
        <f t="shared" si="406"/>
        <v>550.42291397097392</v>
      </c>
      <c r="IL590" s="607">
        <f t="shared" si="406"/>
        <v>584.60464433511333</v>
      </c>
      <c r="IM590" s="323">
        <f t="shared" si="309"/>
        <v>1135.0275583060873</v>
      </c>
      <c r="IN590" s="279">
        <f>IN591+IN595+IN599+IN606+IN614</f>
        <v>595.93787275805084</v>
      </c>
      <c r="IO590" s="279">
        <f>IO591+IO595+IO599+IO606+IO614</f>
        <v>581.33939151983975</v>
      </c>
      <c r="IP590" s="323">
        <f>FISC!AC788</f>
        <v>1177.2772642778905</v>
      </c>
      <c r="IQ590" s="279">
        <f>SUM(EM590:ER590)</f>
        <v>674.03108442477037</v>
      </c>
      <c r="IR590" s="279">
        <f>SUM(ES590:EX590)</f>
        <v>669.5740068294383</v>
      </c>
      <c r="IS590" s="323">
        <f t="shared" ref="IS590:IS657" si="407">IQ590+IR590</f>
        <v>1343.6050912542087</v>
      </c>
      <c r="IT590" s="279" t="e">
        <f>(IT591+IT595+IT599+IT606+IT614)*0+748.664830583288</f>
        <v>#REF!</v>
      </c>
      <c r="IU590" s="279" t="e">
        <f>IU591+IU595+IU599+IU606+IU614</f>
        <v>#REF!</v>
      </c>
      <c r="IV590" s="323">
        <f>+FISC!AE788</f>
        <v>1558.3598845633098</v>
      </c>
      <c r="IW590" s="279">
        <f>IW591+IW595+IW599+IW606+IW614</f>
        <v>744.11494741239051</v>
      </c>
      <c r="IX590" s="279">
        <f t="shared" si="291"/>
        <v>925.93334425020237</v>
      </c>
      <c r="IY590" s="323">
        <f>+FISC!AF788</f>
        <v>1670.0482916625929</v>
      </c>
      <c r="IZ590" s="279">
        <f>IZ591+IZ595+IZ599+IZ606+IZ614</f>
        <v>1034.6160644000952</v>
      </c>
      <c r="JA590" s="279">
        <f t="shared" si="360"/>
        <v>1376.0334963369123</v>
      </c>
      <c r="JB590" s="323">
        <f>+FISC!AG788</f>
        <v>2410.6495607370075</v>
      </c>
      <c r="JC590" s="279">
        <f>JC591+JC595+JC599+JC606+JC614</f>
        <v>1350.8443374079077</v>
      </c>
      <c r="JD590" s="279">
        <f t="shared" si="280"/>
        <v>1416.1512368952274</v>
      </c>
      <c r="JE590" s="323">
        <f>+FISC!AH788</f>
        <v>2766.9955743031351</v>
      </c>
      <c r="JF590" s="279">
        <f>JF591+JF595+JF599+JF606+JF614</f>
        <v>1238.1679376136735</v>
      </c>
      <c r="JG590" s="279">
        <f t="shared" si="281"/>
        <v>2092.5621693584367</v>
      </c>
      <c r="JH590" s="323">
        <f>+FISC!AI788</f>
        <v>3330.7301069721102</v>
      </c>
      <c r="JI590" s="279">
        <f>JI591+JI595+JI599+JI606+JI614</f>
        <v>1134.1080394116013</v>
      </c>
      <c r="JJ590" s="279">
        <f t="shared" si="282"/>
        <v>1697.187108992013</v>
      </c>
      <c r="JK590" s="323">
        <f>+FISC!AJ788</f>
        <v>2831.2951484036143</v>
      </c>
      <c r="JL590" s="279">
        <f>JL591+JL595+JL599+JL606+JL614</f>
        <v>123.60819276805377</v>
      </c>
      <c r="JM590" s="279">
        <f t="shared" si="283"/>
        <v>-123.60819276805377</v>
      </c>
      <c r="JN590" s="323">
        <f>+FISC!AK788</f>
        <v>0</v>
      </c>
      <c r="JO590" s="323"/>
      <c r="KU590" s="326"/>
      <c r="KV590" s="327"/>
      <c r="KY590" s="279">
        <f>KY591+KY595+KY599+KY606+KY614</f>
        <v>0</v>
      </c>
      <c r="KZ590" s="279">
        <f>KZ591+KZ595+KZ599+KZ606+KZ614</f>
        <v>0</v>
      </c>
      <c r="LA590" s="279">
        <f>LA591+LA595+LA599+LA606+LA614</f>
        <v>0</v>
      </c>
      <c r="LB590" s="279">
        <f>LB591+LB595+LB599+LB606+LB614</f>
        <v>0</v>
      </c>
    </row>
    <row r="591" spans="1:314" hidden="1">
      <c r="A591" s="279"/>
      <c r="B591" s="96" t="s">
        <v>338</v>
      </c>
      <c r="D591" s="322" t="str">
        <f>+FISC!D789</f>
        <v>Wages and salaries</v>
      </c>
      <c r="E591" s="323">
        <v>6.2484899999999994</v>
      </c>
      <c r="F591" s="323">
        <v>5.72309</v>
      </c>
      <c r="G591" s="323">
        <v>6.6961300000000001</v>
      </c>
      <c r="H591" s="323">
        <v>6.07179</v>
      </c>
      <c r="I591" s="323">
        <v>6.3827499999999997</v>
      </c>
      <c r="J591" s="323">
        <v>6.0388599999999997</v>
      </c>
      <c r="K591" s="323">
        <v>6.8839899999999998</v>
      </c>
      <c r="L591" s="323">
        <v>5.3283999999999994</v>
      </c>
      <c r="M591" s="323">
        <v>5.7440800000000003</v>
      </c>
      <c r="N591" s="323">
        <v>6.1915500000000003</v>
      </c>
      <c r="O591" s="323">
        <v>5.8365200000000002</v>
      </c>
      <c r="P591" s="323">
        <v>6.2152700000000003</v>
      </c>
      <c r="Q591" s="323">
        <v>6.89907</v>
      </c>
      <c r="R591" s="323">
        <v>6.1118800000000011</v>
      </c>
      <c r="S591" s="323">
        <v>6.6240300000000003</v>
      </c>
      <c r="T591" s="323">
        <v>7.1555400000000011</v>
      </c>
      <c r="U591" s="323">
        <v>6.5731899999999985</v>
      </c>
      <c r="V591" s="323">
        <v>6.7067399999999999</v>
      </c>
      <c r="W591" s="323">
        <v>8.3597400000000004</v>
      </c>
      <c r="X591" s="323">
        <v>6.8121499999999999</v>
      </c>
      <c r="Y591" s="323">
        <v>7.1522299999999994</v>
      </c>
      <c r="Z591" s="323">
        <v>9.0993300000000001</v>
      </c>
      <c r="AA591" s="323">
        <v>6.3681800000000006</v>
      </c>
      <c r="AB591" s="323">
        <v>6.3164899999999999</v>
      </c>
      <c r="AC591" s="323">
        <v>9.4264700000000001</v>
      </c>
      <c r="AD591" s="323">
        <v>6.1405799999999999</v>
      </c>
      <c r="AE591" s="323">
        <v>7.35107</v>
      </c>
      <c r="AF591" s="323">
        <v>9.9298899999999986</v>
      </c>
      <c r="AG591" s="323">
        <v>6.8457400000000002</v>
      </c>
      <c r="AH591" s="323">
        <v>7.0570699999999995</v>
      </c>
      <c r="AI591" s="323">
        <v>10.289020000000001</v>
      </c>
      <c r="AJ591" s="323">
        <v>7.6297700000000006</v>
      </c>
      <c r="AK591" s="323">
        <v>7.1329599999999989</v>
      </c>
      <c r="AL591" s="323">
        <v>11.07531</v>
      </c>
      <c r="AM591" s="323">
        <v>7.2418999999999993</v>
      </c>
      <c r="AN591" s="323">
        <v>7.2824999999999998</v>
      </c>
      <c r="AO591" s="323">
        <v>10.797610000000001</v>
      </c>
      <c r="AP591" s="323">
        <v>5.5590600000000006</v>
      </c>
      <c r="AQ591" s="323">
        <v>10.201690000000001</v>
      </c>
      <c r="AR591" s="323">
        <v>11.001030000000002</v>
      </c>
      <c r="AS591" s="323">
        <v>8.2224000000000004</v>
      </c>
      <c r="AT591" s="323">
        <v>10.4077</v>
      </c>
      <c r="AU591" s="323">
        <v>10.117940000000001</v>
      </c>
      <c r="AV591" s="323">
        <v>9.8346</v>
      </c>
      <c r="AW591" s="323">
        <v>8.91662</v>
      </c>
      <c r="AX591" s="323">
        <v>12.67665</v>
      </c>
      <c r="AY591" s="323">
        <v>9.3612900000000003</v>
      </c>
      <c r="AZ591" s="323">
        <v>9.277709999999999</v>
      </c>
      <c r="BA591" s="323">
        <v>12.66601</v>
      </c>
      <c r="BB591" s="323">
        <v>6.5997700000000004</v>
      </c>
      <c r="BC591" s="323">
        <v>9.9224599999999992</v>
      </c>
      <c r="BD591" s="323">
        <v>14.683309999999999</v>
      </c>
      <c r="BE591" s="323">
        <v>10.44257</v>
      </c>
      <c r="BF591" s="323">
        <v>7.3478699999999995</v>
      </c>
      <c r="BG591" s="323">
        <v>12.509899999999998</v>
      </c>
      <c r="BH591" s="323">
        <v>11.53684</v>
      </c>
      <c r="BI591" s="323">
        <v>9.9591900000000013</v>
      </c>
      <c r="BJ591" s="323">
        <v>15.622459999999998</v>
      </c>
      <c r="BK591" s="323">
        <v>9.7316900000000004</v>
      </c>
      <c r="BL591" s="323">
        <v>9.3626900000000006</v>
      </c>
      <c r="BM591" s="323">
        <v>14.39517</v>
      </c>
      <c r="BN591" s="323">
        <v>7.7335000000000003</v>
      </c>
      <c r="BO591" s="323">
        <v>10.747590000000001</v>
      </c>
      <c r="BP591" s="323">
        <v>18.464380000000002</v>
      </c>
      <c r="BQ591" s="323">
        <v>13.489240000000001</v>
      </c>
      <c r="BR591" s="323">
        <v>11.13809</v>
      </c>
      <c r="BS591" s="323">
        <v>13.257299999999999</v>
      </c>
      <c r="BT591" s="323">
        <v>15.1424</v>
      </c>
      <c r="BU591" s="323">
        <v>10.477799999999998</v>
      </c>
      <c r="BV591" s="323">
        <v>19.144608862999998</v>
      </c>
      <c r="BW591" s="323">
        <v>12.38366167</v>
      </c>
      <c r="BX591" s="323">
        <v>12.345760840000001</v>
      </c>
      <c r="BY591" s="323">
        <v>12.281595282</v>
      </c>
      <c r="BZ591" s="323">
        <v>14.947415005</v>
      </c>
      <c r="CA591" s="323">
        <v>14.463020575</v>
      </c>
      <c r="CB591" s="323">
        <v>17.263546629</v>
      </c>
      <c r="CC591" s="323">
        <v>14.468678076</v>
      </c>
      <c r="CD591" s="323">
        <v>12.723720517</v>
      </c>
      <c r="CE591" s="324">
        <f t="shared" ref="CE591:DJ591" si="408">CE247</f>
        <v>16.994601701000001</v>
      </c>
      <c r="CF591" s="323">
        <f t="shared" si="408"/>
        <v>15.296408276999999</v>
      </c>
      <c r="CG591" s="323">
        <f t="shared" si="408"/>
        <v>12.785106967999999</v>
      </c>
      <c r="CH591" s="323">
        <f t="shared" si="408"/>
        <v>21.522832184999999</v>
      </c>
      <c r="CI591" s="323">
        <f t="shared" si="408"/>
        <v>13.74655516</v>
      </c>
      <c r="CJ591" s="323">
        <f t="shared" si="408"/>
        <v>12.527354783</v>
      </c>
      <c r="CK591" s="323">
        <f t="shared" si="408"/>
        <v>17.305775839999999</v>
      </c>
      <c r="CL591" s="323">
        <f t="shared" si="408"/>
        <v>15.261176783</v>
      </c>
      <c r="CM591" s="323">
        <f t="shared" si="408"/>
        <v>14.226565817999999</v>
      </c>
      <c r="CN591" s="323">
        <f t="shared" si="408"/>
        <v>20.575106379000001</v>
      </c>
      <c r="CO591" s="323">
        <f t="shared" si="408"/>
        <v>14.207658584000001</v>
      </c>
      <c r="CP591" s="325">
        <f t="shared" si="408"/>
        <v>13.422926986</v>
      </c>
      <c r="CQ591" s="323">
        <f t="shared" si="408"/>
        <v>24.384377145999999</v>
      </c>
      <c r="CR591" s="323">
        <f t="shared" si="408"/>
        <v>14.475676630000001</v>
      </c>
      <c r="CS591" s="323">
        <f t="shared" si="408"/>
        <v>13.475882387</v>
      </c>
      <c r="CT591" s="323">
        <f t="shared" si="408"/>
        <v>21.792291245000001</v>
      </c>
      <c r="CU591" s="323">
        <f t="shared" si="408"/>
        <v>14.063459443999999</v>
      </c>
      <c r="CV591" s="323">
        <f t="shared" si="408"/>
        <v>13.595746498</v>
      </c>
      <c r="CW591" s="323">
        <f t="shared" si="408"/>
        <v>22.064813458</v>
      </c>
      <c r="CX591" s="323">
        <f t="shared" si="408"/>
        <v>11.475777178</v>
      </c>
      <c r="CY591" s="323">
        <f t="shared" si="408"/>
        <v>18.702557545000001</v>
      </c>
      <c r="CZ591" s="323">
        <f t="shared" si="408"/>
        <v>20.166489068000001</v>
      </c>
      <c r="DA591" s="323">
        <f t="shared" si="408"/>
        <v>15.465617441999999</v>
      </c>
      <c r="DB591" s="1269">
        <f t="shared" si="408"/>
        <v>14.104508206</v>
      </c>
      <c r="DC591" s="323">
        <f t="shared" si="408"/>
        <v>25.760848382999999</v>
      </c>
      <c r="DD591" s="323">
        <f t="shared" si="408"/>
        <v>16.630622875</v>
      </c>
      <c r="DE591" s="323">
        <f t="shared" si="408"/>
        <v>15.729075969</v>
      </c>
      <c r="DF591" s="323">
        <f t="shared" si="408"/>
        <v>25.341055635</v>
      </c>
      <c r="DG591" s="323">
        <f t="shared" si="408"/>
        <v>15.952211698999999</v>
      </c>
      <c r="DH591" s="323">
        <f t="shared" si="408"/>
        <v>15.896342681</v>
      </c>
      <c r="DI591" s="323">
        <f t="shared" si="408"/>
        <v>27.269807771</v>
      </c>
      <c r="DJ591" s="323">
        <f t="shared" si="408"/>
        <v>14.262571819</v>
      </c>
      <c r="DK591" s="323">
        <f t="shared" ref="DK591:EP591" si="409">DK247</f>
        <v>20.399614275000001</v>
      </c>
      <c r="DL591" s="323">
        <f t="shared" si="409"/>
        <v>26.154303194000001</v>
      </c>
      <c r="DM591" s="323">
        <f t="shared" si="409"/>
        <v>17.351693442999998</v>
      </c>
      <c r="DN591" s="325">
        <f t="shared" si="409"/>
        <v>21.587089448</v>
      </c>
      <c r="DO591" s="323">
        <f t="shared" si="409"/>
        <v>30.792339913999999</v>
      </c>
      <c r="DP591" s="323">
        <f t="shared" si="409"/>
        <v>25.930212775000001</v>
      </c>
      <c r="DQ591" s="323">
        <f t="shared" si="409"/>
        <v>17.198660204999999</v>
      </c>
      <c r="DR591" s="323">
        <f t="shared" si="409"/>
        <v>31.218526591</v>
      </c>
      <c r="DS591" s="323">
        <f t="shared" si="409"/>
        <v>22.623937429000001</v>
      </c>
      <c r="DT591" s="323">
        <f t="shared" si="409"/>
        <v>20.321524653000001</v>
      </c>
      <c r="DU591" s="323">
        <f t="shared" si="409"/>
        <v>32.600142276</v>
      </c>
      <c r="DV591" s="323">
        <f t="shared" si="409"/>
        <v>20.681147721999999</v>
      </c>
      <c r="DW591" s="323">
        <f t="shared" si="409"/>
        <v>14.811887330999999</v>
      </c>
      <c r="DX591" s="323">
        <f t="shared" si="409"/>
        <v>36.372824244999997</v>
      </c>
      <c r="DY591" s="323">
        <f t="shared" si="409"/>
        <v>26.777018936000001</v>
      </c>
      <c r="DZ591" s="325">
        <f t="shared" si="409"/>
        <v>38.763488469999999</v>
      </c>
      <c r="EA591" s="323">
        <f t="shared" si="409"/>
        <v>38.763488469999999</v>
      </c>
      <c r="EB591" s="323">
        <f t="shared" si="409"/>
        <v>22.126329033000001</v>
      </c>
      <c r="EC591" s="323">
        <f t="shared" si="409"/>
        <v>23.992127427</v>
      </c>
      <c r="ED591" s="323">
        <f t="shared" si="409"/>
        <v>31.381220567</v>
      </c>
      <c r="EE591" s="323">
        <f t="shared" si="409"/>
        <v>20.59107835</v>
      </c>
      <c r="EF591" s="323">
        <f t="shared" si="409"/>
        <v>22.203756637000001</v>
      </c>
      <c r="EG591" s="323">
        <f t="shared" si="409"/>
        <v>35.831669345000002</v>
      </c>
      <c r="EH591" s="323">
        <f t="shared" si="409"/>
        <v>18.217909506000002</v>
      </c>
      <c r="EI591" s="323">
        <f t="shared" si="409"/>
        <v>29.443757700999999</v>
      </c>
      <c r="EJ591" s="323">
        <f t="shared" si="409"/>
        <v>28.913823983</v>
      </c>
      <c r="EK591" s="323">
        <f t="shared" si="409"/>
        <v>29.702432408</v>
      </c>
      <c r="EL591" s="325">
        <f t="shared" si="409"/>
        <v>23.122873592000001</v>
      </c>
      <c r="EM591" s="323">
        <f t="shared" si="409"/>
        <v>36.880675347</v>
      </c>
      <c r="EN591" s="323">
        <f t="shared" si="409"/>
        <v>23.217829071000001</v>
      </c>
      <c r="EO591" s="323">
        <f t="shared" si="409"/>
        <v>25.954929501999999</v>
      </c>
      <c r="EP591" s="323">
        <f t="shared" si="409"/>
        <v>35.318556829999999</v>
      </c>
      <c r="EQ591" s="323">
        <f t="shared" ref="EQ591:EX591" si="410">EQ247</f>
        <v>23.391870655000002</v>
      </c>
      <c r="ER591" s="323">
        <f t="shared" si="410"/>
        <v>23.821014502000001</v>
      </c>
      <c r="ES591" s="323">
        <f t="shared" si="410"/>
        <v>24.216932529000001</v>
      </c>
      <c r="ET591" s="323">
        <f t="shared" si="410"/>
        <v>30.592745741000002</v>
      </c>
      <c r="EU591" s="323">
        <f t="shared" si="410"/>
        <v>32.861703890999998</v>
      </c>
      <c r="EV591" s="323">
        <f t="shared" si="410"/>
        <v>44.669000662000002</v>
      </c>
      <c r="EW591" s="323">
        <f t="shared" si="410"/>
        <v>40.584315027999999</v>
      </c>
      <c r="EX591" s="325">
        <f t="shared" si="410"/>
        <v>24.641690694000001</v>
      </c>
      <c r="EY591" s="323"/>
      <c r="EZ591" s="323"/>
      <c r="FA591" s="323"/>
      <c r="FB591" s="323"/>
      <c r="FC591" s="323"/>
      <c r="FD591" s="323"/>
      <c r="FE591" s="323"/>
      <c r="FF591" s="323"/>
      <c r="FG591" s="323"/>
      <c r="FH591" s="323"/>
      <c r="FI591" s="323"/>
      <c r="FJ591" s="325"/>
      <c r="FK591" s="323"/>
      <c r="FL591" s="323"/>
      <c r="FM591" s="323"/>
      <c r="FN591" s="323"/>
      <c r="FO591" s="323"/>
      <c r="FP591" s="323"/>
      <c r="FQ591" s="323"/>
      <c r="FR591" s="323"/>
      <c r="FS591" s="323"/>
      <c r="FT591" s="323"/>
      <c r="FU591" s="323"/>
      <c r="FV591" s="323"/>
      <c r="FW591" s="323"/>
      <c r="FX591" s="323"/>
      <c r="FY591" s="323"/>
      <c r="FZ591" s="323"/>
      <c r="GA591" s="323"/>
      <c r="GB591" s="323"/>
      <c r="GC591" s="323"/>
      <c r="GD591" s="323"/>
      <c r="GE591" s="323"/>
      <c r="GF591" s="323"/>
      <c r="GG591" s="323"/>
      <c r="GH591" s="323"/>
      <c r="GI591" s="323"/>
      <c r="GJ591" s="323"/>
      <c r="GK591" s="323"/>
      <c r="GL591" s="323"/>
      <c r="GM591" s="323"/>
      <c r="GN591" s="323"/>
      <c r="GO591" s="323"/>
      <c r="GP591" s="323"/>
      <c r="GQ591" s="323"/>
      <c r="GR591" s="323"/>
      <c r="GS591" s="323"/>
      <c r="GT591" s="323"/>
      <c r="GU591" s="323"/>
      <c r="GV591" s="323"/>
      <c r="GW591" s="323"/>
      <c r="GX591" s="323"/>
      <c r="GY591" s="323"/>
      <c r="GZ591" s="323"/>
      <c r="HA591" s="323"/>
      <c r="HB591" s="323"/>
      <c r="HC591" s="323"/>
      <c r="HD591" s="323"/>
      <c r="HE591" s="323"/>
      <c r="HF591" s="323"/>
      <c r="HG591" s="323"/>
      <c r="HH591" s="323"/>
      <c r="HI591" s="323"/>
      <c r="HJ591" s="323"/>
      <c r="HK591" s="323"/>
      <c r="HL591" s="323"/>
      <c r="HM591" s="323"/>
      <c r="HN591" s="323"/>
      <c r="HO591" s="323"/>
      <c r="HP591" s="323"/>
      <c r="HQ591" s="323"/>
      <c r="HR591" s="323"/>
      <c r="HS591" s="323"/>
      <c r="HT591" s="323"/>
      <c r="HU591" s="323"/>
      <c r="HV591" s="323"/>
      <c r="HW591" s="323"/>
      <c r="HX591" s="323"/>
      <c r="HY591" s="323"/>
      <c r="HZ591" s="326"/>
      <c r="IA591" s="322" t="s">
        <v>80</v>
      </c>
      <c r="IB591" s="322"/>
      <c r="IC591" s="322"/>
      <c r="ID591" s="323">
        <f>+FISC!Z789</f>
        <v>203.9</v>
      </c>
      <c r="IE591" s="279">
        <f t="shared" ref="IE591:IE598" si="411">SUM(CQ591:CV591)</f>
        <v>101.78743335</v>
      </c>
      <c r="IF591" s="279">
        <f t="shared" ref="IF591:IF598" si="412">SUM(CW591:DB591)</f>
        <v>101.979762897</v>
      </c>
      <c r="IG591" s="323">
        <f t="shared" ref="IG591:IG598" si="413">SUM(CQ591:DB591)</f>
        <v>203.76719624699999</v>
      </c>
      <c r="IH591" s="279">
        <f>+SUM(DC591:DH591)</f>
        <v>115.310157242</v>
      </c>
      <c r="II591" s="279">
        <f>+SUM(DI591:DN591)</f>
        <v>127.02507995000001</v>
      </c>
      <c r="IJ591" s="323">
        <f>IH591+II591</f>
        <v>242.33523719200002</v>
      </c>
      <c r="IK591" s="279">
        <f t="shared" ref="IK591:IK596" si="414">+SUM(DO591:DT591)</f>
        <v>148.08520156700001</v>
      </c>
      <c r="IL591" s="279">
        <f t="shared" ref="IL591:IL596" si="415">SUM(DU591:DZ591)</f>
        <v>170.00650897999998</v>
      </c>
      <c r="IM591" s="323">
        <f t="shared" si="309"/>
        <v>318.09171054699999</v>
      </c>
      <c r="IN591" s="279">
        <f>159.058000484</f>
        <v>159.05800048399999</v>
      </c>
      <c r="IO591" s="279">
        <f>IP591-IN591</f>
        <v>165.23246653500001</v>
      </c>
      <c r="IP591" s="323">
        <f>FISC!AC789</f>
        <v>324.290467019</v>
      </c>
      <c r="IQ591" s="279">
        <f>SUM(EM591:ER591)</f>
        <v>168.584875907</v>
      </c>
      <c r="IR591" s="279">
        <f>SUM(ES591:EX591)</f>
        <v>197.566388545</v>
      </c>
      <c r="IS591" s="323">
        <f t="shared" si="407"/>
        <v>366.15126445199996</v>
      </c>
      <c r="IT591" s="327" t="e">
        <f>(IV591/2*0+#REF!)*0+191.649761803</f>
        <v>#REF!</v>
      </c>
      <c r="IU591" s="279" t="e">
        <f>+IV591-IT591</f>
        <v>#REF!</v>
      </c>
      <c r="IV591" s="323">
        <f>+FISC!AE789</f>
        <v>423.32212288353531</v>
      </c>
      <c r="IW591" s="327">
        <f>(IY591/2)*0+240.729598418469</f>
        <v>240.72959841846901</v>
      </c>
      <c r="IX591" s="279">
        <f t="shared" si="291"/>
        <v>250.81681107746843</v>
      </c>
      <c r="IY591" s="323">
        <f>+FISC!AF789</f>
        <v>491.54640949593744</v>
      </c>
      <c r="IZ591" s="327">
        <f>(JB591/2)</f>
        <v>284.14823293731661</v>
      </c>
      <c r="JA591" s="279">
        <f t="shared" si="360"/>
        <v>284.14823293731661</v>
      </c>
      <c r="JB591" s="323">
        <f>+FISC!AG789</f>
        <v>568.29646587463321</v>
      </c>
      <c r="JC591" s="327">
        <f>JE591/2</f>
        <v>305.88670934995304</v>
      </c>
      <c r="JD591" s="279">
        <f t="shared" si="280"/>
        <v>305.88670934995304</v>
      </c>
      <c r="JE591" s="323">
        <f>+FISC!AH789</f>
        <v>611.77341869990607</v>
      </c>
      <c r="JF591" s="327">
        <f>JH591/2</f>
        <v>329.2882661620618</v>
      </c>
      <c r="JG591" s="279">
        <f t="shared" si="281"/>
        <v>329.2882661620618</v>
      </c>
      <c r="JH591" s="323">
        <f>+FISC!AI789</f>
        <v>658.5765323241236</v>
      </c>
      <c r="JI591" s="327">
        <f>JK591/2</f>
        <v>329.2882661620618</v>
      </c>
      <c r="JJ591" s="279">
        <f t="shared" si="282"/>
        <v>329.2882661620618</v>
      </c>
      <c r="JK591" s="323">
        <f>+FISC!AJ789</f>
        <v>658.5765323241236</v>
      </c>
      <c r="JL591" s="327">
        <f>JN591/2</f>
        <v>0</v>
      </c>
      <c r="JM591" s="279">
        <f t="shared" si="283"/>
        <v>0</v>
      </c>
      <c r="JN591" s="323">
        <f>+FISC!AK789</f>
        <v>0</v>
      </c>
      <c r="JO591" s="323"/>
      <c r="KU591" s="326"/>
      <c r="KV591" s="327"/>
    </row>
    <row r="592" spans="1:314" hidden="1">
      <c r="A592" s="279"/>
      <c r="B592" s="96" t="s">
        <v>338</v>
      </c>
      <c r="D592" s="328" t="str">
        <f>+FISC!D790</f>
        <v>Civil</v>
      </c>
      <c r="E592" s="323"/>
      <c r="F592" s="323"/>
      <c r="G592" s="323"/>
      <c r="H592" s="323"/>
      <c r="I592" s="323"/>
      <c r="J592" s="323"/>
      <c r="K592" s="323"/>
      <c r="L592" s="323"/>
      <c r="M592" s="323"/>
      <c r="N592" s="323"/>
      <c r="O592" s="323"/>
      <c r="P592" s="323"/>
      <c r="Q592" s="323">
        <v>5.0955999999999992</v>
      </c>
      <c r="R592" s="323">
        <v>4.180530000000001</v>
      </c>
      <c r="S592" s="323">
        <v>4.7060900000000006</v>
      </c>
      <c r="T592" s="323">
        <v>5.0347700000000009</v>
      </c>
      <c r="U592" s="323">
        <v>4.6315399999999993</v>
      </c>
      <c r="V592" s="323">
        <v>4.9569699999999992</v>
      </c>
      <c r="W592" s="323">
        <v>6.2370400000000004</v>
      </c>
      <c r="X592" s="323">
        <v>4.8950800000000001</v>
      </c>
      <c r="Y592" s="323">
        <v>5.3131799999999991</v>
      </c>
      <c r="Z592" s="323">
        <v>7.3115500000000004</v>
      </c>
      <c r="AA592" s="323">
        <v>4.4512999999999998</v>
      </c>
      <c r="AB592" s="323">
        <v>4.1667899999999998</v>
      </c>
      <c r="AC592" s="323">
        <v>7.1759799999999991</v>
      </c>
      <c r="AD592" s="323">
        <v>3.9657</v>
      </c>
      <c r="AE592" s="323">
        <v>5.2437800000000001</v>
      </c>
      <c r="AF592" s="323">
        <v>7.6198399999999991</v>
      </c>
      <c r="AG592" s="323">
        <v>4.7145400000000004</v>
      </c>
      <c r="AH592" s="323">
        <v>5.0353999999999992</v>
      </c>
      <c r="AI592" s="323">
        <v>7.9111500000000001</v>
      </c>
      <c r="AJ592" s="323">
        <v>5.0521700000000003</v>
      </c>
      <c r="AK592" s="323">
        <v>4.71915</v>
      </c>
      <c r="AL592" s="323">
        <v>8.676029999999999</v>
      </c>
      <c r="AM592" s="323">
        <v>4.9371299999999989</v>
      </c>
      <c r="AN592" s="323">
        <v>4.8094099999999997</v>
      </c>
      <c r="AO592" s="323">
        <v>8.2943800000000003</v>
      </c>
      <c r="AP592" s="323">
        <v>3.14324</v>
      </c>
      <c r="AQ592" s="323">
        <v>7.7636200000000004</v>
      </c>
      <c r="AR592" s="323">
        <v>8.371990000000002</v>
      </c>
      <c r="AS592" s="323">
        <v>5.7496899999999993</v>
      </c>
      <c r="AT592" s="323">
        <v>7.9946400000000013</v>
      </c>
      <c r="AU592" s="323">
        <v>7.8668900000000006</v>
      </c>
      <c r="AV592" s="323">
        <v>7.1366000000000005</v>
      </c>
      <c r="AW592" s="323">
        <v>6.45343</v>
      </c>
      <c r="AX592" s="323">
        <v>9.6809899999999995</v>
      </c>
      <c r="AY592" s="323">
        <v>6.4087000000000005</v>
      </c>
      <c r="AZ592" s="323">
        <v>6.5648399999999993</v>
      </c>
      <c r="BA592" s="323">
        <v>9.92624</v>
      </c>
      <c r="BB592" s="323">
        <v>3.8908600000000004</v>
      </c>
      <c r="BC592" s="323">
        <v>7.2127099999999995</v>
      </c>
      <c r="BD592" s="323">
        <v>11.940160000000001</v>
      </c>
      <c r="BE592" s="323">
        <v>7.8524899999999995</v>
      </c>
      <c r="BF592" s="323">
        <v>6.3033999999999999</v>
      </c>
      <c r="BG592" s="323">
        <v>9.6310999999999982</v>
      </c>
      <c r="BH592" s="323">
        <v>8.9015900000000006</v>
      </c>
      <c r="BI592" s="323">
        <v>6.8863400000000006</v>
      </c>
      <c r="BJ592" s="323">
        <v>12.736259999999998</v>
      </c>
      <c r="BK592" s="323">
        <v>6.8386900000000006</v>
      </c>
      <c r="BL592" s="323">
        <v>6.7274400000000005</v>
      </c>
      <c r="BM592" s="323">
        <v>11.473889999999999</v>
      </c>
      <c r="BN592" s="323">
        <v>4.6231400000000002</v>
      </c>
      <c r="BO592" s="323">
        <v>7.8786000000000005</v>
      </c>
      <c r="BP592" s="323">
        <v>15.544739999999999</v>
      </c>
      <c r="BQ592" s="323">
        <v>10.61974</v>
      </c>
      <c r="BR592" s="323">
        <v>8.2699599999999993</v>
      </c>
      <c r="BS592" s="323">
        <v>10.146000000000001</v>
      </c>
      <c r="BT592" s="323">
        <v>12.316799999999999</v>
      </c>
      <c r="BU592" s="323">
        <v>7.6568000000000005</v>
      </c>
      <c r="BV592" s="323">
        <v>15.785179918000001</v>
      </c>
      <c r="BW592" s="323">
        <v>9.2606795280000007</v>
      </c>
      <c r="BX592" s="323">
        <v>9.2829993900000005</v>
      </c>
      <c r="BY592" s="323">
        <v>8.9419516750000003</v>
      </c>
      <c r="BZ592" s="323">
        <v>11.947622678</v>
      </c>
      <c r="CA592" s="323">
        <v>10.937669944</v>
      </c>
      <c r="CB592" s="323">
        <v>13.921963844</v>
      </c>
      <c r="CC592" s="323">
        <v>11.270642650999999</v>
      </c>
      <c r="CD592" s="323">
        <v>9.5264588870000004</v>
      </c>
      <c r="CE592" s="324">
        <f t="shared" ref="CE592:DJ592" si="416">CE249</f>
        <v>13.936504622999999</v>
      </c>
      <c r="CF592" s="323">
        <f t="shared" si="416"/>
        <v>11.813341575999999</v>
      </c>
      <c r="CG592" s="323">
        <f t="shared" si="416"/>
        <v>9.23477733</v>
      </c>
      <c r="CH592" s="323">
        <f t="shared" si="416"/>
        <v>17.873863229000001</v>
      </c>
      <c r="CI592" s="323">
        <f t="shared" si="416"/>
        <v>9.6100636850000001</v>
      </c>
      <c r="CJ592" s="323">
        <f t="shared" si="416"/>
        <v>9.4909907810000007</v>
      </c>
      <c r="CK592" s="323">
        <f t="shared" si="416"/>
        <v>13.397546634999999</v>
      </c>
      <c r="CL592" s="323">
        <f t="shared" si="416"/>
        <v>11.911543522000001</v>
      </c>
      <c r="CM592" s="323">
        <f t="shared" si="416"/>
        <v>10.876740411</v>
      </c>
      <c r="CN592" s="323">
        <f t="shared" si="416"/>
        <v>16.932152925</v>
      </c>
      <c r="CO592" s="323">
        <f t="shared" si="416"/>
        <v>10.857337901999999</v>
      </c>
      <c r="CP592" s="325">
        <f t="shared" si="416"/>
        <v>10.072632434999999</v>
      </c>
      <c r="CQ592" s="323">
        <f t="shared" si="416"/>
        <v>17.570419360999999</v>
      </c>
      <c r="CR592" s="323">
        <f t="shared" si="416"/>
        <v>10.701985407</v>
      </c>
      <c r="CS592" s="323">
        <f t="shared" si="416"/>
        <v>9.9522088459999996</v>
      </c>
      <c r="CT592" s="323">
        <f t="shared" si="416"/>
        <v>18.051411218999998</v>
      </c>
      <c r="CU592" s="323">
        <f t="shared" si="416"/>
        <v>10.525466689</v>
      </c>
      <c r="CV592" s="323">
        <f t="shared" si="416"/>
        <v>10.323074077999999</v>
      </c>
      <c r="CW592" s="323">
        <f t="shared" si="416"/>
        <v>18.217569438999998</v>
      </c>
      <c r="CX592" s="323">
        <f t="shared" si="416"/>
        <v>8.0281047579999996</v>
      </c>
      <c r="CY592" s="323">
        <f t="shared" si="416"/>
        <v>14.898509686000001</v>
      </c>
      <c r="CZ592" s="323">
        <f t="shared" si="416"/>
        <v>16.408704657000001</v>
      </c>
      <c r="DA592" s="323">
        <f t="shared" si="416"/>
        <v>11.926196975</v>
      </c>
      <c r="DB592" s="1269">
        <f t="shared" si="416"/>
        <v>10.564911716999999</v>
      </c>
      <c r="DC592" s="323">
        <f t="shared" si="416"/>
        <v>0</v>
      </c>
      <c r="DD592" s="323">
        <f t="shared" si="416"/>
        <v>0</v>
      </c>
      <c r="DE592" s="323">
        <f t="shared" si="416"/>
        <v>0</v>
      </c>
      <c r="DF592" s="323">
        <f t="shared" si="416"/>
        <v>0</v>
      </c>
      <c r="DG592" s="323">
        <f t="shared" si="416"/>
        <v>0</v>
      </c>
      <c r="DH592" s="323">
        <f t="shared" si="416"/>
        <v>0</v>
      </c>
      <c r="DI592" s="323">
        <f t="shared" si="416"/>
        <v>0</v>
      </c>
      <c r="DJ592" s="323">
        <f t="shared" si="416"/>
        <v>0</v>
      </c>
      <c r="DK592" s="323">
        <f t="shared" ref="DK592:EP592" si="417">DK249</f>
        <v>0</v>
      </c>
      <c r="DL592" s="323">
        <f t="shared" si="417"/>
        <v>0</v>
      </c>
      <c r="DM592" s="323">
        <f t="shared" si="417"/>
        <v>0</v>
      </c>
      <c r="DN592" s="325">
        <f t="shared" si="417"/>
        <v>0</v>
      </c>
      <c r="DO592" s="323">
        <f t="shared" si="417"/>
        <v>0</v>
      </c>
      <c r="DP592" s="323">
        <f t="shared" si="417"/>
        <v>0</v>
      </c>
      <c r="DQ592" s="323">
        <f t="shared" si="417"/>
        <v>0</v>
      </c>
      <c r="DR592" s="323">
        <f t="shared" si="417"/>
        <v>0</v>
      </c>
      <c r="DS592" s="323">
        <f t="shared" si="417"/>
        <v>0</v>
      </c>
      <c r="DT592" s="323">
        <f t="shared" si="417"/>
        <v>0</v>
      </c>
      <c r="DU592" s="323">
        <f t="shared" si="417"/>
        <v>0</v>
      </c>
      <c r="DV592" s="323">
        <f t="shared" si="417"/>
        <v>0</v>
      </c>
      <c r="DW592" s="323">
        <f t="shared" si="417"/>
        <v>0</v>
      </c>
      <c r="DX592" s="323">
        <f t="shared" si="417"/>
        <v>0</v>
      </c>
      <c r="DY592" s="323">
        <f t="shared" si="417"/>
        <v>0</v>
      </c>
      <c r="DZ592" s="325">
        <f t="shared" si="417"/>
        <v>0</v>
      </c>
      <c r="EA592" s="323">
        <f t="shared" si="417"/>
        <v>0</v>
      </c>
      <c r="EB592" s="323">
        <f t="shared" si="417"/>
        <v>0</v>
      </c>
      <c r="EC592" s="323">
        <f t="shared" si="417"/>
        <v>0</v>
      </c>
      <c r="ED592" s="323">
        <f t="shared" si="417"/>
        <v>0</v>
      </c>
      <c r="EE592" s="323">
        <f t="shared" si="417"/>
        <v>0</v>
      </c>
      <c r="EF592" s="323">
        <f t="shared" si="417"/>
        <v>0</v>
      </c>
      <c r="EG592" s="323">
        <f t="shared" si="417"/>
        <v>0</v>
      </c>
      <c r="EH592" s="323">
        <f t="shared" si="417"/>
        <v>0</v>
      </c>
      <c r="EI592" s="323">
        <f t="shared" si="417"/>
        <v>0</v>
      </c>
      <c r="EJ592" s="323">
        <f t="shared" si="417"/>
        <v>0</v>
      </c>
      <c r="EK592" s="323">
        <f t="shared" si="417"/>
        <v>0</v>
      </c>
      <c r="EL592" s="325">
        <f t="shared" si="417"/>
        <v>0</v>
      </c>
      <c r="EM592" s="323">
        <f t="shared" si="417"/>
        <v>0</v>
      </c>
      <c r="EN592" s="323">
        <f t="shared" si="417"/>
        <v>0</v>
      </c>
      <c r="EO592" s="323">
        <f t="shared" si="417"/>
        <v>0</v>
      </c>
      <c r="EP592" s="323">
        <f t="shared" si="417"/>
        <v>0</v>
      </c>
      <c r="EQ592" s="323">
        <f t="shared" ref="EQ592:EX592" si="418">EQ249</f>
        <v>0</v>
      </c>
      <c r="ER592" s="323">
        <f t="shared" si="418"/>
        <v>0</v>
      </c>
      <c r="ES592" s="323">
        <f t="shared" si="418"/>
        <v>0</v>
      </c>
      <c r="ET592" s="323">
        <f t="shared" si="418"/>
        <v>0</v>
      </c>
      <c r="EU592" s="323">
        <f t="shared" si="418"/>
        <v>0</v>
      </c>
      <c r="EV592" s="323">
        <f t="shared" si="418"/>
        <v>0</v>
      </c>
      <c r="EW592" s="323">
        <f t="shared" si="418"/>
        <v>0</v>
      </c>
      <c r="EX592" s="325">
        <f t="shared" si="418"/>
        <v>0</v>
      </c>
      <c r="EY592" s="323"/>
      <c r="EZ592" s="323"/>
      <c r="FA592" s="323"/>
      <c r="FB592" s="323"/>
      <c r="FC592" s="323"/>
      <c r="FD592" s="323"/>
      <c r="FE592" s="323"/>
      <c r="FF592" s="323"/>
      <c r="FG592" s="323"/>
      <c r="FH592" s="323"/>
      <c r="FI592" s="323"/>
      <c r="FJ592" s="325"/>
      <c r="FK592" s="323"/>
      <c r="FL592" s="323"/>
      <c r="FM592" s="323"/>
      <c r="FN592" s="323"/>
      <c r="FO592" s="323"/>
      <c r="FP592" s="323"/>
      <c r="FQ592" s="323"/>
      <c r="FR592" s="323"/>
      <c r="FS592" s="323"/>
      <c r="FT592" s="323"/>
      <c r="FU592" s="323"/>
      <c r="FV592" s="323"/>
      <c r="FW592" s="323"/>
      <c r="FX592" s="323"/>
      <c r="FY592" s="323"/>
      <c r="FZ592" s="323"/>
      <c r="GA592" s="323"/>
      <c r="GB592" s="323"/>
      <c r="GC592" s="323"/>
      <c r="GD592" s="323"/>
      <c r="GE592" s="323"/>
      <c r="GF592" s="323"/>
      <c r="GG592" s="323"/>
      <c r="GH592" s="323"/>
      <c r="GI592" s="323"/>
      <c r="GJ592" s="323"/>
      <c r="GK592" s="323"/>
      <c r="GL592" s="323"/>
      <c r="GM592" s="323"/>
      <c r="GN592" s="323"/>
      <c r="GO592" s="323"/>
      <c r="GP592" s="323"/>
      <c r="GQ592" s="323"/>
      <c r="GR592" s="323"/>
      <c r="GS592" s="323"/>
      <c r="GT592" s="323"/>
      <c r="GU592" s="323"/>
      <c r="GV592" s="323"/>
      <c r="GW592" s="323"/>
      <c r="GX592" s="323"/>
      <c r="GY592" s="323"/>
      <c r="GZ592" s="323"/>
      <c r="HA592" s="323"/>
      <c r="HB592" s="323"/>
      <c r="HC592" s="323"/>
      <c r="HD592" s="323"/>
      <c r="HE592" s="323"/>
      <c r="HF592" s="323"/>
      <c r="HG592" s="323"/>
      <c r="HH592" s="323"/>
      <c r="HI592" s="323"/>
      <c r="HJ592" s="323"/>
      <c r="HK592" s="323"/>
      <c r="HL592" s="323"/>
      <c r="HM592" s="323"/>
      <c r="HN592" s="323"/>
      <c r="HO592" s="323"/>
      <c r="HP592" s="323"/>
      <c r="HQ592" s="323"/>
      <c r="HR592" s="323"/>
      <c r="HS592" s="323"/>
      <c r="HT592" s="323"/>
      <c r="HU592" s="323"/>
      <c r="HV592" s="323"/>
      <c r="HW592" s="323"/>
      <c r="HX592" s="323"/>
      <c r="HY592" s="323"/>
      <c r="HZ592" s="326"/>
      <c r="IA592" s="328" t="s">
        <v>132</v>
      </c>
      <c r="IB592" s="328"/>
      <c r="IC592" s="328"/>
      <c r="ID592" s="323">
        <f>+FISC!Z790</f>
        <v>77.256823779999991</v>
      </c>
      <c r="IE592" s="279">
        <f t="shared" si="411"/>
        <v>77.124565599999997</v>
      </c>
      <c r="IF592" s="279">
        <f t="shared" si="412"/>
        <v>80.043997231999995</v>
      </c>
      <c r="IG592" s="323">
        <f t="shared" si="413"/>
        <v>157.16856283200002</v>
      </c>
      <c r="IJ592" s="323">
        <v>0</v>
      </c>
      <c r="IK592" s="279">
        <f t="shared" si="414"/>
        <v>0</v>
      </c>
      <c r="IL592" s="279">
        <f t="shared" si="415"/>
        <v>0</v>
      </c>
      <c r="IM592" s="323">
        <f t="shared" si="309"/>
        <v>0</v>
      </c>
      <c r="IO592" s="327"/>
      <c r="IP592" s="323"/>
      <c r="IS592" s="323"/>
      <c r="IT592" s="327"/>
      <c r="IU592" s="327"/>
      <c r="IV592" s="323">
        <f>+FISC!AE790</f>
        <v>0</v>
      </c>
      <c r="IY592" s="323">
        <f>+FISC!AF790</f>
        <v>0</v>
      </c>
      <c r="JB592" s="323">
        <f>+FISC!AG790</f>
        <v>0</v>
      </c>
      <c r="JC592" s="279">
        <f>JE592*JU592</f>
        <v>0</v>
      </c>
      <c r="JD592" s="279">
        <f t="shared" si="280"/>
        <v>0</v>
      </c>
      <c r="JE592" s="323">
        <f>+FISC!AH790</f>
        <v>0</v>
      </c>
      <c r="JF592" s="279">
        <f>JH592*JU592</f>
        <v>0</v>
      </c>
      <c r="JG592" s="279">
        <f t="shared" si="281"/>
        <v>0</v>
      </c>
      <c r="JH592" s="323">
        <f>+FISC!AI790</f>
        <v>0</v>
      </c>
      <c r="JI592" s="279">
        <f>JK592*JX592</f>
        <v>0</v>
      </c>
      <c r="JJ592" s="279">
        <f t="shared" si="282"/>
        <v>0</v>
      </c>
      <c r="JK592" s="323">
        <f>+FISC!AJ790</f>
        <v>0</v>
      </c>
      <c r="JL592" s="279">
        <f>JN592*KA592</f>
        <v>0</v>
      </c>
      <c r="JM592" s="279">
        <f t="shared" si="283"/>
        <v>0</v>
      </c>
      <c r="JN592" s="323">
        <f>+FISC!AK790</f>
        <v>0</v>
      </c>
      <c r="JO592" s="323"/>
      <c r="KU592" s="326"/>
      <c r="KV592" s="327"/>
    </row>
    <row r="593" spans="1:314" hidden="1">
      <c r="A593" s="279"/>
      <c r="B593" s="96" t="s">
        <v>338</v>
      </c>
      <c r="D593" s="328" t="str">
        <f>+FISC!D791</f>
        <v>Contingent</v>
      </c>
      <c r="E593" s="323"/>
      <c r="F593" s="323"/>
      <c r="G593" s="323"/>
      <c r="H593" s="323"/>
      <c r="I593" s="323"/>
      <c r="J593" s="323"/>
      <c r="K593" s="323"/>
      <c r="L593" s="323"/>
      <c r="M593" s="323"/>
      <c r="N593" s="323"/>
      <c r="O593" s="323"/>
      <c r="P593" s="323"/>
      <c r="Q593" s="323"/>
      <c r="R593" s="323"/>
      <c r="S593" s="323"/>
      <c r="T593" s="323"/>
      <c r="U593" s="323"/>
      <c r="V593" s="323"/>
      <c r="W593" s="323"/>
      <c r="X593" s="323"/>
      <c r="Y593" s="323"/>
      <c r="Z593" s="323"/>
      <c r="AA593" s="323"/>
      <c r="AB593" s="323"/>
      <c r="AC593" s="323"/>
      <c r="AD593" s="323"/>
      <c r="AE593" s="323"/>
      <c r="AF593" s="323"/>
      <c r="AG593" s="323"/>
      <c r="AH593" s="323"/>
      <c r="AI593" s="323"/>
      <c r="AJ593" s="323"/>
      <c r="AK593" s="323"/>
      <c r="AL593" s="323"/>
      <c r="AM593" s="323"/>
      <c r="AN593" s="323"/>
      <c r="AO593" s="323"/>
      <c r="AP593" s="323"/>
      <c r="AQ593" s="323"/>
      <c r="AR593" s="323"/>
      <c r="AS593" s="323"/>
      <c r="AT593" s="323"/>
      <c r="AU593" s="323"/>
      <c r="AV593" s="323"/>
      <c r="AW593" s="323"/>
      <c r="AX593" s="323"/>
      <c r="AY593" s="323"/>
      <c r="AZ593" s="323"/>
      <c r="BA593" s="323"/>
      <c r="BB593" s="323"/>
      <c r="BC593" s="323"/>
      <c r="BD593" s="323"/>
      <c r="BE593" s="323"/>
      <c r="BF593" s="323"/>
      <c r="BG593" s="323"/>
      <c r="BH593" s="323"/>
      <c r="BI593" s="323"/>
      <c r="BJ593" s="323"/>
      <c r="BK593" s="323"/>
      <c r="BL593" s="323"/>
      <c r="BM593" s="323"/>
      <c r="BN593" s="323"/>
      <c r="BO593" s="323"/>
      <c r="BP593" s="323"/>
      <c r="BQ593" s="323"/>
      <c r="BR593" s="323"/>
      <c r="BS593" s="323"/>
      <c r="BT593" s="323"/>
      <c r="BU593" s="323"/>
      <c r="BV593" s="323"/>
      <c r="BW593" s="323"/>
      <c r="BX593" s="323"/>
      <c r="BY593" s="323"/>
      <c r="BZ593" s="323"/>
      <c r="CA593" s="323"/>
      <c r="CB593" s="323"/>
      <c r="CC593" s="323"/>
      <c r="CD593" s="323"/>
      <c r="CE593" s="324"/>
      <c r="CF593" s="323"/>
      <c r="CG593" s="323"/>
      <c r="CH593" s="323"/>
      <c r="CI593" s="323"/>
      <c r="CJ593" s="323"/>
      <c r="CK593" s="323"/>
      <c r="CL593" s="323"/>
      <c r="CM593" s="323"/>
      <c r="CN593" s="323"/>
      <c r="CO593" s="323"/>
      <c r="CP593" s="325"/>
      <c r="CQ593" s="323"/>
      <c r="CR593" s="323"/>
      <c r="CS593" s="323"/>
      <c r="CT593" s="323"/>
      <c r="CU593" s="323"/>
      <c r="CV593" s="323"/>
      <c r="CW593" s="323"/>
      <c r="CX593" s="323"/>
      <c r="CY593" s="323"/>
      <c r="CZ593" s="323"/>
      <c r="DA593" s="323"/>
      <c r="DB593" s="1269"/>
      <c r="DC593" s="323"/>
      <c r="DD593" s="323"/>
      <c r="DE593" s="323"/>
      <c r="DF593" s="323"/>
      <c r="DG593" s="323"/>
      <c r="DH593" s="323"/>
      <c r="DI593" s="323"/>
      <c r="DJ593" s="323"/>
      <c r="DK593" s="323"/>
      <c r="DL593" s="323"/>
      <c r="DM593" s="323"/>
      <c r="DN593" s="325"/>
      <c r="DO593" s="323"/>
      <c r="DP593" s="323"/>
      <c r="DQ593" s="323"/>
      <c r="DR593" s="323"/>
      <c r="DS593" s="323"/>
      <c r="DT593" s="323"/>
      <c r="DU593" s="323"/>
      <c r="DV593" s="323"/>
      <c r="DW593" s="323"/>
      <c r="DX593" s="323"/>
      <c r="DY593" s="323"/>
      <c r="DZ593" s="325"/>
      <c r="EA593" s="323"/>
      <c r="EB593" s="323"/>
      <c r="EC593" s="323"/>
      <c r="ED593" s="323"/>
      <c r="EE593" s="323"/>
      <c r="EF593" s="323"/>
      <c r="EG593" s="323"/>
      <c r="EH593" s="323"/>
      <c r="EI593" s="323"/>
      <c r="EJ593" s="323"/>
      <c r="EK593" s="323"/>
      <c r="EL593" s="325"/>
      <c r="EM593" s="323"/>
      <c r="EN593" s="323"/>
      <c r="EO593" s="323"/>
      <c r="EP593" s="323"/>
      <c r="EQ593" s="323"/>
      <c r="ER593" s="323"/>
      <c r="ES593" s="323"/>
      <c r="ET593" s="323"/>
      <c r="EU593" s="323"/>
      <c r="EV593" s="323"/>
      <c r="EW593" s="323"/>
      <c r="EX593" s="325"/>
      <c r="EY593" s="323"/>
      <c r="EZ593" s="323"/>
      <c r="FA593" s="323"/>
      <c r="FB593" s="323"/>
      <c r="FC593" s="323"/>
      <c r="FD593" s="323"/>
      <c r="FE593" s="323"/>
      <c r="FF593" s="323"/>
      <c r="FG593" s="323"/>
      <c r="FH593" s="323"/>
      <c r="FI593" s="323"/>
      <c r="FJ593" s="325"/>
      <c r="FK593" s="323"/>
      <c r="FL593" s="323"/>
      <c r="FM593" s="323"/>
      <c r="FN593" s="323"/>
      <c r="FO593" s="323"/>
      <c r="FP593" s="323"/>
      <c r="FQ593" s="323"/>
      <c r="FR593" s="323"/>
      <c r="FS593" s="323"/>
      <c r="FT593" s="323"/>
      <c r="FU593" s="323"/>
      <c r="FV593" s="323"/>
      <c r="FW593" s="323"/>
      <c r="FX593" s="323"/>
      <c r="FY593" s="323"/>
      <c r="FZ593" s="323"/>
      <c r="GA593" s="323"/>
      <c r="GB593" s="323"/>
      <c r="GC593" s="323"/>
      <c r="GD593" s="323"/>
      <c r="GE593" s="323"/>
      <c r="GF593" s="323"/>
      <c r="GG593" s="323"/>
      <c r="GH593" s="323"/>
      <c r="GI593" s="323"/>
      <c r="GJ593" s="323"/>
      <c r="GK593" s="323"/>
      <c r="GL593" s="323"/>
      <c r="GM593" s="323"/>
      <c r="GN593" s="323"/>
      <c r="GO593" s="323"/>
      <c r="GP593" s="323"/>
      <c r="GQ593" s="323"/>
      <c r="GR593" s="323"/>
      <c r="GS593" s="323"/>
      <c r="GT593" s="323"/>
      <c r="GU593" s="323"/>
      <c r="GV593" s="323"/>
      <c r="GW593" s="323"/>
      <c r="GX593" s="323"/>
      <c r="GY593" s="323"/>
      <c r="GZ593" s="323"/>
      <c r="HA593" s="323"/>
      <c r="HB593" s="323"/>
      <c r="HC593" s="323"/>
      <c r="HD593" s="323"/>
      <c r="HE593" s="323"/>
      <c r="HF593" s="323"/>
      <c r="HG593" s="323"/>
      <c r="HH593" s="323"/>
      <c r="HI593" s="323"/>
      <c r="HJ593" s="323"/>
      <c r="HK593" s="323"/>
      <c r="HL593" s="323"/>
      <c r="HM593" s="323"/>
      <c r="HN593" s="323"/>
      <c r="HO593" s="323"/>
      <c r="HP593" s="323"/>
      <c r="HQ593" s="323"/>
      <c r="HR593" s="323"/>
      <c r="HS593" s="323"/>
      <c r="HT593" s="323"/>
      <c r="HU593" s="323"/>
      <c r="HV593" s="323"/>
      <c r="HW593" s="323"/>
      <c r="HX593" s="323"/>
      <c r="HY593" s="323"/>
      <c r="HZ593" s="326"/>
      <c r="IA593" s="328" t="s">
        <v>118</v>
      </c>
      <c r="IB593" s="328"/>
      <c r="IC593" s="328"/>
      <c r="ID593" s="323">
        <f>+FISC!Z791</f>
        <v>0</v>
      </c>
      <c r="IE593" s="279">
        <f t="shared" si="411"/>
        <v>0</v>
      </c>
      <c r="IF593" s="279">
        <f t="shared" si="412"/>
        <v>0</v>
      </c>
      <c r="IG593" s="323">
        <f t="shared" si="413"/>
        <v>0</v>
      </c>
      <c r="IJ593" s="323">
        <v>0</v>
      </c>
      <c r="IK593" s="279">
        <f t="shared" si="414"/>
        <v>0</v>
      </c>
      <c r="IL593" s="279">
        <f t="shared" si="415"/>
        <v>0</v>
      </c>
      <c r="IM593" s="323">
        <f t="shared" si="309"/>
        <v>0</v>
      </c>
      <c r="IO593" s="327"/>
      <c r="IP593" s="323"/>
      <c r="IS593" s="323"/>
      <c r="IT593" s="327"/>
      <c r="IU593" s="327"/>
      <c r="IV593" s="323">
        <f>+FISC!AE791</f>
        <v>0</v>
      </c>
      <c r="IY593" s="323">
        <f>+FISC!AF791</f>
        <v>0</v>
      </c>
      <c r="JB593" s="323">
        <f>+FISC!AG791</f>
        <v>0</v>
      </c>
      <c r="JC593" s="279">
        <f>JE593*JU593</f>
        <v>0</v>
      </c>
      <c r="JD593" s="279">
        <f t="shared" si="280"/>
        <v>0</v>
      </c>
      <c r="JE593" s="323">
        <f>+FISC!AH791</f>
        <v>0</v>
      </c>
      <c r="JF593" s="279">
        <f>JH593*JU593</f>
        <v>0</v>
      </c>
      <c r="JG593" s="279">
        <f t="shared" si="281"/>
        <v>0</v>
      </c>
      <c r="JH593" s="323">
        <f>+FISC!AI791</f>
        <v>0</v>
      </c>
      <c r="JI593" s="279">
        <f>JK593*JX593</f>
        <v>0</v>
      </c>
      <c r="JJ593" s="279">
        <f t="shared" si="282"/>
        <v>0</v>
      </c>
      <c r="JK593" s="323">
        <f>+FISC!AJ791</f>
        <v>0</v>
      </c>
      <c r="JL593" s="279">
        <f>JN593*KA593</f>
        <v>0</v>
      </c>
      <c r="JM593" s="279">
        <f t="shared" si="283"/>
        <v>0</v>
      </c>
      <c r="JN593" s="323">
        <f>+FISC!AK791</f>
        <v>0</v>
      </c>
      <c r="JO593" s="323"/>
      <c r="KU593" s="326"/>
      <c r="KV593" s="327"/>
    </row>
    <row r="594" spans="1:314" hidden="1">
      <c r="A594" s="279"/>
      <c r="B594" s="96" t="s">
        <v>338</v>
      </c>
      <c r="D594" s="328" t="str">
        <f>+FISC!D792</f>
        <v>Defense</v>
      </c>
      <c r="E594" s="323"/>
      <c r="F594" s="323"/>
      <c r="G594" s="323"/>
      <c r="H594" s="323"/>
      <c r="I594" s="323"/>
      <c r="J594" s="323"/>
      <c r="K594" s="323"/>
      <c r="L594" s="323"/>
      <c r="M594" s="323"/>
      <c r="N594" s="323"/>
      <c r="O594" s="323"/>
      <c r="P594" s="323"/>
      <c r="Q594" s="323">
        <v>1.8034700000000001</v>
      </c>
      <c r="R594" s="323">
        <v>1.9313499999999999</v>
      </c>
      <c r="S594" s="323">
        <v>1.91794</v>
      </c>
      <c r="T594" s="323">
        <v>2.1207699999999998</v>
      </c>
      <c r="U594" s="323">
        <v>1.9416500000000001</v>
      </c>
      <c r="V594" s="323">
        <v>1.74977</v>
      </c>
      <c r="W594" s="323">
        <v>2.1227</v>
      </c>
      <c r="X594" s="323">
        <v>1.9170699999999998</v>
      </c>
      <c r="Y594" s="323">
        <v>1.8390499999999999</v>
      </c>
      <c r="Z594" s="323">
        <v>1.7877799999999999</v>
      </c>
      <c r="AA594" s="323">
        <v>1.9168800000000001</v>
      </c>
      <c r="AB594" s="323">
        <v>2.1496999999999997</v>
      </c>
      <c r="AC594" s="323">
        <v>2.2504899999999997</v>
      </c>
      <c r="AD594" s="323">
        <v>2.1748799999999999</v>
      </c>
      <c r="AE594" s="323">
        <v>2.1072899999999999</v>
      </c>
      <c r="AF594" s="323">
        <v>2.3100500000000004</v>
      </c>
      <c r="AG594" s="323">
        <v>2.1311999999999998</v>
      </c>
      <c r="AH594" s="323">
        <v>2.0216699999999999</v>
      </c>
      <c r="AI594" s="323">
        <v>2.3778699999999997</v>
      </c>
      <c r="AJ594" s="323">
        <v>2.5775999999999999</v>
      </c>
      <c r="AK594" s="323">
        <v>2.4138099999999998</v>
      </c>
      <c r="AL594" s="323">
        <v>2.3992800000000001</v>
      </c>
      <c r="AM594" s="323">
        <v>2.30477</v>
      </c>
      <c r="AN594" s="323">
        <v>2.47309</v>
      </c>
      <c r="AO594" s="323">
        <v>2.5032299999999998</v>
      </c>
      <c r="AP594" s="323">
        <v>2.4158200000000001</v>
      </c>
      <c r="AQ594" s="323">
        <v>2.4380700000000002</v>
      </c>
      <c r="AR594" s="323">
        <v>2.6290399999999998</v>
      </c>
      <c r="AS594" s="323">
        <v>2.4727100000000002</v>
      </c>
      <c r="AT594" s="323">
        <v>2.4130599999999998</v>
      </c>
      <c r="AU594" s="323">
        <v>2.2510500000000002</v>
      </c>
      <c r="AV594" s="323">
        <v>2.698</v>
      </c>
      <c r="AW594" s="323">
        <v>2.46319</v>
      </c>
      <c r="AX594" s="323">
        <v>2.99566</v>
      </c>
      <c r="AY594" s="323">
        <v>2.9525900000000003</v>
      </c>
      <c r="AZ594" s="323">
        <v>2.7128699999999997</v>
      </c>
      <c r="BA594" s="323">
        <v>2.73977</v>
      </c>
      <c r="BB594" s="323">
        <v>2.7089099999999999</v>
      </c>
      <c r="BC594" s="323">
        <v>2.7097500000000001</v>
      </c>
      <c r="BD594" s="323">
        <v>2.74315</v>
      </c>
      <c r="BE594" s="323">
        <v>2.5900799999999999</v>
      </c>
      <c r="BF594" s="323">
        <v>1.04447</v>
      </c>
      <c r="BG594" s="323">
        <v>2.8788</v>
      </c>
      <c r="BH594" s="323">
        <v>2.6352500000000001</v>
      </c>
      <c r="BI594" s="323">
        <v>3.0728499999999999</v>
      </c>
      <c r="BJ594" s="323">
        <v>2.8861999999999997</v>
      </c>
      <c r="BK594" s="323">
        <v>2.8929999999999998</v>
      </c>
      <c r="BL594" s="323">
        <v>2.6352500000000001</v>
      </c>
      <c r="BM594" s="323">
        <v>2.9212800000000003</v>
      </c>
      <c r="BN594" s="323">
        <v>3.11036</v>
      </c>
      <c r="BO594" s="323">
        <v>2.8689899999999997</v>
      </c>
      <c r="BP594" s="323">
        <v>2.9196399999999998</v>
      </c>
      <c r="BQ594" s="323">
        <v>2.8694999999999999</v>
      </c>
      <c r="BR594" s="323">
        <v>2.8681300000000003</v>
      </c>
      <c r="BS594" s="323">
        <v>3.1113000000000004</v>
      </c>
      <c r="BT594" s="323">
        <v>2.8256000000000001</v>
      </c>
      <c r="BU594" s="323">
        <v>2.8210000000000002</v>
      </c>
      <c r="BV594" s="323">
        <v>3.3594289449999999</v>
      </c>
      <c r="BW594" s="323">
        <v>3.1229821420000001</v>
      </c>
      <c r="BX594" s="323">
        <v>3.06276145</v>
      </c>
      <c r="BY594" s="323">
        <v>3.3396436070000002</v>
      </c>
      <c r="BZ594" s="323">
        <v>2.9997923270000002</v>
      </c>
      <c r="CA594" s="323">
        <v>3.5253506309999998</v>
      </c>
      <c r="CB594" s="323">
        <v>3.3415827849999999</v>
      </c>
      <c r="CC594" s="323">
        <v>3.198035425</v>
      </c>
      <c r="CD594" s="323">
        <v>3.1972616299999999</v>
      </c>
      <c r="CE594" s="324">
        <f t="shared" ref="CE594:DJ594" si="419">CE248</f>
        <v>3.0580970779999999</v>
      </c>
      <c r="CF594" s="323">
        <f t="shared" si="419"/>
        <v>3.4830667009999998</v>
      </c>
      <c r="CG594" s="323">
        <f t="shared" si="419"/>
        <v>3.550329638</v>
      </c>
      <c r="CH594" s="323">
        <f t="shared" si="419"/>
        <v>3.648968956</v>
      </c>
      <c r="CI594" s="323">
        <f t="shared" si="419"/>
        <v>4.1364914749999997</v>
      </c>
      <c r="CJ594" s="323">
        <f t="shared" si="419"/>
        <v>3.036364002</v>
      </c>
      <c r="CK594" s="323">
        <f t="shared" si="419"/>
        <v>3.908229205</v>
      </c>
      <c r="CL594" s="323">
        <f t="shared" si="419"/>
        <v>3.3496332610000001</v>
      </c>
      <c r="CM594" s="323">
        <f t="shared" si="419"/>
        <v>3.349825407</v>
      </c>
      <c r="CN594" s="323">
        <f t="shared" si="419"/>
        <v>3.6429534540000001</v>
      </c>
      <c r="CO594" s="323">
        <f t="shared" si="419"/>
        <v>3.350320682</v>
      </c>
      <c r="CP594" s="325">
        <f t="shared" si="419"/>
        <v>3.3502945510000002</v>
      </c>
      <c r="CQ594" s="323">
        <f t="shared" si="419"/>
        <v>6.8139577850000004</v>
      </c>
      <c r="CR594" s="323">
        <f t="shared" si="419"/>
        <v>3.7736912230000002</v>
      </c>
      <c r="CS594" s="323">
        <f t="shared" si="419"/>
        <v>3.523673541</v>
      </c>
      <c r="CT594" s="323">
        <f t="shared" si="419"/>
        <v>3.7408800260000001</v>
      </c>
      <c r="CU594" s="323">
        <f t="shared" si="419"/>
        <v>3.5379927549999999</v>
      </c>
      <c r="CV594" s="323">
        <f t="shared" si="419"/>
        <v>3.2726724200000001</v>
      </c>
      <c r="CW594" s="323">
        <f t="shared" si="419"/>
        <v>3.8472440190000001</v>
      </c>
      <c r="CX594" s="323">
        <f t="shared" si="419"/>
        <v>3.44767242</v>
      </c>
      <c r="CY594" s="323">
        <f t="shared" si="419"/>
        <v>3.8040478590000002</v>
      </c>
      <c r="CZ594" s="323">
        <f t="shared" si="419"/>
        <v>3.7577844109999998</v>
      </c>
      <c r="DA594" s="323">
        <f t="shared" si="419"/>
        <v>3.5394204669999998</v>
      </c>
      <c r="DB594" s="1269">
        <f t="shared" si="419"/>
        <v>3.539596489</v>
      </c>
      <c r="DC594" s="323">
        <f t="shared" si="419"/>
        <v>0</v>
      </c>
      <c r="DD594" s="323">
        <f t="shared" si="419"/>
        <v>0</v>
      </c>
      <c r="DE594" s="323">
        <f t="shared" si="419"/>
        <v>0</v>
      </c>
      <c r="DF594" s="323">
        <f t="shared" si="419"/>
        <v>0</v>
      </c>
      <c r="DG594" s="323">
        <f t="shared" si="419"/>
        <v>0</v>
      </c>
      <c r="DH594" s="323">
        <f t="shared" si="419"/>
        <v>0</v>
      </c>
      <c r="DI594" s="323">
        <f t="shared" si="419"/>
        <v>0</v>
      </c>
      <c r="DJ594" s="323">
        <f t="shared" si="419"/>
        <v>0</v>
      </c>
      <c r="DK594" s="323">
        <f t="shared" ref="DK594:EP594" si="420">DK248</f>
        <v>0</v>
      </c>
      <c r="DL594" s="323">
        <f t="shared" si="420"/>
        <v>0</v>
      </c>
      <c r="DM594" s="323">
        <f t="shared" si="420"/>
        <v>0</v>
      </c>
      <c r="DN594" s="325">
        <f t="shared" si="420"/>
        <v>0</v>
      </c>
      <c r="DO594" s="323">
        <f t="shared" si="420"/>
        <v>0</v>
      </c>
      <c r="DP594" s="323">
        <f t="shared" si="420"/>
        <v>0</v>
      </c>
      <c r="DQ594" s="323">
        <f t="shared" si="420"/>
        <v>0</v>
      </c>
      <c r="DR594" s="323">
        <f t="shared" si="420"/>
        <v>0</v>
      </c>
      <c r="DS594" s="323">
        <f t="shared" si="420"/>
        <v>0</v>
      </c>
      <c r="DT594" s="323">
        <f t="shared" si="420"/>
        <v>0</v>
      </c>
      <c r="DU594" s="323">
        <f t="shared" si="420"/>
        <v>0</v>
      </c>
      <c r="DV594" s="323">
        <f t="shared" si="420"/>
        <v>0</v>
      </c>
      <c r="DW594" s="323">
        <f t="shared" si="420"/>
        <v>0</v>
      </c>
      <c r="DX594" s="323">
        <f t="shared" si="420"/>
        <v>0</v>
      </c>
      <c r="DY594" s="323">
        <f t="shared" si="420"/>
        <v>0</v>
      </c>
      <c r="DZ594" s="325">
        <f t="shared" si="420"/>
        <v>0</v>
      </c>
      <c r="EA594" s="323">
        <f t="shared" si="420"/>
        <v>0</v>
      </c>
      <c r="EB594" s="323">
        <f t="shared" si="420"/>
        <v>0</v>
      </c>
      <c r="EC594" s="323">
        <f t="shared" si="420"/>
        <v>0</v>
      </c>
      <c r="ED594" s="323">
        <f t="shared" si="420"/>
        <v>0</v>
      </c>
      <c r="EE594" s="323">
        <f t="shared" si="420"/>
        <v>0</v>
      </c>
      <c r="EF594" s="323">
        <f t="shared" si="420"/>
        <v>0</v>
      </c>
      <c r="EG594" s="323">
        <f t="shared" si="420"/>
        <v>0</v>
      </c>
      <c r="EH594" s="323">
        <f t="shared" si="420"/>
        <v>0</v>
      </c>
      <c r="EI594" s="323">
        <f t="shared" si="420"/>
        <v>0</v>
      </c>
      <c r="EJ594" s="323">
        <f t="shared" si="420"/>
        <v>0</v>
      </c>
      <c r="EK594" s="323">
        <f t="shared" si="420"/>
        <v>0</v>
      </c>
      <c r="EL594" s="325">
        <f t="shared" si="420"/>
        <v>0</v>
      </c>
      <c r="EM594" s="323">
        <f t="shared" si="420"/>
        <v>0</v>
      </c>
      <c r="EN594" s="323">
        <f t="shared" si="420"/>
        <v>0</v>
      </c>
      <c r="EO594" s="323">
        <f t="shared" si="420"/>
        <v>0</v>
      </c>
      <c r="EP594" s="323">
        <f t="shared" si="420"/>
        <v>0</v>
      </c>
      <c r="EQ594" s="323">
        <f t="shared" ref="EQ594:EX594" si="421">EQ248</f>
        <v>0</v>
      </c>
      <c r="ER594" s="323">
        <f t="shared" si="421"/>
        <v>0</v>
      </c>
      <c r="ES594" s="323">
        <f t="shared" si="421"/>
        <v>0</v>
      </c>
      <c r="ET594" s="323">
        <f t="shared" si="421"/>
        <v>0</v>
      </c>
      <c r="EU594" s="323">
        <f t="shared" si="421"/>
        <v>0</v>
      </c>
      <c r="EV594" s="323">
        <f t="shared" si="421"/>
        <v>0</v>
      </c>
      <c r="EW594" s="323">
        <f t="shared" si="421"/>
        <v>0</v>
      </c>
      <c r="EX594" s="325">
        <f t="shared" si="421"/>
        <v>0</v>
      </c>
      <c r="EY594" s="323"/>
      <c r="EZ594" s="323"/>
      <c r="FA594" s="323"/>
      <c r="FB594" s="323"/>
      <c r="FC594" s="323"/>
      <c r="FD594" s="323"/>
      <c r="FE594" s="323"/>
      <c r="FF594" s="323"/>
      <c r="FG594" s="323"/>
      <c r="FH594" s="323"/>
      <c r="FI594" s="323"/>
      <c r="FJ594" s="325"/>
      <c r="FK594" s="323"/>
      <c r="FL594" s="323"/>
      <c r="FM594" s="323"/>
      <c r="FN594" s="323"/>
      <c r="FO594" s="323"/>
      <c r="FP594" s="323"/>
      <c r="FQ594" s="323"/>
      <c r="FR594" s="323"/>
      <c r="FS594" s="323"/>
      <c r="FT594" s="323"/>
      <c r="FU594" s="323"/>
      <c r="FV594" s="323"/>
      <c r="FW594" s="323"/>
      <c r="FX594" s="323"/>
      <c r="FY594" s="323"/>
      <c r="FZ594" s="323"/>
      <c r="GA594" s="323"/>
      <c r="GB594" s="323"/>
      <c r="GC594" s="323"/>
      <c r="GD594" s="323"/>
      <c r="GE594" s="323"/>
      <c r="GF594" s="323"/>
      <c r="GG594" s="323"/>
      <c r="GH594" s="323"/>
      <c r="GI594" s="323"/>
      <c r="GJ594" s="323"/>
      <c r="GK594" s="323"/>
      <c r="GL594" s="323"/>
      <c r="GM594" s="323"/>
      <c r="GN594" s="323"/>
      <c r="GO594" s="323"/>
      <c r="GP594" s="323"/>
      <c r="GQ594" s="323"/>
      <c r="GR594" s="323"/>
      <c r="GS594" s="323"/>
      <c r="GT594" s="323"/>
      <c r="GU594" s="323"/>
      <c r="GV594" s="323"/>
      <c r="GW594" s="323"/>
      <c r="GX594" s="323"/>
      <c r="GY594" s="323"/>
      <c r="GZ594" s="323"/>
      <c r="HA594" s="323"/>
      <c r="HB594" s="323"/>
      <c r="HC594" s="323"/>
      <c r="HD594" s="323"/>
      <c r="HE594" s="323"/>
      <c r="HF594" s="323"/>
      <c r="HG594" s="323"/>
      <c r="HH594" s="323"/>
      <c r="HI594" s="323"/>
      <c r="HJ594" s="323"/>
      <c r="HK594" s="323"/>
      <c r="HL594" s="323"/>
      <c r="HM594" s="323"/>
      <c r="HN594" s="323"/>
      <c r="HO594" s="323"/>
      <c r="HP594" s="323"/>
      <c r="HQ594" s="323"/>
      <c r="HR594" s="323"/>
      <c r="HS594" s="323"/>
      <c r="HT594" s="323"/>
      <c r="HU594" s="323"/>
      <c r="HV594" s="323"/>
      <c r="HW594" s="323"/>
      <c r="HX594" s="323"/>
      <c r="HY594" s="323"/>
      <c r="HZ594" s="326"/>
      <c r="IA594" s="328" t="s">
        <v>133</v>
      </c>
      <c r="IB594" s="328"/>
      <c r="IC594" s="328"/>
      <c r="ID594" s="323">
        <f>+FISC!Z792</f>
        <v>24.66286775</v>
      </c>
      <c r="IE594" s="279">
        <f t="shared" si="411"/>
        <v>24.66286775</v>
      </c>
      <c r="IF594" s="279">
        <f t="shared" si="412"/>
        <v>21.935765665000002</v>
      </c>
      <c r="IG594" s="323">
        <f t="shared" si="413"/>
        <v>46.598633415000002</v>
      </c>
      <c r="IJ594" s="323">
        <v>0</v>
      </c>
      <c r="IK594" s="279">
        <f t="shared" si="414"/>
        <v>0</v>
      </c>
      <c r="IL594" s="279">
        <f t="shared" si="415"/>
        <v>0</v>
      </c>
      <c r="IM594" s="323">
        <f t="shared" si="309"/>
        <v>0</v>
      </c>
      <c r="IO594" s="327"/>
      <c r="IP594" s="323"/>
      <c r="IS594" s="323"/>
      <c r="IT594" s="327"/>
      <c r="IU594" s="327"/>
      <c r="IV594" s="323">
        <f>+FISC!AE792</f>
        <v>0</v>
      </c>
      <c r="IY594" s="323">
        <f>+FISC!AF792</f>
        <v>0</v>
      </c>
      <c r="JB594" s="323">
        <f>+FISC!AG792</f>
        <v>0</v>
      </c>
      <c r="JC594" s="279">
        <f>JE594*JU594</f>
        <v>0</v>
      </c>
      <c r="JD594" s="279">
        <f t="shared" si="280"/>
        <v>0</v>
      </c>
      <c r="JE594" s="323">
        <f>+FISC!AH792</f>
        <v>0</v>
      </c>
      <c r="JF594" s="279">
        <f>JH594*JU594</f>
        <v>0</v>
      </c>
      <c r="JG594" s="279">
        <f t="shared" si="281"/>
        <v>0</v>
      </c>
      <c r="JH594" s="323">
        <f>+FISC!AI792</f>
        <v>0</v>
      </c>
      <c r="JI594" s="279">
        <f>JK594*JX594</f>
        <v>0</v>
      </c>
      <c r="JJ594" s="279">
        <f t="shared" si="282"/>
        <v>0</v>
      </c>
      <c r="JK594" s="323">
        <f>+FISC!AJ792</f>
        <v>0</v>
      </c>
      <c r="JL594" s="279">
        <f>JN594*KA594</f>
        <v>0</v>
      </c>
      <c r="JM594" s="279">
        <f t="shared" si="283"/>
        <v>0</v>
      </c>
      <c r="JN594" s="323">
        <f>+FISC!AK792</f>
        <v>0</v>
      </c>
      <c r="JO594" s="323"/>
      <c r="KU594" s="326"/>
      <c r="KV594" s="327"/>
    </row>
    <row r="595" spans="1:314" hidden="1">
      <c r="A595" s="279"/>
      <c r="B595" s="96" t="s">
        <v>338</v>
      </c>
      <c r="D595" s="322" t="str">
        <f>+FISC!D793</f>
        <v>Purchases of goods and services</v>
      </c>
      <c r="E595" s="323">
        <v>5.6357299999999997</v>
      </c>
      <c r="F595" s="323">
        <v>7.29861</v>
      </c>
      <c r="G595" s="323">
        <v>4.0281000000000002</v>
      </c>
      <c r="H595" s="323">
        <v>7.35867</v>
      </c>
      <c r="I595" s="323">
        <v>3.9830900000000002</v>
      </c>
      <c r="J595" s="323">
        <v>2.4160500000000003</v>
      </c>
      <c r="K595" s="323">
        <v>10.281829999999999</v>
      </c>
      <c r="L595" s="323">
        <v>6.2792599999999998</v>
      </c>
      <c r="M595" s="323">
        <v>5.4855700000000001</v>
      </c>
      <c r="N595" s="323">
        <v>5.4785300000000001</v>
      </c>
      <c r="O595" s="323">
        <v>16.68282</v>
      </c>
      <c r="P595" s="323">
        <v>2.5840000000000001</v>
      </c>
      <c r="Q595" s="323">
        <v>6.1954899999999995</v>
      </c>
      <c r="R595" s="323">
        <v>5.7633900000000002</v>
      </c>
      <c r="S595" s="323">
        <v>5.7297799999999999</v>
      </c>
      <c r="T595" s="323">
        <v>7.7635500000000013</v>
      </c>
      <c r="U595" s="323">
        <v>5.2256999999999998</v>
      </c>
      <c r="V595" s="323">
        <v>4.4461499999999994</v>
      </c>
      <c r="W595" s="323">
        <v>11.737629999999998</v>
      </c>
      <c r="X595" s="323">
        <v>4.6911199999999997</v>
      </c>
      <c r="Y595" s="323">
        <v>5.3663699999999999</v>
      </c>
      <c r="Z595" s="323">
        <v>14.14696</v>
      </c>
      <c r="AA595" s="323">
        <v>6.8656199999999998</v>
      </c>
      <c r="AB595" s="323">
        <v>2.3950900000000002</v>
      </c>
      <c r="AC595" s="323">
        <v>11.639849999999999</v>
      </c>
      <c r="AD595" s="323">
        <v>7.2937399999999997</v>
      </c>
      <c r="AE595" s="323">
        <v>8.51633</v>
      </c>
      <c r="AF595" s="323">
        <v>11.4025</v>
      </c>
      <c r="AG595" s="323">
        <v>9.9958399999999994</v>
      </c>
      <c r="AH595" s="323">
        <v>9.8377599999999994</v>
      </c>
      <c r="AI595" s="323">
        <v>9.0902000000000012</v>
      </c>
      <c r="AJ595" s="323">
        <v>8.8153100000000002</v>
      </c>
      <c r="AK595" s="323">
        <v>4.5741400000000008</v>
      </c>
      <c r="AL595" s="323">
        <v>9.3064400000000003</v>
      </c>
      <c r="AM595" s="323">
        <v>8.2408999999999999</v>
      </c>
      <c r="AN595" s="323">
        <v>6.0934900000000001</v>
      </c>
      <c r="AO595" s="323">
        <v>10.967409999999999</v>
      </c>
      <c r="AP595" s="323">
        <v>7.2308899999999996</v>
      </c>
      <c r="AQ595" s="323">
        <v>12.15211</v>
      </c>
      <c r="AR595" s="323">
        <v>9.3626100000000001</v>
      </c>
      <c r="AS595" s="323">
        <v>16.880669999999999</v>
      </c>
      <c r="AT595" s="323">
        <v>4.4855200000000002</v>
      </c>
      <c r="AU595" s="323">
        <v>5.7478500000000006</v>
      </c>
      <c r="AV595" s="323">
        <v>10.29313</v>
      </c>
      <c r="AW595" s="323">
        <v>8.5791599999999999</v>
      </c>
      <c r="AX595" s="323">
        <v>13.0532</v>
      </c>
      <c r="AY595" s="323">
        <v>11.61861</v>
      </c>
      <c r="AZ595" s="323">
        <v>8.2889799999999987</v>
      </c>
      <c r="BA595" s="323">
        <v>10.8988</v>
      </c>
      <c r="BB595" s="323">
        <v>8.1732899999999997</v>
      </c>
      <c r="BC595" s="323">
        <v>6.3601599999999996</v>
      </c>
      <c r="BD595" s="323">
        <v>17.488209999999999</v>
      </c>
      <c r="BE595" s="323">
        <v>18.1113</v>
      </c>
      <c r="BF595" s="323">
        <v>6.6344399999999997</v>
      </c>
      <c r="BG595" s="323">
        <v>8.7004999999999999</v>
      </c>
      <c r="BH595" s="323">
        <v>15.98391</v>
      </c>
      <c r="BI595" s="323">
        <v>10.69234</v>
      </c>
      <c r="BJ595" s="323">
        <v>16.578340000000001</v>
      </c>
      <c r="BK595" s="323">
        <v>9.3813700000000004</v>
      </c>
      <c r="BL595" s="323">
        <v>7.8756599999999999</v>
      </c>
      <c r="BM595" s="323">
        <v>13.461139999999999</v>
      </c>
      <c r="BN595" s="323">
        <v>10.60441</v>
      </c>
      <c r="BO595" s="323">
        <v>8.1162600000000005</v>
      </c>
      <c r="BP595" s="323">
        <v>20.40185</v>
      </c>
      <c r="BQ595" s="323">
        <v>21.77994</v>
      </c>
      <c r="BR595" s="323">
        <v>8.4724799999999991</v>
      </c>
      <c r="BS595" s="323">
        <v>12.441599999999999</v>
      </c>
      <c r="BT595" s="323">
        <v>8.3486000000000011</v>
      </c>
      <c r="BU595" s="323">
        <v>5.9755000000000003</v>
      </c>
      <c r="BV595" s="323">
        <v>17.443907538000001</v>
      </c>
      <c r="BW595" s="323">
        <v>10.159151058000001</v>
      </c>
      <c r="BX595" s="323">
        <v>6.9713928459999996</v>
      </c>
      <c r="BY595" s="323">
        <v>13.47067966</v>
      </c>
      <c r="BZ595" s="323">
        <v>15.015137985000001</v>
      </c>
      <c r="CA595" s="323">
        <v>9.8163805380000007</v>
      </c>
      <c r="CB595" s="323">
        <v>15.291779931000001</v>
      </c>
      <c r="CC595" s="323">
        <v>18.609652870000001</v>
      </c>
      <c r="CD595" s="323">
        <v>11.053052539999999</v>
      </c>
      <c r="CE595" s="324">
        <f t="shared" ref="CE595:DJ595" si="422">CE250</f>
        <v>11.973839774</v>
      </c>
      <c r="CF595" s="323">
        <f t="shared" si="422"/>
        <v>8.460472008</v>
      </c>
      <c r="CG595" s="323">
        <f t="shared" si="422"/>
        <v>10.756931573999999</v>
      </c>
      <c r="CH595" s="323">
        <f t="shared" si="422"/>
        <v>15.969647987</v>
      </c>
      <c r="CI595" s="323">
        <f t="shared" si="422"/>
        <v>9.6369806679999996</v>
      </c>
      <c r="CJ595" s="323">
        <f t="shared" si="422"/>
        <v>7.5783808190000004</v>
      </c>
      <c r="CK595" s="323">
        <f t="shared" si="422"/>
        <v>18.50854756</v>
      </c>
      <c r="CL595" s="323">
        <f t="shared" si="422"/>
        <v>9.8280426120000008</v>
      </c>
      <c r="CM595" s="323">
        <f t="shared" si="422"/>
        <v>10.716758257</v>
      </c>
      <c r="CN595" s="323">
        <f t="shared" si="422"/>
        <v>16.706219817000001</v>
      </c>
      <c r="CO595" s="323">
        <f t="shared" si="422"/>
        <v>15.358612858000001</v>
      </c>
      <c r="CP595" s="325">
        <f t="shared" si="422"/>
        <v>7.0216506660000002</v>
      </c>
      <c r="CQ595" s="323">
        <f t="shared" si="422"/>
        <v>16.388526584000001</v>
      </c>
      <c r="CR595" s="323">
        <f t="shared" si="422"/>
        <v>13.251808939</v>
      </c>
      <c r="CS595" s="323">
        <f t="shared" si="422"/>
        <v>14.393685036999999</v>
      </c>
      <c r="CT595" s="323">
        <f t="shared" si="422"/>
        <v>18.078245930000001</v>
      </c>
      <c r="CU595" s="323">
        <f t="shared" si="422"/>
        <v>13.379108058</v>
      </c>
      <c r="CV595" s="323">
        <f t="shared" si="422"/>
        <v>24.687432243</v>
      </c>
      <c r="CW595" s="323">
        <f t="shared" si="422"/>
        <v>23.120048399000002</v>
      </c>
      <c r="CX595" s="323">
        <f t="shared" si="422"/>
        <v>11.707696149</v>
      </c>
      <c r="CY595" s="323">
        <f t="shared" si="422"/>
        <v>20.064160621999999</v>
      </c>
      <c r="CZ595" s="323">
        <f t="shared" si="422"/>
        <v>13.566068809000001</v>
      </c>
      <c r="DA595" s="323">
        <f t="shared" si="422"/>
        <v>15.207758555</v>
      </c>
      <c r="DB595" s="1269">
        <f t="shared" si="422"/>
        <v>6.012899032</v>
      </c>
      <c r="DC595" s="323">
        <f t="shared" si="422"/>
        <v>15.315699127</v>
      </c>
      <c r="DD595" s="323">
        <f t="shared" si="422"/>
        <v>19.601054483999999</v>
      </c>
      <c r="DE595" s="323">
        <f t="shared" si="422"/>
        <v>12.228546647</v>
      </c>
      <c r="DF595" s="323">
        <f t="shared" si="422"/>
        <v>23.176438959999999</v>
      </c>
      <c r="DG595" s="323">
        <f t="shared" si="422"/>
        <v>11.650523166999999</v>
      </c>
      <c r="DH595" s="323">
        <f t="shared" si="422"/>
        <v>17.726570696</v>
      </c>
      <c r="DI595" s="323">
        <f t="shared" si="422"/>
        <v>19.911141094000001</v>
      </c>
      <c r="DJ595" s="323">
        <f t="shared" si="422"/>
        <v>10.867269656</v>
      </c>
      <c r="DK595" s="323">
        <f t="shared" ref="DK595:EP595" si="423">DK250</f>
        <v>16.740908356999999</v>
      </c>
      <c r="DL595" s="323">
        <f t="shared" si="423"/>
        <v>12.706009720999999</v>
      </c>
      <c r="DM595" s="323">
        <f t="shared" si="423"/>
        <v>12.952371539</v>
      </c>
      <c r="DN595" s="325">
        <f t="shared" si="423"/>
        <v>7.7448793619999998</v>
      </c>
      <c r="DO595" s="323">
        <f t="shared" si="423"/>
        <v>19.603173823999999</v>
      </c>
      <c r="DP595" s="323">
        <f t="shared" si="423"/>
        <v>23.254240544000002</v>
      </c>
      <c r="DQ595" s="323">
        <f t="shared" si="423"/>
        <v>12.083861908999999</v>
      </c>
      <c r="DR595" s="323">
        <f t="shared" si="423"/>
        <v>25.767375555000001</v>
      </c>
      <c r="DS595" s="323">
        <f t="shared" si="423"/>
        <v>9.8346446059999995</v>
      </c>
      <c r="DT595" s="323">
        <f t="shared" si="423"/>
        <v>8.6299415439999994</v>
      </c>
      <c r="DU595" s="323">
        <f t="shared" si="423"/>
        <v>25.084539389</v>
      </c>
      <c r="DV595" s="323">
        <f t="shared" si="423"/>
        <v>12.670331827</v>
      </c>
      <c r="DW595" s="323">
        <f t="shared" si="423"/>
        <v>11.810988330000001</v>
      </c>
      <c r="DX595" s="323">
        <f t="shared" si="423"/>
        <v>21.695334284000001</v>
      </c>
      <c r="DY595" s="323">
        <f t="shared" si="423"/>
        <v>18.773221575000001</v>
      </c>
      <c r="DZ595" s="325">
        <f t="shared" si="423"/>
        <v>29.944219717999999</v>
      </c>
      <c r="EA595" s="323">
        <f t="shared" si="423"/>
        <v>29.944219717999999</v>
      </c>
      <c r="EB595" s="323">
        <f t="shared" si="423"/>
        <v>16.777167303999999</v>
      </c>
      <c r="EC595" s="323">
        <f t="shared" si="423"/>
        <v>20.330724265000001</v>
      </c>
      <c r="ED595" s="323">
        <f t="shared" si="423"/>
        <v>15.904849377</v>
      </c>
      <c r="EE595" s="323">
        <f t="shared" si="423"/>
        <v>17.680046376</v>
      </c>
      <c r="EF595" s="323">
        <f t="shared" si="423"/>
        <v>17.112941378999999</v>
      </c>
      <c r="EG595" s="323">
        <f t="shared" si="423"/>
        <v>15.585146095000001</v>
      </c>
      <c r="EH595" s="323">
        <f t="shared" si="423"/>
        <v>13.420272141</v>
      </c>
      <c r="EI595" s="323">
        <f t="shared" si="423"/>
        <v>18.415957964</v>
      </c>
      <c r="EJ595" s="323">
        <f t="shared" si="423"/>
        <v>24.476168367</v>
      </c>
      <c r="EK595" s="323">
        <f t="shared" si="423"/>
        <v>21.665859222000002</v>
      </c>
      <c r="EL595" s="325">
        <f t="shared" si="423"/>
        <v>4.9673091940000003</v>
      </c>
      <c r="EM595" s="323">
        <f t="shared" si="423"/>
        <v>28.141431067999999</v>
      </c>
      <c r="EN595" s="323">
        <f t="shared" si="423"/>
        <v>15.436150675</v>
      </c>
      <c r="EO595" s="323">
        <f t="shared" si="423"/>
        <v>16.633843982999998</v>
      </c>
      <c r="EP595" s="323">
        <f t="shared" si="423"/>
        <v>20.538649782</v>
      </c>
      <c r="EQ595" s="323">
        <f t="shared" ref="EQ595:EX595" si="424">EQ250</f>
        <v>21.425074646999999</v>
      </c>
      <c r="ER595" s="323">
        <f t="shared" si="424"/>
        <v>16.093008045000001</v>
      </c>
      <c r="ES595" s="323">
        <f t="shared" si="424"/>
        <v>20.661565843000002</v>
      </c>
      <c r="ET595" s="323">
        <f t="shared" si="424"/>
        <v>13.080870481</v>
      </c>
      <c r="EU595" s="323">
        <f t="shared" si="424"/>
        <v>23.831020044999999</v>
      </c>
      <c r="EV595" s="323">
        <f t="shared" si="424"/>
        <v>19.384197674999999</v>
      </c>
      <c r="EW595" s="323">
        <f t="shared" si="424"/>
        <v>24.3705575</v>
      </c>
      <c r="EX595" s="325">
        <f t="shared" si="424"/>
        <v>10.255814616</v>
      </c>
      <c r="EY595" s="323"/>
      <c r="EZ595" s="323"/>
      <c r="FA595" s="323"/>
      <c r="FB595" s="323"/>
      <c r="FC595" s="323"/>
      <c r="FD595" s="323"/>
      <c r="FE595" s="323"/>
      <c r="FF595" s="323"/>
      <c r="FG595" s="323"/>
      <c r="FH595" s="323"/>
      <c r="FI595" s="323"/>
      <c r="FJ595" s="325"/>
      <c r="FK595" s="323"/>
      <c r="FL595" s="323"/>
      <c r="FM595" s="323"/>
      <c r="FN595" s="323"/>
      <c r="FO595" s="323"/>
      <c r="FP595" s="323"/>
      <c r="FQ595" s="323"/>
      <c r="FR595" s="323"/>
      <c r="FS595" s="323"/>
      <c r="FT595" s="323"/>
      <c r="FU595" s="323"/>
      <c r="FV595" s="323"/>
      <c r="FW595" s="323"/>
      <c r="FX595" s="323"/>
      <c r="FY595" s="323"/>
      <c r="FZ595" s="323"/>
      <c r="GA595" s="323"/>
      <c r="GB595" s="323"/>
      <c r="GC595" s="323"/>
      <c r="GD595" s="323"/>
      <c r="GE595" s="323"/>
      <c r="GF595" s="323"/>
      <c r="GG595" s="323"/>
      <c r="GH595" s="323"/>
      <c r="GI595" s="323"/>
      <c r="GJ595" s="323"/>
      <c r="GK595" s="323"/>
      <c r="GL595" s="323"/>
      <c r="GM595" s="323"/>
      <c r="GN595" s="323"/>
      <c r="GO595" s="323"/>
      <c r="GP595" s="323"/>
      <c r="GQ595" s="323"/>
      <c r="GR595" s="323"/>
      <c r="GS595" s="323"/>
      <c r="GT595" s="323"/>
      <c r="GU595" s="323"/>
      <c r="GV595" s="323"/>
      <c r="GW595" s="323"/>
      <c r="GX595" s="323"/>
      <c r="GY595" s="323"/>
      <c r="GZ595" s="323"/>
      <c r="HA595" s="323"/>
      <c r="HB595" s="323"/>
      <c r="HC595" s="323"/>
      <c r="HD595" s="323"/>
      <c r="HE595" s="323"/>
      <c r="HF595" s="323"/>
      <c r="HG595" s="323"/>
      <c r="HH595" s="323"/>
      <c r="HI595" s="323"/>
      <c r="HJ595" s="323"/>
      <c r="HK595" s="323"/>
      <c r="HL595" s="323"/>
      <c r="HM595" s="323"/>
      <c r="HN595" s="323"/>
      <c r="HO595" s="323"/>
      <c r="HP595" s="323"/>
      <c r="HQ595" s="323"/>
      <c r="HR595" s="323"/>
      <c r="HS595" s="323"/>
      <c r="HT595" s="323"/>
      <c r="HU595" s="323"/>
      <c r="HV595" s="323"/>
      <c r="HW595" s="323"/>
      <c r="HX595" s="323"/>
      <c r="HY595" s="323"/>
      <c r="HZ595" s="326"/>
      <c r="IA595" s="322" t="s">
        <v>81</v>
      </c>
      <c r="IB595" s="322"/>
      <c r="IC595" s="322"/>
      <c r="ID595" s="323">
        <f>+FISC!Z793</f>
        <v>159.5</v>
      </c>
      <c r="IE595" s="279">
        <f t="shared" si="411"/>
        <v>100.17880679100001</v>
      </c>
      <c r="IF595" s="279">
        <f t="shared" si="412"/>
        <v>89.678631566000007</v>
      </c>
      <c r="IG595" s="323">
        <f t="shared" si="413"/>
        <v>189.85743835700001</v>
      </c>
      <c r="IH595" s="279">
        <f>+SUM(DC595:DH595)</f>
        <v>99.698833081000004</v>
      </c>
      <c r="II595" s="279">
        <f>+SUM(DI595:DN595)</f>
        <v>80.922579729000006</v>
      </c>
      <c r="IJ595" s="323">
        <f>IH595+II595</f>
        <v>180.62141281000001</v>
      </c>
      <c r="IK595" s="279">
        <f t="shared" si="414"/>
        <v>99.173237982000003</v>
      </c>
      <c r="IL595" s="279">
        <f t="shared" si="415"/>
        <v>119.978635123</v>
      </c>
      <c r="IM595" s="323">
        <f t="shared" si="309"/>
        <v>219.15187310499999</v>
      </c>
      <c r="IN595" s="279">
        <f>117.749948419</f>
        <v>117.74994841900001</v>
      </c>
      <c r="IO595" s="279">
        <f>IP595-IN595</f>
        <v>98.530712982999987</v>
      </c>
      <c r="IP595" s="323">
        <f>FISC!AC793</f>
        <v>216.28066140199999</v>
      </c>
      <c r="IQ595" s="279">
        <f>SUM(EM595:ER595)</f>
        <v>118.2681582</v>
      </c>
      <c r="IR595" s="279">
        <f>SUM(ES595:EX595)</f>
        <v>111.58402615999999</v>
      </c>
      <c r="IS595" s="323">
        <f t="shared" si="407"/>
        <v>229.85218436</v>
      </c>
      <c r="IT595" s="327" t="e">
        <f>((IV595/2)*0+#REF!)*0+143.812382955</f>
        <v>#REF!</v>
      </c>
      <c r="IU595" s="279" t="e">
        <f>+IV595-IT595</f>
        <v>#REF!</v>
      </c>
      <c r="IV595" s="323">
        <f>+FISC!AE793</f>
        <v>328.54582443162445</v>
      </c>
      <c r="IW595" s="327">
        <f>(IY595/2)*0+144.092511932764</f>
        <v>144.09251193276401</v>
      </c>
      <c r="IX595" s="279">
        <f t="shared" si="291"/>
        <v>199.05003043293294</v>
      </c>
      <c r="IY595" s="323">
        <f>+FISC!AF793</f>
        <v>343.14254236569695</v>
      </c>
      <c r="IZ595" s="327">
        <f>(JB595*0.49)</f>
        <v>340.52074247123073</v>
      </c>
      <c r="JA595" s="279">
        <f t="shared" si="360"/>
        <v>354.41954828638302</v>
      </c>
      <c r="JB595" s="323">
        <f>+FISC!AG793</f>
        <v>694.94029075761375</v>
      </c>
      <c r="JC595" s="327">
        <f>JE595*0.49</f>
        <v>399.68092451689358</v>
      </c>
      <c r="JD595" s="279">
        <f t="shared" si="280"/>
        <v>415.99443164003208</v>
      </c>
      <c r="JE595" s="323">
        <f>+FISC!AH793</f>
        <v>815.67535615692566</v>
      </c>
      <c r="JF595" s="327">
        <f>JH595*0.3</f>
        <v>316.65791173443063</v>
      </c>
      <c r="JG595" s="279">
        <f t="shared" si="281"/>
        <v>738.86846071367154</v>
      </c>
      <c r="JH595" s="323">
        <f>+FISC!AI793</f>
        <v>1055.5263724481022</v>
      </c>
      <c r="JI595" s="327">
        <f>JK595*0.35</f>
        <v>369.43423035683571</v>
      </c>
      <c r="JJ595" s="279">
        <f t="shared" si="282"/>
        <v>686.0921420912664</v>
      </c>
      <c r="JK595" s="323">
        <f>+FISC!AJ793</f>
        <v>1055.5263724481022</v>
      </c>
      <c r="JL595" s="327">
        <f>JN595*0.35</f>
        <v>0</v>
      </c>
      <c r="JM595" s="279">
        <f t="shared" si="283"/>
        <v>0</v>
      </c>
      <c r="JN595" s="323">
        <f>+FISC!AK793</f>
        <v>0</v>
      </c>
      <c r="JO595" s="323"/>
      <c r="KU595" s="326"/>
      <c r="KV595" s="327"/>
      <c r="KW595" s="279">
        <v>117.75778365815847</v>
      </c>
    </row>
    <row r="596" spans="1:314" hidden="1">
      <c r="A596" s="279"/>
      <c r="B596" s="96" t="s">
        <v>338</v>
      </c>
      <c r="D596" s="328" t="str">
        <f>+FISC!D794</f>
        <v>Civil</v>
      </c>
      <c r="E596" s="323"/>
      <c r="F596" s="323"/>
      <c r="G596" s="323"/>
      <c r="H596" s="323"/>
      <c r="I596" s="323"/>
      <c r="J596" s="323"/>
      <c r="K596" s="323"/>
      <c r="L596" s="323"/>
      <c r="M596" s="323"/>
      <c r="N596" s="323"/>
      <c r="O596" s="323"/>
      <c r="P596" s="323"/>
      <c r="Q596" s="323">
        <v>5.0955999999999992</v>
      </c>
      <c r="R596" s="323">
        <v>4.180530000000001</v>
      </c>
      <c r="S596" s="323">
        <v>4.7060900000000006</v>
      </c>
      <c r="T596" s="323">
        <v>5.0347700000000009</v>
      </c>
      <c r="U596" s="323">
        <v>4.6315399999999993</v>
      </c>
      <c r="V596" s="323">
        <v>4.9569699999999992</v>
      </c>
      <c r="W596" s="323">
        <v>6.2370400000000004</v>
      </c>
      <c r="X596" s="323">
        <v>4.8950800000000001</v>
      </c>
      <c r="Y596" s="323">
        <v>5.3131799999999991</v>
      </c>
      <c r="Z596" s="323">
        <v>7.3115500000000004</v>
      </c>
      <c r="AA596" s="323">
        <v>4.4512999999999998</v>
      </c>
      <c r="AB596" s="323">
        <v>4.1667899999999998</v>
      </c>
      <c r="AC596" s="323">
        <v>8.5027299999999997</v>
      </c>
      <c r="AD596" s="323">
        <v>4.50509</v>
      </c>
      <c r="AE596" s="323">
        <v>5.3710499999999994</v>
      </c>
      <c r="AF596" s="323">
        <v>8.1655599999999993</v>
      </c>
      <c r="AG596" s="323">
        <v>9.875</v>
      </c>
      <c r="AH596" s="323">
        <v>9.7331000000000003</v>
      </c>
      <c r="AI596" s="323">
        <v>7.4682200000000014</v>
      </c>
      <c r="AJ596" s="323">
        <v>7.9169900000000002</v>
      </c>
      <c r="AK596" s="323">
        <v>3.9094400000000005</v>
      </c>
      <c r="AL596" s="323">
        <v>7.66059</v>
      </c>
      <c r="AM596" s="323">
        <v>7.6080800000000002</v>
      </c>
      <c r="AN596" s="323">
        <v>5.7248299999999999</v>
      </c>
      <c r="AO596" s="323">
        <v>9.49681</v>
      </c>
      <c r="AP596" s="323">
        <v>6.7534099999999997</v>
      </c>
      <c r="AQ596" s="323">
        <v>11.52481</v>
      </c>
      <c r="AR596" s="323">
        <v>8.1194199999999999</v>
      </c>
      <c r="AS596" s="323">
        <v>14.619609999999998</v>
      </c>
      <c r="AT596" s="323">
        <v>4.361320000000001</v>
      </c>
      <c r="AU596" s="323">
        <v>4.5089500000000005</v>
      </c>
      <c r="AV596" s="323">
        <v>9.1996999999999982</v>
      </c>
      <c r="AW596" s="323">
        <v>7.9746699999999997</v>
      </c>
      <c r="AX596" s="323">
        <v>12.172700000000001</v>
      </c>
      <c r="AY596" s="323">
        <v>9.8059000000000012</v>
      </c>
      <c r="AZ596" s="323">
        <v>7.1328499999999995</v>
      </c>
      <c r="BA596" s="323">
        <v>9.9666899999999981</v>
      </c>
      <c r="BB596" s="323">
        <v>7.2759999999999998</v>
      </c>
      <c r="BC596" s="323">
        <v>5.6681299999999997</v>
      </c>
      <c r="BD596" s="323">
        <v>15.520619999999999</v>
      </c>
      <c r="BE596" s="323">
        <v>16.732099999999999</v>
      </c>
      <c r="BF596" s="323">
        <v>4.7274899999999995</v>
      </c>
      <c r="BG596" s="323">
        <v>7.2808700000000002</v>
      </c>
      <c r="BH596" s="323">
        <v>14.386089999999999</v>
      </c>
      <c r="BI596" s="323">
        <v>9.1120900000000002</v>
      </c>
      <c r="BJ596" s="323">
        <v>14.919371</v>
      </c>
      <c r="BK596" s="323">
        <v>7.7477000000000009</v>
      </c>
      <c r="BL596" s="323">
        <v>7.0542600000000002</v>
      </c>
      <c r="BM596" s="323">
        <v>12.091209999999998</v>
      </c>
      <c r="BN596" s="323">
        <v>8.9886100000000013</v>
      </c>
      <c r="BO596" s="323">
        <v>7.1527700000000003</v>
      </c>
      <c r="BP596" s="323">
        <v>18.828049999999998</v>
      </c>
      <c r="BQ596" s="323">
        <v>20.238569999999999</v>
      </c>
      <c r="BR596" s="323">
        <v>8.3461800000000004</v>
      </c>
      <c r="BS596" s="323">
        <v>10.920299999999999</v>
      </c>
      <c r="BT596" s="323">
        <v>6.944</v>
      </c>
      <c r="BU596" s="323">
        <v>5.0617999999999999</v>
      </c>
      <c r="BV596" s="323">
        <v>16.052918440999999</v>
      </c>
      <c r="BW596" s="323">
        <v>9.2840441410000007</v>
      </c>
      <c r="BX596" s="323">
        <v>6.5254512990000002</v>
      </c>
      <c r="BY596" s="323">
        <v>12.140567535000001</v>
      </c>
      <c r="BZ596" s="323">
        <v>14.123892112</v>
      </c>
      <c r="CA596" s="323">
        <v>8.8819897720000007</v>
      </c>
      <c r="CB596" s="323">
        <v>14.202760727999999</v>
      </c>
      <c r="CC596" s="323">
        <v>16.117608057000002</v>
      </c>
      <c r="CD596" s="323">
        <v>10.886109635</v>
      </c>
      <c r="CE596" s="324">
        <f t="shared" ref="CE596:DJ596" si="425">CE252</f>
        <v>10.672157445</v>
      </c>
      <c r="CF596" s="323">
        <f t="shared" si="425"/>
        <v>7.2126176060000002</v>
      </c>
      <c r="CG596" s="323">
        <f t="shared" si="425"/>
        <v>8.8960489329999994</v>
      </c>
      <c r="CH596" s="323">
        <f t="shared" si="425"/>
        <v>14.570506622</v>
      </c>
      <c r="CI596" s="323">
        <f t="shared" si="425"/>
        <v>8.6522121159999994</v>
      </c>
      <c r="CJ596" s="323">
        <f t="shared" si="425"/>
        <v>6.7688775769999996</v>
      </c>
      <c r="CK596" s="323">
        <f t="shared" si="425"/>
        <v>16.890932417999998</v>
      </c>
      <c r="CL596" s="323">
        <f t="shared" si="425"/>
        <v>8.8908036090000007</v>
      </c>
      <c r="CM596" s="323">
        <f t="shared" si="425"/>
        <v>9.9248151149999995</v>
      </c>
      <c r="CN596" s="323">
        <f t="shared" si="425"/>
        <v>15.047475840000001</v>
      </c>
      <c r="CO596" s="323">
        <f t="shared" si="425"/>
        <v>14.454390439000001</v>
      </c>
      <c r="CP596" s="325">
        <f t="shared" si="425"/>
        <v>6.8866506660000004</v>
      </c>
      <c r="CQ596" s="323">
        <f t="shared" si="425"/>
        <v>14.510452170000001</v>
      </c>
      <c r="CR596" s="323">
        <f t="shared" si="425"/>
        <v>11.880214497000001</v>
      </c>
      <c r="CS596" s="323">
        <f t="shared" si="425"/>
        <v>12.947816491999999</v>
      </c>
      <c r="CT596" s="323">
        <f t="shared" si="425"/>
        <v>16.478249809000001</v>
      </c>
      <c r="CU596" s="323">
        <f t="shared" si="425"/>
        <v>11.742887497</v>
      </c>
      <c r="CV596" s="323">
        <f t="shared" si="425"/>
        <v>23.287388139000001</v>
      </c>
      <c r="CW596" s="323">
        <f t="shared" si="425"/>
        <v>21.573183339</v>
      </c>
      <c r="CX596" s="323">
        <f t="shared" si="425"/>
        <v>10.222559206</v>
      </c>
      <c r="CY596" s="323">
        <f t="shared" si="425"/>
        <v>18.507970660000002</v>
      </c>
      <c r="CZ596" s="323">
        <f t="shared" si="425"/>
        <v>12.259095933999999</v>
      </c>
      <c r="DA596" s="323">
        <f t="shared" si="425"/>
        <v>12.203852091</v>
      </c>
      <c r="DB596" s="1269">
        <f t="shared" si="425"/>
        <v>5.3575851300000004</v>
      </c>
      <c r="DC596" s="323">
        <f t="shared" si="425"/>
        <v>0</v>
      </c>
      <c r="DD596" s="323">
        <f t="shared" si="425"/>
        <v>0</v>
      </c>
      <c r="DE596" s="323">
        <f t="shared" si="425"/>
        <v>0</v>
      </c>
      <c r="DF596" s="323">
        <f t="shared" si="425"/>
        <v>0</v>
      </c>
      <c r="DG596" s="323">
        <f t="shared" si="425"/>
        <v>0</v>
      </c>
      <c r="DH596" s="323">
        <f t="shared" si="425"/>
        <v>0</v>
      </c>
      <c r="DI596" s="323">
        <f t="shared" si="425"/>
        <v>0</v>
      </c>
      <c r="DJ596" s="323">
        <f t="shared" si="425"/>
        <v>0</v>
      </c>
      <c r="DK596" s="323">
        <f t="shared" ref="DK596:EP596" si="426">DK252</f>
        <v>0</v>
      </c>
      <c r="DL596" s="323">
        <f t="shared" si="426"/>
        <v>0</v>
      </c>
      <c r="DM596" s="323">
        <f t="shared" si="426"/>
        <v>0</v>
      </c>
      <c r="DN596" s="325">
        <f t="shared" si="426"/>
        <v>0</v>
      </c>
      <c r="DO596" s="323">
        <f t="shared" si="426"/>
        <v>0</v>
      </c>
      <c r="DP596" s="323">
        <f t="shared" si="426"/>
        <v>0</v>
      </c>
      <c r="DQ596" s="323">
        <f t="shared" si="426"/>
        <v>0</v>
      </c>
      <c r="DR596" s="323">
        <f t="shared" si="426"/>
        <v>0</v>
      </c>
      <c r="DS596" s="323">
        <f t="shared" si="426"/>
        <v>0</v>
      </c>
      <c r="DT596" s="323">
        <f t="shared" si="426"/>
        <v>0</v>
      </c>
      <c r="DU596" s="323">
        <f t="shared" si="426"/>
        <v>0</v>
      </c>
      <c r="DV596" s="323">
        <f t="shared" si="426"/>
        <v>0</v>
      </c>
      <c r="DW596" s="323">
        <f t="shared" si="426"/>
        <v>0</v>
      </c>
      <c r="DX596" s="323">
        <f t="shared" si="426"/>
        <v>0</v>
      </c>
      <c r="DY596" s="323">
        <f t="shared" si="426"/>
        <v>0</v>
      </c>
      <c r="DZ596" s="325">
        <f t="shared" si="426"/>
        <v>0</v>
      </c>
      <c r="EA596" s="323">
        <f t="shared" si="426"/>
        <v>0</v>
      </c>
      <c r="EB596" s="323">
        <f t="shared" si="426"/>
        <v>0</v>
      </c>
      <c r="EC596" s="323">
        <f t="shared" si="426"/>
        <v>0</v>
      </c>
      <c r="ED596" s="323">
        <f t="shared" si="426"/>
        <v>0</v>
      </c>
      <c r="EE596" s="323">
        <f t="shared" si="426"/>
        <v>0</v>
      </c>
      <c r="EF596" s="323">
        <f t="shared" si="426"/>
        <v>0</v>
      </c>
      <c r="EG596" s="323">
        <f t="shared" si="426"/>
        <v>0</v>
      </c>
      <c r="EH596" s="323">
        <f t="shared" si="426"/>
        <v>0</v>
      </c>
      <c r="EI596" s="323">
        <f t="shared" si="426"/>
        <v>0</v>
      </c>
      <c r="EJ596" s="323">
        <f t="shared" si="426"/>
        <v>0</v>
      </c>
      <c r="EK596" s="323">
        <f t="shared" si="426"/>
        <v>0</v>
      </c>
      <c r="EL596" s="325">
        <f t="shared" si="426"/>
        <v>0</v>
      </c>
      <c r="EM596" s="323">
        <f t="shared" si="426"/>
        <v>0</v>
      </c>
      <c r="EN596" s="323">
        <f t="shared" si="426"/>
        <v>0</v>
      </c>
      <c r="EO596" s="323">
        <f t="shared" si="426"/>
        <v>0</v>
      </c>
      <c r="EP596" s="323">
        <f t="shared" si="426"/>
        <v>0</v>
      </c>
      <c r="EQ596" s="323">
        <f t="shared" ref="EQ596:EX596" si="427">EQ252</f>
        <v>0</v>
      </c>
      <c r="ER596" s="323">
        <f t="shared" si="427"/>
        <v>0</v>
      </c>
      <c r="ES596" s="323">
        <f t="shared" si="427"/>
        <v>0</v>
      </c>
      <c r="ET596" s="323">
        <f t="shared" si="427"/>
        <v>0</v>
      </c>
      <c r="EU596" s="323">
        <f t="shared" si="427"/>
        <v>0</v>
      </c>
      <c r="EV596" s="323">
        <f t="shared" si="427"/>
        <v>0</v>
      </c>
      <c r="EW596" s="323">
        <f t="shared" si="427"/>
        <v>0</v>
      </c>
      <c r="EX596" s="325">
        <f t="shared" si="427"/>
        <v>0</v>
      </c>
      <c r="EY596" s="323"/>
      <c r="EZ596" s="323"/>
      <c r="FA596" s="323"/>
      <c r="FB596" s="323"/>
      <c r="FC596" s="323"/>
      <c r="FD596" s="323"/>
      <c r="FE596" s="323"/>
      <c r="FF596" s="323"/>
      <c r="FG596" s="323"/>
      <c r="FH596" s="323"/>
      <c r="FI596" s="323"/>
      <c r="FJ596" s="325"/>
      <c r="FK596" s="323"/>
      <c r="FL596" s="323"/>
      <c r="FM596" s="323"/>
      <c r="FN596" s="323"/>
      <c r="FO596" s="323"/>
      <c r="FP596" s="323"/>
      <c r="FQ596" s="323"/>
      <c r="FR596" s="323"/>
      <c r="FS596" s="323"/>
      <c r="FT596" s="323"/>
      <c r="FU596" s="323"/>
      <c r="FV596" s="323"/>
      <c r="FW596" s="323"/>
      <c r="FX596" s="323"/>
      <c r="FY596" s="323"/>
      <c r="FZ596" s="323"/>
      <c r="GA596" s="323"/>
      <c r="GB596" s="323"/>
      <c r="GC596" s="323"/>
      <c r="GD596" s="323"/>
      <c r="GE596" s="323"/>
      <c r="GF596" s="323"/>
      <c r="GG596" s="323"/>
      <c r="GH596" s="323"/>
      <c r="GI596" s="323"/>
      <c r="GJ596" s="323"/>
      <c r="GK596" s="323"/>
      <c r="GL596" s="323"/>
      <c r="GM596" s="323"/>
      <c r="GN596" s="323"/>
      <c r="GO596" s="323"/>
      <c r="GP596" s="323"/>
      <c r="GQ596" s="323"/>
      <c r="GR596" s="323"/>
      <c r="GS596" s="323"/>
      <c r="GT596" s="323"/>
      <c r="GU596" s="323"/>
      <c r="GV596" s="323"/>
      <c r="GW596" s="323"/>
      <c r="GX596" s="323"/>
      <c r="GY596" s="323"/>
      <c r="GZ596" s="323"/>
      <c r="HA596" s="323"/>
      <c r="HB596" s="323"/>
      <c r="HC596" s="323"/>
      <c r="HD596" s="323"/>
      <c r="HE596" s="323"/>
      <c r="HF596" s="323"/>
      <c r="HG596" s="323"/>
      <c r="HH596" s="323"/>
      <c r="HI596" s="323"/>
      <c r="HJ596" s="323"/>
      <c r="HK596" s="323"/>
      <c r="HL596" s="323"/>
      <c r="HM596" s="323"/>
      <c r="HN596" s="323"/>
      <c r="HO596" s="323"/>
      <c r="HP596" s="323"/>
      <c r="HQ596" s="323"/>
      <c r="HR596" s="323"/>
      <c r="HS596" s="323"/>
      <c r="HT596" s="323"/>
      <c r="HU596" s="323"/>
      <c r="HV596" s="323"/>
      <c r="HW596" s="323"/>
      <c r="HX596" s="323"/>
      <c r="HY596" s="323"/>
      <c r="HZ596" s="326"/>
      <c r="IA596" s="328" t="s">
        <v>132</v>
      </c>
      <c r="IB596" s="328"/>
      <c r="IC596" s="328"/>
      <c r="ID596" s="323"/>
      <c r="IE596" s="279">
        <f t="shared" si="411"/>
        <v>90.847008603999996</v>
      </c>
      <c r="IF596" s="279">
        <f t="shared" si="412"/>
        <v>80.124246360000001</v>
      </c>
      <c r="IG596" s="323">
        <f t="shared" si="413"/>
        <v>170.97125496399997</v>
      </c>
      <c r="IJ596" s="323"/>
      <c r="IK596" s="279">
        <f t="shared" si="414"/>
        <v>0</v>
      </c>
      <c r="IL596" s="279">
        <f t="shared" si="415"/>
        <v>0</v>
      </c>
      <c r="IM596" s="323">
        <f t="shared" si="309"/>
        <v>0</v>
      </c>
      <c r="IO596" s="327"/>
      <c r="IP596" s="323"/>
      <c r="IS596" s="323"/>
      <c r="IT596" s="327"/>
      <c r="IU596" s="327"/>
      <c r="IV596" s="323"/>
      <c r="IW596" s="279">
        <f>IY596*JU596</f>
        <v>0</v>
      </c>
      <c r="IX596" s="279">
        <f t="shared" si="291"/>
        <v>0</v>
      </c>
      <c r="IY596" s="323"/>
      <c r="IZ596" s="279">
        <f>JB596*JU596</f>
        <v>0</v>
      </c>
      <c r="JA596" s="279">
        <f t="shared" si="360"/>
        <v>0</v>
      </c>
      <c r="JB596" s="323"/>
      <c r="JC596" s="279">
        <f>JE596*JU596</f>
        <v>0</v>
      </c>
      <c r="JD596" s="279">
        <f t="shared" si="280"/>
        <v>0</v>
      </c>
      <c r="JE596" s="323"/>
      <c r="JF596" s="279">
        <f>JH596*JU596</f>
        <v>0</v>
      </c>
      <c r="JG596" s="279">
        <f t="shared" si="281"/>
        <v>0</v>
      </c>
      <c r="JH596" s="323"/>
      <c r="JI596" s="279">
        <f>JK596*JX596</f>
        <v>0</v>
      </c>
      <c r="JJ596" s="279">
        <f t="shared" si="282"/>
        <v>0</v>
      </c>
      <c r="JK596" s="323"/>
      <c r="JL596" s="279">
        <f>JN596*KA596</f>
        <v>0</v>
      </c>
      <c r="JM596" s="279">
        <f t="shared" si="283"/>
        <v>0</v>
      </c>
      <c r="JN596" s="323"/>
      <c r="JO596" s="323"/>
      <c r="KU596" s="326"/>
      <c r="KV596" s="327"/>
    </row>
    <row r="597" spans="1:314" hidden="1">
      <c r="A597" s="279"/>
      <c r="B597" s="96" t="s">
        <v>338</v>
      </c>
      <c r="D597" s="328" t="str">
        <f>+FISC!D797</f>
        <v>FER</v>
      </c>
      <c r="E597" s="323"/>
      <c r="F597" s="323"/>
      <c r="G597" s="323"/>
      <c r="H597" s="323"/>
      <c r="I597" s="323"/>
      <c r="J597" s="323"/>
      <c r="K597" s="323"/>
      <c r="L597" s="323"/>
      <c r="M597" s="323"/>
      <c r="N597" s="323"/>
      <c r="O597" s="323"/>
      <c r="P597" s="323"/>
      <c r="Q597" s="323"/>
      <c r="R597" s="323"/>
      <c r="S597" s="323"/>
      <c r="T597" s="323"/>
      <c r="U597" s="323"/>
      <c r="V597" s="323"/>
      <c r="W597" s="323"/>
      <c r="X597" s="323"/>
      <c r="Y597" s="323"/>
      <c r="Z597" s="323"/>
      <c r="AA597" s="323"/>
      <c r="AB597" s="323"/>
      <c r="AC597" s="323"/>
      <c r="AD597" s="323"/>
      <c r="AE597" s="323"/>
      <c r="AF597" s="323"/>
      <c r="AG597" s="323"/>
      <c r="AH597" s="323"/>
      <c r="AI597" s="323"/>
      <c r="AJ597" s="323"/>
      <c r="AK597" s="323"/>
      <c r="AL597" s="323"/>
      <c r="AM597" s="323"/>
      <c r="AN597" s="323"/>
      <c r="AO597" s="323"/>
      <c r="AP597" s="323"/>
      <c r="AQ597" s="323"/>
      <c r="AR597" s="323"/>
      <c r="AS597" s="323"/>
      <c r="AT597" s="323"/>
      <c r="AU597" s="323"/>
      <c r="AV597" s="323"/>
      <c r="AW597" s="323"/>
      <c r="AX597" s="323"/>
      <c r="AY597" s="323"/>
      <c r="AZ597" s="323"/>
      <c r="BA597" s="323"/>
      <c r="BB597" s="323"/>
      <c r="BC597" s="323"/>
      <c r="BD597" s="323"/>
      <c r="BE597" s="323"/>
      <c r="BF597" s="323"/>
      <c r="BG597" s="323"/>
      <c r="BH597" s="323"/>
      <c r="BI597" s="323"/>
      <c r="BJ597" s="323"/>
      <c r="BK597" s="323"/>
      <c r="BL597" s="323"/>
      <c r="BM597" s="323"/>
      <c r="BN597" s="323"/>
      <c r="BO597" s="323"/>
      <c r="BP597" s="323"/>
      <c r="BQ597" s="323"/>
      <c r="BR597" s="323"/>
      <c r="BS597" s="323"/>
      <c r="BT597" s="323"/>
      <c r="BU597" s="323"/>
      <c r="BV597" s="323"/>
      <c r="BW597" s="323"/>
      <c r="BX597" s="323"/>
      <c r="BY597" s="323"/>
      <c r="BZ597" s="323"/>
      <c r="CA597" s="323"/>
      <c r="CB597" s="323"/>
      <c r="CC597" s="323"/>
      <c r="CD597" s="323"/>
      <c r="CE597" s="324"/>
      <c r="CF597" s="323"/>
      <c r="CG597" s="323"/>
      <c r="CH597" s="323"/>
      <c r="CI597" s="323"/>
      <c r="CJ597" s="323"/>
      <c r="CK597" s="323"/>
      <c r="CL597" s="323"/>
      <c r="CM597" s="323"/>
      <c r="CN597" s="323"/>
      <c r="CO597" s="323"/>
      <c r="CP597" s="325"/>
      <c r="CQ597" s="323"/>
      <c r="CR597" s="323"/>
      <c r="CS597" s="323"/>
      <c r="CT597" s="323"/>
      <c r="CU597" s="323"/>
      <c r="CV597" s="323"/>
      <c r="CW597" s="323"/>
      <c r="CX597" s="323"/>
      <c r="CY597" s="323"/>
      <c r="CZ597" s="323"/>
      <c r="DA597" s="323"/>
      <c r="DB597" s="1269"/>
      <c r="DC597" s="323"/>
      <c r="DD597" s="323"/>
      <c r="DE597" s="323"/>
      <c r="DF597" s="323"/>
      <c r="DG597" s="323"/>
      <c r="DH597" s="323"/>
      <c r="DI597" s="323"/>
      <c r="DJ597" s="323"/>
      <c r="DK597" s="323"/>
      <c r="DL597" s="323"/>
      <c r="DM597" s="323"/>
      <c r="DN597" s="325"/>
      <c r="DO597" s="323"/>
      <c r="DP597" s="323"/>
      <c r="DQ597" s="323"/>
      <c r="DR597" s="323"/>
      <c r="DS597" s="323"/>
      <c r="DT597" s="323"/>
      <c r="DU597" s="323"/>
      <c r="DV597" s="323"/>
      <c r="DW597" s="323"/>
      <c r="DX597" s="323"/>
      <c r="DY597" s="323"/>
      <c r="DZ597" s="325"/>
      <c r="EA597" s="323"/>
      <c r="EB597" s="323"/>
      <c r="EC597" s="323"/>
      <c r="ED597" s="323"/>
      <c r="EE597" s="323"/>
      <c r="EF597" s="323"/>
      <c r="EG597" s="323"/>
      <c r="EH597" s="323"/>
      <c r="EI597" s="323"/>
      <c r="EJ597" s="323"/>
      <c r="EK597" s="323"/>
      <c r="EL597" s="325"/>
      <c r="EM597" s="323"/>
      <c r="EN597" s="323"/>
      <c r="EO597" s="323"/>
      <c r="EP597" s="323"/>
      <c r="EQ597" s="323"/>
      <c r="ER597" s="323"/>
      <c r="ES597" s="323"/>
      <c r="ET597" s="323"/>
      <c r="EU597" s="323"/>
      <c r="EV597" s="323"/>
      <c r="EW597" s="323"/>
      <c r="EX597" s="325"/>
      <c r="EY597" s="323"/>
      <c r="EZ597" s="323"/>
      <c r="FA597" s="323"/>
      <c r="FB597" s="323"/>
      <c r="FC597" s="323"/>
      <c r="FD597" s="323"/>
      <c r="FE597" s="323"/>
      <c r="FF597" s="323"/>
      <c r="FG597" s="323"/>
      <c r="FH597" s="323"/>
      <c r="FI597" s="323"/>
      <c r="FJ597" s="325"/>
      <c r="FK597" s="323"/>
      <c r="FL597" s="323"/>
      <c r="FM597" s="323"/>
      <c r="FN597" s="323"/>
      <c r="FO597" s="323"/>
      <c r="FP597" s="323"/>
      <c r="FQ597" s="323"/>
      <c r="FR597" s="323"/>
      <c r="FS597" s="323"/>
      <c r="FT597" s="323"/>
      <c r="FU597" s="323"/>
      <c r="FV597" s="323"/>
      <c r="FW597" s="323"/>
      <c r="FX597" s="323"/>
      <c r="FY597" s="323"/>
      <c r="FZ597" s="323"/>
      <c r="GA597" s="323"/>
      <c r="GB597" s="323"/>
      <c r="GC597" s="323"/>
      <c r="GD597" s="323"/>
      <c r="GE597" s="323"/>
      <c r="GF597" s="323"/>
      <c r="GG597" s="323"/>
      <c r="GH597" s="323"/>
      <c r="GI597" s="323"/>
      <c r="GJ597" s="323"/>
      <c r="GK597" s="323"/>
      <c r="GL597" s="323"/>
      <c r="GM597" s="323"/>
      <c r="GN597" s="323"/>
      <c r="GO597" s="323"/>
      <c r="GP597" s="323"/>
      <c r="GQ597" s="323"/>
      <c r="GR597" s="323"/>
      <c r="GS597" s="323"/>
      <c r="GT597" s="323"/>
      <c r="GU597" s="323"/>
      <c r="GV597" s="323"/>
      <c r="GW597" s="323"/>
      <c r="GX597" s="323"/>
      <c r="GY597" s="323"/>
      <c r="GZ597" s="323"/>
      <c r="HA597" s="323"/>
      <c r="HB597" s="323"/>
      <c r="HC597" s="323"/>
      <c r="HD597" s="323"/>
      <c r="HE597" s="323"/>
      <c r="HF597" s="323"/>
      <c r="HG597" s="323"/>
      <c r="HH597" s="323"/>
      <c r="HI597" s="323"/>
      <c r="HJ597" s="323"/>
      <c r="HK597" s="323"/>
      <c r="HL597" s="323"/>
      <c r="HM597" s="323"/>
      <c r="HN597" s="323"/>
      <c r="HO597" s="323"/>
      <c r="HP597" s="323"/>
      <c r="HQ597" s="323"/>
      <c r="HR597" s="323"/>
      <c r="HS597" s="323"/>
      <c r="HT597" s="323"/>
      <c r="HU597" s="323"/>
      <c r="HV597" s="323"/>
      <c r="HW597" s="323"/>
      <c r="HX597" s="323"/>
      <c r="HY597" s="323"/>
      <c r="HZ597" s="326"/>
      <c r="IA597" s="328" t="s">
        <v>870</v>
      </c>
      <c r="IB597" s="328"/>
      <c r="IC597" s="328"/>
      <c r="ID597" s="323"/>
      <c r="IE597" s="279">
        <f t="shared" si="411"/>
        <v>0</v>
      </c>
      <c r="IF597" s="279">
        <f t="shared" si="412"/>
        <v>0</v>
      </c>
      <c r="IG597" s="323">
        <f t="shared" si="413"/>
        <v>0</v>
      </c>
      <c r="IJ597" s="323"/>
      <c r="IK597" s="279">
        <f>+IK218</f>
        <v>22.827138431000002</v>
      </c>
      <c r="IL597" s="554">
        <f>+IL218</f>
        <v>21.740352604999998</v>
      </c>
      <c r="IM597" s="323">
        <f t="shared" si="309"/>
        <v>44.567491036</v>
      </c>
      <c r="IN597" s="279">
        <f>+IP597/2</f>
        <v>23.758723343</v>
      </c>
      <c r="IO597" s="279">
        <f>+IP597-IN597</f>
        <v>23.758723343</v>
      </c>
      <c r="IP597" s="323">
        <f>FISC!AC797</f>
        <v>47.517446686</v>
      </c>
      <c r="IQ597" s="279">
        <f>SUM(EM597:ER597)</f>
        <v>0</v>
      </c>
      <c r="IR597" s="279">
        <f>SUM(ES597:EX597)</f>
        <v>0</v>
      </c>
      <c r="IS597" s="323">
        <f t="shared" si="407"/>
        <v>0</v>
      </c>
      <c r="IT597" s="279">
        <f>+(IV599/2)*0+28.860089286</f>
        <v>28.860089286000001</v>
      </c>
      <c r="IU597" s="279">
        <f>+IV599-IT597</f>
        <v>122.91192620705553</v>
      </c>
      <c r="IW597" s="327">
        <f>IY597/2</f>
        <v>3.7271444644999998</v>
      </c>
      <c r="IX597" s="279">
        <f t="shared" si="291"/>
        <v>3.7271444644999998</v>
      </c>
      <c r="IY597" s="323">
        <f>+FISC!AF796</f>
        <v>7.4542889289999996</v>
      </c>
      <c r="IZ597" s="327">
        <f>JB597/2</f>
        <v>0</v>
      </c>
      <c r="JA597" s="279">
        <f t="shared" si="360"/>
        <v>0</v>
      </c>
      <c r="JB597" s="323">
        <f>+FISC!AG796</f>
        <v>0</v>
      </c>
      <c r="JC597" s="327">
        <f>JE597/2</f>
        <v>43.666590307052211</v>
      </c>
      <c r="JD597" s="279">
        <f t="shared" si="280"/>
        <v>43.666590307052211</v>
      </c>
      <c r="JE597" s="323">
        <f>+FISC!AH797</f>
        <v>87.333180614104421</v>
      </c>
      <c r="JF597" s="327">
        <f>JH597/2</f>
        <v>43.666590307052211</v>
      </c>
      <c r="JG597" s="279">
        <f t="shared" si="281"/>
        <v>43.666590307052211</v>
      </c>
      <c r="JH597" s="323">
        <f>+FISC!AI797</f>
        <v>87.333180614104421</v>
      </c>
      <c r="JI597" s="327">
        <f>JK597/2</f>
        <v>43.666590307052211</v>
      </c>
      <c r="JJ597" s="279">
        <f t="shared" si="282"/>
        <v>43.666590307052211</v>
      </c>
      <c r="JK597" s="323">
        <f>+FISC!AJ797</f>
        <v>87.333180614104421</v>
      </c>
      <c r="JL597" s="327">
        <f>JN597/2</f>
        <v>0</v>
      </c>
      <c r="JM597" s="279">
        <f t="shared" si="283"/>
        <v>0</v>
      </c>
      <c r="JN597" s="323">
        <f>+FISC!AK797</f>
        <v>0</v>
      </c>
      <c r="JO597" s="323"/>
      <c r="KU597" s="326"/>
      <c r="KV597" s="327"/>
    </row>
    <row r="598" spans="1:314" hidden="1">
      <c r="A598" s="279"/>
      <c r="B598" s="96" t="s">
        <v>338</v>
      </c>
      <c r="D598" s="328" t="str">
        <f>+FISC!D800</f>
        <v>Defense</v>
      </c>
      <c r="E598" s="323"/>
      <c r="F598" s="323"/>
      <c r="G598" s="323"/>
      <c r="H598" s="323"/>
      <c r="I598" s="323"/>
      <c r="J598" s="323"/>
      <c r="K598" s="323"/>
      <c r="L598" s="323"/>
      <c r="M598" s="323"/>
      <c r="N598" s="323"/>
      <c r="O598" s="323"/>
      <c r="P598" s="323"/>
      <c r="Q598" s="323">
        <v>0.76546999999999998</v>
      </c>
      <c r="R598" s="323">
        <v>0.91415999999999997</v>
      </c>
      <c r="S598" s="323">
        <v>0.58489000000000002</v>
      </c>
      <c r="T598" s="323">
        <v>1.7101900000000001</v>
      </c>
      <c r="U598" s="323">
        <v>0.88622000000000001</v>
      </c>
      <c r="V598" s="323">
        <v>0.89105999999999996</v>
      </c>
      <c r="W598" s="323">
        <v>1.7658699999999998</v>
      </c>
      <c r="X598" s="323">
        <v>0.57596999999999998</v>
      </c>
      <c r="Y598" s="323">
        <v>0.90725999999999996</v>
      </c>
      <c r="Z598" s="323">
        <v>2.0973000000000002</v>
      </c>
      <c r="AA598" s="323">
        <v>2.1860399999999998</v>
      </c>
      <c r="AB598" s="323">
        <v>0.16478000000000001</v>
      </c>
      <c r="AC598" s="323">
        <v>3.1371199999999999</v>
      </c>
      <c r="AD598" s="323">
        <v>2.7886500000000001</v>
      </c>
      <c r="AE598" s="323">
        <v>3.1452800000000001</v>
      </c>
      <c r="AF598" s="323">
        <v>3.2369400000000002</v>
      </c>
      <c r="AG598" s="323">
        <v>0.12084</v>
      </c>
      <c r="AH598" s="323">
        <v>0.10466</v>
      </c>
      <c r="AI598" s="323">
        <v>1.62198</v>
      </c>
      <c r="AJ598" s="323">
        <v>0.89832000000000001</v>
      </c>
      <c r="AK598" s="323">
        <v>0.66470000000000007</v>
      </c>
      <c r="AL598" s="323">
        <v>1.6458499999999998</v>
      </c>
      <c r="AM598" s="323">
        <v>0.63282000000000005</v>
      </c>
      <c r="AN598" s="323">
        <v>0.36866000000000004</v>
      </c>
      <c r="AO598" s="323">
        <v>1.4705999999999999</v>
      </c>
      <c r="AP598" s="323">
        <v>0.47748000000000002</v>
      </c>
      <c r="AQ598" s="323">
        <v>0.62729999999999997</v>
      </c>
      <c r="AR598" s="323">
        <v>1.24319</v>
      </c>
      <c r="AS598" s="323">
        <v>2.2610600000000001</v>
      </c>
      <c r="AT598" s="323">
        <v>0.1242</v>
      </c>
      <c r="AU598" s="323">
        <v>1.2389000000000001</v>
      </c>
      <c r="AV598" s="323">
        <v>1.0934300000000001</v>
      </c>
      <c r="AW598" s="323">
        <v>0.60448999999999997</v>
      </c>
      <c r="AX598" s="323">
        <v>0.88049999999999995</v>
      </c>
      <c r="AY598" s="323">
        <v>1.81271</v>
      </c>
      <c r="AZ598" s="323">
        <v>1.1561300000000001</v>
      </c>
      <c r="BA598" s="323">
        <v>0.93210999999999999</v>
      </c>
      <c r="BB598" s="323">
        <v>0.89728999999999992</v>
      </c>
      <c r="BC598" s="323">
        <v>0.69202999999999992</v>
      </c>
      <c r="BD598" s="323">
        <v>1.96759</v>
      </c>
      <c r="BE598" s="323">
        <v>1.3792</v>
      </c>
      <c r="BF598" s="323">
        <v>1.9069500000000001</v>
      </c>
      <c r="BG598" s="323">
        <v>1.4196300000000002</v>
      </c>
      <c r="BH598" s="323">
        <v>1.59782</v>
      </c>
      <c r="BI598" s="323">
        <v>1.5802499999999999</v>
      </c>
      <c r="BJ598" s="323">
        <v>1.6589690000000001</v>
      </c>
      <c r="BK598" s="323">
        <v>1.6336700000000002</v>
      </c>
      <c r="BL598" s="323">
        <v>0.82140000000000002</v>
      </c>
      <c r="BM598" s="323">
        <v>1.3699300000000001</v>
      </c>
      <c r="BN598" s="323">
        <v>1.6157999999999999</v>
      </c>
      <c r="BO598" s="323">
        <v>0.96348999999999996</v>
      </c>
      <c r="BP598" s="323">
        <v>1.5737999999999999</v>
      </c>
      <c r="BQ598" s="323">
        <v>1.5413699999999999</v>
      </c>
      <c r="BR598" s="323">
        <v>0.1263</v>
      </c>
      <c r="BS598" s="323">
        <v>1.5212999999999999</v>
      </c>
      <c r="BT598" s="323">
        <v>1.4045999999999998</v>
      </c>
      <c r="BU598" s="323">
        <v>0.91370000000000007</v>
      </c>
      <c r="BV598" s="323">
        <v>1.3909890970000001</v>
      </c>
      <c r="BW598" s="323">
        <v>0.87510691699999998</v>
      </c>
      <c r="BX598" s="323">
        <v>0.44594154699999999</v>
      </c>
      <c r="BY598" s="323">
        <v>1.3301121250000001</v>
      </c>
      <c r="BZ598" s="323">
        <v>0.89124587300000002</v>
      </c>
      <c r="CA598" s="323">
        <v>0.93439076600000004</v>
      </c>
      <c r="CB598" s="323">
        <v>1.0890192030000001</v>
      </c>
      <c r="CC598" s="323">
        <v>2.4920448130000001</v>
      </c>
      <c r="CD598" s="323">
        <v>0.166942905</v>
      </c>
      <c r="CE598" s="324">
        <f t="shared" ref="CE598:DJ598" si="428">CE251</f>
        <v>1.3016823289999999</v>
      </c>
      <c r="CF598" s="323">
        <f t="shared" si="428"/>
        <v>1.247854402</v>
      </c>
      <c r="CG598" s="323">
        <f t="shared" si="428"/>
        <v>1.8608826409999999</v>
      </c>
      <c r="CH598" s="323">
        <f t="shared" si="428"/>
        <v>1.399141365</v>
      </c>
      <c r="CI598" s="323">
        <f t="shared" si="428"/>
        <v>0.98476855200000002</v>
      </c>
      <c r="CJ598" s="323">
        <f t="shared" si="428"/>
        <v>0.80950324200000001</v>
      </c>
      <c r="CK598" s="323">
        <f t="shared" si="428"/>
        <v>1.617615142</v>
      </c>
      <c r="CL598" s="323">
        <f t="shared" si="428"/>
        <v>0.93723900299999996</v>
      </c>
      <c r="CM598" s="323">
        <f t="shared" si="428"/>
        <v>0.79194314200000004</v>
      </c>
      <c r="CN598" s="323">
        <f t="shared" si="428"/>
        <v>1.6587439770000001</v>
      </c>
      <c r="CO598" s="323">
        <f t="shared" si="428"/>
        <v>0.904222419</v>
      </c>
      <c r="CP598" s="325">
        <f t="shared" si="428"/>
        <v>0.13500000000000001</v>
      </c>
      <c r="CQ598" s="323">
        <f t="shared" si="428"/>
        <v>1.8780744140000001</v>
      </c>
      <c r="CR598" s="323">
        <f t="shared" si="428"/>
        <v>1.3715944419999999</v>
      </c>
      <c r="CS598" s="323">
        <f t="shared" si="428"/>
        <v>1.4458685449999999</v>
      </c>
      <c r="CT598" s="323">
        <f t="shared" si="428"/>
        <v>1.599996121</v>
      </c>
      <c r="CU598" s="323">
        <f t="shared" si="428"/>
        <v>1.636220561</v>
      </c>
      <c r="CV598" s="323">
        <f t="shared" si="428"/>
        <v>1.400044104</v>
      </c>
      <c r="CW598" s="323">
        <f t="shared" si="428"/>
        <v>1.54686506</v>
      </c>
      <c r="CX598" s="323">
        <f t="shared" si="428"/>
        <v>1.4851369430000001</v>
      </c>
      <c r="CY598" s="323">
        <f t="shared" si="428"/>
        <v>1.5561899619999999</v>
      </c>
      <c r="CZ598" s="323">
        <f t="shared" si="428"/>
        <v>1.306972875</v>
      </c>
      <c r="DA598" s="323">
        <f t="shared" si="428"/>
        <v>3.0039064639999999</v>
      </c>
      <c r="DB598" s="1269">
        <f t="shared" si="428"/>
        <v>0.65531390199999995</v>
      </c>
      <c r="DC598" s="323">
        <f t="shared" si="428"/>
        <v>0</v>
      </c>
      <c r="DD598" s="323">
        <f t="shared" si="428"/>
        <v>0</v>
      </c>
      <c r="DE598" s="323">
        <f t="shared" si="428"/>
        <v>0</v>
      </c>
      <c r="DF598" s="323">
        <f t="shared" si="428"/>
        <v>0</v>
      </c>
      <c r="DG598" s="323">
        <f t="shared" si="428"/>
        <v>0</v>
      </c>
      <c r="DH598" s="323">
        <f t="shared" si="428"/>
        <v>0</v>
      </c>
      <c r="DI598" s="323">
        <f t="shared" si="428"/>
        <v>0</v>
      </c>
      <c r="DJ598" s="323">
        <f t="shared" si="428"/>
        <v>0</v>
      </c>
      <c r="DK598" s="323">
        <f t="shared" ref="DK598:EP598" si="429">DK251</f>
        <v>0</v>
      </c>
      <c r="DL598" s="323">
        <f t="shared" si="429"/>
        <v>0</v>
      </c>
      <c r="DM598" s="323">
        <f t="shared" si="429"/>
        <v>0</v>
      </c>
      <c r="DN598" s="325">
        <f t="shared" si="429"/>
        <v>0</v>
      </c>
      <c r="DO598" s="323">
        <f t="shared" si="429"/>
        <v>0</v>
      </c>
      <c r="DP598" s="323">
        <f t="shared" si="429"/>
        <v>0</v>
      </c>
      <c r="DQ598" s="323">
        <f t="shared" si="429"/>
        <v>0</v>
      </c>
      <c r="DR598" s="323">
        <f t="shared" si="429"/>
        <v>0</v>
      </c>
      <c r="DS598" s="323">
        <f t="shared" si="429"/>
        <v>0</v>
      </c>
      <c r="DT598" s="323">
        <f t="shared" si="429"/>
        <v>0</v>
      </c>
      <c r="DU598" s="323">
        <f t="shared" si="429"/>
        <v>0</v>
      </c>
      <c r="DV598" s="323">
        <f t="shared" si="429"/>
        <v>0</v>
      </c>
      <c r="DW598" s="323">
        <f t="shared" si="429"/>
        <v>0</v>
      </c>
      <c r="DX598" s="323">
        <f t="shared" si="429"/>
        <v>0</v>
      </c>
      <c r="DY598" s="323">
        <f t="shared" si="429"/>
        <v>0</v>
      </c>
      <c r="DZ598" s="325">
        <f t="shared" si="429"/>
        <v>0</v>
      </c>
      <c r="EA598" s="323">
        <f t="shared" si="429"/>
        <v>0</v>
      </c>
      <c r="EB598" s="323">
        <f t="shared" si="429"/>
        <v>0</v>
      </c>
      <c r="EC598" s="323">
        <f t="shared" si="429"/>
        <v>0</v>
      </c>
      <c r="ED598" s="323">
        <f t="shared" si="429"/>
        <v>0</v>
      </c>
      <c r="EE598" s="323">
        <f t="shared" si="429"/>
        <v>0</v>
      </c>
      <c r="EF598" s="323">
        <f t="shared" si="429"/>
        <v>0</v>
      </c>
      <c r="EG598" s="323">
        <f t="shared" si="429"/>
        <v>0</v>
      </c>
      <c r="EH598" s="323">
        <f t="shared" si="429"/>
        <v>0</v>
      </c>
      <c r="EI598" s="323">
        <f t="shared" si="429"/>
        <v>0</v>
      </c>
      <c r="EJ598" s="323">
        <f t="shared" si="429"/>
        <v>0</v>
      </c>
      <c r="EK598" s="323">
        <f t="shared" si="429"/>
        <v>0</v>
      </c>
      <c r="EL598" s="325">
        <f t="shared" si="429"/>
        <v>0</v>
      </c>
      <c r="EM598" s="323">
        <f t="shared" si="429"/>
        <v>0</v>
      </c>
      <c r="EN598" s="323">
        <f t="shared" si="429"/>
        <v>0</v>
      </c>
      <c r="EO598" s="323">
        <f t="shared" si="429"/>
        <v>0</v>
      </c>
      <c r="EP598" s="323">
        <f t="shared" si="429"/>
        <v>0</v>
      </c>
      <c r="EQ598" s="323">
        <f t="shared" ref="EQ598:EX598" si="430">EQ251</f>
        <v>0</v>
      </c>
      <c r="ER598" s="323">
        <f t="shared" si="430"/>
        <v>0</v>
      </c>
      <c r="ES598" s="323">
        <f t="shared" si="430"/>
        <v>0</v>
      </c>
      <c r="ET598" s="323">
        <f t="shared" si="430"/>
        <v>0</v>
      </c>
      <c r="EU598" s="323">
        <f t="shared" si="430"/>
        <v>0</v>
      </c>
      <c r="EV598" s="323">
        <f t="shared" si="430"/>
        <v>0</v>
      </c>
      <c r="EW598" s="323">
        <f t="shared" si="430"/>
        <v>0</v>
      </c>
      <c r="EX598" s="325">
        <f t="shared" si="430"/>
        <v>0</v>
      </c>
      <c r="EY598" s="323"/>
      <c r="EZ598" s="323"/>
      <c r="FA598" s="323"/>
      <c r="FB598" s="323"/>
      <c r="FC598" s="323"/>
      <c r="FD598" s="323"/>
      <c r="FE598" s="323"/>
      <c r="FF598" s="323"/>
      <c r="FG598" s="323"/>
      <c r="FH598" s="323"/>
      <c r="FI598" s="323"/>
      <c r="FJ598" s="325"/>
      <c r="FK598" s="323"/>
      <c r="FL598" s="323"/>
      <c r="FM598" s="323"/>
      <c r="FN598" s="323"/>
      <c r="FO598" s="323"/>
      <c r="FP598" s="323"/>
      <c r="FQ598" s="323"/>
      <c r="FR598" s="323"/>
      <c r="FS598" s="323"/>
      <c r="FT598" s="323"/>
      <c r="FU598" s="323"/>
      <c r="FV598" s="323"/>
      <c r="FW598" s="323"/>
      <c r="FX598" s="323"/>
      <c r="FY598" s="323"/>
      <c r="FZ598" s="323"/>
      <c r="GA598" s="323"/>
      <c r="GB598" s="323"/>
      <c r="GC598" s="323"/>
      <c r="GD598" s="323"/>
      <c r="GE598" s="323"/>
      <c r="GF598" s="323"/>
      <c r="GG598" s="323"/>
      <c r="GH598" s="323"/>
      <c r="GI598" s="323"/>
      <c r="GJ598" s="323"/>
      <c r="GK598" s="323"/>
      <c r="GL598" s="323"/>
      <c r="GM598" s="323"/>
      <c r="GN598" s="323"/>
      <c r="GO598" s="323"/>
      <c r="GP598" s="323"/>
      <c r="GQ598" s="323"/>
      <c r="GR598" s="323"/>
      <c r="GS598" s="323"/>
      <c r="GT598" s="323"/>
      <c r="GU598" s="323"/>
      <c r="GV598" s="323"/>
      <c r="GW598" s="323"/>
      <c r="GX598" s="323"/>
      <c r="GY598" s="323"/>
      <c r="GZ598" s="323"/>
      <c r="HA598" s="323"/>
      <c r="HB598" s="323"/>
      <c r="HC598" s="323"/>
      <c r="HD598" s="323"/>
      <c r="HE598" s="323"/>
      <c r="HF598" s="323"/>
      <c r="HG598" s="323"/>
      <c r="HH598" s="323"/>
      <c r="HI598" s="323"/>
      <c r="HJ598" s="323"/>
      <c r="HK598" s="323"/>
      <c r="HL598" s="323"/>
      <c r="HM598" s="323"/>
      <c r="HN598" s="323"/>
      <c r="HO598" s="323"/>
      <c r="HP598" s="323"/>
      <c r="HQ598" s="323"/>
      <c r="HR598" s="323"/>
      <c r="HS598" s="323"/>
      <c r="HT598" s="323"/>
      <c r="HU598" s="323"/>
      <c r="HV598" s="323"/>
      <c r="HW598" s="323"/>
      <c r="HX598" s="323"/>
      <c r="HY598" s="323"/>
      <c r="HZ598" s="326"/>
      <c r="IA598" s="328" t="s">
        <v>133</v>
      </c>
      <c r="IB598" s="328"/>
      <c r="IC598" s="328"/>
      <c r="ID598" s="323"/>
      <c r="IE598" s="279">
        <f t="shared" si="411"/>
        <v>9.3317981870000004</v>
      </c>
      <c r="IF598" s="279">
        <f t="shared" si="412"/>
        <v>9.5543852059999992</v>
      </c>
      <c r="IG598" s="323">
        <f t="shared" si="413"/>
        <v>18.886183393</v>
      </c>
      <c r="IJ598" s="323"/>
      <c r="IL598" s="279">
        <f>SUM(DU598:DZ598)</f>
        <v>0</v>
      </c>
      <c r="IM598" s="323">
        <f t="shared" si="309"/>
        <v>0</v>
      </c>
      <c r="IO598" s="327"/>
      <c r="IP598" s="323"/>
      <c r="IS598" s="323"/>
      <c r="IT598" s="327"/>
      <c r="IU598" s="327"/>
      <c r="IV598" s="323"/>
      <c r="IW598" s="279">
        <f>IY598*JU598</f>
        <v>0</v>
      </c>
      <c r="IX598" s="279">
        <f t="shared" si="291"/>
        <v>0</v>
      </c>
      <c r="IY598" s="323"/>
      <c r="IZ598" s="279">
        <f>JB598*JU598</f>
        <v>0</v>
      </c>
      <c r="JA598" s="279">
        <f t="shared" si="360"/>
        <v>0</v>
      </c>
      <c r="JB598" s="323"/>
      <c r="JC598" s="279">
        <f>JE598*JU598</f>
        <v>0</v>
      </c>
      <c r="JD598" s="279">
        <f t="shared" si="280"/>
        <v>0</v>
      </c>
      <c r="JE598" s="323"/>
      <c r="JF598" s="279">
        <f>JH598*JU598</f>
        <v>0</v>
      </c>
      <c r="JG598" s="279">
        <f t="shared" si="281"/>
        <v>0</v>
      </c>
      <c r="JH598" s="323"/>
      <c r="JI598" s="279">
        <f>JK598*JX598</f>
        <v>0</v>
      </c>
      <c r="JJ598" s="279">
        <f t="shared" si="282"/>
        <v>0</v>
      </c>
      <c r="JK598" s="323"/>
      <c r="JL598" s="279">
        <f>JN598*KA598</f>
        <v>0</v>
      </c>
      <c r="JM598" s="279">
        <f t="shared" si="283"/>
        <v>0</v>
      </c>
      <c r="JN598" s="323"/>
      <c r="JO598" s="323"/>
      <c r="KU598" s="326"/>
      <c r="KV598" s="327"/>
    </row>
    <row r="599" spans="1:314" hidden="1">
      <c r="A599" s="279"/>
      <c r="B599" s="96" t="s">
        <v>338</v>
      </c>
      <c r="D599" s="322" t="str">
        <f>+FISC!D801</f>
        <v>Interest payments</v>
      </c>
      <c r="E599" s="323">
        <f t="shared" ref="E599:BP599" si="431">E600+E603</f>
        <v>0.18542618790412799</v>
      </c>
      <c r="F599" s="323">
        <f t="shared" si="431"/>
        <v>0.45166003372000008</v>
      </c>
      <c r="G599" s="323">
        <f t="shared" si="431"/>
        <v>0.65779251703249997</v>
      </c>
      <c r="H599" s="323">
        <f t="shared" si="431"/>
        <v>0.79866186912827208</v>
      </c>
      <c r="I599" s="323">
        <f t="shared" si="431"/>
        <v>0.18203672789800002</v>
      </c>
      <c r="J599" s="323">
        <f t="shared" si="431"/>
        <v>0.98801702272589997</v>
      </c>
      <c r="K599" s="323">
        <f t="shared" si="431"/>
        <v>1.5358188453263002</v>
      </c>
      <c r="L599" s="323">
        <f t="shared" si="431"/>
        <v>0.27837832684960001</v>
      </c>
      <c r="M599" s="323">
        <f t="shared" si="431"/>
        <v>0.27358566088399999</v>
      </c>
      <c r="N599" s="323">
        <f t="shared" si="431"/>
        <v>2.4292786427399999</v>
      </c>
      <c r="O599" s="323">
        <f t="shared" si="431"/>
        <v>2.3922228960999998</v>
      </c>
      <c r="P599" s="323">
        <f t="shared" si="431"/>
        <v>0.80792293007999993</v>
      </c>
      <c r="Q599" s="323">
        <f t="shared" si="431"/>
        <v>0.38199800939159995</v>
      </c>
      <c r="R599" s="323">
        <f t="shared" si="431"/>
        <v>1.9064099342700001E-2</v>
      </c>
      <c r="S599" s="323">
        <f t="shared" si="431"/>
        <v>1.801203516725</v>
      </c>
      <c r="T599" s="323">
        <f t="shared" si="431"/>
        <v>0.76810478826399997</v>
      </c>
      <c r="U599" s="323">
        <f t="shared" si="431"/>
        <v>0.86469306565550008</v>
      </c>
      <c r="V599" s="323">
        <f t="shared" si="431"/>
        <v>2.0406553923919999</v>
      </c>
      <c r="W599" s="323">
        <f t="shared" si="431"/>
        <v>0.55819884035</v>
      </c>
      <c r="X599" s="323">
        <f t="shared" si="431"/>
        <v>1.7530260354080001</v>
      </c>
      <c r="Y599" s="323">
        <f t="shared" si="431"/>
        <v>0.48539676760479999</v>
      </c>
      <c r="Z599" s="323">
        <f t="shared" si="431"/>
        <v>0.7058004555734001</v>
      </c>
      <c r="AA599" s="323">
        <f t="shared" si="431"/>
        <v>1.7696103237894001</v>
      </c>
      <c r="AB599" s="323">
        <f t="shared" si="431"/>
        <v>1.464524073707</v>
      </c>
      <c r="AC599" s="323">
        <f t="shared" si="431"/>
        <v>0.32803835200000003</v>
      </c>
      <c r="AD599" s="323">
        <f t="shared" si="431"/>
        <v>4.8028904000000004E-2</v>
      </c>
      <c r="AE599" s="323">
        <f t="shared" si="431"/>
        <v>1.379810293</v>
      </c>
      <c r="AF599" s="323">
        <f t="shared" si="431"/>
        <v>0.67174767899999999</v>
      </c>
      <c r="AG599" s="323">
        <f t="shared" si="431"/>
        <v>8.9409139999999998E-2</v>
      </c>
      <c r="AH599" s="323">
        <f t="shared" si="431"/>
        <v>2.129834196</v>
      </c>
      <c r="AI599" s="323">
        <f t="shared" si="431"/>
        <v>0.79654109500000003</v>
      </c>
      <c r="AJ599" s="323">
        <f t="shared" si="431"/>
        <v>1.3156134499999999</v>
      </c>
      <c r="AK599" s="323">
        <f t="shared" si="431"/>
        <v>1.086573547</v>
      </c>
      <c r="AL599" s="323">
        <f t="shared" si="431"/>
        <v>1.7237026850000001</v>
      </c>
      <c r="AM599" s="323">
        <f t="shared" si="431"/>
        <v>1.4137975259999997</v>
      </c>
      <c r="AN599" s="323">
        <f t="shared" si="431"/>
        <v>0.429076283</v>
      </c>
      <c r="AO599" s="323">
        <f t="shared" si="431"/>
        <v>0.60318742926000002</v>
      </c>
      <c r="AP599" s="323">
        <f t="shared" si="431"/>
        <v>0.44789909806</v>
      </c>
      <c r="AQ599" s="323">
        <f t="shared" si="431"/>
        <v>2.1867084123272198</v>
      </c>
      <c r="AR599" s="323">
        <f t="shared" si="431"/>
        <v>1.11777286912</v>
      </c>
      <c r="AS599" s="323">
        <f t="shared" si="431"/>
        <v>0.31654115034800001</v>
      </c>
      <c r="AT599" s="323">
        <f t="shared" si="431"/>
        <v>2.3424880930656</v>
      </c>
      <c r="AU599" s="323">
        <f t="shared" si="431"/>
        <v>0.87599971724000003</v>
      </c>
      <c r="AV599" s="323">
        <f t="shared" si="431"/>
        <v>1.3342710628799999</v>
      </c>
      <c r="AW599" s="323">
        <f t="shared" si="431"/>
        <v>1.4360843475500003</v>
      </c>
      <c r="AX599" s="323">
        <f t="shared" si="431"/>
        <v>1.0336246500799999</v>
      </c>
      <c r="AY599" s="323">
        <f t="shared" si="431"/>
        <v>1.3663559729007999</v>
      </c>
      <c r="AZ599" s="323">
        <f t="shared" si="431"/>
        <v>1.6143193773675002</v>
      </c>
      <c r="BA599" s="323">
        <f t="shared" si="431"/>
        <v>0.73059012800000001</v>
      </c>
      <c r="BB599" s="323">
        <f t="shared" si="431"/>
        <v>0.61358000400000001</v>
      </c>
      <c r="BC599" s="323">
        <f t="shared" si="431"/>
        <v>1.8720427179999999</v>
      </c>
      <c r="BD599" s="323">
        <f t="shared" si="431"/>
        <v>1.767684928</v>
      </c>
      <c r="BE599" s="323">
        <f t="shared" si="431"/>
        <v>0.426548818</v>
      </c>
      <c r="BF599" s="323">
        <f t="shared" si="431"/>
        <v>2.4554901179999997</v>
      </c>
      <c r="BG599" s="323">
        <f t="shared" si="431"/>
        <v>0.96014743499999999</v>
      </c>
      <c r="BH599" s="323">
        <f t="shared" si="431"/>
        <v>0.5749364010000001</v>
      </c>
      <c r="BI599" s="323">
        <f t="shared" si="431"/>
        <v>3.3226512320000001</v>
      </c>
      <c r="BJ599" s="323">
        <f t="shared" si="431"/>
        <v>0.73527685382000008</v>
      </c>
      <c r="BK599" s="323">
        <f t="shared" si="431"/>
        <v>0.90961394200000001</v>
      </c>
      <c r="BL599" s="323">
        <f t="shared" si="431"/>
        <v>2.981802037</v>
      </c>
      <c r="BM599" s="323">
        <f t="shared" si="431"/>
        <v>1.2142339248899998</v>
      </c>
      <c r="BN599" s="323">
        <f t="shared" si="431"/>
        <v>1.3229361334800001</v>
      </c>
      <c r="BO599" s="323">
        <f t="shared" si="431"/>
        <v>3.0730538940000001</v>
      </c>
      <c r="BP599" s="323">
        <f t="shared" si="431"/>
        <v>0.37748999999999999</v>
      </c>
      <c r="BQ599" s="323">
        <f t="shared" ref="BQ599:DN599" si="432">BQ600+BQ603</f>
        <v>0.65026942384999997</v>
      </c>
      <c r="BR599" s="323">
        <f t="shared" si="432"/>
        <v>1.96716376258</v>
      </c>
      <c r="BS599" s="323">
        <f t="shared" si="432"/>
        <v>1.165</v>
      </c>
      <c r="BT599" s="323">
        <f t="shared" si="432"/>
        <v>0.8085</v>
      </c>
      <c r="BU599" s="323">
        <f t="shared" si="432"/>
        <v>2.8394999999999997</v>
      </c>
      <c r="BV599" s="323">
        <f t="shared" si="432"/>
        <v>0</v>
      </c>
      <c r="BW599" s="323">
        <f t="shared" si="432"/>
        <v>0</v>
      </c>
      <c r="BX599" s="323">
        <f t="shared" si="432"/>
        <v>0</v>
      </c>
      <c r="BY599" s="323">
        <f t="shared" si="432"/>
        <v>0.58962372103436689</v>
      </c>
      <c r="BZ599" s="323">
        <f t="shared" si="432"/>
        <v>0.26209405264554808</v>
      </c>
      <c r="CA599" s="323">
        <f t="shared" si="432"/>
        <v>1.5240433492468854</v>
      </c>
      <c r="CB599" s="323">
        <f t="shared" si="432"/>
        <v>0.94911435578394543</v>
      </c>
      <c r="CC599" s="323">
        <f t="shared" si="432"/>
        <v>0.83735857921354295</v>
      </c>
      <c r="CD599" s="323">
        <f t="shared" si="432"/>
        <v>0.3171077764414989</v>
      </c>
      <c r="CE599" s="324">
        <f t="shared" si="432"/>
        <v>1.609796041207662</v>
      </c>
      <c r="CF599" s="323">
        <f t="shared" si="432"/>
        <v>2.8524102618245348</v>
      </c>
      <c r="CG599" s="323">
        <f t="shared" si="432"/>
        <v>2.7941942746565118</v>
      </c>
      <c r="CH599" s="323">
        <f t="shared" si="432"/>
        <v>10.859034179375151</v>
      </c>
      <c r="CI599" s="323">
        <f t="shared" si="432"/>
        <v>2.3939403119616833</v>
      </c>
      <c r="CJ599" s="323">
        <f t="shared" si="432"/>
        <v>1.6320062209064963</v>
      </c>
      <c r="CK599" s="323">
        <f t="shared" si="432"/>
        <v>1.8258375629085111</v>
      </c>
      <c r="CL599" s="323">
        <f t="shared" si="432"/>
        <v>1.2099095125961763</v>
      </c>
      <c r="CM599" s="323">
        <f t="shared" si="432"/>
        <v>2.958625179097079</v>
      </c>
      <c r="CN599" s="323">
        <f t="shared" si="432"/>
        <v>11.505393079649982</v>
      </c>
      <c r="CO599" s="323">
        <f t="shared" si="432"/>
        <v>1.6941676820614811</v>
      </c>
      <c r="CP599" s="325">
        <f t="shared" si="432"/>
        <v>2.2384904943174666</v>
      </c>
      <c r="CQ599" s="323">
        <f t="shared" si="432"/>
        <v>1.6860845587041022</v>
      </c>
      <c r="CR599" s="323">
        <f t="shared" si="432"/>
        <v>2.4916075424579196</v>
      </c>
      <c r="CS599" s="323">
        <f t="shared" si="432"/>
        <v>2.381247382874994</v>
      </c>
      <c r="CT599" s="323">
        <f t="shared" si="432"/>
        <v>11.364908252121625</v>
      </c>
      <c r="CU599" s="323">
        <f t="shared" si="432"/>
        <v>2.9515366672328889</v>
      </c>
      <c r="CV599" s="323">
        <f t="shared" si="432"/>
        <v>1.0529895974056753</v>
      </c>
      <c r="CW599" s="323">
        <f t="shared" si="432"/>
        <v>1.2312581831084859</v>
      </c>
      <c r="CX599" s="323">
        <f t="shared" si="432"/>
        <v>3.01216799471523</v>
      </c>
      <c r="CY599" s="323">
        <f t="shared" si="432"/>
        <v>2.4792625864566959</v>
      </c>
      <c r="CZ599" s="323">
        <f t="shared" si="432"/>
        <v>12.010492029254976</v>
      </c>
      <c r="DA599" s="323">
        <f t="shared" si="432"/>
        <v>3.1222326490531547</v>
      </c>
      <c r="DB599" s="1269">
        <f t="shared" si="432"/>
        <v>2.0749989416982277</v>
      </c>
      <c r="DC599" s="323">
        <f t="shared" si="432"/>
        <v>1.319552671874697</v>
      </c>
      <c r="DD599" s="323">
        <f t="shared" si="432"/>
        <v>5.1373690910000001</v>
      </c>
      <c r="DE599" s="323">
        <f t="shared" si="432"/>
        <v>2.9449201093999999</v>
      </c>
      <c r="DF599" s="323">
        <f t="shared" si="432"/>
        <v>12.247483175581106</v>
      </c>
      <c r="DG599" s="323">
        <f t="shared" si="432"/>
        <v>4.4292552779999994</v>
      </c>
      <c r="DH599" s="323">
        <f t="shared" si="432"/>
        <v>1.536851974</v>
      </c>
      <c r="DI599" s="323">
        <f t="shared" si="432"/>
        <v>2.1749165699884609</v>
      </c>
      <c r="DJ599" s="323">
        <f t="shared" si="432"/>
        <v>5.4458020928694051</v>
      </c>
      <c r="DK599" s="323">
        <f t="shared" si="432"/>
        <v>2.5397883090813487</v>
      </c>
      <c r="DL599" s="323">
        <f t="shared" si="432"/>
        <v>12.417007610781795</v>
      </c>
      <c r="DM599" s="323">
        <f t="shared" si="432"/>
        <v>4.7381492344584499</v>
      </c>
      <c r="DN599" s="325">
        <f t="shared" si="432"/>
        <v>1.7675173424611397</v>
      </c>
      <c r="DO599" s="323">
        <f t="shared" ref="DO599:DT599" si="433">DO600+DO603</f>
        <v>1.5624071461266182</v>
      </c>
      <c r="DP599" s="323">
        <f t="shared" si="433"/>
        <v>8.1688925405053734</v>
      </c>
      <c r="DQ599" s="323">
        <f t="shared" si="433"/>
        <v>5.0274181674775926</v>
      </c>
      <c r="DR599" s="323">
        <f t="shared" si="433"/>
        <v>12.804770040678553</v>
      </c>
      <c r="DS599" s="323">
        <f t="shared" si="433"/>
        <v>6.4148653641008533</v>
      </c>
      <c r="DT599" s="323">
        <f t="shared" si="433"/>
        <v>3.6345763050848943</v>
      </c>
      <c r="DU599" s="323">
        <f t="shared" ref="DU599:DZ599" si="434">DU600+DU603</f>
        <v>2.9211764689775457</v>
      </c>
      <c r="DV599" s="323">
        <f t="shared" si="434"/>
        <v>8.2619049015322936</v>
      </c>
      <c r="DW599" s="323">
        <f t="shared" si="434"/>
        <v>5.1540049290235483</v>
      </c>
      <c r="DX599" s="323">
        <f t="shared" si="434"/>
        <v>13.239788487451154</v>
      </c>
      <c r="DY599" s="323">
        <f t="shared" si="434"/>
        <v>6.9735188717927592</v>
      </c>
      <c r="DZ599" s="325">
        <f t="shared" si="434"/>
        <v>3.3633532295161346</v>
      </c>
      <c r="EA599" s="323">
        <f t="shared" ref="EA599:EK599" si="435">EA600+EA603</f>
        <v>3.5015318326148477</v>
      </c>
      <c r="EB599" s="323">
        <f t="shared" si="435"/>
        <v>9.8382652611076136</v>
      </c>
      <c r="EC599" s="323">
        <f t="shared" si="435"/>
        <v>6.7202664271364814</v>
      </c>
      <c r="ED599" s="323">
        <f t="shared" si="435"/>
        <v>14.196943588449436</v>
      </c>
      <c r="EE599" s="323">
        <f t="shared" si="435"/>
        <v>8.4657875677882881</v>
      </c>
      <c r="EF599" s="323">
        <f t="shared" si="435"/>
        <v>2.9361864396001032</v>
      </c>
      <c r="EG599" s="323">
        <f t="shared" si="435"/>
        <v>3.4086311096039816</v>
      </c>
      <c r="EH599" s="323">
        <f t="shared" si="435"/>
        <v>11.022596141036644</v>
      </c>
      <c r="EI599" s="323">
        <f t="shared" si="435"/>
        <v>5.3043167825495168</v>
      </c>
      <c r="EJ599" s="323">
        <f t="shared" si="435"/>
        <v>15.840019410930015</v>
      </c>
      <c r="EK599" s="323">
        <f t="shared" si="435"/>
        <v>8.676932441863638</v>
      </c>
      <c r="EL599" s="325">
        <f t="shared" ref="EL599:EQ599" si="436">EL600+EL603</f>
        <v>4.2915163188026204</v>
      </c>
      <c r="EM599" s="323">
        <f t="shared" si="436"/>
        <v>3.8486211165429598</v>
      </c>
      <c r="EN599" s="323">
        <f t="shared" si="436"/>
        <v>10.700859893184743</v>
      </c>
      <c r="EO599" s="323">
        <f>EO600+EO603</f>
        <v>4.6521633732603025</v>
      </c>
      <c r="EP599" s="323">
        <f t="shared" si="436"/>
        <v>16.309403906360082</v>
      </c>
      <c r="EQ599" s="323">
        <f t="shared" si="436"/>
        <v>3.6079288626639343</v>
      </c>
      <c r="ER599" s="323">
        <f>ER600+ER603</f>
        <v>11.427364020758388</v>
      </c>
      <c r="ES599" s="323">
        <f t="shared" ref="ES599:EX599" si="437">ES600+ES603</f>
        <v>4.599654032513925</v>
      </c>
      <c r="ET599" s="323">
        <f t="shared" si="437"/>
        <v>11.416614293321242</v>
      </c>
      <c r="EU599" s="323">
        <f t="shared" si="437"/>
        <v>6.4693827281148817</v>
      </c>
      <c r="EV599" s="323">
        <f t="shared" si="437"/>
        <v>14.166945028627095</v>
      </c>
      <c r="EW599" s="323">
        <f t="shared" si="437"/>
        <v>12.389836306088334</v>
      </c>
      <c r="EX599" s="325">
        <f t="shared" si="437"/>
        <v>3.0826940857728373</v>
      </c>
      <c r="EY599" s="323"/>
      <c r="EZ599" s="323"/>
      <c r="FA599" s="323"/>
      <c r="FB599" s="323"/>
      <c r="FC599" s="323"/>
      <c r="FD599" s="323"/>
      <c r="FE599" s="323"/>
      <c r="FF599" s="323"/>
      <c r="FG599" s="323"/>
      <c r="FH599" s="323"/>
      <c r="FI599" s="323"/>
      <c r="FJ599" s="325"/>
      <c r="FK599" s="323"/>
      <c r="FL599" s="323"/>
      <c r="FM599" s="323"/>
      <c r="FN599" s="323"/>
      <c r="FO599" s="323"/>
      <c r="FP599" s="323"/>
      <c r="FQ599" s="323"/>
      <c r="FR599" s="323"/>
      <c r="FS599" s="323"/>
      <c r="FT599" s="323"/>
      <c r="FU599" s="323"/>
      <c r="FV599" s="323"/>
      <c r="FW599" s="323"/>
      <c r="FX599" s="323"/>
      <c r="FY599" s="323"/>
      <c r="FZ599" s="323"/>
      <c r="GA599" s="323"/>
      <c r="GB599" s="323"/>
      <c r="GC599" s="323"/>
      <c r="GD599" s="323"/>
      <c r="GE599" s="323"/>
      <c r="GF599" s="323"/>
      <c r="GG599" s="323"/>
      <c r="GH599" s="323"/>
      <c r="GI599" s="323"/>
      <c r="GJ599" s="323"/>
      <c r="GK599" s="323"/>
      <c r="GL599" s="323"/>
      <c r="GM599" s="323"/>
      <c r="GN599" s="323"/>
      <c r="GO599" s="323"/>
      <c r="GP599" s="323"/>
      <c r="GQ599" s="323"/>
      <c r="GR599" s="323"/>
      <c r="GS599" s="323"/>
      <c r="GT599" s="323"/>
      <c r="GU599" s="323"/>
      <c r="GV599" s="323"/>
      <c r="GW599" s="323"/>
      <c r="GX599" s="323"/>
      <c r="GY599" s="323"/>
      <c r="GZ599" s="323"/>
      <c r="HA599" s="323"/>
      <c r="HB599" s="323"/>
      <c r="HC599" s="323"/>
      <c r="HD599" s="323"/>
      <c r="HE599" s="323"/>
      <c r="HF599" s="323"/>
      <c r="HG599" s="323"/>
      <c r="HH599" s="323"/>
      <c r="HI599" s="323"/>
      <c r="HJ599" s="323"/>
      <c r="HK599" s="323"/>
      <c r="HL599" s="323"/>
      <c r="HM599" s="323"/>
      <c r="HN599" s="323"/>
      <c r="HO599" s="323"/>
      <c r="HP599" s="323"/>
      <c r="HQ599" s="323"/>
      <c r="HR599" s="323"/>
      <c r="HS599" s="323"/>
      <c r="HT599" s="323"/>
      <c r="HU599" s="323"/>
      <c r="HV599" s="323"/>
      <c r="HW599" s="323"/>
      <c r="HX599" s="323"/>
      <c r="HY599" s="323"/>
      <c r="HZ599" s="326"/>
      <c r="IA599" s="322" t="s">
        <v>134</v>
      </c>
      <c r="IB599" s="322"/>
      <c r="IC599" s="322"/>
      <c r="ID599" s="323">
        <f>+FISC!Z801</f>
        <v>45.8</v>
      </c>
      <c r="IE599" s="279">
        <f>IE600+IE603</f>
        <v>21.928374000797206</v>
      </c>
      <c r="IF599" s="279">
        <f>IF600+IF603</f>
        <v>23.930412384286768</v>
      </c>
      <c r="IG599" s="323">
        <f>IG600+IG603</f>
        <v>45.858786385083974</v>
      </c>
      <c r="IH599" s="607">
        <f>IH600+IH603</f>
        <v>27.615432299855804</v>
      </c>
      <c r="II599" s="279">
        <f>+SUM(DI599:DN599)</f>
        <v>29.083181159640599</v>
      </c>
      <c r="IJ599" s="323">
        <f>IH599+II599</f>
        <v>56.6986134594964</v>
      </c>
      <c r="IK599" s="607">
        <f>IK600+IK603</f>
        <v>37.612929563973886</v>
      </c>
      <c r="IL599" s="279">
        <f>SUM(DU599:DZ599)</f>
        <v>39.913746888293439</v>
      </c>
      <c r="IM599" s="323">
        <f t="shared" si="309"/>
        <v>77.526676452267324</v>
      </c>
      <c r="IN599" s="279">
        <f>IN600+IN603</f>
        <v>44.516631755050831</v>
      </c>
      <c r="IO599" s="279">
        <f>IO600+IO603</f>
        <v>47.06195089699979</v>
      </c>
      <c r="IP599" s="323">
        <f>FISC!AC801</f>
        <v>91.578582652050613</v>
      </c>
      <c r="IQ599" s="279">
        <f>SUM(EM599:ER599)</f>
        <v>50.546341172770411</v>
      </c>
      <c r="IR599" s="279">
        <f>SUM(ES599:EX599)</f>
        <v>52.125126474438318</v>
      </c>
      <c r="IS599" s="323">
        <f t="shared" si="407"/>
        <v>102.67146764720873</v>
      </c>
      <c r="IT599" s="279" t="e">
        <f>(IT600+IT603)</f>
        <v>#REF!</v>
      </c>
      <c r="IU599" s="279" t="e">
        <f>IU600+IU603</f>
        <v>#REF!</v>
      </c>
      <c r="IV599" s="323">
        <f>+FISC!AE801</f>
        <v>151.77201549305553</v>
      </c>
      <c r="IW599" s="279">
        <f>(IW600+IW603)</f>
        <v>83.212893640470043</v>
      </c>
      <c r="IX599" s="279">
        <f t="shared" si="291"/>
        <v>110.07141796189873</v>
      </c>
      <c r="IY599" s="323">
        <f>+FISC!AF801</f>
        <v>193.28431160236877</v>
      </c>
      <c r="IZ599" s="279">
        <f>(IZ600+IZ603)</f>
        <v>104.90031116918013</v>
      </c>
      <c r="JA599" s="279">
        <f t="shared" si="360"/>
        <v>109.99847746782726</v>
      </c>
      <c r="JB599" s="323">
        <f>+FISC!AG801</f>
        <v>214.89878863700739</v>
      </c>
      <c r="JC599" s="279">
        <f>JC600+JC603</f>
        <v>132.07998549204899</v>
      </c>
      <c r="JD599" s="279">
        <f t="shared" si="280"/>
        <v>133.07341471989662</v>
      </c>
      <c r="JE599" s="323">
        <f>+FISC!AH801</f>
        <v>265.15340021194561</v>
      </c>
      <c r="JF599" s="279">
        <f>JF600+JF603</f>
        <v>205.04655113348485</v>
      </c>
      <c r="JG599" s="279">
        <f t="shared" si="281"/>
        <v>221.3535659308867</v>
      </c>
      <c r="JH599" s="323">
        <f>+FISC!AI801</f>
        <v>426.40011706437156</v>
      </c>
      <c r="JI599" s="279">
        <f>JI600+JI603</f>
        <v>248.2908734236043</v>
      </c>
      <c r="JJ599" s="279">
        <f t="shared" si="282"/>
        <v>245.2524719774525</v>
      </c>
      <c r="JK599" s="323">
        <f>+FISC!AJ801</f>
        <v>493.5433454010568</v>
      </c>
      <c r="JL599" s="279">
        <f>JL600+JL603</f>
        <v>123.60819276805377</v>
      </c>
      <c r="JM599" s="279">
        <f t="shared" si="283"/>
        <v>-123.60819276805377</v>
      </c>
      <c r="JN599" s="323">
        <f>+FISC!AK801</f>
        <v>0</v>
      </c>
      <c r="JO599" s="323"/>
      <c r="KU599" s="326"/>
      <c r="KV599" s="327"/>
      <c r="KY599" s="279">
        <f>KY600+KY603</f>
        <v>0</v>
      </c>
      <c r="KZ599" s="279">
        <f>KZ600+KZ603</f>
        <v>0</v>
      </c>
      <c r="LA599" s="279">
        <f>LA600+LA603</f>
        <v>0</v>
      </c>
      <c r="LB599" s="279">
        <f>LB600+LB603</f>
        <v>0</v>
      </c>
    </row>
    <row r="600" spans="1:314" hidden="1">
      <c r="A600" s="279"/>
      <c r="B600" s="96" t="s">
        <v>338</v>
      </c>
      <c r="D600" s="328" t="str">
        <f>+FISC!D802</f>
        <v>Domestic Int (paid)</v>
      </c>
      <c r="E600" s="323">
        <v>2.9690000000000001E-2</v>
      </c>
      <c r="F600" s="323">
        <v>0.14680000000000001</v>
      </c>
      <c r="G600" s="323">
        <v>0.58828440199999998</v>
      </c>
      <c r="H600" s="323">
        <v>0.25210000000000005</v>
      </c>
      <c r="I600" s="323">
        <v>9.2200000000000004E-2</v>
      </c>
      <c r="J600" s="323">
        <v>0.42216999999999999</v>
      </c>
      <c r="K600" s="323">
        <v>1.2952300000000001</v>
      </c>
      <c r="L600" s="323">
        <v>0.12190000000000001</v>
      </c>
      <c r="M600" s="323">
        <v>0.21049999999999999</v>
      </c>
      <c r="N600" s="323">
        <v>2.3719038439999998</v>
      </c>
      <c r="O600" s="323">
        <v>2.3870999999999998</v>
      </c>
      <c r="P600" s="323">
        <v>0.79638999999999993</v>
      </c>
      <c r="Q600" s="323">
        <v>6.4399999999999999E-2</v>
      </c>
      <c r="R600" s="323">
        <v>0</v>
      </c>
      <c r="S600" s="323">
        <v>1.5885</v>
      </c>
      <c r="T600" s="323">
        <v>0.15829390599999998</v>
      </c>
      <c r="U600" s="323">
        <v>0.49757000000000001</v>
      </c>
      <c r="V600" s="323">
        <v>1.629842891</v>
      </c>
      <c r="W600" s="323">
        <v>0.27794000000000002</v>
      </c>
      <c r="X600" s="323">
        <v>1.74481</v>
      </c>
      <c r="Y600" s="323">
        <v>0.23041</v>
      </c>
      <c r="Z600" s="323">
        <v>7.6219999999999996E-2</v>
      </c>
      <c r="AA600" s="323">
        <v>1.6877500000000001</v>
      </c>
      <c r="AB600" s="323">
        <v>0.89905999999999997</v>
      </c>
      <c r="AC600" s="323">
        <v>0</v>
      </c>
      <c r="AD600" s="323">
        <v>0</v>
      </c>
      <c r="AE600" s="323">
        <v>1.09131</v>
      </c>
      <c r="AF600" s="323">
        <v>3.7630000000000004E-2</v>
      </c>
      <c r="AG600" s="323">
        <v>0</v>
      </c>
      <c r="AH600" s="323">
        <v>1.3945999999999998</v>
      </c>
      <c r="AI600" s="323">
        <v>0.47020999999999996</v>
      </c>
      <c r="AJ600" s="323">
        <v>1.27372</v>
      </c>
      <c r="AK600" s="323">
        <v>0.77052999999999994</v>
      </c>
      <c r="AL600" s="323">
        <v>0.81901000000000002</v>
      </c>
      <c r="AM600" s="323">
        <v>1.2096099999999999</v>
      </c>
      <c r="AN600" s="323">
        <v>0.28293000000000001</v>
      </c>
      <c r="AO600" s="323">
        <v>0.2</v>
      </c>
      <c r="AP600" s="323">
        <v>0.38771</v>
      </c>
      <c r="AQ600" s="323">
        <v>1.8365499999999999</v>
      </c>
      <c r="AR600" s="323">
        <v>0.28073999999999999</v>
      </c>
      <c r="AS600" s="323">
        <v>0.17144000000000001</v>
      </c>
      <c r="AT600" s="323">
        <v>1.83338</v>
      </c>
      <c r="AU600" s="323">
        <v>0.47499000000000002</v>
      </c>
      <c r="AV600" s="323">
        <v>1.2760499999999999</v>
      </c>
      <c r="AW600" s="323">
        <v>1.0518800000000001</v>
      </c>
      <c r="AX600" s="323">
        <v>0.2051</v>
      </c>
      <c r="AY600" s="323">
        <v>1.22367</v>
      </c>
      <c r="AZ600" s="323">
        <v>1.1745000000000001</v>
      </c>
      <c r="BA600" s="323">
        <v>0.29500999999999999</v>
      </c>
      <c r="BB600" s="323">
        <v>0.60347000000000006</v>
      </c>
      <c r="BC600" s="323">
        <v>0.94487999999999994</v>
      </c>
      <c r="BD600" s="323">
        <v>1.4343699999999999</v>
      </c>
      <c r="BE600" s="323">
        <v>0.26206000000000002</v>
      </c>
      <c r="BF600" s="323">
        <v>1.9930999999999999</v>
      </c>
      <c r="BG600" s="323">
        <v>0.615281148</v>
      </c>
      <c r="BH600" s="323">
        <v>0.56509976700000009</v>
      </c>
      <c r="BI600" s="323">
        <v>2.1105200669999999</v>
      </c>
      <c r="BJ600" s="323">
        <v>0.404843642</v>
      </c>
      <c r="BK600" s="323">
        <v>0.58462094600000003</v>
      </c>
      <c r="BL600" s="323">
        <v>2.6412371509999999</v>
      </c>
      <c r="BM600" s="323">
        <v>0.82026999999999994</v>
      </c>
      <c r="BN600" s="323">
        <v>1.2502800000000001</v>
      </c>
      <c r="BO600" s="323">
        <v>1.8665499999999999</v>
      </c>
      <c r="BP600" s="323">
        <v>6.445999999999999E-2</v>
      </c>
      <c r="BQ600" s="323">
        <v>0.30124000000000001</v>
      </c>
      <c r="BR600" s="323">
        <v>1.6529700000000001</v>
      </c>
      <c r="BS600" s="323">
        <v>0.72970000000000002</v>
      </c>
      <c r="BT600" s="323">
        <v>0.69099999999999995</v>
      </c>
      <c r="BU600" s="323">
        <v>1.8905999999999998</v>
      </c>
      <c r="BV600" s="323"/>
      <c r="BW600" s="323"/>
      <c r="BX600" s="323"/>
      <c r="BY600" s="323"/>
      <c r="BZ600" s="323"/>
      <c r="CA600" s="323"/>
      <c r="CB600" s="323"/>
      <c r="CC600" s="323"/>
      <c r="CD600" s="323"/>
      <c r="CE600" s="324">
        <f t="shared" ref="CE600:DZ600" si="438">CE106+CE111+CE133+CE136+CE117</f>
        <v>0.91287137277799746</v>
      </c>
      <c r="CF600" s="323">
        <f t="shared" si="438"/>
        <v>2.6440019562175725</v>
      </c>
      <c r="CG600" s="323">
        <f t="shared" si="438"/>
        <v>1.8202696501794504</v>
      </c>
      <c r="CH600" s="323">
        <f t="shared" si="438"/>
        <v>1.0035432534759998</v>
      </c>
      <c r="CI600" s="323">
        <f t="shared" si="438"/>
        <v>2.0724815196329991</v>
      </c>
      <c r="CJ600" s="323">
        <f t="shared" si="438"/>
        <v>1.4396311112401539</v>
      </c>
      <c r="CK600" s="323">
        <f t="shared" si="438"/>
        <v>1.112374852024002</v>
      </c>
      <c r="CL600" s="323">
        <f t="shared" si="438"/>
        <v>0.9939060787571673</v>
      </c>
      <c r="CM600" s="323">
        <f t="shared" si="438"/>
        <v>1.7816367285922678</v>
      </c>
      <c r="CN600" s="323">
        <f t="shared" si="438"/>
        <v>1.1560964636119997</v>
      </c>
      <c r="CO600" s="323">
        <f t="shared" si="438"/>
        <v>1.1988465443248493</v>
      </c>
      <c r="CP600" s="325">
        <f t="shared" si="438"/>
        <v>1.9066930600305543</v>
      </c>
      <c r="CQ600" s="323">
        <f t="shared" si="438"/>
        <v>0.89509302121562162</v>
      </c>
      <c r="CR600" s="323">
        <f t="shared" si="438"/>
        <v>2.3775702459999999</v>
      </c>
      <c r="CS600" s="323">
        <f t="shared" si="438"/>
        <v>0.90787249299999995</v>
      </c>
      <c r="CT600" s="323">
        <f t="shared" si="438"/>
        <v>0.99845654799999994</v>
      </c>
      <c r="CU600" s="323">
        <f t="shared" si="438"/>
        <v>2.4439537179999999</v>
      </c>
      <c r="CV600" s="323">
        <f t="shared" si="438"/>
        <v>0.69764231200000004</v>
      </c>
      <c r="CW600" s="323">
        <f t="shared" si="438"/>
        <v>0.98295110763615112</v>
      </c>
      <c r="CX600" s="323">
        <f t="shared" si="438"/>
        <v>2.26856999</v>
      </c>
      <c r="CY600" s="323">
        <f t="shared" si="438"/>
        <v>1.368852736</v>
      </c>
      <c r="CZ600" s="323">
        <f t="shared" si="438"/>
        <v>0.9260694413638757</v>
      </c>
      <c r="DA600" s="323">
        <f t="shared" si="438"/>
        <v>2.7193807799999998</v>
      </c>
      <c r="DB600" s="1269">
        <f t="shared" si="438"/>
        <v>1.6617217120000001</v>
      </c>
      <c r="DC600" s="323">
        <f t="shared" si="438"/>
        <v>1.013739671850697</v>
      </c>
      <c r="DD600" s="323">
        <f t="shared" si="438"/>
        <v>3.8155369459999999</v>
      </c>
      <c r="DE600" s="323">
        <f t="shared" si="438"/>
        <v>1.2336428793999998</v>
      </c>
      <c r="DF600" s="323">
        <f t="shared" si="438"/>
        <v>1.327297921581104</v>
      </c>
      <c r="DG600" s="323">
        <f t="shared" si="438"/>
        <v>4.0140894349999998</v>
      </c>
      <c r="DH600" s="323">
        <f t="shared" si="438"/>
        <v>1.0529086349999999</v>
      </c>
      <c r="DI600" s="323">
        <f t="shared" si="438"/>
        <v>1.1573102669999999</v>
      </c>
      <c r="DJ600" s="323">
        <f t="shared" si="438"/>
        <v>4.0698216370000004</v>
      </c>
      <c r="DK600" s="323">
        <f t="shared" si="438"/>
        <v>1.0609657140000008</v>
      </c>
      <c r="DL600" s="323">
        <f t="shared" si="438"/>
        <v>1.0815417723131717</v>
      </c>
      <c r="DM600" s="323">
        <f t="shared" si="438"/>
        <v>4.1636333206521741</v>
      </c>
      <c r="DN600" s="325">
        <f t="shared" si="438"/>
        <v>1.3608856950800003</v>
      </c>
      <c r="DO600" s="323">
        <f t="shared" si="438"/>
        <v>1.2351774840365648</v>
      </c>
      <c r="DP600" s="323">
        <f t="shared" si="438"/>
        <v>6.1734157689873967</v>
      </c>
      <c r="DQ600" s="323">
        <f t="shared" si="438"/>
        <v>2.029494319699999</v>
      </c>
      <c r="DR600" s="323">
        <f t="shared" si="438"/>
        <v>1.2692359781160756</v>
      </c>
      <c r="DS600" s="323">
        <f t="shared" si="438"/>
        <v>5.1450937291111103</v>
      </c>
      <c r="DT600" s="323">
        <f t="shared" si="438"/>
        <v>3.2687679459695027</v>
      </c>
      <c r="DU600" s="323">
        <f t="shared" si="438"/>
        <v>1.6967300333154924</v>
      </c>
      <c r="DV600" s="323">
        <f t="shared" si="438"/>
        <v>6.8498788734528917</v>
      </c>
      <c r="DW600" s="323">
        <f t="shared" si="438"/>
        <v>2.044152556342</v>
      </c>
      <c r="DX600" s="323">
        <f t="shared" si="438"/>
        <v>1.7110111851588521</v>
      </c>
      <c r="DY600" s="323">
        <f t="shared" si="438"/>
        <v>6.1522524299347809</v>
      </c>
      <c r="DZ600" s="325">
        <f t="shared" si="438"/>
        <v>3.0128467449470024</v>
      </c>
      <c r="EA600" s="323">
        <f t="shared" ref="EA600:EL600" si="439">EA106+EA111+EA133+EA136+EA117+EA148</f>
        <v>2.1337011621431112</v>
      </c>
      <c r="EB600" s="323">
        <f t="shared" si="439"/>
        <v>7.0659748616649996</v>
      </c>
      <c r="EC600" s="323">
        <f t="shared" si="439"/>
        <v>3.1904143020000002</v>
      </c>
      <c r="ED600" s="323">
        <f t="shared" si="439"/>
        <v>2.0750919090000002</v>
      </c>
      <c r="EE600" s="323">
        <f t="shared" si="439"/>
        <v>7.6867913659999996</v>
      </c>
      <c r="EF600" s="323">
        <f t="shared" si="439"/>
        <v>2.497102579410345</v>
      </c>
      <c r="EG600" s="323">
        <f t="shared" si="439"/>
        <v>2.2924976775182282</v>
      </c>
      <c r="EH600" s="323">
        <f t="shared" si="439"/>
        <v>7.962119747296958</v>
      </c>
      <c r="EI600" s="323">
        <f t="shared" si="439"/>
        <v>3.3006868052530733</v>
      </c>
      <c r="EJ600" s="323">
        <f t="shared" si="439"/>
        <v>1.9681334131410042</v>
      </c>
      <c r="EK600" s="323">
        <f t="shared" si="439"/>
        <v>7.9209123550308345</v>
      </c>
      <c r="EL600" s="325">
        <f t="shared" si="439"/>
        <v>3.282589705546533</v>
      </c>
      <c r="EM600" s="323">
        <f t="shared" ref="EM600:EX600" si="440">(EM106+EM111+EM133+EM136+EM117+EM148)*0+EM329+EM330+EM331+EM332</f>
        <v>2.228758729166457</v>
      </c>
      <c r="EN600" s="323">
        <f t="shared" si="440"/>
        <v>7.9635574682075188</v>
      </c>
      <c r="EO600" s="323">
        <f t="shared" si="440"/>
        <v>2.6397766795801307</v>
      </c>
      <c r="EP600" s="323">
        <f t="shared" si="440"/>
        <v>2.0865679931982122</v>
      </c>
      <c r="EQ600" s="323">
        <f t="shared" si="440"/>
        <v>2.2005343650000002</v>
      </c>
      <c r="ER600" s="323">
        <f t="shared" si="440"/>
        <v>10.34234914812088</v>
      </c>
      <c r="ES600" s="323">
        <f t="shared" si="440"/>
        <v>2.8476184939999998</v>
      </c>
      <c r="ET600" s="323">
        <f t="shared" si="440"/>
        <v>8.8725304500000011</v>
      </c>
      <c r="EU600" s="323">
        <f t="shared" si="440"/>
        <v>2.0579719870000002</v>
      </c>
      <c r="EV600" s="323">
        <f t="shared" si="440"/>
        <v>1.4585385360000001</v>
      </c>
      <c r="EW600" s="323">
        <f t="shared" si="440"/>
        <v>10.389073190000001</v>
      </c>
      <c r="EX600" s="325">
        <f t="shared" si="440"/>
        <v>1.695973894</v>
      </c>
      <c r="EY600" s="323"/>
      <c r="EZ600" s="323"/>
      <c r="FA600" s="323"/>
      <c r="FB600" s="323"/>
      <c r="FC600" s="323"/>
      <c r="FD600" s="323"/>
      <c r="FE600" s="323"/>
      <c r="FF600" s="323"/>
      <c r="FG600" s="323"/>
      <c r="FH600" s="323"/>
      <c r="FI600" s="323"/>
      <c r="FJ600" s="325"/>
      <c r="FK600" s="323"/>
      <c r="FL600" s="323"/>
      <c r="FM600" s="323"/>
      <c r="FN600" s="323"/>
      <c r="FO600" s="323"/>
      <c r="FP600" s="323"/>
      <c r="FQ600" s="323"/>
      <c r="FR600" s="323"/>
      <c r="FS600" s="323"/>
      <c r="FT600" s="323"/>
      <c r="FU600" s="323"/>
      <c r="FV600" s="323"/>
      <c r="FW600" s="323"/>
      <c r="FX600" s="323"/>
      <c r="FY600" s="323"/>
      <c r="FZ600" s="323"/>
      <c r="GA600" s="323"/>
      <c r="GB600" s="323"/>
      <c r="GC600" s="323"/>
      <c r="GD600" s="323"/>
      <c r="GE600" s="323"/>
      <c r="GF600" s="323"/>
      <c r="GG600" s="323"/>
      <c r="GH600" s="323"/>
      <c r="GI600" s="323"/>
      <c r="GJ600" s="323"/>
      <c r="GK600" s="323"/>
      <c r="GL600" s="323"/>
      <c r="GM600" s="323"/>
      <c r="GN600" s="323"/>
      <c r="GO600" s="323"/>
      <c r="GP600" s="323"/>
      <c r="GQ600" s="323"/>
      <c r="GR600" s="323"/>
      <c r="GS600" s="323"/>
      <c r="GT600" s="323"/>
      <c r="GU600" s="323"/>
      <c r="GV600" s="323"/>
      <c r="GW600" s="323"/>
      <c r="GX600" s="323"/>
      <c r="GY600" s="323"/>
      <c r="GZ600" s="323"/>
      <c r="HA600" s="323"/>
      <c r="HB600" s="323"/>
      <c r="HC600" s="323"/>
      <c r="HD600" s="323"/>
      <c r="HE600" s="323"/>
      <c r="HF600" s="323"/>
      <c r="HG600" s="323"/>
      <c r="HH600" s="323"/>
      <c r="HI600" s="323"/>
      <c r="HJ600" s="323"/>
      <c r="HK600" s="323"/>
      <c r="HL600" s="323"/>
      <c r="HM600" s="323"/>
      <c r="HN600" s="323"/>
      <c r="HO600" s="323"/>
      <c r="HP600" s="323"/>
      <c r="HQ600" s="323"/>
      <c r="HR600" s="323"/>
      <c r="HS600" s="323"/>
      <c r="HT600" s="323"/>
      <c r="HU600" s="323"/>
      <c r="HV600" s="323"/>
      <c r="HW600" s="323"/>
      <c r="HX600" s="323"/>
      <c r="HY600" s="323"/>
      <c r="HZ600" s="326"/>
      <c r="IA600" s="328" t="s">
        <v>135</v>
      </c>
      <c r="IB600" s="328"/>
      <c r="IC600" s="328"/>
      <c r="ID600" s="323">
        <f>+FISC!Z802</f>
        <v>18.2</v>
      </c>
      <c r="IE600" s="279">
        <f>SUM(CQ600:CV600)</f>
        <v>8.3205883382156216</v>
      </c>
      <c r="IF600" s="279">
        <f>SUM(CW600:DB600)</f>
        <v>9.9275457670000264</v>
      </c>
      <c r="IG600" s="323">
        <f>SUM(CQ600:DB600)</f>
        <v>18.248134105215644</v>
      </c>
      <c r="IH600" s="279">
        <f>+SUM(DC600:DH600)</f>
        <v>12.457215488831801</v>
      </c>
      <c r="II600" s="279">
        <f>+SUM(DI600:DN600)</f>
        <v>12.894158406045348</v>
      </c>
      <c r="IJ600" s="323">
        <f>IH600+II600</f>
        <v>25.351373894877149</v>
      </c>
      <c r="IK600" s="279">
        <f>+SUM(DO600:DT600)</f>
        <v>19.121185225920648</v>
      </c>
      <c r="IL600" s="554">
        <f>SUM(DU600:DZ600)</f>
        <v>21.46687182315102</v>
      </c>
      <c r="IM600" s="323">
        <f t="shared" si="309"/>
        <v>40.588057049071665</v>
      </c>
      <c r="IN600" s="279">
        <v>23.655134132000001</v>
      </c>
      <c r="IO600" s="279">
        <f>IP600-IN600</f>
        <v>25.244878396000004</v>
      </c>
      <c r="IP600" s="323">
        <f>FISC!AC802</f>
        <v>48.900012528000005</v>
      </c>
      <c r="IQ600" s="279">
        <f>SUM(EM600:ER600)</f>
        <v>27.4615443832732</v>
      </c>
      <c r="IR600" s="279">
        <f>SUM(ES600:EX600)</f>
        <v>27.321706551000005</v>
      </c>
      <c r="IS600" s="323">
        <f t="shared" si="407"/>
        <v>54.783250934273205</v>
      </c>
      <c r="IT600" s="327" t="e">
        <f>((IV600/2)*0+#REF!)*0+39.080332332</f>
        <v>#REF!</v>
      </c>
      <c r="IU600" s="279" t="e">
        <f>+IV600-IT600</f>
        <v>#REF!</v>
      </c>
      <c r="IV600" s="323">
        <f>+FISC!AE802</f>
        <v>101.443059386</v>
      </c>
      <c r="IW600" s="327">
        <f>(IY600/2)*0+53.8064759921235</f>
        <v>53.806475992123502</v>
      </c>
      <c r="IX600" s="279">
        <f t="shared" si="291"/>
        <v>80.137634864077512</v>
      </c>
      <c r="IY600" s="323">
        <f>+FISC!AF802</f>
        <v>133.94411085620101</v>
      </c>
      <c r="IZ600" s="327">
        <f>JB600/2</f>
        <v>72.465633803976004</v>
      </c>
      <c r="JA600" s="279">
        <f t="shared" si="360"/>
        <v>72.465633803976004</v>
      </c>
      <c r="JB600" s="323">
        <f>+FISC!AG802</f>
        <v>144.93126760795201</v>
      </c>
      <c r="JC600" s="327">
        <f>JE600/2</f>
        <v>77.959212179850994</v>
      </c>
      <c r="JD600" s="279">
        <f t="shared" si="280"/>
        <v>77.959212179850994</v>
      </c>
      <c r="JE600" s="323">
        <f>+FISC!AH802</f>
        <v>155.91842435970199</v>
      </c>
      <c r="JF600" s="327">
        <f>JH600/2</f>
        <v>119.8829467332973</v>
      </c>
      <c r="JG600" s="279">
        <f t="shared" si="281"/>
        <v>119.8829467332973</v>
      </c>
      <c r="JH600" s="323">
        <f>+FISC!AI802</f>
        <v>239.7658934665946</v>
      </c>
      <c r="JI600" s="327">
        <f>JK600/2</f>
        <v>131.98542468401922</v>
      </c>
      <c r="JJ600" s="279">
        <f t="shared" si="282"/>
        <v>131.98542468401922</v>
      </c>
      <c r="JK600" s="323">
        <f>+FISC!AJ802</f>
        <v>263.97084936803844</v>
      </c>
      <c r="JL600" s="327">
        <f>JN600/2</f>
        <v>0</v>
      </c>
      <c r="JM600" s="279">
        <f t="shared" si="283"/>
        <v>0</v>
      </c>
      <c r="JN600" s="323">
        <f>+FISC!AK802</f>
        <v>0</v>
      </c>
      <c r="JO600" s="323"/>
      <c r="KU600" s="326"/>
      <c r="KV600" s="327"/>
    </row>
    <row r="601" spans="1:314" hidden="1">
      <c r="A601" s="279"/>
      <c r="B601" s="96" t="s">
        <v>338</v>
      </c>
      <c r="D601" s="328" t="str">
        <f>+FISC!D803</f>
        <v>of which Interest on overdraft and T/Bills</v>
      </c>
      <c r="E601" s="323"/>
      <c r="F601" s="323"/>
      <c r="G601" s="323"/>
      <c r="H601" s="323"/>
      <c r="I601" s="323"/>
      <c r="J601" s="323"/>
      <c r="K601" s="323"/>
      <c r="L601" s="323"/>
      <c r="M601" s="323"/>
      <c r="N601" s="323"/>
      <c r="O601" s="323"/>
      <c r="P601" s="323"/>
      <c r="Q601" s="323"/>
      <c r="R601" s="323"/>
      <c r="S601" s="323"/>
      <c r="T601" s="323"/>
      <c r="U601" s="323"/>
      <c r="V601" s="323"/>
      <c r="W601" s="323"/>
      <c r="X601" s="323"/>
      <c r="Y601" s="323"/>
      <c r="Z601" s="323"/>
      <c r="AA601" s="323"/>
      <c r="AB601" s="323"/>
      <c r="AC601" s="323"/>
      <c r="AD601" s="323"/>
      <c r="AE601" s="323"/>
      <c r="AF601" s="323"/>
      <c r="AG601" s="323"/>
      <c r="AH601" s="323"/>
      <c r="AI601" s="323"/>
      <c r="AJ601" s="323"/>
      <c r="AK601" s="323"/>
      <c r="AL601" s="323"/>
      <c r="AM601" s="323"/>
      <c r="AN601" s="323"/>
      <c r="AO601" s="323"/>
      <c r="AP601" s="323"/>
      <c r="AQ601" s="323"/>
      <c r="AR601" s="323"/>
      <c r="AS601" s="323"/>
      <c r="AT601" s="323"/>
      <c r="AU601" s="323"/>
      <c r="AV601" s="323"/>
      <c r="AW601" s="323"/>
      <c r="AX601" s="323"/>
      <c r="AY601" s="323"/>
      <c r="AZ601" s="323"/>
      <c r="BA601" s="323"/>
      <c r="BB601" s="323"/>
      <c r="BC601" s="323"/>
      <c r="BD601" s="323"/>
      <c r="BE601" s="323"/>
      <c r="BF601" s="323"/>
      <c r="BG601" s="323"/>
      <c r="BH601" s="323"/>
      <c r="BI601" s="323"/>
      <c r="BJ601" s="323"/>
      <c r="BK601" s="323"/>
      <c r="BL601" s="323"/>
      <c r="BM601" s="323"/>
      <c r="BN601" s="323"/>
      <c r="BO601" s="323"/>
      <c r="BP601" s="323"/>
      <c r="BQ601" s="323"/>
      <c r="BR601" s="323"/>
      <c r="BS601" s="323"/>
      <c r="BT601" s="323"/>
      <c r="BU601" s="323"/>
      <c r="BV601" s="323"/>
      <c r="BW601" s="323"/>
      <c r="BX601" s="323"/>
      <c r="BY601" s="323"/>
      <c r="BZ601" s="323"/>
      <c r="CA601" s="323"/>
      <c r="CB601" s="323"/>
      <c r="CC601" s="323"/>
      <c r="CD601" s="323"/>
      <c r="CE601" s="324">
        <f t="shared" ref="CE601:DJ601" si="441">CE133+CE117</f>
        <v>0.8567917237779975</v>
      </c>
      <c r="CF601" s="323">
        <f t="shared" si="441"/>
        <v>1.5190019562175723</v>
      </c>
      <c r="CG601" s="323">
        <f t="shared" si="441"/>
        <v>1.7827293571794505</v>
      </c>
      <c r="CH601" s="323">
        <f t="shared" si="441"/>
        <v>0.66247898047599996</v>
      </c>
      <c r="CI601" s="323">
        <f t="shared" si="441"/>
        <v>0.93476107363299932</v>
      </c>
      <c r="CJ601" s="323">
        <f t="shared" si="441"/>
        <v>1.145066085240154</v>
      </c>
      <c r="CK601" s="323">
        <f t="shared" si="441"/>
        <v>0.84615437002400196</v>
      </c>
      <c r="CL601" s="323">
        <f t="shared" si="441"/>
        <v>0.86265607875716732</v>
      </c>
      <c r="CM601" s="323">
        <f t="shared" si="441"/>
        <v>0.75725545859226795</v>
      </c>
      <c r="CN601" s="323">
        <f t="shared" si="441"/>
        <v>0.76104997761199977</v>
      </c>
      <c r="CO601" s="323">
        <f t="shared" si="441"/>
        <v>1.0063465443248494</v>
      </c>
      <c r="CP601" s="325">
        <f t="shared" si="441"/>
        <v>0.93755087103055434</v>
      </c>
      <c r="CQ601" s="323">
        <f t="shared" si="441"/>
        <v>0.65261801799999997</v>
      </c>
      <c r="CR601" s="323">
        <f t="shared" si="441"/>
        <v>0.91038274600000002</v>
      </c>
      <c r="CS601" s="323">
        <f t="shared" si="441"/>
        <v>0.69234831799999996</v>
      </c>
      <c r="CT601" s="323">
        <f t="shared" si="441"/>
        <v>0.62745235899999996</v>
      </c>
      <c r="CU601" s="323">
        <f t="shared" si="441"/>
        <v>0.61350729800000003</v>
      </c>
      <c r="CV601" s="323">
        <f t="shared" si="441"/>
        <v>0.678872166</v>
      </c>
      <c r="CW601" s="323">
        <f t="shared" si="441"/>
        <v>0.76481893000000001</v>
      </c>
      <c r="CX601" s="323">
        <f t="shared" si="441"/>
        <v>0.66076999000000003</v>
      </c>
      <c r="CY601" s="323">
        <f t="shared" si="441"/>
        <v>0.52347253900000001</v>
      </c>
      <c r="CZ601" s="323">
        <f t="shared" si="441"/>
        <v>0.57971236299999995</v>
      </c>
      <c r="DA601" s="323">
        <f t="shared" si="441"/>
        <v>0.63500577999999996</v>
      </c>
      <c r="DB601" s="1269">
        <f t="shared" si="441"/>
        <v>0.820095554</v>
      </c>
      <c r="DC601" s="323">
        <f t="shared" si="441"/>
        <v>0.82056269400000004</v>
      </c>
      <c r="DD601" s="323">
        <f t="shared" si="441"/>
        <v>0.70397444600000003</v>
      </c>
      <c r="DE601" s="323">
        <f t="shared" si="441"/>
        <v>1.033270651</v>
      </c>
      <c r="DF601" s="323">
        <f t="shared" si="441"/>
        <v>1.0062079829999999</v>
      </c>
      <c r="DG601" s="323">
        <f t="shared" si="441"/>
        <v>0.645964435</v>
      </c>
      <c r="DH601" s="323">
        <f t="shared" si="441"/>
        <v>0.81263786900000001</v>
      </c>
      <c r="DI601" s="323">
        <f t="shared" si="441"/>
        <v>0.98971626800000001</v>
      </c>
      <c r="DJ601" s="323">
        <f t="shared" si="441"/>
        <v>0.699821637</v>
      </c>
      <c r="DK601" s="323">
        <f t="shared" ref="DK601:EP601" si="442">DK133+DK117</f>
        <v>0.68025465400000096</v>
      </c>
      <c r="DL601" s="323">
        <f t="shared" si="442"/>
        <v>1.0676046000000008</v>
      </c>
      <c r="DM601" s="323">
        <f t="shared" si="442"/>
        <v>0.74050832065217387</v>
      </c>
      <c r="DN601" s="325">
        <f t="shared" si="442"/>
        <v>0.66428016508000043</v>
      </c>
      <c r="DO601" s="323">
        <f t="shared" si="442"/>
        <v>1.0938100360622067</v>
      </c>
      <c r="DP601" s="323">
        <f t="shared" si="442"/>
        <v>1.1335291669873961</v>
      </c>
      <c r="DQ601" s="323">
        <f t="shared" si="442"/>
        <v>1.7708686646999992</v>
      </c>
      <c r="DR601" s="323">
        <f t="shared" si="442"/>
        <v>1.0812104925347645</v>
      </c>
      <c r="DS601" s="323">
        <f t="shared" si="442"/>
        <v>1.0469687291111103</v>
      </c>
      <c r="DT601" s="323">
        <f t="shared" si="442"/>
        <v>2.4930622369695028</v>
      </c>
      <c r="DU601" s="323">
        <f t="shared" si="442"/>
        <v>1.5389733838571427</v>
      </c>
      <c r="DV601" s="323">
        <f t="shared" si="442"/>
        <v>1.6260321274528915</v>
      </c>
      <c r="DW601" s="323">
        <f t="shared" si="442"/>
        <v>1.8303119983420002</v>
      </c>
      <c r="DX601" s="323">
        <f t="shared" si="442"/>
        <v>1.592668266</v>
      </c>
      <c r="DY601" s="323">
        <f t="shared" si="442"/>
        <v>1.1541274299347808</v>
      </c>
      <c r="DZ601" s="325">
        <f t="shared" si="442"/>
        <v>2.8163975239470025</v>
      </c>
      <c r="EA601" s="323">
        <f t="shared" si="442"/>
        <v>2.0467826980000008</v>
      </c>
      <c r="EB601" s="323">
        <f t="shared" si="442"/>
        <v>1.5587384066649999</v>
      </c>
      <c r="EC601" s="323">
        <f t="shared" si="442"/>
        <v>2.6224481310000001</v>
      </c>
      <c r="ED601" s="323">
        <f t="shared" si="442"/>
        <v>1.929335523</v>
      </c>
      <c r="EE601" s="323">
        <f t="shared" si="442"/>
        <v>1.3424163659999999</v>
      </c>
      <c r="EF601" s="323">
        <f t="shared" si="442"/>
        <v>1.9744015291603452</v>
      </c>
      <c r="EG601" s="323">
        <f t="shared" si="442"/>
        <v>2.2338352585182282</v>
      </c>
      <c r="EH601" s="323">
        <f t="shared" si="442"/>
        <v>2.261494747296958</v>
      </c>
      <c r="EI601" s="323">
        <f t="shared" si="442"/>
        <v>2.5834986032530733</v>
      </c>
      <c r="EJ601" s="323">
        <f t="shared" si="442"/>
        <v>1.9238644651410042</v>
      </c>
      <c r="EK601" s="323">
        <f t="shared" si="442"/>
        <v>1.6690373550308344</v>
      </c>
      <c r="EL601" s="325">
        <f t="shared" si="442"/>
        <v>2.4340352605465334</v>
      </c>
      <c r="EM601" s="323">
        <f t="shared" si="442"/>
        <v>2.1990631711664572</v>
      </c>
      <c r="EN601" s="323">
        <f t="shared" si="442"/>
        <v>2.056682468207518</v>
      </c>
      <c r="EO601" s="323">
        <f t="shared" si="442"/>
        <v>1.7641710395801309</v>
      </c>
      <c r="EP601" s="323">
        <f t="shared" si="442"/>
        <v>2.0716279921982124</v>
      </c>
      <c r="EQ601" s="323">
        <f t="shared" ref="EQ601:EX601" si="443">EQ133+EQ117</f>
        <v>2.0130343650000002</v>
      </c>
      <c r="ER601" s="323">
        <f t="shared" si="443"/>
        <v>1.9079741481208798</v>
      </c>
      <c r="ES601" s="323">
        <f t="shared" si="443"/>
        <v>0</v>
      </c>
      <c r="ET601" s="323">
        <f t="shared" si="443"/>
        <v>0</v>
      </c>
      <c r="EU601" s="323">
        <f t="shared" si="443"/>
        <v>0</v>
      </c>
      <c r="EV601" s="323">
        <f t="shared" si="443"/>
        <v>0</v>
      </c>
      <c r="EW601" s="323">
        <f t="shared" si="443"/>
        <v>0</v>
      </c>
      <c r="EX601" s="325">
        <f t="shared" si="443"/>
        <v>0</v>
      </c>
      <c r="EY601" s="323"/>
      <c r="EZ601" s="323"/>
      <c r="FA601" s="323"/>
      <c r="FB601" s="323"/>
      <c r="FC601" s="323"/>
      <c r="FD601" s="323"/>
      <c r="FE601" s="323"/>
      <c r="FF601" s="323"/>
      <c r="FG601" s="323"/>
      <c r="FH601" s="323"/>
      <c r="FI601" s="323"/>
      <c r="FJ601" s="325"/>
      <c r="FK601" s="323"/>
      <c r="FL601" s="323"/>
      <c r="FM601" s="323"/>
      <c r="FN601" s="323"/>
      <c r="FO601" s="323"/>
      <c r="FP601" s="323"/>
      <c r="FQ601" s="323"/>
      <c r="FR601" s="323"/>
      <c r="FS601" s="323"/>
      <c r="FT601" s="323"/>
      <c r="FU601" s="323"/>
      <c r="FV601" s="323"/>
      <c r="FW601" s="323"/>
      <c r="FX601" s="323"/>
      <c r="FY601" s="323"/>
      <c r="FZ601" s="323"/>
      <c r="GA601" s="323"/>
      <c r="GB601" s="323"/>
      <c r="GC601" s="323"/>
      <c r="GD601" s="323"/>
      <c r="GE601" s="323"/>
      <c r="GF601" s="323"/>
      <c r="GG601" s="323"/>
      <c r="GH601" s="323"/>
      <c r="GI601" s="323"/>
      <c r="GJ601" s="323"/>
      <c r="GK601" s="323"/>
      <c r="GL601" s="323"/>
      <c r="GM601" s="323"/>
      <c r="GN601" s="323"/>
      <c r="GO601" s="323"/>
      <c r="GP601" s="323"/>
      <c r="GQ601" s="323"/>
      <c r="GR601" s="323"/>
      <c r="GS601" s="323"/>
      <c r="GT601" s="323"/>
      <c r="GU601" s="323"/>
      <c r="GV601" s="323"/>
      <c r="GW601" s="323"/>
      <c r="GX601" s="323"/>
      <c r="GY601" s="323"/>
      <c r="GZ601" s="323"/>
      <c r="HA601" s="323"/>
      <c r="HB601" s="323"/>
      <c r="HC601" s="323"/>
      <c r="HD601" s="323"/>
      <c r="HE601" s="323"/>
      <c r="HF601" s="323"/>
      <c r="HG601" s="323"/>
      <c r="HH601" s="323"/>
      <c r="HI601" s="323"/>
      <c r="HJ601" s="323"/>
      <c r="HK601" s="323"/>
      <c r="HL601" s="323"/>
      <c r="HM601" s="323"/>
      <c r="HN601" s="323"/>
      <c r="HO601" s="323"/>
      <c r="HP601" s="323"/>
      <c r="HQ601" s="323"/>
      <c r="HR601" s="323"/>
      <c r="HS601" s="323"/>
      <c r="HT601" s="323"/>
      <c r="HU601" s="323"/>
      <c r="HV601" s="323"/>
      <c r="HW601" s="323"/>
      <c r="HX601" s="323"/>
      <c r="HY601" s="323"/>
      <c r="HZ601" s="326"/>
      <c r="IA601" s="328" t="s">
        <v>136</v>
      </c>
      <c r="IB601" s="328"/>
      <c r="IC601" s="328"/>
      <c r="ID601" s="323">
        <f>+FISC!Z803</f>
        <v>4.1751809049999995</v>
      </c>
      <c r="IE601" s="279">
        <f>SUM(CQ601:CV601)</f>
        <v>4.1751809049999995</v>
      </c>
      <c r="IF601" s="279">
        <f>SUM(CW601:DB601)</f>
        <v>3.9838751559999999</v>
      </c>
      <c r="IG601" s="323">
        <f>SUM(CQ601:DB601)</f>
        <v>8.1590560609999994</v>
      </c>
      <c r="IJ601" s="323">
        <v>0</v>
      </c>
      <c r="IK601" s="279">
        <f>+SUM(DO601:DT601)</f>
        <v>8.619449326364979</v>
      </c>
      <c r="IL601" s="279">
        <f>SUM(DU601:DZ601)</f>
        <v>10.558510729533818</v>
      </c>
      <c r="IM601" s="323">
        <f t="shared" si="309"/>
        <v>19.177960055898797</v>
      </c>
      <c r="IO601" s="327"/>
      <c r="IP601" s="323">
        <f>FISC!AC803</f>
        <v>0</v>
      </c>
      <c r="IQ601" s="279">
        <f>SUM(EM601:ER601)</f>
        <v>12.0125531842732</v>
      </c>
      <c r="IR601" s="279">
        <f>SUM(ES601:EX601)</f>
        <v>0</v>
      </c>
      <c r="IS601" s="323">
        <f t="shared" si="407"/>
        <v>12.0125531842732</v>
      </c>
      <c r="IT601" s="327"/>
      <c r="IU601" s="327"/>
      <c r="IV601" s="323">
        <f>+FISC!AE803</f>
        <v>0</v>
      </c>
      <c r="IW601" s="279">
        <f>IY601*JU601</f>
        <v>0</v>
      </c>
      <c r="IX601" s="279">
        <f t="shared" si="291"/>
        <v>0</v>
      </c>
      <c r="IY601" s="323">
        <f>+FISC!AF803</f>
        <v>0</v>
      </c>
      <c r="IZ601" s="279">
        <f>JB601*JU601</f>
        <v>0</v>
      </c>
      <c r="JA601" s="279">
        <f t="shared" si="360"/>
        <v>0</v>
      </c>
      <c r="JB601" s="323">
        <f>+FISC!AG803</f>
        <v>0</v>
      </c>
      <c r="JC601" s="279">
        <f>JE601*JU601</f>
        <v>0</v>
      </c>
      <c r="JD601" s="279">
        <f t="shared" si="280"/>
        <v>0</v>
      </c>
      <c r="JE601" s="323">
        <f>+FISC!AH803</f>
        <v>0</v>
      </c>
      <c r="JF601" s="279">
        <f>JH601*JU601</f>
        <v>0</v>
      </c>
      <c r="JG601" s="279">
        <f t="shared" si="281"/>
        <v>0</v>
      </c>
      <c r="JH601" s="323">
        <f>+FISC!AI803</f>
        <v>0</v>
      </c>
      <c r="JI601" s="279">
        <f>JK601*JX601</f>
        <v>0</v>
      </c>
      <c r="JJ601" s="279">
        <f t="shared" si="282"/>
        <v>0</v>
      </c>
      <c r="JK601" s="323">
        <f>+FISC!AJ803</f>
        <v>0</v>
      </c>
      <c r="JL601" s="279">
        <f>JN601*KA601</f>
        <v>0</v>
      </c>
      <c r="JM601" s="279">
        <f t="shared" si="283"/>
        <v>0</v>
      </c>
      <c r="JN601" s="323">
        <f>+FISC!AK803</f>
        <v>0</v>
      </c>
      <c r="JO601" s="323"/>
      <c r="KU601" s="326"/>
      <c r="KV601" s="327"/>
    </row>
    <row r="602" spans="1:314" hidden="1">
      <c r="A602" s="279"/>
      <c r="D602" s="328"/>
      <c r="E602" s="323"/>
      <c r="F602" s="323"/>
      <c r="G602" s="323"/>
      <c r="H602" s="323"/>
      <c r="I602" s="323"/>
      <c r="J602" s="323"/>
      <c r="K602" s="323"/>
      <c r="L602" s="323"/>
      <c r="M602" s="323"/>
      <c r="N602" s="323"/>
      <c r="O602" s="323"/>
      <c r="P602" s="323"/>
      <c r="Q602" s="323"/>
      <c r="R602" s="323"/>
      <c r="S602" s="323"/>
      <c r="T602" s="323"/>
      <c r="U602" s="323"/>
      <c r="V602" s="323"/>
      <c r="W602" s="323"/>
      <c r="X602" s="323"/>
      <c r="Y602" s="323"/>
      <c r="Z602" s="323"/>
      <c r="AA602" s="323"/>
      <c r="AB602" s="323"/>
      <c r="AC602" s="323"/>
      <c r="AD602" s="323"/>
      <c r="AE602" s="323"/>
      <c r="AF602" s="323"/>
      <c r="AG602" s="323"/>
      <c r="AH602" s="323"/>
      <c r="AI602" s="323"/>
      <c r="AJ602" s="323"/>
      <c r="AK602" s="323"/>
      <c r="AL602" s="323"/>
      <c r="AM602" s="323"/>
      <c r="AN602" s="323"/>
      <c r="AO602" s="323"/>
      <c r="AP602" s="323"/>
      <c r="AQ602" s="323"/>
      <c r="AR602" s="323"/>
      <c r="AS602" s="323"/>
      <c r="AT602" s="323"/>
      <c r="AU602" s="323"/>
      <c r="AV602" s="323"/>
      <c r="AW602" s="323"/>
      <c r="AX602" s="323"/>
      <c r="AY602" s="323"/>
      <c r="AZ602" s="323"/>
      <c r="BA602" s="323"/>
      <c r="BB602" s="323"/>
      <c r="BC602" s="323"/>
      <c r="BD602" s="323"/>
      <c r="BE602" s="323"/>
      <c r="BF602" s="323"/>
      <c r="BG602" s="323"/>
      <c r="BH602" s="323"/>
      <c r="BI602" s="323"/>
      <c r="BJ602" s="323"/>
      <c r="BK602" s="323"/>
      <c r="BL602" s="323"/>
      <c r="BM602" s="323"/>
      <c r="BN602" s="323"/>
      <c r="BO602" s="323"/>
      <c r="BP602" s="323"/>
      <c r="BQ602" s="323"/>
      <c r="BR602" s="323"/>
      <c r="BS602" s="323"/>
      <c r="BT602" s="323"/>
      <c r="BU602" s="323"/>
      <c r="BV602" s="323"/>
      <c r="BW602" s="323"/>
      <c r="BX602" s="323"/>
      <c r="BY602" s="323"/>
      <c r="BZ602" s="323"/>
      <c r="CA602" s="323"/>
      <c r="CB602" s="323"/>
      <c r="CC602" s="323"/>
      <c r="CD602" s="323"/>
      <c r="CE602" s="324"/>
      <c r="CF602" s="323"/>
      <c r="CG602" s="323"/>
      <c r="CH602" s="323"/>
      <c r="CI602" s="323"/>
      <c r="CJ602" s="323"/>
      <c r="CK602" s="323"/>
      <c r="CL602" s="323"/>
      <c r="CM602" s="323"/>
      <c r="CN602" s="323"/>
      <c r="CO602" s="323"/>
      <c r="CP602" s="325"/>
      <c r="CQ602" s="323"/>
      <c r="CR602" s="323"/>
      <c r="CS602" s="323"/>
      <c r="CT602" s="323"/>
      <c r="CU602" s="323"/>
      <c r="CV602" s="323"/>
      <c r="CW602" s="323"/>
      <c r="CX602" s="323"/>
      <c r="CY602" s="323"/>
      <c r="CZ602" s="323"/>
      <c r="DA602" s="323"/>
      <c r="DB602" s="1269"/>
      <c r="DC602" s="323"/>
      <c r="DD602" s="323"/>
      <c r="DE602" s="323"/>
      <c r="DF602" s="323"/>
      <c r="DG602" s="323"/>
      <c r="DH602" s="323"/>
      <c r="DI602" s="323"/>
      <c r="DJ602" s="323"/>
      <c r="DK602" s="323"/>
      <c r="DL602" s="323"/>
      <c r="DM602" s="323"/>
      <c r="DN602" s="325"/>
      <c r="DO602" s="323"/>
      <c r="DP602" s="323"/>
      <c r="DQ602" s="323"/>
      <c r="DR602" s="323"/>
      <c r="DS602" s="323"/>
      <c r="DT602" s="323"/>
      <c r="DU602" s="323"/>
      <c r="DV602" s="323"/>
      <c r="DW602" s="323"/>
      <c r="DX602" s="323"/>
      <c r="DY602" s="323"/>
      <c r="DZ602" s="325"/>
      <c r="EA602" s="323"/>
      <c r="EB602" s="323"/>
      <c r="EC602" s="323"/>
      <c r="ED602" s="323"/>
      <c r="EE602" s="323"/>
      <c r="EF602" s="323"/>
      <c r="EG602" s="323"/>
      <c r="EH602" s="323"/>
      <c r="EI602" s="323"/>
      <c r="EJ602" s="323"/>
      <c r="EK602" s="323"/>
      <c r="EL602" s="325"/>
      <c r="EM602" s="323"/>
      <c r="EN602" s="323"/>
      <c r="EO602" s="323"/>
      <c r="EP602" s="323"/>
      <c r="EQ602" s="323"/>
      <c r="ER602" s="323"/>
      <c r="ES602" s="323"/>
      <c r="ET602" s="323"/>
      <c r="EU602" s="323"/>
      <c r="EV602" s="323"/>
      <c r="EW602" s="323"/>
      <c r="EX602" s="325"/>
      <c r="EY602" s="323"/>
      <c r="EZ602" s="323"/>
      <c r="FA602" s="323"/>
      <c r="FB602" s="323"/>
      <c r="FC602" s="323"/>
      <c r="FD602" s="323"/>
      <c r="FE602" s="323"/>
      <c r="FF602" s="323"/>
      <c r="FG602" s="323"/>
      <c r="FH602" s="323"/>
      <c r="FI602" s="323"/>
      <c r="FJ602" s="325"/>
      <c r="FK602" s="323"/>
      <c r="FL602" s="323"/>
      <c r="FM602" s="323"/>
      <c r="FN602" s="323"/>
      <c r="FO602" s="323"/>
      <c r="FP602" s="323"/>
      <c r="FQ602" s="323"/>
      <c r="FR602" s="323"/>
      <c r="FS602" s="323"/>
      <c r="FT602" s="323"/>
      <c r="FU602" s="323"/>
      <c r="FV602" s="323"/>
      <c r="FW602" s="323"/>
      <c r="FX602" s="323"/>
      <c r="FY602" s="323"/>
      <c r="FZ602" s="323"/>
      <c r="GA602" s="323"/>
      <c r="GB602" s="323"/>
      <c r="GC602" s="323"/>
      <c r="GD602" s="323"/>
      <c r="GE602" s="323"/>
      <c r="GF602" s="323"/>
      <c r="GG602" s="323"/>
      <c r="GH602" s="323"/>
      <c r="GI602" s="323"/>
      <c r="GJ602" s="323"/>
      <c r="GK602" s="323"/>
      <c r="GL602" s="323"/>
      <c r="GM602" s="323"/>
      <c r="GN602" s="323"/>
      <c r="GO602" s="323"/>
      <c r="GP602" s="323"/>
      <c r="GQ602" s="323"/>
      <c r="GR602" s="323"/>
      <c r="GS602" s="323"/>
      <c r="GT602" s="323"/>
      <c r="GU602" s="323"/>
      <c r="GV602" s="323"/>
      <c r="GW602" s="323"/>
      <c r="GX602" s="323"/>
      <c r="GY602" s="323"/>
      <c r="GZ602" s="323"/>
      <c r="HA602" s="323"/>
      <c r="HB602" s="323"/>
      <c r="HC602" s="323"/>
      <c r="HD602" s="323"/>
      <c r="HE602" s="323"/>
      <c r="HF602" s="323"/>
      <c r="HG602" s="323"/>
      <c r="HH602" s="323"/>
      <c r="HI602" s="323"/>
      <c r="HJ602" s="323"/>
      <c r="HK602" s="323"/>
      <c r="HL602" s="323"/>
      <c r="HM602" s="323"/>
      <c r="HN602" s="323"/>
      <c r="HO602" s="323"/>
      <c r="HP602" s="323"/>
      <c r="HQ602" s="323"/>
      <c r="HR602" s="323"/>
      <c r="HS602" s="323"/>
      <c r="HT602" s="323"/>
      <c r="HU602" s="323"/>
      <c r="HV602" s="323"/>
      <c r="HW602" s="323"/>
      <c r="HX602" s="323"/>
      <c r="HY602" s="323"/>
      <c r="HZ602" s="326"/>
      <c r="IA602" s="1120" t="s">
        <v>1204</v>
      </c>
      <c r="IB602" s="1120"/>
      <c r="IC602" s="1120"/>
      <c r="ID602" s="323"/>
      <c r="IG602" s="323"/>
      <c r="IJ602" s="323"/>
      <c r="IM602" s="323"/>
      <c r="IO602" s="327"/>
      <c r="IP602" s="323"/>
      <c r="IS602" s="323"/>
      <c r="IT602" s="327">
        <f>(1529577224/1000000000)*0+0.792563044</f>
        <v>0.79256304399999999</v>
      </c>
      <c r="IU602" s="327">
        <f>IV602-IT602</f>
        <v>2.0256424390671444</v>
      </c>
      <c r="IV602" s="323">
        <f>FISC!AE804</f>
        <v>2.8182054830671444</v>
      </c>
      <c r="IW602" s="279">
        <f>1056935360/1000000000</f>
        <v>1.05693536</v>
      </c>
      <c r="IX602" s="279">
        <f>IY602-IW602</f>
        <v>0.78641742852419072</v>
      </c>
      <c r="IY602" s="323">
        <f>FISC!AF804</f>
        <v>1.8433527885241907</v>
      </c>
      <c r="IZ602" s="279">
        <f>523033376/1000000000</f>
        <v>0.52303337599999999</v>
      </c>
      <c r="JA602" s="279">
        <f>JB602-IZ602</f>
        <v>-2.1366458323665438</v>
      </c>
      <c r="JB602" s="323">
        <f>FISC!AG804</f>
        <v>-1.6136124563665437</v>
      </c>
      <c r="JE602" s="323"/>
      <c r="JH602" s="323"/>
      <c r="JK602" s="323"/>
      <c r="JN602" s="323"/>
      <c r="JO602" s="323"/>
      <c r="KU602" s="326"/>
      <c r="KV602" s="327"/>
    </row>
    <row r="603" spans="1:314" ht="16.2" hidden="1">
      <c r="A603" s="279"/>
      <c r="B603" s="96" t="s">
        <v>338</v>
      </c>
      <c r="D603" s="328" t="str">
        <f>+FISC!D805</f>
        <v>External Int (due)</v>
      </c>
      <c r="E603" s="323">
        <v>0.15573618790412799</v>
      </c>
      <c r="F603" s="323">
        <v>0.30486003372000003</v>
      </c>
      <c r="G603" s="323">
        <v>6.9508115032499998E-2</v>
      </c>
      <c r="H603" s="323">
        <v>0.54656186912827198</v>
      </c>
      <c r="I603" s="323">
        <v>8.9836727898000013E-2</v>
      </c>
      <c r="J603" s="323">
        <v>0.56584702272589993</v>
      </c>
      <c r="K603" s="323">
        <v>0.24058884532630001</v>
      </c>
      <c r="L603" s="323">
        <v>0.1564783268496</v>
      </c>
      <c r="M603" s="323">
        <v>6.3085660884E-2</v>
      </c>
      <c r="N603" s="323">
        <v>5.7374798740000003E-2</v>
      </c>
      <c r="O603" s="323">
        <v>5.1228961000000005E-3</v>
      </c>
      <c r="P603" s="323">
        <v>1.153293008E-2</v>
      </c>
      <c r="Q603" s="323">
        <v>0.31759800939159993</v>
      </c>
      <c r="R603" s="323">
        <v>1.9064099342700001E-2</v>
      </c>
      <c r="S603" s="323">
        <v>0.21270351672499999</v>
      </c>
      <c r="T603" s="323">
        <v>0.60981088226400004</v>
      </c>
      <c r="U603" s="323">
        <v>0.36712306565550001</v>
      </c>
      <c r="V603" s="323">
        <v>0.41081250139199998</v>
      </c>
      <c r="W603" s="323">
        <v>0.28025884034999998</v>
      </c>
      <c r="X603" s="323">
        <v>8.2160354080000001E-3</v>
      </c>
      <c r="Y603" s="323">
        <v>0.25498676760479999</v>
      </c>
      <c r="Z603" s="323">
        <v>0.62958045557340014</v>
      </c>
      <c r="AA603" s="323">
        <v>8.1860323789399989E-2</v>
      </c>
      <c r="AB603" s="323">
        <v>0.56546407370700003</v>
      </c>
      <c r="AC603" s="323">
        <v>0.32803835200000003</v>
      </c>
      <c r="AD603" s="323">
        <v>4.8028904000000004E-2</v>
      </c>
      <c r="AE603" s="323">
        <v>0.28850029300000002</v>
      </c>
      <c r="AF603" s="323">
        <v>0.63411767899999993</v>
      </c>
      <c r="AG603" s="323">
        <v>8.9409139999999998E-2</v>
      </c>
      <c r="AH603" s="323">
        <v>0.73523419600000006</v>
      </c>
      <c r="AI603" s="323">
        <v>0.32633109500000002</v>
      </c>
      <c r="AJ603" s="323">
        <v>4.1893449999999999E-2</v>
      </c>
      <c r="AK603" s="323">
        <v>0.31604354700000004</v>
      </c>
      <c r="AL603" s="323">
        <v>0.904692685</v>
      </c>
      <c r="AM603" s="323">
        <v>0.20418752599999998</v>
      </c>
      <c r="AN603" s="323">
        <v>0.14614628299999999</v>
      </c>
      <c r="AO603" s="323">
        <v>0.40318742926000001</v>
      </c>
      <c r="AP603" s="323">
        <v>6.0189098059999994E-2</v>
      </c>
      <c r="AQ603" s="323">
        <v>0.35015841232722006</v>
      </c>
      <c r="AR603" s="323">
        <v>0.83703286911999997</v>
      </c>
      <c r="AS603" s="323">
        <v>0.14510115034800003</v>
      </c>
      <c r="AT603" s="323">
        <v>0.50910809306560001</v>
      </c>
      <c r="AU603" s="323">
        <v>0.40100971724000001</v>
      </c>
      <c r="AV603" s="323">
        <v>5.8221062880000007E-2</v>
      </c>
      <c r="AW603" s="323">
        <v>0.38420434755000005</v>
      </c>
      <c r="AX603" s="323">
        <v>0.82852465007999987</v>
      </c>
      <c r="AY603" s="323">
        <v>0.14268597290079998</v>
      </c>
      <c r="AZ603" s="323">
        <v>0.43981937736750004</v>
      </c>
      <c r="BA603" s="323">
        <v>0.43558012800000001</v>
      </c>
      <c r="BB603" s="323">
        <v>1.0110004000000001E-2</v>
      </c>
      <c r="BC603" s="323">
        <v>0.92716271800000005</v>
      </c>
      <c r="BD603" s="323">
        <v>0.33331492800000001</v>
      </c>
      <c r="BE603" s="323">
        <v>0.16448881800000001</v>
      </c>
      <c r="BF603" s="323">
        <v>0.46239011799999996</v>
      </c>
      <c r="BG603" s="323">
        <v>0.34486628699999999</v>
      </c>
      <c r="BH603" s="323">
        <v>9.8366340000000003E-3</v>
      </c>
      <c r="BI603" s="323">
        <v>1.212131165</v>
      </c>
      <c r="BJ603" s="323">
        <v>0.33043321182000002</v>
      </c>
      <c r="BK603" s="323">
        <v>0.32499299599999998</v>
      </c>
      <c r="BL603" s="323">
        <v>0.34056488600000001</v>
      </c>
      <c r="BM603" s="323">
        <v>0.39396392488999998</v>
      </c>
      <c r="BN603" s="323">
        <v>7.265613348000001E-2</v>
      </c>
      <c r="BO603" s="323">
        <v>1.2065038939999999</v>
      </c>
      <c r="BP603" s="323">
        <v>0.31302999999999997</v>
      </c>
      <c r="BQ603" s="323">
        <v>0.34902942385000002</v>
      </c>
      <c r="BR603" s="323">
        <v>0.31419376257999998</v>
      </c>
      <c r="BS603" s="323">
        <v>0.43530000000000002</v>
      </c>
      <c r="BT603" s="323">
        <v>0.11749999999999999</v>
      </c>
      <c r="BU603" s="323">
        <v>0.94889999999999997</v>
      </c>
      <c r="BV603" s="323"/>
      <c r="BW603" s="323"/>
      <c r="BX603" s="323"/>
      <c r="BY603" s="323">
        <v>0.58962372103436689</v>
      </c>
      <c r="BZ603" s="323">
        <v>0.26209405264554808</v>
      </c>
      <c r="CA603" s="323">
        <v>1.5240433492468854</v>
      </c>
      <c r="CB603" s="323">
        <v>0.94911435578394543</v>
      </c>
      <c r="CC603" s="323">
        <v>0.83735857921354295</v>
      </c>
      <c r="CD603" s="323">
        <v>0.3171077764414989</v>
      </c>
      <c r="CE603" s="324">
        <f t="shared" ref="CE603:DJ603" si="444">CE55</f>
        <v>0.6969246684296645</v>
      </c>
      <c r="CF603" s="323">
        <f t="shared" si="444"/>
        <v>0.20840830560696241</v>
      </c>
      <c r="CG603" s="323">
        <f t="shared" si="444"/>
        <v>0.97392462447706141</v>
      </c>
      <c r="CH603" s="323">
        <f t="shared" si="444"/>
        <v>9.8554909258991508</v>
      </c>
      <c r="CI603" s="323">
        <f t="shared" si="444"/>
        <v>0.32145879232868413</v>
      </c>
      <c r="CJ603" s="323">
        <f t="shared" si="444"/>
        <v>0.19237510966634239</v>
      </c>
      <c r="CK603" s="323">
        <f t="shared" si="444"/>
        <v>0.71346271088450908</v>
      </c>
      <c r="CL603" s="323">
        <f t="shared" si="444"/>
        <v>0.21600343383900905</v>
      </c>
      <c r="CM603" s="323">
        <f t="shared" si="444"/>
        <v>1.1769884505048114</v>
      </c>
      <c r="CN603" s="323">
        <f t="shared" si="444"/>
        <v>10.349296616037982</v>
      </c>
      <c r="CO603" s="323">
        <f t="shared" si="444"/>
        <v>0.49532113773663172</v>
      </c>
      <c r="CP603" s="325">
        <f t="shared" si="444"/>
        <v>0.33179743428691255</v>
      </c>
      <c r="CQ603" s="323">
        <f t="shared" si="444"/>
        <v>0.79099153748848061</v>
      </c>
      <c r="CR603" s="323">
        <f t="shared" si="444"/>
        <v>0.11403729645791975</v>
      </c>
      <c r="CS603" s="323">
        <f t="shared" si="444"/>
        <v>1.4733748898749943</v>
      </c>
      <c r="CT603" s="323">
        <f t="shared" si="444"/>
        <v>10.366451704121625</v>
      </c>
      <c r="CU603" s="323">
        <f t="shared" si="444"/>
        <v>0.50758294923288882</v>
      </c>
      <c r="CV603" s="323">
        <f t="shared" si="444"/>
        <v>0.35534728540567539</v>
      </c>
      <c r="CW603" s="323">
        <f t="shared" si="444"/>
        <v>0.24830707547233477</v>
      </c>
      <c r="CX603" s="323">
        <f t="shared" si="444"/>
        <v>0.74359800471522997</v>
      </c>
      <c r="CY603" s="323">
        <f t="shared" si="444"/>
        <v>1.1104098504566957</v>
      </c>
      <c r="CZ603" s="323">
        <f t="shared" si="444"/>
        <v>11.084422587891101</v>
      </c>
      <c r="DA603" s="323">
        <f t="shared" si="444"/>
        <v>0.40285186905315495</v>
      </c>
      <c r="DB603" s="1269">
        <f t="shared" si="444"/>
        <v>0.41327722969822789</v>
      </c>
      <c r="DC603" s="323">
        <f t="shared" si="444"/>
        <v>0.30581300002400003</v>
      </c>
      <c r="DD603" s="323">
        <f t="shared" si="444"/>
        <v>1.3218321449999999</v>
      </c>
      <c r="DE603" s="323">
        <f t="shared" si="444"/>
        <v>1.7112772300000001</v>
      </c>
      <c r="DF603" s="323">
        <f t="shared" si="444"/>
        <v>10.920185254000002</v>
      </c>
      <c r="DG603" s="323">
        <f t="shared" si="444"/>
        <v>0.41516584300000003</v>
      </c>
      <c r="DH603" s="323">
        <f t="shared" si="444"/>
        <v>0.48394333900000003</v>
      </c>
      <c r="DI603" s="323">
        <f t="shared" si="444"/>
        <v>1.017606302988461</v>
      </c>
      <c r="DJ603" s="323">
        <f t="shared" si="444"/>
        <v>1.3759804558694047</v>
      </c>
      <c r="DK603" s="323">
        <f t="shared" ref="DK603:EP603" si="445">DK55</f>
        <v>1.4788225950813481</v>
      </c>
      <c r="DL603" s="323">
        <f t="shared" si="445"/>
        <v>11.335465838468624</v>
      </c>
      <c r="DM603" s="323">
        <f t="shared" si="445"/>
        <v>0.57451591380627609</v>
      </c>
      <c r="DN603" s="325">
        <f t="shared" si="445"/>
        <v>0.40663164738113922</v>
      </c>
      <c r="DO603" s="323">
        <f t="shared" si="445"/>
        <v>0.32722966209005344</v>
      </c>
      <c r="DP603" s="323">
        <f t="shared" si="445"/>
        <v>1.9954767715179773</v>
      </c>
      <c r="DQ603" s="323">
        <f t="shared" si="445"/>
        <v>2.9979238477775936</v>
      </c>
      <c r="DR603" s="323">
        <f t="shared" si="445"/>
        <v>11.535534062562478</v>
      </c>
      <c r="DS603" s="323">
        <f t="shared" si="445"/>
        <v>1.269771634989743</v>
      </c>
      <c r="DT603" s="323">
        <f t="shared" si="445"/>
        <v>0.36580835911539161</v>
      </c>
      <c r="DU603" s="323">
        <f t="shared" si="445"/>
        <v>1.2244464356620535</v>
      </c>
      <c r="DV603" s="323">
        <f t="shared" si="445"/>
        <v>1.4120260280794017</v>
      </c>
      <c r="DW603" s="323">
        <f t="shared" si="445"/>
        <v>3.1098523726815488</v>
      </c>
      <c r="DX603" s="323">
        <f t="shared" si="445"/>
        <v>11.528777302292301</v>
      </c>
      <c r="DY603" s="323">
        <f t="shared" si="445"/>
        <v>0.82126644185797826</v>
      </c>
      <c r="DZ603" s="325">
        <f t="shared" si="445"/>
        <v>0.35050648456913208</v>
      </c>
      <c r="EA603" s="323">
        <f t="shared" si="445"/>
        <v>1.3678306704717365</v>
      </c>
      <c r="EB603" s="323">
        <f t="shared" si="445"/>
        <v>2.772290399442614</v>
      </c>
      <c r="EC603" s="323">
        <f t="shared" si="445"/>
        <v>3.5298521251364812</v>
      </c>
      <c r="ED603" s="323">
        <f t="shared" si="445"/>
        <v>12.121851679449437</v>
      </c>
      <c r="EE603" s="323">
        <f t="shared" si="445"/>
        <v>0.77899620178828854</v>
      </c>
      <c r="EF603" s="323">
        <f t="shared" si="445"/>
        <v>0.43908386018975831</v>
      </c>
      <c r="EG603" s="323">
        <f t="shared" si="445"/>
        <v>1.1161334320857534</v>
      </c>
      <c r="EH603" s="323">
        <f t="shared" si="445"/>
        <v>3.0604763937396848</v>
      </c>
      <c r="EI603" s="323">
        <f t="shared" si="445"/>
        <v>2.0036299772964439</v>
      </c>
      <c r="EJ603" s="323">
        <f t="shared" si="445"/>
        <v>13.871885997789011</v>
      </c>
      <c r="EK603" s="323">
        <f t="shared" si="445"/>
        <v>0.75602008683280353</v>
      </c>
      <c r="EL603" s="325">
        <f t="shared" si="445"/>
        <v>1.0089266132560877</v>
      </c>
      <c r="EM603" s="323">
        <f t="shared" si="445"/>
        <v>1.6198623873765028</v>
      </c>
      <c r="EN603" s="323">
        <f t="shared" si="445"/>
        <v>2.7373024249772246</v>
      </c>
      <c r="EO603" s="323">
        <f t="shared" si="445"/>
        <v>2.0123866936801722</v>
      </c>
      <c r="EP603" s="323">
        <f t="shared" si="445"/>
        <v>14.22283591316187</v>
      </c>
      <c r="EQ603" s="323">
        <f t="shared" ref="EQ603:EX603" si="446">EQ55</f>
        <v>1.4073944976639343</v>
      </c>
      <c r="ER603" s="323">
        <f t="shared" si="446"/>
        <v>1.0850148726375077</v>
      </c>
      <c r="ES603" s="323">
        <f t="shared" si="446"/>
        <v>1.7520355385139252</v>
      </c>
      <c r="ET603" s="323">
        <f t="shared" si="446"/>
        <v>2.54408384332124</v>
      </c>
      <c r="EU603" s="323">
        <f t="shared" si="446"/>
        <v>4.4114107411148815</v>
      </c>
      <c r="EV603" s="323">
        <f t="shared" si="446"/>
        <v>12.708406492627095</v>
      </c>
      <c r="EW603" s="323">
        <f t="shared" si="446"/>
        <v>2.0007631160883328</v>
      </c>
      <c r="EX603" s="325">
        <f t="shared" si="446"/>
        <v>1.3867201917728373</v>
      </c>
      <c r="EY603" s="323"/>
      <c r="EZ603" s="323"/>
      <c r="FA603" s="323"/>
      <c r="FB603" s="323"/>
      <c r="FC603" s="323"/>
      <c r="FD603" s="323"/>
      <c r="FE603" s="323"/>
      <c r="FF603" s="323"/>
      <c r="FG603" s="323"/>
      <c r="FH603" s="323"/>
      <c r="FI603" s="323"/>
      <c r="FJ603" s="325"/>
      <c r="FK603" s="323"/>
      <c r="FL603" s="323"/>
      <c r="FM603" s="323"/>
      <c r="FN603" s="323"/>
      <c r="FO603" s="323"/>
      <c r="FP603" s="323"/>
      <c r="FQ603" s="323"/>
      <c r="FR603" s="323"/>
      <c r="FS603" s="323"/>
      <c r="FT603" s="323"/>
      <c r="FU603" s="323"/>
      <c r="FV603" s="323"/>
      <c r="FW603" s="323"/>
      <c r="FX603" s="323"/>
      <c r="FY603" s="323"/>
      <c r="FZ603" s="323"/>
      <c r="GA603" s="323"/>
      <c r="GB603" s="323"/>
      <c r="GC603" s="323"/>
      <c r="GD603" s="323"/>
      <c r="GE603" s="323"/>
      <c r="GF603" s="323"/>
      <c r="GG603" s="323"/>
      <c r="GH603" s="323"/>
      <c r="GI603" s="323"/>
      <c r="GJ603" s="323"/>
      <c r="GK603" s="323"/>
      <c r="GL603" s="323"/>
      <c r="GM603" s="323"/>
      <c r="GN603" s="323"/>
      <c r="GO603" s="323"/>
      <c r="GP603" s="323"/>
      <c r="GQ603" s="323"/>
      <c r="GR603" s="323"/>
      <c r="GS603" s="323"/>
      <c r="GT603" s="323"/>
      <c r="GU603" s="323"/>
      <c r="GV603" s="323"/>
      <c r="GW603" s="323"/>
      <c r="GX603" s="323"/>
      <c r="GY603" s="323"/>
      <c r="GZ603" s="323"/>
      <c r="HA603" s="323"/>
      <c r="HB603" s="323"/>
      <c r="HC603" s="323"/>
      <c r="HD603" s="323"/>
      <c r="HE603" s="323"/>
      <c r="HF603" s="323"/>
      <c r="HG603" s="323"/>
      <c r="HH603" s="323"/>
      <c r="HI603" s="323"/>
      <c r="HJ603" s="323"/>
      <c r="HK603" s="323"/>
      <c r="HL603" s="323"/>
      <c r="HM603" s="323"/>
      <c r="HN603" s="323"/>
      <c r="HO603" s="323"/>
      <c r="HP603" s="323"/>
      <c r="HQ603" s="323"/>
      <c r="HR603" s="323"/>
      <c r="HS603" s="323"/>
      <c r="HT603" s="323"/>
      <c r="HU603" s="323"/>
      <c r="HV603" s="323"/>
      <c r="HW603" s="323"/>
      <c r="HX603" s="323"/>
      <c r="HY603" s="323"/>
      <c r="HZ603" s="326"/>
      <c r="IA603" s="328" t="s">
        <v>137</v>
      </c>
      <c r="IB603" s="328"/>
      <c r="IC603" s="328"/>
      <c r="ID603" s="323">
        <f>+FISC!Z805</f>
        <v>27.6</v>
      </c>
      <c r="IE603" s="279">
        <f>SUM(CQ603:CV603)</f>
        <v>13.607785662581584</v>
      </c>
      <c r="IF603" s="279">
        <f>SUM(CW603:DB603)</f>
        <v>14.002866617286744</v>
      </c>
      <c r="IG603" s="323">
        <f>SUM(CQ603:DB603)</f>
        <v>27.610652279868326</v>
      </c>
      <c r="IH603" s="279">
        <f>+SUM(DC603:DH603)</f>
        <v>15.158216811024001</v>
      </c>
      <c r="II603" s="279">
        <f>+SUM(DI603:DN603)</f>
        <v>16.189022753595253</v>
      </c>
      <c r="IJ603" s="323">
        <f>IH603+II603</f>
        <v>31.347239564619255</v>
      </c>
      <c r="IK603" s="279">
        <f>+SUM(DO603:DT603)</f>
        <v>18.491744338053238</v>
      </c>
      <c r="IL603" s="279">
        <f>SUM(DU603:DZ603)</f>
        <v>18.446875065142414</v>
      </c>
      <c r="IM603" s="323">
        <f t="shared" si="309"/>
        <v>36.938619403195652</v>
      </c>
      <c r="IN603" s="1066">
        <v>20.86149762305083</v>
      </c>
      <c r="IO603" s="279">
        <f>+IP603-IN603</f>
        <v>21.817072500999785</v>
      </c>
      <c r="IP603" s="323">
        <f>FISC!AC805</f>
        <v>42.678570124050616</v>
      </c>
      <c r="IQ603" s="279">
        <f>SUM(EM603:ER603)</f>
        <v>23.084796789497211</v>
      </c>
      <c r="IR603" s="279">
        <f>SUM(ES603:EX603)</f>
        <v>24.803419923438312</v>
      </c>
      <c r="IS603" s="323">
        <f t="shared" si="407"/>
        <v>47.888216712935524</v>
      </c>
      <c r="IT603" s="1053">
        <f>+(((FISC!AD146+FISC!AD152)-(FISC!AD147+FISC!AD153))*FISC!AE259/1000)*0+28.4394095722878</f>
        <v>28.439409572287801</v>
      </c>
      <c r="IU603" s="279">
        <f>+IV603-IT603</f>
        <v>21.889546534767732</v>
      </c>
      <c r="IV603" s="323">
        <f>+FISC!AE805</f>
        <v>50.328956107055532</v>
      </c>
      <c r="IW603" s="327">
        <f>+(((FISC!AE146+FISC!AE152)-(FISC!AE147+FISC!AE153))*FISC!AF259/1000)</f>
        <v>29.406417648346544</v>
      </c>
      <c r="IX603" s="279">
        <f t="shared" si="291"/>
        <v>29.93378309782123</v>
      </c>
      <c r="IY603" s="323">
        <f>+FISC!AF805</f>
        <v>59.340200746167774</v>
      </c>
      <c r="IZ603" s="327">
        <f>+(((FISC!AF146+FISC!AF152)-(FISC!AF147+FISC!AF153))*FISC!AG259/1000)</f>
        <v>32.434677365204124</v>
      </c>
      <c r="JA603" s="279">
        <f t="shared" si="360"/>
        <v>37.532843663851267</v>
      </c>
      <c r="JB603" s="323">
        <f>+FISC!AG1189</f>
        <v>69.967521029055391</v>
      </c>
      <c r="JC603" s="327">
        <f>+((FISC!AG146+FISC!AG152)*FISC!AH259/1000)</f>
        <v>54.120773312197997</v>
      </c>
      <c r="JD603" s="279">
        <f t="shared" si="280"/>
        <v>55.114202540045596</v>
      </c>
      <c r="JE603" s="323">
        <f>+FISC!AH805</f>
        <v>109.23497585224359</v>
      </c>
      <c r="JF603" s="327">
        <f>+((FISC!AH146+FISC!AH152)*FISC!AI259/1000)</f>
        <v>85.163604400187538</v>
      </c>
      <c r="JG603" s="279">
        <f t="shared" si="281"/>
        <v>101.47061919758941</v>
      </c>
      <c r="JH603" s="323">
        <f>+FISC!AI805</f>
        <v>186.63422359777695</v>
      </c>
      <c r="JI603" s="327">
        <f>+((FISC!AI146+FISC!AI152)*FISC!AJ259/1000)</f>
        <v>116.30544873958507</v>
      </c>
      <c r="JJ603" s="279">
        <f t="shared" si="282"/>
        <v>113.26704729343328</v>
      </c>
      <c r="JK603" s="323">
        <f>+FISC!AJ805</f>
        <v>229.57249603301835</v>
      </c>
      <c r="JL603" s="327">
        <f>+((FISC!AJ146+FISC!AJ152)*FISC!AK259/1000)</f>
        <v>123.60819276805377</v>
      </c>
      <c r="JM603" s="279">
        <f t="shared" si="283"/>
        <v>-123.60819276805377</v>
      </c>
      <c r="JN603" s="323">
        <f>+FISC!AK805</f>
        <v>0</v>
      </c>
      <c r="JO603" s="323"/>
      <c r="KU603" s="326"/>
      <c r="KV603" s="327"/>
    </row>
    <row r="604" spans="1:314" ht="16.2" hidden="1">
      <c r="A604" s="279"/>
      <c r="D604" s="328"/>
      <c r="E604" s="323"/>
      <c r="F604" s="323"/>
      <c r="G604" s="323"/>
      <c r="H604" s="323"/>
      <c r="I604" s="323"/>
      <c r="J604" s="323"/>
      <c r="K604" s="323"/>
      <c r="L604" s="323"/>
      <c r="M604" s="323"/>
      <c r="N604" s="323"/>
      <c r="O604" s="323"/>
      <c r="P604" s="323"/>
      <c r="Q604" s="323"/>
      <c r="R604" s="323"/>
      <c r="S604" s="323"/>
      <c r="T604" s="323"/>
      <c r="U604" s="323"/>
      <c r="V604" s="323"/>
      <c r="W604" s="323"/>
      <c r="X604" s="323"/>
      <c r="Y604" s="323"/>
      <c r="Z604" s="323"/>
      <c r="AA604" s="323"/>
      <c r="AB604" s="323"/>
      <c r="AC604" s="323"/>
      <c r="AD604" s="323"/>
      <c r="AE604" s="323"/>
      <c r="AF604" s="323"/>
      <c r="AG604" s="323"/>
      <c r="AH604" s="323"/>
      <c r="AI604" s="323"/>
      <c r="AJ604" s="323"/>
      <c r="AK604" s="323"/>
      <c r="AL604" s="323"/>
      <c r="AM604" s="323"/>
      <c r="AN604" s="323"/>
      <c r="AO604" s="323"/>
      <c r="AP604" s="323"/>
      <c r="AQ604" s="323"/>
      <c r="AR604" s="323"/>
      <c r="AS604" s="323"/>
      <c r="AT604" s="323"/>
      <c r="AU604" s="323"/>
      <c r="AV604" s="323"/>
      <c r="AW604" s="323"/>
      <c r="AX604" s="323"/>
      <c r="AY604" s="323"/>
      <c r="AZ604" s="323"/>
      <c r="BA604" s="323"/>
      <c r="BB604" s="323"/>
      <c r="BC604" s="323"/>
      <c r="BD604" s="323"/>
      <c r="BE604" s="323"/>
      <c r="BF604" s="323"/>
      <c r="BG604" s="323"/>
      <c r="BH604" s="323"/>
      <c r="BI604" s="323"/>
      <c r="BJ604" s="323"/>
      <c r="BK604" s="323"/>
      <c r="BL604" s="323"/>
      <c r="BM604" s="323"/>
      <c r="BN604" s="323"/>
      <c r="BO604" s="323"/>
      <c r="BP604" s="323"/>
      <c r="BQ604" s="323"/>
      <c r="BR604" s="323"/>
      <c r="BS604" s="323"/>
      <c r="BT604" s="323"/>
      <c r="BU604" s="323"/>
      <c r="BV604" s="323"/>
      <c r="BW604" s="323"/>
      <c r="BX604" s="323"/>
      <c r="BY604" s="323"/>
      <c r="BZ604" s="323"/>
      <c r="CA604" s="323"/>
      <c r="CB604" s="323"/>
      <c r="CC604" s="323"/>
      <c r="CD604" s="323"/>
      <c r="CE604" s="324"/>
      <c r="CF604" s="323"/>
      <c r="CG604" s="323"/>
      <c r="CH604" s="323"/>
      <c r="CI604" s="323"/>
      <c r="CJ604" s="323"/>
      <c r="CK604" s="323"/>
      <c r="CL604" s="323"/>
      <c r="CM604" s="323"/>
      <c r="CN604" s="323"/>
      <c r="CO604" s="323"/>
      <c r="CP604" s="325"/>
      <c r="CQ604" s="323"/>
      <c r="CR604" s="323"/>
      <c r="CS604" s="323"/>
      <c r="CT604" s="323"/>
      <c r="CU604" s="323"/>
      <c r="CV604" s="323"/>
      <c r="CW604" s="323"/>
      <c r="CX604" s="323"/>
      <c r="CY604" s="323"/>
      <c r="CZ604" s="323"/>
      <c r="DA604" s="323"/>
      <c r="DB604" s="1269"/>
      <c r="DC604" s="323"/>
      <c r="DD604" s="323"/>
      <c r="DE604" s="323"/>
      <c r="DF604" s="323"/>
      <c r="DG604" s="323"/>
      <c r="DH604" s="323"/>
      <c r="DI604" s="323"/>
      <c r="DJ604" s="323"/>
      <c r="DK604" s="323"/>
      <c r="DL604" s="323"/>
      <c r="DM604" s="323"/>
      <c r="DN604" s="325"/>
      <c r="DO604" s="323"/>
      <c r="DP604" s="323"/>
      <c r="DQ604" s="323"/>
      <c r="DR604" s="323"/>
      <c r="DS604" s="323"/>
      <c r="DT604" s="323"/>
      <c r="DU604" s="323"/>
      <c r="DV604" s="323"/>
      <c r="DW604" s="323"/>
      <c r="DX604" s="323"/>
      <c r="DY604" s="323"/>
      <c r="DZ604" s="325"/>
      <c r="EA604" s="323"/>
      <c r="EB604" s="323"/>
      <c r="EC604" s="323"/>
      <c r="ED604" s="323"/>
      <c r="EE604" s="323"/>
      <c r="EF604" s="323"/>
      <c r="EG604" s="323"/>
      <c r="EH604" s="323"/>
      <c r="EI604" s="323"/>
      <c r="EJ604" s="323"/>
      <c r="EK604" s="323"/>
      <c r="EL604" s="325"/>
      <c r="EM604" s="323"/>
      <c r="EN604" s="323"/>
      <c r="EO604" s="323"/>
      <c r="EP604" s="323"/>
      <c r="EQ604" s="323"/>
      <c r="ER604" s="323"/>
      <c r="ES604" s="323"/>
      <c r="ET604" s="323"/>
      <c r="EU604" s="323"/>
      <c r="EV604" s="323"/>
      <c r="EW604" s="323"/>
      <c r="EX604" s="325"/>
      <c r="EY604" s="323"/>
      <c r="EZ604" s="323"/>
      <c r="FA604" s="323"/>
      <c r="FB604" s="323"/>
      <c r="FC604" s="323"/>
      <c r="FD604" s="323"/>
      <c r="FE604" s="323"/>
      <c r="FF604" s="323"/>
      <c r="FG604" s="323"/>
      <c r="FH604" s="323"/>
      <c r="FI604" s="323"/>
      <c r="FJ604" s="325"/>
      <c r="FK604" s="323"/>
      <c r="FL604" s="323"/>
      <c r="FM604" s="323"/>
      <c r="FN604" s="323"/>
      <c r="FO604" s="323"/>
      <c r="FP604" s="323"/>
      <c r="FQ604" s="323"/>
      <c r="FR604" s="323"/>
      <c r="FS604" s="323"/>
      <c r="FT604" s="323"/>
      <c r="FU604" s="323"/>
      <c r="FV604" s="323"/>
      <c r="FW604" s="323"/>
      <c r="FX604" s="323"/>
      <c r="FY604" s="323"/>
      <c r="FZ604" s="323"/>
      <c r="GA604" s="323"/>
      <c r="GB604" s="323"/>
      <c r="GC604" s="323"/>
      <c r="GD604" s="323"/>
      <c r="GE604" s="323"/>
      <c r="GF604" s="323"/>
      <c r="GG604" s="323"/>
      <c r="GH604" s="323"/>
      <c r="GI604" s="323"/>
      <c r="GJ604" s="323"/>
      <c r="GK604" s="323"/>
      <c r="GL604" s="323"/>
      <c r="GM604" s="323"/>
      <c r="GN604" s="323"/>
      <c r="GO604" s="323"/>
      <c r="GP604" s="323"/>
      <c r="GQ604" s="323"/>
      <c r="GR604" s="323"/>
      <c r="GS604" s="323"/>
      <c r="GT604" s="323"/>
      <c r="GU604" s="323"/>
      <c r="GV604" s="323"/>
      <c r="GW604" s="323"/>
      <c r="GX604" s="323"/>
      <c r="GY604" s="323"/>
      <c r="GZ604" s="323"/>
      <c r="HA604" s="323"/>
      <c r="HB604" s="323"/>
      <c r="HC604" s="323"/>
      <c r="HD604" s="323"/>
      <c r="HE604" s="323"/>
      <c r="HF604" s="323"/>
      <c r="HG604" s="323"/>
      <c r="HH604" s="323"/>
      <c r="HI604" s="323"/>
      <c r="HJ604" s="323"/>
      <c r="HK604" s="323"/>
      <c r="HL604" s="323"/>
      <c r="HM604" s="323"/>
      <c r="HN604" s="323"/>
      <c r="HO604" s="323"/>
      <c r="HP604" s="323"/>
      <c r="HQ604" s="323"/>
      <c r="HR604" s="323"/>
      <c r="HS604" s="323"/>
      <c r="HT604" s="323"/>
      <c r="HU604" s="323"/>
      <c r="HV604" s="323"/>
      <c r="HW604" s="323"/>
      <c r="HX604" s="323"/>
      <c r="HY604" s="323"/>
      <c r="HZ604" s="326"/>
      <c r="IA604" s="1120" t="s">
        <v>1213</v>
      </c>
      <c r="IB604" s="1120"/>
      <c r="IC604" s="1120"/>
      <c r="ID604" s="323"/>
      <c r="IG604" s="323"/>
      <c r="IJ604" s="323"/>
      <c r="IM604" s="323"/>
      <c r="IN604" s="1066"/>
      <c r="IP604" s="323"/>
      <c r="IS604" s="323"/>
      <c r="IT604" s="1053">
        <f>(FISC!AD148+FISC!AD154)*FISC!AE259/1000</f>
        <v>3.3213206139292839</v>
      </c>
      <c r="IU604" s="279">
        <f>+IV604-IT604</f>
        <v>2.6980400680035719</v>
      </c>
      <c r="IV604" s="323">
        <f>FISC!AE806</f>
        <v>6.0193606819328558</v>
      </c>
      <c r="IW604" s="1053">
        <f>(FISC!AE148+FISC!AE154)*FISC!AF259/1000</f>
        <v>2.3057818711387994</v>
      </c>
      <c r="IX604" s="279">
        <f t="shared" si="291"/>
        <v>1.6437809243370101</v>
      </c>
      <c r="IY604" s="323">
        <f>FISC!AF806</f>
        <v>3.9495627954758095</v>
      </c>
      <c r="IZ604" s="1053">
        <f>(FISC!AF148+FISC!AF154)*FISC!AG259/1000</f>
        <v>1.134726955534737</v>
      </c>
      <c r="JA604" s="279">
        <f t="shared" si="360"/>
        <v>0.4788855008318067</v>
      </c>
      <c r="JB604" s="323">
        <f>FISC!AG806</f>
        <v>1.6136124563665437</v>
      </c>
      <c r="JC604" s="327"/>
      <c r="JE604" s="323"/>
      <c r="JF604" s="327"/>
      <c r="JH604" s="323"/>
      <c r="JI604" s="327"/>
      <c r="JK604" s="323"/>
      <c r="JL604" s="327"/>
      <c r="JN604" s="323"/>
      <c r="JO604" s="323"/>
      <c r="KU604" s="326"/>
      <c r="KV604" s="327"/>
    </row>
    <row r="605" spans="1:314" hidden="1">
      <c r="A605" s="279"/>
      <c r="B605" s="96" t="s">
        <v>338</v>
      </c>
      <c r="D605" s="328" t="str">
        <f>+FISC!D807</f>
        <v>of which external interest on Sovereign Bonds proceeds</v>
      </c>
      <c r="E605" s="323"/>
      <c r="F605" s="323"/>
      <c r="G605" s="323"/>
      <c r="H605" s="323"/>
      <c r="I605" s="323"/>
      <c r="J605" s="323"/>
      <c r="K605" s="323"/>
      <c r="L605" s="323"/>
      <c r="M605" s="323"/>
      <c r="N605" s="323"/>
      <c r="O605" s="323"/>
      <c r="P605" s="323"/>
      <c r="Q605" s="323"/>
      <c r="R605" s="323"/>
      <c r="S605" s="323"/>
      <c r="T605" s="323"/>
      <c r="U605" s="323"/>
      <c r="V605" s="323"/>
      <c r="W605" s="323"/>
      <c r="X605" s="323"/>
      <c r="Y605" s="323"/>
      <c r="Z605" s="323"/>
      <c r="AA605" s="323"/>
      <c r="AB605" s="323"/>
      <c r="AC605" s="323"/>
      <c r="AD605" s="323"/>
      <c r="AE605" s="323"/>
      <c r="AF605" s="323"/>
      <c r="AG605" s="323"/>
      <c r="AH605" s="323"/>
      <c r="AI605" s="323"/>
      <c r="AJ605" s="323"/>
      <c r="AK605" s="323"/>
      <c r="AL605" s="323"/>
      <c r="AM605" s="323"/>
      <c r="AN605" s="323"/>
      <c r="AO605" s="323"/>
      <c r="AP605" s="323"/>
      <c r="AQ605" s="323"/>
      <c r="AR605" s="323"/>
      <c r="AS605" s="323"/>
      <c r="AT605" s="323"/>
      <c r="AU605" s="323"/>
      <c r="AV605" s="323"/>
      <c r="AW605" s="323"/>
      <c r="AX605" s="323"/>
      <c r="AY605" s="323"/>
      <c r="AZ605" s="323"/>
      <c r="BA605" s="323"/>
      <c r="BB605" s="323"/>
      <c r="BC605" s="323"/>
      <c r="BD605" s="323"/>
      <c r="BE605" s="323"/>
      <c r="BF605" s="323"/>
      <c r="BG605" s="323"/>
      <c r="BH605" s="323"/>
      <c r="BI605" s="323"/>
      <c r="BJ605" s="323"/>
      <c r="BK605" s="323"/>
      <c r="BL605" s="323"/>
      <c r="BM605" s="323"/>
      <c r="BN605" s="323"/>
      <c r="BO605" s="323"/>
      <c r="BP605" s="323"/>
      <c r="BQ605" s="323"/>
      <c r="BR605" s="323"/>
      <c r="BS605" s="323"/>
      <c r="BT605" s="323"/>
      <c r="BU605" s="323"/>
      <c r="BV605" s="323"/>
      <c r="BW605" s="323"/>
      <c r="BX605" s="323"/>
      <c r="BY605" s="323"/>
      <c r="BZ605" s="323"/>
      <c r="CA605" s="323"/>
      <c r="CB605" s="323"/>
      <c r="CC605" s="323"/>
      <c r="CD605" s="323"/>
      <c r="CE605" s="324">
        <f t="shared" ref="CE605:DJ605" si="447">CE71</f>
        <v>0</v>
      </c>
      <c r="CF605" s="323">
        <f t="shared" si="447"/>
        <v>0</v>
      </c>
      <c r="CG605" s="323">
        <f t="shared" si="447"/>
        <v>0</v>
      </c>
      <c r="CH605" s="323">
        <f t="shared" si="447"/>
        <v>8.8485228197500003</v>
      </c>
      <c r="CI605" s="323">
        <f t="shared" si="447"/>
        <v>0</v>
      </c>
      <c r="CJ605" s="323">
        <f t="shared" si="447"/>
        <v>0</v>
      </c>
      <c r="CK605" s="323">
        <f t="shared" si="447"/>
        <v>0</v>
      </c>
      <c r="CL605" s="323">
        <f t="shared" si="447"/>
        <v>0</v>
      </c>
      <c r="CM605" s="323">
        <f t="shared" si="447"/>
        <v>0</v>
      </c>
      <c r="CN605" s="323">
        <f t="shared" si="447"/>
        <v>9.0879809404999996</v>
      </c>
      <c r="CO605" s="323">
        <f t="shared" si="447"/>
        <v>0</v>
      </c>
      <c r="CP605" s="325">
        <f t="shared" si="447"/>
        <v>0</v>
      </c>
      <c r="CQ605" s="323">
        <f t="shared" si="447"/>
        <v>0</v>
      </c>
      <c r="CR605" s="323">
        <f t="shared" si="447"/>
        <v>0</v>
      </c>
      <c r="CS605" s="323">
        <f t="shared" si="447"/>
        <v>0</v>
      </c>
      <c r="CT605" s="323">
        <f t="shared" si="447"/>
        <v>9.2271248084999993</v>
      </c>
      <c r="CU605" s="323">
        <f t="shared" si="447"/>
        <v>0</v>
      </c>
      <c r="CV605" s="323">
        <f t="shared" si="447"/>
        <v>0</v>
      </c>
      <c r="CW605" s="323">
        <f t="shared" si="447"/>
        <v>0</v>
      </c>
      <c r="CX605" s="323">
        <f t="shared" si="447"/>
        <v>0</v>
      </c>
      <c r="CY605" s="323">
        <f t="shared" si="447"/>
        <v>0</v>
      </c>
      <c r="CZ605" s="323">
        <f t="shared" si="447"/>
        <v>9.5079388690000002</v>
      </c>
      <c r="DA605" s="323">
        <f t="shared" si="447"/>
        <v>0</v>
      </c>
      <c r="DB605" s="1269">
        <f t="shared" si="447"/>
        <v>0</v>
      </c>
      <c r="DC605" s="323">
        <f t="shared" si="447"/>
        <v>0</v>
      </c>
      <c r="DD605" s="323">
        <f t="shared" si="447"/>
        <v>0</v>
      </c>
      <c r="DE605" s="323">
        <f t="shared" si="447"/>
        <v>0</v>
      </c>
      <c r="DF605" s="323">
        <f t="shared" si="447"/>
        <v>9.8369785430000007</v>
      </c>
      <c r="DG605" s="323">
        <f t="shared" si="447"/>
        <v>0</v>
      </c>
      <c r="DH605" s="323">
        <f t="shared" si="447"/>
        <v>0</v>
      </c>
      <c r="DI605" s="323">
        <f t="shared" si="447"/>
        <v>0</v>
      </c>
      <c r="DJ605" s="323">
        <f t="shared" si="447"/>
        <v>0</v>
      </c>
      <c r="DK605" s="323">
        <f t="shared" ref="DK605:EP605" si="448">DK71</f>
        <v>0</v>
      </c>
      <c r="DL605" s="323">
        <f t="shared" si="448"/>
        <v>10.3495371315</v>
      </c>
      <c r="DM605" s="323">
        <f t="shared" si="448"/>
        <v>0</v>
      </c>
      <c r="DN605" s="325">
        <f t="shared" si="448"/>
        <v>0</v>
      </c>
      <c r="DO605" s="323">
        <f t="shared" si="448"/>
        <v>0</v>
      </c>
      <c r="DP605" s="323">
        <f t="shared" si="448"/>
        <v>0</v>
      </c>
      <c r="DQ605" s="323">
        <f t="shared" si="448"/>
        <v>0</v>
      </c>
      <c r="DR605" s="323">
        <f t="shared" si="448"/>
        <v>10.886030837250001</v>
      </c>
      <c r="DS605" s="323">
        <f t="shared" si="448"/>
        <v>0</v>
      </c>
      <c r="DT605" s="323">
        <f t="shared" si="448"/>
        <v>0</v>
      </c>
      <c r="DU605" s="323">
        <f t="shared" si="448"/>
        <v>0</v>
      </c>
      <c r="DV605" s="323">
        <f t="shared" si="448"/>
        <v>0</v>
      </c>
      <c r="DW605" s="323">
        <f t="shared" si="448"/>
        <v>0</v>
      </c>
      <c r="DX605" s="323">
        <f t="shared" si="448"/>
        <v>11.069082250499999</v>
      </c>
      <c r="DY605" s="323">
        <f t="shared" si="448"/>
        <v>0</v>
      </c>
      <c r="DZ605" s="325">
        <f t="shared" si="448"/>
        <v>0</v>
      </c>
      <c r="EA605" s="323">
        <f t="shared" si="448"/>
        <v>0</v>
      </c>
      <c r="EB605" s="323">
        <f t="shared" si="448"/>
        <v>0</v>
      </c>
      <c r="EC605" s="323">
        <f t="shared" si="448"/>
        <v>0</v>
      </c>
      <c r="ED605" s="323">
        <f t="shared" si="448"/>
        <v>11.2433982435</v>
      </c>
      <c r="EE605" s="323">
        <f t="shared" si="448"/>
        <v>0</v>
      </c>
      <c r="EF605" s="323">
        <f t="shared" si="448"/>
        <v>0</v>
      </c>
      <c r="EG605" s="323">
        <f t="shared" si="448"/>
        <v>0</v>
      </c>
      <c r="EH605" s="323">
        <f t="shared" si="448"/>
        <v>0</v>
      </c>
      <c r="EI605" s="323">
        <f t="shared" si="448"/>
        <v>0</v>
      </c>
      <c r="EJ605" s="323">
        <f t="shared" si="448"/>
        <v>11.43816967925</v>
      </c>
      <c r="EK605" s="323">
        <f t="shared" si="448"/>
        <v>0</v>
      </c>
      <c r="EL605" s="325">
        <f t="shared" si="448"/>
        <v>0</v>
      </c>
      <c r="EM605" s="323">
        <f t="shared" si="448"/>
        <v>0</v>
      </c>
      <c r="EN605" s="323">
        <f t="shared" si="448"/>
        <v>0</v>
      </c>
      <c r="EO605" s="323">
        <f t="shared" si="448"/>
        <v>0</v>
      </c>
      <c r="EP605" s="323">
        <f t="shared" si="448"/>
        <v>11.684674574000001</v>
      </c>
      <c r="EQ605" s="323">
        <f t="shared" ref="EQ605:EX605" si="449">EQ71</f>
        <v>0</v>
      </c>
      <c r="ER605" s="323">
        <f t="shared" si="449"/>
        <v>0</v>
      </c>
      <c r="ES605" s="323">
        <f t="shared" si="449"/>
        <v>0</v>
      </c>
      <c r="ET605" s="323">
        <f t="shared" si="449"/>
        <v>0</v>
      </c>
      <c r="EU605" s="323">
        <f t="shared" si="449"/>
        <v>0</v>
      </c>
      <c r="EV605" s="323">
        <f t="shared" si="449"/>
        <v>11.93172017475</v>
      </c>
      <c r="EW605" s="323">
        <f t="shared" si="449"/>
        <v>0</v>
      </c>
      <c r="EX605" s="325">
        <f t="shared" si="449"/>
        <v>0</v>
      </c>
      <c r="EY605" s="323"/>
      <c r="EZ605" s="323"/>
      <c r="FA605" s="323"/>
      <c r="FB605" s="323"/>
      <c r="FC605" s="323"/>
      <c r="FD605" s="323"/>
      <c r="FE605" s="323"/>
      <c r="FF605" s="323"/>
      <c r="FG605" s="323"/>
      <c r="FH605" s="323"/>
      <c r="FI605" s="323"/>
      <c r="FJ605" s="325"/>
      <c r="FK605" s="323"/>
      <c r="FL605" s="323"/>
      <c r="FM605" s="323"/>
      <c r="FN605" s="323"/>
      <c r="FO605" s="323"/>
      <c r="FP605" s="323"/>
      <c r="FQ605" s="323"/>
      <c r="FR605" s="323"/>
      <c r="FS605" s="323"/>
      <c r="FT605" s="323"/>
      <c r="FU605" s="323"/>
      <c r="FV605" s="323"/>
      <c r="FW605" s="323"/>
      <c r="FX605" s="323"/>
      <c r="FY605" s="323"/>
      <c r="FZ605" s="323"/>
      <c r="GA605" s="323"/>
      <c r="GB605" s="323"/>
      <c r="GC605" s="323"/>
      <c r="GD605" s="323"/>
      <c r="GE605" s="323"/>
      <c r="GF605" s="323"/>
      <c r="GG605" s="323"/>
      <c r="GH605" s="323"/>
      <c r="GI605" s="323"/>
      <c r="GJ605" s="323"/>
      <c r="GK605" s="323"/>
      <c r="GL605" s="323"/>
      <c r="GM605" s="323"/>
      <c r="GN605" s="323"/>
      <c r="GO605" s="323"/>
      <c r="GP605" s="323"/>
      <c r="GQ605" s="323"/>
      <c r="GR605" s="323"/>
      <c r="GS605" s="323"/>
      <c r="GT605" s="323"/>
      <c r="GU605" s="323"/>
      <c r="GV605" s="323"/>
      <c r="GW605" s="323"/>
      <c r="GX605" s="323"/>
      <c r="GY605" s="323"/>
      <c r="GZ605" s="323"/>
      <c r="HA605" s="323"/>
      <c r="HB605" s="323"/>
      <c r="HC605" s="323"/>
      <c r="HD605" s="323"/>
      <c r="HE605" s="323"/>
      <c r="HF605" s="323"/>
      <c r="HG605" s="323"/>
      <c r="HH605" s="323"/>
      <c r="HI605" s="323"/>
      <c r="HJ605" s="323"/>
      <c r="HK605" s="323"/>
      <c r="HL605" s="323"/>
      <c r="HM605" s="323"/>
      <c r="HN605" s="323"/>
      <c r="HO605" s="323"/>
      <c r="HP605" s="323"/>
      <c r="HQ605" s="323"/>
      <c r="HR605" s="323"/>
      <c r="HS605" s="323"/>
      <c r="HT605" s="323"/>
      <c r="HU605" s="323"/>
      <c r="HV605" s="323"/>
      <c r="HW605" s="323"/>
      <c r="HX605" s="323"/>
      <c r="HY605" s="323"/>
      <c r="HZ605" s="326"/>
      <c r="IA605" s="328" t="s">
        <v>138</v>
      </c>
      <c r="IB605" s="328"/>
      <c r="IC605" s="328"/>
      <c r="ID605" s="323">
        <f>+FISC!Z807</f>
        <v>18.7</v>
      </c>
      <c r="IE605" s="279">
        <f>SUM(CQ605:CV605)</f>
        <v>9.2271248084999993</v>
      </c>
      <c r="IF605" s="279">
        <f>SUM(CW605:DB605)</f>
        <v>9.5079388690000002</v>
      </c>
      <c r="IG605" s="323">
        <f>SUM(CQ605:DB605)</f>
        <v>18.735063677500001</v>
      </c>
      <c r="IH605" s="279">
        <f>+SUM(DC605:DH605)</f>
        <v>9.8369785430000007</v>
      </c>
      <c r="II605" s="279">
        <f>+SUM(DI605:DN605)</f>
        <v>10.3495371315</v>
      </c>
      <c r="IJ605" s="323">
        <f>IH605+II605</f>
        <v>20.186515674500001</v>
      </c>
      <c r="IK605" s="279">
        <f>+SUM(DO605:DT605)</f>
        <v>10.886030837250001</v>
      </c>
      <c r="IL605" s="279">
        <f>SUM(DU605:DZ605)</f>
        <v>11.069082250499999</v>
      </c>
      <c r="IM605" s="323">
        <f t="shared" si="309"/>
        <v>21.95511308775</v>
      </c>
      <c r="IN605" s="279">
        <f>+IP605/2</f>
        <v>11.340783961374999</v>
      </c>
      <c r="IO605" s="279">
        <f>+IP605-IN605</f>
        <v>11.340783961374999</v>
      </c>
      <c r="IP605" s="323">
        <f>FISC!AC807</f>
        <v>22.681567922749998</v>
      </c>
      <c r="IQ605" s="279">
        <f>SUM(EM605:ER605)</f>
        <v>11.684674574000001</v>
      </c>
      <c r="IR605" s="279">
        <f>SUM(ES605:EX605)</f>
        <v>11.93172017475</v>
      </c>
      <c r="IS605" s="323">
        <f t="shared" si="407"/>
        <v>23.61639474875</v>
      </c>
      <c r="IT605" s="279">
        <f>+IV605/2</f>
        <v>12.217051440851874</v>
      </c>
      <c r="IU605" s="279">
        <f>+IV605-IT605</f>
        <v>12.217051440851874</v>
      </c>
      <c r="IV605" s="323">
        <f>+FISC!AE807</f>
        <v>24.434102881703748</v>
      </c>
      <c r="IW605" s="327">
        <f>IY605/2</f>
        <v>12.779595149909582</v>
      </c>
      <c r="IX605" s="279">
        <f t="shared" si="291"/>
        <v>12.779595149909582</v>
      </c>
      <c r="IY605" s="323">
        <f>+FISC!AF807</f>
        <v>25.559190299819164</v>
      </c>
      <c r="IZ605" s="327" t="e">
        <f>JB605/2</f>
        <v>#REF!</v>
      </c>
      <c r="JA605" s="279" t="e">
        <f t="shared" si="360"/>
        <v>#REF!</v>
      </c>
      <c r="JB605" s="323" t="e">
        <f>+FISC!AG807</f>
        <v>#REF!</v>
      </c>
      <c r="JC605" s="327" t="e">
        <f>JE605/2</f>
        <v>#REF!</v>
      </c>
      <c r="JD605" s="279" t="e">
        <f t="shared" si="280"/>
        <v>#REF!</v>
      </c>
      <c r="JE605" s="323" t="e">
        <f>+FISC!AH807</f>
        <v>#REF!</v>
      </c>
      <c r="JF605" s="327" t="e">
        <f>JH605/2</f>
        <v>#REF!</v>
      </c>
      <c r="JG605" s="279" t="e">
        <f t="shared" si="281"/>
        <v>#REF!</v>
      </c>
      <c r="JH605" s="323" t="e">
        <f>+FISC!AI807</f>
        <v>#REF!</v>
      </c>
      <c r="JI605" s="327" t="e">
        <f>JK605/2</f>
        <v>#REF!</v>
      </c>
      <c r="JJ605" s="279" t="e">
        <f t="shared" si="282"/>
        <v>#REF!</v>
      </c>
      <c r="JK605" s="323" t="e">
        <f>+FISC!AJ807</f>
        <v>#REF!</v>
      </c>
      <c r="JL605" s="327">
        <f>JN605/2</f>
        <v>0</v>
      </c>
      <c r="JM605" s="279">
        <f t="shared" si="283"/>
        <v>0</v>
      </c>
      <c r="JN605" s="323">
        <f>+FISC!AK807</f>
        <v>0</v>
      </c>
      <c r="JO605" s="323"/>
      <c r="KU605" s="326"/>
      <c r="KV605" s="327"/>
    </row>
    <row r="606" spans="1:314" hidden="1">
      <c r="A606" s="279"/>
      <c r="B606" s="96" t="s">
        <v>338</v>
      </c>
      <c r="D606" s="322" t="str">
        <f>+FISC!D808</f>
        <v>Transfers</v>
      </c>
      <c r="E606" s="323">
        <v>7.2667200000000003</v>
      </c>
      <c r="F606" s="323">
        <v>9.002600000000001</v>
      </c>
      <c r="G606" s="323">
        <v>5.7828100000000004</v>
      </c>
      <c r="H606" s="323">
        <v>13.70635</v>
      </c>
      <c r="I606" s="323">
        <v>7.0205299999999999</v>
      </c>
      <c r="J606" s="323">
        <v>3.4770300000000001</v>
      </c>
      <c r="K606" s="323">
        <v>14.639100000000001</v>
      </c>
      <c r="L606" s="323">
        <v>10.878540000000001</v>
      </c>
      <c r="M606" s="323">
        <v>5.5077700000000007</v>
      </c>
      <c r="N606" s="323">
        <v>12.809950000000001</v>
      </c>
      <c r="O606" s="323">
        <v>11.06955</v>
      </c>
      <c r="P606" s="323">
        <v>2.673</v>
      </c>
      <c r="Q606" s="323">
        <v>12.96987</v>
      </c>
      <c r="R606" s="323">
        <v>9.0474599999999992</v>
      </c>
      <c r="S606" s="323">
        <v>8.67164</v>
      </c>
      <c r="T606" s="323">
        <v>18.97531</v>
      </c>
      <c r="U606" s="323">
        <v>9.039299999999999</v>
      </c>
      <c r="V606" s="323">
        <v>5.5130299999999997</v>
      </c>
      <c r="W606" s="323">
        <v>17.475630000000002</v>
      </c>
      <c r="X606" s="323">
        <v>12.424200000000001</v>
      </c>
      <c r="Y606" s="323">
        <v>6.6095899999999999</v>
      </c>
      <c r="Z606" s="323">
        <v>23.312009999999997</v>
      </c>
      <c r="AA606" s="323">
        <v>3.9148200000000002</v>
      </c>
      <c r="AB606" s="323">
        <v>2.4929399999999999</v>
      </c>
      <c r="AC606" s="323">
        <v>15.508569999999999</v>
      </c>
      <c r="AD606" s="323">
        <v>10.249450000000001</v>
      </c>
      <c r="AE606" s="323">
        <v>16.095500000000001</v>
      </c>
      <c r="AF606" s="323">
        <v>18.675650000000001</v>
      </c>
      <c r="AG606" s="323">
        <v>9.8673899999999986</v>
      </c>
      <c r="AH606" s="323">
        <v>4.7572999999999999</v>
      </c>
      <c r="AI606" s="323">
        <v>16.087879999999998</v>
      </c>
      <c r="AJ606" s="323">
        <v>14.45534</v>
      </c>
      <c r="AK606" s="323">
        <v>10.65517</v>
      </c>
      <c r="AL606" s="323">
        <v>24.022220000000001</v>
      </c>
      <c r="AM606" s="323">
        <v>11.94877</v>
      </c>
      <c r="AN606" s="323">
        <v>10.116910000000001</v>
      </c>
      <c r="AO606" s="323">
        <v>19.58314</v>
      </c>
      <c r="AP606" s="323">
        <v>9.1587399999999999</v>
      </c>
      <c r="AQ606" s="323">
        <v>16.22268</v>
      </c>
      <c r="AR606" s="323">
        <v>20.38944</v>
      </c>
      <c r="AS606" s="323">
        <v>17.304639999999999</v>
      </c>
      <c r="AT606" s="323">
        <v>10.74906</v>
      </c>
      <c r="AU606" s="323">
        <v>13.429770000000001</v>
      </c>
      <c r="AV606" s="323">
        <v>18.046759999999999</v>
      </c>
      <c r="AW606" s="323">
        <v>17.893750000000001</v>
      </c>
      <c r="AX606" s="323">
        <v>17.889749999999999</v>
      </c>
      <c r="AY606" s="323">
        <v>16.191219999999998</v>
      </c>
      <c r="AZ606" s="323">
        <v>12.667129999999998</v>
      </c>
      <c r="BA606" s="323">
        <v>25.683130000000002</v>
      </c>
      <c r="BB606" s="323">
        <v>11.817030000000001</v>
      </c>
      <c r="BC606" s="323">
        <v>12.446290000000001</v>
      </c>
      <c r="BD606" s="323">
        <v>21.963950000000001</v>
      </c>
      <c r="BE606" s="323">
        <v>21.648959999999999</v>
      </c>
      <c r="BF606" s="323">
        <v>8.2083700000000004</v>
      </c>
      <c r="BG606" s="323">
        <v>12.592700000000001</v>
      </c>
      <c r="BH606" s="323">
        <v>29.238289999999999</v>
      </c>
      <c r="BI606" s="323">
        <v>12.18008</v>
      </c>
      <c r="BJ606" s="323">
        <v>29.9862</v>
      </c>
      <c r="BK606" s="323">
        <v>20.255710000000001</v>
      </c>
      <c r="BL606" s="323">
        <v>14.2812</v>
      </c>
      <c r="BM606" s="323">
        <v>25.0715</v>
      </c>
      <c r="BN606" s="323">
        <v>15.22199</v>
      </c>
      <c r="BO606" s="323">
        <v>13.509270000000001</v>
      </c>
      <c r="BP606" s="323">
        <v>29.841750000000001</v>
      </c>
      <c r="BQ606" s="323">
        <v>19.000599999999999</v>
      </c>
      <c r="BR606" s="323">
        <v>4.2215699999999998</v>
      </c>
      <c r="BS606" s="323">
        <v>28.763500000000001</v>
      </c>
      <c r="BT606" s="323">
        <v>22.3185</v>
      </c>
      <c r="BU606" s="323">
        <v>13.969700000000001</v>
      </c>
      <c r="BV606" s="323">
        <v>33.816107766000002</v>
      </c>
      <c r="BW606" s="323">
        <v>22.982548066</v>
      </c>
      <c r="BX606" s="323">
        <v>12.194446618000001</v>
      </c>
      <c r="BY606" s="323">
        <v>23.322773112</v>
      </c>
      <c r="BZ606" s="323">
        <v>23.478185815</v>
      </c>
      <c r="CA606" s="323">
        <v>12.794870319999999</v>
      </c>
      <c r="CB606" s="323">
        <v>35.783130337000003</v>
      </c>
      <c r="CC606" s="323">
        <v>19.252583978000001</v>
      </c>
      <c r="CD606" s="323">
        <v>7.857864578</v>
      </c>
      <c r="CE606" s="324">
        <f t="shared" ref="CE606:DB606" si="450">CE253</f>
        <v>31.192567466</v>
      </c>
      <c r="CF606" s="323">
        <f t="shared" si="450"/>
        <v>28.036041021999999</v>
      </c>
      <c r="CG606" s="323">
        <f t="shared" si="450"/>
        <v>19.255505343999999</v>
      </c>
      <c r="CH606" s="323">
        <f t="shared" si="450"/>
        <v>41.869910961000002</v>
      </c>
      <c r="CI606" s="323">
        <f t="shared" si="450"/>
        <v>18.912014732999999</v>
      </c>
      <c r="CJ606" s="323">
        <f t="shared" si="450"/>
        <v>11.869387855999999</v>
      </c>
      <c r="CK606" s="323">
        <f t="shared" si="450"/>
        <v>32.160711262</v>
      </c>
      <c r="CL606" s="323">
        <f t="shared" si="450"/>
        <v>19.504065296</v>
      </c>
      <c r="CM606" s="323">
        <f t="shared" si="450"/>
        <v>18.083639073000001</v>
      </c>
      <c r="CN606" s="323">
        <f t="shared" si="450"/>
        <v>20.865577895000001</v>
      </c>
      <c r="CO606" s="323">
        <f t="shared" si="450"/>
        <v>30.707759768999999</v>
      </c>
      <c r="CP606" s="325">
        <f t="shared" si="450"/>
        <v>14.319031366999999</v>
      </c>
      <c r="CQ606" s="323">
        <f t="shared" si="450"/>
        <v>34.06160981</v>
      </c>
      <c r="CR606" s="323">
        <f t="shared" si="450"/>
        <v>22.177663803000002</v>
      </c>
      <c r="CS606" s="323">
        <f t="shared" si="450"/>
        <v>20.930272569</v>
      </c>
      <c r="CT606" s="323">
        <f t="shared" si="450"/>
        <v>30.547470727</v>
      </c>
      <c r="CU606" s="323">
        <f t="shared" si="450"/>
        <v>17.438616502999999</v>
      </c>
      <c r="CV606" s="323">
        <f t="shared" si="450"/>
        <v>15.206777966000001</v>
      </c>
      <c r="CW606" s="323">
        <f t="shared" si="450"/>
        <v>26.679335974000001</v>
      </c>
      <c r="CX606" s="323">
        <f t="shared" si="450"/>
        <v>15.634970797999999</v>
      </c>
      <c r="CY606" s="323">
        <f t="shared" si="450"/>
        <v>18.597033776</v>
      </c>
      <c r="CZ606" s="323">
        <f t="shared" si="450"/>
        <v>26.65231503</v>
      </c>
      <c r="DA606" s="323">
        <f t="shared" si="450"/>
        <v>26.733774095000001</v>
      </c>
      <c r="DB606" s="1269">
        <f t="shared" si="450"/>
        <v>10.103397703000001</v>
      </c>
      <c r="DC606" s="323">
        <f t="shared" ref="DC606:EL606" si="451">DC253+DC608+DC609</f>
        <v>27.871774482000003</v>
      </c>
      <c r="DD606" s="323">
        <f t="shared" si="451"/>
        <v>17.642766802000001</v>
      </c>
      <c r="DE606" s="323">
        <f t="shared" si="451"/>
        <v>17.090073959999998</v>
      </c>
      <c r="DF606" s="323">
        <f t="shared" si="451"/>
        <v>36.413362028000002</v>
      </c>
      <c r="DG606" s="323">
        <f t="shared" si="451"/>
        <v>25.629953723999996</v>
      </c>
      <c r="DH606" s="323">
        <f t="shared" si="451"/>
        <v>27.763238888</v>
      </c>
      <c r="DI606" s="323">
        <f t="shared" si="451"/>
        <v>29.521204540999999</v>
      </c>
      <c r="DJ606" s="323">
        <f t="shared" si="451"/>
        <v>18.723542954999999</v>
      </c>
      <c r="DK606" s="323">
        <f t="shared" si="451"/>
        <v>31.609312495000001</v>
      </c>
      <c r="DL606" s="323">
        <f t="shared" si="451"/>
        <v>34.029332574000001</v>
      </c>
      <c r="DM606" s="323">
        <f t="shared" si="451"/>
        <v>18.475441296</v>
      </c>
      <c r="DN606" s="325">
        <f t="shared" si="451"/>
        <v>13.336047895000004</v>
      </c>
      <c r="DO606" s="323">
        <f t="shared" si="451"/>
        <v>24.401042397000001</v>
      </c>
      <c r="DP606" s="323">
        <f t="shared" si="451"/>
        <v>27.819948847999999</v>
      </c>
      <c r="DQ606" s="323">
        <f t="shared" si="451"/>
        <v>23.270685218000001</v>
      </c>
      <c r="DR606" s="323">
        <f t="shared" si="451"/>
        <v>38.605493967999998</v>
      </c>
      <c r="DS606" s="323">
        <f t="shared" si="451"/>
        <v>24.668040945999998</v>
      </c>
      <c r="DT606" s="323">
        <f t="shared" si="451"/>
        <v>23.407676574</v>
      </c>
      <c r="DU606" s="323">
        <f t="shared" si="451"/>
        <v>42.084308273999994</v>
      </c>
      <c r="DV606" s="323">
        <f t="shared" si="451"/>
        <v>24.311026305999999</v>
      </c>
      <c r="DW606" s="323">
        <f t="shared" si="451"/>
        <v>28.427429018999998</v>
      </c>
      <c r="DX606" s="323">
        <f t="shared" si="451"/>
        <v>47.781328583333334</v>
      </c>
      <c r="DY606" s="323">
        <f t="shared" si="451"/>
        <v>24.606105977333328</v>
      </c>
      <c r="DZ606" s="325">
        <f t="shared" si="451"/>
        <v>31.520329049153332</v>
      </c>
      <c r="EA606" s="323">
        <f t="shared" si="451"/>
        <v>30.424938833999999</v>
      </c>
      <c r="EB606" s="323">
        <f t="shared" si="451"/>
        <v>31.644467306999999</v>
      </c>
      <c r="EC606" s="323">
        <f t="shared" si="451"/>
        <v>28.742059455</v>
      </c>
      <c r="ED606" s="323">
        <f t="shared" si="451"/>
        <v>31.123278899999999</v>
      </c>
      <c r="EE606" s="323">
        <f t="shared" si="451"/>
        <v>33.251128881999996</v>
      </c>
      <c r="EF606" s="323">
        <f t="shared" si="451"/>
        <v>33.777009689000003</v>
      </c>
      <c r="EG606" s="323">
        <f t="shared" si="451"/>
        <v>26.185664580235613</v>
      </c>
      <c r="EH606" s="323">
        <f t="shared" si="451"/>
        <v>33.78208602950194</v>
      </c>
      <c r="EI606" s="323">
        <f t="shared" si="451"/>
        <v>45.51395712029386</v>
      </c>
      <c r="EJ606" s="323">
        <f t="shared" si="451"/>
        <v>25.110562395176451</v>
      </c>
      <c r="EK606" s="323">
        <f t="shared" si="451"/>
        <v>35.818451724572107</v>
      </c>
      <c r="EL606" s="325">
        <f t="shared" si="451"/>
        <v>27.723870851060006</v>
      </c>
      <c r="EM606" s="323">
        <f t="shared" ref="EM606:EX606" si="452">EM253+EM608+EM609+EM612+EM613</f>
        <v>20.833559621999999</v>
      </c>
      <c r="EN606" s="323">
        <f t="shared" si="452"/>
        <v>35.324157685000003</v>
      </c>
      <c r="EO606" s="323">
        <f t="shared" si="452"/>
        <v>36.623113132</v>
      </c>
      <c r="EP606" s="323">
        <f t="shared" si="452"/>
        <v>42.792422794000004</v>
      </c>
      <c r="EQ606" s="323">
        <f t="shared" si="452"/>
        <v>48.788264975999994</v>
      </c>
      <c r="ER606" s="323">
        <f t="shared" si="452"/>
        <v>40.30012699200001</v>
      </c>
      <c r="ES606" s="323">
        <f t="shared" si="452"/>
        <v>28.252861577000001</v>
      </c>
      <c r="ET606" s="323">
        <f t="shared" si="452"/>
        <v>23.152575327999998</v>
      </c>
      <c r="EU606" s="323">
        <f t="shared" si="452"/>
        <v>44.464060891999992</v>
      </c>
      <c r="EV606" s="323">
        <f t="shared" si="452"/>
        <v>35.180262630999998</v>
      </c>
      <c r="EW606" s="323">
        <f t="shared" si="452"/>
        <v>20.340440015999999</v>
      </c>
      <c r="EX606" s="325">
        <f t="shared" si="452"/>
        <v>31.179151675</v>
      </c>
      <c r="EY606" s="323"/>
      <c r="EZ606" s="323"/>
      <c r="FA606" s="323"/>
      <c r="FB606" s="323"/>
      <c r="FC606" s="323"/>
      <c r="FD606" s="323"/>
      <c r="FE606" s="323"/>
      <c r="FF606" s="323"/>
      <c r="FG606" s="323"/>
      <c r="FH606" s="323"/>
      <c r="FI606" s="323"/>
      <c r="FJ606" s="325"/>
      <c r="FK606" s="323"/>
      <c r="FL606" s="323"/>
      <c r="FM606" s="323"/>
      <c r="FN606" s="323"/>
      <c r="FO606" s="323"/>
      <c r="FP606" s="323"/>
      <c r="FQ606" s="323"/>
      <c r="FR606" s="323"/>
      <c r="FS606" s="323"/>
      <c r="FT606" s="323"/>
      <c r="FU606" s="323"/>
      <c r="FV606" s="323"/>
      <c r="FW606" s="323"/>
      <c r="FX606" s="323"/>
      <c r="FY606" s="323"/>
      <c r="FZ606" s="323"/>
      <c r="GA606" s="323"/>
      <c r="GB606" s="323"/>
      <c r="GC606" s="323"/>
      <c r="GD606" s="323"/>
      <c r="GE606" s="323"/>
      <c r="GF606" s="323"/>
      <c r="GG606" s="323"/>
      <c r="GH606" s="323"/>
      <c r="GI606" s="323"/>
      <c r="GJ606" s="323"/>
      <c r="GK606" s="323"/>
      <c r="GL606" s="323"/>
      <c r="GM606" s="323"/>
      <c r="GN606" s="323"/>
      <c r="GO606" s="323"/>
      <c r="GP606" s="323"/>
      <c r="GQ606" s="323"/>
      <c r="GR606" s="323"/>
      <c r="GS606" s="323"/>
      <c r="GT606" s="323"/>
      <c r="GU606" s="323"/>
      <c r="GV606" s="323"/>
      <c r="GW606" s="323"/>
      <c r="GX606" s="323"/>
      <c r="GY606" s="323"/>
      <c r="GZ606" s="323"/>
      <c r="HA606" s="323"/>
      <c r="HB606" s="323"/>
      <c r="HC606" s="323"/>
      <c r="HD606" s="323"/>
      <c r="HE606" s="323"/>
      <c r="HF606" s="323"/>
      <c r="HG606" s="323"/>
      <c r="HH606" s="323"/>
      <c r="HI606" s="323"/>
      <c r="HJ606" s="323"/>
      <c r="HK606" s="323"/>
      <c r="HL606" s="323"/>
      <c r="HM606" s="323"/>
      <c r="HN606" s="323"/>
      <c r="HO606" s="323"/>
      <c r="HP606" s="323"/>
      <c r="HQ606" s="323"/>
      <c r="HR606" s="323"/>
      <c r="HS606" s="323"/>
      <c r="HT606" s="323"/>
      <c r="HU606" s="323"/>
      <c r="HV606" s="323"/>
      <c r="HW606" s="323"/>
      <c r="HX606" s="323"/>
      <c r="HY606" s="323"/>
      <c r="HZ606" s="326"/>
      <c r="IA606" s="322" t="s">
        <v>82</v>
      </c>
      <c r="IB606" s="322"/>
      <c r="IC606" s="322"/>
      <c r="ID606" s="323">
        <f>+FISC!Z808</f>
        <v>304.10000000000002</v>
      </c>
      <c r="IE606" s="279">
        <f>SUM(CQ606:CV606)</f>
        <v>140.36241137800002</v>
      </c>
      <c r="IF606" s="279">
        <f>SUM(CW606:DB606)</f>
        <v>124.400827376</v>
      </c>
      <c r="IG606" s="323">
        <f>SUM(CQ606:DB606)</f>
        <v>264.76323875400004</v>
      </c>
      <c r="IH606" s="279">
        <f>+SUM(DC606:DH606)</f>
        <v>152.41116988399997</v>
      </c>
      <c r="II606" s="279">
        <f>+SUM(DI606:DN606)</f>
        <v>145.694881756</v>
      </c>
      <c r="IJ606" s="323">
        <f>IH606+II606</f>
        <v>298.10605163999998</v>
      </c>
      <c r="IK606" s="279">
        <f>+SUM(DO606:DT606)</f>
        <v>162.17288795099998</v>
      </c>
      <c r="IL606" s="279">
        <f>SUM(DU606:DZ606)</f>
        <v>198.73052720881998</v>
      </c>
      <c r="IM606" s="323">
        <f>IK606+IL606</f>
        <v>360.90341515981993</v>
      </c>
      <c r="IN606" s="279">
        <f>((IP606*0.51405)+1.25)*0+169.153837999</f>
        <v>169.15383799899999</v>
      </c>
      <c r="IO606" s="279">
        <f>+(IP606-IN606)</f>
        <v>194.13459270083999</v>
      </c>
      <c r="IP606" s="323">
        <f>FISC!AC808</f>
        <v>363.28843069983998</v>
      </c>
      <c r="IQ606" s="279">
        <f>SUM(EM606:ER606)</f>
        <v>224.661645201</v>
      </c>
      <c r="IR606" s="279">
        <f>SUM(ES606:EX606)</f>
        <v>182.56935211899997</v>
      </c>
      <c r="IS606" s="323">
        <f t="shared" si="407"/>
        <v>407.23099731999997</v>
      </c>
      <c r="IT606" s="327" t="e">
        <f>((IV606*0.49)*0+#REF!)*0+234.620169075</f>
        <v>#REF!</v>
      </c>
      <c r="IU606" s="279" t="e">
        <f>+IV606-IT606</f>
        <v>#REF!</v>
      </c>
      <c r="IV606" s="323">
        <f>+FISC!AE808</f>
        <v>424.35991078043662</v>
      </c>
      <c r="IW606" s="327">
        <f>(IY606*0.49)*0+192.066032279531</f>
        <v>192.06603227953099</v>
      </c>
      <c r="IX606" s="279">
        <f t="shared" si="291"/>
        <v>265.23857049580477</v>
      </c>
      <c r="IY606" s="323">
        <f>+FISC!AF808</f>
        <v>457.30460277533575</v>
      </c>
      <c r="IZ606" s="327">
        <f>(JB606*0.3)</f>
        <v>225.58079162854929</v>
      </c>
      <c r="JA606" s="279">
        <f t="shared" si="360"/>
        <v>526.35518046661502</v>
      </c>
      <c r="JB606" s="323">
        <f>+FISC!AG808</f>
        <v>751.93597209516429</v>
      </c>
      <c r="JC606" s="327">
        <f>(JE606*0.49)</f>
        <v>420.89893257172935</v>
      </c>
      <c r="JD606" s="279">
        <f t="shared" si="280"/>
        <v>438.07848083996316</v>
      </c>
      <c r="JE606" s="323">
        <f>+FISC!AH808</f>
        <v>858.97741341169251</v>
      </c>
      <c r="JF606" s="327">
        <f>(JH606*0.3)</f>
        <v>285.03149688660989</v>
      </c>
      <c r="JG606" s="279">
        <f t="shared" si="281"/>
        <v>665.07349273542309</v>
      </c>
      <c r="JH606" s="323">
        <f>+FISC!AI808</f>
        <v>950.10498962203292</v>
      </c>
      <c r="JI606" s="327">
        <f>(JK606*0.3)</f>
        <v>187.0946694690995</v>
      </c>
      <c r="JJ606" s="279">
        <f t="shared" si="282"/>
        <v>436.55422876123225</v>
      </c>
      <c r="JK606" s="323">
        <f>+FISC!AJ808</f>
        <v>623.64889823033172</v>
      </c>
      <c r="JL606" s="327">
        <f>(JN606*0.3)</f>
        <v>0</v>
      </c>
      <c r="JM606" s="279">
        <f t="shared" si="283"/>
        <v>0</v>
      </c>
      <c r="JN606" s="323">
        <f>+FISC!AK808</f>
        <v>0</v>
      </c>
      <c r="JO606" s="323"/>
      <c r="KU606" s="326"/>
      <c r="KV606" s="327"/>
      <c r="KW606" s="279">
        <v>217.753325176358</v>
      </c>
    </row>
    <row r="607" spans="1:314" hidden="1">
      <c r="A607" s="279"/>
      <c r="B607" s="96" t="s">
        <v>338</v>
      </c>
      <c r="D607" s="328" t="str">
        <f>+FISC!D809</f>
        <v xml:space="preserve">      of which transfers excl. wages-salaries &amp; expend on local govt taxes</v>
      </c>
      <c r="E607" s="323"/>
      <c r="F607" s="323"/>
      <c r="G607" s="323"/>
      <c r="H607" s="323"/>
      <c r="I607" s="323"/>
      <c r="J607" s="323"/>
      <c r="K607" s="323"/>
      <c r="L607" s="323"/>
      <c r="M607" s="323"/>
      <c r="N607" s="323"/>
      <c r="O607" s="323"/>
      <c r="P607" s="323"/>
      <c r="Q607" s="323"/>
      <c r="R607" s="323"/>
      <c r="S607" s="323"/>
      <c r="T607" s="323"/>
      <c r="U607" s="323"/>
      <c r="V607" s="323"/>
      <c r="W607" s="323"/>
      <c r="X607" s="323"/>
      <c r="Y607" s="323"/>
      <c r="Z607" s="323"/>
      <c r="AA607" s="323"/>
      <c r="AB607" s="323"/>
      <c r="AC607" s="323"/>
      <c r="AD607" s="323"/>
      <c r="AE607" s="323"/>
      <c r="AF607" s="323"/>
      <c r="AG607" s="323"/>
      <c r="AH607" s="323"/>
      <c r="AI607" s="323"/>
      <c r="AJ607" s="323"/>
      <c r="AK607" s="323"/>
      <c r="AL607" s="323"/>
      <c r="AM607" s="323"/>
      <c r="AN607" s="323"/>
      <c r="AO607" s="323"/>
      <c r="AP607" s="323"/>
      <c r="AQ607" s="323"/>
      <c r="AR607" s="323"/>
      <c r="AS607" s="323"/>
      <c r="AT607" s="323"/>
      <c r="AU607" s="323"/>
      <c r="AV607" s="323"/>
      <c r="AW607" s="323"/>
      <c r="AX607" s="323"/>
      <c r="AY607" s="323"/>
      <c r="AZ607" s="323"/>
      <c r="BA607" s="323"/>
      <c r="BB607" s="323"/>
      <c r="BC607" s="323"/>
      <c r="BD607" s="323"/>
      <c r="BE607" s="323"/>
      <c r="BF607" s="323"/>
      <c r="BG607" s="323"/>
      <c r="BH607" s="323"/>
      <c r="BI607" s="323"/>
      <c r="BJ607" s="323"/>
      <c r="BK607" s="323"/>
      <c r="BL607" s="323"/>
      <c r="BM607" s="323"/>
      <c r="BN607" s="323"/>
      <c r="BO607" s="323"/>
      <c r="BP607" s="323"/>
      <c r="BQ607" s="323"/>
      <c r="BR607" s="323"/>
      <c r="BS607" s="323"/>
      <c r="BT607" s="323"/>
      <c r="BU607" s="323"/>
      <c r="BV607" s="323"/>
      <c r="BW607" s="323"/>
      <c r="BX607" s="323"/>
      <c r="BY607" s="323"/>
      <c r="BZ607" s="323"/>
      <c r="CA607" s="323"/>
      <c r="CB607" s="323"/>
      <c r="CC607" s="323"/>
      <c r="CD607" s="323"/>
      <c r="CE607" s="324"/>
      <c r="CF607" s="323"/>
      <c r="CG607" s="323"/>
      <c r="CH607" s="323"/>
      <c r="CI607" s="323"/>
      <c r="CJ607" s="323"/>
      <c r="CK607" s="323"/>
      <c r="CL607" s="323"/>
      <c r="CM607" s="323"/>
      <c r="CN607" s="323"/>
      <c r="CO607" s="323"/>
      <c r="CP607" s="325"/>
      <c r="CQ607" s="323"/>
      <c r="CR607" s="323"/>
      <c r="CS607" s="323"/>
      <c r="CT607" s="323"/>
      <c r="CU607" s="323"/>
      <c r="CV607" s="323"/>
      <c r="CW607" s="323"/>
      <c r="CX607" s="323"/>
      <c r="CY607" s="323"/>
      <c r="CZ607" s="323"/>
      <c r="DA607" s="323"/>
      <c r="DB607" s="1269"/>
      <c r="DC607" s="323"/>
      <c r="DD607" s="323"/>
      <c r="DE607" s="323"/>
      <c r="DF607" s="323"/>
      <c r="DG607" s="323"/>
      <c r="DH607" s="323"/>
      <c r="DI607" s="323"/>
      <c r="DJ607" s="323"/>
      <c r="DK607" s="323"/>
      <c r="DL607" s="323"/>
      <c r="DM607" s="323"/>
      <c r="DN607" s="325"/>
      <c r="DO607" s="323"/>
      <c r="DP607" s="323"/>
      <c r="DQ607" s="323"/>
      <c r="DR607" s="323"/>
      <c r="DS607" s="323"/>
      <c r="DT607" s="323"/>
      <c r="DU607" s="323"/>
      <c r="DV607" s="323"/>
      <c r="DW607" s="323"/>
      <c r="DX607" s="323"/>
      <c r="DY607" s="323"/>
      <c r="DZ607" s="325"/>
      <c r="EA607" s="323"/>
      <c r="EB607" s="323"/>
      <c r="EC607" s="323"/>
      <c r="ED607" s="323"/>
      <c r="EE607" s="323"/>
      <c r="EF607" s="323"/>
      <c r="EG607" s="323"/>
      <c r="EH607" s="323"/>
      <c r="EI607" s="323"/>
      <c r="EJ607" s="323"/>
      <c r="EK607" s="323"/>
      <c r="EL607" s="325"/>
      <c r="EM607" s="323"/>
      <c r="EN607" s="323"/>
      <c r="EO607" s="323"/>
      <c r="EP607" s="323"/>
      <c r="EQ607" s="323"/>
      <c r="ER607" s="323"/>
      <c r="ES607" s="323"/>
      <c r="ET607" s="323"/>
      <c r="EU607" s="323"/>
      <c r="EV607" s="323"/>
      <c r="EW607" s="323"/>
      <c r="EX607" s="325"/>
      <c r="EY607" s="323"/>
      <c r="EZ607" s="323"/>
      <c r="FA607" s="323"/>
      <c r="FB607" s="323"/>
      <c r="FC607" s="323"/>
      <c r="FD607" s="323"/>
      <c r="FE607" s="323"/>
      <c r="FF607" s="323"/>
      <c r="FG607" s="323"/>
      <c r="FH607" s="323"/>
      <c r="FI607" s="323"/>
      <c r="FJ607" s="325"/>
      <c r="FK607" s="323"/>
      <c r="FL607" s="323"/>
      <c r="FM607" s="323"/>
      <c r="FN607" s="323"/>
      <c r="FO607" s="323"/>
      <c r="FP607" s="323"/>
      <c r="FQ607" s="323"/>
      <c r="FR607" s="323"/>
      <c r="FS607" s="323"/>
      <c r="FT607" s="323"/>
      <c r="FU607" s="323"/>
      <c r="FV607" s="323"/>
      <c r="FW607" s="323"/>
      <c r="FX607" s="323"/>
      <c r="FY607" s="323"/>
      <c r="FZ607" s="323"/>
      <c r="GA607" s="323"/>
      <c r="GB607" s="323"/>
      <c r="GC607" s="323"/>
      <c r="GD607" s="323"/>
      <c r="GE607" s="323"/>
      <c r="GF607" s="323"/>
      <c r="GG607" s="323"/>
      <c r="GH607" s="323"/>
      <c r="GI607" s="323"/>
      <c r="GJ607" s="323"/>
      <c r="GK607" s="323"/>
      <c r="GL607" s="323"/>
      <c r="GM607" s="323"/>
      <c r="GN607" s="323"/>
      <c r="GO607" s="323"/>
      <c r="GP607" s="323"/>
      <c r="GQ607" s="323"/>
      <c r="GR607" s="323"/>
      <c r="GS607" s="323"/>
      <c r="GT607" s="323"/>
      <c r="GU607" s="323"/>
      <c r="GV607" s="323"/>
      <c r="GW607" s="323"/>
      <c r="GX607" s="323"/>
      <c r="GY607" s="323"/>
      <c r="GZ607" s="323"/>
      <c r="HA607" s="323"/>
      <c r="HB607" s="323"/>
      <c r="HC607" s="323"/>
      <c r="HD607" s="323"/>
      <c r="HE607" s="323"/>
      <c r="HF607" s="323"/>
      <c r="HG607" s="323"/>
      <c r="HH607" s="323"/>
      <c r="HI607" s="323"/>
      <c r="HJ607" s="323"/>
      <c r="HK607" s="323"/>
      <c r="HL607" s="323"/>
      <c r="HM607" s="323"/>
      <c r="HN607" s="323"/>
      <c r="HO607" s="323"/>
      <c r="HP607" s="323"/>
      <c r="HQ607" s="323"/>
      <c r="HR607" s="323"/>
      <c r="HS607" s="323"/>
      <c r="HT607" s="323"/>
      <c r="HU607" s="323"/>
      <c r="HV607" s="323"/>
      <c r="HW607" s="323"/>
      <c r="HX607" s="323"/>
      <c r="HY607" s="323"/>
      <c r="HZ607" s="326"/>
      <c r="IA607" s="328" t="s">
        <v>245</v>
      </c>
      <c r="IB607" s="328"/>
      <c r="IC607" s="328"/>
      <c r="ID607" s="323">
        <f>+FISC!Z809</f>
        <v>167.10000000000005</v>
      </c>
      <c r="IE607" s="279">
        <f>SUM(CQ607:CV607)</f>
        <v>0</v>
      </c>
      <c r="IF607" s="279">
        <f>SUM(CW607:DB607)</f>
        <v>0</v>
      </c>
      <c r="IG607" s="323">
        <f>SUM(CQ607:DB607)</f>
        <v>0</v>
      </c>
      <c r="IH607" s="279">
        <f>+IH606-IH608-IH610</f>
        <v>83.235684978999984</v>
      </c>
      <c r="II607" s="279">
        <f>+II606-II608-II610</f>
        <v>118.381901564</v>
      </c>
      <c r="IJ607" s="323">
        <f>IH607+II607</f>
        <v>201.61758654299999</v>
      </c>
      <c r="IK607" s="279">
        <f>+IK606-IK608-IK610</f>
        <v>88.278283874999971</v>
      </c>
      <c r="IL607" s="279">
        <f>+IL606-IL608-IL610</f>
        <v>110.03725217299998</v>
      </c>
      <c r="IM607" s="323">
        <f t="shared" si="309"/>
        <v>198.31553604799996</v>
      </c>
      <c r="IN607" s="279">
        <f>+IN606-IN608-IN610</f>
        <v>83.754696786873268</v>
      </c>
      <c r="IO607" s="279">
        <f>+IO606-IO608-IO610</f>
        <v>108.73545148871327</v>
      </c>
      <c r="IP607" s="323">
        <f>FISC!AC809</f>
        <v>192.49014827558653</v>
      </c>
      <c r="IQ607" s="279">
        <f>SUM(EM607:ER607)</f>
        <v>0</v>
      </c>
      <c r="IR607" s="279">
        <f>SUM(ES607:EX607)</f>
        <v>0</v>
      </c>
      <c r="IS607" s="323">
        <f t="shared" si="407"/>
        <v>0</v>
      </c>
      <c r="IT607" s="279" t="e">
        <f>+IT606-IT608-IT610</f>
        <v>#REF!</v>
      </c>
      <c r="IU607" s="279" t="e">
        <f>+IU606-IU608-IU610</f>
        <v>#REF!</v>
      </c>
      <c r="IV607" s="323">
        <f>+FISC!AE809</f>
        <v>210.99833405420122</v>
      </c>
      <c r="IW607" s="279">
        <f>+IW606-IW608-IW610</f>
        <v>66.721658107978854</v>
      </c>
      <c r="IX607" s="279">
        <f t="shared" si="291"/>
        <v>139.89419632425256</v>
      </c>
      <c r="IY607" s="323">
        <f>+FISC!AF809</f>
        <v>206.61585443223143</v>
      </c>
      <c r="IZ607" s="279">
        <f>+IZ606-IZ608-IZ610</f>
        <v>-6.9612734690977618</v>
      </c>
      <c r="JA607" s="279">
        <f t="shared" si="360"/>
        <v>293.81311536896794</v>
      </c>
      <c r="JB607" s="323">
        <f>+FISC!AG809</f>
        <v>286.85184189987018</v>
      </c>
      <c r="JC607" s="279">
        <f>+JC606-JC608-JC610</f>
        <v>158.79578403511067</v>
      </c>
      <c r="JD607" s="279">
        <f t="shared" si="280"/>
        <v>175.97533230334454</v>
      </c>
      <c r="JE607" s="323">
        <f>+FISC!AH809</f>
        <v>334.77111633845522</v>
      </c>
      <c r="JF607" s="279">
        <f>+JF606-JF608-JF610</f>
        <v>3.0661094856291271</v>
      </c>
      <c r="JG607" s="279">
        <f t="shared" si="281"/>
        <v>383.10810533444231</v>
      </c>
      <c r="JH607" s="323">
        <f>+FISC!AI809</f>
        <v>386.17421482007143</v>
      </c>
      <c r="JI607" s="279">
        <f>+JI606-JI608-JI610</f>
        <v>68.357327763969366</v>
      </c>
      <c r="JJ607" s="279">
        <f t="shared" si="282"/>
        <v>317.81688705610208</v>
      </c>
      <c r="JK607" s="323">
        <f>+FISC!AJ809</f>
        <v>386.17421482007143</v>
      </c>
      <c r="JL607" s="279">
        <f>+JL606-JL608-JL610</f>
        <v>0</v>
      </c>
      <c r="JM607" s="279">
        <f t="shared" si="283"/>
        <v>0</v>
      </c>
      <c r="JN607" s="323">
        <f>+FISC!AK809</f>
        <v>0</v>
      </c>
      <c r="JO607" s="323"/>
      <c r="KU607" s="326"/>
      <c r="KV607" s="327"/>
    </row>
    <row r="608" spans="1:314" hidden="1">
      <c r="A608" s="279"/>
      <c r="B608" s="96" t="s">
        <v>338</v>
      </c>
      <c r="D608" s="328" t="str">
        <f>+FISC!D810</f>
        <v>of which expenditures on local government taxes</v>
      </c>
      <c r="E608" s="323"/>
      <c r="F608" s="323"/>
      <c r="G608" s="323"/>
      <c r="H608" s="323"/>
      <c r="I608" s="323"/>
      <c r="J608" s="323"/>
      <c r="K608" s="323"/>
      <c r="L608" s="323"/>
      <c r="M608" s="323"/>
      <c r="N608" s="323"/>
      <c r="O608" s="323"/>
      <c r="P608" s="323"/>
      <c r="Q608" s="323"/>
      <c r="R608" s="323"/>
      <c r="S608" s="323"/>
      <c r="T608" s="323"/>
      <c r="U608" s="323"/>
      <c r="V608" s="323"/>
      <c r="W608" s="323"/>
      <c r="X608" s="323"/>
      <c r="Y608" s="323"/>
      <c r="Z608" s="323"/>
      <c r="AA608" s="323"/>
      <c r="AB608" s="323"/>
      <c r="AC608" s="323"/>
      <c r="AD608" s="323"/>
      <c r="AE608" s="323"/>
      <c r="AF608" s="323"/>
      <c r="AG608" s="323"/>
      <c r="AH608" s="323"/>
      <c r="AI608" s="323"/>
      <c r="AJ608" s="323"/>
      <c r="AK608" s="323"/>
      <c r="AL608" s="323"/>
      <c r="AM608" s="323"/>
      <c r="AN608" s="323"/>
      <c r="AO608" s="323"/>
      <c r="AP608" s="323"/>
      <c r="AQ608" s="323"/>
      <c r="AR608" s="323"/>
      <c r="AS608" s="323"/>
      <c r="AT608" s="323"/>
      <c r="AU608" s="323"/>
      <c r="AV608" s="323"/>
      <c r="AW608" s="323"/>
      <c r="AX608" s="323"/>
      <c r="AY608" s="323"/>
      <c r="AZ608" s="323"/>
      <c r="BA608" s="323"/>
      <c r="BB608" s="323"/>
      <c r="BC608" s="323"/>
      <c r="BD608" s="323"/>
      <c r="BE608" s="323"/>
      <c r="BF608" s="323"/>
      <c r="BG608" s="323"/>
      <c r="BH608" s="323"/>
      <c r="BI608" s="323"/>
      <c r="BJ608" s="323"/>
      <c r="BK608" s="323"/>
      <c r="BL608" s="323"/>
      <c r="BM608" s="323"/>
      <c r="BN608" s="323"/>
      <c r="BO608" s="323"/>
      <c r="BP608" s="323"/>
      <c r="BQ608" s="323"/>
      <c r="BR608" s="323"/>
      <c r="BS608" s="323"/>
      <c r="BT608" s="323"/>
      <c r="BU608" s="323"/>
      <c r="BV608" s="323"/>
      <c r="BW608" s="323"/>
      <c r="BX608" s="323"/>
      <c r="BY608" s="323"/>
      <c r="BZ608" s="323"/>
      <c r="CA608" s="323"/>
      <c r="CB608" s="323"/>
      <c r="CC608" s="323"/>
      <c r="CD608" s="323"/>
      <c r="CE608" s="324">
        <f t="shared" ref="CE608:DJ608" si="453">CE573+CE556</f>
        <v>0</v>
      </c>
      <c r="CF608" s="323">
        <f t="shared" si="453"/>
        <v>0</v>
      </c>
      <c r="CG608" s="323">
        <f t="shared" si="453"/>
        <v>0</v>
      </c>
      <c r="CH608" s="323">
        <f t="shared" si="453"/>
        <v>0</v>
      </c>
      <c r="CI608" s="323">
        <f t="shared" si="453"/>
        <v>0</v>
      </c>
      <c r="CJ608" s="323">
        <f t="shared" si="453"/>
        <v>0</v>
      </c>
      <c r="CK608" s="323">
        <f t="shared" si="453"/>
        <v>0</v>
      </c>
      <c r="CL608" s="323">
        <f t="shared" si="453"/>
        <v>0</v>
      </c>
      <c r="CM608" s="323">
        <f t="shared" si="453"/>
        <v>0</v>
      </c>
      <c r="CN608" s="323">
        <f t="shared" si="453"/>
        <v>0</v>
      </c>
      <c r="CO608" s="323">
        <f t="shared" si="453"/>
        <v>0</v>
      </c>
      <c r="CP608" s="325">
        <f t="shared" si="453"/>
        <v>0</v>
      </c>
      <c r="CQ608" s="323">
        <f t="shared" si="453"/>
        <v>0.183261338</v>
      </c>
      <c r="CR608" s="323">
        <f t="shared" si="453"/>
        <v>0.14638458600000001</v>
      </c>
      <c r="CS608" s="323">
        <f t="shared" si="453"/>
        <v>0.113267485</v>
      </c>
      <c r="CT608" s="323">
        <f t="shared" si="453"/>
        <v>0.122111359</v>
      </c>
      <c r="CU608" s="323">
        <f t="shared" si="453"/>
        <v>0.116284792</v>
      </c>
      <c r="CV608" s="323">
        <f t="shared" si="453"/>
        <v>0.15974851299999998</v>
      </c>
      <c r="CW608" s="323">
        <f t="shared" si="453"/>
        <v>7.8153791887950002</v>
      </c>
      <c r="CX608" s="323">
        <f t="shared" si="453"/>
        <v>8.4013208027950004</v>
      </c>
      <c r="CY608" s="323">
        <f t="shared" si="453"/>
        <v>13.013312039999999</v>
      </c>
      <c r="CZ608" s="323">
        <f t="shared" si="453"/>
        <v>0.50515088600000002</v>
      </c>
      <c r="DA608" s="323">
        <f t="shared" si="453"/>
        <v>0.26616519800000005</v>
      </c>
      <c r="DB608" s="1269">
        <f t="shared" si="453"/>
        <v>0.24200322200000002</v>
      </c>
      <c r="DC608" s="323">
        <f t="shared" si="453"/>
        <v>2.1537507630000001</v>
      </c>
      <c r="DD608" s="323">
        <f t="shared" si="453"/>
        <v>1.4768050530000001</v>
      </c>
      <c r="DE608" s="323">
        <f t="shared" si="453"/>
        <v>1.7822144559999999</v>
      </c>
      <c r="DF608" s="323">
        <f t="shared" si="453"/>
        <v>1.6500817510000001</v>
      </c>
      <c r="DG608" s="323">
        <f t="shared" si="453"/>
        <v>1.7923412299999999</v>
      </c>
      <c r="DH608" s="323">
        <f t="shared" si="453"/>
        <v>4.2202916520000002</v>
      </c>
      <c r="DI608" s="323">
        <f t="shared" si="453"/>
        <v>3.1291233790000001</v>
      </c>
      <c r="DJ608" s="323">
        <f t="shared" si="453"/>
        <v>2.8409421099999999</v>
      </c>
      <c r="DK608" s="323">
        <f t="shared" ref="DK608:EK608" si="454">DK573+DK556</f>
        <v>13.759354583</v>
      </c>
      <c r="DL608" s="323">
        <f t="shared" si="454"/>
        <v>3.142999181</v>
      </c>
      <c r="DM608" s="323">
        <f t="shared" si="454"/>
        <v>2.3048897359999998</v>
      </c>
      <c r="DN608" s="325">
        <f t="shared" si="454"/>
        <v>2.1356712030000029</v>
      </c>
      <c r="DO608" s="323">
        <f t="shared" si="454"/>
        <v>1.8229584839999999</v>
      </c>
      <c r="DP608" s="323">
        <f t="shared" si="454"/>
        <v>2.2322524439999998</v>
      </c>
      <c r="DQ608" s="323">
        <f t="shared" si="454"/>
        <v>2.1201976179999997</v>
      </c>
      <c r="DR608" s="323">
        <f t="shared" si="454"/>
        <v>2.1908555590000001</v>
      </c>
      <c r="DS608" s="323">
        <f t="shared" si="454"/>
        <v>2.3364014239999999</v>
      </c>
      <c r="DT608" s="323">
        <f t="shared" si="454"/>
        <v>5.8419385469999998</v>
      </c>
      <c r="DU608" s="323">
        <f t="shared" si="454"/>
        <v>2.8779713249999999</v>
      </c>
      <c r="DV608" s="323">
        <f t="shared" si="454"/>
        <v>3.6359134360000001</v>
      </c>
      <c r="DW608" s="323">
        <f t="shared" si="454"/>
        <v>15.658399510999999</v>
      </c>
      <c r="DX608" s="323">
        <f t="shared" si="454"/>
        <v>2.5283023723333335</v>
      </c>
      <c r="DY608" s="323">
        <f t="shared" si="454"/>
        <v>3.1005595053333299</v>
      </c>
      <c r="DZ608" s="325">
        <f t="shared" si="454"/>
        <v>3.5421288861533302</v>
      </c>
      <c r="EA608" s="323">
        <f t="shared" si="454"/>
        <v>2.4467386709999999</v>
      </c>
      <c r="EB608" s="323">
        <f t="shared" si="454"/>
        <v>2.5030338089999997</v>
      </c>
      <c r="EC608" s="323">
        <f t="shared" si="454"/>
        <v>2.4811109070000001</v>
      </c>
      <c r="ED608" s="323">
        <f t="shared" si="454"/>
        <v>3.0029290859999995</v>
      </c>
      <c r="EE608" s="323">
        <f t="shared" si="454"/>
        <v>2.9900450309999997</v>
      </c>
      <c r="EF608" s="323">
        <f t="shared" si="454"/>
        <v>6.3851875640000006</v>
      </c>
      <c r="EG608" s="323">
        <f t="shared" si="454"/>
        <v>3.391385350235613</v>
      </c>
      <c r="EH608" s="323">
        <f t="shared" si="454"/>
        <v>3.8792876455019396</v>
      </c>
      <c r="EI608" s="323">
        <f t="shared" si="454"/>
        <v>16.269507953293861</v>
      </c>
      <c r="EJ608" s="323">
        <f t="shared" si="454"/>
        <v>3.7563821511764526</v>
      </c>
      <c r="EK608" s="323">
        <f t="shared" si="454"/>
        <v>3.334690549572108</v>
      </c>
      <c r="EL608" s="325">
        <f t="shared" ref="EL608:ER608" si="455">EL573+EL556</f>
        <v>3.3424051840600058</v>
      </c>
      <c r="EM608" s="323">
        <f t="shared" si="455"/>
        <v>2.9179305429999998</v>
      </c>
      <c r="EN608" s="323">
        <f t="shared" si="455"/>
        <v>2.7732397710000001</v>
      </c>
      <c r="EO608" s="323">
        <f t="shared" si="455"/>
        <v>2.773520913</v>
      </c>
      <c r="EP608" s="323">
        <f t="shared" si="455"/>
        <v>3.6925290790000003</v>
      </c>
      <c r="EQ608" s="323">
        <f t="shared" si="455"/>
        <v>3.3174091150000002</v>
      </c>
      <c r="ER608" s="323">
        <f t="shared" si="455"/>
        <v>7.2655847190000005</v>
      </c>
      <c r="ES608" s="323">
        <f t="shared" ref="ES608:EX608" si="456">ES573+ES556</f>
        <v>9.7364006940000003</v>
      </c>
      <c r="ET608" s="323">
        <f t="shared" si="456"/>
        <v>4.2010380170000001</v>
      </c>
      <c r="EU608" s="323">
        <f t="shared" si="456"/>
        <v>11.756376802</v>
      </c>
      <c r="EV608" s="323">
        <f t="shared" si="456"/>
        <v>4.753253172</v>
      </c>
      <c r="EW608" s="323">
        <f t="shared" si="456"/>
        <v>3.574423001</v>
      </c>
      <c r="EX608" s="325">
        <f t="shared" si="456"/>
        <v>3.848724078</v>
      </c>
      <c r="EY608" s="323"/>
      <c r="EZ608" s="323"/>
      <c r="FA608" s="323"/>
      <c r="FB608" s="323"/>
      <c r="FC608" s="323"/>
      <c r="FD608" s="323"/>
      <c r="FE608" s="323"/>
      <c r="FF608" s="323"/>
      <c r="FG608" s="323"/>
      <c r="FH608" s="323"/>
      <c r="FI608" s="323"/>
      <c r="FJ608" s="325"/>
      <c r="FK608" s="323"/>
      <c r="FL608" s="323"/>
      <c r="FM608" s="323"/>
      <c r="FN608" s="323"/>
      <c r="FO608" s="323"/>
      <c r="FP608" s="323"/>
      <c r="FQ608" s="323"/>
      <c r="FR608" s="323"/>
      <c r="FS608" s="323"/>
      <c r="FT608" s="323"/>
      <c r="FU608" s="323"/>
      <c r="FV608" s="323"/>
      <c r="FW608" s="323"/>
      <c r="FX608" s="323"/>
      <c r="FY608" s="323"/>
      <c r="FZ608" s="323"/>
      <c r="GA608" s="323"/>
      <c r="GB608" s="323"/>
      <c r="GC608" s="323"/>
      <c r="GD608" s="323"/>
      <c r="GE608" s="323"/>
      <c r="GF608" s="323"/>
      <c r="GG608" s="323"/>
      <c r="GH608" s="323"/>
      <c r="GI608" s="323"/>
      <c r="GJ608" s="323"/>
      <c r="GK608" s="323"/>
      <c r="GL608" s="323"/>
      <c r="GM608" s="323"/>
      <c r="GN608" s="323"/>
      <c r="GO608" s="323"/>
      <c r="GP608" s="323"/>
      <c r="GQ608" s="323"/>
      <c r="GR608" s="323"/>
      <c r="GS608" s="323"/>
      <c r="GT608" s="323"/>
      <c r="GU608" s="323"/>
      <c r="GV608" s="323"/>
      <c r="GW608" s="323"/>
      <c r="GX608" s="323"/>
      <c r="GY608" s="323"/>
      <c r="GZ608" s="323"/>
      <c r="HA608" s="323"/>
      <c r="HB608" s="323"/>
      <c r="HC608" s="323"/>
      <c r="HD608" s="323"/>
      <c r="HE608" s="323"/>
      <c r="HF608" s="323"/>
      <c r="HG608" s="323"/>
      <c r="HH608" s="323"/>
      <c r="HI608" s="323"/>
      <c r="HJ608" s="323"/>
      <c r="HK608" s="323"/>
      <c r="HL608" s="323"/>
      <c r="HM608" s="323"/>
      <c r="HN608" s="323"/>
      <c r="HO608" s="323"/>
      <c r="HP608" s="323"/>
      <c r="HQ608" s="323"/>
      <c r="HR608" s="323"/>
      <c r="HS608" s="323"/>
      <c r="HT608" s="323"/>
      <c r="HU608" s="323"/>
      <c r="HV608" s="323"/>
      <c r="HW608" s="323"/>
      <c r="HX608" s="323"/>
      <c r="HY608" s="323"/>
      <c r="HZ608" s="326"/>
      <c r="IA608" s="328" t="s">
        <v>139</v>
      </c>
      <c r="IB608" s="328"/>
      <c r="IC608" s="328"/>
      <c r="ID608" s="323">
        <f>+FISC!Z810</f>
        <v>31</v>
      </c>
      <c r="IE608" s="279">
        <f>SUM(CQ608:CV608)</f>
        <v>0.84105807299999991</v>
      </c>
      <c r="IF608" s="279">
        <f>SUM(CW608:DB608)</f>
        <v>30.24333133759</v>
      </c>
      <c r="IG608" s="323">
        <f>SUM(CQ608:DB608)</f>
        <v>31.084389410589999</v>
      </c>
      <c r="IH608" s="279">
        <f>+SUM(DC608:DH608)</f>
        <v>13.075484905</v>
      </c>
      <c r="II608" s="279">
        <f>+SUM(DI608:DN608)</f>
        <v>27.312980192000005</v>
      </c>
      <c r="IJ608" s="323">
        <f>IH608+II608</f>
        <v>40.388465097000008</v>
      </c>
      <c r="IK608" s="279">
        <f>+SUM(DO608:DT608)</f>
        <v>16.544604075999999</v>
      </c>
      <c r="IL608" s="279">
        <f>SUM(DU608:DZ608)</f>
        <v>31.343275035819993</v>
      </c>
      <c r="IM608" s="323">
        <f t="shared" si="309"/>
        <v>47.887879111819991</v>
      </c>
      <c r="IN608" s="554">
        <f>+IP608/2</f>
        <v>26.93154313622</v>
      </c>
      <c r="IO608" s="554">
        <f>+IP608-IN608</f>
        <v>26.93154313622</v>
      </c>
      <c r="IP608" s="323">
        <f>FISC!AC810</f>
        <v>53.86308627244</v>
      </c>
      <c r="IQ608" s="279">
        <f>SUM(EM608:ER608)</f>
        <v>22.740214139999999</v>
      </c>
      <c r="IR608" s="279">
        <f>SUM(ES608:EX608)</f>
        <v>37.870215764000008</v>
      </c>
      <c r="IS608" s="323">
        <f t="shared" si="407"/>
        <v>60.610429904000007</v>
      </c>
      <c r="IT608" s="554">
        <f>+IV608/2</f>
        <v>30.358385287531753</v>
      </c>
      <c r="IU608" s="554">
        <f>+IV608-IT608</f>
        <v>30.358385287531753</v>
      </c>
      <c r="IV608" s="323">
        <f>+FISC!AE810</f>
        <v>60.716770575063506</v>
      </c>
      <c r="IW608" s="327">
        <f>IY608/2</f>
        <v>36.721547326692452</v>
      </c>
      <c r="IX608" s="279">
        <f t="shared" si="291"/>
        <v>36.721547326692452</v>
      </c>
      <c r="IY608" s="323">
        <f>+FISC!AF810</f>
        <v>73.443094653384904</v>
      </c>
      <c r="IZ608" s="327">
        <f>JB608/2</f>
        <v>130.08167006923097</v>
      </c>
      <c r="JA608" s="279">
        <f t="shared" si="360"/>
        <v>130.08167006923097</v>
      </c>
      <c r="JB608" s="323">
        <f>+FISC!AG810</f>
        <v>260.16334013846193</v>
      </c>
      <c r="JC608" s="327">
        <f>JE608/2</f>
        <v>151.80412344694867</v>
      </c>
      <c r="JD608" s="279">
        <f t="shared" si="280"/>
        <v>151.80412344694867</v>
      </c>
      <c r="JE608" s="323">
        <f>+FISC!AH810</f>
        <v>303.60824689389733</v>
      </c>
      <c r="JF608" s="327">
        <f>JH608/2</f>
        <v>163.22804569585062</v>
      </c>
      <c r="JG608" s="279">
        <f t="shared" si="281"/>
        <v>163.22804569585062</v>
      </c>
      <c r="JH608" s="323">
        <f>+FISC!AI810</f>
        <v>326.45609139170125</v>
      </c>
      <c r="JI608" s="327">
        <f>JK608/2</f>
        <v>0</v>
      </c>
      <c r="JJ608" s="279">
        <f t="shared" si="282"/>
        <v>0</v>
      </c>
      <c r="JK608" s="323">
        <f>+FISC!AJ810</f>
        <v>0</v>
      </c>
      <c r="JL608" s="327">
        <f>JN608/2</f>
        <v>0</v>
      </c>
      <c r="JM608" s="279">
        <f t="shared" si="283"/>
        <v>0</v>
      </c>
      <c r="JN608" s="323">
        <f>+FISC!AK810</f>
        <v>0</v>
      </c>
      <c r="JO608" s="323"/>
      <c r="KU608" s="326"/>
      <c r="KV608" s="327"/>
    </row>
    <row r="609" spans="1:314" hidden="1">
      <c r="A609" s="279"/>
      <c r="D609" s="328" t="str">
        <f>+FISC!D815</f>
        <v xml:space="preserve"> LODA expenditure on budget grants directly disbursed/ REG&amp;RTDA Tax expenditure</v>
      </c>
      <c r="E609" s="323"/>
      <c r="F609" s="323"/>
      <c r="G609" s="323"/>
      <c r="H609" s="323"/>
      <c r="I609" s="323"/>
      <c r="J609" s="323"/>
      <c r="K609" s="323"/>
      <c r="L609" s="323"/>
      <c r="M609" s="323"/>
      <c r="N609" s="323"/>
      <c r="O609" s="323"/>
      <c r="P609" s="323"/>
      <c r="Q609" s="323"/>
      <c r="R609" s="323"/>
      <c r="S609" s="323"/>
      <c r="T609" s="323"/>
      <c r="U609" s="323"/>
      <c r="V609" s="323"/>
      <c r="W609" s="323"/>
      <c r="X609" s="323"/>
      <c r="Y609" s="323"/>
      <c r="Z609" s="323"/>
      <c r="AA609" s="323"/>
      <c r="AB609" s="323"/>
      <c r="AC609" s="323"/>
      <c r="AD609" s="323"/>
      <c r="AE609" s="323"/>
      <c r="AF609" s="323"/>
      <c r="AG609" s="323"/>
      <c r="AH609" s="323"/>
      <c r="AI609" s="323"/>
      <c r="AJ609" s="323"/>
      <c r="AK609" s="323"/>
      <c r="AL609" s="323"/>
      <c r="AM609" s="323"/>
      <c r="AN609" s="323"/>
      <c r="AO609" s="323"/>
      <c r="AP609" s="323"/>
      <c r="AQ609" s="323"/>
      <c r="AR609" s="323"/>
      <c r="AS609" s="323"/>
      <c r="AT609" s="323"/>
      <c r="AU609" s="323"/>
      <c r="AV609" s="323"/>
      <c r="AW609" s="323"/>
      <c r="AX609" s="323"/>
      <c r="AY609" s="323"/>
      <c r="AZ609" s="323"/>
      <c r="BA609" s="323"/>
      <c r="BB609" s="323"/>
      <c r="BC609" s="323"/>
      <c r="BD609" s="323"/>
      <c r="BE609" s="323"/>
      <c r="BF609" s="323"/>
      <c r="BG609" s="323"/>
      <c r="BH609" s="323"/>
      <c r="BI609" s="323"/>
      <c r="BJ609" s="323"/>
      <c r="BK609" s="323"/>
      <c r="BL609" s="323"/>
      <c r="BM609" s="323"/>
      <c r="BN609" s="323"/>
      <c r="BO609" s="323"/>
      <c r="BP609" s="323"/>
      <c r="BQ609" s="323"/>
      <c r="BR609" s="323"/>
      <c r="BS609" s="323"/>
      <c r="BT609" s="323"/>
      <c r="BU609" s="323"/>
      <c r="BV609" s="323"/>
      <c r="BW609" s="323"/>
      <c r="BX609" s="323"/>
      <c r="BY609" s="323"/>
      <c r="BZ609" s="323"/>
      <c r="CA609" s="323"/>
      <c r="CB609" s="323"/>
      <c r="CC609" s="323"/>
      <c r="CD609" s="323"/>
      <c r="CE609" s="324"/>
      <c r="CF609" s="323"/>
      <c r="CG609" s="323"/>
      <c r="CH609" s="323"/>
      <c r="CI609" s="323"/>
      <c r="CJ609" s="323"/>
      <c r="CK609" s="323"/>
      <c r="CL609" s="323"/>
      <c r="CM609" s="323"/>
      <c r="CN609" s="323"/>
      <c r="CO609" s="323"/>
      <c r="CP609" s="325"/>
      <c r="CQ609" s="323"/>
      <c r="CR609" s="323"/>
      <c r="CS609" s="323"/>
      <c r="CT609" s="323"/>
      <c r="CU609" s="323"/>
      <c r="CV609" s="323"/>
      <c r="CW609" s="323"/>
      <c r="CX609" s="323"/>
      <c r="CY609" s="323"/>
      <c r="CZ609" s="323"/>
      <c r="DA609" s="323"/>
      <c r="DB609" s="1269"/>
      <c r="DC609" s="323">
        <f t="shared" ref="DC609:EX609" si="457">+DC182</f>
        <v>0</v>
      </c>
      <c r="DD609" s="323">
        <f t="shared" si="457"/>
        <v>0</v>
      </c>
      <c r="DE609" s="323">
        <f t="shared" si="457"/>
        <v>0</v>
      </c>
      <c r="DF609" s="323">
        <f t="shared" si="457"/>
        <v>0</v>
      </c>
      <c r="DG609" s="323">
        <f t="shared" si="457"/>
        <v>0</v>
      </c>
      <c r="DH609" s="323">
        <f t="shared" si="457"/>
        <v>0</v>
      </c>
      <c r="DI609" s="323">
        <f t="shared" si="457"/>
        <v>0</v>
      </c>
      <c r="DJ609" s="323">
        <f t="shared" si="457"/>
        <v>0</v>
      </c>
      <c r="DK609" s="323">
        <f t="shared" si="457"/>
        <v>0</v>
      </c>
      <c r="DL609" s="323">
        <f t="shared" si="457"/>
        <v>0</v>
      </c>
      <c r="DM609" s="323">
        <f t="shared" si="457"/>
        <v>0</v>
      </c>
      <c r="DN609" s="325">
        <f t="shared" si="457"/>
        <v>0</v>
      </c>
      <c r="DO609" s="323">
        <f t="shared" si="457"/>
        <v>0</v>
      </c>
      <c r="DP609" s="323">
        <f t="shared" si="457"/>
        <v>0</v>
      </c>
      <c r="DQ609" s="323">
        <f t="shared" si="457"/>
        <v>0</v>
      </c>
      <c r="DR609" s="323">
        <f t="shared" si="457"/>
        <v>0</v>
      </c>
      <c r="DS609" s="323">
        <f t="shared" si="457"/>
        <v>0</v>
      </c>
      <c r="DT609" s="323">
        <f t="shared" si="457"/>
        <v>0</v>
      </c>
      <c r="DU609" s="323">
        <f t="shared" si="457"/>
        <v>0</v>
      </c>
      <c r="DV609" s="323">
        <f t="shared" si="457"/>
        <v>0</v>
      </c>
      <c r="DW609" s="323">
        <f t="shared" si="457"/>
        <v>0</v>
      </c>
      <c r="DX609" s="323">
        <f t="shared" si="457"/>
        <v>0</v>
      </c>
      <c r="DY609" s="323">
        <f t="shared" si="457"/>
        <v>0</v>
      </c>
      <c r="DZ609" s="325">
        <f t="shared" si="457"/>
        <v>0</v>
      </c>
      <c r="EA609" s="323">
        <f t="shared" si="457"/>
        <v>0</v>
      </c>
      <c r="EB609" s="323">
        <f t="shared" si="457"/>
        <v>0</v>
      </c>
      <c r="EC609" s="323">
        <f t="shared" si="457"/>
        <v>0</v>
      </c>
      <c r="ED609" s="323">
        <f t="shared" si="457"/>
        <v>0</v>
      </c>
      <c r="EE609" s="323">
        <f t="shared" si="457"/>
        <v>0</v>
      </c>
      <c r="EF609" s="323">
        <f t="shared" si="457"/>
        <v>0</v>
      </c>
      <c r="EG609" s="323">
        <f t="shared" si="457"/>
        <v>0</v>
      </c>
      <c r="EH609" s="323">
        <f t="shared" si="457"/>
        <v>0</v>
      </c>
      <c r="EI609" s="323">
        <f t="shared" si="457"/>
        <v>0</v>
      </c>
      <c r="EJ609" s="323">
        <f t="shared" si="457"/>
        <v>0</v>
      </c>
      <c r="EK609" s="323">
        <f t="shared" si="457"/>
        <v>0</v>
      </c>
      <c r="EL609" s="325">
        <f t="shared" si="457"/>
        <v>0</v>
      </c>
      <c r="EM609" s="323">
        <f t="shared" si="457"/>
        <v>0</v>
      </c>
      <c r="EN609" s="323">
        <f t="shared" si="457"/>
        <v>0</v>
      </c>
      <c r="EO609" s="323">
        <f t="shared" si="457"/>
        <v>0</v>
      </c>
      <c r="EP609" s="323">
        <f t="shared" si="457"/>
        <v>0</v>
      </c>
      <c r="EQ609" s="323">
        <f t="shared" si="457"/>
        <v>0</v>
      </c>
      <c r="ER609" s="323">
        <f t="shared" si="457"/>
        <v>0</v>
      </c>
      <c r="ES609" s="323">
        <f t="shared" si="457"/>
        <v>0</v>
      </c>
      <c r="ET609" s="323">
        <f t="shared" si="457"/>
        <v>0</v>
      </c>
      <c r="EU609" s="323">
        <f t="shared" si="457"/>
        <v>0</v>
      </c>
      <c r="EV609" s="323">
        <f t="shared" si="457"/>
        <v>0</v>
      </c>
      <c r="EW609" s="323">
        <f t="shared" si="457"/>
        <v>0</v>
      </c>
      <c r="EX609" s="325">
        <f t="shared" si="457"/>
        <v>0</v>
      </c>
      <c r="EY609" s="323"/>
      <c r="EZ609" s="323"/>
      <c r="FA609" s="323"/>
      <c r="FB609" s="323"/>
      <c r="FC609" s="323"/>
      <c r="FD609" s="323"/>
      <c r="FE609" s="323"/>
      <c r="FF609" s="323"/>
      <c r="FG609" s="323"/>
      <c r="FH609" s="323"/>
      <c r="FI609" s="323"/>
      <c r="FJ609" s="325"/>
      <c r="FK609" s="323"/>
      <c r="FL609" s="323"/>
      <c r="FM609" s="323"/>
      <c r="FN609" s="323"/>
      <c r="FO609" s="323"/>
      <c r="FP609" s="323"/>
      <c r="FQ609" s="323"/>
      <c r="FR609" s="323"/>
      <c r="FS609" s="323"/>
      <c r="FT609" s="323"/>
      <c r="FU609" s="323"/>
      <c r="FV609" s="323"/>
      <c r="FW609" s="323"/>
      <c r="FX609" s="323"/>
      <c r="FY609" s="323"/>
      <c r="FZ609" s="323"/>
      <c r="GA609" s="323"/>
      <c r="GB609" s="323"/>
      <c r="GC609" s="323"/>
      <c r="GD609" s="323"/>
      <c r="GE609" s="323"/>
      <c r="GF609" s="323"/>
      <c r="GG609" s="323"/>
      <c r="GH609" s="323"/>
      <c r="GI609" s="323"/>
      <c r="GJ609" s="323"/>
      <c r="GK609" s="323"/>
      <c r="GL609" s="323"/>
      <c r="GM609" s="323"/>
      <c r="GN609" s="323"/>
      <c r="GO609" s="323"/>
      <c r="GP609" s="323"/>
      <c r="GQ609" s="323"/>
      <c r="GR609" s="323"/>
      <c r="GS609" s="323"/>
      <c r="GT609" s="323"/>
      <c r="GU609" s="323"/>
      <c r="GV609" s="323"/>
      <c r="GW609" s="323"/>
      <c r="GX609" s="323"/>
      <c r="GY609" s="323"/>
      <c r="GZ609" s="323"/>
      <c r="HA609" s="323"/>
      <c r="HB609" s="323"/>
      <c r="HC609" s="323"/>
      <c r="HD609" s="323"/>
      <c r="HE609" s="323"/>
      <c r="HF609" s="323"/>
      <c r="HG609" s="323"/>
      <c r="HH609" s="323"/>
      <c r="HI609" s="323"/>
      <c r="HJ609" s="323"/>
      <c r="HK609" s="323"/>
      <c r="HL609" s="323"/>
      <c r="HM609" s="323"/>
      <c r="HN609" s="323"/>
      <c r="HO609" s="323"/>
      <c r="HP609" s="323"/>
      <c r="HQ609" s="323"/>
      <c r="HR609" s="323"/>
      <c r="HS609" s="323"/>
      <c r="HT609" s="323"/>
      <c r="HU609" s="323"/>
      <c r="HV609" s="323"/>
      <c r="HW609" s="323"/>
      <c r="HX609" s="323"/>
      <c r="HY609" s="323"/>
      <c r="HZ609" s="326"/>
      <c r="IA609" s="328" t="s">
        <v>1165</v>
      </c>
      <c r="IB609" s="328"/>
      <c r="IC609" s="328"/>
      <c r="ID609" s="323"/>
      <c r="IG609" s="323"/>
      <c r="IJ609" s="323"/>
      <c r="IM609" s="323"/>
      <c r="IP609" s="323"/>
      <c r="IS609" s="323"/>
      <c r="IT609" s="327"/>
      <c r="IU609" s="327"/>
      <c r="IV609" s="323"/>
      <c r="IW609" s="279">
        <f>IY609*JU609</f>
        <v>0</v>
      </c>
      <c r="IX609" s="279">
        <f t="shared" si="291"/>
        <v>0</v>
      </c>
      <c r="IY609" s="323"/>
      <c r="IZ609" s="279">
        <f>JB609*JU609</f>
        <v>0</v>
      </c>
      <c r="JA609" s="279">
        <f t="shared" si="360"/>
        <v>0</v>
      </c>
      <c r="JB609" s="323"/>
      <c r="JC609" s="279">
        <f>JE609*JU609</f>
        <v>0</v>
      </c>
      <c r="JD609" s="279">
        <f t="shared" si="280"/>
        <v>0</v>
      </c>
      <c r="JE609" s="323"/>
      <c r="JF609" s="279">
        <f>JH609*JU609</f>
        <v>0</v>
      </c>
      <c r="JG609" s="279">
        <f t="shared" si="281"/>
        <v>0</v>
      </c>
      <c r="JH609" s="323"/>
      <c r="JI609" s="279">
        <f>JK609*JX609</f>
        <v>0</v>
      </c>
      <c r="JJ609" s="279">
        <f t="shared" si="282"/>
        <v>0</v>
      </c>
      <c r="JK609" s="323"/>
      <c r="JL609" s="279">
        <f>JN609*KA609</f>
        <v>0</v>
      </c>
      <c r="JM609" s="279">
        <f t="shared" si="283"/>
        <v>0</v>
      </c>
      <c r="JN609" s="323"/>
      <c r="JO609" s="323"/>
      <c r="KU609" s="326"/>
      <c r="KV609" s="327"/>
    </row>
    <row r="610" spans="1:314" hidden="1">
      <c r="A610" s="279"/>
      <c r="B610" s="96" t="s">
        <v>338</v>
      </c>
      <c r="D610" s="328" t="str">
        <f>+FISC!D816</f>
        <v>of which wages and salaries</v>
      </c>
      <c r="E610" s="323"/>
      <c r="F610" s="323"/>
      <c r="G610" s="323"/>
      <c r="H610" s="323"/>
      <c r="I610" s="323"/>
      <c r="J610" s="323"/>
      <c r="K610" s="323"/>
      <c r="L610" s="323"/>
      <c r="M610" s="323"/>
      <c r="N610" s="323"/>
      <c r="O610" s="323"/>
      <c r="P610" s="323"/>
      <c r="Q610" s="323"/>
      <c r="R610" s="323"/>
      <c r="S610" s="323"/>
      <c r="T610" s="323"/>
      <c r="U610" s="323"/>
      <c r="V610" s="323"/>
      <c r="W610" s="323"/>
      <c r="X610" s="323"/>
      <c r="Y610" s="323"/>
      <c r="Z610" s="323"/>
      <c r="AA610" s="323"/>
      <c r="AB610" s="323"/>
      <c r="AC610" s="323"/>
      <c r="AD610" s="323"/>
      <c r="AE610" s="323"/>
      <c r="AF610" s="323"/>
      <c r="AG610" s="323"/>
      <c r="AH610" s="323"/>
      <c r="AI610" s="323"/>
      <c r="AJ610" s="323"/>
      <c r="AK610" s="323"/>
      <c r="AL610" s="323"/>
      <c r="AM610" s="323"/>
      <c r="AN610" s="323"/>
      <c r="AO610" s="323"/>
      <c r="AP610" s="323"/>
      <c r="AQ610" s="323"/>
      <c r="AR610" s="323"/>
      <c r="AS610" s="323"/>
      <c r="AT610" s="323"/>
      <c r="AU610" s="323"/>
      <c r="AV610" s="323"/>
      <c r="AW610" s="323"/>
      <c r="AX610" s="323"/>
      <c r="AY610" s="323"/>
      <c r="AZ610" s="323"/>
      <c r="BA610" s="323"/>
      <c r="BB610" s="323"/>
      <c r="BC610" s="323"/>
      <c r="BD610" s="323"/>
      <c r="BE610" s="323"/>
      <c r="BF610" s="323"/>
      <c r="BG610" s="323"/>
      <c r="BH610" s="323"/>
      <c r="BI610" s="323"/>
      <c r="BJ610" s="323"/>
      <c r="BK610" s="323"/>
      <c r="BL610" s="323"/>
      <c r="BM610" s="323"/>
      <c r="BN610" s="323"/>
      <c r="BO610" s="323"/>
      <c r="BP610" s="323"/>
      <c r="BQ610" s="323"/>
      <c r="BR610" s="323"/>
      <c r="BS610" s="323"/>
      <c r="BT610" s="323"/>
      <c r="BU610" s="323"/>
      <c r="BV610" s="323"/>
      <c r="BW610" s="323"/>
      <c r="BX610" s="323"/>
      <c r="BY610" s="323"/>
      <c r="BZ610" s="323"/>
      <c r="CA610" s="323"/>
      <c r="CB610" s="323"/>
      <c r="CC610" s="323"/>
      <c r="CD610" s="323"/>
      <c r="CE610" s="324"/>
      <c r="CF610" s="323"/>
      <c r="CG610" s="323"/>
      <c r="CH610" s="323"/>
      <c r="CI610" s="323"/>
      <c r="CJ610" s="323"/>
      <c r="CK610" s="323"/>
      <c r="CL610" s="323"/>
      <c r="CM610" s="323"/>
      <c r="CN610" s="323"/>
      <c r="CO610" s="323"/>
      <c r="CP610" s="325"/>
      <c r="CQ610" s="323"/>
      <c r="CR610" s="323"/>
      <c r="CS610" s="323"/>
      <c r="CT610" s="323"/>
      <c r="CU610" s="323"/>
      <c r="CV610" s="323"/>
      <c r="CW610" s="323"/>
      <c r="CX610" s="323"/>
      <c r="CY610" s="323"/>
      <c r="CZ610" s="323"/>
      <c r="DA610" s="323"/>
      <c r="DB610" s="1269"/>
      <c r="DC610" s="323"/>
      <c r="DD610" s="323"/>
      <c r="DE610" s="323"/>
      <c r="DF610" s="323"/>
      <c r="DG610" s="323"/>
      <c r="DH610" s="323"/>
      <c r="DI610" s="323"/>
      <c r="DJ610" s="323"/>
      <c r="DK610" s="323"/>
      <c r="DL610" s="323"/>
      <c r="DM610" s="323"/>
      <c r="DN610" s="325"/>
      <c r="DO610" s="323"/>
      <c r="DP610" s="323"/>
      <c r="DQ610" s="323"/>
      <c r="DR610" s="323"/>
      <c r="DS610" s="323"/>
      <c r="DT610" s="323"/>
      <c r="DU610" s="323"/>
      <c r="DV610" s="323"/>
      <c r="DW610" s="323"/>
      <c r="DX610" s="323"/>
      <c r="DY610" s="323"/>
      <c r="DZ610" s="325"/>
      <c r="EA610" s="323"/>
      <c r="EB610" s="323"/>
      <c r="EC610" s="323"/>
      <c r="ED610" s="323"/>
      <c r="EE610" s="323"/>
      <c r="EF610" s="323"/>
      <c r="EG610" s="323"/>
      <c r="EH610" s="323"/>
      <c r="EI610" s="323"/>
      <c r="EJ610" s="323"/>
      <c r="EK610" s="323"/>
      <c r="EL610" s="325"/>
      <c r="EM610" s="323"/>
      <c r="EN610" s="323"/>
      <c r="EO610" s="323"/>
      <c r="EP610" s="323"/>
      <c r="EQ610" s="323"/>
      <c r="ER610" s="323"/>
      <c r="ES610" s="323"/>
      <c r="ET610" s="323"/>
      <c r="EU610" s="323"/>
      <c r="EV610" s="323"/>
      <c r="EW610" s="323"/>
      <c r="EX610" s="325"/>
      <c r="EY610" s="323"/>
      <c r="EZ610" s="323"/>
      <c r="FA610" s="323"/>
      <c r="FB610" s="323"/>
      <c r="FC610" s="323"/>
      <c r="FD610" s="323"/>
      <c r="FE610" s="323"/>
      <c r="FF610" s="323"/>
      <c r="FG610" s="323"/>
      <c r="FH610" s="323"/>
      <c r="FI610" s="323"/>
      <c r="FJ610" s="325"/>
      <c r="FK610" s="323"/>
      <c r="FL610" s="323"/>
      <c r="FM610" s="323"/>
      <c r="FN610" s="323"/>
      <c r="FO610" s="323"/>
      <c r="FP610" s="323"/>
      <c r="FQ610" s="323"/>
      <c r="FR610" s="323"/>
      <c r="FS610" s="323"/>
      <c r="FT610" s="323"/>
      <c r="FU610" s="323"/>
      <c r="FV610" s="323"/>
      <c r="FW610" s="323"/>
      <c r="FX610" s="323"/>
      <c r="FY610" s="323"/>
      <c r="FZ610" s="323"/>
      <c r="GA610" s="323"/>
      <c r="GB610" s="323"/>
      <c r="GC610" s="323"/>
      <c r="GD610" s="323"/>
      <c r="GE610" s="323"/>
      <c r="GF610" s="323"/>
      <c r="GG610" s="323"/>
      <c r="GH610" s="323"/>
      <c r="GI610" s="323"/>
      <c r="GJ610" s="323"/>
      <c r="GK610" s="323"/>
      <c r="GL610" s="323"/>
      <c r="GM610" s="323"/>
      <c r="GN610" s="323"/>
      <c r="GO610" s="323"/>
      <c r="GP610" s="323"/>
      <c r="GQ610" s="323"/>
      <c r="GR610" s="323"/>
      <c r="GS610" s="323"/>
      <c r="GT610" s="323"/>
      <c r="GU610" s="323"/>
      <c r="GV610" s="323"/>
      <c r="GW610" s="323"/>
      <c r="GX610" s="323"/>
      <c r="GY610" s="323"/>
      <c r="GZ610" s="323"/>
      <c r="HA610" s="323"/>
      <c r="HB610" s="323"/>
      <c r="HC610" s="323"/>
      <c r="HD610" s="323"/>
      <c r="HE610" s="323"/>
      <c r="HF610" s="323"/>
      <c r="HG610" s="323"/>
      <c r="HH610" s="323"/>
      <c r="HI610" s="323"/>
      <c r="HJ610" s="323"/>
      <c r="HK610" s="323"/>
      <c r="HL610" s="323"/>
      <c r="HM610" s="323"/>
      <c r="HN610" s="323"/>
      <c r="HO610" s="323"/>
      <c r="HP610" s="323"/>
      <c r="HQ610" s="323"/>
      <c r="HR610" s="323"/>
      <c r="HS610" s="323"/>
      <c r="HT610" s="323"/>
      <c r="HU610" s="323"/>
      <c r="HV610" s="323"/>
      <c r="HW610" s="323"/>
      <c r="HX610" s="323"/>
      <c r="HY610" s="323"/>
      <c r="HZ610" s="326"/>
      <c r="IA610" s="328" t="s">
        <v>140</v>
      </c>
      <c r="IB610" s="328"/>
      <c r="IC610" s="328"/>
      <c r="ID610" s="323">
        <f>+FISC!Z816</f>
        <v>105.99999999999997</v>
      </c>
      <c r="IE610" s="279">
        <f>SUM(CQ610:CV610)</f>
        <v>0</v>
      </c>
      <c r="IF610" s="279">
        <f>SUM(CW610:DB610)</f>
        <v>0</v>
      </c>
      <c r="IG610" s="323">
        <f>SUM(CQ610:DB610)</f>
        <v>0</v>
      </c>
      <c r="IH610" s="279">
        <f>+IJ610/2</f>
        <v>56.099999999999994</v>
      </c>
      <c r="II610" s="279">
        <f>+SUM(DI610:DN610)</f>
        <v>0</v>
      </c>
      <c r="IJ610" s="643">
        <f>+FISC!AA816</f>
        <v>112.19999999999999</v>
      </c>
      <c r="IK610" s="650">
        <f>+IM610/2</f>
        <v>57.35</v>
      </c>
      <c r="IL610" s="650">
        <f>+IM610-IK610</f>
        <v>57.35</v>
      </c>
      <c r="IM610" s="643">
        <v>114.7</v>
      </c>
      <c r="IN610" s="279">
        <f>+IP610/2</f>
        <v>58.467598075906714</v>
      </c>
      <c r="IO610" s="279">
        <f>+IP610-IN610</f>
        <v>58.467598075906714</v>
      </c>
      <c r="IP610" s="323">
        <f>FISC!AC816</f>
        <v>116.93519615181343</v>
      </c>
      <c r="IQ610" s="279">
        <f t="shared" ref="IQ610:IQ640" si="458">SUM(EM610:ER610)</f>
        <v>0</v>
      </c>
      <c r="IR610" s="279">
        <f t="shared" ref="IR610:IR640" si="459">SUM(ES610:EX610)</f>
        <v>0</v>
      </c>
      <c r="IS610" s="323">
        <f t="shared" si="407"/>
        <v>0</v>
      </c>
      <c r="IT610" s="279">
        <f>+IV610/2</f>
        <v>76.322403075585953</v>
      </c>
      <c r="IU610" s="279">
        <f>+IV610-IT610</f>
        <v>76.322403075585953</v>
      </c>
      <c r="IV610" s="323">
        <f>+FISC!AE816</f>
        <v>152.64480615117191</v>
      </c>
      <c r="IW610" s="327">
        <f>IY610/2</f>
        <v>88.622826844859688</v>
      </c>
      <c r="IX610" s="279">
        <f t="shared" si="291"/>
        <v>88.622826844859688</v>
      </c>
      <c r="IY610" s="323">
        <f>+FISC!AF816</f>
        <v>177.24565368971938</v>
      </c>
      <c r="IZ610" s="327">
        <f>JB610/2</f>
        <v>102.46039502841609</v>
      </c>
      <c r="JA610" s="279">
        <f t="shared" si="360"/>
        <v>102.46039502841609</v>
      </c>
      <c r="JB610" s="323">
        <f>+FISC!AG816</f>
        <v>204.92079005683217</v>
      </c>
      <c r="JC610" s="327">
        <f>JE610/2</f>
        <v>110.29902508967002</v>
      </c>
      <c r="JD610" s="279">
        <f t="shared" si="280"/>
        <v>110.29902508967002</v>
      </c>
      <c r="JE610" s="323">
        <f>+FISC!AH816</f>
        <v>220.59805017934005</v>
      </c>
      <c r="JF610" s="327">
        <f>JH610/2</f>
        <v>118.73734170513013</v>
      </c>
      <c r="JG610" s="279">
        <f t="shared" si="281"/>
        <v>118.73734170513013</v>
      </c>
      <c r="JH610" s="323">
        <f>+FISC!AI816</f>
        <v>237.47468341026027</v>
      </c>
      <c r="JI610" s="327">
        <f>JK610/2</f>
        <v>118.73734170513013</v>
      </c>
      <c r="JJ610" s="279">
        <f t="shared" si="282"/>
        <v>118.73734170513013</v>
      </c>
      <c r="JK610" s="323">
        <f>+FISC!AJ816</f>
        <v>237.47468341026027</v>
      </c>
      <c r="JL610" s="327">
        <f>JN610/2</f>
        <v>0</v>
      </c>
      <c r="JM610" s="279">
        <f t="shared" si="283"/>
        <v>0</v>
      </c>
      <c r="JN610" s="323">
        <f>+FISC!AK816</f>
        <v>0</v>
      </c>
      <c r="JO610" s="323"/>
      <c r="KU610" s="326"/>
      <c r="KV610" s="327"/>
    </row>
    <row r="611" spans="1:314" hidden="1">
      <c r="A611" s="279"/>
      <c r="B611" s="96" t="s">
        <v>338</v>
      </c>
      <c r="D611" s="328" t="str">
        <f>+FISC!D817</f>
        <v>Contingent</v>
      </c>
      <c r="E611" s="323"/>
      <c r="F611" s="323"/>
      <c r="G611" s="323"/>
      <c r="H611" s="323"/>
      <c r="I611" s="323"/>
      <c r="J611" s="323"/>
      <c r="K611" s="323"/>
      <c r="L611" s="323"/>
      <c r="M611" s="323"/>
      <c r="N611" s="323"/>
      <c r="O611" s="323"/>
      <c r="P611" s="323"/>
      <c r="Q611" s="323"/>
      <c r="R611" s="323"/>
      <c r="S611" s="323"/>
      <c r="T611" s="323"/>
      <c r="U611" s="323"/>
      <c r="V611" s="323"/>
      <c r="W611" s="323"/>
      <c r="X611" s="323"/>
      <c r="Y611" s="323"/>
      <c r="Z611" s="323"/>
      <c r="AA611" s="323"/>
      <c r="AB611" s="323"/>
      <c r="AC611" s="323"/>
      <c r="AD611" s="323"/>
      <c r="AE611" s="323"/>
      <c r="AF611" s="323"/>
      <c r="AG611" s="323"/>
      <c r="AH611" s="323"/>
      <c r="AI611" s="323"/>
      <c r="AJ611" s="323"/>
      <c r="AK611" s="323"/>
      <c r="AL611" s="323"/>
      <c r="AM611" s="323"/>
      <c r="AN611" s="323"/>
      <c r="AO611" s="323"/>
      <c r="AP611" s="323"/>
      <c r="AQ611" s="323"/>
      <c r="AR611" s="323"/>
      <c r="AS611" s="323"/>
      <c r="AT611" s="323"/>
      <c r="AU611" s="323"/>
      <c r="AV611" s="323"/>
      <c r="AW611" s="323"/>
      <c r="AX611" s="323"/>
      <c r="AY611" s="323"/>
      <c r="AZ611" s="323"/>
      <c r="BA611" s="323"/>
      <c r="BB611" s="323"/>
      <c r="BC611" s="323"/>
      <c r="BD611" s="323"/>
      <c r="BE611" s="323"/>
      <c r="BF611" s="323"/>
      <c r="BG611" s="323"/>
      <c r="BH611" s="323"/>
      <c r="BI611" s="323"/>
      <c r="BJ611" s="323"/>
      <c r="BK611" s="323"/>
      <c r="BL611" s="323"/>
      <c r="BM611" s="323"/>
      <c r="BN611" s="323"/>
      <c r="BO611" s="323"/>
      <c r="BP611" s="323"/>
      <c r="BQ611" s="323"/>
      <c r="BR611" s="323"/>
      <c r="BS611" s="323"/>
      <c r="BT611" s="323"/>
      <c r="BU611" s="323"/>
      <c r="BV611" s="323"/>
      <c r="BW611" s="323"/>
      <c r="BX611" s="323"/>
      <c r="BY611" s="323"/>
      <c r="BZ611" s="323"/>
      <c r="CA611" s="323"/>
      <c r="CB611" s="323"/>
      <c r="CC611" s="323"/>
      <c r="CD611" s="323"/>
      <c r="CE611" s="324"/>
      <c r="CF611" s="323"/>
      <c r="CG611" s="323"/>
      <c r="CH611" s="323"/>
      <c r="CI611" s="323"/>
      <c r="CJ611" s="323"/>
      <c r="CK611" s="323"/>
      <c r="CL611" s="323"/>
      <c r="CM611" s="323"/>
      <c r="CN611" s="323"/>
      <c r="CO611" s="323"/>
      <c r="CP611" s="325"/>
      <c r="CQ611" s="323"/>
      <c r="CR611" s="323"/>
      <c r="CS611" s="323"/>
      <c r="CT611" s="323"/>
      <c r="CU611" s="323"/>
      <c r="CV611" s="323"/>
      <c r="CW611" s="323"/>
      <c r="CX611" s="323"/>
      <c r="CY611" s="323"/>
      <c r="CZ611" s="323"/>
      <c r="DA611" s="323"/>
      <c r="DB611" s="1269"/>
      <c r="DC611" s="323"/>
      <c r="DD611" s="323"/>
      <c r="DE611" s="323"/>
      <c r="DF611" s="323"/>
      <c r="DG611" s="323"/>
      <c r="DH611" s="323"/>
      <c r="DI611" s="323"/>
      <c r="DJ611" s="323"/>
      <c r="DK611" s="323"/>
      <c r="DL611" s="323"/>
      <c r="DM611" s="323"/>
      <c r="DN611" s="325"/>
      <c r="DO611" s="323"/>
      <c r="DP611" s="323"/>
      <c r="DQ611" s="323"/>
      <c r="DR611" s="323"/>
      <c r="DS611" s="323"/>
      <c r="DT611" s="323"/>
      <c r="DU611" s="323"/>
      <c r="DV611" s="323"/>
      <c r="DW611" s="323"/>
      <c r="DX611" s="323"/>
      <c r="DY611" s="323"/>
      <c r="DZ611" s="325"/>
      <c r="EA611" s="323"/>
      <c r="EB611" s="323"/>
      <c r="EC611" s="323"/>
      <c r="ED611" s="323"/>
      <c r="EE611" s="323"/>
      <c r="EF611" s="323"/>
      <c r="EG611" s="323"/>
      <c r="EH611" s="323"/>
      <c r="EI611" s="323"/>
      <c r="EJ611" s="323"/>
      <c r="EK611" s="323"/>
      <c r="EL611" s="325"/>
      <c r="EM611" s="323"/>
      <c r="EN611" s="323"/>
      <c r="EO611" s="323"/>
      <c r="EP611" s="323"/>
      <c r="EQ611" s="323"/>
      <c r="ER611" s="323"/>
      <c r="ES611" s="323"/>
      <c r="ET611" s="323"/>
      <c r="EU611" s="323"/>
      <c r="EV611" s="323"/>
      <c r="EW611" s="323"/>
      <c r="EX611" s="325"/>
      <c r="EY611" s="323"/>
      <c r="EZ611" s="323"/>
      <c r="FA611" s="323"/>
      <c r="FB611" s="323"/>
      <c r="FC611" s="323"/>
      <c r="FD611" s="323"/>
      <c r="FE611" s="323"/>
      <c r="FF611" s="323"/>
      <c r="FG611" s="323"/>
      <c r="FH611" s="323"/>
      <c r="FI611" s="323"/>
      <c r="FJ611" s="325"/>
      <c r="FK611" s="323"/>
      <c r="FL611" s="323"/>
      <c r="FM611" s="323"/>
      <c r="FN611" s="323"/>
      <c r="FO611" s="323"/>
      <c r="FP611" s="323"/>
      <c r="FQ611" s="323"/>
      <c r="FR611" s="323"/>
      <c r="FS611" s="323"/>
      <c r="FT611" s="323"/>
      <c r="FU611" s="323"/>
      <c r="FV611" s="323"/>
      <c r="FW611" s="323"/>
      <c r="FX611" s="323"/>
      <c r="FY611" s="323"/>
      <c r="FZ611" s="323"/>
      <c r="GA611" s="323"/>
      <c r="GB611" s="323"/>
      <c r="GC611" s="323"/>
      <c r="GD611" s="323"/>
      <c r="GE611" s="323"/>
      <c r="GF611" s="323"/>
      <c r="GG611" s="323"/>
      <c r="GH611" s="323"/>
      <c r="GI611" s="323"/>
      <c r="GJ611" s="323"/>
      <c r="GK611" s="323"/>
      <c r="GL611" s="323"/>
      <c r="GM611" s="323"/>
      <c r="GN611" s="323"/>
      <c r="GO611" s="323"/>
      <c r="GP611" s="323"/>
      <c r="GQ611" s="323"/>
      <c r="GR611" s="323"/>
      <c r="GS611" s="323"/>
      <c r="GT611" s="323"/>
      <c r="GU611" s="323"/>
      <c r="GV611" s="323"/>
      <c r="GW611" s="323"/>
      <c r="GX611" s="323"/>
      <c r="GY611" s="323"/>
      <c r="GZ611" s="323"/>
      <c r="HA611" s="323"/>
      <c r="HB611" s="323"/>
      <c r="HC611" s="323"/>
      <c r="HD611" s="323"/>
      <c r="HE611" s="323"/>
      <c r="HF611" s="323"/>
      <c r="HG611" s="323"/>
      <c r="HH611" s="323"/>
      <c r="HI611" s="323"/>
      <c r="HJ611" s="323"/>
      <c r="HK611" s="323"/>
      <c r="HL611" s="323"/>
      <c r="HM611" s="323"/>
      <c r="HN611" s="323"/>
      <c r="HO611" s="323"/>
      <c r="HP611" s="323"/>
      <c r="HQ611" s="323"/>
      <c r="HR611" s="323"/>
      <c r="HS611" s="323"/>
      <c r="HT611" s="323"/>
      <c r="HU611" s="323"/>
      <c r="HV611" s="323"/>
      <c r="HW611" s="323"/>
      <c r="HX611" s="323"/>
      <c r="HY611" s="323"/>
      <c r="HZ611" s="326"/>
      <c r="IA611" s="328" t="s">
        <v>118</v>
      </c>
      <c r="IB611" s="328"/>
      <c r="IC611" s="328"/>
      <c r="ID611" s="323">
        <f>+FISC!Z817</f>
        <v>0</v>
      </c>
      <c r="IE611" s="279">
        <f>SUM(CQ611:CV611)</f>
        <v>0</v>
      </c>
      <c r="IF611" s="279">
        <f>SUM(CW611:DB611)</f>
        <v>0</v>
      </c>
      <c r="IG611" s="323">
        <f>SUM(CQ611:DB611)</f>
        <v>0</v>
      </c>
      <c r="IJ611" s="323">
        <f>+FISC!AA817</f>
        <v>0</v>
      </c>
      <c r="IK611" s="279">
        <f>+SUM(DO611:DT611)</f>
        <v>0</v>
      </c>
      <c r="IL611" s="279">
        <f>SUM(DU611:DZ611)</f>
        <v>0</v>
      </c>
      <c r="IM611" s="323">
        <f t="shared" si="309"/>
        <v>0</v>
      </c>
      <c r="IO611" s="327"/>
      <c r="IP611" s="323">
        <f>FISC!AC817</f>
        <v>0</v>
      </c>
      <c r="IQ611" s="279">
        <f t="shared" si="458"/>
        <v>0</v>
      </c>
      <c r="IR611" s="279">
        <f t="shared" si="459"/>
        <v>0</v>
      </c>
      <c r="IS611" s="323">
        <f t="shared" si="407"/>
        <v>0</v>
      </c>
      <c r="IT611" s="327"/>
      <c r="IU611" s="327"/>
      <c r="IV611" s="323">
        <f>+FISC!AE817</f>
        <v>0</v>
      </c>
      <c r="IW611" s="279">
        <f>IY611*JU611</f>
        <v>0</v>
      </c>
      <c r="IX611" s="279">
        <f t="shared" si="291"/>
        <v>0</v>
      </c>
      <c r="IY611" s="323">
        <f>+FISC!AF817</f>
        <v>0</v>
      </c>
      <c r="IZ611" s="279">
        <f>JB611*JU611</f>
        <v>0</v>
      </c>
      <c r="JA611" s="279">
        <f t="shared" si="360"/>
        <v>0</v>
      </c>
      <c r="JB611" s="323">
        <f>+FISC!AG817</f>
        <v>0</v>
      </c>
      <c r="JC611" s="279">
        <f>JE611*JU611</f>
        <v>0</v>
      </c>
      <c r="JD611" s="279">
        <f t="shared" si="280"/>
        <v>0</v>
      </c>
      <c r="JE611" s="323">
        <f>+FISC!AH817</f>
        <v>0</v>
      </c>
      <c r="JF611" s="279">
        <f>JH611*JU611</f>
        <v>0</v>
      </c>
      <c r="JG611" s="279">
        <f t="shared" si="281"/>
        <v>0</v>
      </c>
      <c r="JH611" s="323">
        <f>+FISC!AI817</f>
        <v>0</v>
      </c>
      <c r="JI611" s="279">
        <f>JK611*JX611</f>
        <v>0</v>
      </c>
      <c r="JJ611" s="279">
        <f t="shared" si="282"/>
        <v>0</v>
      </c>
      <c r="JK611" s="323">
        <f>+FISC!AJ817</f>
        <v>0</v>
      </c>
      <c r="JL611" s="279">
        <f>JN611*KA611</f>
        <v>0</v>
      </c>
      <c r="JM611" s="279">
        <f t="shared" si="283"/>
        <v>0</v>
      </c>
      <c r="JN611" s="323">
        <f>+FISC!AK817</f>
        <v>0</v>
      </c>
      <c r="JO611" s="323"/>
      <c r="KU611" s="326"/>
      <c r="KV611" s="327"/>
    </row>
    <row r="612" spans="1:314" hidden="1">
      <c r="A612" s="279"/>
      <c r="D612" s="1098" t="s">
        <v>1169</v>
      </c>
      <c r="E612" s="323"/>
      <c r="F612" s="323"/>
      <c r="G612" s="323"/>
      <c r="H612" s="323"/>
      <c r="I612" s="323"/>
      <c r="J612" s="323"/>
      <c r="K612" s="323"/>
      <c r="L612" s="323"/>
      <c r="M612" s="323"/>
      <c r="N612" s="323"/>
      <c r="O612" s="323"/>
      <c r="P612" s="323"/>
      <c r="Q612" s="323"/>
      <c r="R612" s="323"/>
      <c r="S612" s="323"/>
      <c r="T612" s="323"/>
      <c r="U612" s="323"/>
      <c r="V612" s="323"/>
      <c r="W612" s="323"/>
      <c r="X612" s="323"/>
      <c r="Y612" s="323"/>
      <c r="Z612" s="323"/>
      <c r="AA612" s="323"/>
      <c r="AB612" s="323"/>
      <c r="AC612" s="323"/>
      <c r="AD612" s="323"/>
      <c r="AE612" s="323"/>
      <c r="AF612" s="323"/>
      <c r="AG612" s="323"/>
      <c r="AH612" s="323"/>
      <c r="AI612" s="323"/>
      <c r="AJ612" s="323"/>
      <c r="AK612" s="323"/>
      <c r="AL612" s="323"/>
      <c r="AM612" s="323"/>
      <c r="AN612" s="323"/>
      <c r="AO612" s="323"/>
      <c r="AP612" s="323"/>
      <c r="AQ612" s="323"/>
      <c r="AR612" s="323"/>
      <c r="AS612" s="323"/>
      <c r="AT612" s="323"/>
      <c r="AU612" s="323"/>
      <c r="AV612" s="323"/>
      <c r="AW612" s="323"/>
      <c r="AX612" s="323"/>
      <c r="AY612" s="323"/>
      <c r="AZ612" s="323"/>
      <c r="BA612" s="323"/>
      <c r="BB612" s="323"/>
      <c r="BC612" s="323"/>
      <c r="BD612" s="323"/>
      <c r="BE612" s="323"/>
      <c r="BF612" s="323"/>
      <c r="BG612" s="323"/>
      <c r="BH612" s="323"/>
      <c r="BI612" s="323"/>
      <c r="BJ612" s="323"/>
      <c r="BK612" s="323"/>
      <c r="BL612" s="323"/>
      <c r="BM612" s="323"/>
      <c r="BN612" s="323"/>
      <c r="BO612" s="323"/>
      <c r="BP612" s="323"/>
      <c r="BQ612" s="323"/>
      <c r="BR612" s="323"/>
      <c r="BS612" s="323"/>
      <c r="BT612" s="323"/>
      <c r="BU612" s="323"/>
      <c r="BV612" s="323"/>
      <c r="BW612" s="323"/>
      <c r="BX612" s="323"/>
      <c r="BY612" s="323"/>
      <c r="BZ612" s="323"/>
      <c r="CA612" s="323"/>
      <c r="CB612" s="323"/>
      <c r="CC612" s="323"/>
      <c r="CD612" s="323"/>
      <c r="CE612" s="324"/>
      <c r="CF612" s="323"/>
      <c r="CG612" s="323"/>
      <c r="CH612" s="323"/>
      <c r="CI612" s="323"/>
      <c r="CJ612" s="323"/>
      <c r="CK612" s="323"/>
      <c r="CL612" s="323"/>
      <c r="CM612" s="323"/>
      <c r="CN612" s="323"/>
      <c r="CO612" s="323"/>
      <c r="CP612" s="325"/>
      <c r="CQ612" s="323"/>
      <c r="CR612" s="323"/>
      <c r="CS612" s="323"/>
      <c r="CT612" s="323"/>
      <c r="CU612" s="323"/>
      <c r="CV612" s="323"/>
      <c r="CW612" s="323"/>
      <c r="CX612" s="323"/>
      <c r="CY612" s="323"/>
      <c r="CZ612" s="323"/>
      <c r="DA612" s="323"/>
      <c r="DB612" s="1269"/>
      <c r="DC612" s="323"/>
      <c r="DD612" s="323"/>
      <c r="DE612" s="323"/>
      <c r="DF612" s="323"/>
      <c r="DG612" s="323"/>
      <c r="DH612" s="323"/>
      <c r="DI612" s="323"/>
      <c r="DJ612" s="323"/>
      <c r="DK612" s="323"/>
      <c r="DL612" s="323"/>
      <c r="DM612" s="323"/>
      <c r="DN612" s="325"/>
      <c r="DO612" s="323"/>
      <c r="DP612" s="323"/>
      <c r="DQ612" s="323"/>
      <c r="DR612" s="323"/>
      <c r="DS612" s="323"/>
      <c r="DT612" s="323"/>
      <c r="DU612" s="323"/>
      <c r="DV612" s="323"/>
      <c r="DW612" s="323"/>
      <c r="DX612" s="323"/>
      <c r="DY612" s="323"/>
      <c r="DZ612" s="325"/>
      <c r="EA612" s="323"/>
      <c r="EB612" s="323"/>
      <c r="EC612" s="323"/>
      <c r="ED612" s="323"/>
      <c r="EE612" s="323"/>
      <c r="EF612" s="323"/>
      <c r="EG612" s="323"/>
      <c r="EH612" s="323"/>
      <c r="EI612" s="323"/>
      <c r="EJ612" s="323"/>
      <c r="EK612" s="323"/>
      <c r="EL612" s="325"/>
      <c r="EM612" s="323">
        <f t="shared" ref="EM612:ER613" si="460">EM574</f>
        <v>0</v>
      </c>
      <c r="EN612" s="323">
        <f t="shared" si="460"/>
        <v>0</v>
      </c>
      <c r="EO612" s="323">
        <f t="shared" si="460"/>
        <v>2.1669842020000001</v>
      </c>
      <c r="EP612" s="323">
        <f t="shared" si="460"/>
        <v>0</v>
      </c>
      <c r="EQ612" s="323">
        <f t="shared" si="460"/>
        <v>0</v>
      </c>
      <c r="ER612" s="323">
        <f t="shared" si="460"/>
        <v>2.2170388330000002</v>
      </c>
      <c r="ES612" s="323">
        <f t="shared" ref="ES612:EX612" si="461">ES574</f>
        <v>0</v>
      </c>
      <c r="ET612" s="323">
        <f t="shared" si="461"/>
        <v>0</v>
      </c>
      <c r="EU612" s="323">
        <f t="shared" si="461"/>
        <v>1.9034152189999993</v>
      </c>
      <c r="EV612" s="323">
        <f t="shared" si="461"/>
        <v>0</v>
      </c>
      <c r="EW612" s="323">
        <f t="shared" si="461"/>
        <v>0</v>
      </c>
      <c r="EX612" s="325">
        <f t="shared" si="461"/>
        <v>2.1224270360000013</v>
      </c>
      <c r="EY612" s="323"/>
      <c r="EZ612" s="323"/>
      <c r="FA612" s="323"/>
      <c r="FB612" s="323"/>
      <c r="FC612" s="323"/>
      <c r="FD612" s="323"/>
      <c r="FE612" s="323"/>
      <c r="FF612" s="323"/>
      <c r="FG612" s="323"/>
      <c r="FH612" s="323"/>
      <c r="FI612" s="323"/>
      <c r="FJ612" s="325"/>
      <c r="FK612" s="323"/>
      <c r="FL612" s="323"/>
      <c r="FM612" s="323"/>
      <c r="FN612" s="323"/>
      <c r="FO612" s="323"/>
      <c r="FP612" s="323"/>
      <c r="FQ612" s="323"/>
      <c r="FR612" s="323"/>
      <c r="FS612" s="323"/>
      <c r="FT612" s="323"/>
      <c r="FU612" s="323"/>
      <c r="FV612" s="323"/>
      <c r="FW612" s="323"/>
      <c r="FX612" s="323"/>
      <c r="FY612" s="323"/>
      <c r="FZ612" s="323"/>
      <c r="GA612" s="323"/>
      <c r="GB612" s="323"/>
      <c r="GC612" s="323"/>
      <c r="GD612" s="323"/>
      <c r="GE612" s="323"/>
      <c r="GF612" s="323"/>
      <c r="GG612" s="323"/>
      <c r="GH612" s="323"/>
      <c r="GI612" s="323"/>
      <c r="GJ612" s="323"/>
      <c r="GK612" s="323"/>
      <c r="GL612" s="323"/>
      <c r="GM612" s="323"/>
      <c r="GN612" s="323"/>
      <c r="GO612" s="323"/>
      <c r="GP612" s="323"/>
      <c r="GQ612" s="323"/>
      <c r="GR612" s="323"/>
      <c r="GS612" s="323"/>
      <c r="GT612" s="323"/>
      <c r="GU612" s="323"/>
      <c r="GV612" s="323"/>
      <c r="GW612" s="323"/>
      <c r="GX612" s="323"/>
      <c r="GY612" s="323"/>
      <c r="GZ612" s="323"/>
      <c r="HA612" s="323"/>
      <c r="HB612" s="323"/>
      <c r="HC612" s="323"/>
      <c r="HD612" s="323"/>
      <c r="HE612" s="323"/>
      <c r="HF612" s="323"/>
      <c r="HG612" s="323"/>
      <c r="HH612" s="323"/>
      <c r="HI612" s="323"/>
      <c r="HJ612" s="323"/>
      <c r="HK612" s="323"/>
      <c r="HL612" s="323"/>
      <c r="HM612" s="323"/>
      <c r="HN612" s="323"/>
      <c r="HO612" s="323"/>
      <c r="HP612" s="323"/>
      <c r="HQ612" s="323"/>
      <c r="HR612" s="323"/>
      <c r="HS612" s="323"/>
      <c r="HT612" s="323"/>
      <c r="HU612" s="323"/>
      <c r="HV612" s="323"/>
      <c r="HW612" s="323"/>
      <c r="HX612" s="323"/>
      <c r="HY612" s="323"/>
      <c r="HZ612" s="326"/>
      <c r="IA612" s="1098" t="s">
        <v>1169</v>
      </c>
      <c r="IB612" s="1098"/>
      <c r="IC612" s="1098"/>
      <c r="ID612" s="323"/>
      <c r="IG612" s="323"/>
      <c r="IJ612" s="323"/>
      <c r="IM612" s="323"/>
      <c r="IO612" s="327"/>
      <c r="IP612" s="323"/>
      <c r="IQ612" s="279">
        <f t="shared" si="458"/>
        <v>4.3840230350000002</v>
      </c>
      <c r="IR612" s="279">
        <f t="shared" si="459"/>
        <v>4.0258422550000006</v>
      </c>
      <c r="IS612" s="323">
        <f t="shared" si="407"/>
        <v>8.4098652900000008</v>
      </c>
      <c r="IT612" s="327"/>
      <c r="IU612" s="327"/>
      <c r="IV612" s="323"/>
      <c r="IY612" s="323"/>
      <c r="JB612" s="323"/>
      <c r="JE612" s="323"/>
      <c r="JH612" s="323"/>
      <c r="JK612" s="323"/>
      <c r="JN612" s="323"/>
      <c r="JO612" s="323"/>
      <c r="KU612" s="326"/>
      <c r="KV612" s="327"/>
    </row>
    <row r="613" spans="1:314" hidden="1">
      <c r="A613" s="279"/>
      <c r="D613" s="1098" t="s">
        <v>1170</v>
      </c>
      <c r="E613" s="323"/>
      <c r="F613" s="323"/>
      <c r="G613" s="323"/>
      <c r="H613" s="323"/>
      <c r="I613" s="323"/>
      <c r="J613" s="323"/>
      <c r="K613" s="323"/>
      <c r="L613" s="323"/>
      <c r="M613" s="323"/>
      <c r="N613" s="323"/>
      <c r="O613" s="323"/>
      <c r="P613" s="323"/>
      <c r="Q613" s="323"/>
      <c r="R613" s="323"/>
      <c r="S613" s="323"/>
      <c r="T613" s="323"/>
      <c r="U613" s="323"/>
      <c r="V613" s="323"/>
      <c r="W613" s="323"/>
      <c r="X613" s="323"/>
      <c r="Y613" s="323"/>
      <c r="Z613" s="323"/>
      <c r="AA613" s="323"/>
      <c r="AB613" s="323"/>
      <c r="AC613" s="323"/>
      <c r="AD613" s="323"/>
      <c r="AE613" s="323"/>
      <c r="AF613" s="323"/>
      <c r="AG613" s="323"/>
      <c r="AH613" s="323"/>
      <c r="AI613" s="323"/>
      <c r="AJ613" s="323"/>
      <c r="AK613" s="323"/>
      <c r="AL613" s="323"/>
      <c r="AM613" s="323"/>
      <c r="AN613" s="323"/>
      <c r="AO613" s="323"/>
      <c r="AP613" s="323"/>
      <c r="AQ613" s="323"/>
      <c r="AR613" s="323"/>
      <c r="AS613" s="323"/>
      <c r="AT613" s="323"/>
      <c r="AU613" s="323"/>
      <c r="AV613" s="323"/>
      <c r="AW613" s="323"/>
      <c r="AX613" s="323"/>
      <c r="AY613" s="323"/>
      <c r="AZ613" s="323"/>
      <c r="BA613" s="323"/>
      <c r="BB613" s="323"/>
      <c r="BC613" s="323"/>
      <c r="BD613" s="323"/>
      <c r="BE613" s="323"/>
      <c r="BF613" s="323"/>
      <c r="BG613" s="323"/>
      <c r="BH613" s="323"/>
      <c r="BI613" s="323"/>
      <c r="BJ613" s="323"/>
      <c r="BK613" s="323"/>
      <c r="BL613" s="323"/>
      <c r="BM613" s="323"/>
      <c r="BN613" s="323"/>
      <c r="BO613" s="323"/>
      <c r="BP613" s="323"/>
      <c r="BQ613" s="323"/>
      <c r="BR613" s="323"/>
      <c r="BS613" s="323"/>
      <c r="BT613" s="323"/>
      <c r="BU613" s="323"/>
      <c r="BV613" s="323"/>
      <c r="BW613" s="323"/>
      <c r="BX613" s="323"/>
      <c r="BY613" s="323"/>
      <c r="BZ613" s="323"/>
      <c r="CA613" s="323"/>
      <c r="CB613" s="323"/>
      <c r="CC613" s="323"/>
      <c r="CD613" s="323"/>
      <c r="CE613" s="324"/>
      <c r="CF613" s="323"/>
      <c r="CG613" s="323"/>
      <c r="CH613" s="323"/>
      <c r="CI613" s="323"/>
      <c r="CJ613" s="323"/>
      <c r="CK613" s="323"/>
      <c r="CL613" s="323"/>
      <c r="CM613" s="323"/>
      <c r="CN613" s="323"/>
      <c r="CO613" s="323"/>
      <c r="CP613" s="325"/>
      <c r="CQ613" s="323"/>
      <c r="CR613" s="323"/>
      <c r="CS613" s="323"/>
      <c r="CT613" s="323"/>
      <c r="CU613" s="323"/>
      <c r="CV613" s="323"/>
      <c r="CW613" s="323"/>
      <c r="CX613" s="323"/>
      <c r="CY613" s="323"/>
      <c r="CZ613" s="323"/>
      <c r="DA613" s="323"/>
      <c r="DB613" s="1269"/>
      <c r="DC613" s="323"/>
      <c r="DD613" s="323"/>
      <c r="DE613" s="323"/>
      <c r="DF613" s="323"/>
      <c r="DG613" s="323"/>
      <c r="DH613" s="323"/>
      <c r="DI613" s="323"/>
      <c r="DJ613" s="323"/>
      <c r="DK613" s="323"/>
      <c r="DL613" s="323"/>
      <c r="DM613" s="323"/>
      <c r="DN613" s="325"/>
      <c r="DO613" s="323"/>
      <c r="DP613" s="323"/>
      <c r="DQ613" s="323"/>
      <c r="DR613" s="323"/>
      <c r="DS613" s="323"/>
      <c r="DT613" s="323"/>
      <c r="DU613" s="323"/>
      <c r="DV613" s="323"/>
      <c r="DW613" s="323"/>
      <c r="DX613" s="323"/>
      <c r="DY613" s="323"/>
      <c r="DZ613" s="325"/>
      <c r="EA613" s="323"/>
      <c r="EB613" s="323"/>
      <c r="EC613" s="323"/>
      <c r="ED613" s="323"/>
      <c r="EE613" s="323"/>
      <c r="EF613" s="323"/>
      <c r="EG613" s="323"/>
      <c r="EH613" s="323"/>
      <c r="EI613" s="323"/>
      <c r="EJ613" s="323"/>
      <c r="EK613" s="323"/>
      <c r="EL613" s="325"/>
      <c r="EM613" s="323">
        <f t="shared" si="460"/>
        <v>0</v>
      </c>
      <c r="EN613" s="323">
        <f t="shared" si="460"/>
        <v>0</v>
      </c>
      <c r="EO613" s="323">
        <f t="shared" si="460"/>
        <v>5.0329786810000003</v>
      </c>
      <c r="EP613" s="323">
        <f t="shared" si="460"/>
        <v>0</v>
      </c>
      <c r="EQ613" s="323">
        <f t="shared" si="460"/>
        <v>0</v>
      </c>
      <c r="ER613" s="323">
        <f t="shared" si="460"/>
        <v>4.2359017769999996</v>
      </c>
      <c r="ES613" s="323">
        <f t="shared" ref="ES613:EX613" si="462">ES575</f>
        <v>0</v>
      </c>
      <c r="ET613" s="323">
        <f t="shared" si="462"/>
        <v>0</v>
      </c>
      <c r="EU613" s="323">
        <f t="shared" si="462"/>
        <v>4.5140113359999994</v>
      </c>
      <c r="EV613" s="323">
        <f t="shared" si="462"/>
        <v>0</v>
      </c>
      <c r="EW613" s="323">
        <f t="shared" si="462"/>
        <v>0</v>
      </c>
      <c r="EX613" s="325">
        <f t="shared" si="462"/>
        <v>6.1646746080000003</v>
      </c>
      <c r="EY613" s="323"/>
      <c r="EZ613" s="323"/>
      <c r="FA613" s="323"/>
      <c r="FB613" s="323"/>
      <c r="FC613" s="323"/>
      <c r="FD613" s="323"/>
      <c r="FE613" s="323"/>
      <c r="FF613" s="323"/>
      <c r="FG613" s="323"/>
      <c r="FH613" s="323"/>
      <c r="FI613" s="323"/>
      <c r="FJ613" s="325"/>
      <c r="FK613" s="323"/>
      <c r="FL613" s="323"/>
      <c r="FM613" s="323"/>
      <c r="FN613" s="323"/>
      <c r="FO613" s="323"/>
      <c r="FP613" s="323"/>
      <c r="FQ613" s="323"/>
      <c r="FR613" s="323"/>
      <c r="FS613" s="323"/>
      <c r="FT613" s="323"/>
      <c r="FU613" s="323"/>
      <c r="FV613" s="323"/>
      <c r="FW613" s="323"/>
      <c r="FX613" s="323"/>
      <c r="FY613" s="323"/>
      <c r="FZ613" s="323"/>
      <c r="GA613" s="323"/>
      <c r="GB613" s="323"/>
      <c r="GC613" s="323"/>
      <c r="GD613" s="323"/>
      <c r="GE613" s="323"/>
      <c r="GF613" s="323"/>
      <c r="GG613" s="323"/>
      <c r="GH613" s="323"/>
      <c r="GI613" s="323"/>
      <c r="GJ613" s="323"/>
      <c r="GK613" s="323"/>
      <c r="GL613" s="323"/>
      <c r="GM613" s="323"/>
      <c r="GN613" s="323"/>
      <c r="GO613" s="323"/>
      <c r="GP613" s="323"/>
      <c r="GQ613" s="323"/>
      <c r="GR613" s="323"/>
      <c r="GS613" s="323"/>
      <c r="GT613" s="323"/>
      <c r="GU613" s="323"/>
      <c r="GV613" s="323"/>
      <c r="GW613" s="323"/>
      <c r="GX613" s="323"/>
      <c r="GY613" s="323"/>
      <c r="GZ613" s="323"/>
      <c r="HA613" s="323"/>
      <c r="HB613" s="323"/>
      <c r="HC613" s="323"/>
      <c r="HD613" s="323"/>
      <c r="HE613" s="323"/>
      <c r="HF613" s="323"/>
      <c r="HG613" s="323"/>
      <c r="HH613" s="323"/>
      <c r="HI613" s="323"/>
      <c r="HJ613" s="323"/>
      <c r="HK613" s="323"/>
      <c r="HL613" s="323"/>
      <c r="HM613" s="323"/>
      <c r="HN613" s="323"/>
      <c r="HO613" s="323"/>
      <c r="HP613" s="323"/>
      <c r="HQ613" s="323"/>
      <c r="HR613" s="323"/>
      <c r="HS613" s="323"/>
      <c r="HT613" s="323"/>
      <c r="HU613" s="323"/>
      <c r="HV613" s="323"/>
      <c r="HW613" s="323"/>
      <c r="HX613" s="323"/>
      <c r="HY613" s="323"/>
      <c r="HZ613" s="326"/>
      <c r="IA613" s="1098" t="s">
        <v>1170</v>
      </c>
      <c r="IB613" s="1098"/>
      <c r="IC613" s="1098"/>
      <c r="ID613" s="323"/>
      <c r="IG613" s="323"/>
      <c r="IJ613" s="323"/>
      <c r="IM613" s="323"/>
      <c r="IO613" s="327"/>
      <c r="IP613" s="323"/>
      <c r="IQ613" s="279">
        <f t="shared" si="458"/>
        <v>9.2688804579999999</v>
      </c>
      <c r="IR613" s="279">
        <f t="shared" si="459"/>
        <v>10.678685944</v>
      </c>
      <c r="IS613" s="323">
        <f t="shared" si="407"/>
        <v>19.947566402</v>
      </c>
      <c r="IT613" s="327"/>
      <c r="IU613" s="327"/>
      <c r="IV613" s="323"/>
      <c r="IY613" s="323"/>
      <c r="JB613" s="323"/>
      <c r="JE613" s="323"/>
      <c r="JH613" s="323"/>
      <c r="JK613" s="323"/>
      <c r="JN613" s="323"/>
      <c r="JO613" s="323"/>
      <c r="KU613" s="326"/>
      <c r="KV613" s="327"/>
    </row>
    <row r="614" spans="1:314" hidden="1">
      <c r="A614" s="279"/>
      <c r="B614" s="96" t="s">
        <v>338</v>
      </c>
      <c r="D614" s="322" t="str">
        <f>+FISC!D818</f>
        <v>Exceptional social expenditure</v>
      </c>
      <c r="E614" s="323">
        <v>3.7127600000000003</v>
      </c>
      <c r="F614" s="323">
        <v>4.7993300000000003</v>
      </c>
      <c r="G614" s="323">
        <v>2.8350599999999999</v>
      </c>
      <c r="H614" s="323">
        <v>3.9559000000000002</v>
      </c>
      <c r="I614" s="323">
        <v>2.5550000000000002</v>
      </c>
      <c r="J614" s="323">
        <v>2.0085000000000002</v>
      </c>
      <c r="K614" s="323">
        <v>7.8316600000000003</v>
      </c>
      <c r="L614" s="323">
        <v>5.6524799999999997</v>
      </c>
      <c r="M614" s="323">
        <v>4.0859000000000005</v>
      </c>
      <c r="N614" s="323">
        <v>4.1721300000000001</v>
      </c>
      <c r="O614" s="323">
        <v>4.3776599999999997</v>
      </c>
      <c r="P614" s="323">
        <v>0.9621900000000001</v>
      </c>
      <c r="Q614" s="323">
        <v>4.1470500000000001</v>
      </c>
      <c r="R614" s="323">
        <v>5.8710000000000004</v>
      </c>
      <c r="S614" s="323">
        <v>2.62263</v>
      </c>
      <c r="T614" s="323">
        <v>7.8501599999999998</v>
      </c>
      <c r="U614" s="323">
        <v>5.4862400000000004</v>
      </c>
      <c r="V614" s="323">
        <v>2.67977</v>
      </c>
      <c r="W614" s="323">
        <v>9.6362000000000005</v>
      </c>
      <c r="X614" s="323">
        <v>4.8701600000000003</v>
      </c>
      <c r="Y614" s="323">
        <v>3.5097300000000002</v>
      </c>
      <c r="Z614" s="323">
        <v>7.9976700000000003</v>
      </c>
      <c r="AA614" s="323">
        <v>4.68743</v>
      </c>
      <c r="AB614" s="323">
        <v>1.57945</v>
      </c>
      <c r="AC614" s="323">
        <v>2.9270900000000002</v>
      </c>
      <c r="AD614" s="323">
        <v>3.2147899999999998</v>
      </c>
      <c r="AE614" s="323">
        <v>8.8239799999999988</v>
      </c>
      <c r="AF614" s="323">
        <v>5.4003100000000002</v>
      </c>
      <c r="AG614" s="323">
        <v>0.88553999999999999</v>
      </c>
      <c r="AH614" s="323">
        <v>0.41775999999999996</v>
      </c>
      <c r="AI614" s="323">
        <v>2.5460500000000001</v>
      </c>
      <c r="AJ614" s="323">
        <v>2.8212200000000003</v>
      </c>
      <c r="AK614" s="323">
        <v>10.077129999999999</v>
      </c>
      <c r="AL614" s="323">
        <v>5.6870000000000003</v>
      </c>
      <c r="AM614" s="323">
        <v>2.4997600000000002</v>
      </c>
      <c r="AN614" s="323">
        <v>3.0111699999999995</v>
      </c>
      <c r="AO614" s="323">
        <v>9.3814400000000013</v>
      </c>
      <c r="AP614" s="323">
        <v>3.6834099999999999</v>
      </c>
      <c r="AQ614" s="323">
        <v>0.97705999999999993</v>
      </c>
      <c r="AR614" s="323">
        <v>1.3996</v>
      </c>
      <c r="AS614" s="323">
        <v>5.6580300000000001</v>
      </c>
      <c r="AT614" s="323">
        <v>3.7801199999999997</v>
      </c>
      <c r="AU614" s="323">
        <v>4.1165399999999996</v>
      </c>
      <c r="AV614" s="323">
        <v>10.588700000000001</v>
      </c>
      <c r="AW614" s="323">
        <v>3.5014799999999999</v>
      </c>
      <c r="AX614" s="323">
        <v>7.9861499999999994</v>
      </c>
      <c r="AY614" s="323">
        <v>5.0168200000000001</v>
      </c>
      <c r="AZ614" s="323">
        <v>5.6406000000000001</v>
      </c>
      <c r="BA614" s="323">
        <v>6.7164799999999998</v>
      </c>
      <c r="BB614" s="323">
        <v>5.4594100000000001</v>
      </c>
      <c r="BC614" s="323">
        <v>1.92079</v>
      </c>
      <c r="BD614" s="323">
        <v>6.0153999999999996</v>
      </c>
      <c r="BE614" s="323">
        <v>10.529819999999999</v>
      </c>
      <c r="BF614" s="323">
        <v>0.39511000000000002</v>
      </c>
      <c r="BG614" s="323">
        <v>6.9534099999999999</v>
      </c>
      <c r="BH614" s="323">
        <v>6.1300699999999999</v>
      </c>
      <c r="BI614" s="323">
        <v>2.6468000000000003</v>
      </c>
      <c r="BJ614" s="323">
        <v>5.3137700000000008</v>
      </c>
      <c r="BK614" s="323">
        <v>7.46549</v>
      </c>
      <c r="BL614" s="323">
        <v>4.0160100000000005</v>
      </c>
      <c r="BM614" s="323">
        <v>8.6199300000000001</v>
      </c>
      <c r="BN614" s="323">
        <v>9.7876000000000012</v>
      </c>
      <c r="BO614" s="323">
        <v>8.3460800000000006</v>
      </c>
      <c r="BP614" s="323">
        <v>6.2623699999999998</v>
      </c>
      <c r="BQ614" s="323">
        <v>7.4356800000000005</v>
      </c>
      <c r="BR614" s="323">
        <v>1.5007300000000001</v>
      </c>
      <c r="BS614" s="323">
        <v>5.0293000000000001</v>
      </c>
      <c r="BT614" s="323">
        <v>7.3064999999999998</v>
      </c>
      <c r="BU614" s="323">
        <v>4.9896000000000003</v>
      </c>
      <c r="BV614" s="323">
        <v>8.6363335610000007</v>
      </c>
      <c r="BW614" s="323">
        <v>4.9076517710000003</v>
      </c>
      <c r="BX614" s="323">
        <v>5.7710280459999996</v>
      </c>
      <c r="BY614" s="323">
        <v>9.7754765859999999</v>
      </c>
      <c r="BZ614" s="323">
        <v>6.4653720200000002</v>
      </c>
      <c r="CA614" s="323">
        <v>4.8472462360000002</v>
      </c>
      <c r="CB614" s="323">
        <v>9.7985406420000007</v>
      </c>
      <c r="CC614" s="323">
        <v>10.398180063</v>
      </c>
      <c r="CD614" s="323">
        <v>2.0217900750000002</v>
      </c>
      <c r="CE614" s="324">
        <f>SUM(CE615:CE617)</f>
        <v>4.1218678119999996</v>
      </c>
      <c r="CF614" s="323">
        <f t="shared" ref="CF614:DN614" si="463">SUM(CF615:CF617)</f>
        <v>3.0527925360000001</v>
      </c>
      <c r="CG614" s="323">
        <f t="shared" si="463"/>
        <v>4.3797581149999996</v>
      </c>
      <c r="CH614" s="323">
        <f t="shared" si="463"/>
        <v>8.201250924</v>
      </c>
      <c r="CI614" s="323">
        <f t="shared" si="463"/>
        <v>4.6632914940000001</v>
      </c>
      <c r="CJ614" s="323">
        <f t="shared" si="463"/>
        <v>9.5954992279999995</v>
      </c>
      <c r="CK614" s="323">
        <f t="shared" si="463"/>
        <v>19.788627708</v>
      </c>
      <c r="CL614" s="323">
        <f t="shared" si="463"/>
        <v>9.3291781070000006</v>
      </c>
      <c r="CM614" s="323">
        <f t="shared" si="463"/>
        <v>3.9728699330000001</v>
      </c>
      <c r="CN614" s="323">
        <f t="shared" si="463"/>
        <v>36.040940083999999</v>
      </c>
      <c r="CO614" s="323">
        <f t="shared" si="463"/>
        <v>10.388191089999999</v>
      </c>
      <c r="CP614" s="325">
        <f t="shared" si="463"/>
        <v>5.5742181420000003</v>
      </c>
      <c r="CQ614" s="323">
        <f t="shared" si="463"/>
        <v>8.1239777909999997</v>
      </c>
      <c r="CR614" s="323">
        <f t="shared" si="463"/>
        <v>8.1626322439999992</v>
      </c>
      <c r="CS614" s="323">
        <f t="shared" si="463"/>
        <v>17.633937930999998</v>
      </c>
      <c r="CT614" s="323">
        <f t="shared" si="463"/>
        <v>4.3200614999999996</v>
      </c>
      <c r="CU614" s="323">
        <f t="shared" si="463"/>
        <v>13.312885845</v>
      </c>
      <c r="CV614" s="323">
        <f t="shared" si="463"/>
        <v>10.796285336999999</v>
      </c>
      <c r="CW614" s="323">
        <f t="shared" si="463"/>
        <v>6.00273915</v>
      </c>
      <c r="CX614" s="323">
        <f t="shared" si="463"/>
        <v>16.521865980000001</v>
      </c>
      <c r="CY614" s="323">
        <f t="shared" si="463"/>
        <v>26.299949223000002</v>
      </c>
      <c r="CZ614" s="323">
        <f t="shared" si="463"/>
        <v>28.379187033000001</v>
      </c>
      <c r="DA614" s="323">
        <f t="shared" si="463"/>
        <v>18.037174863000001</v>
      </c>
      <c r="DB614" s="1269">
        <f t="shared" si="463"/>
        <v>3.872886458</v>
      </c>
      <c r="DC614" s="323">
        <f t="shared" si="463"/>
        <v>20.031666440000002</v>
      </c>
      <c r="DD614" s="323">
        <f t="shared" si="463"/>
        <v>5.7584803439999996</v>
      </c>
      <c r="DE614" s="323">
        <f t="shared" si="463"/>
        <v>15.547081669999999</v>
      </c>
      <c r="DF614" s="323">
        <f t="shared" si="463"/>
        <v>21.488628049999999</v>
      </c>
      <c r="DG614" s="323">
        <f t="shared" si="463"/>
        <v>9.0915347850000003</v>
      </c>
      <c r="DH614" s="323">
        <f t="shared" si="463"/>
        <v>5.0807362579999999</v>
      </c>
      <c r="DI614" s="323">
        <f t="shared" si="463"/>
        <v>27.308649026000001</v>
      </c>
      <c r="DJ614" s="323">
        <f t="shared" si="463"/>
        <v>5.5587548150000003</v>
      </c>
      <c r="DK614" s="323">
        <f t="shared" si="463"/>
        <v>10.439049232999999</v>
      </c>
      <c r="DL614" s="323">
        <f t="shared" si="463"/>
        <v>19.474363273999998</v>
      </c>
      <c r="DM614" s="323">
        <f t="shared" si="463"/>
        <v>11.420979965000001</v>
      </c>
      <c r="DN614" s="325">
        <f t="shared" si="463"/>
        <v>8.0120627639999995</v>
      </c>
      <c r="DO614" s="323">
        <f t="shared" ref="DO614:DT614" si="464">SUM(DO615:DO617)</f>
        <v>17.830386840000003</v>
      </c>
      <c r="DP614" s="323">
        <f t="shared" si="464"/>
        <v>24.458453924000001</v>
      </c>
      <c r="DQ614" s="323">
        <f t="shared" si="464"/>
        <v>8.9936596830000006</v>
      </c>
      <c r="DR614" s="323">
        <f t="shared" si="464"/>
        <v>18.029543111999999</v>
      </c>
      <c r="DS614" s="323">
        <f t="shared" si="464"/>
        <v>13.747938799</v>
      </c>
      <c r="DT614" s="323">
        <f t="shared" si="464"/>
        <v>20.318674549000001</v>
      </c>
      <c r="DU614" s="323">
        <f t="shared" ref="DU614:DZ614" si="465">SUM(DU615:DU617)</f>
        <v>15.032641369</v>
      </c>
      <c r="DV614" s="323">
        <f t="shared" si="465"/>
        <v>8.3836660419999998</v>
      </c>
      <c r="DW614" s="323">
        <f t="shared" si="465"/>
        <v>5.2430148010000002</v>
      </c>
      <c r="DX614" s="323">
        <f t="shared" si="465"/>
        <v>15.108378704</v>
      </c>
      <c r="DY614" s="323">
        <f t="shared" si="465"/>
        <v>11.246329053</v>
      </c>
      <c r="DZ614" s="325">
        <f t="shared" si="465"/>
        <v>0.96119616600000002</v>
      </c>
      <c r="EA614" s="323">
        <f t="shared" ref="EA614:EK614" si="466">SUM(EA615:EA617)</f>
        <v>25.872880680999998</v>
      </c>
      <c r="EB614" s="323">
        <f t="shared" si="466"/>
        <v>12.925111098999999</v>
      </c>
      <c r="EC614" s="323">
        <f t="shared" si="466"/>
        <v>25.854006870999999</v>
      </c>
      <c r="ED614" s="323">
        <f t="shared" si="466"/>
        <v>33.279234199000001</v>
      </c>
      <c r="EE614" s="323">
        <f t="shared" si="466"/>
        <v>14.314430412</v>
      </c>
      <c r="EF614" s="323">
        <f t="shared" si="466"/>
        <v>11.712284659</v>
      </c>
      <c r="EG614" s="323">
        <f t="shared" si="466"/>
        <v>8.7310083279999997</v>
      </c>
      <c r="EH614" s="323">
        <f t="shared" si="466"/>
        <v>7.6339070709999994</v>
      </c>
      <c r="EI614" s="323">
        <f t="shared" si="466"/>
        <v>11.585520362</v>
      </c>
      <c r="EJ614" s="323">
        <f t="shared" si="466"/>
        <v>11.433172015</v>
      </c>
      <c r="EK614" s="323">
        <f t="shared" si="466"/>
        <v>14.617660114</v>
      </c>
      <c r="EL614" s="325">
        <f t="shared" ref="EL614:ER614" si="467">SUM(EL615:EL617)</f>
        <v>3.8799066939999998</v>
      </c>
      <c r="EM614" s="323">
        <f t="shared" si="467"/>
        <v>5.6727965129999998</v>
      </c>
      <c r="EN614" s="323">
        <f t="shared" si="467"/>
        <v>33.740439351999996</v>
      </c>
      <c r="EO614" s="323">
        <f t="shared" si="467"/>
        <v>13.793889010000001</v>
      </c>
      <c r="EP614" s="323">
        <f t="shared" si="467"/>
        <v>25.71266228</v>
      </c>
      <c r="EQ614" s="323">
        <f t="shared" si="467"/>
        <v>16.995882278</v>
      </c>
      <c r="ER614" s="323">
        <f t="shared" si="467"/>
        <v>16.054394510999998</v>
      </c>
      <c r="ES614" s="323">
        <f t="shared" ref="ES614:EX614" si="468">SUM(ES615:ES617)</f>
        <v>11.724667692000001</v>
      </c>
      <c r="ET614" s="323">
        <f t="shared" si="468"/>
        <v>5.7211090220000003</v>
      </c>
      <c r="EU614" s="323">
        <f t="shared" si="468"/>
        <v>34.580441728500006</v>
      </c>
      <c r="EV614" s="323">
        <f t="shared" si="468"/>
        <v>32.951912861500006</v>
      </c>
      <c r="EW614" s="323">
        <f t="shared" si="468"/>
        <v>18.7012586315</v>
      </c>
      <c r="EX614" s="325">
        <f t="shared" si="468"/>
        <v>22.049723595500001</v>
      </c>
      <c r="EY614" s="323"/>
      <c r="EZ614" s="323"/>
      <c r="FA614" s="323"/>
      <c r="FB614" s="323"/>
      <c r="FC614" s="323"/>
      <c r="FD614" s="323"/>
      <c r="FE614" s="323"/>
      <c r="FF614" s="323"/>
      <c r="FG614" s="323"/>
      <c r="FH614" s="323"/>
      <c r="FI614" s="323"/>
      <c r="FJ614" s="325"/>
      <c r="FK614" s="323"/>
      <c r="FL614" s="323"/>
      <c r="FM614" s="323"/>
      <c r="FN614" s="323"/>
      <c r="FO614" s="323"/>
      <c r="FP614" s="323"/>
      <c r="FQ614" s="323"/>
      <c r="FR614" s="323"/>
      <c r="FS614" s="323"/>
      <c r="FT614" s="323"/>
      <c r="FU614" s="323"/>
      <c r="FV614" s="323"/>
      <c r="FW614" s="323"/>
      <c r="FX614" s="323"/>
      <c r="FY614" s="323"/>
      <c r="FZ614" s="323"/>
      <c r="GA614" s="323"/>
      <c r="GB614" s="323"/>
      <c r="GC614" s="323"/>
      <c r="GD614" s="323"/>
      <c r="GE614" s="323"/>
      <c r="GF614" s="323"/>
      <c r="GG614" s="323"/>
      <c r="GH614" s="323"/>
      <c r="GI614" s="323"/>
      <c r="GJ614" s="323"/>
      <c r="GK614" s="323"/>
      <c r="GL614" s="323"/>
      <c r="GM614" s="323"/>
      <c r="GN614" s="323"/>
      <c r="GO614" s="323"/>
      <c r="GP614" s="323"/>
      <c r="GQ614" s="323"/>
      <c r="GR614" s="323"/>
      <c r="GS614" s="323"/>
      <c r="GT614" s="323"/>
      <c r="GU614" s="323"/>
      <c r="GV614" s="323"/>
      <c r="GW614" s="323"/>
      <c r="GX614" s="323"/>
      <c r="GY614" s="323"/>
      <c r="GZ614" s="323"/>
      <c r="HA614" s="323"/>
      <c r="HB614" s="323"/>
      <c r="HC614" s="323"/>
      <c r="HD614" s="323"/>
      <c r="HE614" s="323"/>
      <c r="HF614" s="323"/>
      <c r="HG614" s="323"/>
      <c r="HH614" s="323"/>
      <c r="HI614" s="323"/>
      <c r="HJ614" s="323"/>
      <c r="HK614" s="323"/>
      <c r="HL614" s="323"/>
      <c r="HM614" s="323"/>
      <c r="HN614" s="323"/>
      <c r="HO614" s="323"/>
      <c r="HP614" s="323"/>
      <c r="HQ614" s="323"/>
      <c r="HR614" s="323"/>
      <c r="HS614" s="323"/>
      <c r="HT614" s="323"/>
      <c r="HU614" s="323"/>
      <c r="HV614" s="323"/>
      <c r="HW614" s="323"/>
      <c r="HX614" s="323"/>
      <c r="HY614" s="323"/>
      <c r="HZ614" s="326"/>
      <c r="IA614" s="322" t="s">
        <v>141</v>
      </c>
      <c r="IB614" s="322"/>
      <c r="IC614" s="322"/>
      <c r="ID614" s="323">
        <f>+FISC!Z818</f>
        <v>121.08000000000001</v>
      </c>
      <c r="IE614" s="279">
        <f>SUM(IE615:IE617)</f>
        <v>62.349780647999999</v>
      </c>
      <c r="IF614" s="279">
        <f>SUM(IF615:IF617)</f>
        <v>99.113802707000005</v>
      </c>
      <c r="IG614" s="323">
        <f>SUM(IG615:IG617)</f>
        <v>161.463583355</v>
      </c>
      <c r="IH614" s="279">
        <f>SUM(IH615:IH617)</f>
        <v>76.998127546999996</v>
      </c>
      <c r="II614" s="279">
        <f>+SUM(DI614:DN614)</f>
        <v>82.213859076999995</v>
      </c>
      <c r="IJ614" s="323">
        <f>IH614+II614</f>
        <v>159.21198662399999</v>
      </c>
      <c r="IK614" s="279">
        <f>+SUM(IK615:IK617)</f>
        <v>103.37865690700002</v>
      </c>
      <c r="IL614" s="279">
        <f>SUM(DU614:DZ614)</f>
        <v>55.975226134999993</v>
      </c>
      <c r="IM614" s="323">
        <f t="shared" si="309"/>
        <v>159.35388304200001</v>
      </c>
      <c r="IN614" s="279">
        <f>SUM(IN615:IN617)</f>
        <v>105.45945410100001</v>
      </c>
      <c r="IO614" s="279">
        <f>SUM(IO615:IO617)</f>
        <v>76.379668403999986</v>
      </c>
      <c r="IP614" s="323">
        <f>FISC!AC818</f>
        <v>181.83912250499998</v>
      </c>
      <c r="IQ614" s="279">
        <f t="shared" si="458"/>
        <v>111.97006394399999</v>
      </c>
      <c r="IR614" s="279">
        <f t="shared" si="459"/>
        <v>125.72911353100001</v>
      </c>
      <c r="IS614" s="323">
        <f t="shared" si="407"/>
        <v>237.699177475</v>
      </c>
      <c r="IT614" s="279" t="e">
        <f>(SUM(IT615:IT617)*0+#REF!)*0+111.062774846</f>
        <v>#REF!</v>
      </c>
      <c r="IU614" s="279">
        <f>SUM(IU615:IU617)</f>
        <v>119.29723612865781</v>
      </c>
      <c r="IV614" s="323">
        <f>+FISC!AE818</f>
        <v>230.36001097465783</v>
      </c>
      <c r="IW614" s="279">
        <f>SUM(IW615:IW617)</f>
        <v>84.013911141156456</v>
      </c>
      <c r="IX614" s="279">
        <f t="shared" si="291"/>
        <v>100.75651428209764</v>
      </c>
      <c r="IY614" s="323">
        <f>+FISC!AF818</f>
        <v>184.7704254232541</v>
      </c>
      <c r="IZ614" s="279">
        <f>SUM(IZ615:IZ617)</f>
        <v>79.465986193818566</v>
      </c>
      <c r="JA614" s="279">
        <f t="shared" si="360"/>
        <v>101.11205717877044</v>
      </c>
      <c r="JB614" s="323">
        <f>+FISC!AG818</f>
        <v>180.57804337258901</v>
      </c>
      <c r="JC614" s="279">
        <f>SUM(JC615:JC617)</f>
        <v>92.297785477282758</v>
      </c>
      <c r="JD614" s="279">
        <f t="shared" si="280"/>
        <v>123.11820034538258</v>
      </c>
      <c r="JE614" s="323">
        <f>+FISC!AH818</f>
        <v>215.41598582266533</v>
      </c>
      <c r="JF614" s="279">
        <f>SUM(JF615:JF617)</f>
        <v>102.14371169708653</v>
      </c>
      <c r="JG614" s="279">
        <f t="shared" si="281"/>
        <v>137.97838381639349</v>
      </c>
      <c r="JH614" s="323">
        <f>+FISC!AI818</f>
        <v>240.12209551348002</v>
      </c>
      <c r="JI614" s="279">
        <f>SUM(JI615:JI617)</f>
        <v>0</v>
      </c>
      <c r="JJ614" s="279">
        <f t="shared" si="282"/>
        <v>0</v>
      </c>
      <c r="JK614" s="323">
        <f>+FISC!AJ818</f>
        <v>0</v>
      </c>
      <c r="JL614" s="279">
        <f>SUM(JL615:JL617)</f>
        <v>0</v>
      </c>
      <c r="JM614" s="279">
        <f t="shared" si="283"/>
        <v>0</v>
      </c>
      <c r="JN614" s="323">
        <f>+FISC!AK818</f>
        <v>0</v>
      </c>
      <c r="JO614" s="323"/>
      <c r="KU614" s="326"/>
      <c r="KV614" s="327"/>
      <c r="KY614" s="279">
        <f>SUM(KY615:KY617)</f>
        <v>0</v>
      </c>
      <c r="KZ614" s="279">
        <f>SUM(KZ615:KZ617)</f>
        <v>0</v>
      </c>
      <c r="LA614" s="279">
        <f>SUM(LA615:LA617)</f>
        <v>0</v>
      </c>
      <c r="LB614" s="279">
        <f>SUM(LB615:LB617)</f>
        <v>0</v>
      </c>
    </row>
    <row r="615" spans="1:314" hidden="1">
      <c r="A615" s="279"/>
      <c r="B615" s="96" t="s">
        <v>338</v>
      </c>
      <c r="D615" s="328" t="str">
        <f>+FISC!D819</f>
        <v>Assistance to victims of genocide (FARG)</v>
      </c>
      <c r="E615" s="323">
        <v>0.91316999999999993</v>
      </c>
      <c r="F615" s="323">
        <v>0.91316999999999993</v>
      </c>
      <c r="G615" s="323">
        <v>0.91316999999999993</v>
      </c>
      <c r="H615" s="323">
        <v>0.91316999999999993</v>
      </c>
      <c r="I615" s="323">
        <v>0.91316999999999993</v>
      </c>
      <c r="J615" s="323">
        <v>0.91316999999999993</v>
      </c>
      <c r="K615" s="323">
        <v>0.91316999999999993</v>
      </c>
      <c r="L615" s="323">
        <v>0.91316999999999993</v>
      </c>
      <c r="M615" s="323">
        <v>0.91316999999999993</v>
      </c>
      <c r="N615" s="323">
        <v>0.91316999999999993</v>
      </c>
      <c r="O615" s="323">
        <v>1.82633</v>
      </c>
      <c r="P615" s="323">
        <v>0</v>
      </c>
      <c r="Q615" s="323">
        <v>1.0432699999999999</v>
      </c>
      <c r="R615" s="323">
        <v>1.0129999999999999</v>
      </c>
      <c r="S615" s="323">
        <v>1.002</v>
      </c>
      <c r="T615" s="323">
        <v>2.2204000000000002</v>
      </c>
      <c r="U615" s="323">
        <v>2.2869800000000002</v>
      </c>
      <c r="V615" s="323">
        <v>1.3213699999999999</v>
      </c>
      <c r="W615" s="323">
        <v>1.2263499999999998</v>
      </c>
      <c r="X615" s="323">
        <v>1.2921899999999999</v>
      </c>
      <c r="Y615" s="323">
        <v>0.95657999999999999</v>
      </c>
      <c r="Z615" s="323">
        <v>8.4690000000000001E-2</v>
      </c>
      <c r="AA615" s="323">
        <v>7.2430000000000008E-2</v>
      </c>
      <c r="AB615" s="323">
        <v>0</v>
      </c>
      <c r="AC615" s="323">
        <v>1.20076</v>
      </c>
      <c r="AD615" s="323">
        <v>1.10381</v>
      </c>
      <c r="AE615" s="323">
        <v>1.19967</v>
      </c>
      <c r="AF615" s="323">
        <v>1.2174800000000001</v>
      </c>
      <c r="AG615" s="323">
        <v>4.4740000000000002E-2</v>
      </c>
      <c r="AH615" s="323">
        <v>0</v>
      </c>
      <c r="AI615" s="323">
        <v>1.50325</v>
      </c>
      <c r="AJ615" s="323">
        <v>1.5030899999999998</v>
      </c>
      <c r="AK615" s="323">
        <v>1.50325</v>
      </c>
      <c r="AL615" s="323">
        <v>1.5207299999999999</v>
      </c>
      <c r="AM615" s="323">
        <v>1.5207299999999999</v>
      </c>
      <c r="AN615" s="323">
        <v>1.703E-2</v>
      </c>
      <c r="AO615" s="323">
        <v>5.2546400000000002</v>
      </c>
      <c r="AP615" s="323">
        <v>1.6300000000000002E-2</v>
      </c>
      <c r="AQ615" s="323">
        <v>1.6899999999999998E-2</v>
      </c>
      <c r="AR615" s="323">
        <v>1.6969999999999999E-2</v>
      </c>
      <c r="AS615" s="323">
        <v>1.2169700000000001</v>
      </c>
      <c r="AT615" s="323">
        <v>1.2021700000000002</v>
      </c>
      <c r="AU615" s="323">
        <v>1.32331</v>
      </c>
      <c r="AV615" s="323">
        <v>1.4960000000000001E-2</v>
      </c>
      <c r="AW615" s="323">
        <v>1.34405</v>
      </c>
      <c r="AX615" s="323">
        <v>2.4125199999999998</v>
      </c>
      <c r="AY615" s="323">
        <v>1.35948</v>
      </c>
      <c r="AZ615" s="323">
        <v>0.61545000000000005</v>
      </c>
      <c r="BA615" s="323">
        <v>1.76373</v>
      </c>
      <c r="BB615" s="323">
        <v>1.8268599999999999</v>
      </c>
      <c r="BC615" s="323">
        <v>1.448E-2</v>
      </c>
      <c r="BD615" s="323">
        <v>2.67699</v>
      </c>
      <c r="BE615" s="323">
        <v>0.54198999999999997</v>
      </c>
      <c r="BF615" s="323">
        <v>1.5990000000000001E-2</v>
      </c>
      <c r="BG615" s="323">
        <v>0</v>
      </c>
      <c r="BH615" s="323">
        <v>0</v>
      </c>
      <c r="BI615" s="323">
        <v>0</v>
      </c>
      <c r="BJ615" s="323">
        <v>2.4125199999999998</v>
      </c>
      <c r="BK615" s="323">
        <v>1.35948</v>
      </c>
      <c r="BL615" s="323">
        <v>0.61545000000000005</v>
      </c>
      <c r="BM615" s="323"/>
      <c r="BN615" s="323"/>
      <c r="BO615" s="323"/>
      <c r="BP615" s="323"/>
      <c r="BQ615" s="323"/>
      <c r="BR615" s="323"/>
      <c r="BS615" s="323">
        <v>0</v>
      </c>
      <c r="BT615" s="323">
        <v>0</v>
      </c>
      <c r="BU615" s="323">
        <v>0</v>
      </c>
      <c r="BV615" s="323"/>
      <c r="BW615" s="323"/>
      <c r="BX615" s="323"/>
      <c r="BY615" s="323"/>
      <c r="BZ615" s="323"/>
      <c r="CA615" s="323"/>
      <c r="CB615" s="323"/>
      <c r="CC615" s="323"/>
      <c r="CD615" s="323"/>
      <c r="CE615" s="324">
        <f t="shared" ref="CE615:DJ615" si="469">CE294</f>
        <v>3.2977603279999999</v>
      </c>
      <c r="CF615" s="323">
        <f t="shared" si="469"/>
        <v>0.98312016899999999</v>
      </c>
      <c r="CG615" s="323">
        <f t="shared" si="469"/>
        <v>1.6299203170000001</v>
      </c>
      <c r="CH615" s="323">
        <f t="shared" si="469"/>
        <v>3.2214061530000002</v>
      </c>
      <c r="CI615" s="323">
        <f t="shared" si="469"/>
        <v>2.0843482959999999</v>
      </c>
      <c r="CJ615" s="323">
        <f t="shared" si="469"/>
        <v>8.0249717999999998E-2</v>
      </c>
      <c r="CK615" s="323">
        <f t="shared" si="469"/>
        <v>2.4277355690000002</v>
      </c>
      <c r="CL615" s="323">
        <f t="shared" si="469"/>
        <v>3.1378533200000001</v>
      </c>
      <c r="CM615" s="323">
        <f t="shared" si="469"/>
        <v>1.7430949929999999</v>
      </c>
      <c r="CN615" s="323">
        <f t="shared" si="469"/>
        <v>2.8110625219999998</v>
      </c>
      <c r="CO615" s="323">
        <f t="shared" si="469"/>
        <v>3.7248062860000002</v>
      </c>
      <c r="CP615" s="325">
        <f t="shared" si="469"/>
        <v>0.117453643</v>
      </c>
      <c r="CQ615" s="323">
        <f t="shared" si="469"/>
        <v>4.7076895849999998</v>
      </c>
      <c r="CR615" s="323">
        <f t="shared" si="469"/>
        <v>1.484837527</v>
      </c>
      <c r="CS615" s="323">
        <f t="shared" si="469"/>
        <v>1.0334999499999999</v>
      </c>
      <c r="CT615" s="323">
        <f t="shared" si="469"/>
        <v>1.227770359</v>
      </c>
      <c r="CU615" s="323">
        <f t="shared" si="469"/>
        <v>1.4919316929999999</v>
      </c>
      <c r="CV615" s="323">
        <f t="shared" si="469"/>
        <v>1.3295058470000001</v>
      </c>
      <c r="CW615" s="323">
        <f t="shared" si="469"/>
        <v>0.96740195799999995</v>
      </c>
      <c r="CX615" s="323">
        <f t="shared" si="469"/>
        <v>1.1926800040000001</v>
      </c>
      <c r="CY615" s="323">
        <f t="shared" si="469"/>
        <v>4.5218385740000002</v>
      </c>
      <c r="CZ615" s="323">
        <f t="shared" si="469"/>
        <v>4.6592218299999999</v>
      </c>
      <c r="DA615" s="323">
        <f t="shared" si="469"/>
        <v>3.8439886759999999</v>
      </c>
      <c r="DB615" s="1269">
        <f t="shared" si="469"/>
        <v>0.316585595</v>
      </c>
      <c r="DC615" s="323">
        <f t="shared" si="469"/>
        <v>2.0785957609999999</v>
      </c>
      <c r="DD615" s="323">
        <f t="shared" si="469"/>
        <v>1.013019814</v>
      </c>
      <c r="DE615" s="323">
        <f t="shared" si="469"/>
        <v>1.679942531</v>
      </c>
      <c r="DF615" s="323">
        <f t="shared" si="469"/>
        <v>3.8260517589999998</v>
      </c>
      <c r="DG615" s="323">
        <f t="shared" si="469"/>
        <v>1.7588236859999999</v>
      </c>
      <c r="DH615" s="323">
        <f t="shared" si="469"/>
        <v>1.206725469</v>
      </c>
      <c r="DI615" s="323">
        <f t="shared" si="469"/>
        <v>3.183438631</v>
      </c>
      <c r="DJ615" s="323">
        <f t="shared" si="469"/>
        <v>2.5440392649999999</v>
      </c>
      <c r="DK615" s="323">
        <f t="shared" ref="DK615:EP615" si="470">DK294</f>
        <v>2.5123295890000001</v>
      </c>
      <c r="DL615" s="323">
        <f t="shared" si="470"/>
        <v>5.1677136470000002</v>
      </c>
      <c r="DM615" s="323">
        <f t="shared" si="470"/>
        <v>1.919365505</v>
      </c>
      <c r="DN615" s="325">
        <f t="shared" si="470"/>
        <v>8.9281018000000004E-2</v>
      </c>
      <c r="DO615" s="323">
        <f t="shared" si="470"/>
        <v>1.663015777</v>
      </c>
      <c r="DP615" s="323">
        <f t="shared" si="470"/>
        <v>1.636151197</v>
      </c>
      <c r="DQ615" s="323">
        <f t="shared" si="470"/>
        <v>0.465051675</v>
      </c>
      <c r="DR615" s="323">
        <f t="shared" si="470"/>
        <v>3.1853889560000002</v>
      </c>
      <c r="DS615" s="323">
        <f t="shared" si="470"/>
        <v>1.3625779570000001</v>
      </c>
      <c r="DT615" s="323">
        <f t="shared" si="470"/>
        <v>1.993680144</v>
      </c>
      <c r="DU615" s="323">
        <f t="shared" si="470"/>
        <v>1.9732281599999999</v>
      </c>
      <c r="DV615" s="323">
        <f t="shared" si="470"/>
        <v>3.4378741449999999</v>
      </c>
      <c r="DW615" s="323">
        <f t="shared" si="470"/>
        <v>0.35597105800000001</v>
      </c>
      <c r="DX615" s="323">
        <f t="shared" si="470"/>
        <v>6.7384860499999997</v>
      </c>
      <c r="DY615" s="323">
        <f t="shared" si="470"/>
        <v>5.5133531920000003</v>
      </c>
      <c r="DZ615" s="325">
        <f t="shared" si="470"/>
        <v>0.214645112</v>
      </c>
      <c r="EA615" s="323">
        <f t="shared" si="470"/>
        <v>3.4428360140000001</v>
      </c>
      <c r="EB615" s="323">
        <f t="shared" si="470"/>
        <v>1.4038838730000001</v>
      </c>
      <c r="EC615" s="323">
        <f t="shared" si="470"/>
        <v>0.89195627099999997</v>
      </c>
      <c r="ED615" s="323">
        <f t="shared" si="470"/>
        <v>4.2184349839999999</v>
      </c>
      <c r="EE615" s="323">
        <f t="shared" si="470"/>
        <v>1.6175866320000001</v>
      </c>
      <c r="EF615" s="323">
        <f t="shared" si="470"/>
        <v>0.59496847799999997</v>
      </c>
      <c r="EG615" s="323">
        <f t="shared" si="470"/>
        <v>5.7378195459999999</v>
      </c>
      <c r="EH615" s="323">
        <f t="shared" si="470"/>
        <v>3.322141496</v>
      </c>
      <c r="EI615" s="323">
        <f t="shared" si="470"/>
        <v>4.3754322779999999</v>
      </c>
      <c r="EJ615" s="323">
        <f t="shared" si="470"/>
        <v>3.8449640920000001</v>
      </c>
      <c r="EK615" s="323">
        <f t="shared" si="470"/>
        <v>2.8300768230000002</v>
      </c>
      <c r="EL615" s="325">
        <f t="shared" si="470"/>
        <v>0.15571638600000001</v>
      </c>
      <c r="EM615" s="323">
        <f t="shared" si="470"/>
        <v>1.4293233009999999</v>
      </c>
      <c r="EN615" s="323">
        <f t="shared" si="470"/>
        <v>1.616375925</v>
      </c>
      <c r="EO615" s="323">
        <f t="shared" si="470"/>
        <v>1.2355409150000001</v>
      </c>
      <c r="EP615" s="323">
        <f t="shared" si="470"/>
        <v>2.5893228829999999</v>
      </c>
      <c r="EQ615" s="323">
        <f t="shared" ref="EQ615:EX615" si="471">EQ294</f>
        <v>3.1457423200000001</v>
      </c>
      <c r="ER615" s="323">
        <f t="shared" si="471"/>
        <v>4.1453405419999996</v>
      </c>
      <c r="ES615" s="323">
        <f t="shared" si="471"/>
        <v>4.5069167510000003</v>
      </c>
      <c r="ET615" s="323">
        <f t="shared" si="471"/>
        <v>1.869392409</v>
      </c>
      <c r="EU615" s="323">
        <f t="shared" si="471"/>
        <v>0.43625127749999998</v>
      </c>
      <c r="EV615" s="323">
        <f t="shared" si="471"/>
        <v>0.43625127749999998</v>
      </c>
      <c r="EW615" s="323">
        <f t="shared" si="471"/>
        <v>0.43625127749999998</v>
      </c>
      <c r="EX615" s="325">
        <f t="shared" si="471"/>
        <v>0.43625127749999998</v>
      </c>
      <c r="EY615" s="323"/>
      <c r="EZ615" s="323"/>
      <c r="FA615" s="323"/>
      <c r="FB615" s="323"/>
      <c r="FC615" s="323"/>
      <c r="FD615" s="323"/>
      <c r="FE615" s="323"/>
      <c r="FF615" s="323"/>
      <c r="FG615" s="323"/>
      <c r="FH615" s="323"/>
      <c r="FI615" s="323"/>
      <c r="FJ615" s="325"/>
      <c r="FK615" s="323"/>
      <c r="FL615" s="323"/>
      <c r="FM615" s="323"/>
      <c r="FN615" s="323"/>
      <c r="FO615" s="323"/>
      <c r="FP615" s="323"/>
      <c r="FQ615" s="323"/>
      <c r="FR615" s="323"/>
      <c r="FS615" s="323"/>
      <c r="FT615" s="323"/>
      <c r="FU615" s="323"/>
      <c r="FV615" s="323"/>
      <c r="FW615" s="323"/>
      <c r="FX615" s="323"/>
      <c r="FY615" s="323"/>
      <c r="FZ615" s="323"/>
      <c r="GA615" s="323"/>
      <c r="GB615" s="323"/>
      <c r="GC615" s="323"/>
      <c r="GD615" s="323"/>
      <c r="GE615" s="323"/>
      <c r="GF615" s="323"/>
      <c r="GG615" s="323"/>
      <c r="GH615" s="323"/>
      <c r="GI615" s="323"/>
      <c r="GJ615" s="323"/>
      <c r="GK615" s="323"/>
      <c r="GL615" s="323"/>
      <c r="GM615" s="323"/>
      <c r="GN615" s="323"/>
      <c r="GO615" s="323"/>
      <c r="GP615" s="323"/>
      <c r="GQ615" s="323"/>
      <c r="GR615" s="323"/>
      <c r="GS615" s="323"/>
      <c r="GT615" s="323"/>
      <c r="GU615" s="323"/>
      <c r="GV615" s="323"/>
      <c r="GW615" s="323"/>
      <c r="GX615" s="323"/>
      <c r="GY615" s="323"/>
      <c r="GZ615" s="323"/>
      <c r="HA615" s="323"/>
      <c r="HB615" s="323"/>
      <c r="HC615" s="323"/>
      <c r="HD615" s="323"/>
      <c r="HE615" s="323"/>
      <c r="HF615" s="323"/>
      <c r="HG615" s="323"/>
      <c r="HH615" s="323"/>
      <c r="HI615" s="323"/>
      <c r="HJ615" s="323"/>
      <c r="HK615" s="323"/>
      <c r="HL615" s="323"/>
      <c r="HM615" s="323"/>
      <c r="HN615" s="323"/>
      <c r="HO615" s="323"/>
      <c r="HP615" s="323"/>
      <c r="HQ615" s="323"/>
      <c r="HR615" s="323"/>
      <c r="HS615" s="323"/>
      <c r="HT615" s="323"/>
      <c r="HU615" s="323"/>
      <c r="HV615" s="323"/>
      <c r="HW615" s="323"/>
      <c r="HX615" s="323"/>
      <c r="HY615" s="323"/>
      <c r="HZ615" s="326"/>
      <c r="IA615" s="328" t="s">
        <v>142</v>
      </c>
      <c r="IB615" s="328"/>
      <c r="IC615" s="328"/>
      <c r="ID615" s="323">
        <f>+FISC!Z819</f>
        <v>26.8</v>
      </c>
      <c r="IE615" s="279">
        <f>SUM(CQ615:CV615)</f>
        <v>11.275234961000001</v>
      </c>
      <c r="IF615" s="279">
        <f>SUM(CW615:DB615)</f>
        <v>15.501716636999999</v>
      </c>
      <c r="IG615" s="323">
        <f>SUM(CQ615:DB615)</f>
        <v>26.776951598</v>
      </c>
      <c r="IH615" s="279">
        <f>+SUM(DC615:DH615)</f>
        <v>11.563159019999999</v>
      </c>
      <c r="II615" s="279">
        <f>+SUM(DI615:DN615)</f>
        <v>15.416167654999999</v>
      </c>
      <c r="IJ615" s="323">
        <f>IH615+II615</f>
        <v>26.979326674999996</v>
      </c>
      <c r="IK615" s="279">
        <f>+SUM(DO615:DT615)</f>
        <v>10.305865706000001</v>
      </c>
      <c r="IL615" s="279">
        <f>SUM(DU615:DZ615)</f>
        <v>18.233557717</v>
      </c>
      <c r="IM615" s="323">
        <f t="shared" si="309"/>
        <v>28.539423423000002</v>
      </c>
      <c r="IN615" s="279">
        <v>12.169666252000001</v>
      </c>
      <c r="IO615" s="279">
        <f>IP615-IN615</f>
        <v>20.266150621000001</v>
      </c>
      <c r="IP615" s="323">
        <f>FISC!AC819</f>
        <v>32.435816873</v>
      </c>
      <c r="IQ615" s="279">
        <f t="shared" si="458"/>
        <v>14.161645885999999</v>
      </c>
      <c r="IR615" s="279">
        <f t="shared" si="459"/>
        <v>8.1213142700000009</v>
      </c>
      <c r="IS615" s="323">
        <f t="shared" si="407"/>
        <v>22.282960156000001</v>
      </c>
      <c r="IT615" s="327">
        <v>17.196633493</v>
      </c>
      <c r="IU615" s="279">
        <f>+IV615-IT615</f>
        <v>21.253366507000003</v>
      </c>
      <c r="IV615" s="323">
        <f>+FISC!AE819</f>
        <v>38.450000000000003</v>
      </c>
      <c r="IW615" s="327">
        <f>(IY615/2)*0+19.3727429595163</f>
        <v>19.372742959516302</v>
      </c>
      <c r="IX615" s="279">
        <f t="shared" si="291"/>
        <v>20.987138206142596</v>
      </c>
      <c r="IY615" s="323">
        <f>+FISC!AF819</f>
        <v>40.359881165658898</v>
      </c>
      <c r="IZ615" s="327">
        <f>JB615/2</f>
        <v>19.225000000000001</v>
      </c>
      <c r="JA615" s="279">
        <f t="shared" si="360"/>
        <v>19.225000000000001</v>
      </c>
      <c r="JB615" s="323">
        <f>+FISC!AG819</f>
        <v>38.450000000000003</v>
      </c>
      <c r="JC615" s="327">
        <f>JE615/2</f>
        <v>25.654039195978051</v>
      </c>
      <c r="JD615" s="279">
        <f t="shared" si="280"/>
        <v>25.654039195978051</v>
      </c>
      <c r="JE615" s="323">
        <f>+FISC!AH819</f>
        <v>51.308078391956101</v>
      </c>
      <c r="JF615" s="327">
        <f>JH615/2</f>
        <v>25.654039195978051</v>
      </c>
      <c r="JG615" s="279">
        <f t="shared" si="281"/>
        <v>25.654039195978051</v>
      </c>
      <c r="JH615" s="323">
        <f>+FISC!AI819</f>
        <v>51.308078391956101</v>
      </c>
      <c r="JI615" s="327">
        <f>JK615/2</f>
        <v>0</v>
      </c>
      <c r="JJ615" s="279">
        <f t="shared" si="282"/>
        <v>0</v>
      </c>
      <c r="JK615" s="323">
        <f>+FISC!AJ819</f>
        <v>0</v>
      </c>
      <c r="JL615" s="327">
        <f>JN615/2</f>
        <v>0</v>
      </c>
      <c r="JM615" s="279">
        <f t="shared" si="283"/>
        <v>0</v>
      </c>
      <c r="JN615" s="323">
        <f>+FISC!AK819</f>
        <v>0</v>
      </c>
      <c r="JO615" s="323"/>
      <c r="KU615" s="326"/>
      <c r="KV615" s="327"/>
    </row>
    <row r="616" spans="1:314" ht="16.2" hidden="1">
      <c r="A616" s="279"/>
      <c r="B616" s="96" t="s">
        <v>338</v>
      </c>
      <c r="D616" s="328" t="str">
        <f>+FISC!D820</f>
        <v>Demobilisation/Reintegration</v>
      </c>
      <c r="E616" s="323"/>
      <c r="F616" s="323"/>
      <c r="G616" s="323"/>
      <c r="H616" s="323"/>
      <c r="I616" s="323"/>
      <c r="J616" s="323"/>
      <c r="K616" s="323"/>
      <c r="L616" s="323"/>
      <c r="M616" s="323"/>
      <c r="N616" s="323"/>
      <c r="O616" s="323"/>
      <c r="P616" s="323"/>
      <c r="Q616" s="323"/>
      <c r="R616" s="323"/>
      <c r="S616" s="323"/>
      <c r="T616" s="323"/>
      <c r="U616" s="323"/>
      <c r="V616" s="323"/>
      <c r="W616" s="323"/>
      <c r="X616" s="323"/>
      <c r="Y616" s="323"/>
      <c r="Z616" s="323"/>
      <c r="AA616" s="323"/>
      <c r="AB616" s="323"/>
      <c r="AC616" s="323"/>
      <c r="AD616" s="323"/>
      <c r="AE616" s="323"/>
      <c r="AF616" s="323"/>
      <c r="AG616" s="323"/>
      <c r="AH616" s="323"/>
      <c r="AI616" s="323"/>
      <c r="AJ616" s="323"/>
      <c r="AK616" s="323"/>
      <c r="AL616" s="323"/>
      <c r="AM616" s="323"/>
      <c r="AN616" s="323"/>
      <c r="AO616" s="323"/>
      <c r="AP616" s="323"/>
      <c r="AQ616" s="323"/>
      <c r="AR616" s="323"/>
      <c r="AS616" s="323"/>
      <c r="AT616" s="323"/>
      <c r="AU616" s="323"/>
      <c r="AV616" s="323"/>
      <c r="AW616" s="323"/>
      <c r="AX616" s="323"/>
      <c r="AY616" s="323"/>
      <c r="AZ616" s="323"/>
      <c r="BA616" s="323"/>
      <c r="BB616" s="323"/>
      <c r="BC616" s="323"/>
      <c r="BD616" s="323"/>
      <c r="BE616" s="323"/>
      <c r="BF616" s="323"/>
      <c r="BG616" s="323"/>
      <c r="BH616" s="323"/>
      <c r="BI616" s="323"/>
      <c r="BJ616" s="323"/>
      <c r="BK616" s="323"/>
      <c r="BL616" s="323"/>
      <c r="BM616" s="323"/>
      <c r="BN616" s="323"/>
      <c r="BO616" s="323"/>
      <c r="BP616" s="323"/>
      <c r="BQ616" s="323"/>
      <c r="BR616" s="323"/>
      <c r="BS616" s="323">
        <v>0</v>
      </c>
      <c r="BT616" s="323">
        <v>0</v>
      </c>
      <c r="BU616" s="323">
        <v>0</v>
      </c>
      <c r="BV616" s="323"/>
      <c r="BW616" s="323"/>
      <c r="BX616" s="323"/>
      <c r="BY616" s="323"/>
      <c r="BZ616" s="323"/>
      <c r="CA616" s="323"/>
      <c r="CB616" s="323"/>
      <c r="CC616" s="323"/>
      <c r="CD616" s="323"/>
      <c r="CE616" s="324">
        <f t="shared" ref="CE616:DJ616" si="472">CE295</f>
        <v>0.31954407499999998</v>
      </c>
      <c r="CF616" s="323">
        <f t="shared" si="472"/>
        <v>0.32206600800000001</v>
      </c>
      <c r="CG616" s="323">
        <f t="shared" si="472"/>
        <v>0.241993915</v>
      </c>
      <c r="CH616" s="323">
        <f t="shared" si="472"/>
        <v>0.700158261</v>
      </c>
      <c r="CI616" s="323">
        <f t="shared" si="472"/>
        <v>0.59480244699999996</v>
      </c>
      <c r="CJ616" s="323">
        <f t="shared" si="472"/>
        <v>0.63199466900000001</v>
      </c>
      <c r="CK616" s="323">
        <f t="shared" si="472"/>
        <v>0.238233945</v>
      </c>
      <c r="CL616" s="323">
        <f t="shared" si="472"/>
        <v>0.31027005899999999</v>
      </c>
      <c r="CM616" s="323">
        <f t="shared" si="472"/>
        <v>0.20934720000000001</v>
      </c>
      <c r="CN616" s="323">
        <f t="shared" si="472"/>
        <v>0.38951990800000003</v>
      </c>
      <c r="CO616" s="323">
        <f t="shared" si="472"/>
        <v>0.54165528399999996</v>
      </c>
      <c r="CP616" s="325">
        <f t="shared" si="472"/>
        <v>0.75777861999999996</v>
      </c>
      <c r="CQ616" s="323">
        <f t="shared" si="472"/>
        <v>0.109332551</v>
      </c>
      <c r="CR616" s="323">
        <f t="shared" si="472"/>
        <v>0.273532475</v>
      </c>
      <c r="CS616" s="323">
        <f t="shared" si="472"/>
        <v>0.32399302000000002</v>
      </c>
      <c r="CT616" s="323">
        <f t="shared" si="472"/>
        <v>0.51652126099999995</v>
      </c>
      <c r="CU616" s="323">
        <f t="shared" si="472"/>
        <v>0.45955833099999999</v>
      </c>
      <c r="CV616" s="323">
        <f t="shared" si="472"/>
        <v>0.46719016000000002</v>
      </c>
      <c r="CW616" s="323">
        <f t="shared" si="472"/>
        <v>0.46799514399999997</v>
      </c>
      <c r="CX616" s="323">
        <f t="shared" si="472"/>
        <v>0.26187786000000002</v>
      </c>
      <c r="CY616" s="323">
        <f t="shared" si="472"/>
        <v>0.46137007299999999</v>
      </c>
      <c r="CZ616" s="323">
        <f t="shared" si="472"/>
        <v>0.36911990700000002</v>
      </c>
      <c r="DA616" s="323">
        <f t="shared" si="472"/>
        <v>0.35077862900000001</v>
      </c>
      <c r="DB616" s="1269">
        <f t="shared" si="472"/>
        <v>0.87854811799999999</v>
      </c>
      <c r="DC616" s="323">
        <f t="shared" si="472"/>
        <v>0.21509856999999999</v>
      </c>
      <c r="DD616" s="323">
        <f t="shared" si="472"/>
        <v>0.33574722200000001</v>
      </c>
      <c r="DE616" s="323">
        <f t="shared" si="472"/>
        <v>0.20921537900000001</v>
      </c>
      <c r="DF616" s="323">
        <f t="shared" si="472"/>
        <v>0.54946555100000005</v>
      </c>
      <c r="DG616" s="323">
        <f t="shared" si="472"/>
        <v>0.23876473300000001</v>
      </c>
      <c r="DH616" s="323">
        <f t="shared" si="472"/>
        <v>0.37626204400000002</v>
      </c>
      <c r="DI616" s="323">
        <f t="shared" si="472"/>
        <v>0.311234656</v>
      </c>
      <c r="DJ616" s="323">
        <f t="shared" si="472"/>
        <v>0.22238349700000001</v>
      </c>
      <c r="DK616" s="323">
        <f t="shared" ref="DK616:EP616" si="473">DK295</f>
        <v>0.44589663800000001</v>
      </c>
      <c r="DL616" s="323">
        <f t="shared" si="473"/>
        <v>0.45821742900000001</v>
      </c>
      <c r="DM616" s="323">
        <f t="shared" si="473"/>
        <v>0.44258078200000001</v>
      </c>
      <c r="DN616" s="325">
        <f t="shared" si="473"/>
        <v>0.57106979000000002</v>
      </c>
      <c r="DO616" s="323">
        <f t="shared" si="473"/>
        <v>0.16270011200000001</v>
      </c>
      <c r="DP616" s="323">
        <f t="shared" si="473"/>
        <v>0.126382619</v>
      </c>
      <c r="DQ616" s="323">
        <f t="shared" si="473"/>
        <v>0.31993961500000001</v>
      </c>
      <c r="DR616" s="323">
        <f t="shared" si="473"/>
        <v>6.967566E-2</v>
      </c>
      <c r="DS616" s="323">
        <f t="shared" si="473"/>
        <v>0.19328446899999999</v>
      </c>
      <c r="DT616" s="323">
        <f t="shared" si="473"/>
        <v>0.33983930699999998</v>
      </c>
      <c r="DU616" s="323">
        <f t="shared" si="473"/>
        <v>0.124056428</v>
      </c>
      <c r="DV616" s="323">
        <f t="shared" si="473"/>
        <v>0.20285381599999999</v>
      </c>
      <c r="DW616" s="323">
        <f t="shared" si="473"/>
        <v>0.159907204</v>
      </c>
      <c r="DX616" s="323">
        <f t="shared" si="473"/>
        <v>0.42342381200000001</v>
      </c>
      <c r="DY616" s="323">
        <f t="shared" si="473"/>
        <v>0.23020560000000001</v>
      </c>
      <c r="DZ616" s="325">
        <f t="shared" si="473"/>
        <v>0.310728913</v>
      </c>
      <c r="EA616" s="323">
        <f t="shared" si="473"/>
        <v>8.3919091000000001E-2</v>
      </c>
      <c r="EB616" s="323">
        <f t="shared" si="473"/>
        <v>0.16387307400000001</v>
      </c>
      <c r="EC616" s="323">
        <f t="shared" si="473"/>
        <v>0.16643264799999999</v>
      </c>
      <c r="ED616" s="323">
        <f t="shared" si="473"/>
        <v>0.43759340499999999</v>
      </c>
      <c r="EE616" s="323">
        <f t="shared" si="473"/>
        <v>0.24953403099999999</v>
      </c>
      <c r="EF616" s="323">
        <f t="shared" si="473"/>
        <v>0.165722067</v>
      </c>
      <c r="EG616" s="323">
        <f t="shared" si="473"/>
        <v>0.308595646</v>
      </c>
      <c r="EH616" s="323">
        <f t="shared" si="473"/>
        <v>0.54132779499999994</v>
      </c>
      <c r="EI616" s="323">
        <f t="shared" si="473"/>
        <v>0.320699497</v>
      </c>
      <c r="EJ616" s="323">
        <f t="shared" si="473"/>
        <v>0.127708813</v>
      </c>
      <c r="EK616" s="323">
        <f t="shared" si="473"/>
        <v>0.29939412599999998</v>
      </c>
      <c r="EL616" s="325">
        <f t="shared" si="473"/>
        <v>0.76786692000000001</v>
      </c>
      <c r="EM616" s="323">
        <f t="shared" si="473"/>
        <v>0.30968720399999999</v>
      </c>
      <c r="EN616" s="323">
        <f t="shared" si="473"/>
        <v>0.26413287099999999</v>
      </c>
      <c r="EO616" s="323">
        <f t="shared" si="473"/>
        <v>0.224516248</v>
      </c>
      <c r="EP616" s="323">
        <f t="shared" si="473"/>
        <v>0.33610833800000001</v>
      </c>
      <c r="EQ616" s="323">
        <f t="shared" ref="EQ616:EX616" si="474">EQ295</f>
        <v>0.238944237</v>
      </c>
      <c r="ER616" s="323">
        <f t="shared" si="474"/>
        <v>0.361617572</v>
      </c>
      <c r="ES616" s="323">
        <f t="shared" si="474"/>
        <v>0.390914963</v>
      </c>
      <c r="ET616" s="323">
        <f t="shared" si="474"/>
        <v>0.38259226400000002</v>
      </c>
      <c r="EU616" s="323">
        <f t="shared" si="474"/>
        <v>7.6323815000000003E-2</v>
      </c>
      <c r="EV616" s="323">
        <f t="shared" si="474"/>
        <v>7.6323815000000003E-2</v>
      </c>
      <c r="EW616" s="323">
        <f t="shared" si="474"/>
        <v>7.6323815000000003E-2</v>
      </c>
      <c r="EX616" s="325">
        <f t="shared" si="474"/>
        <v>7.6323815000000003E-2</v>
      </c>
      <c r="EY616" s="323"/>
      <c r="EZ616" s="323"/>
      <c r="FA616" s="323"/>
      <c r="FB616" s="323"/>
      <c r="FC616" s="323"/>
      <c r="FD616" s="323"/>
      <c r="FE616" s="323"/>
      <c r="FF616" s="323"/>
      <c r="FG616" s="323"/>
      <c r="FH616" s="323"/>
      <c r="FI616" s="323"/>
      <c r="FJ616" s="325"/>
      <c r="FK616" s="323"/>
      <c r="FL616" s="323"/>
      <c r="FM616" s="323"/>
      <c r="FN616" s="323"/>
      <c r="FO616" s="323"/>
      <c r="FP616" s="323"/>
      <c r="FQ616" s="323"/>
      <c r="FR616" s="323"/>
      <c r="FS616" s="323"/>
      <c r="FT616" s="323"/>
      <c r="FU616" s="323"/>
      <c r="FV616" s="323"/>
      <c r="FW616" s="323"/>
      <c r="FX616" s="323"/>
      <c r="FY616" s="323"/>
      <c r="FZ616" s="323"/>
      <c r="GA616" s="323"/>
      <c r="GB616" s="323"/>
      <c r="GC616" s="323"/>
      <c r="GD616" s="323"/>
      <c r="GE616" s="323"/>
      <c r="GF616" s="323"/>
      <c r="GG616" s="323"/>
      <c r="GH616" s="323"/>
      <c r="GI616" s="323"/>
      <c r="GJ616" s="323"/>
      <c r="GK616" s="323"/>
      <c r="GL616" s="323"/>
      <c r="GM616" s="323"/>
      <c r="GN616" s="323"/>
      <c r="GO616" s="323"/>
      <c r="GP616" s="323"/>
      <c r="GQ616" s="323"/>
      <c r="GR616" s="323"/>
      <c r="GS616" s="323"/>
      <c r="GT616" s="323"/>
      <c r="GU616" s="323"/>
      <c r="GV616" s="323"/>
      <c r="GW616" s="323"/>
      <c r="GX616" s="323"/>
      <c r="GY616" s="323"/>
      <c r="GZ616" s="323"/>
      <c r="HA616" s="323"/>
      <c r="HB616" s="323"/>
      <c r="HC616" s="323"/>
      <c r="HD616" s="323"/>
      <c r="HE616" s="323"/>
      <c r="HF616" s="323"/>
      <c r="HG616" s="323"/>
      <c r="HH616" s="323"/>
      <c r="HI616" s="323"/>
      <c r="HJ616" s="323"/>
      <c r="HK616" s="323"/>
      <c r="HL616" s="323"/>
      <c r="HM616" s="323"/>
      <c r="HN616" s="323"/>
      <c r="HO616" s="323"/>
      <c r="HP616" s="323"/>
      <c r="HQ616" s="323"/>
      <c r="HR616" s="323"/>
      <c r="HS616" s="323"/>
      <c r="HT616" s="323"/>
      <c r="HU616" s="323"/>
      <c r="HV616" s="323"/>
      <c r="HW616" s="323"/>
      <c r="HX616" s="323"/>
      <c r="HY616" s="323"/>
      <c r="HZ616" s="326"/>
      <c r="IA616" s="328" t="s">
        <v>285</v>
      </c>
      <c r="IB616" s="328"/>
      <c r="IC616" s="328"/>
      <c r="ID616" s="323">
        <f>+FISC!Z820</f>
        <v>4.9400000000000004</v>
      </c>
      <c r="IE616" s="279">
        <f>SUM(CQ616:CV616)</f>
        <v>2.1501277980000002</v>
      </c>
      <c r="IF616" s="279">
        <f>SUM(CW616:DB616)</f>
        <v>2.7896897309999997</v>
      </c>
      <c r="IG616" s="323">
        <f>SUM(CQ616:DB616)</f>
        <v>4.9398175290000008</v>
      </c>
      <c r="IH616" s="279">
        <f>+SUM(DC616:DH616)</f>
        <v>1.9245534990000002</v>
      </c>
      <c r="II616" s="279">
        <f>+SUM(DI616:DN616)</f>
        <v>2.451382792</v>
      </c>
      <c r="IJ616" s="323">
        <f>IH616+II616</f>
        <v>4.3759362910000004</v>
      </c>
      <c r="IK616" s="279">
        <f>+SUM(DO616:DT616)</f>
        <v>1.2118217819999999</v>
      </c>
      <c r="IL616" s="279">
        <f>SUM(DU616:DZ616)</f>
        <v>1.4511757729999999</v>
      </c>
      <c r="IM616" s="323">
        <f t="shared" si="309"/>
        <v>2.6629975549999996</v>
      </c>
      <c r="IN616" s="1066">
        <v>1.267074316</v>
      </c>
      <c r="IO616" s="279">
        <f>IP616-IN616</f>
        <v>2.3655927969999997</v>
      </c>
      <c r="IP616" s="323">
        <f>FISC!AC820</f>
        <v>3.6326671129999997</v>
      </c>
      <c r="IQ616" s="279">
        <f t="shared" si="458"/>
        <v>1.7350064700000001</v>
      </c>
      <c r="IR616" s="279">
        <f t="shared" si="459"/>
        <v>1.0788024870000001</v>
      </c>
      <c r="IS616" s="323">
        <f t="shared" si="407"/>
        <v>2.813808957</v>
      </c>
      <c r="IT616" s="327">
        <v>1.8035484079999999</v>
      </c>
      <c r="IU616" s="279">
        <f>+IV616-IT616</f>
        <v>5.8364515919999995</v>
      </c>
      <c r="IV616" s="323">
        <f>+FISC!AE820</f>
        <v>7.64</v>
      </c>
      <c r="IW616" s="327">
        <f>(IY616/2)*0+2.18109610629445</f>
        <v>2.1810961062944498</v>
      </c>
      <c r="IX616" s="279">
        <f t="shared" si="291"/>
        <v>6.5295207818189818</v>
      </c>
      <c r="IY616" s="323">
        <f>+FISC!AF820</f>
        <v>8.7106168881134316</v>
      </c>
      <c r="IZ616" s="327">
        <f>JB616/2</f>
        <v>4.82</v>
      </c>
      <c r="JA616" s="279">
        <f t="shared" si="360"/>
        <v>4.82</v>
      </c>
      <c r="JB616" s="323">
        <f>+FISC!AG820</f>
        <v>9.64</v>
      </c>
      <c r="JC616" s="327">
        <f>JE616/2</f>
        <v>6.1252057173963141</v>
      </c>
      <c r="JD616" s="279">
        <f t="shared" si="280"/>
        <v>6.1252057173963141</v>
      </c>
      <c r="JE616" s="323">
        <f>+FISC!AH820</f>
        <v>12.250411434792628</v>
      </c>
      <c r="JF616" s="327">
        <f>JH616/2</f>
        <v>6.1252057173963141</v>
      </c>
      <c r="JG616" s="279">
        <f t="shared" si="281"/>
        <v>6.1252057173963141</v>
      </c>
      <c r="JH616" s="323">
        <f>+FISC!AI820</f>
        <v>12.250411434792628</v>
      </c>
      <c r="JI616" s="327">
        <f>JK616/2</f>
        <v>0</v>
      </c>
      <c r="JJ616" s="279">
        <f t="shared" si="282"/>
        <v>0</v>
      </c>
      <c r="JK616" s="323">
        <f>+FISC!AJ820</f>
        <v>0</v>
      </c>
      <c r="JL616" s="327">
        <f>JN616/2</f>
        <v>0</v>
      </c>
      <c r="JM616" s="279">
        <f t="shared" si="283"/>
        <v>0</v>
      </c>
      <c r="JN616" s="323">
        <f>+FISC!AK820</f>
        <v>0</v>
      </c>
      <c r="JO616" s="323"/>
      <c r="KU616" s="326"/>
      <c r="KV616" s="327"/>
    </row>
    <row r="617" spans="1:314" ht="16.2" hidden="1">
      <c r="A617" s="279"/>
      <c r="B617" s="96" t="s">
        <v>338</v>
      </c>
      <c r="D617" s="328" t="str">
        <f>+FISC!D821</f>
        <v>Peace keeping operations (incl. CAR&amp;Juba)</v>
      </c>
      <c r="E617" s="323">
        <v>0.34166000000000002</v>
      </c>
      <c r="F617" s="323">
        <v>2.0249100000000002</v>
      </c>
      <c r="G617" s="323">
        <v>0.35851</v>
      </c>
      <c r="H617" s="323">
        <v>0.16019</v>
      </c>
      <c r="I617" s="323">
        <v>0.47241000000000005</v>
      </c>
      <c r="J617" s="323">
        <v>0.66464000000000001</v>
      </c>
      <c r="K617" s="323">
        <v>2.1553200000000001</v>
      </c>
      <c r="L617" s="323">
        <v>1.6146400000000001</v>
      </c>
      <c r="M617" s="323">
        <v>2.6454299999999997</v>
      </c>
      <c r="N617" s="323">
        <v>0.22815000000000002</v>
      </c>
      <c r="O617" s="323">
        <v>0</v>
      </c>
      <c r="P617" s="323">
        <v>0</v>
      </c>
      <c r="Q617" s="323">
        <v>1.55501</v>
      </c>
      <c r="R617" s="323">
        <v>1.4464900000000001</v>
      </c>
      <c r="S617" s="323">
        <v>0.65276999999999996</v>
      </c>
      <c r="T617" s="323">
        <v>0.50612999999999997</v>
      </c>
      <c r="U617" s="323">
        <v>0.79437000000000002</v>
      </c>
      <c r="V617" s="323">
        <v>0.37542000000000003</v>
      </c>
      <c r="W617" s="323">
        <v>3.2464200000000001</v>
      </c>
      <c r="X617" s="323">
        <v>0.72238999999999998</v>
      </c>
      <c r="Y617" s="323">
        <v>0.46747000000000005</v>
      </c>
      <c r="Z617" s="323">
        <v>3.1918500000000001</v>
      </c>
      <c r="AA617" s="323">
        <v>2.2851399999999997</v>
      </c>
      <c r="AB617" s="323">
        <v>0.61675000000000002</v>
      </c>
      <c r="AC617" s="323">
        <v>0.35408000000000001</v>
      </c>
      <c r="AD617" s="323">
        <v>0.87907000000000002</v>
      </c>
      <c r="AE617" s="323">
        <v>5.3842600000000003</v>
      </c>
      <c r="AF617" s="323">
        <v>1.4432799999999999</v>
      </c>
      <c r="AG617" s="323">
        <v>0.17388000000000001</v>
      </c>
      <c r="AH617" s="323">
        <v>0.2049</v>
      </c>
      <c r="AI617" s="323">
        <v>0.09</v>
      </c>
      <c r="AJ617" s="323">
        <v>1.6800000000000002E-2</v>
      </c>
      <c r="AK617" s="323">
        <v>7.6902799999999996</v>
      </c>
      <c r="AL617" s="323">
        <v>2.5403200000000004</v>
      </c>
      <c r="AM617" s="323">
        <v>0.80814999999999992</v>
      </c>
      <c r="AN617" s="323">
        <v>2.5576999999999996</v>
      </c>
      <c r="AO617" s="323">
        <v>3.4376799999999998</v>
      </c>
      <c r="AP617" s="323">
        <v>2.75359</v>
      </c>
      <c r="AQ617" s="323">
        <v>0.63054999999999994</v>
      </c>
      <c r="AR617" s="323">
        <v>0.52929999999999999</v>
      </c>
      <c r="AS617" s="323">
        <v>0.44172</v>
      </c>
      <c r="AT617" s="323">
        <v>1.6354600000000001</v>
      </c>
      <c r="AU617" s="323">
        <v>1.1509800000000001</v>
      </c>
      <c r="AV617" s="323">
        <v>8.8292000000000002</v>
      </c>
      <c r="AW617" s="323">
        <v>0.46489999999999998</v>
      </c>
      <c r="AX617" s="323">
        <v>4.2438900000000004</v>
      </c>
      <c r="AY617" s="323">
        <v>3.28138</v>
      </c>
      <c r="AZ617" s="323">
        <v>2.3563700000000001</v>
      </c>
      <c r="BA617" s="323">
        <v>2.7272600000000002</v>
      </c>
      <c r="BB617" s="323">
        <v>3.4991300000000001</v>
      </c>
      <c r="BC617" s="323">
        <v>1.6230899999999999</v>
      </c>
      <c r="BD617" s="323">
        <v>1.7535499999999999</v>
      </c>
      <c r="BE617" s="323">
        <v>4.77623</v>
      </c>
      <c r="BF617" s="323">
        <v>0.29952000000000001</v>
      </c>
      <c r="BG617" s="323">
        <v>0</v>
      </c>
      <c r="BH617" s="323">
        <v>0</v>
      </c>
      <c r="BI617" s="323">
        <v>0</v>
      </c>
      <c r="BJ617" s="323">
        <v>4.2438900000000004</v>
      </c>
      <c r="BK617" s="323">
        <v>3.28138</v>
      </c>
      <c r="BL617" s="323">
        <v>2.3563700000000001</v>
      </c>
      <c r="BM617" s="323"/>
      <c r="BN617" s="323"/>
      <c r="BO617" s="323"/>
      <c r="BP617" s="323"/>
      <c r="BQ617" s="323"/>
      <c r="BR617" s="323"/>
      <c r="BS617" s="323">
        <v>0</v>
      </c>
      <c r="BT617" s="323">
        <v>0</v>
      </c>
      <c r="BU617" s="323">
        <v>0</v>
      </c>
      <c r="BV617" s="323"/>
      <c r="BW617" s="323"/>
      <c r="BX617" s="323"/>
      <c r="BY617" s="323"/>
      <c r="BZ617" s="323"/>
      <c r="CA617" s="323"/>
      <c r="CB617" s="323"/>
      <c r="CC617" s="323"/>
      <c r="CD617" s="323"/>
      <c r="CE617" s="324">
        <f t="shared" ref="CE617:DN617" si="475">CE293</f>
        <v>0.50456340899999996</v>
      </c>
      <c r="CF617" s="323">
        <f t="shared" si="475"/>
        <v>1.7476063589999999</v>
      </c>
      <c r="CG617" s="323">
        <f t="shared" si="475"/>
        <v>2.5078438830000001</v>
      </c>
      <c r="CH617" s="323">
        <f t="shared" si="475"/>
        <v>4.2796865100000003</v>
      </c>
      <c r="CI617" s="323">
        <f t="shared" si="475"/>
        <v>1.984140751</v>
      </c>
      <c r="CJ617" s="323">
        <f t="shared" si="475"/>
        <v>8.8832548409999994</v>
      </c>
      <c r="CK617" s="323">
        <f t="shared" si="475"/>
        <v>17.122658194</v>
      </c>
      <c r="CL617" s="323">
        <f t="shared" si="475"/>
        <v>5.8810547279999996</v>
      </c>
      <c r="CM617" s="323">
        <f t="shared" si="475"/>
        <v>2.0204277400000001</v>
      </c>
      <c r="CN617" s="323">
        <f t="shared" si="475"/>
        <v>32.840357654000002</v>
      </c>
      <c r="CO617" s="323">
        <f t="shared" si="475"/>
        <v>6.1217295199999997</v>
      </c>
      <c r="CP617" s="325">
        <f t="shared" si="475"/>
        <v>4.6989858790000003</v>
      </c>
      <c r="CQ617" s="323">
        <f t="shared" si="475"/>
        <v>3.3069556549999999</v>
      </c>
      <c r="CR617" s="323">
        <f t="shared" si="475"/>
        <v>6.4042622419999997</v>
      </c>
      <c r="CS617" s="323">
        <f t="shared" si="475"/>
        <v>16.276444960999999</v>
      </c>
      <c r="CT617" s="323">
        <f t="shared" si="475"/>
        <v>2.5757698800000002</v>
      </c>
      <c r="CU617" s="323">
        <f t="shared" si="475"/>
        <v>11.361395821</v>
      </c>
      <c r="CV617" s="323">
        <f t="shared" si="475"/>
        <v>8.9995893299999992</v>
      </c>
      <c r="CW617" s="323">
        <f t="shared" si="475"/>
        <v>4.5673420480000004</v>
      </c>
      <c r="CX617" s="323">
        <f t="shared" si="475"/>
        <v>15.067308116</v>
      </c>
      <c r="CY617" s="323">
        <f t="shared" si="475"/>
        <v>21.316740576000001</v>
      </c>
      <c r="CZ617" s="323">
        <f t="shared" si="475"/>
        <v>23.350845295999999</v>
      </c>
      <c r="DA617" s="323">
        <f t="shared" si="475"/>
        <v>13.842407558</v>
      </c>
      <c r="DB617" s="1269">
        <f t="shared" si="475"/>
        <v>2.6777527449999998</v>
      </c>
      <c r="DC617" s="323">
        <f t="shared" si="475"/>
        <v>17.737972109000001</v>
      </c>
      <c r="DD617" s="323">
        <f t="shared" si="475"/>
        <v>4.4097133079999997</v>
      </c>
      <c r="DE617" s="323">
        <f t="shared" si="475"/>
        <v>13.657923759999999</v>
      </c>
      <c r="DF617" s="323">
        <f t="shared" si="475"/>
        <v>17.11311074</v>
      </c>
      <c r="DG617" s="323">
        <f t="shared" si="475"/>
        <v>7.0939463659999999</v>
      </c>
      <c r="DH617" s="323">
        <f t="shared" si="475"/>
        <v>3.497748745</v>
      </c>
      <c r="DI617" s="323">
        <f t="shared" si="475"/>
        <v>23.813975739</v>
      </c>
      <c r="DJ617" s="323">
        <f t="shared" si="475"/>
        <v>2.792332053</v>
      </c>
      <c r="DK617" s="323">
        <f t="shared" si="475"/>
        <v>7.4808230059999996</v>
      </c>
      <c r="DL617" s="323">
        <f t="shared" si="475"/>
        <v>13.848432197999999</v>
      </c>
      <c r="DM617" s="323">
        <f t="shared" si="475"/>
        <v>9.0590336780000005</v>
      </c>
      <c r="DN617" s="325">
        <f t="shared" si="475"/>
        <v>7.3517119559999999</v>
      </c>
      <c r="DO617" s="323">
        <f t="shared" ref="DO617:EX617" si="476">DO293+DO296</f>
        <v>16.004670951000001</v>
      </c>
      <c r="DP617" s="323">
        <f t="shared" si="476"/>
        <v>22.695920107999999</v>
      </c>
      <c r="DQ617" s="323">
        <f t="shared" si="476"/>
        <v>8.208668393</v>
      </c>
      <c r="DR617" s="323">
        <f t="shared" si="476"/>
        <v>14.774478496</v>
      </c>
      <c r="DS617" s="323">
        <f t="shared" si="476"/>
        <v>12.192076373000001</v>
      </c>
      <c r="DT617" s="323">
        <f t="shared" si="476"/>
        <v>17.985155098</v>
      </c>
      <c r="DU617" s="323">
        <f t="shared" si="476"/>
        <v>12.935356780999999</v>
      </c>
      <c r="DV617" s="323">
        <f t="shared" si="476"/>
        <v>4.7429380810000001</v>
      </c>
      <c r="DW617" s="323">
        <f t="shared" si="476"/>
        <v>4.727136539</v>
      </c>
      <c r="DX617" s="323">
        <f t="shared" si="476"/>
        <v>7.9464688419999998</v>
      </c>
      <c r="DY617" s="323">
        <f t="shared" si="476"/>
        <v>5.5027702610000002</v>
      </c>
      <c r="DZ617" s="325">
        <f t="shared" si="476"/>
        <v>0.43582214100000005</v>
      </c>
      <c r="EA617" s="323">
        <f t="shared" si="476"/>
        <v>22.346125575999999</v>
      </c>
      <c r="EB617" s="323">
        <f t="shared" si="476"/>
        <v>11.357354151999999</v>
      </c>
      <c r="EC617" s="323">
        <f t="shared" si="476"/>
        <v>24.795617952000001</v>
      </c>
      <c r="ED617" s="323">
        <f t="shared" si="476"/>
        <v>28.623205810000002</v>
      </c>
      <c r="EE617" s="323">
        <f t="shared" si="476"/>
        <v>12.447309749</v>
      </c>
      <c r="EF617" s="323">
        <f t="shared" si="476"/>
        <v>10.951594114000001</v>
      </c>
      <c r="EG617" s="323">
        <f t="shared" si="476"/>
        <v>2.6845931360000002</v>
      </c>
      <c r="EH617" s="323">
        <f t="shared" si="476"/>
        <v>3.77043778</v>
      </c>
      <c r="EI617" s="323">
        <f t="shared" si="476"/>
        <v>6.889388587</v>
      </c>
      <c r="EJ617" s="323">
        <f t="shared" si="476"/>
        <v>7.4604991099999998</v>
      </c>
      <c r="EK617" s="323">
        <f t="shared" si="476"/>
        <v>11.488189165</v>
      </c>
      <c r="EL617" s="325">
        <f t="shared" si="476"/>
        <v>2.9563233879999999</v>
      </c>
      <c r="EM617" s="323">
        <f t="shared" si="476"/>
        <v>3.9337860079999998</v>
      </c>
      <c r="EN617" s="323">
        <f t="shared" si="476"/>
        <v>31.859930555999998</v>
      </c>
      <c r="EO617" s="323">
        <f t="shared" si="476"/>
        <v>12.333831847000001</v>
      </c>
      <c r="EP617" s="323">
        <f t="shared" si="476"/>
        <v>22.787231059</v>
      </c>
      <c r="EQ617" s="323">
        <f t="shared" si="476"/>
        <v>13.611195721</v>
      </c>
      <c r="ER617" s="323">
        <f t="shared" si="476"/>
        <v>11.547436397</v>
      </c>
      <c r="ES617" s="323">
        <f t="shared" si="476"/>
        <v>6.8268359780000001</v>
      </c>
      <c r="ET617" s="323">
        <f t="shared" si="476"/>
        <v>3.4691243489999999</v>
      </c>
      <c r="EU617" s="323">
        <f t="shared" si="476"/>
        <v>34.067866636000005</v>
      </c>
      <c r="EV617" s="323">
        <f t="shared" si="476"/>
        <v>32.439337769000005</v>
      </c>
      <c r="EW617" s="323">
        <f t="shared" si="476"/>
        <v>18.188683538999999</v>
      </c>
      <c r="EX617" s="325">
        <f t="shared" si="476"/>
        <v>21.537148503000001</v>
      </c>
      <c r="EY617" s="323"/>
      <c r="EZ617" s="323"/>
      <c r="FA617" s="323"/>
      <c r="FB617" s="323"/>
      <c r="FC617" s="323"/>
      <c r="FD617" s="323"/>
      <c r="FE617" s="323"/>
      <c r="FF617" s="323"/>
      <c r="FG617" s="323"/>
      <c r="FH617" s="323"/>
      <c r="FI617" s="323"/>
      <c r="FJ617" s="325"/>
      <c r="FK617" s="323"/>
      <c r="FL617" s="323"/>
      <c r="FM617" s="323"/>
      <c r="FN617" s="323"/>
      <c r="FO617" s="323"/>
      <c r="FP617" s="323"/>
      <c r="FQ617" s="323"/>
      <c r="FR617" s="323"/>
      <c r="FS617" s="323"/>
      <c r="FT617" s="323"/>
      <c r="FU617" s="323"/>
      <c r="FV617" s="323"/>
      <c r="FW617" s="323"/>
      <c r="FX617" s="323"/>
      <c r="FY617" s="323"/>
      <c r="FZ617" s="323"/>
      <c r="GA617" s="323"/>
      <c r="GB617" s="323"/>
      <c r="GC617" s="323"/>
      <c r="GD617" s="323"/>
      <c r="GE617" s="323"/>
      <c r="GF617" s="323"/>
      <c r="GG617" s="323"/>
      <c r="GH617" s="323"/>
      <c r="GI617" s="323"/>
      <c r="GJ617" s="323"/>
      <c r="GK617" s="323"/>
      <c r="GL617" s="323"/>
      <c r="GM617" s="323"/>
      <c r="GN617" s="323"/>
      <c r="GO617" s="323"/>
      <c r="GP617" s="323"/>
      <c r="GQ617" s="323"/>
      <c r="GR617" s="323"/>
      <c r="GS617" s="323"/>
      <c r="GT617" s="323"/>
      <c r="GU617" s="323"/>
      <c r="GV617" s="323"/>
      <c r="GW617" s="323"/>
      <c r="GX617" s="323"/>
      <c r="GY617" s="323"/>
      <c r="GZ617" s="323"/>
      <c r="HA617" s="323"/>
      <c r="HB617" s="323"/>
      <c r="HC617" s="323"/>
      <c r="HD617" s="323"/>
      <c r="HE617" s="323"/>
      <c r="HF617" s="323"/>
      <c r="HG617" s="323"/>
      <c r="HH617" s="323"/>
      <c r="HI617" s="323"/>
      <c r="HJ617" s="323"/>
      <c r="HK617" s="323"/>
      <c r="HL617" s="323"/>
      <c r="HM617" s="323"/>
      <c r="HN617" s="323"/>
      <c r="HO617" s="323"/>
      <c r="HP617" s="323"/>
      <c r="HQ617" s="323"/>
      <c r="HR617" s="323"/>
      <c r="HS617" s="323"/>
      <c r="HT617" s="323"/>
      <c r="HU617" s="323"/>
      <c r="HV617" s="323"/>
      <c r="HW617" s="323"/>
      <c r="HX617" s="323"/>
      <c r="HY617" s="323"/>
      <c r="HZ617" s="326"/>
      <c r="IA617" s="328" t="s">
        <v>143</v>
      </c>
      <c r="IB617" s="328"/>
      <c r="IC617" s="328"/>
      <c r="ID617" s="323">
        <f>+FISC!Z821</f>
        <v>89.34</v>
      </c>
      <c r="IE617" s="279">
        <f>SUM(CQ617:CV617)</f>
        <v>48.924417888999997</v>
      </c>
      <c r="IF617" s="279">
        <f>SUM(CW617:DB617)</f>
        <v>80.822396339000008</v>
      </c>
      <c r="IG617" s="323">
        <f>SUM(CQ617:DB617)</f>
        <v>129.74681422800001</v>
      </c>
      <c r="IH617" s="279">
        <f>+SUM(DC617:DH617)</f>
        <v>63.510415028000004</v>
      </c>
      <c r="II617" s="279">
        <f>+SUM(DI617:DN617)</f>
        <v>64.346308629999996</v>
      </c>
      <c r="IJ617" s="323">
        <f>IH617+II617</f>
        <v>127.85672365799999</v>
      </c>
      <c r="IK617" s="279">
        <f>+SUM(DO617:DT617)</f>
        <v>91.860969419000014</v>
      </c>
      <c r="IL617" s="279">
        <f>SUM(DU617:DZ617)</f>
        <v>36.290492645000008</v>
      </c>
      <c r="IM617" s="323">
        <f t="shared" si="309"/>
        <v>128.15146206400001</v>
      </c>
      <c r="IN617" s="1066">
        <v>92.022713533000001</v>
      </c>
      <c r="IO617" s="279">
        <f>(IP617-IN617)</f>
        <v>53.747924985999987</v>
      </c>
      <c r="IP617" s="323">
        <f>FISC!AC821</f>
        <v>145.77063851899999</v>
      </c>
      <c r="IQ617" s="279">
        <f t="shared" si="458"/>
        <v>96.073411587999999</v>
      </c>
      <c r="IR617" s="279">
        <f t="shared" si="459"/>
        <v>116.52899677400001</v>
      </c>
      <c r="IS617" s="323">
        <f t="shared" si="407"/>
        <v>212.60240836200001</v>
      </c>
      <c r="IT617" s="327">
        <v>92.062592945000006</v>
      </c>
      <c r="IU617" s="279">
        <f>+IV617-IT617</f>
        <v>92.207418029657816</v>
      </c>
      <c r="IV617" s="323">
        <f>+FISC!AE821</f>
        <v>184.27001097465782</v>
      </c>
      <c r="IW617" s="327">
        <f>IW571*0+62.4600720753457</f>
        <v>62.4600720753457</v>
      </c>
      <c r="IX617" s="279">
        <f t="shared" si="291"/>
        <v>73.239855294136078</v>
      </c>
      <c r="IY617" s="323">
        <f>+FISC!AF821</f>
        <v>135.69992736948177</v>
      </c>
      <c r="IZ617" s="327">
        <f>IZ571</f>
        <v>55.420986193818557</v>
      </c>
      <c r="JA617" s="279">
        <f t="shared" si="360"/>
        <v>77.067057178770455</v>
      </c>
      <c r="JB617" s="323">
        <f>+FISC!AG821</f>
        <v>132.488043372589</v>
      </c>
      <c r="JC617" s="327">
        <f>JC571</f>
        <v>60.518540563908395</v>
      </c>
      <c r="JD617" s="279">
        <f t="shared" si="280"/>
        <v>91.338955432008191</v>
      </c>
      <c r="JE617" s="323">
        <f>+FISC!AH821</f>
        <v>151.85749599591659</v>
      </c>
      <c r="JF617" s="327">
        <f>JF571</f>
        <v>70.36446678371216</v>
      </c>
      <c r="JG617" s="279">
        <f t="shared" si="281"/>
        <v>106.19913890301915</v>
      </c>
      <c r="JH617" s="323">
        <f>+FISC!AI821</f>
        <v>176.56360568673131</v>
      </c>
      <c r="JI617" s="327">
        <f>JI571</f>
        <v>0</v>
      </c>
      <c r="JJ617" s="279">
        <f t="shared" si="282"/>
        <v>0</v>
      </c>
      <c r="JK617" s="323">
        <f>+FISC!AJ821</f>
        <v>0</v>
      </c>
      <c r="JL617" s="327">
        <f>JL571</f>
        <v>0</v>
      </c>
      <c r="JM617" s="279">
        <f t="shared" si="283"/>
        <v>0</v>
      </c>
      <c r="JN617" s="323">
        <f>+FISC!AK821</f>
        <v>0</v>
      </c>
      <c r="JO617" s="323"/>
      <c r="KU617" s="326"/>
      <c r="KV617" s="327"/>
    </row>
    <row r="618" spans="1:314" hidden="1">
      <c r="A618" s="279"/>
      <c r="D618" s="328" t="s">
        <v>1030</v>
      </c>
      <c r="E618" s="323"/>
      <c r="F618" s="323"/>
      <c r="G618" s="323"/>
      <c r="H618" s="323"/>
      <c r="I618" s="323"/>
      <c r="J618" s="323"/>
      <c r="K618" s="323"/>
      <c r="L618" s="323"/>
      <c r="M618" s="323"/>
      <c r="N618" s="323"/>
      <c r="O618" s="323"/>
      <c r="P618" s="323"/>
      <c r="Q618" s="323"/>
      <c r="R618" s="323"/>
      <c r="S618" s="323"/>
      <c r="T618" s="323"/>
      <c r="U618" s="323"/>
      <c r="V618" s="323"/>
      <c r="W618" s="323"/>
      <c r="X618" s="323"/>
      <c r="Y618" s="323"/>
      <c r="Z618" s="323"/>
      <c r="AA618" s="323"/>
      <c r="AB618" s="323"/>
      <c r="AC618" s="323"/>
      <c r="AD618" s="323"/>
      <c r="AE618" s="323"/>
      <c r="AF618" s="323"/>
      <c r="AG618" s="323"/>
      <c r="AH618" s="323"/>
      <c r="AI618" s="323"/>
      <c r="AJ618" s="323"/>
      <c r="AK618" s="323"/>
      <c r="AL618" s="323"/>
      <c r="AM618" s="323"/>
      <c r="AN618" s="323"/>
      <c r="AO618" s="323"/>
      <c r="AP618" s="323"/>
      <c r="AQ618" s="323"/>
      <c r="AR618" s="323"/>
      <c r="AS618" s="323"/>
      <c r="AT618" s="323"/>
      <c r="AU618" s="323"/>
      <c r="AV618" s="323"/>
      <c r="AW618" s="323"/>
      <c r="AX618" s="323"/>
      <c r="AY618" s="323"/>
      <c r="AZ618" s="323"/>
      <c r="BA618" s="323"/>
      <c r="BB618" s="323"/>
      <c r="BC618" s="323"/>
      <c r="BD618" s="323"/>
      <c r="BE618" s="323"/>
      <c r="BF618" s="323"/>
      <c r="BG618" s="323"/>
      <c r="BH618" s="323"/>
      <c r="BI618" s="323"/>
      <c r="BJ618" s="323"/>
      <c r="BK618" s="323"/>
      <c r="BL618" s="323"/>
      <c r="BM618" s="323"/>
      <c r="BN618" s="323"/>
      <c r="BO618" s="323"/>
      <c r="BP618" s="323"/>
      <c r="BQ618" s="323"/>
      <c r="BR618" s="323"/>
      <c r="BS618" s="323"/>
      <c r="BT618" s="323"/>
      <c r="BU618" s="323"/>
      <c r="BV618" s="323"/>
      <c r="BW618" s="323"/>
      <c r="BX618" s="323"/>
      <c r="BY618" s="323"/>
      <c r="BZ618" s="323"/>
      <c r="CA618" s="323"/>
      <c r="CB618" s="323"/>
      <c r="CC618" s="323"/>
      <c r="CD618" s="323"/>
      <c r="CE618" s="324"/>
      <c r="CF618" s="323"/>
      <c r="CG618" s="323"/>
      <c r="CH618" s="323"/>
      <c r="CI618" s="323"/>
      <c r="CJ618" s="323"/>
      <c r="CK618" s="323"/>
      <c r="CL618" s="323"/>
      <c r="CM618" s="323"/>
      <c r="CN618" s="323"/>
      <c r="CO618" s="323"/>
      <c r="CP618" s="325"/>
      <c r="CQ618" s="323"/>
      <c r="CR618" s="323"/>
      <c r="CS618" s="323"/>
      <c r="CT618" s="323"/>
      <c r="CU618" s="323"/>
      <c r="CV618" s="323"/>
      <c r="CW618" s="323"/>
      <c r="CX618" s="323"/>
      <c r="CY618" s="323"/>
      <c r="CZ618" s="323"/>
      <c r="DA618" s="323"/>
      <c r="DB618" s="1269"/>
      <c r="DC618" s="323">
        <f t="shared" ref="DC618:EX618" si="477">+DC296</f>
        <v>0</v>
      </c>
      <c r="DD618" s="323">
        <f t="shared" si="477"/>
        <v>0</v>
      </c>
      <c r="DE618" s="323">
        <f t="shared" si="477"/>
        <v>0</v>
      </c>
      <c r="DF618" s="323">
        <f t="shared" si="477"/>
        <v>0</v>
      </c>
      <c r="DG618" s="323">
        <f t="shared" si="477"/>
        <v>0</v>
      </c>
      <c r="DH618" s="323">
        <f t="shared" si="477"/>
        <v>0</v>
      </c>
      <c r="DI618" s="323">
        <f t="shared" si="477"/>
        <v>7.4810920569999997</v>
      </c>
      <c r="DJ618" s="323">
        <f t="shared" si="477"/>
        <v>0</v>
      </c>
      <c r="DK618" s="323">
        <f t="shared" si="477"/>
        <v>0.93564139300000004</v>
      </c>
      <c r="DL618" s="323">
        <f t="shared" si="477"/>
        <v>10.73552164</v>
      </c>
      <c r="DM618" s="323">
        <f t="shared" si="477"/>
        <v>0</v>
      </c>
      <c r="DN618" s="325">
        <f t="shared" si="477"/>
        <v>1.600532565</v>
      </c>
      <c r="DO618" s="323">
        <f t="shared" si="477"/>
        <v>0</v>
      </c>
      <c r="DP618" s="323">
        <f t="shared" si="477"/>
        <v>0</v>
      </c>
      <c r="DQ618" s="323">
        <f t="shared" si="477"/>
        <v>0</v>
      </c>
      <c r="DR618" s="323">
        <f t="shared" si="477"/>
        <v>0</v>
      </c>
      <c r="DS618" s="323">
        <f t="shared" si="477"/>
        <v>0</v>
      </c>
      <c r="DT618" s="323">
        <f t="shared" si="477"/>
        <v>0</v>
      </c>
      <c r="DU618" s="323">
        <f t="shared" si="477"/>
        <v>0</v>
      </c>
      <c r="DV618" s="323">
        <f t="shared" si="477"/>
        <v>0</v>
      </c>
      <c r="DW618" s="323">
        <f t="shared" si="477"/>
        <v>0</v>
      </c>
      <c r="DX618" s="323">
        <f t="shared" si="477"/>
        <v>0</v>
      </c>
      <c r="DY618" s="323">
        <f t="shared" si="477"/>
        <v>0</v>
      </c>
      <c r="DZ618" s="325">
        <f t="shared" si="477"/>
        <v>0</v>
      </c>
      <c r="EA618" s="323">
        <f t="shared" si="477"/>
        <v>0</v>
      </c>
      <c r="EB618" s="323">
        <f t="shared" si="477"/>
        <v>0</v>
      </c>
      <c r="EC618" s="323">
        <f t="shared" si="477"/>
        <v>0</v>
      </c>
      <c r="ED618" s="323">
        <f t="shared" si="477"/>
        <v>0</v>
      </c>
      <c r="EE618" s="323">
        <f t="shared" si="477"/>
        <v>0</v>
      </c>
      <c r="EF618" s="323">
        <f t="shared" si="477"/>
        <v>0</v>
      </c>
      <c r="EG618" s="323">
        <f t="shared" si="477"/>
        <v>0</v>
      </c>
      <c r="EH618" s="323">
        <f t="shared" si="477"/>
        <v>0</v>
      </c>
      <c r="EI618" s="323">
        <f t="shared" si="477"/>
        <v>0</v>
      </c>
      <c r="EJ618" s="323">
        <f t="shared" si="477"/>
        <v>0</v>
      </c>
      <c r="EK618" s="323">
        <f t="shared" si="477"/>
        <v>0</v>
      </c>
      <c r="EL618" s="325">
        <f t="shared" si="477"/>
        <v>0</v>
      </c>
      <c r="EM618" s="323">
        <f t="shared" si="477"/>
        <v>0</v>
      </c>
      <c r="EN618" s="323">
        <f t="shared" si="477"/>
        <v>0</v>
      </c>
      <c r="EO618" s="323">
        <f t="shared" si="477"/>
        <v>0</v>
      </c>
      <c r="EP618" s="323">
        <f t="shared" si="477"/>
        <v>0</v>
      </c>
      <c r="EQ618" s="323">
        <f t="shared" si="477"/>
        <v>0</v>
      </c>
      <c r="ER618" s="323">
        <f t="shared" si="477"/>
        <v>0</v>
      </c>
      <c r="ES618" s="323">
        <f t="shared" si="477"/>
        <v>0</v>
      </c>
      <c r="ET618" s="323">
        <f t="shared" si="477"/>
        <v>0</v>
      </c>
      <c r="EU618" s="323">
        <f t="shared" si="477"/>
        <v>0</v>
      </c>
      <c r="EV618" s="323">
        <f t="shared" si="477"/>
        <v>0</v>
      </c>
      <c r="EW618" s="323">
        <f t="shared" si="477"/>
        <v>0</v>
      </c>
      <c r="EX618" s="325">
        <f t="shared" si="477"/>
        <v>0</v>
      </c>
      <c r="EY618" s="323"/>
      <c r="EZ618" s="323"/>
      <c r="FA618" s="323"/>
      <c r="FB618" s="323"/>
      <c r="FC618" s="323"/>
      <c r="FD618" s="323"/>
      <c r="FE618" s="323"/>
      <c r="FF618" s="323"/>
      <c r="FG618" s="323"/>
      <c r="FH618" s="323"/>
      <c r="FI618" s="323"/>
      <c r="FJ618" s="325"/>
      <c r="FK618" s="323"/>
      <c r="FL618" s="323"/>
      <c r="FM618" s="323"/>
      <c r="FN618" s="323"/>
      <c r="FO618" s="323"/>
      <c r="FP618" s="323"/>
      <c r="FQ618" s="323"/>
      <c r="FR618" s="323"/>
      <c r="FS618" s="323"/>
      <c r="FT618" s="323"/>
      <c r="FU618" s="323"/>
      <c r="FV618" s="323"/>
      <c r="FW618" s="323"/>
      <c r="FX618" s="323"/>
      <c r="FY618" s="323"/>
      <c r="FZ618" s="323"/>
      <c r="GA618" s="323"/>
      <c r="GB618" s="323"/>
      <c r="GC618" s="323"/>
      <c r="GD618" s="323"/>
      <c r="GE618" s="323"/>
      <c r="GF618" s="323"/>
      <c r="GG618" s="323"/>
      <c r="GH618" s="323"/>
      <c r="GI618" s="323"/>
      <c r="GJ618" s="323"/>
      <c r="GK618" s="323"/>
      <c r="GL618" s="323"/>
      <c r="GM618" s="323"/>
      <c r="GN618" s="323"/>
      <c r="GO618" s="323"/>
      <c r="GP618" s="323"/>
      <c r="GQ618" s="323"/>
      <c r="GR618" s="323"/>
      <c r="GS618" s="323"/>
      <c r="GT618" s="323"/>
      <c r="GU618" s="323"/>
      <c r="GV618" s="323"/>
      <c r="GW618" s="323"/>
      <c r="GX618" s="323"/>
      <c r="GY618" s="323"/>
      <c r="GZ618" s="323"/>
      <c r="HA618" s="323"/>
      <c r="HB618" s="323"/>
      <c r="HC618" s="323"/>
      <c r="HD618" s="323"/>
      <c r="HE618" s="323"/>
      <c r="HF618" s="323"/>
      <c r="HG618" s="323"/>
      <c r="HH618" s="323"/>
      <c r="HI618" s="323"/>
      <c r="HJ618" s="323"/>
      <c r="HK618" s="323"/>
      <c r="HL618" s="323"/>
      <c r="HM618" s="323"/>
      <c r="HN618" s="323"/>
      <c r="HO618" s="323"/>
      <c r="HP618" s="323"/>
      <c r="HQ618" s="323"/>
      <c r="HR618" s="323"/>
      <c r="HS618" s="323"/>
      <c r="HT618" s="323"/>
      <c r="HU618" s="323"/>
      <c r="HV618" s="323"/>
      <c r="HW618" s="323"/>
      <c r="HX618" s="323"/>
      <c r="HY618" s="323"/>
      <c r="HZ618" s="326"/>
      <c r="IA618" s="328" t="s">
        <v>1030</v>
      </c>
      <c r="IB618" s="328"/>
      <c r="IC618" s="328"/>
      <c r="ID618" s="323"/>
      <c r="IG618" s="323"/>
      <c r="IJ618" s="323"/>
      <c r="IK618" s="279">
        <f>+SUM(DO618:DT618)</f>
        <v>0</v>
      </c>
      <c r="IL618" s="279">
        <f>SUM(DU618:DZ618)</f>
        <v>0</v>
      </c>
      <c r="IM618" s="323">
        <f t="shared" si="309"/>
        <v>0</v>
      </c>
      <c r="IP618" s="323">
        <f>FISC!AC822</f>
        <v>0</v>
      </c>
      <c r="IQ618" s="279">
        <f t="shared" si="458"/>
        <v>0</v>
      </c>
      <c r="IR618" s="279">
        <f t="shared" si="459"/>
        <v>0</v>
      </c>
      <c r="IS618" s="323">
        <f t="shared" si="407"/>
        <v>0</v>
      </c>
      <c r="IT618" s="327"/>
      <c r="IU618" s="327"/>
      <c r="IV618" s="323"/>
      <c r="IW618" s="279">
        <f>IY618*JU618</f>
        <v>0</v>
      </c>
      <c r="IX618" s="279">
        <f t="shared" si="291"/>
        <v>0</v>
      </c>
      <c r="IY618" s="323"/>
      <c r="IZ618" s="279">
        <f>JB618*JU618</f>
        <v>0</v>
      </c>
      <c r="JA618" s="279">
        <f t="shared" si="360"/>
        <v>0</v>
      </c>
      <c r="JB618" s="323"/>
      <c r="JC618" s="279">
        <f>JE618*JU618</f>
        <v>0</v>
      </c>
      <c r="JD618" s="279">
        <f t="shared" si="280"/>
        <v>0</v>
      </c>
      <c r="JE618" s="323"/>
      <c r="JF618" s="279">
        <f>JH618*JU618</f>
        <v>0</v>
      </c>
      <c r="JG618" s="279">
        <f t="shared" si="281"/>
        <v>0</v>
      </c>
      <c r="JH618" s="323"/>
      <c r="JI618" s="279">
        <f>JK618*JX618</f>
        <v>0</v>
      </c>
      <c r="JJ618" s="279">
        <f t="shared" si="282"/>
        <v>0</v>
      </c>
      <c r="JK618" s="323"/>
      <c r="JL618" s="279">
        <f>JN618*KA618</f>
        <v>0</v>
      </c>
      <c r="JM618" s="279">
        <f t="shared" si="283"/>
        <v>0</v>
      </c>
      <c r="JN618" s="323"/>
      <c r="JO618" s="323"/>
      <c r="KU618" s="326"/>
      <c r="KV618" s="327"/>
    </row>
    <row r="619" spans="1:314" hidden="1">
      <c r="A619" s="279"/>
      <c r="D619" s="328" t="str">
        <f>+FISC!D823</f>
        <v xml:space="preserve">    o/w prefinancing and soldier/police bonuses</v>
      </c>
      <c r="E619" s="323"/>
      <c r="F619" s="323"/>
      <c r="G619" s="323"/>
      <c r="H619" s="323"/>
      <c r="I619" s="323"/>
      <c r="J619" s="323"/>
      <c r="K619" s="323"/>
      <c r="L619" s="323"/>
      <c r="M619" s="323"/>
      <c r="N619" s="323"/>
      <c r="O619" s="323"/>
      <c r="P619" s="323"/>
      <c r="Q619" s="323"/>
      <c r="R619" s="323"/>
      <c r="S619" s="323"/>
      <c r="T619" s="323"/>
      <c r="U619" s="323"/>
      <c r="V619" s="323"/>
      <c r="W619" s="323"/>
      <c r="X619" s="323"/>
      <c r="Y619" s="323"/>
      <c r="Z619" s="323"/>
      <c r="AA619" s="323"/>
      <c r="AB619" s="323"/>
      <c r="AC619" s="323"/>
      <c r="AD619" s="323"/>
      <c r="AE619" s="323"/>
      <c r="AF619" s="323"/>
      <c r="AG619" s="323"/>
      <c r="AH619" s="323"/>
      <c r="AI619" s="323"/>
      <c r="AJ619" s="323"/>
      <c r="AK619" s="323"/>
      <c r="AL619" s="323"/>
      <c r="AM619" s="323"/>
      <c r="AN619" s="323"/>
      <c r="AO619" s="323"/>
      <c r="AP619" s="323"/>
      <c r="AQ619" s="323"/>
      <c r="AR619" s="323"/>
      <c r="AS619" s="323"/>
      <c r="AT619" s="323"/>
      <c r="AU619" s="323"/>
      <c r="AV619" s="323"/>
      <c r="AW619" s="323"/>
      <c r="AX619" s="323"/>
      <c r="AY619" s="323"/>
      <c r="AZ619" s="323"/>
      <c r="BA619" s="323"/>
      <c r="BB619" s="323"/>
      <c r="BC619" s="323"/>
      <c r="BD619" s="323"/>
      <c r="BE619" s="323"/>
      <c r="BF619" s="323"/>
      <c r="BG619" s="323"/>
      <c r="BH619" s="323"/>
      <c r="BI619" s="323"/>
      <c r="BJ619" s="323"/>
      <c r="BK619" s="323"/>
      <c r="BL619" s="323"/>
      <c r="BM619" s="323"/>
      <c r="BN619" s="323"/>
      <c r="BO619" s="323"/>
      <c r="BP619" s="323"/>
      <c r="BQ619" s="323"/>
      <c r="BR619" s="323"/>
      <c r="BS619" s="323"/>
      <c r="BT619" s="323"/>
      <c r="BU619" s="323"/>
      <c r="BV619" s="323"/>
      <c r="BW619" s="323"/>
      <c r="BX619" s="323"/>
      <c r="BY619" s="323"/>
      <c r="BZ619" s="323"/>
      <c r="CA619" s="323"/>
      <c r="CB619" s="323"/>
      <c r="CC619" s="323"/>
      <c r="CD619" s="323"/>
      <c r="CE619" s="324"/>
      <c r="CF619" s="323"/>
      <c r="CG619" s="323"/>
      <c r="CH619" s="323"/>
      <c r="CI619" s="323"/>
      <c r="CJ619" s="323"/>
      <c r="CK619" s="323"/>
      <c r="CL619" s="323"/>
      <c r="CM619" s="323"/>
      <c r="CN619" s="323"/>
      <c r="CO619" s="323"/>
      <c r="CP619" s="325"/>
      <c r="CQ619" s="323"/>
      <c r="CR619" s="323"/>
      <c r="CS619" s="323"/>
      <c r="CT619" s="323"/>
      <c r="CU619" s="323"/>
      <c r="CV619" s="323"/>
      <c r="CW619" s="323"/>
      <c r="CX619" s="323"/>
      <c r="CY619" s="323"/>
      <c r="CZ619" s="323"/>
      <c r="DA619" s="323"/>
      <c r="DB619" s="1269"/>
      <c r="DC619" s="323"/>
      <c r="DD619" s="323"/>
      <c r="DE619" s="323"/>
      <c r="DF619" s="323"/>
      <c r="DG619" s="323"/>
      <c r="DH619" s="323"/>
      <c r="DI619" s="323"/>
      <c r="DJ619" s="323"/>
      <c r="DK619" s="323"/>
      <c r="DL619" s="323"/>
      <c r="DM619" s="323"/>
      <c r="DN619" s="325"/>
      <c r="DO619" s="323"/>
      <c r="DP619" s="323"/>
      <c r="DQ619" s="323"/>
      <c r="DR619" s="323"/>
      <c r="DS619" s="323"/>
      <c r="DT619" s="323"/>
      <c r="DU619" s="323"/>
      <c r="DV619" s="323"/>
      <c r="DW619" s="323"/>
      <c r="DX619" s="323"/>
      <c r="DY619" s="323"/>
      <c r="DZ619" s="325"/>
      <c r="EA619" s="323"/>
      <c r="EB619" s="323"/>
      <c r="EC619" s="323"/>
      <c r="ED619" s="323"/>
      <c r="EE619" s="323"/>
      <c r="EF619" s="323"/>
      <c r="EG619" s="323"/>
      <c r="EH619" s="323"/>
      <c r="EI619" s="323"/>
      <c r="EJ619" s="323"/>
      <c r="EK619" s="323"/>
      <c r="EL619" s="325"/>
      <c r="EM619" s="323"/>
      <c r="EN619" s="323"/>
      <c r="EO619" s="323"/>
      <c r="EP619" s="323"/>
      <c r="EQ619" s="323"/>
      <c r="ER619" s="323"/>
      <c r="ES619" s="323"/>
      <c r="ET619" s="323"/>
      <c r="EU619" s="323"/>
      <c r="EV619" s="323"/>
      <c r="EW619" s="323"/>
      <c r="EX619" s="325"/>
      <c r="EY619" s="323"/>
      <c r="EZ619" s="323"/>
      <c r="FA619" s="323"/>
      <c r="FB619" s="323"/>
      <c r="FC619" s="323"/>
      <c r="FD619" s="323"/>
      <c r="FE619" s="323"/>
      <c r="FF619" s="323"/>
      <c r="FG619" s="323"/>
      <c r="FH619" s="323"/>
      <c r="FI619" s="323"/>
      <c r="FJ619" s="325"/>
      <c r="FK619" s="323"/>
      <c r="FL619" s="323"/>
      <c r="FM619" s="323"/>
      <c r="FN619" s="323"/>
      <c r="FO619" s="323"/>
      <c r="FP619" s="323"/>
      <c r="FQ619" s="323"/>
      <c r="FR619" s="323"/>
      <c r="FS619" s="323"/>
      <c r="FT619" s="323"/>
      <c r="FU619" s="323"/>
      <c r="FV619" s="323"/>
      <c r="FW619" s="323"/>
      <c r="FX619" s="323"/>
      <c r="FY619" s="323"/>
      <c r="FZ619" s="323"/>
      <c r="GA619" s="323"/>
      <c r="GB619" s="323"/>
      <c r="GC619" s="323"/>
      <c r="GD619" s="323"/>
      <c r="GE619" s="323"/>
      <c r="GF619" s="323"/>
      <c r="GG619" s="323"/>
      <c r="GH619" s="323"/>
      <c r="GI619" s="323"/>
      <c r="GJ619" s="323"/>
      <c r="GK619" s="323"/>
      <c r="GL619" s="323"/>
      <c r="GM619" s="323"/>
      <c r="GN619" s="323"/>
      <c r="GO619" s="323"/>
      <c r="GP619" s="323"/>
      <c r="GQ619" s="323"/>
      <c r="GR619" s="323"/>
      <c r="GS619" s="323"/>
      <c r="GT619" s="323"/>
      <c r="GU619" s="323"/>
      <c r="GV619" s="323"/>
      <c r="GW619" s="323"/>
      <c r="GX619" s="323"/>
      <c r="GY619" s="323"/>
      <c r="GZ619" s="323"/>
      <c r="HA619" s="323"/>
      <c r="HB619" s="323"/>
      <c r="HC619" s="323"/>
      <c r="HD619" s="323"/>
      <c r="HE619" s="323"/>
      <c r="HF619" s="323"/>
      <c r="HG619" s="323"/>
      <c r="HH619" s="323"/>
      <c r="HI619" s="323"/>
      <c r="HJ619" s="323"/>
      <c r="HK619" s="323"/>
      <c r="HL619" s="323"/>
      <c r="HM619" s="323"/>
      <c r="HN619" s="323"/>
      <c r="HO619" s="323"/>
      <c r="HP619" s="323"/>
      <c r="HQ619" s="323"/>
      <c r="HR619" s="323"/>
      <c r="HS619" s="323"/>
      <c r="HT619" s="323"/>
      <c r="HU619" s="323"/>
      <c r="HV619" s="323"/>
      <c r="HW619" s="323"/>
      <c r="HX619" s="323"/>
      <c r="HY619" s="323"/>
      <c r="HZ619" s="326"/>
      <c r="IA619" s="328" t="s">
        <v>1121</v>
      </c>
      <c r="IB619" s="328"/>
      <c r="IC619" s="328"/>
      <c r="ID619" s="323"/>
      <c r="IG619" s="323"/>
      <c r="IJ619" s="323"/>
      <c r="IM619" s="323">
        <f>+IM617-IM571</f>
        <v>128.15146206400001</v>
      </c>
      <c r="IN619" s="279">
        <f>+IN617-IN571</f>
        <v>14.640923705999995</v>
      </c>
      <c r="IO619" s="279">
        <f>+IP619-IN619</f>
        <v>-14.640923705999995</v>
      </c>
      <c r="IP619" s="323">
        <f>FISC!AC823</f>
        <v>0</v>
      </c>
      <c r="IQ619" s="279">
        <f t="shared" si="458"/>
        <v>0</v>
      </c>
      <c r="IR619" s="279">
        <f t="shared" si="459"/>
        <v>0</v>
      </c>
      <c r="IS619" s="323">
        <f t="shared" si="407"/>
        <v>0</v>
      </c>
      <c r="IT619" s="279">
        <f>+IT617-IT571</f>
        <v>-3.4475451555232013</v>
      </c>
      <c r="IU619" s="279">
        <f>+IV619-IT619</f>
        <v>3.4475451555232013</v>
      </c>
      <c r="IV619" s="323">
        <f>+FISC!AE823</f>
        <v>0</v>
      </c>
      <c r="IW619" s="279">
        <f>+IW617-IW571</f>
        <v>10.100749495845712</v>
      </c>
      <c r="IX619" s="279">
        <f t="shared" si="291"/>
        <v>-10.100749495845712</v>
      </c>
      <c r="IY619" s="323">
        <f>+FISC!AF823</f>
        <v>0</v>
      </c>
      <c r="IZ619" s="279">
        <f>JB619*JU619</f>
        <v>0</v>
      </c>
      <c r="JA619" s="279">
        <f t="shared" si="360"/>
        <v>0</v>
      </c>
      <c r="JB619" s="323">
        <f>+FISC!AG823</f>
        <v>0</v>
      </c>
      <c r="JC619" s="279">
        <f>JE619*JU619</f>
        <v>0</v>
      </c>
      <c r="JD619" s="279">
        <f t="shared" si="280"/>
        <v>0</v>
      </c>
      <c r="JE619" s="323">
        <f>+FISC!AH823</f>
        <v>0</v>
      </c>
      <c r="JF619" s="279">
        <f>JH619*JU619</f>
        <v>0</v>
      </c>
      <c r="JG619" s="279">
        <f t="shared" si="281"/>
        <v>0</v>
      </c>
      <c r="JH619" s="323">
        <f>+FISC!AI823</f>
        <v>0</v>
      </c>
      <c r="JI619" s="279">
        <f>JK619*JX619</f>
        <v>0</v>
      </c>
      <c r="JJ619" s="279">
        <f t="shared" si="282"/>
        <v>0</v>
      </c>
      <c r="JK619" s="323">
        <f>+FISC!AJ823</f>
        <v>0</v>
      </c>
      <c r="JL619" s="279">
        <f>JN619*KA619</f>
        <v>0</v>
      </c>
      <c r="JM619" s="279">
        <f t="shared" si="283"/>
        <v>0</v>
      </c>
      <c r="JN619" s="323">
        <f>+FISC!AK823</f>
        <v>0</v>
      </c>
      <c r="JO619" s="323"/>
      <c r="KU619" s="326"/>
      <c r="KV619" s="327"/>
    </row>
    <row r="620" spans="1:314" hidden="1">
      <c r="A620" s="279"/>
      <c r="D620" s="328" t="s">
        <v>742</v>
      </c>
      <c r="E620" s="323"/>
      <c r="F620" s="323"/>
      <c r="G620" s="323"/>
      <c r="H620" s="323"/>
      <c r="I620" s="323"/>
      <c r="J620" s="323"/>
      <c r="K620" s="323"/>
      <c r="L620" s="323"/>
      <c r="M620" s="323"/>
      <c r="N620" s="323"/>
      <c r="O620" s="323"/>
      <c r="P620" s="323"/>
      <c r="Q620" s="323"/>
      <c r="R620" s="323"/>
      <c r="S620" s="323"/>
      <c r="T620" s="323"/>
      <c r="U620" s="323"/>
      <c r="V620" s="323"/>
      <c r="W620" s="323"/>
      <c r="X620" s="323"/>
      <c r="Y620" s="323"/>
      <c r="Z620" s="323"/>
      <c r="AA620" s="323"/>
      <c r="AB620" s="323"/>
      <c r="AC620" s="323"/>
      <c r="AD620" s="323"/>
      <c r="AE620" s="323"/>
      <c r="AF620" s="323"/>
      <c r="AG620" s="323"/>
      <c r="AH620" s="323"/>
      <c r="AI620" s="323"/>
      <c r="AJ620" s="323"/>
      <c r="AK620" s="323"/>
      <c r="AL620" s="323"/>
      <c r="AM620" s="323"/>
      <c r="AN620" s="323"/>
      <c r="AO620" s="323"/>
      <c r="AP620" s="323"/>
      <c r="AQ620" s="323"/>
      <c r="AR620" s="323"/>
      <c r="AS620" s="323"/>
      <c r="AT620" s="323"/>
      <c r="AU620" s="323"/>
      <c r="AV620" s="323"/>
      <c r="AW620" s="323"/>
      <c r="AX620" s="323"/>
      <c r="AY620" s="323"/>
      <c r="AZ620" s="323"/>
      <c r="BA620" s="323"/>
      <c r="BB620" s="323"/>
      <c r="BC620" s="323"/>
      <c r="BD620" s="323"/>
      <c r="BE620" s="323"/>
      <c r="BF620" s="323"/>
      <c r="BG620" s="323"/>
      <c r="BH620" s="323"/>
      <c r="BI620" s="323"/>
      <c r="BJ620" s="323"/>
      <c r="BK620" s="323"/>
      <c r="BL620" s="323"/>
      <c r="BM620" s="323"/>
      <c r="BN620" s="323"/>
      <c r="BO620" s="323"/>
      <c r="BP620" s="323"/>
      <c r="BQ620" s="323"/>
      <c r="BR620" s="323"/>
      <c r="BS620" s="323"/>
      <c r="BT620" s="323"/>
      <c r="BU620" s="323"/>
      <c r="BV620" s="323"/>
      <c r="BW620" s="323"/>
      <c r="BX620" s="323"/>
      <c r="BY620" s="323"/>
      <c r="BZ620" s="323"/>
      <c r="CA620" s="323"/>
      <c r="CB620" s="323"/>
      <c r="CC620" s="323"/>
      <c r="CD620" s="323"/>
      <c r="CE620" s="324"/>
      <c r="CF620" s="323"/>
      <c r="CG620" s="323"/>
      <c r="CH620" s="323"/>
      <c r="CI620" s="323"/>
      <c r="CJ620" s="323"/>
      <c r="CK620" s="323"/>
      <c r="CL620" s="323"/>
      <c r="CM620" s="323"/>
      <c r="CN620" s="323"/>
      <c r="CO620" s="323"/>
      <c r="CP620" s="325"/>
      <c r="CQ620" s="323"/>
      <c r="CR620" s="323"/>
      <c r="CS620" s="323"/>
      <c r="CT620" s="323"/>
      <c r="CU620" s="323"/>
      <c r="CV620" s="323"/>
      <c r="CW620" s="323"/>
      <c r="CX620" s="323"/>
      <c r="CY620" s="323"/>
      <c r="CZ620" s="323"/>
      <c r="DA620" s="323"/>
      <c r="DB620" s="1269"/>
      <c r="DC620" s="323"/>
      <c r="DD620" s="323"/>
      <c r="DE620" s="323"/>
      <c r="DF620" s="323"/>
      <c r="DG620" s="323"/>
      <c r="DH620" s="323"/>
      <c r="DI620" s="323"/>
      <c r="DJ620" s="323"/>
      <c r="DK620" s="323"/>
      <c r="DL620" s="323"/>
      <c r="DM620" s="323"/>
      <c r="DN620" s="325"/>
      <c r="DO620" s="323"/>
      <c r="DP620" s="323"/>
      <c r="DQ620" s="323"/>
      <c r="DR620" s="323"/>
      <c r="DS620" s="323"/>
      <c r="DT620" s="323"/>
      <c r="DU620" s="323"/>
      <c r="DV620" s="323"/>
      <c r="DW620" s="323"/>
      <c r="DX620" s="323"/>
      <c r="DY620" s="323"/>
      <c r="DZ620" s="325"/>
      <c r="EA620" s="323"/>
      <c r="EB620" s="323"/>
      <c r="EC620" s="323"/>
      <c r="ED620" s="323"/>
      <c r="EE620" s="323"/>
      <c r="EF620" s="323"/>
      <c r="EG620" s="323"/>
      <c r="EH620" s="323"/>
      <c r="EI620" s="323"/>
      <c r="EJ620" s="323"/>
      <c r="EK620" s="323"/>
      <c r="EL620" s="325"/>
      <c r="EM620" s="323"/>
      <c r="EN620" s="323"/>
      <c r="EO620" s="323"/>
      <c r="EP620" s="323"/>
      <c r="EQ620" s="323"/>
      <c r="ER620" s="323"/>
      <c r="ES620" s="323"/>
      <c r="ET620" s="323"/>
      <c r="EU620" s="323"/>
      <c r="EV620" s="323"/>
      <c r="EW620" s="323"/>
      <c r="EX620" s="325"/>
      <c r="EY620" s="323"/>
      <c r="EZ620" s="323"/>
      <c r="FA620" s="323"/>
      <c r="FB620" s="323"/>
      <c r="FC620" s="323"/>
      <c r="FD620" s="323"/>
      <c r="FE620" s="323"/>
      <c r="FF620" s="323"/>
      <c r="FG620" s="323"/>
      <c r="FH620" s="323"/>
      <c r="FI620" s="323"/>
      <c r="FJ620" s="325"/>
      <c r="FK620" s="323"/>
      <c r="FL620" s="323"/>
      <c r="FM620" s="323"/>
      <c r="FN620" s="323"/>
      <c r="FO620" s="323"/>
      <c r="FP620" s="323"/>
      <c r="FQ620" s="323"/>
      <c r="FR620" s="323"/>
      <c r="FS620" s="323"/>
      <c r="FT620" s="323"/>
      <c r="FU620" s="323"/>
      <c r="FV620" s="323"/>
      <c r="FW620" s="323"/>
      <c r="FX620" s="323"/>
      <c r="FY620" s="323"/>
      <c r="FZ620" s="323"/>
      <c r="GA620" s="323"/>
      <c r="GB620" s="323"/>
      <c r="GC620" s="323"/>
      <c r="GD620" s="323"/>
      <c r="GE620" s="323"/>
      <c r="GF620" s="323"/>
      <c r="GG620" s="323"/>
      <c r="GH620" s="323"/>
      <c r="GI620" s="323"/>
      <c r="GJ620" s="323"/>
      <c r="GK620" s="323"/>
      <c r="GL620" s="323"/>
      <c r="GM620" s="323"/>
      <c r="GN620" s="323"/>
      <c r="GO620" s="323"/>
      <c r="GP620" s="323"/>
      <c r="GQ620" s="323"/>
      <c r="GR620" s="323"/>
      <c r="GS620" s="323"/>
      <c r="GT620" s="323"/>
      <c r="GU620" s="323"/>
      <c r="GV620" s="323"/>
      <c r="GW620" s="323"/>
      <c r="GX620" s="323"/>
      <c r="GY620" s="323"/>
      <c r="GZ620" s="323"/>
      <c r="HA620" s="323"/>
      <c r="HB620" s="323"/>
      <c r="HC620" s="323"/>
      <c r="HD620" s="323"/>
      <c r="HE620" s="323"/>
      <c r="HF620" s="323"/>
      <c r="HG620" s="323"/>
      <c r="HH620" s="323"/>
      <c r="HI620" s="323"/>
      <c r="HJ620" s="323"/>
      <c r="HK620" s="323"/>
      <c r="HL620" s="323"/>
      <c r="HM620" s="323"/>
      <c r="HN620" s="323"/>
      <c r="HO620" s="323"/>
      <c r="HP620" s="323"/>
      <c r="HQ620" s="323"/>
      <c r="HR620" s="323"/>
      <c r="HS620" s="323"/>
      <c r="HT620" s="323"/>
      <c r="HU620" s="323"/>
      <c r="HV620" s="323"/>
      <c r="HW620" s="323"/>
      <c r="HX620" s="323"/>
      <c r="HY620" s="323"/>
      <c r="HZ620" s="326"/>
      <c r="IA620" s="328" t="s">
        <v>742</v>
      </c>
      <c r="IB620" s="328"/>
      <c r="IC620" s="328"/>
      <c r="ID620" s="323"/>
      <c r="IG620" s="323"/>
      <c r="IJ620" s="323"/>
      <c r="IL620" s="279">
        <f>SUM(DU620:DZ620)</f>
        <v>0</v>
      </c>
      <c r="IM620" s="323">
        <f t="shared" si="309"/>
        <v>0</v>
      </c>
      <c r="IP620" s="323">
        <f>FISC!AC824</f>
        <v>0</v>
      </c>
      <c r="IQ620" s="279">
        <f t="shared" si="458"/>
        <v>0</v>
      </c>
      <c r="IR620" s="279">
        <f t="shared" si="459"/>
        <v>0</v>
      </c>
      <c r="IS620" s="323">
        <f t="shared" si="407"/>
        <v>0</v>
      </c>
      <c r="IT620" s="327"/>
      <c r="IU620" s="327"/>
      <c r="IV620" s="323"/>
      <c r="IW620" s="279">
        <f>IY620*JU620</f>
        <v>0</v>
      </c>
      <c r="IX620" s="279">
        <f t="shared" si="291"/>
        <v>0</v>
      </c>
      <c r="IY620" s="323"/>
      <c r="IZ620" s="279">
        <f>JB620*JU620</f>
        <v>0</v>
      </c>
      <c r="JA620" s="279">
        <f t="shared" si="360"/>
        <v>0</v>
      </c>
      <c r="JB620" s="323"/>
      <c r="JC620" s="279">
        <f>JE620*JU620</f>
        <v>0</v>
      </c>
      <c r="JD620" s="279">
        <f t="shared" si="280"/>
        <v>0</v>
      </c>
      <c r="JE620" s="323"/>
      <c r="JF620" s="279">
        <f>JH620*JU620</f>
        <v>0</v>
      </c>
      <c r="JG620" s="279">
        <f t="shared" si="281"/>
        <v>0</v>
      </c>
      <c r="JH620" s="323"/>
      <c r="JI620" s="279">
        <f>JK620*JX620</f>
        <v>0</v>
      </c>
      <c r="JJ620" s="279">
        <f t="shared" si="282"/>
        <v>0</v>
      </c>
      <c r="JK620" s="323"/>
      <c r="JL620" s="279">
        <f>JN620*KA620</f>
        <v>0</v>
      </c>
      <c r="JM620" s="279">
        <f t="shared" si="283"/>
        <v>0</v>
      </c>
      <c r="JN620" s="323"/>
      <c r="JO620" s="323"/>
      <c r="KU620" s="326"/>
      <c r="KV620" s="327"/>
    </row>
    <row r="621" spans="1:314" hidden="1">
      <c r="A621" s="279"/>
      <c r="B621" s="96" t="s">
        <v>338</v>
      </c>
      <c r="D621" s="322" t="str">
        <f>+FISC!D825</f>
        <v>Capital expenditure</v>
      </c>
      <c r="E621" s="323">
        <f t="shared" ref="E621:BP621" si="478">E622+E628</f>
        <v>3.5838200000000002</v>
      </c>
      <c r="F621" s="323">
        <f t="shared" si="478"/>
        <v>6.07545</v>
      </c>
      <c r="G621" s="323">
        <f t="shared" si="478"/>
        <v>31.038969999999999</v>
      </c>
      <c r="H621" s="323">
        <f t="shared" si="478"/>
        <v>7.6555400000000002</v>
      </c>
      <c r="I621" s="323">
        <f t="shared" si="478"/>
        <v>2.6138300000000001</v>
      </c>
      <c r="J621" s="323">
        <f t="shared" si="478"/>
        <v>29.6614</v>
      </c>
      <c r="K621" s="323">
        <f t="shared" si="478"/>
        <v>14.90522</v>
      </c>
      <c r="L621" s="323">
        <f t="shared" si="478"/>
        <v>4.9962</v>
      </c>
      <c r="M621" s="323">
        <f t="shared" si="478"/>
        <v>35.02093</v>
      </c>
      <c r="N621" s="323">
        <f t="shared" si="478"/>
        <v>4.1402399999999995</v>
      </c>
      <c r="O621" s="323">
        <f t="shared" si="478"/>
        <v>12.62506</v>
      </c>
      <c r="P621" s="323">
        <f t="shared" si="478"/>
        <v>33.861910000000002</v>
      </c>
      <c r="Q621" s="323">
        <f t="shared" si="478"/>
        <v>6.6938699999999995</v>
      </c>
      <c r="R621" s="323">
        <f t="shared" si="478"/>
        <v>6.6217100000000002</v>
      </c>
      <c r="S621" s="323">
        <f t="shared" si="478"/>
        <v>28.064729999999997</v>
      </c>
      <c r="T621" s="323">
        <f t="shared" si="478"/>
        <v>13.2995</v>
      </c>
      <c r="U621" s="323">
        <f t="shared" si="478"/>
        <v>5.5477400000000001</v>
      </c>
      <c r="V621" s="323">
        <f t="shared" si="478"/>
        <v>35.823459999999997</v>
      </c>
      <c r="W621" s="323">
        <f t="shared" si="478"/>
        <v>11.525399999999999</v>
      </c>
      <c r="X621" s="323">
        <f t="shared" si="478"/>
        <v>11.975370000000002</v>
      </c>
      <c r="Y621" s="323">
        <f t="shared" si="478"/>
        <v>44.228030000000004</v>
      </c>
      <c r="Z621" s="323">
        <f t="shared" si="478"/>
        <v>28.940909999999999</v>
      </c>
      <c r="AA621" s="323">
        <f t="shared" si="478"/>
        <v>6.9695499999999999</v>
      </c>
      <c r="AB621" s="323">
        <f t="shared" si="478"/>
        <v>68.065079999999995</v>
      </c>
      <c r="AC621" s="323">
        <f t="shared" si="478"/>
        <v>8.5546699999999998</v>
      </c>
      <c r="AD621" s="323">
        <f t="shared" si="478"/>
        <v>8.9667000000000012</v>
      </c>
      <c r="AE621" s="323">
        <f t="shared" si="478"/>
        <v>56.542300000000004</v>
      </c>
      <c r="AF621" s="323">
        <f t="shared" si="478"/>
        <v>12.328989999999999</v>
      </c>
      <c r="AG621" s="323">
        <f t="shared" si="478"/>
        <v>14.137729999999999</v>
      </c>
      <c r="AH621" s="323">
        <f t="shared" si="478"/>
        <v>33.673471012000007</v>
      </c>
      <c r="AI621" s="323">
        <f t="shared" si="478"/>
        <v>6.9567500000000004</v>
      </c>
      <c r="AJ621" s="323">
        <f t="shared" si="478"/>
        <v>7.8944300000000007</v>
      </c>
      <c r="AK621" s="323">
        <f t="shared" si="478"/>
        <v>48.635571945000009</v>
      </c>
      <c r="AL621" s="323">
        <f t="shared" si="478"/>
        <v>20.7941</v>
      </c>
      <c r="AM621" s="323">
        <f t="shared" si="478"/>
        <v>21.200900000000001</v>
      </c>
      <c r="AN621" s="323">
        <f t="shared" si="478"/>
        <v>55.547347470999995</v>
      </c>
      <c r="AO621" s="323">
        <f t="shared" si="478"/>
        <v>15.105780000000001</v>
      </c>
      <c r="AP621" s="323">
        <f t="shared" si="478"/>
        <v>13.18632</v>
      </c>
      <c r="AQ621" s="323">
        <f t="shared" si="478"/>
        <v>39.436275601999995</v>
      </c>
      <c r="AR621" s="323">
        <f t="shared" si="478"/>
        <v>21.793560000000003</v>
      </c>
      <c r="AS621" s="323">
        <f t="shared" si="478"/>
        <v>18.903689999999997</v>
      </c>
      <c r="AT621" s="323">
        <f t="shared" si="478"/>
        <v>46.176469328000003</v>
      </c>
      <c r="AU621" s="323">
        <f t="shared" si="478"/>
        <v>14.740819999999999</v>
      </c>
      <c r="AV621" s="323">
        <f t="shared" si="478"/>
        <v>13.9329</v>
      </c>
      <c r="AW621" s="323">
        <f t="shared" si="478"/>
        <v>54.321416559999996</v>
      </c>
      <c r="AX621" s="323">
        <f t="shared" si="478"/>
        <v>20.9</v>
      </c>
      <c r="AY621" s="323">
        <f t="shared" si="478"/>
        <v>15.603999999999999</v>
      </c>
      <c r="AZ621" s="323">
        <f t="shared" si="478"/>
        <v>75.994112141000002</v>
      </c>
      <c r="BA621" s="323">
        <f t="shared" si="478"/>
        <v>22.111249999999998</v>
      </c>
      <c r="BB621" s="323">
        <f t="shared" si="478"/>
        <v>11.667159999999999</v>
      </c>
      <c r="BC621" s="323">
        <f t="shared" si="478"/>
        <v>95.749857354999989</v>
      </c>
      <c r="BD621" s="323">
        <f t="shared" si="478"/>
        <v>22.31202</v>
      </c>
      <c r="BE621" s="323">
        <f t="shared" si="478"/>
        <v>33.052900000000001</v>
      </c>
      <c r="BF621" s="323">
        <f t="shared" si="478"/>
        <v>57.496123629000003</v>
      </c>
      <c r="BG621" s="323">
        <f t="shared" si="478"/>
        <v>6.3758999999999997</v>
      </c>
      <c r="BH621" s="323">
        <f t="shared" si="478"/>
        <v>19.89939</v>
      </c>
      <c r="BI621" s="323">
        <f t="shared" si="478"/>
        <v>57.363894709</v>
      </c>
      <c r="BJ621" s="323">
        <f t="shared" si="478"/>
        <v>33.236025999999995</v>
      </c>
      <c r="BK621" s="323">
        <f t="shared" si="478"/>
        <v>17.411060000000003</v>
      </c>
      <c r="BL621" s="323">
        <f t="shared" si="478"/>
        <v>79.907373401000001</v>
      </c>
      <c r="BM621" s="323">
        <f t="shared" si="478"/>
        <v>21.286360000000002</v>
      </c>
      <c r="BN621" s="323">
        <f t="shared" si="478"/>
        <v>12.03393</v>
      </c>
      <c r="BO621" s="323">
        <f t="shared" si="478"/>
        <v>83.532420236999997</v>
      </c>
      <c r="BP621" s="323">
        <f t="shared" si="478"/>
        <v>31.707180000000001</v>
      </c>
      <c r="BQ621" s="323">
        <f t="shared" ref="BQ621:DN621" si="479">BQ622+BQ628</f>
        <v>46.85219</v>
      </c>
      <c r="BR621" s="323">
        <f t="shared" si="479"/>
        <v>85.686844824000005</v>
      </c>
      <c r="BS621" s="323">
        <f t="shared" si="479"/>
        <v>8.992799999999999</v>
      </c>
      <c r="BT621" s="323">
        <f t="shared" si="479"/>
        <v>14.1875</v>
      </c>
      <c r="BU621" s="323">
        <f t="shared" si="479"/>
        <v>96.263000000000005</v>
      </c>
      <c r="BV621" s="323">
        <f t="shared" si="479"/>
        <v>38.280104581000003</v>
      </c>
      <c r="BW621" s="323">
        <f t="shared" si="479"/>
        <v>19.21824221</v>
      </c>
      <c r="BX621" s="323">
        <f t="shared" si="479"/>
        <v>3.4928711909999999</v>
      </c>
      <c r="BY621" s="323">
        <f t="shared" si="479"/>
        <v>16.503664744000002</v>
      </c>
      <c r="BZ621" s="323">
        <f t="shared" si="479"/>
        <v>16.912173433</v>
      </c>
      <c r="CA621" s="323">
        <f t="shared" si="479"/>
        <v>14.65821757</v>
      </c>
      <c r="CB621" s="323">
        <f t="shared" si="479"/>
        <v>45.488008786000002</v>
      </c>
      <c r="CC621" s="323">
        <f t="shared" si="479"/>
        <v>30.685310925</v>
      </c>
      <c r="CD621" s="323">
        <f t="shared" si="479"/>
        <v>20.505813729</v>
      </c>
      <c r="CE621" s="324">
        <f t="shared" si="479"/>
        <v>41.2617130557717</v>
      </c>
      <c r="CF621" s="323">
        <f t="shared" si="479"/>
        <v>37.17538064973381</v>
      </c>
      <c r="CG621" s="323">
        <f t="shared" si="479"/>
        <v>53.445989574294494</v>
      </c>
      <c r="CH621" s="323">
        <f t="shared" si="479"/>
        <v>82.420480696949596</v>
      </c>
      <c r="CI621" s="323">
        <f t="shared" si="479"/>
        <v>60.886008184135449</v>
      </c>
      <c r="CJ621" s="323">
        <f t="shared" si="479"/>
        <v>42.579808483000946</v>
      </c>
      <c r="CK621" s="323">
        <f t="shared" si="479"/>
        <v>56.982814007968308</v>
      </c>
      <c r="CL621" s="323">
        <f t="shared" si="479"/>
        <v>40.9527558704347</v>
      </c>
      <c r="CM621" s="323">
        <f t="shared" si="479"/>
        <v>51.482509808918991</v>
      </c>
      <c r="CN621" s="323">
        <f t="shared" si="479"/>
        <v>88.999417981925205</v>
      </c>
      <c r="CO621" s="323">
        <f t="shared" si="479"/>
        <v>88.940306068884169</v>
      </c>
      <c r="CP621" s="325">
        <f t="shared" si="479"/>
        <v>67.403896435661594</v>
      </c>
      <c r="CQ621" s="323">
        <f t="shared" si="479"/>
        <v>41.366723220573093</v>
      </c>
      <c r="CR621" s="323">
        <f t="shared" si="479"/>
        <v>55.946810373654017</v>
      </c>
      <c r="CS621" s="323">
        <f t="shared" si="479"/>
        <v>54.704821243129892</v>
      </c>
      <c r="CT621" s="323">
        <f t="shared" si="479"/>
        <v>50.93435579744277</v>
      </c>
      <c r="CU621" s="323">
        <f t="shared" si="479"/>
        <v>56.903799219663341</v>
      </c>
      <c r="CV621" s="323">
        <f t="shared" si="479"/>
        <v>54.665931141066608</v>
      </c>
      <c r="CW621" s="323">
        <f t="shared" si="479"/>
        <v>60.370438979920124</v>
      </c>
      <c r="CX621" s="323">
        <f t="shared" si="479"/>
        <v>50.503025629944176</v>
      </c>
      <c r="CY621" s="323">
        <f t="shared" si="479"/>
        <v>72.544012313423679</v>
      </c>
      <c r="CZ621" s="323">
        <f t="shared" si="479"/>
        <v>95.416221885328582</v>
      </c>
      <c r="DA621" s="323">
        <f t="shared" si="479"/>
        <v>76.826238681237285</v>
      </c>
      <c r="DB621" s="1269">
        <f t="shared" si="479"/>
        <v>66.733964417791114</v>
      </c>
      <c r="DC621" s="323">
        <f t="shared" si="479"/>
        <v>30.36882835846157</v>
      </c>
      <c r="DD621" s="323">
        <f t="shared" si="479"/>
        <v>53.546315360813068</v>
      </c>
      <c r="DE621" s="323">
        <f t="shared" si="479"/>
        <v>67.721006700445358</v>
      </c>
      <c r="DF621" s="323">
        <f t="shared" si="479"/>
        <v>66.419180079744535</v>
      </c>
      <c r="DG621" s="323">
        <f t="shared" si="479"/>
        <v>42.704010729777025</v>
      </c>
      <c r="DH621" s="323">
        <f t="shared" si="479"/>
        <v>65.649444742985438</v>
      </c>
      <c r="DI621" s="323">
        <f t="shared" si="479"/>
        <v>73.345099980724569</v>
      </c>
      <c r="DJ621" s="323">
        <f t="shared" si="479"/>
        <v>54.263418018250981</v>
      </c>
      <c r="DK621" s="323">
        <f t="shared" si="479"/>
        <v>53.286854318475463</v>
      </c>
      <c r="DL621" s="323">
        <f t="shared" si="479"/>
        <v>81.7123276946609</v>
      </c>
      <c r="DM621" s="323">
        <f t="shared" si="479"/>
        <v>88.639935823553401</v>
      </c>
      <c r="DN621" s="325">
        <f t="shared" si="479"/>
        <v>41.029110838740706</v>
      </c>
      <c r="DO621" s="323">
        <f t="shared" ref="DO621:DT621" si="480">DO622+DO628</f>
        <v>32.377517218573232</v>
      </c>
      <c r="DP621" s="323">
        <f t="shared" si="480"/>
        <v>41.617956931368916</v>
      </c>
      <c r="DQ621" s="323">
        <f t="shared" si="480"/>
        <v>59.315382764009399</v>
      </c>
      <c r="DR621" s="323">
        <f t="shared" si="480"/>
        <v>45.921103915391427</v>
      </c>
      <c r="DS621" s="323">
        <f t="shared" si="480"/>
        <v>51.287430824213004</v>
      </c>
      <c r="DT621" s="323">
        <f t="shared" si="480"/>
        <v>35.131086007230998</v>
      </c>
      <c r="DU621" s="323">
        <f t="shared" ref="DU621:DZ621" si="481">DU622+DU628</f>
        <v>82.347461141042004</v>
      </c>
      <c r="DV621" s="323">
        <f t="shared" si="481"/>
        <v>40.334194605175</v>
      </c>
      <c r="DW621" s="323">
        <f t="shared" si="481"/>
        <v>39.291815424366995</v>
      </c>
      <c r="DX621" s="323">
        <f t="shared" si="481"/>
        <v>94.041156862125376</v>
      </c>
      <c r="DY621" s="323">
        <f t="shared" si="481"/>
        <v>68.390384381072991</v>
      </c>
      <c r="DZ621" s="325">
        <f t="shared" si="481"/>
        <v>29.162769265465002</v>
      </c>
      <c r="EA621" s="323">
        <f t="shared" ref="EA621:EK621" si="482">EA622+EA628</f>
        <v>29.74610792851476</v>
      </c>
      <c r="EB621" s="323">
        <f t="shared" si="482"/>
        <v>83.392773223194737</v>
      </c>
      <c r="EC621" s="323">
        <f t="shared" si="482"/>
        <v>66.037125114248497</v>
      </c>
      <c r="ED621" s="323">
        <f t="shared" si="482"/>
        <v>68.424265438118923</v>
      </c>
      <c r="EE621" s="323">
        <f t="shared" si="482"/>
        <v>65.760395582996324</v>
      </c>
      <c r="EF621" s="323">
        <f t="shared" si="482"/>
        <v>51.027153608116762</v>
      </c>
      <c r="EG621" s="323">
        <f t="shared" si="482"/>
        <v>111.22428842761556</v>
      </c>
      <c r="EH621" s="323">
        <f t="shared" si="482"/>
        <v>51.651596861007533</v>
      </c>
      <c r="EI621" s="323">
        <f t="shared" si="482"/>
        <v>70.456190406957916</v>
      </c>
      <c r="EJ621" s="323">
        <f t="shared" si="482"/>
        <v>58.932149240920964</v>
      </c>
      <c r="EK621" s="323">
        <f t="shared" si="482"/>
        <v>67.698260944357017</v>
      </c>
      <c r="EL621" s="325">
        <f t="shared" ref="EL621:ER621" si="483">EL622+EL628</f>
        <v>77.869593611111014</v>
      </c>
      <c r="EM621" s="323">
        <f t="shared" si="483"/>
        <v>54.082909447094849</v>
      </c>
      <c r="EN621" s="323">
        <f t="shared" si="483"/>
        <v>50.661687483356147</v>
      </c>
      <c r="EO621" s="323">
        <f t="shared" si="483"/>
        <v>81.447976323215002</v>
      </c>
      <c r="EP621" s="323">
        <f t="shared" si="483"/>
        <v>82.399344601066645</v>
      </c>
      <c r="EQ621" s="323">
        <f t="shared" si="483"/>
        <v>68.17074526548501</v>
      </c>
      <c r="ER621" s="323">
        <f t="shared" si="483"/>
        <v>117.32610859963199</v>
      </c>
      <c r="ES621" s="323">
        <f t="shared" ref="ES621:EX621" si="484">ES622+ES628</f>
        <v>90.763613404719564</v>
      </c>
      <c r="ET621" s="323">
        <f t="shared" si="484"/>
        <v>89.471924874890163</v>
      </c>
      <c r="EU621" s="323">
        <f t="shared" si="484"/>
        <v>91.14898913683291</v>
      </c>
      <c r="EV621" s="323">
        <f t="shared" si="484"/>
        <v>124.33965920356664</v>
      </c>
      <c r="EW621" s="323">
        <f t="shared" si="484"/>
        <v>116.55099780207726</v>
      </c>
      <c r="EX621" s="325">
        <f t="shared" si="484"/>
        <v>105.34528936984552</v>
      </c>
      <c r="EY621" s="323"/>
      <c r="EZ621" s="323"/>
      <c r="FA621" s="323"/>
      <c r="FB621" s="323"/>
      <c r="FC621" s="323"/>
      <c r="FD621" s="323"/>
      <c r="FE621" s="323"/>
      <c r="FF621" s="323"/>
      <c r="FG621" s="323"/>
      <c r="FH621" s="323"/>
      <c r="FI621" s="323"/>
      <c r="FJ621" s="325"/>
      <c r="FK621" s="323"/>
      <c r="FL621" s="323"/>
      <c r="FM621" s="323"/>
      <c r="FN621" s="323"/>
      <c r="FO621" s="323"/>
      <c r="FP621" s="323"/>
      <c r="FQ621" s="323"/>
      <c r="FR621" s="323"/>
      <c r="FS621" s="323"/>
      <c r="FT621" s="323"/>
      <c r="FU621" s="323"/>
      <c r="FV621" s="323"/>
      <c r="FW621" s="323"/>
      <c r="FX621" s="323"/>
      <c r="FY621" s="323"/>
      <c r="FZ621" s="323"/>
      <c r="GA621" s="323"/>
      <c r="GB621" s="323"/>
      <c r="GC621" s="323"/>
      <c r="GD621" s="323"/>
      <c r="GE621" s="323"/>
      <c r="GF621" s="323"/>
      <c r="GG621" s="323"/>
      <c r="GH621" s="323"/>
      <c r="GI621" s="323"/>
      <c r="GJ621" s="323"/>
      <c r="GK621" s="323"/>
      <c r="GL621" s="323"/>
      <c r="GM621" s="323"/>
      <c r="GN621" s="323"/>
      <c r="GO621" s="323"/>
      <c r="GP621" s="323"/>
      <c r="GQ621" s="323"/>
      <c r="GR621" s="323"/>
      <c r="GS621" s="323"/>
      <c r="GT621" s="323"/>
      <c r="GU621" s="323"/>
      <c r="GV621" s="323"/>
      <c r="GW621" s="323"/>
      <c r="GX621" s="323"/>
      <c r="GY621" s="323"/>
      <c r="GZ621" s="323"/>
      <c r="HA621" s="323"/>
      <c r="HB621" s="323"/>
      <c r="HC621" s="323"/>
      <c r="HD621" s="323"/>
      <c r="HE621" s="323"/>
      <c r="HF621" s="323"/>
      <c r="HG621" s="323"/>
      <c r="HH621" s="323"/>
      <c r="HI621" s="323"/>
      <c r="HJ621" s="323"/>
      <c r="HK621" s="323"/>
      <c r="HL621" s="323"/>
      <c r="HM621" s="323"/>
      <c r="HN621" s="323"/>
      <c r="HO621" s="323"/>
      <c r="HP621" s="323"/>
      <c r="HQ621" s="323"/>
      <c r="HR621" s="323"/>
      <c r="HS621" s="323"/>
      <c r="HT621" s="323"/>
      <c r="HU621" s="323"/>
      <c r="HV621" s="323"/>
      <c r="HW621" s="323"/>
      <c r="HX621" s="323"/>
      <c r="HY621" s="323"/>
      <c r="HZ621" s="326"/>
      <c r="IA621" s="322" t="s">
        <v>144</v>
      </c>
      <c r="IB621" s="322"/>
      <c r="IC621" s="322"/>
      <c r="ID621" s="323">
        <f>+FISC!Z825</f>
        <v>769.8</v>
      </c>
      <c r="IE621" s="279">
        <f t="shared" ref="IE621:IL621" si="485">IE622+IE628</f>
        <v>314.52244099552973</v>
      </c>
      <c r="IF621" s="279">
        <f t="shared" si="485"/>
        <v>422.39390190764493</v>
      </c>
      <c r="IG621" s="323">
        <f t="shared" si="485"/>
        <v>736.91634290317461</v>
      </c>
      <c r="IH621" s="279">
        <f t="shared" si="485"/>
        <v>326.40878597222695</v>
      </c>
      <c r="II621" s="279">
        <f t="shared" si="485"/>
        <v>392.27674667440601</v>
      </c>
      <c r="IJ621" s="323">
        <f t="shared" si="485"/>
        <v>718.68553264663296</v>
      </c>
      <c r="IK621" s="279">
        <f t="shared" si="485"/>
        <v>265.65047766078698</v>
      </c>
      <c r="IL621" s="279">
        <f t="shared" si="485"/>
        <v>353.56778167924733</v>
      </c>
      <c r="IM621" s="323">
        <f t="shared" si="309"/>
        <v>619.21825934003436</v>
      </c>
      <c r="IN621" s="279">
        <f>IN622+IN628</f>
        <v>364.38782089518998</v>
      </c>
      <c r="IO621" s="279">
        <f>IO622+IO628</f>
        <v>485.83207949197003</v>
      </c>
      <c r="IP621" s="323">
        <f>FISC!AC825</f>
        <v>850.21990038716001</v>
      </c>
      <c r="IQ621" s="279">
        <f t="shared" si="458"/>
        <v>454.08877171984966</v>
      </c>
      <c r="IR621" s="279">
        <f t="shared" si="459"/>
        <v>617.62047379193211</v>
      </c>
      <c r="IS621" s="323">
        <f t="shared" si="407"/>
        <v>1071.7092455117818</v>
      </c>
      <c r="IT621" s="279" t="e">
        <f>IT622+IT628</f>
        <v>#REF!</v>
      </c>
      <c r="IU621" s="279" t="e">
        <f>IU622+IU628</f>
        <v>#REF!</v>
      </c>
      <c r="IV621" s="323">
        <f>+FISC!AE825</f>
        <v>1294.7440302694517</v>
      </c>
      <c r="IW621" s="279">
        <f>IW622+IW628</f>
        <v>593.00785851533988</v>
      </c>
      <c r="IX621" s="279">
        <f t="shared" ref="IX621:IX688" si="486">IY621-IW621</f>
        <v>547.41109579309477</v>
      </c>
      <c r="IY621" s="323">
        <f>+FISC!AF825</f>
        <v>1140.4189543084346</v>
      </c>
      <c r="IZ621" s="279">
        <f>IZ622+IZ628</f>
        <v>713.46433742239708</v>
      </c>
      <c r="JA621" s="279">
        <f t="shared" si="360"/>
        <v>611.62464130294745</v>
      </c>
      <c r="JB621" s="323">
        <f>+FISC!AG825</f>
        <v>1325.0889787253445</v>
      </c>
      <c r="JC621" s="279">
        <f>JC622+JC628</f>
        <v>762.58896818503104</v>
      </c>
      <c r="JD621" s="279">
        <f t="shared" ref="JD621:JD687" si="487">JE621-JC621</f>
        <v>816.32184274101724</v>
      </c>
      <c r="JE621" s="323">
        <f>+FISC!AH825</f>
        <v>1578.9108109260483</v>
      </c>
      <c r="JF621" s="279">
        <f>JF622+JF628</f>
        <v>922.6824834803283</v>
      </c>
      <c r="JG621" s="279">
        <f t="shared" ref="JG621:JG687" si="488">JH621-JF621</f>
        <v>1058.53285885474</v>
      </c>
      <c r="JH621" s="323">
        <f>+FISC!AI825</f>
        <v>1981.2153423350683</v>
      </c>
      <c r="JI621" s="279">
        <f>JI622+JI628</f>
        <v>1020.0104354302014</v>
      </c>
      <c r="JJ621" s="279">
        <f t="shared" ref="JJ621:JJ687" si="489">JK621-JI621</f>
        <v>982.86739028839406</v>
      </c>
      <c r="JK621" s="323">
        <f>+FISC!AJ825</f>
        <v>2002.8778257185954</v>
      </c>
      <c r="JL621" s="279">
        <f>JL622+JL628</f>
        <v>687.47517619630082</v>
      </c>
      <c r="JM621" s="279">
        <f t="shared" ref="JM621:JM687" si="490">JN621-JL621</f>
        <v>-687.47517619630082</v>
      </c>
      <c r="JN621" s="323">
        <f>+FISC!AK825</f>
        <v>0</v>
      </c>
      <c r="JO621" s="323"/>
      <c r="KU621" s="326"/>
      <c r="KV621" s="327"/>
      <c r="KY621" s="279">
        <f>KY622+KY628</f>
        <v>0</v>
      </c>
      <c r="KZ621" s="279">
        <f>KZ622+KZ628</f>
        <v>0</v>
      </c>
      <c r="LA621" s="279">
        <f>LA622+LA628</f>
        <v>0</v>
      </c>
      <c r="LB621" s="279">
        <f>LB622+LB628</f>
        <v>0</v>
      </c>
    </row>
    <row r="622" spans="1:314" ht="16.2" hidden="1">
      <c r="A622" s="279"/>
      <c r="B622" s="96" t="s">
        <v>338</v>
      </c>
      <c r="D622" s="322" t="str">
        <f>+FISC!D826</f>
        <v>Domestic</v>
      </c>
      <c r="E622" s="323">
        <v>3.5838200000000002</v>
      </c>
      <c r="F622" s="323">
        <v>6.07545</v>
      </c>
      <c r="G622" s="323">
        <v>1.63897</v>
      </c>
      <c r="H622" s="323">
        <v>7.6555400000000002</v>
      </c>
      <c r="I622" s="323">
        <v>2.6138300000000001</v>
      </c>
      <c r="J622" s="323">
        <v>0.3614</v>
      </c>
      <c r="K622" s="323">
        <v>14.90522</v>
      </c>
      <c r="L622" s="323">
        <v>4.9962</v>
      </c>
      <c r="M622" s="323">
        <v>3.62093</v>
      </c>
      <c r="N622" s="323">
        <v>4.1402399999999995</v>
      </c>
      <c r="O622" s="323">
        <v>12.62506</v>
      </c>
      <c r="P622" s="323">
        <v>1.46191</v>
      </c>
      <c r="Q622" s="323">
        <v>6.6938699999999995</v>
      </c>
      <c r="R622" s="323">
        <v>6.6217100000000002</v>
      </c>
      <c r="S622" s="323">
        <v>6.8226599999999999</v>
      </c>
      <c r="T622" s="323">
        <v>13.2995</v>
      </c>
      <c r="U622" s="323">
        <v>5.5477400000000001</v>
      </c>
      <c r="V622" s="323">
        <v>6.59504</v>
      </c>
      <c r="W622" s="323">
        <v>11.525399999999999</v>
      </c>
      <c r="X622" s="323">
        <v>11.975370000000002</v>
      </c>
      <c r="Y622" s="323">
        <v>13.84273</v>
      </c>
      <c r="Z622" s="323">
        <v>28.940909999999999</v>
      </c>
      <c r="AA622" s="323">
        <v>6.9695499999999999</v>
      </c>
      <c r="AB622" s="323">
        <v>0.37818000000000002</v>
      </c>
      <c r="AC622" s="323">
        <v>8.5546699999999998</v>
      </c>
      <c r="AD622" s="323">
        <v>8.9667000000000012</v>
      </c>
      <c r="AE622" s="323">
        <v>17.100999999999999</v>
      </c>
      <c r="AF622" s="323">
        <v>12.328989999999999</v>
      </c>
      <c r="AG622" s="323">
        <v>14.137729999999999</v>
      </c>
      <c r="AH622" s="323">
        <v>4.8818999999999999</v>
      </c>
      <c r="AI622" s="323">
        <v>6.9567500000000004</v>
      </c>
      <c r="AJ622" s="323">
        <v>7.8944300000000007</v>
      </c>
      <c r="AK622" s="323">
        <v>9.3212900000000012</v>
      </c>
      <c r="AL622" s="323">
        <v>20.7941</v>
      </c>
      <c r="AM622" s="323">
        <v>21.200900000000001</v>
      </c>
      <c r="AN622" s="323">
        <v>7.2271099999999997</v>
      </c>
      <c r="AO622" s="323">
        <v>15.105780000000001</v>
      </c>
      <c r="AP622" s="323">
        <v>13.18632</v>
      </c>
      <c r="AQ622" s="323">
        <v>6.8012499999999996</v>
      </c>
      <c r="AR622" s="323">
        <v>21.793560000000003</v>
      </c>
      <c r="AS622" s="323">
        <v>18.903689999999997</v>
      </c>
      <c r="AT622" s="323">
        <v>9.5749200000000005</v>
      </c>
      <c r="AU622" s="323">
        <v>14.740819999999999</v>
      </c>
      <c r="AV622" s="323">
        <v>13.9329</v>
      </c>
      <c r="AW622" s="323">
        <v>13.756959999999999</v>
      </c>
      <c r="AX622" s="323">
        <v>20.9</v>
      </c>
      <c r="AY622" s="323">
        <v>15.603999999999999</v>
      </c>
      <c r="AZ622" s="323">
        <v>28.117650000000001</v>
      </c>
      <c r="BA622" s="323">
        <v>22.111249999999998</v>
      </c>
      <c r="BB622" s="323">
        <v>11.667159999999999</v>
      </c>
      <c r="BC622" s="323">
        <v>16.764089999999999</v>
      </c>
      <c r="BD622" s="323">
        <v>22.31202</v>
      </c>
      <c r="BE622" s="323">
        <v>33.052900000000001</v>
      </c>
      <c r="BF622" s="323">
        <v>5.1906800000000004</v>
      </c>
      <c r="BG622" s="323">
        <v>6.3758999999999997</v>
      </c>
      <c r="BH622" s="323">
        <v>19.89939</v>
      </c>
      <c r="BI622" s="323">
        <v>19.567900000000002</v>
      </c>
      <c r="BJ622" s="323">
        <v>33.236025999999995</v>
      </c>
      <c r="BK622" s="323">
        <v>17.411060000000003</v>
      </c>
      <c r="BL622" s="323">
        <v>7.0269899999999996</v>
      </c>
      <c r="BM622" s="323">
        <v>21.286360000000002</v>
      </c>
      <c r="BN622" s="323">
        <v>12.03393</v>
      </c>
      <c r="BO622" s="323">
        <v>9.0892599999999995</v>
      </c>
      <c r="BP622" s="323">
        <v>31.707180000000001</v>
      </c>
      <c r="BQ622" s="323">
        <v>46.85219</v>
      </c>
      <c r="BR622" s="323">
        <v>6.1012599999999999</v>
      </c>
      <c r="BS622" s="323">
        <v>8.992799999999999</v>
      </c>
      <c r="BT622" s="323">
        <v>14.1875</v>
      </c>
      <c r="BU622" s="323">
        <v>10.728399999999999</v>
      </c>
      <c r="BV622" s="323">
        <v>38.280104581000003</v>
      </c>
      <c r="BW622" s="323">
        <v>19.21824221</v>
      </c>
      <c r="BX622" s="323">
        <v>3.4928711909999999</v>
      </c>
      <c r="BY622" s="323">
        <v>16.503664744000002</v>
      </c>
      <c r="BZ622" s="323">
        <v>16.912173433</v>
      </c>
      <c r="CA622" s="323">
        <v>14.65821757</v>
      </c>
      <c r="CB622" s="323">
        <v>45.488008786000002</v>
      </c>
      <c r="CC622" s="323">
        <v>30.685310925</v>
      </c>
      <c r="CD622" s="323">
        <v>20.505813729</v>
      </c>
      <c r="CE622" s="324">
        <f t="shared" ref="CE622:DJ622" si="491">CE256</f>
        <v>7.8191067849999998</v>
      </c>
      <c r="CF622" s="323">
        <f t="shared" si="491"/>
        <v>27.064540614999999</v>
      </c>
      <c r="CG622" s="323">
        <f t="shared" si="491"/>
        <v>13.416189154</v>
      </c>
      <c r="CH622" s="323">
        <f t="shared" si="491"/>
        <v>30.291457128000001</v>
      </c>
      <c r="CI622" s="323">
        <f t="shared" si="491"/>
        <v>23.947314263999999</v>
      </c>
      <c r="CJ622" s="323">
        <f t="shared" si="491"/>
        <v>12.362992740999999</v>
      </c>
      <c r="CK622" s="323">
        <f t="shared" si="491"/>
        <v>21.517392606000001</v>
      </c>
      <c r="CL622" s="323">
        <f t="shared" si="491"/>
        <v>23.682749282</v>
      </c>
      <c r="CM622" s="323">
        <f t="shared" si="491"/>
        <v>32.481324956000002</v>
      </c>
      <c r="CN622" s="323">
        <f t="shared" si="491"/>
        <v>26.759737409</v>
      </c>
      <c r="CO622" s="323">
        <f t="shared" si="491"/>
        <v>64.034057740999998</v>
      </c>
      <c r="CP622" s="325">
        <f t="shared" si="491"/>
        <v>36.776276578000001</v>
      </c>
      <c r="CQ622" s="323">
        <f t="shared" si="491"/>
        <v>18.732472962999999</v>
      </c>
      <c r="CR622" s="323">
        <f t="shared" si="491"/>
        <v>31.425210746000001</v>
      </c>
      <c r="CS622" s="323">
        <f t="shared" si="491"/>
        <v>28.036566303000001</v>
      </c>
      <c r="CT622" s="323">
        <f t="shared" si="491"/>
        <v>20.871269851000001</v>
      </c>
      <c r="CU622" s="323">
        <f t="shared" si="491"/>
        <v>19.008571825000001</v>
      </c>
      <c r="CV622" s="323">
        <f t="shared" si="491"/>
        <v>17.450130183999999</v>
      </c>
      <c r="CW622" s="323">
        <f t="shared" si="491"/>
        <v>33.116301632999999</v>
      </c>
      <c r="CX622" s="323">
        <f t="shared" si="491"/>
        <v>26.094432314999999</v>
      </c>
      <c r="CY622" s="323">
        <f t="shared" si="491"/>
        <v>44.998493394999997</v>
      </c>
      <c r="CZ622" s="323">
        <f t="shared" si="491"/>
        <v>78.902201219999995</v>
      </c>
      <c r="DA622" s="323">
        <f t="shared" si="491"/>
        <v>45.806131833999999</v>
      </c>
      <c r="DB622" s="1269">
        <f t="shared" si="491"/>
        <v>32.207662052000003</v>
      </c>
      <c r="DC622" s="323">
        <f t="shared" si="491"/>
        <v>16.489001077000001</v>
      </c>
      <c r="DD622" s="323">
        <f t="shared" si="491"/>
        <v>30.797304453999999</v>
      </c>
      <c r="DE622" s="323">
        <f t="shared" si="491"/>
        <v>40.144479420000003</v>
      </c>
      <c r="DF622" s="323">
        <f t="shared" si="491"/>
        <v>47.547703896999998</v>
      </c>
      <c r="DG622" s="323">
        <f t="shared" si="491"/>
        <v>28.742775963</v>
      </c>
      <c r="DH622" s="323">
        <f t="shared" si="491"/>
        <v>14.383686656</v>
      </c>
      <c r="DI622" s="323">
        <f t="shared" si="491"/>
        <v>57.002527604999997</v>
      </c>
      <c r="DJ622" s="323">
        <f t="shared" si="491"/>
        <v>37.214416708000002</v>
      </c>
      <c r="DK622" s="323">
        <f t="shared" ref="DK622:EP622" si="492">DK256</f>
        <v>24.533894926999999</v>
      </c>
      <c r="DL622" s="323">
        <f t="shared" si="492"/>
        <v>57.665731115</v>
      </c>
      <c r="DM622" s="323">
        <f t="shared" si="492"/>
        <v>62.479018287999999</v>
      </c>
      <c r="DN622" s="325">
        <f t="shared" si="492"/>
        <v>29.876977194999998</v>
      </c>
      <c r="DO622" s="323">
        <f t="shared" si="492"/>
        <v>24.510819567999999</v>
      </c>
      <c r="DP622" s="323">
        <f t="shared" si="492"/>
        <v>31.191320255000001</v>
      </c>
      <c r="DQ622" s="323">
        <f t="shared" si="492"/>
        <v>19.781208627000002</v>
      </c>
      <c r="DR622" s="323">
        <f t="shared" si="492"/>
        <v>36.670557473000002</v>
      </c>
      <c r="DS622" s="323">
        <f t="shared" si="492"/>
        <v>39.918205536999999</v>
      </c>
      <c r="DT622" s="323">
        <f t="shared" si="492"/>
        <v>14.805941098</v>
      </c>
      <c r="DU622" s="323">
        <f t="shared" si="492"/>
        <v>55.250912331000002</v>
      </c>
      <c r="DV622" s="323">
        <f t="shared" si="492"/>
        <v>37.215884711999998</v>
      </c>
      <c r="DW622" s="323">
        <f t="shared" si="492"/>
        <v>17.677582613999999</v>
      </c>
      <c r="DX622" s="323">
        <f t="shared" si="492"/>
        <v>60.345860789</v>
      </c>
      <c r="DY622" s="323">
        <f t="shared" si="492"/>
        <v>55.610312768999997</v>
      </c>
      <c r="DZ622" s="325">
        <f t="shared" si="492"/>
        <v>7.9984918089999999</v>
      </c>
      <c r="EA622" s="323">
        <f t="shared" si="492"/>
        <v>7.9984918089999999</v>
      </c>
      <c r="EB622" s="323">
        <f t="shared" si="492"/>
        <v>57.63256397</v>
      </c>
      <c r="EC622" s="323">
        <f t="shared" si="492"/>
        <v>42.977248097999997</v>
      </c>
      <c r="ED622" s="323">
        <f t="shared" si="492"/>
        <v>44.711899309000003</v>
      </c>
      <c r="EE622" s="323">
        <f t="shared" si="492"/>
        <v>39.024985354999998</v>
      </c>
      <c r="EF622" s="323">
        <f t="shared" si="492"/>
        <v>19.645622919000001</v>
      </c>
      <c r="EG622" s="323">
        <f t="shared" si="492"/>
        <v>83.314393476999996</v>
      </c>
      <c r="EH622" s="323">
        <f t="shared" si="492"/>
        <v>34.696378115999998</v>
      </c>
      <c r="EI622" s="323">
        <f t="shared" si="492"/>
        <v>30.38618468</v>
      </c>
      <c r="EJ622" s="323">
        <f t="shared" si="492"/>
        <v>43.270346683</v>
      </c>
      <c r="EK622" s="323">
        <f t="shared" si="492"/>
        <v>40.489700677000002</v>
      </c>
      <c r="EL622" s="325">
        <f t="shared" si="492"/>
        <v>19.011669787999999</v>
      </c>
      <c r="EM622" s="323">
        <f t="shared" si="492"/>
        <v>27.928875783999999</v>
      </c>
      <c r="EN622" s="323">
        <f t="shared" si="492"/>
        <v>32.216142105000003</v>
      </c>
      <c r="EO622" s="323">
        <f t="shared" si="492"/>
        <v>34.432715870000003</v>
      </c>
      <c r="EP622" s="323">
        <f t="shared" si="492"/>
        <v>53.201433113</v>
      </c>
      <c r="EQ622" s="323">
        <f t="shared" ref="EQ622:EX622" si="493">EQ256</f>
        <v>46.650960023000003</v>
      </c>
      <c r="ER622" s="323">
        <f t="shared" si="493"/>
        <v>58.397181713999998</v>
      </c>
      <c r="ES622" s="323">
        <f t="shared" si="493"/>
        <v>55.415338763999998</v>
      </c>
      <c r="ET622" s="323">
        <f t="shared" si="493"/>
        <v>58.919306761999998</v>
      </c>
      <c r="EU622" s="323">
        <f t="shared" si="493"/>
        <v>47.107478352999998</v>
      </c>
      <c r="EV622" s="323">
        <f t="shared" si="493"/>
        <v>92.436332003000004</v>
      </c>
      <c r="EW622" s="323">
        <f t="shared" si="493"/>
        <v>87.662794950000006</v>
      </c>
      <c r="EX622" s="325">
        <f t="shared" si="493"/>
        <v>29.336689837000002</v>
      </c>
      <c r="EY622" s="323"/>
      <c r="EZ622" s="323"/>
      <c r="FA622" s="323"/>
      <c r="FB622" s="323"/>
      <c r="FC622" s="323"/>
      <c r="FD622" s="323"/>
      <c r="FE622" s="323"/>
      <c r="FF622" s="323"/>
      <c r="FG622" s="323"/>
      <c r="FH622" s="323"/>
      <c r="FI622" s="323"/>
      <c r="FJ622" s="325"/>
      <c r="FK622" s="323"/>
      <c r="FL622" s="323"/>
      <c r="FM622" s="323"/>
      <c r="FN622" s="323"/>
      <c r="FO622" s="323"/>
      <c r="FP622" s="323"/>
      <c r="FQ622" s="323"/>
      <c r="FR622" s="323"/>
      <c r="FS622" s="323"/>
      <c r="FT622" s="323"/>
      <c r="FU622" s="323"/>
      <c r="FV622" s="323"/>
      <c r="FW622" s="323"/>
      <c r="FX622" s="323"/>
      <c r="FY622" s="323"/>
      <c r="FZ622" s="323"/>
      <c r="GA622" s="323"/>
      <c r="GB622" s="323"/>
      <c r="GC622" s="323"/>
      <c r="GD622" s="323"/>
      <c r="GE622" s="323"/>
      <c r="GF622" s="323"/>
      <c r="GG622" s="323"/>
      <c r="GH622" s="323"/>
      <c r="GI622" s="323"/>
      <c r="GJ622" s="323"/>
      <c r="GK622" s="323"/>
      <c r="GL622" s="323"/>
      <c r="GM622" s="323"/>
      <c r="GN622" s="323"/>
      <c r="GO622" s="323"/>
      <c r="GP622" s="323"/>
      <c r="GQ622" s="323"/>
      <c r="GR622" s="323"/>
      <c r="GS622" s="323"/>
      <c r="GT622" s="323"/>
      <c r="GU622" s="323"/>
      <c r="GV622" s="323"/>
      <c r="GW622" s="323"/>
      <c r="GX622" s="323"/>
      <c r="GY622" s="323"/>
      <c r="GZ622" s="323"/>
      <c r="HA622" s="323"/>
      <c r="HB622" s="323"/>
      <c r="HC622" s="323"/>
      <c r="HD622" s="323"/>
      <c r="HE622" s="323"/>
      <c r="HF622" s="323"/>
      <c r="HG622" s="323"/>
      <c r="HH622" s="323"/>
      <c r="HI622" s="323"/>
      <c r="HJ622" s="323"/>
      <c r="HK622" s="323"/>
      <c r="HL622" s="323"/>
      <c r="HM622" s="323"/>
      <c r="HN622" s="323"/>
      <c r="HO622" s="323"/>
      <c r="HP622" s="323"/>
      <c r="HQ622" s="323"/>
      <c r="HR622" s="323"/>
      <c r="HS622" s="323"/>
      <c r="HT622" s="323"/>
      <c r="HU622" s="323"/>
      <c r="HV622" s="323"/>
      <c r="HW622" s="323"/>
      <c r="HX622" s="323"/>
      <c r="HY622" s="323"/>
      <c r="HZ622" s="326"/>
      <c r="IA622" s="322" t="s">
        <v>35</v>
      </c>
      <c r="IB622" s="322"/>
      <c r="IC622" s="322"/>
      <c r="ID622" s="323">
        <f>+FISC!Z826</f>
        <v>388.5</v>
      </c>
      <c r="IE622" s="279">
        <f t="shared" ref="IE622:IE628" si="494">SUM(CQ622:CV622)</f>
        <v>135.524221872</v>
      </c>
      <c r="IF622" s="279">
        <f t="shared" ref="IF622:IF628" si="495">SUM(CW622:DB622)</f>
        <v>261.12522244899998</v>
      </c>
      <c r="IG622" s="323">
        <f t="shared" ref="IG622:IG628" si="496">SUM(CQ622:DB622)</f>
        <v>396.64944432099998</v>
      </c>
      <c r="IH622" s="279">
        <f>+SUM(DC622:DH622)</f>
        <v>178.10495146699998</v>
      </c>
      <c r="II622" s="279">
        <f>+SUM(DI622:DN622)</f>
        <v>268.77256583799999</v>
      </c>
      <c r="IJ622" s="323">
        <f>IH622+II622</f>
        <v>446.87751730499997</v>
      </c>
      <c r="IK622" s="279">
        <f>+SUM(DO622:DT622)</f>
        <v>166.87805255800001</v>
      </c>
      <c r="IL622" s="279">
        <f t="shared" ref="IL622:IL627" si="497">SUM(DU622:DZ622)</f>
        <v>234.09904502399999</v>
      </c>
      <c r="IM622" s="323">
        <f t="shared" si="309"/>
        <v>400.977097582</v>
      </c>
      <c r="IN622" s="1066">
        <v>211.99081146</v>
      </c>
      <c r="IO622" s="279">
        <f>+(IP622-IN622)</f>
        <v>251.16867342100002</v>
      </c>
      <c r="IP622" s="323">
        <f>FISC!AC826</f>
        <v>463.15948488100003</v>
      </c>
      <c r="IQ622" s="279">
        <f t="shared" si="458"/>
        <v>252.82730860900003</v>
      </c>
      <c r="IR622" s="279">
        <f t="shared" si="459"/>
        <v>370.87794066900005</v>
      </c>
      <c r="IS622" s="323">
        <f t="shared" si="407"/>
        <v>623.70524927800011</v>
      </c>
      <c r="IT622" s="327" t="e">
        <f>((IV622*0.49)*0+#REF!)*0+315.988621393</f>
        <v>#REF!</v>
      </c>
      <c r="IU622" s="279" t="e">
        <f>+IV622-IT622</f>
        <v>#REF!</v>
      </c>
      <c r="IV622" s="323">
        <f>+FISC!AE826</f>
        <v>747.07835400183399</v>
      </c>
      <c r="IW622" s="327">
        <f>(IY622*0.49)*0+200.202947068716</f>
        <v>200.20294706871601</v>
      </c>
      <c r="IX622" s="279">
        <f t="shared" si="486"/>
        <v>345.28751055591641</v>
      </c>
      <c r="IY622" s="323">
        <f>+FISC!AF826</f>
        <v>545.49045762463243</v>
      </c>
      <c r="IZ622" s="327">
        <f>(JB622*0.49)</f>
        <v>267.29032423606986</v>
      </c>
      <c r="JA622" s="279">
        <f t="shared" si="360"/>
        <v>278.20013338856256</v>
      </c>
      <c r="JB622" s="323">
        <f>+FISC!AG826</f>
        <v>545.49045762463243</v>
      </c>
      <c r="JC622" s="327">
        <f>(JE622*0.49)</f>
        <v>364.03519092473493</v>
      </c>
      <c r="JD622" s="279">
        <f t="shared" si="487"/>
        <v>378.89377014615275</v>
      </c>
      <c r="JE622" s="323">
        <f>+FISC!AH826</f>
        <v>742.92896107088768</v>
      </c>
      <c r="JF622" s="327">
        <f>(JH622*0.49)</f>
        <v>414.67755482679621</v>
      </c>
      <c r="JG622" s="279">
        <f t="shared" si="488"/>
        <v>431.60316930952257</v>
      </c>
      <c r="JH622" s="323">
        <f>+FISC!AI826</f>
        <v>846.28072413631878</v>
      </c>
      <c r="JI622" s="327">
        <f>(JK622*0.49)</f>
        <v>414.67755482679621</v>
      </c>
      <c r="JJ622" s="279">
        <f t="shared" si="489"/>
        <v>431.60316930952257</v>
      </c>
      <c r="JK622" s="323">
        <f>+FISC!AJ826</f>
        <v>846.28072413631878</v>
      </c>
      <c r="JL622" s="327">
        <f>(JN622*0.49)</f>
        <v>0</v>
      </c>
      <c r="JM622" s="279">
        <f t="shared" si="490"/>
        <v>0</v>
      </c>
      <c r="JN622" s="323">
        <f>+FISC!AK826</f>
        <v>0</v>
      </c>
      <c r="JO622" s="323"/>
      <c r="KU622" s="326"/>
      <c r="KV622" s="327"/>
    </row>
    <row r="623" spans="1:314" hidden="1">
      <c r="A623" s="279"/>
      <c r="B623" s="96" t="s">
        <v>338</v>
      </c>
      <c r="D623" s="328" t="str">
        <f>+FISC!D829</f>
        <v>Contingent</v>
      </c>
      <c r="E623" s="323"/>
      <c r="F623" s="323"/>
      <c r="G623" s="323"/>
      <c r="H623" s="323"/>
      <c r="I623" s="323"/>
      <c r="J623" s="323"/>
      <c r="K623" s="323"/>
      <c r="L623" s="323"/>
      <c r="M623" s="323"/>
      <c r="N623" s="323"/>
      <c r="O623" s="323"/>
      <c r="P623" s="323"/>
      <c r="Q623" s="323"/>
      <c r="R623" s="323"/>
      <c r="S623" s="323"/>
      <c r="T623" s="323"/>
      <c r="U623" s="323"/>
      <c r="V623" s="323"/>
      <c r="W623" s="323"/>
      <c r="X623" s="323"/>
      <c r="Y623" s="323"/>
      <c r="Z623" s="323"/>
      <c r="AA623" s="323"/>
      <c r="AB623" s="323"/>
      <c r="AC623" s="323"/>
      <c r="AD623" s="323"/>
      <c r="AE623" s="323"/>
      <c r="AF623" s="323"/>
      <c r="AG623" s="323"/>
      <c r="AH623" s="323"/>
      <c r="AI623" s="323"/>
      <c r="AJ623" s="323"/>
      <c r="AK623" s="323"/>
      <c r="AL623" s="323"/>
      <c r="AM623" s="323"/>
      <c r="AN623" s="323"/>
      <c r="AO623" s="323"/>
      <c r="AP623" s="323"/>
      <c r="AQ623" s="323"/>
      <c r="AR623" s="323"/>
      <c r="AS623" s="323"/>
      <c r="AT623" s="323"/>
      <c r="AU623" s="323"/>
      <c r="AV623" s="323"/>
      <c r="AW623" s="323"/>
      <c r="AX623" s="323"/>
      <c r="AY623" s="323"/>
      <c r="AZ623" s="323"/>
      <c r="BA623" s="323"/>
      <c r="BB623" s="323"/>
      <c r="BC623" s="323"/>
      <c r="BD623" s="323"/>
      <c r="BE623" s="323"/>
      <c r="BF623" s="323"/>
      <c r="BG623" s="323"/>
      <c r="BH623" s="323"/>
      <c r="BI623" s="323"/>
      <c r="BJ623" s="323"/>
      <c r="BK623" s="323"/>
      <c r="BL623" s="323"/>
      <c r="BM623" s="323"/>
      <c r="BN623" s="323"/>
      <c r="BO623" s="323"/>
      <c r="BP623" s="323"/>
      <c r="BQ623" s="323"/>
      <c r="BR623" s="323"/>
      <c r="BS623" s="323"/>
      <c r="BT623" s="323"/>
      <c r="BU623" s="323"/>
      <c r="BV623" s="323"/>
      <c r="BW623" s="323"/>
      <c r="BX623" s="323"/>
      <c r="BY623" s="323"/>
      <c r="BZ623" s="323"/>
      <c r="CA623" s="323"/>
      <c r="CB623" s="323"/>
      <c r="CC623" s="323"/>
      <c r="CD623" s="323"/>
      <c r="CE623" s="324"/>
      <c r="CF623" s="323"/>
      <c r="CG623" s="323"/>
      <c r="CH623" s="323"/>
      <c r="CI623" s="323"/>
      <c r="CJ623" s="323"/>
      <c r="CK623" s="323"/>
      <c r="CL623" s="323"/>
      <c r="CM623" s="323"/>
      <c r="CN623" s="323"/>
      <c r="CO623" s="323"/>
      <c r="CP623" s="325"/>
      <c r="CQ623" s="323"/>
      <c r="CR623" s="323"/>
      <c r="CS623" s="323"/>
      <c r="CT623" s="323"/>
      <c r="CU623" s="323"/>
      <c r="CV623" s="323"/>
      <c r="CW623" s="323"/>
      <c r="CX623" s="323"/>
      <c r="CY623" s="323"/>
      <c r="CZ623" s="323"/>
      <c r="DA623" s="323"/>
      <c r="DB623" s="1269"/>
      <c r="DC623" s="323"/>
      <c r="DD623" s="323"/>
      <c r="DE623" s="323"/>
      <c r="DF623" s="323"/>
      <c r="DG623" s="323"/>
      <c r="DH623" s="323"/>
      <c r="DI623" s="323"/>
      <c r="DJ623" s="323"/>
      <c r="DK623" s="323"/>
      <c r="DL623" s="323"/>
      <c r="DM623" s="323"/>
      <c r="DN623" s="325"/>
      <c r="DO623" s="323"/>
      <c r="DP623" s="323"/>
      <c r="DQ623" s="323"/>
      <c r="DR623" s="323"/>
      <c r="DS623" s="323"/>
      <c r="DT623" s="323"/>
      <c r="DU623" s="323"/>
      <c r="DV623" s="323"/>
      <c r="DW623" s="323"/>
      <c r="DX623" s="323"/>
      <c r="DY623" s="323"/>
      <c r="DZ623" s="325"/>
      <c r="EA623" s="323"/>
      <c r="EB623" s="323"/>
      <c r="EC623" s="323"/>
      <c r="ED623" s="323"/>
      <c r="EE623" s="323"/>
      <c r="EF623" s="323"/>
      <c r="EG623" s="323"/>
      <c r="EH623" s="323"/>
      <c r="EI623" s="323"/>
      <c r="EJ623" s="323"/>
      <c r="EK623" s="323"/>
      <c r="EL623" s="325"/>
      <c r="EM623" s="323"/>
      <c r="EN623" s="323"/>
      <c r="EO623" s="323"/>
      <c r="EP623" s="323"/>
      <c r="EQ623" s="323"/>
      <c r="ER623" s="323"/>
      <c r="ES623" s="323"/>
      <c r="ET623" s="323"/>
      <c r="EU623" s="323"/>
      <c r="EV623" s="323"/>
      <c r="EW623" s="323"/>
      <c r="EX623" s="325"/>
      <c r="EY623" s="323"/>
      <c r="EZ623" s="323"/>
      <c r="FA623" s="323"/>
      <c r="FB623" s="323"/>
      <c r="FC623" s="323"/>
      <c r="FD623" s="323"/>
      <c r="FE623" s="323"/>
      <c r="FF623" s="323"/>
      <c r="FG623" s="323"/>
      <c r="FH623" s="323"/>
      <c r="FI623" s="323"/>
      <c r="FJ623" s="325"/>
      <c r="FK623" s="323"/>
      <c r="FL623" s="323"/>
      <c r="FM623" s="323"/>
      <c r="FN623" s="323"/>
      <c r="FO623" s="323"/>
      <c r="FP623" s="323"/>
      <c r="FQ623" s="323"/>
      <c r="FR623" s="323"/>
      <c r="FS623" s="323"/>
      <c r="FT623" s="323"/>
      <c r="FU623" s="323"/>
      <c r="FV623" s="323"/>
      <c r="FW623" s="323"/>
      <c r="FX623" s="323"/>
      <c r="FY623" s="323"/>
      <c r="FZ623" s="323"/>
      <c r="GA623" s="323"/>
      <c r="GB623" s="323"/>
      <c r="GC623" s="323"/>
      <c r="GD623" s="323"/>
      <c r="GE623" s="323"/>
      <c r="GF623" s="323"/>
      <c r="GG623" s="323"/>
      <c r="GH623" s="323"/>
      <c r="GI623" s="323"/>
      <c r="GJ623" s="323"/>
      <c r="GK623" s="323"/>
      <c r="GL623" s="323"/>
      <c r="GM623" s="323"/>
      <c r="GN623" s="323"/>
      <c r="GO623" s="323"/>
      <c r="GP623" s="323"/>
      <c r="GQ623" s="323"/>
      <c r="GR623" s="323"/>
      <c r="GS623" s="323"/>
      <c r="GT623" s="323"/>
      <c r="GU623" s="323"/>
      <c r="GV623" s="323"/>
      <c r="GW623" s="323"/>
      <c r="GX623" s="323"/>
      <c r="GY623" s="323"/>
      <c r="GZ623" s="323"/>
      <c r="HA623" s="323"/>
      <c r="HB623" s="323"/>
      <c r="HC623" s="323"/>
      <c r="HD623" s="323"/>
      <c r="HE623" s="323"/>
      <c r="HF623" s="323"/>
      <c r="HG623" s="323"/>
      <c r="HH623" s="323"/>
      <c r="HI623" s="323"/>
      <c r="HJ623" s="323"/>
      <c r="HK623" s="323"/>
      <c r="HL623" s="323"/>
      <c r="HM623" s="323"/>
      <c r="HN623" s="323"/>
      <c r="HO623" s="323"/>
      <c r="HP623" s="323"/>
      <c r="HQ623" s="323"/>
      <c r="HR623" s="323"/>
      <c r="HS623" s="323"/>
      <c r="HT623" s="323"/>
      <c r="HU623" s="323"/>
      <c r="HV623" s="323"/>
      <c r="HW623" s="323"/>
      <c r="HX623" s="323"/>
      <c r="HY623" s="323"/>
      <c r="HZ623" s="326"/>
      <c r="IA623" s="328" t="s">
        <v>118</v>
      </c>
      <c r="IB623" s="328"/>
      <c r="IC623" s="328"/>
      <c r="ID623" s="323">
        <f>+FISC!Z829</f>
        <v>0</v>
      </c>
      <c r="IE623" s="279">
        <f t="shared" si="494"/>
        <v>0</v>
      </c>
      <c r="IF623" s="279">
        <f t="shared" si="495"/>
        <v>0</v>
      </c>
      <c r="IG623" s="323">
        <f t="shared" si="496"/>
        <v>0</v>
      </c>
      <c r="IJ623" s="323">
        <v>0</v>
      </c>
      <c r="IK623" s="279">
        <f>+SUM(DO623:DT623)</f>
        <v>0</v>
      </c>
      <c r="IL623" s="279">
        <f t="shared" si="497"/>
        <v>0</v>
      </c>
      <c r="IM623" s="323">
        <f t="shared" si="309"/>
        <v>0</v>
      </c>
      <c r="IO623" s="327"/>
      <c r="IP623" s="323">
        <f>FISC!AC829</f>
        <v>0</v>
      </c>
      <c r="IQ623" s="279">
        <f t="shared" si="458"/>
        <v>0</v>
      </c>
      <c r="IR623" s="279">
        <f t="shared" si="459"/>
        <v>0</v>
      </c>
      <c r="IS623" s="323">
        <f t="shared" si="407"/>
        <v>0</v>
      </c>
      <c r="IT623" s="327"/>
      <c r="IU623" s="327"/>
      <c r="IV623" s="323">
        <f>+FISC!AE829</f>
        <v>0</v>
      </c>
      <c r="IW623" s="279">
        <f>IY623*JU623</f>
        <v>0</v>
      </c>
      <c r="IX623" s="279">
        <f t="shared" si="486"/>
        <v>0</v>
      </c>
      <c r="IY623" s="323">
        <f>+FISC!AF829</f>
        <v>0</v>
      </c>
      <c r="IZ623" s="279">
        <f t="shared" ref="IZ623:IZ687" si="498">JB623*JU623</f>
        <v>0</v>
      </c>
      <c r="JA623" s="279">
        <f t="shared" si="360"/>
        <v>0</v>
      </c>
      <c r="JB623" s="323">
        <f>+FISC!AG829</f>
        <v>0</v>
      </c>
      <c r="JC623" s="279">
        <f t="shared" ref="JC623:JC687" si="499">JE623*JU623</f>
        <v>0</v>
      </c>
      <c r="JD623" s="279">
        <f t="shared" si="487"/>
        <v>0</v>
      </c>
      <c r="JE623" s="323">
        <f>+FISC!AH829</f>
        <v>0</v>
      </c>
      <c r="JF623" s="279">
        <f t="shared" ref="JF623:JF687" si="500">JH623*JU623</f>
        <v>0</v>
      </c>
      <c r="JG623" s="279">
        <f t="shared" si="488"/>
        <v>0</v>
      </c>
      <c r="JH623" s="323">
        <f>+FISC!AI829</f>
        <v>0</v>
      </c>
      <c r="JI623" s="279">
        <f t="shared" ref="JI623:JI691" si="501">JK623*JX623</f>
        <v>0</v>
      </c>
      <c r="JJ623" s="279">
        <f t="shared" si="489"/>
        <v>0</v>
      </c>
      <c r="JK623" s="323">
        <f>+FISC!AJ829</f>
        <v>0</v>
      </c>
      <c r="JL623" s="279">
        <f t="shared" ref="JL623:JL691" si="502">JN623*KA623</f>
        <v>0</v>
      </c>
      <c r="JM623" s="279">
        <f t="shared" si="490"/>
        <v>0</v>
      </c>
      <c r="JN623" s="323">
        <f>+FISC!AK829</f>
        <v>0</v>
      </c>
      <c r="JO623" s="323"/>
      <c r="KU623" s="326"/>
      <c r="KV623" s="327"/>
    </row>
    <row r="624" spans="1:314" hidden="1">
      <c r="A624" s="279"/>
      <c r="B624" s="96" t="s">
        <v>338</v>
      </c>
      <c r="D624" s="328" t="str">
        <f>+FISC!D830</f>
        <v>Of which: Agaciro Dev.Fund</v>
      </c>
      <c r="E624" s="323"/>
      <c r="F624" s="323"/>
      <c r="G624" s="323"/>
      <c r="H624" s="323"/>
      <c r="I624" s="323"/>
      <c r="J624" s="323"/>
      <c r="K624" s="323"/>
      <c r="L624" s="323"/>
      <c r="M624" s="323"/>
      <c r="N624" s="323"/>
      <c r="O624" s="323"/>
      <c r="P624" s="323"/>
      <c r="Q624" s="323"/>
      <c r="R624" s="323"/>
      <c r="S624" s="323"/>
      <c r="T624" s="323"/>
      <c r="U624" s="323"/>
      <c r="V624" s="323"/>
      <c r="W624" s="323"/>
      <c r="X624" s="323"/>
      <c r="Y624" s="323"/>
      <c r="Z624" s="323"/>
      <c r="AA624" s="323"/>
      <c r="AB624" s="323"/>
      <c r="AC624" s="323"/>
      <c r="AD624" s="323"/>
      <c r="AE624" s="323"/>
      <c r="AF624" s="323"/>
      <c r="AG624" s="323"/>
      <c r="AH624" s="323"/>
      <c r="AI624" s="323"/>
      <c r="AJ624" s="323"/>
      <c r="AK624" s="323"/>
      <c r="AL624" s="323"/>
      <c r="AM624" s="323"/>
      <c r="AN624" s="323"/>
      <c r="AO624" s="323"/>
      <c r="AP624" s="323"/>
      <c r="AQ624" s="323"/>
      <c r="AR624" s="323"/>
      <c r="AS624" s="323"/>
      <c r="AT624" s="323"/>
      <c r="AU624" s="323"/>
      <c r="AV624" s="323"/>
      <c r="AW624" s="323"/>
      <c r="AX624" s="323"/>
      <c r="AY624" s="323"/>
      <c r="AZ624" s="323"/>
      <c r="BA624" s="323"/>
      <c r="BB624" s="323"/>
      <c r="BC624" s="323"/>
      <c r="BD624" s="323"/>
      <c r="BE624" s="323"/>
      <c r="BF624" s="323"/>
      <c r="BG624" s="323"/>
      <c r="BH624" s="323"/>
      <c r="BI624" s="323"/>
      <c r="BJ624" s="323"/>
      <c r="BK624" s="323"/>
      <c r="BL624" s="323"/>
      <c r="BM624" s="323"/>
      <c r="BN624" s="323"/>
      <c r="BO624" s="323"/>
      <c r="BP624" s="323"/>
      <c r="BQ624" s="323"/>
      <c r="BR624" s="323"/>
      <c r="BS624" s="323"/>
      <c r="BT624" s="323"/>
      <c r="BU624" s="323"/>
      <c r="BV624" s="323"/>
      <c r="BW624" s="323"/>
      <c r="BX624" s="323"/>
      <c r="BY624" s="323"/>
      <c r="BZ624" s="323"/>
      <c r="CA624" s="323"/>
      <c r="CB624" s="323"/>
      <c r="CC624" s="323"/>
      <c r="CD624" s="323"/>
      <c r="CE624" s="324">
        <v>0</v>
      </c>
      <c r="CF624" s="323">
        <v>0</v>
      </c>
      <c r="CG624" s="323">
        <v>0</v>
      </c>
      <c r="CH624" s="323">
        <v>0</v>
      </c>
      <c r="CI624" s="323">
        <v>0</v>
      </c>
      <c r="CJ624" s="323">
        <v>0</v>
      </c>
      <c r="CK624" s="323">
        <v>0</v>
      </c>
      <c r="CL624" s="323">
        <v>0</v>
      </c>
      <c r="CM624" s="323">
        <v>0</v>
      </c>
      <c r="CN624" s="323">
        <v>0</v>
      </c>
      <c r="CO624" s="323">
        <v>0</v>
      </c>
      <c r="CP624" s="325">
        <v>0</v>
      </c>
      <c r="CQ624" s="323">
        <v>0</v>
      </c>
      <c r="CR624" s="323">
        <v>0</v>
      </c>
      <c r="CS624" s="323">
        <v>0</v>
      </c>
      <c r="CT624" s="323">
        <v>0</v>
      </c>
      <c r="CU624" s="323">
        <v>0</v>
      </c>
      <c r="CV624" s="323">
        <v>0</v>
      </c>
      <c r="CW624" s="323">
        <v>0</v>
      </c>
      <c r="CX624" s="323">
        <v>0</v>
      </c>
      <c r="CY624" s="323">
        <v>0</v>
      </c>
      <c r="CZ624" s="323">
        <v>0</v>
      </c>
      <c r="DA624" s="323">
        <v>0</v>
      </c>
      <c r="DB624" s="1269">
        <v>0</v>
      </c>
      <c r="DC624" s="323"/>
      <c r="DD624" s="323"/>
      <c r="DE624" s="323"/>
      <c r="DF624" s="323"/>
      <c r="DG624" s="323"/>
      <c r="DH624" s="323"/>
      <c r="DI624" s="323"/>
      <c r="DJ624" s="323"/>
      <c r="DK624" s="323"/>
      <c r="DL624" s="323"/>
      <c r="DM624" s="323"/>
      <c r="DN624" s="325"/>
      <c r="DO624" s="323"/>
      <c r="DP624" s="323"/>
      <c r="DQ624" s="323"/>
      <c r="DR624" s="323"/>
      <c r="DS624" s="323"/>
      <c r="DT624" s="323"/>
      <c r="DU624" s="323"/>
      <c r="DV624" s="323"/>
      <c r="DW624" s="323"/>
      <c r="DX624" s="323"/>
      <c r="DY624" s="323"/>
      <c r="DZ624" s="325"/>
      <c r="EA624" s="323"/>
      <c r="EB624" s="323"/>
      <c r="EC624" s="323"/>
      <c r="ED624" s="323"/>
      <c r="EE624" s="323"/>
      <c r="EF624" s="323"/>
      <c r="EG624" s="323"/>
      <c r="EH624" s="323"/>
      <c r="EI624" s="323"/>
      <c r="EJ624" s="323"/>
      <c r="EK624" s="323"/>
      <c r="EL624" s="325"/>
      <c r="EM624" s="323"/>
      <c r="EN624" s="323"/>
      <c r="EO624" s="323"/>
      <c r="EP624" s="323"/>
      <c r="EQ624" s="323"/>
      <c r="ER624" s="323"/>
      <c r="ES624" s="323"/>
      <c r="ET624" s="323"/>
      <c r="EU624" s="323"/>
      <c r="EV624" s="323"/>
      <c r="EW624" s="323"/>
      <c r="EX624" s="325"/>
      <c r="EY624" s="323"/>
      <c r="EZ624" s="323"/>
      <c r="FA624" s="323"/>
      <c r="FB624" s="323"/>
      <c r="FC624" s="323"/>
      <c r="FD624" s="323"/>
      <c r="FE624" s="323"/>
      <c r="FF624" s="323"/>
      <c r="FG624" s="323"/>
      <c r="FH624" s="323"/>
      <c r="FI624" s="323"/>
      <c r="FJ624" s="325"/>
      <c r="FK624" s="323"/>
      <c r="FL624" s="323"/>
      <c r="FM624" s="323"/>
      <c r="FN624" s="323"/>
      <c r="FO624" s="323"/>
      <c r="FP624" s="323"/>
      <c r="FQ624" s="323"/>
      <c r="FR624" s="323"/>
      <c r="FS624" s="323"/>
      <c r="FT624" s="323"/>
      <c r="FU624" s="323"/>
      <c r="FV624" s="323"/>
      <c r="FW624" s="323"/>
      <c r="FX624" s="323"/>
      <c r="FY624" s="323"/>
      <c r="FZ624" s="323"/>
      <c r="GA624" s="323"/>
      <c r="GB624" s="323"/>
      <c r="GC624" s="323"/>
      <c r="GD624" s="323"/>
      <c r="GE624" s="323"/>
      <c r="GF624" s="323"/>
      <c r="GG624" s="323"/>
      <c r="GH624" s="323"/>
      <c r="GI624" s="323"/>
      <c r="GJ624" s="323"/>
      <c r="GK624" s="323"/>
      <c r="GL624" s="323"/>
      <c r="GM624" s="323"/>
      <c r="GN624" s="323"/>
      <c r="GO624" s="323"/>
      <c r="GP624" s="323"/>
      <c r="GQ624" s="323"/>
      <c r="GR624" s="323"/>
      <c r="GS624" s="323"/>
      <c r="GT624" s="323"/>
      <c r="GU624" s="323"/>
      <c r="GV624" s="323"/>
      <c r="GW624" s="323"/>
      <c r="GX624" s="323"/>
      <c r="GY624" s="323"/>
      <c r="GZ624" s="323"/>
      <c r="HA624" s="323"/>
      <c r="HB624" s="323"/>
      <c r="HC624" s="323"/>
      <c r="HD624" s="323"/>
      <c r="HE624" s="323"/>
      <c r="HF624" s="323"/>
      <c r="HG624" s="323"/>
      <c r="HH624" s="323"/>
      <c r="HI624" s="323"/>
      <c r="HJ624" s="323"/>
      <c r="HK624" s="323"/>
      <c r="HL624" s="323"/>
      <c r="HM624" s="323"/>
      <c r="HN624" s="323"/>
      <c r="HO624" s="323"/>
      <c r="HP624" s="323"/>
      <c r="HQ624" s="323"/>
      <c r="HR624" s="323"/>
      <c r="HS624" s="323"/>
      <c r="HT624" s="323"/>
      <c r="HU624" s="323"/>
      <c r="HV624" s="323"/>
      <c r="HW624" s="323"/>
      <c r="HX624" s="323"/>
      <c r="HY624" s="323"/>
      <c r="HZ624" s="326"/>
      <c r="IA624" s="328" t="s">
        <v>636</v>
      </c>
      <c r="IB624" s="328"/>
      <c r="IC624" s="328"/>
      <c r="ID624" s="323">
        <f>+FISC!Z830</f>
        <v>0</v>
      </c>
      <c r="IE624" s="279">
        <f t="shared" si="494"/>
        <v>0</v>
      </c>
      <c r="IF624" s="279">
        <f t="shared" si="495"/>
        <v>0</v>
      </c>
      <c r="IG624" s="323">
        <f t="shared" si="496"/>
        <v>0</v>
      </c>
      <c r="IJ624" s="323">
        <v>0</v>
      </c>
      <c r="IK624" s="279">
        <f>+SUM(DO624:DT624)</f>
        <v>0</v>
      </c>
      <c r="IL624" s="279">
        <f t="shared" si="497"/>
        <v>0</v>
      </c>
      <c r="IM624" s="323">
        <f t="shared" ref="IM624:IM692" si="503">IK624+IL624</f>
        <v>0</v>
      </c>
      <c r="IN624" s="954"/>
      <c r="IO624" s="327"/>
      <c r="IP624" s="323">
        <f>FISC!AC830</f>
        <v>0</v>
      </c>
      <c r="IQ624" s="279">
        <f t="shared" si="458"/>
        <v>0</v>
      </c>
      <c r="IR624" s="279">
        <f t="shared" si="459"/>
        <v>0</v>
      </c>
      <c r="IS624" s="323">
        <f t="shared" si="407"/>
        <v>0</v>
      </c>
      <c r="IT624" s="327"/>
      <c r="IU624" s="327"/>
      <c r="IV624" s="323">
        <f>+FISC!AE830</f>
        <v>0</v>
      </c>
      <c r="IW624" s="279">
        <f>IY624*JU624</f>
        <v>0</v>
      </c>
      <c r="IX624" s="279">
        <f t="shared" si="486"/>
        <v>0</v>
      </c>
      <c r="IY624" s="323">
        <f>+FISC!AF830</f>
        <v>0</v>
      </c>
      <c r="IZ624" s="279">
        <f t="shared" si="498"/>
        <v>0</v>
      </c>
      <c r="JA624" s="279">
        <f t="shared" si="360"/>
        <v>0</v>
      </c>
      <c r="JB624" s="323">
        <f>+FISC!AG830</f>
        <v>0</v>
      </c>
      <c r="JC624" s="279">
        <f t="shared" si="499"/>
        <v>0</v>
      </c>
      <c r="JD624" s="279">
        <f t="shared" si="487"/>
        <v>0</v>
      </c>
      <c r="JE624" s="323">
        <f>+FISC!AH830</f>
        <v>0</v>
      </c>
      <c r="JF624" s="279">
        <f t="shared" si="500"/>
        <v>0</v>
      </c>
      <c r="JG624" s="279">
        <f t="shared" si="488"/>
        <v>0</v>
      </c>
      <c r="JH624" s="323">
        <f>+FISC!AI830</f>
        <v>0</v>
      </c>
      <c r="JI624" s="279">
        <f t="shared" si="501"/>
        <v>0</v>
      </c>
      <c r="JJ624" s="279">
        <f t="shared" si="489"/>
        <v>0</v>
      </c>
      <c r="JK624" s="323">
        <f>+FISC!AJ830</f>
        <v>0</v>
      </c>
      <c r="JL624" s="279">
        <f t="shared" si="502"/>
        <v>0</v>
      </c>
      <c r="JM624" s="279">
        <f t="shared" si="490"/>
        <v>0</v>
      </c>
      <c r="JN624" s="323">
        <f>+FISC!AK830</f>
        <v>0</v>
      </c>
      <c r="JO624" s="323"/>
      <c r="KU624" s="326"/>
      <c r="KV624" s="327"/>
    </row>
    <row r="625" spans="1:314" hidden="1">
      <c r="A625" s="279"/>
      <c r="B625" s="96" t="s">
        <v>338</v>
      </c>
      <c r="D625" s="328" t="str">
        <f>+FISC!D831</f>
        <v>Of which: counterpart funds for taxes (EWSA&amp;RTDA)</v>
      </c>
      <c r="E625" s="323"/>
      <c r="F625" s="323"/>
      <c r="G625" s="323"/>
      <c r="H625" s="323"/>
      <c r="I625" s="323"/>
      <c r="J625" s="323"/>
      <c r="K625" s="323"/>
      <c r="L625" s="323"/>
      <c r="M625" s="323"/>
      <c r="N625" s="323"/>
      <c r="O625" s="323"/>
      <c r="P625" s="323"/>
      <c r="Q625" s="323"/>
      <c r="R625" s="323"/>
      <c r="S625" s="323"/>
      <c r="T625" s="323"/>
      <c r="U625" s="323"/>
      <c r="V625" s="323"/>
      <c r="W625" s="323"/>
      <c r="X625" s="323"/>
      <c r="Y625" s="323"/>
      <c r="Z625" s="323"/>
      <c r="AA625" s="323"/>
      <c r="AB625" s="323"/>
      <c r="AC625" s="323"/>
      <c r="AD625" s="323"/>
      <c r="AE625" s="323"/>
      <c r="AF625" s="323"/>
      <c r="AG625" s="323"/>
      <c r="AH625" s="323"/>
      <c r="AI625" s="323"/>
      <c r="AJ625" s="323"/>
      <c r="AK625" s="323"/>
      <c r="AL625" s="323"/>
      <c r="AM625" s="323"/>
      <c r="AN625" s="323"/>
      <c r="AO625" s="323"/>
      <c r="AP625" s="323"/>
      <c r="AQ625" s="323"/>
      <c r="AR625" s="323"/>
      <c r="AS625" s="323"/>
      <c r="AT625" s="323"/>
      <c r="AU625" s="323"/>
      <c r="AV625" s="323"/>
      <c r="AW625" s="323"/>
      <c r="AX625" s="323"/>
      <c r="AY625" s="323"/>
      <c r="AZ625" s="323"/>
      <c r="BA625" s="323"/>
      <c r="BB625" s="323"/>
      <c r="BC625" s="323"/>
      <c r="BD625" s="323"/>
      <c r="BE625" s="323"/>
      <c r="BF625" s="323"/>
      <c r="BG625" s="323"/>
      <c r="BH625" s="323"/>
      <c r="BI625" s="323"/>
      <c r="BJ625" s="323"/>
      <c r="BK625" s="323"/>
      <c r="BL625" s="323"/>
      <c r="BM625" s="323"/>
      <c r="BN625" s="323"/>
      <c r="BO625" s="323"/>
      <c r="BP625" s="323"/>
      <c r="BQ625" s="323"/>
      <c r="BR625" s="323"/>
      <c r="BS625" s="323"/>
      <c r="BT625" s="323"/>
      <c r="BU625" s="323"/>
      <c r="BV625" s="323"/>
      <c r="BW625" s="323"/>
      <c r="BX625" s="323"/>
      <c r="BY625" s="323"/>
      <c r="BZ625" s="323"/>
      <c r="CA625" s="323"/>
      <c r="CB625" s="323"/>
      <c r="CC625" s="323"/>
      <c r="CD625" s="323"/>
      <c r="CE625" s="324">
        <f t="shared" ref="CE625:DJ625" si="504">CE301</f>
        <v>1.1349399529999999</v>
      </c>
      <c r="CF625" s="323">
        <f t="shared" si="504"/>
        <v>1.4630002769999999</v>
      </c>
      <c r="CG625" s="323">
        <f t="shared" si="504"/>
        <v>1.3054274539999999</v>
      </c>
      <c r="CH625" s="323">
        <f t="shared" si="504"/>
        <v>2.2216993990000002</v>
      </c>
      <c r="CI625" s="323">
        <f t="shared" si="504"/>
        <v>0.69107618300000007</v>
      </c>
      <c r="CJ625" s="323">
        <f t="shared" si="504"/>
        <v>0.65031120600000003</v>
      </c>
      <c r="CK625" s="323">
        <f t="shared" si="504"/>
        <v>1.9135211519999999</v>
      </c>
      <c r="CL625" s="323">
        <f t="shared" si="504"/>
        <v>0.47741728299999997</v>
      </c>
      <c r="CM625" s="323">
        <f t="shared" si="504"/>
        <v>1.0267364919999999</v>
      </c>
      <c r="CN625" s="323">
        <f t="shared" si="504"/>
        <v>0.97803167700000004</v>
      </c>
      <c r="CO625" s="323">
        <f t="shared" si="504"/>
        <v>3.220760845</v>
      </c>
      <c r="CP625" s="325">
        <f t="shared" si="504"/>
        <v>3.7836638009999999</v>
      </c>
      <c r="CQ625" s="323">
        <f t="shared" si="504"/>
        <v>0.67842869300000008</v>
      </c>
      <c r="CR625" s="323">
        <f t="shared" si="504"/>
        <v>1.1277501160000001</v>
      </c>
      <c r="CS625" s="323">
        <f t="shared" si="504"/>
        <v>2.4514973879999999</v>
      </c>
      <c r="CT625" s="323">
        <f t="shared" si="504"/>
        <v>1.0587368719999999</v>
      </c>
      <c r="CU625" s="323">
        <f t="shared" si="504"/>
        <v>1.3975622430000001</v>
      </c>
      <c r="CV625" s="323">
        <f t="shared" si="504"/>
        <v>1.791853173</v>
      </c>
      <c r="CW625" s="323">
        <f t="shared" si="504"/>
        <v>1.7077041459999998</v>
      </c>
      <c r="CX625" s="323">
        <f t="shared" si="504"/>
        <v>1.0288627880000001</v>
      </c>
      <c r="CY625" s="323">
        <f t="shared" si="504"/>
        <v>1.8426684580000001</v>
      </c>
      <c r="CZ625" s="323">
        <f t="shared" si="504"/>
        <v>3.7820743399999999</v>
      </c>
      <c r="DA625" s="323">
        <f t="shared" si="504"/>
        <v>2.0963128589999998</v>
      </c>
      <c r="DB625" s="1269">
        <f t="shared" si="504"/>
        <v>1.8369815279999999</v>
      </c>
      <c r="DC625" s="323">
        <f t="shared" si="504"/>
        <v>0</v>
      </c>
      <c r="DD625" s="323">
        <f t="shared" si="504"/>
        <v>8.8504699000000006E-2</v>
      </c>
      <c r="DE625" s="323">
        <f t="shared" si="504"/>
        <v>0.21395088100000001</v>
      </c>
      <c r="DF625" s="323">
        <f t="shared" si="504"/>
        <v>0.104251079</v>
      </c>
      <c r="DG625" s="323">
        <f t="shared" si="504"/>
        <v>0.42393392299999999</v>
      </c>
      <c r="DH625" s="323">
        <f t="shared" si="504"/>
        <v>6.0823601999999997E-2</v>
      </c>
      <c r="DI625" s="323">
        <f t="shared" si="504"/>
        <v>0.22819368400000001</v>
      </c>
      <c r="DJ625" s="323">
        <f t="shared" si="504"/>
        <v>0.257469748</v>
      </c>
      <c r="DK625" s="323">
        <f t="shared" ref="DK625:EP625" si="505">DK301</f>
        <v>0</v>
      </c>
      <c r="DL625" s="323">
        <f t="shared" si="505"/>
        <v>0.67878242799999999</v>
      </c>
      <c r="DM625" s="323">
        <f t="shared" si="505"/>
        <v>6.4819420000000003E-2</v>
      </c>
      <c r="DN625" s="325">
        <f t="shared" si="505"/>
        <v>0.81591566800000004</v>
      </c>
      <c r="DO625" s="323">
        <f t="shared" si="505"/>
        <v>0</v>
      </c>
      <c r="DP625" s="323">
        <f t="shared" si="505"/>
        <v>0.49947828100000002</v>
      </c>
      <c r="DQ625" s="323">
        <f t="shared" si="505"/>
        <v>0</v>
      </c>
      <c r="DR625" s="323">
        <f t="shared" si="505"/>
        <v>0</v>
      </c>
      <c r="DS625" s="323">
        <f t="shared" si="505"/>
        <v>0</v>
      </c>
      <c r="DT625" s="323">
        <f t="shared" si="505"/>
        <v>0</v>
      </c>
      <c r="DU625" s="323">
        <f t="shared" si="505"/>
        <v>0</v>
      </c>
      <c r="DV625" s="323">
        <f t="shared" si="505"/>
        <v>0</v>
      </c>
      <c r="DW625" s="323">
        <f t="shared" si="505"/>
        <v>0</v>
      </c>
      <c r="DX625" s="323">
        <f t="shared" si="505"/>
        <v>0</v>
      </c>
      <c r="DY625" s="323">
        <f t="shared" si="505"/>
        <v>0</v>
      </c>
      <c r="DZ625" s="325">
        <f t="shared" si="505"/>
        <v>0</v>
      </c>
      <c r="EA625" s="323">
        <f t="shared" si="505"/>
        <v>0</v>
      </c>
      <c r="EB625" s="323">
        <f t="shared" si="505"/>
        <v>0</v>
      </c>
      <c r="EC625" s="323">
        <f t="shared" si="505"/>
        <v>0</v>
      </c>
      <c r="ED625" s="323">
        <f t="shared" si="505"/>
        <v>0</v>
      </c>
      <c r="EE625" s="323">
        <f t="shared" si="505"/>
        <v>0</v>
      </c>
      <c r="EF625" s="323">
        <f t="shared" si="505"/>
        <v>0</v>
      </c>
      <c r="EG625" s="323">
        <f t="shared" si="505"/>
        <v>0</v>
      </c>
      <c r="EH625" s="323">
        <f t="shared" si="505"/>
        <v>0</v>
      </c>
      <c r="EI625" s="323">
        <f t="shared" si="505"/>
        <v>0</v>
      </c>
      <c r="EJ625" s="323">
        <f t="shared" si="505"/>
        <v>0</v>
      </c>
      <c r="EK625" s="323">
        <f t="shared" si="505"/>
        <v>0</v>
      </c>
      <c r="EL625" s="325">
        <f t="shared" si="505"/>
        <v>0</v>
      </c>
      <c r="EM625" s="323">
        <f t="shared" si="505"/>
        <v>0</v>
      </c>
      <c r="EN625" s="323">
        <f t="shared" si="505"/>
        <v>0</v>
      </c>
      <c r="EO625" s="323">
        <f t="shared" si="505"/>
        <v>0</v>
      </c>
      <c r="EP625" s="323">
        <f t="shared" si="505"/>
        <v>0</v>
      </c>
      <c r="EQ625" s="323">
        <f t="shared" ref="EQ625:EX625" si="506">EQ301</f>
        <v>0</v>
      </c>
      <c r="ER625" s="323">
        <f t="shared" si="506"/>
        <v>0</v>
      </c>
      <c r="ES625" s="323">
        <f t="shared" si="506"/>
        <v>0</v>
      </c>
      <c r="ET625" s="323">
        <f t="shared" si="506"/>
        <v>0</v>
      </c>
      <c r="EU625" s="323">
        <f t="shared" si="506"/>
        <v>0</v>
      </c>
      <c r="EV625" s="323">
        <f t="shared" si="506"/>
        <v>0</v>
      </c>
      <c r="EW625" s="323">
        <f t="shared" si="506"/>
        <v>0</v>
      </c>
      <c r="EX625" s="325">
        <f t="shared" si="506"/>
        <v>0</v>
      </c>
      <c r="EY625" s="323"/>
      <c r="EZ625" s="323"/>
      <c r="FA625" s="323"/>
      <c r="FB625" s="323"/>
      <c r="FC625" s="323"/>
      <c r="FD625" s="323"/>
      <c r="FE625" s="323"/>
      <c r="FF625" s="323"/>
      <c r="FG625" s="323"/>
      <c r="FH625" s="323"/>
      <c r="FI625" s="323"/>
      <c r="FJ625" s="325"/>
      <c r="FK625" s="323"/>
      <c r="FL625" s="323"/>
      <c r="FM625" s="323"/>
      <c r="FN625" s="323"/>
      <c r="FO625" s="323"/>
      <c r="FP625" s="323"/>
      <c r="FQ625" s="323"/>
      <c r="FR625" s="323"/>
      <c r="FS625" s="323"/>
      <c r="FT625" s="323"/>
      <c r="FU625" s="323"/>
      <c r="FV625" s="323"/>
      <c r="FW625" s="323"/>
      <c r="FX625" s="323"/>
      <c r="FY625" s="323"/>
      <c r="FZ625" s="323"/>
      <c r="GA625" s="323"/>
      <c r="GB625" s="323"/>
      <c r="GC625" s="323"/>
      <c r="GD625" s="323"/>
      <c r="GE625" s="323"/>
      <c r="GF625" s="323"/>
      <c r="GG625" s="323"/>
      <c r="GH625" s="323"/>
      <c r="GI625" s="323"/>
      <c r="GJ625" s="323"/>
      <c r="GK625" s="323"/>
      <c r="GL625" s="323"/>
      <c r="GM625" s="323"/>
      <c r="GN625" s="323"/>
      <c r="GO625" s="323"/>
      <c r="GP625" s="323"/>
      <c r="GQ625" s="323"/>
      <c r="GR625" s="323"/>
      <c r="GS625" s="323"/>
      <c r="GT625" s="323"/>
      <c r="GU625" s="323"/>
      <c r="GV625" s="323"/>
      <c r="GW625" s="323"/>
      <c r="GX625" s="323"/>
      <c r="GY625" s="323"/>
      <c r="GZ625" s="323"/>
      <c r="HA625" s="323"/>
      <c r="HB625" s="323"/>
      <c r="HC625" s="323"/>
      <c r="HD625" s="323"/>
      <c r="HE625" s="323"/>
      <c r="HF625" s="323"/>
      <c r="HG625" s="323"/>
      <c r="HH625" s="323"/>
      <c r="HI625" s="323"/>
      <c r="HJ625" s="323"/>
      <c r="HK625" s="323"/>
      <c r="HL625" s="323"/>
      <c r="HM625" s="323"/>
      <c r="HN625" s="323"/>
      <c r="HO625" s="323"/>
      <c r="HP625" s="323"/>
      <c r="HQ625" s="323"/>
      <c r="HR625" s="323"/>
      <c r="HS625" s="323"/>
      <c r="HT625" s="323"/>
      <c r="HU625" s="323"/>
      <c r="HV625" s="323"/>
      <c r="HW625" s="323"/>
      <c r="HX625" s="323"/>
      <c r="HY625" s="323"/>
      <c r="HZ625" s="326"/>
      <c r="IA625" s="328" t="s">
        <v>635</v>
      </c>
      <c r="IB625" s="328"/>
      <c r="IC625" s="328"/>
      <c r="ID625" s="323">
        <f>+FISC!Z831</f>
        <v>20.7</v>
      </c>
      <c r="IE625" s="279">
        <f t="shared" si="494"/>
        <v>8.5058284850000003</v>
      </c>
      <c r="IF625" s="279">
        <f t="shared" si="495"/>
        <v>12.294604118999999</v>
      </c>
      <c r="IG625" s="323">
        <f t="shared" si="496"/>
        <v>20.800432604000001</v>
      </c>
      <c r="IH625" s="279">
        <f>+SUM(DC625:DH625)</f>
        <v>0.89146418400000005</v>
      </c>
      <c r="II625" s="279">
        <f>+SUM(DI625:DN625)</f>
        <v>2.0451809480000001</v>
      </c>
      <c r="IJ625" s="323">
        <f>IH625+II625</f>
        <v>2.9366451320000002</v>
      </c>
      <c r="IK625" s="279">
        <f>SUM(DO625:DT625)</f>
        <v>0.49947828100000002</v>
      </c>
      <c r="IL625" s="279">
        <f t="shared" si="497"/>
        <v>0</v>
      </c>
      <c r="IM625" s="323">
        <f t="shared" si="503"/>
        <v>0.49947828100000002</v>
      </c>
      <c r="IN625" s="279">
        <f>+IP625/2</f>
        <v>0</v>
      </c>
      <c r="IO625" s="279">
        <f>+IP625-IN625</f>
        <v>0</v>
      </c>
      <c r="IP625" s="323">
        <f>FISC!AC831</f>
        <v>0</v>
      </c>
      <c r="IQ625" s="279">
        <f t="shared" si="458"/>
        <v>0</v>
      </c>
      <c r="IR625" s="279">
        <f t="shared" si="459"/>
        <v>0</v>
      </c>
      <c r="IS625" s="323">
        <f t="shared" si="407"/>
        <v>0</v>
      </c>
      <c r="IT625" s="327"/>
      <c r="IU625" s="327"/>
      <c r="IV625" s="323">
        <f>+FISC!AE831</f>
        <v>0</v>
      </c>
      <c r="IW625" s="279">
        <f>IY625*JU625</f>
        <v>0</v>
      </c>
      <c r="IX625" s="279">
        <f t="shared" si="486"/>
        <v>0</v>
      </c>
      <c r="IY625" s="323">
        <f>+FISC!AF831</f>
        <v>0</v>
      </c>
      <c r="IZ625" s="279">
        <f t="shared" si="498"/>
        <v>0</v>
      </c>
      <c r="JA625" s="279">
        <f t="shared" si="360"/>
        <v>0</v>
      </c>
      <c r="JB625" s="323">
        <f>+FISC!AG831</f>
        <v>0</v>
      </c>
      <c r="JC625" s="279">
        <f t="shared" si="499"/>
        <v>0</v>
      </c>
      <c r="JD625" s="279">
        <f t="shared" si="487"/>
        <v>0</v>
      </c>
      <c r="JE625" s="323">
        <f>+FISC!AH831</f>
        <v>0</v>
      </c>
      <c r="JF625" s="279">
        <f t="shared" si="500"/>
        <v>0</v>
      </c>
      <c r="JG625" s="279">
        <f t="shared" si="488"/>
        <v>0</v>
      </c>
      <c r="JH625" s="323">
        <f>+FISC!AI831</f>
        <v>0</v>
      </c>
      <c r="JI625" s="279">
        <f t="shared" si="501"/>
        <v>0</v>
      </c>
      <c r="JJ625" s="279">
        <f t="shared" si="489"/>
        <v>0</v>
      </c>
      <c r="JK625" s="323">
        <f>+FISC!AJ831</f>
        <v>0</v>
      </c>
      <c r="JL625" s="279">
        <f t="shared" si="502"/>
        <v>0</v>
      </c>
      <c r="JM625" s="279">
        <f t="shared" si="490"/>
        <v>0</v>
      </c>
      <c r="JN625" s="323">
        <f>+FISC!AK831</f>
        <v>0</v>
      </c>
      <c r="JO625" s="323"/>
      <c r="KU625" s="326"/>
      <c r="KV625" s="327"/>
    </row>
    <row r="626" spans="1:314" hidden="1">
      <c r="A626" s="279"/>
      <c r="B626" s="96" t="s">
        <v>338</v>
      </c>
      <c r="D626" s="328" t="str">
        <f>+FISC!D832</f>
        <v>Of which: Global Fund</v>
      </c>
      <c r="E626" s="323"/>
      <c r="F626" s="323"/>
      <c r="G626" s="323"/>
      <c r="H626" s="323"/>
      <c r="I626" s="323"/>
      <c r="J626" s="323"/>
      <c r="K626" s="323"/>
      <c r="L626" s="323"/>
      <c r="M626" s="323"/>
      <c r="N626" s="323"/>
      <c r="O626" s="323"/>
      <c r="P626" s="323"/>
      <c r="Q626" s="323"/>
      <c r="R626" s="323"/>
      <c r="S626" s="323"/>
      <c r="T626" s="323"/>
      <c r="U626" s="323"/>
      <c r="V626" s="323"/>
      <c r="W626" s="323"/>
      <c r="X626" s="323"/>
      <c r="Y626" s="323"/>
      <c r="Z626" s="323"/>
      <c r="AA626" s="323"/>
      <c r="AB626" s="323"/>
      <c r="AC626" s="323"/>
      <c r="AD626" s="323"/>
      <c r="AE626" s="323"/>
      <c r="AF626" s="323"/>
      <c r="AG626" s="323"/>
      <c r="AH626" s="323"/>
      <c r="AI626" s="323"/>
      <c r="AJ626" s="323"/>
      <c r="AK626" s="323"/>
      <c r="AL626" s="323"/>
      <c r="AM626" s="323"/>
      <c r="AN626" s="323"/>
      <c r="AO626" s="323"/>
      <c r="AP626" s="323"/>
      <c r="AQ626" s="323"/>
      <c r="AR626" s="323"/>
      <c r="AS626" s="323"/>
      <c r="AT626" s="323"/>
      <c r="AU626" s="323"/>
      <c r="AV626" s="323"/>
      <c r="AW626" s="323"/>
      <c r="AX626" s="323"/>
      <c r="AY626" s="323"/>
      <c r="AZ626" s="323"/>
      <c r="BA626" s="323"/>
      <c r="BB626" s="323"/>
      <c r="BC626" s="323"/>
      <c r="BD626" s="323"/>
      <c r="BE626" s="323"/>
      <c r="BF626" s="323"/>
      <c r="BG626" s="323"/>
      <c r="BH626" s="323"/>
      <c r="BI626" s="323"/>
      <c r="BJ626" s="323"/>
      <c r="BK626" s="323"/>
      <c r="BL626" s="323"/>
      <c r="BM626" s="323"/>
      <c r="BN626" s="323"/>
      <c r="BO626" s="323"/>
      <c r="BP626" s="323"/>
      <c r="BQ626" s="323"/>
      <c r="BR626" s="323"/>
      <c r="BS626" s="323"/>
      <c r="BT626" s="323"/>
      <c r="BU626" s="323"/>
      <c r="BV626" s="323"/>
      <c r="BW626" s="323"/>
      <c r="BX626" s="323"/>
      <c r="BY626" s="323"/>
      <c r="BZ626" s="323"/>
      <c r="CA626" s="323"/>
      <c r="CB626" s="323"/>
      <c r="CC626" s="323"/>
      <c r="CD626" s="323"/>
      <c r="CE626" s="324">
        <v>0</v>
      </c>
      <c r="CF626" s="323">
        <v>0</v>
      </c>
      <c r="CG626" s="323">
        <v>0</v>
      </c>
      <c r="CH626" s="323">
        <v>0</v>
      </c>
      <c r="CI626" s="323">
        <v>0</v>
      </c>
      <c r="CJ626" s="323">
        <v>0</v>
      </c>
      <c r="CK626" s="323">
        <v>0</v>
      </c>
      <c r="CL626" s="323">
        <v>0</v>
      </c>
      <c r="CM626" s="323">
        <v>0</v>
      </c>
      <c r="CN626" s="323">
        <v>0</v>
      </c>
      <c r="CO626" s="323">
        <v>0</v>
      </c>
      <c r="CP626" s="325">
        <v>0</v>
      </c>
      <c r="CQ626" s="323">
        <v>0.116147822</v>
      </c>
      <c r="CR626" s="323">
        <v>4.1447483370000002</v>
      </c>
      <c r="CS626" s="323">
        <v>7.4113048629999998</v>
      </c>
      <c r="CT626" s="323">
        <v>5.2484898449999999</v>
      </c>
      <c r="CU626" s="323">
        <v>5.5188607110000003</v>
      </c>
      <c r="CV626" s="323">
        <v>2.8069111709999999</v>
      </c>
      <c r="CW626" s="323">
        <v>3.6153904090000002</v>
      </c>
      <c r="CX626" s="323">
        <v>5.574319333</v>
      </c>
      <c r="CY626" s="323">
        <v>3.8954458139999999</v>
      </c>
      <c r="CZ626" s="323">
        <v>4.5579970860000003</v>
      </c>
      <c r="DA626" s="323">
        <v>10.6792301</v>
      </c>
      <c r="DB626" s="1269">
        <v>10.601802373</v>
      </c>
      <c r="DC626" s="608">
        <f t="shared" ref="DC626:EL626" si="507">+DC161</f>
        <v>0</v>
      </c>
      <c r="DD626" s="608">
        <f t="shared" si="507"/>
        <v>0</v>
      </c>
      <c r="DE626" s="608">
        <f t="shared" si="507"/>
        <v>14.21628849242</v>
      </c>
      <c r="DF626" s="608">
        <f t="shared" si="507"/>
        <v>0</v>
      </c>
      <c r="DG626" s="608">
        <f t="shared" si="507"/>
        <v>26.637305150966998</v>
      </c>
      <c r="DH626" s="608">
        <f t="shared" si="507"/>
        <v>9.6211446272880308E-2</v>
      </c>
      <c r="DI626" s="608">
        <f t="shared" si="507"/>
        <v>0</v>
      </c>
      <c r="DJ626" s="608">
        <f t="shared" si="507"/>
        <v>0</v>
      </c>
      <c r="DK626" s="608">
        <f t="shared" si="507"/>
        <v>0</v>
      </c>
      <c r="DL626" s="608">
        <f t="shared" si="507"/>
        <v>29.43256141839035</v>
      </c>
      <c r="DM626" s="608">
        <f t="shared" si="507"/>
        <v>0</v>
      </c>
      <c r="DN626" s="642">
        <f t="shared" si="507"/>
        <v>0</v>
      </c>
      <c r="DO626" s="608">
        <f t="shared" si="507"/>
        <v>4.6855716548560604</v>
      </c>
      <c r="DP626" s="608">
        <f t="shared" si="507"/>
        <v>0</v>
      </c>
      <c r="DQ626" s="608">
        <f t="shared" si="507"/>
        <v>0</v>
      </c>
      <c r="DR626" s="608">
        <f t="shared" si="507"/>
        <v>0</v>
      </c>
      <c r="DS626" s="608">
        <f t="shared" si="507"/>
        <v>9.1588665883095004</v>
      </c>
      <c r="DT626" s="608">
        <f t="shared" si="507"/>
        <v>12.1669553399959</v>
      </c>
      <c r="DU626" s="608">
        <f t="shared" si="507"/>
        <v>15.873335991999999</v>
      </c>
      <c r="DV626" s="608">
        <f t="shared" si="507"/>
        <v>0</v>
      </c>
      <c r="DW626" s="608">
        <f t="shared" si="507"/>
        <v>0</v>
      </c>
      <c r="DX626" s="608">
        <f t="shared" si="507"/>
        <v>12.168713068197375</v>
      </c>
      <c r="DY626" s="608">
        <f t="shared" si="507"/>
        <v>0</v>
      </c>
      <c r="DZ626" s="325">
        <f t="shared" si="507"/>
        <v>0</v>
      </c>
      <c r="EA626" s="323">
        <f t="shared" si="507"/>
        <v>16.435436211999999</v>
      </c>
      <c r="EB626" s="608">
        <f t="shared" si="507"/>
        <v>0</v>
      </c>
      <c r="EC626" s="608">
        <f t="shared" si="507"/>
        <v>0</v>
      </c>
      <c r="ED626" s="608">
        <f t="shared" si="507"/>
        <v>14.085088711999999</v>
      </c>
      <c r="EE626" s="608">
        <f t="shared" si="507"/>
        <v>4.495227206</v>
      </c>
      <c r="EF626" s="608">
        <f t="shared" si="507"/>
        <v>1.499967818</v>
      </c>
      <c r="EG626" s="608">
        <f t="shared" si="507"/>
        <v>0</v>
      </c>
      <c r="EH626" s="608">
        <f t="shared" si="507"/>
        <v>3.4351810120000001</v>
      </c>
      <c r="EI626" s="608">
        <f t="shared" si="507"/>
        <v>15.789495488</v>
      </c>
      <c r="EJ626" s="608">
        <f t="shared" si="507"/>
        <v>13.831257405999999</v>
      </c>
      <c r="EK626" s="608">
        <f t="shared" si="507"/>
        <v>0</v>
      </c>
      <c r="EL626" s="642">
        <f t="shared" si="507"/>
        <v>0</v>
      </c>
      <c r="EM626" s="608">
        <f t="shared" ref="EM626:EX626" si="508">EM257</f>
        <v>2.3158961059999998</v>
      </c>
      <c r="EN626" s="608">
        <f t="shared" si="508"/>
        <v>2.504822823</v>
      </c>
      <c r="EO626" s="608">
        <f t="shared" si="508"/>
        <v>1.9591349929999999</v>
      </c>
      <c r="EP626" s="608">
        <f t="shared" si="508"/>
        <v>7.1750623530000004</v>
      </c>
      <c r="EQ626" s="608">
        <f t="shared" si="508"/>
        <v>6.5964459550000001</v>
      </c>
      <c r="ER626" s="608">
        <f t="shared" si="508"/>
        <v>2.4404201950000002</v>
      </c>
      <c r="ES626" s="608">
        <f t="shared" si="508"/>
        <v>3.1315734179999999</v>
      </c>
      <c r="ET626" s="608">
        <f t="shared" si="508"/>
        <v>4.7265107820000001</v>
      </c>
      <c r="EU626" s="608">
        <f t="shared" si="508"/>
        <v>6.1300859609999998</v>
      </c>
      <c r="EV626" s="608">
        <f t="shared" si="508"/>
        <v>5.6363455729999998</v>
      </c>
      <c r="EW626" s="608">
        <f t="shared" si="508"/>
        <v>10.017233999</v>
      </c>
      <c r="EX626" s="642">
        <f t="shared" si="508"/>
        <v>10.399856092</v>
      </c>
      <c r="EY626" s="608"/>
      <c r="EZ626" s="608"/>
      <c r="FA626" s="608"/>
      <c r="FB626" s="608"/>
      <c r="FC626" s="608"/>
      <c r="FD626" s="608"/>
      <c r="FE626" s="608"/>
      <c r="FF626" s="608"/>
      <c r="FG626" s="608"/>
      <c r="FH626" s="608"/>
      <c r="FI626" s="608"/>
      <c r="FJ626" s="642"/>
      <c r="FK626" s="608"/>
      <c r="FL626" s="608"/>
      <c r="FM626" s="608"/>
      <c r="FN626" s="608"/>
      <c r="FO626" s="608"/>
      <c r="FP626" s="608"/>
      <c r="FQ626" s="608"/>
      <c r="FR626" s="608"/>
      <c r="FS626" s="608"/>
      <c r="FT626" s="608"/>
      <c r="FU626" s="608"/>
      <c r="FV626" s="608"/>
      <c r="FW626" s="608"/>
      <c r="FX626" s="608"/>
      <c r="FY626" s="608"/>
      <c r="FZ626" s="608"/>
      <c r="GA626" s="608"/>
      <c r="GB626" s="608"/>
      <c r="GC626" s="608"/>
      <c r="GD626" s="608"/>
      <c r="GE626" s="608"/>
      <c r="GF626" s="608"/>
      <c r="GG626" s="608"/>
      <c r="GH626" s="608"/>
      <c r="GI626" s="608"/>
      <c r="GJ626" s="608"/>
      <c r="GK626" s="608"/>
      <c r="GL626" s="608"/>
      <c r="GM626" s="608"/>
      <c r="GN626" s="608"/>
      <c r="GO626" s="608"/>
      <c r="GP626" s="608"/>
      <c r="GQ626" s="608"/>
      <c r="GR626" s="608"/>
      <c r="GS626" s="608"/>
      <c r="GT626" s="608"/>
      <c r="GU626" s="608"/>
      <c r="GV626" s="608"/>
      <c r="GW626" s="608"/>
      <c r="GX626" s="608"/>
      <c r="GY626" s="608"/>
      <c r="GZ626" s="608"/>
      <c r="HA626" s="608"/>
      <c r="HB626" s="608"/>
      <c r="HC626" s="608"/>
      <c r="HD626" s="608"/>
      <c r="HE626" s="608"/>
      <c r="HF626" s="608"/>
      <c r="HG626" s="608"/>
      <c r="HH626" s="608"/>
      <c r="HI626" s="608"/>
      <c r="HJ626" s="608"/>
      <c r="HK626" s="608"/>
      <c r="HL626" s="608"/>
      <c r="HM626" s="608"/>
      <c r="HN626" s="608"/>
      <c r="HO626" s="608"/>
      <c r="HP626" s="608"/>
      <c r="HQ626" s="608"/>
      <c r="HR626" s="608"/>
      <c r="HS626" s="608"/>
      <c r="HT626" s="608"/>
      <c r="HU626" s="608"/>
      <c r="HV626" s="608"/>
      <c r="HW626" s="608"/>
      <c r="HX626" s="608"/>
      <c r="HY626" s="608"/>
      <c r="HZ626" s="326"/>
      <c r="IA626" s="328" t="s">
        <v>634</v>
      </c>
      <c r="IB626" s="328"/>
      <c r="IC626" s="328"/>
      <c r="ID626" s="323">
        <f>+FISC!Z832</f>
        <v>63.1</v>
      </c>
      <c r="IE626" s="279">
        <f t="shared" si="494"/>
        <v>25.246462748999999</v>
      </c>
      <c r="IF626" s="279">
        <f t="shared" si="495"/>
        <v>38.924185115</v>
      </c>
      <c r="IG626" s="323">
        <f t="shared" si="496"/>
        <v>64.170647864000003</v>
      </c>
      <c r="IH626" s="279">
        <f>+SUM(DC626:DH626)</f>
        <v>40.949805089659883</v>
      </c>
      <c r="II626" s="279">
        <f>+SUM(DI626:DN626)</f>
        <v>29.43256141839035</v>
      </c>
      <c r="IJ626" s="323">
        <f>IH626+II626</f>
        <v>70.382366508050239</v>
      </c>
      <c r="IK626" s="279">
        <f>+SUM(DO626:DT626)</f>
        <v>26.01139358316146</v>
      </c>
      <c r="IL626" s="279">
        <f t="shared" si="497"/>
        <v>28.042049060197375</v>
      </c>
      <c r="IM626" s="323">
        <f>IK626+IL626+19.2</f>
        <v>73.253442643358838</v>
      </c>
      <c r="IN626" s="279">
        <f>(+IN579)*0+36.41932021</f>
        <v>36.419320210000002</v>
      </c>
      <c r="IO626" s="279">
        <f>+IP626-IN626</f>
        <v>36.999027930999993</v>
      </c>
      <c r="IP626" s="323">
        <f>FISC!AC832</f>
        <v>73.418348140999996</v>
      </c>
      <c r="IQ626" s="279">
        <f t="shared" si="458"/>
        <v>22.991782425000004</v>
      </c>
      <c r="IR626" s="279">
        <f t="shared" si="459"/>
        <v>40.041605824999998</v>
      </c>
      <c r="IS626" s="323">
        <f>IQ626+IR626</f>
        <v>63.033388250000002</v>
      </c>
      <c r="IT626" s="279">
        <f>+IT579</f>
        <v>31.804202355335967</v>
      </c>
      <c r="IU626" s="279">
        <f>+IV626-IT626</f>
        <v>34.57366317529921</v>
      </c>
      <c r="IV626" s="323">
        <f>+FISC!AE832</f>
        <v>66.377865530635177</v>
      </c>
      <c r="IW626" s="279">
        <f>+IW579</f>
        <v>46.19691627755703</v>
      </c>
      <c r="IX626" s="279">
        <f t="shared" si="486"/>
        <v>22.089524221582472</v>
      </c>
      <c r="IY626" s="323">
        <f>+FISC!AF832</f>
        <v>68.286440499139502</v>
      </c>
      <c r="IZ626" s="279">
        <f>+IZ579</f>
        <v>82.287231546247767</v>
      </c>
      <c r="JA626" s="279">
        <f t="shared" si="360"/>
        <v>28.320719117670635</v>
      </c>
      <c r="JB626" s="323">
        <f>+FISC!AG832</f>
        <v>110.6079506639184</v>
      </c>
      <c r="JC626" s="279">
        <f>+JC579</f>
        <v>46.578826280992601</v>
      </c>
      <c r="JD626" s="279">
        <f t="shared" si="487"/>
        <v>36.234864148261138</v>
      </c>
      <c r="JE626" s="323">
        <f>+FISC!AH832</f>
        <v>82.813690429253739</v>
      </c>
      <c r="JF626" s="279">
        <f>+JF579</f>
        <v>60.790741677113502</v>
      </c>
      <c r="JG626" s="279">
        <f t="shared" si="488"/>
        <v>26.603590219699043</v>
      </c>
      <c r="JH626" s="323">
        <f>+FISC!AI832</f>
        <v>87.394331896812545</v>
      </c>
      <c r="JI626" s="279">
        <f>+JI579</f>
        <v>55.243937933381488</v>
      </c>
      <c r="JJ626" s="279">
        <f t="shared" si="489"/>
        <v>29.115035655753843</v>
      </c>
      <c r="JK626" s="323">
        <f>+FISC!AJ832</f>
        <v>84.358973589135331</v>
      </c>
      <c r="JL626" s="279">
        <f>+JL579</f>
        <v>58.559016209242181</v>
      </c>
      <c r="JM626" s="279">
        <f t="shared" si="490"/>
        <v>-58.559016209242181</v>
      </c>
      <c r="JN626" s="323">
        <f>+FISC!AK832</f>
        <v>0</v>
      </c>
      <c r="JO626" s="323"/>
      <c r="KU626" s="326"/>
      <c r="KV626" s="327"/>
    </row>
    <row r="627" spans="1:314" hidden="1">
      <c r="A627" s="279"/>
      <c r="B627" s="96" t="s">
        <v>338</v>
      </c>
      <c r="D627" s="328" t="str">
        <f>+FISC!D833</f>
        <v>Of which: Sovereign Bonds proceeds/Energy</v>
      </c>
      <c r="E627" s="323"/>
      <c r="F627" s="323"/>
      <c r="G627" s="323"/>
      <c r="H627" s="323"/>
      <c r="I627" s="323"/>
      <c r="J627" s="323"/>
      <c r="K627" s="323"/>
      <c r="L627" s="323"/>
      <c r="M627" s="323"/>
      <c r="N627" s="323"/>
      <c r="O627" s="323"/>
      <c r="P627" s="323"/>
      <c r="Q627" s="323"/>
      <c r="R627" s="323"/>
      <c r="S627" s="323"/>
      <c r="T627" s="323"/>
      <c r="U627" s="323"/>
      <c r="V627" s="323"/>
      <c r="W627" s="323"/>
      <c r="X627" s="323"/>
      <c r="Y627" s="323"/>
      <c r="Z627" s="323"/>
      <c r="AA627" s="323"/>
      <c r="AB627" s="323"/>
      <c r="AC627" s="323"/>
      <c r="AD627" s="323"/>
      <c r="AE627" s="323"/>
      <c r="AF627" s="323"/>
      <c r="AG627" s="323"/>
      <c r="AH627" s="323"/>
      <c r="AI627" s="323"/>
      <c r="AJ627" s="323"/>
      <c r="AK627" s="323"/>
      <c r="AL627" s="323"/>
      <c r="AM627" s="323"/>
      <c r="AN627" s="323"/>
      <c r="AO627" s="323"/>
      <c r="AP627" s="323"/>
      <c r="AQ627" s="323"/>
      <c r="AR627" s="323"/>
      <c r="AS627" s="323"/>
      <c r="AT627" s="323"/>
      <c r="AU627" s="323"/>
      <c r="AV627" s="323"/>
      <c r="AW627" s="323"/>
      <c r="AX627" s="323"/>
      <c r="AY627" s="323"/>
      <c r="AZ627" s="323"/>
      <c r="BA627" s="323"/>
      <c r="BB627" s="323"/>
      <c r="BC627" s="323"/>
      <c r="BD627" s="323"/>
      <c r="BE627" s="323"/>
      <c r="BF627" s="323"/>
      <c r="BG627" s="323"/>
      <c r="BH627" s="323"/>
      <c r="BI627" s="323"/>
      <c r="BJ627" s="323"/>
      <c r="BK627" s="323"/>
      <c r="BL627" s="323"/>
      <c r="BM627" s="323"/>
      <c r="BN627" s="323"/>
      <c r="BO627" s="323"/>
      <c r="BP627" s="323"/>
      <c r="BQ627" s="323"/>
      <c r="BR627" s="323"/>
      <c r="BS627" s="323"/>
      <c r="BT627" s="323"/>
      <c r="BU627" s="323"/>
      <c r="BV627" s="323"/>
      <c r="BW627" s="323"/>
      <c r="BX627" s="323"/>
      <c r="BY627" s="323"/>
      <c r="BZ627" s="323"/>
      <c r="CA627" s="323"/>
      <c r="CB627" s="323"/>
      <c r="CC627" s="323"/>
      <c r="CD627" s="323"/>
      <c r="CE627" s="324"/>
      <c r="CF627" s="323"/>
      <c r="CG627" s="323"/>
      <c r="CH627" s="323"/>
      <c r="CI627" s="323"/>
      <c r="CJ627" s="323"/>
      <c r="CK627" s="323"/>
      <c r="CL627" s="323"/>
      <c r="CM627" s="323"/>
      <c r="CN627" s="323"/>
      <c r="CO627" s="323"/>
      <c r="CP627" s="325"/>
      <c r="CQ627" s="323">
        <f t="shared" ref="CQ627:DV627" si="509">CQ261</f>
        <v>4.3384599399999999</v>
      </c>
      <c r="CR627" s="323">
        <f t="shared" si="509"/>
        <v>2.8334494619999999</v>
      </c>
      <c r="CS627" s="323">
        <f t="shared" si="509"/>
        <v>5.5940669710000002</v>
      </c>
      <c r="CT627" s="323">
        <f t="shared" si="509"/>
        <v>2.7899434000000001E-2</v>
      </c>
      <c r="CU627" s="323">
        <f t="shared" si="509"/>
        <v>0</v>
      </c>
      <c r="CV627" s="323">
        <f t="shared" si="509"/>
        <v>0</v>
      </c>
      <c r="CW627" s="323">
        <f t="shared" si="509"/>
        <v>3.0288072960000001</v>
      </c>
      <c r="CX627" s="323">
        <f t="shared" si="509"/>
        <v>0.14963575000000001</v>
      </c>
      <c r="CY627" s="323">
        <f t="shared" si="509"/>
        <v>4.3652265970000004</v>
      </c>
      <c r="CZ627" s="323">
        <f t="shared" si="509"/>
        <v>3.8180877049999999</v>
      </c>
      <c r="DA627" s="323">
        <f t="shared" si="509"/>
        <v>0.87516175500000004</v>
      </c>
      <c r="DB627" s="1269">
        <f t="shared" si="509"/>
        <v>3.5785191630000002</v>
      </c>
      <c r="DC627" s="323">
        <f t="shared" si="509"/>
        <v>0</v>
      </c>
      <c r="DD627" s="323">
        <f t="shared" si="509"/>
        <v>0</v>
      </c>
      <c r="DE627" s="323">
        <f t="shared" si="509"/>
        <v>0.84725262700000004</v>
      </c>
      <c r="DF627" s="323">
        <f t="shared" si="509"/>
        <v>1.4201047630000001</v>
      </c>
      <c r="DG627" s="323">
        <f t="shared" si="509"/>
        <v>0.17094899999999999</v>
      </c>
      <c r="DH627" s="323">
        <f t="shared" si="509"/>
        <v>0.83931962000000004</v>
      </c>
      <c r="DI627" s="323">
        <f t="shared" si="509"/>
        <v>2.6560080570000002</v>
      </c>
      <c r="DJ627" s="323">
        <f t="shared" si="509"/>
        <v>0</v>
      </c>
      <c r="DK627" s="323">
        <f t="shared" si="509"/>
        <v>0.496480586</v>
      </c>
      <c r="DL627" s="323">
        <f t="shared" si="509"/>
        <v>0.48701245199999998</v>
      </c>
      <c r="DM627" s="323">
        <f t="shared" si="509"/>
        <v>3.3036283950000001</v>
      </c>
      <c r="DN627" s="325">
        <f t="shared" si="509"/>
        <v>0</v>
      </c>
      <c r="DO627" s="323">
        <f t="shared" si="509"/>
        <v>0</v>
      </c>
      <c r="DP627" s="323">
        <f t="shared" si="509"/>
        <v>0</v>
      </c>
      <c r="DQ627" s="323">
        <f t="shared" si="509"/>
        <v>0</v>
      </c>
      <c r="DR627" s="323">
        <f t="shared" si="509"/>
        <v>0</v>
      </c>
      <c r="DS627" s="323">
        <f t="shared" si="509"/>
        <v>0</v>
      </c>
      <c r="DT627" s="323">
        <f t="shared" si="509"/>
        <v>0</v>
      </c>
      <c r="DU627" s="323">
        <f t="shared" si="509"/>
        <v>0</v>
      </c>
      <c r="DV627" s="323">
        <f t="shared" si="509"/>
        <v>0</v>
      </c>
      <c r="DW627" s="323">
        <f t="shared" ref="DW627:EX627" si="510">DW261</f>
        <v>0</v>
      </c>
      <c r="DX627" s="323">
        <f t="shared" si="510"/>
        <v>0</v>
      </c>
      <c r="DY627" s="323">
        <f t="shared" si="510"/>
        <v>0</v>
      </c>
      <c r="DZ627" s="642">
        <f t="shared" si="510"/>
        <v>0</v>
      </c>
      <c r="EA627" s="608">
        <f t="shared" si="510"/>
        <v>0</v>
      </c>
      <c r="EB627" s="323">
        <f t="shared" si="510"/>
        <v>0</v>
      </c>
      <c r="EC627" s="323">
        <f t="shared" si="510"/>
        <v>0</v>
      </c>
      <c r="ED627" s="323">
        <f t="shared" si="510"/>
        <v>0</v>
      </c>
      <c r="EE627" s="323">
        <f t="shared" si="510"/>
        <v>0</v>
      </c>
      <c r="EF627" s="323">
        <f t="shared" si="510"/>
        <v>0</v>
      </c>
      <c r="EG627" s="323">
        <f t="shared" si="510"/>
        <v>0</v>
      </c>
      <c r="EH627" s="323">
        <f t="shared" si="510"/>
        <v>0</v>
      </c>
      <c r="EI627" s="323">
        <f t="shared" si="510"/>
        <v>0</v>
      </c>
      <c r="EJ627" s="323">
        <f t="shared" si="510"/>
        <v>0</v>
      </c>
      <c r="EK627" s="323">
        <f t="shared" si="510"/>
        <v>0</v>
      </c>
      <c r="EL627" s="325">
        <f t="shared" si="510"/>
        <v>0</v>
      </c>
      <c r="EM627" s="323">
        <f t="shared" si="510"/>
        <v>0</v>
      </c>
      <c r="EN627" s="323">
        <f t="shared" si="510"/>
        <v>0</v>
      </c>
      <c r="EO627" s="323">
        <f t="shared" si="510"/>
        <v>0</v>
      </c>
      <c r="EP627" s="323">
        <f t="shared" si="510"/>
        <v>0</v>
      </c>
      <c r="EQ627" s="323">
        <f t="shared" si="510"/>
        <v>0</v>
      </c>
      <c r="ER627" s="323">
        <f t="shared" si="510"/>
        <v>0</v>
      </c>
      <c r="ES627" s="323">
        <f t="shared" si="510"/>
        <v>0</v>
      </c>
      <c r="ET627" s="323">
        <f t="shared" si="510"/>
        <v>0</v>
      </c>
      <c r="EU627" s="323">
        <f t="shared" si="510"/>
        <v>0</v>
      </c>
      <c r="EV627" s="323">
        <f t="shared" si="510"/>
        <v>0</v>
      </c>
      <c r="EW627" s="323">
        <f t="shared" si="510"/>
        <v>0</v>
      </c>
      <c r="EX627" s="325">
        <f t="shared" si="510"/>
        <v>0</v>
      </c>
      <c r="EY627" s="323"/>
      <c r="EZ627" s="323"/>
      <c r="FA627" s="323"/>
      <c r="FB627" s="323"/>
      <c r="FC627" s="323"/>
      <c r="FD627" s="323"/>
      <c r="FE627" s="323"/>
      <c r="FF627" s="323"/>
      <c r="FG627" s="323"/>
      <c r="FH627" s="323"/>
      <c r="FI627" s="323"/>
      <c r="FJ627" s="325"/>
      <c r="FK627" s="323"/>
      <c r="FL627" s="323"/>
      <c r="FM627" s="323"/>
      <c r="FN627" s="323"/>
      <c r="FO627" s="323"/>
      <c r="FP627" s="323"/>
      <c r="FQ627" s="323"/>
      <c r="FR627" s="323"/>
      <c r="FS627" s="323"/>
      <c r="FT627" s="323"/>
      <c r="FU627" s="323"/>
      <c r="FV627" s="323"/>
      <c r="FW627" s="323"/>
      <c r="FX627" s="323"/>
      <c r="FY627" s="323"/>
      <c r="FZ627" s="323"/>
      <c r="GA627" s="323"/>
      <c r="GB627" s="323"/>
      <c r="GC627" s="323"/>
      <c r="GD627" s="323"/>
      <c r="GE627" s="323"/>
      <c r="GF627" s="323"/>
      <c r="GG627" s="323"/>
      <c r="GH627" s="323"/>
      <c r="GI627" s="323"/>
      <c r="GJ627" s="323"/>
      <c r="GK627" s="323"/>
      <c r="GL627" s="323"/>
      <c r="GM627" s="323"/>
      <c r="GN627" s="323"/>
      <c r="GO627" s="323"/>
      <c r="GP627" s="323"/>
      <c r="GQ627" s="323"/>
      <c r="GR627" s="323"/>
      <c r="GS627" s="323"/>
      <c r="GT627" s="323"/>
      <c r="GU627" s="323"/>
      <c r="GV627" s="323"/>
      <c r="GW627" s="323"/>
      <c r="GX627" s="323"/>
      <c r="GY627" s="323"/>
      <c r="GZ627" s="323"/>
      <c r="HA627" s="323"/>
      <c r="HB627" s="323"/>
      <c r="HC627" s="323"/>
      <c r="HD627" s="323"/>
      <c r="HE627" s="323"/>
      <c r="HF627" s="323"/>
      <c r="HG627" s="323"/>
      <c r="HH627" s="323"/>
      <c r="HI627" s="323"/>
      <c r="HJ627" s="323"/>
      <c r="HK627" s="323"/>
      <c r="HL627" s="323"/>
      <c r="HM627" s="323"/>
      <c r="HN627" s="323"/>
      <c r="HO627" s="323"/>
      <c r="HP627" s="323"/>
      <c r="HQ627" s="323"/>
      <c r="HR627" s="323"/>
      <c r="HS627" s="323"/>
      <c r="HT627" s="323"/>
      <c r="HU627" s="323"/>
      <c r="HV627" s="323"/>
      <c r="HW627" s="323"/>
      <c r="HX627" s="323"/>
      <c r="HY627" s="323"/>
      <c r="HZ627" s="326"/>
      <c r="IA627" s="328" t="s">
        <v>633</v>
      </c>
      <c r="IB627" s="328"/>
      <c r="IC627" s="328"/>
      <c r="ID627" s="323">
        <f>+FISC!Z833</f>
        <v>11.2</v>
      </c>
      <c r="IE627" s="279">
        <f t="shared" si="494"/>
        <v>12.793875807000001</v>
      </c>
      <c r="IF627" s="279">
        <f t="shared" si="495"/>
        <v>15.815438266000001</v>
      </c>
      <c r="IG627" s="323">
        <f t="shared" si="496"/>
        <v>28.609314073</v>
      </c>
      <c r="IH627" s="279">
        <f>+SUM(DC627:DH627)</f>
        <v>3.2776260099999996</v>
      </c>
      <c r="II627" s="279">
        <f>+SUM(DI627:DN627)</f>
        <v>6.9431294900000005</v>
      </c>
      <c r="IJ627" s="323">
        <f>IH627+II627</f>
        <v>10.220755499999999</v>
      </c>
      <c r="IK627" s="279">
        <f>+SUM(DO627:DT627)</f>
        <v>0</v>
      </c>
      <c r="IL627" s="279">
        <f t="shared" si="497"/>
        <v>0</v>
      </c>
      <c r="IM627" s="323">
        <f t="shared" si="503"/>
        <v>0</v>
      </c>
      <c r="IO627" s="327"/>
      <c r="IP627" s="323">
        <f>FISC!AC833</f>
        <v>0</v>
      </c>
      <c r="IQ627" s="279">
        <f t="shared" si="458"/>
        <v>0</v>
      </c>
      <c r="IR627" s="279">
        <f t="shared" si="459"/>
        <v>0</v>
      </c>
      <c r="IS627" s="323">
        <f t="shared" si="407"/>
        <v>0</v>
      </c>
      <c r="IT627" s="327"/>
      <c r="IU627" s="327"/>
      <c r="IV627" s="323">
        <f>+FISC!AE833</f>
        <v>0</v>
      </c>
      <c r="IW627" s="279">
        <f>IY627*JU627</f>
        <v>0</v>
      </c>
      <c r="IX627" s="279">
        <f t="shared" si="486"/>
        <v>0</v>
      </c>
      <c r="IY627" s="323">
        <f>+FISC!AF833</f>
        <v>0</v>
      </c>
      <c r="IZ627" s="279">
        <f t="shared" si="498"/>
        <v>0</v>
      </c>
      <c r="JA627" s="279">
        <f t="shared" si="360"/>
        <v>0</v>
      </c>
      <c r="JB627" s="323">
        <f>+FISC!AG833</f>
        <v>0</v>
      </c>
      <c r="JC627" s="279">
        <f t="shared" si="499"/>
        <v>0</v>
      </c>
      <c r="JD627" s="279">
        <f t="shared" si="487"/>
        <v>0</v>
      </c>
      <c r="JE627" s="323">
        <f>+FISC!AH833</f>
        <v>0</v>
      </c>
      <c r="JF627" s="279">
        <f t="shared" si="500"/>
        <v>0</v>
      </c>
      <c r="JG627" s="279">
        <f t="shared" si="488"/>
        <v>0</v>
      </c>
      <c r="JH627" s="323">
        <f>+FISC!AI833</f>
        <v>0</v>
      </c>
      <c r="JI627" s="279">
        <f t="shared" si="501"/>
        <v>0</v>
      </c>
      <c r="JJ627" s="279">
        <f t="shared" si="489"/>
        <v>0</v>
      </c>
      <c r="JK627" s="323">
        <f>+FISC!AJ833</f>
        <v>0</v>
      </c>
      <c r="JL627" s="279">
        <f t="shared" si="502"/>
        <v>0</v>
      </c>
      <c r="JM627" s="279">
        <f t="shared" si="490"/>
        <v>0</v>
      </c>
      <c r="JN627" s="323">
        <f>+FISC!AK833</f>
        <v>0</v>
      </c>
      <c r="JO627" s="323"/>
      <c r="KU627" s="326"/>
      <c r="KV627" s="327"/>
    </row>
    <row r="628" spans="1:314" hidden="1">
      <c r="A628" s="279"/>
      <c r="B628" s="96" t="s">
        <v>338</v>
      </c>
      <c r="D628" s="322" t="str">
        <f>+FISC!D834</f>
        <v>Foreign</v>
      </c>
      <c r="E628" s="323">
        <v>0</v>
      </c>
      <c r="F628" s="323">
        <v>0</v>
      </c>
      <c r="G628" s="323">
        <v>29.4</v>
      </c>
      <c r="H628" s="323">
        <v>0</v>
      </c>
      <c r="I628" s="323">
        <v>0</v>
      </c>
      <c r="J628" s="323">
        <v>29.3</v>
      </c>
      <c r="K628" s="323">
        <v>0</v>
      </c>
      <c r="L628" s="323">
        <v>0</v>
      </c>
      <c r="M628" s="323">
        <v>31.4</v>
      </c>
      <c r="N628" s="323">
        <v>0</v>
      </c>
      <c r="O628" s="323">
        <v>0</v>
      </c>
      <c r="P628" s="323">
        <v>32.4</v>
      </c>
      <c r="Q628" s="323">
        <v>0</v>
      </c>
      <c r="R628" s="323">
        <v>0</v>
      </c>
      <c r="S628" s="323">
        <v>21.242069999999998</v>
      </c>
      <c r="T628" s="323">
        <v>0</v>
      </c>
      <c r="U628" s="323">
        <v>0</v>
      </c>
      <c r="V628" s="323">
        <v>29.22842</v>
      </c>
      <c r="W628" s="323">
        <v>0</v>
      </c>
      <c r="X628" s="323">
        <v>0</v>
      </c>
      <c r="Y628" s="323">
        <v>30.385300000000001</v>
      </c>
      <c r="Z628" s="323">
        <v>0</v>
      </c>
      <c r="AA628" s="323">
        <v>0</v>
      </c>
      <c r="AB628" s="323">
        <v>67.686899999999994</v>
      </c>
      <c r="AC628" s="323">
        <v>0</v>
      </c>
      <c r="AD628" s="323">
        <v>0</v>
      </c>
      <c r="AE628" s="323">
        <v>39.441300000000005</v>
      </c>
      <c r="AF628" s="323">
        <v>0</v>
      </c>
      <c r="AG628" s="323">
        <v>0</v>
      </c>
      <c r="AH628" s="323">
        <v>28.791571012000006</v>
      </c>
      <c r="AI628" s="323">
        <v>0</v>
      </c>
      <c r="AJ628" s="323">
        <v>0</v>
      </c>
      <c r="AK628" s="323">
        <v>39.314281945000005</v>
      </c>
      <c r="AL628" s="323">
        <v>0</v>
      </c>
      <c r="AM628" s="323">
        <v>0</v>
      </c>
      <c r="AN628" s="323">
        <v>48.320237470999992</v>
      </c>
      <c r="AO628" s="323">
        <v>0</v>
      </c>
      <c r="AP628" s="323">
        <v>0</v>
      </c>
      <c r="AQ628" s="323">
        <v>32.635025601999999</v>
      </c>
      <c r="AR628" s="323">
        <v>0</v>
      </c>
      <c r="AS628" s="323">
        <v>0</v>
      </c>
      <c r="AT628" s="323">
        <v>36.601549328000004</v>
      </c>
      <c r="AU628" s="323">
        <v>0</v>
      </c>
      <c r="AV628" s="323">
        <v>0</v>
      </c>
      <c r="AW628" s="323">
        <v>40.564456559999996</v>
      </c>
      <c r="AX628" s="323">
        <v>0</v>
      </c>
      <c r="AY628" s="323">
        <v>0</v>
      </c>
      <c r="AZ628" s="323">
        <v>47.876462140999998</v>
      </c>
      <c r="BA628" s="323">
        <v>0</v>
      </c>
      <c r="BB628" s="323">
        <v>0</v>
      </c>
      <c r="BC628" s="323">
        <v>78.985767354999993</v>
      </c>
      <c r="BD628" s="323">
        <v>0</v>
      </c>
      <c r="BE628" s="323">
        <v>0</v>
      </c>
      <c r="BF628" s="323">
        <v>52.305443629000003</v>
      </c>
      <c r="BG628" s="323">
        <v>0</v>
      </c>
      <c r="BH628" s="323">
        <v>0</v>
      </c>
      <c r="BI628" s="323">
        <v>37.795994708999999</v>
      </c>
      <c r="BJ628" s="323">
        <v>0</v>
      </c>
      <c r="BK628" s="323">
        <v>0</v>
      </c>
      <c r="BL628" s="323">
        <v>72.880383401000003</v>
      </c>
      <c r="BM628" s="323">
        <v>0</v>
      </c>
      <c r="BN628" s="323">
        <v>0</v>
      </c>
      <c r="BO628" s="323">
        <v>74.443160237000001</v>
      </c>
      <c r="BP628" s="323">
        <v>0</v>
      </c>
      <c r="BQ628" s="323">
        <v>0</v>
      </c>
      <c r="BR628" s="323">
        <v>79.585584824000009</v>
      </c>
      <c r="BS628" s="323">
        <v>0</v>
      </c>
      <c r="BT628" s="323">
        <v>0</v>
      </c>
      <c r="BU628" s="323">
        <v>85.534600000000012</v>
      </c>
      <c r="BV628" s="323"/>
      <c r="BW628" s="323"/>
      <c r="BX628" s="323"/>
      <c r="BY628" s="323"/>
      <c r="BZ628" s="323"/>
      <c r="CA628" s="323"/>
      <c r="CB628" s="323"/>
      <c r="CC628" s="323"/>
      <c r="CD628" s="323"/>
      <c r="CE628" s="324">
        <f t="shared" ref="CE628:CP628" si="511">CE582+CE676+CE633</f>
        <v>33.442606270771698</v>
      </c>
      <c r="CF628" s="323">
        <f t="shared" si="511"/>
        <v>10.11084003473381</v>
      </c>
      <c r="CG628" s="323">
        <f t="shared" si="511"/>
        <v>40.029800420294492</v>
      </c>
      <c r="CH628" s="323">
        <f t="shared" si="511"/>
        <v>52.129023568949599</v>
      </c>
      <c r="CI628" s="323">
        <f t="shared" si="511"/>
        <v>36.938693920135449</v>
      </c>
      <c r="CJ628" s="323">
        <f t="shared" si="511"/>
        <v>30.216815742000946</v>
      </c>
      <c r="CK628" s="323">
        <f t="shared" si="511"/>
        <v>35.465421401968307</v>
      </c>
      <c r="CL628" s="323">
        <f t="shared" si="511"/>
        <v>17.270006588434697</v>
      </c>
      <c r="CM628" s="323">
        <f t="shared" si="511"/>
        <v>19.001184852918993</v>
      </c>
      <c r="CN628" s="323">
        <f t="shared" si="511"/>
        <v>62.239680572925209</v>
      </c>
      <c r="CO628" s="323">
        <f t="shared" si="511"/>
        <v>24.906248327884175</v>
      </c>
      <c r="CP628" s="325">
        <f t="shared" si="511"/>
        <v>30.627619857661593</v>
      </c>
      <c r="CQ628" s="323">
        <f t="shared" ref="CQ628:DT628" si="512">CQ582+CQ676+CQ634</f>
        <v>22.634250257573093</v>
      </c>
      <c r="CR628" s="323">
        <f t="shared" si="512"/>
        <v>24.52159962765402</v>
      </c>
      <c r="CS628" s="323">
        <f t="shared" si="512"/>
        <v>26.668254940129891</v>
      </c>
      <c r="CT628" s="323">
        <f t="shared" si="512"/>
        <v>30.063085946442769</v>
      </c>
      <c r="CU628" s="323">
        <f t="shared" si="512"/>
        <v>37.895227394663344</v>
      </c>
      <c r="CV628" s="323">
        <f t="shared" si="512"/>
        <v>37.215800957066605</v>
      </c>
      <c r="CW628" s="323">
        <f t="shared" si="512"/>
        <v>27.254137346920125</v>
      </c>
      <c r="CX628" s="323">
        <f t="shared" si="512"/>
        <v>24.408593314944181</v>
      </c>
      <c r="CY628" s="323">
        <f t="shared" si="512"/>
        <v>27.545518918423681</v>
      </c>
      <c r="CZ628" s="323">
        <f t="shared" si="512"/>
        <v>16.514020665328591</v>
      </c>
      <c r="DA628" s="323">
        <f t="shared" si="512"/>
        <v>31.02010684723729</v>
      </c>
      <c r="DB628" s="1269">
        <f t="shared" si="512"/>
        <v>34.526302365791111</v>
      </c>
      <c r="DC628" s="323">
        <f t="shared" si="512"/>
        <v>13.879827281461569</v>
      </c>
      <c r="DD628" s="323">
        <f t="shared" si="512"/>
        <v>22.749010906813069</v>
      </c>
      <c r="DE628" s="323">
        <f t="shared" si="512"/>
        <v>27.576527280445355</v>
      </c>
      <c r="DF628" s="323">
        <f t="shared" si="512"/>
        <v>18.87147618274453</v>
      </c>
      <c r="DG628" s="323">
        <f t="shared" si="512"/>
        <v>13.961234766777029</v>
      </c>
      <c r="DH628" s="323">
        <f t="shared" si="512"/>
        <v>51.265758086985443</v>
      </c>
      <c r="DI628" s="323">
        <f t="shared" si="512"/>
        <v>16.342572375724565</v>
      </c>
      <c r="DJ628" s="323">
        <f t="shared" si="512"/>
        <v>17.049001310250979</v>
      </c>
      <c r="DK628" s="323">
        <f t="shared" si="512"/>
        <v>28.752959391475461</v>
      </c>
      <c r="DL628" s="323">
        <f t="shared" si="512"/>
        <v>24.046596579660893</v>
      </c>
      <c r="DM628" s="323">
        <f t="shared" si="512"/>
        <v>26.160917535553409</v>
      </c>
      <c r="DN628" s="325">
        <f t="shared" si="512"/>
        <v>11.152133643740704</v>
      </c>
      <c r="DO628" s="323">
        <f t="shared" si="512"/>
        <v>7.8666976505732329</v>
      </c>
      <c r="DP628" s="323">
        <f t="shared" si="512"/>
        <v>10.426636676368915</v>
      </c>
      <c r="DQ628" s="323">
        <f t="shared" si="512"/>
        <v>39.534174137009401</v>
      </c>
      <c r="DR628" s="323">
        <f t="shared" si="512"/>
        <v>9.2505464423914212</v>
      </c>
      <c r="DS628" s="323">
        <f t="shared" si="512"/>
        <v>11.369225287213002</v>
      </c>
      <c r="DT628" s="323">
        <f t="shared" si="512"/>
        <v>20.325144909231</v>
      </c>
      <c r="DU628" s="323">
        <f t="shared" ref="DU628:DZ628" si="513">DU582+DU676+DU634</f>
        <v>27.096548810042002</v>
      </c>
      <c r="DV628" s="323">
        <f t="shared" si="513"/>
        <v>3.1183098931750002</v>
      </c>
      <c r="DW628" s="323">
        <f t="shared" si="513"/>
        <v>21.614232810366996</v>
      </c>
      <c r="DX628" s="323">
        <f t="shared" si="513"/>
        <v>33.695296073125377</v>
      </c>
      <c r="DY628" s="323">
        <f>DY582+DY676+DY634</f>
        <v>12.780071612072998</v>
      </c>
      <c r="DZ628" s="325">
        <f t="shared" si="513"/>
        <v>21.164277456465001</v>
      </c>
      <c r="EA628" s="323">
        <f t="shared" ref="EA628:EK628" si="514">EA582+EA676+EA634</f>
        <v>21.74761611951476</v>
      </c>
      <c r="EB628" s="323">
        <f t="shared" si="514"/>
        <v>25.760209253194738</v>
      </c>
      <c r="EC628" s="323">
        <f t="shared" si="514"/>
        <v>23.0598770162485</v>
      </c>
      <c r="ED628" s="323">
        <f t="shared" si="514"/>
        <v>23.712366129118919</v>
      </c>
      <c r="EE628" s="323">
        <f t="shared" si="514"/>
        <v>26.735410227996319</v>
      </c>
      <c r="EF628" s="323">
        <f t="shared" si="514"/>
        <v>31.381530689116762</v>
      </c>
      <c r="EG628" s="323">
        <f t="shared" si="514"/>
        <v>27.909894950615559</v>
      </c>
      <c r="EH628" s="323">
        <f t="shared" si="514"/>
        <v>16.955218745007535</v>
      </c>
      <c r="EI628" s="323">
        <f t="shared" si="514"/>
        <v>40.070005726957909</v>
      </c>
      <c r="EJ628" s="323">
        <f t="shared" si="514"/>
        <v>15.661802557920968</v>
      </c>
      <c r="EK628" s="323">
        <f t="shared" si="514"/>
        <v>27.208560267357019</v>
      </c>
      <c r="EL628" s="325">
        <f t="shared" ref="EL628:ER628" si="515">EL582+EL676+EL634</f>
        <v>58.857923823111022</v>
      </c>
      <c r="EM628" s="323">
        <f t="shared" si="515"/>
        <v>26.154033663094854</v>
      </c>
      <c r="EN628" s="323">
        <f t="shared" si="515"/>
        <v>18.445545378356144</v>
      </c>
      <c r="EO628" s="323">
        <f t="shared" si="515"/>
        <v>47.015260453214999</v>
      </c>
      <c r="EP628" s="323">
        <f t="shared" si="515"/>
        <v>29.197911488066648</v>
      </c>
      <c r="EQ628" s="323">
        <f t="shared" si="515"/>
        <v>21.519785242485</v>
      </c>
      <c r="ER628" s="323">
        <f t="shared" si="515"/>
        <v>58.928926885631995</v>
      </c>
      <c r="ES628" s="323">
        <f t="shared" ref="ES628:EX628" si="516">ES582+ES676+ES634</f>
        <v>35.348274640719566</v>
      </c>
      <c r="ET628" s="323">
        <f t="shared" si="516"/>
        <v>30.552618112890165</v>
      </c>
      <c r="EU628" s="323">
        <f t="shared" si="516"/>
        <v>44.041510783832905</v>
      </c>
      <c r="EV628" s="323">
        <f t="shared" si="516"/>
        <v>31.903327200566636</v>
      </c>
      <c r="EW628" s="323">
        <f t="shared" si="516"/>
        <v>28.888202852077264</v>
      </c>
      <c r="EX628" s="325">
        <f t="shared" si="516"/>
        <v>76.008599532845508</v>
      </c>
      <c r="EY628" s="323"/>
      <c r="EZ628" s="323"/>
      <c r="FA628" s="323"/>
      <c r="FB628" s="323"/>
      <c r="FC628" s="323"/>
      <c r="FD628" s="323"/>
      <c r="FE628" s="323"/>
      <c r="FF628" s="323"/>
      <c r="FG628" s="323"/>
      <c r="FH628" s="323"/>
      <c r="FI628" s="323"/>
      <c r="FJ628" s="325"/>
      <c r="FK628" s="323"/>
      <c r="FL628" s="323"/>
      <c r="FM628" s="323"/>
      <c r="FN628" s="323"/>
      <c r="FO628" s="323"/>
      <c r="FP628" s="323"/>
      <c r="FQ628" s="323"/>
      <c r="FR628" s="323"/>
      <c r="FS628" s="323"/>
      <c r="FT628" s="323"/>
      <c r="FU628" s="323"/>
      <c r="FV628" s="323"/>
      <c r="FW628" s="323"/>
      <c r="FX628" s="323"/>
      <c r="FY628" s="323"/>
      <c r="FZ628" s="323"/>
      <c r="GA628" s="323"/>
      <c r="GB628" s="323"/>
      <c r="GC628" s="323"/>
      <c r="GD628" s="323"/>
      <c r="GE628" s="323"/>
      <c r="GF628" s="323"/>
      <c r="GG628" s="323"/>
      <c r="GH628" s="323"/>
      <c r="GI628" s="323"/>
      <c r="GJ628" s="323"/>
      <c r="GK628" s="323"/>
      <c r="GL628" s="323"/>
      <c r="GM628" s="323"/>
      <c r="GN628" s="323"/>
      <c r="GO628" s="323"/>
      <c r="GP628" s="323"/>
      <c r="GQ628" s="323"/>
      <c r="GR628" s="323"/>
      <c r="GS628" s="323"/>
      <c r="GT628" s="323"/>
      <c r="GU628" s="323"/>
      <c r="GV628" s="323"/>
      <c r="GW628" s="323"/>
      <c r="GX628" s="323"/>
      <c r="GY628" s="323"/>
      <c r="GZ628" s="323"/>
      <c r="HA628" s="323"/>
      <c r="HB628" s="323"/>
      <c r="HC628" s="323"/>
      <c r="HD628" s="323"/>
      <c r="HE628" s="323"/>
      <c r="HF628" s="323"/>
      <c r="HG628" s="323"/>
      <c r="HH628" s="323"/>
      <c r="HI628" s="323"/>
      <c r="HJ628" s="323"/>
      <c r="HK628" s="323"/>
      <c r="HL628" s="323"/>
      <c r="HM628" s="323"/>
      <c r="HN628" s="323"/>
      <c r="HO628" s="323"/>
      <c r="HP628" s="323"/>
      <c r="HQ628" s="323"/>
      <c r="HR628" s="323"/>
      <c r="HS628" s="323"/>
      <c r="HT628" s="323"/>
      <c r="HU628" s="323"/>
      <c r="HV628" s="323"/>
      <c r="HW628" s="323"/>
      <c r="HX628" s="323"/>
      <c r="HY628" s="323"/>
      <c r="HZ628" s="326"/>
      <c r="IA628" s="322" t="s">
        <v>145</v>
      </c>
      <c r="IB628" s="322"/>
      <c r="IC628" s="322"/>
      <c r="ID628" s="323">
        <f>+FISC!Z834</f>
        <v>381.3</v>
      </c>
      <c r="IE628" s="279">
        <f t="shared" si="494"/>
        <v>178.99821912352974</v>
      </c>
      <c r="IF628" s="279">
        <f t="shared" si="495"/>
        <v>161.26867945864495</v>
      </c>
      <c r="IG628" s="323">
        <f t="shared" si="496"/>
        <v>340.26689858217469</v>
      </c>
      <c r="IH628" s="279">
        <f>+IH582+IH676</f>
        <v>148.303834505227</v>
      </c>
      <c r="II628" s="279">
        <f>+SUM(DI628:DN628)</f>
        <v>123.50418083640602</v>
      </c>
      <c r="IJ628" s="654">
        <f>IH628+II628</f>
        <v>271.80801534163299</v>
      </c>
      <c r="IK628" s="279">
        <f>+IK582+IK676</f>
        <v>98.772425102786968</v>
      </c>
      <c r="IL628" s="1014">
        <f>IL582+IL634+IL676</f>
        <v>119.46873665524737</v>
      </c>
      <c r="IM628" s="654">
        <f>IK628+IL628</f>
        <v>218.24116175803434</v>
      </c>
      <c r="IN628" s="279">
        <f>(+IN582+IN676)*0+152.39700943519</f>
        <v>152.39700943519</v>
      </c>
      <c r="IO628" s="1014">
        <f>(+IO582+IO676)*0+234.66340607097</f>
        <v>234.66340607097001</v>
      </c>
      <c r="IP628" s="323">
        <f>FISC!AC834</f>
        <v>387.06041550615998</v>
      </c>
      <c r="IQ628" s="279">
        <f t="shared" si="458"/>
        <v>201.26146311084966</v>
      </c>
      <c r="IR628" s="279">
        <f t="shared" si="459"/>
        <v>246.742533122932</v>
      </c>
      <c r="IS628" s="323">
        <f t="shared" si="407"/>
        <v>448.00399623378166</v>
      </c>
      <c r="IT628" s="279">
        <f>+(IT582+IT676)*0+266.845883007102</f>
        <v>266.84588300710197</v>
      </c>
      <c r="IU628" s="279">
        <f>+IU582+IU676</f>
        <v>281.042362888198</v>
      </c>
      <c r="IV628" s="323">
        <f>+FISC!AE834</f>
        <v>547.66567626761776</v>
      </c>
      <c r="IW628" s="279">
        <f>+IW582+IW676</f>
        <v>392.80491144662381</v>
      </c>
      <c r="IX628" s="279">
        <f t="shared" si="486"/>
        <v>202.12358523717842</v>
      </c>
      <c r="IY628" s="323">
        <f>+FISC!AF834</f>
        <v>594.92849668380222</v>
      </c>
      <c r="IZ628" s="279">
        <f>+IZ582+IZ676</f>
        <v>446.17401318632722</v>
      </c>
      <c r="JA628" s="279">
        <f t="shared" si="360"/>
        <v>333.42450791438489</v>
      </c>
      <c r="JB628" s="323">
        <f>+FISC!AG834</f>
        <v>779.59852110071211</v>
      </c>
      <c r="JC628" s="279">
        <f>+JC582+JC676</f>
        <v>398.5537772602961</v>
      </c>
      <c r="JD628" s="279">
        <f t="shared" si="487"/>
        <v>437.42807259486449</v>
      </c>
      <c r="JE628" s="323">
        <f>+FISC!AH834</f>
        <v>835.98184985516059</v>
      </c>
      <c r="JF628" s="279">
        <f>+JF582+JF676</f>
        <v>508.00492865353215</v>
      </c>
      <c r="JG628" s="279">
        <f t="shared" si="488"/>
        <v>626.92968954521746</v>
      </c>
      <c r="JH628" s="323">
        <f>+FISC!AI834</f>
        <v>1134.9346181987496</v>
      </c>
      <c r="JI628" s="279">
        <f>+JI582+JI676</f>
        <v>605.3328806034051</v>
      </c>
      <c r="JJ628" s="279">
        <f t="shared" si="489"/>
        <v>551.26422097887166</v>
      </c>
      <c r="JK628" s="323">
        <f>+FISC!AJ834</f>
        <v>1156.5971015822768</v>
      </c>
      <c r="JL628" s="279">
        <f>+JL582+JL676</f>
        <v>687.47517619630082</v>
      </c>
      <c r="JM628" s="279">
        <f t="shared" si="490"/>
        <v>-687.47517619630082</v>
      </c>
      <c r="JN628" s="323">
        <f>+FISC!AK834</f>
        <v>0</v>
      </c>
      <c r="JO628" s="323"/>
      <c r="KU628" s="326"/>
      <c r="KV628" s="327"/>
    </row>
    <row r="629" spans="1:314" hidden="1">
      <c r="A629" s="279"/>
      <c r="D629" s="656" t="str">
        <f>+D584</f>
        <v xml:space="preserve">   of which: project grants through government 'own' accounts</v>
      </c>
      <c r="E629" s="323"/>
      <c r="F629" s="323"/>
      <c r="G629" s="323"/>
      <c r="H629" s="323"/>
      <c r="I629" s="323"/>
      <c r="J629" s="323"/>
      <c r="K629" s="323"/>
      <c r="L629" s="323"/>
      <c r="M629" s="323"/>
      <c r="N629" s="323"/>
      <c r="O629" s="323"/>
      <c r="P629" s="323"/>
      <c r="Q629" s="323"/>
      <c r="R629" s="323"/>
      <c r="S629" s="323"/>
      <c r="T629" s="323"/>
      <c r="U629" s="323"/>
      <c r="V629" s="323"/>
      <c r="W629" s="323"/>
      <c r="X629" s="323"/>
      <c r="Y629" s="323"/>
      <c r="Z629" s="323"/>
      <c r="AA629" s="323"/>
      <c r="AB629" s="323"/>
      <c r="AC629" s="323"/>
      <c r="AD629" s="323"/>
      <c r="AE629" s="323"/>
      <c r="AF629" s="323"/>
      <c r="AG629" s="323"/>
      <c r="AH629" s="323"/>
      <c r="AI629" s="323"/>
      <c r="AJ629" s="323"/>
      <c r="AK629" s="323"/>
      <c r="AL629" s="323"/>
      <c r="AM629" s="323"/>
      <c r="AN629" s="323"/>
      <c r="AO629" s="323"/>
      <c r="AP629" s="323"/>
      <c r="AQ629" s="323"/>
      <c r="AR629" s="323"/>
      <c r="AS629" s="323"/>
      <c r="AT629" s="323"/>
      <c r="AU629" s="323"/>
      <c r="AV629" s="323"/>
      <c r="AW629" s="323"/>
      <c r="AX629" s="323"/>
      <c r="AY629" s="323"/>
      <c r="AZ629" s="323"/>
      <c r="BA629" s="323"/>
      <c r="BB629" s="323"/>
      <c r="BC629" s="323"/>
      <c r="BD629" s="323"/>
      <c r="BE629" s="323"/>
      <c r="BF629" s="323"/>
      <c r="BG629" s="323"/>
      <c r="BH629" s="323"/>
      <c r="BI629" s="323"/>
      <c r="BJ629" s="323"/>
      <c r="BK629" s="323"/>
      <c r="BL629" s="323"/>
      <c r="BM629" s="323"/>
      <c r="BN629" s="323"/>
      <c r="BO629" s="323"/>
      <c r="BP629" s="323"/>
      <c r="BQ629" s="323"/>
      <c r="BR629" s="323"/>
      <c r="BS629" s="323"/>
      <c r="BT629" s="323"/>
      <c r="BU629" s="323"/>
      <c r="BV629" s="323"/>
      <c r="BW629" s="323"/>
      <c r="BX629" s="323"/>
      <c r="BY629" s="323"/>
      <c r="BZ629" s="323"/>
      <c r="CA629" s="323"/>
      <c r="CB629" s="323"/>
      <c r="CC629" s="323"/>
      <c r="CD629" s="323"/>
      <c r="CE629" s="324"/>
      <c r="CF629" s="323"/>
      <c r="CG629" s="323"/>
      <c r="CH629" s="323"/>
      <c r="CI629" s="323"/>
      <c r="CJ629" s="323"/>
      <c r="CK629" s="323"/>
      <c r="CL629" s="323"/>
      <c r="CM629" s="323"/>
      <c r="CN629" s="323"/>
      <c r="CO629" s="323"/>
      <c r="CP629" s="325"/>
      <c r="CQ629" s="323"/>
      <c r="CR629" s="323"/>
      <c r="CS629" s="323"/>
      <c r="CT629" s="323"/>
      <c r="CU629" s="323"/>
      <c r="CV629" s="323"/>
      <c r="CW629" s="323"/>
      <c r="CX629" s="323"/>
      <c r="CY629" s="323"/>
      <c r="CZ629" s="323"/>
      <c r="DA629" s="323"/>
      <c r="DB629" s="1269"/>
      <c r="DC629" s="323">
        <f>+DC584</f>
        <v>11.11</v>
      </c>
      <c r="DD629" s="323"/>
      <c r="DE629" s="323"/>
      <c r="DF629" s="323"/>
      <c r="DG629" s="323"/>
      <c r="DH629" s="323"/>
      <c r="DI629" s="323"/>
      <c r="DJ629" s="323"/>
      <c r="DK629" s="323"/>
      <c r="DL629" s="323"/>
      <c r="DM629" s="323"/>
      <c r="DN629" s="325"/>
      <c r="DO629" s="323"/>
      <c r="DP629" s="323"/>
      <c r="DQ629" s="323"/>
      <c r="DR629" s="323"/>
      <c r="DS629" s="323"/>
      <c r="DT629" s="323"/>
      <c r="DU629" s="323"/>
      <c r="DV629" s="323"/>
      <c r="DW629" s="323"/>
      <c r="DX629" s="323"/>
      <c r="DY629" s="323"/>
      <c r="DZ629" s="325"/>
      <c r="EA629" s="323"/>
      <c r="EB629" s="323"/>
      <c r="EC629" s="323"/>
      <c r="ED629" s="323"/>
      <c r="EE629" s="323"/>
      <c r="EF629" s="323"/>
      <c r="EG629" s="323"/>
      <c r="EH629" s="323"/>
      <c r="EI629" s="323"/>
      <c r="EJ629" s="323"/>
      <c r="EK629" s="323"/>
      <c r="EL629" s="325"/>
      <c r="EM629" s="323"/>
      <c r="EN629" s="323"/>
      <c r="EO629" s="323"/>
      <c r="EP629" s="323"/>
      <c r="EQ629" s="323"/>
      <c r="ER629" s="323"/>
      <c r="ES629" s="323"/>
      <c r="ET629" s="323"/>
      <c r="EU629" s="323"/>
      <c r="EV629" s="323"/>
      <c r="EW629" s="323"/>
      <c r="EX629" s="325"/>
      <c r="EY629" s="323"/>
      <c r="EZ629" s="323"/>
      <c r="FA629" s="323"/>
      <c r="FB629" s="323"/>
      <c r="FC629" s="323"/>
      <c r="FD629" s="323"/>
      <c r="FE629" s="323"/>
      <c r="FF629" s="323"/>
      <c r="FG629" s="323"/>
      <c r="FH629" s="323"/>
      <c r="FI629" s="323"/>
      <c r="FJ629" s="325"/>
      <c r="FK629" s="323"/>
      <c r="FL629" s="323"/>
      <c r="FM629" s="323"/>
      <c r="FN629" s="323"/>
      <c r="FO629" s="323"/>
      <c r="FP629" s="323"/>
      <c r="FQ629" s="323"/>
      <c r="FR629" s="323"/>
      <c r="FS629" s="323"/>
      <c r="FT629" s="323"/>
      <c r="FU629" s="323"/>
      <c r="FV629" s="323"/>
      <c r="FW629" s="323"/>
      <c r="FX629" s="323"/>
      <c r="FY629" s="323"/>
      <c r="FZ629" s="323"/>
      <c r="GA629" s="323"/>
      <c r="GB629" s="323"/>
      <c r="GC629" s="323"/>
      <c r="GD629" s="323"/>
      <c r="GE629" s="323"/>
      <c r="GF629" s="323"/>
      <c r="GG629" s="323"/>
      <c r="GH629" s="323"/>
      <c r="GI629" s="323"/>
      <c r="GJ629" s="323"/>
      <c r="GK629" s="323"/>
      <c r="GL629" s="323"/>
      <c r="GM629" s="323"/>
      <c r="GN629" s="323"/>
      <c r="GO629" s="323"/>
      <c r="GP629" s="323"/>
      <c r="GQ629" s="323"/>
      <c r="GR629" s="323"/>
      <c r="GS629" s="323"/>
      <c r="GT629" s="323"/>
      <c r="GU629" s="323"/>
      <c r="GV629" s="323"/>
      <c r="GW629" s="323"/>
      <c r="GX629" s="323"/>
      <c r="GY629" s="323"/>
      <c r="GZ629" s="323"/>
      <c r="HA629" s="323"/>
      <c r="HB629" s="323"/>
      <c r="HC629" s="323"/>
      <c r="HD629" s="323"/>
      <c r="HE629" s="323"/>
      <c r="HF629" s="323"/>
      <c r="HG629" s="323"/>
      <c r="HH629" s="323"/>
      <c r="HI629" s="323"/>
      <c r="HJ629" s="323"/>
      <c r="HK629" s="323"/>
      <c r="HL629" s="323"/>
      <c r="HM629" s="323"/>
      <c r="HN629" s="323"/>
      <c r="HO629" s="323"/>
      <c r="HP629" s="323"/>
      <c r="HQ629" s="323"/>
      <c r="HR629" s="323"/>
      <c r="HS629" s="323"/>
      <c r="HT629" s="323"/>
      <c r="HU629" s="323"/>
      <c r="HV629" s="323"/>
      <c r="HW629" s="323"/>
      <c r="HX629" s="323"/>
      <c r="HY629" s="323"/>
      <c r="HZ629" s="326"/>
      <c r="IA629" s="656" t="s">
        <v>773</v>
      </c>
      <c r="IB629" s="656"/>
      <c r="IC629" s="656"/>
      <c r="ID629" s="323"/>
      <c r="IG629" s="323"/>
      <c r="IJ629" s="323"/>
      <c r="IL629" s="279">
        <f t="shared" ref="IL629:IL634" si="517">SUM(DU629:DZ629)</f>
        <v>0</v>
      </c>
      <c r="IM629" s="323">
        <f t="shared" si="503"/>
        <v>0</v>
      </c>
      <c r="IP629" s="323">
        <f>FISC!AC835</f>
        <v>0</v>
      </c>
      <c r="IQ629" s="279">
        <f t="shared" si="458"/>
        <v>0</v>
      </c>
      <c r="IR629" s="279">
        <f t="shared" si="459"/>
        <v>0</v>
      </c>
      <c r="IS629" s="323">
        <f t="shared" si="407"/>
        <v>0</v>
      </c>
      <c r="IT629" s="327"/>
      <c r="IU629" s="327"/>
      <c r="IV629" s="323"/>
      <c r="IW629" s="279">
        <f t="shared" ref="IW629:IW634" si="518">IY629*JU629</f>
        <v>0</v>
      </c>
      <c r="IX629" s="279">
        <f t="shared" si="486"/>
        <v>0</v>
      </c>
      <c r="IY629" s="323"/>
      <c r="IZ629" s="279">
        <f t="shared" si="498"/>
        <v>0</v>
      </c>
      <c r="JA629" s="279">
        <f t="shared" si="360"/>
        <v>0</v>
      </c>
      <c r="JB629" s="323"/>
      <c r="JC629" s="279">
        <f t="shared" si="499"/>
        <v>0</v>
      </c>
      <c r="JD629" s="279">
        <f t="shared" si="487"/>
        <v>0</v>
      </c>
      <c r="JE629" s="323"/>
      <c r="JF629" s="279">
        <f t="shared" si="500"/>
        <v>0</v>
      </c>
      <c r="JG629" s="279">
        <f t="shared" si="488"/>
        <v>0</v>
      </c>
      <c r="JH629" s="323"/>
      <c r="JI629" s="279">
        <f t="shared" si="501"/>
        <v>0</v>
      </c>
      <c r="JJ629" s="279">
        <f t="shared" si="489"/>
        <v>0</v>
      </c>
      <c r="JK629" s="323"/>
      <c r="JL629" s="279">
        <f t="shared" si="502"/>
        <v>0</v>
      </c>
      <c r="JM629" s="279">
        <f t="shared" si="490"/>
        <v>0</v>
      </c>
      <c r="JN629" s="323"/>
      <c r="JO629" s="323"/>
      <c r="KU629" s="326"/>
      <c r="KV629" s="327"/>
    </row>
    <row r="630" spans="1:314" hidden="1">
      <c r="A630" s="279"/>
      <c r="D630" s="656" t="str">
        <f>+D585</f>
        <v xml:space="preserve">                          project grants through government 'donor' accounts</v>
      </c>
      <c r="E630" s="323"/>
      <c r="F630" s="323"/>
      <c r="G630" s="323"/>
      <c r="H630" s="323"/>
      <c r="I630" s="323"/>
      <c r="J630" s="323"/>
      <c r="K630" s="323"/>
      <c r="L630" s="323"/>
      <c r="M630" s="323"/>
      <c r="N630" s="323"/>
      <c r="O630" s="323"/>
      <c r="P630" s="323"/>
      <c r="Q630" s="323"/>
      <c r="R630" s="323"/>
      <c r="S630" s="323"/>
      <c r="T630" s="323"/>
      <c r="U630" s="323"/>
      <c r="V630" s="323"/>
      <c r="W630" s="323"/>
      <c r="X630" s="323"/>
      <c r="Y630" s="323"/>
      <c r="Z630" s="323"/>
      <c r="AA630" s="323"/>
      <c r="AB630" s="323"/>
      <c r="AC630" s="323"/>
      <c r="AD630" s="323"/>
      <c r="AE630" s="323"/>
      <c r="AF630" s="323"/>
      <c r="AG630" s="323"/>
      <c r="AH630" s="323"/>
      <c r="AI630" s="323"/>
      <c r="AJ630" s="323"/>
      <c r="AK630" s="323"/>
      <c r="AL630" s="323"/>
      <c r="AM630" s="323"/>
      <c r="AN630" s="323"/>
      <c r="AO630" s="323"/>
      <c r="AP630" s="323"/>
      <c r="AQ630" s="323"/>
      <c r="AR630" s="323"/>
      <c r="AS630" s="323"/>
      <c r="AT630" s="323"/>
      <c r="AU630" s="323"/>
      <c r="AV630" s="323"/>
      <c r="AW630" s="323"/>
      <c r="AX630" s="323"/>
      <c r="AY630" s="323"/>
      <c r="AZ630" s="323"/>
      <c r="BA630" s="323"/>
      <c r="BB630" s="323"/>
      <c r="BC630" s="323"/>
      <c r="BD630" s="323"/>
      <c r="BE630" s="323"/>
      <c r="BF630" s="323"/>
      <c r="BG630" s="323"/>
      <c r="BH630" s="323"/>
      <c r="BI630" s="323"/>
      <c r="BJ630" s="323"/>
      <c r="BK630" s="323"/>
      <c r="BL630" s="323"/>
      <c r="BM630" s="323"/>
      <c r="BN630" s="323"/>
      <c r="BO630" s="323"/>
      <c r="BP630" s="323"/>
      <c r="BQ630" s="323"/>
      <c r="BR630" s="323"/>
      <c r="BS630" s="323"/>
      <c r="BT630" s="323"/>
      <c r="BU630" s="323"/>
      <c r="BV630" s="323"/>
      <c r="BW630" s="323"/>
      <c r="BX630" s="323"/>
      <c r="BY630" s="323"/>
      <c r="BZ630" s="323"/>
      <c r="CA630" s="323"/>
      <c r="CB630" s="323"/>
      <c r="CC630" s="323"/>
      <c r="CD630" s="323"/>
      <c r="CE630" s="324"/>
      <c r="CF630" s="323"/>
      <c r="CG630" s="323"/>
      <c r="CH630" s="323"/>
      <c r="CI630" s="323"/>
      <c r="CJ630" s="323"/>
      <c r="CK630" s="323"/>
      <c r="CL630" s="323"/>
      <c r="CM630" s="323"/>
      <c r="CN630" s="323"/>
      <c r="CO630" s="323"/>
      <c r="CP630" s="325"/>
      <c r="CQ630" s="323"/>
      <c r="CR630" s="323"/>
      <c r="CS630" s="323"/>
      <c r="CT630" s="323"/>
      <c r="CU630" s="323"/>
      <c r="CV630" s="323"/>
      <c r="CW630" s="323"/>
      <c r="CX630" s="323"/>
      <c r="CY630" s="323"/>
      <c r="CZ630" s="323"/>
      <c r="DA630" s="323"/>
      <c r="DB630" s="1269"/>
      <c r="DC630" s="323">
        <f>+DC585</f>
        <v>0</v>
      </c>
      <c r="DD630" s="323"/>
      <c r="DE630" s="323"/>
      <c r="DF630" s="323"/>
      <c r="DG630" s="323"/>
      <c r="DH630" s="323"/>
      <c r="DI630" s="323"/>
      <c r="DJ630" s="323"/>
      <c r="DK630" s="323"/>
      <c r="DL630" s="323"/>
      <c r="DM630" s="323"/>
      <c r="DN630" s="325"/>
      <c r="DO630" s="323"/>
      <c r="DP630" s="323"/>
      <c r="DQ630" s="323"/>
      <c r="DR630" s="323"/>
      <c r="DS630" s="323"/>
      <c r="DT630" s="323"/>
      <c r="DU630" s="323"/>
      <c r="DV630" s="323"/>
      <c r="DW630" s="323"/>
      <c r="DX630" s="323"/>
      <c r="DY630" s="323"/>
      <c r="DZ630" s="325"/>
      <c r="EA630" s="323"/>
      <c r="EB630" s="323"/>
      <c r="EC630" s="323"/>
      <c r="ED630" s="323"/>
      <c r="EE630" s="323"/>
      <c r="EF630" s="323"/>
      <c r="EG630" s="323"/>
      <c r="EH630" s="323"/>
      <c r="EI630" s="323"/>
      <c r="EJ630" s="323"/>
      <c r="EK630" s="323"/>
      <c r="EL630" s="325"/>
      <c r="EM630" s="323"/>
      <c r="EN630" s="323"/>
      <c r="EO630" s="323"/>
      <c r="EP630" s="323"/>
      <c r="EQ630" s="323"/>
      <c r="ER630" s="323"/>
      <c r="ES630" s="323"/>
      <c r="ET630" s="323"/>
      <c r="EU630" s="323"/>
      <c r="EV630" s="323"/>
      <c r="EW630" s="323"/>
      <c r="EX630" s="325"/>
      <c r="EY630" s="323"/>
      <c r="EZ630" s="323"/>
      <c r="FA630" s="323"/>
      <c r="FB630" s="323"/>
      <c r="FC630" s="323"/>
      <c r="FD630" s="323"/>
      <c r="FE630" s="323"/>
      <c r="FF630" s="323"/>
      <c r="FG630" s="323"/>
      <c r="FH630" s="323"/>
      <c r="FI630" s="323"/>
      <c r="FJ630" s="325"/>
      <c r="FK630" s="323"/>
      <c r="FL630" s="323"/>
      <c r="FM630" s="323"/>
      <c r="FN630" s="323"/>
      <c r="FO630" s="323"/>
      <c r="FP630" s="323"/>
      <c r="FQ630" s="323"/>
      <c r="FR630" s="323"/>
      <c r="FS630" s="323"/>
      <c r="FT630" s="323"/>
      <c r="FU630" s="323"/>
      <c r="FV630" s="323"/>
      <c r="FW630" s="323"/>
      <c r="FX630" s="323"/>
      <c r="FY630" s="323"/>
      <c r="FZ630" s="323"/>
      <c r="GA630" s="323"/>
      <c r="GB630" s="323"/>
      <c r="GC630" s="323"/>
      <c r="GD630" s="323"/>
      <c r="GE630" s="323"/>
      <c r="GF630" s="323"/>
      <c r="GG630" s="323"/>
      <c r="GH630" s="323"/>
      <c r="GI630" s="323"/>
      <c r="GJ630" s="323"/>
      <c r="GK630" s="323"/>
      <c r="GL630" s="323"/>
      <c r="GM630" s="323"/>
      <c r="GN630" s="323"/>
      <c r="GO630" s="323"/>
      <c r="GP630" s="323"/>
      <c r="GQ630" s="323"/>
      <c r="GR630" s="323"/>
      <c r="GS630" s="323"/>
      <c r="GT630" s="323"/>
      <c r="GU630" s="323"/>
      <c r="GV630" s="323"/>
      <c r="GW630" s="323"/>
      <c r="GX630" s="323"/>
      <c r="GY630" s="323"/>
      <c r="GZ630" s="323"/>
      <c r="HA630" s="323"/>
      <c r="HB630" s="323"/>
      <c r="HC630" s="323"/>
      <c r="HD630" s="323"/>
      <c r="HE630" s="323"/>
      <c r="HF630" s="323"/>
      <c r="HG630" s="323"/>
      <c r="HH630" s="323"/>
      <c r="HI630" s="323"/>
      <c r="HJ630" s="323"/>
      <c r="HK630" s="323"/>
      <c r="HL630" s="323"/>
      <c r="HM630" s="323"/>
      <c r="HN630" s="323"/>
      <c r="HO630" s="323"/>
      <c r="HP630" s="323"/>
      <c r="HQ630" s="323"/>
      <c r="HR630" s="323"/>
      <c r="HS630" s="323"/>
      <c r="HT630" s="323"/>
      <c r="HU630" s="323"/>
      <c r="HV630" s="323"/>
      <c r="HW630" s="323"/>
      <c r="HX630" s="323"/>
      <c r="HY630" s="323"/>
      <c r="HZ630" s="326"/>
      <c r="IA630" s="656" t="s">
        <v>774</v>
      </c>
      <c r="IB630" s="656"/>
      <c r="IC630" s="656"/>
      <c r="ID630" s="323"/>
      <c r="IG630" s="323"/>
      <c r="IJ630" s="323"/>
      <c r="IL630" s="279">
        <f t="shared" si="517"/>
        <v>0</v>
      </c>
      <c r="IM630" s="323">
        <f t="shared" si="503"/>
        <v>0</v>
      </c>
      <c r="IP630" s="323">
        <f>FISC!AC836</f>
        <v>0</v>
      </c>
      <c r="IQ630" s="279">
        <f t="shared" si="458"/>
        <v>0</v>
      </c>
      <c r="IR630" s="279">
        <f t="shared" si="459"/>
        <v>0</v>
      </c>
      <c r="IS630" s="323">
        <f t="shared" si="407"/>
        <v>0</v>
      </c>
      <c r="IT630" s="327"/>
      <c r="IU630" s="327"/>
      <c r="IV630" s="323"/>
      <c r="IW630" s="279">
        <f t="shared" si="518"/>
        <v>0</v>
      </c>
      <c r="IX630" s="279">
        <f t="shared" si="486"/>
        <v>0</v>
      </c>
      <c r="IY630" s="323"/>
      <c r="IZ630" s="279">
        <f t="shared" si="498"/>
        <v>0</v>
      </c>
      <c r="JA630" s="279">
        <f t="shared" si="360"/>
        <v>0</v>
      </c>
      <c r="JB630" s="323"/>
      <c r="JC630" s="279">
        <f t="shared" si="499"/>
        <v>0</v>
      </c>
      <c r="JD630" s="279">
        <f t="shared" si="487"/>
        <v>0</v>
      </c>
      <c r="JE630" s="323"/>
      <c r="JF630" s="279">
        <f t="shared" si="500"/>
        <v>0</v>
      </c>
      <c r="JG630" s="279">
        <f t="shared" si="488"/>
        <v>0</v>
      </c>
      <c r="JH630" s="323"/>
      <c r="JI630" s="279">
        <f t="shared" si="501"/>
        <v>0</v>
      </c>
      <c r="JJ630" s="279">
        <f t="shared" si="489"/>
        <v>0</v>
      </c>
      <c r="JK630" s="323"/>
      <c r="JL630" s="279">
        <f t="shared" si="502"/>
        <v>0</v>
      </c>
      <c r="JM630" s="279">
        <f t="shared" si="490"/>
        <v>0</v>
      </c>
      <c r="JN630" s="323"/>
      <c r="JO630" s="323"/>
      <c r="KU630" s="326"/>
      <c r="KV630" s="327"/>
    </row>
    <row r="631" spans="1:314" hidden="1">
      <c r="A631" s="279"/>
      <c r="B631" s="96" t="s">
        <v>338</v>
      </c>
      <c r="D631" s="328" t="str">
        <f>+FISC!D837</f>
        <v>Of which: Global Fund</v>
      </c>
      <c r="E631" s="323"/>
      <c r="F631" s="323"/>
      <c r="G631" s="323"/>
      <c r="H631" s="323"/>
      <c r="I631" s="323"/>
      <c r="J631" s="323"/>
      <c r="K631" s="323"/>
      <c r="L631" s="323"/>
      <c r="M631" s="323"/>
      <c r="N631" s="323"/>
      <c r="O631" s="323"/>
      <c r="P631" s="323"/>
      <c r="Q631" s="323"/>
      <c r="R631" s="323"/>
      <c r="S631" s="323"/>
      <c r="T631" s="323"/>
      <c r="U631" s="323"/>
      <c r="V631" s="323"/>
      <c r="W631" s="323"/>
      <c r="X631" s="323"/>
      <c r="Y631" s="323"/>
      <c r="Z631" s="323"/>
      <c r="AA631" s="323"/>
      <c r="AB631" s="323"/>
      <c r="AC631" s="323"/>
      <c r="AD631" s="323"/>
      <c r="AE631" s="323"/>
      <c r="AF631" s="323"/>
      <c r="AG631" s="323"/>
      <c r="AH631" s="323"/>
      <c r="AI631" s="323"/>
      <c r="AJ631" s="323"/>
      <c r="AK631" s="323"/>
      <c r="AL631" s="323"/>
      <c r="AM631" s="323"/>
      <c r="AN631" s="323"/>
      <c r="AO631" s="323"/>
      <c r="AP631" s="323"/>
      <c r="AQ631" s="323"/>
      <c r="AR631" s="323"/>
      <c r="AS631" s="323"/>
      <c r="AT631" s="323"/>
      <c r="AU631" s="323"/>
      <c r="AV631" s="323"/>
      <c r="AW631" s="323"/>
      <c r="AX631" s="323"/>
      <c r="AY631" s="323"/>
      <c r="AZ631" s="323"/>
      <c r="BA631" s="323"/>
      <c r="BB631" s="323"/>
      <c r="BC631" s="323"/>
      <c r="BD631" s="323"/>
      <c r="BE631" s="323"/>
      <c r="BF631" s="323"/>
      <c r="BG631" s="323"/>
      <c r="BH631" s="323"/>
      <c r="BI631" s="323"/>
      <c r="BJ631" s="323"/>
      <c r="BK631" s="323"/>
      <c r="BL631" s="323"/>
      <c r="BM631" s="323"/>
      <c r="BN631" s="323"/>
      <c r="BO631" s="323"/>
      <c r="BP631" s="323"/>
      <c r="BQ631" s="323"/>
      <c r="BR631" s="323"/>
      <c r="BS631" s="323"/>
      <c r="BT631" s="323"/>
      <c r="BU631" s="323"/>
      <c r="BV631" s="323"/>
      <c r="BW631" s="323"/>
      <c r="BX631" s="323"/>
      <c r="BY631" s="323"/>
      <c r="BZ631" s="323"/>
      <c r="CA631" s="323"/>
      <c r="CB631" s="323"/>
      <c r="CC631" s="323"/>
      <c r="CD631" s="323"/>
      <c r="CE631" s="324">
        <f>CE586</f>
        <v>0</v>
      </c>
      <c r="CF631" s="323">
        <f t="shared" ref="CF631:CP631" si="519">CF586</f>
        <v>0</v>
      </c>
      <c r="CG631" s="323">
        <f t="shared" si="519"/>
        <v>7.4813782618000015</v>
      </c>
      <c r="CH631" s="323">
        <f t="shared" si="519"/>
        <v>13.034907963499998</v>
      </c>
      <c r="CI631" s="323">
        <f t="shared" si="519"/>
        <v>24.666572901249001</v>
      </c>
      <c r="CJ631" s="323">
        <f t="shared" si="519"/>
        <v>6.0461076493370003</v>
      </c>
      <c r="CK631" s="323">
        <f t="shared" si="519"/>
        <v>0</v>
      </c>
      <c r="CL631" s="323">
        <f t="shared" si="519"/>
        <v>0</v>
      </c>
      <c r="CM631" s="323">
        <f t="shared" si="519"/>
        <v>0</v>
      </c>
      <c r="CN631" s="323">
        <f t="shared" si="519"/>
        <v>36.571225840512</v>
      </c>
      <c r="CO631" s="323">
        <f t="shared" si="519"/>
        <v>0</v>
      </c>
      <c r="CP631" s="325">
        <f t="shared" si="519"/>
        <v>4.8736766301709382</v>
      </c>
      <c r="CQ631" s="323"/>
      <c r="CR631" s="323"/>
      <c r="CS631" s="323"/>
      <c r="CT631" s="323"/>
      <c r="CU631" s="323"/>
      <c r="CV631" s="323"/>
      <c r="CW631" s="323"/>
      <c r="CX631" s="323"/>
      <c r="CY631" s="323"/>
      <c r="CZ631" s="323"/>
      <c r="DA631" s="323"/>
      <c r="DB631" s="1269"/>
      <c r="DC631" s="323"/>
      <c r="DD631" s="323"/>
      <c r="DE631" s="323"/>
      <c r="DF631" s="323"/>
      <c r="DG631" s="323"/>
      <c r="DH631" s="323"/>
      <c r="DI631" s="323"/>
      <c r="DJ631" s="323"/>
      <c r="DK631" s="323"/>
      <c r="DL631" s="323"/>
      <c r="DM631" s="323"/>
      <c r="DN631" s="325"/>
      <c r="DO631" s="323"/>
      <c r="DP631" s="323"/>
      <c r="DQ631" s="323"/>
      <c r="DR631" s="323"/>
      <c r="DS631" s="323"/>
      <c r="DT631" s="323"/>
      <c r="DU631" s="323"/>
      <c r="DV631" s="323"/>
      <c r="DW631" s="323"/>
      <c r="DX631" s="323"/>
      <c r="DY631" s="323"/>
      <c r="DZ631" s="325"/>
      <c r="EA631" s="323"/>
      <c r="EB631" s="323"/>
      <c r="EC631" s="323"/>
      <c r="ED631" s="323"/>
      <c r="EE631" s="323"/>
      <c r="EF631" s="323"/>
      <c r="EG631" s="323"/>
      <c r="EH631" s="323"/>
      <c r="EI631" s="323"/>
      <c r="EJ631" s="323"/>
      <c r="EK631" s="323"/>
      <c r="EL631" s="325"/>
      <c r="EM631" s="323"/>
      <c r="EN631" s="323"/>
      <c r="EO631" s="323"/>
      <c r="EP631" s="323"/>
      <c r="EQ631" s="323"/>
      <c r="ER631" s="323"/>
      <c r="ES631" s="323"/>
      <c r="ET631" s="323"/>
      <c r="EU631" s="323"/>
      <c r="EV631" s="323"/>
      <c r="EW631" s="323"/>
      <c r="EX631" s="325"/>
      <c r="EY631" s="323"/>
      <c r="EZ631" s="323"/>
      <c r="FA631" s="323"/>
      <c r="FB631" s="323"/>
      <c r="FC631" s="323"/>
      <c r="FD631" s="323"/>
      <c r="FE631" s="323"/>
      <c r="FF631" s="323"/>
      <c r="FG631" s="323"/>
      <c r="FH631" s="323"/>
      <c r="FI631" s="323"/>
      <c r="FJ631" s="325"/>
      <c r="FK631" s="323"/>
      <c r="FL631" s="323"/>
      <c r="FM631" s="323"/>
      <c r="FN631" s="323"/>
      <c r="FO631" s="323"/>
      <c r="FP631" s="323"/>
      <c r="FQ631" s="323"/>
      <c r="FR631" s="323"/>
      <c r="FS631" s="323"/>
      <c r="FT631" s="323"/>
      <c r="FU631" s="323"/>
      <c r="FV631" s="323"/>
      <c r="FW631" s="323"/>
      <c r="FX631" s="323"/>
      <c r="FY631" s="323"/>
      <c r="FZ631" s="323"/>
      <c r="GA631" s="323"/>
      <c r="GB631" s="323"/>
      <c r="GC631" s="323"/>
      <c r="GD631" s="323"/>
      <c r="GE631" s="323"/>
      <c r="GF631" s="323"/>
      <c r="GG631" s="323"/>
      <c r="GH631" s="323"/>
      <c r="GI631" s="323"/>
      <c r="GJ631" s="323"/>
      <c r="GK631" s="323"/>
      <c r="GL631" s="323"/>
      <c r="GM631" s="323"/>
      <c r="GN631" s="323"/>
      <c r="GO631" s="323"/>
      <c r="GP631" s="323"/>
      <c r="GQ631" s="323"/>
      <c r="GR631" s="323"/>
      <c r="GS631" s="323"/>
      <c r="GT631" s="323"/>
      <c r="GU631" s="323"/>
      <c r="GV631" s="323"/>
      <c r="GW631" s="323"/>
      <c r="GX631" s="323"/>
      <c r="GY631" s="323"/>
      <c r="GZ631" s="323"/>
      <c r="HA631" s="323"/>
      <c r="HB631" s="323"/>
      <c r="HC631" s="323"/>
      <c r="HD631" s="323"/>
      <c r="HE631" s="323"/>
      <c r="HF631" s="323"/>
      <c r="HG631" s="323"/>
      <c r="HH631" s="323"/>
      <c r="HI631" s="323"/>
      <c r="HJ631" s="323"/>
      <c r="HK631" s="323"/>
      <c r="HL631" s="323"/>
      <c r="HM631" s="323"/>
      <c r="HN631" s="323"/>
      <c r="HO631" s="323"/>
      <c r="HP631" s="323"/>
      <c r="HQ631" s="323"/>
      <c r="HR631" s="323"/>
      <c r="HS631" s="323"/>
      <c r="HT631" s="323"/>
      <c r="HU631" s="323"/>
      <c r="HV631" s="323"/>
      <c r="HW631" s="323"/>
      <c r="HX631" s="323"/>
      <c r="HY631" s="323"/>
      <c r="HZ631" s="326"/>
      <c r="IA631" s="328" t="s">
        <v>634</v>
      </c>
      <c r="IB631" s="328"/>
      <c r="IC631" s="328"/>
      <c r="ID631" s="323">
        <f>+FISC!Z837</f>
        <v>0</v>
      </c>
      <c r="IE631" s="279">
        <f>SUM(CQ631:CV631)</f>
        <v>0</v>
      </c>
      <c r="IF631" s="279">
        <f>SUM(CW631:DB631)</f>
        <v>0</v>
      </c>
      <c r="IG631" s="323">
        <f>SUM(CQ631:DB631)</f>
        <v>0</v>
      </c>
      <c r="IJ631" s="323">
        <v>0</v>
      </c>
      <c r="IK631" s="279">
        <f>+SUM(DO631:DT631)</f>
        <v>0</v>
      </c>
      <c r="IL631" s="279">
        <f t="shared" si="517"/>
        <v>0</v>
      </c>
      <c r="IM631" s="323">
        <f t="shared" si="503"/>
        <v>0</v>
      </c>
      <c r="IO631" s="327"/>
      <c r="IP631" s="323">
        <f>FISC!AC837</f>
        <v>0</v>
      </c>
      <c r="IQ631" s="279">
        <f t="shared" si="458"/>
        <v>0</v>
      </c>
      <c r="IR631" s="279">
        <f t="shared" si="459"/>
        <v>0</v>
      </c>
      <c r="IS631" s="323">
        <f t="shared" si="407"/>
        <v>0</v>
      </c>
      <c r="IT631" s="327"/>
      <c r="IU631" s="327"/>
      <c r="IV631" s="323">
        <f>+FISC!AE837</f>
        <v>0</v>
      </c>
      <c r="IW631" s="279">
        <f t="shared" si="518"/>
        <v>0</v>
      </c>
      <c r="IX631" s="279">
        <f t="shared" si="486"/>
        <v>0</v>
      </c>
      <c r="IY631" s="323">
        <f>+FISC!AF837</f>
        <v>0</v>
      </c>
      <c r="IZ631" s="279">
        <f t="shared" si="498"/>
        <v>0</v>
      </c>
      <c r="JA631" s="279">
        <f t="shared" si="360"/>
        <v>0</v>
      </c>
      <c r="JB631" s="323">
        <f>+FISC!AG837</f>
        <v>0</v>
      </c>
      <c r="JC631" s="279">
        <f t="shared" si="499"/>
        <v>0</v>
      </c>
      <c r="JD631" s="279">
        <f t="shared" si="487"/>
        <v>0</v>
      </c>
      <c r="JE631" s="323">
        <f>+FISC!AH837</f>
        <v>0</v>
      </c>
      <c r="JF631" s="279">
        <f t="shared" si="500"/>
        <v>0</v>
      </c>
      <c r="JG631" s="279">
        <f t="shared" si="488"/>
        <v>0</v>
      </c>
      <c r="JH631" s="323">
        <f>+FISC!AI837</f>
        <v>0</v>
      </c>
      <c r="JI631" s="279">
        <f t="shared" si="501"/>
        <v>0</v>
      </c>
      <c r="JJ631" s="279">
        <f t="shared" si="489"/>
        <v>0</v>
      </c>
      <c r="JK631" s="323">
        <f>+FISC!AJ837</f>
        <v>0</v>
      </c>
      <c r="JL631" s="279">
        <f t="shared" si="502"/>
        <v>0</v>
      </c>
      <c r="JM631" s="279">
        <f t="shared" si="490"/>
        <v>0</v>
      </c>
      <c r="JN631" s="323">
        <f>+FISC!AK837</f>
        <v>0</v>
      </c>
      <c r="JO631" s="323"/>
      <c r="KU631" s="326"/>
      <c r="KV631" s="327"/>
    </row>
    <row r="632" spans="1:314" hidden="1">
      <c r="A632" s="279"/>
      <c r="B632" s="96" t="s">
        <v>338</v>
      </c>
      <c r="D632" s="328" t="str">
        <f>+FISC!D838</f>
        <v>Of which: Bugesera airport</v>
      </c>
      <c r="E632" s="323"/>
      <c r="F632" s="323"/>
      <c r="G632" s="323"/>
      <c r="H632" s="323"/>
      <c r="I632" s="323"/>
      <c r="J632" s="323"/>
      <c r="K632" s="323"/>
      <c r="L632" s="323"/>
      <c r="M632" s="323"/>
      <c r="N632" s="323"/>
      <c r="O632" s="323"/>
      <c r="P632" s="323"/>
      <c r="Q632" s="323"/>
      <c r="R632" s="323"/>
      <c r="S632" s="323"/>
      <c r="T632" s="323"/>
      <c r="U632" s="323"/>
      <c r="V632" s="323"/>
      <c r="W632" s="323"/>
      <c r="X632" s="323"/>
      <c r="Y632" s="323"/>
      <c r="Z632" s="323"/>
      <c r="AA632" s="323"/>
      <c r="AB632" s="323"/>
      <c r="AC632" s="323"/>
      <c r="AD632" s="323"/>
      <c r="AE632" s="323"/>
      <c r="AF632" s="323"/>
      <c r="AG632" s="323"/>
      <c r="AH632" s="323"/>
      <c r="AI632" s="323"/>
      <c r="AJ632" s="323"/>
      <c r="AK632" s="323"/>
      <c r="AL632" s="323"/>
      <c r="AM632" s="323"/>
      <c r="AN632" s="323"/>
      <c r="AO632" s="323"/>
      <c r="AP632" s="323"/>
      <c r="AQ632" s="323"/>
      <c r="AR632" s="323"/>
      <c r="AS632" s="323"/>
      <c r="AT632" s="323"/>
      <c r="AU632" s="323"/>
      <c r="AV632" s="323"/>
      <c r="AW632" s="323"/>
      <c r="AX632" s="323"/>
      <c r="AY632" s="323"/>
      <c r="AZ632" s="323"/>
      <c r="BA632" s="323"/>
      <c r="BB632" s="323"/>
      <c r="BC632" s="323"/>
      <c r="BD632" s="323"/>
      <c r="BE632" s="323"/>
      <c r="BF632" s="323"/>
      <c r="BG632" s="323"/>
      <c r="BH632" s="323"/>
      <c r="BI632" s="323"/>
      <c r="BJ632" s="323"/>
      <c r="BK632" s="323"/>
      <c r="BL632" s="323"/>
      <c r="BM632" s="323"/>
      <c r="BN632" s="323"/>
      <c r="BO632" s="323"/>
      <c r="BP632" s="323"/>
      <c r="BQ632" s="323"/>
      <c r="BR632" s="323"/>
      <c r="BS632" s="323"/>
      <c r="BT632" s="323"/>
      <c r="BU632" s="323"/>
      <c r="BV632" s="323"/>
      <c r="BW632" s="323"/>
      <c r="BX632" s="323"/>
      <c r="BY632" s="323"/>
      <c r="BZ632" s="323"/>
      <c r="CA632" s="323"/>
      <c r="CB632" s="323"/>
      <c r="CC632" s="323"/>
      <c r="CD632" s="323"/>
      <c r="CE632" s="324"/>
      <c r="CF632" s="323"/>
      <c r="CG632" s="323"/>
      <c r="CH632" s="323"/>
      <c r="CI632" s="323"/>
      <c r="CJ632" s="323"/>
      <c r="CK632" s="323"/>
      <c r="CL632" s="323"/>
      <c r="CM632" s="323"/>
      <c r="CN632" s="323"/>
      <c r="CO632" s="323"/>
      <c r="CP632" s="325"/>
      <c r="CQ632" s="323"/>
      <c r="CR632" s="323"/>
      <c r="CS632" s="323"/>
      <c r="CT632" s="323"/>
      <c r="CU632" s="323"/>
      <c r="CV632" s="323"/>
      <c r="CW632" s="323"/>
      <c r="CX632" s="323"/>
      <c r="CY632" s="323"/>
      <c r="CZ632" s="323"/>
      <c r="DA632" s="323"/>
      <c r="DB632" s="1269"/>
      <c r="DC632" s="323"/>
      <c r="DD632" s="323"/>
      <c r="DE632" s="323"/>
      <c r="DF632" s="323"/>
      <c r="DG632" s="323"/>
      <c r="DH632" s="323"/>
      <c r="DI632" s="323"/>
      <c r="DJ632" s="323"/>
      <c r="DK632" s="323"/>
      <c r="DL632" s="323"/>
      <c r="DM632" s="323"/>
      <c r="DN632" s="325"/>
      <c r="DO632" s="323"/>
      <c r="DP632" s="323"/>
      <c r="DQ632" s="323"/>
      <c r="DR632" s="323"/>
      <c r="DS632" s="323"/>
      <c r="DT632" s="323"/>
      <c r="DU632" s="323"/>
      <c r="DV632" s="323"/>
      <c r="DW632" s="323"/>
      <c r="DX632" s="323"/>
      <c r="DY632" s="323"/>
      <c r="DZ632" s="325"/>
      <c r="EA632" s="323"/>
      <c r="EB632" s="323"/>
      <c r="EC632" s="323"/>
      <c r="ED632" s="323"/>
      <c r="EE632" s="323"/>
      <c r="EF632" s="323"/>
      <c r="EG632" s="323"/>
      <c r="EH632" s="323"/>
      <c r="EI632" s="323"/>
      <c r="EJ632" s="323"/>
      <c r="EK632" s="323"/>
      <c r="EL632" s="325"/>
      <c r="EM632" s="323"/>
      <c r="EN632" s="323"/>
      <c r="EO632" s="323"/>
      <c r="EP632" s="323"/>
      <c r="EQ632" s="323"/>
      <c r="ER632" s="323"/>
      <c r="ES632" s="323"/>
      <c r="ET632" s="323"/>
      <c r="EU632" s="323"/>
      <c r="EV632" s="323"/>
      <c r="EW632" s="323"/>
      <c r="EX632" s="325"/>
      <c r="EY632" s="323"/>
      <c r="EZ632" s="323"/>
      <c r="FA632" s="323"/>
      <c r="FB632" s="323"/>
      <c r="FC632" s="323"/>
      <c r="FD632" s="323"/>
      <c r="FE632" s="323"/>
      <c r="FF632" s="323"/>
      <c r="FG632" s="323"/>
      <c r="FH632" s="323"/>
      <c r="FI632" s="323"/>
      <c r="FJ632" s="325"/>
      <c r="FK632" s="323"/>
      <c r="FL632" s="323"/>
      <c r="FM632" s="323"/>
      <c r="FN632" s="323"/>
      <c r="FO632" s="323"/>
      <c r="FP632" s="323"/>
      <c r="FQ632" s="323"/>
      <c r="FR632" s="323"/>
      <c r="FS632" s="323"/>
      <c r="FT632" s="323"/>
      <c r="FU632" s="323"/>
      <c r="FV632" s="323"/>
      <c r="FW632" s="323"/>
      <c r="FX632" s="323"/>
      <c r="FY632" s="323"/>
      <c r="FZ632" s="323"/>
      <c r="GA632" s="323"/>
      <c r="GB632" s="323"/>
      <c r="GC632" s="323"/>
      <c r="GD632" s="323"/>
      <c r="GE632" s="323"/>
      <c r="GF632" s="323"/>
      <c r="GG632" s="323"/>
      <c r="GH632" s="323"/>
      <c r="GI632" s="323"/>
      <c r="GJ632" s="323"/>
      <c r="GK632" s="323"/>
      <c r="GL632" s="323"/>
      <c r="GM632" s="323"/>
      <c r="GN632" s="323"/>
      <c r="GO632" s="323"/>
      <c r="GP632" s="323"/>
      <c r="GQ632" s="323"/>
      <c r="GR632" s="323"/>
      <c r="GS632" s="323"/>
      <c r="GT632" s="323"/>
      <c r="GU632" s="323"/>
      <c r="GV632" s="323"/>
      <c r="GW632" s="323"/>
      <c r="GX632" s="323"/>
      <c r="GY632" s="323"/>
      <c r="GZ632" s="323"/>
      <c r="HA632" s="323"/>
      <c r="HB632" s="323"/>
      <c r="HC632" s="323"/>
      <c r="HD632" s="323"/>
      <c r="HE632" s="323"/>
      <c r="HF632" s="323"/>
      <c r="HG632" s="323"/>
      <c r="HH632" s="323"/>
      <c r="HI632" s="323"/>
      <c r="HJ632" s="323"/>
      <c r="HK632" s="323"/>
      <c r="HL632" s="323"/>
      <c r="HM632" s="323"/>
      <c r="HN632" s="323"/>
      <c r="HO632" s="323"/>
      <c r="HP632" s="323"/>
      <c r="HQ632" s="323"/>
      <c r="HR632" s="323"/>
      <c r="HS632" s="323"/>
      <c r="HT632" s="323"/>
      <c r="HU632" s="323"/>
      <c r="HV632" s="323"/>
      <c r="HW632" s="323"/>
      <c r="HX632" s="323"/>
      <c r="HY632" s="323"/>
      <c r="HZ632" s="326"/>
      <c r="IA632" s="328" t="s">
        <v>637</v>
      </c>
      <c r="IB632" s="328"/>
      <c r="IC632" s="328"/>
      <c r="ID632" s="323">
        <f>+FISC!Z838</f>
        <v>0</v>
      </c>
      <c r="IE632" s="279">
        <f>SUM(CQ632:CV632)</f>
        <v>0</v>
      </c>
      <c r="IF632" s="279">
        <f>SUM(CW632:DB632)</f>
        <v>0</v>
      </c>
      <c r="IG632" s="323">
        <f>SUM(CQ632:DB632)</f>
        <v>0</v>
      </c>
      <c r="IJ632" s="323">
        <v>0</v>
      </c>
      <c r="IK632" s="279">
        <f>+SUM(DO632:DT632)</f>
        <v>0</v>
      </c>
      <c r="IL632" s="279">
        <f t="shared" si="517"/>
        <v>0</v>
      </c>
      <c r="IM632" s="323">
        <f t="shared" si="503"/>
        <v>0</v>
      </c>
      <c r="IO632" s="327"/>
      <c r="IP632" s="323">
        <f>FISC!AC838</f>
        <v>0</v>
      </c>
      <c r="IQ632" s="279">
        <f t="shared" si="458"/>
        <v>0</v>
      </c>
      <c r="IR632" s="279">
        <f t="shared" si="459"/>
        <v>0</v>
      </c>
      <c r="IS632" s="323">
        <f t="shared" si="407"/>
        <v>0</v>
      </c>
      <c r="IT632" s="327"/>
      <c r="IU632" s="327"/>
      <c r="IV632" s="323">
        <f>+FISC!AE838</f>
        <v>0</v>
      </c>
      <c r="IW632" s="279">
        <f t="shared" si="518"/>
        <v>0</v>
      </c>
      <c r="IX632" s="279">
        <f t="shared" si="486"/>
        <v>0</v>
      </c>
      <c r="IY632" s="323">
        <f>+FISC!AF838</f>
        <v>0</v>
      </c>
      <c r="IZ632" s="279">
        <f t="shared" si="498"/>
        <v>0</v>
      </c>
      <c r="JA632" s="279">
        <f t="shared" si="360"/>
        <v>0</v>
      </c>
      <c r="JB632" s="323">
        <f>+FISC!AG838</f>
        <v>0</v>
      </c>
      <c r="JC632" s="279">
        <f t="shared" si="499"/>
        <v>0</v>
      </c>
      <c r="JD632" s="279">
        <f t="shared" si="487"/>
        <v>0</v>
      </c>
      <c r="JE632" s="323">
        <f>+FISC!AH838</f>
        <v>0</v>
      </c>
      <c r="JF632" s="279">
        <f t="shared" si="500"/>
        <v>0</v>
      </c>
      <c r="JG632" s="279">
        <f t="shared" si="488"/>
        <v>0</v>
      </c>
      <c r="JH632" s="323">
        <f>+FISC!AI838</f>
        <v>0</v>
      </c>
      <c r="JI632" s="279">
        <f t="shared" si="501"/>
        <v>0</v>
      </c>
      <c r="JJ632" s="279">
        <f t="shared" si="489"/>
        <v>0</v>
      </c>
      <c r="JK632" s="323">
        <f>+FISC!AJ838</f>
        <v>0</v>
      </c>
      <c r="JL632" s="279">
        <f t="shared" si="502"/>
        <v>0</v>
      </c>
      <c r="JM632" s="279">
        <f t="shared" si="490"/>
        <v>0</v>
      </c>
      <c r="JN632" s="323">
        <f>+FISC!AK838</f>
        <v>0</v>
      </c>
      <c r="JO632" s="323"/>
      <c r="KU632" s="326"/>
      <c r="KV632" s="327"/>
    </row>
    <row r="633" spans="1:314" hidden="1">
      <c r="A633" s="279"/>
      <c r="B633" s="96" t="s">
        <v>338</v>
      </c>
      <c r="D633" s="328" t="str">
        <f>+FISC!D839</f>
        <v>Of which: Sovereign Bonds proceeds/Energy</v>
      </c>
      <c r="E633" s="323"/>
      <c r="F633" s="323"/>
      <c r="G633" s="323"/>
      <c r="H633" s="323"/>
      <c r="I633" s="323"/>
      <c r="J633" s="323"/>
      <c r="K633" s="323"/>
      <c r="L633" s="323"/>
      <c r="M633" s="323"/>
      <c r="N633" s="323"/>
      <c r="O633" s="323"/>
      <c r="P633" s="323"/>
      <c r="Q633" s="323"/>
      <c r="R633" s="323"/>
      <c r="S633" s="323"/>
      <c r="T633" s="323"/>
      <c r="U633" s="323"/>
      <c r="V633" s="323"/>
      <c r="W633" s="323"/>
      <c r="X633" s="323"/>
      <c r="Y633" s="323"/>
      <c r="Z633" s="323"/>
      <c r="AA633" s="323"/>
      <c r="AB633" s="323"/>
      <c r="AC633" s="323"/>
      <c r="AD633" s="323"/>
      <c r="AE633" s="323"/>
      <c r="AF633" s="323"/>
      <c r="AG633" s="323"/>
      <c r="AH633" s="323"/>
      <c r="AI633" s="323"/>
      <c r="AJ633" s="323"/>
      <c r="AK633" s="323"/>
      <c r="AL633" s="323"/>
      <c r="AM633" s="323"/>
      <c r="AN633" s="323"/>
      <c r="AO633" s="323"/>
      <c r="AP633" s="323"/>
      <c r="AQ633" s="323"/>
      <c r="AR633" s="323"/>
      <c r="AS633" s="323"/>
      <c r="AT633" s="323"/>
      <c r="AU633" s="323"/>
      <c r="AV633" s="323"/>
      <c r="AW633" s="323"/>
      <c r="AX633" s="323"/>
      <c r="AY633" s="323"/>
      <c r="AZ633" s="323"/>
      <c r="BA633" s="323"/>
      <c r="BB633" s="323"/>
      <c r="BC633" s="323"/>
      <c r="BD633" s="323"/>
      <c r="BE633" s="323"/>
      <c r="BF633" s="323"/>
      <c r="BG633" s="323"/>
      <c r="BH633" s="323"/>
      <c r="BI633" s="323"/>
      <c r="BJ633" s="323"/>
      <c r="BK633" s="323"/>
      <c r="BL633" s="323"/>
      <c r="BM633" s="323"/>
      <c r="BN633" s="323"/>
      <c r="BO633" s="323"/>
      <c r="BP633" s="323"/>
      <c r="BQ633" s="323"/>
      <c r="BR633" s="323"/>
      <c r="BS633" s="323"/>
      <c r="BT633" s="323"/>
      <c r="BU633" s="323"/>
      <c r="BV633" s="323"/>
      <c r="BW633" s="323"/>
      <c r="BX633" s="323"/>
      <c r="BY633" s="323"/>
      <c r="BZ633" s="323"/>
      <c r="CA633" s="323"/>
      <c r="CB633" s="323"/>
      <c r="CC633" s="323"/>
      <c r="CD633" s="323"/>
      <c r="CE633" s="324">
        <f t="shared" ref="CE633:CP633" si="520">CE261</f>
        <v>5.9806559970000004</v>
      </c>
      <c r="CF633" s="323">
        <f t="shared" si="520"/>
        <v>0</v>
      </c>
      <c r="CG633" s="323">
        <f t="shared" si="520"/>
        <v>2.4868241860000002</v>
      </c>
      <c r="CH633" s="323">
        <f t="shared" si="520"/>
        <v>5.7063252359999996</v>
      </c>
      <c r="CI633" s="323">
        <f t="shared" si="520"/>
        <v>0.115232735</v>
      </c>
      <c r="CJ633" s="323">
        <f t="shared" si="520"/>
        <v>0.171666657</v>
      </c>
      <c r="CK633" s="323">
        <f t="shared" si="520"/>
        <v>1.8893802909999999</v>
      </c>
      <c r="CL633" s="323">
        <f t="shared" si="520"/>
        <v>0.154772415</v>
      </c>
      <c r="CM633" s="323">
        <f t="shared" si="520"/>
        <v>0.79095841600000005</v>
      </c>
      <c r="CN633" s="323">
        <f t="shared" si="520"/>
        <v>4.2216037030000004</v>
      </c>
      <c r="CO633" s="323">
        <f t="shared" si="520"/>
        <v>0.83095245100000004</v>
      </c>
      <c r="CP633" s="325">
        <f t="shared" si="520"/>
        <v>5.8514820000000002E-2</v>
      </c>
      <c r="CQ633" s="323"/>
      <c r="CR633" s="323"/>
      <c r="CS633" s="323"/>
      <c r="CT633" s="323"/>
      <c r="CU633" s="323"/>
      <c r="CV633" s="323"/>
      <c r="CW633" s="323"/>
      <c r="CX633" s="323"/>
      <c r="CY633" s="323"/>
      <c r="CZ633" s="323"/>
      <c r="DA633" s="323"/>
      <c r="DB633" s="1269"/>
      <c r="DC633" s="323"/>
      <c r="DD633" s="323"/>
      <c r="DE633" s="323"/>
      <c r="DF633" s="323"/>
      <c r="DG633" s="323"/>
      <c r="DH633" s="323"/>
      <c r="DI633" s="323"/>
      <c r="DJ633" s="323"/>
      <c r="DK633" s="323"/>
      <c r="DL633" s="323"/>
      <c r="DM633" s="323"/>
      <c r="DN633" s="325"/>
      <c r="DO633" s="323"/>
      <c r="DP633" s="323"/>
      <c r="DQ633" s="323"/>
      <c r="DR633" s="323"/>
      <c r="DS633" s="323"/>
      <c r="DT633" s="323"/>
      <c r="DU633" s="323"/>
      <c r="DV633" s="323"/>
      <c r="DW633" s="323"/>
      <c r="DX633" s="323"/>
      <c r="DY633" s="323"/>
      <c r="DZ633" s="325"/>
      <c r="EA633" s="323"/>
      <c r="EB633" s="323"/>
      <c r="EC633" s="323"/>
      <c r="ED633" s="323"/>
      <c r="EE633" s="323"/>
      <c r="EF633" s="323"/>
      <c r="EG633" s="323"/>
      <c r="EH633" s="323"/>
      <c r="EI633" s="323"/>
      <c r="EJ633" s="323"/>
      <c r="EK633" s="323"/>
      <c r="EL633" s="325"/>
      <c r="EM633" s="323"/>
      <c r="EN633" s="323"/>
      <c r="EO633" s="323"/>
      <c r="EP633" s="323"/>
      <c r="EQ633" s="323"/>
      <c r="ER633" s="323"/>
      <c r="ES633" s="323"/>
      <c r="ET633" s="323"/>
      <c r="EU633" s="323"/>
      <c r="EV633" s="323"/>
      <c r="EW633" s="323"/>
      <c r="EX633" s="325"/>
      <c r="EY633" s="323"/>
      <c r="EZ633" s="323"/>
      <c r="FA633" s="323"/>
      <c r="FB633" s="323"/>
      <c r="FC633" s="323"/>
      <c r="FD633" s="323"/>
      <c r="FE633" s="323"/>
      <c r="FF633" s="323"/>
      <c r="FG633" s="323"/>
      <c r="FH633" s="323"/>
      <c r="FI633" s="323"/>
      <c r="FJ633" s="325"/>
      <c r="FK633" s="323"/>
      <c r="FL633" s="323"/>
      <c r="FM633" s="323"/>
      <c r="FN633" s="323"/>
      <c r="FO633" s="323"/>
      <c r="FP633" s="323"/>
      <c r="FQ633" s="323"/>
      <c r="FR633" s="323"/>
      <c r="FS633" s="323"/>
      <c r="FT633" s="323"/>
      <c r="FU633" s="323"/>
      <c r="FV633" s="323"/>
      <c r="FW633" s="323"/>
      <c r="FX633" s="323"/>
      <c r="FY633" s="323"/>
      <c r="FZ633" s="323"/>
      <c r="GA633" s="323"/>
      <c r="GB633" s="323"/>
      <c r="GC633" s="323"/>
      <c r="GD633" s="323"/>
      <c r="GE633" s="323"/>
      <c r="GF633" s="323"/>
      <c r="GG633" s="323"/>
      <c r="GH633" s="323"/>
      <c r="GI633" s="323"/>
      <c r="GJ633" s="323"/>
      <c r="GK633" s="323"/>
      <c r="GL633" s="323"/>
      <c r="GM633" s="323"/>
      <c r="GN633" s="323"/>
      <c r="GO633" s="323"/>
      <c r="GP633" s="323"/>
      <c r="GQ633" s="323"/>
      <c r="GR633" s="323"/>
      <c r="GS633" s="323"/>
      <c r="GT633" s="323"/>
      <c r="GU633" s="323"/>
      <c r="GV633" s="323"/>
      <c r="GW633" s="323"/>
      <c r="GX633" s="323"/>
      <c r="GY633" s="323"/>
      <c r="GZ633" s="323"/>
      <c r="HA633" s="323"/>
      <c r="HB633" s="323"/>
      <c r="HC633" s="323"/>
      <c r="HD633" s="323"/>
      <c r="HE633" s="323"/>
      <c r="HF633" s="323"/>
      <c r="HG633" s="323"/>
      <c r="HH633" s="323"/>
      <c r="HI633" s="323"/>
      <c r="HJ633" s="323"/>
      <c r="HK633" s="323"/>
      <c r="HL633" s="323"/>
      <c r="HM633" s="323"/>
      <c r="HN633" s="323"/>
      <c r="HO633" s="323"/>
      <c r="HP633" s="323"/>
      <c r="HQ633" s="323"/>
      <c r="HR633" s="323"/>
      <c r="HS633" s="323"/>
      <c r="HT633" s="323"/>
      <c r="HU633" s="323"/>
      <c r="HV633" s="323"/>
      <c r="HW633" s="323"/>
      <c r="HX633" s="323"/>
      <c r="HY633" s="323"/>
      <c r="HZ633" s="326"/>
      <c r="IA633" s="328" t="s">
        <v>633</v>
      </c>
      <c r="IB633" s="328"/>
      <c r="IC633" s="328"/>
      <c r="ID633" s="323">
        <f>+FISC!Z839</f>
        <v>0</v>
      </c>
      <c r="IE633" s="279">
        <f>SUM(CQ633:CV633)</f>
        <v>0</v>
      </c>
      <c r="IF633" s="279">
        <f>SUM(CW633:DB633)</f>
        <v>0</v>
      </c>
      <c r="IG633" s="323">
        <f>SUM(CQ633:DB633)</f>
        <v>0</v>
      </c>
      <c r="IJ633" s="323">
        <v>0</v>
      </c>
      <c r="IK633" s="279">
        <f>+SUM(DO633:DT633)</f>
        <v>0</v>
      </c>
      <c r="IL633" s="279">
        <f t="shared" si="517"/>
        <v>0</v>
      </c>
      <c r="IM633" s="323">
        <f t="shared" si="503"/>
        <v>0</v>
      </c>
      <c r="IO633" s="327"/>
      <c r="IP633" s="323">
        <f>FISC!AC839</f>
        <v>0</v>
      </c>
      <c r="IQ633" s="279">
        <f t="shared" si="458"/>
        <v>0</v>
      </c>
      <c r="IR633" s="279">
        <f t="shared" si="459"/>
        <v>0</v>
      </c>
      <c r="IS633" s="323">
        <f t="shared" si="407"/>
        <v>0</v>
      </c>
      <c r="IT633" s="327"/>
      <c r="IU633" s="327"/>
      <c r="IV633" s="323">
        <f>+FISC!AE839</f>
        <v>0</v>
      </c>
      <c r="IW633" s="279">
        <f t="shared" si="518"/>
        <v>0</v>
      </c>
      <c r="IX633" s="279">
        <f t="shared" si="486"/>
        <v>0</v>
      </c>
      <c r="IY633" s="323">
        <f>+FISC!AF839</f>
        <v>0</v>
      </c>
      <c r="IZ633" s="279">
        <f t="shared" si="498"/>
        <v>0</v>
      </c>
      <c r="JA633" s="279">
        <f t="shared" si="360"/>
        <v>0</v>
      </c>
      <c r="JB633" s="323">
        <f>+FISC!AG839</f>
        <v>0</v>
      </c>
      <c r="JC633" s="279">
        <f t="shared" si="499"/>
        <v>0</v>
      </c>
      <c r="JD633" s="279">
        <f t="shared" si="487"/>
        <v>0</v>
      </c>
      <c r="JE633" s="323">
        <f>+FISC!AH839</f>
        <v>0</v>
      </c>
      <c r="JF633" s="279">
        <f t="shared" si="500"/>
        <v>0</v>
      </c>
      <c r="JG633" s="279">
        <f t="shared" si="488"/>
        <v>0</v>
      </c>
      <c r="JH633" s="323">
        <f>+FISC!AI839</f>
        <v>0</v>
      </c>
      <c r="JI633" s="279">
        <f t="shared" si="501"/>
        <v>0</v>
      </c>
      <c r="JJ633" s="279">
        <f t="shared" si="489"/>
        <v>0</v>
      </c>
      <c r="JK633" s="323">
        <f>+FISC!AJ839</f>
        <v>0</v>
      </c>
      <c r="JL633" s="279">
        <f t="shared" si="502"/>
        <v>0</v>
      </c>
      <c r="JM633" s="279">
        <f t="shared" si="490"/>
        <v>0</v>
      </c>
      <c r="JN633" s="323">
        <f>+FISC!AK839</f>
        <v>0</v>
      </c>
      <c r="JO633" s="323"/>
      <c r="KU633" s="326"/>
      <c r="KV633" s="327"/>
    </row>
    <row r="634" spans="1:314" hidden="1">
      <c r="A634" s="279"/>
      <c r="B634" s="96" t="s">
        <v>338</v>
      </c>
      <c r="D634" s="328" t="str">
        <f>+FISC!D840</f>
        <v>Of which: drawdown/accumulation of other deposits</v>
      </c>
      <c r="E634" s="323"/>
      <c r="F634" s="323"/>
      <c r="G634" s="323"/>
      <c r="H634" s="323"/>
      <c r="I634" s="323"/>
      <c r="J634" s="323"/>
      <c r="K634" s="323"/>
      <c r="L634" s="323"/>
      <c r="M634" s="323"/>
      <c r="N634" s="323"/>
      <c r="O634" s="323"/>
      <c r="P634" s="323"/>
      <c r="Q634" s="323"/>
      <c r="R634" s="323"/>
      <c r="S634" s="323"/>
      <c r="T634" s="323"/>
      <c r="U634" s="323"/>
      <c r="V634" s="323"/>
      <c r="W634" s="323"/>
      <c r="X634" s="323"/>
      <c r="Y634" s="323"/>
      <c r="Z634" s="323"/>
      <c r="AA634" s="323"/>
      <c r="AB634" s="323"/>
      <c r="AC634" s="323"/>
      <c r="AD634" s="323"/>
      <c r="AE634" s="323"/>
      <c r="AF634" s="323"/>
      <c r="AG634" s="323"/>
      <c r="AH634" s="323"/>
      <c r="AI634" s="323"/>
      <c r="AJ634" s="323"/>
      <c r="AK634" s="323"/>
      <c r="AL634" s="323"/>
      <c r="AM634" s="323"/>
      <c r="AN634" s="323"/>
      <c r="AO634" s="323"/>
      <c r="AP634" s="323"/>
      <c r="AQ634" s="323"/>
      <c r="AR634" s="323"/>
      <c r="AS634" s="323"/>
      <c r="AT634" s="323"/>
      <c r="AU634" s="323"/>
      <c r="AV634" s="323"/>
      <c r="AW634" s="323"/>
      <c r="AX634" s="323"/>
      <c r="AY634" s="323"/>
      <c r="AZ634" s="323"/>
      <c r="BA634" s="323"/>
      <c r="BB634" s="323"/>
      <c r="BC634" s="323"/>
      <c r="BD634" s="323"/>
      <c r="BE634" s="323"/>
      <c r="BF634" s="323"/>
      <c r="BG634" s="323"/>
      <c r="BH634" s="323"/>
      <c r="BI634" s="323"/>
      <c r="BJ634" s="323"/>
      <c r="BK634" s="323"/>
      <c r="BL634" s="323"/>
      <c r="BM634" s="323"/>
      <c r="BN634" s="323"/>
      <c r="BO634" s="323"/>
      <c r="BP634" s="323"/>
      <c r="BQ634" s="323"/>
      <c r="BR634" s="323"/>
      <c r="BS634" s="323"/>
      <c r="BT634" s="323"/>
      <c r="BU634" s="323"/>
      <c r="BV634" s="323"/>
      <c r="BW634" s="323"/>
      <c r="BX634" s="323"/>
      <c r="BY634" s="323"/>
      <c r="BZ634" s="323"/>
      <c r="CA634" s="323"/>
      <c r="CB634" s="323"/>
      <c r="CC634" s="323"/>
      <c r="CD634" s="323"/>
      <c r="CE634" s="324"/>
      <c r="CF634" s="323"/>
      <c r="CG634" s="323"/>
      <c r="CH634" s="323"/>
      <c r="CI634" s="323"/>
      <c r="CJ634" s="323"/>
      <c r="CK634" s="323"/>
      <c r="CL634" s="323"/>
      <c r="CM634" s="323"/>
      <c r="CN634" s="323"/>
      <c r="CO634" s="323"/>
      <c r="CP634" s="325"/>
      <c r="CQ634" s="323">
        <v>0</v>
      </c>
      <c r="CR634" s="323">
        <v>0</v>
      </c>
      <c r="CS634" s="323">
        <v>0</v>
      </c>
      <c r="CT634" s="323">
        <v>0</v>
      </c>
      <c r="CU634" s="323">
        <v>0</v>
      </c>
      <c r="CV634" s="323">
        <v>0</v>
      </c>
      <c r="CW634" s="323">
        <v>0</v>
      </c>
      <c r="CX634" s="323">
        <v>0</v>
      </c>
      <c r="CY634" s="323">
        <v>0</v>
      </c>
      <c r="CZ634" s="323">
        <v>0</v>
      </c>
      <c r="DA634" s="323">
        <v>0</v>
      </c>
      <c r="DB634" s="1269">
        <v>0</v>
      </c>
      <c r="DC634" s="323"/>
      <c r="DD634" s="323"/>
      <c r="DE634" s="323"/>
      <c r="DF634" s="323"/>
      <c r="DG634" s="323"/>
      <c r="DH634" s="323"/>
      <c r="DI634" s="323"/>
      <c r="DJ634" s="323"/>
      <c r="DK634" s="323"/>
      <c r="DL634" s="323"/>
      <c r="DM634" s="323"/>
      <c r="DN634" s="325"/>
      <c r="DO634" s="323"/>
      <c r="DP634" s="323"/>
      <c r="DQ634" s="323"/>
      <c r="DR634" s="323"/>
      <c r="DS634" s="323"/>
      <c r="DT634" s="323"/>
      <c r="DU634" s="323"/>
      <c r="DV634" s="323"/>
      <c r="DW634" s="323"/>
      <c r="DX634" s="323"/>
      <c r="DY634" s="323"/>
      <c r="DZ634" s="325"/>
      <c r="EA634" s="323"/>
      <c r="EB634" s="323"/>
      <c r="EC634" s="323"/>
      <c r="ED634" s="323"/>
      <c r="EE634" s="323"/>
      <c r="EF634" s="323"/>
      <c r="EG634" s="323"/>
      <c r="EH634" s="323"/>
      <c r="EI634" s="323"/>
      <c r="EJ634" s="323"/>
      <c r="EK634" s="323"/>
      <c r="EL634" s="325"/>
      <c r="EM634" s="323"/>
      <c r="EN634" s="323"/>
      <c r="EO634" s="323"/>
      <c r="EP634" s="323"/>
      <c r="EQ634" s="323"/>
      <c r="ER634" s="323"/>
      <c r="ES634" s="323"/>
      <c r="ET634" s="323"/>
      <c r="EU634" s="323"/>
      <c r="EV634" s="323"/>
      <c r="EW634" s="323"/>
      <c r="EX634" s="325"/>
      <c r="EY634" s="323"/>
      <c r="EZ634" s="323"/>
      <c r="FA634" s="323"/>
      <c r="FB634" s="323"/>
      <c r="FC634" s="323"/>
      <c r="FD634" s="323"/>
      <c r="FE634" s="323"/>
      <c r="FF634" s="323"/>
      <c r="FG634" s="323"/>
      <c r="FH634" s="323"/>
      <c r="FI634" s="323"/>
      <c r="FJ634" s="325"/>
      <c r="FK634" s="323"/>
      <c r="FL634" s="323"/>
      <c r="FM634" s="323"/>
      <c r="FN634" s="323"/>
      <c r="FO634" s="323"/>
      <c r="FP634" s="323"/>
      <c r="FQ634" s="323"/>
      <c r="FR634" s="323"/>
      <c r="FS634" s="323"/>
      <c r="FT634" s="323"/>
      <c r="FU634" s="323"/>
      <c r="FV634" s="323"/>
      <c r="FW634" s="323"/>
      <c r="FX634" s="323"/>
      <c r="FY634" s="323"/>
      <c r="FZ634" s="323"/>
      <c r="GA634" s="323"/>
      <c r="GB634" s="323"/>
      <c r="GC634" s="323"/>
      <c r="GD634" s="323"/>
      <c r="GE634" s="323"/>
      <c r="GF634" s="323"/>
      <c r="GG634" s="323"/>
      <c r="GH634" s="323"/>
      <c r="GI634" s="323"/>
      <c r="GJ634" s="323"/>
      <c r="GK634" s="323"/>
      <c r="GL634" s="323"/>
      <c r="GM634" s="323"/>
      <c r="GN634" s="323"/>
      <c r="GO634" s="323"/>
      <c r="GP634" s="323"/>
      <c r="GQ634" s="323"/>
      <c r="GR634" s="323"/>
      <c r="GS634" s="323"/>
      <c r="GT634" s="323"/>
      <c r="GU634" s="323"/>
      <c r="GV634" s="323"/>
      <c r="GW634" s="323"/>
      <c r="GX634" s="323"/>
      <c r="GY634" s="323"/>
      <c r="GZ634" s="323"/>
      <c r="HA634" s="323"/>
      <c r="HB634" s="323"/>
      <c r="HC634" s="323"/>
      <c r="HD634" s="323"/>
      <c r="HE634" s="323"/>
      <c r="HF634" s="323"/>
      <c r="HG634" s="323"/>
      <c r="HH634" s="323"/>
      <c r="HI634" s="323"/>
      <c r="HJ634" s="323"/>
      <c r="HK634" s="323"/>
      <c r="HL634" s="323"/>
      <c r="HM634" s="323"/>
      <c r="HN634" s="323"/>
      <c r="HO634" s="323"/>
      <c r="HP634" s="323"/>
      <c r="HQ634" s="323"/>
      <c r="HR634" s="323"/>
      <c r="HS634" s="323"/>
      <c r="HT634" s="323"/>
      <c r="HU634" s="323"/>
      <c r="HV634" s="323"/>
      <c r="HW634" s="323"/>
      <c r="HX634" s="323"/>
      <c r="HY634" s="323"/>
      <c r="HZ634" s="326"/>
      <c r="IA634" s="328" t="s">
        <v>638</v>
      </c>
      <c r="IB634" s="328"/>
      <c r="IC634" s="328"/>
      <c r="ID634" s="323">
        <f>+FISC!Z840</f>
        <v>41</v>
      </c>
      <c r="IE634" s="279">
        <f>SUM(CQ634:CV634)</f>
        <v>0</v>
      </c>
      <c r="IF634" s="279">
        <f>SUM(CW634:DB634)</f>
        <v>0</v>
      </c>
      <c r="IG634" s="323">
        <f>SUM(CQ634:DB634)</f>
        <v>0</v>
      </c>
      <c r="IJ634" s="323">
        <v>0</v>
      </c>
      <c r="IK634" s="279">
        <f>+SUM(DO634:DT634)</f>
        <v>0</v>
      </c>
      <c r="IL634" s="279">
        <f t="shared" si="517"/>
        <v>0</v>
      </c>
      <c r="IM634" s="1020">
        <f t="shared" si="503"/>
        <v>0</v>
      </c>
      <c r="IO634" s="327"/>
      <c r="IP634" s="323">
        <f>FISC!AC840</f>
        <v>48</v>
      </c>
      <c r="IQ634" s="279">
        <f t="shared" si="458"/>
        <v>0</v>
      </c>
      <c r="IR634" s="279">
        <f t="shared" si="459"/>
        <v>0</v>
      </c>
      <c r="IS634" s="323">
        <f t="shared" si="407"/>
        <v>0</v>
      </c>
      <c r="IT634" s="327"/>
      <c r="IU634" s="327"/>
      <c r="IV634" s="323">
        <f>+FISC!AE840</f>
        <v>16.604127645284251</v>
      </c>
      <c r="IW634" s="279">
        <f t="shared" si="518"/>
        <v>0</v>
      </c>
      <c r="IX634" s="279">
        <f t="shared" si="486"/>
        <v>6.7554251173838518</v>
      </c>
      <c r="IY634" s="323">
        <f>+FISC!AF840</f>
        <v>6.7554251173838518</v>
      </c>
      <c r="IZ634" s="279">
        <f t="shared" si="498"/>
        <v>0</v>
      </c>
      <c r="JA634" s="279">
        <f t="shared" si="360"/>
        <v>0</v>
      </c>
      <c r="JB634" s="323">
        <f>+FISC!AG840</f>
        <v>0</v>
      </c>
      <c r="JC634" s="279">
        <f t="shared" si="499"/>
        <v>0</v>
      </c>
      <c r="JD634" s="279">
        <f t="shared" si="487"/>
        <v>0</v>
      </c>
      <c r="JE634" s="323">
        <f>+FISC!AH840</f>
        <v>0</v>
      </c>
      <c r="JF634" s="279">
        <f t="shared" si="500"/>
        <v>0</v>
      </c>
      <c r="JG634" s="279">
        <f t="shared" si="488"/>
        <v>0</v>
      </c>
      <c r="JH634" s="323">
        <f>+FISC!AI840</f>
        <v>0</v>
      </c>
      <c r="JI634" s="279">
        <f t="shared" si="501"/>
        <v>0</v>
      </c>
      <c r="JJ634" s="279">
        <f t="shared" si="489"/>
        <v>0</v>
      </c>
      <c r="JK634" s="323">
        <f>+FISC!AJ840</f>
        <v>0</v>
      </c>
      <c r="JL634" s="279">
        <f t="shared" si="502"/>
        <v>0</v>
      </c>
      <c r="JM634" s="279">
        <f t="shared" si="490"/>
        <v>0</v>
      </c>
      <c r="JN634" s="323">
        <f>+FISC!AK840</f>
        <v>0</v>
      </c>
      <c r="JO634" s="323"/>
      <c r="KU634" s="326"/>
      <c r="KV634" s="327"/>
    </row>
    <row r="635" spans="1:314" hidden="1">
      <c r="A635" s="279"/>
      <c r="B635" s="96" t="s">
        <v>338</v>
      </c>
      <c r="D635" s="322" t="str">
        <f>+FISC!D842</f>
        <v>Net lending</v>
      </c>
      <c r="E635" s="323">
        <v>4.4808999999999992</v>
      </c>
      <c r="F635" s="323">
        <v>0.57850000000000001</v>
      </c>
      <c r="G635" s="323">
        <v>0.15159999999999998</v>
      </c>
      <c r="H635" s="323">
        <v>0.72110000000000007</v>
      </c>
      <c r="I635" s="323">
        <v>1.4757</v>
      </c>
      <c r="J635" s="323">
        <v>0.59010000000000007</v>
      </c>
      <c r="K635" s="323">
        <v>-0.26730000000000004</v>
      </c>
      <c r="L635" s="323">
        <v>-1.0087000000000002</v>
      </c>
      <c r="M635" s="323">
        <v>0.75060000000000004</v>
      </c>
      <c r="N635" s="323">
        <v>4.8931000000000004</v>
      </c>
      <c r="O635" s="323">
        <v>-21.798400000000001</v>
      </c>
      <c r="P635" s="323">
        <v>1.3607</v>
      </c>
      <c r="Q635" s="323">
        <v>0.31260000000000004</v>
      </c>
      <c r="R635" s="323">
        <v>1.4419999999999999</v>
      </c>
      <c r="S635" s="323">
        <v>1.0884</v>
      </c>
      <c r="T635" s="323">
        <v>5.3588999999999993</v>
      </c>
      <c r="U635" s="323">
        <v>0.35420000000000001</v>
      </c>
      <c r="V635" s="323">
        <v>-7.8616999999999999</v>
      </c>
      <c r="W635" s="323">
        <v>0.92549999999999999</v>
      </c>
      <c r="X635" s="323">
        <v>1.9539000000000002</v>
      </c>
      <c r="Y635" s="323">
        <v>4.4584999999999999</v>
      </c>
      <c r="Z635" s="323">
        <v>3.9155000000000002</v>
      </c>
      <c r="AA635" s="323">
        <v>4.3900000000000002E-2</v>
      </c>
      <c r="AB635" s="323">
        <v>1.4965999999999999</v>
      </c>
      <c r="AC635" s="323">
        <v>0.88112000000000001</v>
      </c>
      <c r="AD635" s="323">
        <v>0.87414000000000003</v>
      </c>
      <c r="AE635" s="323">
        <v>2.13029</v>
      </c>
      <c r="AF635" s="323">
        <v>3.5615399999999999</v>
      </c>
      <c r="AG635" s="323">
        <v>0.21575</v>
      </c>
      <c r="AH635" s="323">
        <v>0.72760999999999998</v>
      </c>
      <c r="AI635" s="323">
        <v>0.9607</v>
      </c>
      <c r="AJ635" s="323">
        <v>2.2653000000000003</v>
      </c>
      <c r="AK635" s="323">
        <v>18.787800000000001</v>
      </c>
      <c r="AL635" s="323">
        <v>1.1427400000000001</v>
      </c>
      <c r="AM635" s="323">
        <v>0</v>
      </c>
      <c r="AN635" s="323">
        <v>3.13571</v>
      </c>
      <c r="AO635" s="323">
        <v>-0.13950000000000001</v>
      </c>
      <c r="AP635" s="323">
        <v>1.3267</v>
      </c>
      <c r="AQ635" s="323">
        <v>3.6400999999999999</v>
      </c>
      <c r="AR635" s="323">
        <v>2.0970999999999997</v>
      </c>
      <c r="AS635" s="323">
        <v>-1.6924000000000001</v>
      </c>
      <c r="AT635" s="323">
        <v>-1.0112999999999999</v>
      </c>
      <c r="AU635" s="323">
        <v>3.3176300000000003</v>
      </c>
      <c r="AV635" s="323">
        <v>11.5092</v>
      </c>
      <c r="AW635" s="323">
        <v>4.6128</v>
      </c>
      <c r="AX635" s="323">
        <v>2.8586999999999998</v>
      </c>
      <c r="AY635" s="323">
        <v>-2.7444999999999999</v>
      </c>
      <c r="AZ635" s="323">
        <v>4.5314399999999999</v>
      </c>
      <c r="BA635" s="323">
        <v>-14.367799999999999</v>
      </c>
      <c r="BB635" s="323">
        <v>1.4282000000000001</v>
      </c>
      <c r="BC635" s="323">
        <v>3.7641</v>
      </c>
      <c r="BD635" s="323">
        <v>2.3226999999999998</v>
      </c>
      <c r="BE635" s="323">
        <v>0.3296</v>
      </c>
      <c r="BF635" s="323">
        <v>0.90039999999999998</v>
      </c>
      <c r="BG635" s="323">
        <v>2.0684</v>
      </c>
      <c r="BH635" s="323">
        <v>2.0551399999999997</v>
      </c>
      <c r="BI635" s="323">
        <v>-15.192024999999997</v>
      </c>
      <c r="BJ635" s="323">
        <v>-9.2360449710000001</v>
      </c>
      <c r="BK635" s="323">
        <v>2.0120999999999998</v>
      </c>
      <c r="BL635" s="323">
        <v>1.6644000000000001</v>
      </c>
      <c r="BM635" s="323">
        <v>1.6830000000000001</v>
      </c>
      <c r="BN635" s="323">
        <v>2.7917700000000001</v>
      </c>
      <c r="BO635" s="323">
        <v>4.0394603039999994</v>
      </c>
      <c r="BP635" s="323">
        <v>4.2030000000000003</v>
      </c>
      <c r="BQ635" s="323">
        <v>2.6143000000000001</v>
      </c>
      <c r="BR635" s="323">
        <v>1.0662</v>
      </c>
      <c r="BS635" s="323">
        <v>4.0785999999999998</v>
      </c>
      <c r="BT635" s="323">
        <v>0.35580000000000001</v>
      </c>
      <c r="BU635" s="323">
        <v>2.0322999999999998</v>
      </c>
      <c r="BV635" s="323">
        <v>4.5972335040000001</v>
      </c>
      <c r="BW635" s="323">
        <v>2.9477860690000002</v>
      </c>
      <c r="BX635" s="323">
        <v>0.49817592700000002</v>
      </c>
      <c r="BY635" s="323">
        <v>4.1115559690000003</v>
      </c>
      <c r="BZ635" s="323">
        <v>3.1786107289999999</v>
      </c>
      <c r="CA635" s="323">
        <v>1.199526503</v>
      </c>
      <c r="CB635" s="323">
        <v>2.77495387</v>
      </c>
      <c r="CC635" s="323">
        <v>108.363833485</v>
      </c>
      <c r="CD635" s="323">
        <v>8.1158711050000001</v>
      </c>
      <c r="CE635" s="324">
        <f>SUM(CE637:CE649)</f>
        <v>-31.756337806999998</v>
      </c>
      <c r="CF635" s="323">
        <f t="shared" ref="CF635:DB635" si="521">SUM(CF637:CF649)</f>
        <v>21.540410693999998</v>
      </c>
      <c r="CG635" s="323">
        <f t="shared" si="521"/>
        <v>4.644406139</v>
      </c>
      <c r="CH635" s="323">
        <f t="shared" si="521"/>
        <v>3.6906665100000002</v>
      </c>
      <c r="CI635" s="323">
        <f t="shared" si="521"/>
        <v>4.000771845</v>
      </c>
      <c r="CJ635" s="323">
        <f t="shared" si="521"/>
        <v>2.8386170709999998</v>
      </c>
      <c r="CK635" s="323">
        <f t="shared" si="521"/>
        <v>9.5043488400000005</v>
      </c>
      <c r="CL635" s="323">
        <f t="shared" si="521"/>
        <v>1.934691419</v>
      </c>
      <c r="CM635" s="323">
        <f t="shared" si="521"/>
        <v>13.501548335997581</v>
      </c>
      <c r="CN635" s="323">
        <f t="shared" si="521"/>
        <v>0.34203537899999997</v>
      </c>
      <c r="CO635" s="323">
        <f t="shared" si="521"/>
        <v>3.1439371009999997</v>
      </c>
      <c r="CP635" s="325">
        <f t="shared" si="521"/>
        <v>15.697589456000001</v>
      </c>
      <c r="CQ635" s="323">
        <f t="shared" si="521"/>
        <v>3.3484510189305601</v>
      </c>
      <c r="CR635" s="323">
        <f t="shared" si="521"/>
        <v>5.5814872209999997</v>
      </c>
      <c r="CS635" s="323">
        <f>SUM(CS637:CS649)+23</f>
        <v>30.127451912000001</v>
      </c>
      <c r="CT635" s="323">
        <f t="shared" si="521"/>
        <v>1.7390629900000001</v>
      </c>
      <c r="CU635" s="323">
        <f t="shared" si="521"/>
        <v>4.0454566419999995</v>
      </c>
      <c r="CV635" s="323">
        <f t="shared" si="521"/>
        <v>2.8249999999999997</v>
      </c>
      <c r="CW635" s="323">
        <f t="shared" si="521"/>
        <v>3.7031724830000003</v>
      </c>
      <c r="CX635" s="323">
        <f t="shared" si="521"/>
        <v>6.7260049760000005</v>
      </c>
      <c r="CY635" s="323">
        <f t="shared" si="521"/>
        <v>6.6991230000000002</v>
      </c>
      <c r="CZ635" s="323">
        <f t="shared" si="521"/>
        <v>0</v>
      </c>
      <c r="DA635" s="323">
        <f t="shared" si="521"/>
        <v>3.4</v>
      </c>
      <c r="DB635" s="1269">
        <f t="shared" si="521"/>
        <v>3.3</v>
      </c>
      <c r="DC635" s="490">
        <f>SUM(DC636:DC649)</f>
        <v>5.3</v>
      </c>
      <c r="DD635" s="490">
        <f t="shared" ref="DD635:DN635" si="522">SUM(DD636:DD649)</f>
        <v>13.347593833000001</v>
      </c>
      <c r="DE635" s="490">
        <f t="shared" si="522"/>
        <v>8.9191911649999991</v>
      </c>
      <c r="DF635" s="490">
        <f t="shared" si="522"/>
        <v>3.5366866149999998</v>
      </c>
      <c r="DG635" s="490">
        <f t="shared" si="522"/>
        <v>4.3726213439999997</v>
      </c>
      <c r="DH635" s="490">
        <f t="shared" si="522"/>
        <v>3.514052623</v>
      </c>
      <c r="DI635" s="490">
        <f t="shared" si="522"/>
        <v>21.152643470999998</v>
      </c>
      <c r="DJ635" s="490">
        <f t="shared" si="522"/>
        <v>11.237692828</v>
      </c>
      <c r="DK635" s="490">
        <f t="shared" si="522"/>
        <v>2.812622325</v>
      </c>
      <c r="DL635" s="490">
        <f t="shared" si="522"/>
        <v>3.043442787</v>
      </c>
      <c r="DM635" s="490">
        <f t="shared" si="522"/>
        <v>2.875</v>
      </c>
      <c r="DN635" s="874">
        <f t="shared" si="522"/>
        <v>8.3103340330000002</v>
      </c>
      <c r="DO635" s="490">
        <f t="shared" ref="DO635:DT635" si="523">SUM(DO636:DO649)</f>
        <v>4.8980108539999998</v>
      </c>
      <c r="DP635" s="490">
        <f t="shared" si="523"/>
        <v>6.9066390129999995</v>
      </c>
      <c r="DQ635" s="490">
        <f t="shared" si="523"/>
        <v>6.81953502</v>
      </c>
      <c r="DR635" s="490">
        <f t="shared" si="523"/>
        <v>11.452914823999999</v>
      </c>
      <c r="DS635" s="490">
        <f t="shared" si="523"/>
        <v>7.6440726510000001</v>
      </c>
      <c r="DT635" s="490">
        <f t="shared" si="523"/>
        <v>5.9949982159999999</v>
      </c>
      <c r="DU635" s="490">
        <f t="shared" ref="DU635:DZ635" si="524">SUM(DU636:DU649)</f>
        <v>16.884331552999999</v>
      </c>
      <c r="DV635" s="490">
        <f t="shared" si="524"/>
        <v>6.81953502</v>
      </c>
      <c r="DW635" s="490">
        <f t="shared" si="524"/>
        <v>11.516505986</v>
      </c>
      <c r="DX635" s="490">
        <f t="shared" si="524"/>
        <v>2.6007439900000016</v>
      </c>
      <c r="DY635" s="490">
        <f t="shared" si="524"/>
        <v>14.771810901</v>
      </c>
      <c r="DZ635" s="325">
        <f t="shared" si="524"/>
        <v>17.527823183999999</v>
      </c>
      <c r="EA635" s="323">
        <f t="shared" ref="EA635:EK635" si="525">SUM(EA636:EA649)</f>
        <v>9.8000000000000007</v>
      </c>
      <c r="EB635" s="490">
        <f t="shared" si="525"/>
        <v>13.576148472</v>
      </c>
      <c r="EC635" s="490">
        <f t="shared" si="525"/>
        <v>29.073563082</v>
      </c>
      <c r="ED635" s="490">
        <f t="shared" si="525"/>
        <v>7.6661447689999997</v>
      </c>
      <c r="EE635" s="490">
        <f t="shared" si="525"/>
        <v>10.20881591</v>
      </c>
      <c r="EF635" s="490">
        <f t="shared" si="525"/>
        <v>22.273047569999999</v>
      </c>
      <c r="EG635" s="490">
        <f t="shared" si="525"/>
        <v>10.686760800000002</v>
      </c>
      <c r="EH635" s="490">
        <f t="shared" si="525"/>
        <v>8.4656675769999996</v>
      </c>
      <c r="EI635" s="490">
        <f t="shared" si="525"/>
        <v>19.679205226000001</v>
      </c>
      <c r="EJ635" s="490">
        <f t="shared" si="525"/>
        <v>16.116149442000001</v>
      </c>
      <c r="EK635" s="490">
        <f t="shared" si="525"/>
        <v>13.329649810999999</v>
      </c>
      <c r="EL635" s="874">
        <f t="shared" ref="EL635:ER635" si="526">SUM(EL636:EL649)</f>
        <v>-0.83253643600000005</v>
      </c>
      <c r="EM635" s="490">
        <f t="shared" si="526"/>
        <v>18.295088931999999</v>
      </c>
      <c r="EN635" s="490">
        <f t="shared" si="526"/>
        <v>16.743440358000001</v>
      </c>
      <c r="EO635" s="490">
        <f t="shared" si="526"/>
        <v>24.034113318000003</v>
      </c>
      <c r="EP635" s="490">
        <f t="shared" si="526"/>
        <v>11.731862779</v>
      </c>
      <c r="EQ635" s="490">
        <f t="shared" si="526"/>
        <v>19.160632412999998</v>
      </c>
      <c r="ER635" s="490">
        <f t="shared" si="526"/>
        <v>6.2761232199999997</v>
      </c>
      <c r="ES635" s="490">
        <f t="shared" ref="ES635:EX635" si="527">SUM(ES636:ES649)</f>
        <v>21.636654608000001</v>
      </c>
      <c r="ET635" s="490">
        <f t="shared" si="527"/>
        <v>8.9863226449999996</v>
      </c>
      <c r="EU635" s="490">
        <f>SUM(EU636:EU649)</f>
        <v>23.574493701000002</v>
      </c>
      <c r="EV635" s="490">
        <f t="shared" si="527"/>
        <v>11.875057798</v>
      </c>
      <c r="EW635" s="490">
        <f t="shared" si="527"/>
        <v>13.770363232999999</v>
      </c>
      <c r="EX635" s="874">
        <f t="shared" si="527"/>
        <v>20.239404674999999</v>
      </c>
      <c r="EY635" s="490"/>
      <c r="EZ635" s="490"/>
      <c r="FA635" s="490"/>
      <c r="FB635" s="490"/>
      <c r="FC635" s="490"/>
      <c r="FD635" s="490"/>
      <c r="FE635" s="490"/>
      <c r="FF635" s="490"/>
      <c r="FG635" s="490"/>
      <c r="FH635" s="490"/>
      <c r="FI635" s="490"/>
      <c r="FJ635" s="874"/>
      <c r="FK635" s="490"/>
      <c r="FL635" s="490"/>
      <c r="FM635" s="490"/>
      <c r="FN635" s="490"/>
      <c r="FO635" s="490"/>
      <c r="FP635" s="490"/>
      <c r="FQ635" s="490"/>
      <c r="FR635" s="490"/>
      <c r="FS635" s="490"/>
      <c r="FT635" s="490"/>
      <c r="FU635" s="490"/>
      <c r="FV635" s="490"/>
      <c r="FW635" s="490"/>
      <c r="FX635" s="490"/>
      <c r="FY635" s="490"/>
      <c r="FZ635" s="490"/>
      <c r="GA635" s="490"/>
      <c r="GB635" s="490"/>
      <c r="GC635" s="490"/>
      <c r="GD635" s="490"/>
      <c r="GE635" s="490"/>
      <c r="GF635" s="490"/>
      <c r="GG635" s="490"/>
      <c r="GH635" s="490"/>
      <c r="GI635" s="490"/>
      <c r="GJ635" s="490"/>
      <c r="GK635" s="490"/>
      <c r="GL635" s="490"/>
      <c r="GM635" s="490"/>
      <c r="GN635" s="490"/>
      <c r="GO635" s="490"/>
      <c r="GP635" s="490"/>
      <c r="GQ635" s="490"/>
      <c r="GR635" s="490"/>
      <c r="GS635" s="490"/>
      <c r="GT635" s="490"/>
      <c r="GU635" s="490"/>
      <c r="GV635" s="490"/>
      <c r="GW635" s="490"/>
      <c r="GX635" s="490"/>
      <c r="GY635" s="490"/>
      <c r="GZ635" s="490"/>
      <c r="HA635" s="490"/>
      <c r="HB635" s="490"/>
      <c r="HC635" s="490"/>
      <c r="HD635" s="490"/>
      <c r="HE635" s="490"/>
      <c r="HF635" s="490"/>
      <c r="HG635" s="490"/>
      <c r="HH635" s="490"/>
      <c r="HI635" s="490"/>
      <c r="HJ635" s="490"/>
      <c r="HK635" s="490"/>
      <c r="HL635" s="490"/>
      <c r="HM635" s="490"/>
      <c r="HN635" s="490"/>
      <c r="HO635" s="490"/>
      <c r="HP635" s="490"/>
      <c r="HQ635" s="490"/>
      <c r="HR635" s="490"/>
      <c r="HS635" s="490"/>
      <c r="HT635" s="490"/>
      <c r="HU635" s="490"/>
      <c r="HV635" s="490"/>
      <c r="HW635" s="490"/>
      <c r="HX635" s="490"/>
      <c r="HY635" s="490"/>
      <c r="HZ635" s="326"/>
      <c r="IA635" s="322" t="s">
        <v>146</v>
      </c>
      <c r="IB635" s="322"/>
      <c r="IC635" s="322"/>
      <c r="ID635" s="323">
        <f>+FISC!Z842</f>
        <v>116.19999999999999</v>
      </c>
      <c r="IE635" s="279">
        <f>SUM(IE637:IE649)</f>
        <v>24.666909783930556</v>
      </c>
      <c r="IF635" s="279">
        <f>SUM(IF637:IF649)</f>
        <v>23.828300458999998</v>
      </c>
      <c r="IG635" s="323">
        <f>SUM(IG637:IG649)</f>
        <v>48.495210242930554</v>
      </c>
      <c r="IH635" s="279">
        <f>SUM(IH637:IH649)</f>
        <v>38.990145579999997</v>
      </c>
      <c r="II635" s="279">
        <f>+SUM(DI635:DN635)</f>
        <v>49.431735443999997</v>
      </c>
      <c r="IJ635" s="323">
        <f>IH635+II635</f>
        <v>88.421881023999987</v>
      </c>
      <c r="IK635" s="279">
        <f>SUM(IK636:IK649)</f>
        <v>43.716170577999996</v>
      </c>
      <c r="IL635" s="279">
        <f>SUM(IL636:IL651)</f>
        <v>70.120750634000004</v>
      </c>
      <c r="IM635" s="323">
        <f t="shared" si="503"/>
        <v>113.83692121199999</v>
      </c>
      <c r="IN635" s="279">
        <f>SUM(IN636:IN651)</f>
        <v>92.59771980299999</v>
      </c>
      <c r="IO635" s="279">
        <f>SUM(IO636:IO651)</f>
        <v>67.444896419999992</v>
      </c>
      <c r="IP635" s="323">
        <f>FISC!AC842</f>
        <v>160.04261622299998</v>
      </c>
      <c r="IQ635" s="279">
        <f t="shared" si="458"/>
        <v>96.24126102000001</v>
      </c>
      <c r="IR635" s="279">
        <f t="shared" si="459"/>
        <v>100.08229666000001</v>
      </c>
      <c r="IS635" s="323">
        <f t="shared" si="407"/>
        <v>196.32355768000002</v>
      </c>
      <c r="IT635" s="650">
        <f>(SUM(IT636:IT649))*0+175.605266302</f>
        <v>175.60526630199999</v>
      </c>
      <c r="IU635" s="650">
        <f>IV635-IT635</f>
        <v>224.41892431833983</v>
      </c>
      <c r="IV635" s="323">
        <f>+FISC!AE842</f>
        <v>400.02419062033982</v>
      </c>
      <c r="IW635" s="279">
        <f>SUM(IW636:IW649)</f>
        <v>160.81197923940596</v>
      </c>
      <c r="IX635" s="279">
        <f t="shared" si="486"/>
        <v>138.985002147903</v>
      </c>
      <c r="IY635" s="323">
        <f>+FISC!AF842</f>
        <v>299.79698138730896</v>
      </c>
      <c r="IZ635" s="279">
        <f>SUM(IZ636:IZ649)</f>
        <v>130.86678536849675</v>
      </c>
      <c r="JA635" s="279">
        <f t="shared" si="360"/>
        <v>142.27220113649676</v>
      </c>
      <c r="JB635" s="323">
        <f>+FISC!AG842</f>
        <v>273.13898650499351</v>
      </c>
      <c r="JC635" s="279">
        <f>SUM(JC636:JC649)</f>
        <v>143.85910402462261</v>
      </c>
      <c r="JD635" s="279">
        <f t="shared" si="487"/>
        <v>155.26451979262262</v>
      </c>
      <c r="JE635" s="323">
        <f>+FISC!AH842</f>
        <v>299.12362381724523</v>
      </c>
      <c r="JF635" s="279">
        <f>SUM(JF636:JF649)</f>
        <v>131.71417981441985</v>
      </c>
      <c r="JG635" s="279">
        <f t="shared" si="488"/>
        <v>131.71417981441985</v>
      </c>
      <c r="JH635" s="323">
        <f>+FISC!AI842</f>
        <v>263.4283596288397</v>
      </c>
      <c r="JI635" s="279">
        <f>SUM(JI636:JI649)</f>
        <v>10.214589907209929</v>
      </c>
      <c r="JJ635" s="279">
        <f t="shared" si="489"/>
        <v>10.214589907209929</v>
      </c>
      <c r="JK635" s="323">
        <f>+FISC!AJ842</f>
        <v>20.429179814419857</v>
      </c>
      <c r="JL635" s="279">
        <f>SUM(JL636:JL649)</f>
        <v>0</v>
      </c>
      <c r="JM635" s="279">
        <f t="shared" si="490"/>
        <v>0</v>
      </c>
      <c r="JN635" s="323">
        <f>+FISC!AK842</f>
        <v>0</v>
      </c>
      <c r="JO635" s="323"/>
      <c r="KU635" s="326"/>
      <c r="KV635" s="327"/>
      <c r="KY635" s="279">
        <f>SUM(KY637:KY649)</f>
        <v>0</v>
      </c>
      <c r="KZ635" s="279">
        <f>SUM(KZ637:KZ649)</f>
        <v>0</v>
      </c>
      <c r="LA635" s="279">
        <f>SUM(LA637:LA649)</f>
        <v>0</v>
      </c>
      <c r="LB635" s="279">
        <f>SUM(LB637:LB649)</f>
        <v>0</v>
      </c>
    </row>
    <row r="636" spans="1:314" hidden="1">
      <c r="A636" s="279"/>
      <c r="B636" s="96" t="s">
        <v>338</v>
      </c>
      <c r="D636" s="328" t="str">
        <f>+FISC!D843</f>
        <v>Of which Other: (incl Transfers Agaciro Fund)</v>
      </c>
      <c r="E636" s="323"/>
      <c r="F636" s="323"/>
      <c r="G636" s="323"/>
      <c r="H636" s="323"/>
      <c r="I636" s="323"/>
      <c r="J636" s="323"/>
      <c r="K636" s="323"/>
      <c r="L636" s="323"/>
      <c r="M636" s="323"/>
      <c r="N636" s="323"/>
      <c r="O636" s="323"/>
      <c r="P636" s="323"/>
      <c r="Q636" s="323"/>
      <c r="R636" s="323"/>
      <c r="S636" s="323"/>
      <c r="T636" s="323"/>
      <c r="U636" s="323"/>
      <c r="V636" s="323"/>
      <c r="W636" s="323"/>
      <c r="X636" s="323"/>
      <c r="Y636" s="323"/>
      <c r="Z636" s="323"/>
      <c r="AA636" s="323"/>
      <c r="AB636" s="323"/>
      <c r="AC636" s="323"/>
      <c r="AD636" s="323"/>
      <c r="AE636" s="323"/>
      <c r="AF636" s="323"/>
      <c r="AG636" s="323"/>
      <c r="AH636" s="323"/>
      <c r="AI636" s="323"/>
      <c r="AJ636" s="323"/>
      <c r="AK636" s="323"/>
      <c r="AL636" s="323"/>
      <c r="AM636" s="323"/>
      <c r="AN636" s="323"/>
      <c r="AO636" s="323"/>
      <c r="AP636" s="323"/>
      <c r="AQ636" s="323"/>
      <c r="AR636" s="323"/>
      <c r="AS636" s="323"/>
      <c r="AT636" s="323"/>
      <c r="AU636" s="323"/>
      <c r="AV636" s="323"/>
      <c r="AW636" s="323"/>
      <c r="AX636" s="323"/>
      <c r="AY636" s="323"/>
      <c r="AZ636" s="323"/>
      <c r="BA636" s="323"/>
      <c r="BB636" s="323"/>
      <c r="BC636" s="323"/>
      <c r="BD636" s="323"/>
      <c r="BE636" s="323"/>
      <c r="BF636" s="323"/>
      <c r="BG636" s="323"/>
      <c r="BH636" s="323"/>
      <c r="BI636" s="323"/>
      <c r="BJ636" s="323"/>
      <c r="BK636" s="323"/>
      <c r="BL636" s="323"/>
      <c r="BM636" s="323"/>
      <c r="BN636" s="323"/>
      <c r="BO636" s="323"/>
      <c r="BP636" s="323"/>
      <c r="BQ636" s="323"/>
      <c r="BR636" s="323"/>
      <c r="BS636" s="323"/>
      <c r="BT636" s="323"/>
      <c r="BU636" s="323"/>
      <c r="BV636" s="323"/>
      <c r="BW636" s="323"/>
      <c r="BX636" s="323"/>
      <c r="BY636" s="323"/>
      <c r="BZ636" s="323"/>
      <c r="CA636" s="323"/>
      <c r="CB636" s="323"/>
      <c r="CC636" s="323"/>
      <c r="CD636" s="323"/>
      <c r="CE636" s="324"/>
      <c r="CF636" s="323"/>
      <c r="CG636" s="323"/>
      <c r="CH636" s="323"/>
      <c r="CI636" s="323"/>
      <c r="CJ636" s="323"/>
      <c r="CK636" s="323"/>
      <c r="CL636" s="323"/>
      <c r="CM636" s="323"/>
      <c r="CN636" s="323"/>
      <c r="CO636" s="323"/>
      <c r="CP636" s="325"/>
      <c r="CQ636" s="323"/>
      <c r="CR636" s="323"/>
      <c r="CS636" s="323"/>
      <c r="CT636" s="323"/>
      <c r="CU636" s="323"/>
      <c r="CV636" s="323"/>
      <c r="CW636" s="323"/>
      <c r="CX636" s="323"/>
      <c r="CY636" s="323"/>
      <c r="CZ636" s="323"/>
      <c r="DA636" s="323"/>
      <c r="DB636" s="1269"/>
      <c r="DC636" s="323">
        <f t="shared" ref="DC636:EX636" si="528">+DC313</f>
        <v>0</v>
      </c>
      <c r="DD636" s="323">
        <f t="shared" si="528"/>
        <v>0</v>
      </c>
      <c r="DE636" s="323">
        <f t="shared" si="528"/>
        <v>0</v>
      </c>
      <c r="DF636" s="323">
        <f t="shared" si="528"/>
        <v>0</v>
      </c>
      <c r="DG636" s="323">
        <f t="shared" si="528"/>
        <v>0</v>
      </c>
      <c r="DH636" s="323">
        <f t="shared" si="528"/>
        <v>0</v>
      </c>
      <c r="DI636" s="323">
        <f t="shared" si="528"/>
        <v>3</v>
      </c>
      <c r="DJ636" s="323">
        <f t="shared" si="528"/>
        <v>0</v>
      </c>
      <c r="DK636" s="323">
        <f t="shared" si="528"/>
        <v>0</v>
      </c>
      <c r="DL636" s="323">
        <f t="shared" si="528"/>
        <v>0</v>
      </c>
      <c r="DM636" s="323">
        <f t="shared" si="528"/>
        <v>0</v>
      </c>
      <c r="DN636" s="325">
        <f t="shared" si="528"/>
        <v>0</v>
      </c>
      <c r="DO636" s="323">
        <f t="shared" si="528"/>
        <v>0</v>
      </c>
      <c r="DP636" s="323">
        <f t="shared" si="528"/>
        <v>0</v>
      </c>
      <c r="DQ636" s="323">
        <f t="shared" si="528"/>
        <v>0</v>
      </c>
      <c r="DR636" s="323">
        <f t="shared" si="528"/>
        <v>1.1499999999999999</v>
      </c>
      <c r="DS636" s="323">
        <f t="shared" si="528"/>
        <v>0</v>
      </c>
      <c r="DT636" s="323">
        <f t="shared" si="528"/>
        <v>0</v>
      </c>
      <c r="DU636" s="323">
        <f t="shared" si="528"/>
        <v>0.6</v>
      </c>
      <c r="DV636" s="323">
        <f t="shared" si="528"/>
        <v>0</v>
      </c>
      <c r="DW636" s="323">
        <f t="shared" si="528"/>
        <v>0</v>
      </c>
      <c r="DX636" s="323">
        <f t="shared" si="528"/>
        <v>0.4</v>
      </c>
      <c r="DY636" s="323">
        <f t="shared" si="528"/>
        <v>0</v>
      </c>
      <c r="DZ636" s="874">
        <f t="shared" si="528"/>
        <v>0</v>
      </c>
      <c r="EA636" s="490">
        <f t="shared" si="528"/>
        <v>0</v>
      </c>
      <c r="EB636" s="323">
        <f t="shared" si="528"/>
        <v>1.6</v>
      </c>
      <c r="EC636" s="323">
        <f t="shared" si="528"/>
        <v>0</v>
      </c>
      <c r="ED636" s="323">
        <f t="shared" si="528"/>
        <v>0</v>
      </c>
      <c r="EE636" s="323">
        <f t="shared" si="528"/>
        <v>0</v>
      </c>
      <c r="EF636" s="323">
        <f t="shared" si="528"/>
        <v>0</v>
      </c>
      <c r="EG636" s="323">
        <f t="shared" si="528"/>
        <v>0</v>
      </c>
      <c r="EH636" s="323">
        <f t="shared" si="528"/>
        <v>0</v>
      </c>
      <c r="EI636" s="323">
        <f t="shared" si="528"/>
        <v>0</v>
      </c>
      <c r="EJ636" s="323">
        <f t="shared" si="528"/>
        <v>0</v>
      </c>
      <c r="EK636" s="323">
        <f t="shared" si="528"/>
        <v>0</v>
      </c>
      <c r="EL636" s="325">
        <f t="shared" si="528"/>
        <v>0</v>
      </c>
      <c r="EM636" s="323">
        <f t="shared" si="528"/>
        <v>0</v>
      </c>
      <c r="EN636" s="323">
        <f t="shared" si="528"/>
        <v>3.06</v>
      </c>
      <c r="EO636" s="323">
        <f t="shared" si="528"/>
        <v>0</v>
      </c>
      <c r="EP636" s="323">
        <f t="shared" si="528"/>
        <v>0</v>
      </c>
      <c r="EQ636" s="323">
        <f t="shared" si="528"/>
        <v>0</v>
      </c>
      <c r="ER636" s="323">
        <f t="shared" si="528"/>
        <v>0</v>
      </c>
      <c r="ES636" s="323">
        <f t="shared" si="528"/>
        <v>0</v>
      </c>
      <c r="ET636" s="323">
        <f t="shared" si="528"/>
        <v>0</v>
      </c>
      <c r="EU636" s="323">
        <f t="shared" si="528"/>
        <v>0</v>
      </c>
      <c r="EV636" s="323">
        <f t="shared" si="528"/>
        <v>0</v>
      </c>
      <c r="EW636" s="323">
        <f t="shared" si="528"/>
        <v>0</v>
      </c>
      <c r="EX636" s="325">
        <f t="shared" si="528"/>
        <v>0</v>
      </c>
      <c r="EY636" s="323"/>
      <c r="EZ636" s="323"/>
      <c r="FA636" s="323"/>
      <c r="FB636" s="323"/>
      <c r="FC636" s="323"/>
      <c r="FD636" s="323"/>
      <c r="FE636" s="323"/>
      <c r="FF636" s="323"/>
      <c r="FG636" s="323"/>
      <c r="FH636" s="323"/>
      <c r="FI636" s="323"/>
      <c r="FJ636" s="325"/>
      <c r="FK636" s="323"/>
      <c r="FL636" s="323"/>
      <c r="FM636" s="323"/>
      <c r="FN636" s="323"/>
      <c r="FO636" s="323"/>
      <c r="FP636" s="323"/>
      <c r="FQ636" s="323"/>
      <c r="FR636" s="323"/>
      <c r="FS636" s="323"/>
      <c r="FT636" s="323"/>
      <c r="FU636" s="323"/>
      <c r="FV636" s="323"/>
      <c r="FW636" s="323"/>
      <c r="FX636" s="323"/>
      <c r="FY636" s="323"/>
      <c r="FZ636" s="323"/>
      <c r="GA636" s="323"/>
      <c r="GB636" s="323"/>
      <c r="GC636" s="323"/>
      <c r="GD636" s="323"/>
      <c r="GE636" s="323"/>
      <c r="GF636" s="323"/>
      <c r="GG636" s="323"/>
      <c r="GH636" s="323"/>
      <c r="GI636" s="323"/>
      <c r="GJ636" s="323"/>
      <c r="GK636" s="323"/>
      <c r="GL636" s="323"/>
      <c r="GM636" s="323"/>
      <c r="GN636" s="323"/>
      <c r="GO636" s="323"/>
      <c r="GP636" s="323"/>
      <c r="GQ636" s="323"/>
      <c r="GR636" s="323"/>
      <c r="GS636" s="323"/>
      <c r="GT636" s="323"/>
      <c r="GU636" s="323"/>
      <c r="GV636" s="323"/>
      <c r="GW636" s="323"/>
      <c r="GX636" s="323"/>
      <c r="GY636" s="323"/>
      <c r="GZ636" s="323"/>
      <c r="HA636" s="323"/>
      <c r="HB636" s="323"/>
      <c r="HC636" s="323"/>
      <c r="HD636" s="323"/>
      <c r="HE636" s="323"/>
      <c r="HF636" s="323"/>
      <c r="HG636" s="323"/>
      <c r="HH636" s="323"/>
      <c r="HI636" s="323"/>
      <c r="HJ636" s="323"/>
      <c r="HK636" s="323"/>
      <c r="HL636" s="323"/>
      <c r="HM636" s="323"/>
      <c r="HN636" s="323"/>
      <c r="HO636" s="323"/>
      <c r="HP636" s="323"/>
      <c r="HQ636" s="323"/>
      <c r="HR636" s="323"/>
      <c r="HS636" s="323"/>
      <c r="HT636" s="323"/>
      <c r="HU636" s="323"/>
      <c r="HV636" s="323"/>
      <c r="HW636" s="323"/>
      <c r="HX636" s="323"/>
      <c r="HY636" s="323"/>
      <c r="HZ636" s="326"/>
      <c r="IA636" s="328" t="s">
        <v>815</v>
      </c>
      <c r="IB636" s="328"/>
      <c r="IC636" s="328"/>
      <c r="ID636" s="323">
        <f>+FISC!Z843</f>
        <v>23</v>
      </c>
      <c r="IE636" s="279">
        <f>SUM(CQ636:CV636)</f>
        <v>0</v>
      </c>
      <c r="IF636" s="279">
        <f>SUM(CW636:DB636)</f>
        <v>0</v>
      </c>
      <c r="IG636" s="323">
        <f>SUM(CQ636:DB636)</f>
        <v>0</v>
      </c>
      <c r="IH636" s="279">
        <f>+SUM(DC636:DH636)</f>
        <v>0</v>
      </c>
      <c r="II636" s="279">
        <f>+SUM(DI636:DN636)</f>
        <v>3</v>
      </c>
      <c r="IJ636" s="323">
        <f>IH636+II636</f>
        <v>3</v>
      </c>
      <c r="IK636" s="279">
        <f>+SUM(DO636:DT636)</f>
        <v>1.1499999999999999</v>
      </c>
      <c r="IL636" s="279">
        <f>SUM(DU636:DZ636)</f>
        <v>1</v>
      </c>
      <c r="IM636" s="323">
        <f t="shared" si="503"/>
        <v>2.15</v>
      </c>
      <c r="IO636" s="327"/>
      <c r="IP636" s="323">
        <f>FISC!AC843</f>
        <v>0</v>
      </c>
      <c r="IQ636" s="279">
        <f t="shared" si="458"/>
        <v>3.06</v>
      </c>
      <c r="IR636" s="279">
        <f t="shared" si="459"/>
        <v>0</v>
      </c>
      <c r="IS636" s="323">
        <f t="shared" si="407"/>
        <v>3.06</v>
      </c>
      <c r="IT636" s="327"/>
      <c r="IU636" s="327"/>
      <c r="IV636" s="323">
        <f>+FISC!AE843</f>
        <v>0</v>
      </c>
      <c r="IW636" s="279">
        <f>IY636*JU636</f>
        <v>0</v>
      </c>
      <c r="IX636" s="279">
        <f t="shared" si="486"/>
        <v>0</v>
      </c>
      <c r="IY636" s="323">
        <f>+FISC!AF843</f>
        <v>0</v>
      </c>
      <c r="IZ636" s="279">
        <f t="shared" si="498"/>
        <v>0</v>
      </c>
      <c r="JA636" s="279">
        <f t="shared" si="360"/>
        <v>0</v>
      </c>
      <c r="JB636" s="323">
        <f>+FISC!AG843</f>
        <v>0</v>
      </c>
      <c r="JC636" s="279">
        <f t="shared" si="499"/>
        <v>0</v>
      </c>
      <c r="JD636" s="279">
        <f t="shared" si="487"/>
        <v>0</v>
      </c>
      <c r="JE636" s="323">
        <f>+FISC!AH843</f>
        <v>0</v>
      </c>
      <c r="JF636" s="279">
        <f t="shared" si="500"/>
        <v>0</v>
      </c>
      <c r="JG636" s="279">
        <f t="shared" si="488"/>
        <v>0</v>
      </c>
      <c r="JH636" s="323">
        <f>+FISC!AI843</f>
        <v>0</v>
      </c>
      <c r="JI636" s="279">
        <f t="shared" si="501"/>
        <v>0</v>
      </c>
      <c r="JJ636" s="279">
        <f t="shared" si="489"/>
        <v>0</v>
      </c>
      <c r="JK636" s="323">
        <f>+FISC!AJ843</f>
        <v>0</v>
      </c>
      <c r="JL636" s="279">
        <f t="shared" si="502"/>
        <v>0</v>
      </c>
      <c r="JM636" s="279">
        <f t="shared" si="490"/>
        <v>0</v>
      </c>
      <c r="JN636" s="323">
        <f>+FISC!AK843</f>
        <v>0</v>
      </c>
      <c r="JO636" s="323"/>
      <c r="KU636" s="326"/>
      <c r="KV636" s="327"/>
    </row>
    <row r="637" spans="1:314" hidden="1">
      <c r="A637" s="279"/>
      <c r="B637" s="96" t="s">
        <v>338</v>
      </c>
      <c r="D637" s="328" t="str">
        <f>+FISC!D844</f>
        <v xml:space="preserve">       Marriot  Hotel Loan Repayement (princ.)</v>
      </c>
      <c r="E637" s="323"/>
      <c r="F637" s="323"/>
      <c r="G637" s="323"/>
      <c r="H637" s="323"/>
      <c r="I637" s="323"/>
      <c r="J637" s="323"/>
      <c r="K637" s="323"/>
      <c r="L637" s="323"/>
      <c r="M637" s="323"/>
      <c r="N637" s="323"/>
      <c r="O637" s="323"/>
      <c r="P637" s="323"/>
      <c r="Q637" s="323"/>
      <c r="R637" s="323"/>
      <c r="S637" s="323"/>
      <c r="T637" s="323"/>
      <c r="U637" s="323"/>
      <c r="V637" s="323"/>
      <c r="W637" s="323"/>
      <c r="X637" s="323"/>
      <c r="Y637" s="323"/>
      <c r="Z637" s="323"/>
      <c r="AA637" s="323"/>
      <c r="AB637" s="323"/>
      <c r="AC637" s="323"/>
      <c r="AD637" s="323"/>
      <c r="AE637" s="323"/>
      <c r="AF637" s="323"/>
      <c r="AG637" s="323"/>
      <c r="AH637" s="323"/>
      <c r="AI637" s="323"/>
      <c r="AJ637" s="323"/>
      <c r="AK637" s="323"/>
      <c r="AL637" s="323"/>
      <c r="AM637" s="323"/>
      <c r="AN637" s="323"/>
      <c r="AO637" s="323"/>
      <c r="AP637" s="323"/>
      <c r="AQ637" s="323"/>
      <c r="AR637" s="323"/>
      <c r="AS637" s="323"/>
      <c r="AT637" s="323"/>
      <c r="AU637" s="323"/>
      <c r="AV637" s="323"/>
      <c r="AW637" s="323"/>
      <c r="AX637" s="323"/>
      <c r="AY637" s="323"/>
      <c r="AZ637" s="323"/>
      <c r="BA637" s="323"/>
      <c r="BB637" s="323"/>
      <c r="BC637" s="323"/>
      <c r="BD637" s="323"/>
      <c r="BE637" s="323"/>
      <c r="BF637" s="323"/>
      <c r="BG637" s="323"/>
      <c r="BH637" s="323"/>
      <c r="BI637" s="323"/>
      <c r="BJ637" s="323"/>
      <c r="BK637" s="323"/>
      <c r="BL637" s="323"/>
      <c r="BM637" s="323"/>
      <c r="BN637" s="323"/>
      <c r="BO637" s="323"/>
      <c r="BP637" s="323"/>
      <c r="BQ637" s="323"/>
      <c r="BR637" s="323"/>
      <c r="BS637" s="323"/>
      <c r="BT637" s="323"/>
      <c r="BU637" s="323"/>
      <c r="BV637" s="323"/>
      <c r="BW637" s="323"/>
      <c r="BX637" s="323"/>
      <c r="BY637" s="323"/>
      <c r="BZ637" s="323"/>
      <c r="CA637" s="323"/>
      <c r="CB637" s="323"/>
      <c r="CC637" s="323"/>
      <c r="CD637" s="323"/>
      <c r="CE637" s="324"/>
      <c r="CF637" s="323"/>
      <c r="CG637" s="323"/>
      <c r="CH637" s="323"/>
      <c r="CI637" s="323"/>
      <c r="CJ637" s="323"/>
      <c r="CK637" s="323"/>
      <c r="CL637" s="323"/>
      <c r="CM637" s="323"/>
      <c r="CN637" s="323"/>
      <c r="CO637" s="323"/>
      <c r="CP637" s="325"/>
      <c r="CQ637" s="323"/>
      <c r="CR637" s="323"/>
      <c r="CS637" s="323"/>
      <c r="CT637" s="323"/>
      <c r="CU637" s="323"/>
      <c r="CV637" s="323"/>
      <c r="CW637" s="323"/>
      <c r="CX637" s="323"/>
      <c r="CY637" s="323"/>
      <c r="CZ637" s="323"/>
      <c r="DA637" s="323"/>
      <c r="DB637" s="1269"/>
      <c r="DC637" s="323">
        <f t="shared" ref="DC637:EX637" si="529">+DC312+DC314</f>
        <v>0</v>
      </c>
      <c r="DD637" s="323">
        <f t="shared" si="529"/>
        <v>0</v>
      </c>
      <c r="DE637" s="323">
        <f t="shared" si="529"/>
        <v>0.36849867800000002</v>
      </c>
      <c r="DF637" s="323">
        <f t="shared" si="529"/>
        <v>0.23668661499999999</v>
      </c>
      <c r="DG637" s="323">
        <f t="shared" si="529"/>
        <v>0.37262134400000002</v>
      </c>
      <c r="DH637" s="323">
        <f t="shared" si="529"/>
        <v>0</v>
      </c>
      <c r="DI637" s="323">
        <f t="shared" si="529"/>
        <v>0.37845983700000002</v>
      </c>
      <c r="DJ637" s="323">
        <f t="shared" si="529"/>
        <v>0</v>
      </c>
      <c r="DK637" s="323">
        <f t="shared" si="529"/>
        <v>0</v>
      </c>
      <c r="DL637" s="323">
        <f t="shared" si="529"/>
        <v>0.389861544</v>
      </c>
      <c r="DM637" s="323">
        <f t="shared" si="529"/>
        <v>0</v>
      </c>
      <c r="DN637" s="325">
        <f t="shared" si="529"/>
        <v>0</v>
      </c>
      <c r="DO637" s="323">
        <f t="shared" si="529"/>
        <v>0</v>
      </c>
      <c r="DP637" s="323">
        <f t="shared" si="529"/>
        <v>0.30663901399999999</v>
      </c>
      <c r="DQ637" s="323">
        <f t="shared" si="529"/>
        <v>0</v>
      </c>
      <c r="DR637" s="323">
        <f t="shared" si="529"/>
        <v>0.31163317499999998</v>
      </c>
      <c r="DS637" s="323">
        <f t="shared" si="529"/>
        <v>0</v>
      </c>
      <c r="DT637" s="323">
        <f t="shared" si="529"/>
        <v>0</v>
      </c>
      <c r="DU637" s="323">
        <f t="shared" si="529"/>
        <v>0.643098795</v>
      </c>
      <c r="DV637" s="323">
        <f t="shared" si="529"/>
        <v>0</v>
      </c>
      <c r="DW637" s="323">
        <f t="shared" si="529"/>
        <v>0</v>
      </c>
      <c r="DX637" s="323">
        <f t="shared" si="529"/>
        <v>0.31770605200000002</v>
      </c>
      <c r="DY637" s="323">
        <f t="shared" si="529"/>
        <v>0.996028527</v>
      </c>
      <c r="DZ637" s="325">
        <f t="shared" si="529"/>
        <v>0</v>
      </c>
      <c r="EA637" s="323">
        <f t="shared" si="529"/>
        <v>0</v>
      </c>
      <c r="EB637" s="323">
        <f t="shared" si="529"/>
        <v>0</v>
      </c>
      <c r="EC637" s="323">
        <f t="shared" si="529"/>
        <v>0</v>
      </c>
      <c r="ED637" s="323">
        <f t="shared" si="529"/>
        <v>0.84660976499999996</v>
      </c>
      <c r="EE637" s="323">
        <f t="shared" si="529"/>
        <v>0</v>
      </c>
      <c r="EF637" s="323">
        <f t="shared" si="529"/>
        <v>0</v>
      </c>
      <c r="EG637" s="323">
        <f t="shared" si="529"/>
        <v>0.21356771699999999</v>
      </c>
      <c r="EH637" s="323">
        <f t="shared" si="529"/>
        <v>0</v>
      </c>
      <c r="EI637" s="323">
        <f t="shared" si="529"/>
        <v>0</v>
      </c>
      <c r="EJ637" s="323">
        <f t="shared" si="529"/>
        <v>0.215527204</v>
      </c>
      <c r="EK637" s="323">
        <f t="shared" si="529"/>
        <v>0</v>
      </c>
      <c r="EL637" s="325">
        <f t="shared" si="529"/>
        <v>0</v>
      </c>
      <c r="EM637" s="323">
        <f t="shared" si="529"/>
        <v>0</v>
      </c>
      <c r="EN637" s="323">
        <f t="shared" si="529"/>
        <v>0</v>
      </c>
      <c r="EO637" s="323">
        <f t="shared" si="529"/>
        <v>0</v>
      </c>
      <c r="EP637" s="323">
        <f t="shared" si="529"/>
        <v>0.17596346099999999</v>
      </c>
      <c r="EQ637" s="323">
        <f t="shared" si="529"/>
        <v>0.17690678800000001</v>
      </c>
      <c r="ER637" s="323">
        <f t="shared" si="529"/>
        <v>0</v>
      </c>
      <c r="ES637" s="323">
        <f t="shared" si="529"/>
        <v>0.17803535500000001</v>
      </c>
      <c r="ET637" s="323">
        <f t="shared" si="529"/>
        <v>0</v>
      </c>
      <c r="EU637" s="323">
        <f t="shared" si="529"/>
        <v>0.64876636600000004</v>
      </c>
      <c r="EV637" s="323">
        <f t="shared" si="529"/>
        <v>0</v>
      </c>
      <c r="EW637" s="323">
        <f t="shared" si="529"/>
        <v>0</v>
      </c>
      <c r="EX637" s="325">
        <f t="shared" si="529"/>
        <v>0</v>
      </c>
      <c r="EY637" s="323"/>
      <c r="EZ637" s="323"/>
      <c r="FA637" s="323"/>
      <c r="FB637" s="323"/>
      <c r="FC637" s="323"/>
      <c r="FD637" s="323"/>
      <c r="FE637" s="323"/>
      <c r="FF637" s="323"/>
      <c r="FG637" s="323"/>
      <c r="FH637" s="323"/>
      <c r="FI637" s="323"/>
      <c r="FJ637" s="325"/>
      <c r="FK637" s="323"/>
      <c r="FL637" s="323"/>
      <c r="FM637" s="323"/>
      <c r="FN637" s="323"/>
      <c r="FO637" s="323"/>
      <c r="FP637" s="323"/>
      <c r="FQ637" s="323"/>
      <c r="FR637" s="323"/>
      <c r="FS637" s="323"/>
      <c r="FT637" s="323"/>
      <c r="FU637" s="323"/>
      <c r="FV637" s="323"/>
      <c r="FW637" s="323"/>
      <c r="FX637" s="323"/>
      <c r="FY637" s="323"/>
      <c r="FZ637" s="323"/>
      <c r="GA637" s="323"/>
      <c r="GB637" s="323"/>
      <c r="GC637" s="323"/>
      <c r="GD637" s="323"/>
      <c r="GE637" s="323"/>
      <c r="GF637" s="323"/>
      <c r="GG637" s="323"/>
      <c r="GH637" s="323"/>
      <c r="GI637" s="323"/>
      <c r="GJ637" s="323"/>
      <c r="GK637" s="323"/>
      <c r="GL637" s="323"/>
      <c r="GM637" s="323"/>
      <c r="GN637" s="323"/>
      <c r="GO637" s="323"/>
      <c r="GP637" s="323"/>
      <c r="GQ637" s="323"/>
      <c r="GR637" s="323"/>
      <c r="GS637" s="323"/>
      <c r="GT637" s="323"/>
      <c r="GU637" s="323"/>
      <c r="GV637" s="323"/>
      <c r="GW637" s="323"/>
      <c r="GX637" s="323"/>
      <c r="GY637" s="323"/>
      <c r="GZ637" s="323"/>
      <c r="HA637" s="323"/>
      <c r="HB637" s="323"/>
      <c r="HC637" s="323"/>
      <c r="HD637" s="323"/>
      <c r="HE637" s="323"/>
      <c r="HF637" s="323"/>
      <c r="HG637" s="323"/>
      <c r="HH637" s="323"/>
      <c r="HI637" s="323"/>
      <c r="HJ637" s="323"/>
      <c r="HK637" s="323"/>
      <c r="HL637" s="323"/>
      <c r="HM637" s="323"/>
      <c r="HN637" s="323"/>
      <c r="HO637" s="323"/>
      <c r="HP637" s="323"/>
      <c r="HQ637" s="323"/>
      <c r="HR637" s="323"/>
      <c r="HS637" s="323"/>
      <c r="HT637" s="323"/>
      <c r="HU637" s="323"/>
      <c r="HV637" s="323"/>
      <c r="HW637" s="323"/>
      <c r="HX637" s="323"/>
      <c r="HY637" s="323"/>
      <c r="HZ637" s="326"/>
      <c r="IA637" s="1120" t="s">
        <v>1201</v>
      </c>
      <c r="IB637" s="1120"/>
      <c r="IC637" s="1120"/>
      <c r="ID637" s="323">
        <f>+FISC!Z844</f>
        <v>1.6</v>
      </c>
      <c r="IE637" s="279">
        <f>SUM(CQ637:CV637)</f>
        <v>0</v>
      </c>
      <c r="IF637" s="279">
        <f>SUM(CW637:DB637)</f>
        <v>0</v>
      </c>
      <c r="IG637" s="323">
        <f>SUM(CQ637:DB637)</f>
        <v>0</v>
      </c>
      <c r="IH637" s="279">
        <f>+SUM(DC637:DH637)</f>
        <v>0.97780663700000003</v>
      </c>
      <c r="II637" s="279">
        <f>+SUM(DI637:DN637)</f>
        <v>0.76832138100000003</v>
      </c>
      <c r="IJ637" s="323">
        <f>IH637+II637</f>
        <v>1.7461280180000001</v>
      </c>
      <c r="IK637" s="279">
        <f>+SUM(DO637:DT637)</f>
        <v>0.61827218900000003</v>
      </c>
      <c r="IL637" s="279">
        <f>SUM(DU637:DZ637)</f>
        <v>1.9568333739999999</v>
      </c>
      <c r="IM637" s="323">
        <f t="shared" si="503"/>
        <v>2.5751055630000002</v>
      </c>
      <c r="IN637" s="279">
        <f>(+IP637/2)*0+2.446609765</f>
        <v>2.4466097649999998</v>
      </c>
      <c r="IO637" s="279">
        <f t="shared" ref="IO637:IO651" si="530">+IP637-IN637</f>
        <v>0.42909492099999991</v>
      </c>
      <c r="IP637" s="323">
        <f>FISC!AC844</f>
        <v>2.8757046859999997</v>
      </c>
      <c r="IQ637" s="279">
        <f t="shared" si="458"/>
        <v>0.35287024899999997</v>
      </c>
      <c r="IR637" s="279">
        <f t="shared" si="459"/>
        <v>0.82680172100000004</v>
      </c>
      <c r="IS637" s="323">
        <f t="shared" si="407"/>
        <v>1.17967197</v>
      </c>
      <c r="IT637" s="279">
        <f>IV637</f>
        <v>80</v>
      </c>
      <c r="IU637" s="279">
        <f>IV637-IT637</f>
        <v>0</v>
      </c>
      <c r="IV637" s="323">
        <f>FISC!AE844</f>
        <v>80</v>
      </c>
      <c r="IW637" s="279">
        <f>IY637*JU637</f>
        <v>0</v>
      </c>
      <c r="IX637" s="279">
        <f t="shared" si="486"/>
        <v>0</v>
      </c>
      <c r="IY637" s="323">
        <f>+FISC!AF844</f>
        <v>0</v>
      </c>
      <c r="IZ637" s="279">
        <f t="shared" si="498"/>
        <v>0</v>
      </c>
      <c r="JA637" s="279">
        <f t="shared" si="360"/>
        <v>0</v>
      </c>
      <c r="JB637" s="323">
        <f>+FISC!AG844</f>
        <v>0</v>
      </c>
      <c r="JC637" s="279">
        <f t="shared" si="499"/>
        <v>0</v>
      </c>
      <c r="JD637" s="279">
        <f t="shared" si="487"/>
        <v>0</v>
      </c>
      <c r="JE637" s="323">
        <f>+FISC!AH844</f>
        <v>0</v>
      </c>
      <c r="JF637" s="279">
        <f t="shared" si="500"/>
        <v>0</v>
      </c>
      <c r="JG637" s="279">
        <f t="shared" si="488"/>
        <v>0</v>
      </c>
      <c r="JH637" s="323">
        <f>+FISC!AI844</f>
        <v>0</v>
      </c>
      <c r="JI637" s="279">
        <f t="shared" si="501"/>
        <v>0</v>
      </c>
      <c r="JJ637" s="279">
        <f t="shared" si="489"/>
        <v>0</v>
      </c>
      <c r="JK637" s="323">
        <f>+FISC!AJ844</f>
        <v>0</v>
      </c>
      <c r="JL637" s="279">
        <f t="shared" si="502"/>
        <v>0</v>
      </c>
      <c r="JM637" s="279">
        <f t="shared" si="490"/>
        <v>0</v>
      </c>
      <c r="JN637" s="323">
        <f>+FISC!AK844</f>
        <v>0</v>
      </c>
      <c r="JO637" s="323"/>
      <c r="KU637" s="326"/>
      <c r="KV637" s="327"/>
    </row>
    <row r="638" spans="1:314" hidden="1">
      <c r="A638" s="279"/>
      <c r="B638" s="96" t="s">
        <v>338</v>
      </c>
      <c r="D638" s="328" t="str">
        <f>+FISC!D845</f>
        <v>Additional Expenditure Cimerwa</v>
      </c>
      <c r="E638" s="323"/>
      <c r="F638" s="323"/>
      <c r="G638" s="323"/>
      <c r="H638" s="323"/>
      <c r="I638" s="323"/>
      <c r="J638" s="323"/>
      <c r="K638" s="323"/>
      <c r="L638" s="323"/>
      <c r="M638" s="323"/>
      <c r="N638" s="323"/>
      <c r="O638" s="323"/>
      <c r="P638" s="323"/>
      <c r="Q638" s="323"/>
      <c r="R638" s="323"/>
      <c r="S638" s="323"/>
      <c r="T638" s="323"/>
      <c r="U638" s="323"/>
      <c r="V638" s="323"/>
      <c r="W638" s="323"/>
      <c r="X638" s="323"/>
      <c r="Y638" s="323"/>
      <c r="Z638" s="323"/>
      <c r="AA638" s="323"/>
      <c r="AB638" s="323"/>
      <c r="AC638" s="323"/>
      <c r="AD638" s="323"/>
      <c r="AE638" s="323"/>
      <c r="AF638" s="323"/>
      <c r="AG638" s="323"/>
      <c r="AH638" s="323"/>
      <c r="AI638" s="323"/>
      <c r="AJ638" s="323"/>
      <c r="AK638" s="323"/>
      <c r="AL638" s="323"/>
      <c r="AM638" s="323"/>
      <c r="AN638" s="323"/>
      <c r="AO638" s="323"/>
      <c r="AP638" s="323"/>
      <c r="AQ638" s="323"/>
      <c r="AR638" s="323"/>
      <c r="AS638" s="323"/>
      <c r="AT638" s="323"/>
      <c r="AU638" s="323"/>
      <c r="AV638" s="323"/>
      <c r="AW638" s="323"/>
      <c r="AX638" s="323"/>
      <c r="AY638" s="323"/>
      <c r="AZ638" s="323"/>
      <c r="BA638" s="323"/>
      <c r="BB638" s="323"/>
      <c r="BC638" s="323"/>
      <c r="BD638" s="323"/>
      <c r="BE638" s="323"/>
      <c r="BF638" s="323"/>
      <c r="BG638" s="323"/>
      <c r="BH638" s="323"/>
      <c r="BI638" s="323"/>
      <c r="BJ638" s="323"/>
      <c r="BK638" s="323"/>
      <c r="BL638" s="323"/>
      <c r="BM638" s="323"/>
      <c r="BN638" s="323"/>
      <c r="BO638" s="323"/>
      <c r="BP638" s="323"/>
      <c r="BQ638" s="323"/>
      <c r="BR638" s="323"/>
      <c r="BS638" s="323"/>
      <c r="BT638" s="323"/>
      <c r="BU638" s="323"/>
      <c r="BV638" s="323"/>
      <c r="BW638" s="323"/>
      <c r="BX638" s="323"/>
      <c r="BY638" s="323"/>
      <c r="BZ638" s="323"/>
      <c r="CA638" s="323"/>
      <c r="CB638" s="323"/>
      <c r="CC638" s="323"/>
      <c r="CD638" s="323"/>
      <c r="CE638" s="324"/>
      <c r="CF638" s="323"/>
      <c r="CG638" s="323"/>
      <c r="CH638" s="323"/>
      <c r="CI638" s="323"/>
      <c r="CJ638" s="323"/>
      <c r="CK638" s="323"/>
      <c r="CL638" s="323"/>
      <c r="CM638" s="323"/>
      <c r="CN638" s="323"/>
      <c r="CO638" s="323"/>
      <c r="CP638" s="325"/>
      <c r="CQ638" s="323"/>
      <c r="CR638" s="323"/>
      <c r="CS638" s="323"/>
      <c r="CT638" s="323"/>
      <c r="CU638" s="323"/>
      <c r="CV638" s="323"/>
      <c r="CW638" s="323"/>
      <c r="CX638" s="323"/>
      <c r="CY638" s="323"/>
      <c r="CZ638" s="323"/>
      <c r="DA638" s="323"/>
      <c r="DB638" s="1269"/>
      <c r="DC638" s="323">
        <f t="shared" ref="DC638:EX638" si="531">+DC315</f>
        <v>0</v>
      </c>
      <c r="DD638" s="323">
        <f t="shared" si="531"/>
        <v>0</v>
      </c>
      <c r="DE638" s="323">
        <f t="shared" si="531"/>
        <v>0</v>
      </c>
      <c r="DF638" s="323">
        <f t="shared" si="531"/>
        <v>0</v>
      </c>
      <c r="DG638" s="323">
        <f t="shared" si="531"/>
        <v>0</v>
      </c>
      <c r="DH638" s="323">
        <f t="shared" si="531"/>
        <v>0</v>
      </c>
      <c r="DI638" s="323">
        <f t="shared" si="531"/>
        <v>0</v>
      </c>
      <c r="DJ638" s="323">
        <f t="shared" si="531"/>
        <v>0</v>
      </c>
      <c r="DK638" s="323">
        <f t="shared" si="531"/>
        <v>0</v>
      </c>
      <c r="DL638" s="323">
        <f t="shared" si="531"/>
        <v>0</v>
      </c>
      <c r="DM638" s="323">
        <f t="shared" si="531"/>
        <v>0</v>
      </c>
      <c r="DN638" s="325">
        <f t="shared" si="531"/>
        <v>0</v>
      </c>
      <c r="DO638" s="323">
        <f t="shared" si="531"/>
        <v>0</v>
      </c>
      <c r="DP638" s="323">
        <f t="shared" si="531"/>
        <v>0</v>
      </c>
      <c r="DQ638" s="323">
        <f t="shared" si="531"/>
        <v>0</v>
      </c>
      <c r="DR638" s="323">
        <f t="shared" si="531"/>
        <v>0</v>
      </c>
      <c r="DS638" s="323">
        <f t="shared" si="531"/>
        <v>0</v>
      </c>
      <c r="DT638" s="323">
        <f t="shared" si="531"/>
        <v>0</v>
      </c>
      <c r="DU638" s="323">
        <f t="shared" si="531"/>
        <v>0</v>
      </c>
      <c r="DV638" s="323">
        <f t="shared" si="531"/>
        <v>0</v>
      </c>
      <c r="DW638" s="323">
        <f t="shared" si="531"/>
        <v>0</v>
      </c>
      <c r="DX638" s="323">
        <f t="shared" si="531"/>
        <v>0</v>
      </c>
      <c r="DY638" s="323">
        <f t="shared" si="531"/>
        <v>0</v>
      </c>
      <c r="DZ638" s="325">
        <f t="shared" si="531"/>
        <v>0</v>
      </c>
      <c r="EA638" s="323">
        <f t="shared" si="531"/>
        <v>0</v>
      </c>
      <c r="EB638" s="323">
        <f t="shared" si="531"/>
        <v>0</v>
      </c>
      <c r="EC638" s="323">
        <f t="shared" si="531"/>
        <v>0</v>
      </c>
      <c r="ED638" s="323">
        <f t="shared" si="531"/>
        <v>0</v>
      </c>
      <c r="EE638" s="323">
        <f t="shared" si="531"/>
        <v>0</v>
      </c>
      <c r="EF638" s="323">
        <f t="shared" si="531"/>
        <v>0</v>
      </c>
      <c r="EG638" s="323">
        <f t="shared" si="531"/>
        <v>0</v>
      </c>
      <c r="EH638" s="323">
        <f t="shared" si="531"/>
        <v>0</v>
      </c>
      <c r="EI638" s="323">
        <f t="shared" si="531"/>
        <v>0</v>
      </c>
      <c r="EJ638" s="323">
        <f t="shared" si="531"/>
        <v>0</v>
      </c>
      <c r="EK638" s="323">
        <f t="shared" si="531"/>
        <v>0</v>
      </c>
      <c r="EL638" s="325">
        <f t="shared" si="531"/>
        <v>0</v>
      </c>
      <c r="EM638" s="323">
        <f t="shared" si="531"/>
        <v>0</v>
      </c>
      <c r="EN638" s="323">
        <f t="shared" si="531"/>
        <v>0</v>
      </c>
      <c r="EO638" s="323">
        <f t="shared" si="531"/>
        <v>0</v>
      </c>
      <c r="EP638" s="323">
        <f t="shared" si="531"/>
        <v>0</v>
      </c>
      <c r="EQ638" s="323">
        <f t="shared" si="531"/>
        <v>0</v>
      </c>
      <c r="ER638" s="323">
        <f t="shared" si="531"/>
        <v>0</v>
      </c>
      <c r="ES638" s="323">
        <f t="shared" si="531"/>
        <v>0</v>
      </c>
      <c r="ET638" s="323">
        <f t="shared" si="531"/>
        <v>0</v>
      </c>
      <c r="EU638" s="323">
        <f t="shared" si="531"/>
        <v>0</v>
      </c>
      <c r="EV638" s="323">
        <f t="shared" si="531"/>
        <v>0</v>
      </c>
      <c r="EW638" s="323">
        <f t="shared" si="531"/>
        <v>0</v>
      </c>
      <c r="EX638" s="325">
        <f t="shared" si="531"/>
        <v>0</v>
      </c>
      <c r="EY638" s="323"/>
      <c r="EZ638" s="323"/>
      <c r="FA638" s="323"/>
      <c r="FB638" s="323"/>
      <c r="FC638" s="323"/>
      <c r="FD638" s="323"/>
      <c r="FE638" s="323"/>
      <c r="FF638" s="323"/>
      <c r="FG638" s="323"/>
      <c r="FH638" s="323"/>
      <c r="FI638" s="323"/>
      <c r="FJ638" s="325"/>
      <c r="FK638" s="323"/>
      <c r="FL638" s="323"/>
      <c r="FM638" s="323"/>
      <c r="FN638" s="323"/>
      <c r="FO638" s="323"/>
      <c r="FP638" s="323"/>
      <c r="FQ638" s="323"/>
      <c r="FR638" s="323"/>
      <c r="FS638" s="323"/>
      <c r="FT638" s="323"/>
      <c r="FU638" s="323"/>
      <c r="FV638" s="323"/>
      <c r="FW638" s="323"/>
      <c r="FX638" s="323"/>
      <c r="FY638" s="323"/>
      <c r="FZ638" s="323"/>
      <c r="GA638" s="323"/>
      <c r="GB638" s="323"/>
      <c r="GC638" s="323"/>
      <c r="GD638" s="323"/>
      <c r="GE638" s="323"/>
      <c r="GF638" s="323"/>
      <c r="GG638" s="323"/>
      <c r="GH638" s="323"/>
      <c r="GI638" s="323"/>
      <c r="GJ638" s="323"/>
      <c r="GK638" s="323"/>
      <c r="GL638" s="323"/>
      <c r="GM638" s="323"/>
      <c r="GN638" s="323"/>
      <c r="GO638" s="323"/>
      <c r="GP638" s="323"/>
      <c r="GQ638" s="323"/>
      <c r="GR638" s="323"/>
      <c r="GS638" s="323"/>
      <c r="GT638" s="323"/>
      <c r="GU638" s="323"/>
      <c r="GV638" s="323"/>
      <c r="GW638" s="323"/>
      <c r="GX638" s="323"/>
      <c r="GY638" s="323"/>
      <c r="GZ638" s="323"/>
      <c r="HA638" s="323"/>
      <c r="HB638" s="323"/>
      <c r="HC638" s="323"/>
      <c r="HD638" s="323"/>
      <c r="HE638" s="323"/>
      <c r="HF638" s="323"/>
      <c r="HG638" s="323"/>
      <c r="HH638" s="323"/>
      <c r="HI638" s="323"/>
      <c r="HJ638" s="323"/>
      <c r="HK638" s="323"/>
      <c r="HL638" s="323"/>
      <c r="HM638" s="323"/>
      <c r="HN638" s="323"/>
      <c r="HO638" s="323"/>
      <c r="HP638" s="323"/>
      <c r="HQ638" s="323"/>
      <c r="HR638" s="323"/>
      <c r="HS638" s="323"/>
      <c r="HT638" s="323"/>
      <c r="HU638" s="323"/>
      <c r="HV638" s="323"/>
      <c r="HW638" s="323"/>
      <c r="HX638" s="323"/>
      <c r="HY638" s="323"/>
      <c r="HZ638" s="326"/>
      <c r="IA638" s="328" t="s">
        <v>147</v>
      </c>
      <c r="IB638" s="328"/>
      <c r="IC638" s="328"/>
      <c r="ID638" s="323">
        <f>+FISC!Z845</f>
        <v>0</v>
      </c>
      <c r="IE638" s="279">
        <f>SUM(CQ638:CV638)</f>
        <v>0</v>
      </c>
      <c r="IF638" s="279">
        <f>SUM(CW638:DB638)</f>
        <v>0</v>
      </c>
      <c r="IG638" s="323">
        <f>SUM(CQ638:DB638)</f>
        <v>0</v>
      </c>
      <c r="IH638" s="279">
        <f>+SUM(DC638:DH638)</f>
        <v>0</v>
      </c>
      <c r="II638" s="279">
        <f>+SUM(DI638:DN638)</f>
        <v>0</v>
      </c>
      <c r="IJ638" s="323">
        <f>IH638+II638</f>
        <v>0</v>
      </c>
      <c r="IK638" s="279">
        <f>+SUM(DO638:DT638)</f>
        <v>0</v>
      </c>
      <c r="IL638" s="279">
        <f>SUM(DU638:DZ638)</f>
        <v>0</v>
      </c>
      <c r="IM638" s="323">
        <f t="shared" si="503"/>
        <v>0</v>
      </c>
      <c r="IN638" s="279">
        <v>0</v>
      </c>
      <c r="IO638" s="279">
        <f t="shared" si="530"/>
        <v>0</v>
      </c>
      <c r="IP638" s="323">
        <f>FISC!AC845</f>
        <v>0</v>
      </c>
      <c r="IQ638" s="279">
        <f t="shared" si="458"/>
        <v>0</v>
      </c>
      <c r="IR638" s="279">
        <f t="shared" si="459"/>
        <v>0</v>
      </c>
      <c r="IS638" s="323">
        <f t="shared" si="407"/>
        <v>0</v>
      </c>
      <c r="IT638" s="327">
        <f>(IV638/2)</f>
        <v>0</v>
      </c>
      <c r="IU638" s="279">
        <f>+IV638-IT638</f>
        <v>0</v>
      </c>
      <c r="IV638" s="323">
        <f>+FISC!AE845</f>
        <v>0</v>
      </c>
      <c r="IW638" s="327">
        <f>(IY638/2)</f>
        <v>0</v>
      </c>
      <c r="IX638" s="279">
        <f t="shared" si="486"/>
        <v>0</v>
      </c>
      <c r="IY638" s="323">
        <f>+FISC!AF845</f>
        <v>0</v>
      </c>
      <c r="IZ638" s="327">
        <f>(JB638/2)</f>
        <v>0</v>
      </c>
      <c r="JA638" s="279">
        <f t="shared" si="360"/>
        <v>0</v>
      </c>
      <c r="JB638" s="323">
        <f>+FISC!AG845</f>
        <v>0</v>
      </c>
      <c r="JC638" s="327">
        <f>(JE638/2)</f>
        <v>0</v>
      </c>
      <c r="JD638" s="279">
        <f t="shared" si="487"/>
        <v>0</v>
      </c>
      <c r="JE638" s="323">
        <f>+FISC!AH845</f>
        <v>0</v>
      </c>
      <c r="JF638" s="327">
        <f>(JH638/2)</f>
        <v>0</v>
      </c>
      <c r="JG638" s="279">
        <f t="shared" si="488"/>
        <v>0</v>
      </c>
      <c r="JH638" s="323">
        <f>+FISC!AI845</f>
        <v>0</v>
      </c>
      <c r="JI638" s="327">
        <f>(JK638/2)</f>
        <v>0</v>
      </c>
      <c r="JJ638" s="279">
        <f t="shared" si="489"/>
        <v>0</v>
      </c>
      <c r="JK638" s="323">
        <f>+FISC!AJ845</f>
        <v>0</v>
      </c>
      <c r="JL638" s="327">
        <f>(JN638/2)</f>
        <v>0</v>
      </c>
      <c r="JM638" s="279">
        <f t="shared" si="490"/>
        <v>0</v>
      </c>
      <c r="JN638" s="323">
        <f>+FISC!AK845</f>
        <v>0</v>
      </c>
      <c r="JO638" s="323"/>
      <c r="KU638" s="326"/>
      <c r="KV638" s="327"/>
    </row>
    <row r="639" spans="1:314" hidden="1">
      <c r="A639" s="279"/>
      <c r="B639" s="96" t="s">
        <v>338</v>
      </c>
      <c r="D639" s="328" t="str">
        <f>+FISC!D846</f>
        <v>Rwandair (working capital)</v>
      </c>
      <c r="E639" s="323"/>
      <c r="F639" s="323"/>
      <c r="G639" s="323"/>
      <c r="H639" s="323"/>
      <c r="I639" s="323"/>
      <c r="J639" s="323"/>
      <c r="K639" s="323"/>
      <c r="L639" s="323"/>
      <c r="M639" s="323"/>
      <c r="N639" s="323"/>
      <c r="O639" s="323"/>
      <c r="P639" s="323"/>
      <c r="Q639" s="323"/>
      <c r="R639" s="323"/>
      <c r="S639" s="323"/>
      <c r="T639" s="323"/>
      <c r="U639" s="323"/>
      <c r="V639" s="323"/>
      <c r="W639" s="323"/>
      <c r="X639" s="323"/>
      <c r="Y639" s="323"/>
      <c r="Z639" s="323"/>
      <c r="AA639" s="323"/>
      <c r="AB639" s="323"/>
      <c r="AC639" s="323"/>
      <c r="AD639" s="323"/>
      <c r="AE639" s="323"/>
      <c r="AF639" s="323"/>
      <c r="AG639" s="323"/>
      <c r="AH639" s="323"/>
      <c r="AI639" s="323"/>
      <c r="AJ639" s="323"/>
      <c r="AK639" s="323"/>
      <c r="AL639" s="323"/>
      <c r="AM639" s="323"/>
      <c r="AN639" s="323"/>
      <c r="AO639" s="323"/>
      <c r="AP639" s="323"/>
      <c r="AQ639" s="323"/>
      <c r="AR639" s="323"/>
      <c r="AS639" s="323"/>
      <c r="AT639" s="323"/>
      <c r="AU639" s="323"/>
      <c r="AV639" s="323"/>
      <c r="AW639" s="323"/>
      <c r="AX639" s="323"/>
      <c r="AY639" s="323"/>
      <c r="AZ639" s="323"/>
      <c r="BA639" s="323"/>
      <c r="BB639" s="323"/>
      <c r="BC639" s="323"/>
      <c r="BD639" s="323"/>
      <c r="BE639" s="323"/>
      <c r="BF639" s="323"/>
      <c r="BG639" s="323"/>
      <c r="BH639" s="323"/>
      <c r="BI639" s="323"/>
      <c r="BJ639" s="323"/>
      <c r="BK639" s="323"/>
      <c r="BL639" s="323"/>
      <c r="BM639" s="323"/>
      <c r="BN639" s="323"/>
      <c r="BO639" s="323"/>
      <c r="BP639" s="323"/>
      <c r="BQ639" s="323"/>
      <c r="BR639" s="323"/>
      <c r="BS639" s="323"/>
      <c r="BT639" s="323"/>
      <c r="BU639" s="323"/>
      <c r="BV639" s="323"/>
      <c r="BW639" s="323"/>
      <c r="BX639" s="323"/>
      <c r="BY639" s="323"/>
      <c r="BZ639" s="323"/>
      <c r="CA639" s="323"/>
      <c r="CB639" s="323"/>
      <c r="CC639" s="323"/>
      <c r="CD639" s="323"/>
      <c r="CE639" s="324">
        <f t="shared" ref="CE639:DJ639" si="532">CE316</f>
        <v>2.390504993</v>
      </c>
      <c r="CF639" s="323">
        <f t="shared" si="532"/>
        <v>7.4228355150000001</v>
      </c>
      <c r="CG639" s="323">
        <f t="shared" si="532"/>
        <v>3.3296801729999999</v>
      </c>
      <c r="CH639" s="323">
        <f t="shared" si="532"/>
        <v>3.6924955100000001</v>
      </c>
      <c r="CI639" s="323">
        <f t="shared" si="532"/>
        <v>4</v>
      </c>
      <c r="CJ639" s="323">
        <f t="shared" si="532"/>
        <v>2.8368251789999999</v>
      </c>
      <c r="CK639" s="323">
        <f t="shared" si="532"/>
        <v>2.7035992700000002</v>
      </c>
      <c r="CL639" s="323">
        <f t="shared" si="532"/>
        <v>2.8833706860000001</v>
      </c>
      <c r="CM639" s="323">
        <f t="shared" si="532"/>
        <v>1.6852193000000001E-2</v>
      </c>
      <c r="CN639" s="323">
        <f t="shared" si="532"/>
        <v>0.34203537899999997</v>
      </c>
      <c r="CO639" s="323">
        <f t="shared" si="532"/>
        <v>8.5795100999999999E-2</v>
      </c>
      <c r="CP639" s="325">
        <f t="shared" si="532"/>
        <v>1.722784256</v>
      </c>
      <c r="CQ639" s="323">
        <f t="shared" si="532"/>
        <v>3.3838203980000001</v>
      </c>
      <c r="CR639" s="323">
        <f t="shared" si="532"/>
        <v>5.7186317999999998</v>
      </c>
      <c r="CS639" s="323">
        <f t="shared" si="532"/>
        <v>6.1350750520000004</v>
      </c>
      <c r="CT639" s="323">
        <f t="shared" si="532"/>
        <v>2.87493949</v>
      </c>
      <c r="CU639" s="323">
        <f t="shared" si="532"/>
        <v>4.2249999999999996</v>
      </c>
      <c r="CV639" s="323">
        <f t="shared" si="532"/>
        <v>3.3</v>
      </c>
      <c r="CW639" s="323">
        <f t="shared" si="532"/>
        <v>3.7043971180000002</v>
      </c>
      <c r="CX639" s="323">
        <f t="shared" si="532"/>
        <v>3.3</v>
      </c>
      <c r="CY639" s="323">
        <f t="shared" si="532"/>
        <v>6.7</v>
      </c>
      <c r="CZ639" s="323">
        <f t="shared" si="532"/>
        <v>0</v>
      </c>
      <c r="DA639" s="323">
        <f t="shared" si="532"/>
        <v>3.4</v>
      </c>
      <c r="DB639" s="1269">
        <f t="shared" si="532"/>
        <v>3.3</v>
      </c>
      <c r="DC639" s="323">
        <f t="shared" si="532"/>
        <v>3.3</v>
      </c>
      <c r="DD639" s="323">
        <f t="shared" si="532"/>
        <v>3.3</v>
      </c>
      <c r="DE639" s="323">
        <f t="shared" si="532"/>
        <v>3.3</v>
      </c>
      <c r="DF639" s="323">
        <f t="shared" si="532"/>
        <v>3.3</v>
      </c>
      <c r="DG639" s="323">
        <f t="shared" si="532"/>
        <v>4</v>
      </c>
      <c r="DH639" s="323">
        <f t="shared" si="532"/>
        <v>4</v>
      </c>
      <c r="DI639" s="323">
        <f t="shared" si="532"/>
        <v>3.3</v>
      </c>
      <c r="DJ639" s="323">
        <f t="shared" si="532"/>
        <v>4</v>
      </c>
      <c r="DK639" s="323">
        <f t="shared" ref="DK639:EP639" si="533">DK316</f>
        <v>2.875</v>
      </c>
      <c r="DL639" s="323">
        <f t="shared" si="533"/>
        <v>2.875</v>
      </c>
      <c r="DM639" s="323">
        <f t="shared" si="533"/>
        <v>2.875</v>
      </c>
      <c r="DN639" s="325">
        <f t="shared" si="533"/>
        <v>2.966221956</v>
      </c>
      <c r="DO639" s="323">
        <f t="shared" si="533"/>
        <v>4.8980108539999998</v>
      </c>
      <c r="DP639" s="323">
        <f t="shared" si="533"/>
        <v>6.5999999989999996</v>
      </c>
      <c r="DQ639" s="323">
        <f t="shared" si="533"/>
        <v>6.81953502</v>
      </c>
      <c r="DR639" s="323">
        <f t="shared" si="533"/>
        <v>6.81953502</v>
      </c>
      <c r="DS639" s="323">
        <f t="shared" si="533"/>
        <v>7.6440726510000001</v>
      </c>
      <c r="DT639" s="323">
        <f t="shared" si="533"/>
        <v>5.9949982159999999</v>
      </c>
      <c r="DU639" s="323">
        <f t="shared" si="533"/>
        <v>6.81953502</v>
      </c>
      <c r="DV639" s="323">
        <f t="shared" si="533"/>
        <v>6.81953502</v>
      </c>
      <c r="DW639" s="323">
        <f t="shared" si="533"/>
        <v>6.81953502</v>
      </c>
      <c r="DX639" s="323">
        <f t="shared" si="533"/>
        <v>6.8195348039999999</v>
      </c>
      <c r="DY639" s="323">
        <f t="shared" si="533"/>
        <v>7.9879124170000004</v>
      </c>
      <c r="DZ639" s="325">
        <f t="shared" si="533"/>
        <v>6.8195350120000002</v>
      </c>
      <c r="EA639" s="323">
        <f t="shared" si="533"/>
        <v>9.8000000000000007</v>
      </c>
      <c r="EB639" s="323">
        <f t="shared" si="533"/>
        <v>3.81953502</v>
      </c>
      <c r="EC639" s="323">
        <f t="shared" si="533"/>
        <v>21.81953502</v>
      </c>
      <c r="ED639" s="323">
        <f t="shared" si="533"/>
        <v>6.8195350039999996</v>
      </c>
      <c r="EE639" s="323">
        <f t="shared" si="533"/>
        <v>6.81953502</v>
      </c>
      <c r="EF639" s="323">
        <f t="shared" si="533"/>
        <v>6.8195350279999998</v>
      </c>
      <c r="EG639" s="323">
        <f t="shared" si="533"/>
        <v>6.81953502</v>
      </c>
      <c r="EH639" s="323">
        <f t="shared" si="533"/>
        <v>6.81953502</v>
      </c>
      <c r="EI639" s="323">
        <f t="shared" si="533"/>
        <v>12.721860212999999</v>
      </c>
      <c r="EJ639" s="323">
        <f t="shared" si="533"/>
        <v>4.3411505400000001</v>
      </c>
      <c r="EK639" s="323">
        <f t="shared" si="533"/>
        <v>8.6823010800000002</v>
      </c>
      <c r="EL639" s="325">
        <f t="shared" si="533"/>
        <v>0</v>
      </c>
      <c r="EM639" s="323">
        <f t="shared" si="533"/>
        <v>14.730464983999999</v>
      </c>
      <c r="EN639" s="323">
        <f t="shared" si="533"/>
        <v>3.2421803100000002</v>
      </c>
      <c r="EO639" s="323">
        <f t="shared" si="533"/>
        <v>17.972645320000002</v>
      </c>
      <c r="EP639" s="323">
        <f t="shared" si="533"/>
        <v>8.9863226459999996</v>
      </c>
      <c r="EQ639" s="323">
        <f t="shared" ref="EQ639:EX639" si="534">EQ316</f>
        <v>18.986322625</v>
      </c>
      <c r="ER639" s="323">
        <f t="shared" si="534"/>
        <v>0</v>
      </c>
      <c r="ES639" s="323">
        <f t="shared" si="534"/>
        <v>17.972645289999999</v>
      </c>
      <c r="ET639" s="323">
        <f t="shared" si="534"/>
        <v>8.9863226449999996</v>
      </c>
      <c r="EU639" s="323">
        <f t="shared" si="534"/>
        <v>8.9863226600000008</v>
      </c>
      <c r="EV639" s="323">
        <f t="shared" si="534"/>
        <v>8.9863226449999996</v>
      </c>
      <c r="EW639" s="323">
        <f t="shared" si="534"/>
        <v>8.9863226479999998</v>
      </c>
      <c r="EX639" s="325">
        <f t="shared" si="534"/>
        <v>0</v>
      </c>
      <c r="EY639" s="323"/>
      <c r="EZ639" s="323"/>
      <c r="FA639" s="323"/>
      <c r="FB639" s="323"/>
      <c r="FC639" s="323"/>
      <c r="FD639" s="323"/>
      <c r="FE639" s="323"/>
      <c r="FF639" s="323"/>
      <c r="FG639" s="323"/>
      <c r="FH639" s="323"/>
      <c r="FI639" s="323"/>
      <c r="FJ639" s="325"/>
      <c r="FK639" s="323"/>
      <c r="FL639" s="323"/>
      <c r="FM639" s="323"/>
      <c r="FN639" s="323"/>
      <c r="FO639" s="323"/>
      <c r="FP639" s="323"/>
      <c r="FQ639" s="323"/>
      <c r="FR639" s="323"/>
      <c r="FS639" s="323"/>
      <c r="FT639" s="323"/>
      <c r="FU639" s="323"/>
      <c r="FV639" s="323"/>
      <c r="FW639" s="323"/>
      <c r="FX639" s="323"/>
      <c r="FY639" s="323"/>
      <c r="FZ639" s="323"/>
      <c r="GA639" s="323"/>
      <c r="GB639" s="323"/>
      <c r="GC639" s="323"/>
      <c r="GD639" s="323"/>
      <c r="GE639" s="323"/>
      <c r="GF639" s="323"/>
      <c r="GG639" s="323"/>
      <c r="GH639" s="323"/>
      <c r="GI639" s="323"/>
      <c r="GJ639" s="323"/>
      <c r="GK639" s="323"/>
      <c r="GL639" s="323"/>
      <c r="GM639" s="323"/>
      <c r="GN639" s="323"/>
      <c r="GO639" s="323"/>
      <c r="GP639" s="323"/>
      <c r="GQ639" s="323"/>
      <c r="GR639" s="323"/>
      <c r="GS639" s="323"/>
      <c r="GT639" s="323"/>
      <c r="GU639" s="323"/>
      <c r="GV639" s="323"/>
      <c r="GW639" s="323"/>
      <c r="GX639" s="323"/>
      <c r="GY639" s="323"/>
      <c r="GZ639" s="323"/>
      <c r="HA639" s="323"/>
      <c r="HB639" s="323"/>
      <c r="HC639" s="323"/>
      <c r="HD639" s="323"/>
      <c r="HE639" s="323"/>
      <c r="HF639" s="323"/>
      <c r="HG639" s="323"/>
      <c r="HH639" s="323"/>
      <c r="HI639" s="323"/>
      <c r="HJ639" s="323"/>
      <c r="HK639" s="323"/>
      <c r="HL639" s="323"/>
      <c r="HM639" s="323"/>
      <c r="HN639" s="323"/>
      <c r="HO639" s="323"/>
      <c r="HP639" s="323"/>
      <c r="HQ639" s="323"/>
      <c r="HR639" s="323"/>
      <c r="HS639" s="323"/>
      <c r="HT639" s="323"/>
      <c r="HU639" s="323"/>
      <c r="HV639" s="323"/>
      <c r="HW639" s="323"/>
      <c r="HX639" s="323"/>
      <c r="HY639" s="323"/>
      <c r="HZ639" s="326"/>
      <c r="IA639" s="328" t="s">
        <v>148</v>
      </c>
      <c r="IB639" s="328"/>
      <c r="IC639" s="328"/>
      <c r="ID639" s="323">
        <f>+FISC!Z846</f>
        <v>36</v>
      </c>
      <c r="IE639" s="279">
        <f>SUM(CQ639:CV639)</f>
        <v>25.637466739999997</v>
      </c>
      <c r="IF639" s="279">
        <f>SUM(CW639:DB639)</f>
        <v>20.404397117999999</v>
      </c>
      <c r="IG639" s="323">
        <f>SUM(CQ639:DB639)</f>
        <v>46.041863857999992</v>
      </c>
      <c r="IH639" s="279">
        <f>+SUM(DC639:DH639)</f>
        <v>21.2</v>
      </c>
      <c r="II639" s="279">
        <f>+SUM(DI639:DN639)</f>
        <v>18.891221956000003</v>
      </c>
      <c r="IJ639" s="323">
        <f>IH639+II639</f>
        <v>40.091221955999998</v>
      </c>
      <c r="IK639" s="279">
        <f>+SUM(DO639:DT639)</f>
        <v>38.776151759999998</v>
      </c>
      <c r="IL639" s="279">
        <f>SUM(DU639:DZ639)</f>
        <v>42.085587293000003</v>
      </c>
      <c r="IM639" s="323">
        <f t="shared" si="503"/>
        <v>80.861739053000008</v>
      </c>
      <c r="IN639" s="279">
        <f>55.897675092</f>
        <v>55.897675092</v>
      </c>
      <c r="IO639" s="279">
        <f t="shared" si="530"/>
        <v>39.384381872999995</v>
      </c>
      <c r="IP639" s="323">
        <f>FISC!AC846</f>
        <v>95.282056964999995</v>
      </c>
      <c r="IQ639" s="279">
        <f t="shared" si="458"/>
        <v>63.917935884999999</v>
      </c>
      <c r="IR639" s="279">
        <f t="shared" si="459"/>
        <v>53.917935887999995</v>
      </c>
      <c r="IS639" s="323">
        <f t="shared" si="407"/>
        <v>117.83587177299999</v>
      </c>
      <c r="IT639" s="327">
        <f>+(IV639/2)*0+59.7038436624336</f>
        <v>59.703843662433599</v>
      </c>
      <c r="IU639" s="279">
        <f>+IV639-IT639</f>
        <v>80.140735240492404</v>
      </c>
      <c r="IV639" s="323">
        <f>+FISC!AE846</f>
        <v>139.844578902926</v>
      </c>
      <c r="IW639" s="327">
        <f>+(IY639/2)*0+70.5673681944844</f>
        <v>70.567368194484402</v>
      </c>
      <c r="IX639" s="279">
        <f t="shared" si="486"/>
        <v>74.518160978029954</v>
      </c>
      <c r="IY639" s="323">
        <f>+FISC!AF846</f>
        <v>145.08552917251436</v>
      </c>
      <c r="IZ639" s="327">
        <f>+(JB639/2)</f>
        <v>69.922289451463001</v>
      </c>
      <c r="JA639" s="279">
        <f t="shared" si="360"/>
        <v>69.922289451463001</v>
      </c>
      <c r="JB639" s="323">
        <f>+FISC!AG846</f>
        <v>139.844578902926</v>
      </c>
      <c r="JC639" s="327">
        <f>+(JE639/2)</f>
        <v>94.8</v>
      </c>
      <c r="JD639" s="279">
        <f t="shared" si="487"/>
        <v>94.8</v>
      </c>
      <c r="JE639" s="323">
        <f>+FISC!AH846</f>
        <v>189.6</v>
      </c>
      <c r="JF639" s="327">
        <f>+(JH639/2)</f>
        <v>111.285</v>
      </c>
      <c r="JG639" s="279">
        <f t="shared" si="488"/>
        <v>111.285</v>
      </c>
      <c r="JH639" s="323">
        <f>+FISC!AI846</f>
        <v>222.57</v>
      </c>
      <c r="JI639" s="327">
        <f>+(JK639/2)</f>
        <v>0</v>
      </c>
      <c r="JJ639" s="279">
        <f t="shared" si="489"/>
        <v>0</v>
      </c>
      <c r="JK639" s="323">
        <f>+FISC!AJ846</f>
        <v>0</v>
      </c>
      <c r="JL639" s="327">
        <f>+(JN639/2)</f>
        <v>0</v>
      </c>
      <c r="JM639" s="279">
        <f t="shared" si="490"/>
        <v>0</v>
      </c>
      <c r="JN639" s="323">
        <f>+FISC!AK846</f>
        <v>0</v>
      </c>
      <c r="JO639" s="323"/>
      <c r="KU639" s="326"/>
      <c r="KV639" s="327"/>
    </row>
    <row r="640" spans="1:314" hidden="1">
      <c r="A640" s="279"/>
      <c r="B640" s="96" t="s">
        <v>338</v>
      </c>
      <c r="D640" s="328" t="str">
        <f>+FISC!D847</f>
        <v>Rwandair loan repayment</v>
      </c>
      <c r="E640" s="323"/>
      <c r="F640" s="323"/>
      <c r="G640" s="323"/>
      <c r="H640" s="323"/>
      <c r="I640" s="323"/>
      <c r="J640" s="323"/>
      <c r="K640" s="323"/>
      <c r="L640" s="323"/>
      <c r="M640" s="323"/>
      <c r="N640" s="323"/>
      <c r="O640" s="323"/>
      <c r="P640" s="323"/>
      <c r="Q640" s="323"/>
      <c r="R640" s="323"/>
      <c r="S640" s="323"/>
      <c r="T640" s="323"/>
      <c r="U640" s="323"/>
      <c r="V640" s="323"/>
      <c r="W640" s="323"/>
      <c r="X640" s="323"/>
      <c r="Y640" s="323"/>
      <c r="Z640" s="323"/>
      <c r="AA640" s="323"/>
      <c r="AB640" s="323"/>
      <c r="AC640" s="323"/>
      <c r="AD640" s="323"/>
      <c r="AE640" s="323"/>
      <c r="AF640" s="323"/>
      <c r="AG640" s="323"/>
      <c r="AH640" s="323"/>
      <c r="AI640" s="323"/>
      <c r="AJ640" s="323"/>
      <c r="AK640" s="323"/>
      <c r="AL640" s="323"/>
      <c r="AM640" s="323"/>
      <c r="AN640" s="323"/>
      <c r="AO640" s="323"/>
      <c r="AP640" s="323"/>
      <c r="AQ640" s="323"/>
      <c r="AR640" s="323"/>
      <c r="AS640" s="323"/>
      <c r="AT640" s="323"/>
      <c r="AU640" s="323"/>
      <c r="AV640" s="323"/>
      <c r="AW640" s="323"/>
      <c r="AX640" s="323"/>
      <c r="AY640" s="323"/>
      <c r="AZ640" s="323"/>
      <c r="BA640" s="323"/>
      <c r="BB640" s="323"/>
      <c r="BC640" s="323"/>
      <c r="BD640" s="323"/>
      <c r="BE640" s="323"/>
      <c r="BF640" s="323"/>
      <c r="BG640" s="323"/>
      <c r="BH640" s="323"/>
      <c r="BI640" s="323"/>
      <c r="BJ640" s="323"/>
      <c r="BK640" s="323"/>
      <c r="BL640" s="323"/>
      <c r="BM640" s="323"/>
      <c r="BN640" s="323"/>
      <c r="BO640" s="323"/>
      <c r="BP640" s="323"/>
      <c r="BQ640" s="323"/>
      <c r="BR640" s="323"/>
      <c r="BS640" s="323"/>
      <c r="BT640" s="323"/>
      <c r="BU640" s="323"/>
      <c r="BV640" s="323"/>
      <c r="BW640" s="323"/>
      <c r="BX640" s="323"/>
      <c r="BY640" s="323"/>
      <c r="BZ640" s="323"/>
      <c r="CA640" s="323"/>
      <c r="CB640" s="323"/>
      <c r="CC640" s="323"/>
      <c r="CD640" s="323"/>
      <c r="CE640" s="324">
        <v>-32.5</v>
      </c>
      <c r="CF640" s="323">
        <v>0</v>
      </c>
      <c r="CG640" s="323">
        <v>0</v>
      </c>
      <c r="CH640" s="323">
        <v>0</v>
      </c>
      <c r="CI640" s="323">
        <v>0</v>
      </c>
      <c r="CJ640" s="323">
        <v>0</v>
      </c>
      <c r="CK640" s="323">
        <v>0</v>
      </c>
      <c r="CL640" s="323">
        <v>0</v>
      </c>
      <c r="CM640" s="323">
        <v>0</v>
      </c>
      <c r="CN640" s="323">
        <v>0</v>
      </c>
      <c r="CO640" s="323">
        <v>0</v>
      </c>
      <c r="CP640" s="325">
        <v>0</v>
      </c>
      <c r="CQ640" s="323">
        <v>0</v>
      </c>
      <c r="CR640" s="323">
        <v>0</v>
      </c>
      <c r="CS640" s="323">
        <v>0</v>
      </c>
      <c r="CT640" s="323">
        <v>0</v>
      </c>
      <c r="CU640" s="323">
        <v>0</v>
      </c>
      <c r="CV640" s="323">
        <v>0</v>
      </c>
      <c r="CW640" s="323">
        <v>0</v>
      </c>
      <c r="CX640" s="323">
        <v>0</v>
      </c>
      <c r="CY640" s="323">
        <v>0</v>
      </c>
      <c r="CZ640" s="323">
        <v>0</v>
      </c>
      <c r="DA640" s="323">
        <v>0</v>
      </c>
      <c r="DB640" s="1269">
        <v>0</v>
      </c>
      <c r="DC640" s="323"/>
      <c r="DD640" s="323"/>
      <c r="DE640" s="323"/>
      <c r="DF640" s="323"/>
      <c r="DG640" s="323"/>
      <c r="DH640" s="323"/>
      <c r="DI640" s="323"/>
      <c r="DJ640" s="323"/>
      <c r="DK640" s="323"/>
      <c r="DL640" s="323"/>
      <c r="DM640" s="323"/>
      <c r="DN640" s="325"/>
      <c r="DO640" s="323"/>
      <c r="DP640" s="323"/>
      <c r="DQ640" s="323"/>
      <c r="DR640" s="323"/>
      <c r="DS640" s="323"/>
      <c r="DT640" s="323"/>
      <c r="DU640" s="323"/>
      <c r="DV640" s="323"/>
      <c r="DW640" s="323"/>
      <c r="DX640" s="323"/>
      <c r="DY640" s="323"/>
      <c r="DZ640" s="325"/>
      <c r="EA640" s="323"/>
      <c r="EB640" s="323"/>
      <c r="EC640" s="323"/>
      <c r="ED640" s="323"/>
      <c r="EE640" s="323"/>
      <c r="EF640" s="323"/>
      <c r="EG640" s="323"/>
      <c r="EH640" s="323"/>
      <c r="EI640" s="323"/>
      <c r="EJ640" s="323"/>
      <c r="EK640" s="323"/>
      <c r="EL640" s="325"/>
      <c r="EM640" s="323"/>
      <c r="EN640" s="323"/>
      <c r="EO640" s="323"/>
      <c r="EP640" s="323"/>
      <c r="EQ640" s="323"/>
      <c r="ER640" s="323"/>
      <c r="ES640" s="323"/>
      <c r="ET640" s="323"/>
      <c r="EU640" s="323"/>
      <c r="EV640" s="323"/>
      <c r="EW640" s="323"/>
      <c r="EX640" s="325"/>
      <c r="EY640" s="323"/>
      <c r="EZ640" s="323"/>
      <c r="FA640" s="323"/>
      <c r="FB640" s="323"/>
      <c r="FC640" s="323"/>
      <c r="FD640" s="323"/>
      <c r="FE640" s="323"/>
      <c r="FF640" s="323"/>
      <c r="FG640" s="323"/>
      <c r="FH640" s="323"/>
      <c r="FI640" s="323"/>
      <c r="FJ640" s="325"/>
      <c r="FK640" s="323"/>
      <c r="FL640" s="323"/>
      <c r="FM640" s="323"/>
      <c r="FN640" s="323"/>
      <c r="FO640" s="323"/>
      <c r="FP640" s="323"/>
      <c r="FQ640" s="323"/>
      <c r="FR640" s="323"/>
      <c r="FS640" s="323"/>
      <c r="FT640" s="323"/>
      <c r="FU640" s="323"/>
      <c r="FV640" s="323"/>
      <c r="FW640" s="323"/>
      <c r="FX640" s="323"/>
      <c r="FY640" s="323"/>
      <c r="FZ640" s="323"/>
      <c r="GA640" s="323"/>
      <c r="GB640" s="323"/>
      <c r="GC640" s="323"/>
      <c r="GD640" s="323"/>
      <c r="GE640" s="323"/>
      <c r="GF640" s="323"/>
      <c r="GG640" s="323"/>
      <c r="GH640" s="323"/>
      <c r="GI640" s="323"/>
      <c r="GJ640" s="323"/>
      <c r="GK640" s="323"/>
      <c r="GL640" s="323"/>
      <c r="GM640" s="323"/>
      <c r="GN640" s="323"/>
      <c r="GO640" s="323"/>
      <c r="GP640" s="323"/>
      <c r="GQ640" s="323"/>
      <c r="GR640" s="323"/>
      <c r="GS640" s="323"/>
      <c r="GT640" s="323"/>
      <c r="GU640" s="323"/>
      <c r="GV640" s="323"/>
      <c r="GW640" s="323"/>
      <c r="GX640" s="323"/>
      <c r="GY640" s="323"/>
      <c r="GZ640" s="323"/>
      <c r="HA640" s="323"/>
      <c r="HB640" s="323"/>
      <c r="HC640" s="323"/>
      <c r="HD640" s="323"/>
      <c r="HE640" s="323"/>
      <c r="HF640" s="323"/>
      <c r="HG640" s="323"/>
      <c r="HH640" s="323"/>
      <c r="HI640" s="323"/>
      <c r="HJ640" s="323"/>
      <c r="HK640" s="323"/>
      <c r="HL640" s="323"/>
      <c r="HM640" s="323"/>
      <c r="HN640" s="323"/>
      <c r="HO640" s="323"/>
      <c r="HP640" s="323"/>
      <c r="HQ640" s="323"/>
      <c r="HR640" s="323"/>
      <c r="HS640" s="323"/>
      <c r="HT640" s="323"/>
      <c r="HU640" s="323"/>
      <c r="HV640" s="323"/>
      <c r="HW640" s="323"/>
      <c r="HX640" s="323"/>
      <c r="HY640" s="323"/>
      <c r="HZ640" s="326"/>
      <c r="IA640" s="1120" t="s">
        <v>1182</v>
      </c>
      <c r="IB640" s="1120"/>
      <c r="IC640" s="1120"/>
      <c r="ID640" s="323">
        <f>+FISC!Z847</f>
        <v>0</v>
      </c>
      <c r="IE640" s="279">
        <f>SUM(CQ640:CV640)</f>
        <v>0</v>
      </c>
      <c r="IF640" s="279">
        <f>SUM(CW640:DB640)</f>
        <v>0</v>
      </c>
      <c r="IG640" s="323">
        <f>SUM(CQ640:DB640)</f>
        <v>0</v>
      </c>
      <c r="IH640" s="279">
        <f>+SUM(DC640:DH640)</f>
        <v>0</v>
      </c>
      <c r="II640" s="279">
        <f>+IJ640-IH640</f>
        <v>0</v>
      </c>
      <c r="IJ640" s="323">
        <v>0</v>
      </c>
      <c r="IK640" s="279">
        <f>+SUM(DO640:DT640)</f>
        <v>0</v>
      </c>
      <c r="IL640" s="279">
        <f>SUM(DU640:DZ640)</f>
        <v>0</v>
      </c>
      <c r="IM640" s="323">
        <f t="shared" si="503"/>
        <v>0</v>
      </c>
      <c r="IN640" s="279">
        <f>+IP640/2</f>
        <v>0</v>
      </c>
      <c r="IO640" s="279">
        <f t="shared" si="530"/>
        <v>0</v>
      </c>
      <c r="IP640" s="323">
        <f>FISC!AC847</f>
        <v>0</v>
      </c>
      <c r="IQ640" s="279">
        <f t="shared" si="458"/>
        <v>0</v>
      </c>
      <c r="IR640" s="279">
        <f t="shared" si="459"/>
        <v>0</v>
      </c>
      <c r="IS640" s="323">
        <f t="shared" si="407"/>
        <v>0</v>
      </c>
      <c r="IT640" s="1121">
        <v>7</v>
      </c>
      <c r="IU640" s="650">
        <f>+IV640-IT640</f>
        <v>-6.4</v>
      </c>
      <c r="IV640" s="323">
        <f>FISC!AE849+FISC!AE850</f>
        <v>0.59999999999999964</v>
      </c>
      <c r="IW640" s="279">
        <f>IY640*JU640</f>
        <v>0</v>
      </c>
      <c r="IX640" s="279">
        <f t="shared" si="486"/>
        <v>0</v>
      </c>
      <c r="IY640" s="323">
        <f>+FISC!AF847</f>
        <v>0</v>
      </c>
      <c r="IZ640" s="279">
        <f t="shared" si="498"/>
        <v>0</v>
      </c>
      <c r="JA640" s="279">
        <f t="shared" si="360"/>
        <v>0</v>
      </c>
      <c r="JB640" s="323">
        <f>+FISC!AG847</f>
        <v>0</v>
      </c>
      <c r="JC640" s="279">
        <f t="shared" si="499"/>
        <v>0</v>
      </c>
      <c r="JD640" s="279">
        <f t="shared" si="487"/>
        <v>0</v>
      </c>
      <c r="JE640" s="323">
        <f>+FISC!AH847</f>
        <v>0</v>
      </c>
      <c r="JF640" s="279">
        <f t="shared" si="500"/>
        <v>0</v>
      </c>
      <c r="JG640" s="279">
        <f t="shared" si="488"/>
        <v>0</v>
      </c>
      <c r="JH640" s="323">
        <f>+FISC!AI847</f>
        <v>0</v>
      </c>
      <c r="JI640" s="279">
        <f t="shared" si="501"/>
        <v>0</v>
      </c>
      <c r="JJ640" s="279">
        <f t="shared" si="489"/>
        <v>0</v>
      </c>
      <c r="JK640" s="323">
        <f>+FISC!AJ847</f>
        <v>0</v>
      </c>
      <c r="JL640" s="279">
        <f t="shared" si="502"/>
        <v>0</v>
      </c>
      <c r="JM640" s="279">
        <f t="shared" si="490"/>
        <v>0</v>
      </c>
      <c r="JN640" s="323">
        <f>+FISC!AK847</f>
        <v>0</v>
      </c>
      <c r="JO640" s="323"/>
      <c r="KU640" s="326"/>
      <c r="KV640" s="327"/>
    </row>
    <row r="641" spans="1:314" hidden="1">
      <c r="A641" s="279"/>
      <c r="D641" s="328"/>
      <c r="E641" s="323"/>
      <c r="F641" s="323"/>
      <c r="G641" s="323"/>
      <c r="H641" s="323"/>
      <c r="I641" s="323"/>
      <c r="J641" s="323"/>
      <c r="K641" s="323"/>
      <c r="L641" s="323"/>
      <c r="M641" s="323"/>
      <c r="N641" s="323"/>
      <c r="O641" s="323"/>
      <c r="P641" s="323"/>
      <c r="Q641" s="323"/>
      <c r="R641" s="323"/>
      <c r="S641" s="323"/>
      <c r="T641" s="323"/>
      <c r="U641" s="323"/>
      <c r="V641" s="323"/>
      <c r="W641" s="323"/>
      <c r="X641" s="323"/>
      <c r="Y641" s="323"/>
      <c r="Z641" s="323"/>
      <c r="AA641" s="323"/>
      <c r="AB641" s="323"/>
      <c r="AC641" s="323"/>
      <c r="AD641" s="323"/>
      <c r="AE641" s="323"/>
      <c r="AF641" s="323"/>
      <c r="AG641" s="323"/>
      <c r="AH641" s="323"/>
      <c r="AI641" s="323"/>
      <c r="AJ641" s="323"/>
      <c r="AK641" s="323"/>
      <c r="AL641" s="323"/>
      <c r="AM641" s="323"/>
      <c r="AN641" s="323"/>
      <c r="AO641" s="323"/>
      <c r="AP641" s="323"/>
      <c r="AQ641" s="323"/>
      <c r="AR641" s="323"/>
      <c r="AS641" s="323"/>
      <c r="AT641" s="323"/>
      <c r="AU641" s="323"/>
      <c r="AV641" s="323"/>
      <c r="AW641" s="323"/>
      <c r="AX641" s="323"/>
      <c r="AY641" s="323"/>
      <c r="AZ641" s="323"/>
      <c r="BA641" s="323"/>
      <c r="BB641" s="323"/>
      <c r="BC641" s="323"/>
      <c r="BD641" s="323"/>
      <c r="BE641" s="323"/>
      <c r="BF641" s="323"/>
      <c r="BG641" s="323"/>
      <c r="BH641" s="323"/>
      <c r="BI641" s="323"/>
      <c r="BJ641" s="323"/>
      <c r="BK641" s="323"/>
      <c r="BL641" s="323"/>
      <c r="BM641" s="323"/>
      <c r="BN641" s="323"/>
      <c r="BO641" s="323"/>
      <c r="BP641" s="323"/>
      <c r="BQ641" s="323"/>
      <c r="BR641" s="323"/>
      <c r="BS641" s="323"/>
      <c r="BT641" s="323"/>
      <c r="BU641" s="323"/>
      <c r="BV641" s="323"/>
      <c r="BW641" s="323"/>
      <c r="BX641" s="323"/>
      <c r="BY641" s="323"/>
      <c r="BZ641" s="323"/>
      <c r="CA641" s="323"/>
      <c r="CB641" s="323"/>
      <c r="CC641" s="323"/>
      <c r="CD641" s="323"/>
      <c r="CE641" s="324"/>
      <c r="CF641" s="323"/>
      <c r="CG641" s="323"/>
      <c r="CH641" s="323"/>
      <c r="CI641" s="323"/>
      <c r="CJ641" s="323"/>
      <c r="CK641" s="323"/>
      <c r="CL641" s="323"/>
      <c r="CM641" s="323"/>
      <c r="CN641" s="323"/>
      <c r="CO641" s="323"/>
      <c r="CP641" s="325"/>
      <c r="CQ641" s="323"/>
      <c r="CR641" s="323"/>
      <c r="CS641" s="323"/>
      <c r="CT641" s="323"/>
      <c r="CU641" s="323"/>
      <c r="CV641" s="323"/>
      <c r="CW641" s="323"/>
      <c r="CX641" s="323"/>
      <c r="CY641" s="323"/>
      <c r="CZ641" s="323"/>
      <c r="DA641" s="323"/>
      <c r="DB641" s="1269"/>
      <c r="DC641" s="323"/>
      <c r="DD641" s="323"/>
      <c r="DE641" s="323"/>
      <c r="DF641" s="323"/>
      <c r="DG641" s="323"/>
      <c r="DH641" s="323"/>
      <c r="DI641" s="323"/>
      <c r="DJ641" s="323"/>
      <c r="DK641" s="323"/>
      <c r="DL641" s="323"/>
      <c r="DM641" s="323"/>
      <c r="DN641" s="325"/>
      <c r="DO641" s="323"/>
      <c r="DP641" s="323"/>
      <c r="DQ641" s="323"/>
      <c r="DR641" s="323"/>
      <c r="DS641" s="323"/>
      <c r="DT641" s="323"/>
      <c r="DU641" s="323"/>
      <c r="DV641" s="323"/>
      <c r="DW641" s="323"/>
      <c r="DX641" s="323"/>
      <c r="DY641" s="323"/>
      <c r="DZ641" s="325"/>
      <c r="EA641" s="323"/>
      <c r="EB641" s="323"/>
      <c r="EC641" s="323"/>
      <c r="ED641" s="323"/>
      <c r="EE641" s="323"/>
      <c r="EF641" s="323"/>
      <c r="EG641" s="323"/>
      <c r="EH641" s="323"/>
      <c r="EI641" s="323"/>
      <c r="EJ641" s="323"/>
      <c r="EK641" s="323"/>
      <c r="EL641" s="325"/>
      <c r="EM641" s="323"/>
      <c r="EN641" s="323"/>
      <c r="EO641" s="323"/>
      <c r="EP641" s="323"/>
      <c r="EQ641" s="323"/>
      <c r="ER641" s="323"/>
      <c r="ES641" s="323"/>
      <c r="ET641" s="323"/>
      <c r="EU641" s="323"/>
      <c r="EV641" s="323"/>
      <c r="EW641" s="323"/>
      <c r="EX641" s="325"/>
      <c r="EY641" s="323"/>
      <c r="EZ641" s="323"/>
      <c r="FA641" s="323"/>
      <c r="FB641" s="323"/>
      <c r="FC641" s="323"/>
      <c r="FD641" s="323"/>
      <c r="FE641" s="323"/>
      <c r="FF641" s="323"/>
      <c r="FG641" s="323"/>
      <c r="FH641" s="323"/>
      <c r="FI641" s="323"/>
      <c r="FJ641" s="325"/>
      <c r="FK641" s="323"/>
      <c r="FL641" s="323"/>
      <c r="FM641" s="323"/>
      <c r="FN641" s="323"/>
      <c r="FO641" s="323"/>
      <c r="FP641" s="323"/>
      <c r="FQ641" s="323"/>
      <c r="FR641" s="323"/>
      <c r="FS641" s="323"/>
      <c r="FT641" s="323"/>
      <c r="FU641" s="323"/>
      <c r="FV641" s="323"/>
      <c r="FW641" s="323"/>
      <c r="FX641" s="323"/>
      <c r="FY641" s="323"/>
      <c r="FZ641" s="323"/>
      <c r="GA641" s="323"/>
      <c r="GB641" s="323"/>
      <c r="GC641" s="323"/>
      <c r="GD641" s="323"/>
      <c r="GE641" s="323"/>
      <c r="GF641" s="323"/>
      <c r="GG641" s="323"/>
      <c r="GH641" s="323"/>
      <c r="GI641" s="323"/>
      <c r="GJ641" s="323"/>
      <c r="GK641" s="323"/>
      <c r="GL641" s="323"/>
      <c r="GM641" s="323"/>
      <c r="GN641" s="323"/>
      <c r="GO641" s="323"/>
      <c r="GP641" s="323"/>
      <c r="GQ641" s="323"/>
      <c r="GR641" s="323"/>
      <c r="GS641" s="323"/>
      <c r="GT641" s="323"/>
      <c r="GU641" s="323"/>
      <c r="GV641" s="323"/>
      <c r="GW641" s="323"/>
      <c r="GX641" s="323"/>
      <c r="GY641" s="323"/>
      <c r="GZ641" s="323"/>
      <c r="HA641" s="323"/>
      <c r="HB641" s="323"/>
      <c r="HC641" s="323"/>
      <c r="HD641" s="323"/>
      <c r="HE641" s="323"/>
      <c r="HF641" s="323"/>
      <c r="HG641" s="323"/>
      <c r="HH641" s="323"/>
      <c r="HI641" s="323"/>
      <c r="HJ641" s="323"/>
      <c r="HK641" s="323"/>
      <c r="HL641" s="323"/>
      <c r="HM641" s="323"/>
      <c r="HN641" s="323"/>
      <c r="HO641" s="323"/>
      <c r="HP641" s="323"/>
      <c r="HQ641" s="323"/>
      <c r="HR641" s="323"/>
      <c r="HS641" s="323"/>
      <c r="HT641" s="323"/>
      <c r="HU641" s="323"/>
      <c r="HV641" s="323"/>
      <c r="HW641" s="323"/>
      <c r="HX641" s="323"/>
      <c r="HY641" s="323"/>
      <c r="HZ641" s="326"/>
      <c r="IA641" s="1120" t="s">
        <v>1183</v>
      </c>
      <c r="IB641" s="1120"/>
      <c r="IC641" s="1120"/>
      <c r="ID641" s="323"/>
      <c r="IG641" s="323"/>
      <c r="IJ641" s="323"/>
      <c r="IM641" s="323"/>
      <c r="IP641" s="323"/>
      <c r="IS641" s="323"/>
      <c r="IT641" s="1121"/>
      <c r="IU641" s="650"/>
      <c r="IV641" s="323"/>
      <c r="IY641" s="323"/>
      <c r="JB641" s="323"/>
      <c r="JE641" s="323"/>
      <c r="JH641" s="323"/>
      <c r="JK641" s="323"/>
      <c r="JN641" s="323"/>
      <c r="JO641" s="323"/>
      <c r="KU641" s="326"/>
      <c r="KV641" s="327"/>
    </row>
    <row r="642" spans="1:314" hidden="1">
      <c r="A642" s="279"/>
      <c r="B642" s="96" t="s">
        <v>338</v>
      </c>
      <c r="D642" s="328" t="str">
        <f>+FISC!D848</f>
        <v>Rwandair loan (PTA debt service)</v>
      </c>
      <c r="E642" s="323"/>
      <c r="F642" s="323"/>
      <c r="G642" s="323"/>
      <c r="H642" s="323"/>
      <c r="I642" s="323"/>
      <c r="J642" s="323"/>
      <c r="K642" s="323"/>
      <c r="L642" s="323"/>
      <c r="M642" s="323"/>
      <c r="N642" s="323"/>
      <c r="O642" s="323"/>
      <c r="P642" s="323"/>
      <c r="Q642" s="323"/>
      <c r="R642" s="323"/>
      <c r="S642" s="323"/>
      <c r="T642" s="323"/>
      <c r="U642" s="323"/>
      <c r="V642" s="323"/>
      <c r="W642" s="323"/>
      <c r="X642" s="323"/>
      <c r="Y642" s="323"/>
      <c r="Z642" s="323"/>
      <c r="AA642" s="323"/>
      <c r="AB642" s="323"/>
      <c r="AC642" s="323"/>
      <c r="AD642" s="323"/>
      <c r="AE642" s="323"/>
      <c r="AF642" s="323"/>
      <c r="AG642" s="323"/>
      <c r="AH642" s="323"/>
      <c r="AI642" s="323"/>
      <c r="AJ642" s="323"/>
      <c r="AK642" s="323"/>
      <c r="AL642" s="323"/>
      <c r="AM642" s="323"/>
      <c r="AN642" s="323"/>
      <c r="AO642" s="323"/>
      <c r="AP642" s="323"/>
      <c r="AQ642" s="323"/>
      <c r="AR642" s="323"/>
      <c r="AS642" s="323"/>
      <c r="AT642" s="323"/>
      <c r="AU642" s="323"/>
      <c r="AV642" s="323"/>
      <c r="AW642" s="323"/>
      <c r="AX642" s="323"/>
      <c r="AY642" s="323"/>
      <c r="AZ642" s="323"/>
      <c r="BA642" s="323"/>
      <c r="BB642" s="323"/>
      <c r="BC642" s="323"/>
      <c r="BD642" s="323"/>
      <c r="BE642" s="323"/>
      <c r="BF642" s="323"/>
      <c r="BG642" s="323"/>
      <c r="BH642" s="323"/>
      <c r="BI642" s="323"/>
      <c r="BJ642" s="323"/>
      <c r="BK642" s="323"/>
      <c r="BL642" s="323"/>
      <c r="BM642" s="323"/>
      <c r="BN642" s="323"/>
      <c r="BO642" s="323"/>
      <c r="BP642" s="323"/>
      <c r="BQ642" s="323"/>
      <c r="BR642" s="323"/>
      <c r="BS642" s="323"/>
      <c r="BT642" s="323"/>
      <c r="BU642" s="323"/>
      <c r="BV642" s="323"/>
      <c r="BW642" s="323"/>
      <c r="BX642" s="323"/>
      <c r="BY642" s="323"/>
      <c r="BZ642" s="323"/>
      <c r="CA642" s="323"/>
      <c r="CB642" s="323"/>
      <c r="CC642" s="323"/>
      <c r="CD642" s="323"/>
      <c r="CE642" s="324"/>
      <c r="CF642" s="323"/>
      <c r="CG642" s="323"/>
      <c r="CH642" s="323"/>
      <c r="CI642" s="323"/>
      <c r="CJ642" s="323"/>
      <c r="CK642" s="323"/>
      <c r="CL642" s="323"/>
      <c r="CM642" s="323"/>
      <c r="CN642" s="323"/>
      <c r="CO642" s="323"/>
      <c r="CP642" s="325"/>
      <c r="CQ642" s="323"/>
      <c r="CR642" s="323"/>
      <c r="CS642" s="323"/>
      <c r="CT642" s="323"/>
      <c r="CU642" s="323"/>
      <c r="CV642" s="323"/>
      <c r="CW642" s="323"/>
      <c r="CX642" s="323"/>
      <c r="CY642" s="323"/>
      <c r="CZ642" s="323"/>
      <c r="DA642" s="323"/>
      <c r="DB642" s="1269"/>
      <c r="DC642" s="323"/>
      <c r="DD642" s="323"/>
      <c r="DE642" s="323"/>
      <c r="DF642" s="323"/>
      <c r="DG642" s="323"/>
      <c r="DH642" s="323"/>
      <c r="DI642" s="323"/>
      <c r="DJ642" s="323"/>
      <c r="DK642" s="323"/>
      <c r="DL642" s="323"/>
      <c r="DM642" s="323"/>
      <c r="DN642" s="325"/>
      <c r="DO642" s="323"/>
      <c r="DP642" s="323"/>
      <c r="DQ642" s="323"/>
      <c r="DR642" s="323"/>
      <c r="DS642" s="323"/>
      <c r="DT642" s="323"/>
      <c r="DU642" s="323"/>
      <c r="DV642" s="323"/>
      <c r="DW642" s="323"/>
      <c r="DX642" s="323"/>
      <c r="DY642" s="323"/>
      <c r="DZ642" s="325"/>
      <c r="EA642" s="323"/>
      <c r="EB642" s="323"/>
      <c r="EC642" s="323"/>
      <c r="ED642" s="323"/>
      <c r="EE642" s="323"/>
      <c r="EF642" s="323"/>
      <c r="EG642" s="323"/>
      <c r="EH642" s="323"/>
      <c r="EI642" s="323"/>
      <c r="EJ642" s="323"/>
      <c r="EK642" s="323"/>
      <c r="EL642" s="325"/>
      <c r="EM642" s="323"/>
      <c r="EN642" s="323"/>
      <c r="EO642" s="323"/>
      <c r="EP642" s="323"/>
      <c r="EQ642" s="323"/>
      <c r="ER642" s="323"/>
      <c r="ES642" s="323"/>
      <c r="ET642" s="323"/>
      <c r="EU642" s="323"/>
      <c r="EV642" s="323"/>
      <c r="EW642" s="323"/>
      <c r="EX642" s="325"/>
      <c r="EY642" s="323"/>
      <c r="EZ642" s="323"/>
      <c r="FA642" s="323"/>
      <c r="FB642" s="323"/>
      <c r="FC642" s="323"/>
      <c r="FD642" s="323"/>
      <c r="FE642" s="323"/>
      <c r="FF642" s="323"/>
      <c r="FG642" s="323"/>
      <c r="FH642" s="323"/>
      <c r="FI642" s="323"/>
      <c r="FJ642" s="325"/>
      <c r="FK642" s="323"/>
      <c r="FL642" s="323"/>
      <c r="FM642" s="323"/>
      <c r="FN642" s="323"/>
      <c r="FO642" s="323"/>
      <c r="FP642" s="323"/>
      <c r="FQ642" s="323"/>
      <c r="FR642" s="323"/>
      <c r="FS642" s="323"/>
      <c r="FT642" s="323"/>
      <c r="FU642" s="323"/>
      <c r="FV642" s="323"/>
      <c r="FW642" s="323"/>
      <c r="FX642" s="323"/>
      <c r="FY642" s="323"/>
      <c r="FZ642" s="323"/>
      <c r="GA642" s="323"/>
      <c r="GB642" s="323"/>
      <c r="GC642" s="323"/>
      <c r="GD642" s="323"/>
      <c r="GE642" s="323"/>
      <c r="GF642" s="323"/>
      <c r="GG642" s="323"/>
      <c r="GH642" s="323"/>
      <c r="GI642" s="323"/>
      <c r="GJ642" s="323"/>
      <c r="GK642" s="323"/>
      <c r="GL642" s="323"/>
      <c r="GM642" s="323"/>
      <c r="GN642" s="323"/>
      <c r="GO642" s="323"/>
      <c r="GP642" s="323"/>
      <c r="GQ642" s="323"/>
      <c r="GR642" s="323"/>
      <c r="GS642" s="323"/>
      <c r="GT642" s="323"/>
      <c r="GU642" s="323"/>
      <c r="GV642" s="323"/>
      <c r="GW642" s="323"/>
      <c r="GX642" s="323"/>
      <c r="GY642" s="323"/>
      <c r="GZ642" s="323"/>
      <c r="HA642" s="323"/>
      <c r="HB642" s="323"/>
      <c r="HC642" s="323"/>
      <c r="HD642" s="323"/>
      <c r="HE642" s="323"/>
      <c r="HF642" s="323"/>
      <c r="HG642" s="323"/>
      <c r="HH642" s="323"/>
      <c r="HI642" s="323"/>
      <c r="HJ642" s="323"/>
      <c r="HK642" s="323"/>
      <c r="HL642" s="323"/>
      <c r="HM642" s="323"/>
      <c r="HN642" s="323"/>
      <c r="HO642" s="323"/>
      <c r="HP642" s="323"/>
      <c r="HQ642" s="323"/>
      <c r="HR642" s="323"/>
      <c r="HS642" s="323"/>
      <c r="HT642" s="323"/>
      <c r="HU642" s="323"/>
      <c r="HV642" s="323"/>
      <c r="HW642" s="323"/>
      <c r="HX642" s="323"/>
      <c r="HY642" s="323"/>
      <c r="HZ642" s="326"/>
      <c r="IA642" s="1120" t="s">
        <v>1174</v>
      </c>
      <c r="IB642" s="1120"/>
      <c r="IC642" s="1120"/>
      <c r="ID642" s="323">
        <f>+FISC!Z848</f>
        <v>0</v>
      </c>
      <c r="IE642" s="279">
        <f>SUM(CQ642:CV642)</f>
        <v>0</v>
      </c>
      <c r="IF642" s="279">
        <f>SUM(CW642:DB642)</f>
        <v>0</v>
      </c>
      <c r="IG642" s="323">
        <f>SUM(CQ642:DB642)</f>
        <v>0</v>
      </c>
      <c r="IH642" s="279">
        <f>+SUM(DC642:DH642)</f>
        <v>0</v>
      </c>
      <c r="II642" s="279">
        <f>+SUM(DI642:DN642)</f>
        <v>0</v>
      </c>
      <c r="IJ642" s="323">
        <f>IH642+II642</f>
        <v>0</v>
      </c>
      <c r="IK642" s="279">
        <f>+SUM(DO642:DT642)</f>
        <v>0</v>
      </c>
      <c r="IL642" s="279">
        <f t="shared" ref="IL642:IL647" si="535">SUM(DU642:DZ642)</f>
        <v>0</v>
      </c>
      <c r="IM642" s="323">
        <f t="shared" si="503"/>
        <v>0</v>
      </c>
      <c r="IN642" s="279">
        <v>0</v>
      </c>
      <c r="IO642" s="279">
        <f t="shared" si="530"/>
        <v>0</v>
      </c>
      <c r="IP642" s="323">
        <f>FISC!AC848</f>
        <v>0</v>
      </c>
      <c r="IQ642" s="279">
        <f t="shared" ref="IQ642:IQ647" si="536">SUM(EM642:ER642)</f>
        <v>0</v>
      </c>
      <c r="IR642" s="279">
        <f t="shared" ref="IR642:IR647" si="537">SUM(ES642:EX642)</f>
        <v>0</v>
      </c>
      <c r="IS642" s="323">
        <f t="shared" si="407"/>
        <v>0</v>
      </c>
      <c r="IT642" s="1121">
        <f>+IV642/2</f>
        <v>5</v>
      </c>
      <c r="IU642" s="650">
        <f>+IV642-IT642</f>
        <v>5</v>
      </c>
      <c r="IV642" s="1054">
        <f>+FISC!AE851</f>
        <v>10</v>
      </c>
      <c r="IW642" s="279">
        <v>3.2</v>
      </c>
      <c r="IX642" s="279">
        <f t="shared" si="486"/>
        <v>4.3194208804500001</v>
      </c>
      <c r="IY642" s="1054">
        <f>+FISC!AF851</f>
        <v>7.5194208804500002</v>
      </c>
      <c r="IZ642" s="279">
        <f t="shared" si="498"/>
        <v>0</v>
      </c>
      <c r="JA642" s="279">
        <f t="shared" si="360"/>
        <v>0</v>
      </c>
      <c r="JB642" s="1054">
        <f>+FISC!AG848</f>
        <v>0</v>
      </c>
      <c r="JC642" s="279">
        <f t="shared" si="499"/>
        <v>0</v>
      </c>
      <c r="JD642" s="279">
        <f t="shared" si="487"/>
        <v>0</v>
      </c>
      <c r="JE642" s="1054">
        <f>+FISC!AH848</f>
        <v>0</v>
      </c>
      <c r="JF642" s="279">
        <f t="shared" si="500"/>
        <v>0</v>
      </c>
      <c r="JG642" s="279">
        <f t="shared" si="488"/>
        <v>0</v>
      </c>
      <c r="JH642" s="1054">
        <f>+FISC!AI848</f>
        <v>0</v>
      </c>
      <c r="JI642" s="279">
        <f t="shared" si="501"/>
        <v>0</v>
      </c>
      <c r="JJ642" s="279">
        <f t="shared" si="489"/>
        <v>0</v>
      </c>
      <c r="JK642" s="1054">
        <f>+FISC!AJ848</f>
        <v>0</v>
      </c>
      <c r="JL642" s="279">
        <f t="shared" si="502"/>
        <v>0</v>
      </c>
      <c r="JM642" s="279">
        <f t="shared" si="490"/>
        <v>0</v>
      </c>
      <c r="JN642" s="1054">
        <f>+FISC!AK848</f>
        <v>0</v>
      </c>
      <c r="JO642" s="1054"/>
      <c r="KU642" s="326"/>
      <c r="KV642" s="327"/>
    </row>
    <row r="643" spans="1:314" hidden="1">
      <c r="A643" s="279"/>
      <c r="B643" s="96" t="s">
        <v>338</v>
      </c>
      <c r="D643" s="328" t="str">
        <f>+FISC!D852</f>
        <v>Privatization receipts ( - receipt)</v>
      </c>
      <c r="E643" s="323"/>
      <c r="F643" s="323"/>
      <c r="G643" s="323"/>
      <c r="H643" s="323"/>
      <c r="I643" s="323"/>
      <c r="J643" s="323"/>
      <c r="K643" s="323"/>
      <c r="L643" s="323"/>
      <c r="M643" s="323"/>
      <c r="N643" s="323"/>
      <c r="O643" s="323"/>
      <c r="P643" s="323"/>
      <c r="Q643" s="323"/>
      <c r="R643" s="323"/>
      <c r="S643" s="323"/>
      <c r="T643" s="323"/>
      <c r="U643" s="323"/>
      <c r="V643" s="323"/>
      <c r="W643" s="323"/>
      <c r="X643" s="323"/>
      <c r="Y643" s="323"/>
      <c r="Z643" s="323"/>
      <c r="AA643" s="323"/>
      <c r="AB643" s="323"/>
      <c r="AC643" s="323"/>
      <c r="AD643" s="323"/>
      <c r="AE643" s="323"/>
      <c r="AF643" s="323"/>
      <c r="AG643" s="323"/>
      <c r="AH643" s="323"/>
      <c r="AI643" s="323"/>
      <c r="AJ643" s="323"/>
      <c r="AK643" s="323"/>
      <c r="AL643" s="323"/>
      <c r="AM643" s="323"/>
      <c r="AN643" s="323"/>
      <c r="AO643" s="323"/>
      <c r="AP643" s="323"/>
      <c r="AQ643" s="323"/>
      <c r="AR643" s="323"/>
      <c r="AS643" s="323"/>
      <c r="AT643" s="323"/>
      <c r="AU643" s="323"/>
      <c r="AV643" s="323"/>
      <c r="AW643" s="323"/>
      <c r="AX643" s="323"/>
      <c r="AY643" s="323"/>
      <c r="AZ643" s="323"/>
      <c r="BA643" s="323"/>
      <c r="BB643" s="323"/>
      <c r="BC643" s="323"/>
      <c r="BD643" s="323"/>
      <c r="BE643" s="323"/>
      <c r="BF643" s="323"/>
      <c r="BG643" s="323"/>
      <c r="BH643" s="323"/>
      <c r="BI643" s="323"/>
      <c r="BJ643" s="323"/>
      <c r="BK643" s="323"/>
      <c r="BL643" s="323"/>
      <c r="BM643" s="323"/>
      <c r="BN643" s="323"/>
      <c r="BO643" s="323"/>
      <c r="BP643" s="323"/>
      <c r="BQ643" s="323"/>
      <c r="BR643" s="323"/>
      <c r="BS643" s="323"/>
      <c r="BT643" s="323"/>
      <c r="BU643" s="323"/>
      <c r="BV643" s="323"/>
      <c r="BW643" s="323"/>
      <c r="BX643" s="323"/>
      <c r="BY643" s="323"/>
      <c r="BZ643" s="323"/>
      <c r="CA643" s="323"/>
      <c r="CB643" s="323"/>
      <c r="CC643" s="323"/>
      <c r="CD643" s="323"/>
      <c r="CE643" s="324">
        <f t="shared" ref="CE643:DB643" si="538">CE307</f>
        <v>-1.6468438000000001</v>
      </c>
      <c r="CF643" s="323">
        <f t="shared" si="538"/>
        <v>-8.4087999999999996E-2</v>
      </c>
      <c r="CG643" s="323">
        <f t="shared" si="538"/>
        <v>-2.7999999999999998E-4</v>
      </c>
      <c r="CH643" s="323">
        <f t="shared" si="538"/>
        <v>-1.83E-3</v>
      </c>
      <c r="CI643" s="323">
        <f t="shared" si="538"/>
        <v>-6.4999999999999997E-4</v>
      </c>
      <c r="CJ643" s="323">
        <f t="shared" si="538"/>
        <v>-0.21287973299999999</v>
      </c>
      <c r="CK643" s="323">
        <f t="shared" si="538"/>
        <v>-4.8000000000000001E-4</v>
      </c>
      <c r="CL643" s="323">
        <f t="shared" si="538"/>
        <v>-0.95079999999999998</v>
      </c>
      <c r="CM643" s="323">
        <f t="shared" si="538"/>
        <v>-0.38655285700241937</v>
      </c>
      <c r="CN643" s="323">
        <f t="shared" si="538"/>
        <v>0</v>
      </c>
      <c r="CO643" s="323">
        <f t="shared" si="538"/>
        <v>-1.8600000000000001E-3</v>
      </c>
      <c r="CP643" s="325">
        <f t="shared" si="538"/>
        <v>0</v>
      </c>
      <c r="CQ643" s="323">
        <f t="shared" si="538"/>
        <v>-3.5496379069439997E-2</v>
      </c>
      <c r="CR643" s="323">
        <f t="shared" si="538"/>
        <v>-0.26348023300000001</v>
      </c>
      <c r="CS643" s="323">
        <f t="shared" si="538"/>
        <v>-9.2253200000000004E-3</v>
      </c>
      <c r="CT643" s="323">
        <f t="shared" si="538"/>
        <v>-1.1358765</v>
      </c>
      <c r="CU643" s="323">
        <f t="shared" si="538"/>
        <v>-0.17954335799999999</v>
      </c>
      <c r="CV643" s="323">
        <f t="shared" si="538"/>
        <v>-0.47499999999999998</v>
      </c>
      <c r="CW643" s="323">
        <f t="shared" si="538"/>
        <v>-1.2276349999999999E-3</v>
      </c>
      <c r="CX643" s="323">
        <f t="shared" si="538"/>
        <v>-1.8229569000000001E-2</v>
      </c>
      <c r="CY643" s="323">
        <f t="shared" si="538"/>
        <v>-8.8000000000000003E-4</v>
      </c>
      <c r="CZ643" s="323">
        <f t="shared" si="538"/>
        <v>0</v>
      </c>
      <c r="DA643" s="323">
        <f t="shared" si="538"/>
        <v>0</v>
      </c>
      <c r="DB643" s="1269">
        <f t="shared" si="538"/>
        <v>0</v>
      </c>
      <c r="DC643" s="323">
        <f t="shared" ref="DC643:EX643" si="539">-DC307</f>
        <v>0</v>
      </c>
      <c r="DD643" s="324">
        <f t="shared" si="539"/>
        <v>0</v>
      </c>
      <c r="DE643" s="323">
        <f t="shared" si="539"/>
        <v>-0.70431847800000003</v>
      </c>
      <c r="DF643" s="323">
        <f t="shared" si="539"/>
        <v>0</v>
      </c>
      <c r="DG643" s="323">
        <f t="shared" si="539"/>
        <v>0</v>
      </c>
      <c r="DH643" s="323">
        <f t="shared" si="539"/>
        <v>-0.48594737700000001</v>
      </c>
      <c r="DI643" s="323">
        <f t="shared" si="539"/>
        <v>0</v>
      </c>
      <c r="DJ643" s="323">
        <f t="shared" si="539"/>
        <v>0</v>
      </c>
      <c r="DK643" s="323">
        <f t="shared" si="539"/>
        <v>-6.2377675E-2</v>
      </c>
      <c r="DL643" s="323">
        <f t="shared" si="539"/>
        <v>-0.22141875699999999</v>
      </c>
      <c r="DM643" s="323">
        <f t="shared" si="539"/>
        <v>0</v>
      </c>
      <c r="DN643" s="325">
        <f t="shared" si="539"/>
        <v>0</v>
      </c>
      <c r="DO643" s="323">
        <f t="shared" si="539"/>
        <v>0</v>
      </c>
      <c r="DP643" s="323">
        <f t="shared" si="539"/>
        <v>0</v>
      </c>
      <c r="DQ643" s="323">
        <f t="shared" si="539"/>
        <v>0</v>
      </c>
      <c r="DR643" s="323">
        <f t="shared" si="539"/>
        <v>0</v>
      </c>
      <c r="DS643" s="323">
        <f t="shared" si="539"/>
        <v>0</v>
      </c>
      <c r="DT643" s="323">
        <f t="shared" si="539"/>
        <v>0</v>
      </c>
      <c r="DU643" s="323">
        <f t="shared" si="539"/>
        <v>0</v>
      </c>
      <c r="DV643" s="323">
        <f t="shared" si="539"/>
        <v>0</v>
      </c>
      <c r="DW643" s="323">
        <f t="shared" si="539"/>
        <v>0</v>
      </c>
      <c r="DX643" s="323">
        <f t="shared" si="539"/>
        <v>-9.0864968659999992</v>
      </c>
      <c r="DY643" s="323">
        <f t="shared" si="539"/>
        <v>0</v>
      </c>
      <c r="DZ643" s="325">
        <f t="shared" si="539"/>
        <v>0</v>
      </c>
      <c r="EA643" s="323">
        <f t="shared" si="539"/>
        <v>0</v>
      </c>
      <c r="EB643" s="323">
        <f t="shared" si="539"/>
        <v>0</v>
      </c>
      <c r="EC643" s="323">
        <f t="shared" si="539"/>
        <v>0</v>
      </c>
      <c r="ED643" s="323">
        <f t="shared" si="539"/>
        <v>0</v>
      </c>
      <c r="EE643" s="323">
        <f t="shared" si="539"/>
        <v>0</v>
      </c>
      <c r="EF643" s="323">
        <f t="shared" si="539"/>
        <v>0</v>
      </c>
      <c r="EG643" s="323">
        <f t="shared" si="539"/>
        <v>-0.14000000000000001</v>
      </c>
      <c r="EH643" s="323">
        <f t="shared" si="539"/>
        <v>0</v>
      </c>
      <c r="EI643" s="323">
        <f t="shared" si="539"/>
        <v>0</v>
      </c>
      <c r="EJ643" s="323">
        <f t="shared" si="539"/>
        <v>-1.7452326000000001E-2</v>
      </c>
      <c r="EK643" s="323">
        <f t="shared" si="539"/>
        <v>0</v>
      </c>
      <c r="EL643" s="325">
        <f t="shared" si="539"/>
        <v>-0.83253643600000005</v>
      </c>
      <c r="EM643" s="323">
        <f t="shared" si="539"/>
        <v>-3.6000000000000002E-4</v>
      </c>
      <c r="EN643" s="323">
        <f t="shared" si="539"/>
        <v>-1.94E-4</v>
      </c>
      <c r="EO643" s="323">
        <f t="shared" si="539"/>
        <v>-7.9699999999999997E-4</v>
      </c>
      <c r="EP643" s="323">
        <f t="shared" si="539"/>
        <v>-0.27348586600000002</v>
      </c>
      <c r="EQ643" s="323">
        <f t="shared" si="539"/>
        <v>-2.5969999999999999E-3</v>
      </c>
      <c r="ER643" s="323">
        <f t="shared" si="539"/>
        <v>-3.97E-4</v>
      </c>
      <c r="ES643" s="323">
        <f t="shared" si="539"/>
        <v>0</v>
      </c>
      <c r="ET643" s="323">
        <f t="shared" si="539"/>
        <v>0</v>
      </c>
      <c r="EU643" s="323">
        <f t="shared" si="539"/>
        <v>0</v>
      </c>
      <c r="EV643" s="323">
        <f t="shared" si="539"/>
        <v>0</v>
      </c>
      <c r="EW643" s="323">
        <f t="shared" si="539"/>
        <v>0</v>
      </c>
      <c r="EX643" s="325">
        <f t="shared" si="539"/>
        <v>0</v>
      </c>
      <c r="EY643" s="323"/>
      <c r="EZ643" s="323"/>
      <c r="FA643" s="323"/>
      <c r="FB643" s="323"/>
      <c r="FC643" s="323"/>
      <c r="FD643" s="323"/>
      <c r="FE643" s="323"/>
      <c r="FF643" s="323"/>
      <c r="FG643" s="323"/>
      <c r="FH643" s="323"/>
      <c r="FI643" s="323"/>
      <c r="FJ643" s="325"/>
      <c r="FK643" s="323"/>
      <c r="FL643" s="323"/>
      <c r="FM643" s="323"/>
      <c r="FN643" s="323"/>
      <c r="FO643" s="323"/>
      <c r="FP643" s="323"/>
      <c r="FQ643" s="323"/>
      <c r="FR643" s="323"/>
      <c r="FS643" s="323"/>
      <c r="FT643" s="323"/>
      <c r="FU643" s="323"/>
      <c r="FV643" s="323"/>
      <c r="FW643" s="323"/>
      <c r="FX643" s="323"/>
      <c r="FY643" s="323"/>
      <c r="FZ643" s="323"/>
      <c r="GA643" s="323"/>
      <c r="GB643" s="323"/>
      <c r="GC643" s="323"/>
      <c r="GD643" s="323"/>
      <c r="GE643" s="323"/>
      <c r="GF643" s="323"/>
      <c r="GG643" s="323"/>
      <c r="GH643" s="323"/>
      <c r="GI643" s="323"/>
      <c r="GJ643" s="323"/>
      <c r="GK643" s="323"/>
      <c r="GL643" s="323"/>
      <c r="GM643" s="323"/>
      <c r="GN643" s="323"/>
      <c r="GO643" s="323"/>
      <c r="GP643" s="323"/>
      <c r="GQ643" s="323"/>
      <c r="GR643" s="323"/>
      <c r="GS643" s="323"/>
      <c r="GT643" s="323"/>
      <c r="GU643" s="323"/>
      <c r="GV643" s="323"/>
      <c r="GW643" s="323"/>
      <c r="GX643" s="323"/>
      <c r="GY643" s="323"/>
      <c r="GZ643" s="323"/>
      <c r="HA643" s="323"/>
      <c r="HB643" s="323"/>
      <c r="HC643" s="323"/>
      <c r="HD643" s="323"/>
      <c r="HE643" s="323"/>
      <c r="HF643" s="323"/>
      <c r="HG643" s="323"/>
      <c r="HH643" s="323"/>
      <c r="HI643" s="323"/>
      <c r="HJ643" s="323"/>
      <c r="HK643" s="323"/>
      <c r="HL643" s="323"/>
      <c r="HM643" s="323"/>
      <c r="HN643" s="323"/>
      <c r="HO643" s="323"/>
      <c r="HP643" s="323"/>
      <c r="HQ643" s="323"/>
      <c r="HR643" s="323"/>
      <c r="HS643" s="323"/>
      <c r="HT643" s="323"/>
      <c r="HU643" s="323"/>
      <c r="HV643" s="323"/>
      <c r="HW643" s="323"/>
      <c r="HX643" s="323"/>
      <c r="HY643" s="323"/>
      <c r="HZ643" s="326"/>
      <c r="IA643" s="328" t="s">
        <v>954</v>
      </c>
      <c r="IB643" s="328"/>
      <c r="IC643" s="328"/>
      <c r="ID643" s="323">
        <f>+FISC!Z852</f>
        <v>-2.5</v>
      </c>
      <c r="IE643" s="279">
        <f>SUM(CQ643:CV643)</f>
        <v>-2.0986217900694402</v>
      </c>
      <c r="IF643" s="279">
        <f>SUM(CW643:DB643)</f>
        <v>-2.0337204000000001E-2</v>
      </c>
      <c r="IG643" s="323">
        <f>SUM(CQ643:DB643)</f>
        <v>-2.1189589940694398</v>
      </c>
      <c r="IH643" s="279">
        <f>+SUM(DC643:DH643)</f>
        <v>-1.190265855</v>
      </c>
      <c r="II643" s="279">
        <f>+SUM(DI643:DN643)</f>
        <v>-0.28379643199999999</v>
      </c>
      <c r="IJ643" s="323">
        <f>IH643+II643</f>
        <v>-1.474062287</v>
      </c>
      <c r="IK643" s="279">
        <f>+SUM(DO643:DT643)</f>
        <v>0</v>
      </c>
      <c r="IL643" s="279">
        <f t="shared" si="535"/>
        <v>-9.0864968659999992</v>
      </c>
      <c r="IM643" s="323">
        <f t="shared" si="503"/>
        <v>-9.0864968659999992</v>
      </c>
      <c r="IN643" s="279">
        <v>0</v>
      </c>
      <c r="IO643" s="279">
        <f t="shared" si="530"/>
        <v>-0.98998876200000008</v>
      </c>
      <c r="IP643" s="323">
        <f>FISC!AC852</f>
        <v>-0.98998876200000008</v>
      </c>
      <c r="IQ643" s="279">
        <f t="shared" si="536"/>
        <v>-0.27783086600000001</v>
      </c>
      <c r="IR643" s="279">
        <f t="shared" si="537"/>
        <v>0</v>
      </c>
      <c r="IS643" s="323">
        <f t="shared" si="407"/>
        <v>-0.27783086600000001</v>
      </c>
      <c r="IT643" s="327"/>
      <c r="IU643" s="327"/>
      <c r="IV643" s="1054">
        <f>+FISC!AE852</f>
        <v>0</v>
      </c>
      <c r="IW643" s="279">
        <f>IY643*JU643</f>
        <v>0</v>
      </c>
      <c r="IX643" s="279">
        <f t="shared" si="486"/>
        <v>0</v>
      </c>
      <c r="IY643" s="323">
        <f>+FISC!AF852</f>
        <v>0</v>
      </c>
      <c r="IZ643" s="279">
        <f t="shared" si="498"/>
        <v>0</v>
      </c>
      <c r="JA643" s="279">
        <f t="shared" ref="JA643:JA700" si="540">JB643-IZ643</f>
        <v>0</v>
      </c>
      <c r="JB643" s="323">
        <f>+FISC!AG852</f>
        <v>0</v>
      </c>
      <c r="JC643" s="279">
        <f t="shared" si="499"/>
        <v>0</v>
      </c>
      <c r="JD643" s="279">
        <f t="shared" si="487"/>
        <v>0</v>
      </c>
      <c r="JE643" s="323">
        <f>+FISC!AH852</f>
        <v>0</v>
      </c>
      <c r="JF643" s="279">
        <f t="shared" si="500"/>
        <v>0</v>
      </c>
      <c r="JG643" s="279">
        <f t="shared" si="488"/>
        <v>0</v>
      </c>
      <c r="JH643" s="323">
        <f>+FISC!AI852</f>
        <v>0</v>
      </c>
      <c r="JI643" s="279">
        <f t="shared" si="501"/>
        <v>0</v>
      </c>
      <c r="JJ643" s="279">
        <f t="shared" si="489"/>
        <v>0</v>
      </c>
      <c r="JK643" s="323">
        <f>+FISC!AJ852</f>
        <v>0</v>
      </c>
      <c r="JL643" s="279">
        <f t="shared" si="502"/>
        <v>0</v>
      </c>
      <c r="JM643" s="279">
        <f t="shared" si="490"/>
        <v>0</v>
      </c>
      <c r="JN643" s="323">
        <f>+FISC!AK852</f>
        <v>0</v>
      </c>
      <c r="JO643" s="323"/>
      <c r="KU643" s="326"/>
      <c r="KV643" s="327"/>
    </row>
    <row r="644" spans="1:314" hidden="1">
      <c r="A644" s="279"/>
      <c r="D644" s="328" t="str">
        <f>+FISC!D853</f>
        <v>Bugesera airport (govt equity contribution, local spending)</v>
      </c>
      <c r="E644" s="323"/>
      <c r="F644" s="323"/>
      <c r="G644" s="323"/>
      <c r="H644" s="323"/>
      <c r="I644" s="323"/>
      <c r="J644" s="323"/>
      <c r="K644" s="323"/>
      <c r="L644" s="323"/>
      <c r="M644" s="323"/>
      <c r="N644" s="323"/>
      <c r="O644" s="323"/>
      <c r="P644" s="323"/>
      <c r="Q644" s="323"/>
      <c r="R644" s="323"/>
      <c r="S644" s="323"/>
      <c r="T644" s="323"/>
      <c r="U644" s="323"/>
      <c r="V644" s="323"/>
      <c r="W644" s="323"/>
      <c r="X644" s="323"/>
      <c r="Y644" s="323"/>
      <c r="Z644" s="323"/>
      <c r="AA644" s="323"/>
      <c r="AB644" s="323"/>
      <c r="AC644" s="323"/>
      <c r="AD644" s="323"/>
      <c r="AE644" s="323"/>
      <c r="AF644" s="323"/>
      <c r="AG644" s="323"/>
      <c r="AH644" s="323"/>
      <c r="AI644" s="323"/>
      <c r="AJ644" s="323"/>
      <c r="AK644" s="323"/>
      <c r="AL644" s="323"/>
      <c r="AM644" s="323"/>
      <c r="AN644" s="323"/>
      <c r="AO644" s="323"/>
      <c r="AP644" s="323"/>
      <c r="AQ644" s="323"/>
      <c r="AR644" s="323"/>
      <c r="AS644" s="323"/>
      <c r="AT644" s="323"/>
      <c r="AU644" s="323"/>
      <c r="AV644" s="323"/>
      <c r="AW644" s="323"/>
      <c r="AX644" s="323"/>
      <c r="AY644" s="323"/>
      <c r="AZ644" s="323"/>
      <c r="BA644" s="323"/>
      <c r="BB644" s="323"/>
      <c r="BC644" s="323"/>
      <c r="BD644" s="323"/>
      <c r="BE644" s="323"/>
      <c r="BF644" s="323"/>
      <c r="BG644" s="323"/>
      <c r="BH644" s="323"/>
      <c r="BI644" s="323"/>
      <c r="BJ644" s="323"/>
      <c r="BK644" s="323"/>
      <c r="BL644" s="323"/>
      <c r="BM644" s="323"/>
      <c r="BN644" s="323"/>
      <c r="BO644" s="323"/>
      <c r="BP644" s="323"/>
      <c r="BQ644" s="323"/>
      <c r="BR644" s="323"/>
      <c r="BS644" s="323"/>
      <c r="BT644" s="323"/>
      <c r="BU644" s="323"/>
      <c r="BV644" s="323"/>
      <c r="BW644" s="323"/>
      <c r="BX644" s="323"/>
      <c r="BY644" s="323"/>
      <c r="BZ644" s="323"/>
      <c r="CA644" s="323"/>
      <c r="CB644" s="323"/>
      <c r="CC644" s="323"/>
      <c r="CD644" s="323"/>
      <c r="CE644" s="324"/>
      <c r="CF644" s="323"/>
      <c r="CG644" s="323"/>
      <c r="CH644" s="323"/>
      <c r="CI644" s="323"/>
      <c r="CJ644" s="323"/>
      <c r="CK644" s="323"/>
      <c r="CL644" s="323"/>
      <c r="CM644" s="323"/>
      <c r="CN644" s="323"/>
      <c r="CO644" s="323"/>
      <c r="CP644" s="325"/>
      <c r="CQ644" s="323"/>
      <c r="CR644" s="323"/>
      <c r="CS644" s="323"/>
      <c r="CT644" s="323"/>
      <c r="CU644" s="323"/>
      <c r="CV644" s="323"/>
      <c r="CW644" s="323"/>
      <c r="CX644" s="323"/>
      <c r="CY644" s="323"/>
      <c r="CZ644" s="323"/>
      <c r="DA644" s="323"/>
      <c r="DB644" s="1269"/>
      <c r="DC644" s="323"/>
      <c r="DD644" s="323"/>
      <c r="DE644" s="323"/>
      <c r="DF644" s="323"/>
      <c r="DG644" s="323"/>
      <c r="DH644" s="323"/>
      <c r="DI644" s="323"/>
      <c r="DJ644" s="323"/>
      <c r="DK644" s="323"/>
      <c r="DL644" s="323"/>
      <c r="DM644" s="323"/>
      <c r="DN644" s="325"/>
      <c r="DO644" s="323">
        <f t="shared" ref="DO644:EX644" si="541">DO320</f>
        <v>0</v>
      </c>
      <c r="DP644" s="323">
        <f t="shared" si="541"/>
        <v>0</v>
      </c>
      <c r="DQ644" s="323">
        <f t="shared" si="541"/>
        <v>0</v>
      </c>
      <c r="DR644" s="323">
        <f t="shared" si="541"/>
        <v>0</v>
      </c>
      <c r="DS644" s="323">
        <f t="shared" si="541"/>
        <v>0</v>
      </c>
      <c r="DT644" s="323">
        <f t="shared" si="541"/>
        <v>0</v>
      </c>
      <c r="DU644" s="323">
        <f t="shared" si="541"/>
        <v>0</v>
      </c>
      <c r="DV644" s="323">
        <f t="shared" si="541"/>
        <v>0</v>
      </c>
      <c r="DW644" s="323">
        <f t="shared" si="541"/>
        <v>0</v>
      </c>
      <c r="DX644" s="323">
        <f t="shared" si="541"/>
        <v>4.1500000000000004</v>
      </c>
      <c r="DY644" s="323">
        <f t="shared" si="541"/>
        <v>0</v>
      </c>
      <c r="DZ644" s="325">
        <f t="shared" si="541"/>
        <v>7.35</v>
      </c>
      <c r="EA644" s="323">
        <f t="shared" si="541"/>
        <v>0</v>
      </c>
      <c r="EB644" s="323">
        <f t="shared" si="541"/>
        <v>0</v>
      </c>
      <c r="EC644" s="323">
        <f t="shared" si="541"/>
        <v>0</v>
      </c>
      <c r="ED644" s="323">
        <f t="shared" si="541"/>
        <v>0</v>
      </c>
      <c r="EE644" s="323">
        <f t="shared" si="541"/>
        <v>0</v>
      </c>
      <c r="EF644" s="323">
        <f t="shared" si="541"/>
        <v>9.6253578439999998</v>
      </c>
      <c r="EG644" s="323">
        <f t="shared" si="541"/>
        <v>0</v>
      </c>
      <c r="EH644" s="323">
        <f t="shared" si="541"/>
        <v>0</v>
      </c>
      <c r="EI644" s="323">
        <f t="shared" si="541"/>
        <v>0</v>
      </c>
      <c r="EJ644" s="323">
        <f t="shared" si="541"/>
        <v>0</v>
      </c>
      <c r="EK644" s="323">
        <f t="shared" si="541"/>
        <v>0</v>
      </c>
      <c r="EL644" s="325">
        <f t="shared" si="541"/>
        <v>0</v>
      </c>
      <c r="EM644" s="323">
        <f t="shared" si="541"/>
        <v>0</v>
      </c>
      <c r="EN644" s="323">
        <f t="shared" si="541"/>
        <v>5</v>
      </c>
      <c r="EO644" s="323">
        <f t="shared" si="541"/>
        <v>0</v>
      </c>
      <c r="EP644" s="323">
        <f t="shared" si="541"/>
        <v>0</v>
      </c>
      <c r="EQ644" s="323">
        <f t="shared" si="541"/>
        <v>0</v>
      </c>
      <c r="ER644" s="323">
        <f t="shared" si="541"/>
        <v>0</v>
      </c>
      <c r="ES644" s="323">
        <f t="shared" si="541"/>
        <v>0</v>
      </c>
      <c r="ET644" s="323">
        <f t="shared" si="541"/>
        <v>0</v>
      </c>
      <c r="EU644" s="323">
        <f t="shared" si="541"/>
        <v>0</v>
      </c>
      <c r="EV644" s="323">
        <f t="shared" si="541"/>
        <v>0</v>
      </c>
      <c r="EW644" s="323">
        <f t="shared" si="541"/>
        <v>0</v>
      </c>
      <c r="EX644" s="325">
        <f t="shared" si="541"/>
        <v>0</v>
      </c>
      <c r="EY644" s="323"/>
      <c r="EZ644" s="323"/>
      <c r="FA644" s="323"/>
      <c r="FB644" s="323"/>
      <c r="FC644" s="323"/>
      <c r="FD644" s="323"/>
      <c r="FE644" s="323"/>
      <c r="FF644" s="323"/>
      <c r="FG644" s="323"/>
      <c r="FH644" s="323"/>
      <c r="FI644" s="323"/>
      <c r="FJ644" s="325"/>
      <c r="FK644" s="323"/>
      <c r="FL644" s="323"/>
      <c r="FM644" s="323"/>
      <c r="FN644" s="323"/>
      <c r="FO644" s="323"/>
      <c r="FP644" s="323"/>
      <c r="FQ644" s="323"/>
      <c r="FR644" s="323"/>
      <c r="FS644" s="323"/>
      <c r="FT644" s="323"/>
      <c r="FU644" s="323"/>
      <c r="FV644" s="323"/>
      <c r="FW644" s="323"/>
      <c r="FX644" s="323"/>
      <c r="FY644" s="323"/>
      <c r="FZ644" s="323"/>
      <c r="GA644" s="323"/>
      <c r="GB644" s="323"/>
      <c r="GC644" s="323"/>
      <c r="GD644" s="323"/>
      <c r="GE644" s="323"/>
      <c r="GF644" s="323"/>
      <c r="GG644" s="323"/>
      <c r="GH644" s="323"/>
      <c r="GI644" s="323"/>
      <c r="GJ644" s="323"/>
      <c r="GK644" s="323"/>
      <c r="GL644" s="323"/>
      <c r="GM644" s="323"/>
      <c r="GN644" s="323"/>
      <c r="GO644" s="323"/>
      <c r="GP644" s="323"/>
      <c r="GQ644" s="323"/>
      <c r="GR644" s="323"/>
      <c r="GS644" s="323"/>
      <c r="GT644" s="323"/>
      <c r="GU644" s="323"/>
      <c r="GV644" s="323"/>
      <c r="GW644" s="323"/>
      <c r="GX644" s="323"/>
      <c r="GY644" s="323"/>
      <c r="GZ644" s="323"/>
      <c r="HA644" s="323"/>
      <c r="HB644" s="323"/>
      <c r="HC644" s="323"/>
      <c r="HD644" s="323"/>
      <c r="HE644" s="323"/>
      <c r="HF644" s="323"/>
      <c r="HG644" s="323"/>
      <c r="HH644" s="323"/>
      <c r="HI644" s="323"/>
      <c r="HJ644" s="323"/>
      <c r="HK644" s="323"/>
      <c r="HL644" s="323"/>
      <c r="HM644" s="323"/>
      <c r="HN644" s="323"/>
      <c r="HO644" s="323"/>
      <c r="HP644" s="323"/>
      <c r="HQ644" s="323"/>
      <c r="HR644" s="323"/>
      <c r="HS644" s="323"/>
      <c r="HT644" s="323"/>
      <c r="HU644" s="323"/>
      <c r="HV644" s="323"/>
      <c r="HW644" s="323"/>
      <c r="HX644" s="323"/>
      <c r="HY644" s="323"/>
      <c r="HZ644" s="326"/>
      <c r="IA644" s="328" t="s">
        <v>805</v>
      </c>
      <c r="IB644" s="328"/>
      <c r="IC644" s="328"/>
      <c r="ID644" s="323"/>
      <c r="IG644" s="323"/>
      <c r="IJ644" s="323"/>
      <c r="IK644" s="279">
        <f>SUM(DO644:DT644)</f>
        <v>0</v>
      </c>
      <c r="IL644" s="279">
        <f t="shared" si="535"/>
        <v>11.5</v>
      </c>
      <c r="IM644" s="323">
        <f t="shared" si="503"/>
        <v>11.5</v>
      </c>
      <c r="IN644" s="279">
        <f>+IP644</f>
        <v>9.6253578439999998</v>
      </c>
      <c r="IO644" s="279">
        <f t="shared" si="530"/>
        <v>0</v>
      </c>
      <c r="IP644" s="323">
        <f>FISC!AC853</f>
        <v>9.6253578439999998</v>
      </c>
      <c r="IQ644" s="279">
        <f t="shared" si="536"/>
        <v>5</v>
      </c>
      <c r="IR644" s="279">
        <f t="shared" si="537"/>
        <v>0</v>
      </c>
      <c r="IS644" s="323">
        <f t="shared" si="407"/>
        <v>5</v>
      </c>
      <c r="IT644" s="327"/>
      <c r="IU644" s="327"/>
      <c r="IV644" s="323"/>
      <c r="IW644" s="279">
        <f>IY644*JU644</f>
        <v>0</v>
      </c>
      <c r="IX644" s="279">
        <f t="shared" si="486"/>
        <v>0</v>
      </c>
      <c r="IY644" s="323"/>
      <c r="IZ644" s="279">
        <f t="shared" si="498"/>
        <v>0</v>
      </c>
      <c r="JA644" s="279">
        <f t="shared" si="540"/>
        <v>0</v>
      </c>
      <c r="JB644" s="323"/>
      <c r="JC644" s="279">
        <f t="shared" si="499"/>
        <v>0</v>
      </c>
      <c r="JD644" s="279">
        <f t="shared" si="487"/>
        <v>0</v>
      </c>
      <c r="JE644" s="323"/>
      <c r="JF644" s="279">
        <f t="shared" si="500"/>
        <v>0</v>
      </c>
      <c r="JG644" s="279">
        <f t="shared" si="488"/>
        <v>0</v>
      </c>
      <c r="JH644" s="323"/>
      <c r="JI644" s="279">
        <f t="shared" si="501"/>
        <v>0</v>
      </c>
      <c r="JJ644" s="279">
        <f t="shared" si="489"/>
        <v>0</v>
      </c>
      <c r="JK644" s="323"/>
      <c r="JL644" s="279">
        <f t="shared" si="502"/>
        <v>0</v>
      </c>
      <c r="JM644" s="279">
        <f t="shared" si="490"/>
        <v>0</v>
      </c>
      <c r="JN644" s="323"/>
      <c r="JO644" s="323"/>
      <c r="KU644" s="326"/>
      <c r="KV644" s="327"/>
    </row>
    <row r="645" spans="1:314" hidden="1">
      <c r="A645" s="279"/>
      <c r="B645" s="96" t="s">
        <v>338</v>
      </c>
      <c r="D645" s="328" t="str">
        <f>+FISC!D854</f>
        <v>KCC Loan repayment</v>
      </c>
      <c r="E645" s="323"/>
      <c r="F645" s="323"/>
      <c r="G645" s="323"/>
      <c r="H645" s="323"/>
      <c r="I645" s="323"/>
      <c r="J645" s="323"/>
      <c r="K645" s="323"/>
      <c r="L645" s="323"/>
      <c r="M645" s="323"/>
      <c r="N645" s="323"/>
      <c r="O645" s="323"/>
      <c r="P645" s="323"/>
      <c r="Q645" s="323"/>
      <c r="R645" s="323"/>
      <c r="S645" s="323"/>
      <c r="T645" s="323"/>
      <c r="U645" s="323"/>
      <c r="V645" s="323"/>
      <c r="W645" s="323"/>
      <c r="X645" s="323"/>
      <c r="Y645" s="323"/>
      <c r="Z645" s="323"/>
      <c r="AA645" s="323"/>
      <c r="AB645" s="323"/>
      <c r="AC645" s="323"/>
      <c r="AD645" s="323"/>
      <c r="AE645" s="323"/>
      <c r="AF645" s="323"/>
      <c r="AG645" s="323"/>
      <c r="AH645" s="323"/>
      <c r="AI645" s="323"/>
      <c r="AJ645" s="323"/>
      <c r="AK645" s="323"/>
      <c r="AL645" s="323"/>
      <c r="AM645" s="323"/>
      <c r="AN645" s="323"/>
      <c r="AO645" s="323"/>
      <c r="AP645" s="323"/>
      <c r="AQ645" s="323"/>
      <c r="AR645" s="323"/>
      <c r="AS645" s="323"/>
      <c r="AT645" s="323"/>
      <c r="AU645" s="323"/>
      <c r="AV645" s="323"/>
      <c r="AW645" s="323"/>
      <c r="AX645" s="323"/>
      <c r="AY645" s="323"/>
      <c r="AZ645" s="323"/>
      <c r="BA645" s="323"/>
      <c r="BB645" s="323"/>
      <c r="BC645" s="323"/>
      <c r="BD645" s="323"/>
      <c r="BE645" s="323"/>
      <c r="BF645" s="323"/>
      <c r="BG645" s="323"/>
      <c r="BH645" s="323"/>
      <c r="BI645" s="323"/>
      <c r="BJ645" s="323"/>
      <c r="BK645" s="323"/>
      <c r="BL645" s="323"/>
      <c r="BM645" s="323"/>
      <c r="BN645" s="323"/>
      <c r="BO645" s="323"/>
      <c r="BP645" s="323"/>
      <c r="BQ645" s="323"/>
      <c r="BR645" s="323"/>
      <c r="BS645" s="323"/>
      <c r="BT645" s="323"/>
      <c r="BU645" s="323"/>
      <c r="BV645" s="323"/>
      <c r="BW645" s="323"/>
      <c r="BX645" s="323"/>
      <c r="BY645" s="323"/>
      <c r="BZ645" s="323"/>
      <c r="CA645" s="323"/>
      <c r="CB645" s="323"/>
      <c r="CC645" s="323"/>
      <c r="CD645" s="323"/>
      <c r="CE645" s="324"/>
      <c r="CF645" s="323"/>
      <c r="CG645" s="323"/>
      <c r="CH645" s="323"/>
      <c r="CI645" s="323"/>
      <c r="CJ645" s="323"/>
      <c r="CK645" s="323"/>
      <c r="CL645" s="323"/>
      <c r="CM645" s="323"/>
      <c r="CN645" s="323"/>
      <c r="CO645" s="323"/>
      <c r="CP645" s="325"/>
      <c r="CQ645" s="323"/>
      <c r="CR645" s="323"/>
      <c r="CS645" s="323"/>
      <c r="CT645" s="323"/>
      <c r="CU645" s="323"/>
      <c r="CV645" s="323"/>
      <c r="CW645" s="323"/>
      <c r="CX645" s="323"/>
      <c r="CY645" s="323"/>
      <c r="CZ645" s="323"/>
      <c r="DA645" s="323"/>
      <c r="DB645" s="1269"/>
      <c r="DC645" s="323"/>
      <c r="DD645" s="323"/>
      <c r="DE645" s="323"/>
      <c r="DF645" s="323"/>
      <c r="DG645" s="323"/>
      <c r="DH645" s="323"/>
      <c r="DI645" s="323"/>
      <c r="DJ645" s="323"/>
      <c r="DK645" s="323"/>
      <c r="DL645" s="323"/>
      <c r="DM645" s="323"/>
      <c r="DN645" s="325"/>
      <c r="DO645" s="323"/>
      <c r="DP645" s="323"/>
      <c r="DQ645" s="323"/>
      <c r="DR645" s="323"/>
      <c r="DS645" s="323"/>
      <c r="DT645" s="323"/>
      <c r="DU645" s="323"/>
      <c r="DV645" s="323"/>
      <c r="DW645" s="323"/>
      <c r="DX645" s="323"/>
      <c r="DY645" s="323"/>
      <c r="DZ645" s="325"/>
      <c r="EA645" s="323"/>
      <c r="EB645" s="323"/>
      <c r="EC645" s="323"/>
      <c r="ED645" s="323"/>
      <c r="EE645" s="323"/>
      <c r="EF645" s="323"/>
      <c r="EG645" s="323"/>
      <c r="EH645" s="323"/>
      <c r="EI645" s="323"/>
      <c r="EJ645" s="323"/>
      <c r="EK645" s="323"/>
      <c r="EL645" s="325"/>
      <c r="EM645" s="323"/>
      <c r="EN645" s="323"/>
      <c r="EO645" s="323"/>
      <c r="EP645" s="323"/>
      <c r="EQ645" s="323"/>
      <c r="ER645" s="323"/>
      <c r="ES645" s="323"/>
      <c r="ET645" s="323"/>
      <c r="EU645" s="323"/>
      <c r="EV645" s="323"/>
      <c r="EW645" s="323"/>
      <c r="EX645" s="325"/>
      <c r="EY645" s="323"/>
      <c r="EZ645" s="323"/>
      <c r="FA645" s="323"/>
      <c r="FB645" s="323"/>
      <c r="FC645" s="323"/>
      <c r="FD645" s="323"/>
      <c r="FE645" s="323"/>
      <c r="FF645" s="323"/>
      <c r="FG645" s="323"/>
      <c r="FH645" s="323"/>
      <c r="FI645" s="323"/>
      <c r="FJ645" s="325"/>
      <c r="FK645" s="323"/>
      <c r="FL645" s="323"/>
      <c r="FM645" s="323"/>
      <c r="FN645" s="323"/>
      <c r="FO645" s="323"/>
      <c r="FP645" s="323"/>
      <c r="FQ645" s="323"/>
      <c r="FR645" s="323"/>
      <c r="FS645" s="323"/>
      <c r="FT645" s="323"/>
      <c r="FU645" s="323"/>
      <c r="FV645" s="323"/>
      <c r="FW645" s="323"/>
      <c r="FX645" s="323"/>
      <c r="FY645" s="323"/>
      <c r="FZ645" s="323"/>
      <c r="GA645" s="323"/>
      <c r="GB645" s="323"/>
      <c r="GC645" s="323"/>
      <c r="GD645" s="323"/>
      <c r="GE645" s="323"/>
      <c r="GF645" s="323"/>
      <c r="GG645" s="323"/>
      <c r="GH645" s="323"/>
      <c r="GI645" s="323"/>
      <c r="GJ645" s="323"/>
      <c r="GK645" s="323"/>
      <c r="GL645" s="323"/>
      <c r="GM645" s="323"/>
      <c r="GN645" s="323"/>
      <c r="GO645" s="323"/>
      <c r="GP645" s="323"/>
      <c r="GQ645" s="323"/>
      <c r="GR645" s="323"/>
      <c r="GS645" s="323"/>
      <c r="GT645" s="323"/>
      <c r="GU645" s="323"/>
      <c r="GV645" s="323"/>
      <c r="GW645" s="323"/>
      <c r="GX645" s="323"/>
      <c r="GY645" s="323"/>
      <c r="GZ645" s="323"/>
      <c r="HA645" s="323"/>
      <c r="HB645" s="323"/>
      <c r="HC645" s="323"/>
      <c r="HD645" s="323"/>
      <c r="HE645" s="323"/>
      <c r="HF645" s="323"/>
      <c r="HG645" s="323"/>
      <c r="HH645" s="323"/>
      <c r="HI645" s="323"/>
      <c r="HJ645" s="323"/>
      <c r="HK645" s="323"/>
      <c r="HL645" s="323"/>
      <c r="HM645" s="323"/>
      <c r="HN645" s="323"/>
      <c r="HO645" s="323"/>
      <c r="HP645" s="323"/>
      <c r="HQ645" s="323"/>
      <c r="HR645" s="323"/>
      <c r="HS645" s="323"/>
      <c r="HT645" s="323"/>
      <c r="HU645" s="323"/>
      <c r="HV645" s="323"/>
      <c r="HW645" s="323"/>
      <c r="HX645" s="323"/>
      <c r="HY645" s="323"/>
      <c r="HZ645" s="326"/>
      <c r="IA645" s="328" t="s">
        <v>1123</v>
      </c>
      <c r="IB645" s="328"/>
      <c r="IC645" s="328"/>
      <c r="ID645" s="323">
        <f>+FISC!Z854</f>
        <v>0</v>
      </c>
      <c r="IE645" s="279">
        <f>SUM(CQ645:CV645)</f>
        <v>0</v>
      </c>
      <c r="IF645" s="279">
        <f>SUM(CW645:DB645)</f>
        <v>0</v>
      </c>
      <c r="IG645" s="323">
        <f>SUM(CQ645:DB645)</f>
        <v>0</v>
      </c>
      <c r="IH645" s="279">
        <f>+SUM(DC645:DH645)</f>
        <v>0</v>
      </c>
      <c r="II645" s="279">
        <f>+SUM(DI645:DN645)</f>
        <v>0</v>
      </c>
      <c r="IJ645" s="323">
        <v>0</v>
      </c>
      <c r="IK645" s="279">
        <f>+SUM(DO645:DT645)</f>
        <v>0</v>
      </c>
      <c r="IL645" s="279">
        <f t="shared" si="535"/>
        <v>0</v>
      </c>
      <c r="IM645" s="323">
        <f t="shared" si="503"/>
        <v>0</v>
      </c>
      <c r="IN645" s="279">
        <f>+IP645/2</f>
        <v>0</v>
      </c>
      <c r="IO645" s="279">
        <f t="shared" si="530"/>
        <v>0</v>
      </c>
      <c r="IP645" s="323">
        <f>FISC!AC854</f>
        <v>0</v>
      </c>
      <c r="IQ645" s="279">
        <f t="shared" si="536"/>
        <v>0</v>
      </c>
      <c r="IR645" s="279">
        <f t="shared" si="537"/>
        <v>0</v>
      </c>
      <c r="IS645" s="323">
        <f t="shared" si="407"/>
        <v>0</v>
      </c>
      <c r="IT645" s="279">
        <f>IV645</f>
        <v>0</v>
      </c>
      <c r="IU645" s="279">
        <f>(IV645-IT645)</f>
        <v>0</v>
      </c>
      <c r="IV645" s="323">
        <f>+FISC!AE854</f>
        <v>0</v>
      </c>
      <c r="IW645" s="279">
        <f>IY645</f>
        <v>0</v>
      </c>
      <c r="IX645" s="279">
        <f t="shared" si="486"/>
        <v>0</v>
      </c>
      <c r="IY645" s="323">
        <f>+FISC!AF854</f>
        <v>0</v>
      </c>
      <c r="IZ645" s="279">
        <f t="shared" si="498"/>
        <v>0</v>
      </c>
      <c r="JA645" s="279">
        <f t="shared" si="540"/>
        <v>0</v>
      </c>
      <c r="JB645" s="323">
        <f>+FISC!AG854</f>
        <v>0</v>
      </c>
      <c r="JC645" s="279">
        <f t="shared" si="499"/>
        <v>0</v>
      </c>
      <c r="JD645" s="279">
        <f t="shared" si="487"/>
        <v>0</v>
      </c>
      <c r="JE645" s="323">
        <f>+FISC!AH854</f>
        <v>0</v>
      </c>
      <c r="JF645" s="279">
        <f t="shared" si="500"/>
        <v>0</v>
      </c>
      <c r="JG645" s="279">
        <f t="shared" si="488"/>
        <v>0</v>
      </c>
      <c r="JH645" s="323">
        <f>+FISC!AI854</f>
        <v>0</v>
      </c>
      <c r="JI645" s="279">
        <f t="shared" si="501"/>
        <v>0</v>
      </c>
      <c r="JJ645" s="279">
        <f t="shared" si="489"/>
        <v>0</v>
      </c>
      <c r="JK645" s="323">
        <f>+FISC!AJ854</f>
        <v>0</v>
      </c>
      <c r="JL645" s="279">
        <f t="shared" si="502"/>
        <v>0</v>
      </c>
      <c r="JM645" s="279">
        <f t="shared" si="490"/>
        <v>0</v>
      </c>
      <c r="JN645" s="323">
        <f>+FISC!AK854</f>
        <v>0</v>
      </c>
      <c r="JO645" s="323"/>
      <c r="KU645" s="326"/>
      <c r="KV645" s="327"/>
    </row>
    <row r="646" spans="1:314" hidden="1">
      <c r="A646" s="279"/>
      <c r="B646" s="96" t="s">
        <v>338</v>
      </c>
      <c r="D646" s="328" t="str">
        <f>+FISC!D855</f>
        <v>KCC Working capital (interest)</v>
      </c>
      <c r="E646" s="323"/>
      <c r="F646" s="323"/>
      <c r="G646" s="323"/>
      <c r="H646" s="323"/>
      <c r="I646" s="323"/>
      <c r="J646" s="323"/>
      <c r="K646" s="323"/>
      <c r="L646" s="323"/>
      <c r="M646" s="323"/>
      <c r="N646" s="323"/>
      <c r="O646" s="323"/>
      <c r="P646" s="323"/>
      <c r="Q646" s="323"/>
      <c r="R646" s="323"/>
      <c r="S646" s="323"/>
      <c r="T646" s="323"/>
      <c r="U646" s="323"/>
      <c r="V646" s="323"/>
      <c r="W646" s="323"/>
      <c r="X646" s="323"/>
      <c r="Y646" s="323"/>
      <c r="Z646" s="323"/>
      <c r="AA646" s="323"/>
      <c r="AB646" s="323"/>
      <c r="AC646" s="323"/>
      <c r="AD646" s="323"/>
      <c r="AE646" s="323"/>
      <c r="AF646" s="323"/>
      <c r="AG646" s="323"/>
      <c r="AH646" s="323"/>
      <c r="AI646" s="323"/>
      <c r="AJ646" s="323"/>
      <c r="AK646" s="323"/>
      <c r="AL646" s="323"/>
      <c r="AM646" s="323"/>
      <c r="AN646" s="323"/>
      <c r="AO646" s="323"/>
      <c r="AP646" s="323"/>
      <c r="AQ646" s="323"/>
      <c r="AR646" s="323"/>
      <c r="AS646" s="323"/>
      <c r="AT646" s="323"/>
      <c r="AU646" s="323"/>
      <c r="AV646" s="323"/>
      <c r="AW646" s="323"/>
      <c r="AX646" s="323"/>
      <c r="AY646" s="323"/>
      <c r="AZ646" s="323"/>
      <c r="BA646" s="323"/>
      <c r="BB646" s="323"/>
      <c r="BC646" s="323"/>
      <c r="BD646" s="323"/>
      <c r="BE646" s="323"/>
      <c r="BF646" s="323"/>
      <c r="BG646" s="323"/>
      <c r="BH646" s="323"/>
      <c r="BI646" s="323"/>
      <c r="BJ646" s="323"/>
      <c r="BK646" s="323"/>
      <c r="BL646" s="323"/>
      <c r="BM646" s="323"/>
      <c r="BN646" s="323"/>
      <c r="BO646" s="323"/>
      <c r="BP646" s="323"/>
      <c r="BQ646" s="323"/>
      <c r="BR646" s="323"/>
      <c r="BS646" s="323"/>
      <c r="BT646" s="323"/>
      <c r="BU646" s="323"/>
      <c r="BV646" s="323"/>
      <c r="BW646" s="323"/>
      <c r="BX646" s="323"/>
      <c r="BY646" s="323"/>
      <c r="BZ646" s="323"/>
      <c r="CA646" s="323"/>
      <c r="CB646" s="323"/>
      <c r="CC646" s="323"/>
      <c r="CD646" s="323"/>
      <c r="CE646" s="324">
        <f t="shared" ref="CE646:DB646" si="542">CE318</f>
        <v>0</v>
      </c>
      <c r="CF646" s="323">
        <f t="shared" si="542"/>
        <v>14.183386008999999</v>
      </c>
      <c r="CG646" s="323">
        <f t="shared" si="542"/>
        <v>1.3150049660000001</v>
      </c>
      <c r="CH646" s="323">
        <f t="shared" si="542"/>
        <v>0</v>
      </c>
      <c r="CI646" s="323">
        <f t="shared" si="542"/>
        <v>0</v>
      </c>
      <c r="CJ646" s="323">
        <f t="shared" si="542"/>
        <v>0</v>
      </c>
      <c r="CK646" s="323">
        <f t="shared" si="542"/>
        <v>6.8012285700000001</v>
      </c>
      <c r="CL646" s="323">
        <f t="shared" si="542"/>
        <v>0</v>
      </c>
      <c r="CM646" s="323">
        <f t="shared" si="542"/>
        <v>13.671248</v>
      </c>
      <c r="CN646" s="323">
        <f t="shared" si="542"/>
        <v>0</v>
      </c>
      <c r="CO646" s="323">
        <f t="shared" si="542"/>
        <v>0</v>
      </c>
      <c r="CP646" s="325">
        <f t="shared" si="542"/>
        <v>13.7748042</v>
      </c>
      <c r="CQ646" s="323">
        <f t="shared" si="542"/>
        <v>0</v>
      </c>
      <c r="CR646" s="323">
        <f t="shared" si="542"/>
        <v>0</v>
      </c>
      <c r="CS646" s="323">
        <f t="shared" si="542"/>
        <v>0</v>
      </c>
      <c r="CT646" s="323">
        <f t="shared" si="542"/>
        <v>0</v>
      </c>
      <c r="CU646" s="323">
        <f t="shared" si="542"/>
        <v>0</v>
      </c>
      <c r="CV646" s="323">
        <f t="shared" si="542"/>
        <v>0</v>
      </c>
      <c r="CW646" s="323">
        <f t="shared" si="542"/>
        <v>0</v>
      </c>
      <c r="CX646" s="323">
        <f t="shared" si="542"/>
        <v>0</v>
      </c>
      <c r="CY646" s="323">
        <f t="shared" si="542"/>
        <v>0</v>
      </c>
      <c r="CZ646" s="323">
        <f t="shared" si="542"/>
        <v>0</v>
      </c>
      <c r="DA646" s="323">
        <f t="shared" si="542"/>
        <v>0</v>
      </c>
      <c r="DB646" s="1269">
        <f t="shared" si="542"/>
        <v>0</v>
      </c>
      <c r="DC646" s="323">
        <f t="shared" ref="DC646:EX646" si="543">DC318+DC317</f>
        <v>0</v>
      </c>
      <c r="DD646" s="323">
        <f t="shared" si="543"/>
        <v>10.047593833000001</v>
      </c>
      <c r="DE646" s="323">
        <f t="shared" si="543"/>
        <v>5.2989860530000001</v>
      </c>
      <c r="DF646" s="323">
        <f t="shared" si="543"/>
        <v>0</v>
      </c>
      <c r="DG646" s="323">
        <f t="shared" si="543"/>
        <v>0</v>
      </c>
      <c r="DH646" s="323">
        <f t="shared" si="543"/>
        <v>0</v>
      </c>
      <c r="DI646" s="323">
        <f t="shared" si="543"/>
        <v>0</v>
      </c>
      <c r="DJ646" s="323">
        <f t="shared" si="543"/>
        <v>0</v>
      </c>
      <c r="DK646" s="323">
        <f t="shared" si="543"/>
        <v>0</v>
      </c>
      <c r="DL646" s="323">
        <f t="shared" si="543"/>
        <v>0</v>
      </c>
      <c r="DM646" s="323">
        <f t="shared" si="543"/>
        <v>0</v>
      </c>
      <c r="DN646" s="325">
        <f t="shared" si="543"/>
        <v>4</v>
      </c>
      <c r="DO646" s="323">
        <f t="shared" si="543"/>
        <v>0</v>
      </c>
      <c r="DP646" s="323">
        <f t="shared" si="543"/>
        <v>0</v>
      </c>
      <c r="DQ646" s="323">
        <f t="shared" si="543"/>
        <v>0</v>
      </c>
      <c r="DR646" s="323">
        <f t="shared" si="543"/>
        <v>0</v>
      </c>
      <c r="DS646" s="323">
        <f t="shared" si="543"/>
        <v>0</v>
      </c>
      <c r="DT646" s="323">
        <f t="shared" si="543"/>
        <v>0</v>
      </c>
      <c r="DU646" s="323">
        <f t="shared" si="543"/>
        <v>0</v>
      </c>
      <c r="DV646" s="323">
        <f t="shared" si="543"/>
        <v>0</v>
      </c>
      <c r="DW646" s="323">
        <f t="shared" si="543"/>
        <v>0</v>
      </c>
      <c r="DX646" s="323">
        <f t="shared" si="543"/>
        <v>0</v>
      </c>
      <c r="DY646" s="323">
        <f t="shared" si="543"/>
        <v>0</v>
      </c>
      <c r="DZ646" s="325">
        <f t="shared" si="543"/>
        <v>0</v>
      </c>
      <c r="EA646" s="323">
        <f t="shared" si="543"/>
        <v>0</v>
      </c>
      <c r="EB646" s="323">
        <f t="shared" si="543"/>
        <v>2.4822225320000002</v>
      </c>
      <c r="EC646" s="323">
        <f t="shared" si="543"/>
        <v>2.301061716</v>
      </c>
      <c r="ED646" s="323">
        <f t="shared" si="543"/>
        <v>0</v>
      </c>
      <c r="EE646" s="323">
        <f t="shared" si="543"/>
        <v>2.2010924460000001</v>
      </c>
      <c r="EF646" s="323">
        <f t="shared" si="543"/>
        <v>0</v>
      </c>
      <c r="EG646" s="323">
        <f t="shared" si="543"/>
        <v>0</v>
      </c>
      <c r="EH646" s="323">
        <f t="shared" si="543"/>
        <v>0.31044890400000003</v>
      </c>
      <c r="EI646" s="323">
        <f t="shared" si="543"/>
        <v>0</v>
      </c>
      <c r="EJ646" s="323">
        <f t="shared" si="543"/>
        <v>3.8319179239999999</v>
      </c>
      <c r="EK646" s="323">
        <f t="shared" si="543"/>
        <v>0</v>
      </c>
      <c r="EL646" s="325">
        <f t="shared" si="543"/>
        <v>0</v>
      </c>
      <c r="EM646" s="323">
        <f t="shared" si="543"/>
        <v>0</v>
      </c>
      <c r="EN646" s="323">
        <f t="shared" si="543"/>
        <v>3.8014540480000001</v>
      </c>
      <c r="EO646" s="323">
        <f t="shared" si="543"/>
        <v>3.5872649980000002</v>
      </c>
      <c r="EP646" s="323">
        <f t="shared" si="543"/>
        <v>0</v>
      </c>
      <c r="EQ646" s="323">
        <f t="shared" si="543"/>
        <v>0</v>
      </c>
      <c r="ER646" s="323">
        <f t="shared" si="543"/>
        <v>1.50152022</v>
      </c>
      <c r="ES646" s="323">
        <f t="shared" si="543"/>
        <v>2.8859739630000001</v>
      </c>
      <c r="ET646" s="323">
        <f t="shared" si="543"/>
        <v>0</v>
      </c>
      <c r="EU646" s="323">
        <f t="shared" si="543"/>
        <v>1.4644046749999999</v>
      </c>
      <c r="EV646" s="323">
        <f t="shared" si="543"/>
        <v>2.8887351529999998</v>
      </c>
      <c r="EW646" s="323">
        <f t="shared" si="543"/>
        <v>0</v>
      </c>
      <c r="EX646" s="325">
        <f t="shared" si="543"/>
        <v>1.4644046749999999</v>
      </c>
      <c r="EY646" s="323"/>
      <c r="EZ646" s="323"/>
      <c r="FA646" s="323"/>
      <c r="FB646" s="323"/>
      <c r="FC646" s="323"/>
      <c r="FD646" s="323"/>
      <c r="FE646" s="323"/>
      <c r="FF646" s="323"/>
      <c r="FG646" s="323"/>
      <c r="FH646" s="323"/>
      <c r="FI646" s="323"/>
      <c r="FJ646" s="325"/>
      <c r="FK646" s="323"/>
      <c r="FL646" s="323"/>
      <c r="FM646" s="323"/>
      <c r="FN646" s="323"/>
      <c r="FO646" s="323"/>
      <c r="FP646" s="323"/>
      <c r="FQ646" s="323"/>
      <c r="FR646" s="323"/>
      <c r="FS646" s="323"/>
      <c r="FT646" s="323"/>
      <c r="FU646" s="323"/>
      <c r="FV646" s="323"/>
      <c r="FW646" s="323"/>
      <c r="FX646" s="323"/>
      <c r="FY646" s="323"/>
      <c r="FZ646" s="323"/>
      <c r="GA646" s="323"/>
      <c r="GB646" s="323"/>
      <c r="GC646" s="323"/>
      <c r="GD646" s="323"/>
      <c r="GE646" s="323"/>
      <c r="GF646" s="323"/>
      <c r="GG646" s="323"/>
      <c r="GH646" s="323"/>
      <c r="GI646" s="323"/>
      <c r="GJ646" s="323"/>
      <c r="GK646" s="323"/>
      <c r="GL646" s="323"/>
      <c r="GM646" s="323"/>
      <c r="GN646" s="323"/>
      <c r="GO646" s="323"/>
      <c r="GP646" s="323"/>
      <c r="GQ646" s="323"/>
      <c r="GR646" s="323"/>
      <c r="GS646" s="323"/>
      <c r="GT646" s="323"/>
      <c r="GU646" s="323"/>
      <c r="GV646" s="323"/>
      <c r="GW646" s="323"/>
      <c r="GX646" s="323"/>
      <c r="GY646" s="323"/>
      <c r="GZ646" s="323"/>
      <c r="HA646" s="323"/>
      <c r="HB646" s="323"/>
      <c r="HC646" s="323"/>
      <c r="HD646" s="323"/>
      <c r="HE646" s="323"/>
      <c r="HF646" s="323"/>
      <c r="HG646" s="323"/>
      <c r="HH646" s="323"/>
      <c r="HI646" s="323"/>
      <c r="HJ646" s="323"/>
      <c r="HK646" s="323"/>
      <c r="HL646" s="323"/>
      <c r="HM646" s="323"/>
      <c r="HN646" s="323"/>
      <c r="HO646" s="323"/>
      <c r="HP646" s="323"/>
      <c r="HQ646" s="323"/>
      <c r="HR646" s="323"/>
      <c r="HS646" s="323"/>
      <c r="HT646" s="323"/>
      <c r="HU646" s="323"/>
      <c r="HV646" s="323"/>
      <c r="HW646" s="323"/>
      <c r="HX646" s="323"/>
      <c r="HY646" s="323"/>
      <c r="HZ646" s="326"/>
      <c r="IA646" s="328" t="s">
        <v>1083</v>
      </c>
      <c r="IB646" s="328"/>
      <c r="IC646" s="328"/>
      <c r="ID646" s="323">
        <f>+FISC!Z855</f>
        <v>25.7</v>
      </c>
      <c r="IE646" s="279">
        <f>SUM(CQ646:CV646)</f>
        <v>0</v>
      </c>
      <c r="IF646" s="279">
        <f>SUM(CW646:DB646)</f>
        <v>0</v>
      </c>
      <c r="IG646" s="323">
        <f>SUM(CQ646:DB646)</f>
        <v>0</v>
      </c>
      <c r="IH646" s="279">
        <f>+SUM(DC646:DH646)</f>
        <v>15.346579886000001</v>
      </c>
      <c r="II646" s="279">
        <f>+SUM(DI646:DN646)</f>
        <v>4</v>
      </c>
      <c r="IJ646" s="323">
        <f>IH646+II646</f>
        <v>19.346579886000001</v>
      </c>
      <c r="IK646" s="279">
        <f>+SUM(DO646:DT646)</f>
        <v>0</v>
      </c>
      <c r="IL646" s="279">
        <f t="shared" si="535"/>
        <v>0</v>
      </c>
      <c r="IM646" s="323">
        <f t="shared" si="503"/>
        <v>0</v>
      </c>
      <c r="IN646" s="279">
        <v>6.9843766939999998</v>
      </c>
      <c r="IO646" s="279">
        <f t="shared" si="530"/>
        <v>4.1423668280000001</v>
      </c>
      <c r="IP646" s="323">
        <f>FISC!AC855</f>
        <v>11.126743522</v>
      </c>
      <c r="IQ646" s="279">
        <f t="shared" si="536"/>
        <v>8.890239266</v>
      </c>
      <c r="IR646" s="279">
        <f t="shared" si="537"/>
        <v>8.7035184660000002</v>
      </c>
      <c r="IS646" s="323">
        <f t="shared" si="407"/>
        <v>17.593757732</v>
      </c>
      <c r="IT646" s="279">
        <f>+(IV646/2)*0+8.881724847</f>
        <v>8.8817248469999992</v>
      </c>
      <c r="IU646" s="279">
        <f>(IV646-IT646)</f>
        <v>0.15428301113949949</v>
      </c>
      <c r="IV646" s="323">
        <f>+FISC!AE855</f>
        <v>9.0360078581394987</v>
      </c>
      <c r="IW646" s="279">
        <f>+(IY646/2)</f>
        <v>8.0140661550321806</v>
      </c>
      <c r="IX646" s="279">
        <f t="shared" si="486"/>
        <v>8.0140661550321806</v>
      </c>
      <c r="IY646" s="323">
        <f>+FISC!AF855+FISC!AF856</f>
        <v>16.028132310064361</v>
      </c>
      <c r="IZ646" s="279">
        <f>+(JB646/2)</f>
        <v>7.7897671762712504</v>
      </c>
      <c r="JA646" s="279">
        <f t="shared" si="540"/>
        <v>7.7897671762712504</v>
      </c>
      <c r="JB646" s="323">
        <f>+FISC!AG855</f>
        <v>15.579534352542501</v>
      </c>
      <c r="JC646" s="279">
        <f>+(JE646/2)</f>
        <v>8.2007443957829</v>
      </c>
      <c r="JD646" s="279">
        <f t="shared" si="487"/>
        <v>8.2007443957829</v>
      </c>
      <c r="JE646" s="323">
        <f>+FISC!AH855</f>
        <v>16.4014887915658</v>
      </c>
      <c r="JF646" s="279">
        <f>+(JH646/2)</f>
        <v>0</v>
      </c>
      <c r="JG646" s="279">
        <f t="shared" si="488"/>
        <v>0</v>
      </c>
      <c r="JH646" s="323">
        <f>+FISC!AI855</f>
        <v>0</v>
      </c>
      <c r="JI646" s="279">
        <f>+(JK646/2)</f>
        <v>0</v>
      </c>
      <c r="JJ646" s="279">
        <f t="shared" si="489"/>
        <v>0</v>
      </c>
      <c r="JK646" s="323">
        <f>+FISC!AJ855</f>
        <v>0</v>
      </c>
      <c r="JL646" s="279">
        <f>+(JN646/2)</f>
        <v>0</v>
      </c>
      <c r="JM646" s="279">
        <f t="shared" si="490"/>
        <v>0</v>
      </c>
      <c r="JN646" s="323">
        <f>+FISC!AK855</f>
        <v>0</v>
      </c>
      <c r="JO646" s="323"/>
      <c r="KU646" s="326"/>
    </row>
    <row r="647" spans="1:314" hidden="1">
      <c r="A647" s="279"/>
      <c r="D647" s="328" t="s">
        <v>1137</v>
      </c>
      <c r="E647" s="323"/>
      <c r="F647" s="323"/>
      <c r="G647" s="323"/>
      <c r="H647" s="323"/>
      <c r="I647" s="323"/>
      <c r="J647" s="323"/>
      <c r="K647" s="323"/>
      <c r="L647" s="323"/>
      <c r="M647" s="323"/>
      <c r="N647" s="323"/>
      <c r="O647" s="323"/>
      <c r="P647" s="323"/>
      <c r="Q647" s="323"/>
      <c r="R647" s="323"/>
      <c r="S647" s="323"/>
      <c r="T647" s="323"/>
      <c r="U647" s="323"/>
      <c r="V647" s="323"/>
      <c r="W647" s="323"/>
      <c r="X647" s="323"/>
      <c r="Y647" s="323"/>
      <c r="Z647" s="323"/>
      <c r="AA647" s="323"/>
      <c r="AB647" s="323"/>
      <c r="AC647" s="323"/>
      <c r="AD647" s="323"/>
      <c r="AE647" s="323"/>
      <c r="AF647" s="323"/>
      <c r="AG647" s="323"/>
      <c r="AH647" s="323"/>
      <c r="AI647" s="323"/>
      <c r="AJ647" s="323"/>
      <c r="AK647" s="323"/>
      <c r="AL647" s="323"/>
      <c r="AM647" s="323"/>
      <c r="AN647" s="323"/>
      <c r="AO647" s="323"/>
      <c r="AP647" s="323"/>
      <c r="AQ647" s="323"/>
      <c r="AR647" s="323"/>
      <c r="AS647" s="323"/>
      <c r="AT647" s="323"/>
      <c r="AU647" s="323"/>
      <c r="AV647" s="323"/>
      <c r="AW647" s="323"/>
      <c r="AX647" s="323"/>
      <c r="AY647" s="323"/>
      <c r="AZ647" s="323"/>
      <c r="BA647" s="323"/>
      <c r="BB647" s="323"/>
      <c r="BC647" s="323"/>
      <c r="BD647" s="323"/>
      <c r="BE647" s="323"/>
      <c r="BF647" s="323"/>
      <c r="BG647" s="323"/>
      <c r="BH647" s="323"/>
      <c r="BI647" s="323"/>
      <c r="BJ647" s="323"/>
      <c r="BK647" s="323"/>
      <c r="BL647" s="323"/>
      <c r="BM647" s="323"/>
      <c r="BN647" s="323"/>
      <c r="BO647" s="323"/>
      <c r="BP647" s="323"/>
      <c r="BQ647" s="323"/>
      <c r="BR647" s="323"/>
      <c r="BS647" s="323"/>
      <c r="BT647" s="323"/>
      <c r="BU647" s="323"/>
      <c r="BV647" s="323"/>
      <c r="BW647" s="323"/>
      <c r="BX647" s="323"/>
      <c r="BY647" s="323"/>
      <c r="BZ647" s="323"/>
      <c r="CA647" s="323"/>
      <c r="CB647" s="323"/>
      <c r="CC647" s="323"/>
      <c r="CD647" s="323"/>
      <c r="CE647" s="324"/>
      <c r="CF647" s="323"/>
      <c r="CG647" s="323"/>
      <c r="CH647" s="323"/>
      <c r="CI647" s="323"/>
      <c r="CJ647" s="323"/>
      <c r="CK647" s="323"/>
      <c r="CL647" s="323"/>
      <c r="CM647" s="323"/>
      <c r="CN647" s="323"/>
      <c r="CO647" s="323"/>
      <c r="CP647" s="325"/>
      <c r="CQ647" s="323"/>
      <c r="CR647" s="323"/>
      <c r="CS647" s="323"/>
      <c r="CT647" s="323"/>
      <c r="CU647" s="323"/>
      <c r="CV647" s="323"/>
      <c r="CW647" s="323"/>
      <c r="CX647" s="323"/>
      <c r="CY647" s="323"/>
      <c r="CZ647" s="323"/>
      <c r="DA647" s="323"/>
      <c r="DB647" s="1269"/>
      <c r="DC647" s="323"/>
      <c r="DD647" s="323"/>
      <c r="DE647" s="323"/>
      <c r="DF647" s="323"/>
      <c r="DG647" s="323"/>
      <c r="DH647" s="323"/>
      <c r="DI647" s="323"/>
      <c r="DJ647" s="323"/>
      <c r="DK647" s="323"/>
      <c r="DL647" s="323"/>
      <c r="DM647" s="323">
        <f t="shared" ref="DM647:EX647" si="544">DM321</f>
        <v>0</v>
      </c>
      <c r="DN647" s="325">
        <f t="shared" si="544"/>
        <v>0</v>
      </c>
      <c r="DO647" s="323">
        <f t="shared" si="544"/>
        <v>0</v>
      </c>
      <c r="DP647" s="323">
        <f t="shared" si="544"/>
        <v>0</v>
      </c>
      <c r="DQ647" s="323">
        <f t="shared" si="544"/>
        <v>0</v>
      </c>
      <c r="DR647" s="323">
        <f t="shared" si="544"/>
        <v>0</v>
      </c>
      <c r="DS647" s="323">
        <f t="shared" si="544"/>
        <v>0</v>
      </c>
      <c r="DT647" s="323">
        <f t="shared" si="544"/>
        <v>0</v>
      </c>
      <c r="DU647" s="323">
        <f t="shared" si="544"/>
        <v>0</v>
      </c>
      <c r="DV647" s="323">
        <f t="shared" si="544"/>
        <v>0</v>
      </c>
      <c r="DW647" s="323">
        <f t="shared" si="544"/>
        <v>0</v>
      </c>
      <c r="DX647" s="323">
        <f t="shared" si="544"/>
        <v>0</v>
      </c>
      <c r="DY647" s="323">
        <f t="shared" si="544"/>
        <v>0</v>
      </c>
      <c r="DZ647" s="325">
        <f t="shared" si="544"/>
        <v>0</v>
      </c>
      <c r="EA647" s="323">
        <f t="shared" si="544"/>
        <v>0</v>
      </c>
      <c r="EB647" s="323">
        <f t="shared" si="544"/>
        <v>0</v>
      </c>
      <c r="EC647" s="323">
        <f t="shared" si="544"/>
        <v>2.4750000000000001</v>
      </c>
      <c r="ED647" s="323">
        <f t="shared" si="544"/>
        <v>0</v>
      </c>
      <c r="EE647" s="323">
        <f t="shared" si="544"/>
        <v>0</v>
      </c>
      <c r="EF647" s="323">
        <f t="shared" si="544"/>
        <v>0</v>
      </c>
      <c r="EG647" s="323">
        <f t="shared" si="544"/>
        <v>2.4750000000000001</v>
      </c>
      <c r="EH647" s="323">
        <f t="shared" si="544"/>
        <v>0</v>
      </c>
      <c r="EI647" s="323">
        <f t="shared" si="544"/>
        <v>0</v>
      </c>
      <c r="EJ647" s="323">
        <f t="shared" si="544"/>
        <v>2.4750000000000001</v>
      </c>
      <c r="EK647" s="323">
        <f t="shared" si="544"/>
        <v>0</v>
      </c>
      <c r="EL647" s="325">
        <f t="shared" si="544"/>
        <v>0</v>
      </c>
      <c r="EM647" s="323">
        <f t="shared" si="544"/>
        <v>2.4750000000000001</v>
      </c>
      <c r="EN647" s="323">
        <f t="shared" si="544"/>
        <v>0</v>
      </c>
      <c r="EO647" s="323">
        <f t="shared" si="544"/>
        <v>2.4750000000000001</v>
      </c>
      <c r="EP647" s="323">
        <f t="shared" si="544"/>
        <v>0</v>
      </c>
      <c r="EQ647" s="323">
        <f t="shared" si="544"/>
        <v>0</v>
      </c>
      <c r="ER647" s="323">
        <f t="shared" si="544"/>
        <v>2.4750000000000001</v>
      </c>
      <c r="ES647" s="323">
        <f t="shared" si="544"/>
        <v>0</v>
      </c>
      <c r="ET647" s="323">
        <f t="shared" si="544"/>
        <v>0</v>
      </c>
      <c r="EU647" s="323">
        <f t="shared" si="544"/>
        <v>2.4750000000000001</v>
      </c>
      <c r="EV647" s="323">
        <f t="shared" si="544"/>
        <v>0</v>
      </c>
      <c r="EW647" s="323">
        <f t="shared" si="544"/>
        <v>0</v>
      </c>
      <c r="EX647" s="325">
        <f t="shared" si="544"/>
        <v>2.4750000000000001</v>
      </c>
      <c r="EY647" s="323"/>
      <c r="EZ647" s="323"/>
      <c r="FA647" s="323"/>
      <c r="FB647" s="323"/>
      <c r="FC647" s="323"/>
      <c r="FD647" s="323"/>
      <c r="FE647" s="323"/>
      <c r="FF647" s="323"/>
      <c r="FG647" s="323"/>
      <c r="FH647" s="323"/>
      <c r="FI647" s="323"/>
      <c r="FJ647" s="325"/>
      <c r="FK647" s="323"/>
      <c r="FL647" s="323"/>
      <c r="FM647" s="323"/>
      <c r="FN647" s="323"/>
      <c r="FO647" s="323"/>
      <c r="FP647" s="323"/>
      <c r="FQ647" s="323"/>
      <c r="FR647" s="323"/>
      <c r="FS647" s="323"/>
      <c r="FT647" s="323"/>
      <c r="FU647" s="323"/>
      <c r="FV647" s="323"/>
      <c r="FW647" s="323"/>
      <c r="FX647" s="323"/>
      <c r="FY647" s="323"/>
      <c r="FZ647" s="323"/>
      <c r="GA647" s="323"/>
      <c r="GB647" s="323"/>
      <c r="GC647" s="323"/>
      <c r="GD647" s="323"/>
      <c r="GE647" s="323"/>
      <c r="GF647" s="323"/>
      <c r="GG647" s="323"/>
      <c r="GH647" s="323"/>
      <c r="GI647" s="323"/>
      <c r="GJ647" s="323"/>
      <c r="GK647" s="323"/>
      <c r="GL647" s="323"/>
      <c r="GM647" s="323"/>
      <c r="GN647" s="323"/>
      <c r="GO647" s="323"/>
      <c r="GP647" s="323"/>
      <c r="GQ647" s="323"/>
      <c r="GR647" s="323"/>
      <c r="GS647" s="323"/>
      <c r="GT647" s="323"/>
      <c r="GU647" s="323"/>
      <c r="GV647" s="323"/>
      <c r="GW647" s="323"/>
      <c r="GX647" s="323"/>
      <c r="GY647" s="323"/>
      <c r="GZ647" s="323"/>
      <c r="HA647" s="323"/>
      <c r="HB647" s="323"/>
      <c r="HC647" s="323"/>
      <c r="HD647" s="323"/>
      <c r="HE647" s="323"/>
      <c r="HF647" s="323"/>
      <c r="HG647" s="323"/>
      <c r="HH647" s="323"/>
      <c r="HI647" s="323"/>
      <c r="HJ647" s="323"/>
      <c r="HK647" s="323"/>
      <c r="HL647" s="323"/>
      <c r="HM647" s="323"/>
      <c r="HN647" s="323"/>
      <c r="HO647" s="323"/>
      <c r="HP647" s="323"/>
      <c r="HQ647" s="323"/>
      <c r="HR647" s="323"/>
      <c r="HS647" s="323"/>
      <c r="HT647" s="323"/>
      <c r="HU647" s="323"/>
      <c r="HV647" s="323"/>
      <c r="HW647" s="323"/>
      <c r="HX647" s="323"/>
      <c r="HY647" s="323"/>
      <c r="HZ647" s="326"/>
      <c r="IA647" s="328" t="s">
        <v>1137</v>
      </c>
      <c r="IB647" s="328"/>
      <c r="IC647" s="328"/>
      <c r="ID647" s="323"/>
      <c r="IE647" s="327"/>
      <c r="IG647" s="323"/>
      <c r="IJ647" s="323"/>
      <c r="IK647" s="279">
        <f>+SUM(DO647:DT647)</f>
        <v>0</v>
      </c>
      <c r="IL647" s="279">
        <f t="shared" si="535"/>
        <v>0</v>
      </c>
      <c r="IM647" s="323">
        <f>IK647+IL647</f>
        <v>0</v>
      </c>
      <c r="IN647" s="279">
        <f>(IP647/2)*0+2.475</f>
        <v>2.4750000000000001</v>
      </c>
      <c r="IO647" s="279">
        <f t="shared" si="530"/>
        <v>4.9500000000000011</v>
      </c>
      <c r="IP647" s="323">
        <f>FISC!AC857</f>
        <v>7.4250000000000007</v>
      </c>
      <c r="IQ647" s="279">
        <f t="shared" si="536"/>
        <v>7.4250000000000007</v>
      </c>
      <c r="IR647" s="279">
        <f t="shared" si="537"/>
        <v>4.95</v>
      </c>
      <c r="IS647" s="323">
        <f t="shared" si="407"/>
        <v>12.375</v>
      </c>
      <c r="IT647" s="1121">
        <v>0</v>
      </c>
      <c r="IU647" s="279">
        <v>0</v>
      </c>
      <c r="IV647" s="279">
        <v>0</v>
      </c>
      <c r="IW647" s="327">
        <f>+(IY647/2)</f>
        <v>0</v>
      </c>
      <c r="IX647" s="279">
        <f t="shared" si="486"/>
        <v>0</v>
      </c>
      <c r="IY647" s="323">
        <f>+FISC!AF857</f>
        <v>0</v>
      </c>
      <c r="IZ647" s="327">
        <f>+(JB647/2)</f>
        <v>0</v>
      </c>
      <c r="JA647" s="279">
        <f t="shared" si="540"/>
        <v>0</v>
      </c>
      <c r="JB647" s="323">
        <f>+FISC!AG857</f>
        <v>0</v>
      </c>
      <c r="JC647" s="327">
        <f>+(JE647/2)</f>
        <v>0</v>
      </c>
      <c r="JD647" s="279">
        <f t="shared" si="487"/>
        <v>0</v>
      </c>
      <c r="JE647" s="323">
        <f>+FISC!AH857</f>
        <v>0</v>
      </c>
      <c r="JF647" s="327">
        <f>+(JH647/2)</f>
        <v>0</v>
      </c>
      <c r="JG647" s="279">
        <f t="shared" si="488"/>
        <v>0</v>
      </c>
      <c r="JH647" s="323">
        <f>+FISC!AI857</f>
        <v>0</v>
      </c>
      <c r="JI647" s="327">
        <f>+(JK647/2)</f>
        <v>0</v>
      </c>
      <c r="JJ647" s="279">
        <f t="shared" si="489"/>
        <v>0</v>
      </c>
      <c r="JK647" s="323">
        <f>+FISC!AJ857</f>
        <v>0</v>
      </c>
      <c r="JL647" s="327">
        <f>+(JN647/2)</f>
        <v>0</v>
      </c>
      <c r="JM647" s="279">
        <f t="shared" si="490"/>
        <v>0</v>
      </c>
      <c r="JN647" s="323">
        <f>+FISC!AK857</f>
        <v>0</v>
      </c>
      <c r="JO647" s="323"/>
      <c r="KU647" s="326"/>
      <c r="KX647" s="327"/>
    </row>
    <row r="648" spans="1:314" hidden="1">
      <c r="A648" s="279"/>
      <c r="D648" s="328"/>
      <c r="E648" s="323"/>
      <c r="F648" s="323"/>
      <c r="G648" s="323"/>
      <c r="H648" s="323"/>
      <c r="I648" s="323"/>
      <c r="J648" s="323"/>
      <c r="K648" s="323"/>
      <c r="L648" s="323"/>
      <c r="M648" s="323"/>
      <c r="N648" s="323"/>
      <c r="O648" s="323"/>
      <c r="P648" s="323"/>
      <c r="Q648" s="323"/>
      <c r="R648" s="323"/>
      <c r="S648" s="323"/>
      <c r="T648" s="323"/>
      <c r="U648" s="323"/>
      <c r="V648" s="323"/>
      <c r="W648" s="323"/>
      <c r="X648" s="323"/>
      <c r="Y648" s="323"/>
      <c r="Z648" s="323"/>
      <c r="AA648" s="323"/>
      <c r="AB648" s="323"/>
      <c r="AC648" s="323"/>
      <c r="AD648" s="323"/>
      <c r="AE648" s="323"/>
      <c r="AF648" s="323"/>
      <c r="AG648" s="323"/>
      <c r="AH648" s="323"/>
      <c r="AI648" s="323"/>
      <c r="AJ648" s="323"/>
      <c r="AK648" s="323"/>
      <c r="AL648" s="323"/>
      <c r="AM648" s="323"/>
      <c r="AN648" s="323"/>
      <c r="AO648" s="323"/>
      <c r="AP648" s="323"/>
      <c r="AQ648" s="323"/>
      <c r="AR648" s="323"/>
      <c r="AS648" s="323"/>
      <c r="AT648" s="323"/>
      <c r="AU648" s="323"/>
      <c r="AV648" s="323"/>
      <c r="AW648" s="323"/>
      <c r="AX648" s="323"/>
      <c r="AY648" s="323"/>
      <c r="AZ648" s="323"/>
      <c r="BA648" s="323"/>
      <c r="BB648" s="323"/>
      <c r="BC648" s="323"/>
      <c r="BD648" s="323"/>
      <c r="BE648" s="323"/>
      <c r="BF648" s="323"/>
      <c r="BG648" s="323"/>
      <c r="BH648" s="323"/>
      <c r="BI648" s="323"/>
      <c r="BJ648" s="323"/>
      <c r="BK648" s="323"/>
      <c r="BL648" s="323"/>
      <c r="BM648" s="323"/>
      <c r="BN648" s="323"/>
      <c r="BO648" s="323"/>
      <c r="BP648" s="323"/>
      <c r="BQ648" s="323"/>
      <c r="BR648" s="323"/>
      <c r="BS648" s="323"/>
      <c r="BT648" s="323"/>
      <c r="BU648" s="323"/>
      <c r="BV648" s="323"/>
      <c r="BW648" s="323"/>
      <c r="BX648" s="323"/>
      <c r="BY648" s="323"/>
      <c r="BZ648" s="323"/>
      <c r="CA648" s="323"/>
      <c r="CB648" s="323"/>
      <c r="CC648" s="323"/>
      <c r="CD648" s="323"/>
      <c r="CE648" s="324"/>
      <c r="CF648" s="323"/>
      <c r="CG648" s="323"/>
      <c r="CH648" s="323"/>
      <c r="CI648" s="323"/>
      <c r="CJ648" s="323"/>
      <c r="CK648" s="323"/>
      <c r="CL648" s="323"/>
      <c r="CM648" s="323"/>
      <c r="CN648" s="323"/>
      <c r="CO648" s="323"/>
      <c r="CP648" s="325"/>
      <c r="CQ648" s="323"/>
      <c r="CR648" s="323"/>
      <c r="CS648" s="323"/>
      <c r="CT648" s="323"/>
      <c r="CU648" s="323"/>
      <c r="CV648" s="323"/>
      <c r="CW648" s="323"/>
      <c r="CX648" s="323"/>
      <c r="CY648" s="323"/>
      <c r="CZ648" s="323"/>
      <c r="DA648" s="323"/>
      <c r="DB648" s="1269"/>
      <c r="DC648" s="323"/>
      <c r="DD648" s="323"/>
      <c r="DE648" s="323"/>
      <c r="DF648" s="323"/>
      <c r="DG648" s="323"/>
      <c r="DH648" s="323"/>
      <c r="DI648" s="323"/>
      <c r="DJ648" s="323"/>
      <c r="DK648" s="323"/>
      <c r="DL648" s="323"/>
      <c r="DM648" s="323"/>
      <c r="DN648" s="325"/>
      <c r="DO648" s="323"/>
      <c r="DP648" s="323"/>
      <c r="DQ648" s="323"/>
      <c r="DR648" s="323"/>
      <c r="DS648" s="323"/>
      <c r="DT648" s="323"/>
      <c r="DU648" s="323"/>
      <c r="DV648" s="323"/>
      <c r="DW648" s="323"/>
      <c r="DX648" s="323"/>
      <c r="DY648" s="323"/>
      <c r="DZ648" s="325"/>
      <c r="EA648" s="323"/>
      <c r="EB648" s="323"/>
      <c r="EC648" s="323"/>
      <c r="ED648" s="323"/>
      <c r="EE648" s="323"/>
      <c r="EF648" s="323"/>
      <c r="EG648" s="323"/>
      <c r="EH648" s="323"/>
      <c r="EI648" s="323"/>
      <c r="EJ648" s="323"/>
      <c r="EK648" s="323"/>
      <c r="EL648" s="325"/>
      <c r="EM648" s="323"/>
      <c r="EN648" s="323"/>
      <c r="EO648" s="323"/>
      <c r="EP648" s="323"/>
      <c r="EQ648" s="323"/>
      <c r="ER648" s="323"/>
      <c r="ES648" s="323"/>
      <c r="ET648" s="323"/>
      <c r="EU648" s="323"/>
      <c r="EV648" s="323"/>
      <c r="EW648" s="323"/>
      <c r="EX648" s="325"/>
      <c r="EY648" s="323"/>
      <c r="EZ648" s="323"/>
      <c r="FA648" s="323"/>
      <c r="FB648" s="323"/>
      <c r="FC648" s="323"/>
      <c r="FD648" s="323"/>
      <c r="FE648" s="323"/>
      <c r="FF648" s="323"/>
      <c r="FG648" s="323"/>
      <c r="FH648" s="323"/>
      <c r="FI648" s="323"/>
      <c r="FJ648" s="325"/>
      <c r="FK648" s="323"/>
      <c r="FL648" s="323"/>
      <c r="FM648" s="323"/>
      <c r="FN648" s="323"/>
      <c r="FO648" s="323"/>
      <c r="FP648" s="323"/>
      <c r="FQ648" s="323"/>
      <c r="FR648" s="323"/>
      <c r="FS648" s="323"/>
      <c r="FT648" s="323"/>
      <c r="FU648" s="323"/>
      <c r="FV648" s="323"/>
      <c r="FW648" s="323"/>
      <c r="FX648" s="323"/>
      <c r="FY648" s="323"/>
      <c r="FZ648" s="323"/>
      <c r="GA648" s="323"/>
      <c r="GB648" s="323"/>
      <c r="GC648" s="323"/>
      <c r="GD648" s="323"/>
      <c r="GE648" s="323"/>
      <c r="GF648" s="323"/>
      <c r="GG648" s="323"/>
      <c r="GH648" s="323"/>
      <c r="GI648" s="323"/>
      <c r="GJ648" s="323"/>
      <c r="GK648" s="323"/>
      <c r="GL648" s="323"/>
      <c r="GM648" s="323"/>
      <c r="GN648" s="323"/>
      <c r="GO648" s="323"/>
      <c r="GP648" s="323"/>
      <c r="GQ648" s="323"/>
      <c r="GR648" s="323"/>
      <c r="GS648" s="323"/>
      <c r="GT648" s="323"/>
      <c r="GU648" s="323"/>
      <c r="GV648" s="323"/>
      <c r="GW648" s="323"/>
      <c r="GX648" s="323"/>
      <c r="GY648" s="323"/>
      <c r="GZ648" s="323"/>
      <c r="HA648" s="323"/>
      <c r="HB648" s="323"/>
      <c r="HC648" s="323"/>
      <c r="HD648" s="323"/>
      <c r="HE648" s="323"/>
      <c r="HF648" s="323"/>
      <c r="HG648" s="323"/>
      <c r="HH648" s="323"/>
      <c r="HI648" s="323"/>
      <c r="HJ648" s="323"/>
      <c r="HK648" s="323"/>
      <c r="HL648" s="323"/>
      <c r="HM648" s="323"/>
      <c r="HN648" s="323"/>
      <c r="HO648" s="323"/>
      <c r="HP648" s="323"/>
      <c r="HQ648" s="323"/>
      <c r="HR648" s="323"/>
      <c r="HS648" s="323"/>
      <c r="HT648" s="323"/>
      <c r="HU648" s="323"/>
      <c r="HV648" s="323"/>
      <c r="HW648" s="323"/>
      <c r="HX648" s="323"/>
      <c r="HY648" s="323"/>
      <c r="HZ648" s="326"/>
      <c r="IA648" s="1113" t="str">
        <f>FISC!D858</f>
        <v>Business Support Fund</v>
      </c>
      <c r="IB648" s="1113"/>
      <c r="IC648" s="1113"/>
      <c r="ID648" s="323"/>
      <c r="IE648" s="327"/>
      <c r="IG648" s="323"/>
      <c r="IJ648" s="323"/>
      <c r="IM648" s="323"/>
      <c r="IP648" s="323"/>
      <c r="IS648" s="323"/>
      <c r="IT648" s="1121"/>
      <c r="IU648" s="279">
        <f>IV648</f>
        <v>56.234146377749013</v>
      </c>
      <c r="IV648" s="279">
        <f>FISC!AE858</f>
        <v>56.234146377749013</v>
      </c>
      <c r="IW648" s="327">
        <f>IY648</f>
        <v>38.579909886519495</v>
      </c>
      <c r="IX648" s="279">
        <v>0</v>
      </c>
      <c r="IY648" s="323">
        <f>FISC!AF858</f>
        <v>38.579909886519495</v>
      </c>
      <c r="IZ648" s="327"/>
      <c r="JB648" s="323"/>
      <c r="JC648" s="327"/>
      <c r="JE648" s="323"/>
      <c r="JF648" s="327"/>
      <c r="JH648" s="323"/>
      <c r="JI648" s="327"/>
      <c r="JK648" s="323"/>
      <c r="JL648" s="327"/>
      <c r="JN648" s="323"/>
      <c r="JO648" s="323"/>
      <c r="KU648" s="326"/>
      <c r="KX648" s="327"/>
    </row>
    <row r="649" spans="1:314" hidden="1">
      <c r="A649" s="279"/>
      <c r="B649" s="96" t="s">
        <v>338</v>
      </c>
      <c r="D649" s="328" t="str">
        <f>+FISC!D859</f>
        <v>Export Promotion</v>
      </c>
      <c r="E649" s="323"/>
      <c r="F649" s="323"/>
      <c r="G649" s="323"/>
      <c r="H649" s="323"/>
      <c r="I649" s="323"/>
      <c r="J649" s="323"/>
      <c r="K649" s="323"/>
      <c r="L649" s="323"/>
      <c r="M649" s="323"/>
      <c r="N649" s="323"/>
      <c r="O649" s="323"/>
      <c r="P649" s="323"/>
      <c r="Q649" s="323"/>
      <c r="R649" s="323"/>
      <c r="S649" s="323"/>
      <c r="T649" s="323"/>
      <c r="U649" s="323"/>
      <c r="V649" s="323"/>
      <c r="W649" s="323"/>
      <c r="X649" s="323"/>
      <c r="Y649" s="323"/>
      <c r="Z649" s="323"/>
      <c r="AA649" s="323"/>
      <c r="AB649" s="323"/>
      <c r="AC649" s="323"/>
      <c r="AD649" s="323"/>
      <c r="AE649" s="323"/>
      <c r="AF649" s="323"/>
      <c r="AG649" s="323"/>
      <c r="AH649" s="323"/>
      <c r="AI649" s="323"/>
      <c r="AJ649" s="323"/>
      <c r="AK649" s="323"/>
      <c r="AL649" s="323"/>
      <c r="AM649" s="323"/>
      <c r="AN649" s="323"/>
      <c r="AO649" s="323"/>
      <c r="AP649" s="323"/>
      <c r="AQ649" s="323"/>
      <c r="AR649" s="323"/>
      <c r="AS649" s="323"/>
      <c r="AT649" s="323"/>
      <c r="AU649" s="323"/>
      <c r="AV649" s="323"/>
      <c r="AW649" s="323"/>
      <c r="AX649" s="323"/>
      <c r="AY649" s="323"/>
      <c r="AZ649" s="323"/>
      <c r="BA649" s="323"/>
      <c r="BB649" s="323"/>
      <c r="BC649" s="323"/>
      <c r="BD649" s="323"/>
      <c r="BE649" s="323"/>
      <c r="BF649" s="323"/>
      <c r="BG649" s="323"/>
      <c r="BH649" s="323"/>
      <c r="BI649" s="323"/>
      <c r="BJ649" s="323"/>
      <c r="BK649" s="323"/>
      <c r="BL649" s="323"/>
      <c r="BM649" s="323"/>
      <c r="BN649" s="323"/>
      <c r="BO649" s="323"/>
      <c r="BP649" s="323"/>
      <c r="BQ649" s="323"/>
      <c r="BR649" s="323"/>
      <c r="BS649" s="323"/>
      <c r="BT649" s="323"/>
      <c r="BU649" s="323"/>
      <c r="BV649" s="323"/>
      <c r="BW649" s="323"/>
      <c r="BX649" s="323"/>
      <c r="BY649" s="323"/>
      <c r="BZ649" s="323"/>
      <c r="CA649" s="323"/>
      <c r="CB649" s="323"/>
      <c r="CC649" s="323"/>
      <c r="CD649" s="323"/>
      <c r="CE649" s="324">
        <f t="shared" ref="CE649:DJ649" si="545">CE319</f>
        <v>9.9999999999999995E-7</v>
      </c>
      <c r="CF649" s="323">
        <f t="shared" si="545"/>
        <v>1.8277169999999999E-2</v>
      </c>
      <c r="CG649" s="323">
        <f t="shared" si="545"/>
        <v>9.9999999999999995E-7</v>
      </c>
      <c r="CH649" s="323">
        <f t="shared" si="545"/>
        <v>9.9999999999999995E-7</v>
      </c>
      <c r="CI649" s="323">
        <f t="shared" si="545"/>
        <v>1.4218449999999999E-3</v>
      </c>
      <c r="CJ649" s="323">
        <f t="shared" si="545"/>
        <v>0.214671625</v>
      </c>
      <c r="CK649" s="323">
        <f t="shared" si="545"/>
        <v>9.9999999999999995E-7</v>
      </c>
      <c r="CL649" s="323">
        <f t="shared" si="545"/>
        <v>2.1207330000000001E-3</v>
      </c>
      <c r="CM649" s="323">
        <f t="shared" si="545"/>
        <v>0.20000100000000001</v>
      </c>
      <c r="CN649" s="323">
        <f t="shared" si="545"/>
        <v>0</v>
      </c>
      <c r="CO649" s="323">
        <f t="shared" si="545"/>
        <v>3.0600019999999999</v>
      </c>
      <c r="CP649" s="325">
        <f t="shared" si="545"/>
        <v>0.20000100000000001</v>
      </c>
      <c r="CQ649" s="323">
        <f t="shared" si="545"/>
        <v>1.27E-4</v>
      </c>
      <c r="CR649" s="323">
        <f t="shared" si="545"/>
        <v>0.12633565399999999</v>
      </c>
      <c r="CS649" s="323">
        <f t="shared" si="545"/>
        <v>1.0016021799999999</v>
      </c>
      <c r="CT649" s="323">
        <f t="shared" si="545"/>
        <v>0</v>
      </c>
      <c r="CU649" s="323">
        <f t="shared" si="545"/>
        <v>0</v>
      </c>
      <c r="CV649" s="323">
        <f t="shared" si="545"/>
        <v>0</v>
      </c>
      <c r="CW649" s="323">
        <f t="shared" si="545"/>
        <v>3.0000000000000001E-6</v>
      </c>
      <c r="CX649" s="323">
        <f t="shared" si="545"/>
        <v>3.444234545</v>
      </c>
      <c r="CY649" s="323">
        <f t="shared" si="545"/>
        <v>3.0000000000000001E-6</v>
      </c>
      <c r="CZ649" s="323">
        <f t="shared" si="545"/>
        <v>0</v>
      </c>
      <c r="DA649" s="323">
        <f t="shared" si="545"/>
        <v>0</v>
      </c>
      <c r="DB649" s="1269">
        <f t="shared" si="545"/>
        <v>0</v>
      </c>
      <c r="DC649" s="323">
        <f t="shared" si="545"/>
        <v>2</v>
      </c>
      <c r="DD649" s="323">
        <f t="shared" si="545"/>
        <v>0</v>
      </c>
      <c r="DE649" s="323">
        <f t="shared" si="545"/>
        <v>0.65602491200000002</v>
      </c>
      <c r="DF649" s="323">
        <f t="shared" si="545"/>
        <v>0</v>
      </c>
      <c r="DG649" s="323">
        <f t="shared" si="545"/>
        <v>0</v>
      </c>
      <c r="DH649" s="323">
        <f t="shared" si="545"/>
        <v>0</v>
      </c>
      <c r="DI649" s="323">
        <f t="shared" si="545"/>
        <v>14.474183633999999</v>
      </c>
      <c r="DJ649" s="323">
        <f t="shared" si="545"/>
        <v>7.2376928280000001</v>
      </c>
      <c r="DK649" s="323">
        <f t="shared" ref="DK649:EP649" si="546">DK319</f>
        <v>0</v>
      </c>
      <c r="DL649" s="323">
        <f t="shared" si="546"/>
        <v>0</v>
      </c>
      <c r="DM649" s="323">
        <f t="shared" si="546"/>
        <v>0</v>
      </c>
      <c r="DN649" s="325">
        <f t="shared" si="546"/>
        <v>1.3441120769999999</v>
      </c>
      <c r="DO649" s="323">
        <f t="shared" si="546"/>
        <v>0</v>
      </c>
      <c r="DP649" s="323">
        <f t="shared" si="546"/>
        <v>0</v>
      </c>
      <c r="DQ649" s="323">
        <f t="shared" si="546"/>
        <v>0</v>
      </c>
      <c r="DR649" s="323">
        <f t="shared" si="546"/>
        <v>3.1717466289999998</v>
      </c>
      <c r="DS649" s="323">
        <f t="shared" si="546"/>
        <v>0</v>
      </c>
      <c r="DT649" s="323">
        <f t="shared" si="546"/>
        <v>0</v>
      </c>
      <c r="DU649" s="323">
        <f t="shared" si="546"/>
        <v>8.8216977379999992</v>
      </c>
      <c r="DV649" s="323">
        <f t="shared" si="546"/>
        <v>0</v>
      </c>
      <c r="DW649" s="323">
        <f t="shared" si="546"/>
        <v>4.6969709660000003</v>
      </c>
      <c r="DX649" s="323">
        <f t="shared" si="546"/>
        <v>0</v>
      </c>
      <c r="DY649" s="323">
        <f t="shared" si="546"/>
        <v>5.7878699569999998</v>
      </c>
      <c r="DZ649" s="325">
        <f t="shared" si="546"/>
        <v>3.358288172</v>
      </c>
      <c r="EA649" s="323">
        <f t="shared" si="546"/>
        <v>0</v>
      </c>
      <c r="EB649" s="323">
        <f t="shared" si="546"/>
        <v>5.6743909199999996</v>
      </c>
      <c r="EC649" s="323">
        <f t="shared" si="546"/>
        <v>2.4779663460000001</v>
      </c>
      <c r="ED649" s="323">
        <f t="shared" si="546"/>
        <v>0</v>
      </c>
      <c r="EE649" s="323">
        <f t="shared" si="546"/>
        <v>1.1881884439999999</v>
      </c>
      <c r="EF649" s="323">
        <f t="shared" si="546"/>
        <v>5.8281546979999996</v>
      </c>
      <c r="EG649" s="323">
        <f t="shared" si="546"/>
        <v>1.318658063</v>
      </c>
      <c r="EH649" s="323">
        <f t="shared" si="546"/>
        <v>1.335683653</v>
      </c>
      <c r="EI649" s="323">
        <f t="shared" si="546"/>
        <v>6.9573450130000003</v>
      </c>
      <c r="EJ649" s="323">
        <f t="shared" si="546"/>
        <v>5.2700060999999998</v>
      </c>
      <c r="EK649" s="323">
        <f t="shared" si="546"/>
        <v>4.6473487310000001</v>
      </c>
      <c r="EL649" s="325">
        <f t="shared" si="546"/>
        <v>0</v>
      </c>
      <c r="EM649" s="323">
        <f t="shared" si="546"/>
        <v>1.089983948</v>
      </c>
      <c r="EN649" s="323">
        <f t="shared" si="546"/>
        <v>1.64</v>
      </c>
      <c r="EO649" s="323">
        <f t="shared" si="546"/>
        <v>0</v>
      </c>
      <c r="EP649" s="323">
        <f t="shared" si="546"/>
        <v>2.8430625379999999</v>
      </c>
      <c r="EQ649" s="323">
        <f t="shared" ref="EQ649:EX649" si="547">EQ319</f>
        <v>0</v>
      </c>
      <c r="ER649" s="323">
        <f t="shared" si="547"/>
        <v>2.2999999999999998</v>
      </c>
      <c r="ES649" s="323">
        <f t="shared" si="547"/>
        <v>0.6</v>
      </c>
      <c r="ET649" s="323">
        <f t="shared" si="547"/>
        <v>0</v>
      </c>
      <c r="EU649" s="323">
        <f t="shared" si="547"/>
        <v>10</v>
      </c>
      <c r="EV649" s="323">
        <f t="shared" si="547"/>
        <v>0</v>
      </c>
      <c r="EW649" s="323">
        <f t="shared" si="547"/>
        <v>4.7840405849999996</v>
      </c>
      <c r="EX649" s="325">
        <f t="shared" si="547"/>
        <v>16.3</v>
      </c>
      <c r="EY649" s="323"/>
      <c r="EZ649" s="323"/>
      <c r="FA649" s="323"/>
      <c r="FB649" s="323"/>
      <c r="FC649" s="323"/>
      <c r="FD649" s="323"/>
      <c r="FE649" s="323"/>
      <c r="FF649" s="323"/>
      <c r="FG649" s="323"/>
      <c r="FH649" s="323"/>
      <c r="FI649" s="323"/>
      <c r="FJ649" s="325"/>
      <c r="FK649" s="323"/>
      <c r="FL649" s="323"/>
      <c r="FM649" s="323"/>
      <c r="FN649" s="323"/>
      <c r="FO649" s="323"/>
      <c r="FP649" s="323"/>
      <c r="FQ649" s="323"/>
      <c r="FR649" s="323"/>
      <c r="FS649" s="323"/>
      <c r="FT649" s="323"/>
      <c r="FU649" s="323"/>
      <c r="FV649" s="323"/>
      <c r="FW649" s="323"/>
      <c r="FX649" s="323"/>
      <c r="FY649" s="323"/>
      <c r="FZ649" s="323"/>
      <c r="GA649" s="323"/>
      <c r="GB649" s="323"/>
      <c r="GC649" s="323"/>
      <c r="GD649" s="323"/>
      <c r="GE649" s="323"/>
      <c r="GF649" s="323"/>
      <c r="GG649" s="323"/>
      <c r="GH649" s="323"/>
      <c r="GI649" s="323"/>
      <c r="GJ649" s="323"/>
      <c r="GK649" s="323"/>
      <c r="GL649" s="323"/>
      <c r="GM649" s="323"/>
      <c r="GN649" s="323"/>
      <c r="GO649" s="323"/>
      <c r="GP649" s="323"/>
      <c r="GQ649" s="323"/>
      <c r="GR649" s="323"/>
      <c r="GS649" s="323"/>
      <c r="GT649" s="323"/>
      <c r="GU649" s="323"/>
      <c r="GV649" s="323"/>
      <c r="GW649" s="323"/>
      <c r="GX649" s="323"/>
      <c r="GY649" s="323"/>
      <c r="GZ649" s="323"/>
      <c r="HA649" s="323"/>
      <c r="HB649" s="323"/>
      <c r="HC649" s="323"/>
      <c r="HD649" s="323"/>
      <c r="HE649" s="323"/>
      <c r="HF649" s="323"/>
      <c r="HG649" s="323"/>
      <c r="HH649" s="323"/>
      <c r="HI649" s="323"/>
      <c r="HJ649" s="323"/>
      <c r="HK649" s="323"/>
      <c r="HL649" s="323"/>
      <c r="HM649" s="323"/>
      <c r="HN649" s="323"/>
      <c r="HO649" s="323"/>
      <c r="HP649" s="323"/>
      <c r="HQ649" s="323"/>
      <c r="HR649" s="323"/>
      <c r="HS649" s="323"/>
      <c r="HT649" s="323"/>
      <c r="HU649" s="323"/>
      <c r="HV649" s="323"/>
      <c r="HW649" s="323"/>
      <c r="HX649" s="323"/>
      <c r="HY649" s="323"/>
      <c r="HZ649" s="326"/>
      <c r="IA649" s="328" t="s">
        <v>151</v>
      </c>
      <c r="IB649" s="328"/>
      <c r="IC649" s="328"/>
      <c r="ID649" s="323">
        <f>+FISC!Z859</f>
        <v>32.4</v>
      </c>
      <c r="IE649" s="279">
        <f>SUM(CQ649:CV649)</f>
        <v>1.1280648339999999</v>
      </c>
      <c r="IF649" s="279">
        <f>SUM(CW649:DB649)</f>
        <v>3.444240545</v>
      </c>
      <c r="IG649" s="323">
        <f>SUM(CQ649:DB649)</f>
        <v>4.5723053790000003</v>
      </c>
      <c r="IH649" s="279">
        <f>+SUM(DC649:DH649)</f>
        <v>2.6560249119999999</v>
      </c>
      <c r="II649" s="279">
        <f>+SUM(DI649:DN649)</f>
        <v>23.055988538999998</v>
      </c>
      <c r="IJ649" s="323">
        <f>IH649+II649</f>
        <v>25.712013450999997</v>
      </c>
      <c r="IK649" s="279">
        <f>+SUM(DO649:DT649)</f>
        <v>3.1717466289999998</v>
      </c>
      <c r="IL649" s="279">
        <f>SUM(DU649:DZ649)</f>
        <v>22.664826832999999</v>
      </c>
      <c r="IM649" s="323">
        <f t="shared" si="503"/>
        <v>25.836573462</v>
      </c>
      <c r="IN649" s="279">
        <v>15.168700407999999</v>
      </c>
      <c r="IO649" s="279">
        <f t="shared" si="530"/>
        <v>19.529041560000003</v>
      </c>
      <c r="IP649" s="323">
        <f>FISC!AC859</f>
        <v>34.697741968000003</v>
      </c>
      <c r="IQ649" s="279">
        <f t="shared" ref="IQ649:IQ661" si="548">SUM(EM649:ER649)</f>
        <v>7.8730464859999998</v>
      </c>
      <c r="IR649" s="279">
        <f t="shared" ref="IR649:IR661" si="549">SUM(ES649:EX649)</f>
        <v>31.684040584999998</v>
      </c>
      <c r="IS649" s="323">
        <f t="shared" si="407"/>
        <v>39.557087070999998</v>
      </c>
      <c r="IT649" s="279">
        <v>16.639381263000001</v>
      </c>
      <c r="IU649" s="279">
        <f>+IV649-IT649</f>
        <v>87.670076218525296</v>
      </c>
      <c r="IV649" s="323">
        <f>+FISC!AE859</f>
        <v>104.3094574815253</v>
      </c>
      <c r="IW649" s="279">
        <f>+(IY649/2)*0+40.4506350033699</f>
        <v>40.450635003369896</v>
      </c>
      <c r="IX649" s="279">
        <f t="shared" si="486"/>
        <v>51.833354134390802</v>
      </c>
      <c r="IY649" s="323">
        <f>+FISC!AF859</f>
        <v>92.283989137760699</v>
      </c>
      <c r="IZ649" s="279">
        <f>+(JB649/2)</f>
        <v>53.154728740762501</v>
      </c>
      <c r="JA649" s="279">
        <f t="shared" si="540"/>
        <v>53.154728740762501</v>
      </c>
      <c r="JB649" s="323">
        <f>+FISC!AG859</f>
        <v>106.309457481525</v>
      </c>
      <c r="JC649" s="279">
        <f>+(JE649/2)</f>
        <v>40.858359628839715</v>
      </c>
      <c r="JD649" s="279">
        <f t="shared" si="487"/>
        <v>40.858359628839715</v>
      </c>
      <c r="JE649" s="323">
        <f>+FISC!AH859</f>
        <v>81.716719257679429</v>
      </c>
      <c r="JF649" s="279">
        <f>+(JH649/2)</f>
        <v>20.429179814419857</v>
      </c>
      <c r="JG649" s="279">
        <f t="shared" si="488"/>
        <v>20.429179814419857</v>
      </c>
      <c r="JH649" s="323">
        <f>+FISC!AI859</f>
        <v>40.858359628839715</v>
      </c>
      <c r="JI649" s="279">
        <f>+(JK649/2)</f>
        <v>10.214589907209929</v>
      </c>
      <c r="JJ649" s="279">
        <f t="shared" si="489"/>
        <v>10.214589907209929</v>
      </c>
      <c r="JK649" s="323">
        <f>+FISC!AJ859</f>
        <v>20.429179814419857</v>
      </c>
      <c r="JL649" s="279">
        <f>+(JN649/2)</f>
        <v>0</v>
      </c>
      <c r="JM649" s="279">
        <f t="shared" si="490"/>
        <v>0</v>
      </c>
      <c r="JN649" s="323">
        <f>+FISC!AK859</f>
        <v>0</v>
      </c>
      <c r="JO649" s="323"/>
      <c r="KU649" s="326"/>
      <c r="KV649" s="327"/>
    </row>
    <row r="650" spans="1:314" hidden="1">
      <c r="A650" s="279"/>
      <c r="B650" s="96" t="s">
        <v>338</v>
      </c>
      <c r="D650" s="328" t="str">
        <f>+FISC!D860</f>
        <v>Loan</v>
      </c>
      <c r="E650" s="323"/>
      <c r="F650" s="323"/>
      <c r="G650" s="323"/>
      <c r="H650" s="323"/>
      <c r="I650" s="323"/>
      <c r="J650" s="323"/>
      <c r="K650" s="323"/>
      <c r="L650" s="323"/>
      <c r="M650" s="323"/>
      <c r="N650" s="323"/>
      <c r="O650" s="323"/>
      <c r="P650" s="323"/>
      <c r="Q650" s="323"/>
      <c r="R650" s="323"/>
      <c r="S650" s="323"/>
      <c r="T650" s="323"/>
      <c r="U650" s="323"/>
      <c r="V650" s="323"/>
      <c r="W650" s="323"/>
      <c r="X650" s="323"/>
      <c r="Y650" s="323"/>
      <c r="Z650" s="323"/>
      <c r="AA650" s="323"/>
      <c r="AB650" s="323"/>
      <c r="AC650" s="323"/>
      <c r="AD650" s="323"/>
      <c r="AE650" s="323"/>
      <c r="AF650" s="323"/>
      <c r="AG650" s="323"/>
      <c r="AH650" s="323"/>
      <c r="AI650" s="323"/>
      <c r="AJ650" s="323"/>
      <c r="AK650" s="323"/>
      <c r="AL650" s="323"/>
      <c r="AM650" s="323"/>
      <c r="AN650" s="323"/>
      <c r="AO650" s="323"/>
      <c r="AP650" s="323"/>
      <c r="AQ650" s="323"/>
      <c r="AR650" s="323"/>
      <c r="AS650" s="323"/>
      <c r="AT650" s="323"/>
      <c r="AU650" s="323"/>
      <c r="AV650" s="323"/>
      <c r="AW650" s="323"/>
      <c r="AX650" s="323"/>
      <c r="AY650" s="323"/>
      <c r="AZ650" s="323"/>
      <c r="BA650" s="323"/>
      <c r="BB650" s="323"/>
      <c r="BC650" s="323"/>
      <c r="BD650" s="323"/>
      <c r="BE650" s="323"/>
      <c r="BF650" s="323"/>
      <c r="BG650" s="323"/>
      <c r="BH650" s="323"/>
      <c r="BI650" s="323"/>
      <c r="BJ650" s="323"/>
      <c r="BK650" s="323"/>
      <c r="BL650" s="323"/>
      <c r="BM650" s="323"/>
      <c r="BN650" s="323"/>
      <c r="BO650" s="323"/>
      <c r="BP650" s="323"/>
      <c r="BQ650" s="323"/>
      <c r="BR650" s="323"/>
      <c r="BS650" s="323"/>
      <c r="BT650" s="323"/>
      <c r="BU650" s="323"/>
      <c r="BV650" s="323"/>
      <c r="BW650" s="323"/>
      <c r="BX650" s="323"/>
      <c r="BY650" s="323"/>
      <c r="BZ650" s="323"/>
      <c r="CA650" s="323"/>
      <c r="CB650" s="323"/>
      <c r="CC650" s="323"/>
      <c r="CD650" s="323"/>
      <c r="CE650" s="324"/>
      <c r="CF650" s="323"/>
      <c r="CG650" s="323"/>
      <c r="CH650" s="323"/>
      <c r="CI650" s="323"/>
      <c r="CJ650" s="323"/>
      <c r="CK650" s="323"/>
      <c r="CL650" s="323"/>
      <c r="CM650" s="323"/>
      <c r="CN650" s="323"/>
      <c r="CO650" s="323"/>
      <c r="CP650" s="325"/>
      <c r="CQ650" s="323"/>
      <c r="CR650" s="323"/>
      <c r="CS650" s="323"/>
      <c r="CT650" s="323"/>
      <c r="CU650" s="323"/>
      <c r="CV650" s="323"/>
      <c r="CW650" s="323"/>
      <c r="CX650" s="323"/>
      <c r="CY650" s="323"/>
      <c r="CZ650" s="323"/>
      <c r="DA650" s="323"/>
      <c r="DB650" s="1269"/>
      <c r="DC650" s="323"/>
      <c r="DD650" s="323"/>
      <c r="DE650" s="323"/>
      <c r="DF650" s="323"/>
      <c r="DG650" s="323"/>
      <c r="DH650" s="323"/>
      <c r="DI650" s="323"/>
      <c r="DJ650" s="323"/>
      <c r="DK650" s="323"/>
      <c r="DL650" s="323"/>
      <c r="DM650" s="323"/>
      <c r="DN650" s="325"/>
      <c r="DO650" s="323"/>
      <c r="DP650" s="323"/>
      <c r="DQ650" s="323"/>
      <c r="DR650" s="323"/>
      <c r="DS650" s="323"/>
      <c r="DT650" s="323"/>
      <c r="DU650" s="323"/>
      <c r="DV650" s="323"/>
      <c r="DW650" s="323"/>
      <c r="DX650" s="323"/>
      <c r="DY650" s="323"/>
      <c r="DZ650" s="325"/>
      <c r="EA650" s="323"/>
      <c r="EB650" s="323"/>
      <c r="EC650" s="323"/>
      <c r="ED650" s="323"/>
      <c r="EE650" s="323"/>
      <c r="EF650" s="323"/>
      <c r="EG650" s="323"/>
      <c r="EH650" s="323"/>
      <c r="EI650" s="323"/>
      <c r="EJ650" s="323"/>
      <c r="EK650" s="323"/>
      <c r="EL650" s="325"/>
      <c r="EM650" s="323"/>
      <c r="EN650" s="323"/>
      <c r="EO650" s="323"/>
      <c r="EP650" s="323"/>
      <c r="EQ650" s="323"/>
      <c r="ER650" s="323"/>
      <c r="ES650" s="323"/>
      <c r="ET650" s="323"/>
      <c r="EU650" s="323"/>
      <c r="EV650" s="323"/>
      <c r="EW650" s="323"/>
      <c r="EX650" s="325"/>
      <c r="EY650" s="323"/>
      <c r="EZ650" s="323"/>
      <c r="FA650" s="323"/>
      <c r="FB650" s="323"/>
      <c r="FC650" s="323"/>
      <c r="FD650" s="323"/>
      <c r="FE650" s="323"/>
      <c r="FF650" s="323"/>
      <c r="FG650" s="323"/>
      <c r="FH650" s="323"/>
      <c r="FI650" s="323"/>
      <c r="FJ650" s="325"/>
      <c r="FK650" s="323"/>
      <c r="FL650" s="323"/>
      <c r="FM650" s="323"/>
      <c r="FN650" s="323"/>
      <c r="FO650" s="323"/>
      <c r="FP650" s="323"/>
      <c r="FQ650" s="323"/>
      <c r="FR650" s="323"/>
      <c r="FS650" s="323"/>
      <c r="FT650" s="323"/>
      <c r="FU650" s="323"/>
      <c r="FV650" s="323"/>
      <c r="FW650" s="323"/>
      <c r="FX650" s="323"/>
      <c r="FY650" s="323"/>
      <c r="FZ650" s="323"/>
      <c r="GA650" s="323"/>
      <c r="GB650" s="323"/>
      <c r="GC650" s="323"/>
      <c r="GD650" s="323"/>
      <c r="GE650" s="323"/>
      <c r="GF650" s="323"/>
      <c r="GG650" s="323"/>
      <c r="GH650" s="323"/>
      <c r="GI650" s="323"/>
      <c r="GJ650" s="323"/>
      <c r="GK650" s="323"/>
      <c r="GL650" s="323"/>
      <c r="GM650" s="323"/>
      <c r="GN650" s="323"/>
      <c r="GO650" s="323"/>
      <c r="GP650" s="323"/>
      <c r="GQ650" s="323"/>
      <c r="GR650" s="323"/>
      <c r="GS650" s="323"/>
      <c r="GT650" s="323"/>
      <c r="GU650" s="323"/>
      <c r="GV650" s="323"/>
      <c r="GW650" s="323"/>
      <c r="GX650" s="323"/>
      <c r="GY650" s="323"/>
      <c r="GZ650" s="323"/>
      <c r="HA650" s="323"/>
      <c r="HB650" s="323"/>
      <c r="HC650" s="323"/>
      <c r="HD650" s="323"/>
      <c r="HE650" s="323"/>
      <c r="HF650" s="323"/>
      <c r="HG650" s="323"/>
      <c r="HH650" s="323"/>
      <c r="HI650" s="323"/>
      <c r="HJ650" s="323"/>
      <c r="HK650" s="323"/>
      <c r="HL650" s="323"/>
      <c r="HM650" s="323"/>
      <c r="HN650" s="323"/>
      <c r="HO650" s="323"/>
      <c r="HP650" s="323"/>
      <c r="HQ650" s="323"/>
      <c r="HR650" s="323"/>
      <c r="HS650" s="323"/>
      <c r="HT650" s="323"/>
      <c r="HU650" s="323"/>
      <c r="HV650" s="323"/>
      <c r="HW650" s="323"/>
      <c r="HX650" s="323"/>
      <c r="HY650" s="323"/>
      <c r="HZ650" s="326"/>
      <c r="IA650" s="328" t="s">
        <v>152</v>
      </c>
      <c r="IB650" s="328"/>
      <c r="IC650" s="328"/>
      <c r="ID650" s="323">
        <f>+FISC!Z860</f>
        <v>0</v>
      </c>
      <c r="IE650" s="279">
        <f>SUM(CQ650:CV650)</f>
        <v>0</v>
      </c>
      <c r="IF650" s="279">
        <f>SUM(CW650:DB650)</f>
        <v>0</v>
      </c>
      <c r="IG650" s="323">
        <f>SUM(CQ650:DB650)</f>
        <v>0</v>
      </c>
      <c r="IH650" s="279">
        <f>+SUM(DC650:DH650)</f>
        <v>0</v>
      </c>
      <c r="II650" s="279">
        <f>+IJ650-IH650</f>
        <v>0</v>
      </c>
      <c r="IJ650" s="323">
        <v>0</v>
      </c>
      <c r="IK650" s="279">
        <f>+SUM(DO650:DT650)</f>
        <v>0</v>
      </c>
      <c r="IL650" s="279">
        <f>SUM(DU650:DZ650)</f>
        <v>0</v>
      </c>
      <c r="IM650" s="323">
        <f t="shared" si="503"/>
        <v>0</v>
      </c>
      <c r="IN650" s="279">
        <f>+IP650/2</f>
        <v>0</v>
      </c>
      <c r="IO650" s="279">
        <f t="shared" si="530"/>
        <v>0</v>
      </c>
      <c r="IP650" s="323">
        <f>FISC!AC860</f>
        <v>0</v>
      </c>
      <c r="IQ650" s="279">
        <f t="shared" si="548"/>
        <v>0</v>
      </c>
      <c r="IR650" s="279">
        <f t="shared" si="549"/>
        <v>0</v>
      </c>
      <c r="IS650" s="323">
        <f t="shared" si="407"/>
        <v>0</v>
      </c>
      <c r="IT650" s="327"/>
      <c r="IU650" s="327"/>
      <c r="IV650" s="323">
        <f>+FISC!AE860</f>
        <v>0</v>
      </c>
      <c r="IW650" s="279">
        <f>IY650*JU650</f>
        <v>0</v>
      </c>
      <c r="IX650" s="279">
        <f t="shared" si="486"/>
        <v>0</v>
      </c>
      <c r="IY650" s="323">
        <f>+FISC!AF860</f>
        <v>0</v>
      </c>
      <c r="IZ650" s="279">
        <f t="shared" si="498"/>
        <v>0</v>
      </c>
      <c r="JA650" s="279">
        <f t="shared" si="540"/>
        <v>0</v>
      </c>
      <c r="JB650" s="323">
        <f>+FISC!AG860</f>
        <v>0</v>
      </c>
      <c r="JC650" s="279">
        <f t="shared" si="499"/>
        <v>0</v>
      </c>
      <c r="JD650" s="279">
        <f t="shared" si="487"/>
        <v>0</v>
      </c>
      <c r="JE650" s="323">
        <f>+FISC!AH860</f>
        <v>0</v>
      </c>
      <c r="JF650" s="279">
        <f t="shared" si="500"/>
        <v>0</v>
      </c>
      <c r="JG650" s="279">
        <f t="shared" si="488"/>
        <v>0</v>
      </c>
      <c r="JH650" s="323">
        <f>+FISC!AI860</f>
        <v>0</v>
      </c>
      <c r="JI650" s="279">
        <f t="shared" si="501"/>
        <v>0</v>
      </c>
      <c r="JJ650" s="279">
        <f t="shared" si="489"/>
        <v>0</v>
      </c>
      <c r="JK650" s="323">
        <f>+FISC!AJ860</f>
        <v>0</v>
      </c>
      <c r="JL650" s="279">
        <f t="shared" si="502"/>
        <v>0</v>
      </c>
      <c r="JM650" s="279">
        <f t="shared" si="490"/>
        <v>0</v>
      </c>
      <c r="JN650" s="323">
        <f>+FISC!AK860</f>
        <v>0</v>
      </c>
      <c r="JO650" s="323"/>
      <c r="KU650" s="326"/>
      <c r="KV650" s="327"/>
    </row>
    <row r="651" spans="1:314" hidden="1">
      <c r="A651" s="279"/>
      <c r="B651" s="96" t="s">
        <v>338</v>
      </c>
      <c r="D651" s="328" t="str">
        <f>+FISC!D861</f>
        <v>Equity</v>
      </c>
      <c r="E651" s="323"/>
      <c r="F651" s="323"/>
      <c r="G651" s="323"/>
      <c r="H651" s="323"/>
      <c r="I651" s="323"/>
      <c r="J651" s="323"/>
      <c r="K651" s="323"/>
      <c r="L651" s="323"/>
      <c r="M651" s="323"/>
      <c r="N651" s="323"/>
      <c r="O651" s="323"/>
      <c r="P651" s="323"/>
      <c r="Q651" s="323"/>
      <c r="R651" s="323"/>
      <c r="S651" s="323"/>
      <c r="T651" s="323"/>
      <c r="U651" s="323"/>
      <c r="V651" s="323"/>
      <c r="W651" s="323"/>
      <c r="X651" s="323"/>
      <c r="Y651" s="323"/>
      <c r="Z651" s="323"/>
      <c r="AA651" s="323"/>
      <c r="AB651" s="323"/>
      <c r="AC651" s="323"/>
      <c r="AD651" s="323"/>
      <c r="AE651" s="323"/>
      <c r="AF651" s="323"/>
      <c r="AG651" s="323"/>
      <c r="AH651" s="323"/>
      <c r="AI651" s="323"/>
      <c r="AJ651" s="323"/>
      <c r="AK651" s="323"/>
      <c r="AL651" s="323"/>
      <c r="AM651" s="323"/>
      <c r="AN651" s="323"/>
      <c r="AO651" s="323"/>
      <c r="AP651" s="323"/>
      <c r="AQ651" s="323"/>
      <c r="AR651" s="323"/>
      <c r="AS651" s="323"/>
      <c r="AT651" s="323"/>
      <c r="AU651" s="323"/>
      <c r="AV651" s="323"/>
      <c r="AW651" s="323"/>
      <c r="AX651" s="323"/>
      <c r="AY651" s="323"/>
      <c r="AZ651" s="323"/>
      <c r="BA651" s="323"/>
      <c r="BB651" s="323"/>
      <c r="BC651" s="323"/>
      <c r="BD651" s="323"/>
      <c r="BE651" s="323"/>
      <c r="BF651" s="323"/>
      <c r="BG651" s="323"/>
      <c r="BH651" s="323"/>
      <c r="BI651" s="323"/>
      <c r="BJ651" s="323"/>
      <c r="BK651" s="323"/>
      <c r="BL651" s="323"/>
      <c r="BM651" s="323"/>
      <c r="BN651" s="323"/>
      <c r="BO651" s="323"/>
      <c r="BP651" s="323"/>
      <c r="BQ651" s="323"/>
      <c r="BR651" s="323"/>
      <c r="BS651" s="323"/>
      <c r="BT651" s="323"/>
      <c r="BU651" s="323"/>
      <c r="BV651" s="323"/>
      <c r="BW651" s="323"/>
      <c r="BX651" s="323"/>
      <c r="BY651" s="323"/>
      <c r="BZ651" s="323"/>
      <c r="CA651" s="323"/>
      <c r="CB651" s="323"/>
      <c r="CC651" s="323"/>
      <c r="CD651" s="323"/>
      <c r="CE651" s="324"/>
      <c r="CF651" s="323"/>
      <c r="CG651" s="323"/>
      <c r="CH651" s="323"/>
      <c r="CI651" s="323"/>
      <c r="CJ651" s="323"/>
      <c r="CK651" s="323"/>
      <c r="CL651" s="323"/>
      <c r="CM651" s="323"/>
      <c r="CN651" s="323"/>
      <c r="CO651" s="323"/>
      <c r="CP651" s="325"/>
      <c r="CQ651" s="323"/>
      <c r="CR651" s="323"/>
      <c r="CS651" s="323"/>
      <c r="CT651" s="323"/>
      <c r="CU651" s="323"/>
      <c r="CV651" s="323"/>
      <c r="CW651" s="323"/>
      <c r="CX651" s="323"/>
      <c r="CY651" s="323"/>
      <c r="CZ651" s="323"/>
      <c r="DA651" s="323"/>
      <c r="DB651" s="1269"/>
      <c r="DC651" s="323"/>
      <c r="DD651" s="323"/>
      <c r="DE651" s="323"/>
      <c r="DF651" s="323"/>
      <c r="DG651" s="323"/>
      <c r="DH651" s="323"/>
      <c r="DI651" s="323"/>
      <c r="DJ651" s="323"/>
      <c r="DK651" s="323"/>
      <c r="DL651" s="323"/>
      <c r="DM651" s="323"/>
      <c r="DN651" s="325"/>
      <c r="DO651" s="323"/>
      <c r="DP651" s="323"/>
      <c r="DQ651" s="323"/>
      <c r="DR651" s="323"/>
      <c r="DS651" s="323"/>
      <c r="DT651" s="323"/>
      <c r="DU651" s="323"/>
      <c r="DV651" s="323"/>
      <c r="DW651" s="323"/>
      <c r="DX651" s="323"/>
      <c r="DY651" s="323"/>
      <c r="DZ651" s="325"/>
      <c r="EA651" s="323"/>
      <c r="EB651" s="323"/>
      <c r="EC651" s="323"/>
      <c r="ED651" s="323"/>
      <c r="EE651" s="323"/>
      <c r="EF651" s="323"/>
      <c r="EG651" s="323"/>
      <c r="EH651" s="323"/>
      <c r="EI651" s="323"/>
      <c r="EJ651" s="323"/>
      <c r="EK651" s="323"/>
      <c r="EL651" s="325"/>
      <c r="EM651" s="323"/>
      <c r="EN651" s="323"/>
      <c r="EO651" s="323"/>
      <c r="EP651" s="323"/>
      <c r="EQ651" s="323"/>
      <c r="ER651" s="323"/>
      <c r="ES651" s="323"/>
      <c r="ET651" s="323"/>
      <c r="EU651" s="323"/>
      <c r="EV651" s="323"/>
      <c r="EW651" s="323"/>
      <c r="EX651" s="325"/>
      <c r="EY651" s="323"/>
      <c r="EZ651" s="323"/>
      <c r="FA651" s="323"/>
      <c r="FB651" s="323"/>
      <c r="FC651" s="323"/>
      <c r="FD651" s="323"/>
      <c r="FE651" s="323"/>
      <c r="FF651" s="323"/>
      <c r="FG651" s="323"/>
      <c r="FH651" s="323"/>
      <c r="FI651" s="323"/>
      <c r="FJ651" s="325"/>
      <c r="FK651" s="323"/>
      <c r="FL651" s="323"/>
      <c r="FM651" s="323"/>
      <c r="FN651" s="323"/>
      <c r="FO651" s="323"/>
      <c r="FP651" s="323"/>
      <c r="FQ651" s="323"/>
      <c r="FR651" s="323"/>
      <c r="FS651" s="323"/>
      <c r="FT651" s="323"/>
      <c r="FU651" s="323"/>
      <c r="FV651" s="323"/>
      <c r="FW651" s="323"/>
      <c r="FX651" s="323"/>
      <c r="FY651" s="323"/>
      <c r="FZ651" s="323"/>
      <c r="GA651" s="323"/>
      <c r="GB651" s="323"/>
      <c r="GC651" s="323"/>
      <c r="GD651" s="323"/>
      <c r="GE651" s="323"/>
      <c r="GF651" s="323"/>
      <c r="GG651" s="323"/>
      <c r="GH651" s="323"/>
      <c r="GI651" s="323"/>
      <c r="GJ651" s="323"/>
      <c r="GK651" s="323"/>
      <c r="GL651" s="323"/>
      <c r="GM651" s="323"/>
      <c r="GN651" s="323"/>
      <c r="GO651" s="323"/>
      <c r="GP651" s="323"/>
      <c r="GQ651" s="323"/>
      <c r="GR651" s="323"/>
      <c r="GS651" s="323"/>
      <c r="GT651" s="323"/>
      <c r="GU651" s="323"/>
      <c r="GV651" s="323"/>
      <c r="GW651" s="323"/>
      <c r="GX651" s="323"/>
      <c r="GY651" s="323"/>
      <c r="GZ651" s="323"/>
      <c r="HA651" s="323"/>
      <c r="HB651" s="323"/>
      <c r="HC651" s="323"/>
      <c r="HD651" s="323"/>
      <c r="HE651" s="323"/>
      <c r="HF651" s="323"/>
      <c r="HG651" s="323"/>
      <c r="HH651" s="323"/>
      <c r="HI651" s="323"/>
      <c r="HJ651" s="323"/>
      <c r="HK651" s="323"/>
      <c r="HL651" s="323"/>
      <c r="HM651" s="323"/>
      <c r="HN651" s="323"/>
      <c r="HO651" s="323"/>
      <c r="HP651" s="323"/>
      <c r="HQ651" s="323"/>
      <c r="HR651" s="323"/>
      <c r="HS651" s="323"/>
      <c r="HT651" s="323"/>
      <c r="HU651" s="323"/>
      <c r="HV651" s="323"/>
      <c r="HW651" s="323"/>
      <c r="HX651" s="323"/>
      <c r="HY651" s="323"/>
      <c r="HZ651" s="326"/>
      <c r="IA651" s="328" t="s">
        <v>153</v>
      </c>
      <c r="IB651" s="328"/>
      <c r="IC651" s="328"/>
      <c r="ID651" s="323">
        <f>+FISC!Z861</f>
        <v>0</v>
      </c>
      <c r="IE651" s="279">
        <f>SUM(CQ651:CV651)</f>
        <v>0</v>
      </c>
      <c r="IF651" s="279">
        <f>SUM(CW651:DB651)</f>
        <v>0</v>
      </c>
      <c r="IG651" s="323">
        <f>SUM(CQ651:DB651)</f>
        <v>0</v>
      </c>
      <c r="IH651" s="279">
        <f>+SUM(DC651:DH651)</f>
        <v>0</v>
      </c>
      <c r="II651" s="279">
        <f>+IJ651-IH651</f>
        <v>0</v>
      </c>
      <c r="IJ651" s="323">
        <v>0</v>
      </c>
      <c r="IK651" s="279">
        <f>+SUM(DO651:DT651)</f>
        <v>0</v>
      </c>
      <c r="IL651" s="279">
        <f>SUM(DC651:DH651)</f>
        <v>0</v>
      </c>
      <c r="IM651" s="323">
        <f>IK651+IL651</f>
        <v>0</v>
      </c>
      <c r="IN651" s="279">
        <f>+IP651/2</f>
        <v>0</v>
      </c>
      <c r="IO651" s="279">
        <f t="shared" si="530"/>
        <v>0</v>
      </c>
      <c r="IP651" s="323">
        <f>FISC!AC861</f>
        <v>0</v>
      </c>
      <c r="IQ651" s="279">
        <f t="shared" si="548"/>
        <v>0</v>
      </c>
      <c r="IR651" s="279">
        <f t="shared" si="549"/>
        <v>0</v>
      </c>
      <c r="IS651" s="323">
        <f t="shared" si="407"/>
        <v>0</v>
      </c>
      <c r="IT651" s="327"/>
      <c r="IU651" s="327"/>
      <c r="IV651" s="323">
        <f>+FISC!AE861</f>
        <v>0</v>
      </c>
      <c r="IW651" s="279">
        <f>IY651*JU651</f>
        <v>0</v>
      </c>
      <c r="IX651" s="279">
        <f t="shared" si="486"/>
        <v>0</v>
      </c>
      <c r="IY651" s="323">
        <f>+FISC!AF861</f>
        <v>0</v>
      </c>
      <c r="IZ651" s="279">
        <f t="shared" si="498"/>
        <v>0</v>
      </c>
      <c r="JA651" s="279">
        <f t="shared" si="540"/>
        <v>0</v>
      </c>
      <c r="JB651" s="323">
        <f>+FISC!AG861</f>
        <v>0</v>
      </c>
      <c r="JC651" s="279">
        <f t="shared" si="499"/>
        <v>0</v>
      </c>
      <c r="JD651" s="279">
        <f t="shared" si="487"/>
        <v>0</v>
      </c>
      <c r="JE651" s="323">
        <f>+FISC!AH861</f>
        <v>0</v>
      </c>
      <c r="JF651" s="279">
        <f t="shared" si="500"/>
        <v>0</v>
      </c>
      <c r="JG651" s="279">
        <f t="shared" si="488"/>
        <v>0</v>
      </c>
      <c r="JH651" s="323">
        <f>+FISC!AI861</f>
        <v>0</v>
      </c>
      <c r="JI651" s="279">
        <f t="shared" si="501"/>
        <v>0</v>
      </c>
      <c r="JJ651" s="279">
        <f t="shared" si="489"/>
        <v>0</v>
      </c>
      <c r="JK651" s="323">
        <f>+FISC!AJ861</f>
        <v>0</v>
      </c>
      <c r="JL651" s="279">
        <f t="shared" si="502"/>
        <v>0</v>
      </c>
      <c r="JM651" s="279">
        <f t="shared" si="490"/>
        <v>0</v>
      </c>
      <c r="JN651" s="323">
        <f>+FISC!AK861</f>
        <v>0</v>
      </c>
      <c r="JO651" s="323"/>
      <c r="KU651" s="326"/>
      <c r="KV651" s="327"/>
    </row>
    <row r="652" spans="1:314" hidden="1">
      <c r="A652" s="279"/>
      <c r="B652" s="96" t="s">
        <v>338</v>
      </c>
      <c r="D652" s="322" t="str">
        <f>+FISC!D862</f>
        <v>Primary deficit (incl. exceptional; excl. interest &amp; foreign financed capital spending)</v>
      </c>
      <c r="E652" s="323">
        <f t="shared" ref="E652:AJ652" si="550">E552-(E590-E599)-E622</f>
        <v>-9.9092199999999977</v>
      </c>
      <c r="F652" s="323">
        <f t="shared" si="550"/>
        <v>-17.023680000000002</v>
      </c>
      <c r="G652" s="323">
        <f t="shared" si="550"/>
        <v>3.2319300000000024</v>
      </c>
      <c r="H652" s="323">
        <f t="shared" si="550"/>
        <v>-18.284849999999999</v>
      </c>
      <c r="I652" s="323">
        <f t="shared" si="550"/>
        <v>-1.6549999999999976</v>
      </c>
      <c r="J652" s="323">
        <f t="shared" si="550"/>
        <v>12.029062116000002</v>
      </c>
      <c r="K652" s="323">
        <f t="shared" si="550"/>
        <v>-35.872765037000008</v>
      </c>
      <c r="L652" s="323">
        <f t="shared" si="550"/>
        <v>-12.971401338000002</v>
      </c>
      <c r="M652" s="323">
        <f t="shared" si="550"/>
        <v>-1.2431277150000057</v>
      </c>
      <c r="N652" s="323">
        <f t="shared" si="550"/>
        <v>-12.914998775000001</v>
      </c>
      <c r="O652" s="323">
        <f t="shared" si="550"/>
        <v>-29.213741562999999</v>
      </c>
      <c r="P652" s="323">
        <f t="shared" si="550"/>
        <v>11.430528894</v>
      </c>
      <c r="Q652" s="323">
        <f t="shared" si="550"/>
        <v>-14.725483694000001</v>
      </c>
      <c r="R652" s="323">
        <f t="shared" si="550"/>
        <v>-12.251068073000003</v>
      </c>
      <c r="S652" s="323">
        <f t="shared" si="550"/>
        <v>-3.2367274239999988</v>
      </c>
      <c r="T652" s="323">
        <f t="shared" si="550"/>
        <v>-29.289382078000003</v>
      </c>
      <c r="U652" s="323">
        <f t="shared" si="550"/>
        <v>-7.3410082369999996</v>
      </c>
      <c r="V652" s="323">
        <f t="shared" si="550"/>
        <v>14.839930498999998</v>
      </c>
      <c r="W652" s="323">
        <f t="shared" si="550"/>
        <v>-33.611692805999994</v>
      </c>
      <c r="X652" s="323">
        <f t="shared" si="550"/>
        <v>-14.584052370000009</v>
      </c>
      <c r="Y652" s="323">
        <f t="shared" si="550"/>
        <v>7.4963292999999709E-2</v>
      </c>
      <c r="Z652" s="323">
        <f t="shared" si="550"/>
        <v>-52.571382885999995</v>
      </c>
      <c r="AA652" s="323">
        <f t="shared" si="550"/>
        <v>-1.6199037370000031</v>
      </c>
      <c r="AB652" s="323">
        <f t="shared" si="550"/>
        <v>60.193334633000006</v>
      </c>
      <c r="AC652" s="323">
        <f t="shared" si="550"/>
        <v>-18.736995409999999</v>
      </c>
      <c r="AD652" s="323">
        <f t="shared" si="550"/>
        <v>-5.9142593690000016</v>
      </c>
      <c r="AE652" s="323">
        <f t="shared" si="550"/>
        <v>-23.081530907999998</v>
      </c>
      <c r="AF652" s="323">
        <f t="shared" si="550"/>
        <v>-28.569594062</v>
      </c>
      <c r="AG652" s="323">
        <f t="shared" si="550"/>
        <v>-12.020092695999997</v>
      </c>
      <c r="AH652" s="323">
        <f t="shared" si="550"/>
        <v>13.79123472099999</v>
      </c>
      <c r="AI652" s="323">
        <f t="shared" si="550"/>
        <v>-17.711958442</v>
      </c>
      <c r="AJ652" s="323">
        <f t="shared" si="550"/>
        <v>-13.822479862999991</v>
      </c>
      <c r="AK652" s="323">
        <f t="shared" ref="AK652:BP652" si="551">AK552-(AK590-AK599)-AK622</f>
        <v>-7.2357611609999957</v>
      </c>
      <c r="AL652" s="323">
        <f t="shared" si="551"/>
        <v>-43.610793737999998</v>
      </c>
      <c r="AM652" s="323">
        <f t="shared" si="551"/>
        <v>-20.666030000000003</v>
      </c>
      <c r="AN652" s="323">
        <f t="shared" si="551"/>
        <v>4.6134200000000014</v>
      </c>
      <c r="AO652" s="323">
        <f t="shared" si="551"/>
        <v>-36.070443640999997</v>
      </c>
      <c r="AP652" s="323">
        <f t="shared" si="551"/>
        <v>-10.609500604000003</v>
      </c>
      <c r="AQ652" s="323">
        <f t="shared" si="551"/>
        <v>0.24705696299999502</v>
      </c>
      <c r="AR652" s="323">
        <f t="shared" si="551"/>
        <v>-33.070978670999999</v>
      </c>
      <c r="AS652" s="323">
        <f t="shared" si="551"/>
        <v>-35.786151999999987</v>
      </c>
      <c r="AT652" s="323">
        <f t="shared" si="551"/>
        <v>-1.3212442129999982</v>
      </c>
      <c r="AU652" s="323">
        <f t="shared" si="551"/>
        <v>-16.286516090000003</v>
      </c>
      <c r="AV652" s="323">
        <f t="shared" si="551"/>
        <v>-26.443454875000004</v>
      </c>
      <c r="AW652" s="323">
        <f t="shared" si="551"/>
        <v>-12.345760294999998</v>
      </c>
      <c r="AX652" s="323">
        <f t="shared" si="551"/>
        <v>-38.116715264</v>
      </c>
      <c r="AY652" s="323">
        <f t="shared" si="551"/>
        <v>-20.462872940999993</v>
      </c>
      <c r="AZ652" s="323">
        <f t="shared" si="551"/>
        <v>-17.53015280499999</v>
      </c>
      <c r="BA652" s="323">
        <f t="shared" si="551"/>
        <v>-37.703387418999995</v>
      </c>
      <c r="BB652" s="323">
        <f t="shared" si="551"/>
        <v>-11.253909670999999</v>
      </c>
      <c r="BC652" s="323">
        <f t="shared" si="551"/>
        <v>4.2784338900000023</v>
      </c>
      <c r="BD652" s="323">
        <f t="shared" si="551"/>
        <v>-44.729874713000001</v>
      </c>
      <c r="BE652" s="323">
        <f t="shared" si="551"/>
        <v>-51.514488002999997</v>
      </c>
      <c r="BF652" s="323">
        <f t="shared" si="551"/>
        <v>25.189530926999996</v>
      </c>
      <c r="BG652" s="323">
        <f t="shared" si="551"/>
        <v>-10.963814687199998</v>
      </c>
      <c r="BH652" s="323">
        <f t="shared" si="551"/>
        <v>-39.554216921800005</v>
      </c>
      <c r="BI652" s="323">
        <f t="shared" si="551"/>
        <v>10.548396880900007</v>
      </c>
      <c r="BJ652" s="323">
        <f t="shared" si="551"/>
        <v>-59.524933322999999</v>
      </c>
      <c r="BK652" s="323">
        <f t="shared" si="551"/>
        <v>-20.675780279000012</v>
      </c>
      <c r="BL652" s="323">
        <f t="shared" si="551"/>
        <v>11.861924300999993</v>
      </c>
      <c r="BM652" s="323">
        <f t="shared" si="551"/>
        <v>-38.728858946000003</v>
      </c>
      <c r="BN652" s="323">
        <f t="shared" si="551"/>
        <v>-11.068437587</v>
      </c>
      <c r="BO652" s="323">
        <f t="shared" si="551"/>
        <v>10.234710514999993</v>
      </c>
      <c r="BP652" s="323">
        <f t="shared" si="551"/>
        <v>-62.100308585000015</v>
      </c>
      <c r="BQ652" s="323">
        <f t="shared" ref="BQ652:CV652" si="552">BQ552-(BQ590-BQ599)-BQ622</f>
        <v>-51.908089635999993</v>
      </c>
      <c r="BR652" s="323">
        <f t="shared" si="552"/>
        <v>26.502456860999995</v>
      </c>
      <c r="BS652" s="323">
        <f t="shared" si="552"/>
        <v>-18.309499999999996</v>
      </c>
      <c r="BT652" s="323">
        <f t="shared" si="552"/>
        <v>-16.135899999999985</v>
      </c>
      <c r="BU652" s="323">
        <f t="shared" si="552"/>
        <v>11.881499999999997</v>
      </c>
      <c r="BV652" s="323">
        <f t="shared" si="552"/>
        <v>-49.667038638367643</v>
      </c>
      <c r="BW652" s="323">
        <f t="shared" si="552"/>
        <v>-20.455534435341178</v>
      </c>
      <c r="BX652" s="323">
        <f t="shared" si="552"/>
        <v>29.211094087505174</v>
      </c>
      <c r="BY652" s="323">
        <f t="shared" si="552"/>
        <v>-22.34511392508367</v>
      </c>
      <c r="BZ652" s="323">
        <f t="shared" si="552"/>
        <v>-24.169416216196566</v>
      </c>
      <c r="CA652" s="323">
        <f t="shared" si="552"/>
        <v>31.637890027590302</v>
      </c>
      <c r="CB652" s="323">
        <f t="shared" si="552"/>
        <v>-69.918107199119532</v>
      </c>
      <c r="CC652" s="323">
        <f t="shared" si="552"/>
        <v>-37.518169376777053</v>
      </c>
      <c r="CD652" s="323">
        <f t="shared" si="552"/>
        <v>31.165373847880797</v>
      </c>
      <c r="CE652" s="324">
        <f t="shared" si="552"/>
        <v>-11.271510273302734</v>
      </c>
      <c r="CF652" s="323">
        <f t="shared" si="552"/>
        <v>-20.878310956427207</v>
      </c>
      <c r="CG652" s="323">
        <f t="shared" si="552"/>
        <v>8.2530406952934303</v>
      </c>
      <c r="CH652" s="323">
        <f t="shared" si="552"/>
        <v>-35.722659719249762</v>
      </c>
      <c r="CI652" s="323">
        <f t="shared" si="552"/>
        <v>-12.194797963175283</v>
      </c>
      <c r="CJ652" s="323">
        <f t="shared" si="552"/>
        <v>32.382983393932797</v>
      </c>
      <c r="CK652" s="323">
        <f t="shared" si="552"/>
        <v>-45.707484686174965</v>
      </c>
      <c r="CL652" s="323">
        <f t="shared" si="552"/>
        <v>-14.354390594916932</v>
      </c>
      <c r="CM652" s="323">
        <f t="shared" si="552"/>
        <v>8.5077581974562122</v>
      </c>
      <c r="CN652" s="323">
        <f t="shared" si="552"/>
        <v>-60.926900050082651</v>
      </c>
      <c r="CO652" s="323">
        <f t="shared" si="552"/>
        <v>-67.248360757800413</v>
      </c>
      <c r="CP652" s="325">
        <f t="shared" si="552"/>
        <v>36.604281829119849</v>
      </c>
      <c r="CQ652" s="323">
        <f t="shared" si="552"/>
        <v>-38.694943419576674</v>
      </c>
      <c r="CR652" s="323">
        <f t="shared" si="552"/>
        <v>-24.158878653288536</v>
      </c>
      <c r="CS652" s="323">
        <f t="shared" si="552"/>
        <v>-9.3771184982774685</v>
      </c>
      <c r="CT652" s="323">
        <f t="shared" si="552"/>
        <v>-34.097640478117768</v>
      </c>
      <c r="CU652" s="323">
        <f t="shared" si="552"/>
        <v>-17.844267712205632</v>
      </c>
      <c r="CV652" s="323">
        <f t="shared" si="552"/>
        <v>1.9127797496151295</v>
      </c>
      <c r="CW652" s="323">
        <f t="shared" ref="CW652:EB652" si="553">CW552-(CW590-CW599)-CW622</f>
        <v>-36.476527755722422</v>
      </c>
      <c r="CX652" s="323">
        <f t="shared" si="553"/>
        <v>-14.07863135273692</v>
      </c>
      <c r="CY652" s="323">
        <f t="shared" si="553"/>
        <v>-36.752350539088198</v>
      </c>
      <c r="CZ652" s="323">
        <f t="shared" si="553"/>
        <v>-93.507431737909897</v>
      </c>
      <c r="DA652" s="323">
        <f t="shared" si="553"/>
        <v>-50.801628721397307</v>
      </c>
      <c r="DB652" s="1269">
        <f t="shared" si="553"/>
        <v>38.523715280851192</v>
      </c>
      <c r="DC652" s="323">
        <f t="shared" si="553"/>
        <v>-35.908695735153287</v>
      </c>
      <c r="DD652" s="323">
        <f t="shared" si="553"/>
        <v>-19.91011145706446</v>
      </c>
      <c r="DE652" s="323">
        <f t="shared" si="553"/>
        <v>-10.207999523431596</v>
      </c>
      <c r="DF652" s="323">
        <f t="shared" si="553"/>
        <v>-73.458135172093677</v>
      </c>
      <c r="DG652" s="323">
        <f t="shared" si="553"/>
        <v>-17.854596028450842</v>
      </c>
      <c r="DH652" s="323">
        <f t="shared" si="553"/>
        <v>18.858224684493841</v>
      </c>
      <c r="DI652" s="323">
        <f t="shared" si="553"/>
        <v>-80.315227761347614</v>
      </c>
      <c r="DJ652" s="323">
        <f t="shared" si="553"/>
        <v>-9.1779487008523475</v>
      </c>
      <c r="DK652" s="323">
        <f t="shared" si="553"/>
        <v>14.822286333312469</v>
      </c>
      <c r="DL652" s="323">
        <f t="shared" si="553"/>
        <v>-68.895133740316581</v>
      </c>
      <c r="DM652" s="323">
        <f t="shared" si="553"/>
        <v>-41.72932693750311</v>
      </c>
      <c r="DN652" s="325">
        <f t="shared" si="553"/>
        <v>41.658169009407203</v>
      </c>
      <c r="DO652" s="323">
        <f t="shared" si="553"/>
        <v>-43.997158736100005</v>
      </c>
      <c r="DP652" s="323">
        <f t="shared" si="553"/>
        <v>-46.779563285699986</v>
      </c>
      <c r="DQ652" s="323">
        <f t="shared" si="553"/>
        <v>18.458198528999997</v>
      </c>
      <c r="DR652" s="323">
        <f t="shared" si="553"/>
        <v>-71.829807732299997</v>
      </c>
      <c r="DS652" s="323">
        <f t="shared" si="553"/>
        <v>-29.884014070320013</v>
      </c>
      <c r="DT652" s="323">
        <f t="shared" si="553"/>
        <v>26.401768383447269</v>
      </c>
      <c r="DU652" s="323">
        <f t="shared" si="553"/>
        <v>-78.605957346899999</v>
      </c>
      <c r="DV652" s="323">
        <f t="shared" si="553"/>
        <v>-18.914229349900005</v>
      </c>
      <c r="DW652" s="323">
        <f t="shared" si="553"/>
        <v>57.375712066510019</v>
      </c>
      <c r="DX652" s="323">
        <f t="shared" si="553"/>
        <v>-97.743756383779996</v>
      </c>
      <c r="DY652" s="323">
        <f t="shared" si="553"/>
        <v>-43.339918884299969</v>
      </c>
      <c r="DZ652" s="325">
        <f t="shared" si="553"/>
        <v>27.461292362900011</v>
      </c>
      <c r="EA652" s="323">
        <f t="shared" si="553"/>
        <v>-48.577360104749999</v>
      </c>
      <c r="EB652" s="323">
        <f t="shared" si="553"/>
        <v>-49.680724593460006</v>
      </c>
      <c r="EC652" s="323">
        <f t="shared" ref="EC652:EK652" si="554">EC552-(EC590-EC599)-EC622</f>
        <v>-29.239390645930023</v>
      </c>
      <c r="ED652" s="323">
        <f t="shared" si="554"/>
        <v>-57.806807174479999</v>
      </c>
      <c r="EE652" s="323">
        <f t="shared" si="554"/>
        <v>-29.548763837839985</v>
      </c>
      <c r="EF652" s="323">
        <f t="shared" si="554"/>
        <v>26.439073612129992</v>
      </c>
      <c r="EG652" s="323">
        <f t="shared" si="554"/>
        <v>-62.218450031080749</v>
      </c>
      <c r="EH652" s="323">
        <f t="shared" si="554"/>
        <v>-16.413727037695999</v>
      </c>
      <c r="EI652" s="323">
        <f t="shared" si="554"/>
        <v>7.2212469278413636</v>
      </c>
      <c r="EJ652" s="323">
        <f t="shared" si="554"/>
        <v>-21.696135894554786</v>
      </c>
      <c r="EK652" s="323">
        <f t="shared" si="554"/>
        <v>-43.080324826472136</v>
      </c>
      <c r="EL652" s="325">
        <f t="shared" ref="EL652:ER652" si="555">EL552-(EL590-EL599)-EL622</f>
        <v>67.385154583788477</v>
      </c>
      <c r="EM652" s="323">
        <f t="shared" si="555"/>
        <v>-24.036348882159999</v>
      </c>
      <c r="EN652" s="323">
        <f t="shared" si="555"/>
        <v>-31.122016240229996</v>
      </c>
      <c r="EO652" s="323">
        <f t="shared" si="555"/>
        <v>1.7138099677600067</v>
      </c>
      <c r="EP652" s="323">
        <f t="shared" si="555"/>
        <v>-67.312635471423334</v>
      </c>
      <c r="EQ652" s="323">
        <f t="shared" si="555"/>
        <v>-48.470985066163315</v>
      </c>
      <c r="ER652" s="323">
        <f t="shared" si="555"/>
        <v>-4.281684145330189E-2</v>
      </c>
      <c r="ES652" s="323">
        <f t="shared" ref="ES652:EX652" si="556">ES552-(ES590-ES599)-ES622</f>
        <v>-15.309194276427334</v>
      </c>
      <c r="ET652" s="323">
        <f t="shared" si="556"/>
        <v>-19.599546339450065</v>
      </c>
      <c r="EU652" s="323">
        <f t="shared" si="556"/>
        <v>-40.783178339179976</v>
      </c>
      <c r="EV652" s="323">
        <f t="shared" si="556"/>
        <v>-89.313141868005587</v>
      </c>
      <c r="EW652" s="323">
        <f t="shared" si="556"/>
        <v>-70.457288939719959</v>
      </c>
      <c r="EX652" s="325">
        <f t="shared" si="556"/>
        <v>59.26970550582822</v>
      </c>
      <c r="EY652" s="323"/>
      <c r="EZ652" s="323"/>
      <c r="FA652" s="323"/>
      <c r="FB652" s="323"/>
      <c r="FC652" s="323"/>
      <c r="FD652" s="323"/>
      <c r="FE652" s="323"/>
      <c r="FF652" s="323"/>
      <c r="FG652" s="323"/>
      <c r="FH652" s="323"/>
      <c r="FI652" s="323"/>
      <c r="FJ652" s="325"/>
      <c r="FK652" s="323"/>
      <c r="FL652" s="323"/>
      <c r="FM652" s="323"/>
      <c r="FN652" s="323"/>
      <c r="FO652" s="323"/>
      <c r="FP652" s="323"/>
      <c r="FQ652" s="323"/>
      <c r="FR652" s="323"/>
      <c r="FS652" s="323"/>
      <c r="FT652" s="323"/>
      <c r="FU652" s="323"/>
      <c r="FV652" s="323"/>
      <c r="FW652" s="323"/>
      <c r="FX652" s="323"/>
      <c r="FY652" s="323"/>
      <c r="FZ652" s="323"/>
      <c r="GA652" s="323"/>
      <c r="GB652" s="323"/>
      <c r="GC652" s="323"/>
      <c r="GD652" s="323"/>
      <c r="GE652" s="323"/>
      <c r="GF652" s="323"/>
      <c r="GG652" s="323"/>
      <c r="GH652" s="323"/>
      <c r="GI652" s="323"/>
      <c r="GJ652" s="323"/>
      <c r="GK652" s="323"/>
      <c r="GL652" s="323"/>
      <c r="GM652" s="323"/>
      <c r="GN652" s="323"/>
      <c r="GO652" s="323"/>
      <c r="GP652" s="323"/>
      <c r="GQ652" s="323"/>
      <c r="GR652" s="323"/>
      <c r="GS652" s="323"/>
      <c r="GT652" s="323"/>
      <c r="GU652" s="323"/>
      <c r="GV652" s="323"/>
      <c r="GW652" s="323"/>
      <c r="GX652" s="323"/>
      <c r="GY652" s="323"/>
      <c r="GZ652" s="323"/>
      <c r="HA652" s="323"/>
      <c r="HB652" s="323"/>
      <c r="HC652" s="323"/>
      <c r="HD652" s="323"/>
      <c r="HE652" s="323"/>
      <c r="HF652" s="323"/>
      <c r="HG652" s="323"/>
      <c r="HH652" s="323"/>
      <c r="HI652" s="323"/>
      <c r="HJ652" s="323"/>
      <c r="HK652" s="323"/>
      <c r="HL652" s="323"/>
      <c r="HM652" s="323"/>
      <c r="HN652" s="323"/>
      <c r="HO652" s="323"/>
      <c r="HP652" s="323"/>
      <c r="HQ652" s="323"/>
      <c r="HR652" s="323"/>
      <c r="HS652" s="323"/>
      <c r="HT652" s="323"/>
      <c r="HU652" s="323"/>
      <c r="HV652" s="323"/>
      <c r="HW652" s="323"/>
      <c r="HX652" s="323"/>
      <c r="HY652" s="323"/>
      <c r="HZ652" s="326"/>
      <c r="IA652" s="322" t="s">
        <v>218</v>
      </c>
      <c r="IB652" s="322"/>
      <c r="IC652" s="322"/>
      <c r="ID652" s="323">
        <f>+FISC!Z862</f>
        <v>-174.67319804200014</v>
      </c>
      <c r="IE652" s="279">
        <f t="shared" ref="IE652:IL652" si="557">IE552-(IE590-IE599)-IE622</f>
        <v>-122.26006901185099</v>
      </c>
      <c r="IF652" s="279">
        <f t="shared" si="557"/>
        <v>-193.09285482600353</v>
      </c>
      <c r="IG652" s="323">
        <f t="shared" si="557"/>
        <v>-315.35292383785446</v>
      </c>
      <c r="IH652" s="279">
        <f t="shared" si="557"/>
        <v>-138.48131323169991</v>
      </c>
      <c r="II652" s="279">
        <f t="shared" si="557"/>
        <v>-143.6371817973</v>
      </c>
      <c r="IJ652" s="323">
        <f t="shared" si="557"/>
        <v>-282.11849502899986</v>
      </c>
      <c r="IK652" s="279">
        <f t="shared" si="557"/>
        <v>-147.63057691197284</v>
      </c>
      <c r="IL652" s="279">
        <f t="shared" si="557"/>
        <v>-153.76685753546994</v>
      </c>
      <c r="IM652" s="323">
        <f t="shared" si="503"/>
        <v>-301.39743444744278</v>
      </c>
      <c r="IN652" s="279">
        <f>IN552-(IN590-IN599)-IN622</f>
        <v>-72.724644029329937</v>
      </c>
      <c r="IO652" s="279">
        <f>IO552-(IO590-IO599)-IO622</f>
        <v>-14.629766555173916</v>
      </c>
      <c r="IP652" s="323">
        <f>FISC!AC862</f>
        <v>-87.354410584503853</v>
      </c>
      <c r="IQ652" s="279">
        <f t="shared" si="548"/>
        <v>-169.27099253366993</v>
      </c>
      <c r="IR652" s="279">
        <f t="shared" si="549"/>
        <v>-176.19264425695471</v>
      </c>
      <c r="IS652" s="323">
        <f t="shared" si="407"/>
        <v>-345.46363679062461</v>
      </c>
      <c r="IT652" s="279" t="e">
        <f>IT552-(IT590-IT599)-IT622</f>
        <v>#REF!</v>
      </c>
      <c r="IU652" s="279" t="e">
        <f>IV652-IT652</f>
        <v>#REF!</v>
      </c>
      <c r="IV652" s="323">
        <f>+FISC!AE862</f>
        <v>-503.7175289549682</v>
      </c>
      <c r="IW652" s="279">
        <f>IW552-(IW590-IW599)-IW622</f>
        <v>-82.430166087247983</v>
      </c>
      <c r="IX652" s="279">
        <f t="shared" si="486"/>
        <v>-260.6128307890886</v>
      </c>
      <c r="IY652" s="323">
        <f>+FISC!AF862</f>
        <v>-343.04299687633659</v>
      </c>
      <c r="IZ652" s="279">
        <f>IZ552-(IZ590-IZ599)-IZ622</f>
        <v>3013.1064082509561</v>
      </c>
      <c r="JA652" s="279">
        <f t="shared" si="540"/>
        <v>3465.6135382694615</v>
      </c>
      <c r="JB652" s="323">
        <f>+FISC!AG862</f>
        <v>6478.7199465204176</v>
      </c>
      <c r="JC652" s="279">
        <f>JC552-(JC590-JC599)-JC622</f>
        <v>4886.3880885547951</v>
      </c>
      <c r="JD652" s="279">
        <f t="shared" si="487"/>
        <v>5797.5335035402004</v>
      </c>
      <c r="JE652" s="323">
        <f>+FISC!AH862</f>
        <v>10683.921592094996</v>
      </c>
      <c r="JF652" s="279">
        <f>JF552-(JF590-JF599)-JF622</f>
        <v>6328.8688620768917</v>
      </c>
      <c r="JG652" s="279">
        <f t="shared" si="488"/>
        <v>6644.7200162459631</v>
      </c>
      <c r="JH652" s="323">
        <f>+FISC!AI862</f>
        <v>12973.588878322855</v>
      </c>
      <c r="JI652" s="279">
        <f>JI552-(JI590-JI599)-JI622</f>
        <v>-1300.4947208147933</v>
      </c>
      <c r="JJ652" s="279">
        <f t="shared" si="489"/>
        <v>-1883.5378063240832</v>
      </c>
      <c r="JK652" s="323">
        <f>+FISC!AJ862</f>
        <v>-3184.0325271388765</v>
      </c>
      <c r="JL652" s="279">
        <f>JL552-(JL590-JL599)-JL622</f>
        <v>0</v>
      </c>
      <c r="JM652" s="279">
        <f t="shared" si="490"/>
        <v>0</v>
      </c>
      <c r="JN652" s="323">
        <f>+FISC!AK862</f>
        <v>0</v>
      </c>
      <c r="JO652" s="323"/>
      <c r="KU652" s="326"/>
      <c r="KV652" s="327"/>
      <c r="KY652" s="279">
        <f>KY552-(KY590-KY599)-KY622</f>
        <v>0</v>
      </c>
      <c r="KZ652" s="279">
        <f>KZ552-(KZ590-KZ599)-KZ622</f>
        <v>0</v>
      </c>
      <c r="LA652" s="279">
        <f>LA552-(LA590-LA599)-LA622</f>
        <v>0</v>
      </c>
      <c r="LB652" s="279">
        <f>LB552-(LB590-LB599)-LB622</f>
        <v>0</v>
      </c>
    </row>
    <row r="653" spans="1:314" hidden="1">
      <c r="A653" s="279"/>
      <c r="B653" s="96" t="s">
        <v>338</v>
      </c>
      <c r="D653" s="322" t="str">
        <f>+FISC!D863</f>
        <v>Primary deficit (excluding exceptional)</v>
      </c>
      <c r="E653" s="323">
        <f t="shared" ref="E653:AJ653" si="558">E552-(E590-E599-E614)-E622</f>
        <v>-6.1964599999999992</v>
      </c>
      <c r="F653" s="323">
        <f t="shared" si="558"/>
        <v>-12.224350000000001</v>
      </c>
      <c r="G653" s="323">
        <f t="shared" si="558"/>
        <v>6.0669900000000005</v>
      </c>
      <c r="H653" s="323">
        <f t="shared" si="558"/>
        <v>-14.328950000000001</v>
      </c>
      <c r="I653" s="323">
        <f t="shared" si="558"/>
        <v>0.90000000000000213</v>
      </c>
      <c r="J653" s="323">
        <f t="shared" si="558"/>
        <v>14.037562116000002</v>
      </c>
      <c r="K653" s="323">
        <f t="shared" si="558"/>
        <v>-28.041105037000005</v>
      </c>
      <c r="L653" s="323">
        <f t="shared" si="558"/>
        <v>-7.3189213380000009</v>
      </c>
      <c r="M653" s="323">
        <f t="shared" si="558"/>
        <v>2.842772284999993</v>
      </c>
      <c r="N653" s="323">
        <f t="shared" si="558"/>
        <v>-8.7428687750000016</v>
      </c>
      <c r="O653" s="323">
        <f t="shared" si="558"/>
        <v>-24.836081563</v>
      </c>
      <c r="P653" s="323">
        <f t="shared" si="558"/>
        <v>12.392718894</v>
      </c>
      <c r="Q653" s="323">
        <f t="shared" si="558"/>
        <v>-10.578433694000001</v>
      </c>
      <c r="R653" s="323">
        <f t="shared" si="558"/>
        <v>-6.3800680730000003</v>
      </c>
      <c r="S653" s="323">
        <f t="shared" si="558"/>
        <v>-0.61409742399999789</v>
      </c>
      <c r="T653" s="323">
        <f t="shared" si="558"/>
        <v>-21.439222078</v>
      </c>
      <c r="U653" s="323">
        <f t="shared" si="558"/>
        <v>-1.8547682369999974</v>
      </c>
      <c r="V653" s="323">
        <f t="shared" si="558"/>
        <v>17.519700498999999</v>
      </c>
      <c r="W653" s="323">
        <f t="shared" si="558"/>
        <v>-23.975492805999991</v>
      </c>
      <c r="X653" s="323">
        <f t="shared" si="558"/>
        <v>-9.7138923700000106</v>
      </c>
      <c r="Y653" s="323">
        <f t="shared" si="558"/>
        <v>3.5846932930000008</v>
      </c>
      <c r="Z653" s="323">
        <f t="shared" si="558"/>
        <v>-44.573712885999996</v>
      </c>
      <c r="AA653" s="323">
        <f t="shared" si="558"/>
        <v>3.067526262999996</v>
      </c>
      <c r="AB653" s="323">
        <f t="shared" si="558"/>
        <v>61.772784633000001</v>
      </c>
      <c r="AC653" s="323">
        <f t="shared" si="558"/>
        <v>-15.809905409999997</v>
      </c>
      <c r="AD653" s="323">
        <f t="shared" si="558"/>
        <v>-2.6994693690000009</v>
      </c>
      <c r="AE653" s="323">
        <f t="shared" si="558"/>
        <v>-14.257550907999999</v>
      </c>
      <c r="AF653" s="323">
        <f t="shared" si="558"/>
        <v>-23.169284062000003</v>
      </c>
      <c r="AG653" s="323">
        <f t="shared" si="558"/>
        <v>-11.134552695999998</v>
      </c>
      <c r="AH653" s="323">
        <f t="shared" si="558"/>
        <v>14.208994720999991</v>
      </c>
      <c r="AI653" s="323">
        <f t="shared" si="558"/>
        <v>-15.165908441999999</v>
      </c>
      <c r="AJ653" s="323">
        <f t="shared" si="558"/>
        <v>-11.001259862999991</v>
      </c>
      <c r="AK653" s="323">
        <f t="shared" ref="AK653:BP653" si="559">AK552-(AK590-AK599-AK614)-AK622</f>
        <v>2.8413688390000011</v>
      </c>
      <c r="AL653" s="323">
        <f t="shared" si="559"/>
        <v>-37.923793738000001</v>
      </c>
      <c r="AM653" s="323">
        <f t="shared" si="559"/>
        <v>-18.166270000000004</v>
      </c>
      <c r="AN653" s="323">
        <f t="shared" si="559"/>
        <v>7.6245900000000013</v>
      </c>
      <c r="AO653" s="323">
        <f t="shared" si="559"/>
        <v>-26.689003640999992</v>
      </c>
      <c r="AP653" s="323">
        <f t="shared" si="559"/>
        <v>-6.9260906040000041</v>
      </c>
      <c r="AQ653" s="323">
        <f t="shared" si="559"/>
        <v>1.2241169629999966</v>
      </c>
      <c r="AR653" s="323">
        <f t="shared" si="559"/>
        <v>-31.671378670999999</v>
      </c>
      <c r="AS653" s="323">
        <f t="shared" si="559"/>
        <v>-30.128121999999991</v>
      </c>
      <c r="AT653" s="323">
        <f t="shared" si="559"/>
        <v>2.458875787000002</v>
      </c>
      <c r="AU653" s="323">
        <f t="shared" si="559"/>
        <v>-12.169976090000002</v>
      </c>
      <c r="AV653" s="323">
        <f t="shared" si="559"/>
        <v>-15.854754875000001</v>
      </c>
      <c r="AW653" s="323">
        <f t="shared" si="559"/>
        <v>-8.8442802949999972</v>
      </c>
      <c r="AX653" s="323">
        <f t="shared" si="559"/>
        <v>-30.130565263999998</v>
      </c>
      <c r="AY653" s="323">
        <f t="shared" si="559"/>
        <v>-15.446052940999991</v>
      </c>
      <c r="AZ653" s="323">
        <f t="shared" si="559"/>
        <v>-11.88955280499999</v>
      </c>
      <c r="BA653" s="323">
        <f t="shared" si="559"/>
        <v>-30.986907418999998</v>
      </c>
      <c r="BB653" s="323">
        <f t="shared" si="559"/>
        <v>-5.7944996710000005</v>
      </c>
      <c r="BC653" s="323">
        <f t="shared" si="559"/>
        <v>6.1992238900000025</v>
      </c>
      <c r="BD653" s="323">
        <f t="shared" si="559"/>
        <v>-38.714474713000001</v>
      </c>
      <c r="BE653" s="323">
        <f t="shared" si="559"/>
        <v>-40.984668002999996</v>
      </c>
      <c r="BF653" s="323">
        <f t="shared" si="559"/>
        <v>25.584640926999995</v>
      </c>
      <c r="BG653" s="323">
        <f t="shared" si="559"/>
        <v>-4.0104046871999994</v>
      </c>
      <c r="BH653" s="323">
        <f t="shared" si="559"/>
        <v>-33.424146921800002</v>
      </c>
      <c r="BI653" s="323">
        <f t="shared" si="559"/>
        <v>13.195196880900006</v>
      </c>
      <c r="BJ653" s="323">
        <f t="shared" si="559"/>
        <v>-54.211163323000001</v>
      </c>
      <c r="BK653" s="323">
        <f t="shared" si="559"/>
        <v>-13.210290279000009</v>
      </c>
      <c r="BL653" s="323">
        <f t="shared" si="559"/>
        <v>15.877934300999994</v>
      </c>
      <c r="BM653" s="323">
        <f t="shared" si="559"/>
        <v>-30.108928945999999</v>
      </c>
      <c r="BN653" s="323">
        <f t="shared" si="559"/>
        <v>-1.2808375870000024</v>
      </c>
      <c r="BO653" s="323">
        <f t="shared" si="559"/>
        <v>18.580790514999993</v>
      </c>
      <c r="BP653" s="323">
        <f t="shared" si="559"/>
        <v>-55.837938585000011</v>
      </c>
      <c r="BQ653" s="323">
        <f t="shared" ref="BQ653:CV653" si="560">BQ552-(BQ590-BQ599-BQ614)-BQ622</f>
        <v>-44.472409635999995</v>
      </c>
      <c r="BR653" s="323">
        <f t="shared" si="560"/>
        <v>28.003186861</v>
      </c>
      <c r="BS653" s="323">
        <f t="shared" si="560"/>
        <v>-13.280199999999997</v>
      </c>
      <c r="BT653" s="323">
        <f t="shared" si="560"/>
        <v>-8.8293999999999855</v>
      </c>
      <c r="BU653" s="323">
        <f t="shared" si="560"/>
        <v>16.871099999999998</v>
      </c>
      <c r="BV653" s="323">
        <f t="shared" si="560"/>
        <v>-41.030705077367642</v>
      </c>
      <c r="BW653" s="323">
        <f t="shared" si="560"/>
        <v>-15.547882664341181</v>
      </c>
      <c r="BX653" s="323">
        <f t="shared" si="560"/>
        <v>34.982122133505172</v>
      </c>
      <c r="BY653" s="323">
        <f t="shared" si="560"/>
        <v>-12.569637339083666</v>
      </c>
      <c r="BZ653" s="323">
        <f t="shared" si="560"/>
        <v>-17.704044196196563</v>
      </c>
      <c r="CA653" s="323">
        <f t="shared" si="560"/>
        <v>36.485136263590299</v>
      </c>
      <c r="CB653" s="323">
        <f t="shared" si="560"/>
        <v>-60.119566557119533</v>
      </c>
      <c r="CC653" s="323">
        <f t="shared" si="560"/>
        <v>-27.119989313777051</v>
      </c>
      <c r="CD653" s="323">
        <f t="shared" si="560"/>
        <v>33.187163922880799</v>
      </c>
      <c r="CE653" s="324">
        <f t="shared" si="560"/>
        <v>-7.1496424613027374</v>
      </c>
      <c r="CF653" s="323">
        <f t="shared" si="560"/>
        <v>-17.825518420427208</v>
      </c>
      <c r="CG653" s="323">
        <f t="shared" si="560"/>
        <v>12.632798810293432</v>
      </c>
      <c r="CH653" s="323">
        <f t="shared" si="560"/>
        <v>-27.521408795249766</v>
      </c>
      <c r="CI653" s="323">
        <f t="shared" si="560"/>
        <v>-7.5315064691752838</v>
      </c>
      <c r="CJ653" s="323">
        <f t="shared" si="560"/>
        <v>41.978482621932798</v>
      </c>
      <c r="CK653" s="323">
        <f t="shared" si="560"/>
        <v>-25.918856978174972</v>
      </c>
      <c r="CL653" s="323">
        <f t="shared" si="560"/>
        <v>-5.0252124879169351</v>
      </c>
      <c r="CM653" s="323">
        <f t="shared" si="560"/>
        <v>12.480628130456211</v>
      </c>
      <c r="CN653" s="323">
        <f t="shared" si="560"/>
        <v>-24.885959966082655</v>
      </c>
      <c r="CO653" s="323">
        <f t="shared" si="560"/>
        <v>-56.860169667800413</v>
      </c>
      <c r="CP653" s="325">
        <f t="shared" si="560"/>
        <v>42.178499971119855</v>
      </c>
      <c r="CQ653" s="323">
        <f t="shared" si="560"/>
        <v>-30.570965628576673</v>
      </c>
      <c r="CR653" s="323">
        <f t="shared" si="560"/>
        <v>-15.996246409288535</v>
      </c>
      <c r="CS653" s="323">
        <f t="shared" si="560"/>
        <v>8.2568194327225299</v>
      </c>
      <c r="CT653" s="323">
        <f t="shared" si="560"/>
        <v>-29.777578978117774</v>
      </c>
      <c r="CU653" s="323">
        <f t="shared" si="560"/>
        <v>-4.531381867205635</v>
      </c>
      <c r="CV653" s="323">
        <f t="shared" si="560"/>
        <v>12.70906508661513</v>
      </c>
      <c r="CW653" s="323">
        <f t="shared" ref="CW653:EB653" si="561">CW552-(CW590-CW599-CW614)-CW622</f>
        <v>-30.473788605722426</v>
      </c>
      <c r="CX653" s="323">
        <f t="shared" si="561"/>
        <v>2.4432346272630809</v>
      </c>
      <c r="CY653" s="323">
        <f t="shared" si="561"/>
        <v>-10.452401316088199</v>
      </c>
      <c r="CZ653" s="323">
        <f t="shared" si="561"/>
        <v>-65.128244704909889</v>
      </c>
      <c r="DA653" s="323">
        <f t="shared" si="561"/>
        <v>-32.764453858397303</v>
      </c>
      <c r="DB653" s="1269">
        <f t="shared" si="561"/>
        <v>42.396601738851189</v>
      </c>
      <c r="DC653" s="323">
        <f t="shared" si="561"/>
        <v>-15.877029295153282</v>
      </c>
      <c r="DD653" s="323">
        <f t="shared" si="561"/>
        <v>-14.151631113064461</v>
      </c>
      <c r="DE653" s="323">
        <f t="shared" si="561"/>
        <v>5.3390821465684013</v>
      </c>
      <c r="DF653" s="323">
        <f t="shared" si="561"/>
        <v>-51.969507122093667</v>
      </c>
      <c r="DG653" s="323">
        <f t="shared" si="561"/>
        <v>-8.7630612434508421</v>
      </c>
      <c r="DH653" s="323">
        <f t="shared" si="561"/>
        <v>23.938960942493843</v>
      </c>
      <c r="DI653" s="323">
        <f t="shared" si="561"/>
        <v>-53.006578735347617</v>
      </c>
      <c r="DJ653" s="323">
        <f t="shared" si="561"/>
        <v>-3.6191938858523471</v>
      </c>
      <c r="DK653" s="323">
        <f t="shared" si="561"/>
        <v>25.261335566312475</v>
      </c>
      <c r="DL653" s="323">
        <f t="shared" si="561"/>
        <v>-49.420770466316583</v>
      </c>
      <c r="DM653" s="323">
        <f t="shared" si="561"/>
        <v>-30.308346972503109</v>
      </c>
      <c r="DN653" s="325">
        <f t="shared" si="561"/>
        <v>49.67023177340721</v>
      </c>
      <c r="DO653" s="323">
        <f t="shared" si="561"/>
        <v>-26.166771896099998</v>
      </c>
      <c r="DP653" s="323">
        <f t="shared" si="561"/>
        <v>-22.321109361699989</v>
      </c>
      <c r="DQ653" s="323">
        <f t="shared" si="561"/>
        <v>27.451858212000001</v>
      </c>
      <c r="DR653" s="323">
        <f t="shared" si="561"/>
        <v>-53.800264620299998</v>
      </c>
      <c r="DS653" s="323">
        <f t="shared" si="561"/>
        <v>-16.136075271320017</v>
      </c>
      <c r="DT653" s="323">
        <f t="shared" si="561"/>
        <v>46.72044293244727</v>
      </c>
      <c r="DU653" s="323">
        <f t="shared" si="561"/>
        <v>-63.573315977899988</v>
      </c>
      <c r="DV653" s="323">
        <f t="shared" si="561"/>
        <v>-10.530563307900003</v>
      </c>
      <c r="DW653" s="323">
        <f t="shared" si="561"/>
        <v>62.618726867510006</v>
      </c>
      <c r="DX653" s="323">
        <f t="shared" si="561"/>
        <v>-82.635377679779992</v>
      </c>
      <c r="DY653" s="323">
        <f t="shared" si="561"/>
        <v>-32.093589831299973</v>
      </c>
      <c r="DZ653" s="325">
        <f t="shared" si="561"/>
        <v>28.422488528900004</v>
      </c>
      <c r="EA653" s="323">
        <f t="shared" si="561"/>
        <v>-22.704479423750001</v>
      </c>
      <c r="EB653" s="323">
        <f t="shared" si="561"/>
        <v>-36.755613494460015</v>
      </c>
      <c r="EC653" s="323">
        <f t="shared" ref="EC653:EK653" si="562">EC552-(EC590-EC599-EC614)-EC622</f>
        <v>-3.3853837749300268</v>
      </c>
      <c r="ED653" s="323">
        <f t="shared" si="562"/>
        <v>-24.527572975479998</v>
      </c>
      <c r="EE653" s="323">
        <f t="shared" si="562"/>
        <v>-15.234333425839978</v>
      </c>
      <c r="EF653" s="323">
        <f t="shared" si="562"/>
        <v>38.151358271129993</v>
      </c>
      <c r="EG653" s="323">
        <f t="shared" si="562"/>
        <v>-53.487441703080748</v>
      </c>
      <c r="EH653" s="323">
        <f t="shared" si="562"/>
        <v>-8.7798199666960031</v>
      </c>
      <c r="EI653" s="323">
        <f t="shared" si="562"/>
        <v>18.80676728984136</v>
      </c>
      <c r="EJ653" s="323">
        <f t="shared" si="562"/>
        <v>-10.262963879554789</v>
      </c>
      <c r="EK653" s="323">
        <f t="shared" si="562"/>
        <v>-28.462664712472133</v>
      </c>
      <c r="EL653" s="325">
        <f t="shared" ref="EL653:ER653" si="563">EL552-(EL590-EL599-EL614)-EL622</f>
        <v>71.265061277788476</v>
      </c>
      <c r="EM653" s="323">
        <f t="shared" si="563"/>
        <v>-18.363552369160004</v>
      </c>
      <c r="EN653" s="323">
        <f t="shared" si="563"/>
        <v>2.6184231117699994</v>
      </c>
      <c r="EO653" s="323">
        <f t="shared" si="563"/>
        <v>15.507698977760008</v>
      </c>
      <c r="EP653" s="323">
        <f t="shared" si="563"/>
        <v>-41.599973191423338</v>
      </c>
      <c r="EQ653" s="323">
        <f t="shared" si="563"/>
        <v>-31.475102788163319</v>
      </c>
      <c r="ER653" s="323">
        <f t="shared" si="563"/>
        <v>16.011577669546696</v>
      </c>
      <c r="ES653" s="323">
        <f t="shared" ref="ES653:EX653" si="564">ES552-(ES590-ES599-ES614)-ES622</f>
        <v>-3.5845265844273371</v>
      </c>
      <c r="ET653" s="323">
        <f t="shared" si="564"/>
        <v>-13.878437317450071</v>
      </c>
      <c r="EU653" s="323">
        <f t="shared" si="564"/>
        <v>-6.2027366106799704</v>
      </c>
      <c r="EV653" s="323">
        <f t="shared" si="564"/>
        <v>-56.361229006505582</v>
      </c>
      <c r="EW653" s="323">
        <f t="shared" si="564"/>
        <v>-51.756030308219962</v>
      </c>
      <c r="EX653" s="325">
        <f t="shared" si="564"/>
        <v>81.319429101328211</v>
      </c>
      <c r="EY653" s="323"/>
      <c r="EZ653" s="323"/>
      <c r="FA653" s="323"/>
      <c r="FB653" s="323"/>
      <c r="FC653" s="323"/>
      <c r="FD653" s="323"/>
      <c r="FE653" s="323"/>
      <c r="FF653" s="323"/>
      <c r="FG653" s="323"/>
      <c r="FH653" s="323"/>
      <c r="FI653" s="323"/>
      <c r="FJ653" s="325"/>
      <c r="FK653" s="323"/>
      <c r="FL653" s="323"/>
      <c r="FM653" s="323"/>
      <c r="FN653" s="323"/>
      <c r="FO653" s="323"/>
      <c r="FP653" s="323"/>
      <c r="FQ653" s="323"/>
      <c r="FR653" s="323"/>
      <c r="FS653" s="323"/>
      <c r="FT653" s="323"/>
      <c r="FU653" s="323"/>
      <c r="FV653" s="323"/>
      <c r="FW653" s="323"/>
      <c r="FX653" s="323"/>
      <c r="FY653" s="323"/>
      <c r="FZ653" s="323"/>
      <c r="GA653" s="323"/>
      <c r="GB653" s="323"/>
      <c r="GC653" s="323"/>
      <c r="GD653" s="323"/>
      <c r="GE653" s="323"/>
      <c r="GF653" s="323"/>
      <c r="GG653" s="323"/>
      <c r="GH653" s="323"/>
      <c r="GI653" s="323"/>
      <c r="GJ653" s="323"/>
      <c r="GK653" s="323"/>
      <c r="GL653" s="323"/>
      <c r="GM653" s="323"/>
      <c r="GN653" s="323"/>
      <c r="GO653" s="323"/>
      <c r="GP653" s="323"/>
      <c r="GQ653" s="323"/>
      <c r="GR653" s="323"/>
      <c r="GS653" s="323"/>
      <c r="GT653" s="323"/>
      <c r="GU653" s="323"/>
      <c r="GV653" s="323"/>
      <c r="GW653" s="323"/>
      <c r="GX653" s="323"/>
      <c r="GY653" s="323"/>
      <c r="GZ653" s="323"/>
      <c r="HA653" s="323"/>
      <c r="HB653" s="323"/>
      <c r="HC653" s="323"/>
      <c r="HD653" s="323"/>
      <c r="HE653" s="323"/>
      <c r="HF653" s="323"/>
      <c r="HG653" s="323"/>
      <c r="HH653" s="323"/>
      <c r="HI653" s="323"/>
      <c r="HJ653" s="323"/>
      <c r="HK653" s="323"/>
      <c r="HL653" s="323"/>
      <c r="HM653" s="323"/>
      <c r="HN653" s="323"/>
      <c r="HO653" s="323"/>
      <c r="HP653" s="323"/>
      <c r="HQ653" s="323"/>
      <c r="HR653" s="323"/>
      <c r="HS653" s="323"/>
      <c r="HT653" s="323"/>
      <c r="HU653" s="323"/>
      <c r="HV653" s="323"/>
      <c r="HW653" s="323"/>
      <c r="HX653" s="323"/>
      <c r="HY653" s="323"/>
      <c r="HZ653" s="326"/>
      <c r="IA653" s="322" t="s">
        <v>154</v>
      </c>
      <c r="IB653" s="322"/>
      <c r="IC653" s="322"/>
      <c r="ID653" s="323">
        <f>+FISC!Z863</f>
        <v>-53.593198042000125</v>
      </c>
      <c r="IE653" s="279">
        <f t="shared" ref="IE653:IL653" si="565">IE552-(IE590-IE599-IE614)-IE622</f>
        <v>-59.910288363851009</v>
      </c>
      <c r="IF653" s="279">
        <f t="shared" si="565"/>
        <v>-93.979052119003541</v>
      </c>
      <c r="IG653" s="323">
        <f t="shared" si="565"/>
        <v>-153.88934048285449</v>
      </c>
      <c r="IH653" s="279">
        <f t="shared" si="565"/>
        <v>-61.483185684699947</v>
      </c>
      <c r="II653" s="279">
        <f t="shared" si="565"/>
        <v>-61.423322720300007</v>
      </c>
      <c r="IJ653" s="323">
        <f t="shared" si="565"/>
        <v>-122.90650840499984</v>
      </c>
      <c r="IK653" s="279">
        <f t="shared" si="565"/>
        <v>-44.251920004972789</v>
      </c>
      <c r="IL653" s="279">
        <f t="shared" si="565"/>
        <v>-97.791631400469925</v>
      </c>
      <c r="IM653" s="323">
        <f t="shared" si="503"/>
        <v>-142.04355140544271</v>
      </c>
      <c r="IP653" s="323">
        <f>FISC!AC863</f>
        <v>94.484711920496125</v>
      </c>
      <c r="IQ653" s="279">
        <f t="shared" si="548"/>
        <v>-57.300928589669965</v>
      </c>
      <c r="IR653" s="279">
        <f t="shared" si="549"/>
        <v>-50.463530725954712</v>
      </c>
      <c r="IS653" s="323">
        <f t="shared" si="407"/>
        <v>-107.76445931562468</v>
      </c>
      <c r="IT653" s="279" t="e">
        <f>IT552-(IT590-IT599-IT614)-IT622</f>
        <v>#REF!</v>
      </c>
      <c r="IU653" s="279" t="e">
        <f>IV653-IT653</f>
        <v>#REF!</v>
      </c>
      <c r="IV653" s="323">
        <f>+FISC!AE863</f>
        <v>-273.35751798031038</v>
      </c>
      <c r="IW653" s="279">
        <f>IW552-(IW590-IW599-IW614)-IW622</f>
        <v>1.5837450539084443</v>
      </c>
      <c r="IX653" s="279">
        <f t="shared" si="486"/>
        <v>-159.85631650699094</v>
      </c>
      <c r="IY653" s="323">
        <f>+FISC!AF863</f>
        <v>-158.27257145308249</v>
      </c>
      <c r="IZ653" s="279">
        <f>IZ552-(IZ590-IZ599-IZ614)-IZ622</f>
        <v>3092.5723944447745</v>
      </c>
      <c r="JA653" s="279">
        <f t="shared" si="540"/>
        <v>3566.7255954482316</v>
      </c>
      <c r="JB653" s="323">
        <f>+FISC!AG863</f>
        <v>6659.2979898930062</v>
      </c>
      <c r="JC653" s="279">
        <f>JC552-(JC590-JC599-JC614)-JC622</f>
        <v>4978.6858740320786</v>
      </c>
      <c r="JD653" s="279">
        <f t="shared" si="487"/>
        <v>5920.6517038855818</v>
      </c>
      <c r="JE653" s="323">
        <f>+FISC!AH863</f>
        <v>10899.33757791766</v>
      </c>
      <c r="JF653" s="279">
        <f>JF552-(JF590-JF599-JF614)-JF622</f>
        <v>6431.0125737739781</v>
      </c>
      <c r="JG653" s="279">
        <f t="shared" si="488"/>
        <v>6782.6984000623561</v>
      </c>
      <c r="JH653" s="323">
        <f>+FISC!AI863</f>
        <v>13213.710973836334</v>
      </c>
      <c r="JI653" s="279">
        <f>JI552-(JI590-JI599-JI614)-JI622</f>
        <v>-1300.4947208147933</v>
      </c>
      <c r="JJ653" s="279">
        <f t="shared" si="489"/>
        <v>-1883.5378063240832</v>
      </c>
      <c r="JK653" s="323">
        <f>+FISC!AJ863</f>
        <v>-3184.0325271388765</v>
      </c>
      <c r="JL653" s="279">
        <f>JL552-(JL590-JL599-JL614)-JL622</f>
        <v>0</v>
      </c>
      <c r="JM653" s="279">
        <f t="shared" si="490"/>
        <v>0</v>
      </c>
      <c r="JN653" s="323">
        <f>+FISC!AK863</f>
        <v>0</v>
      </c>
      <c r="JO653" s="323"/>
      <c r="KU653" s="326"/>
      <c r="KV653" s="327"/>
      <c r="KY653" s="279">
        <f>KY552-(KY590-KY599-KY614)-KY622</f>
        <v>0</v>
      </c>
      <c r="KZ653" s="279">
        <f>KZ552-(KZ590-KZ599-KZ614)-KZ622</f>
        <v>0</v>
      </c>
      <c r="LA653" s="279">
        <f>LA552-(LA590-LA599-LA614)-LA622</f>
        <v>0</v>
      </c>
      <c r="LB653" s="279">
        <f>LB552-(LB590-LB599-LB614)-LB622</f>
        <v>0</v>
      </c>
    </row>
    <row r="654" spans="1:314" hidden="1">
      <c r="A654" s="279"/>
      <c r="B654" s="96" t="s">
        <v>338</v>
      </c>
      <c r="D654" s="328" t="str">
        <f>+FISC!D864</f>
        <v>Domestic Fiscal Balance ( excl. Demob and PKO; incl. net lending)</v>
      </c>
      <c r="E654" s="323">
        <f t="shared" ref="E654:AJ654" si="566">E552-(E590-E616-E617)-E622-E635</f>
        <v>-14.233886187904123</v>
      </c>
      <c r="F654" s="323">
        <f t="shared" si="566"/>
        <v>-16.028930033720002</v>
      </c>
      <c r="G654" s="323">
        <f t="shared" si="566"/>
        <v>2.7810474829675003</v>
      </c>
      <c r="H654" s="323">
        <f t="shared" si="566"/>
        <v>-19.644421869128273</v>
      </c>
      <c r="I654" s="323">
        <f t="shared" si="566"/>
        <v>-2.8403267278979989</v>
      </c>
      <c r="J654" s="323">
        <f t="shared" si="566"/>
        <v>11.115585093274102</v>
      </c>
      <c r="K654" s="323">
        <f t="shared" si="566"/>
        <v>-34.985963882326296</v>
      </c>
      <c r="L654" s="323">
        <f t="shared" si="566"/>
        <v>-10.626439664849602</v>
      </c>
      <c r="M654" s="323">
        <f t="shared" si="566"/>
        <v>0.37811662411599645</v>
      </c>
      <c r="N654" s="323">
        <f t="shared" si="566"/>
        <v>-20.00922741774</v>
      </c>
      <c r="O654" s="323">
        <f t="shared" si="566"/>
        <v>-9.8075644591</v>
      </c>
      <c r="P654" s="323">
        <f t="shared" si="566"/>
        <v>9.2619059639200003</v>
      </c>
      <c r="Q654" s="323">
        <f t="shared" si="566"/>
        <v>-13.865071703391603</v>
      </c>
      <c r="R654" s="323">
        <f t="shared" si="566"/>
        <v>-12.265642172342702</v>
      </c>
      <c r="S654" s="323">
        <f t="shared" si="566"/>
        <v>-5.4735609407249983</v>
      </c>
      <c r="T654" s="323">
        <f t="shared" si="566"/>
        <v>-34.910256866264</v>
      </c>
      <c r="U654" s="323">
        <f t="shared" si="566"/>
        <v>-7.7655313026555</v>
      </c>
      <c r="V654" s="323">
        <f t="shared" si="566"/>
        <v>21.036395106607994</v>
      </c>
      <c r="W654" s="323">
        <f t="shared" si="566"/>
        <v>-31.848971646349995</v>
      </c>
      <c r="X654" s="323">
        <f t="shared" si="566"/>
        <v>-17.568588405408008</v>
      </c>
      <c r="Y654" s="323">
        <f t="shared" si="566"/>
        <v>-4.4014634746048023</v>
      </c>
      <c r="Z654" s="323">
        <f t="shared" si="566"/>
        <v>-54.000833341573397</v>
      </c>
      <c r="AA654" s="323">
        <f t="shared" si="566"/>
        <v>-1.1482740607894055</v>
      </c>
      <c r="AB654" s="323">
        <f t="shared" si="566"/>
        <v>57.848960559293005</v>
      </c>
      <c r="AC654" s="323">
        <f t="shared" si="566"/>
        <v>-19.592073761999995</v>
      </c>
      <c r="AD654" s="323">
        <f t="shared" si="566"/>
        <v>-5.9573582730000014</v>
      </c>
      <c r="AE654" s="323">
        <f t="shared" si="566"/>
        <v>-21.207371200999997</v>
      </c>
      <c r="AF654" s="323">
        <f t="shared" si="566"/>
        <v>-31.359601740999999</v>
      </c>
      <c r="AG654" s="323">
        <f t="shared" si="566"/>
        <v>-12.151371835999997</v>
      </c>
      <c r="AH654" s="323">
        <f t="shared" si="566"/>
        <v>11.138690524999987</v>
      </c>
      <c r="AI654" s="323">
        <f t="shared" si="566"/>
        <v>-19.379199536999998</v>
      </c>
      <c r="AJ654" s="323">
        <f t="shared" si="566"/>
        <v>-17.386593312999988</v>
      </c>
      <c r="AK654" s="323">
        <f t="shared" ref="AK654:BP654" si="567">AK552-(AK590-AK616-AK617)-AK622-AK635</f>
        <v>-19.419854707999995</v>
      </c>
      <c r="AL654" s="323">
        <f t="shared" si="567"/>
        <v>-43.936916423</v>
      </c>
      <c r="AM654" s="323">
        <f t="shared" si="567"/>
        <v>-21.271677526000001</v>
      </c>
      <c r="AN654" s="323">
        <f t="shared" si="567"/>
        <v>3.6063337170000014</v>
      </c>
      <c r="AO654" s="323">
        <f t="shared" si="567"/>
        <v>-33.096451070259995</v>
      </c>
      <c r="AP654" s="323">
        <f t="shared" si="567"/>
        <v>-9.630509702060003</v>
      </c>
      <c r="AQ654" s="323">
        <f t="shared" si="567"/>
        <v>-4.9492014493272265</v>
      </c>
      <c r="AR654" s="323">
        <f t="shared" si="567"/>
        <v>-35.75655154012</v>
      </c>
      <c r="AS654" s="323">
        <f t="shared" si="567"/>
        <v>-33.968573150347993</v>
      </c>
      <c r="AT654" s="323">
        <f t="shared" si="567"/>
        <v>-1.0169723060655973</v>
      </c>
      <c r="AU654" s="323">
        <f t="shared" si="567"/>
        <v>-19.329165807240006</v>
      </c>
      <c r="AV654" s="323">
        <f t="shared" si="567"/>
        <v>-30.457725937880003</v>
      </c>
      <c r="AW654" s="323">
        <f t="shared" si="567"/>
        <v>-17.929744642549998</v>
      </c>
      <c r="AX654" s="323">
        <f t="shared" si="567"/>
        <v>-37.765149914079998</v>
      </c>
      <c r="AY654" s="323">
        <f t="shared" si="567"/>
        <v>-15.803348913900793</v>
      </c>
      <c r="AZ654" s="323">
        <f t="shared" si="567"/>
        <v>-21.319542182367492</v>
      </c>
      <c r="BA654" s="323">
        <f t="shared" si="567"/>
        <v>-21.338917546999998</v>
      </c>
      <c r="BB654" s="323">
        <f t="shared" si="567"/>
        <v>-9.7965596749999975</v>
      </c>
      <c r="BC654" s="323">
        <f t="shared" si="567"/>
        <v>0.26538117200000411</v>
      </c>
      <c r="BD654" s="323">
        <f t="shared" si="567"/>
        <v>-47.066709641000003</v>
      </c>
      <c r="BE654" s="323">
        <f t="shared" si="567"/>
        <v>-47.494406820999998</v>
      </c>
      <c r="BF654" s="323">
        <f t="shared" si="567"/>
        <v>22.133160808999996</v>
      </c>
      <c r="BG654" s="323">
        <f t="shared" si="567"/>
        <v>-13.992362122200001</v>
      </c>
      <c r="BH654" s="323">
        <f t="shared" si="567"/>
        <v>-42.184293322800009</v>
      </c>
      <c r="BI654" s="323">
        <f t="shared" si="567"/>
        <v>22.417770648900007</v>
      </c>
      <c r="BJ654" s="323">
        <f t="shared" si="567"/>
        <v>-46.780275205819997</v>
      </c>
      <c r="BK654" s="323">
        <f t="shared" si="567"/>
        <v>-20.316114221000014</v>
      </c>
      <c r="BL654" s="323">
        <f t="shared" si="567"/>
        <v>9.5720922639999895</v>
      </c>
      <c r="BM654" s="323">
        <f t="shared" si="567"/>
        <v>-41.626092870890005</v>
      </c>
      <c r="BN654" s="323">
        <f t="shared" si="567"/>
        <v>-15.183143720479999</v>
      </c>
      <c r="BO654" s="323">
        <f t="shared" si="567"/>
        <v>3.1221963169999958</v>
      </c>
      <c r="BP654" s="323">
        <f t="shared" si="567"/>
        <v>-66.680798585000005</v>
      </c>
      <c r="BQ654" s="323">
        <f t="shared" ref="BQ654:CV654" si="568">BQ552-(BQ590-BQ616-BQ617)-BQ622-BQ635</f>
        <v>-55.172659059849991</v>
      </c>
      <c r="BR654" s="323">
        <f t="shared" si="568"/>
        <v>23.469093098419997</v>
      </c>
      <c r="BS654" s="323">
        <f t="shared" si="568"/>
        <v>-23.553099999999993</v>
      </c>
      <c r="BT654" s="323">
        <f t="shared" si="568"/>
        <v>-17.300199999999986</v>
      </c>
      <c r="BU654" s="323">
        <f t="shared" si="568"/>
        <v>7.0096999999999969</v>
      </c>
      <c r="BV654" s="323">
        <f t="shared" si="568"/>
        <v>-54.264272142367645</v>
      </c>
      <c r="BW654" s="323">
        <f t="shared" si="568"/>
        <v>-23.403320504341178</v>
      </c>
      <c r="BX654" s="323">
        <f t="shared" si="568"/>
        <v>28.712918160505176</v>
      </c>
      <c r="BY654" s="323">
        <f t="shared" si="568"/>
        <v>-27.046293615118035</v>
      </c>
      <c r="BZ654" s="323">
        <f t="shared" si="568"/>
        <v>-27.610120997842117</v>
      </c>
      <c r="CA654" s="323">
        <f t="shared" si="568"/>
        <v>28.914320175343413</v>
      </c>
      <c r="CB654" s="323">
        <f t="shared" si="568"/>
        <v>-73.642175424903499</v>
      </c>
      <c r="CC654" s="323">
        <f t="shared" si="568"/>
        <v>-146.71936144099061</v>
      </c>
      <c r="CD654" s="323">
        <f t="shared" si="568"/>
        <v>22.732394966439301</v>
      </c>
      <c r="CE654" s="324">
        <f t="shared" si="568"/>
        <v>19.6991389764896</v>
      </c>
      <c r="CF654" s="323">
        <f t="shared" si="568"/>
        <v>-43.201459545251737</v>
      </c>
      <c r="CG654" s="323">
        <f t="shared" si="568"/>
        <v>3.56427807963692</v>
      </c>
      <c r="CH654" s="323">
        <f t="shared" si="568"/>
        <v>-45.292515637624916</v>
      </c>
      <c r="CI654" s="323">
        <f t="shared" si="568"/>
        <v>-16.01056692213697</v>
      </c>
      <c r="CJ654" s="323">
        <f t="shared" si="568"/>
        <v>37.427609612026302</v>
      </c>
      <c r="CK654" s="323">
        <f t="shared" si="568"/>
        <v>-39.676778950083481</v>
      </c>
      <c r="CL654" s="323">
        <f t="shared" si="568"/>
        <v>-11.30766673951311</v>
      </c>
      <c r="CM654" s="323">
        <f t="shared" si="568"/>
        <v>-5.7226403776384398</v>
      </c>
      <c r="CN654" s="323">
        <f t="shared" si="568"/>
        <v>-39.544450946732631</v>
      </c>
      <c r="CO654" s="323">
        <f t="shared" si="568"/>
        <v>-65.423080736861891</v>
      </c>
      <c r="CP654" s="325">
        <f t="shared" si="568"/>
        <v>24.124966377802387</v>
      </c>
      <c r="CQ654" s="323">
        <f t="shared" si="568"/>
        <v>-40.313190791211341</v>
      </c>
      <c r="CR654" s="323">
        <f t="shared" si="568"/>
        <v>-25.554178699746451</v>
      </c>
      <c r="CS654" s="323">
        <f t="shared" si="568"/>
        <v>-25.28537981215246</v>
      </c>
      <c r="CT654" s="323">
        <f t="shared" si="568"/>
        <v>-44.109320579239402</v>
      </c>
      <c r="CU654" s="323">
        <f t="shared" si="568"/>
        <v>-13.020306869438519</v>
      </c>
      <c r="CV654" s="323">
        <f t="shared" si="568"/>
        <v>7.5015696422094607</v>
      </c>
      <c r="CW654" s="323">
        <f t="shared" ref="CW654:EB654" si="569">CW552-(CW590-CW616-CW617)-CW622-CW635</f>
        <v>-36.375621229830905</v>
      </c>
      <c r="CX654" s="323">
        <f t="shared" si="569"/>
        <v>-8.48761834745215</v>
      </c>
      <c r="CY654" s="323">
        <f t="shared" si="569"/>
        <v>-24.152625476544898</v>
      </c>
      <c r="CZ654" s="323">
        <f t="shared" si="569"/>
        <v>-81.797958564164873</v>
      </c>
      <c r="DA654" s="323">
        <f t="shared" si="569"/>
        <v>-43.130675183450457</v>
      </c>
      <c r="DB654" s="1269">
        <f t="shared" si="569"/>
        <v>36.705017202152959</v>
      </c>
      <c r="DC654" s="323">
        <f t="shared" si="569"/>
        <v>-24.575177728028002</v>
      </c>
      <c r="DD654" s="323">
        <f t="shared" si="569"/>
        <v>-33.649613851064458</v>
      </c>
      <c r="DE654" s="323">
        <f t="shared" si="569"/>
        <v>-8.2049716588316013</v>
      </c>
      <c r="DF654" s="323">
        <f t="shared" si="569"/>
        <v>-71.579728671674772</v>
      </c>
      <c r="DG654" s="323">
        <f t="shared" si="569"/>
        <v>-19.323761551450847</v>
      </c>
      <c r="DH654" s="323">
        <f t="shared" si="569"/>
        <v>17.681330876493835</v>
      </c>
      <c r="DI654" s="323">
        <f t="shared" si="569"/>
        <v>-79.517577407336063</v>
      </c>
      <c r="DJ654" s="323">
        <f t="shared" si="569"/>
        <v>-22.846728071721749</v>
      </c>
      <c r="DK654" s="323">
        <f t="shared" si="569"/>
        <v>17.396595343231112</v>
      </c>
      <c r="DL654" s="323">
        <f t="shared" si="569"/>
        <v>-70.048934511098381</v>
      </c>
      <c r="DM654" s="323">
        <f t="shared" si="569"/>
        <v>-39.840861711961566</v>
      </c>
      <c r="DN654" s="325">
        <f t="shared" si="569"/>
        <v>39.503099379946065</v>
      </c>
      <c r="DO654" s="323">
        <f t="shared" si="569"/>
        <v>-34.290205673226616</v>
      </c>
      <c r="DP654" s="323">
        <f t="shared" si="569"/>
        <v>-39.032792112205357</v>
      </c>
      <c r="DQ654" s="323">
        <f t="shared" si="569"/>
        <v>15.139853349522397</v>
      </c>
      <c r="DR654" s="323">
        <f t="shared" si="569"/>
        <v>-81.243338440978548</v>
      </c>
      <c r="DS654" s="323">
        <f t="shared" si="569"/>
        <v>-31.557591243420852</v>
      </c>
      <c r="DT654" s="323">
        <f t="shared" si="569"/>
        <v>35.097188267362384</v>
      </c>
      <c r="DU654" s="323">
        <f t="shared" si="569"/>
        <v>-85.352052159877545</v>
      </c>
      <c r="DV654" s="323">
        <f t="shared" si="569"/>
        <v>-29.049877374432288</v>
      </c>
      <c r="DW654" s="323">
        <f t="shared" si="569"/>
        <v>45.59224489448647</v>
      </c>
      <c r="DX654" s="323">
        <f t="shared" si="569"/>
        <v>-105.21439620723113</v>
      </c>
      <c r="DY654" s="323">
        <f t="shared" si="569"/>
        <v>-59.352272796092734</v>
      </c>
      <c r="DZ654" s="325">
        <f t="shared" si="569"/>
        <v>7.3166670033838841</v>
      </c>
      <c r="EA654" s="323">
        <f t="shared" si="569"/>
        <v>-39.448847270364837</v>
      </c>
      <c r="EB654" s="323">
        <f t="shared" si="569"/>
        <v>-61.573911100567621</v>
      </c>
      <c r="EC654" s="323">
        <f t="shared" ref="EC654:EK654" si="570">EC552-(EC590-EC616-EC617)-EC622-EC635</f>
        <v>-40.071169555066504</v>
      </c>
      <c r="ED654" s="323">
        <f t="shared" si="570"/>
        <v>-50.609096316929438</v>
      </c>
      <c r="EE654" s="323">
        <f t="shared" si="570"/>
        <v>-35.526523535628272</v>
      </c>
      <c r="EF654" s="323">
        <f t="shared" si="570"/>
        <v>12.347155783529889</v>
      </c>
      <c r="EG654" s="323">
        <f t="shared" si="570"/>
        <v>-73.320653158684735</v>
      </c>
      <c r="EH654" s="323">
        <f t="shared" si="570"/>
        <v>-31.590225180732645</v>
      </c>
      <c r="EI654" s="323">
        <f t="shared" si="570"/>
        <v>-10.552186996708151</v>
      </c>
      <c r="EJ654" s="323">
        <f t="shared" si="570"/>
        <v>-46.0640968244848</v>
      </c>
      <c r="EK654" s="323">
        <f t="shared" si="570"/>
        <v>-53.299323788335784</v>
      </c>
      <c r="EL654" s="325">
        <f t="shared" ref="EL654:ER654" si="571">EL552-(EL590-EL616-EL617)-EL622-EL635</f>
        <v>67.650365008985858</v>
      </c>
      <c r="EM654" s="323">
        <f t="shared" si="571"/>
        <v>-41.936585718702958</v>
      </c>
      <c r="EN654" s="323">
        <f t="shared" si="571"/>
        <v>-26.442253064414743</v>
      </c>
      <c r="EO654" s="323">
        <f t="shared" si="571"/>
        <v>-14.414118628500304</v>
      </c>
      <c r="EP654" s="323">
        <f t="shared" si="571"/>
        <v>-72.230562759783425</v>
      </c>
      <c r="EQ654" s="323">
        <f t="shared" si="571"/>
        <v>-57.38940638382725</v>
      </c>
      <c r="ER654" s="323">
        <f t="shared" si="571"/>
        <v>-5.8372501132116925</v>
      </c>
      <c r="ES654" s="323">
        <f t="shared" ref="ES654:EX654" si="572">ES552-(ES590-ES616-ES617)-ES622-ES635</f>
        <v>-34.327751975941254</v>
      </c>
      <c r="ET654" s="323">
        <f t="shared" si="572"/>
        <v>-36.150766664771318</v>
      </c>
      <c r="EU654" s="323">
        <f t="shared" si="572"/>
        <v>-36.682864317294857</v>
      </c>
      <c r="EV654" s="323">
        <f t="shared" si="572"/>
        <v>-82.839483110632671</v>
      </c>
      <c r="EW654" s="323">
        <f t="shared" si="572"/>
        <v>-78.352481124808307</v>
      </c>
      <c r="EX654" s="325">
        <f t="shared" si="572"/>
        <v>57.561079063055359</v>
      </c>
      <c r="EY654" s="323"/>
      <c r="EZ654" s="323"/>
      <c r="FA654" s="323"/>
      <c r="FB654" s="323"/>
      <c r="FC654" s="323"/>
      <c r="FD654" s="323"/>
      <c r="FE654" s="323"/>
      <c r="FF654" s="323"/>
      <c r="FG654" s="323"/>
      <c r="FH654" s="323"/>
      <c r="FI654" s="323"/>
      <c r="FJ654" s="325"/>
      <c r="FK654" s="323"/>
      <c r="FL654" s="323"/>
      <c r="FM654" s="323"/>
      <c r="FN654" s="323"/>
      <c r="FO654" s="323"/>
      <c r="FP654" s="323"/>
      <c r="FQ654" s="323"/>
      <c r="FR654" s="323"/>
      <c r="FS654" s="323"/>
      <c r="FT654" s="323"/>
      <c r="FU654" s="323"/>
      <c r="FV654" s="323"/>
      <c r="FW654" s="323"/>
      <c r="FX654" s="323"/>
      <c r="FY654" s="323"/>
      <c r="FZ654" s="323"/>
      <c r="GA654" s="323"/>
      <c r="GB654" s="323"/>
      <c r="GC654" s="323"/>
      <c r="GD654" s="323"/>
      <c r="GE654" s="323"/>
      <c r="GF654" s="323"/>
      <c r="GG654" s="323"/>
      <c r="GH654" s="323"/>
      <c r="GI654" s="323"/>
      <c r="GJ654" s="323"/>
      <c r="GK654" s="323"/>
      <c r="GL654" s="323"/>
      <c r="GM654" s="323"/>
      <c r="GN654" s="323"/>
      <c r="GO654" s="323"/>
      <c r="GP654" s="323"/>
      <c r="GQ654" s="323"/>
      <c r="GR654" s="323"/>
      <c r="GS654" s="323"/>
      <c r="GT654" s="323"/>
      <c r="GU654" s="323"/>
      <c r="GV654" s="323"/>
      <c r="GW654" s="323"/>
      <c r="GX654" s="323"/>
      <c r="GY654" s="323"/>
      <c r="GZ654" s="323"/>
      <c r="HA654" s="323"/>
      <c r="HB654" s="323"/>
      <c r="HC654" s="323"/>
      <c r="HD654" s="323"/>
      <c r="HE654" s="323"/>
      <c r="HF654" s="323"/>
      <c r="HG654" s="323"/>
      <c r="HH654" s="323"/>
      <c r="HI654" s="323"/>
      <c r="HJ654" s="323"/>
      <c r="HK654" s="323"/>
      <c r="HL654" s="323"/>
      <c r="HM654" s="323"/>
      <c r="HN654" s="323"/>
      <c r="HO654" s="323"/>
      <c r="HP654" s="323"/>
      <c r="HQ654" s="323"/>
      <c r="HR654" s="323"/>
      <c r="HS654" s="323"/>
      <c r="HT654" s="323"/>
      <c r="HU654" s="323"/>
      <c r="HV654" s="323"/>
      <c r="HW654" s="323"/>
      <c r="HX654" s="323"/>
      <c r="HY654" s="323"/>
      <c r="HZ654" s="326"/>
      <c r="IA654" s="328" t="s">
        <v>219</v>
      </c>
      <c r="IB654" s="328"/>
      <c r="IC654" s="328"/>
      <c r="ID654" s="323">
        <f>+FISC!Z864</f>
        <v>-242.39319804200005</v>
      </c>
      <c r="IE654" s="279">
        <f t="shared" ref="IE654:IL654" si="573">IE552-(IE590-IE616-IE617)-IE622-IE635</f>
        <v>-117.78080710957872</v>
      </c>
      <c r="IF654" s="279">
        <f t="shared" si="573"/>
        <v>-157.23948159929029</v>
      </c>
      <c r="IG654" s="323">
        <f t="shared" si="573"/>
        <v>-275.02028870886897</v>
      </c>
      <c r="IH654" s="279">
        <f t="shared" si="573"/>
        <v>-139.65192258455568</v>
      </c>
      <c r="II654" s="279">
        <f t="shared" si="573"/>
        <v>-155.3544069789406</v>
      </c>
      <c r="IJ654" s="323">
        <f t="shared" si="573"/>
        <v>-295.00632956349625</v>
      </c>
      <c r="IK654" s="279">
        <f t="shared" si="573"/>
        <v>-135.88688585294673</v>
      </c>
      <c r="IL654" s="279">
        <f t="shared" si="573"/>
        <v>-226.05968663976336</v>
      </c>
      <c r="IM654" s="323">
        <f t="shared" si="503"/>
        <v>-361.94657249271006</v>
      </c>
      <c r="IP654" s="323">
        <f>FISC!AC864</f>
        <v>-189.57230382755449</v>
      </c>
      <c r="IQ654" s="279">
        <f t="shared" si="548"/>
        <v>-218.25017666844039</v>
      </c>
      <c r="IR654" s="279">
        <f t="shared" si="549"/>
        <v>-210.79226813039307</v>
      </c>
      <c r="IS654" s="323">
        <f t="shared" si="407"/>
        <v>-429.04244479883346</v>
      </c>
      <c r="IT654" s="279" t="e">
        <f>IT552-(IT590-IT616-IT617)-IT622-IT635</f>
        <v>#REF!</v>
      </c>
      <c r="IU654" s="279" t="e">
        <f>IV654-IT654</f>
        <v>#REF!</v>
      </c>
      <c r="IV654" s="323">
        <f>+FISC!AE864</f>
        <v>-863.60372409370552</v>
      </c>
      <c r="IW654" s="279">
        <f>IW552-(IW590-IW616-IW617)-IW622-IW635</f>
        <v>-261.8138707854838</v>
      </c>
      <c r="IX654" s="279">
        <f t="shared" si="486"/>
        <v>-429.8998748229352</v>
      </c>
      <c r="IY654" s="323">
        <f>+FISC!AF864</f>
        <v>-691.713745608419</v>
      </c>
      <c r="IZ654" s="279">
        <f>IZ552-(IZ590-IZ616-IZ617)-IZ622-IZ635</f>
        <v>2837.5802979070977</v>
      </c>
      <c r="JA654" s="279">
        <f t="shared" si="540"/>
        <v>3295.2299168439067</v>
      </c>
      <c r="JB654" s="323">
        <f>+FISC!AG864</f>
        <v>6132.8102147510044</v>
      </c>
      <c r="JC654" s="279">
        <f>JC552-(JC590-JC616-JC617)-JC622-JC635</f>
        <v>4677.0927453194281</v>
      </c>
      <c r="JD654" s="279">
        <f t="shared" si="487"/>
        <v>5606.6597301770844</v>
      </c>
      <c r="JE654" s="323">
        <f>+FISC!AH864</f>
        <v>10283.752475496512</v>
      </c>
      <c r="JF654" s="279">
        <f>JF552-(JF590-JF616-JF617)-JF622-JF635</f>
        <v>6068.5978036300949</v>
      </c>
      <c r="JG654" s="279">
        <f t="shared" si="488"/>
        <v>6403.9766151210715</v>
      </c>
      <c r="JH654" s="323">
        <f>+FISC!AI864</f>
        <v>12472.574418751166</v>
      </c>
      <c r="JI654" s="279">
        <f>JI552-(JI590-JI616-JI617)-JI622-JI635</f>
        <v>-1559.0001841456076</v>
      </c>
      <c r="JJ654" s="279">
        <f t="shared" si="489"/>
        <v>-2139.0048682087454</v>
      </c>
      <c r="JK654" s="323">
        <f>+FISC!AJ864</f>
        <v>-3698.0050523543532</v>
      </c>
      <c r="JL654" s="279">
        <f>JL552-(JL590-JL616-JL617)-JL622-JL635</f>
        <v>-123.60819276805377</v>
      </c>
      <c r="JM654" s="279">
        <f t="shared" si="490"/>
        <v>123.60819276805377</v>
      </c>
      <c r="JN654" s="323">
        <f>+FISC!AK864</f>
        <v>0</v>
      </c>
      <c r="JO654" s="323"/>
      <c r="KU654" s="326"/>
      <c r="KV654" s="327"/>
      <c r="KY654" s="279">
        <f>KY552-(KY590-KY616-KY617)-KY622-KY635</f>
        <v>0</v>
      </c>
      <c r="KZ654" s="279">
        <f>KZ552-(KZ590-KZ616-KZ617)-KZ622-KZ635</f>
        <v>0</v>
      </c>
      <c r="LA654" s="279">
        <f>LA552-(LA590-LA616-LA617)-LA622-LA635</f>
        <v>0</v>
      </c>
      <c r="LB654" s="279">
        <f>LB552-(LB590-LB616-LB617)-LB622-LB635</f>
        <v>0</v>
      </c>
    </row>
    <row r="655" spans="1:314" hidden="1">
      <c r="A655" s="279"/>
      <c r="D655" s="328"/>
      <c r="E655" s="323"/>
      <c r="F655" s="323"/>
      <c r="G655" s="323"/>
      <c r="H655" s="323"/>
      <c r="I655" s="323"/>
      <c r="J655" s="323"/>
      <c r="K655" s="323"/>
      <c r="L655" s="323"/>
      <c r="M655" s="323"/>
      <c r="N655" s="323"/>
      <c r="O655" s="323"/>
      <c r="P655" s="323"/>
      <c r="Q655" s="323"/>
      <c r="R655" s="323"/>
      <c r="S655" s="323"/>
      <c r="T655" s="323"/>
      <c r="U655" s="323"/>
      <c r="V655" s="323"/>
      <c r="W655" s="323"/>
      <c r="X655" s="323"/>
      <c r="Y655" s="323"/>
      <c r="Z655" s="323"/>
      <c r="AA655" s="323"/>
      <c r="AB655" s="323"/>
      <c r="AC655" s="323"/>
      <c r="AD655" s="323"/>
      <c r="AE655" s="323"/>
      <c r="AF655" s="323"/>
      <c r="AG655" s="323"/>
      <c r="AH655" s="323"/>
      <c r="AI655" s="323"/>
      <c r="AJ655" s="323"/>
      <c r="AK655" s="323"/>
      <c r="AL655" s="323"/>
      <c r="AM655" s="323"/>
      <c r="AN655" s="323"/>
      <c r="AO655" s="323"/>
      <c r="AP655" s="323"/>
      <c r="AQ655" s="323"/>
      <c r="AR655" s="323"/>
      <c r="AS655" s="323"/>
      <c r="AT655" s="323"/>
      <c r="AU655" s="323"/>
      <c r="AV655" s="323"/>
      <c r="AW655" s="323"/>
      <c r="AX655" s="323"/>
      <c r="AY655" s="323"/>
      <c r="AZ655" s="323"/>
      <c r="BA655" s="323"/>
      <c r="BB655" s="323"/>
      <c r="BC655" s="323"/>
      <c r="BD655" s="323"/>
      <c r="BE655" s="323"/>
      <c r="BF655" s="323"/>
      <c r="BG655" s="323"/>
      <c r="BH655" s="323"/>
      <c r="BI655" s="323"/>
      <c r="BJ655" s="323"/>
      <c r="BK655" s="323"/>
      <c r="BL655" s="323"/>
      <c r="BM655" s="323"/>
      <c r="BN655" s="323"/>
      <c r="BO655" s="323"/>
      <c r="BP655" s="323"/>
      <c r="BQ655" s="323"/>
      <c r="BR655" s="323"/>
      <c r="BS655" s="323"/>
      <c r="BT655" s="323"/>
      <c r="BU655" s="323"/>
      <c r="BV655" s="323"/>
      <c r="BW655" s="323"/>
      <c r="BX655" s="323"/>
      <c r="BY655" s="323"/>
      <c r="BZ655" s="323"/>
      <c r="CA655" s="323"/>
      <c r="CB655" s="323"/>
      <c r="CC655" s="323"/>
      <c r="CD655" s="323"/>
      <c r="CE655" s="324"/>
      <c r="CF655" s="323"/>
      <c r="CG655" s="323"/>
      <c r="CH655" s="323"/>
      <c r="CI655" s="323"/>
      <c r="CJ655" s="323"/>
      <c r="CK655" s="323"/>
      <c r="CL655" s="323"/>
      <c r="CM655" s="323"/>
      <c r="CN655" s="323"/>
      <c r="CO655" s="323"/>
      <c r="CP655" s="325"/>
      <c r="CQ655" s="323"/>
      <c r="CR655" s="323"/>
      <c r="CS655" s="323"/>
      <c r="CT655" s="323"/>
      <c r="CU655" s="323"/>
      <c r="CV655" s="323"/>
      <c r="CW655" s="323"/>
      <c r="CX655" s="323"/>
      <c r="CY655" s="323"/>
      <c r="CZ655" s="323"/>
      <c r="DA655" s="323"/>
      <c r="DB655" s="1269"/>
      <c r="DC655" s="323"/>
      <c r="DD655" s="323"/>
      <c r="DE655" s="323"/>
      <c r="DF655" s="323"/>
      <c r="DG655" s="323"/>
      <c r="DH655" s="323"/>
      <c r="DI655" s="323"/>
      <c r="DJ655" s="323"/>
      <c r="DK655" s="323"/>
      <c r="DL655" s="323"/>
      <c r="DM655" s="323"/>
      <c r="DN655" s="325"/>
      <c r="DO655" s="323"/>
      <c r="DP655" s="323"/>
      <c r="DQ655" s="323"/>
      <c r="DR655" s="323"/>
      <c r="DS655" s="323"/>
      <c r="DT655" s="323"/>
      <c r="DU655" s="323"/>
      <c r="DV655" s="323"/>
      <c r="DW655" s="323"/>
      <c r="DX655" s="323"/>
      <c r="DY655" s="323"/>
      <c r="DZ655" s="325"/>
      <c r="EA655" s="323"/>
      <c r="EB655" s="323"/>
      <c r="EC655" s="323"/>
      <c r="ED655" s="323"/>
      <c r="EE655" s="323"/>
      <c r="EF655" s="323"/>
      <c r="EG655" s="323"/>
      <c r="EH655" s="323"/>
      <c r="EI655" s="323"/>
      <c r="EJ655" s="323"/>
      <c r="EK655" s="323"/>
      <c r="EL655" s="325"/>
      <c r="EM655" s="323"/>
      <c r="EN655" s="323"/>
      <c r="EO655" s="323"/>
      <c r="EP655" s="323"/>
      <c r="EQ655" s="323"/>
      <c r="ER655" s="323"/>
      <c r="ES655" s="323"/>
      <c r="ET655" s="323"/>
      <c r="EU655" s="323"/>
      <c r="EV655" s="323"/>
      <c r="EW655" s="323"/>
      <c r="EX655" s="325"/>
      <c r="EY655" s="323"/>
      <c r="EZ655" s="323"/>
      <c r="FA655" s="323"/>
      <c r="FB655" s="323"/>
      <c r="FC655" s="323"/>
      <c r="FD655" s="323"/>
      <c r="FE655" s="323"/>
      <c r="FF655" s="323"/>
      <c r="FG655" s="323"/>
      <c r="FH655" s="323"/>
      <c r="FI655" s="323"/>
      <c r="FJ655" s="325"/>
      <c r="FK655" s="323"/>
      <c r="FL655" s="323"/>
      <c r="FM655" s="323"/>
      <c r="FN655" s="323"/>
      <c r="FO655" s="323"/>
      <c r="FP655" s="323"/>
      <c r="FQ655" s="323"/>
      <c r="FR655" s="323"/>
      <c r="FS655" s="323"/>
      <c r="FT655" s="323"/>
      <c r="FU655" s="323"/>
      <c r="FV655" s="323"/>
      <c r="FW655" s="323"/>
      <c r="FX655" s="323"/>
      <c r="FY655" s="323"/>
      <c r="FZ655" s="323"/>
      <c r="GA655" s="323"/>
      <c r="GB655" s="323"/>
      <c r="GC655" s="323"/>
      <c r="GD655" s="323"/>
      <c r="GE655" s="323"/>
      <c r="GF655" s="323"/>
      <c r="GG655" s="323"/>
      <c r="GH655" s="323"/>
      <c r="GI655" s="323"/>
      <c r="GJ655" s="323"/>
      <c r="GK655" s="323"/>
      <c r="GL655" s="323"/>
      <c r="GM655" s="323"/>
      <c r="GN655" s="323"/>
      <c r="GO655" s="323"/>
      <c r="GP655" s="323"/>
      <c r="GQ655" s="323"/>
      <c r="GR655" s="323"/>
      <c r="GS655" s="323"/>
      <c r="GT655" s="323"/>
      <c r="GU655" s="323"/>
      <c r="GV655" s="323"/>
      <c r="GW655" s="323"/>
      <c r="GX655" s="323"/>
      <c r="GY655" s="323"/>
      <c r="GZ655" s="323"/>
      <c r="HA655" s="323"/>
      <c r="HB655" s="323"/>
      <c r="HC655" s="323"/>
      <c r="HD655" s="323"/>
      <c r="HE655" s="323"/>
      <c r="HF655" s="323"/>
      <c r="HG655" s="323"/>
      <c r="HH655" s="323"/>
      <c r="HI655" s="323"/>
      <c r="HJ655" s="323"/>
      <c r="HK655" s="323"/>
      <c r="HL655" s="323"/>
      <c r="HM655" s="323"/>
      <c r="HN655" s="323"/>
      <c r="HO655" s="323"/>
      <c r="HP655" s="323"/>
      <c r="HQ655" s="323"/>
      <c r="HR655" s="323"/>
      <c r="HS655" s="323"/>
      <c r="HT655" s="323"/>
      <c r="HU655" s="323"/>
      <c r="HV655" s="323"/>
      <c r="HW655" s="323"/>
      <c r="HX655" s="323"/>
      <c r="HY655" s="323"/>
      <c r="HZ655" s="326"/>
      <c r="IA655" s="328"/>
      <c r="IB655" s="328"/>
      <c r="IC655" s="328"/>
      <c r="ID655" s="323" t="e">
        <f>+FISC!#REF!</f>
        <v>#REF!</v>
      </c>
      <c r="IG655" s="323"/>
      <c r="IJ655" s="323"/>
      <c r="IM655" s="323"/>
      <c r="IO655" s="327"/>
      <c r="IP655" s="323">
        <f>FISC!AC865</f>
        <v>0</v>
      </c>
      <c r="IQ655" s="279">
        <f t="shared" si="548"/>
        <v>0</v>
      </c>
      <c r="IR655" s="279">
        <f t="shared" si="549"/>
        <v>0</v>
      </c>
      <c r="IS655" s="323">
        <f t="shared" si="407"/>
        <v>0</v>
      </c>
      <c r="IT655" s="327"/>
      <c r="IU655" s="327"/>
      <c r="IV655" s="323"/>
      <c r="IW655" s="279">
        <f>IY655*JU655</f>
        <v>0</v>
      </c>
      <c r="IX655" s="279">
        <f t="shared" si="486"/>
        <v>0</v>
      </c>
      <c r="IY655" s="323"/>
      <c r="IZ655" s="279">
        <f t="shared" si="498"/>
        <v>0</v>
      </c>
      <c r="JA655" s="279">
        <f t="shared" si="540"/>
        <v>0</v>
      </c>
      <c r="JB655" s="323"/>
      <c r="JC655" s="279">
        <f t="shared" si="499"/>
        <v>0</v>
      </c>
      <c r="JD655" s="279">
        <f t="shared" si="487"/>
        <v>0</v>
      </c>
      <c r="JE655" s="323"/>
      <c r="JF655" s="279">
        <f t="shared" si="500"/>
        <v>0</v>
      </c>
      <c r="JG655" s="279">
        <f t="shared" si="488"/>
        <v>0</v>
      </c>
      <c r="JH655" s="323"/>
      <c r="JI655" s="279">
        <f t="shared" si="501"/>
        <v>0</v>
      </c>
      <c r="JJ655" s="279">
        <f t="shared" si="489"/>
        <v>0</v>
      </c>
      <c r="JK655" s="323"/>
      <c r="JL655" s="279">
        <f t="shared" si="502"/>
        <v>0</v>
      </c>
      <c r="JM655" s="279">
        <f t="shared" si="490"/>
        <v>0</v>
      </c>
      <c r="JN655" s="323"/>
      <c r="JO655" s="323"/>
      <c r="KU655" s="326"/>
      <c r="KV655" s="327"/>
    </row>
    <row r="656" spans="1:314" hidden="1">
      <c r="A656" s="279"/>
      <c r="B656" s="96" t="s">
        <v>338</v>
      </c>
      <c r="D656" s="322" t="str">
        <f>+FISC!D865</f>
        <v>Overall deficit (payment order)</v>
      </c>
      <c r="E656" s="323"/>
      <c r="F656" s="323"/>
      <c r="G656" s="323"/>
      <c r="H656" s="323"/>
      <c r="I656" s="323"/>
      <c r="J656" s="323"/>
      <c r="K656" s="323"/>
      <c r="L656" s="323"/>
      <c r="M656" s="323"/>
      <c r="N656" s="323"/>
      <c r="O656" s="323"/>
      <c r="P656" s="323"/>
      <c r="Q656" s="323"/>
      <c r="R656" s="323"/>
      <c r="S656" s="323"/>
      <c r="T656" s="323"/>
      <c r="U656" s="323"/>
      <c r="V656" s="323"/>
      <c r="W656" s="323"/>
      <c r="X656" s="323"/>
      <c r="Y656" s="323"/>
      <c r="Z656" s="323"/>
      <c r="AA656" s="323"/>
      <c r="AB656" s="323"/>
      <c r="AC656" s="323"/>
      <c r="AD656" s="323"/>
      <c r="AE656" s="323"/>
      <c r="AF656" s="323"/>
      <c r="AG656" s="323"/>
      <c r="AH656" s="323"/>
      <c r="AI656" s="323"/>
      <c r="AJ656" s="323"/>
      <c r="AK656" s="323"/>
      <c r="AL656" s="323"/>
      <c r="AM656" s="323"/>
      <c r="AN656" s="323"/>
      <c r="AO656" s="323"/>
      <c r="AP656" s="323"/>
      <c r="AQ656" s="323"/>
      <c r="AR656" s="323"/>
      <c r="AS656" s="323"/>
      <c r="AT656" s="323"/>
      <c r="AU656" s="323"/>
      <c r="AV656" s="323"/>
      <c r="AW656" s="323"/>
      <c r="AX656" s="323"/>
      <c r="AY656" s="323"/>
      <c r="AZ656" s="323"/>
      <c r="BA656" s="323"/>
      <c r="BB656" s="323"/>
      <c r="BC656" s="323"/>
      <c r="BD656" s="323"/>
      <c r="BE656" s="323"/>
      <c r="BF656" s="323"/>
      <c r="BG656" s="323"/>
      <c r="BH656" s="323"/>
      <c r="BI656" s="323"/>
      <c r="BJ656" s="323"/>
      <c r="BK656" s="323"/>
      <c r="BL656" s="323"/>
      <c r="BM656" s="323"/>
      <c r="BN656" s="323"/>
      <c r="BO656" s="323"/>
      <c r="BP656" s="323"/>
      <c r="BQ656" s="323"/>
      <c r="BR656" s="323"/>
      <c r="BS656" s="323"/>
      <c r="BT656" s="323"/>
      <c r="BU656" s="323"/>
      <c r="BV656" s="323"/>
      <c r="BW656" s="323"/>
      <c r="BX656" s="323"/>
      <c r="BY656" s="323"/>
      <c r="BZ656" s="323"/>
      <c r="CA656" s="323"/>
      <c r="CB656" s="323"/>
      <c r="CC656" s="323"/>
      <c r="CD656" s="323"/>
      <c r="CE656" s="324"/>
      <c r="CF656" s="323"/>
      <c r="CG656" s="323"/>
      <c r="CH656" s="323"/>
      <c r="CI656" s="323"/>
      <c r="CJ656" s="323"/>
      <c r="CK656" s="323"/>
      <c r="CL656" s="323"/>
      <c r="CM656" s="323"/>
      <c r="CN656" s="323"/>
      <c r="CO656" s="323"/>
      <c r="CP656" s="325"/>
      <c r="CQ656" s="323"/>
      <c r="CR656" s="323"/>
      <c r="CS656" s="323"/>
      <c r="CT656" s="323"/>
      <c r="CU656" s="323"/>
      <c r="CV656" s="323"/>
      <c r="CW656" s="323"/>
      <c r="CX656" s="323"/>
      <c r="CY656" s="323"/>
      <c r="CZ656" s="323"/>
      <c r="DA656" s="323"/>
      <c r="DB656" s="1269"/>
      <c r="DC656" s="323"/>
      <c r="DD656" s="323"/>
      <c r="DE656" s="323"/>
      <c r="DF656" s="323"/>
      <c r="DG656" s="323"/>
      <c r="DH656" s="323"/>
      <c r="DI656" s="323"/>
      <c r="DJ656" s="323"/>
      <c r="DK656" s="323"/>
      <c r="DL656" s="323"/>
      <c r="DM656" s="323"/>
      <c r="DN656" s="325"/>
      <c r="DO656" s="323"/>
      <c r="DP656" s="323"/>
      <c r="DQ656" s="323"/>
      <c r="DR656" s="323"/>
      <c r="DS656" s="323"/>
      <c r="DT656" s="323"/>
      <c r="DU656" s="323"/>
      <c r="DV656" s="323"/>
      <c r="DW656" s="323"/>
      <c r="DX656" s="323"/>
      <c r="DY656" s="323"/>
      <c r="DZ656" s="325"/>
      <c r="EA656" s="323"/>
      <c r="EB656" s="323"/>
      <c r="EC656" s="323"/>
      <c r="ED656" s="323"/>
      <c r="EE656" s="323"/>
      <c r="EF656" s="323"/>
      <c r="EG656" s="323"/>
      <c r="EH656" s="323"/>
      <c r="EI656" s="323"/>
      <c r="EJ656" s="323"/>
      <c r="EK656" s="323"/>
      <c r="EL656" s="325"/>
      <c r="EM656" s="323"/>
      <c r="EN656" s="323"/>
      <c r="EO656" s="323"/>
      <c r="EP656" s="323"/>
      <c r="EQ656" s="323"/>
      <c r="ER656" s="323"/>
      <c r="ES656" s="323"/>
      <c r="ET656" s="323"/>
      <c r="EU656" s="323"/>
      <c r="EV656" s="323"/>
      <c r="EW656" s="323"/>
      <c r="EX656" s="325"/>
      <c r="EY656" s="323"/>
      <c r="EZ656" s="323"/>
      <c r="FA656" s="323"/>
      <c r="FB656" s="323"/>
      <c r="FC656" s="323"/>
      <c r="FD656" s="323"/>
      <c r="FE656" s="323"/>
      <c r="FF656" s="323"/>
      <c r="FG656" s="323"/>
      <c r="FH656" s="323"/>
      <c r="FI656" s="323"/>
      <c r="FJ656" s="325"/>
      <c r="FK656" s="323"/>
      <c r="FL656" s="323"/>
      <c r="FM656" s="323"/>
      <c r="FN656" s="323"/>
      <c r="FO656" s="323"/>
      <c r="FP656" s="323"/>
      <c r="FQ656" s="323"/>
      <c r="FR656" s="323"/>
      <c r="FS656" s="323"/>
      <c r="FT656" s="323"/>
      <c r="FU656" s="323"/>
      <c r="FV656" s="323"/>
      <c r="FW656" s="323"/>
      <c r="FX656" s="323"/>
      <c r="FY656" s="323"/>
      <c r="FZ656" s="323"/>
      <c r="GA656" s="323"/>
      <c r="GB656" s="323"/>
      <c r="GC656" s="323"/>
      <c r="GD656" s="323"/>
      <c r="GE656" s="323"/>
      <c r="GF656" s="323"/>
      <c r="GG656" s="323"/>
      <c r="GH656" s="323"/>
      <c r="GI656" s="323"/>
      <c r="GJ656" s="323"/>
      <c r="GK656" s="323"/>
      <c r="GL656" s="323"/>
      <c r="GM656" s="323"/>
      <c r="GN656" s="323"/>
      <c r="GO656" s="323"/>
      <c r="GP656" s="323"/>
      <c r="GQ656" s="323"/>
      <c r="GR656" s="323"/>
      <c r="GS656" s="323"/>
      <c r="GT656" s="323"/>
      <c r="GU656" s="323"/>
      <c r="GV656" s="323"/>
      <c r="GW656" s="323"/>
      <c r="GX656" s="323"/>
      <c r="GY656" s="323"/>
      <c r="GZ656" s="323"/>
      <c r="HA656" s="323"/>
      <c r="HB656" s="323"/>
      <c r="HC656" s="323"/>
      <c r="HD656" s="323"/>
      <c r="HE656" s="323"/>
      <c r="HF656" s="323"/>
      <c r="HG656" s="323"/>
      <c r="HH656" s="323"/>
      <c r="HI656" s="323"/>
      <c r="HJ656" s="323"/>
      <c r="HK656" s="323"/>
      <c r="HL656" s="323"/>
      <c r="HM656" s="323"/>
      <c r="HN656" s="323"/>
      <c r="HO656" s="323"/>
      <c r="HP656" s="323"/>
      <c r="HQ656" s="323"/>
      <c r="HR656" s="323"/>
      <c r="HS656" s="323"/>
      <c r="HT656" s="323"/>
      <c r="HU656" s="323"/>
      <c r="HV656" s="323"/>
      <c r="HW656" s="323"/>
      <c r="HX656" s="323"/>
      <c r="HY656" s="323"/>
      <c r="HZ656" s="326"/>
      <c r="IA656" s="322" t="s">
        <v>155</v>
      </c>
      <c r="IB656" s="322"/>
      <c r="IC656" s="322"/>
      <c r="ID656" s="323">
        <f>+FISC!Z865</f>
        <v>0</v>
      </c>
      <c r="IG656" s="323"/>
      <c r="IJ656" s="323"/>
      <c r="IM656" s="323"/>
      <c r="IO656" s="327"/>
      <c r="IP656" s="323">
        <f>FISC!AC865</f>
        <v>0</v>
      </c>
      <c r="IQ656" s="279">
        <f t="shared" si="548"/>
        <v>0</v>
      </c>
      <c r="IR656" s="279">
        <f t="shared" si="549"/>
        <v>0</v>
      </c>
      <c r="IS656" s="323">
        <f t="shared" si="407"/>
        <v>0</v>
      </c>
      <c r="IT656" s="327"/>
      <c r="IU656" s="327"/>
      <c r="IV656" s="323"/>
      <c r="IW656" s="279">
        <f>IY656*JU656</f>
        <v>0</v>
      </c>
      <c r="IX656" s="279">
        <f t="shared" si="486"/>
        <v>0</v>
      </c>
      <c r="IY656" s="323"/>
      <c r="IZ656" s="279">
        <f t="shared" si="498"/>
        <v>0</v>
      </c>
      <c r="JA656" s="279">
        <f t="shared" si="540"/>
        <v>0</v>
      </c>
      <c r="JB656" s="323"/>
      <c r="JC656" s="279">
        <f t="shared" si="499"/>
        <v>0</v>
      </c>
      <c r="JD656" s="279">
        <f t="shared" si="487"/>
        <v>0</v>
      </c>
      <c r="JE656" s="323"/>
      <c r="JF656" s="279">
        <f t="shared" si="500"/>
        <v>0</v>
      </c>
      <c r="JG656" s="279">
        <f t="shared" si="488"/>
        <v>0</v>
      </c>
      <c r="JH656" s="323"/>
      <c r="JI656" s="279">
        <f t="shared" si="501"/>
        <v>0</v>
      </c>
      <c r="JJ656" s="279">
        <f t="shared" si="489"/>
        <v>0</v>
      </c>
      <c r="JK656" s="323"/>
      <c r="JL656" s="279">
        <f t="shared" si="502"/>
        <v>0</v>
      </c>
      <c r="JM656" s="279">
        <f t="shared" si="490"/>
        <v>0</v>
      </c>
      <c r="JN656" s="323"/>
      <c r="JO656" s="323"/>
      <c r="KU656" s="326"/>
      <c r="KV656" s="327"/>
    </row>
    <row r="657" spans="1:314" hidden="1">
      <c r="A657" s="279"/>
      <c r="B657" s="96" t="s">
        <v>338</v>
      </c>
      <c r="D657" s="328" t="str">
        <f>+FISC!D866</f>
        <v>Including grants</v>
      </c>
      <c r="E657" s="323">
        <f t="shared" ref="E657:AJ657" si="574">E550-E588</f>
        <v>-13.545924874904124</v>
      </c>
      <c r="F657" s="323">
        <f t="shared" si="574"/>
        <v>-15.111897078719998</v>
      </c>
      <c r="G657" s="323">
        <f t="shared" si="574"/>
        <v>-6.7308821770324982</v>
      </c>
      <c r="H657" s="323">
        <f t="shared" si="574"/>
        <v>-15.826163773128272</v>
      </c>
      <c r="I657" s="323">
        <f t="shared" si="574"/>
        <v>27.303176618102004</v>
      </c>
      <c r="J657" s="323">
        <f t="shared" si="574"/>
        <v>52.036496188274114</v>
      </c>
      <c r="K657" s="323">
        <f t="shared" si="574"/>
        <v>-36.024085140326306</v>
      </c>
      <c r="L657" s="323">
        <f t="shared" si="574"/>
        <v>-3.5785336018496032</v>
      </c>
      <c r="M657" s="323">
        <f t="shared" si="574"/>
        <v>-12.513872831884001</v>
      </c>
      <c r="N657" s="323">
        <f t="shared" si="574"/>
        <v>-9.9633517617400074</v>
      </c>
      <c r="O657" s="323">
        <f t="shared" si="574"/>
        <v>-7.7721341200999952</v>
      </c>
      <c r="P657" s="323">
        <f t="shared" si="574"/>
        <v>11.213933569920002</v>
      </c>
      <c r="Q657" s="323">
        <f t="shared" si="574"/>
        <v>-8.3487547393916053</v>
      </c>
      <c r="R657" s="323">
        <f t="shared" si="574"/>
        <v>-13.712132172342702</v>
      </c>
      <c r="S657" s="323">
        <f t="shared" si="574"/>
        <v>34.21382851527499</v>
      </c>
      <c r="T657" s="323">
        <f t="shared" si="574"/>
        <v>-35.176068408264001</v>
      </c>
      <c r="U657" s="323">
        <f t="shared" si="574"/>
        <v>28.091144588344505</v>
      </c>
      <c r="V657" s="323">
        <f t="shared" si="574"/>
        <v>43.064725121608006</v>
      </c>
      <c r="W657" s="323">
        <f t="shared" si="574"/>
        <v>-33.28238236835</v>
      </c>
      <c r="X657" s="323">
        <f t="shared" si="574"/>
        <v>-9.3963562444080111</v>
      </c>
      <c r="Y657" s="323">
        <f t="shared" si="574"/>
        <v>-4.0471040646048095</v>
      </c>
      <c r="Z657" s="323">
        <f t="shared" si="574"/>
        <v>-38.341310834573392</v>
      </c>
      <c r="AA657" s="323">
        <f t="shared" si="574"/>
        <v>-0.68846342278940398</v>
      </c>
      <c r="AB657" s="323">
        <f t="shared" si="574"/>
        <v>48.632516468292991</v>
      </c>
      <c r="AC657" s="323">
        <f t="shared" si="574"/>
        <v>-19.946153762000002</v>
      </c>
      <c r="AD657" s="323">
        <f t="shared" si="574"/>
        <v>0.70963372700000349</v>
      </c>
      <c r="AE657" s="323">
        <f t="shared" si="574"/>
        <v>-34.957143658000007</v>
      </c>
      <c r="AF657" s="323">
        <f t="shared" si="574"/>
        <v>18.329967364999995</v>
      </c>
      <c r="AG657" s="323">
        <f t="shared" si="574"/>
        <v>-10.402599280999997</v>
      </c>
      <c r="AH657" s="323">
        <f t="shared" si="574"/>
        <v>33.935078960999974</v>
      </c>
      <c r="AI657" s="323">
        <f t="shared" si="574"/>
        <v>-6.0659643000000045</v>
      </c>
      <c r="AJ657" s="323">
        <f t="shared" si="574"/>
        <v>-13.831625335999995</v>
      </c>
      <c r="AK657" s="323">
        <f t="shared" ref="AK657:BP657" si="575">AK550-AK588</f>
        <v>9.6328844279999828</v>
      </c>
      <c r="AL657" s="323">
        <f t="shared" si="575"/>
        <v>6.7180648329999997</v>
      </c>
      <c r="AM657" s="323">
        <f t="shared" si="575"/>
        <v>-14.503372352000007</v>
      </c>
      <c r="AN657" s="323">
        <f t="shared" si="575"/>
        <v>2.8512626429999841</v>
      </c>
      <c r="AO657" s="323">
        <f t="shared" si="575"/>
        <v>-14.884929483259995</v>
      </c>
      <c r="AP657" s="323">
        <f t="shared" si="575"/>
        <v>-12.384099702060006</v>
      </c>
      <c r="AQ657" s="323">
        <f t="shared" si="575"/>
        <v>-2.8934327713272268</v>
      </c>
      <c r="AR657" s="323">
        <f t="shared" si="575"/>
        <v>-23.704007978120003</v>
      </c>
      <c r="AS657" s="323">
        <f t="shared" si="575"/>
        <v>-25.35360045334798</v>
      </c>
      <c r="AT657" s="323">
        <f t="shared" si="575"/>
        <v>85.311307890934401</v>
      </c>
      <c r="AU657" s="323">
        <f t="shared" si="575"/>
        <v>-14.320414325240002</v>
      </c>
      <c r="AV657" s="323">
        <f t="shared" si="575"/>
        <v>-34.509555937880016</v>
      </c>
      <c r="AW657" s="323">
        <f t="shared" si="575"/>
        <v>33.963160797450001</v>
      </c>
      <c r="AX657" s="323">
        <f t="shared" si="575"/>
        <v>-15.61426871007999</v>
      </c>
      <c r="AY657" s="323">
        <f t="shared" si="575"/>
        <v>-12.103643022900791</v>
      </c>
      <c r="AZ657" s="323">
        <f t="shared" si="575"/>
        <v>32.589938675632496</v>
      </c>
      <c r="BA657" s="323">
        <f t="shared" si="575"/>
        <v>-23.534854044999989</v>
      </c>
      <c r="BB657" s="323">
        <f t="shared" si="575"/>
        <v>-8.0614272179999986</v>
      </c>
      <c r="BC657" s="323">
        <f t="shared" si="575"/>
        <v>-53.883373991000013</v>
      </c>
      <c r="BD657" s="323">
        <f t="shared" si="575"/>
        <v>19.115847685759988</v>
      </c>
      <c r="BE657" s="323">
        <f t="shared" si="575"/>
        <v>-51.235469479769996</v>
      </c>
      <c r="BF657" s="323">
        <f t="shared" si="575"/>
        <v>7.3467480659999893</v>
      </c>
      <c r="BG657" s="323">
        <f t="shared" si="575"/>
        <v>27.019351216800011</v>
      </c>
      <c r="BH657" s="323">
        <f t="shared" si="575"/>
        <v>-4.5530742487999873</v>
      </c>
      <c r="BI657" s="323">
        <f t="shared" si="575"/>
        <v>42.826081442900019</v>
      </c>
      <c r="BJ657" s="323">
        <f t="shared" si="575"/>
        <v>25.558706230180007</v>
      </c>
      <c r="BK657" s="323">
        <f t="shared" si="575"/>
        <v>-18.900513657000019</v>
      </c>
      <c r="BL657" s="323">
        <f t="shared" si="575"/>
        <v>34.954289046000014</v>
      </c>
      <c r="BM657" s="323">
        <f t="shared" si="575"/>
        <v>-39.334774219890015</v>
      </c>
      <c r="BN657" s="323">
        <f t="shared" si="575"/>
        <v>-11.069792138479997</v>
      </c>
      <c r="BO657" s="323">
        <f t="shared" si="575"/>
        <v>-31.440789898999995</v>
      </c>
      <c r="BP657" s="323">
        <f t="shared" si="575"/>
        <v>-66.436309080000029</v>
      </c>
      <c r="BQ657" s="323">
        <f t="shared" ref="BQ657:CV657" si="576">BQ550-BQ588</f>
        <v>-54.962618634849996</v>
      </c>
      <c r="BR657" s="323">
        <f t="shared" si="576"/>
        <v>43.356731865045759</v>
      </c>
      <c r="BS657" s="323">
        <f t="shared" si="576"/>
        <v>17.786499451901648</v>
      </c>
      <c r="BT657" s="323">
        <f t="shared" si="576"/>
        <v>-2.4362905400688817</v>
      </c>
      <c r="BU657" s="323">
        <f t="shared" si="576"/>
        <v>-55.579897323727891</v>
      </c>
      <c r="BV657" s="323">
        <f t="shared" si="576"/>
        <v>-5.9118956241095049</v>
      </c>
      <c r="BW657" s="323">
        <f t="shared" si="576"/>
        <v>18.135569673433722</v>
      </c>
      <c r="BX657" s="323">
        <f t="shared" si="576"/>
        <v>60.787193092690352</v>
      </c>
      <c r="BY657" s="323">
        <f t="shared" si="576"/>
        <v>-27.04576118312729</v>
      </c>
      <c r="BZ657" s="323">
        <f t="shared" si="576"/>
        <v>-23.568025528720547</v>
      </c>
      <c r="CA657" s="323">
        <f t="shared" si="576"/>
        <v>50.831770706868106</v>
      </c>
      <c r="CB657" s="323">
        <f t="shared" si="576"/>
        <v>-35.736301905905833</v>
      </c>
      <c r="CC657" s="323">
        <f t="shared" si="576"/>
        <v>-96.394358296720782</v>
      </c>
      <c r="CD657" s="323">
        <f t="shared" si="576"/>
        <v>65.857510147153519</v>
      </c>
      <c r="CE657" s="324">
        <f t="shared" si="576"/>
        <v>17.151230777623653</v>
      </c>
      <c r="CF657" s="323">
        <f t="shared" si="576"/>
        <v>-16.474969873585721</v>
      </c>
      <c r="CG657" s="323">
        <f t="shared" si="576"/>
        <v>37.14843473216041</v>
      </c>
      <c r="CH657" s="323">
        <f t="shared" si="576"/>
        <v>-53.745036734760674</v>
      </c>
      <c r="CI657" s="323">
        <f t="shared" si="576"/>
        <v>-19.289153699511417</v>
      </c>
      <c r="CJ657" s="323">
        <f t="shared" si="576"/>
        <v>60.868479839149288</v>
      </c>
      <c r="CK657" s="323">
        <f t="shared" si="576"/>
        <v>-69.683228279789645</v>
      </c>
      <c r="CL657" s="323">
        <f t="shared" si="576"/>
        <v>-19.337111315684623</v>
      </c>
      <c r="CM657" s="323">
        <f t="shared" si="576"/>
        <v>-11.341678101886288</v>
      </c>
      <c r="CN657" s="323">
        <f t="shared" si="576"/>
        <v>-74.508451612578057</v>
      </c>
      <c r="CO657" s="323">
        <f t="shared" si="576"/>
        <v>-60.144748795897939</v>
      </c>
      <c r="CP657" s="325">
        <f t="shared" si="576"/>
        <v>19.596004127968357</v>
      </c>
      <c r="CQ657" s="323">
        <f t="shared" si="576"/>
        <v>-31.44967155088176</v>
      </c>
      <c r="CR657" s="323">
        <f t="shared" si="576"/>
        <v>-36.057231576486771</v>
      </c>
      <c r="CS657" s="323">
        <f t="shared" si="576"/>
        <v>-18.055339692954789</v>
      </c>
      <c r="CT657" s="323">
        <f t="shared" si="576"/>
        <v>-49.376503303219437</v>
      </c>
      <c r="CU657" s="323">
        <f t="shared" si="576"/>
        <v>-22.12230358049429</v>
      </c>
      <c r="CV657" s="323">
        <f t="shared" si="576"/>
        <v>81.419576513503131</v>
      </c>
      <c r="CW657" s="323">
        <f t="shared" ref="CW657:EB657" si="577">CW550-CW588</f>
        <v>-49.092066890938284</v>
      </c>
      <c r="CX657" s="323">
        <f t="shared" si="577"/>
        <v>-27.424923699054787</v>
      </c>
      <c r="CY657" s="323">
        <f t="shared" si="577"/>
        <v>-19.987126176811842</v>
      </c>
      <c r="CZ657" s="323">
        <f t="shared" si="577"/>
        <v>-93.209564446045832</v>
      </c>
      <c r="DA657" s="323">
        <f t="shared" si="577"/>
        <v>-20.30660969032067</v>
      </c>
      <c r="DB657" s="1269">
        <f t="shared" si="577"/>
        <v>20.388711401294586</v>
      </c>
      <c r="DC657" s="323">
        <f t="shared" si="577"/>
        <v>-24.007865797527799</v>
      </c>
      <c r="DD657" s="323">
        <f t="shared" si="577"/>
        <v>-35.905576794394449</v>
      </c>
      <c r="DE657" s="323">
        <f t="shared" si="577"/>
        <v>2.6437546393813989</v>
      </c>
      <c r="DF657" s="323">
        <f t="shared" si="577"/>
        <v>-97.205459359549806</v>
      </c>
      <c r="DG657" s="323">
        <f t="shared" si="577"/>
        <v>28.486372971617655</v>
      </c>
      <c r="DH657" s="323">
        <f t="shared" si="577"/>
        <v>15.00244812133036</v>
      </c>
      <c r="DI657" s="323">
        <f t="shared" si="577"/>
        <v>-109.4398718317038</v>
      </c>
      <c r="DJ657" s="323">
        <f t="shared" si="577"/>
        <v>-28.300889043481661</v>
      </c>
      <c r="DK657" s="323">
        <f t="shared" si="577"/>
        <v>-3.6332280337163638</v>
      </c>
      <c r="DL657" s="323">
        <f t="shared" si="577"/>
        <v>-13.393170708390585</v>
      </c>
      <c r="DM657" s="323">
        <f t="shared" si="577"/>
        <v>-55.738823100607533</v>
      </c>
      <c r="DN657" s="325">
        <f t="shared" si="577"/>
        <v>70.316718514096323</v>
      </c>
      <c r="DO657" s="323">
        <f t="shared" si="577"/>
        <v>-27.308770242517184</v>
      </c>
      <c r="DP657" s="323">
        <f t="shared" si="577"/>
        <v>-64.065579712524055</v>
      </c>
      <c r="DQ657" s="323">
        <f t="shared" si="577"/>
        <v>-12.327307072423537</v>
      </c>
      <c r="DR657" s="323">
        <f t="shared" si="577"/>
        <v>-101.70894624875331</v>
      </c>
      <c r="DS657" s="323">
        <f t="shared" si="577"/>
        <v>-29.666470313296912</v>
      </c>
      <c r="DT657" s="323">
        <f t="shared" si="577"/>
        <v>57.243111273337689</v>
      </c>
      <c r="DU657" s="323">
        <f t="shared" si="577"/>
        <v>-77.784410740612913</v>
      </c>
      <c r="DV657" s="323">
        <f t="shared" si="577"/>
        <v>-36.997963635416156</v>
      </c>
      <c r="DW657" s="323">
        <f t="shared" si="577"/>
        <v>29.717271530410642</v>
      </c>
      <c r="DX657" s="323">
        <f t="shared" si="577"/>
        <v>-110.73203819033148</v>
      </c>
      <c r="DY657" s="323">
        <f t="shared" si="577"/>
        <v>-77.775352890058983</v>
      </c>
      <c r="DZ657" s="325">
        <f t="shared" si="577"/>
        <v>38.560756485827</v>
      </c>
      <c r="EA657" s="323">
        <f t="shared" si="577"/>
        <v>-32.806986912187881</v>
      </c>
      <c r="EB657" s="323">
        <f t="shared" si="577"/>
        <v>-78.854525372364606</v>
      </c>
      <c r="EC657" s="323">
        <f t="shared" ref="EC657:EK657" si="578">EC550-EC588</f>
        <v>-62.654166342404494</v>
      </c>
      <c r="ED657" s="323">
        <f t="shared" si="578"/>
        <v>-65.927345766357945</v>
      </c>
      <c r="EE657" s="323">
        <f t="shared" si="578"/>
        <v>-42.066495388279805</v>
      </c>
      <c r="EF657" s="323">
        <f t="shared" si="578"/>
        <v>34.986336495305949</v>
      </c>
      <c r="EG657" s="323">
        <f t="shared" si="578"/>
        <v>-56.988406469198566</v>
      </c>
      <c r="EH657" s="323">
        <f t="shared" si="578"/>
        <v>-33.27065076617842</v>
      </c>
      <c r="EI657" s="323">
        <f t="shared" si="578"/>
        <v>-4.6293218822426923</v>
      </c>
      <c r="EJ657" s="323">
        <f t="shared" si="578"/>
        <v>-30.05777599782715</v>
      </c>
      <c r="EK657" s="323">
        <f t="shared" si="578"/>
        <v>-84.108463257236636</v>
      </c>
      <c r="EL657" s="325">
        <f t="shared" ref="EL657:ER657" si="579">EL550-EL588</f>
        <v>36.678810575842732</v>
      </c>
      <c r="EM657" s="323">
        <f t="shared" si="579"/>
        <v>-42.332039057030187</v>
      </c>
      <c r="EN657" s="323">
        <f t="shared" si="579"/>
        <v>-31.631522761426254</v>
      </c>
      <c r="EO657" s="323">
        <f t="shared" si="579"/>
        <v>-41.625001343249806</v>
      </c>
      <c r="EP657" s="323">
        <f t="shared" si="579"/>
        <v>-98.814590392282355</v>
      </c>
      <c r="EQ657" s="323">
        <f t="shared" si="579"/>
        <v>-84.170168681901259</v>
      </c>
      <c r="ER657" s="323">
        <f t="shared" si="579"/>
        <v>47.28876751802332</v>
      </c>
      <c r="ES657" s="323">
        <f t="shared" ref="ES657:EX657" si="580">ES550-ES588</f>
        <v>-37.056491211258901</v>
      </c>
      <c r="ET657" s="323">
        <f t="shared" si="580"/>
        <v>-4.5784928311861961</v>
      </c>
      <c r="EU657" s="323">
        <f t="shared" si="580"/>
        <v>-88.353992460202647</v>
      </c>
      <c r="EV657" s="323">
        <f t="shared" si="580"/>
        <v>-100.46624924677931</v>
      </c>
      <c r="EW657" s="323">
        <f t="shared" si="580"/>
        <v>-116.23210999496931</v>
      </c>
      <c r="EX657" s="325">
        <f t="shared" si="580"/>
        <v>-13.311460892990851</v>
      </c>
      <c r="EY657" s="323"/>
      <c r="EZ657" s="323"/>
      <c r="FA657" s="323"/>
      <c r="FB657" s="323"/>
      <c r="FC657" s="323"/>
      <c r="FD657" s="323"/>
      <c r="FE657" s="323"/>
      <c r="FF657" s="323"/>
      <c r="FG657" s="323"/>
      <c r="FH657" s="323"/>
      <c r="FI657" s="323"/>
      <c r="FJ657" s="325"/>
      <c r="FK657" s="323"/>
      <c r="FL657" s="323"/>
      <c r="FM657" s="323"/>
      <c r="FN657" s="323"/>
      <c r="FO657" s="323"/>
      <c r="FP657" s="323"/>
      <c r="FQ657" s="323"/>
      <c r="FR657" s="323"/>
      <c r="FS657" s="323"/>
      <c r="FT657" s="323"/>
      <c r="FU657" s="323"/>
      <c r="FV657" s="323"/>
      <c r="FW657" s="323"/>
      <c r="FX657" s="323"/>
      <c r="FY657" s="323"/>
      <c r="FZ657" s="323"/>
      <c r="GA657" s="323"/>
      <c r="GB657" s="323"/>
      <c r="GC657" s="323"/>
      <c r="GD657" s="323"/>
      <c r="GE657" s="323"/>
      <c r="GF657" s="323"/>
      <c r="GG657" s="323"/>
      <c r="GH657" s="323"/>
      <c r="GI657" s="323"/>
      <c r="GJ657" s="323"/>
      <c r="GK657" s="323"/>
      <c r="GL657" s="323"/>
      <c r="GM657" s="323"/>
      <c r="GN657" s="323"/>
      <c r="GO657" s="323"/>
      <c r="GP657" s="323"/>
      <c r="GQ657" s="323"/>
      <c r="GR657" s="323"/>
      <c r="GS657" s="323"/>
      <c r="GT657" s="323"/>
      <c r="GU657" s="323"/>
      <c r="GV657" s="323"/>
      <c r="GW657" s="323"/>
      <c r="GX657" s="323"/>
      <c r="GY657" s="323"/>
      <c r="GZ657" s="323"/>
      <c r="HA657" s="323"/>
      <c r="HB657" s="323"/>
      <c r="HC657" s="323"/>
      <c r="HD657" s="323"/>
      <c r="HE657" s="323"/>
      <c r="HF657" s="323"/>
      <c r="HG657" s="323"/>
      <c r="HH657" s="323"/>
      <c r="HI657" s="323"/>
      <c r="HJ657" s="323"/>
      <c r="HK657" s="323"/>
      <c r="HL657" s="323"/>
      <c r="HM657" s="323"/>
      <c r="HN657" s="323"/>
      <c r="HO657" s="323"/>
      <c r="HP657" s="323"/>
      <c r="HQ657" s="323"/>
      <c r="HR657" s="323"/>
      <c r="HS657" s="323"/>
      <c r="HT657" s="323"/>
      <c r="HU657" s="323"/>
      <c r="HV657" s="323"/>
      <c r="HW657" s="323"/>
      <c r="HX657" s="323"/>
      <c r="HY657" s="323"/>
      <c r="HZ657" s="326"/>
      <c r="IA657" s="328" t="s">
        <v>156</v>
      </c>
      <c r="IB657" s="328"/>
      <c r="IC657" s="328"/>
      <c r="ID657" s="323">
        <f>+FISC!Z866</f>
        <v>-302.05950052759749</v>
      </c>
      <c r="IE657" s="279">
        <f t="shared" ref="IE657:IL657" si="581">IE550-IE588</f>
        <v>-52.641473190533816</v>
      </c>
      <c r="IF657" s="279">
        <f t="shared" si="581"/>
        <v>-189.63157950187679</v>
      </c>
      <c r="IG657" s="323">
        <f t="shared" si="581"/>
        <v>-242.2730526924106</v>
      </c>
      <c r="IH657" s="279">
        <f t="shared" si="581"/>
        <v>-110.98632621914237</v>
      </c>
      <c r="II657" s="279">
        <f t="shared" si="581"/>
        <v>-140.18926420380353</v>
      </c>
      <c r="IJ657" s="323">
        <f t="shared" si="581"/>
        <v>-251.17559042294602</v>
      </c>
      <c r="IK657" s="279">
        <f t="shared" si="581"/>
        <v>-177.83396231617735</v>
      </c>
      <c r="IL657" s="279">
        <f t="shared" si="581"/>
        <v>-235.01173744018183</v>
      </c>
      <c r="IM657" s="323">
        <f t="shared" si="503"/>
        <v>-412.84569975635918</v>
      </c>
      <c r="IN657" s="279">
        <f>IN550-IN588</f>
        <v>-167.4713859075822</v>
      </c>
      <c r="IO657" s="279">
        <f>IO550-IO588</f>
        <v>-199.65596218942187</v>
      </c>
      <c r="IP657" s="323">
        <f>FISC!AC866</f>
        <v>-367.12734809700419</v>
      </c>
      <c r="IQ657" s="279">
        <f t="shared" si="548"/>
        <v>-251.28455471786654</v>
      </c>
      <c r="IR657" s="279">
        <f t="shared" si="549"/>
        <v>-359.99879663738722</v>
      </c>
      <c r="IS657" s="323">
        <f t="shared" si="407"/>
        <v>-611.28335135525379</v>
      </c>
      <c r="IT657" s="454" t="e">
        <f>IT550-IT588</f>
        <v>#REF!</v>
      </c>
      <c r="IU657" s="454" t="e">
        <f>IU550-IU588</f>
        <v>#REF!</v>
      </c>
      <c r="IV657" s="323">
        <f>+FISC!AE866</f>
        <v>-1171.0971334578217</v>
      </c>
      <c r="IW657" s="454">
        <f>IW550-IW588</f>
        <v>-477.08977009902139</v>
      </c>
      <c r="IX657" s="279">
        <f t="shared" si="486"/>
        <v>-461.63933146005445</v>
      </c>
      <c r="IY657" s="323">
        <f>+FISC!AF866</f>
        <v>-938.72910155907584</v>
      </c>
      <c r="IZ657" s="454">
        <f>IZ550-IZ588</f>
        <v>2671.1857357059143</v>
      </c>
      <c r="JA657" s="279">
        <f t="shared" si="540"/>
        <v>3376.1080490639833</v>
      </c>
      <c r="JB657" s="323">
        <f>+FISC!AG866</f>
        <v>6047.2937847698977</v>
      </c>
      <c r="JC657" s="454">
        <f>JC550-JC588</f>
        <v>4486.782621107046</v>
      </c>
      <c r="JD657" s="279">
        <f t="shared" si="487"/>
        <v>5508.1742500631372</v>
      </c>
      <c r="JE657" s="323">
        <f>+FISC!AH866</f>
        <v>9994.9568711701831</v>
      </c>
      <c r="JF657" s="454">
        <f>JF550-JF588</f>
        <v>5829.6834276348618</v>
      </c>
      <c r="JG657" s="279">
        <f t="shared" si="488"/>
        <v>6076.9589963860944</v>
      </c>
      <c r="JH657" s="323">
        <f>+FISC!AI866</f>
        <v>11906.642424020956</v>
      </c>
      <c r="JI657" s="454">
        <f>JI550-JI588</f>
        <v>-1803.6427232942842</v>
      </c>
      <c r="JJ657" s="279">
        <f t="shared" si="489"/>
        <v>-2427.8864073523846</v>
      </c>
      <c r="JK657" s="323">
        <f>+FISC!AJ866</f>
        <v>-4231.5291306466688</v>
      </c>
      <c r="JL657" s="454">
        <f>JL550-JL588</f>
        <v>-488.77573358966231</v>
      </c>
      <c r="JM657" s="279">
        <f t="shared" si="490"/>
        <v>488.77573358966231</v>
      </c>
      <c r="JN657" s="323">
        <f>+FISC!AK866</f>
        <v>0</v>
      </c>
      <c r="JO657" s="323"/>
      <c r="KU657" s="326"/>
      <c r="KV657" s="327"/>
      <c r="KY657" s="279">
        <f>KY550-KY588</f>
        <v>0</v>
      </c>
      <c r="KZ657" s="279">
        <f>KZ550-KZ588</f>
        <v>0</v>
      </c>
      <c r="LA657" s="279">
        <f>LA550-LA588</f>
        <v>0</v>
      </c>
      <c r="LB657" s="279">
        <f>LB550-LB588</f>
        <v>0</v>
      </c>
    </row>
    <row r="658" spans="1:314" hidden="1">
      <c r="A658" s="279"/>
      <c r="B658" s="96" t="s">
        <v>338</v>
      </c>
      <c r="D658" s="328" t="str">
        <f>+FISC!D867</f>
        <v>Excluding grants</v>
      </c>
      <c r="E658" s="323">
        <f t="shared" ref="E658:AJ658" si="582">E552-E588</f>
        <v>-14.575546187904123</v>
      </c>
      <c r="F658" s="323">
        <f t="shared" si="582"/>
        <v>-18.05384003372</v>
      </c>
      <c r="G658" s="323">
        <f t="shared" si="582"/>
        <v>-26.9774625170325</v>
      </c>
      <c r="H658" s="323">
        <f t="shared" si="582"/>
        <v>-19.804611869128273</v>
      </c>
      <c r="I658" s="323">
        <f t="shared" si="582"/>
        <v>-3.3127367278979989</v>
      </c>
      <c r="J658" s="323">
        <f t="shared" si="582"/>
        <v>-18.8490549067259</v>
      </c>
      <c r="K658" s="323">
        <f t="shared" si="582"/>
        <v>-37.141283882326306</v>
      </c>
      <c r="L658" s="323">
        <f t="shared" si="582"/>
        <v>-12.241079664849604</v>
      </c>
      <c r="M658" s="323">
        <f t="shared" si="582"/>
        <v>-33.667313375884007</v>
      </c>
      <c r="N658" s="323">
        <f t="shared" si="582"/>
        <v>-20.237377417740007</v>
      </c>
      <c r="O658" s="323">
        <f t="shared" si="582"/>
        <v>-9.8075644590999964</v>
      </c>
      <c r="P658" s="323">
        <f t="shared" si="582"/>
        <v>-23.138094036080002</v>
      </c>
      <c r="Q658" s="323">
        <f t="shared" si="582"/>
        <v>-15.420081703391606</v>
      </c>
      <c r="R658" s="323">
        <f t="shared" si="582"/>
        <v>-13.712132172342702</v>
      </c>
      <c r="S658" s="323">
        <f t="shared" si="582"/>
        <v>-27.368400940725</v>
      </c>
      <c r="T658" s="323">
        <f t="shared" si="582"/>
        <v>-35.416386866264006</v>
      </c>
      <c r="U658" s="323">
        <f t="shared" si="582"/>
        <v>-8.5599013026554971</v>
      </c>
      <c r="V658" s="323">
        <f t="shared" si="582"/>
        <v>-8.5674448933920004</v>
      </c>
      <c r="W658" s="323">
        <f t="shared" si="582"/>
        <v>-35.095391646349995</v>
      </c>
      <c r="X658" s="323">
        <f t="shared" si="582"/>
        <v>-18.290978405408008</v>
      </c>
      <c r="Y658" s="323">
        <f t="shared" si="582"/>
        <v>-35.25423347460481</v>
      </c>
      <c r="Z658" s="323">
        <f t="shared" si="582"/>
        <v>-57.1926833415734</v>
      </c>
      <c r="AA658" s="323">
        <f t="shared" si="582"/>
        <v>-3.4334140607894028</v>
      </c>
      <c r="AB658" s="323">
        <f t="shared" si="582"/>
        <v>-10.454689440706986</v>
      </c>
      <c r="AC658" s="323">
        <f t="shared" si="582"/>
        <v>-19.946153762000002</v>
      </c>
      <c r="AD658" s="323">
        <f t="shared" si="582"/>
        <v>-6.8364282729999992</v>
      </c>
      <c r="AE658" s="323">
        <f t="shared" si="582"/>
        <v>-66.032931200999997</v>
      </c>
      <c r="AF658" s="323">
        <f t="shared" si="582"/>
        <v>-32.802881740999993</v>
      </c>
      <c r="AG658" s="323">
        <f t="shared" si="582"/>
        <v>-12.325251835999996</v>
      </c>
      <c r="AH658" s="323">
        <f t="shared" si="582"/>
        <v>-17.857780487000021</v>
      </c>
      <c r="AI658" s="323">
        <f t="shared" si="582"/>
        <v>-19.469199537000005</v>
      </c>
      <c r="AJ658" s="323">
        <f t="shared" si="582"/>
        <v>-17.403393312999995</v>
      </c>
      <c r="AK658" s="323">
        <f t="shared" ref="AK658:BP658" si="583">AK552-AK588</f>
        <v>-66.424416653000009</v>
      </c>
      <c r="AL658" s="323">
        <f t="shared" si="583"/>
        <v>-46.477236422999994</v>
      </c>
      <c r="AM658" s="323">
        <f t="shared" si="583"/>
        <v>-22.079827526000006</v>
      </c>
      <c r="AN658" s="323">
        <f t="shared" si="583"/>
        <v>-47.271603753999997</v>
      </c>
      <c r="AO658" s="323">
        <f t="shared" si="583"/>
        <v>-36.534131070259988</v>
      </c>
      <c r="AP658" s="323">
        <f t="shared" si="583"/>
        <v>-12.384099702060006</v>
      </c>
      <c r="AQ658" s="323">
        <f t="shared" si="583"/>
        <v>-38.214777051327218</v>
      </c>
      <c r="AR658" s="323">
        <f t="shared" si="583"/>
        <v>-36.285851540120007</v>
      </c>
      <c r="AS658" s="323">
        <f t="shared" si="583"/>
        <v>-34.410293150347982</v>
      </c>
      <c r="AT658" s="323">
        <f t="shared" si="583"/>
        <v>-39.253981634065596</v>
      </c>
      <c r="AU658" s="323">
        <f t="shared" si="583"/>
        <v>-20.480145807240003</v>
      </c>
      <c r="AV658" s="323">
        <f t="shared" si="583"/>
        <v>-39.286925937880014</v>
      </c>
      <c r="AW658" s="323">
        <f t="shared" si="583"/>
        <v>-58.959101202549981</v>
      </c>
      <c r="AX658" s="323">
        <f t="shared" si="583"/>
        <v>-42.009039914079992</v>
      </c>
      <c r="AY658" s="323">
        <f t="shared" si="583"/>
        <v>-19.08472891390079</v>
      </c>
      <c r="AZ658" s="323">
        <f t="shared" si="583"/>
        <v>-71.552374323367502</v>
      </c>
      <c r="BA658" s="323">
        <f t="shared" si="583"/>
        <v>-24.066177546999988</v>
      </c>
      <c r="BB658" s="323">
        <f t="shared" si="583"/>
        <v>-13.295689674999998</v>
      </c>
      <c r="BC658" s="323">
        <f t="shared" si="583"/>
        <v>-80.343476183000007</v>
      </c>
      <c r="BD658" s="323">
        <f t="shared" si="583"/>
        <v>-48.820259641000007</v>
      </c>
      <c r="BE658" s="323">
        <f t="shared" si="583"/>
        <v>-52.270636820999997</v>
      </c>
      <c r="BF658" s="323">
        <f t="shared" si="583"/>
        <v>-30.471802820000008</v>
      </c>
      <c r="BG658" s="323">
        <f t="shared" si="583"/>
        <v>-13.992362122199999</v>
      </c>
      <c r="BH658" s="323">
        <f t="shared" si="583"/>
        <v>-42.184293322799995</v>
      </c>
      <c r="BI658" s="323">
        <f t="shared" si="583"/>
        <v>-15.378224060099981</v>
      </c>
      <c r="BJ658" s="323">
        <f t="shared" si="583"/>
        <v>-51.024165205819997</v>
      </c>
      <c r="BK658" s="323">
        <f t="shared" si="583"/>
        <v>-23.597494221000019</v>
      </c>
      <c r="BL658" s="323">
        <f t="shared" si="583"/>
        <v>-65.664661136999996</v>
      </c>
      <c r="BM658" s="323">
        <f t="shared" si="583"/>
        <v>-41.626092870890012</v>
      </c>
      <c r="BN658" s="323">
        <f t="shared" si="583"/>
        <v>-15.183143720479997</v>
      </c>
      <c r="BO658" s="323">
        <f t="shared" si="583"/>
        <v>-71.320963919999997</v>
      </c>
      <c r="BP658" s="323">
        <f t="shared" si="583"/>
        <v>-66.680798585000019</v>
      </c>
      <c r="BQ658" s="323">
        <f t="shared" ref="BQ658:CV658" si="584">BQ552-BQ588</f>
        <v>-55.172659059849998</v>
      </c>
      <c r="BR658" s="323">
        <f t="shared" si="584"/>
        <v>-56.116491725580005</v>
      </c>
      <c r="BS658" s="323">
        <f t="shared" si="584"/>
        <v>-23.553099999999986</v>
      </c>
      <c r="BT658" s="323">
        <f t="shared" si="584"/>
        <v>-17.30019999999999</v>
      </c>
      <c r="BU658" s="323">
        <f t="shared" si="584"/>
        <v>-78.524900000000002</v>
      </c>
      <c r="BV658" s="323">
        <f t="shared" si="584"/>
        <v>-54.264272142367645</v>
      </c>
      <c r="BW658" s="323">
        <f t="shared" si="584"/>
        <v>-23.403320504341181</v>
      </c>
      <c r="BX658" s="323">
        <f t="shared" si="584"/>
        <v>28.712918160505176</v>
      </c>
      <c r="BY658" s="323">
        <f t="shared" si="584"/>
        <v>-27.046293615118032</v>
      </c>
      <c r="BZ658" s="323">
        <f t="shared" si="584"/>
        <v>-27.610120997842124</v>
      </c>
      <c r="CA658" s="323">
        <f t="shared" si="584"/>
        <v>28.914320175343413</v>
      </c>
      <c r="CB658" s="323">
        <f t="shared" si="584"/>
        <v>-73.642175424903485</v>
      </c>
      <c r="CC658" s="323">
        <f t="shared" si="584"/>
        <v>-146.71936144099058</v>
      </c>
      <c r="CD658" s="323">
        <f t="shared" si="584"/>
        <v>22.732394966439301</v>
      </c>
      <c r="CE658" s="324">
        <f t="shared" si="584"/>
        <v>-14.567574778282108</v>
      </c>
      <c r="CF658" s="323">
        <f t="shared" si="584"/>
        <v>-55.381971946985558</v>
      </c>
      <c r="CG658" s="323">
        <f t="shared" si="584"/>
        <v>-39.215360138657573</v>
      </c>
      <c r="CH658" s="323">
        <f t="shared" si="584"/>
        <v>-102.40138397757451</v>
      </c>
      <c r="CI658" s="323">
        <f t="shared" si="584"/>
        <v>-55.528204040272428</v>
      </c>
      <c r="CJ658" s="323">
        <f t="shared" si="584"/>
        <v>-2.3044556399746483</v>
      </c>
      <c r="CK658" s="323">
        <f t="shared" si="584"/>
        <v>-92.503092491051788</v>
      </c>
      <c r="CL658" s="323">
        <f t="shared" si="584"/>
        <v>-34.768998114947813</v>
      </c>
      <c r="CM658" s="323">
        <f t="shared" si="584"/>
        <v>-26.953600170557436</v>
      </c>
      <c r="CN658" s="323">
        <f t="shared" si="584"/>
        <v>-135.01400908165786</v>
      </c>
      <c r="CO658" s="323">
        <f t="shared" si="584"/>
        <v>-96.99271386874608</v>
      </c>
      <c r="CP658" s="325">
        <f t="shared" si="584"/>
        <v>-11.959417978859207</v>
      </c>
      <c r="CQ658" s="323">
        <f t="shared" si="584"/>
        <v>-66.363729254784431</v>
      </c>
      <c r="CR658" s="323">
        <f t="shared" si="584"/>
        <v>-56.753573044400468</v>
      </c>
      <c r="CS658" s="323">
        <f t="shared" si="584"/>
        <v>-68.554072733282339</v>
      </c>
      <c r="CT658" s="323">
        <f t="shared" si="584"/>
        <v>-77.264697666682167</v>
      </c>
      <c r="CU658" s="323">
        <f t="shared" si="584"/>
        <v>-62.736488416101864</v>
      </c>
      <c r="CV658" s="323">
        <f t="shared" si="584"/>
        <v>-39.181010804857152</v>
      </c>
      <c r="CW658" s="323">
        <f t="shared" ref="CW658:EB658" si="585">CW552-CW588</f>
        <v>-68.66509576875103</v>
      </c>
      <c r="CX658" s="323">
        <f t="shared" si="585"/>
        <v>-48.225397638396316</v>
      </c>
      <c r="CY658" s="323">
        <f t="shared" si="585"/>
        <v>-73.476255043968592</v>
      </c>
      <c r="CZ658" s="323">
        <f t="shared" si="585"/>
        <v>-122.03194443249346</v>
      </c>
      <c r="DA658" s="323">
        <f t="shared" si="585"/>
        <v>-88.34396821768776</v>
      </c>
      <c r="DB658" s="1269">
        <f t="shared" si="585"/>
        <v>-1.3775860266381414</v>
      </c>
      <c r="DC658" s="323">
        <f t="shared" si="585"/>
        <v>-56.408075688489561</v>
      </c>
      <c r="DD658" s="323">
        <f t="shared" si="585"/>
        <v>-61.144085287877516</v>
      </c>
      <c r="DE658" s="323">
        <f t="shared" si="585"/>
        <v>-49.64863807827696</v>
      </c>
      <c r="DF658" s="323">
        <f t="shared" si="585"/>
        <v>-108.11378114541934</v>
      </c>
      <c r="DG658" s="323">
        <f t="shared" si="585"/>
        <v>-40.617707417227862</v>
      </c>
      <c r="DH658" s="323">
        <f t="shared" si="585"/>
        <v>-37.458437999491593</v>
      </c>
      <c r="DI658" s="323">
        <f t="shared" si="585"/>
        <v>-119.98536017806063</v>
      </c>
      <c r="DJ658" s="323">
        <f t="shared" si="585"/>
        <v>-42.910444931972748</v>
      </c>
      <c r="DK658" s="323">
        <f t="shared" si="585"/>
        <v>-19.283083692244347</v>
      </c>
      <c r="DL658" s="323">
        <f t="shared" si="585"/>
        <v>-108.40218071775928</v>
      </c>
      <c r="DM658" s="323">
        <f t="shared" si="585"/>
        <v>-75.503393707514945</v>
      </c>
      <c r="DN658" s="325">
        <f t="shared" si="585"/>
        <v>20.428183990205341</v>
      </c>
      <c r="DO658" s="323">
        <f t="shared" si="585"/>
        <v>-58.324274386799857</v>
      </c>
      <c r="DP658" s="323">
        <f t="shared" si="585"/>
        <v>-72.281731515574251</v>
      </c>
      <c r="DQ658" s="323">
        <f t="shared" si="585"/>
        <v>-32.922928795486996</v>
      </c>
      <c r="DR658" s="323">
        <f t="shared" si="585"/>
        <v>-105.33803903936997</v>
      </c>
      <c r="DS658" s="323">
        <f t="shared" si="585"/>
        <v>-55.31217737263384</v>
      </c>
      <c r="DT658" s="323">
        <f t="shared" si="585"/>
        <v>-3.5529510468686283</v>
      </c>
      <c r="DU658" s="323">
        <f t="shared" si="585"/>
        <v>-125.50801417891957</v>
      </c>
      <c r="DV658" s="323">
        <f t="shared" si="585"/>
        <v>-37.113979164607301</v>
      </c>
      <c r="DW658" s="323">
        <f t="shared" si="585"/>
        <v>19.090968341119464</v>
      </c>
      <c r="DX658" s="323">
        <f t="shared" si="585"/>
        <v>-147.27958493435654</v>
      </c>
      <c r="DY658" s="323">
        <f t="shared" si="585"/>
        <v>-77.865320269165721</v>
      </c>
      <c r="DZ658" s="325">
        <f t="shared" si="585"/>
        <v>-14.594161507081139</v>
      </c>
      <c r="EA658" s="323">
        <f t="shared" si="585"/>
        <v>-83.626508056879615</v>
      </c>
      <c r="EB658" s="323">
        <f t="shared" si="585"/>
        <v>-98.855347579762338</v>
      </c>
      <c r="EC658" s="323">
        <f t="shared" ref="EC658:EK658" si="586">EC552-EC588</f>
        <v>-88.093097171314994</v>
      </c>
      <c r="ED658" s="323">
        <f t="shared" si="586"/>
        <v>-103.38226166104835</v>
      </c>
      <c r="EE658" s="323">
        <f t="shared" si="586"/>
        <v>-74.958777543624592</v>
      </c>
      <c r="EF658" s="323">
        <f t="shared" si="586"/>
        <v>-30.151691086586879</v>
      </c>
      <c r="EG658" s="323">
        <f t="shared" si="586"/>
        <v>-104.22373689130032</v>
      </c>
      <c r="EH658" s="323">
        <f t="shared" si="586"/>
        <v>-52.857209500740197</v>
      </c>
      <c r="EI658" s="323">
        <f t="shared" si="586"/>
        <v>-57.832280807666052</v>
      </c>
      <c r="EJ658" s="323">
        <f t="shared" si="586"/>
        <v>-69.314107305405741</v>
      </c>
      <c r="EK658" s="323">
        <f t="shared" si="586"/>
        <v>-92.295467346692789</v>
      </c>
      <c r="EL658" s="325">
        <f t="shared" ref="EL658:ER658" si="587">EL552-EL588</f>
        <v>5.0682508778748456</v>
      </c>
      <c r="EM658" s="323">
        <f t="shared" si="587"/>
        <v>-72.334092593797791</v>
      </c>
      <c r="EN658" s="323">
        <f t="shared" si="587"/>
        <v>-77.011861869770854</v>
      </c>
      <c r="EO658" s="323">
        <f t="shared" si="587"/>
        <v>-73.98772717671531</v>
      </c>
      <c r="EP658" s="323">
        <f t="shared" si="587"/>
        <v>-124.55181364485007</v>
      </c>
      <c r="EQ658" s="323">
        <f t="shared" si="587"/>
        <v>-92.759331584312264</v>
      </c>
      <c r="ER658" s="323">
        <f t="shared" si="587"/>
        <v>-76.675230967843675</v>
      </c>
      <c r="ES658" s="323">
        <f t="shared" ref="ES658:EX658" si="588">ES552-ES588</f>
        <v>-76.893777557660826</v>
      </c>
      <c r="ET658" s="323">
        <f t="shared" si="588"/>
        <v>-70.555101390661477</v>
      </c>
      <c r="EU658" s="323">
        <f t="shared" si="588"/>
        <v>-114.86856555212776</v>
      </c>
      <c r="EV658" s="323">
        <f t="shared" si="588"/>
        <v>-147.25847189519928</v>
      </c>
      <c r="EW658" s="323">
        <f t="shared" si="588"/>
        <v>-125.50569133088557</v>
      </c>
      <c r="EX658" s="325">
        <f t="shared" si="588"/>
        <v>-40.060992787790127</v>
      </c>
      <c r="EY658" s="323"/>
      <c r="EZ658" s="323"/>
      <c r="FA658" s="323"/>
      <c r="FB658" s="323"/>
      <c r="FC658" s="323"/>
      <c r="FD658" s="323"/>
      <c r="FE658" s="323"/>
      <c r="FF658" s="323"/>
      <c r="FG658" s="323"/>
      <c r="FH658" s="323"/>
      <c r="FI658" s="323"/>
      <c r="FJ658" s="325"/>
      <c r="FK658" s="323"/>
      <c r="FL658" s="323"/>
      <c r="FM658" s="323"/>
      <c r="FN658" s="323"/>
      <c r="FO658" s="323"/>
      <c r="FP658" s="323"/>
      <c r="FQ658" s="323"/>
      <c r="FR658" s="323"/>
      <c r="FS658" s="323"/>
      <c r="FT658" s="323"/>
      <c r="FU658" s="323"/>
      <c r="FV658" s="323"/>
      <c r="FW658" s="323"/>
      <c r="FX658" s="323"/>
      <c r="FY658" s="323"/>
      <c r="FZ658" s="323"/>
      <c r="GA658" s="323"/>
      <c r="GB658" s="323"/>
      <c r="GC658" s="323"/>
      <c r="GD658" s="323"/>
      <c r="GE658" s="323"/>
      <c r="GF658" s="323"/>
      <c r="GG658" s="323"/>
      <c r="GH658" s="323"/>
      <c r="GI658" s="323"/>
      <c r="GJ658" s="323"/>
      <c r="GK658" s="323"/>
      <c r="GL658" s="323"/>
      <c r="GM658" s="323"/>
      <c r="GN658" s="323"/>
      <c r="GO658" s="323"/>
      <c r="GP658" s="323"/>
      <c r="GQ658" s="323"/>
      <c r="GR658" s="323"/>
      <c r="GS658" s="323"/>
      <c r="GT658" s="323"/>
      <c r="GU658" s="323"/>
      <c r="GV658" s="323"/>
      <c r="GW658" s="323"/>
      <c r="GX658" s="323"/>
      <c r="GY658" s="323"/>
      <c r="GZ658" s="323"/>
      <c r="HA658" s="323"/>
      <c r="HB658" s="323"/>
      <c r="HC658" s="323"/>
      <c r="HD658" s="323"/>
      <c r="HE658" s="323"/>
      <c r="HF658" s="323"/>
      <c r="HG658" s="323"/>
      <c r="HH658" s="323"/>
      <c r="HI658" s="323"/>
      <c r="HJ658" s="323"/>
      <c r="HK658" s="323"/>
      <c r="HL658" s="323"/>
      <c r="HM658" s="323"/>
      <c r="HN658" s="323"/>
      <c r="HO658" s="323"/>
      <c r="HP658" s="323"/>
      <c r="HQ658" s="323"/>
      <c r="HR658" s="323"/>
      <c r="HS658" s="323"/>
      <c r="HT658" s="323"/>
      <c r="HU658" s="323"/>
      <c r="HV658" s="323"/>
      <c r="HW658" s="323"/>
      <c r="HX658" s="323"/>
      <c r="HY658" s="323"/>
      <c r="HZ658" s="326"/>
      <c r="IA658" s="328" t="s">
        <v>157</v>
      </c>
      <c r="IB658" s="328"/>
      <c r="IC658" s="328"/>
      <c r="ID658" s="323">
        <f>+FISC!Z867</f>
        <v>-717.97319804200015</v>
      </c>
      <c r="IE658" s="279">
        <f t="shared" ref="IE658:IL658" si="589">IE552-IE588</f>
        <v>-347.85357192010844</v>
      </c>
      <c r="IF658" s="279">
        <f t="shared" si="589"/>
        <v>-402.12024712793533</v>
      </c>
      <c r="IG658" s="323">
        <f t="shared" si="589"/>
        <v>-749.97381904804365</v>
      </c>
      <c r="IH658" s="279">
        <f t="shared" si="589"/>
        <v>-353.39072561678267</v>
      </c>
      <c r="II658" s="279">
        <f t="shared" si="589"/>
        <v>-345.65627923734655</v>
      </c>
      <c r="IJ658" s="323">
        <f t="shared" si="589"/>
        <v>-699.04700485412923</v>
      </c>
      <c r="IK658" s="279">
        <f t="shared" si="589"/>
        <v>-327.73210215673362</v>
      </c>
      <c r="IL658" s="279">
        <f t="shared" si="589"/>
        <v>-383.27009171301074</v>
      </c>
      <c r="IM658" s="323">
        <f t="shared" si="503"/>
        <v>-711.00219386974436</v>
      </c>
      <c r="IN658" s="279">
        <f>IN552-IN588</f>
        <v>-362.23600502257068</v>
      </c>
      <c r="IO658" s="279">
        <f>IO552-IO588</f>
        <v>-363.80001994314387</v>
      </c>
      <c r="IP658" s="323">
        <f>FISC!AC867</f>
        <v>-726.03602496571466</v>
      </c>
      <c r="IQ658" s="279">
        <f t="shared" si="548"/>
        <v>-517.32005783729005</v>
      </c>
      <c r="IR658" s="279">
        <f t="shared" si="549"/>
        <v>-575.14260051432507</v>
      </c>
      <c r="IS658" s="323">
        <f t="shared" ref="IS658:IS700" si="590">IQ658+IR658</f>
        <v>-1092.4626583516151</v>
      </c>
      <c r="IT658" s="279" t="e">
        <f>IT552-IT588</f>
        <v>#REF!</v>
      </c>
      <c r="IU658" s="454" t="e">
        <f>IU552-IU588</f>
        <v>#REF!</v>
      </c>
      <c r="IV658" s="323">
        <f>+FISC!AE867</f>
        <v>-1603.1794113359817</v>
      </c>
      <c r="IW658" s="279">
        <f>IW552-IW588</f>
        <v>-719.2599504137479</v>
      </c>
      <c r="IX658" s="279">
        <f t="shared" si="486"/>
        <v>-711.79283613606822</v>
      </c>
      <c r="IY658" s="323">
        <f>+FISC!AF867</f>
        <v>-1431.0527865498161</v>
      </c>
      <c r="IZ658" s="279">
        <f>IZ552-IZ588</f>
        <v>2331.165298526952</v>
      </c>
      <c r="JA658" s="279">
        <f t="shared" si="540"/>
        <v>2879.9183517507518</v>
      </c>
      <c r="JB658" s="323">
        <f>+FISC!AG867</f>
        <v>5211.0836502777038</v>
      </c>
      <c r="JC658" s="279">
        <f>JC552-JC588</f>
        <v>4211.8952217778278</v>
      </c>
      <c r="JD658" s="279">
        <f t="shared" si="487"/>
        <v>5071.7674964328144</v>
      </c>
      <c r="JE658" s="323">
        <f>+FISC!AH867</f>
        <v>9283.6627182106422</v>
      </c>
      <c r="JF658" s="279">
        <f>JF552-JF588</f>
        <v>5484.103202475455</v>
      </c>
      <c r="JG658" s="279">
        <f t="shared" si="488"/>
        <v>5664.7225809554384</v>
      </c>
      <c r="JH658" s="323">
        <f>+FISC!AI867</f>
        <v>11148.825783430893</v>
      </c>
      <c r="JI658" s="279">
        <f>JI552-JI588</f>
        <v>-2164.3330647490125</v>
      </c>
      <c r="JJ658" s="279">
        <f t="shared" si="489"/>
        <v>-2690.2690891876168</v>
      </c>
      <c r="JK658" s="323">
        <f>+FISC!AJ867</f>
        <v>-4854.6021539366293</v>
      </c>
      <c r="JL658" s="279">
        <f>JL552-JL588</f>
        <v>-811.08336896435458</v>
      </c>
      <c r="JM658" s="279">
        <f t="shared" si="490"/>
        <v>811.08336896435458</v>
      </c>
      <c r="JN658" s="323">
        <f>+FISC!AK867</f>
        <v>0</v>
      </c>
      <c r="JO658" s="323"/>
      <c r="KU658" s="326"/>
      <c r="KV658" s="327"/>
      <c r="KY658" s="279">
        <f>KY552-KY588</f>
        <v>0</v>
      </c>
      <c r="KZ658" s="279">
        <f>KZ552-KZ588</f>
        <v>0</v>
      </c>
      <c r="LA658" s="279">
        <f>LA552-LA588</f>
        <v>0</v>
      </c>
      <c r="LB658" s="279">
        <f>LB552-LB588</f>
        <v>0</v>
      </c>
    </row>
    <row r="659" spans="1:314" hidden="1">
      <c r="A659" s="279"/>
      <c r="D659" s="328"/>
      <c r="E659" s="323"/>
      <c r="F659" s="323"/>
      <c r="G659" s="323"/>
      <c r="H659" s="323"/>
      <c r="I659" s="323"/>
      <c r="J659" s="323"/>
      <c r="K659" s="323"/>
      <c r="L659" s="323"/>
      <c r="M659" s="323"/>
      <c r="N659" s="323"/>
      <c r="O659" s="323"/>
      <c r="P659" s="323"/>
      <c r="Q659" s="323"/>
      <c r="R659" s="323"/>
      <c r="S659" s="323"/>
      <c r="T659" s="323"/>
      <c r="U659" s="323"/>
      <c r="V659" s="323"/>
      <c r="W659" s="323"/>
      <c r="X659" s="323"/>
      <c r="Y659" s="323"/>
      <c r="Z659" s="323"/>
      <c r="AA659" s="323"/>
      <c r="AB659" s="323"/>
      <c r="AC659" s="323"/>
      <c r="AD659" s="323"/>
      <c r="AE659" s="323"/>
      <c r="AF659" s="323"/>
      <c r="AG659" s="323"/>
      <c r="AH659" s="323"/>
      <c r="AI659" s="323"/>
      <c r="AJ659" s="323"/>
      <c r="AK659" s="323"/>
      <c r="AL659" s="323"/>
      <c r="AM659" s="323"/>
      <c r="AN659" s="323"/>
      <c r="AO659" s="323"/>
      <c r="AP659" s="323"/>
      <c r="AQ659" s="323"/>
      <c r="AR659" s="323"/>
      <c r="AS659" s="323"/>
      <c r="AT659" s="323"/>
      <c r="AU659" s="323"/>
      <c r="AV659" s="323"/>
      <c r="AW659" s="323"/>
      <c r="AX659" s="323"/>
      <c r="AY659" s="323"/>
      <c r="AZ659" s="323"/>
      <c r="BA659" s="323"/>
      <c r="BB659" s="323"/>
      <c r="BC659" s="323"/>
      <c r="BD659" s="323"/>
      <c r="BE659" s="323"/>
      <c r="BF659" s="323"/>
      <c r="BG659" s="323"/>
      <c r="BH659" s="323"/>
      <c r="BI659" s="323"/>
      <c r="BJ659" s="323"/>
      <c r="BK659" s="323"/>
      <c r="BL659" s="323"/>
      <c r="BM659" s="323"/>
      <c r="BN659" s="323"/>
      <c r="BO659" s="323"/>
      <c r="BP659" s="323"/>
      <c r="BQ659" s="323"/>
      <c r="BR659" s="323"/>
      <c r="BS659" s="323"/>
      <c r="BT659" s="323"/>
      <c r="BU659" s="323"/>
      <c r="BV659" s="323"/>
      <c r="BW659" s="323"/>
      <c r="BX659" s="323"/>
      <c r="BY659" s="323"/>
      <c r="BZ659" s="323"/>
      <c r="CA659" s="323"/>
      <c r="CB659" s="323"/>
      <c r="CC659" s="323"/>
      <c r="CD659" s="323"/>
      <c r="CE659" s="324"/>
      <c r="CF659" s="323"/>
      <c r="CG659" s="323"/>
      <c r="CH659" s="323"/>
      <c r="CI659" s="323"/>
      <c r="CJ659" s="323"/>
      <c r="CK659" s="323"/>
      <c r="CL659" s="323"/>
      <c r="CM659" s="323"/>
      <c r="CN659" s="323"/>
      <c r="CO659" s="323"/>
      <c r="CP659" s="325"/>
      <c r="CQ659" s="323"/>
      <c r="CR659" s="323"/>
      <c r="CS659" s="323"/>
      <c r="CT659" s="323"/>
      <c r="CU659" s="323"/>
      <c r="CV659" s="323"/>
      <c r="CW659" s="323"/>
      <c r="CX659" s="323"/>
      <c r="CY659" s="323"/>
      <c r="CZ659" s="323"/>
      <c r="DA659" s="323"/>
      <c r="DB659" s="1269"/>
      <c r="DC659" s="323"/>
      <c r="DD659" s="323"/>
      <c r="DE659" s="323"/>
      <c r="DF659" s="323"/>
      <c r="DG659" s="323"/>
      <c r="DH659" s="323"/>
      <c r="DI659" s="323"/>
      <c r="DJ659" s="323"/>
      <c r="DK659" s="323"/>
      <c r="DL659" s="323"/>
      <c r="DM659" s="323"/>
      <c r="DN659" s="325"/>
      <c r="DO659" s="323"/>
      <c r="DP659" s="323"/>
      <c r="DQ659" s="323"/>
      <c r="DR659" s="323"/>
      <c r="DS659" s="323"/>
      <c r="DT659" s="323"/>
      <c r="DU659" s="323"/>
      <c r="DV659" s="323"/>
      <c r="DW659" s="323"/>
      <c r="DX659" s="323"/>
      <c r="DY659" s="323"/>
      <c r="DZ659" s="325"/>
      <c r="EA659" s="323"/>
      <c r="EB659" s="323"/>
      <c r="EC659" s="323"/>
      <c r="ED659" s="323"/>
      <c r="EE659" s="323"/>
      <c r="EF659" s="323"/>
      <c r="EG659" s="323"/>
      <c r="EH659" s="323"/>
      <c r="EI659" s="323"/>
      <c r="EJ659" s="323"/>
      <c r="EK659" s="323"/>
      <c r="EL659" s="325"/>
      <c r="EM659" s="323"/>
      <c r="EN659" s="323"/>
      <c r="EO659" s="323"/>
      <c r="EP659" s="323"/>
      <c r="EQ659" s="323"/>
      <c r="ER659" s="323"/>
      <c r="ES659" s="323"/>
      <c r="ET659" s="323"/>
      <c r="EU659" s="323"/>
      <c r="EV659" s="323"/>
      <c r="EW659" s="323"/>
      <c r="EX659" s="325"/>
      <c r="EY659" s="323"/>
      <c r="EZ659" s="323"/>
      <c r="FA659" s="323"/>
      <c r="FB659" s="323"/>
      <c r="FC659" s="323"/>
      <c r="FD659" s="323"/>
      <c r="FE659" s="323"/>
      <c r="FF659" s="323"/>
      <c r="FG659" s="323"/>
      <c r="FH659" s="323"/>
      <c r="FI659" s="323"/>
      <c r="FJ659" s="325"/>
      <c r="FK659" s="323"/>
      <c r="FL659" s="323"/>
      <c r="FM659" s="323"/>
      <c r="FN659" s="323"/>
      <c r="FO659" s="323"/>
      <c r="FP659" s="323"/>
      <c r="FQ659" s="323"/>
      <c r="FR659" s="323"/>
      <c r="FS659" s="323"/>
      <c r="FT659" s="323"/>
      <c r="FU659" s="323"/>
      <c r="FV659" s="323"/>
      <c r="FW659" s="323"/>
      <c r="FX659" s="323"/>
      <c r="FY659" s="323"/>
      <c r="FZ659" s="323"/>
      <c r="GA659" s="323"/>
      <c r="GB659" s="323"/>
      <c r="GC659" s="323"/>
      <c r="GD659" s="323"/>
      <c r="GE659" s="323"/>
      <c r="GF659" s="323"/>
      <c r="GG659" s="323"/>
      <c r="GH659" s="323"/>
      <c r="GI659" s="323"/>
      <c r="GJ659" s="323"/>
      <c r="GK659" s="323"/>
      <c r="GL659" s="323"/>
      <c r="GM659" s="323"/>
      <c r="GN659" s="323"/>
      <c r="GO659" s="323"/>
      <c r="GP659" s="323"/>
      <c r="GQ659" s="323"/>
      <c r="GR659" s="323"/>
      <c r="GS659" s="323"/>
      <c r="GT659" s="323"/>
      <c r="GU659" s="323"/>
      <c r="GV659" s="323"/>
      <c r="GW659" s="323"/>
      <c r="GX659" s="323"/>
      <c r="GY659" s="323"/>
      <c r="GZ659" s="323"/>
      <c r="HA659" s="323"/>
      <c r="HB659" s="323"/>
      <c r="HC659" s="323"/>
      <c r="HD659" s="323"/>
      <c r="HE659" s="323"/>
      <c r="HF659" s="323"/>
      <c r="HG659" s="323"/>
      <c r="HH659" s="323"/>
      <c r="HI659" s="323"/>
      <c r="HJ659" s="323"/>
      <c r="HK659" s="323"/>
      <c r="HL659" s="323"/>
      <c r="HM659" s="323"/>
      <c r="HN659" s="323"/>
      <c r="HO659" s="323"/>
      <c r="HP659" s="323"/>
      <c r="HQ659" s="323"/>
      <c r="HR659" s="323"/>
      <c r="HS659" s="323"/>
      <c r="HT659" s="323"/>
      <c r="HU659" s="323"/>
      <c r="HV659" s="323"/>
      <c r="HW659" s="323"/>
      <c r="HX659" s="323"/>
      <c r="HY659" s="323"/>
      <c r="HZ659" s="326"/>
      <c r="IA659" s="328"/>
      <c r="IB659" s="328"/>
      <c r="IC659" s="328"/>
      <c r="ID659" s="323">
        <f>+FISC!Z868</f>
        <v>-301.71950052759757</v>
      </c>
      <c r="IG659" s="323"/>
      <c r="IJ659" s="323"/>
      <c r="IM659" s="323"/>
      <c r="IO659" s="327"/>
      <c r="IP659" s="323">
        <f>FISC!AC868</f>
        <v>-371.40946294800415</v>
      </c>
      <c r="IQ659" s="279">
        <f t="shared" si="548"/>
        <v>0</v>
      </c>
      <c r="IR659" s="279">
        <f t="shared" si="549"/>
        <v>0</v>
      </c>
      <c r="IS659" s="323">
        <f t="shared" si="590"/>
        <v>0</v>
      </c>
      <c r="IT659" s="327"/>
      <c r="IU659" s="327"/>
      <c r="IV659" s="323">
        <f>+FISC!AE868</f>
        <v>-1156.104743164371</v>
      </c>
      <c r="IW659" s="279">
        <f>IY659*JU659</f>
        <v>0</v>
      </c>
      <c r="IX659" s="279">
        <f t="shared" si="486"/>
        <v>-944.94633527590759</v>
      </c>
      <c r="IY659" s="323">
        <f>+FISC!AF868</f>
        <v>-944.94633527590759</v>
      </c>
      <c r="IZ659" s="279">
        <f t="shared" si="498"/>
        <v>0</v>
      </c>
      <c r="JA659" s="279">
        <f t="shared" si="540"/>
        <v>6039.19412328006</v>
      </c>
      <c r="JB659" s="323">
        <f>+FISC!AG868</f>
        <v>6039.19412328006</v>
      </c>
      <c r="JC659" s="279">
        <f t="shared" si="499"/>
        <v>0</v>
      </c>
      <c r="JD659" s="279">
        <f t="shared" si="487"/>
        <v>9994.9568711701831</v>
      </c>
      <c r="JE659" s="323">
        <f>+FISC!AH868</f>
        <v>9994.9568711701831</v>
      </c>
      <c r="JF659" s="279">
        <f t="shared" si="500"/>
        <v>0</v>
      </c>
      <c r="JG659" s="279">
        <f t="shared" si="488"/>
        <v>11906.64242402096</v>
      </c>
      <c r="JH659" s="323">
        <f>+FISC!AI868</f>
        <v>11906.64242402096</v>
      </c>
      <c r="JI659" s="279">
        <f t="shared" si="501"/>
        <v>0</v>
      </c>
      <c r="JJ659" s="279">
        <f t="shared" si="489"/>
        <v>-4231.5291306466688</v>
      </c>
      <c r="JK659" s="323">
        <f>+FISC!AJ868</f>
        <v>-4231.5291306466688</v>
      </c>
      <c r="JL659" s="279">
        <f t="shared" si="502"/>
        <v>0</v>
      </c>
      <c r="JM659" s="279">
        <f t="shared" si="490"/>
        <v>0</v>
      </c>
      <c r="JN659" s="323">
        <f>+FISC!AK868</f>
        <v>0</v>
      </c>
      <c r="JO659" s="323"/>
      <c r="KU659" s="326"/>
      <c r="KV659" s="327"/>
    </row>
    <row r="660" spans="1:314" hidden="1">
      <c r="A660" s="279"/>
      <c r="B660" s="96" t="s">
        <v>338</v>
      </c>
      <c r="D660" s="328" t="str">
        <f>+FISC!D872</f>
        <v>Change in arrears (net reduction-)</v>
      </c>
      <c r="E660" s="323">
        <v>10.6554</v>
      </c>
      <c r="F660" s="323">
        <v>5.8456099999999998</v>
      </c>
      <c r="G660" s="323">
        <v>-15.183400000000001</v>
      </c>
      <c r="H660" s="323">
        <v>9.8549799999999994</v>
      </c>
      <c r="I660" s="323">
        <v>-9.1612799999999996</v>
      </c>
      <c r="J660" s="323">
        <v>-7.0667900000000001</v>
      </c>
      <c r="K660" s="323">
        <v>21.487389999999998</v>
      </c>
      <c r="L660" s="323">
        <v>-1.3441399999999999</v>
      </c>
      <c r="M660" s="323">
        <v>-12.681389999999999</v>
      </c>
      <c r="N660" s="323">
        <v>-1.64195</v>
      </c>
      <c r="O660" s="323">
        <v>2.20912</v>
      </c>
      <c r="P660" s="323">
        <v>-11.5212</v>
      </c>
      <c r="Q660" s="323">
        <v>12.82325</v>
      </c>
      <c r="R660" s="323">
        <v>-0.33189000000000035</v>
      </c>
      <c r="S660" s="323">
        <v>-6.0977399999999999</v>
      </c>
      <c r="T660" s="323">
        <v>9.3417400000000015</v>
      </c>
      <c r="U660" s="323">
        <v>-10.999739999999999</v>
      </c>
      <c r="V660" s="323">
        <v>-8.7369800000000062</v>
      </c>
      <c r="W660" s="323">
        <v>14.96668</v>
      </c>
      <c r="X660" s="323">
        <v>2.7358400000000067</v>
      </c>
      <c r="Y660" s="323">
        <v>-9.1756099999999989</v>
      </c>
      <c r="Z660" s="323">
        <v>22.001330000000003</v>
      </c>
      <c r="AA660" s="323">
        <v>-24.827919999999999</v>
      </c>
      <c r="AB660" s="323">
        <v>-9.7205099999999991</v>
      </c>
      <c r="AC660" s="323">
        <v>-0.87727999999999995</v>
      </c>
      <c r="AD660" s="323">
        <v>-0.53175000000000117</v>
      </c>
      <c r="AE660" s="323">
        <v>-0.56568999999999992</v>
      </c>
      <c r="AF660" s="323">
        <v>-1.8588699999999976</v>
      </c>
      <c r="AG660" s="323">
        <v>-0.91006999999999993</v>
      </c>
      <c r="AH660" s="323">
        <v>-0.43952000000000002</v>
      </c>
      <c r="AI660" s="323">
        <v>15.669499999999999</v>
      </c>
      <c r="AJ660" s="323">
        <v>-11.648299999999999</v>
      </c>
      <c r="AK660" s="323">
        <v>-1.3377000000000001</v>
      </c>
      <c r="AL660" s="323">
        <v>11.607200000000001</v>
      </c>
      <c r="AM660" s="323">
        <v>-11.101100000000001</v>
      </c>
      <c r="AN660" s="323">
        <v>-9.0562999999999985</v>
      </c>
      <c r="AO660" s="323">
        <v>21.638860000000001</v>
      </c>
      <c r="AP660" s="323">
        <v>2.7073199999999948</v>
      </c>
      <c r="AQ660" s="323">
        <v>-6.5569200000000141</v>
      </c>
      <c r="AR660" s="323">
        <v>7.6063799999999979</v>
      </c>
      <c r="AS660" s="323">
        <v>17.792059999999996</v>
      </c>
      <c r="AT660" s="323">
        <v>-49.276220000000002</v>
      </c>
      <c r="AU660" s="323">
        <v>5.9401999999999999</v>
      </c>
      <c r="AV660" s="323">
        <v>-0.78819999999999979</v>
      </c>
      <c r="AW660" s="323">
        <v>0.17479999999999996</v>
      </c>
      <c r="AX660" s="323">
        <v>-15.1335</v>
      </c>
      <c r="AY660" s="323">
        <v>5.4844000000000008</v>
      </c>
      <c r="AZ660" s="323">
        <v>-2.8403</v>
      </c>
      <c r="BA660" s="323">
        <v>27.045399999999997</v>
      </c>
      <c r="BB660" s="323">
        <v>0.25485000000000013</v>
      </c>
      <c r="BC660" s="323">
        <v>-2.4120499999999998</v>
      </c>
      <c r="BD660" s="323">
        <v>16.939349999999997</v>
      </c>
      <c r="BE660" s="323">
        <v>0.3079599999999999</v>
      </c>
      <c r="BF660" s="323">
        <v>-46.825299999999999</v>
      </c>
      <c r="BG660" s="323">
        <v>-2.1658000000000004</v>
      </c>
      <c r="BH660" s="323">
        <v>41.469000000000001</v>
      </c>
      <c r="BI660" s="323">
        <v>-29.6478</v>
      </c>
      <c r="BJ660" s="323">
        <v>31.784700000000001</v>
      </c>
      <c r="BK660" s="323">
        <v>-14.7141</v>
      </c>
      <c r="BL660" s="323">
        <v>-34.624499999999998</v>
      </c>
      <c r="BM660" s="323">
        <v>22.7043</v>
      </c>
      <c r="BN660" s="323">
        <v>-5.3937400000000002</v>
      </c>
      <c r="BO660" s="323">
        <v>-19.66197</v>
      </c>
      <c r="BP660" s="323">
        <v>36.031199999999998</v>
      </c>
      <c r="BQ660" s="323">
        <v>16.442199999999996</v>
      </c>
      <c r="BR660" s="323">
        <v>-55.916100000000007</v>
      </c>
      <c r="BS660" s="323">
        <v>35.2239</v>
      </c>
      <c r="BT660" s="323">
        <v>-3.8731</v>
      </c>
      <c r="BU660" s="323">
        <v>-17.4802</v>
      </c>
      <c r="BV660" s="323"/>
      <c r="BW660" s="323"/>
      <c r="BX660" s="323"/>
      <c r="BY660" s="323"/>
      <c r="BZ660" s="323"/>
      <c r="CA660" s="323"/>
      <c r="CB660" s="323"/>
      <c r="CC660" s="323"/>
      <c r="CD660" s="323"/>
      <c r="CE660" s="324">
        <f>CE661</f>
        <v>25.459926414999998</v>
      </c>
      <c r="CF660" s="323">
        <f t="shared" ref="CF660:EQ660" si="591">CF661</f>
        <v>-2.1916458300000095</v>
      </c>
      <c r="CG660" s="323">
        <f t="shared" si="591"/>
        <v>0.86049975999999662</v>
      </c>
      <c r="CH660" s="323">
        <f t="shared" si="591"/>
        <v>15.230367965000001</v>
      </c>
      <c r="CI660" s="323">
        <f t="shared" si="591"/>
        <v>-2.490232345000003</v>
      </c>
      <c r="CJ660" s="323">
        <f t="shared" si="591"/>
        <v>-44.462359226000011</v>
      </c>
      <c r="CK660" s="323">
        <f t="shared" si="591"/>
        <v>33.882002667999998</v>
      </c>
      <c r="CL660" s="323">
        <f t="shared" si="591"/>
        <v>1.5864573310000027</v>
      </c>
      <c r="CM660" s="323">
        <f t="shared" si="591"/>
        <v>-2.2788276409999981</v>
      </c>
      <c r="CN660" s="323">
        <f t="shared" si="591"/>
        <v>21.917290953999998</v>
      </c>
      <c r="CO660" s="323">
        <f t="shared" si="591"/>
        <v>15.121927161999997</v>
      </c>
      <c r="CP660" s="325">
        <f t="shared" si="591"/>
        <v>-77.886949827000009</v>
      </c>
      <c r="CQ660" s="323">
        <f t="shared" si="591"/>
        <v>43.993544946</v>
      </c>
      <c r="CR660" s="323">
        <f t="shared" si="591"/>
        <v>7.5001968780000023</v>
      </c>
      <c r="CS660" s="323">
        <f t="shared" si="591"/>
        <v>-8.1648560099999994</v>
      </c>
      <c r="CT660" s="323">
        <f t="shared" si="591"/>
        <v>7.7556771840000014</v>
      </c>
      <c r="CU660" s="323">
        <f t="shared" si="591"/>
        <v>13.614128800999996</v>
      </c>
      <c r="CV660" s="323">
        <f t="shared" si="591"/>
        <v>-15.375084401999995</v>
      </c>
      <c r="CW660" s="323">
        <f t="shared" si="591"/>
        <v>9.5578973139999999</v>
      </c>
      <c r="CX660" s="323">
        <f t="shared" si="591"/>
        <v>18.724819482000001</v>
      </c>
      <c r="CY660" s="323">
        <f t="shared" si="591"/>
        <v>-5.0054926209999993</v>
      </c>
      <c r="CZ660" s="323">
        <f t="shared" si="591"/>
        <v>34.482325734</v>
      </c>
      <c r="DA660" s="323">
        <f t="shared" si="591"/>
        <v>0.97493965699999618</v>
      </c>
      <c r="DB660" s="1269">
        <f t="shared" si="591"/>
        <v>-84.906245957999985</v>
      </c>
      <c r="DC660" s="323">
        <f t="shared" si="591"/>
        <v>45.051045941000005</v>
      </c>
      <c r="DD660" s="323">
        <f t="shared" si="591"/>
        <v>2.4522030739999972</v>
      </c>
      <c r="DE660" s="323">
        <f t="shared" si="591"/>
        <v>-11.525068235999996</v>
      </c>
      <c r="DF660" s="323">
        <f t="shared" si="591"/>
        <v>24.155134145999995</v>
      </c>
      <c r="DG660" s="323">
        <f t="shared" si="591"/>
        <v>4.7692401899999961</v>
      </c>
      <c r="DH660" s="323">
        <f t="shared" si="591"/>
        <v>-50.081889140000001</v>
      </c>
      <c r="DI660" s="323">
        <f t="shared" si="591"/>
        <v>39.04344991899999</v>
      </c>
      <c r="DJ660" s="323">
        <f t="shared" si="591"/>
        <v>-12.661360148</v>
      </c>
      <c r="DK660" s="323">
        <f t="shared" si="591"/>
        <v>2.5686521749999995</v>
      </c>
      <c r="DL660" s="323">
        <f t="shared" si="591"/>
        <v>8.1482137590000008</v>
      </c>
      <c r="DM660" s="323">
        <f t="shared" si="591"/>
        <v>27.100130161999999</v>
      </c>
      <c r="DN660" s="325">
        <f t="shared" si="591"/>
        <v>-106.637777396</v>
      </c>
      <c r="DO660" s="323">
        <f t="shared" si="591"/>
        <v>5.7541547349999931</v>
      </c>
      <c r="DP660" s="323">
        <f t="shared" si="591"/>
        <v>67.927479993000006</v>
      </c>
      <c r="DQ660" s="323">
        <f t="shared" si="591"/>
        <v>-6.7416281189999925</v>
      </c>
      <c r="DR660" s="323">
        <f t="shared" si="591"/>
        <v>22.302948236000002</v>
      </c>
      <c r="DS660" s="323">
        <f t="shared" si="591"/>
        <v>1.6517766149999982</v>
      </c>
      <c r="DT660" s="323">
        <f t="shared" si="591"/>
        <v>-103.077576081</v>
      </c>
      <c r="DU660" s="323">
        <f t="shared" si="591"/>
        <v>72.040236409999991</v>
      </c>
      <c r="DV660" s="323">
        <f t="shared" si="591"/>
        <v>3.8685099279999964</v>
      </c>
      <c r="DW660" s="323">
        <f t="shared" si="591"/>
        <v>-51.810127059000003</v>
      </c>
      <c r="DX660" s="323">
        <f t="shared" si="591"/>
        <v>88.399945051999993</v>
      </c>
      <c r="DY660" s="323">
        <f t="shared" si="591"/>
        <v>18.782829167999999</v>
      </c>
      <c r="DZ660" s="325">
        <f t="shared" si="591"/>
        <v>-79.13331905199999</v>
      </c>
      <c r="EA660" s="323">
        <f t="shared" si="591"/>
        <v>50.555999823000001</v>
      </c>
      <c r="EB660" s="323">
        <f t="shared" si="591"/>
        <v>28.586233752000005</v>
      </c>
      <c r="EC660" s="323">
        <f t="shared" si="591"/>
        <v>27.044963971000001</v>
      </c>
      <c r="ED660" s="323">
        <f t="shared" si="591"/>
        <v>0.725604204999998</v>
      </c>
      <c r="EE660" s="323">
        <f t="shared" si="591"/>
        <v>5.2141258529999961</v>
      </c>
      <c r="EF660" s="323">
        <f t="shared" si="591"/>
        <v>-77.150921148000023</v>
      </c>
      <c r="EG660" s="323">
        <f t="shared" si="591"/>
        <v>19.283678564999999</v>
      </c>
      <c r="EH660" s="323">
        <f t="shared" si="591"/>
        <v>11.539384766000001</v>
      </c>
      <c r="EI660" s="323">
        <f t="shared" si="591"/>
        <v>-13.339600471000001</v>
      </c>
      <c r="EJ660" s="323">
        <f t="shared" si="591"/>
        <v>40.832480689</v>
      </c>
      <c r="EK660" s="323">
        <f t="shared" si="591"/>
        <v>1.1411995740000016</v>
      </c>
      <c r="EL660" s="325">
        <f t="shared" si="591"/>
        <v>-119.494381867</v>
      </c>
      <c r="EM660" s="323">
        <f t="shared" si="591"/>
        <v>20.906582503999996</v>
      </c>
      <c r="EN660" s="323">
        <f t="shared" si="591"/>
        <v>38.534375723000025</v>
      </c>
      <c r="EO660" s="323">
        <f t="shared" si="591"/>
        <v>1.7081313110000025</v>
      </c>
      <c r="EP660" s="323">
        <f t="shared" si="591"/>
        <v>40.776698555999999</v>
      </c>
      <c r="EQ660" s="323">
        <f t="shared" si="591"/>
        <v>62.199166380000008</v>
      </c>
      <c r="ER660" s="323">
        <f t="shared" ref="ER660:EX660" si="592">ER661</f>
        <v>-111.86544021499999</v>
      </c>
      <c r="ES660" s="323">
        <f t="shared" si="592"/>
        <v>-53.196056255000009</v>
      </c>
      <c r="ET660" s="323">
        <f t="shared" si="592"/>
        <v>-4.1803346760000011</v>
      </c>
      <c r="EU660" s="323">
        <f t="shared" si="592"/>
        <v>48.686548283999997</v>
      </c>
      <c r="EV660" s="323">
        <f t="shared" si="592"/>
        <v>66.64271675900001</v>
      </c>
      <c r="EW660" s="323">
        <f t="shared" si="592"/>
        <v>99.212840006999997</v>
      </c>
      <c r="EX660" s="325">
        <f t="shared" si="592"/>
        <v>-154.30260818600001</v>
      </c>
      <c r="EY660" s="323"/>
      <c r="EZ660" s="323"/>
      <c r="FA660" s="323"/>
      <c r="FB660" s="323"/>
      <c r="FC660" s="323"/>
      <c r="FD660" s="323"/>
      <c r="FE660" s="323"/>
      <c r="FF660" s="323"/>
      <c r="FG660" s="323"/>
      <c r="FH660" s="323"/>
      <c r="FI660" s="323"/>
      <c r="FJ660" s="325"/>
      <c r="FK660" s="323"/>
      <c r="FL660" s="323"/>
      <c r="FM660" s="323"/>
      <c r="FN660" s="323"/>
      <c r="FO660" s="323"/>
      <c r="FP660" s="323"/>
      <c r="FQ660" s="323"/>
      <c r="FR660" s="323"/>
      <c r="FS660" s="323"/>
      <c r="FT660" s="323"/>
      <c r="FU660" s="323"/>
      <c r="FV660" s="323"/>
      <c r="FW660" s="323"/>
      <c r="FX660" s="323"/>
      <c r="FY660" s="323"/>
      <c r="FZ660" s="323"/>
      <c r="GA660" s="323"/>
      <c r="GB660" s="323"/>
      <c r="GC660" s="323"/>
      <c r="GD660" s="323"/>
      <c r="GE660" s="323"/>
      <c r="GF660" s="323"/>
      <c r="GG660" s="323"/>
      <c r="GH660" s="323"/>
      <c r="GI660" s="323"/>
      <c r="GJ660" s="323"/>
      <c r="GK660" s="323"/>
      <c r="GL660" s="323"/>
      <c r="GM660" s="323"/>
      <c r="GN660" s="323"/>
      <c r="GO660" s="323"/>
      <c r="GP660" s="323"/>
      <c r="GQ660" s="323"/>
      <c r="GR660" s="323"/>
      <c r="GS660" s="323"/>
      <c r="GT660" s="323"/>
      <c r="GU660" s="323"/>
      <c r="GV660" s="323"/>
      <c r="GW660" s="323"/>
      <c r="GX660" s="323"/>
      <c r="GY660" s="323"/>
      <c r="GZ660" s="323"/>
      <c r="HA660" s="323"/>
      <c r="HB660" s="323"/>
      <c r="HC660" s="323"/>
      <c r="HD660" s="323"/>
      <c r="HE660" s="323"/>
      <c r="HF660" s="323"/>
      <c r="HG660" s="323"/>
      <c r="HH660" s="323"/>
      <c r="HI660" s="323"/>
      <c r="HJ660" s="323"/>
      <c r="HK660" s="323"/>
      <c r="HL660" s="323"/>
      <c r="HM660" s="323"/>
      <c r="HN660" s="323"/>
      <c r="HO660" s="323"/>
      <c r="HP660" s="323"/>
      <c r="HQ660" s="323"/>
      <c r="HR660" s="323"/>
      <c r="HS660" s="323"/>
      <c r="HT660" s="323"/>
      <c r="HU660" s="323"/>
      <c r="HV660" s="323"/>
      <c r="HW660" s="323"/>
      <c r="HX660" s="323"/>
      <c r="HY660" s="323"/>
      <c r="HZ660" s="326"/>
      <c r="IA660" s="328" t="s">
        <v>158</v>
      </c>
      <c r="IB660" s="328"/>
      <c r="IC660" s="328"/>
      <c r="ID660" s="323">
        <f>+FISC!Z872</f>
        <v>5</v>
      </c>
      <c r="IE660" s="279">
        <f>IE661</f>
        <v>49.323607397000004</v>
      </c>
      <c r="IF660" s="279">
        <f>IF661</f>
        <v>-26.171756391999992</v>
      </c>
      <c r="IG660" s="323">
        <f>IG661</f>
        <v>23.151851005000012</v>
      </c>
      <c r="IH660" s="279">
        <f>IH661</f>
        <v>14.820665974999997</v>
      </c>
      <c r="II660" s="279">
        <f>II661</f>
        <v>-42.43869152900001</v>
      </c>
      <c r="IJ660" s="323">
        <f>IH660+II660</f>
        <v>-27.618025554000013</v>
      </c>
      <c r="IK660" s="279">
        <f>IK661</f>
        <v>-12.182844620999987</v>
      </c>
      <c r="IL660" s="279">
        <f>SUM(DU660:DZ660)</f>
        <v>52.148074446999999</v>
      </c>
      <c r="IM660" s="323">
        <f t="shared" si="503"/>
        <v>39.965229826000012</v>
      </c>
      <c r="IN660" s="279">
        <f>IN661</f>
        <v>34.976006456</v>
      </c>
      <c r="IO660" s="279">
        <f>IO661</f>
        <v>-60.037238744000014</v>
      </c>
      <c r="IP660" s="323">
        <f>FISC!AC872</f>
        <v>-25.061232288000014</v>
      </c>
      <c r="IQ660" s="279">
        <f t="shared" si="548"/>
        <v>52.259514259000056</v>
      </c>
      <c r="IR660" s="279">
        <f t="shared" si="549"/>
        <v>2.8631059329999857</v>
      </c>
      <c r="IS660" s="323">
        <f t="shared" si="590"/>
        <v>55.122620192000042</v>
      </c>
      <c r="IT660" s="608">
        <f>IT661</f>
        <v>66.228221879000003</v>
      </c>
      <c r="IU660" s="608">
        <f>IU661</f>
        <v>-121.32822187900001</v>
      </c>
      <c r="IV660" s="323">
        <f>+FISC!AE872</f>
        <v>-55.1</v>
      </c>
      <c r="IW660" s="608" t="e">
        <f>IW661</f>
        <v>#REF!</v>
      </c>
      <c r="IX660" s="279" t="e">
        <f t="shared" si="486"/>
        <v>#REF!</v>
      </c>
      <c r="IY660" s="323">
        <f>+FISC!AF872</f>
        <v>-35.228921278959099</v>
      </c>
      <c r="IZ660" s="608" t="e">
        <f>IZ661</f>
        <v>#REF!</v>
      </c>
      <c r="JA660" s="279" t="e">
        <f t="shared" si="540"/>
        <v>#REF!</v>
      </c>
      <c r="JB660" s="323">
        <f>+FISC!AG872</f>
        <v>-40</v>
      </c>
      <c r="JC660" s="608">
        <f>JC661</f>
        <v>-20</v>
      </c>
      <c r="JD660" s="279">
        <f t="shared" si="487"/>
        <v>-20</v>
      </c>
      <c r="JE660" s="323">
        <f>+FISC!AH872</f>
        <v>-40</v>
      </c>
      <c r="JF660" s="608">
        <f>JF661</f>
        <v>-20</v>
      </c>
      <c r="JG660" s="279">
        <f t="shared" si="488"/>
        <v>-20</v>
      </c>
      <c r="JH660" s="323">
        <f>+FISC!AI872</f>
        <v>-40</v>
      </c>
      <c r="JI660" s="608">
        <f>JI661</f>
        <v>-20</v>
      </c>
      <c r="JJ660" s="279">
        <f t="shared" si="489"/>
        <v>-20</v>
      </c>
      <c r="JK660" s="323">
        <f>+FISC!AJ872</f>
        <v>-40</v>
      </c>
      <c r="JL660" s="608">
        <f>JL661</f>
        <v>0</v>
      </c>
      <c r="JM660" s="279">
        <f t="shared" si="490"/>
        <v>0</v>
      </c>
      <c r="JN660" s="323">
        <f>+FISC!AK872</f>
        <v>0</v>
      </c>
      <c r="JO660" s="323"/>
      <c r="KU660" s="326"/>
      <c r="KV660" s="327"/>
      <c r="KY660" s="279">
        <f>KY661</f>
        <v>0</v>
      </c>
      <c r="KZ660" s="279">
        <f>KZ661</f>
        <v>0</v>
      </c>
      <c r="LA660" s="279">
        <f>LA661</f>
        <v>0</v>
      </c>
      <c r="LB660" s="279">
        <f>LB661</f>
        <v>0</v>
      </c>
    </row>
    <row r="661" spans="1:314" hidden="1">
      <c r="A661" s="279"/>
      <c r="B661" s="96" t="s">
        <v>338</v>
      </c>
      <c r="D661" s="328" t="str">
        <f>+FISC!D873</f>
        <v>Domestic</v>
      </c>
      <c r="E661" s="323">
        <v>10.6554</v>
      </c>
      <c r="F661" s="323">
        <v>5.8456099999999998</v>
      </c>
      <c r="G661" s="323">
        <v>-15.183400000000001</v>
      </c>
      <c r="H661" s="323">
        <v>9.8549799999999994</v>
      </c>
      <c r="I661" s="323">
        <v>-9.1612799999999996</v>
      </c>
      <c r="J661" s="323">
        <v>-7.0667900000000001</v>
      </c>
      <c r="K661" s="323">
        <v>21.487389999999998</v>
      </c>
      <c r="L661" s="323">
        <v>-1.3441399999999999</v>
      </c>
      <c r="M661" s="323">
        <v>-12.681389999999999</v>
      </c>
      <c r="N661" s="323">
        <v>-1.64195</v>
      </c>
      <c r="O661" s="323">
        <v>2.20912</v>
      </c>
      <c r="P661" s="323">
        <v>-11.5212</v>
      </c>
      <c r="Q661" s="323">
        <v>12.82325</v>
      </c>
      <c r="R661" s="323">
        <v>-0.33189000000000035</v>
      </c>
      <c r="S661" s="323">
        <v>-6.0977399999999999</v>
      </c>
      <c r="T661" s="323">
        <v>9.3417400000000015</v>
      </c>
      <c r="U661" s="323">
        <v>-10.999739999999999</v>
      </c>
      <c r="V661" s="323">
        <v>-8.7369800000000062</v>
      </c>
      <c r="W661" s="323">
        <v>14.96668</v>
      </c>
      <c r="X661" s="323">
        <v>2.7358400000000067</v>
      </c>
      <c r="Y661" s="323">
        <v>-9.1756099999999989</v>
      </c>
      <c r="Z661" s="323">
        <v>22.001330000000003</v>
      </c>
      <c r="AA661" s="323">
        <v>-24.827919999999999</v>
      </c>
      <c r="AB661" s="323">
        <v>-9.7205099999999991</v>
      </c>
      <c r="AC661" s="323">
        <v>-0.87727999999999995</v>
      </c>
      <c r="AD661" s="323">
        <v>-0.53175000000000117</v>
      </c>
      <c r="AE661" s="323">
        <v>-0.56568999999999992</v>
      </c>
      <c r="AF661" s="323">
        <v>-1.8588699999999976</v>
      </c>
      <c r="AG661" s="323">
        <v>-0.91006999999999993</v>
      </c>
      <c r="AH661" s="323">
        <v>-0.43952000000000002</v>
      </c>
      <c r="AI661" s="323">
        <v>15.669499999999999</v>
      </c>
      <c r="AJ661" s="323">
        <v>-11.648299999999999</v>
      </c>
      <c r="AK661" s="323">
        <v>-1.3377000000000001</v>
      </c>
      <c r="AL661" s="323">
        <v>11.607200000000001</v>
      </c>
      <c r="AM661" s="323">
        <v>-11.101100000000001</v>
      </c>
      <c r="AN661" s="323">
        <v>-9.0562999999999985</v>
      </c>
      <c r="AO661" s="323">
        <v>21.638860000000001</v>
      </c>
      <c r="AP661" s="323">
        <v>2.7073199999999948</v>
      </c>
      <c r="AQ661" s="323">
        <v>-6.5569200000000141</v>
      </c>
      <c r="AR661" s="323">
        <v>7.6063799999999979</v>
      </c>
      <c r="AS661" s="323">
        <v>17.792059999999996</v>
      </c>
      <c r="AT661" s="323">
        <v>-49.276220000000002</v>
      </c>
      <c r="AU661" s="323">
        <v>5.9401999999999999</v>
      </c>
      <c r="AV661" s="323">
        <v>-0.78819999999999979</v>
      </c>
      <c r="AW661" s="323">
        <v>0.17479999999999996</v>
      </c>
      <c r="AX661" s="323">
        <v>-15.1335</v>
      </c>
      <c r="AY661" s="323">
        <v>5.4844000000000008</v>
      </c>
      <c r="AZ661" s="323">
        <v>-2.8403</v>
      </c>
      <c r="BA661" s="323">
        <v>27.045399999999997</v>
      </c>
      <c r="BB661" s="323">
        <v>0.25485000000000013</v>
      </c>
      <c r="BC661" s="323">
        <v>-2.4120499999999998</v>
      </c>
      <c r="BD661" s="323">
        <v>16.939349999999997</v>
      </c>
      <c r="BE661" s="323">
        <v>0.3079599999999999</v>
      </c>
      <c r="BF661" s="323">
        <v>-46.825299999999999</v>
      </c>
      <c r="BG661" s="323">
        <v>-2.1658000000000004</v>
      </c>
      <c r="BH661" s="323">
        <v>41.469000000000001</v>
      </c>
      <c r="BI661" s="323">
        <v>-29.6478</v>
      </c>
      <c r="BJ661" s="323">
        <v>31.784700000000001</v>
      </c>
      <c r="BK661" s="323">
        <v>-14.7141</v>
      </c>
      <c r="BL661" s="323">
        <v>-34.624499999999998</v>
      </c>
      <c r="BM661" s="323">
        <v>22.7043</v>
      </c>
      <c r="BN661" s="323">
        <v>-5.3937400000000002</v>
      </c>
      <c r="BO661" s="323">
        <v>-19.66197</v>
      </c>
      <c r="BP661" s="323">
        <v>36.031199999999998</v>
      </c>
      <c r="BQ661" s="323">
        <v>16.442199999999996</v>
      </c>
      <c r="BR661" s="323">
        <v>-55.916100000000007</v>
      </c>
      <c r="BS661" s="323">
        <v>35.2239</v>
      </c>
      <c r="BT661" s="323">
        <v>-3.8731</v>
      </c>
      <c r="BU661" s="323">
        <v>-17.4802</v>
      </c>
      <c r="BV661" s="323"/>
      <c r="BW661" s="323"/>
      <c r="BX661" s="323"/>
      <c r="BY661" s="323"/>
      <c r="BZ661" s="323"/>
      <c r="CA661" s="323"/>
      <c r="CB661" s="323"/>
      <c r="CC661" s="323"/>
      <c r="CD661" s="323"/>
      <c r="CE661" s="324">
        <f t="shared" ref="CE661:DJ661" si="593">CE287</f>
        <v>25.459926414999998</v>
      </c>
      <c r="CF661" s="323">
        <f t="shared" si="593"/>
        <v>-2.1916458300000095</v>
      </c>
      <c r="CG661" s="323">
        <f t="shared" si="593"/>
        <v>0.86049975999999662</v>
      </c>
      <c r="CH661" s="323">
        <f t="shared" si="593"/>
        <v>15.230367965000001</v>
      </c>
      <c r="CI661" s="323">
        <f t="shared" si="593"/>
        <v>-2.490232345000003</v>
      </c>
      <c r="CJ661" s="323">
        <f t="shared" si="593"/>
        <v>-44.462359226000011</v>
      </c>
      <c r="CK661" s="323">
        <f t="shared" si="593"/>
        <v>33.882002667999998</v>
      </c>
      <c r="CL661" s="323">
        <f t="shared" si="593"/>
        <v>1.5864573310000027</v>
      </c>
      <c r="CM661" s="323">
        <f t="shared" si="593"/>
        <v>-2.2788276409999981</v>
      </c>
      <c r="CN661" s="323">
        <f t="shared" si="593"/>
        <v>21.917290953999998</v>
      </c>
      <c r="CO661" s="323">
        <f t="shared" si="593"/>
        <v>15.121927161999997</v>
      </c>
      <c r="CP661" s="325">
        <f t="shared" si="593"/>
        <v>-77.886949827000009</v>
      </c>
      <c r="CQ661" s="323">
        <f t="shared" si="593"/>
        <v>43.993544946</v>
      </c>
      <c r="CR661" s="323">
        <f t="shared" si="593"/>
        <v>7.5001968780000023</v>
      </c>
      <c r="CS661" s="323">
        <f t="shared" si="593"/>
        <v>-8.1648560099999994</v>
      </c>
      <c r="CT661" s="323">
        <f t="shared" si="593"/>
        <v>7.7556771840000014</v>
      </c>
      <c r="CU661" s="323">
        <f t="shared" si="593"/>
        <v>13.614128800999996</v>
      </c>
      <c r="CV661" s="323">
        <f t="shared" si="593"/>
        <v>-15.375084401999995</v>
      </c>
      <c r="CW661" s="323">
        <f t="shared" si="593"/>
        <v>9.5578973139999999</v>
      </c>
      <c r="CX661" s="323">
        <f t="shared" si="593"/>
        <v>18.724819482000001</v>
      </c>
      <c r="CY661" s="323">
        <f t="shared" si="593"/>
        <v>-5.0054926209999993</v>
      </c>
      <c r="CZ661" s="323">
        <f t="shared" si="593"/>
        <v>34.482325734</v>
      </c>
      <c r="DA661" s="323">
        <f t="shared" si="593"/>
        <v>0.97493965699999618</v>
      </c>
      <c r="DB661" s="1269">
        <f t="shared" si="593"/>
        <v>-84.906245957999985</v>
      </c>
      <c r="DC661" s="323">
        <f t="shared" si="593"/>
        <v>45.051045941000005</v>
      </c>
      <c r="DD661" s="323">
        <f t="shared" si="593"/>
        <v>2.4522030739999972</v>
      </c>
      <c r="DE661" s="323">
        <f t="shared" si="593"/>
        <v>-11.525068235999996</v>
      </c>
      <c r="DF661" s="323">
        <f t="shared" si="593"/>
        <v>24.155134145999995</v>
      </c>
      <c r="DG661" s="323">
        <f t="shared" si="593"/>
        <v>4.7692401899999961</v>
      </c>
      <c r="DH661" s="323">
        <f t="shared" si="593"/>
        <v>-50.081889140000001</v>
      </c>
      <c r="DI661" s="323">
        <f t="shared" si="593"/>
        <v>39.04344991899999</v>
      </c>
      <c r="DJ661" s="323">
        <f t="shared" si="593"/>
        <v>-12.661360148</v>
      </c>
      <c r="DK661" s="323">
        <f t="shared" ref="DK661:EP661" si="594">DK287</f>
        <v>2.5686521749999995</v>
      </c>
      <c r="DL661" s="323">
        <f t="shared" si="594"/>
        <v>8.1482137590000008</v>
      </c>
      <c r="DM661" s="323">
        <f t="shared" si="594"/>
        <v>27.100130161999999</v>
      </c>
      <c r="DN661" s="325">
        <f t="shared" si="594"/>
        <v>-106.637777396</v>
      </c>
      <c r="DO661" s="323">
        <f t="shared" si="594"/>
        <v>5.7541547349999931</v>
      </c>
      <c r="DP661" s="323">
        <f t="shared" si="594"/>
        <v>67.927479993000006</v>
      </c>
      <c r="DQ661" s="323">
        <f t="shared" si="594"/>
        <v>-6.7416281189999925</v>
      </c>
      <c r="DR661" s="323">
        <f t="shared" si="594"/>
        <v>22.302948236000002</v>
      </c>
      <c r="DS661" s="323">
        <f t="shared" si="594"/>
        <v>1.6517766149999982</v>
      </c>
      <c r="DT661" s="323">
        <f t="shared" si="594"/>
        <v>-103.077576081</v>
      </c>
      <c r="DU661" s="323">
        <f t="shared" si="594"/>
        <v>72.040236409999991</v>
      </c>
      <c r="DV661" s="323">
        <f t="shared" si="594"/>
        <v>3.8685099279999964</v>
      </c>
      <c r="DW661" s="323">
        <f t="shared" si="594"/>
        <v>-51.810127059000003</v>
      </c>
      <c r="DX661" s="323">
        <f t="shared" si="594"/>
        <v>88.399945051999993</v>
      </c>
      <c r="DY661" s="323">
        <f t="shared" si="594"/>
        <v>18.782829167999999</v>
      </c>
      <c r="DZ661" s="325">
        <f t="shared" si="594"/>
        <v>-79.13331905199999</v>
      </c>
      <c r="EA661" s="323">
        <f t="shared" si="594"/>
        <v>50.555999823000001</v>
      </c>
      <c r="EB661" s="323">
        <f t="shared" si="594"/>
        <v>28.586233752000005</v>
      </c>
      <c r="EC661" s="323">
        <f t="shared" si="594"/>
        <v>27.044963971000001</v>
      </c>
      <c r="ED661" s="323">
        <f t="shared" si="594"/>
        <v>0.725604204999998</v>
      </c>
      <c r="EE661" s="323">
        <f t="shared" si="594"/>
        <v>5.2141258529999961</v>
      </c>
      <c r="EF661" s="323">
        <f t="shared" si="594"/>
        <v>-77.150921148000023</v>
      </c>
      <c r="EG661" s="323">
        <f t="shared" si="594"/>
        <v>19.283678564999999</v>
      </c>
      <c r="EH661" s="323">
        <f t="shared" si="594"/>
        <v>11.539384766000001</v>
      </c>
      <c r="EI661" s="323">
        <f t="shared" si="594"/>
        <v>-13.339600471000001</v>
      </c>
      <c r="EJ661" s="323">
        <f t="shared" si="594"/>
        <v>40.832480689</v>
      </c>
      <c r="EK661" s="323">
        <f t="shared" si="594"/>
        <v>1.1411995740000016</v>
      </c>
      <c r="EL661" s="325">
        <f t="shared" si="594"/>
        <v>-119.494381867</v>
      </c>
      <c r="EM661" s="323">
        <f t="shared" si="594"/>
        <v>20.906582503999996</v>
      </c>
      <c r="EN661" s="323">
        <f t="shared" si="594"/>
        <v>38.534375723000025</v>
      </c>
      <c r="EO661" s="323">
        <f t="shared" si="594"/>
        <v>1.7081313110000025</v>
      </c>
      <c r="EP661" s="323">
        <f t="shared" si="594"/>
        <v>40.776698555999999</v>
      </c>
      <c r="EQ661" s="323">
        <f t="shared" ref="EQ661:EX661" si="595">EQ287</f>
        <v>62.199166380000008</v>
      </c>
      <c r="ER661" s="323">
        <f t="shared" si="595"/>
        <v>-111.86544021499999</v>
      </c>
      <c r="ES661" s="323">
        <f t="shared" si="595"/>
        <v>-53.196056255000009</v>
      </c>
      <c r="ET661" s="323">
        <f t="shared" si="595"/>
        <v>-4.1803346760000011</v>
      </c>
      <c r="EU661" s="323">
        <f t="shared" si="595"/>
        <v>48.686548283999997</v>
      </c>
      <c r="EV661" s="323">
        <f t="shared" si="595"/>
        <v>66.64271675900001</v>
      </c>
      <c r="EW661" s="323">
        <f t="shared" si="595"/>
        <v>99.212840006999997</v>
      </c>
      <c r="EX661" s="325">
        <f t="shared" si="595"/>
        <v>-154.30260818600001</v>
      </c>
      <c r="EY661" s="323"/>
      <c r="EZ661" s="323"/>
      <c r="FA661" s="323"/>
      <c r="FB661" s="323"/>
      <c r="FC661" s="323"/>
      <c r="FD661" s="323"/>
      <c r="FE661" s="323"/>
      <c r="FF661" s="323"/>
      <c r="FG661" s="323"/>
      <c r="FH661" s="323"/>
      <c r="FI661" s="323"/>
      <c r="FJ661" s="325"/>
      <c r="FK661" s="323"/>
      <c r="FL661" s="323"/>
      <c r="FM661" s="323"/>
      <c r="FN661" s="323"/>
      <c r="FO661" s="323"/>
      <c r="FP661" s="323"/>
      <c r="FQ661" s="323"/>
      <c r="FR661" s="323"/>
      <c r="FS661" s="323"/>
      <c r="FT661" s="323"/>
      <c r="FU661" s="323"/>
      <c r="FV661" s="323"/>
      <c r="FW661" s="323"/>
      <c r="FX661" s="323"/>
      <c r="FY661" s="323"/>
      <c r="FZ661" s="323"/>
      <c r="GA661" s="323"/>
      <c r="GB661" s="323"/>
      <c r="GC661" s="323"/>
      <c r="GD661" s="323"/>
      <c r="GE661" s="323"/>
      <c r="GF661" s="323"/>
      <c r="GG661" s="323"/>
      <c r="GH661" s="323"/>
      <c r="GI661" s="323"/>
      <c r="GJ661" s="323"/>
      <c r="GK661" s="323"/>
      <c r="GL661" s="323"/>
      <c r="GM661" s="323"/>
      <c r="GN661" s="323"/>
      <c r="GO661" s="323"/>
      <c r="GP661" s="323"/>
      <c r="GQ661" s="323"/>
      <c r="GR661" s="323"/>
      <c r="GS661" s="323"/>
      <c r="GT661" s="323"/>
      <c r="GU661" s="323"/>
      <c r="GV661" s="323"/>
      <c r="GW661" s="323"/>
      <c r="GX661" s="323"/>
      <c r="GY661" s="323"/>
      <c r="GZ661" s="323"/>
      <c r="HA661" s="323"/>
      <c r="HB661" s="323"/>
      <c r="HC661" s="323"/>
      <c r="HD661" s="323"/>
      <c r="HE661" s="323"/>
      <c r="HF661" s="323"/>
      <c r="HG661" s="323"/>
      <c r="HH661" s="323"/>
      <c r="HI661" s="323"/>
      <c r="HJ661" s="323"/>
      <c r="HK661" s="323"/>
      <c r="HL661" s="323"/>
      <c r="HM661" s="323"/>
      <c r="HN661" s="323"/>
      <c r="HO661" s="323"/>
      <c r="HP661" s="323"/>
      <c r="HQ661" s="323"/>
      <c r="HR661" s="323"/>
      <c r="HS661" s="323"/>
      <c r="HT661" s="323"/>
      <c r="HU661" s="323"/>
      <c r="HV661" s="323"/>
      <c r="HW661" s="323"/>
      <c r="HX661" s="323"/>
      <c r="HY661" s="323"/>
      <c r="HZ661" s="326"/>
      <c r="IA661" s="328" t="s">
        <v>35</v>
      </c>
      <c r="IB661" s="328"/>
      <c r="IC661" s="328"/>
      <c r="ID661" s="323">
        <f>+FISC!Z873</f>
        <v>5</v>
      </c>
      <c r="IE661" s="279">
        <f>SUM(CQ661:CV661)</f>
        <v>49.323607397000004</v>
      </c>
      <c r="IF661" s="279">
        <f>SUM(CW661:DB661)</f>
        <v>-26.171756391999992</v>
      </c>
      <c r="IG661" s="323">
        <f>SUM(CQ661:DB661)</f>
        <v>23.151851005000012</v>
      </c>
      <c r="IH661" s="279">
        <f>+SUM(DC661:DH661)</f>
        <v>14.820665974999997</v>
      </c>
      <c r="II661" s="279">
        <f>+SUM(DI661:DN661)</f>
        <v>-42.43869152900001</v>
      </c>
      <c r="IJ661" s="323">
        <f>IH661+II661</f>
        <v>-27.618025554000013</v>
      </c>
      <c r="IK661" s="279">
        <f>+SUM(DO661:DT661)</f>
        <v>-12.182844620999987</v>
      </c>
      <c r="IL661" s="279">
        <f>SUM(DU661:DZ661)</f>
        <v>52.148074446999999</v>
      </c>
      <c r="IM661" s="323">
        <f t="shared" si="503"/>
        <v>39.965229826000012</v>
      </c>
      <c r="IN661" s="279">
        <v>34.976006456</v>
      </c>
      <c r="IO661" s="279">
        <f>+IP661-IN661</f>
        <v>-60.037238744000014</v>
      </c>
      <c r="IP661" s="323">
        <f>FISC!AC873</f>
        <v>-25.061232288000014</v>
      </c>
      <c r="IQ661" s="279">
        <f t="shared" si="548"/>
        <v>52.259514259000056</v>
      </c>
      <c r="IR661" s="279">
        <f t="shared" si="549"/>
        <v>2.8631059329999857</v>
      </c>
      <c r="IS661" s="323">
        <f t="shared" si="590"/>
        <v>55.122620192000042</v>
      </c>
      <c r="IT661" s="608">
        <f>IV661/2*0+66.228221879</f>
        <v>66.228221879000003</v>
      </c>
      <c r="IU661" s="554">
        <f>+IV661-IT661</f>
        <v>-121.32822187900001</v>
      </c>
      <c r="IV661" s="323">
        <f>+FISC!AE873</f>
        <v>-55.1</v>
      </c>
      <c r="IW661" s="608" t="e">
        <f>IY661/2*0+#REF!</f>
        <v>#REF!</v>
      </c>
      <c r="IX661" s="279" t="e">
        <f t="shared" si="486"/>
        <v>#REF!</v>
      </c>
      <c r="IY661" s="323">
        <f>+FISC!AF873</f>
        <v>-35.228921278959099</v>
      </c>
      <c r="IZ661" s="608" t="e">
        <f>JB661/2*0+#REF!</f>
        <v>#REF!</v>
      </c>
      <c r="JA661" s="279" t="e">
        <f t="shared" si="540"/>
        <v>#REF!</v>
      </c>
      <c r="JB661" s="323">
        <f>+FISC!AG873</f>
        <v>-40</v>
      </c>
      <c r="JC661" s="608">
        <f>JE661/2</f>
        <v>-20</v>
      </c>
      <c r="JD661" s="279">
        <f t="shared" si="487"/>
        <v>-20</v>
      </c>
      <c r="JE661" s="323">
        <f>+FISC!AH873</f>
        <v>-40</v>
      </c>
      <c r="JF661" s="608">
        <f>JH661/2</f>
        <v>-20</v>
      </c>
      <c r="JG661" s="279">
        <f t="shared" si="488"/>
        <v>-20</v>
      </c>
      <c r="JH661" s="323">
        <f>+FISC!AI873</f>
        <v>-40</v>
      </c>
      <c r="JI661" s="608">
        <f>JK661/2</f>
        <v>-20</v>
      </c>
      <c r="JJ661" s="279">
        <f t="shared" si="489"/>
        <v>-20</v>
      </c>
      <c r="JK661" s="323">
        <f>+FISC!AJ873</f>
        <v>-40</v>
      </c>
      <c r="JL661" s="608">
        <f>JN661/2</f>
        <v>0</v>
      </c>
      <c r="JM661" s="279">
        <f t="shared" si="490"/>
        <v>0</v>
      </c>
      <c r="JN661" s="323">
        <f>+FISC!AK873</f>
        <v>0</v>
      </c>
      <c r="JO661" s="323"/>
      <c r="KU661" s="326"/>
      <c r="KV661" s="327"/>
    </row>
    <row r="662" spans="1:314" hidden="1">
      <c r="A662" s="279"/>
      <c r="D662" s="330"/>
      <c r="E662" s="323"/>
      <c r="F662" s="323"/>
      <c r="G662" s="323"/>
      <c r="H662" s="323"/>
      <c r="I662" s="323"/>
      <c r="J662" s="323"/>
      <c r="K662" s="323"/>
      <c r="L662" s="323"/>
      <c r="M662" s="323"/>
      <c r="N662" s="323"/>
      <c r="O662" s="323"/>
      <c r="P662" s="323"/>
      <c r="Q662" s="323"/>
      <c r="R662" s="323"/>
      <c r="S662" s="323"/>
      <c r="T662" s="323"/>
      <c r="U662" s="323"/>
      <c r="V662" s="323"/>
      <c r="W662" s="323"/>
      <c r="X662" s="323"/>
      <c r="Y662" s="323"/>
      <c r="Z662" s="323"/>
      <c r="AA662" s="323"/>
      <c r="AB662" s="323"/>
      <c r="AC662" s="323"/>
      <c r="AD662" s="323"/>
      <c r="AE662" s="323"/>
      <c r="AF662" s="323"/>
      <c r="AG662" s="323"/>
      <c r="AH662" s="323"/>
      <c r="AI662" s="323"/>
      <c r="AJ662" s="323"/>
      <c r="AK662" s="323"/>
      <c r="AL662" s="323"/>
      <c r="AM662" s="323"/>
      <c r="AN662" s="323"/>
      <c r="AO662" s="323"/>
      <c r="AP662" s="323"/>
      <c r="AQ662" s="323"/>
      <c r="AR662" s="323"/>
      <c r="AS662" s="323"/>
      <c r="AT662" s="323"/>
      <c r="AU662" s="323"/>
      <c r="AV662" s="323"/>
      <c r="AW662" s="323"/>
      <c r="AX662" s="323"/>
      <c r="AY662" s="323"/>
      <c r="AZ662" s="323"/>
      <c r="BA662" s="323"/>
      <c r="BB662" s="323"/>
      <c r="BC662" s="323"/>
      <c r="BD662" s="323"/>
      <c r="BE662" s="323"/>
      <c r="BF662" s="323"/>
      <c r="BG662" s="323"/>
      <c r="BH662" s="323"/>
      <c r="BI662" s="323"/>
      <c r="BJ662" s="323"/>
      <c r="BK662" s="323"/>
      <c r="BL662" s="323"/>
      <c r="BM662" s="323"/>
      <c r="BN662" s="323"/>
      <c r="BO662" s="323"/>
      <c r="BP662" s="323"/>
      <c r="BQ662" s="323"/>
      <c r="BR662" s="323"/>
      <c r="BS662" s="323"/>
      <c r="BT662" s="323"/>
      <c r="BU662" s="323"/>
      <c r="BV662" s="323"/>
      <c r="BW662" s="323"/>
      <c r="BX662" s="323"/>
      <c r="BY662" s="323"/>
      <c r="BZ662" s="323"/>
      <c r="CA662" s="323"/>
      <c r="CB662" s="323"/>
      <c r="CC662" s="323"/>
      <c r="CD662" s="323"/>
      <c r="CE662" s="324"/>
      <c r="CF662" s="323"/>
      <c r="CG662" s="323"/>
      <c r="CH662" s="323"/>
      <c r="CI662" s="323"/>
      <c r="CJ662" s="323"/>
      <c r="CK662" s="323"/>
      <c r="CL662" s="323"/>
      <c r="CM662" s="323"/>
      <c r="CN662" s="323"/>
      <c r="CO662" s="323"/>
      <c r="CP662" s="325"/>
      <c r="CQ662" s="323"/>
      <c r="CR662" s="323"/>
      <c r="CS662" s="323"/>
      <c r="CT662" s="323"/>
      <c r="CU662" s="323"/>
      <c r="CV662" s="323"/>
      <c r="CW662" s="323"/>
      <c r="CX662" s="323"/>
      <c r="CY662" s="323"/>
      <c r="CZ662" s="323"/>
      <c r="DA662" s="323"/>
      <c r="DB662" s="1269"/>
      <c r="DC662" s="323"/>
      <c r="DD662" s="323"/>
      <c r="DE662" s="323"/>
      <c r="DF662" s="323"/>
      <c r="DG662" s="323"/>
      <c r="DH662" s="323"/>
      <c r="DI662" s="323"/>
      <c r="DJ662" s="323"/>
      <c r="DK662" s="323"/>
      <c r="DL662" s="323"/>
      <c r="DM662" s="323"/>
      <c r="DN662" s="325"/>
      <c r="DO662" s="323"/>
      <c r="DP662" s="323"/>
      <c r="DQ662" s="323"/>
      <c r="DR662" s="323"/>
      <c r="DS662" s="323"/>
      <c r="DT662" s="323"/>
      <c r="DU662" s="323"/>
      <c r="DV662" s="323"/>
      <c r="DW662" s="323"/>
      <c r="DX662" s="323"/>
      <c r="DY662" s="323"/>
      <c r="DZ662" s="325"/>
      <c r="EA662" s="323"/>
      <c r="EB662" s="323"/>
      <c r="EC662" s="323"/>
      <c r="ED662" s="323"/>
      <c r="EE662" s="323"/>
      <c r="EF662" s="323"/>
      <c r="EG662" s="323"/>
      <c r="EH662" s="323"/>
      <c r="EI662" s="323"/>
      <c r="EJ662" s="323"/>
      <c r="EK662" s="323"/>
      <c r="EL662" s="325"/>
      <c r="EM662" s="323"/>
      <c r="EN662" s="323"/>
      <c r="EO662" s="323"/>
      <c r="EP662" s="323"/>
      <c r="EQ662" s="323"/>
      <c r="ER662" s="323"/>
      <c r="ES662" s="323"/>
      <c r="ET662" s="323"/>
      <c r="EU662" s="323"/>
      <c r="EV662" s="323"/>
      <c r="EW662" s="323"/>
      <c r="EX662" s="325"/>
      <c r="EY662" s="323"/>
      <c r="EZ662" s="323"/>
      <c r="FA662" s="323"/>
      <c r="FB662" s="323"/>
      <c r="FC662" s="323"/>
      <c r="FD662" s="323"/>
      <c r="FE662" s="323"/>
      <c r="FF662" s="323"/>
      <c r="FG662" s="323"/>
      <c r="FH662" s="323"/>
      <c r="FI662" s="323"/>
      <c r="FJ662" s="325"/>
      <c r="FK662" s="323"/>
      <c r="FL662" s="323"/>
      <c r="FM662" s="323"/>
      <c r="FN662" s="323"/>
      <c r="FO662" s="323"/>
      <c r="FP662" s="323"/>
      <c r="FQ662" s="323"/>
      <c r="FR662" s="323"/>
      <c r="FS662" s="323"/>
      <c r="FT662" s="323"/>
      <c r="FU662" s="323"/>
      <c r="FV662" s="323"/>
      <c r="FW662" s="323"/>
      <c r="FX662" s="323"/>
      <c r="FY662" s="323"/>
      <c r="FZ662" s="323"/>
      <c r="GA662" s="323"/>
      <c r="GB662" s="323"/>
      <c r="GC662" s="323"/>
      <c r="GD662" s="323"/>
      <c r="GE662" s="323"/>
      <c r="GF662" s="323"/>
      <c r="GG662" s="323"/>
      <c r="GH662" s="323"/>
      <c r="GI662" s="323"/>
      <c r="GJ662" s="323"/>
      <c r="GK662" s="323"/>
      <c r="GL662" s="323"/>
      <c r="GM662" s="323"/>
      <c r="GN662" s="323"/>
      <c r="GO662" s="323"/>
      <c r="GP662" s="323"/>
      <c r="GQ662" s="323"/>
      <c r="GR662" s="323"/>
      <c r="GS662" s="323"/>
      <c r="GT662" s="323"/>
      <c r="GU662" s="323"/>
      <c r="GV662" s="323"/>
      <c r="GW662" s="323"/>
      <c r="GX662" s="323"/>
      <c r="GY662" s="323"/>
      <c r="GZ662" s="323"/>
      <c r="HA662" s="323"/>
      <c r="HB662" s="323"/>
      <c r="HC662" s="323"/>
      <c r="HD662" s="323"/>
      <c r="HE662" s="323"/>
      <c r="HF662" s="323"/>
      <c r="HG662" s="323"/>
      <c r="HH662" s="323"/>
      <c r="HI662" s="323"/>
      <c r="HJ662" s="323"/>
      <c r="HK662" s="323"/>
      <c r="HL662" s="323"/>
      <c r="HM662" s="323"/>
      <c r="HN662" s="323"/>
      <c r="HO662" s="323"/>
      <c r="HP662" s="323"/>
      <c r="HQ662" s="323"/>
      <c r="HR662" s="323"/>
      <c r="HS662" s="323"/>
      <c r="HT662" s="323"/>
      <c r="HU662" s="323"/>
      <c r="HV662" s="323"/>
      <c r="HW662" s="323"/>
      <c r="HX662" s="323"/>
      <c r="HY662" s="323"/>
      <c r="HZ662" s="326"/>
      <c r="IA662" s="330"/>
      <c r="IB662" s="330"/>
      <c r="IC662" s="330"/>
      <c r="ID662" s="323"/>
      <c r="IG662" s="323"/>
      <c r="IJ662" s="323"/>
      <c r="IM662" s="323"/>
      <c r="IO662" s="327"/>
      <c r="IP662" s="323"/>
      <c r="IS662" s="323"/>
      <c r="IT662" s="327"/>
      <c r="IU662" s="327"/>
      <c r="IV662" s="323">
        <f>+FISC!AE874</f>
        <v>0</v>
      </c>
      <c r="IW662" s="279">
        <f>IY662*JU662</f>
        <v>0</v>
      </c>
      <c r="IX662" s="279">
        <f t="shared" si="486"/>
        <v>0</v>
      </c>
      <c r="IY662" s="323">
        <f>+FISC!AF874</f>
        <v>0</v>
      </c>
      <c r="IZ662" s="279">
        <f t="shared" si="498"/>
        <v>0</v>
      </c>
      <c r="JA662" s="279">
        <f t="shared" si="540"/>
        <v>0</v>
      </c>
      <c r="JB662" s="323">
        <f>+FISC!AG874</f>
        <v>0</v>
      </c>
      <c r="JC662" s="279">
        <f t="shared" si="499"/>
        <v>0</v>
      </c>
      <c r="JD662" s="279">
        <f t="shared" si="487"/>
        <v>0</v>
      </c>
      <c r="JE662" s="323">
        <f>+FISC!AH874</f>
        <v>0</v>
      </c>
      <c r="JF662" s="279">
        <f t="shared" si="500"/>
        <v>0</v>
      </c>
      <c r="JG662" s="279">
        <f t="shared" si="488"/>
        <v>0</v>
      </c>
      <c r="JH662" s="323">
        <f>+FISC!AI874</f>
        <v>0</v>
      </c>
      <c r="JI662" s="279">
        <f t="shared" si="501"/>
        <v>0</v>
      </c>
      <c r="JJ662" s="279">
        <f t="shared" si="489"/>
        <v>0</v>
      </c>
      <c r="JK662" s="323">
        <f>+FISC!AJ874</f>
        <v>0</v>
      </c>
      <c r="JL662" s="279">
        <f t="shared" si="502"/>
        <v>0</v>
      </c>
      <c r="JM662" s="279">
        <f t="shared" si="490"/>
        <v>0</v>
      </c>
      <c r="JN662" s="323">
        <f>+FISC!AK874</f>
        <v>0</v>
      </c>
      <c r="JO662" s="323"/>
      <c r="KU662" s="326"/>
      <c r="KV662" s="327"/>
    </row>
    <row r="663" spans="1:314" hidden="1">
      <c r="A663" s="279"/>
      <c r="B663" s="96" t="s">
        <v>338</v>
      </c>
      <c r="D663" s="322" t="str">
        <f>+FISC!D875</f>
        <v>Overall Deficit (cash basis)</v>
      </c>
      <c r="E663" s="323"/>
      <c r="F663" s="323"/>
      <c r="G663" s="323"/>
      <c r="H663" s="323"/>
      <c r="I663" s="323"/>
      <c r="J663" s="323"/>
      <c r="K663" s="323"/>
      <c r="L663" s="323"/>
      <c r="M663" s="323"/>
      <c r="N663" s="323"/>
      <c r="O663" s="323"/>
      <c r="P663" s="323"/>
      <c r="Q663" s="323"/>
      <c r="R663" s="323"/>
      <c r="S663" s="323"/>
      <c r="T663" s="323"/>
      <c r="U663" s="323"/>
      <c r="V663" s="323"/>
      <c r="W663" s="323"/>
      <c r="X663" s="323"/>
      <c r="Y663" s="323"/>
      <c r="Z663" s="323"/>
      <c r="AA663" s="323"/>
      <c r="AB663" s="323"/>
      <c r="AC663" s="323"/>
      <c r="AD663" s="323"/>
      <c r="AE663" s="323"/>
      <c r="AF663" s="323"/>
      <c r="AG663" s="323"/>
      <c r="AH663" s="323"/>
      <c r="AI663" s="323"/>
      <c r="AJ663" s="323"/>
      <c r="AK663" s="323"/>
      <c r="AL663" s="323"/>
      <c r="AM663" s="323"/>
      <c r="AN663" s="323"/>
      <c r="AO663" s="323"/>
      <c r="AP663" s="323"/>
      <c r="AQ663" s="323"/>
      <c r="AR663" s="323"/>
      <c r="AS663" s="323"/>
      <c r="AT663" s="323"/>
      <c r="AU663" s="323"/>
      <c r="AV663" s="323"/>
      <c r="AW663" s="323"/>
      <c r="AX663" s="323"/>
      <c r="AY663" s="323"/>
      <c r="AZ663" s="323"/>
      <c r="BA663" s="323"/>
      <c r="BB663" s="323"/>
      <c r="BC663" s="323"/>
      <c r="BD663" s="323"/>
      <c r="BE663" s="323"/>
      <c r="BF663" s="323"/>
      <c r="BG663" s="323"/>
      <c r="BH663" s="323"/>
      <c r="BI663" s="323"/>
      <c r="BJ663" s="323"/>
      <c r="BK663" s="323"/>
      <c r="BL663" s="323"/>
      <c r="BM663" s="323"/>
      <c r="BN663" s="323"/>
      <c r="BO663" s="323"/>
      <c r="BP663" s="323"/>
      <c r="BQ663" s="323"/>
      <c r="BR663" s="323"/>
      <c r="BS663" s="323"/>
      <c r="BT663" s="323"/>
      <c r="BU663" s="323"/>
      <c r="BV663" s="323"/>
      <c r="BW663" s="323"/>
      <c r="BX663" s="323"/>
      <c r="BY663" s="323"/>
      <c r="BZ663" s="323"/>
      <c r="CA663" s="323"/>
      <c r="CB663" s="323"/>
      <c r="CC663" s="323"/>
      <c r="CD663" s="323"/>
      <c r="CE663" s="324"/>
      <c r="CF663" s="323"/>
      <c r="CG663" s="323"/>
      <c r="CH663" s="323"/>
      <c r="CI663" s="323"/>
      <c r="CJ663" s="323"/>
      <c r="CK663" s="323"/>
      <c r="CL663" s="323"/>
      <c r="CM663" s="323"/>
      <c r="CN663" s="323"/>
      <c r="CO663" s="323"/>
      <c r="CP663" s="325"/>
      <c r="CQ663" s="323"/>
      <c r="CR663" s="323"/>
      <c r="CS663" s="323"/>
      <c r="CT663" s="323"/>
      <c r="CU663" s="323"/>
      <c r="CV663" s="323"/>
      <c r="CW663" s="323"/>
      <c r="CX663" s="323"/>
      <c r="CY663" s="323"/>
      <c r="CZ663" s="323"/>
      <c r="DA663" s="323"/>
      <c r="DB663" s="1269"/>
      <c r="DC663" s="323"/>
      <c r="DD663" s="323"/>
      <c r="DE663" s="323"/>
      <c r="DF663" s="323"/>
      <c r="DG663" s="323"/>
      <c r="DH663" s="323"/>
      <c r="DI663" s="323"/>
      <c r="DJ663" s="323"/>
      <c r="DK663" s="323"/>
      <c r="DL663" s="323"/>
      <c r="DM663" s="323"/>
      <c r="DN663" s="325"/>
      <c r="DO663" s="323"/>
      <c r="DP663" s="323"/>
      <c r="DQ663" s="323"/>
      <c r="DR663" s="323"/>
      <c r="DS663" s="323"/>
      <c r="DT663" s="323"/>
      <c r="DU663" s="323"/>
      <c r="DV663" s="323"/>
      <c r="DW663" s="323"/>
      <c r="DX663" s="323"/>
      <c r="DY663" s="323"/>
      <c r="DZ663" s="325"/>
      <c r="EA663" s="323"/>
      <c r="EB663" s="323"/>
      <c r="EC663" s="323"/>
      <c r="ED663" s="323"/>
      <c r="EE663" s="323"/>
      <c r="EF663" s="323"/>
      <c r="EG663" s="323"/>
      <c r="EH663" s="323"/>
      <c r="EI663" s="323"/>
      <c r="EJ663" s="323"/>
      <c r="EK663" s="323"/>
      <c r="EL663" s="325"/>
      <c r="EM663" s="323"/>
      <c r="EN663" s="323"/>
      <c r="EO663" s="323"/>
      <c r="EP663" s="323"/>
      <c r="EQ663" s="323"/>
      <c r="ER663" s="323"/>
      <c r="ES663" s="323"/>
      <c r="ET663" s="323"/>
      <c r="EU663" s="323"/>
      <c r="EV663" s="323"/>
      <c r="EW663" s="323"/>
      <c r="EX663" s="325"/>
      <c r="EY663" s="323"/>
      <c r="EZ663" s="323"/>
      <c r="FA663" s="323"/>
      <c r="FB663" s="323"/>
      <c r="FC663" s="323"/>
      <c r="FD663" s="323"/>
      <c r="FE663" s="323"/>
      <c r="FF663" s="323"/>
      <c r="FG663" s="323"/>
      <c r="FH663" s="323"/>
      <c r="FI663" s="323"/>
      <c r="FJ663" s="325"/>
      <c r="FK663" s="323"/>
      <c r="FL663" s="323"/>
      <c r="FM663" s="323"/>
      <c r="FN663" s="323"/>
      <c r="FO663" s="323"/>
      <c r="FP663" s="323"/>
      <c r="FQ663" s="323"/>
      <c r="FR663" s="323"/>
      <c r="FS663" s="323"/>
      <c r="FT663" s="323"/>
      <c r="FU663" s="323"/>
      <c r="FV663" s="323"/>
      <c r="FW663" s="323"/>
      <c r="FX663" s="323"/>
      <c r="FY663" s="323"/>
      <c r="FZ663" s="323"/>
      <c r="GA663" s="323"/>
      <c r="GB663" s="323"/>
      <c r="GC663" s="323"/>
      <c r="GD663" s="323"/>
      <c r="GE663" s="323"/>
      <c r="GF663" s="323"/>
      <c r="GG663" s="323"/>
      <c r="GH663" s="323"/>
      <c r="GI663" s="323"/>
      <c r="GJ663" s="323"/>
      <c r="GK663" s="323"/>
      <c r="GL663" s="323"/>
      <c r="GM663" s="323"/>
      <c r="GN663" s="323"/>
      <c r="GO663" s="323"/>
      <c r="GP663" s="323"/>
      <c r="GQ663" s="323"/>
      <c r="GR663" s="323"/>
      <c r="GS663" s="323"/>
      <c r="GT663" s="323"/>
      <c r="GU663" s="323"/>
      <c r="GV663" s="323"/>
      <c r="GW663" s="323"/>
      <c r="GX663" s="323"/>
      <c r="GY663" s="323"/>
      <c r="GZ663" s="323"/>
      <c r="HA663" s="323"/>
      <c r="HB663" s="323"/>
      <c r="HC663" s="323"/>
      <c r="HD663" s="323"/>
      <c r="HE663" s="323"/>
      <c r="HF663" s="323"/>
      <c r="HG663" s="323"/>
      <c r="HH663" s="323"/>
      <c r="HI663" s="323"/>
      <c r="HJ663" s="323"/>
      <c r="HK663" s="323"/>
      <c r="HL663" s="323"/>
      <c r="HM663" s="323"/>
      <c r="HN663" s="323"/>
      <c r="HO663" s="323"/>
      <c r="HP663" s="323"/>
      <c r="HQ663" s="323"/>
      <c r="HR663" s="323"/>
      <c r="HS663" s="323"/>
      <c r="HT663" s="323"/>
      <c r="HU663" s="323"/>
      <c r="HV663" s="323"/>
      <c r="HW663" s="323"/>
      <c r="HX663" s="323"/>
      <c r="HY663" s="323"/>
      <c r="HZ663" s="326"/>
      <c r="IA663" s="322" t="s">
        <v>159</v>
      </c>
      <c r="IB663" s="322"/>
      <c r="IC663" s="322"/>
      <c r="ID663" s="323"/>
      <c r="IG663" s="323"/>
      <c r="IJ663" s="323"/>
      <c r="IM663" s="323"/>
      <c r="IO663" s="327"/>
      <c r="IP663" s="323"/>
      <c r="IS663" s="323"/>
      <c r="IT663" s="327"/>
      <c r="IU663" s="327"/>
      <c r="IV663" s="323">
        <f>+FISC!AE875</f>
        <v>0</v>
      </c>
      <c r="IW663" s="279">
        <f>IY663*JU663</f>
        <v>0</v>
      </c>
      <c r="IX663" s="279">
        <f t="shared" si="486"/>
        <v>0</v>
      </c>
      <c r="IY663" s="323">
        <f>+FISC!AF875</f>
        <v>0</v>
      </c>
      <c r="IZ663" s="279">
        <f t="shared" si="498"/>
        <v>0</v>
      </c>
      <c r="JA663" s="279">
        <f t="shared" si="540"/>
        <v>0</v>
      </c>
      <c r="JB663" s="323">
        <f>+FISC!AG875</f>
        <v>0</v>
      </c>
      <c r="JC663" s="279">
        <f t="shared" si="499"/>
        <v>0</v>
      </c>
      <c r="JD663" s="279">
        <f t="shared" si="487"/>
        <v>0</v>
      </c>
      <c r="JE663" s="323">
        <f>+FISC!AH875</f>
        <v>0</v>
      </c>
      <c r="JF663" s="279">
        <f t="shared" si="500"/>
        <v>0</v>
      </c>
      <c r="JG663" s="279">
        <f t="shared" si="488"/>
        <v>0</v>
      </c>
      <c r="JH663" s="323">
        <f>+FISC!AI875</f>
        <v>0</v>
      </c>
      <c r="JI663" s="279">
        <f t="shared" si="501"/>
        <v>0</v>
      </c>
      <c r="JJ663" s="279">
        <f t="shared" si="489"/>
        <v>0</v>
      </c>
      <c r="JK663" s="323">
        <f>+FISC!AJ875</f>
        <v>0</v>
      </c>
      <c r="JL663" s="279">
        <f t="shared" si="502"/>
        <v>0</v>
      </c>
      <c r="JM663" s="279">
        <f t="shared" si="490"/>
        <v>0</v>
      </c>
      <c r="JN663" s="323">
        <f>+FISC!AK875</f>
        <v>0</v>
      </c>
      <c r="JO663" s="323"/>
      <c r="KU663" s="326"/>
      <c r="KV663" s="327"/>
    </row>
    <row r="664" spans="1:314" hidden="1">
      <c r="A664" s="279"/>
      <c r="B664" s="96" t="s">
        <v>338</v>
      </c>
      <c r="D664" s="328" t="str">
        <f>+FISC!D876</f>
        <v>Including grants</v>
      </c>
      <c r="E664" s="323">
        <f t="shared" ref="E664:BP664" si="596">E657+E661</f>
        <v>-2.8905248749041235</v>
      </c>
      <c r="F664" s="323">
        <f t="shared" si="596"/>
        <v>-9.2662870787199978</v>
      </c>
      <c r="G664" s="323">
        <f t="shared" si="596"/>
        <v>-21.914282177032497</v>
      </c>
      <c r="H664" s="323">
        <f t="shared" si="596"/>
        <v>-5.9711837731282724</v>
      </c>
      <c r="I664" s="323">
        <f t="shared" si="596"/>
        <v>18.141896618102002</v>
      </c>
      <c r="J664" s="323">
        <f t="shared" si="596"/>
        <v>44.969706188274117</v>
      </c>
      <c r="K664" s="323">
        <f t="shared" si="596"/>
        <v>-14.536695140326309</v>
      </c>
      <c r="L664" s="323">
        <f t="shared" si="596"/>
        <v>-4.9226736018496027</v>
      </c>
      <c r="M664" s="323">
        <f t="shared" si="596"/>
        <v>-25.195262831884001</v>
      </c>
      <c r="N664" s="323">
        <f t="shared" si="596"/>
        <v>-11.605301761740007</v>
      </c>
      <c r="O664" s="323">
        <f t="shared" si="596"/>
        <v>-5.5630141200999947</v>
      </c>
      <c r="P664" s="323">
        <f t="shared" si="596"/>
        <v>-0.30726643007999854</v>
      </c>
      <c r="Q664" s="323">
        <f t="shared" si="596"/>
        <v>4.4744952606083945</v>
      </c>
      <c r="R664" s="323">
        <f t="shared" si="596"/>
        <v>-14.044022172342702</v>
      </c>
      <c r="S664" s="323">
        <f t="shared" si="596"/>
        <v>28.116088515274988</v>
      </c>
      <c r="T664" s="323">
        <f t="shared" si="596"/>
        <v>-25.834328408264</v>
      </c>
      <c r="U664" s="323">
        <f t="shared" si="596"/>
        <v>17.091404588344506</v>
      </c>
      <c r="V664" s="323">
        <f t="shared" si="596"/>
        <v>34.327745121608004</v>
      </c>
      <c r="W664" s="323">
        <f t="shared" si="596"/>
        <v>-18.315702368349999</v>
      </c>
      <c r="X664" s="323">
        <f t="shared" si="596"/>
        <v>-6.6605162444080044</v>
      </c>
      <c r="Y664" s="323">
        <f t="shared" si="596"/>
        <v>-13.222714064604808</v>
      </c>
      <c r="Z664" s="323">
        <f t="shared" si="596"/>
        <v>-16.339980834573389</v>
      </c>
      <c r="AA664" s="323">
        <f t="shared" si="596"/>
        <v>-25.516383422789403</v>
      </c>
      <c r="AB664" s="323">
        <f t="shared" si="596"/>
        <v>38.912006468292994</v>
      </c>
      <c r="AC664" s="323">
        <f t="shared" si="596"/>
        <v>-20.823433762000001</v>
      </c>
      <c r="AD664" s="323">
        <f t="shared" si="596"/>
        <v>0.17788372700000232</v>
      </c>
      <c r="AE664" s="323">
        <f t="shared" si="596"/>
        <v>-35.522833658000003</v>
      </c>
      <c r="AF664" s="323">
        <f t="shared" si="596"/>
        <v>16.471097364999999</v>
      </c>
      <c r="AG664" s="323">
        <f t="shared" si="596"/>
        <v>-11.312669280999996</v>
      </c>
      <c r="AH664" s="323">
        <f t="shared" si="596"/>
        <v>33.495558960999972</v>
      </c>
      <c r="AI664" s="323">
        <f t="shared" si="596"/>
        <v>9.6035356999999948</v>
      </c>
      <c r="AJ664" s="323">
        <f t="shared" si="596"/>
        <v>-25.479925335999994</v>
      </c>
      <c r="AK664" s="323">
        <f t="shared" si="596"/>
        <v>8.2951844279999829</v>
      </c>
      <c r="AL664" s="323">
        <f t="shared" si="596"/>
        <v>18.325264832999999</v>
      </c>
      <c r="AM664" s="323">
        <f t="shared" si="596"/>
        <v>-25.604472352000009</v>
      </c>
      <c r="AN664" s="323">
        <f t="shared" si="596"/>
        <v>-6.2050373570000144</v>
      </c>
      <c r="AO664" s="323">
        <f t="shared" si="596"/>
        <v>6.7539305167400059</v>
      </c>
      <c r="AP664" s="323">
        <f t="shared" si="596"/>
        <v>-9.6767797020600099</v>
      </c>
      <c r="AQ664" s="323">
        <f t="shared" si="596"/>
        <v>-9.4503527713272408</v>
      </c>
      <c r="AR664" s="323">
        <f t="shared" si="596"/>
        <v>-16.097627978120006</v>
      </c>
      <c r="AS664" s="323">
        <f t="shared" si="596"/>
        <v>-7.561540453347984</v>
      </c>
      <c r="AT664" s="323">
        <f t="shared" si="596"/>
        <v>36.035087890934399</v>
      </c>
      <c r="AU664" s="323">
        <f t="shared" si="596"/>
        <v>-8.3802143252400008</v>
      </c>
      <c r="AV664" s="323">
        <f t="shared" si="596"/>
        <v>-35.297755937880012</v>
      </c>
      <c r="AW664" s="323">
        <f t="shared" si="596"/>
        <v>34.137960797449999</v>
      </c>
      <c r="AX664" s="323">
        <f t="shared" si="596"/>
        <v>-30.747768710079988</v>
      </c>
      <c r="AY664" s="323">
        <f t="shared" si="596"/>
        <v>-6.6192430229007897</v>
      </c>
      <c r="AZ664" s="323">
        <f t="shared" si="596"/>
        <v>29.749638675632497</v>
      </c>
      <c r="BA664" s="323">
        <f t="shared" si="596"/>
        <v>3.5105459550000084</v>
      </c>
      <c r="BB664" s="323">
        <f t="shared" si="596"/>
        <v>-7.8065772179999984</v>
      </c>
      <c r="BC664" s="323">
        <f t="shared" si="596"/>
        <v>-56.295423991000014</v>
      </c>
      <c r="BD664" s="323">
        <f t="shared" si="596"/>
        <v>36.055197685759985</v>
      </c>
      <c r="BE664" s="323">
        <f t="shared" si="596"/>
        <v>-50.927509479769995</v>
      </c>
      <c r="BF664" s="323">
        <f t="shared" si="596"/>
        <v>-39.478551934000009</v>
      </c>
      <c r="BG664" s="323">
        <f t="shared" si="596"/>
        <v>24.85355121680001</v>
      </c>
      <c r="BH664" s="323">
        <f t="shared" si="596"/>
        <v>36.915925751200014</v>
      </c>
      <c r="BI664" s="323">
        <f t="shared" si="596"/>
        <v>13.178281442900019</v>
      </c>
      <c r="BJ664" s="323">
        <f t="shared" si="596"/>
        <v>57.343406230180008</v>
      </c>
      <c r="BK664" s="323">
        <f t="shared" si="596"/>
        <v>-33.614613657000021</v>
      </c>
      <c r="BL664" s="323">
        <f t="shared" si="596"/>
        <v>0.32978904600001613</v>
      </c>
      <c r="BM664" s="323">
        <f t="shared" si="596"/>
        <v>-16.630474219890015</v>
      </c>
      <c r="BN664" s="323">
        <f t="shared" si="596"/>
        <v>-16.463532138479998</v>
      </c>
      <c r="BO664" s="323">
        <f t="shared" si="596"/>
        <v>-51.102759898999992</v>
      </c>
      <c r="BP664" s="323">
        <f t="shared" si="596"/>
        <v>-30.405109080000031</v>
      </c>
      <c r="BQ664" s="323">
        <f t="shared" ref="BQ664:DN664" si="597">BQ657+BQ661</f>
        <v>-38.520418634850003</v>
      </c>
      <c r="BR664" s="323">
        <f t="shared" si="597"/>
        <v>-12.559368134954248</v>
      </c>
      <c r="BS664" s="323">
        <f t="shared" si="597"/>
        <v>53.010399451901648</v>
      </c>
      <c r="BT664" s="323">
        <f t="shared" si="597"/>
        <v>-6.3093905400688817</v>
      </c>
      <c r="BU664" s="323">
        <f t="shared" si="597"/>
        <v>-73.060097323727888</v>
      </c>
      <c r="BV664" s="323">
        <f t="shared" si="597"/>
        <v>-5.9118956241095049</v>
      </c>
      <c r="BW664" s="323">
        <f t="shared" si="597"/>
        <v>18.135569673433722</v>
      </c>
      <c r="BX664" s="323">
        <f t="shared" si="597"/>
        <v>60.787193092690352</v>
      </c>
      <c r="BY664" s="323">
        <f t="shared" si="597"/>
        <v>-27.04576118312729</v>
      </c>
      <c r="BZ664" s="323">
        <f t="shared" si="597"/>
        <v>-23.568025528720547</v>
      </c>
      <c r="CA664" s="323">
        <f t="shared" si="597"/>
        <v>50.831770706868106</v>
      </c>
      <c r="CB664" s="323">
        <f t="shared" si="597"/>
        <v>-35.736301905905833</v>
      </c>
      <c r="CC664" s="323">
        <f t="shared" si="597"/>
        <v>-96.394358296720782</v>
      </c>
      <c r="CD664" s="323">
        <f t="shared" si="597"/>
        <v>65.857510147153519</v>
      </c>
      <c r="CE664" s="324">
        <f t="shared" si="597"/>
        <v>42.611157192623651</v>
      </c>
      <c r="CF664" s="323">
        <f t="shared" si="597"/>
        <v>-18.66661570358573</v>
      </c>
      <c r="CG664" s="323">
        <f t="shared" si="597"/>
        <v>38.008934492160407</v>
      </c>
      <c r="CH664" s="323">
        <f t="shared" si="597"/>
        <v>-38.514668769760675</v>
      </c>
      <c r="CI664" s="323">
        <f t="shared" si="597"/>
        <v>-21.779386044511419</v>
      </c>
      <c r="CJ664" s="323">
        <f t="shared" si="597"/>
        <v>16.406120613149277</v>
      </c>
      <c r="CK664" s="323">
        <f t="shared" si="597"/>
        <v>-35.801225611789647</v>
      </c>
      <c r="CL664" s="323">
        <f t="shared" si="597"/>
        <v>-17.750653984684622</v>
      </c>
      <c r="CM664" s="323">
        <f t="shared" si="597"/>
        <v>-13.620505742886285</v>
      </c>
      <c r="CN664" s="323">
        <f t="shared" si="597"/>
        <v>-52.591160658578062</v>
      </c>
      <c r="CO664" s="323">
        <f t="shared" si="597"/>
        <v>-45.022821633897941</v>
      </c>
      <c r="CP664" s="325">
        <f t="shared" si="597"/>
        <v>-58.290945699031653</v>
      </c>
      <c r="CQ664" s="323">
        <f t="shared" si="597"/>
        <v>12.54387339511824</v>
      </c>
      <c r="CR664" s="323">
        <f t="shared" si="597"/>
        <v>-28.557034698486767</v>
      </c>
      <c r="CS664" s="323">
        <f t="shared" si="597"/>
        <v>-26.22019570295479</v>
      </c>
      <c r="CT664" s="323">
        <f t="shared" si="597"/>
        <v>-41.620826119219437</v>
      </c>
      <c r="CU664" s="323">
        <f t="shared" si="597"/>
        <v>-8.5081747794942935</v>
      </c>
      <c r="CV664" s="323">
        <f t="shared" si="597"/>
        <v>66.044492111503132</v>
      </c>
      <c r="CW664" s="323">
        <f t="shared" si="597"/>
        <v>-39.534169576938282</v>
      </c>
      <c r="CX664" s="323">
        <f t="shared" si="597"/>
        <v>-8.7001042170547862</v>
      </c>
      <c r="CY664" s="323">
        <f t="shared" si="597"/>
        <v>-24.99261879781184</v>
      </c>
      <c r="CZ664" s="323">
        <f t="shared" si="597"/>
        <v>-58.727238712045832</v>
      </c>
      <c r="DA664" s="323">
        <f t="shared" si="597"/>
        <v>-19.331670033320673</v>
      </c>
      <c r="DB664" s="1269">
        <f t="shared" si="597"/>
        <v>-64.517534556705399</v>
      </c>
      <c r="DC664" s="323">
        <f t="shared" si="597"/>
        <v>21.043180143472206</v>
      </c>
      <c r="DD664" s="323">
        <f t="shared" si="597"/>
        <v>-33.453373720394453</v>
      </c>
      <c r="DE664" s="323">
        <f t="shared" si="597"/>
        <v>-8.8813135966185968</v>
      </c>
      <c r="DF664" s="323">
        <f t="shared" si="597"/>
        <v>-73.050325213549812</v>
      </c>
      <c r="DG664" s="323">
        <f t="shared" si="597"/>
        <v>33.255613161617653</v>
      </c>
      <c r="DH664" s="323">
        <f t="shared" si="597"/>
        <v>-35.079441018669641</v>
      </c>
      <c r="DI664" s="323">
        <f t="shared" si="597"/>
        <v>-70.396421912703801</v>
      </c>
      <c r="DJ664" s="323">
        <f t="shared" si="597"/>
        <v>-40.962249191481661</v>
      </c>
      <c r="DK664" s="323">
        <f t="shared" si="597"/>
        <v>-1.0645758587163643</v>
      </c>
      <c r="DL664" s="323">
        <f t="shared" si="597"/>
        <v>-5.2449569493905841</v>
      </c>
      <c r="DM664" s="323">
        <f t="shared" si="597"/>
        <v>-28.638692938607534</v>
      </c>
      <c r="DN664" s="325">
        <f t="shared" si="597"/>
        <v>-36.321058881903681</v>
      </c>
      <c r="DO664" s="323">
        <f t="shared" ref="DO664:DT664" si="598">DO657+DO661</f>
        <v>-21.554615507517191</v>
      </c>
      <c r="DP664" s="323">
        <f t="shared" si="598"/>
        <v>3.8619002804759504</v>
      </c>
      <c r="DQ664" s="323">
        <f t="shared" si="598"/>
        <v>-19.068935191423527</v>
      </c>
      <c r="DR664" s="323">
        <f t="shared" si="598"/>
        <v>-79.405998012753301</v>
      </c>
      <c r="DS664" s="323">
        <f t="shared" si="598"/>
        <v>-28.014693698296913</v>
      </c>
      <c r="DT664" s="323">
        <f t="shared" si="598"/>
        <v>-45.834464807662314</v>
      </c>
      <c r="DU664" s="323">
        <f t="shared" ref="DU664:DZ664" si="599">DU657+DU661</f>
        <v>-5.7441743306129212</v>
      </c>
      <c r="DV664" s="323">
        <f t="shared" si="599"/>
        <v>-33.129453707416161</v>
      </c>
      <c r="DW664" s="323">
        <f t="shared" si="599"/>
        <v>-22.092855528589361</v>
      </c>
      <c r="DX664" s="323">
        <f t="shared" si="599"/>
        <v>-22.332093138331487</v>
      </c>
      <c r="DY664" s="323">
        <f t="shared" si="599"/>
        <v>-58.992523722058984</v>
      </c>
      <c r="DZ664" s="325">
        <f t="shared" si="599"/>
        <v>-40.572562566172991</v>
      </c>
      <c r="EA664" s="323">
        <f t="shared" ref="EA664:EK664" si="600">EA657+EA661</f>
        <v>17.74901291081212</v>
      </c>
      <c r="EB664" s="323">
        <f t="shared" si="600"/>
        <v>-50.2682916203646</v>
      </c>
      <c r="EC664" s="323">
        <f t="shared" si="600"/>
        <v>-35.609202371404493</v>
      </c>
      <c r="ED664" s="323">
        <f t="shared" si="600"/>
        <v>-65.201741561357949</v>
      </c>
      <c r="EE664" s="323">
        <f t="shared" si="600"/>
        <v>-36.852369535279806</v>
      </c>
      <c r="EF664" s="323">
        <f t="shared" si="600"/>
        <v>-42.164584652694074</v>
      </c>
      <c r="EG664" s="323">
        <f t="shared" si="600"/>
        <v>-37.704727904198563</v>
      </c>
      <c r="EH664" s="323">
        <f t="shared" si="600"/>
        <v>-21.731266000178419</v>
      </c>
      <c r="EI664" s="323">
        <f t="shared" si="600"/>
        <v>-17.968922353242693</v>
      </c>
      <c r="EJ664" s="323">
        <f t="shared" si="600"/>
        <v>10.77470469117285</v>
      </c>
      <c r="EK664" s="323">
        <f t="shared" si="600"/>
        <v>-82.967263683236638</v>
      </c>
      <c r="EL664" s="325">
        <f t="shared" ref="EL664:ER664" si="601">EL657+EL661</f>
        <v>-82.815571291157269</v>
      </c>
      <c r="EM664" s="323">
        <f t="shared" si="601"/>
        <v>-21.425456553030191</v>
      </c>
      <c r="EN664" s="323">
        <f t="shared" si="601"/>
        <v>6.902852961573771</v>
      </c>
      <c r="EO664" s="323">
        <f t="shared" si="601"/>
        <v>-39.916870032249804</v>
      </c>
      <c r="EP664" s="323">
        <f t="shared" si="601"/>
        <v>-58.037891836282355</v>
      </c>
      <c r="EQ664" s="323">
        <f t="shared" si="601"/>
        <v>-21.971002301901251</v>
      </c>
      <c r="ER664" s="323">
        <f t="shared" si="601"/>
        <v>-64.576672696976672</v>
      </c>
      <c r="ES664" s="323">
        <f t="shared" ref="ES664:EX664" si="602">ES657+ES661</f>
        <v>-90.252547466258903</v>
      </c>
      <c r="ET664" s="323">
        <f t="shared" si="602"/>
        <v>-8.7588275071861972</v>
      </c>
      <c r="EU664" s="323">
        <f t="shared" si="602"/>
        <v>-39.66744417620265</v>
      </c>
      <c r="EV664" s="323">
        <f t="shared" si="602"/>
        <v>-33.823532487779303</v>
      </c>
      <c r="EW664" s="323">
        <f t="shared" si="602"/>
        <v>-17.019269987969309</v>
      </c>
      <c r="EX664" s="325">
        <f t="shared" si="602"/>
        <v>-167.61406907899087</v>
      </c>
      <c r="EY664" s="323"/>
      <c r="EZ664" s="323"/>
      <c r="FA664" s="323"/>
      <c r="FB664" s="323"/>
      <c r="FC664" s="323"/>
      <c r="FD664" s="323"/>
      <c r="FE664" s="323"/>
      <c r="FF664" s="323"/>
      <c r="FG664" s="323"/>
      <c r="FH664" s="323"/>
      <c r="FI664" s="323"/>
      <c r="FJ664" s="325"/>
      <c r="FK664" s="323"/>
      <c r="FL664" s="323"/>
      <c r="FM664" s="323"/>
      <c r="FN664" s="323"/>
      <c r="FO664" s="323"/>
      <c r="FP664" s="323"/>
      <c r="FQ664" s="323"/>
      <c r="FR664" s="323"/>
      <c r="FS664" s="323"/>
      <c r="FT664" s="323"/>
      <c r="FU664" s="323"/>
      <c r="FV664" s="323"/>
      <c r="FW664" s="323"/>
      <c r="FX664" s="323"/>
      <c r="FY664" s="323"/>
      <c r="FZ664" s="323"/>
      <c r="GA664" s="323"/>
      <c r="GB664" s="323"/>
      <c r="GC664" s="323"/>
      <c r="GD664" s="323"/>
      <c r="GE664" s="323"/>
      <c r="GF664" s="323"/>
      <c r="GG664" s="323"/>
      <c r="GH664" s="323"/>
      <c r="GI664" s="323"/>
      <c r="GJ664" s="323"/>
      <c r="GK664" s="323"/>
      <c r="GL664" s="323"/>
      <c r="GM664" s="323"/>
      <c r="GN664" s="323"/>
      <c r="GO664" s="323"/>
      <c r="GP664" s="323"/>
      <c r="GQ664" s="323"/>
      <c r="GR664" s="323"/>
      <c r="GS664" s="323"/>
      <c r="GT664" s="323"/>
      <c r="GU664" s="323"/>
      <c r="GV664" s="323"/>
      <c r="GW664" s="323"/>
      <c r="GX664" s="323"/>
      <c r="GY664" s="323"/>
      <c r="GZ664" s="323"/>
      <c r="HA664" s="323"/>
      <c r="HB664" s="323"/>
      <c r="HC664" s="323"/>
      <c r="HD664" s="323"/>
      <c r="HE664" s="323"/>
      <c r="HF664" s="323"/>
      <c r="HG664" s="323"/>
      <c r="HH664" s="323"/>
      <c r="HI664" s="323"/>
      <c r="HJ664" s="323"/>
      <c r="HK664" s="323"/>
      <c r="HL664" s="323"/>
      <c r="HM664" s="323"/>
      <c r="HN664" s="323"/>
      <c r="HO664" s="323"/>
      <c r="HP664" s="323"/>
      <c r="HQ664" s="323"/>
      <c r="HR664" s="323"/>
      <c r="HS664" s="323"/>
      <c r="HT664" s="323"/>
      <c r="HU664" s="323"/>
      <c r="HV664" s="323"/>
      <c r="HW664" s="323"/>
      <c r="HX664" s="323"/>
      <c r="HY664" s="323"/>
      <c r="HZ664" s="326"/>
      <c r="IA664" s="328" t="s">
        <v>156</v>
      </c>
      <c r="IB664" s="328"/>
      <c r="IC664" s="328"/>
      <c r="ID664" s="323">
        <f>+FISC!Z876</f>
        <v>-297.05950052759749</v>
      </c>
      <c r="IE664" s="279">
        <f t="shared" ref="IE664:IL664" si="603">IE657+IE661</f>
        <v>-3.3178657935338123</v>
      </c>
      <c r="IF664" s="279">
        <f t="shared" si="603"/>
        <v>-215.80333589387678</v>
      </c>
      <c r="IG664" s="323">
        <f t="shared" si="603"/>
        <v>-219.12120168741058</v>
      </c>
      <c r="IH664" s="279">
        <f t="shared" si="603"/>
        <v>-96.165660244142373</v>
      </c>
      <c r="II664" s="279">
        <f t="shared" si="603"/>
        <v>-182.62795573280354</v>
      </c>
      <c r="IJ664" s="323">
        <f t="shared" si="603"/>
        <v>-278.79361597694606</v>
      </c>
      <c r="IK664" s="279">
        <f t="shared" si="603"/>
        <v>-190.01680693717734</v>
      </c>
      <c r="IL664" s="279">
        <f t="shared" si="603"/>
        <v>-182.86366299318183</v>
      </c>
      <c r="IM664" s="323">
        <f t="shared" si="503"/>
        <v>-372.88046993035914</v>
      </c>
      <c r="IN664" s="279">
        <f>IN657+IN661</f>
        <v>-132.49537945158221</v>
      </c>
      <c r="IO664" s="279">
        <f>IO657+IO661</f>
        <v>-259.69320093342191</v>
      </c>
      <c r="IP664" s="323">
        <f>FISC!AC876</f>
        <v>-392.18858038500423</v>
      </c>
      <c r="IQ664" s="279">
        <f>SUM(EM664:ER664)</f>
        <v>-199.0250404588665</v>
      </c>
      <c r="IR664" s="279">
        <f>SUM(ES664:EX664)</f>
        <v>-357.13569070438723</v>
      </c>
      <c r="IS664" s="323">
        <f t="shared" si="590"/>
        <v>-556.16073116325379</v>
      </c>
      <c r="IT664" s="279" t="e">
        <f>IT657+IT661</f>
        <v>#REF!</v>
      </c>
      <c r="IU664" s="454" t="e">
        <f>IU657+IU661</f>
        <v>#REF!</v>
      </c>
      <c r="IV664" s="323">
        <f>+FISC!AE876</f>
        <v>-1226.1971334578216</v>
      </c>
      <c r="IW664" s="279" t="e">
        <f>IW657+IW661</f>
        <v>#REF!</v>
      </c>
      <c r="IX664" s="279" t="e">
        <f t="shared" si="486"/>
        <v>#REF!</v>
      </c>
      <c r="IY664" s="323">
        <f>+FISC!AF876</f>
        <v>-973.95802283803494</v>
      </c>
      <c r="IZ664" s="279" t="e">
        <f>IZ657+IZ661</f>
        <v>#REF!</v>
      </c>
      <c r="JA664" s="279" t="e">
        <f t="shared" si="540"/>
        <v>#REF!</v>
      </c>
      <c r="JB664" s="323">
        <f>+FISC!AG876</f>
        <v>6007.2937847698977</v>
      </c>
      <c r="JC664" s="279">
        <f>JC657+JC661</f>
        <v>4466.782621107046</v>
      </c>
      <c r="JD664" s="279">
        <f t="shared" si="487"/>
        <v>5488.1742500631372</v>
      </c>
      <c r="JE664" s="323">
        <f>+FISC!AH876</f>
        <v>9954.9568711701831</v>
      </c>
      <c r="JF664" s="279">
        <f>JF657+JF661</f>
        <v>5809.6834276348618</v>
      </c>
      <c r="JG664" s="279">
        <f t="shared" si="488"/>
        <v>6056.9589963860944</v>
      </c>
      <c r="JH664" s="323">
        <f>+FISC!AI876</f>
        <v>11866.642424020956</v>
      </c>
      <c r="JI664" s="279">
        <f>JI657+JI661</f>
        <v>-1823.6427232942842</v>
      </c>
      <c r="JJ664" s="279">
        <f t="shared" si="489"/>
        <v>-2447.8864073523846</v>
      </c>
      <c r="JK664" s="323">
        <f>+FISC!AJ876</f>
        <v>-4271.5291306466688</v>
      </c>
      <c r="JL664" s="279">
        <f>JL657+JL661</f>
        <v>-488.77573358966231</v>
      </c>
      <c r="JM664" s="279">
        <f t="shared" si="490"/>
        <v>488.77573358966231</v>
      </c>
      <c r="JN664" s="323">
        <f>+FISC!AK876</f>
        <v>0</v>
      </c>
      <c r="JO664" s="323"/>
      <c r="KU664" s="326"/>
      <c r="KV664" s="327"/>
      <c r="KY664" s="279">
        <f>KY657+KY661</f>
        <v>0</v>
      </c>
      <c r="KZ664" s="279">
        <f>KZ657+KZ661</f>
        <v>0</v>
      </c>
      <c r="LA664" s="279">
        <f>LA657+LA661</f>
        <v>0</v>
      </c>
      <c r="LB664" s="279">
        <f>LB657+LB661</f>
        <v>0</v>
      </c>
    </row>
    <row r="665" spans="1:314" hidden="1">
      <c r="A665" s="279"/>
      <c r="B665" s="96" t="s">
        <v>338</v>
      </c>
      <c r="D665" s="328" t="str">
        <f>+FISC!D877</f>
        <v>Excluding grants</v>
      </c>
      <c r="E665" s="323">
        <f t="shared" ref="E665:BP665" si="604">E658+E661</f>
        <v>-3.9201461879041233</v>
      </c>
      <c r="F665" s="323">
        <f t="shared" si="604"/>
        <v>-12.20823003372</v>
      </c>
      <c r="G665" s="323">
        <f t="shared" si="604"/>
        <v>-42.160862517032498</v>
      </c>
      <c r="H665" s="323">
        <f t="shared" si="604"/>
        <v>-9.9496318691282735</v>
      </c>
      <c r="I665" s="323">
        <f t="shared" si="604"/>
        <v>-12.474016727897999</v>
      </c>
      <c r="J665" s="323">
        <f t="shared" si="604"/>
        <v>-25.915844906725901</v>
      </c>
      <c r="K665" s="323">
        <f t="shared" si="604"/>
        <v>-15.653893882326308</v>
      </c>
      <c r="L665" s="323">
        <f t="shared" si="604"/>
        <v>-13.585219664849603</v>
      </c>
      <c r="M665" s="323">
        <f t="shared" si="604"/>
        <v>-46.348703375884007</v>
      </c>
      <c r="N665" s="323">
        <f t="shared" si="604"/>
        <v>-21.879327417740008</v>
      </c>
      <c r="O665" s="323">
        <f t="shared" si="604"/>
        <v>-7.598444459099996</v>
      </c>
      <c r="P665" s="323">
        <f t="shared" si="604"/>
        <v>-34.659294036079999</v>
      </c>
      <c r="Q665" s="323">
        <f t="shared" si="604"/>
        <v>-2.5968317033916062</v>
      </c>
      <c r="R665" s="323">
        <f t="shared" si="604"/>
        <v>-14.044022172342702</v>
      </c>
      <c r="S665" s="323">
        <f t="shared" si="604"/>
        <v>-33.466140940724998</v>
      </c>
      <c r="T665" s="323">
        <f t="shared" si="604"/>
        <v>-26.074646866264004</v>
      </c>
      <c r="U665" s="323">
        <f t="shared" si="604"/>
        <v>-19.559641302655496</v>
      </c>
      <c r="V665" s="323">
        <f t="shared" si="604"/>
        <v>-17.304424893392007</v>
      </c>
      <c r="W665" s="323">
        <f t="shared" si="604"/>
        <v>-20.128711646349995</v>
      </c>
      <c r="X665" s="323">
        <f t="shared" si="604"/>
        <v>-15.555138405408002</v>
      </c>
      <c r="Y665" s="323">
        <f t="shared" si="604"/>
        <v>-44.429843474604809</v>
      </c>
      <c r="Z665" s="323">
        <f t="shared" si="604"/>
        <v>-35.191353341573397</v>
      </c>
      <c r="AA665" s="323">
        <f t="shared" si="604"/>
        <v>-28.261334060789402</v>
      </c>
      <c r="AB665" s="323">
        <f t="shared" si="604"/>
        <v>-20.175199440706983</v>
      </c>
      <c r="AC665" s="323">
        <f t="shared" si="604"/>
        <v>-20.823433762000001</v>
      </c>
      <c r="AD665" s="323">
        <f t="shared" si="604"/>
        <v>-7.3681782730000007</v>
      </c>
      <c r="AE665" s="323">
        <f t="shared" si="604"/>
        <v>-66.598621201</v>
      </c>
      <c r="AF665" s="323">
        <f t="shared" si="604"/>
        <v>-34.661751740999989</v>
      </c>
      <c r="AG665" s="323">
        <f t="shared" si="604"/>
        <v>-13.235321835999995</v>
      </c>
      <c r="AH665" s="323">
        <f t="shared" si="604"/>
        <v>-18.297300487000022</v>
      </c>
      <c r="AI665" s="323">
        <f t="shared" si="604"/>
        <v>-3.7996995370000057</v>
      </c>
      <c r="AJ665" s="323">
        <f t="shared" si="604"/>
        <v>-29.051693312999994</v>
      </c>
      <c r="AK665" s="323">
        <f t="shared" si="604"/>
        <v>-67.762116653000007</v>
      </c>
      <c r="AL665" s="323">
        <f t="shared" si="604"/>
        <v>-34.870036422999995</v>
      </c>
      <c r="AM665" s="323">
        <f t="shared" si="604"/>
        <v>-33.180927526000005</v>
      </c>
      <c r="AN665" s="323">
        <f t="shared" si="604"/>
        <v>-56.327903753999998</v>
      </c>
      <c r="AO665" s="323">
        <f t="shared" si="604"/>
        <v>-14.895271070259987</v>
      </c>
      <c r="AP665" s="323">
        <f t="shared" si="604"/>
        <v>-9.6767797020600099</v>
      </c>
      <c r="AQ665" s="323">
        <f t="shared" si="604"/>
        <v>-44.77169705132723</v>
      </c>
      <c r="AR665" s="323">
        <f t="shared" si="604"/>
        <v>-28.679471540120009</v>
      </c>
      <c r="AS665" s="323">
        <f t="shared" si="604"/>
        <v>-16.618233150347987</v>
      </c>
      <c r="AT665" s="323">
        <f t="shared" si="604"/>
        <v>-88.530201634065605</v>
      </c>
      <c r="AU665" s="323">
        <f t="shared" si="604"/>
        <v>-14.539945807240002</v>
      </c>
      <c r="AV665" s="323">
        <f t="shared" si="604"/>
        <v>-40.075125937880017</v>
      </c>
      <c r="AW665" s="323">
        <f t="shared" si="604"/>
        <v>-58.784301202549983</v>
      </c>
      <c r="AX665" s="323">
        <f t="shared" si="604"/>
        <v>-57.14253991407999</v>
      </c>
      <c r="AY665" s="323">
        <f t="shared" si="604"/>
        <v>-13.600328913900789</v>
      </c>
      <c r="AZ665" s="323">
        <f t="shared" si="604"/>
        <v>-74.392674323367501</v>
      </c>
      <c r="BA665" s="323">
        <f t="shared" si="604"/>
        <v>2.9792224530000091</v>
      </c>
      <c r="BB665" s="323">
        <f t="shared" si="604"/>
        <v>-13.040839674999999</v>
      </c>
      <c r="BC665" s="323">
        <f t="shared" si="604"/>
        <v>-82.755526183000001</v>
      </c>
      <c r="BD665" s="323">
        <f t="shared" si="604"/>
        <v>-31.880909641000009</v>
      </c>
      <c r="BE665" s="323">
        <f t="shared" si="604"/>
        <v>-51.962676820999995</v>
      </c>
      <c r="BF665" s="323">
        <f t="shared" si="604"/>
        <v>-77.297102820000006</v>
      </c>
      <c r="BG665" s="323">
        <f t="shared" si="604"/>
        <v>-16.1581621222</v>
      </c>
      <c r="BH665" s="323">
        <f t="shared" si="604"/>
        <v>-0.7152933227999938</v>
      </c>
      <c r="BI665" s="323">
        <f t="shared" si="604"/>
        <v>-45.026024060099985</v>
      </c>
      <c r="BJ665" s="323">
        <f t="shared" si="604"/>
        <v>-19.239465205819997</v>
      </c>
      <c r="BK665" s="323">
        <f t="shared" si="604"/>
        <v>-38.311594221000021</v>
      </c>
      <c r="BL665" s="323">
        <f t="shared" si="604"/>
        <v>-100.28916113699999</v>
      </c>
      <c r="BM665" s="323">
        <f t="shared" si="604"/>
        <v>-18.921792870890012</v>
      </c>
      <c r="BN665" s="323">
        <f t="shared" si="604"/>
        <v>-20.576883720479998</v>
      </c>
      <c r="BO665" s="323">
        <f t="shared" si="604"/>
        <v>-90.982933919999994</v>
      </c>
      <c r="BP665" s="323">
        <f t="shared" si="604"/>
        <v>-30.649598585000021</v>
      </c>
      <c r="BQ665" s="323">
        <f t="shared" ref="BQ665:DN665" si="605">BQ658+BQ661</f>
        <v>-38.730459059850006</v>
      </c>
      <c r="BR665" s="323">
        <f t="shared" si="605"/>
        <v>-112.03259172558001</v>
      </c>
      <c r="BS665" s="323">
        <f t="shared" si="605"/>
        <v>11.670800000000014</v>
      </c>
      <c r="BT665" s="323">
        <f t="shared" si="605"/>
        <v>-21.17329999999999</v>
      </c>
      <c r="BU665" s="323">
        <f t="shared" si="605"/>
        <v>-96.005099999999999</v>
      </c>
      <c r="BV665" s="323">
        <f t="shared" si="605"/>
        <v>-54.264272142367645</v>
      </c>
      <c r="BW665" s="323">
        <f t="shared" si="605"/>
        <v>-23.403320504341181</v>
      </c>
      <c r="BX665" s="323">
        <f t="shared" si="605"/>
        <v>28.712918160505176</v>
      </c>
      <c r="BY665" s="323">
        <f t="shared" si="605"/>
        <v>-27.046293615118032</v>
      </c>
      <c r="BZ665" s="323">
        <f t="shared" si="605"/>
        <v>-27.610120997842124</v>
      </c>
      <c r="CA665" s="323">
        <f t="shared" si="605"/>
        <v>28.914320175343413</v>
      </c>
      <c r="CB665" s="323">
        <f t="shared" si="605"/>
        <v>-73.642175424903485</v>
      </c>
      <c r="CC665" s="323">
        <f t="shared" si="605"/>
        <v>-146.71936144099058</v>
      </c>
      <c r="CD665" s="323">
        <f t="shared" si="605"/>
        <v>22.732394966439301</v>
      </c>
      <c r="CE665" s="324">
        <f t="shared" si="605"/>
        <v>10.892351636717891</v>
      </c>
      <c r="CF665" s="323">
        <f t="shared" si="605"/>
        <v>-57.573617776985571</v>
      </c>
      <c r="CG665" s="323">
        <f t="shared" si="605"/>
        <v>-38.354860378657577</v>
      </c>
      <c r="CH665" s="323">
        <f t="shared" si="605"/>
        <v>-87.171016012574512</v>
      </c>
      <c r="CI665" s="323">
        <f t="shared" si="605"/>
        <v>-58.01843638527243</v>
      </c>
      <c r="CJ665" s="323">
        <f t="shared" si="605"/>
        <v>-46.766814865974659</v>
      </c>
      <c r="CK665" s="323">
        <f t="shared" si="605"/>
        <v>-58.62108982305179</v>
      </c>
      <c r="CL665" s="323">
        <f t="shared" si="605"/>
        <v>-33.182540783947807</v>
      </c>
      <c r="CM665" s="323">
        <f t="shared" si="605"/>
        <v>-29.232427811557436</v>
      </c>
      <c r="CN665" s="323">
        <f t="shared" si="605"/>
        <v>-113.09671812765787</v>
      </c>
      <c r="CO665" s="323">
        <f t="shared" si="605"/>
        <v>-81.870786706746088</v>
      </c>
      <c r="CP665" s="325">
        <f t="shared" si="605"/>
        <v>-89.846367805859217</v>
      </c>
      <c r="CQ665" s="323">
        <f t="shared" si="605"/>
        <v>-22.370184308784431</v>
      </c>
      <c r="CR665" s="323">
        <f t="shared" si="605"/>
        <v>-49.253376166400464</v>
      </c>
      <c r="CS665" s="323">
        <f t="shared" si="605"/>
        <v>-76.718928743282333</v>
      </c>
      <c r="CT665" s="323">
        <f t="shared" si="605"/>
        <v>-69.50902048268216</v>
      </c>
      <c r="CU665" s="323">
        <f t="shared" si="605"/>
        <v>-49.122359615101871</v>
      </c>
      <c r="CV665" s="323">
        <f t="shared" si="605"/>
        <v>-54.556095206857151</v>
      </c>
      <c r="CW665" s="323">
        <f t="shared" si="605"/>
        <v>-59.107198454751028</v>
      </c>
      <c r="CX665" s="323">
        <f t="shared" si="605"/>
        <v>-29.500578156396315</v>
      </c>
      <c r="CY665" s="323">
        <f t="shared" si="605"/>
        <v>-78.481747664968594</v>
      </c>
      <c r="CZ665" s="323">
        <f t="shared" si="605"/>
        <v>-87.549618698493461</v>
      </c>
      <c r="DA665" s="323">
        <f t="shared" si="605"/>
        <v>-87.369028560687767</v>
      </c>
      <c r="DB665" s="1269">
        <f t="shared" si="605"/>
        <v>-86.283831984638127</v>
      </c>
      <c r="DC665" s="323">
        <f t="shared" si="605"/>
        <v>-11.357029747489555</v>
      </c>
      <c r="DD665" s="323">
        <f t="shared" si="605"/>
        <v>-58.69188221387752</v>
      </c>
      <c r="DE665" s="323">
        <f t="shared" si="605"/>
        <v>-61.173706314276956</v>
      </c>
      <c r="DF665" s="323">
        <f t="shared" si="605"/>
        <v>-83.958646999419344</v>
      </c>
      <c r="DG665" s="323">
        <f t="shared" si="605"/>
        <v>-35.848467227227864</v>
      </c>
      <c r="DH665" s="323">
        <f t="shared" si="605"/>
        <v>-87.540327139491595</v>
      </c>
      <c r="DI665" s="323">
        <f t="shared" si="605"/>
        <v>-80.941910259060649</v>
      </c>
      <c r="DJ665" s="323">
        <f t="shared" si="605"/>
        <v>-55.571805079972748</v>
      </c>
      <c r="DK665" s="323">
        <f t="shared" si="605"/>
        <v>-16.714431517244346</v>
      </c>
      <c r="DL665" s="323">
        <f t="shared" si="605"/>
        <v>-100.25396695875928</v>
      </c>
      <c r="DM665" s="323">
        <f t="shared" si="605"/>
        <v>-48.403263545514946</v>
      </c>
      <c r="DN665" s="325">
        <f t="shared" si="605"/>
        <v>-86.209593405794664</v>
      </c>
      <c r="DO665" s="323">
        <f t="shared" ref="DO665:DT665" si="606">DO658+DO661</f>
        <v>-52.570119651799864</v>
      </c>
      <c r="DP665" s="323">
        <f t="shared" si="606"/>
        <v>-4.3542515225742449</v>
      </c>
      <c r="DQ665" s="323">
        <f t="shared" si="606"/>
        <v>-39.664556914486987</v>
      </c>
      <c r="DR665" s="323">
        <f t="shared" si="606"/>
        <v>-83.035090803369968</v>
      </c>
      <c r="DS665" s="323">
        <f t="shared" si="606"/>
        <v>-53.660400757633845</v>
      </c>
      <c r="DT665" s="323">
        <f t="shared" si="606"/>
        <v>-106.63052712786863</v>
      </c>
      <c r="DU665" s="323">
        <f t="shared" ref="DU665:DZ665" si="607">DU658+DU661</f>
        <v>-53.467777768919575</v>
      </c>
      <c r="DV665" s="323">
        <f t="shared" si="607"/>
        <v>-33.245469236607306</v>
      </c>
      <c r="DW665" s="323">
        <f t="shared" si="607"/>
        <v>-32.719158717880539</v>
      </c>
      <c r="DX665" s="323">
        <f t="shared" si="607"/>
        <v>-58.879639882356543</v>
      </c>
      <c r="DY665" s="323">
        <f t="shared" si="607"/>
        <v>-59.082491101165722</v>
      </c>
      <c r="DZ665" s="325">
        <f t="shared" si="607"/>
        <v>-93.72748055908113</v>
      </c>
      <c r="EA665" s="323">
        <f t="shared" ref="EA665:EK665" si="608">EA658+EA661</f>
        <v>-33.070508233879615</v>
      </c>
      <c r="EB665" s="323">
        <f t="shared" si="608"/>
        <v>-70.269113827762339</v>
      </c>
      <c r="EC665" s="323">
        <f t="shared" si="608"/>
        <v>-61.048133200314993</v>
      </c>
      <c r="ED665" s="323">
        <f t="shared" si="608"/>
        <v>-102.65665745604835</v>
      </c>
      <c r="EE665" s="323">
        <f t="shared" si="608"/>
        <v>-69.744651690624593</v>
      </c>
      <c r="EF665" s="323">
        <f t="shared" si="608"/>
        <v>-107.3026122345869</v>
      </c>
      <c r="EG665" s="323">
        <f t="shared" si="608"/>
        <v>-84.940058326300317</v>
      </c>
      <c r="EH665" s="323">
        <f t="shared" si="608"/>
        <v>-41.317824734740199</v>
      </c>
      <c r="EI665" s="323">
        <f t="shared" si="608"/>
        <v>-71.171881278666049</v>
      </c>
      <c r="EJ665" s="323">
        <f t="shared" si="608"/>
        <v>-28.481626616405741</v>
      </c>
      <c r="EK665" s="323">
        <f t="shared" si="608"/>
        <v>-91.154267772692791</v>
      </c>
      <c r="EL665" s="325">
        <f t="shared" ref="EL665:ER665" si="609">EL658+EL661</f>
        <v>-114.42613098912516</v>
      </c>
      <c r="EM665" s="323">
        <f t="shared" si="609"/>
        <v>-51.427510089797792</v>
      </c>
      <c r="EN665" s="323">
        <f t="shared" si="609"/>
        <v>-38.477486146770829</v>
      </c>
      <c r="EO665" s="323">
        <f t="shared" si="609"/>
        <v>-72.279595865715308</v>
      </c>
      <c r="EP665" s="323">
        <f t="shared" si="609"/>
        <v>-83.775115088850072</v>
      </c>
      <c r="EQ665" s="323">
        <f t="shared" si="609"/>
        <v>-30.560165204312256</v>
      </c>
      <c r="ER665" s="323">
        <f t="shared" si="609"/>
        <v>-188.54067118284365</v>
      </c>
      <c r="ES665" s="323">
        <f t="shared" ref="ES665:EX665" si="610">ES658+ES661</f>
        <v>-130.08983381266083</v>
      </c>
      <c r="ET665" s="323">
        <f t="shared" si="610"/>
        <v>-74.735436066661478</v>
      </c>
      <c r="EU665" s="323">
        <f t="shared" si="610"/>
        <v>-66.182017268127765</v>
      </c>
      <c r="EV665" s="323">
        <f t="shared" si="610"/>
        <v>-80.615755136199269</v>
      </c>
      <c r="EW665" s="323">
        <f t="shared" si="610"/>
        <v>-26.292851323885571</v>
      </c>
      <c r="EX665" s="325">
        <f t="shared" si="610"/>
        <v>-194.36360097379014</v>
      </c>
      <c r="EY665" s="323"/>
      <c r="EZ665" s="323"/>
      <c r="FA665" s="323"/>
      <c r="FB665" s="323"/>
      <c r="FC665" s="323"/>
      <c r="FD665" s="323"/>
      <c r="FE665" s="323"/>
      <c r="FF665" s="323"/>
      <c r="FG665" s="323"/>
      <c r="FH665" s="323"/>
      <c r="FI665" s="323"/>
      <c r="FJ665" s="325"/>
      <c r="FK665" s="323"/>
      <c r="FL665" s="323"/>
      <c r="FM665" s="323"/>
      <c r="FN665" s="323"/>
      <c r="FO665" s="323"/>
      <c r="FP665" s="323"/>
      <c r="FQ665" s="323"/>
      <c r="FR665" s="323"/>
      <c r="FS665" s="323"/>
      <c r="FT665" s="323"/>
      <c r="FU665" s="323"/>
      <c r="FV665" s="323"/>
      <c r="FW665" s="323"/>
      <c r="FX665" s="323"/>
      <c r="FY665" s="323"/>
      <c r="FZ665" s="323"/>
      <c r="GA665" s="323"/>
      <c r="GB665" s="323"/>
      <c r="GC665" s="323"/>
      <c r="GD665" s="323"/>
      <c r="GE665" s="323"/>
      <c r="GF665" s="323"/>
      <c r="GG665" s="323"/>
      <c r="GH665" s="323"/>
      <c r="GI665" s="323"/>
      <c r="GJ665" s="323"/>
      <c r="GK665" s="323"/>
      <c r="GL665" s="323"/>
      <c r="GM665" s="323"/>
      <c r="GN665" s="323"/>
      <c r="GO665" s="323"/>
      <c r="GP665" s="323"/>
      <c r="GQ665" s="323"/>
      <c r="GR665" s="323"/>
      <c r="GS665" s="323"/>
      <c r="GT665" s="323"/>
      <c r="GU665" s="323"/>
      <c r="GV665" s="323"/>
      <c r="GW665" s="323"/>
      <c r="GX665" s="323"/>
      <c r="GY665" s="323"/>
      <c r="GZ665" s="323"/>
      <c r="HA665" s="323"/>
      <c r="HB665" s="323"/>
      <c r="HC665" s="323"/>
      <c r="HD665" s="323"/>
      <c r="HE665" s="323"/>
      <c r="HF665" s="323"/>
      <c r="HG665" s="323"/>
      <c r="HH665" s="323"/>
      <c r="HI665" s="323"/>
      <c r="HJ665" s="323"/>
      <c r="HK665" s="323"/>
      <c r="HL665" s="323"/>
      <c r="HM665" s="323"/>
      <c r="HN665" s="323"/>
      <c r="HO665" s="323"/>
      <c r="HP665" s="323"/>
      <c r="HQ665" s="323"/>
      <c r="HR665" s="323"/>
      <c r="HS665" s="323"/>
      <c r="HT665" s="323"/>
      <c r="HU665" s="323"/>
      <c r="HV665" s="323"/>
      <c r="HW665" s="323"/>
      <c r="HX665" s="323"/>
      <c r="HY665" s="323"/>
      <c r="HZ665" s="326"/>
      <c r="IA665" s="328" t="s">
        <v>157</v>
      </c>
      <c r="IB665" s="328"/>
      <c r="IC665" s="328"/>
      <c r="ID665" s="323">
        <f>+FISC!Z877</f>
        <v>-712.97319804200015</v>
      </c>
      <c r="IE665" s="279">
        <f t="shared" ref="IE665:IL665" si="611">IE658+IE661</f>
        <v>-298.52996452310845</v>
      </c>
      <c r="IF665" s="279">
        <f t="shared" si="611"/>
        <v>-428.29200351993529</v>
      </c>
      <c r="IG665" s="323">
        <f t="shared" si="611"/>
        <v>-726.82196804304363</v>
      </c>
      <c r="IH665" s="279">
        <f t="shared" si="611"/>
        <v>-338.57005964178268</v>
      </c>
      <c r="II665" s="279">
        <f t="shared" si="611"/>
        <v>-388.09497076634659</v>
      </c>
      <c r="IJ665" s="323">
        <f t="shared" si="611"/>
        <v>-726.66503040812927</v>
      </c>
      <c r="IK665" s="279">
        <f t="shared" si="611"/>
        <v>-339.91494677773358</v>
      </c>
      <c r="IL665" s="279">
        <f t="shared" si="611"/>
        <v>-331.12201726601074</v>
      </c>
      <c r="IM665" s="323">
        <f t="shared" si="503"/>
        <v>-671.03696404374432</v>
      </c>
      <c r="IN665" s="279">
        <f>IN658+IN661</f>
        <v>-327.25999856657069</v>
      </c>
      <c r="IO665" s="279">
        <f>IO658+IO661</f>
        <v>-423.8372586871439</v>
      </c>
      <c r="IP665" s="323">
        <f>FISC!AC877</f>
        <v>-751.0972572537147</v>
      </c>
      <c r="IQ665" s="279">
        <f>SUM(EM665:ER665)</f>
        <v>-465.06054357828992</v>
      </c>
      <c r="IR665" s="279">
        <f>SUM(ES665:EX665)</f>
        <v>-572.27949458132503</v>
      </c>
      <c r="IS665" s="323">
        <f t="shared" si="590"/>
        <v>-1037.340038159615</v>
      </c>
      <c r="IT665" s="279" t="e">
        <f>IT658+IT661</f>
        <v>#REF!</v>
      </c>
      <c r="IU665" s="454" t="e">
        <f>IU658+IU661</f>
        <v>#REF!</v>
      </c>
      <c r="IV665" s="323">
        <f>+FISC!AE877</f>
        <v>-1658.2794113359816</v>
      </c>
      <c r="IW665" s="279" t="e">
        <f>IW658+IW661</f>
        <v>#REF!</v>
      </c>
      <c r="IX665" s="279" t="e">
        <f t="shared" si="486"/>
        <v>#REF!</v>
      </c>
      <c r="IY665" s="323">
        <f>+FISC!AF877</f>
        <v>-1466.2817078287753</v>
      </c>
      <c r="IZ665" s="279" t="e">
        <f>IZ658+IZ661</f>
        <v>#REF!</v>
      </c>
      <c r="JA665" s="279" t="e">
        <f t="shared" si="540"/>
        <v>#REF!</v>
      </c>
      <c r="JB665" s="323">
        <f>+FISC!AG877</f>
        <v>5171.0836502777038</v>
      </c>
      <c r="JC665" s="279">
        <f>JC658+JC661</f>
        <v>4191.8952217778278</v>
      </c>
      <c r="JD665" s="279">
        <f t="shared" si="487"/>
        <v>5051.7674964328144</v>
      </c>
      <c r="JE665" s="323">
        <f>+FISC!AH877</f>
        <v>9243.6627182106422</v>
      </c>
      <c r="JF665" s="279">
        <f>JF658+JF661</f>
        <v>5464.103202475455</v>
      </c>
      <c r="JG665" s="279">
        <f t="shared" si="488"/>
        <v>5644.7225809554384</v>
      </c>
      <c r="JH665" s="323">
        <f>+FISC!AI877</f>
        <v>11108.825783430893</v>
      </c>
      <c r="JI665" s="279">
        <f>JI658+JI661</f>
        <v>-2184.3330647490125</v>
      </c>
      <c r="JJ665" s="279">
        <f t="shared" si="489"/>
        <v>-2710.2690891876168</v>
      </c>
      <c r="JK665" s="323">
        <f>+FISC!AJ877</f>
        <v>-4894.6021539366293</v>
      </c>
      <c r="JL665" s="279">
        <f>JL658+JL661</f>
        <v>-811.08336896435458</v>
      </c>
      <c r="JM665" s="279">
        <f t="shared" si="490"/>
        <v>811.08336896435458</v>
      </c>
      <c r="JN665" s="323">
        <f>+FISC!AK877</f>
        <v>0</v>
      </c>
      <c r="JO665" s="323"/>
      <c r="KU665" s="326"/>
      <c r="KV665" s="327"/>
      <c r="KY665" s="279">
        <f>KY658+KY661</f>
        <v>0</v>
      </c>
      <c r="KZ665" s="279">
        <f>KZ658+KZ661</f>
        <v>0</v>
      </c>
      <c r="LA665" s="279">
        <f>LA658+LA661</f>
        <v>0</v>
      </c>
      <c r="LB665" s="279">
        <f>LB658+LB661</f>
        <v>0</v>
      </c>
    </row>
    <row r="666" spans="1:314" hidden="1">
      <c r="A666" s="279"/>
      <c r="D666" s="328"/>
      <c r="E666" s="323"/>
      <c r="F666" s="323"/>
      <c r="G666" s="323"/>
      <c r="H666" s="323"/>
      <c r="I666" s="323"/>
      <c r="J666" s="323"/>
      <c r="K666" s="323"/>
      <c r="L666" s="323"/>
      <c r="M666" s="323"/>
      <c r="N666" s="323"/>
      <c r="O666" s="323"/>
      <c r="P666" s="323"/>
      <c r="Q666" s="323"/>
      <c r="R666" s="323"/>
      <c r="S666" s="323"/>
      <c r="T666" s="323"/>
      <c r="U666" s="323"/>
      <c r="V666" s="323"/>
      <c r="W666" s="323"/>
      <c r="X666" s="323"/>
      <c r="Y666" s="323"/>
      <c r="Z666" s="323"/>
      <c r="AA666" s="323"/>
      <c r="AB666" s="323"/>
      <c r="AC666" s="323"/>
      <c r="AD666" s="323"/>
      <c r="AE666" s="323"/>
      <c r="AF666" s="323"/>
      <c r="AG666" s="323"/>
      <c r="AH666" s="323"/>
      <c r="AI666" s="323"/>
      <c r="AJ666" s="323"/>
      <c r="AK666" s="323"/>
      <c r="AL666" s="323"/>
      <c r="AM666" s="323"/>
      <c r="AN666" s="323"/>
      <c r="AO666" s="323"/>
      <c r="AP666" s="323"/>
      <c r="AQ666" s="323"/>
      <c r="AR666" s="323"/>
      <c r="AS666" s="323"/>
      <c r="AT666" s="323"/>
      <c r="AU666" s="323"/>
      <c r="AV666" s="323"/>
      <c r="AW666" s="323"/>
      <c r="AX666" s="323"/>
      <c r="AY666" s="323"/>
      <c r="AZ666" s="323"/>
      <c r="BA666" s="323"/>
      <c r="BB666" s="323"/>
      <c r="BC666" s="323"/>
      <c r="BD666" s="323"/>
      <c r="BE666" s="323"/>
      <c r="BF666" s="323"/>
      <c r="BG666" s="323"/>
      <c r="BH666" s="323"/>
      <c r="BI666" s="323"/>
      <c r="BJ666" s="323"/>
      <c r="BK666" s="323"/>
      <c r="BL666" s="323"/>
      <c r="BM666" s="323"/>
      <c r="BN666" s="323"/>
      <c r="BO666" s="323"/>
      <c r="BP666" s="323"/>
      <c r="BQ666" s="323"/>
      <c r="BR666" s="323"/>
      <c r="BS666" s="323"/>
      <c r="BT666" s="323"/>
      <c r="BU666" s="323"/>
      <c r="BV666" s="323"/>
      <c r="BW666" s="323"/>
      <c r="BX666" s="323"/>
      <c r="BY666" s="323"/>
      <c r="BZ666" s="323"/>
      <c r="CA666" s="323"/>
      <c r="CB666" s="323"/>
      <c r="CC666" s="323"/>
      <c r="CD666" s="323"/>
      <c r="CE666" s="324"/>
      <c r="CF666" s="323"/>
      <c r="CG666" s="323"/>
      <c r="CH666" s="323"/>
      <c r="CI666" s="323"/>
      <c r="CJ666" s="323"/>
      <c r="CK666" s="323"/>
      <c r="CL666" s="323"/>
      <c r="CM666" s="323"/>
      <c r="CN666" s="323"/>
      <c r="CO666" s="323"/>
      <c r="CP666" s="325"/>
      <c r="CQ666" s="323"/>
      <c r="CR666" s="323"/>
      <c r="CS666" s="323"/>
      <c r="CT666" s="323"/>
      <c r="CU666" s="323"/>
      <c r="CV666" s="323"/>
      <c r="CW666" s="323"/>
      <c r="CX666" s="323"/>
      <c r="CY666" s="323"/>
      <c r="CZ666" s="323"/>
      <c r="DA666" s="323"/>
      <c r="DB666" s="1269"/>
      <c r="DC666" s="323"/>
      <c r="DD666" s="323"/>
      <c r="DE666" s="323"/>
      <c r="DF666" s="323"/>
      <c r="DG666" s="323"/>
      <c r="DH666" s="323"/>
      <c r="DI666" s="323"/>
      <c r="DJ666" s="323"/>
      <c r="DK666" s="323"/>
      <c r="DL666" s="323"/>
      <c r="DM666" s="323"/>
      <c r="DN666" s="325"/>
      <c r="DO666" s="323"/>
      <c r="DP666" s="323"/>
      <c r="DQ666" s="323"/>
      <c r="DR666" s="323"/>
      <c r="DS666" s="323"/>
      <c r="DT666" s="323"/>
      <c r="DU666" s="323"/>
      <c r="DV666" s="323"/>
      <c r="DW666" s="323"/>
      <c r="DX666" s="323"/>
      <c r="DY666" s="323"/>
      <c r="DZ666" s="325"/>
      <c r="EA666" s="323"/>
      <c r="EB666" s="323"/>
      <c r="EC666" s="323"/>
      <c r="ED666" s="323"/>
      <c r="EE666" s="323"/>
      <c r="EF666" s="323"/>
      <c r="EG666" s="323"/>
      <c r="EH666" s="323"/>
      <c r="EI666" s="323"/>
      <c r="EJ666" s="323"/>
      <c r="EK666" s="323"/>
      <c r="EL666" s="325"/>
      <c r="EM666" s="323"/>
      <c r="EN666" s="323"/>
      <c r="EO666" s="323"/>
      <c r="EP666" s="323"/>
      <c r="EQ666" s="323"/>
      <c r="ER666" s="323"/>
      <c r="ES666" s="323"/>
      <c r="ET666" s="323"/>
      <c r="EU666" s="323"/>
      <c r="EV666" s="323"/>
      <c r="EW666" s="323"/>
      <c r="EX666" s="325"/>
      <c r="EY666" s="323"/>
      <c r="EZ666" s="323"/>
      <c r="FA666" s="323"/>
      <c r="FB666" s="323"/>
      <c r="FC666" s="323"/>
      <c r="FD666" s="323"/>
      <c r="FE666" s="323"/>
      <c r="FF666" s="323"/>
      <c r="FG666" s="323"/>
      <c r="FH666" s="323"/>
      <c r="FI666" s="323"/>
      <c r="FJ666" s="325"/>
      <c r="FK666" s="323"/>
      <c r="FL666" s="323"/>
      <c r="FM666" s="323"/>
      <c r="FN666" s="323"/>
      <c r="FO666" s="323"/>
      <c r="FP666" s="323"/>
      <c r="FQ666" s="323"/>
      <c r="FR666" s="323"/>
      <c r="FS666" s="323"/>
      <c r="FT666" s="323"/>
      <c r="FU666" s="323"/>
      <c r="FV666" s="323"/>
      <c r="FW666" s="323"/>
      <c r="FX666" s="323"/>
      <c r="FY666" s="323"/>
      <c r="FZ666" s="323"/>
      <c r="GA666" s="323"/>
      <c r="GB666" s="323"/>
      <c r="GC666" s="323"/>
      <c r="GD666" s="323"/>
      <c r="GE666" s="323"/>
      <c r="GF666" s="323"/>
      <c r="GG666" s="323"/>
      <c r="GH666" s="323"/>
      <c r="GI666" s="323"/>
      <c r="GJ666" s="323"/>
      <c r="GK666" s="323"/>
      <c r="GL666" s="323"/>
      <c r="GM666" s="323"/>
      <c r="GN666" s="323"/>
      <c r="GO666" s="323"/>
      <c r="GP666" s="323"/>
      <c r="GQ666" s="323"/>
      <c r="GR666" s="323"/>
      <c r="GS666" s="323"/>
      <c r="GT666" s="323"/>
      <c r="GU666" s="323"/>
      <c r="GV666" s="323"/>
      <c r="GW666" s="323"/>
      <c r="GX666" s="323"/>
      <c r="GY666" s="323"/>
      <c r="GZ666" s="323"/>
      <c r="HA666" s="323"/>
      <c r="HB666" s="323"/>
      <c r="HC666" s="323"/>
      <c r="HD666" s="323"/>
      <c r="HE666" s="323"/>
      <c r="HF666" s="323"/>
      <c r="HG666" s="323"/>
      <c r="HH666" s="323"/>
      <c r="HI666" s="323"/>
      <c r="HJ666" s="323"/>
      <c r="HK666" s="323"/>
      <c r="HL666" s="323"/>
      <c r="HM666" s="323"/>
      <c r="HN666" s="323"/>
      <c r="HO666" s="323"/>
      <c r="HP666" s="323"/>
      <c r="HQ666" s="323"/>
      <c r="HR666" s="323"/>
      <c r="HS666" s="323"/>
      <c r="HT666" s="323"/>
      <c r="HU666" s="323"/>
      <c r="HV666" s="323"/>
      <c r="HW666" s="323"/>
      <c r="HX666" s="323"/>
      <c r="HY666" s="323"/>
      <c r="HZ666" s="326"/>
      <c r="IA666" s="328"/>
      <c r="IB666" s="328"/>
      <c r="IC666" s="328"/>
      <c r="ID666" s="323">
        <f>+FISC!Z878</f>
        <v>0</v>
      </c>
      <c r="IG666" s="323"/>
      <c r="IJ666" s="323"/>
      <c r="IM666" s="323"/>
      <c r="IO666" s="327"/>
      <c r="IP666" s="323"/>
      <c r="IS666" s="323"/>
      <c r="IT666" s="327"/>
      <c r="IU666" s="327"/>
      <c r="IV666" s="323">
        <f>+FISC!AE878</f>
        <v>0</v>
      </c>
      <c r="IW666" s="279">
        <f>IY666*JU666</f>
        <v>0</v>
      </c>
      <c r="IX666" s="279">
        <f t="shared" si="486"/>
        <v>0</v>
      </c>
      <c r="IY666" s="323">
        <f>+FISC!AF878</f>
        <v>0</v>
      </c>
      <c r="IZ666" s="279">
        <f t="shared" si="498"/>
        <v>0</v>
      </c>
      <c r="JA666" s="279">
        <f t="shared" si="540"/>
        <v>0</v>
      </c>
      <c r="JB666" s="323">
        <f>+FISC!AG878</f>
        <v>0</v>
      </c>
      <c r="JC666" s="279">
        <f t="shared" si="499"/>
        <v>0</v>
      </c>
      <c r="JD666" s="279">
        <f t="shared" si="487"/>
        <v>0</v>
      </c>
      <c r="JE666" s="323">
        <f>+FISC!AH878</f>
        <v>0</v>
      </c>
      <c r="JF666" s="279">
        <f t="shared" si="500"/>
        <v>0</v>
      </c>
      <c r="JG666" s="279">
        <f t="shared" si="488"/>
        <v>0</v>
      </c>
      <c r="JH666" s="323">
        <f>+FISC!AI878</f>
        <v>0</v>
      </c>
      <c r="JI666" s="279">
        <f t="shared" si="501"/>
        <v>0</v>
      </c>
      <c r="JJ666" s="279">
        <f t="shared" si="489"/>
        <v>0</v>
      </c>
      <c r="JK666" s="323">
        <f>+FISC!AJ878</f>
        <v>0</v>
      </c>
      <c r="JL666" s="279">
        <f t="shared" si="502"/>
        <v>0</v>
      </c>
      <c r="JM666" s="279">
        <f t="shared" si="490"/>
        <v>0</v>
      </c>
      <c r="JN666" s="323">
        <f>+FISC!AK878</f>
        <v>0</v>
      </c>
      <c r="JO666" s="323"/>
      <c r="KU666" s="326"/>
      <c r="KV666" s="327"/>
    </row>
    <row r="667" spans="1:314" hidden="1">
      <c r="A667" s="279"/>
      <c r="B667" s="96" t="s">
        <v>338</v>
      </c>
      <c r="D667" s="322" t="str">
        <f>+FISC!D879</f>
        <v>Financing</v>
      </c>
      <c r="E667" s="323">
        <f t="shared" ref="E667:BP667" si="612">-E664</f>
        <v>2.8905248749041235</v>
      </c>
      <c r="F667" s="323">
        <f t="shared" si="612"/>
        <v>9.2662870787199978</v>
      </c>
      <c r="G667" s="323">
        <f t="shared" si="612"/>
        <v>21.914282177032497</v>
      </c>
      <c r="H667" s="323">
        <f t="shared" si="612"/>
        <v>5.9711837731282724</v>
      </c>
      <c r="I667" s="323">
        <f t="shared" si="612"/>
        <v>-18.141896618102002</v>
      </c>
      <c r="J667" s="323">
        <f t="shared" si="612"/>
        <v>-44.969706188274117</v>
      </c>
      <c r="K667" s="323">
        <f t="shared" si="612"/>
        <v>14.536695140326309</v>
      </c>
      <c r="L667" s="323">
        <f t="shared" si="612"/>
        <v>4.9226736018496027</v>
      </c>
      <c r="M667" s="323">
        <f t="shared" si="612"/>
        <v>25.195262831884001</v>
      </c>
      <c r="N667" s="323">
        <f t="shared" si="612"/>
        <v>11.605301761740007</v>
      </c>
      <c r="O667" s="323">
        <f t="shared" si="612"/>
        <v>5.5630141200999947</v>
      </c>
      <c r="P667" s="323">
        <f t="shared" si="612"/>
        <v>0.30726643007999854</v>
      </c>
      <c r="Q667" s="323">
        <f t="shared" si="612"/>
        <v>-4.4744952606083945</v>
      </c>
      <c r="R667" s="323">
        <f t="shared" si="612"/>
        <v>14.044022172342702</v>
      </c>
      <c r="S667" s="323">
        <f t="shared" si="612"/>
        <v>-28.116088515274988</v>
      </c>
      <c r="T667" s="323">
        <f t="shared" si="612"/>
        <v>25.834328408264</v>
      </c>
      <c r="U667" s="323">
        <f t="shared" si="612"/>
        <v>-17.091404588344506</v>
      </c>
      <c r="V667" s="323">
        <f t="shared" si="612"/>
        <v>-34.327745121608004</v>
      </c>
      <c r="W667" s="323">
        <f t="shared" si="612"/>
        <v>18.315702368349999</v>
      </c>
      <c r="X667" s="323">
        <f t="shared" si="612"/>
        <v>6.6605162444080044</v>
      </c>
      <c r="Y667" s="323">
        <f t="shared" si="612"/>
        <v>13.222714064604808</v>
      </c>
      <c r="Z667" s="323">
        <f t="shared" si="612"/>
        <v>16.339980834573389</v>
      </c>
      <c r="AA667" s="323">
        <f t="shared" si="612"/>
        <v>25.516383422789403</v>
      </c>
      <c r="AB667" s="323">
        <f t="shared" si="612"/>
        <v>-38.912006468292994</v>
      </c>
      <c r="AC667" s="323">
        <f t="shared" si="612"/>
        <v>20.823433762000001</v>
      </c>
      <c r="AD667" s="323">
        <f t="shared" si="612"/>
        <v>-0.17788372700000232</v>
      </c>
      <c r="AE667" s="323">
        <f t="shared" si="612"/>
        <v>35.522833658000003</v>
      </c>
      <c r="AF667" s="323">
        <f t="shared" si="612"/>
        <v>-16.471097364999999</v>
      </c>
      <c r="AG667" s="323">
        <f t="shared" si="612"/>
        <v>11.312669280999996</v>
      </c>
      <c r="AH667" s="323">
        <f t="shared" si="612"/>
        <v>-33.495558960999972</v>
      </c>
      <c r="AI667" s="323">
        <f t="shared" si="612"/>
        <v>-9.6035356999999948</v>
      </c>
      <c r="AJ667" s="323">
        <f t="shared" si="612"/>
        <v>25.479925335999994</v>
      </c>
      <c r="AK667" s="323">
        <f t="shared" si="612"/>
        <v>-8.2951844279999829</v>
      </c>
      <c r="AL667" s="323">
        <f t="shared" si="612"/>
        <v>-18.325264832999999</v>
      </c>
      <c r="AM667" s="323">
        <f t="shared" si="612"/>
        <v>25.604472352000009</v>
      </c>
      <c r="AN667" s="323">
        <f t="shared" si="612"/>
        <v>6.2050373570000144</v>
      </c>
      <c r="AO667" s="323">
        <f t="shared" si="612"/>
        <v>-6.7539305167400059</v>
      </c>
      <c r="AP667" s="323">
        <f t="shared" si="612"/>
        <v>9.6767797020600099</v>
      </c>
      <c r="AQ667" s="323">
        <f t="shared" si="612"/>
        <v>9.4503527713272408</v>
      </c>
      <c r="AR667" s="323">
        <f t="shared" si="612"/>
        <v>16.097627978120006</v>
      </c>
      <c r="AS667" s="323">
        <f t="shared" si="612"/>
        <v>7.561540453347984</v>
      </c>
      <c r="AT667" s="323">
        <f t="shared" si="612"/>
        <v>-36.035087890934399</v>
      </c>
      <c r="AU667" s="323">
        <f t="shared" si="612"/>
        <v>8.3802143252400008</v>
      </c>
      <c r="AV667" s="323">
        <f t="shared" si="612"/>
        <v>35.297755937880012</v>
      </c>
      <c r="AW667" s="323">
        <f t="shared" si="612"/>
        <v>-34.137960797449999</v>
      </c>
      <c r="AX667" s="323">
        <f t="shared" si="612"/>
        <v>30.747768710079988</v>
      </c>
      <c r="AY667" s="323">
        <f t="shared" si="612"/>
        <v>6.6192430229007897</v>
      </c>
      <c r="AZ667" s="323">
        <f t="shared" si="612"/>
        <v>-29.749638675632497</v>
      </c>
      <c r="BA667" s="323">
        <f t="shared" si="612"/>
        <v>-3.5105459550000084</v>
      </c>
      <c r="BB667" s="323">
        <f t="shared" si="612"/>
        <v>7.8065772179999984</v>
      </c>
      <c r="BC667" s="323">
        <f t="shared" si="612"/>
        <v>56.295423991000014</v>
      </c>
      <c r="BD667" s="323">
        <f t="shared" si="612"/>
        <v>-36.055197685759985</v>
      </c>
      <c r="BE667" s="323">
        <f t="shared" si="612"/>
        <v>50.927509479769995</v>
      </c>
      <c r="BF667" s="323">
        <f t="shared" si="612"/>
        <v>39.478551934000009</v>
      </c>
      <c r="BG667" s="323">
        <f t="shared" si="612"/>
        <v>-24.85355121680001</v>
      </c>
      <c r="BH667" s="323">
        <f t="shared" si="612"/>
        <v>-36.915925751200014</v>
      </c>
      <c r="BI667" s="323">
        <f t="shared" si="612"/>
        <v>-13.178281442900019</v>
      </c>
      <c r="BJ667" s="323">
        <f t="shared" si="612"/>
        <v>-57.343406230180008</v>
      </c>
      <c r="BK667" s="323">
        <f t="shared" si="612"/>
        <v>33.614613657000021</v>
      </c>
      <c r="BL667" s="323">
        <f t="shared" si="612"/>
        <v>-0.32978904600001613</v>
      </c>
      <c r="BM667" s="323">
        <f t="shared" si="612"/>
        <v>16.630474219890015</v>
      </c>
      <c r="BN667" s="323">
        <f t="shared" si="612"/>
        <v>16.463532138479998</v>
      </c>
      <c r="BO667" s="323">
        <f t="shared" si="612"/>
        <v>51.102759898999992</v>
      </c>
      <c r="BP667" s="323">
        <f t="shared" si="612"/>
        <v>30.405109080000031</v>
      </c>
      <c r="BQ667" s="323">
        <f t="shared" ref="BQ667:DN667" si="613">-BQ664</f>
        <v>38.520418634850003</v>
      </c>
      <c r="BR667" s="323">
        <f t="shared" si="613"/>
        <v>12.559368134954248</v>
      </c>
      <c r="BS667" s="323">
        <f t="shared" si="613"/>
        <v>-53.010399451901648</v>
      </c>
      <c r="BT667" s="323">
        <f t="shared" si="613"/>
        <v>6.3093905400688817</v>
      </c>
      <c r="BU667" s="323">
        <f t="shared" si="613"/>
        <v>73.060097323727888</v>
      </c>
      <c r="BV667" s="323">
        <f t="shared" si="613"/>
        <v>5.9118956241095049</v>
      </c>
      <c r="BW667" s="323">
        <f t="shared" si="613"/>
        <v>-18.135569673433722</v>
      </c>
      <c r="BX667" s="323">
        <f t="shared" si="613"/>
        <v>-60.787193092690352</v>
      </c>
      <c r="BY667" s="323">
        <f t="shared" si="613"/>
        <v>27.04576118312729</v>
      </c>
      <c r="BZ667" s="323">
        <f t="shared" si="613"/>
        <v>23.568025528720547</v>
      </c>
      <c r="CA667" s="323">
        <f t="shared" si="613"/>
        <v>-50.831770706868106</v>
      </c>
      <c r="CB667" s="323">
        <f t="shared" si="613"/>
        <v>35.736301905905833</v>
      </c>
      <c r="CC667" s="323">
        <f t="shared" si="613"/>
        <v>96.394358296720782</v>
      </c>
      <c r="CD667" s="323">
        <f t="shared" si="613"/>
        <v>-65.857510147153519</v>
      </c>
      <c r="CE667" s="324">
        <f t="shared" si="613"/>
        <v>-42.611157192623651</v>
      </c>
      <c r="CF667" s="323">
        <f t="shared" si="613"/>
        <v>18.66661570358573</v>
      </c>
      <c r="CG667" s="323">
        <f t="shared" si="613"/>
        <v>-38.008934492160407</v>
      </c>
      <c r="CH667" s="323">
        <f t="shared" si="613"/>
        <v>38.514668769760675</v>
      </c>
      <c r="CI667" s="323">
        <f t="shared" si="613"/>
        <v>21.779386044511419</v>
      </c>
      <c r="CJ667" s="323">
        <f t="shared" si="613"/>
        <v>-16.406120613149277</v>
      </c>
      <c r="CK667" s="323">
        <f t="shared" si="613"/>
        <v>35.801225611789647</v>
      </c>
      <c r="CL667" s="323">
        <f t="shared" si="613"/>
        <v>17.750653984684622</v>
      </c>
      <c r="CM667" s="323">
        <f t="shared" si="613"/>
        <v>13.620505742886285</v>
      </c>
      <c r="CN667" s="323">
        <f t="shared" si="613"/>
        <v>52.591160658578062</v>
      </c>
      <c r="CO667" s="323">
        <f t="shared" si="613"/>
        <v>45.022821633897941</v>
      </c>
      <c r="CP667" s="325">
        <f t="shared" si="613"/>
        <v>58.290945699031653</v>
      </c>
      <c r="CQ667" s="323">
        <f t="shared" si="613"/>
        <v>-12.54387339511824</v>
      </c>
      <c r="CR667" s="323">
        <f t="shared" si="613"/>
        <v>28.557034698486767</v>
      </c>
      <c r="CS667" s="323">
        <f t="shared" si="613"/>
        <v>26.22019570295479</v>
      </c>
      <c r="CT667" s="323">
        <f t="shared" si="613"/>
        <v>41.620826119219437</v>
      </c>
      <c r="CU667" s="323">
        <f t="shared" si="613"/>
        <v>8.5081747794942935</v>
      </c>
      <c r="CV667" s="323">
        <f t="shared" si="613"/>
        <v>-66.044492111503132</v>
      </c>
      <c r="CW667" s="323">
        <f t="shared" si="613"/>
        <v>39.534169576938282</v>
      </c>
      <c r="CX667" s="323">
        <f t="shared" si="613"/>
        <v>8.7001042170547862</v>
      </c>
      <c r="CY667" s="323">
        <f t="shared" si="613"/>
        <v>24.99261879781184</v>
      </c>
      <c r="CZ667" s="323">
        <f t="shared" si="613"/>
        <v>58.727238712045832</v>
      </c>
      <c r="DA667" s="323">
        <f t="shared" si="613"/>
        <v>19.331670033320673</v>
      </c>
      <c r="DB667" s="1269">
        <f t="shared" si="613"/>
        <v>64.517534556705399</v>
      </c>
      <c r="DC667" s="323">
        <f t="shared" si="613"/>
        <v>-21.043180143472206</v>
      </c>
      <c r="DD667" s="323">
        <f t="shared" si="613"/>
        <v>33.453373720394453</v>
      </c>
      <c r="DE667" s="323">
        <f t="shared" si="613"/>
        <v>8.8813135966185968</v>
      </c>
      <c r="DF667" s="323">
        <f t="shared" si="613"/>
        <v>73.050325213549812</v>
      </c>
      <c r="DG667" s="323">
        <f t="shared" si="613"/>
        <v>-33.255613161617653</v>
      </c>
      <c r="DH667" s="323">
        <f t="shared" si="613"/>
        <v>35.079441018669641</v>
      </c>
      <c r="DI667" s="323">
        <f t="shared" si="613"/>
        <v>70.396421912703801</v>
      </c>
      <c r="DJ667" s="323">
        <f t="shared" si="613"/>
        <v>40.962249191481661</v>
      </c>
      <c r="DK667" s="323">
        <f t="shared" si="613"/>
        <v>1.0645758587163643</v>
      </c>
      <c r="DL667" s="323">
        <f t="shared" si="613"/>
        <v>5.2449569493905841</v>
      </c>
      <c r="DM667" s="323">
        <f t="shared" si="613"/>
        <v>28.638692938607534</v>
      </c>
      <c r="DN667" s="325">
        <f t="shared" si="613"/>
        <v>36.321058881903681</v>
      </c>
      <c r="DO667" s="323">
        <f t="shared" ref="DO667:DT667" si="614">+DO669+DO681</f>
        <v>-21.325375196187764</v>
      </c>
      <c r="DP667" s="323">
        <f t="shared" si="614"/>
        <v>29.155063210428587</v>
      </c>
      <c r="DQ667" s="323">
        <f t="shared" si="614"/>
        <v>-12.218061145951339</v>
      </c>
      <c r="DR667" s="323">
        <f t="shared" si="614"/>
        <v>72.328972403040794</v>
      </c>
      <c r="DS667" s="323">
        <f t="shared" si="614"/>
        <v>36.737540294562955</v>
      </c>
      <c r="DT667" s="323">
        <f t="shared" si="614"/>
        <v>36.768730068418087</v>
      </c>
      <c r="DU667" s="323">
        <f t="shared" ref="DU667:DZ667" si="615">+DU669+DU681</f>
        <v>12.125211315510146</v>
      </c>
      <c r="DV667" s="323">
        <f t="shared" si="615"/>
        <v>63.874829682758644</v>
      </c>
      <c r="DW667" s="323">
        <f t="shared" si="615"/>
        <v>2.8679683300332286</v>
      </c>
      <c r="DX667" s="323">
        <f t="shared" si="615"/>
        <v>25.709592050473869</v>
      </c>
      <c r="DY667" s="323">
        <f t="shared" si="615"/>
        <v>83.880716954586859</v>
      </c>
      <c r="DZ667" s="325">
        <f t="shared" si="615"/>
        <v>48.901542297074172</v>
      </c>
      <c r="EA667" s="323">
        <f t="shared" ref="EA667:EJ667" si="616">+EA669+EA681</f>
        <v>17.091724533377391</v>
      </c>
      <c r="EB667" s="323">
        <f t="shared" si="616"/>
        <v>58.2759959628861</v>
      </c>
      <c r="EC667" s="323">
        <f t="shared" si="616"/>
        <v>0.1980211041791442</v>
      </c>
      <c r="ED667" s="323">
        <f t="shared" si="616"/>
        <v>3.6776529054571299</v>
      </c>
      <c r="EE667" s="323">
        <f t="shared" si="616"/>
        <v>116.2071247687157</v>
      </c>
      <c r="EF667" s="323">
        <f t="shared" si="616"/>
        <v>-83.521703127929683</v>
      </c>
      <c r="EG667" s="323">
        <f t="shared" si="616"/>
        <v>177.31433850367151</v>
      </c>
      <c r="EH667" s="323">
        <f t="shared" si="616"/>
        <v>11.980565653477633</v>
      </c>
      <c r="EI667" s="323">
        <f t="shared" si="616"/>
        <v>4.5043525977626349</v>
      </c>
      <c r="EJ667" s="323">
        <f t="shared" si="616"/>
        <v>27.717533588261347</v>
      </c>
      <c r="EK667" s="323">
        <f>+EK669+EK681</f>
        <v>84.707784463665988</v>
      </c>
      <c r="EL667" s="325">
        <f t="shared" ref="EL667:ER667" si="617">+EL669+EL681</f>
        <v>70.344850995552534</v>
      </c>
      <c r="EM667" s="323">
        <f t="shared" si="617"/>
        <v>11.02596831824644</v>
      </c>
      <c r="EN667" s="323">
        <f t="shared" si="617"/>
        <v>-17.003307515623337</v>
      </c>
      <c r="EO667" s="323">
        <f t="shared" si="617"/>
        <v>22.069552082127743</v>
      </c>
      <c r="EP667" s="323">
        <f t="shared" si="617"/>
        <v>67.496503942524697</v>
      </c>
      <c r="EQ667" s="323">
        <f t="shared" si="617"/>
        <v>15.82129927666756</v>
      </c>
      <c r="ER667" s="323">
        <f t="shared" si="617"/>
        <v>15.61021823007448</v>
      </c>
      <c r="ES667" s="323">
        <f t="shared" ref="ES667:EX667" si="618">+ES669+ES681</f>
        <v>73.32363508660606</v>
      </c>
      <c r="ET667" s="323">
        <f t="shared" si="618"/>
        <v>56.293392823644645</v>
      </c>
      <c r="EU667" s="323">
        <f t="shared" si="618"/>
        <v>51.514074447462306</v>
      </c>
      <c r="EV667" s="323">
        <f t="shared" si="618"/>
        <v>57.341181693061415</v>
      </c>
      <c r="EW667" s="323">
        <f t="shared" si="618"/>
        <v>44.150233210580282</v>
      </c>
      <c r="EX667" s="325">
        <f t="shared" si="618"/>
        <v>124.81249842729275</v>
      </c>
      <c r="EY667" s="323"/>
      <c r="EZ667" s="323"/>
      <c r="FA667" s="323"/>
      <c r="FB667" s="323"/>
      <c r="FC667" s="323"/>
      <c r="FD667" s="323"/>
      <c r="FE667" s="323"/>
      <c r="FF667" s="323"/>
      <c r="FG667" s="323"/>
      <c r="FH667" s="323"/>
      <c r="FI667" s="323"/>
      <c r="FJ667" s="325"/>
      <c r="FK667" s="323"/>
      <c r="FL667" s="323"/>
      <c r="FM667" s="323"/>
      <c r="FN667" s="323"/>
      <c r="FO667" s="323"/>
      <c r="FP667" s="323"/>
      <c r="FQ667" s="323"/>
      <c r="FR667" s="323"/>
      <c r="FS667" s="323"/>
      <c r="FT667" s="323"/>
      <c r="FU667" s="323"/>
      <c r="FV667" s="323"/>
      <c r="FW667" s="323"/>
      <c r="FX667" s="323"/>
      <c r="FY667" s="323"/>
      <c r="FZ667" s="323"/>
      <c r="GA667" s="323"/>
      <c r="GB667" s="323"/>
      <c r="GC667" s="323"/>
      <c r="GD667" s="323"/>
      <c r="GE667" s="323"/>
      <c r="GF667" s="323"/>
      <c r="GG667" s="323"/>
      <c r="GH667" s="323"/>
      <c r="GI667" s="323"/>
      <c r="GJ667" s="323"/>
      <c r="GK667" s="323"/>
      <c r="GL667" s="323"/>
      <c r="GM667" s="323"/>
      <c r="GN667" s="323"/>
      <c r="GO667" s="323"/>
      <c r="GP667" s="323"/>
      <c r="GQ667" s="323"/>
      <c r="GR667" s="323"/>
      <c r="GS667" s="323"/>
      <c r="GT667" s="323"/>
      <c r="GU667" s="323"/>
      <c r="GV667" s="323"/>
      <c r="GW667" s="323"/>
      <c r="GX667" s="323"/>
      <c r="GY667" s="323"/>
      <c r="GZ667" s="323"/>
      <c r="HA667" s="323"/>
      <c r="HB667" s="323"/>
      <c r="HC667" s="323"/>
      <c r="HD667" s="323"/>
      <c r="HE667" s="323"/>
      <c r="HF667" s="323"/>
      <c r="HG667" s="323"/>
      <c r="HH667" s="323"/>
      <c r="HI667" s="323"/>
      <c r="HJ667" s="323"/>
      <c r="HK667" s="323"/>
      <c r="HL667" s="323"/>
      <c r="HM667" s="323"/>
      <c r="HN667" s="323"/>
      <c r="HO667" s="323"/>
      <c r="HP667" s="323"/>
      <c r="HQ667" s="323"/>
      <c r="HR667" s="323"/>
      <c r="HS667" s="323"/>
      <c r="HT667" s="323"/>
      <c r="HU667" s="323"/>
      <c r="HV667" s="323"/>
      <c r="HW667" s="323"/>
      <c r="HX667" s="323"/>
      <c r="HY667" s="323"/>
      <c r="HZ667" s="326"/>
      <c r="IA667" s="322" t="s">
        <v>160</v>
      </c>
      <c r="IB667" s="322"/>
      <c r="IC667" s="322"/>
      <c r="ID667" s="323">
        <f>+FISC!Z879</f>
        <v>197.61254199818421</v>
      </c>
      <c r="IE667" s="279">
        <f>-IE664</f>
        <v>3.3178657935338123</v>
      </c>
      <c r="IF667" s="279">
        <f>-IF664</f>
        <v>215.80333589387678</v>
      </c>
      <c r="IG667" s="323">
        <f>-IG664</f>
        <v>219.12120168741058</v>
      </c>
      <c r="IH667" s="279">
        <f>+IH669+IH681</f>
        <v>88.946084624420351</v>
      </c>
      <c r="II667" s="279">
        <f>+II669+II681</f>
        <v>185.26414525406443</v>
      </c>
      <c r="IJ667" s="323">
        <f>IH667+II667</f>
        <v>274.21022987848477</v>
      </c>
      <c r="IK667" s="279">
        <f>+IK669+IK681</f>
        <v>141.44686963431135</v>
      </c>
      <c r="IL667" s="279">
        <f>+IL669+IL681</f>
        <v>237.35986063043688</v>
      </c>
      <c r="IM667" s="323">
        <f t="shared" si="503"/>
        <v>378.80673026474824</v>
      </c>
      <c r="IN667" s="279">
        <f>-IN664</f>
        <v>132.49537945158221</v>
      </c>
      <c r="IO667" s="279">
        <f>-IO664</f>
        <v>259.69320093342191</v>
      </c>
      <c r="IP667" s="323">
        <f>FISC!AC879</f>
        <v>398.9867656101726</v>
      </c>
      <c r="IQ667" s="279">
        <f>SUM(EM667:ER667)</f>
        <v>115.02023433401757</v>
      </c>
      <c r="IR667" s="279">
        <f>SUM(ES667:EX667)</f>
        <v>407.43501568864747</v>
      </c>
      <c r="IS667" s="323">
        <f t="shared" si="590"/>
        <v>522.45525002266504</v>
      </c>
      <c r="IT667" s="327" t="e">
        <f>-IT664</f>
        <v>#REF!</v>
      </c>
      <c r="IU667" s="327" t="e">
        <f>-IU664*0+IV667-IT667</f>
        <v>#REF!</v>
      </c>
      <c r="IV667" s="323">
        <f>+FISC!AE879</f>
        <v>1226.1509467500846</v>
      </c>
      <c r="IW667" s="327" t="e">
        <f>-IW664</f>
        <v>#REF!</v>
      </c>
      <c r="IX667" s="279" t="e">
        <f t="shared" si="486"/>
        <v>#REF!</v>
      </c>
      <c r="IY667" s="323">
        <f>+FISC!AF879</f>
        <v>973.99842550595372</v>
      </c>
      <c r="IZ667" s="327" t="e">
        <f>-IZ664</f>
        <v>#REF!</v>
      </c>
      <c r="JA667" s="279" t="e">
        <f t="shared" si="540"/>
        <v>#REF!</v>
      </c>
      <c r="JB667" s="323">
        <f>+FISC!AG879</f>
        <v>987.3478790734473</v>
      </c>
      <c r="JC667" s="327">
        <f>-JC664</f>
        <v>-4466.782621107046</v>
      </c>
      <c r="JD667" s="279">
        <f t="shared" si="487"/>
        <v>5407.9107897064732</v>
      </c>
      <c r="JE667" s="323">
        <f>+FISC!AH879</f>
        <v>941.12816859942711</v>
      </c>
      <c r="JF667" s="327">
        <f>-JF664</f>
        <v>-5809.6834276348618</v>
      </c>
      <c r="JG667" s="279">
        <f t="shared" si="488"/>
        <v>7387.299396977276</v>
      </c>
      <c r="JH667" s="323">
        <f>+FISC!AI879</f>
        <v>1577.615969342414</v>
      </c>
      <c r="JI667" s="327">
        <f>-JI664</f>
        <v>1823.6427232942842</v>
      </c>
      <c r="JJ667" s="279">
        <f t="shared" si="489"/>
        <v>-326.875867858736</v>
      </c>
      <c r="JK667" s="323">
        <f>+FISC!AJ879</f>
        <v>1496.7668554355482</v>
      </c>
      <c r="JL667" s="327">
        <f>-JL664</f>
        <v>488.77573358966231</v>
      </c>
      <c r="JM667" s="279">
        <f t="shared" si="490"/>
        <v>-488.77573358966231</v>
      </c>
      <c r="JN667" s="323">
        <f>+FISC!AK879</f>
        <v>0</v>
      </c>
      <c r="JO667" s="323"/>
      <c r="KU667" s="326"/>
      <c r="KV667" s="327"/>
      <c r="KW667" s="279">
        <f>IN669-IN667</f>
        <v>76.513563812377328</v>
      </c>
      <c r="KY667" s="279">
        <f>-KY664</f>
        <v>0</v>
      </c>
      <c r="KZ667" s="279">
        <f>-KZ664</f>
        <v>0</v>
      </c>
      <c r="LA667" s="279">
        <f>-LA664</f>
        <v>0</v>
      </c>
      <c r="LB667" s="279">
        <f>-LB664</f>
        <v>0</v>
      </c>
    </row>
    <row r="668" spans="1:314" hidden="1">
      <c r="A668" s="279"/>
      <c r="D668" s="328"/>
      <c r="E668" s="323"/>
      <c r="F668" s="323"/>
      <c r="G668" s="323"/>
      <c r="H668" s="323"/>
      <c r="I668" s="323"/>
      <c r="J668" s="323"/>
      <c r="K668" s="323"/>
      <c r="L668" s="323"/>
      <c r="M668" s="323"/>
      <c r="N668" s="323"/>
      <c r="O668" s="323"/>
      <c r="P668" s="323"/>
      <c r="Q668" s="323"/>
      <c r="R668" s="323"/>
      <c r="S668" s="323"/>
      <c r="T668" s="323"/>
      <c r="U668" s="323"/>
      <c r="V668" s="323"/>
      <c r="W668" s="323"/>
      <c r="X668" s="323"/>
      <c r="Y668" s="323"/>
      <c r="Z668" s="323"/>
      <c r="AA668" s="323"/>
      <c r="AB668" s="323"/>
      <c r="AC668" s="323"/>
      <c r="AD668" s="323"/>
      <c r="AE668" s="323"/>
      <c r="AF668" s="323"/>
      <c r="AG668" s="323"/>
      <c r="AH668" s="323"/>
      <c r="AI668" s="323"/>
      <c r="AJ668" s="323"/>
      <c r="AK668" s="323"/>
      <c r="AL668" s="323"/>
      <c r="AM668" s="323"/>
      <c r="AN668" s="323"/>
      <c r="AO668" s="323"/>
      <c r="AP668" s="323"/>
      <c r="AQ668" s="323"/>
      <c r="AR668" s="323"/>
      <c r="AS668" s="323"/>
      <c r="AT668" s="323"/>
      <c r="AU668" s="323"/>
      <c r="AV668" s="323"/>
      <c r="AW668" s="323"/>
      <c r="AX668" s="323"/>
      <c r="AY668" s="323"/>
      <c r="AZ668" s="323"/>
      <c r="BA668" s="323"/>
      <c r="BB668" s="323"/>
      <c r="BC668" s="323"/>
      <c r="BD668" s="323"/>
      <c r="BE668" s="323"/>
      <c r="BF668" s="323"/>
      <c r="BG668" s="323"/>
      <c r="BH668" s="323"/>
      <c r="BI668" s="323"/>
      <c r="BJ668" s="323"/>
      <c r="BK668" s="323"/>
      <c r="BL668" s="323"/>
      <c r="BM668" s="323"/>
      <c r="BN668" s="323"/>
      <c r="BO668" s="323"/>
      <c r="BP668" s="323"/>
      <c r="BQ668" s="323"/>
      <c r="BR668" s="323"/>
      <c r="BS668" s="323"/>
      <c r="BT668" s="323"/>
      <c r="BU668" s="323"/>
      <c r="BV668" s="323"/>
      <c r="BW668" s="323"/>
      <c r="BX668" s="323"/>
      <c r="BY668" s="323"/>
      <c r="BZ668" s="323"/>
      <c r="CA668" s="323"/>
      <c r="CB668" s="323"/>
      <c r="CC668" s="323"/>
      <c r="CD668" s="323"/>
      <c r="CE668" s="324"/>
      <c r="CF668" s="323"/>
      <c r="CG668" s="323"/>
      <c r="CH668" s="323"/>
      <c r="CI668" s="323"/>
      <c r="CJ668" s="323"/>
      <c r="CK668" s="323"/>
      <c r="CL668" s="323"/>
      <c r="CM668" s="323"/>
      <c r="CN668" s="323"/>
      <c r="CO668" s="323"/>
      <c r="CP668" s="325"/>
      <c r="CQ668" s="323"/>
      <c r="CR668" s="323"/>
      <c r="CS668" s="323"/>
      <c r="CT668" s="323"/>
      <c r="CU668" s="323"/>
      <c r="CV668" s="323"/>
      <c r="CW668" s="323"/>
      <c r="CX668" s="323"/>
      <c r="CY668" s="323"/>
      <c r="CZ668" s="323"/>
      <c r="DA668" s="323"/>
      <c r="DB668" s="1269"/>
      <c r="DC668" s="323"/>
      <c r="DD668" s="323"/>
      <c r="DE668" s="323"/>
      <c r="DF668" s="323"/>
      <c r="DG668" s="323"/>
      <c r="DH668" s="323"/>
      <c r="DI668" s="323"/>
      <c r="DJ668" s="323"/>
      <c r="DK668" s="323"/>
      <c r="DL668" s="323"/>
      <c r="DM668" s="323"/>
      <c r="DN668" s="325"/>
      <c r="DO668" s="323"/>
      <c r="DP668" s="323"/>
      <c r="DQ668" s="323"/>
      <c r="DR668" s="323"/>
      <c r="DS668" s="323"/>
      <c r="DT668" s="323"/>
      <c r="DU668" s="323"/>
      <c r="DV668" s="323"/>
      <c r="DW668" s="323"/>
      <c r="DX668" s="323"/>
      <c r="DY668" s="323"/>
      <c r="DZ668" s="325"/>
      <c r="EA668" s="323"/>
      <c r="EB668" s="323"/>
      <c r="EC668" s="323"/>
      <c r="ED668" s="323"/>
      <c r="EE668" s="323"/>
      <c r="EF668" s="323"/>
      <c r="EG668" s="323"/>
      <c r="EH668" s="323"/>
      <c r="EI668" s="323"/>
      <c r="EJ668" s="323"/>
      <c r="EK668" s="323"/>
      <c r="EL668" s="325"/>
      <c r="EM668" s="323"/>
      <c r="EN668" s="323"/>
      <c r="EO668" s="323"/>
      <c r="EP668" s="323"/>
      <c r="EQ668" s="323"/>
      <c r="ER668" s="323"/>
      <c r="ES668" s="323"/>
      <c r="ET668" s="323"/>
      <c r="EU668" s="323"/>
      <c r="EV668" s="323"/>
      <c r="EW668" s="323"/>
      <c r="EX668" s="325"/>
      <c r="EY668" s="323"/>
      <c r="EZ668" s="323"/>
      <c r="FA668" s="323"/>
      <c r="FB668" s="323"/>
      <c r="FC668" s="323"/>
      <c r="FD668" s="323"/>
      <c r="FE668" s="323"/>
      <c r="FF668" s="323"/>
      <c r="FG668" s="323"/>
      <c r="FH668" s="323"/>
      <c r="FI668" s="323"/>
      <c r="FJ668" s="325"/>
      <c r="FK668" s="323"/>
      <c r="FL668" s="323"/>
      <c r="FM668" s="323"/>
      <c r="FN668" s="323"/>
      <c r="FO668" s="323"/>
      <c r="FP668" s="323"/>
      <c r="FQ668" s="323"/>
      <c r="FR668" s="323"/>
      <c r="FS668" s="323"/>
      <c r="FT668" s="323"/>
      <c r="FU668" s="323"/>
      <c r="FV668" s="323"/>
      <c r="FW668" s="323"/>
      <c r="FX668" s="323"/>
      <c r="FY668" s="323"/>
      <c r="FZ668" s="323"/>
      <c r="GA668" s="323"/>
      <c r="GB668" s="323"/>
      <c r="GC668" s="323"/>
      <c r="GD668" s="323"/>
      <c r="GE668" s="323"/>
      <c r="GF668" s="323"/>
      <c r="GG668" s="323"/>
      <c r="GH668" s="323"/>
      <c r="GI668" s="323"/>
      <c r="GJ668" s="323"/>
      <c r="GK668" s="323"/>
      <c r="GL668" s="323"/>
      <c r="GM668" s="323"/>
      <c r="GN668" s="323"/>
      <c r="GO668" s="323"/>
      <c r="GP668" s="323"/>
      <c r="GQ668" s="323"/>
      <c r="GR668" s="323"/>
      <c r="GS668" s="323"/>
      <c r="GT668" s="323"/>
      <c r="GU668" s="323"/>
      <c r="GV668" s="323"/>
      <c r="GW668" s="323"/>
      <c r="GX668" s="323"/>
      <c r="GY668" s="323"/>
      <c r="GZ668" s="323"/>
      <c r="HA668" s="323"/>
      <c r="HB668" s="323"/>
      <c r="HC668" s="323"/>
      <c r="HD668" s="323"/>
      <c r="HE668" s="323"/>
      <c r="HF668" s="323"/>
      <c r="HG668" s="323"/>
      <c r="HH668" s="323"/>
      <c r="HI668" s="323"/>
      <c r="HJ668" s="323"/>
      <c r="HK668" s="323"/>
      <c r="HL668" s="323"/>
      <c r="HM668" s="323"/>
      <c r="HN668" s="323"/>
      <c r="HO668" s="323"/>
      <c r="HP668" s="323"/>
      <c r="HQ668" s="323"/>
      <c r="HR668" s="323"/>
      <c r="HS668" s="323"/>
      <c r="HT668" s="323"/>
      <c r="HU668" s="323"/>
      <c r="HV668" s="323"/>
      <c r="HW668" s="323"/>
      <c r="HX668" s="323"/>
      <c r="HY668" s="323"/>
      <c r="HZ668" s="326"/>
      <c r="IA668" s="328"/>
      <c r="IB668" s="328"/>
      <c r="IC668" s="328"/>
      <c r="ID668" s="323">
        <f>+FISC!Z880</f>
        <v>0</v>
      </c>
      <c r="IG668" s="323"/>
      <c r="IJ668" s="323"/>
      <c r="IM668" s="323"/>
      <c r="IO668" s="327"/>
      <c r="IP668" s="323"/>
      <c r="IS668" s="323"/>
      <c r="IT668" s="327"/>
      <c r="IU668" s="327"/>
      <c r="IV668" s="323" t="str">
        <f>+FISC!AE880</f>
        <v xml:space="preserve"> </v>
      </c>
      <c r="IW668" s="279">
        <f>IY668*JU668</f>
        <v>0</v>
      </c>
      <c r="IX668" s="279">
        <f t="shared" si="486"/>
        <v>0</v>
      </c>
      <c r="IY668" s="323">
        <f>+FISC!AF880</f>
        <v>0</v>
      </c>
      <c r="IZ668" s="279">
        <f t="shared" si="498"/>
        <v>0</v>
      </c>
      <c r="JA668" s="279">
        <f t="shared" si="540"/>
        <v>0</v>
      </c>
      <c r="JB668" s="323">
        <f>+FISC!AG880</f>
        <v>0</v>
      </c>
      <c r="JC668" s="279">
        <f t="shared" si="499"/>
        <v>0</v>
      </c>
      <c r="JD668" s="279">
        <f t="shared" si="487"/>
        <v>0</v>
      </c>
      <c r="JE668" s="323">
        <f>+FISC!AH880</f>
        <v>0</v>
      </c>
      <c r="JF668" s="279">
        <f t="shared" si="500"/>
        <v>0</v>
      </c>
      <c r="JG668" s="279">
        <f t="shared" si="488"/>
        <v>0</v>
      </c>
      <c r="JH668" s="323">
        <f>+FISC!AI880</f>
        <v>0</v>
      </c>
      <c r="JI668" s="279">
        <f t="shared" si="501"/>
        <v>0</v>
      </c>
      <c r="JJ668" s="279">
        <f t="shared" si="489"/>
        <v>0</v>
      </c>
      <c r="JK668" s="323">
        <f>+FISC!AJ880</f>
        <v>0</v>
      </c>
      <c r="JL668" s="279">
        <f t="shared" si="502"/>
        <v>0</v>
      </c>
      <c r="JM668" s="279">
        <f t="shared" si="490"/>
        <v>0</v>
      </c>
      <c r="JN668" s="323">
        <f>+FISC!AK880</f>
        <v>0</v>
      </c>
      <c r="JO668" s="323"/>
      <c r="KU668" s="326"/>
      <c r="KV668" s="327"/>
    </row>
    <row r="669" spans="1:314" hidden="1">
      <c r="A669" s="279"/>
      <c r="B669" s="96" t="s">
        <v>338</v>
      </c>
      <c r="D669" s="322" t="str">
        <f>+FISC!D881</f>
        <v>Foreign financing (net)</v>
      </c>
      <c r="E669" s="323">
        <f t="shared" ref="E669:BP669" si="619">E670+E680</f>
        <v>-0.50807036317380805</v>
      </c>
      <c r="F669" s="323">
        <f t="shared" si="619"/>
        <v>-3.3610918306800006E-2</v>
      </c>
      <c r="G669" s="323">
        <f t="shared" si="619"/>
        <v>10.397457793368302</v>
      </c>
      <c r="H669" s="323">
        <f t="shared" si="619"/>
        <v>-0.276455737578432</v>
      </c>
      <c r="I669" s="323">
        <f t="shared" si="619"/>
        <v>-0.12798318832220001</v>
      </c>
      <c r="J669" s="323">
        <f t="shared" si="619"/>
        <v>9.0944597461261001</v>
      </c>
      <c r="K669" s="323">
        <f t="shared" si="619"/>
        <v>-0.10911409420939988</v>
      </c>
      <c r="L669" s="323">
        <f t="shared" si="619"/>
        <v>-4.2709927436400001E-2</v>
      </c>
      <c r="M669" s="323">
        <f t="shared" si="619"/>
        <v>10.7865610018056</v>
      </c>
      <c r="N669" s="323">
        <f t="shared" si="619"/>
        <v>-3.807155156E-2</v>
      </c>
      <c r="O669" s="323">
        <f t="shared" si="619"/>
        <v>-0.77784387055999993</v>
      </c>
      <c r="P669" s="323">
        <f t="shared" si="619"/>
        <v>16.191599324879999</v>
      </c>
      <c r="Q669" s="323">
        <f t="shared" si="619"/>
        <v>-0.50161116085360002</v>
      </c>
      <c r="R669" s="323">
        <f t="shared" si="619"/>
        <v>-5.3357941889999996E-2</v>
      </c>
      <c r="S669" s="323">
        <f t="shared" si="619"/>
        <v>11.317881237878</v>
      </c>
      <c r="T669" s="323">
        <f t="shared" si="619"/>
        <v>0.67169293220400006</v>
      </c>
      <c r="U669" s="323">
        <f t="shared" si="619"/>
        <v>-0.163856145684</v>
      </c>
      <c r="V669" s="323">
        <f t="shared" si="619"/>
        <v>6.8213523351239997</v>
      </c>
      <c r="W669" s="323">
        <f t="shared" si="619"/>
        <v>1.3005350759400014E-2</v>
      </c>
      <c r="X669" s="323">
        <f t="shared" si="619"/>
        <v>3.998650096000006E-3</v>
      </c>
      <c r="Y669" s="323">
        <f t="shared" si="619"/>
        <v>9.6128784730768011</v>
      </c>
      <c r="Z669" s="323">
        <f t="shared" si="619"/>
        <v>-1.9543495164899977E-2</v>
      </c>
      <c r="AA669" s="323">
        <f t="shared" si="619"/>
        <v>-0.10399395625040002</v>
      </c>
      <c r="AB669" s="323">
        <f t="shared" si="619"/>
        <v>28.782368222892</v>
      </c>
      <c r="AC669" s="323">
        <f t="shared" si="619"/>
        <v>-0.52907199999999999</v>
      </c>
      <c r="AD669" s="323">
        <f t="shared" si="619"/>
        <v>-4.1878385000000004E-2</v>
      </c>
      <c r="AE669" s="323">
        <f t="shared" si="619"/>
        <v>12.106708015000001</v>
      </c>
      <c r="AF669" s="323">
        <f t="shared" si="619"/>
        <v>-0.26076719500000001</v>
      </c>
      <c r="AG669" s="323">
        <f t="shared" si="619"/>
        <v>-0.15922959</v>
      </c>
      <c r="AH669" s="323">
        <f t="shared" si="619"/>
        <v>12.245775637000001</v>
      </c>
      <c r="AI669" s="323">
        <f t="shared" si="619"/>
        <v>-0.54568328499999996</v>
      </c>
      <c r="AJ669" s="323">
        <f t="shared" si="619"/>
        <v>-4.7101027999999996E-2</v>
      </c>
      <c r="AK669" s="323">
        <f t="shared" si="619"/>
        <v>7.2460043950000008</v>
      </c>
      <c r="AL669" s="323">
        <f t="shared" si="619"/>
        <v>-0.17289784</v>
      </c>
      <c r="AM669" s="323">
        <f t="shared" si="619"/>
        <v>-0.21172326799999999</v>
      </c>
      <c r="AN669" s="323">
        <f t="shared" si="619"/>
        <v>8.1221169589999995</v>
      </c>
      <c r="AO669" s="323">
        <f t="shared" si="619"/>
        <v>-0.50290532316275993</v>
      </c>
      <c r="AP669" s="323">
        <f t="shared" si="619"/>
        <v>-0.15814870683429999</v>
      </c>
      <c r="AQ669" s="323">
        <f t="shared" si="619"/>
        <v>5.2097932474452797</v>
      </c>
      <c r="AR669" s="323">
        <f t="shared" si="619"/>
        <v>-0.2297994379254</v>
      </c>
      <c r="AS669" s="323">
        <f t="shared" si="619"/>
        <v>-0.20176501846710002</v>
      </c>
      <c r="AT669" s="323">
        <f t="shared" si="619"/>
        <v>7.0226782051887504</v>
      </c>
      <c r="AU669" s="323">
        <f t="shared" si="619"/>
        <v>-1.0774999999999999</v>
      </c>
      <c r="AV669" s="323">
        <f t="shared" si="619"/>
        <v>-0.1545</v>
      </c>
      <c r="AW669" s="323">
        <f t="shared" si="619"/>
        <v>6.3510565599999991</v>
      </c>
      <c r="AX669" s="323">
        <f t="shared" si="619"/>
        <v>-0.68194363155999993</v>
      </c>
      <c r="AY669" s="323">
        <f t="shared" si="619"/>
        <v>-0.38759797281340003</v>
      </c>
      <c r="AZ669" s="323">
        <f t="shared" si="619"/>
        <v>13.8662032493305</v>
      </c>
      <c r="BA669" s="323">
        <f t="shared" si="619"/>
        <v>-1.158766612</v>
      </c>
      <c r="BB669" s="323">
        <f t="shared" si="619"/>
        <v>-0.101139462</v>
      </c>
      <c r="BC669" s="323">
        <f t="shared" si="619"/>
        <v>19.235095475000001</v>
      </c>
      <c r="BD669" s="323">
        <f t="shared" si="619"/>
        <v>-0.155374504</v>
      </c>
      <c r="BE669" s="323">
        <f t="shared" si="619"/>
        <v>20.975846718000003</v>
      </c>
      <c r="BF669" s="323">
        <f t="shared" si="619"/>
        <v>11.376847363</v>
      </c>
      <c r="BG669" s="323">
        <f t="shared" si="619"/>
        <v>-1.2117479499999999</v>
      </c>
      <c r="BH669" s="323">
        <f t="shared" si="619"/>
        <v>-0.10368931131</v>
      </c>
      <c r="BI669" s="323">
        <f t="shared" si="619"/>
        <v>8.5563409086000011</v>
      </c>
      <c r="BJ669" s="323">
        <f t="shared" si="619"/>
        <v>3.3630518521599999</v>
      </c>
      <c r="BK669" s="323">
        <f t="shared" si="619"/>
        <v>-0.94509411099999996</v>
      </c>
      <c r="BL669" s="323">
        <f t="shared" si="619"/>
        <v>64.984093047999991</v>
      </c>
      <c r="BM669" s="323">
        <f t="shared" si="619"/>
        <v>-1.1393097170000002</v>
      </c>
      <c r="BN669" s="323">
        <f t="shared" si="619"/>
        <v>-0.10130504225</v>
      </c>
      <c r="BO669" s="323">
        <f t="shared" si="619"/>
        <v>12.096889067999999</v>
      </c>
      <c r="BP669" s="323">
        <f t="shared" si="619"/>
        <v>-0.37928600191000006</v>
      </c>
      <c r="BQ669" s="323">
        <f t="shared" ref="BQ669:DN669" si="620">BQ670+BQ680</f>
        <v>-1.1134900000000001</v>
      </c>
      <c r="BR669" s="323">
        <f t="shared" si="620"/>
        <v>11.045804823999999</v>
      </c>
      <c r="BS669" s="323">
        <f t="shared" si="620"/>
        <v>-1.2683</v>
      </c>
      <c r="BT669" s="323">
        <f t="shared" si="620"/>
        <v>-9.9900000000000003E-2</v>
      </c>
      <c r="BU669" s="323">
        <f t="shared" si="620"/>
        <v>35.908200000000001</v>
      </c>
      <c r="BV669" s="323">
        <f t="shared" si="620"/>
        <v>1.5956689506576198</v>
      </c>
      <c r="BW669" s="323">
        <f t="shared" si="620"/>
        <v>5.4647202718430172</v>
      </c>
      <c r="BX669" s="323">
        <f t="shared" si="620"/>
        <v>4.6916419250035108</v>
      </c>
      <c r="BY669" s="323">
        <f t="shared" si="620"/>
        <v>0.75260748222076534</v>
      </c>
      <c r="BZ669" s="323">
        <f t="shared" si="620"/>
        <v>4.077499622103451</v>
      </c>
      <c r="CA669" s="323">
        <f t="shared" si="620"/>
        <v>4.7181280788894915</v>
      </c>
      <c r="CB669" s="323">
        <f t="shared" si="620"/>
        <v>3.4099613564677433</v>
      </c>
      <c r="CC669" s="323">
        <f t="shared" si="620"/>
        <v>4.8829959041910262</v>
      </c>
      <c r="CD669" s="323">
        <f t="shared" si="620"/>
        <v>24.361956062990608</v>
      </c>
      <c r="CE669" s="324">
        <f t="shared" si="620"/>
        <v>6.0648673378900142</v>
      </c>
      <c r="CF669" s="323">
        <f t="shared" si="620"/>
        <v>3.7943198551050905</v>
      </c>
      <c r="CG669" s="323">
        <f t="shared" si="620"/>
        <v>3.4143455195842343</v>
      </c>
      <c r="CH669" s="323">
        <f t="shared" si="620"/>
        <v>4.8064493127320151</v>
      </c>
      <c r="CI669" s="323">
        <f t="shared" si="620"/>
        <v>2.9333864288658735</v>
      </c>
      <c r="CJ669" s="323">
        <f t="shared" si="620"/>
        <v>6.0664323475203208</v>
      </c>
      <c r="CK669" s="323">
        <f t="shared" si="620"/>
        <v>10.54974338072898</v>
      </c>
      <c r="CL669" s="323">
        <f t="shared" si="620"/>
        <v>1.6094141646601652</v>
      </c>
      <c r="CM669" s="323">
        <f t="shared" si="620"/>
        <v>2.0088474897454565</v>
      </c>
      <c r="CN669" s="323">
        <f t="shared" si="620"/>
        <v>1.2718415560240695</v>
      </c>
      <c r="CO669" s="323">
        <f t="shared" si="620"/>
        <v>38.10535375062684</v>
      </c>
      <c r="CP669" s="325">
        <f t="shared" si="620"/>
        <v>24.531914229255314</v>
      </c>
      <c r="CQ669" s="323">
        <f t="shared" si="620"/>
        <v>4.9420193008418858</v>
      </c>
      <c r="CR669" s="323">
        <f t="shared" si="620"/>
        <v>3.8308939451566677</v>
      </c>
      <c r="CS669" s="323">
        <f t="shared" si="620"/>
        <v>12.00286724258406</v>
      </c>
      <c r="CT669" s="323">
        <f t="shared" si="620"/>
        <v>5.1893339261600904</v>
      </c>
      <c r="CU669" s="323">
        <f t="shared" si="620"/>
        <v>10.46585883733734</v>
      </c>
      <c r="CV669" s="323">
        <f t="shared" si="620"/>
        <v>67.021078465884145</v>
      </c>
      <c r="CW669" s="323">
        <f t="shared" si="620"/>
        <v>7.8762359651259253</v>
      </c>
      <c r="CX669" s="323">
        <f t="shared" si="620"/>
        <v>3.5485909032750431</v>
      </c>
      <c r="CY669" s="323">
        <f t="shared" si="620"/>
        <v>8.6557670022827384</v>
      </c>
      <c r="CZ669" s="323">
        <f t="shared" si="620"/>
        <v>48.213086059450021</v>
      </c>
      <c r="DA669" s="323">
        <f t="shared" si="620"/>
        <v>4.8957815003413128</v>
      </c>
      <c r="DB669" s="1269">
        <f t="shared" si="620"/>
        <v>11.545065657792968</v>
      </c>
      <c r="DC669" s="323">
        <f t="shared" si="620"/>
        <v>-0.32746269399886818</v>
      </c>
      <c r="DD669" s="323">
        <f t="shared" si="620"/>
        <v>3.5305284776444301</v>
      </c>
      <c r="DE669" s="323">
        <f t="shared" si="620"/>
        <v>55.40402819682587</v>
      </c>
      <c r="DF669" s="323">
        <f t="shared" si="620"/>
        <v>13.837937548729254</v>
      </c>
      <c r="DG669" s="323">
        <f t="shared" si="620"/>
        <v>4.0517228288185114</v>
      </c>
      <c r="DH669" s="323">
        <f t="shared" si="620"/>
        <v>90.018144492537417</v>
      </c>
      <c r="DI669" s="323">
        <f t="shared" si="620"/>
        <v>5.8757694289489741</v>
      </c>
      <c r="DJ669" s="323">
        <f t="shared" si="620"/>
        <v>21.472344372958734</v>
      </c>
      <c r="DK669" s="323">
        <f t="shared" si="620"/>
        <v>11.427946944314153</v>
      </c>
      <c r="DL669" s="323">
        <f t="shared" si="620"/>
        <v>10.494451571476269</v>
      </c>
      <c r="DM669" s="323">
        <f t="shared" si="620"/>
        <v>4.9315520607593966</v>
      </c>
      <c r="DN669" s="325">
        <f t="shared" si="620"/>
        <v>3.691164430675272</v>
      </c>
      <c r="DO669" s="323">
        <f t="shared" ref="DO669:DT669" si="621">DO670+DO680</f>
        <v>2.4828976559227027</v>
      </c>
      <c r="DP669" s="323">
        <f t="shared" si="621"/>
        <v>8.2479295940122039</v>
      </c>
      <c r="DQ669" s="323">
        <f t="shared" si="621"/>
        <v>34.80290039343646</v>
      </c>
      <c r="DR669" s="323">
        <f t="shared" si="621"/>
        <v>68.234891521118072</v>
      </c>
      <c r="DS669" s="323">
        <f t="shared" si="621"/>
        <v>9.7368212350321457</v>
      </c>
      <c r="DT669" s="323">
        <f t="shared" si="621"/>
        <v>93.306756981791452</v>
      </c>
      <c r="DU669" s="323">
        <f t="shared" ref="DU669:DZ669" si="622">DU670+DU680</f>
        <v>10.523081388542748</v>
      </c>
      <c r="DV669" s="323">
        <f t="shared" si="622"/>
        <v>2.9753375645376945</v>
      </c>
      <c r="DW669" s="323">
        <f t="shared" si="622"/>
        <v>16.285524088676041</v>
      </c>
      <c r="DX669" s="323">
        <f t="shared" si="622"/>
        <v>19.930253277965207</v>
      </c>
      <c r="DY669" s="323">
        <f t="shared" si="622"/>
        <v>36.579671090306043</v>
      </c>
      <c r="DZ669" s="325">
        <f t="shared" si="622"/>
        <v>19.882869600030467</v>
      </c>
      <c r="EA669" s="323">
        <f t="shared" ref="EA669:EK669" si="623">EA670+EA680</f>
        <v>8.4231752763884664</v>
      </c>
      <c r="EB669" s="323">
        <f t="shared" si="623"/>
        <v>31.683600606302893</v>
      </c>
      <c r="EC669" s="323">
        <f t="shared" si="623"/>
        <v>24.658814769659362</v>
      </c>
      <c r="ED669" s="323">
        <f t="shared" si="623"/>
        <v>18.683836442856141</v>
      </c>
      <c r="EE669" s="323">
        <f t="shared" si="623"/>
        <v>110.96608495911359</v>
      </c>
      <c r="EF669" s="323">
        <f t="shared" si="623"/>
        <v>14.51405999831908</v>
      </c>
      <c r="EG669" s="323">
        <f t="shared" si="623"/>
        <v>55.423346475873529</v>
      </c>
      <c r="EH669" s="323">
        <f t="shared" si="623"/>
        <v>3.8959698821168445</v>
      </c>
      <c r="EI669" s="323">
        <f t="shared" si="623"/>
        <v>14.580064284231812</v>
      </c>
      <c r="EJ669" s="323">
        <f t="shared" si="623"/>
        <v>8.8538571553240697</v>
      </c>
      <c r="EK669" s="323">
        <f t="shared" si="623"/>
        <v>38.389474378554652</v>
      </c>
      <c r="EL669" s="325">
        <f t="shared" ref="EL669:ER669" si="624">EL670+EL680</f>
        <v>25.956846648486049</v>
      </c>
      <c r="EM669" s="323">
        <f t="shared" si="624"/>
        <v>9.1306091178664825</v>
      </c>
      <c r="EN669" s="323">
        <f t="shared" si="624"/>
        <v>1.63542145193674</v>
      </c>
      <c r="EO669" s="323">
        <f t="shared" si="624"/>
        <v>10.987169894132018</v>
      </c>
      <c r="EP669" s="323">
        <f t="shared" si="624"/>
        <v>4.562096771518064</v>
      </c>
      <c r="EQ669" s="323">
        <f t="shared" si="624"/>
        <v>13.176531811450971</v>
      </c>
      <c r="ER669" s="323">
        <f t="shared" si="624"/>
        <v>219.27680270007269</v>
      </c>
      <c r="ES669" s="323">
        <f t="shared" ref="ES669:EX669" si="625">ES670+ES680</f>
        <v>22.37974998625814</v>
      </c>
      <c r="ET669" s="323">
        <f t="shared" si="625"/>
        <v>15.159283741393457</v>
      </c>
      <c r="EU669" s="323">
        <f t="shared" si="625"/>
        <v>11.394298316027328</v>
      </c>
      <c r="EV669" s="323">
        <f t="shared" si="625"/>
        <v>18.450060664160304</v>
      </c>
      <c r="EW669" s="323">
        <f t="shared" si="625"/>
        <v>16.139738200652342</v>
      </c>
      <c r="EX669" s="325">
        <f t="shared" si="625"/>
        <v>106.02020398827491</v>
      </c>
      <c r="EY669" s="323"/>
      <c r="EZ669" s="323"/>
      <c r="FA669" s="323"/>
      <c r="FB669" s="323"/>
      <c r="FC669" s="323"/>
      <c r="FD669" s="323"/>
      <c r="FE669" s="323"/>
      <c r="FF669" s="323"/>
      <c r="FG669" s="323"/>
      <c r="FH669" s="323"/>
      <c r="FI669" s="323"/>
      <c r="FJ669" s="325"/>
      <c r="FK669" s="323"/>
      <c r="FL669" s="323"/>
      <c r="FM669" s="323"/>
      <c r="FN669" s="323"/>
      <c r="FO669" s="323"/>
      <c r="FP669" s="323"/>
      <c r="FQ669" s="323"/>
      <c r="FR669" s="323"/>
      <c r="FS669" s="323"/>
      <c r="FT669" s="323"/>
      <c r="FU669" s="323"/>
      <c r="FV669" s="323"/>
      <c r="FW669" s="323"/>
      <c r="FX669" s="323"/>
      <c r="FY669" s="323"/>
      <c r="FZ669" s="323"/>
      <c r="GA669" s="323"/>
      <c r="GB669" s="323"/>
      <c r="GC669" s="323"/>
      <c r="GD669" s="323"/>
      <c r="GE669" s="323"/>
      <c r="GF669" s="323"/>
      <c r="GG669" s="323"/>
      <c r="GH669" s="323"/>
      <c r="GI669" s="323"/>
      <c r="GJ669" s="323"/>
      <c r="GK669" s="323"/>
      <c r="GL669" s="323"/>
      <c r="GM669" s="323"/>
      <c r="GN669" s="323"/>
      <c r="GO669" s="323"/>
      <c r="GP669" s="323"/>
      <c r="GQ669" s="323"/>
      <c r="GR669" s="323"/>
      <c r="GS669" s="323"/>
      <c r="GT669" s="323"/>
      <c r="GU669" s="323"/>
      <c r="GV669" s="323"/>
      <c r="GW669" s="323"/>
      <c r="GX669" s="323"/>
      <c r="GY669" s="323"/>
      <c r="GZ669" s="323"/>
      <c r="HA669" s="323"/>
      <c r="HB669" s="323"/>
      <c r="HC669" s="323"/>
      <c r="HD669" s="323"/>
      <c r="HE669" s="323"/>
      <c r="HF669" s="323"/>
      <c r="HG669" s="323"/>
      <c r="HH669" s="323"/>
      <c r="HI669" s="323"/>
      <c r="HJ669" s="323"/>
      <c r="HK669" s="323"/>
      <c r="HL669" s="323"/>
      <c r="HM669" s="323"/>
      <c r="HN669" s="323"/>
      <c r="HO669" s="323"/>
      <c r="HP669" s="323"/>
      <c r="HQ669" s="323"/>
      <c r="HR669" s="323"/>
      <c r="HS669" s="323"/>
      <c r="HT669" s="323"/>
      <c r="HU669" s="323"/>
      <c r="HV669" s="323"/>
      <c r="HW669" s="323"/>
      <c r="HX669" s="323"/>
      <c r="HY669" s="323"/>
      <c r="HZ669" s="326"/>
      <c r="IA669" s="322" t="s">
        <v>161</v>
      </c>
      <c r="IB669" s="322"/>
      <c r="IC669" s="322"/>
      <c r="ID669" s="323">
        <f>+FISC!Z881</f>
        <v>188.3125419981842</v>
      </c>
      <c r="IE669" s="279">
        <f>IE670+IE680</f>
        <v>103.4520517179642</v>
      </c>
      <c r="IF669" s="279">
        <f>IF670+IF680</f>
        <v>84.73452708826801</v>
      </c>
      <c r="IG669" s="323">
        <f>SUM(CQ669:DB669)</f>
        <v>188.18657880623221</v>
      </c>
      <c r="IH669" s="279">
        <f>IH670+IH680</f>
        <v>166.51489885055659</v>
      </c>
      <c r="II669" s="279">
        <f>II670+II680</f>
        <v>57.893228809132779</v>
      </c>
      <c r="IJ669" s="323">
        <f>IJ670+IJ680</f>
        <v>224.4081276596894</v>
      </c>
      <c r="IK669" s="279">
        <f>IK670+IK680</f>
        <v>216.81219738131307</v>
      </c>
      <c r="IL669" s="279">
        <f>IL670+IL680</f>
        <v>106.17673701005819</v>
      </c>
      <c r="IM669" s="323">
        <f t="shared" si="503"/>
        <v>322.98893439137123</v>
      </c>
      <c r="IN669" s="279">
        <f>IN670+IN680</f>
        <v>209.00894326395954</v>
      </c>
      <c r="IO669" s="279">
        <f>IO670+IO680</f>
        <v>147.02018761326696</v>
      </c>
      <c r="IP669" s="323">
        <f>FISC!AC881</f>
        <v>356.02913087722652</v>
      </c>
      <c r="IQ669" s="279">
        <f>SUM(EM669:ER669)</f>
        <v>258.76863174697695</v>
      </c>
      <c r="IR669" s="279">
        <f>SUM(ES669:EX669)</f>
        <v>189.54333489676651</v>
      </c>
      <c r="IS669" s="323">
        <f t="shared" si="590"/>
        <v>448.31196664374346</v>
      </c>
      <c r="IT669" s="279">
        <f>(IT670+IT680)</f>
        <v>432.88968834181458</v>
      </c>
      <c r="IU669" s="279">
        <f>IU670+IU680</f>
        <v>704.60893334524667</v>
      </c>
      <c r="IV669" s="323">
        <f>+FISC!AE881</f>
        <v>1137.4986216870611</v>
      </c>
      <c r="IW669" s="279">
        <f>IW670+IW680</f>
        <v>437.89473914326157</v>
      </c>
      <c r="IX669" s="279">
        <f t="shared" si="486"/>
        <v>270.52368920369219</v>
      </c>
      <c r="IY669" s="323">
        <f>+FISC!AF881</f>
        <v>708.41842834695376</v>
      </c>
      <c r="IZ669" s="279">
        <f>IZ670+IZ680</f>
        <v>491.72796325124045</v>
      </c>
      <c r="JA669" s="279">
        <f t="shared" si="540"/>
        <v>270.61991582220685</v>
      </c>
      <c r="JB669" s="323">
        <f>+FISC!AG881</f>
        <v>762.3478790734473</v>
      </c>
      <c r="JC669" s="279">
        <f>JC670+JC680</f>
        <v>174.21931717378774</v>
      </c>
      <c r="JD669" s="279">
        <f t="shared" si="487"/>
        <v>606.36742572253627</v>
      </c>
      <c r="JE669" s="323">
        <f>+FISC!AH881</f>
        <v>780.58674289632404</v>
      </c>
      <c r="JF669" s="279">
        <f>JF670+JF680</f>
        <v>514.3699381378425</v>
      </c>
      <c r="JG669" s="279">
        <f t="shared" si="488"/>
        <v>762.18129884836196</v>
      </c>
      <c r="JH669" s="323">
        <f>+FISC!AI881</f>
        <v>1276.5512369862045</v>
      </c>
      <c r="JI669" s="279">
        <f>JI670+JI680</f>
        <v>1027.9607436049707</v>
      </c>
      <c r="JJ669" s="279">
        <f t="shared" si="489"/>
        <v>293.9061118305774</v>
      </c>
      <c r="JK669" s="323">
        <f>+FISC!AJ881</f>
        <v>1321.8668554355481</v>
      </c>
      <c r="JL669" s="279">
        <f>JL670+JL680</f>
        <v>503.4924807281235</v>
      </c>
      <c r="JM669" s="279">
        <f t="shared" si="490"/>
        <v>-503.4924807281235</v>
      </c>
      <c r="JN669" s="323">
        <f>+FISC!AK881</f>
        <v>0</v>
      </c>
      <c r="JO669" s="323"/>
      <c r="KU669" s="326"/>
      <c r="KV669" s="327"/>
      <c r="KY669" s="279">
        <f>KY670+KY680</f>
        <v>0</v>
      </c>
      <c r="KZ669" s="279">
        <f>KZ670+KZ680</f>
        <v>0</v>
      </c>
      <c r="LA669" s="279">
        <f>LA670+LA680</f>
        <v>0</v>
      </c>
      <c r="LB669" s="279">
        <f>LB670+LB680</f>
        <v>0</v>
      </c>
    </row>
    <row r="670" spans="1:314" hidden="1">
      <c r="A670" s="279"/>
      <c r="B670" s="96" t="s">
        <v>338</v>
      </c>
      <c r="D670" s="569" t="str">
        <f>+FISC!D882</f>
        <v>Drawings</v>
      </c>
      <c r="E670" s="323">
        <f t="shared" ref="E670:BP670" si="626">E671+E676</f>
        <v>0</v>
      </c>
      <c r="F670" s="323">
        <f t="shared" si="626"/>
        <v>7.6695603000000001E-2</v>
      </c>
      <c r="G670" s="323">
        <f t="shared" si="626"/>
        <v>10.507307067000001</v>
      </c>
      <c r="H670" s="323">
        <f t="shared" si="626"/>
        <v>0</v>
      </c>
      <c r="I670" s="323">
        <f t="shared" si="626"/>
        <v>0</v>
      </c>
      <c r="J670" s="323">
        <f t="shared" si="626"/>
        <v>10.3</v>
      </c>
      <c r="K670" s="323">
        <f t="shared" si="626"/>
        <v>0.27223934000000005</v>
      </c>
      <c r="L670" s="323">
        <f t="shared" si="626"/>
        <v>0</v>
      </c>
      <c r="M670" s="323">
        <f t="shared" si="626"/>
        <v>10.9</v>
      </c>
      <c r="N670" s="323">
        <f t="shared" si="626"/>
        <v>0</v>
      </c>
      <c r="O670" s="323">
        <f t="shared" si="626"/>
        <v>0</v>
      </c>
      <c r="P670" s="323">
        <f t="shared" si="626"/>
        <v>17</v>
      </c>
      <c r="Q670" s="323">
        <f t="shared" si="626"/>
        <v>0</v>
      </c>
      <c r="R670" s="323">
        <f t="shared" si="626"/>
        <v>0</v>
      </c>
      <c r="S670" s="323">
        <f t="shared" si="626"/>
        <v>11.440704424</v>
      </c>
      <c r="T670" s="323">
        <f t="shared" si="626"/>
        <v>0.85609026600000004</v>
      </c>
      <c r="U670" s="323">
        <f t="shared" si="626"/>
        <v>0</v>
      </c>
      <c r="V670" s="323">
        <f t="shared" si="626"/>
        <v>8.4950942400000002</v>
      </c>
      <c r="W670" s="323">
        <f t="shared" si="626"/>
        <v>0.50553046499999998</v>
      </c>
      <c r="X670" s="323">
        <f t="shared" si="626"/>
        <v>5.9410344000000004E-2</v>
      </c>
      <c r="Y670" s="323">
        <f t="shared" si="626"/>
        <v>9.7330000000000005</v>
      </c>
      <c r="Z670" s="323">
        <f t="shared" si="626"/>
        <v>0.11423541600000001</v>
      </c>
      <c r="AA670" s="323">
        <f t="shared" si="626"/>
        <v>4.4888796999999994E-2</v>
      </c>
      <c r="AB670" s="323">
        <f t="shared" si="626"/>
        <v>29.1327</v>
      </c>
      <c r="AC670" s="323">
        <f t="shared" si="626"/>
        <v>0</v>
      </c>
      <c r="AD670" s="323">
        <f t="shared" si="626"/>
        <v>0</v>
      </c>
      <c r="AE670" s="323">
        <f t="shared" si="626"/>
        <v>12.218307508000001</v>
      </c>
      <c r="AF670" s="323">
        <f t="shared" si="626"/>
        <v>0</v>
      </c>
      <c r="AG670" s="323">
        <f t="shared" si="626"/>
        <v>0</v>
      </c>
      <c r="AH670" s="323">
        <f t="shared" si="626"/>
        <v>14.020674116000002</v>
      </c>
      <c r="AI670" s="323">
        <f t="shared" si="626"/>
        <v>0</v>
      </c>
      <c r="AJ670" s="323">
        <f t="shared" si="626"/>
        <v>0</v>
      </c>
      <c r="AK670" s="323">
        <f t="shared" si="626"/>
        <v>7.3704405540000009</v>
      </c>
      <c r="AL670" s="323">
        <f t="shared" si="626"/>
        <v>0</v>
      </c>
      <c r="AM670" s="323">
        <f t="shared" si="626"/>
        <v>0</v>
      </c>
      <c r="AN670" s="323">
        <f t="shared" si="626"/>
        <v>8.4654792749999999</v>
      </c>
      <c r="AO670" s="323">
        <f t="shared" si="626"/>
        <v>0</v>
      </c>
      <c r="AP670" s="323">
        <f t="shared" si="626"/>
        <v>0</v>
      </c>
      <c r="AQ670" s="323">
        <f t="shared" si="626"/>
        <v>5.335025602</v>
      </c>
      <c r="AR670" s="323">
        <f t="shared" si="626"/>
        <v>0</v>
      </c>
      <c r="AS670" s="323">
        <f t="shared" si="626"/>
        <v>0</v>
      </c>
      <c r="AT670" s="323">
        <f t="shared" si="626"/>
        <v>9.3015493279999983</v>
      </c>
      <c r="AU670" s="323">
        <f t="shared" si="626"/>
        <v>0</v>
      </c>
      <c r="AV670" s="323">
        <f t="shared" si="626"/>
        <v>0</v>
      </c>
      <c r="AW670" s="323">
        <f t="shared" si="626"/>
        <v>6.4644565599999995</v>
      </c>
      <c r="AX670" s="323">
        <f t="shared" si="626"/>
        <v>0</v>
      </c>
      <c r="AY670" s="323">
        <f t="shared" si="626"/>
        <v>0</v>
      </c>
      <c r="AZ670" s="323">
        <f t="shared" si="626"/>
        <v>15.076462141</v>
      </c>
      <c r="BA670" s="323">
        <f t="shared" si="626"/>
        <v>0</v>
      </c>
      <c r="BB670" s="323">
        <f t="shared" si="626"/>
        <v>0</v>
      </c>
      <c r="BC670" s="323">
        <f t="shared" si="626"/>
        <v>19.836167355000001</v>
      </c>
      <c r="BD670" s="323">
        <f t="shared" si="626"/>
        <v>0</v>
      </c>
      <c r="BE670" s="323">
        <f t="shared" si="626"/>
        <v>21.355354726000002</v>
      </c>
      <c r="BF670" s="323">
        <f t="shared" si="626"/>
        <v>13.678343629</v>
      </c>
      <c r="BG670" s="323">
        <f t="shared" si="626"/>
        <v>0</v>
      </c>
      <c r="BH670" s="323">
        <f t="shared" si="626"/>
        <v>0</v>
      </c>
      <c r="BI670" s="323">
        <f t="shared" si="626"/>
        <v>9.3559947090000009</v>
      </c>
      <c r="BJ670" s="323">
        <f t="shared" si="626"/>
        <v>3.7486000989999999</v>
      </c>
      <c r="BK670" s="323">
        <f t="shared" si="626"/>
        <v>0</v>
      </c>
      <c r="BL670" s="323">
        <f t="shared" si="626"/>
        <v>65.895172044999995</v>
      </c>
      <c r="BM670" s="323">
        <f t="shared" si="626"/>
        <v>0</v>
      </c>
      <c r="BN670" s="323">
        <f t="shared" si="626"/>
        <v>0</v>
      </c>
      <c r="BO670" s="323">
        <f t="shared" si="626"/>
        <v>13.054760237</v>
      </c>
      <c r="BP670" s="323">
        <f t="shared" si="626"/>
        <v>0</v>
      </c>
      <c r="BQ670" s="323">
        <f t="shared" ref="BQ670:DN670" si="627">BQ671+BQ676</f>
        <v>0</v>
      </c>
      <c r="BR670" s="323">
        <f t="shared" si="627"/>
        <v>12.670284823999999</v>
      </c>
      <c r="BS670" s="323">
        <f t="shared" si="627"/>
        <v>0</v>
      </c>
      <c r="BT670" s="323">
        <f t="shared" si="627"/>
        <v>0</v>
      </c>
      <c r="BU670" s="323">
        <f t="shared" si="627"/>
        <v>36.356500000000004</v>
      </c>
      <c r="BV670" s="323">
        <f t="shared" si="627"/>
        <v>1.5956689506576198</v>
      </c>
      <c r="BW670" s="323">
        <f t="shared" si="627"/>
        <v>5.4647202718430172</v>
      </c>
      <c r="BX670" s="323">
        <f t="shared" si="627"/>
        <v>4.6916419250035108</v>
      </c>
      <c r="BY670" s="323">
        <f t="shared" si="627"/>
        <v>2.100093706</v>
      </c>
      <c r="BZ670" s="323">
        <f t="shared" si="627"/>
        <v>4.2026710249999999</v>
      </c>
      <c r="CA670" s="323">
        <f t="shared" si="627"/>
        <v>5.1768626690000001</v>
      </c>
      <c r="CB670" s="323">
        <f t="shared" si="627"/>
        <v>4.7995237739999999</v>
      </c>
      <c r="CC670" s="323">
        <f t="shared" si="627"/>
        <v>6.0480418489999996</v>
      </c>
      <c r="CD670" s="323">
        <f t="shared" si="627"/>
        <v>26.128625507999999</v>
      </c>
      <c r="CE670" s="324">
        <f t="shared" si="627"/>
        <v>6.8171795699999995</v>
      </c>
      <c r="CF670" s="323">
        <f t="shared" si="627"/>
        <v>3.9039883389999996</v>
      </c>
      <c r="CG670" s="323">
        <f t="shared" si="627"/>
        <v>3.8882203720000001</v>
      </c>
      <c r="CH670" s="323">
        <f t="shared" si="627"/>
        <v>6.2578329159999999</v>
      </c>
      <c r="CI670" s="323">
        <f t="shared" si="627"/>
        <v>3.5211649989999998</v>
      </c>
      <c r="CJ670" s="323">
        <f t="shared" si="627"/>
        <v>6.7397221740000006</v>
      </c>
      <c r="CK670" s="323">
        <f t="shared" si="627"/>
        <v>11.206712712286999</v>
      </c>
      <c r="CL670" s="323">
        <f t="shared" si="627"/>
        <v>1.744920303962</v>
      </c>
      <c r="CM670" s="323">
        <f t="shared" si="627"/>
        <v>2.9498687050729999</v>
      </c>
      <c r="CN670" s="323">
        <f t="shared" si="627"/>
        <v>2.9364516164649999</v>
      </c>
      <c r="CO670" s="323">
        <f t="shared" si="627"/>
        <v>39.605139809473997</v>
      </c>
      <c r="CP670" s="325">
        <f t="shared" si="627"/>
        <v>26.624339026651</v>
      </c>
      <c r="CQ670" s="323">
        <f t="shared" si="627"/>
        <v>5.7607435347770011</v>
      </c>
      <c r="CR670" s="323">
        <f t="shared" si="627"/>
        <v>3.9472671107080002</v>
      </c>
      <c r="CS670" s="323">
        <f t="shared" si="627"/>
        <v>12.991094179872</v>
      </c>
      <c r="CT670" s="323">
        <f t="shared" si="627"/>
        <v>7.097023092573</v>
      </c>
      <c r="CU670" s="323">
        <f t="shared" si="627"/>
        <v>12.102969035651</v>
      </c>
      <c r="CV670" s="323">
        <f t="shared" si="627"/>
        <v>68.303412766199003</v>
      </c>
      <c r="CW670" s="323">
        <f t="shared" si="627"/>
        <v>8.4188352186079989</v>
      </c>
      <c r="CX670" s="323">
        <f t="shared" si="627"/>
        <v>3.7151717103489998</v>
      </c>
      <c r="CY670" s="323">
        <f t="shared" si="627"/>
        <v>9.2964163726490003</v>
      </c>
      <c r="CZ670" s="323">
        <f t="shared" si="627"/>
        <v>50.874632982232669</v>
      </c>
      <c r="DA670" s="323">
        <f t="shared" si="627"/>
        <v>6.3830912553159997</v>
      </c>
      <c r="DB670" s="1269">
        <f t="shared" si="627"/>
        <v>13.932984784080002</v>
      </c>
      <c r="DC670" s="323">
        <f t="shared" si="627"/>
        <v>0.42216898336300002</v>
      </c>
      <c r="DD670" s="323">
        <f t="shared" si="627"/>
        <v>3.7189687297299998</v>
      </c>
      <c r="DE670" s="323">
        <f t="shared" si="627"/>
        <v>56.569147230663937</v>
      </c>
      <c r="DF670" s="323">
        <f t="shared" si="627"/>
        <v>16.191702111213541</v>
      </c>
      <c r="DG670" s="323">
        <f t="shared" si="627"/>
        <v>4.8652677647420006</v>
      </c>
      <c r="DH670" s="323">
        <f t="shared" si="627"/>
        <v>92.409478866284672</v>
      </c>
      <c r="DI670" s="323">
        <f t="shared" si="627"/>
        <v>6.7047741122170006</v>
      </c>
      <c r="DJ670" s="323">
        <f t="shared" si="627"/>
        <v>21.592177564827999</v>
      </c>
      <c r="DK670" s="323">
        <f t="shared" si="627"/>
        <v>13.796249482406001</v>
      </c>
      <c r="DL670" s="323">
        <f t="shared" si="627"/>
        <v>13.128120131547998</v>
      </c>
      <c r="DM670" s="323">
        <f t="shared" si="627"/>
        <v>6.8738819535209998</v>
      </c>
      <c r="DN670" s="325">
        <f t="shared" si="627"/>
        <v>5.2576456738859996</v>
      </c>
      <c r="DO670" s="323">
        <f t="shared" ref="DO670:DT670" si="628">DO671+DO676</f>
        <v>3.2977253905239996</v>
      </c>
      <c r="DP670" s="323">
        <f t="shared" si="628"/>
        <v>8.4289872174100005</v>
      </c>
      <c r="DQ670" s="323">
        <f t="shared" si="628"/>
        <v>38.947821298748593</v>
      </c>
      <c r="DR670" s="323">
        <f t="shared" si="628"/>
        <v>69.911567446748407</v>
      </c>
      <c r="DS670" s="323">
        <f t="shared" si="628"/>
        <v>11.369225287213002</v>
      </c>
      <c r="DT670" s="323">
        <f t="shared" si="628"/>
        <v>95.228024634377917</v>
      </c>
      <c r="DU670" s="323">
        <f t="shared" ref="DU670:DZ670" si="629">DU671+DU676</f>
        <v>11.223212818042001</v>
      </c>
      <c r="DV670" s="323">
        <f t="shared" si="629"/>
        <v>3.1183098931750002</v>
      </c>
      <c r="DW670" s="323">
        <f t="shared" si="629"/>
        <v>21.614232810366996</v>
      </c>
      <c r="DX670" s="323">
        <f t="shared" si="629"/>
        <v>21.526583004928</v>
      </c>
      <c r="DY670" s="323">
        <f t="shared" si="629"/>
        <v>38.739548051481563</v>
      </c>
      <c r="DZ670" s="325">
        <f t="shared" si="629"/>
        <v>21.164277456465001</v>
      </c>
      <c r="EA670" s="323">
        <f t="shared" ref="EA670:EK670" si="630">EA671+EA676</f>
        <v>9.7045831328230001</v>
      </c>
      <c r="EB670" s="323">
        <f t="shared" si="630"/>
        <v>31.83445564578</v>
      </c>
      <c r="EC670" s="323">
        <f t="shared" si="630"/>
        <v>29.649617502337996</v>
      </c>
      <c r="ED670" s="323">
        <f t="shared" si="630"/>
        <v>20.755101479647003</v>
      </c>
      <c r="EE670" s="323">
        <f t="shared" si="630"/>
        <v>112.84523325464001</v>
      </c>
      <c r="EF670" s="323">
        <f t="shared" si="630"/>
        <v>16.683415901944997</v>
      </c>
      <c r="EG670" s="323">
        <f t="shared" si="630"/>
        <v>56.585149008911998</v>
      </c>
      <c r="EH670" s="323">
        <f t="shared" si="630"/>
        <v>4.4105177353120002</v>
      </c>
      <c r="EI670" s="323">
        <f t="shared" si="630"/>
        <v>18.571578294357</v>
      </c>
      <c r="EJ670" s="323">
        <f t="shared" si="630"/>
        <v>12.140062738398001</v>
      </c>
      <c r="EK670" s="323">
        <f t="shared" si="630"/>
        <v>39.979994321071999</v>
      </c>
      <c r="EL670" s="325">
        <f t="shared" ref="EL670:ER670" si="631">EL671+EL676</f>
        <v>28.687180347918996</v>
      </c>
      <c r="EM670" s="323">
        <f t="shared" si="631"/>
        <v>10.477656590839999</v>
      </c>
      <c r="EN670" s="323">
        <f t="shared" si="631"/>
        <v>2.1647688006760002</v>
      </c>
      <c r="EO670" s="323">
        <f t="shared" si="631"/>
        <v>15.058106803279999</v>
      </c>
      <c r="EP670" s="323">
        <f t="shared" si="631"/>
        <v>7.9470246404072729</v>
      </c>
      <c r="EQ670" s="323">
        <f t="shared" si="631"/>
        <v>15.281142754074001</v>
      </c>
      <c r="ER670" s="323">
        <f t="shared" si="631"/>
        <v>221.13910890712106</v>
      </c>
      <c r="ES670" s="323">
        <f t="shared" ref="ES670:EX670" si="632">ES671+ES676</f>
        <v>23.575918671628003</v>
      </c>
      <c r="ET670" s="323">
        <f t="shared" si="632"/>
        <v>16.006098219428999</v>
      </c>
      <c r="EU670" s="323">
        <f t="shared" si="632"/>
        <v>17.722634921015</v>
      </c>
      <c r="EV670" s="323">
        <f t="shared" si="632"/>
        <v>20.243834101887</v>
      </c>
      <c r="EW670" s="323">
        <f t="shared" si="632"/>
        <v>19.614621516160998</v>
      </c>
      <c r="EX670" s="325">
        <f t="shared" si="632"/>
        <v>107.7460570152754</v>
      </c>
      <c r="EY670" s="323"/>
      <c r="EZ670" s="323"/>
      <c r="FA670" s="323"/>
      <c r="FB670" s="323"/>
      <c r="FC670" s="323"/>
      <c r="FD670" s="323"/>
      <c r="FE670" s="323"/>
      <c r="FF670" s="323"/>
      <c r="FG670" s="323"/>
      <c r="FH670" s="323"/>
      <c r="FI670" s="323"/>
      <c r="FJ670" s="325"/>
      <c r="FK670" s="323"/>
      <c r="FL670" s="323"/>
      <c r="FM670" s="323"/>
      <c r="FN670" s="323"/>
      <c r="FO670" s="323"/>
      <c r="FP670" s="323"/>
      <c r="FQ670" s="323"/>
      <c r="FR670" s="323"/>
      <c r="FS670" s="323"/>
      <c r="FT670" s="323"/>
      <c r="FU670" s="323"/>
      <c r="FV670" s="323"/>
      <c r="FW670" s="323"/>
      <c r="FX670" s="323"/>
      <c r="FY670" s="323"/>
      <c r="FZ670" s="323"/>
      <c r="GA670" s="323"/>
      <c r="GB670" s="323"/>
      <c r="GC670" s="323"/>
      <c r="GD670" s="323"/>
      <c r="GE670" s="323"/>
      <c r="GF670" s="323"/>
      <c r="GG670" s="323"/>
      <c r="GH670" s="323"/>
      <c r="GI670" s="323"/>
      <c r="GJ670" s="323"/>
      <c r="GK670" s="323"/>
      <c r="GL670" s="323"/>
      <c r="GM670" s="323"/>
      <c r="GN670" s="323"/>
      <c r="GO670" s="323"/>
      <c r="GP670" s="323"/>
      <c r="GQ670" s="323"/>
      <c r="GR670" s="323"/>
      <c r="GS670" s="323"/>
      <c r="GT670" s="323"/>
      <c r="GU670" s="323"/>
      <c r="GV670" s="323"/>
      <c r="GW670" s="323"/>
      <c r="GX670" s="323"/>
      <c r="GY670" s="323"/>
      <c r="GZ670" s="323"/>
      <c r="HA670" s="323"/>
      <c r="HB670" s="323"/>
      <c r="HC670" s="323"/>
      <c r="HD670" s="323"/>
      <c r="HE670" s="323"/>
      <c r="HF670" s="323"/>
      <c r="HG670" s="323"/>
      <c r="HH670" s="323"/>
      <c r="HI670" s="323"/>
      <c r="HJ670" s="323"/>
      <c r="HK670" s="323"/>
      <c r="HL670" s="323"/>
      <c r="HM670" s="323"/>
      <c r="HN670" s="323"/>
      <c r="HO670" s="323"/>
      <c r="HP670" s="323"/>
      <c r="HQ670" s="323"/>
      <c r="HR670" s="323"/>
      <c r="HS670" s="323"/>
      <c r="HT670" s="323"/>
      <c r="HU670" s="323"/>
      <c r="HV670" s="323"/>
      <c r="HW670" s="323"/>
      <c r="HX670" s="323"/>
      <c r="HY670" s="323"/>
      <c r="HZ670" s="326"/>
      <c r="IA670" s="569" t="s">
        <v>162</v>
      </c>
      <c r="IB670" s="569"/>
      <c r="IC670" s="569"/>
      <c r="ID670" s="323">
        <f>+FISC!Z882</f>
        <v>202.863</v>
      </c>
      <c r="IE670" s="279">
        <f t="shared" ref="IE670:IL670" si="633">IE671+IE676</f>
        <v>110.20250971978001</v>
      </c>
      <c r="IF670" s="279">
        <f t="shared" si="633"/>
        <v>92.621132323234661</v>
      </c>
      <c r="IG670" s="323">
        <f t="shared" si="633"/>
        <v>202.82364204301467</v>
      </c>
      <c r="IH670" s="279">
        <f t="shared" si="633"/>
        <v>174.17673368599714</v>
      </c>
      <c r="II670" s="279">
        <f t="shared" si="633"/>
        <v>67.352848918405982</v>
      </c>
      <c r="IJ670" s="323">
        <f t="shared" si="633"/>
        <v>241.52958260440315</v>
      </c>
      <c r="IK670" s="279">
        <f t="shared" si="633"/>
        <v>227.18335127502195</v>
      </c>
      <c r="IL670" s="279">
        <f t="shared" si="633"/>
        <v>117.38616403445856</v>
      </c>
      <c r="IM670" s="323">
        <f t="shared" si="503"/>
        <v>344.56951530948049</v>
      </c>
      <c r="IN670" s="279">
        <f>IN671+IN676</f>
        <v>221.472406917173</v>
      </c>
      <c r="IO670" s="279">
        <f>IO671+IO676</f>
        <v>160.37448244597002</v>
      </c>
      <c r="IP670" s="323">
        <f>FISC!AC882</f>
        <v>381.84688936314302</v>
      </c>
      <c r="IQ670" s="279">
        <f>SUM(EM670:ER670)</f>
        <v>272.06780849639836</v>
      </c>
      <c r="IR670" s="279">
        <f>SUM(ES670:EX670)</f>
        <v>204.90916444539539</v>
      </c>
      <c r="IS670" s="323">
        <f t="shared" si="590"/>
        <v>476.97697294179375</v>
      </c>
      <c r="IT670" s="279">
        <f>IT671+IT676</f>
        <v>451.54193455558487</v>
      </c>
      <c r="IU670" s="279">
        <f>IU671+IU676</f>
        <v>742.31398899936721</v>
      </c>
      <c r="IV670" s="323">
        <f>+FISC!AE882</f>
        <v>1193.8559235549519</v>
      </c>
      <c r="IW670" s="279">
        <f>IW671+IW676</f>
        <v>492.16432669715732</v>
      </c>
      <c r="IX670" s="279">
        <f t="shared" si="486"/>
        <v>291.24502923925024</v>
      </c>
      <c r="IY670" s="323">
        <f>+FISC!AF882</f>
        <v>783.40935593640756</v>
      </c>
      <c r="IZ670" s="279">
        <f>IZ671+IZ676</f>
        <v>925.58206080302648</v>
      </c>
      <c r="JA670" s="279">
        <f t="shared" si="540"/>
        <v>321.3952820465388</v>
      </c>
      <c r="JB670" s="323">
        <f>+FISC!AG882</f>
        <v>1246.9773428495653</v>
      </c>
      <c r="JC670" s="279">
        <f>JC671+JC676</f>
        <v>222.24536558886271</v>
      </c>
      <c r="JD670" s="279">
        <f t="shared" si="487"/>
        <v>725.15789124960236</v>
      </c>
      <c r="JE670" s="323">
        <f>+FISC!AH882</f>
        <v>947.40325683846504</v>
      </c>
      <c r="JF670" s="279">
        <f>JF671+JF676</f>
        <v>571.80764213963221</v>
      </c>
      <c r="JG670" s="279">
        <f t="shared" si="488"/>
        <v>830.41029756247826</v>
      </c>
      <c r="JH670" s="323">
        <f>+FISC!AI882</f>
        <v>1402.2179397021105</v>
      </c>
      <c r="JI670" s="279">
        <f>JI671+JI676</f>
        <v>1116.0783691662145</v>
      </c>
      <c r="JJ670" s="279">
        <f t="shared" si="489"/>
        <v>383.17297448529916</v>
      </c>
      <c r="JK670" s="323">
        <f>+FISC!AJ882</f>
        <v>1499.2513436515137</v>
      </c>
      <c r="JL670" s="279">
        <f>JL671+JL676</f>
        <v>643.41163134393435</v>
      </c>
      <c r="JM670" s="279">
        <f t="shared" si="490"/>
        <v>-643.41163134393435</v>
      </c>
      <c r="JN670" s="323">
        <f>+FISC!AK882</f>
        <v>0</v>
      </c>
      <c r="JO670" s="323"/>
      <c r="KU670" s="326"/>
      <c r="KV670" s="327"/>
      <c r="KY670" s="279">
        <f>KY671+KY676</f>
        <v>0</v>
      </c>
      <c r="KZ670" s="279">
        <f>KZ671+KZ676</f>
        <v>0</v>
      </c>
      <c r="LA670" s="279">
        <f>LA671+LA676</f>
        <v>0</v>
      </c>
      <c r="LB670" s="279">
        <f>LB671+LB676</f>
        <v>0</v>
      </c>
    </row>
    <row r="671" spans="1:314" hidden="1">
      <c r="A671" s="279"/>
      <c r="B671" s="96" t="s">
        <v>338</v>
      </c>
      <c r="D671" s="322" t="str">
        <f>+FISC!D883</f>
        <v>Budgetary loans</v>
      </c>
      <c r="E671" s="323">
        <v>0</v>
      </c>
      <c r="F671" s="323">
        <v>7.6695603000000001E-2</v>
      </c>
      <c r="G671" s="323">
        <v>0.20730706699999998</v>
      </c>
      <c r="H671" s="323">
        <v>0</v>
      </c>
      <c r="I671" s="323">
        <v>0</v>
      </c>
      <c r="J671" s="323">
        <v>0</v>
      </c>
      <c r="K671" s="323">
        <v>0.27223934000000005</v>
      </c>
      <c r="L671" s="323">
        <v>0</v>
      </c>
      <c r="M671" s="323">
        <v>0</v>
      </c>
      <c r="N671" s="323">
        <v>0</v>
      </c>
      <c r="O671" s="323">
        <v>0</v>
      </c>
      <c r="P671" s="323">
        <v>0</v>
      </c>
      <c r="Q671" s="323">
        <v>0</v>
      </c>
      <c r="R671" s="323">
        <v>0</v>
      </c>
      <c r="S671" s="323">
        <v>3.8087044240000001</v>
      </c>
      <c r="T671" s="323">
        <v>0.85609026600000004</v>
      </c>
      <c r="U671" s="323">
        <v>0</v>
      </c>
      <c r="V671" s="323">
        <v>0.54509424000000006</v>
      </c>
      <c r="W671" s="323">
        <v>0.50553046499999998</v>
      </c>
      <c r="X671" s="323">
        <v>5.9410344000000004E-2</v>
      </c>
      <c r="Y671" s="323">
        <v>0</v>
      </c>
      <c r="Z671" s="323">
        <v>0.11423541600000001</v>
      </c>
      <c r="AA671" s="323">
        <v>4.4888796999999994E-2</v>
      </c>
      <c r="AB671" s="323">
        <v>0</v>
      </c>
      <c r="AC671" s="323">
        <v>0</v>
      </c>
      <c r="AD671" s="323">
        <v>0</v>
      </c>
      <c r="AE671" s="323">
        <v>0</v>
      </c>
      <c r="AF671" s="323">
        <v>0</v>
      </c>
      <c r="AG671" s="323">
        <v>0</v>
      </c>
      <c r="AH671" s="323">
        <v>0</v>
      </c>
      <c r="AI671" s="323">
        <v>0</v>
      </c>
      <c r="AJ671" s="323">
        <v>0</v>
      </c>
      <c r="AK671" s="323">
        <v>0</v>
      </c>
      <c r="AL671" s="323">
        <v>0</v>
      </c>
      <c r="AM671" s="323">
        <v>0</v>
      </c>
      <c r="AN671" s="323">
        <v>0</v>
      </c>
      <c r="AO671" s="323">
        <v>0</v>
      </c>
      <c r="AP671" s="323">
        <v>0</v>
      </c>
      <c r="AQ671" s="323">
        <v>0</v>
      </c>
      <c r="AR671" s="323">
        <v>0</v>
      </c>
      <c r="AS671" s="323">
        <v>0</v>
      </c>
      <c r="AT671" s="323">
        <v>0</v>
      </c>
      <c r="AU671" s="323">
        <v>0</v>
      </c>
      <c r="AV671" s="323">
        <v>0</v>
      </c>
      <c r="AW671" s="323">
        <v>0</v>
      </c>
      <c r="AX671" s="323">
        <v>0</v>
      </c>
      <c r="AY671" s="323">
        <v>0</v>
      </c>
      <c r="AZ671" s="323">
        <v>0</v>
      </c>
      <c r="BA671" s="323">
        <v>0</v>
      </c>
      <c r="BB671" s="323">
        <v>0</v>
      </c>
      <c r="BC671" s="323">
        <v>0</v>
      </c>
      <c r="BD671" s="323">
        <v>0</v>
      </c>
      <c r="BE671" s="323">
        <v>21.355354726000002</v>
      </c>
      <c r="BF671" s="323">
        <v>0</v>
      </c>
      <c r="BG671" s="323">
        <v>0</v>
      </c>
      <c r="BH671" s="323">
        <v>0</v>
      </c>
      <c r="BI671" s="323">
        <v>0</v>
      </c>
      <c r="BJ671" s="323">
        <v>3.7486000989999999</v>
      </c>
      <c r="BK671" s="323">
        <v>0</v>
      </c>
      <c r="BL671" s="323">
        <v>49.702158643999994</v>
      </c>
      <c r="BM671" s="323">
        <v>0</v>
      </c>
      <c r="BN671" s="323">
        <v>0</v>
      </c>
      <c r="BO671" s="323">
        <v>0</v>
      </c>
      <c r="BP671" s="323">
        <v>0</v>
      </c>
      <c r="BQ671" s="323">
        <v>0</v>
      </c>
      <c r="BR671" s="323">
        <v>0</v>
      </c>
      <c r="BS671" s="323">
        <v>0</v>
      </c>
      <c r="BT671" s="323">
        <v>0</v>
      </c>
      <c r="BU671" s="323">
        <v>8.2565000000000008</v>
      </c>
      <c r="BV671" s="323"/>
      <c r="BW671" s="323"/>
      <c r="BX671" s="323"/>
      <c r="BY671" s="323">
        <v>0</v>
      </c>
      <c r="BZ671" s="323">
        <v>0</v>
      </c>
      <c r="CA671" s="323">
        <v>0</v>
      </c>
      <c r="CB671" s="323">
        <v>0</v>
      </c>
      <c r="CC671" s="323">
        <v>0</v>
      </c>
      <c r="CD671" s="323">
        <v>8.2463667340000004</v>
      </c>
      <c r="CE671" s="324">
        <f t="shared" ref="CE671:DJ671" si="634">CE33</f>
        <v>0</v>
      </c>
      <c r="CF671" s="323">
        <f t="shared" si="634"/>
        <v>0</v>
      </c>
      <c r="CG671" s="323">
        <f t="shared" si="634"/>
        <v>0</v>
      </c>
      <c r="CH671" s="323">
        <f t="shared" si="634"/>
        <v>0</v>
      </c>
      <c r="CI671" s="323">
        <f t="shared" si="634"/>
        <v>0</v>
      </c>
      <c r="CJ671" s="323">
        <f t="shared" si="634"/>
        <v>0</v>
      </c>
      <c r="CK671" s="323">
        <f t="shared" si="634"/>
        <v>0</v>
      </c>
      <c r="CL671" s="323">
        <f t="shared" si="634"/>
        <v>0</v>
      </c>
      <c r="CM671" s="323">
        <f t="shared" si="634"/>
        <v>0</v>
      </c>
      <c r="CN671" s="323">
        <f t="shared" si="634"/>
        <v>0</v>
      </c>
      <c r="CO671" s="323">
        <f t="shared" si="634"/>
        <v>31.631566856500001</v>
      </c>
      <c r="CP671" s="325">
        <f t="shared" si="634"/>
        <v>17.854694282301999</v>
      </c>
      <c r="CQ671" s="323">
        <f t="shared" si="634"/>
        <v>0</v>
      </c>
      <c r="CR671" s="323">
        <f t="shared" si="634"/>
        <v>0</v>
      </c>
      <c r="CS671" s="323">
        <f t="shared" si="634"/>
        <v>0</v>
      </c>
      <c r="CT671" s="323">
        <f t="shared" si="634"/>
        <v>0</v>
      </c>
      <c r="CU671" s="323">
        <f t="shared" si="634"/>
        <v>0</v>
      </c>
      <c r="CV671" s="323">
        <f t="shared" si="634"/>
        <v>56.682335553289001</v>
      </c>
      <c r="CW671" s="323">
        <f t="shared" si="634"/>
        <v>0</v>
      </c>
      <c r="CX671" s="323">
        <f t="shared" si="634"/>
        <v>0</v>
      </c>
      <c r="CY671" s="323">
        <f t="shared" si="634"/>
        <v>0</v>
      </c>
      <c r="CZ671" s="323">
        <f t="shared" si="634"/>
        <v>46.908105421953671</v>
      </c>
      <c r="DA671" s="323">
        <f t="shared" si="634"/>
        <v>0</v>
      </c>
      <c r="DB671" s="1269">
        <f t="shared" si="634"/>
        <v>0</v>
      </c>
      <c r="DC671" s="323">
        <f t="shared" si="634"/>
        <v>0</v>
      </c>
      <c r="DD671" s="323">
        <f t="shared" si="634"/>
        <v>0</v>
      </c>
      <c r="DE671" s="323">
        <f t="shared" si="634"/>
        <v>44.87491947503694</v>
      </c>
      <c r="DF671" s="323">
        <f t="shared" si="634"/>
        <v>7.6787741383385413</v>
      </c>
      <c r="DG671" s="323">
        <f t="shared" si="634"/>
        <v>0</v>
      </c>
      <c r="DH671" s="323">
        <f t="shared" si="634"/>
        <v>70.05920556739467</v>
      </c>
      <c r="DI671" s="323">
        <f t="shared" si="634"/>
        <v>0</v>
      </c>
      <c r="DJ671" s="323">
        <f t="shared" si="634"/>
        <v>16.048668081999999</v>
      </c>
      <c r="DK671" s="323">
        <f t="shared" ref="DK671:EP671" si="635">DK33</f>
        <v>0</v>
      </c>
      <c r="DL671" s="323">
        <f t="shared" si="635"/>
        <v>0</v>
      </c>
      <c r="DM671" s="323">
        <f t="shared" si="635"/>
        <v>0</v>
      </c>
      <c r="DN671" s="325">
        <f t="shared" si="635"/>
        <v>0</v>
      </c>
      <c r="DO671" s="323">
        <f t="shared" si="635"/>
        <v>0</v>
      </c>
      <c r="DP671" s="323">
        <f t="shared" si="635"/>
        <v>0</v>
      </c>
      <c r="DQ671" s="323">
        <f t="shared" si="635"/>
        <v>19.271476517449592</v>
      </c>
      <c r="DR671" s="323">
        <f t="shared" si="635"/>
        <v>63.686505457646405</v>
      </c>
      <c r="DS671" s="323">
        <f t="shared" si="635"/>
        <v>0</v>
      </c>
      <c r="DT671" s="323">
        <f t="shared" si="635"/>
        <v>74.902879725146917</v>
      </c>
      <c r="DU671" s="323">
        <f t="shared" si="635"/>
        <v>0</v>
      </c>
      <c r="DV671" s="323">
        <f t="shared" si="635"/>
        <v>0</v>
      </c>
      <c r="DW671" s="323">
        <f t="shared" si="635"/>
        <v>0</v>
      </c>
      <c r="DX671" s="323">
        <f t="shared" si="635"/>
        <v>0</v>
      </c>
      <c r="DY671" s="323">
        <f t="shared" si="635"/>
        <v>25.959476439408562</v>
      </c>
      <c r="DZ671" s="325">
        <f t="shared" si="635"/>
        <v>0</v>
      </c>
      <c r="EA671" s="323">
        <f t="shared" si="635"/>
        <v>0</v>
      </c>
      <c r="EB671" s="323">
        <f t="shared" si="635"/>
        <v>17.655663775983001</v>
      </c>
      <c r="EC671" s="323">
        <f t="shared" si="635"/>
        <v>25.542790115999999</v>
      </c>
      <c r="ED671" s="323">
        <f t="shared" si="635"/>
        <v>6.2556475300000001</v>
      </c>
      <c r="EE671" s="323">
        <f t="shared" si="635"/>
        <v>104.77629606000001</v>
      </c>
      <c r="EF671" s="323">
        <f t="shared" si="635"/>
        <v>0</v>
      </c>
      <c r="EG671" s="323">
        <f t="shared" si="635"/>
        <v>36.409625616</v>
      </c>
      <c r="EH671" s="323">
        <f t="shared" si="635"/>
        <v>0</v>
      </c>
      <c r="EI671" s="323">
        <f t="shared" si="635"/>
        <v>0</v>
      </c>
      <c r="EJ671" s="323">
        <f t="shared" si="635"/>
        <v>0</v>
      </c>
      <c r="EK671" s="323">
        <f t="shared" si="635"/>
        <v>20.856450759000001</v>
      </c>
      <c r="EL671" s="325">
        <f t="shared" si="635"/>
        <v>0</v>
      </c>
      <c r="EM671" s="323">
        <f t="shared" si="635"/>
        <v>0</v>
      </c>
      <c r="EN671" s="323">
        <f t="shared" si="635"/>
        <v>0</v>
      </c>
      <c r="EO671" s="323">
        <f t="shared" si="635"/>
        <v>0</v>
      </c>
      <c r="EP671" s="323">
        <f t="shared" si="635"/>
        <v>4.4390382572712728</v>
      </c>
      <c r="EQ671" s="323">
        <f t="shared" ref="EQ671:EX671" si="636">EQ33</f>
        <v>0</v>
      </c>
      <c r="ER671" s="323">
        <f t="shared" si="636"/>
        <v>194.16733567142407</v>
      </c>
      <c r="ES671" s="323">
        <f t="shared" si="636"/>
        <v>0</v>
      </c>
      <c r="ET671" s="323">
        <f t="shared" si="636"/>
        <v>0</v>
      </c>
      <c r="EU671" s="323">
        <f t="shared" si="636"/>
        <v>0</v>
      </c>
      <c r="EV671" s="323">
        <f t="shared" si="636"/>
        <v>5.3858014281060003</v>
      </c>
      <c r="EW671" s="323">
        <f t="shared" si="636"/>
        <v>0</v>
      </c>
      <c r="EX671" s="325">
        <f t="shared" si="636"/>
        <v>58.056333345380395</v>
      </c>
      <c r="EY671" s="323"/>
      <c r="EZ671" s="323"/>
      <c r="FA671" s="323"/>
      <c r="FB671" s="323"/>
      <c r="FC671" s="323"/>
      <c r="FD671" s="323"/>
      <c r="FE671" s="323"/>
      <c r="FF671" s="323"/>
      <c r="FG671" s="323"/>
      <c r="FH671" s="323"/>
      <c r="FI671" s="323"/>
      <c r="FJ671" s="325"/>
      <c r="FK671" s="323"/>
      <c r="FL671" s="323"/>
      <c r="FM671" s="323"/>
      <c r="FN671" s="323"/>
      <c r="FO671" s="323"/>
      <c r="FP671" s="323"/>
      <c r="FQ671" s="323"/>
      <c r="FR671" s="323"/>
      <c r="FS671" s="323"/>
      <c r="FT671" s="323"/>
      <c r="FU671" s="323"/>
      <c r="FV671" s="323"/>
      <c r="FW671" s="323"/>
      <c r="FX671" s="323"/>
      <c r="FY671" s="323"/>
      <c r="FZ671" s="323"/>
      <c r="GA671" s="323"/>
      <c r="GB671" s="323"/>
      <c r="GC671" s="323"/>
      <c r="GD671" s="323"/>
      <c r="GE671" s="323"/>
      <c r="GF671" s="323"/>
      <c r="GG671" s="323"/>
      <c r="GH671" s="323"/>
      <c r="GI671" s="323"/>
      <c r="GJ671" s="323"/>
      <c r="GK671" s="323"/>
      <c r="GL671" s="323"/>
      <c r="GM671" s="323"/>
      <c r="GN671" s="323"/>
      <c r="GO671" s="323"/>
      <c r="GP671" s="323"/>
      <c r="GQ671" s="323"/>
      <c r="GR671" s="323"/>
      <c r="GS671" s="323"/>
      <c r="GT671" s="323"/>
      <c r="GU671" s="323"/>
      <c r="GV671" s="323"/>
      <c r="GW671" s="323"/>
      <c r="GX671" s="323"/>
      <c r="GY671" s="323"/>
      <c r="GZ671" s="323"/>
      <c r="HA671" s="323"/>
      <c r="HB671" s="323"/>
      <c r="HC671" s="323"/>
      <c r="HD671" s="323"/>
      <c r="HE671" s="323"/>
      <c r="HF671" s="323"/>
      <c r="HG671" s="323"/>
      <c r="HH671" s="323"/>
      <c r="HI671" s="323"/>
      <c r="HJ671" s="323"/>
      <c r="HK671" s="323"/>
      <c r="HL671" s="323"/>
      <c r="HM671" s="323"/>
      <c r="HN671" s="323"/>
      <c r="HO671" s="323"/>
      <c r="HP671" s="323"/>
      <c r="HQ671" s="323"/>
      <c r="HR671" s="323"/>
      <c r="HS671" s="323"/>
      <c r="HT671" s="323"/>
      <c r="HU671" s="323"/>
      <c r="HV671" s="323"/>
      <c r="HW671" s="323"/>
      <c r="HX671" s="323"/>
      <c r="HY671" s="323"/>
      <c r="HZ671" s="326"/>
      <c r="IA671" s="322" t="s">
        <v>1056</v>
      </c>
      <c r="IB671" s="322"/>
      <c r="IC671" s="322"/>
      <c r="ID671" s="323">
        <f>+FISC!Z883</f>
        <v>103.63</v>
      </c>
      <c r="IE671" s="279">
        <f>SUM(CQ671:CV671)</f>
        <v>56.682335553289001</v>
      </c>
      <c r="IF671" s="279">
        <f>SUM(CW671:DB671)</f>
        <v>46.908105421953671</v>
      </c>
      <c r="IG671" s="323">
        <f>SUM(CQ671:DB671)</f>
        <v>103.59044097524267</v>
      </c>
      <c r="IH671" s="279">
        <f>+SUM(DC671:DH671)</f>
        <v>122.61289918077014</v>
      </c>
      <c r="II671" s="279">
        <f>+SUM(DI671:DN671)</f>
        <v>16.048668081999999</v>
      </c>
      <c r="IJ671" s="323">
        <f>IH671+II671</f>
        <v>138.66156726277015</v>
      </c>
      <c r="IK671" s="279">
        <f>+SUM(DO671:DT671)</f>
        <v>157.86086170024294</v>
      </c>
      <c r="IL671" s="279">
        <f>SUM(DU671:DZ671)</f>
        <v>25.959476439408562</v>
      </c>
      <c r="IM671" s="323">
        <f t="shared" si="503"/>
        <v>183.82033813965148</v>
      </c>
      <c r="IN671" s="279">
        <f>(FISC!AB73*FISC!AC259/1000)*0+154.230397481983</f>
        <v>154.230397481983</v>
      </c>
      <c r="IO671" s="279">
        <f>+(IP671-IN671)</f>
        <v>57.266076375000011</v>
      </c>
      <c r="IP671" s="323">
        <f>FISC!AC883</f>
        <v>211.49647385698302</v>
      </c>
      <c r="IQ671" s="279">
        <f>SUM(EM671:ER671)</f>
        <v>198.60637392869535</v>
      </c>
      <c r="IR671" s="279">
        <f>SUM(ES671:EX671)</f>
        <v>63.442134773486394</v>
      </c>
      <c r="IS671" s="323">
        <f t="shared" si="590"/>
        <v>262.04850870218172</v>
      </c>
      <c r="IT671" s="279">
        <f>(((FISC!AD73*FISC!AE259)/1000)+(FISC!AD78*FISC!AE259)/1000)+IT672</f>
        <v>314.72003730731018</v>
      </c>
      <c r="IU671" s="279">
        <f>+IV671-IT671</f>
        <v>591.16483555152558</v>
      </c>
      <c r="IV671" s="323">
        <f>+FISC!AE883</f>
        <v>905.88487285883571</v>
      </c>
      <c r="IW671" s="279">
        <f>(((FISC!AE73*FISC!AF259)/1000)+(FISC!AE78*FISC!AF259)/1000)</f>
        <v>238.83947735517793</v>
      </c>
      <c r="IX671" s="279">
        <f t="shared" si="486"/>
        <v>104.23216523999994</v>
      </c>
      <c r="IY671" s="323">
        <f>+FISC!AF1354</f>
        <v>343.07164259517788</v>
      </c>
      <c r="IZ671" s="279">
        <f>((FISC!AF73*FISC!AG259)/1000)+(FISC!AF78*FISC!AG259)/1000</f>
        <v>701.2328893890276</v>
      </c>
      <c r="JA671" s="279">
        <f t="shared" si="540"/>
        <v>139.21318679131775</v>
      </c>
      <c r="JB671" s="323">
        <f>+FISC!AG883</f>
        <v>840.44607618034536</v>
      </c>
      <c r="JC671" s="279">
        <f>((FISC!AG73*FISC!AH259)/1000)+(FISC!AG78*FISC!AH259)/1000</f>
        <v>9.3783248148558389</v>
      </c>
      <c r="JD671" s="279">
        <f t="shared" si="487"/>
        <v>509.02327559558404</v>
      </c>
      <c r="JE671" s="323">
        <f>+FISC!AH883</f>
        <v>518.40160041043987</v>
      </c>
      <c r="JF671" s="279">
        <f>((FISC!AH73*FISC!AI259)/1000)+(FISC!AH78*FISC!AI259)/1000</f>
        <v>306.26707488262497</v>
      </c>
      <c r="JG671" s="279">
        <f t="shared" si="488"/>
        <v>466.55883943401903</v>
      </c>
      <c r="JH671" s="323">
        <f>+FISC!AI883</f>
        <v>772.825914316644</v>
      </c>
      <c r="JI671" s="279">
        <f>((FISC!AI73*FISC!AJ259)/1000)+(FISC!AI78*FISC!AJ259)/1000</f>
        <v>749.7555875344666</v>
      </c>
      <c r="JJ671" s="279">
        <f t="shared" si="489"/>
        <v>33.797829843637146</v>
      </c>
      <c r="JK671" s="323">
        <f>+FISC!AJ883</f>
        <v>783.55341737810375</v>
      </c>
      <c r="JL671" s="279">
        <f>((FISC!AJ73*FISC!AK259)/1000)+(FISC!AJ78*FISC!AK259)/1000</f>
        <v>233.76574717005772</v>
      </c>
      <c r="JM671" s="279">
        <f t="shared" si="490"/>
        <v>-233.76574717005772</v>
      </c>
      <c r="JN671" s="323">
        <f>+FISC!AK883</f>
        <v>0</v>
      </c>
      <c r="JO671" s="323"/>
      <c r="KU671" s="326"/>
      <c r="KV671" s="327"/>
    </row>
    <row r="672" spans="1:314" hidden="1">
      <c r="A672" s="279"/>
      <c r="D672" s="322"/>
      <c r="E672" s="323"/>
      <c r="F672" s="323"/>
      <c r="G672" s="323"/>
      <c r="H672" s="323"/>
      <c r="I672" s="323"/>
      <c r="J672" s="323"/>
      <c r="K672" s="323"/>
      <c r="L672" s="323"/>
      <c r="M672" s="323"/>
      <c r="N672" s="323"/>
      <c r="O672" s="323"/>
      <c r="P672" s="323"/>
      <c r="Q672" s="323"/>
      <c r="R672" s="323"/>
      <c r="S672" s="323"/>
      <c r="T672" s="323"/>
      <c r="U672" s="323"/>
      <c r="V672" s="323"/>
      <c r="W672" s="323"/>
      <c r="X672" s="323"/>
      <c r="Y672" s="323"/>
      <c r="Z672" s="323"/>
      <c r="AA672" s="323"/>
      <c r="AB672" s="323"/>
      <c r="AC672" s="323"/>
      <c r="AD672" s="323"/>
      <c r="AE672" s="323"/>
      <c r="AF672" s="323"/>
      <c r="AG672" s="323"/>
      <c r="AH672" s="323"/>
      <c r="AI672" s="323"/>
      <c r="AJ672" s="323"/>
      <c r="AK672" s="323"/>
      <c r="AL672" s="323"/>
      <c r="AM672" s="323"/>
      <c r="AN672" s="323"/>
      <c r="AO672" s="323"/>
      <c r="AP672" s="323"/>
      <c r="AQ672" s="323"/>
      <c r="AR672" s="323"/>
      <c r="AS672" s="323"/>
      <c r="AT672" s="323"/>
      <c r="AU672" s="323"/>
      <c r="AV672" s="323"/>
      <c r="AW672" s="323"/>
      <c r="AX672" s="323"/>
      <c r="AY672" s="323"/>
      <c r="AZ672" s="323"/>
      <c r="BA672" s="323"/>
      <c r="BB672" s="323"/>
      <c r="BC672" s="323"/>
      <c r="BD672" s="323"/>
      <c r="BE672" s="323"/>
      <c r="BF672" s="323"/>
      <c r="BG672" s="323"/>
      <c r="BH672" s="323"/>
      <c r="BI672" s="323"/>
      <c r="BJ672" s="323"/>
      <c r="BK672" s="323"/>
      <c r="BL672" s="323"/>
      <c r="BM672" s="323"/>
      <c r="BN672" s="323"/>
      <c r="BO672" s="323"/>
      <c r="BP672" s="323"/>
      <c r="BQ672" s="323"/>
      <c r="BR672" s="323"/>
      <c r="BS672" s="323"/>
      <c r="BT672" s="323"/>
      <c r="BU672" s="323"/>
      <c r="BV672" s="323"/>
      <c r="BW672" s="323"/>
      <c r="BX672" s="323"/>
      <c r="BY672" s="323"/>
      <c r="BZ672" s="323"/>
      <c r="CA672" s="323"/>
      <c r="CB672" s="323"/>
      <c r="CC672" s="323"/>
      <c r="CD672" s="323"/>
      <c r="CE672" s="324"/>
      <c r="CF672" s="323"/>
      <c r="CG672" s="323"/>
      <c r="CH672" s="323"/>
      <c r="CI672" s="323"/>
      <c r="CJ672" s="323"/>
      <c r="CK672" s="323"/>
      <c r="CL672" s="323"/>
      <c r="CM672" s="323"/>
      <c r="CN672" s="323"/>
      <c r="CO672" s="323"/>
      <c r="CP672" s="325"/>
      <c r="CQ672" s="323"/>
      <c r="CR672" s="323"/>
      <c r="CS672" s="323"/>
      <c r="CT672" s="323"/>
      <c r="CU672" s="323"/>
      <c r="CV672" s="323"/>
      <c r="CW672" s="323"/>
      <c r="CX672" s="323"/>
      <c r="CY672" s="323"/>
      <c r="CZ672" s="323"/>
      <c r="DA672" s="323"/>
      <c r="DB672" s="1269"/>
      <c r="DC672" s="323"/>
      <c r="DD672" s="323"/>
      <c r="DE672" s="323"/>
      <c r="DF672" s="323"/>
      <c r="DG672" s="323"/>
      <c r="DH672" s="323"/>
      <c r="DI672" s="323"/>
      <c r="DJ672" s="323"/>
      <c r="DK672" s="323"/>
      <c r="DL672" s="323"/>
      <c r="DM672" s="323"/>
      <c r="DN672" s="325"/>
      <c r="DO672" s="323"/>
      <c r="DP672" s="323"/>
      <c r="DQ672" s="323"/>
      <c r="DR672" s="323"/>
      <c r="DS672" s="323"/>
      <c r="DT672" s="323"/>
      <c r="DU672" s="323"/>
      <c r="DV672" s="323"/>
      <c r="DW672" s="323"/>
      <c r="DX672" s="323"/>
      <c r="DY672" s="323"/>
      <c r="DZ672" s="325"/>
      <c r="EA672" s="323"/>
      <c r="EB672" s="323"/>
      <c r="EC672" s="323"/>
      <c r="ED672" s="323"/>
      <c r="EE672" s="323"/>
      <c r="EF672" s="323"/>
      <c r="EG672" s="323"/>
      <c r="EH672" s="323"/>
      <c r="EI672" s="323"/>
      <c r="EJ672" s="323"/>
      <c r="EK672" s="323"/>
      <c r="EL672" s="325"/>
      <c r="EM672" s="323"/>
      <c r="EN672" s="323"/>
      <c r="EO672" s="323"/>
      <c r="EP672" s="323"/>
      <c r="EQ672" s="323"/>
      <c r="ER672" s="323"/>
      <c r="ES672" s="323"/>
      <c r="ET672" s="323"/>
      <c r="EU672" s="323"/>
      <c r="EV672" s="323"/>
      <c r="EW672" s="323"/>
      <c r="EX672" s="325"/>
      <c r="EY672" s="323"/>
      <c r="EZ672" s="323"/>
      <c r="FA672" s="323"/>
      <c r="FB672" s="323"/>
      <c r="FC672" s="323"/>
      <c r="FD672" s="323"/>
      <c r="FE672" s="323"/>
      <c r="FF672" s="323"/>
      <c r="FG672" s="323"/>
      <c r="FH672" s="323"/>
      <c r="FI672" s="323"/>
      <c r="FJ672" s="325"/>
      <c r="FK672" s="323"/>
      <c r="FL672" s="323"/>
      <c r="FM672" s="323"/>
      <c r="FN672" s="323"/>
      <c r="FO672" s="323"/>
      <c r="FP672" s="323"/>
      <c r="FQ672" s="323"/>
      <c r="FR672" s="323"/>
      <c r="FS672" s="323"/>
      <c r="FT672" s="323"/>
      <c r="FU672" s="323"/>
      <c r="FV672" s="323"/>
      <c r="FW672" s="323"/>
      <c r="FX672" s="323"/>
      <c r="FY672" s="323"/>
      <c r="FZ672" s="323"/>
      <c r="GA672" s="323"/>
      <c r="GB672" s="323"/>
      <c r="GC672" s="323"/>
      <c r="GD672" s="323"/>
      <c r="GE672" s="323"/>
      <c r="GF672" s="323"/>
      <c r="GG672" s="323"/>
      <c r="GH672" s="323"/>
      <c r="GI672" s="323"/>
      <c r="GJ672" s="323"/>
      <c r="GK672" s="323"/>
      <c r="GL672" s="323"/>
      <c r="GM672" s="323"/>
      <c r="GN672" s="323"/>
      <c r="GO672" s="323"/>
      <c r="GP672" s="323"/>
      <c r="GQ672" s="323"/>
      <c r="GR672" s="323"/>
      <c r="GS672" s="323"/>
      <c r="GT672" s="323"/>
      <c r="GU672" s="323"/>
      <c r="GV672" s="323"/>
      <c r="GW672" s="323"/>
      <c r="GX672" s="323"/>
      <c r="GY672" s="323"/>
      <c r="GZ672" s="323"/>
      <c r="HA672" s="323"/>
      <c r="HB672" s="323"/>
      <c r="HC672" s="323"/>
      <c r="HD672" s="323"/>
      <c r="HE672" s="323"/>
      <c r="HF672" s="323"/>
      <c r="HG672" s="323"/>
      <c r="HH672" s="323"/>
      <c r="HI672" s="323"/>
      <c r="HJ672" s="323"/>
      <c r="HK672" s="323"/>
      <c r="HL672" s="323"/>
      <c r="HM672" s="323"/>
      <c r="HN672" s="323"/>
      <c r="HO672" s="323"/>
      <c r="HP672" s="323"/>
      <c r="HQ672" s="323"/>
      <c r="HR672" s="323"/>
      <c r="HS672" s="323"/>
      <c r="HT672" s="323"/>
      <c r="HU672" s="323"/>
      <c r="HV672" s="323"/>
      <c r="HW672" s="323"/>
      <c r="HX672" s="323"/>
      <c r="HY672" s="323"/>
      <c r="HZ672" s="326"/>
      <c r="IA672" s="110" t="s">
        <v>1212</v>
      </c>
      <c r="IB672" s="110"/>
      <c r="IC672" s="110"/>
      <c r="ID672" s="323"/>
      <c r="IG672" s="323"/>
      <c r="IJ672" s="323"/>
      <c r="IM672" s="323"/>
      <c r="IP672" s="323"/>
      <c r="IS672" s="323"/>
      <c r="IT672" s="279">
        <f>IV672</f>
        <v>54.4</v>
      </c>
      <c r="IV672" s="323">
        <f>+FISC!AE884</f>
        <v>54.4</v>
      </c>
      <c r="IY672" s="323"/>
      <c r="JB672" s="323"/>
      <c r="JE672" s="323"/>
      <c r="JH672" s="323"/>
      <c r="JK672" s="323"/>
      <c r="JN672" s="323"/>
      <c r="JO672" s="323"/>
      <c r="KU672" s="326"/>
      <c r="KV672" s="327"/>
    </row>
    <row r="673" spans="1:314" hidden="1">
      <c r="A673" s="279"/>
      <c r="B673" s="96" t="s">
        <v>338</v>
      </c>
      <c r="D673" s="328" t="str">
        <f>+FISC!D885</f>
        <v>Budgetary loan [ AfDB Sector budgetary loan ]</v>
      </c>
      <c r="E673" s="323"/>
      <c r="F673" s="323"/>
      <c r="G673" s="323"/>
      <c r="H673" s="323"/>
      <c r="I673" s="323"/>
      <c r="J673" s="323"/>
      <c r="K673" s="323"/>
      <c r="L673" s="323"/>
      <c r="M673" s="323"/>
      <c r="N673" s="323"/>
      <c r="O673" s="323"/>
      <c r="P673" s="323"/>
      <c r="Q673" s="323"/>
      <c r="R673" s="323"/>
      <c r="S673" s="323"/>
      <c r="T673" s="323"/>
      <c r="U673" s="323"/>
      <c r="V673" s="323"/>
      <c r="W673" s="323"/>
      <c r="X673" s="323"/>
      <c r="Y673" s="323"/>
      <c r="Z673" s="323"/>
      <c r="AA673" s="323"/>
      <c r="AB673" s="323"/>
      <c r="AC673" s="323"/>
      <c r="AD673" s="323"/>
      <c r="AE673" s="323"/>
      <c r="AF673" s="323"/>
      <c r="AG673" s="323"/>
      <c r="AH673" s="323"/>
      <c r="AI673" s="323"/>
      <c r="AJ673" s="323"/>
      <c r="AK673" s="323"/>
      <c r="AL673" s="323"/>
      <c r="AM673" s="323"/>
      <c r="AN673" s="323"/>
      <c r="AO673" s="323"/>
      <c r="AP673" s="323"/>
      <c r="AQ673" s="323"/>
      <c r="AR673" s="323"/>
      <c r="AS673" s="323"/>
      <c r="AT673" s="323"/>
      <c r="AU673" s="323"/>
      <c r="AV673" s="323"/>
      <c r="AW673" s="323"/>
      <c r="AX673" s="323"/>
      <c r="AY673" s="323"/>
      <c r="AZ673" s="323"/>
      <c r="BA673" s="323"/>
      <c r="BB673" s="323"/>
      <c r="BC673" s="323"/>
      <c r="BD673" s="323"/>
      <c r="BE673" s="323"/>
      <c r="BF673" s="323"/>
      <c r="BG673" s="323"/>
      <c r="BH673" s="323"/>
      <c r="BI673" s="323"/>
      <c r="BJ673" s="323"/>
      <c r="BK673" s="323"/>
      <c r="BL673" s="323"/>
      <c r="BM673" s="323"/>
      <c r="BN673" s="323"/>
      <c r="BO673" s="323"/>
      <c r="BP673" s="323"/>
      <c r="BQ673" s="323"/>
      <c r="BR673" s="323"/>
      <c r="BS673" s="323"/>
      <c r="BT673" s="323"/>
      <c r="BU673" s="323"/>
      <c r="BV673" s="323"/>
      <c r="BW673" s="323"/>
      <c r="BX673" s="323"/>
      <c r="BY673" s="323"/>
      <c r="BZ673" s="323"/>
      <c r="CA673" s="323"/>
      <c r="CB673" s="323"/>
      <c r="CC673" s="323"/>
      <c r="CD673" s="323"/>
      <c r="CE673" s="324">
        <f t="shared" ref="CE673:DJ673" si="637">CE27</f>
        <v>0</v>
      </c>
      <c r="CF673" s="323">
        <f t="shared" si="637"/>
        <v>0</v>
      </c>
      <c r="CG673" s="323">
        <f t="shared" si="637"/>
        <v>0</v>
      </c>
      <c r="CH673" s="323">
        <f t="shared" si="637"/>
        <v>0</v>
      </c>
      <c r="CI673" s="323">
        <f t="shared" si="637"/>
        <v>0</v>
      </c>
      <c r="CJ673" s="323">
        <f t="shared" si="637"/>
        <v>0</v>
      </c>
      <c r="CK673" s="323">
        <f t="shared" si="637"/>
        <v>0</v>
      </c>
      <c r="CL673" s="323">
        <f t="shared" si="637"/>
        <v>0</v>
      </c>
      <c r="CM673" s="323">
        <f t="shared" si="637"/>
        <v>0</v>
      </c>
      <c r="CN673" s="323">
        <f t="shared" si="637"/>
        <v>0</v>
      </c>
      <c r="CO673" s="323">
        <f t="shared" si="637"/>
        <v>0</v>
      </c>
      <c r="CP673" s="325">
        <f t="shared" si="637"/>
        <v>17.854694282301999</v>
      </c>
      <c r="CQ673" s="323">
        <f t="shared" si="637"/>
        <v>0</v>
      </c>
      <c r="CR673" s="323">
        <f t="shared" si="637"/>
        <v>0</v>
      </c>
      <c r="CS673" s="323">
        <f t="shared" si="637"/>
        <v>0</v>
      </c>
      <c r="CT673" s="323">
        <f t="shared" si="637"/>
        <v>0</v>
      </c>
      <c r="CU673" s="323">
        <f t="shared" si="637"/>
        <v>0</v>
      </c>
      <c r="CV673" s="323">
        <f t="shared" si="637"/>
        <v>17.141914232569</v>
      </c>
      <c r="CW673" s="323">
        <f t="shared" si="637"/>
        <v>0</v>
      </c>
      <c r="CX673" s="323">
        <f t="shared" si="637"/>
        <v>0</v>
      </c>
      <c r="CY673" s="323">
        <f t="shared" si="637"/>
        <v>0</v>
      </c>
      <c r="CZ673" s="323">
        <f t="shared" si="637"/>
        <v>0</v>
      </c>
      <c r="DA673" s="323">
        <f t="shared" si="637"/>
        <v>0</v>
      </c>
      <c r="DB673" s="1269">
        <f t="shared" si="637"/>
        <v>0</v>
      </c>
      <c r="DC673" s="323">
        <f t="shared" si="637"/>
        <v>0</v>
      </c>
      <c r="DD673" s="323">
        <f t="shared" si="637"/>
        <v>0</v>
      </c>
      <c r="DE673" s="323">
        <f t="shared" si="637"/>
        <v>0</v>
      </c>
      <c r="DF673" s="323">
        <f t="shared" si="637"/>
        <v>0</v>
      </c>
      <c r="DG673" s="323">
        <f t="shared" si="637"/>
        <v>0</v>
      </c>
      <c r="DH673" s="323">
        <f t="shared" si="637"/>
        <v>0</v>
      </c>
      <c r="DI673" s="323">
        <f t="shared" si="637"/>
        <v>0</v>
      </c>
      <c r="DJ673" s="323">
        <f t="shared" si="637"/>
        <v>16.048668081999999</v>
      </c>
      <c r="DK673" s="323">
        <f t="shared" ref="DK673:EP673" si="638">DK27</f>
        <v>0</v>
      </c>
      <c r="DL673" s="323">
        <f t="shared" si="638"/>
        <v>0</v>
      </c>
      <c r="DM673" s="323">
        <f t="shared" si="638"/>
        <v>0</v>
      </c>
      <c r="DN673" s="325">
        <f t="shared" si="638"/>
        <v>0</v>
      </c>
      <c r="DO673" s="323">
        <f t="shared" si="638"/>
        <v>0</v>
      </c>
      <c r="DP673" s="323">
        <f t="shared" si="638"/>
        <v>0</v>
      </c>
      <c r="DQ673" s="323">
        <f t="shared" si="638"/>
        <v>0</v>
      </c>
      <c r="DR673" s="323">
        <f t="shared" si="638"/>
        <v>40.211763817859129</v>
      </c>
      <c r="DS673" s="323">
        <f t="shared" si="638"/>
        <v>0</v>
      </c>
      <c r="DT673" s="323">
        <f t="shared" si="638"/>
        <v>0</v>
      </c>
      <c r="DU673" s="323">
        <f t="shared" si="638"/>
        <v>0</v>
      </c>
      <c r="DV673" s="323">
        <f t="shared" si="638"/>
        <v>0</v>
      </c>
      <c r="DW673" s="323">
        <f t="shared" si="638"/>
        <v>0</v>
      </c>
      <c r="DX673" s="323">
        <f t="shared" si="638"/>
        <v>0</v>
      </c>
      <c r="DY673" s="323">
        <f t="shared" si="638"/>
        <v>0</v>
      </c>
      <c r="DZ673" s="325">
        <f t="shared" si="638"/>
        <v>0</v>
      </c>
      <c r="EA673" s="323">
        <f t="shared" si="638"/>
        <v>0</v>
      </c>
      <c r="EB673" s="323">
        <f t="shared" si="638"/>
        <v>0</v>
      </c>
      <c r="EC673" s="323">
        <f t="shared" si="638"/>
        <v>0</v>
      </c>
      <c r="ED673" s="323">
        <f t="shared" si="638"/>
        <v>0</v>
      </c>
      <c r="EE673" s="323">
        <f t="shared" si="638"/>
        <v>0</v>
      </c>
      <c r="EF673" s="323">
        <f t="shared" si="638"/>
        <v>0</v>
      </c>
      <c r="EG673" s="323">
        <f t="shared" si="638"/>
        <v>0</v>
      </c>
      <c r="EH673" s="323">
        <f t="shared" si="638"/>
        <v>0</v>
      </c>
      <c r="EI673" s="323">
        <f t="shared" si="638"/>
        <v>0</v>
      </c>
      <c r="EJ673" s="323">
        <f t="shared" si="638"/>
        <v>0</v>
      </c>
      <c r="EK673" s="323">
        <f t="shared" si="638"/>
        <v>20.856450759000001</v>
      </c>
      <c r="EL673" s="325">
        <f t="shared" si="638"/>
        <v>0</v>
      </c>
      <c r="EM673" s="323">
        <f t="shared" si="638"/>
        <v>0</v>
      </c>
      <c r="EN673" s="323">
        <f t="shared" si="638"/>
        <v>0</v>
      </c>
      <c r="EO673" s="323">
        <f t="shared" si="638"/>
        <v>0</v>
      </c>
      <c r="EP673" s="323">
        <f t="shared" si="638"/>
        <v>0</v>
      </c>
      <c r="EQ673" s="323">
        <f t="shared" ref="EQ673:EX673" si="639">EQ27</f>
        <v>0</v>
      </c>
      <c r="ER673" s="323">
        <f t="shared" si="639"/>
        <v>76.131426722094361</v>
      </c>
      <c r="ES673" s="323">
        <f t="shared" si="639"/>
        <v>0</v>
      </c>
      <c r="ET673" s="323">
        <f t="shared" si="639"/>
        <v>0</v>
      </c>
      <c r="EU673" s="323">
        <f t="shared" si="639"/>
        <v>0</v>
      </c>
      <c r="EV673" s="323">
        <f t="shared" si="639"/>
        <v>5.3858014279999997</v>
      </c>
      <c r="EW673" s="323">
        <f t="shared" si="639"/>
        <v>0</v>
      </c>
      <c r="EX673" s="325">
        <f t="shared" si="639"/>
        <v>41.546851434980397</v>
      </c>
      <c r="EY673" s="323"/>
      <c r="EZ673" s="323"/>
      <c r="FA673" s="323"/>
      <c r="FB673" s="323"/>
      <c r="FC673" s="323"/>
      <c r="FD673" s="323"/>
      <c r="FE673" s="323"/>
      <c r="FF673" s="323"/>
      <c r="FG673" s="323"/>
      <c r="FH673" s="323"/>
      <c r="FI673" s="323"/>
      <c r="FJ673" s="325"/>
      <c r="FK673" s="323"/>
      <c r="FL673" s="323"/>
      <c r="FM673" s="323"/>
      <c r="FN673" s="323"/>
      <c r="FO673" s="323"/>
      <c r="FP673" s="323"/>
      <c r="FQ673" s="323"/>
      <c r="FR673" s="323"/>
      <c r="FS673" s="323"/>
      <c r="FT673" s="323"/>
      <c r="FU673" s="323"/>
      <c r="FV673" s="323"/>
      <c r="FW673" s="323"/>
      <c r="FX673" s="323"/>
      <c r="FY673" s="323"/>
      <c r="FZ673" s="323"/>
      <c r="GA673" s="323"/>
      <c r="GB673" s="323"/>
      <c r="GC673" s="323"/>
      <c r="GD673" s="323"/>
      <c r="GE673" s="323"/>
      <c r="GF673" s="323"/>
      <c r="GG673" s="323"/>
      <c r="GH673" s="323"/>
      <c r="GI673" s="323"/>
      <c r="GJ673" s="323"/>
      <c r="GK673" s="323"/>
      <c r="GL673" s="323"/>
      <c r="GM673" s="323"/>
      <c r="GN673" s="323"/>
      <c r="GO673" s="323"/>
      <c r="GP673" s="323"/>
      <c r="GQ673" s="323"/>
      <c r="GR673" s="323"/>
      <c r="GS673" s="323"/>
      <c r="GT673" s="323"/>
      <c r="GU673" s="323"/>
      <c r="GV673" s="323"/>
      <c r="GW673" s="323"/>
      <c r="GX673" s="323"/>
      <c r="GY673" s="323"/>
      <c r="GZ673" s="323"/>
      <c r="HA673" s="323"/>
      <c r="HB673" s="323"/>
      <c r="HC673" s="323"/>
      <c r="HD673" s="323"/>
      <c r="HE673" s="323"/>
      <c r="HF673" s="323"/>
      <c r="HG673" s="323"/>
      <c r="HH673" s="323"/>
      <c r="HI673" s="323"/>
      <c r="HJ673" s="323"/>
      <c r="HK673" s="323"/>
      <c r="HL673" s="323"/>
      <c r="HM673" s="323"/>
      <c r="HN673" s="323"/>
      <c r="HO673" s="323"/>
      <c r="HP673" s="323"/>
      <c r="HQ673" s="323"/>
      <c r="HR673" s="323"/>
      <c r="HS673" s="323"/>
      <c r="HT673" s="323"/>
      <c r="HU673" s="323"/>
      <c r="HV673" s="323"/>
      <c r="HW673" s="323"/>
      <c r="HX673" s="323"/>
      <c r="HY673" s="323"/>
      <c r="HZ673" s="326"/>
      <c r="IA673" s="328" t="s">
        <v>163</v>
      </c>
      <c r="IB673" s="328"/>
      <c r="IC673" s="328"/>
      <c r="ID673" s="323">
        <f>+FISC!Z885</f>
        <v>0</v>
      </c>
      <c r="IE673" s="279">
        <f>SUM(CQ673:CV673)</f>
        <v>17.141914232569</v>
      </c>
      <c r="IF673" s="279">
        <f>SUM(CW673:DB673)</f>
        <v>0</v>
      </c>
      <c r="IG673" s="323">
        <f>SUM(CQ673:DB673)</f>
        <v>17.141914232569</v>
      </c>
      <c r="IJ673" s="323">
        <v>0</v>
      </c>
      <c r="IK673" s="279">
        <f t="shared" ref="IK673:IK680" si="640">+SUM(DO673:DT673)</f>
        <v>40.211763817859129</v>
      </c>
      <c r="IL673" s="279">
        <f t="shared" ref="IL673:IL680" si="641">SUM(DU673:DZ673)</f>
        <v>0</v>
      </c>
      <c r="IM673" s="323">
        <f t="shared" si="503"/>
        <v>40.211763817859129</v>
      </c>
      <c r="IO673" s="327"/>
      <c r="IP673" s="323">
        <f>FISC!AC885</f>
        <v>54.065289391982986</v>
      </c>
      <c r="IQ673" s="279">
        <f t="shared" ref="IQ673:IQ687" si="642">SUM(EM673:ER673)</f>
        <v>76.131426722094361</v>
      </c>
      <c r="IR673" s="279">
        <f t="shared" ref="IR673:IR687" si="643">SUM(ES673:EX673)</f>
        <v>46.932652862980397</v>
      </c>
      <c r="IS673" s="323">
        <f t="shared" si="590"/>
        <v>123.06407958507475</v>
      </c>
      <c r="IT673" s="327"/>
      <c r="IU673" s="327"/>
      <c r="IV673" s="323">
        <f>+FISC!AE885</f>
        <v>86.43933586343168</v>
      </c>
      <c r="IY673" s="323">
        <f>+FISC!AF885</f>
        <v>112.28298244284116</v>
      </c>
      <c r="JB673" s="323">
        <f>+FISC!AG885</f>
        <v>0</v>
      </c>
      <c r="JE673" s="323">
        <f>+FISC!AH885</f>
        <v>0</v>
      </c>
      <c r="JH673" s="323">
        <f>+FISC!AI885</f>
        <v>0</v>
      </c>
      <c r="JJ673" s="279">
        <f t="shared" si="489"/>
        <v>0</v>
      </c>
      <c r="JK673" s="323">
        <f>+FISC!AJ885</f>
        <v>0</v>
      </c>
      <c r="JM673" s="279">
        <f t="shared" si="490"/>
        <v>0</v>
      </c>
      <c r="JN673" s="323">
        <f>+FISC!AK885</f>
        <v>0</v>
      </c>
      <c r="JO673" s="323"/>
      <c r="KU673" s="326"/>
      <c r="KV673" s="327"/>
    </row>
    <row r="674" spans="1:314" hidden="1">
      <c r="A674" s="279"/>
      <c r="B674" s="96" t="s">
        <v>338</v>
      </c>
      <c r="D674" s="328" t="str">
        <f>+FISC!D886</f>
        <v>Budgetary loan [ WB PRSG loan ]</v>
      </c>
      <c r="E674" s="323"/>
      <c r="F674" s="323"/>
      <c r="G674" s="323"/>
      <c r="H674" s="323"/>
      <c r="I674" s="323"/>
      <c r="J674" s="323"/>
      <c r="K674" s="323"/>
      <c r="L674" s="323"/>
      <c r="M674" s="323"/>
      <c r="N674" s="323"/>
      <c r="O674" s="323"/>
      <c r="P674" s="323"/>
      <c r="Q674" s="323"/>
      <c r="R674" s="323"/>
      <c r="S674" s="323"/>
      <c r="T674" s="323"/>
      <c r="U674" s="323"/>
      <c r="V674" s="323"/>
      <c r="W674" s="323"/>
      <c r="X674" s="323"/>
      <c r="Y674" s="323"/>
      <c r="Z674" s="323"/>
      <c r="AA674" s="323"/>
      <c r="AB674" s="323"/>
      <c r="AC674" s="323"/>
      <c r="AD674" s="323"/>
      <c r="AE674" s="323"/>
      <c r="AF674" s="323"/>
      <c r="AG674" s="323"/>
      <c r="AH674" s="323"/>
      <c r="AI674" s="323"/>
      <c r="AJ674" s="323"/>
      <c r="AK674" s="323"/>
      <c r="AL674" s="323"/>
      <c r="AM674" s="323"/>
      <c r="AN674" s="323"/>
      <c r="AO674" s="323"/>
      <c r="AP674" s="323"/>
      <c r="AQ674" s="323"/>
      <c r="AR674" s="323"/>
      <c r="AS674" s="323"/>
      <c r="AT674" s="323"/>
      <c r="AU674" s="323"/>
      <c r="AV674" s="323"/>
      <c r="AW674" s="323"/>
      <c r="AX674" s="323"/>
      <c r="AY674" s="323"/>
      <c r="AZ674" s="323"/>
      <c r="BA674" s="323"/>
      <c r="BB674" s="323"/>
      <c r="BC674" s="323"/>
      <c r="BD674" s="323"/>
      <c r="BE674" s="323"/>
      <c r="BF674" s="323"/>
      <c r="BG674" s="323"/>
      <c r="BH674" s="323"/>
      <c r="BI674" s="323"/>
      <c r="BJ674" s="323"/>
      <c r="BK674" s="323"/>
      <c r="BL674" s="323"/>
      <c r="BM674" s="323"/>
      <c r="BN674" s="323"/>
      <c r="BO674" s="323"/>
      <c r="BP674" s="323"/>
      <c r="BQ674" s="323"/>
      <c r="BR674" s="323"/>
      <c r="BS674" s="323"/>
      <c r="BT674" s="323"/>
      <c r="BU674" s="323"/>
      <c r="BV674" s="323"/>
      <c r="BW674" s="323"/>
      <c r="BX674" s="323"/>
      <c r="BY674" s="323"/>
      <c r="BZ674" s="323"/>
      <c r="CA674" s="323"/>
      <c r="CB674" s="323"/>
      <c r="CC674" s="323"/>
      <c r="CD674" s="323"/>
      <c r="CE674" s="324">
        <f t="shared" ref="CE674:DJ674" si="644">CE28</f>
        <v>0</v>
      </c>
      <c r="CF674" s="323">
        <f t="shared" si="644"/>
        <v>0</v>
      </c>
      <c r="CG674" s="323">
        <f t="shared" si="644"/>
        <v>0</v>
      </c>
      <c r="CH674" s="323">
        <f t="shared" si="644"/>
        <v>0</v>
      </c>
      <c r="CI674" s="323">
        <f t="shared" si="644"/>
        <v>0</v>
      </c>
      <c r="CJ674" s="323">
        <f t="shared" si="644"/>
        <v>0</v>
      </c>
      <c r="CK674" s="323">
        <f t="shared" si="644"/>
        <v>0</v>
      </c>
      <c r="CL674" s="323">
        <f t="shared" si="644"/>
        <v>0</v>
      </c>
      <c r="CM674" s="323">
        <f t="shared" si="644"/>
        <v>0</v>
      </c>
      <c r="CN674" s="323">
        <f t="shared" si="644"/>
        <v>0</v>
      </c>
      <c r="CO674" s="323">
        <f t="shared" si="644"/>
        <v>31.631566856500001</v>
      </c>
      <c r="CP674" s="325">
        <f t="shared" si="644"/>
        <v>0</v>
      </c>
      <c r="CQ674" s="323">
        <f t="shared" si="644"/>
        <v>0</v>
      </c>
      <c r="CR674" s="323">
        <f t="shared" si="644"/>
        <v>0</v>
      </c>
      <c r="CS674" s="323">
        <f t="shared" si="644"/>
        <v>0</v>
      </c>
      <c r="CT674" s="323">
        <f t="shared" si="644"/>
        <v>0</v>
      </c>
      <c r="CU674" s="323">
        <f t="shared" si="644"/>
        <v>0</v>
      </c>
      <c r="CV674" s="323">
        <f t="shared" si="644"/>
        <v>39.54042132072</v>
      </c>
      <c r="CW674" s="323">
        <f t="shared" si="644"/>
        <v>0</v>
      </c>
      <c r="CX674" s="323">
        <f t="shared" si="644"/>
        <v>0</v>
      </c>
      <c r="CY674" s="323">
        <f t="shared" si="644"/>
        <v>0</v>
      </c>
      <c r="CZ674" s="323">
        <f t="shared" si="644"/>
        <v>46.908105421953671</v>
      </c>
      <c r="DA674" s="323">
        <f t="shared" si="644"/>
        <v>0</v>
      </c>
      <c r="DB674" s="1269">
        <f t="shared" si="644"/>
        <v>0</v>
      </c>
      <c r="DC674" s="323">
        <f t="shared" si="644"/>
        <v>0</v>
      </c>
      <c r="DD674" s="323">
        <f t="shared" si="644"/>
        <v>0</v>
      </c>
      <c r="DE674" s="323">
        <f t="shared" si="644"/>
        <v>44.87491947503694</v>
      </c>
      <c r="DF674" s="323">
        <f t="shared" si="644"/>
        <v>7.6787741383385413</v>
      </c>
      <c r="DG674" s="323">
        <f t="shared" si="644"/>
        <v>0</v>
      </c>
      <c r="DH674" s="323">
        <f t="shared" si="644"/>
        <v>70.05920556739467</v>
      </c>
      <c r="DI674" s="323">
        <f t="shared" si="644"/>
        <v>0</v>
      </c>
      <c r="DJ674" s="323">
        <f t="shared" si="644"/>
        <v>0</v>
      </c>
      <c r="DK674" s="323">
        <f t="shared" ref="DK674:EP674" si="645">DK28</f>
        <v>0</v>
      </c>
      <c r="DL674" s="323">
        <f t="shared" si="645"/>
        <v>0</v>
      </c>
      <c r="DM674" s="323">
        <f t="shared" si="645"/>
        <v>0</v>
      </c>
      <c r="DN674" s="325">
        <f t="shared" si="645"/>
        <v>0</v>
      </c>
      <c r="DO674" s="323">
        <f t="shared" si="645"/>
        <v>0</v>
      </c>
      <c r="DP674" s="323">
        <f t="shared" si="645"/>
        <v>0</v>
      </c>
      <c r="DQ674" s="323">
        <f t="shared" si="645"/>
        <v>19.271476517449592</v>
      </c>
      <c r="DR674" s="323">
        <f t="shared" si="645"/>
        <v>23.474741639787275</v>
      </c>
      <c r="DS674" s="323">
        <f t="shared" si="645"/>
        <v>0</v>
      </c>
      <c r="DT674" s="323">
        <f t="shared" si="645"/>
        <v>74.902879725146917</v>
      </c>
      <c r="DU674" s="323">
        <f t="shared" si="645"/>
        <v>0</v>
      </c>
      <c r="DV674" s="323">
        <f t="shared" si="645"/>
        <v>0</v>
      </c>
      <c r="DW674" s="323">
        <f t="shared" si="645"/>
        <v>0</v>
      </c>
      <c r="DX674" s="323">
        <f t="shared" si="645"/>
        <v>0</v>
      </c>
      <c r="DY674" s="323">
        <f t="shared" si="645"/>
        <v>25.959476439408562</v>
      </c>
      <c r="DZ674" s="325">
        <f t="shared" si="645"/>
        <v>0</v>
      </c>
      <c r="EA674" s="323">
        <f t="shared" si="645"/>
        <v>0</v>
      </c>
      <c r="EB674" s="323">
        <f t="shared" si="645"/>
        <v>0</v>
      </c>
      <c r="EC674" s="323">
        <f t="shared" si="645"/>
        <v>0</v>
      </c>
      <c r="ED674" s="323">
        <f t="shared" si="645"/>
        <v>0</v>
      </c>
      <c r="EE674" s="323">
        <f t="shared" si="645"/>
        <v>0</v>
      </c>
      <c r="EF674" s="323">
        <f t="shared" si="645"/>
        <v>0</v>
      </c>
      <c r="EG674" s="323">
        <f t="shared" si="645"/>
        <v>36.409625616</v>
      </c>
      <c r="EH674" s="323">
        <f t="shared" si="645"/>
        <v>0</v>
      </c>
      <c r="EI674" s="323">
        <f t="shared" si="645"/>
        <v>0</v>
      </c>
      <c r="EJ674" s="323">
        <f t="shared" si="645"/>
        <v>0</v>
      </c>
      <c r="EK674" s="323">
        <f t="shared" si="645"/>
        <v>20.856450759000001</v>
      </c>
      <c r="EL674" s="325">
        <f t="shared" si="645"/>
        <v>0</v>
      </c>
      <c r="EM674" s="323">
        <f t="shared" si="645"/>
        <v>0</v>
      </c>
      <c r="EN674" s="323">
        <f t="shared" si="645"/>
        <v>0</v>
      </c>
      <c r="EO674" s="323">
        <f t="shared" si="645"/>
        <v>0</v>
      </c>
      <c r="EP674" s="323">
        <f t="shared" si="645"/>
        <v>4.4390382572712728</v>
      </c>
      <c r="EQ674" s="323">
        <f t="shared" ref="EQ674:EX674" si="646">EQ28</f>
        <v>0</v>
      </c>
      <c r="ER674" s="323">
        <f t="shared" si="646"/>
        <v>118.03590894932972</v>
      </c>
      <c r="ES674" s="323">
        <f t="shared" si="646"/>
        <v>0</v>
      </c>
      <c r="ET674" s="323">
        <f t="shared" si="646"/>
        <v>0</v>
      </c>
      <c r="EU674" s="323">
        <f t="shared" si="646"/>
        <v>0</v>
      </c>
      <c r="EV674" s="323">
        <f t="shared" si="646"/>
        <v>0</v>
      </c>
      <c r="EW674" s="323">
        <f t="shared" si="646"/>
        <v>0</v>
      </c>
      <c r="EX674" s="325">
        <f t="shared" si="646"/>
        <v>16.20009202</v>
      </c>
      <c r="EY674" s="323"/>
      <c r="EZ674" s="323"/>
      <c r="FA674" s="323"/>
      <c r="FB674" s="323"/>
      <c r="FC674" s="323"/>
      <c r="FD674" s="323"/>
      <c r="FE674" s="323"/>
      <c r="FF674" s="323"/>
      <c r="FG674" s="323"/>
      <c r="FH674" s="323"/>
      <c r="FI674" s="323"/>
      <c r="FJ674" s="325"/>
      <c r="FK674" s="323"/>
      <c r="FL674" s="323"/>
      <c r="FM674" s="323"/>
      <c r="FN674" s="323"/>
      <c r="FO674" s="323"/>
      <c r="FP674" s="323"/>
      <c r="FQ674" s="323"/>
      <c r="FR674" s="323"/>
      <c r="FS674" s="323"/>
      <c r="FT674" s="323"/>
      <c r="FU674" s="323"/>
      <c r="FV674" s="323"/>
      <c r="FW674" s="323"/>
      <c r="FX674" s="323"/>
      <c r="FY674" s="323"/>
      <c r="FZ674" s="323"/>
      <c r="GA674" s="323"/>
      <c r="GB674" s="323"/>
      <c r="GC674" s="323"/>
      <c r="GD674" s="323"/>
      <c r="GE674" s="323"/>
      <c r="GF674" s="323"/>
      <c r="GG674" s="323"/>
      <c r="GH674" s="323"/>
      <c r="GI674" s="323"/>
      <c r="GJ674" s="323"/>
      <c r="GK674" s="323"/>
      <c r="GL674" s="323"/>
      <c r="GM674" s="323"/>
      <c r="GN674" s="323"/>
      <c r="GO674" s="323"/>
      <c r="GP674" s="323"/>
      <c r="GQ674" s="323"/>
      <c r="GR674" s="323"/>
      <c r="GS674" s="323"/>
      <c r="GT674" s="323"/>
      <c r="GU674" s="323"/>
      <c r="GV674" s="323"/>
      <c r="GW674" s="323"/>
      <c r="GX674" s="323"/>
      <c r="GY674" s="323"/>
      <c r="GZ674" s="323"/>
      <c r="HA674" s="323"/>
      <c r="HB674" s="323"/>
      <c r="HC674" s="323"/>
      <c r="HD674" s="323"/>
      <c r="HE674" s="323"/>
      <c r="HF674" s="323"/>
      <c r="HG674" s="323"/>
      <c r="HH674" s="323"/>
      <c r="HI674" s="323"/>
      <c r="HJ674" s="323"/>
      <c r="HK674" s="323"/>
      <c r="HL674" s="323"/>
      <c r="HM674" s="323"/>
      <c r="HN674" s="323"/>
      <c r="HO674" s="323"/>
      <c r="HP674" s="323"/>
      <c r="HQ674" s="323"/>
      <c r="HR674" s="323"/>
      <c r="HS674" s="323"/>
      <c r="HT674" s="323"/>
      <c r="HU674" s="323"/>
      <c r="HV674" s="323"/>
      <c r="HW674" s="323"/>
      <c r="HX674" s="323"/>
      <c r="HY674" s="323"/>
      <c r="HZ674" s="326"/>
      <c r="IA674" s="328" t="s">
        <v>164</v>
      </c>
      <c r="IB674" s="328"/>
      <c r="IC674" s="328"/>
      <c r="ID674" s="323">
        <f>+FISC!Z886</f>
        <v>0</v>
      </c>
      <c r="IE674" s="279">
        <f>SUM(CQ674:CV674)</f>
        <v>39.54042132072</v>
      </c>
      <c r="IF674" s="279">
        <f>SUM(CW674:DB674)</f>
        <v>46.908105421953671</v>
      </c>
      <c r="IG674" s="323">
        <f>SUM(CQ674:DB674)</f>
        <v>86.448526742673664</v>
      </c>
      <c r="IJ674" s="323">
        <v>0</v>
      </c>
      <c r="IK674" s="279">
        <f t="shared" si="640"/>
        <v>117.64909788238378</v>
      </c>
      <c r="IL674" s="279">
        <f t="shared" si="641"/>
        <v>25.959476439408562</v>
      </c>
      <c r="IM674" s="323">
        <f>IK674+IL674</f>
        <v>143.60857432179233</v>
      </c>
      <c r="IN674" s="279">
        <v>154.230397481983</v>
      </c>
      <c r="IO674" s="327"/>
      <c r="IP674" s="323">
        <f>FISC!AC886</f>
        <v>157.43118446500003</v>
      </c>
      <c r="IQ674" s="279">
        <f t="shared" si="642"/>
        <v>122.474947206601</v>
      </c>
      <c r="IR674" s="279">
        <f t="shared" si="643"/>
        <v>16.20009202</v>
      </c>
      <c r="IS674" s="323">
        <f t="shared" si="590"/>
        <v>138.675039226601</v>
      </c>
      <c r="IT674" s="327"/>
      <c r="IU674" s="327"/>
      <c r="IV674" s="323">
        <f>+FISC!AE886</f>
        <v>1</v>
      </c>
      <c r="IY674" s="323">
        <f>+FISC!AF886</f>
        <v>2</v>
      </c>
      <c r="JB674" s="323">
        <f>+FISC!AG886</f>
        <v>3</v>
      </c>
      <c r="JE674" s="323">
        <f>+FISC!AH886</f>
        <v>0</v>
      </c>
      <c r="JH674" s="323">
        <f>+FISC!AI886</f>
        <v>0</v>
      </c>
      <c r="JJ674" s="279">
        <f t="shared" si="489"/>
        <v>0</v>
      </c>
      <c r="JK674" s="323">
        <f>+FISC!AJ886</f>
        <v>0</v>
      </c>
      <c r="JM674" s="279">
        <f t="shared" si="490"/>
        <v>0</v>
      </c>
      <c r="JN674" s="323">
        <f>+FISC!AK886</f>
        <v>0</v>
      </c>
      <c r="JO674" s="323"/>
      <c r="KU674" s="326"/>
      <c r="KV674" s="327"/>
    </row>
    <row r="675" spans="1:314" hidden="1">
      <c r="A675" s="279"/>
      <c r="D675" s="328" t="s">
        <v>743</v>
      </c>
      <c r="E675" s="323"/>
      <c r="F675" s="323"/>
      <c r="G675" s="323"/>
      <c r="H675" s="323"/>
      <c r="I675" s="323"/>
      <c r="J675" s="323"/>
      <c r="K675" s="323"/>
      <c r="L675" s="323"/>
      <c r="M675" s="323"/>
      <c r="N675" s="323"/>
      <c r="O675" s="323"/>
      <c r="P675" s="323"/>
      <c r="Q675" s="323"/>
      <c r="R675" s="323"/>
      <c r="S675" s="323"/>
      <c r="T675" s="323"/>
      <c r="U675" s="323"/>
      <c r="V675" s="323"/>
      <c r="W675" s="323"/>
      <c r="X675" s="323"/>
      <c r="Y675" s="323"/>
      <c r="Z675" s="323"/>
      <c r="AA675" s="323"/>
      <c r="AB675" s="323"/>
      <c r="AC675" s="323"/>
      <c r="AD675" s="323"/>
      <c r="AE675" s="323"/>
      <c r="AF675" s="323"/>
      <c r="AG675" s="323"/>
      <c r="AH675" s="323"/>
      <c r="AI675" s="323"/>
      <c r="AJ675" s="323"/>
      <c r="AK675" s="323"/>
      <c r="AL675" s="323"/>
      <c r="AM675" s="323"/>
      <c r="AN675" s="323"/>
      <c r="AO675" s="323"/>
      <c r="AP675" s="323"/>
      <c r="AQ675" s="323"/>
      <c r="AR675" s="323"/>
      <c r="AS675" s="323"/>
      <c r="AT675" s="323"/>
      <c r="AU675" s="323"/>
      <c r="AV675" s="323"/>
      <c r="AW675" s="323"/>
      <c r="AX675" s="323"/>
      <c r="AY675" s="323"/>
      <c r="AZ675" s="323"/>
      <c r="BA675" s="323"/>
      <c r="BB675" s="323"/>
      <c r="BC675" s="323"/>
      <c r="BD675" s="323"/>
      <c r="BE675" s="323"/>
      <c r="BF675" s="323"/>
      <c r="BG675" s="323"/>
      <c r="BH675" s="323"/>
      <c r="BI675" s="323"/>
      <c r="BJ675" s="323"/>
      <c r="BK675" s="323"/>
      <c r="BL675" s="323"/>
      <c r="BM675" s="323"/>
      <c r="BN675" s="323"/>
      <c r="BO675" s="323"/>
      <c r="BP675" s="323"/>
      <c r="BQ675" s="323"/>
      <c r="BR675" s="323"/>
      <c r="BS675" s="323"/>
      <c r="BT675" s="323"/>
      <c r="BU675" s="323"/>
      <c r="BV675" s="323"/>
      <c r="BW675" s="323"/>
      <c r="BX675" s="323"/>
      <c r="BY675" s="323"/>
      <c r="BZ675" s="323"/>
      <c r="CA675" s="323"/>
      <c r="CB675" s="323"/>
      <c r="CC675" s="323"/>
      <c r="CD675" s="323"/>
      <c r="CE675" s="324"/>
      <c r="CF675" s="323"/>
      <c r="CG675" s="323"/>
      <c r="CH675" s="323"/>
      <c r="CI675" s="323"/>
      <c r="CJ675" s="323"/>
      <c r="CK675" s="323"/>
      <c r="CL675" s="323"/>
      <c r="CM675" s="323"/>
      <c r="CN675" s="323"/>
      <c r="CO675" s="323"/>
      <c r="CP675" s="325"/>
      <c r="CQ675" s="323"/>
      <c r="CR675" s="323"/>
      <c r="CS675" s="323"/>
      <c r="CT675" s="323"/>
      <c r="CU675" s="323"/>
      <c r="CV675" s="323"/>
      <c r="CW675" s="323"/>
      <c r="CX675" s="323"/>
      <c r="CY675" s="323"/>
      <c r="CZ675" s="323"/>
      <c r="DA675" s="323"/>
      <c r="DB675" s="1269"/>
      <c r="DC675" s="323"/>
      <c r="DD675" s="323"/>
      <c r="DE675" s="323"/>
      <c r="DF675" s="323"/>
      <c r="DG675" s="323"/>
      <c r="DH675" s="323"/>
      <c r="DI675" s="323"/>
      <c r="DJ675" s="323"/>
      <c r="DK675" s="323"/>
      <c r="DL675" s="323"/>
      <c r="DM675" s="323"/>
      <c r="DN675" s="325"/>
      <c r="DO675" s="323"/>
      <c r="DP675" s="323"/>
      <c r="DQ675" s="323"/>
      <c r="DR675" s="323"/>
      <c r="DS675" s="323"/>
      <c r="DT675" s="323"/>
      <c r="DU675" s="323"/>
      <c r="DV675" s="323"/>
      <c r="DW675" s="323"/>
      <c r="DX675" s="323"/>
      <c r="DY675" s="323"/>
      <c r="DZ675" s="325"/>
      <c r="EA675" s="323"/>
      <c r="EB675" s="323"/>
      <c r="EC675" s="323"/>
      <c r="ED675" s="323"/>
      <c r="EE675" s="323"/>
      <c r="EF675" s="323"/>
      <c r="EG675" s="323"/>
      <c r="EH675" s="323"/>
      <c r="EI675" s="323"/>
      <c r="EJ675" s="323"/>
      <c r="EK675" s="323"/>
      <c r="EL675" s="325"/>
      <c r="EM675" s="323"/>
      <c r="EN675" s="323"/>
      <c r="EO675" s="323"/>
      <c r="EP675" s="323"/>
      <c r="EQ675" s="323"/>
      <c r="ER675" s="323"/>
      <c r="ES675" s="323"/>
      <c r="ET675" s="323"/>
      <c r="EU675" s="323"/>
      <c r="EV675" s="323"/>
      <c r="EW675" s="323"/>
      <c r="EX675" s="325"/>
      <c r="EY675" s="323"/>
      <c r="EZ675" s="323"/>
      <c r="FA675" s="323"/>
      <c r="FB675" s="323"/>
      <c r="FC675" s="323"/>
      <c r="FD675" s="323"/>
      <c r="FE675" s="323"/>
      <c r="FF675" s="323"/>
      <c r="FG675" s="323"/>
      <c r="FH675" s="323"/>
      <c r="FI675" s="323"/>
      <c r="FJ675" s="325"/>
      <c r="FK675" s="323"/>
      <c r="FL675" s="323"/>
      <c r="FM675" s="323"/>
      <c r="FN675" s="323"/>
      <c r="FO675" s="323"/>
      <c r="FP675" s="323"/>
      <c r="FQ675" s="323"/>
      <c r="FR675" s="323"/>
      <c r="FS675" s="323"/>
      <c r="FT675" s="323"/>
      <c r="FU675" s="323"/>
      <c r="FV675" s="323"/>
      <c r="FW675" s="323"/>
      <c r="FX675" s="323"/>
      <c r="FY675" s="323"/>
      <c r="FZ675" s="323"/>
      <c r="GA675" s="323"/>
      <c r="GB675" s="323"/>
      <c r="GC675" s="323"/>
      <c r="GD675" s="323"/>
      <c r="GE675" s="323"/>
      <c r="GF675" s="323"/>
      <c r="GG675" s="323"/>
      <c r="GH675" s="323"/>
      <c r="GI675" s="323"/>
      <c r="GJ675" s="323"/>
      <c r="GK675" s="323"/>
      <c r="GL675" s="323"/>
      <c r="GM675" s="323"/>
      <c r="GN675" s="323"/>
      <c r="GO675" s="323"/>
      <c r="GP675" s="323"/>
      <c r="GQ675" s="323"/>
      <c r="GR675" s="323"/>
      <c r="GS675" s="323"/>
      <c r="GT675" s="323"/>
      <c r="GU675" s="323"/>
      <c r="GV675" s="323"/>
      <c r="GW675" s="323"/>
      <c r="GX675" s="323"/>
      <c r="GY675" s="323"/>
      <c r="GZ675" s="323"/>
      <c r="HA675" s="323"/>
      <c r="HB675" s="323"/>
      <c r="HC675" s="323"/>
      <c r="HD675" s="323"/>
      <c r="HE675" s="323"/>
      <c r="HF675" s="323"/>
      <c r="HG675" s="323"/>
      <c r="HH675" s="323"/>
      <c r="HI675" s="323"/>
      <c r="HJ675" s="323"/>
      <c r="HK675" s="323"/>
      <c r="HL675" s="323"/>
      <c r="HM675" s="323"/>
      <c r="HN675" s="323"/>
      <c r="HO675" s="323"/>
      <c r="HP675" s="323"/>
      <c r="HQ675" s="323"/>
      <c r="HR675" s="323"/>
      <c r="HS675" s="323"/>
      <c r="HT675" s="323"/>
      <c r="HU675" s="323"/>
      <c r="HV675" s="323"/>
      <c r="HW675" s="323"/>
      <c r="HX675" s="323"/>
      <c r="HY675" s="323"/>
      <c r="HZ675" s="326"/>
      <c r="IA675" s="328" t="s">
        <v>743</v>
      </c>
      <c r="IB675" s="328"/>
      <c r="IC675" s="328"/>
      <c r="ID675" s="323"/>
      <c r="IG675" s="323"/>
      <c r="IJ675" s="323"/>
      <c r="IK675" s="279">
        <f t="shared" si="640"/>
        <v>0</v>
      </c>
      <c r="IL675" s="279">
        <f t="shared" si="641"/>
        <v>0</v>
      </c>
      <c r="IM675" s="323">
        <f>IK675+IL675</f>
        <v>0</v>
      </c>
      <c r="IO675" s="327"/>
      <c r="IP675" s="323">
        <f>FISC!AC891</f>
        <v>0</v>
      </c>
      <c r="IQ675" s="279">
        <f t="shared" si="642"/>
        <v>0</v>
      </c>
      <c r="IR675" s="279">
        <f t="shared" si="643"/>
        <v>0</v>
      </c>
      <c r="IS675" s="323">
        <f t="shared" si="590"/>
        <v>0</v>
      </c>
      <c r="IV675" s="323">
        <f>FISC!AE891</f>
        <v>0</v>
      </c>
      <c r="IW675" s="327">
        <f>FISC!AE78*FISC!AF259/1000</f>
        <v>0</v>
      </c>
      <c r="IX675" s="279">
        <f>+IY675-IW675</f>
        <v>0</v>
      </c>
      <c r="IY675" s="323">
        <f>FISC!AF1358</f>
        <v>0</v>
      </c>
      <c r="IZ675" s="327">
        <f>FISC!AF78*FISC!AG259/1000</f>
        <v>0</v>
      </c>
      <c r="JA675" s="279">
        <f>JB675-IZ675</f>
        <v>0</v>
      </c>
      <c r="JB675" s="323">
        <f>FISC!AG891</f>
        <v>0</v>
      </c>
      <c r="JC675" s="279">
        <f>JE675*JU675</f>
        <v>0</v>
      </c>
      <c r="JD675" s="279">
        <f t="shared" si="487"/>
        <v>0</v>
      </c>
      <c r="JE675" s="323"/>
      <c r="JF675" s="279">
        <f t="shared" si="500"/>
        <v>0</v>
      </c>
      <c r="JG675" s="279">
        <f t="shared" si="488"/>
        <v>0</v>
      </c>
      <c r="JH675" s="323"/>
      <c r="JI675" s="279">
        <f t="shared" si="501"/>
        <v>0</v>
      </c>
      <c r="JJ675" s="279">
        <f t="shared" si="489"/>
        <v>0</v>
      </c>
      <c r="JK675" s="323"/>
      <c r="JL675" s="279">
        <f t="shared" si="502"/>
        <v>0</v>
      </c>
      <c r="JM675" s="279">
        <f t="shared" si="490"/>
        <v>0</v>
      </c>
      <c r="JN675" s="323"/>
      <c r="JO675" s="323"/>
      <c r="KU675" s="326"/>
      <c r="KV675" s="327"/>
    </row>
    <row r="676" spans="1:314" hidden="1">
      <c r="A676" s="279"/>
      <c r="B676" s="96" t="s">
        <v>338</v>
      </c>
      <c r="D676" s="322" t="str">
        <f>+FISC!D894</f>
        <v>Project loans</v>
      </c>
      <c r="E676" s="323">
        <v>0</v>
      </c>
      <c r="F676" s="323">
        <v>0</v>
      </c>
      <c r="G676" s="323">
        <v>10.3</v>
      </c>
      <c r="H676" s="323">
        <v>0</v>
      </c>
      <c r="I676" s="323">
        <v>0</v>
      </c>
      <c r="J676" s="323">
        <v>10.3</v>
      </c>
      <c r="K676" s="323">
        <v>0</v>
      </c>
      <c r="L676" s="323">
        <v>0</v>
      </c>
      <c r="M676" s="323">
        <v>10.9</v>
      </c>
      <c r="N676" s="323">
        <v>0</v>
      </c>
      <c r="O676" s="323">
        <v>0</v>
      </c>
      <c r="P676" s="323">
        <v>17</v>
      </c>
      <c r="Q676" s="323">
        <v>0</v>
      </c>
      <c r="R676" s="323">
        <v>0</v>
      </c>
      <c r="S676" s="323">
        <v>7.6319999999999997</v>
      </c>
      <c r="T676" s="323">
        <v>0</v>
      </c>
      <c r="U676" s="323">
        <v>0</v>
      </c>
      <c r="V676" s="323">
        <v>7.95</v>
      </c>
      <c r="W676" s="323">
        <v>0</v>
      </c>
      <c r="X676" s="323">
        <v>0</v>
      </c>
      <c r="Y676" s="323">
        <v>9.7330000000000005</v>
      </c>
      <c r="Z676" s="323">
        <v>0</v>
      </c>
      <c r="AA676" s="323">
        <v>0</v>
      </c>
      <c r="AB676" s="323">
        <v>29.1327</v>
      </c>
      <c r="AC676" s="323">
        <v>0</v>
      </c>
      <c r="AD676" s="323">
        <v>0</v>
      </c>
      <c r="AE676" s="323">
        <v>12.218307508000001</v>
      </c>
      <c r="AF676" s="323">
        <v>0</v>
      </c>
      <c r="AG676" s="323">
        <v>0</v>
      </c>
      <c r="AH676" s="323">
        <v>14.020674116000002</v>
      </c>
      <c r="AI676" s="323">
        <v>0</v>
      </c>
      <c r="AJ676" s="323">
        <v>0</v>
      </c>
      <c r="AK676" s="323">
        <v>7.3704405540000009</v>
      </c>
      <c r="AL676" s="323">
        <v>0</v>
      </c>
      <c r="AM676" s="323">
        <v>0</v>
      </c>
      <c r="AN676" s="323">
        <v>8.4654792749999999</v>
      </c>
      <c r="AO676" s="323">
        <v>0</v>
      </c>
      <c r="AP676" s="323">
        <v>0</v>
      </c>
      <c r="AQ676" s="323">
        <v>5.335025602</v>
      </c>
      <c r="AR676" s="323">
        <v>0</v>
      </c>
      <c r="AS676" s="323">
        <v>0</v>
      </c>
      <c r="AT676" s="323">
        <v>9.3015493279999983</v>
      </c>
      <c r="AU676" s="323">
        <v>0</v>
      </c>
      <c r="AV676" s="323">
        <v>0</v>
      </c>
      <c r="AW676" s="323">
        <v>6.4644565599999995</v>
      </c>
      <c r="AX676" s="323">
        <v>0</v>
      </c>
      <c r="AY676" s="323">
        <v>0</v>
      </c>
      <c r="AZ676" s="323">
        <v>15.076462141</v>
      </c>
      <c r="BA676" s="323">
        <v>0</v>
      </c>
      <c r="BB676" s="323">
        <v>0</v>
      </c>
      <c r="BC676" s="323">
        <v>19.836167355000001</v>
      </c>
      <c r="BD676" s="323">
        <v>0</v>
      </c>
      <c r="BE676" s="323">
        <v>0</v>
      </c>
      <c r="BF676" s="323">
        <v>13.678343629</v>
      </c>
      <c r="BG676" s="323">
        <v>0</v>
      </c>
      <c r="BH676" s="323">
        <v>0</v>
      </c>
      <c r="BI676" s="323">
        <v>9.3559947090000009</v>
      </c>
      <c r="BJ676" s="323">
        <v>0</v>
      </c>
      <c r="BK676" s="323">
        <v>0</v>
      </c>
      <c r="BL676" s="323">
        <v>16.193013401000002</v>
      </c>
      <c r="BM676" s="323">
        <v>0</v>
      </c>
      <c r="BN676" s="323">
        <v>0</v>
      </c>
      <c r="BO676" s="323">
        <v>13.054760237</v>
      </c>
      <c r="BP676" s="323">
        <v>0</v>
      </c>
      <c r="BQ676" s="323">
        <v>0</v>
      </c>
      <c r="BR676" s="323">
        <v>12.670284823999999</v>
      </c>
      <c r="BS676" s="323">
        <v>0</v>
      </c>
      <c r="BT676" s="323">
        <v>0</v>
      </c>
      <c r="BU676" s="323">
        <v>28.1</v>
      </c>
      <c r="BV676" s="323">
        <v>1.5956689506576198</v>
      </c>
      <c r="BW676" s="323">
        <v>5.4647202718430172</v>
      </c>
      <c r="BX676" s="323">
        <v>4.6916419250035108</v>
      </c>
      <c r="BY676" s="323">
        <v>2.100093706</v>
      </c>
      <c r="BZ676" s="323">
        <v>4.2026710249999999</v>
      </c>
      <c r="CA676" s="323">
        <v>5.1768626690000001</v>
      </c>
      <c r="CB676" s="323">
        <v>4.7995237739999999</v>
      </c>
      <c r="CC676" s="323">
        <v>6.0480418489999996</v>
      </c>
      <c r="CD676" s="323">
        <v>17.882258774</v>
      </c>
      <c r="CE676" s="324">
        <f t="shared" ref="CE676:DJ676" si="647">CE24</f>
        <v>6.8171795699999995</v>
      </c>
      <c r="CF676" s="323">
        <f t="shared" si="647"/>
        <v>3.9039883389999996</v>
      </c>
      <c r="CG676" s="323">
        <f t="shared" si="647"/>
        <v>3.8882203720000001</v>
      </c>
      <c r="CH676" s="323">
        <f t="shared" si="647"/>
        <v>6.2578329159999999</v>
      </c>
      <c r="CI676" s="323">
        <f t="shared" si="647"/>
        <v>3.5211649989999998</v>
      </c>
      <c r="CJ676" s="323">
        <f t="shared" si="647"/>
        <v>6.7397221740000006</v>
      </c>
      <c r="CK676" s="323">
        <f t="shared" si="647"/>
        <v>11.206712712286999</v>
      </c>
      <c r="CL676" s="323">
        <f t="shared" si="647"/>
        <v>1.744920303962</v>
      </c>
      <c r="CM676" s="323">
        <f t="shared" si="647"/>
        <v>2.9498687050729999</v>
      </c>
      <c r="CN676" s="323">
        <f t="shared" si="647"/>
        <v>2.9364516164649999</v>
      </c>
      <c r="CO676" s="323">
        <f t="shared" si="647"/>
        <v>7.9735729529739992</v>
      </c>
      <c r="CP676" s="325">
        <f t="shared" si="647"/>
        <v>8.7696447443489998</v>
      </c>
      <c r="CQ676" s="323">
        <f t="shared" si="647"/>
        <v>5.7607435347770011</v>
      </c>
      <c r="CR676" s="323">
        <f t="shared" si="647"/>
        <v>3.9472671107080002</v>
      </c>
      <c r="CS676" s="323">
        <f t="shared" si="647"/>
        <v>12.991094179872</v>
      </c>
      <c r="CT676" s="323">
        <f t="shared" si="647"/>
        <v>7.097023092573</v>
      </c>
      <c r="CU676" s="323">
        <f t="shared" si="647"/>
        <v>12.102969035651</v>
      </c>
      <c r="CV676" s="323">
        <f t="shared" si="647"/>
        <v>11.621077212909999</v>
      </c>
      <c r="CW676" s="323">
        <f t="shared" si="647"/>
        <v>8.4188352186079989</v>
      </c>
      <c r="CX676" s="323">
        <f t="shared" si="647"/>
        <v>3.7151717103489998</v>
      </c>
      <c r="CY676" s="323">
        <f t="shared" si="647"/>
        <v>9.2964163726490003</v>
      </c>
      <c r="CZ676" s="323">
        <f t="shared" si="647"/>
        <v>3.9665275602789998</v>
      </c>
      <c r="DA676" s="323">
        <f t="shared" si="647"/>
        <v>6.3830912553159997</v>
      </c>
      <c r="DB676" s="1269">
        <f t="shared" si="647"/>
        <v>13.932984784080002</v>
      </c>
      <c r="DC676" s="323">
        <f t="shared" si="647"/>
        <v>0.42216898336300002</v>
      </c>
      <c r="DD676" s="323">
        <f t="shared" si="647"/>
        <v>3.7189687297299998</v>
      </c>
      <c r="DE676" s="323">
        <f t="shared" si="647"/>
        <v>11.694227755626997</v>
      </c>
      <c r="DF676" s="323">
        <f t="shared" si="647"/>
        <v>8.5129279728749996</v>
      </c>
      <c r="DG676" s="323">
        <f t="shared" si="647"/>
        <v>4.8652677647420006</v>
      </c>
      <c r="DH676" s="323">
        <f t="shared" si="647"/>
        <v>22.350273298890002</v>
      </c>
      <c r="DI676" s="323">
        <f t="shared" si="647"/>
        <v>6.7047741122170006</v>
      </c>
      <c r="DJ676" s="323">
        <f t="shared" si="647"/>
        <v>5.5435094828279992</v>
      </c>
      <c r="DK676" s="323">
        <f t="shared" ref="DK676:EP676" si="648">DK24</f>
        <v>13.796249482406001</v>
      </c>
      <c r="DL676" s="323">
        <f t="shared" si="648"/>
        <v>13.128120131547998</v>
      </c>
      <c r="DM676" s="323">
        <f t="shared" si="648"/>
        <v>6.8738819535209998</v>
      </c>
      <c r="DN676" s="325">
        <f t="shared" si="648"/>
        <v>5.2576456738859996</v>
      </c>
      <c r="DO676" s="323">
        <f t="shared" si="648"/>
        <v>3.2977253905239996</v>
      </c>
      <c r="DP676" s="323">
        <f t="shared" si="648"/>
        <v>8.4289872174100005</v>
      </c>
      <c r="DQ676" s="323">
        <f t="shared" si="648"/>
        <v>19.676344781299001</v>
      </c>
      <c r="DR676" s="323">
        <f t="shared" si="648"/>
        <v>6.2250619891019987</v>
      </c>
      <c r="DS676" s="323">
        <f t="shared" si="648"/>
        <v>11.369225287213002</v>
      </c>
      <c r="DT676" s="323">
        <f t="shared" si="648"/>
        <v>20.325144909231</v>
      </c>
      <c r="DU676" s="323">
        <f t="shared" si="648"/>
        <v>11.223212818042001</v>
      </c>
      <c r="DV676" s="323">
        <f t="shared" si="648"/>
        <v>3.1183098931750002</v>
      </c>
      <c r="DW676" s="323">
        <f t="shared" si="648"/>
        <v>21.614232810366996</v>
      </c>
      <c r="DX676" s="323">
        <f t="shared" si="648"/>
        <v>21.526583004928</v>
      </c>
      <c r="DY676" s="323">
        <f t="shared" si="648"/>
        <v>12.780071612072998</v>
      </c>
      <c r="DZ676" s="325">
        <f t="shared" si="648"/>
        <v>21.164277456465001</v>
      </c>
      <c r="EA676" s="323">
        <f t="shared" si="648"/>
        <v>9.7045831328230001</v>
      </c>
      <c r="EB676" s="323">
        <f t="shared" si="648"/>
        <v>14.178791869796999</v>
      </c>
      <c r="EC676" s="323">
        <f t="shared" si="648"/>
        <v>4.1068273863379989</v>
      </c>
      <c r="ED676" s="323">
        <f t="shared" si="648"/>
        <v>14.499453949647002</v>
      </c>
      <c r="EE676" s="323">
        <f t="shared" si="648"/>
        <v>8.0689371946400001</v>
      </c>
      <c r="EF676" s="323">
        <f t="shared" si="648"/>
        <v>16.683415901944997</v>
      </c>
      <c r="EG676" s="323">
        <f t="shared" si="648"/>
        <v>20.175523392911998</v>
      </c>
      <c r="EH676" s="323">
        <f t="shared" si="648"/>
        <v>4.4105177353120002</v>
      </c>
      <c r="EI676" s="323">
        <f t="shared" si="648"/>
        <v>18.571578294357</v>
      </c>
      <c r="EJ676" s="323">
        <f t="shared" si="648"/>
        <v>12.140062738398001</v>
      </c>
      <c r="EK676" s="323">
        <f t="shared" si="648"/>
        <v>19.123543562072001</v>
      </c>
      <c r="EL676" s="325">
        <f t="shared" si="648"/>
        <v>28.687180347918996</v>
      </c>
      <c r="EM676" s="323">
        <f t="shared" si="648"/>
        <v>10.477656590839999</v>
      </c>
      <c r="EN676" s="323">
        <f t="shared" si="648"/>
        <v>2.1647688006760002</v>
      </c>
      <c r="EO676" s="323">
        <f t="shared" si="648"/>
        <v>15.058106803279999</v>
      </c>
      <c r="EP676" s="323">
        <f t="shared" si="648"/>
        <v>3.5079863831359996</v>
      </c>
      <c r="EQ676" s="323">
        <f t="shared" ref="EQ676:EX676" si="649">EQ24</f>
        <v>15.281142754074001</v>
      </c>
      <c r="ER676" s="323">
        <f t="shared" si="649"/>
        <v>26.971773235696993</v>
      </c>
      <c r="ES676" s="323">
        <f t="shared" si="649"/>
        <v>23.575918671628003</v>
      </c>
      <c r="ET676" s="323">
        <f t="shared" si="649"/>
        <v>16.006098219428999</v>
      </c>
      <c r="EU676" s="323">
        <f t="shared" si="649"/>
        <v>17.722634921015</v>
      </c>
      <c r="EV676" s="323">
        <f t="shared" si="649"/>
        <v>14.858032673780999</v>
      </c>
      <c r="EW676" s="323">
        <f t="shared" si="649"/>
        <v>19.614621516160998</v>
      </c>
      <c r="EX676" s="325">
        <f t="shared" si="649"/>
        <v>49.68972366989501</v>
      </c>
      <c r="EY676" s="323"/>
      <c r="EZ676" s="323"/>
      <c r="FA676" s="323"/>
      <c r="FB676" s="323"/>
      <c r="FC676" s="323"/>
      <c r="FD676" s="323"/>
      <c r="FE676" s="323"/>
      <c r="FF676" s="323"/>
      <c r="FG676" s="323"/>
      <c r="FH676" s="323"/>
      <c r="FI676" s="323"/>
      <c r="FJ676" s="325"/>
      <c r="FK676" s="323"/>
      <c r="FL676" s="323"/>
      <c r="FM676" s="323"/>
      <c r="FN676" s="323"/>
      <c r="FO676" s="323"/>
      <c r="FP676" s="323"/>
      <c r="FQ676" s="323"/>
      <c r="FR676" s="323"/>
      <c r="FS676" s="323"/>
      <c r="FT676" s="323"/>
      <c r="FU676" s="323"/>
      <c r="FV676" s="323"/>
      <c r="FW676" s="323"/>
      <c r="FX676" s="323"/>
      <c r="FY676" s="323"/>
      <c r="FZ676" s="323"/>
      <c r="GA676" s="323"/>
      <c r="GB676" s="323"/>
      <c r="GC676" s="323"/>
      <c r="GD676" s="323"/>
      <c r="GE676" s="323"/>
      <c r="GF676" s="323"/>
      <c r="GG676" s="323"/>
      <c r="GH676" s="323"/>
      <c r="GI676" s="323"/>
      <c r="GJ676" s="323"/>
      <c r="GK676" s="323"/>
      <c r="GL676" s="323"/>
      <c r="GM676" s="323"/>
      <c r="GN676" s="323"/>
      <c r="GO676" s="323"/>
      <c r="GP676" s="323"/>
      <c r="GQ676" s="323"/>
      <c r="GR676" s="323"/>
      <c r="GS676" s="323"/>
      <c r="GT676" s="323"/>
      <c r="GU676" s="323"/>
      <c r="GV676" s="323"/>
      <c r="GW676" s="323"/>
      <c r="GX676" s="323"/>
      <c r="GY676" s="323"/>
      <c r="GZ676" s="323"/>
      <c r="HA676" s="323"/>
      <c r="HB676" s="323"/>
      <c r="HC676" s="323"/>
      <c r="HD676" s="323"/>
      <c r="HE676" s="323"/>
      <c r="HF676" s="323"/>
      <c r="HG676" s="323"/>
      <c r="HH676" s="323"/>
      <c r="HI676" s="323"/>
      <c r="HJ676" s="323"/>
      <c r="HK676" s="323"/>
      <c r="HL676" s="323"/>
      <c r="HM676" s="323"/>
      <c r="HN676" s="323"/>
      <c r="HO676" s="323"/>
      <c r="HP676" s="323"/>
      <c r="HQ676" s="323"/>
      <c r="HR676" s="323"/>
      <c r="HS676" s="323"/>
      <c r="HT676" s="323"/>
      <c r="HU676" s="323"/>
      <c r="HV676" s="323"/>
      <c r="HW676" s="323"/>
      <c r="HX676" s="323"/>
      <c r="HY676" s="323"/>
      <c r="HZ676" s="326"/>
      <c r="IA676" s="322" t="s">
        <v>165</v>
      </c>
      <c r="IB676" s="322"/>
      <c r="IC676" s="322"/>
      <c r="ID676" s="323">
        <f>+FISC!Z894</f>
        <v>99.233000000000004</v>
      </c>
      <c r="IE676" s="279">
        <f>SUM(CQ676:CV676)</f>
        <v>53.520174166491003</v>
      </c>
      <c r="IF676" s="279">
        <f>SUM(CW676:DB676)</f>
        <v>45.713026901280998</v>
      </c>
      <c r="IG676" s="323">
        <f>SUM(CQ676:DB676)</f>
        <v>99.233201067772015</v>
      </c>
      <c r="IH676" s="279">
        <f>+SUM(DC676:DH676)</f>
        <v>51.563834505227</v>
      </c>
      <c r="II676" s="279">
        <f>+SUM(DI676:DN676)</f>
        <v>51.30418083640599</v>
      </c>
      <c r="IJ676" s="323">
        <f>IH676+II676</f>
        <v>102.868015341633</v>
      </c>
      <c r="IK676" s="279">
        <f t="shared" si="640"/>
        <v>69.322489574778999</v>
      </c>
      <c r="IL676" s="279">
        <f t="shared" si="641"/>
        <v>91.426687595049998</v>
      </c>
      <c r="IM676" s="323">
        <f t="shared" si="503"/>
        <v>160.74917716982901</v>
      </c>
      <c r="IN676" s="279">
        <f>(FISC!AB62*FISC!AC259/1000)*0+67.24200943519</f>
        <v>67.242009435189999</v>
      </c>
      <c r="IO676" s="279">
        <f>+IP676-IN676</f>
        <v>103.10840607097001</v>
      </c>
      <c r="IP676" s="323">
        <f>FISC!AC894</f>
        <v>170.35041550616</v>
      </c>
      <c r="IQ676" s="279">
        <f t="shared" si="642"/>
        <v>73.46143456770298</v>
      </c>
      <c r="IR676" s="279">
        <f t="shared" si="643"/>
        <v>141.46702967190902</v>
      </c>
      <c r="IS676" s="323">
        <f t="shared" si="590"/>
        <v>214.928464239612</v>
      </c>
      <c r="IT676" s="279">
        <f>((FISC!AD62*FISC!AE259)/1000)</f>
        <v>136.82189724827469</v>
      </c>
      <c r="IU676" s="279">
        <f>+IV676-IT676</f>
        <v>151.14915344784163</v>
      </c>
      <c r="IV676" s="323">
        <f>+FISC!AE894</f>
        <v>287.97105069611632</v>
      </c>
      <c r="IW676" s="279">
        <f>((FISC!AE62*FISC!AF259)/1000)</f>
        <v>253.32484934197942</v>
      </c>
      <c r="IX676" s="279">
        <f t="shared" si="486"/>
        <v>137.24518850692959</v>
      </c>
      <c r="IY676" s="323">
        <f>+FISC!AF1360</f>
        <v>390.57003784890901</v>
      </c>
      <c r="IZ676" s="279">
        <f>((FISC!AF62*FISC!AG259)/1000)</f>
        <v>224.34917141399893</v>
      </c>
      <c r="JA676" s="279">
        <f t="shared" si="540"/>
        <v>182.18209525522093</v>
      </c>
      <c r="JB676" s="323">
        <f>+FISC!AG894</f>
        <v>406.53126666921986</v>
      </c>
      <c r="JC676" s="279">
        <f>((FISC!AG62*FISC!AH259)/1000)</f>
        <v>212.86704077400688</v>
      </c>
      <c r="JD676" s="279">
        <f t="shared" si="487"/>
        <v>216.13461565401835</v>
      </c>
      <c r="JE676" s="323">
        <f>+FISC!AH894</f>
        <v>429.00165642802523</v>
      </c>
      <c r="JF676" s="279">
        <f>((FISC!AH62*FISC!AI259)/1000)</f>
        <v>265.54056725700718</v>
      </c>
      <c r="JG676" s="279">
        <f t="shared" si="488"/>
        <v>363.85145812845917</v>
      </c>
      <c r="JH676" s="323">
        <f>+FISC!AI894</f>
        <v>629.39202538546635</v>
      </c>
      <c r="JI676" s="279">
        <f>((FISC!AI62*FISC!AJ259)/1000)</f>
        <v>366.322781631748</v>
      </c>
      <c r="JJ676" s="279">
        <f t="shared" si="489"/>
        <v>349.37514464166185</v>
      </c>
      <c r="JK676" s="323">
        <f>+FISC!AJ894</f>
        <v>715.69792627340985</v>
      </c>
      <c r="JL676" s="279">
        <f>((FISC!AJ62*FISC!AK259)/1000)</f>
        <v>409.64588417387665</v>
      </c>
      <c r="JM676" s="279">
        <f t="shared" si="490"/>
        <v>-409.64588417387665</v>
      </c>
      <c r="JN676" s="323">
        <f>+FISC!AK894</f>
        <v>0</v>
      </c>
      <c r="JO676" s="323"/>
      <c r="KU676" s="326"/>
      <c r="KV676" s="327"/>
    </row>
    <row r="677" spans="1:314" hidden="1">
      <c r="A677" s="279"/>
      <c r="B677" s="96" t="s">
        <v>338</v>
      </c>
      <c r="D677" s="328" t="str">
        <f>+FISC!D895</f>
        <v>of which Sovereign Bond proceeds</v>
      </c>
      <c r="E677" s="323"/>
      <c r="F677" s="323"/>
      <c r="G677" s="323"/>
      <c r="H677" s="323"/>
      <c r="I677" s="323"/>
      <c r="J677" s="323"/>
      <c r="K677" s="323"/>
      <c r="L677" s="323"/>
      <c r="M677" s="323"/>
      <c r="N677" s="323"/>
      <c r="O677" s="323"/>
      <c r="P677" s="323"/>
      <c r="Q677" s="323"/>
      <c r="R677" s="323"/>
      <c r="S677" s="323"/>
      <c r="T677" s="323"/>
      <c r="U677" s="323"/>
      <c r="V677" s="323"/>
      <c r="W677" s="323"/>
      <c r="X677" s="323"/>
      <c r="Y677" s="323"/>
      <c r="Z677" s="323"/>
      <c r="AA677" s="323"/>
      <c r="AB677" s="323"/>
      <c r="AC677" s="323"/>
      <c r="AD677" s="323"/>
      <c r="AE677" s="323"/>
      <c r="AF677" s="323"/>
      <c r="AG677" s="323"/>
      <c r="AH677" s="323"/>
      <c r="AI677" s="323"/>
      <c r="AJ677" s="323"/>
      <c r="AK677" s="323"/>
      <c r="AL677" s="323"/>
      <c r="AM677" s="323"/>
      <c r="AN677" s="323"/>
      <c r="AO677" s="323"/>
      <c r="AP677" s="323"/>
      <c r="AQ677" s="323"/>
      <c r="AR677" s="323"/>
      <c r="AS677" s="323"/>
      <c r="AT677" s="323"/>
      <c r="AU677" s="323"/>
      <c r="AV677" s="323"/>
      <c r="AW677" s="323"/>
      <c r="AX677" s="323"/>
      <c r="AY677" s="323"/>
      <c r="AZ677" s="323"/>
      <c r="BA677" s="323"/>
      <c r="BB677" s="323"/>
      <c r="BC677" s="323"/>
      <c r="BD677" s="323"/>
      <c r="BE677" s="323"/>
      <c r="BF677" s="323"/>
      <c r="BG677" s="323"/>
      <c r="BH677" s="323"/>
      <c r="BI677" s="323"/>
      <c r="BJ677" s="323"/>
      <c r="BK677" s="323"/>
      <c r="BL677" s="323"/>
      <c r="BM677" s="323"/>
      <c r="BN677" s="323"/>
      <c r="BO677" s="323"/>
      <c r="BP677" s="323"/>
      <c r="BQ677" s="323"/>
      <c r="BR677" s="323"/>
      <c r="BS677" s="323"/>
      <c r="BT677" s="323"/>
      <c r="BU677" s="323"/>
      <c r="BV677" s="323"/>
      <c r="BW677" s="323"/>
      <c r="BX677" s="323"/>
      <c r="BY677" s="323"/>
      <c r="BZ677" s="323"/>
      <c r="CA677" s="323"/>
      <c r="CB677" s="323"/>
      <c r="CC677" s="323"/>
      <c r="CD677" s="323"/>
      <c r="CE677" s="324">
        <v>0</v>
      </c>
      <c r="CF677" s="323">
        <v>0</v>
      </c>
      <c r="CG677" s="323">
        <v>0</v>
      </c>
      <c r="CH677" s="323">
        <v>0</v>
      </c>
      <c r="CI677" s="323">
        <v>0</v>
      </c>
      <c r="CJ677" s="323">
        <v>0</v>
      </c>
      <c r="CK677" s="323">
        <v>0</v>
      </c>
      <c r="CL677" s="323">
        <v>0</v>
      </c>
      <c r="CM677" s="323">
        <v>0</v>
      </c>
      <c r="CN677" s="323">
        <v>0</v>
      </c>
      <c r="CO677" s="323">
        <v>0</v>
      </c>
      <c r="CP677" s="325">
        <v>0</v>
      </c>
      <c r="CQ677" s="323">
        <v>0</v>
      </c>
      <c r="CR677" s="323">
        <v>0</v>
      </c>
      <c r="CS677" s="323">
        <v>0</v>
      </c>
      <c r="CT677" s="323">
        <v>0</v>
      </c>
      <c r="CU677" s="323">
        <v>0</v>
      </c>
      <c r="CV677" s="323">
        <v>0</v>
      </c>
      <c r="CW677" s="323">
        <v>0</v>
      </c>
      <c r="CX677" s="323">
        <v>0</v>
      </c>
      <c r="CY677" s="323">
        <v>0</v>
      </c>
      <c r="CZ677" s="323">
        <v>0</v>
      </c>
      <c r="DA677" s="323">
        <v>0</v>
      </c>
      <c r="DB677" s="1269">
        <v>0</v>
      </c>
      <c r="DC677" s="323"/>
      <c r="DD677" s="323"/>
      <c r="DE677" s="323"/>
      <c r="DF677" s="323"/>
      <c r="DG677" s="323"/>
      <c r="DH677" s="323"/>
      <c r="DI677" s="323"/>
      <c r="DJ677" s="323"/>
      <c r="DK677" s="323"/>
      <c r="DL677" s="323"/>
      <c r="DM677" s="323"/>
      <c r="DN677" s="325"/>
      <c r="DO677" s="323"/>
      <c r="DP677" s="323"/>
      <c r="DQ677" s="323"/>
      <c r="DR677" s="323"/>
      <c r="DS677" s="323"/>
      <c r="DT677" s="323"/>
      <c r="DU677" s="323"/>
      <c r="DV677" s="323"/>
      <c r="DW677" s="323"/>
      <c r="DX677" s="323"/>
      <c r="DY677" s="323"/>
      <c r="DZ677" s="325"/>
      <c r="EA677" s="323"/>
      <c r="EB677" s="323"/>
      <c r="EC677" s="323"/>
      <c r="ED677" s="323"/>
      <c r="EE677" s="323"/>
      <c r="EF677" s="323"/>
      <c r="EG677" s="323"/>
      <c r="EH677" s="323"/>
      <c r="EI677" s="323"/>
      <c r="EJ677" s="323"/>
      <c r="EK677" s="323"/>
      <c r="EL677" s="325"/>
      <c r="EM677" s="323"/>
      <c r="EN677" s="323"/>
      <c r="EO677" s="323"/>
      <c r="EP677" s="323"/>
      <c r="EQ677" s="323"/>
      <c r="ER677" s="323"/>
      <c r="ES677" s="323"/>
      <c r="ET677" s="323"/>
      <c r="EU677" s="323"/>
      <c r="EV677" s="323"/>
      <c r="EW677" s="323"/>
      <c r="EX677" s="325"/>
      <c r="EY677" s="323"/>
      <c r="EZ677" s="323"/>
      <c r="FA677" s="323"/>
      <c r="FB677" s="323"/>
      <c r="FC677" s="323"/>
      <c r="FD677" s="323"/>
      <c r="FE677" s="323"/>
      <c r="FF677" s="323"/>
      <c r="FG677" s="323"/>
      <c r="FH677" s="323"/>
      <c r="FI677" s="323"/>
      <c r="FJ677" s="325"/>
      <c r="FK677" s="323"/>
      <c r="FL677" s="323"/>
      <c r="FM677" s="323"/>
      <c r="FN677" s="323"/>
      <c r="FO677" s="323"/>
      <c r="FP677" s="323"/>
      <c r="FQ677" s="323"/>
      <c r="FR677" s="323"/>
      <c r="FS677" s="323"/>
      <c r="FT677" s="323"/>
      <c r="FU677" s="323"/>
      <c r="FV677" s="323"/>
      <c r="FW677" s="323"/>
      <c r="FX677" s="323"/>
      <c r="FY677" s="323"/>
      <c r="FZ677" s="323"/>
      <c r="GA677" s="323"/>
      <c r="GB677" s="323"/>
      <c r="GC677" s="323"/>
      <c r="GD677" s="323"/>
      <c r="GE677" s="323"/>
      <c r="GF677" s="323"/>
      <c r="GG677" s="323"/>
      <c r="GH677" s="323"/>
      <c r="GI677" s="323"/>
      <c r="GJ677" s="323"/>
      <c r="GK677" s="323"/>
      <c r="GL677" s="323"/>
      <c r="GM677" s="323"/>
      <c r="GN677" s="323"/>
      <c r="GO677" s="323"/>
      <c r="GP677" s="323"/>
      <c r="GQ677" s="323"/>
      <c r="GR677" s="323"/>
      <c r="GS677" s="323"/>
      <c r="GT677" s="323"/>
      <c r="GU677" s="323"/>
      <c r="GV677" s="323"/>
      <c r="GW677" s="323"/>
      <c r="GX677" s="323"/>
      <c r="GY677" s="323"/>
      <c r="GZ677" s="323"/>
      <c r="HA677" s="323"/>
      <c r="HB677" s="323"/>
      <c r="HC677" s="323"/>
      <c r="HD677" s="323"/>
      <c r="HE677" s="323"/>
      <c r="HF677" s="323"/>
      <c r="HG677" s="323"/>
      <c r="HH677" s="323"/>
      <c r="HI677" s="323"/>
      <c r="HJ677" s="323"/>
      <c r="HK677" s="323"/>
      <c r="HL677" s="323"/>
      <c r="HM677" s="323"/>
      <c r="HN677" s="323"/>
      <c r="HO677" s="323"/>
      <c r="HP677" s="323"/>
      <c r="HQ677" s="323"/>
      <c r="HR677" s="323"/>
      <c r="HS677" s="323"/>
      <c r="HT677" s="323"/>
      <c r="HU677" s="323"/>
      <c r="HV677" s="323"/>
      <c r="HW677" s="323"/>
      <c r="HX677" s="323"/>
      <c r="HY677" s="323"/>
      <c r="HZ677" s="326"/>
      <c r="IA677" s="328" t="s">
        <v>166</v>
      </c>
      <c r="IB677" s="328"/>
      <c r="IC677" s="328"/>
      <c r="ID677" s="323">
        <f>+FISC!Z895</f>
        <v>0</v>
      </c>
      <c r="IE677" s="279">
        <f>SUM(CQ677:CV677)</f>
        <v>0</v>
      </c>
      <c r="IF677" s="279">
        <f>SUM(CW677:DB677)</f>
        <v>0</v>
      </c>
      <c r="IG677" s="323">
        <f>SUM(CQ677:DB677)</f>
        <v>0</v>
      </c>
      <c r="IJ677" s="323">
        <v>0</v>
      </c>
      <c r="IK677" s="279">
        <f t="shared" si="640"/>
        <v>0</v>
      </c>
      <c r="IL677" s="279">
        <f t="shared" si="641"/>
        <v>0</v>
      </c>
      <c r="IM677" s="323">
        <f t="shared" si="503"/>
        <v>0</v>
      </c>
      <c r="IO677" s="327"/>
      <c r="IP677" s="323">
        <f>FISC!AC895</f>
        <v>0</v>
      </c>
      <c r="IQ677" s="279">
        <f t="shared" si="642"/>
        <v>0</v>
      </c>
      <c r="IR677" s="279">
        <f t="shared" si="643"/>
        <v>0</v>
      </c>
      <c r="IS677" s="323">
        <f t="shared" si="590"/>
        <v>0</v>
      </c>
      <c r="IT677" s="327"/>
      <c r="IU677" s="327"/>
      <c r="IV677" s="323">
        <f>+FISC!AE895</f>
        <v>0</v>
      </c>
      <c r="IW677" s="279">
        <f>IY677*JU677</f>
        <v>0</v>
      </c>
      <c r="IX677" s="279">
        <f t="shared" si="486"/>
        <v>0</v>
      </c>
      <c r="IY677" s="323">
        <f>+FISC!AF895</f>
        <v>0</v>
      </c>
      <c r="IZ677" s="279">
        <f t="shared" si="498"/>
        <v>0</v>
      </c>
      <c r="JA677" s="279">
        <f t="shared" si="540"/>
        <v>0</v>
      </c>
      <c r="JB677" s="323">
        <f>+FISC!AG895</f>
        <v>0</v>
      </c>
      <c r="JC677" s="279">
        <f t="shared" si="499"/>
        <v>0</v>
      </c>
      <c r="JD677" s="279">
        <f t="shared" si="487"/>
        <v>0</v>
      </c>
      <c r="JE677" s="323">
        <f>+FISC!AH895</f>
        <v>0</v>
      </c>
      <c r="JF677" s="279">
        <f t="shared" si="500"/>
        <v>0</v>
      </c>
      <c r="JG677" s="279">
        <f t="shared" si="488"/>
        <v>0</v>
      </c>
      <c r="JH677" s="323">
        <f>+FISC!AI895</f>
        <v>0</v>
      </c>
      <c r="JI677" s="279">
        <f t="shared" si="501"/>
        <v>0</v>
      </c>
      <c r="JJ677" s="279">
        <f t="shared" si="489"/>
        <v>0</v>
      </c>
      <c r="JK677" s="323">
        <f>+FISC!AJ895</f>
        <v>0</v>
      </c>
      <c r="JL677" s="279">
        <f t="shared" si="502"/>
        <v>0</v>
      </c>
      <c r="JM677" s="279">
        <f t="shared" si="490"/>
        <v>0</v>
      </c>
      <c r="JN677" s="323">
        <f>+FISC!AK895</f>
        <v>0</v>
      </c>
      <c r="JO677" s="323"/>
      <c r="KU677" s="326"/>
      <c r="KV677" s="327"/>
    </row>
    <row r="678" spans="1:314" hidden="1">
      <c r="A678" s="279"/>
      <c r="B678" s="96" t="s">
        <v>338</v>
      </c>
      <c r="D678" s="328" t="str">
        <f>+FISC!D896</f>
        <v>of Which Bugesera airport</v>
      </c>
      <c r="E678" s="323"/>
      <c r="F678" s="323"/>
      <c r="G678" s="323"/>
      <c r="H678" s="323"/>
      <c r="I678" s="323"/>
      <c r="J678" s="323"/>
      <c r="K678" s="323"/>
      <c r="L678" s="323"/>
      <c r="M678" s="323"/>
      <c r="N678" s="323"/>
      <c r="O678" s="323"/>
      <c r="P678" s="323"/>
      <c r="Q678" s="323"/>
      <c r="R678" s="323"/>
      <c r="S678" s="323"/>
      <c r="T678" s="323"/>
      <c r="U678" s="323"/>
      <c r="V678" s="323"/>
      <c r="W678" s="323"/>
      <c r="X678" s="323"/>
      <c r="Y678" s="323"/>
      <c r="Z678" s="323"/>
      <c r="AA678" s="323"/>
      <c r="AB678" s="323"/>
      <c r="AC678" s="323"/>
      <c r="AD678" s="323"/>
      <c r="AE678" s="323"/>
      <c r="AF678" s="323"/>
      <c r="AG678" s="323"/>
      <c r="AH678" s="323"/>
      <c r="AI678" s="323"/>
      <c r="AJ678" s="323"/>
      <c r="AK678" s="323"/>
      <c r="AL678" s="323"/>
      <c r="AM678" s="323"/>
      <c r="AN678" s="323"/>
      <c r="AO678" s="323"/>
      <c r="AP678" s="323"/>
      <c r="AQ678" s="323"/>
      <c r="AR678" s="323"/>
      <c r="AS678" s="323"/>
      <c r="AT678" s="323"/>
      <c r="AU678" s="323"/>
      <c r="AV678" s="323"/>
      <c r="AW678" s="323"/>
      <c r="AX678" s="323"/>
      <c r="AY678" s="323"/>
      <c r="AZ678" s="323"/>
      <c r="BA678" s="323"/>
      <c r="BB678" s="323"/>
      <c r="BC678" s="323"/>
      <c r="BD678" s="323"/>
      <c r="BE678" s="323"/>
      <c r="BF678" s="323"/>
      <c r="BG678" s="323"/>
      <c r="BH678" s="323"/>
      <c r="BI678" s="323"/>
      <c r="BJ678" s="323"/>
      <c r="BK678" s="323"/>
      <c r="BL678" s="323"/>
      <c r="BM678" s="323"/>
      <c r="BN678" s="323"/>
      <c r="BO678" s="323"/>
      <c r="BP678" s="323"/>
      <c r="BQ678" s="323"/>
      <c r="BR678" s="323"/>
      <c r="BS678" s="323"/>
      <c r="BT678" s="323"/>
      <c r="BU678" s="323"/>
      <c r="BV678" s="323"/>
      <c r="BW678" s="323"/>
      <c r="BX678" s="323"/>
      <c r="BY678" s="323"/>
      <c r="BZ678" s="323"/>
      <c r="CA678" s="323"/>
      <c r="CB678" s="323"/>
      <c r="CC678" s="323"/>
      <c r="CD678" s="323"/>
      <c r="CE678" s="324">
        <v>0</v>
      </c>
      <c r="CF678" s="323">
        <v>0</v>
      </c>
      <c r="CG678" s="323">
        <v>0</v>
      </c>
      <c r="CH678" s="323">
        <v>0</v>
      </c>
      <c r="CI678" s="323">
        <v>0</v>
      </c>
      <c r="CJ678" s="323">
        <v>0</v>
      </c>
      <c r="CK678" s="323">
        <v>0</v>
      </c>
      <c r="CL678" s="323">
        <v>0</v>
      </c>
      <c r="CM678" s="323">
        <v>0</v>
      </c>
      <c r="CN678" s="323">
        <v>0</v>
      </c>
      <c r="CO678" s="323">
        <v>0</v>
      </c>
      <c r="CP678" s="325">
        <v>0</v>
      </c>
      <c r="CQ678" s="323">
        <v>0</v>
      </c>
      <c r="CR678" s="323">
        <v>0</v>
      </c>
      <c r="CS678" s="323">
        <v>0</v>
      </c>
      <c r="CT678" s="323">
        <v>0</v>
      </c>
      <c r="CU678" s="323">
        <v>0</v>
      </c>
      <c r="CV678" s="323">
        <v>0</v>
      </c>
      <c r="CW678" s="323">
        <v>0</v>
      </c>
      <c r="CX678" s="323">
        <v>0</v>
      </c>
      <c r="CY678" s="323">
        <v>0</v>
      </c>
      <c r="CZ678" s="323">
        <v>0</v>
      </c>
      <c r="DA678" s="323">
        <v>0</v>
      </c>
      <c r="DB678" s="1269">
        <v>0</v>
      </c>
      <c r="DC678" s="323"/>
      <c r="DD678" s="323"/>
      <c r="DE678" s="323"/>
      <c r="DF678" s="323"/>
      <c r="DG678" s="323"/>
      <c r="DH678" s="323"/>
      <c r="DI678" s="323"/>
      <c r="DJ678" s="323"/>
      <c r="DK678" s="323"/>
      <c r="DL678" s="323"/>
      <c r="DM678" s="323"/>
      <c r="DN678" s="325"/>
      <c r="DO678" s="323"/>
      <c r="DP678" s="323"/>
      <c r="DQ678" s="323"/>
      <c r="DR678" s="323"/>
      <c r="DS678" s="323"/>
      <c r="DT678" s="323"/>
      <c r="DU678" s="323"/>
      <c r="DV678" s="323"/>
      <c r="DW678" s="323"/>
      <c r="DX678" s="323"/>
      <c r="DY678" s="323"/>
      <c r="DZ678" s="325"/>
      <c r="EA678" s="323"/>
      <c r="EB678" s="323"/>
      <c r="EC678" s="323"/>
      <c r="ED678" s="323"/>
      <c r="EE678" s="323"/>
      <c r="EF678" s="323"/>
      <c r="EG678" s="323"/>
      <c r="EH678" s="323"/>
      <c r="EI678" s="323"/>
      <c r="EJ678" s="323"/>
      <c r="EK678" s="323"/>
      <c r="EL678" s="325"/>
      <c r="EM678" s="323"/>
      <c r="EN678" s="323"/>
      <c r="EO678" s="323"/>
      <c r="EP678" s="323"/>
      <c r="EQ678" s="323"/>
      <c r="ER678" s="323"/>
      <c r="ES678" s="323"/>
      <c r="ET678" s="323"/>
      <c r="EU678" s="323"/>
      <c r="EV678" s="323"/>
      <c r="EW678" s="323"/>
      <c r="EX678" s="325"/>
      <c r="EY678" s="323"/>
      <c r="EZ678" s="323"/>
      <c r="FA678" s="323"/>
      <c r="FB678" s="323"/>
      <c r="FC678" s="323"/>
      <c r="FD678" s="323"/>
      <c r="FE678" s="323"/>
      <c r="FF678" s="323"/>
      <c r="FG678" s="323"/>
      <c r="FH678" s="323"/>
      <c r="FI678" s="323"/>
      <c r="FJ678" s="325"/>
      <c r="FK678" s="323"/>
      <c r="FL678" s="323"/>
      <c r="FM678" s="323"/>
      <c r="FN678" s="323"/>
      <c r="FO678" s="323"/>
      <c r="FP678" s="323"/>
      <c r="FQ678" s="323"/>
      <c r="FR678" s="323"/>
      <c r="FS678" s="323"/>
      <c r="FT678" s="323"/>
      <c r="FU678" s="323"/>
      <c r="FV678" s="323"/>
      <c r="FW678" s="323"/>
      <c r="FX678" s="323"/>
      <c r="FY678" s="323"/>
      <c r="FZ678" s="323"/>
      <c r="GA678" s="323"/>
      <c r="GB678" s="323"/>
      <c r="GC678" s="323"/>
      <c r="GD678" s="323"/>
      <c r="GE678" s="323"/>
      <c r="GF678" s="323"/>
      <c r="GG678" s="323"/>
      <c r="GH678" s="323"/>
      <c r="GI678" s="323"/>
      <c r="GJ678" s="323"/>
      <c r="GK678" s="323"/>
      <c r="GL678" s="323"/>
      <c r="GM678" s="323"/>
      <c r="GN678" s="323"/>
      <c r="GO678" s="323"/>
      <c r="GP678" s="323"/>
      <c r="GQ678" s="323"/>
      <c r="GR678" s="323"/>
      <c r="GS678" s="323"/>
      <c r="GT678" s="323"/>
      <c r="GU678" s="323"/>
      <c r="GV678" s="323"/>
      <c r="GW678" s="323"/>
      <c r="GX678" s="323"/>
      <c r="GY678" s="323"/>
      <c r="GZ678" s="323"/>
      <c r="HA678" s="323"/>
      <c r="HB678" s="323"/>
      <c r="HC678" s="323"/>
      <c r="HD678" s="323"/>
      <c r="HE678" s="323"/>
      <c r="HF678" s="323"/>
      <c r="HG678" s="323"/>
      <c r="HH678" s="323"/>
      <c r="HI678" s="323"/>
      <c r="HJ678" s="323"/>
      <c r="HK678" s="323"/>
      <c r="HL678" s="323"/>
      <c r="HM678" s="323"/>
      <c r="HN678" s="323"/>
      <c r="HO678" s="323"/>
      <c r="HP678" s="323"/>
      <c r="HQ678" s="323"/>
      <c r="HR678" s="323"/>
      <c r="HS678" s="323"/>
      <c r="HT678" s="323"/>
      <c r="HU678" s="323"/>
      <c r="HV678" s="323"/>
      <c r="HW678" s="323"/>
      <c r="HX678" s="323"/>
      <c r="HY678" s="323"/>
      <c r="HZ678" s="326"/>
      <c r="IA678" s="328" t="s">
        <v>167</v>
      </c>
      <c r="IB678" s="328"/>
      <c r="IC678" s="328"/>
      <c r="ID678" s="323">
        <f>+FISC!Z896</f>
        <v>0</v>
      </c>
      <c r="IE678" s="279">
        <f>SUM(CQ678:CV678)</f>
        <v>0</v>
      </c>
      <c r="IF678" s="279">
        <f>SUM(CW678:DB678)</f>
        <v>0</v>
      </c>
      <c r="IG678" s="323">
        <f>SUM(CQ678:DB678)</f>
        <v>0</v>
      </c>
      <c r="IJ678" s="323">
        <v>0</v>
      </c>
      <c r="IK678" s="279">
        <f t="shared" si="640"/>
        <v>0</v>
      </c>
      <c r="IL678" s="279">
        <f t="shared" si="641"/>
        <v>0</v>
      </c>
      <c r="IM678" s="323">
        <f t="shared" si="503"/>
        <v>0</v>
      </c>
      <c r="IO678" s="327"/>
      <c r="IP678" s="323">
        <f>FISC!AC896</f>
        <v>0</v>
      </c>
      <c r="IQ678" s="279">
        <f t="shared" si="642"/>
        <v>0</v>
      </c>
      <c r="IR678" s="279">
        <f t="shared" si="643"/>
        <v>0</v>
      </c>
      <c r="IS678" s="323">
        <f t="shared" si="590"/>
        <v>0</v>
      </c>
      <c r="IT678" s="327"/>
      <c r="IU678" s="327"/>
      <c r="IV678" s="323">
        <f>+FISC!AE896</f>
        <v>0</v>
      </c>
      <c r="IW678" s="279">
        <f>IY678*JU678</f>
        <v>0</v>
      </c>
      <c r="IX678" s="279">
        <f t="shared" si="486"/>
        <v>0</v>
      </c>
      <c r="IY678" s="323">
        <f>+FISC!AF896</f>
        <v>0</v>
      </c>
      <c r="IZ678" s="279">
        <f t="shared" si="498"/>
        <v>0</v>
      </c>
      <c r="JA678" s="279">
        <f t="shared" si="540"/>
        <v>0</v>
      </c>
      <c r="JB678" s="323">
        <f>+FISC!AG896</f>
        <v>0</v>
      </c>
      <c r="JC678" s="279">
        <f t="shared" si="499"/>
        <v>0</v>
      </c>
      <c r="JD678" s="279">
        <f t="shared" si="487"/>
        <v>0</v>
      </c>
      <c r="JE678" s="323">
        <f>+FISC!AH896</f>
        <v>0</v>
      </c>
      <c r="JF678" s="279">
        <f t="shared" si="500"/>
        <v>0</v>
      </c>
      <c r="JG678" s="279">
        <f t="shared" si="488"/>
        <v>0</v>
      </c>
      <c r="JH678" s="323">
        <f>+FISC!AI896</f>
        <v>0</v>
      </c>
      <c r="JI678" s="279">
        <f t="shared" si="501"/>
        <v>0</v>
      </c>
      <c r="JJ678" s="279">
        <f t="shared" si="489"/>
        <v>0</v>
      </c>
      <c r="JK678" s="323">
        <f>+FISC!AJ896</f>
        <v>0</v>
      </c>
      <c r="JL678" s="279">
        <f t="shared" si="502"/>
        <v>0</v>
      </c>
      <c r="JM678" s="279">
        <f t="shared" si="490"/>
        <v>0</v>
      </c>
      <c r="JN678" s="323">
        <f>+FISC!AK896</f>
        <v>0</v>
      </c>
      <c r="JO678" s="323"/>
      <c r="KU678" s="326"/>
      <c r="KV678" s="327"/>
    </row>
    <row r="679" spans="1:314" hidden="1">
      <c r="A679" s="279"/>
      <c r="B679" s="96" t="s">
        <v>338</v>
      </c>
      <c r="D679" s="328" t="str">
        <f>+FISC!D897</f>
        <v>of Which Additional energy</v>
      </c>
      <c r="E679" s="323"/>
      <c r="F679" s="323"/>
      <c r="G679" s="323"/>
      <c r="H679" s="323"/>
      <c r="I679" s="323"/>
      <c r="J679" s="323"/>
      <c r="K679" s="323"/>
      <c r="L679" s="323"/>
      <c r="M679" s="323"/>
      <c r="N679" s="323"/>
      <c r="O679" s="323"/>
      <c r="P679" s="323"/>
      <c r="Q679" s="323"/>
      <c r="R679" s="323"/>
      <c r="S679" s="323"/>
      <c r="T679" s="323"/>
      <c r="U679" s="323"/>
      <c r="V679" s="323"/>
      <c r="W679" s="323"/>
      <c r="X679" s="323"/>
      <c r="Y679" s="323"/>
      <c r="Z679" s="323"/>
      <c r="AA679" s="323"/>
      <c r="AB679" s="323"/>
      <c r="AC679" s="323"/>
      <c r="AD679" s="323"/>
      <c r="AE679" s="323"/>
      <c r="AF679" s="323"/>
      <c r="AG679" s="323"/>
      <c r="AH679" s="323"/>
      <c r="AI679" s="323"/>
      <c r="AJ679" s="323"/>
      <c r="AK679" s="323"/>
      <c r="AL679" s="323"/>
      <c r="AM679" s="323"/>
      <c r="AN679" s="323"/>
      <c r="AO679" s="323"/>
      <c r="AP679" s="323"/>
      <c r="AQ679" s="323"/>
      <c r="AR679" s="323"/>
      <c r="AS679" s="323"/>
      <c r="AT679" s="323"/>
      <c r="AU679" s="323"/>
      <c r="AV679" s="323"/>
      <c r="AW679" s="323"/>
      <c r="AX679" s="323"/>
      <c r="AY679" s="323"/>
      <c r="AZ679" s="323"/>
      <c r="BA679" s="323"/>
      <c r="BB679" s="323"/>
      <c r="BC679" s="323"/>
      <c r="BD679" s="323"/>
      <c r="BE679" s="323"/>
      <c r="BF679" s="323"/>
      <c r="BG679" s="323"/>
      <c r="BH679" s="323"/>
      <c r="BI679" s="323"/>
      <c r="BJ679" s="323"/>
      <c r="BK679" s="323"/>
      <c r="BL679" s="323"/>
      <c r="BM679" s="323"/>
      <c r="BN679" s="323"/>
      <c r="BO679" s="323"/>
      <c r="BP679" s="323"/>
      <c r="BQ679" s="323"/>
      <c r="BR679" s="323"/>
      <c r="BS679" s="323"/>
      <c r="BT679" s="323"/>
      <c r="BU679" s="323"/>
      <c r="BV679" s="323"/>
      <c r="BW679" s="323"/>
      <c r="BX679" s="323"/>
      <c r="BY679" s="323"/>
      <c r="BZ679" s="323"/>
      <c r="CA679" s="323"/>
      <c r="CB679" s="323"/>
      <c r="CC679" s="323"/>
      <c r="CD679" s="323"/>
      <c r="CE679" s="324">
        <v>0</v>
      </c>
      <c r="CF679" s="323">
        <v>0</v>
      </c>
      <c r="CG679" s="323">
        <v>0</v>
      </c>
      <c r="CH679" s="323">
        <v>0</v>
      </c>
      <c r="CI679" s="323">
        <v>0</v>
      </c>
      <c r="CJ679" s="323">
        <v>0</v>
      </c>
      <c r="CK679" s="323">
        <v>0</v>
      </c>
      <c r="CL679" s="323">
        <v>0</v>
      </c>
      <c r="CM679" s="323">
        <v>0</v>
      </c>
      <c r="CN679" s="323">
        <v>0</v>
      </c>
      <c r="CO679" s="323">
        <v>0</v>
      </c>
      <c r="CP679" s="325">
        <v>0</v>
      </c>
      <c r="CQ679" s="323">
        <v>0</v>
      </c>
      <c r="CR679" s="323">
        <v>0</v>
      </c>
      <c r="CS679" s="323">
        <v>0</v>
      </c>
      <c r="CT679" s="323">
        <v>0</v>
      </c>
      <c r="CU679" s="323">
        <v>0</v>
      </c>
      <c r="CV679" s="323">
        <v>0</v>
      </c>
      <c r="CW679" s="323">
        <v>0</v>
      </c>
      <c r="CX679" s="323">
        <v>0</v>
      </c>
      <c r="CY679" s="323">
        <v>0</v>
      </c>
      <c r="CZ679" s="323">
        <v>0</v>
      </c>
      <c r="DA679" s="323">
        <v>0</v>
      </c>
      <c r="DB679" s="1269">
        <v>0</v>
      </c>
      <c r="DC679" s="323"/>
      <c r="DD679" s="323"/>
      <c r="DE679" s="323"/>
      <c r="DF679" s="323"/>
      <c r="DG679" s="323"/>
      <c r="DH679" s="323"/>
      <c r="DI679" s="323"/>
      <c r="DJ679" s="323"/>
      <c r="DK679" s="323"/>
      <c r="DL679" s="323"/>
      <c r="DM679" s="323"/>
      <c r="DN679" s="325"/>
      <c r="DO679" s="323"/>
      <c r="DP679" s="323"/>
      <c r="DQ679" s="323"/>
      <c r="DR679" s="323"/>
      <c r="DS679" s="323"/>
      <c r="DT679" s="323"/>
      <c r="DU679" s="323"/>
      <c r="DV679" s="323"/>
      <c r="DW679" s="323"/>
      <c r="DX679" s="323"/>
      <c r="DY679" s="323"/>
      <c r="DZ679" s="325"/>
      <c r="EA679" s="323"/>
      <c r="EB679" s="323"/>
      <c r="EC679" s="323"/>
      <c r="ED679" s="323"/>
      <c r="EE679" s="323"/>
      <c r="EF679" s="323"/>
      <c r="EG679" s="323"/>
      <c r="EH679" s="323"/>
      <c r="EI679" s="323"/>
      <c r="EJ679" s="323"/>
      <c r="EK679" s="323"/>
      <c r="EL679" s="325"/>
      <c r="EM679" s="323"/>
      <c r="EN679" s="323"/>
      <c r="EO679" s="323"/>
      <c r="EP679" s="323"/>
      <c r="EQ679" s="323"/>
      <c r="ER679" s="323"/>
      <c r="ES679" s="323"/>
      <c r="ET679" s="323"/>
      <c r="EU679" s="323"/>
      <c r="EV679" s="323"/>
      <c r="EW679" s="323"/>
      <c r="EX679" s="325"/>
      <c r="EY679" s="323"/>
      <c r="EZ679" s="323"/>
      <c r="FA679" s="323"/>
      <c r="FB679" s="323"/>
      <c r="FC679" s="323"/>
      <c r="FD679" s="323"/>
      <c r="FE679" s="323"/>
      <c r="FF679" s="323"/>
      <c r="FG679" s="323"/>
      <c r="FH679" s="323"/>
      <c r="FI679" s="323"/>
      <c r="FJ679" s="325"/>
      <c r="FK679" s="323"/>
      <c r="FL679" s="323"/>
      <c r="FM679" s="323"/>
      <c r="FN679" s="323"/>
      <c r="FO679" s="323"/>
      <c r="FP679" s="323"/>
      <c r="FQ679" s="323"/>
      <c r="FR679" s="323"/>
      <c r="FS679" s="323"/>
      <c r="FT679" s="323"/>
      <c r="FU679" s="323"/>
      <c r="FV679" s="323"/>
      <c r="FW679" s="323"/>
      <c r="FX679" s="323"/>
      <c r="FY679" s="323"/>
      <c r="FZ679" s="323"/>
      <c r="GA679" s="323"/>
      <c r="GB679" s="323"/>
      <c r="GC679" s="323"/>
      <c r="GD679" s="323"/>
      <c r="GE679" s="323"/>
      <c r="GF679" s="323"/>
      <c r="GG679" s="323"/>
      <c r="GH679" s="323"/>
      <c r="GI679" s="323"/>
      <c r="GJ679" s="323"/>
      <c r="GK679" s="323"/>
      <c r="GL679" s="323"/>
      <c r="GM679" s="323"/>
      <c r="GN679" s="323"/>
      <c r="GO679" s="323"/>
      <c r="GP679" s="323"/>
      <c r="GQ679" s="323"/>
      <c r="GR679" s="323"/>
      <c r="GS679" s="323"/>
      <c r="GT679" s="323"/>
      <c r="GU679" s="323"/>
      <c r="GV679" s="323"/>
      <c r="GW679" s="323"/>
      <c r="GX679" s="323"/>
      <c r="GY679" s="323"/>
      <c r="GZ679" s="323"/>
      <c r="HA679" s="323"/>
      <c r="HB679" s="323"/>
      <c r="HC679" s="323"/>
      <c r="HD679" s="323"/>
      <c r="HE679" s="323"/>
      <c r="HF679" s="323"/>
      <c r="HG679" s="323"/>
      <c r="HH679" s="323"/>
      <c r="HI679" s="323"/>
      <c r="HJ679" s="323"/>
      <c r="HK679" s="323"/>
      <c r="HL679" s="323"/>
      <c r="HM679" s="323"/>
      <c r="HN679" s="323"/>
      <c r="HO679" s="323"/>
      <c r="HP679" s="323"/>
      <c r="HQ679" s="323"/>
      <c r="HR679" s="323"/>
      <c r="HS679" s="323"/>
      <c r="HT679" s="323"/>
      <c r="HU679" s="323"/>
      <c r="HV679" s="323"/>
      <c r="HW679" s="323"/>
      <c r="HX679" s="323"/>
      <c r="HY679" s="323"/>
      <c r="HZ679" s="326"/>
      <c r="IA679" s="328" t="s">
        <v>168</v>
      </c>
      <c r="IB679" s="328"/>
      <c r="IC679" s="328"/>
      <c r="ID679" s="323">
        <f>+FISC!Z897</f>
        <v>0</v>
      </c>
      <c r="IE679" s="279">
        <f>SUM(CQ679:CV679)</f>
        <v>0</v>
      </c>
      <c r="IF679" s="279">
        <f>SUM(CW679:DB679)</f>
        <v>0</v>
      </c>
      <c r="IG679" s="323">
        <f>SUM(CQ679:DB679)</f>
        <v>0</v>
      </c>
      <c r="IJ679" s="323">
        <v>0</v>
      </c>
      <c r="IK679" s="279">
        <f t="shared" si="640"/>
        <v>0</v>
      </c>
      <c r="IL679" s="279">
        <f t="shared" si="641"/>
        <v>0</v>
      </c>
      <c r="IM679" s="323">
        <f t="shared" si="503"/>
        <v>0</v>
      </c>
      <c r="IO679" s="327"/>
      <c r="IP679" s="323">
        <f>FISC!AC897</f>
        <v>0</v>
      </c>
      <c r="IQ679" s="279">
        <f t="shared" si="642"/>
        <v>0</v>
      </c>
      <c r="IR679" s="279">
        <f t="shared" si="643"/>
        <v>0</v>
      </c>
      <c r="IS679" s="323">
        <f t="shared" si="590"/>
        <v>0</v>
      </c>
      <c r="IT679" s="327"/>
      <c r="IU679" s="327"/>
      <c r="IV679" s="323">
        <f>+FISC!AE897</f>
        <v>0</v>
      </c>
      <c r="IW679" s="279">
        <f>IY679*JU679</f>
        <v>0</v>
      </c>
      <c r="IX679" s="279">
        <f t="shared" si="486"/>
        <v>0</v>
      </c>
      <c r="IY679" s="323">
        <f>+FISC!AF897</f>
        <v>0</v>
      </c>
      <c r="IZ679" s="279">
        <f t="shared" si="498"/>
        <v>0</v>
      </c>
      <c r="JA679" s="279">
        <f t="shared" si="540"/>
        <v>0</v>
      </c>
      <c r="JB679" s="323">
        <f>+FISC!AG897</f>
        <v>0</v>
      </c>
      <c r="JC679" s="279">
        <f t="shared" si="499"/>
        <v>0</v>
      </c>
      <c r="JD679" s="279">
        <f t="shared" si="487"/>
        <v>0</v>
      </c>
      <c r="JE679" s="323">
        <f>+FISC!AH897</f>
        <v>0</v>
      </c>
      <c r="JF679" s="279">
        <f t="shared" si="500"/>
        <v>0</v>
      </c>
      <c r="JG679" s="279">
        <f t="shared" si="488"/>
        <v>0</v>
      </c>
      <c r="JH679" s="323">
        <f>+FISC!AI897</f>
        <v>0</v>
      </c>
      <c r="JI679" s="279">
        <f t="shared" si="501"/>
        <v>0</v>
      </c>
      <c r="JJ679" s="279">
        <f t="shared" si="489"/>
        <v>0</v>
      </c>
      <c r="JK679" s="323">
        <f>+FISC!AJ897</f>
        <v>0</v>
      </c>
      <c r="JL679" s="279">
        <f t="shared" si="502"/>
        <v>0</v>
      </c>
      <c r="JM679" s="279">
        <f t="shared" si="490"/>
        <v>0</v>
      </c>
      <c r="JN679" s="323">
        <f>+FISC!AK897</f>
        <v>0</v>
      </c>
      <c r="JO679" s="323"/>
      <c r="KU679" s="326"/>
      <c r="KV679" s="327"/>
    </row>
    <row r="680" spans="1:314" hidden="1">
      <c r="A680" s="279"/>
      <c r="B680" s="96" t="s">
        <v>338</v>
      </c>
      <c r="D680" s="328" t="str">
        <f>+FISC!D898</f>
        <v>Amortization (due)</v>
      </c>
      <c r="E680" s="323">
        <v>-0.50807036317380805</v>
      </c>
      <c r="F680" s="323">
        <v>-0.11030652130680001</v>
      </c>
      <c r="G680" s="323">
        <v>-0.1098492736317</v>
      </c>
      <c r="H680" s="323">
        <v>-0.276455737578432</v>
      </c>
      <c r="I680" s="323">
        <v>-0.12798318832220001</v>
      </c>
      <c r="J680" s="323">
        <v>-1.2055402538739002</v>
      </c>
      <c r="K680" s="323">
        <v>-0.38135343420939993</v>
      </c>
      <c r="L680" s="323">
        <v>-4.2709927436400001E-2</v>
      </c>
      <c r="M680" s="323">
        <v>-0.1134389981944</v>
      </c>
      <c r="N680" s="323">
        <v>-3.807155156E-2</v>
      </c>
      <c r="O680" s="323">
        <v>-0.77784387055999993</v>
      </c>
      <c r="P680" s="323">
        <v>-0.80840067511999991</v>
      </c>
      <c r="Q680" s="323">
        <v>-0.50161116085360002</v>
      </c>
      <c r="R680" s="323">
        <v>-5.3357941889999996E-2</v>
      </c>
      <c r="S680" s="323">
        <v>-0.12282318612200001</v>
      </c>
      <c r="T680" s="323">
        <v>-0.18439733379599998</v>
      </c>
      <c r="U680" s="323">
        <v>-0.163856145684</v>
      </c>
      <c r="V680" s="323">
        <v>-1.6737419048760003</v>
      </c>
      <c r="W680" s="323">
        <v>-0.49252511424059997</v>
      </c>
      <c r="X680" s="323">
        <v>-5.5411693903999998E-2</v>
      </c>
      <c r="Y680" s="323">
        <v>-0.12012152692320001</v>
      </c>
      <c r="Z680" s="323">
        <v>-0.13377891116489998</v>
      </c>
      <c r="AA680" s="323">
        <v>-0.14888275325040001</v>
      </c>
      <c r="AB680" s="323">
        <v>-0.35033177710800001</v>
      </c>
      <c r="AC680" s="323">
        <v>-0.52907199999999999</v>
      </c>
      <c r="AD680" s="323">
        <v>-4.1878385000000004E-2</v>
      </c>
      <c r="AE680" s="323">
        <v>-0.11159949299999999</v>
      </c>
      <c r="AF680" s="323">
        <v>-0.26076719500000001</v>
      </c>
      <c r="AG680" s="323">
        <v>-0.15922959</v>
      </c>
      <c r="AH680" s="323">
        <v>-1.774898479</v>
      </c>
      <c r="AI680" s="323">
        <v>-0.54568328499999996</v>
      </c>
      <c r="AJ680" s="323">
        <v>-4.7101027999999996E-2</v>
      </c>
      <c r="AK680" s="323">
        <v>-0.124436159</v>
      </c>
      <c r="AL680" s="323">
        <v>-0.17289784</v>
      </c>
      <c r="AM680" s="323">
        <v>-0.21172326799999999</v>
      </c>
      <c r="AN680" s="323">
        <v>-0.343362316</v>
      </c>
      <c r="AO680" s="323">
        <v>-0.50290532316275993</v>
      </c>
      <c r="AP680" s="323">
        <v>-0.15814870683429999</v>
      </c>
      <c r="AQ680" s="323">
        <v>-0.12523235455472001</v>
      </c>
      <c r="AR680" s="323">
        <v>-0.2297994379254</v>
      </c>
      <c r="AS680" s="323">
        <v>-0.20176501846710002</v>
      </c>
      <c r="AT680" s="323">
        <v>-2.2788711228112479</v>
      </c>
      <c r="AU680" s="323">
        <v>-1.0774999999999999</v>
      </c>
      <c r="AV680" s="323">
        <v>-0.1545</v>
      </c>
      <c r="AW680" s="323">
        <v>-0.1134</v>
      </c>
      <c r="AX680" s="323">
        <v>-0.68194363155999993</v>
      </c>
      <c r="AY680" s="323">
        <v>-0.38759797281340003</v>
      </c>
      <c r="AZ680" s="323">
        <v>-1.2102588916695001</v>
      </c>
      <c r="BA680" s="323">
        <v>-1.158766612</v>
      </c>
      <c r="BB680" s="323">
        <v>-0.101139462</v>
      </c>
      <c r="BC680" s="323">
        <v>-0.60107188</v>
      </c>
      <c r="BD680" s="323">
        <v>-0.155374504</v>
      </c>
      <c r="BE680" s="323">
        <v>-0.37950800800000001</v>
      </c>
      <c r="BF680" s="323">
        <v>-2.301496266</v>
      </c>
      <c r="BG680" s="323">
        <v>-1.2117479499999999</v>
      </c>
      <c r="BH680" s="323">
        <v>-0.10368931131</v>
      </c>
      <c r="BI680" s="323">
        <v>-0.7996538004</v>
      </c>
      <c r="BJ680" s="323">
        <v>-0.38554824684</v>
      </c>
      <c r="BK680" s="323">
        <v>-0.94509411099999996</v>
      </c>
      <c r="BL680" s="323">
        <v>-0.91107899699999995</v>
      </c>
      <c r="BM680" s="323">
        <v>-1.1393097170000002</v>
      </c>
      <c r="BN680" s="323">
        <v>-0.10130504225</v>
      </c>
      <c r="BO680" s="323">
        <v>-0.95787116900000002</v>
      </c>
      <c r="BP680" s="323">
        <v>-0.37928600191000006</v>
      </c>
      <c r="BQ680" s="323">
        <v>-1.1134900000000001</v>
      </c>
      <c r="BR680" s="323">
        <v>-1.6244799999999999</v>
      </c>
      <c r="BS680" s="323">
        <v>-1.2683</v>
      </c>
      <c r="BT680" s="323">
        <v>-9.9900000000000003E-2</v>
      </c>
      <c r="BU680" s="323">
        <v>-0.44830000000000003</v>
      </c>
      <c r="BV680" s="323"/>
      <c r="BW680" s="323"/>
      <c r="BX680" s="323"/>
      <c r="BY680" s="323">
        <v>-1.3474862237792347</v>
      </c>
      <c r="BZ680" s="323">
        <v>-0.12517140289654885</v>
      </c>
      <c r="CA680" s="323">
        <v>-0.45873459011050866</v>
      </c>
      <c r="CB680" s="323">
        <v>-1.3895624175322565</v>
      </c>
      <c r="CC680" s="323">
        <v>-1.1650459448089734</v>
      </c>
      <c r="CD680" s="323">
        <v>-1.766669445009392</v>
      </c>
      <c r="CE680" s="324">
        <f t="shared" ref="CE680:DJ680" si="650">CE38*-1</f>
        <v>-0.75231223210998577</v>
      </c>
      <c r="CF680" s="323">
        <f t="shared" si="650"/>
        <v>-0.10966848389490923</v>
      </c>
      <c r="CG680" s="323">
        <f t="shared" si="650"/>
        <v>-0.47387485241576605</v>
      </c>
      <c r="CH680" s="323">
        <f t="shared" si="650"/>
        <v>-1.4513836032679843</v>
      </c>
      <c r="CI680" s="323">
        <f t="shared" si="650"/>
        <v>-0.58777857013412638</v>
      </c>
      <c r="CJ680" s="323">
        <f t="shared" si="650"/>
        <v>-0.67328982647967961</v>
      </c>
      <c r="CK680" s="323">
        <f t="shared" si="650"/>
        <v>-0.65696933155801895</v>
      </c>
      <c r="CL680" s="323">
        <f t="shared" si="650"/>
        <v>-0.13550613930183492</v>
      </c>
      <c r="CM680" s="323">
        <f t="shared" si="650"/>
        <v>-0.94102121532754346</v>
      </c>
      <c r="CN680" s="323">
        <f t="shared" si="650"/>
        <v>-1.6646100604409304</v>
      </c>
      <c r="CO680" s="323">
        <f t="shared" si="650"/>
        <v>-1.4997860588471599</v>
      </c>
      <c r="CP680" s="325">
        <f t="shared" si="650"/>
        <v>-2.092424797395688</v>
      </c>
      <c r="CQ680" s="323">
        <f t="shared" si="650"/>
        <v>-0.81872423393511529</v>
      </c>
      <c r="CR680" s="323">
        <f t="shared" si="650"/>
        <v>-0.11637316555133259</v>
      </c>
      <c r="CS680" s="323">
        <f t="shared" si="650"/>
        <v>-0.98822693728794064</v>
      </c>
      <c r="CT680" s="323">
        <f t="shared" si="650"/>
        <v>-1.9076891664129094</v>
      </c>
      <c r="CU680" s="323">
        <f t="shared" si="650"/>
        <v>-1.6371101983136604</v>
      </c>
      <c r="CV680" s="323">
        <f t="shared" si="650"/>
        <v>-1.2823343003148511</v>
      </c>
      <c r="CW680" s="323">
        <f t="shared" si="650"/>
        <v>-0.54259925348207405</v>
      </c>
      <c r="CX680" s="323">
        <f t="shared" si="650"/>
        <v>-0.16658080707395662</v>
      </c>
      <c r="CY680" s="323">
        <f t="shared" si="650"/>
        <v>-0.64064937036626235</v>
      </c>
      <c r="CZ680" s="323">
        <f t="shared" si="650"/>
        <v>-2.6615469227826445</v>
      </c>
      <c r="DA680" s="323">
        <f t="shared" si="650"/>
        <v>-1.4873097549746874</v>
      </c>
      <c r="DB680" s="1269">
        <f t="shared" si="650"/>
        <v>-2.3879191262870338</v>
      </c>
      <c r="DC680" s="323">
        <f t="shared" si="650"/>
        <v>-0.7496316773618682</v>
      </c>
      <c r="DD680" s="323">
        <f t="shared" si="650"/>
        <v>-0.18844025208556964</v>
      </c>
      <c r="DE680" s="323">
        <f t="shared" si="650"/>
        <v>-1.1651190338380673</v>
      </c>
      <c r="DF680" s="323">
        <f t="shared" si="650"/>
        <v>-2.3537645624842876</v>
      </c>
      <c r="DG680" s="323">
        <f t="shared" si="650"/>
        <v>-0.81354493592348931</v>
      </c>
      <c r="DH680" s="323">
        <f t="shared" si="650"/>
        <v>-2.3913343737472514</v>
      </c>
      <c r="DI680" s="323">
        <f t="shared" si="650"/>
        <v>-0.82900468326802634</v>
      </c>
      <c r="DJ680" s="323">
        <f t="shared" si="650"/>
        <v>-0.11983319186926601</v>
      </c>
      <c r="DK680" s="323">
        <f t="shared" ref="DK680:EP680" si="651">DK38*-1</f>
        <v>-2.3683025380918479</v>
      </c>
      <c r="DL680" s="323">
        <f t="shared" si="651"/>
        <v>-2.6336685600717291</v>
      </c>
      <c r="DM680" s="323">
        <f t="shared" si="651"/>
        <v>-1.9423298927616031</v>
      </c>
      <c r="DN680" s="325">
        <f t="shared" si="651"/>
        <v>-1.5664812432107276</v>
      </c>
      <c r="DO680" s="323">
        <f t="shared" si="651"/>
        <v>-0.81482773460129687</v>
      </c>
      <c r="DP680" s="323">
        <f t="shared" si="651"/>
        <v>-0.18105762339779582</v>
      </c>
      <c r="DQ680" s="323">
        <f t="shared" si="651"/>
        <v>-4.1449209053121328</v>
      </c>
      <c r="DR680" s="323">
        <f t="shared" si="651"/>
        <v>-1.6766759256303281</v>
      </c>
      <c r="DS680" s="323">
        <f t="shared" si="651"/>
        <v>-1.6324040521808563</v>
      </c>
      <c r="DT680" s="323">
        <f t="shared" si="651"/>
        <v>-1.9212676525864625</v>
      </c>
      <c r="DU680" s="323">
        <f t="shared" si="651"/>
        <v>-0.70013142949925244</v>
      </c>
      <c r="DV680" s="323">
        <f t="shared" si="651"/>
        <v>-0.1429723286373058</v>
      </c>
      <c r="DW680" s="323">
        <f t="shared" si="651"/>
        <v>-5.3287087216909566</v>
      </c>
      <c r="DX680" s="323">
        <f t="shared" si="651"/>
        <v>-1.5963297269627943</v>
      </c>
      <c r="DY680" s="323">
        <f t="shared" si="651"/>
        <v>-2.1598769611755211</v>
      </c>
      <c r="DZ680" s="325">
        <f t="shared" si="651"/>
        <v>-1.2814078564345341</v>
      </c>
      <c r="EA680" s="323">
        <f t="shared" si="651"/>
        <v>-1.2814078564345341</v>
      </c>
      <c r="EB680" s="323">
        <f t="shared" si="651"/>
        <v>-0.1508550394771061</v>
      </c>
      <c r="EC680" s="323">
        <f t="shared" si="651"/>
        <v>-4.9908027326786346</v>
      </c>
      <c r="ED680" s="323">
        <f t="shared" si="651"/>
        <v>-2.0712650367908614</v>
      </c>
      <c r="EE680" s="323">
        <f t="shared" si="651"/>
        <v>-1.8791482955264269</v>
      </c>
      <c r="EF680" s="323">
        <f t="shared" si="651"/>
        <v>-2.1693559036259176</v>
      </c>
      <c r="EG680" s="323">
        <f t="shared" si="651"/>
        <v>-1.1618025330384665</v>
      </c>
      <c r="EH680" s="323">
        <f t="shared" si="651"/>
        <v>-0.51454785319515561</v>
      </c>
      <c r="EI680" s="323">
        <f t="shared" si="651"/>
        <v>-3.9915140101251882</v>
      </c>
      <c r="EJ680" s="323">
        <f t="shared" si="651"/>
        <v>-3.2862055830739316</v>
      </c>
      <c r="EK680" s="323">
        <f t="shared" si="651"/>
        <v>-1.5905199425173457</v>
      </c>
      <c r="EL680" s="325">
        <f t="shared" si="651"/>
        <v>-2.7303336994329461</v>
      </c>
      <c r="EM680" s="323">
        <f t="shared" si="651"/>
        <v>-1.3470474729735158</v>
      </c>
      <c r="EN680" s="323">
        <f t="shared" si="651"/>
        <v>-0.52934734873926026</v>
      </c>
      <c r="EO680" s="323">
        <f t="shared" si="651"/>
        <v>-4.0709369091479815</v>
      </c>
      <c r="EP680" s="323">
        <f t="shared" si="651"/>
        <v>-3.3849278688892088</v>
      </c>
      <c r="EQ680" s="323">
        <f t="shared" ref="EQ680:EX680" si="652">EQ38*-1</f>
        <v>-2.1046109426230299</v>
      </c>
      <c r="ER680" s="323">
        <f t="shared" si="652"/>
        <v>-1.862306207048356</v>
      </c>
      <c r="ES680" s="323">
        <f t="shared" si="652"/>
        <v>-1.1961686853698605</v>
      </c>
      <c r="ET680" s="323">
        <f t="shared" si="652"/>
        <v>-0.84681447803554177</v>
      </c>
      <c r="EU680" s="323">
        <f t="shared" si="652"/>
        <v>-6.3283366049876717</v>
      </c>
      <c r="EV680" s="323">
        <f t="shared" si="652"/>
        <v>-1.7937734377266965</v>
      </c>
      <c r="EW680" s="323">
        <f t="shared" si="652"/>
        <v>-3.4748833155086563</v>
      </c>
      <c r="EX680" s="325">
        <f t="shared" si="652"/>
        <v>-1.7258530270004859</v>
      </c>
      <c r="EY680" s="323"/>
      <c r="EZ680" s="323"/>
      <c r="FA680" s="323"/>
      <c r="FB680" s="323"/>
      <c r="FC680" s="323"/>
      <c r="FD680" s="323"/>
      <c r="FE680" s="323"/>
      <c r="FF680" s="323"/>
      <c r="FG680" s="323"/>
      <c r="FH680" s="323"/>
      <c r="FI680" s="323"/>
      <c r="FJ680" s="325"/>
      <c r="FK680" s="323"/>
      <c r="FL680" s="323"/>
      <c r="FM680" s="323"/>
      <c r="FN680" s="323"/>
      <c r="FO680" s="323"/>
      <c r="FP680" s="323"/>
      <c r="FQ680" s="323"/>
      <c r="FR680" s="323"/>
      <c r="FS680" s="323"/>
      <c r="FT680" s="323"/>
      <c r="FU680" s="323"/>
      <c r="FV680" s="323"/>
      <c r="FW680" s="323"/>
      <c r="FX680" s="323"/>
      <c r="FY680" s="323"/>
      <c r="FZ680" s="323"/>
      <c r="GA680" s="323"/>
      <c r="GB680" s="323"/>
      <c r="GC680" s="323"/>
      <c r="GD680" s="323"/>
      <c r="GE680" s="323"/>
      <c r="GF680" s="323"/>
      <c r="GG680" s="323"/>
      <c r="GH680" s="323"/>
      <c r="GI680" s="323"/>
      <c r="GJ680" s="323"/>
      <c r="GK680" s="323"/>
      <c r="GL680" s="323"/>
      <c r="GM680" s="323"/>
      <c r="GN680" s="323"/>
      <c r="GO680" s="323"/>
      <c r="GP680" s="323"/>
      <c r="GQ680" s="323"/>
      <c r="GR680" s="323"/>
      <c r="GS680" s="323"/>
      <c r="GT680" s="323"/>
      <c r="GU680" s="323"/>
      <c r="GV680" s="323"/>
      <c r="GW680" s="323"/>
      <c r="GX680" s="323"/>
      <c r="GY680" s="323"/>
      <c r="GZ680" s="323"/>
      <c r="HA680" s="323"/>
      <c r="HB680" s="323"/>
      <c r="HC680" s="323"/>
      <c r="HD680" s="323"/>
      <c r="HE680" s="323"/>
      <c r="HF680" s="323"/>
      <c r="HG680" s="323"/>
      <c r="HH680" s="323"/>
      <c r="HI680" s="323"/>
      <c r="HJ680" s="323"/>
      <c r="HK680" s="323"/>
      <c r="HL680" s="323"/>
      <c r="HM680" s="323"/>
      <c r="HN680" s="323"/>
      <c r="HO680" s="323"/>
      <c r="HP680" s="323"/>
      <c r="HQ680" s="323"/>
      <c r="HR680" s="323"/>
      <c r="HS680" s="323"/>
      <c r="HT680" s="323"/>
      <c r="HU680" s="323"/>
      <c r="HV680" s="323"/>
      <c r="HW680" s="323"/>
      <c r="HX680" s="323"/>
      <c r="HY680" s="323"/>
      <c r="HZ680" s="326"/>
      <c r="IA680" s="328" t="s">
        <v>169</v>
      </c>
      <c r="IB680" s="328"/>
      <c r="IC680" s="328"/>
      <c r="ID680" s="323">
        <f>+FISC!Z898</f>
        <v>-14.550458001815809</v>
      </c>
      <c r="IE680" s="279">
        <f>SUM(CQ680:CV680)</f>
        <v>-6.7504580018158089</v>
      </c>
      <c r="IF680" s="279">
        <f>SUM(CW680:DB680)</f>
        <v>-7.8866052349666589</v>
      </c>
      <c r="IG680" s="323">
        <f>SUM(CQ680:DB680)</f>
        <v>-14.637063236782469</v>
      </c>
      <c r="IH680" s="279">
        <f>+SUM(DC680:DH680)</f>
        <v>-7.6618348354405335</v>
      </c>
      <c r="II680" s="279">
        <f>+SUM(DI680:DN680)</f>
        <v>-9.4596201092731995</v>
      </c>
      <c r="IJ680" s="323">
        <f>IH680+II680</f>
        <v>-17.121454944713733</v>
      </c>
      <c r="IK680" s="279">
        <f t="shared" si="640"/>
        <v>-10.371153893708872</v>
      </c>
      <c r="IL680" s="279">
        <f t="shared" si="641"/>
        <v>-11.209427024400362</v>
      </c>
      <c r="IM680" s="323">
        <f t="shared" si="503"/>
        <v>-21.580580918109234</v>
      </c>
      <c r="IN680" s="279">
        <v>-12.463463653213461</v>
      </c>
      <c r="IO680" s="279">
        <f>+IP680-IN680</f>
        <v>-13.354294832703053</v>
      </c>
      <c r="IP680" s="323">
        <f>FISC!AC898</f>
        <v>-25.817758485916514</v>
      </c>
      <c r="IQ680" s="279">
        <f t="shared" si="642"/>
        <v>-13.299176749421351</v>
      </c>
      <c r="IR680" s="279">
        <f t="shared" si="643"/>
        <v>-15.365829548628913</v>
      </c>
      <c r="IS680" s="323">
        <f t="shared" si="590"/>
        <v>-28.665006298050265</v>
      </c>
      <c r="IT680" s="279">
        <f>-((FISC!AD122+FISC!AD127)*FISC!AE259/1000)*0+-18.6522462137703</f>
        <v>-18.652246213770301</v>
      </c>
      <c r="IU680" s="279">
        <f>+IV680-IT680</f>
        <v>-37.705055654120514</v>
      </c>
      <c r="IV680" s="323">
        <f>+FISC!AE898</f>
        <v>-56.357301867890811</v>
      </c>
      <c r="IW680" s="279">
        <f>-((FISC!AE122+FISC!AE127)*FISC!AF259/1000)</f>
        <v>-54.269587553895725</v>
      </c>
      <c r="IX680" s="279">
        <f>IY680-IW680</f>
        <v>130.63882786849587</v>
      </c>
      <c r="IY680" s="323">
        <f>+FISC!AF1363</f>
        <v>76.369240314600148</v>
      </c>
      <c r="IZ680" s="279">
        <f>-((FISC!AF122+FISC!AF127)*FISC!AG259/1000)</f>
        <v>-433.85409755178603</v>
      </c>
      <c r="JA680" s="279">
        <f t="shared" si="540"/>
        <v>-50.77536622433189</v>
      </c>
      <c r="JB680" s="323">
        <f>+FISC!AG898</f>
        <v>-484.62946377611792</v>
      </c>
      <c r="JC680" s="279">
        <f>-((FISC!AG122+FISC!AG127)*FISC!AH259/1000)</f>
        <v>-48.026048415074968</v>
      </c>
      <c r="JD680" s="279">
        <f t="shared" si="487"/>
        <v>-118.79046552706609</v>
      </c>
      <c r="JE680" s="323">
        <f>+FISC!AH898</f>
        <v>-166.81651394214106</v>
      </c>
      <c r="JF680" s="279">
        <f>-((FISC!AH122+FISC!AH127)*FISC!AI259/1000)</f>
        <v>-57.437704001789697</v>
      </c>
      <c r="JG680" s="279">
        <f t="shared" si="488"/>
        <v>-68.228998714116372</v>
      </c>
      <c r="JH680" s="323">
        <f>+FISC!AI898</f>
        <v>-125.66670271590607</v>
      </c>
      <c r="JI680" s="279">
        <f>-((FISC!AI122+FISC!AI127)*FISC!AJ259/1000)</f>
        <v>-88.117625561243713</v>
      </c>
      <c r="JJ680" s="279">
        <f t="shared" si="489"/>
        <v>-89.266862654721805</v>
      </c>
      <c r="JK680" s="323">
        <f>+FISC!AJ898</f>
        <v>-177.38448821596552</v>
      </c>
      <c r="JL680" s="279">
        <f>-((FISC!AJ122+FISC!AJ127)*FISC!AK259/1000)</f>
        <v>-139.91915061581088</v>
      </c>
      <c r="JM680" s="279">
        <f t="shared" si="490"/>
        <v>139.91915061581088</v>
      </c>
      <c r="JN680" s="323">
        <f>+FISC!AK898</f>
        <v>0</v>
      </c>
      <c r="JO680" s="323"/>
      <c r="KU680" s="326"/>
      <c r="KV680" s="327"/>
    </row>
    <row r="681" spans="1:314" hidden="1">
      <c r="A681" s="279"/>
      <c r="B681" s="96" t="s">
        <v>338</v>
      </c>
      <c r="D681" s="553" t="str">
        <f>+FISC!D900</f>
        <v>Net domestic financing</v>
      </c>
      <c r="E681" s="323">
        <f t="shared" ref="E681:BP681" si="653">E667-E669</f>
        <v>3.3985952380779314</v>
      </c>
      <c r="F681" s="323">
        <f t="shared" si="653"/>
        <v>9.2998979970267985</v>
      </c>
      <c r="G681" s="323">
        <f t="shared" si="653"/>
        <v>11.516824383664195</v>
      </c>
      <c r="H681" s="323">
        <f t="shared" si="653"/>
        <v>6.2476395107067049</v>
      </c>
      <c r="I681" s="323">
        <f t="shared" si="653"/>
        <v>-18.013913429779802</v>
      </c>
      <c r="J681" s="323">
        <f t="shared" si="653"/>
        <v>-54.064165934400215</v>
      </c>
      <c r="K681" s="323">
        <f t="shared" si="653"/>
        <v>14.645809234535708</v>
      </c>
      <c r="L681" s="323">
        <f t="shared" si="653"/>
        <v>4.9653835292860027</v>
      </c>
      <c r="M681" s="323">
        <f t="shared" si="653"/>
        <v>14.408701830078401</v>
      </c>
      <c r="N681" s="323">
        <f t="shared" si="653"/>
        <v>11.643373313300007</v>
      </c>
      <c r="O681" s="323">
        <f t="shared" si="653"/>
        <v>6.3408579906599947</v>
      </c>
      <c r="P681" s="323">
        <f t="shared" si="653"/>
        <v>-15.8843328948</v>
      </c>
      <c r="Q681" s="323">
        <f t="shared" si="653"/>
        <v>-3.9728840997547943</v>
      </c>
      <c r="R681" s="323">
        <f t="shared" si="653"/>
        <v>14.097380114232703</v>
      </c>
      <c r="S681" s="323">
        <f t="shared" si="653"/>
        <v>-39.433969753152986</v>
      </c>
      <c r="T681" s="323">
        <f t="shared" si="653"/>
        <v>25.16263547606</v>
      </c>
      <c r="U681" s="323">
        <f t="shared" si="653"/>
        <v>-16.927548442660505</v>
      </c>
      <c r="V681" s="323">
        <f t="shared" si="653"/>
        <v>-41.149097456732001</v>
      </c>
      <c r="W681" s="323">
        <f t="shared" si="653"/>
        <v>18.302697017590599</v>
      </c>
      <c r="X681" s="323">
        <f t="shared" si="653"/>
        <v>6.6565175943120041</v>
      </c>
      <c r="Y681" s="323">
        <f t="shared" si="653"/>
        <v>3.6098355915280074</v>
      </c>
      <c r="Z681" s="323">
        <f t="shared" si="653"/>
        <v>16.359524329738289</v>
      </c>
      <c r="AA681" s="323">
        <f t="shared" si="653"/>
        <v>25.620377379039802</v>
      </c>
      <c r="AB681" s="323">
        <f t="shared" si="653"/>
        <v>-67.69437469118499</v>
      </c>
      <c r="AC681" s="323">
        <f t="shared" si="653"/>
        <v>21.352505762</v>
      </c>
      <c r="AD681" s="323">
        <f t="shared" si="653"/>
        <v>-0.13600534200000231</v>
      </c>
      <c r="AE681" s="323">
        <f t="shared" si="653"/>
        <v>23.416125643000001</v>
      </c>
      <c r="AF681" s="323">
        <f t="shared" si="653"/>
        <v>-16.210330169999999</v>
      </c>
      <c r="AG681" s="323">
        <f t="shared" si="653"/>
        <v>11.471898870999997</v>
      </c>
      <c r="AH681" s="323">
        <f t="shared" si="653"/>
        <v>-45.741334597999973</v>
      </c>
      <c r="AI681" s="323">
        <f t="shared" si="653"/>
        <v>-9.0578524149999957</v>
      </c>
      <c r="AJ681" s="323">
        <f t="shared" si="653"/>
        <v>25.527026363999994</v>
      </c>
      <c r="AK681" s="323">
        <f t="shared" si="653"/>
        <v>-15.541188822999985</v>
      </c>
      <c r="AL681" s="323">
        <f t="shared" si="653"/>
        <v>-18.152366992999998</v>
      </c>
      <c r="AM681" s="323">
        <f t="shared" si="653"/>
        <v>25.816195620000009</v>
      </c>
      <c r="AN681" s="323">
        <f t="shared" si="653"/>
        <v>-1.9170796019999852</v>
      </c>
      <c r="AO681" s="323">
        <f t="shared" si="653"/>
        <v>-6.2510251935772461</v>
      </c>
      <c r="AP681" s="323">
        <f t="shared" si="653"/>
        <v>9.8349284088943101</v>
      </c>
      <c r="AQ681" s="323">
        <f t="shared" si="653"/>
        <v>4.2405595238819611</v>
      </c>
      <c r="AR681" s="323">
        <f t="shared" si="653"/>
        <v>16.327427416045406</v>
      </c>
      <c r="AS681" s="323">
        <f t="shared" si="653"/>
        <v>7.7633054718150838</v>
      </c>
      <c r="AT681" s="323">
        <f t="shared" si="653"/>
        <v>-43.057766096123146</v>
      </c>
      <c r="AU681" s="323">
        <f t="shared" si="653"/>
        <v>9.4577143252400013</v>
      </c>
      <c r="AV681" s="323">
        <f t="shared" si="653"/>
        <v>35.452255937880011</v>
      </c>
      <c r="AW681" s="323">
        <f t="shared" si="653"/>
        <v>-40.489017357449995</v>
      </c>
      <c r="AX681" s="323">
        <f t="shared" si="653"/>
        <v>31.429712341639988</v>
      </c>
      <c r="AY681" s="323">
        <f t="shared" si="653"/>
        <v>7.0068409957141897</v>
      </c>
      <c r="AZ681" s="323">
        <f t="shared" si="653"/>
        <v>-43.615841924962993</v>
      </c>
      <c r="BA681" s="323">
        <f t="shared" si="653"/>
        <v>-2.3517793430000085</v>
      </c>
      <c r="BB681" s="323">
        <f t="shared" si="653"/>
        <v>7.9077166799999983</v>
      </c>
      <c r="BC681" s="323">
        <f t="shared" si="653"/>
        <v>37.060328516000013</v>
      </c>
      <c r="BD681" s="323">
        <f t="shared" si="653"/>
        <v>-35.899823181759984</v>
      </c>
      <c r="BE681" s="323">
        <f t="shared" si="653"/>
        <v>29.951662761769992</v>
      </c>
      <c r="BF681" s="323">
        <f t="shared" si="653"/>
        <v>28.10170457100001</v>
      </c>
      <c r="BG681" s="323">
        <f t="shared" si="653"/>
        <v>-23.641803266800011</v>
      </c>
      <c r="BH681" s="323">
        <f t="shared" si="653"/>
        <v>-36.812236439890015</v>
      </c>
      <c r="BI681" s="323">
        <f t="shared" si="653"/>
        <v>-21.734622351500022</v>
      </c>
      <c r="BJ681" s="323">
        <f t="shared" si="653"/>
        <v>-60.706458082340006</v>
      </c>
      <c r="BK681" s="323">
        <f t="shared" si="653"/>
        <v>34.559707768000024</v>
      </c>
      <c r="BL681" s="323">
        <f t="shared" si="653"/>
        <v>-65.313882094000007</v>
      </c>
      <c r="BM681" s="323">
        <f t="shared" si="653"/>
        <v>17.769783936890015</v>
      </c>
      <c r="BN681" s="323">
        <f t="shared" si="653"/>
        <v>16.564837180729999</v>
      </c>
      <c r="BO681" s="323">
        <f t="shared" si="653"/>
        <v>39.005870830999996</v>
      </c>
      <c r="BP681" s="323">
        <f t="shared" si="653"/>
        <v>30.784395081910031</v>
      </c>
      <c r="BQ681" s="323">
        <f t="shared" ref="BQ681:DN681" si="654">BQ667-BQ669</f>
        <v>39.633908634850002</v>
      </c>
      <c r="BR681" s="323">
        <f t="shared" si="654"/>
        <v>1.5135633109542486</v>
      </c>
      <c r="BS681" s="323">
        <f t="shared" si="654"/>
        <v>-51.742099451901652</v>
      </c>
      <c r="BT681" s="323">
        <f t="shared" si="654"/>
        <v>6.4092905400688815</v>
      </c>
      <c r="BU681" s="323">
        <f t="shared" si="654"/>
        <v>37.151897323727887</v>
      </c>
      <c r="BV681" s="323">
        <f t="shared" si="654"/>
        <v>4.3162266734518848</v>
      </c>
      <c r="BW681" s="323">
        <f t="shared" si="654"/>
        <v>-23.600289945276739</v>
      </c>
      <c r="BX681" s="323">
        <f t="shared" si="654"/>
        <v>-65.478835017693868</v>
      </c>
      <c r="BY681" s="323">
        <f t="shared" si="654"/>
        <v>26.293153700906526</v>
      </c>
      <c r="BZ681" s="323">
        <f t="shared" si="654"/>
        <v>19.490525906617094</v>
      </c>
      <c r="CA681" s="323">
        <f t="shared" si="654"/>
        <v>-55.549898785757598</v>
      </c>
      <c r="CB681" s="323">
        <f t="shared" si="654"/>
        <v>32.326340549438086</v>
      </c>
      <c r="CC681" s="323">
        <f t="shared" si="654"/>
        <v>91.511362392529762</v>
      </c>
      <c r="CD681" s="323">
        <f t="shared" si="654"/>
        <v>-90.219466210144134</v>
      </c>
      <c r="CE681" s="324">
        <f t="shared" si="654"/>
        <v>-48.676024530513665</v>
      </c>
      <c r="CF681" s="323">
        <f t="shared" si="654"/>
        <v>14.87229584848064</v>
      </c>
      <c r="CG681" s="323">
        <f t="shared" si="654"/>
        <v>-41.423280011744637</v>
      </c>
      <c r="CH681" s="323">
        <f t="shared" si="654"/>
        <v>33.708219457028662</v>
      </c>
      <c r="CI681" s="323">
        <f t="shared" si="654"/>
        <v>18.845999615645546</v>
      </c>
      <c r="CJ681" s="323">
        <f t="shared" si="654"/>
        <v>-22.472552960669596</v>
      </c>
      <c r="CK681" s="323">
        <f t="shared" si="654"/>
        <v>25.251482231060667</v>
      </c>
      <c r="CL681" s="323">
        <f t="shared" si="654"/>
        <v>16.141239820024456</v>
      </c>
      <c r="CM681" s="323">
        <f t="shared" si="654"/>
        <v>11.611658253140829</v>
      </c>
      <c r="CN681" s="323">
        <f t="shared" si="654"/>
        <v>51.31931910255399</v>
      </c>
      <c r="CO681" s="323">
        <f t="shared" si="654"/>
        <v>6.917467883271101</v>
      </c>
      <c r="CP681" s="325">
        <f t="shared" si="654"/>
        <v>33.759031469776339</v>
      </c>
      <c r="CQ681" s="323">
        <f t="shared" si="654"/>
        <v>-17.485892695960125</v>
      </c>
      <c r="CR681" s="323">
        <f t="shared" si="654"/>
        <v>24.7261407533301</v>
      </c>
      <c r="CS681" s="323">
        <f t="shared" si="654"/>
        <v>14.21732846037073</v>
      </c>
      <c r="CT681" s="323">
        <f t="shared" si="654"/>
        <v>36.431492193059348</v>
      </c>
      <c r="CU681" s="323">
        <f t="shared" si="654"/>
        <v>-1.9576840578430463</v>
      </c>
      <c r="CV681" s="323">
        <f t="shared" si="654"/>
        <v>-133.06557057738729</v>
      </c>
      <c r="CW681" s="323">
        <f t="shared" si="654"/>
        <v>31.657933611812357</v>
      </c>
      <c r="CX681" s="323">
        <f t="shared" si="654"/>
        <v>5.1515133137797431</v>
      </c>
      <c r="CY681" s="323">
        <f t="shared" si="654"/>
        <v>16.3368517955291</v>
      </c>
      <c r="CZ681" s="323">
        <f t="shared" si="654"/>
        <v>10.514152652595811</v>
      </c>
      <c r="DA681" s="323">
        <f t="shared" si="654"/>
        <v>14.43588853297936</v>
      </c>
      <c r="DB681" s="1269">
        <f t="shared" si="654"/>
        <v>52.972468898912432</v>
      </c>
      <c r="DC681" s="323">
        <f t="shared" si="654"/>
        <v>-20.715717449473338</v>
      </c>
      <c r="DD681" s="323">
        <f t="shared" si="654"/>
        <v>29.922845242750022</v>
      </c>
      <c r="DE681" s="323">
        <f t="shared" si="654"/>
        <v>-46.522714600207273</v>
      </c>
      <c r="DF681" s="323">
        <f t="shared" si="654"/>
        <v>59.212387664820554</v>
      </c>
      <c r="DG681" s="323">
        <f t="shared" si="654"/>
        <v>-37.307335990436165</v>
      </c>
      <c r="DH681" s="323">
        <f t="shared" si="654"/>
        <v>-54.938703473867776</v>
      </c>
      <c r="DI681" s="323">
        <f t="shared" si="654"/>
        <v>64.52065248375483</v>
      </c>
      <c r="DJ681" s="323">
        <f t="shared" si="654"/>
        <v>19.489904818522927</v>
      </c>
      <c r="DK681" s="323">
        <f t="shared" si="654"/>
        <v>-10.363371085597787</v>
      </c>
      <c r="DL681" s="323">
        <f t="shared" si="654"/>
        <v>-5.2494946220856846</v>
      </c>
      <c r="DM681" s="323">
        <f t="shared" si="654"/>
        <v>23.707140877848136</v>
      </c>
      <c r="DN681" s="325">
        <f t="shared" si="654"/>
        <v>32.629894451228409</v>
      </c>
      <c r="DO681" s="323">
        <f t="shared" ref="DO681:DT681" si="655">+DO682+DO695</f>
        <v>-23.808272852110466</v>
      </c>
      <c r="DP681" s="323">
        <f t="shared" si="655"/>
        <v>20.907133616416381</v>
      </c>
      <c r="DQ681" s="323">
        <f t="shared" si="655"/>
        <v>-47.020961539387798</v>
      </c>
      <c r="DR681" s="323">
        <f t="shared" si="655"/>
        <v>4.0940808819227259</v>
      </c>
      <c r="DS681" s="323">
        <f t="shared" si="655"/>
        <v>27.000719059530809</v>
      </c>
      <c r="DT681" s="323">
        <f t="shared" si="655"/>
        <v>-56.538026913373365</v>
      </c>
      <c r="DU681" s="323">
        <f t="shared" ref="DU681:DZ681" si="656">+DU682+DU695</f>
        <v>1.6021299269673976</v>
      </c>
      <c r="DV681" s="323">
        <f t="shared" si="656"/>
        <v>60.899492118220948</v>
      </c>
      <c r="DW681" s="323">
        <f t="shared" si="656"/>
        <v>-13.417555758642813</v>
      </c>
      <c r="DX681" s="323">
        <f t="shared" si="656"/>
        <v>5.7793387725086625</v>
      </c>
      <c r="DY681" s="323">
        <f t="shared" si="656"/>
        <v>47.301045864280809</v>
      </c>
      <c r="DZ681" s="325">
        <f t="shared" si="656"/>
        <v>29.018672697043705</v>
      </c>
      <c r="EA681" s="323">
        <f t="shared" ref="EA681:EK681" si="657">+EA682+EA695</f>
        <v>8.6685492569889249</v>
      </c>
      <c r="EB681" s="323">
        <f t="shared" si="657"/>
        <v>26.592395356583211</v>
      </c>
      <c r="EC681" s="323">
        <f t="shared" si="657"/>
        <v>-24.460793665480217</v>
      </c>
      <c r="ED681" s="323">
        <f t="shared" si="657"/>
        <v>-15.006183537399011</v>
      </c>
      <c r="EE681" s="323">
        <f t="shared" si="657"/>
        <v>5.241039809602114</v>
      </c>
      <c r="EF681" s="323">
        <f t="shared" si="657"/>
        <v>-98.035763126248767</v>
      </c>
      <c r="EG681" s="323">
        <f t="shared" si="657"/>
        <v>121.89099202779798</v>
      </c>
      <c r="EH681" s="323">
        <f t="shared" si="657"/>
        <v>8.0845957713607888</v>
      </c>
      <c r="EI681" s="323">
        <f t="shared" si="657"/>
        <v>-10.075711686469177</v>
      </c>
      <c r="EJ681" s="323">
        <f t="shared" si="657"/>
        <v>18.863676432937275</v>
      </c>
      <c r="EK681" s="323">
        <f t="shared" si="657"/>
        <v>46.318310085111335</v>
      </c>
      <c r="EL681" s="325">
        <f t="shared" ref="EL681:ER681" si="658">+EL682+EL695</f>
        <v>44.388004347066484</v>
      </c>
      <c r="EM681" s="323">
        <f t="shared" si="658"/>
        <v>1.8953592003799571</v>
      </c>
      <c r="EN681" s="323">
        <f t="shared" si="658"/>
        <v>-18.638728967560077</v>
      </c>
      <c r="EO681" s="323">
        <f t="shared" si="658"/>
        <v>11.082382187995726</v>
      </c>
      <c r="EP681" s="323">
        <f t="shared" si="658"/>
        <v>62.934407171006626</v>
      </c>
      <c r="EQ681" s="323">
        <f t="shared" si="658"/>
        <v>2.6447674652165887</v>
      </c>
      <c r="ER681" s="323">
        <f t="shared" si="658"/>
        <v>-203.66658446999821</v>
      </c>
      <c r="ES681" s="323">
        <f t="shared" ref="ES681:EX681" si="659">+ES682+ES695</f>
        <v>50.943885100347913</v>
      </c>
      <c r="ET681" s="323">
        <f t="shared" si="659"/>
        <v>41.134109082251186</v>
      </c>
      <c r="EU681" s="323">
        <f t="shared" si="659"/>
        <v>40.119776131434975</v>
      </c>
      <c r="EV681" s="323">
        <f t="shared" si="659"/>
        <v>38.891121028901111</v>
      </c>
      <c r="EW681" s="323">
        <f t="shared" si="659"/>
        <v>28.01049500992794</v>
      </c>
      <c r="EX681" s="325">
        <f t="shared" si="659"/>
        <v>18.792294439017837</v>
      </c>
      <c r="EY681" s="323"/>
      <c r="EZ681" s="323"/>
      <c r="FA681" s="323"/>
      <c r="FB681" s="323"/>
      <c r="FC681" s="323"/>
      <c r="FD681" s="323"/>
      <c r="FE681" s="323"/>
      <c r="FF681" s="323"/>
      <c r="FG681" s="323"/>
      <c r="FH681" s="323"/>
      <c r="FI681" s="323"/>
      <c r="FJ681" s="325"/>
      <c r="FK681" s="323"/>
      <c r="FL681" s="323"/>
      <c r="FM681" s="323"/>
      <c r="FN681" s="323"/>
      <c r="FO681" s="323"/>
      <c r="FP681" s="323"/>
      <c r="FQ681" s="323"/>
      <c r="FR681" s="323"/>
      <c r="FS681" s="323"/>
      <c r="FT681" s="323"/>
      <c r="FU681" s="323"/>
      <c r="FV681" s="323"/>
      <c r="FW681" s="323"/>
      <c r="FX681" s="323"/>
      <c r="FY681" s="323"/>
      <c r="FZ681" s="323"/>
      <c r="GA681" s="323"/>
      <c r="GB681" s="323"/>
      <c r="GC681" s="323"/>
      <c r="GD681" s="323"/>
      <c r="GE681" s="323"/>
      <c r="GF681" s="323"/>
      <c r="GG681" s="323"/>
      <c r="GH681" s="323"/>
      <c r="GI681" s="323"/>
      <c r="GJ681" s="323"/>
      <c r="GK681" s="323"/>
      <c r="GL681" s="323"/>
      <c r="GM681" s="323"/>
      <c r="GN681" s="323"/>
      <c r="GO681" s="323"/>
      <c r="GP681" s="323"/>
      <c r="GQ681" s="323"/>
      <c r="GR681" s="323"/>
      <c r="GS681" s="323"/>
      <c r="GT681" s="323"/>
      <c r="GU681" s="323"/>
      <c r="GV681" s="323"/>
      <c r="GW681" s="323"/>
      <c r="GX681" s="323"/>
      <c r="GY681" s="323"/>
      <c r="GZ681" s="323"/>
      <c r="HA681" s="323"/>
      <c r="HB681" s="323"/>
      <c r="HC681" s="323"/>
      <c r="HD681" s="323"/>
      <c r="HE681" s="323"/>
      <c r="HF681" s="323"/>
      <c r="HG681" s="323"/>
      <c r="HH681" s="323"/>
      <c r="HI681" s="323"/>
      <c r="HJ681" s="323"/>
      <c r="HK681" s="323"/>
      <c r="HL681" s="323"/>
      <c r="HM681" s="323"/>
      <c r="HN681" s="323"/>
      <c r="HO681" s="323"/>
      <c r="HP681" s="323"/>
      <c r="HQ681" s="323"/>
      <c r="HR681" s="323"/>
      <c r="HS681" s="323"/>
      <c r="HT681" s="323"/>
      <c r="HU681" s="323"/>
      <c r="HV681" s="323"/>
      <c r="HW681" s="323"/>
      <c r="HX681" s="323"/>
      <c r="HY681" s="323"/>
      <c r="HZ681" s="326"/>
      <c r="IA681" s="553" t="s">
        <v>828</v>
      </c>
      <c r="IB681" s="553"/>
      <c r="IC681" s="553"/>
      <c r="ID681" s="323">
        <f>+FISC!Z900</f>
        <v>9.2999999999999972</v>
      </c>
      <c r="IE681" s="279">
        <f>IE667-IE669</f>
        <v>-100.13418592443038</v>
      </c>
      <c r="IF681" s="279">
        <f>IF667-IF669</f>
        <v>131.06880880560877</v>
      </c>
      <c r="IG681" s="323">
        <f>IG667-IG669</f>
        <v>30.93462288117837</v>
      </c>
      <c r="IH681" s="279">
        <f>+IH682+IH695</f>
        <v>-77.56881422613624</v>
      </c>
      <c r="II681" s="279">
        <f>+II682+II695</f>
        <v>127.37091644493165</v>
      </c>
      <c r="IJ681" s="323">
        <f>IH681+II681</f>
        <v>49.802102218795412</v>
      </c>
      <c r="IK681" s="279">
        <f>+IK682+IK695</f>
        <v>-75.365327747001714</v>
      </c>
      <c r="IL681" s="279">
        <f>+IL682+IL695</f>
        <v>131.18312362037869</v>
      </c>
      <c r="IM681" s="323">
        <f t="shared" si="503"/>
        <v>55.81779587337698</v>
      </c>
      <c r="IN681" s="279">
        <f>(IN667-IN669)</f>
        <v>-76.513563812377328</v>
      </c>
      <c r="IO681" s="279">
        <f>((IO667-IO669))</f>
        <v>112.67301332015495</v>
      </c>
      <c r="IP681" s="323">
        <f>FISC!AC900</f>
        <v>42.957634732946076</v>
      </c>
      <c r="IQ681" s="279">
        <f t="shared" si="642"/>
        <v>-143.74839741295938</v>
      </c>
      <c r="IR681" s="279">
        <f t="shared" si="643"/>
        <v>217.89168079188099</v>
      </c>
      <c r="IS681" s="323">
        <f t="shared" si="590"/>
        <v>74.143283378921609</v>
      </c>
      <c r="IT681" s="279" t="e">
        <f>(IT667-IT669)</f>
        <v>#REF!</v>
      </c>
      <c r="IU681" s="279" t="e">
        <f>IV681-IT681</f>
        <v>#REF!</v>
      </c>
      <c r="IV681" s="323">
        <f>+FISC!AE900</f>
        <v>88.652325063023426</v>
      </c>
      <c r="IW681" s="279" t="e">
        <f>IW667-IW669</f>
        <v>#REF!</v>
      </c>
      <c r="IX681" s="279" t="e">
        <f>IY681-IW681</f>
        <v>#REF!</v>
      </c>
      <c r="IY681" s="323">
        <f>+FISC!AF900</f>
        <v>265.5799971589999</v>
      </c>
      <c r="IZ681" s="279" t="e">
        <f>IZ667-IZ669</f>
        <v>#REF!</v>
      </c>
      <c r="JA681" s="279" t="e">
        <f t="shared" si="540"/>
        <v>#REF!</v>
      </c>
      <c r="JB681" s="323">
        <f>+FISC!AG900</f>
        <v>225.00000000000006</v>
      </c>
      <c r="JC681" s="279">
        <f>JC667-JC669</f>
        <v>-4641.0019382808341</v>
      </c>
      <c r="JD681" s="279">
        <f t="shared" si="487"/>
        <v>4801.5433639839375</v>
      </c>
      <c r="JE681" s="323">
        <f>+FISC!AH900</f>
        <v>160.5414257031031</v>
      </c>
      <c r="JF681" s="279">
        <f>JF667-JF669</f>
        <v>-6324.0533657727046</v>
      </c>
      <c r="JG681" s="279">
        <f t="shared" si="488"/>
        <v>6625.1180981289144</v>
      </c>
      <c r="JH681" s="323">
        <f>+FISC!AI900</f>
        <v>301.06473235620956</v>
      </c>
      <c r="JI681" s="279">
        <f>JI667-JI669</f>
        <v>795.68197968931349</v>
      </c>
      <c r="JJ681" s="279">
        <f t="shared" si="489"/>
        <v>-620.78197968931352</v>
      </c>
      <c r="JK681" s="323">
        <f>+FISC!AJ900</f>
        <v>174.89999999999998</v>
      </c>
      <c r="JL681" s="279">
        <f>JL667-JL669</f>
        <v>-14.716747138461187</v>
      </c>
      <c r="JM681" s="279">
        <f t="shared" si="490"/>
        <v>14.716747138461187</v>
      </c>
      <c r="JN681" s="323">
        <f>+FISC!AK900</f>
        <v>0</v>
      </c>
      <c r="JO681" s="323"/>
      <c r="KU681" s="326"/>
      <c r="KV681" s="327"/>
      <c r="KY681" s="279">
        <f>KY667-KY669</f>
        <v>0</v>
      </c>
      <c r="KZ681" s="279">
        <f>KZ667-KZ669</f>
        <v>0</v>
      </c>
      <c r="LA681" s="279">
        <f>LA667-LA669</f>
        <v>0</v>
      </c>
      <c r="LB681" s="279">
        <f>LB667-LB669</f>
        <v>0</v>
      </c>
    </row>
    <row r="682" spans="1:314" hidden="1">
      <c r="A682" s="279"/>
      <c r="B682" s="96" t="s">
        <v>338</v>
      </c>
      <c r="D682" s="328" t="s">
        <v>833</v>
      </c>
      <c r="E682" s="323">
        <v>-8.4</v>
      </c>
      <c r="F682" s="323">
        <v>7.7</v>
      </c>
      <c r="G682" s="323">
        <v>10.4</v>
      </c>
      <c r="H682" s="323">
        <v>9.3000000000000007</v>
      </c>
      <c r="I682" s="323">
        <v>-20.399999999999999</v>
      </c>
      <c r="J682" s="323">
        <v>-54.3</v>
      </c>
      <c r="K682" s="323">
        <v>16.899999999999999</v>
      </c>
      <c r="L682" s="323">
        <v>12.1</v>
      </c>
      <c r="M682" s="323">
        <v>22.8</v>
      </c>
      <c r="N682" s="323">
        <v>10</v>
      </c>
      <c r="O682" s="323">
        <v>7.4</v>
      </c>
      <c r="P682" s="323">
        <v>-8.6999999999999993</v>
      </c>
      <c r="Q682" s="323">
        <v>1.0495999999999999</v>
      </c>
      <c r="R682" s="323">
        <v>16.851800000000001</v>
      </c>
      <c r="S682" s="323">
        <v>-40.393999999999998</v>
      </c>
      <c r="T682" s="323">
        <v>25.288599999999999</v>
      </c>
      <c r="U682" s="323">
        <v>-16.461400000000001</v>
      </c>
      <c r="V682" s="323">
        <v>-45.681899999999999</v>
      </c>
      <c r="W682" s="323">
        <v>19.973099999999999</v>
      </c>
      <c r="X682" s="323">
        <v>5.257299999999999</v>
      </c>
      <c r="Y682" s="323">
        <v>6.4409000000000001</v>
      </c>
      <c r="Z682" s="323">
        <v>22.9618</v>
      </c>
      <c r="AA682" s="323">
        <v>23.6174</v>
      </c>
      <c r="AB682" s="323">
        <v>-62.616300000000003</v>
      </c>
      <c r="AC682" s="323">
        <v>2.1999999999999886</v>
      </c>
      <c r="AD682" s="323">
        <v>-2.0999999999999948</v>
      </c>
      <c r="AE682" s="323">
        <v>-22.599999999999994</v>
      </c>
      <c r="AF682" s="323">
        <v>24.900000000000006</v>
      </c>
      <c r="AG682" s="323">
        <v>-17.200000000000003</v>
      </c>
      <c r="AH682" s="323">
        <v>12.100000000000009</v>
      </c>
      <c r="AI682" s="323">
        <v>3.0999999999999948</v>
      </c>
      <c r="AJ682" s="323">
        <v>-21.800000000000011</v>
      </c>
      <c r="AK682" s="323">
        <v>27.400000000000006</v>
      </c>
      <c r="AL682" s="323">
        <v>19.900000000000006</v>
      </c>
      <c r="AM682" s="323">
        <v>-14.200000000000017</v>
      </c>
      <c r="AN682" s="323">
        <v>-6.5999999999999943</v>
      </c>
      <c r="AO682" s="323">
        <v>-8.0999999999999943</v>
      </c>
      <c r="AP682" s="323">
        <v>22</v>
      </c>
      <c r="AQ682" s="323">
        <v>7.5</v>
      </c>
      <c r="AR682" s="323">
        <v>6.9000000000000057</v>
      </c>
      <c r="AS682" s="323">
        <v>16.299999999999997</v>
      </c>
      <c r="AT682" s="323">
        <v>-29.099999999999994</v>
      </c>
      <c r="AU682" s="323">
        <v>14.5</v>
      </c>
      <c r="AV682" s="323">
        <v>33.899999999999991</v>
      </c>
      <c r="AW682" s="323">
        <v>-55.099999999999994</v>
      </c>
      <c r="AX682" s="323">
        <v>8.5999999999999943</v>
      </c>
      <c r="AY682" s="323">
        <v>34.800000000000011</v>
      </c>
      <c r="AZ682" s="323">
        <v>-42.200000000000017</v>
      </c>
      <c r="BA682" s="323">
        <v>8.8000000000000114</v>
      </c>
      <c r="BB682" s="323">
        <v>-0.5</v>
      </c>
      <c r="BC682" s="323">
        <v>24.400000000000006</v>
      </c>
      <c r="BD682" s="323">
        <v>-48.300000000000011</v>
      </c>
      <c r="BE682" s="323">
        <v>56.400000000000006</v>
      </c>
      <c r="BF682" s="323">
        <v>42.3</v>
      </c>
      <c r="BG682" s="323">
        <v>-17.099999999999994</v>
      </c>
      <c r="BH682" s="323">
        <v>-23.600000000000009</v>
      </c>
      <c r="BI682" s="323">
        <v>-25.699999999999989</v>
      </c>
      <c r="BJ682" s="323">
        <v>-66.400000000000006</v>
      </c>
      <c r="BK682" s="323">
        <v>34.900000000000006</v>
      </c>
      <c r="BL682" s="323">
        <v>-77.5</v>
      </c>
      <c r="BM682" s="323">
        <v>27</v>
      </c>
      <c r="BN682" s="323">
        <v>39</v>
      </c>
      <c r="BO682" s="323">
        <v>19.099999999999994</v>
      </c>
      <c r="BP682" s="323">
        <v>32.799999999999997</v>
      </c>
      <c r="BQ682" s="323">
        <v>61.5</v>
      </c>
      <c r="BR682" s="323">
        <v>-7.7999999999999972</v>
      </c>
      <c r="BS682" s="323">
        <v>-36.1</v>
      </c>
      <c r="BT682" s="323">
        <v>10</v>
      </c>
      <c r="BU682" s="323">
        <v>-10.54</v>
      </c>
      <c r="BV682" s="323">
        <v>-14.118382069999996</v>
      </c>
      <c r="BW682" s="323">
        <v>-1.110039860000029</v>
      </c>
      <c r="BX682" s="323">
        <v>-20.428834503999951</v>
      </c>
      <c r="BY682" s="323">
        <v>42.30872003199994</v>
      </c>
      <c r="BZ682" s="323">
        <v>32.507076406000024</v>
      </c>
      <c r="CA682" s="323">
        <v>-14.280795951999991</v>
      </c>
      <c r="CB682" s="323">
        <v>8.8957754699999612</v>
      </c>
      <c r="CC682" s="323">
        <v>-146.489910474</v>
      </c>
      <c r="CD682" s="323">
        <v>50.032514074000005</v>
      </c>
      <c r="CE682" s="324">
        <f t="shared" ref="CE682:DJ682" si="660">CE337-CD337</f>
        <v>-35.190015329000033</v>
      </c>
      <c r="CF682" s="323">
        <f t="shared" si="660"/>
        <v>26.105961152000077</v>
      </c>
      <c r="CG682" s="323">
        <f t="shared" si="660"/>
        <v>-19.124953893000026</v>
      </c>
      <c r="CH682" s="323">
        <f t="shared" si="660"/>
        <v>-5.6921006460000001</v>
      </c>
      <c r="CI682" s="323">
        <f t="shared" si="660"/>
        <v>23.454107406999981</v>
      </c>
      <c r="CJ682" s="323">
        <f t="shared" si="660"/>
        <v>-12.888181615000008</v>
      </c>
      <c r="CK682" s="323">
        <f t="shared" si="660"/>
        <v>33.588823249302379</v>
      </c>
      <c r="CL682" s="323">
        <f t="shared" si="660"/>
        <v>27.397410988511098</v>
      </c>
      <c r="CM682" s="323">
        <f t="shared" si="660"/>
        <v>21.179449936643408</v>
      </c>
      <c r="CN682" s="323">
        <f t="shared" si="660"/>
        <v>23.058029623929031</v>
      </c>
      <c r="CO682" s="323">
        <f t="shared" si="660"/>
        <v>1.3864568804731334</v>
      </c>
      <c r="CP682" s="325">
        <f t="shared" si="660"/>
        <v>67.374657316288562</v>
      </c>
      <c r="CQ682" s="323">
        <f t="shared" si="660"/>
        <v>33.316331730395973</v>
      </c>
      <c r="CR682" s="323">
        <f t="shared" si="660"/>
        <v>2.0355756140683638</v>
      </c>
      <c r="CS682" s="323">
        <f t="shared" si="660"/>
        <v>31.993860479802578</v>
      </c>
      <c r="CT682" s="323">
        <f t="shared" si="660"/>
        <v>27.808196661250577</v>
      </c>
      <c r="CU682" s="323">
        <f t="shared" si="660"/>
        <v>-15.246527991337558</v>
      </c>
      <c r="CV682" s="323">
        <f t="shared" si="660"/>
        <v>-88.056370374511175</v>
      </c>
      <c r="CW682" s="323">
        <f t="shared" si="660"/>
        <v>32.673985904489371</v>
      </c>
      <c r="CX682" s="323">
        <f t="shared" si="660"/>
        <v>-16.358181633659257</v>
      </c>
      <c r="CY682" s="323">
        <f t="shared" si="660"/>
        <v>1.7133043652061133</v>
      </c>
      <c r="CZ682" s="323">
        <f t="shared" si="660"/>
        <v>25.197120323166445</v>
      </c>
      <c r="DA682" s="323">
        <f t="shared" si="660"/>
        <v>42.309816371743921</v>
      </c>
      <c r="DB682" s="1269">
        <f t="shared" si="660"/>
        <v>60.929165610549745</v>
      </c>
      <c r="DC682" s="323">
        <f t="shared" si="660"/>
        <v>4.6263949941644853</v>
      </c>
      <c r="DD682" s="323">
        <f t="shared" si="660"/>
        <v>12.584109279922245</v>
      </c>
      <c r="DE682" s="323">
        <f t="shared" si="660"/>
        <v>-42.196770266561657</v>
      </c>
      <c r="DF682" s="323">
        <f t="shared" si="660"/>
        <v>42.003155239069372</v>
      </c>
      <c r="DG682" s="323">
        <f t="shared" si="660"/>
        <v>-17.290879858813753</v>
      </c>
      <c r="DH682" s="323">
        <f t="shared" si="660"/>
        <v>-84.656207080512388</v>
      </c>
      <c r="DI682" s="323">
        <f t="shared" si="660"/>
        <v>46.526596543474511</v>
      </c>
      <c r="DJ682" s="323">
        <f t="shared" si="660"/>
        <v>1.5561217267548955</v>
      </c>
      <c r="DK682" s="323">
        <f t="shared" ref="DK682:EP682" si="661">DK337-DJ337</f>
        <v>-14.168797465208684</v>
      </c>
      <c r="DL682" s="323">
        <f t="shared" si="661"/>
        <v>-32.181775911871341</v>
      </c>
      <c r="DM682" s="323">
        <f t="shared" si="661"/>
        <v>31.279756175951661</v>
      </c>
      <c r="DN682" s="325">
        <f t="shared" si="661"/>
        <v>54.003039442935631</v>
      </c>
      <c r="DO682" s="323">
        <f t="shared" si="661"/>
        <v>-26.401210487244555</v>
      </c>
      <c r="DP682" s="323">
        <f t="shared" si="661"/>
        <v>-0.10811435058363372</v>
      </c>
      <c r="DQ682" s="323">
        <f t="shared" si="661"/>
        <v>-52.841335186387795</v>
      </c>
      <c r="DR682" s="323">
        <f t="shared" si="661"/>
        <v>-1.893608006240413</v>
      </c>
      <c r="DS682" s="323">
        <f t="shared" si="661"/>
        <v>17.651785444530816</v>
      </c>
      <c r="DT682" s="323">
        <f t="shared" si="661"/>
        <v>-51.29353142037337</v>
      </c>
      <c r="DU682" s="323">
        <f t="shared" si="661"/>
        <v>-3.9178462034948573</v>
      </c>
      <c r="DV682" s="323">
        <f t="shared" si="661"/>
        <v>55.279404350220943</v>
      </c>
      <c r="DW682" s="323">
        <f t="shared" si="661"/>
        <v>-9.3025711216428135</v>
      </c>
      <c r="DX682" s="323">
        <f t="shared" si="661"/>
        <v>5.7283324507679936</v>
      </c>
      <c r="DY682" s="323">
        <f t="shared" si="661"/>
        <v>40.365145864280805</v>
      </c>
      <c r="DZ682" s="325">
        <f t="shared" si="661"/>
        <v>41.36150474946578</v>
      </c>
      <c r="EA682" s="323">
        <f t="shared" si="661"/>
        <v>24.519570912263987</v>
      </c>
      <c r="EB682" s="323">
        <f t="shared" si="661"/>
        <v>26.860195356583205</v>
      </c>
      <c r="EC682" s="323">
        <f t="shared" si="661"/>
        <v>-17.892949743902392</v>
      </c>
      <c r="ED682" s="323">
        <f t="shared" si="661"/>
        <v>-8.4632216113990069</v>
      </c>
      <c r="EE682" s="323">
        <f t="shared" si="661"/>
        <v>2.364639809602096</v>
      </c>
      <c r="EF682" s="323">
        <f t="shared" si="661"/>
        <v>-99.767163120248767</v>
      </c>
      <c r="EG682" s="323">
        <f t="shared" si="661"/>
        <v>103.40716972779808</v>
      </c>
      <c r="EH682" s="323">
        <f t="shared" si="661"/>
        <v>21.541895771360771</v>
      </c>
      <c r="EI682" s="323">
        <f t="shared" si="661"/>
        <v>-10.605111686469172</v>
      </c>
      <c r="EJ682" s="323">
        <f t="shared" si="661"/>
        <v>-1.5886523960627414</v>
      </c>
      <c r="EK682" s="323">
        <f t="shared" si="661"/>
        <v>48.05585465211135</v>
      </c>
      <c r="EL682" s="325">
        <f t="shared" si="661"/>
        <v>19.549204347066478</v>
      </c>
      <c r="EM682" s="323">
        <f t="shared" si="661"/>
        <v>1.6047037673799593</v>
      </c>
      <c r="EN682" s="323">
        <f t="shared" si="661"/>
        <v>-18.310728967560067</v>
      </c>
      <c r="EO682" s="323">
        <f t="shared" si="661"/>
        <v>-1.8625178120042278</v>
      </c>
      <c r="EP682" s="323">
        <f t="shared" si="661"/>
        <v>46.752407289006612</v>
      </c>
      <c r="EQ682" s="323">
        <f t="shared" ref="EQ682:EX682" si="662">EQ337-EP337</f>
        <v>5.6689674652165536</v>
      </c>
      <c r="ER682" s="323">
        <f t="shared" si="662"/>
        <v>-223.70198446999819</v>
      </c>
      <c r="ES682" s="323">
        <f t="shared" si="662"/>
        <v>54.598585100347918</v>
      </c>
      <c r="ET682" s="323">
        <f t="shared" si="662"/>
        <v>21.447309082251195</v>
      </c>
      <c r="EU682" s="323">
        <f t="shared" si="662"/>
        <v>41.825276131434975</v>
      </c>
      <c r="EV682" s="323">
        <f t="shared" si="662"/>
        <v>43.091863169901103</v>
      </c>
      <c r="EW682" s="323">
        <f t="shared" si="662"/>
        <v>30.685984979927923</v>
      </c>
      <c r="EX682" s="325">
        <f t="shared" si="662"/>
        <v>5.4367425520178472</v>
      </c>
      <c r="EY682" s="323"/>
      <c r="EZ682" s="323"/>
      <c r="FA682" s="323"/>
      <c r="FB682" s="323"/>
      <c r="FC682" s="323"/>
      <c r="FD682" s="323"/>
      <c r="FE682" s="323"/>
      <c r="FF682" s="323"/>
      <c r="FG682" s="323"/>
      <c r="FH682" s="323"/>
      <c r="FI682" s="323"/>
      <c r="FJ682" s="325"/>
      <c r="FK682" s="323"/>
      <c r="FL682" s="323"/>
      <c r="FM682" s="323"/>
      <c r="FN682" s="323"/>
      <c r="FO682" s="323"/>
      <c r="FP682" s="323"/>
      <c r="FQ682" s="323"/>
      <c r="FR682" s="323"/>
      <c r="FS682" s="323"/>
      <c r="FT682" s="323"/>
      <c r="FU682" s="323"/>
      <c r="FV682" s="323"/>
      <c r="FW682" s="323"/>
      <c r="FX682" s="323"/>
      <c r="FY682" s="323"/>
      <c r="FZ682" s="323"/>
      <c r="GA682" s="323"/>
      <c r="GB682" s="323"/>
      <c r="GC682" s="323"/>
      <c r="GD682" s="323"/>
      <c r="GE682" s="323"/>
      <c r="GF682" s="323"/>
      <c r="GG682" s="323"/>
      <c r="GH682" s="323"/>
      <c r="GI682" s="323"/>
      <c r="GJ682" s="323"/>
      <c r="GK682" s="323"/>
      <c r="GL682" s="323"/>
      <c r="GM682" s="323"/>
      <c r="GN682" s="323"/>
      <c r="GO682" s="323"/>
      <c r="GP682" s="323"/>
      <c r="GQ682" s="323"/>
      <c r="GR682" s="323"/>
      <c r="GS682" s="323"/>
      <c r="GT682" s="323"/>
      <c r="GU682" s="323"/>
      <c r="GV682" s="323"/>
      <c r="GW682" s="323"/>
      <c r="GX682" s="323"/>
      <c r="GY682" s="323"/>
      <c r="GZ682" s="323"/>
      <c r="HA682" s="323"/>
      <c r="HB682" s="323"/>
      <c r="HC682" s="323"/>
      <c r="HD682" s="323"/>
      <c r="HE682" s="323"/>
      <c r="HF682" s="323"/>
      <c r="HG682" s="323"/>
      <c r="HH682" s="323"/>
      <c r="HI682" s="323"/>
      <c r="HJ682" s="323"/>
      <c r="HK682" s="323"/>
      <c r="HL682" s="323"/>
      <c r="HM682" s="323"/>
      <c r="HN682" s="323"/>
      <c r="HO682" s="323"/>
      <c r="HP682" s="323"/>
      <c r="HQ682" s="323"/>
      <c r="HR682" s="323"/>
      <c r="HS682" s="323"/>
      <c r="HT682" s="323"/>
      <c r="HU682" s="323"/>
      <c r="HV682" s="323"/>
      <c r="HW682" s="323"/>
      <c r="HX682" s="323"/>
      <c r="HY682" s="323"/>
      <c r="HZ682" s="326"/>
      <c r="IA682" s="328" t="s">
        <v>833</v>
      </c>
      <c r="IB682" s="328"/>
      <c r="IC682" s="328"/>
      <c r="ID682" s="323">
        <f>+FISC!Z901</f>
        <v>0</v>
      </c>
      <c r="IE682" s="279">
        <f>SUM(CQ682:CV682)</f>
        <v>-8.1489338803312421</v>
      </c>
      <c r="IF682" s="279">
        <f>SUM(CW682:DB682)</f>
        <v>146.46521094149634</v>
      </c>
      <c r="IG682" s="323">
        <f>SUM(CQ682:DB682)</f>
        <v>138.3162770611651</v>
      </c>
      <c r="IH682" s="554">
        <f>+SUM(DC682:DH682)</f>
        <v>-84.930197692731696</v>
      </c>
      <c r="II682" s="279">
        <f>+SUM(DI682:DN682)</f>
        <v>87.014940512036674</v>
      </c>
      <c r="IJ682" s="323">
        <f>IH682+II682</f>
        <v>2.084742819304978</v>
      </c>
      <c r="IK682" s="554">
        <f>+SUM(DO682:DT682)</f>
        <v>-114.88601400629895</v>
      </c>
      <c r="IL682" s="279">
        <f>SUM(DU682:DZ682)</f>
        <v>129.51397008959785</v>
      </c>
      <c r="IM682" s="323">
        <f t="shared" si="503"/>
        <v>14.627956083298898</v>
      </c>
      <c r="IN682" s="454">
        <f>(IN683+SUM(IN685:IN694))*0+-83.3331116964342</f>
        <v>-83.333111696434202</v>
      </c>
      <c r="IO682" s="454">
        <f>IP682-IN682</f>
        <v>132.16387338195821</v>
      </c>
      <c r="IP682" s="323">
        <f>FISC!AC901</f>
        <v>48.83076168552401</v>
      </c>
      <c r="IQ682" s="279">
        <f t="shared" si="642"/>
        <v>-189.84915272795936</v>
      </c>
      <c r="IR682" s="279">
        <f t="shared" si="643"/>
        <v>197.08576101588096</v>
      </c>
      <c r="IS682" s="323">
        <f t="shared" si="590"/>
        <v>7.236608287921598</v>
      </c>
      <c r="IT682" s="454" t="e">
        <f>(IT683+SUM(IT685:IT694))*0-131.801258859095</f>
        <v>#REF!</v>
      </c>
      <c r="IU682" s="454" t="e">
        <f>(IU683+SUM(IU685:IU694))*0+IV682-IT682</f>
        <v>#REF!</v>
      </c>
      <c r="IV682" s="323">
        <f>+FISC!AE901</f>
        <v>88.652325063023426</v>
      </c>
      <c r="IW682" s="454" t="e">
        <f>(IW683+SUM(IW685:IW694))</f>
        <v>#REF!</v>
      </c>
      <c r="IX682" s="279" t="e">
        <f t="shared" si="486"/>
        <v>#REF!</v>
      </c>
      <c r="IY682" s="323">
        <f>+FISC!AF901</f>
        <v>265.5799971589999</v>
      </c>
      <c r="IZ682" s="454" t="e">
        <f>(IZ683+SUM(IZ685:IZ694))</f>
        <v>#REF!</v>
      </c>
      <c r="JA682" s="279" t="e">
        <f t="shared" si="540"/>
        <v>#REF!</v>
      </c>
      <c r="JB682" s="323">
        <f>+FISC!AG901</f>
        <v>225.00000000000006</v>
      </c>
      <c r="JC682" s="454">
        <f>(JC683+SUM(JC685:JC694))</f>
        <v>20.420712851551571</v>
      </c>
      <c r="JD682" s="279">
        <f t="shared" si="487"/>
        <v>140.12071285155153</v>
      </c>
      <c r="JE682" s="323">
        <f>+FISC!AH901</f>
        <v>160.5414257031031</v>
      </c>
      <c r="JF682" s="454">
        <f>(JF683+SUM(JF685:JF694))</f>
        <v>48.632366178104718</v>
      </c>
      <c r="JG682" s="279">
        <f t="shared" si="488"/>
        <v>252.43236617810484</v>
      </c>
      <c r="JH682" s="323">
        <f>+FISC!AI901</f>
        <v>301.06473235620956</v>
      </c>
      <c r="JI682" s="454">
        <f>(JI683+SUM(JI685:JI694))</f>
        <v>-81.2</v>
      </c>
      <c r="JJ682" s="279">
        <f t="shared" si="489"/>
        <v>256.09999999999997</v>
      </c>
      <c r="JK682" s="323">
        <f>+FISC!AJ901</f>
        <v>174.89999999999998</v>
      </c>
      <c r="JL682" s="454">
        <f>(JL683+SUM(JL685:JL694))</f>
        <v>-189.50000000000006</v>
      </c>
      <c r="JM682" s="279">
        <f t="shared" si="490"/>
        <v>189.50000000000006</v>
      </c>
      <c r="JN682" s="323">
        <f>+FISC!AK901</f>
        <v>0</v>
      </c>
      <c r="JO682" s="323"/>
      <c r="KU682" s="326"/>
      <c r="KV682" s="327"/>
    </row>
    <row r="683" spans="1:314" hidden="1">
      <c r="A683" s="279"/>
      <c r="B683" s="96" t="s">
        <v>338</v>
      </c>
      <c r="D683" s="328" t="str">
        <f>+FISC!D902</f>
        <v xml:space="preserve">o/w: bank borrowing/use (+) or built-up (-) other deposits </v>
      </c>
      <c r="E683" s="323"/>
      <c r="F683" s="323"/>
      <c r="G683" s="323"/>
      <c r="H683" s="323"/>
      <c r="I683" s="323"/>
      <c r="J683" s="323"/>
      <c r="K683" s="323"/>
      <c r="L683" s="323"/>
      <c r="M683" s="323"/>
      <c r="N683" s="323"/>
      <c r="O683" s="323"/>
      <c r="P683" s="323"/>
      <c r="Q683" s="323"/>
      <c r="R683" s="323"/>
      <c r="S683" s="323"/>
      <c r="T683" s="323"/>
      <c r="U683" s="323"/>
      <c r="V683" s="323"/>
      <c r="W683" s="323"/>
      <c r="X683" s="323"/>
      <c r="Y683" s="323"/>
      <c r="Z683" s="323"/>
      <c r="AA683" s="323"/>
      <c r="AB683" s="323"/>
      <c r="AC683" s="323"/>
      <c r="AD683" s="323"/>
      <c r="AE683" s="323"/>
      <c r="AF683" s="323"/>
      <c r="AG683" s="323"/>
      <c r="AH683" s="323"/>
      <c r="AI683" s="323"/>
      <c r="AJ683" s="323"/>
      <c r="AK683" s="323"/>
      <c r="AL683" s="323"/>
      <c r="AM683" s="323"/>
      <c r="AN683" s="323"/>
      <c r="AO683" s="323"/>
      <c r="AP683" s="323"/>
      <c r="AQ683" s="323"/>
      <c r="AR683" s="323"/>
      <c r="AS683" s="323"/>
      <c r="AT683" s="323"/>
      <c r="AU683" s="323"/>
      <c r="AV683" s="323"/>
      <c r="AW683" s="323"/>
      <c r="AX683" s="323"/>
      <c r="AY683" s="323"/>
      <c r="AZ683" s="323"/>
      <c r="BA683" s="323"/>
      <c r="BB683" s="323"/>
      <c r="BC683" s="323"/>
      <c r="BD683" s="323"/>
      <c r="BE683" s="323"/>
      <c r="BF683" s="323"/>
      <c r="BG683" s="323"/>
      <c r="BH683" s="323"/>
      <c r="BI683" s="323"/>
      <c r="BJ683" s="323"/>
      <c r="BK683" s="323"/>
      <c r="BL683" s="323"/>
      <c r="BM683" s="323"/>
      <c r="BN683" s="323"/>
      <c r="BO683" s="323"/>
      <c r="BP683" s="323"/>
      <c r="BQ683" s="323"/>
      <c r="BR683" s="323"/>
      <c r="BS683" s="323"/>
      <c r="BT683" s="323"/>
      <c r="BU683" s="323"/>
      <c r="BV683" s="323"/>
      <c r="BW683" s="323"/>
      <c r="BX683" s="323"/>
      <c r="BY683" s="323"/>
      <c r="BZ683" s="323"/>
      <c r="CA683" s="323"/>
      <c r="CB683" s="323"/>
      <c r="CC683" s="323"/>
      <c r="CD683" s="323"/>
      <c r="CE683" s="324">
        <f t="shared" ref="CE683:DN683" si="663">CE682-SUM(CE685:CE694)</f>
        <v>-41.170671326000033</v>
      </c>
      <c r="CF683" s="323">
        <f t="shared" si="663"/>
        <v>11.922575143000078</v>
      </c>
      <c r="CG683" s="323">
        <f t="shared" si="663"/>
        <v>-22.926783045000025</v>
      </c>
      <c r="CH683" s="323">
        <f t="shared" si="663"/>
        <v>-11.398425882</v>
      </c>
      <c r="CI683" s="323">
        <f t="shared" si="663"/>
        <v>23.338874671999982</v>
      </c>
      <c r="CJ683" s="323">
        <f t="shared" si="663"/>
        <v>-13.059848272000007</v>
      </c>
      <c r="CK683" s="323">
        <f t="shared" si="663"/>
        <v>24.898214388302378</v>
      </c>
      <c r="CL683" s="323">
        <f t="shared" si="663"/>
        <v>27.242638573511098</v>
      </c>
      <c r="CM683" s="323">
        <f t="shared" si="663"/>
        <v>6.7172435206434074</v>
      </c>
      <c r="CN683" s="323">
        <f t="shared" si="663"/>
        <v>18.836425920929031</v>
      </c>
      <c r="CO683" s="323">
        <f t="shared" si="663"/>
        <v>0.55550442947313339</v>
      </c>
      <c r="CP683" s="325">
        <f t="shared" si="663"/>
        <v>53.541338296288565</v>
      </c>
      <c r="CQ683" s="323">
        <f t="shared" si="663"/>
        <v>28.977871790395973</v>
      </c>
      <c r="CR683" s="323">
        <f t="shared" si="663"/>
        <v>-0.79787384793163607</v>
      </c>
      <c r="CS683" s="323">
        <f t="shared" si="663"/>
        <v>26.399793508802578</v>
      </c>
      <c r="CT683" s="323">
        <f t="shared" si="663"/>
        <v>27.780297227250578</v>
      </c>
      <c r="CU683" s="323">
        <f t="shared" si="663"/>
        <v>-15.246527991337558</v>
      </c>
      <c r="CV683" s="323">
        <f t="shared" si="663"/>
        <v>-88.056370374511175</v>
      </c>
      <c r="CW683" s="323">
        <f t="shared" si="663"/>
        <v>29.64517860848937</v>
      </c>
      <c r="CX683" s="323">
        <f t="shared" si="663"/>
        <v>-16.507817383659258</v>
      </c>
      <c r="CY683" s="323">
        <f t="shared" si="663"/>
        <v>-2.6519222317938871</v>
      </c>
      <c r="CZ683" s="323">
        <f t="shared" si="663"/>
        <v>21.379032618166445</v>
      </c>
      <c r="DA683" s="323">
        <f t="shared" si="663"/>
        <v>41.43465461674392</v>
      </c>
      <c r="DB683" s="1269">
        <f t="shared" si="663"/>
        <v>57.350646447549742</v>
      </c>
      <c r="DC683" s="323">
        <f t="shared" si="663"/>
        <v>4.6263949941644853</v>
      </c>
      <c r="DD683" s="323">
        <f t="shared" si="663"/>
        <v>2.5365154469222446</v>
      </c>
      <c r="DE683" s="323">
        <f t="shared" si="663"/>
        <v>-48.343008946561653</v>
      </c>
      <c r="DF683" s="323">
        <f t="shared" si="663"/>
        <v>40.583050476069374</v>
      </c>
      <c r="DG683" s="323">
        <f t="shared" si="663"/>
        <v>-17.461828858813753</v>
      </c>
      <c r="DH683" s="323">
        <f t="shared" si="663"/>
        <v>-85.495526700512386</v>
      </c>
      <c r="DI683" s="323">
        <f t="shared" si="663"/>
        <v>43.87058848647451</v>
      </c>
      <c r="DJ683" s="323">
        <f t="shared" si="663"/>
        <v>1.5561217267548955</v>
      </c>
      <c r="DK683" s="323">
        <f t="shared" si="663"/>
        <v>-14.665278051208684</v>
      </c>
      <c r="DL683" s="323">
        <f t="shared" si="663"/>
        <v>-32.668788363871343</v>
      </c>
      <c r="DM683" s="323">
        <f t="shared" si="663"/>
        <v>27.976127780951661</v>
      </c>
      <c r="DN683" s="325">
        <f t="shared" si="663"/>
        <v>50.003039442935631</v>
      </c>
      <c r="DO683" s="323">
        <f t="shared" ref="DO683:DT683" si="664">DO682-SUM(DO685:DO694)</f>
        <v>-24.845978421244556</v>
      </c>
      <c r="DP683" s="323">
        <f t="shared" si="664"/>
        <v>1.6157589784163662</v>
      </c>
      <c r="DQ683" s="323">
        <f t="shared" si="664"/>
        <v>-51.080445879387796</v>
      </c>
      <c r="DR683" s="323">
        <f t="shared" si="664"/>
        <v>-0.44943958824041319</v>
      </c>
      <c r="DS683" s="323">
        <f t="shared" si="664"/>
        <v>19.331369006530817</v>
      </c>
      <c r="DT683" s="323">
        <f t="shared" si="664"/>
        <v>-49.316622722373367</v>
      </c>
      <c r="DU683" s="323">
        <f t="shared" ref="DU683:DZ683" si="665">DU682-SUM(DU685:DU694)</f>
        <v>-1.9740807994948575</v>
      </c>
      <c r="DV683" s="323">
        <f t="shared" si="665"/>
        <v>56.809879230220943</v>
      </c>
      <c r="DW683" s="323">
        <f t="shared" si="665"/>
        <v>-7.4608903386428134</v>
      </c>
      <c r="DX683" s="323">
        <f t="shared" si="665"/>
        <v>7.3313522337679933</v>
      </c>
      <c r="DY683" s="323">
        <f t="shared" si="665"/>
        <v>42.165568500280806</v>
      </c>
      <c r="DZ683" s="325">
        <f t="shared" si="665"/>
        <v>43.362748058465783</v>
      </c>
      <c r="EA683" s="323">
        <f t="shared" ref="EA683:EK683" si="666">EA682-SUM(EA685:EA694)</f>
        <v>26.163398659263986</v>
      </c>
      <c r="EB683" s="323">
        <f t="shared" si="666"/>
        <v>26.127160930583205</v>
      </c>
      <c r="EC683" s="323">
        <f t="shared" si="666"/>
        <v>-18.303093808902393</v>
      </c>
      <c r="ED683" s="323">
        <f t="shared" si="666"/>
        <v>-6.6619181003990064</v>
      </c>
      <c r="EE683" s="323">
        <f t="shared" si="666"/>
        <v>1.9384289766020961</v>
      </c>
      <c r="EF683" s="323">
        <f t="shared" si="666"/>
        <v>-97.828596710248775</v>
      </c>
      <c r="EG683" s="323">
        <f t="shared" si="666"/>
        <v>105.13201473579808</v>
      </c>
      <c r="EH683" s="323">
        <f t="shared" si="666"/>
        <v>22.869852752360771</v>
      </c>
      <c r="EI683" s="323">
        <f t="shared" si="666"/>
        <v>-8.7190717404691718</v>
      </c>
      <c r="EJ683" s="323">
        <f t="shared" si="666"/>
        <v>-3.7387363820627413</v>
      </c>
      <c r="EK683" s="323">
        <f t="shared" si="666"/>
        <v>49.933695116111352</v>
      </c>
      <c r="EL683" s="325">
        <f t="shared" ref="EL683:ER683" si="667">EL682-SUM(EL685:EL694)</f>
        <v>21.566125685066478</v>
      </c>
      <c r="EM683" s="323">
        <f t="shared" si="667"/>
        <v>3.4731195763799594</v>
      </c>
      <c r="EN683" s="323">
        <f t="shared" si="667"/>
        <v>-19.961878780560067</v>
      </c>
      <c r="EO683" s="323">
        <f t="shared" si="667"/>
        <v>-3.4950205900042279</v>
      </c>
      <c r="EP683" s="323">
        <f t="shared" si="667"/>
        <v>48.579773558006615</v>
      </c>
      <c r="EQ683" s="323">
        <f t="shared" si="667"/>
        <v>7.6594631952165537</v>
      </c>
      <c r="ER683" s="323">
        <f t="shared" si="667"/>
        <v>-223.0911656689982</v>
      </c>
      <c r="ES683" s="323">
        <f t="shared" ref="ES683:EX683" si="668">ES682-SUM(ES685:ES694)</f>
        <v>53.523877110347918</v>
      </c>
      <c r="ET683" s="323">
        <f t="shared" si="668"/>
        <v>23.422301847251195</v>
      </c>
      <c r="EU683" s="323">
        <f t="shared" si="668"/>
        <v>42.318125150434973</v>
      </c>
      <c r="EV683" s="323">
        <f t="shared" si="668"/>
        <v>42.289474628901104</v>
      </c>
      <c r="EW683" s="323">
        <f t="shared" si="668"/>
        <v>32.91607802692792</v>
      </c>
      <c r="EX683" s="325">
        <f t="shared" si="668"/>
        <v>6.0067694540178476</v>
      </c>
      <c r="EY683" s="323"/>
      <c r="EZ683" s="323"/>
      <c r="FA683" s="323"/>
      <c r="FB683" s="323"/>
      <c r="FC683" s="323"/>
      <c r="FD683" s="323"/>
      <c r="FE683" s="323"/>
      <c r="FF683" s="323"/>
      <c r="FG683" s="323"/>
      <c r="FH683" s="323"/>
      <c r="FI683" s="323"/>
      <c r="FJ683" s="325"/>
      <c r="FK683" s="323"/>
      <c r="FL683" s="323"/>
      <c r="FM683" s="323"/>
      <c r="FN683" s="323"/>
      <c r="FO683" s="323"/>
      <c r="FP683" s="323"/>
      <c r="FQ683" s="323"/>
      <c r="FR683" s="323"/>
      <c r="FS683" s="323"/>
      <c r="FT683" s="323"/>
      <c r="FU683" s="323"/>
      <c r="FV683" s="323"/>
      <c r="FW683" s="323"/>
      <c r="FX683" s="323"/>
      <c r="FY683" s="323"/>
      <c r="FZ683" s="323"/>
      <c r="GA683" s="323"/>
      <c r="GB683" s="323"/>
      <c r="GC683" s="323"/>
      <c r="GD683" s="323"/>
      <c r="GE683" s="323"/>
      <c r="GF683" s="323"/>
      <c r="GG683" s="323"/>
      <c r="GH683" s="323"/>
      <c r="GI683" s="323"/>
      <c r="GJ683" s="323"/>
      <c r="GK683" s="323"/>
      <c r="GL683" s="323"/>
      <c r="GM683" s="323"/>
      <c r="GN683" s="323"/>
      <c r="GO683" s="323"/>
      <c r="GP683" s="323"/>
      <c r="GQ683" s="323"/>
      <c r="GR683" s="323"/>
      <c r="GS683" s="323"/>
      <c r="GT683" s="323"/>
      <c r="GU683" s="323"/>
      <c r="GV683" s="323"/>
      <c r="GW683" s="323"/>
      <c r="GX683" s="323"/>
      <c r="GY683" s="323"/>
      <c r="GZ683" s="323"/>
      <c r="HA683" s="323"/>
      <c r="HB683" s="323"/>
      <c r="HC683" s="323"/>
      <c r="HD683" s="323"/>
      <c r="HE683" s="323"/>
      <c r="HF683" s="323"/>
      <c r="HG683" s="323"/>
      <c r="HH683" s="323"/>
      <c r="HI683" s="323"/>
      <c r="HJ683" s="323"/>
      <c r="HK683" s="323"/>
      <c r="HL683" s="323"/>
      <c r="HM683" s="323"/>
      <c r="HN683" s="323"/>
      <c r="HO683" s="323"/>
      <c r="HP683" s="323"/>
      <c r="HQ683" s="323"/>
      <c r="HR683" s="323"/>
      <c r="HS683" s="323"/>
      <c r="HT683" s="323"/>
      <c r="HU683" s="323"/>
      <c r="HV683" s="323"/>
      <c r="HW683" s="323"/>
      <c r="HX683" s="323"/>
      <c r="HY683" s="323"/>
      <c r="HZ683" s="326"/>
      <c r="IA683" s="328" t="s">
        <v>834</v>
      </c>
      <c r="IB683" s="328"/>
      <c r="IC683" s="328"/>
      <c r="ID683" s="323">
        <f>+FISC!Z902</f>
        <v>-54.3</v>
      </c>
      <c r="IE683" s="279">
        <f>SUM(CQ683:CV683)</f>
        <v>-20.942809687331248</v>
      </c>
      <c r="IF683" s="279">
        <f>SUM(CW683:DB683)</f>
        <v>130.64977267549634</v>
      </c>
      <c r="IG683" s="323">
        <f>SUM(CQ683:DB683)</f>
        <v>109.70696298816509</v>
      </c>
      <c r="IH683" s="279">
        <f>+IH682-SUM(IH685:IH694)</f>
        <v>-94.804403588731702</v>
      </c>
      <c r="II683" s="279">
        <f>+II682-SUM(II685:II694)</f>
        <v>84.82181102203667</v>
      </c>
      <c r="IJ683" s="323">
        <f>IH683+II683</f>
        <v>-9.9825925666950326</v>
      </c>
      <c r="IK683" s="279">
        <f>IK682-SUM(IK685:IK694)</f>
        <v>-104.74535862629895</v>
      </c>
      <c r="IL683" s="279">
        <f>IL682-SUM(IL685:IL694)</f>
        <v>140.23457688459786</v>
      </c>
      <c r="IM683" s="323">
        <f t="shared" si="503"/>
        <v>35.489218258298905</v>
      </c>
      <c r="IN683" s="455">
        <f>-98.7-35.4-8.5+48.7+1.2-0.4+10.1-9+22.1+0.7+26.3+1.24+0.1-2.1-5.2+15.3+0.4+0.1-0.1+5.8-1.2+1-1</f>
        <v>-28.560000000000002</v>
      </c>
      <c r="IO683" s="279">
        <f>+IP683-IN683</f>
        <v>68.929999999999993</v>
      </c>
      <c r="IP683" s="323">
        <f>FISC!AC902</f>
        <v>40.36999999999999</v>
      </c>
      <c r="IQ683" s="279">
        <f t="shared" si="642"/>
        <v>-186.83570870995936</v>
      </c>
      <c r="IR683" s="279">
        <f t="shared" si="643"/>
        <v>200.47662621788095</v>
      </c>
      <c r="IS683" s="323">
        <f t="shared" si="590"/>
        <v>13.640917507921586</v>
      </c>
      <c r="IT683" s="327">
        <f>-30+40.5-8.6-4.4-47.8+5-1.5-4.5-1.2+15.9-0.1+47.4+9.3-8.4-1+1.6-2-0.5+4.2+0.6+0.1-18+0.1-10-14.2+1.7+4.7+0.4-6.6-0.1+18.5+4-1.9+0.7-1.1+2.1-17.1+44.6-4.5+5-0.4-4.2+8.8-25.5-25.6+18.1+9.3+4.8+43.3-5.4+65.4-3.9-3.8-54.6+0.2-0.7+33.6</f>
        <v>82.3</v>
      </c>
      <c r="IU683" s="279">
        <f>+IV683-IT683</f>
        <v>29.100000000000094</v>
      </c>
      <c r="IV683" s="323">
        <f>+FISC!AE902</f>
        <v>111.40000000000009</v>
      </c>
      <c r="IW683" s="279">
        <f>194.1-0.4+21.7-63.5-71-95-85.4-0.3-2-2.8-4.2+170.9-65.5-0.5</f>
        <v>-3.9000000000000199</v>
      </c>
      <c r="IX683" s="279">
        <f t="shared" si="486"/>
        <v>288.29999999999995</v>
      </c>
      <c r="IY683" s="323">
        <f>+FISC!AF902</f>
        <v>284.39999999999992</v>
      </c>
      <c r="IZ683" s="279">
        <f>0+72.8+1.4-1-1-9.1-38.3-70.6-159.7+4.2-0.8+0.9+0.4+0.1+94.8+116.1-0.7</f>
        <v>9.5000000000000036</v>
      </c>
      <c r="JA683" s="279">
        <f t="shared" si="540"/>
        <v>215.50000000000006</v>
      </c>
      <c r="JB683" s="323">
        <f>+FISC!AG902</f>
        <v>225.00000000000006</v>
      </c>
      <c r="JC683" s="279">
        <f>0+76.8+3.6+2.4-1.9+137.7+3-93.2+12-136.9+54.9-14.3-8+4.8-0.1+2.7-1.2</f>
        <v>42.299999999999962</v>
      </c>
      <c r="JD683" s="279">
        <f t="shared" si="487"/>
        <v>171.1999999999999</v>
      </c>
      <c r="JE683" s="323">
        <f>+FISC!AH902</f>
        <v>213.49999999999986</v>
      </c>
      <c r="JF683" s="279">
        <f>0+90.8+2.2+104.6+3.3-128.5+13.6-15.1-8-0.8+4.6+7.1+6.4-6.7</f>
        <v>73.5</v>
      </c>
      <c r="JG683" s="279">
        <f t="shared" si="488"/>
        <v>277.30000000000013</v>
      </c>
      <c r="JH683" s="323">
        <f>+FISC!AI902</f>
        <v>350.80000000000013</v>
      </c>
      <c r="JI683" s="279">
        <f>0+90.8-81.1+0.4-2.9+47+3.9-163.2+26-19.4-9.2-1+11.4+4.1+12</f>
        <v>-81.2</v>
      </c>
      <c r="JJ683" s="279">
        <f t="shared" si="489"/>
        <v>256.09999999999997</v>
      </c>
      <c r="JK683" s="323">
        <f>+FISC!AJ902</f>
        <v>174.89999999999998</v>
      </c>
      <c r="JL683" s="279">
        <f>0+90.8-125.7+119.2+4.3-272.6-1-20.5-10.1-0.9+7.6-30.9+50.3</f>
        <v>-189.50000000000006</v>
      </c>
      <c r="JM683" s="279">
        <f t="shared" si="490"/>
        <v>189.50000000000006</v>
      </c>
      <c r="JN683" s="323">
        <f>+FISC!AK902</f>
        <v>0</v>
      </c>
      <c r="JO683" s="323"/>
      <c r="KU683" s="326"/>
      <c r="KV683" s="327"/>
    </row>
    <row r="684" spans="1:314" hidden="1">
      <c r="A684" s="279"/>
      <c r="D684" s="657" t="str">
        <f>+FISC!D903</f>
        <v xml:space="preserve">       o/w: expected net issuance of govt securities</v>
      </c>
      <c r="E684" s="323"/>
      <c r="F684" s="323"/>
      <c r="G684" s="323"/>
      <c r="H684" s="323"/>
      <c r="I684" s="323"/>
      <c r="J684" s="323"/>
      <c r="K684" s="323"/>
      <c r="L684" s="323"/>
      <c r="M684" s="323"/>
      <c r="N684" s="323"/>
      <c r="O684" s="323"/>
      <c r="P684" s="323"/>
      <c r="Q684" s="323"/>
      <c r="R684" s="323"/>
      <c r="S684" s="323"/>
      <c r="T684" s="323"/>
      <c r="U684" s="323"/>
      <c r="V684" s="323"/>
      <c r="W684" s="323"/>
      <c r="X684" s="323"/>
      <c r="Y684" s="323"/>
      <c r="Z684" s="323"/>
      <c r="AA684" s="323"/>
      <c r="AB684" s="323"/>
      <c r="AC684" s="323"/>
      <c r="AD684" s="323"/>
      <c r="AE684" s="323"/>
      <c r="AF684" s="323"/>
      <c r="AG684" s="323"/>
      <c r="AH684" s="323"/>
      <c r="AI684" s="323"/>
      <c r="AJ684" s="323"/>
      <c r="AK684" s="323"/>
      <c r="AL684" s="323"/>
      <c r="AM684" s="323"/>
      <c r="AN684" s="323"/>
      <c r="AO684" s="323"/>
      <c r="AP684" s="323"/>
      <c r="AQ684" s="323"/>
      <c r="AR684" s="323"/>
      <c r="AS684" s="323"/>
      <c r="AT684" s="323"/>
      <c r="AU684" s="323"/>
      <c r="AV684" s="323"/>
      <c r="AW684" s="323"/>
      <c r="AX684" s="323"/>
      <c r="AY684" s="323"/>
      <c r="AZ684" s="323"/>
      <c r="BA684" s="323"/>
      <c r="BB684" s="323"/>
      <c r="BC684" s="323"/>
      <c r="BD684" s="323"/>
      <c r="BE684" s="323"/>
      <c r="BF684" s="323"/>
      <c r="BG684" s="323"/>
      <c r="BH684" s="323"/>
      <c r="BI684" s="323"/>
      <c r="BJ684" s="323"/>
      <c r="BK684" s="323"/>
      <c r="BL684" s="323"/>
      <c r="BM684" s="323"/>
      <c r="BN684" s="323"/>
      <c r="BO684" s="323"/>
      <c r="BP684" s="323"/>
      <c r="BQ684" s="323"/>
      <c r="BR684" s="323"/>
      <c r="BS684" s="323"/>
      <c r="BT684" s="323"/>
      <c r="BU684" s="323"/>
      <c r="BV684" s="323"/>
      <c r="BW684" s="323"/>
      <c r="BX684" s="323"/>
      <c r="BY684" s="323"/>
      <c r="BZ684" s="323"/>
      <c r="CA684" s="323"/>
      <c r="CB684" s="323"/>
      <c r="CC684" s="323"/>
      <c r="CD684" s="323"/>
      <c r="CE684" s="324"/>
      <c r="CF684" s="323"/>
      <c r="CG684" s="323"/>
      <c r="CH684" s="323"/>
      <c r="CI684" s="323"/>
      <c r="CJ684" s="323"/>
      <c r="CK684" s="323"/>
      <c r="CL684" s="323"/>
      <c r="CM684" s="323"/>
      <c r="CN684" s="323"/>
      <c r="CO684" s="323"/>
      <c r="CP684" s="325"/>
      <c r="CQ684" s="323"/>
      <c r="CR684" s="323"/>
      <c r="CS684" s="323"/>
      <c r="CT684" s="323"/>
      <c r="CU684" s="323"/>
      <c r="CV684" s="323"/>
      <c r="CW684" s="323"/>
      <c r="CX684" s="323"/>
      <c r="CY684" s="323"/>
      <c r="CZ684" s="323"/>
      <c r="DA684" s="323"/>
      <c r="DB684" s="1269"/>
      <c r="DC684" s="323"/>
      <c r="DD684" s="323"/>
      <c r="DE684" s="323"/>
      <c r="DF684" s="323"/>
      <c r="DG684" s="323"/>
      <c r="DH684" s="323"/>
      <c r="DI684" s="323"/>
      <c r="DJ684" s="323"/>
      <c r="DK684" s="323"/>
      <c r="DL684" s="323"/>
      <c r="DM684" s="323"/>
      <c r="DN684" s="325"/>
      <c r="DO684" s="323"/>
      <c r="DP684" s="323"/>
      <c r="DQ684" s="323"/>
      <c r="DR684" s="323"/>
      <c r="DS684" s="323"/>
      <c r="DT684" s="323"/>
      <c r="DU684" s="323"/>
      <c r="DV684" s="323"/>
      <c r="DW684" s="323"/>
      <c r="DX684" s="323"/>
      <c r="DY684" s="323"/>
      <c r="DZ684" s="325"/>
      <c r="EA684" s="323"/>
      <c r="EB684" s="323"/>
      <c r="EC684" s="323"/>
      <c r="ED684" s="323"/>
      <c r="EE684" s="323"/>
      <c r="EF684" s="323"/>
      <c r="EG684" s="323"/>
      <c r="EH684" s="323"/>
      <c r="EI684" s="323"/>
      <c r="EJ684" s="323"/>
      <c r="EK684" s="323"/>
      <c r="EL684" s="325"/>
      <c r="EM684" s="323"/>
      <c r="EN684" s="323"/>
      <c r="EO684" s="323"/>
      <c r="EP684" s="323"/>
      <c r="EQ684" s="323"/>
      <c r="ER684" s="323"/>
      <c r="ES684" s="323"/>
      <c r="ET684" s="323"/>
      <c r="EU684" s="323"/>
      <c r="EV684" s="323"/>
      <c r="EW684" s="323"/>
      <c r="EX684" s="325"/>
      <c r="EY684" s="323"/>
      <c r="EZ684" s="323"/>
      <c r="FA684" s="323"/>
      <c r="FB684" s="323"/>
      <c r="FC684" s="323"/>
      <c r="FD684" s="323"/>
      <c r="FE684" s="323"/>
      <c r="FF684" s="323"/>
      <c r="FG684" s="323"/>
      <c r="FH684" s="323"/>
      <c r="FI684" s="323"/>
      <c r="FJ684" s="325"/>
      <c r="FK684" s="323"/>
      <c r="FL684" s="323"/>
      <c r="FM684" s="323"/>
      <c r="FN684" s="323"/>
      <c r="FO684" s="323"/>
      <c r="FP684" s="323"/>
      <c r="FQ684" s="323"/>
      <c r="FR684" s="323"/>
      <c r="FS684" s="323"/>
      <c r="FT684" s="323"/>
      <c r="FU684" s="323"/>
      <c r="FV684" s="323"/>
      <c r="FW684" s="323"/>
      <c r="FX684" s="323"/>
      <c r="FY684" s="323"/>
      <c r="FZ684" s="323"/>
      <c r="GA684" s="323"/>
      <c r="GB684" s="323"/>
      <c r="GC684" s="323"/>
      <c r="GD684" s="323"/>
      <c r="GE684" s="323"/>
      <c r="GF684" s="323"/>
      <c r="GG684" s="323"/>
      <c r="GH684" s="323"/>
      <c r="GI684" s="323"/>
      <c r="GJ684" s="323"/>
      <c r="GK684" s="323"/>
      <c r="GL684" s="323"/>
      <c r="GM684" s="323"/>
      <c r="GN684" s="323"/>
      <c r="GO684" s="323"/>
      <c r="GP684" s="323"/>
      <c r="GQ684" s="323"/>
      <c r="GR684" s="323"/>
      <c r="GS684" s="323"/>
      <c r="GT684" s="323"/>
      <c r="GU684" s="323"/>
      <c r="GV684" s="323"/>
      <c r="GW684" s="323"/>
      <c r="GX684" s="323"/>
      <c r="GY684" s="323"/>
      <c r="GZ684" s="323"/>
      <c r="HA684" s="323"/>
      <c r="HB684" s="323"/>
      <c r="HC684" s="323"/>
      <c r="HD684" s="323"/>
      <c r="HE684" s="323"/>
      <c r="HF684" s="323"/>
      <c r="HG684" s="323"/>
      <c r="HH684" s="323"/>
      <c r="HI684" s="323"/>
      <c r="HJ684" s="323"/>
      <c r="HK684" s="323"/>
      <c r="HL684" s="323"/>
      <c r="HM684" s="323"/>
      <c r="HN684" s="323"/>
      <c r="HO684" s="323"/>
      <c r="HP684" s="323"/>
      <c r="HQ684" s="323"/>
      <c r="HR684" s="323"/>
      <c r="HS684" s="323"/>
      <c r="HT684" s="323"/>
      <c r="HU684" s="323"/>
      <c r="HV684" s="323"/>
      <c r="HW684" s="323"/>
      <c r="HX684" s="323"/>
      <c r="HY684" s="323"/>
      <c r="HZ684" s="326"/>
      <c r="IA684" s="657" t="s">
        <v>786</v>
      </c>
      <c r="IB684" s="657"/>
      <c r="IC684" s="657"/>
      <c r="ID684" s="323"/>
      <c r="IG684" s="323"/>
      <c r="IJ684" s="323"/>
      <c r="IM684" s="323"/>
      <c r="IN684" s="639">
        <v>0</v>
      </c>
      <c r="IO684" s="554">
        <f>+IP684-IN684</f>
        <v>40.36999999999999</v>
      </c>
      <c r="IP684" s="323">
        <f>FISC!AC903</f>
        <v>40.36999999999999</v>
      </c>
      <c r="IQ684" s="279">
        <f t="shared" si="642"/>
        <v>0</v>
      </c>
      <c r="IR684" s="279">
        <f t="shared" si="643"/>
        <v>0</v>
      </c>
      <c r="IS684" s="323">
        <f t="shared" si="590"/>
        <v>0</v>
      </c>
      <c r="IT684" s="327">
        <f>IV684/2</f>
        <v>55.700000000000045</v>
      </c>
      <c r="IU684" s="554">
        <f>+IV684-IT684</f>
        <v>55.700000000000045</v>
      </c>
      <c r="IV684" s="608">
        <f>+FISC!AE903</f>
        <v>111.40000000000009</v>
      </c>
      <c r="IW684" s="327">
        <f>IY684/2</f>
        <v>142.19999999999996</v>
      </c>
      <c r="IX684" s="279">
        <f t="shared" si="486"/>
        <v>142.19999999999996</v>
      </c>
      <c r="IY684" s="608">
        <f>+FISC!AF903</f>
        <v>284.39999999999992</v>
      </c>
      <c r="IZ684" s="327">
        <f>JB684/2</f>
        <v>112.50000000000003</v>
      </c>
      <c r="JA684" s="279">
        <f t="shared" si="540"/>
        <v>112.50000000000003</v>
      </c>
      <c r="JB684" s="608">
        <f>+FISC!AG903</f>
        <v>225.00000000000006</v>
      </c>
      <c r="JC684" s="327">
        <f>JE684/2</f>
        <v>106.74999999999993</v>
      </c>
      <c r="JD684" s="279">
        <f t="shared" si="487"/>
        <v>106.74999999999993</v>
      </c>
      <c r="JE684" s="608">
        <f>+FISC!AH903</f>
        <v>213.49999999999986</v>
      </c>
      <c r="JF684" s="327">
        <f>JH684/2</f>
        <v>175.40000000000006</v>
      </c>
      <c r="JG684" s="279">
        <f t="shared" si="488"/>
        <v>175.40000000000006</v>
      </c>
      <c r="JH684" s="608">
        <f>+FISC!AI903</f>
        <v>350.80000000000013</v>
      </c>
      <c r="JI684" s="327">
        <f>JK684/2</f>
        <v>87.449999999999989</v>
      </c>
      <c r="JJ684" s="279">
        <f t="shared" si="489"/>
        <v>87.449999999999989</v>
      </c>
      <c r="JK684" s="608">
        <f>+FISC!AJ903</f>
        <v>174.89999999999998</v>
      </c>
      <c r="JL684" s="327">
        <f>JN684/2</f>
        <v>0</v>
      </c>
      <c r="JM684" s="279">
        <f t="shared" si="490"/>
        <v>0</v>
      </c>
      <c r="JN684" s="608">
        <f>+FISC!AK903</f>
        <v>0</v>
      </c>
      <c r="JO684" s="608"/>
      <c r="KU684" s="326"/>
      <c r="KV684" s="327"/>
      <c r="KW684" s="279">
        <f>78.9+13.7</f>
        <v>92.600000000000009</v>
      </c>
    </row>
    <row r="685" spans="1:314" hidden="1">
      <c r="A685" s="279"/>
      <c r="B685" s="96" t="s">
        <v>338</v>
      </c>
      <c r="D685" s="328" t="str">
        <f>+FISC!D904</f>
        <v>o/w: Sovereign Bonds proceeds/KCC</v>
      </c>
      <c r="E685" s="323"/>
      <c r="F685" s="323"/>
      <c r="G685" s="323"/>
      <c r="H685" s="323"/>
      <c r="I685" s="323"/>
      <c r="J685" s="323"/>
      <c r="K685" s="323"/>
      <c r="L685" s="323"/>
      <c r="M685" s="323"/>
      <c r="N685" s="323"/>
      <c r="O685" s="323"/>
      <c r="P685" s="323"/>
      <c r="Q685" s="323"/>
      <c r="R685" s="323"/>
      <c r="S685" s="323"/>
      <c r="T685" s="323"/>
      <c r="U685" s="323"/>
      <c r="V685" s="323"/>
      <c r="W685" s="323"/>
      <c r="X685" s="323"/>
      <c r="Y685" s="323"/>
      <c r="Z685" s="323"/>
      <c r="AA685" s="323"/>
      <c r="AB685" s="323"/>
      <c r="AC685" s="323"/>
      <c r="AD685" s="323"/>
      <c r="AE685" s="323"/>
      <c r="AF685" s="323"/>
      <c r="AG685" s="323"/>
      <c r="AH685" s="323"/>
      <c r="AI685" s="323"/>
      <c r="AJ685" s="323"/>
      <c r="AK685" s="323"/>
      <c r="AL685" s="323"/>
      <c r="AM685" s="323"/>
      <c r="AN685" s="323"/>
      <c r="AO685" s="323"/>
      <c r="AP685" s="323"/>
      <c r="AQ685" s="323"/>
      <c r="AR685" s="323"/>
      <c r="AS685" s="323"/>
      <c r="AT685" s="323"/>
      <c r="AU685" s="323"/>
      <c r="AV685" s="323"/>
      <c r="AW685" s="323"/>
      <c r="AX685" s="323"/>
      <c r="AY685" s="323"/>
      <c r="AZ685" s="323"/>
      <c r="BA685" s="323"/>
      <c r="BB685" s="323"/>
      <c r="BC685" s="323"/>
      <c r="BD685" s="323"/>
      <c r="BE685" s="323"/>
      <c r="BF685" s="323"/>
      <c r="BG685" s="323"/>
      <c r="BH685" s="323"/>
      <c r="BI685" s="323"/>
      <c r="BJ685" s="323"/>
      <c r="BK685" s="323"/>
      <c r="BL685" s="323"/>
      <c r="BM685" s="323"/>
      <c r="BN685" s="323"/>
      <c r="BO685" s="323"/>
      <c r="BP685" s="323"/>
      <c r="BQ685" s="323"/>
      <c r="BR685" s="323"/>
      <c r="BS685" s="323"/>
      <c r="BT685" s="323"/>
      <c r="BU685" s="323"/>
      <c r="BV685" s="323"/>
      <c r="BW685" s="323"/>
      <c r="BX685" s="323"/>
      <c r="BY685" s="323"/>
      <c r="BZ685" s="323"/>
      <c r="CA685" s="323"/>
      <c r="CB685" s="323"/>
      <c r="CC685" s="323"/>
      <c r="CD685" s="323"/>
      <c r="CE685" s="324">
        <f t="shared" ref="CE685:DT685" si="669">CE646</f>
        <v>0</v>
      </c>
      <c r="CF685" s="323">
        <f t="shared" si="669"/>
        <v>14.183386008999999</v>
      </c>
      <c r="CG685" s="323">
        <f t="shared" si="669"/>
        <v>1.3150049660000001</v>
      </c>
      <c r="CH685" s="323">
        <f t="shared" si="669"/>
        <v>0</v>
      </c>
      <c r="CI685" s="323">
        <f t="shared" si="669"/>
        <v>0</v>
      </c>
      <c r="CJ685" s="323">
        <f t="shared" si="669"/>
        <v>0</v>
      </c>
      <c r="CK685" s="323">
        <f t="shared" si="669"/>
        <v>6.8012285700000001</v>
      </c>
      <c r="CL685" s="323">
        <f t="shared" si="669"/>
        <v>0</v>
      </c>
      <c r="CM685" s="323">
        <f t="shared" si="669"/>
        <v>13.671248</v>
      </c>
      <c r="CN685" s="323">
        <f t="shared" si="669"/>
        <v>0</v>
      </c>
      <c r="CO685" s="323">
        <f t="shared" si="669"/>
        <v>0</v>
      </c>
      <c r="CP685" s="325">
        <f t="shared" si="669"/>
        <v>13.7748042</v>
      </c>
      <c r="CQ685" s="323">
        <f t="shared" si="669"/>
        <v>0</v>
      </c>
      <c r="CR685" s="323">
        <f t="shared" si="669"/>
        <v>0</v>
      </c>
      <c r="CS685" s="323">
        <f t="shared" si="669"/>
        <v>0</v>
      </c>
      <c r="CT685" s="323">
        <f t="shared" si="669"/>
        <v>0</v>
      </c>
      <c r="CU685" s="323">
        <f t="shared" si="669"/>
        <v>0</v>
      </c>
      <c r="CV685" s="323">
        <f t="shared" si="669"/>
        <v>0</v>
      </c>
      <c r="CW685" s="323">
        <f t="shared" si="669"/>
        <v>0</v>
      </c>
      <c r="CX685" s="323">
        <f t="shared" si="669"/>
        <v>0</v>
      </c>
      <c r="CY685" s="323">
        <f t="shared" si="669"/>
        <v>0</v>
      </c>
      <c r="CZ685" s="323">
        <f t="shared" si="669"/>
        <v>0</v>
      </c>
      <c r="DA685" s="323">
        <f t="shared" si="669"/>
        <v>0</v>
      </c>
      <c r="DB685" s="1269">
        <f t="shared" si="669"/>
        <v>0</v>
      </c>
      <c r="DC685" s="323">
        <f t="shared" si="669"/>
        <v>0</v>
      </c>
      <c r="DD685" s="323">
        <f t="shared" si="669"/>
        <v>10.047593833000001</v>
      </c>
      <c r="DE685" s="323">
        <f t="shared" si="669"/>
        <v>5.2989860530000001</v>
      </c>
      <c r="DF685" s="323">
        <f t="shared" si="669"/>
        <v>0</v>
      </c>
      <c r="DG685" s="323">
        <f t="shared" si="669"/>
        <v>0</v>
      </c>
      <c r="DH685" s="323">
        <f t="shared" si="669"/>
        <v>0</v>
      </c>
      <c r="DI685" s="323">
        <f t="shared" si="669"/>
        <v>0</v>
      </c>
      <c r="DJ685" s="323">
        <f t="shared" si="669"/>
        <v>0</v>
      </c>
      <c r="DK685" s="323">
        <f t="shared" si="669"/>
        <v>0</v>
      </c>
      <c r="DL685" s="323">
        <f t="shared" si="669"/>
        <v>0</v>
      </c>
      <c r="DM685" s="323">
        <f t="shared" si="669"/>
        <v>0</v>
      </c>
      <c r="DN685" s="325">
        <f t="shared" si="669"/>
        <v>4</v>
      </c>
      <c r="DO685" s="323">
        <f t="shared" si="669"/>
        <v>0</v>
      </c>
      <c r="DP685" s="323">
        <f t="shared" si="669"/>
        <v>0</v>
      </c>
      <c r="DQ685" s="323">
        <f t="shared" si="669"/>
        <v>0</v>
      </c>
      <c r="DR685" s="323">
        <f t="shared" si="669"/>
        <v>0</v>
      </c>
      <c r="DS685" s="323">
        <f t="shared" si="669"/>
        <v>0</v>
      </c>
      <c r="DT685" s="323">
        <f t="shared" si="669"/>
        <v>0</v>
      </c>
      <c r="DU685" s="323">
        <f t="shared" ref="DU685:DZ685" si="670">DU646</f>
        <v>0</v>
      </c>
      <c r="DV685" s="323">
        <f t="shared" si="670"/>
        <v>0</v>
      </c>
      <c r="DW685" s="323">
        <f t="shared" si="670"/>
        <v>0</v>
      </c>
      <c r="DX685" s="323">
        <f t="shared" si="670"/>
        <v>0</v>
      </c>
      <c r="DY685" s="323">
        <f t="shared" si="670"/>
        <v>0</v>
      </c>
      <c r="DZ685" s="325">
        <f t="shared" si="670"/>
        <v>0</v>
      </c>
      <c r="EA685" s="323">
        <f t="shared" ref="EA685:EK685" si="671">EA646</f>
        <v>0</v>
      </c>
      <c r="EB685" s="323">
        <f t="shared" si="671"/>
        <v>2.4822225320000002</v>
      </c>
      <c r="EC685" s="323">
        <f t="shared" si="671"/>
        <v>2.301061716</v>
      </c>
      <c r="ED685" s="323">
        <f t="shared" si="671"/>
        <v>0</v>
      </c>
      <c r="EE685" s="323">
        <f t="shared" si="671"/>
        <v>2.2010924460000001</v>
      </c>
      <c r="EF685" s="323">
        <f t="shared" si="671"/>
        <v>0</v>
      </c>
      <c r="EG685" s="323">
        <f t="shared" si="671"/>
        <v>0</v>
      </c>
      <c r="EH685" s="323">
        <f t="shared" si="671"/>
        <v>0.31044890400000003</v>
      </c>
      <c r="EI685" s="323">
        <f t="shared" si="671"/>
        <v>0</v>
      </c>
      <c r="EJ685" s="323">
        <f t="shared" si="671"/>
        <v>3.8319179239999999</v>
      </c>
      <c r="EK685" s="323">
        <f t="shared" si="671"/>
        <v>0</v>
      </c>
      <c r="EL685" s="325">
        <f t="shared" ref="EL685:ER685" si="672">EL646</f>
        <v>0</v>
      </c>
      <c r="EM685" s="323">
        <f t="shared" si="672"/>
        <v>0</v>
      </c>
      <c r="EN685" s="323">
        <f t="shared" si="672"/>
        <v>3.8014540480000001</v>
      </c>
      <c r="EO685" s="323">
        <f t="shared" si="672"/>
        <v>3.5872649980000002</v>
      </c>
      <c r="EP685" s="323">
        <f t="shared" si="672"/>
        <v>0</v>
      </c>
      <c r="EQ685" s="323">
        <f t="shared" si="672"/>
        <v>0</v>
      </c>
      <c r="ER685" s="323">
        <f t="shared" si="672"/>
        <v>1.50152022</v>
      </c>
      <c r="ES685" s="323">
        <f t="shared" ref="ES685:EX685" si="673">ES646</f>
        <v>2.8859739630000001</v>
      </c>
      <c r="ET685" s="323">
        <f t="shared" si="673"/>
        <v>0</v>
      </c>
      <c r="EU685" s="323">
        <f t="shared" si="673"/>
        <v>1.4644046749999999</v>
      </c>
      <c r="EV685" s="323">
        <f t="shared" si="673"/>
        <v>2.8887351529999998</v>
      </c>
      <c r="EW685" s="323">
        <f t="shared" si="673"/>
        <v>0</v>
      </c>
      <c r="EX685" s="325">
        <f t="shared" si="673"/>
        <v>1.4644046749999999</v>
      </c>
      <c r="EY685" s="323"/>
      <c r="EZ685" s="323"/>
      <c r="FA685" s="323"/>
      <c r="FB685" s="323"/>
      <c r="FC685" s="323"/>
      <c r="FD685" s="323"/>
      <c r="FE685" s="323"/>
      <c r="FF685" s="323"/>
      <c r="FG685" s="323"/>
      <c r="FH685" s="323"/>
      <c r="FI685" s="323"/>
      <c r="FJ685" s="325"/>
      <c r="FK685" s="323"/>
      <c r="FL685" s="323"/>
      <c r="FM685" s="323"/>
      <c r="FN685" s="323"/>
      <c r="FO685" s="323"/>
      <c r="FP685" s="323"/>
      <c r="FQ685" s="323"/>
      <c r="FR685" s="323"/>
      <c r="FS685" s="323"/>
      <c r="FT685" s="323"/>
      <c r="FU685" s="323"/>
      <c r="FV685" s="323"/>
      <c r="FW685" s="323"/>
      <c r="FX685" s="323"/>
      <c r="FY685" s="323"/>
      <c r="FZ685" s="323"/>
      <c r="GA685" s="323"/>
      <c r="GB685" s="323"/>
      <c r="GC685" s="323"/>
      <c r="GD685" s="323"/>
      <c r="GE685" s="323"/>
      <c r="GF685" s="323"/>
      <c r="GG685" s="323"/>
      <c r="GH685" s="323"/>
      <c r="GI685" s="323"/>
      <c r="GJ685" s="323"/>
      <c r="GK685" s="323"/>
      <c r="GL685" s="323"/>
      <c r="GM685" s="323"/>
      <c r="GN685" s="323"/>
      <c r="GO685" s="323"/>
      <c r="GP685" s="323"/>
      <c r="GQ685" s="323"/>
      <c r="GR685" s="323"/>
      <c r="GS685" s="323"/>
      <c r="GT685" s="323"/>
      <c r="GU685" s="323"/>
      <c r="GV685" s="323"/>
      <c r="GW685" s="323"/>
      <c r="GX685" s="323"/>
      <c r="GY685" s="323"/>
      <c r="GZ685" s="323"/>
      <c r="HA685" s="323"/>
      <c r="HB685" s="323"/>
      <c r="HC685" s="323"/>
      <c r="HD685" s="323"/>
      <c r="HE685" s="323"/>
      <c r="HF685" s="323"/>
      <c r="HG685" s="323"/>
      <c r="HH685" s="323"/>
      <c r="HI685" s="323"/>
      <c r="HJ685" s="323"/>
      <c r="HK685" s="323"/>
      <c r="HL685" s="323"/>
      <c r="HM685" s="323"/>
      <c r="HN685" s="323"/>
      <c r="HO685" s="323"/>
      <c r="HP685" s="323"/>
      <c r="HQ685" s="323"/>
      <c r="HR685" s="323"/>
      <c r="HS685" s="323"/>
      <c r="HT685" s="323"/>
      <c r="HU685" s="323"/>
      <c r="HV685" s="323"/>
      <c r="HW685" s="323"/>
      <c r="HX685" s="323"/>
      <c r="HY685" s="323"/>
      <c r="HZ685" s="326"/>
      <c r="IA685" s="328" t="s">
        <v>835</v>
      </c>
      <c r="IB685" s="328"/>
      <c r="IC685" s="328"/>
      <c r="ID685" s="323">
        <f>+FISC!Z904</f>
        <v>25.7</v>
      </c>
      <c r="IE685" s="279">
        <f>SUM(CQ685:CV685)</f>
        <v>0</v>
      </c>
      <c r="IF685" s="279">
        <f>SUM(CW685:DB685)</f>
        <v>0</v>
      </c>
      <c r="IG685" s="323">
        <f>SUM(CQ685:DB685)</f>
        <v>0</v>
      </c>
      <c r="IH685" s="279">
        <f>+SUM(DC685:DH685)</f>
        <v>15.346579886000001</v>
      </c>
      <c r="II685" s="279">
        <f>+SUM(DI685:DN685)</f>
        <v>4</v>
      </c>
      <c r="IJ685" s="323">
        <f>IH685+II685</f>
        <v>19.346579886000001</v>
      </c>
      <c r="IK685" s="279">
        <v>0</v>
      </c>
      <c r="IL685" s="279">
        <f>SUM(DU685:DZ685)</f>
        <v>0</v>
      </c>
      <c r="IM685" s="323"/>
      <c r="IN685" s="454">
        <v>0</v>
      </c>
      <c r="IO685" s="327"/>
      <c r="IP685" s="323">
        <f>FISC!AC904</f>
        <v>0</v>
      </c>
      <c r="IQ685" s="279">
        <f t="shared" si="642"/>
        <v>8.890239266</v>
      </c>
      <c r="IR685" s="279">
        <f t="shared" si="643"/>
        <v>8.7035184660000002</v>
      </c>
      <c r="IS685" s="323">
        <f t="shared" si="590"/>
        <v>17.593757732</v>
      </c>
      <c r="IT685" s="327"/>
      <c r="IU685" s="327"/>
      <c r="IV685" s="323">
        <f>+FISC!AE904</f>
        <v>0</v>
      </c>
      <c r="IW685" s="279">
        <f>IY685*JU685</f>
        <v>0</v>
      </c>
      <c r="IX685" s="279">
        <f t="shared" si="486"/>
        <v>0</v>
      </c>
      <c r="IY685" s="323">
        <f>+FISC!AF904</f>
        <v>0</v>
      </c>
      <c r="IZ685" s="279">
        <f t="shared" si="498"/>
        <v>0</v>
      </c>
      <c r="JA685" s="279">
        <f t="shared" si="540"/>
        <v>0</v>
      </c>
      <c r="JB685" s="323">
        <f>+FISC!AG904</f>
        <v>0</v>
      </c>
      <c r="JC685" s="279">
        <f t="shared" si="499"/>
        <v>0</v>
      </c>
      <c r="JD685" s="279">
        <f t="shared" si="487"/>
        <v>-9.1999999999999993</v>
      </c>
      <c r="JE685" s="323">
        <f>+FISC!AH904</f>
        <v>-9.1999999999999993</v>
      </c>
      <c r="JF685" s="279">
        <f t="shared" si="500"/>
        <v>0</v>
      </c>
      <c r="JG685" s="279">
        <f t="shared" si="488"/>
        <v>0</v>
      </c>
      <c r="JH685" s="323">
        <f>+FISC!AI904</f>
        <v>0</v>
      </c>
      <c r="JI685" s="279">
        <f t="shared" si="501"/>
        <v>0</v>
      </c>
      <c r="JJ685" s="279">
        <f t="shared" si="489"/>
        <v>0</v>
      </c>
      <c r="JK685" s="323">
        <f>+FISC!AJ904</f>
        <v>0</v>
      </c>
      <c r="JL685" s="279">
        <f t="shared" si="502"/>
        <v>0</v>
      </c>
      <c r="JM685" s="279">
        <f t="shared" si="490"/>
        <v>0</v>
      </c>
      <c r="JN685" s="323">
        <f>+FISC!AK904</f>
        <v>0</v>
      </c>
      <c r="JO685" s="323"/>
      <c r="KU685" s="326"/>
      <c r="KV685" s="327"/>
    </row>
    <row r="686" spans="1:314" hidden="1">
      <c r="A686" s="279"/>
      <c r="B686" s="96" t="s">
        <v>338</v>
      </c>
      <c r="D686" s="328" t="str">
        <f>+FISC!D905</f>
        <v>o/w: Global Fund (and Sovereign Bonds proceeds/Energy/Agaciro)</v>
      </c>
      <c r="E686" s="323"/>
      <c r="F686" s="323"/>
      <c r="G686" s="323"/>
      <c r="H686" s="323"/>
      <c r="I686" s="323"/>
      <c r="J686" s="323"/>
      <c r="K686" s="323"/>
      <c r="L686" s="323"/>
      <c r="M686" s="323"/>
      <c r="N686" s="323"/>
      <c r="O686" s="323"/>
      <c r="P686" s="323"/>
      <c r="Q686" s="323"/>
      <c r="R686" s="323"/>
      <c r="S686" s="323"/>
      <c r="T686" s="323"/>
      <c r="U686" s="323"/>
      <c r="V686" s="323"/>
      <c r="W686" s="323"/>
      <c r="X686" s="323"/>
      <c r="Y686" s="323"/>
      <c r="Z686" s="323"/>
      <c r="AA686" s="323"/>
      <c r="AB686" s="323"/>
      <c r="AC686" s="323"/>
      <c r="AD686" s="323"/>
      <c r="AE686" s="323"/>
      <c r="AF686" s="323"/>
      <c r="AG686" s="323"/>
      <c r="AH686" s="323"/>
      <c r="AI686" s="323"/>
      <c r="AJ686" s="323"/>
      <c r="AK686" s="323"/>
      <c r="AL686" s="323"/>
      <c r="AM686" s="323"/>
      <c r="AN686" s="323"/>
      <c r="AO686" s="323"/>
      <c r="AP686" s="323"/>
      <c r="AQ686" s="323"/>
      <c r="AR686" s="323"/>
      <c r="AS686" s="323"/>
      <c r="AT686" s="323"/>
      <c r="AU686" s="323"/>
      <c r="AV686" s="323"/>
      <c r="AW686" s="323"/>
      <c r="AX686" s="323"/>
      <c r="AY686" s="323"/>
      <c r="AZ686" s="323"/>
      <c r="BA686" s="323"/>
      <c r="BB686" s="323"/>
      <c r="BC686" s="323"/>
      <c r="BD686" s="323"/>
      <c r="BE686" s="323"/>
      <c r="BF686" s="323"/>
      <c r="BG686" s="323"/>
      <c r="BH686" s="323"/>
      <c r="BI686" s="323"/>
      <c r="BJ686" s="323"/>
      <c r="BK686" s="323"/>
      <c r="BL686" s="323"/>
      <c r="BM686" s="323"/>
      <c r="BN686" s="323"/>
      <c r="BO686" s="323"/>
      <c r="BP686" s="323"/>
      <c r="BQ686" s="323"/>
      <c r="BR686" s="323"/>
      <c r="BS686" s="323"/>
      <c r="BT686" s="323"/>
      <c r="BU686" s="323"/>
      <c r="BV686" s="323"/>
      <c r="BW686" s="323"/>
      <c r="BX686" s="323"/>
      <c r="BY686" s="323"/>
      <c r="BZ686" s="323"/>
      <c r="CA686" s="323"/>
      <c r="CB686" s="323"/>
      <c r="CC686" s="323"/>
      <c r="CD686" s="323"/>
      <c r="CE686" s="324">
        <f t="shared" ref="CE686:DJ686" si="674">CE261</f>
        <v>5.9806559970000004</v>
      </c>
      <c r="CF686" s="323">
        <f t="shared" si="674"/>
        <v>0</v>
      </c>
      <c r="CG686" s="323">
        <f t="shared" si="674"/>
        <v>2.4868241860000002</v>
      </c>
      <c r="CH686" s="323">
        <f t="shared" si="674"/>
        <v>5.7063252359999996</v>
      </c>
      <c r="CI686" s="323">
        <f t="shared" si="674"/>
        <v>0.115232735</v>
      </c>
      <c r="CJ686" s="323">
        <f t="shared" si="674"/>
        <v>0.171666657</v>
      </c>
      <c r="CK686" s="323">
        <f t="shared" si="674"/>
        <v>1.8893802909999999</v>
      </c>
      <c r="CL686" s="323">
        <f t="shared" si="674"/>
        <v>0.154772415</v>
      </c>
      <c r="CM686" s="323">
        <f t="shared" si="674"/>
        <v>0.79095841600000005</v>
      </c>
      <c r="CN686" s="323">
        <f t="shared" si="674"/>
        <v>4.2216037030000004</v>
      </c>
      <c r="CO686" s="323">
        <f t="shared" si="674"/>
        <v>0.83095245100000004</v>
      </c>
      <c r="CP686" s="325">
        <f t="shared" si="674"/>
        <v>5.8514820000000002E-2</v>
      </c>
      <c r="CQ686" s="323">
        <f t="shared" si="674"/>
        <v>4.3384599399999999</v>
      </c>
      <c r="CR686" s="323">
        <f t="shared" si="674"/>
        <v>2.8334494619999999</v>
      </c>
      <c r="CS686" s="323">
        <f t="shared" si="674"/>
        <v>5.5940669710000002</v>
      </c>
      <c r="CT686" s="323">
        <f t="shared" si="674"/>
        <v>2.7899434000000001E-2</v>
      </c>
      <c r="CU686" s="323">
        <f t="shared" si="674"/>
        <v>0</v>
      </c>
      <c r="CV686" s="323">
        <f t="shared" si="674"/>
        <v>0</v>
      </c>
      <c r="CW686" s="323">
        <f t="shared" si="674"/>
        <v>3.0288072960000001</v>
      </c>
      <c r="CX686" s="323">
        <f t="shared" si="674"/>
        <v>0.14963575000000001</v>
      </c>
      <c r="CY686" s="323">
        <f t="shared" si="674"/>
        <v>4.3652265970000004</v>
      </c>
      <c r="CZ686" s="323">
        <f t="shared" si="674"/>
        <v>3.8180877049999999</v>
      </c>
      <c r="DA686" s="323">
        <f t="shared" si="674"/>
        <v>0.87516175500000004</v>
      </c>
      <c r="DB686" s="1269">
        <f t="shared" si="674"/>
        <v>3.5785191630000002</v>
      </c>
      <c r="DC686" s="323">
        <f t="shared" si="674"/>
        <v>0</v>
      </c>
      <c r="DD686" s="323">
        <f t="shared" si="674"/>
        <v>0</v>
      </c>
      <c r="DE686" s="323">
        <f t="shared" si="674"/>
        <v>0.84725262700000004</v>
      </c>
      <c r="DF686" s="323">
        <f t="shared" si="674"/>
        <v>1.4201047630000001</v>
      </c>
      <c r="DG686" s="323">
        <f t="shared" si="674"/>
        <v>0.17094899999999999</v>
      </c>
      <c r="DH686" s="323">
        <f t="shared" si="674"/>
        <v>0.83931962000000004</v>
      </c>
      <c r="DI686" s="323">
        <f t="shared" si="674"/>
        <v>2.6560080570000002</v>
      </c>
      <c r="DJ686" s="323">
        <f t="shared" si="674"/>
        <v>0</v>
      </c>
      <c r="DK686" s="323">
        <f t="shared" ref="DK686:EP686" si="675">DK261</f>
        <v>0.496480586</v>
      </c>
      <c r="DL686" s="323">
        <f t="shared" si="675"/>
        <v>0.48701245199999998</v>
      </c>
      <c r="DM686" s="323">
        <f t="shared" si="675"/>
        <v>3.3036283950000001</v>
      </c>
      <c r="DN686" s="325">
        <f t="shared" si="675"/>
        <v>0</v>
      </c>
      <c r="DO686" s="323">
        <f t="shared" si="675"/>
        <v>0</v>
      </c>
      <c r="DP686" s="323">
        <f t="shared" si="675"/>
        <v>0</v>
      </c>
      <c r="DQ686" s="323">
        <f t="shared" si="675"/>
        <v>0</v>
      </c>
      <c r="DR686" s="323">
        <f t="shared" si="675"/>
        <v>0</v>
      </c>
      <c r="DS686" s="323">
        <f t="shared" si="675"/>
        <v>0</v>
      </c>
      <c r="DT686" s="323">
        <f t="shared" si="675"/>
        <v>0</v>
      </c>
      <c r="DU686" s="323">
        <f t="shared" si="675"/>
        <v>0</v>
      </c>
      <c r="DV686" s="323">
        <f t="shared" si="675"/>
        <v>0</v>
      </c>
      <c r="DW686" s="323">
        <f t="shared" si="675"/>
        <v>0</v>
      </c>
      <c r="DX686" s="323">
        <f t="shared" si="675"/>
        <v>0</v>
      </c>
      <c r="DY686" s="323">
        <f t="shared" si="675"/>
        <v>0</v>
      </c>
      <c r="DZ686" s="325">
        <f t="shared" si="675"/>
        <v>0</v>
      </c>
      <c r="EA686" s="323">
        <f t="shared" si="675"/>
        <v>0</v>
      </c>
      <c r="EB686" s="323">
        <f t="shared" si="675"/>
        <v>0</v>
      </c>
      <c r="EC686" s="323">
        <f t="shared" si="675"/>
        <v>0</v>
      </c>
      <c r="ED686" s="323">
        <f t="shared" si="675"/>
        <v>0</v>
      </c>
      <c r="EE686" s="323">
        <f t="shared" si="675"/>
        <v>0</v>
      </c>
      <c r="EF686" s="323">
        <f t="shared" si="675"/>
        <v>0</v>
      </c>
      <c r="EG686" s="323">
        <f t="shared" si="675"/>
        <v>0</v>
      </c>
      <c r="EH686" s="323">
        <f t="shared" si="675"/>
        <v>0</v>
      </c>
      <c r="EI686" s="323">
        <f t="shared" si="675"/>
        <v>0</v>
      </c>
      <c r="EJ686" s="323">
        <f t="shared" si="675"/>
        <v>0</v>
      </c>
      <c r="EK686" s="323">
        <f t="shared" si="675"/>
        <v>0</v>
      </c>
      <c r="EL686" s="325">
        <f t="shared" si="675"/>
        <v>0</v>
      </c>
      <c r="EM686" s="323">
        <f t="shared" si="675"/>
        <v>0</v>
      </c>
      <c r="EN686" s="323">
        <f t="shared" si="675"/>
        <v>0</v>
      </c>
      <c r="EO686" s="323">
        <f t="shared" si="675"/>
        <v>0</v>
      </c>
      <c r="EP686" s="323">
        <f t="shared" si="675"/>
        <v>0</v>
      </c>
      <c r="EQ686" s="323">
        <f t="shared" ref="EQ686:EX686" si="676">EQ261</f>
        <v>0</v>
      </c>
      <c r="ER686" s="323">
        <f t="shared" si="676"/>
        <v>0</v>
      </c>
      <c r="ES686" s="323">
        <f t="shared" si="676"/>
        <v>0</v>
      </c>
      <c r="ET686" s="323">
        <f t="shared" si="676"/>
        <v>0</v>
      </c>
      <c r="EU686" s="323">
        <f t="shared" si="676"/>
        <v>0</v>
      </c>
      <c r="EV686" s="323">
        <f t="shared" si="676"/>
        <v>0</v>
      </c>
      <c r="EW686" s="323">
        <f t="shared" si="676"/>
        <v>0</v>
      </c>
      <c r="EX686" s="325">
        <f t="shared" si="676"/>
        <v>0</v>
      </c>
      <c r="EY686" s="323"/>
      <c r="EZ686" s="323"/>
      <c r="FA686" s="323"/>
      <c r="FB686" s="323"/>
      <c r="FC686" s="323"/>
      <c r="FD686" s="323"/>
      <c r="FE686" s="323"/>
      <c r="FF686" s="323"/>
      <c r="FG686" s="323"/>
      <c r="FH686" s="323"/>
      <c r="FI686" s="323"/>
      <c r="FJ686" s="325"/>
      <c r="FK686" s="323"/>
      <c r="FL686" s="323"/>
      <c r="FM686" s="323"/>
      <c r="FN686" s="323"/>
      <c r="FO686" s="323"/>
      <c r="FP686" s="323"/>
      <c r="FQ686" s="323"/>
      <c r="FR686" s="323"/>
      <c r="FS686" s="323"/>
      <c r="FT686" s="323"/>
      <c r="FU686" s="323"/>
      <c r="FV686" s="323"/>
      <c r="FW686" s="323"/>
      <c r="FX686" s="323"/>
      <c r="FY686" s="323"/>
      <c r="FZ686" s="323"/>
      <c r="GA686" s="323"/>
      <c r="GB686" s="323"/>
      <c r="GC686" s="323"/>
      <c r="GD686" s="323"/>
      <c r="GE686" s="323"/>
      <c r="GF686" s="323"/>
      <c r="GG686" s="323"/>
      <c r="GH686" s="323"/>
      <c r="GI686" s="323"/>
      <c r="GJ686" s="323"/>
      <c r="GK686" s="323"/>
      <c r="GL686" s="323"/>
      <c r="GM686" s="323"/>
      <c r="GN686" s="323"/>
      <c r="GO686" s="323"/>
      <c r="GP686" s="323"/>
      <c r="GQ686" s="323"/>
      <c r="GR686" s="323"/>
      <c r="GS686" s="323"/>
      <c r="GT686" s="323"/>
      <c r="GU686" s="323"/>
      <c r="GV686" s="323"/>
      <c r="GW686" s="323"/>
      <c r="GX686" s="323"/>
      <c r="GY686" s="323"/>
      <c r="GZ686" s="323"/>
      <c r="HA686" s="323"/>
      <c r="HB686" s="323"/>
      <c r="HC686" s="323"/>
      <c r="HD686" s="323"/>
      <c r="HE686" s="323"/>
      <c r="HF686" s="323"/>
      <c r="HG686" s="323"/>
      <c r="HH686" s="323"/>
      <c r="HI686" s="323"/>
      <c r="HJ686" s="323"/>
      <c r="HK686" s="323"/>
      <c r="HL686" s="323"/>
      <c r="HM686" s="323"/>
      <c r="HN686" s="323"/>
      <c r="HO686" s="323"/>
      <c r="HP686" s="323"/>
      <c r="HQ686" s="323"/>
      <c r="HR686" s="323"/>
      <c r="HS686" s="323"/>
      <c r="HT686" s="323"/>
      <c r="HU686" s="323"/>
      <c r="HV686" s="323"/>
      <c r="HW686" s="323"/>
      <c r="HX686" s="323"/>
      <c r="HY686" s="323"/>
      <c r="HZ686" s="326"/>
      <c r="IA686" s="328" t="s">
        <v>1115</v>
      </c>
      <c r="IB686" s="328"/>
      <c r="IC686" s="328"/>
      <c r="ID686" s="323">
        <f>+FISC!Z905</f>
        <v>28.6</v>
      </c>
      <c r="IE686" s="279">
        <f>SUM(CQ686:CV686)</f>
        <v>12.793875807000001</v>
      </c>
      <c r="IF686" s="279">
        <f>SUM(CW686:DB686)</f>
        <v>15.815438266000001</v>
      </c>
      <c r="IG686" s="323">
        <f>SUM(CQ686:DB686)</f>
        <v>28.609314073</v>
      </c>
      <c r="IH686" s="555">
        <f>+IH627</f>
        <v>3.2776260099999996</v>
      </c>
      <c r="II686" s="279">
        <f>+SUM(DI686:DN686)</f>
        <v>6.9431294900000005</v>
      </c>
      <c r="IJ686" s="323">
        <f>IH686+II686</f>
        <v>10.220755499999999</v>
      </c>
      <c r="IK686" s="555">
        <v>0</v>
      </c>
      <c r="IL686" s="279">
        <f>SUM(DU686:DZ686)</f>
        <v>0</v>
      </c>
      <c r="IM686" s="323">
        <f>+IM626-IM579</f>
        <v>19.200000000000003</v>
      </c>
      <c r="IN686" s="454">
        <v>0</v>
      </c>
      <c r="IO686" s="279">
        <f>+IP686-IN686</f>
        <v>3.8466942869999912</v>
      </c>
      <c r="IP686" s="323">
        <f>FISC!AC905</f>
        <v>3.8466942869999912</v>
      </c>
      <c r="IQ686" s="279">
        <f t="shared" si="642"/>
        <v>0</v>
      </c>
      <c r="IR686" s="279">
        <f t="shared" si="643"/>
        <v>0</v>
      </c>
      <c r="IS686" s="323">
        <f t="shared" si="590"/>
        <v>0</v>
      </c>
      <c r="IT686" s="327"/>
      <c r="IU686" s="327"/>
      <c r="IV686" s="323">
        <f>+FISC!AE905</f>
        <v>0</v>
      </c>
      <c r="IW686" s="279">
        <f>IY686*JU686</f>
        <v>0</v>
      </c>
      <c r="IX686" s="279">
        <f t="shared" si="486"/>
        <v>0</v>
      </c>
      <c r="IY686" s="323">
        <f>+FISC!AF905</f>
        <v>0</v>
      </c>
      <c r="IZ686" s="279">
        <f t="shared" si="498"/>
        <v>0</v>
      </c>
      <c r="JA686" s="279">
        <f t="shared" si="540"/>
        <v>0</v>
      </c>
      <c r="JB686" s="323">
        <f>+FISC!AG905</f>
        <v>0</v>
      </c>
      <c r="JC686" s="279">
        <f t="shared" si="499"/>
        <v>0</v>
      </c>
      <c r="JD686" s="279">
        <f t="shared" si="487"/>
        <v>0</v>
      </c>
      <c r="JE686" s="323">
        <f>+FISC!AH905</f>
        <v>0</v>
      </c>
      <c r="JF686" s="279">
        <f t="shared" si="500"/>
        <v>0</v>
      </c>
      <c r="JG686" s="279">
        <f t="shared" si="488"/>
        <v>0</v>
      </c>
      <c r="JH686" s="323">
        <f>+FISC!AI905</f>
        <v>0</v>
      </c>
      <c r="JI686" s="279">
        <f t="shared" si="501"/>
        <v>0</v>
      </c>
      <c r="JJ686" s="279">
        <f t="shared" si="489"/>
        <v>0</v>
      </c>
      <c r="JK686" s="323">
        <f>+FISC!AJ905</f>
        <v>0</v>
      </c>
      <c r="JL686" s="279">
        <f t="shared" si="502"/>
        <v>0</v>
      </c>
      <c r="JM686" s="279">
        <f t="shared" si="490"/>
        <v>0</v>
      </c>
      <c r="JN686" s="323">
        <f>+FISC!AK905</f>
        <v>0</v>
      </c>
      <c r="JO686" s="323"/>
      <c r="KU686" s="326"/>
      <c r="KV686" s="327"/>
    </row>
    <row r="687" spans="1:314" hidden="1">
      <c r="A687" s="279"/>
      <c r="B687" s="96" t="s">
        <v>338</v>
      </c>
      <c r="D687" s="328" t="str">
        <f>+FISC!D906</f>
        <v>o/w: Rwandair Loan receipt to Gov't</v>
      </c>
      <c r="E687" s="323"/>
      <c r="F687" s="323"/>
      <c r="G687" s="323"/>
      <c r="H687" s="323"/>
      <c r="I687" s="323"/>
      <c r="J687" s="323"/>
      <c r="K687" s="323"/>
      <c r="L687" s="323"/>
      <c r="M687" s="323"/>
      <c r="N687" s="323"/>
      <c r="O687" s="323"/>
      <c r="P687" s="323"/>
      <c r="Q687" s="323"/>
      <c r="R687" s="323"/>
      <c r="S687" s="323"/>
      <c r="T687" s="323"/>
      <c r="U687" s="323"/>
      <c r="V687" s="323"/>
      <c r="W687" s="323"/>
      <c r="X687" s="323"/>
      <c r="Y687" s="323"/>
      <c r="Z687" s="323"/>
      <c r="AA687" s="323"/>
      <c r="AB687" s="323"/>
      <c r="AC687" s="323"/>
      <c r="AD687" s="323"/>
      <c r="AE687" s="323"/>
      <c r="AF687" s="323"/>
      <c r="AG687" s="323"/>
      <c r="AH687" s="323"/>
      <c r="AI687" s="323"/>
      <c r="AJ687" s="323"/>
      <c r="AK687" s="323"/>
      <c r="AL687" s="323"/>
      <c r="AM687" s="323"/>
      <c r="AN687" s="323"/>
      <c r="AO687" s="323"/>
      <c r="AP687" s="323"/>
      <c r="AQ687" s="323"/>
      <c r="AR687" s="323"/>
      <c r="AS687" s="323"/>
      <c r="AT687" s="323"/>
      <c r="AU687" s="323"/>
      <c r="AV687" s="323"/>
      <c r="AW687" s="323"/>
      <c r="AX687" s="323"/>
      <c r="AY687" s="323"/>
      <c r="AZ687" s="323"/>
      <c r="BA687" s="323"/>
      <c r="BB687" s="323"/>
      <c r="BC687" s="323"/>
      <c r="BD687" s="323"/>
      <c r="BE687" s="323"/>
      <c r="BF687" s="323"/>
      <c r="BG687" s="323"/>
      <c r="BH687" s="323"/>
      <c r="BI687" s="323"/>
      <c r="BJ687" s="323"/>
      <c r="BK687" s="323"/>
      <c r="BL687" s="323"/>
      <c r="BM687" s="323"/>
      <c r="BN687" s="323"/>
      <c r="BO687" s="323"/>
      <c r="BP687" s="323"/>
      <c r="BQ687" s="323"/>
      <c r="BR687" s="323"/>
      <c r="BS687" s="323"/>
      <c r="BT687" s="323"/>
      <c r="BU687" s="323"/>
      <c r="BV687" s="323"/>
      <c r="BW687" s="323"/>
      <c r="BX687" s="323"/>
      <c r="BY687" s="323"/>
      <c r="BZ687" s="323"/>
      <c r="CA687" s="323"/>
      <c r="CB687" s="323"/>
      <c r="CC687" s="323"/>
      <c r="CD687" s="323"/>
      <c r="CE687" s="324"/>
      <c r="CF687" s="323"/>
      <c r="CG687" s="323"/>
      <c r="CH687" s="323"/>
      <c r="CI687" s="323"/>
      <c r="CJ687" s="323"/>
      <c r="CK687" s="323"/>
      <c r="CL687" s="323"/>
      <c r="CM687" s="323"/>
      <c r="CN687" s="323"/>
      <c r="CO687" s="323"/>
      <c r="CP687" s="325"/>
      <c r="CQ687" s="323"/>
      <c r="CR687" s="323"/>
      <c r="CS687" s="323"/>
      <c r="CT687" s="323"/>
      <c r="CU687" s="323"/>
      <c r="CV687" s="323"/>
      <c r="CW687" s="323"/>
      <c r="CX687" s="323"/>
      <c r="CY687" s="323"/>
      <c r="CZ687" s="323"/>
      <c r="DA687" s="323"/>
      <c r="DB687" s="1269"/>
      <c r="DC687" s="323"/>
      <c r="DD687" s="323"/>
      <c r="DE687" s="323"/>
      <c r="DF687" s="323"/>
      <c r="DG687" s="323"/>
      <c r="DH687" s="323"/>
      <c r="DI687" s="323"/>
      <c r="DJ687" s="323"/>
      <c r="DK687" s="323"/>
      <c r="DL687" s="323"/>
      <c r="DM687" s="323"/>
      <c r="DN687" s="325"/>
      <c r="DO687" s="323"/>
      <c r="DP687" s="323"/>
      <c r="DQ687" s="323"/>
      <c r="DR687" s="323"/>
      <c r="DS687" s="323"/>
      <c r="DT687" s="323"/>
      <c r="DU687" s="323"/>
      <c r="DV687" s="323"/>
      <c r="DW687" s="323"/>
      <c r="DX687" s="323"/>
      <c r="DY687" s="323"/>
      <c r="DZ687" s="325"/>
      <c r="EA687" s="323"/>
      <c r="EB687" s="323"/>
      <c r="EC687" s="323"/>
      <c r="ED687" s="323"/>
      <c r="EE687" s="323"/>
      <c r="EF687" s="323"/>
      <c r="EG687" s="323"/>
      <c r="EH687" s="323"/>
      <c r="EI687" s="323"/>
      <c r="EJ687" s="323"/>
      <c r="EK687" s="323"/>
      <c r="EL687" s="325"/>
      <c r="EM687" s="323"/>
      <c r="EN687" s="323"/>
      <c r="EO687" s="323"/>
      <c r="EP687" s="323"/>
      <c r="EQ687" s="323"/>
      <c r="ER687" s="323"/>
      <c r="ES687" s="323"/>
      <c r="ET687" s="323"/>
      <c r="EU687" s="323"/>
      <c r="EV687" s="323"/>
      <c r="EW687" s="323"/>
      <c r="EX687" s="325"/>
      <c r="EY687" s="323"/>
      <c r="EZ687" s="323"/>
      <c r="FA687" s="323"/>
      <c r="FB687" s="323"/>
      <c r="FC687" s="323"/>
      <c r="FD687" s="323"/>
      <c r="FE687" s="323"/>
      <c r="FF687" s="323"/>
      <c r="FG687" s="323"/>
      <c r="FH687" s="323"/>
      <c r="FI687" s="323"/>
      <c r="FJ687" s="325"/>
      <c r="FK687" s="323"/>
      <c r="FL687" s="323"/>
      <c r="FM687" s="323"/>
      <c r="FN687" s="323"/>
      <c r="FO687" s="323"/>
      <c r="FP687" s="323"/>
      <c r="FQ687" s="323"/>
      <c r="FR687" s="323"/>
      <c r="FS687" s="323"/>
      <c r="FT687" s="323"/>
      <c r="FU687" s="323"/>
      <c r="FV687" s="323"/>
      <c r="FW687" s="323"/>
      <c r="FX687" s="323"/>
      <c r="FY687" s="323"/>
      <c r="FZ687" s="323"/>
      <c r="GA687" s="323"/>
      <c r="GB687" s="323"/>
      <c r="GC687" s="323"/>
      <c r="GD687" s="323"/>
      <c r="GE687" s="323"/>
      <c r="GF687" s="323"/>
      <c r="GG687" s="323"/>
      <c r="GH687" s="323"/>
      <c r="GI687" s="323"/>
      <c r="GJ687" s="323"/>
      <c r="GK687" s="323"/>
      <c r="GL687" s="323"/>
      <c r="GM687" s="323"/>
      <c r="GN687" s="323"/>
      <c r="GO687" s="323"/>
      <c r="GP687" s="323"/>
      <c r="GQ687" s="323"/>
      <c r="GR687" s="323"/>
      <c r="GS687" s="323"/>
      <c r="GT687" s="323"/>
      <c r="GU687" s="323"/>
      <c r="GV687" s="323"/>
      <c r="GW687" s="323"/>
      <c r="GX687" s="323"/>
      <c r="GY687" s="323"/>
      <c r="GZ687" s="323"/>
      <c r="HA687" s="323"/>
      <c r="HB687" s="323"/>
      <c r="HC687" s="323"/>
      <c r="HD687" s="323"/>
      <c r="HE687" s="323"/>
      <c r="HF687" s="323"/>
      <c r="HG687" s="323"/>
      <c r="HH687" s="323"/>
      <c r="HI687" s="323"/>
      <c r="HJ687" s="323"/>
      <c r="HK687" s="323"/>
      <c r="HL687" s="323"/>
      <c r="HM687" s="323"/>
      <c r="HN687" s="323"/>
      <c r="HO687" s="323"/>
      <c r="HP687" s="323"/>
      <c r="HQ687" s="323"/>
      <c r="HR687" s="323"/>
      <c r="HS687" s="323"/>
      <c r="HT687" s="323"/>
      <c r="HU687" s="323"/>
      <c r="HV687" s="323"/>
      <c r="HW687" s="323"/>
      <c r="HX687" s="323"/>
      <c r="HY687" s="323"/>
      <c r="HZ687" s="326"/>
      <c r="IA687" s="328" t="s">
        <v>837</v>
      </c>
      <c r="IB687" s="328"/>
      <c r="IC687" s="328"/>
      <c r="ID687" s="323">
        <f>+FISC!Z906</f>
        <v>0</v>
      </c>
      <c r="IE687" s="279">
        <f>SUM(CQ687:CV687)</f>
        <v>0</v>
      </c>
      <c r="IF687" s="279">
        <f>SUM(CW687:DB687)</f>
        <v>0</v>
      </c>
      <c r="IG687" s="323">
        <f>SUM(CQ687:DB687)</f>
        <v>0</v>
      </c>
      <c r="IH687" s="279">
        <f>+SUM(DC687:DH687)</f>
        <v>0</v>
      </c>
      <c r="II687" s="279">
        <f>+SUM(DI687:DN687)</f>
        <v>0</v>
      </c>
      <c r="IJ687" s="323">
        <f>IH687+II687</f>
        <v>0</v>
      </c>
      <c r="IK687" s="279">
        <v>0</v>
      </c>
      <c r="IL687" s="279">
        <f>SUM(DU687:DZ687)</f>
        <v>0</v>
      </c>
      <c r="IM687" s="323"/>
      <c r="IN687" s="454"/>
      <c r="IO687" s="327"/>
      <c r="IP687" s="323">
        <f>FISC!AC906</f>
        <v>0</v>
      </c>
      <c r="IQ687" s="279">
        <f t="shared" si="642"/>
        <v>0</v>
      </c>
      <c r="IR687" s="279">
        <f t="shared" si="643"/>
        <v>0</v>
      </c>
      <c r="IS687" s="323">
        <f t="shared" si="590"/>
        <v>0</v>
      </c>
      <c r="IT687" s="454"/>
      <c r="IU687" s="327"/>
      <c r="IV687" s="323">
        <f>+FISC!AE906</f>
        <v>0</v>
      </c>
      <c r="IW687" s="279">
        <f>IY687*JU687</f>
        <v>0</v>
      </c>
      <c r="IX687" s="279">
        <f t="shared" si="486"/>
        <v>0</v>
      </c>
      <c r="IY687" s="323">
        <f>+FISC!AF906</f>
        <v>0</v>
      </c>
      <c r="IZ687" s="279">
        <f t="shared" si="498"/>
        <v>0</v>
      </c>
      <c r="JA687" s="279">
        <f t="shared" si="540"/>
        <v>0</v>
      </c>
      <c r="JB687" s="323">
        <f>+FISC!AG906</f>
        <v>0</v>
      </c>
      <c r="JC687" s="279">
        <f t="shared" si="499"/>
        <v>0</v>
      </c>
      <c r="JD687" s="279">
        <f t="shared" si="487"/>
        <v>0</v>
      </c>
      <c r="JE687" s="323">
        <f>+FISC!AH906</f>
        <v>0</v>
      </c>
      <c r="JF687" s="279">
        <f t="shared" si="500"/>
        <v>0</v>
      </c>
      <c r="JG687" s="279">
        <f t="shared" si="488"/>
        <v>0</v>
      </c>
      <c r="JH687" s="323">
        <f>+FISC!AI906</f>
        <v>0</v>
      </c>
      <c r="JI687" s="279">
        <f t="shared" si="501"/>
        <v>0</v>
      </c>
      <c r="JJ687" s="279">
        <f t="shared" si="489"/>
        <v>0</v>
      </c>
      <c r="JK687" s="323">
        <f>+FISC!AJ906</f>
        <v>0</v>
      </c>
      <c r="JL687" s="279">
        <f t="shared" si="502"/>
        <v>0</v>
      </c>
      <c r="JM687" s="279">
        <f t="shared" si="490"/>
        <v>0</v>
      </c>
      <c r="JN687" s="323">
        <f>+FISC!AK906</f>
        <v>0</v>
      </c>
      <c r="JO687" s="323"/>
      <c r="KU687" s="326"/>
      <c r="KV687" s="327"/>
    </row>
    <row r="688" spans="1:314" hidden="1">
      <c r="A688" s="279"/>
      <c r="D688" s="328"/>
      <c r="E688" s="323"/>
      <c r="F688" s="323"/>
      <c r="G688" s="323"/>
      <c r="H688" s="323"/>
      <c r="I688" s="323"/>
      <c r="J688" s="323"/>
      <c r="K688" s="323"/>
      <c r="L688" s="323"/>
      <c r="M688" s="323"/>
      <c r="N688" s="323"/>
      <c r="O688" s="323"/>
      <c r="P688" s="323"/>
      <c r="Q688" s="323"/>
      <c r="R688" s="323"/>
      <c r="S688" s="323"/>
      <c r="T688" s="323"/>
      <c r="U688" s="323"/>
      <c r="V688" s="323"/>
      <c r="W688" s="323"/>
      <c r="X688" s="323"/>
      <c r="Y688" s="323"/>
      <c r="Z688" s="323"/>
      <c r="AA688" s="323"/>
      <c r="AB688" s="323"/>
      <c r="AC688" s="323"/>
      <c r="AD688" s="323"/>
      <c r="AE688" s="323"/>
      <c r="AF688" s="323"/>
      <c r="AG688" s="323"/>
      <c r="AH688" s="323"/>
      <c r="AI688" s="323"/>
      <c r="AJ688" s="323"/>
      <c r="AK688" s="323"/>
      <c r="AL688" s="323"/>
      <c r="AM688" s="323"/>
      <c r="AN688" s="323"/>
      <c r="AO688" s="323"/>
      <c r="AP688" s="323"/>
      <c r="AQ688" s="323"/>
      <c r="AR688" s="323"/>
      <c r="AS688" s="323"/>
      <c r="AT688" s="323"/>
      <c r="AU688" s="323"/>
      <c r="AV688" s="323"/>
      <c r="AW688" s="323"/>
      <c r="AX688" s="323"/>
      <c r="AY688" s="323"/>
      <c r="AZ688" s="323"/>
      <c r="BA688" s="323"/>
      <c r="BB688" s="323"/>
      <c r="BC688" s="323"/>
      <c r="BD688" s="323"/>
      <c r="BE688" s="323"/>
      <c r="BF688" s="323"/>
      <c r="BG688" s="323"/>
      <c r="BH688" s="323"/>
      <c r="BI688" s="323"/>
      <c r="BJ688" s="323"/>
      <c r="BK688" s="323"/>
      <c r="BL688" s="323"/>
      <c r="BM688" s="323"/>
      <c r="BN688" s="323"/>
      <c r="BO688" s="323"/>
      <c r="BP688" s="323"/>
      <c r="BQ688" s="323"/>
      <c r="BR688" s="323"/>
      <c r="BS688" s="323"/>
      <c r="BT688" s="323"/>
      <c r="BU688" s="323"/>
      <c r="BV688" s="323"/>
      <c r="BW688" s="323"/>
      <c r="BX688" s="323"/>
      <c r="BY688" s="323"/>
      <c r="BZ688" s="323"/>
      <c r="CA688" s="323"/>
      <c r="CB688" s="323"/>
      <c r="CC688" s="323"/>
      <c r="CD688" s="323"/>
      <c r="CE688" s="324"/>
      <c r="CF688" s="323"/>
      <c r="CG688" s="323"/>
      <c r="CH688" s="323"/>
      <c r="CI688" s="323"/>
      <c r="CJ688" s="323"/>
      <c r="CK688" s="323"/>
      <c r="CL688" s="323"/>
      <c r="CM688" s="323"/>
      <c r="CN688" s="323"/>
      <c r="CO688" s="323"/>
      <c r="CP688" s="325"/>
      <c r="CQ688" s="323"/>
      <c r="CR688" s="323"/>
      <c r="CS688" s="323"/>
      <c r="CT688" s="323"/>
      <c r="CU688" s="323"/>
      <c r="CV688" s="323"/>
      <c r="CW688" s="323"/>
      <c r="CX688" s="323"/>
      <c r="CY688" s="323"/>
      <c r="CZ688" s="323"/>
      <c r="DA688" s="323"/>
      <c r="DB688" s="1269"/>
      <c r="DC688" s="323"/>
      <c r="DD688" s="323"/>
      <c r="DE688" s="323"/>
      <c r="DF688" s="323"/>
      <c r="DG688" s="323"/>
      <c r="DH688" s="323"/>
      <c r="DI688" s="323"/>
      <c r="DJ688" s="323"/>
      <c r="DK688" s="323"/>
      <c r="DL688" s="323"/>
      <c r="DM688" s="323"/>
      <c r="DN688" s="325"/>
      <c r="DO688" s="323"/>
      <c r="DP688" s="323"/>
      <c r="DQ688" s="323"/>
      <c r="DR688" s="323"/>
      <c r="DS688" s="323"/>
      <c r="DT688" s="323"/>
      <c r="DU688" s="323"/>
      <c r="DV688" s="323"/>
      <c r="DW688" s="323"/>
      <c r="DX688" s="323"/>
      <c r="DY688" s="323"/>
      <c r="DZ688" s="325"/>
      <c r="EA688" s="323"/>
      <c r="EB688" s="323"/>
      <c r="EC688" s="323"/>
      <c r="ED688" s="323"/>
      <c r="EE688" s="323"/>
      <c r="EF688" s="323"/>
      <c r="EG688" s="323"/>
      <c r="EH688" s="323"/>
      <c r="EI688" s="323"/>
      <c r="EJ688" s="323"/>
      <c r="EK688" s="323"/>
      <c r="EL688" s="325"/>
      <c r="EM688" s="323"/>
      <c r="EN688" s="323"/>
      <c r="EO688" s="323"/>
      <c r="EP688" s="323"/>
      <c r="EQ688" s="323"/>
      <c r="ER688" s="323"/>
      <c r="ES688" s="323"/>
      <c r="ET688" s="323"/>
      <c r="EU688" s="323"/>
      <c r="EV688" s="323"/>
      <c r="EW688" s="323"/>
      <c r="EX688" s="325"/>
      <c r="EY688" s="323"/>
      <c r="EZ688" s="323"/>
      <c r="FA688" s="323"/>
      <c r="FB688" s="323"/>
      <c r="FC688" s="323"/>
      <c r="FD688" s="323"/>
      <c r="FE688" s="323"/>
      <c r="FF688" s="323"/>
      <c r="FG688" s="323"/>
      <c r="FH688" s="323"/>
      <c r="FI688" s="323"/>
      <c r="FJ688" s="325"/>
      <c r="FK688" s="323"/>
      <c r="FL688" s="323"/>
      <c r="FM688" s="323"/>
      <c r="FN688" s="323"/>
      <c r="FO688" s="323"/>
      <c r="FP688" s="323"/>
      <c r="FQ688" s="323"/>
      <c r="FR688" s="323"/>
      <c r="FS688" s="323"/>
      <c r="FT688" s="323"/>
      <c r="FU688" s="323"/>
      <c r="FV688" s="323"/>
      <c r="FW688" s="323"/>
      <c r="FX688" s="323"/>
      <c r="FY688" s="323"/>
      <c r="FZ688" s="323"/>
      <c r="GA688" s="323"/>
      <c r="GB688" s="323"/>
      <c r="GC688" s="323"/>
      <c r="GD688" s="323"/>
      <c r="GE688" s="323"/>
      <c r="GF688" s="323"/>
      <c r="GG688" s="323"/>
      <c r="GH688" s="323"/>
      <c r="GI688" s="323"/>
      <c r="GJ688" s="323"/>
      <c r="GK688" s="323"/>
      <c r="GL688" s="323"/>
      <c r="GM688" s="323"/>
      <c r="GN688" s="323"/>
      <c r="GO688" s="323"/>
      <c r="GP688" s="323"/>
      <c r="GQ688" s="323"/>
      <c r="GR688" s="323"/>
      <c r="GS688" s="323"/>
      <c r="GT688" s="323"/>
      <c r="GU688" s="323"/>
      <c r="GV688" s="323"/>
      <c r="GW688" s="323"/>
      <c r="GX688" s="323"/>
      <c r="GY688" s="323"/>
      <c r="GZ688" s="323"/>
      <c r="HA688" s="323"/>
      <c r="HB688" s="323"/>
      <c r="HC688" s="323"/>
      <c r="HD688" s="323"/>
      <c r="HE688" s="323"/>
      <c r="HF688" s="323"/>
      <c r="HG688" s="323"/>
      <c r="HH688" s="323"/>
      <c r="HI688" s="323"/>
      <c r="HJ688" s="323"/>
      <c r="HK688" s="323"/>
      <c r="HL688" s="323"/>
      <c r="HM688" s="323"/>
      <c r="HN688" s="323"/>
      <c r="HO688" s="323"/>
      <c r="HP688" s="323"/>
      <c r="HQ688" s="323"/>
      <c r="HR688" s="323"/>
      <c r="HS688" s="323"/>
      <c r="HT688" s="323"/>
      <c r="HU688" s="323"/>
      <c r="HV688" s="323"/>
      <c r="HW688" s="323"/>
      <c r="HX688" s="323"/>
      <c r="HY688" s="323"/>
      <c r="HZ688" s="326"/>
      <c r="IA688" s="1113" t="s">
        <v>1205</v>
      </c>
      <c r="IB688" s="1113"/>
      <c r="IC688" s="1113"/>
      <c r="ID688" s="323"/>
      <c r="IG688" s="323"/>
      <c r="IJ688" s="323"/>
      <c r="IM688" s="323"/>
      <c r="IN688" s="454"/>
      <c r="IO688" s="327"/>
      <c r="IP688" s="323"/>
      <c r="IS688" s="323"/>
      <c r="IT688" s="454">
        <f>IV688</f>
        <v>25.6</v>
      </c>
      <c r="IU688" s="327">
        <f>IV688-IT688</f>
        <v>0</v>
      </c>
      <c r="IV688" s="323">
        <f>+FISC!AE907</f>
        <v>25.6</v>
      </c>
      <c r="IX688" s="279">
        <f t="shared" si="486"/>
        <v>0</v>
      </c>
      <c r="IY688" s="323">
        <f>+FISC!AF907</f>
        <v>0</v>
      </c>
      <c r="JA688" s="279">
        <f t="shared" si="540"/>
        <v>0</v>
      </c>
      <c r="JB688" s="323">
        <f>+FISC!AG907</f>
        <v>0</v>
      </c>
      <c r="JE688" s="323"/>
      <c r="JH688" s="323"/>
      <c r="JK688" s="323"/>
      <c r="JN688" s="323"/>
      <c r="JO688" s="323"/>
      <c r="KU688" s="326"/>
      <c r="KV688" s="327"/>
    </row>
    <row r="689" spans="1:314" hidden="1">
      <c r="A689" s="279"/>
      <c r="D689" s="328"/>
      <c r="E689" s="323"/>
      <c r="F689" s="323"/>
      <c r="G689" s="323"/>
      <c r="H689" s="323"/>
      <c r="I689" s="323"/>
      <c r="J689" s="323"/>
      <c r="K689" s="323"/>
      <c r="L689" s="323"/>
      <c r="M689" s="323"/>
      <c r="N689" s="323"/>
      <c r="O689" s="323"/>
      <c r="P689" s="323"/>
      <c r="Q689" s="323"/>
      <c r="R689" s="323"/>
      <c r="S689" s="323"/>
      <c r="T689" s="323"/>
      <c r="U689" s="323"/>
      <c r="V689" s="323"/>
      <c r="W689" s="323"/>
      <c r="X689" s="323"/>
      <c r="Y689" s="323"/>
      <c r="Z689" s="323"/>
      <c r="AA689" s="323"/>
      <c r="AB689" s="323"/>
      <c r="AC689" s="323"/>
      <c r="AD689" s="323"/>
      <c r="AE689" s="323"/>
      <c r="AF689" s="323"/>
      <c r="AG689" s="323"/>
      <c r="AH689" s="323"/>
      <c r="AI689" s="323"/>
      <c r="AJ689" s="323"/>
      <c r="AK689" s="323"/>
      <c r="AL689" s="323"/>
      <c r="AM689" s="323"/>
      <c r="AN689" s="323"/>
      <c r="AO689" s="323"/>
      <c r="AP689" s="323"/>
      <c r="AQ689" s="323"/>
      <c r="AR689" s="323"/>
      <c r="AS689" s="323"/>
      <c r="AT689" s="323"/>
      <c r="AU689" s="323"/>
      <c r="AV689" s="323"/>
      <c r="AW689" s="323"/>
      <c r="AX689" s="323"/>
      <c r="AY689" s="323"/>
      <c r="AZ689" s="323"/>
      <c r="BA689" s="323"/>
      <c r="BB689" s="323"/>
      <c r="BC689" s="323"/>
      <c r="BD689" s="323"/>
      <c r="BE689" s="323"/>
      <c r="BF689" s="323"/>
      <c r="BG689" s="323"/>
      <c r="BH689" s="323"/>
      <c r="BI689" s="323"/>
      <c r="BJ689" s="323"/>
      <c r="BK689" s="323"/>
      <c r="BL689" s="323"/>
      <c r="BM689" s="323"/>
      <c r="BN689" s="323"/>
      <c r="BO689" s="323"/>
      <c r="BP689" s="323"/>
      <c r="BQ689" s="323"/>
      <c r="BR689" s="323"/>
      <c r="BS689" s="323"/>
      <c r="BT689" s="323"/>
      <c r="BU689" s="323"/>
      <c r="BV689" s="323"/>
      <c r="BW689" s="323"/>
      <c r="BX689" s="323"/>
      <c r="BY689" s="323"/>
      <c r="BZ689" s="323"/>
      <c r="CA689" s="323"/>
      <c r="CB689" s="323"/>
      <c r="CC689" s="323"/>
      <c r="CD689" s="323"/>
      <c r="CE689" s="324"/>
      <c r="CF689" s="323"/>
      <c r="CG689" s="323"/>
      <c r="CH689" s="323"/>
      <c r="CI689" s="323"/>
      <c r="CJ689" s="323"/>
      <c r="CK689" s="323"/>
      <c r="CL689" s="323"/>
      <c r="CM689" s="323"/>
      <c r="CN689" s="323"/>
      <c r="CO689" s="323"/>
      <c r="CP689" s="325"/>
      <c r="CQ689" s="323"/>
      <c r="CR689" s="323"/>
      <c r="CS689" s="323"/>
      <c r="CT689" s="323"/>
      <c r="CU689" s="323"/>
      <c r="CV689" s="323"/>
      <c r="CW689" s="323"/>
      <c r="CX689" s="323"/>
      <c r="CY689" s="323"/>
      <c r="CZ689" s="323"/>
      <c r="DA689" s="323"/>
      <c r="DB689" s="1269"/>
      <c r="DC689" s="323"/>
      <c r="DD689" s="323"/>
      <c r="DE689" s="323"/>
      <c r="DF689" s="323"/>
      <c r="DG689" s="323"/>
      <c r="DH689" s="323"/>
      <c r="DI689" s="323"/>
      <c r="DJ689" s="323"/>
      <c r="DK689" s="323"/>
      <c r="DL689" s="323"/>
      <c r="DM689" s="323"/>
      <c r="DN689" s="325"/>
      <c r="DO689" s="323"/>
      <c r="DP689" s="323"/>
      <c r="DQ689" s="323"/>
      <c r="DR689" s="323"/>
      <c r="DS689" s="323"/>
      <c r="DT689" s="323"/>
      <c r="DU689" s="323"/>
      <c r="DV689" s="323"/>
      <c r="DW689" s="323"/>
      <c r="DX689" s="323"/>
      <c r="DY689" s="323"/>
      <c r="DZ689" s="325"/>
      <c r="EA689" s="323"/>
      <c r="EB689" s="323"/>
      <c r="EC689" s="323"/>
      <c r="ED689" s="323"/>
      <c r="EE689" s="323"/>
      <c r="EF689" s="323"/>
      <c r="EG689" s="323"/>
      <c r="EH689" s="323"/>
      <c r="EI689" s="323"/>
      <c r="EJ689" s="323"/>
      <c r="EK689" s="323"/>
      <c r="EL689" s="325"/>
      <c r="EM689" s="323"/>
      <c r="EN689" s="323"/>
      <c r="EO689" s="323"/>
      <c r="EP689" s="323"/>
      <c r="EQ689" s="323"/>
      <c r="ER689" s="323"/>
      <c r="ES689" s="323"/>
      <c r="ET689" s="323"/>
      <c r="EU689" s="323"/>
      <c r="EV689" s="323"/>
      <c r="EW689" s="323"/>
      <c r="EX689" s="325"/>
      <c r="EY689" s="323"/>
      <c r="EZ689" s="323"/>
      <c r="FA689" s="323"/>
      <c r="FB689" s="323"/>
      <c r="FC689" s="323"/>
      <c r="FD689" s="323"/>
      <c r="FE689" s="323"/>
      <c r="FF689" s="323"/>
      <c r="FG689" s="323"/>
      <c r="FH689" s="323"/>
      <c r="FI689" s="323"/>
      <c r="FJ689" s="325"/>
      <c r="FK689" s="323"/>
      <c r="FL689" s="323"/>
      <c r="FM689" s="323"/>
      <c r="FN689" s="323"/>
      <c r="FO689" s="323"/>
      <c r="FP689" s="323"/>
      <c r="FQ689" s="323"/>
      <c r="FR689" s="323"/>
      <c r="FS689" s="323"/>
      <c r="FT689" s="323"/>
      <c r="FU689" s="323"/>
      <c r="FV689" s="323"/>
      <c r="FW689" s="323"/>
      <c r="FX689" s="323"/>
      <c r="FY689" s="323"/>
      <c r="FZ689" s="323"/>
      <c r="GA689" s="323"/>
      <c r="GB689" s="323"/>
      <c r="GC689" s="323"/>
      <c r="GD689" s="323"/>
      <c r="GE689" s="323"/>
      <c r="GF689" s="323"/>
      <c r="GG689" s="323"/>
      <c r="GH689" s="323"/>
      <c r="GI689" s="323"/>
      <c r="GJ689" s="323"/>
      <c r="GK689" s="323"/>
      <c r="GL689" s="323"/>
      <c r="GM689" s="323"/>
      <c r="GN689" s="323"/>
      <c r="GO689" s="323"/>
      <c r="GP689" s="323"/>
      <c r="GQ689" s="323"/>
      <c r="GR689" s="323"/>
      <c r="GS689" s="323"/>
      <c r="GT689" s="323"/>
      <c r="GU689" s="323"/>
      <c r="GV689" s="323"/>
      <c r="GW689" s="323"/>
      <c r="GX689" s="323"/>
      <c r="GY689" s="323"/>
      <c r="GZ689" s="323"/>
      <c r="HA689" s="323"/>
      <c r="HB689" s="323"/>
      <c r="HC689" s="323"/>
      <c r="HD689" s="323"/>
      <c r="HE689" s="323"/>
      <c r="HF689" s="323"/>
      <c r="HG689" s="323"/>
      <c r="HH689" s="323"/>
      <c r="HI689" s="323"/>
      <c r="HJ689" s="323"/>
      <c r="HK689" s="323"/>
      <c r="HL689" s="323"/>
      <c r="HM689" s="323"/>
      <c r="HN689" s="323"/>
      <c r="HO689" s="323"/>
      <c r="HP689" s="323"/>
      <c r="HQ689" s="323"/>
      <c r="HR689" s="323"/>
      <c r="HS689" s="323"/>
      <c r="HT689" s="323"/>
      <c r="HU689" s="323"/>
      <c r="HV689" s="323"/>
      <c r="HW689" s="323"/>
      <c r="HX689" s="323"/>
      <c r="HY689" s="323"/>
      <c r="HZ689" s="326"/>
      <c r="IA689" s="1113" t="s">
        <v>1206</v>
      </c>
      <c r="IB689" s="1113"/>
      <c r="IC689" s="1113"/>
      <c r="ID689" s="323"/>
      <c r="IG689" s="323"/>
      <c r="IJ689" s="323"/>
      <c r="IM689" s="323"/>
      <c r="IN689" s="454"/>
      <c r="IO689" s="327"/>
      <c r="IP689" s="323"/>
      <c r="IS689" s="323"/>
      <c r="IT689" s="454">
        <f>-3646586535/1000000000</f>
        <v>-3.646586535</v>
      </c>
      <c r="IU689" s="327">
        <f>IV689-IT689</f>
        <v>-3.8855023749766575</v>
      </c>
      <c r="IV689" s="323">
        <f>+FISC!AE908</f>
        <v>-7.5320889099766575</v>
      </c>
      <c r="IW689" s="279">
        <f>-4119228399/1000000000</f>
        <v>-4.1192283989999998</v>
      </c>
      <c r="IX689" s="279">
        <f>IY689-IW689</f>
        <v>-4.3919263042297461</v>
      </c>
      <c r="IY689" s="323">
        <f>+FISC!AF908</f>
        <v>-8.5111547032297459</v>
      </c>
      <c r="IZ689" s="279">
        <f>-4653130383/1000000000</f>
        <v>-4.6531303829999997</v>
      </c>
      <c r="JA689" s="279">
        <f t="shared" si="540"/>
        <v>25.015434501326986</v>
      </c>
      <c r="JB689" s="323">
        <f>+FISC!AG908</f>
        <v>20.362304118326986</v>
      </c>
      <c r="JE689" s="323"/>
      <c r="JH689" s="323"/>
      <c r="JK689" s="323"/>
      <c r="JN689" s="323"/>
      <c r="JO689" s="323"/>
      <c r="KU689" s="326"/>
      <c r="KV689" s="327"/>
    </row>
    <row r="690" spans="1:314" hidden="1">
      <c r="A690" s="279"/>
      <c r="B690" s="96" t="s">
        <v>338</v>
      </c>
      <c r="D690" s="328" t="str">
        <f>+FISC!D909</f>
        <v>o/w: PKO (CAR&amp;Juba)</v>
      </c>
      <c r="E690" s="323"/>
      <c r="F690" s="323"/>
      <c r="G690" s="323"/>
      <c r="H690" s="323"/>
      <c r="I690" s="323"/>
      <c r="J690" s="323"/>
      <c r="K690" s="323"/>
      <c r="L690" s="323"/>
      <c r="M690" s="323"/>
      <c r="N690" s="323"/>
      <c r="O690" s="323"/>
      <c r="P690" s="323"/>
      <c r="Q690" s="323"/>
      <c r="R690" s="323"/>
      <c r="S690" s="323"/>
      <c r="T690" s="323"/>
      <c r="U690" s="323"/>
      <c r="V690" s="323"/>
      <c r="W690" s="323"/>
      <c r="X690" s="323"/>
      <c r="Y690" s="323"/>
      <c r="Z690" s="323"/>
      <c r="AA690" s="323"/>
      <c r="AB690" s="323"/>
      <c r="AC690" s="323"/>
      <c r="AD690" s="323"/>
      <c r="AE690" s="323"/>
      <c r="AF690" s="323"/>
      <c r="AG690" s="323"/>
      <c r="AH690" s="323"/>
      <c r="AI690" s="323"/>
      <c r="AJ690" s="323"/>
      <c r="AK690" s="323"/>
      <c r="AL690" s="323"/>
      <c r="AM690" s="323"/>
      <c r="AN690" s="323"/>
      <c r="AO690" s="323"/>
      <c r="AP690" s="323"/>
      <c r="AQ690" s="323"/>
      <c r="AR690" s="323"/>
      <c r="AS690" s="323"/>
      <c r="AT690" s="323"/>
      <c r="AU690" s="323"/>
      <c r="AV690" s="323"/>
      <c r="AW690" s="323"/>
      <c r="AX690" s="323"/>
      <c r="AY690" s="323"/>
      <c r="AZ690" s="323"/>
      <c r="BA690" s="323"/>
      <c r="BB690" s="323"/>
      <c r="BC690" s="323"/>
      <c r="BD690" s="323"/>
      <c r="BE690" s="323"/>
      <c r="BF690" s="323"/>
      <c r="BG690" s="323"/>
      <c r="BH690" s="323"/>
      <c r="BI690" s="323"/>
      <c r="BJ690" s="323"/>
      <c r="BK690" s="323"/>
      <c r="BL690" s="323"/>
      <c r="BM690" s="323"/>
      <c r="BN690" s="323"/>
      <c r="BO690" s="323"/>
      <c r="BP690" s="323"/>
      <c r="BQ690" s="323"/>
      <c r="BR690" s="323"/>
      <c r="BS690" s="323"/>
      <c r="BT690" s="323"/>
      <c r="BU690" s="323"/>
      <c r="BV690" s="323"/>
      <c r="BW690" s="323"/>
      <c r="BX690" s="323"/>
      <c r="BY690" s="323"/>
      <c r="BZ690" s="323"/>
      <c r="CA690" s="323"/>
      <c r="CB690" s="323"/>
      <c r="CC690" s="323"/>
      <c r="CD690" s="323"/>
      <c r="CE690" s="324"/>
      <c r="CF690" s="323"/>
      <c r="CG690" s="323"/>
      <c r="CH690" s="323"/>
      <c r="CI690" s="323"/>
      <c r="CJ690" s="323"/>
      <c r="CK690" s="323"/>
      <c r="CL690" s="323"/>
      <c r="CM690" s="323"/>
      <c r="CN690" s="323"/>
      <c r="CO690" s="323"/>
      <c r="CP690" s="325"/>
      <c r="CQ690" s="323"/>
      <c r="CR690" s="323"/>
      <c r="CS690" s="323"/>
      <c r="CT690" s="323"/>
      <c r="CU690" s="323"/>
      <c r="CV690" s="323"/>
      <c r="CW690" s="323"/>
      <c r="CX690" s="323"/>
      <c r="CY690" s="323"/>
      <c r="CZ690" s="323"/>
      <c r="DA690" s="323"/>
      <c r="DB690" s="1269"/>
      <c r="DC690" s="323"/>
      <c r="DD690" s="323"/>
      <c r="DE690" s="323"/>
      <c r="DF690" s="323"/>
      <c r="DG690" s="323"/>
      <c r="DH690" s="323"/>
      <c r="DI690" s="323"/>
      <c r="DJ690" s="323"/>
      <c r="DK690" s="323"/>
      <c r="DL690" s="323"/>
      <c r="DM690" s="323"/>
      <c r="DN690" s="325"/>
      <c r="DO690" s="323"/>
      <c r="DP690" s="323"/>
      <c r="DQ690" s="323"/>
      <c r="DR690" s="323"/>
      <c r="DS690" s="323"/>
      <c r="DT690" s="323"/>
      <c r="DU690" s="323"/>
      <c r="DV690" s="323"/>
      <c r="DW690" s="323"/>
      <c r="DX690" s="323"/>
      <c r="DY690" s="323"/>
      <c r="DZ690" s="325"/>
      <c r="EA690" s="323"/>
      <c r="EB690" s="323"/>
      <c r="EC690" s="323"/>
      <c r="ED690" s="323"/>
      <c r="EE690" s="323"/>
      <c r="EF690" s="323"/>
      <c r="EG690" s="323"/>
      <c r="EH690" s="323"/>
      <c r="EI690" s="323"/>
      <c r="EJ690" s="323"/>
      <c r="EK690" s="323"/>
      <c r="EL690" s="325"/>
      <c r="EM690" s="323"/>
      <c r="EN690" s="323"/>
      <c r="EO690" s="323"/>
      <c r="EP690" s="323"/>
      <c r="EQ690" s="323"/>
      <c r="ER690" s="323"/>
      <c r="ES690" s="323"/>
      <c r="ET690" s="323"/>
      <c r="EU690" s="323"/>
      <c r="EV690" s="323"/>
      <c r="EW690" s="323"/>
      <c r="EX690" s="325"/>
      <c r="EY690" s="323"/>
      <c r="EZ690" s="323"/>
      <c r="FA690" s="323"/>
      <c r="FB690" s="323"/>
      <c r="FC690" s="323"/>
      <c r="FD690" s="323"/>
      <c r="FE690" s="323"/>
      <c r="FF690" s="323"/>
      <c r="FG690" s="323"/>
      <c r="FH690" s="323"/>
      <c r="FI690" s="323"/>
      <c r="FJ690" s="325"/>
      <c r="FK690" s="323"/>
      <c r="FL690" s="323"/>
      <c r="FM690" s="323"/>
      <c r="FN690" s="323"/>
      <c r="FO690" s="323"/>
      <c r="FP690" s="323"/>
      <c r="FQ690" s="323"/>
      <c r="FR690" s="323"/>
      <c r="FS690" s="323"/>
      <c r="FT690" s="323"/>
      <c r="FU690" s="323"/>
      <c r="FV690" s="323"/>
      <c r="FW690" s="323"/>
      <c r="FX690" s="323"/>
      <c r="FY690" s="323"/>
      <c r="FZ690" s="323"/>
      <c r="GA690" s="323"/>
      <c r="GB690" s="323"/>
      <c r="GC690" s="323"/>
      <c r="GD690" s="323"/>
      <c r="GE690" s="323"/>
      <c r="GF690" s="323"/>
      <c r="GG690" s="323"/>
      <c r="GH690" s="323"/>
      <c r="GI690" s="323"/>
      <c r="GJ690" s="323"/>
      <c r="GK690" s="323"/>
      <c r="GL690" s="323"/>
      <c r="GM690" s="323"/>
      <c r="GN690" s="323"/>
      <c r="GO690" s="323"/>
      <c r="GP690" s="323"/>
      <c r="GQ690" s="323"/>
      <c r="GR690" s="323"/>
      <c r="GS690" s="323"/>
      <c r="GT690" s="323"/>
      <c r="GU690" s="323"/>
      <c r="GV690" s="323"/>
      <c r="GW690" s="323"/>
      <c r="GX690" s="323"/>
      <c r="GY690" s="323"/>
      <c r="GZ690" s="323"/>
      <c r="HA690" s="323"/>
      <c r="HB690" s="323"/>
      <c r="HC690" s="323"/>
      <c r="HD690" s="323"/>
      <c r="HE690" s="323"/>
      <c r="HF690" s="323"/>
      <c r="HG690" s="323"/>
      <c r="HH690" s="323"/>
      <c r="HI690" s="323"/>
      <c r="HJ690" s="323"/>
      <c r="HK690" s="323"/>
      <c r="HL690" s="323"/>
      <c r="HM690" s="323"/>
      <c r="HN690" s="323"/>
      <c r="HO690" s="323"/>
      <c r="HP690" s="323"/>
      <c r="HQ690" s="323"/>
      <c r="HR690" s="323"/>
      <c r="HS690" s="323"/>
      <c r="HT690" s="323"/>
      <c r="HU690" s="323"/>
      <c r="HV690" s="323"/>
      <c r="HW690" s="323"/>
      <c r="HX690" s="323"/>
      <c r="HY690" s="323"/>
      <c r="HZ690" s="326"/>
      <c r="IA690" s="328" t="s">
        <v>838</v>
      </c>
      <c r="IB690" s="328"/>
      <c r="IC690" s="328"/>
      <c r="ID690" s="323">
        <f>+FISC!Z909</f>
        <v>0</v>
      </c>
      <c r="IE690" s="279">
        <f>SUM(CQ690:CV690)</f>
        <v>0</v>
      </c>
      <c r="IF690" s="279">
        <f>SUM(CW690:DB690)</f>
        <v>0</v>
      </c>
      <c r="IG690" s="323">
        <f>SUM(CQ690:DB690)</f>
        <v>0</v>
      </c>
      <c r="IH690" s="279">
        <f>+SUM(DC690:DH690)</f>
        <v>0</v>
      </c>
      <c r="II690" s="279">
        <f>+SUM(DI690:DN690)</f>
        <v>0</v>
      </c>
      <c r="IJ690" s="323">
        <f>IH690+II690</f>
        <v>0</v>
      </c>
      <c r="IK690" s="279">
        <v>0</v>
      </c>
      <c r="IL690" s="279">
        <f>SUM(DU690:DZ690)</f>
        <v>0</v>
      </c>
      <c r="IM690" s="323">
        <f t="shared" si="503"/>
        <v>0</v>
      </c>
      <c r="IN690" s="454"/>
      <c r="IO690" s="327"/>
      <c r="IP690" s="323">
        <f>FISC!AC909</f>
        <v>0</v>
      </c>
      <c r="IQ690" s="279">
        <f t="shared" ref="IQ690:IQ699" si="677">SUM(EM690:ER690)</f>
        <v>0</v>
      </c>
      <c r="IR690" s="279">
        <f t="shared" ref="IR690:IR700" si="678">SUM(ES690:EX690)</f>
        <v>0</v>
      </c>
      <c r="IS690" s="323">
        <f t="shared" si="590"/>
        <v>0</v>
      </c>
      <c r="IT690" s="454"/>
      <c r="IU690" s="327"/>
      <c r="IV690" s="323">
        <f>+FISC!AE909</f>
        <v>0</v>
      </c>
      <c r="IW690" s="279">
        <f>IY690*JU690</f>
        <v>0</v>
      </c>
      <c r="IX690" s="279">
        <f t="shared" ref="IX690:IX705" si="679">IY690-IW690</f>
        <v>0</v>
      </c>
      <c r="IY690" s="323">
        <f>+FISC!AF909</f>
        <v>0</v>
      </c>
      <c r="IZ690" s="279">
        <f t="shared" ref="IZ690:IZ695" si="680">JB690*JU690</f>
        <v>0</v>
      </c>
      <c r="JA690" s="279">
        <f t="shared" si="540"/>
        <v>0</v>
      </c>
      <c r="JB690" s="323">
        <f>+FISC!AG909</f>
        <v>0</v>
      </c>
      <c r="JC690" s="279">
        <f t="shared" ref="JC690:JC695" si="681">JE690*JU690</f>
        <v>0</v>
      </c>
      <c r="JD690" s="279">
        <f t="shared" ref="JD690:JD700" si="682">JE690-JC690</f>
        <v>0</v>
      </c>
      <c r="JE690" s="323">
        <f>+FISC!AH909</f>
        <v>0</v>
      </c>
      <c r="JF690" s="279">
        <f t="shared" ref="JF690:JF695" si="683">JH690*JU690</f>
        <v>0</v>
      </c>
      <c r="JG690" s="279">
        <f t="shared" ref="JG690:JG700" si="684">JH690-JF690</f>
        <v>0</v>
      </c>
      <c r="JH690" s="323">
        <f>+FISC!AI909</f>
        <v>0</v>
      </c>
      <c r="JI690" s="279">
        <f t="shared" si="501"/>
        <v>0</v>
      </c>
      <c r="JJ690" s="279">
        <f t="shared" ref="JJ690:JJ700" si="685">JK690-JI690</f>
        <v>0</v>
      </c>
      <c r="JK690" s="323">
        <f>+FISC!AJ909</f>
        <v>0</v>
      </c>
      <c r="JL690" s="279">
        <f t="shared" si="502"/>
        <v>0</v>
      </c>
      <c r="JM690" s="279">
        <f t="shared" ref="JM690:JM700" si="686">JN690-JL690</f>
        <v>0</v>
      </c>
      <c r="JN690" s="323">
        <f>+FISC!AK909</f>
        <v>0</v>
      </c>
      <c r="JO690" s="323"/>
      <c r="KU690" s="326"/>
      <c r="KV690" s="327"/>
    </row>
    <row r="691" spans="1:314" hidden="1">
      <c r="A691" s="279"/>
      <c r="D691" s="657" t="s">
        <v>776</v>
      </c>
      <c r="E691" s="323"/>
      <c r="F691" s="323"/>
      <c r="G691" s="323"/>
      <c r="H691" s="323"/>
      <c r="I691" s="323"/>
      <c r="J691" s="323"/>
      <c r="K691" s="323"/>
      <c r="L691" s="323"/>
      <c r="M691" s="323"/>
      <c r="N691" s="323"/>
      <c r="O691" s="323"/>
      <c r="P691" s="323"/>
      <c r="Q691" s="323"/>
      <c r="R691" s="323"/>
      <c r="S691" s="323"/>
      <c r="T691" s="323"/>
      <c r="U691" s="323"/>
      <c r="V691" s="323"/>
      <c r="W691" s="323"/>
      <c r="X691" s="323"/>
      <c r="Y691" s="323"/>
      <c r="Z691" s="323"/>
      <c r="AA691" s="323"/>
      <c r="AB691" s="323"/>
      <c r="AC691" s="323"/>
      <c r="AD691" s="323"/>
      <c r="AE691" s="323"/>
      <c r="AF691" s="323"/>
      <c r="AG691" s="323"/>
      <c r="AH691" s="323"/>
      <c r="AI691" s="323"/>
      <c r="AJ691" s="323"/>
      <c r="AK691" s="323"/>
      <c r="AL691" s="323"/>
      <c r="AM691" s="323"/>
      <c r="AN691" s="323"/>
      <c r="AO691" s="323"/>
      <c r="AP691" s="323"/>
      <c r="AQ691" s="323"/>
      <c r="AR691" s="323"/>
      <c r="AS691" s="323"/>
      <c r="AT691" s="323"/>
      <c r="AU691" s="323"/>
      <c r="AV691" s="323"/>
      <c r="AW691" s="323"/>
      <c r="AX691" s="323"/>
      <c r="AY691" s="323"/>
      <c r="AZ691" s="323"/>
      <c r="BA691" s="323"/>
      <c r="BB691" s="323"/>
      <c r="BC691" s="323"/>
      <c r="BD691" s="323"/>
      <c r="BE691" s="323"/>
      <c r="BF691" s="323"/>
      <c r="BG691" s="323"/>
      <c r="BH691" s="323"/>
      <c r="BI691" s="323"/>
      <c r="BJ691" s="323"/>
      <c r="BK691" s="323"/>
      <c r="BL691" s="323"/>
      <c r="BM691" s="323"/>
      <c r="BN691" s="323"/>
      <c r="BO691" s="323"/>
      <c r="BP691" s="323"/>
      <c r="BQ691" s="323"/>
      <c r="BR691" s="323"/>
      <c r="BS691" s="323"/>
      <c r="BT691" s="323"/>
      <c r="BU691" s="323"/>
      <c r="BV691" s="323"/>
      <c r="BW691" s="323"/>
      <c r="BX691" s="323"/>
      <c r="BY691" s="323"/>
      <c r="BZ691" s="323"/>
      <c r="CA691" s="323"/>
      <c r="CB691" s="323"/>
      <c r="CC691" s="323"/>
      <c r="CD691" s="323"/>
      <c r="CE691" s="324"/>
      <c r="CF691" s="323"/>
      <c r="CG691" s="323"/>
      <c r="CH691" s="323"/>
      <c r="CI691" s="323"/>
      <c r="CJ691" s="323"/>
      <c r="CK691" s="323"/>
      <c r="CL691" s="323"/>
      <c r="CM691" s="323"/>
      <c r="CN691" s="323"/>
      <c r="CO691" s="323"/>
      <c r="CP691" s="325"/>
      <c r="CQ691" s="323"/>
      <c r="CR691" s="323"/>
      <c r="CS691" s="323"/>
      <c r="CT691" s="323"/>
      <c r="CU691" s="323"/>
      <c r="CV691" s="323"/>
      <c r="CW691" s="323"/>
      <c r="CX691" s="323"/>
      <c r="CY691" s="323"/>
      <c r="CZ691" s="323"/>
      <c r="DA691" s="323"/>
      <c r="DB691" s="1269"/>
      <c r="DC691" s="608">
        <f>+DC629-DC584</f>
        <v>0</v>
      </c>
      <c r="DD691" s="608"/>
      <c r="DE691" s="608"/>
      <c r="DF691" s="608"/>
      <c r="DG691" s="608"/>
      <c r="DH691" s="608"/>
      <c r="DI691" s="608"/>
      <c r="DJ691" s="608"/>
      <c r="DK691" s="608"/>
      <c r="DL691" s="608"/>
      <c r="DM691" s="608"/>
      <c r="DN691" s="642"/>
      <c r="DO691" s="608"/>
      <c r="DP691" s="608"/>
      <c r="DQ691" s="608"/>
      <c r="DR691" s="608"/>
      <c r="DS691" s="608"/>
      <c r="DT691" s="608"/>
      <c r="DU691" s="608"/>
      <c r="DV691" s="608"/>
      <c r="DW691" s="608"/>
      <c r="DX691" s="608"/>
      <c r="DY691" s="608"/>
      <c r="DZ691" s="325"/>
      <c r="EA691" s="323"/>
      <c r="EB691" s="608"/>
      <c r="EC691" s="608"/>
      <c r="ED691" s="608"/>
      <c r="EE691" s="608"/>
      <c r="EF691" s="608"/>
      <c r="EG691" s="608"/>
      <c r="EH691" s="608"/>
      <c r="EI691" s="608"/>
      <c r="EJ691" s="608"/>
      <c r="EK691" s="608"/>
      <c r="EL691" s="642"/>
      <c r="EM691" s="608"/>
      <c r="EN691" s="608"/>
      <c r="EO691" s="608"/>
      <c r="EP691" s="608"/>
      <c r="EQ691" s="608"/>
      <c r="ER691" s="608"/>
      <c r="ES691" s="608"/>
      <c r="ET691" s="608"/>
      <c r="EU691" s="608"/>
      <c r="EV691" s="608"/>
      <c r="EW691" s="608"/>
      <c r="EX691" s="642"/>
      <c r="EY691" s="608"/>
      <c r="EZ691" s="608"/>
      <c r="FA691" s="608"/>
      <c r="FB691" s="608"/>
      <c r="FC691" s="608"/>
      <c r="FD691" s="608"/>
      <c r="FE691" s="608"/>
      <c r="FF691" s="608"/>
      <c r="FG691" s="608"/>
      <c r="FH691" s="608"/>
      <c r="FI691" s="608"/>
      <c r="FJ691" s="642"/>
      <c r="FK691" s="608"/>
      <c r="FL691" s="608"/>
      <c r="FM691" s="608"/>
      <c r="FN691" s="608"/>
      <c r="FO691" s="608"/>
      <c r="FP691" s="608"/>
      <c r="FQ691" s="608"/>
      <c r="FR691" s="608"/>
      <c r="FS691" s="608"/>
      <c r="FT691" s="608"/>
      <c r="FU691" s="608"/>
      <c r="FV691" s="608"/>
      <c r="FW691" s="608"/>
      <c r="FX691" s="608"/>
      <c r="FY691" s="608"/>
      <c r="FZ691" s="608"/>
      <c r="GA691" s="608"/>
      <c r="GB691" s="608"/>
      <c r="GC691" s="608"/>
      <c r="GD691" s="608"/>
      <c r="GE691" s="608"/>
      <c r="GF691" s="608"/>
      <c r="GG691" s="608"/>
      <c r="GH691" s="608"/>
      <c r="GI691" s="608"/>
      <c r="GJ691" s="608"/>
      <c r="GK691" s="608"/>
      <c r="GL691" s="608"/>
      <c r="GM691" s="608"/>
      <c r="GN691" s="608"/>
      <c r="GO691" s="608"/>
      <c r="GP691" s="608"/>
      <c r="GQ691" s="608"/>
      <c r="GR691" s="608"/>
      <c r="GS691" s="608"/>
      <c r="GT691" s="608"/>
      <c r="GU691" s="608"/>
      <c r="GV691" s="608"/>
      <c r="GW691" s="608"/>
      <c r="GX691" s="608"/>
      <c r="GY691" s="608"/>
      <c r="GZ691" s="608"/>
      <c r="HA691" s="608"/>
      <c r="HB691" s="608"/>
      <c r="HC691" s="608"/>
      <c r="HD691" s="608"/>
      <c r="HE691" s="608"/>
      <c r="HF691" s="608"/>
      <c r="HG691" s="608"/>
      <c r="HH691" s="608"/>
      <c r="HI691" s="608"/>
      <c r="HJ691" s="608"/>
      <c r="HK691" s="608"/>
      <c r="HL691" s="608"/>
      <c r="HM691" s="608"/>
      <c r="HN691" s="608"/>
      <c r="HO691" s="608"/>
      <c r="HP691" s="608"/>
      <c r="HQ691" s="608"/>
      <c r="HR691" s="608"/>
      <c r="HS691" s="608"/>
      <c r="HT691" s="608"/>
      <c r="HU691" s="608"/>
      <c r="HV691" s="608"/>
      <c r="HW691" s="608"/>
      <c r="HX691" s="608"/>
      <c r="HY691" s="608"/>
      <c r="HZ691" s="326"/>
      <c r="IA691" s="657" t="s">
        <v>776</v>
      </c>
      <c r="IB691" s="657"/>
      <c r="IC691" s="657"/>
      <c r="ID691" s="323"/>
      <c r="IE691" s="608"/>
      <c r="IF691" s="608"/>
      <c r="IG691" s="323"/>
      <c r="IH691" s="608"/>
      <c r="II691" s="608"/>
      <c r="IJ691" s="323"/>
      <c r="IK691" s="608">
        <v>0</v>
      </c>
      <c r="IL691" s="608">
        <f>SUM(DU691:DZ691)</f>
        <v>0</v>
      </c>
      <c r="IM691" s="323">
        <f t="shared" si="503"/>
        <v>0</v>
      </c>
      <c r="IN691" s="608"/>
      <c r="IO691" s="608"/>
      <c r="IP691" s="323">
        <f>FISC!AC910</f>
        <v>0</v>
      </c>
      <c r="IQ691" s="279">
        <f t="shared" si="677"/>
        <v>0</v>
      </c>
      <c r="IR691" s="279">
        <f t="shared" si="678"/>
        <v>0</v>
      </c>
      <c r="IS691" s="323">
        <f t="shared" si="590"/>
        <v>0</v>
      </c>
      <c r="IT691" s="608"/>
      <c r="IU691" s="608"/>
      <c r="IV691" s="323"/>
      <c r="IW691" s="279">
        <f>IY691*JU691</f>
        <v>0</v>
      </c>
      <c r="IX691" s="279">
        <f t="shared" si="679"/>
        <v>0</v>
      </c>
      <c r="IY691" s="323"/>
      <c r="IZ691" s="279">
        <f t="shared" si="680"/>
        <v>0</v>
      </c>
      <c r="JA691" s="279">
        <f t="shared" si="540"/>
        <v>0</v>
      </c>
      <c r="JB691" s="323"/>
      <c r="JC691" s="279">
        <f t="shared" si="681"/>
        <v>0</v>
      </c>
      <c r="JD691" s="279">
        <f t="shared" si="682"/>
        <v>0</v>
      </c>
      <c r="JE691" s="323"/>
      <c r="JF691" s="279">
        <f t="shared" si="683"/>
        <v>0</v>
      </c>
      <c r="JG691" s="279">
        <f t="shared" si="684"/>
        <v>0</v>
      </c>
      <c r="JH691" s="323"/>
      <c r="JI691" s="279">
        <f t="shared" si="501"/>
        <v>0</v>
      </c>
      <c r="JJ691" s="279">
        <f t="shared" si="685"/>
        <v>0</v>
      </c>
      <c r="JK691" s="323"/>
      <c r="JL691" s="279">
        <f t="shared" si="502"/>
        <v>0</v>
      </c>
      <c r="JM691" s="279">
        <f t="shared" si="686"/>
        <v>0</v>
      </c>
      <c r="JN691" s="323"/>
      <c r="JO691" s="323"/>
      <c r="KU691" s="326"/>
      <c r="KV691" s="327"/>
    </row>
    <row r="692" spans="1:314" hidden="1">
      <c r="A692" s="279"/>
      <c r="D692" s="657" t="s">
        <v>778</v>
      </c>
      <c r="E692" s="323"/>
      <c r="F692" s="323"/>
      <c r="G692" s="323"/>
      <c r="H692" s="323"/>
      <c r="I692" s="323"/>
      <c r="J692" s="323"/>
      <c r="K692" s="323"/>
      <c r="L692" s="323"/>
      <c r="M692" s="323"/>
      <c r="N692" s="323"/>
      <c r="O692" s="323"/>
      <c r="P692" s="323"/>
      <c r="Q692" s="323"/>
      <c r="R692" s="323"/>
      <c r="S692" s="323"/>
      <c r="T692" s="323"/>
      <c r="U692" s="323"/>
      <c r="V692" s="323"/>
      <c r="W692" s="323"/>
      <c r="X692" s="323"/>
      <c r="Y692" s="323"/>
      <c r="Z692" s="323"/>
      <c r="AA692" s="323"/>
      <c r="AB692" s="323"/>
      <c r="AC692" s="323"/>
      <c r="AD692" s="323"/>
      <c r="AE692" s="323"/>
      <c r="AF692" s="323"/>
      <c r="AG692" s="323"/>
      <c r="AH692" s="323"/>
      <c r="AI692" s="323"/>
      <c r="AJ692" s="323"/>
      <c r="AK692" s="323"/>
      <c r="AL692" s="323"/>
      <c r="AM692" s="323"/>
      <c r="AN692" s="323"/>
      <c r="AO692" s="323"/>
      <c r="AP692" s="323"/>
      <c r="AQ692" s="323"/>
      <c r="AR692" s="323"/>
      <c r="AS692" s="323"/>
      <c r="AT692" s="323"/>
      <c r="AU692" s="323"/>
      <c r="AV692" s="323"/>
      <c r="AW692" s="323"/>
      <c r="AX692" s="323"/>
      <c r="AY692" s="323"/>
      <c r="AZ692" s="323"/>
      <c r="BA692" s="323"/>
      <c r="BB692" s="323"/>
      <c r="BC692" s="323"/>
      <c r="BD692" s="323"/>
      <c r="BE692" s="323"/>
      <c r="BF692" s="323"/>
      <c r="BG692" s="323"/>
      <c r="BH692" s="323"/>
      <c r="BI692" s="323"/>
      <c r="BJ692" s="323"/>
      <c r="BK692" s="323"/>
      <c r="BL692" s="323"/>
      <c r="BM692" s="323"/>
      <c r="BN692" s="323"/>
      <c r="BO692" s="323"/>
      <c r="BP692" s="323"/>
      <c r="BQ692" s="323"/>
      <c r="BR692" s="323"/>
      <c r="BS692" s="323"/>
      <c r="BT692" s="323"/>
      <c r="BU692" s="323"/>
      <c r="BV692" s="323"/>
      <c r="BW692" s="323"/>
      <c r="BX692" s="323"/>
      <c r="BY692" s="323"/>
      <c r="BZ692" s="323"/>
      <c r="CA692" s="323"/>
      <c r="CB692" s="323"/>
      <c r="CC692" s="323"/>
      <c r="CD692" s="323"/>
      <c r="CE692" s="324"/>
      <c r="CF692" s="323"/>
      <c r="CG692" s="323"/>
      <c r="CH692" s="323"/>
      <c r="CI692" s="323"/>
      <c r="CJ692" s="323"/>
      <c r="CK692" s="323"/>
      <c r="CL692" s="323"/>
      <c r="CM692" s="323"/>
      <c r="CN692" s="323"/>
      <c r="CO692" s="323"/>
      <c r="CP692" s="325"/>
      <c r="CQ692" s="323"/>
      <c r="CR692" s="323"/>
      <c r="CS692" s="323"/>
      <c r="CT692" s="323"/>
      <c r="CU692" s="323"/>
      <c r="CV692" s="323"/>
      <c r="CW692" s="323"/>
      <c r="CX692" s="323"/>
      <c r="CY692" s="323"/>
      <c r="CZ692" s="323"/>
      <c r="DA692" s="323"/>
      <c r="DB692" s="1269"/>
      <c r="DC692" s="608"/>
      <c r="DD692" s="608"/>
      <c r="DE692" s="608"/>
      <c r="DF692" s="608"/>
      <c r="DG692" s="608"/>
      <c r="DH692" s="608"/>
      <c r="DI692" s="608"/>
      <c r="DJ692" s="608"/>
      <c r="DK692" s="608"/>
      <c r="DL692" s="608"/>
      <c r="DM692" s="608"/>
      <c r="DN692" s="642"/>
      <c r="DO692" s="608"/>
      <c r="DP692" s="608"/>
      <c r="DQ692" s="608"/>
      <c r="DR692" s="608"/>
      <c r="DS692" s="608"/>
      <c r="DT692" s="608"/>
      <c r="DU692" s="608"/>
      <c r="DV692" s="608"/>
      <c r="DW692" s="608"/>
      <c r="DX692" s="608"/>
      <c r="DY692" s="608"/>
      <c r="DZ692" s="642"/>
      <c r="EA692" s="608"/>
      <c r="EB692" s="608"/>
      <c r="EC692" s="608"/>
      <c r="ED692" s="608"/>
      <c r="EE692" s="608"/>
      <c r="EF692" s="608"/>
      <c r="EG692" s="608"/>
      <c r="EH692" s="608"/>
      <c r="EI692" s="608"/>
      <c r="EJ692" s="608"/>
      <c r="EK692" s="608"/>
      <c r="EL692" s="642"/>
      <c r="EM692" s="608"/>
      <c r="EN692" s="608"/>
      <c r="EO692" s="608"/>
      <c r="EP692" s="608"/>
      <c r="EQ692" s="608"/>
      <c r="ER692" s="608"/>
      <c r="ES692" s="608"/>
      <c r="ET692" s="608"/>
      <c r="EU692" s="608"/>
      <c r="EV692" s="608"/>
      <c r="EW692" s="608"/>
      <c r="EX692" s="642"/>
      <c r="EY692" s="608"/>
      <c r="EZ692" s="608"/>
      <c r="FA692" s="608"/>
      <c r="FB692" s="608"/>
      <c r="FC692" s="608"/>
      <c r="FD692" s="608"/>
      <c r="FE692" s="608"/>
      <c r="FF692" s="608"/>
      <c r="FG692" s="608"/>
      <c r="FH692" s="608"/>
      <c r="FI692" s="608"/>
      <c r="FJ692" s="642"/>
      <c r="FK692" s="608"/>
      <c r="FL692" s="608"/>
      <c r="FM692" s="608"/>
      <c r="FN692" s="608"/>
      <c r="FO692" s="608"/>
      <c r="FP692" s="608"/>
      <c r="FQ692" s="608"/>
      <c r="FR692" s="608"/>
      <c r="FS692" s="608"/>
      <c r="FT692" s="608"/>
      <c r="FU692" s="608"/>
      <c r="FV692" s="608"/>
      <c r="FW692" s="608"/>
      <c r="FX692" s="608"/>
      <c r="FY692" s="608"/>
      <c r="FZ692" s="608"/>
      <c r="GA692" s="608"/>
      <c r="GB692" s="608"/>
      <c r="GC692" s="608"/>
      <c r="GD692" s="608"/>
      <c r="GE692" s="608"/>
      <c r="GF692" s="608"/>
      <c r="GG692" s="608"/>
      <c r="GH692" s="608"/>
      <c r="GI692" s="608"/>
      <c r="GJ692" s="608"/>
      <c r="GK692" s="608"/>
      <c r="GL692" s="608"/>
      <c r="GM692" s="608"/>
      <c r="GN692" s="608"/>
      <c r="GO692" s="608"/>
      <c r="GP692" s="608"/>
      <c r="GQ692" s="608"/>
      <c r="GR692" s="608"/>
      <c r="GS692" s="608"/>
      <c r="GT692" s="608"/>
      <c r="GU692" s="608"/>
      <c r="GV692" s="608"/>
      <c r="GW692" s="608"/>
      <c r="GX692" s="608"/>
      <c r="GY692" s="608"/>
      <c r="GZ692" s="608"/>
      <c r="HA692" s="608"/>
      <c r="HB692" s="608"/>
      <c r="HC692" s="608"/>
      <c r="HD692" s="608"/>
      <c r="HE692" s="608"/>
      <c r="HF692" s="608"/>
      <c r="HG692" s="608"/>
      <c r="HH692" s="608"/>
      <c r="HI692" s="608"/>
      <c r="HJ692" s="608"/>
      <c r="HK692" s="608"/>
      <c r="HL692" s="608"/>
      <c r="HM692" s="608"/>
      <c r="HN692" s="608"/>
      <c r="HO692" s="608"/>
      <c r="HP692" s="608"/>
      <c r="HQ692" s="608"/>
      <c r="HR692" s="608"/>
      <c r="HS692" s="608"/>
      <c r="HT692" s="608"/>
      <c r="HU692" s="608"/>
      <c r="HV692" s="608"/>
      <c r="HW692" s="608"/>
      <c r="HX692" s="608"/>
      <c r="HY692" s="608"/>
      <c r="HZ692" s="326"/>
      <c r="IA692" s="657" t="s">
        <v>778</v>
      </c>
      <c r="IB692" s="657"/>
      <c r="IC692" s="657"/>
      <c r="ID692" s="323"/>
      <c r="IE692" s="608"/>
      <c r="IF692" s="608"/>
      <c r="IG692" s="323"/>
      <c r="IH692" s="608"/>
      <c r="II692" s="608"/>
      <c r="IJ692" s="323"/>
      <c r="IK692" s="608">
        <v>0</v>
      </c>
      <c r="IL692" s="608">
        <f>SUM(DU692:DZ692)</f>
        <v>0</v>
      </c>
      <c r="IM692" s="323">
        <f t="shared" si="503"/>
        <v>0</v>
      </c>
      <c r="IN692" s="608"/>
      <c r="IO692" s="608"/>
      <c r="IP692" s="323">
        <f>FISC!AC911</f>
        <v>0</v>
      </c>
      <c r="IQ692" s="279">
        <f t="shared" si="677"/>
        <v>0</v>
      </c>
      <c r="IR692" s="279">
        <f t="shared" si="678"/>
        <v>0</v>
      </c>
      <c r="IS692" s="323">
        <f t="shared" si="590"/>
        <v>0</v>
      </c>
      <c r="IT692" s="608"/>
      <c r="IU692" s="608"/>
      <c r="IV692" s="323"/>
      <c r="IW692" s="279">
        <f>IY692*JU692</f>
        <v>0</v>
      </c>
      <c r="IX692" s="279">
        <f t="shared" si="679"/>
        <v>0</v>
      </c>
      <c r="IY692" s="323"/>
      <c r="IZ692" s="279">
        <f t="shared" si="680"/>
        <v>0</v>
      </c>
      <c r="JA692" s="279">
        <f t="shared" si="540"/>
        <v>0</v>
      </c>
      <c r="JB692" s="323"/>
      <c r="JC692" s="279">
        <f t="shared" si="681"/>
        <v>0</v>
      </c>
      <c r="JD692" s="279">
        <f t="shared" si="682"/>
        <v>0</v>
      </c>
      <c r="JE692" s="323"/>
      <c r="JF692" s="279">
        <f t="shared" si="683"/>
        <v>0</v>
      </c>
      <c r="JG692" s="279">
        <f t="shared" si="684"/>
        <v>0</v>
      </c>
      <c r="JH692" s="323"/>
      <c r="JI692" s="279">
        <f>JK692*JX692</f>
        <v>0</v>
      </c>
      <c r="JJ692" s="279">
        <f t="shared" si="685"/>
        <v>0</v>
      </c>
      <c r="JK692" s="323"/>
      <c r="JL692" s="279">
        <f>JN692*KA692</f>
        <v>0</v>
      </c>
      <c r="JM692" s="279">
        <f t="shared" si="686"/>
        <v>0</v>
      </c>
      <c r="JN692" s="323"/>
      <c r="JO692" s="323"/>
      <c r="KU692" s="326"/>
      <c r="KV692" s="327"/>
    </row>
    <row r="693" spans="1:314" hidden="1">
      <c r="A693" s="279"/>
      <c r="D693" s="328" t="str">
        <f>+FISC!D912</f>
        <v>o/w: Strategic reserves</v>
      </c>
      <c r="E693" s="323"/>
      <c r="F693" s="323"/>
      <c r="G693" s="323"/>
      <c r="H693" s="323"/>
      <c r="I693" s="323"/>
      <c r="J693" s="323"/>
      <c r="K693" s="323"/>
      <c r="L693" s="323"/>
      <c r="M693" s="323"/>
      <c r="N693" s="323"/>
      <c r="O693" s="323"/>
      <c r="P693" s="323"/>
      <c r="Q693" s="323"/>
      <c r="R693" s="323"/>
      <c r="S693" s="323"/>
      <c r="T693" s="323"/>
      <c r="U693" s="323"/>
      <c r="V693" s="323"/>
      <c r="W693" s="323"/>
      <c r="X693" s="323"/>
      <c r="Y693" s="323"/>
      <c r="Z693" s="323"/>
      <c r="AA693" s="323"/>
      <c r="AB693" s="323"/>
      <c r="AC693" s="323"/>
      <c r="AD693" s="323"/>
      <c r="AE693" s="323"/>
      <c r="AF693" s="323"/>
      <c r="AG693" s="323"/>
      <c r="AH693" s="323"/>
      <c r="AI693" s="323"/>
      <c r="AJ693" s="323"/>
      <c r="AK693" s="323"/>
      <c r="AL693" s="323"/>
      <c r="AM693" s="323"/>
      <c r="AN693" s="323"/>
      <c r="AO693" s="323"/>
      <c r="AP693" s="323"/>
      <c r="AQ693" s="323"/>
      <c r="AR693" s="323"/>
      <c r="AS693" s="323"/>
      <c r="AT693" s="323"/>
      <c r="AU693" s="323"/>
      <c r="AV693" s="323"/>
      <c r="AW693" s="323"/>
      <c r="AX693" s="323"/>
      <c r="AY693" s="323"/>
      <c r="AZ693" s="323"/>
      <c r="BA693" s="323"/>
      <c r="BB693" s="323"/>
      <c r="BC693" s="323"/>
      <c r="BD693" s="323"/>
      <c r="BE693" s="323"/>
      <c r="BF693" s="323"/>
      <c r="BG693" s="323"/>
      <c r="BH693" s="323"/>
      <c r="BI693" s="323"/>
      <c r="BJ693" s="323"/>
      <c r="BK693" s="323"/>
      <c r="BL693" s="323"/>
      <c r="BM693" s="323"/>
      <c r="BN693" s="323"/>
      <c r="BO693" s="323"/>
      <c r="BP693" s="323"/>
      <c r="BQ693" s="323"/>
      <c r="BR693" s="323"/>
      <c r="BS693" s="323"/>
      <c r="BT693" s="323"/>
      <c r="BU693" s="323"/>
      <c r="BV693" s="323"/>
      <c r="BW693" s="323"/>
      <c r="BX693" s="323"/>
      <c r="BY693" s="323"/>
      <c r="BZ693" s="323"/>
      <c r="CA693" s="323"/>
      <c r="CB693" s="323"/>
      <c r="CC693" s="323"/>
      <c r="CD693" s="323"/>
      <c r="CE693" s="324">
        <v>0</v>
      </c>
      <c r="CF693" s="323">
        <v>0</v>
      </c>
      <c r="CG693" s="323">
        <v>0</v>
      </c>
      <c r="CH693" s="323">
        <v>0</v>
      </c>
      <c r="CI693" s="323">
        <v>0</v>
      </c>
      <c r="CJ693" s="323">
        <v>0</v>
      </c>
      <c r="CK693" s="323">
        <v>0</v>
      </c>
      <c r="CL693" s="323">
        <v>0</v>
      </c>
      <c r="CM693" s="323">
        <v>0</v>
      </c>
      <c r="CN693" s="323">
        <v>0</v>
      </c>
      <c r="CO693" s="323">
        <v>0</v>
      </c>
      <c r="CP693" s="325">
        <v>0</v>
      </c>
      <c r="CQ693" s="323">
        <v>0</v>
      </c>
      <c r="CR693" s="323">
        <v>0</v>
      </c>
      <c r="CS693" s="323">
        <v>0</v>
      </c>
      <c r="CT693" s="323">
        <v>0</v>
      </c>
      <c r="CU693" s="323">
        <v>0</v>
      </c>
      <c r="CV693" s="323">
        <v>0</v>
      </c>
      <c r="CW693" s="323">
        <v>0</v>
      </c>
      <c r="CX693" s="323">
        <v>0</v>
      </c>
      <c r="CY693" s="323">
        <v>0</v>
      </c>
      <c r="CZ693" s="323">
        <v>0</v>
      </c>
      <c r="DA693" s="323">
        <v>0</v>
      </c>
      <c r="DB693" s="1269">
        <v>0</v>
      </c>
      <c r="DC693" s="323"/>
      <c r="DD693" s="323"/>
      <c r="DE693" s="323"/>
      <c r="DF693" s="323"/>
      <c r="DG693" s="323"/>
      <c r="DH693" s="323"/>
      <c r="DI693" s="323"/>
      <c r="DJ693" s="323"/>
      <c r="DK693" s="323"/>
      <c r="DL693" s="323"/>
      <c r="DM693" s="323"/>
      <c r="DN693" s="325"/>
      <c r="DO693" s="323">
        <f t="shared" ref="DO693:EX693" si="687">-DO214</f>
        <v>-0.73974856200000005</v>
      </c>
      <c r="DP693" s="323">
        <f t="shared" si="687"/>
        <v>-0.82919036700000004</v>
      </c>
      <c r="DQ693" s="323">
        <f t="shared" si="687"/>
        <v>-0.87094658000000003</v>
      </c>
      <c r="DR693" s="323">
        <f t="shared" si="687"/>
        <v>-0.70157835199999996</v>
      </c>
      <c r="DS693" s="323">
        <f t="shared" si="687"/>
        <v>-0.821549474</v>
      </c>
      <c r="DT693" s="323">
        <f t="shared" si="687"/>
        <v>-1.0244940810000001</v>
      </c>
      <c r="DU693" s="323">
        <f t="shared" si="687"/>
        <v>-1.1159677509999999</v>
      </c>
      <c r="DV693" s="323">
        <f t="shared" si="687"/>
        <v>-0.74446658200000004</v>
      </c>
      <c r="DW693" s="323">
        <f t="shared" si="687"/>
        <v>-0.91216096800000002</v>
      </c>
      <c r="DX693" s="323">
        <f t="shared" si="687"/>
        <v>-0.79233381999999997</v>
      </c>
      <c r="DY693" s="323">
        <f t="shared" si="687"/>
        <v>-0.80858132599999999</v>
      </c>
      <c r="DZ693" s="642">
        <f t="shared" si="687"/>
        <v>-0.88013021899999999</v>
      </c>
      <c r="EA693" s="608">
        <f t="shared" si="687"/>
        <v>-0.77951761200000003</v>
      </c>
      <c r="EB693" s="323">
        <f t="shared" si="687"/>
        <v>-0.85310538599999997</v>
      </c>
      <c r="EC693" s="323">
        <f t="shared" si="687"/>
        <v>-0.85846891700000005</v>
      </c>
      <c r="ED693" s="323">
        <f t="shared" si="687"/>
        <v>-0.81156610799999995</v>
      </c>
      <c r="EE693" s="323">
        <f t="shared" si="687"/>
        <v>-0.89398497700000001</v>
      </c>
      <c r="EF693" s="323">
        <f t="shared" si="687"/>
        <v>-0.90503010500000003</v>
      </c>
      <c r="EG693" s="323">
        <f t="shared" si="687"/>
        <v>-0.74971463000000005</v>
      </c>
      <c r="EH693" s="323">
        <f t="shared" si="687"/>
        <v>-0.81065723899999997</v>
      </c>
      <c r="EI693" s="323">
        <f t="shared" si="687"/>
        <v>-0.88320536900000002</v>
      </c>
      <c r="EJ693" s="323">
        <f t="shared" si="687"/>
        <v>-0.77698077300000001</v>
      </c>
      <c r="EK693" s="323">
        <f t="shared" si="687"/>
        <v>-0.89142172200000003</v>
      </c>
      <c r="EL693" s="325">
        <f t="shared" si="687"/>
        <v>-0.97563938900000002</v>
      </c>
      <c r="EM693" s="323">
        <f t="shared" si="687"/>
        <v>-0.83848702600000002</v>
      </c>
      <c r="EN693" s="323">
        <f t="shared" si="687"/>
        <v>-1.013353685</v>
      </c>
      <c r="EO693" s="323">
        <f t="shared" si="687"/>
        <v>-0.94132519000000003</v>
      </c>
      <c r="EP693" s="323">
        <f t="shared" si="687"/>
        <v>-0.84642424299999997</v>
      </c>
      <c r="EQ693" s="323">
        <f t="shared" si="687"/>
        <v>-0.88327053200000005</v>
      </c>
      <c r="ER693" s="323">
        <f t="shared" si="687"/>
        <v>-0.89122966599999998</v>
      </c>
      <c r="ES693" s="323">
        <f t="shared" si="687"/>
        <v>-0.78034427100000003</v>
      </c>
      <c r="ET693" s="323">
        <f t="shared" si="687"/>
        <v>-0.93406694999999995</v>
      </c>
      <c r="EU693" s="323">
        <f t="shared" si="687"/>
        <v>-0.93166332100000004</v>
      </c>
      <c r="EV693" s="323">
        <f t="shared" si="687"/>
        <v>-0.90874494699999997</v>
      </c>
      <c r="EW693" s="323">
        <f t="shared" si="687"/>
        <v>-1.0802803459999999</v>
      </c>
      <c r="EX693" s="325">
        <f t="shared" si="687"/>
        <v>-0.93492535499999996</v>
      </c>
      <c r="EY693" s="323"/>
      <c r="EZ693" s="323"/>
      <c r="FA693" s="323"/>
      <c r="FB693" s="323"/>
      <c r="FC693" s="323"/>
      <c r="FD693" s="323"/>
      <c r="FE693" s="323"/>
      <c r="FF693" s="323"/>
      <c r="FG693" s="323"/>
      <c r="FH693" s="323"/>
      <c r="FI693" s="323"/>
      <c r="FJ693" s="325"/>
      <c r="FK693" s="323"/>
      <c r="FL693" s="323"/>
      <c r="FM693" s="323"/>
      <c r="FN693" s="323"/>
      <c r="FO693" s="323"/>
      <c r="FP693" s="323"/>
      <c r="FQ693" s="323"/>
      <c r="FR693" s="323"/>
      <c r="FS693" s="323"/>
      <c r="FT693" s="323"/>
      <c r="FU693" s="323"/>
      <c r="FV693" s="323"/>
      <c r="FW693" s="323"/>
      <c r="FX693" s="323"/>
      <c r="FY693" s="323"/>
      <c r="FZ693" s="323"/>
      <c r="GA693" s="323"/>
      <c r="GB693" s="323"/>
      <c r="GC693" s="323"/>
      <c r="GD693" s="323"/>
      <c r="GE693" s="323"/>
      <c r="GF693" s="323"/>
      <c r="GG693" s="323"/>
      <c r="GH693" s="323"/>
      <c r="GI693" s="323"/>
      <c r="GJ693" s="323"/>
      <c r="GK693" s="323"/>
      <c r="GL693" s="323"/>
      <c r="GM693" s="323"/>
      <c r="GN693" s="323"/>
      <c r="GO693" s="323"/>
      <c r="GP693" s="323"/>
      <c r="GQ693" s="323"/>
      <c r="GR693" s="323"/>
      <c r="GS693" s="323"/>
      <c r="GT693" s="323"/>
      <c r="GU693" s="323"/>
      <c r="GV693" s="323"/>
      <c r="GW693" s="323"/>
      <c r="GX693" s="323"/>
      <c r="GY693" s="323"/>
      <c r="GZ693" s="323"/>
      <c r="HA693" s="323"/>
      <c r="HB693" s="323"/>
      <c r="HC693" s="323"/>
      <c r="HD693" s="323"/>
      <c r="HE693" s="323"/>
      <c r="HF693" s="323"/>
      <c r="HG693" s="323"/>
      <c r="HH693" s="323"/>
      <c r="HI693" s="323"/>
      <c r="HJ693" s="323"/>
      <c r="HK693" s="323"/>
      <c r="HL693" s="323"/>
      <c r="HM693" s="323"/>
      <c r="HN693" s="323"/>
      <c r="HO693" s="323"/>
      <c r="HP693" s="323"/>
      <c r="HQ693" s="323"/>
      <c r="HR693" s="323"/>
      <c r="HS693" s="323"/>
      <c r="HT693" s="323"/>
      <c r="HU693" s="323"/>
      <c r="HV693" s="323"/>
      <c r="HW693" s="323"/>
      <c r="HX693" s="323"/>
      <c r="HY693" s="323"/>
      <c r="HZ693" s="326"/>
      <c r="IA693" s="328" t="s">
        <v>839</v>
      </c>
      <c r="IB693" s="328"/>
      <c r="IC693" s="328"/>
      <c r="ID693" s="323">
        <f>+FISC!Z912</f>
        <v>0</v>
      </c>
      <c r="IE693" s="279">
        <f>SUM(CQ693:CV693)</f>
        <v>0</v>
      </c>
      <c r="IF693" s="279">
        <f>SUM(CW693:DB693)</f>
        <v>0</v>
      </c>
      <c r="IG693" s="323">
        <f>SUM(CQ693:DB693)</f>
        <v>0</v>
      </c>
      <c r="IH693" s="279">
        <f>+SUM(DC693:DH693)*0-8.7/2</f>
        <v>-4.3499999999999996</v>
      </c>
      <c r="II693" s="279">
        <f>+SUM(DI693:DN693)-8.7/2</f>
        <v>-4.3499999999999996</v>
      </c>
      <c r="IJ693" s="323">
        <f t="shared" ref="IJ693:IJ700" si="688">IH693+II693</f>
        <v>-8.6999999999999993</v>
      </c>
      <c r="IK693" s="279">
        <f>+SUM(DO693:DT693)</f>
        <v>-4.9875074160000006</v>
      </c>
      <c r="IL693" s="279">
        <f>SUM(DU693:DZ693)</f>
        <v>-5.2536406659999999</v>
      </c>
      <c r="IM693" s="323">
        <f t="shared" ref="IM693:IM700" si="689">IK693+IL693</f>
        <v>-10.241148082</v>
      </c>
      <c r="IN693" s="454">
        <f>+((IP693/2))*0+1.143047465</f>
        <v>1.143047465</v>
      </c>
      <c r="IO693" s="279">
        <f>+IP693-IN693</f>
        <v>2.1898058840000005</v>
      </c>
      <c r="IP693" s="323">
        <f>FISC!AC912</f>
        <v>3.3328533490000005</v>
      </c>
      <c r="IQ693" s="279">
        <f t="shared" si="677"/>
        <v>-5.4140903420000006</v>
      </c>
      <c r="IR693" s="279">
        <f t="shared" si="678"/>
        <v>-5.57002519</v>
      </c>
      <c r="IS693" s="323">
        <f t="shared" si="590"/>
        <v>-10.984115532000001</v>
      </c>
      <c r="IT693" s="454" t="e">
        <f>(IV693/2)*0+#REF!</f>
        <v>#REF!</v>
      </c>
      <c r="IU693" s="279" t="e">
        <f>+IV693-IT693</f>
        <v>#REF!</v>
      </c>
      <c r="IV693" s="323">
        <f>+FISC!AE912</f>
        <v>-0.88282153700000165</v>
      </c>
      <c r="IW693" s="327" t="e">
        <f>IY693/2+#REF!</f>
        <v>#REF!</v>
      </c>
      <c r="IX693" s="279" t="e">
        <f t="shared" si="679"/>
        <v>#REF!</v>
      </c>
      <c r="IY693" s="323">
        <f>+FISC!AF912</f>
        <v>-3.3520687910000007</v>
      </c>
      <c r="IZ693" s="327" t="e">
        <f>JB693/2+#REF!</f>
        <v>#REF!</v>
      </c>
      <c r="JA693" s="279" t="e">
        <f t="shared" si="540"/>
        <v>#REF!</v>
      </c>
      <c r="JB693" s="323">
        <f>+FISC!AG912</f>
        <v>0</v>
      </c>
      <c r="JC693" s="327">
        <f>JE693/2</f>
        <v>-12.299850439408702</v>
      </c>
      <c r="JD693" s="279">
        <f t="shared" si="682"/>
        <v>-12.299850439408702</v>
      </c>
      <c r="JE693" s="323">
        <f>+FISC!AH912</f>
        <v>-24.599700878817405</v>
      </c>
      <c r="JF693" s="327">
        <f>JH693/2</f>
        <v>-12.782859870921291</v>
      </c>
      <c r="JG693" s="279">
        <f t="shared" si="684"/>
        <v>-12.782859870921291</v>
      </c>
      <c r="JH693" s="323">
        <f>+FISC!AI912</f>
        <v>-25.565719741842582</v>
      </c>
      <c r="JI693" s="327">
        <f>JK693/2</f>
        <v>0</v>
      </c>
      <c r="JJ693" s="279">
        <f t="shared" si="685"/>
        <v>0</v>
      </c>
      <c r="JK693" s="323">
        <f>+FISC!AJ912</f>
        <v>0</v>
      </c>
      <c r="JL693" s="327">
        <f>JN693/2</f>
        <v>0</v>
      </c>
      <c r="JM693" s="279">
        <f t="shared" si="686"/>
        <v>0</v>
      </c>
      <c r="JN693" s="323">
        <f>+FISC!AK912</f>
        <v>0</v>
      </c>
      <c r="JO693" s="323"/>
      <c r="KU693" s="326"/>
      <c r="KV693" s="327"/>
    </row>
    <row r="694" spans="1:314" hidden="1">
      <c r="A694" s="279"/>
      <c r="B694" s="96" t="s">
        <v>338</v>
      </c>
      <c r="D694" s="328" t="str">
        <f>+FISC!D914</f>
        <v>o/w: levy on imports</v>
      </c>
      <c r="E694" s="323"/>
      <c r="F694" s="323"/>
      <c r="G694" s="323"/>
      <c r="H694" s="323"/>
      <c r="I694" s="323"/>
      <c r="J694" s="323"/>
      <c r="K694" s="323"/>
      <c r="L694" s="323"/>
      <c r="M694" s="323"/>
      <c r="N694" s="323"/>
      <c r="O694" s="323"/>
      <c r="P694" s="323"/>
      <c r="Q694" s="323"/>
      <c r="R694" s="323"/>
      <c r="S694" s="323"/>
      <c r="T694" s="323"/>
      <c r="U694" s="323"/>
      <c r="V694" s="323"/>
      <c r="W694" s="323"/>
      <c r="X694" s="323"/>
      <c r="Y694" s="323"/>
      <c r="Z694" s="323"/>
      <c r="AA694" s="323"/>
      <c r="AB694" s="323"/>
      <c r="AC694" s="323"/>
      <c r="AD694" s="323"/>
      <c r="AE694" s="323"/>
      <c r="AF694" s="323"/>
      <c r="AG694" s="323"/>
      <c r="AH694" s="323"/>
      <c r="AI694" s="323"/>
      <c r="AJ694" s="323"/>
      <c r="AK694" s="323"/>
      <c r="AL694" s="323"/>
      <c r="AM694" s="323"/>
      <c r="AN694" s="323"/>
      <c r="AO694" s="323"/>
      <c r="AP694" s="323"/>
      <c r="AQ694" s="323"/>
      <c r="AR694" s="323"/>
      <c r="AS694" s="323"/>
      <c r="AT694" s="323"/>
      <c r="AU694" s="323"/>
      <c r="AV694" s="323"/>
      <c r="AW694" s="323"/>
      <c r="AX694" s="323"/>
      <c r="AY694" s="323"/>
      <c r="AZ694" s="323"/>
      <c r="BA694" s="323"/>
      <c r="BB694" s="323"/>
      <c r="BC694" s="323"/>
      <c r="BD694" s="323"/>
      <c r="BE694" s="323"/>
      <c r="BF694" s="323"/>
      <c r="BG694" s="323"/>
      <c r="BH694" s="323"/>
      <c r="BI694" s="323"/>
      <c r="BJ694" s="323"/>
      <c r="BK694" s="323"/>
      <c r="BL694" s="323"/>
      <c r="BM694" s="323"/>
      <c r="BN694" s="323"/>
      <c r="BO694" s="323"/>
      <c r="BP694" s="323"/>
      <c r="BQ694" s="323"/>
      <c r="BR694" s="323"/>
      <c r="BS694" s="323"/>
      <c r="BT694" s="323"/>
      <c r="BU694" s="323"/>
      <c r="BV694" s="323"/>
      <c r="BW694" s="323"/>
      <c r="BX694" s="323"/>
      <c r="BY694" s="323"/>
      <c r="BZ694" s="323"/>
      <c r="CA694" s="323"/>
      <c r="CB694" s="323"/>
      <c r="CC694" s="323"/>
      <c r="CD694" s="323"/>
      <c r="CE694" s="324"/>
      <c r="CF694" s="323"/>
      <c r="CG694" s="323"/>
      <c r="CH694" s="323"/>
      <c r="CI694" s="323"/>
      <c r="CJ694" s="323"/>
      <c r="CK694" s="323"/>
      <c r="CL694" s="323"/>
      <c r="CM694" s="323"/>
      <c r="CN694" s="323"/>
      <c r="CO694" s="323"/>
      <c r="CP694" s="325"/>
      <c r="CQ694" s="323"/>
      <c r="CR694" s="323"/>
      <c r="CS694" s="323"/>
      <c r="CT694" s="323"/>
      <c r="CU694" s="323"/>
      <c r="CV694" s="323"/>
      <c r="CW694" s="323"/>
      <c r="CX694" s="323"/>
      <c r="CY694" s="323"/>
      <c r="CZ694" s="323"/>
      <c r="DA694" s="323"/>
      <c r="DB694" s="1269"/>
      <c r="DC694" s="323"/>
      <c r="DD694" s="323"/>
      <c r="DE694" s="323"/>
      <c r="DF694" s="323"/>
      <c r="DG694" s="323"/>
      <c r="DH694" s="323"/>
      <c r="DI694" s="323"/>
      <c r="DJ694" s="323"/>
      <c r="DK694" s="323"/>
      <c r="DL694" s="323"/>
      <c r="DM694" s="323"/>
      <c r="DN694" s="325"/>
      <c r="DO694" s="323">
        <f t="shared" ref="DO694:EX694" si="690">-DO225</f>
        <v>-0.81548350400000003</v>
      </c>
      <c r="DP694" s="323">
        <f t="shared" si="690"/>
        <v>-0.89468296199999997</v>
      </c>
      <c r="DQ694" s="323">
        <f t="shared" si="690"/>
        <v>-0.88994272699999999</v>
      </c>
      <c r="DR694" s="323">
        <f t="shared" si="690"/>
        <v>-0.74259006599999999</v>
      </c>
      <c r="DS694" s="323">
        <f t="shared" si="690"/>
        <v>-0.85803408800000003</v>
      </c>
      <c r="DT694" s="323">
        <f t="shared" si="690"/>
        <v>-0.95241461699999996</v>
      </c>
      <c r="DU694" s="323">
        <f t="shared" si="690"/>
        <v>-0.82779765299999997</v>
      </c>
      <c r="DV694" s="323">
        <f t="shared" si="690"/>
        <v>-0.78600829800000005</v>
      </c>
      <c r="DW694" s="323">
        <f t="shared" si="690"/>
        <v>-0.92951981500000003</v>
      </c>
      <c r="DX694" s="323">
        <f t="shared" si="690"/>
        <v>-0.81068596299999995</v>
      </c>
      <c r="DY694" s="323">
        <f t="shared" si="690"/>
        <v>-0.99184130999999998</v>
      </c>
      <c r="DZ694" s="325">
        <f t="shared" si="690"/>
        <v>-1.1211130899999999</v>
      </c>
      <c r="EA694" s="323">
        <f t="shared" si="690"/>
        <v>-0.86431013499999998</v>
      </c>
      <c r="EB694" s="323">
        <f t="shared" si="690"/>
        <v>-0.89608272</v>
      </c>
      <c r="EC694" s="323">
        <f t="shared" si="690"/>
        <v>-1.0324487339999999</v>
      </c>
      <c r="ED694" s="323">
        <f t="shared" si="690"/>
        <v>-0.98973740300000002</v>
      </c>
      <c r="EE694" s="323">
        <f t="shared" si="690"/>
        <v>-0.88089663600000001</v>
      </c>
      <c r="EF694" s="323">
        <f t="shared" si="690"/>
        <v>-1.0335363049999999</v>
      </c>
      <c r="EG694" s="323">
        <f t="shared" si="690"/>
        <v>-0.97513037800000002</v>
      </c>
      <c r="EH694" s="323">
        <f t="shared" si="690"/>
        <v>-0.82774864599999998</v>
      </c>
      <c r="EI694" s="323">
        <f t="shared" si="690"/>
        <v>-1.002834577</v>
      </c>
      <c r="EJ694" s="323">
        <f t="shared" si="690"/>
        <v>-0.90485316500000001</v>
      </c>
      <c r="EK694" s="323">
        <f t="shared" si="690"/>
        <v>-0.98641874200000002</v>
      </c>
      <c r="EL694" s="325">
        <f t="shared" si="690"/>
        <v>-1.041281949</v>
      </c>
      <c r="EM694" s="323">
        <f t="shared" si="690"/>
        <v>-1.0299287829999999</v>
      </c>
      <c r="EN694" s="323">
        <f t="shared" si="690"/>
        <v>-1.1369505499999999</v>
      </c>
      <c r="EO694" s="323">
        <f t="shared" si="690"/>
        <v>-1.01343703</v>
      </c>
      <c r="EP694" s="323">
        <f t="shared" si="690"/>
        <v>-0.98094202600000002</v>
      </c>
      <c r="EQ694" s="323">
        <f t="shared" si="690"/>
        <v>-1.1072251980000001</v>
      </c>
      <c r="ER694" s="323">
        <f t="shared" si="690"/>
        <v>-1.2211093550000001</v>
      </c>
      <c r="ES694" s="323">
        <f t="shared" si="690"/>
        <v>-1.0309217020000001</v>
      </c>
      <c r="ET694" s="323">
        <f t="shared" si="690"/>
        <v>-1.040925815</v>
      </c>
      <c r="EU694" s="323">
        <f t="shared" si="690"/>
        <v>-1.025590373</v>
      </c>
      <c r="EV694" s="323">
        <f t="shared" si="690"/>
        <v>-1.1776016650000001</v>
      </c>
      <c r="EW694" s="323">
        <f t="shared" si="690"/>
        <v>-1.1498127010000001</v>
      </c>
      <c r="EX694" s="325">
        <f t="shared" si="690"/>
        <v>-1.099506222</v>
      </c>
      <c r="EY694" s="323"/>
      <c r="EZ694" s="323"/>
      <c r="FA694" s="323"/>
      <c r="FB694" s="323"/>
      <c r="FC694" s="323"/>
      <c r="FD694" s="323"/>
      <c r="FE694" s="323"/>
      <c r="FF694" s="323"/>
      <c r="FG694" s="323"/>
      <c r="FH694" s="323"/>
      <c r="FI694" s="323"/>
      <c r="FJ694" s="325"/>
      <c r="FK694" s="323"/>
      <c r="FL694" s="323"/>
      <c r="FM694" s="323"/>
      <c r="FN694" s="323"/>
      <c r="FO694" s="323"/>
      <c r="FP694" s="323"/>
      <c r="FQ694" s="323"/>
      <c r="FR694" s="323"/>
      <c r="FS694" s="323"/>
      <c r="FT694" s="323"/>
      <c r="FU694" s="323"/>
      <c r="FV694" s="323"/>
      <c r="FW694" s="323"/>
      <c r="FX694" s="323"/>
      <c r="FY694" s="323"/>
      <c r="FZ694" s="323"/>
      <c r="GA694" s="323"/>
      <c r="GB694" s="323"/>
      <c r="GC694" s="323"/>
      <c r="GD694" s="323"/>
      <c r="GE694" s="323"/>
      <c r="GF694" s="323"/>
      <c r="GG694" s="323"/>
      <c r="GH694" s="323"/>
      <c r="GI694" s="323"/>
      <c r="GJ694" s="323"/>
      <c r="GK694" s="323"/>
      <c r="GL694" s="323"/>
      <c r="GM694" s="323"/>
      <c r="GN694" s="323"/>
      <c r="GO694" s="323"/>
      <c r="GP694" s="323"/>
      <c r="GQ694" s="323"/>
      <c r="GR694" s="323"/>
      <c r="GS694" s="323"/>
      <c r="GT694" s="323"/>
      <c r="GU694" s="323"/>
      <c r="GV694" s="323"/>
      <c r="GW694" s="323"/>
      <c r="GX694" s="323"/>
      <c r="GY694" s="323"/>
      <c r="GZ694" s="323"/>
      <c r="HA694" s="323"/>
      <c r="HB694" s="323"/>
      <c r="HC694" s="323"/>
      <c r="HD694" s="323"/>
      <c r="HE694" s="323"/>
      <c r="HF694" s="323"/>
      <c r="HG694" s="323"/>
      <c r="HH694" s="323"/>
      <c r="HI694" s="323"/>
      <c r="HJ694" s="323"/>
      <c r="HK694" s="323"/>
      <c r="HL694" s="323"/>
      <c r="HM694" s="323"/>
      <c r="HN694" s="323"/>
      <c r="HO694" s="323"/>
      <c r="HP694" s="323"/>
      <c r="HQ694" s="323"/>
      <c r="HR694" s="323"/>
      <c r="HS694" s="323"/>
      <c r="HT694" s="323"/>
      <c r="HU694" s="323"/>
      <c r="HV694" s="323"/>
      <c r="HW694" s="323"/>
      <c r="HX694" s="323"/>
      <c r="HY694" s="323"/>
      <c r="HZ694" s="326"/>
      <c r="IA694" s="328" t="s">
        <v>840</v>
      </c>
      <c r="IB694" s="328"/>
      <c r="IC694" s="328"/>
      <c r="ID694" s="323">
        <f>+FISC!Z914</f>
        <v>0</v>
      </c>
      <c r="IE694" s="279">
        <f>SUM(CQ694:CV694)</f>
        <v>0</v>
      </c>
      <c r="IF694" s="279">
        <f>SUM(CW694:DB694)</f>
        <v>0</v>
      </c>
      <c r="IG694" s="323">
        <f>SUM(CQ694:DB694)</f>
        <v>0</v>
      </c>
      <c r="IH694" s="279">
        <f>+SUM(DC694:DH694)*0-8.8/2</f>
        <v>-4.4000000000000004</v>
      </c>
      <c r="II694" s="279">
        <f>+SUM(DI694:DN694)-8.8/2</f>
        <v>-4.4000000000000004</v>
      </c>
      <c r="IJ694" s="323">
        <f t="shared" si="688"/>
        <v>-8.8000000000000007</v>
      </c>
      <c r="IK694" s="279">
        <f>+SUM(DO694:DT694)</f>
        <v>-5.1531479639999995</v>
      </c>
      <c r="IL694" s="279">
        <f>SUM(DU694:DZ694)</f>
        <v>-5.4669661290000002</v>
      </c>
      <c r="IM694" s="323">
        <f t="shared" si="689"/>
        <v>-10.620114093</v>
      </c>
      <c r="IN694" s="454">
        <f>+IP694/2</f>
        <v>-5.7065401065000003</v>
      </c>
      <c r="IO694" s="279">
        <f>+IP694-IN694</f>
        <v>-5.7065401065000003</v>
      </c>
      <c r="IP694" s="323">
        <f>FISC!AC914</f>
        <v>-11.413080213000001</v>
      </c>
      <c r="IQ694" s="279">
        <f t="shared" si="677"/>
        <v>-6.4895929419999998</v>
      </c>
      <c r="IR694" s="279">
        <f t="shared" si="678"/>
        <v>-6.5243584779999999</v>
      </c>
      <c r="IS694" s="323">
        <f t="shared" si="590"/>
        <v>-13.01395142</v>
      </c>
      <c r="IT694" s="454" t="e">
        <f>(IV694/2)*0+#REF!</f>
        <v>#REF!</v>
      </c>
      <c r="IU694" s="279" t="e">
        <f>+IV694-IT694</f>
        <v>#REF!</v>
      </c>
      <c r="IV694" s="323">
        <f>+FISC!AE914</f>
        <v>-14.332764489999999</v>
      </c>
      <c r="IW694" s="327" t="e">
        <f>IY694/2*0+#REF!</f>
        <v>#REF!</v>
      </c>
      <c r="IX694" s="279" t="e">
        <f t="shared" si="679"/>
        <v>#REF!</v>
      </c>
      <c r="IY694" s="323">
        <f>+FISC!AF914</f>
        <v>-15.46793405</v>
      </c>
      <c r="IZ694" s="327" t="e">
        <f>JB694/2*0+#REF!</f>
        <v>#REF!</v>
      </c>
      <c r="JA694" s="279" t="e">
        <f t="shared" si="540"/>
        <v>#REF!</v>
      </c>
      <c r="JB694" s="323">
        <f>+FISC!AG914</f>
        <v>0</v>
      </c>
      <c r="JC694" s="327">
        <f>JE694/2</f>
        <v>-9.5794367090396868</v>
      </c>
      <c r="JD694" s="279">
        <f t="shared" si="682"/>
        <v>-9.5794367090396868</v>
      </c>
      <c r="JE694" s="323">
        <f>+FISC!AH914</f>
        <v>-19.158873418079374</v>
      </c>
      <c r="JF694" s="327">
        <f>JH694/2</f>
        <v>-12.084773950973988</v>
      </c>
      <c r="JG694" s="279">
        <f t="shared" si="684"/>
        <v>-12.084773950973988</v>
      </c>
      <c r="JH694" s="323">
        <f>+FISC!AI914</f>
        <v>-24.169547901947976</v>
      </c>
      <c r="JI694" s="327">
        <f>JK694/2</f>
        <v>0</v>
      </c>
      <c r="JJ694" s="279">
        <f t="shared" si="685"/>
        <v>0</v>
      </c>
      <c r="JK694" s="323">
        <f>+FISC!AJ914</f>
        <v>0</v>
      </c>
      <c r="JL694" s="327">
        <f>JN694/2</f>
        <v>0</v>
      </c>
      <c r="JM694" s="279">
        <f t="shared" si="686"/>
        <v>0</v>
      </c>
      <c r="JN694" s="323">
        <f>+FISC!AK914</f>
        <v>0</v>
      </c>
      <c r="JO694" s="323"/>
      <c r="KU694" s="326"/>
      <c r="KV694" s="327"/>
    </row>
    <row r="695" spans="1:314" hidden="1">
      <c r="A695" s="279"/>
      <c r="B695" s="96" t="s">
        <v>338</v>
      </c>
      <c r="D695" s="322" t="str">
        <f>+FISC!D915</f>
        <v>Non bank financing (Net)</v>
      </c>
      <c r="E695" s="323">
        <v>1.5446500000000001</v>
      </c>
      <c r="F695" s="323">
        <v>-1.4620000000000005E-2</v>
      </c>
      <c r="G695" s="323">
        <v>3.7025000000000001</v>
      </c>
      <c r="H695" s="323">
        <v>-0.69927000000000006</v>
      </c>
      <c r="I695" s="323">
        <v>-2.84707</v>
      </c>
      <c r="J695" s="323">
        <v>-4.02006</v>
      </c>
      <c r="K695" s="323">
        <v>-1.10934</v>
      </c>
      <c r="L695" s="323">
        <v>-0.87460000000000004</v>
      </c>
      <c r="M695" s="323">
        <v>-3.5034000000000001</v>
      </c>
      <c r="N695" s="323">
        <v>-0.97641000000000011</v>
      </c>
      <c r="O695" s="323">
        <v>1.80935</v>
      </c>
      <c r="P695" s="323">
        <v>-5.3193199999999994</v>
      </c>
      <c r="Q695" s="323">
        <v>-5.0225</v>
      </c>
      <c r="R695" s="323">
        <v>-2.7543699999999998</v>
      </c>
      <c r="S695" s="323">
        <v>0.96004000000000012</v>
      </c>
      <c r="T695" s="323">
        <v>-0.12595000000000003</v>
      </c>
      <c r="U695" s="323">
        <v>-0.46615000000000006</v>
      </c>
      <c r="V695" s="323">
        <v>4.5327431620000009</v>
      </c>
      <c r="W695" s="323">
        <v>-1.6704100000000002</v>
      </c>
      <c r="X695" s="323">
        <v>1.3991800000000001</v>
      </c>
      <c r="Y695" s="323">
        <v>-2.9094699999999998</v>
      </c>
      <c r="Z695" s="323">
        <v>-6.6022600000000002</v>
      </c>
      <c r="AA695" s="323">
        <v>2.0030000000000001</v>
      </c>
      <c r="AB695" s="323">
        <v>-5.0388600000000006</v>
      </c>
      <c r="AC695" s="323">
        <v>-0.9</v>
      </c>
      <c r="AD695" s="323">
        <v>-0.2</v>
      </c>
      <c r="AE695" s="323">
        <v>-1.4</v>
      </c>
      <c r="AF695" s="323">
        <v>-1.93472</v>
      </c>
      <c r="AG695" s="323">
        <v>-0.83784000000000003</v>
      </c>
      <c r="AH695" s="323">
        <v>-3.9935600000000004</v>
      </c>
      <c r="AI695" s="323">
        <v>-1.0940399999999999</v>
      </c>
      <c r="AJ695" s="323">
        <v>-2.88862</v>
      </c>
      <c r="AK695" s="323">
        <v>-0.54108000000000001</v>
      </c>
      <c r="AL695" s="323">
        <v>-1.1647100000000001</v>
      </c>
      <c r="AM695" s="323">
        <v>-0.27212000000000003</v>
      </c>
      <c r="AN695" s="323">
        <v>-3.7279100000000001</v>
      </c>
      <c r="AO695" s="323">
        <v>-0.53528999999999993</v>
      </c>
      <c r="AP695" s="323">
        <v>-3.9380000000000002</v>
      </c>
      <c r="AQ695" s="323">
        <v>-3.09334</v>
      </c>
      <c r="AR695" s="323">
        <v>-1.8817200000000001</v>
      </c>
      <c r="AS695" s="323">
        <v>3.6420000000000001E-2</v>
      </c>
      <c r="AT695" s="323">
        <v>-0.93137999999999987</v>
      </c>
      <c r="AU695" s="323">
        <v>-2.27536</v>
      </c>
      <c r="AV695" s="323">
        <v>-0.19690999999999997</v>
      </c>
      <c r="AW695" s="323">
        <v>1.25508</v>
      </c>
      <c r="AX695" s="323">
        <v>-1.0966200000000002</v>
      </c>
      <c r="AY695" s="323">
        <v>0.18771999999999991</v>
      </c>
      <c r="AZ695" s="323">
        <v>-1.5063299999999999</v>
      </c>
      <c r="BA695" s="323">
        <v>-1.77075</v>
      </c>
      <c r="BB695" s="323">
        <v>-7.9225799999999991</v>
      </c>
      <c r="BC695" s="323">
        <v>-0.84974000000000016</v>
      </c>
      <c r="BD695" s="323">
        <v>-3.6012</v>
      </c>
      <c r="BE695" s="323">
        <v>-0.73443000000000003</v>
      </c>
      <c r="BF695" s="323">
        <v>-1.1054800000000002</v>
      </c>
      <c r="BG695" s="323">
        <v>-1.6372280000000001</v>
      </c>
      <c r="BH695" s="323">
        <v>-1.5547900000000001</v>
      </c>
      <c r="BI695" s="323">
        <v>0.13500000000000001</v>
      </c>
      <c r="BJ695" s="323">
        <v>-0.63022596600000003</v>
      </c>
      <c r="BK695" s="323">
        <v>0.749320863</v>
      </c>
      <c r="BL695" s="323">
        <v>-1.4891595820000001</v>
      </c>
      <c r="BM695" s="323">
        <v>-3.3858699999999997</v>
      </c>
      <c r="BN695" s="323">
        <v>-2.7693400000000001</v>
      </c>
      <c r="BO695" s="323">
        <v>-2.18188</v>
      </c>
      <c r="BP695" s="323">
        <v>-2.5423800000000001</v>
      </c>
      <c r="BQ695" s="323">
        <v>-1.7143699999999999</v>
      </c>
      <c r="BR695" s="323">
        <v>-5.8809400000000007</v>
      </c>
      <c r="BS695" s="323">
        <f t="shared" ref="BS695:DN695" si="691">BS696+BS699</f>
        <v>-0.76349999999999996</v>
      </c>
      <c r="BT695" s="323">
        <f t="shared" si="691"/>
        <v>12.0663</v>
      </c>
      <c r="BU695" s="323">
        <f t="shared" si="691"/>
        <v>6.2743000000000002</v>
      </c>
      <c r="BV695" s="323">
        <f t="shared" si="691"/>
        <v>0</v>
      </c>
      <c r="BW695" s="323">
        <f t="shared" si="691"/>
        <v>0</v>
      </c>
      <c r="BX695" s="323">
        <f t="shared" si="691"/>
        <v>0</v>
      </c>
      <c r="BY695" s="323">
        <f t="shared" si="691"/>
        <v>0</v>
      </c>
      <c r="BZ695" s="323">
        <f t="shared" si="691"/>
        <v>0</v>
      </c>
      <c r="CA695" s="323">
        <f t="shared" si="691"/>
        <v>0</v>
      </c>
      <c r="CB695" s="323">
        <f t="shared" si="691"/>
        <v>0</v>
      </c>
      <c r="CC695" s="323">
        <f t="shared" si="691"/>
        <v>0</v>
      </c>
      <c r="CD695" s="323">
        <f t="shared" si="691"/>
        <v>0</v>
      </c>
      <c r="CE695" s="324">
        <f t="shared" si="691"/>
        <v>-7.9970229590000264</v>
      </c>
      <c r="CF695" s="323">
        <f t="shared" si="691"/>
        <v>-12.793651817000004</v>
      </c>
      <c r="CG695" s="323">
        <f t="shared" si="691"/>
        <v>6.0645420180000009</v>
      </c>
      <c r="CH695" s="323">
        <f t="shared" si="691"/>
        <v>-12.472275056999999</v>
      </c>
      <c r="CI695" s="323">
        <f t="shared" si="691"/>
        <v>-5.4014813710000027</v>
      </c>
      <c r="CJ695" s="323">
        <f t="shared" si="691"/>
        <v>-3.9224582569999984</v>
      </c>
      <c r="CK695" s="323">
        <f t="shared" si="691"/>
        <v>0.13948036199999869</v>
      </c>
      <c r="CL695" s="323">
        <f t="shared" si="691"/>
        <v>6.5064000000000011</v>
      </c>
      <c r="CM695" s="323">
        <f t="shared" si="691"/>
        <v>-5.3870247939999967</v>
      </c>
      <c r="CN695" s="323">
        <f t="shared" si="691"/>
        <v>-0.95571863300000004</v>
      </c>
      <c r="CO695" s="323">
        <f t="shared" si="691"/>
        <v>9.2343999999999991</v>
      </c>
      <c r="CP695" s="325">
        <f t="shared" si="691"/>
        <v>-3.7926579819999997</v>
      </c>
      <c r="CQ695" s="323">
        <f t="shared" si="691"/>
        <v>-0.28826511620255502</v>
      </c>
      <c r="CR695" s="323">
        <f t="shared" si="691"/>
        <v>8.2294999999999998</v>
      </c>
      <c r="CS695" s="323">
        <f t="shared" si="691"/>
        <v>-1.3861579820000001</v>
      </c>
      <c r="CT695" s="323">
        <f t="shared" si="691"/>
        <v>3.2993390698449137</v>
      </c>
      <c r="CU695" s="323">
        <f t="shared" si="691"/>
        <v>7.084100000000003</v>
      </c>
      <c r="CV695" s="323">
        <f t="shared" si="691"/>
        <v>-1.073357981999999</v>
      </c>
      <c r="CW695" s="323">
        <f t="shared" si="691"/>
        <v>-2.9510079417820263</v>
      </c>
      <c r="CX695" s="323">
        <f t="shared" si="691"/>
        <v>7.7061999999999991</v>
      </c>
      <c r="CY695" s="323">
        <f t="shared" si="691"/>
        <v>-8.4300000000000319E-2</v>
      </c>
      <c r="CZ695" s="323">
        <f t="shared" si="691"/>
        <v>-1.0044080410543001</v>
      </c>
      <c r="DA695" s="323">
        <f t="shared" si="691"/>
        <v>7.8123999999999985</v>
      </c>
      <c r="DB695" s="1269">
        <f t="shared" si="691"/>
        <v>-0.80925797399999999</v>
      </c>
      <c r="DC695" s="323">
        <f t="shared" si="691"/>
        <v>-4.5324631415674794</v>
      </c>
      <c r="DD695" s="323">
        <f t="shared" si="691"/>
        <v>5.4028999999999998</v>
      </c>
      <c r="DE695" s="323">
        <f t="shared" si="691"/>
        <v>-0.88775798200000045</v>
      </c>
      <c r="DF695" s="323">
        <f t="shared" si="691"/>
        <v>-1.1786751808370697</v>
      </c>
      <c r="DG695" s="323">
        <f t="shared" si="691"/>
        <v>4.3503000000000043</v>
      </c>
      <c r="DH695" s="323">
        <f t="shared" si="691"/>
        <v>4.2070797710000001</v>
      </c>
      <c r="DI695" s="323">
        <f t="shared" si="691"/>
        <v>5.1854538799999998</v>
      </c>
      <c r="DJ695" s="323">
        <f t="shared" si="691"/>
        <v>8.7312999999999832</v>
      </c>
      <c r="DK695" s="323">
        <f t="shared" si="691"/>
        <v>0.28000000000000114</v>
      </c>
      <c r="DL695" s="323">
        <f t="shared" si="691"/>
        <v>11.222922052894996</v>
      </c>
      <c r="DM695" s="323">
        <f t="shared" si="691"/>
        <v>8.0632999999999981</v>
      </c>
      <c r="DN695" s="325">
        <f t="shared" si="691"/>
        <v>6.8730000000000011</v>
      </c>
      <c r="DO695" s="323">
        <f t="shared" ref="DO695:DT695" si="692">DO696+DO699</f>
        <v>2.5929376351340894</v>
      </c>
      <c r="DP695" s="323">
        <f t="shared" si="692"/>
        <v>21.015247967000015</v>
      </c>
      <c r="DQ695" s="323">
        <f t="shared" si="692"/>
        <v>5.8203736469999976</v>
      </c>
      <c r="DR695" s="323">
        <f t="shared" si="692"/>
        <v>5.9876888881631389</v>
      </c>
      <c r="DS695" s="323">
        <f t="shared" si="692"/>
        <v>9.3489336149999929</v>
      </c>
      <c r="DT695" s="323">
        <f t="shared" si="692"/>
        <v>-5.2444954929999943</v>
      </c>
      <c r="DU695" s="323">
        <f t="shared" ref="DU695:DZ695" si="693">DU696+DU699</f>
        <v>5.519976130462255</v>
      </c>
      <c r="DV695" s="323">
        <f t="shared" si="693"/>
        <v>5.620087768000003</v>
      </c>
      <c r="DW695" s="323">
        <f t="shared" si="693"/>
        <v>-4.1149846369999992</v>
      </c>
      <c r="DX695" s="323">
        <f>DX696+DX699</f>
        <v>5.1006321740668881E-2</v>
      </c>
      <c r="DY695" s="323">
        <f t="shared" si="693"/>
        <v>6.9359000000000037</v>
      </c>
      <c r="DZ695" s="325">
        <f t="shared" si="693"/>
        <v>-12.342832052422075</v>
      </c>
      <c r="EA695" s="323">
        <f t="shared" ref="EA695:EK695" si="694">EA696+EA699</f>
        <v>-15.851021655275062</v>
      </c>
      <c r="EB695" s="323">
        <f t="shared" si="694"/>
        <v>-0.26779999999999538</v>
      </c>
      <c r="EC695" s="323">
        <f t="shared" si="694"/>
        <v>-6.5678439215778273</v>
      </c>
      <c r="ED695" s="323">
        <f t="shared" si="694"/>
        <v>-6.5429619260000047</v>
      </c>
      <c r="EE695" s="323">
        <f t="shared" si="694"/>
        <v>2.8764000000000181</v>
      </c>
      <c r="EF695" s="323">
        <f t="shared" si="694"/>
        <v>1.7313999939999976</v>
      </c>
      <c r="EG695" s="323">
        <f t="shared" si="694"/>
        <v>18.4838222999999</v>
      </c>
      <c r="EH695" s="323">
        <f t="shared" si="694"/>
        <v>-13.457299999999982</v>
      </c>
      <c r="EI695" s="323">
        <f t="shared" si="694"/>
        <v>0.52939999999999543</v>
      </c>
      <c r="EJ695" s="323">
        <f t="shared" si="694"/>
        <v>20.452328829000017</v>
      </c>
      <c r="EK695" s="323">
        <f t="shared" si="694"/>
        <v>-1.7375445670000147</v>
      </c>
      <c r="EL695" s="325">
        <f t="shared" ref="EL695:ER695" si="695">EL696+EL699</f>
        <v>24.838800000000006</v>
      </c>
      <c r="EM695" s="323">
        <f>EM696+EM699</f>
        <v>0.29065543299999774</v>
      </c>
      <c r="EN695" s="323">
        <f t="shared" si="695"/>
        <v>-0.32800000000001006</v>
      </c>
      <c r="EO695" s="323">
        <f t="shared" si="695"/>
        <v>12.944899999999954</v>
      </c>
      <c r="EP695" s="323">
        <f t="shared" si="695"/>
        <v>16.181999882000017</v>
      </c>
      <c r="EQ695" s="323">
        <f t="shared" si="695"/>
        <v>-3.0241999999999649</v>
      </c>
      <c r="ER695" s="323">
        <f t="shared" si="695"/>
        <v>20.035399999999996</v>
      </c>
      <c r="ES695" s="323">
        <f t="shared" ref="ES695:EX695" si="696">ES696+ES699</f>
        <v>-3.6547000000000054</v>
      </c>
      <c r="ET695" s="323">
        <f t="shared" si="696"/>
        <v>19.686799999999991</v>
      </c>
      <c r="EU695" s="323">
        <f t="shared" si="696"/>
        <v>-1.7055000000000007</v>
      </c>
      <c r="EV695" s="323">
        <f t="shared" si="696"/>
        <v>-4.2007421409999921</v>
      </c>
      <c r="EW695" s="323">
        <f t="shared" si="696"/>
        <v>-2.6754899699999832</v>
      </c>
      <c r="EX695" s="325">
        <f t="shared" si="696"/>
        <v>13.355551886999992</v>
      </c>
      <c r="EY695" s="323"/>
      <c r="EZ695" s="323"/>
      <c r="FA695" s="323"/>
      <c r="FB695" s="323"/>
      <c r="FC695" s="323"/>
      <c r="FD695" s="323"/>
      <c r="FE695" s="323"/>
      <c r="FF695" s="323"/>
      <c r="FG695" s="323"/>
      <c r="FH695" s="323"/>
      <c r="FI695" s="323"/>
      <c r="FJ695" s="325"/>
      <c r="FK695" s="323"/>
      <c r="FL695" s="323"/>
      <c r="FM695" s="323"/>
      <c r="FN695" s="323"/>
      <c r="FO695" s="323"/>
      <c r="FP695" s="323"/>
      <c r="FQ695" s="323"/>
      <c r="FR695" s="323"/>
      <c r="FS695" s="323"/>
      <c r="FT695" s="323"/>
      <c r="FU695" s="323"/>
      <c r="FV695" s="323"/>
      <c r="FW695" s="323"/>
      <c r="FX695" s="323"/>
      <c r="FY695" s="323"/>
      <c r="FZ695" s="323"/>
      <c r="GA695" s="323"/>
      <c r="GB695" s="323"/>
      <c r="GC695" s="323"/>
      <c r="GD695" s="323"/>
      <c r="GE695" s="323"/>
      <c r="GF695" s="323"/>
      <c r="GG695" s="323"/>
      <c r="GH695" s="323"/>
      <c r="GI695" s="323"/>
      <c r="GJ695" s="323"/>
      <c r="GK695" s="323"/>
      <c r="GL695" s="323"/>
      <c r="GM695" s="323"/>
      <c r="GN695" s="323"/>
      <c r="GO695" s="323"/>
      <c r="GP695" s="323"/>
      <c r="GQ695" s="323"/>
      <c r="GR695" s="323"/>
      <c r="GS695" s="323"/>
      <c r="GT695" s="323"/>
      <c r="GU695" s="323"/>
      <c r="GV695" s="323"/>
      <c r="GW695" s="323"/>
      <c r="GX695" s="323"/>
      <c r="GY695" s="323"/>
      <c r="GZ695" s="323"/>
      <c r="HA695" s="323"/>
      <c r="HB695" s="323"/>
      <c r="HC695" s="323"/>
      <c r="HD695" s="323"/>
      <c r="HE695" s="323"/>
      <c r="HF695" s="323"/>
      <c r="HG695" s="323"/>
      <c r="HH695" s="323"/>
      <c r="HI695" s="323"/>
      <c r="HJ695" s="323"/>
      <c r="HK695" s="323"/>
      <c r="HL695" s="323"/>
      <c r="HM695" s="323"/>
      <c r="HN695" s="323"/>
      <c r="HO695" s="323"/>
      <c r="HP695" s="323"/>
      <c r="HQ695" s="323"/>
      <c r="HR695" s="323"/>
      <c r="HS695" s="323"/>
      <c r="HT695" s="323"/>
      <c r="HU695" s="323"/>
      <c r="HV695" s="323"/>
      <c r="HW695" s="323"/>
      <c r="HX695" s="323"/>
      <c r="HY695" s="323"/>
      <c r="HZ695" s="326"/>
      <c r="IA695" s="322" t="s">
        <v>831</v>
      </c>
      <c r="IB695" s="322"/>
      <c r="IC695" s="322"/>
      <c r="ID695" s="323">
        <f>+FISC!Z915</f>
        <v>9.2999999999999972</v>
      </c>
      <c r="IE695" s="279">
        <f>IE696+IE699</f>
        <v>15.865157989642363</v>
      </c>
      <c r="IF695" s="279">
        <f>IF696+IF699</f>
        <v>10.669626043163671</v>
      </c>
      <c r="IG695" s="323">
        <f>IG696+IG699</f>
        <v>26.53478403280603</v>
      </c>
      <c r="IH695" s="454">
        <f>IH696+IH699</f>
        <v>7.3613834665954556</v>
      </c>
      <c r="II695" s="279">
        <f t="shared" ref="II695:II700" si="697">+SUM(DI695:DN695)</f>
        <v>40.355975932894978</v>
      </c>
      <c r="IJ695" s="323">
        <f t="shared" si="688"/>
        <v>47.717359399490434</v>
      </c>
      <c r="IK695" s="454">
        <f>IK696+IK699</f>
        <v>39.520686259297236</v>
      </c>
      <c r="IL695" s="1014">
        <f>IL696+IL699</f>
        <v>1.6691535307808563</v>
      </c>
      <c r="IM695" s="323">
        <f t="shared" si="689"/>
        <v>41.189839790078089</v>
      </c>
      <c r="IN695" s="454">
        <f>IN696+IN699</f>
        <v>-24.621827508577802</v>
      </c>
      <c r="IO695" s="279">
        <f>+IP695-IN695</f>
        <v>18.748700555999868</v>
      </c>
      <c r="IP695" s="323">
        <f>FISC!AC915</f>
        <v>-5.8731269525779339</v>
      </c>
      <c r="IQ695" s="279">
        <f t="shared" si="677"/>
        <v>46.100755314999986</v>
      </c>
      <c r="IR695" s="279">
        <f t="shared" si="678"/>
        <v>20.805919776000003</v>
      </c>
      <c r="IS695" s="323">
        <f t="shared" si="590"/>
        <v>66.906675090999983</v>
      </c>
      <c r="IT695" s="454">
        <f>IT696+IT699</f>
        <v>0.22709999999995034</v>
      </c>
      <c r="IU695" s="279">
        <f>+IV695-IT695</f>
        <v>-0.22709999999995034</v>
      </c>
      <c r="IV695" s="323">
        <f>+FISC!AE915</f>
        <v>0</v>
      </c>
      <c r="IW695" s="279" t="e">
        <f>IW696+IW699</f>
        <v>#REF!</v>
      </c>
      <c r="IX695" s="279" t="e">
        <f t="shared" si="679"/>
        <v>#REF!</v>
      </c>
      <c r="IY695" s="323">
        <f>+FISC!AF915</f>
        <v>0</v>
      </c>
      <c r="IZ695" s="279">
        <f t="shared" si="680"/>
        <v>0</v>
      </c>
      <c r="JA695" s="279">
        <f t="shared" si="540"/>
        <v>0</v>
      </c>
      <c r="JB695" s="323">
        <f>+FISC!AG915</f>
        <v>0</v>
      </c>
      <c r="JC695" s="279">
        <f t="shared" si="681"/>
        <v>0</v>
      </c>
      <c r="JD695" s="279">
        <f t="shared" si="682"/>
        <v>0</v>
      </c>
      <c r="JE695" s="323">
        <f>+FISC!AH915</f>
        <v>0</v>
      </c>
      <c r="JF695" s="279">
        <f t="shared" si="683"/>
        <v>0</v>
      </c>
      <c r="JG695" s="279">
        <f t="shared" si="684"/>
        <v>0</v>
      </c>
      <c r="JH695" s="323">
        <f>+FISC!AI915</f>
        <v>0</v>
      </c>
      <c r="JI695" s="279">
        <f>JK695*JX695</f>
        <v>0</v>
      </c>
      <c r="JJ695" s="279">
        <f t="shared" si="685"/>
        <v>0</v>
      </c>
      <c r="JK695" s="323">
        <f>+FISC!AJ915</f>
        <v>0</v>
      </c>
      <c r="JL695" s="279">
        <f>JN695*KA695</f>
        <v>0</v>
      </c>
      <c r="JM695" s="279">
        <f t="shared" si="686"/>
        <v>0</v>
      </c>
      <c r="JN695" s="323">
        <f>+FISC!AK915</f>
        <v>0</v>
      </c>
      <c r="JO695" s="323"/>
      <c r="KU695" s="326"/>
      <c r="KV695" s="327"/>
      <c r="KY695" s="279">
        <f>KY696+KY699</f>
        <v>0</v>
      </c>
      <c r="KZ695" s="279">
        <f>KZ696+KZ699</f>
        <v>0</v>
      </c>
      <c r="LA695" s="279">
        <f>LA696+LA699</f>
        <v>0</v>
      </c>
      <c r="LB695" s="279">
        <f>LB696+LB699</f>
        <v>0</v>
      </c>
    </row>
    <row r="696" spans="1:314" hidden="1">
      <c r="A696" s="279"/>
      <c r="B696" s="96" t="s">
        <v>338</v>
      </c>
      <c r="D696" s="328" t="str">
        <f>+FISC!D916</f>
        <v>Government Securities (Net)</v>
      </c>
      <c r="E696" s="323">
        <v>0</v>
      </c>
      <c r="F696" s="323">
        <v>0</v>
      </c>
      <c r="G696" s="323">
        <v>0</v>
      </c>
      <c r="H696" s="323">
        <v>0</v>
      </c>
      <c r="I696" s="323">
        <v>0</v>
      </c>
      <c r="J696" s="323">
        <v>0</v>
      </c>
      <c r="K696" s="323">
        <v>0</v>
      </c>
      <c r="L696" s="323">
        <v>0</v>
      </c>
      <c r="M696" s="323">
        <v>0</v>
      </c>
      <c r="N696" s="323">
        <v>0</v>
      </c>
      <c r="O696" s="323">
        <v>0</v>
      </c>
      <c r="P696" s="323">
        <v>0</v>
      </c>
      <c r="Q696" s="323">
        <v>-5.0225</v>
      </c>
      <c r="R696" s="323">
        <v>1.0958999999999999</v>
      </c>
      <c r="S696" s="323">
        <v>1.0439000000000001</v>
      </c>
      <c r="T696" s="323">
        <v>0.56389999999999996</v>
      </c>
      <c r="U696" s="323">
        <v>1.5960999999999999</v>
      </c>
      <c r="V696" s="323">
        <v>8.8031000000000006</v>
      </c>
      <c r="W696" s="323">
        <v>-1.0435000000000001</v>
      </c>
      <c r="X696" s="323">
        <v>1.54125</v>
      </c>
      <c r="Y696" s="323">
        <v>-2.8788499999999999</v>
      </c>
      <c r="Z696" s="323">
        <v>-6.4791000000000007</v>
      </c>
      <c r="AA696" s="323">
        <v>2.1366000000000001</v>
      </c>
      <c r="AB696" s="323">
        <v>-3.6234000000000002</v>
      </c>
      <c r="AC696" s="323">
        <v>-0.9</v>
      </c>
      <c r="AD696" s="323">
        <v>-0.2</v>
      </c>
      <c r="AE696" s="323">
        <v>-1.4</v>
      </c>
      <c r="AF696" s="323">
        <v>-0.2</v>
      </c>
      <c r="AG696" s="323">
        <v>0</v>
      </c>
      <c r="AH696" s="323">
        <v>0</v>
      </c>
      <c r="AI696" s="323">
        <v>1.5</v>
      </c>
      <c r="AJ696" s="323">
        <v>0</v>
      </c>
      <c r="AK696" s="323">
        <v>0</v>
      </c>
      <c r="AL696" s="323">
        <v>0</v>
      </c>
      <c r="AM696" s="323">
        <v>0</v>
      </c>
      <c r="AN696" s="323">
        <v>0</v>
      </c>
      <c r="AO696" s="323">
        <v>0</v>
      </c>
      <c r="AP696" s="323">
        <v>0.378</v>
      </c>
      <c r="AQ696" s="323">
        <v>-1.903</v>
      </c>
      <c r="AR696" s="323">
        <v>-0.26700000000000002</v>
      </c>
      <c r="AS696" s="323">
        <v>9.7000000000000003E-2</v>
      </c>
      <c r="AT696" s="323">
        <v>1.6282000000000001</v>
      </c>
      <c r="AU696" s="323">
        <v>-1.0717000000000001</v>
      </c>
      <c r="AV696" s="323">
        <v>-0.15339999999999998</v>
      </c>
      <c r="AW696" s="323">
        <v>1.4056</v>
      </c>
      <c r="AX696" s="323">
        <v>-1.0532000000000001</v>
      </c>
      <c r="AY696" s="323">
        <v>0.71729999999999994</v>
      </c>
      <c r="AZ696" s="323">
        <v>-0.86470000000000002</v>
      </c>
      <c r="BA696" s="323">
        <v>0.18980000000000002</v>
      </c>
      <c r="BB696" s="323">
        <v>-0.74579999999999991</v>
      </c>
      <c r="BC696" s="323">
        <v>-1.35E-2</v>
      </c>
      <c r="BD696" s="323">
        <v>0.39879999999999999</v>
      </c>
      <c r="BE696" s="323">
        <v>-0.3422</v>
      </c>
      <c r="BF696" s="323">
        <v>4.0000000000000001E-3</v>
      </c>
      <c r="BG696" s="323">
        <v>0.13350000000000001</v>
      </c>
      <c r="BH696" s="323">
        <v>-7.990000000000004E-2</v>
      </c>
      <c r="BI696" s="323">
        <v>0.4723</v>
      </c>
      <c r="BJ696" s="323">
        <v>-0.47679999999999995</v>
      </c>
      <c r="BK696" s="323">
        <v>0.81820000000000004</v>
      </c>
      <c r="BL696" s="323">
        <v>-0.43420000000000003</v>
      </c>
      <c r="BM696" s="323">
        <v>0.12770000000000004</v>
      </c>
      <c r="BN696" s="323">
        <v>-0.58660000000000012</v>
      </c>
      <c r="BO696" s="323">
        <v>-1.6599999999999965E-2</v>
      </c>
      <c r="BP696" s="323">
        <v>0.66300000000000003</v>
      </c>
      <c r="BQ696" s="323">
        <v>1.5E-3</v>
      </c>
      <c r="BR696" s="323">
        <v>6.9899999999999976E-2</v>
      </c>
      <c r="BS696" s="323">
        <v>-0.76349999999999996</v>
      </c>
      <c r="BT696" s="323">
        <v>12.0663</v>
      </c>
      <c r="BU696" s="323">
        <v>6.2743000000000002</v>
      </c>
      <c r="BV696" s="323">
        <v>0</v>
      </c>
      <c r="BW696" s="323">
        <v>0</v>
      </c>
      <c r="BX696" s="323">
        <v>0</v>
      </c>
      <c r="BY696" s="323">
        <v>0</v>
      </c>
      <c r="BZ696" s="323">
        <v>0</v>
      </c>
      <c r="CA696" s="323">
        <v>0</v>
      </c>
      <c r="CB696" s="323">
        <v>0</v>
      </c>
      <c r="CC696" s="323">
        <v>0</v>
      </c>
      <c r="CD696" s="323">
        <v>0</v>
      </c>
      <c r="CE696" s="324">
        <f>SUM(CE697:CE698)</f>
        <v>-7.6275000000000261</v>
      </c>
      <c r="CF696" s="323">
        <f t="shared" ref="CF696:DN696" si="698">SUM(CF697:CF698)</f>
        <v>-11.176000000000002</v>
      </c>
      <c r="CG696" s="323">
        <f t="shared" si="698"/>
        <v>6.1718000000000011</v>
      </c>
      <c r="CH696" s="323">
        <f t="shared" si="698"/>
        <v>-12.2028</v>
      </c>
      <c r="CI696" s="323">
        <f t="shared" si="698"/>
        <v>-3.7353000000000023</v>
      </c>
      <c r="CJ696" s="323">
        <f t="shared" si="698"/>
        <v>-3.6592999999999982</v>
      </c>
      <c r="CK696" s="323">
        <f t="shared" si="698"/>
        <v>1.0833999999999993</v>
      </c>
      <c r="CL696" s="323">
        <f t="shared" si="698"/>
        <v>6.5064000000000011</v>
      </c>
      <c r="CM696" s="323">
        <f t="shared" si="698"/>
        <v>-3.5635999999999992</v>
      </c>
      <c r="CN696" s="323">
        <f t="shared" si="698"/>
        <v>0</v>
      </c>
      <c r="CO696" s="323">
        <f t="shared" si="698"/>
        <v>15.234399999999999</v>
      </c>
      <c r="CP696" s="325">
        <f t="shared" si="698"/>
        <v>1.3146000000000004</v>
      </c>
      <c r="CQ696" s="323">
        <f t="shared" si="698"/>
        <v>0.67939999999999934</v>
      </c>
      <c r="CR696" s="323">
        <f t="shared" si="698"/>
        <v>8.2294999999999998</v>
      </c>
      <c r="CS696" s="323">
        <f t="shared" si="698"/>
        <v>-1.2789000000000001</v>
      </c>
      <c r="CT696" s="323">
        <f t="shared" si="698"/>
        <v>4.2790999999999997</v>
      </c>
      <c r="CU696" s="323">
        <f t="shared" si="698"/>
        <v>7.084100000000003</v>
      </c>
      <c r="CV696" s="323">
        <f t="shared" si="698"/>
        <v>-0.96609999999999907</v>
      </c>
      <c r="CW696" s="323">
        <f t="shared" si="698"/>
        <v>-1.9590000000000014</v>
      </c>
      <c r="CX696" s="323">
        <f t="shared" si="698"/>
        <v>7.7061999999999991</v>
      </c>
      <c r="CY696" s="323">
        <f t="shared" si="698"/>
        <v>2.2999999999999687E-2</v>
      </c>
      <c r="CZ696" s="323">
        <f t="shared" si="698"/>
        <v>0</v>
      </c>
      <c r="DA696" s="323">
        <f t="shared" si="698"/>
        <v>7.8123999999999985</v>
      </c>
      <c r="DB696" s="1269">
        <f t="shared" si="698"/>
        <v>-0.70199999999999996</v>
      </c>
      <c r="DC696" s="323">
        <f t="shared" si="698"/>
        <v>-3.5155000000000003</v>
      </c>
      <c r="DD696" s="323">
        <f t="shared" si="698"/>
        <v>5.4028999999999998</v>
      </c>
      <c r="DE696" s="323">
        <f t="shared" si="698"/>
        <v>-0.78050000000000042</v>
      </c>
      <c r="DF696" s="323">
        <f t="shared" si="698"/>
        <v>-0.14899999999999958</v>
      </c>
      <c r="DG696" s="323">
        <f t="shared" si="698"/>
        <v>11.350300000000004</v>
      </c>
      <c r="DH696" s="323">
        <f t="shared" si="698"/>
        <v>4.4945000000000004</v>
      </c>
      <c r="DI696" s="323">
        <f t="shared" si="698"/>
        <v>6.2279999999999998</v>
      </c>
      <c r="DJ696" s="323">
        <f t="shared" si="698"/>
        <v>8.7312999999999832</v>
      </c>
      <c r="DK696" s="323">
        <f t="shared" si="698"/>
        <v>0.28000000000000114</v>
      </c>
      <c r="DL696" s="323">
        <f t="shared" si="698"/>
        <v>12.278500000000001</v>
      </c>
      <c r="DM696" s="323">
        <f t="shared" si="698"/>
        <v>8.0632999999999981</v>
      </c>
      <c r="DN696" s="325">
        <f t="shared" si="698"/>
        <v>6.8730000000000011</v>
      </c>
      <c r="DO696" s="323">
        <f t="shared" ref="DO696:DT696" si="699">SUM(DO697:DO698)</f>
        <v>3.6617103065779091</v>
      </c>
      <c r="DP696" s="323">
        <f t="shared" si="699"/>
        <v>21.870700000000014</v>
      </c>
      <c r="DQ696" s="323">
        <f t="shared" si="699"/>
        <v>6.6839999999999975</v>
      </c>
      <c r="DR696" s="323">
        <f t="shared" si="699"/>
        <v>7.9417000000000044</v>
      </c>
      <c r="DS696" s="323">
        <f t="shared" si="699"/>
        <v>9.3489336149999929</v>
      </c>
      <c r="DT696" s="323">
        <f t="shared" si="699"/>
        <v>-4.9627999999999943</v>
      </c>
      <c r="DU696" s="323">
        <f t="shared" ref="DU696:DZ696" si="700">SUM(DU697:DU698)</f>
        <v>7.5042560784220811</v>
      </c>
      <c r="DV696" s="323">
        <f t="shared" si="700"/>
        <v>6.5172000000000025</v>
      </c>
      <c r="DW696" s="323">
        <f t="shared" si="700"/>
        <v>-3.2092999999999989</v>
      </c>
      <c r="DX696" s="323">
        <f>SUM(DX697:DX698)</f>
        <v>2.0746999999999929</v>
      </c>
      <c r="DY696" s="323">
        <f t="shared" si="700"/>
        <v>6.9359000000000037</v>
      </c>
      <c r="DZ696" s="325">
        <f t="shared" si="700"/>
        <v>-11.419756078422076</v>
      </c>
      <c r="EA696" s="323">
        <f t="shared" ref="EA696:EK696" si="701">SUM(EA697:EA698)</f>
        <v>-12.827799999999996</v>
      </c>
      <c r="EB696" s="323">
        <f t="shared" si="701"/>
        <v>1.6322000000000045</v>
      </c>
      <c r="EC696" s="323">
        <f t="shared" si="701"/>
        <v>-4.6678439215778269</v>
      </c>
      <c r="ED696" s="323">
        <f t="shared" si="701"/>
        <v>-3.5057000000000045</v>
      </c>
      <c r="EE696" s="323">
        <f t="shared" si="701"/>
        <v>2.8764000000000181</v>
      </c>
      <c r="EF696" s="323">
        <f t="shared" si="701"/>
        <v>3.8395999999999972</v>
      </c>
      <c r="EG696" s="323">
        <f t="shared" si="701"/>
        <v>19.635299999999901</v>
      </c>
      <c r="EH696" s="323">
        <f t="shared" si="701"/>
        <v>-13.457299999999982</v>
      </c>
      <c r="EI696" s="323">
        <f t="shared" si="701"/>
        <v>0.52939999999999543</v>
      </c>
      <c r="EJ696" s="323">
        <f t="shared" si="701"/>
        <v>21.618200000000016</v>
      </c>
      <c r="EK696" s="323">
        <f t="shared" si="701"/>
        <v>-0.34890000000001464</v>
      </c>
      <c r="EL696" s="325">
        <f t="shared" ref="EL696:ER696" si="702">SUM(EL697:EL698)</f>
        <v>24.838800000000006</v>
      </c>
      <c r="EM696" s="323">
        <f>SUM(EM697:EM698)</f>
        <v>1.6792999999999978</v>
      </c>
      <c r="EN696" s="323">
        <f t="shared" si="702"/>
        <v>-0.32800000000001006</v>
      </c>
      <c r="EO696" s="323">
        <f t="shared" si="702"/>
        <v>12.944899999999954</v>
      </c>
      <c r="EP696" s="323">
        <f t="shared" si="702"/>
        <v>17.377200000000016</v>
      </c>
      <c r="EQ696" s="323">
        <f t="shared" si="702"/>
        <v>11.975800000000035</v>
      </c>
      <c r="ER696" s="323">
        <f t="shared" si="702"/>
        <v>20.035399999999996</v>
      </c>
      <c r="ES696" s="323">
        <f t="shared" ref="ES696:EX696" si="703">SUM(ES697:ES698)</f>
        <v>-3.6547000000000054</v>
      </c>
      <c r="ET696" s="323">
        <f t="shared" si="703"/>
        <v>19.686799999999991</v>
      </c>
      <c r="EU696" s="323">
        <f t="shared" si="703"/>
        <v>-1.7055000000000007</v>
      </c>
      <c r="EV696" s="323">
        <f t="shared" si="703"/>
        <v>-3.300699999999992</v>
      </c>
      <c r="EW696" s="323">
        <f t="shared" si="703"/>
        <v>12.770600000000016</v>
      </c>
      <c r="EX696" s="325">
        <f t="shared" si="703"/>
        <v>27.936399999999992</v>
      </c>
      <c r="EY696" s="323"/>
      <c r="EZ696" s="323"/>
      <c r="FA696" s="323"/>
      <c r="FB696" s="323"/>
      <c r="FC696" s="323"/>
      <c r="FD696" s="323"/>
      <c r="FE696" s="323"/>
      <c r="FF696" s="323"/>
      <c r="FG696" s="323"/>
      <c r="FH696" s="323"/>
      <c r="FI696" s="323"/>
      <c r="FJ696" s="325"/>
      <c r="FK696" s="323"/>
      <c r="FL696" s="323"/>
      <c r="FM696" s="323"/>
      <c r="FN696" s="323"/>
      <c r="FO696" s="323"/>
      <c r="FP696" s="323"/>
      <c r="FQ696" s="323"/>
      <c r="FR696" s="323"/>
      <c r="FS696" s="323"/>
      <c r="FT696" s="323"/>
      <c r="FU696" s="323"/>
      <c r="FV696" s="323"/>
      <c r="FW696" s="323"/>
      <c r="FX696" s="323"/>
      <c r="FY696" s="323"/>
      <c r="FZ696" s="323"/>
      <c r="GA696" s="323"/>
      <c r="GB696" s="323"/>
      <c r="GC696" s="323"/>
      <c r="GD696" s="323"/>
      <c r="GE696" s="323"/>
      <c r="GF696" s="323"/>
      <c r="GG696" s="323"/>
      <c r="GH696" s="323"/>
      <c r="GI696" s="323"/>
      <c r="GJ696" s="323"/>
      <c r="GK696" s="323"/>
      <c r="GL696" s="323"/>
      <c r="GM696" s="323"/>
      <c r="GN696" s="323"/>
      <c r="GO696" s="323"/>
      <c r="GP696" s="323"/>
      <c r="GQ696" s="323"/>
      <c r="GR696" s="323"/>
      <c r="GS696" s="323"/>
      <c r="GT696" s="323"/>
      <c r="GU696" s="323"/>
      <c r="GV696" s="323"/>
      <c r="GW696" s="323"/>
      <c r="GX696" s="323"/>
      <c r="GY696" s="323"/>
      <c r="GZ696" s="323"/>
      <c r="HA696" s="323"/>
      <c r="HB696" s="323"/>
      <c r="HC696" s="323"/>
      <c r="HD696" s="323"/>
      <c r="HE696" s="323"/>
      <c r="HF696" s="323"/>
      <c r="HG696" s="323"/>
      <c r="HH696" s="323"/>
      <c r="HI696" s="323"/>
      <c r="HJ696" s="323"/>
      <c r="HK696" s="323"/>
      <c r="HL696" s="323"/>
      <c r="HM696" s="323"/>
      <c r="HN696" s="323"/>
      <c r="HO696" s="323"/>
      <c r="HP696" s="323"/>
      <c r="HQ696" s="323"/>
      <c r="HR696" s="323"/>
      <c r="HS696" s="323"/>
      <c r="HT696" s="323"/>
      <c r="HU696" s="323"/>
      <c r="HV696" s="323"/>
      <c r="HW696" s="323"/>
      <c r="HX696" s="323"/>
      <c r="HY696" s="323"/>
      <c r="HZ696" s="326"/>
      <c r="IA696" s="328" t="s">
        <v>832</v>
      </c>
      <c r="IB696" s="328"/>
      <c r="IC696" s="328"/>
      <c r="ID696" s="323">
        <f>+FISC!Z916</f>
        <v>30.9</v>
      </c>
      <c r="IE696" s="279">
        <f>SUM(IE697:IE698)</f>
        <v>18.027100000000004</v>
      </c>
      <c r="IF696" s="279">
        <f>SUM(IF697:IF698)</f>
        <v>12.880599999999996</v>
      </c>
      <c r="IG696" s="323">
        <f>SUM(IG697:IG698)</f>
        <v>30.907699999999995</v>
      </c>
      <c r="IH696" s="454">
        <f>+IH697+IH698</f>
        <v>16.802700000000005</v>
      </c>
      <c r="II696" s="279">
        <f t="shared" si="697"/>
        <v>42.454099999999983</v>
      </c>
      <c r="IJ696" s="323">
        <f t="shared" si="688"/>
        <v>59.256799999999984</v>
      </c>
      <c r="IK696" s="454">
        <f>+IK697+IK698</f>
        <v>44.544243921577923</v>
      </c>
      <c r="IL696" s="279">
        <f>SUM(DU696:DZ696)</f>
        <v>8.4030000000000058</v>
      </c>
      <c r="IM696" s="323">
        <f t="shared" si="689"/>
        <v>52.947243921577929</v>
      </c>
      <c r="IN696" s="454">
        <f>(+IN697+IN698)*0-12.6531439215778</f>
        <v>-12.653143921577801</v>
      </c>
      <c r="IO696" s="454">
        <f>+(IO697+IO698)</f>
        <v>29.125483031000002</v>
      </c>
      <c r="IP696" s="323">
        <f>FISC!AC916</f>
        <v>23.252356078422068</v>
      </c>
      <c r="IQ696" s="279">
        <f t="shared" si="677"/>
        <v>63.684599999999989</v>
      </c>
      <c r="IR696" s="279">
        <f t="shared" si="678"/>
        <v>51.732900000000001</v>
      </c>
      <c r="IS696" s="323">
        <f t="shared" si="590"/>
        <v>115.41749999999999</v>
      </c>
      <c r="IT696" s="454">
        <f>+(IT697+IT698)</f>
        <v>5.2270999999999503</v>
      </c>
      <c r="IU696" s="454">
        <f>+IU697+IU698</f>
        <v>44.565886081200048</v>
      </c>
      <c r="IV696" s="323">
        <f>+FISC!AE916</f>
        <v>49.792986081199999</v>
      </c>
      <c r="IW696" s="454" t="e">
        <f>+(IW697+IW698)*0+#REF!</f>
        <v>#REF!</v>
      </c>
      <c r="IX696" s="279" t="e">
        <f t="shared" si="679"/>
        <v>#REF!</v>
      </c>
      <c r="IY696" s="323">
        <f>+FISC!AF916</f>
        <v>57.334954867739597</v>
      </c>
      <c r="IZ696" s="454" t="e">
        <f>+(IZ697+IZ698)*0+#REF!</f>
        <v>#REF!</v>
      </c>
      <c r="JA696" s="279" t="e">
        <f t="shared" si="540"/>
        <v>#REF!</v>
      </c>
      <c r="JB696" s="323">
        <f>+FISC!AG916</f>
        <v>0</v>
      </c>
      <c r="JC696" s="454">
        <f>+(JC697+JC698)</f>
        <v>3.9153254149999999</v>
      </c>
      <c r="JD696" s="279">
        <f t="shared" si="682"/>
        <v>3.9153254149999999</v>
      </c>
      <c r="JE696" s="323">
        <f>+FISC!AH916</f>
        <v>7.8306508299999997</v>
      </c>
      <c r="JF696" s="454">
        <f>+(JF697+JF698)</f>
        <v>0</v>
      </c>
      <c r="JG696" s="279">
        <f t="shared" si="684"/>
        <v>0</v>
      </c>
      <c r="JH696" s="323">
        <f>+FISC!AI916</f>
        <v>0</v>
      </c>
      <c r="JI696" s="454">
        <f>+(JI697+JI698)</f>
        <v>0</v>
      </c>
      <c r="JJ696" s="279">
        <f t="shared" si="685"/>
        <v>0</v>
      </c>
      <c r="JK696" s="323">
        <f>+FISC!AJ916</f>
        <v>0</v>
      </c>
      <c r="JL696" s="454">
        <f>+(JL697+JL698)</f>
        <v>0</v>
      </c>
      <c r="JM696" s="279">
        <f t="shared" si="686"/>
        <v>0</v>
      </c>
      <c r="JN696" s="323">
        <f>+FISC!AK916</f>
        <v>0</v>
      </c>
      <c r="JO696" s="323"/>
      <c r="KU696" s="326"/>
      <c r="KV696" s="327"/>
      <c r="KY696" s="279">
        <f>SUM(KY697:KY698)</f>
        <v>0</v>
      </c>
      <c r="KZ696" s="279">
        <f>SUM(KZ697:KZ698)</f>
        <v>0</v>
      </c>
      <c r="LA696" s="279">
        <f>SUM(LA697:LA698)</f>
        <v>0</v>
      </c>
      <c r="LB696" s="279">
        <f>SUM(LB697:LB698)</f>
        <v>0</v>
      </c>
    </row>
    <row r="697" spans="1:314" hidden="1">
      <c r="A697" s="279"/>
      <c r="B697" s="96" t="s">
        <v>338</v>
      </c>
      <c r="D697" s="328" t="str">
        <f>+FISC!D917</f>
        <v>Non bank T/Bills</v>
      </c>
      <c r="E697" s="323"/>
      <c r="F697" s="323"/>
      <c r="G697" s="323"/>
      <c r="H697" s="323"/>
      <c r="I697" s="323"/>
      <c r="J697" s="323"/>
      <c r="K697" s="323"/>
      <c r="L697" s="323"/>
      <c r="M697" s="323"/>
      <c r="N697" s="323"/>
      <c r="O697" s="323"/>
      <c r="P697" s="323"/>
      <c r="Q697" s="323">
        <v>-6.0225</v>
      </c>
      <c r="R697" s="323">
        <v>-0.6552</v>
      </c>
      <c r="S697" s="323">
        <v>1.0439000000000001</v>
      </c>
      <c r="T697" s="323">
        <v>0.56389999999999996</v>
      </c>
      <c r="U697" s="323">
        <v>1.5960999999999999</v>
      </c>
      <c r="V697" s="323">
        <v>8.8031000000000006</v>
      </c>
      <c r="W697" s="323">
        <v>-1.0435000000000001</v>
      </c>
      <c r="X697" s="323">
        <v>1.54125</v>
      </c>
      <c r="Y697" s="323">
        <v>-2.8788499999999999</v>
      </c>
      <c r="Z697" s="323">
        <v>-6.4791000000000007</v>
      </c>
      <c r="AA697" s="323">
        <v>2.1366000000000001</v>
      </c>
      <c r="AB697" s="323">
        <v>-3.6234000000000002</v>
      </c>
      <c r="AC697" s="323">
        <v>-0.9</v>
      </c>
      <c r="AD697" s="323">
        <v>-0.2</v>
      </c>
      <c r="AE697" s="323">
        <v>-1.4</v>
      </c>
      <c r="AF697" s="323">
        <v>-0.2</v>
      </c>
      <c r="AG697" s="323">
        <v>0</v>
      </c>
      <c r="AH697" s="323">
        <v>0</v>
      </c>
      <c r="AI697" s="323">
        <v>1.5</v>
      </c>
      <c r="AJ697" s="323">
        <v>0</v>
      </c>
      <c r="AK697" s="323">
        <v>0</v>
      </c>
      <c r="AL697" s="323">
        <v>0</v>
      </c>
      <c r="AM697" s="323">
        <v>0</v>
      </c>
      <c r="AN697" s="323">
        <v>0</v>
      </c>
      <c r="AO697" s="323">
        <v>0</v>
      </c>
      <c r="AP697" s="323">
        <v>0.378</v>
      </c>
      <c r="AQ697" s="323">
        <v>0</v>
      </c>
      <c r="AR697" s="323">
        <v>-0.26700000000000002</v>
      </c>
      <c r="AS697" s="323">
        <v>9.7000000000000003E-2</v>
      </c>
      <c r="AT697" s="323">
        <v>2.0222000000000002</v>
      </c>
      <c r="AU697" s="323">
        <v>-1.0717000000000001</v>
      </c>
      <c r="AV697" s="323">
        <v>-0.52300000000000002</v>
      </c>
      <c r="AW697" s="323">
        <v>1.4056</v>
      </c>
      <c r="AX697" s="323">
        <v>-1.0532000000000001</v>
      </c>
      <c r="AY697" s="323">
        <v>0.21730000000000002</v>
      </c>
      <c r="AZ697" s="323">
        <v>-0.86470000000000002</v>
      </c>
      <c r="BA697" s="323">
        <v>0.18980000000000002</v>
      </c>
      <c r="BB697" s="323">
        <v>-0.25190000000000001</v>
      </c>
      <c r="BC697" s="323">
        <v>-1.35E-2</v>
      </c>
      <c r="BD697" s="323">
        <v>0.39879999999999999</v>
      </c>
      <c r="BE697" s="323">
        <v>-0.3422</v>
      </c>
      <c r="BF697" s="323">
        <v>4.0000000000000001E-3</v>
      </c>
      <c r="BG697" s="323">
        <v>0.13350000000000001</v>
      </c>
      <c r="BH697" s="323">
        <v>-7.990000000000004E-2</v>
      </c>
      <c r="BI697" s="323">
        <v>0.4723</v>
      </c>
      <c r="BJ697" s="323">
        <v>-0.47679999999999995</v>
      </c>
      <c r="BK697" s="323">
        <v>0.81820000000000004</v>
      </c>
      <c r="BL697" s="323">
        <v>-0.43420000000000003</v>
      </c>
      <c r="BM697" s="323">
        <v>0.12770000000000004</v>
      </c>
      <c r="BN697" s="323">
        <v>-0.58660000000000012</v>
      </c>
      <c r="BO697" s="323">
        <v>-1.6599999999999965E-2</v>
      </c>
      <c r="BP697" s="323">
        <v>0.66300000000000003</v>
      </c>
      <c r="BQ697" s="323">
        <v>1.5E-3</v>
      </c>
      <c r="BR697" s="323">
        <v>6.9899999999999976E-2</v>
      </c>
      <c r="BS697" s="323">
        <v>-0.76349999999999996</v>
      </c>
      <c r="BT697" s="323">
        <v>12.4359</v>
      </c>
      <c r="BU697" s="323">
        <v>6.2743000000000002</v>
      </c>
      <c r="BV697" s="323"/>
      <c r="BW697" s="323"/>
      <c r="BX697" s="323"/>
      <c r="BY697" s="323"/>
      <c r="BZ697" s="323"/>
      <c r="CA697" s="323"/>
      <c r="CB697" s="323"/>
      <c r="CC697" s="323"/>
      <c r="CD697" s="323"/>
      <c r="CE697" s="324">
        <f t="shared" ref="CE697:DJ697" si="704">CE121-CD121</f>
        <v>-7.6275000000000261</v>
      </c>
      <c r="CF697" s="323">
        <f t="shared" si="704"/>
        <v>-11.176000000000002</v>
      </c>
      <c r="CG697" s="323">
        <f t="shared" si="704"/>
        <v>6.1718000000000011</v>
      </c>
      <c r="CH697" s="323">
        <f t="shared" si="704"/>
        <v>-12.2028</v>
      </c>
      <c r="CI697" s="323">
        <f t="shared" si="704"/>
        <v>-3.7353000000000023</v>
      </c>
      <c r="CJ697" s="323">
        <f t="shared" si="704"/>
        <v>-3.6592999999999982</v>
      </c>
      <c r="CK697" s="323">
        <f t="shared" si="704"/>
        <v>1.0833999999999993</v>
      </c>
      <c r="CL697" s="323">
        <f t="shared" si="704"/>
        <v>0.61240000000000094</v>
      </c>
      <c r="CM697" s="323">
        <f t="shared" si="704"/>
        <v>-3.5635999999999992</v>
      </c>
      <c r="CN697" s="323">
        <f t="shared" si="704"/>
        <v>0</v>
      </c>
      <c r="CO697" s="323">
        <f t="shared" si="704"/>
        <v>0.23439999999999905</v>
      </c>
      <c r="CP697" s="325">
        <f t="shared" si="704"/>
        <v>1.3146000000000004</v>
      </c>
      <c r="CQ697" s="323">
        <f t="shared" si="704"/>
        <v>0.67939999999999934</v>
      </c>
      <c r="CR697" s="323">
        <f t="shared" si="704"/>
        <v>-0.84109999999999907</v>
      </c>
      <c r="CS697" s="323">
        <f t="shared" si="704"/>
        <v>-1.2789000000000001</v>
      </c>
      <c r="CT697" s="323">
        <f t="shared" si="704"/>
        <v>4.2790999999999997</v>
      </c>
      <c r="CU697" s="323">
        <f t="shared" si="704"/>
        <v>-0.5730000000000004</v>
      </c>
      <c r="CV697" s="323">
        <f t="shared" si="704"/>
        <v>-0.96609999999999907</v>
      </c>
      <c r="CW697" s="323">
        <f t="shared" si="704"/>
        <v>-1.9590000000000014</v>
      </c>
      <c r="CX697" s="323">
        <f t="shared" si="704"/>
        <v>-8.0999999999999517E-2</v>
      </c>
      <c r="CY697" s="323">
        <f t="shared" si="704"/>
        <v>2.2999999999999687E-2</v>
      </c>
      <c r="CZ697" s="323">
        <f t="shared" si="704"/>
        <v>0</v>
      </c>
      <c r="DA697" s="323">
        <f t="shared" si="704"/>
        <v>-9.5499999999999474E-2</v>
      </c>
      <c r="DB697" s="1269">
        <f t="shared" si="704"/>
        <v>-0.70199999999999996</v>
      </c>
      <c r="DC697" s="323">
        <f t="shared" si="704"/>
        <v>-3.5155000000000003</v>
      </c>
      <c r="DD697" s="323">
        <f t="shared" si="704"/>
        <v>-2.0469999999999997</v>
      </c>
      <c r="DE697" s="323">
        <f t="shared" si="704"/>
        <v>-0.78050000000000042</v>
      </c>
      <c r="DF697" s="323">
        <f t="shared" si="704"/>
        <v>-0.14899999999999958</v>
      </c>
      <c r="DG697" s="323">
        <f t="shared" si="704"/>
        <v>4.8916999999999993</v>
      </c>
      <c r="DH697" s="323">
        <f t="shared" si="704"/>
        <v>4.4945000000000004</v>
      </c>
      <c r="DI697" s="323">
        <f t="shared" si="704"/>
        <v>6.2279999999999998</v>
      </c>
      <c r="DJ697" s="323">
        <f t="shared" si="704"/>
        <v>-0.48649999999999949</v>
      </c>
      <c r="DK697" s="323">
        <f t="shared" ref="DK697:EP697" si="705">DK121-DJ121</f>
        <v>0.28000000000000114</v>
      </c>
      <c r="DL697" s="323">
        <f t="shared" si="705"/>
        <v>12.278500000000001</v>
      </c>
      <c r="DM697" s="323">
        <f t="shared" si="705"/>
        <v>1.5632999999999981</v>
      </c>
      <c r="DN697" s="325">
        <f t="shared" si="705"/>
        <v>6.8730000000000011</v>
      </c>
      <c r="DO697" s="323">
        <f t="shared" si="705"/>
        <v>3.6617103065779091</v>
      </c>
      <c r="DP697" s="323">
        <f t="shared" si="705"/>
        <v>10.584800000000001</v>
      </c>
      <c r="DQ697" s="323">
        <f t="shared" si="705"/>
        <v>7.2609000000000066</v>
      </c>
      <c r="DR697" s="323">
        <f t="shared" si="705"/>
        <v>7.9417000000000044</v>
      </c>
      <c r="DS697" s="323">
        <f t="shared" si="705"/>
        <v>-2.0110663850000066</v>
      </c>
      <c r="DT697" s="323">
        <f t="shared" si="705"/>
        <v>-4.9627999999999943</v>
      </c>
      <c r="DU697" s="323">
        <f t="shared" si="705"/>
        <v>7.5042560784220811</v>
      </c>
      <c r="DV697" s="323">
        <f t="shared" si="705"/>
        <v>6.0050999999999988</v>
      </c>
      <c r="DW697" s="323">
        <f t="shared" si="705"/>
        <v>-3.2092999999999989</v>
      </c>
      <c r="DX697" s="323">
        <f t="shared" si="705"/>
        <v>2.0746999999999929</v>
      </c>
      <c r="DY697" s="323">
        <f t="shared" si="705"/>
        <v>-2.0640999999999963</v>
      </c>
      <c r="DZ697" s="325">
        <f t="shared" si="705"/>
        <v>-11.419756078422076</v>
      </c>
      <c r="EA697" s="323">
        <f t="shared" si="705"/>
        <v>-12.827799999999996</v>
      </c>
      <c r="EB697" s="323">
        <f t="shared" si="705"/>
        <v>-4.0705000000000027</v>
      </c>
      <c r="EC697" s="323">
        <f t="shared" si="705"/>
        <v>-4.6078439215778246</v>
      </c>
      <c r="ED697" s="323">
        <f t="shared" si="705"/>
        <v>-3.5057000000000045</v>
      </c>
      <c r="EE697" s="323">
        <f t="shared" si="705"/>
        <v>-4.573599999999999</v>
      </c>
      <c r="EF697" s="323">
        <f t="shared" si="705"/>
        <v>3.8395999999999972</v>
      </c>
      <c r="EG697" s="323">
        <f t="shared" si="705"/>
        <v>19.635299999999901</v>
      </c>
      <c r="EH697" s="323">
        <f t="shared" si="705"/>
        <v>-5.3600999999999956</v>
      </c>
      <c r="EI697" s="323">
        <f t="shared" si="705"/>
        <v>0.52939999999999543</v>
      </c>
      <c r="EJ697" s="323">
        <f t="shared" si="705"/>
        <v>21.618200000000016</v>
      </c>
      <c r="EK697" s="323">
        <f t="shared" si="705"/>
        <v>-7.808700000000016</v>
      </c>
      <c r="EL697" s="325">
        <f t="shared" si="705"/>
        <v>10.640300000000011</v>
      </c>
      <c r="EM697" s="323">
        <f t="shared" si="705"/>
        <v>1.6792999999999978</v>
      </c>
      <c r="EN697" s="323">
        <f t="shared" si="705"/>
        <v>-11.636900000000004</v>
      </c>
      <c r="EO697" s="323">
        <f t="shared" si="705"/>
        <v>2.6246999999999829</v>
      </c>
      <c r="EP697" s="323">
        <f t="shared" si="705"/>
        <v>17.377200000000016</v>
      </c>
      <c r="EQ697" s="323">
        <f t="shared" ref="EQ697:EX697" si="706">EQ121-EP121</f>
        <v>7.4844000000000079</v>
      </c>
      <c r="ER697" s="323">
        <f t="shared" si="706"/>
        <v>20.035399999999996</v>
      </c>
      <c r="ES697" s="323">
        <f t="shared" si="706"/>
        <v>-7.7836999999999961</v>
      </c>
      <c r="ET697" s="323">
        <f t="shared" si="706"/>
        <v>9.7003999999999877</v>
      </c>
      <c r="EU697" s="323">
        <f t="shared" si="706"/>
        <v>-8.7055000000000007</v>
      </c>
      <c r="EV697" s="323">
        <f t="shared" si="706"/>
        <v>-3.300699999999992</v>
      </c>
      <c r="EW697" s="323">
        <f t="shared" si="706"/>
        <v>14.963499999999996</v>
      </c>
      <c r="EX697" s="325">
        <f t="shared" si="706"/>
        <v>11.352699999999999</v>
      </c>
      <c r="EY697" s="323"/>
      <c r="EZ697" s="323"/>
      <c r="FA697" s="323"/>
      <c r="FB697" s="323"/>
      <c r="FC697" s="323"/>
      <c r="FD697" s="323"/>
      <c r="FE697" s="323"/>
      <c r="FF697" s="323"/>
      <c r="FG697" s="323"/>
      <c r="FH697" s="323"/>
      <c r="FI697" s="323"/>
      <c r="FJ697" s="325"/>
      <c r="FK697" s="323"/>
      <c r="FL697" s="323"/>
      <c r="FM697" s="323"/>
      <c r="FN697" s="323"/>
      <c r="FO697" s="323"/>
      <c r="FP697" s="323"/>
      <c r="FQ697" s="323"/>
      <c r="FR697" s="323"/>
      <c r="FS697" s="323"/>
      <c r="FT697" s="323"/>
      <c r="FU697" s="323"/>
      <c r="FV697" s="323"/>
      <c r="FW697" s="323"/>
      <c r="FX697" s="323"/>
      <c r="FY697" s="323"/>
      <c r="FZ697" s="323"/>
      <c r="GA697" s="323"/>
      <c r="GB697" s="323"/>
      <c r="GC697" s="323"/>
      <c r="GD697" s="323"/>
      <c r="GE697" s="323"/>
      <c r="GF697" s="323"/>
      <c r="GG697" s="323"/>
      <c r="GH697" s="323"/>
      <c r="GI697" s="323"/>
      <c r="GJ697" s="323"/>
      <c r="GK697" s="323"/>
      <c r="GL697" s="323"/>
      <c r="GM697" s="323"/>
      <c r="GN697" s="323"/>
      <c r="GO697" s="323"/>
      <c r="GP697" s="323"/>
      <c r="GQ697" s="323"/>
      <c r="GR697" s="323"/>
      <c r="GS697" s="323"/>
      <c r="GT697" s="323"/>
      <c r="GU697" s="323"/>
      <c r="GV697" s="323"/>
      <c r="GW697" s="323"/>
      <c r="GX697" s="323"/>
      <c r="GY697" s="323"/>
      <c r="GZ697" s="323"/>
      <c r="HA697" s="323"/>
      <c r="HB697" s="323"/>
      <c r="HC697" s="323"/>
      <c r="HD697" s="323"/>
      <c r="HE697" s="323"/>
      <c r="HF697" s="323"/>
      <c r="HG697" s="323"/>
      <c r="HH697" s="323"/>
      <c r="HI697" s="323"/>
      <c r="HJ697" s="323"/>
      <c r="HK697" s="323"/>
      <c r="HL697" s="323"/>
      <c r="HM697" s="323"/>
      <c r="HN697" s="323"/>
      <c r="HO697" s="323"/>
      <c r="HP697" s="323"/>
      <c r="HQ697" s="323"/>
      <c r="HR697" s="323"/>
      <c r="HS697" s="323"/>
      <c r="HT697" s="323"/>
      <c r="HU697" s="323"/>
      <c r="HV697" s="323"/>
      <c r="HW697" s="323"/>
      <c r="HX697" s="323"/>
      <c r="HY697" s="323"/>
      <c r="HZ697" s="326"/>
      <c r="IA697" s="328" t="s">
        <v>171</v>
      </c>
      <c r="IB697" s="328"/>
      <c r="IC697" s="328"/>
      <c r="ID697" s="323">
        <f>+FISC!Z917</f>
        <v>0</v>
      </c>
      <c r="IE697" s="279">
        <f>SUM(CQ697:CV697)</f>
        <v>1.2994000000000003</v>
      </c>
      <c r="IF697" s="279">
        <f>SUM(CW697:DB697)</f>
        <v>-2.8145000000000007</v>
      </c>
      <c r="IG697" s="323">
        <f>SUM(CQ697:DB697)</f>
        <v>-1.5151000000000003</v>
      </c>
      <c r="IH697" s="279">
        <f>+SUM(DC697:DH697)</f>
        <v>2.8942000000000005</v>
      </c>
      <c r="II697" s="279">
        <f t="shared" si="697"/>
        <v>26.736300000000004</v>
      </c>
      <c r="IJ697" s="323">
        <f t="shared" si="688"/>
        <v>29.630500000000005</v>
      </c>
      <c r="IK697" s="279">
        <f>+SUM(DO697:DT697)</f>
        <v>22.475243921577921</v>
      </c>
      <c r="IL697" s="279">
        <f>SUM(DU697:DZ697)</f>
        <v>-1.109099999999998</v>
      </c>
      <c r="IM697" s="323">
        <f t="shared" si="689"/>
        <v>21.366143921577923</v>
      </c>
      <c r="IN697" s="454">
        <f>+(IP697/2)*0</f>
        <v>0</v>
      </c>
      <c r="IO697" s="279">
        <f>+IP697-IN697</f>
        <v>14.562741515500001</v>
      </c>
      <c r="IP697" s="323">
        <f>FISC!AC917</f>
        <v>14.562741515500001</v>
      </c>
      <c r="IQ697" s="279">
        <f t="shared" si="677"/>
        <v>37.564099999999996</v>
      </c>
      <c r="IR697" s="279">
        <f t="shared" si="678"/>
        <v>16.226699999999994</v>
      </c>
      <c r="IS697" s="323">
        <f t="shared" si="590"/>
        <v>53.79079999999999</v>
      </c>
      <c r="IT697" s="454">
        <f>+(IV697/2)*0+5.22709999999995</f>
        <v>5.2270999999999503</v>
      </c>
      <c r="IU697" s="279">
        <f>+IV697-IT697</f>
        <v>19.669393040600049</v>
      </c>
      <c r="IV697" s="323">
        <f>+FISC!AE917</f>
        <v>24.896493040599999</v>
      </c>
      <c r="IW697" s="454">
        <f>+IY697/2</f>
        <v>14.333738716934899</v>
      </c>
      <c r="IX697" s="279">
        <f t="shared" si="679"/>
        <v>14.333738716934899</v>
      </c>
      <c r="IY697" s="323">
        <f>+FISC!AF917</f>
        <v>28.667477433869799</v>
      </c>
      <c r="IZ697" s="454">
        <f>+JB697/2</f>
        <v>0</v>
      </c>
      <c r="JA697" s="279">
        <f t="shared" si="540"/>
        <v>0</v>
      </c>
      <c r="JB697" s="323">
        <f>+FISC!AG917</f>
        <v>0</v>
      </c>
      <c r="JC697" s="454">
        <f>+JE697/2</f>
        <v>1.9576627074999999</v>
      </c>
      <c r="JD697" s="279">
        <f t="shared" si="682"/>
        <v>1.9576627074999999</v>
      </c>
      <c r="JE697" s="323">
        <f>+FISC!AH917</f>
        <v>3.9153254149999999</v>
      </c>
      <c r="JF697" s="454">
        <f>+JH697/2</f>
        <v>0</v>
      </c>
      <c r="JG697" s="279">
        <f t="shared" si="684"/>
        <v>0</v>
      </c>
      <c r="JH697" s="323">
        <f>+FISC!AI917</f>
        <v>0</v>
      </c>
      <c r="JI697" s="454">
        <f>+JK697/2</f>
        <v>0</v>
      </c>
      <c r="JJ697" s="279">
        <f t="shared" si="685"/>
        <v>0</v>
      </c>
      <c r="JK697" s="323">
        <f>+FISC!AJ917</f>
        <v>0</v>
      </c>
      <c r="JL697" s="454">
        <f>+JN697/2</f>
        <v>0</v>
      </c>
      <c r="JM697" s="279">
        <f t="shared" si="686"/>
        <v>0</v>
      </c>
      <c r="JN697" s="323">
        <f>+FISC!AK917</f>
        <v>0</v>
      </c>
      <c r="JO697" s="323"/>
      <c r="KU697" s="326"/>
      <c r="KV697" s="327"/>
    </row>
    <row r="698" spans="1:314" hidden="1">
      <c r="A698" s="279"/>
      <c r="B698" s="96" t="s">
        <v>338</v>
      </c>
      <c r="D698" s="328" t="str">
        <f>+FISC!D918</f>
        <v>Non bank T/Bonds</v>
      </c>
      <c r="E698" s="323"/>
      <c r="F698" s="323"/>
      <c r="G698" s="323"/>
      <c r="H698" s="323"/>
      <c r="I698" s="323"/>
      <c r="J698" s="323"/>
      <c r="K698" s="323"/>
      <c r="L698" s="323"/>
      <c r="M698" s="323"/>
      <c r="N698" s="323"/>
      <c r="O698" s="323"/>
      <c r="P698" s="323"/>
      <c r="Q698" s="323">
        <v>1</v>
      </c>
      <c r="R698" s="323">
        <v>1.7510999999999999</v>
      </c>
      <c r="S698" s="323">
        <v>0</v>
      </c>
      <c r="T698" s="323">
        <v>0</v>
      </c>
      <c r="U698" s="323">
        <v>0</v>
      </c>
      <c r="V698" s="323">
        <v>0</v>
      </c>
      <c r="W698" s="323">
        <v>0</v>
      </c>
      <c r="X698" s="323">
        <v>0</v>
      </c>
      <c r="Y698" s="323">
        <v>0</v>
      </c>
      <c r="Z698" s="323">
        <v>0</v>
      </c>
      <c r="AA698" s="323">
        <v>0</v>
      </c>
      <c r="AB698" s="323">
        <v>0</v>
      </c>
      <c r="AC698" s="323">
        <v>0</v>
      </c>
      <c r="AD698" s="323">
        <v>0</v>
      </c>
      <c r="AE698" s="323">
        <v>0</v>
      </c>
      <c r="AF698" s="323">
        <v>0</v>
      </c>
      <c r="AG698" s="323">
        <v>0</v>
      </c>
      <c r="AH698" s="323">
        <v>0</v>
      </c>
      <c r="AI698" s="323">
        <v>0</v>
      </c>
      <c r="AJ698" s="323">
        <v>0</v>
      </c>
      <c r="AK698" s="323">
        <v>0</v>
      </c>
      <c r="AL698" s="323">
        <v>0</v>
      </c>
      <c r="AM698" s="323">
        <v>0</v>
      </c>
      <c r="AN698" s="323">
        <v>0</v>
      </c>
      <c r="AO698" s="323">
        <v>0</v>
      </c>
      <c r="AP698" s="323">
        <v>0</v>
      </c>
      <c r="AQ698" s="323">
        <v>-1.903</v>
      </c>
      <c r="AR698" s="323">
        <v>0</v>
      </c>
      <c r="AS698" s="323">
        <v>0</v>
      </c>
      <c r="AT698" s="323">
        <v>-0.39400000000000002</v>
      </c>
      <c r="AU698" s="323">
        <v>0</v>
      </c>
      <c r="AV698" s="323">
        <v>0.36960000000000004</v>
      </c>
      <c r="AW698" s="323">
        <v>0</v>
      </c>
      <c r="AX698" s="323">
        <v>0</v>
      </c>
      <c r="AY698" s="323">
        <v>0.5</v>
      </c>
      <c r="AZ698" s="323">
        <v>0</v>
      </c>
      <c r="BA698" s="323">
        <v>0</v>
      </c>
      <c r="BB698" s="323">
        <v>-0.49389999999999995</v>
      </c>
      <c r="BC698" s="323">
        <v>0</v>
      </c>
      <c r="BD698" s="323">
        <v>0</v>
      </c>
      <c r="BE698" s="323">
        <v>0</v>
      </c>
      <c r="BF698" s="323">
        <v>0</v>
      </c>
      <c r="BG698" s="323">
        <v>0</v>
      </c>
      <c r="BH698" s="323">
        <v>0</v>
      </c>
      <c r="BI698" s="323">
        <v>0</v>
      </c>
      <c r="BJ698" s="323">
        <v>0</v>
      </c>
      <c r="BK698" s="323">
        <v>0</v>
      </c>
      <c r="BL698" s="323">
        <v>0</v>
      </c>
      <c r="BM698" s="323">
        <v>0</v>
      </c>
      <c r="BN698" s="323">
        <v>0</v>
      </c>
      <c r="BO698" s="323">
        <v>0</v>
      </c>
      <c r="BP698" s="323">
        <v>0</v>
      </c>
      <c r="BQ698" s="323">
        <v>0</v>
      </c>
      <c r="BR698" s="323">
        <v>0</v>
      </c>
      <c r="BS698" s="323">
        <v>0</v>
      </c>
      <c r="BT698" s="323">
        <v>-0.36960000000000004</v>
      </c>
      <c r="BU698" s="323">
        <v>0</v>
      </c>
      <c r="BV698" s="323"/>
      <c r="BW698" s="323"/>
      <c r="BX698" s="323"/>
      <c r="BY698" s="323"/>
      <c r="BZ698" s="323"/>
      <c r="CA698" s="323"/>
      <c r="CB698" s="323"/>
      <c r="CC698" s="323"/>
      <c r="CD698" s="323"/>
      <c r="CE698" s="324">
        <f t="shared" ref="CE698:DJ698" si="707">CE124-CD124</f>
        <v>0</v>
      </c>
      <c r="CF698" s="323">
        <f t="shared" si="707"/>
        <v>0</v>
      </c>
      <c r="CG698" s="323">
        <f t="shared" si="707"/>
        <v>0</v>
      </c>
      <c r="CH698" s="323">
        <f t="shared" si="707"/>
        <v>0</v>
      </c>
      <c r="CI698" s="323">
        <f t="shared" si="707"/>
        <v>0</v>
      </c>
      <c r="CJ698" s="323">
        <f t="shared" si="707"/>
        <v>0</v>
      </c>
      <c r="CK698" s="323">
        <f t="shared" si="707"/>
        <v>0</v>
      </c>
      <c r="CL698" s="323">
        <f t="shared" si="707"/>
        <v>5.8940000000000001</v>
      </c>
      <c r="CM698" s="323">
        <f t="shared" si="707"/>
        <v>0</v>
      </c>
      <c r="CN698" s="323">
        <f t="shared" si="707"/>
        <v>0</v>
      </c>
      <c r="CO698" s="323">
        <f t="shared" si="707"/>
        <v>15</v>
      </c>
      <c r="CP698" s="325">
        <f t="shared" si="707"/>
        <v>0</v>
      </c>
      <c r="CQ698" s="323">
        <f t="shared" si="707"/>
        <v>0</v>
      </c>
      <c r="CR698" s="323">
        <f t="shared" si="707"/>
        <v>9.0705999999999989</v>
      </c>
      <c r="CS698" s="323">
        <f t="shared" si="707"/>
        <v>0</v>
      </c>
      <c r="CT698" s="323">
        <f t="shared" si="707"/>
        <v>0</v>
      </c>
      <c r="CU698" s="323">
        <f t="shared" si="707"/>
        <v>7.6571000000000033</v>
      </c>
      <c r="CV698" s="323">
        <f t="shared" si="707"/>
        <v>0</v>
      </c>
      <c r="CW698" s="323">
        <f t="shared" si="707"/>
        <v>0</v>
      </c>
      <c r="CX698" s="323">
        <f t="shared" si="707"/>
        <v>7.7871999999999986</v>
      </c>
      <c r="CY698" s="323">
        <f t="shared" si="707"/>
        <v>0</v>
      </c>
      <c r="CZ698" s="323">
        <f t="shared" si="707"/>
        <v>0</v>
      </c>
      <c r="DA698" s="323">
        <f t="shared" si="707"/>
        <v>7.9078999999999979</v>
      </c>
      <c r="DB698" s="1269">
        <f t="shared" si="707"/>
        <v>0</v>
      </c>
      <c r="DC698" s="323">
        <f t="shared" si="707"/>
        <v>0</v>
      </c>
      <c r="DD698" s="323">
        <f t="shared" si="707"/>
        <v>7.4498999999999995</v>
      </c>
      <c r="DE698" s="323">
        <f t="shared" si="707"/>
        <v>0</v>
      </c>
      <c r="DF698" s="323">
        <f t="shared" si="707"/>
        <v>0</v>
      </c>
      <c r="DG698" s="323">
        <f t="shared" si="707"/>
        <v>6.4586000000000041</v>
      </c>
      <c r="DH698" s="323">
        <f t="shared" si="707"/>
        <v>0</v>
      </c>
      <c r="DI698" s="323">
        <f t="shared" si="707"/>
        <v>0</v>
      </c>
      <c r="DJ698" s="323">
        <f t="shared" si="707"/>
        <v>9.2177999999999827</v>
      </c>
      <c r="DK698" s="323">
        <f t="shared" ref="DK698:EP698" si="708">DK124-DJ124</f>
        <v>0</v>
      </c>
      <c r="DL698" s="323">
        <f t="shared" si="708"/>
        <v>0</v>
      </c>
      <c r="DM698" s="323">
        <f t="shared" si="708"/>
        <v>6.5</v>
      </c>
      <c r="DN698" s="325">
        <f t="shared" si="708"/>
        <v>0</v>
      </c>
      <c r="DO698" s="323">
        <f t="shared" si="708"/>
        <v>0</v>
      </c>
      <c r="DP698" s="323">
        <f t="shared" si="708"/>
        <v>11.285900000000012</v>
      </c>
      <c r="DQ698" s="323">
        <f t="shared" si="708"/>
        <v>-0.57690000000000907</v>
      </c>
      <c r="DR698" s="323">
        <f t="shared" si="708"/>
        <v>0</v>
      </c>
      <c r="DS698" s="323">
        <f t="shared" si="708"/>
        <v>11.36</v>
      </c>
      <c r="DT698" s="323">
        <f t="shared" si="708"/>
        <v>0</v>
      </c>
      <c r="DU698" s="323">
        <f t="shared" si="708"/>
        <v>0</v>
      </c>
      <c r="DV698" s="323">
        <f t="shared" si="708"/>
        <v>0.51210000000000377</v>
      </c>
      <c r="DW698" s="323">
        <f t="shared" si="708"/>
        <v>0</v>
      </c>
      <c r="DX698" s="323">
        <f t="shared" si="708"/>
        <v>0</v>
      </c>
      <c r="DY698" s="323">
        <f t="shared" si="708"/>
        <v>9</v>
      </c>
      <c r="DZ698" s="325">
        <f t="shared" si="708"/>
        <v>0</v>
      </c>
      <c r="EA698" s="323">
        <f t="shared" si="708"/>
        <v>0</v>
      </c>
      <c r="EB698" s="323">
        <f t="shared" si="708"/>
        <v>5.7027000000000072</v>
      </c>
      <c r="EC698" s="323">
        <f t="shared" si="708"/>
        <v>-6.0000000000002274E-2</v>
      </c>
      <c r="ED698" s="323">
        <f t="shared" si="708"/>
        <v>0</v>
      </c>
      <c r="EE698" s="323">
        <f t="shared" si="708"/>
        <v>7.4500000000000171</v>
      </c>
      <c r="EF698" s="323">
        <f t="shared" si="708"/>
        <v>0</v>
      </c>
      <c r="EG698" s="323">
        <f t="shared" si="708"/>
        <v>0</v>
      </c>
      <c r="EH698" s="323">
        <f t="shared" si="708"/>
        <v>-8.0971999999999866</v>
      </c>
      <c r="EI698" s="323">
        <f t="shared" si="708"/>
        <v>0</v>
      </c>
      <c r="EJ698" s="323">
        <f t="shared" si="708"/>
        <v>0</v>
      </c>
      <c r="EK698" s="323">
        <f t="shared" si="708"/>
        <v>7.4598000000000013</v>
      </c>
      <c r="EL698" s="325">
        <f t="shared" si="708"/>
        <v>14.198499999999996</v>
      </c>
      <c r="EM698" s="323">
        <f t="shared" si="708"/>
        <v>0</v>
      </c>
      <c r="EN698" s="323">
        <f t="shared" si="708"/>
        <v>11.308899999999994</v>
      </c>
      <c r="EO698" s="323">
        <f t="shared" si="708"/>
        <v>10.320199999999971</v>
      </c>
      <c r="EP698" s="323">
        <f t="shared" si="708"/>
        <v>0</v>
      </c>
      <c r="EQ698" s="323">
        <f t="shared" ref="EQ698:EX698" si="709">EQ124-EP124</f>
        <v>4.4914000000000271</v>
      </c>
      <c r="ER698" s="323">
        <f t="shared" si="709"/>
        <v>0</v>
      </c>
      <c r="ES698" s="323">
        <f t="shared" si="709"/>
        <v>4.1289999999999907</v>
      </c>
      <c r="ET698" s="323">
        <f t="shared" si="709"/>
        <v>9.9864000000000033</v>
      </c>
      <c r="EU698" s="323">
        <f t="shared" si="709"/>
        <v>7</v>
      </c>
      <c r="EV698" s="323">
        <f t="shared" si="709"/>
        <v>0</v>
      </c>
      <c r="EW698" s="323">
        <f t="shared" si="709"/>
        <v>-2.1928999999999803</v>
      </c>
      <c r="EX698" s="325">
        <f t="shared" si="709"/>
        <v>16.583699999999993</v>
      </c>
      <c r="EY698" s="323"/>
      <c r="EZ698" s="323"/>
      <c r="FA698" s="323"/>
      <c r="FB698" s="323"/>
      <c r="FC698" s="323"/>
      <c r="FD698" s="323"/>
      <c r="FE698" s="323"/>
      <c r="FF698" s="323"/>
      <c r="FG698" s="323"/>
      <c r="FH698" s="323"/>
      <c r="FI698" s="323"/>
      <c r="FJ698" s="325"/>
      <c r="FK698" s="323"/>
      <c r="FL698" s="323"/>
      <c r="FM698" s="323"/>
      <c r="FN698" s="323"/>
      <c r="FO698" s="323"/>
      <c r="FP698" s="323"/>
      <c r="FQ698" s="323"/>
      <c r="FR698" s="323"/>
      <c r="FS698" s="323"/>
      <c r="FT698" s="323"/>
      <c r="FU698" s="323"/>
      <c r="FV698" s="323"/>
      <c r="FW698" s="323"/>
      <c r="FX698" s="323"/>
      <c r="FY698" s="323"/>
      <c r="FZ698" s="323"/>
      <c r="GA698" s="323"/>
      <c r="GB698" s="323"/>
      <c r="GC698" s="323"/>
      <c r="GD698" s="323"/>
      <c r="GE698" s="323"/>
      <c r="GF698" s="323"/>
      <c r="GG698" s="323"/>
      <c r="GH698" s="323"/>
      <c r="GI698" s="323"/>
      <c r="GJ698" s="323"/>
      <c r="GK698" s="323"/>
      <c r="GL698" s="323"/>
      <c r="GM698" s="323"/>
      <c r="GN698" s="323"/>
      <c r="GO698" s="323"/>
      <c r="GP698" s="323"/>
      <c r="GQ698" s="323"/>
      <c r="GR698" s="323"/>
      <c r="GS698" s="323"/>
      <c r="GT698" s="323"/>
      <c r="GU698" s="323"/>
      <c r="GV698" s="323"/>
      <c r="GW698" s="323"/>
      <c r="GX698" s="323"/>
      <c r="GY698" s="323"/>
      <c r="GZ698" s="323"/>
      <c r="HA698" s="323"/>
      <c r="HB698" s="323"/>
      <c r="HC698" s="323"/>
      <c r="HD698" s="323"/>
      <c r="HE698" s="323"/>
      <c r="HF698" s="323"/>
      <c r="HG698" s="323"/>
      <c r="HH698" s="323"/>
      <c r="HI698" s="323"/>
      <c r="HJ698" s="323"/>
      <c r="HK698" s="323"/>
      <c r="HL698" s="323"/>
      <c r="HM698" s="323"/>
      <c r="HN698" s="323"/>
      <c r="HO698" s="323"/>
      <c r="HP698" s="323"/>
      <c r="HQ698" s="323"/>
      <c r="HR698" s="323"/>
      <c r="HS698" s="323"/>
      <c r="HT698" s="323"/>
      <c r="HU698" s="323"/>
      <c r="HV698" s="323"/>
      <c r="HW698" s="323"/>
      <c r="HX698" s="323"/>
      <c r="HY698" s="323"/>
      <c r="HZ698" s="326"/>
      <c r="IA698" s="328" t="s">
        <v>172</v>
      </c>
      <c r="IB698" s="328"/>
      <c r="IC698" s="328"/>
      <c r="ID698" s="323">
        <f>+FISC!Z918</f>
        <v>0</v>
      </c>
      <c r="IE698" s="279">
        <f>SUM(CQ698:CV698)</f>
        <v>16.727700000000002</v>
      </c>
      <c r="IF698" s="279">
        <f>SUM(CW698:DB698)</f>
        <v>15.695099999999996</v>
      </c>
      <c r="IG698" s="323">
        <f>SUM(CQ698:DB698)</f>
        <v>32.422799999999995</v>
      </c>
      <c r="IH698" s="279">
        <f>+SUM(DC698:DH698)</f>
        <v>13.908500000000004</v>
      </c>
      <c r="II698" s="279">
        <f t="shared" si="697"/>
        <v>15.717799999999983</v>
      </c>
      <c r="IJ698" s="323">
        <f t="shared" si="688"/>
        <v>29.626299999999986</v>
      </c>
      <c r="IK698" s="279">
        <f>+SUM(DO698:DT698)</f>
        <v>22.069000000000003</v>
      </c>
      <c r="IL698" s="279">
        <f>SUM(DU698:DZ698)</f>
        <v>9.5121000000000038</v>
      </c>
      <c r="IM698" s="323">
        <f t="shared" si="689"/>
        <v>31.581100000000006</v>
      </c>
      <c r="IN698" s="454">
        <f>(+IP698/2)*0</f>
        <v>0</v>
      </c>
      <c r="IO698" s="279">
        <f>+IP698-IN698</f>
        <v>14.562741515500001</v>
      </c>
      <c r="IP698" s="323">
        <f>FISC!AC918</f>
        <v>14.562741515500001</v>
      </c>
      <c r="IQ698" s="279">
        <f t="shared" si="677"/>
        <v>26.120499999999993</v>
      </c>
      <c r="IR698" s="279">
        <f t="shared" si="678"/>
        <v>35.506200000000007</v>
      </c>
      <c r="IS698" s="323">
        <f t="shared" si="590"/>
        <v>61.6267</v>
      </c>
      <c r="IT698" s="454">
        <f>+(IV698/2)*0</f>
        <v>0</v>
      </c>
      <c r="IU698" s="279">
        <f>+IV698-IT698</f>
        <v>24.896493040599999</v>
      </c>
      <c r="IV698" s="323">
        <f>+FISC!AE918</f>
        <v>24.896493040599999</v>
      </c>
      <c r="IW698" s="454">
        <f>+IY698/2</f>
        <v>14.333738716934899</v>
      </c>
      <c r="IX698" s="279">
        <f t="shared" si="679"/>
        <v>14.333738716934899</v>
      </c>
      <c r="IY698" s="323">
        <f>+FISC!AF918</f>
        <v>28.667477433869799</v>
      </c>
      <c r="IZ698" s="454">
        <f>+JB698/2</f>
        <v>0</v>
      </c>
      <c r="JA698" s="279">
        <f t="shared" si="540"/>
        <v>0</v>
      </c>
      <c r="JB698" s="323">
        <f>+FISC!AG918</f>
        <v>0</v>
      </c>
      <c r="JC698" s="454">
        <f>+JE698/2</f>
        <v>1.9576627074999999</v>
      </c>
      <c r="JD698" s="279">
        <f t="shared" si="682"/>
        <v>1.9576627074999999</v>
      </c>
      <c r="JE698" s="323">
        <f>+FISC!AH918</f>
        <v>3.9153254149999999</v>
      </c>
      <c r="JF698" s="454">
        <f>+JH698/2</f>
        <v>0</v>
      </c>
      <c r="JG698" s="279">
        <f t="shared" si="684"/>
        <v>0</v>
      </c>
      <c r="JH698" s="323">
        <f>+FISC!AI918</f>
        <v>0</v>
      </c>
      <c r="JI698" s="454">
        <f>+JK698/2</f>
        <v>0</v>
      </c>
      <c r="JJ698" s="279">
        <f t="shared" si="685"/>
        <v>0</v>
      </c>
      <c r="JK698" s="323">
        <f>+FISC!AJ918</f>
        <v>0</v>
      </c>
      <c r="JL698" s="454">
        <f>+JN698/2</f>
        <v>0</v>
      </c>
      <c r="JM698" s="279">
        <f t="shared" si="686"/>
        <v>0</v>
      </c>
      <c r="JN698" s="323">
        <f>+FISC!AK918</f>
        <v>0</v>
      </c>
      <c r="JO698" s="323"/>
      <c r="KU698" s="326"/>
      <c r="KV698" s="327"/>
    </row>
    <row r="699" spans="1:314" hidden="1">
      <c r="A699" s="279"/>
      <c r="B699" s="96" t="s">
        <v>338</v>
      </c>
      <c r="D699" s="328" t="str">
        <f>+FISC!D919</f>
        <v>Non Bank Sector Debt Repayment (&gt; 2016/17 from DMO)</v>
      </c>
      <c r="E699" s="323"/>
      <c r="F699" s="323"/>
      <c r="G699" s="323"/>
      <c r="H699" s="323"/>
      <c r="I699" s="323"/>
      <c r="J699" s="323"/>
      <c r="K699" s="323"/>
      <c r="L699" s="323"/>
      <c r="M699" s="323"/>
      <c r="N699" s="323"/>
      <c r="O699" s="323"/>
      <c r="P699" s="323"/>
      <c r="Q699" s="323">
        <v>0</v>
      </c>
      <c r="R699" s="323">
        <v>-3.8502700000000001</v>
      </c>
      <c r="S699" s="323">
        <v>-8.3860000000000004E-2</v>
      </c>
      <c r="T699" s="323">
        <v>-0.68985000000000007</v>
      </c>
      <c r="U699" s="323">
        <v>-2.0622500000000001</v>
      </c>
      <c r="V699" s="323">
        <v>-4.2703568379999997</v>
      </c>
      <c r="W699" s="323">
        <v>-0.62691000000000008</v>
      </c>
      <c r="X699" s="323">
        <v>-0.14207</v>
      </c>
      <c r="Y699" s="323">
        <v>-3.0620000000000001E-2</v>
      </c>
      <c r="Z699" s="323">
        <v>-0.12315999999999999</v>
      </c>
      <c r="AA699" s="323">
        <v>-0.1336</v>
      </c>
      <c r="AB699" s="323">
        <v>-1.4154599999999999</v>
      </c>
      <c r="AC699" s="323">
        <v>0</v>
      </c>
      <c r="AD699" s="323">
        <v>0</v>
      </c>
      <c r="AE699" s="323">
        <v>0</v>
      </c>
      <c r="AF699" s="323">
        <v>-1.73472</v>
      </c>
      <c r="AG699" s="323">
        <v>-0.83784000000000003</v>
      </c>
      <c r="AH699" s="323">
        <v>-3.9935600000000004</v>
      </c>
      <c r="AI699" s="323">
        <v>-2.5940400000000001</v>
      </c>
      <c r="AJ699" s="323">
        <v>-2.88862</v>
      </c>
      <c r="AK699" s="323">
        <v>-0.54108000000000001</v>
      </c>
      <c r="AL699" s="323">
        <v>-1.1647100000000001</v>
      </c>
      <c r="AM699" s="323">
        <v>-0.27212000000000003</v>
      </c>
      <c r="AN699" s="323">
        <v>-3.7279100000000001</v>
      </c>
      <c r="AO699" s="323">
        <v>-0.53528999999999993</v>
      </c>
      <c r="AP699" s="323">
        <v>-4.3159999999999998</v>
      </c>
      <c r="AQ699" s="323">
        <v>-1.19034</v>
      </c>
      <c r="AR699" s="323">
        <v>-1.6147199999999999</v>
      </c>
      <c r="AS699" s="323">
        <v>-6.0579999999999995E-2</v>
      </c>
      <c r="AT699" s="323">
        <v>-2.55958</v>
      </c>
      <c r="AU699" s="323">
        <v>-1.2036600000000002</v>
      </c>
      <c r="AV699" s="323">
        <v>-4.351E-2</v>
      </c>
      <c r="AW699" s="323">
        <v>-0.15052000000000001</v>
      </c>
      <c r="AX699" s="323">
        <v>-4.342E-2</v>
      </c>
      <c r="AY699" s="323">
        <v>-0.52958000000000005</v>
      </c>
      <c r="AZ699" s="323">
        <v>-0.64163000000000003</v>
      </c>
      <c r="BA699" s="323">
        <v>-1.96055</v>
      </c>
      <c r="BB699" s="323">
        <v>-7.176779999999999</v>
      </c>
      <c r="BC699" s="323">
        <v>-0.83624000000000009</v>
      </c>
      <c r="BD699" s="323">
        <v>-4</v>
      </c>
      <c r="BE699" s="323">
        <v>-0.39223000000000002</v>
      </c>
      <c r="BF699" s="323">
        <v>-1.1094800000000002</v>
      </c>
      <c r="BG699" s="323">
        <v>-1.7707280000000001</v>
      </c>
      <c r="BH699" s="323">
        <v>-1.47489</v>
      </c>
      <c r="BI699" s="323">
        <v>-0.33729999999999999</v>
      </c>
      <c r="BJ699" s="323">
        <v>-0.153425966</v>
      </c>
      <c r="BK699" s="323">
        <v>-6.8879137000000007E-2</v>
      </c>
      <c r="BL699" s="323">
        <v>-1.054959582</v>
      </c>
      <c r="BM699" s="323">
        <v>-3.5135700000000001</v>
      </c>
      <c r="BN699" s="323">
        <v>-2.1827399999999999</v>
      </c>
      <c r="BO699" s="323">
        <v>-2.1652800000000001</v>
      </c>
      <c r="BP699" s="323">
        <v>-3.2053799999999999</v>
      </c>
      <c r="BQ699" s="323">
        <v>-1.7158699999999998</v>
      </c>
      <c r="BR699" s="323">
        <v>-5.9508400000000004</v>
      </c>
      <c r="BS699" s="323">
        <v>0</v>
      </c>
      <c r="BT699" s="323">
        <v>0</v>
      </c>
      <c r="BU699" s="323">
        <v>0</v>
      </c>
      <c r="BV699" s="323"/>
      <c r="BW699" s="323"/>
      <c r="BX699" s="323"/>
      <c r="BY699" s="323"/>
      <c r="BZ699" s="323"/>
      <c r="CA699" s="323"/>
      <c r="CB699" s="323"/>
      <c r="CC699" s="323"/>
      <c r="CD699" s="323"/>
      <c r="CE699" s="324">
        <f t="shared" ref="CE699:DJ699" si="710">(CE96+CE99)*-1</f>
        <v>-0.36952295899999998</v>
      </c>
      <c r="CF699" s="323">
        <f t="shared" si="710"/>
        <v>-1.6176518170000023</v>
      </c>
      <c r="CG699" s="323">
        <f t="shared" si="710"/>
        <v>-0.107257982</v>
      </c>
      <c r="CH699" s="323">
        <f t="shared" si="710"/>
        <v>-0.26947505700000002</v>
      </c>
      <c r="CI699" s="323">
        <f t="shared" si="710"/>
        <v>-1.6661813710000004</v>
      </c>
      <c r="CJ699" s="323">
        <f t="shared" si="710"/>
        <v>-0.26315825700000001</v>
      </c>
      <c r="CK699" s="323">
        <f t="shared" si="710"/>
        <v>-0.94391963800000056</v>
      </c>
      <c r="CL699" s="323">
        <f t="shared" si="710"/>
        <v>0</v>
      </c>
      <c r="CM699" s="323">
        <f t="shared" si="710"/>
        <v>-1.8234247939999972</v>
      </c>
      <c r="CN699" s="323">
        <f t="shared" si="710"/>
        <v>-0.95571863300000004</v>
      </c>
      <c r="CO699" s="323">
        <f t="shared" si="710"/>
        <v>-6</v>
      </c>
      <c r="CP699" s="325">
        <f t="shared" si="710"/>
        <v>-5.1072579820000001</v>
      </c>
      <c r="CQ699" s="323">
        <f t="shared" si="710"/>
        <v>-0.96766511620255435</v>
      </c>
      <c r="CR699" s="323">
        <f t="shared" si="710"/>
        <v>0</v>
      </c>
      <c r="CS699" s="323">
        <f t="shared" si="710"/>
        <v>-0.107257982</v>
      </c>
      <c r="CT699" s="323">
        <f t="shared" si="710"/>
        <v>-0.97976093015508603</v>
      </c>
      <c r="CU699" s="323">
        <f t="shared" si="710"/>
        <v>0</v>
      </c>
      <c r="CV699" s="323">
        <f t="shared" si="710"/>
        <v>-0.107257982</v>
      </c>
      <c r="CW699" s="323">
        <f t="shared" si="710"/>
        <v>-0.992007941782025</v>
      </c>
      <c r="CX699" s="323">
        <f t="shared" si="710"/>
        <v>0</v>
      </c>
      <c r="CY699" s="323">
        <f t="shared" si="710"/>
        <v>-0.10730000000000001</v>
      </c>
      <c r="CZ699" s="323">
        <f t="shared" si="710"/>
        <v>-1.0044080410543001</v>
      </c>
      <c r="DA699" s="323">
        <f t="shared" si="710"/>
        <v>0</v>
      </c>
      <c r="DB699" s="1269">
        <f t="shared" si="710"/>
        <v>-0.10725797400000001</v>
      </c>
      <c r="DC699" s="323">
        <f t="shared" si="710"/>
        <v>-1.0169631415674789</v>
      </c>
      <c r="DD699" s="323">
        <f t="shared" si="710"/>
        <v>0</v>
      </c>
      <c r="DE699" s="323">
        <f t="shared" si="710"/>
        <v>-0.107257982</v>
      </c>
      <c r="DF699" s="323">
        <f t="shared" si="710"/>
        <v>-1.0296751808370701</v>
      </c>
      <c r="DG699" s="323">
        <f t="shared" si="710"/>
        <v>-7</v>
      </c>
      <c r="DH699" s="323">
        <f t="shared" si="710"/>
        <v>-0.28742022899999997</v>
      </c>
      <c r="DI699" s="323">
        <f t="shared" si="710"/>
        <v>-1.0425461199999999</v>
      </c>
      <c r="DJ699" s="323">
        <f t="shared" si="710"/>
        <v>0</v>
      </c>
      <c r="DK699" s="323">
        <f t="shared" ref="DK699:EJ699" si="711">(DK96+DK99)*-1</f>
        <v>0</v>
      </c>
      <c r="DL699" s="323">
        <f t="shared" si="711"/>
        <v>-1.0555779471050051</v>
      </c>
      <c r="DM699" s="323">
        <f t="shared" si="711"/>
        <v>0</v>
      </c>
      <c r="DN699" s="325">
        <f t="shared" si="711"/>
        <v>0</v>
      </c>
      <c r="DO699" s="323">
        <f t="shared" si="711"/>
        <v>-1.0687726714438199</v>
      </c>
      <c r="DP699" s="323">
        <f t="shared" si="711"/>
        <v>-0.85545203299999995</v>
      </c>
      <c r="DQ699" s="323">
        <f t="shared" si="711"/>
        <v>-0.86362635300000001</v>
      </c>
      <c r="DR699" s="323">
        <f t="shared" si="711"/>
        <v>-1.9540111118368653</v>
      </c>
      <c r="DS699" s="323">
        <f t="shared" si="711"/>
        <v>0</v>
      </c>
      <c r="DT699" s="323">
        <f t="shared" si="711"/>
        <v>-0.28169549300000002</v>
      </c>
      <c r="DU699" s="323">
        <f t="shared" si="711"/>
        <v>-1.9842799479598261</v>
      </c>
      <c r="DV699" s="323">
        <f t="shared" si="711"/>
        <v>-0.89711223200000001</v>
      </c>
      <c r="DW699" s="323">
        <f t="shared" si="711"/>
        <v>-0.90568463700000001</v>
      </c>
      <c r="DX699" s="323">
        <f t="shared" si="711"/>
        <v>-2.023693678259324</v>
      </c>
      <c r="DY699" s="323">
        <f t="shared" si="711"/>
        <v>0</v>
      </c>
      <c r="DZ699" s="325">
        <f t="shared" si="711"/>
        <v>-0.92307597399999997</v>
      </c>
      <c r="EA699" s="323">
        <f t="shared" si="711"/>
        <v>-3.0232216552750653</v>
      </c>
      <c r="EB699" s="323">
        <f t="shared" si="711"/>
        <v>-1.9</v>
      </c>
      <c r="EC699" s="323">
        <f t="shared" si="711"/>
        <v>-1.9</v>
      </c>
      <c r="ED699" s="323">
        <f t="shared" si="711"/>
        <v>-3.0372619260000002</v>
      </c>
      <c r="EE699" s="323">
        <f t="shared" si="711"/>
        <v>0</v>
      </c>
      <c r="EF699" s="323">
        <f t="shared" si="711"/>
        <v>-2.1082000059999997</v>
      </c>
      <c r="EG699" s="323">
        <f t="shared" si="711"/>
        <v>-1.1514777</v>
      </c>
      <c r="EH699" s="323">
        <f t="shared" si="711"/>
        <v>0</v>
      </c>
      <c r="EI699" s="323">
        <f t="shared" si="711"/>
        <v>0</v>
      </c>
      <c r="EJ699" s="323">
        <f t="shared" si="711"/>
        <v>-1.165871171</v>
      </c>
      <c r="EK699" s="323">
        <f>(EK96+EK99)*-1+-1.388644567</f>
        <v>-1.3886445670000001</v>
      </c>
      <c r="EL699" s="325">
        <f>(EL96+EL99)*-1</f>
        <v>0</v>
      </c>
      <c r="EM699" s="323">
        <f t="shared" ref="EM699:EX699" si="712">((EM96+EM99)*0+EM326)*-1</f>
        <v>-1.3886445670000001</v>
      </c>
      <c r="EN699" s="323">
        <f t="shared" si="712"/>
        <v>0</v>
      </c>
      <c r="EO699" s="323">
        <f t="shared" si="712"/>
        <v>0</v>
      </c>
      <c r="EP699" s="323">
        <f t="shared" si="712"/>
        <v>-1.195200118</v>
      </c>
      <c r="EQ699" s="323">
        <f t="shared" si="712"/>
        <v>-15</v>
      </c>
      <c r="ER699" s="323">
        <f t="shared" si="712"/>
        <v>0</v>
      </c>
      <c r="ES699" s="323">
        <f t="shared" si="712"/>
        <v>0</v>
      </c>
      <c r="ET699" s="323">
        <f t="shared" si="712"/>
        <v>0</v>
      </c>
      <c r="EU699" s="323">
        <f t="shared" si="712"/>
        <v>0</v>
      </c>
      <c r="EV699" s="323">
        <f t="shared" si="712"/>
        <v>-0.90004214100000002</v>
      </c>
      <c r="EW699" s="323">
        <f t="shared" si="712"/>
        <v>-15.446089969999999</v>
      </c>
      <c r="EX699" s="325">
        <f t="shared" si="712"/>
        <v>-14.580848113</v>
      </c>
      <c r="EY699" s="323"/>
      <c r="EZ699" s="323"/>
      <c r="FA699" s="323"/>
      <c r="FB699" s="323"/>
      <c r="FC699" s="323"/>
      <c r="FD699" s="323"/>
      <c r="FE699" s="323"/>
      <c r="FF699" s="323"/>
      <c r="FG699" s="323"/>
      <c r="FH699" s="323"/>
      <c r="FI699" s="323"/>
      <c r="FJ699" s="325"/>
      <c r="FK699" s="323"/>
      <c r="FL699" s="323"/>
      <c r="FM699" s="323"/>
      <c r="FN699" s="323"/>
      <c r="FO699" s="323"/>
      <c r="FP699" s="323"/>
      <c r="FQ699" s="323"/>
      <c r="FR699" s="323"/>
      <c r="FS699" s="323"/>
      <c r="FT699" s="323"/>
      <c r="FU699" s="323"/>
      <c r="FV699" s="323"/>
      <c r="FW699" s="323"/>
      <c r="FX699" s="323"/>
      <c r="FY699" s="323"/>
      <c r="FZ699" s="323"/>
      <c r="GA699" s="323"/>
      <c r="GB699" s="323"/>
      <c r="GC699" s="323"/>
      <c r="GD699" s="323"/>
      <c r="GE699" s="323"/>
      <c r="GF699" s="323"/>
      <c r="GG699" s="323"/>
      <c r="GH699" s="323"/>
      <c r="GI699" s="323"/>
      <c r="GJ699" s="323"/>
      <c r="GK699" s="323"/>
      <c r="GL699" s="323"/>
      <c r="GM699" s="323"/>
      <c r="GN699" s="323"/>
      <c r="GO699" s="323"/>
      <c r="GP699" s="323"/>
      <c r="GQ699" s="323"/>
      <c r="GR699" s="323"/>
      <c r="GS699" s="323"/>
      <c r="GT699" s="323"/>
      <c r="GU699" s="323"/>
      <c r="GV699" s="323"/>
      <c r="GW699" s="323"/>
      <c r="GX699" s="323"/>
      <c r="GY699" s="323"/>
      <c r="GZ699" s="323"/>
      <c r="HA699" s="323"/>
      <c r="HB699" s="323"/>
      <c r="HC699" s="323"/>
      <c r="HD699" s="323"/>
      <c r="HE699" s="323"/>
      <c r="HF699" s="323"/>
      <c r="HG699" s="323"/>
      <c r="HH699" s="323"/>
      <c r="HI699" s="323"/>
      <c r="HJ699" s="323"/>
      <c r="HK699" s="323"/>
      <c r="HL699" s="323"/>
      <c r="HM699" s="323"/>
      <c r="HN699" s="323"/>
      <c r="HO699" s="323"/>
      <c r="HP699" s="323"/>
      <c r="HQ699" s="323"/>
      <c r="HR699" s="323"/>
      <c r="HS699" s="323"/>
      <c r="HT699" s="323"/>
      <c r="HU699" s="323"/>
      <c r="HV699" s="323"/>
      <c r="HW699" s="323"/>
      <c r="HX699" s="323"/>
      <c r="HY699" s="323"/>
      <c r="HZ699" s="326"/>
      <c r="IA699" s="328" t="s">
        <v>1059</v>
      </c>
      <c r="IB699" s="328"/>
      <c r="IC699" s="328"/>
      <c r="ID699" s="323">
        <f>+FISC!Z919</f>
        <v>-21.6</v>
      </c>
      <c r="IE699" s="279">
        <f>SUM(CQ699:CV699)</f>
        <v>-2.1619420103576408</v>
      </c>
      <c r="IF699" s="279">
        <f>SUM(CW699:DB699)</f>
        <v>-2.2109739568363254</v>
      </c>
      <c r="IG699" s="323">
        <f>SUM(CQ699:DB699)</f>
        <v>-4.3729159671939657</v>
      </c>
      <c r="IH699" s="554">
        <f>+SUM(DC699:DH699)</f>
        <v>-9.4413165334045495</v>
      </c>
      <c r="II699" s="279">
        <f t="shared" si="697"/>
        <v>-2.098124067105005</v>
      </c>
      <c r="IJ699" s="323">
        <f t="shared" si="688"/>
        <v>-11.539440600509554</v>
      </c>
      <c r="IK699" s="279">
        <f>+SUM(DO699:DT699)</f>
        <v>-5.0235576622806848</v>
      </c>
      <c r="IL699" s="1014">
        <f>SUM(DU699:DZ699)</f>
        <v>-6.7338464692191495</v>
      </c>
      <c r="IM699" s="323">
        <f t="shared" si="689"/>
        <v>-11.757404131499834</v>
      </c>
      <c r="IN699" s="454">
        <f>(+IP699/2)*0++-11.968683587</f>
        <v>-11.968683586999999</v>
      </c>
      <c r="IO699" s="279">
        <f>+IP699-IN699</f>
        <v>-17.156799444000001</v>
      </c>
      <c r="IP699" s="323">
        <f>FISC!AC919</f>
        <v>-29.125483031000002</v>
      </c>
      <c r="IQ699" s="279">
        <f t="shared" si="677"/>
        <v>-17.583844684999999</v>
      </c>
      <c r="IR699" s="279">
        <f t="shared" si="678"/>
        <v>-30.926980223999998</v>
      </c>
      <c r="IS699" s="323">
        <f t="shared" si="590"/>
        <v>-48.510824908999993</v>
      </c>
      <c r="IT699" s="454">
        <f>+(IV699/2)*0-5</f>
        <v>-5</v>
      </c>
      <c r="IU699" s="279">
        <f>+IV699-IT699</f>
        <v>-44.792986081199999</v>
      </c>
      <c r="IV699" s="323">
        <f>+FISC!AE919</f>
        <v>-49.792986081199999</v>
      </c>
      <c r="IW699" s="454" t="e">
        <f>+IY699/2*0+#REF!</f>
        <v>#REF!</v>
      </c>
      <c r="IX699" s="279" t="e">
        <f t="shared" si="679"/>
        <v>#REF!</v>
      </c>
      <c r="IY699" s="323">
        <f>+FISC!AF919</f>
        <v>-57.334954867739597</v>
      </c>
      <c r="IZ699" s="454" t="e">
        <f>+JB699/2*0+#REF!</f>
        <v>#REF!</v>
      </c>
      <c r="JA699" s="279" t="e">
        <f t="shared" si="540"/>
        <v>#REF!</v>
      </c>
      <c r="JB699" s="323">
        <f>+FISC!AG919</f>
        <v>0</v>
      </c>
      <c r="JC699" s="454">
        <f>+JE699/2</f>
        <v>-3.9153254149999999</v>
      </c>
      <c r="JD699" s="279">
        <f t="shared" si="682"/>
        <v>-3.9153254149999999</v>
      </c>
      <c r="JE699" s="323">
        <f>+FISC!AH919</f>
        <v>-7.8306508299999997</v>
      </c>
      <c r="JF699" s="454">
        <f>+JH699/2</f>
        <v>0</v>
      </c>
      <c r="JG699" s="279">
        <f t="shared" si="684"/>
        <v>0</v>
      </c>
      <c r="JH699" s="323">
        <f>+FISC!AI919</f>
        <v>0</v>
      </c>
      <c r="JI699" s="454">
        <f>+JK699/2</f>
        <v>0</v>
      </c>
      <c r="JJ699" s="279">
        <f t="shared" si="685"/>
        <v>0</v>
      </c>
      <c r="JK699" s="323">
        <f>+FISC!AJ919</f>
        <v>0</v>
      </c>
      <c r="JL699" s="454">
        <f>+JN699/2</f>
        <v>0</v>
      </c>
      <c r="JM699" s="279">
        <f t="shared" si="686"/>
        <v>0</v>
      </c>
      <c r="JN699" s="323">
        <f>+FISC!AK919</f>
        <v>0</v>
      </c>
      <c r="JO699" s="323"/>
      <c r="KU699" s="326"/>
      <c r="KV699" s="327"/>
    </row>
    <row r="700" spans="1:314" hidden="1">
      <c r="A700" s="279"/>
      <c r="B700" s="96" t="s">
        <v>338</v>
      </c>
      <c r="D700" s="328" t="str">
        <f>+FISC!D920</f>
        <v>Errors and ommissions ( - financing surplus: spending)</v>
      </c>
      <c r="E700" s="323">
        <f t="shared" ref="E700:AJ700" si="713">E681-E682-E695</f>
        <v>10.253945238077931</v>
      </c>
      <c r="F700" s="323">
        <f t="shared" si="713"/>
        <v>1.6145179970267984</v>
      </c>
      <c r="G700" s="323">
        <f t="shared" si="713"/>
        <v>-2.5856756163358052</v>
      </c>
      <c r="H700" s="323">
        <f t="shared" si="713"/>
        <v>-2.3530904892932956</v>
      </c>
      <c r="I700" s="323">
        <f t="shared" si="713"/>
        <v>5.2331565702201974</v>
      </c>
      <c r="J700" s="323">
        <f t="shared" si="713"/>
        <v>4.2558940655997821</v>
      </c>
      <c r="K700" s="323">
        <f t="shared" si="713"/>
        <v>-1.1448507654642905</v>
      </c>
      <c r="L700" s="323">
        <f t="shared" si="713"/>
        <v>-6.2600164707139969</v>
      </c>
      <c r="M700" s="323">
        <f t="shared" si="713"/>
        <v>-4.8878981699215993</v>
      </c>
      <c r="N700" s="323">
        <f t="shared" si="713"/>
        <v>2.6197833133000068</v>
      </c>
      <c r="O700" s="323">
        <f t="shared" si="713"/>
        <v>-2.8684920093400059</v>
      </c>
      <c r="P700" s="323">
        <f t="shared" si="713"/>
        <v>-1.8650128948000013</v>
      </c>
      <c r="Q700" s="323">
        <f t="shared" si="713"/>
        <v>1.5900245205813235E-5</v>
      </c>
      <c r="R700" s="323">
        <f t="shared" si="713"/>
        <v>-4.9885767298363248E-5</v>
      </c>
      <c r="S700" s="323">
        <f t="shared" si="713"/>
        <v>-9.7531529882344259E-6</v>
      </c>
      <c r="T700" s="323">
        <f t="shared" si="713"/>
        <v>-1.4523939998650759E-5</v>
      </c>
      <c r="U700" s="323">
        <f t="shared" si="713"/>
        <v>1.5573394958057207E-6</v>
      </c>
      <c r="V700" s="323">
        <f t="shared" si="713"/>
        <v>5.9381267996982956E-5</v>
      </c>
      <c r="W700" s="323">
        <f t="shared" si="713"/>
        <v>7.0175906008440592E-6</v>
      </c>
      <c r="X700" s="323">
        <f t="shared" si="713"/>
        <v>3.7594312005007069E-5</v>
      </c>
      <c r="Y700" s="323">
        <f t="shared" si="713"/>
        <v>7.8405591528007079E-2</v>
      </c>
      <c r="Z700" s="323">
        <f t="shared" si="713"/>
        <v>-1.5670261711342448E-5</v>
      </c>
      <c r="AA700" s="323">
        <f t="shared" si="713"/>
        <v>-2.262096019833848E-5</v>
      </c>
      <c r="AB700" s="323">
        <f t="shared" si="713"/>
        <v>-3.9214691184986883E-2</v>
      </c>
      <c r="AC700" s="323">
        <f t="shared" si="713"/>
        <v>20.05250576200001</v>
      </c>
      <c r="AD700" s="323">
        <f t="shared" si="713"/>
        <v>2.1639946579999925</v>
      </c>
      <c r="AE700" s="323">
        <f t="shared" si="713"/>
        <v>47.416125642999994</v>
      </c>
      <c r="AF700" s="323">
        <f t="shared" si="713"/>
        <v>-39.175610170000006</v>
      </c>
      <c r="AG700" s="323">
        <f t="shared" si="713"/>
        <v>29.509738871</v>
      </c>
      <c r="AH700" s="323">
        <f t="shared" si="713"/>
        <v>-53.84777459799998</v>
      </c>
      <c r="AI700" s="323">
        <f t="shared" si="713"/>
        <v>-11.06381241499999</v>
      </c>
      <c r="AJ700" s="323">
        <f t="shared" si="713"/>
        <v>50.215646364000008</v>
      </c>
      <c r="AK700" s="323">
        <f t="shared" ref="AK700:BP700" si="714">AK681-AK682-AK695</f>
        <v>-42.400108822999989</v>
      </c>
      <c r="AL700" s="323">
        <f t="shared" si="714"/>
        <v>-36.887656993000007</v>
      </c>
      <c r="AM700" s="323">
        <f t="shared" si="714"/>
        <v>40.288315620000027</v>
      </c>
      <c r="AN700" s="323">
        <f t="shared" si="714"/>
        <v>8.4108303980000088</v>
      </c>
      <c r="AO700" s="323">
        <f t="shared" si="714"/>
        <v>2.3842648064227481</v>
      </c>
      <c r="AP700" s="323">
        <f t="shared" si="714"/>
        <v>-8.2270715911056893</v>
      </c>
      <c r="AQ700" s="323">
        <f t="shared" si="714"/>
        <v>-0.16610047611803891</v>
      </c>
      <c r="AR700" s="323">
        <f t="shared" si="714"/>
        <v>11.3091474160454</v>
      </c>
      <c r="AS700" s="323">
        <f t="shared" si="714"/>
        <v>-8.573114528184913</v>
      </c>
      <c r="AT700" s="323">
        <f t="shared" si="714"/>
        <v>-13.026386096123151</v>
      </c>
      <c r="AU700" s="323">
        <f t="shared" si="714"/>
        <v>-2.7669256747599986</v>
      </c>
      <c r="AV700" s="323">
        <f t="shared" si="714"/>
        <v>1.7491659378800195</v>
      </c>
      <c r="AW700" s="323">
        <f t="shared" si="714"/>
        <v>13.355902642549999</v>
      </c>
      <c r="AX700" s="323">
        <f t="shared" si="714"/>
        <v>23.926332341639995</v>
      </c>
      <c r="AY700" s="323">
        <f t="shared" si="714"/>
        <v>-27.980879004285821</v>
      </c>
      <c r="AZ700" s="323">
        <f t="shared" si="714"/>
        <v>9.0488075037024052E-2</v>
      </c>
      <c r="BA700" s="323">
        <f t="shared" si="714"/>
        <v>-9.3810293430000193</v>
      </c>
      <c r="BB700" s="323">
        <f t="shared" si="714"/>
        <v>16.330296679999996</v>
      </c>
      <c r="BC700" s="323">
        <f t="shared" si="714"/>
        <v>13.510068516000008</v>
      </c>
      <c r="BD700" s="323">
        <f t="shared" si="714"/>
        <v>16.001376818240026</v>
      </c>
      <c r="BE700" s="323">
        <f t="shared" si="714"/>
        <v>-25.713907238230014</v>
      </c>
      <c r="BF700" s="323">
        <f t="shared" si="714"/>
        <v>-13.092815428999987</v>
      </c>
      <c r="BG700" s="323">
        <f t="shared" si="714"/>
        <v>-4.9045752668000162</v>
      </c>
      <c r="BH700" s="323">
        <f t="shared" si="714"/>
        <v>-11.657446439890006</v>
      </c>
      <c r="BI700" s="323">
        <f t="shared" si="714"/>
        <v>3.830377648499967</v>
      </c>
      <c r="BJ700" s="323">
        <f t="shared" si="714"/>
        <v>6.3237678836599995</v>
      </c>
      <c r="BK700" s="323">
        <f t="shared" si="714"/>
        <v>-1.0896130949999816</v>
      </c>
      <c r="BL700" s="323">
        <f t="shared" si="714"/>
        <v>13.675277487999992</v>
      </c>
      <c r="BM700" s="323">
        <f t="shared" si="714"/>
        <v>-5.8443460631099855</v>
      </c>
      <c r="BN700" s="323">
        <f t="shared" si="714"/>
        <v>-19.665822819270002</v>
      </c>
      <c r="BO700" s="323">
        <f t="shared" si="714"/>
        <v>22.087750831000001</v>
      </c>
      <c r="BP700" s="323">
        <f t="shared" si="714"/>
        <v>0.52677508191003364</v>
      </c>
      <c r="BQ700" s="323">
        <f t="shared" ref="BQ700:CV700" si="715">BQ681-BQ682-BQ695</f>
        <v>-20.151721365149999</v>
      </c>
      <c r="BR700" s="323">
        <f t="shared" si="715"/>
        <v>15.194503310954246</v>
      </c>
      <c r="BS700" s="323">
        <f t="shared" si="715"/>
        <v>-14.87859945190165</v>
      </c>
      <c r="BT700" s="323">
        <f t="shared" si="715"/>
        <v>-15.657009459931118</v>
      </c>
      <c r="BU700" s="323">
        <f t="shared" si="715"/>
        <v>41.41759732372789</v>
      </c>
      <c r="BV700" s="323">
        <f t="shared" si="715"/>
        <v>18.434608743451882</v>
      </c>
      <c r="BW700" s="323">
        <f t="shared" si="715"/>
        <v>-22.49025008527671</v>
      </c>
      <c r="BX700" s="323">
        <f t="shared" si="715"/>
        <v>-45.050000513693917</v>
      </c>
      <c r="BY700" s="323">
        <f t="shared" si="715"/>
        <v>-16.015566331093414</v>
      </c>
      <c r="BZ700" s="323">
        <f t="shared" si="715"/>
        <v>-13.01655049938293</v>
      </c>
      <c r="CA700" s="323">
        <f t="shared" si="715"/>
        <v>-41.269102833757607</v>
      </c>
      <c r="CB700" s="323">
        <f t="shared" si="715"/>
        <v>23.430565079438125</v>
      </c>
      <c r="CC700" s="323">
        <f t="shared" si="715"/>
        <v>238.00127286652975</v>
      </c>
      <c r="CD700" s="323">
        <f t="shared" si="715"/>
        <v>-140.25198028414414</v>
      </c>
      <c r="CE700" s="324">
        <f t="shared" si="715"/>
        <v>-5.4889862425136053</v>
      </c>
      <c r="CF700" s="323">
        <f t="shared" si="715"/>
        <v>1.5599865134805668</v>
      </c>
      <c r="CG700" s="323">
        <f t="shared" si="715"/>
        <v>-28.362868136744613</v>
      </c>
      <c r="CH700" s="323">
        <f t="shared" si="715"/>
        <v>51.872595160028659</v>
      </c>
      <c r="CI700" s="323">
        <f t="shared" si="715"/>
        <v>0.79337357964556787</v>
      </c>
      <c r="CJ700" s="323">
        <f t="shared" si="715"/>
        <v>-5.6619130886695892</v>
      </c>
      <c r="CK700" s="323">
        <f t="shared" si="715"/>
        <v>-8.4768213802417112</v>
      </c>
      <c r="CL700" s="323">
        <f t="shared" si="715"/>
        <v>-17.762571168486645</v>
      </c>
      <c r="CM700" s="323">
        <f t="shared" si="715"/>
        <v>-4.180766889502582</v>
      </c>
      <c r="CN700" s="323">
        <f t="shared" si="715"/>
        <v>29.21700811162496</v>
      </c>
      <c r="CO700" s="323">
        <f t="shared" si="715"/>
        <v>-3.7033889972020315</v>
      </c>
      <c r="CP700" s="325">
        <f t="shared" si="715"/>
        <v>-29.822967864512222</v>
      </c>
      <c r="CQ700" s="323">
        <f t="shared" si="715"/>
        <v>-50.513959310153545</v>
      </c>
      <c r="CR700" s="323">
        <f t="shared" si="715"/>
        <v>14.461065139261736</v>
      </c>
      <c r="CS700" s="323">
        <f t="shared" si="715"/>
        <v>-16.390374037431847</v>
      </c>
      <c r="CT700" s="323">
        <f t="shared" si="715"/>
        <v>5.3239564619638582</v>
      </c>
      <c r="CU700" s="323">
        <f t="shared" si="715"/>
        <v>6.2047439334945089</v>
      </c>
      <c r="CV700" s="323">
        <f t="shared" si="715"/>
        <v>-43.935842220876118</v>
      </c>
      <c r="CW700" s="323">
        <f t="shared" ref="CW700:DN700" si="716">CW681-CW682-CW695</f>
        <v>1.9349556491050128</v>
      </c>
      <c r="CX700" s="323">
        <f t="shared" si="716"/>
        <v>13.803494947439003</v>
      </c>
      <c r="CY700" s="323">
        <f t="shared" si="716"/>
        <v>14.707847430322987</v>
      </c>
      <c r="CZ700" s="323">
        <f t="shared" si="716"/>
        <v>-13.678559629516332</v>
      </c>
      <c r="DA700" s="323">
        <f t="shared" si="716"/>
        <v>-35.686327838764555</v>
      </c>
      <c r="DB700" s="1269">
        <f t="shared" si="716"/>
        <v>-7.1474387376373132</v>
      </c>
      <c r="DC700" s="323">
        <f t="shared" si="716"/>
        <v>-20.809649302070344</v>
      </c>
      <c r="DD700" s="323">
        <f t="shared" si="716"/>
        <v>11.935835962827777</v>
      </c>
      <c r="DE700" s="323">
        <f t="shared" si="716"/>
        <v>-3.4381863516456153</v>
      </c>
      <c r="DF700" s="323">
        <f t="shared" si="716"/>
        <v>18.38790760658825</v>
      </c>
      <c r="DG700" s="323">
        <f t="shared" si="716"/>
        <v>-24.366756131622417</v>
      </c>
      <c r="DH700" s="323">
        <f t="shared" si="716"/>
        <v>25.510423835644612</v>
      </c>
      <c r="DI700" s="323">
        <f t="shared" si="716"/>
        <v>12.808602060280318</v>
      </c>
      <c r="DJ700" s="323">
        <f t="shared" si="716"/>
        <v>9.2024830917680482</v>
      </c>
      <c r="DK700" s="323">
        <f t="shared" si="716"/>
        <v>3.5254263796108951</v>
      </c>
      <c r="DL700" s="323">
        <f t="shared" si="716"/>
        <v>15.709359236890661</v>
      </c>
      <c r="DM700" s="323">
        <f t="shared" si="716"/>
        <v>-15.635915298103523</v>
      </c>
      <c r="DN700" s="325">
        <f t="shared" si="716"/>
        <v>-28.246144991707222</v>
      </c>
      <c r="DO700" s="323">
        <f t="shared" ref="DO700:DT700" si="717">-(DO664+DO667)</f>
        <v>42.879990703704955</v>
      </c>
      <c r="DP700" s="323">
        <f t="shared" si="717"/>
        <v>-33.016963490904537</v>
      </c>
      <c r="DQ700" s="323">
        <f t="shared" si="717"/>
        <v>31.286996337374866</v>
      </c>
      <c r="DR700" s="323">
        <f t="shared" si="717"/>
        <v>7.077025609712507</v>
      </c>
      <c r="DS700" s="323">
        <f t="shared" si="717"/>
        <v>-8.7228465962660415</v>
      </c>
      <c r="DT700" s="323">
        <f t="shared" si="717"/>
        <v>9.0657347392442276</v>
      </c>
      <c r="DU700" s="323">
        <f t="shared" ref="DU700:DZ700" si="718">-(DU664+DU667)</f>
        <v>-6.381036984897225</v>
      </c>
      <c r="DV700" s="323">
        <f t="shared" si="718"/>
        <v>-30.745375975342483</v>
      </c>
      <c r="DW700" s="323">
        <f t="shared" si="718"/>
        <v>19.224887198556132</v>
      </c>
      <c r="DX700" s="323">
        <f t="shared" si="718"/>
        <v>-3.3774989121423822</v>
      </c>
      <c r="DY700" s="323">
        <f t="shared" si="718"/>
        <v>-24.888193232527875</v>
      </c>
      <c r="DZ700" s="325">
        <f t="shared" si="718"/>
        <v>-8.3289797309011817</v>
      </c>
      <c r="EA700" s="323">
        <f t="shared" ref="EA700:EK700" si="719">-(EA664+EA667)</f>
        <v>-34.840737444189514</v>
      </c>
      <c r="EB700" s="323">
        <f t="shared" si="719"/>
        <v>-8.0077043425214995</v>
      </c>
      <c r="EC700" s="323">
        <f t="shared" si="719"/>
        <v>35.411181267225345</v>
      </c>
      <c r="ED700" s="323">
        <f t="shared" si="719"/>
        <v>61.524088655900819</v>
      </c>
      <c r="EE700" s="323">
        <f t="shared" si="719"/>
        <v>-79.354755233435895</v>
      </c>
      <c r="EF700" s="323">
        <f t="shared" si="719"/>
        <v>125.68628778062376</v>
      </c>
      <c r="EG700" s="323">
        <f t="shared" si="719"/>
        <v>-139.60961059947294</v>
      </c>
      <c r="EH700" s="323">
        <f t="shared" si="719"/>
        <v>9.7507003467007856</v>
      </c>
      <c r="EI700" s="323">
        <f t="shared" si="719"/>
        <v>13.464569755480058</v>
      </c>
      <c r="EJ700" s="323">
        <f t="shared" si="719"/>
        <v>-38.492238279434197</v>
      </c>
      <c r="EK700" s="323">
        <f t="shared" si="719"/>
        <v>-1.7405207804293497</v>
      </c>
      <c r="EL700" s="325">
        <f t="shared" ref="EL700:ER700" si="720">-(EL664+EL667)</f>
        <v>12.470720295604735</v>
      </c>
      <c r="EM700" s="323">
        <f>-(EM664+EM667)</f>
        <v>10.399488234783751</v>
      </c>
      <c r="EN700" s="323">
        <f t="shared" si="720"/>
        <v>10.100454554049566</v>
      </c>
      <c r="EO700" s="323">
        <f t="shared" si="720"/>
        <v>17.847317950122061</v>
      </c>
      <c r="EP700" s="323">
        <f t="shared" si="720"/>
        <v>-9.4586121062423416</v>
      </c>
      <c r="EQ700" s="323">
        <f t="shared" si="720"/>
        <v>6.1497030252336913</v>
      </c>
      <c r="ER700" s="323">
        <f t="shared" si="720"/>
        <v>48.966454466902192</v>
      </c>
      <c r="ES700" s="323">
        <f t="shared" ref="ES700:EX700" si="721">-(ES664+ES667)</f>
        <v>16.928912379652843</v>
      </c>
      <c r="ET700" s="323">
        <f t="shared" si="721"/>
        <v>-47.534565316458448</v>
      </c>
      <c r="EU700" s="323">
        <f t="shared" si="721"/>
        <v>-11.846630271259656</v>
      </c>
      <c r="EV700" s="323">
        <f t="shared" si="721"/>
        <v>-23.517649205282112</v>
      </c>
      <c r="EW700" s="323">
        <f t="shared" si="721"/>
        <v>-27.130963222610973</v>
      </c>
      <c r="EX700" s="325">
        <f t="shared" si="721"/>
        <v>42.801570651698114</v>
      </c>
      <c r="EY700" s="323"/>
      <c r="EZ700" s="323"/>
      <c r="FA700" s="323"/>
      <c r="FB700" s="323"/>
      <c r="FC700" s="323"/>
      <c r="FD700" s="323"/>
      <c r="FE700" s="323"/>
      <c r="FF700" s="323"/>
      <c r="FG700" s="323"/>
      <c r="FH700" s="323"/>
      <c r="FI700" s="323"/>
      <c r="FJ700" s="325"/>
      <c r="FK700" s="323"/>
      <c r="FL700" s="323"/>
      <c r="FM700" s="323"/>
      <c r="FN700" s="323"/>
      <c r="FO700" s="323"/>
      <c r="FP700" s="323"/>
      <c r="FQ700" s="323"/>
      <c r="FR700" s="323"/>
      <c r="FS700" s="323"/>
      <c r="FT700" s="323"/>
      <c r="FU700" s="323"/>
      <c r="FV700" s="323"/>
      <c r="FW700" s="323"/>
      <c r="FX700" s="323"/>
      <c r="FY700" s="323"/>
      <c r="FZ700" s="323"/>
      <c r="GA700" s="323"/>
      <c r="GB700" s="323"/>
      <c r="GC700" s="323"/>
      <c r="GD700" s="323"/>
      <c r="GE700" s="323"/>
      <c r="GF700" s="323"/>
      <c r="GG700" s="323"/>
      <c r="GH700" s="323"/>
      <c r="GI700" s="323"/>
      <c r="GJ700" s="323"/>
      <c r="GK700" s="323"/>
      <c r="GL700" s="323"/>
      <c r="GM700" s="323"/>
      <c r="GN700" s="323"/>
      <c r="GO700" s="323"/>
      <c r="GP700" s="323"/>
      <c r="GQ700" s="323"/>
      <c r="GR700" s="323"/>
      <c r="GS700" s="323"/>
      <c r="GT700" s="323"/>
      <c r="GU700" s="323"/>
      <c r="GV700" s="323"/>
      <c r="GW700" s="323"/>
      <c r="GX700" s="323"/>
      <c r="GY700" s="323"/>
      <c r="GZ700" s="323"/>
      <c r="HA700" s="323"/>
      <c r="HB700" s="323"/>
      <c r="HC700" s="323"/>
      <c r="HD700" s="323"/>
      <c r="HE700" s="323"/>
      <c r="HF700" s="323"/>
      <c r="HG700" s="323"/>
      <c r="HH700" s="323"/>
      <c r="HI700" s="323"/>
      <c r="HJ700" s="323"/>
      <c r="HK700" s="323"/>
      <c r="HL700" s="323"/>
      <c r="HM700" s="323"/>
      <c r="HN700" s="323"/>
      <c r="HO700" s="323"/>
      <c r="HP700" s="323"/>
      <c r="HQ700" s="323"/>
      <c r="HR700" s="323"/>
      <c r="HS700" s="323"/>
      <c r="HT700" s="323"/>
      <c r="HU700" s="323"/>
      <c r="HV700" s="323"/>
      <c r="HW700" s="323"/>
      <c r="HX700" s="323"/>
      <c r="HY700" s="323"/>
      <c r="HZ700" s="326"/>
      <c r="IA700" s="328" t="s">
        <v>325</v>
      </c>
      <c r="IB700" s="328"/>
      <c r="IC700" s="328"/>
      <c r="ID700" s="323">
        <f>+FISC!Z920</f>
        <v>99.44695852941328</v>
      </c>
      <c r="IE700" s="279">
        <f>IE681-IE682-IE695</f>
        <v>-107.8504100337415</v>
      </c>
      <c r="IF700" s="279">
        <f>IF681-IF682-IF695</f>
        <v>-26.066028179051241</v>
      </c>
      <c r="IG700" s="323">
        <f>IG681-IG682-IG695</f>
        <v>-133.91643821279274</v>
      </c>
      <c r="IH700" s="554">
        <f>+SUM(DC700:DH700)</f>
        <v>7.2195756197222636</v>
      </c>
      <c r="II700" s="555">
        <f t="shared" si="697"/>
        <v>-2.6361895212608246</v>
      </c>
      <c r="IJ700" s="323">
        <f t="shared" si="688"/>
        <v>4.583386098461439</v>
      </c>
      <c r="IK700" s="279">
        <f>-(IK664+IK667)</f>
        <v>48.569937302865981</v>
      </c>
      <c r="IL700" s="279">
        <f>-(IL664+IL667)</f>
        <v>-54.496197637255051</v>
      </c>
      <c r="IM700" s="323">
        <f t="shared" si="689"/>
        <v>-5.9262603343890703</v>
      </c>
      <c r="IN700" s="454">
        <f>IN681-IN682-IN695</f>
        <v>31.441375392634676</v>
      </c>
      <c r="IO700" s="454">
        <f>(IO681-IO682-IO695)</f>
        <v>-38.239560617803129</v>
      </c>
      <c r="IP700" s="323">
        <f>FISC!AC920</f>
        <v>-6.7981852251683677</v>
      </c>
      <c r="IQ700" s="279" t="e">
        <f>SUM(EM700:ER700)*0+#REF!</f>
        <v>#REF!</v>
      </c>
      <c r="IR700" s="279">
        <f t="shared" si="678"/>
        <v>-50.299324984260238</v>
      </c>
      <c r="IS700" s="323" t="e">
        <f t="shared" si="590"/>
        <v>#REF!</v>
      </c>
      <c r="IT700" s="454" t="e">
        <f>IT681-IT682-IT695</f>
        <v>#REF!</v>
      </c>
      <c r="IU700" s="454" t="e">
        <f>IU681-IU682-IU695</f>
        <v>#REF!</v>
      </c>
      <c r="IV700" s="323">
        <f>+FISC!AE920</f>
        <v>4.618670773697886E-2</v>
      </c>
      <c r="IW700" s="454" t="e">
        <f>IW681-IW682-IW695</f>
        <v>#REF!</v>
      </c>
      <c r="IX700" s="279" t="e">
        <f t="shared" si="679"/>
        <v>#REF!</v>
      </c>
      <c r="IY700" s="323">
        <f>+FISC!AF920</f>
        <v>-4.0402667918783663E-2</v>
      </c>
      <c r="IZ700" s="454" t="e">
        <f>IZ681-IZ682-IZ695</f>
        <v>#REF!</v>
      </c>
      <c r="JA700" s="279" t="e">
        <f t="shared" si="540"/>
        <v>#REF!</v>
      </c>
      <c r="JB700" s="323">
        <f>+FISC!AG920</f>
        <v>-6994.6416638433448</v>
      </c>
      <c r="JC700" s="454">
        <f>JC681-JC682-JC695</f>
        <v>-4661.4226511323859</v>
      </c>
      <c r="JD700" s="279">
        <f t="shared" si="682"/>
        <v>-6234.6623886372245</v>
      </c>
      <c r="JE700" s="323">
        <f>+FISC!AH920</f>
        <v>-10896.08503976961</v>
      </c>
      <c r="JF700" s="454">
        <f>JF681-JF682-JF695</f>
        <v>-6372.685731950809</v>
      </c>
      <c r="JG700" s="279">
        <f t="shared" si="684"/>
        <v>-7071.5726614125615</v>
      </c>
      <c r="JH700" s="323">
        <f>+FISC!AI920</f>
        <v>-13444.25839336337</v>
      </c>
      <c r="JI700" s="454">
        <f>JI681-JI682-JI695</f>
        <v>876.88197968931354</v>
      </c>
      <c r="JJ700" s="279">
        <f t="shared" si="685"/>
        <v>1897.8802955218071</v>
      </c>
      <c r="JK700" s="323">
        <f>+FISC!AJ920</f>
        <v>2774.7622752111206</v>
      </c>
      <c r="JL700" s="454">
        <f>JL681-JL682-JL695</f>
        <v>174.78325286153887</v>
      </c>
      <c r="JM700" s="279">
        <f t="shared" si="686"/>
        <v>-174.78325286153887</v>
      </c>
      <c r="JN700" s="323">
        <f>+FISC!AK920</f>
        <v>0</v>
      </c>
      <c r="JO700" s="323"/>
      <c r="KU700" s="326"/>
      <c r="KV700" s="327"/>
      <c r="KY700" s="279">
        <f>KY681-KY682-KY695</f>
        <v>0</v>
      </c>
      <c r="KZ700" s="279">
        <f>KZ681-KZ682-KZ695</f>
        <v>0</v>
      </c>
      <c r="LA700" s="279">
        <f>LA681-LA682-LA695</f>
        <v>0</v>
      </c>
      <c r="LB700" s="279">
        <f>LB681-LB682-LB695</f>
        <v>0</v>
      </c>
    </row>
    <row r="701" spans="1:314" hidden="1">
      <c r="A701" s="279"/>
      <c r="B701" s="96" t="s">
        <v>338</v>
      </c>
      <c r="D701" s="657" t="str">
        <f>+FISC!D921</f>
        <v xml:space="preserve">   Difference PKO revenue -/- recorded spending  (- advance)</v>
      </c>
      <c r="E701" s="323"/>
      <c r="F701" s="323"/>
      <c r="G701" s="323"/>
      <c r="H701" s="323"/>
      <c r="I701" s="323"/>
      <c r="J701" s="323"/>
      <c r="K701" s="323"/>
      <c r="L701" s="323"/>
      <c r="M701" s="323"/>
      <c r="N701" s="323"/>
      <c r="O701" s="323"/>
      <c r="P701" s="323"/>
      <c r="Q701" s="323"/>
      <c r="R701" s="323"/>
      <c r="S701" s="323"/>
      <c r="T701" s="323"/>
      <c r="U701" s="323"/>
      <c r="V701" s="323"/>
      <c r="W701" s="323"/>
      <c r="X701" s="323"/>
      <c r="Y701" s="323"/>
      <c r="Z701" s="323"/>
      <c r="AA701" s="323"/>
      <c r="AB701" s="323"/>
      <c r="AC701" s="323"/>
      <c r="AD701" s="323"/>
      <c r="AE701" s="323"/>
      <c r="AF701" s="323"/>
      <c r="AG701" s="323"/>
      <c r="AH701" s="323"/>
      <c r="AI701" s="323"/>
      <c r="AJ701" s="323"/>
      <c r="AK701" s="323"/>
      <c r="AL701" s="323"/>
      <c r="AM701" s="323"/>
      <c r="AN701" s="323"/>
      <c r="AO701" s="323"/>
      <c r="AP701" s="323"/>
      <c r="AQ701" s="323"/>
      <c r="AR701" s="323"/>
      <c r="AS701" s="323"/>
      <c r="AT701" s="323"/>
      <c r="AU701" s="323"/>
      <c r="AV701" s="323"/>
      <c r="AW701" s="323"/>
      <c r="AX701" s="323"/>
      <c r="AY701" s="323"/>
      <c r="AZ701" s="323"/>
      <c r="BA701" s="323"/>
      <c r="BB701" s="323"/>
      <c r="BC701" s="323"/>
      <c r="BD701" s="323"/>
      <c r="BE701" s="323"/>
      <c r="BF701" s="323"/>
      <c r="BG701" s="323"/>
      <c r="BH701" s="323"/>
      <c r="BI701" s="323"/>
      <c r="BJ701" s="323"/>
      <c r="BK701" s="323"/>
      <c r="BL701" s="323"/>
      <c r="BM701" s="323"/>
      <c r="BN701" s="323"/>
      <c r="BO701" s="323"/>
      <c r="BP701" s="323"/>
      <c r="BQ701" s="323"/>
      <c r="BR701" s="323"/>
      <c r="BS701" s="323"/>
      <c r="BT701" s="323"/>
      <c r="BU701" s="323"/>
      <c r="BV701" s="323"/>
      <c r="BW701" s="323"/>
      <c r="BX701" s="323"/>
      <c r="BY701" s="323"/>
      <c r="BZ701" s="323"/>
      <c r="CA701" s="323"/>
      <c r="CB701" s="323"/>
      <c r="CC701" s="323"/>
      <c r="CD701" s="323"/>
      <c r="CE701" s="324"/>
      <c r="CF701" s="323"/>
      <c r="CG701" s="323"/>
      <c r="CH701" s="323"/>
      <c r="CI701" s="323"/>
      <c r="CJ701" s="323"/>
      <c r="CK701" s="323"/>
      <c r="CL701" s="323"/>
      <c r="CM701" s="323"/>
      <c r="CN701" s="323"/>
      <c r="CO701" s="323"/>
      <c r="CP701" s="325"/>
      <c r="CQ701" s="323"/>
      <c r="CR701" s="323"/>
      <c r="CS701" s="323"/>
      <c r="CT701" s="323"/>
      <c r="CU701" s="323"/>
      <c r="CV701" s="323"/>
      <c r="CW701" s="323"/>
      <c r="CX701" s="323"/>
      <c r="CY701" s="323"/>
      <c r="CZ701" s="323"/>
      <c r="DA701" s="323"/>
      <c r="DB701" s="1269"/>
      <c r="DC701" s="627"/>
      <c r="DD701" s="627"/>
      <c r="DE701" s="627"/>
      <c r="DF701" s="627"/>
      <c r="DG701" s="627"/>
      <c r="DH701" s="627"/>
      <c r="DI701" s="627"/>
      <c r="DJ701" s="627"/>
      <c r="DK701" s="627"/>
      <c r="DL701" s="627"/>
      <c r="DM701" s="627"/>
      <c r="DN701" s="1331"/>
      <c r="DO701" s="627"/>
      <c r="DP701" s="627"/>
      <c r="DQ701" s="627"/>
      <c r="DR701" s="627"/>
      <c r="DS701" s="627"/>
      <c r="DT701" s="680">
        <f>+SUM(DO700:DT700)</f>
        <v>48.569937302865974</v>
      </c>
      <c r="DU701" s="680"/>
      <c r="DV701" s="680"/>
      <c r="DW701" s="680"/>
      <c r="DX701" s="680"/>
      <c r="DY701" s="680"/>
      <c r="DZ701" s="325"/>
      <c r="EA701" s="323"/>
      <c r="EB701" s="680"/>
      <c r="EC701" s="680"/>
      <c r="ED701" s="680"/>
      <c r="EE701" s="680"/>
      <c r="EF701" s="680"/>
      <c r="EG701" s="680"/>
      <c r="EH701" s="680"/>
      <c r="EI701" s="680"/>
      <c r="EJ701" s="680"/>
      <c r="EK701" s="680"/>
      <c r="EL701" s="1343"/>
      <c r="EM701" s="680"/>
      <c r="EN701" s="680"/>
      <c r="EO701" s="680"/>
      <c r="EP701" s="680"/>
      <c r="EQ701" s="680"/>
      <c r="ER701" s="680"/>
      <c r="ES701" s="680"/>
      <c r="ET701" s="680"/>
      <c r="EU701" s="680"/>
      <c r="EV701" s="680"/>
      <c r="EW701" s="680"/>
      <c r="EX701" s="1343"/>
      <c r="EY701" s="680"/>
      <c r="EZ701" s="680"/>
      <c r="FA701" s="680"/>
      <c r="FB701" s="680"/>
      <c r="FC701" s="680"/>
      <c r="FD701" s="680"/>
      <c r="FE701" s="680"/>
      <c r="FF701" s="680"/>
      <c r="FG701" s="680"/>
      <c r="FH701" s="680"/>
      <c r="FI701" s="680"/>
      <c r="FJ701" s="1343"/>
      <c r="FK701" s="680"/>
      <c r="FL701" s="680"/>
      <c r="FM701" s="680"/>
      <c r="FN701" s="680"/>
      <c r="FO701" s="680"/>
      <c r="FP701" s="680"/>
      <c r="FQ701" s="680"/>
      <c r="FR701" s="680"/>
      <c r="FS701" s="680"/>
      <c r="FT701" s="680"/>
      <c r="FU701" s="680"/>
      <c r="FV701" s="680"/>
      <c r="FW701" s="680"/>
      <c r="FX701" s="680"/>
      <c r="FY701" s="680"/>
      <c r="FZ701" s="680"/>
      <c r="GA701" s="680"/>
      <c r="GB701" s="680"/>
      <c r="GC701" s="680"/>
      <c r="GD701" s="680"/>
      <c r="GE701" s="680"/>
      <c r="GF701" s="680"/>
      <c r="GG701" s="680"/>
      <c r="GH701" s="680"/>
      <c r="GI701" s="680"/>
      <c r="GJ701" s="680"/>
      <c r="GK701" s="680"/>
      <c r="GL701" s="680"/>
      <c r="GM701" s="680"/>
      <c r="GN701" s="680"/>
      <c r="GO701" s="680"/>
      <c r="GP701" s="680"/>
      <c r="GQ701" s="680"/>
      <c r="GR701" s="680"/>
      <c r="GS701" s="680"/>
      <c r="GT701" s="680"/>
      <c r="GU701" s="680"/>
      <c r="GV701" s="680"/>
      <c r="GW701" s="680"/>
      <c r="GX701" s="680"/>
      <c r="GY701" s="680"/>
      <c r="GZ701" s="680"/>
      <c r="HA701" s="680"/>
      <c r="HB701" s="680"/>
      <c r="HC701" s="680"/>
      <c r="HD701" s="680"/>
      <c r="HE701" s="680"/>
      <c r="HF701" s="680"/>
      <c r="HG701" s="680"/>
      <c r="HH701" s="680"/>
      <c r="HI701" s="680"/>
      <c r="HJ701" s="680"/>
      <c r="HK701" s="680"/>
      <c r="HL701" s="680"/>
      <c r="HM701" s="680"/>
      <c r="HN701" s="680"/>
      <c r="HO701" s="680"/>
      <c r="HP701" s="680"/>
      <c r="HQ701" s="680"/>
      <c r="HR701" s="680"/>
      <c r="HS701" s="680"/>
      <c r="HT701" s="680"/>
      <c r="HU701" s="680"/>
      <c r="HV701" s="680"/>
      <c r="HW701" s="680"/>
      <c r="HX701" s="680"/>
      <c r="HY701" s="680"/>
      <c r="HZ701" s="326"/>
      <c r="IA701" s="657" t="s">
        <v>1057</v>
      </c>
      <c r="IB701" s="657"/>
      <c r="IC701" s="657"/>
      <c r="ID701" s="628">
        <f>+FISC!Z921</f>
        <v>-0.34000000000000341</v>
      </c>
      <c r="IG701" s="628"/>
      <c r="IH701" s="284"/>
      <c r="IJ701" s="629">
        <f>+FISC!AA921</f>
        <v>0</v>
      </c>
      <c r="IK701" s="890" t="str">
        <f>+IF(ABS(SUM(DO700:DT700)-IK700)&gt;0.1,"check","")</f>
        <v/>
      </c>
      <c r="IL701" s="327"/>
      <c r="IM701" s="629"/>
      <c r="IN701" s="327"/>
      <c r="IO701" s="327"/>
      <c r="IP701" s="323">
        <f>FISC!AC921</f>
        <v>4.2821148510000171</v>
      </c>
      <c r="IQ701" s="327"/>
      <c r="IR701" s="327"/>
      <c r="IS701" s="629">
        <f>+FISC!AD921</f>
        <v>-212.60240836200001</v>
      </c>
      <c r="IT701" s="327"/>
      <c r="IU701" s="327"/>
      <c r="IV701" s="629">
        <f>+FISC!AE921</f>
        <v>-14.992390293450597</v>
      </c>
      <c r="IX701" s="327">
        <f t="shared" si="679"/>
        <v>6.2172337168318563</v>
      </c>
      <c r="IY701" s="629">
        <f>+FISC!AF921</f>
        <v>6.2172337168318563</v>
      </c>
      <c r="JA701" s="327"/>
      <c r="JB701" s="629">
        <f>+FISC!AG921</f>
        <v>8.0996614898377288</v>
      </c>
      <c r="JD701" s="327"/>
      <c r="JE701" s="629">
        <f>+FISC!AH921</f>
        <v>0</v>
      </c>
      <c r="JG701" s="327"/>
      <c r="JH701" s="629">
        <f>+FISC!AI921</f>
        <v>0</v>
      </c>
      <c r="JJ701" s="327"/>
      <c r="JK701" s="629">
        <f>+FISC!AJ921</f>
        <v>0</v>
      </c>
      <c r="JN701" s="629">
        <f>+FISC!AK921</f>
        <v>0</v>
      </c>
      <c r="JO701" s="629"/>
      <c r="KU701" s="326"/>
      <c r="KV701" s="327"/>
    </row>
    <row r="702" spans="1:314" hidden="1">
      <c r="A702" s="279"/>
      <c r="D702" s="657" t="str">
        <f>+FISC!D922</f>
        <v xml:space="preserve">   Net withdrawal from government project accounts</v>
      </c>
      <c r="E702" s="323"/>
      <c r="F702" s="323"/>
      <c r="G702" s="323"/>
      <c r="H702" s="323"/>
      <c r="I702" s="323"/>
      <c r="J702" s="323"/>
      <c r="K702" s="323"/>
      <c r="L702" s="323"/>
      <c r="M702" s="323"/>
      <c r="N702" s="323"/>
      <c r="O702" s="323"/>
      <c r="P702" s="323"/>
      <c r="Q702" s="323"/>
      <c r="R702" s="323"/>
      <c r="S702" s="323"/>
      <c r="T702" s="323"/>
      <c r="U702" s="323"/>
      <c r="V702" s="323"/>
      <c r="W702" s="323"/>
      <c r="X702" s="323"/>
      <c r="Y702" s="323"/>
      <c r="Z702" s="323"/>
      <c r="AA702" s="323"/>
      <c r="AB702" s="323"/>
      <c r="AC702" s="323"/>
      <c r="AD702" s="323"/>
      <c r="AE702" s="323"/>
      <c r="AF702" s="323"/>
      <c r="AG702" s="323"/>
      <c r="AH702" s="323"/>
      <c r="AI702" s="323"/>
      <c r="AJ702" s="323"/>
      <c r="AK702" s="323"/>
      <c r="AL702" s="323"/>
      <c r="AM702" s="323"/>
      <c r="AN702" s="323"/>
      <c r="AO702" s="323"/>
      <c r="AP702" s="323"/>
      <c r="AQ702" s="323"/>
      <c r="AR702" s="323"/>
      <c r="AS702" s="323"/>
      <c r="AT702" s="323"/>
      <c r="AU702" s="323"/>
      <c r="AV702" s="323"/>
      <c r="AW702" s="323"/>
      <c r="AX702" s="323"/>
      <c r="AY702" s="323"/>
      <c r="AZ702" s="323"/>
      <c r="BA702" s="323"/>
      <c r="BB702" s="323"/>
      <c r="BC702" s="323"/>
      <c r="BD702" s="323"/>
      <c r="BE702" s="323"/>
      <c r="BF702" s="323"/>
      <c r="BG702" s="323"/>
      <c r="BH702" s="323"/>
      <c r="BI702" s="323"/>
      <c r="BJ702" s="323"/>
      <c r="BK702" s="323"/>
      <c r="BL702" s="323"/>
      <c r="BM702" s="323"/>
      <c r="BN702" s="323"/>
      <c r="BO702" s="323"/>
      <c r="BP702" s="323"/>
      <c r="BQ702" s="323"/>
      <c r="BR702" s="323"/>
      <c r="BS702" s="323"/>
      <c r="BT702" s="323"/>
      <c r="BU702" s="323"/>
      <c r="BV702" s="323"/>
      <c r="BW702" s="323"/>
      <c r="BX702" s="323"/>
      <c r="BY702" s="323"/>
      <c r="BZ702" s="323"/>
      <c r="CA702" s="323"/>
      <c r="CB702" s="323"/>
      <c r="CC702" s="323"/>
      <c r="CD702" s="323"/>
      <c r="CE702" s="324"/>
      <c r="CF702" s="323"/>
      <c r="CG702" s="323"/>
      <c r="CH702" s="323"/>
      <c r="CI702" s="323"/>
      <c r="CJ702" s="323"/>
      <c r="CK702" s="323"/>
      <c r="CL702" s="323"/>
      <c r="CM702" s="323"/>
      <c r="CN702" s="323"/>
      <c r="CO702" s="323"/>
      <c r="CP702" s="325"/>
      <c r="CQ702" s="323"/>
      <c r="CR702" s="323"/>
      <c r="CS702" s="323"/>
      <c r="CT702" s="323"/>
      <c r="CU702" s="323"/>
      <c r="CV702" s="323"/>
      <c r="CW702" s="323"/>
      <c r="CX702" s="323"/>
      <c r="CY702" s="323"/>
      <c r="CZ702" s="323"/>
      <c r="DA702" s="323"/>
      <c r="DB702" s="1269"/>
      <c r="DC702" s="627"/>
      <c r="DD702" s="627"/>
      <c r="DE702" s="627"/>
      <c r="DF702" s="627"/>
      <c r="DG702" s="627"/>
      <c r="DH702" s="627"/>
      <c r="DI702" s="627"/>
      <c r="DJ702" s="627"/>
      <c r="DK702" s="627"/>
      <c r="DL702" s="627"/>
      <c r="DM702" s="627"/>
      <c r="DN702" s="1331"/>
      <c r="DO702" s="627"/>
      <c r="DP702" s="627"/>
      <c r="DQ702" s="627"/>
      <c r="DR702" s="627"/>
      <c r="DS702" s="627"/>
      <c r="DT702" s="891"/>
      <c r="DU702" s="891"/>
      <c r="DV702" s="891"/>
      <c r="DW702" s="891"/>
      <c r="DX702" s="891"/>
      <c r="DY702" s="891"/>
      <c r="DZ702" s="1331"/>
      <c r="EA702" s="627"/>
      <c r="EB702" s="891"/>
      <c r="EC702" s="891"/>
      <c r="ED702" s="891"/>
      <c r="EE702" s="891"/>
      <c r="EF702" s="891"/>
      <c r="EG702" s="891"/>
      <c r="EH702" s="891"/>
      <c r="EI702" s="891"/>
      <c r="EJ702" s="891"/>
      <c r="EK702" s="891"/>
      <c r="EL702" s="1344"/>
      <c r="EM702" s="891"/>
      <c r="EN702" s="891"/>
      <c r="EO702" s="891"/>
      <c r="EP702" s="891"/>
      <c r="EQ702" s="891"/>
      <c r="ER702" s="891"/>
      <c r="ES702" s="891"/>
      <c r="ET702" s="891"/>
      <c r="EU702" s="891"/>
      <c r="EV702" s="891"/>
      <c r="EW702" s="891"/>
      <c r="EX702" s="1344"/>
      <c r="EY702" s="891"/>
      <c r="EZ702" s="891"/>
      <c r="FA702" s="891"/>
      <c r="FB702" s="891"/>
      <c r="FC702" s="891"/>
      <c r="FD702" s="891"/>
      <c r="FE702" s="891"/>
      <c r="FF702" s="891"/>
      <c r="FG702" s="891"/>
      <c r="FH702" s="891"/>
      <c r="FI702" s="891"/>
      <c r="FJ702" s="1344"/>
      <c r="FK702" s="891"/>
      <c r="FL702" s="891"/>
      <c r="FM702" s="891"/>
      <c r="FN702" s="891"/>
      <c r="FO702" s="891"/>
      <c r="FP702" s="891"/>
      <c r="FQ702" s="891"/>
      <c r="FR702" s="891"/>
      <c r="FS702" s="891"/>
      <c r="FT702" s="891"/>
      <c r="FU702" s="891"/>
      <c r="FV702" s="891"/>
      <c r="FW702" s="891"/>
      <c r="FX702" s="891"/>
      <c r="FY702" s="891"/>
      <c r="FZ702" s="891"/>
      <c r="GA702" s="891"/>
      <c r="GB702" s="891"/>
      <c r="GC702" s="891"/>
      <c r="GD702" s="891"/>
      <c r="GE702" s="891"/>
      <c r="GF702" s="891"/>
      <c r="GG702" s="891"/>
      <c r="GH702" s="891"/>
      <c r="GI702" s="891"/>
      <c r="GJ702" s="891"/>
      <c r="GK702" s="891"/>
      <c r="GL702" s="891"/>
      <c r="GM702" s="891"/>
      <c r="GN702" s="891"/>
      <c r="GO702" s="891"/>
      <c r="GP702" s="891"/>
      <c r="GQ702" s="891"/>
      <c r="GR702" s="891"/>
      <c r="GS702" s="891"/>
      <c r="GT702" s="891"/>
      <c r="GU702" s="891"/>
      <c r="GV702" s="891"/>
      <c r="GW702" s="891"/>
      <c r="GX702" s="891"/>
      <c r="GY702" s="891"/>
      <c r="GZ702" s="891"/>
      <c r="HA702" s="891"/>
      <c r="HB702" s="891"/>
      <c r="HC702" s="891"/>
      <c r="HD702" s="891"/>
      <c r="HE702" s="891"/>
      <c r="HF702" s="891"/>
      <c r="HG702" s="891"/>
      <c r="HH702" s="891"/>
      <c r="HI702" s="891"/>
      <c r="HJ702" s="891"/>
      <c r="HK702" s="891"/>
      <c r="HL702" s="891"/>
      <c r="HM702" s="891"/>
      <c r="HN702" s="891"/>
      <c r="HO702" s="891"/>
      <c r="HP702" s="891"/>
      <c r="HQ702" s="891"/>
      <c r="HR702" s="891"/>
      <c r="HS702" s="891"/>
      <c r="HT702" s="891"/>
      <c r="HU702" s="891"/>
      <c r="HV702" s="891"/>
      <c r="HW702" s="891"/>
      <c r="HX702" s="891"/>
      <c r="HY702" s="891"/>
      <c r="HZ702" s="326"/>
      <c r="IA702" s="657" t="s">
        <v>1058</v>
      </c>
      <c r="IB702" s="657"/>
      <c r="IC702" s="657"/>
      <c r="ID702" s="628"/>
      <c r="IG702" s="628"/>
      <c r="IH702" s="284"/>
      <c r="II702" s="852" t="s">
        <v>750</v>
      </c>
      <c r="IJ702" s="889" t="str">
        <f>IF(ABS(-(IJ664+IJ667)-IJ700)&gt;0.1,"check","")</f>
        <v/>
      </c>
      <c r="IK702" s="889" t="str">
        <f>IF(ABS(-(IK664+IK667)-IK700)&gt;0.1,"check","")</f>
        <v/>
      </c>
      <c r="IL702" s="889"/>
      <c r="IM702" s="853" t="str">
        <f>IF(ABS(-(IM664+IM667)-IM700)&gt;0.1,"check","")</f>
        <v/>
      </c>
      <c r="IN702" s="327"/>
      <c r="IO702" s="327"/>
      <c r="IP702" s="323">
        <f>FISC!AC922</f>
        <v>0</v>
      </c>
      <c r="IQ702" s="327"/>
      <c r="IR702" s="327"/>
      <c r="IS702" s="629"/>
      <c r="IT702" s="327"/>
      <c r="IU702" s="327"/>
      <c r="IV702" s="629"/>
      <c r="IX702" s="327">
        <f t="shared" si="679"/>
        <v>0</v>
      </c>
      <c r="IY702" s="629"/>
      <c r="JA702" s="327"/>
      <c r="JB702" s="629"/>
      <c r="JD702" s="327"/>
      <c r="JE702" s="629"/>
      <c r="JG702" s="327"/>
      <c r="JH702" s="629"/>
      <c r="JJ702" s="327"/>
      <c r="JK702" s="629"/>
      <c r="JN702" s="629"/>
      <c r="JO702" s="629"/>
      <c r="KU702" s="326"/>
      <c r="KV702" s="327"/>
    </row>
    <row r="703" spans="1:314" hidden="1">
      <c r="A703" s="279"/>
      <c r="B703" s="96" t="s">
        <v>338</v>
      </c>
      <c r="D703" s="659" t="str">
        <f>+FISC!D924</f>
        <v>Projected financing need (unidentified budget grants/loans) (- surplus)</v>
      </c>
      <c r="E703" s="323"/>
      <c r="F703" s="323"/>
      <c r="G703" s="323"/>
      <c r="H703" s="323"/>
      <c r="I703" s="323"/>
      <c r="J703" s="323"/>
      <c r="K703" s="323"/>
      <c r="L703" s="323"/>
      <c r="M703" s="323"/>
      <c r="N703" s="323"/>
      <c r="O703" s="323"/>
      <c r="P703" s="323"/>
      <c r="Q703" s="323"/>
      <c r="R703" s="323"/>
      <c r="S703" s="323"/>
      <c r="T703" s="323"/>
      <c r="U703" s="323"/>
      <c r="V703" s="323"/>
      <c r="W703" s="323"/>
      <c r="X703" s="323"/>
      <c r="Y703" s="323"/>
      <c r="Z703" s="323"/>
      <c r="AA703" s="323"/>
      <c r="AB703" s="323"/>
      <c r="AC703" s="323"/>
      <c r="AD703" s="323"/>
      <c r="AE703" s="323"/>
      <c r="AF703" s="323"/>
      <c r="AG703" s="323"/>
      <c r="AH703" s="323"/>
      <c r="AI703" s="323"/>
      <c r="AJ703" s="323"/>
      <c r="AK703" s="323"/>
      <c r="AL703" s="323"/>
      <c r="AM703" s="323"/>
      <c r="AN703" s="323"/>
      <c r="AO703" s="323"/>
      <c r="AP703" s="323"/>
      <c r="AQ703" s="323"/>
      <c r="AR703" s="323"/>
      <c r="AS703" s="323"/>
      <c r="AT703" s="323"/>
      <c r="AU703" s="323"/>
      <c r="AV703" s="323"/>
      <c r="AW703" s="323"/>
      <c r="AX703" s="323"/>
      <c r="AY703" s="323"/>
      <c r="AZ703" s="323"/>
      <c r="BA703" s="323"/>
      <c r="BB703" s="323"/>
      <c r="BC703" s="323"/>
      <c r="BD703" s="323"/>
      <c r="BE703" s="323"/>
      <c r="BF703" s="323"/>
      <c r="BG703" s="323"/>
      <c r="BH703" s="323"/>
      <c r="BI703" s="323"/>
      <c r="BJ703" s="323"/>
      <c r="BK703" s="323"/>
      <c r="BL703" s="323"/>
      <c r="BM703" s="323"/>
      <c r="BN703" s="323"/>
      <c r="BO703" s="323"/>
      <c r="BP703" s="323"/>
      <c r="BQ703" s="323"/>
      <c r="BR703" s="323"/>
      <c r="BS703" s="323"/>
      <c r="BT703" s="323"/>
      <c r="BU703" s="323"/>
      <c r="BV703" s="323"/>
      <c r="BW703" s="323"/>
      <c r="BX703" s="323"/>
      <c r="BY703" s="323"/>
      <c r="BZ703" s="323"/>
      <c r="CA703" s="323"/>
      <c r="CB703" s="323"/>
      <c r="CC703" s="323"/>
      <c r="CD703" s="323"/>
      <c r="CE703" s="324"/>
      <c r="CF703" s="323"/>
      <c r="CG703" s="323"/>
      <c r="CH703" s="323"/>
      <c r="CI703" s="323"/>
      <c r="CJ703" s="323"/>
      <c r="CK703" s="323"/>
      <c r="CL703" s="323"/>
      <c r="CM703" s="323"/>
      <c r="CN703" s="323"/>
      <c r="CO703" s="323"/>
      <c r="CP703" s="325"/>
      <c r="CQ703" s="323"/>
      <c r="CR703" s="323"/>
      <c r="CS703" s="323"/>
      <c r="CT703" s="323"/>
      <c r="CU703" s="323"/>
      <c r="CV703" s="323"/>
      <c r="CW703" s="323"/>
      <c r="CX703" s="323"/>
      <c r="CY703" s="323"/>
      <c r="CZ703" s="323"/>
      <c r="DA703" s="323"/>
      <c r="DB703" s="1269"/>
      <c r="DC703" s="627"/>
      <c r="DD703" s="627"/>
      <c r="DE703" s="627"/>
      <c r="DF703" s="627"/>
      <c r="DG703" s="627"/>
      <c r="DH703" s="627"/>
      <c r="DI703" s="627"/>
      <c r="DJ703" s="627"/>
      <c r="DK703" s="627"/>
      <c r="DL703" s="627"/>
      <c r="DM703" s="627"/>
      <c r="DN703" s="1331"/>
      <c r="DO703" s="627"/>
      <c r="DP703" s="627"/>
      <c r="DQ703" s="627"/>
      <c r="DR703" s="627"/>
      <c r="DS703" s="627"/>
      <c r="DT703" s="627"/>
      <c r="DU703" s="627"/>
      <c r="DV703" s="627"/>
      <c r="DW703" s="627"/>
      <c r="DX703" s="627"/>
      <c r="DY703" s="627"/>
      <c r="DZ703" s="1331"/>
      <c r="EA703" s="627"/>
      <c r="EB703" s="627"/>
      <c r="EC703" s="627"/>
      <c r="ED703" s="627"/>
      <c r="EE703" s="627"/>
      <c r="EF703" s="627"/>
      <c r="EG703" s="627"/>
      <c r="EH703" s="627"/>
      <c r="EI703" s="627"/>
      <c r="EJ703" s="627"/>
      <c r="EK703" s="627"/>
      <c r="EL703" s="1331"/>
      <c r="EM703" s="627"/>
      <c r="EN703" s="627"/>
      <c r="EO703" s="627"/>
      <c r="EP703" s="627"/>
      <c r="EQ703" s="627"/>
      <c r="ER703" s="627"/>
      <c r="ES703" s="627"/>
      <c r="ET703" s="627"/>
      <c r="EU703" s="627"/>
      <c r="EV703" s="627"/>
      <c r="EW703" s="627"/>
      <c r="EX703" s="1331"/>
      <c r="EY703" s="627"/>
      <c r="EZ703" s="627"/>
      <c r="FA703" s="627"/>
      <c r="FB703" s="627"/>
      <c r="FC703" s="627"/>
      <c r="FD703" s="627"/>
      <c r="FE703" s="627"/>
      <c r="FF703" s="627"/>
      <c r="FG703" s="627"/>
      <c r="FH703" s="627"/>
      <c r="FI703" s="627"/>
      <c r="FJ703" s="1331"/>
      <c r="FK703" s="627"/>
      <c r="FL703" s="627"/>
      <c r="FM703" s="627"/>
      <c r="FN703" s="627"/>
      <c r="FO703" s="627"/>
      <c r="FP703" s="627"/>
      <c r="FQ703" s="627"/>
      <c r="FR703" s="627"/>
      <c r="FS703" s="627"/>
      <c r="FT703" s="627"/>
      <c r="FU703" s="627"/>
      <c r="FV703" s="627"/>
      <c r="FW703" s="627"/>
      <c r="FX703" s="627"/>
      <c r="FY703" s="627"/>
      <c r="FZ703" s="627"/>
      <c r="GA703" s="627"/>
      <c r="GB703" s="627"/>
      <c r="GC703" s="627"/>
      <c r="GD703" s="627"/>
      <c r="GE703" s="627"/>
      <c r="GF703" s="627"/>
      <c r="GG703" s="627"/>
      <c r="GH703" s="627"/>
      <c r="GI703" s="627"/>
      <c r="GJ703" s="627"/>
      <c r="GK703" s="627"/>
      <c r="GL703" s="627"/>
      <c r="GM703" s="627"/>
      <c r="GN703" s="627"/>
      <c r="GO703" s="627"/>
      <c r="GP703" s="627"/>
      <c r="GQ703" s="627"/>
      <c r="GR703" s="627"/>
      <c r="GS703" s="627"/>
      <c r="GT703" s="627"/>
      <c r="GU703" s="627"/>
      <c r="GV703" s="627"/>
      <c r="GW703" s="627"/>
      <c r="GX703" s="627"/>
      <c r="GY703" s="627"/>
      <c r="GZ703" s="627"/>
      <c r="HA703" s="627"/>
      <c r="HB703" s="627"/>
      <c r="HC703" s="627"/>
      <c r="HD703" s="627"/>
      <c r="HE703" s="627"/>
      <c r="HF703" s="627"/>
      <c r="HG703" s="627"/>
      <c r="HH703" s="627"/>
      <c r="HI703" s="627"/>
      <c r="HJ703" s="627"/>
      <c r="HK703" s="627"/>
      <c r="HL703" s="627"/>
      <c r="HM703" s="627"/>
      <c r="HN703" s="627"/>
      <c r="HO703" s="627"/>
      <c r="HP703" s="627"/>
      <c r="HQ703" s="627"/>
      <c r="HR703" s="627"/>
      <c r="HS703" s="627"/>
      <c r="HT703" s="627"/>
      <c r="HU703" s="627"/>
      <c r="HV703" s="627"/>
      <c r="HW703" s="627"/>
      <c r="HX703" s="627"/>
      <c r="HY703" s="627"/>
      <c r="HZ703" s="326"/>
      <c r="IA703" s="659" t="s">
        <v>808</v>
      </c>
      <c r="IB703" s="659"/>
      <c r="IC703" s="659"/>
      <c r="ID703" s="628">
        <f>+FISC!Z924</f>
        <v>0</v>
      </c>
      <c r="IG703" s="628"/>
      <c r="IH703" s="284"/>
      <c r="IJ703" s="630">
        <f>+FISC!AA924</f>
        <v>0</v>
      </c>
      <c r="IK703" s="432"/>
      <c r="IL703" s="432"/>
      <c r="IM703" s="630">
        <v>0</v>
      </c>
      <c r="IN703" s="432">
        <f>-(IN664+IN667)</f>
        <v>0</v>
      </c>
      <c r="IO703" s="432">
        <f>-(IO664+IO667)</f>
        <v>0</v>
      </c>
      <c r="IP703" s="323">
        <f>FISC!AC924</f>
        <v>0</v>
      </c>
      <c r="IQ703" s="432"/>
      <c r="IR703" s="432"/>
      <c r="IS703" s="630">
        <f>+FISC!AD924</f>
        <v>0</v>
      </c>
      <c r="IT703" s="327"/>
      <c r="IU703" s="327"/>
      <c r="IV703" s="913">
        <f>+FISC!AE924</f>
        <v>0</v>
      </c>
      <c r="IX703" s="327">
        <f t="shared" si="679"/>
        <v>161.47709796857001</v>
      </c>
      <c r="IY703" s="913">
        <f>+FISC!AF924</f>
        <v>161.47709796857001</v>
      </c>
      <c r="JA703" s="327"/>
      <c r="JB703" s="913">
        <f>+FISC!AG924</f>
        <v>13.09276161209365</v>
      </c>
      <c r="JD703" s="327"/>
      <c r="JE703" s="913">
        <f>+FISC!AH924</f>
        <v>0</v>
      </c>
      <c r="JG703" s="327"/>
      <c r="JH703" s="913">
        <f>+FISC!AI924</f>
        <v>0</v>
      </c>
      <c r="JJ703" s="327"/>
      <c r="JK703" s="913">
        <f>+FISC!AJ924</f>
        <v>0</v>
      </c>
      <c r="JN703" s="913">
        <f>+FISC!AK924</f>
        <v>0</v>
      </c>
      <c r="JO703" s="913"/>
      <c r="KU703" s="326"/>
      <c r="KV703" s="327"/>
    </row>
    <row r="704" spans="1:314" hidden="1">
      <c r="A704" s="279"/>
      <c r="B704" s="96" t="s">
        <v>338</v>
      </c>
      <c r="D704" s="659" t="str">
        <f>+FISC!D925</f>
        <v xml:space="preserve">                           interest on financing need (not included in DU projection)</v>
      </c>
      <c r="E704" s="323"/>
      <c r="F704" s="323"/>
      <c r="G704" s="323"/>
      <c r="H704" s="323"/>
      <c r="I704" s="323"/>
      <c r="J704" s="323"/>
      <c r="K704" s="323"/>
      <c r="L704" s="323"/>
      <c r="M704" s="323"/>
      <c r="N704" s="323"/>
      <c r="O704" s="323"/>
      <c r="P704" s="323"/>
      <c r="Q704" s="323"/>
      <c r="R704" s="323"/>
      <c r="S704" s="323"/>
      <c r="T704" s="323"/>
      <c r="U704" s="323"/>
      <c r="V704" s="323"/>
      <c r="W704" s="323"/>
      <c r="X704" s="323"/>
      <c r="Y704" s="323"/>
      <c r="Z704" s="323"/>
      <c r="AA704" s="323"/>
      <c r="AB704" s="323"/>
      <c r="AC704" s="323"/>
      <c r="AD704" s="323"/>
      <c r="AE704" s="323"/>
      <c r="AF704" s="323"/>
      <c r="AG704" s="323"/>
      <c r="AH704" s="323"/>
      <c r="AI704" s="323"/>
      <c r="AJ704" s="323"/>
      <c r="AK704" s="323"/>
      <c r="AL704" s="323"/>
      <c r="AM704" s="323"/>
      <c r="AN704" s="323"/>
      <c r="AO704" s="323"/>
      <c r="AP704" s="323"/>
      <c r="AQ704" s="323"/>
      <c r="AR704" s="323"/>
      <c r="AS704" s="323"/>
      <c r="AT704" s="323"/>
      <c r="AU704" s="323"/>
      <c r="AV704" s="323"/>
      <c r="AW704" s="323"/>
      <c r="AX704" s="323"/>
      <c r="AY704" s="323"/>
      <c r="AZ704" s="323"/>
      <c r="BA704" s="323"/>
      <c r="BB704" s="323"/>
      <c r="BC704" s="323"/>
      <c r="BD704" s="323"/>
      <c r="BE704" s="323"/>
      <c r="BF704" s="323"/>
      <c r="BG704" s="323"/>
      <c r="BH704" s="323"/>
      <c r="BI704" s="323"/>
      <c r="BJ704" s="323"/>
      <c r="BK704" s="323"/>
      <c r="BL704" s="323"/>
      <c r="BM704" s="323"/>
      <c r="BN704" s="323"/>
      <c r="BO704" s="323"/>
      <c r="BP704" s="323"/>
      <c r="BQ704" s="323"/>
      <c r="BR704" s="323"/>
      <c r="BS704" s="323"/>
      <c r="BT704" s="323"/>
      <c r="BU704" s="323"/>
      <c r="BV704" s="323"/>
      <c r="BW704" s="323"/>
      <c r="BX704" s="323"/>
      <c r="BY704" s="323"/>
      <c r="BZ704" s="323"/>
      <c r="CA704" s="323"/>
      <c r="CB704" s="323"/>
      <c r="CC704" s="323"/>
      <c r="CD704" s="323"/>
      <c r="CE704" s="324"/>
      <c r="CF704" s="323"/>
      <c r="CG704" s="323"/>
      <c r="CH704" s="323"/>
      <c r="CI704" s="323"/>
      <c r="CJ704" s="323"/>
      <c r="CK704" s="323"/>
      <c r="CL704" s="323"/>
      <c r="CM704" s="323"/>
      <c r="CN704" s="323"/>
      <c r="CO704" s="323"/>
      <c r="CP704" s="325"/>
      <c r="CQ704" s="323"/>
      <c r="CR704" s="323"/>
      <c r="CS704" s="323"/>
      <c r="CT704" s="323"/>
      <c r="CU704" s="323"/>
      <c r="CV704" s="323"/>
      <c r="CW704" s="323"/>
      <c r="CX704" s="323"/>
      <c r="CY704" s="323"/>
      <c r="CZ704" s="323"/>
      <c r="DA704" s="323"/>
      <c r="DB704" s="1269"/>
      <c r="DC704" s="627"/>
      <c r="DD704" s="627"/>
      <c r="DE704" s="627"/>
      <c r="DF704" s="627"/>
      <c r="DG704" s="627"/>
      <c r="DH704" s="627"/>
      <c r="DI704" s="627"/>
      <c r="DJ704" s="627"/>
      <c r="DK704" s="627"/>
      <c r="DL704" s="627"/>
      <c r="DM704" s="627"/>
      <c r="DN704" s="1331"/>
      <c r="DO704" s="627"/>
      <c r="DP704" s="627"/>
      <c r="DQ704" s="627"/>
      <c r="DR704" s="627"/>
      <c r="DS704" s="627"/>
      <c r="DT704" s="627"/>
      <c r="DU704" s="627"/>
      <c r="DV704" s="627"/>
      <c r="DW704" s="627"/>
      <c r="DX704" s="627"/>
      <c r="DY704" s="627"/>
      <c r="DZ704" s="1331"/>
      <c r="EA704" s="627"/>
      <c r="EB704" s="627"/>
      <c r="EC704" s="627"/>
      <c r="ED704" s="627"/>
      <c r="EE704" s="627"/>
      <c r="EF704" s="627"/>
      <c r="EG704" s="627"/>
      <c r="EH704" s="627"/>
      <c r="EI704" s="627"/>
      <c r="EJ704" s="627"/>
      <c r="EK704" s="627"/>
      <c r="EL704" s="1331">
        <v>0</v>
      </c>
      <c r="EM704" s="627">
        <v>0</v>
      </c>
      <c r="EN704" s="627"/>
      <c r="EO704" s="627"/>
      <c r="EP704" s="627">
        <v>0</v>
      </c>
      <c r="EQ704" s="627"/>
      <c r="ER704" s="627"/>
      <c r="ES704" s="627"/>
      <c r="ET704" s="627"/>
      <c r="EU704" s="627"/>
      <c r="EV704" s="627"/>
      <c r="EW704" s="627"/>
      <c r="EX704" s="1331"/>
      <c r="EY704" s="627"/>
      <c r="EZ704" s="627"/>
      <c r="FA704" s="627"/>
      <c r="FB704" s="627"/>
      <c r="FC704" s="627"/>
      <c r="FD704" s="627"/>
      <c r="FE704" s="627"/>
      <c r="FF704" s="627"/>
      <c r="FG704" s="627"/>
      <c r="FH704" s="627"/>
      <c r="FI704" s="627"/>
      <c r="FJ704" s="1331"/>
      <c r="FK704" s="627"/>
      <c r="FL704" s="627"/>
      <c r="FM704" s="627"/>
      <c r="FN704" s="627"/>
      <c r="FO704" s="627"/>
      <c r="FP704" s="627"/>
      <c r="FQ704" s="627"/>
      <c r="FR704" s="627"/>
      <c r="FS704" s="627"/>
      <c r="FT704" s="627"/>
      <c r="FU704" s="627"/>
      <c r="FV704" s="627"/>
      <c r="FW704" s="627"/>
      <c r="FX704" s="627"/>
      <c r="FY704" s="627"/>
      <c r="FZ704" s="627"/>
      <c r="GA704" s="627"/>
      <c r="GB704" s="627"/>
      <c r="GC704" s="627"/>
      <c r="GD704" s="627"/>
      <c r="GE704" s="627"/>
      <c r="GF704" s="627"/>
      <c r="GG704" s="627"/>
      <c r="GH704" s="627"/>
      <c r="GI704" s="627"/>
      <c r="GJ704" s="627"/>
      <c r="GK704" s="627"/>
      <c r="GL704" s="627"/>
      <c r="GM704" s="627"/>
      <c r="GN704" s="627"/>
      <c r="GO704" s="627"/>
      <c r="GP704" s="627"/>
      <c r="GQ704" s="627"/>
      <c r="GR704" s="627"/>
      <c r="GS704" s="627"/>
      <c r="GT704" s="627"/>
      <c r="GU704" s="627"/>
      <c r="GV704" s="627"/>
      <c r="GW704" s="627"/>
      <c r="GX704" s="627"/>
      <c r="GY704" s="627"/>
      <c r="GZ704" s="627"/>
      <c r="HA704" s="627"/>
      <c r="HB704" s="627"/>
      <c r="HC704" s="627"/>
      <c r="HD704" s="627"/>
      <c r="HE704" s="627"/>
      <c r="HF704" s="627"/>
      <c r="HG704" s="627"/>
      <c r="HH704" s="627"/>
      <c r="HI704" s="627"/>
      <c r="HJ704" s="627"/>
      <c r="HK704" s="627"/>
      <c r="HL704" s="627"/>
      <c r="HM704" s="627"/>
      <c r="HN704" s="627"/>
      <c r="HO704" s="627"/>
      <c r="HP704" s="627"/>
      <c r="HQ704" s="627"/>
      <c r="HR704" s="627"/>
      <c r="HS704" s="627"/>
      <c r="HT704" s="627"/>
      <c r="HU704" s="627"/>
      <c r="HV704" s="627"/>
      <c r="HW704" s="627"/>
      <c r="HX704" s="627"/>
      <c r="HY704" s="627"/>
      <c r="HZ704" s="326"/>
      <c r="IA704" s="659" t="s">
        <v>248</v>
      </c>
      <c r="IB704" s="659"/>
      <c r="IC704" s="659"/>
      <c r="ID704" s="628">
        <f>+FISC!Z925</f>
        <v>0</v>
      </c>
      <c r="IG704" s="628"/>
      <c r="IH704" s="284"/>
      <c r="IJ704" s="630">
        <f>+FISC!AA925</f>
        <v>0</v>
      </c>
      <c r="IK704" s="432"/>
      <c r="IL704" s="432"/>
      <c r="IM704" s="630">
        <v>0</v>
      </c>
      <c r="IN704" s="432"/>
      <c r="IO704" s="432"/>
      <c r="IP704" s="323">
        <f>FISC!AC925</f>
        <v>0</v>
      </c>
      <c r="IQ704" s="432"/>
      <c r="IR704" s="432"/>
      <c r="IS704" s="630">
        <f>+FISC!AD925</f>
        <v>0</v>
      </c>
      <c r="IT704" s="327"/>
      <c r="IU704" s="327"/>
      <c r="IV704" s="630">
        <f>+FISC!AE925</f>
        <v>0</v>
      </c>
      <c r="IX704" s="327">
        <f t="shared" si="679"/>
        <v>4.8443129390571</v>
      </c>
      <c r="IY704" s="630">
        <f>+FISC!AF925</f>
        <v>4.8443129390571</v>
      </c>
      <c r="JA704" s="327"/>
      <c r="JB704" s="630">
        <f>+FISC!AG925</f>
        <v>13.48554446045646</v>
      </c>
      <c r="JD704" s="327"/>
      <c r="JE704" s="630">
        <f>+FISC!AH925</f>
        <v>0</v>
      </c>
      <c r="JG704" s="327"/>
      <c r="JH704" s="630">
        <f>+FISC!AI925</f>
        <v>0</v>
      </c>
      <c r="JJ704" s="327"/>
      <c r="JK704" s="630">
        <f>+FISC!AJ925</f>
        <v>0</v>
      </c>
      <c r="JN704" s="630">
        <f>+FISC!AK925</f>
        <v>0</v>
      </c>
      <c r="JO704" s="630"/>
      <c r="KU704" s="326"/>
      <c r="KV704" s="327"/>
    </row>
    <row r="705" spans="1:314" ht="15" hidden="1" customHeight="1">
      <c r="A705" s="279"/>
      <c r="D705" s="945" t="s">
        <v>1085</v>
      </c>
      <c r="CP705" s="280"/>
      <c r="DZ705" s="1331"/>
      <c r="EA705" s="627"/>
      <c r="EB705" s="279"/>
      <c r="EC705" s="279"/>
      <c r="ED705" s="279"/>
      <c r="EE705" s="279"/>
      <c r="EF705" s="279"/>
      <c r="EG705" s="279"/>
      <c r="EH705" s="279"/>
      <c r="EI705" s="279"/>
      <c r="EJ705" s="279"/>
      <c r="EK705" s="279"/>
      <c r="EL705" s="280"/>
      <c r="EM705" s="279"/>
      <c r="EN705" s="279"/>
      <c r="EO705" s="279"/>
      <c r="EP705" s="279"/>
      <c r="EQ705" s="279"/>
      <c r="ER705" s="279"/>
      <c r="ES705" s="279"/>
      <c r="ET705" s="279"/>
      <c r="EU705" s="279"/>
      <c r="EV705" s="279"/>
      <c r="EW705" s="279"/>
      <c r="EX705" s="280"/>
      <c r="EY705" s="279"/>
      <c r="EZ705" s="279"/>
      <c r="FA705" s="279"/>
      <c r="FB705" s="279"/>
      <c r="FC705" s="279"/>
      <c r="FD705" s="279"/>
      <c r="FE705" s="279"/>
      <c r="FF705" s="279"/>
      <c r="FG705" s="279"/>
      <c r="FH705" s="279"/>
      <c r="FI705" s="279"/>
      <c r="FJ705" s="280"/>
      <c r="FK705" s="279"/>
      <c r="FL705" s="279"/>
      <c r="FM705" s="279"/>
      <c r="FN705" s="279"/>
      <c r="FO705" s="279"/>
      <c r="FP705" s="279"/>
      <c r="FQ705" s="279"/>
      <c r="FR705" s="279"/>
      <c r="FS705" s="279"/>
      <c r="FT705" s="279"/>
      <c r="FU705" s="279"/>
      <c r="FV705" s="279"/>
      <c r="FW705" s="279"/>
      <c r="FX705" s="279"/>
      <c r="FY705" s="279"/>
      <c r="FZ705" s="279"/>
      <c r="GA705" s="279"/>
      <c r="GB705" s="279"/>
      <c r="GC705" s="279"/>
      <c r="GD705" s="279"/>
      <c r="GE705" s="279"/>
      <c r="GF705" s="279"/>
      <c r="GG705" s="279"/>
      <c r="GH705" s="279"/>
      <c r="GI705" s="279"/>
      <c r="GJ705" s="279"/>
      <c r="GK705" s="279"/>
      <c r="GL705" s="279"/>
      <c r="GM705" s="279"/>
      <c r="GN705" s="279"/>
      <c r="GO705" s="279"/>
      <c r="GP705" s="279"/>
      <c r="GQ705" s="279"/>
      <c r="GR705" s="279"/>
      <c r="GS705" s="279"/>
      <c r="GT705" s="279"/>
      <c r="GU705" s="279"/>
      <c r="GV705" s="279"/>
      <c r="GW705" s="279"/>
      <c r="GX705" s="279"/>
      <c r="GY705" s="279"/>
      <c r="GZ705" s="279"/>
      <c r="HA705" s="279"/>
      <c r="HB705" s="279"/>
      <c r="HC705" s="279"/>
      <c r="HD705" s="279"/>
      <c r="HE705" s="279"/>
      <c r="HF705" s="279"/>
      <c r="HG705" s="279"/>
      <c r="HH705" s="279"/>
      <c r="HI705" s="279"/>
      <c r="HJ705" s="279"/>
      <c r="HK705" s="279"/>
      <c r="HL705" s="279"/>
      <c r="HM705" s="279"/>
      <c r="HN705" s="279"/>
      <c r="HO705" s="279"/>
      <c r="HP705" s="279"/>
      <c r="HQ705" s="279"/>
      <c r="HR705" s="279"/>
      <c r="HS705" s="279"/>
      <c r="HT705" s="279"/>
      <c r="HU705" s="279"/>
      <c r="HV705" s="279"/>
      <c r="HW705" s="279"/>
      <c r="HX705" s="279"/>
      <c r="HY705" s="279"/>
      <c r="IA705" s="945" t="s">
        <v>1166</v>
      </c>
      <c r="IB705" s="945"/>
      <c r="IC705" s="945"/>
      <c r="IE705" s="373"/>
      <c r="IF705" s="373"/>
      <c r="IH705" s="556"/>
      <c r="II705" s="556"/>
      <c r="IJ705" s="556">
        <f t="shared" ref="IJ705:IO705" si="722">+IJ684+IJ696</f>
        <v>59.256799999999984</v>
      </c>
      <c r="IK705" s="556">
        <f t="shared" si="722"/>
        <v>44.544243921577923</v>
      </c>
      <c r="IL705" s="556">
        <f t="shared" si="722"/>
        <v>8.4030000000000058</v>
      </c>
      <c r="IM705" s="556">
        <f t="shared" si="722"/>
        <v>52.947243921577929</v>
      </c>
      <c r="IN705" s="556">
        <f t="shared" si="722"/>
        <v>-12.653143921577801</v>
      </c>
      <c r="IO705" s="556">
        <f t="shared" si="722"/>
        <v>69.495483030999992</v>
      </c>
      <c r="IP705" s="323">
        <f>FISC!AC926</f>
        <v>63.622356078422058</v>
      </c>
      <c r="IQ705" s="556">
        <f>+IQ684+IQ696</f>
        <v>63.684599999999989</v>
      </c>
      <c r="IR705" s="556">
        <f>+IR684+IR696</f>
        <v>51.732900000000001</v>
      </c>
      <c r="IS705" s="556">
        <f>+IS684+IS696</f>
        <v>115.41749999999999</v>
      </c>
      <c r="IT705" s="327"/>
      <c r="IU705" s="327"/>
      <c r="IW705" s="327"/>
      <c r="IX705" s="327">
        <f t="shared" si="679"/>
        <v>0</v>
      </c>
      <c r="IZ705" s="327"/>
      <c r="JA705" s="327"/>
      <c r="JC705" s="327"/>
      <c r="JD705" s="327"/>
      <c r="JF705" s="327"/>
      <c r="JG705" s="327"/>
      <c r="JI705" s="327"/>
      <c r="JJ705" s="327"/>
      <c r="KY705" s="276"/>
      <c r="KZ705" s="276"/>
      <c r="LA705" s="276"/>
      <c r="LB705" s="276"/>
    </row>
    <row r="706" spans="1:314" ht="15" customHeight="1">
      <c r="A706" s="279"/>
      <c r="D706" s="945"/>
      <c r="CP706" s="280"/>
      <c r="DZ706" s="1331"/>
      <c r="EA706" s="627"/>
      <c r="EB706" s="279"/>
      <c r="EC706" s="279"/>
      <c r="ED706" s="279"/>
      <c r="EE706" s="279"/>
      <c r="EF706" s="279"/>
      <c r="EG706" s="279"/>
      <c r="EH706" s="279"/>
      <c r="EI706" s="279"/>
      <c r="EJ706" s="279"/>
      <c r="EK706" s="279"/>
      <c r="EL706" s="280"/>
      <c r="EM706" s="279"/>
      <c r="EN706" s="279"/>
      <c r="EO706" s="279"/>
      <c r="EP706" s="279"/>
      <c r="EQ706" s="279"/>
      <c r="ER706" s="279"/>
      <c r="ES706" s="279"/>
      <c r="ET706" s="279"/>
      <c r="EU706" s="279"/>
      <c r="EV706" s="279"/>
      <c r="EW706" s="279"/>
      <c r="EX706" s="280"/>
      <c r="EY706" s="279"/>
      <c r="EZ706" s="279"/>
      <c r="FA706" s="279"/>
      <c r="FB706" s="279"/>
      <c r="FC706" s="279"/>
      <c r="FD706" s="279"/>
      <c r="FE706" s="279"/>
      <c r="FF706" s="279"/>
      <c r="FG706" s="279"/>
      <c r="FH706" s="279"/>
      <c r="FI706" s="279"/>
      <c r="FJ706" s="280"/>
      <c r="FK706" s="279"/>
      <c r="FL706" s="279"/>
      <c r="FM706" s="279"/>
      <c r="FN706" s="279"/>
      <c r="FO706" s="279"/>
      <c r="FP706" s="279"/>
      <c r="FQ706" s="279"/>
      <c r="FR706" s="279"/>
      <c r="FS706" s="279"/>
      <c r="FT706" s="279"/>
      <c r="FU706" s="279"/>
      <c r="FV706" s="279"/>
      <c r="FW706" s="279"/>
      <c r="FX706" s="279"/>
      <c r="FY706" s="279"/>
      <c r="FZ706" s="279"/>
      <c r="GA706" s="279"/>
      <c r="GB706" s="279"/>
      <c r="GC706" s="279"/>
      <c r="GD706" s="279"/>
      <c r="GE706" s="279"/>
      <c r="GF706" s="279"/>
      <c r="GG706" s="279"/>
      <c r="GH706" s="279"/>
      <c r="GI706" s="279"/>
      <c r="GJ706" s="279"/>
      <c r="GK706" s="279"/>
      <c r="GL706" s="279"/>
      <c r="GM706" s="279"/>
      <c r="GN706" s="279"/>
      <c r="GO706" s="279"/>
      <c r="GP706" s="279"/>
      <c r="GQ706" s="279"/>
      <c r="GR706" s="279"/>
      <c r="GS706" s="279"/>
      <c r="GT706" s="279"/>
      <c r="GU706" s="279"/>
      <c r="GV706" s="279"/>
      <c r="GW706" s="279"/>
      <c r="GX706" s="279"/>
      <c r="GY706" s="279"/>
      <c r="GZ706" s="279"/>
      <c r="HA706" s="279"/>
      <c r="HB706" s="279"/>
      <c r="HC706" s="279"/>
      <c r="HD706" s="279"/>
      <c r="HE706" s="279"/>
      <c r="HF706" s="279"/>
      <c r="HG706" s="279"/>
      <c r="HH706" s="279"/>
      <c r="HI706" s="279"/>
      <c r="HJ706" s="279"/>
      <c r="HK706" s="279"/>
      <c r="HL706" s="279"/>
      <c r="HM706" s="279"/>
      <c r="HN706" s="279"/>
      <c r="HO706" s="279"/>
      <c r="HP706" s="279"/>
      <c r="HQ706" s="279"/>
      <c r="HR706" s="279"/>
      <c r="HS706" s="279"/>
      <c r="HT706" s="279"/>
      <c r="HU706" s="279"/>
      <c r="HV706" s="279"/>
      <c r="HW706" s="279"/>
      <c r="HX706" s="279"/>
      <c r="HY706" s="279"/>
      <c r="IA706" s="945"/>
      <c r="IB706" s="945"/>
      <c r="IC706" s="945"/>
      <c r="IE706" s="373"/>
      <c r="IF706" s="373"/>
      <c r="IH706" s="556"/>
      <c r="II706" s="556"/>
      <c r="IJ706" s="556"/>
      <c r="IK706" s="556"/>
      <c r="IL706" s="556"/>
      <c r="IM706" s="556"/>
      <c r="IN706" s="556"/>
      <c r="IO706" s="556"/>
      <c r="IP706" s="323"/>
      <c r="IQ706" s="556"/>
      <c r="IR706" s="556"/>
      <c r="IS706" s="556"/>
      <c r="IT706" s="327"/>
      <c r="IU706" s="327"/>
      <c r="IW706" s="327"/>
      <c r="IX706" s="327"/>
      <c r="IZ706" s="327"/>
      <c r="JA706" s="327"/>
      <c r="JC706" s="327"/>
      <c r="JD706" s="327"/>
      <c r="JF706" s="327"/>
      <c r="JG706" s="327"/>
      <c r="JI706" s="327"/>
      <c r="JJ706" s="327"/>
      <c r="KY706" s="373"/>
      <c r="KZ706" s="373"/>
      <c r="LA706" s="373"/>
      <c r="LB706" s="373"/>
    </row>
    <row r="707" spans="1:314" ht="15" customHeight="1">
      <c r="A707" s="607" t="s">
        <v>3737</v>
      </c>
      <c r="D707" s="2103" t="s">
        <v>3738</v>
      </c>
      <c r="CP707" s="280"/>
      <c r="DZ707" s="1331"/>
      <c r="EA707" s="627"/>
      <c r="EB707" s="279"/>
      <c r="EC707" s="279"/>
      <c r="ED707" s="279"/>
      <c r="EE707" s="279"/>
      <c r="EF707" s="279"/>
      <c r="EG707" s="279"/>
      <c r="EH707" s="279"/>
      <c r="EI707" s="279"/>
      <c r="EJ707" s="279"/>
      <c r="EK707" s="279"/>
      <c r="EL707" s="280"/>
      <c r="EM707" s="279"/>
      <c r="EN707" s="279"/>
      <c r="EO707" s="279"/>
      <c r="EP707" s="279"/>
      <c r="EQ707" s="279"/>
      <c r="ER707" s="279"/>
      <c r="ES707" s="279"/>
      <c r="ET707" s="279"/>
      <c r="EU707" s="279"/>
      <c r="EV707" s="279"/>
      <c r="EW707" s="279"/>
      <c r="EX707" s="280"/>
      <c r="EY707" s="279"/>
      <c r="EZ707" s="279"/>
      <c r="FA707" s="279"/>
      <c r="FB707" s="279"/>
      <c r="FC707" s="279"/>
      <c r="FD707" s="279"/>
      <c r="FE707" s="279"/>
      <c r="FF707" s="279"/>
      <c r="FG707" s="279"/>
      <c r="FH707" s="279"/>
      <c r="FI707" s="279"/>
      <c r="FJ707" s="280"/>
      <c r="FK707" s="279"/>
      <c r="FL707" s="279"/>
      <c r="FM707" s="279"/>
      <c r="FN707" s="279"/>
      <c r="FO707" s="279"/>
      <c r="FP707" s="279"/>
      <c r="FQ707" s="279"/>
      <c r="FR707" s="279"/>
      <c r="FS707" s="279"/>
      <c r="FT707" s="279"/>
      <c r="FU707" s="279"/>
      <c r="FV707" s="279"/>
      <c r="FW707" s="279"/>
      <c r="FX707" s="279"/>
      <c r="FY707" s="279"/>
      <c r="FZ707" s="279"/>
      <c r="GA707" s="279"/>
      <c r="GB707" s="279"/>
      <c r="GC707" s="279"/>
      <c r="GD707" s="279"/>
      <c r="GE707" s="279"/>
      <c r="GF707" s="279"/>
      <c r="GG707" s="279"/>
      <c r="GH707" s="279"/>
      <c r="GI707" s="279"/>
      <c r="GJ707" s="279"/>
      <c r="GK707" s="279"/>
      <c r="GL707" s="279"/>
      <c r="GM707" s="279"/>
      <c r="GN707" s="279"/>
      <c r="GO707" s="279"/>
      <c r="GP707" s="279"/>
      <c r="GQ707" s="279"/>
      <c r="GR707" s="279"/>
      <c r="GS707" s="279"/>
      <c r="GT707" s="279"/>
      <c r="GU707" s="279"/>
      <c r="GV707" s="279"/>
      <c r="GW707" s="279"/>
      <c r="GX707" s="279"/>
      <c r="GY707" s="279"/>
      <c r="GZ707" s="279"/>
      <c r="HA707" s="279"/>
      <c r="HB707" s="279"/>
      <c r="HC707" s="279"/>
      <c r="HD707" s="279"/>
      <c r="HE707" s="279"/>
      <c r="HF707" s="279"/>
      <c r="HG707" s="279"/>
      <c r="HH707" s="279"/>
      <c r="HI707" s="279"/>
      <c r="HJ707" s="279"/>
      <c r="HK707" s="279"/>
      <c r="HL707" s="279"/>
      <c r="HM707" s="279"/>
      <c r="HN707" s="279"/>
      <c r="HO707" s="279"/>
      <c r="HP707" s="279"/>
      <c r="HQ707" s="279"/>
      <c r="HR707" s="279"/>
      <c r="HS707" s="279"/>
      <c r="HT707" s="279"/>
      <c r="HU707" s="279"/>
      <c r="HV707" s="279"/>
      <c r="HW707" s="279"/>
      <c r="HX707" s="279"/>
      <c r="HY707" s="279"/>
      <c r="IA707" s="945"/>
      <c r="IB707" s="945"/>
      <c r="IC707" s="945"/>
      <c r="IE707" s="373"/>
      <c r="IF707" s="373"/>
      <c r="IH707" s="556"/>
      <c r="II707" s="556"/>
      <c r="IJ707" s="556"/>
      <c r="IK707" s="556"/>
      <c r="IL707" s="556"/>
      <c r="IM707" s="556"/>
      <c r="IN707" s="556"/>
      <c r="IO707" s="556"/>
      <c r="IP707" s="323"/>
      <c r="IQ707" s="556"/>
      <c r="IR707" s="556"/>
      <c r="IS707" s="556"/>
      <c r="IT707" s="327"/>
      <c r="IU707" s="327"/>
      <c r="IW707" s="327"/>
      <c r="IX707" s="327"/>
      <c r="IZ707" s="327"/>
      <c r="JA707" s="327"/>
      <c r="JC707" s="327"/>
      <c r="JD707" s="327"/>
      <c r="JF707" s="327"/>
      <c r="JG707" s="327"/>
      <c r="JI707" s="327"/>
      <c r="JJ707" s="327"/>
      <c r="KY707" s="373"/>
      <c r="KZ707" s="373"/>
      <c r="LA707" s="373"/>
      <c r="LB707" s="373"/>
    </row>
    <row r="708" spans="1:314" ht="15" customHeight="1">
      <c r="A708" s="279"/>
      <c r="D708" s="96" t="s">
        <v>3739</v>
      </c>
      <c r="CP708" s="280"/>
      <c r="DZ708" s="1331"/>
      <c r="EA708" s="627"/>
      <c r="EB708" s="279"/>
      <c r="EC708" s="279"/>
      <c r="ED708" s="279"/>
      <c r="EE708" s="279"/>
      <c r="EF708" s="279"/>
      <c r="EG708" s="279"/>
      <c r="EH708" s="279"/>
      <c r="EI708" s="279"/>
      <c r="EJ708" s="279"/>
      <c r="EK708" s="279"/>
      <c r="EL708" s="280"/>
      <c r="EM708" s="279"/>
      <c r="EN708" s="279"/>
      <c r="EO708" s="279"/>
      <c r="EP708" s="279"/>
      <c r="EQ708" s="279"/>
      <c r="ER708" s="279"/>
      <c r="ES708" s="279"/>
      <c r="ET708" s="279"/>
      <c r="EU708" s="279"/>
      <c r="EV708" s="279"/>
      <c r="EW708" s="279"/>
      <c r="EX708" s="280"/>
      <c r="EY708" s="279"/>
      <c r="EZ708" s="279"/>
      <c r="FA708" s="279"/>
      <c r="FB708" s="279"/>
      <c r="FC708" s="279"/>
      <c r="FD708" s="279"/>
      <c r="FE708" s="279"/>
      <c r="FF708" s="279"/>
      <c r="FG708" s="279"/>
      <c r="FH708" s="279"/>
      <c r="FI708" s="279"/>
      <c r="FJ708" s="280"/>
      <c r="FK708" s="279"/>
      <c r="FL708" s="279"/>
      <c r="FM708" s="279"/>
      <c r="FN708" s="279"/>
      <c r="FO708" s="279"/>
      <c r="FP708" s="279"/>
      <c r="FQ708" s="279"/>
      <c r="FR708" s="279"/>
      <c r="FS708" s="279"/>
      <c r="FT708" s="279"/>
      <c r="FU708" s="279"/>
      <c r="FV708" s="279"/>
      <c r="FW708" s="279"/>
      <c r="FX708" s="279"/>
      <c r="FY708" s="279"/>
      <c r="FZ708" s="279"/>
      <c r="GA708" s="279"/>
      <c r="GB708" s="279"/>
      <c r="GC708" s="279"/>
      <c r="GD708" s="279"/>
      <c r="GE708" s="279"/>
      <c r="GF708" s="279"/>
      <c r="GG708" s="279"/>
      <c r="GH708" s="279"/>
      <c r="GI708" s="279"/>
      <c r="GJ708" s="279"/>
      <c r="GK708" s="279"/>
      <c r="GL708" s="279"/>
      <c r="GM708" s="279"/>
      <c r="GN708" s="279"/>
      <c r="GO708" s="279"/>
      <c r="GP708" s="279"/>
      <c r="GQ708" s="279"/>
      <c r="GR708" s="279"/>
      <c r="GS708" s="279"/>
      <c r="GT708" s="279"/>
      <c r="GU708" s="279"/>
      <c r="GV708" s="279"/>
      <c r="GW708" s="279"/>
      <c r="GX708" s="279"/>
      <c r="GY708" s="279"/>
      <c r="GZ708" s="279"/>
      <c r="HA708" s="279"/>
      <c r="HB708" s="279"/>
      <c r="HC708" s="279"/>
      <c r="HD708" s="279"/>
      <c r="HE708" s="279"/>
      <c r="HF708" s="279"/>
      <c r="HG708" s="279"/>
      <c r="HH708" s="279"/>
      <c r="HI708" s="279"/>
      <c r="HJ708" s="279"/>
      <c r="HK708" s="279"/>
      <c r="HL708" s="279"/>
      <c r="HM708" s="279"/>
      <c r="HN708" s="279"/>
      <c r="HO708" s="279"/>
      <c r="HP708" s="279"/>
      <c r="HQ708" s="279"/>
      <c r="HR708" s="279"/>
      <c r="HS708" s="279"/>
      <c r="HT708" s="279"/>
      <c r="HU708" s="279"/>
      <c r="HV708" s="279"/>
      <c r="HW708" s="279"/>
      <c r="HX708" s="279"/>
      <c r="HY708" s="279"/>
      <c r="IA708" s="945"/>
      <c r="IB708" s="945"/>
      <c r="IC708" s="945"/>
      <c r="IE708" s="373"/>
      <c r="IF708" s="373"/>
      <c r="IH708" s="556"/>
      <c r="II708" s="556"/>
      <c r="IJ708" s="556"/>
      <c r="IK708" s="556"/>
      <c r="IL708" s="556"/>
      <c r="IM708" s="556"/>
      <c r="IN708" s="556"/>
      <c r="IO708" s="556"/>
      <c r="IP708" s="323"/>
      <c r="IQ708" s="556"/>
      <c r="IR708" s="556"/>
      <c r="IS708" s="556"/>
      <c r="IT708" s="327"/>
      <c r="IU708" s="327"/>
      <c r="IW708" s="327"/>
      <c r="IX708" s="327"/>
      <c r="IZ708" s="327"/>
      <c r="JA708" s="327"/>
      <c r="JC708" s="327"/>
      <c r="JD708" s="327"/>
      <c r="JF708" s="327"/>
      <c r="JG708" s="327"/>
      <c r="JI708" s="327"/>
      <c r="JJ708" s="327"/>
      <c r="KY708" s="373"/>
      <c r="KZ708" s="373"/>
      <c r="LA708" s="373"/>
      <c r="LB708" s="373"/>
    </row>
    <row r="709" spans="1:314" ht="15" customHeight="1">
      <c r="A709" s="279"/>
      <c r="D709" s="96" t="s">
        <v>3740</v>
      </c>
      <c r="CP709" s="280"/>
      <c r="DC709" s="279">
        <v>37.636702925000002</v>
      </c>
      <c r="DD709" s="279">
        <v>-3.7503312680000001</v>
      </c>
      <c r="DE709" s="279">
        <v>8.4308130559999999</v>
      </c>
      <c r="DF709" s="279">
        <v>21.529509368999999</v>
      </c>
      <c r="DG709" s="279">
        <v>0.76183760700000003</v>
      </c>
      <c r="DH709" s="279">
        <v>-34.708503962000002</v>
      </c>
      <c r="DI709" s="279">
        <v>29.328402982</v>
      </c>
      <c r="DJ709" s="279">
        <v>-5.4833340650000002</v>
      </c>
      <c r="DK709" s="279">
        <v>14.938295030000001</v>
      </c>
      <c r="DL709" s="279">
        <v>-2.7388450029999998</v>
      </c>
      <c r="DM709" s="279">
        <v>32.997606068000003</v>
      </c>
      <c r="DN709" s="280">
        <v>-80.737361011999994</v>
      </c>
      <c r="DO709" s="279">
        <v>9.6132284469999991</v>
      </c>
      <c r="DP709" s="279">
        <v>51.353971930999997</v>
      </c>
      <c r="DQ709" s="279">
        <v>2.2106296799999998</v>
      </c>
      <c r="DR709" s="279">
        <v>5.9088543060000003</v>
      </c>
      <c r="DS709" s="279">
        <v>9.6801277339999992</v>
      </c>
      <c r="DT709" s="279">
        <v>-70.734507523000005</v>
      </c>
      <c r="DU709" s="279">
        <v>50.939858530999999</v>
      </c>
      <c r="DV709" s="279">
        <v>-5.2782235499999999</v>
      </c>
      <c r="DW709" s="279">
        <v>-27.574826075000001</v>
      </c>
      <c r="DX709" s="279">
        <v>59.288729955000001</v>
      </c>
      <c r="DY709" s="279">
        <v>17.518485098999999</v>
      </c>
      <c r="DZ709" s="280">
        <v>-93.281594581999997</v>
      </c>
      <c r="EA709" s="279">
        <v>47.21555936</v>
      </c>
      <c r="EB709" s="279">
        <v>21.202175148999999</v>
      </c>
      <c r="EC709" s="279">
        <v>18.482069285000001</v>
      </c>
      <c r="ED709" s="279">
        <v>1.1225844479999962</v>
      </c>
      <c r="EE709" s="279">
        <v>7.6922014360000004</v>
      </c>
      <c r="EF709" s="279">
        <v>-75.861489285000005</v>
      </c>
      <c r="EG709" s="279">
        <v>4.9656702519999998</v>
      </c>
      <c r="EH709" s="279">
        <v>-0.16435275599999999</v>
      </c>
      <c r="EI709" s="279">
        <v>17.983570476000001</v>
      </c>
      <c r="EJ709" s="279">
        <v>21.250397036999999</v>
      </c>
      <c r="EK709" s="279">
        <v>46.389073705000001</v>
      </c>
      <c r="EL709" s="280">
        <v>-75.403993608999997</v>
      </c>
      <c r="EM709" s="279">
        <v>25.837880049999995</v>
      </c>
      <c r="EN709" s="279">
        <v>36.248566873999998</v>
      </c>
      <c r="EO709" s="279">
        <v>0.44080309799999812</v>
      </c>
      <c r="EP709" s="279">
        <v>33.570550891000082</v>
      </c>
      <c r="EQ709" s="279">
        <v>48.574986181000057</v>
      </c>
      <c r="ER709" s="279">
        <v>-92.413272835000001</v>
      </c>
      <c r="ES709" s="279">
        <v>-30.782850932999999</v>
      </c>
      <c r="ET709" s="279">
        <v>9.7400734640000266</v>
      </c>
      <c r="EU709" s="279">
        <v>11.986744914999997</v>
      </c>
      <c r="EV709" s="279">
        <v>147.276351898</v>
      </c>
      <c r="EW709" s="279">
        <v>62.231566880000003</v>
      </c>
      <c r="EX709" s="280">
        <v>-197.58878029100003</v>
      </c>
      <c r="EY709" s="279">
        <v>26.632126699166701</v>
      </c>
      <c r="EZ709" s="279">
        <v>29.299668134166701</v>
      </c>
      <c r="FA709" s="279">
        <v>40.303694945166704</v>
      </c>
      <c r="FB709" s="279">
        <v>-30.529431193833396</v>
      </c>
      <c r="FC709" s="279">
        <v>55.655963521166804</v>
      </c>
      <c r="FD709" s="279">
        <v>-55.130105226833301</v>
      </c>
      <c r="FE709" s="279">
        <v>-32.025499902</v>
      </c>
      <c r="FF709" s="279">
        <v>-2.960942395</v>
      </c>
      <c r="FG709" s="279">
        <v>-8.9043976540000003</v>
      </c>
      <c r="FH709" s="279">
        <v>2.107157188</v>
      </c>
      <c r="FI709" s="279">
        <v>59.248881259999997</v>
      </c>
      <c r="FJ709" s="280">
        <v>-110.55986481399999</v>
      </c>
      <c r="FK709" s="279">
        <v>86.432213680000004</v>
      </c>
      <c r="FL709" s="279">
        <v>13.579289406999999</v>
      </c>
      <c r="FM709" s="279">
        <v>2.3488274950000001</v>
      </c>
      <c r="FN709" s="279">
        <v>-10.703466624000001</v>
      </c>
      <c r="FO709" s="279">
        <v>12.851430151000001</v>
      </c>
      <c r="FP709" s="279">
        <v>53.273304389000003</v>
      </c>
      <c r="FQ709" s="279">
        <v>31.474810708</v>
      </c>
      <c r="FR709" s="279">
        <v>-5.5388419359999999</v>
      </c>
      <c r="FS709" s="279">
        <v>-74.304525472500004</v>
      </c>
      <c r="FT709" s="279">
        <v>9.9404462720000009</v>
      </c>
      <c r="FU709" s="279">
        <v>107.6545917585</v>
      </c>
      <c r="FV709" s="279">
        <v>-204.10480462300001</v>
      </c>
      <c r="FW709" s="279">
        <v>22.090584243999999</v>
      </c>
      <c r="FX709" s="279">
        <v>-21.442330771999998</v>
      </c>
      <c r="FY709" s="279">
        <v>47.756068955000003</v>
      </c>
      <c r="FZ709" s="279">
        <v>53.548558104999998</v>
      </c>
      <c r="GA709" s="279">
        <v>4.1963563730000004</v>
      </c>
      <c r="GB709" s="279">
        <v>33.844588815999998</v>
      </c>
      <c r="GC709" s="279">
        <v>18.019215185</v>
      </c>
      <c r="GD709" s="279">
        <v>27.795084486</v>
      </c>
      <c r="GE709" s="279">
        <v>-62.382185071000002</v>
      </c>
      <c r="GF709" s="279">
        <v>17.260068576333328</v>
      </c>
      <c r="GG709" s="279">
        <v>-20.990807772666656</v>
      </c>
      <c r="GH709" s="279">
        <v>-41.478239438094171</v>
      </c>
      <c r="GI709" s="279">
        <v>0</v>
      </c>
      <c r="GJ709" s="279">
        <v>0</v>
      </c>
      <c r="GK709" s="279">
        <v>92.4</v>
      </c>
      <c r="GL709" s="279">
        <v>0</v>
      </c>
      <c r="GM709" s="279">
        <v>0</v>
      </c>
      <c r="GN709" s="279">
        <v>21.7</v>
      </c>
      <c r="GO709" s="279">
        <v>0</v>
      </c>
      <c r="GP709" s="279">
        <v>0</v>
      </c>
      <c r="GQ709" s="279">
        <v>-45.9</v>
      </c>
      <c r="GR709" s="279">
        <v>0</v>
      </c>
      <c r="GS709" s="279">
        <v>0</v>
      </c>
      <c r="GT709" s="279">
        <v>1.6</v>
      </c>
      <c r="GU709" s="279">
        <v>-59.863281428767195</v>
      </c>
      <c r="GV709" s="279">
        <v>0</v>
      </c>
      <c r="GW709" s="279">
        <v>0</v>
      </c>
      <c r="GX709" s="279">
        <v>0</v>
      </c>
      <c r="GY709" s="279">
        <v>0</v>
      </c>
      <c r="GZ709" s="279">
        <v>-19.600000000000001</v>
      </c>
      <c r="HA709" s="279">
        <v>0</v>
      </c>
      <c r="HB709" s="279">
        <v>0</v>
      </c>
      <c r="HC709" s="279">
        <v>30</v>
      </c>
      <c r="HD709" s="279">
        <v>0</v>
      </c>
      <c r="HE709" s="279">
        <v>0</v>
      </c>
      <c r="HF709" s="279">
        <v>-34.921502530681501</v>
      </c>
      <c r="HG709" s="279">
        <v>0</v>
      </c>
      <c r="HH709" s="279">
        <v>0</v>
      </c>
      <c r="HI709" s="279">
        <v>-15</v>
      </c>
      <c r="HJ709" s="279">
        <v>0</v>
      </c>
      <c r="HK709" s="279">
        <v>0</v>
      </c>
      <c r="HL709" s="279">
        <v>-5</v>
      </c>
      <c r="HM709" s="279"/>
      <c r="HN709" s="279"/>
      <c r="HO709" s="279"/>
      <c r="HP709" s="279"/>
      <c r="HQ709" s="279"/>
      <c r="HR709" s="279"/>
      <c r="HS709" s="279"/>
      <c r="HT709" s="279"/>
      <c r="HU709" s="279"/>
      <c r="HV709" s="279"/>
      <c r="HW709" s="279"/>
      <c r="HX709" s="279"/>
      <c r="HY709" s="279"/>
      <c r="IE709" s="373"/>
      <c r="IF709" s="373"/>
      <c r="IH709" s="556"/>
      <c r="II709" s="556"/>
      <c r="IJ709" s="556"/>
      <c r="IT709" s="327"/>
      <c r="IU709" s="327"/>
      <c r="IW709" s="327"/>
      <c r="IX709" s="327"/>
      <c r="IZ709" s="327"/>
      <c r="JA709" s="327"/>
      <c r="JC709" s="327"/>
      <c r="JD709" s="327"/>
      <c r="JF709" s="327"/>
      <c r="JG709" s="327"/>
      <c r="JI709" s="327"/>
      <c r="JJ709" s="327"/>
      <c r="KY709" s="373"/>
      <c r="KZ709" s="373"/>
      <c r="LA709" s="373"/>
      <c r="LB709" s="373"/>
    </row>
    <row r="710" spans="1:314" ht="12" customHeight="1">
      <c r="A710" s="279"/>
      <c r="D710" s="347"/>
      <c r="CP710" s="280"/>
      <c r="DN710" s="625"/>
      <c r="EA710" s="279"/>
      <c r="EB710" s="279"/>
      <c r="EC710" s="279"/>
      <c r="ED710" s="279"/>
      <c r="EE710" s="279"/>
      <c r="EF710" s="279"/>
      <c r="EG710" s="279"/>
      <c r="EH710" s="279"/>
      <c r="EI710" s="279"/>
      <c r="EJ710" s="279"/>
      <c r="EK710" s="279"/>
      <c r="EL710" s="280"/>
      <c r="EM710" s="279"/>
      <c r="EN710" s="279"/>
      <c r="EO710" s="279"/>
      <c r="EP710" s="279"/>
      <c r="EQ710" s="279"/>
      <c r="ER710" s="279"/>
      <c r="ES710" s="279"/>
      <c r="ET710" s="279"/>
      <c r="EU710" s="279"/>
      <c r="EV710" s="279"/>
      <c r="EW710" s="279"/>
      <c r="EX710" s="280"/>
      <c r="EY710" s="279"/>
      <c r="EZ710" s="279"/>
      <c r="FA710" s="279"/>
      <c r="FB710" s="279"/>
      <c r="FC710" s="279"/>
      <c r="FD710" s="279"/>
      <c r="FE710" s="279"/>
      <c r="FF710" s="279"/>
      <c r="FG710" s="279"/>
      <c r="FH710" s="279"/>
      <c r="FI710" s="279"/>
      <c r="FJ710" s="280"/>
      <c r="FK710" s="279"/>
      <c r="FL710" s="279"/>
      <c r="FM710" s="279"/>
      <c r="FN710" s="279"/>
      <c r="FO710" s="279"/>
      <c r="FP710" s="279"/>
      <c r="FQ710" s="279"/>
      <c r="FR710" s="279"/>
      <c r="FS710" s="279"/>
      <c r="FT710" s="279"/>
      <c r="FU710" s="279"/>
      <c r="FV710" s="279"/>
      <c r="FW710" s="279"/>
      <c r="FX710" s="279"/>
      <c r="FY710" s="279"/>
      <c r="FZ710" s="279"/>
      <c r="GA710" s="279"/>
      <c r="GB710" s="279"/>
      <c r="GC710" s="279"/>
      <c r="GD710" s="279"/>
      <c r="GE710" s="279"/>
      <c r="GF710" s="279"/>
      <c r="GG710" s="279"/>
      <c r="GH710" s="279"/>
      <c r="GI710" s="279"/>
      <c r="GJ710" s="279"/>
      <c r="GK710" s="279"/>
      <c r="GL710" s="279"/>
      <c r="GM710" s="279"/>
      <c r="GN710" s="279"/>
      <c r="GO710" s="279"/>
      <c r="GP710" s="279"/>
      <c r="GQ710" s="279"/>
      <c r="GR710" s="279"/>
      <c r="GS710" s="279"/>
      <c r="GT710" s="279"/>
      <c r="GU710" s="279"/>
      <c r="GV710" s="279"/>
      <c r="GW710" s="279"/>
      <c r="GX710" s="279"/>
      <c r="GY710" s="279"/>
      <c r="GZ710" s="279"/>
      <c r="HA710" s="279"/>
      <c r="HB710" s="279"/>
      <c r="HC710" s="279"/>
      <c r="HD710" s="279"/>
      <c r="HE710" s="279"/>
      <c r="HF710" s="279"/>
      <c r="HG710" s="279"/>
      <c r="HH710" s="279"/>
      <c r="HI710" s="279"/>
      <c r="HJ710" s="279"/>
      <c r="HK710" s="279"/>
      <c r="HL710" s="279"/>
      <c r="HM710" s="279"/>
      <c r="HN710" s="279"/>
      <c r="HO710" s="279"/>
      <c r="HP710" s="279"/>
      <c r="HQ710" s="279"/>
      <c r="HR710" s="279"/>
      <c r="HS710" s="279"/>
      <c r="HT710" s="279"/>
      <c r="HU710" s="279"/>
      <c r="HV710" s="279"/>
      <c r="HW710" s="279"/>
      <c r="HX710" s="279"/>
      <c r="HY710" s="279"/>
      <c r="ID710" s="367">
        <f>+ID1</f>
        <v>2015</v>
      </c>
      <c r="IE710" s="282">
        <f>+IE546</f>
        <v>2014</v>
      </c>
      <c r="IF710" s="372">
        <f t="shared" ref="IF710:IS710" si="723">+IF1</f>
        <v>2015</v>
      </c>
      <c r="IG710" s="372">
        <f t="shared" si="723"/>
        <v>2015</v>
      </c>
      <c r="IH710" s="443">
        <f t="shared" si="723"/>
        <v>2015</v>
      </c>
      <c r="II710" s="443">
        <f t="shared" si="723"/>
        <v>2016</v>
      </c>
      <c r="IJ710" s="443">
        <f t="shared" si="723"/>
        <v>2016</v>
      </c>
      <c r="IK710" s="443">
        <f t="shared" si="723"/>
        <v>2016</v>
      </c>
      <c r="IL710" s="443">
        <f t="shared" si="723"/>
        <v>2017</v>
      </c>
      <c r="IM710" s="443">
        <f t="shared" si="723"/>
        <v>2017</v>
      </c>
      <c r="IN710" s="443">
        <f t="shared" si="723"/>
        <v>2017</v>
      </c>
      <c r="IO710" s="443">
        <f t="shared" si="723"/>
        <v>2018</v>
      </c>
      <c r="IP710" s="443">
        <f t="shared" si="723"/>
        <v>2018</v>
      </c>
      <c r="IQ710" s="443">
        <f t="shared" si="723"/>
        <v>2018</v>
      </c>
      <c r="IR710" s="443">
        <f t="shared" si="723"/>
        <v>2019</v>
      </c>
      <c r="IS710" s="443">
        <f t="shared" si="723"/>
        <v>2019</v>
      </c>
      <c r="IT710" s="327"/>
      <c r="IU710" s="327"/>
      <c r="IV710" s="443">
        <f>+IW1</f>
        <v>2020</v>
      </c>
      <c r="IW710" s="327"/>
      <c r="IX710" s="327"/>
      <c r="IY710" s="443">
        <f>+KT1</f>
        <v>2021</v>
      </c>
      <c r="IZ710" s="327"/>
      <c r="JA710" s="327">
        <f>+CX546</f>
        <v>0</v>
      </c>
      <c r="JB710" s="443">
        <f>+CY546</f>
        <v>0</v>
      </c>
      <c r="JC710" s="327">
        <f>+JC547</f>
        <v>0</v>
      </c>
      <c r="JD710" s="327">
        <f>+JD547</f>
        <v>0</v>
      </c>
      <c r="JE710" s="443"/>
      <c r="JF710" s="327"/>
      <c r="JG710" s="327"/>
      <c r="JH710" s="443"/>
      <c r="JI710" s="327"/>
      <c r="JJ710" s="327"/>
      <c r="JK710" s="443"/>
      <c r="KY710" s="282">
        <f>+IK546</f>
        <v>2016</v>
      </c>
      <c r="KZ710" s="282">
        <f>+IL546</f>
        <v>2017</v>
      </c>
      <c r="LA710" s="282">
        <f>+LA547</f>
        <v>2018</v>
      </c>
      <c r="LB710" s="282">
        <f>+LB547</f>
        <v>2018</v>
      </c>
    </row>
    <row r="711" spans="1:314" ht="18.75" hidden="1" customHeight="1">
      <c r="A711" s="279"/>
      <c r="D711" s="660"/>
      <c r="E711" s="348"/>
      <c r="F711" s="348"/>
      <c r="G711" s="348"/>
      <c r="H711" s="348"/>
      <c r="I711" s="348"/>
      <c r="J711" s="348"/>
      <c r="K711" s="348"/>
      <c r="L711" s="348"/>
      <c r="M711" s="348"/>
      <c r="N711" s="348"/>
      <c r="O711" s="348"/>
      <c r="P711" s="348"/>
      <c r="Q711" s="348"/>
      <c r="R711" s="348"/>
      <c r="S711" s="348"/>
      <c r="T711" s="348"/>
      <c r="U711" s="348"/>
      <c r="V711" s="348"/>
      <c r="W711" s="348"/>
      <c r="X711" s="348"/>
      <c r="Y711" s="348"/>
      <c r="Z711" s="348"/>
      <c r="AA711" s="348"/>
      <c r="AB711" s="348"/>
      <c r="AC711" s="348"/>
      <c r="AD711" s="348"/>
      <c r="AE711" s="348"/>
      <c r="AF711" s="348"/>
      <c r="AG711" s="348"/>
      <c r="AH711" s="348"/>
      <c r="AI711" s="348"/>
      <c r="AJ711" s="348"/>
      <c r="AK711" s="348"/>
      <c r="AL711" s="348"/>
      <c r="AM711" s="348"/>
      <c r="AN711" s="348"/>
      <c r="AO711" s="348"/>
      <c r="AP711" s="348"/>
      <c r="AQ711" s="348"/>
      <c r="AR711" s="348"/>
      <c r="AS711" s="348"/>
      <c r="AT711" s="348"/>
      <c r="AU711" s="348"/>
      <c r="AV711" s="348"/>
      <c r="AW711" s="348"/>
      <c r="AX711" s="348"/>
      <c r="AY711" s="348"/>
      <c r="AZ711" s="348"/>
      <c r="BA711" s="348"/>
      <c r="BB711" s="348"/>
      <c r="BC711" s="348"/>
      <c r="BD711" s="348"/>
      <c r="BE711" s="348"/>
      <c r="BF711" s="348"/>
      <c r="BG711" s="348"/>
      <c r="BH711" s="348"/>
      <c r="BI711" s="348"/>
      <c r="BJ711" s="348"/>
      <c r="BK711" s="348"/>
      <c r="BL711" s="348"/>
      <c r="BM711" s="348"/>
      <c r="BN711" s="348"/>
      <c r="BO711" s="348"/>
      <c r="BP711" s="348"/>
      <c r="BQ711" s="348"/>
      <c r="BR711" s="348"/>
      <c r="BS711" s="348"/>
      <c r="BT711" s="348"/>
      <c r="BU711" s="348"/>
      <c r="BV711" s="348"/>
      <c r="BW711" s="348"/>
      <c r="BX711" s="348"/>
      <c r="BY711" s="348"/>
      <c r="BZ711" s="348"/>
      <c r="CA711" s="348"/>
      <c r="CB711" s="348"/>
      <c r="CC711" s="348"/>
      <c r="CD711" s="348"/>
      <c r="CE711" s="348"/>
      <c r="CF711" s="348"/>
      <c r="CG711" s="348"/>
      <c r="CH711" s="348"/>
      <c r="CI711" s="348"/>
      <c r="CJ711" s="366"/>
      <c r="CK711" s="366"/>
      <c r="CL711" s="366"/>
      <c r="CM711" s="366"/>
      <c r="CN711" s="366"/>
      <c r="CO711" s="366"/>
      <c r="CP711" s="1283"/>
      <c r="CQ711" s="366"/>
      <c r="CR711" s="287"/>
      <c r="CS711" s="287"/>
      <c r="CT711" s="287"/>
      <c r="CU711" s="287"/>
      <c r="CV711" s="287"/>
      <c r="CW711" s="287"/>
      <c r="CX711" s="287"/>
      <c r="CY711" s="287"/>
      <c r="CZ711" s="287"/>
      <c r="DA711" s="287"/>
      <c r="DB711" s="290"/>
      <c r="DC711" s="287"/>
      <c r="DD711" s="287"/>
      <c r="DE711" s="287"/>
      <c r="DF711" s="287"/>
      <c r="DG711" s="287"/>
      <c r="DH711" s="287"/>
      <c r="DI711" s="287"/>
      <c r="DJ711" s="366"/>
      <c r="DK711" s="366"/>
      <c r="DL711" s="366"/>
      <c r="DM711" s="366"/>
      <c r="DN711" s="1283"/>
      <c r="DO711" s="870"/>
      <c r="DP711" s="870"/>
      <c r="DQ711" s="870"/>
      <c r="DR711" s="870"/>
      <c r="DS711" s="870"/>
      <c r="DT711" s="870"/>
      <c r="DU711" s="870"/>
      <c r="DV711" s="870"/>
      <c r="DW711" s="870"/>
      <c r="DX711" s="870"/>
      <c r="DY711" s="870"/>
      <c r="DZ711" s="625"/>
      <c r="EA711" s="279"/>
      <c r="EB711" s="870"/>
      <c r="EC711" s="870"/>
      <c r="ED711" s="870"/>
      <c r="EE711" s="870"/>
      <c r="EF711" s="870"/>
      <c r="EG711" s="870"/>
      <c r="EH711" s="870"/>
      <c r="EI711" s="870"/>
      <c r="EJ711" s="870"/>
      <c r="EK711" s="870"/>
      <c r="EL711" s="1345"/>
      <c r="EM711" s="870"/>
      <c r="EN711" s="870"/>
      <c r="EO711" s="870"/>
      <c r="EP711" s="870"/>
      <c r="EQ711" s="870"/>
      <c r="ER711" s="870"/>
      <c r="ES711" s="870"/>
      <c r="ET711" s="870"/>
      <c r="EU711" s="870"/>
      <c r="EV711" s="870"/>
      <c r="EW711" s="870"/>
      <c r="EX711" s="1345"/>
      <c r="EY711" s="870"/>
      <c r="EZ711" s="870"/>
      <c r="FA711" s="870"/>
      <c r="FB711" s="870"/>
      <c r="FC711" s="870"/>
      <c r="FD711" s="870"/>
      <c r="FE711" s="870"/>
      <c r="FF711" s="870"/>
      <c r="FG711" s="870"/>
      <c r="FH711" s="870"/>
      <c r="FI711" s="870"/>
      <c r="FJ711" s="1345"/>
      <c r="FK711" s="870"/>
      <c r="FL711" s="870"/>
      <c r="FM711" s="870"/>
      <c r="FN711" s="870"/>
      <c r="FO711" s="870"/>
      <c r="FP711" s="870"/>
      <c r="FQ711" s="870"/>
      <c r="FR711" s="870"/>
      <c r="FS711" s="870"/>
      <c r="FT711" s="870"/>
      <c r="FU711" s="870"/>
      <c r="FV711" s="870"/>
      <c r="FW711" s="870"/>
      <c r="FX711" s="870"/>
      <c r="FY711" s="870"/>
      <c r="FZ711" s="870"/>
      <c r="GA711" s="870"/>
      <c r="GB711" s="870"/>
      <c r="GC711" s="870"/>
      <c r="GD711" s="870"/>
      <c r="GE711" s="870"/>
      <c r="GF711" s="870"/>
      <c r="GG711" s="870"/>
      <c r="GH711" s="870"/>
      <c r="GI711" s="870"/>
      <c r="GJ711" s="870"/>
      <c r="GK711" s="870"/>
      <c r="GL711" s="870"/>
      <c r="GM711" s="870"/>
      <c r="GN711" s="870"/>
      <c r="GO711" s="870"/>
      <c r="GP711" s="870"/>
      <c r="GQ711" s="870"/>
      <c r="GR711" s="870"/>
      <c r="GS711" s="870"/>
      <c r="GT711" s="870"/>
      <c r="GU711" s="870"/>
      <c r="GV711" s="870"/>
      <c r="GW711" s="870"/>
      <c r="GX711" s="870"/>
      <c r="GY711" s="870"/>
      <c r="GZ711" s="870"/>
      <c r="HA711" s="870"/>
      <c r="HB711" s="870"/>
      <c r="HC711" s="870"/>
      <c r="HD711" s="870"/>
      <c r="HE711" s="870"/>
      <c r="HF711" s="870"/>
      <c r="HG711" s="870"/>
      <c r="HH711" s="870"/>
      <c r="HI711" s="870"/>
      <c r="HJ711" s="870"/>
      <c r="HK711" s="870"/>
      <c r="HL711" s="870"/>
      <c r="HM711" s="870"/>
      <c r="HN711" s="870"/>
      <c r="HO711" s="870"/>
      <c r="HP711" s="870"/>
      <c r="HQ711" s="870"/>
      <c r="HR711" s="870"/>
      <c r="HS711" s="870"/>
      <c r="HT711" s="870"/>
      <c r="HU711" s="870"/>
      <c r="HV711" s="870"/>
      <c r="HW711" s="870"/>
      <c r="HX711" s="870"/>
      <c r="HY711" s="870"/>
      <c r="IA711" s="3158" t="s">
        <v>810</v>
      </c>
      <c r="IB711" s="1382"/>
      <c r="IC711" s="1382"/>
      <c r="ID711" s="374" t="str">
        <f>+ID2</f>
        <v>2013/14</v>
      </c>
      <c r="IE711" s="284"/>
      <c r="IF711" s="437" t="str">
        <f>+IF2</f>
        <v>2014/15</v>
      </c>
      <c r="IG711" s="284" t="str">
        <f>+IG2</f>
        <v>2014/15</v>
      </c>
      <c r="IH711" s="437"/>
      <c r="II711" s="437" t="str">
        <f>+II2</f>
        <v>2015/16</v>
      </c>
      <c r="IJ711" s="437" t="str">
        <f>+IJ2</f>
        <v>2015/16</v>
      </c>
      <c r="IK711" s="437" t="str">
        <f>+IK2</f>
        <v>2016/17</v>
      </c>
      <c r="IL711" s="437" t="str">
        <f>+IL2</f>
        <v>2016/17</v>
      </c>
      <c r="IM711" s="437" t="str">
        <f>+IM2</f>
        <v>2016/17</v>
      </c>
      <c r="IN711" s="437"/>
      <c r="IO711" s="437" t="str">
        <f>+IO2</f>
        <v>2017/18</v>
      </c>
      <c r="IP711" s="437" t="str">
        <f>+IP2</f>
        <v>2017/18</v>
      </c>
      <c r="IQ711" s="437"/>
      <c r="IR711" s="437" t="str">
        <f>+IR2</f>
        <v>2018/19</v>
      </c>
      <c r="IS711" s="437" t="str">
        <f>+IS2</f>
        <v>2018/19</v>
      </c>
      <c r="IT711" s="327"/>
      <c r="IU711" s="327"/>
      <c r="IV711" s="437" t="str">
        <f>+IV2</f>
        <v>2019/20</v>
      </c>
      <c r="IW711" s="327"/>
      <c r="IX711" s="327"/>
      <c r="IY711" s="437" t="str">
        <f>+KT2</f>
        <v>2020/2021</v>
      </c>
      <c r="IZ711" s="327"/>
      <c r="JA711" s="327">
        <f>+CX548</f>
        <v>0</v>
      </c>
      <c r="JB711" s="437">
        <f>+CY548</f>
        <v>0</v>
      </c>
      <c r="JC711" s="327" t="str">
        <f>+JC549</f>
        <v>Jul-Dec</v>
      </c>
      <c r="JD711" s="327" t="str">
        <f>+JD549</f>
        <v>Jan-Jun</v>
      </c>
      <c r="JE711" s="437"/>
      <c r="JF711" s="327"/>
      <c r="JG711" s="327"/>
      <c r="JH711" s="437"/>
      <c r="JI711" s="327"/>
      <c r="JJ711" s="327"/>
      <c r="JK711" s="437"/>
      <c r="KY711" s="284" t="str">
        <f>+IK548</f>
        <v>Jul-Dec</v>
      </c>
      <c r="KZ711" s="284" t="str">
        <f>+IL548</f>
        <v>Jan-Jun</v>
      </c>
      <c r="LA711" s="284" t="str">
        <f>+LA549</f>
        <v>Jul-Dec</v>
      </c>
      <c r="LB711" s="284" t="str">
        <f>+LB549</f>
        <v>Jan-Jun</v>
      </c>
    </row>
    <row r="712" spans="1:314" ht="21" hidden="1" customHeight="1">
      <c r="A712" s="279"/>
      <c r="D712" s="693" t="str">
        <f>+FISC!D942</f>
        <v>IV.1 Summary FISCAL Output (bln RWF)</v>
      </c>
      <c r="E712" s="512"/>
      <c r="F712" s="512"/>
      <c r="G712" s="512"/>
      <c r="H712" s="512"/>
      <c r="I712" s="512"/>
      <c r="J712" s="512"/>
      <c r="K712" s="512"/>
      <c r="L712" s="512"/>
      <c r="M712" s="512"/>
      <c r="N712" s="512"/>
      <c r="O712" s="512"/>
      <c r="P712" s="512"/>
      <c r="Q712" s="512"/>
      <c r="R712" s="512"/>
      <c r="S712" s="512"/>
      <c r="T712" s="512"/>
      <c r="U712" s="512"/>
      <c r="V712" s="512"/>
      <c r="W712" s="512"/>
      <c r="X712" s="512"/>
      <c r="Y712" s="512"/>
      <c r="Z712" s="512"/>
      <c r="AA712" s="512"/>
      <c r="AB712" s="512"/>
      <c r="AC712" s="512"/>
      <c r="AD712" s="512"/>
      <c r="AE712" s="512"/>
      <c r="AF712" s="512"/>
      <c r="AG712" s="512"/>
      <c r="AH712" s="512"/>
      <c r="AI712" s="512"/>
      <c r="AJ712" s="512"/>
      <c r="AK712" s="512"/>
      <c r="AL712" s="512"/>
      <c r="AM712" s="512"/>
      <c r="AN712" s="512"/>
      <c r="AO712" s="512"/>
      <c r="AP712" s="512"/>
      <c r="AQ712" s="512"/>
      <c r="AR712" s="512"/>
      <c r="AS712" s="512"/>
      <c r="AT712" s="512"/>
      <c r="AU712" s="512"/>
      <c r="AV712" s="512"/>
      <c r="AW712" s="512"/>
      <c r="AX712" s="512"/>
      <c r="AY712" s="512"/>
      <c r="AZ712" s="512"/>
      <c r="BA712" s="512"/>
      <c r="BB712" s="512"/>
      <c r="BC712" s="512"/>
      <c r="BD712" s="512"/>
      <c r="BE712" s="512"/>
      <c r="BF712" s="512"/>
      <c r="BG712" s="512"/>
      <c r="BH712" s="512"/>
      <c r="BI712" s="512"/>
      <c r="BJ712" s="512"/>
      <c r="BK712" s="512"/>
      <c r="BL712" s="512"/>
      <c r="BM712" s="512"/>
      <c r="BN712" s="512"/>
      <c r="BO712" s="512"/>
      <c r="BP712" s="512"/>
      <c r="BQ712" s="512"/>
      <c r="BR712" s="512"/>
      <c r="BS712" s="512"/>
      <c r="BT712" s="512"/>
      <c r="BU712" s="512"/>
      <c r="BV712" s="512"/>
      <c r="BW712" s="512"/>
      <c r="BX712" s="512"/>
      <c r="BY712" s="512"/>
      <c r="BZ712" s="512"/>
      <c r="CA712" s="512"/>
      <c r="CB712" s="512"/>
      <c r="CC712" s="512"/>
      <c r="CD712" s="512"/>
      <c r="CE712" s="512"/>
      <c r="CF712" s="512"/>
      <c r="CG712" s="512"/>
      <c r="CH712" s="512"/>
      <c r="CI712" s="512"/>
      <c r="CJ712" s="512"/>
      <c r="CK712" s="512"/>
      <c r="CL712" s="512"/>
      <c r="CM712" s="512"/>
      <c r="CN712" s="512"/>
      <c r="CO712" s="512"/>
      <c r="CP712" s="515"/>
      <c r="CQ712" s="512"/>
      <c r="CR712" s="512"/>
      <c r="CS712" s="512"/>
      <c r="CT712" s="512"/>
      <c r="CU712" s="512"/>
      <c r="CV712" s="512"/>
      <c r="CW712" s="512"/>
      <c r="CX712" s="512"/>
      <c r="CY712" s="512"/>
      <c r="CZ712" s="512"/>
      <c r="DA712" s="512"/>
      <c r="DB712" s="1306"/>
      <c r="DC712" s="512"/>
      <c r="DD712" s="512"/>
      <c r="DE712" s="512"/>
      <c r="DF712" s="512"/>
      <c r="DG712" s="512"/>
      <c r="DH712" s="512"/>
      <c r="DI712" s="512"/>
      <c r="DJ712" s="512"/>
      <c r="DK712" s="512"/>
      <c r="DL712" s="512"/>
      <c r="DM712" s="512"/>
      <c r="DN712" s="515"/>
      <c r="DO712" s="512"/>
      <c r="DP712" s="512"/>
      <c r="DQ712" s="512"/>
      <c r="DR712" s="512"/>
      <c r="DS712" s="512"/>
      <c r="DT712" s="512"/>
      <c r="DU712" s="512"/>
      <c r="DV712" s="512"/>
      <c r="DW712" s="512"/>
      <c r="DX712" s="512"/>
      <c r="DY712" s="512"/>
      <c r="DZ712" s="1283"/>
      <c r="EA712" s="870"/>
      <c r="EB712" s="512"/>
      <c r="EC712" s="512"/>
      <c r="ED712" s="512"/>
      <c r="EE712" s="512"/>
      <c r="EF712" s="512"/>
      <c r="EG712" s="512"/>
      <c r="EH712" s="512"/>
      <c r="EI712" s="512"/>
      <c r="EJ712" s="512"/>
      <c r="EK712" s="512"/>
      <c r="EL712" s="515"/>
      <c r="EM712" s="512"/>
      <c r="EN712" s="512"/>
      <c r="EO712" s="512"/>
      <c r="EP712" s="512"/>
      <c r="EQ712" s="512"/>
      <c r="ER712" s="512"/>
      <c r="ES712" s="512"/>
      <c r="ET712" s="512"/>
      <c r="EU712" s="512"/>
      <c r="EV712" s="512"/>
      <c r="EW712" s="512"/>
      <c r="EX712" s="515"/>
      <c r="EY712" s="512"/>
      <c r="EZ712" s="512"/>
      <c r="FA712" s="512"/>
      <c r="FB712" s="512"/>
      <c r="FC712" s="512"/>
      <c r="FD712" s="512"/>
      <c r="FE712" s="512"/>
      <c r="FF712" s="512"/>
      <c r="FG712" s="512"/>
      <c r="FH712" s="512"/>
      <c r="FI712" s="512"/>
      <c r="FJ712" s="515"/>
      <c r="FK712" s="512"/>
      <c r="FL712" s="512"/>
      <c r="FM712" s="512"/>
      <c r="FN712" s="512"/>
      <c r="FO712" s="512"/>
      <c r="FP712" s="512"/>
      <c r="FQ712" s="512"/>
      <c r="FR712" s="512"/>
      <c r="FS712" s="512"/>
      <c r="FT712" s="512"/>
      <c r="FU712" s="512"/>
      <c r="FV712" s="512"/>
      <c r="FW712" s="512"/>
      <c r="FX712" s="512"/>
      <c r="FY712" s="512"/>
      <c r="FZ712" s="512"/>
      <c r="GA712" s="512"/>
      <c r="GB712" s="512"/>
      <c r="GC712" s="512"/>
      <c r="GD712" s="512"/>
      <c r="GE712" s="512"/>
      <c r="GF712" s="512"/>
      <c r="GG712" s="512"/>
      <c r="GH712" s="512"/>
      <c r="GI712" s="512"/>
      <c r="GJ712" s="512"/>
      <c r="GK712" s="512"/>
      <c r="GL712" s="512"/>
      <c r="GM712" s="512"/>
      <c r="GN712" s="512"/>
      <c r="GO712" s="512"/>
      <c r="GP712" s="512"/>
      <c r="GQ712" s="512"/>
      <c r="GR712" s="512"/>
      <c r="GS712" s="512"/>
      <c r="GT712" s="512"/>
      <c r="GU712" s="512"/>
      <c r="GV712" s="512"/>
      <c r="GW712" s="512"/>
      <c r="GX712" s="512"/>
      <c r="GY712" s="512"/>
      <c r="GZ712" s="512"/>
      <c r="HA712" s="512"/>
      <c r="HB712" s="512"/>
      <c r="HC712" s="512"/>
      <c r="HD712" s="512"/>
      <c r="HE712" s="512"/>
      <c r="HF712" s="512"/>
      <c r="HG712" s="512"/>
      <c r="HH712" s="512"/>
      <c r="HI712" s="512"/>
      <c r="HJ712" s="512"/>
      <c r="HK712" s="512"/>
      <c r="HL712" s="512"/>
      <c r="HM712" s="512"/>
      <c r="HN712" s="512"/>
      <c r="HO712" s="512"/>
      <c r="HP712" s="512"/>
      <c r="HQ712" s="512"/>
      <c r="HR712" s="512"/>
      <c r="HS712" s="512"/>
      <c r="HT712" s="512"/>
      <c r="HU712" s="512"/>
      <c r="HV712" s="512"/>
      <c r="HW712" s="512"/>
      <c r="HX712" s="512"/>
      <c r="HY712" s="512"/>
      <c r="IA712" s="3159"/>
      <c r="IB712" s="1383"/>
      <c r="IC712" s="1383"/>
      <c r="ID712" s="694" t="str">
        <f>+ID3</f>
        <v>Proj.</v>
      </c>
      <c r="IE712" s="694" t="str">
        <f>+IE3</f>
        <v>Jul-Dec</v>
      </c>
      <c r="IF712" s="694" t="str">
        <f>+IF3</f>
        <v>Jan-Jun</v>
      </c>
      <c r="IG712" s="694" t="str">
        <f>+IG3</f>
        <v>Est.</v>
      </c>
      <c r="IH712" s="695" t="str">
        <f>+IH3</f>
        <v>July-Dec</v>
      </c>
      <c r="II712" s="695" t="str">
        <f>+II3</f>
        <v>Jan-June</v>
      </c>
      <c r="IJ712" s="695" t="s">
        <v>857</v>
      </c>
      <c r="IK712" s="892" t="str">
        <f>+IK3</f>
        <v>Jul-Dec</v>
      </c>
      <c r="IL712" s="695" t="str">
        <f>+IL3</f>
        <v>Jan-Jun</v>
      </c>
      <c r="IM712" s="695" t="str">
        <f>+IM3</f>
        <v>Proj.</v>
      </c>
      <c r="IN712" s="695" t="str">
        <f>+IN3</f>
        <v>Jul-Dec</v>
      </c>
      <c r="IO712" s="695" t="str">
        <f>+IO3</f>
        <v>Jan-Jun</v>
      </c>
      <c r="IP712" s="695" t="str">
        <f>+IP3</f>
        <v>Proj.</v>
      </c>
      <c r="IQ712" s="695" t="str">
        <f>+IQ3</f>
        <v>Jul-Dec</v>
      </c>
      <c r="IR712" s="695" t="str">
        <f>+IR3</f>
        <v>Jan-Jun</v>
      </c>
      <c r="IS712" s="695" t="str">
        <f>+IS3</f>
        <v>Proj.</v>
      </c>
      <c r="IT712" s="696"/>
      <c r="IU712" s="696"/>
      <c r="IV712" s="695" t="str">
        <f>+IV3</f>
        <v>Proj.</v>
      </c>
      <c r="IW712" s="696"/>
      <c r="IX712" s="696"/>
      <c r="IY712" s="695" t="str">
        <f>+KT3</f>
        <v>Proj.</v>
      </c>
      <c r="IZ712" s="696"/>
      <c r="JA712" s="696"/>
      <c r="JB712" s="695"/>
      <c r="JC712" s="696"/>
      <c r="JD712" s="696"/>
      <c r="JE712" s="695"/>
      <c r="JF712" s="696"/>
      <c r="JG712" s="696"/>
      <c r="JH712" s="695"/>
      <c r="JI712" s="696"/>
      <c r="JJ712" s="696"/>
      <c r="JK712" s="695"/>
      <c r="KY712" s="276"/>
      <c r="KZ712" s="276"/>
      <c r="LA712" s="276"/>
      <c r="LB712" s="276"/>
    </row>
    <row r="713" spans="1:314" hidden="1">
      <c r="A713" s="279"/>
      <c r="D713" s="341" t="str">
        <f>+FISC!D943</f>
        <v>IV.1 FISCAL GFS 1986 PRESENTATION - SUMMARY</v>
      </c>
      <c r="E713" s="788">
        <f>E$553</f>
        <v>15.9003</v>
      </c>
      <c r="F713" s="788">
        <f t="shared" ref="F713:AW713" si="724">F$553</f>
        <v>15.1754</v>
      </c>
      <c r="G713" s="788">
        <f t="shared" si="724"/>
        <v>22.451000000000001</v>
      </c>
      <c r="H713" s="788">
        <f t="shared" si="724"/>
        <v>19.007999999999999</v>
      </c>
      <c r="I713" s="788">
        <f t="shared" si="724"/>
        <v>18.420400000000001</v>
      </c>
      <c r="J713" s="788">
        <f t="shared" si="724"/>
        <v>25.304200000000002</v>
      </c>
      <c r="K713" s="788">
        <f t="shared" si="724"/>
        <v>17.343899999999998</v>
      </c>
      <c r="L713" s="788">
        <f t="shared" si="724"/>
        <v>18.981099999999998</v>
      </c>
      <c r="M713" s="788">
        <f t="shared" si="724"/>
        <v>22.213000000000001</v>
      </c>
      <c r="N713" s="788">
        <f t="shared" si="724"/>
        <v>18.811399999999999</v>
      </c>
      <c r="O713" s="788">
        <f t="shared" si="724"/>
        <v>20.230499999999999</v>
      </c>
      <c r="P713" s="788">
        <f t="shared" si="724"/>
        <v>23.9694</v>
      </c>
      <c r="Q713" s="788">
        <f t="shared" si="724"/>
        <v>21.110899999999997</v>
      </c>
      <c r="R713" s="788">
        <f t="shared" si="724"/>
        <v>20.690200000000001</v>
      </c>
      <c r="S713" s="788">
        <f t="shared" si="724"/>
        <v>26.64</v>
      </c>
      <c r="T713" s="788">
        <f t="shared" si="724"/>
        <v>23.484750000000002</v>
      </c>
      <c r="U713" s="788">
        <f t="shared" si="724"/>
        <v>23.641500000000001</v>
      </c>
      <c r="V713" s="788">
        <f t="shared" si="724"/>
        <v>35.311700000000002</v>
      </c>
      <c r="W713" s="788">
        <f t="shared" si="724"/>
        <v>24.373000000000001</v>
      </c>
      <c r="X713" s="788">
        <f t="shared" si="724"/>
        <v>24.683499999999999</v>
      </c>
      <c r="Y713" s="788">
        <f t="shared" si="724"/>
        <v>35.0578</v>
      </c>
      <c r="Z713" s="788">
        <f t="shared" si="724"/>
        <v>29.308399999999999</v>
      </c>
      <c r="AA713" s="788">
        <f t="shared" si="724"/>
        <v>25.883399999999998</v>
      </c>
      <c r="AB713" s="788">
        <f t="shared" si="724"/>
        <v>38.509300000000003</v>
      </c>
      <c r="AC713" s="788">
        <f t="shared" si="724"/>
        <v>28.049999999999997</v>
      </c>
      <c r="AD713" s="788">
        <f t="shared" si="724"/>
        <v>28.991200000000003</v>
      </c>
      <c r="AE713" s="788">
        <f t="shared" si="724"/>
        <v>34.087299999999999</v>
      </c>
      <c r="AF713" s="788">
        <f t="shared" si="724"/>
        <v>27.322800000000001</v>
      </c>
      <c r="AG713" s="788">
        <f t="shared" si="724"/>
        <v>27.106300000000001</v>
      </c>
      <c r="AH713" s="788">
        <f t="shared" si="724"/>
        <v>37.998499999999993</v>
      </c>
      <c r="AI713" s="788">
        <f t="shared" si="724"/>
        <v>26.509099999999997</v>
      </c>
      <c r="AJ713" s="788">
        <f t="shared" si="724"/>
        <v>27.122990000000001</v>
      </c>
      <c r="AK713" s="788">
        <f t="shared" si="724"/>
        <v>32.590400000000002</v>
      </c>
      <c r="AL713" s="788">
        <f t="shared" si="724"/>
        <v>26.6496</v>
      </c>
      <c r="AM713" s="788">
        <f t="shared" si="724"/>
        <v>29.381499999999996</v>
      </c>
      <c r="AN713" s="788">
        <f t="shared" si="724"/>
        <v>37.007300000000001</v>
      </c>
      <c r="AO713" s="788">
        <f t="shared" si="724"/>
        <v>29.107900000000001</v>
      </c>
      <c r="AP713" s="788">
        <f t="shared" si="724"/>
        <v>27.5167</v>
      </c>
      <c r="AQ713" s="788">
        <f t="shared" si="724"/>
        <v>44.653700000000001</v>
      </c>
      <c r="AR713" s="788">
        <f t="shared" si="724"/>
        <v>29.591200000000001</v>
      </c>
      <c r="AS713" s="788">
        <f t="shared" si="724"/>
        <v>28.273</v>
      </c>
      <c r="AT713" s="788">
        <f t="shared" si="724"/>
        <v>36.551200000000001</v>
      </c>
      <c r="AU713" s="788">
        <f t="shared" si="724"/>
        <v>31.125599999999999</v>
      </c>
      <c r="AV713" s="788">
        <f t="shared" si="724"/>
        <v>33.959099999999999</v>
      </c>
      <c r="AW713" s="788">
        <f t="shared" si="724"/>
        <v>38.682940000000002</v>
      </c>
      <c r="AX713" s="788">
        <f t="shared" ref="AX713:BO713" si="725">AX$553</f>
        <v>32.815300000000001</v>
      </c>
      <c r="AY713" s="788">
        <f t="shared" si="725"/>
        <v>35.209800000000001</v>
      </c>
      <c r="AZ713" s="788">
        <f t="shared" si="725"/>
        <v>45.302300000000002</v>
      </c>
      <c r="BA713" s="788">
        <f t="shared" si="725"/>
        <v>38.839300000000001</v>
      </c>
      <c r="BB713" s="788">
        <f t="shared" si="725"/>
        <v>31.636660000000003</v>
      </c>
      <c r="BC713" s="788">
        <f t="shared" si="725"/>
        <v>49.993160000000003</v>
      </c>
      <c r="BD713" s="788">
        <f t="shared" si="725"/>
        <v>36.662460000000003</v>
      </c>
      <c r="BE713" s="788">
        <f t="shared" si="725"/>
        <v>40.415650000000007</v>
      </c>
      <c r="BF713" s="788">
        <f t="shared" si="725"/>
        <v>48.833599999999997</v>
      </c>
      <c r="BG713" s="788">
        <f t="shared" si="725"/>
        <v>35.186429093799994</v>
      </c>
      <c r="BH713" s="788">
        <f t="shared" si="725"/>
        <v>41.686628809200002</v>
      </c>
      <c r="BI713" s="788">
        <f t="shared" si="725"/>
        <v>46.983398117900009</v>
      </c>
      <c r="BJ713" s="788">
        <f t="shared" si="725"/>
        <v>39.902200000000001</v>
      </c>
      <c r="BK713" s="788">
        <f t="shared" si="725"/>
        <v>42.28022</v>
      </c>
      <c r="BL713" s="788">
        <f t="shared" si="725"/>
        <v>52.609954999999999</v>
      </c>
      <c r="BM713" s="788">
        <f t="shared" si="725"/>
        <v>43.249299999999998</v>
      </c>
      <c r="BN713" s="788">
        <f t="shared" si="725"/>
        <v>43.165999999999997</v>
      </c>
      <c r="BO713" s="788">
        <f t="shared" si="725"/>
        <v>58.716899999999995</v>
      </c>
      <c r="BP713" s="788">
        <f t="shared" ref="BP713:CO713" si="726">BP$553</f>
        <v>43.5837</v>
      </c>
      <c r="BQ713" s="788">
        <f t="shared" si="726"/>
        <v>53.3812</v>
      </c>
      <c r="BR713" s="788">
        <f t="shared" si="726"/>
        <v>56.333399999999997</v>
      </c>
      <c r="BS713" s="788">
        <f t="shared" si="726"/>
        <v>45.601099999999995</v>
      </c>
      <c r="BT713" s="788">
        <f t="shared" si="726"/>
        <v>49.536300000000004</v>
      </c>
      <c r="BU713" s="788">
        <f t="shared" si="726"/>
        <v>55.069699999999997</v>
      </c>
      <c r="BV713" s="788">
        <f t="shared" si="726"/>
        <v>50.460338782147375</v>
      </c>
      <c r="BW713" s="788">
        <f t="shared" si="726"/>
        <v>47.73854370565882</v>
      </c>
      <c r="BX713" s="788">
        <f t="shared" si="726"/>
        <v>55.734871901255175</v>
      </c>
      <c r="BY713" s="788">
        <f t="shared" si="726"/>
        <v>50.75937849946633</v>
      </c>
      <c r="BZ713" s="788">
        <f t="shared" si="726"/>
        <v>50.630494762198431</v>
      </c>
      <c r="CA713" s="788">
        <f t="shared" si="726"/>
        <v>70.645197296430297</v>
      </c>
      <c r="CB713" s="788">
        <f t="shared" si="726"/>
        <v>50.480923714506467</v>
      </c>
      <c r="CC713" s="788">
        <f t="shared" si="726"/>
        <v>51.997049962222945</v>
      </c>
      <c r="CD713" s="511">
        <f t="shared" ref="CD713:CJ713" si="727">+CD1</f>
        <v>41426</v>
      </c>
      <c r="CE713" s="511">
        <f t="shared" si="727"/>
        <v>41456</v>
      </c>
      <c r="CF713" s="511">
        <f t="shared" si="727"/>
        <v>41487</v>
      </c>
      <c r="CG713" s="511">
        <f t="shared" si="727"/>
        <v>41518</v>
      </c>
      <c r="CH713" s="511">
        <f t="shared" si="727"/>
        <v>41548</v>
      </c>
      <c r="CI713" s="511">
        <f t="shared" si="727"/>
        <v>41579</v>
      </c>
      <c r="CJ713" s="511">
        <f t="shared" si="727"/>
        <v>41609</v>
      </c>
      <c r="CK713" s="510">
        <f t="shared" si="726"/>
        <v>62.628570289825042</v>
      </c>
      <c r="CL713" s="510">
        <f t="shared" si="726"/>
        <v>58.387859632163071</v>
      </c>
      <c r="CM713" s="510">
        <f t="shared" si="726"/>
        <v>67.667474816064214</v>
      </c>
      <c r="CN713" s="510">
        <f t="shared" si="726"/>
        <v>58.232361492253354</v>
      </c>
      <c r="CO713" s="510">
        <f t="shared" si="726"/>
        <v>64.576853616357624</v>
      </c>
      <c r="CP713" s="1284">
        <f t="shared" ref="CP713:DZ713" si="728">+CP1</f>
        <v>41791</v>
      </c>
      <c r="CQ713" s="511">
        <f t="shared" si="728"/>
        <v>41821</v>
      </c>
      <c r="CR713" s="511">
        <f t="shared" si="728"/>
        <v>41852</v>
      </c>
      <c r="CS713" s="511">
        <f t="shared" si="728"/>
        <v>41883</v>
      </c>
      <c r="CT713" s="511">
        <f t="shared" si="728"/>
        <v>41913</v>
      </c>
      <c r="CU713" s="511">
        <f t="shared" si="728"/>
        <v>41944</v>
      </c>
      <c r="CV713" s="511">
        <f t="shared" si="728"/>
        <v>41974</v>
      </c>
      <c r="CW713" s="511">
        <f t="shared" si="728"/>
        <v>42005</v>
      </c>
      <c r="CX713" s="511">
        <f t="shared" si="728"/>
        <v>42036</v>
      </c>
      <c r="CY713" s="511">
        <f t="shared" si="728"/>
        <v>42064</v>
      </c>
      <c r="CZ713" s="511">
        <f t="shared" si="728"/>
        <v>42095</v>
      </c>
      <c r="DA713" s="511">
        <f t="shared" si="728"/>
        <v>42125</v>
      </c>
      <c r="DB713" s="1307">
        <f t="shared" si="728"/>
        <v>42156</v>
      </c>
      <c r="DC713" s="511">
        <f t="shared" si="728"/>
        <v>42186</v>
      </c>
      <c r="DD713" s="511">
        <f t="shared" si="728"/>
        <v>42217</v>
      </c>
      <c r="DE713" s="511">
        <f t="shared" si="728"/>
        <v>42248</v>
      </c>
      <c r="DF713" s="511">
        <f t="shared" si="728"/>
        <v>42278</v>
      </c>
      <c r="DG713" s="511">
        <f t="shared" si="728"/>
        <v>42309</v>
      </c>
      <c r="DH713" s="511">
        <f t="shared" si="728"/>
        <v>42339</v>
      </c>
      <c r="DI713" s="511">
        <f t="shared" si="728"/>
        <v>42370</v>
      </c>
      <c r="DJ713" s="511">
        <f t="shared" si="728"/>
        <v>42401</v>
      </c>
      <c r="DK713" s="511">
        <f t="shared" si="728"/>
        <v>42430</v>
      </c>
      <c r="DL713" s="511">
        <f t="shared" si="728"/>
        <v>42461</v>
      </c>
      <c r="DM713" s="511">
        <f t="shared" si="728"/>
        <v>42491</v>
      </c>
      <c r="DN713" s="1332">
        <f t="shared" si="728"/>
        <v>42522</v>
      </c>
      <c r="DO713" s="511">
        <f t="shared" si="728"/>
        <v>42552</v>
      </c>
      <c r="DP713" s="511">
        <f t="shared" si="728"/>
        <v>42583</v>
      </c>
      <c r="DQ713" s="511">
        <f t="shared" si="728"/>
        <v>42615</v>
      </c>
      <c r="DR713" s="511">
        <f t="shared" si="728"/>
        <v>42646</v>
      </c>
      <c r="DS713" s="511">
        <f t="shared" si="728"/>
        <v>42678</v>
      </c>
      <c r="DT713" s="511">
        <f t="shared" si="728"/>
        <v>42709</v>
      </c>
      <c r="DU713" s="511">
        <f t="shared" si="728"/>
        <v>42736</v>
      </c>
      <c r="DV713" s="511">
        <f t="shared" si="728"/>
        <v>42767</v>
      </c>
      <c r="DW713" s="511">
        <f t="shared" si="728"/>
        <v>42795</v>
      </c>
      <c r="DX713" s="511">
        <f t="shared" si="728"/>
        <v>42826</v>
      </c>
      <c r="DY713" s="511">
        <f t="shared" si="728"/>
        <v>42856</v>
      </c>
      <c r="DZ713" s="515">
        <f t="shared" si="728"/>
        <v>42887</v>
      </c>
      <c r="EA713" s="512"/>
      <c r="EB713" s="511"/>
      <c r="EC713" s="511"/>
      <c r="ED713" s="511"/>
      <c r="EE713" s="511"/>
      <c r="EF713" s="511"/>
      <c r="EG713" s="511"/>
      <c r="EH713" s="511"/>
      <c r="EI713" s="511"/>
      <c r="EJ713" s="511"/>
      <c r="EK713" s="511"/>
      <c r="EL713" s="1284"/>
      <c r="EM713" s="511"/>
      <c r="EN713" s="511"/>
      <c r="EO713" s="511"/>
      <c r="EP713" s="511"/>
      <c r="EQ713" s="511"/>
      <c r="ER713" s="511"/>
      <c r="ES713" s="511"/>
      <c r="ET713" s="511"/>
      <c r="EU713" s="511"/>
      <c r="EV713" s="511"/>
      <c r="EW713" s="511"/>
      <c r="EX713" s="1284"/>
      <c r="EY713" s="511"/>
      <c r="EZ713" s="511"/>
      <c r="FA713" s="511"/>
      <c r="FB713" s="511"/>
      <c r="FC713" s="511"/>
      <c r="FD713" s="511"/>
      <c r="FE713" s="511"/>
      <c r="FF713" s="511"/>
      <c r="FG713" s="511"/>
      <c r="FH713" s="511"/>
      <c r="FI713" s="511"/>
      <c r="FJ713" s="1284"/>
      <c r="FK713" s="511"/>
      <c r="FL713" s="511"/>
      <c r="FM713" s="511"/>
      <c r="FN713" s="511"/>
      <c r="FO713" s="511"/>
      <c r="FP713" s="511"/>
      <c r="FQ713" s="511"/>
      <c r="FR713" s="511"/>
      <c r="FS713" s="511"/>
      <c r="FT713" s="511"/>
      <c r="FU713" s="511"/>
      <c r="FV713" s="511"/>
      <c r="FW713" s="511"/>
      <c r="FX713" s="511"/>
      <c r="FY713" s="511"/>
      <c r="FZ713" s="511"/>
      <c r="GA713" s="511"/>
      <c r="GB713" s="511"/>
      <c r="GC713" s="511"/>
      <c r="GD713" s="511"/>
      <c r="GE713" s="511"/>
      <c r="GF713" s="511"/>
      <c r="GG713" s="511"/>
      <c r="GH713" s="511"/>
      <c r="GI713" s="511"/>
      <c r="GJ713" s="511"/>
      <c r="GK713" s="511"/>
      <c r="GL713" s="511"/>
      <c r="GM713" s="511"/>
      <c r="GN713" s="511"/>
      <c r="GO713" s="511"/>
      <c r="GP713" s="511"/>
      <c r="GQ713" s="511"/>
      <c r="GR713" s="511"/>
      <c r="GS713" s="511"/>
      <c r="GT713" s="511"/>
      <c r="GU713" s="511"/>
      <c r="GV713" s="511"/>
      <c r="GW713" s="511"/>
      <c r="GX713" s="511"/>
      <c r="GY713" s="511"/>
      <c r="GZ713" s="511"/>
      <c r="HA713" s="511"/>
      <c r="HB713" s="511"/>
      <c r="HC713" s="511"/>
      <c r="HD713" s="511"/>
      <c r="HE713" s="511"/>
      <c r="HF713" s="511"/>
      <c r="HG713" s="511"/>
      <c r="HH713" s="511"/>
      <c r="HI713" s="511"/>
      <c r="HJ713" s="511"/>
      <c r="HK713" s="511"/>
      <c r="HL713" s="511"/>
      <c r="HM713" s="511"/>
      <c r="HN713" s="511"/>
      <c r="HO713" s="511"/>
      <c r="HP713" s="511"/>
      <c r="HQ713" s="511"/>
      <c r="HR713" s="511"/>
      <c r="HS713" s="511"/>
      <c r="HT713" s="511"/>
      <c r="HU713" s="511"/>
      <c r="HV713" s="511"/>
      <c r="HW713" s="511"/>
      <c r="HX713" s="511"/>
      <c r="HY713" s="511"/>
      <c r="ID713" s="433" t="s">
        <v>858</v>
      </c>
      <c r="IG713" s="433"/>
      <c r="IH713" s="437"/>
      <c r="II713" s="327"/>
      <c r="IJ713" s="433"/>
      <c r="IK713" s="893" t="s">
        <v>1060</v>
      </c>
      <c r="IL713" s="433"/>
      <c r="IM713" s="433"/>
      <c r="IN713" s="433"/>
      <c r="IO713" s="433"/>
      <c r="IP713" s="433"/>
      <c r="IQ713" s="433"/>
      <c r="IR713" s="433"/>
      <c r="IS713" s="433"/>
      <c r="IT713" s="327"/>
      <c r="IU713" s="327"/>
      <c r="IV713" s="433"/>
      <c r="IW713" s="327"/>
      <c r="IX713" s="327"/>
      <c r="IY713" s="433"/>
      <c r="IZ713" s="327"/>
      <c r="JA713" s="327"/>
      <c r="JB713" s="433"/>
      <c r="JC713" s="327"/>
      <c r="JD713" s="327"/>
      <c r="JE713" s="433"/>
      <c r="JF713" s="327"/>
      <c r="JG713" s="327"/>
      <c r="JH713" s="433"/>
      <c r="JI713" s="327"/>
      <c r="JJ713" s="327"/>
      <c r="JK713" s="433"/>
    </row>
    <row r="714" spans="1:314" hidden="1">
      <c r="A714" s="279"/>
      <c r="B714" s="96" t="s">
        <v>338</v>
      </c>
      <c r="D714" s="513" t="str">
        <f>D$550</f>
        <v>Revenue and grants</v>
      </c>
      <c r="E714" s="512">
        <f>E$550</f>
        <v>17.567921312999999</v>
      </c>
      <c r="F714" s="512">
        <f t="shared" ref="F714:AW714" si="729">F$550</f>
        <v>18.817342955000001</v>
      </c>
      <c r="G714" s="512">
        <f t="shared" si="729"/>
        <v>44.459580340000002</v>
      </c>
      <c r="H714" s="512">
        <f t="shared" si="729"/>
        <v>24.441848096000001</v>
      </c>
      <c r="I714" s="512">
        <f t="shared" si="729"/>
        <v>51.516113346000004</v>
      </c>
      <c r="J714" s="512">
        <f t="shared" si="729"/>
        <v>97.216453211000015</v>
      </c>
      <c r="K714" s="512">
        <f t="shared" si="729"/>
        <v>19.786233704999997</v>
      </c>
      <c r="L714" s="512">
        <f t="shared" si="729"/>
        <v>28.826024725</v>
      </c>
      <c r="M714" s="512">
        <f t="shared" si="729"/>
        <v>44.354562829000002</v>
      </c>
      <c r="N714" s="512">
        <f t="shared" si="729"/>
        <v>30.151426880999999</v>
      </c>
      <c r="O714" s="512">
        <f t="shared" si="729"/>
        <v>23.413298776000001</v>
      </c>
      <c r="P714" s="512">
        <f t="shared" si="729"/>
        <v>59.678926500000003</v>
      </c>
      <c r="Q714" s="512">
        <f t="shared" si="729"/>
        <v>29.251193269999998</v>
      </c>
      <c r="R714" s="512">
        <f t="shared" si="729"/>
        <v>21.164371927000001</v>
      </c>
      <c r="S714" s="512">
        <f t="shared" si="729"/>
        <v>88.816242031999991</v>
      </c>
      <c r="T714" s="512">
        <f t="shared" si="729"/>
        <v>25.994996380000003</v>
      </c>
      <c r="U714" s="512">
        <f t="shared" si="729"/>
        <v>61.182207654000003</v>
      </c>
      <c r="V714" s="512">
        <f t="shared" si="729"/>
        <v>92.412830514000007</v>
      </c>
      <c r="W714" s="512">
        <f t="shared" si="729"/>
        <v>26.935916471999999</v>
      </c>
      <c r="X714" s="512">
        <f t="shared" si="729"/>
        <v>35.083569790999995</v>
      </c>
      <c r="Y714" s="512">
        <f t="shared" si="729"/>
        <v>67.762742703000001</v>
      </c>
      <c r="Z714" s="512">
        <f t="shared" si="729"/>
        <v>49.776869621000003</v>
      </c>
      <c r="AA714" s="512">
        <f t="shared" si="729"/>
        <v>29.930646900999996</v>
      </c>
      <c r="AB714" s="512">
        <f t="shared" si="729"/>
        <v>132.44269054199998</v>
      </c>
      <c r="AC714" s="512">
        <f t="shared" si="729"/>
        <v>29.319654589999999</v>
      </c>
      <c r="AD714" s="512">
        <f t="shared" si="729"/>
        <v>37.497062631000006</v>
      </c>
      <c r="AE714" s="512">
        <f t="shared" si="729"/>
        <v>65.882136634999995</v>
      </c>
      <c r="AF714" s="512">
        <f t="shared" si="729"/>
        <v>80.300595043999991</v>
      </c>
      <c r="AG714" s="512">
        <f t="shared" si="729"/>
        <v>31.634799859000001</v>
      </c>
      <c r="AH714" s="512">
        <f t="shared" si="729"/>
        <v>92.535884168999985</v>
      </c>
      <c r="AI714" s="512">
        <f t="shared" si="729"/>
        <v>40.661176794999996</v>
      </c>
      <c r="AJ714" s="512">
        <f t="shared" si="729"/>
        <v>31.365358114000003</v>
      </c>
      <c r="AK714" s="512">
        <f t="shared" si="729"/>
        <v>110.58222992</v>
      </c>
      <c r="AL714" s="512">
        <f t="shared" si="729"/>
        <v>80.469577517999994</v>
      </c>
      <c r="AM714" s="512">
        <f t="shared" si="729"/>
        <v>38.042655173999997</v>
      </c>
      <c r="AN714" s="512">
        <f t="shared" si="729"/>
        <v>88.467466396999981</v>
      </c>
      <c r="AO714" s="512">
        <f t="shared" si="729"/>
        <v>51.414137945999997</v>
      </c>
      <c r="AP714" s="512">
        <f t="shared" si="729"/>
        <v>28.208919395999999</v>
      </c>
      <c r="AQ714" s="512">
        <f t="shared" si="729"/>
        <v>81.923191242999991</v>
      </c>
      <c r="AR714" s="512">
        <f t="shared" si="729"/>
        <v>43.457104891</v>
      </c>
      <c r="AS714" s="512">
        <f t="shared" si="729"/>
        <v>40.239970697000004</v>
      </c>
      <c r="AT714" s="512">
        <f t="shared" si="729"/>
        <v>162.241365312</v>
      </c>
      <c r="AU714" s="512">
        <f t="shared" si="729"/>
        <v>38.026135392</v>
      </c>
      <c r="AV714" s="512">
        <f t="shared" si="729"/>
        <v>41.030005124999995</v>
      </c>
      <c r="AW714" s="512">
        <f t="shared" si="729"/>
        <v>133.22447170499998</v>
      </c>
      <c r="AX714" s="512">
        <f t="shared" ref="AX714:BP714" si="730">AX$550</f>
        <v>60.783805940000001</v>
      </c>
      <c r="AY714" s="512">
        <f t="shared" si="730"/>
        <v>44.310152950000003</v>
      </c>
      <c r="AZ714" s="512">
        <f t="shared" si="730"/>
        <v>150.604230194</v>
      </c>
      <c r="BA714" s="512">
        <f t="shared" si="730"/>
        <v>40.903606083</v>
      </c>
      <c r="BB714" s="512">
        <f t="shared" si="730"/>
        <v>37.697012786000002</v>
      </c>
      <c r="BC714" s="512">
        <f t="shared" si="730"/>
        <v>78.152326082000002</v>
      </c>
      <c r="BD714" s="512">
        <f t="shared" si="730"/>
        <v>105.66912261376</v>
      </c>
      <c r="BE714" s="512">
        <f t="shared" si="730"/>
        <v>43.306229338230004</v>
      </c>
      <c r="BF714" s="512">
        <f t="shared" si="730"/>
        <v>90.784551812999993</v>
      </c>
      <c r="BG714" s="512">
        <f t="shared" si="730"/>
        <v>77.180308651800004</v>
      </c>
      <c r="BH714" s="512">
        <f t="shared" si="730"/>
        <v>80.865502152200008</v>
      </c>
      <c r="BI714" s="512">
        <f t="shared" si="730"/>
        <v>123.79901238390001</v>
      </c>
      <c r="BJ714" s="512">
        <f t="shared" si="730"/>
        <v>117.794734113</v>
      </c>
      <c r="BK714" s="512">
        <f t="shared" si="730"/>
        <v>48.266520284999999</v>
      </c>
      <c r="BL714" s="512">
        <f t="shared" si="730"/>
        <v>155.04342448400001</v>
      </c>
      <c r="BM714" s="512">
        <f t="shared" si="730"/>
        <v>46.396559704999994</v>
      </c>
      <c r="BN714" s="512">
        <f t="shared" si="730"/>
        <v>48.426343994999996</v>
      </c>
      <c r="BO714" s="512">
        <f t="shared" si="730"/>
        <v>99.923344535999988</v>
      </c>
      <c r="BP714" s="512">
        <f t="shared" si="730"/>
        <v>44.821710919999994</v>
      </c>
      <c r="BQ714" s="512">
        <f t="shared" ref="BQ714:DT714" si="731">BQ$550</f>
        <v>56.859600789000005</v>
      </c>
      <c r="BR714" s="512">
        <f t="shared" si="731"/>
        <v>157.40981045162576</v>
      </c>
      <c r="BS714" s="512">
        <f t="shared" si="731"/>
        <v>91.514599451901631</v>
      </c>
      <c r="BT714" s="512">
        <f t="shared" si="731"/>
        <v>66.031509459931115</v>
      </c>
      <c r="BU714" s="512">
        <f t="shared" si="731"/>
        <v>80.967502676272119</v>
      </c>
      <c r="BV714" s="512">
        <f t="shared" si="731"/>
        <v>116.00640018889051</v>
      </c>
      <c r="BW714" s="512">
        <f t="shared" si="731"/>
        <v>90.734610517433723</v>
      </c>
      <c r="BX714" s="512">
        <f t="shared" si="731"/>
        <v>102.06086856069035</v>
      </c>
      <c r="BY714" s="512">
        <f t="shared" si="731"/>
        <v>53.00960789090707</v>
      </c>
      <c r="BZ714" s="512">
        <f t="shared" si="731"/>
        <v>56.690963510925009</v>
      </c>
      <c r="CA714" s="512">
        <f t="shared" si="731"/>
        <v>110.13507579811498</v>
      </c>
      <c r="CB714" s="512">
        <f t="shared" si="731"/>
        <v>91.61277264487812</v>
      </c>
      <c r="CC714" s="512">
        <f t="shared" si="731"/>
        <v>106.22123967949275</v>
      </c>
      <c r="CD714" s="514">
        <f t="shared" si="731"/>
        <v>128.45273046759502</v>
      </c>
      <c r="CE714" s="512">
        <f t="shared" si="731"/>
        <v>92.549278820603035</v>
      </c>
      <c r="CF714" s="512">
        <f t="shared" si="731"/>
        <v>99.938945574972621</v>
      </c>
      <c r="CG714" s="512">
        <f t="shared" si="731"/>
        <v>145.21032672111141</v>
      </c>
      <c r="CH714" s="512">
        <f t="shared" si="731"/>
        <v>130.78878670856406</v>
      </c>
      <c r="CI714" s="512">
        <f t="shared" si="731"/>
        <v>94.950408696585725</v>
      </c>
      <c r="CJ714" s="512">
        <f t="shared" si="731"/>
        <v>149.48953430005673</v>
      </c>
      <c r="CK714" s="512">
        <f t="shared" si="731"/>
        <v>86.393434501087185</v>
      </c>
      <c r="CL714" s="512">
        <f t="shared" si="731"/>
        <v>78.682708284346262</v>
      </c>
      <c r="CM714" s="512">
        <f t="shared" si="731"/>
        <v>103.60083830312736</v>
      </c>
      <c r="CN714" s="512">
        <f t="shared" si="731"/>
        <v>120.52623900299716</v>
      </c>
      <c r="CO714" s="512">
        <f t="shared" si="731"/>
        <v>104.29588435704774</v>
      </c>
      <c r="CP714" s="515">
        <f t="shared" si="731"/>
        <v>145.27380767494742</v>
      </c>
      <c r="CQ714" s="512">
        <f t="shared" si="731"/>
        <v>97.910078578325994</v>
      </c>
      <c r="CR714" s="512">
        <f t="shared" si="731"/>
        <v>86.030455176625168</v>
      </c>
      <c r="CS714" s="512">
        <f t="shared" si="731"/>
        <v>135.59195876905008</v>
      </c>
      <c r="CT714" s="512">
        <f t="shared" si="731"/>
        <v>89.399893138344964</v>
      </c>
      <c r="CU714" s="512">
        <f t="shared" si="731"/>
        <v>99.972558798401948</v>
      </c>
      <c r="CV714" s="512">
        <f t="shared" si="731"/>
        <v>204.24973929597542</v>
      </c>
      <c r="CW714" s="512">
        <f t="shared" si="731"/>
        <v>94.079739736090332</v>
      </c>
      <c r="CX714" s="512">
        <f t="shared" si="731"/>
        <v>88.156585006604615</v>
      </c>
      <c r="CY714" s="512">
        <f t="shared" si="731"/>
        <v>145.39897288906855</v>
      </c>
      <c r="CZ714" s="512">
        <f t="shared" si="731"/>
        <v>102.98120940853774</v>
      </c>
      <c r="DA714" s="512">
        <f t="shared" si="731"/>
        <v>138.48618659496978</v>
      </c>
      <c r="DB714" s="1306">
        <f t="shared" si="731"/>
        <v>126.59136615978392</v>
      </c>
      <c r="DC714" s="512">
        <f t="shared" si="731"/>
        <v>101.96050366480847</v>
      </c>
      <c r="DD714" s="512">
        <f t="shared" si="731"/>
        <v>95.758625995418612</v>
      </c>
      <c r="DE714" s="512">
        <f t="shared" si="731"/>
        <v>142.82365086022676</v>
      </c>
      <c r="DF714" s="512">
        <f t="shared" si="731"/>
        <v>91.41737518377586</v>
      </c>
      <c r="DG714" s="512">
        <f t="shared" si="731"/>
        <v>142.31648369839468</v>
      </c>
      <c r="DH714" s="512">
        <f t="shared" si="731"/>
        <v>152.16968598431581</v>
      </c>
      <c r="DI714" s="512">
        <f t="shared" si="731"/>
        <v>91.243590622009222</v>
      </c>
      <c r="DJ714" s="512">
        <f t="shared" si="731"/>
        <v>92.05816314063874</v>
      </c>
      <c r="DK714" s="512">
        <f t="shared" si="731"/>
        <v>134.19492127884044</v>
      </c>
      <c r="DL714" s="512">
        <f t="shared" si="731"/>
        <v>176.14361614705211</v>
      </c>
      <c r="DM714" s="512">
        <f t="shared" si="731"/>
        <v>100.7147482004043</v>
      </c>
      <c r="DN714" s="515">
        <f t="shared" si="731"/>
        <v>172.10376019729819</v>
      </c>
      <c r="DO714" s="512">
        <f t="shared" si="731"/>
        <v>104.15610795118268</v>
      </c>
      <c r="DP714" s="512">
        <f t="shared" si="731"/>
        <v>94.090764863350216</v>
      </c>
      <c r="DQ714" s="512">
        <f t="shared" si="731"/>
        <v>120.38189589406346</v>
      </c>
      <c r="DR714" s="512">
        <f t="shared" si="731"/>
        <v>82.090781757316677</v>
      </c>
      <c r="DS714" s="512">
        <f t="shared" si="731"/>
        <v>106.55446030601692</v>
      </c>
      <c r="DT714" s="512">
        <f t="shared" si="731"/>
        <v>174.68158912165359</v>
      </c>
      <c r="DU714" s="512"/>
      <c r="DV714" s="512"/>
      <c r="DW714" s="512"/>
      <c r="DX714" s="512"/>
      <c r="DY714" s="512"/>
      <c r="DZ714" s="1332"/>
      <c r="EA714" s="511"/>
      <c r="EB714" s="512"/>
      <c r="EC714" s="512"/>
      <c r="ED714" s="512"/>
      <c r="EE714" s="512"/>
      <c r="EF714" s="512"/>
      <c r="EG714" s="512"/>
      <c r="EH714" s="512"/>
      <c r="EI714" s="512"/>
      <c r="EJ714" s="512"/>
      <c r="EK714" s="512"/>
      <c r="EL714" s="515"/>
      <c r="EM714" s="512"/>
      <c r="EN714" s="512"/>
      <c r="EO714" s="512"/>
      <c r="EP714" s="512"/>
      <c r="EQ714" s="512"/>
      <c r="ER714" s="512"/>
      <c r="ES714" s="512"/>
      <c r="ET714" s="512"/>
      <c r="EU714" s="512"/>
      <c r="EV714" s="512"/>
      <c r="EW714" s="512"/>
      <c r="EX714" s="515"/>
      <c r="EY714" s="512"/>
      <c r="EZ714" s="512"/>
      <c r="FA714" s="512"/>
      <c r="FB714" s="512"/>
      <c r="FC714" s="512"/>
      <c r="FD714" s="512"/>
      <c r="FE714" s="512"/>
      <c r="FF714" s="512"/>
      <c r="FG714" s="512"/>
      <c r="FH714" s="512"/>
      <c r="FI714" s="512"/>
      <c r="FJ714" s="515"/>
      <c r="FK714" s="512"/>
      <c r="FL714" s="512"/>
      <c r="FM714" s="512"/>
      <c r="FN714" s="512"/>
      <c r="FO714" s="512"/>
      <c r="FP714" s="512"/>
      <c r="FQ714" s="512"/>
      <c r="FR714" s="512"/>
      <c r="FS714" s="512"/>
      <c r="FT714" s="512"/>
      <c r="FU714" s="512"/>
      <c r="FV714" s="512"/>
      <c r="FW714" s="512"/>
      <c r="FX714" s="512"/>
      <c r="FY714" s="512"/>
      <c r="FZ714" s="512"/>
      <c r="GA714" s="512"/>
      <c r="GB714" s="512"/>
      <c r="GC714" s="512"/>
      <c r="GD714" s="512"/>
      <c r="GE714" s="512"/>
      <c r="GF714" s="512"/>
      <c r="GG714" s="512"/>
      <c r="GH714" s="512"/>
      <c r="GI714" s="512"/>
      <c r="GJ714" s="512"/>
      <c r="GK714" s="512"/>
      <c r="GL714" s="512"/>
      <c r="GM714" s="512"/>
      <c r="GN714" s="512"/>
      <c r="GO714" s="512"/>
      <c r="GP714" s="512"/>
      <c r="GQ714" s="512"/>
      <c r="GR714" s="512"/>
      <c r="GS714" s="512"/>
      <c r="GT714" s="512"/>
      <c r="GU714" s="512"/>
      <c r="GV714" s="512"/>
      <c r="GW714" s="512"/>
      <c r="GX714" s="512"/>
      <c r="GY714" s="512"/>
      <c r="GZ714" s="512"/>
      <c r="HA714" s="512"/>
      <c r="HB714" s="512"/>
      <c r="HC714" s="512"/>
      <c r="HD714" s="512"/>
      <c r="HE714" s="512"/>
      <c r="HF714" s="512"/>
      <c r="HG714" s="512"/>
      <c r="HH714" s="512"/>
      <c r="HI714" s="512"/>
      <c r="HJ714" s="512"/>
      <c r="HK714" s="512"/>
      <c r="HL714" s="512"/>
      <c r="HM714" s="512"/>
      <c r="HN714" s="512"/>
      <c r="HO714" s="512"/>
      <c r="HP714" s="512"/>
      <c r="HQ714" s="512"/>
      <c r="HR714" s="512"/>
      <c r="HS714" s="512"/>
      <c r="HT714" s="512"/>
      <c r="HU714" s="512"/>
      <c r="HV714" s="512"/>
      <c r="HW714" s="512"/>
      <c r="HX714" s="512"/>
      <c r="HY714" s="512"/>
      <c r="IA714" s="512"/>
      <c r="IB714" s="512"/>
      <c r="IC714" s="512"/>
      <c r="ID714" s="512">
        <f t="shared" ref="ID714:II714" si="732">ID$550</f>
        <v>1418.6704994724025</v>
      </c>
      <c r="IE714" s="279">
        <f t="shared" si="732"/>
        <v>713.15468375672367</v>
      </c>
      <c r="IF714" s="279">
        <f t="shared" si="732"/>
        <v>695.69405979505495</v>
      </c>
      <c r="IG714" s="512">
        <f t="shared" si="732"/>
        <v>1408.8487435517786</v>
      </c>
      <c r="IH714" s="279">
        <f t="shared" si="732"/>
        <v>726.44632538694032</v>
      </c>
      <c r="II714" s="279">
        <f t="shared" si="732"/>
        <v>766.458799586243</v>
      </c>
      <c r="IJ714" s="520">
        <f t="shared" ref="IJ714:IV714" si="733">IJ$550</f>
        <v>1492.9051249731833</v>
      </c>
      <c r="IK714" s="279">
        <f t="shared" si="733"/>
        <v>681.95559989358344</v>
      </c>
      <c r="IM714" s="520">
        <f t="shared" si="733"/>
        <v>1455.2370391017623</v>
      </c>
      <c r="IP714" s="519">
        <f t="shared" si="733"/>
        <v>1820.4124327910465</v>
      </c>
      <c r="IS714" s="519">
        <f t="shared" si="733"/>
        <v>2000.3545430907366</v>
      </c>
      <c r="IT714" s="327"/>
      <c r="IU714" s="327"/>
      <c r="IV714" s="519">
        <f t="shared" si="733"/>
        <v>2082.0309719952802</v>
      </c>
      <c r="IW714" s="327"/>
      <c r="IX714" s="327"/>
      <c r="IY714" s="519">
        <f>IY$550</f>
        <v>2171.5351257992602</v>
      </c>
      <c r="IZ714" s="327"/>
      <c r="JA714" s="327">
        <f>JA$550</f>
        <v>5506.03838784034</v>
      </c>
      <c r="JB714" s="519" t="e">
        <f>#REF!</f>
        <v>#REF!</v>
      </c>
      <c r="JC714" s="327">
        <f>JE$550</f>
        <v>14639.986880216613</v>
      </c>
      <c r="JD714" s="327">
        <f>JD$550</f>
        <v>7895.9118494920058</v>
      </c>
      <c r="JE714" s="519"/>
      <c r="JF714" s="327"/>
      <c r="JG714" s="327"/>
      <c r="JH714" s="519"/>
      <c r="JI714" s="327"/>
      <c r="JJ714" s="327"/>
      <c r="JK714" s="519"/>
      <c r="KY714" s="279">
        <f>KY$550</f>
        <v>0</v>
      </c>
      <c r="KZ714" s="279">
        <f>KZ$550</f>
        <v>0</v>
      </c>
      <c r="LA714" s="279">
        <f>LA$550</f>
        <v>0</v>
      </c>
      <c r="LB714" s="279">
        <f>LB$550</f>
        <v>0</v>
      </c>
    </row>
    <row r="715" spans="1:314" hidden="1">
      <c r="A715" s="279"/>
      <c r="B715" s="96" t="s">
        <v>338</v>
      </c>
      <c r="D715" s="516" t="str">
        <f>D$552</f>
        <v>Total revenue</v>
      </c>
      <c r="E715" s="512">
        <f>E$552</f>
        <v>16.5383</v>
      </c>
      <c r="F715" s="512">
        <f t="shared" ref="F715:AW715" si="734">F$552</f>
        <v>15.875399999999999</v>
      </c>
      <c r="G715" s="512">
        <f t="shared" si="734"/>
        <v>24.213000000000001</v>
      </c>
      <c r="H715" s="512">
        <f t="shared" si="734"/>
        <v>20.4634</v>
      </c>
      <c r="I715" s="512">
        <f t="shared" si="734"/>
        <v>20.900200000000002</v>
      </c>
      <c r="J715" s="512">
        <f t="shared" si="734"/>
        <v>26.330902116000001</v>
      </c>
      <c r="K715" s="512">
        <f t="shared" si="734"/>
        <v>18.669034962999998</v>
      </c>
      <c r="L715" s="512">
        <f t="shared" si="734"/>
        <v>20.163478661999999</v>
      </c>
      <c r="M715" s="512">
        <f t="shared" si="734"/>
        <v>23.201122285</v>
      </c>
      <c r="N715" s="512">
        <f t="shared" si="734"/>
        <v>19.877401225</v>
      </c>
      <c r="O715" s="512">
        <f t="shared" si="734"/>
        <v>21.377868437</v>
      </c>
      <c r="P715" s="512">
        <f t="shared" si="734"/>
        <v>25.326898893999999</v>
      </c>
      <c r="Q715" s="512">
        <f t="shared" si="734"/>
        <v>22.179866305999997</v>
      </c>
      <c r="R715" s="512">
        <f t="shared" si="734"/>
        <v>21.164371927000001</v>
      </c>
      <c r="S715" s="512">
        <f t="shared" si="734"/>
        <v>27.234012576000001</v>
      </c>
      <c r="T715" s="512">
        <f t="shared" si="734"/>
        <v>25.754677922000003</v>
      </c>
      <c r="U715" s="512">
        <f t="shared" si="734"/>
        <v>24.531161763</v>
      </c>
      <c r="V715" s="512">
        <f t="shared" si="734"/>
        <v>40.780660499</v>
      </c>
      <c r="W715" s="512">
        <f t="shared" si="734"/>
        <v>25.122907194</v>
      </c>
      <c r="X715" s="512">
        <f t="shared" si="734"/>
        <v>26.188947629999998</v>
      </c>
      <c r="Y715" s="512">
        <f t="shared" si="734"/>
        <v>36.555613293</v>
      </c>
      <c r="Z715" s="512">
        <f t="shared" si="734"/>
        <v>30.925497113999999</v>
      </c>
      <c r="AA715" s="512">
        <f t="shared" si="734"/>
        <v>27.185696262999997</v>
      </c>
      <c r="AB715" s="512">
        <f t="shared" si="734"/>
        <v>73.355484633000003</v>
      </c>
      <c r="AC715" s="512">
        <f t="shared" si="734"/>
        <v>29.319654589999999</v>
      </c>
      <c r="AD715" s="512">
        <f t="shared" si="734"/>
        <v>29.951000631000003</v>
      </c>
      <c r="AE715" s="512">
        <f t="shared" si="734"/>
        <v>34.806349091999998</v>
      </c>
      <c r="AF715" s="512">
        <f t="shared" si="734"/>
        <v>29.167745937999999</v>
      </c>
      <c r="AG715" s="512">
        <f t="shared" si="734"/>
        <v>29.712147304000002</v>
      </c>
      <c r="AH715" s="512">
        <f t="shared" si="734"/>
        <v>40.743024720999991</v>
      </c>
      <c r="AI715" s="512">
        <f t="shared" si="734"/>
        <v>27.257941557999995</v>
      </c>
      <c r="AJ715" s="512">
        <f t="shared" si="734"/>
        <v>27.793590137000002</v>
      </c>
      <c r="AK715" s="512">
        <f t="shared" si="734"/>
        <v>34.524928839000005</v>
      </c>
      <c r="AL715" s="512">
        <f t="shared" si="734"/>
        <v>27.274276262000001</v>
      </c>
      <c r="AM715" s="512">
        <f t="shared" si="734"/>
        <v>30.466199999999997</v>
      </c>
      <c r="AN715" s="512">
        <f t="shared" si="734"/>
        <v>38.3446</v>
      </c>
      <c r="AO715" s="512">
        <f t="shared" si="734"/>
        <v>29.764936359</v>
      </c>
      <c r="AP715" s="512">
        <f t="shared" si="734"/>
        <v>28.208919395999999</v>
      </c>
      <c r="AQ715" s="512">
        <f t="shared" si="734"/>
        <v>46.601846963</v>
      </c>
      <c r="AR715" s="512">
        <f t="shared" si="734"/>
        <v>30.875261329000001</v>
      </c>
      <c r="AS715" s="512">
        <f t="shared" si="734"/>
        <v>31.183278000000001</v>
      </c>
      <c r="AT715" s="512">
        <f t="shared" si="734"/>
        <v>37.676075787000002</v>
      </c>
      <c r="AU715" s="512">
        <f t="shared" si="734"/>
        <v>31.866403909999999</v>
      </c>
      <c r="AV715" s="512">
        <f t="shared" si="734"/>
        <v>36.252635124999998</v>
      </c>
      <c r="AW715" s="512">
        <f t="shared" si="734"/>
        <v>40.302209705000003</v>
      </c>
      <c r="AX715" s="512">
        <f t="shared" ref="AX715:BP715" si="735">AX$552</f>
        <v>34.389034735999999</v>
      </c>
      <c r="AY715" s="512">
        <f t="shared" si="735"/>
        <v>37.329067059000003</v>
      </c>
      <c r="AZ715" s="512">
        <f t="shared" si="735"/>
        <v>46.461917195000005</v>
      </c>
      <c r="BA715" s="512">
        <f t="shared" si="735"/>
        <v>40.372282581</v>
      </c>
      <c r="BB715" s="512">
        <f t="shared" si="735"/>
        <v>32.462750329000002</v>
      </c>
      <c r="BC715" s="512">
        <f t="shared" si="735"/>
        <v>51.692223890000001</v>
      </c>
      <c r="BD715" s="512">
        <f t="shared" si="735"/>
        <v>37.733015287000001</v>
      </c>
      <c r="BE715" s="512">
        <f t="shared" si="735"/>
        <v>42.271061997000004</v>
      </c>
      <c r="BF715" s="512">
        <f t="shared" si="735"/>
        <v>52.966000926999996</v>
      </c>
      <c r="BG715" s="512">
        <f t="shared" si="735"/>
        <v>36.168595312799994</v>
      </c>
      <c r="BH715" s="512">
        <f t="shared" si="735"/>
        <v>43.234283078200001</v>
      </c>
      <c r="BI715" s="512">
        <f t="shared" si="735"/>
        <v>65.594706880900006</v>
      </c>
      <c r="BJ715" s="512">
        <f t="shared" si="735"/>
        <v>41.211862676999999</v>
      </c>
      <c r="BK715" s="512">
        <f t="shared" si="735"/>
        <v>43.569539720999998</v>
      </c>
      <c r="BL715" s="512">
        <f t="shared" si="735"/>
        <v>54.424474300999997</v>
      </c>
      <c r="BM715" s="512">
        <f t="shared" si="735"/>
        <v>44.105241053999997</v>
      </c>
      <c r="BN715" s="512">
        <f t="shared" si="735"/>
        <v>44.312992412999996</v>
      </c>
      <c r="BO715" s="512">
        <f t="shared" si="735"/>
        <v>60.043170514999993</v>
      </c>
      <c r="BP715" s="512">
        <f t="shared" si="735"/>
        <v>44.577221414999997</v>
      </c>
      <c r="BQ715" s="512">
        <f t="shared" ref="BQ715:DT715" si="736">BQ$552</f>
        <v>56.649560364000003</v>
      </c>
      <c r="BR715" s="512">
        <f t="shared" si="736"/>
        <v>57.936586860999995</v>
      </c>
      <c r="BS715" s="512">
        <f t="shared" si="736"/>
        <v>50.174999999999997</v>
      </c>
      <c r="BT715" s="512">
        <f t="shared" si="736"/>
        <v>51.167600000000007</v>
      </c>
      <c r="BU715" s="512">
        <f t="shared" si="736"/>
        <v>58.022500000000001</v>
      </c>
      <c r="BV715" s="512">
        <f t="shared" si="736"/>
        <v>67.65402367063237</v>
      </c>
      <c r="BW715" s="512">
        <f t="shared" si="736"/>
        <v>49.19572033965882</v>
      </c>
      <c r="BX715" s="512">
        <f t="shared" si="736"/>
        <v>69.986593628505176</v>
      </c>
      <c r="BY715" s="512">
        <f t="shared" si="736"/>
        <v>53.009075458916328</v>
      </c>
      <c r="BZ715" s="512">
        <f t="shared" si="736"/>
        <v>52.648868041803432</v>
      </c>
      <c r="CA715" s="512">
        <f t="shared" si="736"/>
        <v>88.217625266590289</v>
      </c>
      <c r="CB715" s="512">
        <f t="shared" si="736"/>
        <v>53.706899125880469</v>
      </c>
      <c r="CC715" s="512">
        <f t="shared" si="736"/>
        <v>55.896236535222947</v>
      </c>
      <c r="CD715" s="514">
        <f t="shared" si="736"/>
        <v>85.3276152868808</v>
      </c>
      <c r="CE715" s="512">
        <f t="shared" si="736"/>
        <v>60.830473264697275</v>
      </c>
      <c r="CF715" s="512">
        <f t="shared" si="736"/>
        <v>61.031943501572783</v>
      </c>
      <c r="CG715" s="512">
        <f t="shared" si="736"/>
        <v>68.846531850293431</v>
      </c>
      <c r="CH715" s="512">
        <f t="shared" si="736"/>
        <v>82.132439465750224</v>
      </c>
      <c r="CI715" s="512">
        <f t="shared" si="736"/>
        <v>58.711358355824714</v>
      </c>
      <c r="CJ715" s="512">
        <f t="shared" si="736"/>
        <v>86.316598820932796</v>
      </c>
      <c r="CK715" s="512">
        <f t="shared" si="736"/>
        <v>63.573570289825042</v>
      </c>
      <c r="CL715" s="512">
        <f t="shared" si="736"/>
        <v>63.250821485083073</v>
      </c>
      <c r="CM715" s="512">
        <f t="shared" si="736"/>
        <v>87.988916234456212</v>
      </c>
      <c r="CN715" s="512">
        <f t="shared" si="736"/>
        <v>60.020681533917354</v>
      </c>
      <c r="CO715" s="512">
        <f t="shared" si="736"/>
        <v>67.4479192841996</v>
      </c>
      <c r="CP715" s="515">
        <f t="shared" si="736"/>
        <v>113.71838556811986</v>
      </c>
      <c r="CQ715" s="512">
        <f t="shared" si="736"/>
        <v>62.99602087442333</v>
      </c>
      <c r="CR715" s="512">
        <f t="shared" si="736"/>
        <v>65.33411370871147</v>
      </c>
      <c r="CS715" s="512">
        <f t="shared" si="736"/>
        <v>85.09322572872253</v>
      </c>
      <c r="CT715" s="512">
        <f t="shared" si="736"/>
        <v>61.511698774882227</v>
      </c>
      <c r="CU715" s="512">
        <f t="shared" si="736"/>
        <v>59.358373962794374</v>
      </c>
      <c r="CV715" s="512">
        <f t="shared" si="736"/>
        <v>83.649151977615134</v>
      </c>
      <c r="CW715" s="512">
        <f t="shared" si="736"/>
        <v>74.506710858277586</v>
      </c>
      <c r="CX715" s="512">
        <f t="shared" si="736"/>
        <v>67.356111067263086</v>
      </c>
      <c r="CY715" s="512">
        <f t="shared" si="736"/>
        <v>91.909844021911795</v>
      </c>
      <c r="CZ715" s="512">
        <f t="shared" si="736"/>
        <v>74.158829422090108</v>
      </c>
      <c r="DA715" s="512">
        <f t="shared" si="736"/>
        <v>70.44882806760269</v>
      </c>
      <c r="DB715" s="1306">
        <f t="shared" si="736"/>
        <v>104.82506873185119</v>
      </c>
      <c r="DC715" s="512">
        <f t="shared" si="736"/>
        <v>69.560293773846709</v>
      </c>
      <c r="DD715" s="512">
        <f t="shared" si="736"/>
        <v>70.520117501935545</v>
      </c>
      <c r="DE715" s="512">
        <f t="shared" si="736"/>
        <v>90.531258142568404</v>
      </c>
      <c r="DF715" s="512">
        <f t="shared" si="736"/>
        <v>80.509053397906328</v>
      </c>
      <c r="DG715" s="512">
        <f t="shared" si="736"/>
        <v>73.21240330954916</v>
      </c>
      <c r="DH715" s="512">
        <f t="shared" si="736"/>
        <v>99.708799863493851</v>
      </c>
      <c r="DI715" s="512">
        <f t="shared" si="736"/>
        <v>80.698102275652388</v>
      </c>
      <c r="DJ715" s="512">
        <f t="shared" si="736"/>
        <v>77.448607252147653</v>
      </c>
      <c r="DK715" s="512">
        <f t="shared" si="736"/>
        <v>118.54506562031246</v>
      </c>
      <c r="DL715" s="512">
        <f t="shared" si="736"/>
        <v>81.13460613768342</v>
      </c>
      <c r="DM715" s="512">
        <f t="shared" si="736"/>
        <v>80.950177593496889</v>
      </c>
      <c r="DN715" s="515">
        <f t="shared" si="736"/>
        <v>122.2152256734072</v>
      </c>
      <c r="DO715" s="512">
        <f t="shared" si="736"/>
        <v>73.140603806900003</v>
      </c>
      <c r="DP715" s="512">
        <f t="shared" si="736"/>
        <v>85.874613060300021</v>
      </c>
      <c r="DQ715" s="512">
        <f t="shared" si="736"/>
        <v>99.786274171000002</v>
      </c>
      <c r="DR715" s="512">
        <f t="shared" si="736"/>
        <v>78.461688966700009</v>
      </c>
      <c r="DS715" s="512">
        <f t="shared" si="736"/>
        <v>80.908753246679993</v>
      </c>
      <c r="DT715" s="512">
        <f t="shared" si="736"/>
        <v>113.88552680144727</v>
      </c>
      <c r="DU715" s="512"/>
      <c r="DV715" s="512"/>
      <c r="DW715" s="512"/>
      <c r="DX715" s="512"/>
      <c r="DY715" s="512"/>
      <c r="DZ715" s="515"/>
      <c r="EA715" s="512"/>
      <c r="EB715" s="512"/>
      <c r="EC715" s="512"/>
      <c r="ED715" s="512"/>
      <c r="EE715" s="512"/>
      <c r="EF715" s="512"/>
      <c r="EG715" s="512"/>
      <c r="EH715" s="512"/>
      <c r="EI715" s="512"/>
      <c r="EJ715" s="512"/>
      <c r="EK715" s="512"/>
      <c r="EL715" s="515"/>
      <c r="EM715" s="512"/>
      <c r="EN715" s="512"/>
      <c r="EO715" s="512"/>
      <c r="EP715" s="512"/>
      <c r="EQ715" s="512"/>
      <c r="ER715" s="512"/>
      <c r="ES715" s="512"/>
      <c r="ET715" s="512"/>
      <c r="EU715" s="512"/>
      <c r="EV715" s="512"/>
      <c r="EW715" s="512"/>
      <c r="EX715" s="515"/>
      <c r="EY715" s="512"/>
      <c r="EZ715" s="512"/>
      <c r="FA715" s="512"/>
      <c r="FB715" s="512"/>
      <c r="FC715" s="512"/>
      <c r="FD715" s="512"/>
      <c r="FE715" s="512"/>
      <c r="FF715" s="512"/>
      <c r="FG715" s="512"/>
      <c r="FH715" s="512"/>
      <c r="FI715" s="512"/>
      <c r="FJ715" s="515"/>
      <c r="FK715" s="512"/>
      <c r="FL715" s="512"/>
      <c r="FM715" s="512"/>
      <c r="FN715" s="512"/>
      <c r="FO715" s="512"/>
      <c r="FP715" s="512"/>
      <c r="FQ715" s="512"/>
      <c r="FR715" s="512"/>
      <c r="FS715" s="512"/>
      <c r="FT715" s="512"/>
      <c r="FU715" s="512"/>
      <c r="FV715" s="512"/>
      <c r="FW715" s="512"/>
      <c r="FX715" s="512"/>
      <c r="FY715" s="512"/>
      <c r="FZ715" s="512"/>
      <c r="GA715" s="512"/>
      <c r="GB715" s="512"/>
      <c r="GC715" s="512"/>
      <c r="GD715" s="512"/>
      <c r="GE715" s="512"/>
      <c r="GF715" s="512"/>
      <c r="GG715" s="512"/>
      <c r="GH715" s="512"/>
      <c r="GI715" s="512"/>
      <c r="GJ715" s="512"/>
      <c r="GK715" s="512"/>
      <c r="GL715" s="512"/>
      <c r="GM715" s="512"/>
      <c r="GN715" s="512"/>
      <c r="GO715" s="512"/>
      <c r="GP715" s="512"/>
      <c r="GQ715" s="512"/>
      <c r="GR715" s="512"/>
      <c r="GS715" s="512"/>
      <c r="GT715" s="512"/>
      <c r="GU715" s="512"/>
      <c r="GV715" s="512"/>
      <c r="GW715" s="512"/>
      <c r="GX715" s="512"/>
      <c r="GY715" s="512"/>
      <c r="GZ715" s="512"/>
      <c r="HA715" s="512"/>
      <c r="HB715" s="512"/>
      <c r="HC715" s="512"/>
      <c r="HD715" s="512"/>
      <c r="HE715" s="512"/>
      <c r="HF715" s="512"/>
      <c r="HG715" s="512"/>
      <c r="HH715" s="512"/>
      <c r="HI715" s="512"/>
      <c r="HJ715" s="512"/>
      <c r="HK715" s="512"/>
      <c r="HL715" s="512"/>
      <c r="HM715" s="512"/>
      <c r="HN715" s="512"/>
      <c r="HO715" s="512"/>
      <c r="HP715" s="512"/>
      <c r="HQ715" s="512"/>
      <c r="HR715" s="512"/>
      <c r="HS715" s="512"/>
      <c r="HT715" s="512"/>
      <c r="HU715" s="512"/>
      <c r="HV715" s="512"/>
      <c r="HW715" s="512"/>
      <c r="HX715" s="512"/>
      <c r="HY715" s="512"/>
      <c r="IA715" s="512"/>
      <c r="IB715" s="512"/>
      <c r="IC715" s="512"/>
      <c r="ID715" s="512">
        <f t="shared" ref="ID715:II715" si="737">ID$552</f>
        <v>1002.7568019579999</v>
      </c>
      <c r="IE715" s="279">
        <f t="shared" si="737"/>
        <v>417.94258502714905</v>
      </c>
      <c r="IF715" s="279">
        <f t="shared" si="737"/>
        <v>483.20539216899641</v>
      </c>
      <c r="IG715" s="512">
        <f t="shared" si="737"/>
        <v>901.14797719614558</v>
      </c>
      <c r="IH715" s="279">
        <f t="shared" si="737"/>
        <v>484.04192598930001</v>
      </c>
      <c r="II715" s="279">
        <f t="shared" si="737"/>
        <v>560.99178455269998</v>
      </c>
      <c r="IJ715" s="520">
        <f t="shared" ref="IJ715:IV715" si="738">IJ$552</f>
        <v>1045.0337105420001</v>
      </c>
      <c r="IK715" s="279">
        <f t="shared" si="738"/>
        <v>532.05746005302717</v>
      </c>
      <c r="IM715" s="520">
        <f t="shared" si="738"/>
        <v>1157.0805449883771</v>
      </c>
      <c r="IP715" s="519">
        <f t="shared" si="738"/>
        <v>1461.503755922336</v>
      </c>
      <c r="IS715" s="519">
        <f t="shared" si="738"/>
        <v>1519.1752360943751</v>
      </c>
      <c r="IT715" s="327"/>
      <c r="IU715" s="327"/>
      <c r="IV715" s="519">
        <f t="shared" si="738"/>
        <v>1649.9486941171201</v>
      </c>
      <c r="IW715" s="327"/>
      <c r="IX715" s="327"/>
      <c r="IY715" s="519">
        <f>IY$552</f>
        <v>1679.2114408085199</v>
      </c>
      <c r="IZ715" s="327"/>
      <c r="JA715" s="327">
        <f>JA$552</f>
        <v>5009.8486905271084</v>
      </c>
      <c r="JB715" s="519" t="e">
        <f>#REF!</f>
        <v>#REF!</v>
      </c>
      <c r="JC715" s="327">
        <f>JE$552</f>
        <v>13928.692727257072</v>
      </c>
      <c r="JD715" s="327">
        <f>JD$552</f>
        <v>7459.505095861683</v>
      </c>
      <c r="JE715" s="519"/>
      <c r="JF715" s="327"/>
      <c r="JG715" s="327"/>
      <c r="JH715" s="519"/>
      <c r="JI715" s="327"/>
      <c r="JJ715" s="327"/>
      <c r="JK715" s="519"/>
      <c r="KY715" s="279">
        <f>KY$552</f>
        <v>0</v>
      </c>
      <c r="KZ715" s="279">
        <f>KZ$552</f>
        <v>0</v>
      </c>
      <c r="LA715" s="279">
        <f>LA$552</f>
        <v>0</v>
      </c>
      <c r="LB715" s="279">
        <f>LB$552</f>
        <v>0</v>
      </c>
    </row>
    <row r="716" spans="1:314" hidden="1">
      <c r="A716" s="279"/>
      <c r="B716" s="96" t="s">
        <v>338</v>
      </c>
      <c r="D716" s="510" t="str">
        <f>D$553</f>
        <v>Tax revenue</v>
      </c>
      <c r="E716" s="512">
        <f>E$553</f>
        <v>15.9003</v>
      </c>
      <c r="F716" s="512">
        <f t="shared" ref="F716:AW716" si="739">F$553</f>
        <v>15.1754</v>
      </c>
      <c r="G716" s="512">
        <f t="shared" si="739"/>
        <v>22.451000000000001</v>
      </c>
      <c r="H716" s="512">
        <f t="shared" si="739"/>
        <v>19.007999999999999</v>
      </c>
      <c r="I716" s="512">
        <f t="shared" si="739"/>
        <v>18.420400000000001</v>
      </c>
      <c r="J716" s="512">
        <f t="shared" si="739"/>
        <v>25.304200000000002</v>
      </c>
      <c r="K716" s="512">
        <f t="shared" si="739"/>
        <v>17.343899999999998</v>
      </c>
      <c r="L716" s="512">
        <f t="shared" si="739"/>
        <v>18.981099999999998</v>
      </c>
      <c r="M716" s="512">
        <f t="shared" si="739"/>
        <v>22.213000000000001</v>
      </c>
      <c r="N716" s="512">
        <f t="shared" si="739"/>
        <v>18.811399999999999</v>
      </c>
      <c r="O716" s="512">
        <f t="shared" si="739"/>
        <v>20.230499999999999</v>
      </c>
      <c r="P716" s="512">
        <f t="shared" si="739"/>
        <v>23.9694</v>
      </c>
      <c r="Q716" s="512">
        <f t="shared" si="739"/>
        <v>21.110899999999997</v>
      </c>
      <c r="R716" s="512">
        <f t="shared" si="739"/>
        <v>20.690200000000001</v>
      </c>
      <c r="S716" s="512">
        <f t="shared" si="739"/>
        <v>26.64</v>
      </c>
      <c r="T716" s="512">
        <f t="shared" si="739"/>
        <v>23.484750000000002</v>
      </c>
      <c r="U716" s="512">
        <f t="shared" si="739"/>
        <v>23.641500000000001</v>
      </c>
      <c r="V716" s="512">
        <f t="shared" si="739"/>
        <v>35.311700000000002</v>
      </c>
      <c r="W716" s="512">
        <f t="shared" si="739"/>
        <v>24.373000000000001</v>
      </c>
      <c r="X716" s="512">
        <f t="shared" si="739"/>
        <v>24.683499999999999</v>
      </c>
      <c r="Y716" s="512">
        <f t="shared" si="739"/>
        <v>35.0578</v>
      </c>
      <c r="Z716" s="512">
        <f t="shared" si="739"/>
        <v>29.308399999999999</v>
      </c>
      <c r="AA716" s="512">
        <f t="shared" si="739"/>
        <v>25.883399999999998</v>
      </c>
      <c r="AB716" s="512">
        <f t="shared" si="739"/>
        <v>38.509300000000003</v>
      </c>
      <c r="AC716" s="512">
        <f t="shared" si="739"/>
        <v>28.049999999999997</v>
      </c>
      <c r="AD716" s="512">
        <f t="shared" si="739"/>
        <v>28.991200000000003</v>
      </c>
      <c r="AE716" s="512">
        <f t="shared" si="739"/>
        <v>34.087299999999999</v>
      </c>
      <c r="AF716" s="512">
        <f t="shared" si="739"/>
        <v>27.322800000000001</v>
      </c>
      <c r="AG716" s="512">
        <f t="shared" si="739"/>
        <v>27.106300000000001</v>
      </c>
      <c r="AH716" s="512">
        <f t="shared" si="739"/>
        <v>37.998499999999993</v>
      </c>
      <c r="AI716" s="512">
        <f t="shared" si="739"/>
        <v>26.509099999999997</v>
      </c>
      <c r="AJ716" s="512">
        <f t="shared" si="739"/>
        <v>27.122990000000001</v>
      </c>
      <c r="AK716" s="512">
        <f t="shared" si="739"/>
        <v>32.590400000000002</v>
      </c>
      <c r="AL716" s="512">
        <f t="shared" si="739"/>
        <v>26.6496</v>
      </c>
      <c r="AM716" s="512">
        <f t="shared" si="739"/>
        <v>29.381499999999996</v>
      </c>
      <c r="AN716" s="512">
        <f t="shared" si="739"/>
        <v>37.007300000000001</v>
      </c>
      <c r="AO716" s="512">
        <f t="shared" si="739"/>
        <v>29.107900000000001</v>
      </c>
      <c r="AP716" s="512">
        <f t="shared" si="739"/>
        <v>27.5167</v>
      </c>
      <c r="AQ716" s="512">
        <f t="shared" si="739"/>
        <v>44.653700000000001</v>
      </c>
      <c r="AR716" s="512">
        <f t="shared" si="739"/>
        <v>29.591200000000001</v>
      </c>
      <c r="AS716" s="512">
        <f t="shared" si="739"/>
        <v>28.273</v>
      </c>
      <c r="AT716" s="512">
        <f t="shared" si="739"/>
        <v>36.551200000000001</v>
      </c>
      <c r="AU716" s="512">
        <f t="shared" si="739"/>
        <v>31.125599999999999</v>
      </c>
      <c r="AV716" s="512">
        <f t="shared" si="739"/>
        <v>33.959099999999999</v>
      </c>
      <c r="AW716" s="512">
        <f t="shared" si="739"/>
        <v>38.682940000000002</v>
      </c>
      <c r="AX716" s="512">
        <f t="shared" ref="AX716:BP716" si="740">AX$553</f>
        <v>32.815300000000001</v>
      </c>
      <c r="AY716" s="512">
        <f t="shared" si="740"/>
        <v>35.209800000000001</v>
      </c>
      <c r="AZ716" s="512">
        <f t="shared" si="740"/>
        <v>45.302300000000002</v>
      </c>
      <c r="BA716" s="512">
        <f t="shared" si="740"/>
        <v>38.839300000000001</v>
      </c>
      <c r="BB716" s="512">
        <f t="shared" si="740"/>
        <v>31.636660000000003</v>
      </c>
      <c r="BC716" s="512">
        <f t="shared" si="740"/>
        <v>49.993160000000003</v>
      </c>
      <c r="BD716" s="512">
        <f t="shared" si="740"/>
        <v>36.662460000000003</v>
      </c>
      <c r="BE716" s="512">
        <f t="shared" si="740"/>
        <v>40.415650000000007</v>
      </c>
      <c r="BF716" s="512">
        <f t="shared" si="740"/>
        <v>48.833599999999997</v>
      </c>
      <c r="BG716" s="512">
        <f t="shared" si="740"/>
        <v>35.186429093799994</v>
      </c>
      <c r="BH716" s="512">
        <f t="shared" si="740"/>
        <v>41.686628809200002</v>
      </c>
      <c r="BI716" s="512">
        <f t="shared" si="740"/>
        <v>46.983398117900009</v>
      </c>
      <c r="BJ716" s="512">
        <f t="shared" si="740"/>
        <v>39.902200000000001</v>
      </c>
      <c r="BK716" s="512">
        <f t="shared" si="740"/>
        <v>42.28022</v>
      </c>
      <c r="BL716" s="512">
        <f t="shared" si="740"/>
        <v>52.609954999999999</v>
      </c>
      <c r="BM716" s="512">
        <f t="shared" si="740"/>
        <v>43.249299999999998</v>
      </c>
      <c r="BN716" s="512">
        <f t="shared" si="740"/>
        <v>43.165999999999997</v>
      </c>
      <c r="BO716" s="512">
        <f t="shared" si="740"/>
        <v>58.716899999999995</v>
      </c>
      <c r="BP716" s="512">
        <f t="shared" si="740"/>
        <v>43.5837</v>
      </c>
      <c r="BQ716" s="512">
        <f t="shared" ref="BQ716:DT716" si="741">BQ$553</f>
        <v>53.3812</v>
      </c>
      <c r="BR716" s="512">
        <f t="shared" si="741"/>
        <v>56.333399999999997</v>
      </c>
      <c r="BS716" s="512">
        <f t="shared" si="741"/>
        <v>45.601099999999995</v>
      </c>
      <c r="BT716" s="512">
        <f t="shared" si="741"/>
        <v>49.536300000000004</v>
      </c>
      <c r="BU716" s="512">
        <f t="shared" si="741"/>
        <v>55.069699999999997</v>
      </c>
      <c r="BV716" s="512">
        <f t="shared" si="741"/>
        <v>50.460338782147375</v>
      </c>
      <c r="BW716" s="512">
        <f t="shared" si="741"/>
        <v>47.73854370565882</v>
      </c>
      <c r="BX716" s="512">
        <f t="shared" si="741"/>
        <v>55.734871901255175</v>
      </c>
      <c r="BY716" s="512">
        <f t="shared" si="741"/>
        <v>50.75937849946633</v>
      </c>
      <c r="BZ716" s="512">
        <f t="shared" si="741"/>
        <v>50.630494762198431</v>
      </c>
      <c r="CA716" s="512">
        <f t="shared" si="741"/>
        <v>70.645197296430297</v>
      </c>
      <c r="CB716" s="512">
        <f t="shared" si="741"/>
        <v>50.480923714506467</v>
      </c>
      <c r="CC716" s="512">
        <f t="shared" si="741"/>
        <v>51.997049962222945</v>
      </c>
      <c r="CD716" s="514">
        <f t="shared" si="741"/>
        <v>72.8713855213188</v>
      </c>
      <c r="CE716" s="512">
        <f t="shared" si="741"/>
        <v>50.358473264697274</v>
      </c>
      <c r="CF716" s="512">
        <f t="shared" si="741"/>
        <v>56.400872537300785</v>
      </c>
      <c r="CG716" s="512">
        <f t="shared" si="741"/>
        <v>67.762531850293428</v>
      </c>
      <c r="CH716" s="512">
        <f t="shared" si="741"/>
        <v>56.569088801345231</v>
      </c>
      <c r="CI716" s="512">
        <f t="shared" si="741"/>
        <v>56.830358355824714</v>
      </c>
      <c r="CJ716" s="512">
        <f t="shared" si="741"/>
        <v>71.728807105693789</v>
      </c>
      <c r="CK716" s="512">
        <f t="shared" si="741"/>
        <v>62.628570289825042</v>
      </c>
      <c r="CL716" s="512">
        <f t="shared" si="741"/>
        <v>58.387859632163071</v>
      </c>
      <c r="CM716" s="512">
        <f t="shared" si="741"/>
        <v>67.667474816064214</v>
      </c>
      <c r="CN716" s="512">
        <f t="shared" si="741"/>
        <v>58.232361492253354</v>
      </c>
      <c r="CO716" s="512">
        <f t="shared" si="741"/>
        <v>64.576853616357624</v>
      </c>
      <c r="CP716" s="515">
        <f t="shared" si="741"/>
        <v>92.282024141505644</v>
      </c>
      <c r="CQ716" s="512">
        <f t="shared" si="741"/>
        <v>62.205020874423333</v>
      </c>
      <c r="CR716" s="512">
        <f t="shared" si="741"/>
        <v>61.577752156755217</v>
      </c>
      <c r="CS716" s="512">
        <f t="shared" si="741"/>
        <v>81.209225728722529</v>
      </c>
      <c r="CT716" s="512">
        <f t="shared" si="741"/>
        <v>60.439698774882224</v>
      </c>
      <c r="CU716" s="512">
        <f t="shared" si="741"/>
        <v>58.213373962794371</v>
      </c>
      <c r="CV716" s="512">
        <f t="shared" si="741"/>
        <v>82.503151977615133</v>
      </c>
      <c r="CW716" s="512">
        <f t="shared" si="741"/>
        <v>65.856604348482591</v>
      </c>
      <c r="CX716" s="512">
        <f t="shared" si="741"/>
        <v>58.716004557468082</v>
      </c>
      <c r="CY716" s="512">
        <f t="shared" si="741"/>
        <v>87.614972142911796</v>
      </c>
      <c r="CZ716" s="512">
        <f t="shared" si="741"/>
        <v>72.883829422090102</v>
      </c>
      <c r="DA716" s="512">
        <f t="shared" si="741"/>
        <v>68.82082806760269</v>
      </c>
      <c r="DB716" s="1306">
        <f t="shared" si="741"/>
        <v>98.309068731851184</v>
      </c>
      <c r="DC716" s="512">
        <f t="shared" si="741"/>
        <v>66.733951547846715</v>
      </c>
      <c r="DD716" s="512">
        <f t="shared" si="741"/>
        <v>68.245586880935548</v>
      </c>
      <c r="DE716" s="512">
        <f t="shared" si="741"/>
        <v>86.824346869568402</v>
      </c>
      <c r="DF716" s="512">
        <f t="shared" si="741"/>
        <v>77.768789279906329</v>
      </c>
      <c r="DG716" s="512">
        <f t="shared" si="741"/>
        <v>70.290688721549159</v>
      </c>
      <c r="DH716" s="512">
        <f t="shared" si="741"/>
        <v>94.437271875493849</v>
      </c>
      <c r="DI716" s="512">
        <f t="shared" si="741"/>
        <v>76.99888641831906</v>
      </c>
      <c r="DJ716" s="512">
        <f t="shared" si="741"/>
        <v>72.781232871814325</v>
      </c>
      <c r="DK716" s="512">
        <f t="shared" si="741"/>
        <v>113.69690742097913</v>
      </c>
      <c r="DL716" s="512">
        <f t="shared" si="741"/>
        <v>78.44569215335008</v>
      </c>
      <c r="DM716" s="512">
        <f t="shared" si="741"/>
        <v>78.436310386163555</v>
      </c>
      <c r="DN716" s="515">
        <f t="shared" si="741"/>
        <v>115.65428540618294</v>
      </c>
      <c r="DO716" s="512">
        <f t="shared" si="741"/>
        <v>70.001377174548537</v>
      </c>
      <c r="DP716" s="512">
        <f t="shared" si="741"/>
        <v>82.550819978066912</v>
      </c>
      <c r="DQ716" s="512">
        <f t="shared" si="741"/>
        <v>96.339551639584585</v>
      </c>
      <c r="DR716" s="512">
        <f t="shared" si="741"/>
        <v>75.236561436798738</v>
      </c>
      <c r="DS716" s="512">
        <f t="shared" si="741"/>
        <v>77.488918952174245</v>
      </c>
      <c r="DT716" s="512">
        <f t="shared" si="741"/>
        <v>106.98901336147306</v>
      </c>
      <c r="DU716" s="512"/>
      <c r="DV716" s="512"/>
      <c r="DW716" s="512"/>
      <c r="DX716" s="512"/>
      <c r="DY716" s="512"/>
      <c r="DZ716" s="515"/>
      <c r="EA716" s="512"/>
      <c r="EB716" s="512"/>
      <c r="EC716" s="512"/>
      <c r="ED716" s="512"/>
      <c r="EE716" s="512"/>
      <c r="EF716" s="512"/>
      <c r="EG716" s="512"/>
      <c r="EH716" s="512"/>
      <c r="EI716" s="512"/>
      <c r="EJ716" s="512"/>
      <c r="EK716" s="512"/>
      <c r="EL716" s="515"/>
      <c r="EM716" s="512"/>
      <c r="EN716" s="512"/>
      <c r="EO716" s="512"/>
      <c r="EP716" s="512"/>
      <c r="EQ716" s="512"/>
      <c r="ER716" s="512"/>
      <c r="ES716" s="512"/>
      <c r="ET716" s="512"/>
      <c r="EU716" s="512"/>
      <c r="EV716" s="512"/>
      <c r="EW716" s="512"/>
      <c r="EX716" s="515"/>
      <c r="EY716" s="512"/>
      <c r="EZ716" s="512"/>
      <c r="FA716" s="512"/>
      <c r="FB716" s="512"/>
      <c r="FC716" s="512"/>
      <c r="FD716" s="512"/>
      <c r="FE716" s="512"/>
      <c r="FF716" s="512"/>
      <c r="FG716" s="512"/>
      <c r="FH716" s="512"/>
      <c r="FI716" s="512"/>
      <c r="FJ716" s="515"/>
      <c r="FK716" s="512"/>
      <c r="FL716" s="512"/>
      <c r="FM716" s="512"/>
      <c r="FN716" s="512"/>
      <c r="FO716" s="512"/>
      <c r="FP716" s="512"/>
      <c r="FQ716" s="512"/>
      <c r="FR716" s="512"/>
      <c r="FS716" s="512"/>
      <c r="FT716" s="512"/>
      <c r="FU716" s="512"/>
      <c r="FV716" s="512"/>
      <c r="FW716" s="512"/>
      <c r="FX716" s="512"/>
      <c r="FY716" s="512"/>
      <c r="FZ716" s="512"/>
      <c r="GA716" s="512"/>
      <c r="GB716" s="512"/>
      <c r="GC716" s="512"/>
      <c r="GD716" s="512"/>
      <c r="GE716" s="512"/>
      <c r="GF716" s="512"/>
      <c r="GG716" s="512"/>
      <c r="GH716" s="512"/>
      <c r="GI716" s="512"/>
      <c r="GJ716" s="512"/>
      <c r="GK716" s="512"/>
      <c r="GL716" s="512"/>
      <c r="GM716" s="512"/>
      <c r="GN716" s="512"/>
      <c r="GO716" s="512"/>
      <c r="GP716" s="512"/>
      <c r="GQ716" s="512"/>
      <c r="GR716" s="512"/>
      <c r="GS716" s="512"/>
      <c r="GT716" s="512"/>
      <c r="GU716" s="512"/>
      <c r="GV716" s="512"/>
      <c r="GW716" s="512"/>
      <c r="GX716" s="512"/>
      <c r="GY716" s="512"/>
      <c r="GZ716" s="512"/>
      <c r="HA716" s="512"/>
      <c r="HB716" s="512"/>
      <c r="HC716" s="512"/>
      <c r="HD716" s="512"/>
      <c r="HE716" s="512"/>
      <c r="HF716" s="512"/>
      <c r="HG716" s="512"/>
      <c r="HH716" s="512"/>
      <c r="HI716" s="512"/>
      <c r="HJ716" s="512"/>
      <c r="HK716" s="512"/>
      <c r="HL716" s="512"/>
      <c r="HM716" s="512"/>
      <c r="HN716" s="512"/>
      <c r="HO716" s="512"/>
      <c r="HP716" s="512"/>
      <c r="HQ716" s="512"/>
      <c r="HR716" s="512"/>
      <c r="HS716" s="512"/>
      <c r="HT716" s="512"/>
      <c r="HU716" s="512"/>
      <c r="HV716" s="512"/>
      <c r="HW716" s="512"/>
      <c r="HX716" s="512"/>
      <c r="HY716" s="512"/>
      <c r="IA716" s="512"/>
      <c r="IB716" s="512"/>
      <c r="IC716" s="512"/>
      <c r="ID716" s="512">
        <f t="shared" ref="ID716:II716" si="742">ID$553</f>
        <v>871.55680195799994</v>
      </c>
      <c r="IE716" s="279">
        <f t="shared" si="742"/>
        <v>406.14822347519282</v>
      </c>
      <c r="IF716" s="279">
        <f t="shared" si="742"/>
        <v>452.2013072704064</v>
      </c>
      <c r="IG716" s="512">
        <f t="shared" si="742"/>
        <v>858.34953074559928</v>
      </c>
      <c r="IH716" s="279">
        <f t="shared" si="742"/>
        <v>464.30063517529999</v>
      </c>
      <c r="II716" s="279">
        <f t="shared" si="742"/>
        <v>536.01331465680903</v>
      </c>
      <c r="IJ716" s="520">
        <f t="shared" ref="IJ716:IV716" si="743">IJ$553</f>
        <v>1000.3139498321091</v>
      </c>
      <c r="IK716" s="279">
        <f t="shared" si="743"/>
        <v>508.60624254264599</v>
      </c>
      <c r="IM716" s="520">
        <f t="shared" si="743"/>
        <v>1104.143145074856</v>
      </c>
      <c r="IP716" s="519">
        <f t="shared" si="743"/>
        <v>1252.8836310898428</v>
      </c>
      <c r="IS716" s="519">
        <f t="shared" si="743"/>
        <v>1418.7907824792755</v>
      </c>
      <c r="IT716" s="327"/>
      <c r="IU716" s="327"/>
      <c r="IV716" s="519">
        <f t="shared" si="743"/>
        <v>1408.2817965614299</v>
      </c>
      <c r="IW716" s="327"/>
      <c r="IX716" s="327"/>
      <c r="IY716" s="519">
        <f>IY$553</f>
        <v>1459.87322506286</v>
      </c>
      <c r="IZ716" s="327"/>
      <c r="JA716" s="327">
        <f>JA$553</f>
        <v>4789.4811216544795</v>
      </c>
      <c r="JB716" s="519" t="e">
        <f>#REF!</f>
        <v>#REF!</v>
      </c>
      <c r="JC716" s="327">
        <f>JE$553</f>
        <v>13534.603171201939</v>
      </c>
      <c r="JD716" s="327">
        <f>JD$553</f>
        <v>7247.0501104000668</v>
      </c>
      <c r="JE716" s="519"/>
      <c r="JF716" s="327"/>
      <c r="JG716" s="327"/>
      <c r="JH716" s="519"/>
      <c r="JI716" s="327"/>
      <c r="JJ716" s="327"/>
      <c r="JK716" s="519"/>
      <c r="KY716" s="279">
        <f>KY$553</f>
        <v>0</v>
      </c>
      <c r="KZ716" s="279">
        <f>KZ$553</f>
        <v>0</v>
      </c>
      <c r="LA716" s="279">
        <f>LA$553</f>
        <v>0</v>
      </c>
      <c r="LB716" s="279">
        <f>LB$553</f>
        <v>0</v>
      </c>
    </row>
    <row r="717" spans="1:314" hidden="1">
      <c r="A717" s="279"/>
      <c r="B717" s="96" t="s">
        <v>338</v>
      </c>
      <c r="D717" s="510" t="str">
        <f>D$570</f>
        <v>Non-tax revenue</v>
      </c>
      <c r="E717" s="512">
        <f>E$570</f>
        <v>0.63800000000000001</v>
      </c>
      <c r="F717" s="512">
        <f t="shared" ref="F717:AW717" si="744">F$570</f>
        <v>0.7</v>
      </c>
      <c r="G717" s="512">
        <f t="shared" si="744"/>
        <v>1.762</v>
      </c>
      <c r="H717" s="512">
        <f t="shared" si="744"/>
        <v>1.4554</v>
      </c>
      <c r="I717" s="512">
        <f t="shared" si="744"/>
        <v>2.4798</v>
      </c>
      <c r="J717" s="512">
        <f t="shared" si="744"/>
        <v>1.0267021159999998</v>
      </c>
      <c r="K717" s="512">
        <f t="shared" si="744"/>
        <v>1.325134963</v>
      </c>
      <c r="L717" s="512">
        <f t="shared" si="744"/>
        <v>1.1823786620000001</v>
      </c>
      <c r="M717" s="512">
        <f t="shared" si="744"/>
        <v>0.98812228499999999</v>
      </c>
      <c r="N717" s="512">
        <f t="shared" si="744"/>
        <v>1.0660012249999999</v>
      </c>
      <c r="O717" s="512">
        <f t="shared" si="744"/>
        <v>1.1473684370000001</v>
      </c>
      <c r="P717" s="512">
        <f t="shared" si="744"/>
        <v>1.3574988940000001</v>
      </c>
      <c r="Q717" s="512">
        <f t="shared" si="744"/>
        <v>1.0689663060000001</v>
      </c>
      <c r="R717" s="512">
        <f t="shared" si="744"/>
        <v>0.47417192699999999</v>
      </c>
      <c r="S717" s="512">
        <f t="shared" si="744"/>
        <v>0.59401257600000001</v>
      </c>
      <c r="T717" s="512">
        <f t="shared" si="744"/>
        <v>2.2699279219999999</v>
      </c>
      <c r="U717" s="512">
        <f t="shared" si="744"/>
        <v>0.88966176299999999</v>
      </c>
      <c r="V717" s="512">
        <f t="shared" si="744"/>
        <v>5.4689604989999996</v>
      </c>
      <c r="W717" s="512">
        <f t="shared" si="744"/>
        <v>0.74990719400000005</v>
      </c>
      <c r="X717" s="512">
        <f t="shared" si="744"/>
        <v>1.5054476299999999</v>
      </c>
      <c r="Y717" s="512">
        <f t="shared" si="744"/>
        <v>1.4978132929999999</v>
      </c>
      <c r="Z717" s="512">
        <f t="shared" si="744"/>
        <v>1.6170971139999999</v>
      </c>
      <c r="AA717" s="512">
        <f t="shared" si="744"/>
        <v>1.3022962629999999</v>
      </c>
      <c r="AB717" s="512">
        <f t="shared" si="744"/>
        <v>34.846184633</v>
      </c>
      <c r="AC717" s="512">
        <f t="shared" si="744"/>
        <v>1.26965459</v>
      </c>
      <c r="AD717" s="512">
        <f t="shared" si="744"/>
        <v>0.9598006309999999</v>
      </c>
      <c r="AE717" s="512">
        <f t="shared" si="744"/>
        <v>0.719049092</v>
      </c>
      <c r="AF717" s="512">
        <f t="shared" si="744"/>
        <v>1.8449459380000002</v>
      </c>
      <c r="AG717" s="512">
        <f t="shared" si="744"/>
        <v>2.6058473040000001</v>
      </c>
      <c r="AH717" s="512">
        <f t="shared" si="744"/>
        <v>2.7445247210000003</v>
      </c>
      <c r="AI717" s="512">
        <f t="shared" si="744"/>
        <v>0.74884155799999996</v>
      </c>
      <c r="AJ717" s="512">
        <f t="shared" si="744"/>
        <v>0.67060013699999999</v>
      </c>
      <c r="AK717" s="512">
        <f t="shared" si="744"/>
        <v>1.9345288390000002</v>
      </c>
      <c r="AL717" s="512">
        <f t="shared" si="744"/>
        <v>0.62467626199999993</v>
      </c>
      <c r="AM717" s="512">
        <f t="shared" si="744"/>
        <v>1.0847</v>
      </c>
      <c r="AN717" s="512">
        <f t="shared" si="744"/>
        <v>1.3372999999999999</v>
      </c>
      <c r="AO717" s="512">
        <f t="shared" si="744"/>
        <v>0.6570363589999999</v>
      </c>
      <c r="AP717" s="512">
        <f t="shared" si="744"/>
        <v>0.69221939599999993</v>
      </c>
      <c r="AQ717" s="512">
        <f t="shared" si="744"/>
        <v>1.9481469629999999</v>
      </c>
      <c r="AR717" s="512">
        <f t="shared" si="744"/>
        <v>1.2840613289999998</v>
      </c>
      <c r="AS717" s="512">
        <f t="shared" si="744"/>
        <v>2.9102779999999999</v>
      </c>
      <c r="AT717" s="512">
        <f t="shared" si="744"/>
        <v>1.1248757869999999</v>
      </c>
      <c r="AU717" s="512">
        <f t="shared" si="744"/>
        <v>0.74080391000000001</v>
      </c>
      <c r="AV717" s="512">
        <f t="shared" si="744"/>
        <v>2.293535125</v>
      </c>
      <c r="AW717" s="512">
        <f t="shared" si="744"/>
        <v>1.619269705</v>
      </c>
      <c r="AX717" s="512">
        <f t="shared" ref="AX717:BP717" si="745">AX$570</f>
        <v>1.573734736</v>
      </c>
      <c r="AY717" s="512">
        <f t="shared" si="745"/>
        <v>2.1192670589999998</v>
      </c>
      <c r="AZ717" s="512">
        <f t="shared" si="745"/>
        <v>1.159617195</v>
      </c>
      <c r="BA717" s="512">
        <f t="shared" si="745"/>
        <v>1.532982581</v>
      </c>
      <c r="BB717" s="512">
        <f t="shared" si="745"/>
        <v>0.82609032900000001</v>
      </c>
      <c r="BC717" s="512">
        <f t="shared" si="745"/>
        <v>1.6990638899999999</v>
      </c>
      <c r="BD717" s="512">
        <f t="shared" si="745"/>
        <v>1.0705552869999999</v>
      </c>
      <c r="BE717" s="512">
        <f t="shared" si="745"/>
        <v>1.855411997</v>
      </c>
      <c r="BF717" s="512">
        <f t="shared" si="745"/>
        <v>4.1324009269999999</v>
      </c>
      <c r="BG717" s="512">
        <f t="shared" si="745"/>
        <v>0.98216621900000001</v>
      </c>
      <c r="BH717" s="512">
        <f t="shared" si="745"/>
        <v>1.5476542690000001</v>
      </c>
      <c r="BI717" s="512">
        <f t="shared" si="745"/>
        <v>18.611308763</v>
      </c>
      <c r="BJ717" s="512">
        <f t="shared" si="745"/>
        <v>1.3096626769999999</v>
      </c>
      <c r="BK717" s="512">
        <f t="shared" si="745"/>
        <v>1.289319721</v>
      </c>
      <c r="BL717" s="512">
        <f t="shared" si="745"/>
        <v>1.814519301</v>
      </c>
      <c r="BM717" s="512">
        <f t="shared" si="745"/>
        <v>0.85594105399999998</v>
      </c>
      <c r="BN717" s="512">
        <f t="shared" si="745"/>
        <v>1.146992413</v>
      </c>
      <c r="BO717" s="512">
        <f t="shared" si="745"/>
        <v>1.326270515</v>
      </c>
      <c r="BP717" s="512">
        <f t="shared" si="745"/>
        <v>0.99352141500000002</v>
      </c>
      <c r="BQ717" s="512">
        <f t="shared" ref="BQ717:DT717" si="746">BQ$570</f>
        <v>3.2683603640000003</v>
      </c>
      <c r="BR717" s="512">
        <f t="shared" si="746"/>
        <v>1.603186861</v>
      </c>
      <c r="BS717" s="512">
        <f t="shared" si="746"/>
        <v>4.5739000000000001</v>
      </c>
      <c r="BT717" s="512">
        <f t="shared" si="746"/>
        <v>1.6313</v>
      </c>
      <c r="BU717" s="512">
        <f t="shared" si="746"/>
        <v>2.9528000000000003</v>
      </c>
      <c r="BV717" s="512">
        <f t="shared" si="746"/>
        <v>17.193684888484999</v>
      </c>
      <c r="BW717" s="512">
        <f t="shared" si="746"/>
        <v>1.4571766340000001</v>
      </c>
      <c r="BX717" s="512">
        <f t="shared" si="746"/>
        <v>14.251721727249999</v>
      </c>
      <c r="BY717" s="512">
        <f t="shared" si="746"/>
        <v>2.24969695945</v>
      </c>
      <c r="BZ717" s="512">
        <f t="shared" si="746"/>
        <v>2.018373279605</v>
      </c>
      <c r="CA717" s="512">
        <f t="shared" si="746"/>
        <v>17.57242797016</v>
      </c>
      <c r="CB717" s="512">
        <f t="shared" si="746"/>
        <v>3.2259754113740002</v>
      </c>
      <c r="CC717" s="512">
        <f t="shared" si="746"/>
        <v>3.8991865730000002</v>
      </c>
      <c r="CD717" s="514">
        <f t="shared" si="746"/>
        <v>12.456229765562</v>
      </c>
      <c r="CE717" s="512">
        <f t="shared" si="746"/>
        <v>10.472000000000001</v>
      </c>
      <c r="CF717" s="512">
        <f t="shared" si="746"/>
        <v>4.6310709642720003</v>
      </c>
      <c r="CG717" s="512">
        <f t="shared" si="746"/>
        <v>1.0840000000000001</v>
      </c>
      <c r="CH717" s="512">
        <f t="shared" si="746"/>
        <v>25.563350664405</v>
      </c>
      <c r="CI717" s="512">
        <f t="shared" si="746"/>
        <v>1.881</v>
      </c>
      <c r="CJ717" s="512">
        <f t="shared" si="746"/>
        <v>14.587791715239</v>
      </c>
      <c r="CK717" s="512">
        <f t="shared" si="746"/>
        <v>0.94499999999999995</v>
      </c>
      <c r="CL717" s="512">
        <f t="shared" si="746"/>
        <v>4.8629618529199998</v>
      </c>
      <c r="CM717" s="512">
        <f t="shared" si="746"/>
        <v>20.321441418391998</v>
      </c>
      <c r="CN717" s="512">
        <f t="shared" si="746"/>
        <v>1.7883200416640002</v>
      </c>
      <c r="CO717" s="512">
        <f t="shared" si="746"/>
        <v>2.8710656678419699</v>
      </c>
      <c r="CP717" s="515">
        <f t="shared" si="746"/>
        <v>21.436361426614216</v>
      </c>
      <c r="CQ717" s="512">
        <f t="shared" si="746"/>
        <v>0.79100000000000015</v>
      </c>
      <c r="CR717" s="512">
        <f t="shared" si="746"/>
        <v>3.7563615519562497</v>
      </c>
      <c r="CS717" s="512">
        <f t="shared" si="746"/>
        <v>3.8839999999999999</v>
      </c>
      <c r="CT717" s="512">
        <f t="shared" si="746"/>
        <v>1.0720000000000001</v>
      </c>
      <c r="CU717" s="512">
        <f t="shared" si="746"/>
        <v>1.145</v>
      </c>
      <c r="CV717" s="512">
        <f t="shared" si="746"/>
        <v>1.1459999999999999</v>
      </c>
      <c r="CW717" s="512">
        <f t="shared" si="746"/>
        <v>8.6501065097950001</v>
      </c>
      <c r="CX717" s="512">
        <f t="shared" si="746"/>
        <v>8.6401065097950003</v>
      </c>
      <c r="CY717" s="512">
        <f t="shared" si="746"/>
        <v>4.2948718789999996</v>
      </c>
      <c r="CZ717" s="512">
        <f t="shared" si="746"/>
        <v>1.2749999999999999</v>
      </c>
      <c r="DA717" s="512">
        <f t="shared" si="746"/>
        <v>1.6280000000000001</v>
      </c>
      <c r="DB717" s="1306">
        <f t="shared" si="746"/>
        <v>6.516</v>
      </c>
      <c r="DC717" s="512">
        <f t="shared" si="746"/>
        <v>2.826342226</v>
      </c>
      <c r="DD717" s="512">
        <f t="shared" si="746"/>
        <v>2.2745306210000003</v>
      </c>
      <c r="DE717" s="512">
        <f t="shared" si="746"/>
        <v>3.7069112730000002</v>
      </c>
      <c r="DF717" s="512">
        <f t="shared" si="746"/>
        <v>2.7402641180000002</v>
      </c>
      <c r="DG717" s="512">
        <f t="shared" si="746"/>
        <v>2.9217145879999999</v>
      </c>
      <c r="DH717" s="512">
        <f t="shared" si="746"/>
        <v>5.2715279879999999</v>
      </c>
      <c r="DI717" s="512">
        <f t="shared" si="746"/>
        <v>3.6992158573333329</v>
      </c>
      <c r="DJ717" s="512">
        <f t="shared" si="746"/>
        <v>4.6673743803333334</v>
      </c>
      <c r="DK717" s="512">
        <f t="shared" si="746"/>
        <v>4.8481581993333327</v>
      </c>
      <c r="DL717" s="512">
        <f t="shared" si="746"/>
        <v>2.688913984333333</v>
      </c>
      <c r="DM717" s="512">
        <f t="shared" si="746"/>
        <v>2.513867207333333</v>
      </c>
      <c r="DN717" s="515">
        <f t="shared" si="746"/>
        <v>6.5609402672242636</v>
      </c>
      <c r="DO717" s="512">
        <f t="shared" si="746"/>
        <v>3.139226632351471</v>
      </c>
      <c r="DP717" s="512">
        <f t="shared" si="746"/>
        <v>3.3237930822331059</v>
      </c>
      <c r="DQ717" s="512">
        <f t="shared" si="746"/>
        <v>3.4467225314154231</v>
      </c>
      <c r="DR717" s="512">
        <f t="shared" si="746"/>
        <v>3.2251275299012718</v>
      </c>
      <c r="DS717" s="512">
        <f t="shared" si="746"/>
        <v>3.4198342945057538</v>
      </c>
      <c r="DT717" s="512">
        <f t="shared" si="746"/>
        <v>6.8965134399742158</v>
      </c>
      <c r="DU717" s="512"/>
      <c r="DV717" s="512"/>
      <c r="DW717" s="512"/>
      <c r="DX717" s="512"/>
      <c r="DY717" s="512"/>
      <c r="DZ717" s="515"/>
      <c r="EA717" s="512"/>
      <c r="EB717" s="512"/>
      <c r="EC717" s="512"/>
      <c r="ED717" s="512"/>
      <c r="EE717" s="512"/>
      <c r="EF717" s="512"/>
      <c r="EG717" s="512"/>
      <c r="EH717" s="512"/>
      <c r="EI717" s="512"/>
      <c r="EJ717" s="512"/>
      <c r="EK717" s="512"/>
      <c r="EL717" s="515"/>
      <c r="EM717" s="512"/>
      <c r="EN717" s="512"/>
      <c r="EO717" s="512"/>
      <c r="EP717" s="512"/>
      <c r="EQ717" s="512"/>
      <c r="ER717" s="512"/>
      <c r="ES717" s="512"/>
      <c r="ET717" s="512"/>
      <c r="EU717" s="512"/>
      <c r="EV717" s="512"/>
      <c r="EW717" s="512"/>
      <c r="EX717" s="515"/>
      <c r="EY717" s="512"/>
      <c r="EZ717" s="512"/>
      <c r="FA717" s="512"/>
      <c r="FB717" s="512"/>
      <c r="FC717" s="512"/>
      <c r="FD717" s="512"/>
      <c r="FE717" s="512"/>
      <c r="FF717" s="512"/>
      <c r="FG717" s="512"/>
      <c r="FH717" s="512"/>
      <c r="FI717" s="512"/>
      <c r="FJ717" s="515"/>
      <c r="FK717" s="512"/>
      <c r="FL717" s="512"/>
      <c r="FM717" s="512"/>
      <c r="FN717" s="512"/>
      <c r="FO717" s="512"/>
      <c r="FP717" s="512"/>
      <c r="FQ717" s="512"/>
      <c r="FR717" s="512"/>
      <c r="FS717" s="512"/>
      <c r="FT717" s="512"/>
      <c r="FU717" s="512"/>
      <c r="FV717" s="512"/>
      <c r="FW717" s="512"/>
      <c r="FX717" s="512"/>
      <c r="FY717" s="512"/>
      <c r="FZ717" s="512"/>
      <c r="GA717" s="512"/>
      <c r="GB717" s="512"/>
      <c r="GC717" s="512"/>
      <c r="GD717" s="512"/>
      <c r="GE717" s="512"/>
      <c r="GF717" s="512"/>
      <c r="GG717" s="512"/>
      <c r="GH717" s="512"/>
      <c r="GI717" s="512"/>
      <c r="GJ717" s="512"/>
      <c r="GK717" s="512"/>
      <c r="GL717" s="512"/>
      <c r="GM717" s="512"/>
      <c r="GN717" s="512"/>
      <c r="GO717" s="512"/>
      <c r="GP717" s="512"/>
      <c r="GQ717" s="512"/>
      <c r="GR717" s="512"/>
      <c r="GS717" s="512"/>
      <c r="GT717" s="512"/>
      <c r="GU717" s="512"/>
      <c r="GV717" s="512"/>
      <c r="GW717" s="512"/>
      <c r="GX717" s="512"/>
      <c r="GY717" s="512"/>
      <c r="GZ717" s="512"/>
      <c r="HA717" s="512"/>
      <c r="HB717" s="512"/>
      <c r="HC717" s="512"/>
      <c r="HD717" s="512"/>
      <c r="HE717" s="512"/>
      <c r="HF717" s="512"/>
      <c r="HG717" s="512"/>
      <c r="HH717" s="512"/>
      <c r="HI717" s="512"/>
      <c r="HJ717" s="512"/>
      <c r="HK717" s="512"/>
      <c r="HL717" s="512"/>
      <c r="HM717" s="512"/>
      <c r="HN717" s="512"/>
      <c r="HO717" s="512"/>
      <c r="HP717" s="512"/>
      <c r="HQ717" s="512"/>
      <c r="HR717" s="512"/>
      <c r="HS717" s="512"/>
      <c r="HT717" s="512"/>
      <c r="HU717" s="512"/>
      <c r="HV717" s="512"/>
      <c r="HW717" s="512"/>
      <c r="HX717" s="512"/>
      <c r="HY717" s="512"/>
      <c r="IA717" s="512"/>
      <c r="IB717" s="512"/>
      <c r="IC717" s="512"/>
      <c r="ID717" s="512">
        <f t="shared" ref="ID717:II717" si="747">ID$570</f>
        <v>131.19999999999999</v>
      </c>
      <c r="IE717" s="279">
        <f t="shared" si="747"/>
        <v>11.794361551956248</v>
      </c>
      <c r="IF717" s="279">
        <f t="shared" si="747"/>
        <v>31.004084898589994</v>
      </c>
      <c r="IG717" s="512">
        <f t="shared" si="747"/>
        <v>42.798446450546244</v>
      </c>
      <c r="IH717" s="279">
        <f t="shared" si="747"/>
        <v>19.741290814000003</v>
      </c>
      <c r="II717" s="279">
        <f t="shared" si="747"/>
        <v>24.978469895890932</v>
      </c>
      <c r="IJ717" s="520">
        <f t="shared" ref="IJ717:IV717" si="748">IJ$570</f>
        <v>44.719760709890934</v>
      </c>
      <c r="IK717" s="279">
        <f t="shared" si="748"/>
        <v>23.451217510381241</v>
      </c>
      <c r="IM717" s="520">
        <f t="shared" si="748"/>
        <v>52.937399913521233</v>
      </c>
      <c r="IP717" s="519">
        <f t="shared" si="748"/>
        <v>208.62012483249333</v>
      </c>
      <c r="IS717" s="519">
        <f t="shared" si="748"/>
        <v>100.3844536151</v>
      </c>
      <c r="IT717" s="327"/>
      <c r="IU717" s="327"/>
      <c r="IV717" s="519">
        <f t="shared" si="748"/>
        <v>241.66689755569263</v>
      </c>
      <c r="IW717" s="327"/>
      <c r="IX717" s="327"/>
      <c r="IY717" s="519">
        <f>IY$570</f>
        <v>219.33821574565292</v>
      </c>
      <c r="IZ717" s="327"/>
      <c r="JA717" s="327">
        <f>JA$570</f>
        <v>220.36756887262939</v>
      </c>
      <c r="JB717" s="519" t="e">
        <f>#REF!</f>
        <v>#REF!</v>
      </c>
      <c r="JC717" s="327">
        <f>JE$570</f>
        <v>394.08955605513324</v>
      </c>
      <c r="JD717" s="327">
        <f>JD$570</f>
        <v>212.45498546161653</v>
      </c>
      <c r="JE717" s="519"/>
      <c r="JF717" s="327"/>
      <c r="JG717" s="327"/>
      <c r="JH717" s="519"/>
      <c r="JI717" s="327"/>
      <c r="JJ717" s="327"/>
      <c r="JK717" s="519"/>
      <c r="KY717" s="279">
        <f>KY$570</f>
        <v>0</v>
      </c>
      <c r="KZ717" s="279">
        <f>KZ$570</f>
        <v>0</v>
      </c>
      <c r="LA717" s="279">
        <f>LA$570</f>
        <v>0</v>
      </c>
      <c r="LB717" s="279">
        <f>LB$570</f>
        <v>0</v>
      </c>
    </row>
    <row r="718" spans="1:314" hidden="1">
      <c r="A718" s="279"/>
      <c r="D718" s="510" t="str">
        <f>+FISC!D948</f>
        <v xml:space="preserve">      Of which: PKO revenue</v>
      </c>
      <c r="E718" s="512"/>
      <c r="F718" s="512"/>
      <c r="G718" s="512"/>
      <c r="H718" s="512"/>
      <c r="I718" s="512"/>
      <c r="J718" s="512"/>
      <c r="K718" s="512"/>
      <c r="L718" s="512"/>
      <c r="M718" s="512"/>
      <c r="N718" s="512"/>
      <c r="O718" s="512"/>
      <c r="P718" s="512"/>
      <c r="Q718" s="512"/>
      <c r="R718" s="512"/>
      <c r="S718" s="512"/>
      <c r="T718" s="512"/>
      <c r="U718" s="512"/>
      <c r="V718" s="512"/>
      <c r="W718" s="512"/>
      <c r="X718" s="512"/>
      <c r="Y718" s="512"/>
      <c r="Z718" s="512"/>
      <c r="AA718" s="512"/>
      <c r="AB718" s="512"/>
      <c r="AC718" s="512"/>
      <c r="AD718" s="512"/>
      <c r="AE718" s="512"/>
      <c r="AF718" s="512"/>
      <c r="AG718" s="512"/>
      <c r="AH718" s="512"/>
      <c r="AI718" s="512"/>
      <c r="AJ718" s="512"/>
      <c r="AK718" s="512"/>
      <c r="AL718" s="512"/>
      <c r="AM718" s="512"/>
      <c r="AN718" s="512"/>
      <c r="AO718" s="512"/>
      <c r="AP718" s="512"/>
      <c r="AQ718" s="512"/>
      <c r="AR718" s="512"/>
      <c r="AS718" s="512"/>
      <c r="AT718" s="512"/>
      <c r="AU718" s="512"/>
      <c r="AV718" s="512"/>
      <c r="AW718" s="512"/>
      <c r="AX718" s="512"/>
      <c r="AY718" s="512"/>
      <c r="AZ718" s="512"/>
      <c r="BA718" s="512"/>
      <c r="BB718" s="512"/>
      <c r="BC718" s="512"/>
      <c r="BD718" s="512"/>
      <c r="BE718" s="512"/>
      <c r="BF718" s="512"/>
      <c r="BG718" s="512"/>
      <c r="BH718" s="512"/>
      <c r="BI718" s="512"/>
      <c r="BJ718" s="512"/>
      <c r="BK718" s="512"/>
      <c r="BL718" s="512"/>
      <c r="BM718" s="512"/>
      <c r="BN718" s="512"/>
      <c r="BO718" s="512"/>
      <c r="BP718" s="512"/>
      <c r="BQ718" s="512"/>
      <c r="BR718" s="512"/>
      <c r="BS718" s="512"/>
      <c r="BT718" s="512"/>
      <c r="BU718" s="512"/>
      <c r="BV718" s="512"/>
      <c r="BW718" s="512"/>
      <c r="BX718" s="512"/>
      <c r="BY718" s="512"/>
      <c r="BZ718" s="512"/>
      <c r="CA718" s="512"/>
      <c r="CB718" s="512"/>
      <c r="CC718" s="512"/>
      <c r="CD718" s="514"/>
      <c r="CE718" s="512"/>
      <c r="CF718" s="512"/>
      <c r="CG718" s="512"/>
      <c r="CH718" s="512"/>
      <c r="CI718" s="512"/>
      <c r="CJ718" s="512"/>
      <c r="CK718" s="512"/>
      <c r="CL718" s="512"/>
      <c r="CM718" s="512"/>
      <c r="CN718" s="512"/>
      <c r="CO718" s="512"/>
      <c r="CP718" s="515"/>
      <c r="CQ718" s="512"/>
      <c r="CR718" s="512"/>
      <c r="CS718" s="512"/>
      <c r="CT718" s="512"/>
      <c r="CU718" s="512"/>
      <c r="CV718" s="512"/>
      <c r="CW718" s="512"/>
      <c r="CX718" s="512"/>
      <c r="CY718" s="512"/>
      <c r="CZ718" s="512"/>
      <c r="DA718" s="512"/>
      <c r="DB718" s="1306"/>
      <c r="DC718" s="512"/>
      <c r="DD718" s="512"/>
      <c r="DE718" s="512"/>
      <c r="DF718" s="512"/>
      <c r="DG718" s="512"/>
      <c r="DH718" s="512"/>
      <c r="DI718" s="512"/>
      <c r="DJ718" s="512"/>
      <c r="DK718" s="512"/>
      <c r="DL718" s="512"/>
      <c r="DM718" s="512"/>
      <c r="DN718" s="515"/>
      <c r="DO718" s="512"/>
      <c r="DP718" s="512"/>
      <c r="DQ718" s="512"/>
      <c r="DR718" s="512"/>
      <c r="DS718" s="512"/>
      <c r="DT718" s="512"/>
      <c r="DU718" s="512"/>
      <c r="DV718" s="512"/>
      <c r="DW718" s="512"/>
      <c r="DX718" s="512"/>
      <c r="DY718" s="512"/>
      <c r="DZ718" s="515"/>
      <c r="EA718" s="512"/>
      <c r="EB718" s="512"/>
      <c r="EC718" s="512"/>
      <c r="ED718" s="512"/>
      <c r="EE718" s="512"/>
      <c r="EF718" s="512"/>
      <c r="EG718" s="512"/>
      <c r="EH718" s="512"/>
      <c r="EI718" s="512"/>
      <c r="EJ718" s="512"/>
      <c r="EK718" s="512"/>
      <c r="EL718" s="515"/>
      <c r="EM718" s="512"/>
      <c r="EN718" s="512"/>
      <c r="EO718" s="512"/>
      <c r="EP718" s="512"/>
      <c r="EQ718" s="512"/>
      <c r="ER718" s="512"/>
      <c r="ES718" s="512"/>
      <c r="ET718" s="512"/>
      <c r="EU718" s="512"/>
      <c r="EV718" s="512"/>
      <c r="EW718" s="512"/>
      <c r="EX718" s="515"/>
      <c r="EY718" s="512"/>
      <c r="EZ718" s="512"/>
      <c r="FA718" s="512"/>
      <c r="FB718" s="512"/>
      <c r="FC718" s="512"/>
      <c r="FD718" s="512"/>
      <c r="FE718" s="512"/>
      <c r="FF718" s="512"/>
      <c r="FG718" s="512"/>
      <c r="FH718" s="512"/>
      <c r="FI718" s="512"/>
      <c r="FJ718" s="515"/>
      <c r="FK718" s="512"/>
      <c r="FL718" s="512"/>
      <c r="FM718" s="512"/>
      <c r="FN718" s="512"/>
      <c r="FO718" s="512"/>
      <c r="FP718" s="512"/>
      <c r="FQ718" s="512"/>
      <c r="FR718" s="512"/>
      <c r="FS718" s="512"/>
      <c r="FT718" s="512"/>
      <c r="FU718" s="512"/>
      <c r="FV718" s="512"/>
      <c r="FW718" s="512"/>
      <c r="FX718" s="512"/>
      <c r="FY718" s="512"/>
      <c r="FZ718" s="512"/>
      <c r="GA718" s="512"/>
      <c r="GB718" s="512"/>
      <c r="GC718" s="512"/>
      <c r="GD718" s="512"/>
      <c r="GE718" s="512"/>
      <c r="GF718" s="512"/>
      <c r="GG718" s="512"/>
      <c r="GH718" s="512"/>
      <c r="GI718" s="512"/>
      <c r="GJ718" s="512"/>
      <c r="GK718" s="512"/>
      <c r="GL718" s="512"/>
      <c r="GM718" s="512"/>
      <c r="GN718" s="512"/>
      <c r="GO718" s="512"/>
      <c r="GP718" s="512"/>
      <c r="GQ718" s="512"/>
      <c r="GR718" s="512"/>
      <c r="GS718" s="512"/>
      <c r="GT718" s="512"/>
      <c r="GU718" s="512"/>
      <c r="GV718" s="512"/>
      <c r="GW718" s="512"/>
      <c r="GX718" s="512"/>
      <c r="GY718" s="512"/>
      <c r="GZ718" s="512"/>
      <c r="HA718" s="512"/>
      <c r="HB718" s="512"/>
      <c r="HC718" s="512"/>
      <c r="HD718" s="512"/>
      <c r="HE718" s="512"/>
      <c r="HF718" s="512"/>
      <c r="HG718" s="512"/>
      <c r="HH718" s="512"/>
      <c r="HI718" s="512"/>
      <c r="HJ718" s="512"/>
      <c r="HK718" s="512"/>
      <c r="HL718" s="512"/>
      <c r="HM718" s="512"/>
      <c r="HN718" s="512"/>
      <c r="HO718" s="512"/>
      <c r="HP718" s="512"/>
      <c r="HQ718" s="512"/>
      <c r="HR718" s="512"/>
      <c r="HS718" s="512"/>
      <c r="HT718" s="512"/>
      <c r="HU718" s="512"/>
      <c r="HV718" s="512"/>
      <c r="HW718" s="512"/>
      <c r="HX718" s="512"/>
      <c r="HY718" s="512"/>
      <c r="IA718" s="512"/>
      <c r="IB718" s="512"/>
      <c r="IC718" s="512"/>
      <c r="ID718" s="512"/>
      <c r="IG718" s="512"/>
      <c r="IJ718" s="520"/>
      <c r="IM718" s="520"/>
      <c r="IP718" s="519"/>
      <c r="IS718" s="519"/>
      <c r="IT718" s="327"/>
      <c r="IU718" s="327"/>
      <c r="IV718" s="519"/>
      <c r="IW718" s="327"/>
      <c r="IX718" s="327"/>
      <c r="IY718" s="519"/>
      <c r="IZ718" s="327"/>
      <c r="JA718" s="327"/>
      <c r="JB718" s="519"/>
      <c r="JC718" s="327"/>
      <c r="JD718" s="327"/>
      <c r="JE718" s="519"/>
      <c r="JF718" s="327"/>
      <c r="JG718" s="327"/>
      <c r="JH718" s="519"/>
      <c r="JI718" s="327"/>
      <c r="JJ718" s="327"/>
      <c r="JK718" s="519"/>
    </row>
    <row r="719" spans="1:314" hidden="1">
      <c r="A719" s="279"/>
      <c r="B719" s="96" t="s">
        <v>338</v>
      </c>
      <c r="D719" s="516" t="str">
        <f>D$576</f>
        <v>Total Grants</v>
      </c>
      <c r="E719" s="512">
        <f>E$576</f>
        <v>1.029621313</v>
      </c>
      <c r="F719" s="512">
        <f t="shared" ref="F719:AW719" si="749">F$576</f>
        <v>2.941942955</v>
      </c>
      <c r="G719" s="512">
        <f t="shared" si="749"/>
        <v>20.246580340000001</v>
      </c>
      <c r="H719" s="512">
        <f t="shared" si="749"/>
        <v>3.9784480960000002</v>
      </c>
      <c r="I719" s="512">
        <f t="shared" si="749"/>
        <v>30.615913346000003</v>
      </c>
      <c r="J719" s="512">
        <f t="shared" si="749"/>
        <v>70.885551095000011</v>
      </c>
      <c r="K719" s="512">
        <f t="shared" si="749"/>
        <v>1.117198742</v>
      </c>
      <c r="L719" s="512">
        <f t="shared" si="749"/>
        <v>8.6625460630000006</v>
      </c>
      <c r="M719" s="512">
        <f t="shared" si="749"/>
        <v>21.153440543999999</v>
      </c>
      <c r="N719" s="512">
        <f t="shared" si="749"/>
        <v>10.274025655999999</v>
      </c>
      <c r="O719" s="512">
        <f t="shared" si="749"/>
        <v>2.0354303389999999</v>
      </c>
      <c r="P719" s="512">
        <f t="shared" si="749"/>
        <v>34.352027606</v>
      </c>
      <c r="Q719" s="512">
        <f t="shared" si="749"/>
        <v>7.0713269639999998</v>
      </c>
      <c r="R719" s="512">
        <f t="shared" si="749"/>
        <v>0</v>
      </c>
      <c r="S719" s="512">
        <f t="shared" si="749"/>
        <v>61.582229455999993</v>
      </c>
      <c r="T719" s="512">
        <f t="shared" si="749"/>
        <v>0.24031845799999998</v>
      </c>
      <c r="U719" s="512">
        <f t="shared" si="749"/>
        <v>36.651045891000003</v>
      </c>
      <c r="V719" s="512">
        <f t="shared" si="749"/>
        <v>51.632170015</v>
      </c>
      <c r="W719" s="512">
        <f t="shared" si="749"/>
        <v>1.813009278</v>
      </c>
      <c r="X719" s="512">
        <f t="shared" si="749"/>
        <v>8.8946221609999991</v>
      </c>
      <c r="Y719" s="512">
        <f t="shared" si="749"/>
        <v>31.20712941</v>
      </c>
      <c r="Z719" s="512">
        <f t="shared" si="749"/>
        <v>18.851372507000001</v>
      </c>
      <c r="AA719" s="512">
        <f t="shared" si="749"/>
        <v>2.7449506380000002</v>
      </c>
      <c r="AB719" s="512">
        <f t="shared" si="749"/>
        <v>59.087205908999991</v>
      </c>
      <c r="AC719" s="512">
        <f t="shared" si="749"/>
        <v>0</v>
      </c>
      <c r="AD719" s="512">
        <f t="shared" si="749"/>
        <v>7.5460620000000009</v>
      </c>
      <c r="AE719" s="512">
        <f t="shared" si="749"/>
        <v>31.075787542999997</v>
      </c>
      <c r="AF719" s="512">
        <f t="shared" si="749"/>
        <v>51.132849105999995</v>
      </c>
      <c r="AG719" s="512">
        <f t="shared" si="749"/>
        <v>1.922652555</v>
      </c>
      <c r="AH719" s="512">
        <f t="shared" si="749"/>
        <v>51.792859448000002</v>
      </c>
      <c r="AI719" s="512">
        <f t="shared" si="749"/>
        <v>13.403235237000001</v>
      </c>
      <c r="AJ719" s="512">
        <f t="shared" si="749"/>
        <v>3.5717679769999999</v>
      </c>
      <c r="AK719" s="512">
        <f t="shared" si="749"/>
        <v>76.057301081000006</v>
      </c>
      <c r="AL719" s="512">
        <f t="shared" si="749"/>
        <v>53.195301256</v>
      </c>
      <c r="AM719" s="512">
        <f t="shared" si="749"/>
        <v>7.5764551739999995</v>
      </c>
      <c r="AN719" s="512">
        <f t="shared" si="749"/>
        <v>50.122866396999989</v>
      </c>
      <c r="AO719" s="512">
        <f t="shared" si="749"/>
        <v>21.649201587</v>
      </c>
      <c r="AP719" s="512">
        <f t="shared" si="749"/>
        <v>0</v>
      </c>
      <c r="AQ719" s="512">
        <f t="shared" si="749"/>
        <v>35.321344279999998</v>
      </c>
      <c r="AR719" s="512">
        <f t="shared" si="749"/>
        <v>12.581843562</v>
      </c>
      <c r="AS719" s="512">
        <f t="shared" si="749"/>
        <v>9.056692696999999</v>
      </c>
      <c r="AT719" s="512">
        <f t="shared" si="749"/>
        <v>124.565289525</v>
      </c>
      <c r="AU719" s="512">
        <f t="shared" si="749"/>
        <v>6.1597314819999998</v>
      </c>
      <c r="AV719" s="512">
        <f t="shared" si="749"/>
        <v>4.7773699999999995</v>
      </c>
      <c r="AW719" s="512">
        <f t="shared" si="749"/>
        <v>92.922261999999989</v>
      </c>
      <c r="AX719" s="512">
        <f t="shared" ref="AX719:BP719" si="750">AX$576</f>
        <v>26.394771204000001</v>
      </c>
      <c r="AY719" s="512">
        <f t="shared" si="750"/>
        <v>6.9810858910000002</v>
      </c>
      <c r="AZ719" s="512">
        <f t="shared" si="750"/>
        <v>104.142312999</v>
      </c>
      <c r="BA719" s="512">
        <f t="shared" si="750"/>
        <v>0.531323502</v>
      </c>
      <c r="BB719" s="512">
        <f t="shared" si="750"/>
        <v>5.2342624570000007</v>
      </c>
      <c r="BC719" s="512">
        <f t="shared" si="750"/>
        <v>26.460102192000001</v>
      </c>
      <c r="BD719" s="512">
        <f t="shared" si="750"/>
        <v>67.936107326759995</v>
      </c>
      <c r="BE719" s="512">
        <f t="shared" si="750"/>
        <v>1.03516734123</v>
      </c>
      <c r="BF719" s="512">
        <f t="shared" si="750"/>
        <v>37.818550885999997</v>
      </c>
      <c r="BG719" s="512">
        <f t="shared" si="750"/>
        <v>41.011713339000003</v>
      </c>
      <c r="BH719" s="512">
        <f t="shared" si="750"/>
        <v>37.631219074000001</v>
      </c>
      <c r="BI719" s="512">
        <f t="shared" si="750"/>
        <v>58.204305503</v>
      </c>
      <c r="BJ719" s="512">
        <f t="shared" si="750"/>
        <v>76.582871436000005</v>
      </c>
      <c r="BK719" s="512">
        <f t="shared" si="750"/>
        <v>4.6969805640000004</v>
      </c>
      <c r="BL719" s="512">
        <f t="shared" si="750"/>
        <v>100.61895018300001</v>
      </c>
      <c r="BM719" s="512">
        <f t="shared" si="750"/>
        <v>2.2913186510000001</v>
      </c>
      <c r="BN719" s="512">
        <f t="shared" si="750"/>
        <v>4.1133515819999991</v>
      </c>
      <c r="BO719" s="512">
        <f t="shared" si="750"/>
        <v>39.880174020999995</v>
      </c>
      <c r="BP719" s="512">
        <f t="shared" si="750"/>
        <v>0.244489505</v>
      </c>
      <c r="BQ719" s="512">
        <f t="shared" ref="BQ719:DT719" si="751">BQ$576</f>
        <v>0.210040425</v>
      </c>
      <c r="BR719" s="512">
        <f t="shared" si="751"/>
        <v>99.473223590625764</v>
      </c>
      <c r="BS719" s="512">
        <f t="shared" si="751"/>
        <v>41.339599451901627</v>
      </c>
      <c r="BT719" s="512">
        <f t="shared" si="751"/>
        <v>14.863909459931111</v>
      </c>
      <c r="BU719" s="512">
        <f t="shared" si="751"/>
        <v>22.945002676272118</v>
      </c>
      <c r="BV719" s="512">
        <f t="shared" si="751"/>
        <v>48.35237651825814</v>
      </c>
      <c r="BW719" s="512">
        <f t="shared" si="751"/>
        <v>41.538890177774903</v>
      </c>
      <c r="BX719" s="512">
        <f t="shared" si="751"/>
        <v>32.074274932185176</v>
      </c>
      <c r="BY719" s="512">
        <f t="shared" si="751"/>
        <v>5.3243199074185432E-4</v>
      </c>
      <c r="BZ719" s="512">
        <f t="shared" si="751"/>
        <v>4.0420954691215796</v>
      </c>
      <c r="CA719" s="512">
        <f t="shared" si="751"/>
        <v>21.91745053152469</v>
      </c>
      <c r="CB719" s="512">
        <f t="shared" si="751"/>
        <v>37.905873518997652</v>
      </c>
      <c r="CC719" s="512">
        <f t="shared" si="751"/>
        <v>50.3250031442698</v>
      </c>
      <c r="CD719" s="514">
        <f t="shared" si="751"/>
        <v>43.125115180714218</v>
      </c>
      <c r="CE719" s="512">
        <f t="shared" si="751"/>
        <v>31.718805555905767</v>
      </c>
      <c r="CF719" s="512">
        <f t="shared" si="751"/>
        <v>38.907002073399845</v>
      </c>
      <c r="CG719" s="512">
        <f t="shared" si="751"/>
        <v>76.363794870817969</v>
      </c>
      <c r="CH719" s="512">
        <f t="shared" si="751"/>
        <v>48.656347242813837</v>
      </c>
      <c r="CI719" s="512">
        <f t="shared" si="751"/>
        <v>36.239050340761018</v>
      </c>
      <c r="CJ719" s="512">
        <f t="shared" si="751"/>
        <v>63.172935479123936</v>
      </c>
      <c r="CK719" s="512">
        <f t="shared" si="751"/>
        <v>22.819864211262146</v>
      </c>
      <c r="CL719" s="512">
        <f t="shared" si="751"/>
        <v>15.431886799263191</v>
      </c>
      <c r="CM719" s="512">
        <f t="shared" si="751"/>
        <v>15.611922068671143</v>
      </c>
      <c r="CN719" s="512">
        <f t="shared" si="751"/>
        <v>60.505557469079797</v>
      </c>
      <c r="CO719" s="512">
        <f t="shared" si="751"/>
        <v>36.84796507284814</v>
      </c>
      <c r="CP719" s="515">
        <f t="shared" si="751"/>
        <v>31.555422106827571</v>
      </c>
      <c r="CQ719" s="512">
        <f t="shared" si="751"/>
        <v>34.914057703902671</v>
      </c>
      <c r="CR719" s="512">
        <f t="shared" si="751"/>
        <v>20.696341467913697</v>
      </c>
      <c r="CS719" s="512">
        <f t="shared" si="751"/>
        <v>50.498733040327558</v>
      </c>
      <c r="CT719" s="512">
        <f t="shared" si="751"/>
        <v>27.888194363462738</v>
      </c>
      <c r="CU719" s="512">
        <f t="shared" si="751"/>
        <v>40.614184835607574</v>
      </c>
      <c r="CV719" s="512">
        <f t="shared" si="751"/>
        <v>120.60058731836028</v>
      </c>
      <c r="CW719" s="512">
        <f t="shared" si="751"/>
        <v>19.573028877812749</v>
      </c>
      <c r="CX719" s="512">
        <f t="shared" si="751"/>
        <v>20.800473939341533</v>
      </c>
      <c r="CY719" s="512">
        <f t="shared" si="751"/>
        <v>53.489128867156744</v>
      </c>
      <c r="CZ719" s="512">
        <f t="shared" si="751"/>
        <v>28.822379986447629</v>
      </c>
      <c r="DA719" s="512">
        <f t="shared" si="751"/>
        <v>68.03735852736709</v>
      </c>
      <c r="DB719" s="1306">
        <f t="shared" si="751"/>
        <v>21.766297427932727</v>
      </c>
      <c r="DC719" s="512">
        <f t="shared" si="751"/>
        <v>32.400209890961769</v>
      </c>
      <c r="DD719" s="512">
        <f t="shared" si="751"/>
        <v>25.238508493483067</v>
      </c>
      <c r="DE719" s="512">
        <f t="shared" si="751"/>
        <v>52.292392717658359</v>
      </c>
      <c r="DF719" s="512">
        <f t="shared" si="751"/>
        <v>10.908321785869528</v>
      </c>
      <c r="DG719" s="512">
        <f t="shared" si="751"/>
        <v>69.104080388845532</v>
      </c>
      <c r="DH719" s="512">
        <f t="shared" si="751"/>
        <v>52.460886120821954</v>
      </c>
      <c r="DI719" s="512">
        <f t="shared" si="751"/>
        <v>10.545488346356837</v>
      </c>
      <c r="DJ719" s="512">
        <f t="shared" si="751"/>
        <v>14.609555888491089</v>
      </c>
      <c r="DK719" s="512">
        <f t="shared" si="751"/>
        <v>15.649855658527972</v>
      </c>
      <c r="DL719" s="512">
        <f t="shared" si="751"/>
        <v>95.00901000936868</v>
      </c>
      <c r="DM719" s="512">
        <f t="shared" si="751"/>
        <v>19.764570606907409</v>
      </c>
      <c r="DN719" s="515">
        <f t="shared" si="751"/>
        <v>49.888534523890989</v>
      </c>
      <c r="DO719" s="512">
        <f t="shared" si="751"/>
        <v>31.015504144282669</v>
      </c>
      <c r="DP719" s="512">
        <f t="shared" si="751"/>
        <v>8.2161518030501934</v>
      </c>
      <c r="DQ719" s="512">
        <f t="shared" si="751"/>
        <v>20.595621723063456</v>
      </c>
      <c r="DR719" s="512">
        <f t="shared" si="751"/>
        <v>3.6290927906166637</v>
      </c>
      <c r="DS719" s="512">
        <f t="shared" si="751"/>
        <v>25.645707059336935</v>
      </c>
      <c r="DT719" s="512">
        <f t="shared" si="751"/>
        <v>60.796062320206318</v>
      </c>
      <c r="DU719" s="512"/>
      <c r="DV719" s="512"/>
      <c r="DW719" s="512"/>
      <c r="DX719" s="512"/>
      <c r="DY719" s="512"/>
      <c r="DZ719" s="515"/>
      <c r="EA719" s="512"/>
      <c r="EB719" s="512"/>
      <c r="EC719" s="512"/>
      <c r="ED719" s="512"/>
      <c r="EE719" s="512"/>
      <c r="EF719" s="512"/>
      <c r="EG719" s="512"/>
      <c r="EH719" s="512"/>
      <c r="EI719" s="512"/>
      <c r="EJ719" s="512"/>
      <c r="EK719" s="512"/>
      <c r="EL719" s="515"/>
      <c r="EM719" s="512"/>
      <c r="EN719" s="512"/>
      <c r="EO719" s="512"/>
      <c r="EP719" s="512"/>
      <c r="EQ719" s="512"/>
      <c r="ER719" s="512"/>
      <c r="ES719" s="512"/>
      <c r="ET719" s="512"/>
      <c r="EU719" s="512"/>
      <c r="EV719" s="512"/>
      <c r="EW719" s="512"/>
      <c r="EX719" s="515"/>
      <c r="EY719" s="512"/>
      <c r="EZ719" s="512"/>
      <c r="FA719" s="512"/>
      <c r="FB719" s="512"/>
      <c r="FC719" s="512"/>
      <c r="FD719" s="512"/>
      <c r="FE719" s="512"/>
      <c r="FF719" s="512"/>
      <c r="FG719" s="512"/>
      <c r="FH719" s="512"/>
      <c r="FI719" s="512"/>
      <c r="FJ719" s="515"/>
      <c r="FK719" s="512"/>
      <c r="FL719" s="512"/>
      <c r="FM719" s="512"/>
      <c r="FN719" s="512"/>
      <c r="FO719" s="512"/>
      <c r="FP719" s="512"/>
      <c r="FQ719" s="512"/>
      <c r="FR719" s="512"/>
      <c r="FS719" s="512"/>
      <c r="FT719" s="512"/>
      <c r="FU719" s="512"/>
      <c r="FV719" s="512"/>
      <c r="FW719" s="512"/>
      <c r="FX719" s="512"/>
      <c r="FY719" s="512"/>
      <c r="FZ719" s="512"/>
      <c r="GA719" s="512"/>
      <c r="GB719" s="512"/>
      <c r="GC719" s="512"/>
      <c r="GD719" s="512"/>
      <c r="GE719" s="512"/>
      <c r="GF719" s="512"/>
      <c r="GG719" s="512"/>
      <c r="GH719" s="512"/>
      <c r="GI719" s="512"/>
      <c r="GJ719" s="512"/>
      <c r="GK719" s="512"/>
      <c r="GL719" s="512"/>
      <c r="GM719" s="512"/>
      <c r="GN719" s="512"/>
      <c r="GO719" s="512"/>
      <c r="GP719" s="512"/>
      <c r="GQ719" s="512"/>
      <c r="GR719" s="512"/>
      <c r="GS719" s="512"/>
      <c r="GT719" s="512"/>
      <c r="GU719" s="512"/>
      <c r="GV719" s="512"/>
      <c r="GW719" s="512"/>
      <c r="GX719" s="512"/>
      <c r="GY719" s="512"/>
      <c r="GZ719" s="512"/>
      <c r="HA719" s="512"/>
      <c r="HB719" s="512"/>
      <c r="HC719" s="512"/>
      <c r="HD719" s="512"/>
      <c r="HE719" s="512"/>
      <c r="HF719" s="512"/>
      <c r="HG719" s="512"/>
      <c r="HH719" s="512"/>
      <c r="HI719" s="512"/>
      <c r="HJ719" s="512"/>
      <c r="HK719" s="512"/>
      <c r="HL719" s="512"/>
      <c r="HM719" s="512"/>
      <c r="HN719" s="512"/>
      <c r="HO719" s="512"/>
      <c r="HP719" s="512"/>
      <c r="HQ719" s="512"/>
      <c r="HR719" s="512"/>
      <c r="HS719" s="512"/>
      <c r="HT719" s="512"/>
      <c r="HU719" s="512"/>
      <c r="HV719" s="512"/>
      <c r="HW719" s="512"/>
      <c r="HX719" s="512"/>
      <c r="HY719" s="512"/>
      <c r="IA719" s="512"/>
      <c r="IB719" s="512"/>
      <c r="IC719" s="512"/>
      <c r="ID719" s="512">
        <f t="shared" ref="ID719:II719" si="752">ID$576</f>
        <v>415.91369751440271</v>
      </c>
      <c r="IE719" s="279">
        <f t="shared" si="752"/>
        <v>295.21209872957456</v>
      </c>
      <c r="IF719" s="279">
        <f t="shared" si="752"/>
        <v>212.48866762605849</v>
      </c>
      <c r="IG719" s="512">
        <f t="shared" si="752"/>
        <v>507.70076635563299</v>
      </c>
      <c r="IH719" s="279">
        <f t="shared" si="752"/>
        <v>242.40439939764025</v>
      </c>
      <c r="II719" s="279">
        <f t="shared" si="752"/>
        <v>205.46701503354299</v>
      </c>
      <c r="IJ719" s="520">
        <f t="shared" ref="IJ719:IV719" si="753">IJ$576</f>
        <v>447.87141443118321</v>
      </c>
      <c r="IK719" s="279">
        <f t="shared" si="753"/>
        <v>149.89813984055624</v>
      </c>
      <c r="IM719" s="520">
        <f t="shared" si="753"/>
        <v>298.15649411338518</v>
      </c>
      <c r="IP719" s="519">
        <f t="shared" si="753"/>
        <v>358.90867686871047</v>
      </c>
      <c r="IS719" s="519">
        <f t="shared" si="753"/>
        <v>481.17930699636122</v>
      </c>
      <c r="IT719" s="327"/>
      <c r="IU719" s="327"/>
      <c r="IV719" s="519">
        <f t="shared" si="753"/>
        <v>432.08227787815542</v>
      </c>
      <c r="IW719" s="327"/>
      <c r="IX719" s="327"/>
      <c r="IY719" s="519">
        <f>IY$576</f>
        <v>492.32368499074391</v>
      </c>
      <c r="IZ719" s="327"/>
      <c r="JA719" s="327">
        <f>JA$576</f>
        <v>496.18969731323097</v>
      </c>
      <c r="JB719" s="519" t="e">
        <f>#REF!</f>
        <v>#REF!</v>
      </c>
      <c r="JC719" s="327">
        <f>JE$576</f>
        <v>711.29415295954027</v>
      </c>
      <c r="JD719" s="327">
        <f>JD$576</f>
        <v>436.40675363032256</v>
      </c>
      <c r="JE719" s="519"/>
      <c r="JF719" s="327"/>
      <c r="JG719" s="327"/>
      <c r="JH719" s="519"/>
      <c r="JI719" s="327"/>
      <c r="JJ719" s="327"/>
      <c r="JK719" s="519"/>
      <c r="KY719" s="279">
        <f>KY$576</f>
        <v>0</v>
      </c>
      <c r="KZ719" s="279">
        <f>KZ$576</f>
        <v>0</v>
      </c>
      <c r="LA719" s="279">
        <f>LA$576</f>
        <v>0</v>
      </c>
      <c r="LB719" s="279">
        <f>LB$576</f>
        <v>0</v>
      </c>
    </row>
    <row r="720" spans="1:314" hidden="1">
      <c r="A720" s="279"/>
      <c r="B720" s="96" t="s">
        <v>338</v>
      </c>
      <c r="D720" s="510" t="str">
        <f>D$577</f>
        <v>Budgetary grants</v>
      </c>
      <c r="E720" s="512">
        <f>E$577</f>
        <v>1.029621313</v>
      </c>
      <c r="F720" s="512">
        <f t="shared" ref="F720:AW720" si="754">F$577</f>
        <v>2.941942955</v>
      </c>
      <c r="G720" s="512">
        <f t="shared" si="754"/>
        <v>1.1505803399999999</v>
      </c>
      <c r="H720" s="512">
        <f t="shared" si="754"/>
        <v>3.9784480960000002</v>
      </c>
      <c r="I720" s="512">
        <f t="shared" si="754"/>
        <v>30.615913346000003</v>
      </c>
      <c r="J720" s="512">
        <f t="shared" si="754"/>
        <v>51.965551095000002</v>
      </c>
      <c r="K720" s="512">
        <f t="shared" si="754"/>
        <v>1.117198742</v>
      </c>
      <c r="L720" s="512">
        <f t="shared" si="754"/>
        <v>8.6625460630000006</v>
      </c>
      <c r="M720" s="512">
        <f t="shared" si="754"/>
        <v>0.825440544</v>
      </c>
      <c r="N720" s="512">
        <f t="shared" si="754"/>
        <v>10.274025655999999</v>
      </c>
      <c r="O720" s="512">
        <f t="shared" si="754"/>
        <v>2.0354303389999999</v>
      </c>
      <c r="P720" s="512">
        <f t="shared" si="754"/>
        <v>18.696027606000001</v>
      </c>
      <c r="Q720" s="512">
        <f t="shared" si="754"/>
        <v>7.0713269639999998</v>
      </c>
      <c r="R720" s="512">
        <f t="shared" si="754"/>
        <v>0</v>
      </c>
      <c r="S720" s="512">
        <f t="shared" si="754"/>
        <v>47.972159455999993</v>
      </c>
      <c r="T720" s="512">
        <f t="shared" si="754"/>
        <v>0.24031845799999998</v>
      </c>
      <c r="U720" s="512">
        <f t="shared" si="754"/>
        <v>36.651045891000003</v>
      </c>
      <c r="V720" s="512">
        <f t="shared" si="754"/>
        <v>30.353750014999999</v>
      </c>
      <c r="W720" s="512">
        <f t="shared" si="754"/>
        <v>1.813009278</v>
      </c>
      <c r="X720" s="512">
        <f t="shared" si="754"/>
        <v>8.8946221609999991</v>
      </c>
      <c r="Y720" s="512">
        <f t="shared" si="754"/>
        <v>10.554829409999998</v>
      </c>
      <c r="Z720" s="512">
        <f t="shared" si="754"/>
        <v>18.851372507000001</v>
      </c>
      <c r="AA720" s="512">
        <f t="shared" si="754"/>
        <v>2.7449506380000002</v>
      </c>
      <c r="AB720" s="512">
        <f t="shared" si="754"/>
        <v>20.533005909</v>
      </c>
      <c r="AC720" s="512">
        <f t="shared" si="754"/>
        <v>0</v>
      </c>
      <c r="AD720" s="512">
        <f t="shared" si="754"/>
        <v>7.5460620000000009</v>
      </c>
      <c r="AE720" s="512">
        <f t="shared" si="754"/>
        <v>3.8527875429999998</v>
      </c>
      <c r="AF720" s="512">
        <f t="shared" si="754"/>
        <v>51.132849105999995</v>
      </c>
      <c r="AG720" s="512">
        <f t="shared" si="754"/>
        <v>1.922652555</v>
      </c>
      <c r="AH720" s="512">
        <f t="shared" si="754"/>
        <v>37.021962551999998</v>
      </c>
      <c r="AI720" s="512">
        <f t="shared" si="754"/>
        <v>13.403235237000001</v>
      </c>
      <c r="AJ720" s="512">
        <f t="shared" si="754"/>
        <v>3.5717679769999999</v>
      </c>
      <c r="AK720" s="512">
        <f t="shared" si="754"/>
        <v>44.113459689999999</v>
      </c>
      <c r="AL720" s="512">
        <f t="shared" si="754"/>
        <v>53.195301256</v>
      </c>
      <c r="AM720" s="512">
        <f t="shared" si="754"/>
        <v>7.5764551739999995</v>
      </c>
      <c r="AN720" s="512">
        <f t="shared" si="754"/>
        <v>10.268108200999999</v>
      </c>
      <c r="AO720" s="512">
        <f t="shared" si="754"/>
        <v>21.649201587</v>
      </c>
      <c r="AP720" s="512">
        <f t="shared" si="754"/>
        <v>0</v>
      </c>
      <c r="AQ720" s="512">
        <f t="shared" si="754"/>
        <v>8.0213442799999992</v>
      </c>
      <c r="AR720" s="512">
        <f t="shared" si="754"/>
        <v>12.581843562</v>
      </c>
      <c r="AS720" s="512">
        <f t="shared" si="754"/>
        <v>9.056692696999999</v>
      </c>
      <c r="AT720" s="512">
        <f t="shared" si="754"/>
        <v>97.265289525</v>
      </c>
      <c r="AU720" s="512">
        <f t="shared" si="754"/>
        <v>6.1597314819999998</v>
      </c>
      <c r="AV720" s="512">
        <f t="shared" si="754"/>
        <v>4.7773699999999995</v>
      </c>
      <c r="AW720" s="512">
        <f t="shared" si="754"/>
        <v>58.822261999999988</v>
      </c>
      <c r="AX720" s="512">
        <f t="shared" ref="AX720:BP720" si="755">AX$577</f>
        <v>26.394771204000001</v>
      </c>
      <c r="AY720" s="512">
        <f t="shared" si="755"/>
        <v>6.9810858910000002</v>
      </c>
      <c r="AZ720" s="512">
        <f t="shared" si="755"/>
        <v>24.142312999000001</v>
      </c>
      <c r="BA720" s="512">
        <f t="shared" si="755"/>
        <v>0.531323502</v>
      </c>
      <c r="BB720" s="512">
        <f t="shared" si="755"/>
        <v>5.2342624570000007</v>
      </c>
      <c r="BC720" s="512">
        <f t="shared" si="755"/>
        <v>1.0111021920000001</v>
      </c>
      <c r="BD720" s="512">
        <f t="shared" si="755"/>
        <v>67.936107326759995</v>
      </c>
      <c r="BE720" s="512">
        <f t="shared" si="755"/>
        <v>1.03516734123</v>
      </c>
      <c r="BF720" s="512">
        <f t="shared" si="755"/>
        <v>13.367550886</v>
      </c>
      <c r="BG720" s="512">
        <f t="shared" si="755"/>
        <v>41.011713339000003</v>
      </c>
      <c r="BH720" s="512">
        <f t="shared" si="755"/>
        <v>37.631219074000001</v>
      </c>
      <c r="BI720" s="512">
        <f t="shared" si="755"/>
        <v>29.764305502999996</v>
      </c>
      <c r="BJ720" s="512">
        <f t="shared" si="755"/>
        <v>25.662271436000001</v>
      </c>
      <c r="BK720" s="512">
        <f t="shared" si="755"/>
        <v>4.6969805640000004</v>
      </c>
      <c r="BL720" s="512">
        <f t="shared" si="755"/>
        <v>72.178950183000012</v>
      </c>
      <c r="BM720" s="512">
        <f t="shared" si="755"/>
        <v>2.2913186510000001</v>
      </c>
      <c r="BN720" s="512">
        <f t="shared" si="755"/>
        <v>4.1133515819999991</v>
      </c>
      <c r="BO720" s="512">
        <f t="shared" si="755"/>
        <v>11.480174020999998</v>
      </c>
      <c r="BP720" s="512">
        <f t="shared" si="755"/>
        <v>0.244489505</v>
      </c>
      <c r="BQ720" s="512">
        <f t="shared" ref="BQ720:DT720" si="756">BQ$577</f>
        <v>0.210040425</v>
      </c>
      <c r="BR720" s="512">
        <f t="shared" si="756"/>
        <v>36.401174263000001</v>
      </c>
      <c r="BS720" s="512">
        <f t="shared" si="756"/>
        <v>29.136299999999999</v>
      </c>
      <c r="BT720" s="512">
        <f t="shared" si="756"/>
        <v>5.0500000000000003E-2</v>
      </c>
      <c r="BU720" s="512">
        <f t="shared" si="756"/>
        <v>16.354800000000001</v>
      </c>
      <c r="BV720" s="512">
        <f t="shared" si="756"/>
        <v>40.385982536352834</v>
      </c>
      <c r="BW720" s="512">
        <f t="shared" si="756"/>
        <v>0</v>
      </c>
      <c r="BX720" s="512">
        <f t="shared" si="756"/>
        <v>3.0729541479283036</v>
      </c>
      <c r="BY720" s="512">
        <f t="shared" si="756"/>
        <v>5.260235500000876E-4</v>
      </c>
      <c r="BZ720" s="512">
        <f t="shared" si="756"/>
        <v>9.1826426500000002E-2</v>
      </c>
      <c r="CA720" s="512">
        <f t="shared" si="756"/>
        <v>12.982690138090351</v>
      </c>
      <c r="CB720" s="512">
        <f t="shared" si="756"/>
        <v>31.033814600552404</v>
      </c>
      <c r="CC720" s="512">
        <f t="shared" si="756"/>
        <v>17.757997552074478</v>
      </c>
      <c r="CD720" s="514">
        <f t="shared" si="756"/>
        <v>32.66273206789338</v>
      </c>
      <c r="CE720" s="512">
        <f t="shared" si="756"/>
        <v>11.074034852134075</v>
      </c>
      <c r="CF720" s="512">
        <f t="shared" si="756"/>
        <v>32.700150377666034</v>
      </c>
      <c r="CG720" s="512">
        <f t="shared" si="756"/>
        <v>42.709039008523469</v>
      </c>
      <c r="CH720" s="512">
        <f t="shared" si="756"/>
        <v>8.4914818258642306</v>
      </c>
      <c r="CI720" s="512">
        <f t="shared" si="756"/>
        <v>2.9367541546255658</v>
      </c>
      <c r="CJ720" s="512">
        <f t="shared" si="756"/>
        <v>39.867508568122986</v>
      </c>
      <c r="CK720" s="512">
        <f t="shared" si="756"/>
        <v>0.4505358125808413</v>
      </c>
      <c r="CL720" s="512">
        <f t="shared" si="756"/>
        <v>6.1572929790496084E-2</v>
      </c>
      <c r="CM720" s="512">
        <f t="shared" si="756"/>
        <v>0.3515643368251512</v>
      </c>
      <c r="CN720" s="512">
        <f t="shared" si="756"/>
        <v>5.4239322156195868</v>
      </c>
      <c r="CO720" s="512">
        <f t="shared" si="756"/>
        <v>20.746242148937966</v>
      </c>
      <c r="CP720" s="515">
        <f t="shared" si="756"/>
        <v>9.7559618135149808</v>
      </c>
      <c r="CQ720" s="512">
        <f t="shared" si="756"/>
        <v>18.040550981106584</v>
      </c>
      <c r="CR720" s="512">
        <f t="shared" si="756"/>
        <v>0.12200895096768052</v>
      </c>
      <c r="CS720" s="512">
        <f t="shared" si="756"/>
        <v>36.821572280069667</v>
      </c>
      <c r="CT720" s="512">
        <f t="shared" si="756"/>
        <v>4.922131509592969</v>
      </c>
      <c r="CU720" s="512">
        <f t="shared" si="756"/>
        <v>14.821926476595234</v>
      </c>
      <c r="CV720" s="512">
        <f t="shared" si="756"/>
        <v>95.005863574203687</v>
      </c>
      <c r="CW720" s="512">
        <f t="shared" si="756"/>
        <v>0.73772674950062389</v>
      </c>
      <c r="CX720" s="512">
        <f t="shared" si="756"/>
        <v>0.10705233474635278</v>
      </c>
      <c r="CY720" s="512">
        <f t="shared" si="756"/>
        <v>35.240026321382061</v>
      </c>
      <c r="CZ720" s="512">
        <f t="shared" si="756"/>
        <v>16.274886881398039</v>
      </c>
      <c r="DA720" s="512">
        <f t="shared" si="756"/>
        <v>43.400342935445799</v>
      </c>
      <c r="DB720" s="1306">
        <f t="shared" si="756"/>
        <v>1.1729798462216148</v>
      </c>
      <c r="DC720" s="512">
        <f t="shared" si="756"/>
        <v>18.9425515928632</v>
      </c>
      <c r="DD720" s="512">
        <f t="shared" si="756"/>
        <v>6.2084663164</v>
      </c>
      <c r="DE720" s="512">
        <f t="shared" si="756"/>
        <v>36.410093192840002</v>
      </c>
      <c r="DF720" s="512">
        <f t="shared" si="756"/>
        <v>0.54977357599999999</v>
      </c>
      <c r="DG720" s="512">
        <f t="shared" si="756"/>
        <v>60.008113386810507</v>
      </c>
      <c r="DH720" s="512">
        <f t="shared" si="756"/>
        <v>23.54540133272652</v>
      </c>
      <c r="DI720" s="512">
        <f t="shared" si="756"/>
        <v>0.90769008284927133</v>
      </c>
      <c r="DJ720" s="512">
        <f t="shared" si="756"/>
        <v>3.1040640610681085</v>
      </c>
      <c r="DK720" s="512">
        <f t="shared" si="756"/>
        <v>0.69314574945851271</v>
      </c>
      <c r="DL720" s="512">
        <f t="shared" si="756"/>
        <v>84.090533561255782</v>
      </c>
      <c r="DM720" s="512">
        <f t="shared" si="756"/>
        <v>0.47753502487499827</v>
      </c>
      <c r="DN720" s="515">
        <f t="shared" si="756"/>
        <v>43.994046554036288</v>
      </c>
      <c r="DO720" s="512">
        <f t="shared" si="756"/>
        <v>26.446531884233437</v>
      </c>
      <c r="DP720" s="512">
        <f t="shared" si="756"/>
        <v>6.2185023440912799</v>
      </c>
      <c r="DQ720" s="512">
        <f t="shared" si="756"/>
        <v>0.73779236735305298</v>
      </c>
      <c r="DR720" s="512">
        <f t="shared" si="756"/>
        <v>0.6036083373272414</v>
      </c>
      <c r="DS720" s="512">
        <f t="shared" si="756"/>
        <v>25.645707059336935</v>
      </c>
      <c r="DT720" s="512">
        <f t="shared" si="756"/>
        <v>60.796062320206318</v>
      </c>
      <c r="DU720" s="512"/>
      <c r="DV720" s="512"/>
      <c r="DW720" s="512"/>
      <c r="DX720" s="512"/>
      <c r="DY720" s="512"/>
      <c r="DZ720" s="515"/>
      <c r="EA720" s="512"/>
      <c r="EB720" s="512"/>
      <c r="EC720" s="512"/>
      <c r="ED720" s="512"/>
      <c r="EE720" s="512"/>
      <c r="EF720" s="512"/>
      <c r="EG720" s="512"/>
      <c r="EH720" s="512"/>
      <c r="EI720" s="512"/>
      <c r="EJ720" s="512"/>
      <c r="EK720" s="512"/>
      <c r="EL720" s="515"/>
      <c r="EM720" s="512"/>
      <c r="EN720" s="512"/>
      <c r="EO720" s="512"/>
      <c r="EP720" s="512"/>
      <c r="EQ720" s="512"/>
      <c r="ER720" s="512"/>
      <c r="ES720" s="512"/>
      <c r="ET720" s="512"/>
      <c r="EU720" s="512"/>
      <c r="EV720" s="512"/>
      <c r="EW720" s="512"/>
      <c r="EX720" s="515"/>
      <c r="EY720" s="512"/>
      <c r="EZ720" s="512"/>
      <c r="FA720" s="512"/>
      <c r="FB720" s="512"/>
      <c r="FC720" s="512"/>
      <c r="FD720" s="512"/>
      <c r="FE720" s="512"/>
      <c r="FF720" s="512"/>
      <c r="FG720" s="512"/>
      <c r="FH720" s="512"/>
      <c r="FI720" s="512"/>
      <c r="FJ720" s="515"/>
      <c r="FK720" s="512"/>
      <c r="FL720" s="512"/>
      <c r="FM720" s="512"/>
      <c r="FN720" s="512"/>
      <c r="FO720" s="512"/>
      <c r="FP720" s="512"/>
      <c r="FQ720" s="512"/>
      <c r="FR720" s="512"/>
      <c r="FS720" s="512"/>
      <c r="FT720" s="512"/>
      <c r="FU720" s="512"/>
      <c r="FV720" s="512"/>
      <c r="FW720" s="512"/>
      <c r="FX720" s="512"/>
      <c r="FY720" s="512"/>
      <c r="FZ720" s="512"/>
      <c r="GA720" s="512"/>
      <c r="GB720" s="512"/>
      <c r="GC720" s="512"/>
      <c r="GD720" s="512"/>
      <c r="GE720" s="512"/>
      <c r="GF720" s="512"/>
      <c r="GG720" s="512"/>
      <c r="GH720" s="512"/>
      <c r="GI720" s="512"/>
      <c r="GJ720" s="512"/>
      <c r="GK720" s="512"/>
      <c r="GL720" s="512"/>
      <c r="GM720" s="512"/>
      <c r="GN720" s="512"/>
      <c r="GO720" s="512"/>
      <c r="GP720" s="512"/>
      <c r="GQ720" s="512"/>
      <c r="GR720" s="512"/>
      <c r="GS720" s="512"/>
      <c r="GT720" s="512"/>
      <c r="GU720" s="512"/>
      <c r="GV720" s="512"/>
      <c r="GW720" s="512"/>
      <c r="GX720" s="512"/>
      <c r="GY720" s="512"/>
      <c r="GZ720" s="512"/>
      <c r="HA720" s="512"/>
      <c r="HB720" s="512"/>
      <c r="HC720" s="512"/>
      <c r="HD720" s="512"/>
      <c r="HE720" s="512"/>
      <c r="HF720" s="512"/>
      <c r="HG720" s="512"/>
      <c r="HH720" s="512"/>
      <c r="HI720" s="512"/>
      <c r="HJ720" s="512"/>
      <c r="HK720" s="512"/>
      <c r="HL720" s="512"/>
      <c r="HM720" s="512"/>
      <c r="HN720" s="512"/>
      <c r="HO720" s="512"/>
      <c r="HP720" s="512"/>
      <c r="HQ720" s="512"/>
      <c r="HR720" s="512"/>
      <c r="HS720" s="512"/>
      <c r="HT720" s="512"/>
      <c r="HU720" s="512"/>
      <c r="HV720" s="512"/>
      <c r="HW720" s="512"/>
      <c r="HX720" s="512"/>
      <c r="HY720" s="512"/>
      <c r="IA720" s="512"/>
      <c r="IB720" s="512"/>
      <c r="IC720" s="512"/>
      <c r="ID720" s="512">
        <f t="shared" ref="ID720:II720" si="757">ID$577</f>
        <v>174.88</v>
      </c>
      <c r="IE720" s="279">
        <f t="shared" si="757"/>
        <v>169.73405377253582</v>
      </c>
      <c r="IF720" s="279">
        <f t="shared" si="757"/>
        <v>96.933015068694488</v>
      </c>
      <c r="IG720" s="512">
        <f t="shared" si="757"/>
        <v>266.66706884123028</v>
      </c>
      <c r="IH720" s="279">
        <f t="shared" si="757"/>
        <v>145.66439939764024</v>
      </c>
      <c r="II720" s="279">
        <f t="shared" si="757"/>
        <v>133.26701503354298</v>
      </c>
      <c r="IJ720" s="520">
        <f t="shared" ref="IJ720:IV720" si="758">IJ$577</f>
        <v>278.93141443118321</v>
      </c>
      <c r="IK720" s="279">
        <f t="shared" si="758"/>
        <v>120.44820431254826</v>
      </c>
      <c r="IM720" s="520">
        <f t="shared" si="758"/>
        <v>240.66450952517982</v>
      </c>
      <c r="IP720" s="519">
        <f t="shared" si="758"/>
        <v>190.19867686871044</v>
      </c>
      <c r="IS720" s="519">
        <f t="shared" si="758"/>
        <v>248.10377500219158</v>
      </c>
      <c r="IT720" s="327"/>
      <c r="IU720" s="327"/>
      <c r="IV720" s="519">
        <f t="shared" si="758"/>
        <v>172.38765230665402</v>
      </c>
      <c r="IW720" s="327"/>
      <c r="IX720" s="327"/>
      <c r="IY720" s="519">
        <f>IY$577</f>
        <v>203.37815939767054</v>
      </c>
      <c r="IZ720" s="327"/>
      <c r="JA720" s="327">
        <f>JA$577</f>
        <v>344.947284654067</v>
      </c>
      <c r="JB720" s="519" t="e">
        <f>#REF!</f>
        <v>#REF!</v>
      </c>
      <c r="JC720" s="327">
        <f>JE$577</f>
        <v>304.31395953240502</v>
      </c>
      <c r="JD720" s="327">
        <f>JD$577</f>
        <v>215.11329668947656</v>
      </c>
      <c r="JE720" s="519"/>
      <c r="JF720" s="327"/>
      <c r="JG720" s="327"/>
      <c r="JH720" s="519"/>
      <c r="JI720" s="327"/>
      <c r="JJ720" s="327"/>
      <c r="JK720" s="519"/>
      <c r="KY720" s="279">
        <f>KY$577</f>
        <v>0</v>
      </c>
      <c r="KZ720" s="279">
        <f>KZ$577</f>
        <v>0</v>
      </c>
      <c r="LA720" s="279">
        <f>LA$577</f>
        <v>0</v>
      </c>
      <c r="LB720" s="279">
        <f>LB$577</f>
        <v>0</v>
      </c>
    </row>
    <row r="721" spans="1:314" hidden="1">
      <c r="A721" s="279"/>
      <c r="B721" s="96" t="s">
        <v>338</v>
      </c>
      <c r="D721" s="510" t="str">
        <f>D$582</f>
        <v>Capital grants</v>
      </c>
      <c r="E721" s="512">
        <f>E$582</f>
        <v>0</v>
      </c>
      <c r="F721" s="512">
        <f t="shared" ref="F721:L721" si="759">F$582</f>
        <v>0</v>
      </c>
      <c r="G721" s="512">
        <f t="shared" si="759"/>
        <v>19.096</v>
      </c>
      <c r="H721" s="512">
        <f t="shared" si="759"/>
        <v>0</v>
      </c>
      <c r="I721" s="512">
        <f t="shared" si="759"/>
        <v>0</v>
      </c>
      <c r="J721" s="512">
        <f t="shared" si="759"/>
        <v>18.920000000000002</v>
      </c>
      <c r="K721" s="512">
        <f t="shared" si="759"/>
        <v>0</v>
      </c>
      <c r="L721" s="512">
        <f t="shared" si="759"/>
        <v>0</v>
      </c>
      <c r="M721" s="512">
        <f t="shared" ref="M721:AW721" si="760">M$582</f>
        <v>20.327999999999999</v>
      </c>
      <c r="N721" s="512">
        <f t="shared" si="760"/>
        <v>0</v>
      </c>
      <c r="O721" s="512">
        <f t="shared" si="760"/>
        <v>0</v>
      </c>
      <c r="P721" s="512">
        <f t="shared" si="760"/>
        <v>15.656000000000001</v>
      </c>
      <c r="Q721" s="512">
        <f t="shared" si="760"/>
        <v>0</v>
      </c>
      <c r="R721" s="512">
        <f t="shared" si="760"/>
        <v>0</v>
      </c>
      <c r="S721" s="512">
        <f t="shared" si="760"/>
        <v>13.61007</v>
      </c>
      <c r="T721" s="512">
        <f t="shared" si="760"/>
        <v>0</v>
      </c>
      <c r="U721" s="512">
        <f t="shared" si="760"/>
        <v>0</v>
      </c>
      <c r="V721" s="512">
        <f t="shared" si="760"/>
        <v>21.278419999999997</v>
      </c>
      <c r="W721" s="512">
        <f t="shared" si="760"/>
        <v>0</v>
      </c>
      <c r="X721" s="512">
        <f t="shared" si="760"/>
        <v>0</v>
      </c>
      <c r="Y721" s="512">
        <f t="shared" si="760"/>
        <v>20.6523</v>
      </c>
      <c r="Z721" s="512">
        <f t="shared" si="760"/>
        <v>0</v>
      </c>
      <c r="AA721" s="512">
        <f t="shared" si="760"/>
        <v>0</v>
      </c>
      <c r="AB721" s="512">
        <f t="shared" si="760"/>
        <v>38.554199999999994</v>
      </c>
      <c r="AC721" s="512">
        <f t="shared" si="760"/>
        <v>0</v>
      </c>
      <c r="AD721" s="512">
        <f t="shared" si="760"/>
        <v>0</v>
      </c>
      <c r="AE721" s="512">
        <f t="shared" si="760"/>
        <v>27.222999999999999</v>
      </c>
      <c r="AF721" s="512">
        <f t="shared" si="760"/>
        <v>0</v>
      </c>
      <c r="AG721" s="512">
        <f t="shared" si="760"/>
        <v>0</v>
      </c>
      <c r="AH721" s="512">
        <f t="shared" si="760"/>
        <v>14.770896896000002</v>
      </c>
      <c r="AI721" s="512">
        <f t="shared" si="760"/>
        <v>0</v>
      </c>
      <c r="AJ721" s="512">
        <f t="shared" si="760"/>
        <v>0</v>
      </c>
      <c r="AK721" s="512">
        <f t="shared" si="760"/>
        <v>31.943841391000003</v>
      </c>
      <c r="AL721" s="512">
        <f t="shared" si="760"/>
        <v>0</v>
      </c>
      <c r="AM721" s="512">
        <f t="shared" si="760"/>
        <v>0</v>
      </c>
      <c r="AN721" s="512">
        <f t="shared" si="760"/>
        <v>39.854758195999992</v>
      </c>
      <c r="AO721" s="512">
        <f t="shared" si="760"/>
        <v>0</v>
      </c>
      <c r="AP721" s="512">
        <f t="shared" si="760"/>
        <v>0</v>
      </c>
      <c r="AQ721" s="512">
        <f t="shared" si="760"/>
        <v>27.3</v>
      </c>
      <c r="AR721" s="512">
        <f t="shared" si="760"/>
        <v>0</v>
      </c>
      <c r="AS721" s="512">
        <f t="shared" si="760"/>
        <v>0</v>
      </c>
      <c r="AT721" s="512">
        <f t="shared" si="760"/>
        <v>27.3</v>
      </c>
      <c r="AU721" s="512">
        <f t="shared" si="760"/>
        <v>0</v>
      </c>
      <c r="AV721" s="512">
        <f t="shared" si="760"/>
        <v>0</v>
      </c>
      <c r="AW721" s="512">
        <f t="shared" si="760"/>
        <v>34.1</v>
      </c>
      <c r="AX721" s="512">
        <f t="shared" ref="AX721:BP721" si="761">AX$582</f>
        <v>0</v>
      </c>
      <c r="AY721" s="512">
        <f t="shared" si="761"/>
        <v>0</v>
      </c>
      <c r="AZ721" s="512">
        <f t="shared" si="761"/>
        <v>80</v>
      </c>
      <c r="BA721" s="512">
        <f t="shared" si="761"/>
        <v>0</v>
      </c>
      <c r="BB721" s="512">
        <f t="shared" si="761"/>
        <v>0</v>
      </c>
      <c r="BC721" s="512">
        <f t="shared" si="761"/>
        <v>25.449000000000002</v>
      </c>
      <c r="BD721" s="512">
        <f t="shared" si="761"/>
        <v>0</v>
      </c>
      <c r="BE721" s="512">
        <f t="shared" si="761"/>
        <v>0</v>
      </c>
      <c r="BF721" s="512">
        <f t="shared" si="761"/>
        <v>24.451000000000001</v>
      </c>
      <c r="BG721" s="512">
        <f t="shared" si="761"/>
        <v>0</v>
      </c>
      <c r="BH721" s="512">
        <f t="shared" si="761"/>
        <v>0</v>
      </c>
      <c r="BI721" s="512">
        <f t="shared" si="761"/>
        <v>28.44</v>
      </c>
      <c r="BJ721" s="512">
        <f t="shared" si="761"/>
        <v>50.9206</v>
      </c>
      <c r="BK721" s="512">
        <f t="shared" si="761"/>
        <v>0</v>
      </c>
      <c r="BL721" s="512">
        <f t="shared" si="761"/>
        <v>28.44</v>
      </c>
      <c r="BM721" s="512">
        <f t="shared" si="761"/>
        <v>0</v>
      </c>
      <c r="BN721" s="512">
        <f t="shared" si="761"/>
        <v>0</v>
      </c>
      <c r="BO721" s="512">
        <f t="shared" si="761"/>
        <v>28.4</v>
      </c>
      <c r="BP721" s="512">
        <f t="shared" si="761"/>
        <v>0</v>
      </c>
      <c r="BQ721" s="512">
        <f t="shared" ref="BQ721:DT721" si="762">BQ$582</f>
        <v>0</v>
      </c>
      <c r="BR721" s="512">
        <f t="shared" si="762"/>
        <v>63.072049327625756</v>
      </c>
      <c r="BS721" s="512">
        <f t="shared" si="762"/>
        <v>12.203299451901628</v>
      </c>
      <c r="BT721" s="512">
        <f t="shared" si="762"/>
        <v>14.813409459931112</v>
      </c>
      <c r="BU721" s="512">
        <f t="shared" si="762"/>
        <v>6.5902026762721153</v>
      </c>
      <c r="BV721" s="512">
        <f t="shared" si="762"/>
        <v>7.9663939819053082</v>
      </c>
      <c r="BW721" s="512">
        <f t="shared" si="762"/>
        <v>41.538890177774903</v>
      </c>
      <c r="BX721" s="512">
        <f t="shared" si="762"/>
        <v>29.001320784256873</v>
      </c>
      <c r="BY721" s="512">
        <f t="shared" si="762"/>
        <v>6.4084407417666696E-6</v>
      </c>
      <c r="BZ721" s="512">
        <f t="shared" si="762"/>
        <v>3.9502690426215792</v>
      </c>
      <c r="CA721" s="512">
        <f t="shared" si="762"/>
        <v>8.9347603934343383</v>
      </c>
      <c r="CB721" s="512">
        <f t="shared" si="762"/>
        <v>6.8720589184452443</v>
      </c>
      <c r="CC721" s="512">
        <f t="shared" si="762"/>
        <v>32.567005592195322</v>
      </c>
      <c r="CD721" s="514">
        <f t="shared" si="762"/>
        <v>10.462383112820836</v>
      </c>
      <c r="CE721" s="512">
        <f t="shared" si="762"/>
        <v>20.644770703771695</v>
      </c>
      <c r="CF721" s="512">
        <f t="shared" si="762"/>
        <v>6.2068516957338105</v>
      </c>
      <c r="CG721" s="512">
        <f t="shared" si="762"/>
        <v>33.654755862294493</v>
      </c>
      <c r="CH721" s="512">
        <f t="shared" si="762"/>
        <v>40.164865416949603</v>
      </c>
      <c r="CI721" s="512">
        <f t="shared" si="762"/>
        <v>33.30229618613545</v>
      </c>
      <c r="CJ721" s="512">
        <f t="shared" si="762"/>
        <v>23.305426911000946</v>
      </c>
      <c r="CK721" s="512">
        <f t="shared" si="762"/>
        <v>22.369328398681304</v>
      </c>
      <c r="CL721" s="512">
        <f t="shared" si="762"/>
        <v>15.370313869472696</v>
      </c>
      <c r="CM721" s="512">
        <f t="shared" si="762"/>
        <v>15.260357731845993</v>
      </c>
      <c r="CN721" s="512">
        <f t="shared" si="762"/>
        <v>55.08162525346021</v>
      </c>
      <c r="CO721" s="512">
        <f t="shared" si="762"/>
        <v>16.101722923910174</v>
      </c>
      <c r="CP721" s="515">
        <f t="shared" si="762"/>
        <v>21.799460293312592</v>
      </c>
      <c r="CQ721" s="512">
        <f t="shared" si="762"/>
        <v>16.87350672279609</v>
      </c>
      <c r="CR721" s="512">
        <f t="shared" si="762"/>
        <v>20.574332516946019</v>
      </c>
      <c r="CS721" s="512">
        <f t="shared" si="762"/>
        <v>13.677160760257889</v>
      </c>
      <c r="CT721" s="512">
        <f t="shared" si="762"/>
        <v>22.966062853869769</v>
      </c>
      <c r="CU721" s="512">
        <f t="shared" si="762"/>
        <v>25.792258359012344</v>
      </c>
      <c r="CV721" s="512">
        <f t="shared" si="762"/>
        <v>25.594723744156603</v>
      </c>
      <c r="CW721" s="512">
        <f t="shared" si="762"/>
        <v>18.835302128312126</v>
      </c>
      <c r="CX721" s="512">
        <f t="shared" si="762"/>
        <v>20.69342160459518</v>
      </c>
      <c r="CY721" s="512">
        <f t="shared" si="762"/>
        <v>18.249102545774683</v>
      </c>
      <c r="CZ721" s="512">
        <f t="shared" si="762"/>
        <v>12.54749310504959</v>
      </c>
      <c r="DA721" s="512">
        <f t="shared" si="762"/>
        <v>24.637015591921291</v>
      </c>
      <c r="DB721" s="1306">
        <f t="shared" si="762"/>
        <v>20.593317581711112</v>
      </c>
      <c r="DC721" s="512">
        <f t="shared" si="762"/>
        <v>13.457658298098568</v>
      </c>
      <c r="DD721" s="512">
        <f t="shared" si="762"/>
        <v>19.030042177083068</v>
      </c>
      <c r="DE721" s="512">
        <f t="shared" si="762"/>
        <v>15.882299524818357</v>
      </c>
      <c r="DF721" s="512">
        <f t="shared" si="762"/>
        <v>10.358548209869529</v>
      </c>
      <c r="DG721" s="512">
        <f t="shared" si="762"/>
        <v>9.0959670020350281</v>
      </c>
      <c r="DH721" s="512">
        <f t="shared" si="762"/>
        <v>28.915484788095437</v>
      </c>
      <c r="DI721" s="512">
        <f t="shared" si="762"/>
        <v>9.6377982635075661</v>
      </c>
      <c r="DJ721" s="512">
        <f t="shared" si="762"/>
        <v>11.505491827422981</v>
      </c>
      <c r="DK721" s="512">
        <f t="shared" si="762"/>
        <v>14.95670990906946</v>
      </c>
      <c r="DL721" s="512">
        <f t="shared" si="762"/>
        <v>10.918476448112893</v>
      </c>
      <c r="DM721" s="512">
        <f t="shared" si="762"/>
        <v>19.287035582032409</v>
      </c>
      <c r="DN721" s="515">
        <f t="shared" si="762"/>
        <v>5.8944879698547039</v>
      </c>
      <c r="DO721" s="512">
        <f t="shared" si="762"/>
        <v>4.5689722600492333</v>
      </c>
      <c r="DP721" s="512">
        <f t="shared" si="762"/>
        <v>1.9976494589589138</v>
      </c>
      <c r="DQ721" s="512">
        <f t="shared" si="762"/>
        <v>19.857829355710404</v>
      </c>
      <c r="DR721" s="512">
        <f t="shared" si="762"/>
        <v>3.0254844532894221</v>
      </c>
      <c r="DS721" s="512">
        <f t="shared" si="762"/>
        <v>0</v>
      </c>
      <c r="DT721" s="512">
        <f t="shared" si="762"/>
        <v>0</v>
      </c>
      <c r="DU721" s="512"/>
      <c r="DV721" s="512"/>
      <c r="DW721" s="512"/>
      <c r="DX721" s="512"/>
      <c r="DY721" s="512"/>
      <c r="DZ721" s="515"/>
      <c r="EA721" s="512"/>
      <c r="EB721" s="512"/>
      <c r="EC721" s="512"/>
      <c r="ED721" s="512"/>
      <c r="EE721" s="512"/>
      <c r="EF721" s="512"/>
      <c r="EG721" s="512"/>
      <c r="EH721" s="512"/>
      <c r="EI721" s="512"/>
      <c r="EJ721" s="512"/>
      <c r="EK721" s="512"/>
      <c r="EL721" s="515"/>
      <c r="EM721" s="512"/>
      <c r="EN721" s="512"/>
      <c r="EO721" s="512"/>
      <c r="EP721" s="512"/>
      <c r="EQ721" s="512"/>
      <c r="ER721" s="512"/>
      <c r="ES721" s="512"/>
      <c r="ET721" s="512"/>
      <c r="EU721" s="512"/>
      <c r="EV721" s="512"/>
      <c r="EW721" s="512"/>
      <c r="EX721" s="515"/>
      <c r="EY721" s="512"/>
      <c r="EZ721" s="512"/>
      <c r="FA721" s="512"/>
      <c r="FB721" s="512"/>
      <c r="FC721" s="512"/>
      <c r="FD721" s="512"/>
      <c r="FE721" s="512"/>
      <c r="FF721" s="512"/>
      <c r="FG721" s="512"/>
      <c r="FH721" s="512"/>
      <c r="FI721" s="512"/>
      <c r="FJ721" s="515"/>
      <c r="FK721" s="512"/>
      <c r="FL721" s="512"/>
      <c r="FM721" s="512"/>
      <c r="FN721" s="512"/>
      <c r="FO721" s="512"/>
      <c r="FP721" s="512"/>
      <c r="FQ721" s="512"/>
      <c r="FR721" s="512"/>
      <c r="FS721" s="512"/>
      <c r="FT721" s="512"/>
      <c r="FU721" s="512"/>
      <c r="FV721" s="512"/>
      <c r="FW721" s="512"/>
      <c r="FX721" s="512"/>
      <c r="FY721" s="512"/>
      <c r="FZ721" s="512"/>
      <c r="GA721" s="512"/>
      <c r="GB721" s="512"/>
      <c r="GC721" s="512"/>
      <c r="GD721" s="512"/>
      <c r="GE721" s="512"/>
      <c r="GF721" s="512"/>
      <c r="GG721" s="512"/>
      <c r="GH721" s="512"/>
      <c r="GI721" s="512"/>
      <c r="GJ721" s="512"/>
      <c r="GK721" s="512"/>
      <c r="GL721" s="512"/>
      <c r="GM721" s="512"/>
      <c r="GN721" s="512"/>
      <c r="GO721" s="512"/>
      <c r="GP721" s="512"/>
      <c r="GQ721" s="512"/>
      <c r="GR721" s="512"/>
      <c r="GS721" s="512"/>
      <c r="GT721" s="512"/>
      <c r="GU721" s="512"/>
      <c r="GV721" s="512"/>
      <c r="GW721" s="512"/>
      <c r="GX721" s="512"/>
      <c r="GY721" s="512"/>
      <c r="GZ721" s="512"/>
      <c r="HA721" s="512"/>
      <c r="HB721" s="512"/>
      <c r="HC721" s="512"/>
      <c r="HD721" s="512"/>
      <c r="HE721" s="512"/>
      <c r="HF721" s="512"/>
      <c r="HG721" s="512"/>
      <c r="HH721" s="512"/>
      <c r="HI721" s="512"/>
      <c r="HJ721" s="512"/>
      <c r="HK721" s="512"/>
      <c r="HL721" s="512"/>
      <c r="HM721" s="512"/>
      <c r="HN721" s="512"/>
      <c r="HO721" s="512"/>
      <c r="HP721" s="512"/>
      <c r="HQ721" s="512"/>
      <c r="HR721" s="512"/>
      <c r="HS721" s="512"/>
      <c r="HT721" s="512"/>
      <c r="HU721" s="512"/>
      <c r="HV721" s="512"/>
      <c r="HW721" s="512"/>
      <c r="HX721" s="512"/>
      <c r="HY721" s="512"/>
      <c r="IA721" s="512"/>
      <c r="IB721" s="512"/>
      <c r="IC721" s="512"/>
      <c r="ID721" s="512">
        <f t="shared" ref="ID721:II721" si="763">ID$582</f>
        <v>241.03369751440272</v>
      </c>
      <c r="IE721" s="279">
        <f t="shared" si="763"/>
        <v>125.47804495703872</v>
      </c>
      <c r="IF721" s="279">
        <f t="shared" si="763"/>
        <v>115.555652557364</v>
      </c>
      <c r="IG721" s="512">
        <f t="shared" si="763"/>
        <v>241.03369751440272</v>
      </c>
      <c r="IH721" s="279">
        <f t="shared" si="763"/>
        <v>96.74</v>
      </c>
      <c r="II721" s="279">
        <f t="shared" si="763"/>
        <v>72.200000000000017</v>
      </c>
      <c r="IJ721" s="520">
        <f t="shared" ref="IJ721:IV721" si="764">IJ$582</f>
        <v>168.94</v>
      </c>
      <c r="IK721" s="279">
        <f t="shared" si="764"/>
        <v>29.449935528007973</v>
      </c>
      <c r="IM721" s="520">
        <f t="shared" si="764"/>
        <v>57.491984588205348</v>
      </c>
      <c r="IP721" s="519">
        <f t="shared" si="764"/>
        <v>168.71</v>
      </c>
      <c r="IS721" s="519">
        <f t="shared" si="764"/>
        <v>233.07553199416967</v>
      </c>
      <c r="IT721" s="327"/>
      <c r="IU721" s="327"/>
      <c r="IV721" s="519">
        <f t="shared" si="764"/>
        <v>259.69462557150138</v>
      </c>
      <c r="IW721" s="327"/>
      <c r="IX721" s="327"/>
      <c r="IY721" s="519">
        <f>IY$582</f>
        <v>288.9455255930734</v>
      </c>
      <c r="IZ721" s="327"/>
      <c r="JA721" s="327">
        <f>JA$582</f>
        <v>151.24241265916393</v>
      </c>
      <c r="JB721" s="519" t="e">
        <f>#REF!</f>
        <v>#REF!</v>
      </c>
      <c r="JC721" s="327">
        <f>JE$582</f>
        <v>406.9801934271353</v>
      </c>
      <c r="JD721" s="327">
        <f>JD$582</f>
        <v>221.29345694084606</v>
      </c>
      <c r="JE721" s="519"/>
      <c r="JF721" s="327"/>
      <c r="JG721" s="327"/>
      <c r="JH721" s="519"/>
      <c r="JI721" s="327"/>
      <c r="JJ721" s="327"/>
      <c r="JK721" s="519"/>
      <c r="KY721" s="279">
        <f>KY$582</f>
        <v>0</v>
      </c>
      <c r="KZ721" s="279">
        <f>KZ$582</f>
        <v>0</v>
      </c>
      <c r="LA721" s="279">
        <f>LA$582</f>
        <v>0</v>
      </c>
      <c r="LB721" s="279">
        <f>LB$582</f>
        <v>0</v>
      </c>
    </row>
    <row r="722" spans="1:314" hidden="1">
      <c r="A722" s="279"/>
      <c r="D722" s="510" t="s">
        <v>823</v>
      </c>
      <c r="E722" s="512"/>
      <c r="F722" s="512"/>
      <c r="G722" s="512"/>
      <c r="H722" s="512"/>
      <c r="I722" s="512"/>
      <c r="J722" s="512"/>
      <c r="K722" s="512"/>
      <c r="L722" s="512"/>
      <c r="M722" s="512"/>
      <c r="N722" s="512"/>
      <c r="O722" s="512"/>
      <c r="P722" s="512"/>
      <c r="Q722" s="512"/>
      <c r="R722" s="512"/>
      <c r="S722" s="512"/>
      <c r="T722" s="512"/>
      <c r="U722" s="512"/>
      <c r="V722" s="512"/>
      <c r="W722" s="512"/>
      <c r="X722" s="512"/>
      <c r="Y722" s="512"/>
      <c r="Z722" s="512"/>
      <c r="AA722" s="512"/>
      <c r="AB722" s="512"/>
      <c r="AC722" s="512"/>
      <c r="AD722" s="512"/>
      <c r="AE722" s="512"/>
      <c r="AF722" s="512"/>
      <c r="AG722" s="512"/>
      <c r="AH722" s="512"/>
      <c r="AI722" s="512"/>
      <c r="AJ722" s="512"/>
      <c r="AK722" s="512"/>
      <c r="AL722" s="512"/>
      <c r="AM722" s="512"/>
      <c r="AN722" s="512"/>
      <c r="AO722" s="512"/>
      <c r="AP722" s="512"/>
      <c r="AQ722" s="512"/>
      <c r="AR722" s="512"/>
      <c r="AS722" s="512"/>
      <c r="AT722" s="512"/>
      <c r="AU722" s="512"/>
      <c r="AV722" s="512"/>
      <c r="AW722" s="512"/>
      <c r="AX722" s="512"/>
      <c r="AY722" s="512"/>
      <c r="AZ722" s="512"/>
      <c r="BA722" s="512"/>
      <c r="BB722" s="512"/>
      <c r="BC722" s="512"/>
      <c r="BD722" s="512"/>
      <c r="BE722" s="512"/>
      <c r="BF722" s="512"/>
      <c r="BG722" s="512"/>
      <c r="BH722" s="512"/>
      <c r="BI722" s="512"/>
      <c r="BJ722" s="512"/>
      <c r="BK722" s="512"/>
      <c r="BL722" s="512"/>
      <c r="BM722" s="512"/>
      <c r="BN722" s="512"/>
      <c r="BO722" s="512"/>
      <c r="BP722" s="512"/>
      <c r="BQ722" s="512"/>
      <c r="BR722" s="512"/>
      <c r="BS722" s="512"/>
      <c r="BT722" s="512"/>
      <c r="BU722" s="512"/>
      <c r="BV722" s="512"/>
      <c r="BW722" s="512"/>
      <c r="BX722" s="512"/>
      <c r="BY722" s="512"/>
      <c r="BZ722" s="512"/>
      <c r="CA722" s="512"/>
      <c r="CB722" s="512"/>
      <c r="CC722" s="512"/>
      <c r="CD722" s="514"/>
      <c r="CE722" s="512"/>
      <c r="CF722" s="512"/>
      <c r="CG722" s="512"/>
      <c r="CH722" s="512"/>
      <c r="CI722" s="512"/>
      <c r="CJ722" s="512"/>
      <c r="CK722" s="512"/>
      <c r="CL722" s="512"/>
      <c r="CM722" s="512"/>
      <c r="CN722" s="512"/>
      <c r="CO722" s="512"/>
      <c r="CP722" s="515"/>
      <c r="CQ722" s="512"/>
      <c r="CR722" s="512"/>
      <c r="CS722" s="512"/>
      <c r="CT722" s="512"/>
      <c r="CU722" s="512"/>
      <c r="CV722" s="512"/>
      <c r="CW722" s="512"/>
      <c r="CX722" s="512"/>
      <c r="CY722" s="512"/>
      <c r="CZ722" s="512"/>
      <c r="DA722" s="512"/>
      <c r="DB722" s="1306"/>
      <c r="DC722" s="512"/>
      <c r="DD722" s="512"/>
      <c r="DE722" s="512"/>
      <c r="DF722" s="512"/>
      <c r="DG722" s="512"/>
      <c r="DH722" s="512"/>
      <c r="DI722" s="512"/>
      <c r="DJ722" s="512"/>
      <c r="DK722" s="512"/>
      <c r="DL722" s="512"/>
      <c r="DM722" s="512"/>
      <c r="DN722" s="515"/>
      <c r="DO722" s="512"/>
      <c r="DP722" s="512"/>
      <c r="DQ722" s="512"/>
      <c r="DR722" s="512"/>
      <c r="DS722" s="512"/>
      <c r="DT722" s="512"/>
      <c r="DU722" s="512"/>
      <c r="DV722" s="512"/>
      <c r="DW722" s="512"/>
      <c r="DX722" s="512"/>
      <c r="DY722" s="512"/>
      <c r="DZ722" s="515"/>
      <c r="EA722" s="512"/>
      <c r="EB722" s="512"/>
      <c r="EC722" s="512"/>
      <c r="ED722" s="512"/>
      <c r="EE722" s="512"/>
      <c r="EF722" s="512"/>
      <c r="EG722" s="512"/>
      <c r="EH722" s="512"/>
      <c r="EI722" s="512"/>
      <c r="EJ722" s="512"/>
      <c r="EK722" s="512"/>
      <c r="EL722" s="515"/>
      <c r="EM722" s="512"/>
      <c r="EN722" s="512"/>
      <c r="EO722" s="512"/>
      <c r="EP722" s="512"/>
      <c r="EQ722" s="512"/>
      <c r="ER722" s="512"/>
      <c r="ES722" s="512"/>
      <c r="ET722" s="512"/>
      <c r="EU722" s="512"/>
      <c r="EV722" s="512"/>
      <c r="EW722" s="512"/>
      <c r="EX722" s="515"/>
      <c r="EY722" s="512"/>
      <c r="EZ722" s="512"/>
      <c r="FA722" s="512"/>
      <c r="FB722" s="512"/>
      <c r="FC722" s="512"/>
      <c r="FD722" s="512"/>
      <c r="FE722" s="512"/>
      <c r="FF722" s="512"/>
      <c r="FG722" s="512"/>
      <c r="FH722" s="512"/>
      <c r="FI722" s="512"/>
      <c r="FJ722" s="515"/>
      <c r="FK722" s="512"/>
      <c r="FL722" s="512"/>
      <c r="FM722" s="512"/>
      <c r="FN722" s="512"/>
      <c r="FO722" s="512"/>
      <c r="FP722" s="512"/>
      <c r="FQ722" s="512"/>
      <c r="FR722" s="512"/>
      <c r="FS722" s="512"/>
      <c r="FT722" s="512"/>
      <c r="FU722" s="512"/>
      <c r="FV722" s="512"/>
      <c r="FW722" s="512"/>
      <c r="FX722" s="512"/>
      <c r="FY722" s="512"/>
      <c r="FZ722" s="512"/>
      <c r="GA722" s="512"/>
      <c r="GB722" s="512"/>
      <c r="GC722" s="512"/>
      <c r="GD722" s="512"/>
      <c r="GE722" s="512"/>
      <c r="GF722" s="512"/>
      <c r="GG722" s="512"/>
      <c r="GH722" s="512"/>
      <c r="GI722" s="512"/>
      <c r="GJ722" s="512"/>
      <c r="GK722" s="512"/>
      <c r="GL722" s="512"/>
      <c r="GM722" s="512"/>
      <c r="GN722" s="512"/>
      <c r="GO722" s="512"/>
      <c r="GP722" s="512"/>
      <c r="GQ722" s="512"/>
      <c r="GR722" s="512"/>
      <c r="GS722" s="512"/>
      <c r="GT722" s="512"/>
      <c r="GU722" s="512"/>
      <c r="GV722" s="512"/>
      <c r="GW722" s="512"/>
      <c r="GX722" s="512"/>
      <c r="GY722" s="512"/>
      <c r="GZ722" s="512"/>
      <c r="HA722" s="512"/>
      <c r="HB722" s="512"/>
      <c r="HC722" s="512"/>
      <c r="HD722" s="512"/>
      <c r="HE722" s="512"/>
      <c r="HF722" s="512"/>
      <c r="HG722" s="512"/>
      <c r="HH722" s="512"/>
      <c r="HI722" s="512"/>
      <c r="HJ722" s="512"/>
      <c r="HK722" s="512"/>
      <c r="HL722" s="512"/>
      <c r="HM722" s="512"/>
      <c r="HN722" s="512"/>
      <c r="HO722" s="512"/>
      <c r="HP722" s="512"/>
      <c r="HQ722" s="512"/>
      <c r="HR722" s="512"/>
      <c r="HS722" s="512"/>
      <c r="HT722" s="512"/>
      <c r="HU722" s="512"/>
      <c r="HV722" s="512"/>
      <c r="HW722" s="512"/>
      <c r="HX722" s="512"/>
      <c r="HY722" s="512"/>
      <c r="IA722" s="512"/>
      <c r="IB722" s="512"/>
      <c r="IC722" s="512"/>
      <c r="ID722" s="512"/>
      <c r="IG722" s="512"/>
      <c r="IJ722" s="520"/>
      <c r="IM722" s="520"/>
      <c r="IP722" s="519"/>
      <c r="IS722" s="519"/>
      <c r="IT722" s="327"/>
      <c r="IU722" s="327"/>
      <c r="IV722" s="519"/>
      <c r="IW722" s="327"/>
      <c r="IX722" s="327"/>
      <c r="IY722" s="519"/>
      <c r="IZ722" s="327"/>
      <c r="JA722" s="327"/>
      <c r="JB722" s="519"/>
      <c r="JC722" s="327"/>
      <c r="JD722" s="327"/>
      <c r="JE722" s="519"/>
      <c r="JF722" s="327"/>
      <c r="JG722" s="327"/>
      <c r="JH722" s="519"/>
      <c r="JI722" s="327"/>
      <c r="JJ722" s="327"/>
      <c r="JK722" s="519"/>
    </row>
    <row r="723" spans="1:314" hidden="1">
      <c r="A723" s="279"/>
      <c r="B723" s="96" t="s">
        <v>338</v>
      </c>
      <c r="D723" s="513" t="str">
        <f>D$588</f>
        <v>Total expenditure and net lending</v>
      </c>
      <c r="E723" s="512">
        <f>E$588</f>
        <v>31.113846187904123</v>
      </c>
      <c r="F723" s="512">
        <f t="shared" ref="F723:L723" si="765">F$588</f>
        <v>33.929240033719999</v>
      </c>
      <c r="G723" s="512">
        <f t="shared" si="765"/>
        <v>51.190462517032501</v>
      </c>
      <c r="H723" s="512">
        <f t="shared" si="765"/>
        <v>40.268011869128273</v>
      </c>
      <c r="I723" s="512">
        <f t="shared" si="765"/>
        <v>24.212936727898001</v>
      </c>
      <c r="J723" s="512">
        <f t="shared" si="765"/>
        <v>45.179957022725901</v>
      </c>
      <c r="K723" s="512">
        <f t="shared" si="765"/>
        <v>55.8103188453263</v>
      </c>
      <c r="L723" s="512">
        <f t="shared" si="765"/>
        <v>32.404558326849603</v>
      </c>
      <c r="M723" s="512">
        <f t="shared" ref="M723:AW723" si="766">M$588</f>
        <v>56.868435660884003</v>
      </c>
      <c r="N723" s="512">
        <f t="shared" si="766"/>
        <v>40.114778642740006</v>
      </c>
      <c r="O723" s="512">
        <f t="shared" si="766"/>
        <v>31.185432896099996</v>
      </c>
      <c r="P723" s="512">
        <f t="shared" si="766"/>
        <v>48.464992930080001</v>
      </c>
      <c r="Q723" s="512">
        <f t="shared" si="766"/>
        <v>37.599948009391603</v>
      </c>
      <c r="R723" s="512">
        <f t="shared" si="766"/>
        <v>34.876504099342704</v>
      </c>
      <c r="S723" s="512">
        <f t="shared" si="766"/>
        <v>54.602413516725001</v>
      </c>
      <c r="T723" s="512">
        <f t="shared" si="766"/>
        <v>61.171064788264005</v>
      </c>
      <c r="U723" s="512">
        <f t="shared" si="766"/>
        <v>33.091063065655497</v>
      </c>
      <c r="V723" s="512">
        <f t="shared" si="766"/>
        <v>49.348105392392</v>
      </c>
      <c r="W723" s="512">
        <f t="shared" si="766"/>
        <v>60.218298840349995</v>
      </c>
      <c r="X723" s="512">
        <f t="shared" si="766"/>
        <v>44.479926035408006</v>
      </c>
      <c r="Y723" s="512">
        <f t="shared" si="766"/>
        <v>71.80984676760481</v>
      </c>
      <c r="Z723" s="512">
        <f t="shared" si="766"/>
        <v>88.118180455573395</v>
      </c>
      <c r="AA723" s="512">
        <f t="shared" si="766"/>
        <v>30.6191103237894</v>
      </c>
      <c r="AB723" s="512">
        <f t="shared" si="766"/>
        <v>83.810174073706989</v>
      </c>
      <c r="AC723" s="512">
        <f t="shared" si="766"/>
        <v>49.265808352000001</v>
      </c>
      <c r="AD723" s="512">
        <f t="shared" si="766"/>
        <v>36.787428904000002</v>
      </c>
      <c r="AE723" s="512">
        <f t="shared" si="766"/>
        <v>100.839280293</v>
      </c>
      <c r="AF723" s="512">
        <f t="shared" si="766"/>
        <v>61.970627678999996</v>
      </c>
      <c r="AG723" s="512">
        <f t="shared" si="766"/>
        <v>42.037399139999998</v>
      </c>
      <c r="AH723" s="512">
        <f t="shared" si="766"/>
        <v>58.600805208000011</v>
      </c>
      <c r="AI723" s="512">
        <f t="shared" si="766"/>
        <v>46.727141095</v>
      </c>
      <c r="AJ723" s="512">
        <f t="shared" si="766"/>
        <v>45.196983449999998</v>
      </c>
      <c r="AK723" s="512">
        <f t="shared" si="766"/>
        <v>100.94934549200002</v>
      </c>
      <c r="AL723" s="512">
        <f t="shared" si="766"/>
        <v>73.751512684999994</v>
      </c>
      <c r="AM723" s="512">
        <f t="shared" si="766"/>
        <v>52.546027526000003</v>
      </c>
      <c r="AN723" s="512">
        <f t="shared" si="766"/>
        <v>85.616203753999997</v>
      </c>
      <c r="AO723" s="512">
        <f t="shared" si="766"/>
        <v>66.299067429259992</v>
      </c>
      <c r="AP723" s="512">
        <f t="shared" si="766"/>
        <v>40.593019098060005</v>
      </c>
      <c r="AQ723" s="512">
        <f t="shared" si="766"/>
        <v>84.816624014327218</v>
      </c>
      <c r="AR723" s="512">
        <f t="shared" si="766"/>
        <v>67.161112869120004</v>
      </c>
      <c r="AS723" s="512">
        <f t="shared" si="766"/>
        <v>65.593571150347984</v>
      </c>
      <c r="AT723" s="512">
        <f t="shared" si="766"/>
        <v>76.930057421065598</v>
      </c>
      <c r="AU723" s="512">
        <f t="shared" si="766"/>
        <v>52.346549717240002</v>
      </c>
      <c r="AV723" s="512">
        <f t="shared" si="766"/>
        <v>75.539561062880011</v>
      </c>
      <c r="AW723" s="512">
        <f t="shared" si="766"/>
        <v>99.261310907549984</v>
      </c>
      <c r="AX723" s="512">
        <f t="shared" ref="AX723:BP723" si="767">AX$588</f>
        <v>76.398074650079991</v>
      </c>
      <c r="AY723" s="512">
        <f t="shared" si="767"/>
        <v>56.413795972900793</v>
      </c>
      <c r="AZ723" s="512">
        <f t="shared" si="767"/>
        <v>118.0142915183675</v>
      </c>
      <c r="BA723" s="512">
        <f t="shared" si="767"/>
        <v>64.438460127999988</v>
      </c>
      <c r="BB723" s="512">
        <f t="shared" si="767"/>
        <v>45.758440004000001</v>
      </c>
      <c r="BC723" s="512">
        <f t="shared" si="767"/>
        <v>132.03570007300002</v>
      </c>
      <c r="BD723" s="512">
        <f t="shared" si="767"/>
        <v>86.553274928000008</v>
      </c>
      <c r="BE723" s="512">
        <f t="shared" si="767"/>
        <v>94.541698818</v>
      </c>
      <c r="BF723" s="512">
        <f t="shared" si="767"/>
        <v>83.437803747000004</v>
      </c>
      <c r="BG723" s="512">
        <f t="shared" si="767"/>
        <v>50.160957434999993</v>
      </c>
      <c r="BH723" s="512">
        <f t="shared" si="767"/>
        <v>85.418576400999996</v>
      </c>
      <c r="BI723" s="512">
        <f t="shared" si="767"/>
        <v>80.972930940999987</v>
      </c>
      <c r="BJ723" s="512">
        <f t="shared" si="767"/>
        <v>92.236027882819997</v>
      </c>
      <c r="BK723" s="512">
        <f t="shared" si="767"/>
        <v>67.167033942000018</v>
      </c>
      <c r="BL723" s="512">
        <f t="shared" si="767"/>
        <v>120.089135438</v>
      </c>
      <c r="BM723" s="512">
        <f t="shared" si="767"/>
        <v>85.731333924890009</v>
      </c>
      <c r="BN723" s="512">
        <f t="shared" si="767"/>
        <v>59.496136133479993</v>
      </c>
      <c r="BO723" s="512">
        <f t="shared" si="767"/>
        <v>131.36413443499998</v>
      </c>
      <c r="BP723" s="512">
        <f t="shared" si="767"/>
        <v>111.25802000000002</v>
      </c>
      <c r="BQ723" s="512">
        <f t="shared" ref="BQ723:DT723" si="768">BQ$588</f>
        <v>111.82221942385</v>
      </c>
      <c r="BR723" s="512">
        <f t="shared" si="768"/>
        <v>114.05307858658</v>
      </c>
      <c r="BS723" s="512">
        <f t="shared" si="768"/>
        <v>73.728099999999984</v>
      </c>
      <c r="BT723" s="512">
        <f t="shared" si="768"/>
        <v>68.467799999999997</v>
      </c>
      <c r="BU723" s="512">
        <f t="shared" si="768"/>
        <v>136.54740000000001</v>
      </c>
      <c r="BV723" s="512">
        <f t="shared" si="768"/>
        <v>121.91829581300001</v>
      </c>
      <c r="BW723" s="512">
        <f t="shared" si="768"/>
        <v>72.599040844000001</v>
      </c>
      <c r="BX723" s="512">
        <f t="shared" si="768"/>
        <v>41.273675468</v>
      </c>
      <c r="BY723" s="512">
        <f t="shared" si="768"/>
        <v>80.05536907403436</v>
      </c>
      <c r="BZ723" s="512">
        <f t="shared" si="768"/>
        <v>80.258989039645556</v>
      </c>
      <c r="CA723" s="512">
        <f t="shared" si="768"/>
        <v>59.303305091246877</v>
      </c>
      <c r="CB723" s="512">
        <f t="shared" si="768"/>
        <v>127.34907455078395</v>
      </c>
      <c r="CC723" s="512">
        <f t="shared" si="768"/>
        <v>202.61559797621354</v>
      </c>
      <c r="CD723" s="514">
        <f t="shared" si="768"/>
        <v>62.595220320441499</v>
      </c>
      <c r="CE723" s="512">
        <f t="shared" si="768"/>
        <v>75.398048042979383</v>
      </c>
      <c r="CF723" s="512">
        <f t="shared" si="768"/>
        <v>116.41391544855834</v>
      </c>
      <c r="CG723" s="512">
        <f t="shared" si="768"/>
        <v>108.061891988951</v>
      </c>
      <c r="CH723" s="512">
        <f t="shared" si="768"/>
        <v>184.53382344332474</v>
      </c>
      <c r="CI723" s="512">
        <f t="shared" si="768"/>
        <v>114.23956239609714</v>
      </c>
      <c r="CJ723" s="512">
        <f t="shared" si="768"/>
        <v>88.621054460907445</v>
      </c>
      <c r="CK723" s="512">
        <f t="shared" si="768"/>
        <v>156.07666278087683</v>
      </c>
      <c r="CL723" s="512">
        <f t="shared" si="768"/>
        <v>98.019819600030885</v>
      </c>
      <c r="CM723" s="512">
        <f t="shared" si="768"/>
        <v>114.94251640501365</v>
      </c>
      <c r="CN723" s="512">
        <f t="shared" si="768"/>
        <v>195.03469061557522</v>
      </c>
      <c r="CO723" s="512">
        <f t="shared" si="768"/>
        <v>164.44063315294568</v>
      </c>
      <c r="CP723" s="515">
        <f t="shared" si="768"/>
        <v>125.67780354697906</v>
      </c>
      <c r="CQ723" s="512">
        <f t="shared" si="768"/>
        <v>129.35975012920775</v>
      </c>
      <c r="CR723" s="512">
        <f t="shared" si="768"/>
        <v>122.08768675311194</v>
      </c>
      <c r="CS723" s="512">
        <f t="shared" si="768"/>
        <v>153.64729846200487</v>
      </c>
      <c r="CT723" s="512">
        <f t="shared" si="768"/>
        <v>138.7763964415644</v>
      </c>
      <c r="CU723" s="512">
        <f t="shared" si="768"/>
        <v>122.09486237889624</v>
      </c>
      <c r="CV723" s="512">
        <f t="shared" si="768"/>
        <v>122.83016278247229</v>
      </c>
      <c r="CW723" s="512">
        <f t="shared" si="768"/>
        <v>143.17180662702862</v>
      </c>
      <c r="CX723" s="512">
        <f t="shared" si="768"/>
        <v>115.5815087056594</v>
      </c>
      <c r="CY723" s="512">
        <f t="shared" si="768"/>
        <v>165.38609906588039</v>
      </c>
      <c r="CZ723" s="512">
        <f t="shared" si="768"/>
        <v>196.19077385458357</v>
      </c>
      <c r="DA723" s="512">
        <f t="shared" si="768"/>
        <v>158.79279628529045</v>
      </c>
      <c r="DB723" s="1306">
        <f t="shared" si="768"/>
        <v>106.20265475848933</v>
      </c>
      <c r="DC723" s="512">
        <f t="shared" si="768"/>
        <v>125.96836946233627</v>
      </c>
      <c r="DD723" s="512">
        <f t="shared" si="768"/>
        <v>131.66420278981306</v>
      </c>
      <c r="DE723" s="512">
        <f t="shared" si="768"/>
        <v>140.17989622084536</v>
      </c>
      <c r="DF723" s="512">
        <f t="shared" si="768"/>
        <v>188.62283454332567</v>
      </c>
      <c r="DG723" s="512">
        <f t="shared" si="768"/>
        <v>113.83011072677702</v>
      </c>
      <c r="DH723" s="512">
        <f t="shared" si="768"/>
        <v>137.16723786298544</v>
      </c>
      <c r="DI723" s="512">
        <f t="shared" si="768"/>
        <v>200.68346245371302</v>
      </c>
      <c r="DJ723" s="512">
        <f t="shared" si="768"/>
        <v>120.3590521841204</v>
      </c>
      <c r="DK723" s="512">
        <f t="shared" si="768"/>
        <v>137.8281493125568</v>
      </c>
      <c r="DL723" s="512">
        <f t="shared" si="768"/>
        <v>189.5367868554427</v>
      </c>
      <c r="DM723" s="512">
        <f t="shared" si="768"/>
        <v>156.45357130101183</v>
      </c>
      <c r="DN723" s="515">
        <f t="shared" si="768"/>
        <v>101.78704168320186</v>
      </c>
      <c r="DO723" s="512">
        <f t="shared" si="768"/>
        <v>131.46487819369986</v>
      </c>
      <c r="DP723" s="512">
        <f t="shared" si="768"/>
        <v>158.15634457587427</v>
      </c>
      <c r="DQ723" s="512">
        <f t="shared" si="768"/>
        <v>132.709202966487</v>
      </c>
      <c r="DR723" s="512">
        <f t="shared" si="768"/>
        <v>183.79972800606998</v>
      </c>
      <c r="DS723" s="512">
        <f t="shared" si="768"/>
        <v>136.22093061931383</v>
      </c>
      <c r="DT723" s="512">
        <f t="shared" si="768"/>
        <v>117.4384778483159</v>
      </c>
      <c r="DU723" s="512"/>
      <c r="DV723" s="512"/>
      <c r="DW723" s="512"/>
      <c r="DX723" s="512"/>
      <c r="DY723" s="512"/>
      <c r="DZ723" s="515"/>
      <c r="EA723" s="512"/>
      <c r="EB723" s="512"/>
      <c r="EC723" s="512"/>
      <c r="ED723" s="512"/>
      <c r="EE723" s="512"/>
      <c r="EF723" s="512"/>
      <c r="EG723" s="512"/>
      <c r="EH723" s="512"/>
      <c r="EI723" s="512"/>
      <c r="EJ723" s="512"/>
      <c r="EK723" s="512"/>
      <c r="EL723" s="515"/>
      <c r="EM723" s="512"/>
      <c r="EN723" s="512"/>
      <c r="EO723" s="512"/>
      <c r="EP723" s="512"/>
      <c r="EQ723" s="512"/>
      <c r="ER723" s="512"/>
      <c r="ES723" s="512"/>
      <c r="ET723" s="512"/>
      <c r="EU723" s="512"/>
      <c r="EV723" s="512"/>
      <c r="EW723" s="512"/>
      <c r="EX723" s="515"/>
      <c r="EY723" s="512"/>
      <c r="EZ723" s="512"/>
      <c r="FA723" s="512"/>
      <c r="FB723" s="512"/>
      <c r="FC723" s="512"/>
      <c r="FD723" s="512"/>
      <c r="FE723" s="512"/>
      <c r="FF723" s="512"/>
      <c r="FG723" s="512"/>
      <c r="FH723" s="512"/>
      <c r="FI723" s="512"/>
      <c r="FJ723" s="515"/>
      <c r="FK723" s="512"/>
      <c r="FL723" s="512"/>
      <c r="FM723" s="512"/>
      <c r="FN723" s="512"/>
      <c r="FO723" s="512"/>
      <c r="FP723" s="512"/>
      <c r="FQ723" s="512"/>
      <c r="FR723" s="512"/>
      <c r="FS723" s="512"/>
      <c r="FT723" s="512"/>
      <c r="FU723" s="512"/>
      <c r="FV723" s="512"/>
      <c r="FW723" s="512"/>
      <c r="FX723" s="512"/>
      <c r="FY723" s="512"/>
      <c r="FZ723" s="512"/>
      <c r="GA723" s="512"/>
      <c r="GB723" s="512"/>
      <c r="GC723" s="512"/>
      <c r="GD723" s="512"/>
      <c r="GE723" s="512"/>
      <c r="GF723" s="512"/>
      <c r="GG723" s="512"/>
      <c r="GH723" s="512"/>
      <c r="GI723" s="512"/>
      <c r="GJ723" s="512"/>
      <c r="GK723" s="512"/>
      <c r="GL723" s="512"/>
      <c r="GM723" s="512"/>
      <c r="GN723" s="512"/>
      <c r="GO723" s="512"/>
      <c r="GP723" s="512"/>
      <c r="GQ723" s="512"/>
      <c r="GR723" s="512"/>
      <c r="GS723" s="512"/>
      <c r="GT723" s="512"/>
      <c r="GU723" s="512"/>
      <c r="GV723" s="512"/>
      <c r="GW723" s="512"/>
      <c r="GX723" s="512"/>
      <c r="GY723" s="512"/>
      <c r="GZ723" s="512"/>
      <c r="HA723" s="512"/>
      <c r="HB723" s="512"/>
      <c r="HC723" s="512"/>
      <c r="HD723" s="512"/>
      <c r="HE723" s="512"/>
      <c r="HF723" s="512"/>
      <c r="HG723" s="512"/>
      <c r="HH723" s="512"/>
      <c r="HI723" s="512"/>
      <c r="HJ723" s="512"/>
      <c r="HK723" s="512"/>
      <c r="HL723" s="512"/>
      <c r="HM723" s="512"/>
      <c r="HN723" s="512"/>
      <c r="HO723" s="512"/>
      <c r="HP723" s="512"/>
      <c r="HQ723" s="512"/>
      <c r="HR723" s="512"/>
      <c r="HS723" s="512"/>
      <c r="HT723" s="512"/>
      <c r="HU723" s="512"/>
      <c r="HV723" s="512"/>
      <c r="HW723" s="512"/>
      <c r="HX723" s="512"/>
      <c r="HY723" s="512"/>
      <c r="IA723" s="512"/>
      <c r="IB723" s="512"/>
      <c r="IC723" s="512"/>
      <c r="ID723" s="512">
        <f t="shared" ref="ID723:II723" si="769">ID$588</f>
        <v>1720.73</v>
      </c>
      <c r="IE723" s="279">
        <f t="shared" si="769"/>
        <v>765.79615694725749</v>
      </c>
      <c r="IF723" s="279">
        <f t="shared" si="769"/>
        <v>885.32563929693174</v>
      </c>
      <c r="IG723" s="512">
        <f t="shared" si="769"/>
        <v>1651.1217962441892</v>
      </c>
      <c r="IH723" s="279">
        <f t="shared" si="769"/>
        <v>837.43265160608269</v>
      </c>
      <c r="II723" s="279">
        <f t="shared" si="769"/>
        <v>906.64806379004654</v>
      </c>
      <c r="IJ723" s="520">
        <f t="shared" ref="IJ723:IV723" si="770">IJ$588</f>
        <v>1744.0807153961293</v>
      </c>
      <c r="IK723" s="279">
        <f t="shared" si="770"/>
        <v>859.78956220976079</v>
      </c>
      <c r="IM723" s="520">
        <f t="shared" si="770"/>
        <v>1868.0827388581215</v>
      </c>
      <c r="IP723" s="519">
        <f t="shared" si="770"/>
        <v>2187.5397808880507</v>
      </c>
      <c r="IS723" s="519">
        <f t="shared" si="770"/>
        <v>2611.6378944459902</v>
      </c>
      <c r="IT723" s="327"/>
      <c r="IU723" s="327"/>
      <c r="IV723" s="519">
        <f t="shared" si="770"/>
        <v>3253.1281054531019</v>
      </c>
      <c r="IW723" s="327"/>
      <c r="IX723" s="327"/>
      <c r="IY723" s="519">
        <f>IY$588</f>
        <v>3110.264227358336</v>
      </c>
      <c r="IZ723" s="327"/>
      <c r="JA723" s="327">
        <f>JA$588</f>
        <v>2129.9303387763566</v>
      </c>
      <c r="JB723" s="519" t="e">
        <f>#REF!</f>
        <v>#REF!</v>
      </c>
      <c r="JC723" s="327">
        <f>JE$588</f>
        <v>4645.0300090464289</v>
      </c>
      <c r="JD723" s="327">
        <f>JD$588</f>
        <v>2387.7375994288677</v>
      </c>
      <c r="JE723" s="519"/>
      <c r="JF723" s="327"/>
      <c r="JG723" s="327"/>
      <c r="JH723" s="519"/>
      <c r="JI723" s="327"/>
      <c r="JJ723" s="327"/>
      <c r="JK723" s="519"/>
      <c r="KY723" s="279">
        <f>KY$588</f>
        <v>0</v>
      </c>
      <c r="KZ723" s="279">
        <f>KZ$588</f>
        <v>0</v>
      </c>
      <c r="LA723" s="279">
        <f>LA$588</f>
        <v>0</v>
      </c>
      <c r="LB723" s="279">
        <f>LB$588</f>
        <v>0</v>
      </c>
    </row>
    <row r="724" spans="1:314" hidden="1">
      <c r="A724" s="279"/>
      <c r="B724" s="96" t="s">
        <v>338</v>
      </c>
      <c r="D724" s="517" t="str">
        <f>D$590</f>
        <v>Current expenditure</v>
      </c>
      <c r="E724" s="512">
        <f>E$590</f>
        <v>23.049126187904125</v>
      </c>
      <c r="F724" s="512">
        <f t="shared" ref="F724:L724" si="771">F$590</f>
        <v>27.275290033720001</v>
      </c>
      <c r="G724" s="512">
        <f t="shared" si="771"/>
        <v>19.999892517032499</v>
      </c>
      <c r="H724" s="512">
        <f t="shared" si="771"/>
        <v>31.891371869128271</v>
      </c>
      <c r="I724" s="512">
        <f t="shared" si="771"/>
        <v>20.123406727898001</v>
      </c>
      <c r="J724" s="512">
        <f t="shared" si="771"/>
        <v>14.928457022725899</v>
      </c>
      <c r="K724" s="512">
        <f t="shared" si="771"/>
        <v>41.172398845326299</v>
      </c>
      <c r="L724" s="512">
        <f t="shared" si="771"/>
        <v>28.417058326849602</v>
      </c>
      <c r="M724" s="512">
        <f t="shared" ref="M724:AW724" si="772">M$590</f>
        <v>21.096905660884005</v>
      </c>
      <c r="N724" s="512">
        <f t="shared" si="772"/>
        <v>31.08143864274</v>
      </c>
      <c r="O724" s="512">
        <f t="shared" si="772"/>
        <v>40.3587728961</v>
      </c>
      <c r="P724" s="512">
        <f t="shared" si="772"/>
        <v>13.24238293008</v>
      </c>
      <c r="Q724" s="512">
        <f t="shared" si="772"/>
        <v>30.5934780093916</v>
      </c>
      <c r="R724" s="512">
        <f t="shared" si="772"/>
        <v>26.812794099342703</v>
      </c>
      <c r="S724" s="512">
        <f t="shared" si="772"/>
        <v>25.449283516725</v>
      </c>
      <c r="T724" s="512">
        <f t="shared" si="772"/>
        <v>42.512664788264004</v>
      </c>
      <c r="U724" s="512">
        <f t="shared" si="772"/>
        <v>27.189123065655501</v>
      </c>
      <c r="V724" s="512">
        <f t="shared" si="772"/>
        <v>21.386345392392002</v>
      </c>
      <c r="W724" s="512">
        <f t="shared" si="772"/>
        <v>47.767398840349998</v>
      </c>
      <c r="X724" s="512">
        <f t="shared" si="772"/>
        <v>30.550656035408004</v>
      </c>
      <c r="Y724" s="512">
        <f t="shared" si="772"/>
        <v>23.123316767604802</v>
      </c>
      <c r="Z724" s="512">
        <f t="shared" si="772"/>
        <v>55.261770455573398</v>
      </c>
      <c r="AA724" s="512">
        <f t="shared" si="772"/>
        <v>23.605660323789401</v>
      </c>
      <c r="AB724" s="512">
        <f t="shared" si="772"/>
        <v>14.248494073706999</v>
      </c>
      <c r="AC724" s="512">
        <f t="shared" si="772"/>
        <v>39.830018351999996</v>
      </c>
      <c r="AD724" s="512">
        <f t="shared" si="772"/>
        <v>26.946588904000002</v>
      </c>
      <c r="AE724" s="512">
        <f t="shared" si="772"/>
        <v>42.166690292999995</v>
      </c>
      <c r="AF724" s="512">
        <f t="shared" si="772"/>
        <v>46.080097678999998</v>
      </c>
      <c r="AG724" s="512">
        <f t="shared" si="772"/>
        <v>27.68391914</v>
      </c>
      <c r="AH724" s="512">
        <f t="shared" si="772"/>
        <v>24.199724196000002</v>
      </c>
      <c r="AI724" s="512">
        <f t="shared" si="772"/>
        <v>38.809691094999998</v>
      </c>
      <c r="AJ724" s="512">
        <f t="shared" si="772"/>
        <v>35.037253449999994</v>
      </c>
      <c r="AK724" s="512">
        <f t="shared" si="772"/>
        <v>33.525973547</v>
      </c>
      <c r="AL724" s="512">
        <f t="shared" si="772"/>
        <v>51.814672684999998</v>
      </c>
      <c r="AM724" s="512">
        <f t="shared" si="772"/>
        <v>31.345127525999999</v>
      </c>
      <c r="AN724" s="512">
        <f t="shared" si="772"/>
        <v>26.933146282999999</v>
      </c>
      <c r="AO724" s="512">
        <f t="shared" si="772"/>
        <v>51.332787429259994</v>
      </c>
      <c r="AP724" s="512">
        <f t="shared" si="772"/>
        <v>26.07999909806</v>
      </c>
      <c r="AQ724" s="512">
        <f t="shared" si="772"/>
        <v>41.740248412327226</v>
      </c>
      <c r="AR724" s="512">
        <f t="shared" si="772"/>
        <v>43.27045286912</v>
      </c>
      <c r="AS724" s="512">
        <f t="shared" si="772"/>
        <v>48.382281150347993</v>
      </c>
      <c r="AT724" s="512">
        <f t="shared" si="772"/>
        <v>31.764888093065601</v>
      </c>
      <c r="AU724" s="512">
        <f t="shared" si="772"/>
        <v>34.288099717240001</v>
      </c>
      <c r="AV724" s="512">
        <f t="shared" si="772"/>
        <v>50.097461062880001</v>
      </c>
      <c r="AW724" s="512">
        <f t="shared" si="772"/>
        <v>40.327094347550002</v>
      </c>
      <c r="AX724" s="512">
        <f t="shared" ref="AX724:BP724" si="773">AX$590</f>
        <v>52.639374650080001</v>
      </c>
      <c r="AY724" s="512">
        <f t="shared" si="773"/>
        <v>43.554295972900796</v>
      </c>
      <c r="AZ724" s="512">
        <f t="shared" si="773"/>
        <v>37.488739377367494</v>
      </c>
      <c r="BA724" s="512">
        <f t="shared" si="773"/>
        <v>56.695010128</v>
      </c>
      <c r="BB724" s="512">
        <f t="shared" si="773"/>
        <v>32.663080004000001</v>
      </c>
      <c r="BC724" s="512">
        <f t="shared" si="773"/>
        <v>32.521742717999999</v>
      </c>
      <c r="BD724" s="512">
        <f t="shared" si="773"/>
        <v>61.918554928000006</v>
      </c>
      <c r="BE724" s="512">
        <f t="shared" si="773"/>
        <v>61.159198818</v>
      </c>
      <c r="BF724" s="512">
        <f t="shared" si="773"/>
        <v>25.041280118</v>
      </c>
      <c r="BG724" s="512">
        <f t="shared" si="773"/>
        <v>41.716657434999995</v>
      </c>
      <c r="BH724" s="512">
        <f t="shared" si="773"/>
        <v>63.464046401000004</v>
      </c>
      <c r="BI724" s="512">
        <f t="shared" si="773"/>
        <v>38.801061231999995</v>
      </c>
      <c r="BJ724" s="512">
        <f t="shared" si="773"/>
        <v>68.23604685382</v>
      </c>
      <c r="BK724" s="512">
        <f t="shared" si="773"/>
        <v>47.743873942000008</v>
      </c>
      <c r="BL724" s="512">
        <f t="shared" si="773"/>
        <v>38.517362037000005</v>
      </c>
      <c r="BM724" s="512">
        <f t="shared" si="773"/>
        <v>62.76197392489</v>
      </c>
      <c r="BN724" s="512">
        <f t="shared" si="773"/>
        <v>44.670436133479996</v>
      </c>
      <c r="BO724" s="512">
        <f t="shared" si="773"/>
        <v>43.792253893999998</v>
      </c>
      <c r="BP724" s="512">
        <f t="shared" si="773"/>
        <v>75.347840000000005</v>
      </c>
      <c r="BQ724" s="512">
        <f t="shared" ref="BQ724:DT724" si="774">BQ$590</f>
        <v>62.355729423849994</v>
      </c>
      <c r="BR724" s="512">
        <f t="shared" si="774"/>
        <v>27.30003376258</v>
      </c>
      <c r="BS724" s="512">
        <f t="shared" si="774"/>
        <v>60.656699999999994</v>
      </c>
      <c r="BT724" s="512">
        <f t="shared" si="774"/>
        <v>53.924499999999995</v>
      </c>
      <c r="BU724" s="512">
        <f t="shared" si="774"/>
        <v>38.252100000000006</v>
      </c>
      <c r="BV724" s="512">
        <f t="shared" si="774"/>
        <v>79.040957728000009</v>
      </c>
      <c r="BW724" s="512">
        <f t="shared" si="774"/>
        <v>50.433012564999999</v>
      </c>
      <c r="BX724" s="512">
        <f t="shared" si="774"/>
        <v>37.282628350000003</v>
      </c>
      <c r="BY724" s="512">
        <f t="shared" si="774"/>
        <v>59.44014836103436</v>
      </c>
      <c r="BZ724" s="512">
        <f t="shared" si="774"/>
        <v>60.16820487764555</v>
      </c>
      <c r="CA724" s="512">
        <f t="shared" si="774"/>
        <v>43.445561018246877</v>
      </c>
      <c r="CB724" s="512">
        <f t="shared" si="774"/>
        <v>79.086111894783954</v>
      </c>
      <c r="CC724" s="512">
        <f t="shared" si="774"/>
        <v>63.566453566213539</v>
      </c>
      <c r="CD724" s="514">
        <f t="shared" si="774"/>
        <v>33.973535486441499</v>
      </c>
      <c r="CE724" s="512">
        <f t="shared" si="774"/>
        <v>65.89267279420767</v>
      </c>
      <c r="CF724" s="512">
        <f t="shared" si="774"/>
        <v>57.698124104824529</v>
      </c>
      <c r="CG724" s="512">
        <f t="shared" si="774"/>
        <v>49.971496275656513</v>
      </c>
      <c r="CH724" s="512">
        <f t="shared" si="774"/>
        <v>98.422676236375139</v>
      </c>
      <c r="CI724" s="512">
        <f t="shared" si="774"/>
        <v>49.352782366961684</v>
      </c>
      <c r="CJ724" s="512">
        <f t="shared" si="774"/>
        <v>43.202628906906497</v>
      </c>
      <c r="CK724" s="512">
        <f t="shared" si="774"/>
        <v>89.589499932908524</v>
      </c>
      <c r="CL724" s="512">
        <f t="shared" si="774"/>
        <v>55.132372310596182</v>
      </c>
      <c r="CM724" s="512">
        <f t="shared" si="774"/>
        <v>49.958458260097075</v>
      </c>
      <c r="CN724" s="512">
        <f t="shared" si="774"/>
        <v>105.69323725464999</v>
      </c>
      <c r="CO724" s="512">
        <f t="shared" si="774"/>
        <v>72.35638998306149</v>
      </c>
      <c r="CP724" s="515">
        <f t="shared" si="774"/>
        <v>42.576317655317467</v>
      </c>
      <c r="CQ724" s="512">
        <f t="shared" si="774"/>
        <v>84.6445758897041</v>
      </c>
      <c r="CR724" s="512">
        <f t="shared" si="774"/>
        <v>60.559389158457925</v>
      </c>
      <c r="CS724" s="512">
        <f t="shared" si="774"/>
        <v>68.815025306874986</v>
      </c>
      <c r="CT724" s="512">
        <f t="shared" si="774"/>
        <v>86.102977654121617</v>
      </c>
      <c r="CU724" s="512">
        <f t="shared" si="774"/>
        <v>61.145606517232892</v>
      </c>
      <c r="CV724" s="512">
        <f t="shared" si="774"/>
        <v>65.339231641405675</v>
      </c>
      <c r="CW724" s="512">
        <f t="shared" si="774"/>
        <v>79.098195164108489</v>
      </c>
      <c r="CX724" s="512">
        <f t="shared" si="774"/>
        <v>58.352478099715235</v>
      </c>
      <c r="CY724" s="512">
        <f t="shared" si="774"/>
        <v>86.142963752456694</v>
      </c>
      <c r="CZ724" s="512">
        <f t="shared" si="774"/>
        <v>100.77455196925499</v>
      </c>
      <c r="DA724" s="512">
        <f t="shared" si="774"/>
        <v>78.566557604053159</v>
      </c>
      <c r="DB724" s="1306">
        <f t="shared" si="774"/>
        <v>36.16869034069822</v>
      </c>
      <c r="DC724" s="512">
        <f t="shared" si="774"/>
        <v>90.299541103874702</v>
      </c>
      <c r="DD724" s="512">
        <f t="shared" si="774"/>
        <v>64.770293596000002</v>
      </c>
      <c r="DE724" s="512">
        <f t="shared" si="774"/>
        <v>63.539698355399999</v>
      </c>
      <c r="DF724" s="512">
        <f t="shared" si="774"/>
        <v>118.66696784858111</v>
      </c>
      <c r="DG724" s="512">
        <f t="shared" si="774"/>
        <v>66.753478653000002</v>
      </c>
      <c r="DH724" s="512">
        <f t="shared" si="774"/>
        <v>68.00374049700001</v>
      </c>
      <c r="DI724" s="512">
        <f t="shared" si="774"/>
        <v>106.18571900198846</v>
      </c>
      <c r="DJ724" s="512">
        <f t="shared" si="774"/>
        <v>54.857941337869406</v>
      </c>
      <c r="DK724" s="512">
        <f t="shared" si="774"/>
        <v>81.728672669081334</v>
      </c>
      <c r="DL724" s="512">
        <f t="shared" si="774"/>
        <v>104.7810163737818</v>
      </c>
      <c r="DM724" s="512">
        <f t="shared" si="774"/>
        <v>64.938635477458448</v>
      </c>
      <c r="DN724" s="515">
        <f t="shared" si="774"/>
        <v>52.447596811461146</v>
      </c>
      <c r="DO724" s="512">
        <f t="shared" si="774"/>
        <v>94.189350121126623</v>
      </c>
      <c r="DP724" s="512">
        <f t="shared" si="774"/>
        <v>109.63174863150537</v>
      </c>
      <c r="DQ724" s="512">
        <f t="shared" si="774"/>
        <v>66.574285182477595</v>
      </c>
      <c r="DR724" s="512">
        <f t="shared" si="774"/>
        <v>126.42570926667855</v>
      </c>
      <c r="DS724" s="512">
        <f t="shared" si="774"/>
        <v>77.289427144100856</v>
      </c>
      <c r="DT724" s="512">
        <f t="shared" si="774"/>
        <v>76.312393625084894</v>
      </c>
      <c r="DU724" s="512"/>
      <c r="DV724" s="512"/>
      <c r="DW724" s="512"/>
      <c r="DX724" s="512"/>
      <c r="DY724" s="512"/>
      <c r="DZ724" s="515"/>
      <c r="EA724" s="512"/>
      <c r="EB724" s="512"/>
      <c r="EC724" s="512"/>
      <c r="ED724" s="512"/>
      <c r="EE724" s="512"/>
      <c r="EF724" s="512"/>
      <c r="EG724" s="512"/>
      <c r="EH724" s="512"/>
      <c r="EI724" s="512"/>
      <c r="EJ724" s="512"/>
      <c r="EK724" s="512"/>
      <c r="EL724" s="515"/>
      <c r="EM724" s="512"/>
      <c r="EN724" s="512"/>
      <c r="EO724" s="512"/>
      <c r="EP724" s="512"/>
      <c r="EQ724" s="512"/>
      <c r="ER724" s="512"/>
      <c r="ES724" s="512"/>
      <c r="ET724" s="512"/>
      <c r="EU724" s="512"/>
      <c r="EV724" s="512"/>
      <c r="EW724" s="512"/>
      <c r="EX724" s="515"/>
      <c r="EY724" s="512"/>
      <c r="EZ724" s="512"/>
      <c r="FA724" s="512"/>
      <c r="FB724" s="512"/>
      <c r="FC724" s="512"/>
      <c r="FD724" s="512"/>
      <c r="FE724" s="512"/>
      <c r="FF724" s="512"/>
      <c r="FG724" s="512"/>
      <c r="FH724" s="512"/>
      <c r="FI724" s="512"/>
      <c r="FJ724" s="515"/>
      <c r="FK724" s="512"/>
      <c r="FL724" s="512"/>
      <c r="FM724" s="512"/>
      <c r="FN724" s="512"/>
      <c r="FO724" s="512"/>
      <c r="FP724" s="512"/>
      <c r="FQ724" s="512"/>
      <c r="FR724" s="512"/>
      <c r="FS724" s="512"/>
      <c r="FT724" s="512"/>
      <c r="FU724" s="512"/>
      <c r="FV724" s="512"/>
      <c r="FW724" s="512"/>
      <c r="FX724" s="512"/>
      <c r="FY724" s="512"/>
      <c r="FZ724" s="512"/>
      <c r="GA724" s="512"/>
      <c r="GB724" s="512"/>
      <c r="GC724" s="512"/>
      <c r="GD724" s="512"/>
      <c r="GE724" s="512"/>
      <c r="GF724" s="512"/>
      <c r="GG724" s="512"/>
      <c r="GH724" s="512"/>
      <c r="GI724" s="512"/>
      <c r="GJ724" s="512"/>
      <c r="GK724" s="512"/>
      <c r="GL724" s="512"/>
      <c r="GM724" s="512"/>
      <c r="GN724" s="512"/>
      <c r="GO724" s="512"/>
      <c r="GP724" s="512"/>
      <c r="GQ724" s="512"/>
      <c r="GR724" s="512"/>
      <c r="GS724" s="512"/>
      <c r="GT724" s="512"/>
      <c r="GU724" s="512"/>
      <c r="GV724" s="512"/>
      <c r="GW724" s="512"/>
      <c r="GX724" s="512"/>
      <c r="GY724" s="512"/>
      <c r="GZ724" s="512"/>
      <c r="HA724" s="512"/>
      <c r="HB724" s="512"/>
      <c r="HC724" s="512"/>
      <c r="HD724" s="512"/>
      <c r="HE724" s="512"/>
      <c r="HF724" s="512"/>
      <c r="HG724" s="512"/>
      <c r="HH724" s="512"/>
      <c r="HI724" s="512"/>
      <c r="HJ724" s="512"/>
      <c r="HK724" s="512"/>
      <c r="HL724" s="512"/>
      <c r="HM724" s="512"/>
      <c r="HN724" s="512"/>
      <c r="HO724" s="512"/>
      <c r="HP724" s="512"/>
      <c r="HQ724" s="512"/>
      <c r="HR724" s="512"/>
      <c r="HS724" s="512"/>
      <c r="HT724" s="512"/>
      <c r="HU724" s="512"/>
      <c r="HV724" s="512"/>
      <c r="HW724" s="512"/>
      <c r="HX724" s="512"/>
      <c r="HY724" s="512"/>
      <c r="IA724" s="512"/>
      <c r="IB724" s="512"/>
      <c r="IC724" s="512"/>
      <c r="ID724" s="512">
        <f t="shared" ref="ID724:II724" si="775">ID$590</f>
        <v>834.73</v>
      </c>
      <c r="IE724" s="279">
        <f t="shared" si="775"/>
        <v>426.60680616779723</v>
      </c>
      <c r="IF724" s="279">
        <f t="shared" si="775"/>
        <v>439.10343693028676</v>
      </c>
      <c r="IG724" s="512">
        <f t="shared" si="775"/>
        <v>865.71024309808399</v>
      </c>
      <c r="IH724" s="279">
        <f t="shared" si="775"/>
        <v>472.03372005385575</v>
      </c>
      <c r="II724" s="279">
        <f t="shared" si="775"/>
        <v>464.93958167164061</v>
      </c>
      <c r="IJ724" s="520">
        <f t="shared" ref="IJ724:IV724" si="776">IJ$590</f>
        <v>936.97330172549641</v>
      </c>
      <c r="IK724" s="279">
        <f t="shared" si="776"/>
        <v>550.42291397097392</v>
      </c>
      <c r="IM724" s="520">
        <f t="shared" si="776"/>
        <v>1135.0275583060873</v>
      </c>
      <c r="IP724" s="519">
        <f t="shared" si="776"/>
        <v>1177.2772642778905</v>
      </c>
      <c r="IS724" s="519">
        <f t="shared" si="776"/>
        <v>1343.6050912542087</v>
      </c>
      <c r="IT724" s="327"/>
      <c r="IU724" s="327"/>
      <c r="IV724" s="519">
        <f t="shared" si="776"/>
        <v>1558.3598845633098</v>
      </c>
      <c r="IW724" s="327"/>
      <c r="IX724" s="327"/>
      <c r="IY724" s="519">
        <f>IY$590</f>
        <v>1670.0482916625929</v>
      </c>
      <c r="IZ724" s="327"/>
      <c r="JA724" s="327">
        <f>JA$590</f>
        <v>1376.0334963369123</v>
      </c>
      <c r="JB724" s="519" t="e">
        <f>#REF!</f>
        <v>#REF!</v>
      </c>
      <c r="JC724" s="327">
        <f>JE$590</f>
        <v>2766.9955743031351</v>
      </c>
      <c r="JD724" s="327">
        <f>JD$590</f>
        <v>1416.1512368952274</v>
      </c>
      <c r="JE724" s="519"/>
      <c r="JF724" s="327"/>
      <c r="JG724" s="327"/>
      <c r="JH724" s="519"/>
      <c r="JI724" s="327"/>
      <c r="JJ724" s="327"/>
      <c r="JK724" s="519"/>
      <c r="KY724" s="279">
        <f>KY$590</f>
        <v>0</v>
      </c>
      <c r="KZ724" s="279">
        <f>KZ$590</f>
        <v>0</v>
      </c>
      <c r="LA724" s="279">
        <f>LA$590</f>
        <v>0</v>
      </c>
      <c r="LB724" s="279">
        <f>LB$590</f>
        <v>0</v>
      </c>
    </row>
    <row r="725" spans="1:314" hidden="1">
      <c r="A725" s="279"/>
      <c r="D725" s="510" t="s">
        <v>825</v>
      </c>
      <c r="E725" s="512"/>
      <c r="F725" s="512"/>
      <c r="G725" s="512"/>
      <c r="H725" s="512"/>
      <c r="I725" s="512"/>
      <c r="J725" s="512"/>
      <c r="K725" s="512"/>
      <c r="L725" s="512"/>
      <c r="M725" s="512"/>
      <c r="N725" s="512"/>
      <c r="O725" s="512"/>
      <c r="P725" s="512"/>
      <c r="Q725" s="512"/>
      <c r="R725" s="512"/>
      <c r="S725" s="512"/>
      <c r="T725" s="512"/>
      <c r="U725" s="512"/>
      <c r="V725" s="512"/>
      <c r="W725" s="512"/>
      <c r="X725" s="512"/>
      <c r="Y725" s="512"/>
      <c r="Z725" s="512"/>
      <c r="AA725" s="512"/>
      <c r="AB725" s="512"/>
      <c r="AC725" s="512"/>
      <c r="AD725" s="512"/>
      <c r="AE725" s="512"/>
      <c r="AF725" s="512"/>
      <c r="AG725" s="512"/>
      <c r="AH725" s="512"/>
      <c r="AI725" s="512"/>
      <c r="AJ725" s="512"/>
      <c r="AK725" s="512"/>
      <c r="AL725" s="512"/>
      <c r="AM725" s="512"/>
      <c r="AN725" s="512"/>
      <c r="AO725" s="512"/>
      <c r="AP725" s="512"/>
      <c r="AQ725" s="512"/>
      <c r="AR725" s="512"/>
      <c r="AS725" s="512"/>
      <c r="AT725" s="512"/>
      <c r="AU725" s="512"/>
      <c r="AV725" s="512"/>
      <c r="AW725" s="512"/>
      <c r="AX725" s="512"/>
      <c r="AY725" s="512"/>
      <c r="AZ725" s="512"/>
      <c r="BA725" s="512"/>
      <c r="BB725" s="512"/>
      <c r="BC725" s="512"/>
      <c r="BD725" s="512"/>
      <c r="BE725" s="512"/>
      <c r="BF725" s="512"/>
      <c r="BG725" s="512"/>
      <c r="BH725" s="512"/>
      <c r="BI725" s="512"/>
      <c r="BJ725" s="512"/>
      <c r="BK725" s="512"/>
      <c r="BL725" s="512"/>
      <c r="BM725" s="512"/>
      <c r="BN725" s="512"/>
      <c r="BO725" s="512"/>
      <c r="BP725" s="512"/>
      <c r="BQ725" s="512"/>
      <c r="BR725" s="512"/>
      <c r="BS725" s="512"/>
      <c r="BT725" s="512"/>
      <c r="BU725" s="512"/>
      <c r="BV725" s="512"/>
      <c r="BW725" s="512"/>
      <c r="BX725" s="512"/>
      <c r="BY725" s="512"/>
      <c r="BZ725" s="512"/>
      <c r="CA725" s="512"/>
      <c r="CB725" s="512"/>
      <c r="CC725" s="512"/>
      <c r="CD725" s="514"/>
      <c r="CE725" s="512"/>
      <c r="CF725" s="512"/>
      <c r="CG725" s="512"/>
      <c r="CH725" s="512"/>
      <c r="CI725" s="512"/>
      <c r="CJ725" s="512"/>
      <c r="CK725" s="512"/>
      <c r="CL725" s="512"/>
      <c r="CM725" s="512"/>
      <c r="CN725" s="512"/>
      <c r="CO725" s="512"/>
      <c r="CP725" s="515"/>
      <c r="CQ725" s="512"/>
      <c r="CR725" s="512"/>
      <c r="CS725" s="512"/>
      <c r="CT725" s="512"/>
      <c r="CU725" s="512"/>
      <c r="CV725" s="512"/>
      <c r="CW725" s="512"/>
      <c r="CX725" s="512"/>
      <c r="CY725" s="512"/>
      <c r="CZ725" s="512"/>
      <c r="DA725" s="512"/>
      <c r="DB725" s="1306"/>
      <c r="DC725" s="512"/>
      <c r="DD725" s="512"/>
      <c r="DE725" s="512"/>
      <c r="DF725" s="512"/>
      <c r="DG725" s="512"/>
      <c r="DH725" s="512"/>
      <c r="DI725" s="512"/>
      <c r="DJ725" s="512"/>
      <c r="DK725" s="512"/>
      <c r="DL725" s="512"/>
      <c r="DM725" s="512"/>
      <c r="DN725" s="515"/>
      <c r="DO725" s="512"/>
      <c r="DP725" s="512"/>
      <c r="DQ725" s="512"/>
      <c r="DR725" s="512"/>
      <c r="DS725" s="512"/>
      <c r="DT725" s="512"/>
      <c r="DU725" s="512"/>
      <c r="DV725" s="512"/>
      <c r="DW725" s="512"/>
      <c r="DX725" s="512"/>
      <c r="DY725" s="512"/>
      <c r="DZ725" s="515"/>
      <c r="EA725" s="512"/>
      <c r="EB725" s="512"/>
      <c r="EC725" s="512"/>
      <c r="ED725" s="512"/>
      <c r="EE725" s="512"/>
      <c r="EF725" s="512"/>
      <c r="EG725" s="512"/>
      <c r="EH725" s="512"/>
      <c r="EI725" s="512"/>
      <c r="EJ725" s="512"/>
      <c r="EK725" s="512"/>
      <c r="EL725" s="515"/>
      <c r="EM725" s="512"/>
      <c r="EN725" s="512"/>
      <c r="EO725" s="512"/>
      <c r="EP725" s="512"/>
      <c r="EQ725" s="512"/>
      <c r="ER725" s="512"/>
      <c r="ES725" s="512"/>
      <c r="ET725" s="512"/>
      <c r="EU725" s="512"/>
      <c r="EV725" s="512"/>
      <c r="EW725" s="512"/>
      <c r="EX725" s="515"/>
      <c r="EY725" s="512"/>
      <c r="EZ725" s="512"/>
      <c r="FA725" s="512"/>
      <c r="FB725" s="512"/>
      <c r="FC725" s="512"/>
      <c r="FD725" s="512"/>
      <c r="FE725" s="512"/>
      <c r="FF725" s="512"/>
      <c r="FG725" s="512"/>
      <c r="FH725" s="512"/>
      <c r="FI725" s="512"/>
      <c r="FJ725" s="515"/>
      <c r="FK725" s="512"/>
      <c r="FL725" s="512"/>
      <c r="FM725" s="512"/>
      <c r="FN725" s="512"/>
      <c r="FO725" s="512"/>
      <c r="FP725" s="512"/>
      <c r="FQ725" s="512"/>
      <c r="FR725" s="512"/>
      <c r="FS725" s="512"/>
      <c r="FT725" s="512"/>
      <c r="FU725" s="512"/>
      <c r="FV725" s="512"/>
      <c r="FW725" s="512"/>
      <c r="FX725" s="512"/>
      <c r="FY725" s="512"/>
      <c r="FZ725" s="512"/>
      <c r="GA725" s="512"/>
      <c r="GB725" s="512"/>
      <c r="GC725" s="512"/>
      <c r="GD725" s="512"/>
      <c r="GE725" s="512"/>
      <c r="GF725" s="512"/>
      <c r="GG725" s="512"/>
      <c r="GH725" s="512"/>
      <c r="GI725" s="512"/>
      <c r="GJ725" s="512"/>
      <c r="GK725" s="512"/>
      <c r="GL725" s="512"/>
      <c r="GM725" s="512"/>
      <c r="GN725" s="512"/>
      <c r="GO725" s="512"/>
      <c r="GP725" s="512"/>
      <c r="GQ725" s="512"/>
      <c r="GR725" s="512"/>
      <c r="GS725" s="512"/>
      <c r="GT725" s="512"/>
      <c r="GU725" s="512"/>
      <c r="GV725" s="512"/>
      <c r="GW725" s="512"/>
      <c r="GX725" s="512"/>
      <c r="GY725" s="512"/>
      <c r="GZ725" s="512"/>
      <c r="HA725" s="512"/>
      <c r="HB725" s="512"/>
      <c r="HC725" s="512"/>
      <c r="HD725" s="512"/>
      <c r="HE725" s="512"/>
      <c r="HF725" s="512"/>
      <c r="HG725" s="512"/>
      <c r="HH725" s="512"/>
      <c r="HI725" s="512"/>
      <c r="HJ725" s="512"/>
      <c r="HK725" s="512"/>
      <c r="HL725" s="512"/>
      <c r="HM725" s="512"/>
      <c r="HN725" s="512"/>
      <c r="HO725" s="512"/>
      <c r="HP725" s="512"/>
      <c r="HQ725" s="512"/>
      <c r="HR725" s="512"/>
      <c r="HS725" s="512"/>
      <c r="HT725" s="512"/>
      <c r="HU725" s="512"/>
      <c r="HV725" s="512"/>
      <c r="HW725" s="512"/>
      <c r="HX725" s="512"/>
      <c r="HY725" s="512"/>
      <c r="IA725" s="512"/>
      <c r="IB725" s="512"/>
      <c r="IC725" s="512"/>
      <c r="ID725" s="512"/>
      <c r="IG725" s="512"/>
      <c r="IJ725" s="520"/>
      <c r="IM725" s="520"/>
      <c r="IP725" s="519"/>
      <c r="IS725" s="519"/>
      <c r="IT725" s="327"/>
      <c r="IU725" s="327"/>
      <c r="IV725" s="519"/>
      <c r="IW725" s="327"/>
      <c r="IX725" s="327"/>
      <c r="IY725" s="519"/>
      <c r="IZ725" s="327"/>
      <c r="JA725" s="327"/>
      <c r="JB725" s="519"/>
      <c r="JC725" s="327"/>
      <c r="JD725" s="327"/>
      <c r="JE725" s="519"/>
      <c r="JF725" s="327"/>
      <c r="JG725" s="327"/>
      <c r="JH725" s="519"/>
      <c r="JI725" s="327"/>
      <c r="JJ725" s="327"/>
      <c r="JK725" s="519"/>
    </row>
    <row r="726" spans="1:314" hidden="1">
      <c r="A726" s="279"/>
      <c r="B726" s="96" t="s">
        <v>338</v>
      </c>
      <c r="D726" s="517" t="str">
        <f>D$621</f>
        <v>Capital expenditure</v>
      </c>
      <c r="E726" s="512">
        <f>E$621</f>
        <v>3.5838200000000002</v>
      </c>
      <c r="F726" s="512">
        <f t="shared" ref="F726:L726" si="777">F$621</f>
        <v>6.07545</v>
      </c>
      <c r="G726" s="512">
        <f t="shared" si="777"/>
        <v>31.038969999999999</v>
      </c>
      <c r="H726" s="512">
        <f t="shared" si="777"/>
        <v>7.6555400000000002</v>
      </c>
      <c r="I726" s="512">
        <f t="shared" si="777"/>
        <v>2.6138300000000001</v>
      </c>
      <c r="J726" s="512">
        <f t="shared" si="777"/>
        <v>29.6614</v>
      </c>
      <c r="K726" s="512">
        <f t="shared" si="777"/>
        <v>14.90522</v>
      </c>
      <c r="L726" s="512">
        <f t="shared" si="777"/>
        <v>4.9962</v>
      </c>
      <c r="M726" s="512">
        <f t="shared" ref="M726:AW726" si="778">M$621</f>
        <v>35.02093</v>
      </c>
      <c r="N726" s="512">
        <f t="shared" si="778"/>
        <v>4.1402399999999995</v>
      </c>
      <c r="O726" s="512">
        <f t="shared" si="778"/>
        <v>12.62506</v>
      </c>
      <c r="P726" s="512">
        <f t="shared" si="778"/>
        <v>33.861910000000002</v>
      </c>
      <c r="Q726" s="512">
        <f t="shared" si="778"/>
        <v>6.6938699999999995</v>
      </c>
      <c r="R726" s="512">
        <f t="shared" si="778"/>
        <v>6.6217100000000002</v>
      </c>
      <c r="S726" s="512">
        <f t="shared" si="778"/>
        <v>28.064729999999997</v>
      </c>
      <c r="T726" s="512">
        <f t="shared" si="778"/>
        <v>13.2995</v>
      </c>
      <c r="U726" s="512">
        <f t="shared" si="778"/>
        <v>5.5477400000000001</v>
      </c>
      <c r="V726" s="512">
        <f t="shared" si="778"/>
        <v>35.823459999999997</v>
      </c>
      <c r="W726" s="512">
        <f t="shared" si="778"/>
        <v>11.525399999999999</v>
      </c>
      <c r="X726" s="512">
        <f t="shared" si="778"/>
        <v>11.975370000000002</v>
      </c>
      <c r="Y726" s="512">
        <f t="shared" si="778"/>
        <v>44.228030000000004</v>
      </c>
      <c r="Z726" s="512">
        <f t="shared" si="778"/>
        <v>28.940909999999999</v>
      </c>
      <c r="AA726" s="512">
        <f t="shared" si="778"/>
        <v>6.9695499999999999</v>
      </c>
      <c r="AB726" s="512">
        <f t="shared" si="778"/>
        <v>68.065079999999995</v>
      </c>
      <c r="AC726" s="512">
        <f t="shared" si="778"/>
        <v>8.5546699999999998</v>
      </c>
      <c r="AD726" s="512">
        <f t="shared" si="778"/>
        <v>8.9667000000000012</v>
      </c>
      <c r="AE726" s="512">
        <f t="shared" si="778"/>
        <v>56.542300000000004</v>
      </c>
      <c r="AF726" s="512">
        <f t="shared" si="778"/>
        <v>12.328989999999999</v>
      </c>
      <c r="AG726" s="512">
        <f t="shared" si="778"/>
        <v>14.137729999999999</v>
      </c>
      <c r="AH726" s="512">
        <f t="shared" si="778"/>
        <v>33.673471012000007</v>
      </c>
      <c r="AI726" s="512">
        <f t="shared" si="778"/>
        <v>6.9567500000000004</v>
      </c>
      <c r="AJ726" s="512">
        <f t="shared" si="778"/>
        <v>7.8944300000000007</v>
      </c>
      <c r="AK726" s="512">
        <f t="shared" si="778"/>
        <v>48.635571945000009</v>
      </c>
      <c r="AL726" s="512">
        <f t="shared" si="778"/>
        <v>20.7941</v>
      </c>
      <c r="AM726" s="512">
        <f t="shared" si="778"/>
        <v>21.200900000000001</v>
      </c>
      <c r="AN726" s="512">
        <f t="shared" si="778"/>
        <v>55.547347470999995</v>
      </c>
      <c r="AO726" s="512">
        <f t="shared" si="778"/>
        <v>15.105780000000001</v>
      </c>
      <c r="AP726" s="512">
        <f t="shared" si="778"/>
        <v>13.18632</v>
      </c>
      <c r="AQ726" s="512">
        <f t="shared" si="778"/>
        <v>39.436275601999995</v>
      </c>
      <c r="AR726" s="512">
        <f t="shared" si="778"/>
        <v>21.793560000000003</v>
      </c>
      <c r="AS726" s="512">
        <f t="shared" si="778"/>
        <v>18.903689999999997</v>
      </c>
      <c r="AT726" s="512">
        <f t="shared" si="778"/>
        <v>46.176469328000003</v>
      </c>
      <c r="AU726" s="512">
        <f t="shared" si="778"/>
        <v>14.740819999999999</v>
      </c>
      <c r="AV726" s="512">
        <f t="shared" si="778"/>
        <v>13.9329</v>
      </c>
      <c r="AW726" s="512">
        <f t="shared" si="778"/>
        <v>54.321416559999996</v>
      </c>
      <c r="AX726" s="512">
        <f t="shared" ref="AX726:BP726" si="779">AX$621</f>
        <v>20.9</v>
      </c>
      <c r="AY726" s="512">
        <f t="shared" si="779"/>
        <v>15.603999999999999</v>
      </c>
      <c r="AZ726" s="512">
        <f t="shared" si="779"/>
        <v>75.994112141000002</v>
      </c>
      <c r="BA726" s="512">
        <f t="shared" si="779"/>
        <v>22.111249999999998</v>
      </c>
      <c r="BB726" s="512">
        <f t="shared" si="779"/>
        <v>11.667159999999999</v>
      </c>
      <c r="BC726" s="512">
        <f t="shared" si="779"/>
        <v>95.749857354999989</v>
      </c>
      <c r="BD726" s="512">
        <f t="shared" si="779"/>
        <v>22.31202</v>
      </c>
      <c r="BE726" s="512">
        <f t="shared" si="779"/>
        <v>33.052900000000001</v>
      </c>
      <c r="BF726" s="512">
        <f t="shared" si="779"/>
        <v>57.496123629000003</v>
      </c>
      <c r="BG726" s="512">
        <f t="shared" si="779"/>
        <v>6.3758999999999997</v>
      </c>
      <c r="BH726" s="512">
        <f t="shared" si="779"/>
        <v>19.89939</v>
      </c>
      <c r="BI726" s="512">
        <f t="shared" si="779"/>
        <v>57.363894709</v>
      </c>
      <c r="BJ726" s="512">
        <f t="shared" si="779"/>
        <v>33.236025999999995</v>
      </c>
      <c r="BK726" s="512">
        <f t="shared" si="779"/>
        <v>17.411060000000003</v>
      </c>
      <c r="BL726" s="512">
        <f t="shared" si="779"/>
        <v>79.907373401000001</v>
      </c>
      <c r="BM726" s="512">
        <f t="shared" si="779"/>
        <v>21.286360000000002</v>
      </c>
      <c r="BN726" s="512">
        <f t="shared" si="779"/>
        <v>12.03393</v>
      </c>
      <c r="BO726" s="512">
        <f t="shared" si="779"/>
        <v>83.532420236999997</v>
      </c>
      <c r="BP726" s="512">
        <f t="shared" si="779"/>
        <v>31.707180000000001</v>
      </c>
      <c r="BQ726" s="512">
        <f t="shared" ref="BQ726:DT726" si="780">BQ$621</f>
        <v>46.85219</v>
      </c>
      <c r="BR726" s="512">
        <f t="shared" si="780"/>
        <v>85.686844824000005</v>
      </c>
      <c r="BS726" s="512">
        <f t="shared" si="780"/>
        <v>8.992799999999999</v>
      </c>
      <c r="BT726" s="512">
        <f t="shared" si="780"/>
        <v>14.1875</v>
      </c>
      <c r="BU726" s="512">
        <f t="shared" si="780"/>
        <v>96.263000000000005</v>
      </c>
      <c r="BV726" s="512">
        <f t="shared" si="780"/>
        <v>38.280104581000003</v>
      </c>
      <c r="BW726" s="512">
        <f t="shared" si="780"/>
        <v>19.21824221</v>
      </c>
      <c r="BX726" s="512">
        <f t="shared" si="780"/>
        <v>3.4928711909999999</v>
      </c>
      <c r="BY726" s="512">
        <f t="shared" si="780"/>
        <v>16.503664744000002</v>
      </c>
      <c r="BZ726" s="512">
        <f t="shared" si="780"/>
        <v>16.912173433</v>
      </c>
      <c r="CA726" s="512">
        <f t="shared" si="780"/>
        <v>14.65821757</v>
      </c>
      <c r="CB726" s="512">
        <f t="shared" si="780"/>
        <v>45.488008786000002</v>
      </c>
      <c r="CC726" s="512">
        <f t="shared" si="780"/>
        <v>30.685310925</v>
      </c>
      <c r="CD726" s="514">
        <f t="shared" si="780"/>
        <v>20.505813729</v>
      </c>
      <c r="CE726" s="512">
        <f t="shared" si="780"/>
        <v>41.2617130557717</v>
      </c>
      <c r="CF726" s="512">
        <f t="shared" si="780"/>
        <v>37.17538064973381</v>
      </c>
      <c r="CG726" s="512">
        <f t="shared" si="780"/>
        <v>53.445989574294494</v>
      </c>
      <c r="CH726" s="512">
        <f t="shared" si="780"/>
        <v>82.420480696949596</v>
      </c>
      <c r="CI726" s="512">
        <f t="shared" si="780"/>
        <v>60.886008184135449</v>
      </c>
      <c r="CJ726" s="512">
        <f t="shared" si="780"/>
        <v>42.579808483000946</v>
      </c>
      <c r="CK726" s="512">
        <f t="shared" si="780"/>
        <v>56.982814007968308</v>
      </c>
      <c r="CL726" s="512">
        <f t="shared" si="780"/>
        <v>40.9527558704347</v>
      </c>
      <c r="CM726" s="512">
        <f t="shared" si="780"/>
        <v>51.482509808918991</v>
      </c>
      <c r="CN726" s="512">
        <f t="shared" si="780"/>
        <v>88.999417981925205</v>
      </c>
      <c r="CO726" s="512">
        <f t="shared" si="780"/>
        <v>88.940306068884169</v>
      </c>
      <c r="CP726" s="515">
        <f t="shared" si="780"/>
        <v>67.403896435661594</v>
      </c>
      <c r="CQ726" s="512">
        <f t="shared" si="780"/>
        <v>41.366723220573093</v>
      </c>
      <c r="CR726" s="512">
        <f t="shared" si="780"/>
        <v>55.946810373654017</v>
      </c>
      <c r="CS726" s="512">
        <f t="shared" si="780"/>
        <v>54.704821243129892</v>
      </c>
      <c r="CT726" s="512">
        <f t="shared" si="780"/>
        <v>50.93435579744277</v>
      </c>
      <c r="CU726" s="512">
        <f t="shared" si="780"/>
        <v>56.903799219663341</v>
      </c>
      <c r="CV726" s="512">
        <f t="shared" si="780"/>
        <v>54.665931141066608</v>
      </c>
      <c r="CW726" s="512">
        <f t="shared" si="780"/>
        <v>60.370438979920124</v>
      </c>
      <c r="CX726" s="512">
        <f t="shared" si="780"/>
        <v>50.503025629944176</v>
      </c>
      <c r="CY726" s="512">
        <f t="shared" si="780"/>
        <v>72.544012313423679</v>
      </c>
      <c r="CZ726" s="512">
        <f t="shared" si="780"/>
        <v>95.416221885328582</v>
      </c>
      <c r="DA726" s="512">
        <f t="shared" si="780"/>
        <v>76.826238681237285</v>
      </c>
      <c r="DB726" s="1306">
        <f t="shared" si="780"/>
        <v>66.733964417791114</v>
      </c>
      <c r="DC726" s="512">
        <f t="shared" si="780"/>
        <v>30.36882835846157</v>
      </c>
      <c r="DD726" s="512">
        <f t="shared" si="780"/>
        <v>53.546315360813068</v>
      </c>
      <c r="DE726" s="512">
        <f t="shared" si="780"/>
        <v>67.721006700445358</v>
      </c>
      <c r="DF726" s="512">
        <f t="shared" si="780"/>
        <v>66.419180079744535</v>
      </c>
      <c r="DG726" s="512">
        <f t="shared" si="780"/>
        <v>42.704010729777025</v>
      </c>
      <c r="DH726" s="512">
        <f t="shared" si="780"/>
        <v>65.649444742985438</v>
      </c>
      <c r="DI726" s="512">
        <f t="shared" si="780"/>
        <v>73.345099980724569</v>
      </c>
      <c r="DJ726" s="512">
        <f t="shared" si="780"/>
        <v>54.263418018250981</v>
      </c>
      <c r="DK726" s="512">
        <f t="shared" si="780"/>
        <v>53.286854318475463</v>
      </c>
      <c r="DL726" s="512">
        <f t="shared" si="780"/>
        <v>81.7123276946609</v>
      </c>
      <c r="DM726" s="512">
        <f t="shared" si="780"/>
        <v>88.639935823553401</v>
      </c>
      <c r="DN726" s="515">
        <f t="shared" si="780"/>
        <v>41.029110838740706</v>
      </c>
      <c r="DO726" s="512">
        <f t="shared" si="780"/>
        <v>32.377517218573232</v>
      </c>
      <c r="DP726" s="512">
        <f t="shared" si="780"/>
        <v>41.617956931368916</v>
      </c>
      <c r="DQ726" s="512">
        <f t="shared" si="780"/>
        <v>59.315382764009399</v>
      </c>
      <c r="DR726" s="512">
        <f t="shared" si="780"/>
        <v>45.921103915391427</v>
      </c>
      <c r="DS726" s="512">
        <f t="shared" si="780"/>
        <v>51.287430824213004</v>
      </c>
      <c r="DT726" s="512">
        <f t="shared" si="780"/>
        <v>35.131086007230998</v>
      </c>
      <c r="DU726" s="512"/>
      <c r="DV726" s="512"/>
      <c r="DW726" s="512"/>
      <c r="DX726" s="512"/>
      <c r="DY726" s="512"/>
      <c r="DZ726" s="515"/>
      <c r="EA726" s="512"/>
      <c r="EB726" s="512"/>
      <c r="EC726" s="512"/>
      <c r="ED726" s="512"/>
      <c r="EE726" s="512"/>
      <c r="EF726" s="512"/>
      <c r="EG726" s="512"/>
      <c r="EH726" s="512"/>
      <c r="EI726" s="512"/>
      <c r="EJ726" s="512"/>
      <c r="EK726" s="512"/>
      <c r="EL726" s="515"/>
      <c r="EM726" s="512"/>
      <c r="EN726" s="512"/>
      <c r="EO726" s="512"/>
      <c r="EP726" s="512"/>
      <c r="EQ726" s="512"/>
      <c r="ER726" s="512"/>
      <c r="ES726" s="512"/>
      <c r="ET726" s="512"/>
      <c r="EU726" s="512"/>
      <c r="EV726" s="512"/>
      <c r="EW726" s="512"/>
      <c r="EX726" s="515"/>
      <c r="EY726" s="512"/>
      <c r="EZ726" s="512"/>
      <c r="FA726" s="512"/>
      <c r="FB726" s="512"/>
      <c r="FC726" s="512"/>
      <c r="FD726" s="512"/>
      <c r="FE726" s="512"/>
      <c r="FF726" s="512"/>
      <c r="FG726" s="512"/>
      <c r="FH726" s="512"/>
      <c r="FI726" s="512"/>
      <c r="FJ726" s="515"/>
      <c r="FK726" s="512"/>
      <c r="FL726" s="512"/>
      <c r="FM726" s="512"/>
      <c r="FN726" s="512"/>
      <c r="FO726" s="512"/>
      <c r="FP726" s="512"/>
      <c r="FQ726" s="512"/>
      <c r="FR726" s="512"/>
      <c r="FS726" s="512"/>
      <c r="FT726" s="512"/>
      <c r="FU726" s="512"/>
      <c r="FV726" s="512"/>
      <c r="FW726" s="512"/>
      <c r="FX726" s="512"/>
      <c r="FY726" s="512"/>
      <c r="FZ726" s="512"/>
      <c r="GA726" s="512"/>
      <c r="GB726" s="512"/>
      <c r="GC726" s="512"/>
      <c r="GD726" s="512"/>
      <c r="GE726" s="512"/>
      <c r="GF726" s="512"/>
      <c r="GG726" s="512"/>
      <c r="GH726" s="512"/>
      <c r="GI726" s="512"/>
      <c r="GJ726" s="512"/>
      <c r="GK726" s="512"/>
      <c r="GL726" s="512"/>
      <c r="GM726" s="512"/>
      <c r="GN726" s="512"/>
      <c r="GO726" s="512"/>
      <c r="GP726" s="512"/>
      <c r="GQ726" s="512"/>
      <c r="GR726" s="512"/>
      <c r="GS726" s="512"/>
      <c r="GT726" s="512"/>
      <c r="GU726" s="512"/>
      <c r="GV726" s="512"/>
      <c r="GW726" s="512"/>
      <c r="GX726" s="512"/>
      <c r="GY726" s="512"/>
      <c r="GZ726" s="512"/>
      <c r="HA726" s="512"/>
      <c r="HB726" s="512"/>
      <c r="HC726" s="512"/>
      <c r="HD726" s="512"/>
      <c r="HE726" s="512"/>
      <c r="HF726" s="512"/>
      <c r="HG726" s="512"/>
      <c r="HH726" s="512"/>
      <c r="HI726" s="512"/>
      <c r="HJ726" s="512"/>
      <c r="HK726" s="512"/>
      <c r="HL726" s="512"/>
      <c r="HM726" s="512"/>
      <c r="HN726" s="512"/>
      <c r="HO726" s="512"/>
      <c r="HP726" s="512"/>
      <c r="HQ726" s="512"/>
      <c r="HR726" s="512"/>
      <c r="HS726" s="512"/>
      <c r="HT726" s="512"/>
      <c r="HU726" s="512"/>
      <c r="HV726" s="512"/>
      <c r="HW726" s="512"/>
      <c r="HX726" s="512"/>
      <c r="HY726" s="512"/>
      <c r="IA726" s="512"/>
      <c r="IB726" s="512"/>
      <c r="IC726" s="512"/>
      <c r="ID726" s="512">
        <f t="shared" ref="ID726:II726" si="781">ID$621</f>
        <v>769.8</v>
      </c>
      <c r="IE726" s="279">
        <f t="shared" si="781"/>
        <v>314.52244099552973</v>
      </c>
      <c r="IF726" s="279">
        <f t="shared" si="781"/>
        <v>422.39390190764493</v>
      </c>
      <c r="IG726" s="512">
        <f t="shared" si="781"/>
        <v>736.91634290317461</v>
      </c>
      <c r="IH726" s="279">
        <f t="shared" si="781"/>
        <v>326.40878597222695</v>
      </c>
      <c r="II726" s="279">
        <f t="shared" si="781"/>
        <v>392.27674667440601</v>
      </c>
      <c r="IJ726" s="520">
        <f t="shared" ref="IJ726:IV726" si="782">IJ$621</f>
        <v>718.68553264663296</v>
      </c>
      <c r="IK726" s="279">
        <f t="shared" si="782"/>
        <v>265.65047766078698</v>
      </c>
      <c r="IM726" s="520">
        <f t="shared" si="782"/>
        <v>619.21825934003436</v>
      </c>
      <c r="IP726" s="519">
        <f t="shared" si="782"/>
        <v>850.21990038716001</v>
      </c>
      <c r="IS726" s="519">
        <f t="shared" si="782"/>
        <v>1071.7092455117818</v>
      </c>
      <c r="IT726" s="327"/>
      <c r="IU726" s="327"/>
      <c r="IV726" s="519">
        <f t="shared" si="782"/>
        <v>1294.7440302694517</v>
      </c>
      <c r="IW726" s="327"/>
      <c r="IX726" s="327"/>
      <c r="IY726" s="519">
        <f>IY$621</f>
        <v>1140.4189543084346</v>
      </c>
      <c r="IZ726" s="327"/>
      <c r="JA726" s="327">
        <f>JA$621</f>
        <v>611.62464130294745</v>
      </c>
      <c r="JB726" s="519" t="e">
        <f>#REF!</f>
        <v>#REF!</v>
      </c>
      <c r="JC726" s="327">
        <f>JE$621</f>
        <v>1578.9108109260483</v>
      </c>
      <c r="JD726" s="327">
        <f>JD$621</f>
        <v>816.32184274101724</v>
      </c>
      <c r="JE726" s="519"/>
      <c r="JF726" s="327"/>
      <c r="JG726" s="327"/>
      <c r="JH726" s="519"/>
      <c r="JI726" s="327"/>
      <c r="JJ726" s="327"/>
      <c r="JK726" s="519"/>
      <c r="KY726" s="279">
        <f>KY$621</f>
        <v>0</v>
      </c>
      <c r="KZ726" s="279">
        <f>KZ$621</f>
        <v>0</v>
      </c>
      <c r="LA726" s="279">
        <f>LA$621</f>
        <v>0</v>
      </c>
      <c r="LB726" s="279">
        <f>LB$621</f>
        <v>0</v>
      </c>
    </row>
    <row r="727" spans="1:314" hidden="1">
      <c r="A727" s="279"/>
      <c r="D727" s="517" t="s">
        <v>824</v>
      </c>
      <c r="E727" s="512"/>
      <c r="F727" s="512"/>
      <c r="G727" s="512"/>
      <c r="H727" s="512"/>
      <c r="I727" s="512"/>
      <c r="J727" s="512"/>
      <c r="K727" s="512"/>
      <c r="L727" s="512"/>
      <c r="M727" s="512"/>
      <c r="N727" s="512"/>
      <c r="O727" s="512"/>
      <c r="P727" s="512"/>
      <c r="Q727" s="512"/>
      <c r="R727" s="512"/>
      <c r="S727" s="512"/>
      <c r="T727" s="512"/>
      <c r="U727" s="512"/>
      <c r="V727" s="512"/>
      <c r="W727" s="512"/>
      <c r="X727" s="512"/>
      <c r="Y727" s="512"/>
      <c r="Z727" s="512"/>
      <c r="AA727" s="512"/>
      <c r="AB727" s="512"/>
      <c r="AC727" s="512"/>
      <c r="AD727" s="512"/>
      <c r="AE727" s="512"/>
      <c r="AF727" s="512"/>
      <c r="AG727" s="512"/>
      <c r="AH727" s="512"/>
      <c r="AI727" s="512"/>
      <c r="AJ727" s="512"/>
      <c r="AK727" s="512"/>
      <c r="AL727" s="512"/>
      <c r="AM727" s="512"/>
      <c r="AN727" s="512"/>
      <c r="AO727" s="512"/>
      <c r="AP727" s="512"/>
      <c r="AQ727" s="512"/>
      <c r="AR727" s="512"/>
      <c r="AS727" s="512"/>
      <c r="AT727" s="512"/>
      <c r="AU727" s="512"/>
      <c r="AV727" s="512"/>
      <c r="AW727" s="512"/>
      <c r="AX727" s="512"/>
      <c r="AY727" s="512"/>
      <c r="AZ727" s="512"/>
      <c r="BA727" s="512"/>
      <c r="BB727" s="512"/>
      <c r="BC727" s="512"/>
      <c r="BD727" s="512"/>
      <c r="BE727" s="512"/>
      <c r="BF727" s="512"/>
      <c r="BG727" s="512"/>
      <c r="BH727" s="512"/>
      <c r="BI727" s="512"/>
      <c r="BJ727" s="512"/>
      <c r="BK727" s="512"/>
      <c r="BL727" s="512"/>
      <c r="BM727" s="512"/>
      <c r="BN727" s="512"/>
      <c r="BO727" s="512"/>
      <c r="BP727" s="512"/>
      <c r="BQ727" s="512"/>
      <c r="BR727" s="512"/>
      <c r="BS727" s="512"/>
      <c r="BT727" s="512"/>
      <c r="BU727" s="512"/>
      <c r="BV727" s="512"/>
      <c r="BW727" s="512"/>
      <c r="BX727" s="512"/>
      <c r="BY727" s="512"/>
      <c r="BZ727" s="512"/>
      <c r="CA727" s="512"/>
      <c r="CB727" s="512"/>
      <c r="CC727" s="512"/>
      <c r="CD727" s="514"/>
      <c r="CE727" s="512"/>
      <c r="CF727" s="512"/>
      <c r="CG727" s="512"/>
      <c r="CH727" s="512"/>
      <c r="CI727" s="512"/>
      <c r="CJ727" s="512"/>
      <c r="CK727" s="512"/>
      <c r="CL727" s="512"/>
      <c r="CM727" s="512"/>
      <c r="CN727" s="512"/>
      <c r="CO727" s="512"/>
      <c r="CP727" s="515"/>
      <c r="CQ727" s="512"/>
      <c r="CR727" s="512"/>
      <c r="CS727" s="512"/>
      <c r="CT727" s="512"/>
      <c r="CU727" s="512"/>
      <c r="CV727" s="512"/>
      <c r="CW727" s="512"/>
      <c r="CX727" s="512"/>
      <c r="CY727" s="512"/>
      <c r="CZ727" s="512"/>
      <c r="DA727" s="512"/>
      <c r="DB727" s="1306"/>
      <c r="DC727" s="512"/>
      <c r="DD727" s="512"/>
      <c r="DE727" s="512"/>
      <c r="DF727" s="512"/>
      <c r="DG727" s="512"/>
      <c r="DH727" s="512"/>
      <c r="DI727" s="512"/>
      <c r="DJ727" s="512"/>
      <c r="DK727" s="512"/>
      <c r="DL727" s="512"/>
      <c r="DM727" s="512"/>
      <c r="DN727" s="515"/>
      <c r="DO727" s="512"/>
      <c r="DP727" s="512"/>
      <c r="DQ727" s="512"/>
      <c r="DR727" s="512"/>
      <c r="DS727" s="512"/>
      <c r="DT727" s="512"/>
      <c r="DU727" s="512"/>
      <c r="DV727" s="512"/>
      <c r="DW727" s="512"/>
      <c r="DX727" s="512"/>
      <c r="DY727" s="512"/>
      <c r="DZ727" s="515"/>
      <c r="EA727" s="512"/>
      <c r="EB727" s="512"/>
      <c r="EC727" s="512"/>
      <c r="ED727" s="512"/>
      <c r="EE727" s="512"/>
      <c r="EF727" s="512"/>
      <c r="EG727" s="512"/>
      <c r="EH727" s="512"/>
      <c r="EI727" s="512"/>
      <c r="EJ727" s="512"/>
      <c r="EK727" s="512"/>
      <c r="EL727" s="515"/>
      <c r="EM727" s="512"/>
      <c r="EN727" s="512"/>
      <c r="EO727" s="512"/>
      <c r="EP727" s="512"/>
      <c r="EQ727" s="512"/>
      <c r="ER727" s="512"/>
      <c r="ES727" s="512"/>
      <c r="ET727" s="512"/>
      <c r="EU727" s="512"/>
      <c r="EV727" s="512"/>
      <c r="EW727" s="512"/>
      <c r="EX727" s="515"/>
      <c r="EY727" s="512"/>
      <c r="EZ727" s="512"/>
      <c r="FA727" s="512"/>
      <c r="FB727" s="512"/>
      <c r="FC727" s="512"/>
      <c r="FD727" s="512"/>
      <c r="FE727" s="512"/>
      <c r="FF727" s="512"/>
      <c r="FG727" s="512"/>
      <c r="FH727" s="512"/>
      <c r="FI727" s="512"/>
      <c r="FJ727" s="515"/>
      <c r="FK727" s="512"/>
      <c r="FL727" s="512"/>
      <c r="FM727" s="512"/>
      <c r="FN727" s="512"/>
      <c r="FO727" s="512"/>
      <c r="FP727" s="512"/>
      <c r="FQ727" s="512"/>
      <c r="FR727" s="512"/>
      <c r="FS727" s="512"/>
      <c r="FT727" s="512"/>
      <c r="FU727" s="512"/>
      <c r="FV727" s="512"/>
      <c r="FW727" s="512"/>
      <c r="FX727" s="512"/>
      <c r="FY727" s="512"/>
      <c r="FZ727" s="512"/>
      <c r="GA727" s="512"/>
      <c r="GB727" s="512"/>
      <c r="GC727" s="512"/>
      <c r="GD727" s="512"/>
      <c r="GE727" s="512"/>
      <c r="GF727" s="512"/>
      <c r="GG727" s="512"/>
      <c r="GH727" s="512"/>
      <c r="GI727" s="512"/>
      <c r="GJ727" s="512"/>
      <c r="GK727" s="512"/>
      <c r="GL727" s="512"/>
      <c r="GM727" s="512"/>
      <c r="GN727" s="512"/>
      <c r="GO727" s="512"/>
      <c r="GP727" s="512"/>
      <c r="GQ727" s="512"/>
      <c r="GR727" s="512"/>
      <c r="GS727" s="512"/>
      <c r="GT727" s="512"/>
      <c r="GU727" s="512"/>
      <c r="GV727" s="512"/>
      <c r="GW727" s="512"/>
      <c r="GX727" s="512"/>
      <c r="GY727" s="512"/>
      <c r="GZ727" s="512"/>
      <c r="HA727" s="512"/>
      <c r="HB727" s="512"/>
      <c r="HC727" s="512"/>
      <c r="HD727" s="512"/>
      <c r="HE727" s="512"/>
      <c r="HF727" s="512"/>
      <c r="HG727" s="512"/>
      <c r="HH727" s="512"/>
      <c r="HI727" s="512"/>
      <c r="HJ727" s="512"/>
      <c r="HK727" s="512"/>
      <c r="HL727" s="512"/>
      <c r="HM727" s="512"/>
      <c r="HN727" s="512"/>
      <c r="HO727" s="512"/>
      <c r="HP727" s="512"/>
      <c r="HQ727" s="512"/>
      <c r="HR727" s="512"/>
      <c r="HS727" s="512"/>
      <c r="HT727" s="512"/>
      <c r="HU727" s="512"/>
      <c r="HV727" s="512"/>
      <c r="HW727" s="512"/>
      <c r="HX727" s="512"/>
      <c r="HY727" s="512"/>
      <c r="IA727" s="512"/>
      <c r="IB727" s="512"/>
      <c r="IC727" s="512"/>
      <c r="ID727" s="512"/>
      <c r="IG727" s="512"/>
      <c r="IJ727" s="520"/>
      <c r="IM727" s="520"/>
      <c r="IP727" s="519"/>
      <c r="IS727" s="519"/>
      <c r="IT727" s="327"/>
      <c r="IU727" s="327"/>
      <c r="IV727" s="519"/>
      <c r="IW727" s="327"/>
      <c r="IX727" s="327"/>
      <c r="IY727" s="519"/>
      <c r="IZ727" s="327"/>
      <c r="JA727" s="327"/>
      <c r="JB727" s="519"/>
      <c r="JC727" s="327"/>
      <c r="JD727" s="327"/>
      <c r="JE727" s="519"/>
      <c r="JF727" s="327"/>
      <c r="JG727" s="327"/>
      <c r="JH727" s="519"/>
      <c r="JI727" s="327"/>
      <c r="JJ727" s="327"/>
      <c r="JK727" s="519"/>
    </row>
    <row r="728" spans="1:314" hidden="1">
      <c r="A728" s="279"/>
      <c r="B728" s="96" t="s">
        <v>338</v>
      </c>
      <c r="D728" s="517" t="str">
        <f>D$635</f>
        <v>Net lending</v>
      </c>
      <c r="E728" s="512">
        <f>E$635</f>
        <v>4.4808999999999992</v>
      </c>
      <c r="F728" s="512">
        <f t="shared" ref="F728:L728" si="783">F$635</f>
        <v>0.57850000000000001</v>
      </c>
      <c r="G728" s="512">
        <f t="shared" si="783"/>
        <v>0.15159999999999998</v>
      </c>
      <c r="H728" s="512">
        <f t="shared" si="783"/>
        <v>0.72110000000000007</v>
      </c>
      <c r="I728" s="512">
        <f t="shared" si="783"/>
        <v>1.4757</v>
      </c>
      <c r="J728" s="512">
        <f t="shared" si="783"/>
        <v>0.59010000000000007</v>
      </c>
      <c r="K728" s="512">
        <f t="shared" si="783"/>
        <v>-0.26730000000000004</v>
      </c>
      <c r="L728" s="512">
        <f t="shared" si="783"/>
        <v>-1.0087000000000002</v>
      </c>
      <c r="M728" s="512">
        <f t="shared" ref="M728:AW728" si="784">M$635</f>
        <v>0.75060000000000004</v>
      </c>
      <c r="N728" s="512">
        <f t="shared" si="784"/>
        <v>4.8931000000000004</v>
      </c>
      <c r="O728" s="512">
        <f t="shared" si="784"/>
        <v>-21.798400000000001</v>
      </c>
      <c r="P728" s="512">
        <f t="shared" si="784"/>
        <v>1.3607</v>
      </c>
      <c r="Q728" s="512">
        <f t="shared" si="784"/>
        <v>0.31260000000000004</v>
      </c>
      <c r="R728" s="512">
        <f t="shared" si="784"/>
        <v>1.4419999999999999</v>
      </c>
      <c r="S728" s="512">
        <f t="shared" si="784"/>
        <v>1.0884</v>
      </c>
      <c r="T728" s="512">
        <f t="shared" si="784"/>
        <v>5.3588999999999993</v>
      </c>
      <c r="U728" s="512">
        <f t="shared" si="784"/>
        <v>0.35420000000000001</v>
      </c>
      <c r="V728" s="512">
        <f t="shared" si="784"/>
        <v>-7.8616999999999999</v>
      </c>
      <c r="W728" s="512">
        <f t="shared" si="784"/>
        <v>0.92549999999999999</v>
      </c>
      <c r="X728" s="512">
        <f t="shared" si="784"/>
        <v>1.9539000000000002</v>
      </c>
      <c r="Y728" s="512">
        <f t="shared" si="784"/>
        <v>4.4584999999999999</v>
      </c>
      <c r="Z728" s="512">
        <f t="shared" si="784"/>
        <v>3.9155000000000002</v>
      </c>
      <c r="AA728" s="512">
        <f t="shared" si="784"/>
        <v>4.3900000000000002E-2</v>
      </c>
      <c r="AB728" s="512">
        <f t="shared" si="784"/>
        <v>1.4965999999999999</v>
      </c>
      <c r="AC728" s="512">
        <f t="shared" si="784"/>
        <v>0.88112000000000001</v>
      </c>
      <c r="AD728" s="512">
        <f t="shared" si="784"/>
        <v>0.87414000000000003</v>
      </c>
      <c r="AE728" s="512">
        <f t="shared" si="784"/>
        <v>2.13029</v>
      </c>
      <c r="AF728" s="512">
        <f t="shared" si="784"/>
        <v>3.5615399999999999</v>
      </c>
      <c r="AG728" s="512">
        <f t="shared" si="784"/>
        <v>0.21575</v>
      </c>
      <c r="AH728" s="512">
        <f t="shared" si="784"/>
        <v>0.72760999999999998</v>
      </c>
      <c r="AI728" s="512">
        <f t="shared" si="784"/>
        <v>0.9607</v>
      </c>
      <c r="AJ728" s="512">
        <f t="shared" si="784"/>
        <v>2.2653000000000003</v>
      </c>
      <c r="AK728" s="512">
        <f t="shared" si="784"/>
        <v>18.787800000000001</v>
      </c>
      <c r="AL728" s="512">
        <f t="shared" si="784"/>
        <v>1.1427400000000001</v>
      </c>
      <c r="AM728" s="512">
        <f t="shared" si="784"/>
        <v>0</v>
      </c>
      <c r="AN728" s="512">
        <f t="shared" si="784"/>
        <v>3.13571</v>
      </c>
      <c r="AO728" s="512">
        <f t="shared" si="784"/>
        <v>-0.13950000000000001</v>
      </c>
      <c r="AP728" s="512">
        <f t="shared" si="784"/>
        <v>1.3267</v>
      </c>
      <c r="AQ728" s="512">
        <f t="shared" si="784"/>
        <v>3.6400999999999999</v>
      </c>
      <c r="AR728" s="512">
        <f t="shared" si="784"/>
        <v>2.0970999999999997</v>
      </c>
      <c r="AS728" s="512">
        <f t="shared" si="784"/>
        <v>-1.6924000000000001</v>
      </c>
      <c r="AT728" s="512">
        <f t="shared" si="784"/>
        <v>-1.0112999999999999</v>
      </c>
      <c r="AU728" s="512">
        <f t="shared" si="784"/>
        <v>3.3176300000000003</v>
      </c>
      <c r="AV728" s="512">
        <f t="shared" si="784"/>
        <v>11.5092</v>
      </c>
      <c r="AW728" s="512">
        <f t="shared" si="784"/>
        <v>4.6128</v>
      </c>
      <c r="AX728" s="512">
        <f t="shared" ref="AX728:BP728" si="785">AX$635</f>
        <v>2.8586999999999998</v>
      </c>
      <c r="AY728" s="512">
        <f t="shared" si="785"/>
        <v>-2.7444999999999999</v>
      </c>
      <c r="AZ728" s="512">
        <f t="shared" si="785"/>
        <v>4.5314399999999999</v>
      </c>
      <c r="BA728" s="512">
        <f t="shared" si="785"/>
        <v>-14.367799999999999</v>
      </c>
      <c r="BB728" s="512">
        <f t="shared" si="785"/>
        <v>1.4282000000000001</v>
      </c>
      <c r="BC728" s="512">
        <f t="shared" si="785"/>
        <v>3.7641</v>
      </c>
      <c r="BD728" s="512">
        <f t="shared" si="785"/>
        <v>2.3226999999999998</v>
      </c>
      <c r="BE728" s="512">
        <f t="shared" si="785"/>
        <v>0.3296</v>
      </c>
      <c r="BF728" s="512">
        <f t="shared" si="785"/>
        <v>0.90039999999999998</v>
      </c>
      <c r="BG728" s="512">
        <f t="shared" si="785"/>
        <v>2.0684</v>
      </c>
      <c r="BH728" s="512">
        <f t="shared" si="785"/>
        <v>2.0551399999999997</v>
      </c>
      <c r="BI728" s="512">
        <f t="shared" si="785"/>
        <v>-15.192024999999997</v>
      </c>
      <c r="BJ728" s="512">
        <f t="shared" si="785"/>
        <v>-9.2360449710000001</v>
      </c>
      <c r="BK728" s="512">
        <f t="shared" si="785"/>
        <v>2.0120999999999998</v>
      </c>
      <c r="BL728" s="512">
        <f t="shared" si="785"/>
        <v>1.6644000000000001</v>
      </c>
      <c r="BM728" s="512">
        <f t="shared" si="785"/>
        <v>1.6830000000000001</v>
      </c>
      <c r="BN728" s="512">
        <f t="shared" si="785"/>
        <v>2.7917700000000001</v>
      </c>
      <c r="BO728" s="512">
        <f t="shared" si="785"/>
        <v>4.0394603039999994</v>
      </c>
      <c r="BP728" s="512">
        <f t="shared" si="785"/>
        <v>4.2030000000000003</v>
      </c>
      <c r="BQ728" s="512">
        <f t="shared" ref="BQ728:DT728" si="786">BQ$635</f>
        <v>2.6143000000000001</v>
      </c>
      <c r="BR728" s="512">
        <f t="shared" si="786"/>
        <v>1.0662</v>
      </c>
      <c r="BS728" s="512">
        <f t="shared" si="786"/>
        <v>4.0785999999999998</v>
      </c>
      <c r="BT728" s="512">
        <f t="shared" si="786"/>
        <v>0.35580000000000001</v>
      </c>
      <c r="BU728" s="512">
        <f t="shared" si="786"/>
        <v>2.0322999999999998</v>
      </c>
      <c r="BV728" s="512">
        <f t="shared" si="786"/>
        <v>4.5972335040000001</v>
      </c>
      <c r="BW728" s="512">
        <f t="shared" si="786"/>
        <v>2.9477860690000002</v>
      </c>
      <c r="BX728" s="512">
        <f t="shared" si="786"/>
        <v>0.49817592700000002</v>
      </c>
      <c r="BY728" s="512">
        <f t="shared" si="786"/>
        <v>4.1115559690000003</v>
      </c>
      <c r="BZ728" s="512">
        <f t="shared" si="786"/>
        <v>3.1786107289999999</v>
      </c>
      <c r="CA728" s="512">
        <f t="shared" si="786"/>
        <v>1.199526503</v>
      </c>
      <c r="CB728" s="512">
        <f t="shared" si="786"/>
        <v>2.77495387</v>
      </c>
      <c r="CC728" s="512">
        <f t="shared" si="786"/>
        <v>108.363833485</v>
      </c>
      <c r="CD728" s="514">
        <f t="shared" si="786"/>
        <v>8.1158711050000001</v>
      </c>
      <c r="CE728" s="512">
        <f t="shared" si="786"/>
        <v>-31.756337806999998</v>
      </c>
      <c r="CF728" s="512">
        <f t="shared" si="786"/>
        <v>21.540410693999998</v>
      </c>
      <c r="CG728" s="512">
        <f t="shared" si="786"/>
        <v>4.644406139</v>
      </c>
      <c r="CH728" s="512">
        <f t="shared" si="786"/>
        <v>3.6906665100000002</v>
      </c>
      <c r="CI728" s="512">
        <f t="shared" si="786"/>
        <v>4.000771845</v>
      </c>
      <c r="CJ728" s="512">
        <f t="shared" si="786"/>
        <v>2.8386170709999998</v>
      </c>
      <c r="CK728" s="512">
        <f t="shared" si="786"/>
        <v>9.5043488400000005</v>
      </c>
      <c r="CL728" s="512">
        <f t="shared" si="786"/>
        <v>1.934691419</v>
      </c>
      <c r="CM728" s="512">
        <f t="shared" si="786"/>
        <v>13.501548335997581</v>
      </c>
      <c r="CN728" s="512">
        <f t="shared" si="786"/>
        <v>0.34203537899999997</v>
      </c>
      <c r="CO728" s="512">
        <f t="shared" si="786"/>
        <v>3.1439371009999997</v>
      </c>
      <c r="CP728" s="515">
        <f t="shared" si="786"/>
        <v>15.697589456000001</v>
      </c>
      <c r="CQ728" s="512">
        <f t="shared" si="786"/>
        <v>3.3484510189305601</v>
      </c>
      <c r="CR728" s="512">
        <f t="shared" si="786"/>
        <v>5.5814872209999997</v>
      </c>
      <c r="CS728" s="512">
        <f t="shared" si="786"/>
        <v>30.127451912000001</v>
      </c>
      <c r="CT728" s="512">
        <f t="shared" si="786"/>
        <v>1.7390629900000001</v>
      </c>
      <c r="CU728" s="512">
        <f t="shared" si="786"/>
        <v>4.0454566419999995</v>
      </c>
      <c r="CV728" s="512">
        <f t="shared" si="786"/>
        <v>2.8249999999999997</v>
      </c>
      <c r="CW728" s="512">
        <f t="shared" si="786"/>
        <v>3.7031724830000003</v>
      </c>
      <c r="CX728" s="512">
        <f t="shared" si="786"/>
        <v>6.7260049760000005</v>
      </c>
      <c r="CY728" s="512">
        <f t="shared" si="786"/>
        <v>6.6991230000000002</v>
      </c>
      <c r="CZ728" s="512">
        <f t="shared" si="786"/>
        <v>0</v>
      </c>
      <c r="DA728" s="512">
        <f t="shared" si="786"/>
        <v>3.4</v>
      </c>
      <c r="DB728" s="1306">
        <f t="shared" si="786"/>
        <v>3.3</v>
      </c>
      <c r="DC728" s="512">
        <f t="shared" si="786"/>
        <v>5.3</v>
      </c>
      <c r="DD728" s="512">
        <f t="shared" si="786"/>
        <v>13.347593833000001</v>
      </c>
      <c r="DE728" s="512">
        <f t="shared" si="786"/>
        <v>8.9191911649999991</v>
      </c>
      <c r="DF728" s="512">
        <f t="shared" si="786"/>
        <v>3.5366866149999998</v>
      </c>
      <c r="DG728" s="512">
        <f t="shared" si="786"/>
        <v>4.3726213439999997</v>
      </c>
      <c r="DH728" s="512">
        <f t="shared" si="786"/>
        <v>3.514052623</v>
      </c>
      <c r="DI728" s="512">
        <f t="shared" si="786"/>
        <v>21.152643470999998</v>
      </c>
      <c r="DJ728" s="512">
        <f t="shared" si="786"/>
        <v>11.237692828</v>
      </c>
      <c r="DK728" s="512">
        <f t="shared" si="786"/>
        <v>2.812622325</v>
      </c>
      <c r="DL728" s="512">
        <f t="shared" si="786"/>
        <v>3.043442787</v>
      </c>
      <c r="DM728" s="512">
        <f t="shared" si="786"/>
        <v>2.875</v>
      </c>
      <c r="DN728" s="515">
        <f t="shared" si="786"/>
        <v>8.3103340330000002</v>
      </c>
      <c r="DO728" s="512">
        <f t="shared" si="786"/>
        <v>4.8980108539999998</v>
      </c>
      <c r="DP728" s="512">
        <f t="shared" si="786"/>
        <v>6.9066390129999995</v>
      </c>
      <c r="DQ728" s="512">
        <f t="shared" si="786"/>
        <v>6.81953502</v>
      </c>
      <c r="DR728" s="512">
        <f t="shared" si="786"/>
        <v>11.452914823999999</v>
      </c>
      <c r="DS728" s="512">
        <f t="shared" si="786"/>
        <v>7.6440726510000001</v>
      </c>
      <c r="DT728" s="512">
        <f t="shared" si="786"/>
        <v>5.9949982159999999</v>
      </c>
      <c r="DU728" s="512"/>
      <c r="DV728" s="512"/>
      <c r="DW728" s="512"/>
      <c r="DX728" s="512"/>
      <c r="DY728" s="512"/>
      <c r="DZ728" s="515"/>
      <c r="EA728" s="512"/>
      <c r="EB728" s="512"/>
      <c r="EC728" s="512"/>
      <c r="ED728" s="512"/>
      <c r="EE728" s="512"/>
      <c r="EF728" s="512"/>
      <c r="EG728" s="512"/>
      <c r="EH728" s="512"/>
      <c r="EI728" s="512"/>
      <c r="EJ728" s="512"/>
      <c r="EK728" s="512"/>
      <c r="EL728" s="515"/>
      <c r="EM728" s="512"/>
      <c r="EN728" s="512"/>
      <c r="EO728" s="512"/>
      <c r="EP728" s="512"/>
      <c r="EQ728" s="512"/>
      <c r="ER728" s="512"/>
      <c r="ES728" s="512"/>
      <c r="ET728" s="512"/>
      <c r="EU728" s="512"/>
      <c r="EV728" s="512"/>
      <c r="EW728" s="512"/>
      <c r="EX728" s="515"/>
      <c r="EY728" s="512"/>
      <c r="EZ728" s="512"/>
      <c r="FA728" s="512"/>
      <c r="FB728" s="512"/>
      <c r="FC728" s="512"/>
      <c r="FD728" s="512"/>
      <c r="FE728" s="512"/>
      <c r="FF728" s="512"/>
      <c r="FG728" s="512"/>
      <c r="FH728" s="512"/>
      <c r="FI728" s="512"/>
      <c r="FJ728" s="515"/>
      <c r="FK728" s="512"/>
      <c r="FL728" s="512"/>
      <c r="FM728" s="512"/>
      <c r="FN728" s="512"/>
      <c r="FO728" s="512"/>
      <c r="FP728" s="512"/>
      <c r="FQ728" s="512"/>
      <c r="FR728" s="512"/>
      <c r="FS728" s="512"/>
      <c r="FT728" s="512"/>
      <c r="FU728" s="512"/>
      <c r="FV728" s="512"/>
      <c r="FW728" s="512"/>
      <c r="FX728" s="512"/>
      <c r="FY728" s="512"/>
      <c r="FZ728" s="512"/>
      <c r="GA728" s="512"/>
      <c r="GB728" s="512"/>
      <c r="GC728" s="512"/>
      <c r="GD728" s="512"/>
      <c r="GE728" s="512"/>
      <c r="GF728" s="512"/>
      <c r="GG728" s="512"/>
      <c r="GH728" s="512"/>
      <c r="GI728" s="512"/>
      <c r="GJ728" s="512"/>
      <c r="GK728" s="512"/>
      <c r="GL728" s="512"/>
      <c r="GM728" s="512"/>
      <c r="GN728" s="512"/>
      <c r="GO728" s="512"/>
      <c r="GP728" s="512"/>
      <c r="GQ728" s="512"/>
      <c r="GR728" s="512"/>
      <c r="GS728" s="512"/>
      <c r="GT728" s="512"/>
      <c r="GU728" s="512"/>
      <c r="GV728" s="512"/>
      <c r="GW728" s="512"/>
      <c r="GX728" s="512"/>
      <c r="GY728" s="512"/>
      <c r="GZ728" s="512"/>
      <c r="HA728" s="512"/>
      <c r="HB728" s="512"/>
      <c r="HC728" s="512"/>
      <c r="HD728" s="512"/>
      <c r="HE728" s="512"/>
      <c r="HF728" s="512"/>
      <c r="HG728" s="512"/>
      <c r="HH728" s="512"/>
      <c r="HI728" s="512"/>
      <c r="HJ728" s="512"/>
      <c r="HK728" s="512"/>
      <c r="HL728" s="512"/>
      <c r="HM728" s="512"/>
      <c r="HN728" s="512"/>
      <c r="HO728" s="512"/>
      <c r="HP728" s="512"/>
      <c r="HQ728" s="512"/>
      <c r="HR728" s="512"/>
      <c r="HS728" s="512"/>
      <c r="HT728" s="512"/>
      <c r="HU728" s="512"/>
      <c r="HV728" s="512"/>
      <c r="HW728" s="512"/>
      <c r="HX728" s="512"/>
      <c r="HY728" s="512"/>
      <c r="IA728" s="512"/>
      <c r="IB728" s="512"/>
      <c r="IC728" s="512"/>
      <c r="ID728" s="512">
        <f t="shared" ref="ID728:II728" si="787">ID$635</f>
        <v>116.19999999999999</v>
      </c>
      <c r="IE728" s="279">
        <f t="shared" si="787"/>
        <v>24.666909783930556</v>
      </c>
      <c r="IF728" s="279">
        <f t="shared" si="787"/>
        <v>23.828300458999998</v>
      </c>
      <c r="IG728" s="512">
        <f t="shared" si="787"/>
        <v>48.495210242930554</v>
      </c>
      <c r="IH728" s="279">
        <f t="shared" si="787"/>
        <v>38.990145579999997</v>
      </c>
      <c r="II728" s="279">
        <f t="shared" si="787"/>
        <v>49.431735443999997</v>
      </c>
      <c r="IJ728" s="520">
        <f t="shared" ref="IJ728:IV728" si="788">IJ$635</f>
        <v>88.421881023999987</v>
      </c>
      <c r="IK728" s="279">
        <f t="shared" si="788"/>
        <v>43.716170577999996</v>
      </c>
      <c r="IM728" s="520">
        <f t="shared" si="788"/>
        <v>113.83692121199999</v>
      </c>
      <c r="IP728" s="519">
        <f t="shared" si="788"/>
        <v>160.04261622299998</v>
      </c>
      <c r="IS728" s="519">
        <f t="shared" si="788"/>
        <v>196.32355768000002</v>
      </c>
      <c r="IT728" s="327"/>
      <c r="IU728" s="327"/>
      <c r="IV728" s="519">
        <f t="shared" si="788"/>
        <v>400.02419062033982</v>
      </c>
      <c r="IW728" s="327"/>
      <c r="IX728" s="327"/>
      <c r="IY728" s="519">
        <f>IY$635</f>
        <v>299.79698138730896</v>
      </c>
      <c r="IZ728" s="327"/>
      <c r="JA728" s="327">
        <f>JA$635</f>
        <v>142.27220113649676</v>
      </c>
      <c r="JB728" s="519" t="e">
        <f>#REF!</f>
        <v>#REF!</v>
      </c>
      <c r="JC728" s="327">
        <f>JE$635</f>
        <v>299.12362381724523</v>
      </c>
      <c r="JD728" s="327">
        <f>JD$635</f>
        <v>155.26451979262262</v>
      </c>
      <c r="JE728" s="519"/>
      <c r="JF728" s="327"/>
      <c r="JG728" s="327"/>
      <c r="JH728" s="519"/>
      <c r="JI728" s="327"/>
      <c r="JJ728" s="327"/>
      <c r="JK728" s="519"/>
      <c r="KY728" s="279">
        <f>KY$635</f>
        <v>0</v>
      </c>
      <c r="KZ728" s="279">
        <f>KZ$635</f>
        <v>0</v>
      </c>
      <c r="LA728" s="279">
        <f>LA$635</f>
        <v>0</v>
      </c>
      <c r="LB728" s="279">
        <f>LB$635</f>
        <v>0</v>
      </c>
    </row>
    <row r="729" spans="1:314" hidden="1">
      <c r="A729" s="279"/>
      <c r="B729" s="96" t="s">
        <v>338</v>
      </c>
      <c r="D729" s="513" t="str">
        <f>D$656</f>
        <v>Overall deficit (payment order)</v>
      </c>
      <c r="E729" s="512"/>
      <c r="F729" s="512"/>
      <c r="G729" s="512"/>
      <c r="H729" s="512"/>
      <c r="I729" s="512"/>
      <c r="J729" s="512"/>
      <c r="K729" s="512"/>
      <c r="L729" s="512"/>
      <c r="M729" s="512"/>
      <c r="N729" s="512"/>
      <c r="O729" s="512"/>
      <c r="P729" s="512"/>
      <c r="Q729" s="512"/>
      <c r="R729" s="512"/>
      <c r="S729" s="512"/>
      <c r="T729" s="512"/>
      <c r="U729" s="512"/>
      <c r="V729" s="512"/>
      <c r="W729" s="512"/>
      <c r="X729" s="512"/>
      <c r="Y729" s="512"/>
      <c r="Z729" s="512"/>
      <c r="AA729" s="512"/>
      <c r="AB729" s="512"/>
      <c r="AC729" s="512"/>
      <c r="AD729" s="512"/>
      <c r="AE729" s="512"/>
      <c r="AF729" s="512"/>
      <c r="AG729" s="512"/>
      <c r="AH729" s="512"/>
      <c r="AI729" s="512"/>
      <c r="AJ729" s="512"/>
      <c r="AK729" s="512"/>
      <c r="AL729" s="512"/>
      <c r="AM729" s="512"/>
      <c r="AN729" s="512"/>
      <c r="AO729" s="512"/>
      <c r="AP729" s="512"/>
      <c r="AQ729" s="512"/>
      <c r="AR729" s="512"/>
      <c r="AS729" s="512"/>
      <c r="AT729" s="512"/>
      <c r="AU729" s="512"/>
      <c r="AV729" s="512"/>
      <c r="AW729" s="512"/>
      <c r="AX729" s="512"/>
      <c r="AY729" s="512"/>
      <c r="AZ729" s="512"/>
      <c r="BA729" s="512"/>
      <c r="BB729" s="512"/>
      <c r="BC729" s="512"/>
      <c r="BD729" s="512"/>
      <c r="BE729" s="512"/>
      <c r="BF729" s="512"/>
      <c r="BG729" s="512"/>
      <c r="BH729" s="512"/>
      <c r="BI729" s="512"/>
      <c r="BJ729" s="512"/>
      <c r="BK729" s="512"/>
      <c r="BL729" s="512"/>
      <c r="BM729" s="512"/>
      <c r="BN729" s="512"/>
      <c r="BO729" s="512"/>
      <c r="BP729" s="512"/>
      <c r="BQ729" s="512"/>
      <c r="BR729" s="512"/>
      <c r="BS729" s="512"/>
      <c r="BT729" s="512"/>
      <c r="BU729" s="512"/>
      <c r="BV729" s="512"/>
      <c r="BW729" s="512"/>
      <c r="BX729" s="512"/>
      <c r="BY729" s="512"/>
      <c r="BZ729" s="512"/>
      <c r="CA729" s="512"/>
      <c r="CB729" s="512"/>
      <c r="CC729" s="512"/>
      <c r="CD729" s="514"/>
      <c r="CE729" s="512"/>
      <c r="CF729" s="512"/>
      <c r="CG729" s="512"/>
      <c r="CH729" s="512"/>
      <c r="CI729" s="512"/>
      <c r="CJ729" s="512"/>
      <c r="CK729" s="512"/>
      <c r="CL729" s="512"/>
      <c r="CM729" s="512"/>
      <c r="CN729" s="512"/>
      <c r="CO729" s="512"/>
      <c r="CP729" s="515"/>
      <c r="CQ729" s="512"/>
      <c r="CR729" s="512"/>
      <c r="CS729" s="512"/>
      <c r="CT729" s="512"/>
      <c r="CU729" s="512"/>
      <c r="CV729" s="512"/>
      <c r="CW729" s="512"/>
      <c r="CX729" s="512"/>
      <c r="CY729" s="512"/>
      <c r="CZ729" s="512"/>
      <c r="DA729" s="512"/>
      <c r="DB729" s="1306"/>
      <c r="DC729" s="512"/>
      <c r="DD729" s="512"/>
      <c r="DE729" s="512"/>
      <c r="DF729" s="512"/>
      <c r="DG729" s="512"/>
      <c r="DH729" s="512"/>
      <c r="DI729" s="512"/>
      <c r="DJ729" s="512"/>
      <c r="DK729" s="512"/>
      <c r="DL729" s="512"/>
      <c r="DM729" s="512"/>
      <c r="DN729" s="515"/>
      <c r="DO729" s="512"/>
      <c r="DP729" s="512"/>
      <c r="DQ729" s="512"/>
      <c r="DR729" s="512"/>
      <c r="DS729" s="512"/>
      <c r="DT729" s="512"/>
      <c r="DU729" s="512"/>
      <c r="DV729" s="512"/>
      <c r="DW729" s="512"/>
      <c r="DX729" s="512"/>
      <c r="DY729" s="512"/>
      <c r="DZ729" s="515"/>
      <c r="EA729" s="512"/>
      <c r="EB729" s="512"/>
      <c r="EC729" s="512"/>
      <c r="ED729" s="512"/>
      <c r="EE729" s="512"/>
      <c r="EF729" s="512"/>
      <c r="EG729" s="512"/>
      <c r="EH729" s="512"/>
      <c r="EI729" s="512"/>
      <c r="EJ729" s="512"/>
      <c r="EK729" s="512"/>
      <c r="EL729" s="515"/>
      <c r="EM729" s="512"/>
      <c r="EN729" s="512"/>
      <c r="EO729" s="512"/>
      <c r="EP729" s="512"/>
      <c r="EQ729" s="512"/>
      <c r="ER729" s="512"/>
      <c r="ES729" s="512"/>
      <c r="ET729" s="512"/>
      <c r="EU729" s="512"/>
      <c r="EV729" s="512"/>
      <c r="EW729" s="512"/>
      <c r="EX729" s="515"/>
      <c r="EY729" s="512"/>
      <c r="EZ729" s="512"/>
      <c r="FA729" s="512"/>
      <c r="FB729" s="512"/>
      <c r="FC729" s="512"/>
      <c r="FD729" s="512"/>
      <c r="FE729" s="512"/>
      <c r="FF729" s="512"/>
      <c r="FG729" s="512"/>
      <c r="FH729" s="512"/>
      <c r="FI729" s="512"/>
      <c r="FJ729" s="515"/>
      <c r="FK729" s="512"/>
      <c r="FL729" s="512"/>
      <c r="FM729" s="512"/>
      <c r="FN729" s="512"/>
      <c r="FO729" s="512"/>
      <c r="FP729" s="512"/>
      <c r="FQ729" s="512"/>
      <c r="FR729" s="512"/>
      <c r="FS729" s="512"/>
      <c r="FT729" s="512"/>
      <c r="FU729" s="512"/>
      <c r="FV729" s="512"/>
      <c r="FW729" s="512"/>
      <c r="FX729" s="512"/>
      <c r="FY729" s="512"/>
      <c r="FZ729" s="512"/>
      <c r="GA729" s="512"/>
      <c r="GB729" s="512"/>
      <c r="GC729" s="512"/>
      <c r="GD729" s="512"/>
      <c r="GE729" s="512"/>
      <c r="GF729" s="512"/>
      <c r="GG729" s="512"/>
      <c r="GH729" s="512"/>
      <c r="GI729" s="512"/>
      <c r="GJ729" s="512"/>
      <c r="GK729" s="512"/>
      <c r="GL729" s="512"/>
      <c r="GM729" s="512"/>
      <c r="GN729" s="512"/>
      <c r="GO729" s="512"/>
      <c r="GP729" s="512"/>
      <c r="GQ729" s="512"/>
      <c r="GR729" s="512"/>
      <c r="GS729" s="512"/>
      <c r="GT729" s="512"/>
      <c r="GU729" s="512"/>
      <c r="GV729" s="512"/>
      <c r="GW729" s="512"/>
      <c r="GX729" s="512"/>
      <c r="GY729" s="512"/>
      <c r="GZ729" s="512"/>
      <c r="HA729" s="512"/>
      <c r="HB729" s="512"/>
      <c r="HC729" s="512"/>
      <c r="HD729" s="512"/>
      <c r="HE729" s="512"/>
      <c r="HF729" s="512"/>
      <c r="HG729" s="512"/>
      <c r="HH729" s="512"/>
      <c r="HI729" s="512"/>
      <c r="HJ729" s="512"/>
      <c r="HK729" s="512"/>
      <c r="HL729" s="512"/>
      <c r="HM729" s="512"/>
      <c r="HN729" s="512"/>
      <c r="HO729" s="512"/>
      <c r="HP729" s="512"/>
      <c r="HQ729" s="512"/>
      <c r="HR729" s="512"/>
      <c r="HS729" s="512"/>
      <c r="HT729" s="512"/>
      <c r="HU729" s="512"/>
      <c r="HV729" s="512"/>
      <c r="HW729" s="512"/>
      <c r="HX729" s="512"/>
      <c r="HY729" s="512"/>
      <c r="IA729" s="512"/>
      <c r="IB729" s="512"/>
      <c r="IC729" s="512"/>
      <c r="ID729" s="512"/>
      <c r="IG729" s="512"/>
      <c r="IJ729" s="520"/>
      <c r="IM729" s="520"/>
      <c r="IP729" s="519"/>
      <c r="IS729" s="519"/>
      <c r="IT729" s="327"/>
      <c r="IU729" s="327"/>
      <c r="IV729" s="519"/>
      <c r="IW729" s="327"/>
      <c r="IX729" s="327"/>
      <c r="IY729" s="519"/>
      <c r="IZ729" s="327"/>
      <c r="JA729" s="327"/>
      <c r="JB729" s="519"/>
      <c r="JC729" s="327"/>
      <c r="JD729" s="327"/>
      <c r="JE729" s="519"/>
      <c r="JF729" s="327"/>
      <c r="JG729" s="327"/>
      <c r="JH729" s="519"/>
      <c r="JI729" s="327"/>
      <c r="JJ729" s="327"/>
      <c r="JK729" s="519"/>
    </row>
    <row r="730" spans="1:314" hidden="1">
      <c r="A730" s="279"/>
      <c r="B730" s="96" t="s">
        <v>338</v>
      </c>
      <c r="D730" s="517" t="str">
        <f>D$657</f>
        <v>Including grants</v>
      </c>
      <c r="E730" s="512">
        <f>E$657</f>
        <v>-13.545924874904124</v>
      </c>
      <c r="F730" s="512">
        <f t="shared" ref="F730:L730" si="789">F$657</f>
        <v>-15.111897078719998</v>
      </c>
      <c r="G730" s="512">
        <f t="shared" si="789"/>
        <v>-6.7308821770324982</v>
      </c>
      <c r="H730" s="512">
        <f t="shared" si="789"/>
        <v>-15.826163773128272</v>
      </c>
      <c r="I730" s="512">
        <f t="shared" si="789"/>
        <v>27.303176618102004</v>
      </c>
      <c r="J730" s="512">
        <f t="shared" si="789"/>
        <v>52.036496188274114</v>
      </c>
      <c r="K730" s="512">
        <f t="shared" si="789"/>
        <v>-36.024085140326306</v>
      </c>
      <c r="L730" s="512">
        <f t="shared" si="789"/>
        <v>-3.5785336018496032</v>
      </c>
      <c r="M730" s="512">
        <f t="shared" ref="M730:AW730" si="790">M$657</f>
        <v>-12.513872831884001</v>
      </c>
      <c r="N730" s="512">
        <f t="shared" si="790"/>
        <v>-9.9633517617400074</v>
      </c>
      <c r="O730" s="512">
        <f t="shared" si="790"/>
        <v>-7.7721341200999952</v>
      </c>
      <c r="P730" s="512">
        <f t="shared" si="790"/>
        <v>11.213933569920002</v>
      </c>
      <c r="Q730" s="512">
        <f t="shared" si="790"/>
        <v>-8.3487547393916053</v>
      </c>
      <c r="R730" s="512">
        <f t="shared" si="790"/>
        <v>-13.712132172342702</v>
      </c>
      <c r="S730" s="512">
        <f t="shared" si="790"/>
        <v>34.21382851527499</v>
      </c>
      <c r="T730" s="512">
        <f t="shared" si="790"/>
        <v>-35.176068408264001</v>
      </c>
      <c r="U730" s="512">
        <f t="shared" si="790"/>
        <v>28.091144588344505</v>
      </c>
      <c r="V730" s="512">
        <f t="shared" si="790"/>
        <v>43.064725121608006</v>
      </c>
      <c r="W730" s="512">
        <f t="shared" si="790"/>
        <v>-33.28238236835</v>
      </c>
      <c r="X730" s="512">
        <f t="shared" si="790"/>
        <v>-9.3963562444080111</v>
      </c>
      <c r="Y730" s="512">
        <f t="shared" si="790"/>
        <v>-4.0471040646048095</v>
      </c>
      <c r="Z730" s="512">
        <f t="shared" si="790"/>
        <v>-38.341310834573392</v>
      </c>
      <c r="AA730" s="512">
        <f t="shared" si="790"/>
        <v>-0.68846342278940398</v>
      </c>
      <c r="AB730" s="512">
        <f t="shared" si="790"/>
        <v>48.632516468292991</v>
      </c>
      <c r="AC730" s="512">
        <f t="shared" si="790"/>
        <v>-19.946153762000002</v>
      </c>
      <c r="AD730" s="512">
        <f t="shared" si="790"/>
        <v>0.70963372700000349</v>
      </c>
      <c r="AE730" s="512">
        <f t="shared" si="790"/>
        <v>-34.957143658000007</v>
      </c>
      <c r="AF730" s="512">
        <f t="shared" si="790"/>
        <v>18.329967364999995</v>
      </c>
      <c r="AG730" s="512">
        <f t="shared" si="790"/>
        <v>-10.402599280999997</v>
      </c>
      <c r="AH730" s="512">
        <f t="shared" si="790"/>
        <v>33.935078960999974</v>
      </c>
      <c r="AI730" s="512">
        <f t="shared" si="790"/>
        <v>-6.0659643000000045</v>
      </c>
      <c r="AJ730" s="512">
        <f t="shared" si="790"/>
        <v>-13.831625335999995</v>
      </c>
      <c r="AK730" s="512">
        <f t="shared" si="790"/>
        <v>9.6328844279999828</v>
      </c>
      <c r="AL730" s="512">
        <f t="shared" si="790"/>
        <v>6.7180648329999997</v>
      </c>
      <c r="AM730" s="512">
        <f t="shared" si="790"/>
        <v>-14.503372352000007</v>
      </c>
      <c r="AN730" s="512">
        <f t="shared" si="790"/>
        <v>2.8512626429999841</v>
      </c>
      <c r="AO730" s="512">
        <f t="shared" si="790"/>
        <v>-14.884929483259995</v>
      </c>
      <c r="AP730" s="512">
        <f t="shared" si="790"/>
        <v>-12.384099702060006</v>
      </c>
      <c r="AQ730" s="512">
        <f t="shared" si="790"/>
        <v>-2.8934327713272268</v>
      </c>
      <c r="AR730" s="512">
        <f t="shared" si="790"/>
        <v>-23.704007978120003</v>
      </c>
      <c r="AS730" s="512">
        <f t="shared" si="790"/>
        <v>-25.35360045334798</v>
      </c>
      <c r="AT730" s="512">
        <f t="shared" si="790"/>
        <v>85.311307890934401</v>
      </c>
      <c r="AU730" s="512">
        <f t="shared" si="790"/>
        <v>-14.320414325240002</v>
      </c>
      <c r="AV730" s="512">
        <f t="shared" si="790"/>
        <v>-34.509555937880016</v>
      </c>
      <c r="AW730" s="512">
        <f t="shared" si="790"/>
        <v>33.963160797450001</v>
      </c>
      <c r="AX730" s="512">
        <f t="shared" ref="AX730:BP730" si="791">AX$657</f>
        <v>-15.61426871007999</v>
      </c>
      <c r="AY730" s="512">
        <f t="shared" si="791"/>
        <v>-12.103643022900791</v>
      </c>
      <c r="AZ730" s="512">
        <f t="shared" si="791"/>
        <v>32.589938675632496</v>
      </c>
      <c r="BA730" s="512">
        <f t="shared" si="791"/>
        <v>-23.534854044999989</v>
      </c>
      <c r="BB730" s="512">
        <f t="shared" si="791"/>
        <v>-8.0614272179999986</v>
      </c>
      <c r="BC730" s="512">
        <f t="shared" si="791"/>
        <v>-53.883373991000013</v>
      </c>
      <c r="BD730" s="512">
        <f t="shared" si="791"/>
        <v>19.115847685759988</v>
      </c>
      <c r="BE730" s="512">
        <f t="shared" si="791"/>
        <v>-51.235469479769996</v>
      </c>
      <c r="BF730" s="512">
        <f t="shared" si="791"/>
        <v>7.3467480659999893</v>
      </c>
      <c r="BG730" s="512">
        <f t="shared" si="791"/>
        <v>27.019351216800011</v>
      </c>
      <c r="BH730" s="512">
        <f t="shared" si="791"/>
        <v>-4.5530742487999873</v>
      </c>
      <c r="BI730" s="512">
        <f t="shared" si="791"/>
        <v>42.826081442900019</v>
      </c>
      <c r="BJ730" s="512">
        <f t="shared" si="791"/>
        <v>25.558706230180007</v>
      </c>
      <c r="BK730" s="512">
        <f t="shared" si="791"/>
        <v>-18.900513657000019</v>
      </c>
      <c r="BL730" s="512">
        <f t="shared" si="791"/>
        <v>34.954289046000014</v>
      </c>
      <c r="BM730" s="512">
        <f t="shared" si="791"/>
        <v>-39.334774219890015</v>
      </c>
      <c r="BN730" s="512">
        <f t="shared" si="791"/>
        <v>-11.069792138479997</v>
      </c>
      <c r="BO730" s="512">
        <f t="shared" si="791"/>
        <v>-31.440789898999995</v>
      </c>
      <c r="BP730" s="512">
        <f t="shared" si="791"/>
        <v>-66.436309080000029</v>
      </c>
      <c r="BQ730" s="512">
        <f t="shared" ref="BQ730:DT730" si="792">BQ$657</f>
        <v>-54.962618634849996</v>
      </c>
      <c r="BR730" s="512">
        <f t="shared" si="792"/>
        <v>43.356731865045759</v>
      </c>
      <c r="BS730" s="512">
        <f t="shared" si="792"/>
        <v>17.786499451901648</v>
      </c>
      <c r="BT730" s="512">
        <f t="shared" si="792"/>
        <v>-2.4362905400688817</v>
      </c>
      <c r="BU730" s="512">
        <f t="shared" si="792"/>
        <v>-55.579897323727891</v>
      </c>
      <c r="BV730" s="512">
        <f t="shared" si="792"/>
        <v>-5.9118956241095049</v>
      </c>
      <c r="BW730" s="512">
        <f t="shared" si="792"/>
        <v>18.135569673433722</v>
      </c>
      <c r="BX730" s="512">
        <f t="shared" si="792"/>
        <v>60.787193092690352</v>
      </c>
      <c r="BY730" s="512">
        <f t="shared" si="792"/>
        <v>-27.04576118312729</v>
      </c>
      <c r="BZ730" s="512">
        <f t="shared" si="792"/>
        <v>-23.568025528720547</v>
      </c>
      <c r="CA730" s="512">
        <f t="shared" si="792"/>
        <v>50.831770706868106</v>
      </c>
      <c r="CB730" s="512">
        <f t="shared" si="792"/>
        <v>-35.736301905905833</v>
      </c>
      <c r="CC730" s="512">
        <f t="shared" si="792"/>
        <v>-96.394358296720782</v>
      </c>
      <c r="CD730" s="514">
        <f t="shared" si="792"/>
        <v>65.857510147153519</v>
      </c>
      <c r="CE730" s="512">
        <f t="shared" si="792"/>
        <v>17.151230777623653</v>
      </c>
      <c r="CF730" s="512">
        <f t="shared" si="792"/>
        <v>-16.474969873585721</v>
      </c>
      <c r="CG730" s="512">
        <f t="shared" si="792"/>
        <v>37.14843473216041</v>
      </c>
      <c r="CH730" s="512">
        <f t="shared" si="792"/>
        <v>-53.745036734760674</v>
      </c>
      <c r="CI730" s="512">
        <f t="shared" si="792"/>
        <v>-19.289153699511417</v>
      </c>
      <c r="CJ730" s="512">
        <f t="shared" si="792"/>
        <v>60.868479839149288</v>
      </c>
      <c r="CK730" s="512">
        <f t="shared" si="792"/>
        <v>-69.683228279789645</v>
      </c>
      <c r="CL730" s="512">
        <f t="shared" si="792"/>
        <v>-19.337111315684623</v>
      </c>
      <c r="CM730" s="512">
        <f t="shared" si="792"/>
        <v>-11.341678101886288</v>
      </c>
      <c r="CN730" s="512">
        <f t="shared" si="792"/>
        <v>-74.508451612578057</v>
      </c>
      <c r="CO730" s="512">
        <f t="shared" si="792"/>
        <v>-60.144748795897939</v>
      </c>
      <c r="CP730" s="515">
        <f t="shared" si="792"/>
        <v>19.596004127968357</v>
      </c>
      <c r="CQ730" s="512">
        <f t="shared" si="792"/>
        <v>-31.44967155088176</v>
      </c>
      <c r="CR730" s="512">
        <f t="shared" si="792"/>
        <v>-36.057231576486771</v>
      </c>
      <c r="CS730" s="512">
        <f t="shared" si="792"/>
        <v>-18.055339692954789</v>
      </c>
      <c r="CT730" s="512">
        <f t="shared" si="792"/>
        <v>-49.376503303219437</v>
      </c>
      <c r="CU730" s="512">
        <f t="shared" si="792"/>
        <v>-22.12230358049429</v>
      </c>
      <c r="CV730" s="512">
        <f t="shared" si="792"/>
        <v>81.419576513503131</v>
      </c>
      <c r="CW730" s="512">
        <f t="shared" si="792"/>
        <v>-49.092066890938284</v>
      </c>
      <c r="CX730" s="512">
        <f t="shared" si="792"/>
        <v>-27.424923699054787</v>
      </c>
      <c r="CY730" s="512">
        <f t="shared" si="792"/>
        <v>-19.987126176811842</v>
      </c>
      <c r="CZ730" s="512">
        <f t="shared" si="792"/>
        <v>-93.209564446045832</v>
      </c>
      <c r="DA730" s="512">
        <f t="shared" si="792"/>
        <v>-20.30660969032067</v>
      </c>
      <c r="DB730" s="1306">
        <f t="shared" si="792"/>
        <v>20.388711401294586</v>
      </c>
      <c r="DC730" s="512">
        <f t="shared" si="792"/>
        <v>-24.007865797527799</v>
      </c>
      <c r="DD730" s="512">
        <f t="shared" si="792"/>
        <v>-35.905576794394449</v>
      </c>
      <c r="DE730" s="512">
        <f t="shared" si="792"/>
        <v>2.6437546393813989</v>
      </c>
      <c r="DF730" s="512">
        <f t="shared" si="792"/>
        <v>-97.205459359549806</v>
      </c>
      <c r="DG730" s="512">
        <f t="shared" si="792"/>
        <v>28.486372971617655</v>
      </c>
      <c r="DH730" s="512">
        <f t="shared" si="792"/>
        <v>15.00244812133036</v>
      </c>
      <c r="DI730" s="512">
        <f t="shared" si="792"/>
        <v>-109.4398718317038</v>
      </c>
      <c r="DJ730" s="512">
        <f t="shared" si="792"/>
        <v>-28.300889043481661</v>
      </c>
      <c r="DK730" s="512">
        <f t="shared" si="792"/>
        <v>-3.6332280337163638</v>
      </c>
      <c r="DL730" s="512">
        <f t="shared" si="792"/>
        <v>-13.393170708390585</v>
      </c>
      <c r="DM730" s="512">
        <f t="shared" si="792"/>
        <v>-55.738823100607533</v>
      </c>
      <c r="DN730" s="515">
        <f t="shared" si="792"/>
        <v>70.316718514096323</v>
      </c>
      <c r="DO730" s="512">
        <f t="shared" si="792"/>
        <v>-27.308770242517184</v>
      </c>
      <c r="DP730" s="512">
        <f t="shared" si="792"/>
        <v>-64.065579712524055</v>
      </c>
      <c r="DQ730" s="512">
        <f t="shared" si="792"/>
        <v>-12.327307072423537</v>
      </c>
      <c r="DR730" s="512">
        <f t="shared" si="792"/>
        <v>-101.70894624875331</v>
      </c>
      <c r="DS730" s="512">
        <f t="shared" si="792"/>
        <v>-29.666470313296912</v>
      </c>
      <c r="DT730" s="512">
        <f t="shared" si="792"/>
        <v>57.243111273337689</v>
      </c>
      <c r="DU730" s="512"/>
      <c r="DV730" s="512"/>
      <c r="DW730" s="512"/>
      <c r="DX730" s="512"/>
      <c r="DY730" s="512"/>
      <c r="DZ730" s="515"/>
      <c r="EA730" s="512"/>
      <c r="EB730" s="512"/>
      <c r="EC730" s="512"/>
      <c r="ED730" s="512"/>
      <c r="EE730" s="512"/>
      <c r="EF730" s="512"/>
      <c r="EG730" s="512"/>
      <c r="EH730" s="512"/>
      <c r="EI730" s="512"/>
      <c r="EJ730" s="512"/>
      <c r="EK730" s="512"/>
      <c r="EL730" s="515"/>
      <c r="EM730" s="512"/>
      <c r="EN730" s="512"/>
      <c r="EO730" s="512"/>
      <c r="EP730" s="512"/>
      <c r="EQ730" s="512"/>
      <c r="ER730" s="512"/>
      <c r="ES730" s="512"/>
      <c r="ET730" s="512"/>
      <c r="EU730" s="512"/>
      <c r="EV730" s="512"/>
      <c r="EW730" s="512"/>
      <c r="EX730" s="515"/>
      <c r="EY730" s="512"/>
      <c r="EZ730" s="512"/>
      <c r="FA730" s="512"/>
      <c r="FB730" s="512"/>
      <c r="FC730" s="512"/>
      <c r="FD730" s="512"/>
      <c r="FE730" s="512"/>
      <c r="FF730" s="512"/>
      <c r="FG730" s="512"/>
      <c r="FH730" s="512"/>
      <c r="FI730" s="512"/>
      <c r="FJ730" s="515"/>
      <c r="FK730" s="512"/>
      <c r="FL730" s="512"/>
      <c r="FM730" s="512"/>
      <c r="FN730" s="512"/>
      <c r="FO730" s="512"/>
      <c r="FP730" s="512"/>
      <c r="FQ730" s="512"/>
      <c r="FR730" s="512"/>
      <c r="FS730" s="512"/>
      <c r="FT730" s="512"/>
      <c r="FU730" s="512"/>
      <c r="FV730" s="512"/>
      <c r="FW730" s="512"/>
      <c r="FX730" s="512"/>
      <c r="FY730" s="512"/>
      <c r="FZ730" s="512"/>
      <c r="GA730" s="512"/>
      <c r="GB730" s="512"/>
      <c r="GC730" s="512"/>
      <c r="GD730" s="512"/>
      <c r="GE730" s="512"/>
      <c r="GF730" s="512"/>
      <c r="GG730" s="512"/>
      <c r="GH730" s="512"/>
      <c r="GI730" s="512"/>
      <c r="GJ730" s="512"/>
      <c r="GK730" s="512"/>
      <c r="GL730" s="512"/>
      <c r="GM730" s="512"/>
      <c r="GN730" s="512"/>
      <c r="GO730" s="512"/>
      <c r="GP730" s="512"/>
      <c r="GQ730" s="512"/>
      <c r="GR730" s="512"/>
      <c r="GS730" s="512"/>
      <c r="GT730" s="512"/>
      <c r="GU730" s="512"/>
      <c r="GV730" s="512"/>
      <c r="GW730" s="512"/>
      <c r="GX730" s="512"/>
      <c r="GY730" s="512"/>
      <c r="GZ730" s="512"/>
      <c r="HA730" s="512"/>
      <c r="HB730" s="512"/>
      <c r="HC730" s="512"/>
      <c r="HD730" s="512"/>
      <c r="HE730" s="512"/>
      <c r="HF730" s="512"/>
      <c r="HG730" s="512"/>
      <c r="HH730" s="512"/>
      <c r="HI730" s="512"/>
      <c r="HJ730" s="512"/>
      <c r="HK730" s="512"/>
      <c r="HL730" s="512"/>
      <c r="HM730" s="512"/>
      <c r="HN730" s="512"/>
      <c r="HO730" s="512"/>
      <c r="HP730" s="512"/>
      <c r="HQ730" s="512"/>
      <c r="HR730" s="512"/>
      <c r="HS730" s="512"/>
      <c r="HT730" s="512"/>
      <c r="HU730" s="512"/>
      <c r="HV730" s="512"/>
      <c r="HW730" s="512"/>
      <c r="HX730" s="512"/>
      <c r="HY730" s="512"/>
      <c r="IA730" s="512"/>
      <c r="IB730" s="512"/>
      <c r="IC730" s="512"/>
      <c r="ID730" s="512">
        <f t="shared" ref="ID730:II730" si="793">ID$657</f>
        <v>-302.05950052759749</v>
      </c>
      <c r="IE730" s="279">
        <f t="shared" si="793"/>
        <v>-52.641473190533816</v>
      </c>
      <c r="IF730" s="279">
        <f t="shared" si="793"/>
        <v>-189.63157950187679</v>
      </c>
      <c r="IG730" s="512">
        <f t="shared" si="793"/>
        <v>-242.2730526924106</v>
      </c>
      <c r="IH730" s="279">
        <f t="shared" si="793"/>
        <v>-110.98632621914237</v>
      </c>
      <c r="II730" s="279">
        <f t="shared" si="793"/>
        <v>-140.18926420380353</v>
      </c>
      <c r="IJ730" s="520">
        <f t="shared" ref="IJ730:IV730" si="794">IJ$657</f>
        <v>-251.17559042294602</v>
      </c>
      <c r="IK730" s="279">
        <f t="shared" si="794"/>
        <v>-177.83396231617735</v>
      </c>
      <c r="IM730" s="520">
        <f t="shared" si="794"/>
        <v>-412.84569975635918</v>
      </c>
      <c r="IP730" s="519">
        <f t="shared" si="794"/>
        <v>-367.12734809700419</v>
      </c>
      <c r="IS730" s="519">
        <f t="shared" si="794"/>
        <v>-611.28335135525379</v>
      </c>
      <c r="IT730" s="327"/>
      <c r="IU730" s="327"/>
      <c r="IV730" s="519">
        <f t="shared" si="794"/>
        <v>-1171.0971334578217</v>
      </c>
      <c r="IW730" s="327"/>
      <c r="IX730" s="327"/>
      <c r="IY730" s="519">
        <f>IY$657</f>
        <v>-938.72910155907584</v>
      </c>
      <c r="IZ730" s="327"/>
      <c r="JA730" s="327">
        <f>JA$657</f>
        <v>3376.1080490639833</v>
      </c>
      <c r="JB730" s="519" t="e">
        <f>#REF!</f>
        <v>#REF!</v>
      </c>
      <c r="JC730" s="327">
        <f>JE$657</f>
        <v>9994.9568711701831</v>
      </c>
      <c r="JD730" s="327">
        <f>JD$657</f>
        <v>5508.1742500631372</v>
      </c>
      <c r="JE730" s="519"/>
      <c r="JF730" s="327"/>
      <c r="JG730" s="327"/>
      <c r="JH730" s="519"/>
      <c r="JI730" s="327"/>
      <c r="JJ730" s="327"/>
      <c r="JK730" s="519"/>
      <c r="KY730" s="279">
        <f>KY$657</f>
        <v>0</v>
      </c>
      <c r="KZ730" s="279">
        <f>KZ$657</f>
        <v>0</v>
      </c>
      <c r="LA730" s="279">
        <f>LA$657</f>
        <v>0</v>
      </c>
      <c r="LB730" s="279">
        <f>LB$657</f>
        <v>0</v>
      </c>
    </row>
    <row r="731" spans="1:314" hidden="1">
      <c r="A731" s="279"/>
      <c r="B731" s="96" t="s">
        <v>338</v>
      </c>
      <c r="D731" s="517" t="str">
        <f>D$658</f>
        <v>Excluding grants</v>
      </c>
      <c r="E731" s="512">
        <f>E$658</f>
        <v>-14.575546187904123</v>
      </c>
      <c r="F731" s="512">
        <f t="shared" ref="F731:L731" si="795">F$658</f>
        <v>-18.05384003372</v>
      </c>
      <c r="G731" s="512">
        <f t="shared" si="795"/>
        <v>-26.9774625170325</v>
      </c>
      <c r="H731" s="512">
        <f t="shared" si="795"/>
        <v>-19.804611869128273</v>
      </c>
      <c r="I731" s="512">
        <f t="shared" si="795"/>
        <v>-3.3127367278979989</v>
      </c>
      <c r="J731" s="512">
        <f t="shared" si="795"/>
        <v>-18.8490549067259</v>
      </c>
      <c r="K731" s="512">
        <f t="shared" si="795"/>
        <v>-37.141283882326306</v>
      </c>
      <c r="L731" s="512">
        <f t="shared" si="795"/>
        <v>-12.241079664849604</v>
      </c>
      <c r="M731" s="512">
        <f t="shared" ref="M731:AW731" si="796">M$658</f>
        <v>-33.667313375884007</v>
      </c>
      <c r="N731" s="512">
        <f t="shared" si="796"/>
        <v>-20.237377417740007</v>
      </c>
      <c r="O731" s="512">
        <f t="shared" si="796"/>
        <v>-9.8075644590999964</v>
      </c>
      <c r="P731" s="512">
        <f t="shared" si="796"/>
        <v>-23.138094036080002</v>
      </c>
      <c r="Q731" s="512">
        <f t="shared" si="796"/>
        <v>-15.420081703391606</v>
      </c>
      <c r="R731" s="512">
        <f t="shared" si="796"/>
        <v>-13.712132172342702</v>
      </c>
      <c r="S731" s="512">
        <f t="shared" si="796"/>
        <v>-27.368400940725</v>
      </c>
      <c r="T731" s="512">
        <f t="shared" si="796"/>
        <v>-35.416386866264006</v>
      </c>
      <c r="U731" s="512">
        <f t="shared" si="796"/>
        <v>-8.5599013026554971</v>
      </c>
      <c r="V731" s="512">
        <f t="shared" si="796"/>
        <v>-8.5674448933920004</v>
      </c>
      <c r="W731" s="512">
        <f t="shared" si="796"/>
        <v>-35.095391646349995</v>
      </c>
      <c r="X731" s="512">
        <f t="shared" si="796"/>
        <v>-18.290978405408008</v>
      </c>
      <c r="Y731" s="512">
        <f t="shared" si="796"/>
        <v>-35.25423347460481</v>
      </c>
      <c r="Z731" s="512">
        <f t="shared" si="796"/>
        <v>-57.1926833415734</v>
      </c>
      <c r="AA731" s="512">
        <f t="shared" si="796"/>
        <v>-3.4334140607894028</v>
      </c>
      <c r="AB731" s="512">
        <f t="shared" si="796"/>
        <v>-10.454689440706986</v>
      </c>
      <c r="AC731" s="512">
        <f t="shared" si="796"/>
        <v>-19.946153762000002</v>
      </c>
      <c r="AD731" s="512">
        <f t="shared" si="796"/>
        <v>-6.8364282729999992</v>
      </c>
      <c r="AE731" s="512">
        <f t="shared" si="796"/>
        <v>-66.032931200999997</v>
      </c>
      <c r="AF731" s="512">
        <f t="shared" si="796"/>
        <v>-32.802881740999993</v>
      </c>
      <c r="AG731" s="512">
        <f t="shared" si="796"/>
        <v>-12.325251835999996</v>
      </c>
      <c r="AH731" s="512">
        <f t="shared" si="796"/>
        <v>-17.857780487000021</v>
      </c>
      <c r="AI731" s="512">
        <f t="shared" si="796"/>
        <v>-19.469199537000005</v>
      </c>
      <c r="AJ731" s="512">
        <f t="shared" si="796"/>
        <v>-17.403393312999995</v>
      </c>
      <c r="AK731" s="512">
        <f t="shared" si="796"/>
        <v>-66.424416653000009</v>
      </c>
      <c r="AL731" s="512">
        <f t="shared" si="796"/>
        <v>-46.477236422999994</v>
      </c>
      <c r="AM731" s="512">
        <f t="shared" si="796"/>
        <v>-22.079827526000006</v>
      </c>
      <c r="AN731" s="512">
        <f t="shared" si="796"/>
        <v>-47.271603753999997</v>
      </c>
      <c r="AO731" s="512">
        <f t="shared" si="796"/>
        <v>-36.534131070259988</v>
      </c>
      <c r="AP731" s="512">
        <f t="shared" si="796"/>
        <v>-12.384099702060006</v>
      </c>
      <c r="AQ731" s="512">
        <f t="shared" si="796"/>
        <v>-38.214777051327218</v>
      </c>
      <c r="AR731" s="512">
        <f t="shared" si="796"/>
        <v>-36.285851540120007</v>
      </c>
      <c r="AS731" s="512">
        <f t="shared" si="796"/>
        <v>-34.410293150347982</v>
      </c>
      <c r="AT731" s="512">
        <f t="shared" si="796"/>
        <v>-39.253981634065596</v>
      </c>
      <c r="AU731" s="512">
        <f t="shared" si="796"/>
        <v>-20.480145807240003</v>
      </c>
      <c r="AV731" s="512">
        <f t="shared" si="796"/>
        <v>-39.286925937880014</v>
      </c>
      <c r="AW731" s="512">
        <f t="shared" si="796"/>
        <v>-58.959101202549981</v>
      </c>
      <c r="AX731" s="512">
        <f t="shared" ref="AX731:BP731" si="797">AX$658</f>
        <v>-42.009039914079992</v>
      </c>
      <c r="AY731" s="512">
        <f t="shared" si="797"/>
        <v>-19.08472891390079</v>
      </c>
      <c r="AZ731" s="512">
        <f t="shared" si="797"/>
        <v>-71.552374323367502</v>
      </c>
      <c r="BA731" s="512">
        <f t="shared" si="797"/>
        <v>-24.066177546999988</v>
      </c>
      <c r="BB731" s="512">
        <f t="shared" si="797"/>
        <v>-13.295689674999998</v>
      </c>
      <c r="BC731" s="512">
        <f t="shared" si="797"/>
        <v>-80.343476183000007</v>
      </c>
      <c r="BD731" s="512">
        <f t="shared" si="797"/>
        <v>-48.820259641000007</v>
      </c>
      <c r="BE731" s="512">
        <f t="shared" si="797"/>
        <v>-52.270636820999997</v>
      </c>
      <c r="BF731" s="512">
        <f t="shared" si="797"/>
        <v>-30.471802820000008</v>
      </c>
      <c r="BG731" s="512">
        <f t="shared" si="797"/>
        <v>-13.992362122199999</v>
      </c>
      <c r="BH731" s="512">
        <f t="shared" si="797"/>
        <v>-42.184293322799995</v>
      </c>
      <c r="BI731" s="512">
        <f t="shared" si="797"/>
        <v>-15.378224060099981</v>
      </c>
      <c r="BJ731" s="512">
        <f t="shared" si="797"/>
        <v>-51.024165205819997</v>
      </c>
      <c r="BK731" s="512">
        <f t="shared" si="797"/>
        <v>-23.597494221000019</v>
      </c>
      <c r="BL731" s="512">
        <f t="shared" si="797"/>
        <v>-65.664661136999996</v>
      </c>
      <c r="BM731" s="512">
        <f t="shared" si="797"/>
        <v>-41.626092870890012</v>
      </c>
      <c r="BN731" s="512">
        <f t="shared" si="797"/>
        <v>-15.183143720479997</v>
      </c>
      <c r="BO731" s="512">
        <f t="shared" si="797"/>
        <v>-71.320963919999997</v>
      </c>
      <c r="BP731" s="512">
        <f t="shared" si="797"/>
        <v>-66.680798585000019</v>
      </c>
      <c r="BQ731" s="512">
        <f t="shared" ref="BQ731:DT731" si="798">BQ$658</f>
        <v>-55.172659059849998</v>
      </c>
      <c r="BR731" s="512">
        <f t="shared" si="798"/>
        <v>-56.116491725580005</v>
      </c>
      <c r="BS731" s="512">
        <f t="shared" si="798"/>
        <v>-23.553099999999986</v>
      </c>
      <c r="BT731" s="512">
        <f t="shared" si="798"/>
        <v>-17.30019999999999</v>
      </c>
      <c r="BU731" s="512">
        <f t="shared" si="798"/>
        <v>-78.524900000000002</v>
      </c>
      <c r="BV731" s="512">
        <f t="shared" si="798"/>
        <v>-54.264272142367645</v>
      </c>
      <c r="BW731" s="512">
        <f t="shared" si="798"/>
        <v>-23.403320504341181</v>
      </c>
      <c r="BX731" s="512">
        <f t="shared" si="798"/>
        <v>28.712918160505176</v>
      </c>
      <c r="BY731" s="512">
        <f t="shared" si="798"/>
        <v>-27.046293615118032</v>
      </c>
      <c r="BZ731" s="512">
        <f t="shared" si="798"/>
        <v>-27.610120997842124</v>
      </c>
      <c r="CA731" s="512">
        <f t="shared" si="798"/>
        <v>28.914320175343413</v>
      </c>
      <c r="CB731" s="512">
        <f t="shared" si="798"/>
        <v>-73.642175424903485</v>
      </c>
      <c r="CC731" s="512">
        <f t="shared" si="798"/>
        <v>-146.71936144099058</v>
      </c>
      <c r="CD731" s="514">
        <f t="shared" si="798"/>
        <v>22.732394966439301</v>
      </c>
      <c r="CE731" s="512">
        <f t="shared" si="798"/>
        <v>-14.567574778282108</v>
      </c>
      <c r="CF731" s="512">
        <f t="shared" si="798"/>
        <v>-55.381971946985558</v>
      </c>
      <c r="CG731" s="512">
        <f t="shared" si="798"/>
        <v>-39.215360138657573</v>
      </c>
      <c r="CH731" s="512">
        <f t="shared" si="798"/>
        <v>-102.40138397757451</v>
      </c>
      <c r="CI731" s="512">
        <f t="shared" si="798"/>
        <v>-55.528204040272428</v>
      </c>
      <c r="CJ731" s="512">
        <f t="shared" si="798"/>
        <v>-2.3044556399746483</v>
      </c>
      <c r="CK731" s="512">
        <f t="shared" si="798"/>
        <v>-92.503092491051788</v>
      </c>
      <c r="CL731" s="512">
        <f t="shared" si="798"/>
        <v>-34.768998114947813</v>
      </c>
      <c r="CM731" s="512">
        <f t="shared" si="798"/>
        <v>-26.953600170557436</v>
      </c>
      <c r="CN731" s="512">
        <f t="shared" si="798"/>
        <v>-135.01400908165786</v>
      </c>
      <c r="CO731" s="512">
        <f t="shared" si="798"/>
        <v>-96.99271386874608</v>
      </c>
      <c r="CP731" s="515">
        <f t="shared" si="798"/>
        <v>-11.959417978859207</v>
      </c>
      <c r="CQ731" s="512">
        <f t="shared" si="798"/>
        <v>-66.363729254784431</v>
      </c>
      <c r="CR731" s="512">
        <f t="shared" si="798"/>
        <v>-56.753573044400468</v>
      </c>
      <c r="CS731" s="512">
        <f t="shared" si="798"/>
        <v>-68.554072733282339</v>
      </c>
      <c r="CT731" s="512">
        <f t="shared" si="798"/>
        <v>-77.264697666682167</v>
      </c>
      <c r="CU731" s="512">
        <f t="shared" si="798"/>
        <v>-62.736488416101864</v>
      </c>
      <c r="CV731" s="512">
        <f t="shared" si="798"/>
        <v>-39.181010804857152</v>
      </c>
      <c r="CW731" s="512">
        <f t="shared" si="798"/>
        <v>-68.66509576875103</v>
      </c>
      <c r="CX731" s="512">
        <f t="shared" si="798"/>
        <v>-48.225397638396316</v>
      </c>
      <c r="CY731" s="512">
        <f t="shared" si="798"/>
        <v>-73.476255043968592</v>
      </c>
      <c r="CZ731" s="512">
        <f t="shared" si="798"/>
        <v>-122.03194443249346</v>
      </c>
      <c r="DA731" s="512">
        <f t="shared" si="798"/>
        <v>-88.34396821768776</v>
      </c>
      <c r="DB731" s="1306">
        <f t="shared" si="798"/>
        <v>-1.3775860266381414</v>
      </c>
      <c r="DC731" s="512">
        <f t="shared" si="798"/>
        <v>-56.408075688489561</v>
      </c>
      <c r="DD731" s="512">
        <f t="shared" si="798"/>
        <v>-61.144085287877516</v>
      </c>
      <c r="DE731" s="512">
        <f t="shared" si="798"/>
        <v>-49.64863807827696</v>
      </c>
      <c r="DF731" s="512">
        <f t="shared" si="798"/>
        <v>-108.11378114541934</v>
      </c>
      <c r="DG731" s="512">
        <f t="shared" si="798"/>
        <v>-40.617707417227862</v>
      </c>
      <c r="DH731" s="512">
        <f t="shared" si="798"/>
        <v>-37.458437999491593</v>
      </c>
      <c r="DI731" s="512">
        <f t="shared" si="798"/>
        <v>-119.98536017806063</v>
      </c>
      <c r="DJ731" s="512">
        <f t="shared" si="798"/>
        <v>-42.910444931972748</v>
      </c>
      <c r="DK731" s="512">
        <f t="shared" si="798"/>
        <v>-19.283083692244347</v>
      </c>
      <c r="DL731" s="512">
        <f t="shared" si="798"/>
        <v>-108.40218071775928</v>
      </c>
      <c r="DM731" s="512">
        <f t="shared" si="798"/>
        <v>-75.503393707514945</v>
      </c>
      <c r="DN731" s="515">
        <f t="shared" si="798"/>
        <v>20.428183990205341</v>
      </c>
      <c r="DO731" s="512">
        <f t="shared" si="798"/>
        <v>-58.324274386799857</v>
      </c>
      <c r="DP731" s="512">
        <f t="shared" si="798"/>
        <v>-72.281731515574251</v>
      </c>
      <c r="DQ731" s="512">
        <f t="shared" si="798"/>
        <v>-32.922928795486996</v>
      </c>
      <c r="DR731" s="512">
        <f t="shared" si="798"/>
        <v>-105.33803903936997</v>
      </c>
      <c r="DS731" s="512">
        <f t="shared" si="798"/>
        <v>-55.31217737263384</v>
      </c>
      <c r="DT731" s="512">
        <f t="shared" si="798"/>
        <v>-3.5529510468686283</v>
      </c>
      <c r="DU731" s="512"/>
      <c r="DV731" s="512"/>
      <c r="DW731" s="512"/>
      <c r="DX731" s="512"/>
      <c r="DY731" s="512"/>
      <c r="DZ731" s="515"/>
      <c r="EA731" s="512"/>
      <c r="EB731" s="512"/>
      <c r="EC731" s="512"/>
      <c r="ED731" s="512"/>
      <c r="EE731" s="512"/>
      <c r="EF731" s="512"/>
      <c r="EG731" s="512"/>
      <c r="EH731" s="512"/>
      <c r="EI731" s="512"/>
      <c r="EJ731" s="512"/>
      <c r="EK731" s="512"/>
      <c r="EL731" s="515"/>
      <c r="EM731" s="512"/>
      <c r="EN731" s="512"/>
      <c r="EO731" s="512"/>
      <c r="EP731" s="512"/>
      <c r="EQ731" s="512"/>
      <c r="ER731" s="512"/>
      <c r="ES731" s="512"/>
      <c r="ET731" s="512"/>
      <c r="EU731" s="512"/>
      <c r="EV731" s="512"/>
      <c r="EW731" s="512"/>
      <c r="EX731" s="515"/>
      <c r="EY731" s="512"/>
      <c r="EZ731" s="512"/>
      <c r="FA731" s="512"/>
      <c r="FB731" s="512"/>
      <c r="FC731" s="512"/>
      <c r="FD731" s="512"/>
      <c r="FE731" s="512"/>
      <c r="FF731" s="512"/>
      <c r="FG731" s="512"/>
      <c r="FH731" s="512"/>
      <c r="FI731" s="512"/>
      <c r="FJ731" s="515"/>
      <c r="FK731" s="512"/>
      <c r="FL731" s="512"/>
      <c r="FM731" s="512"/>
      <c r="FN731" s="512"/>
      <c r="FO731" s="512"/>
      <c r="FP731" s="512"/>
      <c r="FQ731" s="512"/>
      <c r="FR731" s="512"/>
      <c r="FS731" s="512"/>
      <c r="FT731" s="512"/>
      <c r="FU731" s="512"/>
      <c r="FV731" s="512"/>
      <c r="FW731" s="512"/>
      <c r="FX731" s="512"/>
      <c r="FY731" s="512"/>
      <c r="FZ731" s="512"/>
      <c r="GA731" s="512"/>
      <c r="GB731" s="512"/>
      <c r="GC731" s="512"/>
      <c r="GD731" s="512"/>
      <c r="GE731" s="512"/>
      <c r="GF731" s="512"/>
      <c r="GG731" s="512"/>
      <c r="GH731" s="512"/>
      <c r="GI731" s="512"/>
      <c r="GJ731" s="512"/>
      <c r="GK731" s="512"/>
      <c r="GL731" s="512"/>
      <c r="GM731" s="512"/>
      <c r="GN731" s="512"/>
      <c r="GO731" s="512"/>
      <c r="GP731" s="512"/>
      <c r="GQ731" s="512"/>
      <c r="GR731" s="512"/>
      <c r="GS731" s="512"/>
      <c r="GT731" s="512"/>
      <c r="GU731" s="512"/>
      <c r="GV731" s="512"/>
      <c r="GW731" s="512"/>
      <c r="GX731" s="512"/>
      <c r="GY731" s="512"/>
      <c r="GZ731" s="512"/>
      <c r="HA731" s="512"/>
      <c r="HB731" s="512"/>
      <c r="HC731" s="512"/>
      <c r="HD731" s="512"/>
      <c r="HE731" s="512"/>
      <c r="HF731" s="512"/>
      <c r="HG731" s="512"/>
      <c r="HH731" s="512"/>
      <c r="HI731" s="512"/>
      <c r="HJ731" s="512"/>
      <c r="HK731" s="512"/>
      <c r="HL731" s="512"/>
      <c r="HM731" s="512"/>
      <c r="HN731" s="512"/>
      <c r="HO731" s="512"/>
      <c r="HP731" s="512"/>
      <c r="HQ731" s="512"/>
      <c r="HR731" s="512"/>
      <c r="HS731" s="512"/>
      <c r="HT731" s="512"/>
      <c r="HU731" s="512"/>
      <c r="HV731" s="512"/>
      <c r="HW731" s="512"/>
      <c r="HX731" s="512"/>
      <c r="HY731" s="512"/>
      <c r="IA731" s="512"/>
      <c r="IB731" s="512"/>
      <c r="IC731" s="512"/>
      <c r="ID731" s="512">
        <f t="shared" ref="ID731:II731" si="799">ID$658</f>
        <v>-717.97319804200015</v>
      </c>
      <c r="IE731" s="279">
        <f t="shared" si="799"/>
        <v>-347.85357192010844</v>
      </c>
      <c r="IF731" s="279">
        <f t="shared" si="799"/>
        <v>-402.12024712793533</v>
      </c>
      <c r="IG731" s="512">
        <f t="shared" si="799"/>
        <v>-749.97381904804365</v>
      </c>
      <c r="IH731" s="279">
        <f t="shared" si="799"/>
        <v>-353.39072561678267</v>
      </c>
      <c r="II731" s="279">
        <f t="shared" si="799"/>
        <v>-345.65627923734655</v>
      </c>
      <c r="IJ731" s="520">
        <f t="shared" ref="IJ731:IV731" si="800">IJ$658</f>
        <v>-699.04700485412923</v>
      </c>
      <c r="IK731" s="279">
        <f t="shared" si="800"/>
        <v>-327.73210215673362</v>
      </c>
      <c r="IM731" s="520">
        <f t="shared" si="800"/>
        <v>-711.00219386974436</v>
      </c>
      <c r="IP731" s="519">
        <f t="shared" si="800"/>
        <v>-726.03602496571466</v>
      </c>
      <c r="IS731" s="519">
        <f t="shared" si="800"/>
        <v>-1092.4626583516151</v>
      </c>
      <c r="IT731" s="327"/>
      <c r="IU731" s="327"/>
      <c r="IV731" s="519">
        <f t="shared" si="800"/>
        <v>-1603.1794113359817</v>
      </c>
      <c r="IW731" s="327"/>
      <c r="IX731" s="327"/>
      <c r="IY731" s="519">
        <f>IY$658</f>
        <v>-1431.0527865498161</v>
      </c>
      <c r="IZ731" s="327"/>
      <c r="JA731" s="327">
        <f>JA$658</f>
        <v>2879.9183517507518</v>
      </c>
      <c r="JB731" s="519" t="e">
        <f>#REF!</f>
        <v>#REF!</v>
      </c>
      <c r="JC731" s="327">
        <f>JE$658</f>
        <v>9283.6627182106422</v>
      </c>
      <c r="JD731" s="327">
        <f>JD$658</f>
        <v>5071.7674964328144</v>
      </c>
      <c r="JE731" s="519"/>
      <c r="JF731" s="327"/>
      <c r="JG731" s="327"/>
      <c r="JH731" s="519"/>
      <c r="JI731" s="327"/>
      <c r="JJ731" s="327"/>
      <c r="JK731" s="519"/>
      <c r="KY731" s="279">
        <f>KY$658</f>
        <v>0</v>
      </c>
      <c r="KZ731" s="279">
        <f>KZ$658</f>
        <v>0</v>
      </c>
      <c r="LA731" s="279">
        <f>LA$658</f>
        <v>0</v>
      </c>
      <c r="LB731" s="279">
        <f>LB$658</f>
        <v>0</v>
      </c>
    </row>
    <row r="732" spans="1:314" hidden="1">
      <c r="A732" s="279"/>
      <c r="B732" s="96" t="s">
        <v>338</v>
      </c>
      <c r="D732" s="518" t="str">
        <f>D$660</f>
        <v>Change in arrears (net reduction-)</v>
      </c>
      <c r="E732" s="512">
        <f>E$660</f>
        <v>10.6554</v>
      </c>
      <c r="F732" s="512">
        <f t="shared" ref="F732:L732" si="801">F$660</f>
        <v>5.8456099999999998</v>
      </c>
      <c r="G732" s="512">
        <f t="shared" si="801"/>
        <v>-15.183400000000001</v>
      </c>
      <c r="H732" s="512">
        <f t="shared" si="801"/>
        <v>9.8549799999999994</v>
      </c>
      <c r="I732" s="512">
        <f t="shared" si="801"/>
        <v>-9.1612799999999996</v>
      </c>
      <c r="J732" s="512">
        <f t="shared" si="801"/>
        <v>-7.0667900000000001</v>
      </c>
      <c r="K732" s="512">
        <f t="shared" si="801"/>
        <v>21.487389999999998</v>
      </c>
      <c r="L732" s="512">
        <f t="shared" si="801"/>
        <v>-1.3441399999999999</v>
      </c>
      <c r="M732" s="512">
        <f t="shared" ref="M732:AW732" si="802">M$660</f>
        <v>-12.681389999999999</v>
      </c>
      <c r="N732" s="512">
        <f t="shared" si="802"/>
        <v>-1.64195</v>
      </c>
      <c r="O732" s="512">
        <f t="shared" si="802"/>
        <v>2.20912</v>
      </c>
      <c r="P732" s="512">
        <f t="shared" si="802"/>
        <v>-11.5212</v>
      </c>
      <c r="Q732" s="512">
        <f t="shared" si="802"/>
        <v>12.82325</v>
      </c>
      <c r="R732" s="512">
        <f t="shared" si="802"/>
        <v>-0.33189000000000035</v>
      </c>
      <c r="S732" s="512">
        <f t="shared" si="802"/>
        <v>-6.0977399999999999</v>
      </c>
      <c r="T732" s="512">
        <f t="shared" si="802"/>
        <v>9.3417400000000015</v>
      </c>
      <c r="U732" s="512">
        <f t="shared" si="802"/>
        <v>-10.999739999999999</v>
      </c>
      <c r="V732" s="512">
        <f t="shared" si="802"/>
        <v>-8.7369800000000062</v>
      </c>
      <c r="W732" s="512">
        <f t="shared" si="802"/>
        <v>14.96668</v>
      </c>
      <c r="X732" s="512">
        <f t="shared" si="802"/>
        <v>2.7358400000000067</v>
      </c>
      <c r="Y732" s="512">
        <f t="shared" si="802"/>
        <v>-9.1756099999999989</v>
      </c>
      <c r="Z732" s="512">
        <f t="shared" si="802"/>
        <v>22.001330000000003</v>
      </c>
      <c r="AA732" s="512">
        <f t="shared" si="802"/>
        <v>-24.827919999999999</v>
      </c>
      <c r="AB732" s="512">
        <f t="shared" si="802"/>
        <v>-9.7205099999999991</v>
      </c>
      <c r="AC732" s="512">
        <f t="shared" si="802"/>
        <v>-0.87727999999999995</v>
      </c>
      <c r="AD732" s="512">
        <f t="shared" si="802"/>
        <v>-0.53175000000000117</v>
      </c>
      <c r="AE732" s="512">
        <f t="shared" si="802"/>
        <v>-0.56568999999999992</v>
      </c>
      <c r="AF732" s="512">
        <f t="shared" si="802"/>
        <v>-1.8588699999999976</v>
      </c>
      <c r="AG732" s="512">
        <f t="shared" si="802"/>
        <v>-0.91006999999999993</v>
      </c>
      <c r="AH732" s="512">
        <f t="shared" si="802"/>
        <v>-0.43952000000000002</v>
      </c>
      <c r="AI732" s="512">
        <f t="shared" si="802"/>
        <v>15.669499999999999</v>
      </c>
      <c r="AJ732" s="512">
        <f t="shared" si="802"/>
        <v>-11.648299999999999</v>
      </c>
      <c r="AK732" s="512">
        <f t="shared" si="802"/>
        <v>-1.3377000000000001</v>
      </c>
      <c r="AL732" s="512">
        <f t="shared" si="802"/>
        <v>11.607200000000001</v>
      </c>
      <c r="AM732" s="512">
        <f t="shared" si="802"/>
        <v>-11.101100000000001</v>
      </c>
      <c r="AN732" s="512">
        <f t="shared" si="802"/>
        <v>-9.0562999999999985</v>
      </c>
      <c r="AO732" s="512">
        <f t="shared" si="802"/>
        <v>21.638860000000001</v>
      </c>
      <c r="AP732" s="512">
        <f t="shared" si="802"/>
        <v>2.7073199999999948</v>
      </c>
      <c r="AQ732" s="512">
        <f t="shared" si="802"/>
        <v>-6.5569200000000141</v>
      </c>
      <c r="AR732" s="512">
        <f t="shared" si="802"/>
        <v>7.6063799999999979</v>
      </c>
      <c r="AS732" s="512">
        <f t="shared" si="802"/>
        <v>17.792059999999996</v>
      </c>
      <c r="AT732" s="512">
        <f t="shared" si="802"/>
        <v>-49.276220000000002</v>
      </c>
      <c r="AU732" s="512">
        <f t="shared" si="802"/>
        <v>5.9401999999999999</v>
      </c>
      <c r="AV732" s="512">
        <f t="shared" si="802"/>
        <v>-0.78819999999999979</v>
      </c>
      <c r="AW732" s="512">
        <f t="shared" si="802"/>
        <v>0.17479999999999996</v>
      </c>
      <c r="AX732" s="512">
        <f t="shared" ref="AX732:BP732" si="803">AX$660</f>
        <v>-15.1335</v>
      </c>
      <c r="AY732" s="512">
        <f t="shared" si="803"/>
        <v>5.4844000000000008</v>
      </c>
      <c r="AZ732" s="512">
        <f t="shared" si="803"/>
        <v>-2.8403</v>
      </c>
      <c r="BA732" s="512">
        <f t="shared" si="803"/>
        <v>27.045399999999997</v>
      </c>
      <c r="BB732" s="512">
        <f t="shared" si="803"/>
        <v>0.25485000000000013</v>
      </c>
      <c r="BC732" s="512">
        <f t="shared" si="803"/>
        <v>-2.4120499999999998</v>
      </c>
      <c r="BD732" s="512">
        <f t="shared" si="803"/>
        <v>16.939349999999997</v>
      </c>
      <c r="BE732" s="512">
        <f t="shared" si="803"/>
        <v>0.3079599999999999</v>
      </c>
      <c r="BF732" s="512">
        <f t="shared" si="803"/>
        <v>-46.825299999999999</v>
      </c>
      <c r="BG732" s="512">
        <f t="shared" si="803"/>
        <v>-2.1658000000000004</v>
      </c>
      <c r="BH732" s="512">
        <f t="shared" si="803"/>
        <v>41.469000000000001</v>
      </c>
      <c r="BI732" s="512">
        <f t="shared" si="803"/>
        <v>-29.6478</v>
      </c>
      <c r="BJ732" s="512">
        <f t="shared" si="803"/>
        <v>31.784700000000001</v>
      </c>
      <c r="BK732" s="512">
        <f t="shared" si="803"/>
        <v>-14.7141</v>
      </c>
      <c r="BL732" s="512">
        <f t="shared" si="803"/>
        <v>-34.624499999999998</v>
      </c>
      <c r="BM732" s="512">
        <f t="shared" si="803"/>
        <v>22.7043</v>
      </c>
      <c r="BN732" s="512">
        <f t="shared" si="803"/>
        <v>-5.3937400000000002</v>
      </c>
      <c r="BO732" s="512">
        <f t="shared" si="803"/>
        <v>-19.66197</v>
      </c>
      <c r="BP732" s="512">
        <f t="shared" si="803"/>
        <v>36.031199999999998</v>
      </c>
      <c r="BQ732" s="512">
        <f t="shared" ref="BQ732:DT732" si="804">BQ$660</f>
        <v>16.442199999999996</v>
      </c>
      <c r="BR732" s="512">
        <f t="shared" si="804"/>
        <v>-55.916100000000007</v>
      </c>
      <c r="BS732" s="512">
        <f t="shared" si="804"/>
        <v>35.2239</v>
      </c>
      <c r="BT732" s="512">
        <f t="shared" si="804"/>
        <v>-3.8731</v>
      </c>
      <c r="BU732" s="512">
        <f t="shared" si="804"/>
        <v>-17.4802</v>
      </c>
      <c r="BV732" s="512">
        <f t="shared" si="804"/>
        <v>0</v>
      </c>
      <c r="BW732" s="512">
        <f t="shared" si="804"/>
        <v>0</v>
      </c>
      <c r="BX732" s="512">
        <f t="shared" si="804"/>
        <v>0</v>
      </c>
      <c r="BY732" s="512">
        <f t="shared" si="804"/>
        <v>0</v>
      </c>
      <c r="BZ732" s="512">
        <f t="shared" si="804"/>
        <v>0</v>
      </c>
      <c r="CA732" s="512">
        <f t="shared" si="804"/>
        <v>0</v>
      </c>
      <c r="CB732" s="512">
        <f t="shared" si="804"/>
        <v>0</v>
      </c>
      <c r="CC732" s="512">
        <f t="shared" si="804"/>
        <v>0</v>
      </c>
      <c r="CD732" s="514">
        <f t="shared" si="804"/>
        <v>0</v>
      </c>
      <c r="CE732" s="512">
        <f t="shared" si="804"/>
        <v>25.459926414999998</v>
      </c>
      <c r="CF732" s="512">
        <f t="shared" si="804"/>
        <v>-2.1916458300000095</v>
      </c>
      <c r="CG732" s="512">
        <f t="shared" si="804"/>
        <v>0.86049975999999662</v>
      </c>
      <c r="CH732" s="512">
        <f t="shared" si="804"/>
        <v>15.230367965000001</v>
      </c>
      <c r="CI732" s="512">
        <f t="shared" si="804"/>
        <v>-2.490232345000003</v>
      </c>
      <c r="CJ732" s="512">
        <f t="shared" si="804"/>
        <v>-44.462359226000011</v>
      </c>
      <c r="CK732" s="512">
        <f t="shared" si="804"/>
        <v>33.882002667999998</v>
      </c>
      <c r="CL732" s="512">
        <f t="shared" si="804"/>
        <v>1.5864573310000027</v>
      </c>
      <c r="CM732" s="512">
        <f t="shared" si="804"/>
        <v>-2.2788276409999981</v>
      </c>
      <c r="CN732" s="512">
        <f t="shared" si="804"/>
        <v>21.917290953999998</v>
      </c>
      <c r="CO732" s="512">
        <f t="shared" si="804"/>
        <v>15.121927161999997</v>
      </c>
      <c r="CP732" s="515">
        <f t="shared" si="804"/>
        <v>-77.886949827000009</v>
      </c>
      <c r="CQ732" s="512">
        <f t="shared" si="804"/>
        <v>43.993544946</v>
      </c>
      <c r="CR732" s="512">
        <f t="shared" si="804"/>
        <v>7.5001968780000023</v>
      </c>
      <c r="CS732" s="512">
        <f t="shared" si="804"/>
        <v>-8.1648560099999994</v>
      </c>
      <c r="CT732" s="512">
        <f t="shared" si="804"/>
        <v>7.7556771840000014</v>
      </c>
      <c r="CU732" s="512">
        <f t="shared" si="804"/>
        <v>13.614128800999996</v>
      </c>
      <c r="CV732" s="512">
        <f t="shared" si="804"/>
        <v>-15.375084401999995</v>
      </c>
      <c r="CW732" s="512">
        <f t="shared" si="804"/>
        <v>9.5578973139999999</v>
      </c>
      <c r="CX732" s="512">
        <f t="shared" si="804"/>
        <v>18.724819482000001</v>
      </c>
      <c r="CY732" s="512">
        <f t="shared" si="804"/>
        <v>-5.0054926209999993</v>
      </c>
      <c r="CZ732" s="512">
        <f t="shared" si="804"/>
        <v>34.482325734</v>
      </c>
      <c r="DA732" s="512">
        <f t="shared" si="804"/>
        <v>0.97493965699999618</v>
      </c>
      <c r="DB732" s="1306">
        <f t="shared" si="804"/>
        <v>-84.906245957999985</v>
      </c>
      <c r="DC732" s="512">
        <f t="shared" si="804"/>
        <v>45.051045941000005</v>
      </c>
      <c r="DD732" s="512">
        <f t="shared" si="804"/>
        <v>2.4522030739999972</v>
      </c>
      <c r="DE732" s="512">
        <f t="shared" si="804"/>
        <v>-11.525068235999996</v>
      </c>
      <c r="DF732" s="512">
        <f t="shared" si="804"/>
        <v>24.155134145999995</v>
      </c>
      <c r="DG732" s="512">
        <f t="shared" si="804"/>
        <v>4.7692401899999961</v>
      </c>
      <c r="DH732" s="512">
        <f t="shared" si="804"/>
        <v>-50.081889140000001</v>
      </c>
      <c r="DI732" s="512">
        <f t="shared" si="804"/>
        <v>39.04344991899999</v>
      </c>
      <c r="DJ732" s="512">
        <f t="shared" si="804"/>
        <v>-12.661360148</v>
      </c>
      <c r="DK732" s="512">
        <f t="shared" si="804"/>
        <v>2.5686521749999995</v>
      </c>
      <c r="DL732" s="512">
        <f t="shared" si="804"/>
        <v>8.1482137590000008</v>
      </c>
      <c r="DM732" s="512">
        <f t="shared" si="804"/>
        <v>27.100130161999999</v>
      </c>
      <c r="DN732" s="515">
        <f t="shared" si="804"/>
        <v>-106.637777396</v>
      </c>
      <c r="DO732" s="512">
        <f t="shared" si="804"/>
        <v>5.7541547349999931</v>
      </c>
      <c r="DP732" s="512">
        <f t="shared" si="804"/>
        <v>67.927479993000006</v>
      </c>
      <c r="DQ732" s="512">
        <f t="shared" si="804"/>
        <v>-6.7416281189999925</v>
      </c>
      <c r="DR732" s="512">
        <f t="shared" si="804"/>
        <v>22.302948236000002</v>
      </c>
      <c r="DS732" s="512">
        <f t="shared" si="804"/>
        <v>1.6517766149999982</v>
      </c>
      <c r="DT732" s="512">
        <f t="shared" si="804"/>
        <v>-103.077576081</v>
      </c>
      <c r="DU732" s="512"/>
      <c r="DV732" s="512"/>
      <c r="DW732" s="512"/>
      <c r="DX732" s="512"/>
      <c r="DY732" s="512"/>
      <c r="DZ732" s="515"/>
      <c r="EA732" s="512"/>
      <c r="EB732" s="512"/>
      <c r="EC732" s="512"/>
      <c r="ED732" s="512"/>
      <c r="EE732" s="512"/>
      <c r="EF732" s="512"/>
      <c r="EG732" s="512"/>
      <c r="EH732" s="512"/>
      <c r="EI732" s="512"/>
      <c r="EJ732" s="512"/>
      <c r="EK732" s="512"/>
      <c r="EL732" s="515"/>
      <c r="EM732" s="512"/>
      <c r="EN732" s="512"/>
      <c r="EO732" s="512"/>
      <c r="EP732" s="512"/>
      <c r="EQ732" s="512"/>
      <c r="ER732" s="512"/>
      <c r="ES732" s="512"/>
      <c r="ET732" s="512"/>
      <c r="EU732" s="512"/>
      <c r="EV732" s="512"/>
      <c r="EW732" s="512"/>
      <c r="EX732" s="515"/>
      <c r="EY732" s="512"/>
      <c r="EZ732" s="512"/>
      <c r="FA732" s="512"/>
      <c r="FB732" s="512"/>
      <c r="FC732" s="512"/>
      <c r="FD732" s="512"/>
      <c r="FE732" s="512"/>
      <c r="FF732" s="512"/>
      <c r="FG732" s="512"/>
      <c r="FH732" s="512"/>
      <c r="FI732" s="512"/>
      <c r="FJ732" s="515"/>
      <c r="FK732" s="512"/>
      <c r="FL732" s="512"/>
      <c r="FM732" s="512"/>
      <c r="FN732" s="512"/>
      <c r="FO732" s="512"/>
      <c r="FP732" s="512"/>
      <c r="FQ732" s="512"/>
      <c r="FR732" s="512"/>
      <c r="FS732" s="512"/>
      <c r="FT732" s="512"/>
      <c r="FU732" s="512"/>
      <c r="FV732" s="512"/>
      <c r="FW732" s="512"/>
      <c r="FX732" s="512"/>
      <c r="FY732" s="512"/>
      <c r="FZ732" s="512"/>
      <c r="GA732" s="512"/>
      <c r="GB732" s="512"/>
      <c r="GC732" s="512"/>
      <c r="GD732" s="512"/>
      <c r="GE732" s="512"/>
      <c r="GF732" s="512"/>
      <c r="GG732" s="512"/>
      <c r="GH732" s="512"/>
      <c r="GI732" s="512"/>
      <c r="GJ732" s="512"/>
      <c r="GK732" s="512"/>
      <c r="GL732" s="512"/>
      <c r="GM732" s="512"/>
      <c r="GN732" s="512"/>
      <c r="GO732" s="512"/>
      <c r="GP732" s="512"/>
      <c r="GQ732" s="512"/>
      <c r="GR732" s="512"/>
      <c r="GS732" s="512"/>
      <c r="GT732" s="512"/>
      <c r="GU732" s="512"/>
      <c r="GV732" s="512"/>
      <c r="GW732" s="512"/>
      <c r="GX732" s="512"/>
      <c r="GY732" s="512"/>
      <c r="GZ732" s="512"/>
      <c r="HA732" s="512"/>
      <c r="HB732" s="512"/>
      <c r="HC732" s="512"/>
      <c r="HD732" s="512"/>
      <c r="HE732" s="512"/>
      <c r="HF732" s="512"/>
      <c r="HG732" s="512"/>
      <c r="HH732" s="512"/>
      <c r="HI732" s="512"/>
      <c r="HJ732" s="512"/>
      <c r="HK732" s="512"/>
      <c r="HL732" s="512"/>
      <c r="HM732" s="512"/>
      <c r="HN732" s="512"/>
      <c r="HO732" s="512"/>
      <c r="HP732" s="512"/>
      <c r="HQ732" s="512"/>
      <c r="HR732" s="512"/>
      <c r="HS732" s="512"/>
      <c r="HT732" s="512"/>
      <c r="HU732" s="512"/>
      <c r="HV732" s="512"/>
      <c r="HW732" s="512"/>
      <c r="HX732" s="512"/>
      <c r="HY732" s="512"/>
      <c r="IA732" s="512"/>
      <c r="IB732" s="512"/>
      <c r="IC732" s="512"/>
      <c r="ID732" s="512">
        <f t="shared" ref="ID732:II732" si="805">ID$660</f>
        <v>5</v>
      </c>
      <c r="IE732" s="279">
        <f t="shared" si="805"/>
        <v>49.323607397000004</v>
      </c>
      <c r="IF732" s="279">
        <f t="shared" si="805"/>
        <v>-26.171756391999992</v>
      </c>
      <c r="IG732" s="512">
        <f t="shared" si="805"/>
        <v>23.151851005000012</v>
      </c>
      <c r="IH732" s="279">
        <f t="shared" si="805"/>
        <v>14.820665974999997</v>
      </c>
      <c r="II732" s="279">
        <f t="shared" si="805"/>
        <v>-42.43869152900001</v>
      </c>
      <c r="IJ732" s="520">
        <f t="shared" ref="IJ732:IV732" si="806">IJ$660</f>
        <v>-27.618025554000013</v>
      </c>
      <c r="IK732" s="279">
        <f t="shared" si="806"/>
        <v>-12.182844620999987</v>
      </c>
      <c r="IM732" s="520">
        <f t="shared" si="806"/>
        <v>39.965229826000012</v>
      </c>
      <c r="IP732" s="519">
        <f t="shared" si="806"/>
        <v>-25.061232288000014</v>
      </c>
      <c r="IS732" s="519">
        <f t="shared" si="806"/>
        <v>55.122620192000042</v>
      </c>
      <c r="IT732" s="327"/>
      <c r="IU732" s="327"/>
      <c r="IV732" s="519">
        <f t="shared" si="806"/>
        <v>-55.1</v>
      </c>
      <c r="IW732" s="327"/>
      <c r="IX732" s="327"/>
      <c r="IY732" s="519">
        <f>IY$660</f>
        <v>-35.228921278959099</v>
      </c>
      <c r="IZ732" s="327"/>
      <c r="JA732" s="327" t="e">
        <f>JA$660</f>
        <v>#REF!</v>
      </c>
      <c r="JB732" s="519" t="e">
        <f>#REF!</f>
        <v>#REF!</v>
      </c>
      <c r="JC732" s="327">
        <f>JE$660</f>
        <v>-40</v>
      </c>
      <c r="JD732" s="327">
        <f>JD$660</f>
        <v>-20</v>
      </c>
      <c r="JE732" s="519"/>
      <c r="JF732" s="327"/>
      <c r="JG732" s="327"/>
      <c r="JH732" s="519"/>
      <c r="JI732" s="327"/>
      <c r="JJ732" s="327"/>
      <c r="JK732" s="519"/>
      <c r="KY732" s="279">
        <f>KY$660</f>
        <v>0</v>
      </c>
      <c r="KZ732" s="279">
        <f>KZ$660</f>
        <v>0</v>
      </c>
      <c r="LA732" s="279">
        <f>LA$660</f>
        <v>0</v>
      </c>
      <c r="LB732" s="279">
        <f>LB$660</f>
        <v>0</v>
      </c>
    </row>
    <row r="733" spans="1:314" hidden="1">
      <c r="A733" s="279"/>
      <c r="B733" s="96" t="s">
        <v>338</v>
      </c>
      <c r="D733" s="517" t="str">
        <f>D$661</f>
        <v>Domestic</v>
      </c>
      <c r="E733" s="512">
        <f>E$661</f>
        <v>10.6554</v>
      </c>
      <c r="F733" s="512">
        <f t="shared" ref="F733:L733" si="807">F$661</f>
        <v>5.8456099999999998</v>
      </c>
      <c r="G733" s="512">
        <f t="shared" si="807"/>
        <v>-15.183400000000001</v>
      </c>
      <c r="H733" s="512">
        <f t="shared" si="807"/>
        <v>9.8549799999999994</v>
      </c>
      <c r="I733" s="512">
        <f t="shared" si="807"/>
        <v>-9.1612799999999996</v>
      </c>
      <c r="J733" s="512">
        <f t="shared" si="807"/>
        <v>-7.0667900000000001</v>
      </c>
      <c r="K733" s="512">
        <f t="shared" si="807"/>
        <v>21.487389999999998</v>
      </c>
      <c r="L733" s="512">
        <f t="shared" si="807"/>
        <v>-1.3441399999999999</v>
      </c>
      <c r="M733" s="512">
        <f t="shared" ref="M733:AW733" si="808">M$661</f>
        <v>-12.681389999999999</v>
      </c>
      <c r="N733" s="512">
        <f t="shared" si="808"/>
        <v>-1.64195</v>
      </c>
      <c r="O733" s="512">
        <f t="shared" si="808"/>
        <v>2.20912</v>
      </c>
      <c r="P733" s="512">
        <f t="shared" si="808"/>
        <v>-11.5212</v>
      </c>
      <c r="Q733" s="512">
        <f t="shared" si="808"/>
        <v>12.82325</v>
      </c>
      <c r="R733" s="512">
        <f t="shared" si="808"/>
        <v>-0.33189000000000035</v>
      </c>
      <c r="S733" s="512">
        <f t="shared" si="808"/>
        <v>-6.0977399999999999</v>
      </c>
      <c r="T733" s="512">
        <f t="shared" si="808"/>
        <v>9.3417400000000015</v>
      </c>
      <c r="U733" s="512">
        <f t="shared" si="808"/>
        <v>-10.999739999999999</v>
      </c>
      <c r="V733" s="512">
        <f t="shared" si="808"/>
        <v>-8.7369800000000062</v>
      </c>
      <c r="W733" s="512">
        <f t="shared" si="808"/>
        <v>14.96668</v>
      </c>
      <c r="X733" s="512">
        <f t="shared" si="808"/>
        <v>2.7358400000000067</v>
      </c>
      <c r="Y733" s="512">
        <f t="shared" si="808"/>
        <v>-9.1756099999999989</v>
      </c>
      <c r="Z733" s="512">
        <f t="shared" si="808"/>
        <v>22.001330000000003</v>
      </c>
      <c r="AA733" s="512">
        <f t="shared" si="808"/>
        <v>-24.827919999999999</v>
      </c>
      <c r="AB733" s="512">
        <f t="shared" si="808"/>
        <v>-9.7205099999999991</v>
      </c>
      <c r="AC733" s="512">
        <f t="shared" si="808"/>
        <v>-0.87727999999999995</v>
      </c>
      <c r="AD733" s="512">
        <f t="shared" si="808"/>
        <v>-0.53175000000000117</v>
      </c>
      <c r="AE733" s="512">
        <f t="shared" si="808"/>
        <v>-0.56568999999999992</v>
      </c>
      <c r="AF733" s="512">
        <f t="shared" si="808"/>
        <v>-1.8588699999999976</v>
      </c>
      <c r="AG733" s="512">
        <f t="shared" si="808"/>
        <v>-0.91006999999999993</v>
      </c>
      <c r="AH733" s="512">
        <f t="shared" si="808"/>
        <v>-0.43952000000000002</v>
      </c>
      <c r="AI733" s="512">
        <f t="shared" si="808"/>
        <v>15.669499999999999</v>
      </c>
      <c r="AJ733" s="512">
        <f t="shared" si="808"/>
        <v>-11.648299999999999</v>
      </c>
      <c r="AK733" s="512">
        <f t="shared" si="808"/>
        <v>-1.3377000000000001</v>
      </c>
      <c r="AL733" s="512">
        <f t="shared" si="808"/>
        <v>11.607200000000001</v>
      </c>
      <c r="AM733" s="512">
        <f t="shared" si="808"/>
        <v>-11.101100000000001</v>
      </c>
      <c r="AN733" s="512">
        <f t="shared" si="808"/>
        <v>-9.0562999999999985</v>
      </c>
      <c r="AO733" s="512">
        <f t="shared" si="808"/>
        <v>21.638860000000001</v>
      </c>
      <c r="AP733" s="512">
        <f t="shared" si="808"/>
        <v>2.7073199999999948</v>
      </c>
      <c r="AQ733" s="512">
        <f t="shared" si="808"/>
        <v>-6.5569200000000141</v>
      </c>
      <c r="AR733" s="512">
        <f t="shared" si="808"/>
        <v>7.6063799999999979</v>
      </c>
      <c r="AS733" s="512">
        <f t="shared" si="808"/>
        <v>17.792059999999996</v>
      </c>
      <c r="AT733" s="512">
        <f t="shared" si="808"/>
        <v>-49.276220000000002</v>
      </c>
      <c r="AU733" s="512">
        <f t="shared" si="808"/>
        <v>5.9401999999999999</v>
      </c>
      <c r="AV733" s="512">
        <f t="shared" si="808"/>
        <v>-0.78819999999999979</v>
      </c>
      <c r="AW733" s="512">
        <f t="shared" si="808"/>
        <v>0.17479999999999996</v>
      </c>
      <c r="AX733" s="512">
        <f t="shared" ref="AX733:BP733" si="809">AX$661</f>
        <v>-15.1335</v>
      </c>
      <c r="AY733" s="512">
        <f t="shared" si="809"/>
        <v>5.4844000000000008</v>
      </c>
      <c r="AZ733" s="512">
        <f t="shared" si="809"/>
        <v>-2.8403</v>
      </c>
      <c r="BA733" s="512">
        <f t="shared" si="809"/>
        <v>27.045399999999997</v>
      </c>
      <c r="BB733" s="512">
        <f t="shared" si="809"/>
        <v>0.25485000000000013</v>
      </c>
      <c r="BC733" s="512">
        <f t="shared" si="809"/>
        <v>-2.4120499999999998</v>
      </c>
      <c r="BD733" s="512">
        <f t="shared" si="809"/>
        <v>16.939349999999997</v>
      </c>
      <c r="BE733" s="512">
        <f t="shared" si="809"/>
        <v>0.3079599999999999</v>
      </c>
      <c r="BF733" s="512">
        <f t="shared" si="809"/>
        <v>-46.825299999999999</v>
      </c>
      <c r="BG733" s="512">
        <f t="shared" si="809"/>
        <v>-2.1658000000000004</v>
      </c>
      <c r="BH733" s="512">
        <f t="shared" si="809"/>
        <v>41.469000000000001</v>
      </c>
      <c r="BI733" s="512">
        <f t="shared" si="809"/>
        <v>-29.6478</v>
      </c>
      <c r="BJ733" s="512">
        <f t="shared" si="809"/>
        <v>31.784700000000001</v>
      </c>
      <c r="BK733" s="512">
        <f t="shared" si="809"/>
        <v>-14.7141</v>
      </c>
      <c r="BL733" s="512">
        <f t="shared" si="809"/>
        <v>-34.624499999999998</v>
      </c>
      <c r="BM733" s="512">
        <f t="shared" si="809"/>
        <v>22.7043</v>
      </c>
      <c r="BN733" s="512">
        <f t="shared" si="809"/>
        <v>-5.3937400000000002</v>
      </c>
      <c r="BO733" s="512">
        <f t="shared" si="809"/>
        <v>-19.66197</v>
      </c>
      <c r="BP733" s="512">
        <f t="shared" si="809"/>
        <v>36.031199999999998</v>
      </c>
      <c r="BQ733" s="512">
        <f t="shared" ref="BQ733:DT733" si="810">BQ$661</f>
        <v>16.442199999999996</v>
      </c>
      <c r="BR733" s="512">
        <f t="shared" si="810"/>
        <v>-55.916100000000007</v>
      </c>
      <c r="BS733" s="512">
        <f t="shared" si="810"/>
        <v>35.2239</v>
      </c>
      <c r="BT733" s="512">
        <f t="shared" si="810"/>
        <v>-3.8731</v>
      </c>
      <c r="BU733" s="512">
        <f t="shared" si="810"/>
        <v>-17.4802</v>
      </c>
      <c r="BV733" s="512">
        <f t="shared" si="810"/>
        <v>0</v>
      </c>
      <c r="BW733" s="512">
        <f t="shared" si="810"/>
        <v>0</v>
      </c>
      <c r="BX733" s="512">
        <f t="shared" si="810"/>
        <v>0</v>
      </c>
      <c r="BY733" s="512">
        <f t="shared" si="810"/>
        <v>0</v>
      </c>
      <c r="BZ733" s="512">
        <f t="shared" si="810"/>
        <v>0</v>
      </c>
      <c r="CA733" s="512">
        <f t="shared" si="810"/>
        <v>0</v>
      </c>
      <c r="CB733" s="512">
        <f t="shared" si="810"/>
        <v>0</v>
      </c>
      <c r="CC733" s="512">
        <f t="shared" si="810"/>
        <v>0</v>
      </c>
      <c r="CD733" s="514">
        <f t="shared" si="810"/>
        <v>0</v>
      </c>
      <c r="CE733" s="512">
        <f t="shared" si="810"/>
        <v>25.459926414999998</v>
      </c>
      <c r="CF733" s="512">
        <f t="shared" si="810"/>
        <v>-2.1916458300000095</v>
      </c>
      <c r="CG733" s="512">
        <f t="shared" si="810"/>
        <v>0.86049975999999662</v>
      </c>
      <c r="CH733" s="512">
        <f t="shared" si="810"/>
        <v>15.230367965000001</v>
      </c>
      <c r="CI733" s="512">
        <f t="shared" si="810"/>
        <v>-2.490232345000003</v>
      </c>
      <c r="CJ733" s="512">
        <f t="shared" si="810"/>
        <v>-44.462359226000011</v>
      </c>
      <c r="CK733" s="512">
        <f t="shared" si="810"/>
        <v>33.882002667999998</v>
      </c>
      <c r="CL733" s="512">
        <f t="shared" si="810"/>
        <v>1.5864573310000027</v>
      </c>
      <c r="CM733" s="512">
        <f t="shared" si="810"/>
        <v>-2.2788276409999981</v>
      </c>
      <c r="CN733" s="512">
        <f t="shared" si="810"/>
        <v>21.917290953999998</v>
      </c>
      <c r="CO733" s="512">
        <f t="shared" si="810"/>
        <v>15.121927161999997</v>
      </c>
      <c r="CP733" s="515">
        <f t="shared" si="810"/>
        <v>-77.886949827000009</v>
      </c>
      <c r="CQ733" s="512">
        <f t="shared" si="810"/>
        <v>43.993544946</v>
      </c>
      <c r="CR733" s="512">
        <f t="shared" si="810"/>
        <v>7.5001968780000023</v>
      </c>
      <c r="CS733" s="512">
        <f t="shared" si="810"/>
        <v>-8.1648560099999994</v>
      </c>
      <c r="CT733" s="512">
        <f t="shared" si="810"/>
        <v>7.7556771840000014</v>
      </c>
      <c r="CU733" s="512">
        <f t="shared" si="810"/>
        <v>13.614128800999996</v>
      </c>
      <c r="CV733" s="512">
        <f t="shared" si="810"/>
        <v>-15.375084401999995</v>
      </c>
      <c r="CW733" s="512">
        <f t="shared" si="810"/>
        <v>9.5578973139999999</v>
      </c>
      <c r="CX733" s="512">
        <f t="shared" si="810"/>
        <v>18.724819482000001</v>
      </c>
      <c r="CY733" s="512">
        <f t="shared" si="810"/>
        <v>-5.0054926209999993</v>
      </c>
      <c r="CZ733" s="512">
        <f t="shared" si="810"/>
        <v>34.482325734</v>
      </c>
      <c r="DA733" s="512">
        <f t="shared" si="810"/>
        <v>0.97493965699999618</v>
      </c>
      <c r="DB733" s="1306">
        <f t="shared" si="810"/>
        <v>-84.906245957999985</v>
      </c>
      <c r="DC733" s="512">
        <f t="shared" si="810"/>
        <v>45.051045941000005</v>
      </c>
      <c r="DD733" s="512">
        <f t="shared" si="810"/>
        <v>2.4522030739999972</v>
      </c>
      <c r="DE733" s="512">
        <f t="shared" si="810"/>
        <v>-11.525068235999996</v>
      </c>
      <c r="DF733" s="512">
        <f t="shared" si="810"/>
        <v>24.155134145999995</v>
      </c>
      <c r="DG733" s="512">
        <f t="shared" si="810"/>
        <v>4.7692401899999961</v>
      </c>
      <c r="DH733" s="512">
        <f t="shared" si="810"/>
        <v>-50.081889140000001</v>
      </c>
      <c r="DI733" s="512">
        <f t="shared" si="810"/>
        <v>39.04344991899999</v>
      </c>
      <c r="DJ733" s="512">
        <f t="shared" si="810"/>
        <v>-12.661360148</v>
      </c>
      <c r="DK733" s="512">
        <f t="shared" si="810"/>
        <v>2.5686521749999995</v>
      </c>
      <c r="DL733" s="512">
        <f t="shared" si="810"/>
        <v>8.1482137590000008</v>
      </c>
      <c r="DM733" s="512">
        <f t="shared" si="810"/>
        <v>27.100130161999999</v>
      </c>
      <c r="DN733" s="515">
        <f t="shared" si="810"/>
        <v>-106.637777396</v>
      </c>
      <c r="DO733" s="512">
        <f t="shared" si="810"/>
        <v>5.7541547349999931</v>
      </c>
      <c r="DP733" s="512">
        <f t="shared" si="810"/>
        <v>67.927479993000006</v>
      </c>
      <c r="DQ733" s="512">
        <f t="shared" si="810"/>
        <v>-6.7416281189999925</v>
      </c>
      <c r="DR733" s="512">
        <f t="shared" si="810"/>
        <v>22.302948236000002</v>
      </c>
      <c r="DS733" s="512">
        <f t="shared" si="810"/>
        <v>1.6517766149999982</v>
      </c>
      <c r="DT733" s="512">
        <f t="shared" si="810"/>
        <v>-103.077576081</v>
      </c>
      <c r="DU733" s="512"/>
      <c r="DV733" s="512"/>
      <c r="DW733" s="512"/>
      <c r="DX733" s="512"/>
      <c r="DY733" s="512"/>
      <c r="DZ733" s="515"/>
      <c r="EA733" s="512"/>
      <c r="EB733" s="512"/>
      <c r="EC733" s="512"/>
      <c r="ED733" s="512"/>
      <c r="EE733" s="512"/>
      <c r="EF733" s="512"/>
      <c r="EG733" s="512"/>
      <c r="EH733" s="512"/>
      <c r="EI733" s="512"/>
      <c r="EJ733" s="512"/>
      <c r="EK733" s="512"/>
      <c r="EL733" s="515"/>
      <c r="EM733" s="512"/>
      <c r="EN733" s="512"/>
      <c r="EO733" s="512"/>
      <c r="EP733" s="512"/>
      <c r="EQ733" s="512"/>
      <c r="ER733" s="512"/>
      <c r="ES733" s="512"/>
      <c r="ET733" s="512"/>
      <c r="EU733" s="512"/>
      <c r="EV733" s="512"/>
      <c r="EW733" s="512"/>
      <c r="EX733" s="515"/>
      <c r="EY733" s="512"/>
      <c r="EZ733" s="512"/>
      <c r="FA733" s="512"/>
      <c r="FB733" s="512"/>
      <c r="FC733" s="512"/>
      <c r="FD733" s="512"/>
      <c r="FE733" s="512"/>
      <c r="FF733" s="512"/>
      <c r="FG733" s="512"/>
      <c r="FH733" s="512"/>
      <c r="FI733" s="512"/>
      <c r="FJ733" s="515"/>
      <c r="FK733" s="512"/>
      <c r="FL733" s="512"/>
      <c r="FM733" s="512"/>
      <c r="FN733" s="512"/>
      <c r="FO733" s="512"/>
      <c r="FP733" s="512"/>
      <c r="FQ733" s="512"/>
      <c r="FR733" s="512"/>
      <c r="FS733" s="512"/>
      <c r="FT733" s="512"/>
      <c r="FU733" s="512"/>
      <c r="FV733" s="512"/>
      <c r="FW733" s="512"/>
      <c r="FX733" s="512"/>
      <c r="FY733" s="512"/>
      <c r="FZ733" s="512"/>
      <c r="GA733" s="512"/>
      <c r="GB733" s="512"/>
      <c r="GC733" s="512"/>
      <c r="GD733" s="512"/>
      <c r="GE733" s="512"/>
      <c r="GF733" s="512"/>
      <c r="GG733" s="512"/>
      <c r="GH733" s="512"/>
      <c r="GI733" s="512"/>
      <c r="GJ733" s="512"/>
      <c r="GK733" s="512"/>
      <c r="GL733" s="512"/>
      <c r="GM733" s="512"/>
      <c r="GN733" s="512"/>
      <c r="GO733" s="512"/>
      <c r="GP733" s="512"/>
      <c r="GQ733" s="512"/>
      <c r="GR733" s="512"/>
      <c r="GS733" s="512"/>
      <c r="GT733" s="512"/>
      <c r="GU733" s="512"/>
      <c r="GV733" s="512"/>
      <c r="GW733" s="512"/>
      <c r="GX733" s="512"/>
      <c r="GY733" s="512"/>
      <c r="GZ733" s="512"/>
      <c r="HA733" s="512"/>
      <c r="HB733" s="512"/>
      <c r="HC733" s="512"/>
      <c r="HD733" s="512"/>
      <c r="HE733" s="512"/>
      <c r="HF733" s="512"/>
      <c r="HG733" s="512"/>
      <c r="HH733" s="512"/>
      <c r="HI733" s="512"/>
      <c r="HJ733" s="512"/>
      <c r="HK733" s="512"/>
      <c r="HL733" s="512"/>
      <c r="HM733" s="512"/>
      <c r="HN733" s="512"/>
      <c r="HO733" s="512"/>
      <c r="HP733" s="512"/>
      <c r="HQ733" s="512"/>
      <c r="HR733" s="512"/>
      <c r="HS733" s="512"/>
      <c r="HT733" s="512"/>
      <c r="HU733" s="512"/>
      <c r="HV733" s="512"/>
      <c r="HW733" s="512"/>
      <c r="HX733" s="512"/>
      <c r="HY733" s="512"/>
      <c r="IA733" s="512"/>
      <c r="IB733" s="512"/>
      <c r="IC733" s="512"/>
      <c r="ID733" s="512">
        <f t="shared" ref="ID733:II733" si="811">ID$661</f>
        <v>5</v>
      </c>
      <c r="IE733" s="279">
        <f t="shared" si="811"/>
        <v>49.323607397000004</v>
      </c>
      <c r="IF733" s="279">
        <f t="shared" si="811"/>
        <v>-26.171756391999992</v>
      </c>
      <c r="IG733" s="512">
        <f t="shared" si="811"/>
        <v>23.151851005000012</v>
      </c>
      <c r="IH733" s="279">
        <f t="shared" si="811"/>
        <v>14.820665974999997</v>
      </c>
      <c r="II733" s="279">
        <f t="shared" si="811"/>
        <v>-42.43869152900001</v>
      </c>
      <c r="IJ733" s="520">
        <f t="shared" ref="IJ733:IV733" si="812">IJ$661</f>
        <v>-27.618025554000013</v>
      </c>
      <c r="IK733" s="279">
        <f t="shared" si="812"/>
        <v>-12.182844620999987</v>
      </c>
      <c r="IM733" s="520">
        <f t="shared" si="812"/>
        <v>39.965229826000012</v>
      </c>
      <c r="IP733" s="519">
        <f t="shared" si="812"/>
        <v>-25.061232288000014</v>
      </c>
      <c r="IS733" s="519">
        <f t="shared" si="812"/>
        <v>55.122620192000042</v>
      </c>
      <c r="IT733" s="327"/>
      <c r="IU733" s="327"/>
      <c r="IV733" s="519">
        <f t="shared" si="812"/>
        <v>-55.1</v>
      </c>
      <c r="IW733" s="327"/>
      <c r="IX733" s="327"/>
      <c r="IY733" s="519">
        <f>IY$661</f>
        <v>-35.228921278959099</v>
      </c>
      <c r="IZ733" s="327"/>
      <c r="JA733" s="327" t="e">
        <f>JA$661</f>
        <v>#REF!</v>
      </c>
      <c r="JB733" s="519" t="e">
        <f>#REF!</f>
        <v>#REF!</v>
      </c>
      <c r="JC733" s="327">
        <f>JE$661</f>
        <v>-40</v>
      </c>
      <c r="JD733" s="327">
        <f>JD$661</f>
        <v>-20</v>
      </c>
      <c r="JE733" s="519"/>
      <c r="JF733" s="327"/>
      <c r="JG733" s="327"/>
      <c r="JH733" s="519"/>
      <c r="JI733" s="327"/>
      <c r="JJ733" s="327"/>
      <c r="JK733" s="519"/>
      <c r="KY733" s="279">
        <f>KY$661</f>
        <v>0</v>
      </c>
      <c r="KZ733" s="279">
        <f>KZ$661</f>
        <v>0</v>
      </c>
      <c r="LA733" s="279">
        <f>LA$661</f>
        <v>0</v>
      </c>
      <c r="LB733" s="279">
        <f>LB$661</f>
        <v>0</v>
      </c>
    </row>
    <row r="734" spans="1:314" hidden="1">
      <c r="A734" s="279"/>
      <c r="D734" s="517"/>
      <c r="E734" s="512"/>
      <c r="F734" s="512"/>
      <c r="G734" s="512"/>
      <c r="H734" s="512"/>
      <c r="I734" s="512"/>
      <c r="J734" s="512"/>
      <c r="K734" s="512"/>
      <c r="L734" s="512"/>
      <c r="M734" s="512"/>
      <c r="N734" s="512"/>
      <c r="O734" s="512"/>
      <c r="P734" s="512"/>
      <c r="Q734" s="512"/>
      <c r="R734" s="512"/>
      <c r="S734" s="512"/>
      <c r="T734" s="512"/>
      <c r="U734" s="512"/>
      <c r="V734" s="512"/>
      <c r="W734" s="512"/>
      <c r="X734" s="512"/>
      <c r="Y734" s="512"/>
      <c r="Z734" s="512"/>
      <c r="AA734" s="512"/>
      <c r="AB734" s="512"/>
      <c r="AC734" s="512"/>
      <c r="AD734" s="512"/>
      <c r="AE734" s="512"/>
      <c r="AF734" s="512"/>
      <c r="AG734" s="512"/>
      <c r="AH734" s="512"/>
      <c r="AI734" s="512"/>
      <c r="AJ734" s="512"/>
      <c r="AK734" s="512"/>
      <c r="AL734" s="512"/>
      <c r="AM734" s="512"/>
      <c r="AN734" s="512"/>
      <c r="AO734" s="512"/>
      <c r="AP734" s="512"/>
      <c r="AQ734" s="512"/>
      <c r="AR734" s="512"/>
      <c r="AS734" s="512"/>
      <c r="AT734" s="512"/>
      <c r="AU734" s="512"/>
      <c r="AV734" s="512"/>
      <c r="AW734" s="512"/>
      <c r="AX734" s="512"/>
      <c r="AY734" s="512"/>
      <c r="AZ734" s="512"/>
      <c r="BA734" s="512"/>
      <c r="BB734" s="512"/>
      <c r="BC734" s="512"/>
      <c r="BD734" s="512"/>
      <c r="BE734" s="512"/>
      <c r="BF734" s="512"/>
      <c r="BG734" s="512"/>
      <c r="BH734" s="512"/>
      <c r="BI734" s="512"/>
      <c r="BJ734" s="512"/>
      <c r="BK734" s="512"/>
      <c r="BL734" s="512"/>
      <c r="BM734" s="512"/>
      <c r="BN734" s="512"/>
      <c r="BO734" s="512"/>
      <c r="BP734" s="512"/>
      <c r="BQ734" s="512"/>
      <c r="BR734" s="512"/>
      <c r="BS734" s="512"/>
      <c r="BT734" s="512"/>
      <c r="BU734" s="512"/>
      <c r="BV734" s="512"/>
      <c r="BW734" s="512"/>
      <c r="BX734" s="512"/>
      <c r="BY734" s="512"/>
      <c r="BZ734" s="512"/>
      <c r="CA734" s="512"/>
      <c r="CB734" s="512"/>
      <c r="CC734" s="512"/>
      <c r="CD734" s="514"/>
      <c r="CE734" s="512"/>
      <c r="CF734" s="512"/>
      <c r="CG734" s="512"/>
      <c r="CH734" s="512"/>
      <c r="CI734" s="512"/>
      <c r="CJ734" s="512"/>
      <c r="CK734" s="512"/>
      <c r="CL734" s="512"/>
      <c r="CM734" s="512"/>
      <c r="CN734" s="512"/>
      <c r="CO734" s="512"/>
      <c r="CP734" s="515"/>
      <c r="CQ734" s="512"/>
      <c r="CR734" s="512"/>
      <c r="CS734" s="512"/>
      <c r="CT734" s="512"/>
      <c r="CU734" s="512"/>
      <c r="CV734" s="512"/>
      <c r="CW734" s="512"/>
      <c r="CX734" s="512"/>
      <c r="CY734" s="512"/>
      <c r="CZ734" s="512"/>
      <c r="DA734" s="512"/>
      <c r="DB734" s="1306"/>
      <c r="DC734" s="512"/>
      <c r="DD734" s="512"/>
      <c r="DE734" s="512"/>
      <c r="DF734" s="512"/>
      <c r="DG734" s="512"/>
      <c r="DH734" s="512"/>
      <c r="DI734" s="512"/>
      <c r="DJ734" s="512"/>
      <c r="DK734" s="512"/>
      <c r="DL734" s="512"/>
      <c r="DM734" s="512"/>
      <c r="DN734" s="515"/>
      <c r="DO734" s="512"/>
      <c r="DP734" s="512"/>
      <c r="DQ734" s="512"/>
      <c r="DR734" s="512"/>
      <c r="DS734" s="512"/>
      <c r="DT734" s="512"/>
      <c r="DU734" s="512"/>
      <c r="DV734" s="512"/>
      <c r="DW734" s="512"/>
      <c r="DX734" s="512"/>
      <c r="DY734" s="512"/>
      <c r="DZ734" s="515"/>
      <c r="EA734" s="512"/>
      <c r="EB734" s="512"/>
      <c r="EC734" s="512"/>
      <c r="ED734" s="512"/>
      <c r="EE734" s="512"/>
      <c r="EF734" s="512"/>
      <c r="EG734" s="512"/>
      <c r="EH734" s="512"/>
      <c r="EI734" s="512"/>
      <c r="EJ734" s="512"/>
      <c r="EK734" s="512"/>
      <c r="EL734" s="515"/>
      <c r="EM734" s="512"/>
      <c r="EN734" s="512"/>
      <c r="EO734" s="512"/>
      <c r="EP734" s="512"/>
      <c r="EQ734" s="512"/>
      <c r="ER734" s="512"/>
      <c r="ES734" s="512"/>
      <c r="ET734" s="512"/>
      <c r="EU734" s="512"/>
      <c r="EV734" s="512"/>
      <c r="EW734" s="512"/>
      <c r="EX734" s="515"/>
      <c r="EY734" s="512"/>
      <c r="EZ734" s="512"/>
      <c r="FA734" s="512"/>
      <c r="FB734" s="512"/>
      <c r="FC734" s="512"/>
      <c r="FD734" s="512"/>
      <c r="FE734" s="512"/>
      <c r="FF734" s="512"/>
      <c r="FG734" s="512"/>
      <c r="FH734" s="512"/>
      <c r="FI734" s="512"/>
      <c r="FJ734" s="515"/>
      <c r="FK734" s="512"/>
      <c r="FL734" s="512"/>
      <c r="FM734" s="512"/>
      <c r="FN734" s="512"/>
      <c r="FO734" s="512"/>
      <c r="FP734" s="512"/>
      <c r="FQ734" s="512"/>
      <c r="FR734" s="512"/>
      <c r="FS734" s="512"/>
      <c r="FT734" s="512"/>
      <c r="FU734" s="512"/>
      <c r="FV734" s="512"/>
      <c r="FW734" s="512"/>
      <c r="FX734" s="512"/>
      <c r="FY734" s="512"/>
      <c r="FZ734" s="512"/>
      <c r="GA734" s="512"/>
      <c r="GB734" s="512"/>
      <c r="GC734" s="512"/>
      <c r="GD734" s="512"/>
      <c r="GE734" s="512"/>
      <c r="GF734" s="512"/>
      <c r="GG734" s="512"/>
      <c r="GH734" s="512"/>
      <c r="GI734" s="512"/>
      <c r="GJ734" s="512"/>
      <c r="GK734" s="512"/>
      <c r="GL734" s="512"/>
      <c r="GM734" s="512"/>
      <c r="GN734" s="512"/>
      <c r="GO734" s="512"/>
      <c r="GP734" s="512"/>
      <c r="GQ734" s="512"/>
      <c r="GR734" s="512"/>
      <c r="GS734" s="512"/>
      <c r="GT734" s="512"/>
      <c r="GU734" s="512"/>
      <c r="GV734" s="512"/>
      <c r="GW734" s="512"/>
      <c r="GX734" s="512"/>
      <c r="GY734" s="512"/>
      <c r="GZ734" s="512"/>
      <c r="HA734" s="512"/>
      <c r="HB734" s="512"/>
      <c r="HC734" s="512"/>
      <c r="HD734" s="512"/>
      <c r="HE734" s="512"/>
      <c r="HF734" s="512"/>
      <c r="HG734" s="512"/>
      <c r="HH734" s="512"/>
      <c r="HI734" s="512"/>
      <c r="HJ734" s="512"/>
      <c r="HK734" s="512"/>
      <c r="HL734" s="512"/>
      <c r="HM734" s="512"/>
      <c r="HN734" s="512"/>
      <c r="HO734" s="512"/>
      <c r="HP734" s="512"/>
      <c r="HQ734" s="512"/>
      <c r="HR734" s="512"/>
      <c r="HS734" s="512"/>
      <c r="HT734" s="512"/>
      <c r="HU734" s="512"/>
      <c r="HV734" s="512"/>
      <c r="HW734" s="512"/>
      <c r="HX734" s="512"/>
      <c r="HY734" s="512"/>
      <c r="IA734" s="512"/>
      <c r="IB734" s="512"/>
      <c r="IC734" s="512"/>
      <c r="ID734" s="512"/>
      <c r="IG734" s="512"/>
      <c r="IJ734" s="520"/>
      <c r="IM734" s="520"/>
      <c r="IP734" s="519"/>
      <c r="IS734" s="519"/>
      <c r="IT734" s="327"/>
      <c r="IU734" s="327"/>
      <c r="IV734" s="519"/>
      <c r="IW734" s="327"/>
      <c r="IX734" s="327"/>
      <c r="IY734" s="519"/>
      <c r="IZ734" s="327"/>
      <c r="JA734" s="327"/>
      <c r="JB734" s="519"/>
      <c r="JC734" s="327"/>
      <c r="JD734" s="327"/>
      <c r="JE734" s="519"/>
      <c r="JF734" s="327"/>
      <c r="JG734" s="327"/>
      <c r="JH734" s="519"/>
      <c r="JI734" s="327"/>
      <c r="JJ734" s="327"/>
      <c r="JK734" s="519"/>
    </row>
    <row r="735" spans="1:314" hidden="1">
      <c r="A735" s="279"/>
      <c r="B735" s="96" t="s">
        <v>338</v>
      </c>
      <c r="D735" s="513" t="str">
        <f>D$663</f>
        <v>Overall Deficit (cash basis)</v>
      </c>
      <c r="E735" s="512"/>
      <c r="F735" s="512"/>
      <c r="G735" s="512"/>
      <c r="H735" s="512"/>
      <c r="I735" s="512"/>
      <c r="J735" s="512"/>
      <c r="K735" s="512"/>
      <c r="L735" s="512"/>
      <c r="M735" s="512"/>
      <c r="N735" s="512"/>
      <c r="O735" s="512"/>
      <c r="P735" s="512"/>
      <c r="Q735" s="512"/>
      <c r="R735" s="512"/>
      <c r="S735" s="512"/>
      <c r="T735" s="512"/>
      <c r="U735" s="512"/>
      <c r="V735" s="512"/>
      <c r="W735" s="512"/>
      <c r="X735" s="512"/>
      <c r="Y735" s="512"/>
      <c r="Z735" s="512"/>
      <c r="AA735" s="512"/>
      <c r="AB735" s="512"/>
      <c r="AC735" s="512"/>
      <c r="AD735" s="512"/>
      <c r="AE735" s="512"/>
      <c r="AF735" s="512"/>
      <c r="AG735" s="512"/>
      <c r="AH735" s="512"/>
      <c r="AI735" s="512"/>
      <c r="AJ735" s="512"/>
      <c r="AK735" s="512"/>
      <c r="AL735" s="512"/>
      <c r="AM735" s="512"/>
      <c r="AN735" s="512"/>
      <c r="AO735" s="512"/>
      <c r="AP735" s="512"/>
      <c r="AQ735" s="512"/>
      <c r="AR735" s="512"/>
      <c r="AS735" s="512"/>
      <c r="AT735" s="512"/>
      <c r="AU735" s="512"/>
      <c r="AV735" s="512"/>
      <c r="AW735" s="512"/>
      <c r="AX735" s="512"/>
      <c r="AY735" s="512"/>
      <c r="AZ735" s="512"/>
      <c r="BA735" s="512"/>
      <c r="BB735" s="512"/>
      <c r="BC735" s="512"/>
      <c r="BD735" s="512"/>
      <c r="BE735" s="512"/>
      <c r="BF735" s="512"/>
      <c r="BG735" s="512"/>
      <c r="BH735" s="512"/>
      <c r="BI735" s="512"/>
      <c r="BJ735" s="512"/>
      <c r="BK735" s="512"/>
      <c r="BL735" s="512"/>
      <c r="BM735" s="512"/>
      <c r="BN735" s="512"/>
      <c r="BO735" s="512"/>
      <c r="BP735" s="512"/>
      <c r="BQ735" s="512"/>
      <c r="BR735" s="512"/>
      <c r="BS735" s="512"/>
      <c r="BT735" s="512"/>
      <c r="BU735" s="512"/>
      <c r="BV735" s="512"/>
      <c r="BW735" s="512"/>
      <c r="BX735" s="512"/>
      <c r="BY735" s="512"/>
      <c r="BZ735" s="512"/>
      <c r="CA735" s="512"/>
      <c r="CB735" s="512"/>
      <c r="CC735" s="512"/>
      <c r="CD735" s="514"/>
      <c r="CE735" s="512"/>
      <c r="CF735" s="512"/>
      <c r="CG735" s="512"/>
      <c r="CH735" s="512"/>
      <c r="CI735" s="512"/>
      <c r="CJ735" s="512"/>
      <c r="CK735" s="512"/>
      <c r="CL735" s="512"/>
      <c r="CM735" s="512"/>
      <c r="CN735" s="512"/>
      <c r="CO735" s="512"/>
      <c r="CP735" s="515"/>
      <c r="CQ735" s="512"/>
      <c r="CR735" s="512"/>
      <c r="CS735" s="512"/>
      <c r="CT735" s="512"/>
      <c r="CU735" s="512"/>
      <c r="CV735" s="512"/>
      <c r="CW735" s="512"/>
      <c r="CX735" s="512"/>
      <c r="CY735" s="512"/>
      <c r="CZ735" s="512"/>
      <c r="DA735" s="512"/>
      <c r="DB735" s="1306"/>
      <c r="DC735" s="512"/>
      <c r="DD735" s="512"/>
      <c r="DE735" s="512"/>
      <c r="DF735" s="512"/>
      <c r="DG735" s="512"/>
      <c r="DH735" s="512"/>
      <c r="DI735" s="512"/>
      <c r="DJ735" s="512"/>
      <c r="DK735" s="512"/>
      <c r="DL735" s="512"/>
      <c r="DM735" s="512"/>
      <c r="DN735" s="515"/>
      <c r="DO735" s="512"/>
      <c r="DP735" s="512"/>
      <c r="DQ735" s="512"/>
      <c r="DR735" s="512"/>
      <c r="DS735" s="512"/>
      <c r="DT735" s="512"/>
      <c r="DU735" s="512"/>
      <c r="DV735" s="512"/>
      <c r="DW735" s="512"/>
      <c r="DX735" s="512"/>
      <c r="DY735" s="512"/>
      <c r="DZ735" s="515"/>
      <c r="EA735" s="512"/>
      <c r="EB735" s="512"/>
      <c r="EC735" s="512"/>
      <c r="ED735" s="512"/>
      <c r="EE735" s="512"/>
      <c r="EF735" s="512"/>
      <c r="EG735" s="512"/>
      <c r="EH735" s="512"/>
      <c r="EI735" s="512"/>
      <c r="EJ735" s="512"/>
      <c r="EK735" s="512"/>
      <c r="EL735" s="515"/>
      <c r="EM735" s="512"/>
      <c r="EN735" s="512"/>
      <c r="EO735" s="512"/>
      <c r="EP735" s="512"/>
      <c r="EQ735" s="512"/>
      <c r="ER735" s="512"/>
      <c r="ES735" s="512"/>
      <c r="ET735" s="512"/>
      <c r="EU735" s="512"/>
      <c r="EV735" s="512"/>
      <c r="EW735" s="512"/>
      <c r="EX735" s="515"/>
      <c r="EY735" s="512"/>
      <c r="EZ735" s="512"/>
      <c r="FA735" s="512"/>
      <c r="FB735" s="512"/>
      <c r="FC735" s="512"/>
      <c r="FD735" s="512"/>
      <c r="FE735" s="512"/>
      <c r="FF735" s="512"/>
      <c r="FG735" s="512"/>
      <c r="FH735" s="512"/>
      <c r="FI735" s="512"/>
      <c r="FJ735" s="515"/>
      <c r="FK735" s="512"/>
      <c r="FL735" s="512"/>
      <c r="FM735" s="512"/>
      <c r="FN735" s="512"/>
      <c r="FO735" s="512"/>
      <c r="FP735" s="512"/>
      <c r="FQ735" s="512"/>
      <c r="FR735" s="512"/>
      <c r="FS735" s="512"/>
      <c r="FT735" s="512"/>
      <c r="FU735" s="512"/>
      <c r="FV735" s="512"/>
      <c r="FW735" s="512"/>
      <c r="FX735" s="512"/>
      <c r="FY735" s="512"/>
      <c r="FZ735" s="512"/>
      <c r="GA735" s="512"/>
      <c r="GB735" s="512"/>
      <c r="GC735" s="512"/>
      <c r="GD735" s="512"/>
      <c r="GE735" s="512"/>
      <c r="GF735" s="512"/>
      <c r="GG735" s="512"/>
      <c r="GH735" s="512"/>
      <c r="GI735" s="512"/>
      <c r="GJ735" s="512"/>
      <c r="GK735" s="512"/>
      <c r="GL735" s="512"/>
      <c r="GM735" s="512"/>
      <c r="GN735" s="512"/>
      <c r="GO735" s="512"/>
      <c r="GP735" s="512"/>
      <c r="GQ735" s="512"/>
      <c r="GR735" s="512"/>
      <c r="GS735" s="512"/>
      <c r="GT735" s="512"/>
      <c r="GU735" s="512"/>
      <c r="GV735" s="512"/>
      <c r="GW735" s="512"/>
      <c r="GX735" s="512"/>
      <c r="GY735" s="512"/>
      <c r="GZ735" s="512"/>
      <c r="HA735" s="512"/>
      <c r="HB735" s="512"/>
      <c r="HC735" s="512"/>
      <c r="HD735" s="512"/>
      <c r="HE735" s="512"/>
      <c r="HF735" s="512"/>
      <c r="HG735" s="512"/>
      <c r="HH735" s="512"/>
      <c r="HI735" s="512"/>
      <c r="HJ735" s="512"/>
      <c r="HK735" s="512"/>
      <c r="HL735" s="512"/>
      <c r="HM735" s="512"/>
      <c r="HN735" s="512"/>
      <c r="HO735" s="512"/>
      <c r="HP735" s="512"/>
      <c r="HQ735" s="512"/>
      <c r="HR735" s="512"/>
      <c r="HS735" s="512"/>
      <c r="HT735" s="512"/>
      <c r="HU735" s="512"/>
      <c r="HV735" s="512"/>
      <c r="HW735" s="512"/>
      <c r="HX735" s="512"/>
      <c r="HY735" s="512"/>
      <c r="IA735" s="512"/>
      <c r="IB735" s="512"/>
      <c r="IC735" s="512"/>
      <c r="ID735" s="512"/>
      <c r="IG735" s="512"/>
      <c r="IJ735" s="520"/>
      <c r="IM735" s="520"/>
      <c r="IP735" s="519"/>
      <c r="IS735" s="519"/>
      <c r="IT735" s="327"/>
      <c r="IU735" s="327"/>
      <c r="IV735" s="519"/>
      <c r="IW735" s="327"/>
      <c r="IX735" s="327"/>
      <c r="IY735" s="519"/>
      <c r="IZ735" s="327"/>
      <c r="JA735" s="327"/>
      <c r="JB735" s="519"/>
      <c r="JC735" s="327"/>
      <c r="JD735" s="327"/>
      <c r="JE735" s="519"/>
      <c r="JF735" s="327"/>
      <c r="JG735" s="327"/>
      <c r="JH735" s="519"/>
      <c r="JI735" s="327"/>
      <c r="JJ735" s="327"/>
      <c r="JK735" s="519"/>
    </row>
    <row r="736" spans="1:314" hidden="1">
      <c r="A736" s="279"/>
      <c r="B736" s="96" t="s">
        <v>338</v>
      </c>
      <c r="D736" s="517" t="str">
        <f>D$664</f>
        <v>Including grants</v>
      </c>
      <c r="E736" s="512">
        <f>E$664</f>
        <v>-2.8905248749041235</v>
      </c>
      <c r="F736" s="512">
        <f t="shared" ref="F736:L736" si="813">F$664</f>
        <v>-9.2662870787199978</v>
      </c>
      <c r="G736" s="512">
        <f t="shared" si="813"/>
        <v>-21.914282177032497</v>
      </c>
      <c r="H736" s="512">
        <f t="shared" si="813"/>
        <v>-5.9711837731282724</v>
      </c>
      <c r="I736" s="512">
        <f t="shared" si="813"/>
        <v>18.141896618102002</v>
      </c>
      <c r="J736" s="512">
        <f t="shared" si="813"/>
        <v>44.969706188274117</v>
      </c>
      <c r="K736" s="512">
        <f t="shared" si="813"/>
        <v>-14.536695140326309</v>
      </c>
      <c r="L736" s="512">
        <f t="shared" si="813"/>
        <v>-4.9226736018496027</v>
      </c>
      <c r="M736" s="512">
        <f t="shared" ref="M736:AW736" si="814">M$664</f>
        <v>-25.195262831884001</v>
      </c>
      <c r="N736" s="512">
        <f t="shared" si="814"/>
        <v>-11.605301761740007</v>
      </c>
      <c r="O736" s="512">
        <f t="shared" si="814"/>
        <v>-5.5630141200999947</v>
      </c>
      <c r="P736" s="512">
        <f t="shared" si="814"/>
        <v>-0.30726643007999854</v>
      </c>
      <c r="Q736" s="512">
        <f t="shared" si="814"/>
        <v>4.4744952606083945</v>
      </c>
      <c r="R736" s="512">
        <f t="shared" si="814"/>
        <v>-14.044022172342702</v>
      </c>
      <c r="S736" s="512">
        <f t="shared" si="814"/>
        <v>28.116088515274988</v>
      </c>
      <c r="T736" s="512">
        <f t="shared" si="814"/>
        <v>-25.834328408264</v>
      </c>
      <c r="U736" s="512">
        <f t="shared" si="814"/>
        <v>17.091404588344506</v>
      </c>
      <c r="V736" s="512">
        <f t="shared" si="814"/>
        <v>34.327745121608004</v>
      </c>
      <c r="W736" s="512">
        <f t="shared" si="814"/>
        <v>-18.315702368349999</v>
      </c>
      <c r="X736" s="512">
        <f t="shared" si="814"/>
        <v>-6.6605162444080044</v>
      </c>
      <c r="Y736" s="512">
        <f t="shared" si="814"/>
        <v>-13.222714064604808</v>
      </c>
      <c r="Z736" s="512">
        <f t="shared" si="814"/>
        <v>-16.339980834573389</v>
      </c>
      <c r="AA736" s="512">
        <f t="shared" si="814"/>
        <v>-25.516383422789403</v>
      </c>
      <c r="AB736" s="512">
        <f t="shared" si="814"/>
        <v>38.912006468292994</v>
      </c>
      <c r="AC736" s="512">
        <f t="shared" si="814"/>
        <v>-20.823433762000001</v>
      </c>
      <c r="AD736" s="512">
        <f t="shared" si="814"/>
        <v>0.17788372700000232</v>
      </c>
      <c r="AE736" s="512">
        <f t="shared" si="814"/>
        <v>-35.522833658000003</v>
      </c>
      <c r="AF736" s="512">
        <f t="shared" si="814"/>
        <v>16.471097364999999</v>
      </c>
      <c r="AG736" s="512">
        <f t="shared" si="814"/>
        <v>-11.312669280999996</v>
      </c>
      <c r="AH736" s="512">
        <f t="shared" si="814"/>
        <v>33.495558960999972</v>
      </c>
      <c r="AI736" s="512">
        <f t="shared" si="814"/>
        <v>9.6035356999999948</v>
      </c>
      <c r="AJ736" s="512">
        <f t="shared" si="814"/>
        <v>-25.479925335999994</v>
      </c>
      <c r="AK736" s="512">
        <f t="shared" si="814"/>
        <v>8.2951844279999829</v>
      </c>
      <c r="AL736" s="512">
        <f t="shared" si="814"/>
        <v>18.325264832999999</v>
      </c>
      <c r="AM736" s="512">
        <f t="shared" si="814"/>
        <v>-25.604472352000009</v>
      </c>
      <c r="AN736" s="512">
        <f t="shared" si="814"/>
        <v>-6.2050373570000144</v>
      </c>
      <c r="AO736" s="512">
        <f t="shared" si="814"/>
        <v>6.7539305167400059</v>
      </c>
      <c r="AP736" s="512">
        <f t="shared" si="814"/>
        <v>-9.6767797020600099</v>
      </c>
      <c r="AQ736" s="512">
        <f t="shared" si="814"/>
        <v>-9.4503527713272408</v>
      </c>
      <c r="AR736" s="512">
        <f t="shared" si="814"/>
        <v>-16.097627978120006</v>
      </c>
      <c r="AS736" s="512">
        <f t="shared" si="814"/>
        <v>-7.561540453347984</v>
      </c>
      <c r="AT736" s="512">
        <f t="shared" si="814"/>
        <v>36.035087890934399</v>
      </c>
      <c r="AU736" s="512">
        <f t="shared" si="814"/>
        <v>-8.3802143252400008</v>
      </c>
      <c r="AV736" s="512">
        <f t="shared" si="814"/>
        <v>-35.297755937880012</v>
      </c>
      <c r="AW736" s="512">
        <f t="shared" si="814"/>
        <v>34.137960797449999</v>
      </c>
      <c r="AX736" s="512">
        <f t="shared" ref="AX736:BP736" si="815">AX$664</f>
        <v>-30.747768710079988</v>
      </c>
      <c r="AY736" s="512">
        <f t="shared" si="815"/>
        <v>-6.6192430229007897</v>
      </c>
      <c r="AZ736" s="512">
        <f t="shared" si="815"/>
        <v>29.749638675632497</v>
      </c>
      <c r="BA736" s="512">
        <f t="shared" si="815"/>
        <v>3.5105459550000084</v>
      </c>
      <c r="BB736" s="512">
        <f t="shared" si="815"/>
        <v>-7.8065772179999984</v>
      </c>
      <c r="BC736" s="512">
        <f t="shared" si="815"/>
        <v>-56.295423991000014</v>
      </c>
      <c r="BD736" s="512">
        <f t="shared" si="815"/>
        <v>36.055197685759985</v>
      </c>
      <c r="BE736" s="512">
        <f t="shared" si="815"/>
        <v>-50.927509479769995</v>
      </c>
      <c r="BF736" s="512">
        <f t="shared" si="815"/>
        <v>-39.478551934000009</v>
      </c>
      <c r="BG736" s="512">
        <f t="shared" si="815"/>
        <v>24.85355121680001</v>
      </c>
      <c r="BH736" s="512">
        <f t="shared" si="815"/>
        <v>36.915925751200014</v>
      </c>
      <c r="BI736" s="512">
        <f t="shared" si="815"/>
        <v>13.178281442900019</v>
      </c>
      <c r="BJ736" s="512">
        <f t="shared" si="815"/>
        <v>57.343406230180008</v>
      </c>
      <c r="BK736" s="512">
        <f t="shared" si="815"/>
        <v>-33.614613657000021</v>
      </c>
      <c r="BL736" s="512">
        <f t="shared" si="815"/>
        <v>0.32978904600001613</v>
      </c>
      <c r="BM736" s="512">
        <f t="shared" si="815"/>
        <v>-16.630474219890015</v>
      </c>
      <c r="BN736" s="512">
        <f t="shared" si="815"/>
        <v>-16.463532138479998</v>
      </c>
      <c r="BO736" s="512">
        <f t="shared" si="815"/>
        <v>-51.102759898999992</v>
      </c>
      <c r="BP736" s="512">
        <f t="shared" si="815"/>
        <v>-30.405109080000031</v>
      </c>
      <c r="BQ736" s="512">
        <f t="shared" ref="BQ736:DT736" si="816">BQ$664</f>
        <v>-38.520418634850003</v>
      </c>
      <c r="BR736" s="512">
        <f t="shared" si="816"/>
        <v>-12.559368134954248</v>
      </c>
      <c r="BS736" s="512">
        <f t="shared" si="816"/>
        <v>53.010399451901648</v>
      </c>
      <c r="BT736" s="512">
        <f t="shared" si="816"/>
        <v>-6.3093905400688817</v>
      </c>
      <c r="BU736" s="512">
        <f t="shared" si="816"/>
        <v>-73.060097323727888</v>
      </c>
      <c r="BV736" s="512">
        <f t="shared" si="816"/>
        <v>-5.9118956241095049</v>
      </c>
      <c r="BW736" s="512">
        <f t="shared" si="816"/>
        <v>18.135569673433722</v>
      </c>
      <c r="BX736" s="512">
        <f t="shared" si="816"/>
        <v>60.787193092690352</v>
      </c>
      <c r="BY736" s="512">
        <f t="shared" si="816"/>
        <v>-27.04576118312729</v>
      </c>
      <c r="BZ736" s="512">
        <f t="shared" si="816"/>
        <v>-23.568025528720547</v>
      </c>
      <c r="CA736" s="512">
        <f t="shared" si="816"/>
        <v>50.831770706868106</v>
      </c>
      <c r="CB736" s="512">
        <f t="shared" si="816"/>
        <v>-35.736301905905833</v>
      </c>
      <c r="CC736" s="512">
        <f t="shared" si="816"/>
        <v>-96.394358296720782</v>
      </c>
      <c r="CD736" s="514">
        <f t="shared" si="816"/>
        <v>65.857510147153519</v>
      </c>
      <c r="CE736" s="512">
        <f t="shared" si="816"/>
        <v>42.611157192623651</v>
      </c>
      <c r="CF736" s="512">
        <f t="shared" si="816"/>
        <v>-18.66661570358573</v>
      </c>
      <c r="CG736" s="512">
        <f t="shared" si="816"/>
        <v>38.008934492160407</v>
      </c>
      <c r="CH736" s="512">
        <f t="shared" si="816"/>
        <v>-38.514668769760675</v>
      </c>
      <c r="CI736" s="512">
        <f t="shared" si="816"/>
        <v>-21.779386044511419</v>
      </c>
      <c r="CJ736" s="512">
        <f t="shared" si="816"/>
        <v>16.406120613149277</v>
      </c>
      <c r="CK736" s="512">
        <f t="shared" si="816"/>
        <v>-35.801225611789647</v>
      </c>
      <c r="CL736" s="512">
        <f t="shared" si="816"/>
        <v>-17.750653984684622</v>
      </c>
      <c r="CM736" s="512">
        <f t="shared" si="816"/>
        <v>-13.620505742886285</v>
      </c>
      <c r="CN736" s="512">
        <f t="shared" si="816"/>
        <v>-52.591160658578062</v>
      </c>
      <c r="CO736" s="512">
        <f t="shared" si="816"/>
        <v>-45.022821633897941</v>
      </c>
      <c r="CP736" s="515">
        <f t="shared" si="816"/>
        <v>-58.290945699031653</v>
      </c>
      <c r="CQ736" s="512">
        <f t="shared" si="816"/>
        <v>12.54387339511824</v>
      </c>
      <c r="CR736" s="512">
        <f t="shared" si="816"/>
        <v>-28.557034698486767</v>
      </c>
      <c r="CS736" s="512">
        <f t="shared" si="816"/>
        <v>-26.22019570295479</v>
      </c>
      <c r="CT736" s="512">
        <f t="shared" si="816"/>
        <v>-41.620826119219437</v>
      </c>
      <c r="CU736" s="512">
        <f t="shared" si="816"/>
        <v>-8.5081747794942935</v>
      </c>
      <c r="CV736" s="512">
        <f t="shared" si="816"/>
        <v>66.044492111503132</v>
      </c>
      <c r="CW736" s="512">
        <f t="shared" si="816"/>
        <v>-39.534169576938282</v>
      </c>
      <c r="CX736" s="512">
        <f t="shared" si="816"/>
        <v>-8.7001042170547862</v>
      </c>
      <c r="CY736" s="512">
        <f t="shared" si="816"/>
        <v>-24.99261879781184</v>
      </c>
      <c r="CZ736" s="512">
        <f t="shared" si="816"/>
        <v>-58.727238712045832</v>
      </c>
      <c r="DA736" s="512">
        <f t="shared" si="816"/>
        <v>-19.331670033320673</v>
      </c>
      <c r="DB736" s="1306">
        <f t="shared" si="816"/>
        <v>-64.517534556705399</v>
      </c>
      <c r="DC736" s="512">
        <f t="shared" si="816"/>
        <v>21.043180143472206</v>
      </c>
      <c r="DD736" s="512">
        <f t="shared" si="816"/>
        <v>-33.453373720394453</v>
      </c>
      <c r="DE736" s="512">
        <f t="shared" si="816"/>
        <v>-8.8813135966185968</v>
      </c>
      <c r="DF736" s="512">
        <f t="shared" si="816"/>
        <v>-73.050325213549812</v>
      </c>
      <c r="DG736" s="512">
        <f t="shared" si="816"/>
        <v>33.255613161617653</v>
      </c>
      <c r="DH736" s="512">
        <f t="shared" si="816"/>
        <v>-35.079441018669641</v>
      </c>
      <c r="DI736" s="512">
        <f t="shared" si="816"/>
        <v>-70.396421912703801</v>
      </c>
      <c r="DJ736" s="512">
        <f t="shared" si="816"/>
        <v>-40.962249191481661</v>
      </c>
      <c r="DK736" s="512">
        <f t="shared" si="816"/>
        <v>-1.0645758587163643</v>
      </c>
      <c r="DL736" s="512">
        <f t="shared" si="816"/>
        <v>-5.2449569493905841</v>
      </c>
      <c r="DM736" s="512">
        <f t="shared" si="816"/>
        <v>-28.638692938607534</v>
      </c>
      <c r="DN736" s="515">
        <f t="shared" si="816"/>
        <v>-36.321058881903681</v>
      </c>
      <c r="DO736" s="512">
        <f t="shared" si="816"/>
        <v>-21.554615507517191</v>
      </c>
      <c r="DP736" s="512">
        <f t="shared" si="816"/>
        <v>3.8619002804759504</v>
      </c>
      <c r="DQ736" s="512">
        <f t="shared" si="816"/>
        <v>-19.068935191423527</v>
      </c>
      <c r="DR736" s="512">
        <f t="shared" si="816"/>
        <v>-79.405998012753301</v>
      </c>
      <c r="DS736" s="512">
        <f t="shared" si="816"/>
        <v>-28.014693698296913</v>
      </c>
      <c r="DT736" s="512">
        <f t="shared" si="816"/>
        <v>-45.834464807662314</v>
      </c>
      <c r="DU736" s="512"/>
      <c r="DV736" s="512"/>
      <c r="DW736" s="512"/>
      <c r="DX736" s="512"/>
      <c r="DY736" s="512"/>
      <c r="DZ736" s="515"/>
      <c r="EA736" s="512"/>
      <c r="EB736" s="512"/>
      <c r="EC736" s="512"/>
      <c r="ED736" s="512"/>
      <c r="EE736" s="512"/>
      <c r="EF736" s="512"/>
      <c r="EG736" s="512"/>
      <c r="EH736" s="512"/>
      <c r="EI736" s="512"/>
      <c r="EJ736" s="512"/>
      <c r="EK736" s="512"/>
      <c r="EL736" s="515"/>
      <c r="EM736" s="512"/>
      <c r="EN736" s="512"/>
      <c r="EO736" s="512"/>
      <c r="EP736" s="512"/>
      <c r="EQ736" s="512"/>
      <c r="ER736" s="512"/>
      <c r="ES736" s="512"/>
      <c r="ET736" s="512"/>
      <c r="EU736" s="512"/>
      <c r="EV736" s="512"/>
      <c r="EW736" s="512"/>
      <c r="EX736" s="515"/>
      <c r="EY736" s="512"/>
      <c r="EZ736" s="512"/>
      <c r="FA736" s="512"/>
      <c r="FB736" s="512"/>
      <c r="FC736" s="512"/>
      <c r="FD736" s="512"/>
      <c r="FE736" s="512"/>
      <c r="FF736" s="512"/>
      <c r="FG736" s="512"/>
      <c r="FH736" s="512"/>
      <c r="FI736" s="512"/>
      <c r="FJ736" s="515"/>
      <c r="FK736" s="512"/>
      <c r="FL736" s="512"/>
      <c r="FM736" s="512"/>
      <c r="FN736" s="512"/>
      <c r="FO736" s="512"/>
      <c r="FP736" s="512"/>
      <c r="FQ736" s="512"/>
      <c r="FR736" s="512"/>
      <c r="FS736" s="512"/>
      <c r="FT736" s="512"/>
      <c r="FU736" s="512"/>
      <c r="FV736" s="512"/>
      <c r="FW736" s="512"/>
      <c r="FX736" s="512"/>
      <c r="FY736" s="512"/>
      <c r="FZ736" s="512"/>
      <c r="GA736" s="512"/>
      <c r="GB736" s="512"/>
      <c r="GC736" s="512"/>
      <c r="GD736" s="512"/>
      <c r="GE736" s="512"/>
      <c r="GF736" s="512"/>
      <c r="GG736" s="512"/>
      <c r="GH736" s="512"/>
      <c r="GI736" s="512"/>
      <c r="GJ736" s="512"/>
      <c r="GK736" s="512"/>
      <c r="GL736" s="512"/>
      <c r="GM736" s="512"/>
      <c r="GN736" s="512"/>
      <c r="GO736" s="512"/>
      <c r="GP736" s="512"/>
      <c r="GQ736" s="512"/>
      <c r="GR736" s="512"/>
      <c r="GS736" s="512"/>
      <c r="GT736" s="512"/>
      <c r="GU736" s="512"/>
      <c r="GV736" s="512"/>
      <c r="GW736" s="512"/>
      <c r="GX736" s="512"/>
      <c r="GY736" s="512"/>
      <c r="GZ736" s="512"/>
      <c r="HA736" s="512"/>
      <c r="HB736" s="512"/>
      <c r="HC736" s="512"/>
      <c r="HD736" s="512"/>
      <c r="HE736" s="512"/>
      <c r="HF736" s="512"/>
      <c r="HG736" s="512"/>
      <c r="HH736" s="512"/>
      <c r="HI736" s="512"/>
      <c r="HJ736" s="512"/>
      <c r="HK736" s="512"/>
      <c r="HL736" s="512"/>
      <c r="HM736" s="512"/>
      <c r="HN736" s="512"/>
      <c r="HO736" s="512"/>
      <c r="HP736" s="512"/>
      <c r="HQ736" s="512"/>
      <c r="HR736" s="512"/>
      <c r="HS736" s="512"/>
      <c r="HT736" s="512"/>
      <c r="HU736" s="512"/>
      <c r="HV736" s="512"/>
      <c r="HW736" s="512"/>
      <c r="HX736" s="512"/>
      <c r="HY736" s="512"/>
      <c r="IA736" s="512"/>
      <c r="IB736" s="512"/>
      <c r="IC736" s="512"/>
      <c r="ID736" s="512">
        <f t="shared" ref="ID736:II736" si="817">ID$664</f>
        <v>-297.05950052759749</v>
      </c>
      <c r="IE736" s="279">
        <f t="shared" si="817"/>
        <v>-3.3178657935338123</v>
      </c>
      <c r="IF736" s="279">
        <f t="shared" si="817"/>
        <v>-215.80333589387678</v>
      </c>
      <c r="IG736" s="512">
        <f t="shared" si="817"/>
        <v>-219.12120168741058</v>
      </c>
      <c r="IH736" s="279">
        <f t="shared" si="817"/>
        <v>-96.165660244142373</v>
      </c>
      <c r="II736" s="279">
        <f t="shared" si="817"/>
        <v>-182.62795573280354</v>
      </c>
      <c r="IJ736" s="520">
        <f t="shared" ref="IJ736:IV736" si="818">IJ$664</f>
        <v>-278.79361597694606</v>
      </c>
      <c r="IK736" s="279">
        <f t="shared" si="818"/>
        <v>-190.01680693717734</v>
      </c>
      <c r="IM736" s="520">
        <f t="shared" si="818"/>
        <v>-372.88046993035914</v>
      </c>
      <c r="IP736" s="519">
        <f t="shared" si="818"/>
        <v>-392.18858038500423</v>
      </c>
      <c r="IS736" s="519">
        <f t="shared" si="818"/>
        <v>-556.16073116325379</v>
      </c>
      <c r="IT736" s="327"/>
      <c r="IU736" s="327"/>
      <c r="IV736" s="519">
        <f t="shared" si="818"/>
        <v>-1226.1971334578216</v>
      </c>
      <c r="IW736" s="327"/>
      <c r="IX736" s="327"/>
      <c r="IY736" s="519">
        <f>IY$664</f>
        <v>-973.95802283803494</v>
      </c>
      <c r="IZ736" s="327"/>
      <c r="JA736" s="327" t="e">
        <f>JA$664</f>
        <v>#REF!</v>
      </c>
      <c r="JB736" s="519" t="e">
        <f>#REF!</f>
        <v>#REF!</v>
      </c>
      <c r="JC736" s="327">
        <f>JE$664</f>
        <v>9954.9568711701831</v>
      </c>
      <c r="JD736" s="327">
        <f>JD$664</f>
        <v>5488.1742500631372</v>
      </c>
      <c r="JE736" s="519"/>
      <c r="JF736" s="327"/>
      <c r="JG736" s="327"/>
      <c r="JH736" s="519"/>
      <c r="JI736" s="327"/>
      <c r="JJ736" s="327"/>
      <c r="JK736" s="519"/>
      <c r="KY736" s="279">
        <f>KY$664</f>
        <v>0</v>
      </c>
      <c r="KZ736" s="279">
        <f>KZ$664</f>
        <v>0</v>
      </c>
      <c r="LA736" s="279">
        <f>LA$664</f>
        <v>0</v>
      </c>
      <c r="LB736" s="279">
        <f>LB$664</f>
        <v>0</v>
      </c>
    </row>
    <row r="737" spans="1:314" hidden="1">
      <c r="A737" s="279"/>
      <c r="B737" s="96" t="s">
        <v>338</v>
      </c>
      <c r="D737" s="517" t="str">
        <f>D$665</f>
        <v>Excluding grants</v>
      </c>
      <c r="E737" s="512">
        <f>E$665</f>
        <v>-3.9201461879041233</v>
      </c>
      <c r="F737" s="512">
        <f t="shared" ref="F737:L737" si="819">F$665</f>
        <v>-12.20823003372</v>
      </c>
      <c r="G737" s="512">
        <f t="shared" si="819"/>
        <v>-42.160862517032498</v>
      </c>
      <c r="H737" s="512">
        <f t="shared" si="819"/>
        <v>-9.9496318691282735</v>
      </c>
      <c r="I737" s="512">
        <f t="shared" si="819"/>
        <v>-12.474016727897999</v>
      </c>
      <c r="J737" s="512">
        <f t="shared" si="819"/>
        <v>-25.915844906725901</v>
      </c>
      <c r="K737" s="512">
        <f t="shared" si="819"/>
        <v>-15.653893882326308</v>
      </c>
      <c r="L737" s="512">
        <f t="shared" si="819"/>
        <v>-13.585219664849603</v>
      </c>
      <c r="M737" s="512">
        <f t="shared" ref="M737:AW737" si="820">M$665</f>
        <v>-46.348703375884007</v>
      </c>
      <c r="N737" s="512">
        <f t="shared" si="820"/>
        <v>-21.879327417740008</v>
      </c>
      <c r="O737" s="512">
        <f t="shared" si="820"/>
        <v>-7.598444459099996</v>
      </c>
      <c r="P737" s="512">
        <f t="shared" si="820"/>
        <v>-34.659294036079999</v>
      </c>
      <c r="Q737" s="512">
        <f t="shared" si="820"/>
        <v>-2.5968317033916062</v>
      </c>
      <c r="R737" s="512">
        <f t="shared" si="820"/>
        <v>-14.044022172342702</v>
      </c>
      <c r="S737" s="512">
        <f t="shared" si="820"/>
        <v>-33.466140940724998</v>
      </c>
      <c r="T737" s="512">
        <f t="shared" si="820"/>
        <v>-26.074646866264004</v>
      </c>
      <c r="U737" s="512">
        <f t="shared" si="820"/>
        <v>-19.559641302655496</v>
      </c>
      <c r="V737" s="512">
        <f t="shared" si="820"/>
        <v>-17.304424893392007</v>
      </c>
      <c r="W737" s="512">
        <f t="shared" si="820"/>
        <v>-20.128711646349995</v>
      </c>
      <c r="X737" s="512">
        <f t="shared" si="820"/>
        <v>-15.555138405408002</v>
      </c>
      <c r="Y737" s="512">
        <f t="shared" si="820"/>
        <v>-44.429843474604809</v>
      </c>
      <c r="Z737" s="512">
        <f t="shared" si="820"/>
        <v>-35.191353341573397</v>
      </c>
      <c r="AA737" s="512">
        <f t="shared" si="820"/>
        <v>-28.261334060789402</v>
      </c>
      <c r="AB737" s="512">
        <f t="shared" si="820"/>
        <v>-20.175199440706983</v>
      </c>
      <c r="AC737" s="512">
        <f t="shared" si="820"/>
        <v>-20.823433762000001</v>
      </c>
      <c r="AD737" s="512">
        <f t="shared" si="820"/>
        <v>-7.3681782730000007</v>
      </c>
      <c r="AE737" s="512">
        <f t="shared" si="820"/>
        <v>-66.598621201</v>
      </c>
      <c r="AF737" s="512">
        <f t="shared" si="820"/>
        <v>-34.661751740999989</v>
      </c>
      <c r="AG737" s="512">
        <f t="shared" si="820"/>
        <v>-13.235321835999995</v>
      </c>
      <c r="AH737" s="512">
        <f t="shared" si="820"/>
        <v>-18.297300487000022</v>
      </c>
      <c r="AI737" s="512">
        <f t="shared" si="820"/>
        <v>-3.7996995370000057</v>
      </c>
      <c r="AJ737" s="512">
        <f t="shared" si="820"/>
        <v>-29.051693312999994</v>
      </c>
      <c r="AK737" s="512">
        <f t="shared" si="820"/>
        <v>-67.762116653000007</v>
      </c>
      <c r="AL737" s="512">
        <f t="shared" si="820"/>
        <v>-34.870036422999995</v>
      </c>
      <c r="AM737" s="512">
        <f t="shared" si="820"/>
        <v>-33.180927526000005</v>
      </c>
      <c r="AN737" s="512">
        <f t="shared" si="820"/>
        <v>-56.327903753999998</v>
      </c>
      <c r="AO737" s="512">
        <f t="shared" si="820"/>
        <v>-14.895271070259987</v>
      </c>
      <c r="AP737" s="512">
        <f t="shared" si="820"/>
        <v>-9.6767797020600099</v>
      </c>
      <c r="AQ737" s="512">
        <f t="shared" si="820"/>
        <v>-44.77169705132723</v>
      </c>
      <c r="AR737" s="512">
        <f t="shared" si="820"/>
        <v>-28.679471540120009</v>
      </c>
      <c r="AS737" s="512">
        <f t="shared" si="820"/>
        <v>-16.618233150347987</v>
      </c>
      <c r="AT737" s="512">
        <f t="shared" si="820"/>
        <v>-88.530201634065605</v>
      </c>
      <c r="AU737" s="512">
        <f t="shared" si="820"/>
        <v>-14.539945807240002</v>
      </c>
      <c r="AV737" s="512">
        <f t="shared" si="820"/>
        <v>-40.075125937880017</v>
      </c>
      <c r="AW737" s="512">
        <f t="shared" si="820"/>
        <v>-58.784301202549983</v>
      </c>
      <c r="AX737" s="512">
        <f t="shared" ref="AX737:BP737" si="821">AX$665</f>
        <v>-57.14253991407999</v>
      </c>
      <c r="AY737" s="512">
        <f t="shared" si="821"/>
        <v>-13.600328913900789</v>
      </c>
      <c r="AZ737" s="512">
        <f t="shared" si="821"/>
        <v>-74.392674323367501</v>
      </c>
      <c r="BA737" s="512">
        <f t="shared" si="821"/>
        <v>2.9792224530000091</v>
      </c>
      <c r="BB737" s="512">
        <f t="shared" si="821"/>
        <v>-13.040839674999999</v>
      </c>
      <c r="BC737" s="512">
        <f t="shared" si="821"/>
        <v>-82.755526183000001</v>
      </c>
      <c r="BD737" s="512">
        <f t="shared" si="821"/>
        <v>-31.880909641000009</v>
      </c>
      <c r="BE737" s="512">
        <f t="shared" si="821"/>
        <v>-51.962676820999995</v>
      </c>
      <c r="BF737" s="512">
        <f t="shared" si="821"/>
        <v>-77.297102820000006</v>
      </c>
      <c r="BG737" s="512">
        <f t="shared" si="821"/>
        <v>-16.1581621222</v>
      </c>
      <c r="BH737" s="512">
        <f t="shared" si="821"/>
        <v>-0.7152933227999938</v>
      </c>
      <c r="BI737" s="512">
        <f t="shared" si="821"/>
        <v>-45.026024060099985</v>
      </c>
      <c r="BJ737" s="512">
        <f t="shared" si="821"/>
        <v>-19.239465205819997</v>
      </c>
      <c r="BK737" s="512">
        <f t="shared" si="821"/>
        <v>-38.311594221000021</v>
      </c>
      <c r="BL737" s="512">
        <f t="shared" si="821"/>
        <v>-100.28916113699999</v>
      </c>
      <c r="BM737" s="512">
        <f t="shared" si="821"/>
        <v>-18.921792870890012</v>
      </c>
      <c r="BN737" s="512">
        <f t="shared" si="821"/>
        <v>-20.576883720479998</v>
      </c>
      <c r="BO737" s="512">
        <f t="shared" si="821"/>
        <v>-90.982933919999994</v>
      </c>
      <c r="BP737" s="512">
        <f t="shared" si="821"/>
        <v>-30.649598585000021</v>
      </c>
      <c r="BQ737" s="512">
        <f t="shared" ref="BQ737:DT737" si="822">BQ$665</f>
        <v>-38.730459059850006</v>
      </c>
      <c r="BR737" s="512">
        <f t="shared" si="822"/>
        <v>-112.03259172558001</v>
      </c>
      <c r="BS737" s="512">
        <f t="shared" si="822"/>
        <v>11.670800000000014</v>
      </c>
      <c r="BT737" s="512">
        <f t="shared" si="822"/>
        <v>-21.17329999999999</v>
      </c>
      <c r="BU737" s="512">
        <f t="shared" si="822"/>
        <v>-96.005099999999999</v>
      </c>
      <c r="BV737" s="512">
        <f t="shared" si="822"/>
        <v>-54.264272142367645</v>
      </c>
      <c r="BW737" s="512">
        <f t="shared" si="822"/>
        <v>-23.403320504341181</v>
      </c>
      <c r="BX737" s="512">
        <f t="shared" si="822"/>
        <v>28.712918160505176</v>
      </c>
      <c r="BY737" s="512">
        <f t="shared" si="822"/>
        <v>-27.046293615118032</v>
      </c>
      <c r="BZ737" s="512">
        <f t="shared" si="822"/>
        <v>-27.610120997842124</v>
      </c>
      <c r="CA737" s="512">
        <f t="shared" si="822"/>
        <v>28.914320175343413</v>
      </c>
      <c r="CB737" s="512">
        <f t="shared" si="822"/>
        <v>-73.642175424903485</v>
      </c>
      <c r="CC737" s="512">
        <f t="shared" si="822"/>
        <v>-146.71936144099058</v>
      </c>
      <c r="CD737" s="514">
        <f t="shared" si="822"/>
        <v>22.732394966439301</v>
      </c>
      <c r="CE737" s="512">
        <f t="shared" si="822"/>
        <v>10.892351636717891</v>
      </c>
      <c r="CF737" s="512">
        <f t="shared" si="822"/>
        <v>-57.573617776985571</v>
      </c>
      <c r="CG737" s="512">
        <f t="shared" si="822"/>
        <v>-38.354860378657577</v>
      </c>
      <c r="CH737" s="512">
        <f t="shared" si="822"/>
        <v>-87.171016012574512</v>
      </c>
      <c r="CI737" s="512">
        <f t="shared" si="822"/>
        <v>-58.01843638527243</v>
      </c>
      <c r="CJ737" s="512">
        <f t="shared" si="822"/>
        <v>-46.766814865974659</v>
      </c>
      <c r="CK737" s="512">
        <f t="shared" si="822"/>
        <v>-58.62108982305179</v>
      </c>
      <c r="CL737" s="512">
        <f t="shared" si="822"/>
        <v>-33.182540783947807</v>
      </c>
      <c r="CM737" s="512">
        <f t="shared" si="822"/>
        <v>-29.232427811557436</v>
      </c>
      <c r="CN737" s="512">
        <f t="shared" si="822"/>
        <v>-113.09671812765787</v>
      </c>
      <c r="CO737" s="512">
        <f t="shared" si="822"/>
        <v>-81.870786706746088</v>
      </c>
      <c r="CP737" s="515">
        <f t="shared" si="822"/>
        <v>-89.846367805859217</v>
      </c>
      <c r="CQ737" s="512">
        <f t="shared" si="822"/>
        <v>-22.370184308784431</v>
      </c>
      <c r="CR737" s="512">
        <f t="shared" si="822"/>
        <v>-49.253376166400464</v>
      </c>
      <c r="CS737" s="512">
        <f t="shared" si="822"/>
        <v>-76.718928743282333</v>
      </c>
      <c r="CT737" s="512">
        <f t="shared" si="822"/>
        <v>-69.50902048268216</v>
      </c>
      <c r="CU737" s="512">
        <f t="shared" si="822"/>
        <v>-49.122359615101871</v>
      </c>
      <c r="CV737" s="512">
        <f t="shared" si="822"/>
        <v>-54.556095206857151</v>
      </c>
      <c r="CW737" s="512">
        <f t="shared" si="822"/>
        <v>-59.107198454751028</v>
      </c>
      <c r="CX737" s="512">
        <f t="shared" si="822"/>
        <v>-29.500578156396315</v>
      </c>
      <c r="CY737" s="512">
        <f t="shared" si="822"/>
        <v>-78.481747664968594</v>
      </c>
      <c r="CZ737" s="512">
        <f t="shared" si="822"/>
        <v>-87.549618698493461</v>
      </c>
      <c r="DA737" s="512">
        <f t="shared" si="822"/>
        <v>-87.369028560687767</v>
      </c>
      <c r="DB737" s="1306">
        <f t="shared" si="822"/>
        <v>-86.283831984638127</v>
      </c>
      <c r="DC737" s="512">
        <f t="shared" si="822"/>
        <v>-11.357029747489555</v>
      </c>
      <c r="DD737" s="512">
        <f t="shared" si="822"/>
        <v>-58.69188221387752</v>
      </c>
      <c r="DE737" s="512">
        <f t="shared" si="822"/>
        <v>-61.173706314276956</v>
      </c>
      <c r="DF737" s="512">
        <f t="shared" si="822"/>
        <v>-83.958646999419344</v>
      </c>
      <c r="DG737" s="512">
        <f t="shared" si="822"/>
        <v>-35.848467227227864</v>
      </c>
      <c r="DH737" s="512">
        <f t="shared" si="822"/>
        <v>-87.540327139491595</v>
      </c>
      <c r="DI737" s="512">
        <f t="shared" si="822"/>
        <v>-80.941910259060649</v>
      </c>
      <c r="DJ737" s="512">
        <f t="shared" si="822"/>
        <v>-55.571805079972748</v>
      </c>
      <c r="DK737" s="512">
        <f t="shared" si="822"/>
        <v>-16.714431517244346</v>
      </c>
      <c r="DL737" s="512">
        <f t="shared" si="822"/>
        <v>-100.25396695875928</v>
      </c>
      <c r="DM737" s="512">
        <f t="shared" si="822"/>
        <v>-48.403263545514946</v>
      </c>
      <c r="DN737" s="515">
        <f t="shared" si="822"/>
        <v>-86.209593405794664</v>
      </c>
      <c r="DO737" s="512">
        <f t="shared" si="822"/>
        <v>-52.570119651799864</v>
      </c>
      <c r="DP737" s="512">
        <f t="shared" si="822"/>
        <v>-4.3542515225742449</v>
      </c>
      <c r="DQ737" s="512">
        <f t="shared" si="822"/>
        <v>-39.664556914486987</v>
      </c>
      <c r="DR737" s="512">
        <f t="shared" si="822"/>
        <v>-83.035090803369968</v>
      </c>
      <c r="DS737" s="512">
        <f t="shared" si="822"/>
        <v>-53.660400757633845</v>
      </c>
      <c r="DT737" s="512">
        <f t="shared" si="822"/>
        <v>-106.63052712786863</v>
      </c>
      <c r="DU737" s="512"/>
      <c r="DV737" s="512"/>
      <c r="DW737" s="512"/>
      <c r="DX737" s="512"/>
      <c r="DY737" s="512"/>
      <c r="DZ737" s="515"/>
      <c r="EA737" s="512"/>
      <c r="EB737" s="512"/>
      <c r="EC737" s="512"/>
      <c r="ED737" s="512"/>
      <c r="EE737" s="512"/>
      <c r="EF737" s="512"/>
      <c r="EG737" s="512"/>
      <c r="EH737" s="512"/>
      <c r="EI737" s="512"/>
      <c r="EJ737" s="512"/>
      <c r="EK737" s="512"/>
      <c r="EL737" s="515"/>
      <c r="EM737" s="512"/>
      <c r="EN737" s="512"/>
      <c r="EO737" s="512"/>
      <c r="EP737" s="512"/>
      <c r="EQ737" s="512"/>
      <c r="ER737" s="512"/>
      <c r="ES737" s="512"/>
      <c r="ET737" s="512"/>
      <c r="EU737" s="512"/>
      <c r="EV737" s="512"/>
      <c r="EW737" s="512"/>
      <c r="EX737" s="515"/>
      <c r="EY737" s="512"/>
      <c r="EZ737" s="512"/>
      <c r="FA737" s="512"/>
      <c r="FB737" s="512"/>
      <c r="FC737" s="512"/>
      <c r="FD737" s="512"/>
      <c r="FE737" s="512"/>
      <c r="FF737" s="512"/>
      <c r="FG737" s="512"/>
      <c r="FH737" s="512"/>
      <c r="FI737" s="512"/>
      <c r="FJ737" s="515"/>
      <c r="FK737" s="512"/>
      <c r="FL737" s="512"/>
      <c r="FM737" s="512"/>
      <c r="FN737" s="512"/>
      <c r="FO737" s="512"/>
      <c r="FP737" s="512"/>
      <c r="FQ737" s="512"/>
      <c r="FR737" s="512"/>
      <c r="FS737" s="512"/>
      <c r="FT737" s="512"/>
      <c r="FU737" s="512"/>
      <c r="FV737" s="512"/>
      <c r="FW737" s="512"/>
      <c r="FX737" s="512"/>
      <c r="FY737" s="512"/>
      <c r="FZ737" s="512"/>
      <c r="GA737" s="512"/>
      <c r="GB737" s="512"/>
      <c r="GC737" s="512"/>
      <c r="GD737" s="512"/>
      <c r="GE737" s="512"/>
      <c r="GF737" s="512"/>
      <c r="GG737" s="512"/>
      <c r="GH737" s="512"/>
      <c r="GI737" s="512"/>
      <c r="GJ737" s="512"/>
      <c r="GK737" s="512"/>
      <c r="GL737" s="512"/>
      <c r="GM737" s="512"/>
      <c r="GN737" s="512"/>
      <c r="GO737" s="512"/>
      <c r="GP737" s="512"/>
      <c r="GQ737" s="512"/>
      <c r="GR737" s="512"/>
      <c r="GS737" s="512"/>
      <c r="GT737" s="512"/>
      <c r="GU737" s="512"/>
      <c r="GV737" s="512"/>
      <c r="GW737" s="512"/>
      <c r="GX737" s="512"/>
      <c r="GY737" s="512"/>
      <c r="GZ737" s="512"/>
      <c r="HA737" s="512"/>
      <c r="HB737" s="512"/>
      <c r="HC737" s="512"/>
      <c r="HD737" s="512"/>
      <c r="HE737" s="512"/>
      <c r="HF737" s="512"/>
      <c r="HG737" s="512"/>
      <c r="HH737" s="512"/>
      <c r="HI737" s="512"/>
      <c r="HJ737" s="512"/>
      <c r="HK737" s="512"/>
      <c r="HL737" s="512"/>
      <c r="HM737" s="512"/>
      <c r="HN737" s="512"/>
      <c r="HO737" s="512"/>
      <c r="HP737" s="512"/>
      <c r="HQ737" s="512"/>
      <c r="HR737" s="512"/>
      <c r="HS737" s="512"/>
      <c r="HT737" s="512"/>
      <c r="HU737" s="512"/>
      <c r="HV737" s="512"/>
      <c r="HW737" s="512"/>
      <c r="HX737" s="512"/>
      <c r="HY737" s="512"/>
      <c r="IA737" s="512"/>
      <c r="IB737" s="512"/>
      <c r="IC737" s="512"/>
      <c r="ID737" s="512">
        <f t="shared" ref="ID737:II737" si="823">ID$665</f>
        <v>-712.97319804200015</v>
      </c>
      <c r="IE737" s="279">
        <f t="shared" si="823"/>
        <v>-298.52996452310845</v>
      </c>
      <c r="IF737" s="279">
        <f t="shared" si="823"/>
        <v>-428.29200351993529</v>
      </c>
      <c r="IG737" s="512">
        <f t="shared" si="823"/>
        <v>-726.82196804304363</v>
      </c>
      <c r="IH737" s="279">
        <f t="shared" si="823"/>
        <v>-338.57005964178268</v>
      </c>
      <c r="II737" s="279">
        <f t="shared" si="823"/>
        <v>-388.09497076634659</v>
      </c>
      <c r="IJ737" s="520">
        <f t="shared" ref="IJ737:IV737" si="824">IJ$665</f>
        <v>-726.66503040812927</v>
      </c>
      <c r="IK737" s="279">
        <f t="shared" si="824"/>
        <v>-339.91494677773358</v>
      </c>
      <c r="IM737" s="520">
        <f t="shared" si="824"/>
        <v>-671.03696404374432</v>
      </c>
      <c r="IP737" s="519">
        <f t="shared" si="824"/>
        <v>-751.0972572537147</v>
      </c>
      <c r="IS737" s="519">
        <f t="shared" si="824"/>
        <v>-1037.340038159615</v>
      </c>
      <c r="IT737" s="327"/>
      <c r="IU737" s="327"/>
      <c r="IV737" s="519">
        <f t="shared" si="824"/>
        <v>-1658.2794113359816</v>
      </c>
      <c r="IW737" s="327"/>
      <c r="IX737" s="327"/>
      <c r="IY737" s="519">
        <f>IY$665</f>
        <v>-1466.2817078287753</v>
      </c>
      <c r="IZ737" s="327"/>
      <c r="JA737" s="327" t="e">
        <f>JA$665</f>
        <v>#REF!</v>
      </c>
      <c r="JB737" s="519" t="e">
        <f>#REF!</f>
        <v>#REF!</v>
      </c>
      <c r="JC737" s="327">
        <f>JE$665</f>
        <v>9243.6627182106422</v>
      </c>
      <c r="JD737" s="327">
        <f>JD$665</f>
        <v>5051.7674964328144</v>
      </c>
      <c r="JE737" s="519"/>
      <c r="JF737" s="327"/>
      <c r="JG737" s="327"/>
      <c r="JH737" s="519"/>
      <c r="JI737" s="327"/>
      <c r="JJ737" s="327"/>
      <c r="JK737" s="519"/>
      <c r="KY737" s="279">
        <f>KY$665</f>
        <v>0</v>
      </c>
      <c r="KZ737" s="279">
        <f>KZ$665</f>
        <v>0</v>
      </c>
      <c r="LA737" s="279">
        <f>LA$665</f>
        <v>0</v>
      </c>
      <c r="LB737" s="279">
        <f>LB$665</f>
        <v>0</v>
      </c>
    </row>
    <row r="738" spans="1:314" hidden="1">
      <c r="A738" s="279"/>
      <c r="B738" s="96" t="s">
        <v>338</v>
      </c>
      <c r="D738" s="513" t="str">
        <f>D$667</f>
        <v>Financing</v>
      </c>
      <c r="E738" s="512">
        <f>E$667</f>
        <v>2.8905248749041235</v>
      </c>
      <c r="F738" s="512">
        <f t="shared" ref="F738:L738" si="825">F$667</f>
        <v>9.2662870787199978</v>
      </c>
      <c r="G738" s="512">
        <f t="shared" si="825"/>
        <v>21.914282177032497</v>
      </c>
      <c r="H738" s="512">
        <f t="shared" si="825"/>
        <v>5.9711837731282724</v>
      </c>
      <c r="I738" s="512">
        <f t="shared" si="825"/>
        <v>-18.141896618102002</v>
      </c>
      <c r="J738" s="512">
        <f t="shared" si="825"/>
        <v>-44.969706188274117</v>
      </c>
      <c r="K738" s="512">
        <f t="shared" si="825"/>
        <v>14.536695140326309</v>
      </c>
      <c r="L738" s="512">
        <f t="shared" si="825"/>
        <v>4.9226736018496027</v>
      </c>
      <c r="M738" s="512">
        <f t="shared" ref="M738:AW738" si="826">M$667</f>
        <v>25.195262831884001</v>
      </c>
      <c r="N738" s="512">
        <f t="shared" si="826"/>
        <v>11.605301761740007</v>
      </c>
      <c r="O738" s="512">
        <f t="shared" si="826"/>
        <v>5.5630141200999947</v>
      </c>
      <c r="P738" s="512">
        <f t="shared" si="826"/>
        <v>0.30726643007999854</v>
      </c>
      <c r="Q738" s="512">
        <f t="shared" si="826"/>
        <v>-4.4744952606083945</v>
      </c>
      <c r="R738" s="512">
        <f t="shared" si="826"/>
        <v>14.044022172342702</v>
      </c>
      <c r="S738" s="512">
        <f t="shared" si="826"/>
        <v>-28.116088515274988</v>
      </c>
      <c r="T738" s="512">
        <f t="shared" si="826"/>
        <v>25.834328408264</v>
      </c>
      <c r="U738" s="512">
        <f t="shared" si="826"/>
        <v>-17.091404588344506</v>
      </c>
      <c r="V738" s="512">
        <f t="shared" si="826"/>
        <v>-34.327745121608004</v>
      </c>
      <c r="W738" s="512">
        <f t="shared" si="826"/>
        <v>18.315702368349999</v>
      </c>
      <c r="X738" s="512">
        <f t="shared" si="826"/>
        <v>6.6605162444080044</v>
      </c>
      <c r="Y738" s="512">
        <f t="shared" si="826"/>
        <v>13.222714064604808</v>
      </c>
      <c r="Z738" s="512">
        <f t="shared" si="826"/>
        <v>16.339980834573389</v>
      </c>
      <c r="AA738" s="512">
        <f t="shared" si="826"/>
        <v>25.516383422789403</v>
      </c>
      <c r="AB738" s="512">
        <f t="shared" si="826"/>
        <v>-38.912006468292994</v>
      </c>
      <c r="AC738" s="512">
        <f t="shared" si="826"/>
        <v>20.823433762000001</v>
      </c>
      <c r="AD738" s="512">
        <f t="shared" si="826"/>
        <v>-0.17788372700000232</v>
      </c>
      <c r="AE738" s="512">
        <f t="shared" si="826"/>
        <v>35.522833658000003</v>
      </c>
      <c r="AF738" s="512">
        <f t="shared" si="826"/>
        <v>-16.471097364999999</v>
      </c>
      <c r="AG738" s="512">
        <f t="shared" si="826"/>
        <v>11.312669280999996</v>
      </c>
      <c r="AH738" s="512">
        <f t="shared" si="826"/>
        <v>-33.495558960999972</v>
      </c>
      <c r="AI738" s="512">
        <f t="shared" si="826"/>
        <v>-9.6035356999999948</v>
      </c>
      <c r="AJ738" s="512">
        <f t="shared" si="826"/>
        <v>25.479925335999994</v>
      </c>
      <c r="AK738" s="512">
        <f t="shared" si="826"/>
        <v>-8.2951844279999829</v>
      </c>
      <c r="AL738" s="512">
        <f t="shared" si="826"/>
        <v>-18.325264832999999</v>
      </c>
      <c r="AM738" s="512">
        <f t="shared" si="826"/>
        <v>25.604472352000009</v>
      </c>
      <c r="AN738" s="512">
        <f t="shared" si="826"/>
        <v>6.2050373570000144</v>
      </c>
      <c r="AO738" s="512">
        <f t="shared" si="826"/>
        <v>-6.7539305167400059</v>
      </c>
      <c r="AP738" s="512">
        <f t="shared" si="826"/>
        <v>9.6767797020600099</v>
      </c>
      <c r="AQ738" s="512">
        <f t="shared" si="826"/>
        <v>9.4503527713272408</v>
      </c>
      <c r="AR738" s="512">
        <f t="shared" si="826"/>
        <v>16.097627978120006</v>
      </c>
      <c r="AS738" s="512">
        <f t="shared" si="826"/>
        <v>7.561540453347984</v>
      </c>
      <c r="AT738" s="512">
        <f t="shared" si="826"/>
        <v>-36.035087890934399</v>
      </c>
      <c r="AU738" s="512">
        <f t="shared" si="826"/>
        <v>8.3802143252400008</v>
      </c>
      <c r="AV738" s="512">
        <f t="shared" si="826"/>
        <v>35.297755937880012</v>
      </c>
      <c r="AW738" s="512">
        <f t="shared" si="826"/>
        <v>-34.137960797449999</v>
      </c>
      <c r="AX738" s="512">
        <f t="shared" ref="AX738:BP738" si="827">AX$667</f>
        <v>30.747768710079988</v>
      </c>
      <c r="AY738" s="512">
        <f t="shared" si="827"/>
        <v>6.6192430229007897</v>
      </c>
      <c r="AZ738" s="512">
        <f t="shared" si="827"/>
        <v>-29.749638675632497</v>
      </c>
      <c r="BA738" s="512">
        <f t="shared" si="827"/>
        <v>-3.5105459550000084</v>
      </c>
      <c r="BB738" s="512">
        <f t="shared" si="827"/>
        <v>7.8065772179999984</v>
      </c>
      <c r="BC738" s="512">
        <f t="shared" si="827"/>
        <v>56.295423991000014</v>
      </c>
      <c r="BD738" s="512">
        <f t="shared" si="827"/>
        <v>-36.055197685759985</v>
      </c>
      <c r="BE738" s="512">
        <f t="shared" si="827"/>
        <v>50.927509479769995</v>
      </c>
      <c r="BF738" s="512">
        <f t="shared" si="827"/>
        <v>39.478551934000009</v>
      </c>
      <c r="BG738" s="512">
        <f t="shared" si="827"/>
        <v>-24.85355121680001</v>
      </c>
      <c r="BH738" s="512">
        <f t="shared" si="827"/>
        <v>-36.915925751200014</v>
      </c>
      <c r="BI738" s="512">
        <f t="shared" si="827"/>
        <v>-13.178281442900019</v>
      </c>
      <c r="BJ738" s="512">
        <f t="shared" si="827"/>
        <v>-57.343406230180008</v>
      </c>
      <c r="BK738" s="512">
        <f t="shared" si="827"/>
        <v>33.614613657000021</v>
      </c>
      <c r="BL738" s="512">
        <f t="shared" si="827"/>
        <v>-0.32978904600001613</v>
      </c>
      <c r="BM738" s="512">
        <f t="shared" si="827"/>
        <v>16.630474219890015</v>
      </c>
      <c r="BN738" s="512">
        <f t="shared" si="827"/>
        <v>16.463532138479998</v>
      </c>
      <c r="BO738" s="512">
        <f t="shared" si="827"/>
        <v>51.102759898999992</v>
      </c>
      <c r="BP738" s="512">
        <f t="shared" si="827"/>
        <v>30.405109080000031</v>
      </c>
      <c r="BQ738" s="512">
        <f t="shared" ref="BQ738:DT738" si="828">BQ$667</f>
        <v>38.520418634850003</v>
      </c>
      <c r="BR738" s="512">
        <f t="shared" si="828"/>
        <v>12.559368134954248</v>
      </c>
      <c r="BS738" s="512">
        <f t="shared" si="828"/>
        <v>-53.010399451901648</v>
      </c>
      <c r="BT738" s="512">
        <f t="shared" si="828"/>
        <v>6.3093905400688817</v>
      </c>
      <c r="BU738" s="512">
        <f t="shared" si="828"/>
        <v>73.060097323727888</v>
      </c>
      <c r="BV738" s="512">
        <f t="shared" si="828"/>
        <v>5.9118956241095049</v>
      </c>
      <c r="BW738" s="512">
        <f t="shared" si="828"/>
        <v>-18.135569673433722</v>
      </c>
      <c r="BX738" s="512">
        <f t="shared" si="828"/>
        <v>-60.787193092690352</v>
      </c>
      <c r="BY738" s="512">
        <f t="shared" si="828"/>
        <v>27.04576118312729</v>
      </c>
      <c r="BZ738" s="512">
        <f t="shared" si="828"/>
        <v>23.568025528720547</v>
      </c>
      <c r="CA738" s="512">
        <f t="shared" si="828"/>
        <v>-50.831770706868106</v>
      </c>
      <c r="CB738" s="512">
        <f t="shared" si="828"/>
        <v>35.736301905905833</v>
      </c>
      <c r="CC738" s="512">
        <f t="shared" si="828"/>
        <v>96.394358296720782</v>
      </c>
      <c r="CD738" s="514">
        <f t="shared" si="828"/>
        <v>-65.857510147153519</v>
      </c>
      <c r="CE738" s="512">
        <f t="shared" si="828"/>
        <v>-42.611157192623651</v>
      </c>
      <c r="CF738" s="512">
        <f t="shared" si="828"/>
        <v>18.66661570358573</v>
      </c>
      <c r="CG738" s="512">
        <f t="shared" si="828"/>
        <v>-38.008934492160407</v>
      </c>
      <c r="CH738" s="512">
        <f t="shared" si="828"/>
        <v>38.514668769760675</v>
      </c>
      <c r="CI738" s="512">
        <f t="shared" si="828"/>
        <v>21.779386044511419</v>
      </c>
      <c r="CJ738" s="512">
        <f t="shared" si="828"/>
        <v>-16.406120613149277</v>
      </c>
      <c r="CK738" s="512">
        <f t="shared" si="828"/>
        <v>35.801225611789647</v>
      </c>
      <c r="CL738" s="512">
        <f t="shared" si="828"/>
        <v>17.750653984684622</v>
      </c>
      <c r="CM738" s="512">
        <f t="shared" si="828"/>
        <v>13.620505742886285</v>
      </c>
      <c r="CN738" s="512">
        <f t="shared" si="828"/>
        <v>52.591160658578062</v>
      </c>
      <c r="CO738" s="512">
        <f t="shared" si="828"/>
        <v>45.022821633897941</v>
      </c>
      <c r="CP738" s="515">
        <f t="shared" si="828"/>
        <v>58.290945699031653</v>
      </c>
      <c r="CQ738" s="512">
        <f t="shared" si="828"/>
        <v>-12.54387339511824</v>
      </c>
      <c r="CR738" s="512">
        <f t="shared" si="828"/>
        <v>28.557034698486767</v>
      </c>
      <c r="CS738" s="512">
        <f t="shared" si="828"/>
        <v>26.22019570295479</v>
      </c>
      <c r="CT738" s="512">
        <f t="shared" si="828"/>
        <v>41.620826119219437</v>
      </c>
      <c r="CU738" s="512">
        <f t="shared" si="828"/>
        <v>8.5081747794942935</v>
      </c>
      <c r="CV738" s="512">
        <f t="shared" si="828"/>
        <v>-66.044492111503132</v>
      </c>
      <c r="CW738" s="512">
        <f t="shared" si="828"/>
        <v>39.534169576938282</v>
      </c>
      <c r="CX738" s="512">
        <f t="shared" si="828"/>
        <v>8.7001042170547862</v>
      </c>
      <c r="CY738" s="512">
        <f t="shared" si="828"/>
        <v>24.99261879781184</v>
      </c>
      <c r="CZ738" s="512">
        <f t="shared" si="828"/>
        <v>58.727238712045832</v>
      </c>
      <c r="DA738" s="512">
        <f t="shared" si="828"/>
        <v>19.331670033320673</v>
      </c>
      <c r="DB738" s="1306">
        <f t="shared" si="828"/>
        <v>64.517534556705399</v>
      </c>
      <c r="DC738" s="512">
        <f t="shared" si="828"/>
        <v>-21.043180143472206</v>
      </c>
      <c r="DD738" s="512">
        <f t="shared" si="828"/>
        <v>33.453373720394453</v>
      </c>
      <c r="DE738" s="512">
        <f t="shared" si="828"/>
        <v>8.8813135966185968</v>
      </c>
      <c r="DF738" s="512">
        <f t="shared" si="828"/>
        <v>73.050325213549812</v>
      </c>
      <c r="DG738" s="512">
        <f t="shared" si="828"/>
        <v>-33.255613161617653</v>
      </c>
      <c r="DH738" s="512">
        <f t="shared" si="828"/>
        <v>35.079441018669641</v>
      </c>
      <c r="DI738" s="512">
        <f t="shared" si="828"/>
        <v>70.396421912703801</v>
      </c>
      <c r="DJ738" s="512">
        <f t="shared" si="828"/>
        <v>40.962249191481661</v>
      </c>
      <c r="DK738" s="512">
        <f t="shared" si="828"/>
        <v>1.0645758587163643</v>
      </c>
      <c r="DL738" s="512">
        <f t="shared" si="828"/>
        <v>5.2449569493905841</v>
      </c>
      <c r="DM738" s="512">
        <f t="shared" si="828"/>
        <v>28.638692938607534</v>
      </c>
      <c r="DN738" s="515">
        <f t="shared" si="828"/>
        <v>36.321058881903681</v>
      </c>
      <c r="DO738" s="512">
        <f t="shared" si="828"/>
        <v>-21.325375196187764</v>
      </c>
      <c r="DP738" s="512">
        <f t="shared" si="828"/>
        <v>29.155063210428587</v>
      </c>
      <c r="DQ738" s="512">
        <f t="shared" si="828"/>
        <v>-12.218061145951339</v>
      </c>
      <c r="DR738" s="512">
        <f t="shared" si="828"/>
        <v>72.328972403040794</v>
      </c>
      <c r="DS738" s="512">
        <f t="shared" si="828"/>
        <v>36.737540294562955</v>
      </c>
      <c r="DT738" s="512">
        <f t="shared" si="828"/>
        <v>36.768730068418087</v>
      </c>
      <c r="DU738" s="512"/>
      <c r="DV738" s="512"/>
      <c r="DW738" s="512"/>
      <c r="DX738" s="512"/>
      <c r="DY738" s="512"/>
      <c r="DZ738" s="515"/>
      <c r="EA738" s="512"/>
      <c r="EB738" s="512"/>
      <c r="EC738" s="512"/>
      <c r="ED738" s="512"/>
      <c r="EE738" s="512"/>
      <c r="EF738" s="512"/>
      <c r="EG738" s="512"/>
      <c r="EH738" s="512"/>
      <c r="EI738" s="512"/>
      <c r="EJ738" s="512"/>
      <c r="EK738" s="512"/>
      <c r="EL738" s="515"/>
      <c r="EM738" s="512"/>
      <c r="EN738" s="512"/>
      <c r="EO738" s="512"/>
      <c r="EP738" s="512"/>
      <c r="EQ738" s="512"/>
      <c r="ER738" s="512"/>
      <c r="ES738" s="512"/>
      <c r="ET738" s="512"/>
      <c r="EU738" s="512"/>
      <c r="EV738" s="512"/>
      <c r="EW738" s="512"/>
      <c r="EX738" s="515"/>
      <c r="EY738" s="512"/>
      <c r="EZ738" s="512"/>
      <c r="FA738" s="512"/>
      <c r="FB738" s="512"/>
      <c r="FC738" s="512"/>
      <c r="FD738" s="512"/>
      <c r="FE738" s="512"/>
      <c r="FF738" s="512"/>
      <c r="FG738" s="512"/>
      <c r="FH738" s="512"/>
      <c r="FI738" s="512"/>
      <c r="FJ738" s="515"/>
      <c r="FK738" s="512"/>
      <c r="FL738" s="512"/>
      <c r="FM738" s="512"/>
      <c r="FN738" s="512"/>
      <c r="FO738" s="512"/>
      <c r="FP738" s="512"/>
      <c r="FQ738" s="512"/>
      <c r="FR738" s="512"/>
      <c r="FS738" s="512"/>
      <c r="FT738" s="512"/>
      <c r="FU738" s="512"/>
      <c r="FV738" s="512"/>
      <c r="FW738" s="512"/>
      <c r="FX738" s="512"/>
      <c r="FY738" s="512"/>
      <c r="FZ738" s="512"/>
      <c r="GA738" s="512"/>
      <c r="GB738" s="512"/>
      <c r="GC738" s="512"/>
      <c r="GD738" s="512"/>
      <c r="GE738" s="512"/>
      <c r="GF738" s="512"/>
      <c r="GG738" s="512"/>
      <c r="GH738" s="512"/>
      <c r="GI738" s="512"/>
      <c r="GJ738" s="512"/>
      <c r="GK738" s="512"/>
      <c r="GL738" s="512"/>
      <c r="GM738" s="512"/>
      <c r="GN738" s="512"/>
      <c r="GO738" s="512"/>
      <c r="GP738" s="512"/>
      <c r="GQ738" s="512"/>
      <c r="GR738" s="512"/>
      <c r="GS738" s="512"/>
      <c r="GT738" s="512"/>
      <c r="GU738" s="512"/>
      <c r="GV738" s="512"/>
      <c r="GW738" s="512"/>
      <c r="GX738" s="512"/>
      <c r="GY738" s="512"/>
      <c r="GZ738" s="512"/>
      <c r="HA738" s="512"/>
      <c r="HB738" s="512"/>
      <c r="HC738" s="512"/>
      <c r="HD738" s="512"/>
      <c r="HE738" s="512"/>
      <c r="HF738" s="512"/>
      <c r="HG738" s="512"/>
      <c r="HH738" s="512"/>
      <c r="HI738" s="512"/>
      <c r="HJ738" s="512"/>
      <c r="HK738" s="512"/>
      <c r="HL738" s="512"/>
      <c r="HM738" s="512"/>
      <c r="HN738" s="512"/>
      <c r="HO738" s="512"/>
      <c r="HP738" s="512"/>
      <c r="HQ738" s="512"/>
      <c r="HR738" s="512"/>
      <c r="HS738" s="512"/>
      <c r="HT738" s="512"/>
      <c r="HU738" s="512"/>
      <c r="HV738" s="512"/>
      <c r="HW738" s="512"/>
      <c r="HX738" s="512"/>
      <c r="HY738" s="512"/>
      <c r="IA738" s="512"/>
      <c r="IB738" s="512"/>
      <c r="IC738" s="512"/>
      <c r="ID738" s="512">
        <f t="shared" ref="ID738:II738" si="829">ID$667</f>
        <v>197.61254199818421</v>
      </c>
      <c r="IE738" s="279">
        <f t="shared" si="829"/>
        <v>3.3178657935338123</v>
      </c>
      <c r="IF738" s="279">
        <f t="shared" si="829"/>
        <v>215.80333589387678</v>
      </c>
      <c r="IG738" s="512">
        <f t="shared" si="829"/>
        <v>219.12120168741058</v>
      </c>
      <c r="IH738" s="279">
        <f t="shared" si="829"/>
        <v>88.946084624420351</v>
      </c>
      <c r="II738" s="279">
        <f t="shared" si="829"/>
        <v>185.26414525406443</v>
      </c>
      <c r="IJ738" s="520">
        <f t="shared" ref="IJ738:IV738" si="830">IJ$667</f>
        <v>274.21022987848477</v>
      </c>
      <c r="IK738" s="279">
        <f t="shared" si="830"/>
        <v>141.44686963431135</v>
      </c>
      <c r="IM738" s="520">
        <f t="shared" si="830"/>
        <v>378.80673026474824</v>
      </c>
      <c r="IP738" s="519">
        <f t="shared" si="830"/>
        <v>398.9867656101726</v>
      </c>
      <c r="IS738" s="519">
        <f t="shared" si="830"/>
        <v>522.45525002266504</v>
      </c>
      <c r="IT738" s="327"/>
      <c r="IU738" s="327"/>
      <c r="IV738" s="519">
        <f t="shared" si="830"/>
        <v>1226.1509467500846</v>
      </c>
      <c r="IW738" s="327"/>
      <c r="IX738" s="327"/>
      <c r="IY738" s="519">
        <f>IY$667</f>
        <v>973.99842550595372</v>
      </c>
      <c r="IZ738" s="327"/>
      <c r="JA738" s="327" t="e">
        <f>JA$667</f>
        <v>#REF!</v>
      </c>
      <c r="JB738" s="519" t="e">
        <f>#REF!</f>
        <v>#REF!</v>
      </c>
      <c r="JC738" s="327">
        <f>JE$667</f>
        <v>941.12816859942711</v>
      </c>
      <c r="JD738" s="327">
        <f>JD$667</f>
        <v>5407.9107897064732</v>
      </c>
      <c r="JE738" s="519"/>
      <c r="JF738" s="327"/>
      <c r="JG738" s="327"/>
      <c r="JH738" s="519"/>
      <c r="JI738" s="327"/>
      <c r="JJ738" s="327"/>
      <c r="JK738" s="519"/>
      <c r="KY738" s="279">
        <f>KY$667</f>
        <v>0</v>
      </c>
      <c r="KZ738" s="279">
        <f>KZ$667</f>
        <v>0</v>
      </c>
      <c r="LA738" s="279">
        <f>LA$667</f>
        <v>0</v>
      </c>
      <c r="LB738" s="279">
        <f>LB$667</f>
        <v>0</v>
      </c>
    </row>
    <row r="739" spans="1:314" hidden="1">
      <c r="A739" s="279"/>
      <c r="B739" s="96" t="s">
        <v>338</v>
      </c>
      <c r="D739" s="517" t="str">
        <f>D$669</f>
        <v>Foreign financing (net)</v>
      </c>
      <c r="E739" s="512">
        <f>E$669</f>
        <v>-0.50807036317380805</v>
      </c>
      <c r="F739" s="512">
        <f t="shared" ref="F739:L739" si="831">F$669</f>
        <v>-3.3610918306800006E-2</v>
      </c>
      <c r="G739" s="512">
        <f t="shared" si="831"/>
        <v>10.397457793368302</v>
      </c>
      <c r="H739" s="512">
        <f t="shared" si="831"/>
        <v>-0.276455737578432</v>
      </c>
      <c r="I739" s="512">
        <f t="shared" si="831"/>
        <v>-0.12798318832220001</v>
      </c>
      <c r="J739" s="512">
        <f t="shared" si="831"/>
        <v>9.0944597461261001</v>
      </c>
      <c r="K739" s="512">
        <f t="shared" si="831"/>
        <v>-0.10911409420939988</v>
      </c>
      <c r="L739" s="512">
        <f t="shared" si="831"/>
        <v>-4.2709927436400001E-2</v>
      </c>
      <c r="M739" s="512">
        <f t="shared" ref="M739:AW739" si="832">M$669</f>
        <v>10.7865610018056</v>
      </c>
      <c r="N739" s="512">
        <f t="shared" si="832"/>
        <v>-3.807155156E-2</v>
      </c>
      <c r="O739" s="512">
        <f t="shared" si="832"/>
        <v>-0.77784387055999993</v>
      </c>
      <c r="P739" s="512">
        <f t="shared" si="832"/>
        <v>16.191599324879999</v>
      </c>
      <c r="Q739" s="512">
        <f t="shared" si="832"/>
        <v>-0.50161116085360002</v>
      </c>
      <c r="R739" s="512">
        <f t="shared" si="832"/>
        <v>-5.3357941889999996E-2</v>
      </c>
      <c r="S739" s="512">
        <f t="shared" si="832"/>
        <v>11.317881237878</v>
      </c>
      <c r="T739" s="512">
        <f t="shared" si="832"/>
        <v>0.67169293220400006</v>
      </c>
      <c r="U739" s="512">
        <f t="shared" si="832"/>
        <v>-0.163856145684</v>
      </c>
      <c r="V739" s="512">
        <f t="shared" si="832"/>
        <v>6.8213523351239997</v>
      </c>
      <c r="W739" s="512">
        <f t="shared" si="832"/>
        <v>1.3005350759400014E-2</v>
      </c>
      <c r="X739" s="512">
        <f t="shared" si="832"/>
        <v>3.998650096000006E-3</v>
      </c>
      <c r="Y739" s="512">
        <f t="shared" si="832"/>
        <v>9.6128784730768011</v>
      </c>
      <c r="Z739" s="512">
        <f t="shared" si="832"/>
        <v>-1.9543495164899977E-2</v>
      </c>
      <c r="AA739" s="512">
        <f t="shared" si="832"/>
        <v>-0.10399395625040002</v>
      </c>
      <c r="AB739" s="512">
        <f t="shared" si="832"/>
        <v>28.782368222892</v>
      </c>
      <c r="AC739" s="512">
        <f t="shared" si="832"/>
        <v>-0.52907199999999999</v>
      </c>
      <c r="AD739" s="512">
        <f t="shared" si="832"/>
        <v>-4.1878385000000004E-2</v>
      </c>
      <c r="AE739" s="512">
        <f t="shared" si="832"/>
        <v>12.106708015000001</v>
      </c>
      <c r="AF739" s="512">
        <f t="shared" si="832"/>
        <v>-0.26076719500000001</v>
      </c>
      <c r="AG739" s="512">
        <f t="shared" si="832"/>
        <v>-0.15922959</v>
      </c>
      <c r="AH739" s="512">
        <f t="shared" si="832"/>
        <v>12.245775637000001</v>
      </c>
      <c r="AI739" s="512">
        <f t="shared" si="832"/>
        <v>-0.54568328499999996</v>
      </c>
      <c r="AJ739" s="512">
        <f t="shared" si="832"/>
        <v>-4.7101027999999996E-2</v>
      </c>
      <c r="AK739" s="512">
        <f t="shared" si="832"/>
        <v>7.2460043950000008</v>
      </c>
      <c r="AL739" s="512">
        <f t="shared" si="832"/>
        <v>-0.17289784</v>
      </c>
      <c r="AM739" s="512">
        <f t="shared" si="832"/>
        <v>-0.21172326799999999</v>
      </c>
      <c r="AN739" s="512">
        <f t="shared" si="832"/>
        <v>8.1221169589999995</v>
      </c>
      <c r="AO739" s="512">
        <f t="shared" si="832"/>
        <v>-0.50290532316275993</v>
      </c>
      <c r="AP739" s="512">
        <f t="shared" si="832"/>
        <v>-0.15814870683429999</v>
      </c>
      <c r="AQ739" s="512">
        <f t="shared" si="832"/>
        <v>5.2097932474452797</v>
      </c>
      <c r="AR739" s="512">
        <f t="shared" si="832"/>
        <v>-0.2297994379254</v>
      </c>
      <c r="AS739" s="512">
        <f t="shared" si="832"/>
        <v>-0.20176501846710002</v>
      </c>
      <c r="AT739" s="512">
        <f t="shared" si="832"/>
        <v>7.0226782051887504</v>
      </c>
      <c r="AU739" s="512">
        <f t="shared" si="832"/>
        <v>-1.0774999999999999</v>
      </c>
      <c r="AV739" s="512">
        <f t="shared" si="832"/>
        <v>-0.1545</v>
      </c>
      <c r="AW739" s="512">
        <f t="shared" si="832"/>
        <v>6.3510565599999991</v>
      </c>
      <c r="AX739" s="512">
        <f t="shared" ref="AX739:BP739" si="833">AX$669</f>
        <v>-0.68194363155999993</v>
      </c>
      <c r="AY739" s="512">
        <f t="shared" si="833"/>
        <v>-0.38759797281340003</v>
      </c>
      <c r="AZ739" s="512">
        <f t="shared" si="833"/>
        <v>13.8662032493305</v>
      </c>
      <c r="BA739" s="512">
        <f t="shared" si="833"/>
        <v>-1.158766612</v>
      </c>
      <c r="BB739" s="512">
        <f t="shared" si="833"/>
        <v>-0.101139462</v>
      </c>
      <c r="BC739" s="512">
        <f t="shared" si="833"/>
        <v>19.235095475000001</v>
      </c>
      <c r="BD739" s="512">
        <f t="shared" si="833"/>
        <v>-0.155374504</v>
      </c>
      <c r="BE739" s="512">
        <f t="shared" si="833"/>
        <v>20.975846718000003</v>
      </c>
      <c r="BF739" s="512">
        <f t="shared" si="833"/>
        <v>11.376847363</v>
      </c>
      <c r="BG739" s="512">
        <f t="shared" si="833"/>
        <v>-1.2117479499999999</v>
      </c>
      <c r="BH739" s="512">
        <f t="shared" si="833"/>
        <v>-0.10368931131</v>
      </c>
      <c r="BI739" s="512">
        <f t="shared" si="833"/>
        <v>8.5563409086000011</v>
      </c>
      <c r="BJ739" s="512">
        <f t="shared" si="833"/>
        <v>3.3630518521599999</v>
      </c>
      <c r="BK739" s="512">
        <f t="shared" si="833"/>
        <v>-0.94509411099999996</v>
      </c>
      <c r="BL739" s="512">
        <f t="shared" si="833"/>
        <v>64.984093047999991</v>
      </c>
      <c r="BM739" s="512">
        <f t="shared" si="833"/>
        <v>-1.1393097170000002</v>
      </c>
      <c r="BN739" s="512">
        <f t="shared" si="833"/>
        <v>-0.10130504225</v>
      </c>
      <c r="BO739" s="512">
        <f t="shared" si="833"/>
        <v>12.096889067999999</v>
      </c>
      <c r="BP739" s="512">
        <f t="shared" si="833"/>
        <v>-0.37928600191000006</v>
      </c>
      <c r="BQ739" s="512">
        <f t="shared" ref="BQ739:DT739" si="834">BQ$669</f>
        <v>-1.1134900000000001</v>
      </c>
      <c r="BR739" s="512">
        <f t="shared" si="834"/>
        <v>11.045804823999999</v>
      </c>
      <c r="BS739" s="512">
        <f t="shared" si="834"/>
        <v>-1.2683</v>
      </c>
      <c r="BT739" s="512">
        <f t="shared" si="834"/>
        <v>-9.9900000000000003E-2</v>
      </c>
      <c r="BU739" s="512">
        <f t="shared" si="834"/>
        <v>35.908200000000001</v>
      </c>
      <c r="BV739" s="512">
        <f t="shared" si="834"/>
        <v>1.5956689506576198</v>
      </c>
      <c r="BW739" s="512">
        <f t="shared" si="834"/>
        <v>5.4647202718430172</v>
      </c>
      <c r="BX739" s="512">
        <f t="shared" si="834"/>
        <v>4.6916419250035108</v>
      </c>
      <c r="BY739" s="512">
        <f t="shared" si="834"/>
        <v>0.75260748222076534</v>
      </c>
      <c r="BZ739" s="512">
        <f t="shared" si="834"/>
        <v>4.077499622103451</v>
      </c>
      <c r="CA739" s="512">
        <f t="shared" si="834"/>
        <v>4.7181280788894915</v>
      </c>
      <c r="CB739" s="512">
        <f t="shared" si="834"/>
        <v>3.4099613564677433</v>
      </c>
      <c r="CC739" s="512">
        <f t="shared" si="834"/>
        <v>4.8829959041910262</v>
      </c>
      <c r="CD739" s="514">
        <f t="shared" si="834"/>
        <v>24.361956062990608</v>
      </c>
      <c r="CE739" s="512">
        <f t="shared" si="834"/>
        <v>6.0648673378900142</v>
      </c>
      <c r="CF739" s="512">
        <f t="shared" si="834"/>
        <v>3.7943198551050905</v>
      </c>
      <c r="CG739" s="512">
        <f t="shared" si="834"/>
        <v>3.4143455195842343</v>
      </c>
      <c r="CH739" s="512">
        <f t="shared" si="834"/>
        <v>4.8064493127320151</v>
      </c>
      <c r="CI739" s="512">
        <f t="shared" si="834"/>
        <v>2.9333864288658735</v>
      </c>
      <c r="CJ739" s="512">
        <f t="shared" si="834"/>
        <v>6.0664323475203208</v>
      </c>
      <c r="CK739" s="512">
        <f t="shared" si="834"/>
        <v>10.54974338072898</v>
      </c>
      <c r="CL739" s="512">
        <f t="shared" si="834"/>
        <v>1.6094141646601652</v>
      </c>
      <c r="CM739" s="512">
        <f t="shared" si="834"/>
        <v>2.0088474897454565</v>
      </c>
      <c r="CN739" s="512">
        <f t="shared" si="834"/>
        <v>1.2718415560240695</v>
      </c>
      <c r="CO739" s="512">
        <f t="shared" si="834"/>
        <v>38.10535375062684</v>
      </c>
      <c r="CP739" s="515">
        <f t="shared" si="834"/>
        <v>24.531914229255314</v>
      </c>
      <c r="CQ739" s="512">
        <f t="shared" si="834"/>
        <v>4.9420193008418858</v>
      </c>
      <c r="CR739" s="512">
        <f t="shared" si="834"/>
        <v>3.8308939451566677</v>
      </c>
      <c r="CS739" s="512">
        <f t="shared" si="834"/>
        <v>12.00286724258406</v>
      </c>
      <c r="CT739" s="512">
        <f t="shared" si="834"/>
        <v>5.1893339261600904</v>
      </c>
      <c r="CU739" s="512">
        <f t="shared" si="834"/>
        <v>10.46585883733734</v>
      </c>
      <c r="CV739" s="512">
        <f t="shared" si="834"/>
        <v>67.021078465884145</v>
      </c>
      <c r="CW739" s="512">
        <f t="shared" si="834"/>
        <v>7.8762359651259253</v>
      </c>
      <c r="CX739" s="512">
        <f t="shared" si="834"/>
        <v>3.5485909032750431</v>
      </c>
      <c r="CY739" s="512">
        <f t="shared" si="834"/>
        <v>8.6557670022827384</v>
      </c>
      <c r="CZ739" s="512">
        <f t="shared" si="834"/>
        <v>48.213086059450021</v>
      </c>
      <c r="DA739" s="512">
        <f t="shared" si="834"/>
        <v>4.8957815003413128</v>
      </c>
      <c r="DB739" s="1306">
        <f t="shared" si="834"/>
        <v>11.545065657792968</v>
      </c>
      <c r="DC739" s="512">
        <f t="shared" si="834"/>
        <v>-0.32746269399886818</v>
      </c>
      <c r="DD739" s="512">
        <f t="shared" si="834"/>
        <v>3.5305284776444301</v>
      </c>
      <c r="DE739" s="512">
        <f t="shared" si="834"/>
        <v>55.40402819682587</v>
      </c>
      <c r="DF739" s="512">
        <f t="shared" si="834"/>
        <v>13.837937548729254</v>
      </c>
      <c r="DG739" s="512">
        <f t="shared" si="834"/>
        <v>4.0517228288185114</v>
      </c>
      <c r="DH739" s="512">
        <f t="shared" si="834"/>
        <v>90.018144492537417</v>
      </c>
      <c r="DI739" s="512">
        <f t="shared" si="834"/>
        <v>5.8757694289489741</v>
      </c>
      <c r="DJ739" s="512">
        <f t="shared" si="834"/>
        <v>21.472344372958734</v>
      </c>
      <c r="DK739" s="512">
        <f t="shared" si="834"/>
        <v>11.427946944314153</v>
      </c>
      <c r="DL739" s="512">
        <f t="shared" si="834"/>
        <v>10.494451571476269</v>
      </c>
      <c r="DM739" s="512">
        <f t="shared" si="834"/>
        <v>4.9315520607593966</v>
      </c>
      <c r="DN739" s="515">
        <f t="shared" si="834"/>
        <v>3.691164430675272</v>
      </c>
      <c r="DO739" s="512">
        <f t="shared" si="834"/>
        <v>2.4828976559227027</v>
      </c>
      <c r="DP739" s="512">
        <f t="shared" si="834"/>
        <v>8.2479295940122039</v>
      </c>
      <c r="DQ739" s="512">
        <f t="shared" si="834"/>
        <v>34.80290039343646</v>
      </c>
      <c r="DR739" s="512">
        <f t="shared" si="834"/>
        <v>68.234891521118072</v>
      </c>
      <c r="DS739" s="512">
        <f t="shared" si="834"/>
        <v>9.7368212350321457</v>
      </c>
      <c r="DT739" s="512">
        <f t="shared" si="834"/>
        <v>93.306756981791452</v>
      </c>
      <c r="DU739" s="512"/>
      <c r="DV739" s="512"/>
      <c r="DW739" s="512"/>
      <c r="DX739" s="512"/>
      <c r="DY739" s="512"/>
      <c r="DZ739" s="515"/>
      <c r="EA739" s="512"/>
      <c r="EB739" s="512"/>
      <c r="EC739" s="512"/>
      <c r="ED739" s="512"/>
      <c r="EE739" s="512"/>
      <c r="EF739" s="512"/>
      <c r="EG739" s="512"/>
      <c r="EH739" s="512"/>
      <c r="EI739" s="512"/>
      <c r="EJ739" s="512"/>
      <c r="EK739" s="512"/>
      <c r="EL739" s="515"/>
      <c r="EM739" s="512"/>
      <c r="EN739" s="512"/>
      <c r="EO739" s="512"/>
      <c r="EP739" s="512"/>
      <c r="EQ739" s="512"/>
      <c r="ER739" s="512"/>
      <c r="ES739" s="512"/>
      <c r="ET739" s="512"/>
      <c r="EU739" s="512"/>
      <c r="EV739" s="512"/>
      <c r="EW739" s="512"/>
      <c r="EX739" s="515"/>
      <c r="EY739" s="512"/>
      <c r="EZ739" s="512"/>
      <c r="FA739" s="512"/>
      <c r="FB739" s="512"/>
      <c r="FC739" s="512"/>
      <c r="FD739" s="512"/>
      <c r="FE739" s="512"/>
      <c r="FF739" s="512"/>
      <c r="FG739" s="512"/>
      <c r="FH739" s="512"/>
      <c r="FI739" s="512"/>
      <c r="FJ739" s="515"/>
      <c r="FK739" s="512"/>
      <c r="FL739" s="512"/>
      <c r="FM739" s="512"/>
      <c r="FN739" s="512"/>
      <c r="FO739" s="512"/>
      <c r="FP739" s="512"/>
      <c r="FQ739" s="512"/>
      <c r="FR739" s="512"/>
      <c r="FS739" s="512"/>
      <c r="FT739" s="512"/>
      <c r="FU739" s="512"/>
      <c r="FV739" s="512"/>
      <c r="FW739" s="512"/>
      <c r="FX739" s="512"/>
      <c r="FY739" s="512"/>
      <c r="FZ739" s="512"/>
      <c r="GA739" s="512"/>
      <c r="GB739" s="512"/>
      <c r="GC739" s="512"/>
      <c r="GD739" s="512"/>
      <c r="GE739" s="512"/>
      <c r="GF739" s="512"/>
      <c r="GG739" s="512"/>
      <c r="GH739" s="512"/>
      <c r="GI739" s="512"/>
      <c r="GJ739" s="512"/>
      <c r="GK739" s="512"/>
      <c r="GL739" s="512"/>
      <c r="GM739" s="512"/>
      <c r="GN739" s="512"/>
      <c r="GO739" s="512"/>
      <c r="GP739" s="512"/>
      <c r="GQ739" s="512"/>
      <c r="GR739" s="512"/>
      <c r="GS739" s="512"/>
      <c r="GT739" s="512"/>
      <c r="GU739" s="512"/>
      <c r="GV739" s="512"/>
      <c r="GW739" s="512"/>
      <c r="GX739" s="512"/>
      <c r="GY739" s="512"/>
      <c r="GZ739" s="512"/>
      <c r="HA739" s="512"/>
      <c r="HB739" s="512"/>
      <c r="HC739" s="512"/>
      <c r="HD739" s="512"/>
      <c r="HE739" s="512"/>
      <c r="HF739" s="512"/>
      <c r="HG739" s="512"/>
      <c r="HH739" s="512"/>
      <c r="HI739" s="512"/>
      <c r="HJ739" s="512"/>
      <c r="HK739" s="512"/>
      <c r="HL739" s="512"/>
      <c r="HM739" s="512"/>
      <c r="HN739" s="512"/>
      <c r="HO739" s="512"/>
      <c r="HP739" s="512"/>
      <c r="HQ739" s="512"/>
      <c r="HR739" s="512"/>
      <c r="HS739" s="512"/>
      <c r="HT739" s="512"/>
      <c r="HU739" s="512"/>
      <c r="HV739" s="512"/>
      <c r="HW739" s="512"/>
      <c r="HX739" s="512"/>
      <c r="HY739" s="512"/>
      <c r="IA739" s="512"/>
      <c r="IB739" s="512"/>
      <c r="IC739" s="512"/>
      <c r="ID739" s="512">
        <f t="shared" ref="ID739:II739" si="835">ID$669</f>
        <v>188.3125419981842</v>
      </c>
      <c r="IE739" s="279">
        <f t="shared" si="835"/>
        <v>103.4520517179642</v>
      </c>
      <c r="IF739" s="279">
        <f t="shared" si="835"/>
        <v>84.73452708826801</v>
      </c>
      <c r="IG739" s="512">
        <f t="shared" si="835"/>
        <v>188.18657880623221</v>
      </c>
      <c r="IH739" s="279">
        <f t="shared" si="835"/>
        <v>166.51489885055659</v>
      </c>
      <c r="II739" s="279">
        <f t="shared" si="835"/>
        <v>57.893228809132779</v>
      </c>
      <c r="IJ739" s="520">
        <f t="shared" ref="IJ739:IV739" si="836">IJ$669</f>
        <v>224.4081276596894</v>
      </c>
      <c r="IK739" s="279">
        <f t="shared" si="836"/>
        <v>216.81219738131307</v>
      </c>
      <c r="IM739" s="520">
        <f t="shared" si="836"/>
        <v>322.98893439137123</v>
      </c>
      <c r="IP739" s="519">
        <f t="shared" si="836"/>
        <v>356.02913087722652</v>
      </c>
      <c r="IS739" s="519">
        <f t="shared" si="836"/>
        <v>448.31196664374346</v>
      </c>
      <c r="IT739" s="327"/>
      <c r="IU739" s="327"/>
      <c r="IV739" s="519">
        <f t="shared" si="836"/>
        <v>1137.4986216870611</v>
      </c>
      <c r="IW739" s="327"/>
      <c r="IX739" s="327"/>
      <c r="IY739" s="519">
        <f>IY$669</f>
        <v>708.41842834695376</v>
      </c>
      <c r="IZ739" s="327"/>
      <c r="JA739" s="327">
        <f>JA$669</f>
        <v>270.61991582220685</v>
      </c>
      <c r="JB739" s="519" t="e">
        <f>#REF!</f>
        <v>#REF!</v>
      </c>
      <c r="JC739" s="327">
        <f>JE$669</f>
        <v>780.58674289632404</v>
      </c>
      <c r="JD739" s="327">
        <f>JD$669</f>
        <v>606.36742572253627</v>
      </c>
      <c r="JE739" s="519"/>
      <c r="JF739" s="327"/>
      <c r="JG739" s="327"/>
      <c r="JH739" s="519"/>
      <c r="JI739" s="327"/>
      <c r="JJ739" s="327"/>
      <c r="JK739" s="519"/>
      <c r="KY739" s="279">
        <f>KY$669</f>
        <v>0</v>
      </c>
      <c r="KZ739" s="279">
        <f>KZ$669</f>
        <v>0</v>
      </c>
      <c r="LA739" s="279">
        <f>LA$669</f>
        <v>0</v>
      </c>
      <c r="LB739" s="279">
        <f>LB$669</f>
        <v>0</v>
      </c>
    </row>
    <row r="740" spans="1:314" hidden="1">
      <c r="A740" s="279"/>
      <c r="D740" s="517" t="str">
        <f>+FISC!D977</f>
        <v xml:space="preserve">    O/w: budget loans (gross)</v>
      </c>
      <c r="E740" s="512"/>
      <c r="F740" s="512"/>
      <c r="G740" s="512"/>
      <c r="H740" s="512"/>
      <c r="I740" s="512"/>
      <c r="J740" s="512"/>
      <c r="K740" s="512"/>
      <c r="L740" s="512"/>
      <c r="M740" s="512"/>
      <c r="N740" s="512"/>
      <c r="O740" s="512"/>
      <c r="P740" s="512"/>
      <c r="Q740" s="512"/>
      <c r="R740" s="512"/>
      <c r="S740" s="512"/>
      <c r="T740" s="512"/>
      <c r="U740" s="512"/>
      <c r="V740" s="512"/>
      <c r="W740" s="512"/>
      <c r="X740" s="512"/>
      <c r="Y740" s="512"/>
      <c r="Z740" s="512"/>
      <c r="AA740" s="512"/>
      <c r="AB740" s="512"/>
      <c r="AC740" s="512"/>
      <c r="AD740" s="512"/>
      <c r="AE740" s="512"/>
      <c r="AF740" s="512"/>
      <c r="AG740" s="512"/>
      <c r="AH740" s="512"/>
      <c r="AI740" s="512"/>
      <c r="AJ740" s="512"/>
      <c r="AK740" s="512"/>
      <c r="AL740" s="512"/>
      <c r="AM740" s="512"/>
      <c r="AN740" s="512"/>
      <c r="AO740" s="512"/>
      <c r="AP740" s="512"/>
      <c r="AQ740" s="512"/>
      <c r="AR740" s="512"/>
      <c r="AS740" s="512"/>
      <c r="AT740" s="512"/>
      <c r="AU740" s="512"/>
      <c r="AV740" s="512"/>
      <c r="AW740" s="512"/>
      <c r="AX740" s="512"/>
      <c r="AY740" s="512"/>
      <c r="AZ740" s="512"/>
      <c r="BA740" s="512"/>
      <c r="BB740" s="512"/>
      <c r="BC740" s="512"/>
      <c r="BD740" s="512"/>
      <c r="BE740" s="512"/>
      <c r="BF740" s="512"/>
      <c r="BG740" s="512"/>
      <c r="BH740" s="512"/>
      <c r="BI740" s="512"/>
      <c r="BJ740" s="512"/>
      <c r="BK740" s="512"/>
      <c r="BL740" s="512"/>
      <c r="BM740" s="512"/>
      <c r="BN740" s="512"/>
      <c r="BO740" s="512"/>
      <c r="BP740" s="512"/>
      <c r="BQ740" s="512"/>
      <c r="BR740" s="512"/>
      <c r="BS740" s="512"/>
      <c r="BT740" s="512"/>
      <c r="BU740" s="512"/>
      <c r="BV740" s="512"/>
      <c r="BW740" s="512"/>
      <c r="BX740" s="512"/>
      <c r="BY740" s="512"/>
      <c r="BZ740" s="512"/>
      <c r="CA740" s="512"/>
      <c r="CB740" s="512"/>
      <c r="CC740" s="512"/>
      <c r="CD740" s="514"/>
      <c r="CE740" s="512"/>
      <c r="CF740" s="512"/>
      <c r="CG740" s="512"/>
      <c r="CH740" s="512"/>
      <c r="CI740" s="512"/>
      <c r="CJ740" s="512"/>
      <c r="CK740" s="512"/>
      <c r="CL740" s="512"/>
      <c r="CM740" s="512"/>
      <c r="CN740" s="512"/>
      <c r="CO740" s="512"/>
      <c r="CP740" s="515"/>
      <c r="CQ740" s="512"/>
      <c r="CR740" s="512"/>
      <c r="CS740" s="512"/>
      <c r="CT740" s="512"/>
      <c r="CU740" s="512"/>
      <c r="CV740" s="512"/>
      <c r="CW740" s="512"/>
      <c r="CX740" s="512"/>
      <c r="CY740" s="512"/>
      <c r="CZ740" s="512"/>
      <c r="DA740" s="512"/>
      <c r="DB740" s="1306"/>
      <c r="DC740" s="512"/>
      <c r="DD740" s="512"/>
      <c r="DE740" s="512"/>
      <c r="DF740" s="512"/>
      <c r="DG740" s="512"/>
      <c r="DH740" s="512"/>
      <c r="DI740" s="512"/>
      <c r="DJ740" s="512"/>
      <c r="DK740" s="512"/>
      <c r="DL740" s="512"/>
      <c r="DM740" s="512"/>
      <c r="DN740" s="515"/>
      <c r="DO740" s="512"/>
      <c r="DP740" s="512"/>
      <c r="DQ740" s="512"/>
      <c r="DR740" s="512"/>
      <c r="DS740" s="512"/>
      <c r="DT740" s="512"/>
      <c r="DU740" s="512"/>
      <c r="DV740" s="512"/>
      <c r="DW740" s="512"/>
      <c r="DX740" s="512"/>
      <c r="DY740" s="512"/>
      <c r="DZ740" s="515"/>
      <c r="EA740" s="512"/>
      <c r="EB740" s="512"/>
      <c r="EC740" s="512"/>
      <c r="ED740" s="512"/>
      <c r="EE740" s="512"/>
      <c r="EF740" s="512"/>
      <c r="EG740" s="512"/>
      <c r="EH740" s="512"/>
      <c r="EI740" s="512"/>
      <c r="EJ740" s="512"/>
      <c r="EK740" s="512"/>
      <c r="EL740" s="515"/>
      <c r="EM740" s="512"/>
      <c r="EN740" s="512"/>
      <c r="EO740" s="512"/>
      <c r="EP740" s="512"/>
      <c r="EQ740" s="512"/>
      <c r="ER740" s="512"/>
      <c r="ES740" s="512"/>
      <c r="ET740" s="512"/>
      <c r="EU740" s="512"/>
      <c r="EV740" s="512"/>
      <c r="EW740" s="512"/>
      <c r="EX740" s="515"/>
      <c r="EY740" s="512"/>
      <c r="EZ740" s="512"/>
      <c r="FA740" s="512"/>
      <c r="FB740" s="512"/>
      <c r="FC740" s="512"/>
      <c r="FD740" s="512"/>
      <c r="FE740" s="512"/>
      <c r="FF740" s="512"/>
      <c r="FG740" s="512"/>
      <c r="FH740" s="512"/>
      <c r="FI740" s="512"/>
      <c r="FJ740" s="515"/>
      <c r="FK740" s="512"/>
      <c r="FL740" s="512"/>
      <c r="FM740" s="512"/>
      <c r="FN740" s="512"/>
      <c r="FO740" s="512"/>
      <c r="FP740" s="512"/>
      <c r="FQ740" s="512"/>
      <c r="FR740" s="512"/>
      <c r="FS740" s="512"/>
      <c r="FT740" s="512"/>
      <c r="FU740" s="512"/>
      <c r="FV740" s="512"/>
      <c r="FW740" s="512"/>
      <c r="FX740" s="512"/>
      <c r="FY740" s="512"/>
      <c r="FZ740" s="512"/>
      <c r="GA740" s="512"/>
      <c r="GB740" s="512"/>
      <c r="GC740" s="512"/>
      <c r="GD740" s="512"/>
      <c r="GE740" s="512"/>
      <c r="GF740" s="512"/>
      <c r="GG740" s="512"/>
      <c r="GH740" s="512"/>
      <c r="GI740" s="512"/>
      <c r="GJ740" s="512"/>
      <c r="GK740" s="512"/>
      <c r="GL740" s="512"/>
      <c r="GM740" s="512"/>
      <c r="GN740" s="512"/>
      <c r="GO740" s="512"/>
      <c r="GP740" s="512"/>
      <c r="GQ740" s="512"/>
      <c r="GR740" s="512"/>
      <c r="GS740" s="512"/>
      <c r="GT740" s="512"/>
      <c r="GU740" s="512"/>
      <c r="GV740" s="512"/>
      <c r="GW740" s="512"/>
      <c r="GX740" s="512"/>
      <c r="GY740" s="512"/>
      <c r="GZ740" s="512"/>
      <c r="HA740" s="512"/>
      <c r="HB740" s="512"/>
      <c r="HC740" s="512"/>
      <c r="HD740" s="512"/>
      <c r="HE740" s="512"/>
      <c r="HF740" s="512"/>
      <c r="HG740" s="512"/>
      <c r="HH740" s="512"/>
      <c r="HI740" s="512"/>
      <c r="HJ740" s="512"/>
      <c r="HK740" s="512"/>
      <c r="HL740" s="512"/>
      <c r="HM740" s="512"/>
      <c r="HN740" s="512"/>
      <c r="HO740" s="512"/>
      <c r="HP740" s="512"/>
      <c r="HQ740" s="512"/>
      <c r="HR740" s="512"/>
      <c r="HS740" s="512"/>
      <c r="HT740" s="512"/>
      <c r="HU740" s="512"/>
      <c r="HV740" s="512"/>
      <c r="HW740" s="512"/>
      <c r="HX740" s="512"/>
      <c r="HY740" s="512"/>
      <c r="IA740" s="512"/>
      <c r="IB740" s="512"/>
      <c r="IC740" s="512"/>
      <c r="ID740" s="512"/>
      <c r="IG740" s="512"/>
      <c r="IJ740" s="520"/>
      <c r="IM740" s="520"/>
      <c r="IP740" s="519"/>
      <c r="IS740" s="519"/>
      <c r="IT740" s="327"/>
      <c r="IU740" s="327"/>
      <c r="IV740" s="519"/>
      <c r="IW740" s="327"/>
      <c r="IX740" s="327"/>
      <c r="IY740" s="519"/>
      <c r="IZ740" s="327"/>
      <c r="JA740" s="327"/>
      <c r="JB740" s="519"/>
      <c r="JC740" s="327"/>
      <c r="JD740" s="327"/>
      <c r="JE740" s="519"/>
      <c r="JF740" s="327"/>
      <c r="JG740" s="327"/>
      <c r="JH740" s="519"/>
      <c r="JI740" s="327"/>
      <c r="JJ740" s="327"/>
      <c r="JK740" s="519"/>
    </row>
    <row r="741" spans="1:314" hidden="1">
      <c r="A741" s="279"/>
      <c r="D741" s="517" t="str">
        <f>+FISC!D978</f>
        <v xml:space="preserve">              project loans (gross)</v>
      </c>
      <c r="E741" s="512"/>
      <c r="F741" s="512"/>
      <c r="G741" s="512"/>
      <c r="H741" s="512"/>
      <c r="I741" s="512"/>
      <c r="J741" s="512"/>
      <c r="K741" s="512"/>
      <c r="L741" s="512"/>
      <c r="M741" s="512"/>
      <c r="N741" s="512"/>
      <c r="O741" s="512"/>
      <c r="P741" s="512"/>
      <c r="Q741" s="512"/>
      <c r="R741" s="512"/>
      <c r="S741" s="512"/>
      <c r="T741" s="512"/>
      <c r="U741" s="512"/>
      <c r="V741" s="512"/>
      <c r="W741" s="512"/>
      <c r="X741" s="512"/>
      <c r="Y741" s="512"/>
      <c r="Z741" s="512"/>
      <c r="AA741" s="512"/>
      <c r="AB741" s="512"/>
      <c r="AC741" s="512"/>
      <c r="AD741" s="512"/>
      <c r="AE741" s="512"/>
      <c r="AF741" s="512"/>
      <c r="AG741" s="512"/>
      <c r="AH741" s="512"/>
      <c r="AI741" s="512"/>
      <c r="AJ741" s="512"/>
      <c r="AK741" s="512"/>
      <c r="AL741" s="512"/>
      <c r="AM741" s="512"/>
      <c r="AN741" s="512"/>
      <c r="AO741" s="512"/>
      <c r="AP741" s="512"/>
      <c r="AQ741" s="512"/>
      <c r="AR741" s="512"/>
      <c r="AS741" s="512"/>
      <c r="AT741" s="512"/>
      <c r="AU741" s="512"/>
      <c r="AV741" s="512"/>
      <c r="AW741" s="512"/>
      <c r="AX741" s="512"/>
      <c r="AY741" s="512"/>
      <c r="AZ741" s="512"/>
      <c r="BA741" s="512"/>
      <c r="BB741" s="512"/>
      <c r="BC741" s="512"/>
      <c r="BD741" s="512"/>
      <c r="BE741" s="512"/>
      <c r="BF741" s="512"/>
      <c r="BG741" s="512"/>
      <c r="BH741" s="512"/>
      <c r="BI741" s="512"/>
      <c r="BJ741" s="512"/>
      <c r="BK741" s="512"/>
      <c r="BL741" s="512"/>
      <c r="BM741" s="512"/>
      <c r="BN741" s="512"/>
      <c r="BO741" s="512"/>
      <c r="BP741" s="512"/>
      <c r="BQ741" s="512"/>
      <c r="BR741" s="512"/>
      <c r="BS741" s="512"/>
      <c r="BT741" s="512"/>
      <c r="BU741" s="512"/>
      <c r="BV741" s="512"/>
      <c r="BW741" s="512"/>
      <c r="BX741" s="512"/>
      <c r="BY741" s="512"/>
      <c r="BZ741" s="512"/>
      <c r="CA741" s="512"/>
      <c r="CB741" s="512"/>
      <c r="CC741" s="512"/>
      <c r="CD741" s="514"/>
      <c r="CE741" s="512"/>
      <c r="CF741" s="512"/>
      <c r="CG741" s="512"/>
      <c r="CH741" s="512"/>
      <c r="CI741" s="512"/>
      <c r="CJ741" s="512"/>
      <c r="CK741" s="512"/>
      <c r="CL741" s="512"/>
      <c r="CM741" s="512"/>
      <c r="CN741" s="512"/>
      <c r="CO741" s="512"/>
      <c r="CP741" s="515"/>
      <c r="CQ741" s="512"/>
      <c r="CR741" s="512"/>
      <c r="CS741" s="512"/>
      <c r="CT741" s="512"/>
      <c r="CU741" s="512"/>
      <c r="CV741" s="512"/>
      <c r="CW741" s="512"/>
      <c r="CX741" s="512"/>
      <c r="CY741" s="512"/>
      <c r="CZ741" s="512"/>
      <c r="DA741" s="512"/>
      <c r="DB741" s="1306"/>
      <c r="DC741" s="512"/>
      <c r="DD741" s="512"/>
      <c r="DE741" s="512"/>
      <c r="DF741" s="512"/>
      <c r="DG741" s="512"/>
      <c r="DH741" s="512"/>
      <c r="DI741" s="512"/>
      <c r="DJ741" s="512"/>
      <c r="DK741" s="512"/>
      <c r="DL741" s="512"/>
      <c r="DM741" s="512"/>
      <c r="DN741" s="515"/>
      <c r="DO741" s="512"/>
      <c r="DP741" s="512"/>
      <c r="DQ741" s="512"/>
      <c r="DR741" s="512"/>
      <c r="DS741" s="512"/>
      <c r="DT741" s="512"/>
      <c r="DU741" s="512"/>
      <c r="DV741" s="512"/>
      <c r="DW741" s="512"/>
      <c r="DX741" s="512"/>
      <c r="DY741" s="512"/>
      <c r="DZ741" s="515"/>
      <c r="EA741" s="512"/>
      <c r="EB741" s="512"/>
      <c r="EC741" s="512"/>
      <c r="ED741" s="512"/>
      <c r="EE741" s="512"/>
      <c r="EF741" s="512"/>
      <c r="EG741" s="512"/>
      <c r="EH741" s="512"/>
      <c r="EI741" s="512"/>
      <c r="EJ741" s="512"/>
      <c r="EK741" s="512"/>
      <c r="EL741" s="515"/>
      <c r="EM741" s="512"/>
      <c r="EN741" s="512"/>
      <c r="EO741" s="512"/>
      <c r="EP741" s="512"/>
      <c r="EQ741" s="512"/>
      <c r="ER741" s="512"/>
      <c r="ES741" s="512"/>
      <c r="ET741" s="512"/>
      <c r="EU741" s="512"/>
      <c r="EV741" s="512"/>
      <c r="EW741" s="512"/>
      <c r="EX741" s="515"/>
      <c r="EY741" s="512"/>
      <c r="EZ741" s="512"/>
      <c r="FA741" s="512"/>
      <c r="FB741" s="512"/>
      <c r="FC741" s="512"/>
      <c r="FD741" s="512"/>
      <c r="FE741" s="512"/>
      <c r="FF741" s="512"/>
      <c r="FG741" s="512"/>
      <c r="FH741" s="512"/>
      <c r="FI741" s="512"/>
      <c r="FJ741" s="515"/>
      <c r="FK741" s="512"/>
      <c r="FL741" s="512"/>
      <c r="FM741" s="512"/>
      <c r="FN741" s="512"/>
      <c r="FO741" s="512"/>
      <c r="FP741" s="512"/>
      <c r="FQ741" s="512"/>
      <c r="FR741" s="512"/>
      <c r="FS741" s="512"/>
      <c r="FT741" s="512"/>
      <c r="FU741" s="512"/>
      <c r="FV741" s="512"/>
      <c r="FW741" s="512"/>
      <c r="FX741" s="512"/>
      <c r="FY741" s="512"/>
      <c r="FZ741" s="512"/>
      <c r="GA741" s="512"/>
      <c r="GB741" s="512"/>
      <c r="GC741" s="512"/>
      <c r="GD741" s="512"/>
      <c r="GE741" s="512"/>
      <c r="GF741" s="512"/>
      <c r="GG741" s="512"/>
      <c r="GH741" s="512"/>
      <c r="GI741" s="512"/>
      <c r="GJ741" s="512"/>
      <c r="GK741" s="512"/>
      <c r="GL741" s="512"/>
      <c r="GM741" s="512"/>
      <c r="GN741" s="512"/>
      <c r="GO741" s="512"/>
      <c r="GP741" s="512"/>
      <c r="GQ741" s="512"/>
      <c r="GR741" s="512"/>
      <c r="GS741" s="512"/>
      <c r="GT741" s="512"/>
      <c r="GU741" s="512"/>
      <c r="GV741" s="512"/>
      <c r="GW741" s="512"/>
      <c r="GX741" s="512"/>
      <c r="GY741" s="512"/>
      <c r="GZ741" s="512"/>
      <c r="HA741" s="512"/>
      <c r="HB741" s="512"/>
      <c r="HC741" s="512"/>
      <c r="HD741" s="512"/>
      <c r="HE741" s="512"/>
      <c r="HF741" s="512"/>
      <c r="HG741" s="512"/>
      <c r="HH741" s="512"/>
      <c r="HI741" s="512"/>
      <c r="HJ741" s="512"/>
      <c r="HK741" s="512"/>
      <c r="HL741" s="512"/>
      <c r="HM741" s="512"/>
      <c r="HN741" s="512"/>
      <c r="HO741" s="512"/>
      <c r="HP741" s="512"/>
      <c r="HQ741" s="512"/>
      <c r="HR741" s="512"/>
      <c r="HS741" s="512"/>
      <c r="HT741" s="512"/>
      <c r="HU741" s="512"/>
      <c r="HV741" s="512"/>
      <c r="HW741" s="512"/>
      <c r="HX741" s="512"/>
      <c r="HY741" s="512"/>
      <c r="IA741" s="512"/>
      <c r="IB741" s="512"/>
      <c r="IC741" s="512"/>
      <c r="ID741" s="512"/>
      <c r="IG741" s="512"/>
      <c r="IJ741" s="520"/>
      <c r="IM741" s="520"/>
      <c r="IP741" s="519"/>
      <c r="IS741" s="519"/>
      <c r="IT741" s="327"/>
      <c r="IU741" s="327"/>
      <c r="IV741" s="519"/>
      <c r="IW741" s="327"/>
      <c r="IX741" s="327"/>
      <c r="IY741" s="519"/>
      <c r="IZ741" s="327"/>
      <c r="JA741" s="327"/>
      <c r="JB741" s="519"/>
      <c r="JC741" s="327"/>
      <c r="JD741" s="327"/>
      <c r="JE741" s="519"/>
      <c r="JF741" s="327"/>
      <c r="JG741" s="327"/>
      <c r="JH741" s="519"/>
      <c r="JI741" s="327"/>
      <c r="JJ741" s="327"/>
      <c r="JK741" s="519"/>
    </row>
    <row r="742" spans="1:314" hidden="1">
      <c r="A742" s="279"/>
      <c r="B742" s="96" t="s">
        <v>338</v>
      </c>
      <c r="D742" s="517" t="str">
        <f>D$681</f>
        <v>Net domestic financing</v>
      </c>
      <c r="E742" s="512">
        <f>E$681</f>
        <v>3.3985952380779314</v>
      </c>
      <c r="F742" s="512">
        <f t="shared" ref="F742:L742" si="837">F$681</f>
        <v>9.2998979970267985</v>
      </c>
      <c r="G742" s="512">
        <f t="shared" si="837"/>
        <v>11.516824383664195</v>
      </c>
      <c r="H742" s="512">
        <f t="shared" si="837"/>
        <v>6.2476395107067049</v>
      </c>
      <c r="I742" s="512">
        <f t="shared" si="837"/>
        <v>-18.013913429779802</v>
      </c>
      <c r="J742" s="512">
        <f t="shared" si="837"/>
        <v>-54.064165934400215</v>
      </c>
      <c r="K742" s="512">
        <f t="shared" si="837"/>
        <v>14.645809234535708</v>
      </c>
      <c r="L742" s="512">
        <f t="shared" si="837"/>
        <v>4.9653835292860027</v>
      </c>
      <c r="M742" s="512">
        <f t="shared" ref="M742:AW742" si="838">M$681</f>
        <v>14.408701830078401</v>
      </c>
      <c r="N742" s="512">
        <f t="shared" si="838"/>
        <v>11.643373313300007</v>
      </c>
      <c r="O742" s="512">
        <f t="shared" si="838"/>
        <v>6.3408579906599947</v>
      </c>
      <c r="P742" s="512">
        <f t="shared" si="838"/>
        <v>-15.8843328948</v>
      </c>
      <c r="Q742" s="512">
        <f t="shared" si="838"/>
        <v>-3.9728840997547943</v>
      </c>
      <c r="R742" s="512">
        <f t="shared" si="838"/>
        <v>14.097380114232703</v>
      </c>
      <c r="S742" s="512">
        <f t="shared" si="838"/>
        <v>-39.433969753152986</v>
      </c>
      <c r="T742" s="512">
        <f t="shared" si="838"/>
        <v>25.16263547606</v>
      </c>
      <c r="U742" s="512">
        <f t="shared" si="838"/>
        <v>-16.927548442660505</v>
      </c>
      <c r="V742" s="512">
        <f t="shared" si="838"/>
        <v>-41.149097456732001</v>
      </c>
      <c r="W742" s="512">
        <f t="shared" si="838"/>
        <v>18.302697017590599</v>
      </c>
      <c r="X742" s="512">
        <f t="shared" si="838"/>
        <v>6.6565175943120041</v>
      </c>
      <c r="Y742" s="512">
        <f t="shared" si="838"/>
        <v>3.6098355915280074</v>
      </c>
      <c r="Z742" s="512">
        <f t="shared" si="838"/>
        <v>16.359524329738289</v>
      </c>
      <c r="AA742" s="512">
        <f t="shared" si="838"/>
        <v>25.620377379039802</v>
      </c>
      <c r="AB742" s="512">
        <f t="shared" si="838"/>
        <v>-67.69437469118499</v>
      </c>
      <c r="AC742" s="512">
        <f t="shared" si="838"/>
        <v>21.352505762</v>
      </c>
      <c r="AD742" s="512">
        <f t="shared" si="838"/>
        <v>-0.13600534200000231</v>
      </c>
      <c r="AE742" s="512">
        <f t="shared" si="838"/>
        <v>23.416125643000001</v>
      </c>
      <c r="AF742" s="512">
        <f t="shared" si="838"/>
        <v>-16.210330169999999</v>
      </c>
      <c r="AG742" s="512">
        <f t="shared" si="838"/>
        <v>11.471898870999997</v>
      </c>
      <c r="AH742" s="512">
        <f t="shared" si="838"/>
        <v>-45.741334597999973</v>
      </c>
      <c r="AI742" s="512">
        <f t="shared" si="838"/>
        <v>-9.0578524149999957</v>
      </c>
      <c r="AJ742" s="512">
        <f t="shared" si="838"/>
        <v>25.527026363999994</v>
      </c>
      <c r="AK742" s="512">
        <f t="shared" si="838"/>
        <v>-15.541188822999985</v>
      </c>
      <c r="AL742" s="512">
        <f t="shared" si="838"/>
        <v>-18.152366992999998</v>
      </c>
      <c r="AM742" s="512">
        <f t="shared" si="838"/>
        <v>25.816195620000009</v>
      </c>
      <c r="AN742" s="512">
        <f t="shared" si="838"/>
        <v>-1.9170796019999852</v>
      </c>
      <c r="AO742" s="512">
        <f t="shared" si="838"/>
        <v>-6.2510251935772461</v>
      </c>
      <c r="AP742" s="512">
        <f t="shared" si="838"/>
        <v>9.8349284088943101</v>
      </c>
      <c r="AQ742" s="512">
        <f t="shared" si="838"/>
        <v>4.2405595238819611</v>
      </c>
      <c r="AR742" s="512">
        <f t="shared" si="838"/>
        <v>16.327427416045406</v>
      </c>
      <c r="AS742" s="512">
        <f t="shared" si="838"/>
        <v>7.7633054718150838</v>
      </c>
      <c r="AT742" s="512">
        <f t="shared" si="838"/>
        <v>-43.057766096123146</v>
      </c>
      <c r="AU742" s="512">
        <f t="shared" si="838"/>
        <v>9.4577143252400013</v>
      </c>
      <c r="AV742" s="512">
        <f t="shared" si="838"/>
        <v>35.452255937880011</v>
      </c>
      <c r="AW742" s="512">
        <f t="shared" si="838"/>
        <v>-40.489017357449995</v>
      </c>
      <c r="AX742" s="512">
        <f t="shared" ref="AX742:BP742" si="839">AX$681</f>
        <v>31.429712341639988</v>
      </c>
      <c r="AY742" s="512">
        <f t="shared" si="839"/>
        <v>7.0068409957141897</v>
      </c>
      <c r="AZ742" s="512">
        <f t="shared" si="839"/>
        <v>-43.615841924962993</v>
      </c>
      <c r="BA742" s="512">
        <f t="shared" si="839"/>
        <v>-2.3517793430000085</v>
      </c>
      <c r="BB742" s="512">
        <f t="shared" si="839"/>
        <v>7.9077166799999983</v>
      </c>
      <c r="BC742" s="512">
        <f t="shared" si="839"/>
        <v>37.060328516000013</v>
      </c>
      <c r="BD742" s="512">
        <f t="shared" si="839"/>
        <v>-35.899823181759984</v>
      </c>
      <c r="BE742" s="512">
        <f t="shared" si="839"/>
        <v>29.951662761769992</v>
      </c>
      <c r="BF742" s="512">
        <f t="shared" si="839"/>
        <v>28.10170457100001</v>
      </c>
      <c r="BG742" s="512">
        <f t="shared" si="839"/>
        <v>-23.641803266800011</v>
      </c>
      <c r="BH742" s="512">
        <f t="shared" si="839"/>
        <v>-36.812236439890015</v>
      </c>
      <c r="BI742" s="512">
        <f t="shared" si="839"/>
        <v>-21.734622351500022</v>
      </c>
      <c r="BJ742" s="512">
        <f t="shared" si="839"/>
        <v>-60.706458082340006</v>
      </c>
      <c r="BK742" s="512">
        <f t="shared" si="839"/>
        <v>34.559707768000024</v>
      </c>
      <c r="BL742" s="512">
        <f t="shared" si="839"/>
        <v>-65.313882094000007</v>
      </c>
      <c r="BM742" s="512">
        <f t="shared" si="839"/>
        <v>17.769783936890015</v>
      </c>
      <c r="BN742" s="512">
        <f t="shared" si="839"/>
        <v>16.564837180729999</v>
      </c>
      <c r="BO742" s="512">
        <f t="shared" si="839"/>
        <v>39.005870830999996</v>
      </c>
      <c r="BP742" s="512">
        <f t="shared" si="839"/>
        <v>30.784395081910031</v>
      </c>
      <c r="BQ742" s="512">
        <f t="shared" ref="BQ742:DT742" si="840">BQ$681</f>
        <v>39.633908634850002</v>
      </c>
      <c r="BR742" s="512">
        <f t="shared" si="840"/>
        <v>1.5135633109542486</v>
      </c>
      <c r="BS742" s="512">
        <f t="shared" si="840"/>
        <v>-51.742099451901652</v>
      </c>
      <c r="BT742" s="512">
        <f t="shared" si="840"/>
        <v>6.4092905400688815</v>
      </c>
      <c r="BU742" s="512">
        <f t="shared" si="840"/>
        <v>37.151897323727887</v>
      </c>
      <c r="BV742" s="512">
        <f t="shared" si="840"/>
        <v>4.3162266734518848</v>
      </c>
      <c r="BW742" s="512">
        <f t="shared" si="840"/>
        <v>-23.600289945276739</v>
      </c>
      <c r="BX742" s="512">
        <f t="shared" si="840"/>
        <v>-65.478835017693868</v>
      </c>
      <c r="BY742" s="512">
        <f t="shared" si="840"/>
        <v>26.293153700906526</v>
      </c>
      <c r="BZ742" s="512">
        <f t="shared" si="840"/>
        <v>19.490525906617094</v>
      </c>
      <c r="CA742" s="512">
        <f t="shared" si="840"/>
        <v>-55.549898785757598</v>
      </c>
      <c r="CB742" s="512">
        <f t="shared" si="840"/>
        <v>32.326340549438086</v>
      </c>
      <c r="CC742" s="512">
        <f t="shared" si="840"/>
        <v>91.511362392529762</v>
      </c>
      <c r="CD742" s="514">
        <f t="shared" si="840"/>
        <v>-90.219466210144134</v>
      </c>
      <c r="CE742" s="512">
        <f t="shared" si="840"/>
        <v>-48.676024530513665</v>
      </c>
      <c r="CF742" s="512">
        <f t="shared" si="840"/>
        <v>14.87229584848064</v>
      </c>
      <c r="CG742" s="512">
        <f t="shared" si="840"/>
        <v>-41.423280011744637</v>
      </c>
      <c r="CH742" s="512">
        <f t="shared" si="840"/>
        <v>33.708219457028662</v>
      </c>
      <c r="CI742" s="512">
        <f t="shared" si="840"/>
        <v>18.845999615645546</v>
      </c>
      <c r="CJ742" s="512">
        <f t="shared" si="840"/>
        <v>-22.472552960669596</v>
      </c>
      <c r="CK742" s="512">
        <f t="shared" si="840"/>
        <v>25.251482231060667</v>
      </c>
      <c r="CL742" s="512">
        <f t="shared" si="840"/>
        <v>16.141239820024456</v>
      </c>
      <c r="CM742" s="512">
        <f t="shared" si="840"/>
        <v>11.611658253140829</v>
      </c>
      <c r="CN742" s="512">
        <f t="shared" si="840"/>
        <v>51.31931910255399</v>
      </c>
      <c r="CO742" s="512">
        <f t="shared" si="840"/>
        <v>6.917467883271101</v>
      </c>
      <c r="CP742" s="515">
        <f t="shared" si="840"/>
        <v>33.759031469776339</v>
      </c>
      <c r="CQ742" s="512">
        <f t="shared" si="840"/>
        <v>-17.485892695960125</v>
      </c>
      <c r="CR742" s="512">
        <f t="shared" si="840"/>
        <v>24.7261407533301</v>
      </c>
      <c r="CS742" s="512">
        <f t="shared" si="840"/>
        <v>14.21732846037073</v>
      </c>
      <c r="CT742" s="512">
        <f t="shared" si="840"/>
        <v>36.431492193059348</v>
      </c>
      <c r="CU742" s="512">
        <f t="shared" si="840"/>
        <v>-1.9576840578430463</v>
      </c>
      <c r="CV742" s="512">
        <f t="shared" si="840"/>
        <v>-133.06557057738729</v>
      </c>
      <c r="CW742" s="512">
        <f t="shared" si="840"/>
        <v>31.657933611812357</v>
      </c>
      <c r="CX742" s="512">
        <f t="shared" si="840"/>
        <v>5.1515133137797431</v>
      </c>
      <c r="CY742" s="512">
        <f t="shared" si="840"/>
        <v>16.3368517955291</v>
      </c>
      <c r="CZ742" s="512">
        <f t="shared" si="840"/>
        <v>10.514152652595811</v>
      </c>
      <c r="DA742" s="512">
        <f t="shared" si="840"/>
        <v>14.43588853297936</v>
      </c>
      <c r="DB742" s="1306">
        <f t="shared" si="840"/>
        <v>52.972468898912432</v>
      </c>
      <c r="DC742" s="512">
        <f t="shared" si="840"/>
        <v>-20.715717449473338</v>
      </c>
      <c r="DD742" s="512">
        <f t="shared" si="840"/>
        <v>29.922845242750022</v>
      </c>
      <c r="DE742" s="512">
        <f t="shared" si="840"/>
        <v>-46.522714600207273</v>
      </c>
      <c r="DF742" s="512">
        <f t="shared" si="840"/>
        <v>59.212387664820554</v>
      </c>
      <c r="DG742" s="512">
        <f t="shared" si="840"/>
        <v>-37.307335990436165</v>
      </c>
      <c r="DH742" s="512">
        <f t="shared" si="840"/>
        <v>-54.938703473867776</v>
      </c>
      <c r="DI742" s="512">
        <f t="shared" si="840"/>
        <v>64.52065248375483</v>
      </c>
      <c r="DJ742" s="512">
        <f t="shared" si="840"/>
        <v>19.489904818522927</v>
      </c>
      <c r="DK742" s="512">
        <f t="shared" si="840"/>
        <v>-10.363371085597787</v>
      </c>
      <c r="DL742" s="512">
        <f t="shared" si="840"/>
        <v>-5.2494946220856846</v>
      </c>
      <c r="DM742" s="512">
        <f t="shared" si="840"/>
        <v>23.707140877848136</v>
      </c>
      <c r="DN742" s="515">
        <f t="shared" si="840"/>
        <v>32.629894451228409</v>
      </c>
      <c r="DO742" s="512">
        <f t="shared" si="840"/>
        <v>-23.808272852110466</v>
      </c>
      <c r="DP742" s="512">
        <f t="shared" si="840"/>
        <v>20.907133616416381</v>
      </c>
      <c r="DQ742" s="512">
        <f t="shared" si="840"/>
        <v>-47.020961539387798</v>
      </c>
      <c r="DR742" s="512">
        <f t="shared" si="840"/>
        <v>4.0940808819227259</v>
      </c>
      <c r="DS742" s="512">
        <f t="shared" si="840"/>
        <v>27.000719059530809</v>
      </c>
      <c r="DT742" s="512">
        <f t="shared" si="840"/>
        <v>-56.538026913373365</v>
      </c>
      <c r="DU742" s="512"/>
      <c r="DV742" s="512"/>
      <c r="DW742" s="512"/>
      <c r="DX742" s="512"/>
      <c r="DY742" s="512"/>
      <c r="DZ742" s="515"/>
      <c r="EA742" s="512"/>
      <c r="EB742" s="512"/>
      <c r="EC742" s="512"/>
      <c r="ED742" s="512"/>
      <c r="EE742" s="512"/>
      <c r="EF742" s="512"/>
      <c r="EG742" s="512"/>
      <c r="EH742" s="512"/>
      <c r="EI742" s="512"/>
      <c r="EJ742" s="512"/>
      <c r="EK742" s="512"/>
      <c r="EL742" s="515"/>
      <c r="EM742" s="512"/>
      <c r="EN742" s="512"/>
      <c r="EO742" s="512"/>
      <c r="EP742" s="512"/>
      <c r="EQ742" s="512"/>
      <c r="ER742" s="512"/>
      <c r="ES742" s="512"/>
      <c r="ET742" s="512"/>
      <c r="EU742" s="512"/>
      <c r="EV742" s="512"/>
      <c r="EW742" s="512"/>
      <c r="EX742" s="515"/>
      <c r="EY742" s="512"/>
      <c r="EZ742" s="512"/>
      <c r="FA742" s="512"/>
      <c r="FB742" s="512"/>
      <c r="FC742" s="512"/>
      <c r="FD742" s="512"/>
      <c r="FE742" s="512"/>
      <c r="FF742" s="512"/>
      <c r="FG742" s="512"/>
      <c r="FH742" s="512"/>
      <c r="FI742" s="512"/>
      <c r="FJ742" s="515"/>
      <c r="FK742" s="512"/>
      <c r="FL742" s="512"/>
      <c r="FM742" s="512"/>
      <c r="FN742" s="512"/>
      <c r="FO742" s="512"/>
      <c r="FP742" s="512"/>
      <c r="FQ742" s="512"/>
      <c r="FR742" s="512"/>
      <c r="FS742" s="512"/>
      <c r="FT742" s="512"/>
      <c r="FU742" s="512"/>
      <c r="FV742" s="512"/>
      <c r="FW742" s="512"/>
      <c r="FX742" s="512"/>
      <c r="FY742" s="512"/>
      <c r="FZ742" s="512"/>
      <c r="GA742" s="512"/>
      <c r="GB742" s="512"/>
      <c r="GC742" s="512"/>
      <c r="GD742" s="512"/>
      <c r="GE742" s="512"/>
      <c r="GF742" s="512"/>
      <c r="GG742" s="512"/>
      <c r="GH742" s="512"/>
      <c r="GI742" s="512"/>
      <c r="GJ742" s="512"/>
      <c r="GK742" s="512"/>
      <c r="GL742" s="512"/>
      <c r="GM742" s="512"/>
      <c r="GN742" s="512"/>
      <c r="GO742" s="512"/>
      <c r="GP742" s="512"/>
      <c r="GQ742" s="512"/>
      <c r="GR742" s="512"/>
      <c r="GS742" s="512"/>
      <c r="GT742" s="512"/>
      <c r="GU742" s="512"/>
      <c r="GV742" s="512"/>
      <c r="GW742" s="512"/>
      <c r="GX742" s="512"/>
      <c r="GY742" s="512"/>
      <c r="GZ742" s="512"/>
      <c r="HA742" s="512"/>
      <c r="HB742" s="512"/>
      <c r="HC742" s="512"/>
      <c r="HD742" s="512"/>
      <c r="HE742" s="512"/>
      <c r="HF742" s="512"/>
      <c r="HG742" s="512"/>
      <c r="HH742" s="512"/>
      <c r="HI742" s="512"/>
      <c r="HJ742" s="512"/>
      <c r="HK742" s="512"/>
      <c r="HL742" s="512"/>
      <c r="HM742" s="512"/>
      <c r="HN742" s="512"/>
      <c r="HO742" s="512"/>
      <c r="HP742" s="512"/>
      <c r="HQ742" s="512"/>
      <c r="HR742" s="512"/>
      <c r="HS742" s="512"/>
      <c r="HT742" s="512"/>
      <c r="HU742" s="512"/>
      <c r="HV742" s="512"/>
      <c r="HW742" s="512"/>
      <c r="HX742" s="512"/>
      <c r="HY742" s="512"/>
      <c r="IA742" s="512"/>
      <c r="IB742" s="512"/>
      <c r="IC742" s="512"/>
      <c r="ID742" s="512">
        <f t="shared" ref="ID742:II742" si="841">ID$681</f>
        <v>9.2999999999999972</v>
      </c>
      <c r="IE742" s="279">
        <f t="shared" si="841"/>
        <v>-100.13418592443038</v>
      </c>
      <c r="IF742" s="279">
        <f t="shared" si="841"/>
        <v>131.06880880560877</v>
      </c>
      <c r="IG742" s="512">
        <f t="shared" si="841"/>
        <v>30.93462288117837</v>
      </c>
      <c r="IH742" s="279">
        <f t="shared" si="841"/>
        <v>-77.56881422613624</v>
      </c>
      <c r="II742" s="279">
        <f t="shared" si="841"/>
        <v>127.37091644493165</v>
      </c>
      <c r="IJ742" s="520">
        <f>IJ$681</f>
        <v>49.802102218795412</v>
      </c>
      <c r="IK742" s="279">
        <f>IK$681</f>
        <v>-75.365327747001714</v>
      </c>
      <c r="IM742" s="520">
        <f>IM$681</f>
        <v>55.81779587337698</v>
      </c>
      <c r="IP742" s="519">
        <f>IP$681</f>
        <v>42.957634732946076</v>
      </c>
      <c r="IS742" s="519">
        <f>IS$681</f>
        <v>74.143283378921609</v>
      </c>
      <c r="IT742" s="327"/>
      <c r="IU742" s="327"/>
      <c r="IV742" s="519">
        <f>IV$681</f>
        <v>88.652325063023426</v>
      </c>
      <c r="IW742" s="327"/>
      <c r="IX742" s="327"/>
      <c r="IY742" s="519">
        <f>IY$681</f>
        <v>265.5799971589999</v>
      </c>
      <c r="IZ742" s="327"/>
      <c r="JA742" s="327" t="e">
        <f>JA$681</f>
        <v>#REF!</v>
      </c>
      <c r="JB742" s="519" t="e">
        <f>#REF!</f>
        <v>#REF!</v>
      </c>
      <c r="JC742" s="327">
        <f>JE$681</f>
        <v>160.5414257031031</v>
      </c>
      <c r="JD742" s="327">
        <f>JD$681</f>
        <v>4801.5433639839375</v>
      </c>
      <c r="JE742" s="519"/>
      <c r="JF742" s="327"/>
      <c r="JG742" s="327"/>
      <c r="JH742" s="519"/>
      <c r="JI742" s="327"/>
      <c r="JJ742" s="327"/>
      <c r="JK742" s="519"/>
      <c r="KY742" s="279">
        <f>KY$681</f>
        <v>0</v>
      </c>
      <c r="KZ742" s="279">
        <f>KZ$681</f>
        <v>0</v>
      </c>
      <c r="LA742" s="279">
        <f>LA$681</f>
        <v>0</v>
      </c>
      <c r="LB742" s="279">
        <f>LB$681</f>
        <v>0</v>
      </c>
    </row>
    <row r="743" spans="1:314" hidden="1">
      <c r="A743" s="279"/>
      <c r="D743" s="517" t="str">
        <f>+FISC!D981</f>
        <v xml:space="preserve">    Net bank financing</v>
      </c>
      <c r="E743" s="512"/>
      <c r="F743" s="512"/>
      <c r="G743" s="512"/>
      <c r="H743" s="512"/>
      <c r="I743" s="512"/>
      <c r="J743" s="512"/>
      <c r="K743" s="512"/>
      <c r="L743" s="512"/>
      <c r="M743" s="512"/>
      <c r="N743" s="512"/>
      <c r="O743" s="512"/>
      <c r="P743" s="512"/>
      <c r="Q743" s="512"/>
      <c r="R743" s="512"/>
      <c r="S743" s="512"/>
      <c r="T743" s="512"/>
      <c r="U743" s="512"/>
      <c r="V743" s="512"/>
      <c r="W743" s="512"/>
      <c r="X743" s="512"/>
      <c r="Y743" s="512"/>
      <c r="Z743" s="512"/>
      <c r="AA743" s="512"/>
      <c r="AB743" s="512"/>
      <c r="AC743" s="512"/>
      <c r="AD743" s="512"/>
      <c r="AE743" s="512"/>
      <c r="AF743" s="512"/>
      <c r="AG743" s="512"/>
      <c r="AH743" s="512"/>
      <c r="AI743" s="512"/>
      <c r="AJ743" s="512"/>
      <c r="AK743" s="512"/>
      <c r="AL743" s="512"/>
      <c r="AM743" s="512"/>
      <c r="AN743" s="512"/>
      <c r="AO743" s="512"/>
      <c r="AP743" s="512"/>
      <c r="AQ743" s="512"/>
      <c r="AR743" s="512"/>
      <c r="AS743" s="512"/>
      <c r="AT743" s="512"/>
      <c r="AU743" s="512"/>
      <c r="AV743" s="512"/>
      <c r="AW743" s="512"/>
      <c r="AX743" s="512"/>
      <c r="AY743" s="512"/>
      <c r="AZ743" s="512"/>
      <c r="BA743" s="512"/>
      <c r="BB743" s="512"/>
      <c r="BC743" s="512"/>
      <c r="BD743" s="512"/>
      <c r="BE743" s="512"/>
      <c r="BF743" s="512"/>
      <c r="BG743" s="512"/>
      <c r="BH743" s="512"/>
      <c r="BI743" s="512"/>
      <c r="BJ743" s="512"/>
      <c r="BK743" s="512"/>
      <c r="BL743" s="512"/>
      <c r="BM743" s="512"/>
      <c r="BN743" s="512"/>
      <c r="BO743" s="512"/>
      <c r="BP743" s="512"/>
      <c r="BQ743" s="512"/>
      <c r="BR743" s="512"/>
      <c r="BS743" s="512"/>
      <c r="BT743" s="512"/>
      <c r="BU743" s="512"/>
      <c r="BV743" s="512"/>
      <c r="BW743" s="512"/>
      <c r="BX743" s="512"/>
      <c r="BY743" s="512"/>
      <c r="BZ743" s="512"/>
      <c r="CA743" s="512"/>
      <c r="CB743" s="512"/>
      <c r="CC743" s="512"/>
      <c r="CD743" s="512"/>
      <c r="CE743" s="512"/>
      <c r="CF743" s="512"/>
      <c r="CG743" s="512"/>
      <c r="CH743" s="512"/>
      <c r="CI743" s="512"/>
      <c r="CJ743" s="512"/>
      <c r="CK743" s="512"/>
      <c r="CL743" s="512"/>
      <c r="CM743" s="512"/>
      <c r="CN743" s="512"/>
      <c r="CO743" s="512"/>
      <c r="CP743" s="515"/>
      <c r="CQ743" s="512"/>
      <c r="CR743" s="512"/>
      <c r="CS743" s="512"/>
      <c r="CT743" s="512"/>
      <c r="CU743" s="512"/>
      <c r="CV743" s="512"/>
      <c r="CW743" s="512"/>
      <c r="CX743" s="512"/>
      <c r="CY743" s="512"/>
      <c r="CZ743" s="512"/>
      <c r="DA743" s="512"/>
      <c r="DB743" s="1306"/>
      <c r="DC743" s="512">
        <f>+DC682</f>
        <v>4.6263949941644853</v>
      </c>
      <c r="DD743" s="512">
        <f t="shared" ref="DD743:DN743" si="842">+DD682</f>
        <v>12.584109279922245</v>
      </c>
      <c r="DE743" s="512">
        <f t="shared" si="842"/>
        <v>-42.196770266561657</v>
      </c>
      <c r="DF743" s="512">
        <f t="shared" si="842"/>
        <v>42.003155239069372</v>
      </c>
      <c r="DG743" s="512">
        <f t="shared" si="842"/>
        <v>-17.290879858813753</v>
      </c>
      <c r="DH743" s="512">
        <f t="shared" si="842"/>
        <v>-84.656207080512388</v>
      </c>
      <c r="DI743" s="512">
        <f t="shared" si="842"/>
        <v>46.526596543474511</v>
      </c>
      <c r="DJ743" s="512">
        <f t="shared" si="842"/>
        <v>1.5561217267548955</v>
      </c>
      <c r="DK743" s="512">
        <f t="shared" si="842"/>
        <v>-14.168797465208684</v>
      </c>
      <c r="DL743" s="512">
        <f t="shared" si="842"/>
        <v>-32.181775911871341</v>
      </c>
      <c r="DM743" s="512">
        <f t="shared" si="842"/>
        <v>31.279756175951661</v>
      </c>
      <c r="DN743" s="515">
        <f t="shared" si="842"/>
        <v>54.003039442935631</v>
      </c>
      <c r="DO743" s="512">
        <f t="shared" ref="DO743:DT743" si="843">+DO682</f>
        <v>-26.401210487244555</v>
      </c>
      <c r="DP743" s="512">
        <f t="shared" si="843"/>
        <v>-0.10811435058363372</v>
      </c>
      <c r="DQ743" s="512">
        <f t="shared" si="843"/>
        <v>-52.841335186387795</v>
      </c>
      <c r="DR743" s="512">
        <f t="shared" si="843"/>
        <v>-1.893608006240413</v>
      </c>
      <c r="DS743" s="512">
        <f t="shared" si="843"/>
        <v>17.651785444530816</v>
      </c>
      <c r="DT743" s="512">
        <f t="shared" si="843"/>
        <v>-51.29353142037337</v>
      </c>
      <c r="DU743" s="512"/>
      <c r="DV743" s="512"/>
      <c r="DW743" s="512"/>
      <c r="DX743" s="512"/>
      <c r="DY743" s="512"/>
      <c r="DZ743" s="515"/>
      <c r="EA743" s="512"/>
      <c r="EB743" s="512"/>
      <c r="EC743" s="512"/>
      <c r="ED743" s="512"/>
      <c r="EE743" s="512"/>
      <c r="EF743" s="512"/>
      <c r="EG743" s="512"/>
      <c r="EH743" s="512"/>
      <c r="EI743" s="512"/>
      <c r="EJ743" s="512"/>
      <c r="EK743" s="512"/>
      <c r="EL743" s="515"/>
      <c r="EM743" s="512"/>
      <c r="EN743" s="512"/>
      <c r="EO743" s="512"/>
      <c r="EP743" s="512"/>
      <c r="EQ743" s="512"/>
      <c r="ER743" s="512"/>
      <c r="ES743" s="512"/>
      <c r="ET743" s="512"/>
      <c r="EU743" s="512"/>
      <c r="EV743" s="512"/>
      <c r="EW743" s="512"/>
      <c r="EX743" s="515"/>
      <c r="EY743" s="512"/>
      <c r="EZ743" s="512"/>
      <c r="FA743" s="512"/>
      <c r="FB743" s="512"/>
      <c r="FC743" s="512"/>
      <c r="FD743" s="512"/>
      <c r="FE743" s="512"/>
      <c r="FF743" s="512"/>
      <c r="FG743" s="512"/>
      <c r="FH743" s="512"/>
      <c r="FI743" s="512"/>
      <c r="FJ743" s="515"/>
      <c r="FK743" s="512"/>
      <c r="FL743" s="512"/>
      <c r="FM743" s="512"/>
      <c r="FN743" s="512"/>
      <c r="FO743" s="512"/>
      <c r="FP743" s="512"/>
      <c r="FQ743" s="512"/>
      <c r="FR743" s="512"/>
      <c r="FS743" s="512"/>
      <c r="FT743" s="512"/>
      <c r="FU743" s="512"/>
      <c r="FV743" s="512"/>
      <c r="FW743" s="512"/>
      <c r="FX743" s="512"/>
      <c r="FY743" s="512"/>
      <c r="FZ743" s="512"/>
      <c r="GA743" s="512"/>
      <c r="GB743" s="512"/>
      <c r="GC743" s="512"/>
      <c r="GD743" s="512"/>
      <c r="GE743" s="512"/>
      <c r="GF743" s="512"/>
      <c r="GG743" s="512"/>
      <c r="GH743" s="512"/>
      <c r="GI743" s="512"/>
      <c r="GJ743" s="512"/>
      <c r="GK743" s="512"/>
      <c r="GL743" s="512"/>
      <c r="GM743" s="512"/>
      <c r="GN743" s="512"/>
      <c r="GO743" s="512"/>
      <c r="GP743" s="512"/>
      <c r="GQ743" s="512"/>
      <c r="GR743" s="512"/>
      <c r="GS743" s="512"/>
      <c r="GT743" s="512"/>
      <c r="GU743" s="512"/>
      <c r="GV743" s="512"/>
      <c r="GW743" s="512"/>
      <c r="GX743" s="512"/>
      <c r="GY743" s="512"/>
      <c r="GZ743" s="512"/>
      <c r="HA743" s="512"/>
      <c r="HB743" s="512"/>
      <c r="HC743" s="512"/>
      <c r="HD743" s="512"/>
      <c r="HE743" s="512"/>
      <c r="HF743" s="512"/>
      <c r="HG743" s="512"/>
      <c r="HH743" s="512"/>
      <c r="HI743" s="512"/>
      <c r="HJ743" s="512"/>
      <c r="HK743" s="512"/>
      <c r="HL743" s="512"/>
      <c r="HM743" s="512"/>
      <c r="HN743" s="512"/>
      <c r="HO743" s="512"/>
      <c r="HP743" s="512"/>
      <c r="HQ743" s="512"/>
      <c r="HR743" s="512"/>
      <c r="HS743" s="512"/>
      <c r="HT743" s="512"/>
      <c r="HU743" s="512"/>
      <c r="HV743" s="512"/>
      <c r="HW743" s="512"/>
      <c r="HX743" s="512"/>
      <c r="HY743" s="512"/>
      <c r="IA743" s="512"/>
      <c r="IB743" s="512"/>
      <c r="IC743" s="512"/>
      <c r="ID743" s="512">
        <f t="shared" ref="ID743:IK743" si="844">+ID682</f>
        <v>0</v>
      </c>
      <c r="IE743" s="279">
        <f t="shared" si="844"/>
        <v>-8.1489338803312421</v>
      </c>
      <c r="IF743" s="279">
        <f t="shared" si="844"/>
        <v>146.46521094149634</v>
      </c>
      <c r="IG743" s="512">
        <f t="shared" si="844"/>
        <v>138.3162770611651</v>
      </c>
      <c r="IH743" s="279">
        <f t="shared" si="844"/>
        <v>-84.930197692731696</v>
      </c>
      <c r="II743" s="279">
        <f t="shared" si="844"/>
        <v>87.014940512036674</v>
      </c>
      <c r="IJ743" s="520">
        <f t="shared" si="844"/>
        <v>2.084742819304978</v>
      </c>
      <c r="IK743" s="279">
        <f t="shared" si="844"/>
        <v>-114.88601400629895</v>
      </c>
      <c r="IM743" s="520">
        <f>IM$681</f>
        <v>55.81779587337698</v>
      </c>
      <c r="IP743" s="520">
        <f>IP$681</f>
        <v>42.957634732946076</v>
      </c>
      <c r="IS743" s="520">
        <f>IS$681</f>
        <v>74.143283378921609</v>
      </c>
      <c r="IT743" s="327"/>
      <c r="IU743" s="327"/>
      <c r="IV743" s="520">
        <f>IV$681</f>
        <v>88.652325063023426</v>
      </c>
      <c r="IW743" s="327"/>
      <c r="IX743" s="327"/>
      <c r="IY743" s="520">
        <f>IY$681</f>
        <v>265.5799971589999</v>
      </c>
      <c r="IZ743" s="327"/>
      <c r="JA743" s="327"/>
      <c r="JB743" s="520"/>
      <c r="JC743" s="327"/>
      <c r="JD743" s="327"/>
      <c r="JE743" s="520"/>
      <c r="JF743" s="327"/>
      <c r="JG743" s="327"/>
      <c r="JH743" s="520"/>
      <c r="JI743" s="327"/>
      <c r="JJ743" s="327"/>
      <c r="JK743" s="520"/>
    </row>
    <row r="744" spans="1:314" hidden="1">
      <c r="A744" s="279"/>
      <c r="D744" s="517" t="str">
        <f>+FISC!D982</f>
        <v xml:space="preserve">        o/w: use of sovereign bond proceeds (KCC, Energy)</v>
      </c>
      <c r="E744" s="512"/>
      <c r="F744" s="512"/>
      <c r="G744" s="512"/>
      <c r="H744" s="512"/>
      <c r="I744" s="512"/>
      <c r="J744" s="512"/>
      <c r="K744" s="512"/>
      <c r="L744" s="512"/>
      <c r="M744" s="512"/>
      <c r="N744" s="512"/>
      <c r="O744" s="512"/>
      <c r="P744" s="512"/>
      <c r="Q744" s="512"/>
      <c r="R744" s="512"/>
      <c r="S744" s="512"/>
      <c r="T744" s="512"/>
      <c r="U744" s="512"/>
      <c r="V744" s="512"/>
      <c r="W744" s="512"/>
      <c r="X744" s="512"/>
      <c r="Y744" s="512"/>
      <c r="Z744" s="512"/>
      <c r="AA744" s="512"/>
      <c r="AB744" s="512"/>
      <c r="AC744" s="512"/>
      <c r="AD744" s="512"/>
      <c r="AE744" s="512"/>
      <c r="AF744" s="512"/>
      <c r="AG744" s="512"/>
      <c r="AH744" s="512"/>
      <c r="AI744" s="512"/>
      <c r="AJ744" s="512"/>
      <c r="AK744" s="512"/>
      <c r="AL744" s="512"/>
      <c r="AM744" s="512"/>
      <c r="AN744" s="512"/>
      <c r="AO744" s="512"/>
      <c r="AP744" s="512"/>
      <c r="AQ744" s="512"/>
      <c r="AR744" s="512"/>
      <c r="AS744" s="512"/>
      <c r="AT744" s="512"/>
      <c r="AU744" s="512"/>
      <c r="AV744" s="512"/>
      <c r="AW744" s="512"/>
      <c r="AX744" s="512"/>
      <c r="AY744" s="512"/>
      <c r="AZ744" s="512"/>
      <c r="BA744" s="512"/>
      <c r="BB744" s="512"/>
      <c r="BC744" s="512"/>
      <c r="BD744" s="512"/>
      <c r="BE744" s="512"/>
      <c r="BF744" s="512"/>
      <c r="BG744" s="512"/>
      <c r="BH744" s="512"/>
      <c r="BI744" s="512"/>
      <c r="BJ744" s="512"/>
      <c r="BK744" s="512"/>
      <c r="BL744" s="512"/>
      <c r="BM744" s="512"/>
      <c r="BN744" s="512"/>
      <c r="BO744" s="512"/>
      <c r="BP744" s="512"/>
      <c r="BQ744" s="512"/>
      <c r="BR744" s="512"/>
      <c r="BS744" s="512"/>
      <c r="BT744" s="512"/>
      <c r="BU744" s="512"/>
      <c r="BV744" s="512"/>
      <c r="BW744" s="512"/>
      <c r="BX744" s="512"/>
      <c r="BY744" s="512"/>
      <c r="BZ744" s="512"/>
      <c r="CA744" s="512"/>
      <c r="CB744" s="512"/>
      <c r="CC744" s="512"/>
      <c r="CD744" s="512"/>
      <c r="CE744" s="512"/>
      <c r="CF744" s="512"/>
      <c r="CG744" s="512"/>
      <c r="CH744" s="512"/>
      <c r="CI744" s="512"/>
      <c r="CJ744" s="512"/>
      <c r="CK744" s="512"/>
      <c r="CL744" s="512"/>
      <c r="CM744" s="512"/>
      <c r="CN744" s="512"/>
      <c r="CO744" s="512"/>
      <c r="CP744" s="515"/>
      <c r="CQ744" s="512"/>
      <c r="CR744" s="512"/>
      <c r="CS744" s="512"/>
      <c r="CT744" s="512"/>
      <c r="CU744" s="512"/>
      <c r="CV744" s="512"/>
      <c r="CW744" s="512"/>
      <c r="CX744" s="512"/>
      <c r="CY744" s="512"/>
      <c r="CZ744" s="512"/>
      <c r="DA744" s="512"/>
      <c r="DB744" s="1306"/>
      <c r="DC744" s="512"/>
      <c r="DD744" s="512"/>
      <c r="DE744" s="512"/>
      <c r="DF744" s="512"/>
      <c r="DG744" s="512"/>
      <c r="DH744" s="512"/>
      <c r="DI744" s="512"/>
      <c r="DJ744" s="512"/>
      <c r="DK744" s="512"/>
      <c r="DL744" s="512"/>
      <c r="DM744" s="512"/>
      <c r="DN744" s="515"/>
      <c r="DO744" s="512"/>
      <c r="DP744" s="512"/>
      <c r="DQ744" s="512"/>
      <c r="DR744" s="512"/>
      <c r="DS744" s="512"/>
      <c r="DT744" s="512"/>
      <c r="DU744" s="512"/>
      <c r="DV744" s="512"/>
      <c r="DW744" s="512"/>
      <c r="DX744" s="512"/>
      <c r="DY744" s="512"/>
      <c r="DZ744" s="515"/>
      <c r="EA744" s="512"/>
      <c r="EB744" s="512"/>
      <c r="EC744" s="512"/>
      <c r="ED744" s="512"/>
      <c r="EE744" s="512"/>
      <c r="EF744" s="512"/>
      <c r="EG744" s="512"/>
      <c r="EH744" s="512"/>
      <c r="EI744" s="512"/>
      <c r="EJ744" s="512"/>
      <c r="EK744" s="512"/>
      <c r="EL744" s="515"/>
      <c r="EM744" s="512"/>
      <c r="EN744" s="512"/>
      <c r="EO744" s="512"/>
      <c r="EP744" s="512"/>
      <c r="EQ744" s="512"/>
      <c r="ER744" s="512"/>
      <c r="ES744" s="512"/>
      <c r="ET744" s="512"/>
      <c r="EU744" s="512"/>
      <c r="EV744" s="512"/>
      <c r="EW744" s="512"/>
      <c r="EX744" s="515"/>
      <c r="EY744" s="512"/>
      <c r="EZ744" s="512"/>
      <c r="FA744" s="512"/>
      <c r="FB744" s="512"/>
      <c r="FC744" s="512"/>
      <c r="FD744" s="512"/>
      <c r="FE744" s="512"/>
      <c r="FF744" s="512"/>
      <c r="FG744" s="512"/>
      <c r="FH744" s="512"/>
      <c r="FI744" s="512"/>
      <c r="FJ744" s="515"/>
      <c r="FK744" s="512"/>
      <c r="FL744" s="512"/>
      <c r="FM744" s="512"/>
      <c r="FN744" s="512"/>
      <c r="FO744" s="512"/>
      <c r="FP744" s="512"/>
      <c r="FQ744" s="512"/>
      <c r="FR744" s="512"/>
      <c r="FS744" s="512"/>
      <c r="FT744" s="512"/>
      <c r="FU744" s="512"/>
      <c r="FV744" s="512"/>
      <c r="FW744" s="512"/>
      <c r="FX744" s="512"/>
      <c r="FY744" s="512"/>
      <c r="FZ744" s="512"/>
      <c r="GA744" s="512"/>
      <c r="GB744" s="512"/>
      <c r="GC744" s="512"/>
      <c r="GD744" s="512"/>
      <c r="GE744" s="512"/>
      <c r="GF744" s="512"/>
      <c r="GG744" s="512"/>
      <c r="GH744" s="512"/>
      <c r="GI744" s="512"/>
      <c r="GJ744" s="512"/>
      <c r="GK744" s="512"/>
      <c r="GL744" s="512"/>
      <c r="GM744" s="512"/>
      <c r="GN744" s="512"/>
      <c r="GO744" s="512"/>
      <c r="GP744" s="512"/>
      <c r="GQ744" s="512"/>
      <c r="GR744" s="512"/>
      <c r="GS744" s="512"/>
      <c r="GT744" s="512"/>
      <c r="GU744" s="512"/>
      <c r="GV744" s="512"/>
      <c r="GW744" s="512"/>
      <c r="GX744" s="512"/>
      <c r="GY744" s="512"/>
      <c r="GZ744" s="512"/>
      <c r="HA744" s="512"/>
      <c r="HB744" s="512"/>
      <c r="HC744" s="512"/>
      <c r="HD744" s="512"/>
      <c r="HE744" s="512"/>
      <c r="HF744" s="512"/>
      <c r="HG744" s="512"/>
      <c r="HH744" s="512"/>
      <c r="HI744" s="512"/>
      <c r="HJ744" s="512"/>
      <c r="HK744" s="512"/>
      <c r="HL744" s="512"/>
      <c r="HM744" s="512"/>
      <c r="HN744" s="512"/>
      <c r="HO744" s="512"/>
      <c r="HP744" s="512"/>
      <c r="HQ744" s="512"/>
      <c r="HR744" s="512"/>
      <c r="HS744" s="512"/>
      <c r="HT744" s="512"/>
      <c r="HU744" s="512"/>
      <c r="HV744" s="512"/>
      <c r="HW744" s="512"/>
      <c r="HX744" s="512"/>
      <c r="HY744" s="512"/>
      <c r="IA744" s="512"/>
      <c r="IB744" s="512"/>
      <c r="IC744" s="512"/>
      <c r="ID744" s="512"/>
      <c r="IG744" s="512"/>
      <c r="IJ744" s="520"/>
      <c r="IM744" s="520"/>
      <c r="IP744" s="519"/>
      <c r="IS744" s="519"/>
      <c r="IT744" s="327"/>
      <c r="IU744" s="327"/>
      <c r="IV744" s="519"/>
      <c r="IW744" s="327"/>
      <c r="IX744" s="327"/>
      <c r="IY744" s="519"/>
      <c r="IZ744" s="327"/>
      <c r="JA744" s="327"/>
      <c r="JB744" s="519"/>
      <c r="JC744" s="327"/>
      <c r="JD744" s="327"/>
      <c r="JE744" s="519"/>
      <c r="JF744" s="327"/>
      <c r="JG744" s="327"/>
      <c r="JH744" s="519"/>
      <c r="JI744" s="327"/>
      <c r="JJ744" s="327"/>
      <c r="JK744" s="519"/>
    </row>
    <row r="745" spans="1:314" hidden="1">
      <c r="A745" s="279"/>
      <c r="D745" s="517" t="str">
        <f>+FISC!D983</f>
        <v xml:space="preserve">    Net non bank financing</v>
      </c>
      <c r="E745" s="512"/>
      <c r="F745" s="512"/>
      <c r="G745" s="512"/>
      <c r="H745" s="512"/>
      <c r="I745" s="512"/>
      <c r="J745" s="512"/>
      <c r="K745" s="512"/>
      <c r="L745" s="512"/>
      <c r="M745" s="512"/>
      <c r="N745" s="512"/>
      <c r="O745" s="512"/>
      <c r="P745" s="512"/>
      <c r="Q745" s="512"/>
      <c r="R745" s="512"/>
      <c r="S745" s="512"/>
      <c r="T745" s="512"/>
      <c r="U745" s="512"/>
      <c r="V745" s="512"/>
      <c r="W745" s="512"/>
      <c r="X745" s="512"/>
      <c r="Y745" s="512"/>
      <c r="Z745" s="512"/>
      <c r="AA745" s="512"/>
      <c r="AB745" s="512"/>
      <c r="AC745" s="512"/>
      <c r="AD745" s="512"/>
      <c r="AE745" s="512"/>
      <c r="AF745" s="512"/>
      <c r="AG745" s="512"/>
      <c r="AH745" s="512"/>
      <c r="AI745" s="512"/>
      <c r="AJ745" s="512"/>
      <c r="AK745" s="512"/>
      <c r="AL745" s="512"/>
      <c r="AM745" s="512"/>
      <c r="AN745" s="512"/>
      <c r="AO745" s="512"/>
      <c r="AP745" s="512"/>
      <c r="AQ745" s="512"/>
      <c r="AR745" s="512"/>
      <c r="AS745" s="512"/>
      <c r="AT745" s="512"/>
      <c r="AU745" s="512"/>
      <c r="AV745" s="512"/>
      <c r="AW745" s="512"/>
      <c r="AX745" s="512"/>
      <c r="AY745" s="512"/>
      <c r="AZ745" s="512"/>
      <c r="BA745" s="512"/>
      <c r="BB745" s="512"/>
      <c r="BC745" s="512"/>
      <c r="BD745" s="512"/>
      <c r="BE745" s="512"/>
      <c r="BF745" s="512"/>
      <c r="BG745" s="512"/>
      <c r="BH745" s="512"/>
      <c r="BI745" s="512"/>
      <c r="BJ745" s="512"/>
      <c r="BK745" s="512"/>
      <c r="BL745" s="512"/>
      <c r="BM745" s="512"/>
      <c r="BN745" s="512"/>
      <c r="BO745" s="512"/>
      <c r="BP745" s="512"/>
      <c r="BQ745" s="512"/>
      <c r="BR745" s="512"/>
      <c r="BS745" s="512"/>
      <c r="BT745" s="512"/>
      <c r="BU745" s="512"/>
      <c r="BV745" s="512"/>
      <c r="BW745" s="512"/>
      <c r="BX745" s="512"/>
      <c r="BY745" s="512"/>
      <c r="BZ745" s="512"/>
      <c r="CA745" s="512"/>
      <c r="CB745" s="512"/>
      <c r="CC745" s="512"/>
      <c r="CD745" s="512"/>
      <c r="CE745" s="512"/>
      <c r="CF745" s="512"/>
      <c r="CG745" s="512"/>
      <c r="CH745" s="512"/>
      <c r="CI745" s="512"/>
      <c r="CJ745" s="512"/>
      <c r="CK745" s="512"/>
      <c r="CL745" s="512"/>
      <c r="CM745" s="512"/>
      <c r="CN745" s="512"/>
      <c r="CO745" s="512"/>
      <c r="CP745" s="515"/>
      <c r="CQ745" s="512"/>
      <c r="CR745" s="512"/>
      <c r="CS745" s="512"/>
      <c r="CT745" s="512"/>
      <c r="CU745" s="512"/>
      <c r="CV745" s="512"/>
      <c r="CW745" s="512"/>
      <c r="CX745" s="512"/>
      <c r="CY745" s="512"/>
      <c r="CZ745" s="512"/>
      <c r="DA745" s="512"/>
      <c r="DB745" s="1306"/>
      <c r="DC745" s="512"/>
      <c r="DD745" s="512"/>
      <c r="DE745" s="512"/>
      <c r="DF745" s="512"/>
      <c r="DG745" s="512"/>
      <c r="DH745" s="512"/>
      <c r="DI745" s="512"/>
      <c r="DJ745" s="512"/>
      <c r="DK745" s="512"/>
      <c r="DL745" s="512"/>
      <c r="DM745" s="512"/>
      <c r="DN745" s="515"/>
      <c r="DO745" s="512"/>
      <c r="DP745" s="512"/>
      <c r="DQ745" s="512"/>
      <c r="DR745" s="512"/>
      <c r="DS745" s="512"/>
      <c r="DT745" s="512"/>
      <c r="DU745" s="512"/>
      <c r="DV745" s="512"/>
      <c r="DW745" s="512"/>
      <c r="DX745" s="512"/>
      <c r="DY745" s="512"/>
      <c r="DZ745" s="515"/>
      <c r="EA745" s="512"/>
      <c r="EB745" s="512"/>
      <c r="EC745" s="512"/>
      <c r="ED745" s="512"/>
      <c r="EE745" s="512"/>
      <c r="EF745" s="512"/>
      <c r="EG745" s="512"/>
      <c r="EH745" s="512"/>
      <c r="EI745" s="512"/>
      <c r="EJ745" s="512"/>
      <c r="EK745" s="512"/>
      <c r="EL745" s="515"/>
      <c r="EM745" s="512"/>
      <c r="EN745" s="512"/>
      <c r="EO745" s="512"/>
      <c r="EP745" s="512"/>
      <c r="EQ745" s="512"/>
      <c r="ER745" s="512"/>
      <c r="ES745" s="512"/>
      <c r="ET745" s="512"/>
      <c r="EU745" s="512"/>
      <c r="EV745" s="512"/>
      <c r="EW745" s="512"/>
      <c r="EX745" s="515"/>
      <c r="EY745" s="512"/>
      <c r="EZ745" s="512"/>
      <c r="FA745" s="512"/>
      <c r="FB745" s="512"/>
      <c r="FC745" s="512"/>
      <c r="FD745" s="512"/>
      <c r="FE745" s="512"/>
      <c r="FF745" s="512"/>
      <c r="FG745" s="512"/>
      <c r="FH745" s="512"/>
      <c r="FI745" s="512"/>
      <c r="FJ745" s="515"/>
      <c r="FK745" s="512"/>
      <c r="FL745" s="512"/>
      <c r="FM745" s="512"/>
      <c r="FN745" s="512"/>
      <c r="FO745" s="512"/>
      <c r="FP745" s="512"/>
      <c r="FQ745" s="512"/>
      <c r="FR745" s="512"/>
      <c r="FS745" s="512"/>
      <c r="FT745" s="512"/>
      <c r="FU745" s="512"/>
      <c r="FV745" s="512"/>
      <c r="FW745" s="512"/>
      <c r="FX745" s="512"/>
      <c r="FY745" s="512"/>
      <c r="FZ745" s="512"/>
      <c r="GA745" s="512"/>
      <c r="GB745" s="512"/>
      <c r="GC745" s="512"/>
      <c r="GD745" s="512"/>
      <c r="GE745" s="512"/>
      <c r="GF745" s="512"/>
      <c r="GG745" s="512"/>
      <c r="GH745" s="512"/>
      <c r="GI745" s="512"/>
      <c r="GJ745" s="512"/>
      <c r="GK745" s="512"/>
      <c r="GL745" s="512"/>
      <c r="GM745" s="512"/>
      <c r="GN745" s="512"/>
      <c r="GO745" s="512"/>
      <c r="GP745" s="512"/>
      <c r="GQ745" s="512"/>
      <c r="GR745" s="512"/>
      <c r="GS745" s="512"/>
      <c r="GT745" s="512"/>
      <c r="GU745" s="512"/>
      <c r="GV745" s="512"/>
      <c r="GW745" s="512"/>
      <c r="GX745" s="512"/>
      <c r="GY745" s="512"/>
      <c r="GZ745" s="512"/>
      <c r="HA745" s="512"/>
      <c r="HB745" s="512"/>
      <c r="HC745" s="512"/>
      <c r="HD745" s="512"/>
      <c r="HE745" s="512"/>
      <c r="HF745" s="512"/>
      <c r="HG745" s="512"/>
      <c r="HH745" s="512"/>
      <c r="HI745" s="512"/>
      <c r="HJ745" s="512"/>
      <c r="HK745" s="512"/>
      <c r="HL745" s="512"/>
      <c r="HM745" s="512"/>
      <c r="HN745" s="512"/>
      <c r="HO745" s="512"/>
      <c r="HP745" s="512"/>
      <c r="HQ745" s="512"/>
      <c r="HR745" s="512"/>
      <c r="HS745" s="512"/>
      <c r="HT745" s="512"/>
      <c r="HU745" s="512"/>
      <c r="HV745" s="512"/>
      <c r="HW745" s="512"/>
      <c r="HX745" s="512"/>
      <c r="HY745" s="512"/>
      <c r="IA745" s="512"/>
      <c r="IB745" s="512"/>
      <c r="IC745" s="512"/>
      <c r="ID745" s="512"/>
      <c r="IE745" s="279">
        <f t="shared" ref="IE745:IJ746" si="845">+IE695</f>
        <v>15.865157989642363</v>
      </c>
      <c r="IF745" s="279">
        <f t="shared" si="845"/>
        <v>10.669626043163671</v>
      </c>
      <c r="IG745" s="512">
        <f t="shared" si="845"/>
        <v>26.53478403280603</v>
      </c>
      <c r="IH745" s="279">
        <f t="shared" si="845"/>
        <v>7.3613834665954556</v>
      </c>
      <c r="II745" s="279">
        <f t="shared" si="845"/>
        <v>40.355975932894978</v>
      </c>
      <c r="IJ745" s="520">
        <f t="shared" si="845"/>
        <v>47.717359399490434</v>
      </c>
      <c r="IM745" s="520"/>
      <c r="IP745" s="519"/>
      <c r="IS745" s="519"/>
      <c r="IT745" s="327"/>
      <c r="IU745" s="327"/>
      <c r="IV745" s="519"/>
      <c r="IW745" s="327"/>
      <c r="IX745" s="327"/>
      <c r="IY745" s="519"/>
      <c r="IZ745" s="327"/>
      <c r="JA745" s="327"/>
      <c r="JB745" s="519"/>
      <c r="JC745" s="327"/>
      <c r="JD745" s="327"/>
      <c r="JE745" s="519"/>
      <c r="JF745" s="327"/>
      <c r="JG745" s="327"/>
      <c r="JH745" s="519"/>
      <c r="JI745" s="327"/>
      <c r="JJ745" s="327"/>
      <c r="JK745" s="519"/>
    </row>
    <row r="746" spans="1:314" hidden="1">
      <c r="A746" s="279"/>
      <c r="D746" s="517" t="str">
        <f>+FISC!D984</f>
        <v xml:space="preserve">        o/w: net issuance of government securities to non banks</v>
      </c>
      <c r="E746" s="512"/>
      <c r="F746" s="512"/>
      <c r="G746" s="512"/>
      <c r="H746" s="512"/>
      <c r="I746" s="512"/>
      <c r="J746" s="512"/>
      <c r="K746" s="512"/>
      <c r="L746" s="512"/>
      <c r="M746" s="512"/>
      <c r="N746" s="512"/>
      <c r="O746" s="512"/>
      <c r="P746" s="512"/>
      <c r="Q746" s="512"/>
      <c r="R746" s="512"/>
      <c r="S746" s="512"/>
      <c r="T746" s="512"/>
      <c r="U746" s="512"/>
      <c r="V746" s="512"/>
      <c r="W746" s="512"/>
      <c r="X746" s="512"/>
      <c r="Y746" s="512"/>
      <c r="Z746" s="512"/>
      <c r="AA746" s="512"/>
      <c r="AB746" s="512"/>
      <c r="AC746" s="512"/>
      <c r="AD746" s="512"/>
      <c r="AE746" s="512"/>
      <c r="AF746" s="512"/>
      <c r="AG746" s="512"/>
      <c r="AH746" s="512"/>
      <c r="AI746" s="512"/>
      <c r="AJ746" s="512"/>
      <c r="AK746" s="512"/>
      <c r="AL746" s="512"/>
      <c r="AM746" s="512"/>
      <c r="AN746" s="512"/>
      <c r="AO746" s="512"/>
      <c r="AP746" s="512"/>
      <c r="AQ746" s="512"/>
      <c r="AR746" s="512"/>
      <c r="AS746" s="512"/>
      <c r="AT746" s="512"/>
      <c r="AU746" s="512"/>
      <c r="AV746" s="512"/>
      <c r="AW746" s="512"/>
      <c r="AX746" s="512"/>
      <c r="AY746" s="512"/>
      <c r="AZ746" s="512"/>
      <c r="BA746" s="512"/>
      <c r="BB746" s="512"/>
      <c r="BC746" s="512"/>
      <c r="BD746" s="512"/>
      <c r="BE746" s="512"/>
      <c r="BF746" s="512"/>
      <c r="BG746" s="512"/>
      <c r="BH746" s="512"/>
      <c r="BI746" s="512"/>
      <c r="BJ746" s="512"/>
      <c r="BK746" s="512"/>
      <c r="BL746" s="512"/>
      <c r="BM746" s="512"/>
      <c r="BN746" s="512"/>
      <c r="BO746" s="512"/>
      <c r="BP746" s="512"/>
      <c r="BQ746" s="512"/>
      <c r="BR746" s="512"/>
      <c r="BS746" s="512"/>
      <c r="BT746" s="512"/>
      <c r="BU746" s="512"/>
      <c r="BV746" s="512"/>
      <c r="BW746" s="512"/>
      <c r="BX746" s="512"/>
      <c r="BY746" s="512"/>
      <c r="BZ746" s="512"/>
      <c r="CA746" s="512"/>
      <c r="CB746" s="512"/>
      <c r="CC746" s="512"/>
      <c r="CD746" s="512"/>
      <c r="CE746" s="512"/>
      <c r="CF746" s="512"/>
      <c r="CG746" s="512"/>
      <c r="CH746" s="512"/>
      <c r="CI746" s="512"/>
      <c r="CJ746" s="512"/>
      <c r="CK746" s="512"/>
      <c r="CL746" s="512"/>
      <c r="CM746" s="512"/>
      <c r="CN746" s="512"/>
      <c r="CO746" s="512"/>
      <c r="CP746" s="515"/>
      <c r="CQ746" s="512"/>
      <c r="CR746" s="512"/>
      <c r="CS746" s="512"/>
      <c r="CT746" s="512"/>
      <c r="CU746" s="512"/>
      <c r="CV746" s="512"/>
      <c r="CW746" s="512"/>
      <c r="CX746" s="512"/>
      <c r="CY746" s="512"/>
      <c r="CZ746" s="512"/>
      <c r="DA746" s="512"/>
      <c r="DB746" s="1306"/>
      <c r="DC746" s="512"/>
      <c r="DD746" s="512"/>
      <c r="DE746" s="512"/>
      <c r="DF746" s="512"/>
      <c r="DG746" s="512"/>
      <c r="DH746" s="512"/>
      <c r="DI746" s="512"/>
      <c r="DJ746" s="512"/>
      <c r="DK746" s="512"/>
      <c r="DL746" s="512"/>
      <c r="DM746" s="512"/>
      <c r="DN746" s="515"/>
      <c r="DO746" s="512"/>
      <c r="DP746" s="512"/>
      <c r="DQ746" s="512"/>
      <c r="DR746" s="512"/>
      <c r="DS746" s="512"/>
      <c r="DT746" s="512"/>
      <c r="DU746" s="512"/>
      <c r="DV746" s="512"/>
      <c r="DW746" s="512"/>
      <c r="DX746" s="512"/>
      <c r="DY746" s="512"/>
      <c r="DZ746" s="515"/>
      <c r="EA746" s="512"/>
      <c r="EB746" s="512"/>
      <c r="EC746" s="512"/>
      <c r="ED746" s="512"/>
      <c r="EE746" s="512"/>
      <c r="EF746" s="512"/>
      <c r="EG746" s="512"/>
      <c r="EH746" s="512"/>
      <c r="EI746" s="512"/>
      <c r="EJ746" s="512"/>
      <c r="EK746" s="512"/>
      <c r="EL746" s="515"/>
      <c r="EM746" s="512"/>
      <c r="EN746" s="512"/>
      <c r="EO746" s="512"/>
      <c r="EP746" s="512"/>
      <c r="EQ746" s="512"/>
      <c r="ER746" s="512"/>
      <c r="ES746" s="512"/>
      <c r="ET746" s="512"/>
      <c r="EU746" s="512"/>
      <c r="EV746" s="512"/>
      <c r="EW746" s="512"/>
      <c r="EX746" s="515"/>
      <c r="EY746" s="512"/>
      <c r="EZ746" s="512"/>
      <c r="FA746" s="512"/>
      <c r="FB746" s="512"/>
      <c r="FC746" s="512"/>
      <c r="FD746" s="512"/>
      <c r="FE746" s="512"/>
      <c r="FF746" s="512"/>
      <c r="FG746" s="512"/>
      <c r="FH746" s="512"/>
      <c r="FI746" s="512"/>
      <c r="FJ746" s="515"/>
      <c r="FK746" s="512"/>
      <c r="FL746" s="512"/>
      <c r="FM746" s="512"/>
      <c r="FN746" s="512"/>
      <c r="FO746" s="512"/>
      <c r="FP746" s="512"/>
      <c r="FQ746" s="512"/>
      <c r="FR746" s="512"/>
      <c r="FS746" s="512"/>
      <c r="FT746" s="512"/>
      <c r="FU746" s="512"/>
      <c r="FV746" s="512"/>
      <c r="FW746" s="512"/>
      <c r="FX746" s="512"/>
      <c r="FY746" s="512"/>
      <c r="FZ746" s="512"/>
      <c r="GA746" s="512"/>
      <c r="GB746" s="512"/>
      <c r="GC746" s="512"/>
      <c r="GD746" s="512"/>
      <c r="GE746" s="512"/>
      <c r="GF746" s="512"/>
      <c r="GG746" s="512"/>
      <c r="GH746" s="512"/>
      <c r="GI746" s="512"/>
      <c r="GJ746" s="512"/>
      <c r="GK746" s="512"/>
      <c r="GL746" s="512"/>
      <c r="GM746" s="512"/>
      <c r="GN746" s="512"/>
      <c r="GO746" s="512"/>
      <c r="GP746" s="512"/>
      <c r="GQ746" s="512"/>
      <c r="GR746" s="512"/>
      <c r="GS746" s="512"/>
      <c r="GT746" s="512"/>
      <c r="GU746" s="512"/>
      <c r="GV746" s="512"/>
      <c r="GW746" s="512"/>
      <c r="GX746" s="512"/>
      <c r="GY746" s="512"/>
      <c r="GZ746" s="512"/>
      <c r="HA746" s="512"/>
      <c r="HB746" s="512"/>
      <c r="HC746" s="512"/>
      <c r="HD746" s="512"/>
      <c r="HE746" s="512"/>
      <c r="HF746" s="512"/>
      <c r="HG746" s="512"/>
      <c r="HH746" s="512"/>
      <c r="HI746" s="512"/>
      <c r="HJ746" s="512"/>
      <c r="HK746" s="512"/>
      <c r="HL746" s="512"/>
      <c r="HM746" s="512"/>
      <c r="HN746" s="512"/>
      <c r="HO746" s="512"/>
      <c r="HP746" s="512"/>
      <c r="HQ746" s="512"/>
      <c r="HR746" s="512"/>
      <c r="HS746" s="512"/>
      <c r="HT746" s="512"/>
      <c r="HU746" s="512"/>
      <c r="HV746" s="512"/>
      <c r="HW746" s="512"/>
      <c r="HX746" s="512"/>
      <c r="HY746" s="512"/>
      <c r="IA746" s="512"/>
      <c r="IB746" s="512"/>
      <c r="IC746" s="512"/>
      <c r="ID746" s="512"/>
      <c r="IE746" s="279">
        <f t="shared" si="845"/>
        <v>18.027100000000004</v>
      </c>
      <c r="IF746" s="279">
        <f t="shared" si="845"/>
        <v>12.880599999999996</v>
      </c>
      <c r="IG746" s="512">
        <f t="shared" si="845"/>
        <v>30.907699999999995</v>
      </c>
      <c r="IH746" s="279">
        <f t="shared" si="845"/>
        <v>16.802700000000005</v>
      </c>
      <c r="II746" s="279">
        <f t="shared" si="845"/>
        <v>42.454099999999983</v>
      </c>
      <c r="IJ746" s="520">
        <f t="shared" si="845"/>
        <v>59.256799999999984</v>
      </c>
      <c r="IM746" s="520"/>
      <c r="IP746" s="519"/>
      <c r="IS746" s="519"/>
      <c r="IT746" s="327"/>
      <c r="IU746" s="327"/>
      <c r="IV746" s="519"/>
      <c r="IW746" s="327"/>
      <c r="IX746" s="327"/>
      <c r="IY746" s="519"/>
      <c r="IZ746" s="327"/>
      <c r="JA746" s="327"/>
      <c r="JB746" s="519"/>
      <c r="JC746" s="327"/>
      <c r="JD746" s="327"/>
      <c r="JE746" s="519"/>
      <c r="JF746" s="327"/>
      <c r="JG746" s="327"/>
      <c r="JH746" s="519"/>
      <c r="JI746" s="327"/>
      <c r="JJ746" s="327"/>
      <c r="JK746" s="519"/>
    </row>
    <row r="747" spans="1:314" hidden="1">
      <c r="A747" s="279"/>
      <c r="D747" s="517" t="str">
        <f>+FISC!D985</f>
        <v>Financing requirement/unidentified financing</v>
      </c>
      <c r="E747" s="512"/>
      <c r="F747" s="512"/>
      <c r="G747" s="512"/>
      <c r="H747" s="512"/>
      <c r="I747" s="512"/>
      <c r="J747" s="512"/>
      <c r="K747" s="512"/>
      <c r="L747" s="512"/>
      <c r="M747" s="512"/>
      <c r="N747" s="512"/>
      <c r="O747" s="512"/>
      <c r="P747" s="512"/>
      <c r="Q747" s="512"/>
      <c r="R747" s="512"/>
      <c r="S747" s="512"/>
      <c r="T747" s="512"/>
      <c r="U747" s="512"/>
      <c r="V747" s="512"/>
      <c r="W747" s="512"/>
      <c r="X747" s="512"/>
      <c r="Y747" s="512"/>
      <c r="Z747" s="512"/>
      <c r="AA747" s="512"/>
      <c r="AB747" s="512"/>
      <c r="AC747" s="512"/>
      <c r="AD747" s="512"/>
      <c r="AE747" s="512"/>
      <c r="AF747" s="512"/>
      <c r="AG747" s="512"/>
      <c r="AH747" s="512"/>
      <c r="AI747" s="512"/>
      <c r="AJ747" s="512"/>
      <c r="AK747" s="512"/>
      <c r="AL747" s="512"/>
      <c r="AM747" s="512"/>
      <c r="AN747" s="512"/>
      <c r="AO747" s="512"/>
      <c r="AP747" s="512"/>
      <c r="AQ747" s="512"/>
      <c r="AR747" s="512"/>
      <c r="AS747" s="512"/>
      <c r="AT747" s="512"/>
      <c r="AU747" s="512"/>
      <c r="AV747" s="512"/>
      <c r="AW747" s="512"/>
      <c r="AX747" s="512"/>
      <c r="AY747" s="512"/>
      <c r="AZ747" s="512"/>
      <c r="BA747" s="512"/>
      <c r="BB747" s="512"/>
      <c r="BC747" s="512"/>
      <c r="BD747" s="512"/>
      <c r="BE747" s="512"/>
      <c r="BF747" s="512"/>
      <c r="BG747" s="512"/>
      <c r="BH747" s="512"/>
      <c r="BI747" s="512"/>
      <c r="BJ747" s="512"/>
      <c r="BK747" s="512"/>
      <c r="BL747" s="512"/>
      <c r="BM747" s="512"/>
      <c r="BN747" s="512"/>
      <c r="BO747" s="512"/>
      <c r="BP747" s="512"/>
      <c r="BQ747" s="512"/>
      <c r="BR747" s="512"/>
      <c r="BS747" s="512"/>
      <c r="BT747" s="512"/>
      <c r="BU747" s="512"/>
      <c r="BV747" s="512"/>
      <c r="BW747" s="512"/>
      <c r="BX747" s="512"/>
      <c r="BY747" s="512"/>
      <c r="BZ747" s="512"/>
      <c r="CA747" s="512"/>
      <c r="CB747" s="512"/>
      <c r="CC747" s="512"/>
      <c r="CD747" s="512"/>
      <c r="CE747" s="512"/>
      <c r="CF747" s="512"/>
      <c r="CG747" s="512"/>
      <c r="CH747" s="512"/>
      <c r="CI747" s="512"/>
      <c r="CJ747" s="512"/>
      <c r="CK747" s="512"/>
      <c r="CL747" s="512"/>
      <c r="CM747" s="512"/>
      <c r="CN747" s="512"/>
      <c r="CO747" s="512"/>
      <c r="CP747" s="515"/>
      <c r="CQ747" s="512"/>
      <c r="CR747" s="512"/>
      <c r="CS747" s="512"/>
      <c r="CT747" s="512"/>
      <c r="CU747" s="512"/>
      <c r="CV747" s="512"/>
      <c r="CW747" s="512"/>
      <c r="CX747" s="512"/>
      <c r="CY747" s="512"/>
      <c r="CZ747" s="512"/>
      <c r="DA747" s="512"/>
      <c r="DB747" s="1306"/>
      <c r="DC747" s="512"/>
      <c r="DD747" s="512"/>
      <c r="DE747" s="512"/>
      <c r="DF747" s="512"/>
      <c r="DG747" s="512"/>
      <c r="DH747" s="512"/>
      <c r="DI747" s="512"/>
      <c r="DJ747" s="512"/>
      <c r="DK747" s="512"/>
      <c r="DL747" s="512"/>
      <c r="DM747" s="512"/>
      <c r="DN747" s="515"/>
      <c r="DO747" s="512"/>
      <c r="DP747" s="512"/>
      <c r="DQ747" s="512"/>
      <c r="DR747" s="512"/>
      <c r="DS747" s="512"/>
      <c r="DT747" s="512"/>
      <c r="DU747" s="512"/>
      <c r="DV747" s="512"/>
      <c r="DW747" s="512"/>
      <c r="DX747" s="512"/>
      <c r="DY747" s="512"/>
      <c r="DZ747" s="515"/>
      <c r="EA747" s="512"/>
      <c r="EB747" s="512"/>
      <c r="EC747" s="512"/>
      <c r="ED747" s="512"/>
      <c r="EE747" s="512"/>
      <c r="EF747" s="512"/>
      <c r="EG747" s="512"/>
      <c r="EH747" s="512"/>
      <c r="EI747" s="512"/>
      <c r="EJ747" s="512"/>
      <c r="EK747" s="512"/>
      <c r="EL747" s="515"/>
      <c r="EM747" s="512"/>
      <c r="EN747" s="512"/>
      <c r="EO747" s="512"/>
      <c r="EP747" s="512"/>
      <c r="EQ747" s="512"/>
      <c r="ER747" s="512"/>
      <c r="ES747" s="512"/>
      <c r="ET747" s="512"/>
      <c r="EU747" s="512"/>
      <c r="EV747" s="512"/>
      <c r="EW747" s="512"/>
      <c r="EX747" s="515"/>
      <c r="EY747" s="512"/>
      <c r="EZ747" s="512"/>
      <c r="FA747" s="512"/>
      <c r="FB747" s="512"/>
      <c r="FC747" s="512"/>
      <c r="FD747" s="512"/>
      <c r="FE747" s="512"/>
      <c r="FF747" s="512"/>
      <c r="FG747" s="512"/>
      <c r="FH747" s="512"/>
      <c r="FI747" s="512"/>
      <c r="FJ747" s="515"/>
      <c r="FK747" s="512"/>
      <c r="FL747" s="512"/>
      <c r="FM747" s="512"/>
      <c r="FN747" s="512"/>
      <c r="FO747" s="512"/>
      <c r="FP747" s="512"/>
      <c r="FQ747" s="512"/>
      <c r="FR747" s="512"/>
      <c r="FS747" s="512"/>
      <c r="FT747" s="512"/>
      <c r="FU747" s="512"/>
      <c r="FV747" s="512"/>
      <c r="FW747" s="512"/>
      <c r="FX747" s="512"/>
      <c r="FY747" s="512"/>
      <c r="FZ747" s="512"/>
      <c r="GA747" s="512"/>
      <c r="GB747" s="512"/>
      <c r="GC747" s="512"/>
      <c r="GD747" s="512"/>
      <c r="GE747" s="512"/>
      <c r="GF747" s="512"/>
      <c r="GG747" s="512"/>
      <c r="GH747" s="512"/>
      <c r="GI747" s="512"/>
      <c r="GJ747" s="512"/>
      <c r="GK747" s="512"/>
      <c r="GL747" s="512"/>
      <c r="GM747" s="512"/>
      <c r="GN747" s="512"/>
      <c r="GO747" s="512"/>
      <c r="GP747" s="512"/>
      <c r="GQ747" s="512"/>
      <c r="GR747" s="512"/>
      <c r="GS747" s="512"/>
      <c r="GT747" s="512"/>
      <c r="GU747" s="512"/>
      <c r="GV747" s="512"/>
      <c r="GW747" s="512"/>
      <c r="GX747" s="512"/>
      <c r="GY747" s="512"/>
      <c r="GZ747" s="512"/>
      <c r="HA747" s="512"/>
      <c r="HB747" s="512"/>
      <c r="HC747" s="512"/>
      <c r="HD747" s="512"/>
      <c r="HE747" s="512"/>
      <c r="HF747" s="512"/>
      <c r="HG747" s="512"/>
      <c r="HH747" s="512"/>
      <c r="HI747" s="512"/>
      <c r="HJ747" s="512"/>
      <c r="HK747" s="512"/>
      <c r="HL747" s="512"/>
      <c r="HM747" s="512"/>
      <c r="HN747" s="512"/>
      <c r="HO747" s="512"/>
      <c r="HP747" s="512"/>
      <c r="HQ747" s="512"/>
      <c r="HR747" s="512"/>
      <c r="HS747" s="512"/>
      <c r="HT747" s="512"/>
      <c r="HU747" s="512"/>
      <c r="HV747" s="512"/>
      <c r="HW747" s="512"/>
      <c r="HX747" s="512"/>
      <c r="HY747" s="512"/>
      <c r="IA747" s="512"/>
      <c r="IB747" s="512"/>
      <c r="IC747" s="512"/>
      <c r="ID747" s="512"/>
      <c r="IG747" s="512"/>
      <c r="IJ747" s="520"/>
      <c r="IM747" s="520"/>
      <c r="IP747" s="519"/>
      <c r="IS747" s="519"/>
      <c r="IT747" s="327"/>
      <c r="IU747" s="327"/>
      <c r="IV747" s="519"/>
      <c r="IW747" s="327"/>
      <c r="IX747" s="327"/>
      <c r="IY747" s="519"/>
      <c r="IZ747" s="327"/>
      <c r="JA747" s="327"/>
      <c r="JB747" s="519"/>
      <c r="JC747" s="327"/>
      <c r="JD747" s="327"/>
      <c r="JE747" s="519"/>
      <c r="JF747" s="327"/>
      <c r="JG747" s="327"/>
      <c r="JH747" s="519"/>
      <c r="JI747" s="327"/>
      <c r="JJ747" s="327"/>
      <c r="JK747" s="519"/>
    </row>
    <row r="748" spans="1:314" hidden="1">
      <c r="A748" s="279"/>
      <c r="D748" s="721" t="str">
        <f>+FISC!D991</f>
        <v>check E&amp;O</v>
      </c>
      <c r="E748" s="512"/>
      <c r="F748" s="512"/>
      <c r="G748" s="512"/>
      <c r="H748" s="512"/>
      <c r="I748" s="512"/>
      <c r="J748" s="512"/>
      <c r="K748" s="512"/>
      <c r="L748" s="512"/>
      <c r="M748" s="512"/>
      <c r="N748" s="512"/>
      <c r="O748" s="512"/>
      <c r="P748" s="512"/>
      <c r="Q748" s="512"/>
      <c r="R748" s="512"/>
      <c r="S748" s="512"/>
      <c r="T748" s="512"/>
      <c r="U748" s="512"/>
      <c r="V748" s="512"/>
      <c r="W748" s="512"/>
      <c r="X748" s="512"/>
      <c r="Y748" s="512"/>
      <c r="Z748" s="512"/>
      <c r="AA748" s="512"/>
      <c r="AB748" s="512"/>
      <c r="AC748" s="512"/>
      <c r="AD748" s="512"/>
      <c r="AE748" s="512"/>
      <c r="AF748" s="512"/>
      <c r="AG748" s="512"/>
      <c r="AH748" s="512"/>
      <c r="AI748" s="512"/>
      <c r="AJ748" s="512"/>
      <c r="AK748" s="512"/>
      <c r="AL748" s="512"/>
      <c r="AM748" s="512"/>
      <c r="AN748" s="512"/>
      <c r="AO748" s="512"/>
      <c r="AP748" s="512"/>
      <c r="AQ748" s="512"/>
      <c r="AR748" s="512"/>
      <c r="AS748" s="512"/>
      <c r="AT748" s="512"/>
      <c r="AU748" s="512"/>
      <c r="AV748" s="512"/>
      <c r="AW748" s="512"/>
      <c r="AX748" s="512"/>
      <c r="AY748" s="512"/>
      <c r="AZ748" s="512"/>
      <c r="BA748" s="512"/>
      <c r="BB748" s="512"/>
      <c r="BC748" s="512"/>
      <c r="BD748" s="512"/>
      <c r="BE748" s="512"/>
      <c r="BF748" s="512"/>
      <c r="BG748" s="512"/>
      <c r="BH748" s="512"/>
      <c r="BI748" s="512"/>
      <c r="BJ748" s="512"/>
      <c r="BK748" s="512"/>
      <c r="BL748" s="512"/>
      <c r="BM748" s="512"/>
      <c r="BN748" s="512"/>
      <c r="BO748" s="512"/>
      <c r="BP748" s="512"/>
      <c r="BQ748" s="512"/>
      <c r="BR748" s="512"/>
      <c r="BS748" s="512"/>
      <c r="BT748" s="512"/>
      <c r="BU748" s="512"/>
      <c r="BV748" s="512"/>
      <c r="BW748" s="512"/>
      <c r="BX748" s="512"/>
      <c r="BY748" s="512"/>
      <c r="BZ748" s="512"/>
      <c r="CA748" s="512"/>
      <c r="CB748" s="512"/>
      <c r="CC748" s="512"/>
      <c r="CD748" s="512"/>
      <c r="CE748" s="512"/>
      <c r="CF748" s="512"/>
      <c r="CG748" s="512"/>
      <c r="CH748" s="512"/>
      <c r="CI748" s="512"/>
      <c r="CJ748" s="512"/>
      <c r="CK748" s="512"/>
      <c r="CL748" s="512"/>
      <c r="CM748" s="512"/>
      <c r="CN748" s="512"/>
      <c r="CO748" s="512"/>
      <c r="CP748" s="515"/>
      <c r="CQ748" s="512"/>
      <c r="CR748" s="512"/>
      <c r="CS748" s="512"/>
      <c r="CT748" s="512"/>
      <c r="CU748" s="512"/>
      <c r="CV748" s="512"/>
      <c r="CW748" s="512"/>
      <c r="CX748" s="512"/>
      <c r="CY748" s="512"/>
      <c r="CZ748" s="512"/>
      <c r="DA748" s="512"/>
      <c r="DB748" s="1306"/>
      <c r="DC748" s="512"/>
      <c r="DD748" s="512"/>
      <c r="DE748" s="512"/>
      <c r="DF748" s="512"/>
      <c r="DG748" s="512"/>
      <c r="DH748" s="512"/>
      <c r="DI748" s="512"/>
      <c r="DJ748" s="512"/>
      <c r="DK748" s="512"/>
      <c r="DL748" s="512"/>
      <c r="DM748" s="512"/>
      <c r="DN748" s="515"/>
      <c r="DO748" s="512"/>
      <c r="DP748" s="512"/>
      <c r="DQ748" s="512"/>
      <c r="DR748" s="512"/>
      <c r="DS748" s="512"/>
      <c r="DT748" s="512"/>
      <c r="DU748" s="512"/>
      <c r="DV748" s="512"/>
      <c r="DW748" s="512"/>
      <c r="DX748" s="512"/>
      <c r="DY748" s="512"/>
      <c r="DZ748" s="515"/>
      <c r="EA748" s="512"/>
      <c r="EB748" s="512"/>
      <c r="EC748" s="512"/>
      <c r="ED748" s="512"/>
      <c r="EE748" s="512"/>
      <c r="EF748" s="512"/>
      <c r="EG748" s="512"/>
      <c r="EH748" s="512"/>
      <c r="EI748" s="512"/>
      <c r="EJ748" s="512"/>
      <c r="EK748" s="512"/>
      <c r="EL748" s="515"/>
      <c r="EM748" s="512"/>
      <c r="EN748" s="512"/>
      <c r="EO748" s="512"/>
      <c r="EP748" s="512"/>
      <c r="EQ748" s="512"/>
      <c r="ER748" s="512"/>
      <c r="ES748" s="512"/>
      <c r="ET748" s="512"/>
      <c r="EU748" s="512"/>
      <c r="EV748" s="512"/>
      <c r="EW748" s="512"/>
      <c r="EX748" s="515"/>
      <c r="EY748" s="512"/>
      <c r="EZ748" s="512"/>
      <c r="FA748" s="512"/>
      <c r="FB748" s="512"/>
      <c r="FC748" s="512"/>
      <c r="FD748" s="512"/>
      <c r="FE748" s="512"/>
      <c r="FF748" s="512"/>
      <c r="FG748" s="512"/>
      <c r="FH748" s="512"/>
      <c r="FI748" s="512"/>
      <c r="FJ748" s="515"/>
      <c r="FK748" s="512"/>
      <c r="FL748" s="512"/>
      <c r="FM748" s="512"/>
      <c r="FN748" s="512"/>
      <c r="FO748" s="512"/>
      <c r="FP748" s="512"/>
      <c r="FQ748" s="512"/>
      <c r="FR748" s="512"/>
      <c r="FS748" s="512"/>
      <c r="FT748" s="512"/>
      <c r="FU748" s="512"/>
      <c r="FV748" s="512"/>
      <c r="FW748" s="512"/>
      <c r="FX748" s="512"/>
      <c r="FY748" s="512"/>
      <c r="FZ748" s="512"/>
      <c r="GA748" s="512"/>
      <c r="GB748" s="512"/>
      <c r="GC748" s="512"/>
      <c r="GD748" s="512"/>
      <c r="GE748" s="512"/>
      <c r="GF748" s="512"/>
      <c r="GG748" s="512"/>
      <c r="GH748" s="512"/>
      <c r="GI748" s="512"/>
      <c r="GJ748" s="512"/>
      <c r="GK748" s="512"/>
      <c r="GL748" s="512"/>
      <c r="GM748" s="512"/>
      <c r="GN748" s="512"/>
      <c r="GO748" s="512"/>
      <c r="GP748" s="512"/>
      <c r="GQ748" s="512"/>
      <c r="GR748" s="512"/>
      <c r="GS748" s="512"/>
      <c r="GT748" s="512"/>
      <c r="GU748" s="512"/>
      <c r="GV748" s="512"/>
      <c r="GW748" s="512"/>
      <c r="GX748" s="512"/>
      <c r="GY748" s="512"/>
      <c r="GZ748" s="512"/>
      <c r="HA748" s="512"/>
      <c r="HB748" s="512"/>
      <c r="HC748" s="512"/>
      <c r="HD748" s="512"/>
      <c r="HE748" s="512"/>
      <c r="HF748" s="512"/>
      <c r="HG748" s="512"/>
      <c r="HH748" s="512"/>
      <c r="HI748" s="512"/>
      <c r="HJ748" s="512"/>
      <c r="HK748" s="512"/>
      <c r="HL748" s="512"/>
      <c r="HM748" s="512"/>
      <c r="HN748" s="512"/>
      <c r="HO748" s="512"/>
      <c r="HP748" s="512"/>
      <c r="HQ748" s="512"/>
      <c r="HR748" s="512"/>
      <c r="HS748" s="512"/>
      <c r="HT748" s="512"/>
      <c r="HU748" s="512"/>
      <c r="HV748" s="512"/>
      <c r="HW748" s="512"/>
      <c r="HX748" s="512"/>
      <c r="HY748" s="512"/>
      <c r="IA748" s="512"/>
      <c r="IB748" s="512"/>
      <c r="IC748" s="512"/>
      <c r="ID748" s="512"/>
      <c r="IE748" s="279">
        <f t="shared" ref="IE748:IJ748" si="846">+IE700</f>
        <v>-107.8504100337415</v>
      </c>
      <c r="IF748" s="279">
        <f t="shared" si="846"/>
        <v>-26.066028179051241</v>
      </c>
      <c r="IG748" s="512">
        <f t="shared" si="846"/>
        <v>-133.91643821279274</v>
      </c>
      <c r="IH748" s="279">
        <f t="shared" si="846"/>
        <v>7.2195756197222636</v>
      </c>
      <c r="II748" s="279">
        <f t="shared" si="846"/>
        <v>-2.6361895212608246</v>
      </c>
      <c r="IJ748" s="520">
        <f t="shared" si="846"/>
        <v>4.583386098461439</v>
      </c>
      <c r="IK748" s="279">
        <f>-(IK736+IK738)</f>
        <v>48.569937302865981</v>
      </c>
      <c r="IM748" s="520"/>
      <c r="IP748" s="519"/>
      <c r="IR748" s="279">
        <f>IR901+IT901+IR853+IT853+((IR907+IT907)*0.2)</f>
        <v>744.07244288961999</v>
      </c>
      <c r="IS748" s="519"/>
      <c r="IT748" s="327"/>
      <c r="IU748" s="279">
        <f>IU901+IW901+IU853+IW853+((IU907+IW907)*0.2)</f>
        <v>896.57725177613293</v>
      </c>
      <c r="IV748" s="519"/>
      <c r="IW748" s="327"/>
      <c r="IX748" s="279">
        <f>IX901+IZ901+IX853+IZ853+((IX907+IZ907)*0.2)</f>
        <v>948.02321310340903</v>
      </c>
      <c r="IY748" s="519"/>
      <c r="IZ748" s="327"/>
      <c r="JA748" s="327"/>
      <c r="JB748" s="519"/>
      <c r="JC748" s="327"/>
      <c r="JD748" s="327"/>
      <c r="JE748" s="519"/>
      <c r="JF748" s="327"/>
      <c r="JG748" s="327"/>
      <c r="JH748" s="519"/>
      <c r="JI748" s="327"/>
      <c r="JJ748" s="327"/>
      <c r="JK748" s="519"/>
    </row>
    <row r="749" spans="1:314" ht="15.75" customHeight="1">
      <c r="A749" s="279"/>
      <c r="CP749" s="280"/>
      <c r="DZ749" s="515"/>
      <c r="EA749" s="512"/>
      <c r="HZ749" s="279"/>
      <c r="IH749" s="284"/>
      <c r="IK749" s="327">
        <f>IK850+II850+IK907+II907+IK967+II967+IK976+II976</f>
        <v>1903.4645749681265</v>
      </c>
      <c r="IN749" s="327">
        <f>IN850+IL850+IN907+IL907+IN967+IL967+IN976+IL976</f>
        <v>2040.1393995598521</v>
      </c>
      <c r="IQ749" s="327">
        <f>IQ850+IO850+IQ907+IO907+IQ967+IO967+IQ976+IO976</f>
        <v>2267.2068392191541</v>
      </c>
      <c r="IT749" s="327">
        <f>IT850+IR850+IT907+IR907+IT967+IR967+IT976+IR976</f>
        <v>2972.2762581588795</v>
      </c>
      <c r="IU749" s="327"/>
      <c r="IW749" s="327">
        <f>IW976</f>
        <v>0</v>
      </c>
      <c r="IX749" s="327">
        <f>IX976</f>
        <v>2.0516666680000002</v>
      </c>
      <c r="IZ749" s="327">
        <f>IZ976</f>
        <v>25.886954052</v>
      </c>
      <c r="JA749" s="327">
        <f>JA976</f>
        <v>36.561061301999999</v>
      </c>
      <c r="JC749" s="327">
        <f>JC976</f>
        <v>25.353364143</v>
      </c>
      <c r="JD749" s="327">
        <f>JD976</f>
        <v>23.998966758000002</v>
      </c>
      <c r="JF749" s="327">
        <f>JF976</f>
        <v>18.262838178000003</v>
      </c>
      <c r="JG749" s="327">
        <f>JG976</f>
        <v>10.251674022</v>
      </c>
      <c r="JH749" s="1767"/>
      <c r="JI749" s="327">
        <f>JI976</f>
        <v>20.291619535999999</v>
      </c>
      <c r="JJ749" s="327">
        <f>JJ850+JJ907+JJ967+JJ976</f>
        <v>2598.0070801746569</v>
      </c>
      <c r="JL749" s="327">
        <f>JL850+JL907+JL967+JL976</f>
        <v>3102.7225698456728</v>
      </c>
      <c r="JM749" s="327">
        <f>JM850+JM907+JM967+JM976</f>
        <v>3357.9487457161463</v>
      </c>
      <c r="JO749" s="327">
        <f>JO850+JO907+JO967+JO976</f>
        <v>3877.0489590389539</v>
      </c>
      <c r="JP749" s="327">
        <f>JP850+JP907+JP967+JP976</f>
        <v>3294.2559378414639</v>
      </c>
      <c r="JR749" s="327">
        <f>JR850+JR907+JR967+JR976</f>
        <v>4338.475186025772</v>
      </c>
      <c r="JS749" s="327">
        <f>JS850+JS907+JS967+JS976</f>
        <v>3638.4133090550667</v>
      </c>
      <c r="JU749" s="327">
        <f>JU850+JU907+JU967+JU976</f>
        <v>4465.3927889299039</v>
      </c>
      <c r="JV749" s="327">
        <f>JV850+JV907+JV967+JV976</f>
        <v>4000.5911367492454</v>
      </c>
      <c r="JX749" s="327">
        <f>JX850+JX907+JX967+JX976</f>
        <v>5062.7096519947709</v>
      </c>
      <c r="JY749" s="327">
        <f>JY850+JY907+JY967+JY976</f>
        <v>4537.9143793312205</v>
      </c>
      <c r="KA749" s="327">
        <f>KA850+KA907+KA967+KA976</f>
        <v>5677.7074400486927</v>
      </c>
      <c r="KB749" s="327">
        <f>KB850+KB907+KB967+KB976</f>
        <v>5126.0904401513453</v>
      </c>
      <c r="KD749" s="327">
        <f>KD850+KD907+KD967+KD976</f>
        <v>6022.3077175508915</v>
      </c>
      <c r="KE749" s="327">
        <f>KE850+KE907+KE967+KE976</f>
        <v>6194.1316415175042</v>
      </c>
      <c r="KG749" s="327">
        <f>KG850+KG907+KG967+KG976</f>
        <v>6942.513367013381</v>
      </c>
      <c r="KH749" s="327">
        <f>KH850+KH907+KH967+KH976</f>
        <v>6443.421783631502</v>
      </c>
      <c r="KJ749" s="327">
        <f>KJ850+KJ907+KJ967+KJ976</f>
        <v>8039.3645271565483</v>
      </c>
      <c r="KK749" s="327">
        <f>KK850+KK907+KK967+KK976</f>
        <v>7344.9230975846467</v>
      </c>
      <c r="KM749" s="327">
        <f>KM850+KM907+KM967+KM976</f>
        <v>10295.303610319392</v>
      </c>
      <c r="KN749" s="327">
        <f>KN850+KN907+KN967+KN976</f>
        <v>9509.3036886519385</v>
      </c>
    </row>
    <row r="750" spans="1:314" ht="16.5" customHeight="1">
      <c r="A750" s="279"/>
      <c r="D750" s="96" t="s">
        <v>3248</v>
      </c>
      <c r="CP750" s="280"/>
      <c r="EA750" s="279"/>
      <c r="HZ750" s="279"/>
      <c r="IA750" s="96" t="s">
        <v>641</v>
      </c>
      <c r="IB750" s="96"/>
      <c r="IC750" s="96"/>
      <c r="ID750" s="439">
        <f t="shared" ref="ID750:IS750" si="847">+ID1</f>
        <v>2015</v>
      </c>
      <c r="IE750" s="439">
        <f t="shared" si="847"/>
        <v>2014</v>
      </c>
      <c r="IF750" s="439">
        <f t="shared" si="847"/>
        <v>2015</v>
      </c>
      <c r="IG750" s="439">
        <f t="shared" si="847"/>
        <v>2015</v>
      </c>
      <c r="IH750" s="442">
        <f t="shared" si="847"/>
        <v>2015</v>
      </c>
      <c r="II750" s="442">
        <f t="shared" si="847"/>
        <v>2016</v>
      </c>
      <c r="IJ750" s="442">
        <f t="shared" si="847"/>
        <v>2016</v>
      </c>
      <c r="IK750" s="442">
        <f t="shared" si="847"/>
        <v>2016</v>
      </c>
      <c r="IL750" s="442">
        <f t="shared" si="847"/>
        <v>2017</v>
      </c>
      <c r="IM750" s="442">
        <f t="shared" si="847"/>
        <v>2017</v>
      </c>
      <c r="IN750" s="442">
        <f t="shared" si="847"/>
        <v>2017</v>
      </c>
      <c r="IO750" s="442">
        <f t="shared" si="847"/>
        <v>2018</v>
      </c>
      <c r="IP750" s="373">
        <f t="shared" si="847"/>
        <v>2018</v>
      </c>
      <c r="IQ750" s="442">
        <f t="shared" si="847"/>
        <v>2018</v>
      </c>
      <c r="IR750" s="442">
        <f t="shared" si="847"/>
        <v>2019</v>
      </c>
      <c r="IS750" s="373">
        <f t="shared" si="847"/>
        <v>2019</v>
      </c>
      <c r="IT750" s="327"/>
      <c r="IU750" s="327"/>
      <c r="IV750" s="373">
        <f>+IW1</f>
        <v>2020</v>
      </c>
      <c r="IW750" s="373"/>
      <c r="IX750" s="373"/>
      <c r="IY750" s="373">
        <f>+IZ1</f>
        <v>2021</v>
      </c>
      <c r="IZ750" s="1752"/>
      <c r="JA750" s="373"/>
      <c r="JB750" s="373">
        <f>+JC1</f>
        <v>2022</v>
      </c>
      <c r="JC750" s="373"/>
      <c r="JD750" s="373"/>
      <c r="JE750" s="373">
        <f>+JD1</f>
        <v>2023</v>
      </c>
      <c r="JF750" s="373"/>
      <c r="JG750" s="373"/>
      <c r="JH750" s="373">
        <f>+JI1</f>
        <v>2024</v>
      </c>
      <c r="JI750" s="373"/>
      <c r="JJ750" s="373"/>
      <c r="JK750" s="373">
        <f>+JL1</f>
        <v>2025</v>
      </c>
      <c r="JL750" s="373"/>
      <c r="JM750" s="373"/>
      <c r="JN750" s="373"/>
      <c r="JO750" s="373"/>
      <c r="JP750" s="373"/>
      <c r="JQ750" s="373"/>
      <c r="JR750" s="373"/>
      <c r="JS750" s="373"/>
      <c r="JT750" s="373"/>
      <c r="JU750" s="373"/>
      <c r="JV750" s="373"/>
      <c r="JW750" s="373"/>
      <c r="JX750" s="373"/>
      <c r="JY750" s="373"/>
      <c r="JZ750" s="373"/>
      <c r="KA750" s="373"/>
      <c r="KB750" s="373"/>
      <c r="KC750" s="373"/>
      <c r="KD750" s="373"/>
      <c r="KE750" s="373"/>
      <c r="KF750" s="373"/>
      <c r="KG750" s="373"/>
      <c r="KH750" s="373"/>
      <c r="KI750" s="373"/>
      <c r="KJ750" s="373"/>
      <c r="KK750" s="373"/>
      <c r="KL750" s="373"/>
      <c r="KM750" s="373"/>
      <c r="KN750" s="373"/>
      <c r="KO750" s="373"/>
    </row>
    <row r="751" spans="1:314" ht="23.25" customHeight="1">
      <c r="A751" s="279"/>
      <c r="D751" s="286" t="s">
        <v>3242</v>
      </c>
      <c r="E751" s="287"/>
      <c r="F751" s="287"/>
      <c r="G751" s="287"/>
      <c r="H751" s="287"/>
      <c r="I751" s="287"/>
      <c r="J751" s="287"/>
      <c r="K751" s="287"/>
      <c r="L751" s="287"/>
      <c r="M751" s="287"/>
      <c r="N751" s="287"/>
      <c r="O751" s="287"/>
      <c r="P751" s="287"/>
      <c r="Q751" s="287"/>
      <c r="R751" s="287"/>
      <c r="S751" s="287"/>
      <c r="T751" s="287"/>
      <c r="U751" s="287"/>
      <c r="V751" s="287"/>
      <c r="W751" s="287"/>
      <c r="X751" s="287"/>
      <c r="Y751" s="287"/>
      <c r="Z751" s="287"/>
      <c r="AA751" s="287"/>
      <c r="AB751" s="287"/>
      <c r="AC751" s="287"/>
      <c r="AD751" s="287"/>
      <c r="AE751" s="287"/>
      <c r="AF751" s="287"/>
      <c r="AG751" s="287"/>
      <c r="AH751" s="287"/>
      <c r="AI751" s="287"/>
      <c r="AJ751" s="287"/>
      <c r="AK751" s="287"/>
      <c r="AL751" s="287"/>
      <c r="AM751" s="287"/>
      <c r="AN751" s="287"/>
      <c r="AO751" s="287"/>
      <c r="AP751" s="287"/>
      <c r="AQ751" s="287"/>
      <c r="AR751" s="287"/>
      <c r="AS751" s="287"/>
      <c r="AT751" s="287"/>
      <c r="AU751" s="287"/>
      <c r="AV751" s="287"/>
      <c r="AW751" s="287"/>
      <c r="AX751" s="287"/>
      <c r="AY751" s="287"/>
      <c r="AZ751" s="287"/>
      <c r="BA751" s="287"/>
      <c r="BB751" s="287"/>
      <c r="BC751" s="287"/>
      <c r="BD751" s="287"/>
      <c r="BE751" s="287"/>
      <c r="BF751" s="287"/>
      <c r="BG751" s="287"/>
      <c r="BH751" s="287"/>
      <c r="BI751" s="287"/>
      <c r="BJ751" s="287"/>
      <c r="BK751" s="287"/>
      <c r="BL751" s="287"/>
      <c r="BM751" s="287"/>
      <c r="BN751" s="287"/>
      <c r="BO751" s="287"/>
      <c r="BP751" s="287"/>
      <c r="BQ751" s="287"/>
      <c r="BR751" s="287"/>
      <c r="BS751" s="287"/>
      <c r="BT751" s="287"/>
      <c r="BU751" s="287"/>
      <c r="BV751" s="287"/>
      <c r="BW751" s="287"/>
      <c r="BX751" s="287"/>
      <c r="BY751" s="287"/>
      <c r="BZ751" s="287"/>
      <c r="CA751" s="287"/>
      <c r="CB751" s="287"/>
      <c r="CC751" s="287"/>
      <c r="CD751" s="287"/>
      <c r="CE751" s="287"/>
      <c r="CF751" s="287"/>
      <c r="CG751" s="287"/>
      <c r="CH751" s="287"/>
      <c r="CI751" s="287"/>
      <c r="CJ751" s="287"/>
      <c r="CK751" s="287"/>
      <c r="CL751" s="287"/>
      <c r="CM751" s="287"/>
      <c r="CN751" s="287"/>
      <c r="CO751" s="287"/>
      <c r="CP751" s="288"/>
      <c r="CQ751" s="287"/>
      <c r="CR751" s="287"/>
      <c r="CS751" s="287"/>
      <c r="CT751" s="287"/>
      <c r="CU751" s="287"/>
      <c r="CV751" s="287"/>
      <c r="CW751" s="287"/>
      <c r="CX751" s="287"/>
      <c r="CY751" s="287"/>
      <c r="CZ751" s="287"/>
      <c r="DA751" s="287"/>
      <c r="DB751" s="290"/>
      <c r="DC751" s="287"/>
      <c r="DD751" s="287"/>
      <c r="DE751" s="287"/>
      <c r="DF751" s="287"/>
      <c r="DG751" s="287"/>
      <c r="DH751" s="287"/>
      <c r="DI751" s="287"/>
      <c r="DJ751" s="287"/>
      <c r="DK751" s="287"/>
      <c r="DL751" s="287"/>
      <c r="DM751" s="287"/>
      <c r="DN751" s="288"/>
      <c r="DO751" s="1321"/>
      <c r="DP751" s="287"/>
      <c r="DQ751" s="287"/>
      <c r="DR751" s="287"/>
      <c r="DS751" s="287"/>
      <c r="DT751" s="287"/>
      <c r="DU751" s="287"/>
      <c r="DV751" s="287"/>
      <c r="DW751" s="287"/>
      <c r="DX751" s="287"/>
      <c r="DY751" s="287"/>
      <c r="EA751" s="279"/>
      <c r="GG751" s="1654"/>
      <c r="HZ751" s="375"/>
      <c r="IA751" s="286" t="s">
        <v>898</v>
      </c>
      <c r="IB751" s="1384"/>
      <c r="IC751" s="1384"/>
      <c r="ID751" s="661" t="str">
        <f t="shared" ref="ID751:IS751" si="848">+ID2</f>
        <v>2013/14</v>
      </c>
      <c r="IE751" s="661" t="str">
        <f t="shared" si="848"/>
        <v>2014/15</v>
      </c>
      <c r="IF751" s="661" t="str">
        <f t="shared" si="848"/>
        <v>2014/15</v>
      </c>
      <c r="IG751" s="661" t="str">
        <f t="shared" si="848"/>
        <v>2014/15</v>
      </c>
      <c r="IH751" s="661" t="str">
        <f t="shared" si="848"/>
        <v>2015/16</v>
      </c>
      <c r="II751" s="661" t="str">
        <f t="shared" si="848"/>
        <v>2015/16</v>
      </c>
      <c r="IJ751" s="661" t="str">
        <f t="shared" si="848"/>
        <v>2015/16</v>
      </c>
      <c r="IK751" s="661" t="str">
        <f t="shared" si="848"/>
        <v>2016/17</v>
      </c>
      <c r="IL751" s="661" t="str">
        <f t="shared" si="848"/>
        <v>2016/17</v>
      </c>
      <c r="IM751" s="661" t="str">
        <f t="shared" si="848"/>
        <v>2016/17</v>
      </c>
      <c r="IN751" s="661" t="str">
        <f t="shared" si="848"/>
        <v>2017/18</v>
      </c>
      <c r="IO751" s="661" t="str">
        <f t="shared" si="848"/>
        <v>2017/18</v>
      </c>
      <c r="IP751" s="662" t="str">
        <f t="shared" si="848"/>
        <v>2017/18</v>
      </c>
      <c r="IQ751" s="661" t="str">
        <f t="shared" si="848"/>
        <v>2018/19</v>
      </c>
      <c r="IR751" s="661" t="str">
        <f t="shared" si="848"/>
        <v>2018/19</v>
      </c>
      <c r="IS751" s="662" t="str">
        <f t="shared" si="848"/>
        <v>2018/19</v>
      </c>
      <c r="IT751" s="662" t="str">
        <f t="shared" ref="IT751:JZ751" si="849">+IT2</f>
        <v>2019/20</v>
      </c>
      <c r="IU751" s="662" t="str">
        <f t="shared" si="849"/>
        <v>2019/20</v>
      </c>
      <c r="IV751" s="662" t="str">
        <f t="shared" si="849"/>
        <v>2019/20</v>
      </c>
      <c r="IW751" s="662" t="str">
        <f t="shared" si="849"/>
        <v>2020/2021</v>
      </c>
      <c r="IX751" s="662" t="str">
        <f t="shared" si="849"/>
        <v>2020/2021</v>
      </c>
      <c r="IY751" s="662" t="str">
        <f t="shared" si="849"/>
        <v>2020/2021</v>
      </c>
      <c r="IZ751" s="662" t="str">
        <f t="shared" si="849"/>
        <v>2021/2022</v>
      </c>
      <c r="JA751" s="662" t="str">
        <f t="shared" si="849"/>
        <v>2021/2022</v>
      </c>
      <c r="JB751" s="662" t="str">
        <f t="shared" si="849"/>
        <v>2021/2022</v>
      </c>
      <c r="JC751" s="662" t="str">
        <f t="shared" si="849"/>
        <v>2022/2023</v>
      </c>
      <c r="JD751" s="662" t="str">
        <f t="shared" si="849"/>
        <v>2022/2023</v>
      </c>
      <c r="JE751" s="662" t="str">
        <f t="shared" si="849"/>
        <v>2022/2023</v>
      </c>
      <c r="JF751" s="662" t="str">
        <f t="shared" si="849"/>
        <v>2023/2024</v>
      </c>
      <c r="JG751" s="662" t="str">
        <f t="shared" si="849"/>
        <v>2023/2024</v>
      </c>
      <c r="JH751" s="662" t="str">
        <f t="shared" si="849"/>
        <v>2023/2024</v>
      </c>
      <c r="JI751" s="662" t="str">
        <f t="shared" si="849"/>
        <v>2024/2025</v>
      </c>
      <c r="JJ751" s="662" t="str">
        <f t="shared" si="849"/>
        <v>2024/2025</v>
      </c>
      <c r="JK751" s="662" t="str">
        <f t="shared" si="849"/>
        <v>2024/2025</v>
      </c>
      <c r="JL751" s="662" t="str">
        <f t="shared" si="849"/>
        <v>2025/2026</v>
      </c>
      <c r="JM751" s="662" t="str">
        <f t="shared" si="849"/>
        <v>2025/2026</v>
      </c>
      <c r="JN751" s="662" t="str">
        <f t="shared" si="849"/>
        <v>2025/2026</v>
      </c>
      <c r="JO751" s="662" t="str">
        <f t="shared" si="849"/>
        <v>2026/2027</v>
      </c>
      <c r="JP751" s="662" t="str">
        <f t="shared" si="849"/>
        <v>2026/2027</v>
      </c>
      <c r="JQ751" s="662" t="str">
        <f t="shared" si="849"/>
        <v>2026/2027</v>
      </c>
      <c r="JR751" s="662" t="str">
        <f t="shared" si="849"/>
        <v>2027/2028</v>
      </c>
      <c r="JS751" s="662" t="str">
        <f t="shared" si="849"/>
        <v>2027/2028</v>
      </c>
      <c r="JT751" s="662" t="str">
        <f t="shared" si="849"/>
        <v>2027/2028</v>
      </c>
      <c r="JU751" s="662" t="str">
        <f t="shared" si="849"/>
        <v>2028/2029</v>
      </c>
      <c r="JV751" s="662" t="str">
        <f t="shared" si="849"/>
        <v>2028/2029</v>
      </c>
      <c r="JW751" s="662" t="str">
        <f t="shared" si="849"/>
        <v>2028/2029</v>
      </c>
      <c r="JX751" s="662" t="str">
        <f t="shared" si="849"/>
        <v>2029/2030</v>
      </c>
      <c r="JY751" s="662" t="str">
        <f t="shared" si="849"/>
        <v>2029/2030</v>
      </c>
      <c r="JZ751" s="662" t="str">
        <f t="shared" si="849"/>
        <v>2029/2030</v>
      </c>
      <c r="KA751" s="662" t="str">
        <f t="shared" ref="KA751:KI751" si="850">+KA2</f>
        <v>2030/2031</v>
      </c>
      <c r="KB751" s="662" t="str">
        <f t="shared" si="850"/>
        <v>2030/2031</v>
      </c>
      <c r="KC751" s="662" t="str">
        <f>+KC2</f>
        <v>2030/2031</v>
      </c>
      <c r="KD751" s="662" t="str">
        <f t="shared" si="850"/>
        <v>2031/2032</v>
      </c>
      <c r="KE751" s="662" t="str">
        <f t="shared" si="850"/>
        <v>2031/2032</v>
      </c>
      <c r="KF751" s="662" t="str">
        <f t="shared" si="850"/>
        <v>2031/2032</v>
      </c>
      <c r="KG751" s="662" t="str">
        <f t="shared" si="850"/>
        <v>2032/2033</v>
      </c>
      <c r="KH751" s="662" t="str">
        <f t="shared" si="850"/>
        <v>2032/2033</v>
      </c>
      <c r="KI751" s="662" t="str">
        <f t="shared" si="850"/>
        <v>2032/2033</v>
      </c>
      <c r="KJ751" s="662" t="str">
        <f t="shared" ref="KJ751:KO751" si="851">+KJ2</f>
        <v>2033/2034</v>
      </c>
      <c r="KK751" s="662" t="str">
        <f t="shared" si="851"/>
        <v>2033/2034</v>
      </c>
      <c r="KL751" s="662" t="str">
        <f t="shared" si="851"/>
        <v>2033/2034</v>
      </c>
      <c r="KM751" s="662" t="str">
        <f t="shared" si="851"/>
        <v>2034/2035</v>
      </c>
      <c r="KN751" s="662" t="str">
        <f t="shared" si="851"/>
        <v>2034/2035</v>
      </c>
      <c r="KO751" s="662" t="str">
        <f t="shared" si="851"/>
        <v>2034/2035</v>
      </c>
      <c r="KY751" s="287"/>
      <c r="KZ751" s="287"/>
      <c r="LA751" s="287"/>
      <c r="LB751" s="290"/>
    </row>
    <row r="752" spans="1:314">
      <c r="A752" s="279"/>
      <c r="CP752" s="280"/>
      <c r="DZ752" s="288"/>
      <c r="EA752" s="1321"/>
      <c r="IA752" s="96"/>
      <c r="IB752" s="437" t="str">
        <f>+IB3</f>
        <v>Jul-Dec</v>
      </c>
      <c r="IC752" s="437" t="str">
        <f>+IC3</f>
        <v>Jan-Jun</v>
      </c>
      <c r="ID752" s="437" t="str">
        <f t="shared" ref="ID752:IS752" si="852">+ID3</f>
        <v>Proj.</v>
      </c>
      <c r="IE752" s="437" t="str">
        <f t="shared" si="852"/>
        <v>Jul-Dec</v>
      </c>
      <c r="IF752" s="437" t="str">
        <f t="shared" si="852"/>
        <v>Jan-Jun</v>
      </c>
      <c r="IG752" s="437" t="str">
        <f t="shared" si="852"/>
        <v>Est.</v>
      </c>
      <c r="IH752" s="437" t="str">
        <f t="shared" si="852"/>
        <v>July-Dec</v>
      </c>
      <c r="II752" s="437" t="str">
        <f t="shared" si="852"/>
        <v>Jan-June</v>
      </c>
      <c r="IJ752" s="437" t="str">
        <f t="shared" si="852"/>
        <v>Est.</v>
      </c>
      <c r="IK752" s="437" t="str">
        <f t="shared" si="852"/>
        <v>Jul-Dec</v>
      </c>
      <c r="IL752" s="437" t="str">
        <f t="shared" si="852"/>
        <v>Jan-Jun</v>
      </c>
      <c r="IM752" s="437" t="str">
        <f t="shared" si="852"/>
        <v>Proj.</v>
      </c>
      <c r="IN752" s="437" t="str">
        <f t="shared" si="852"/>
        <v>Jul-Dec</v>
      </c>
      <c r="IO752" s="437" t="str">
        <f t="shared" si="852"/>
        <v>Jan-Jun</v>
      </c>
      <c r="IP752" s="284" t="str">
        <f t="shared" si="852"/>
        <v>Proj.</v>
      </c>
      <c r="IQ752" s="437" t="str">
        <f t="shared" si="852"/>
        <v>Jul-Dec</v>
      </c>
      <c r="IR752" s="437" t="str">
        <f t="shared" si="852"/>
        <v>Jan-Jun</v>
      </c>
      <c r="IS752" s="284" t="str">
        <f t="shared" si="852"/>
        <v>Proj.</v>
      </c>
      <c r="IT752" s="437" t="str">
        <f t="shared" ref="IT752:JZ752" si="853">+IT3</f>
        <v>Jul-Dec</v>
      </c>
      <c r="IU752" s="437" t="str">
        <f t="shared" si="853"/>
        <v>Jan-Jun</v>
      </c>
      <c r="IV752" s="284" t="str">
        <f t="shared" si="853"/>
        <v>Proj.</v>
      </c>
      <c r="IW752" s="284" t="str">
        <f t="shared" si="853"/>
        <v>Jul-Dec</v>
      </c>
      <c r="IX752" s="284" t="str">
        <f t="shared" si="853"/>
        <v>Jan-Jun</v>
      </c>
      <c r="IY752" s="284" t="str">
        <f t="shared" si="853"/>
        <v>Proj.</v>
      </c>
      <c r="IZ752" s="284" t="str">
        <f t="shared" si="853"/>
        <v>Jul-Dec</v>
      </c>
      <c r="JA752" s="284" t="str">
        <f t="shared" si="853"/>
        <v>Jan-Jun</v>
      </c>
      <c r="JB752" s="284" t="str">
        <f t="shared" si="853"/>
        <v>Proj.</v>
      </c>
      <c r="JC752" s="284" t="str">
        <f t="shared" si="853"/>
        <v>Jul-Dec</v>
      </c>
      <c r="JD752" s="284" t="str">
        <f t="shared" si="853"/>
        <v>Jan-Jun</v>
      </c>
      <c r="JE752" s="284" t="str">
        <f t="shared" si="853"/>
        <v>Proj.</v>
      </c>
      <c r="JF752" s="284" t="str">
        <f t="shared" si="853"/>
        <v>Jul-Dec</v>
      </c>
      <c r="JG752" s="284" t="str">
        <f t="shared" si="853"/>
        <v>Jan-Jun</v>
      </c>
      <c r="JH752" s="284" t="str">
        <f t="shared" si="853"/>
        <v>Proj.</v>
      </c>
      <c r="JI752" s="284" t="str">
        <f t="shared" si="853"/>
        <v>Jul-Dec</v>
      </c>
      <c r="JJ752" s="284" t="str">
        <f t="shared" si="853"/>
        <v>Jan-Jun</v>
      </c>
      <c r="JK752" s="284" t="str">
        <f t="shared" si="853"/>
        <v>Proj.</v>
      </c>
      <c r="JL752" s="284" t="str">
        <f t="shared" si="853"/>
        <v>Jul-Dec</v>
      </c>
      <c r="JM752" s="284" t="str">
        <f t="shared" si="853"/>
        <v>Jan-Jun</v>
      </c>
      <c r="JN752" s="284" t="str">
        <f t="shared" si="853"/>
        <v>Proj.</v>
      </c>
      <c r="JO752" s="284" t="str">
        <f t="shared" si="853"/>
        <v>Jul-Dec</v>
      </c>
      <c r="JP752" s="284" t="str">
        <f t="shared" si="853"/>
        <v>Jan-Jun</v>
      </c>
      <c r="JQ752" s="284" t="str">
        <f t="shared" si="853"/>
        <v>Proj.</v>
      </c>
      <c r="JR752" s="284" t="str">
        <f t="shared" si="853"/>
        <v>Jul-Dec</v>
      </c>
      <c r="JS752" s="284" t="str">
        <f t="shared" si="853"/>
        <v>Jan-Jun</v>
      </c>
      <c r="JT752" s="284" t="str">
        <f t="shared" si="853"/>
        <v>Proj.</v>
      </c>
      <c r="JU752" s="284" t="str">
        <f t="shared" si="853"/>
        <v>Jul-Dec</v>
      </c>
      <c r="JV752" s="284" t="str">
        <f t="shared" si="853"/>
        <v>Jan-Jun</v>
      </c>
      <c r="JW752" s="284" t="str">
        <f t="shared" si="853"/>
        <v>Proj.</v>
      </c>
      <c r="JX752" s="284" t="str">
        <f t="shared" si="853"/>
        <v>Jul-Dec</v>
      </c>
      <c r="JY752" s="284" t="str">
        <f t="shared" si="853"/>
        <v>Jan-Jun</v>
      </c>
      <c r="JZ752" s="284" t="str">
        <f t="shared" si="853"/>
        <v>Proj.</v>
      </c>
      <c r="KA752" s="284" t="str">
        <f t="shared" ref="KA752:KI752" si="854">+KA3</f>
        <v>Jul-Dec</v>
      </c>
      <c r="KB752" s="284" t="str">
        <f t="shared" si="854"/>
        <v>Jan-Jun</v>
      </c>
      <c r="KC752" s="284" t="str">
        <f t="shared" si="854"/>
        <v>Proj.</v>
      </c>
      <c r="KD752" s="284" t="str">
        <f t="shared" si="854"/>
        <v>Jul-Dec</v>
      </c>
      <c r="KE752" s="284" t="str">
        <f t="shared" si="854"/>
        <v>Jan-Jun</v>
      </c>
      <c r="KF752" s="284" t="str">
        <f t="shared" si="854"/>
        <v>Proj.</v>
      </c>
      <c r="KG752" s="284" t="str">
        <f t="shared" si="854"/>
        <v>Jul-Dec</v>
      </c>
      <c r="KH752" s="284" t="str">
        <f t="shared" si="854"/>
        <v>Jan-Jun</v>
      </c>
      <c r="KI752" s="284" t="str">
        <f t="shared" si="854"/>
        <v>Proj.</v>
      </c>
      <c r="KJ752" s="284" t="str">
        <f t="shared" ref="KJ752:KO752" si="855">+KJ3</f>
        <v>Jul-Dec</v>
      </c>
      <c r="KK752" s="284" t="str">
        <f t="shared" si="855"/>
        <v>Jan-Jun</v>
      </c>
      <c r="KL752" s="284" t="str">
        <f t="shared" si="855"/>
        <v>Proj.</v>
      </c>
      <c r="KM752" s="284" t="str">
        <f t="shared" si="855"/>
        <v>Jul-Dec</v>
      </c>
      <c r="KN752" s="284" t="str">
        <f t="shared" si="855"/>
        <v>Jan-Jun</v>
      </c>
      <c r="KO752" s="284" t="str">
        <f t="shared" si="855"/>
        <v>Proj.</v>
      </c>
    </row>
    <row r="753" spans="1:314">
      <c r="A753" s="279"/>
      <c r="D753" s="323"/>
      <c r="E753" s="371">
        <f t="shared" ref="E753:BP753" si="856">+E1</f>
        <v>39083</v>
      </c>
      <c r="F753" s="371">
        <f t="shared" si="856"/>
        <v>39114</v>
      </c>
      <c r="G753" s="371">
        <f t="shared" si="856"/>
        <v>39142</v>
      </c>
      <c r="H753" s="371">
        <f t="shared" si="856"/>
        <v>39173</v>
      </c>
      <c r="I753" s="371">
        <f t="shared" si="856"/>
        <v>39203</v>
      </c>
      <c r="J753" s="371">
        <f t="shared" si="856"/>
        <v>39234</v>
      </c>
      <c r="K753" s="371">
        <f t="shared" si="856"/>
        <v>39264</v>
      </c>
      <c r="L753" s="371">
        <f t="shared" si="856"/>
        <v>39295</v>
      </c>
      <c r="M753" s="371">
        <f t="shared" si="856"/>
        <v>39326</v>
      </c>
      <c r="N753" s="371">
        <f t="shared" si="856"/>
        <v>39356</v>
      </c>
      <c r="O753" s="371">
        <f t="shared" si="856"/>
        <v>39387</v>
      </c>
      <c r="P753" s="371">
        <f t="shared" si="856"/>
        <v>39417</v>
      </c>
      <c r="Q753" s="371">
        <f t="shared" si="856"/>
        <v>39448</v>
      </c>
      <c r="R753" s="371">
        <f t="shared" si="856"/>
        <v>39479</v>
      </c>
      <c r="S753" s="371">
        <f t="shared" si="856"/>
        <v>39508</v>
      </c>
      <c r="T753" s="371">
        <f t="shared" si="856"/>
        <v>39539</v>
      </c>
      <c r="U753" s="371">
        <f t="shared" si="856"/>
        <v>39569</v>
      </c>
      <c r="V753" s="371">
        <f t="shared" si="856"/>
        <v>39600</v>
      </c>
      <c r="W753" s="371">
        <f t="shared" si="856"/>
        <v>39630</v>
      </c>
      <c r="X753" s="371">
        <f t="shared" si="856"/>
        <v>39661</v>
      </c>
      <c r="Y753" s="371">
        <f t="shared" si="856"/>
        <v>39692</v>
      </c>
      <c r="Z753" s="371">
        <f t="shared" si="856"/>
        <v>39722</v>
      </c>
      <c r="AA753" s="371">
        <f t="shared" si="856"/>
        <v>39753</v>
      </c>
      <c r="AB753" s="371">
        <f t="shared" si="856"/>
        <v>39783</v>
      </c>
      <c r="AC753" s="371">
        <f t="shared" si="856"/>
        <v>39814</v>
      </c>
      <c r="AD753" s="371">
        <f t="shared" si="856"/>
        <v>39845</v>
      </c>
      <c r="AE753" s="371">
        <f t="shared" si="856"/>
        <v>39873</v>
      </c>
      <c r="AF753" s="371">
        <f t="shared" si="856"/>
        <v>39904</v>
      </c>
      <c r="AG753" s="371">
        <f t="shared" si="856"/>
        <v>39934</v>
      </c>
      <c r="AH753" s="371">
        <f t="shared" si="856"/>
        <v>39965</v>
      </c>
      <c r="AI753" s="371">
        <f t="shared" si="856"/>
        <v>39995</v>
      </c>
      <c r="AJ753" s="371">
        <f t="shared" si="856"/>
        <v>40026</v>
      </c>
      <c r="AK753" s="371">
        <f t="shared" si="856"/>
        <v>40057</v>
      </c>
      <c r="AL753" s="371">
        <f t="shared" si="856"/>
        <v>40087</v>
      </c>
      <c r="AM753" s="371">
        <f t="shared" si="856"/>
        <v>40118</v>
      </c>
      <c r="AN753" s="371">
        <f t="shared" si="856"/>
        <v>40148</v>
      </c>
      <c r="AO753" s="371">
        <f t="shared" si="856"/>
        <v>40179</v>
      </c>
      <c r="AP753" s="371">
        <f t="shared" si="856"/>
        <v>40210</v>
      </c>
      <c r="AQ753" s="371">
        <f t="shared" si="856"/>
        <v>40238</v>
      </c>
      <c r="AR753" s="371">
        <f t="shared" si="856"/>
        <v>40269</v>
      </c>
      <c r="AS753" s="371">
        <f t="shared" si="856"/>
        <v>40299</v>
      </c>
      <c r="AT753" s="371">
        <f t="shared" si="856"/>
        <v>40330</v>
      </c>
      <c r="AU753" s="371">
        <f t="shared" si="856"/>
        <v>40360</v>
      </c>
      <c r="AV753" s="371">
        <f t="shared" si="856"/>
        <v>40391</v>
      </c>
      <c r="AW753" s="371">
        <f t="shared" si="856"/>
        <v>40422</v>
      </c>
      <c r="AX753" s="371">
        <f t="shared" si="856"/>
        <v>40452</v>
      </c>
      <c r="AY753" s="371">
        <f t="shared" si="856"/>
        <v>40483</v>
      </c>
      <c r="AZ753" s="371">
        <f t="shared" si="856"/>
        <v>40513</v>
      </c>
      <c r="BA753" s="371">
        <f t="shared" si="856"/>
        <v>40544</v>
      </c>
      <c r="BB753" s="371">
        <f t="shared" si="856"/>
        <v>40575</v>
      </c>
      <c r="BC753" s="371">
        <f t="shared" si="856"/>
        <v>40603</v>
      </c>
      <c r="BD753" s="371">
        <f t="shared" si="856"/>
        <v>40634</v>
      </c>
      <c r="BE753" s="371">
        <f t="shared" si="856"/>
        <v>40664</v>
      </c>
      <c r="BF753" s="371">
        <f t="shared" si="856"/>
        <v>40695</v>
      </c>
      <c r="BG753" s="371">
        <f t="shared" si="856"/>
        <v>40725</v>
      </c>
      <c r="BH753" s="371">
        <f t="shared" si="856"/>
        <v>40756</v>
      </c>
      <c r="BI753" s="371">
        <f t="shared" si="856"/>
        <v>40787</v>
      </c>
      <c r="BJ753" s="371">
        <f t="shared" si="856"/>
        <v>40817</v>
      </c>
      <c r="BK753" s="371">
        <f t="shared" si="856"/>
        <v>40848</v>
      </c>
      <c r="BL753" s="371">
        <f t="shared" si="856"/>
        <v>40878</v>
      </c>
      <c r="BM753" s="371">
        <f t="shared" si="856"/>
        <v>40909</v>
      </c>
      <c r="BN753" s="371">
        <f t="shared" si="856"/>
        <v>40940</v>
      </c>
      <c r="BO753" s="371">
        <f t="shared" si="856"/>
        <v>40969</v>
      </c>
      <c r="BP753" s="371">
        <f t="shared" si="856"/>
        <v>41000</v>
      </c>
      <c r="BQ753" s="371">
        <f t="shared" ref="BQ753:EB753" si="857">+BQ1</f>
        <v>41030</v>
      </c>
      <c r="BR753" s="371">
        <f t="shared" si="857"/>
        <v>41061</v>
      </c>
      <c r="BS753" s="371">
        <f t="shared" si="857"/>
        <v>41091</v>
      </c>
      <c r="BT753" s="371">
        <f t="shared" si="857"/>
        <v>41122</v>
      </c>
      <c r="BU753" s="371">
        <f t="shared" si="857"/>
        <v>41153</v>
      </c>
      <c r="BV753" s="371">
        <f t="shared" si="857"/>
        <v>41183</v>
      </c>
      <c r="BW753" s="371">
        <f t="shared" si="857"/>
        <v>41214</v>
      </c>
      <c r="BX753" s="371">
        <f t="shared" si="857"/>
        <v>41244</v>
      </c>
      <c r="BY753" s="371">
        <f t="shared" si="857"/>
        <v>41275</v>
      </c>
      <c r="BZ753" s="371">
        <f t="shared" si="857"/>
        <v>41306</v>
      </c>
      <c r="CA753" s="371">
        <f t="shared" si="857"/>
        <v>41334</v>
      </c>
      <c r="CB753" s="371">
        <f t="shared" si="857"/>
        <v>41365</v>
      </c>
      <c r="CC753" s="371">
        <f t="shared" si="857"/>
        <v>41395</v>
      </c>
      <c r="CD753" s="371">
        <f t="shared" si="857"/>
        <v>41426</v>
      </c>
      <c r="CE753" s="371">
        <f t="shared" si="857"/>
        <v>41456</v>
      </c>
      <c r="CF753" s="371">
        <f t="shared" si="857"/>
        <v>41487</v>
      </c>
      <c r="CG753" s="371">
        <f t="shared" si="857"/>
        <v>41518</v>
      </c>
      <c r="CH753" s="371">
        <f t="shared" si="857"/>
        <v>41548</v>
      </c>
      <c r="CI753" s="371">
        <f t="shared" si="857"/>
        <v>41579</v>
      </c>
      <c r="CJ753" s="371">
        <f t="shared" si="857"/>
        <v>41609</v>
      </c>
      <c r="CK753" s="371">
        <f t="shared" si="857"/>
        <v>41640</v>
      </c>
      <c r="CL753" s="371">
        <f t="shared" si="857"/>
        <v>41671</v>
      </c>
      <c r="CM753" s="371">
        <f t="shared" si="857"/>
        <v>41699</v>
      </c>
      <c r="CN753" s="371">
        <f t="shared" si="857"/>
        <v>41730</v>
      </c>
      <c r="CO753" s="371">
        <f t="shared" si="857"/>
        <v>41760</v>
      </c>
      <c r="CP753" s="623">
        <f t="shared" si="857"/>
        <v>41791</v>
      </c>
      <c r="CQ753" s="371">
        <f t="shared" si="857"/>
        <v>41821</v>
      </c>
      <c r="CR753" s="371">
        <f t="shared" si="857"/>
        <v>41852</v>
      </c>
      <c r="CS753" s="371">
        <f t="shared" si="857"/>
        <v>41883</v>
      </c>
      <c r="CT753" s="371">
        <f t="shared" si="857"/>
        <v>41913</v>
      </c>
      <c r="CU753" s="371">
        <f t="shared" si="857"/>
        <v>41944</v>
      </c>
      <c r="CV753" s="371">
        <f t="shared" si="857"/>
        <v>41974</v>
      </c>
      <c r="CW753" s="371">
        <f t="shared" si="857"/>
        <v>42005</v>
      </c>
      <c r="CX753" s="371">
        <f t="shared" si="857"/>
        <v>42036</v>
      </c>
      <c r="CY753" s="371">
        <f t="shared" si="857"/>
        <v>42064</v>
      </c>
      <c r="CZ753" s="371">
        <f t="shared" si="857"/>
        <v>42095</v>
      </c>
      <c r="DA753" s="371">
        <f t="shared" si="857"/>
        <v>42125</v>
      </c>
      <c r="DB753" s="1270">
        <f t="shared" si="857"/>
        <v>42156</v>
      </c>
      <c r="DC753" s="371">
        <f t="shared" si="857"/>
        <v>42186</v>
      </c>
      <c r="DD753" s="371">
        <f t="shared" si="857"/>
        <v>42217</v>
      </c>
      <c r="DE753" s="371">
        <f t="shared" si="857"/>
        <v>42248</v>
      </c>
      <c r="DF753" s="371">
        <f t="shared" si="857"/>
        <v>42278</v>
      </c>
      <c r="DG753" s="371">
        <f t="shared" si="857"/>
        <v>42309</v>
      </c>
      <c r="DH753" s="371">
        <f t="shared" si="857"/>
        <v>42339</v>
      </c>
      <c r="DI753" s="371">
        <f t="shared" si="857"/>
        <v>42370</v>
      </c>
      <c r="DJ753" s="371">
        <f t="shared" si="857"/>
        <v>42401</v>
      </c>
      <c r="DK753" s="371">
        <f t="shared" si="857"/>
        <v>42430</v>
      </c>
      <c r="DL753" s="371">
        <f t="shared" si="857"/>
        <v>42461</v>
      </c>
      <c r="DM753" s="371">
        <f t="shared" si="857"/>
        <v>42491</v>
      </c>
      <c r="DN753" s="623">
        <f t="shared" si="857"/>
        <v>42522</v>
      </c>
      <c r="DO753" s="371">
        <f t="shared" si="857"/>
        <v>42552</v>
      </c>
      <c r="DP753" s="371">
        <f t="shared" si="857"/>
        <v>42583</v>
      </c>
      <c r="DQ753" s="371">
        <f t="shared" si="857"/>
        <v>42615</v>
      </c>
      <c r="DR753" s="371">
        <f t="shared" si="857"/>
        <v>42646</v>
      </c>
      <c r="DS753" s="371">
        <f t="shared" si="857"/>
        <v>42678</v>
      </c>
      <c r="DT753" s="371">
        <f t="shared" si="857"/>
        <v>42709</v>
      </c>
      <c r="DU753" s="371">
        <f t="shared" si="857"/>
        <v>42736</v>
      </c>
      <c r="DV753" s="371">
        <f t="shared" si="857"/>
        <v>42767</v>
      </c>
      <c r="DW753" s="371">
        <f t="shared" si="857"/>
        <v>42795</v>
      </c>
      <c r="DX753" s="371">
        <f t="shared" si="857"/>
        <v>42826</v>
      </c>
      <c r="DY753" s="371">
        <f t="shared" si="857"/>
        <v>42856</v>
      </c>
      <c r="DZ753" s="623">
        <f t="shared" si="857"/>
        <v>42887</v>
      </c>
      <c r="EA753" s="371">
        <f t="shared" si="857"/>
        <v>42917</v>
      </c>
      <c r="EB753" s="371">
        <f t="shared" si="857"/>
        <v>42948</v>
      </c>
      <c r="EC753" s="371">
        <f t="shared" ref="EC753:GN753" si="858">+EC1</f>
        <v>42979</v>
      </c>
      <c r="ED753" s="371">
        <f t="shared" si="858"/>
        <v>43009</v>
      </c>
      <c r="EE753" s="371">
        <f t="shared" si="858"/>
        <v>43040</v>
      </c>
      <c r="EF753" s="371">
        <f t="shared" si="858"/>
        <v>43070</v>
      </c>
      <c r="EG753" s="371">
        <f t="shared" si="858"/>
        <v>43101</v>
      </c>
      <c r="EH753" s="371">
        <f t="shared" si="858"/>
        <v>43132</v>
      </c>
      <c r="EI753" s="371">
        <f t="shared" si="858"/>
        <v>43160</v>
      </c>
      <c r="EJ753" s="371">
        <f t="shared" si="858"/>
        <v>43191</v>
      </c>
      <c r="EK753" s="371">
        <f t="shared" si="858"/>
        <v>43221</v>
      </c>
      <c r="EL753" s="623">
        <f t="shared" si="858"/>
        <v>43252</v>
      </c>
      <c r="EM753" s="371">
        <f t="shared" si="858"/>
        <v>43282</v>
      </c>
      <c r="EN753" s="371">
        <f t="shared" si="858"/>
        <v>43313</v>
      </c>
      <c r="EO753" s="371">
        <f t="shared" si="858"/>
        <v>43344</v>
      </c>
      <c r="EP753" s="371">
        <f t="shared" si="858"/>
        <v>43374</v>
      </c>
      <c r="EQ753" s="371">
        <f t="shared" si="858"/>
        <v>43405</v>
      </c>
      <c r="ER753" s="371">
        <f t="shared" si="858"/>
        <v>43435</v>
      </c>
      <c r="ES753" s="371">
        <f t="shared" si="858"/>
        <v>43466</v>
      </c>
      <c r="ET753" s="371">
        <f t="shared" si="858"/>
        <v>43497</v>
      </c>
      <c r="EU753" s="371">
        <f t="shared" si="858"/>
        <v>43525</v>
      </c>
      <c r="EV753" s="371">
        <f t="shared" si="858"/>
        <v>43556</v>
      </c>
      <c r="EW753" s="371">
        <f t="shared" si="858"/>
        <v>43586</v>
      </c>
      <c r="EX753" s="623">
        <f t="shared" si="858"/>
        <v>43617</v>
      </c>
      <c r="EY753" s="371">
        <f t="shared" si="858"/>
        <v>43647</v>
      </c>
      <c r="EZ753" s="371">
        <f t="shared" si="858"/>
        <v>43678</v>
      </c>
      <c r="FA753" s="371">
        <f t="shared" si="858"/>
        <v>43709</v>
      </c>
      <c r="FB753" s="371">
        <f t="shared" si="858"/>
        <v>43739</v>
      </c>
      <c r="FC753" s="371">
        <f t="shared" si="858"/>
        <v>43770</v>
      </c>
      <c r="FD753" s="371">
        <f t="shared" si="858"/>
        <v>43800</v>
      </c>
      <c r="FE753" s="371">
        <f t="shared" si="858"/>
        <v>43831</v>
      </c>
      <c r="FF753" s="371">
        <f t="shared" si="858"/>
        <v>43862</v>
      </c>
      <c r="FG753" s="371">
        <f t="shared" si="858"/>
        <v>43891</v>
      </c>
      <c r="FH753" s="371">
        <f t="shared" si="858"/>
        <v>43922</v>
      </c>
      <c r="FI753" s="371">
        <f t="shared" si="858"/>
        <v>43952</v>
      </c>
      <c r="FJ753" s="371">
        <f t="shared" si="858"/>
        <v>43983</v>
      </c>
      <c r="FK753" s="371">
        <f t="shared" si="858"/>
        <v>44013</v>
      </c>
      <c r="FL753" s="371">
        <f t="shared" si="858"/>
        <v>44044</v>
      </c>
      <c r="FM753" s="371">
        <f t="shared" si="858"/>
        <v>44075</v>
      </c>
      <c r="FN753" s="371">
        <f t="shared" si="858"/>
        <v>44105</v>
      </c>
      <c r="FO753" s="371">
        <f t="shared" si="858"/>
        <v>44136</v>
      </c>
      <c r="FP753" s="371">
        <f t="shared" si="858"/>
        <v>44166</v>
      </c>
      <c r="FQ753" s="371">
        <f t="shared" si="858"/>
        <v>44197</v>
      </c>
      <c r="FR753" s="371">
        <f t="shared" si="858"/>
        <v>44228</v>
      </c>
      <c r="FS753" s="371">
        <f t="shared" si="858"/>
        <v>44256</v>
      </c>
      <c r="FT753" s="371">
        <f t="shared" si="858"/>
        <v>44287</v>
      </c>
      <c r="FU753" s="371">
        <f t="shared" si="858"/>
        <v>44317</v>
      </c>
      <c r="FV753" s="371">
        <f t="shared" si="858"/>
        <v>44348</v>
      </c>
      <c r="FW753" s="371">
        <f t="shared" si="858"/>
        <v>44378</v>
      </c>
      <c r="FX753" s="371">
        <f t="shared" si="858"/>
        <v>44409</v>
      </c>
      <c r="FY753" s="371">
        <f t="shared" si="858"/>
        <v>44440</v>
      </c>
      <c r="FZ753" s="371">
        <f t="shared" si="858"/>
        <v>44470</v>
      </c>
      <c r="GA753" s="371">
        <f t="shared" si="858"/>
        <v>44501</v>
      </c>
      <c r="GB753" s="371">
        <f t="shared" si="858"/>
        <v>44531</v>
      </c>
      <c r="GC753" s="371">
        <f t="shared" si="858"/>
        <v>44562</v>
      </c>
      <c r="GD753" s="371">
        <f t="shared" si="858"/>
        <v>44593</v>
      </c>
      <c r="GE753" s="371">
        <f t="shared" si="858"/>
        <v>44621</v>
      </c>
      <c r="GF753" s="371">
        <f t="shared" si="858"/>
        <v>44652</v>
      </c>
      <c r="GG753" s="371">
        <f t="shared" si="858"/>
        <v>44682</v>
      </c>
      <c r="GH753" s="371">
        <f t="shared" si="858"/>
        <v>44713</v>
      </c>
      <c r="GI753" s="371">
        <f t="shared" si="858"/>
        <v>44743</v>
      </c>
      <c r="GJ753" s="371">
        <f t="shared" si="858"/>
        <v>44774</v>
      </c>
      <c r="GK753" s="371">
        <f t="shared" si="858"/>
        <v>44805</v>
      </c>
      <c r="GL753" s="371">
        <f t="shared" si="858"/>
        <v>44835</v>
      </c>
      <c r="GM753" s="371">
        <f t="shared" si="858"/>
        <v>44866</v>
      </c>
      <c r="GN753" s="371">
        <f t="shared" si="858"/>
        <v>44896</v>
      </c>
      <c r="GO753" s="371">
        <f t="shared" ref="GO753:HX753" si="859">+GO1</f>
        <v>44927</v>
      </c>
      <c r="GP753" s="371">
        <f t="shared" si="859"/>
        <v>44958</v>
      </c>
      <c r="GQ753" s="371">
        <f t="shared" si="859"/>
        <v>44986</v>
      </c>
      <c r="GR753" s="371">
        <f t="shared" si="859"/>
        <v>45017</v>
      </c>
      <c r="GS753" s="371">
        <f t="shared" si="859"/>
        <v>45047</v>
      </c>
      <c r="GT753" s="371">
        <f t="shared" si="859"/>
        <v>45078</v>
      </c>
      <c r="GU753" s="371">
        <f t="shared" si="859"/>
        <v>45108</v>
      </c>
      <c r="GV753" s="371">
        <f t="shared" si="859"/>
        <v>45139</v>
      </c>
      <c r="GW753" s="371">
        <f t="shared" si="859"/>
        <v>45170</v>
      </c>
      <c r="GX753" s="371">
        <f t="shared" si="859"/>
        <v>45200</v>
      </c>
      <c r="GY753" s="371">
        <f t="shared" si="859"/>
        <v>45231</v>
      </c>
      <c r="GZ753" s="371">
        <f t="shared" si="859"/>
        <v>45261</v>
      </c>
      <c r="HA753" s="371">
        <f t="shared" si="859"/>
        <v>45292</v>
      </c>
      <c r="HB753" s="371">
        <f t="shared" si="859"/>
        <v>45323</v>
      </c>
      <c r="HC753" s="371">
        <f t="shared" si="859"/>
        <v>45352</v>
      </c>
      <c r="HD753" s="371">
        <f t="shared" si="859"/>
        <v>45383</v>
      </c>
      <c r="HE753" s="371">
        <f t="shared" si="859"/>
        <v>45413</v>
      </c>
      <c r="HF753" s="371">
        <f t="shared" si="859"/>
        <v>45444</v>
      </c>
      <c r="HG753" s="371">
        <f t="shared" si="859"/>
        <v>45474</v>
      </c>
      <c r="HH753" s="371">
        <f t="shared" si="859"/>
        <v>45505</v>
      </c>
      <c r="HI753" s="371">
        <f t="shared" si="859"/>
        <v>45536</v>
      </c>
      <c r="HJ753" s="371">
        <f t="shared" si="859"/>
        <v>45566</v>
      </c>
      <c r="HK753" s="371">
        <f t="shared" si="859"/>
        <v>45597</v>
      </c>
      <c r="HL753" s="371">
        <f t="shared" si="859"/>
        <v>45627</v>
      </c>
      <c r="HM753" s="371">
        <f t="shared" si="859"/>
        <v>45658</v>
      </c>
      <c r="HN753" s="371">
        <f t="shared" si="859"/>
        <v>45689</v>
      </c>
      <c r="HO753" s="371">
        <f t="shared" si="859"/>
        <v>45717</v>
      </c>
      <c r="HP753" s="371">
        <f t="shared" si="859"/>
        <v>45748</v>
      </c>
      <c r="HQ753" s="371">
        <f t="shared" si="859"/>
        <v>45778</v>
      </c>
      <c r="HR753" s="371">
        <f t="shared" si="859"/>
        <v>45809</v>
      </c>
      <c r="HS753" s="371">
        <f t="shared" si="859"/>
        <v>45839</v>
      </c>
      <c r="HT753" s="371">
        <f t="shared" si="859"/>
        <v>45870</v>
      </c>
      <c r="HU753" s="371">
        <f t="shared" si="859"/>
        <v>45901</v>
      </c>
      <c r="HV753" s="371">
        <f t="shared" si="859"/>
        <v>45931</v>
      </c>
      <c r="HW753" s="371">
        <f t="shared" si="859"/>
        <v>45962</v>
      </c>
      <c r="HX753" s="371">
        <f t="shared" si="859"/>
        <v>45992</v>
      </c>
      <c r="HY753" s="371"/>
      <c r="IA753" s="323"/>
      <c r="IB753" s="284"/>
      <c r="ID753" s="323"/>
      <c r="IG753" s="323"/>
      <c r="IH753" s="284"/>
      <c r="IJ753" s="323"/>
      <c r="IM753" s="323"/>
      <c r="IP753" s="323"/>
      <c r="IQ753" s="327"/>
      <c r="IR753" s="327"/>
      <c r="IS753" s="323"/>
      <c r="IT753" s="327"/>
      <c r="IU753" s="327"/>
      <c r="IV753" s="323"/>
      <c r="IW753" s="327"/>
      <c r="IX753" s="327"/>
      <c r="IY753" s="323"/>
      <c r="IZ753" s="955"/>
      <c r="JA753" s="327"/>
      <c r="JB753" s="323"/>
      <c r="JC753" s="327"/>
      <c r="JD753" s="327"/>
      <c r="JE753" s="323"/>
      <c r="JF753" s="327"/>
      <c r="JG753" s="327"/>
      <c r="JH753" s="323"/>
      <c r="JI753" s="327"/>
      <c r="JJ753" s="327"/>
      <c r="JK753" s="323"/>
      <c r="JN753" s="323"/>
      <c r="JQ753" s="323"/>
    </row>
    <row r="754" spans="1:314">
      <c r="A754" s="279"/>
      <c r="B754" s="96" t="s">
        <v>338</v>
      </c>
      <c r="D754" s="331" t="s">
        <v>461</v>
      </c>
      <c r="E754" s="323">
        <f t="shared" ref="E754:AJ754" si="860">E755+E803+E813+E826</f>
        <v>0</v>
      </c>
      <c r="F754" s="323">
        <f t="shared" si="860"/>
        <v>0</v>
      </c>
      <c r="G754" s="323">
        <f t="shared" si="860"/>
        <v>0</v>
      </c>
      <c r="H754" s="323">
        <f t="shared" si="860"/>
        <v>0</v>
      </c>
      <c r="I754" s="323">
        <f t="shared" si="860"/>
        <v>0</v>
      </c>
      <c r="J754" s="323">
        <f t="shared" si="860"/>
        <v>0</v>
      </c>
      <c r="K754" s="323">
        <f t="shared" si="860"/>
        <v>0</v>
      </c>
      <c r="L754" s="323">
        <f t="shared" si="860"/>
        <v>0</v>
      </c>
      <c r="M754" s="323">
        <f t="shared" si="860"/>
        <v>0</v>
      </c>
      <c r="N754" s="323">
        <f t="shared" si="860"/>
        <v>0</v>
      </c>
      <c r="O754" s="323">
        <f t="shared" si="860"/>
        <v>0</v>
      </c>
      <c r="P754" s="323">
        <f t="shared" si="860"/>
        <v>0</v>
      </c>
      <c r="Q754" s="323">
        <f t="shared" si="860"/>
        <v>0</v>
      </c>
      <c r="R754" s="323">
        <f t="shared" si="860"/>
        <v>0</v>
      </c>
      <c r="S754" s="323">
        <f t="shared" si="860"/>
        <v>0</v>
      </c>
      <c r="T754" s="323">
        <f t="shared" si="860"/>
        <v>0</v>
      </c>
      <c r="U754" s="323">
        <f t="shared" si="860"/>
        <v>0</v>
      </c>
      <c r="V754" s="323">
        <f t="shared" si="860"/>
        <v>0</v>
      </c>
      <c r="W754" s="323">
        <f t="shared" si="860"/>
        <v>0</v>
      </c>
      <c r="X754" s="323">
        <f t="shared" si="860"/>
        <v>0</v>
      </c>
      <c r="Y754" s="323">
        <f t="shared" si="860"/>
        <v>0</v>
      </c>
      <c r="Z754" s="323">
        <f t="shared" si="860"/>
        <v>0</v>
      </c>
      <c r="AA754" s="323">
        <f t="shared" si="860"/>
        <v>0</v>
      </c>
      <c r="AB754" s="323">
        <f t="shared" si="860"/>
        <v>0</v>
      </c>
      <c r="AC754" s="323">
        <f t="shared" si="860"/>
        <v>0</v>
      </c>
      <c r="AD754" s="323">
        <f t="shared" si="860"/>
        <v>0</v>
      </c>
      <c r="AE754" s="323">
        <f t="shared" si="860"/>
        <v>0</v>
      </c>
      <c r="AF754" s="323">
        <f t="shared" si="860"/>
        <v>0</v>
      </c>
      <c r="AG754" s="323">
        <f t="shared" si="860"/>
        <v>0</v>
      </c>
      <c r="AH754" s="323">
        <f t="shared" si="860"/>
        <v>0</v>
      </c>
      <c r="AI754" s="323">
        <f t="shared" si="860"/>
        <v>0</v>
      </c>
      <c r="AJ754" s="323">
        <f t="shared" si="860"/>
        <v>0</v>
      </c>
      <c r="AK754" s="323">
        <f t="shared" ref="AK754:BP754" si="861">AK755+AK803+AK813+AK826</f>
        <v>0</v>
      </c>
      <c r="AL754" s="323">
        <f t="shared" si="861"/>
        <v>0</v>
      </c>
      <c r="AM754" s="323">
        <f t="shared" si="861"/>
        <v>0</v>
      </c>
      <c r="AN754" s="323">
        <f t="shared" si="861"/>
        <v>0</v>
      </c>
      <c r="AO754" s="323">
        <f t="shared" si="861"/>
        <v>50.764051338100003</v>
      </c>
      <c r="AP754" s="323">
        <f t="shared" si="861"/>
        <v>27.464071189399998</v>
      </c>
      <c r="AQ754" s="323">
        <f t="shared" si="861"/>
        <v>52.704604605700005</v>
      </c>
      <c r="AR754" s="323">
        <f t="shared" si="861"/>
        <v>52.450684614687695</v>
      </c>
      <c r="AS754" s="323">
        <f t="shared" si="861"/>
        <v>37.514520986539999</v>
      </c>
      <c r="AT754" s="323">
        <f t="shared" si="861"/>
        <v>145.81842276795999</v>
      </c>
      <c r="AU754" s="323">
        <f t="shared" si="861"/>
        <v>45.242107081518114</v>
      </c>
      <c r="AV754" s="323">
        <f t="shared" si="861"/>
        <v>41.216609372966381</v>
      </c>
      <c r="AW754" s="323">
        <f t="shared" si="861"/>
        <v>99.511322758994424</v>
      </c>
      <c r="AX754" s="323">
        <f t="shared" si="861"/>
        <v>77.047074561920894</v>
      </c>
      <c r="AY754" s="323">
        <f t="shared" si="861"/>
        <v>51.908946840943649</v>
      </c>
      <c r="AZ754" s="323">
        <f t="shared" si="861"/>
        <v>164.83524409942342</v>
      </c>
      <c r="BA754" s="323">
        <f t="shared" si="861"/>
        <v>47.685840098106972</v>
      </c>
      <c r="BB754" s="323">
        <f t="shared" si="861"/>
        <v>42.204233708412133</v>
      </c>
      <c r="BC754" s="323">
        <f t="shared" si="861"/>
        <v>58.428774369228194</v>
      </c>
      <c r="BD754" s="323">
        <f t="shared" si="861"/>
        <v>125.52862767270642</v>
      </c>
      <c r="BE754" s="323">
        <f t="shared" si="861"/>
        <v>49.905182617244385</v>
      </c>
      <c r="BF754" s="323">
        <f t="shared" si="861"/>
        <v>84.826683068776774</v>
      </c>
      <c r="BG754" s="323">
        <f t="shared" si="861"/>
        <v>84.863712009047049</v>
      </c>
      <c r="BH754" s="323">
        <f t="shared" si="861"/>
        <v>87.431064078743631</v>
      </c>
      <c r="BI754" s="323">
        <f t="shared" si="861"/>
        <v>90.991184823855434</v>
      </c>
      <c r="BJ754" s="323">
        <f t="shared" si="861"/>
        <v>139.53374566348828</v>
      </c>
      <c r="BK754" s="323">
        <f t="shared" si="861"/>
        <v>59.901284263126023</v>
      </c>
      <c r="BL754" s="323">
        <f t="shared" si="861"/>
        <v>150.86878106347314</v>
      </c>
      <c r="BM754" s="323">
        <f t="shared" si="861"/>
        <v>49.199301889464422</v>
      </c>
      <c r="BN754" s="323">
        <f t="shared" si="861"/>
        <v>54.865402846602905</v>
      </c>
      <c r="BO754" s="323">
        <f t="shared" si="861"/>
        <v>87.325823345340822</v>
      </c>
      <c r="BP754" s="323">
        <f t="shared" si="861"/>
        <v>48.881244038379769</v>
      </c>
      <c r="BQ754" s="323">
        <f t="shared" ref="BQ754:CV754" si="862">BQ755+BQ803+BQ813+BQ826</f>
        <v>58.226618850201561</v>
      </c>
      <c r="BR754" s="323">
        <f t="shared" si="862"/>
        <v>150.36567512421823</v>
      </c>
      <c r="BS754" s="323">
        <f t="shared" si="862"/>
        <v>90.36355308905361</v>
      </c>
      <c r="BT754" s="323">
        <f t="shared" si="862"/>
        <v>66.12355607797042</v>
      </c>
      <c r="BU754" s="323">
        <f t="shared" si="862"/>
        <v>79.559246208253612</v>
      </c>
      <c r="BV754" s="323">
        <f t="shared" si="862"/>
        <v>116.26442904656267</v>
      </c>
      <c r="BW754" s="323">
        <f t="shared" si="862"/>
        <v>90.734610517433737</v>
      </c>
      <c r="BX754" s="323">
        <f t="shared" si="862"/>
        <v>102.06349611236305</v>
      </c>
      <c r="BY754" s="323">
        <f t="shared" si="862"/>
        <v>53.009081867357082</v>
      </c>
      <c r="BZ754" s="323">
        <f t="shared" si="862"/>
        <v>56.599137084425003</v>
      </c>
      <c r="CA754" s="323">
        <f t="shared" si="862"/>
        <v>110.14968963268464</v>
      </c>
      <c r="CB754" s="323">
        <f t="shared" si="862"/>
        <v>91.758888527829711</v>
      </c>
      <c r="CC754" s="323">
        <f t="shared" si="862"/>
        <v>106.25504840687425</v>
      </c>
      <c r="CD754" s="329">
        <f t="shared" si="862"/>
        <v>60.628299093566639</v>
      </c>
      <c r="CE754" s="323">
        <f t="shared" si="862"/>
        <v>82.685163190403983</v>
      </c>
      <c r="CF754" s="323">
        <f t="shared" si="862"/>
        <v>100.57501141659461</v>
      </c>
      <c r="CG754" s="323">
        <f t="shared" si="862"/>
        <v>144.83236343818794</v>
      </c>
      <c r="CH754" s="323">
        <f t="shared" si="862"/>
        <v>130.50979666979984</v>
      </c>
      <c r="CI754" s="323">
        <f t="shared" si="862"/>
        <v>94.72419237543815</v>
      </c>
      <c r="CJ754" s="323">
        <f t="shared" si="862"/>
        <v>149.04992806584778</v>
      </c>
      <c r="CK754" s="323">
        <f t="shared" si="862"/>
        <v>85.966192720506342</v>
      </c>
      <c r="CL754" s="323">
        <f t="shared" si="862"/>
        <v>78.100962569555776</v>
      </c>
      <c r="CM754" s="323">
        <f t="shared" si="862"/>
        <v>103.25846458630221</v>
      </c>
      <c r="CN754" s="323">
        <f t="shared" si="862"/>
        <v>120.24400415745573</v>
      </c>
      <c r="CO754" s="323">
        <f t="shared" si="862"/>
        <v>104.05976888760976</v>
      </c>
      <c r="CP754" s="325">
        <f t="shared" si="862"/>
        <v>144.78464070659047</v>
      </c>
      <c r="CQ754" s="323">
        <f t="shared" si="862"/>
        <v>97.920965172476912</v>
      </c>
      <c r="CR754" s="323">
        <f t="shared" si="862"/>
        <v>86.224940333926114</v>
      </c>
      <c r="CS754" s="323">
        <f t="shared" si="862"/>
        <v>117.20928087688272</v>
      </c>
      <c r="CT754" s="323">
        <f t="shared" si="862"/>
        <v>100.85749179386798</v>
      </c>
      <c r="CU754" s="323">
        <f t="shared" si="862"/>
        <v>97.299391171813085</v>
      </c>
      <c r="CV754" s="323">
        <f t="shared" si="862"/>
        <v>190.00314384894824</v>
      </c>
      <c r="CW754" s="323">
        <f t="shared" ref="CW754:DC754" si="863">CW755+CW803+CW813+CW826</f>
        <v>89.552012981353641</v>
      </c>
      <c r="CX754" s="323">
        <f t="shared" si="863"/>
        <v>81.816984367428347</v>
      </c>
      <c r="CY754" s="323">
        <f t="shared" si="863"/>
        <v>172.40699314343357</v>
      </c>
      <c r="CZ754" s="323">
        <f t="shared" si="863"/>
        <v>118.71610216913216</v>
      </c>
      <c r="DA754" s="323">
        <f t="shared" si="863"/>
        <v>124.36734037722404</v>
      </c>
      <c r="DB754" s="1269">
        <f t="shared" si="863"/>
        <v>142.33205433880741</v>
      </c>
      <c r="DC754" s="323">
        <f t="shared" si="863"/>
        <v>102.0880767810843</v>
      </c>
      <c r="DD754" s="323">
        <f t="shared" ref="DD754:FO754" si="864">DD755+DD803+DD813+DD826</f>
        <v>95.697050271437831</v>
      </c>
      <c r="DE754" s="323">
        <f t="shared" si="864"/>
        <v>138.09599026285105</v>
      </c>
      <c r="DF754" s="323">
        <f t="shared" si="864"/>
        <v>114.36960915083218</v>
      </c>
      <c r="DG754" s="323">
        <f t="shared" si="864"/>
        <v>115.45476893736439</v>
      </c>
      <c r="DH754" s="323">
        <f t="shared" si="864"/>
        <v>175.194859244756</v>
      </c>
      <c r="DI754" s="323">
        <f t="shared" si="864"/>
        <v>91.968916539472175</v>
      </c>
      <c r="DJ754" s="323">
        <f t="shared" si="864"/>
        <v>92.451046572176182</v>
      </c>
      <c r="DK754" s="323">
        <f t="shared" si="864"/>
        <v>168.45863078303569</v>
      </c>
      <c r="DL754" s="323">
        <f t="shared" si="864"/>
        <v>149.33098099906874</v>
      </c>
      <c r="DM754" s="323">
        <f t="shared" si="864"/>
        <v>103.63545642586396</v>
      </c>
      <c r="DN754" s="325">
        <f t="shared" si="864"/>
        <v>194.93171747802916</v>
      </c>
      <c r="DO754" s="323">
        <f t="shared" si="864"/>
        <v>105.12941494352958</v>
      </c>
      <c r="DP754" s="323">
        <f t="shared" si="864"/>
        <v>103.50122668955723</v>
      </c>
      <c r="DQ754" s="323">
        <f t="shared" si="864"/>
        <v>141.31937649028202</v>
      </c>
      <c r="DR754" s="323">
        <f t="shared" si="864"/>
        <v>85.90705526991394</v>
      </c>
      <c r="DS754" s="323">
        <f t="shared" si="864"/>
        <v>111.71973032166133</v>
      </c>
      <c r="DT754" s="323">
        <f t="shared" si="864"/>
        <v>207.27275826846324</v>
      </c>
      <c r="DU754" s="323">
        <f t="shared" si="864"/>
        <v>116.87272491782738</v>
      </c>
      <c r="DV754" s="323">
        <f t="shared" si="864"/>
        <v>98.678684816142209</v>
      </c>
      <c r="DW754" s="323">
        <f t="shared" si="864"/>
        <v>184.88628293480969</v>
      </c>
      <c r="DX754" s="323">
        <f t="shared" si="864"/>
        <v>101.11040371074837</v>
      </c>
      <c r="DY754" s="323">
        <f t="shared" si="864"/>
        <v>103.52338653812733</v>
      </c>
      <c r="DZ754" s="325">
        <f t="shared" si="864"/>
        <v>235.82950309044404</v>
      </c>
      <c r="EA754" s="323">
        <f t="shared" si="864"/>
        <v>116.77476430486975</v>
      </c>
      <c r="EB754" s="323">
        <f t="shared" si="864"/>
        <v>109.03700026533585</v>
      </c>
      <c r="EC754" s="323">
        <f t="shared" si="864"/>
        <v>154.97700893858342</v>
      </c>
      <c r="ED754" s="323">
        <f t="shared" si="864"/>
        <v>141.19142104505261</v>
      </c>
      <c r="EE754" s="323">
        <f t="shared" si="864"/>
        <v>118.54924088921811</v>
      </c>
      <c r="EF754" s="323">
        <f t="shared" si="864"/>
        <v>228.1385080198537</v>
      </c>
      <c r="EG754" s="323">
        <f t="shared" si="864"/>
        <v>154.50383560054379</v>
      </c>
      <c r="EH754" s="323">
        <f t="shared" si="864"/>
        <v>105.39744803020612</v>
      </c>
      <c r="EI754" s="323">
        <f t="shared" si="864"/>
        <v>188.44142721217924</v>
      </c>
      <c r="EJ754" s="323">
        <f t="shared" si="864"/>
        <v>160.9819872996062</v>
      </c>
      <c r="EK754" s="323">
        <f t="shared" si="864"/>
        <v>113.76589413249556</v>
      </c>
      <c r="EL754" s="325">
        <f t="shared" si="864"/>
        <v>189.79211690448045</v>
      </c>
      <c r="EM754" s="323">
        <f t="shared" si="864"/>
        <v>120.22438695535122</v>
      </c>
      <c r="EN754" s="323">
        <f t="shared" si="864"/>
        <v>177.05111501416377</v>
      </c>
      <c r="EO754" s="323">
        <f t="shared" si="864"/>
        <v>195.09194664382187</v>
      </c>
      <c r="EP754" s="323">
        <f t="shared" si="864"/>
        <v>145.90375253753786</v>
      </c>
      <c r="EQ754" s="323">
        <f t="shared" si="864"/>
        <v>117.40491916855672</v>
      </c>
      <c r="ER754" s="323">
        <f t="shared" si="864"/>
        <v>284.75043852089505</v>
      </c>
      <c r="ES754" s="323">
        <f t="shared" si="864"/>
        <v>153.58628163057952</v>
      </c>
      <c r="ET754" s="323">
        <f t="shared" si="864"/>
        <v>152.15785626601814</v>
      </c>
      <c r="EU754" s="323">
        <f t="shared" si="864"/>
        <v>198.77553167169151</v>
      </c>
      <c r="EV754" s="323">
        <f t="shared" si="864"/>
        <v>176.4318138988844</v>
      </c>
      <c r="EW754" s="323">
        <f t="shared" si="864"/>
        <v>130.62862058169628</v>
      </c>
      <c r="EX754" s="325">
        <f t="shared" si="864"/>
        <v>213.02070854854497</v>
      </c>
      <c r="EY754" s="323">
        <f t="shared" si="864"/>
        <v>147.07637366835445</v>
      </c>
      <c r="EZ754" s="323">
        <f t="shared" si="864"/>
        <v>155.01117363850076</v>
      </c>
      <c r="FA754" s="323">
        <f t="shared" si="864"/>
        <v>223.09007641053159</v>
      </c>
      <c r="FB754" s="323">
        <f t="shared" si="864"/>
        <v>167.36696303480105</v>
      </c>
      <c r="FC754" s="323">
        <f t="shared" si="864"/>
        <v>147.0914591491011</v>
      </c>
      <c r="FD754" s="323">
        <f t="shared" si="864"/>
        <v>288.10530465867004</v>
      </c>
      <c r="FE754" s="323">
        <f t="shared" si="864"/>
        <v>162.48959082536501</v>
      </c>
      <c r="FF754" s="323">
        <f t="shared" si="864"/>
        <v>166.55007861652268</v>
      </c>
      <c r="FG754" s="323">
        <f t="shared" si="864"/>
        <v>159.86762347704894</v>
      </c>
      <c r="FH754" s="323">
        <f t="shared" si="864"/>
        <v>173.76685037164617</v>
      </c>
      <c r="FI754" s="323">
        <f t="shared" si="864"/>
        <v>156.23772638719868</v>
      </c>
      <c r="FJ754" s="325">
        <f t="shared" si="864"/>
        <v>246.30844360155203</v>
      </c>
      <c r="FK754" s="323">
        <f t="shared" si="864"/>
        <v>126.06048066020975</v>
      </c>
      <c r="FL754" s="323">
        <f t="shared" si="864"/>
        <v>137.55042253350024</v>
      </c>
      <c r="FM754" s="323">
        <f t="shared" si="864"/>
        <v>327.11590510847509</v>
      </c>
      <c r="FN754" s="323">
        <f t="shared" si="864"/>
        <v>202.28595220119698</v>
      </c>
      <c r="FO754" s="323">
        <f t="shared" si="864"/>
        <v>154.93709785169005</v>
      </c>
      <c r="FP754" s="323">
        <f t="shared" ref="FP754:HR754" si="865">FP755+FP803+FP813+FP826</f>
        <v>282.15503540564202</v>
      </c>
      <c r="FQ754" s="323">
        <f t="shared" si="865"/>
        <v>154.48173816429275</v>
      </c>
      <c r="FR754" s="323">
        <f t="shared" si="865"/>
        <v>157.25181798574698</v>
      </c>
      <c r="FS754" s="323">
        <f t="shared" si="865"/>
        <v>288.3709878983542</v>
      </c>
      <c r="FT754" s="323">
        <f t="shared" si="865"/>
        <v>249.30029367000355</v>
      </c>
      <c r="FU754" s="323">
        <f t="shared" si="865"/>
        <v>165.49561757698166</v>
      </c>
      <c r="FV754" s="323">
        <f t="shared" si="865"/>
        <v>323.18584803199445</v>
      </c>
      <c r="FW754" s="323">
        <f t="shared" si="865"/>
        <v>144.05016196422122</v>
      </c>
      <c r="FX754" s="323">
        <f t="shared" si="865"/>
        <v>200.60548259652219</v>
      </c>
      <c r="FY754" s="323">
        <f t="shared" si="865"/>
        <v>267.5749424581644</v>
      </c>
      <c r="FZ754" s="323">
        <f t="shared" si="865"/>
        <v>208.46535963515919</v>
      </c>
      <c r="GA754" s="323">
        <f t="shared" si="865"/>
        <v>247.90277896371293</v>
      </c>
      <c r="GB754" s="323">
        <f t="shared" si="865"/>
        <v>281.27735444107793</v>
      </c>
      <c r="GC754" s="323">
        <f t="shared" si="865"/>
        <v>224.02175914985381</v>
      </c>
      <c r="GD754" s="323">
        <f t="shared" si="865"/>
        <v>213.82765546235129</v>
      </c>
      <c r="GE754" s="323">
        <f t="shared" si="865"/>
        <v>383.06304311769935</v>
      </c>
      <c r="GF754" s="323">
        <f t="shared" si="865"/>
        <v>236.60389057232098</v>
      </c>
      <c r="GG754" s="323">
        <f t="shared" si="865"/>
        <v>367.31219203461114</v>
      </c>
      <c r="GH754" s="323">
        <f t="shared" si="865"/>
        <v>327.47838494040917</v>
      </c>
      <c r="GI754" s="323">
        <f t="shared" si="865"/>
        <v>221.30117967799973</v>
      </c>
      <c r="GJ754" s="323">
        <f t="shared" si="865"/>
        <v>216.76274121039381</v>
      </c>
      <c r="GK754" s="323">
        <f t="shared" si="865"/>
        <v>305.89860098813938</v>
      </c>
      <c r="GL754" s="323">
        <f t="shared" si="865"/>
        <v>215.50480330274888</v>
      </c>
      <c r="GM754" s="323">
        <f t="shared" si="865"/>
        <v>215.37580613691</v>
      </c>
      <c r="GN754" s="323">
        <f t="shared" si="865"/>
        <v>355.01588989281333</v>
      </c>
      <c r="GO754" s="323">
        <f t="shared" si="865"/>
        <v>254.14910007716003</v>
      </c>
      <c r="GP754" s="323">
        <f t="shared" si="865"/>
        <v>197.36818204020804</v>
      </c>
      <c r="GQ754" s="323">
        <f t="shared" si="865"/>
        <v>361.35614088030729</v>
      </c>
      <c r="GR754" s="323">
        <f t="shared" si="865"/>
        <v>410.04906123833098</v>
      </c>
      <c r="GS754" s="323">
        <f t="shared" si="865"/>
        <v>234.40172337231635</v>
      </c>
      <c r="GT754" s="323">
        <f t="shared" si="865"/>
        <v>412.38395464901009</v>
      </c>
      <c r="GU754" s="323">
        <f t="shared" si="865"/>
        <v>229.99414084349755</v>
      </c>
      <c r="GV754" s="323">
        <f t="shared" si="865"/>
        <v>213.15410521650665</v>
      </c>
      <c r="GW754" s="323">
        <f t="shared" si="865"/>
        <v>454.63505801782884</v>
      </c>
      <c r="GX754" s="323">
        <f t="shared" si="865"/>
        <v>219.18271413879248</v>
      </c>
      <c r="GY754" s="323">
        <f t="shared" si="865"/>
        <v>215.31989942547025</v>
      </c>
      <c r="GZ754" s="323">
        <f t="shared" si="865"/>
        <v>471.27264022472696</v>
      </c>
      <c r="HA754" s="323">
        <f t="shared" si="865"/>
        <v>242.84362364940444</v>
      </c>
      <c r="HB754" s="323">
        <f t="shared" si="865"/>
        <v>201.98994421198702</v>
      </c>
      <c r="HC754" s="323">
        <f t="shared" si="865"/>
        <v>390.38386261676703</v>
      </c>
      <c r="HD754" s="323">
        <f t="shared" si="865"/>
        <v>329.42714496443972</v>
      </c>
      <c r="HE754" s="323">
        <f t="shared" si="865"/>
        <v>324.81434734565858</v>
      </c>
      <c r="HF754" s="323">
        <f t="shared" si="865"/>
        <v>518.1108810159642</v>
      </c>
      <c r="HG754" s="323">
        <f t="shared" si="865"/>
        <v>342.02471999613425</v>
      </c>
      <c r="HH754" s="323">
        <f t="shared" si="865"/>
        <v>229.8162159481781</v>
      </c>
      <c r="HI754" s="323">
        <f t="shared" si="865"/>
        <v>489.95319735478017</v>
      </c>
      <c r="HJ754" s="323">
        <f t="shared" si="865"/>
        <v>283.37796275974586</v>
      </c>
      <c r="HK754" s="323">
        <f t="shared" si="865"/>
        <v>233.3958291994133</v>
      </c>
      <c r="HL754" s="323">
        <f t="shared" si="865"/>
        <v>567.66799062425218</v>
      </c>
      <c r="HM754" s="323">
        <f t="shared" si="865"/>
        <v>290.84473141151864</v>
      </c>
      <c r="HN754" s="323">
        <f t="shared" si="865"/>
        <v>216.67482346235909</v>
      </c>
      <c r="HO754" s="323">
        <f t="shared" si="865"/>
        <v>423.46495332292164</v>
      </c>
      <c r="HP754" s="323">
        <f t="shared" si="865"/>
        <v>296.53866039744696</v>
      </c>
      <c r="HQ754" s="323">
        <f t="shared" si="865"/>
        <v>240.34377167954818</v>
      </c>
      <c r="HR754" s="323">
        <f t="shared" si="865"/>
        <v>559.86821689119336</v>
      </c>
      <c r="HS754" s="323">
        <f t="shared" ref="HS754:HX754" si="866">HS755+HS803+HS813+HS826</f>
        <v>299.39313072599697</v>
      </c>
      <c r="HT754" s="323">
        <f t="shared" si="866"/>
        <v>295.49396856608899</v>
      </c>
      <c r="HU754" s="323">
        <f t="shared" si="866"/>
        <v>562.19197356845598</v>
      </c>
      <c r="HV754" s="323">
        <f t="shared" si="866"/>
        <v>342.43362470060595</v>
      </c>
      <c r="HW754" s="323">
        <f t="shared" si="866"/>
        <v>268.92112524611696</v>
      </c>
      <c r="HX754" s="323">
        <f t="shared" si="866"/>
        <v>625.84307006279653</v>
      </c>
      <c r="HY754" s="323"/>
      <c r="HZ754" s="326"/>
      <c r="IA754" s="331" t="s">
        <v>461</v>
      </c>
      <c r="IB754" s="284">
        <f>SUM(CE754:CJ754)</f>
        <v>702.3764551562723</v>
      </c>
      <c r="IC754" s="279">
        <f>SUM(CK754:CP754)</f>
        <v>636.41403362802032</v>
      </c>
      <c r="ID754" s="323">
        <f>IB754+IC754</f>
        <v>1338.7904887842926</v>
      </c>
      <c r="IE754" s="279">
        <f>SUM(CQ754:CV754)</f>
        <v>689.51521319791505</v>
      </c>
      <c r="IF754" s="279">
        <f>SUM(CW754:DB754)</f>
        <v>729.19148737737919</v>
      </c>
      <c r="IG754" s="323">
        <f>IE754+IF754</f>
        <v>1418.7067005752942</v>
      </c>
      <c r="IH754" s="284">
        <f>SUM(DC754:DH754)</f>
        <v>740.90035464832567</v>
      </c>
      <c r="II754" s="279">
        <f>SUM(DI754:DN754)</f>
        <v>800.77674879764595</v>
      </c>
      <c r="IJ754" s="323">
        <f>IH754+II754</f>
        <v>1541.6771034459716</v>
      </c>
      <c r="IK754" s="327">
        <f>SUM(DO754:DT754)</f>
        <v>754.8495619834074</v>
      </c>
      <c r="IL754" s="279">
        <f>SUM(DU754:DZ754)</f>
        <v>840.90098600809904</v>
      </c>
      <c r="IM754" s="323">
        <f>IK754+IL754</f>
        <v>1595.7505479915064</v>
      </c>
      <c r="IN754" s="279">
        <f>SUM(EA754:EF754)</f>
        <v>868.6679434629134</v>
      </c>
      <c r="IO754" s="279">
        <f>SUM(EG754:EL754)</f>
        <v>912.88270917951127</v>
      </c>
      <c r="IP754" s="323">
        <f>IN754+IO754</f>
        <v>1781.5506526424247</v>
      </c>
      <c r="IQ754" s="327">
        <f>SUM(EM754:ER754)</f>
        <v>1040.4265588403264</v>
      </c>
      <c r="IR754" s="327">
        <f>SUM(ES754:EX754)</f>
        <v>1024.6008125974149</v>
      </c>
      <c r="IS754" s="323">
        <f>IQ754+IR754</f>
        <v>2065.0273714377413</v>
      </c>
      <c r="IT754" s="327">
        <f>SUM(EY754:FD754)</f>
        <v>1127.7413505599588</v>
      </c>
      <c r="IU754" s="327">
        <f>SUM(FE754:FJ754)</f>
        <v>1065.2203132793336</v>
      </c>
      <c r="IV754" s="323">
        <f>IT754+IU754</f>
        <v>2192.9616638392927</v>
      </c>
      <c r="IW754" s="327">
        <f t="shared" ref="IW754:IW765" si="867">SUM(FK754:FP754)</f>
        <v>1230.1048937607143</v>
      </c>
      <c r="IX754" s="327">
        <f t="shared" ref="IX754:IX793" si="868">SUM(FQ754:FV754)</f>
        <v>1338.0863033273736</v>
      </c>
      <c r="IY754" s="323">
        <f>IW754+IX754</f>
        <v>2568.1911970880878</v>
      </c>
      <c r="IZ754" s="327">
        <f t="shared" ref="IZ754:IZ793" si="869">SUM(FW754:GB754)</f>
        <v>1349.876080058858</v>
      </c>
      <c r="JA754" s="327">
        <f t="shared" ref="JA754:JA793" si="870">SUM(GC754:GH754)</f>
        <v>1752.3069252772457</v>
      </c>
      <c r="JB754" s="323">
        <f>IZ754+JA754</f>
        <v>3102.1830053361036</v>
      </c>
      <c r="JC754" s="327">
        <f t="shared" ref="JC754:JC793" si="871">SUM(GI754:GN754)</f>
        <v>1529.8590212090053</v>
      </c>
      <c r="JD754" s="327">
        <f t="shared" ref="JD754:JD793" si="872">SUM(GO754:GT754)</f>
        <v>1869.7081622573328</v>
      </c>
      <c r="JE754" s="323">
        <f>JC754+JD754</f>
        <v>3399.5671834663381</v>
      </c>
      <c r="JF754" s="327">
        <f>JF755+JF803+JF813+JF826</f>
        <v>1803.5585578668229</v>
      </c>
      <c r="JG754" s="327">
        <f>JG755+JG803+JG813+JG826</f>
        <v>2007.5698038042208</v>
      </c>
      <c r="JH754" s="323">
        <f>JF754+JG754</f>
        <v>3811.1283616710434</v>
      </c>
      <c r="JI754" s="327">
        <f>JI755+JI803+JI813+JI826</f>
        <v>2146.2359158825038</v>
      </c>
      <c r="JJ754" s="327">
        <f>JJ755+JJ803+JJ813+JJ826</f>
        <v>2027.7351571649876</v>
      </c>
      <c r="JK754" s="323">
        <f>JI754+JJ754</f>
        <v>4173.9710730474917</v>
      </c>
      <c r="JL754" s="327">
        <f>JL755+JL803+JL813+JL826</f>
        <v>2394.2768928700616</v>
      </c>
      <c r="JM754" s="279">
        <f>JN754-JL754</f>
        <v>2614.8304234762654</v>
      </c>
      <c r="JN754" s="323">
        <f>FISC!AK1060</f>
        <v>5009.107316346327</v>
      </c>
      <c r="JO754" s="327">
        <f>JO755+JO803+JO813+JO826</f>
        <v>2773.6306849119305</v>
      </c>
      <c r="JP754" s="279">
        <f>JQ754-JO754</f>
        <v>2925.4236090640056</v>
      </c>
      <c r="JQ754" s="323">
        <f>FISC!AL1060</f>
        <v>5699.0542939759362</v>
      </c>
      <c r="JR754" s="327">
        <f>JR755+JR803+JR813+JR826</f>
        <v>3167.5144080122377</v>
      </c>
      <c r="JS754" s="279">
        <f>JT754-JR754</f>
        <v>3364.9673306045438</v>
      </c>
      <c r="JT754" s="323">
        <f>FISC!AM1060</f>
        <v>6532.4817386167815</v>
      </c>
      <c r="JU754" s="327">
        <f>JU755+JU803+JU813+JU826</f>
        <v>3579.6872464456842</v>
      </c>
      <c r="JV754" s="279">
        <f>JW754-JU754</f>
        <v>3787.1026991710182</v>
      </c>
      <c r="JW754" s="323">
        <f>FISC!AN1060</f>
        <v>7366.7899456167024</v>
      </c>
      <c r="JX754" s="327">
        <f>JX755+JX803+JX813+JX826</f>
        <v>4047.1053546120961</v>
      </c>
      <c r="JY754" s="279">
        <f>JZ754-JX754</f>
        <v>4299.9259204772279</v>
      </c>
      <c r="JZ754" s="323">
        <f>FISC!AO1060</f>
        <v>8347.0312750893245</v>
      </c>
      <c r="KA754" s="327">
        <f>KA755+KA803+KA813+KA826</f>
        <v>4486.1375079776799</v>
      </c>
      <c r="KB754" s="279">
        <f>KC754-KA754</f>
        <v>4920.9324924776165</v>
      </c>
      <c r="KC754" s="323">
        <f>FISC!AP1060</f>
        <v>9407.0700004552964</v>
      </c>
      <c r="KD754" s="327">
        <f>KD755+KD803+KD813+KD826</f>
        <v>5104.4858275509177</v>
      </c>
      <c r="KE754" s="279">
        <f>KF754-KD754</f>
        <v>5437.738079364748</v>
      </c>
      <c r="KF754" s="323">
        <f>FISC!AQ1060</f>
        <v>10542.223906915666</v>
      </c>
      <c r="KG754" s="327">
        <f>KG755+KG803+KG813+KG826</f>
        <v>5699.0045767349284</v>
      </c>
      <c r="KH754" s="279">
        <f>KI754-KG754</f>
        <v>6071.1874717312394</v>
      </c>
      <c r="KI754" s="323">
        <f>FISC!AR1060</f>
        <v>11770.192048466168</v>
      </c>
      <c r="KJ754" s="327">
        <f>KJ755+KJ803+KJ813+KJ826</f>
        <v>6370.8731907990932</v>
      </c>
      <c r="KK754" s="279">
        <f>KL754-KJ754</f>
        <v>6788.5632561961502</v>
      </c>
      <c r="KL754" s="323">
        <f>FISC!AS1060</f>
        <v>13159.436446995243</v>
      </c>
      <c r="KM754" s="327">
        <f>KM755+KM803+KM813+KM826</f>
        <v>8261.6400046584422</v>
      </c>
      <c r="KN754" s="279">
        <f>KO754-KM754</f>
        <v>8798.4635492985726</v>
      </c>
      <c r="KO754" s="323">
        <f>FISC!AT1060</f>
        <v>17060.103553957015</v>
      </c>
      <c r="KU754" s="326"/>
      <c r="KV754" s="327"/>
      <c r="KY754" s="279">
        <f>KY755+KY803+KY813+KY826</f>
        <v>0</v>
      </c>
      <c r="KZ754" s="279">
        <f>KZ755+KZ803+KZ813+KZ826</f>
        <v>0</v>
      </c>
      <c r="LA754" s="279">
        <f>LA755+LA803+LA813+LA826</f>
        <v>0</v>
      </c>
      <c r="LB754" s="279">
        <f>LB755+LB803+LB813+LB826</f>
        <v>0</v>
      </c>
    </row>
    <row r="755" spans="1:314">
      <c r="A755" s="279"/>
      <c r="B755" s="96" t="s">
        <v>338</v>
      </c>
      <c r="D755" s="331" t="s">
        <v>462</v>
      </c>
      <c r="E755" s="323">
        <f t="shared" ref="E755:AJ755" si="873">SUM(E756:E802)</f>
        <v>0</v>
      </c>
      <c r="F755" s="323">
        <f t="shared" si="873"/>
        <v>0</v>
      </c>
      <c r="G755" s="323">
        <f t="shared" si="873"/>
        <v>0</v>
      </c>
      <c r="H755" s="323">
        <f t="shared" si="873"/>
        <v>0</v>
      </c>
      <c r="I755" s="323">
        <f t="shared" si="873"/>
        <v>0</v>
      </c>
      <c r="J755" s="323">
        <f t="shared" si="873"/>
        <v>0</v>
      </c>
      <c r="K755" s="323">
        <f t="shared" si="873"/>
        <v>0</v>
      </c>
      <c r="L755" s="323">
        <f t="shared" si="873"/>
        <v>0</v>
      </c>
      <c r="M755" s="323">
        <f t="shared" si="873"/>
        <v>0</v>
      </c>
      <c r="N755" s="323">
        <f t="shared" si="873"/>
        <v>0</v>
      </c>
      <c r="O755" s="323">
        <f t="shared" si="873"/>
        <v>0</v>
      </c>
      <c r="P755" s="323">
        <f t="shared" si="873"/>
        <v>0</v>
      </c>
      <c r="Q755" s="323">
        <f t="shared" si="873"/>
        <v>0</v>
      </c>
      <c r="R755" s="323">
        <f t="shared" si="873"/>
        <v>0</v>
      </c>
      <c r="S755" s="323">
        <f t="shared" si="873"/>
        <v>0</v>
      </c>
      <c r="T755" s="323">
        <f t="shared" si="873"/>
        <v>0</v>
      </c>
      <c r="U755" s="323">
        <f t="shared" si="873"/>
        <v>0</v>
      </c>
      <c r="V755" s="323">
        <f t="shared" si="873"/>
        <v>0</v>
      </c>
      <c r="W755" s="323">
        <f t="shared" si="873"/>
        <v>0</v>
      </c>
      <c r="X755" s="323">
        <f t="shared" si="873"/>
        <v>0</v>
      </c>
      <c r="Y755" s="323">
        <f t="shared" si="873"/>
        <v>0</v>
      </c>
      <c r="Z755" s="323">
        <f t="shared" si="873"/>
        <v>0</v>
      </c>
      <c r="AA755" s="323">
        <f t="shared" si="873"/>
        <v>0</v>
      </c>
      <c r="AB755" s="323">
        <f t="shared" si="873"/>
        <v>0</v>
      </c>
      <c r="AC755" s="323">
        <f t="shared" si="873"/>
        <v>0</v>
      </c>
      <c r="AD755" s="323">
        <f t="shared" si="873"/>
        <v>0</v>
      </c>
      <c r="AE755" s="323">
        <f t="shared" si="873"/>
        <v>0</v>
      </c>
      <c r="AF755" s="323">
        <f t="shared" si="873"/>
        <v>0</v>
      </c>
      <c r="AG755" s="323">
        <f t="shared" si="873"/>
        <v>0</v>
      </c>
      <c r="AH755" s="323">
        <f t="shared" si="873"/>
        <v>0</v>
      </c>
      <c r="AI755" s="323">
        <f t="shared" si="873"/>
        <v>0</v>
      </c>
      <c r="AJ755" s="323">
        <f t="shared" si="873"/>
        <v>0</v>
      </c>
      <c r="AK755" s="323">
        <f t="shared" ref="AK755:BP755" si="874">SUM(AK756:AK802)</f>
        <v>0</v>
      </c>
      <c r="AL755" s="323">
        <f t="shared" si="874"/>
        <v>0</v>
      </c>
      <c r="AM755" s="323">
        <f t="shared" si="874"/>
        <v>0</v>
      </c>
      <c r="AN755" s="323">
        <f t="shared" si="874"/>
        <v>0</v>
      </c>
      <c r="AO755" s="323">
        <f t="shared" si="874"/>
        <v>28.378078309600003</v>
      </c>
      <c r="AP755" s="323">
        <f t="shared" si="874"/>
        <v>26.593847742499999</v>
      </c>
      <c r="AQ755" s="323">
        <f t="shared" si="874"/>
        <v>43.462740556200004</v>
      </c>
      <c r="AR755" s="323">
        <f t="shared" si="874"/>
        <v>28.6498438283</v>
      </c>
      <c r="AS755" s="323">
        <f t="shared" si="874"/>
        <v>27.3119272297</v>
      </c>
      <c r="AT755" s="323">
        <f t="shared" si="874"/>
        <v>35.113359245399998</v>
      </c>
      <c r="AU755" s="323">
        <f t="shared" si="874"/>
        <v>29.502769495600003</v>
      </c>
      <c r="AV755" s="323">
        <f t="shared" si="874"/>
        <v>32.637733389600008</v>
      </c>
      <c r="AW755" s="323">
        <f t="shared" si="874"/>
        <v>37.198990474200002</v>
      </c>
      <c r="AX755" s="323">
        <f t="shared" si="874"/>
        <v>31.172462902000003</v>
      </c>
      <c r="AY755" s="323">
        <f t="shared" si="874"/>
        <v>32.9844390481</v>
      </c>
      <c r="AZ755" s="323">
        <f t="shared" si="874"/>
        <v>42.768411501699994</v>
      </c>
      <c r="BA755" s="323">
        <f t="shared" si="874"/>
        <v>37.270421333599998</v>
      </c>
      <c r="BB755" s="323">
        <f t="shared" si="874"/>
        <v>30.090863977800002</v>
      </c>
      <c r="BC755" s="323">
        <f t="shared" si="874"/>
        <v>48.51068161189999</v>
      </c>
      <c r="BD755" s="323">
        <f t="shared" si="874"/>
        <v>35.4363995438</v>
      </c>
      <c r="BE755" s="323">
        <f t="shared" si="874"/>
        <v>38.119603839999996</v>
      </c>
      <c r="BF755" s="323">
        <f t="shared" si="874"/>
        <v>43.731171053300002</v>
      </c>
      <c r="BG755" s="323">
        <f t="shared" si="874"/>
        <v>34.278467516299997</v>
      </c>
      <c r="BH755" s="323">
        <f t="shared" si="874"/>
        <v>40.540797734099996</v>
      </c>
      <c r="BI755" s="323">
        <f t="shared" si="874"/>
        <v>45.5637019634</v>
      </c>
      <c r="BJ755" s="323">
        <f t="shared" si="874"/>
        <v>38.158057333199999</v>
      </c>
      <c r="BK755" s="323">
        <f t="shared" si="874"/>
        <v>39.859909695600003</v>
      </c>
      <c r="BL755" s="323">
        <f t="shared" si="874"/>
        <v>50.309845600399996</v>
      </c>
      <c r="BM755" s="323">
        <f t="shared" si="874"/>
        <v>41.397093836399989</v>
      </c>
      <c r="BN755" s="323">
        <f t="shared" si="874"/>
        <v>41.6296176512</v>
      </c>
      <c r="BO755" s="323">
        <f t="shared" si="874"/>
        <v>56.363561111400003</v>
      </c>
      <c r="BP755" s="323">
        <f t="shared" si="874"/>
        <v>41.6442277246</v>
      </c>
      <c r="BQ755" s="323">
        <f t="shared" ref="BQ755:CD755" si="875">SUM(BQ756:BQ802)</f>
        <v>51.381044522600007</v>
      </c>
      <c r="BR755" s="323">
        <f t="shared" si="875"/>
        <v>53.773741767499999</v>
      </c>
      <c r="BS755" s="323">
        <f t="shared" si="875"/>
        <v>43.989135728399994</v>
      </c>
      <c r="BT755" s="323">
        <f t="shared" si="875"/>
        <v>48.0655510148</v>
      </c>
      <c r="BU755" s="323">
        <f t="shared" si="875"/>
        <v>53.670180058900009</v>
      </c>
      <c r="BV755" s="323">
        <f t="shared" si="875"/>
        <v>48.625806363999999</v>
      </c>
      <c r="BW755" s="323">
        <f t="shared" si="875"/>
        <v>45.821263381100003</v>
      </c>
      <c r="BX755" s="323">
        <f t="shared" si="875"/>
        <v>53.2656191783</v>
      </c>
      <c r="BY755" s="323">
        <f t="shared" si="875"/>
        <v>48.798145427400009</v>
      </c>
      <c r="BZ755" s="323">
        <f t="shared" si="875"/>
        <v>48.290016709999996</v>
      </c>
      <c r="CA755" s="323">
        <f t="shared" si="875"/>
        <v>67.86227846460001</v>
      </c>
      <c r="CB755" s="323">
        <f t="shared" si="875"/>
        <v>47.864069070200003</v>
      </c>
      <c r="CC755" s="323">
        <f t="shared" si="875"/>
        <v>48.458169235899994</v>
      </c>
      <c r="CD755" s="329">
        <f t="shared" si="875"/>
        <v>0</v>
      </c>
      <c r="CE755" s="323">
        <f t="shared" ref="CE755:DB755" si="876">CE756+CE763+CE764+CE771+CE793</f>
        <v>47.617064136600007</v>
      </c>
      <c r="CF755" s="323">
        <f t="shared" si="876"/>
        <v>53.907251717999998</v>
      </c>
      <c r="CG755" s="323">
        <f t="shared" si="876"/>
        <v>65.190181342100004</v>
      </c>
      <c r="CH755" s="323">
        <f t="shared" si="876"/>
        <v>54.087637409999999</v>
      </c>
      <c r="CI755" s="323">
        <f t="shared" si="876"/>
        <v>53.84528620079999</v>
      </c>
      <c r="CJ755" s="323">
        <f t="shared" si="876"/>
        <v>68.130436793900003</v>
      </c>
      <c r="CK755" s="323">
        <f t="shared" si="876"/>
        <v>59.819924644799997</v>
      </c>
      <c r="CL755" s="323">
        <f t="shared" si="876"/>
        <v>55.9432367223</v>
      </c>
      <c r="CM755" s="323">
        <f t="shared" si="876"/>
        <v>64.537803322999991</v>
      </c>
      <c r="CN755" s="323">
        <f t="shared" si="876"/>
        <v>55.778860669299995</v>
      </c>
      <c r="CO755" s="323">
        <f t="shared" si="876"/>
        <v>61.522298340200003</v>
      </c>
      <c r="CP755" s="325">
        <f t="shared" si="876"/>
        <v>87.613793423199994</v>
      </c>
      <c r="CQ755" s="323">
        <f t="shared" si="876"/>
        <v>60.13069540019999</v>
      </c>
      <c r="CR755" s="323">
        <f t="shared" si="876"/>
        <v>59.04467703840001</v>
      </c>
      <c r="CS755" s="323">
        <f t="shared" si="876"/>
        <v>77.571227140099992</v>
      </c>
      <c r="CT755" s="323">
        <f t="shared" si="876"/>
        <v>56.983891421400003</v>
      </c>
      <c r="CU755" s="323">
        <f t="shared" si="876"/>
        <v>55.233619734400001</v>
      </c>
      <c r="CV755" s="323">
        <f t="shared" si="876"/>
        <v>79.648759425700007</v>
      </c>
      <c r="CW755" s="323">
        <f t="shared" si="876"/>
        <v>63.564419083499999</v>
      </c>
      <c r="CX755" s="323">
        <f t="shared" si="876"/>
        <v>56.871880704899993</v>
      </c>
      <c r="CY755" s="323">
        <f t="shared" si="876"/>
        <v>93.172891711000005</v>
      </c>
      <c r="CZ755" s="323">
        <f t="shared" si="876"/>
        <v>69.108155242199999</v>
      </c>
      <c r="DA755" s="323">
        <f t="shared" si="876"/>
        <v>65.436950582800009</v>
      </c>
      <c r="DB755" s="1269">
        <f t="shared" si="876"/>
        <v>93.470612855200002</v>
      </c>
      <c r="DC755" s="323">
        <f>DC756+DC763+DC764+DC771+DC793</f>
        <v>66.899926132465808</v>
      </c>
      <c r="DD755" s="323">
        <f t="shared" ref="DD755:FO755" si="877">DD756+DD763+DD764+DD771+DD793</f>
        <v>68.245586880935562</v>
      </c>
      <c r="DE755" s="323">
        <f t="shared" si="877"/>
        <v>86.824346869568416</v>
      </c>
      <c r="DF755" s="323">
        <f t="shared" si="877"/>
        <v>77.768789279906358</v>
      </c>
      <c r="DG755" s="323">
        <f t="shared" si="877"/>
        <v>70.290688721549131</v>
      </c>
      <c r="DH755" s="323">
        <f t="shared" si="877"/>
        <v>94.437271875493821</v>
      </c>
      <c r="DI755" s="323">
        <f t="shared" si="877"/>
        <v>76.998886418319074</v>
      </c>
      <c r="DJ755" s="323">
        <f t="shared" si="877"/>
        <v>72.781232871814339</v>
      </c>
      <c r="DK755" s="323">
        <f t="shared" si="877"/>
        <v>113.69690742097904</v>
      </c>
      <c r="DL755" s="323">
        <f t="shared" si="877"/>
        <v>78.445692153350137</v>
      </c>
      <c r="DM755" s="323">
        <f t="shared" si="877"/>
        <v>78.436310386163612</v>
      </c>
      <c r="DN755" s="325">
        <f t="shared" si="877"/>
        <v>115.54161037543037</v>
      </c>
      <c r="DO755" s="323">
        <f t="shared" si="877"/>
        <v>65.842565241655223</v>
      </c>
      <c r="DP755" s="323">
        <f t="shared" si="877"/>
        <v>78.370742745512672</v>
      </c>
      <c r="DQ755" s="323">
        <f t="shared" si="877"/>
        <v>91.728716346322926</v>
      </c>
      <c r="DR755" s="323">
        <f t="shared" si="877"/>
        <v>70.28753329568427</v>
      </c>
      <c r="DS755" s="323">
        <f t="shared" si="877"/>
        <v>73.030636238396013</v>
      </c>
      <c r="DT755" s="323">
        <f t="shared" si="877"/>
        <v>98.12280367897867</v>
      </c>
      <c r="DU755" s="323">
        <f t="shared" si="877"/>
        <v>81.804672223622475</v>
      </c>
      <c r="DV755" s="323">
        <f t="shared" si="877"/>
        <v>75.839694930633485</v>
      </c>
      <c r="DW755" s="323">
        <f t="shared" si="877"/>
        <v>124.30842990175597</v>
      </c>
      <c r="DX755" s="323">
        <f t="shared" si="877"/>
        <v>74.624108037592521</v>
      </c>
      <c r="DY755" s="323">
        <f t="shared" si="877"/>
        <v>82.016334429138325</v>
      </c>
      <c r="DZ755" s="325">
        <f t="shared" si="877"/>
        <v>116.43293764647348</v>
      </c>
      <c r="EA755" s="323">
        <f t="shared" si="877"/>
        <v>75.147981695534554</v>
      </c>
      <c r="EB755" s="323">
        <f t="shared" si="877"/>
        <v>82.569962661476026</v>
      </c>
      <c r="EC755" s="323">
        <f t="shared" si="877"/>
        <v>102.77609502328457</v>
      </c>
      <c r="ED755" s="323">
        <f t="shared" si="877"/>
        <v>89.1231947091661</v>
      </c>
      <c r="EE755" s="323">
        <f t="shared" si="877"/>
        <v>81.693282024669116</v>
      </c>
      <c r="EF755" s="323">
        <f t="shared" si="877"/>
        <v>111.17842626277724</v>
      </c>
      <c r="EG755" s="323">
        <f t="shared" si="877"/>
        <v>96.151369741341625</v>
      </c>
      <c r="EH755" s="323">
        <f t="shared" si="877"/>
        <v>81.533528095177047</v>
      </c>
      <c r="EI755" s="323">
        <f t="shared" si="877"/>
        <v>127.62799168071605</v>
      </c>
      <c r="EJ755" s="323">
        <f t="shared" si="877"/>
        <v>99.957184280407603</v>
      </c>
      <c r="EK755" s="323">
        <f t="shared" si="877"/>
        <v>87.796409974642827</v>
      </c>
      <c r="EL755" s="323">
        <f t="shared" si="877"/>
        <v>124.55623616271309</v>
      </c>
      <c r="EM755" s="323">
        <f t="shared" si="877"/>
        <v>88.812454326839998</v>
      </c>
      <c r="EN755" s="323">
        <f t="shared" si="877"/>
        <v>103.19555137677001</v>
      </c>
      <c r="EO755" s="323">
        <f t="shared" si="877"/>
        <v>116.14608373476</v>
      </c>
      <c r="EP755" s="323">
        <f t="shared" si="877"/>
        <v>101.63279526957668</v>
      </c>
      <c r="EQ755" s="323">
        <f t="shared" si="877"/>
        <v>99.20474964683666</v>
      </c>
      <c r="ER755" s="323">
        <f t="shared" si="877"/>
        <v>138.3298491095467</v>
      </c>
      <c r="ES755" s="323">
        <f t="shared" si="877"/>
        <v>117.4347124288328</v>
      </c>
      <c r="ET755" s="323">
        <f t="shared" si="877"/>
        <v>106.05712111844994</v>
      </c>
      <c r="EU755" s="323">
        <f t="shared" si="877"/>
        <v>128.69624140632001</v>
      </c>
      <c r="EV755" s="323">
        <f t="shared" si="877"/>
        <v>128.4253273124944</v>
      </c>
      <c r="EW755" s="323">
        <f t="shared" si="877"/>
        <v>114.30942840778002</v>
      </c>
      <c r="EX755" s="325">
        <f t="shared" si="877"/>
        <v>160.27794428067008</v>
      </c>
      <c r="EY755" s="323">
        <f t="shared" si="877"/>
        <v>105.65950605125064</v>
      </c>
      <c r="EZ755" s="323">
        <f t="shared" si="877"/>
        <v>114.2113842418846</v>
      </c>
      <c r="FA755" s="323">
        <f t="shared" si="877"/>
        <v>132.89683536742749</v>
      </c>
      <c r="FB755" s="323">
        <f t="shared" si="877"/>
        <v>108.92264112604063</v>
      </c>
      <c r="FC755" s="323">
        <f t="shared" si="877"/>
        <v>106.68326342096984</v>
      </c>
      <c r="FD755" s="323">
        <f t="shared" si="877"/>
        <v>165.17336859615594</v>
      </c>
      <c r="FE755" s="323">
        <f t="shared" si="877"/>
        <v>129.17978821231756</v>
      </c>
      <c r="FF755" s="323">
        <f t="shared" si="877"/>
        <v>116.33520310306274</v>
      </c>
      <c r="FG755" s="323">
        <f t="shared" si="877"/>
        <v>123.84354192911091</v>
      </c>
      <c r="FH755" s="323">
        <f t="shared" si="877"/>
        <v>111.61971296276113</v>
      </c>
      <c r="FI755" s="323">
        <f t="shared" si="877"/>
        <v>92.550406284305652</v>
      </c>
      <c r="FJ755" s="325">
        <f t="shared" si="877"/>
        <v>168.5330629930489</v>
      </c>
      <c r="FK755" s="323">
        <f t="shared" si="877"/>
        <v>99.945885748172259</v>
      </c>
      <c r="FL755" s="323">
        <f t="shared" si="877"/>
        <v>106.90137584125107</v>
      </c>
      <c r="FM755" s="323">
        <f t="shared" si="877"/>
        <v>155.09121168506633</v>
      </c>
      <c r="FN755" s="323">
        <f t="shared" si="877"/>
        <v>118.94741214038808</v>
      </c>
      <c r="FO755" s="323">
        <f t="shared" si="877"/>
        <v>119.17105225139113</v>
      </c>
      <c r="FP755" s="323">
        <f t="shared" ref="FP755:HR755" si="878">FP756+FP763+FP764+FP771+FP793</f>
        <v>161.98099204682552</v>
      </c>
      <c r="FQ755" s="323">
        <f t="shared" si="878"/>
        <v>118.21035142438593</v>
      </c>
      <c r="FR755" s="323">
        <f t="shared" si="878"/>
        <v>121.65400060516743</v>
      </c>
      <c r="FS755" s="323">
        <f t="shared" si="878"/>
        <v>169.64471663081804</v>
      </c>
      <c r="FT755" s="323">
        <f t="shared" si="878"/>
        <v>131.6406722489491</v>
      </c>
      <c r="FU755" s="323">
        <f t="shared" si="878"/>
        <v>129.16985994808741</v>
      </c>
      <c r="FV755" s="323">
        <f t="shared" si="878"/>
        <v>189.33175192633266</v>
      </c>
      <c r="FW755" s="323">
        <f t="shared" si="878"/>
        <v>110.1156569781196</v>
      </c>
      <c r="FX755" s="323">
        <f t="shared" si="878"/>
        <v>123.39516343103196</v>
      </c>
      <c r="FY755" s="323">
        <f t="shared" si="878"/>
        <v>167.87899487170446</v>
      </c>
      <c r="FZ755" s="323">
        <f t="shared" si="878"/>
        <v>129.13909366182429</v>
      </c>
      <c r="GA755" s="323">
        <f t="shared" si="878"/>
        <v>135.90353463757307</v>
      </c>
      <c r="GB755" s="323">
        <f t="shared" si="878"/>
        <v>186.33327966820102</v>
      </c>
      <c r="GC755" s="323">
        <f t="shared" si="878"/>
        <v>146.46208294654627</v>
      </c>
      <c r="GD755" s="323">
        <f t="shared" si="878"/>
        <v>134.54808684712521</v>
      </c>
      <c r="GE755" s="323">
        <f t="shared" si="878"/>
        <v>232.31337755216748</v>
      </c>
      <c r="GF755" s="323">
        <f t="shared" si="878"/>
        <v>142.49260437009488</v>
      </c>
      <c r="GG755" s="323">
        <f t="shared" si="878"/>
        <v>145.4445077296626</v>
      </c>
      <c r="GH755" s="323">
        <f t="shared" si="878"/>
        <v>222.74720845481093</v>
      </c>
      <c r="GI755" s="323">
        <f t="shared" si="878"/>
        <v>145.96192723773103</v>
      </c>
      <c r="GJ755" s="323">
        <f t="shared" si="878"/>
        <v>170.08469428493055</v>
      </c>
      <c r="GK755" s="323">
        <f t="shared" si="878"/>
        <v>214.70250271454984</v>
      </c>
      <c r="GL755" s="323">
        <f t="shared" si="878"/>
        <v>143.56997105973568</v>
      </c>
      <c r="GM755" s="323">
        <f t="shared" si="878"/>
        <v>167.57943580356664</v>
      </c>
      <c r="GN755" s="323">
        <f t="shared" si="878"/>
        <v>228.35396693025771</v>
      </c>
      <c r="GO755" s="323">
        <f t="shared" si="878"/>
        <v>198.1196480416676</v>
      </c>
      <c r="GP755" s="323">
        <f t="shared" si="878"/>
        <v>145.38917010292781</v>
      </c>
      <c r="GQ755" s="323">
        <f t="shared" si="878"/>
        <v>258.82715269015318</v>
      </c>
      <c r="GR755" s="323">
        <f t="shared" si="878"/>
        <v>183.31387861149</v>
      </c>
      <c r="GS755" s="323">
        <f t="shared" si="878"/>
        <v>170.87591844504999</v>
      </c>
      <c r="GT755" s="323">
        <f t="shared" si="878"/>
        <v>260.59353089068003</v>
      </c>
      <c r="GU755" s="323">
        <f t="shared" si="878"/>
        <v>182.39831541385061</v>
      </c>
      <c r="GV755" s="323">
        <f t="shared" si="878"/>
        <v>182.99428996030898</v>
      </c>
      <c r="GW755" s="323">
        <f t="shared" si="878"/>
        <v>219.72430971012875</v>
      </c>
      <c r="GX755" s="323">
        <f t="shared" si="878"/>
        <v>192.38625173155</v>
      </c>
      <c r="GY755" s="323">
        <f t="shared" si="878"/>
        <v>179.27714057267949</v>
      </c>
      <c r="GZ755" s="323">
        <f t="shared" si="878"/>
        <v>251.60134103664996</v>
      </c>
      <c r="HA755" s="323">
        <f t="shared" si="878"/>
        <v>215.97574927790251</v>
      </c>
      <c r="HB755" s="323">
        <f t="shared" si="878"/>
        <v>182.54097471448733</v>
      </c>
      <c r="HC755" s="323">
        <f t="shared" si="878"/>
        <v>203.28094409923906</v>
      </c>
      <c r="HD755" s="323">
        <f t="shared" si="878"/>
        <v>252.7943804628523</v>
      </c>
      <c r="HE755" s="323">
        <f t="shared" si="878"/>
        <v>208.25516269036228</v>
      </c>
      <c r="HF755" s="323">
        <f t="shared" si="878"/>
        <v>322.09266473531591</v>
      </c>
      <c r="HG755" s="323">
        <f t="shared" si="878"/>
        <v>215.27690907481914</v>
      </c>
      <c r="HH755" s="323">
        <f t="shared" si="878"/>
        <v>217.29744008829482</v>
      </c>
      <c r="HI755" s="323">
        <f t="shared" si="878"/>
        <v>276.21890481851608</v>
      </c>
      <c r="HJ755" s="323">
        <f t="shared" si="878"/>
        <v>236.30508696925642</v>
      </c>
      <c r="HK755" s="323">
        <f t="shared" si="878"/>
        <v>215.34337875072524</v>
      </c>
      <c r="HL755" s="323">
        <f t="shared" si="878"/>
        <v>312.13279460789477</v>
      </c>
      <c r="HM755" s="323">
        <f t="shared" si="878"/>
        <v>263.51972200380095</v>
      </c>
      <c r="HN755" s="323">
        <f t="shared" si="878"/>
        <v>206.48105576871109</v>
      </c>
      <c r="HO755" s="323">
        <f t="shared" si="878"/>
        <v>287.46303860901941</v>
      </c>
      <c r="HP755" s="323">
        <f t="shared" si="878"/>
        <v>251.66390744482695</v>
      </c>
      <c r="HQ755" s="323">
        <f t="shared" si="878"/>
        <v>219.05395923538012</v>
      </c>
      <c r="HR755" s="323">
        <f t="shared" si="878"/>
        <v>364.31035866214177</v>
      </c>
      <c r="HS755" s="323">
        <f t="shared" ref="HS755:HX755" si="879">HS756+HS763+HS764+HS771+HS793</f>
        <v>257.429964224922</v>
      </c>
      <c r="HT755" s="323">
        <f t="shared" si="879"/>
        <v>269.760364469774</v>
      </c>
      <c r="HU755" s="323">
        <f t="shared" si="879"/>
        <v>347.81446092859602</v>
      </c>
      <c r="HV755" s="323">
        <f t="shared" si="879"/>
        <v>315.35084718192599</v>
      </c>
      <c r="HW755" s="323">
        <f t="shared" si="879"/>
        <v>256.91811751900696</v>
      </c>
      <c r="HX755" s="323">
        <f t="shared" si="879"/>
        <v>405.86447801147</v>
      </c>
      <c r="HY755" s="323"/>
      <c r="HZ755" s="326"/>
      <c r="IA755" s="331" t="s">
        <v>462</v>
      </c>
      <c r="IB755" s="284">
        <f>SUM(CE755:CJ755)</f>
        <v>342.7778576014</v>
      </c>
      <c r="IC755" s="279">
        <f>SUM(CK755:CP755)</f>
        <v>385.21591712279997</v>
      </c>
      <c r="ID755" s="323">
        <f>IB755+IC755</f>
        <v>727.99377472419997</v>
      </c>
      <c r="IE755" s="279">
        <f>SUM(CQ755:CV755)</f>
        <v>388.61287016020003</v>
      </c>
      <c r="IF755" s="279">
        <f>SUM(CW755:DB755)</f>
        <v>441.62491017960002</v>
      </c>
      <c r="IG755" s="323">
        <f t="shared" ref="IG755:IG840" si="880">IE755+IF755</f>
        <v>830.23778033980011</v>
      </c>
      <c r="IH755" s="284">
        <f>SUM(DC755:DH755)</f>
        <v>464.46660975991909</v>
      </c>
      <c r="II755" s="279">
        <f>SUM(DI755:DN755)</f>
        <v>535.90063962605655</v>
      </c>
      <c r="IJ755" s="323">
        <f t="shared" ref="IJ755:IJ840" si="881">IH755+II755</f>
        <v>1000.3672493859756</v>
      </c>
      <c r="IK755" s="327">
        <f>SUM(DO755:DT755)</f>
        <v>477.38299754654975</v>
      </c>
      <c r="IL755" s="279">
        <f>SUM(DU755:DZ755)</f>
        <v>555.02617716921623</v>
      </c>
      <c r="IM755" s="323">
        <f t="shared" ref="IM755:IM840" si="882">IK755+IL755</f>
        <v>1032.4091747157659</v>
      </c>
      <c r="IN755" s="279">
        <f>SUM(EA755:EF755)</f>
        <v>542.48894237690752</v>
      </c>
      <c r="IO755" s="279">
        <f>SUM(EG755:EL755)</f>
        <v>617.62271993499826</v>
      </c>
      <c r="IP755" s="323">
        <f t="shared" ref="IP755:IP840" si="883">IN755+IO755</f>
        <v>1160.1116623119058</v>
      </c>
      <c r="IQ755" s="327">
        <f>SUM(EM755:ER755)</f>
        <v>647.32148346433007</v>
      </c>
      <c r="IR755" s="327">
        <f>SUM(ES755:EX755)</f>
        <v>755.20077495454723</v>
      </c>
      <c r="IS755" s="323">
        <f t="shared" ref="IS755:IS840" si="884">IQ755+IR755</f>
        <v>1402.5222584188773</v>
      </c>
      <c r="IT755" s="327">
        <f>SUM(EY755:FD755)</f>
        <v>733.54699880372914</v>
      </c>
      <c r="IU755" s="327">
        <f>SUM(FE755:FJ755)</f>
        <v>742.06171548460691</v>
      </c>
      <c r="IV755" s="323">
        <f t="shared" ref="IV755:IV840" si="885">IT755+IU755</f>
        <v>1475.6087142883362</v>
      </c>
      <c r="IW755" s="327">
        <f t="shared" si="867"/>
        <v>762.0379297130944</v>
      </c>
      <c r="IX755" s="327">
        <f t="shared" si="868"/>
        <v>859.65135278374055</v>
      </c>
      <c r="IY755" s="323">
        <f t="shared" ref="IY755:IY826" si="886">IW755+IX755</f>
        <v>1621.6892824968349</v>
      </c>
      <c r="IZ755" s="327">
        <f t="shared" si="869"/>
        <v>852.76572324845449</v>
      </c>
      <c r="JA755" s="327">
        <f t="shared" si="870"/>
        <v>1024.0078679004075</v>
      </c>
      <c r="JB755" s="323">
        <f t="shared" ref="JB755:JB826" si="887">IZ755+JA755</f>
        <v>1876.7735911488621</v>
      </c>
      <c r="JC755" s="327">
        <f t="shared" si="871"/>
        <v>1070.2524980307714</v>
      </c>
      <c r="JD755" s="327">
        <f t="shared" si="872"/>
        <v>1217.1192987819688</v>
      </c>
      <c r="JE755" s="323">
        <f t="shared" ref="JE755:JE826" si="888">JC755+JD755</f>
        <v>2287.3717968127403</v>
      </c>
      <c r="JF755" s="327">
        <f>JF756+JF763+JF764+JF771+JF793+JF802</f>
        <v>1208.3816484251679</v>
      </c>
      <c r="JG755" s="327">
        <f>JG756+JG763+JG764+JG771+JG793+JG802</f>
        <v>1384.9398759801593</v>
      </c>
      <c r="JH755" s="323">
        <f t="shared" ref="JH755:JH819" si="889">JF755+JG755</f>
        <v>2593.3215244053272</v>
      </c>
      <c r="JI755" s="327">
        <f>SUM(HG755:HL755)</f>
        <v>1472.5745143095064</v>
      </c>
      <c r="JJ755" s="327">
        <f>SUM(HM755:HR755)</f>
        <v>1592.49204172388</v>
      </c>
      <c r="JK755" s="323">
        <f t="shared" ref="JK755:JK818" si="890">JI755+JJ755</f>
        <v>3065.0665560333864</v>
      </c>
      <c r="JL755" s="327">
        <f t="shared" ref="JL755:JL820" si="891">SUM(HS755:HX755)</f>
        <v>1853.138232335695</v>
      </c>
      <c r="JM755" s="279">
        <f t="shared" ref="JM755:JM829" si="892">JN755-JL755</f>
        <v>1933.8088521900902</v>
      </c>
      <c r="JN755" s="323">
        <f>FISC!AK1061</f>
        <v>3786.9470845257852</v>
      </c>
      <c r="JO755" s="327">
        <f>JO756+JO763+JO764+JO771+JO793+JO802</f>
        <v>2196.4482102375368</v>
      </c>
      <c r="JP755" s="279">
        <f t="shared" ref="JP755:JP813" si="893">JQ755-JO755</f>
        <v>2344.8436419229656</v>
      </c>
      <c r="JQ755" s="323">
        <f>FISC!AL1061</f>
        <v>4541.2918521605025</v>
      </c>
      <c r="JR755" s="327">
        <f>JR756+JR763+JR764+JR771+JR793+JR802</f>
        <v>2528.3650088054469</v>
      </c>
      <c r="JS755" s="279">
        <f t="shared" ref="JS755:JS817" si="894">JT755-JR755</f>
        <v>2708.2796286290909</v>
      </c>
      <c r="JT755" s="323">
        <f>FISC!AM1061</f>
        <v>5236.6446374345378</v>
      </c>
      <c r="JU755" s="327">
        <f>JU756+JU763+JU764+JU771+JU793+JU802</f>
        <v>2889.7514492958562</v>
      </c>
      <c r="JV755" s="279">
        <f>JW755-JU755</f>
        <v>3095.4969740894066</v>
      </c>
      <c r="JW755" s="323">
        <f>FISC!AN1061</f>
        <v>5985.2484233852629</v>
      </c>
      <c r="JX755" s="327">
        <f>JX756+JX763+JX764+JX771+JX793+JX802</f>
        <v>3302.4700215201187</v>
      </c>
      <c r="JY755" s="279">
        <f t="shared" ref="JY755:JY815" si="895">JZ755-JX755</f>
        <v>3537.9270018128686</v>
      </c>
      <c r="JZ755" s="323">
        <f>FISC!AO1061</f>
        <v>6840.3970233329874</v>
      </c>
      <c r="KA755" s="327">
        <f>KA756+KA763+KA764+KA771+KA793+KA802</f>
        <v>3722.0080468380465</v>
      </c>
      <c r="KB755" s="279">
        <f t="shared" ref="KB755:KB757" si="896">KC755-KA755</f>
        <v>3987.3145510804825</v>
      </c>
      <c r="KC755" s="323">
        <f>FISC!AP1061</f>
        <v>7709.322597918529</v>
      </c>
      <c r="KD755" s="327">
        <f>KD756+KD763+KD764+KD771+KD793+KD802</f>
        <v>4156.8077447005062</v>
      </c>
      <c r="KE755" s="279">
        <f t="shared" ref="KE755:KE757" si="897">KF755-KD755</f>
        <v>4454.2053208547977</v>
      </c>
      <c r="KF755" s="323">
        <f>FISC!AQ1061</f>
        <v>8611.0130655553039</v>
      </c>
      <c r="KG755" s="327">
        <f>KG756+KG763+KG764+KG771+KG793+KG802</f>
        <v>4682.2893126757526</v>
      </c>
      <c r="KH755" s="279">
        <f t="shared" ref="KH755:KH757" si="898">KI755-KG755</f>
        <v>5018.6498012206202</v>
      </c>
      <c r="KI755" s="323">
        <f>FISC!AR1061</f>
        <v>9700.9391138963729</v>
      </c>
      <c r="KJ755" s="327">
        <f>KJ756+KJ763+KJ764+KJ771+KJ793+KJ802</f>
        <v>5278.6344403342628</v>
      </c>
      <c r="KK755" s="279">
        <f t="shared" ref="KK755:KK757" si="899">KL755-KJ755</f>
        <v>5659.3323315228135</v>
      </c>
      <c r="KL755" s="323">
        <f>FISC!AS1061</f>
        <v>10937.966771857076</v>
      </c>
      <c r="KM755" s="327">
        <f>KM756+KM763+KM764+KM771+KM793+KM802</f>
        <v>6894.5992142765317</v>
      </c>
      <c r="KN755" s="279">
        <f t="shared" ref="KN755:KN757" si="900">KO755-KM755</f>
        <v>7392.6759923149475</v>
      </c>
      <c r="KO755" s="323">
        <f>FISC!AT1061</f>
        <v>14287.275206591479</v>
      </c>
      <c r="KU755" s="326"/>
      <c r="KV755" s="327"/>
      <c r="KY755" s="279">
        <f>SUM(KY756:KY802)</f>
        <v>0</v>
      </c>
      <c r="KZ755" s="279">
        <f>SUM(KZ756:KZ802)</f>
        <v>0</v>
      </c>
      <c r="LA755" s="279">
        <f>SUM(LA756:LA802)</f>
        <v>0</v>
      </c>
      <c r="LB755" s="279">
        <f>SUM(LB756:LB802)</f>
        <v>0</v>
      </c>
    </row>
    <row r="756" spans="1:314">
      <c r="A756" s="279"/>
      <c r="B756" s="96" t="s">
        <v>338</v>
      </c>
      <c r="D756" s="332" t="s">
        <v>463</v>
      </c>
      <c r="E756" s="323"/>
      <c r="F756" s="323"/>
      <c r="G756" s="323"/>
      <c r="H756" s="323"/>
      <c r="I756" s="323"/>
      <c r="J756" s="323"/>
      <c r="K756" s="323"/>
      <c r="L756" s="323"/>
      <c r="M756" s="323"/>
      <c r="N756" s="323"/>
      <c r="O756" s="323"/>
      <c r="P756" s="323"/>
      <c r="Q756" s="323"/>
      <c r="R756" s="323"/>
      <c r="S756" s="323"/>
      <c r="T756" s="323"/>
      <c r="U756" s="323"/>
      <c r="V756" s="323"/>
      <c r="W756" s="323"/>
      <c r="X756" s="323"/>
      <c r="Y756" s="323"/>
      <c r="Z756" s="323"/>
      <c r="AA756" s="323"/>
      <c r="AB756" s="323"/>
      <c r="AC756" s="323"/>
      <c r="AD756" s="323"/>
      <c r="AE756" s="323"/>
      <c r="AF756" s="323"/>
      <c r="AG756" s="323"/>
      <c r="AH756" s="323"/>
      <c r="AI756" s="323"/>
      <c r="AJ756" s="323"/>
      <c r="AK756" s="323"/>
      <c r="AL756" s="323"/>
      <c r="AM756" s="323"/>
      <c r="AN756" s="323"/>
      <c r="AO756" s="323">
        <v>9.1976553620000008</v>
      </c>
      <c r="AP756" s="323">
        <v>8.9753025550000007</v>
      </c>
      <c r="AQ756" s="323">
        <v>21.089250323000002</v>
      </c>
      <c r="AR756" s="323">
        <v>10.010133697000001</v>
      </c>
      <c r="AS756" s="323">
        <v>9.8719577630000011</v>
      </c>
      <c r="AT756" s="323">
        <v>14.840519780999999</v>
      </c>
      <c r="AU756" s="323">
        <v>9.88337222</v>
      </c>
      <c r="AV756" s="323">
        <v>11.078733921000001</v>
      </c>
      <c r="AW756" s="323">
        <v>15.450073651999999</v>
      </c>
      <c r="AX756" s="323">
        <v>10.522197433000001</v>
      </c>
      <c r="AY756" s="323">
        <v>10.271731428000001</v>
      </c>
      <c r="AZ756" s="323">
        <v>18.153608035999998</v>
      </c>
      <c r="BA756" s="323">
        <v>11.946940838</v>
      </c>
      <c r="BB756" s="323">
        <v>9.0899355970000002</v>
      </c>
      <c r="BC756" s="323">
        <v>24.427645838</v>
      </c>
      <c r="BD756" s="323">
        <v>12.300124922</v>
      </c>
      <c r="BE756" s="323">
        <v>13.586515272</v>
      </c>
      <c r="BF756" s="323">
        <v>18.836545067000003</v>
      </c>
      <c r="BG756" s="323">
        <v>10.921841468</v>
      </c>
      <c r="BH756" s="323">
        <v>12.876976016</v>
      </c>
      <c r="BI756" s="323">
        <v>19.071943779999998</v>
      </c>
      <c r="BJ756" s="323">
        <v>14.379611560000001</v>
      </c>
      <c r="BK756" s="323">
        <v>13.868360801</v>
      </c>
      <c r="BL756" s="323">
        <v>22.197278266000001</v>
      </c>
      <c r="BM756" s="323">
        <v>14.388957357999999</v>
      </c>
      <c r="BN756" s="323">
        <v>13.989886667999999</v>
      </c>
      <c r="BO756" s="323">
        <v>28.443676410000002</v>
      </c>
      <c r="BP756" s="323">
        <v>16.067820548</v>
      </c>
      <c r="BQ756" s="323">
        <v>22.70966043</v>
      </c>
      <c r="BR756" s="323">
        <v>23.848396019999999</v>
      </c>
      <c r="BS756" s="323">
        <v>13.931525382999999</v>
      </c>
      <c r="BT756" s="323">
        <v>16.445612037</v>
      </c>
      <c r="BU756" s="323">
        <v>22.525015555000003</v>
      </c>
      <c r="BV756" s="323">
        <v>18.891410504</v>
      </c>
      <c r="BW756" s="323">
        <v>17.873983027000001</v>
      </c>
      <c r="BX756" s="323">
        <v>24.470399514</v>
      </c>
      <c r="BY756" s="323">
        <v>17.60345899</v>
      </c>
      <c r="BZ756" s="323">
        <v>20.911623874</v>
      </c>
      <c r="CA756" s="323">
        <v>38.839338738000002</v>
      </c>
      <c r="CB756" s="323">
        <v>19.456358693999999</v>
      </c>
      <c r="CC756" s="323">
        <v>18.7379107</v>
      </c>
      <c r="CD756" s="329">
        <f t="shared" ref="CD756:DI756" si="901">CD353</f>
        <v>0</v>
      </c>
      <c r="CE756" s="323">
        <f t="shared" si="901"/>
        <v>17.442865989000001</v>
      </c>
      <c r="CF756" s="323">
        <f t="shared" si="901"/>
        <v>19.525892276</v>
      </c>
      <c r="CG756" s="323">
        <f t="shared" si="901"/>
        <v>29.068709611999999</v>
      </c>
      <c r="CH756" s="323">
        <f t="shared" si="901"/>
        <v>19.932281134</v>
      </c>
      <c r="CI756" s="323">
        <f t="shared" si="901"/>
        <v>18.564633012999998</v>
      </c>
      <c r="CJ756" s="323">
        <f t="shared" si="901"/>
        <v>33.827118311</v>
      </c>
      <c r="CK756" s="323">
        <f t="shared" si="901"/>
        <v>21.141859377000003</v>
      </c>
      <c r="CL756" s="323">
        <f t="shared" si="901"/>
        <v>20.952411226999999</v>
      </c>
      <c r="CM756" s="323">
        <f t="shared" si="901"/>
        <v>28.781427078</v>
      </c>
      <c r="CN756" s="323">
        <f t="shared" si="901"/>
        <v>21.026310951999999</v>
      </c>
      <c r="CO756" s="323">
        <f t="shared" si="901"/>
        <v>20.391816973000001</v>
      </c>
      <c r="CP756" s="325">
        <f t="shared" si="901"/>
        <v>37.229654887999999</v>
      </c>
      <c r="CQ756" s="323">
        <f t="shared" si="901"/>
        <v>22.069318692000003</v>
      </c>
      <c r="CR756" s="323">
        <f t="shared" si="901"/>
        <v>21.066326490000002</v>
      </c>
      <c r="CS756" s="323">
        <f t="shared" si="901"/>
        <v>33.752981474999999</v>
      </c>
      <c r="CT756" s="323">
        <f t="shared" si="901"/>
        <v>20.554321023</v>
      </c>
      <c r="CU756" s="323">
        <f t="shared" si="901"/>
        <v>18.533772878000001</v>
      </c>
      <c r="CV756" s="323">
        <f t="shared" si="901"/>
        <v>38.569907888000003</v>
      </c>
      <c r="CW756" s="323">
        <f t="shared" si="901"/>
        <v>24.528582481000001</v>
      </c>
      <c r="CX756" s="323">
        <f t="shared" si="901"/>
        <v>20.478766830999998</v>
      </c>
      <c r="CY756" s="323">
        <f t="shared" si="901"/>
        <v>49.998201248999997</v>
      </c>
      <c r="CZ756" s="323">
        <f t="shared" si="901"/>
        <v>28.614825071999999</v>
      </c>
      <c r="DA756" s="323">
        <f t="shared" si="901"/>
        <v>24.454279628000002</v>
      </c>
      <c r="DB756" s="1269">
        <f t="shared" si="901"/>
        <v>39.297474163000004</v>
      </c>
      <c r="DC756" s="323">
        <f t="shared" si="901"/>
        <v>24.97770777808697</v>
      </c>
      <c r="DD756" s="323">
        <f t="shared" si="901"/>
        <v>24.069154116661423</v>
      </c>
      <c r="DE756" s="323">
        <f t="shared" si="901"/>
        <v>37.947137373144983</v>
      </c>
      <c r="DF756" s="323">
        <f t="shared" si="901"/>
        <v>26.526863113310718</v>
      </c>
      <c r="DG756" s="323">
        <f t="shared" si="901"/>
        <v>22.842077699533458</v>
      </c>
      <c r="DH756" s="323">
        <f t="shared" si="901"/>
        <v>44.97296507686093</v>
      </c>
      <c r="DI756" s="323">
        <f t="shared" si="901"/>
        <v>29.489573230082442</v>
      </c>
      <c r="DJ756" s="323">
        <f t="shared" ref="DJ756:EO756" si="902">DJ353</f>
        <v>24.739166191259773</v>
      </c>
      <c r="DK756" s="323">
        <f t="shared" si="902"/>
        <v>64.363901094079523</v>
      </c>
      <c r="DL756" s="323">
        <f t="shared" si="902"/>
        <v>30.417722433606038</v>
      </c>
      <c r="DM756" s="323">
        <f t="shared" si="902"/>
        <v>27.793850016598867</v>
      </c>
      <c r="DN756" s="325">
        <f t="shared" si="902"/>
        <v>48.846946710689501</v>
      </c>
      <c r="DO756" s="323">
        <f t="shared" si="902"/>
        <v>21.471689881572686</v>
      </c>
      <c r="DP756" s="323">
        <f t="shared" si="902"/>
        <v>30.266054382305445</v>
      </c>
      <c r="DQ756" s="323">
        <f t="shared" si="902"/>
        <v>39.425181638268725</v>
      </c>
      <c r="DR756" s="323">
        <f t="shared" si="902"/>
        <v>26.784761667258937</v>
      </c>
      <c r="DS756" s="323">
        <f t="shared" si="902"/>
        <v>26.677548393080393</v>
      </c>
      <c r="DT756" s="323">
        <f t="shared" si="902"/>
        <v>43.318929067927989</v>
      </c>
      <c r="DU756" s="323">
        <f t="shared" si="902"/>
        <v>32.470388110317217</v>
      </c>
      <c r="DV756" s="323">
        <f t="shared" si="902"/>
        <v>26.946016230133992</v>
      </c>
      <c r="DW756" s="323">
        <f t="shared" si="902"/>
        <v>68.597441655491167</v>
      </c>
      <c r="DX756" s="323">
        <f t="shared" si="902"/>
        <v>26.875956962522089</v>
      </c>
      <c r="DY756" s="323">
        <f t="shared" si="902"/>
        <v>29.738585438124417</v>
      </c>
      <c r="DZ756" s="325">
        <f t="shared" si="902"/>
        <v>48.540318290994371</v>
      </c>
      <c r="EA756" s="323">
        <f t="shared" si="902"/>
        <v>25.455277023792288</v>
      </c>
      <c r="EB756" s="323">
        <f t="shared" si="902"/>
        <v>32.018292819407755</v>
      </c>
      <c r="EC756" s="323">
        <f t="shared" si="902"/>
        <v>43.027304943689934</v>
      </c>
      <c r="ED756" s="323">
        <f t="shared" si="902"/>
        <v>33.39073301665713</v>
      </c>
      <c r="EE756" s="323">
        <f t="shared" si="902"/>
        <v>29.720448230942814</v>
      </c>
      <c r="EF756" s="323">
        <f t="shared" si="902"/>
        <v>47.180959559145705</v>
      </c>
      <c r="EG756" s="323">
        <f t="shared" si="902"/>
        <v>37.966086083231247</v>
      </c>
      <c r="EH756" s="323">
        <f t="shared" si="902"/>
        <v>28.652020048842438</v>
      </c>
      <c r="EI756" s="323">
        <f t="shared" si="902"/>
        <v>66.11191067311718</v>
      </c>
      <c r="EJ756" s="323">
        <f t="shared" si="902"/>
        <v>44.887675344763323</v>
      </c>
      <c r="EK756" s="323">
        <f t="shared" si="902"/>
        <v>30.249393652575279</v>
      </c>
      <c r="EL756" s="325">
        <f t="shared" si="902"/>
        <v>52.766372826799838</v>
      </c>
      <c r="EM756" s="323">
        <f t="shared" si="902"/>
        <v>32.903887653520002</v>
      </c>
      <c r="EN756" s="323">
        <f t="shared" si="902"/>
        <v>38.718924392970003</v>
      </c>
      <c r="EO756" s="323">
        <f t="shared" si="902"/>
        <v>53.269384041799995</v>
      </c>
      <c r="EP756" s="323">
        <f t="shared" ref="EP756:FV756" si="903">EP353</f>
        <v>43.582974409280006</v>
      </c>
      <c r="EQ756" s="323">
        <f t="shared" si="903"/>
        <v>37.346238129779998</v>
      </c>
      <c r="ER756" s="323">
        <f t="shared" si="903"/>
        <v>64.889195948490041</v>
      </c>
      <c r="ES756" s="323">
        <f t="shared" si="903"/>
        <v>45.557114181480003</v>
      </c>
      <c r="ET756" s="323">
        <f t="shared" si="903"/>
        <v>38.634797108739996</v>
      </c>
      <c r="EU756" s="323">
        <f t="shared" si="903"/>
        <v>56.830703252639999</v>
      </c>
      <c r="EV756" s="323">
        <f t="shared" si="903"/>
        <v>59.092180732999999</v>
      </c>
      <c r="EW756" s="323">
        <f t="shared" si="903"/>
        <v>45.748966423500008</v>
      </c>
      <c r="EX756" s="325">
        <f t="shared" si="903"/>
        <v>78.799486449000057</v>
      </c>
      <c r="EY756" s="323">
        <f t="shared" si="903"/>
        <v>40.861348706000001</v>
      </c>
      <c r="EZ756" s="323">
        <f t="shared" si="903"/>
        <v>40.236363533999992</v>
      </c>
      <c r="FA756" s="323">
        <f t="shared" si="903"/>
        <v>62.600567380000001</v>
      </c>
      <c r="FB756" s="323">
        <f t="shared" si="903"/>
        <v>40.196479917999994</v>
      </c>
      <c r="FC756" s="323">
        <f t="shared" si="903"/>
        <v>35.382652612999998</v>
      </c>
      <c r="FD756" s="323">
        <f t="shared" si="903"/>
        <v>74.515635992236128</v>
      </c>
      <c r="FE756" s="323">
        <f t="shared" si="903"/>
        <v>50.561232297057551</v>
      </c>
      <c r="FF756" s="323">
        <f t="shared" si="903"/>
        <v>46.994172765410902</v>
      </c>
      <c r="FG756" s="323">
        <f t="shared" si="903"/>
        <v>52.490747917832323</v>
      </c>
      <c r="FH756" s="323">
        <f t="shared" si="903"/>
        <v>67.0517552428323</v>
      </c>
      <c r="FI756" s="323">
        <f t="shared" si="903"/>
        <v>44.051889430022307</v>
      </c>
      <c r="FJ756" s="325">
        <f t="shared" si="903"/>
        <v>86.532698150732344</v>
      </c>
      <c r="FK756" s="323">
        <f t="shared" si="903"/>
        <v>36.289047524419288</v>
      </c>
      <c r="FL756" s="323">
        <f t="shared" si="903"/>
        <v>36.019796794131103</v>
      </c>
      <c r="FM756" s="323">
        <f t="shared" si="903"/>
        <v>72.440413640439601</v>
      </c>
      <c r="FN756" s="323">
        <f t="shared" si="903"/>
        <v>42.868981288514391</v>
      </c>
      <c r="FO756" s="323">
        <f t="shared" si="903"/>
        <v>45.484406372303361</v>
      </c>
      <c r="FP756" s="323">
        <f t="shared" si="903"/>
        <v>76.286844757701388</v>
      </c>
      <c r="FQ756" s="323">
        <f t="shared" si="903"/>
        <v>49.103212532440324</v>
      </c>
      <c r="FR756" s="323">
        <f t="shared" si="903"/>
        <v>52.336578481208335</v>
      </c>
      <c r="FS756" s="323">
        <f t="shared" si="903"/>
        <v>93.267847900999698</v>
      </c>
      <c r="FT756" s="323">
        <f t="shared" si="903"/>
        <v>53.732223183644123</v>
      </c>
      <c r="FU756" s="323">
        <f t="shared" si="903"/>
        <v>50.45175707796222</v>
      </c>
      <c r="FV756" s="323">
        <f t="shared" si="903"/>
        <v>94.271498006713855</v>
      </c>
      <c r="FW756" s="323">
        <v>42.931996948309646</v>
      </c>
      <c r="FX756" s="323">
        <v>51.976516482732585</v>
      </c>
      <c r="FY756" s="323">
        <v>85.710003864002815</v>
      </c>
      <c r="FZ756" s="323">
        <v>50.884118057186733</v>
      </c>
      <c r="GA756" s="323">
        <v>53.532433952667745</v>
      </c>
      <c r="GB756" s="323">
        <v>92.791841307198808</v>
      </c>
      <c r="GC756" s="323">
        <v>60.325505074531428</v>
      </c>
      <c r="GD756" s="323">
        <v>54.330143900996141</v>
      </c>
      <c r="GE756" s="323">
        <v>131.26415922232482</v>
      </c>
      <c r="GF756" s="323">
        <v>55.649899866840457</v>
      </c>
      <c r="GG756" s="323">
        <v>59.435778794574979</v>
      </c>
      <c r="GH756" s="323">
        <v>114.72444861402933</v>
      </c>
      <c r="GI756" s="323">
        <f t="shared" ref="GI756:GT756" si="904">GI353+GI760</f>
        <v>53.204055566850109</v>
      </c>
      <c r="GJ756" s="323">
        <f t="shared" si="904"/>
        <v>59.078030433705571</v>
      </c>
      <c r="GK756" s="323">
        <f t="shared" si="904"/>
        <v>106.26164003751501</v>
      </c>
      <c r="GL756" s="323">
        <f t="shared" si="904"/>
        <v>50.353097030469279</v>
      </c>
      <c r="GM756" s="323">
        <f t="shared" si="904"/>
        <v>69.292342448664428</v>
      </c>
      <c r="GN756" s="323">
        <f t="shared" si="904"/>
        <v>117.6861034362649</v>
      </c>
      <c r="GO756" s="323">
        <f t="shared" si="904"/>
        <v>74.864048893155513</v>
      </c>
      <c r="GP756" s="323">
        <f t="shared" si="904"/>
        <v>47.414745790658266</v>
      </c>
      <c r="GQ756" s="323">
        <f t="shared" si="904"/>
        <v>147.74039314169588</v>
      </c>
      <c r="GR756" s="323">
        <f t="shared" si="904"/>
        <v>87.61921461099999</v>
      </c>
      <c r="GS756" s="323">
        <f t="shared" si="904"/>
        <v>66.672609772999991</v>
      </c>
      <c r="GT756" s="323">
        <f t="shared" si="904"/>
        <v>142.55584417</v>
      </c>
      <c r="GU756" s="323">
        <f t="shared" ref="GU756:HR756" si="905">GU353</f>
        <v>71.838405088999991</v>
      </c>
      <c r="GV756" s="323">
        <f t="shared" si="905"/>
        <v>70.983312988999984</v>
      </c>
      <c r="GW756" s="323">
        <f t="shared" si="905"/>
        <v>110.957612408</v>
      </c>
      <c r="GX756" s="323">
        <f t="shared" si="905"/>
        <v>82.024519187999999</v>
      </c>
      <c r="GY756" s="323">
        <f t="shared" si="905"/>
        <v>73.172715019999998</v>
      </c>
      <c r="GZ756" s="323">
        <f t="shared" si="905"/>
        <v>139.43906328199998</v>
      </c>
      <c r="HA756" s="323">
        <f t="shared" si="905"/>
        <v>88.183945691999995</v>
      </c>
      <c r="HB756" s="323">
        <f t="shared" si="905"/>
        <v>65.311859411967333</v>
      </c>
      <c r="HC756" s="323">
        <f t="shared" si="905"/>
        <v>91.63107527599999</v>
      </c>
      <c r="HD756" s="323">
        <f t="shared" si="905"/>
        <v>131.1451816076123</v>
      </c>
      <c r="HE756" s="323">
        <f t="shared" si="905"/>
        <v>85.313004088487276</v>
      </c>
      <c r="HF756" s="323">
        <f t="shared" si="905"/>
        <v>168.57115475694047</v>
      </c>
      <c r="HG756" s="323">
        <f t="shared" si="905"/>
        <v>74.32016508000001</v>
      </c>
      <c r="HH756" s="323">
        <f t="shared" si="905"/>
        <v>81.87931893199999</v>
      </c>
      <c r="HI756" s="323">
        <f t="shared" si="905"/>
        <v>143.00261516899999</v>
      </c>
      <c r="HJ756" s="323">
        <f t="shared" si="905"/>
        <v>86.889979795466431</v>
      </c>
      <c r="HK756" s="323">
        <f t="shared" si="905"/>
        <v>87.558215688759091</v>
      </c>
      <c r="HL756" s="323">
        <f t="shared" si="905"/>
        <v>162.02002678946647</v>
      </c>
      <c r="HM756" s="323">
        <f t="shared" si="905"/>
        <v>100.75755591800001</v>
      </c>
      <c r="HN756" s="323">
        <f t="shared" si="905"/>
        <v>77.420642895000015</v>
      </c>
      <c r="HO756" s="323">
        <f t="shared" si="905"/>
        <v>152.38004982500024</v>
      </c>
      <c r="HP756" s="323">
        <f t="shared" si="905"/>
        <v>109.11882329800001</v>
      </c>
      <c r="HQ756" s="323">
        <f t="shared" si="905"/>
        <v>81.409293255000023</v>
      </c>
      <c r="HR756" s="323">
        <f t="shared" si="905"/>
        <v>200.659736536</v>
      </c>
      <c r="HS756" s="323">
        <f t="shared" ref="HS756:HX756" si="906">HS353</f>
        <v>89.553364767999994</v>
      </c>
      <c r="HT756" s="323">
        <f t="shared" si="906"/>
        <v>88.725336777110002</v>
      </c>
      <c r="HU756" s="323">
        <f t="shared" si="906"/>
        <v>175.46021229600001</v>
      </c>
      <c r="HV756" s="323">
        <f t="shared" si="906"/>
        <v>111.97940287</v>
      </c>
      <c r="HW756" s="323">
        <f t="shared" si="906"/>
        <v>83.664460053999989</v>
      </c>
      <c r="HX756" s="323">
        <f t="shared" si="906"/>
        <v>196.43665092800003</v>
      </c>
      <c r="HY756" s="323"/>
      <c r="HZ756" s="326"/>
      <c r="IA756" s="332" t="s">
        <v>463</v>
      </c>
      <c r="IB756" s="284">
        <f>SUM(CE756:CJ756)</f>
        <v>138.36150033499999</v>
      </c>
      <c r="IC756" s="279">
        <f>SUM(CK756:CP756)</f>
        <v>149.523480495</v>
      </c>
      <c r="ID756" s="323">
        <f t="shared" ref="ID756:ID842" si="907">IB756+IC756</f>
        <v>287.88498083000002</v>
      </c>
      <c r="IE756" s="279">
        <f>SUM(CQ756:CV756)</f>
        <v>154.546628446</v>
      </c>
      <c r="IF756" s="279">
        <f>SUM(CW756:DB756)</f>
        <v>187.37212942400001</v>
      </c>
      <c r="IG756" s="323">
        <f t="shared" si="880"/>
        <v>341.91875787000004</v>
      </c>
      <c r="IH756" s="284">
        <f>SUM(DC756:DH756)</f>
        <v>181.33590515759849</v>
      </c>
      <c r="II756" s="279">
        <f>SUM(DI756:DN756)</f>
        <v>225.65115967631615</v>
      </c>
      <c r="IJ756" s="323">
        <f t="shared" si="881"/>
        <v>406.98706483391464</v>
      </c>
      <c r="IK756" s="327">
        <f>SUM(DO756:DT756)</f>
        <v>187.94416503041418</v>
      </c>
      <c r="IL756" s="279">
        <f>SUM(DU756:DZ756)</f>
        <v>233.16870668758327</v>
      </c>
      <c r="IM756" s="323">
        <f t="shared" si="882"/>
        <v>421.11287171799745</v>
      </c>
      <c r="IN756" s="279">
        <f>SUM(EA756:EF756)</f>
        <v>210.79301559363563</v>
      </c>
      <c r="IO756" s="279">
        <f>SUM(EG756:EL756)</f>
        <v>260.63345862932931</v>
      </c>
      <c r="IP756" s="323">
        <f t="shared" si="883"/>
        <v>471.42647422296494</v>
      </c>
      <c r="IQ756" s="327">
        <f>SUM(EM756:ER756)</f>
        <v>270.71060457584002</v>
      </c>
      <c r="IR756" s="327">
        <f>SUM(ES756:EX756)</f>
        <v>324.66324814836003</v>
      </c>
      <c r="IS756" s="323">
        <f t="shared" si="884"/>
        <v>595.37385272420011</v>
      </c>
      <c r="IT756" s="327">
        <f>SUM(EY756:FD756)</f>
        <v>293.79304814323609</v>
      </c>
      <c r="IU756" s="327">
        <f>SUM(FE756:FJ756)</f>
        <v>347.68249580388772</v>
      </c>
      <c r="IV756" s="323">
        <f t="shared" si="885"/>
        <v>641.47554394712381</v>
      </c>
      <c r="IW756" s="327">
        <f t="shared" si="867"/>
        <v>309.38949037750916</v>
      </c>
      <c r="IX756" s="327">
        <f t="shared" si="868"/>
        <v>393.16311718296856</v>
      </c>
      <c r="IY756" s="323">
        <f t="shared" si="886"/>
        <v>702.55260756047778</v>
      </c>
      <c r="IZ756" s="327">
        <f t="shared" si="869"/>
        <v>377.82691061209829</v>
      </c>
      <c r="JA756" s="327">
        <f t="shared" si="870"/>
        <v>475.72993547329708</v>
      </c>
      <c r="JB756" s="323">
        <f t="shared" si="887"/>
        <v>853.55684608539536</v>
      </c>
      <c r="JC756" s="327">
        <f t="shared" si="871"/>
        <v>455.87526895346929</v>
      </c>
      <c r="JD756" s="327">
        <f t="shared" si="872"/>
        <v>566.86685637950961</v>
      </c>
      <c r="JE756" s="323">
        <f t="shared" si="888"/>
        <v>1022.742125332979</v>
      </c>
      <c r="JF756" s="327">
        <f t="shared" ref="JF756:JF795" si="908">SUM(GU756:GZ756)</f>
        <v>548.415627976</v>
      </c>
      <c r="JG756" s="327">
        <f>SUM(HA756:HF756)</f>
        <v>630.15622083300741</v>
      </c>
      <c r="JH756" s="323">
        <f t="shared" si="889"/>
        <v>1178.5718488090074</v>
      </c>
      <c r="JI756" s="327">
        <f t="shared" ref="JI756:JI827" si="909">SUM(HG756:HL756)</f>
        <v>635.67032145469204</v>
      </c>
      <c r="JJ756" s="327">
        <f t="shared" ref="JJ756:JJ819" si="910">SUM(HM756:HR756)</f>
        <v>721.74610172700022</v>
      </c>
      <c r="JK756" s="323">
        <f t="shared" si="890"/>
        <v>1357.4164231816922</v>
      </c>
      <c r="JL756" s="327">
        <f t="shared" si="891"/>
        <v>745.81942769311001</v>
      </c>
      <c r="JM756" s="279">
        <f t="shared" si="892"/>
        <v>819.77060847144514</v>
      </c>
      <c r="JN756" s="323">
        <f>FISC!AK1062</f>
        <v>1565.5900361645552</v>
      </c>
      <c r="JO756" s="327">
        <f>JQ756*0.47</f>
        <v>881.05843127058938</v>
      </c>
      <c r="JP756" s="279">
        <f t="shared" si="893"/>
        <v>993.53397568811147</v>
      </c>
      <c r="JQ756" s="323">
        <f>FISC!AL1062</f>
        <v>1874.5924069587008</v>
      </c>
      <c r="JR756" s="327">
        <f>JT756*0.48</f>
        <v>1046.4487876921889</v>
      </c>
      <c r="JS756" s="279">
        <f t="shared" si="894"/>
        <v>1133.6528533332048</v>
      </c>
      <c r="JT756" s="323">
        <f>FISC!AM1062</f>
        <v>2180.1016410253937</v>
      </c>
      <c r="JU756" s="327">
        <f>JW756*0.48</f>
        <v>1199.7132773703588</v>
      </c>
      <c r="JV756" s="279">
        <f t="shared" ref="JV756:JV815" si="911">JW756-JU756</f>
        <v>1299.6893838178889</v>
      </c>
      <c r="JW756" s="323">
        <f>FISC!AN1062</f>
        <v>2499.4026611882477</v>
      </c>
      <c r="JX756" s="327">
        <f>JZ756*0.48</f>
        <v>1365.5370816508323</v>
      </c>
      <c r="JY756" s="279">
        <f t="shared" si="895"/>
        <v>1479.3318384550682</v>
      </c>
      <c r="JZ756" s="323">
        <f>FISC!AO1062</f>
        <v>2844.8689201059005</v>
      </c>
      <c r="KA756" s="327">
        <f>KC756*0.48</f>
        <v>1555.4836628896385</v>
      </c>
      <c r="KB756" s="279">
        <f t="shared" si="896"/>
        <v>1685.1073014637752</v>
      </c>
      <c r="KC756" s="323">
        <f>FISC!AP1062</f>
        <v>3240.5909643534137</v>
      </c>
      <c r="KD756" s="327">
        <f>KF756*0.48</f>
        <v>1792.0833705187342</v>
      </c>
      <c r="KE756" s="279">
        <f t="shared" si="897"/>
        <v>1941.4236513952956</v>
      </c>
      <c r="KF756" s="323">
        <f>FISC!AQ1062</f>
        <v>3733.5070219140298</v>
      </c>
      <c r="KG756" s="327">
        <f>KI756*0.48</f>
        <v>2063.3468056654242</v>
      </c>
      <c r="KH756" s="279">
        <f t="shared" si="898"/>
        <v>2235.2923728042101</v>
      </c>
      <c r="KI756" s="323">
        <f>FISC!AR1062</f>
        <v>4298.6391784696343</v>
      </c>
      <c r="KJ756" s="327">
        <f>KL756*0.48</f>
        <v>2351.0376982550597</v>
      </c>
      <c r="KK756" s="279">
        <f t="shared" si="899"/>
        <v>2546.9575064429819</v>
      </c>
      <c r="KL756" s="323">
        <f>FISC!AS1062</f>
        <v>4897.9952046980416</v>
      </c>
      <c r="KM756" s="327">
        <f>KO756*0.48</f>
        <v>3147.9301106316766</v>
      </c>
      <c r="KN756" s="279">
        <f t="shared" si="900"/>
        <v>3410.2576198509828</v>
      </c>
      <c r="KO756" s="323">
        <f>FISC!AT1062</f>
        <v>6558.1877304826594</v>
      </c>
      <c r="KU756" s="326"/>
      <c r="KV756" s="327"/>
    </row>
    <row r="757" spans="1:314">
      <c r="A757" s="279"/>
      <c r="D757" s="1232" t="s">
        <v>464</v>
      </c>
      <c r="E757" s="323"/>
      <c r="F757" s="323"/>
      <c r="G757" s="323"/>
      <c r="H757" s="323"/>
      <c r="I757" s="323"/>
      <c r="J757" s="323"/>
      <c r="K757" s="323"/>
      <c r="L757" s="323"/>
      <c r="M757" s="323"/>
      <c r="N757" s="323"/>
      <c r="O757" s="323"/>
      <c r="P757" s="323"/>
      <c r="Q757" s="323"/>
      <c r="R757" s="323"/>
      <c r="S757" s="323"/>
      <c r="T757" s="323"/>
      <c r="U757" s="323"/>
      <c r="V757" s="323"/>
      <c r="W757" s="323"/>
      <c r="X757" s="323"/>
      <c r="Y757" s="323"/>
      <c r="Z757" s="323"/>
      <c r="AA757" s="323"/>
      <c r="AB757" s="323"/>
      <c r="AC757" s="323"/>
      <c r="AD757" s="323"/>
      <c r="AE757" s="323"/>
      <c r="AF757" s="323"/>
      <c r="AG757" s="323"/>
      <c r="AH757" s="323"/>
      <c r="AI757" s="323"/>
      <c r="AJ757" s="323"/>
      <c r="AK757" s="323"/>
      <c r="AL757" s="323"/>
      <c r="AM757" s="323"/>
      <c r="AN757" s="323"/>
      <c r="AO757" s="323"/>
      <c r="AP757" s="323"/>
      <c r="AQ757" s="323"/>
      <c r="AR757" s="323"/>
      <c r="AS757" s="323"/>
      <c r="AT757" s="323"/>
      <c r="AU757" s="323"/>
      <c r="AV757" s="323"/>
      <c r="AW757" s="323"/>
      <c r="AX757" s="323"/>
      <c r="AY757" s="323"/>
      <c r="AZ757" s="323"/>
      <c r="BA757" s="323"/>
      <c r="BB757" s="323"/>
      <c r="BC757" s="323"/>
      <c r="BD757" s="323"/>
      <c r="BE757" s="323"/>
      <c r="BF757" s="323"/>
      <c r="BG757" s="323"/>
      <c r="BH757" s="323"/>
      <c r="BI757" s="323"/>
      <c r="BJ757" s="323"/>
      <c r="BK757" s="323"/>
      <c r="BL757" s="323"/>
      <c r="BM757" s="323"/>
      <c r="BN757" s="323"/>
      <c r="BO757" s="323"/>
      <c r="BP757" s="323"/>
      <c r="BQ757" s="323"/>
      <c r="BR757" s="323"/>
      <c r="BS757" s="323"/>
      <c r="BT757" s="323"/>
      <c r="BU757" s="323"/>
      <c r="BV757" s="323"/>
      <c r="BW757" s="323"/>
      <c r="BX757" s="323"/>
      <c r="BY757" s="323"/>
      <c r="BZ757" s="323"/>
      <c r="CA757" s="323"/>
      <c r="CB757" s="323"/>
      <c r="CC757" s="323"/>
      <c r="CD757" s="329"/>
      <c r="CE757" s="323">
        <f t="shared" ref="CE757:DJ757" si="912">CE354</f>
        <v>15.335722871</v>
      </c>
      <c r="CF757" s="323">
        <f t="shared" si="912"/>
        <v>18.453643707000001</v>
      </c>
      <c r="CG757" s="323">
        <f t="shared" si="912"/>
        <v>19.47672549</v>
      </c>
      <c r="CH757" s="323">
        <f t="shared" si="912"/>
        <v>17.97492677</v>
      </c>
      <c r="CI757" s="323">
        <f t="shared" si="912"/>
        <v>17.2901992</v>
      </c>
      <c r="CJ757" s="323">
        <f t="shared" si="912"/>
        <v>23.874331232999999</v>
      </c>
      <c r="CK757" s="323">
        <f t="shared" si="912"/>
        <v>18.637431190000001</v>
      </c>
      <c r="CL757" s="323">
        <f t="shared" si="912"/>
        <v>19.059659594999999</v>
      </c>
      <c r="CM757" s="323">
        <f t="shared" si="912"/>
        <v>19.301946052000002</v>
      </c>
      <c r="CN757" s="323">
        <f t="shared" si="912"/>
        <v>18.818232368</v>
      </c>
      <c r="CO757" s="323">
        <f t="shared" si="912"/>
        <v>18.574974748999999</v>
      </c>
      <c r="CP757" s="325">
        <f t="shared" si="912"/>
        <v>27.654926967000002</v>
      </c>
      <c r="CQ757" s="323">
        <f t="shared" si="912"/>
        <v>19.027270161000001</v>
      </c>
      <c r="CR757" s="323">
        <f t="shared" si="912"/>
        <v>17.945877120999999</v>
      </c>
      <c r="CS757" s="323">
        <f t="shared" si="912"/>
        <v>23.738315861</v>
      </c>
      <c r="CT757" s="323">
        <f t="shared" si="912"/>
        <v>18.921073360000001</v>
      </c>
      <c r="CU757" s="323">
        <f t="shared" si="912"/>
        <v>17.030863909000001</v>
      </c>
      <c r="CV757" s="323">
        <f t="shared" si="912"/>
        <v>26.419475679000001</v>
      </c>
      <c r="CW757" s="323">
        <f t="shared" si="912"/>
        <v>22.337229367999999</v>
      </c>
      <c r="CX757" s="323">
        <f t="shared" si="912"/>
        <v>18.098628601000001</v>
      </c>
      <c r="CY757" s="323">
        <f t="shared" si="912"/>
        <v>25.821663387000001</v>
      </c>
      <c r="CZ757" s="323">
        <f t="shared" si="912"/>
        <v>26.245589175999999</v>
      </c>
      <c r="DA757" s="323">
        <f t="shared" si="912"/>
        <v>21.564693520999999</v>
      </c>
      <c r="DB757" s="1269">
        <f t="shared" si="912"/>
        <v>29.496832703999999</v>
      </c>
      <c r="DC757" s="323">
        <f t="shared" si="912"/>
        <v>21.615782720326401</v>
      </c>
      <c r="DD757" s="323">
        <f t="shared" si="912"/>
        <v>20.294735996621601</v>
      </c>
      <c r="DE757" s="323">
        <f t="shared" si="912"/>
        <v>26.120960418486298</v>
      </c>
      <c r="DF757" s="323">
        <f t="shared" si="912"/>
        <v>24.477194525631102</v>
      </c>
      <c r="DG757" s="323">
        <f t="shared" si="912"/>
        <v>21.004385424461599</v>
      </c>
      <c r="DH757" s="323">
        <f t="shared" si="912"/>
        <v>31.049560698246001</v>
      </c>
      <c r="DI757" s="323">
        <f t="shared" si="912"/>
        <v>27.840487462747099</v>
      </c>
      <c r="DJ757" s="323">
        <f t="shared" si="912"/>
        <v>23.1781468343546</v>
      </c>
      <c r="DK757" s="323">
        <f t="shared" ref="DK757:EP757" si="913">DK354</f>
        <v>40.983306076958698</v>
      </c>
      <c r="DL757" s="323">
        <f t="shared" si="913"/>
        <v>28.405466405739702</v>
      </c>
      <c r="DM757" s="323">
        <f t="shared" si="913"/>
        <v>25.082436725609902</v>
      </c>
      <c r="DN757" s="325">
        <f t="shared" si="913"/>
        <v>36.968642948916873</v>
      </c>
      <c r="DO757" s="323">
        <f t="shared" si="913"/>
        <v>18.759607335242031</v>
      </c>
      <c r="DP757" s="323">
        <f t="shared" si="913"/>
        <v>28.357289014025195</v>
      </c>
      <c r="DQ757" s="323">
        <f t="shared" si="913"/>
        <v>27.610516804926178</v>
      </c>
      <c r="DR757" s="323">
        <f t="shared" si="913"/>
        <v>25.009836839513426</v>
      </c>
      <c r="DS757" s="323">
        <f t="shared" si="913"/>
        <v>24.688640878436349</v>
      </c>
      <c r="DT757" s="323">
        <f t="shared" si="913"/>
        <v>33.988548327140684</v>
      </c>
      <c r="DU757" s="323">
        <f t="shared" si="913"/>
        <v>26.924952377653902</v>
      </c>
      <c r="DV757" s="323">
        <f t="shared" si="913"/>
        <v>24.643297991831403</v>
      </c>
      <c r="DW757" s="323">
        <f t="shared" si="913"/>
        <v>46.639684487487699</v>
      </c>
      <c r="DX757" s="323">
        <f t="shared" si="913"/>
        <v>24.402116171907899</v>
      </c>
      <c r="DY757" s="323">
        <f t="shared" si="913"/>
        <v>27.5322358404174</v>
      </c>
      <c r="DZ757" s="325">
        <f t="shared" si="913"/>
        <v>33.036661162635802</v>
      </c>
      <c r="EA757" s="323">
        <f t="shared" si="913"/>
        <v>22.906499245785181</v>
      </c>
      <c r="EB757" s="323">
        <f t="shared" si="913"/>
        <v>29.698573642996624</v>
      </c>
      <c r="EC757" s="323">
        <f t="shared" si="913"/>
        <v>30.146715729253604</v>
      </c>
      <c r="ED757" s="323">
        <f t="shared" si="913"/>
        <v>29.90945527667018</v>
      </c>
      <c r="EE757" s="323">
        <f t="shared" si="913"/>
        <v>27.174290085773425</v>
      </c>
      <c r="EF757" s="323">
        <f t="shared" si="913"/>
        <v>35.693886513293407</v>
      </c>
      <c r="EG757" s="323">
        <f t="shared" si="913"/>
        <v>32.17962014580138</v>
      </c>
      <c r="EH757" s="323">
        <f t="shared" si="913"/>
        <v>26.238264961253353</v>
      </c>
      <c r="EI757" s="323">
        <f t="shared" si="913"/>
        <v>45.753920926414622</v>
      </c>
      <c r="EJ757" s="323">
        <f t="shared" si="913"/>
        <v>29.842121318948323</v>
      </c>
      <c r="EK757" s="323">
        <f t="shared" si="913"/>
        <v>27.659507785700331</v>
      </c>
      <c r="EL757" s="325">
        <f t="shared" si="913"/>
        <v>36.110250100628754</v>
      </c>
      <c r="EM757" s="323">
        <f t="shared" si="913"/>
        <v>21.197964669000001</v>
      </c>
      <c r="EN757" s="323">
        <f t="shared" si="913"/>
        <v>26.297894826</v>
      </c>
      <c r="EO757" s="323">
        <f t="shared" si="913"/>
        <v>25.640282977999998</v>
      </c>
      <c r="EP757" s="323">
        <f t="shared" si="913"/>
        <v>25.162036771</v>
      </c>
      <c r="EQ757" s="323">
        <f t="shared" ref="EQ757:FK757" si="914">EQ354</f>
        <v>26.049817039000001</v>
      </c>
      <c r="ER757" s="323">
        <f t="shared" si="914"/>
        <v>29.227038579800048</v>
      </c>
      <c r="ES757" s="323">
        <f t="shared" si="914"/>
        <v>26.956796173000001</v>
      </c>
      <c r="ET757" s="323">
        <f t="shared" si="914"/>
        <v>26.604466951999999</v>
      </c>
      <c r="EU757" s="323">
        <f t="shared" si="914"/>
        <v>28.8569176779</v>
      </c>
      <c r="EV757" s="323">
        <f t="shared" si="914"/>
        <v>27.234412380999999</v>
      </c>
      <c r="EW757" s="323">
        <f t="shared" si="914"/>
        <v>28.292670561816003</v>
      </c>
      <c r="EX757" s="325">
        <f t="shared" si="914"/>
        <v>29.380920583622</v>
      </c>
      <c r="EY757" s="323">
        <f t="shared" si="914"/>
        <v>35.1922169493875</v>
      </c>
      <c r="EZ757" s="323">
        <f t="shared" si="914"/>
        <v>36.736436433049995</v>
      </c>
      <c r="FA757" s="323">
        <f t="shared" si="914"/>
        <v>39.451931595097498</v>
      </c>
      <c r="FB757" s="323">
        <f t="shared" si="914"/>
        <v>35.854395532299996</v>
      </c>
      <c r="FC757" s="323">
        <f t="shared" si="914"/>
        <v>32.903049460733499</v>
      </c>
      <c r="FD757" s="323">
        <f t="shared" si="914"/>
        <v>52.796362157162115</v>
      </c>
      <c r="FE757" s="323">
        <f t="shared" si="914"/>
        <v>48.026780050009052</v>
      </c>
      <c r="FF757" s="323">
        <f t="shared" si="914"/>
        <v>43.478022334660892</v>
      </c>
      <c r="FG757" s="323">
        <f t="shared" si="914"/>
        <v>41.94372338853232</v>
      </c>
      <c r="FH757" s="323">
        <f t="shared" si="914"/>
        <v>35.575190619832306</v>
      </c>
      <c r="FI757" s="323">
        <f t="shared" si="914"/>
        <v>40.931714567832309</v>
      </c>
      <c r="FJ757" s="325">
        <f t="shared" si="914"/>
        <v>58.830155635519851</v>
      </c>
      <c r="FK757" s="323">
        <f t="shared" si="914"/>
        <v>34.122865568916787</v>
      </c>
      <c r="FL757" s="323">
        <f t="shared" ref="FL757:GQ757" si="915">FL354</f>
        <v>29.537551809794103</v>
      </c>
      <c r="FM757" s="323">
        <f t="shared" si="915"/>
        <v>46.167131573128607</v>
      </c>
      <c r="FN757" s="323">
        <f t="shared" si="915"/>
        <v>40.735007468086749</v>
      </c>
      <c r="FO757" s="323">
        <f t="shared" si="915"/>
        <v>40.831429681469267</v>
      </c>
      <c r="FP757" s="323">
        <f t="shared" si="915"/>
        <v>51.153144298998221</v>
      </c>
      <c r="FQ757" s="323">
        <f t="shared" si="915"/>
        <v>47.07369008529318</v>
      </c>
      <c r="FR757" s="323">
        <f t="shared" si="915"/>
        <v>50.239993272733962</v>
      </c>
      <c r="FS757" s="323">
        <f t="shared" si="915"/>
        <v>54.692521657624496</v>
      </c>
      <c r="FT757" s="323">
        <f t="shared" si="915"/>
        <v>48.768606909993665</v>
      </c>
      <c r="FU757" s="323">
        <f t="shared" si="915"/>
        <v>45.784417457005091</v>
      </c>
      <c r="FV757" s="323">
        <f t="shared" si="915"/>
        <v>63.867142929825107</v>
      </c>
      <c r="FW757" s="323">
        <f t="shared" si="915"/>
        <v>39.773257880022108</v>
      </c>
      <c r="FX757" s="323">
        <f t="shared" si="915"/>
        <v>47.811507659362029</v>
      </c>
      <c r="FY757" s="323">
        <f t="shared" si="915"/>
        <v>53.316081569909386</v>
      </c>
      <c r="FZ757" s="323">
        <f t="shared" si="915"/>
        <v>47.725642027853183</v>
      </c>
      <c r="GA757" s="323">
        <f t="shared" si="915"/>
        <v>49.048040240920493</v>
      </c>
      <c r="GB757" s="323">
        <f t="shared" si="915"/>
        <v>58.046851359131836</v>
      </c>
      <c r="GC757" s="323">
        <f t="shared" si="915"/>
        <v>56.981845465852921</v>
      </c>
      <c r="GD757" s="323">
        <f t="shared" si="915"/>
        <v>49.206752542867306</v>
      </c>
      <c r="GE757" s="323">
        <f t="shared" si="915"/>
        <v>71.063010106402189</v>
      </c>
      <c r="GF757" s="323">
        <f t="shared" si="915"/>
        <v>51.744107802422583</v>
      </c>
      <c r="GG757" s="323">
        <f t="shared" si="915"/>
        <v>54.380453467655663</v>
      </c>
      <c r="GH757" s="323">
        <f t="shared" si="915"/>
        <v>74.027358089106286</v>
      </c>
      <c r="GI757" s="323">
        <f t="shared" si="915"/>
        <v>50.138606712664732</v>
      </c>
      <c r="GJ757" s="323">
        <f t="shared" si="915"/>
        <v>54.105265546746431</v>
      </c>
      <c r="GK757" s="323">
        <f t="shared" si="915"/>
        <v>65.065858448521283</v>
      </c>
      <c r="GL757" s="323">
        <f t="shared" si="915"/>
        <v>46.564723105478798</v>
      </c>
      <c r="GM757" s="323">
        <f t="shared" si="915"/>
        <v>65.445831130025582</v>
      </c>
      <c r="GN757" s="323">
        <f t="shared" si="915"/>
        <v>73.699421651695843</v>
      </c>
      <c r="GO757" s="323">
        <f t="shared" si="915"/>
        <v>69.336410309564101</v>
      </c>
      <c r="GP757" s="323">
        <f t="shared" si="915"/>
        <v>44.772263015658055</v>
      </c>
      <c r="GQ757" s="323">
        <f t="shared" si="915"/>
        <v>71.232426729750131</v>
      </c>
      <c r="GR757" s="323">
        <f t="shared" ref="GR757:HR757" si="916">GR354</f>
        <v>62.431906822999998</v>
      </c>
      <c r="GS757" s="323">
        <f t="shared" si="916"/>
        <v>59.816675173</v>
      </c>
      <c r="GT757" s="323">
        <f t="shared" si="916"/>
        <v>83.444036252999993</v>
      </c>
      <c r="GU757" s="323">
        <f t="shared" si="916"/>
        <v>62.454723569999999</v>
      </c>
      <c r="GV757" s="323">
        <f t="shared" si="916"/>
        <v>64.000766596999995</v>
      </c>
      <c r="GW757" s="323">
        <f t="shared" si="916"/>
        <v>59.770251220999995</v>
      </c>
      <c r="GX757" s="323">
        <f t="shared" si="916"/>
        <v>60.869588732000004</v>
      </c>
      <c r="GY757" s="323">
        <f t="shared" si="916"/>
        <v>65.704452418000002</v>
      </c>
      <c r="GZ757" s="323">
        <f t="shared" si="916"/>
        <v>72.714730935999995</v>
      </c>
      <c r="HA757" s="323">
        <f t="shared" si="916"/>
        <v>71.093015197</v>
      </c>
      <c r="HB757" s="323">
        <f t="shared" si="916"/>
        <v>56.698748836930704</v>
      </c>
      <c r="HC757" s="323">
        <f t="shared" si="916"/>
        <v>57.535459471999999</v>
      </c>
      <c r="HD757" s="323">
        <f t="shared" si="916"/>
        <v>73.892993284572299</v>
      </c>
      <c r="HE757" s="323">
        <f t="shared" si="916"/>
        <v>73.411471319487276</v>
      </c>
      <c r="HF757" s="323">
        <f t="shared" si="916"/>
        <v>98.695551528989284</v>
      </c>
      <c r="HG757" s="323">
        <f t="shared" si="916"/>
        <v>63.085397977000007</v>
      </c>
      <c r="HH757" s="323">
        <f t="shared" si="916"/>
        <v>71.265702486999999</v>
      </c>
      <c r="HI757" s="323">
        <f t="shared" si="916"/>
        <v>70.846427525999999</v>
      </c>
      <c r="HJ757" s="323">
        <f t="shared" si="916"/>
        <v>70.999309431466429</v>
      </c>
      <c r="HK757" s="323">
        <f t="shared" si="916"/>
        <v>78.521305786759086</v>
      </c>
      <c r="HL757" s="323">
        <f t="shared" si="916"/>
        <v>80.300415599466476</v>
      </c>
      <c r="HM757" s="323">
        <f t="shared" si="916"/>
        <v>91.021293917999998</v>
      </c>
      <c r="HN757" s="323">
        <f t="shared" si="916"/>
        <v>64.175092375000006</v>
      </c>
      <c r="HO757" s="323">
        <f t="shared" si="916"/>
        <v>74.678139743000244</v>
      </c>
      <c r="HP757" s="323">
        <f t="shared" si="916"/>
        <v>86.921214723000006</v>
      </c>
      <c r="HQ757" s="323">
        <f t="shared" si="916"/>
        <v>69.937376663000009</v>
      </c>
      <c r="HR757" s="323">
        <f t="shared" si="916"/>
        <v>123.147786178</v>
      </c>
      <c r="HS757" s="323">
        <f t="shared" ref="HS757:HX757" si="917">HS354</f>
        <v>79.131197313999991</v>
      </c>
      <c r="HT757" s="323">
        <f t="shared" si="917"/>
        <v>79.669808875110007</v>
      </c>
      <c r="HU757" s="323">
        <f t="shared" si="917"/>
        <v>90.530928720999995</v>
      </c>
      <c r="HV757" s="323">
        <f t="shared" si="917"/>
        <v>99.432752644000004</v>
      </c>
      <c r="HW757" s="323">
        <f t="shared" si="917"/>
        <v>72.204163855999994</v>
      </c>
      <c r="HX757" s="323">
        <f t="shared" si="917"/>
        <v>113.92483451900003</v>
      </c>
      <c r="HY757" s="323"/>
      <c r="HZ757" s="326"/>
      <c r="IA757" s="1232" t="s">
        <v>464</v>
      </c>
      <c r="IB757" s="284">
        <f>SUM(CE757:CJ757)</f>
        <v>112.40554927100001</v>
      </c>
      <c r="IC757" s="279">
        <f>SUM(CK757:CP757)</f>
        <v>122.047170921</v>
      </c>
      <c r="ID757" s="323">
        <f t="shared" si="907"/>
        <v>234.45272019200002</v>
      </c>
      <c r="IE757" s="279">
        <f>SUM(CQ757:CV757)</f>
        <v>123.08287609100002</v>
      </c>
      <c r="IF757" s="279">
        <f>SUM(CW757:DB757)</f>
        <v>143.56463675699999</v>
      </c>
      <c r="IG757" s="323">
        <f t="shared" si="880"/>
        <v>266.64751284800002</v>
      </c>
      <c r="IH757" s="284">
        <f>SUM(DC757:DH757)</f>
        <v>144.56261978377302</v>
      </c>
      <c r="II757" s="279">
        <f>SUM(DI757:DN757)</f>
        <v>182.45848645432687</v>
      </c>
      <c r="IJ757" s="323">
        <f t="shared" si="881"/>
        <v>327.02110623809989</v>
      </c>
      <c r="IK757" s="327">
        <f>SUM(DO757:DT757)</f>
        <v>158.41443919928386</v>
      </c>
      <c r="IL757" s="279">
        <f>SUM(DU757:DZ757)</f>
        <v>183.17894803193408</v>
      </c>
      <c r="IM757" s="323">
        <f t="shared" si="882"/>
        <v>341.59338723121795</v>
      </c>
      <c r="IN757" s="279">
        <f>SUM(EA757:EF757)</f>
        <v>175.52942049377242</v>
      </c>
      <c r="IO757" s="279">
        <f>SUM(EG757:EL757)</f>
        <v>197.78368523874676</v>
      </c>
      <c r="IP757" s="323">
        <f t="shared" si="883"/>
        <v>373.31310573251915</v>
      </c>
      <c r="IQ757" s="327">
        <f>SUM(EM757:ER757)</f>
        <v>153.57503486280007</v>
      </c>
      <c r="IR757" s="327">
        <f>SUM(ES757:EX757)</f>
        <v>167.32618432933799</v>
      </c>
      <c r="IS757" s="323">
        <f>IQ757+IR757</f>
        <v>320.90121919213806</v>
      </c>
      <c r="IT757" s="327">
        <f>SUM(EY757:FD757)</f>
        <v>232.9343921277306</v>
      </c>
      <c r="IU757" s="327">
        <f>SUM(FE757:FJ757)</f>
        <v>268.78558659638674</v>
      </c>
      <c r="IV757" s="323">
        <f t="shared" si="885"/>
        <v>501.71997872411737</v>
      </c>
      <c r="IW757" s="327">
        <f t="shared" si="867"/>
        <v>242.54713040039374</v>
      </c>
      <c r="IX757" s="327">
        <f t="shared" si="868"/>
        <v>310.42637231247545</v>
      </c>
      <c r="IY757" s="323">
        <f>IW757+IX757</f>
        <v>552.97350271286916</v>
      </c>
      <c r="IZ757" s="327">
        <f t="shared" si="869"/>
        <v>295.72138073719907</v>
      </c>
      <c r="JA757" s="327">
        <f t="shared" si="870"/>
        <v>357.40352747430688</v>
      </c>
      <c r="JB757" s="323">
        <f t="shared" si="887"/>
        <v>653.12490821150595</v>
      </c>
      <c r="JC757" s="327">
        <f t="shared" si="871"/>
        <v>355.01970659513267</v>
      </c>
      <c r="JD757" s="327">
        <f t="shared" si="872"/>
        <v>391.03371830397225</v>
      </c>
      <c r="JE757" s="323">
        <f t="shared" si="888"/>
        <v>746.05342489910493</v>
      </c>
      <c r="JF757" s="327">
        <f t="shared" si="908"/>
        <v>385.51451347399995</v>
      </c>
      <c r="JG757" s="327">
        <f t="shared" ref="JG757:JG812" si="918">SUM(HA757:HF757)</f>
        <v>431.32723963897956</v>
      </c>
      <c r="JH757" s="323">
        <f t="shared" si="889"/>
        <v>816.84175311297952</v>
      </c>
      <c r="JI757" s="327">
        <f t="shared" si="909"/>
        <v>435.01855880769205</v>
      </c>
      <c r="JJ757" s="327">
        <f t="shared" si="910"/>
        <v>509.88090360000024</v>
      </c>
      <c r="JK757" s="323">
        <f t="shared" si="890"/>
        <v>944.89946240769223</v>
      </c>
      <c r="JL757" s="327">
        <f t="shared" si="891"/>
        <v>534.89368592911001</v>
      </c>
      <c r="JM757" s="279">
        <f t="shared" si="892"/>
        <v>247.89749771720517</v>
      </c>
      <c r="JN757" s="323">
        <f>FISC!AK1063</f>
        <v>782.79118364631518</v>
      </c>
      <c r="JO757" s="327">
        <f>JQ757*0.47</f>
        <v>424.93039810744295</v>
      </c>
      <c r="JP757" s="279">
        <f t="shared" si="893"/>
        <v>479.17683190839313</v>
      </c>
      <c r="JQ757" s="323">
        <f>FISC!AL1063</f>
        <v>904.10723001583608</v>
      </c>
      <c r="JR757" s="327">
        <f t="shared" ref="JR757:JR792" si="919">JT757*0.48</f>
        <v>502.07269684257619</v>
      </c>
      <c r="JS757" s="279">
        <f t="shared" si="894"/>
        <v>543.9120882461242</v>
      </c>
      <c r="JT757" s="323">
        <f>FISC!AM1063</f>
        <v>1045.9847850887004</v>
      </c>
      <c r="JU757" s="327">
        <f t="shared" ref="JU757:JU792" si="920">JW757*0.48</f>
        <v>572.57924695117458</v>
      </c>
      <c r="JV757" s="279">
        <f t="shared" si="911"/>
        <v>620.29418419710578</v>
      </c>
      <c r="JW757" s="323">
        <f>FISC!AN1063</f>
        <v>1192.8734311482804</v>
      </c>
      <c r="JX757" s="327">
        <f t="shared" ref="JX757:JX792" si="921">JZ757*0.48</f>
        <v>652.48886698108174</v>
      </c>
      <c r="JY757" s="279">
        <f t="shared" si="895"/>
        <v>706.86293922950529</v>
      </c>
      <c r="JZ757" s="323">
        <f>FISC!AO1063</f>
        <v>1359.351806210587</v>
      </c>
      <c r="KA757" s="327">
        <f t="shared" ref="KA757" si="922">KC757*0.48</f>
        <v>734.78488154435297</v>
      </c>
      <c r="KB757" s="279">
        <f t="shared" si="896"/>
        <v>796.01695500638255</v>
      </c>
      <c r="KC757" s="323">
        <f>FISC!AP1063</f>
        <v>1530.8018365507355</v>
      </c>
      <c r="KD757" s="327">
        <f t="shared" ref="KD757" si="923">KF757*0.48</f>
        <v>833.25626859940257</v>
      </c>
      <c r="KE757" s="279">
        <f t="shared" si="897"/>
        <v>902.6942909826862</v>
      </c>
      <c r="KF757" s="323">
        <f>FISC!AQ1063</f>
        <v>1735.9505595820888</v>
      </c>
      <c r="KG757" s="327">
        <f t="shared" ref="KG757" si="924">KI757*0.48</f>
        <v>943.91841036474273</v>
      </c>
      <c r="KH757" s="279">
        <f t="shared" si="898"/>
        <v>1022.5782778951381</v>
      </c>
      <c r="KI757" s="323">
        <f>FISC!AR1063</f>
        <v>1966.4966882598808</v>
      </c>
      <c r="KJ757" s="327">
        <f t="shared" ref="KJ757" si="925">KL757*0.48</f>
        <v>1061.2957192538202</v>
      </c>
      <c r="KK757" s="279">
        <f t="shared" si="899"/>
        <v>1149.7370291916386</v>
      </c>
      <c r="KL757" s="323">
        <f>FISC!AS1063</f>
        <v>2211.0327484454588</v>
      </c>
      <c r="KM757" s="327">
        <f t="shared" ref="KM757" si="926">KO757*0.48</f>
        <v>1357.0433158702135</v>
      </c>
      <c r="KN757" s="279">
        <f t="shared" si="900"/>
        <v>1470.1302588593981</v>
      </c>
      <c r="KO757" s="323">
        <f>FISC!AT1063</f>
        <v>2827.1735747296116</v>
      </c>
      <c r="KU757" s="326"/>
      <c r="KV757" s="327"/>
    </row>
    <row r="758" spans="1:314">
      <c r="A758" s="279"/>
      <c r="D758" s="1415" t="s">
        <v>3715</v>
      </c>
      <c r="E758" s="323"/>
      <c r="F758" s="323"/>
      <c r="G758" s="323"/>
      <c r="H758" s="323"/>
      <c r="I758" s="323"/>
      <c r="J758" s="323"/>
      <c r="K758" s="323"/>
      <c r="L758" s="323"/>
      <c r="M758" s="323"/>
      <c r="N758" s="323"/>
      <c r="O758" s="323"/>
      <c r="P758" s="323"/>
      <c r="Q758" s="323"/>
      <c r="R758" s="323"/>
      <c r="S758" s="323"/>
      <c r="T758" s="323"/>
      <c r="U758" s="323"/>
      <c r="V758" s="323"/>
      <c r="W758" s="323"/>
      <c r="X758" s="323"/>
      <c r="Y758" s="323"/>
      <c r="Z758" s="323"/>
      <c r="AA758" s="323"/>
      <c r="AB758" s="323"/>
      <c r="AC758" s="323"/>
      <c r="AD758" s="323"/>
      <c r="AE758" s="323"/>
      <c r="AF758" s="323"/>
      <c r="AG758" s="323"/>
      <c r="AH758" s="323"/>
      <c r="AI758" s="323"/>
      <c r="AJ758" s="323"/>
      <c r="AK758" s="323"/>
      <c r="AL758" s="323"/>
      <c r="AM758" s="323"/>
      <c r="AN758" s="323"/>
      <c r="AO758" s="323"/>
      <c r="AP758" s="323"/>
      <c r="AQ758" s="323"/>
      <c r="AR758" s="323"/>
      <c r="AS758" s="323"/>
      <c r="AT758" s="323"/>
      <c r="AU758" s="323"/>
      <c r="AV758" s="323"/>
      <c r="AW758" s="323"/>
      <c r="AX758" s="323"/>
      <c r="AY758" s="323"/>
      <c r="AZ758" s="323"/>
      <c r="BA758" s="323"/>
      <c r="BB758" s="323"/>
      <c r="BC758" s="323"/>
      <c r="BD758" s="323"/>
      <c r="BE758" s="323"/>
      <c r="BF758" s="323"/>
      <c r="BG758" s="323"/>
      <c r="BH758" s="323"/>
      <c r="BI758" s="323"/>
      <c r="BJ758" s="323"/>
      <c r="BK758" s="323"/>
      <c r="BL758" s="323"/>
      <c r="BM758" s="323"/>
      <c r="BN758" s="323"/>
      <c r="BO758" s="323"/>
      <c r="BP758" s="323"/>
      <c r="BQ758" s="323"/>
      <c r="BR758" s="323"/>
      <c r="BS758" s="323"/>
      <c r="BT758" s="323"/>
      <c r="BU758" s="323"/>
      <c r="BV758" s="323"/>
      <c r="BW758" s="323"/>
      <c r="BX758" s="323"/>
      <c r="BY758" s="323"/>
      <c r="BZ758" s="323"/>
      <c r="CA758" s="323"/>
      <c r="CB758" s="323"/>
      <c r="CC758" s="323"/>
      <c r="CD758" s="329"/>
      <c r="CE758" s="323"/>
      <c r="CF758" s="323"/>
      <c r="CG758" s="323"/>
      <c r="CH758" s="323"/>
      <c r="CI758" s="323"/>
      <c r="CJ758" s="323"/>
      <c r="CK758" s="323"/>
      <c r="CL758" s="323"/>
      <c r="CM758" s="323"/>
      <c r="CN758" s="323"/>
      <c r="CO758" s="323"/>
      <c r="CP758" s="325"/>
      <c r="CQ758" s="323"/>
      <c r="CR758" s="323"/>
      <c r="CS758" s="323"/>
      <c r="CT758" s="323"/>
      <c r="CU758" s="323"/>
      <c r="CV758" s="323"/>
      <c r="CW758" s="323"/>
      <c r="CX758" s="323"/>
      <c r="CY758" s="323"/>
      <c r="CZ758" s="323"/>
      <c r="DA758" s="323"/>
      <c r="DB758" s="1269"/>
      <c r="DC758" s="323"/>
      <c r="DD758" s="323"/>
      <c r="DE758" s="323"/>
      <c r="DF758" s="323"/>
      <c r="DG758" s="323"/>
      <c r="DH758" s="323"/>
      <c r="DI758" s="323"/>
      <c r="DJ758" s="323"/>
      <c r="DK758" s="323"/>
      <c r="DL758" s="323"/>
      <c r="DM758" s="323"/>
      <c r="DN758" s="325"/>
      <c r="DO758" s="323"/>
      <c r="DP758" s="323"/>
      <c r="DQ758" s="323"/>
      <c r="DR758" s="323"/>
      <c r="DS758" s="323"/>
      <c r="DT758" s="323"/>
      <c r="DU758" s="323"/>
      <c r="DV758" s="323"/>
      <c r="DW758" s="323"/>
      <c r="DX758" s="323"/>
      <c r="DY758" s="323"/>
      <c r="DZ758" s="325"/>
      <c r="EA758" s="323"/>
      <c r="EB758" s="323"/>
      <c r="EC758" s="323"/>
      <c r="ED758" s="323"/>
      <c r="EE758" s="323"/>
      <c r="EF758" s="323"/>
      <c r="EG758" s="323"/>
      <c r="EH758" s="323"/>
      <c r="EI758" s="323"/>
      <c r="EJ758" s="323"/>
      <c r="EK758" s="323"/>
      <c r="EL758" s="325"/>
      <c r="EM758" s="323"/>
      <c r="EN758" s="323"/>
      <c r="EO758" s="323"/>
      <c r="EP758" s="323"/>
      <c r="EQ758" s="323"/>
      <c r="ER758" s="323"/>
      <c r="ES758" s="323"/>
      <c r="ET758" s="323"/>
      <c r="EU758" s="323"/>
      <c r="EV758" s="323"/>
      <c r="EW758" s="323"/>
      <c r="EX758" s="325"/>
      <c r="EY758" s="323"/>
      <c r="EZ758" s="323"/>
      <c r="FA758" s="323"/>
      <c r="FB758" s="323"/>
      <c r="FC758" s="323"/>
      <c r="FD758" s="323"/>
      <c r="FE758" s="323"/>
      <c r="FF758" s="323"/>
      <c r="FG758" s="323"/>
      <c r="FH758" s="323"/>
      <c r="FI758" s="323"/>
      <c r="FJ758" s="325"/>
      <c r="FK758" s="323"/>
      <c r="FL758" s="323"/>
      <c r="FM758" s="323"/>
      <c r="FN758" s="323"/>
      <c r="FO758" s="323"/>
      <c r="FP758" s="323"/>
      <c r="FQ758" s="323"/>
      <c r="FR758" s="323"/>
      <c r="FS758" s="323"/>
      <c r="FT758" s="323"/>
      <c r="FU758" s="323"/>
      <c r="FV758" s="323"/>
      <c r="FW758" s="323"/>
      <c r="FX758" s="323"/>
      <c r="FY758" s="323"/>
      <c r="FZ758" s="323"/>
      <c r="GA758" s="323"/>
      <c r="GB758" s="323"/>
      <c r="GC758" s="323"/>
      <c r="GD758" s="323"/>
      <c r="GE758" s="323"/>
      <c r="GF758" s="323"/>
      <c r="GG758" s="323"/>
      <c r="GH758" s="323"/>
      <c r="GI758" s="323">
        <f t="shared" ref="GI758:HR758" si="927">GI355</f>
        <v>35.548719526906801</v>
      </c>
      <c r="GJ758" s="323">
        <f t="shared" si="927"/>
        <v>43.323099268287628</v>
      </c>
      <c r="GK758" s="323">
        <f t="shared" si="927"/>
        <v>46.890647045251882</v>
      </c>
      <c r="GL758" s="323">
        <f t="shared" si="927"/>
        <v>36.568873943458421</v>
      </c>
      <c r="GM758" s="323">
        <f t="shared" si="927"/>
        <v>44.008696712362621</v>
      </c>
      <c r="GN758" s="323">
        <f t="shared" si="927"/>
        <v>44.047725820364214</v>
      </c>
      <c r="GO758" s="323">
        <f t="shared" si="927"/>
        <v>44.579356107946793</v>
      </c>
      <c r="GP758" s="323">
        <f t="shared" si="927"/>
        <v>37.816152288837955</v>
      </c>
      <c r="GQ758" s="323">
        <f t="shared" si="927"/>
        <v>46.027731770420445</v>
      </c>
      <c r="GR758" s="323">
        <f t="shared" si="927"/>
        <v>45.159624024999999</v>
      </c>
      <c r="GS758" s="323">
        <f t="shared" si="927"/>
        <v>43.325625015999996</v>
      </c>
      <c r="GT758" s="323">
        <f t="shared" si="927"/>
        <v>49.783220855000003</v>
      </c>
      <c r="GU758" s="323">
        <f t="shared" si="927"/>
        <v>43.418177669999999</v>
      </c>
      <c r="GV758" s="323">
        <f t="shared" si="927"/>
        <v>47.587783856000001</v>
      </c>
      <c r="GW758" s="323">
        <f t="shared" si="927"/>
        <v>47.664863766000003</v>
      </c>
      <c r="GX758" s="323">
        <f t="shared" si="927"/>
        <v>45.869156676999999</v>
      </c>
      <c r="GY758" s="323">
        <f t="shared" si="927"/>
        <v>50.465089507999998</v>
      </c>
      <c r="GZ758" s="323">
        <f t="shared" si="927"/>
        <v>44.943801065000002</v>
      </c>
      <c r="HA758" s="323">
        <f t="shared" si="927"/>
        <v>50.688841596000003</v>
      </c>
      <c r="HB758" s="323">
        <f t="shared" si="927"/>
        <v>46.068459306000001</v>
      </c>
      <c r="HC758" s="323">
        <f t="shared" si="927"/>
        <v>46.251957855000001</v>
      </c>
      <c r="HD758" s="323">
        <f t="shared" si="927"/>
        <v>50.046320399572295</v>
      </c>
      <c r="HE758" s="323">
        <f t="shared" si="927"/>
        <v>47.755519461487275</v>
      </c>
      <c r="HF758" s="323">
        <f t="shared" si="927"/>
        <v>49.634627178940498</v>
      </c>
      <c r="HG758" s="323">
        <f t="shared" si="927"/>
        <v>47.209883017999999</v>
      </c>
      <c r="HH758" s="323">
        <f t="shared" si="927"/>
        <v>50.716206493000001</v>
      </c>
      <c r="HI758" s="323">
        <f t="shared" si="927"/>
        <v>47.457768825000002</v>
      </c>
      <c r="HJ758" s="323">
        <f t="shared" si="927"/>
        <v>52.635279752999999</v>
      </c>
      <c r="HK758" s="323">
        <f t="shared" si="927"/>
        <v>50.159288471000004</v>
      </c>
      <c r="HL758" s="323">
        <f t="shared" si="927"/>
        <v>50.967313023999999</v>
      </c>
      <c r="HM758" s="323">
        <f t="shared" si="927"/>
        <v>56.811953008000003</v>
      </c>
      <c r="HN758" s="323">
        <f t="shared" si="927"/>
        <v>52.910628166999999</v>
      </c>
      <c r="HO758" s="323">
        <f t="shared" si="927"/>
        <v>55.259836178999997</v>
      </c>
      <c r="HP758" s="323">
        <f t="shared" si="927"/>
        <v>60.237178874999998</v>
      </c>
      <c r="HQ758" s="323">
        <f t="shared" si="927"/>
        <v>57.772361461000003</v>
      </c>
      <c r="HR758" s="323">
        <f t="shared" si="927"/>
        <v>57.507426258999999</v>
      </c>
      <c r="HS758" s="323">
        <f t="shared" ref="HS758:HX758" si="928">HS355</f>
        <v>58.220664980999999</v>
      </c>
      <c r="HT758" s="323">
        <f t="shared" si="928"/>
        <v>58.516873447110001</v>
      </c>
      <c r="HU758" s="323">
        <f t="shared" si="928"/>
        <v>59.145175348999999</v>
      </c>
      <c r="HV758" s="323">
        <f t="shared" si="928"/>
        <v>63.818016890000003</v>
      </c>
      <c r="HW758" s="323">
        <f t="shared" si="928"/>
        <v>58.343396421999998</v>
      </c>
      <c r="HX758" s="323">
        <f t="shared" si="928"/>
        <v>64.765032181000009</v>
      </c>
      <c r="HY758" s="323"/>
      <c r="HZ758" s="326"/>
      <c r="IA758" s="1415" t="s">
        <v>3715</v>
      </c>
      <c r="IB758" s="284">
        <f t="shared" ref="IB758:IB760" si="929">SUM(CE758:CJ758)</f>
        <v>0</v>
      </c>
      <c r="IC758" s="279">
        <f t="shared" ref="IC758:IC760" si="930">SUM(CK758:CP758)</f>
        <v>0</v>
      </c>
      <c r="ID758" s="323">
        <f t="shared" ref="ID758:ID759" si="931">IB758+IC758</f>
        <v>0</v>
      </c>
      <c r="IE758" s="279">
        <f t="shared" ref="IE758:IE759" si="932">SUM(CQ758:CV758)</f>
        <v>0</v>
      </c>
      <c r="IF758" s="279">
        <f t="shared" ref="IF758:IF759" si="933">SUM(CW758:DB758)</f>
        <v>0</v>
      </c>
      <c r="IG758" s="323">
        <f t="shared" ref="IG758:IG759" si="934">IE758+IF758</f>
        <v>0</v>
      </c>
      <c r="IH758" s="284">
        <f t="shared" ref="IH758:IH759" si="935">SUM(DC758:DH758)</f>
        <v>0</v>
      </c>
      <c r="II758" s="279">
        <f t="shared" ref="II758:II759" si="936">SUM(DI758:DN758)</f>
        <v>0</v>
      </c>
      <c r="IJ758" s="323">
        <f t="shared" ref="IJ758:IJ759" si="937">IH758+II758</f>
        <v>0</v>
      </c>
      <c r="IK758" s="327">
        <f t="shared" ref="IK758:IK759" si="938">SUM(DO758:DT758)</f>
        <v>0</v>
      </c>
      <c r="IL758" s="279">
        <f t="shared" ref="IL758:IL759" si="939">SUM(DU758:DZ758)</f>
        <v>0</v>
      </c>
      <c r="IM758" s="323">
        <f t="shared" ref="IM758:IM759" si="940">IK758+IL758</f>
        <v>0</v>
      </c>
      <c r="IN758" s="279">
        <f t="shared" ref="IN758:IN759" si="941">SUM(EA758:EF758)</f>
        <v>0</v>
      </c>
      <c r="IO758" s="279">
        <f t="shared" ref="IO758:IO759" si="942">SUM(EG758:EL758)</f>
        <v>0</v>
      </c>
      <c r="IP758" s="323">
        <f t="shared" ref="IP758:IP759" si="943">IN758+IO758</f>
        <v>0</v>
      </c>
      <c r="IQ758" s="327">
        <f t="shared" ref="IQ758:IQ759" si="944">SUM(EM758:ER758)</f>
        <v>0</v>
      </c>
      <c r="IR758" s="327">
        <f t="shared" ref="IR758:IR759" si="945">SUM(ES758:EX758)</f>
        <v>0</v>
      </c>
      <c r="IS758" s="323">
        <f t="shared" ref="IS758:IS759" si="946">IQ758+IR758</f>
        <v>0</v>
      </c>
      <c r="IT758" s="327">
        <f t="shared" ref="IT758:IT759" si="947">SUM(EY758:FD758)</f>
        <v>0</v>
      </c>
      <c r="IU758" s="327">
        <f t="shared" ref="IU758:IU759" si="948">SUM(FE758:FJ758)</f>
        <v>0</v>
      </c>
      <c r="IV758" s="323">
        <f t="shared" ref="IV758:IV759" si="949">IT758+IU758</f>
        <v>0</v>
      </c>
      <c r="IW758" s="327">
        <f t="shared" ref="IW758:IW759" si="950">SUM(FK758:FP758)</f>
        <v>0</v>
      </c>
      <c r="IX758" s="327">
        <f t="shared" ref="IX758:IX759" si="951">SUM(FQ758:FV758)</f>
        <v>0</v>
      </c>
      <c r="IY758" s="323">
        <f t="shared" ref="IY758:IY759" si="952">IW758+IX758</f>
        <v>0</v>
      </c>
      <c r="IZ758" s="327">
        <f t="shared" ref="IZ758:IZ759" si="953">SUM(FW758:GB758)</f>
        <v>0</v>
      </c>
      <c r="JA758" s="327">
        <f t="shared" ref="JA758:JA759" si="954">SUM(GC758:GH758)</f>
        <v>0</v>
      </c>
      <c r="JB758" s="323">
        <f t="shared" ref="JB758:JB759" si="955">IZ758+JA758</f>
        <v>0</v>
      </c>
      <c r="JC758" s="327">
        <f t="shared" ref="JC758:JC759" si="956">SUM(GI758:GN758)</f>
        <v>250.38776231663155</v>
      </c>
      <c r="JD758" s="327">
        <f t="shared" ref="JD758:JD759" si="957">SUM(GO758:GT758)</f>
        <v>266.69171006320522</v>
      </c>
      <c r="JE758" s="323">
        <f t="shared" ref="JE758:JE759" si="958">JC758+JD758</f>
        <v>517.07947237983672</v>
      </c>
      <c r="JF758" s="327">
        <f t="shared" ref="JF758:JF759" si="959">SUM(GU758:GZ758)</f>
        <v>279.948872542</v>
      </c>
      <c r="JG758" s="327">
        <f t="shared" ref="JG758:JG759" si="960">SUM(HA758:HF758)</f>
        <v>290.44572579700008</v>
      </c>
      <c r="JH758" s="323">
        <f t="shared" ref="JH758:JH759" si="961">JF758+JG758</f>
        <v>570.39459833900014</v>
      </c>
      <c r="JI758" s="327">
        <f t="shared" si="909"/>
        <v>299.14573958400001</v>
      </c>
      <c r="JJ758" s="327">
        <f t="shared" si="910"/>
        <v>340.49938394899999</v>
      </c>
      <c r="JK758" s="323">
        <f t="shared" si="890"/>
        <v>639.64512353300006</v>
      </c>
      <c r="JL758" s="327">
        <f t="shared" si="891"/>
        <v>362.80915927010994</v>
      </c>
      <c r="JM758" s="279">
        <f t="shared" si="892"/>
        <v>325.4996015769417</v>
      </c>
      <c r="JN758" s="323">
        <f>FISC!AK1064</f>
        <v>688.30876084705164</v>
      </c>
      <c r="JO758" s="327"/>
      <c r="JQ758" s="323">
        <f>FISC!AL1064</f>
        <v>738.74387047408584</v>
      </c>
      <c r="JR758" s="327"/>
      <c r="JT758" s="323">
        <f>FISC!AM1064</f>
        <v>791.61441051646807</v>
      </c>
      <c r="JU758" s="327"/>
      <c r="JW758" s="323">
        <f>FISC!AN1064</f>
        <v>854.11146815551058</v>
      </c>
      <c r="JX758" s="327"/>
      <c r="JZ758" s="323">
        <f>FISC!AO1064</f>
        <v>921.87750854338913</v>
      </c>
      <c r="KA758" s="327"/>
      <c r="KC758" s="323">
        <f>FISC!AP1064</f>
        <v>0</v>
      </c>
      <c r="KD758" s="327"/>
      <c r="KF758" s="323">
        <f>FISC!AQ1064</f>
        <v>0</v>
      </c>
      <c r="KG758" s="327"/>
      <c r="KI758" s="323">
        <f>FISC!AR1064</f>
        <v>0</v>
      </c>
      <c r="KJ758" s="327"/>
      <c r="KL758" s="323">
        <f>FISC!AS1064</f>
        <v>0</v>
      </c>
      <c r="KM758" s="327"/>
      <c r="KO758" s="323">
        <f>FISC!AT1064</f>
        <v>0</v>
      </c>
      <c r="KU758" s="326"/>
      <c r="KV758" s="327"/>
    </row>
    <row r="759" spans="1:314">
      <c r="A759" s="279"/>
      <c r="D759" s="1415" t="s">
        <v>3716</v>
      </c>
      <c r="E759" s="323"/>
      <c r="F759" s="323"/>
      <c r="G759" s="323"/>
      <c r="H759" s="323"/>
      <c r="I759" s="323"/>
      <c r="J759" s="323"/>
      <c r="K759" s="323"/>
      <c r="L759" s="323"/>
      <c r="M759" s="323"/>
      <c r="N759" s="323"/>
      <c r="O759" s="323"/>
      <c r="P759" s="323"/>
      <c r="Q759" s="323"/>
      <c r="R759" s="323"/>
      <c r="S759" s="323"/>
      <c r="T759" s="323"/>
      <c r="U759" s="323"/>
      <c r="V759" s="323"/>
      <c r="W759" s="323"/>
      <c r="X759" s="323"/>
      <c r="Y759" s="323"/>
      <c r="Z759" s="323"/>
      <c r="AA759" s="323"/>
      <c r="AB759" s="323"/>
      <c r="AC759" s="323"/>
      <c r="AD759" s="323"/>
      <c r="AE759" s="323"/>
      <c r="AF759" s="323"/>
      <c r="AG759" s="323"/>
      <c r="AH759" s="323"/>
      <c r="AI759" s="323"/>
      <c r="AJ759" s="323"/>
      <c r="AK759" s="323"/>
      <c r="AL759" s="323"/>
      <c r="AM759" s="323"/>
      <c r="AN759" s="323"/>
      <c r="AO759" s="323"/>
      <c r="AP759" s="323"/>
      <c r="AQ759" s="323"/>
      <c r="AR759" s="323"/>
      <c r="AS759" s="323"/>
      <c r="AT759" s="323"/>
      <c r="AU759" s="323"/>
      <c r="AV759" s="323"/>
      <c r="AW759" s="323"/>
      <c r="AX759" s="323"/>
      <c r="AY759" s="323"/>
      <c r="AZ759" s="323"/>
      <c r="BA759" s="323"/>
      <c r="BB759" s="323"/>
      <c r="BC759" s="323"/>
      <c r="BD759" s="323"/>
      <c r="BE759" s="323"/>
      <c r="BF759" s="323"/>
      <c r="BG759" s="323"/>
      <c r="BH759" s="323"/>
      <c r="BI759" s="323"/>
      <c r="BJ759" s="323"/>
      <c r="BK759" s="323"/>
      <c r="BL759" s="323"/>
      <c r="BM759" s="323"/>
      <c r="BN759" s="323"/>
      <c r="BO759" s="323"/>
      <c r="BP759" s="323"/>
      <c r="BQ759" s="323"/>
      <c r="BR759" s="323"/>
      <c r="BS759" s="323"/>
      <c r="BT759" s="323"/>
      <c r="BU759" s="323"/>
      <c r="BV759" s="323"/>
      <c r="BW759" s="323"/>
      <c r="BX759" s="323"/>
      <c r="BY759" s="323"/>
      <c r="BZ759" s="323"/>
      <c r="CA759" s="323"/>
      <c r="CB759" s="323"/>
      <c r="CC759" s="323"/>
      <c r="CD759" s="329"/>
      <c r="CE759" s="323"/>
      <c r="CF759" s="323"/>
      <c r="CG759" s="323"/>
      <c r="CH759" s="323"/>
      <c r="CI759" s="323"/>
      <c r="CJ759" s="323"/>
      <c r="CK759" s="323"/>
      <c r="CL759" s="323"/>
      <c r="CM759" s="323"/>
      <c r="CN759" s="323"/>
      <c r="CO759" s="323"/>
      <c r="CP759" s="325"/>
      <c r="CQ759" s="323"/>
      <c r="CR759" s="323"/>
      <c r="CS759" s="323"/>
      <c r="CT759" s="323"/>
      <c r="CU759" s="323"/>
      <c r="CV759" s="323"/>
      <c r="CW759" s="323"/>
      <c r="CX759" s="323"/>
      <c r="CY759" s="323"/>
      <c r="CZ759" s="323"/>
      <c r="DA759" s="323"/>
      <c r="DB759" s="1269"/>
      <c r="DC759" s="323"/>
      <c r="DD759" s="323"/>
      <c r="DE759" s="323"/>
      <c r="DF759" s="323"/>
      <c r="DG759" s="323"/>
      <c r="DH759" s="323"/>
      <c r="DI759" s="323"/>
      <c r="DJ759" s="323"/>
      <c r="DK759" s="323"/>
      <c r="DL759" s="323"/>
      <c r="DM759" s="323"/>
      <c r="DN759" s="325"/>
      <c r="DO759" s="323"/>
      <c r="DP759" s="323"/>
      <c r="DQ759" s="323"/>
      <c r="DR759" s="323"/>
      <c r="DS759" s="323"/>
      <c r="DT759" s="323"/>
      <c r="DU759" s="323"/>
      <c r="DV759" s="323"/>
      <c r="DW759" s="323"/>
      <c r="DX759" s="323"/>
      <c r="DY759" s="323"/>
      <c r="DZ759" s="325"/>
      <c r="EA759" s="323"/>
      <c r="EB759" s="323"/>
      <c r="EC759" s="323"/>
      <c r="ED759" s="323"/>
      <c r="EE759" s="323"/>
      <c r="EF759" s="323"/>
      <c r="EG759" s="323"/>
      <c r="EH759" s="323"/>
      <c r="EI759" s="323"/>
      <c r="EJ759" s="323"/>
      <c r="EK759" s="323"/>
      <c r="EL759" s="325"/>
      <c r="EM759" s="323"/>
      <c r="EN759" s="323"/>
      <c r="EO759" s="323"/>
      <c r="EP759" s="323"/>
      <c r="EQ759" s="323"/>
      <c r="ER759" s="323"/>
      <c r="ES759" s="323"/>
      <c r="ET759" s="323"/>
      <c r="EU759" s="323"/>
      <c r="EV759" s="323"/>
      <c r="EW759" s="323"/>
      <c r="EX759" s="325"/>
      <c r="EY759" s="323"/>
      <c r="EZ759" s="323"/>
      <c r="FA759" s="323"/>
      <c r="FB759" s="323"/>
      <c r="FC759" s="323"/>
      <c r="FD759" s="323"/>
      <c r="FE759" s="323"/>
      <c r="FF759" s="323"/>
      <c r="FG759" s="323"/>
      <c r="FH759" s="323"/>
      <c r="FI759" s="323"/>
      <c r="FJ759" s="325"/>
      <c r="FK759" s="323"/>
      <c r="FL759" s="323"/>
      <c r="FM759" s="323"/>
      <c r="FN759" s="323"/>
      <c r="FO759" s="323"/>
      <c r="FP759" s="323"/>
      <c r="FQ759" s="323"/>
      <c r="FR759" s="323"/>
      <c r="FS759" s="323"/>
      <c r="FT759" s="323"/>
      <c r="FU759" s="323"/>
      <c r="FV759" s="323"/>
      <c r="FW759" s="323"/>
      <c r="FX759" s="323"/>
      <c r="FY759" s="323"/>
      <c r="FZ759" s="323"/>
      <c r="GA759" s="323"/>
      <c r="GB759" s="323"/>
      <c r="GC759" s="323"/>
      <c r="GD759" s="323"/>
      <c r="GE759" s="323"/>
      <c r="GF759" s="323"/>
      <c r="GG759" s="323"/>
      <c r="GH759" s="323"/>
      <c r="GI759" s="323">
        <f t="shared" ref="GI759:HR759" si="962">GI356</f>
        <v>0.15487099058492523</v>
      </c>
      <c r="GJ759" s="323">
        <f t="shared" si="962"/>
        <v>0.18291100890380266</v>
      </c>
      <c r="GK759" s="323">
        <f t="shared" si="962"/>
        <v>2.1078567871351916</v>
      </c>
      <c r="GL759" s="323">
        <f t="shared" si="962"/>
        <v>0.20319066602038116</v>
      </c>
      <c r="GM759" s="323">
        <f t="shared" si="962"/>
        <v>0.21771515409051984</v>
      </c>
      <c r="GN759" s="323">
        <f t="shared" si="962"/>
        <v>2.0888590387325188</v>
      </c>
      <c r="GO759" s="323">
        <f t="shared" si="962"/>
        <v>0.40093094958978692</v>
      </c>
      <c r="GP759" s="323">
        <f t="shared" si="962"/>
        <v>0.29870243111524875</v>
      </c>
      <c r="GQ759" s="323">
        <f t="shared" si="962"/>
        <v>3.0246788316186239</v>
      </c>
      <c r="GR759" s="323">
        <f t="shared" si="962"/>
        <v>0.49929768200000002</v>
      </c>
      <c r="GS759" s="323">
        <f t="shared" si="962"/>
        <v>0.22154843799999999</v>
      </c>
      <c r="GT759" s="323">
        <f t="shared" si="962"/>
        <v>2.3526174169999998</v>
      </c>
      <c r="GU759" s="323">
        <f t="shared" si="962"/>
        <v>0.28365233899999998</v>
      </c>
      <c r="GV759" s="323">
        <f t="shared" si="962"/>
        <v>0.24545773000000001</v>
      </c>
      <c r="GW759" s="323">
        <f t="shared" si="962"/>
        <v>1.9132998779999999</v>
      </c>
      <c r="GX759" s="323">
        <f t="shared" si="962"/>
        <v>0.67849996099999998</v>
      </c>
      <c r="GY759" s="323">
        <f t="shared" si="962"/>
        <v>0.32204750700000001</v>
      </c>
      <c r="GZ759" s="323">
        <f t="shared" si="962"/>
        <v>1.9153989709999999</v>
      </c>
      <c r="HA759" s="323">
        <f t="shared" si="962"/>
        <v>0.78772297899999999</v>
      </c>
      <c r="HB759" s="323">
        <f t="shared" si="962"/>
        <v>0.42606898993070302</v>
      </c>
      <c r="HC759" s="323">
        <f t="shared" si="962"/>
        <v>2.076718547</v>
      </c>
      <c r="HD759" s="323">
        <f t="shared" si="962"/>
        <v>1.8975815620000001</v>
      </c>
      <c r="HE759" s="323">
        <f t="shared" si="962"/>
        <v>0.44693742199999997</v>
      </c>
      <c r="HF759" s="323">
        <f t="shared" si="962"/>
        <v>3.3242579360487978</v>
      </c>
      <c r="HG759" s="323">
        <f t="shared" si="962"/>
        <v>0.55504905900000001</v>
      </c>
      <c r="HH759" s="323">
        <f t="shared" si="962"/>
        <v>0.41398711700000002</v>
      </c>
      <c r="HI759" s="323">
        <f t="shared" si="962"/>
        <v>2.6892592350000002</v>
      </c>
      <c r="HJ759" s="323">
        <f t="shared" si="962"/>
        <v>0.83399204800000004</v>
      </c>
      <c r="HK759" s="323">
        <f t="shared" si="962"/>
        <v>0.498603452</v>
      </c>
      <c r="HL759" s="323">
        <f t="shared" si="962"/>
        <v>2.9068047764699996</v>
      </c>
      <c r="HM759" s="323">
        <f t="shared" si="962"/>
        <v>0.50499119000000003</v>
      </c>
      <c r="HN759" s="323">
        <f t="shared" si="962"/>
        <v>0.50783986299999995</v>
      </c>
      <c r="HO759" s="323">
        <f t="shared" si="962"/>
        <v>4.0902584089999996</v>
      </c>
      <c r="HP759" s="323">
        <f t="shared" si="962"/>
        <v>1.1003252610000001</v>
      </c>
      <c r="HQ759" s="323">
        <f t="shared" si="962"/>
        <v>0.66285286799999998</v>
      </c>
      <c r="HR759" s="323">
        <f t="shared" si="962"/>
        <v>3.8317020080000002</v>
      </c>
      <c r="HS759" s="323">
        <f t="shared" ref="HS759:HX759" si="963">HS356</f>
        <v>0.63353561400000002</v>
      </c>
      <c r="HT759" s="323">
        <f t="shared" si="963"/>
        <v>0.55461336800000005</v>
      </c>
      <c r="HU759" s="323">
        <f t="shared" si="963"/>
        <v>3.1440432949999999</v>
      </c>
      <c r="HV759" s="323">
        <f t="shared" si="963"/>
        <v>0.77004163299999995</v>
      </c>
      <c r="HW759" s="323">
        <f t="shared" si="963"/>
        <v>0.51170086000000004</v>
      </c>
      <c r="HX759" s="323">
        <f t="shared" si="963"/>
        <v>3.2670029270000001</v>
      </c>
      <c r="HY759" s="323"/>
      <c r="HZ759" s="326"/>
      <c r="IA759" s="1415" t="s">
        <v>3716</v>
      </c>
      <c r="IB759" s="284">
        <f t="shared" si="929"/>
        <v>0</v>
      </c>
      <c r="IC759" s="279">
        <f t="shared" si="930"/>
        <v>0</v>
      </c>
      <c r="ID759" s="323">
        <f t="shared" si="931"/>
        <v>0</v>
      </c>
      <c r="IE759" s="279">
        <f t="shared" si="932"/>
        <v>0</v>
      </c>
      <c r="IF759" s="279">
        <f t="shared" si="933"/>
        <v>0</v>
      </c>
      <c r="IG759" s="323">
        <f t="shared" si="934"/>
        <v>0</v>
      </c>
      <c r="IH759" s="284">
        <f t="shared" si="935"/>
        <v>0</v>
      </c>
      <c r="II759" s="279">
        <f t="shared" si="936"/>
        <v>0</v>
      </c>
      <c r="IJ759" s="323">
        <f t="shared" si="937"/>
        <v>0</v>
      </c>
      <c r="IK759" s="327">
        <f t="shared" si="938"/>
        <v>0</v>
      </c>
      <c r="IL759" s="279">
        <f t="shared" si="939"/>
        <v>0</v>
      </c>
      <c r="IM759" s="323">
        <f t="shared" si="940"/>
        <v>0</v>
      </c>
      <c r="IN759" s="279">
        <f t="shared" si="941"/>
        <v>0</v>
      </c>
      <c r="IO759" s="279">
        <f t="shared" si="942"/>
        <v>0</v>
      </c>
      <c r="IP759" s="323">
        <f t="shared" si="943"/>
        <v>0</v>
      </c>
      <c r="IQ759" s="327">
        <f t="shared" si="944"/>
        <v>0</v>
      </c>
      <c r="IR759" s="327">
        <f t="shared" si="945"/>
        <v>0</v>
      </c>
      <c r="IS759" s="323">
        <f t="shared" si="946"/>
        <v>0</v>
      </c>
      <c r="IT759" s="327">
        <f t="shared" si="947"/>
        <v>0</v>
      </c>
      <c r="IU759" s="327">
        <f t="shared" si="948"/>
        <v>0</v>
      </c>
      <c r="IV759" s="323">
        <f t="shared" si="949"/>
        <v>0</v>
      </c>
      <c r="IW759" s="327">
        <f t="shared" si="950"/>
        <v>0</v>
      </c>
      <c r="IX759" s="327">
        <f t="shared" si="951"/>
        <v>0</v>
      </c>
      <c r="IY759" s="323">
        <f t="shared" si="952"/>
        <v>0</v>
      </c>
      <c r="IZ759" s="327">
        <f t="shared" si="953"/>
        <v>0</v>
      </c>
      <c r="JA759" s="327">
        <f t="shared" si="954"/>
        <v>0</v>
      </c>
      <c r="JB759" s="323">
        <f t="shared" si="955"/>
        <v>0</v>
      </c>
      <c r="JC759" s="327">
        <f t="shared" si="956"/>
        <v>4.9554036454673396</v>
      </c>
      <c r="JD759" s="327">
        <f t="shared" si="957"/>
        <v>6.7977757493236588</v>
      </c>
      <c r="JE759" s="323">
        <f t="shared" si="958"/>
        <v>11.753179394790997</v>
      </c>
      <c r="JF759" s="327">
        <f t="shared" si="959"/>
        <v>5.3583563859999996</v>
      </c>
      <c r="JG759" s="327">
        <f t="shared" si="960"/>
        <v>8.9592874359795012</v>
      </c>
      <c r="JH759" s="323">
        <f t="shared" si="961"/>
        <v>14.317643821979502</v>
      </c>
      <c r="JI759" s="327">
        <f t="shared" si="909"/>
        <v>7.8976956874699997</v>
      </c>
      <c r="JJ759" s="327">
        <f t="shared" si="910"/>
        <v>10.697969599</v>
      </c>
      <c r="JK759" s="323">
        <f t="shared" si="890"/>
        <v>18.595665286470002</v>
      </c>
      <c r="JL759" s="327">
        <f t="shared" si="891"/>
        <v>8.8809376970000002</v>
      </c>
      <c r="JM759" s="279">
        <f t="shared" si="892"/>
        <v>13.352847985355194</v>
      </c>
      <c r="JN759" s="323">
        <f>FISC!AK1065</f>
        <v>22.233785682355194</v>
      </c>
      <c r="JO759" s="327"/>
      <c r="JQ759" s="323">
        <f>FISC!AL1065</f>
        <v>25.118887618890902</v>
      </c>
      <c r="JR759" s="327"/>
      <c r="JT759" s="323">
        <f>FISC!AM1065</f>
        <v>28.333263373416987</v>
      </c>
      <c r="JU759" s="327"/>
      <c r="JW759" s="323">
        <f>FISC!AN1065</f>
        <v>32.179097159605952</v>
      </c>
      <c r="JX759" s="327"/>
      <c r="JZ759" s="323">
        <f>FISC!AO1065</f>
        <v>36.560229730517364</v>
      </c>
      <c r="KA759" s="327"/>
      <c r="KC759" s="323">
        <f>FISC!AP1065</f>
        <v>0</v>
      </c>
      <c r="KD759" s="327"/>
      <c r="KF759" s="323">
        <f>FISC!AQ1065</f>
        <v>0</v>
      </c>
      <c r="KG759" s="327"/>
      <c r="KI759" s="323">
        <f>FISC!AR1065</f>
        <v>0</v>
      </c>
      <c r="KJ759" s="327"/>
      <c r="KL759" s="323">
        <f>FISC!AS1065</f>
        <v>0</v>
      </c>
      <c r="KM759" s="327"/>
      <c r="KO759" s="323">
        <f>FISC!AT1065</f>
        <v>0</v>
      </c>
      <c r="KU759" s="326"/>
      <c r="KV759" s="327"/>
    </row>
    <row r="760" spans="1:314">
      <c r="A760" s="279"/>
      <c r="D760" s="1415" t="s">
        <v>3054</v>
      </c>
      <c r="E760" s="323"/>
      <c r="F760" s="323"/>
      <c r="G760" s="323"/>
      <c r="H760" s="323"/>
      <c r="I760" s="323"/>
      <c r="J760" s="323"/>
      <c r="K760" s="323"/>
      <c r="L760" s="323"/>
      <c r="M760" s="323"/>
      <c r="N760" s="323"/>
      <c r="O760" s="323"/>
      <c r="P760" s="323"/>
      <c r="Q760" s="323"/>
      <c r="R760" s="323"/>
      <c r="S760" s="323"/>
      <c r="T760" s="323"/>
      <c r="U760" s="323"/>
      <c r="V760" s="323"/>
      <c r="W760" s="323"/>
      <c r="X760" s="323"/>
      <c r="Y760" s="323"/>
      <c r="Z760" s="323"/>
      <c r="AA760" s="323"/>
      <c r="AB760" s="323"/>
      <c r="AC760" s="323"/>
      <c r="AD760" s="323"/>
      <c r="AE760" s="323"/>
      <c r="AF760" s="323"/>
      <c r="AG760" s="323"/>
      <c r="AH760" s="323"/>
      <c r="AI760" s="323"/>
      <c r="AJ760" s="323"/>
      <c r="AK760" s="323"/>
      <c r="AL760" s="323"/>
      <c r="AM760" s="323"/>
      <c r="AN760" s="323"/>
      <c r="AO760" s="323"/>
      <c r="AP760" s="323"/>
      <c r="AQ760" s="323"/>
      <c r="AR760" s="323"/>
      <c r="AS760" s="323"/>
      <c r="AT760" s="323"/>
      <c r="AU760" s="323"/>
      <c r="AV760" s="323"/>
      <c r="AW760" s="323"/>
      <c r="AX760" s="323"/>
      <c r="AY760" s="323"/>
      <c r="AZ760" s="323"/>
      <c r="BA760" s="323"/>
      <c r="BB760" s="323"/>
      <c r="BC760" s="323"/>
      <c r="BD760" s="323"/>
      <c r="BE760" s="323"/>
      <c r="BF760" s="323"/>
      <c r="BG760" s="323"/>
      <c r="BH760" s="323"/>
      <c r="BI760" s="323"/>
      <c r="BJ760" s="323"/>
      <c r="BK760" s="323"/>
      <c r="BL760" s="323"/>
      <c r="BM760" s="323"/>
      <c r="BN760" s="323"/>
      <c r="BO760" s="323"/>
      <c r="BP760" s="323"/>
      <c r="BQ760" s="323"/>
      <c r="BR760" s="323"/>
      <c r="BS760" s="323"/>
      <c r="BT760" s="323"/>
      <c r="BU760" s="323"/>
      <c r="BV760" s="323"/>
      <c r="BW760" s="323"/>
      <c r="BX760" s="323"/>
      <c r="BY760" s="323"/>
      <c r="BZ760" s="323"/>
      <c r="CA760" s="323"/>
      <c r="CB760" s="323"/>
      <c r="CC760" s="323"/>
      <c r="CD760" s="329"/>
      <c r="CE760" s="323"/>
      <c r="CF760" s="323"/>
      <c r="CG760" s="323"/>
      <c r="CH760" s="323"/>
      <c r="CI760" s="323"/>
      <c r="CJ760" s="323"/>
      <c r="CK760" s="323"/>
      <c r="CL760" s="323"/>
      <c r="CM760" s="323"/>
      <c r="CN760" s="323"/>
      <c r="CO760" s="323"/>
      <c r="CP760" s="325"/>
      <c r="CQ760" s="323"/>
      <c r="CR760" s="323"/>
      <c r="CS760" s="323"/>
      <c r="CT760" s="323"/>
      <c r="CU760" s="323"/>
      <c r="CV760" s="323"/>
      <c r="CW760" s="323"/>
      <c r="CX760" s="323"/>
      <c r="CY760" s="323"/>
      <c r="CZ760" s="323"/>
      <c r="DA760" s="323"/>
      <c r="DB760" s="1269"/>
      <c r="DC760" s="323"/>
      <c r="DD760" s="323"/>
      <c r="DE760" s="323"/>
      <c r="DF760" s="323"/>
      <c r="DG760" s="323"/>
      <c r="DH760" s="323"/>
      <c r="DI760" s="323"/>
      <c r="DJ760" s="323"/>
      <c r="DK760" s="323"/>
      <c r="DL760" s="323"/>
      <c r="DM760" s="323"/>
      <c r="DN760" s="325"/>
      <c r="DO760" s="323"/>
      <c r="DP760" s="323"/>
      <c r="DQ760" s="323"/>
      <c r="DR760" s="323"/>
      <c r="DS760" s="323"/>
      <c r="DT760" s="323"/>
      <c r="DU760" s="323"/>
      <c r="DV760" s="323"/>
      <c r="DW760" s="323"/>
      <c r="DX760" s="323"/>
      <c r="DY760" s="323"/>
      <c r="DZ760" s="325"/>
      <c r="EA760" s="323"/>
      <c r="EB760" s="323"/>
      <c r="EC760" s="323"/>
      <c r="ED760" s="323"/>
      <c r="EE760" s="323"/>
      <c r="EF760" s="323"/>
      <c r="EG760" s="323"/>
      <c r="EH760" s="323"/>
      <c r="EI760" s="323"/>
      <c r="EJ760" s="323"/>
      <c r="EK760" s="323"/>
      <c r="EL760" s="325"/>
      <c r="EM760" s="323"/>
      <c r="EN760" s="323"/>
      <c r="EO760" s="323"/>
      <c r="EP760" s="323"/>
      <c r="EQ760" s="323"/>
      <c r="ER760" s="323"/>
      <c r="ES760" s="323"/>
      <c r="ET760" s="323"/>
      <c r="EU760" s="323"/>
      <c r="EV760" s="323"/>
      <c r="EW760" s="323"/>
      <c r="EX760" s="325"/>
      <c r="EY760" s="323"/>
      <c r="EZ760" s="323"/>
      <c r="FA760" s="323"/>
      <c r="FB760" s="323"/>
      <c r="FC760" s="323"/>
      <c r="FD760" s="323"/>
      <c r="FE760" s="323"/>
      <c r="FF760" s="323"/>
      <c r="FG760" s="323"/>
      <c r="FH760" s="323"/>
      <c r="FI760" s="323"/>
      <c r="FJ760" s="325"/>
      <c r="FK760" s="323"/>
      <c r="FL760" s="323"/>
      <c r="FM760" s="323"/>
      <c r="FN760" s="323"/>
      <c r="FO760" s="323"/>
      <c r="FP760" s="323"/>
      <c r="FQ760" s="323"/>
      <c r="FR760" s="323"/>
      <c r="FS760" s="323"/>
      <c r="FT760" s="323"/>
      <c r="FU760" s="323"/>
      <c r="FV760" s="323"/>
      <c r="FW760" s="323">
        <f>FW357</f>
        <v>9.0079269557552702E-2</v>
      </c>
      <c r="FX760" s="323">
        <f t="shared" ref="FX760:HR760" si="964">FX357</f>
        <v>0.11242255482291161</v>
      </c>
      <c r="FY760" s="323">
        <f t="shared" si="964"/>
        <v>0.1382445306195357</v>
      </c>
      <c r="FZ760" s="323">
        <f t="shared" si="964"/>
        <v>8.1435755594487902E-2</v>
      </c>
      <c r="GA760" s="323">
        <f t="shared" si="964"/>
        <v>0.11747313632447541</v>
      </c>
      <c r="GB760" s="323">
        <f t="shared" si="964"/>
        <v>0.32929104408103671</v>
      </c>
      <c r="GC760" s="323">
        <f t="shared" si="964"/>
        <v>2.2589937846118051</v>
      </c>
      <c r="GD760" s="323">
        <f t="shared" si="964"/>
        <v>2.8351787347910138</v>
      </c>
      <c r="GE760" s="323">
        <f t="shared" si="964"/>
        <v>5.0180548739471771</v>
      </c>
      <c r="GF760" s="323">
        <f t="shared" si="964"/>
        <v>0.3120432234541492</v>
      </c>
      <c r="GG760" s="323">
        <f t="shared" si="964"/>
        <v>0.32104673123372712</v>
      </c>
      <c r="GH760" s="323">
        <f t="shared" si="964"/>
        <v>0.3516410099653603</v>
      </c>
      <c r="GI760" s="323">
        <f t="shared" si="964"/>
        <v>8.0369186999999995E-2</v>
      </c>
      <c r="GJ760" s="323">
        <f t="shared" si="964"/>
        <v>0.12923064500000001</v>
      </c>
      <c r="GK760" s="323">
        <f t="shared" si="964"/>
        <v>0.165289346</v>
      </c>
      <c r="GL760" s="323">
        <f t="shared" si="964"/>
        <v>7.8073811000000007E-2</v>
      </c>
      <c r="GM760" s="323">
        <f t="shared" si="964"/>
        <v>7.6941433000000004E-2</v>
      </c>
      <c r="GN760" s="323">
        <f t="shared" si="964"/>
        <v>0.25645975500000001</v>
      </c>
      <c r="GO760" s="323">
        <f t="shared" si="964"/>
        <v>10.809168018999999</v>
      </c>
      <c r="GP760" s="323">
        <f t="shared" si="964"/>
        <v>0.59952304099999998</v>
      </c>
      <c r="GQ760" s="323">
        <f t="shared" si="964"/>
        <v>0.53717110400000001</v>
      </c>
      <c r="GR760" s="323">
        <f t="shared" si="964"/>
        <v>0.18563595099999999</v>
      </c>
      <c r="GS760" s="323">
        <f t="shared" si="964"/>
        <v>0.173010463</v>
      </c>
      <c r="GT760" s="323">
        <f t="shared" si="964"/>
        <v>0.15585046699999999</v>
      </c>
      <c r="GU760" s="323">
        <f t="shared" si="964"/>
        <v>8.8894257000000004E-2</v>
      </c>
      <c r="GV760" s="323">
        <f t="shared" si="964"/>
        <v>8.9590568999999995E-2</v>
      </c>
      <c r="GW760" s="323">
        <f t="shared" si="964"/>
        <v>0.116235886</v>
      </c>
      <c r="GX760" s="323">
        <f t="shared" si="964"/>
        <v>0.13788588099999999</v>
      </c>
      <c r="GY760" s="323">
        <f t="shared" si="964"/>
        <v>2.2609674000000002</v>
      </c>
      <c r="GZ760" s="323">
        <f t="shared" si="964"/>
        <v>10.622033209</v>
      </c>
      <c r="HA760" s="323">
        <f t="shared" si="964"/>
        <v>0.44088069800000002</v>
      </c>
      <c r="HB760" s="323">
        <f t="shared" si="964"/>
        <v>0.23147989199999999</v>
      </c>
      <c r="HC760" s="323">
        <f t="shared" si="964"/>
        <v>0.18693738900000001</v>
      </c>
      <c r="HD760" s="323">
        <f t="shared" si="964"/>
        <v>0.197503283</v>
      </c>
      <c r="HE760" s="323">
        <f t="shared" si="964"/>
        <v>14.604376746</v>
      </c>
      <c r="HF760" s="323">
        <f t="shared" si="964"/>
        <v>0</v>
      </c>
      <c r="HG760" s="323">
        <f t="shared" si="964"/>
        <v>0.12607800299999999</v>
      </c>
      <c r="HH760" s="323">
        <f t="shared" si="964"/>
        <v>0.12514935099999999</v>
      </c>
      <c r="HI760" s="323">
        <f t="shared" si="964"/>
        <v>0.10389886500000001</v>
      </c>
      <c r="HJ760" s="323">
        <f t="shared" si="964"/>
        <v>0.16091638899999999</v>
      </c>
      <c r="HK760" s="323">
        <f t="shared" si="964"/>
        <v>0.150893578</v>
      </c>
      <c r="HL760" s="323">
        <f t="shared" si="964"/>
        <v>1.1863188602222223</v>
      </c>
      <c r="HM760" s="323">
        <f t="shared" si="964"/>
        <v>13.743112732</v>
      </c>
      <c r="HN760" s="323">
        <f t="shared" si="964"/>
        <v>0.68500681600000002</v>
      </c>
      <c r="HO760" s="323">
        <f t="shared" si="964"/>
        <v>0.56364412500000005</v>
      </c>
      <c r="HP760" s="323">
        <f t="shared" si="964"/>
        <v>0.31118172199999999</v>
      </c>
      <c r="HQ760" s="323">
        <f t="shared" si="964"/>
        <v>0.23031627800000001</v>
      </c>
      <c r="HR760" s="323">
        <f t="shared" si="964"/>
        <v>0.18727841200000001</v>
      </c>
      <c r="HS760" s="323">
        <f t="shared" ref="HS760:HX760" si="965">HS357</f>
        <v>0.15971184199999999</v>
      </c>
      <c r="HT760" s="323">
        <f t="shared" si="965"/>
        <v>0.18300286399999999</v>
      </c>
      <c r="HU760" s="323">
        <f t="shared" si="965"/>
        <v>9.4161558000000006E-2</v>
      </c>
      <c r="HV760" s="323">
        <f t="shared" si="965"/>
        <v>0.184720522</v>
      </c>
      <c r="HW760" s="323">
        <f t="shared" si="965"/>
        <v>0.36062019200000001</v>
      </c>
      <c r="HX760" s="323">
        <f t="shared" si="965"/>
        <v>2.4867867430000001</v>
      </c>
      <c r="HY760" s="323"/>
      <c r="HZ760" s="326"/>
      <c r="IA760" s="1415" t="s">
        <v>3054</v>
      </c>
      <c r="IB760" s="284">
        <f t="shared" si="929"/>
        <v>0</v>
      </c>
      <c r="IC760" s="279">
        <f t="shared" si="930"/>
        <v>0</v>
      </c>
      <c r="ID760" s="323"/>
      <c r="IG760" s="323"/>
      <c r="IH760" s="284"/>
      <c r="IJ760" s="323"/>
      <c r="IK760" s="327"/>
      <c r="IM760" s="323"/>
      <c r="IP760" s="323"/>
      <c r="IQ760" s="327"/>
      <c r="IR760" s="327"/>
      <c r="IS760" s="323"/>
      <c r="IT760" s="327"/>
      <c r="IU760" s="327"/>
      <c r="IV760" s="323"/>
      <c r="IW760" s="327">
        <f t="shared" si="867"/>
        <v>0</v>
      </c>
      <c r="IX760" s="327">
        <f t="shared" si="868"/>
        <v>0</v>
      </c>
      <c r="IY760" s="323">
        <f t="shared" si="886"/>
        <v>0</v>
      </c>
      <c r="IZ760" s="327">
        <f t="shared" si="869"/>
        <v>0.86894629100000009</v>
      </c>
      <c r="JA760" s="327">
        <f t="shared" si="870"/>
        <v>11.096958358003233</v>
      </c>
      <c r="JB760" s="323">
        <f t="shared" si="887"/>
        <v>11.965904649003233</v>
      </c>
      <c r="JC760" s="327">
        <f t="shared" si="871"/>
        <v>0.78636417700000005</v>
      </c>
      <c r="JD760" s="327">
        <f t="shared" si="872"/>
        <v>12.460359045000001</v>
      </c>
      <c r="JE760" s="323">
        <f t="shared" si="888"/>
        <v>13.246723222</v>
      </c>
      <c r="JF760" s="327">
        <f t="shared" si="908"/>
        <v>13.315607201999999</v>
      </c>
      <c r="JG760" s="327">
        <f t="shared" si="918"/>
        <v>15.661178008</v>
      </c>
      <c r="JH760" s="323">
        <f t="shared" si="889"/>
        <v>28.976785209999999</v>
      </c>
      <c r="JI760" s="327">
        <f t="shared" si="909"/>
        <v>1.8532550462222224</v>
      </c>
      <c r="JJ760" s="327">
        <f t="shared" si="910"/>
        <v>15.720540085</v>
      </c>
      <c r="JK760" s="323">
        <f t="shared" si="890"/>
        <v>17.573795131222223</v>
      </c>
      <c r="JL760" s="327">
        <f t="shared" si="891"/>
        <v>3.469003721</v>
      </c>
      <c r="JM760" s="279">
        <f t="shared" si="892"/>
        <v>21.558911223634897</v>
      </c>
      <c r="JN760" s="323">
        <f>FISC!AK1066</f>
        <v>25.027914944634897</v>
      </c>
      <c r="JO760" s="327">
        <f>JQ760*0.3</f>
        <v>8.8834684903562575</v>
      </c>
      <c r="JP760" s="279">
        <f t="shared" si="893"/>
        <v>20.7280931441646</v>
      </c>
      <c r="JQ760" s="323">
        <f>FISC!AL1066</f>
        <v>29.611561634520857</v>
      </c>
      <c r="JR760" s="327">
        <f t="shared" si="919"/>
        <v>14.470530723327395</v>
      </c>
      <c r="JS760" s="279">
        <f t="shared" si="894"/>
        <v>15.676408283604678</v>
      </c>
      <c r="JT760" s="323">
        <f>FISC!AM1066</f>
        <v>30.146939006932072</v>
      </c>
      <c r="JU760" s="327">
        <f t="shared" si="920"/>
        <v>16.248077458580475</v>
      </c>
      <c r="JV760" s="279">
        <f t="shared" si="911"/>
        <v>17.602083913462181</v>
      </c>
      <c r="JW760" s="323">
        <f>FISC!AN1066</f>
        <v>33.850161372042656</v>
      </c>
      <c r="JX760" s="327">
        <f t="shared" si="921"/>
        <v>17.972579859890327</v>
      </c>
      <c r="JY760" s="279">
        <f t="shared" si="895"/>
        <v>19.470294848214525</v>
      </c>
      <c r="JZ760" s="323">
        <f>FISC!AO1066</f>
        <v>37.442874708104853</v>
      </c>
      <c r="KA760" s="327">
        <f t="shared" ref="KA760:KA773" si="966">KC760*0.48</f>
        <v>19.769837845879366</v>
      </c>
      <c r="KB760" s="279">
        <f t="shared" ref="KB760:KB773" si="967">KC760-KA760</f>
        <v>21.417324333035978</v>
      </c>
      <c r="KC760" s="323">
        <f>FISC!AP1066</f>
        <v>41.187162178915344</v>
      </c>
      <c r="KD760" s="327">
        <f t="shared" ref="KD760:KD773" si="968">KF760*0.48</f>
        <v>21.746821630467302</v>
      </c>
      <c r="KE760" s="279">
        <f t="shared" ref="KE760:KE773" si="969">KF760-KD760</f>
        <v>23.55905676633958</v>
      </c>
      <c r="KF760" s="323">
        <f>FISC!AQ1066</f>
        <v>45.305878396806882</v>
      </c>
      <c r="KG760" s="327">
        <f t="shared" ref="KG760:KG773" si="970">KI760*0.48</f>
        <v>23.921503793514034</v>
      </c>
      <c r="KH760" s="279">
        <f t="shared" ref="KH760:KH773" si="971">KI760-KG760</f>
        <v>25.91496244297354</v>
      </c>
      <c r="KI760" s="323">
        <f>FISC!AR1066</f>
        <v>49.836466236487574</v>
      </c>
      <c r="KJ760" s="327">
        <f t="shared" ref="KJ760:KJ773" si="972">KL760*0.48</f>
        <v>26.313654172865441</v>
      </c>
      <c r="KK760" s="279">
        <f t="shared" ref="KK760:KK773" si="973">KL760-KJ760</f>
        <v>28.506458687270893</v>
      </c>
      <c r="KL760" s="323">
        <f>FISC!AS1066</f>
        <v>54.820112860136334</v>
      </c>
      <c r="KM760" s="327">
        <f t="shared" ref="KM760:KM773" si="974">KO760*0.48</f>
        <v>28.945019590151986</v>
      </c>
      <c r="KN760" s="279">
        <f t="shared" ref="KN760:KN773" si="975">KO760-KM760</f>
        <v>31.357104555997985</v>
      </c>
      <c r="KO760" s="323">
        <f>FISC!AT1066</f>
        <v>60.302124146149971</v>
      </c>
      <c r="KU760" s="326"/>
      <c r="KV760" s="327"/>
    </row>
    <row r="761" spans="1:314">
      <c r="A761" s="279"/>
      <c r="D761" s="1232" t="s">
        <v>465</v>
      </c>
      <c r="E761" s="323"/>
      <c r="F761" s="323"/>
      <c r="G761" s="323"/>
      <c r="H761" s="323"/>
      <c r="I761" s="323"/>
      <c r="J761" s="323"/>
      <c r="K761" s="323"/>
      <c r="L761" s="323"/>
      <c r="M761" s="323"/>
      <c r="N761" s="323"/>
      <c r="O761" s="323"/>
      <c r="P761" s="323"/>
      <c r="Q761" s="323"/>
      <c r="R761" s="323"/>
      <c r="S761" s="323"/>
      <c r="T761" s="323"/>
      <c r="U761" s="323"/>
      <c r="V761" s="323"/>
      <c r="W761" s="323"/>
      <c r="X761" s="323"/>
      <c r="Y761" s="323"/>
      <c r="Z761" s="323"/>
      <c r="AA761" s="323"/>
      <c r="AB761" s="323"/>
      <c r="AC761" s="323"/>
      <c r="AD761" s="323"/>
      <c r="AE761" s="323"/>
      <c r="AF761" s="323"/>
      <c r="AG761" s="323"/>
      <c r="AH761" s="323"/>
      <c r="AI761" s="323"/>
      <c r="AJ761" s="323"/>
      <c r="AK761" s="323"/>
      <c r="AL761" s="323"/>
      <c r="AM761" s="323"/>
      <c r="AN761" s="323"/>
      <c r="AO761" s="323"/>
      <c r="AP761" s="323"/>
      <c r="AQ761" s="323"/>
      <c r="AR761" s="323"/>
      <c r="AS761" s="323"/>
      <c r="AT761" s="323"/>
      <c r="AU761" s="323"/>
      <c r="AV761" s="323"/>
      <c r="AW761" s="323"/>
      <c r="AX761" s="323"/>
      <c r="AY761" s="323"/>
      <c r="AZ761" s="323"/>
      <c r="BA761" s="323"/>
      <c r="BB761" s="323"/>
      <c r="BC761" s="323"/>
      <c r="BD761" s="323"/>
      <c r="BE761" s="323"/>
      <c r="BF761" s="323"/>
      <c r="BG761" s="323"/>
      <c r="BH761" s="323"/>
      <c r="BI761" s="323"/>
      <c r="BJ761" s="323"/>
      <c r="BK761" s="323"/>
      <c r="BL761" s="323"/>
      <c r="BM761" s="323"/>
      <c r="BN761" s="323"/>
      <c r="BO761" s="323"/>
      <c r="BP761" s="323"/>
      <c r="BQ761" s="323"/>
      <c r="BR761" s="323"/>
      <c r="BS761" s="323"/>
      <c r="BT761" s="323"/>
      <c r="BU761" s="323"/>
      <c r="BV761" s="323"/>
      <c r="BW761" s="323"/>
      <c r="BX761" s="323"/>
      <c r="BY761" s="323"/>
      <c r="BZ761" s="323"/>
      <c r="CA761" s="323"/>
      <c r="CB761" s="323"/>
      <c r="CC761" s="323"/>
      <c r="CD761" s="329"/>
      <c r="CE761" s="323">
        <f t="shared" ref="CE761:DJ761" si="976">CE358</f>
        <v>1.5730296479999999</v>
      </c>
      <c r="CF761" s="323">
        <f t="shared" si="976"/>
        <v>0.97670188199999997</v>
      </c>
      <c r="CG761" s="323">
        <f t="shared" si="976"/>
        <v>9.4186684389999993</v>
      </c>
      <c r="CH761" s="323">
        <f t="shared" si="976"/>
        <v>1.8630770430000001</v>
      </c>
      <c r="CI761" s="323">
        <f t="shared" si="976"/>
        <v>1.1954280770000001</v>
      </c>
      <c r="CJ761" s="323">
        <f t="shared" si="976"/>
        <v>9.7989566579999998</v>
      </c>
      <c r="CK761" s="323">
        <f t="shared" si="976"/>
        <v>2.4694584509999999</v>
      </c>
      <c r="CL761" s="323">
        <f t="shared" si="976"/>
        <v>1.7785372589999999</v>
      </c>
      <c r="CM761" s="323">
        <f t="shared" si="976"/>
        <v>9.4464840460000001</v>
      </c>
      <c r="CN761" s="323">
        <f t="shared" si="976"/>
        <v>2.1443526300000002</v>
      </c>
      <c r="CO761" s="323">
        <f t="shared" si="976"/>
        <v>1.6340826150000001</v>
      </c>
      <c r="CP761" s="325">
        <f t="shared" si="976"/>
        <v>9.4330410859999994</v>
      </c>
      <c r="CQ761" s="323">
        <f t="shared" si="976"/>
        <v>2.2409145150000001</v>
      </c>
      <c r="CR761" s="323">
        <f t="shared" si="976"/>
        <v>3.0693548019999999</v>
      </c>
      <c r="CS761" s="323">
        <f t="shared" si="976"/>
        <v>9.8133753929999994</v>
      </c>
      <c r="CT761" s="323">
        <f t="shared" si="976"/>
        <v>1.547996798</v>
      </c>
      <c r="CU761" s="323">
        <f t="shared" si="976"/>
        <v>1.3657390899999999</v>
      </c>
      <c r="CV761" s="323">
        <f t="shared" si="976"/>
        <v>11.792154244000001</v>
      </c>
      <c r="CW761" s="323">
        <f t="shared" si="976"/>
        <v>1.8611490470000001</v>
      </c>
      <c r="CX761" s="323">
        <f t="shared" si="976"/>
        <v>1.438724117</v>
      </c>
      <c r="CY761" s="323">
        <f t="shared" si="976"/>
        <v>18.633277406000001</v>
      </c>
      <c r="CZ761" s="323">
        <f t="shared" si="976"/>
        <v>2.062493167</v>
      </c>
      <c r="DA761" s="323">
        <f t="shared" si="976"/>
        <v>1.7284441660000001</v>
      </c>
      <c r="DB761" s="1269">
        <f t="shared" si="976"/>
        <v>9.5983201129999998</v>
      </c>
      <c r="DC761" s="323">
        <f t="shared" si="976"/>
        <v>2.5139195502253058</v>
      </c>
      <c r="DD761" s="323">
        <f t="shared" si="976"/>
        <v>3.7630873299630063</v>
      </c>
      <c r="DE761" s="323">
        <f t="shared" si="976"/>
        <v>11.68637619439046</v>
      </c>
      <c r="DF761" s="323">
        <f t="shared" si="976"/>
        <v>2.0360228759916845</v>
      </c>
      <c r="DG761" s="323">
        <f t="shared" si="976"/>
        <v>1.7661458738708549</v>
      </c>
      <c r="DH761" s="323">
        <f t="shared" si="976"/>
        <v>13.643366255934502</v>
      </c>
      <c r="DI761" s="323">
        <f t="shared" si="976"/>
        <v>1.563789465276193</v>
      </c>
      <c r="DJ761" s="323">
        <f t="shared" si="976"/>
        <v>1.3925557091066323</v>
      </c>
      <c r="DK761" s="323">
        <f t="shared" ref="DK761:EP761" si="977">DK358</f>
        <v>23.131304899402526</v>
      </c>
      <c r="DL761" s="323">
        <f t="shared" si="977"/>
        <v>1.9295721089040818</v>
      </c>
      <c r="DM761" s="323">
        <f t="shared" si="977"/>
        <v>1.4832985522586397</v>
      </c>
      <c r="DN761" s="325">
        <f t="shared" si="977"/>
        <v>11.804466063702753</v>
      </c>
      <c r="DO761" s="323">
        <f t="shared" si="977"/>
        <v>2.7120825463306559</v>
      </c>
      <c r="DP761" s="323">
        <f t="shared" si="977"/>
        <v>1.9087653682802499</v>
      </c>
      <c r="DQ761" s="323">
        <f t="shared" si="977"/>
        <v>11.814664833342544</v>
      </c>
      <c r="DR761" s="323">
        <f t="shared" si="977"/>
        <v>1.774924827745511</v>
      </c>
      <c r="DS761" s="323">
        <f t="shared" si="977"/>
        <v>1.9889075146440458</v>
      </c>
      <c r="DT761" s="323">
        <f t="shared" si="977"/>
        <v>9.3303807407873034</v>
      </c>
      <c r="DU761" s="323">
        <f t="shared" si="977"/>
        <v>5.5454357326633161</v>
      </c>
      <c r="DV761" s="323">
        <f t="shared" si="977"/>
        <v>2.3027182383025888</v>
      </c>
      <c r="DW761" s="323">
        <f t="shared" si="977"/>
        <v>21.957757168003475</v>
      </c>
      <c r="DX761" s="323">
        <f t="shared" si="977"/>
        <v>2.4738407906141884</v>
      </c>
      <c r="DY761" s="323">
        <f t="shared" si="977"/>
        <v>2.2063495977070189</v>
      </c>
      <c r="DZ761" s="325">
        <f t="shared" si="977"/>
        <v>15.503657128358569</v>
      </c>
      <c r="EA761" s="323">
        <f t="shared" si="977"/>
        <v>2.5487777780071084</v>
      </c>
      <c r="EB761" s="323">
        <f t="shared" si="977"/>
        <v>2.3197191764111311</v>
      </c>
      <c r="EC761" s="323">
        <f t="shared" si="977"/>
        <v>12.880589214436329</v>
      </c>
      <c r="ED761" s="323">
        <f t="shared" si="977"/>
        <v>3.4812777399869472</v>
      </c>
      <c r="EE761" s="323">
        <f t="shared" si="977"/>
        <v>2.5461581451693878</v>
      </c>
      <c r="EF761" s="323">
        <f t="shared" si="977"/>
        <v>11.487073045852295</v>
      </c>
      <c r="EG761" s="323">
        <f t="shared" si="977"/>
        <v>5.7864659374298659</v>
      </c>
      <c r="EH761" s="323">
        <f t="shared" si="977"/>
        <v>2.4137550875890854</v>
      </c>
      <c r="EI761" s="323">
        <f t="shared" si="977"/>
        <v>20.357989746702554</v>
      </c>
      <c r="EJ761" s="323">
        <f t="shared" si="977"/>
        <v>15.045554025815004</v>
      </c>
      <c r="EK761" s="323">
        <f t="shared" si="977"/>
        <v>2.5898858668749485</v>
      </c>
      <c r="EL761" s="325">
        <f t="shared" si="977"/>
        <v>16.65612272617108</v>
      </c>
      <c r="EM761" s="323">
        <f t="shared" si="977"/>
        <v>8.0171895217000007</v>
      </c>
      <c r="EN761" s="323">
        <f t="shared" si="977"/>
        <v>7.6326909110000001</v>
      </c>
      <c r="EO761" s="323">
        <f t="shared" si="977"/>
        <v>19.951550846</v>
      </c>
      <c r="EP761" s="323">
        <f t="shared" si="977"/>
        <v>8.7253771568000023</v>
      </c>
      <c r="EQ761" s="323">
        <f t="shared" ref="EQ761:FV761" si="978">EQ358</f>
        <v>7.3900947737899996</v>
      </c>
      <c r="ER761" s="323">
        <f t="shared" si="978"/>
        <v>22.995967151999999</v>
      </c>
      <c r="ES761" s="323">
        <f t="shared" si="978"/>
        <v>11.053207402549821</v>
      </c>
      <c r="ET761" s="323">
        <f t="shared" si="978"/>
        <v>6.7440808205887608</v>
      </c>
      <c r="EU761" s="323">
        <f t="shared" si="978"/>
        <v>20.469464532859995</v>
      </c>
      <c r="EV761" s="323">
        <f t="shared" si="978"/>
        <v>21.805136288621988</v>
      </c>
      <c r="EW761" s="323">
        <f t="shared" si="978"/>
        <v>10.348055409617599</v>
      </c>
      <c r="EX761" s="325">
        <f t="shared" si="978"/>
        <v>26.064018340025321</v>
      </c>
      <c r="EY761" s="323">
        <f t="shared" si="978"/>
        <v>5.6691317566124999</v>
      </c>
      <c r="EZ761" s="323">
        <f t="shared" si="978"/>
        <v>3.1584593709499997</v>
      </c>
      <c r="FA761" s="323">
        <f t="shared" si="978"/>
        <v>23.148635784902499</v>
      </c>
      <c r="FB761" s="323">
        <f t="shared" si="978"/>
        <v>4.3420843856999998</v>
      </c>
      <c r="FC761" s="323">
        <f t="shared" si="978"/>
        <v>2.4796031522664999</v>
      </c>
      <c r="FD761" s="323">
        <f t="shared" si="978"/>
        <v>21.718577542074001</v>
      </c>
      <c r="FE761" s="323">
        <f t="shared" si="978"/>
        <v>2.4194112470485001</v>
      </c>
      <c r="FF761" s="323">
        <f t="shared" si="978"/>
        <v>3.0752299747500063</v>
      </c>
      <c r="FG761" s="323">
        <f t="shared" si="978"/>
        <v>10.436133959299999</v>
      </c>
      <c r="FH761" s="323">
        <f t="shared" si="978"/>
        <v>31.031957757000001</v>
      </c>
      <c r="FI761" s="323">
        <f t="shared" si="978"/>
        <v>2.4544786861899999</v>
      </c>
      <c r="FJ761" s="325">
        <f t="shared" si="978"/>
        <v>27.622070599212503</v>
      </c>
      <c r="FK761" s="323">
        <f t="shared" si="978"/>
        <v>2.0141423475025002</v>
      </c>
      <c r="FL761" s="323">
        <f t="shared" si="978"/>
        <v>5.8497418773370002</v>
      </c>
      <c r="FM761" s="323">
        <f t="shared" si="978"/>
        <v>25.919240270311001</v>
      </c>
      <c r="FN761" s="323">
        <f t="shared" si="978"/>
        <v>1.8741215365647395</v>
      </c>
      <c r="FO761" s="323">
        <f t="shared" si="978"/>
        <v>3.8368395035358707</v>
      </c>
      <c r="FP761" s="323">
        <f t="shared" si="978"/>
        <v>25.124649633900006</v>
      </c>
      <c r="FQ761" s="323">
        <f t="shared" si="978"/>
        <v>1.8790977295475906</v>
      </c>
      <c r="FR761" s="323">
        <f t="shared" si="978"/>
        <v>2.0360644351414678</v>
      </c>
      <c r="FS761" s="323">
        <f t="shared" si="978"/>
        <v>38.096511741148568</v>
      </c>
      <c r="FT761" s="323">
        <f t="shared" si="978"/>
        <v>4.8361935634721194</v>
      </c>
      <c r="FU761" s="323">
        <f t="shared" si="978"/>
        <v>4.0635507007919651</v>
      </c>
      <c r="FV761" s="323">
        <f t="shared" si="978"/>
        <v>30.093867868906994</v>
      </c>
      <c r="FW761" s="323">
        <v>3.0931157336716786</v>
      </c>
      <c r="FX761" s="323">
        <v>2.9578170754016724</v>
      </c>
      <c r="FY761" s="323">
        <v>31.590570183253917</v>
      </c>
      <c r="FZ761" s="323">
        <v>2.7444128197145288</v>
      </c>
      <c r="GA761" s="323">
        <v>3.500495736710513</v>
      </c>
      <c r="GB761" s="323">
        <v>33.653427418945277</v>
      </c>
      <c r="GC761" s="323">
        <v>3.2643601404860303</v>
      </c>
      <c r="GD761" s="323">
        <v>4.1383682588390167</v>
      </c>
      <c r="GE761" s="323">
        <v>60.201149115922632</v>
      </c>
      <c r="GF761" s="323">
        <v>3.7721243841979328</v>
      </c>
      <c r="GG761" s="323">
        <v>4.081840411819174</v>
      </c>
      <c r="GH761" s="323">
        <v>40.579637130642141</v>
      </c>
      <c r="GI761" s="323">
        <f t="shared" ref="GI761:HR761" si="979">GI358</f>
        <v>2.98730281723526</v>
      </c>
      <c r="GJ761" s="323">
        <f t="shared" si="979"/>
        <v>4.8915192968696362</v>
      </c>
      <c r="GK761" s="323">
        <f t="shared" si="979"/>
        <v>40.161849262949666</v>
      </c>
      <c r="GL761" s="323">
        <f t="shared" si="979"/>
        <v>3.7883739249904789</v>
      </c>
      <c r="GM761" s="323">
        <f t="shared" si="979"/>
        <v>3.8465113186388544</v>
      </c>
      <c r="GN761" s="323">
        <f t="shared" si="979"/>
        <v>43.984218038250795</v>
      </c>
      <c r="GO761" s="323">
        <f t="shared" si="979"/>
        <v>5.1486260659438763</v>
      </c>
      <c r="GP761" s="323">
        <f t="shared" si="979"/>
        <v>2.6027649612893375</v>
      </c>
      <c r="GQ761" s="323">
        <f t="shared" si="979"/>
        <v>75.442302689699162</v>
      </c>
      <c r="GR761" s="323">
        <f t="shared" si="979"/>
        <v>24.556008839</v>
      </c>
      <c r="GS761" s="323">
        <f t="shared" si="979"/>
        <v>6.7257222309999998</v>
      </c>
      <c r="GT761" s="323">
        <f t="shared" si="979"/>
        <v>58.147585100999997</v>
      </c>
      <c r="GU761" s="323">
        <f t="shared" si="979"/>
        <v>9.3836815189999996</v>
      </c>
      <c r="GV761" s="323">
        <f t="shared" si="979"/>
        <v>6.9028595749999999</v>
      </c>
      <c r="GW761" s="323">
        <f t="shared" si="979"/>
        <v>50.017063280000002</v>
      </c>
      <c r="GX761" s="323">
        <f t="shared" si="979"/>
        <v>21.154606075</v>
      </c>
      <c r="GY761" s="323">
        <f t="shared" si="979"/>
        <v>7.467787006</v>
      </c>
      <c r="GZ761" s="323">
        <f t="shared" si="979"/>
        <v>65.672315490000003</v>
      </c>
      <c r="HA761" s="323">
        <f t="shared" si="979"/>
        <v>17.039462058000002</v>
      </c>
      <c r="HB761" s="323">
        <f t="shared" si="979"/>
        <v>8.5030904650366406</v>
      </c>
      <c r="HC761" s="323">
        <f t="shared" si="979"/>
        <v>33.034236874999998</v>
      </c>
      <c r="HD761" s="323">
        <f t="shared" si="979"/>
        <v>57.19510828904</v>
      </c>
      <c r="HE761" s="323">
        <f t="shared" si="979"/>
        <v>11.901532768999999</v>
      </c>
      <c r="HF761" s="323">
        <f t="shared" si="979"/>
        <v>68.840429567951205</v>
      </c>
      <c r="HG761" s="323">
        <f t="shared" si="979"/>
        <v>11.234767102999999</v>
      </c>
      <c r="HH761" s="323">
        <f t="shared" si="979"/>
        <v>10.494336979</v>
      </c>
      <c r="HI761" s="323">
        <f t="shared" si="979"/>
        <v>71.037801744999996</v>
      </c>
      <c r="HJ761" s="323">
        <f t="shared" si="979"/>
        <v>15.845187838999999</v>
      </c>
      <c r="HK761" s="323">
        <f t="shared" si="979"/>
        <v>9.0369099019999997</v>
      </c>
      <c r="HL761" s="323">
        <f t="shared" si="979"/>
        <v>80.733451861000006</v>
      </c>
      <c r="HM761" s="323">
        <f t="shared" si="979"/>
        <v>9.6740840890000008</v>
      </c>
      <c r="HN761" s="323">
        <f t="shared" si="979"/>
        <v>13.099595718</v>
      </c>
      <c r="HO761" s="323">
        <f t="shared" si="979"/>
        <v>76.506055630000006</v>
      </c>
      <c r="HP761" s="323">
        <f t="shared" si="979"/>
        <v>22.101121527</v>
      </c>
      <c r="HQ761" s="323">
        <f t="shared" si="979"/>
        <v>11.444983981</v>
      </c>
      <c r="HR761" s="323">
        <f t="shared" si="979"/>
        <v>76.531864991000006</v>
      </c>
      <c r="HS761" s="323">
        <f t="shared" ref="HS761:HX761" si="980">HS358</f>
        <v>10.303924452</v>
      </c>
      <c r="HT761" s="323">
        <f t="shared" si="980"/>
        <v>8.9095091830000008</v>
      </c>
      <c r="HU761" s="323">
        <f t="shared" si="980"/>
        <v>83.749376154000004</v>
      </c>
      <c r="HV761" s="323">
        <f t="shared" si="980"/>
        <v>12.499164576</v>
      </c>
      <c r="HW761" s="323">
        <f t="shared" si="980"/>
        <v>11.397168801999999</v>
      </c>
      <c r="HX761" s="323">
        <f t="shared" si="980"/>
        <v>81.548663212999998</v>
      </c>
      <c r="HY761" s="323"/>
      <c r="HZ761" s="326"/>
      <c r="IA761" s="1232" t="s">
        <v>465</v>
      </c>
      <c r="IB761" s="284">
        <f>SUM(CE761:CJ761)</f>
        <v>24.825861747000001</v>
      </c>
      <c r="IC761" s="279">
        <f>SUM(CK761:CP761)</f>
        <v>26.905956087</v>
      </c>
      <c r="ID761" s="323">
        <f t="shared" si="907"/>
        <v>51.731817833999997</v>
      </c>
      <c r="IE761" s="279">
        <f>SUM(CQ761:CV761)</f>
        <v>29.829534842000001</v>
      </c>
      <c r="IF761" s="279">
        <f>SUM(CW761:DB761)</f>
        <v>35.322408015999997</v>
      </c>
      <c r="IG761" s="323">
        <f t="shared" si="880"/>
        <v>65.151942857999998</v>
      </c>
      <c r="IH761" s="284">
        <f>SUM(DC761:DH761)</f>
        <v>35.408918080375813</v>
      </c>
      <c r="II761" s="279">
        <f>SUM(DI761:DN761)</f>
        <v>41.304986798650823</v>
      </c>
      <c r="IJ761" s="323">
        <f t="shared" si="881"/>
        <v>76.713904879026643</v>
      </c>
      <c r="IK761" s="327">
        <f>SUM(DO761:DT761)</f>
        <v>29.529725831130314</v>
      </c>
      <c r="IL761" s="279">
        <f>SUM(DU761:DZ761)</f>
        <v>49.989758655649155</v>
      </c>
      <c r="IM761" s="323">
        <f t="shared" si="882"/>
        <v>79.519484486779476</v>
      </c>
      <c r="IN761" s="279">
        <f>SUM(EA761:EF761)</f>
        <v>35.263595099863196</v>
      </c>
      <c r="IO761" s="279">
        <f>SUM(EG761:EL761)</f>
        <v>62.849773390582541</v>
      </c>
      <c r="IP761" s="323">
        <f t="shared" si="883"/>
        <v>98.113368490445737</v>
      </c>
      <c r="IQ761" s="327">
        <f>SUM(EM761:ER761)</f>
        <v>74.712870361290001</v>
      </c>
      <c r="IR761" s="327">
        <f>SUM(ES761:EX761)</f>
        <v>96.483962794263476</v>
      </c>
      <c r="IS761" s="323">
        <f t="shared" si="884"/>
        <v>171.19683315555346</v>
      </c>
      <c r="IT761" s="327">
        <f>SUM(EY761:FD761)</f>
        <v>60.5164919925055</v>
      </c>
      <c r="IU761" s="327">
        <f>SUM(FE761:FJ761)</f>
        <v>77.039282223501004</v>
      </c>
      <c r="IV761" s="323">
        <f t="shared" si="885"/>
        <v>137.55577421600651</v>
      </c>
      <c r="IW761" s="327">
        <f t="shared" si="867"/>
        <v>64.618735169151108</v>
      </c>
      <c r="IX761" s="327">
        <f t="shared" si="868"/>
        <v>81.005286039008709</v>
      </c>
      <c r="IY761" s="323">
        <f t="shared" si="886"/>
        <v>145.62402120815983</v>
      </c>
      <c r="IZ761" s="327">
        <f t="shared" si="869"/>
        <v>77.539838967697591</v>
      </c>
      <c r="JA761" s="327">
        <f t="shared" si="870"/>
        <v>116.03747944190692</v>
      </c>
      <c r="JB761" s="323">
        <f t="shared" si="887"/>
        <v>193.57731840960452</v>
      </c>
      <c r="JC761" s="327">
        <f t="shared" si="871"/>
        <v>99.659774658934694</v>
      </c>
      <c r="JD761" s="327">
        <f t="shared" si="872"/>
        <v>172.62300988793237</v>
      </c>
      <c r="JE761" s="323">
        <f t="shared" si="888"/>
        <v>272.28278454686705</v>
      </c>
      <c r="JF761" s="327">
        <f t="shared" si="908"/>
        <v>160.598312945</v>
      </c>
      <c r="JG761" s="327">
        <f t="shared" si="918"/>
        <v>196.51386002402785</v>
      </c>
      <c r="JH761" s="323">
        <f t="shared" si="889"/>
        <v>357.11217296902782</v>
      </c>
      <c r="JI761" s="327">
        <f t="shared" si="909"/>
        <v>198.382455429</v>
      </c>
      <c r="JJ761" s="327">
        <f t="shared" si="910"/>
        <v>209.357705936</v>
      </c>
      <c r="JK761" s="323">
        <f t="shared" si="890"/>
        <v>407.74016136500001</v>
      </c>
      <c r="JL761" s="327">
        <f t="shared" si="891"/>
        <v>208.40780638000001</v>
      </c>
      <c r="JM761" s="279">
        <f t="shared" si="892"/>
        <v>574.39104613823997</v>
      </c>
      <c r="JN761" s="323">
        <f>FISC!AK1067</f>
        <v>782.79885251823998</v>
      </c>
      <c r="JO761" s="327">
        <f>JQ761*0.47</f>
        <v>456.12803316314643</v>
      </c>
      <c r="JP761" s="279">
        <f t="shared" si="893"/>
        <v>514.3571437797184</v>
      </c>
      <c r="JQ761" s="323">
        <f>FISC!AL1067</f>
        <v>970.48517694286477</v>
      </c>
      <c r="JR761" s="327">
        <f t="shared" si="919"/>
        <v>544.37609084961275</v>
      </c>
      <c r="JS761" s="279">
        <f t="shared" si="894"/>
        <v>589.7407650870806</v>
      </c>
      <c r="JT761" s="323">
        <f>FISC!AM1067</f>
        <v>1134.1168559366934</v>
      </c>
      <c r="JU761" s="327">
        <f t="shared" si="920"/>
        <v>627.13403041918434</v>
      </c>
      <c r="JV761" s="279">
        <f t="shared" si="911"/>
        <v>679.39519962078305</v>
      </c>
      <c r="JW761" s="323">
        <f>FISC!AN1067</f>
        <v>1306.5292300399674</v>
      </c>
      <c r="JX761" s="327">
        <f t="shared" si="921"/>
        <v>713.04821466975056</v>
      </c>
      <c r="JY761" s="279">
        <f t="shared" si="895"/>
        <v>772.46889922556318</v>
      </c>
      <c r="JZ761" s="323">
        <f>FISC!AO1067</f>
        <v>1485.5171138953137</v>
      </c>
      <c r="KA761" s="327">
        <f t="shared" si="966"/>
        <v>820.69878134528551</v>
      </c>
      <c r="KB761" s="279">
        <f t="shared" si="967"/>
        <v>889.09034645739268</v>
      </c>
      <c r="KC761" s="323">
        <f>FISC!AP1067</f>
        <v>1709.7891278026782</v>
      </c>
      <c r="KD761" s="327">
        <f t="shared" si="968"/>
        <v>958.82710191933177</v>
      </c>
      <c r="KE761" s="279">
        <f t="shared" si="969"/>
        <v>1038.7293604126094</v>
      </c>
      <c r="KF761" s="323">
        <f>FISC!AQ1067</f>
        <v>1997.5564623319412</v>
      </c>
      <c r="KG761" s="327">
        <f t="shared" si="970"/>
        <v>1119.4283953006816</v>
      </c>
      <c r="KH761" s="279">
        <f t="shared" si="971"/>
        <v>1212.7140949090717</v>
      </c>
      <c r="KI761" s="323">
        <f>FISC!AR1067</f>
        <v>2332.1424902097533</v>
      </c>
      <c r="KJ761" s="327">
        <f t="shared" si="972"/>
        <v>1289.74197900124</v>
      </c>
      <c r="KK761" s="279">
        <f t="shared" si="973"/>
        <v>1397.2204772513433</v>
      </c>
      <c r="KL761" s="323">
        <f>FISC!AS1067</f>
        <v>2686.9624562525833</v>
      </c>
      <c r="KM761" s="327">
        <f t="shared" si="974"/>
        <v>1790.8867947614626</v>
      </c>
      <c r="KN761" s="279">
        <f t="shared" si="975"/>
        <v>1940.1273609915847</v>
      </c>
      <c r="KO761" s="323">
        <f>FISC!AT1067</f>
        <v>3731.0141557530474</v>
      </c>
      <c r="KU761" s="326"/>
      <c r="KV761" s="327"/>
    </row>
    <row r="762" spans="1:314">
      <c r="A762" s="279"/>
      <c r="D762" s="1232" t="s">
        <v>466</v>
      </c>
      <c r="E762" s="323"/>
      <c r="F762" s="323"/>
      <c r="G762" s="323"/>
      <c r="H762" s="323"/>
      <c r="I762" s="323"/>
      <c r="J762" s="323"/>
      <c r="K762" s="323"/>
      <c r="L762" s="323"/>
      <c r="M762" s="323"/>
      <c r="N762" s="323"/>
      <c r="O762" s="323"/>
      <c r="P762" s="323"/>
      <c r="Q762" s="323"/>
      <c r="R762" s="323"/>
      <c r="S762" s="323"/>
      <c r="T762" s="323"/>
      <c r="U762" s="323"/>
      <c r="V762" s="323"/>
      <c r="W762" s="323"/>
      <c r="X762" s="323"/>
      <c r="Y762" s="323"/>
      <c r="Z762" s="323"/>
      <c r="AA762" s="323"/>
      <c r="AB762" s="323"/>
      <c r="AC762" s="323"/>
      <c r="AD762" s="323"/>
      <c r="AE762" s="323"/>
      <c r="AF762" s="323"/>
      <c r="AG762" s="323"/>
      <c r="AH762" s="323"/>
      <c r="AI762" s="323"/>
      <c r="AJ762" s="323"/>
      <c r="AK762" s="323"/>
      <c r="AL762" s="323"/>
      <c r="AM762" s="323"/>
      <c r="AN762" s="323"/>
      <c r="AO762" s="323"/>
      <c r="AP762" s="323"/>
      <c r="AQ762" s="323"/>
      <c r="AR762" s="323"/>
      <c r="AS762" s="323"/>
      <c r="AT762" s="323"/>
      <c r="AU762" s="323"/>
      <c r="AV762" s="323"/>
      <c r="AW762" s="323"/>
      <c r="AX762" s="323"/>
      <c r="AY762" s="323"/>
      <c r="AZ762" s="323"/>
      <c r="BA762" s="323"/>
      <c r="BB762" s="323"/>
      <c r="BC762" s="323"/>
      <c r="BD762" s="323"/>
      <c r="BE762" s="323"/>
      <c r="BF762" s="323"/>
      <c r="BG762" s="323"/>
      <c r="BH762" s="323"/>
      <c r="BI762" s="323"/>
      <c r="BJ762" s="323"/>
      <c r="BK762" s="323"/>
      <c r="BL762" s="323"/>
      <c r="BM762" s="323"/>
      <c r="BN762" s="323"/>
      <c r="BO762" s="323"/>
      <c r="BP762" s="323"/>
      <c r="BQ762" s="323"/>
      <c r="BR762" s="323"/>
      <c r="BS762" s="323"/>
      <c r="BT762" s="323"/>
      <c r="BU762" s="323"/>
      <c r="BV762" s="323"/>
      <c r="BW762" s="323"/>
      <c r="BX762" s="323"/>
      <c r="BY762" s="323"/>
      <c r="BZ762" s="323"/>
      <c r="CA762" s="323"/>
      <c r="CB762" s="323"/>
      <c r="CC762" s="323"/>
      <c r="CD762" s="329"/>
      <c r="CE762" s="323">
        <f t="shared" ref="CE762:DJ762" si="981">CE359</f>
        <v>0.53411346999999998</v>
      </c>
      <c r="CF762" s="323">
        <f t="shared" si="981"/>
        <v>9.5546687000000005E-2</v>
      </c>
      <c r="CG762" s="323">
        <f t="shared" si="981"/>
        <v>0.173315683</v>
      </c>
      <c r="CH762" s="323">
        <f t="shared" si="981"/>
        <v>9.4277320999999997E-2</v>
      </c>
      <c r="CI762" s="323">
        <f t="shared" si="981"/>
        <v>7.9005735999999993E-2</v>
      </c>
      <c r="CJ762" s="323">
        <f t="shared" si="981"/>
        <v>0.15383042</v>
      </c>
      <c r="CK762" s="323">
        <f t="shared" si="981"/>
        <v>3.4969736000000001E-2</v>
      </c>
      <c r="CL762" s="323">
        <f t="shared" si="981"/>
        <v>0.11421437299999999</v>
      </c>
      <c r="CM762" s="323">
        <f t="shared" si="981"/>
        <v>3.2996980000000002E-2</v>
      </c>
      <c r="CN762" s="323">
        <f t="shared" si="981"/>
        <v>6.3725954000000001E-2</v>
      </c>
      <c r="CO762" s="323">
        <f t="shared" si="981"/>
        <v>0.18275960899999999</v>
      </c>
      <c r="CP762" s="325">
        <f t="shared" si="981"/>
        <v>0.14168683500000001</v>
      </c>
      <c r="CQ762" s="323">
        <f t="shared" si="981"/>
        <v>0.69328922599999998</v>
      </c>
      <c r="CR762" s="323">
        <f t="shared" si="981"/>
        <v>1.1469060999999999E-2</v>
      </c>
      <c r="CS762" s="323">
        <f t="shared" si="981"/>
        <v>0.148508689</v>
      </c>
      <c r="CT762" s="323">
        <f t="shared" si="981"/>
        <v>1.3437433E-2</v>
      </c>
      <c r="CU762" s="323">
        <f t="shared" si="981"/>
        <v>5.7819868000000003E-2</v>
      </c>
      <c r="CV762" s="323">
        <f t="shared" si="981"/>
        <v>0.23990425500000001</v>
      </c>
      <c r="CW762" s="323">
        <f t="shared" si="981"/>
        <v>6.6524533999999996E-2</v>
      </c>
      <c r="CX762" s="323">
        <f t="shared" si="981"/>
        <v>0.13973018000000001</v>
      </c>
      <c r="CY762" s="323">
        <f t="shared" si="981"/>
        <v>0.21324430999999999</v>
      </c>
      <c r="CZ762" s="323">
        <f t="shared" si="981"/>
        <v>8.0133698000000003E-2</v>
      </c>
      <c r="DA762" s="323">
        <f t="shared" si="981"/>
        <v>1.049353894</v>
      </c>
      <c r="DB762" s="1269">
        <f t="shared" si="981"/>
        <v>6.5593282000000003E-2</v>
      </c>
      <c r="DC762" s="323">
        <f t="shared" si="981"/>
        <v>0.84800550753526072</v>
      </c>
      <c r="DD762" s="323">
        <f t="shared" si="981"/>
        <v>1.133079007681527E-2</v>
      </c>
      <c r="DE762" s="323">
        <f t="shared" si="981"/>
        <v>0.13980076026822338</v>
      </c>
      <c r="DF762" s="323">
        <f t="shared" si="981"/>
        <v>1.3645711687930745E-2</v>
      </c>
      <c r="DG762" s="323">
        <f t="shared" si="981"/>
        <v>7.1546401201005583E-2</v>
      </c>
      <c r="DH762" s="323">
        <f t="shared" si="981"/>
        <v>0.28003812268042177</v>
      </c>
      <c r="DI762" s="323">
        <f t="shared" si="981"/>
        <v>8.5296302059148024E-2</v>
      </c>
      <c r="DJ762" s="323">
        <f t="shared" si="981"/>
        <v>0.16846364779854342</v>
      </c>
      <c r="DK762" s="323">
        <f t="shared" ref="DK762:EP762" si="982">DK359</f>
        <v>0.24929011771830573</v>
      </c>
      <c r="DL762" s="323">
        <f t="shared" si="982"/>
        <v>8.2683918962252689E-2</v>
      </c>
      <c r="DM762" s="323">
        <f t="shared" si="982"/>
        <v>1.2281147387303275</v>
      </c>
      <c r="DN762" s="325">
        <f t="shared" si="982"/>
        <v>7.3837698069873031E-2</v>
      </c>
      <c r="DO762" s="323">
        <f t="shared" si="982"/>
        <v>0</v>
      </c>
      <c r="DP762" s="323">
        <f t="shared" si="982"/>
        <v>0</v>
      </c>
      <c r="DQ762" s="323">
        <f t="shared" si="982"/>
        <v>0</v>
      </c>
      <c r="DR762" s="323">
        <f t="shared" si="982"/>
        <v>0</v>
      </c>
      <c r="DS762" s="323">
        <f t="shared" si="982"/>
        <v>0</v>
      </c>
      <c r="DT762" s="323">
        <f t="shared" si="982"/>
        <v>0</v>
      </c>
      <c r="DU762" s="323">
        <f t="shared" si="982"/>
        <v>0</v>
      </c>
      <c r="DV762" s="323">
        <f t="shared" si="982"/>
        <v>0</v>
      </c>
      <c r="DW762" s="323">
        <f t="shared" si="982"/>
        <v>0</v>
      </c>
      <c r="DX762" s="323">
        <f t="shared" si="982"/>
        <v>0</v>
      </c>
      <c r="DY762" s="323">
        <f t="shared" si="982"/>
        <v>0</v>
      </c>
      <c r="DZ762" s="325">
        <f t="shared" si="982"/>
        <v>0</v>
      </c>
      <c r="EA762" s="323">
        <f t="shared" si="982"/>
        <v>0</v>
      </c>
      <c r="EB762" s="323">
        <f t="shared" si="982"/>
        <v>0</v>
      </c>
      <c r="EC762" s="323">
        <f t="shared" si="982"/>
        <v>0</v>
      </c>
      <c r="ED762" s="323">
        <f t="shared" si="982"/>
        <v>0</v>
      </c>
      <c r="EE762" s="323">
        <f t="shared" si="982"/>
        <v>0</v>
      </c>
      <c r="EF762" s="323">
        <f t="shared" si="982"/>
        <v>0</v>
      </c>
      <c r="EG762" s="323">
        <f t="shared" si="982"/>
        <v>0</v>
      </c>
      <c r="EH762" s="323">
        <f t="shared" si="982"/>
        <v>0</v>
      </c>
      <c r="EI762" s="323">
        <f t="shared" si="982"/>
        <v>0</v>
      </c>
      <c r="EJ762" s="323">
        <f t="shared" si="982"/>
        <v>0</v>
      </c>
      <c r="EK762" s="323">
        <f t="shared" si="982"/>
        <v>0</v>
      </c>
      <c r="EL762" s="325">
        <f t="shared" si="982"/>
        <v>0</v>
      </c>
      <c r="EM762" s="323">
        <f t="shared" si="982"/>
        <v>3.6887334628199997</v>
      </c>
      <c r="EN762" s="323">
        <f t="shared" si="982"/>
        <v>4.7883386559700005</v>
      </c>
      <c r="EO762" s="323">
        <f t="shared" si="982"/>
        <v>7.6775502178000004</v>
      </c>
      <c r="EP762" s="323">
        <f t="shared" si="982"/>
        <v>9.6955604814799994</v>
      </c>
      <c r="EQ762" s="323">
        <f t="shared" ref="EQ762:FV762" si="983">EQ359</f>
        <v>3.90632631699</v>
      </c>
      <c r="ER762" s="323">
        <f t="shared" si="983"/>
        <v>12.666190216690001</v>
      </c>
      <c r="ES762" s="323">
        <f t="shared" si="983"/>
        <v>7.547110605930178</v>
      </c>
      <c r="ET762" s="323">
        <f t="shared" si="983"/>
        <v>5.286249336151239</v>
      </c>
      <c r="EU762" s="323">
        <f t="shared" si="983"/>
        <v>7.504321041880007</v>
      </c>
      <c r="EV762" s="323">
        <f t="shared" si="983"/>
        <v>10.052632063378015</v>
      </c>
      <c r="EW762" s="323">
        <f t="shared" si="983"/>
        <v>7.1082404520664015</v>
      </c>
      <c r="EX762" s="325">
        <f t="shared" si="983"/>
        <v>23.354547525352729</v>
      </c>
      <c r="EY762" s="323">
        <f t="shared" si="983"/>
        <v>0</v>
      </c>
      <c r="EZ762" s="323">
        <f t="shared" si="983"/>
        <v>0.34146773000000002</v>
      </c>
      <c r="FA762" s="323">
        <f t="shared" si="983"/>
        <v>0</v>
      </c>
      <c r="FB762" s="323">
        <f t="shared" si="983"/>
        <v>0</v>
      </c>
      <c r="FC762" s="323">
        <f t="shared" si="983"/>
        <v>0</v>
      </c>
      <c r="FD762" s="323">
        <f t="shared" si="983"/>
        <v>6.9629299999999996E-4</v>
      </c>
      <c r="FE762" s="323">
        <f t="shared" si="983"/>
        <v>6.9629299999999996E-4</v>
      </c>
      <c r="FF762" s="323">
        <f t="shared" si="983"/>
        <v>6.9629299999999996E-4</v>
      </c>
      <c r="FG762" s="323">
        <f t="shared" si="983"/>
        <v>6.9629299999999996E-4</v>
      </c>
      <c r="FH762" s="323">
        <f t="shared" si="983"/>
        <v>6.9629299999999996E-4</v>
      </c>
      <c r="FI762" s="323">
        <f t="shared" si="983"/>
        <v>6.9629299999999996E-4</v>
      </c>
      <c r="FJ762" s="325">
        <f t="shared" si="983"/>
        <v>6.9629299999999996E-4</v>
      </c>
      <c r="FK762" s="323">
        <f t="shared" si="983"/>
        <v>0.15203960799999999</v>
      </c>
      <c r="FL762" s="323">
        <f t="shared" si="983"/>
        <v>0.63250310700000001</v>
      </c>
      <c r="FM762" s="323">
        <f t="shared" si="983"/>
        <v>0.35404179699999999</v>
      </c>
      <c r="FN762" s="323">
        <f t="shared" si="983"/>
        <v>0.25985228386290415</v>
      </c>
      <c r="FO762" s="323">
        <f t="shared" si="983"/>
        <v>0.81613718729822671</v>
      </c>
      <c r="FP762" s="323">
        <f t="shared" si="983"/>
        <v>9.0508248031688412E-3</v>
      </c>
      <c r="FQ762" s="323">
        <f t="shared" si="983"/>
        <v>0.15042471759955364</v>
      </c>
      <c r="FR762" s="323">
        <f t="shared" si="983"/>
        <v>6.0520773332907188E-2</v>
      </c>
      <c r="FS762" s="323">
        <f t="shared" si="983"/>
        <v>0.47881450222663779</v>
      </c>
      <c r="FT762" s="323">
        <f t="shared" si="983"/>
        <v>0.12742271017833698</v>
      </c>
      <c r="FU762" s="323">
        <f t="shared" si="983"/>
        <v>0.60378892016516228</v>
      </c>
      <c r="FV762" s="323">
        <f t="shared" si="983"/>
        <v>0.31048720798174972</v>
      </c>
      <c r="FW762" s="323">
        <v>6.5623334615857107E-2</v>
      </c>
      <c r="FX762" s="323">
        <v>1.2071917479688861</v>
      </c>
      <c r="FY762" s="323">
        <v>0.80335211083950586</v>
      </c>
      <c r="FZ762" s="323">
        <v>0.41406320961902249</v>
      </c>
      <c r="GA762" s="323">
        <v>0.98389797503674348</v>
      </c>
      <c r="GB762" s="323">
        <v>1.0915625291216942</v>
      </c>
      <c r="GC762" s="323">
        <v>7.9299468192470537E-2</v>
      </c>
      <c r="GD762" s="323">
        <v>0.98502309928981702</v>
      </c>
      <c r="GE762" s="323">
        <v>0</v>
      </c>
      <c r="GF762" s="323">
        <v>0.13366768021994574</v>
      </c>
      <c r="GG762" s="323">
        <v>0.97348491510014123</v>
      </c>
      <c r="GH762" s="323">
        <v>0.11745339428090311</v>
      </c>
      <c r="GI762" s="323">
        <f t="shared" ref="GI762:HR762" si="984">GI359</f>
        <v>7.8146036950115433E-2</v>
      </c>
      <c r="GJ762" s="323">
        <f t="shared" si="984"/>
        <v>8.1245590089511141E-2</v>
      </c>
      <c r="GK762" s="323">
        <f t="shared" si="984"/>
        <v>1.0339323260440725</v>
      </c>
      <c r="GL762" s="323">
        <f t="shared" si="984"/>
        <v>0</v>
      </c>
      <c r="GM762" s="323">
        <f t="shared" si="984"/>
        <v>0</v>
      </c>
      <c r="GN762" s="323">
        <f t="shared" si="984"/>
        <v>2.4637463182604151E-3</v>
      </c>
      <c r="GO762" s="323">
        <f t="shared" si="984"/>
        <v>0.37901251764753963</v>
      </c>
      <c r="GP762" s="323">
        <f t="shared" si="984"/>
        <v>3.971781371087859E-2</v>
      </c>
      <c r="GQ762" s="323">
        <f t="shared" si="984"/>
        <v>1.0656637222465877</v>
      </c>
      <c r="GR762" s="323">
        <f t="shared" si="984"/>
        <v>0.63129894900000005</v>
      </c>
      <c r="GS762" s="323">
        <f t="shared" si="984"/>
        <v>0.13021236899999999</v>
      </c>
      <c r="GT762" s="323">
        <f t="shared" si="984"/>
        <v>0.96422281600000004</v>
      </c>
      <c r="GU762" s="323">
        <f t="shared" si="984"/>
        <v>0</v>
      </c>
      <c r="GV762" s="323">
        <f t="shared" si="984"/>
        <v>7.9686816999999993E-2</v>
      </c>
      <c r="GW762" s="323">
        <f t="shared" si="984"/>
        <v>1.1702979069999999</v>
      </c>
      <c r="GX762" s="323">
        <f t="shared" si="984"/>
        <v>3.24381E-4</v>
      </c>
      <c r="GY762" s="323">
        <f t="shared" si="984"/>
        <v>4.75596E-4</v>
      </c>
      <c r="GZ762" s="323">
        <f t="shared" si="984"/>
        <v>1.0520168560000001</v>
      </c>
      <c r="HA762" s="323">
        <f t="shared" si="984"/>
        <v>5.1468436999999999E-2</v>
      </c>
      <c r="HB762" s="323">
        <f t="shared" si="984"/>
        <v>0.11002011</v>
      </c>
      <c r="HC762" s="323">
        <f t="shared" si="984"/>
        <v>1.061378929</v>
      </c>
      <c r="HD762" s="323">
        <f t="shared" si="984"/>
        <v>5.7080034000000002E-2</v>
      </c>
      <c r="HE762" s="323">
        <f t="shared" si="984"/>
        <v>0</v>
      </c>
      <c r="HF762" s="323">
        <f t="shared" si="984"/>
        <v>1.0351736600000001</v>
      </c>
      <c r="HG762" s="323">
        <f t="shared" si="984"/>
        <v>0</v>
      </c>
      <c r="HH762" s="323">
        <f t="shared" si="984"/>
        <v>0.119279466</v>
      </c>
      <c r="HI762" s="323">
        <f t="shared" si="984"/>
        <v>1.1183858980000001</v>
      </c>
      <c r="HJ762" s="323">
        <f t="shared" si="984"/>
        <v>4.5482525000000003E-2</v>
      </c>
      <c r="HK762" s="323">
        <f t="shared" si="984"/>
        <v>0</v>
      </c>
      <c r="HL762" s="323">
        <f t="shared" si="984"/>
        <v>0.98615932900000003</v>
      </c>
      <c r="HM762" s="323">
        <f t="shared" si="984"/>
        <v>6.2177911000000002E-2</v>
      </c>
      <c r="HN762" s="323">
        <f t="shared" si="984"/>
        <v>0.14595480199999999</v>
      </c>
      <c r="HO762" s="323">
        <f t="shared" si="984"/>
        <v>1.1958544520000001</v>
      </c>
      <c r="HP762" s="323">
        <f t="shared" si="984"/>
        <v>9.6487048000000006E-2</v>
      </c>
      <c r="HQ762" s="323">
        <f t="shared" si="984"/>
        <v>2.6932610999999999E-2</v>
      </c>
      <c r="HR762" s="323">
        <f t="shared" si="984"/>
        <v>0.98008536700000004</v>
      </c>
      <c r="HS762" s="323">
        <f t="shared" ref="HS762:HX762" si="985">HS359</f>
        <v>0.118243002</v>
      </c>
      <c r="HT762" s="323">
        <f t="shared" si="985"/>
        <v>0.14601871899999999</v>
      </c>
      <c r="HU762" s="323">
        <f t="shared" si="985"/>
        <v>1.179907421</v>
      </c>
      <c r="HV762" s="323">
        <f t="shared" si="985"/>
        <v>4.7485649999999997E-2</v>
      </c>
      <c r="HW762" s="323">
        <f t="shared" si="985"/>
        <v>6.3127396000000002E-2</v>
      </c>
      <c r="HX762" s="323">
        <f t="shared" si="985"/>
        <v>0.96315319600000004</v>
      </c>
      <c r="HY762" s="323"/>
      <c r="HZ762" s="326"/>
      <c r="IA762" s="1232" t="s">
        <v>466</v>
      </c>
      <c r="IB762" s="284">
        <f>SUM(CE762:CJ762)</f>
        <v>1.1300893169999999</v>
      </c>
      <c r="IC762" s="279">
        <f>SUM(CK762:CP762)</f>
        <v>0.57035348699999999</v>
      </c>
      <c r="ID762" s="323">
        <f t="shared" si="907"/>
        <v>1.7004428039999999</v>
      </c>
      <c r="IE762" s="279">
        <f>SUM(CQ762:CV762)</f>
        <v>1.1644285320000001</v>
      </c>
      <c r="IF762" s="279">
        <f>SUM(CW762:DB762)</f>
        <v>1.6145798980000001</v>
      </c>
      <c r="IG762" s="323">
        <f t="shared" si="880"/>
        <v>2.7790084300000002</v>
      </c>
      <c r="IH762" s="284">
        <f>SUM(DC762:DH762)</f>
        <v>1.3643672934496576</v>
      </c>
      <c r="II762" s="279">
        <f>SUM(DI762:DN762)</f>
        <v>1.8876864233384503</v>
      </c>
      <c r="IJ762" s="323">
        <f t="shared" si="881"/>
        <v>3.2520537167881081</v>
      </c>
      <c r="IK762" s="327">
        <f>SUM(DO762:DT762)</f>
        <v>0</v>
      </c>
      <c r="IL762" s="279">
        <f>SUM(DU762:DZ762)</f>
        <v>0</v>
      </c>
      <c r="IM762" s="323">
        <f t="shared" si="882"/>
        <v>0</v>
      </c>
      <c r="IN762" s="279">
        <f>SUM(EA762:EF762)</f>
        <v>0</v>
      </c>
      <c r="IO762" s="279">
        <f>SUM(EG762:EL762)</f>
        <v>0</v>
      </c>
      <c r="IP762" s="323">
        <f t="shared" si="883"/>
        <v>0</v>
      </c>
      <c r="IQ762" s="327">
        <f>SUM(EM762:ER762)</f>
        <v>42.422699351750005</v>
      </c>
      <c r="IR762" s="327">
        <f>SUM(ES762:EX762)</f>
        <v>60.853101024758573</v>
      </c>
      <c r="IS762" s="323">
        <f t="shared" si="884"/>
        <v>103.27580037650858</v>
      </c>
      <c r="IT762" s="327">
        <f>SUM(EY762:FD762)</f>
        <v>0.34216402300000004</v>
      </c>
      <c r="IU762" s="327">
        <f>SUM(FE762:FJ762)</f>
        <v>4.1777579999999993E-3</v>
      </c>
      <c r="IV762" s="323">
        <f t="shared" si="885"/>
        <v>0.34634178100000002</v>
      </c>
      <c r="IW762" s="327">
        <f t="shared" si="867"/>
        <v>2.2236248079642995</v>
      </c>
      <c r="IX762" s="327">
        <f t="shared" si="868"/>
        <v>1.7314588314843475</v>
      </c>
      <c r="IY762" s="323">
        <f>IW762+IX762</f>
        <v>3.955083639448647</v>
      </c>
      <c r="IZ762" s="327">
        <f t="shared" si="869"/>
        <v>4.5656909072017093</v>
      </c>
      <c r="JA762" s="327">
        <f t="shared" si="870"/>
        <v>2.2889285570832776</v>
      </c>
      <c r="JB762" s="323">
        <f t="shared" si="887"/>
        <v>6.8546194642849869</v>
      </c>
      <c r="JC762" s="327">
        <f t="shared" si="871"/>
        <v>1.1957876994019594</v>
      </c>
      <c r="JD762" s="327">
        <f t="shared" si="872"/>
        <v>3.2101281876050058</v>
      </c>
      <c r="JE762" s="323">
        <f t="shared" si="888"/>
        <v>4.405915887006965</v>
      </c>
      <c r="JF762" s="327">
        <f t="shared" si="908"/>
        <v>2.302801557</v>
      </c>
      <c r="JG762" s="327">
        <f t="shared" si="918"/>
        <v>2.3151211700000003</v>
      </c>
      <c r="JH762" s="323">
        <f t="shared" si="889"/>
        <v>4.6179227269999998</v>
      </c>
      <c r="JI762" s="327">
        <f t="shared" si="909"/>
        <v>2.2693072180000002</v>
      </c>
      <c r="JJ762" s="327">
        <f t="shared" si="910"/>
        <v>2.5074921909999999</v>
      </c>
      <c r="JK762" s="323">
        <f t="shared" si="890"/>
        <v>4.7767994090000006</v>
      </c>
      <c r="JL762" s="327">
        <f t="shared" si="891"/>
        <v>2.5179353840000003</v>
      </c>
      <c r="JM762" s="279">
        <f t="shared" si="892"/>
        <v>-2.5179353840000003</v>
      </c>
      <c r="JN762" s="323">
        <f>FISC!AK1068</f>
        <v>0</v>
      </c>
      <c r="JO762" s="327">
        <f t="shared" ref="JO762:JO792" si="986">JQ762*0.48</f>
        <v>0</v>
      </c>
      <c r="JP762" s="279">
        <f t="shared" si="893"/>
        <v>0</v>
      </c>
      <c r="JQ762" s="323">
        <f>FISC!AL1068</f>
        <v>0</v>
      </c>
      <c r="JR762" s="327">
        <f t="shared" si="919"/>
        <v>0</v>
      </c>
      <c r="JS762" s="279">
        <f t="shared" si="894"/>
        <v>0</v>
      </c>
      <c r="JT762" s="323">
        <f>FISC!AM1068</f>
        <v>0</v>
      </c>
      <c r="JU762" s="327">
        <f t="shared" si="920"/>
        <v>0</v>
      </c>
      <c r="JV762" s="279">
        <f t="shared" si="911"/>
        <v>0</v>
      </c>
      <c r="JW762" s="323">
        <f>FISC!AN1068</f>
        <v>0</v>
      </c>
      <c r="JX762" s="327">
        <f t="shared" si="921"/>
        <v>0</v>
      </c>
      <c r="JY762" s="279">
        <f t="shared" si="895"/>
        <v>0</v>
      </c>
      <c r="JZ762" s="323">
        <f>FISC!AO1068</f>
        <v>0</v>
      </c>
      <c r="KA762" s="327">
        <f t="shared" si="966"/>
        <v>0</v>
      </c>
      <c r="KB762" s="279">
        <f t="shared" si="967"/>
        <v>0</v>
      </c>
      <c r="KC762" s="323">
        <f>FISC!AP1068</f>
        <v>0</v>
      </c>
      <c r="KD762" s="327">
        <f t="shared" si="968"/>
        <v>0</v>
      </c>
      <c r="KE762" s="279">
        <f t="shared" si="969"/>
        <v>0</v>
      </c>
      <c r="KF762" s="323">
        <f>FISC!AQ1068</f>
        <v>0</v>
      </c>
      <c r="KG762" s="327">
        <f t="shared" si="970"/>
        <v>0</v>
      </c>
      <c r="KH762" s="279">
        <f t="shared" si="971"/>
        <v>0</v>
      </c>
      <c r="KI762" s="323">
        <f>FISC!AR1068</f>
        <v>0</v>
      </c>
      <c r="KJ762" s="327">
        <f t="shared" si="972"/>
        <v>0</v>
      </c>
      <c r="KK762" s="279">
        <f t="shared" si="973"/>
        <v>0</v>
      </c>
      <c r="KL762" s="323">
        <f>FISC!AS1068</f>
        <v>0</v>
      </c>
      <c r="KM762" s="327">
        <f t="shared" si="974"/>
        <v>0</v>
      </c>
      <c r="KN762" s="279">
        <f t="shared" si="975"/>
        <v>0</v>
      </c>
      <c r="KO762" s="323">
        <f>FISC!AT1068</f>
        <v>0</v>
      </c>
      <c r="KU762" s="326"/>
      <c r="KV762" s="327"/>
    </row>
    <row r="763" spans="1:314">
      <c r="A763" s="279"/>
      <c r="B763" s="96" t="s">
        <v>338</v>
      </c>
      <c r="D763" s="332" t="s">
        <v>467</v>
      </c>
      <c r="E763" s="323"/>
      <c r="F763" s="323"/>
      <c r="G763" s="323"/>
      <c r="H763" s="323"/>
      <c r="I763" s="323"/>
      <c r="J763" s="323"/>
      <c r="K763" s="323"/>
      <c r="L763" s="323"/>
      <c r="M763" s="323"/>
      <c r="N763" s="323"/>
      <c r="O763" s="323"/>
      <c r="P763" s="323"/>
      <c r="Q763" s="323"/>
      <c r="R763" s="323"/>
      <c r="S763" s="323"/>
      <c r="T763" s="323"/>
      <c r="U763" s="323"/>
      <c r="V763" s="323"/>
      <c r="W763" s="323"/>
      <c r="X763" s="323"/>
      <c r="Y763" s="323"/>
      <c r="Z763" s="323"/>
      <c r="AA763" s="323"/>
      <c r="AB763" s="323"/>
      <c r="AC763" s="323"/>
      <c r="AD763" s="323"/>
      <c r="AE763" s="323"/>
      <c r="AF763" s="323"/>
      <c r="AG763" s="323"/>
      <c r="AH763" s="323"/>
      <c r="AI763" s="323"/>
      <c r="AJ763" s="323"/>
      <c r="AK763" s="323"/>
      <c r="AL763" s="323"/>
      <c r="AM763" s="323"/>
      <c r="AN763" s="323"/>
      <c r="AO763" s="323">
        <v>0</v>
      </c>
      <c r="AP763" s="323">
        <v>0</v>
      </c>
      <c r="AQ763" s="323">
        <v>0</v>
      </c>
      <c r="AR763" s="323">
        <v>0</v>
      </c>
      <c r="AS763" s="323">
        <v>0</v>
      </c>
      <c r="AT763" s="323">
        <v>0</v>
      </c>
      <c r="AU763" s="323">
        <v>0</v>
      </c>
      <c r="AV763" s="323">
        <v>0</v>
      </c>
      <c r="AW763" s="323">
        <v>0</v>
      </c>
      <c r="AX763" s="323">
        <v>0</v>
      </c>
      <c r="AY763" s="323">
        <v>0</v>
      </c>
      <c r="AZ763" s="323">
        <v>0</v>
      </c>
      <c r="BA763" s="323">
        <v>0</v>
      </c>
      <c r="BB763" s="323">
        <v>0</v>
      </c>
      <c r="BC763" s="323">
        <v>0</v>
      </c>
      <c r="BD763" s="323">
        <v>0</v>
      </c>
      <c r="BE763" s="323">
        <v>0</v>
      </c>
      <c r="BF763" s="323">
        <v>0</v>
      </c>
      <c r="BG763" s="323">
        <v>0</v>
      </c>
      <c r="BH763" s="323">
        <v>0</v>
      </c>
      <c r="BI763" s="323">
        <v>0</v>
      </c>
      <c r="BJ763" s="323">
        <v>0</v>
      </c>
      <c r="BK763" s="323">
        <v>0</v>
      </c>
      <c r="BL763" s="323">
        <v>0</v>
      </c>
      <c r="BM763" s="323">
        <v>0</v>
      </c>
      <c r="BN763" s="323">
        <v>0</v>
      </c>
      <c r="BO763" s="323">
        <v>0</v>
      </c>
      <c r="BP763" s="323">
        <v>0</v>
      </c>
      <c r="BQ763" s="323">
        <v>0</v>
      </c>
      <c r="BR763" s="323">
        <v>0</v>
      </c>
      <c r="BS763" s="323">
        <v>0</v>
      </c>
      <c r="BT763" s="323">
        <v>0</v>
      </c>
      <c r="BU763" s="323">
        <v>0</v>
      </c>
      <c r="BV763" s="323">
        <v>0</v>
      </c>
      <c r="BW763" s="323">
        <v>0</v>
      </c>
      <c r="BX763" s="323">
        <v>0</v>
      </c>
      <c r="BY763" s="323">
        <v>0</v>
      </c>
      <c r="BZ763" s="323">
        <v>0</v>
      </c>
      <c r="CA763" s="323">
        <v>0</v>
      </c>
      <c r="CB763" s="323">
        <v>0</v>
      </c>
      <c r="CC763" s="323">
        <v>0</v>
      </c>
      <c r="CD763" s="329">
        <f>CD360</f>
        <v>0</v>
      </c>
      <c r="CE763" s="323">
        <f t="shared" ref="CE763:DJ763" si="987">CE360</f>
        <v>0</v>
      </c>
      <c r="CF763" s="323">
        <f t="shared" si="987"/>
        <v>0</v>
      </c>
      <c r="CG763" s="323">
        <f t="shared" si="987"/>
        <v>0</v>
      </c>
      <c r="CH763" s="323">
        <f t="shared" si="987"/>
        <v>0</v>
      </c>
      <c r="CI763" s="323">
        <f t="shared" si="987"/>
        <v>0</v>
      </c>
      <c r="CJ763" s="323">
        <f t="shared" si="987"/>
        <v>0</v>
      </c>
      <c r="CK763" s="323">
        <f t="shared" si="987"/>
        <v>0</v>
      </c>
      <c r="CL763" s="323">
        <f t="shared" si="987"/>
        <v>0</v>
      </c>
      <c r="CM763" s="323">
        <f t="shared" si="987"/>
        <v>0</v>
      </c>
      <c r="CN763" s="323">
        <f t="shared" si="987"/>
        <v>0</v>
      </c>
      <c r="CO763" s="323">
        <f t="shared" si="987"/>
        <v>0</v>
      </c>
      <c r="CP763" s="325">
        <f t="shared" si="987"/>
        <v>0</v>
      </c>
      <c r="CQ763" s="323">
        <f t="shared" si="987"/>
        <v>0</v>
      </c>
      <c r="CR763" s="323">
        <f t="shared" si="987"/>
        <v>0</v>
      </c>
      <c r="CS763" s="323">
        <f t="shared" si="987"/>
        <v>0</v>
      </c>
      <c r="CT763" s="323">
        <f t="shared" si="987"/>
        <v>0</v>
      </c>
      <c r="CU763" s="323">
        <f t="shared" si="987"/>
        <v>0</v>
      </c>
      <c r="CV763" s="323">
        <f t="shared" si="987"/>
        <v>0</v>
      </c>
      <c r="CW763" s="323">
        <f t="shared" si="987"/>
        <v>0</v>
      </c>
      <c r="CX763" s="323">
        <f t="shared" si="987"/>
        <v>0</v>
      </c>
      <c r="CY763" s="323">
        <f t="shared" si="987"/>
        <v>0</v>
      </c>
      <c r="CZ763" s="323">
        <f t="shared" si="987"/>
        <v>0</v>
      </c>
      <c r="DA763" s="323">
        <f t="shared" si="987"/>
        <v>0</v>
      </c>
      <c r="DB763" s="1269">
        <f t="shared" si="987"/>
        <v>0</v>
      </c>
      <c r="DC763" s="323">
        <f t="shared" si="987"/>
        <v>0</v>
      </c>
      <c r="DD763" s="323">
        <f t="shared" si="987"/>
        <v>0</v>
      </c>
      <c r="DE763" s="323">
        <f t="shared" si="987"/>
        <v>0</v>
      </c>
      <c r="DF763" s="323">
        <f t="shared" si="987"/>
        <v>0</v>
      </c>
      <c r="DG763" s="323">
        <f t="shared" si="987"/>
        <v>0</v>
      </c>
      <c r="DH763" s="323">
        <f t="shared" si="987"/>
        <v>0</v>
      </c>
      <c r="DI763" s="323">
        <f t="shared" si="987"/>
        <v>0</v>
      </c>
      <c r="DJ763" s="323">
        <f t="shared" si="987"/>
        <v>0</v>
      </c>
      <c r="DK763" s="323">
        <f t="shared" ref="DK763:EP763" si="988">DK360</f>
        <v>0</v>
      </c>
      <c r="DL763" s="323">
        <f t="shared" si="988"/>
        <v>0</v>
      </c>
      <c r="DM763" s="323">
        <f t="shared" si="988"/>
        <v>0</v>
      </c>
      <c r="DN763" s="325">
        <f t="shared" si="988"/>
        <v>0</v>
      </c>
      <c r="DO763" s="323">
        <f t="shared" si="988"/>
        <v>0</v>
      </c>
      <c r="DP763" s="323">
        <f t="shared" si="988"/>
        <v>0</v>
      </c>
      <c r="DQ763" s="323">
        <f t="shared" si="988"/>
        <v>0</v>
      </c>
      <c r="DR763" s="323">
        <f t="shared" si="988"/>
        <v>0</v>
      </c>
      <c r="DS763" s="323">
        <f t="shared" si="988"/>
        <v>0</v>
      </c>
      <c r="DT763" s="323">
        <f t="shared" si="988"/>
        <v>0</v>
      </c>
      <c r="DU763" s="323">
        <f t="shared" si="988"/>
        <v>0</v>
      </c>
      <c r="DV763" s="323">
        <f t="shared" si="988"/>
        <v>0</v>
      </c>
      <c r="DW763" s="323">
        <f t="shared" si="988"/>
        <v>0</v>
      </c>
      <c r="DX763" s="323">
        <f t="shared" si="988"/>
        <v>0</v>
      </c>
      <c r="DY763" s="323">
        <f t="shared" si="988"/>
        <v>0</v>
      </c>
      <c r="DZ763" s="325">
        <f t="shared" si="988"/>
        <v>0</v>
      </c>
      <c r="EA763" s="323">
        <f t="shared" si="988"/>
        <v>0</v>
      </c>
      <c r="EB763" s="323">
        <f t="shared" si="988"/>
        <v>0</v>
      </c>
      <c r="EC763" s="323">
        <f t="shared" si="988"/>
        <v>0</v>
      </c>
      <c r="ED763" s="323">
        <f t="shared" si="988"/>
        <v>0</v>
      </c>
      <c r="EE763" s="323">
        <f t="shared" si="988"/>
        <v>0</v>
      </c>
      <c r="EF763" s="323">
        <f t="shared" si="988"/>
        <v>0</v>
      </c>
      <c r="EG763" s="323">
        <f t="shared" si="988"/>
        <v>0</v>
      </c>
      <c r="EH763" s="323">
        <f t="shared" si="988"/>
        <v>0</v>
      </c>
      <c r="EI763" s="323">
        <f t="shared" si="988"/>
        <v>0</v>
      </c>
      <c r="EJ763" s="323">
        <f t="shared" si="988"/>
        <v>0</v>
      </c>
      <c r="EK763" s="323">
        <f t="shared" si="988"/>
        <v>0</v>
      </c>
      <c r="EL763" s="325">
        <f t="shared" si="988"/>
        <v>0</v>
      </c>
      <c r="EM763" s="323">
        <f t="shared" si="988"/>
        <v>0</v>
      </c>
      <c r="EN763" s="323">
        <f t="shared" si="988"/>
        <v>0</v>
      </c>
      <c r="EO763" s="323">
        <f t="shared" si="988"/>
        <v>0</v>
      </c>
      <c r="EP763" s="323">
        <f t="shared" si="988"/>
        <v>0</v>
      </c>
      <c r="EQ763" s="323">
        <f t="shared" ref="EQ763:FV763" si="989">EQ360</f>
        <v>0</v>
      </c>
      <c r="ER763" s="323">
        <f t="shared" si="989"/>
        <v>0</v>
      </c>
      <c r="ES763" s="323">
        <f t="shared" si="989"/>
        <v>0</v>
      </c>
      <c r="ET763" s="323">
        <f t="shared" si="989"/>
        <v>0</v>
      </c>
      <c r="EU763" s="323">
        <f t="shared" si="989"/>
        <v>0</v>
      </c>
      <c r="EV763" s="323">
        <f t="shared" si="989"/>
        <v>0</v>
      </c>
      <c r="EW763" s="323">
        <f t="shared" si="989"/>
        <v>0</v>
      </c>
      <c r="EX763" s="325">
        <f t="shared" si="989"/>
        <v>0</v>
      </c>
      <c r="EY763" s="323">
        <f t="shared" si="989"/>
        <v>0</v>
      </c>
      <c r="EZ763" s="323">
        <f t="shared" si="989"/>
        <v>0</v>
      </c>
      <c r="FA763" s="323">
        <f t="shared" si="989"/>
        <v>0</v>
      </c>
      <c r="FB763" s="323">
        <f t="shared" si="989"/>
        <v>0</v>
      </c>
      <c r="FC763" s="323">
        <f t="shared" si="989"/>
        <v>0</v>
      </c>
      <c r="FD763" s="323">
        <f t="shared" si="989"/>
        <v>0</v>
      </c>
      <c r="FE763" s="323">
        <f t="shared" si="989"/>
        <v>0</v>
      </c>
      <c r="FF763" s="323">
        <f t="shared" si="989"/>
        <v>0</v>
      </c>
      <c r="FG763" s="323">
        <f t="shared" si="989"/>
        <v>0</v>
      </c>
      <c r="FH763" s="323">
        <f t="shared" si="989"/>
        <v>0</v>
      </c>
      <c r="FI763" s="323">
        <f t="shared" si="989"/>
        <v>0</v>
      </c>
      <c r="FJ763" s="325">
        <f t="shared" si="989"/>
        <v>0</v>
      </c>
      <c r="FK763" s="323">
        <f t="shared" si="989"/>
        <v>0</v>
      </c>
      <c r="FL763" s="323">
        <f t="shared" si="989"/>
        <v>0</v>
      </c>
      <c r="FM763" s="323">
        <f t="shared" si="989"/>
        <v>0</v>
      </c>
      <c r="FN763" s="323">
        <f t="shared" si="989"/>
        <v>0</v>
      </c>
      <c r="FO763" s="323">
        <f t="shared" si="989"/>
        <v>0</v>
      </c>
      <c r="FP763" s="323">
        <f t="shared" si="989"/>
        <v>0</v>
      </c>
      <c r="FQ763" s="323">
        <f t="shared" si="989"/>
        <v>0</v>
      </c>
      <c r="FR763" s="323">
        <f t="shared" si="989"/>
        <v>0</v>
      </c>
      <c r="FS763" s="323">
        <f t="shared" si="989"/>
        <v>0</v>
      </c>
      <c r="FT763" s="323">
        <f t="shared" si="989"/>
        <v>0</v>
      </c>
      <c r="FU763" s="323">
        <f t="shared" si="989"/>
        <v>0</v>
      </c>
      <c r="FV763" s="323">
        <f t="shared" si="989"/>
        <v>0</v>
      </c>
      <c r="FW763" s="323">
        <v>0</v>
      </c>
      <c r="FX763" s="323">
        <v>0</v>
      </c>
      <c r="FY763" s="323">
        <v>0</v>
      </c>
      <c r="FZ763" s="323">
        <v>0</v>
      </c>
      <c r="GA763" s="323">
        <v>0</v>
      </c>
      <c r="GB763" s="323">
        <v>0</v>
      </c>
      <c r="GC763" s="323">
        <v>0</v>
      </c>
      <c r="GD763" s="323">
        <v>0</v>
      </c>
      <c r="GE763" s="323">
        <v>0</v>
      </c>
      <c r="GF763" s="323">
        <v>0</v>
      </c>
      <c r="GG763" s="323">
        <v>0</v>
      </c>
      <c r="GH763" s="323">
        <v>0</v>
      </c>
      <c r="GI763" s="323">
        <f t="shared" ref="GI763:HR763" si="990">GI360</f>
        <v>0</v>
      </c>
      <c r="GJ763" s="323">
        <f t="shared" si="990"/>
        <v>0</v>
      </c>
      <c r="GK763" s="323">
        <f t="shared" si="990"/>
        <v>0</v>
      </c>
      <c r="GL763" s="323">
        <f t="shared" si="990"/>
        <v>0</v>
      </c>
      <c r="GM763" s="323">
        <f t="shared" si="990"/>
        <v>0</v>
      </c>
      <c r="GN763" s="323">
        <f t="shared" si="990"/>
        <v>0</v>
      </c>
      <c r="GO763" s="323">
        <f t="shared" si="990"/>
        <v>0</v>
      </c>
      <c r="GP763" s="323">
        <f t="shared" si="990"/>
        <v>0</v>
      </c>
      <c r="GQ763" s="323">
        <f t="shared" si="990"/>
        <v>0</v>
      </c>
      <c r="GR763" s="323">
        <f t="shared" si="990"/>
        <v>0</v>
      </c>
      <c r="GS763" s="323">
        <f t="shared" si="990"/>
        <v>0</v>
      </c>
      <c r="GT763" s="323">
        <f t="shared" si="990"/>
        <v>0</v>
      </c>
      <c r="GU763" s="323">
        <f t="shared" si="990"/>
        <v>0</v>
      </c>
      <c r="GV763" s="323">
        <f t="shared" si="990"/>
        <v>0</v>
      </c>
      <c r="GW763" s="323">
        <f t="shared" si="990"/>
        <v>0</v>
      </c>
      <c r="GX763" s="323">
        <f t="shared" si="990"/>
        <v>0</v>
      </c>
      <c r="GY763" s="323">
        <f t="shared" si="990"/>
        <v>0</v>
      </c>
      <c r="GZ763" s="323">
        <f t="shared" si="990"/>
        <v>0</v>
      </c>
      <c r="HA763" s="323">
        <f t="shared" si="990"/>
        <v>0</v>
      </c>
      <c r="HB763" s="323">
        <f t="shared" si="990"/>
        <v>0</v>
      </c>
      <c r="HC763" s="323">
        <f t="shared" si="990"/>
        <v>0</v>
      </c>
      <c r="HD763" s="323">
        <f t="shared" si="990"/>
        <v>0</v>
      </c>
      <c r="HE763" s="323">
        <f t="shared" si="990"/>
        <v>0</v>
      </c>
      <c r="HF763" s="323">
        <f t="shared" si="990"/>
        <v>0</v>
      </c>
      <c r="HG763" s="323">
        <f t="shared" si="990"/>
        <v>0</v>
      </c>
      <c r="HH763" s="323">
        <f t="shared" si="990"/>
        <v>0</v>
      </c>
      <c r="HI763" s="323">
        <f t="shared" si="990"/>
        <v>0</v>
      </c>
      <c r="HJ763" s="323">
        <f t="shared" si="990"/>
        <v>0</v>
      </c>
      <c r="HK763" s="323">
        <f t="shared" si="990"/>
        <v>0</v>
      </c>
      <c r="HL763" s="323">
        <f t="shared" si="990"/>
        <v>0</v>
      </c>
      <c r="HM763" s="323">
        <f t="shared" si="990"/>
        <v>0</v>
      </c>
      <c r="HN763" s="323">
        <f t="shared" si="990"/>
        <v>0</v>
      </c>
      <c r="HO763" s="323">
        <f t="shared" si="990"/>
        <v>0</v>
      </c>
      <c r="HP763" s="323">
        <f t="shared" si="990"/>
        <v>0</v>
      </c>
      <c r="HQ763" s="323">
        <f t="shared" si="990"/>
        <v>0</v>
      </c>
      <c r="HR763" s="323">
        <f t="shared" si="990"/>
        <v>0</v>
      </c>
      <c r="HS763" s="323">
        <f t="shared" ref="HS763:HX763" si="991">HS360</f>
        <v>0</v>
      </c>
      <c r="HT763" s="323">
        <f t="shared" si="991"/>
        <v>0</v>
      </c>
      <c r="HU763" s="323">
        <f t="shared" si="991"/>
        <v>0</v>
      </c>
      <c r="HV763" s="323">
        <f t="shared" si="991"/>
        <v>0</v>
      </c>
      <c r="HW763" s="323">
        <f t="shared" si="991"/>
        <v>0</v>
      </c>
      <c r="HX763" s="323">
        <f t="shared" si="991"/>
        <v>0</v>
      </c>
      <c r="HY763" s="323"/>
      <c r="HZ763" s="326"/>
      <c r="IA763" s="332" t="s">
        <v>467</v>
      </c>
      <c r="IB763" s="284">
        <f>SUM(CE763:CJ763)</f>
        <v>0</v>
      </c>
      <c r="IC763" s="279">
        <f>SUM(CK763:CP763)</f>
        <v>0</v>
      </c>
      <c r="ID763" s="323">
        <f t="shared" si="907"/>
        <v>0</v>
      </c>
      <c r="IE763" s="279">
        <f>SUM(CQ763:CV763)</f>
        <v>0</v>
      </c>
      <c r="IF763" s="279">
        <f>SUM(CW763:DB763)</f>
        <v>0</v>
      </c>
      <c r="IG763" s="323">
        <f t="shared" si="880"/>
        <v>0</v>
      </c>
      <c r="IH763" s="284">
        <f>SUM(DC763:DH763)</f>
        <v>0</v>
      </c>
      <c r="II763" s="279">
        <f>SUM(DI763:DN763)</f>
        <v>0</v>
      </c>
      <c r="IJ763" s="323">
        <f t="shared" si="881"/>
        <v>0</v>
      </c>
      <c r="IK763" s="327">
        <f>SUM(DO763:DT763)</f>
        <v>0</v>
      </c>
      <c r="IL763" s="279">
        <f>SUM(DU763:DZ763)</f>
        <v>0</v>
      </c>
      <c r="IM763" s="323">
        <f t="shared" si="882"/>
        <v>0</v>
      </c>
      <c r="IN763" s="279">
        <f>SUM(EA763:EF763)</f>
        <v>0</v>
      </c>
      <c r="IO763" s="279">
        <f>SUM(EG763:EL763)</f>
        <v>0</v>
      </c>
      <c r="IP763" s="323">
        <f t="shared" si="883"/>
        <v>0</v>
      </c>
      <c r="IQ763" s="327">
        <f>SUM(EM763:ER763)</f>
        <v>0</v>
      </c>
      <c r="IR763" s="327">
        <f>SUM(ES763:EX763)</f>
        <v>0</v>
      </c>
      <c r="IS763" s="323">
        <f t="shared" si="884"/>
        <v>0</v>
      </c>
      <c r="IT763" s="327">
        <f>SUM(EY763:FD763)</f>
        <v>0</v>
      </c>
      <c r="IU763" s="327">
        <f>SUM(FE763:FJ763)</f>
        <v>0</v>
      </c>
      <c r="IV763" s="323">
        <f t="shared" si="885"/>
        <v>0</v>
      </c>
      <c r="IW763" s="327">
        <f t="shared" si="867"/>
        <v>0</v>
      </c>
      <c r="IX763" s="327">
        <f t="shared" si="868"/>
        <v>0</v>
      </c>
      <c r="IY763" s="323">
        <f t="shared" si="886"/>
        <v>0</v>
      </c>
      <c r="IZ763" s="327">
        <f t="shared" si="869"/>
        <v>0</v>
      </c>
      <c r="JA763" s="327">
        <f t="shared" si="870"/>
        <v>0</v>
      </c>
      <c r="JB763" s="323">
        <f t="shared" si="887"/>
        <v>0</v>
      </c>
      <c r="JC763" s="327">
        <f t="shared" si="871"/>
        <v>0</v>
      </c>
      <c r="JD763" s="327">
        <f t="shared" si="872"/>
        <v>0</v>
      </c>
      <c r="JE763" s="323">
        <f t="shared" si="888"/>
        <v>0</v>
      </c>
      <c r="JF763" s="327">
        <f t="shared" si="908"/>
        <v>0</v>
      </c>
      <c r="JG763" s="327">
        <f t="shared" si="918"/>
        <v>0</v>
      </c>
      <c r="JH763" s="323">
        <f t="shared" si="889"/>
        <v>0</v>
      </c>
      <c r="JI763" s="327">
        <f t="shared" si="909"/>
        <v>0</v>
      </c>
      <c r="JJ763" s="327">
        <f t="shared" si="910"/>
        <v>0</v>
      </c>
      <c r="JK763" s="323">
        <f t="shared" si="890"/>
        <v>0</v>
      </c>
      <c r="JL763" s="327">
        <f t="shared" si="891"/>
        <v>0</v>
      </c>
      <c r="JM763" s="279">
        <f t="shared" si="892"/>
        <v>0</v>
      </c>
      <c r="JN763" s="323">
        <f>FISC!AK1069</f>
        <v>0</v>
      </c>
      <c r="JO763" s="327">
        <f t="shared" si="986"/>
        <v>0</v>
      </c>
      <c r="JP763" s="279">
        <f t="shared" si="893"/>
        <v>0</v>
      </c>
      <c r="JQ763" s="323">
        <f>FISC!AL1069</f>
        <v>0</v>
      </c>
      <c r="JR763" s="327">
        <f t="shared" si="919"/>
        <v>0</v>
      </c>
      <c r="JS763" s="279">
        <f t="shared" si="894"/>
        <v>0</v>
      </c>
      <c r="JT763" s="323">
        <f>FISC!AM1069</f>
        <v>0</v>
      </c>
      <c r="JU763" s="327">
        <f t="shared" si="920"/>
        <v>0</v>
      </c>
      <c r="JV763" s="279">
        <f t="shared" si="911"/>
        <v>0</v>
      </c>
      <c r="JW763" s="323">
        <f>FISC!AN1069</f>
        <v>0</v>
      </c>
      <c r="JX763" s="327">
        <f t="shared" si="921"/>
        <v>0</v>
      </c>
      <c r="JY763" s="279">
        <f t="shared" si="895"/>
        <v>0</v>
      </c>
      <c r="JZ763" s="323">
        <f>FISC!AO1069</f>
        <v>0</v>
      </c>
      <c r="KA763" s="327">
        <f t="shared" si="966"/>
        <v>0</v>
      </c>
      <c r="KB763" s="279">
        <f t="shared" si="967"/>
        <v>0</v>
      </c>
      <c r="KC763" s="323">
        <f>FISC!AP1069</f>
        <v>0</v>
      </c>
      <c r="KD763" s="327">
        <f t="shared" si="968"/>
        <v>0</v>
      </c>
      <c r="KE763" s="279">
        <f t="shared" si="969"/>
        <v>0</v>
      </c>
      <c r="KF763" s="323">
        <f>FISC!AQ1069</f>
        <v>0</v>
      </c>
      <c r="KG763" s="327">
        <f t="shared" si="970"/>
        <v>0</v>
      </c>
      <c r="KH763" s="279">
        <f t="shared" si="971"/>
        <v>0</v>
      </c>
      <c r="KI763" s="323">
        <f>FISC!AR1069</f>
        <v>0</v>
      </c>
      <c r="KJ763" s="327">
        <f t="shared" si="972"/>
        <v>0</v>
      </c>
      <c r="KK763" s="279">
        <f t="shared" si="973"/>
        <v>0</v>
      </c>
      <c r="KL763" s="323">
        <f>FISC!AS1069</f>
        <v>0</v>
      </c>
      <c r="KM763" s="327">
        <f t="shared" si="974"/>
        <v>0</v>
      </c>
      <c r="KN763" s="279">
        <f t="shared" si="975"/>
        <v>0</v>
      </c>
      <c r="KO763" s="323">
        <f>FISC!AT1069</f>
        <v>0</v>
      </c>
      <c r="KU763" s="326"/>
      <c r="KV763" s="327"/>
    </row>
    <row r="764" spans="1:314">
      <c r="A764" s="279"/>
      <c r="B764" s="96" t="s">
        <v>338</v>
      </c>
      <c r="D764" s="332" t="s">
        <v>468</v>
      </c>
      <c r="E764" s="323"/>
      <c r="F764" s="323"/>
      <c r="G764" s="323"/>
      <c r="H764" s="323"/>
      <c r="I764" s="323"/>
      <c r="J764" s="323"/>
      <c r="K764" s="323"/>
      <c r="L764" s="323"/>
      <c r="M764" s="323"/>
      <c r="N764" s="323"/>
      <c r="O764" s="323"/>
      <c r="P764" s="323"/>
      <c r="Q764" s="323"/>
      <c r="R764" s="323"/>
      <c r="S764" s="323"/>
      <c r="T764" s="323"/>
      <c r="U764" s="323"/>
      <c r="V764" s="323"/>
      <c r="W764" s="323"/>
      <c r="X764" s="323"/>
      <c r="Y764" s="323"/>
      <c r="Z764" s="323"/>
      <c r="AA764" s="323"/>
      <c r="AB764" s="323"/>
      <c r="AC764" s="323"/>
      <c r="AD764" s="323"/>
      <c r="AE764" s="323"/>
      <c r="AF764" s="323"/>
      <c r="AG764" s="323"/>
      <c r="AH764" s="323"/>
      <c r="AI764" s="323"/>
      <c r="AJ764" s="323"/>
      <c r="AK764" s="323"/>
      <c r="AL764" s="323"/>
      <c r="AM764" s="323"/>
      <c r="AN764" s="323"/>
      <c r="AO764" s="323">
        <v>8.4402745000000001E-2</v>
      </c>
      <c r="AP764" s="323">
        <v>0.187069759</v>
      </c>
      <c r="AQ764" s="323">
        <v>1.3823401900000001</v>
      </c>
      <c r="AR764" s="323">
        <v>8.8997568999999999E-2</v>
      </c>
      <c r="AS764" s="323">
        <v>6.1641644000000002E-2</v>
      </c>
      <c r="AT764" s="323">
        <v>7.2692603999999994E-2</v>
      </c>
      <c r="AU764" s="323">
        <v>0.110697195</v>
      </c>
      <c r="AV764" s="323">
        <v>0.14163873699999999</v>
      </c>
      <c r="AW764" s="323">
        <v>0.103131975</v>
      </c>
      <c r="AX764" s="323">
        <v>0.11593310699999999</v>
      </c>
      <c r="AY764" s="323">
        <v>0.13963562400000001</v>
      </c>
      <c r="AZ764" s="323">
        <v>0.123971713</v>
      </c>
      <c r="BA764" s="323">
        <v>0.113817156</v>
      </c>
      <c r="BB764" s="323">
        <v>0.13302594700000001</v>
      </c>
      <c r="BC764" s="323">
        <v>0.18662024099999999</v>
      </c>
      <c r="BD764" s="323">
        <v>0.14280103</v>
      </c>
      <c r="BE764" s="323">
        <v>0.15873219599999999</v>
      </c>
      <c r="BF764" s="323">
        <v>0.16616415800000001</v>
      </c>
      <c r="BG764" s="323">
        <v>0.176758744</v>
      </c>
      <c r="BH764" s="323">
        <v>0.18562527600000001</v>
      </c>
      <c r="BI764" s="323">
        <v>0.22308377099999999</v>
      </c>
      <c r="BJ764" s="323">
        <v>0.173692611</v>
      </c>
      <c r="BK764" s="323">
        <v>0.24638265400000001</v>
      </c>
      <c r="BL764" s="323">
        <v>0.30154068899999997</v>
      </c>
      <c r="BM764" s="323">
        <v>0.23617663</v>
      </c>
      <c r="BN764" s="323">
        <v>0.287577688</v>
      </c>
      <c r="BO764" s="323">
        <v>0.27419222500000001</v>
      </c>
      <c r="BP764" s="323">
        <v>0.20166695100000001</v>
      </c>
      <c r="BQ764" s="323">
        <v>0.32285817900000002</v>
      </c>
      <c r="BR764" s="323">
        <v>0.25022167400000001</v>
      </c>
      <c r="BS764" s="323">
        <v>0.29819504000000002</v>
      </c>
      <c r="BT764" s="323">
        <v>0.31891999399999998</v>
      </c>
      <c r="BU764" s="323">
        <v>0.29751208200000001</v>
      </c>
      <c r="BV764" s="323">
        <v>0.269698667</v>
      </c>
      <c r="BW764" s="323">
        <v>0.24268320400000001</v>
      </c>
      <c r="BX764" s="323">
        <v>0.205664653</v>
      </c>
      <c r="BY764" s="323">
        <v>0.202000497</v>
      </c>
      <c r="BZ764" s="323">
        <v>0.176542487</v>
      </c>
      <c r="CA764" s="323">
        <v>0.18123900100000001</v>
      </c>
      <c r="CB764" s="323">
        <v>0.15246437600000001</v>
      </c>
      <c r="CC764" s="323">
        <v>0.17018828699999999</v>
      </c>
      <c r="CD764" s="329">
        <f>CD361</f>
        <v>0</v>
      </c>
      <c r="CE764" s="323">
        <f t="shared" ref="CE764:DJ764" si="992">CE361</f>
        <v>0.18629873899999999</v>
      </c>
      <c r="CF764" s="323">
        <f t="shared" si="992"/>
        <v>0.15920899499999999</v>
      </c>
      <c r="CG764" s="323">
        <f t="shared" si="992"/>
        <v>0.178470882</v>
      </c>
      <c r="CH764" s="323">
        <f t="shared" si="992"/>
        <v>0.14890092199999999</v>
      </c>
      <c r="CI764" s="323">
        <f t="shared" si="992"/>
        <v>5.8584415000000001E-2</v>
      </c>
      <c r="CJ764" s="323">
        <f t="shared" si="992"/>
        <v>3.9463314999999999E-2</v>
      </c>
      <c r="CK764" s="323">
        <f t="shared" si="992"/>
        <v>4.5416657000000006E-2</v>
      </c>
      <c r="CL764" s="323">
        <f t="shared" si="992"/>
        <v>3.8194131999999999E-2</v>
      </c>
      <c r="CM764" s="323">
        <f t="shared" si="992"/>
        <v>4.3593558999999997E-2</v>
      </c>
      <c r="CN764" s="323">
        <f t="shared" si="992"/>
        <v>5.3488122999999999E-2</v>
      </c>
      <c r="CO764" s="323">
        <f t="shared" si="992"/>
        <v>4.7626489000000001E-2</v>
      </c>
      <c r="CP764" s="325">
        <f t="shared" si="992"/>
        <v>4.8304062000000002E-2</v>
      </c>
      <c r="CQ764" s="323">
        <f t="shared" si="992"/>
        <v>6.412235899999999E-2</v>
      </c>
      <c r="CR764" s="323">
        <f t="shared" si="992"/>
        <v>0.114669695</v>
      </c>
      <c r="CS764" s="323">
        <f t="shared" si="992"/>
        <v>7.2307892999999998E-2</v>
      </c>
      <c r="CT764" s="323">
        <f t="shared" si="992"/>
        <v>6.9772398999999999E-2</v>
      </c>
      <c r="CU764" s="323">
        <f t="shared" si="992"/>
        <v>5.8702160999999996E-2</v>
      </c>
      <c r="CV764" s="323">
        <f t="shared" si="992"/>
        <v>7.5232731999999997E-2</v>
      </c>
      <c r="CW764" s="323">
        <f t="shared" si="992"/>
        <v>0.120808481</v>
      </c>
      <c r="CX764" s="323">
        <f t="shared" si="992"/>
        <v>0.12825484600000001</v>
      </c>
      <c r="CY764" s="323">
        <f t="shared" si="992"/>
        <v>0.53072420300000001</v>
      </c>
      <c r="CZ764" s="323">
        <f t="shared" si="992"/>
        <v>8.1767031000000004E-2</v>
      </c>
      <c r="DA764" s="323">
        <f t="shared" si="992"/>
        <v>7.9343087000000007E-2</v>
      </c>
      <c r="DB764" s="1269">
        <f t="shared" si="992"/>
        <v>7.8761975000000012E-2</v>
      </c>
      <c r="DC764" s="323">
        <f t="shared" si="992"/>
        <v>5.2479115912306515E-2</v>
      </c>
      <c r="DD764" s="323">
        <f t="shared" si="992"/>
        <v>5.585934207981038E-2</v>
      </c>
      <c r="DE764" s="323">
        <f t="shared" si="992"/>
        <v>5.4293539633636964E-2</v>
      </c>
      <c r="DF764" s="323">
        <f t="shared" si="992"/>
        <v>5.7689530012355966E-2</v>
      </c>
      <c r="DG764" s="323">
        <f t="shared" si="992"/>
        <v>5.2496844027921589E-2</v>
      </c>
      <c r="DH764" s="323">
        <f t="shared" si="992"/>
        <v>6.3531550415572804E-2</v>
      </c>
      <c r="DI764" s="323">
        <f t="shared" si="992"/>
        <v>6.6451509381005192E-2</v>
      </c>
      <c r="DJ764" s="323">
        <f t="shared" si="992"/>
        <v>7.8612076607345538E-2</v>
      </c>
      <c r="DK764" s="323">
        <f t="shared" ref="DK764:EP764" si="993">DK361</f>
        <v>8.6829504111233038E-2</v>
      </c>
      <c r="DL764" s="323">
        <f t="shared" si="993"/>
        <v>6.0433057344616049E-2</v>
      </c>
      <c r="DM764" s="323">
        <f t="shared" si="993"/>
        <v>8.3567027433352675E-2</v>
      </c>
      <c r="DN764" s="325">
        <f t="shared" si="993"/>
        <v>8.6814832929161853E-2</v>
      </c>
      <c r="DO764" s="323">
        <f t="shared" si="993"/>
        <v>5.2048008536990868E-2</v>
      </c>
      <c r="DP764" s="323">
        <f t="shared" si="993"/>
        <v>6.3192970219200617E-2</v>
      </c>
      <c r="DQ764" s="323">
        <f t="shared" si="993"/>
        <v>5.1235985145528594E-2</v>
      </c>
      <c r="DR764" s="323">
        <f t="shared" si="993"/>
        <v>5.4968291556039169E-2</v>
      </c>
      <c r="DS764" s="323">
        <f t="shared" si="993"/>
        <v>5.137729354512878E-2</v>
      </c>
      <c r="DT764" s="323">
        <f t="shared" si="993"/>
        <v>4.793513934449424E-2</v>
      </c>
      <c r="DU764" s="323">
        <f t="shared" si="993"/>
        <v>4.4889627093318708E-2</v>
      </c>
      <c r="DV764" s="323">
        <f t="shared" si="993"/>
        <v>4.096047780590089E-2</v>
      </c>
      <c r="DW764" s="323">
        <f t="shared" si="993"/>
        <v>5.4415358044534401E-2</v>
      </c>
      <c r="DX764" s="323">
        <f t="shared" si="993"/>
        <v>4.5040508734504929E-2</v>
      </c>
      <c r="DY764" s="323">
        <f t="shared" si="993"/>
        <v>5.8503370240740829E-2</v>
      </c>
      <c r="DZ764" s="325">
        <f t="shared" si="993"/>
        <v>4.5218736847096395E-2</v>
      </c>
      <c r="EA764" s="323">
        <f t="shared" si="993"/>
        <v>4.6187208084312524E-11</v>
      </c>
      <c r="EB764" s="323">
        <f t="shared" si="993"/>
        <v>2.3752543848895232E-13</v>
      </c>
      <c r="EC764" s="323">
        <f t="shared" si="993"/>
        <v>7.1074944752443256E-13</v>
      </c>
      <c r="ED764" s="323">
        <f t="shared" si="993"/>
        <v>1.0269602923286729E-12</v>
      </c>
      <c r="EE764" s="323">
        <f t="shared" si="993"/>
        <v>1.7602672137668642E-13</v>
      </c>
      <c r="EF764" s="323">
        <f t="shared" si="993"/>
        <v>3.7982793851907112E-14</v>
      </c>
      <c r="EG764" s="323">
        <f t="shared" si="993"/>
        <v>3.6999291697052164E-13</v>
      </c>
      <c r="EH764" s="323">
        <f t="shared" si="993"/>
        <v>4.1395315342107525E-13</v>
      </c>
      <c r="EI764" s="323">
        <f t="shared" si="993"/>
        <v>1.9518984629729881E-14</v>
      </c>
      <c r="EJ764" s="323">
        <f t="shared" si="993"/>
        <v>2.3367160483534733E-14</v>
      </c>
      <c r="EK764" s="323">
        <f t="shared" si="993"/>
        <v>3.2329481420287986E-13</v>
      </c>
      <c r="EL764" s="325">
        <f t="shared" si="993"/>
        <v>1.2576885197768007E-13</v>
      </c>
      <c r="EM764" s="323">
        <f t="shared" si="993"/>
        <v>0.31462886800000001</v>
      </c>
      <c r="EN764" s="323">
        <f t="shared" si="993"/>
        <v>0.26314551400000002</v>
      </c>
      <c r="EO764" s="323">
        <f t="shared" si="993"/>
        <v>0.19597088800000001</v>
      </c>
      <c r="EP764" s="323">
        <f t="shared" si="993"/>
        <v>0.42047958299999999</v>
      </c>
      <c r="EQ764" s="323">
        <f t="shared" ref="EQ764:FV764" si="994">EQ361</f>
        <v>0.28871655399999996</v>
      </c>
      <c r="ER764" s="323">
        <f t="shared" si="994"/>
        <v>0.36554615699999998</v>
      </c>
      <c r="ES764" s="323">
        <f t="shared" si="994"/>
        <v>5.7465201069999994</v>
      </c>
      <c r="ET764" s="323">
        <f t="shared" si="994"/>
        <v>1.6758930270000001</v>
      </c>
      <c r="EU764" s="323">
        <f t="shared" si="994"/>
        <v>8.2551049469999995</v>
      </c>
      <c r="EV764" s="323">
        <f t="shared" si="994"/>
        <v>1.1324252939999999</v>
      </c>
      <c r="EW764" s="323">
        <f t="shared" si="994"/>
        <v>0.417966685</v>
      </c>
      <c r="EX764" s="325">
        <f t="shared" si="994"/>
        <v>0.29600300600000001</v>
      </c>
      <c r="EY764" s="323">
        <f t="shared" si="994"/>
        <v>0.13675385796064224</v>
      </c>
      <c r="EZ764" s="323">
        <f t="shared" si="994"/>
        <v>0.12289325796064224</v>
      </c>
      <c r="FA764" s="323">
        <f t="shared" si="994"/>
        <v>0.11405155796064226</v>
      </c>
      <c r="FB764" s="323">
        <f t="shared" si="994"/>
        <v>0.12643465796064224</v>
      </c>
      <c r="FC764" s="323">
        <f t="shared" si="994"/>
        <v>9.1595657960642257E-2</v>
      </c>
      <c r="FD764" s="323">
        <f t="shared" si="994"/>
        <v>0.11365493596064224</v>
      </c>
      <c r="FE764" s="323">
        <f t="shared" si="994"/>
        <v>2.3132621980000003</v>
      </c>
      <c r="FF764" s="323">
        <f t="shared" si="994"/>
        <v>1.0497996283451927</v>
      </c>
      <c r="FG764" s="323">
        <f t="shared" si="994"/>
        <v>0.3926634142885797</v>
      </c>
      <c r="FH764" s="323">
        <f t="shared" si="994"/>
        <v>3.1482156432935386E-2</v>
      </c>
      <c r="FI764" s="323">
        <f t="shared" si="994"/>
        <v>5.1159457960642196E-2</v>
      </c>
      <c r="FJ764" s="325">
        <f t="shared" si="994"/>
        <v>9.9127257960642257E-2</v>
      </c>
      <c r="FK764" s="323">
        <f t="shared" si="994"/>
        <v>0.19186235873786217</v>
      </c>
      <c r="FL764" s="323">
        <f t="shared" si="994"/>
        <v>0.17814652940449016</v>
      </c>
      <c r="FM764" s="323">
        <f t="shared" si="994"/>
        <v>0.19429111185764766</v>
      </c>
      <c r="FN764" s="323">
        <f t="shared" si="994"/>
        <v>0.60447863371770583</v>
      </c>
      <c r="FO764" s="323">
        <f t="shared" si="994"/>
        <v>1.1313748986436614</v>
      </c>
      <c r="FP764" s="323">
        <f t="shared" si="994"/>
        <v>4.9729043880747223</v>
      </c>
      <c r="FQ764" s="323">
        <f t="shared" si="994"/>
        <v>1.2099385805736984</v>
      </c>
      <c r="FR764" s="323">
        <f t="shared" si="994"/>
        <v>1.5253308539083281</v>
      </c>
      <c r="FS764" s="323">
        <f t="shared" si="994"/>
        <v>0.93806127107007642</v>
      </c>
      <c r="FT764" s="323">
        <f t="shared" si="994"/>
        <v>2.8349525329767102</v>
      </c>
      <c r="FU764" s="323">
        <f t="shared" si="994"/>
        <v>2.8251612496666665</v>
      </c>
      <c r="FV764" s="323">
        <f t="shared" si="994"/>
        <v>2.8371726206666663</v>
      </c>
      <c r="FW764" s="323">
        <v>0.24644877124376516</v>
      </c>
      <c r="FX764" s="323">
        <v>0.3317705348749202</v>
      </c>
      <c r="FY764" s="323">
        <v>0.39696251388131465</v>
      </c>
      <c r="FZ764" s="323">
        <v>0.31925356978022218</v>
      </c>
      <c r="GA764" s="323">
        <v>0.43582930656576724</v>
      </c>
      <c r="GB764" s="323">
        <v>1.1366922447600967</v>
      </c>
      <c r="GC764" s="323">
        <v>2.6409874914219094</v>
      </c>
      <c r="GD764" s="323">
        <v>3.3194940210999229</v>
      </c>
      <c r="GE764" s="323">
        <v>6.4050373904781734</v>
      </c>
      <c r="GF764" s="323">
        <v>0.45824303886103701</v>
      </c>
      <c r="GG764" s="323">
        <v>0.46508351724164565</v>
      </c>
      <c r="GH764" s="323">
        <v>0.9513114072779546</v>
      </c>
      <c r="GI764" s="323">
        <f t="shared" ref="GI764:GT764" si="995">GI361+GI766</f>
        <v>0.535532966</v>
      </c>
      <c r="GJ764" s="323">
        <f t="shared" si="995"/>
        <v>0.617272602</v>
      </c>
      <c r="GK764" s="323">
        <f t="shared" si="995"/>
        <v>0.56506773300000002</v>
      </c>
      <c r="GL764" s="323">
        <f t="shared" si="995"/>
        <v>0.51085749599999997</v>
      </c>
      <c r="GM764" s="323">
        <f t="shared" si="995"/>
        <v>0.78447113400000001</v>
      </c>
      <c r="GN764" s="323">
        <f t="shared" si="995"/>
        <v>2.4511399699999998</v>
      </c>
      <c r="GO764" s="323">
        <f t="shared" si="995"/>
        <v>12.429249862528994</v>
      </c>
      <c r="GP764" s="323">
        <f t="shared" si="995"/>
        <v>1.2518273639999999</v>
      </c>
      <c r="GQ764" s="323">
        <f t="shared" si="995"/>
        <v>1.0218218615925458</v>
      </c>
      <c r="GR764" s="323">
        <f t="shared" si="995"/>
        <v>0.75219242399999997</v>
      </c>
      <c r="GS764" s="323">
        <f t="shared" si="995"/>
        <v>0.83371969099999998</v>
      </c>
      <c r="GT764" s="323">
        <f t="shared" si="995"/>
        <v>0.8228921119999999</v>
      </c>
      <c r="GU764" s="323">
        <f t="shared" ref="GU764:HR764" si="996">GU361</f>
        <v>0.862514632</v>
      </c>
      <c r="GV764" s="323">
        <f t="shared" si="996"/>
        <v>0.83800620100000001</v>
      </c>
      <c r="GW764" s="323">
        <f t="shared" si="996"/>
        <v>0.82947120099999994</v>
      </c>
      <c r="GX764" s="323">
        <f t="shared" si="996"/>
        <v>0.796244273</v>
      </c>
      <c r="GY764" s="323">
        <f t="shared" si="996"/>
        <v>1.324951711</v>
      </c>
      <c r="GZ764" s="323">
        <f t="shared" si="996"/>
        <v>1.6741196869999999</v>
      </c>
      <c r="HA764" s="323">
        <f t="shared" si="996"/>
        <v>2.5820993919999999</v>
      </c>
      <c r="HB764" s="323">
        <f t="shared" si="996"/>
        <v>12.626771584</v>
      </c>
      <c r="HC764" s="323">
        <f t="shared" si="996"/>
        <v>2.4519682839999999</v>
      </c>
      <c r="HD764" s="323">
        <f t="shared" si="996"/>
        <v>1.8556768720000001</v>
      </c>
      <c r="HE764" s="323">
        <f t="shared" si="996"/>
        <v>2.3537229829999999</v>
      </c>
      <c r="HF764" s="323">
        <f t="shared" si="996"/>
        <v>2.3060767364535009</v>
      </c>
      <c r="HG764" s="323">
        <f t="shared" si="996"/>
        <v>2.2774786219999998</v>
      </c>
      <c r="HH764" s="323">
        <f t="shared" si="996"/>
        <v>2.280518517</v>
      </c>
      <c r="HI764" s="323">
        <f t="shared" si="996"/>
        <v>2.3483697139999999</v>
      </c>
      <c r="HJ764" s="323">
        <f t="shared" si="996"/>
        <v>3.6097776379999997</v>
      </c>
      <c r="HK764" s="323">
        <f t="shared" si="996"/>
        <v>2.7582048410000004</v>
      </c>
      <c r="HL764" s="323">
        <f t="shared" si="996"/>
        <v>13.009195221222221</v>
      </c>
      <c r="HM764" s="323">
        <f t="shared" si="996"/>
        <v>3.95614774</v>
      </c>
      <c r="HN764" s="323">
        <f t="shared" si="996"/>
        <v>2.4384025970000001</v>
      </c>
      <c r="HO764" s="323">
        <f t="shared" si="996"/>
        <v>2.8114051929999997</v>
      </c>
      <c r="HP764" s="323">
        <f t="shared" si="996"/>
        <v>2.899499483</v>
      </c>
      <c r="HQ764" s="323">
        <f t="shared" si="996"/>
        <v>3.520244672</v>
      </c>
      <c r="HR764" s="323">
        <f t="shared" si="996"/>
        <v>4.071464873</v>
      </c>
      <c r="HS764" s="323">
        <f t="shared" ref="HS764:HX764" si="997">HS361</f>
        <v>3.9449709960000003</v>
      </c>
      <c r="HT764" s="323">
        <f t="shared" si="997"/>
        <v>3.8473299919999997</v>
      </c>
      <c r="HU764" s="323">
        <f t="shared" si="997"/>
        <v>4.0483616620000005</v>
      </c>
      <c r="HV764" s="323">
        <f t="shared" si="997"/>
        <v>4.7439608780000002</v>
      </c>
      <c r="HW764" s="323">
        <f t="shared" si="997"/>
        <v>5.4282521060000004</v>
      </c>
      <c r="HX764" s="323">
        <f t="shared" si="997"/>
        <v>20.454266585999999</v>
      </c>
      <c r="HY764" s="323"/>
      <c r="HZ764" s="326"/>
      <c r="IA764" s="332" t="s">
        <v>468</v>
      </c>
      <c r="IB764" s="284">
        <f>SUM(CE764:CJ764)</f>
        <v>0.77092726799999989</v>
      </c>
      <c r="IC764" s="279">
        <f>SUM(CK764:CP764)</f>
        <v>0.276623022</v>
      </c>
      <c r="ID764" s="323">
        <f t="shared" si="907"/>
        <v>1.0475502899999998</v>
      </c>
      <c r="IE764" s="279">
        <f>SUM(CQ764:CV764)</f>
        <v>0.45480723899999997</v>
      </c>
      <c r="IF764" s="279">
        <f>SUM(CW764:DB764)</f>
        <v>1.0196596230000001</v>
      </c>
      <c r="IG764" s="323">
        <f t="shared" si="880"/>
        <v>1.4744668620000001</v>
      </c>
      <c r="IH764" s="284">
        <f>SUM(DC764:DH764)</f>
        <v>0.33634992208160419</v>
      </c>
      <c r="II764" s="279">
        <f>SUM(DI764:DN764)</f>
        <v>0.46270800780671434</v>
      </c>
      <c r="IJ764" s="323">
        <f t="shared" si="881"/>
        <v>0.79905792988831847</v>
      </c>
      <c r="IK764" s="327">
        <f>SUM(DO764:DT764)</f>
        <v>0.32075768834738227</v>
      </c>
      <c r="IL764" s="279">
        <f>SUM(DU764:DZ764)</f>
        <v>0.28902807876609615</v>
      </c>
      <c r="IM764" s="323">
        <f t="shared" si="882"/>
        <v>0.60978576711347843</v>
      </c>
      <c r="IN764" s="279">
        <f>SUM(EA764:EF764)</f>
        <v>4.8376452777883167E-11</v>
      </c>
      <c r="IO764" s="279">
        <f>SUM(EG764:EL764)</f>
        <v>1.2758958816854214E-12</v>
      </c>
      <c r="IP764" s="323">
        <f t="shared" si="883"/>
        <v>4.9652348659568588E-11</v>
      </c>
      <c r="IQ764" s="327">
        <f>SUM(EM764:ER764)</f>
        <v>1.8484875640000002</v>
      </c>
      <c r="IR764" s="327">
        <f>SUM(ES764:EX764)</f>
        <v>17.523913065999999</v>
      </c>
      <c r="IS764" s="323">
        <f t="shared" si="884"/>
        <v>19.372400629999998</v>
      </c>
      <c r="IT764" s="327">
        <f>SUM(EY764:FD764)</f>
        <v>0.70538392576385345</v>
      </c>
      <c r="IU764" s="327">
        <f>SUM(FE764:FJ764)</f>
        <v>3.9374941129879928</v>
      </c>
      <c r="IV764" s="323">
        <f t="shared" si="885"/>
        <v>4.6428780387518458</v>
      </c>
      <c r="IW764" s="327">
        <f t="shared" si="867"/>
        <v>7.2730579204360897</v>
      </c>
      <c r="IX764" s="327">
        <f t="shared" si="868"/>
        <v>12.170617108862146</v>
      </c>
      <c r="IY764" s="323">
        <f t="shared" si="886"/>
        <v>19.443675029298234</v>
      </c>
      <c r="IZ764" s="327">
        <f t="shared" si="869"/>
        <v>2.866956941106086</v>
      </c>
      <c r="JA764" s="327">
        <f t="shared" si="870"/>
        <v>14.240156866380641</v>
      </c>
      <c r="JB764" s="323">
        <f t="shared" si="887"/>
        <v>17.107113807486726</v>
      </c>
      <c r="JC764" s="327">
        <f t="shared" si="871"/>
        <v>5.4643419009999992</v>
      </c>
      <c r="JD764" s="327">
        <f t="shared" si="872"/>
        <v>17.111703315121538</v>
      </c>
      <c r="JE764" s="323">
        <f t="shared" si="888"/>
        <v>22.576045216121535</v>
      </c>
      <c r="JF764" s="327">
        <f t="shared" si="908"/>
        <v>6.3253077050000002</v>
      </c>
      <c r="JG764" s="327">
        <f t="shared" si="918"/>
        <v>24.176315851453502</v>
      </c>
      <c r="JH764" s="323">
        <f t="shared" si="889"/>
        <v>30.501623556453502</v>
      </c>
      <c r="JI764" s="327">
        <f t="shared" si="909"/>
        <v>26.283544553222221</v>
      </c>
      <c r="JJ764" s="327">
        <f t="shared" si="910"/>
        <v>19.697164558000001</v>
      </c>
      <c r="JK764" s="323">
        <f t="shared" si="890"/>
        <v>45.980709111222225</v>
      </c>
      <c r="JL764" s="327">
        <f t="shared" si="891"/>
        <v>42.467142219999999</v>
      </c>
      <c r="JM764" s="279">
        <f t="shared" si="892"/>
        <v>19.686675161728253</v>
      </c>
      <c r="JN764" s="323">
        <f>FISC!AK1070</f>
        <v>62.153817381728253</v>
      </c>
      <c r="JO764" s="327">
        <f>JQ764*0.61</f>
        <v>46.676146199886752</v>
      </c>
      <c r="JP764" s="279">
        <f t="shared" si="893"/>
        <v>29.842126258943985</v>
      </c>
      <c r="JQ764" s="323">
        <f>FISC!AL1070</f>
        <v>76.518272458830737</v>
      </c>
      <c r="JR764" s="327">
        <f t="shared" si="919"/>
        <v>36.627054049680453</v>
      </c>
      <c r="JS764" s="279">
        <f t="shared" si="894"/>
        <v>39.679308553820491</v>
      </c>
      <c r="JT764" s="323">
        <f>FISC!AM1070</f>
        <v>76.306362603500943</v>
      </c>
      <c r="JU764" s="327">
        <f t="shared" si="920"/>
        <v>41.441894374573508</v>
      </c>
      <c r="JV764" s="279">
        <f t="shared" si="911"/>
        <v>44.895385572454643</v>
      </c>
      <c r="JW764" s="323">
        <f>FISC!AN1070</f>
        <v>86.337279947028151</v>
      </c>
      <c r="JX764" s="327">
        <f t="shared" si="921"/>
        <v>46.285552869918597</v>
      </c>
      <c r="JY764" s="279">
        <f t="shared" si="895"/>
        <v>50.142682275745152</v>
      </c>
      <c r="JZ764" s="323">
        <f>FISC!AO1070</f>
        <v>96.428235145663749</v>
      </c>
      <c r="KA764" s="327">
        <f t="shared" si="966"/>
        <v>51.116749021631236</v>
      </c>
      <c r="KB764" s="279">
        <f t="shared" si="967"/>
        <v>55.376478106767181</v>
      </c>
      <c r="KC764" s="323">
        <f>FISC!AP1070</f>
        <v>106.49322712839842</v>
      </c>
      <c r="KD764" s="327">
        <f t="shared" si="968"/>
        <v>57.506675562127334</v>
      </c>
      <c r="KE764" s="279">
        <f t="shared" si="969"/>
        <v>62.298898525637945</v>
      </c>
      <c r="KF764" s="323">
        <f>FISC!AQ1070</f>
        <v>119.80557408776528</v>
      </c>
      <c r="KG764" s="327">
        <f t="shared" si="970"/>
        <v>64.740132779328675</v>
      </c>
      <c r="KH764" s="279">
        <f t="shared" si="971"/>
        <v>70.135143844272747</v>
      </c>
      <c r="KI764" s="323">
        <f>FISC!AR1070</f>
        <v>134.87527662360142</v>
      </c>
      <c r="KJ764" s="327">
        <f t="shared" si="972"/>
        <v>72.660154268035484</v>
      </c>
      <c r="KK764" s="279">
        <f t="shared" si="973"/>
        <v>78.7151671237051</v>
      </c>
      <c r="KL764" s="323">
        <f>FISC!AS1070</f>
        <v>151.37532139174058</v>
      </c>
      <c r="KM764" s="327">
        <f t="shared" si="974"/>
        <v>79.929370651449133</v>
      </c>
      <c r="KN764" s="279">
        <f t="shared" si="975"/>
        <v>86.590151539069907</v>
      </c>
      <c r="KO764" s="323">
        <f>FISC!AT1070</f>
        <v>166.51952219051904</v>
      </c>
      <c r="KU764" s="326"/>
      <c r="KV764" s="327"/>
    </row>
    <row r="765" spans="1:314">
      <c r="A765" s="279"/>
      <c r="D765" s="1232" t="s">
        <v>469</v>
      </c>
      <c r="E765" s="323"/>
      <c r="F765" s="323"/>
      <c r="G765" s="323"/>
      <c r="H765" s="323"/>
      <c r="I765" s="323"/>
      <c r="J765" s="323"/>
      <c r="K765" s="323"/>
      <c r="L765" s="323"/>
      <c r="M765" s="323"/>
      <c r="N765" s="323"/>
      <c r="O765" s="323"/>
      <c r="P765" s="323"/>
      <c r="Q765" s="323"/>
      <c r="R765" s="323"/>
      <c r="S765" s="323"/>
      <c r="T765" s="323"/>
      <c r="U765" s="323"/>
      <c r="V765" s="323"/>
      <c r="W765" s="323"/>
      <c r="X765" s="323"/>
      <c r="Y765" s="323"/>
      <c r="Z765" s="323"/>
      <c r="AA765" s="323"/>
      <c r="AB765" s="323"/>
      <c r="AC765" s="323"/>
      <c r="AD765" s="323"/>
      <c r="AE765" s="323"/>
      <c r="AF765" s="323"/>
      <c r="AG765" s="323"/>
      <c r="AH765" s="323"/>
      <c r="AI765" s="323"/>
      <c r="AJ765" s="323"/>
      <c r="AK765" s="323"/>
      <c r="AL765" s="323"/>
      <c r="AM765" s="323"/>
      <c r="AN765" s="323"/>
      <c r="AO765" s="323"/>
      <c r="AP765" s="323"/>
      <c r="AQ765" s="323"/>
      <c r="AR765" s="323"/>
      <c r="AS765" s="323"/>
      <c r="AT765" s="323"/>
      <c r="AU765" s="323"/>
      <c r="AV765" s="323"/>
      <c r="AW765" s="323"/>
      <c r="AX765" s="323"/>
      <c r="AY765" s="323"/>
      <c r="AZ765" s="323"/>
      <c r="BA765" s="323"/>
      <c r="BB765" s="323"/>
      <c r="BC765" s="323"/>
      <c r="BD765" s="323"/>
      <c r="BE765" s="323"/>
      <c r="BF765" s="323"/>
      <c r="BG765" s="323"/>
      <c r="BH765" s="323"/>
      <c r="BI765" s="323"/>
      <c r="BJ765" s="323"/>
      <c r="BK765" s="323"/>
      <c r="BL765" s="323"/>
      <c r="BM765" s="323"/>
      <c r="BN765" s="323"/>
      <c r="BO765" s="323"/>
      <c r="BP765" s="323"/>
      <c r="BQ765" s="323"/>
      <c r="BR765" s="323"/>
      <c r="BS765" s="323"/>
      <c r="BT765" s="323"/>
      <c r="BU765" s="323"/>
      <c r="BV765" s="323"/>
      <c r="BW765" s="323"/>
      <c r="BX765" s="323"/>
      <c r="BY765" s="323"/>
      <c r="BZ765" s="323"/>
      <c r="CA765" s="323"/>
      <c r="CB765" s="323"/>
      <c r="CC765" s="323"/>
      <c r="CD765" s="329"/>
      <c r="CE765" s="323">
        <f t="shared" ref="CE765:DJ765" si="998">CE362</f>
        <v>0</v>
      </c>
      <c r="CF765" s="323">
        <f t="shared" si="998"/>
        <v>0</v>
      </c>
      <c r="CG765" s="323">
        <f t="shared" si="998"/>
        <v>0</v>
      </c>
      <c r="CH765" s="323">
        <f t="shared" si="998"/>
        <v>0</v>
      </c>
      <c r="CI765" s="323">
        <f t="shared" si="998"/>
        <v>0</v>
      </c>
      <c r="CJ765" s="323">
        <f t="shared" si="998"/>
        <v>7.4999999999999993E-5</v>
      </c>
      <c r="CK765" s="323">
        <f t="shared" si="998"/>
        <v>2.2499999999999999E-4</v>
      </c>
      <c r="CL765" s="323">
        <f t="shared" si="998"/>
        <v>0</v>
      </c>
      <c r="CM765" s="323">
        <f t="shared" si="998"/>
        <v>0</v>
      </c>
      <c r="CN765" s="323">
        <f t="shared" si="998"/>
        <v>0</v>
      </c>
      <c r="CO765" s="323">
        <f t="shared" si="998"/>
        <v>1.1999999999999999E-3</v>
      </c>
      <c r="CP765" s="325">
        <f t="shared" si="998"/>
        <v>0</v>
      </c>
      <c r="CQ765" s="323">
        <f t="shared" si="998"/>
        <v>1.1348087E-2</v>
      </c>
      <c r="CR765" s="323">
        <f t="shared" si="998"/>
        <v>5.8128695000000001E-2</v>
      </c>
      <c r="CS765" s="323">
        <f t="shared" si="998"/>
        <v>1.463251E-2</v>
      </c>
      <c r="CT765" s="323">
        <f t="shared" si="998"/>
        <v>1.2963402000000001E-2</v>
      </c>
      <c r="CU765" s="323">
        <f t="shared" si="998"/>
        <v>1.1737841000000001E-2</v>
      </c>
      <c r="CV765" s="323">
        <f t="shared" si="998"/>
        <v>2.0278507000000001E-2</v>
      </c>
      <c r="CW765" s="323">
        <f t="shared" si="998"/>
        <v>5.9038619000000001E-2</v>
      </c>
      <c r="CX765" s="323">
        <f t="shared" si="998"/>
        <v>6.2166051999999999E-2</v>
      </c>
      <c r="CY765" s="323">
        <f t="shared" si="998"/>
        <v>0.45422262699999999</v>
      </c>
      <c r="CZ765" s="323">
        <f t="shared" si="998"/>
        <v>2.2439537999999998E-2</v>
      </c>
      <c r="DA765" s="323">
        <f t="shared" si="998"/>
        <v>6.7278549999999996E-3</v>
      </c>
      <c r="DB765" s="1269">
        <f t="shared" si="998"/>
        <v>3.5048200000000001E-3</v>
      </c>
      <c r="DC765" s="323">
        <f t="shared" si="998"/>
        <v>0</v>
      </c>
      <c r="DD765" s="323">
        <f t="shared" si="998"/>
        <v>0</v>
      </c>
      <c r="DE765" s="323">
        <f t="shared" si="998"/>
        <v>0</v>
      </c>
      <c r="DF765" s="323">
        <f t="shared" si="998"/>
        <v>0</v>
      </c>
      <c r="DG765" s="323">
        <f t="shared" si="998"/>
        <v>0</v>
      </c>
      <c r="DH765" s="323">
        <f t="shared" si="998"/>
        <v>0</v>
      </c>
      <c r="DI765" s="323">
        <f t="shared" si="998"/>
        <v>0</v>
      </c>
      <c r="DJ765" s="323">
        <f t="shared" si="998"/>
        <v>0</v>
      </c>
      <c r="DK765" s="323">
        <f t="shared" ref="DK765:EP765" si="999">DK362</f>
        <v>2.0425244828881366E-5</v>
      </c>
      <c r="DL765" s="323">
        <f t="shared" si="999"/>
        <v>0</v>
      </c>
      <c r="DM765" s="323">
        <f t="shared" si="999"/>
        <v>2.0498504389785221E-3</v>
      </c>
      <c r="DN765" s="325">
        <f t="shared" si="999"/>
        <v>2.308679506124886E-3</v>
      </c>
      <c r="DO765" s="323">
        <f t="shared" si="999"/>
        <v>0</v>
      </c>
      <c r="DP765" s="323">
        <f t="shared" si="999"/>
        <v>0</v>
      </c>
      <c r="DQ765" s="323">
        <f t="shared" si="999"/>
        <v>0</v>
      </c>
      <c r="DR765" s="323">
        <f t="shared" si="999"/>
        <v>0</v>
      </c>
      <c r="DS765" s="323">
        <f t="shared" si="999"/>
        <v>0</v>
      </c>
      <c r="DT765" s="323">
        <f t="shared" si="999"/>
        <v>0</v>
      </c>
      <c r="DU765" s="323">
        <f t="shared" si="999"/>
        <v>0</v>
      </c>
      <c r="DV765" s="323">
        <f t="shared" si="999"/>
        <v>0</v>
      </c>
      <c r="DW765" s="323">
        <f t="shared" si="999"/>
        <v>0</v>
      </c>
      <c r="DX765" s="323">
        <f t="shared" si="999"/>
        <v>0</v>
      </c>
      <c r="DY765" s="323">
        <f t="shared" si="999"/>
        <v>0</v>
      </c>
      <c r="DZ765" s="325">
        <f t="shared" si="999"/>
        <v>0</v>
      </c>
      <c r="EA765" s="323">
        <f t="shared" si="999"/>
        <v>0</v>
      </c>
      <c r="EB765" s="323">
        <f t="shared" si="999"/>
        <v>0</v>
      </c>
      <c r="EC765" s="323">
        <f t="shared" si="999"/>
        <v>0</v>
      </c>
      <c r="ED765" s="323">
        <f t="shared" si="999"/>
        <v>0</v>
      </c>
      <c r="EE765" s="323">
        <f t="shared" si="999"/>
        <v>0</v>
      </c>
      <c r="EF765" s="323">
        <f t="shared" si="999"/>
        <v>0</v>
      </c>
      <c r="EG765" s="323">
        <f t="shared" si="999"/>
        <v>0</v>
      </c>
      <c r="EH765" s="323">
        <f t="shared" si="999"/>
        <v>0</v>
      </c>
      <c r="EI765" s="323">
        <f t="shared" si="999"/>
        <v>0</v>
      </c>
      <c r="EJ765" s="323">
        <f t="shared" si="999"/>
        <v>0</v>
      </c>
      <c r="EK765" s="323">
        <f t="shared" si="999"/>
        <v>0</v>
      </c>
      <c r="EL765" s="325">
        <f t="shared" si="999"/>
        <v>0</v>
      </c>
      <c r="EM765" s="323">
        <f t="shared" si="999"/>
        <v>0.31447588599999998</v>
      </c>
      <c r="EN765" s="323">
        <f t="shared" si="999"/>
        <v>0.26314551400000002</v>
      </c>
      <c r="EO765" s="323">
        <f t="shared" si="999"/>
        <v>0.19594088800000001</v>
      </c>
      <c r="EP765" s="323">
        <f t="shared" si="999"/>
        <v>0.42045458299999999</v>
      </c>
      <c r="EQ765" s="323">
        <f t="shared" ref="EQ765:FW765" si="1000">EQ362</f>
        <v>0.28763700399999997</v>
      </c>
      <c r="ER765" s="323">
        <f t="shared" si="1000"/>
        <v>0.36551615700000001</v>
      </c>
      <c r="ES765" s="323">
        <f t="shared" si="1000"/>
        <v>5.7445599869999997</v>
      </c>
      <c r="ET765" s="323">
        <f t="shared" si="1000"/>
        <v>1.675767827</v>
      </c>
      <c r="EU765" s="323">
        <f t="shared" si="1000"/>
        <v>8.2551049469999995</v>
      </c>
      <c r="EV765" s="323">
        <f t="shared" si="1000"/>
        <v>1.1323164939999999</v>
      </c>
      <c r="EW765" s="323">
        <f t="shared" si="1000"/>
        <v>0.41788988500000002</v>
      </c>
      <c r="EX765" s="325">
        <f t="shared" si="1000"/>
        <v>0.29598800600000003</v>
      </c>
      <c r="EY765" s="323">
        <f t="shared" si="1000"/>
        <v>3.7694857960642252E-2</v>
      </c>
      <c r="EZ765" s="323">
        <f t="shared" si="1000"/>
        <v>3.7694857960642252E-2</v>
      </c>
      <c r="FA765" s="323">
        <f t="shared" si="1000"/>
        <v>3.7694857960642252E-2</v>
      </c>
      <c r="FB765" s="323">
        <f t="shared" si="1000"/>
        <v>3.7694857960642252E-2</v>
      </c>
      <c r="FC765" s="323">
        <f t="shared" si="1000"/>
        <v>3.7694857960642252E-2</v>
      </c>
      <c r="FD765" s="323">
        <f t="shared" si="1000"/>
        <v>3.7694857960642252E-2</v>
      </c>
      <c r="FE765" s="323">
        <f t="shared" si="1000"/>
        <v>2.2379457980000002</v>
      </c>
      <c r="FF765" s="323">
        <f t="shared" si="1000"/>
        <v>0.9801658523451926</v>
      </c>
      <c r="FG765" s="323">
        <f t="shared" si="1000"/>
        <v>0.33858319528857972</v>
      </c>
      <c r="FH765" s="323">
        <f t="shared" si="1000"/>
        <v>2.5475556432935385E-2</v>
      </c>
      <c r="FI765" s="323">
        <f t="shared" si="1000"/>
        <v>1.7694857960642199E-2</v>
      </c>
      <c r="FJ765" s="325">
        <f t="shared" si="1000"/>
        <v>3.7694857960642252E-2</v>
      </c>
      <c r="FK765" s="323">
        <f t="shared" si="1000"/>
        <v>0.12286875873786218</v>
      </c>
      <c r="FL765" s="323">
        <f t="shared" si="1000"/>
        <v>9.658788840449016E-2</v>
      </c>
      <c r="FM765" s="323">
        <f t="shared" si="1000"/>
        <v>0.12080531185764766</v>
      </c>
      <c r="FN765" s="323">
        <f t="shared" si="1000"/>
        <v>0.51586811290864154</v>
      </c>
      <c r="FO765" s="323">
        <f t="shared" si="1000"/>
        <v>1.0640952540166371</v>
      </c>
      <c r="FP765" s="323">
        <f t="shared" si="1000"/>
        <v>4.8918301880747226</v>
      </c>
      <c r="FQ765" s="323">
        <f t="shared" si="1000"/>
        <v>1.1751401805736985</v>
      </c>
      <c r="FR765" s="323">
        <f t="shared" si="1000"/>
        <v>1.4748745539083281</v>
      </c>
      <c r="FS765" s="323">
        <f t="shared" si="1000"/>
        <v>0.85330137851797383</v>
      </c>
      <c r="FT765" s="323">
        <f t="shared" si="1000"/>
        <v>2.7642761556666664</v>
      </c>
      <c r="FU765" s="323">
        <f t="shared" si="1000"/>
        <v>2.7642761556666664</v>
      </c>
      <c r="FV765" s="323">
        <f t="shared" si="1000"/>
        <v>2.7642761556666664</v>
      </c>
      <c r="FW765" s="323">
        <f t="shared" si="1000"/>
        <v>0.21408797124376516</v>
      </c>
      <c r="FX765" s="323">
        <f t="shared" ref="FX765:HR765" si="1001">FX362</f>
        <v>0.26719040687492018</v>
      </c>
      <c r="FY765" s="323">
        <f t="shared" si="1001"/>
        <v>0.32856051388131463</v>
      </c>
      <c r="FZ765" s="323">
        <f t="shared" si="1001"/>
        <v>0.26030012825631266</v>
      </c>
      <c r="GA765" s="323">
        <f t="shared" si="1001"/>
        <v>0.37548951598359065</v>
      </c>
      <c r="GB765" s="323">
        <f t="shared" si="1001"/>
        <v>1.0525413607600966</v>
      </c>
      <c r="GC765" s="323">
        <f t="shared" si="1001"/>
        <v>2.5698428534219095</v>
      </c>
      <c r="GD765" s="323">
        <f t="shared" si="1001"/>
        <v>3.2253137920999229</v>
      </c>
      <c r="GE765" s="323">
        <f t="shared" si="1001"/>
        <v>6.3113047404781737</v>
      </c>
      <c r="GF765" s="323">
        <f t="shared" si="1001"/>
        <v>0.354981962861037</v>
      </c>
      <c r="GG765" s="323">
        <f t="shared" si="1001"/>
        <v>0.36522439924164563</v>
      </c>
      <c r="GH765" s="323">
        <f t="shared" si="1001"/>
        <v>0.84630933990063029</v>
      </c>
      <c r="GI765" s="323">
        <f t="shared" si="1001"/>
        <v>0.10858707200000001</v>
      </c>
      <c r="GJ765" s="323">
        <f t="shared" si="1001"/>
        <v>0.119905739</v>
      </c>
      <c r="GK765" s="323">
        <f t="shared" si="1001"/>
        <v>0.120840826</v>
      </c>
      <c r="GL765" s="323">
        <f t="shared" si="1001"/>
        <v>0.112895905</v>
      </c>
      <c r="GM765" s="323">
        <f t="shared" si="1001"/>
        <v>0.12686587599999999</v>
      </c>
      <c r="GN765" s="323">
        <f t="shared" si="1001"/>
        <v>0.11214216</v>
      </c>
      <c r="GO765" s="323">
        <f t="shared" si="1001"/>
        <v>0.27268003752899361</v>
      </c>
      <c r="GP765" s="323">
        <f t="shared" si="1001"/>
        <v>0.118543777</v>
      </c>
      <c r="GQ765" s="323">
        <f t="shared" si="1001"/>
        <v>0.14845968559254585</v>
      </c>
      <c r="GR765" s="323">
        <f t="shared" si="1001"/>
        <v>0.19013972900000001</v>
      </c>
      <c r="GS765" s="323">
        <f t="shared" si="1001"/>
        <v>0.15852449099999999</v>
      </c>
      <c r="GT765" s="323">
        <f t="shared" si="1001"/>
        <v>0.13309398</v>
      </c>
      <c r="GU765" s="323">
        <f t="shared" si="1001"/>
        <v>0.38703533299999998</v>
      </c>
      <c r="GV765" s="323">
        <f t="shared" si="1001"/>
        <v>0.39915237999999997</v>
      </c>
      <c r="GW765" s="323">
        <f t="shared" si="1001"/>
        <v>0.31384641499999999</v>
      </c>
      <c r="GX765" s="323">
        <f t="shared" si="1001"/>
        <v>0.33990184200000001</v>
      </c>
      <c r="GY765" s="323">
        <f t="shared" si="1001"/>
        <v>0.86268649399999997</v>
      </c>
      <c r="GZ765" s="323">
        <f t="shared" si="1001"/>
        <v>1.205841274</v>
      </c>
      <c r="HA765" s="323">
        <f t="shared" si="1001"/>
        <v>1.9841014430000001</v>
      </c>
      <c r="HB765" s="323">
        <f t="shared" si="1001"/>
        <v>12.169493302999999</v>
      </c>
      <c r="HC765" s="323">
        <f t="shared" si="1001"/>
        <v>1.9724492519999999</v>
      </c>
      <c r="HD765" s="323">
        <f t="shared" si="1001"/>
        <v>1.3708008850000002</v>
      </c>
      <c r="HE765" s="323">
        <f t="shared" si="1001"/>
        <v>1.742631947</v>
      </c>
      <c r="HF765" s="323">
        <f t="shared" si="1001"/>
        <v>1.6798463240000001</v>
      </c>
      <c r="HG765" s="323">
        <f t="shared" si="1001"/>
        <v>1.5849570639999999</v>
      </c>
      <c r="HH765" s="323">
        <f t="shared" si="1001"/>
        <v>1.653213944</v>
      </c>
      <c r="HI765" s="323">
        <f t="shared" si="1001"/>
        <v>1.7456988519999999</v>
      </c>
      <c r="HJ765" s="323">
        <f t="shared" si="1001"/>
        <v>3.009015534</v>
      </c>
      <c r="HK765" s="323">
        <f t="shared" si="1001"/>
        <v>2.2275611030000002</v>
      </c>
      <c r="HL765" s="323">
        <f t="shared" si="1001"/>
        <v>12.386454475222221</v>
      </c>
      <c r="HM765" s="323">
        <f t="shared" si="1001"/>
        <v>3.3149284190000001</v>
      </c>
      <c r="HN765" s="323">
        <f t="shared" si="1001"/>
        <v>1.822977329</v>
      </c>
      <c r="HO765" s="323">
        <f t="shared" si="1001"/>
        <v>2.1750272549999998</v>
      </c>
      <c r="HP765" s="323">
        <f t="shared" si="1001"/>
        <v>1.989708408</v>
      </c>
      <c r="HQ765" s="323">
        <f t="shared" si="1001"/>
        <v>2.3589387550000001</v>
      </c>
      <c r="HR765" s="323">
        <f t="shared" si="1001"/>
        <v>2.2423551530000001</v>
      </c>
      <c r="HS765" s="323">
        <f t="shared" ref="HS765:HX765" si="1002">HS362</f>
        <v>3.0492853740000001</v>
      </c>
      <c r="HT765" s="323">
        <f t="shared" si="1002"/>
        <v>2.808674243</v>
      </c>
      <c r="HU765" s="323">
        <f t="shared" si="1002"/>
        <v>2.9681511790000004</v>
      </c>
      <c r="HV765" s="323">
        <f t="shared" si="1002"/>
        <v>3.3548878420000001</v>
      </c>
      <c r="HW765" s="323">
        <f t="shared" si="1002"/>
        <v>4.0654920670000001</v>
      </c>
      <c r="HX765" s="323">
        <f t="shared" si="1002"/>
        <v>15.897167867999999</v>
      </c>
      <c r="HY765" s="323"/>
      <c r="HZ765" s="326"/>
      <c r="IA765" s="1232" t="s">
        <v>469</v>
      </c>
      <c r="IB765" s="284">
        <f>SUM(CE765:CJ765)</f>
        <v>7.4999999999999993E-5</v>
      </c>
      <c r="IC765" s="279">
        <f>SUM(CK765:CP765)</f>
        <v>1.4249999999999998E-3</v>
      </c>
      <c r="ID765" s="323">
        <f t="shared" si="907"/>
        <v>1.4999999999999998E-3</v>
      </c>
      <c r="IE765" s="279">
        <f>SUM(CQ765:CV765)</f>
        <v>0.12908904199999999</v>
      </c>
      <c r="IF765" s="279">
        <f>SUM(CW765:DB765)</f>
        <v>0.60809951099999993</v>
      </c>
      <c r="IG765" s="323">
        <f t="shared" si="880"/>
        <v>0.73718855299999997</v>
      </c>
      <c r="IH765" s="284">
        <f>SUM(DC765:DH765)</f>
        <v>0</v>
      </c>
      <c r="II765" s="279">
        <f>SUM(DI765:DN765)</f>
        <v>4.378955189932289E-3</v>
      </c>
      <c r="IJ765" s="323">
        <f t="shared" si="881"/>
        <v>4.378955189932289E-3</v>
      </c>
      <c r="IK765" s="327">
        <f>SUM(DO765:DT765)</f>
        <v>0</v>
      </c>
      <c r="IL765" s="279">
        <f>SUM(DU765:DZ765)</f>
        <v>0</v>
      </c>
      <c r="IM765" s="323">
        <f t="shared" si="882"/>
        <v>0</v>
      </c>
      <c r="IN765" s="279">
        <f>SUM(EA765:EF765)</f>
        <v>0</v>
      </c>
      <c r="IO765" s="279">
        <f>SUM(EG765:EL765)</f>
        <v>0</v>
      </c>
      <c r="IP765" s="323">
        <f t="shared" si="883"/>
        <v>0</v>
      </c>
      <c r="IQ765" s="327">
        <f>SUM(EM765:ER765)</f>
        <v>1.847170032</v>
      </c>
      <c r="IR765" s="327">
        <f>SUM(ES765:EX765)</f>
        <v>17.521627146000004</v>
      </c>
      <c r="IS765" s="323">
        <f t="shared" si="884"/>
        <v>19.368797178000005</v>
      </c>
      <c r="IT765" s="327">
        <f>SUM(EY765:FD765)</f>
        <v>0.22616914776385352</v>
      </c>
      <c r="IU765" s="327">
        <f>SUM(FE765:FJ765)</f>
        <v>3.6375601179879924</v>
      </c>
      <c r="IV765" s="323">
        <f t="shared" si="885"/>
        <v>3.8637292657518461</v>
      </c>
      <c r="IW765" s="327">
        <f t="shared" si="867"/>
        <v>6.8120555140000008</v>
      </c>
      <c r="IX765" s="327">
        <f t="shared" si="868"/>
        <v>11.79614458</v>
      </c>
      <c r="IY765" s="323">
        <f>IW765+IX765</f>
        <v>18.608200094000001</v>
      </c>
      <c r="IZ765" s="327">
        <f t="shared" si="869"/>
        <v>2.4981698969999999</v>
      </c>
      <c r="JA765" s="327">
        <f t="shared" si="870"/>
        <v>13.67297708800332</v>
      </c>
      <c r="JB765" s="323">
        <f t="shared" si="887"/>
        <v>16.171146985003318</v>
      </c>
      <c r="JC765" s="327">
        <f t="shared" si="871"/>
        <v>0.70123757800000008</v>
      </c>
      <c r="JD765" s="327">
        <f t="shared" si="872"/>
        <v>1.0214417001215395</v>
      </c>
      <c r="JE765" s="323">
        <f t="shared" si="888"/>
        <v>1.7226792781215394</v>
      </c>
      <c r="JF765" s="327">
        <f t="shared" si="908"/>
        <v>3.5084637379999997</v>
      </c>
      <c r="JG765" s="327">
        <f t="shared" si="918"/>
        <v>20.919323154000001</v>
      </c>
      <c r="JH765" s="323">
        <f t="shared" si="889"/>
        <v>24.427786892</v>
      </c>
      <c r="JI765" s="327">
        <f t="shared" si="909"/>
        <v>22.606900972222221</v>
      </c>
      <c r="JJ765" s="327">
        <f t="shared" si="910"/>
        <v>13.903935319</v>
      </c>
      <c r="JK765" s="323">
        <f t="shared" si="890"/>
        <v>36.510836291222219</v>
      </c>
      <c r="JL765" s="327">
        <f t="shared" si="891"/>
        <v>32.143658573000003</v>
      </c>
      <c r="JM765" s="279">
        <f t="shared" si="892"/>
        <v>18.480965326784769</v>
      </c>
      <c r="JN765" s="323">
        <f>FISC!AK1071</f>
        <v>50.624623899784773</v>
      </c>
      <c r="JO765" s="327">
        <f>JQ765*0.651</f>
        <v>40.746348495447187</v>
      </c>
      <c r="JP765" s="279">
        <f t="shared" si="893"/>
        <v>21.844048578972448</v>
      </c>
      <c r="JQ765" s="323">
        <f>FISC!AL1071</f>
        <v>62.590397074419634</v>
      </c>
      <c r="JR765" s="327">
        <f t="shared" si="919"/>
        <v>28.931292292707127</v>
      </c>
      <c r="JS765" s="279">
        <f t="shared" si="894"/>
        <v>31.342233317099392</v>
      </c>
      <c r="JT765" s="323">
        <f>FISC!AM1071</f>
        <v>60.273525609806519</v>
      </c>
      <c r="JU765" s="327">
        <f t="shared" si="920"/>
        <v>32.566592666756165</v>
      </c>
      <c r="JV765" s="279">
        <f t="shared" si="911"/>
        <v>35.280475388985849</v>
      </c>
      <c r="JW765" s="323">
        <f>FISC!AN1071</f>
        <v>67.847068055742014</v>
      </c>
      <c r="JX765" s="327">
        <f t="shared" si="921"/>
        <v>36.20189304080521</v>
      </c>
      <c r="JY765" s="279">
        <f t="shared" si="895"/>
        <v>39.21871746087232</v>
      </c>
      <c r="JZ765" s="323">
        <f>FISC!AO1071</f>
        <v>75.42061050167753</v>
      </c>
      <c r="KA765" s="327">
        <f t="shared" si="966"/>
        <v>39.822082344885736</v>
      </c>
      <c r="KB765" s="279">
        <f t="shared" si="967"/>
        <v>43.140589206959554</v>
      </c>
      <c r="KC765" s="323">
        <f>FISC!AP1071</f>
        <v>82.96267155184529</v>
      </c>
      <c r="KD765" s="327">
        <f t="shared" si="968"/>
        <v>43.804290579374317</v>
      </c>
      <c r="KE765" s="279">
        <f t="shared" si="969"/>
        <v>47.45464812765551</v>
      </c>
      <c r="KF765" s="323">
        <f>FISC!AQ1071</f>
        <v>91.258938707029827</v>
      </c>
      <c r="KG765" s="327">
        <f t="shared" si="970"/>
        <v>48.184719637311751</v>
      </c>
      <c r="KH765" s="279">
        <f t="shared" si="971"/>
        <v>52.200112940421072</v>
      </c>
      <c r="KI765" s="323">
        <f>FISC!AR1071</f>
        <v>100.38483257773282</v>
      </c>
      <c r="KJ765" s="327">
        <f t="shared" si="972"/>
        <v>53.003191601042936</v>
      </c>
      <c r="KK765" s="279">
        <f t="shared" si="973"/>
        <v>57.420124234463181</v>
      </c>
      <c r="KL765" s="323">
        <f>FISC!AS1071</f>
        <v>110.42331583550612</v>
      </c>
      <c r="KM765" s="327">
        <f t="shared" si="974"/>
        <v>58.30351076114723</v>
      </c>
      <c r="KN765" s="279">
        <f t="shared" si="975"/>
        <v>63.162136657909507</v>
      </c>
      <c r="KO765" s="323">
        <f>FISC!AT1071</f>
        <v>121.46564741905674</v>
      </c>
      <c r="KU765" s="326"/>
      <c r="KV765" s="327"/>
    </row>
    <row r="766" spans="1:314">
      <c r="A766" s="279"/>
      <c r="D766" s="1491" t="s">
        <v>3055</v>
      </c>
      <c r="E766" s="323"/>
      <c r="F766" s="323"/>
      <c r="G766" s="323"/>
      <c r="H766" s="323"/>
      <c r="I766" s="323"/>
      <c r="J766" s="323"/>
      <c r="K766" s="323"/>
      <c r="L766" s="323"/>
      <c r="M766" s="323"/>
      <c r="N766" s="323"/>
      <c r="O766" s="323"/>
      <c r="P766" s="323"/>
      <c r="Q766" s="323"/>
      <c r="R766" s="323"/>
      <c r="S766" s="323"/>
      <c r="T766" s="323"/>
      <c r="U766" s="323"/>
      <c r="V766" s="323"/>
      <c r="W766" s="323"/>
      <c r="X766" s="323"/>
      <c r="Y766" s="323"/>
      <c r="Z766" s="323"/>
      <c r="AA766" s="323"/>
      <c r="AB766" s="323"/>
      <c r="AC766" s="323"/>
      <c r="AD766" s="323"/>
      <c r="AE766" s="323"/>
      <c r="AF766" s="323"/>
      <c r="AG766" s="323"/>
      <c r="AH766" s="323"/>
      <c r="AI766" s="323"/>
      <c r="AJ766" s="323"/>
      <c r="AK766" s="323"/>
      <c r="AL766" s="323"/>
      <c r="AM766" s="323"/>
      <c r="AN766" s="323"/>
      <c r="AO766" s="323"/>
      <c r="AP766" s="323"/>
      <c r="AQ766" s="323"/>
      <c r="AR766" s="323"/>
      <c r="AS766" s="323"/>
      <c r="AT766" s="323"/>
      <c r="AU766" s="323"/>
      <c r="AV766" s="323"/>
      <c r="AW766" s="323"/>
      <c r="AX766" s="323"/>
      <c r="AY766" s="323"/>
      <c r="AZ766" s="323"/>
      <c r="BA766" s="323"/>
      <c r="BB766" s="323"/>
      <c r="BC766" s="323"/>
      <c r="BD766" s="323"/>
      <c r="BE766" s="323"/>
      <c r="BF766" s="323"/>
      <c r="BG766" s="323"/>
      <c r="BH766" s="323"/>
      <c r="BI766" s="323"/>
      <c r="BJ766" s="323"/>
      <c r="BK766" s="323"/>
      <c r="BL766" s="323"/>
      <c r="BM766" s="323"/>
      <c r="BN766" s="323"/>
      <c r="BO766" s="323"/>
      <c r="BP766" s="323"/>
      <c r="BQ766" s="323"/>
      <c r="BR766" s="323"/>
      <c r="BS766" s="323"/>
      <c r="BT766" s="323"/>
      <c r="BU766" s="323"/>
      <c r="BV766" s="323"/>
      <c r="BW766" s="323"/>
      <c r="BX766" s="323"/>
      <c r="BY766" s="323"/>
      <c r="BZ766" s="323"/>
      <c r="CA766" s="323"/>
      <c r="CB766" s="323"/>
      <c r="CC766" s="323"/>
      <c r="CD766" s="329"/>
      <c r="CE766" s="323"/>
      <c r="CF766" s="323"/>
      <c r="CG766" s="323"/>
      <c r="CH766" s="323"/>
      <c r="CI766" s="323"/>
      <c r="CJ766" s="323"/>
      <c r="CK766" s="323"/>
      <c r="CL766" s="323"/>
      <c r="CM766" s="323"/>
      <c r="CN766" s="323"/>
      <c r="CO766" s="323"/>
      <c r="CP766" s="325"/>
      <c r="CQ766" s="323"/>
      <c r="CR766" s="323"/>
      <c r="CS766" s="323"/>
      <c r="CT766" s="323"/>
      <c r="CU766" s="323"/>
      <c r="CV766" s="323"/>
      <c r="CW766" s="323"/>
      <c r="CX766" s="323"/>
      <c r="CY766" s="323"/>
      <c r="CZ766" s="323"/>
      <c r="DA766" s="323"/>
      <c r="DB766" s="1269"/>
      <c r="DC766" s="323"/>
      <c r="DD766" s="323"/>
      <c r="DE766" s="323"/>
      <c r="DF766" s="323"/>
      <c r="DG766" s="323"/>
      <c r="DH766" s="323"/>
      <c r="DI766" s="323"/>
      <c r="DJ766" s="323"/>
      <c r="DK766" s="323"/>
      <c r="DL766" s="323"/>
      <c r="DM766" s="323"/>
      <c r="DN766" s="325"/>
      <c r="DO766" s="323"/>
      <c r="DP766" s="323"/>
      <c r="DQ766" s="323"/>
      <c r="DR766" s="323"/>
      <c r="DS766" s="323"/>
      <c r="DT766" s="323"/>
      <c r="DU766" s="323"/>
      <c r="DV766" s="323"/>
      <c r="DW766" s="323"/>
      <c r="DX766" s="323"/>
      <c r="DY766" s="323"/>
      <c r="DZ766" s="325"/>
      <c r="EA766" s="323"/>
      <c r="EB766" s="323"/>
      <c r="EC766" s="323"/>
      <c r="ED766" s="323"/>
      <c r="EE766" s="323"/>
      <c r="EF766" s="323"/>
      <c r="EG766" s="323"/>
      <c r="EH766" s="323"/>
      <c r="EI766" s="323"/>
      <c r="EJ766" s="323"/>
      <c r="EK766" s="323"/>
      <c r="EL766" s="325"/>
      <c r="EM766" s="323"/>
      <c r="EN766" s="323"/>
      <c r="EO766" s="323"/>
      <c r="EP766" s="323"/>
      <c r="EQ766" s="323"/>
      <c r="ER766" s="323"/>
      <c r="ES766" s="323"/>
      <c r="ET766" s="323"/>
      <c r="EU766" s="323"/>
      <c r="EV766" s="323"/>
      <c r="EW766" s="323"/>
      <c r="EX766" s="325"/>
      <c r="EY766" s="323"/>
      <c r="EZ766" s="323"/>
      <c r="FA766" s="323"/>
      <c r="FB766" s="323"/>
      <c r="FC766" s="323"/>
      <c r="FD766" s="323"/>
      <c r="FE766" s="323"/>
      <c r="FF766" s="323"/>
      <c r="FG766" s="323"/>
      <c r="FH766" s="323"/>
      <c r="FI766" s="323"/>
      <c r="FJ766" s="325"/>
      <c r="FK766" s="323"/>
      <c r="FL766" s="323"/>
      <c r="FM766" s="323"/>
      <c r="FN766" s="323"/>
      <c r="FO766" s="323"/>
      <c r="FP766" s="323"/>
      <c r="FQ766" s="323"/>
      <c r="FR766" s="323"/>
      <c r="FS766" s="323"/>
      <c r="FT766" s="323"/>
      <c r="FU766" s="323"/>
      <c r="FV766" s="323"/>
      <c r="FW766" s="323">
        <f>FW363</f>
        <v>0.21408797124376516</v>
      </c>
      <c r="FX766" s="323">
        <f t="shared" ref="FX766:HR766" si="1003">FX363</f>
        <v>0.26719040687492018</v>
      </c>
      <c r="FY766" s="323">
        <f t="shared" si="1003"/>
        <v>0.32856051388131463</v>
      </c>
      <c r="FZ766" s="323">
        <f t="shared" si="1003"/>
        <v>0.26030012825631266</v>
      </c>
      <c r="GA766" s="323">
        <f t="shared" si="1003"/>
        <v>0.37548951598359065</v>
      </c>
      <c r="GB766" s="323">
        <f t="shared" si="1003"/>
        <v>1.0525413607600966</v>
      </c>
      <c r="GC766" s="323">
        <f t="shared" si="1003"/>
        <v>2.5698428534219095</v>
      </c>
      <c r="GD766" s="323">
        <f t="shared" si="1003"/>
        <v>3.2253137920999229</v>
      </c>
      <c r="GE766" s="323">
        <f t="shared" si="1003"/>
        <v>6.3113047404781737</v>
      </c>
      <c r="GF766" s="323">
        <f t="shared" si="1003"/>
        <v>0.354981962861037</v>
      </c>
      <c r="GG766" s="323">
        <f t="shared" si="1003"/>
        <v>0.36522439924164563</v>
      </c>
      <c r="GH766" s="323">
        <f t="shared" si="1003"/>
        <v>0.84630933990063029</v>
      </c>
      <c r="GI766" s="323">
        <f t="shared" si="1003"/>
        <v>0.42694589399999999</v>
      </c>
      <c r="GJ766" s="323">
        <f t="shared" si="1003"/>
        <v>0.49736686299999999</v>
      </c>
      <c r="GK766" s="323">
        <f t="shared" si="1003"/>
        <v>0.444226907</v>
      </c>
      <c r="GL766" s="323">
        <f t="shared" si="1003"/>
        <v>0.397961591</v>
      </c>
      <c r="GM766" s="323">
        <f t="shared" si="1003"/>
        <v>0.65760525800000003</v>
      </c>
      <c r="GN766" s="323">
        <f t="shared" si="1003"/>
        <v>2.33899781</v>
      </c>
      <c r="GO766" s="323">
        <f t="shared" si="1003"/>
        <v>12.156569825</v>
      </c>
      <c r="GP766" s="323">
        <f t="shared" si="1003"/>
        <v>1.133283587</v>
      </c>
      <c r="GQ766" s="323">
        <f t="shared" si="1003"/>
        <v>0.87336217599999999</v>
      </c>
      <c r="GR766" s="323">
        <f t="shared" si="1003"/>
        <v>0.56205269499999999</v>
      </c>
      <c r="GS766" s="323">
        <f t="shared" si="1003"/>
        <v>0.6751952</v>
      </c>
      <c r="GT766" s="323">
        <f t="shared" si="1003"/>
        <v>0.68979813199999995</v>
      </c>
      <c r="GU766" s="323">
        <f t="shared" si="1003"/>
        <v>0.38703533299999998</v>
      </c>
      <c r="GV766" s="323">
        <f t="shared" si="1003"/>
        <v>0.39915237999999997</v>
      </c>
      <c r="GW766" s="323">
        <f t="shared" si="1003"/>
        <v>0.31384641499999999</v>
      </c>
      <c r="GX766" s="323">
        <f t="shared" si="1003"/>
        <v>0.33990184200000001</v>
      </c>
      <c r="GY766" s="323">
        <f t="shared" si="1003"/>
        <v>0.86268649399999997</v>
      </c>
      <c r="GZ766" s="323">
        <f t="shared" si="1003"/>
        <v>0.93060706400000004</v>
      </c>
      <c r="HA766" s="323">
        <f t="shared" si="1003"/>
        <v>1.8395440510000001</v>
      </c>
      <c r="HB766" s="323">
        <f t="shared" si="1003"/>
        <v>12.083977807</v>
      </c>
      <c r="HC766" s="323">
        <f t="shared" si="1003"/>
        <v>1.7838924519999999</v>
      </c>
      <c r="HD766" s="323">
        <f t="shared" si="1003"/>
        <v>1.2530315780000001</v>
      </c>
      <c r="HE766" s="323">
        <f t="shared" si="1003"/>
        <v>1.5840325829999999</v>
      </c>
      <c r="HF766" s="323">
        <f t="shared" si="1003"/>
        <v>1.5126292370000001</v>
      </c>
      <c r="HG766" s="323">
        <f t="shared" si="1003"/>
        <v>1.3991783</v>
      </c>
      <c r="HH766" s="323">
        <f t="shared" si="1003"/>
        <v>1.4593601949999999</v>
      </c>
      <c r="HI766" s="323">
        <f t="shared" si="1003"/>
        <v>1.5157594459999999</v>
      </c>
      <c r="HJ766" s="323">
        <f t="shared" si="1003"/>
        <v>2.0206470059999999</v>
      </c>
      <c r="HK766" s="323">
        <f t="shared" si="1003"/>
        <v>1.993877517</v>
      </c>
      <c r="HL766" s="323">
        <f t="shared" si="1003"/>
        <v>12.244947880222222</v>
      </c>
      <c r="HM766" s="323">
        <f t="shared" si="1003"/>
        <v>2.581792348</v>
      </c>
      <c r="HN766" s="323">
        <f t="shared" si="1003"/>
        <v>1.688410886</v>
      </c>
      <c r="HO766" s="323">
        <f t="shared" si="1003"/>
        <v>2.047483497</v>
      </c>
      <c r="HP766" s="323">
        <f t="shared" si="1003"/>
        <v>1.844409695</v>
      </c>
      <c r="HQ766" s="323">
        <f t="shared" si="1003"/>
        <v>2.16095272</v>
      </c>
      <c r="HR766" s="323">
        <f t="shared" si="1003"/>
        <v>2.0950100439999999</v>
      </c>
      <c r="HS766" s="323">
        <f t="shared" ref="HS766:HX766" si="1004">HS363</f>
        <v>2.696653473</v>
      </c>
      <c r="HT766" s="323">
        <f t="shared" si="1004"/>
        <v>2.4994701510000001</v>
      </c>
      <c r="HU766" s="323">
        <f t="shared" si="1004"/>
        <v>2.6519942630000002</v>
      </c>
      <c r="HV766" s="323">
        <f t="shared" si="1004"/>
        <v>3.059978632</v>
      </c>
      <c r="HW766" s="323">
        <f t="shared" si="1004"/>
        <v>3.667084365</v>
      </c>
      <c r="HX766" s="323">
        <f t="shared" si="1004"/>
        <v>15.379497326999999</v>
      </c>
      <c r="HY766" s="323"/>
      <c r="HZ766" s="326"/>
      <c r="IA766" s="1491" t="s">
        <v>3055</v>
      </c>
      <c r="IB766" s="284"/>
      <c r="ID766" s="323"/>
      <c r="IG766" s="323"/>
      <c r="IH766" s="284"/>
      <c r="IJ766" s="323"/>
      <c r="IK766" s="327"/>
      <c r="IM766" s="323"/>
      <c r="IP766" s="323"/>
      <c r="IQ766" s="327"/>
      <c r="IR766" s="327"/>
      <c r="IS766" s="323"/>
      <c r="IT766" s="327"/>
      <c r="IU766" s="327"/>
      <c r="IV766" s="323"/>
      <c r="IW766" s="327">
        <v>6.8120555139999999</v>
      </c>
      <c r="IX766" s="327">
        <f t="shared" si="868"/>
        <v>0</v>
      </c>
      <c r="IY766" s="323">
        <f t="shared" si="886"/>
        <v>6.8120555139999999</v>
      </c>
      <c r="IZ766" s="327">
        <f t="shared" si="869"/>
        <v>2.4981698969999999</v>
      </c>
      <c r="JA766" s="327">
        <f t="shared" si="870"/>
        <v>13.67297708800332</v>
      </c>
      <c r="JB766" s="323">
        <f t="shared" si="887"/>
        <v>16.171146985003318</v>
      </c>
      <c r="JC766" s="327">
        <f t="shared" si="871"/>
        <v>4.7631043230000003</v>
      </c>
      <c r="JD766" s="327">
        <f t="shared" si="872"/>
        <v>16.090261614999999</v>
      </c>
      <c r="JE766" s="323">
        <f t="shared" si="888"/>
        <v>20.853365938</v>
      </c>
      <c r="JF766" s="327">
        <f t="shared" si="908"/>
        <v>3.2332295279999999</v>
      </c>
      <c r="JG766" s="327">
        <f t="shared" si="918"/>
        <v>20.057107708</v>
      </c>
      <c r="JH766" s="323">
        <f t="shared" si="889"/>
        <v>23.290337235999999</v>
      </c>
      <c r="JI766" s="327">
        <f t="shared" si="909"/>
        <v>20.633770344222221</v>
      </c>
      <c r="JJ766" s="327">
        <f t="shared" si="910"/>
        <v>12.418059189999999</v>
      </c>
      <c r="JK766" s="323">
        <f t="shared" si="890"/>
        <v>33.051829534222222</v>
      </c>
      <c r="JL766" s="327">
        <f t="shared" si="891"/>
        <v>29.954678211000001</v>
      </c>
      <c r="JM766" s="279">
        <f t="shared" si="892"/>
        <v>20.669945688784772</v>
      </c>
      <c r="JN766" s="323">
        <f>FISC!AK1072</f>
        <v>50.624623899784773</v>
      </c>
      <c r="JO766" s="327">
        <f>JQ766*0.65</f>
        <v>40.683758098372763</v>
      </c>
      <c r="JP766" s="279">
        <f t="shared" si="893"/>
        <v>21.906638976046871</v>
      </c>
      <c r="JQ766" s="323">
        <f>FISC!AL1072</f>
        <v>62.590397074419634</v>
      </c>
      <c r="JR766" s="327">
        <f t="shared" si="919"/>
        <v>28.931292292707127</v>
      </c>
      <c r="JS766" s="279">
        <f t="shared" si="894"/>
        <v>31.342233317099392</v>
      </c>
      <c r="JT766" s="323">
        <f>FISC!AM1072</f>
        <v>60.273525609806519</v>
      </c>
      <c r="JU766" s="327">
        <f t="shared" si="920"/>
        <v>32.566592666756165</v>
      </c>
      <c r="JV766" s="279">
        <f t="shared" si="911"/>
        <v>35.280475388985849</v>
      </c>
      <c r="JW766" s="323">
        <f>FISC!AN1072</f>
        <v>67.847068055742014</v>
      </c>
      <c r="JX766" s="327">
        <f t="shared" si="921"/>
        <v>36.20189304080521</v>
      </c>
      <c r="JY766" s="279">
        <f t="shared" si="895"/>
        <v>39.21871746087232</v>
      </c>
      <c r="JZ766" s="323">
        <f>FISC!AO1072</f>
        <v>75.42061050167753</v>
      </c>
      <c r="KA766" s="327">
        <f t="shared" si="966"/>
        <v>39.822082344885736</v>
      </c>
      <c r="KB766" s="279">
        <f t="shared" si="967"/>
        <v>43.140589206959554</v>
      </c>
      <c r="KC766" s="323">
        <f>FISC!AP1072</f>
        <v>82.96267155184529</v>
      </c>
      <c r="KD766" s="327">
        <f t="shared" si="968"/>
        <v>43.804290579374317</v>
      </c>
      <c r="KE766" s="279">
        <f t="shared" si="969"/>
        <v>47.45464812765551</v>
      </c>
      <c r="KF766" s="323">
        <f>FISC!AQ1072</f>
        <v>91.258938707029827</v>
      </c>
      <c r="KG766" s="327">
        <f t="shared" si="970"/>
        <v>48.184719637311751</v>
      </c>
      <c r="KH766" s="279">
        <f t="shared" si="971"/>
        <v>52.200112940421072</v>
      </c>
      <c r="KI766" s="323">
        <f>FISC!AR1072</f>
        <v>100.38483257773282</v>
      </c>
      <c r="KJ766" s="327">
        <f t="shared" si="972"/>
        <v>53.003191601042936</v>
      </c>
      <c r="KK766" s="279">
        <f t="shared" si="973"/>
        <v>57.420124234463181</v>
      </c>
      <c r="KL766" s="323">
        <f>FISC!AS1072</f>
        <v>110.42331583550612</v>
      </c>
      <c r="KM766" s="327">
        <f t="shared" si="974"/>
        <v>58.30351076114723</v>
      </c>
      <c r="KN766" s="279">
        <f t="shared" si="975"/>
        <v>63.162136657909507</v>
      </c>
      <c r="KO766" s="323">
        <f>FISC!AT1072</f>
        <v>121.46564741905674</v>
      </c>
      <c r="KU766" s="326"/>
      <c r="KV766" s="327"/>
    </row>
    <row r="767" spans="1:314">
      <c r="A767" s="279"/>
      <c r="D767" s="1232" t="s">
        <v>470</v>
      </c>
      <c r="E767" s="323"/>
      <c r="F767" s="323"/>
      <c r="G767" s="323"/>
      <c r="H767" s="323"/>
      <c r="I767" s="323"/>
      <c r="J767" s="323"/>
      <c r="K767" s="323"/>
      <c r="L767" s="323"/>
      <c r="M767" s="323"/>
      <c r="N767" s="323"/>
      <c r="O767" s="323"/>
      <c r="P767" s="323"/>
      <c r="Q767" s="323"/>
      <c r="R767" s="323"/>
      <c r="S767" s="323"/>
      <c r="T767" s="323"/>
      <c r="U767" s="323"/>
      <c r="V767" s="323"/>
      <c r="W767" s="323"/>
      <c r="X767" s="323"/>
      <c r="Y767" s="323"/>
      <c r="Z767" s="323"/>
      <c r="AA767" s="323"/>
      <c r="AB767" s="323"/>
      <c r="AC767" s="323"/>
      <c r="AD767" s="323"/>
      <c r="AE767" s="323"/>
      <c r="AF767" s="323"/>
      <c r="AG767" s="323"/>
      <c r="AH767" s="323"/>
      <c r="AI767" s="323"/>
      <c r="AJ767" s="323"/>
      <c r="AK767" s="323"/>
      <c r="AL767" s="323"/>
      <c r="AM767" s="323"/>
      <c r="AN767" s="323"/>
      <c r="AO767" s="323"/>
      <c r="AP767" s="323"/>
      <c r="AQ767" s="323"/>
      <c r="AR767" s="323"/>
      <c r="AS767" s="323"/>
      <c r="AT767" s="323"/>
      <c r="AU767" s="323"/>
      <c r="AV767" s="323"/>
      <c r="AW767" s="323"/>
      <c r="AX767" s="323"/>
      <c r="AY767" s="323"/>
      <c r="AZ767" s="323"/>
      <c r="BA767" s="323"/>
      <c r="BB767" s="323"/>
      <c r="BC767" s="323"/>
      <c r="BD767" s="323"/>
      <c r="BE767" s="323"/>
      <c r="BF767" s="323"/>
      <c r="BG767" s="323"/>
      <c r="BH767" s="323"/>
      <c r="BI767" s="323"/>
      <c r="BJ767" s="323"/>
      <c r="BK767" s="323"/>
      <c r="BL767" s="323"/>
      <c r="BM767" s="323"/>
      <c r="BN767" s="323"/>
      <c r="BO767" s="323"/>
      <c r="BP767" s="323"/>
      <c r="BQ767" s="323"/>
      <c r="BR767" s="323"/>
      <c r="BS767" s="323"/>
      <c r="BT767" s="323"/>
      <c r="BU767" s="323"/>
      <c r="BV767" s="323"/>
      <c r="BW767" s="323"/>
      <c r="BX767" s="323"/>
      <c r="BY767" s="323"/>
      <c r="BZ767" s="323"/>
      <c r="CA767" s="323"/>
      <c r="CB767" s="323"/>
      <c r="CC767" s="323"/>
      <c r="CD767" s="329"/>
      <c r="CE767" s="323">
        <f t="shared" ref="CE767:DJ767" si="1005">CE364</f>
        <v>0</v>
      </c>
      <c r="CF767" s="323">
        <f t="shared" si="1005"/>
        <v>0</v>
      </c>
      <c r="CG767" s="323">
        <f t="shared" si="1005"/>
        <v>0</v>
      </c>
      <c r="CH767" s="323">
        <f t="shared" si="1005"/>
        <v>0</v>
      </c>
      <c r="CI767" s="323">
        <f t="shared" si="1005"/>
        <v>0</v>
      </c>
      <c r="CJ767" s="323">
        <f t="shared" si="1005"/>
        <v>0</v>
      </c>
      <c r="CK767" s="323">
        <f t="shared" si="1005"/>
        <v>0</v>
      </c>
      <c r="CL767" s="323">
        <f t="shared" si="1005"/>
        <v>0</v>
      </c>
      <c r="CM767" s="323">
        <f t="shared" si="1005"/>
        <v>0</v>
      </c>
      <c r="CN767" s="323">
        <f t="shared" si="1005"/>
        <v>0</v>
      </c>
      <c r="CO767" s="323">
        <f t="shared" si="1005"/>
        <v>0</v>
      </c>
      <c r="CP767" s="325">
        <f t="shared" si="1005"/>
        <v>0</v>
      </c>
      <c r="CQ767" s="323">
        <f t="shared" si="1005"/>
        <v>0</v>
      </c>
      <c r="CR767" s="323">
        <f t="shared" si="1005"/>
        <v>0</v>
      </c>
      <c r="CS767" s="323">
        <f t="shared" si="1005"/>
        <v>0</v>
      </c>
      <c r="CT767" s="323">
        <f t="shared" si="1005"/>
        <v>0</v>
      </c>
      <c r="CU767" s="323">
        <f t="shared" si="1005"/>
        <v>0</v>
      </c>
      <c r="CV767" s="323">
        <f t="shared" si="1005"/>
        <v>0</v>
      </c>
      <c r="CW767" s="323">
        <f t="shared" si="1005"/>
        <v>0</v>
      </c>
      <c r="CX767" s="323">
        <f t="shared" si="1005"/>
        <v>0</v>
      </c>
      <c r="CY767" s="323">
        <f t="shared" si="1005"/>
        <v>0</v>
      </c>
      <c r="CZ767" s="323">
        <f t="shared" si="1005"/>
        <v>0</v>
      </c>
      <c r="DA767" s="323">
        <f t="shared" si="1005"/>
        <v>0</v>
      </c>
      <c r="DB767" s="1269">
        <f t="shared" si="1005"/>
        <v>0</v>
      </c>
      <c r="DC767" s="323">
        <f t="shared" si="1005"/>
        <v>0</v>
      </c>
      <c r="DD767" s="323">
        <f t="shared" si="1005"/>
        <v>0</v>
      </c>
      <c r="DE767" s="323">
        <f t="shared" si="1005"/>
        <v>0</v>
      </c>
      <c r="DF767" s="323">
        <f t="shared" si="1005"/>
        <v>0</v>
      </c>
      <c r="DG767" s="323">
        <f t="shared" si="1005"/>
        <v>0</v>
      </c>
      <c r="DH767" s="323">
        <f t="shared" si="1005"/>
        <v>0</v>
      </c>
      <c r="DI767" s="323">
        <f t="shared" si="1005"/>
        <v>0</v>
      </c>
      <c r="DJ767" s="323">
        <f t="shared" si="1005"/>
        <v>0</v>
      </c>
      <c r="DK767" s="323">
        <f t="shared" ref="DK767:EP767" si="1006">DK364</f>
        <v>0</v>
      </c>
      <c r="DL767" s="323">
        <f t="shared" si="1006"/>
        <v>0</v>
      </c>
      <c r="DM767" s="323">
        <f t="shared" si="1006"/>
        <v>0</v>
      </c>
      <c r="DN767" s="325">
        <f t="shared" si="1006"/>
        <v>0</v>
      </c>
      <c r="DO767" s="323">
        <f t="shared" si="1006"/>
        <v>0</v>
      </c>
      <c r="DP767" s="323">
        <f t="shared" si="1006"/>
        <v>0</v>
      </c>
      <c r="DQ767" s="323">
        <f t="shared" si="1006"/>
        <v>0</v>
      </c>
      <c r="DR767" s="323">
        <f t="shared" si="1006"/>
        <v>0</v>
      </c>
      <c r="DS767" s="323">
        <f t="shared" si="1006"/>
        <v>0</v>
      </c>
      <c r="DT767" s="323">
        <f t="shared" si="1006"/>
        <v>0</v>
      </c>
      <c r="DU767" s="323">
        <f t="shared" si="1006"/>
        <v>0</v>
      </c>
      <c r="DV767" s="323">
        <f t="shared" si="1006"/>
        <v>0</v>
      </c>
      <c r="DW767" s="323">
        <f t="shared" si="1006"/>
        <v>0</v>
      </c>
      <c r="DX767" s="323">
        <f t="shared" si="1006"/>
        <v>0</v>
      </c>
      <c r="DY767" s="323">
        <f t="shared" si="1006"/>
        <v>0</v>
      </c>
      <c r="DZ767" s="325">
        <f t="shared" si="1006"/>
        <v>0</v>
      </c>
      <c r="EA767" s="323">
        <f t="shared" si="1006"/>
        <v>0</v>
      </c>
      <c r="EB767" s="323">
        <f t="shared" si="1006"/>
        <v>0</v>
      </c>
      <c r="EC767" s="323">
        <f t="shared" si="1006"/>
        <v>0</v>
      </c>
      <c r="ED767" s="323">
        <f t="shared" si="1006"/>
        <v>0</v>
      </c>
      <c r="EE767" s="323">
        <f t="shared" si="1006"/>
        <v>0</v>
      </c>
      <c r="EF767" s="323">
        <f t="shared" si="1006"/>
        <v>0</v>
      </c>
      <c r="EG767" s="323">
        <f t="shared" si="1006"/>
        <v>0</v>
      </c>
      <c r="EH767" s="323">
        <f t="shared" si="1006"/>
        <v>0</v>
      </c>
      <c r="EI767" s="323">
        <f t="shared" si="1006"/>
        <v>0</v>
      </c>
      <c r="EJ767" s="323">
        <f t="shared" si="1006"/>
        <v>0</v>
      </c>
      <c r="EK767" s="323">
        <f t="shared" si="1006"/>
        <v>0</v>
      </c>
      <c r="EL767" s="325">
        <f t="shared" si="1006"/>
        <v>0</v>
      </c>
      <c r="EM767" s="323">
        <f t="shared" si="1006"/>
        <v>0</v>
      </c>
      <c r="EN767" s="323">
        <f t="shared" si="1006"/>
        <v>0</v>
      </c>
      <c r="EO767" s="323">
        <f t="shared" si="1006"/>
        <v>0</v>
      </c>
      <c r="EP767" s="323">
        <f t="shared" si="1006"/>
        <v>0</v>
      </c>
      <c r="EQ767" s="323">
        <f t="shared" ref="EQ767:FV767" si="1007">EQ364</f>
        <v>0</v>
      </c>
      <c r="ER767" s="323">
        <f t="shared" si="1007"/>
        <v>0</v>
      </c>
      <c r="ES767" s="323">
        <f t="shared" si="1007"/>
        <v>0</v>
      </c>
      <c r="ET767" s="323">
        <f t="shared" si="1007"/>
        <v>0</v>
      </c>
      <c r="EU767" s="323">
        <f t="shared" si="1007"/>
        <v>0</v>
      </c>
      <c r="EV767" s="323">
        <f t="shared" si="1007"/>
        <v>0</v>
      </c>
      <c r="EW767" s="323">
        <f t="shared" si="1007"/>
        <v>0</v>
      </c>
      <c r="EX767" s="325">
        <f t="shared" si="1007"/>
        <v>0</v>
      </c>
      <c r="EY767" s="323">
        <f t="shared" si="1007"/>
        <v>0</v>
      </c>
      <c r="EZ767" s="323">
        <f t="shared" si="1007"/>
        <v>0</v>
      </c>
      <c r="FA767" s="323">
        <f t="shared" si="1007"/>
        <v>0</v>
      </c>
      <c r="FB767" s="323">
        <f t="shared" si="1007"/>
        <v>0</v>
      </c>
      <c r="FC767" s="323">
        <f t="shared" si="1007"/>
        <v>0</v>
      </c>
      <c r="FD767" s="323">
        <f t="shared" si="1007"/>
        <v>0</v>
      </c>
      <c r="FE767" s="323">
        <f t="shared" si="1007"/>
        <v>0</v>
      </c>
      <c r="FF767" s="323">
        <f t="shared" si="1007"/>
        <v>0</v>
      </c>
      <c r="FG767" s="323">
        <f t="shared" si="1007"/>
        <v>0</v>
      </c>
      <c r="FH767" s="323">
        <f t="shared" si="1007"/>
        <v>0</v>
      </c>
      <c r="FI767" s="323">
        <f t="shared" si="1007"/>
        <v>0</v>
      </c>
      <c r="FJ767" s="325">
        <f t="shared" si="1007"/>
        <v>0</v>
      </c>
      <c r="FK767" s="323">
        <f t="shared" si="1007"/>
        <v>0</v>
      </c>
      <c r="FL767" s="323">
        <f t="shared" si="1007"/>
        <v>0</v>
      </c>
      <c r="FM767" s="323">
        <f t="shared" si="1007"/>
        <v>0</v>
      </c>
      <c r="FN767" s="323">
        <f t="shared" si="1007"/>
        <v>0</v>
      </c>
      <c r="FO767" s="323">
        <f t="shared" si="1007"/>
        <v>0</v>
      </c>
      <c r="FP767" s="323">
        <f t="shared" si="1007"/>
        <v>0</v>
      </c>
      <c r="FQ767" s="323">
        <f t="shared" si="1007"/>
        <v>0</v>
      </c>
      <c r="FR767" s="323">
        <f t="shared" si="1007"/>
        <v>0</v>
      </c>
      <c r="FS767" s="323">
        <f t="shared" si="1007"/>
        <v>0</v>
      </c>
      <c r="FT767" s="323">
        <f t="shared" si="1007"/>
        <v>0</v>
      </c>
      <c r="FU767" s="323">
        <f t="shared" si="1007"/>
        <v>0</v>
      </c>
      <c r="FV767" s="323">
        <f t="shared" si="1007"/>
        <v>0</v>
      </c>
      <c r="FW767" s="323">
        <v>0</v>
      </c>
      <c r="FX767" s="323">
        <v>0</v>
      </c>
      <c r="FY767" s="323">
        <v>0</v>
      </c>
      <c r="FZ767" s="323">
        <v>0</v>
      </c>
      <c r="GA767" s="323">
        <v>0</v>
      </c>
      <c r="GB767" s="323">
        <v>0</v>
      </c>
      <c r="GC767" s="323">
        <v>0</v>
      </c>
      <c r="GD767" s="323">
        <v>0</v>
      </c>
      <c r="GE767" s="323">
        <v>0</v>
      </c>
      <c r="GF767" s="323">
        <v>0</v>
      </c>
      <c r="GG767" s="323">
        <v>0</v>
      </c>
      <c r="GH767" s="323">
        <v>0</v>
      </c>
      <c r="GI767" s="323">
        <f t="shared" ref="GI767:HR767" si="1008">GI364</f>
        <v>0</v>
      </c>
      <c r="GJ767" s="323">
        <f t="shared" si="1008"/>
        <v>0</v>
      </c>
      <c r="GK767" s="323">
        <f t="shared" si="1008"/>
        <v>0</v>
      </c>
      <c r="GL767" s="323">
        <f t="shared" si="1008"/>
        <v>0</v>
      </c>
      <c r="GM767" s="323">
        <f t="shared" si="1008"/>
        <v>0</v>
      </c>
      <c r="GN767" s="323">
        <f t="shared" si="1008"/>
        <v>0</v>
      </c>
      <c r="GO767" s="323">
        <f t="shared" si="1008"/>
        <v>0</v>
      </c>
      <c r="GP767" s="323">
        <f t="shared" si="1008"/>
        <v>0</v>
      </c>
      <c r="GQ767" s="323">
        <f t="shared" si="1008"/>
        <v>0</v>
      </c>
      <c r="GR767" s="323">
        <f t="shared" si="1008"/>
        <v>0</v>
      </c>
      <c r="GS767" s="323">
        <f t="shared" si="1008"/>
        <v>0</v>
      </c>
      <c r="GT767" s="323">
        <f t="shared" si="1008"/>
        <v>0</v>
      </c>
      <c r="GU767" s="323">
        <f t="shared" si="1008"/>
        <v>0</v>
      </c>
      <c r="GV767" s="323">
        <f t="shared" si="1008"/>
        <v>0</v>
      </c>
      <c r="GW767" s="323">
        <f t="shared" si="1008"/>
        <v>0</v>
      </c>
      <c r="GX767" s="323">
        <f t="shared" si="1008"/>
        <v>0</v>
      </c>
      <c r="GY767" s="323">
        <f t="shared" si="1008"/>
        <v>0</v>
      </c>
      <c r="GZ767" s="323">
        <f t="shared" si="1008"/>
        <v>0</v>
      </c>
      <c r="HA767" s="323">
        <f t="shared" si="1008"/>
        <v>0</v>
      </c>
      <c r="HB767" s="323">
        <f t="shared" si="1008"/>
        <v>0</v>
      </c>
      <c r="HC767" s="323">
        <f t="shared" si="1008"/>
        <v>0</v>
      </c>
      <c r="HD767" s="323">
        <f t="shared" si="1008"/>
        <v>0</v>
      </c>
      <c r="HE767" s="323">
        <f t="shared" si="1008"/>
        <v>0</v>
      </c>
      <c r="HF767" s="323">
        <f t="shared" si="1008"/>
        <v>0</v>
      </c>
      <c r="HG767" s="323">
        <f t="shared" si="1008"/>
        <v>0</v>
      </c>
      <c r="HH767" s="323">
        <f t="shared" si="1008"/>
        <v>0</v>
      </c>
      <c r="HI767" s="323">
        <f t="shared" si="1008"/>
        <v>0</v>
      </c>
      <c r="HJ767" s="323">
        <f t="shared" si="1008"/>
        <v>0</v>
      </c>
      <c r="HK767" s="323">
        <f t="shared" si="1008"/>
        <v>0</v>
      </c>
      <c r="HL767" s="323">
        <f t="shared" si="1008"/>
        <v>0</v>
      </c>
      <c r="HM767" s="323">
        <f t="shared" si="1008"/>
        <v>0</v>
      </c>
      <c r="HN767" s="323">
        <f t="shared" si="1008"/>
        <v>0</v>
      </c>
      <c r="HO767" s="323">
        <f t="shared" si="1008"/>
        <v>0</v>
      </c>
      <c r="HP767" s="323">
        <f t="shared" si="1008"/>
        <v>0</v>
      </c>
      <c r="HQ767" s="323">
        <f t="shared" si="1008"/>
        <v>0</v>
      </c>
      <c r="HR767" s="323">
        <f t="shared" si="1008"/>
        <v>0</v>
      </c>
      <c r="HS767" s="323">
        <f t="shared" ref="HS767:HX767" si="1009">HS364</f>
        <v>0</v>
      </c>
      <c r="HT767" s="323">
        <f t="shared" si="1009"/>
        <v>0</v>
      </c>
      <c r="HU767" s="323">
        <f t="shared" si="1009"/>
        <v>0</v>
      </c>
      <c r="HV767" s="323">
        <f t="shared" si="1009"/>
        <v>0</v>
      </c>
      <c r="HW767" s="323">
        <f t="shared" si="1009"/>
        <v>0</v>
      </c>
      <c r="HX767" s="323">
        <f t="shared" si="1009"/>
        <v>0</v>
      </c>
      <c r="HY767" s="323"/>
      <c r="HZ767" s="326"/>
      <c r="IA767" s="1232" t="s">
        <v>470</v>
      </c>
      <c r="IB767" s="284">
        <f t="shared" ref="IB767:IB779" si="1010">SUM(CE767:CJ767)</f>
        <v>0</v>
      </c>
      <c r="IC767" s="279">
        <f t="shared" ref="IC767:IC779" si="1011">SUM(CK767:CP767)</f>
        <v>0</v>
      </c>
      <c r="ID767" s="323">
        <f t="shared" si="907"/>
        <v>0</v>
      </c>
      <c r="IE767" s="279">
        <f t="shared" ref="IE767:IE779" si="1012">SUM(CQ767:CV767)</f>
        <v>0</v>
      </c>
      <c r="IF767" s="279">
        <f t="shared" ref="IF767:IF779" si="1013">SUM(CW767:DB767)</f>
        <v>0</v>
      </c>
      <c r="IG767" s="323">
        <f t="shared" si="880"/>
        <v>0</v>
      </c>
      <c r="IH767" s="284">
        <f t="shared" ref="IH767:IH779" si="1014">SUM(DC767:DH767)</f>
        <v>0</v>
      </c>
      <c r="II767" s="279">
        <f t="shared" ref="II767:II779" si="1015">SUM(DI767:DN767)</f>
        <v>0</v>
      </c>
      <c r="IJ767" s="323">
        <f t="shared" si="881"/>
        <v>0</v>
      </c>
      <c r="IK767" s="327">
        <f t="shared" ref="IK767:IK779" si="1016">SUM(DO767:DT767)</f>
        <v>0</v>
      </c>
      <c r="IL767" s="279">
        <f t="shared" ref="IL767:IL779" si="1017">SUM(DU767:DZ767)</f>
        <v>0</v>
      </c>
      <c r="IM767" s="323">
        <f t="shared" si="882"/>
        <v>0</v>
      </c>
      <c r="IN767" s="279">
        <f t="shared" ref="IN767:IN779" si="1018">SUM(EA767:EF767)</f>
        <v>0</v>
      </c>
      <c r="IO767" s="279">
        <f t="shared" ref="IO767:IO779" si="1019">SUM(EG767:EL767)</f>
        <v>0</v>
      </c>
      <c r="IP767" s="323">
        <f t="shared" si="883"/>
        <v>0</v>
      </c>
      <c r="IQ767" s="327">
        <f t="shared" ref="IQ767:IQ779" si="1020">SUM(EM767:ER767)</f>
        <v>0</v>
      </c>
      <c r="IR767" s="327">
        <f t="shared" ref="IR767:IR779" si="1021">SUM(ES767:EX767)</f>
        <v>0</v>
      </c>
      <c r="IS767" s="323">
        <f t="shared" si="884"/>
        <v>0</v>
      </c>
      <c r="IT767" s="327">
        <f t="shared" ref="IT767:IT779" si="1022">SUM(EY767:FD767)</f>
        <v>0</v>
      </c>
      <c r="IU767" s="327">
        <f t="shared" ref="IU767:IU779" si="1023">SUM(FE767:FJ767)</f>
        <v>0</v>
      </c>
      <c r="IV767" s="323">
        <f t="shared" si="885"/>
        <v>0</v>
      </c>
      <c r="IW767" s="327">
        <f t="shared" ref="IW767:IW790" si="1024">SUM(FK767:FP767)</f>
        <v>0</v>
      </c>
      <c r="IX767" s="327">
        <f t="shared" si="868"/>
        <v>0</v>
      </c>
      <c r="IY767" s="323">
        <f>IW767+IX767</f>
        <v>0</v>
      </c>
      <c r="IZ767" s="327">
        <f t="shared" si="869"/>
        <v>0</v>
      </c>
      <c r="JA767" s="327">
        <f t="shared" si="870"/>
        <v>0</v>
      </c>
      <c r="JB767" s="323">
        <f t="shared" si="887"/>
        <v>0</v>
      </c>
      <c r="JC767" s="327">
        <f t="shared" si="871"/>
        <v>0</v>
      </c>
      <c r="JD767" s="327">
        <f t="shared" si="872"/>
        <v>0</v>
      </c>
      <c r="JE767" s="323">
        <f t="shared" si="888"/>
        <v>0</v>
      </c>
      <c r="JF767" s="327">
        <f t="shared" si="908"/>
        <v>0</v>
      </c>
      <c r="JG767" s="327">
        <f t="shared" si="918"/>
        <v>0</v>
      </c>
      <c r="JH767" s="323">
        <f t="shared" si="889"/>
        <v>0</v>
      </c>
      <c r="JI767" s="327">
        <f t="shared" si="909"/>
        <v>0</v>
      </c>
      <c r="JJ767" s="327">
        <f t="shared" si="910"/>
        <v>0</v>
      </c>
      <c r="JK767" s="323">
        <f t="shared" si="890"/>
        <v>0</v>
      </c>
      <c r="JL767" s="327">
        <f t="shared" si="891"/>
        <v>0</v>
      </c>
      <c r="JM767" s="279">
        <f t="shared" si="892"/>
        <v>0</v>
      </c>
      <c r="JN767" s="323">
        <f>FISC!AK1073</f>
        <v>0</v>
      </c>
      <c r="JO767" s="327">
        <f t="shared" si="986"/>
        <v>0</v>
      </c>
      <c r="JP767" s="279">
        <f t="shared" si="893"/>
        <v>0</v>
      </c>
      <c r="JQ767" s="323">
        <f>FISC!AL1073</f>
        <v>0</v>
      </c>
      <c r="JR767" s="327">
        <f t="shared" si="919"/>
        <v>0</v>
      </c>
      <c r="JS767" s="279">
        <f t="shared" si="894"/>
        <v>0</v>
      </c>
      <c r="JT767" s="323">
        <f>FISC!AM1073</f>
        <v>0</v>
      </c>
      <c r="JU767" s="327">
        <f t="shared" si="920"/>
        <v>0</v>
      </c>
      <c r="JV767" s="279">
        <f t="shared" si="911"/>
        <v>0</v>
      </c>
      <c r="JW767" s="323">
        <f>FISC!AN1073</f>
        <v>0</v>
      </c>
      <c r="JX767" s="327">
        <f t="shared" si="921"/>
        <v>0</v>
      </c>
      <c r="JY767" s="279">
        <f t="shared" si="895"/>
        <v>0</v>
      </c>
      <c r="JZ767" s="323">
        <f>FISC!AO1073</f>
        <v>0</v>
      </c>
      <c r="KA767" s="327">
        <f t="shared" si="966"/>
        <v>0</v>
      </c>
      <c r="KB767" s="279">
        <f t="shared" si="967"/>
        <v>0</v>
      </c>
      <c r="KC767" s="323">
        <f>FISC!AP1073</f>
        <v>0</v>
      </c>
      <c r="KD767" s="327">
        <f t="shared" si="968"/>
        <v>0</v>
      </c>
      <c r="KE767" s="279">
        <f t="shared" si="969"/>
        <v>0</v>
      </c>
      <c r="KF767" s="323">
        <f>FISC!AQ1073</f>
        <v>0</v>
      </c>
      <c r="KG767" s="327">
        <f t="shared" si="970"/>
        <v>0</v>
      </c>
      <c r="KH767" s="279">
        <f t="shared" si="971"/>
        <v>0</v>
      </c>
      <c r="KI767" s="323">
        <f>FISC!AR1073</f>
        <v>0</v>
      </c>
      <c r="KJ767" s="327">
        <f t="shared" si="972"/>
        <v>0</v>
      </c>
      <c r="KK767" s="279">
        <f t="shared" si="973"/>
        <v>0</v>
      </c>
      <c r="KL767" s="323">
        <f>FISC!AS1073</f>
        <v>0</v>
      </c>
      <c r="KM767" s="327">
        <f t="shared" si="974"/>
        <v>0</v>
      </c>
      <c r="KN767" s="279">
        <f t="shared" si="975"/>
        <v>0</v>
      </c>
      <c r="KO767" s="323">
        <f>FISC!AT1073</f>
        <v>0</v>
      </c>
      <c r="KU767" s="326"/>
      <c r="KV767" s="327"/>
    </row>
    <row r="768" spans="1:314">
      <c r="A768" s="279"/>
      <c r="D768" s="1232" t="s">
        <v>471</v>
      </c>
      <c r="E768" s="323"/>
      <c r="F768" s="323"/>
      <c r="G768" s="323"/>
      <c r="H768" s="323"/>
      <c r="I768" s="323"/>
      <c r="J768" s="323"/>
      <c r="K768" s="323"/>
      <c r="L768" s="323"/>
      <c r="M768" s="323"/>
      <c r="N768" s="323"/>
      <c r="O768" s="323"/>
      <c r="P768" s="323"/>
      <c r="Q768" s="323"/>
      <c r="R768" s="323"/>
      <c r="S768" s="323"/>
      <c r="T768" s="323"/>
      <c r="U768" s="323"/>
      <c r="V768" s="323"/>
      <c r="W768" s="323"/>
      <c r="X768" s="323"/>
      <c r="Y768" s="323"/>
      <c r="Z768" s="323"/>
      <c r="AA768" s="323"/>
      <c r="AB768" s="323"/>
      <c r="AC768" s="323"/>
      <c r="AD768" s="323"/>
      <c r="AE768" s="323"/>
      <c r="AF768" s="323"/>
      <c r="AG768" s="323"/>
      <c r="AH768" s="323"/>
      <c r="AI768" s="323"/>
      <c r="AJ768" s="323"/>
      <c r="AK768" s="323"/>
      <c r="AL768" s="323"/>
      <c r="AM768" s="323"/>
      <c r="AN768" s="323"/>
      <c r="AO768" s="323"/>
      <c r="AP768" s="323"/>
      <c r="AQ768" s="323"/>
      <c r="AR768" s="323"/>
      <c r="AS768" s="323"/>
      <c r="AT768" s="323"/>
      <c r="AU768" s="323"/>
      <c r="AV768" s="323"/>
      <c r="AW768" s="323"/>
      <c r="AX768" s="323"/>
      <c r="AY768" s="323"/>
      <c r="AZ768" s="323"/>
      <c r="BA768" s="323"/>
      <c r="BB768" s="323"/>
      <c r="BC768" s="323"/>
      <c r="BD768" s="323"/>
      <c r="BE768" s="323"/>
      <c r="BF768" s="323"/>
      <c r="BG768" s="323"/>
      <c r="BH768" s="323"/>
      <c r="BI768" s="323"/>
      <c r="BJ768" s="323"/>
      <c r="BK768" s="323"/>
      <c r="BL768" s="323"/>
      <c r="BM768" s="323"/>
      <c r="BN768" s="323"/>
      <c r="BO768" s="323"/>
      <c r="BP768" s="323"/>
      <c r="BQ768" s="323"/>
      <c r="BR768" s="323"/>
      <c r="BS768" s="323"/>
      <c r="BT768" s="323"/>
      <c r="BU768" s="323"/>
      <c r="BV768" s="323"/>
      <c r="BW768" s="323"/>
      <c r="BX768" s="323"/>
      <c r="BY768" s="323"/>
      <c r="BZ768" s="323"/>
      <c r="CA768" s="323"/>
      <c r="CB768" s="323"/>
      <c r="CC768" s="323"/>
      <c r="CD768" s="329"/>
      <c r="CE768" s="323">
        <f t="shared" ref="CE768:DJ768" si="1025">CE365</f>
        <v>0</v>
      </c>
      <c r="CF768" s="323">
        <f t="shared" si="1025"/>
        <v>0</v>
      </c>
      <c r="CG768" s="323">
        <f t="shared" si="1025"/>
        <v>0</v>
      </c>
      <c r="CH768" s="323">
        <f t="shared" si="1025"/>
        <v>0</v>
      </c>
      <c r="CI768" s="323">
        <f t="shared" si="1025"/>
        <v>0</v>
      </c>
      <c r="CJ768" s="323">
        <f t="shared" si="1025"/>
        <v>0</v>
      </c>
      <c r="CK768" s="323">
        <f t="shared" si="1025"/>
        <v>0</v>
      </c>
      <c r="CL768" s="323">
        <f t="shared" si="1025"/>
        <v>0</v>
      </c>
      <c r="CM768" s="323">
        <f t="shared" si="1025"/>
        <v>0</v>
      </c>
      <c r="CN768" s="323">
        <f t="shared" si="1025"/>
        <v>0</v>
      </c>
      <c r="CO768" s="323">
        <f t="shared" si="1025"/>
        <v>0</v>
      </c>
      <c r="CP768" s="325">
        <f t="shared" si="1025"/>
        <v>0</v>
      </c>
      <c r="CQ768" s="323">
        <f t="shared" si="1025"/>
        <v>0</v>
      </c>
      <c r="CR768" s="323">
        <f t="shared" si="1025"/>
        <v>0</v>
      </c>
      <c r="CS768" s="323">
        <f t="shared" si="1025"/>
        <v>0</v>
      </c>
      <c r="CT768" s="323">
        <f t="shared" si="1025"/>
        <v>0</v>
      </c>
      <c r="CU768" s="323">
        <f t="shared" si="1025"/>
        <v>0</v>
      </c>
      <c r="CV768" s="323">
        <f t="shared" si="1025"/>
        <v>0</v>
      </c>
      <c r="CW768" s="323">
        <f t="shared" si="1025"/>
        <v>0</v>
      </c>
      <c r="CX768" s="323">
        <f t="shared" si="1025"/>
        <v>0</v>
      </c>
      <c r="CY768" s="323">
        <f t="shared" si="1025"/>
        <v>0</v>
      </c>
      <c r="CZ768" s="323">
        <f t="shared" si="1025"/>
        <v>0</v>
      </c>
      <c r="DA768" s="323">
        <f t="shared" si="1025"/>
        <v>0</v>
      </c>
      <c r="DB768" s="1269">
        <f t="shared" si="1025"/>
        <v>0</v>
      </c>
      <c r="DC768" s="323">
        <f t="shared" si="1025"/>
        <v>0</v>
      </c>
      <c r="DD768" s="323">
        <f t="shared" si="1025"/>
        <v>0</v>
      </c>
      <c r="DE768" s="323">
        <f t="shared" si="1025"/>
        <v>0</v>
      </c>
      <c r="DF768" s="323">
        <f t="shared" si="1025"/>
        <v>0</v>
      </c>
      <c r="DG768" s="323">
        <f t="shared" si="1025"/>
        <v>0</v>
      </c>
      <c r="DH768" s="323">
        <f t="shared" si="1025"/>
        <v>0</v>
      </c>
      <c r="DI768" s="323">
        <f t="shared" si="1025"/>
        <v>0</v>
      </c>
      <c r="DJ768" s="323">
        <f t="shared" si="1025"/>
        <v>0</v>
      </c>
      <c r="DK768" s="323">
        <f t="shared" ref="DK768:EP768" si="1026">DK365</f>
        <v>0</v>
      </c>
      <c r="DL768" s="323">
        <f t="shared" si="1026"/>
        <v>0</v>
      </c>
      <c r="DM768" s="323">
        <f t="shared" si="1026"/>
        <v>0</v>
      </c>
      <c r="DN768" s="325">
        <f t="shared" si="1026"/>
        <v>0</v>
      </c>
      <c r="DO768" s="323">
        <f t="shared" si="1026"/>
        <v>0</v>
      </c>
      <c r="DP768" s="323">
        <f t="shared" si="1026"/>
        <v>0</v>
      </c>
      <c r="DQ768" s="323">
        <f t="shared" si="1026"/>
        <v>0</v>
      </c>
      <c r="DR768" s="323">
        <f t="shared" si="1026"/>
        <v>0</v>
      </c>
      <c r="DS768" s="323">
        <f t="shared" si="1026"/>
        <v>0</v>
      </c>
      <c r="DT768" s="323">
        <f t="shared" si="1026"/>
        <v>0</v>
      </c>
      <c r="DU768" s="323">
        <f t="shared" si="1026"/>
        <v>0</v>
      </c>
      <c r="DV768" s="323">
        <f t="shared" si="1026"/>
        <v>0</v>
      </c>
      <c r="DW768" s="323">
        <f t="shared" si="1026"/>
        <v>0</v>
      </c>
      <c r="DX768" s="323">
        <f t="shared" si="1026"/>
        <v>0</v>
      </c>
      <c r="DY768" s="323">
        <f t="shared" si="1026"/>
        <v>0</v>
      </c>
      <c r="DZ768" s="325">
        <f t="shared" si="1026"/>
        <v>0</v>
      </c>
      <c r="EA768" s="323">
        <f t="shared" si="1026"/>
        <v>0</v>
      </c>
      <c r="EB768" s="323">
        <f t="shared" si="1026"/>
        <v>0</v>
      </c>
      <c r="EC768" s="323">
        <f t="shared" si="1026"/>
        <v>0</v>
      </c>
      <c r="ED768" s="323">
        <f t="shared" si="1026"/>
        <v>0</v>
      </c>
      <c r="EE768" s="323">
        <f t="shared" si="1026"/>
        <v>0</v>
      </c>
      <c r="EF768" s="323">
        <f t="shared" si="1026"/>
        <v>0</v>
      </c>
      <c r="EG768" s="323">
        <f t="shared" si="1026"/>
        <v>0</v>
      </c>
      <c r="EH768" s="323">
        <f t="shared" si="1026"/>
        <v>0</v>
      </c>
      <c r="EI768" s="323">
        <f t="shared" si="1026"/>
        <v>0</v>
      </c>
      <c r="EJ768" s="323">
        <f t="shared" si="1026"/>
        <v>0</v>
      </c>
      <c r="EK768" s="323">
        <f t="shared" si="1026"/>
        <v>0</v>
      </c>
      <c r="EL768" s="325">
        <f t="shared" si="1026"/>
        <v>0</v>
      </c>
      <c r="EM768" s="323">
        <f t="shared" si="1026"/>
        <v>0</v>
      </c>
      <c r="EN768" s="323">
        <f t="shared" si="1026"/>
        <v>0</v>
      </c>
      <c r="EO768" s="323">
        <f t="shared" si="1026"/>
        <v>0</v>
      </c>
      <c r="EP768" s="323">
        <f t="shared" si="1026"/>
        <v>0</v>
      </c>
      <c r="EQ768" s="323">
        <f t="shared" ref="EQ768:FV768" si="1027">EQ365</f>
        <v>0</v>
      </c>
      <c r="ER768" s="323">
        <f t="shared" si="1027"/>
        <v>0</v>
      </c>
      <c r="ES768" s="323">
        <f t="shared" si="1027"/>
        <v>0</v>
      </c>
      <c r="ET768" s="323">
        <f t="shared" si="1027"/>
        <v>0</v>
      </c>
      <c r="EU768" s="323">
        <f t="shared" si="1027"/>
        <v>0</v>
      </c>
      <c r="EV768" s="323">
        <f t="shared" si="1027"/>
        <v>0</v>
      </c>
      <c r="EW768" s="323">
        <f t="shared" si="1027"/>
        <v>0</v>
      </c>
      <c r="EX768" s="325">
        <f t="shared" si="1027"/>
        <v>0</v>
      </c>
      <c r="EY768" s="323">
        <f t="shared" si="1027"/>
        <v>0</v>
      </c>
      <c r="EZ768" s="323">
        <f t="shared" si="1027"/>
        <v>0</v>
      </c>
      <c r="FA768" s="323">
        <f t="shared" si="1027"/>
        <v>0</v>
      </c>
      <c r="FB768" s="323">
        <f t="shared" si="1027"/>
        <v>0</v>
      </c>
      <c r="FC768" s="323">
        <f t="shared" si="1027"/>
        <v>0</v>
      </c>
      <c r="FD768" s="323">
        <f t="shared" si="1027"/>
        <v>0</v>
      </c>
      <c r="FE768" s="323">
        <f t="shared" si="1027"/>
        <v>0</v>
      </c>
      <c r="FF768" s="323">
        <f t="shared" si="1027"/>
        <v>0</v>
      </c>
      <c r="FG768" s="323">
        <f t="shared" si="1027"/>
        <v>0</v>
      </c>
      <c r="FH768" s="323">
        <f t="shared" si="1027"/>
        <v>0</v>
      </c>
      <c r="FI768" s="323">
        <f t="shared" si="1027"/>
        <v>0</v>
      </c>
      <c r="FJ768" s="325">
        <f t="shared" si="1027"/>
        <v>0</v>
      </c>
      <c r="FK768" s="323">
        <f t="shared" si="1027"/>
        <v>0</v>
      </c>
      <c r="FL768" s="323">
        <f t="shared" si="1027"/>
        <v>0</v>
      </c>
      <c r="FM768" s="323">
        <f t="shared" si="1027"/>
        <v>0</v>
      </c>
      <c r="FN768" s="323">
        <f t="shared" si="1027"/>
        <v>0</v>
      </c>
      <c r="FO768" s="323">
        <f t="shared" si="1027"/>
        <v>0</v>
      </c>
      <c r="FP768" s="323">
        <f t="shared" si="1027"/>
        <v>0</v>
      </c>
      <c r="FQ768" s="323">
        <f t="shared" si="1027"/>
        <v>0</v>
      </c>
      <c r="FR768" s="323">
        <f t="shared" si="1027"/>
        <v>0</v>
      </c>
      <c r="FS768" s="323">
        <f t="shared" si="1027"/>
        <v>0</v>
      </c>
      <c r="FT768" s="323">
        <f t="shared" si="1027"/>
        <v>0</v>
      </c>
      <c r="FU768" s="323">
        <f t="shared" si="1027"/>
        <v>0</v>
      </c>
      <c r="FV768" s="323">
        <f t="shared" si="1027"/>
        <v>0</v>
      </c>
      <c r="FW768" s="323">
        <v>0</v>
      </c>
      <c r="FX768" s="323">
        <v>0</v>
      </c>
      <c r="FY768" s="323">
        <v>0</v>
      </c>
      <c r="FZ768" s="323">
        <v>0</v>
      </c>
      <c r="GA768" s="323">
        <v>0</v>
      </c>
      <c r="GB768" s="323">
        <v>0</v>
      </c>
      <c r="GC768" s="323">
        <v>0</v>
      </c>
      <c r="GD768" s="323">
        <v>0</v>
      </c>
      <c r="GE768" s="323">
        <v>0</v>
      </c>
      <c r="GF768" s="323">
        <v>0</v>
      </c>
      <c r="GG768" s="323">
        <v>0</v>
      </c>
      <c r="GH768" s="323">
        <v>0</v>
      </c>
      <c r="GI768" s="323">
        <f t="shared" ref="GI768:HR768" si="1028">GI365</f>
        <v>0</v>
      </c>
      <c r="GJ768" s="323">
        <f t="shared" si="1028"/>
        <v>0</v>
      </c>
      <c r="GK768" s="323">
        <f t="shared" si="1028"/>
        <v>0</v>
      </c>
      <c r="GL768" s="323">
        <f t="shared" si="1028"/>
        <v>0</v>
      </c>
      <c r="GM768" s="323">
        <f t="shared" si="1028"/>
        <v>0</v>
      </c>
      <c r="GN768" s="323">
        <f t="shared" si="1028"/>
        <v>0</v>
      </c>
      <c r="GO768" s="323">
        <f t="shared" si="1028"/>
        <v>0</v>
      </c>
      <c r="GP768" s="323">
        <f t="shared" si="1028"/>
        <v>0</v>
      </c>
      <c r="GQ768" s="323">
        <f t="shared" si="1028"/>
        <v>0</v>
      </c>
      <c r="GR768" s="323">
        <f t="shared" si="1028"/>
        <v>0</v>
      </c>
      <c r="GS768" s="323">
        <f t="shared" si="1028"/>
        <v>0</v>
      </c>
      <c r="GT768" s="323">
        <f t="shared" si="1028"/>
        <v>0</v>
      </c>
      <c r="GU768" s="323">
        <f t="shared" si="1028"/>
        <v>0</v>
      </c>
      <c r="GV768" s="323">
        <f t="shared" si="1028"/>
        <v>0</v>
      </c>
      <c r="GW768" s="323">
        <f t="shared" si="1028"/>
        <v>0</v>
      </c>
      <c r="GX768" s="323">
        <f t="shared" si="1028"/>
        <v>0</v>
      </c>
      <c r="GY768" s="323">
        <f t="shared" si="1028"/>
        <v>0</v>
      </c>
      <c r="GZ768" s="323">
        <f t="shared" si="1028"/>
        <v>0</v>
      </c>
      <c r="HA768" s="323">
        <f t="shared" si="1028"/>
        <v>0</v>
      </c>
      <c r="HB768" s="323">
        <f t="shared" si="1028"/>
        <v>0</v>
      </c>
      <c r="HC768" s="323">
        <f t="shared" si="1028"/>
        <v>0</v>
      </c>
      <c r="HD768" s="323">
        <f t="shared" si="1028"/>
        <v>0</v>
      </c>
      <c r="HE768" s="323">
        <f t="shared" si="1028"/>
        <v>0</v>
      </c>
      <c r="HF768" s="323">
        <f t="shared" si="1028"/>
        <v>0</v>
      </c>
      <c r="HG768" s="323">
        <f t="shared" si="1028"/>
        <v>0</v>
      </c>
      <c r="HH768" s="323">
        <f t="shared" si="1028"/>
        <v>0</v>
      </c>
      <c r="HI768" s="323">
        <f t="shared" si="1028"/>
        <v>0</v>
      </c>
      <c r="HJ768" s="323">
        <f t="shared" si="1028"/>
        <v>0</v>
      </c>
      <c r="HK768" s="323">
        <f t="shared" si="1028"/>
        <v>0</v>
      </c>
      <c r="HL768" s="323">
        <f t="shared" si="1028"/>
        <v>0</v>
      </c>
      <c r="HM768" s="323">
        <f t="shared" si="1028"/>
        <v>0</v>
      </c>
      <c r="HN768" s="323">
        <f t="shared" si="1028"/>
        <v>0</v>
      </c>
      <c r="HO768" s="323">
        <f t="shared" si="1028"/>
        <v>0</v>
      </c>
      <c r="HP768" s="323">
        <f t="shared" si="1028"/>
        <v>0</v>
      </c>
      <c r="HQ768" s="323">
        <f t="shared" si="1028"/>
        <v>0</v>
      </c>
      <c r="HR768" s="323">
        <f t="shared" si="1028"/>
        <v>0</v>
      </c>
      <c r="HS768" s="323">
        <f t="shared" ref="HS768:HX768" si="1029">HS365</f>
        <v>0</v>
      </c>
      <c r="HT768" s="323">
        <f t="shared" si="1029"/>
        <v>0</v>
      </c>
      <c r="HU768" s="323">
        <f t="shared" si="1029"/>
        <v>0</v>
      </c>
      <c r="HV768" s="323">
        <f t="shared" si="1029"/>
        <v>0</v>
      </c>
      <c r="HW768" s="323">
        <f t="shared" si="1029"/>
        <v>0</v>
      </c>
      <c r="HX768" s="323">
        <f t="shared" si="1029"/>
        <v>0</v>
      </c>
      <c r="HY768" s="323"/>
      <c r="HZ768" s="326"/>
      <c r="IA768" s="1232" t="s">
        <v>471</v>
      </c>
      <c r="IB768" s="284">
        <f t="shared" si="1010"/>
        <v>0</v>
      </c>
      <c r="IC768" s="279">
        <f t="shared" si="1011"/>
        <v>0</v>
      </c>
      <c r="ID768" s="323">
        <f t="shared" si="907"/>
        <v>0</v>
      </c>
      <c r="IE768" s="279">
        <f t="shared" si="1012"/>
        <v>0</v>
      </c>
      <c r="IF768" s="279">
        <f t="shared" si="1013"/>
        <v>0</v>
      </c>
      <c r="IG768" s="323">
        <f t="shared" si="880"/>
        <v>0</v>
      </c>
      <c r="IH768" s="284">
        <f t="shared" si="1014"/>
        <v>0</v>
      </c>
      <c r="II768" s="279">
        <f t="shared" si="1015"/>
        <v>0</v>
      </c>
      <c r="IJ768" s="323">
        <f t="shared" si="881"/>
        <v>0</v>
      </c>
      <c r="IK768" s="327">
        <f t="shared" si="1016"/>
        <v>0</v>
      </c>
      <c r="IL768" s="279">
        <f t="shared" si="1017"/>
        <v>0</v>
      </c>
      <c r="IM768" s="323">
        <f t="shared" si="882"/>
        <v>0</v>
      </c>
      <c r="IN768" s="279">
        <f t="shared" si="1018"/>
        <v>0</v>
      </c>
      <c r="IO768" s="279">
        <f t="shared" si="1019"/>
        <v>0</v>
      </c>
      <c r="IP768" s="323">
        <f t="shared" si="883"/>
        <v>0</v>
      </c>
      <c r="IQ768" s="327">
        <f t="shared" si="1020"/>
        <v>0</v>
      </c>
      <c r="IR768" s="327">
        <f t="shared" si="1021"/>
        <v>0</v>
      </c>
      <c r="IS768" s="323">
        <f t="shared" si="884"/>
        <v>0</v>
      </c>
      <c r="IT768" s="327">
        <f t="shared" si="1022"/>
        <v>0</v>
      </c>
      <c r="IU768" s="327">
        <f t="shared" si="1023"/>
        <v>0</v>
      </c>
      <c r="IV768" s="323">
        <f t="shared" si="885"/>
        <v>0</v>
      </c>
      <c r="IW768" s="327">
        <f t="shared" si="1024"/>
        <v>0</v>
      </c>
      <c r="IX768" s="327">
        <f t="shared" si="868"/>
        <v>0</v>
      </c>
      <c r="IY768" s="323">
        <f t="shared" si="886"/>
        <v>0</v>
      </c>
      <c r="IZ768" s="327">
        <f t="shared" si="869"/>
        <v>0</v>
      </c>
      <c r="JA768" s="327">
        <f t="shared" si="870"/>
        <v>0</v>
      </c>
      <c r="JB768" s="323">
        <f t="shared" si="887"/>
        <v>0</v>
      </c>
      <c r="JC768" s="327">
        <f t="shared" si="871"/>
        <v>0</v>
      </c>
      <c r="JD768" s="327">
        <f t="shared" si="872"/>
        <v>0</v>
      </c>
      <c r="JE768" s="323">
        <f t="shared" si="888"/>
        <v>0</v>
      </c>
      <c r="JF768" s="327">
        <f t="shared" si="908"/>
        <v>0</v>
      </c>
      <c r="JG768" s="327">
        <f t="shared" si="918"/>
        <v>0</v>
      </c>
      <c r="JH768" s="323">
        <f t="shared" si="889"/>
        <v>0</v>
      </c>
      <c r="JI768" s="327">
        <f t="shared" si="909"/>
        <v>0</v>
      </c>
      <c r="JJ768" s="327">
        <f t="shared" si="910"/>
        <v>0</v>
      </c>
      <c r="JK768" s="323">
        <f t="shared" si="890"/>
        <v>0</v>
      </c>
      <c r="JL768" s="327">
        <f t="shared" si="891"/>
        <v>0</v>
      </c>
      <c r="JM768" s="279">
        <f t="shared" si="892"/>
        <v>0</v>
      </c>
      <c r="JN768" s="323">
        <f>FISC!AK1074</f>
        <v>0</v>
      </c>
      <c r="JO768" s="327">
        <f t="shared" si="986"/>
        <v>0</v>
      </c>
      <c r="JP768" s="279">
        <f t="shared" si="893"/>
        <v>0</v>
      </c>
      <c r="JQ768" s="323">
        <f>FISC!AL1074</f>
        <v>0</v>
      </c>
      <c r="JR768" s="327">
        <f t="shared" si="919"/>
        <v>0</v>
      </c>
      <c r="JS768" s="279">
        <f t="shared" si="894"/>
        <v>0</v>
      </c>
      <c r="JT768" s="323">
        <f>FISC!AM1074</f>
        <v>0</v>
      </c>
      <c r="JU768" s="327">
        <f t="shared" si="920"/>
        <v>0</v>
      </c>
      <c r="JV768" s="279">
        <f t="shared" si="911"/>
        <v>0</v>
      </c>
      <c r="JW768" s="323">
        <f>FISC!AN1074</f>
        <v>0</v>
      </c>
      <c r="JX768" s="327">
        <f t="shared" si="921"/>
        <v>0</v>
      </c>
      <c r="JY768" s="279">
        <f t="shared" si="895"/>
        <v>0</v>
      </c>
      <c r="JZ768" s="323">
        <f>FISC!AO1074</f>
        <v>0</v>
      </c>
      <c r="KA768" s="327">
        <f t="shared" si="966"/>
        <v>0</v>
      </c>
      <c r="KB768" s="279">
        <f t="shared" si="967"/>
        <v>0</v>
      </c>
      <c r="KC768" s="323">
        <f>FISC!AP1074</f>
        <v>0</v>
      </c>
      <c r="KD768" s="327">
        <f t="shared" si="968"/>
        <v>0</v>
      </c>
      <c r="KE768" s="279">
        <f t="shared" si="969"/>
        <v>0</v>
      </c>
      <c r="KF768" s="323">
        <f>FISC!AQ1074</f>
        <v>0</v>
      </c>
      <c r="KG768" s="327">
        <f t="shared" si="970"/>
        <v>0</v>
      </c>
      <c r="KH768" s="279">
        <f t="shared" si="971"/>
        <v>0</v>
      </c>
      <c r="KI768" s="323">
        <f>FISC!AR1074</f>
        <v>0</v>
      </c>
      <c r="KJ768" s="327">
        <f t="shared" si="972"/>
        <v>0</v>
      </c>
      <c r="KK768" s="279">
        <f t="shared" si="973"/>
        <v>0</v>
      </c>
      <c r="KL768" s="323">
        <f>FISC!AS1074</f>
        <v>0</v>
      </c>
      <c r="KM768" s="327">
        <f t="shared" si="974"/>
        <v>0</v>
      </c>
      <c r="KN768" s="279">
        <f t="shared" si="975"/>
        <v>0</v>
      </c>
      <c r="KO768" s="323">
        <f>FISC!AT1074</f>
        <v>0</v>
      </c>
      <c r="KU768" s="326"/>
      <c r="KV768" s="327"/>
    </row>
    <row r="769" spans="1:308">
      <c r="A769" s="279"/>
      <c r="D769" s="1232" t="s">
        <v>473</v>
      </c>
      <c r="E769" s="323"/>
      <c r="F769" s="323"/>
      <c r="G769" s="323"/>
      <c r="H769" s="323"/>
      <c r="I769" s="323"/>
      <c r="J769" s="323"/>
      <c r="K769" s="323"/>
      <c r="L769" s="323"/>
      <c r="M769" s="323"/>
      <c r="N769" s="323"/>
      <c r="O769" s="323"/>
      <c r="P769" s="323"/>
      <c r="Q769" s="323"/>
      <c r="R769" s="323"/>
      <c r="S769" s="323"/>
      <c r="T769" s="323"/>
      <c r="U769" s="323"/>
      <c r="V769" s="323"/>
      <c r="W769" s="323"/>
      <c r="X769" s="323"/>
      <c r="Y769" s="323"/>
      <c r="Z769" s="323"/>
      <c r="AA769" s="323"/>
      <c r="AB769" s="323"/>
      <c r="AC769" s="323"/>
      <c r="AD769" s="323"/>
      <c r="AE769" s="323"/>
      <c r="AF769" s="323"/>
      <c r="AG769" s="323"/>
      <c r="AH769" s="323"/>
      <c r="AI769" s="323"/>
      <c r="AJ769" s="323"/>
      <c r="AK769" s="323"/>
      <c r="AL769" s="323"/>
      <c r="AM769" s="323"/>
      <c r="AN769" s="323"/>
      <c r="AO769" s="323"/>
      <c r="AP769" s="323"/>
      <c r="AQ769" s="323"/>
      <c r="AR769" s="323"/>
      <c r="AS769" s="323"/>
      <c r="AT769" s="323"/>
      <c r="AU769" s="323"/>
      <c r="AV769" s="323"/>
      <c r="AW769" s="323"/>
      <c r="AX769" s="323"/>
      <c r="AY769" s="323"/>
      <c r="AZ769" s="323"/>
      <c r="BA769" s="323"/>
      <c r="BB769" s="323"/>
      <c r="BC769" s="323"/>
      <c r="BD769" s="323"/>
      <c r="BE769" s="323"/>
      <c r="BF769" s="323"/>
      <c r="BG769" s="323"/>
      <c r="BH769" s="323"/>
      <c r="BI769" s="323"/>
      <c r="BJ769" s="323"/>
      <c r="BK769" s="323"/>
      <c r="BL769" s="323"/>
      <c r="BM769" s="323"/>
      <c r="BN769" s="323"/>
      <c r="BO769" s="323"/>
      <c r="BP769" s="323"/>
      <c r="BQ769" s="323"/>
      <c r="BR769" s="323"/>
      <c r="BS769" s="323"/>
      <c r="BT769" s="323"/>
      <c r="BU769" s="323"/>
      <c r="BV769" s="323"/>
      <c r="BW769" s="323"/>
      <c r="BX769" s="323"/>
      <c r="BY769" s="323"/>
      <c r="BZ769" s="323"/>
      <c r="CA769" s="323"/>
      <c r="CB769" s="323"/>
      <c r="CC769" s="323"/>
      <c r="CD769" s="329"/>
      <c r="CE769" s="323">
        <f t="shared" ref="CE769:DJ769" si="1030">CE366</f>
        <v>0</v>
      </c>
      <c r="CF769" s="323">
        <f t="shared" si="1030"/>
        <v>0</v>
      </c>
      <c r="CG769" s="323">
        <f t="shared" si="1030"/>
        <v>0</v>
      </c>
      <c r="CH769" s="323">
        <f t="shared" si="1030"/>
        <v>0</v>
      </c>
      <c r="CI769" s="323">
        <f t="shared" si="1030"/>
        <v>0</v>
      </c>
      <c r="CJ769" s="323">
        <f t="shared" si="1030"/>
        <v>0</v>
      </c>
      <c r="CK769" s="323">
        <f t="shared" si="1030"/>
        <v>0</v>
      </c>
      <c r="CL769" s="323">
        <f t="shared" si="1030"/>
        <v>0</v>
      </c>
      <c r="CM769" s="323">
        <f t="shared" si="1030"/>
        <v>0</v>
      </c>
      <c r="CN769" s="323">
        <f t="shared" si="1030"/>
        <v>0</v>
      </c>
      <c r="CO769" s="323">
        <f t="shared" si="1030"/>
        <v>0</v>
      </c>
      <c r="CP769" s="325">
        <f t="shared" si="1030"/>
        <v>0</v>
      </c>
      <c r="CQ769" s="323">
        <f t="shared" si="1030"/>
        <v>0</v>
      </c>
      <c r="CR769" s="323">
        <f t="shared" si="1030"/>
        <v>0</v>
      </c>
      <c r="CS769" s="323">
        <f t="shared" si="1030"/>
        <v>0</v>
      </c>
      <c r="CT769" s="323">
        <f t="shared" si="1030"/>
        <v>0</v>
      </c>
      <c r="CU769" s="323">
        <f t="shared" si="1030"/>
        <v>0</v>
      </c>
      <c r="CV769" s="323">
        <f t="shared" si="1030"/>
        <v>0</v>
      </c>
      <c r="CW769" s="323">
        <f t="shared" si="1030"/>
        <v>0</v>
      </c>
      <c r="CX769" s="323">
        <f t="shared" si="1030"/>
        <v>0</v>
      </c>
      <c r="CY769" s="323">
        <f t="shared" si="1030"/>
        <v>0</v>
      </c>
      <c r="CZ769" s="323">
        <f t="shared" si="1030"/>
        <v>0</v>
      </c>
      <c r="DA769" s="323">
        <f t="shared" si="1030"/>
        <v>0</v>
      </c>
      <c r="DB769" s="1269">
        <f t="shared" si="1030"/>
        <v>0</v>
      </c>
      <c r="DC769" s="323">
        <f t="shared" si="1030"/>
        <v>0</v>
      </c>
      <c r="DD769" s="323">
        <f t="shared" si="1030"/>
        <v>0</v>
      </c>
      <c r="DE769" s="323">
        <f t="shared" si="1030"/>
        <v>0</v>
      </c>
      <c r="DF769" s="323">
        <f t="shared" si="1030"/>
        <v>0</v>
      </c>
      <c r="DG769" s="323">
        <f t="shared" si="1030"/>
        <v>0</v>
      </c>
      <c r="DH769" s="323">
        <f t="shared" si="1030"/>
        <v>0</v>
      </c>
      <c r="DI769" s="323">
        <f t="shared" si="1030"/>
        <v>0</v>
      </c>
      <c r="DJ769" s="323">
        <f t="shared" si="1030"/>
        <v>0</v>
      </c>
      <c r="DK769" s="323">
        <f t="shared" ref="DK769:EP769" si="1031">DK366</f>
        <v>0</v>
      </c>
      <c r="DL769" s="323">
        <f t="shared" si="1031"/>
        <v>0</v>
      </c>
      <c r="DM769" s="323">
        <f t="shared" si="1031"/>
        <v>0</v>
      </c>
      <c r="DN769" s="325">
        <f t="shared" si="1031"/>
        <v>0</v>
      </c>
      <c r="DO769" s="323">
        <f t="shared" si="1031"/>
        <v>0</v>
      </c>
      <c r="DP769" s="323">
        <f t="shared" si="1031"/>
        <v>0</v>
      </c>
      <c r="DQ769" s="323">
        <f t="shared" si="1031"/>
        <v>0</v>
      </c>
      <c r="DR769" s="323">
        <f t="shared" si="1031"/>
        <v>0</v>
      </c>
      <c r="DS769" s="323">
        <f t="shared" si="1031"/>
        <v>0</v>
      </c>
      <c r="DT769" s="323">
        <f t="shared" si="1031"/>
        <v>0</v>
      </c>
      <c r="DU769" s="323">
        <f t="shared" si="1031"/>
        <v>0</v>
      </c>
      <c r="DV769" s="323">
        <f t="shared" si="1031"/>
        <v>0</v>
      </c>
      <c r="DW769" s="323">
        <f t="shared" si="1031"/>
        <v>0</v>
      </c>
      <c r="DX769" s="323">
        <f t="shared" si="1031"/>
        <v>0</v>
      </c>
      <c r="DY769" s="323">
        <f t="shared" si="1031"/>
        <v>0</v>
      </c>
      <c r="DZ769" s="325">
        <f t="shared" si="1031"/>
        <v>0</v>
      </c>
      <c r="EA769" s="323">
        <f t="shared" si="1031"/>
        <v>0</v>
      </c>
      <c r="EB769" s="323">
        <f t="shared" si="1031"/>
        <v>0</v>
      </c>
      <c r="EC769" s="323">
        <f t="shared" si="1031"/>
        <v>0</v>
      </c>
      <c r="ED769" s="323">
        <f t="shared" si="1031"/>
        <v>0</v>
      </c>
      <c r="EE769" s="323">
        <f t="shared" si="1031"/>
        <v>0</v>
      </c>
      <c r="EF769" s="323">
        <f t="shared" si="1031"/>
        <v>0</v>
      </c>
      <c r="EG769" s="323">
        <f t="shared" si="1031"/>
        <v>0</v>
      </c>
      <c r="EH769" s="323">
        <f t="shared" si="1031"/>
        <v>0</v>
      </c>
      <c r="EI769" s="323">
        <f t="shared" si="1031"/>
        <v>0</v>
      </c>
      <c r="EJ769" s="323">
        <f t="shared" si="1031"/>
        <v>0</v>
      </c>
      <c r="EK769" s="323">
        <f t="shared" si="1031"/>
        <v>0</v>
      </c>
      <c r="EL769" s="325">
        <f t="shared" si="1031"/>
        <v>0</v>
      </c>
      <c r="EM769" s="323">
        <f t="shared" si="1031"/>
        <v>0</v>
      </c>
      <c r="EN769" s="323">
        <f t="shared" si="1031"/>
        <v>0</v>
      </c>
      <c r="EO769" s="323">
        <f t="shared" si="1031"/>
        <v>0</v>
      </c>
      <c r="EP769" s="323">
        <f t="shared" si="1031"/>
        <v>0</v>
      </c>
      <c r="EQ769" s="323">
        <f t="shared" ref="EQ769:FV769" si="1032">EQ366</f>
        <v>0</v>
      </c>
      <c r="ER769" s="323">
        <f t="shared" si="1032"/>
        <v>0</v>
      </c>
      <c r="ES769" s="323">
        <f t="shared" si="1032"/>
        <v>0</v>
      </c>
      <c r="ET769" s="323">
        <f t="shared" si="1032"/>
        <v>0</v>
      </c>
      <c r="EU769" s="323">
        <f t="shared" si="1032"/>
        <v>0</v>
      </c>
      <c r="EV769" s="323">
        <f t="shared" si="1032"/>
        <v>0</v>
      </c>
      <c r="EW769" s="323">
        <f t="shared" si="1032"/>
        <v>0</v>
      </c>
      <c r="EX769" s="325">
        <f t="shared" si="1032"/>
        <v>0</v>
      </c>
      <c r="EY769" s="323">
        <f t="shared" si="1032"/>
        <v>0</v>
      </c>
      <c r="EZ769" s="323">
        <f t="shared" si="1032"/>
        <v>0</v>
      </c>
      <c r="FA769" s="323">
        <f t="shared" si="1032"/>
        <v>0</v>
      </c>
      <c r="FB769" s="323">
        <f t="shared" si="1032"/>
        <v>0</v>
      </c>
      <c r="FC769" s="323">
        <f t="shared" si="1032"/>
        <v>0</v>
      </c>
      <c r="FD769" s="323">
        <f t="shared" si="1032"/>
        <v>0</v>
      </c>
      <c r="FE769" s="323">
        <f t="shared" si="1032"/>
        <v>0</v>
      </c>
      <c r="FF769" s="323">
        <f t="shared" si="1032"/>
        <v>0</v>
      </c>
      <c r="FG769" s="323">
        <f t="shared" si="1032"/>
        <v>0</v>
      </c>
      <c r="FH769" s="323">
        <f t="shared" si="1032"/>
        <v>0</v>
      </c>
      <c r="FI769" s="323">
        <f t="shared" si="1032"/>
        <v>0</v>
      </c>
      <c r="FJ769" s="325">
        <f t="shared" si="1032"/>
        <v>0</v>
      </c>
      <c r="FK769" s="323">
        <f t="shared" si="1032"/>
        <v>0</v>
      </c>
      <c r="FL769" s="323">
        <f t="shared" si="1032"/>
        <v>0</v>
      </c>
      <c r="FM769" s="323">
        <f t="shared" si="1032"/>
        <v>0</v>
      </c>
      <c r="FN769" s="323">
        <f t="shared" si="1032"/>
        <v>0</v>
      </c>
      <c r="FO769" s="323">
        <f t="shared" si="1032"/>
        <v>0</v>
      </c>
      <c r="FP769" s="323">
        <f t="shared" si="1032"/>
        <v>0</v>
      </c>
      <c r="FQ769" s="323">
        <f t="shared" si="1032"/>
        <v>0</v>
      </c>
      <c r="FR769" s="323">
        <f t="shared" si="1032"/>
        <v>0</v>
      </c>
      <c r="FS769" s="323">
        <f t="shared" si="1032"/>
        <v>0</v>
      </c>
      <c r="FT769" s="323">
        <f t="shared" si="1032"/>
        <v>0</v>
      </c>
      <c r="FU769" s="323">
        <f t="shared" si="1032"/>
        <v>0</v>
      </c>
      <c r="FV769" s="323">
        <f t="shared" si="1032"/>
        <v>0</v>
      </c>
      <c r="FW769" s="323">
        <v>0</v>
      </c>
      <c r="FX769" s="323">
        <v>0</v>
      </c>
      <c r="FY769" s="323">
        <v>0</v>
      </c>
      <c r="FZ769" s="323">
        <v>0</v>
      </c>
      <c r="GA769" s="323">
        <v>0</v>
      </c>
      <c r="GB769" s="323">
        <v>0</v>
      </c>
      <c r="GC769" s="323">
        <v>0</v>
      </c>
      <c r="GD769" s="323">
        <v>0</v>
      </c>
      <c r="GE769" s="323">
        <v>0</v>
      </c>
      <c r="GF769" s="323">
        <v>0</v>
      </c>
      <c r="GG769" s="323">
        <v>0</v>
      </c>
      <c r="GH769" s="323">
        <v>0</v>
      </c>
      <c r="GI769" s="323">
        <f t="shared" ref="GI769:HR769" si="1033">GI366</f>
        <v>0</v>
      </c>
      <c r="GJ769" s="323">
        <f t="shared" si="1033"/>
        <v>0</v>
      </c>
      <c r="GK769" s="323">
        <f t="shared" si="1033"/>
        <v>0</v>
      </c>
      <c r="GL769" s="323">
        <f t="shared" si="1033"/>
        <v>0</v>
      </c>
      <c r="GM769" s="323">
        <f t="shared" si="1033"/>
        <v>0</v>
      </c>
      <c r="GN769" s="323">
        <f t="shared" si="1033"/>
        <v>0</v>
      </c>
      <c r="GO769" s="323">
        <f t="shared" si="1033"/>
        <v>0</v>
      </c>
      <c r="GP769" s="323">
        <f t="shared" si="1033"/>
        <v>0</v>
      </c>
      <c r="GQ769" s="323">
        <f t="shared" si="1033"/>
        <v>0</v>
      </c>
      <c r="GR769" s="323">
        <f t="shared" si="1033"/>
        <v>0</v>
      </c>
      <c r="GS769" s="323">
        <f t="shared" si="1033"/>
        <v>0</v>
      </c>
      <c r="GT769" s="323">
        <f t="shared" si="1033"/>
        <v>0</v>
      </c>
      <c r="GU769" s="323">
        <f t="shared" si="1033"/>
        <v>0</v>
      </c>
      <c r="GV769" s="323">
        <f t="shared" si="1033"/>
        <v>0</v>
      </c>
      <c r="GW769" s="323">
        <f t="shared" si="1033"/>
        <v>0</v>
      </c>
      <c r="GX769" s="323">
        <f t="shared" si="1033"/>
        <v>0</v>
      </c>
      <c r="GY769" s="323">
        <f t="shared" si="1033"/>
        <v>0</v>
      </c>
      <c r="GZ769" s="323">
        <f t="shared" si="1033"/>
        <v>0</v>
      </c>
      <c r="HA769" s="323">
        <f t="shared" si="1033"/>
        <v>0</v>
      </c>
      <c r="HB769" s="323">
        <f t="shared" si="1033"/>
        <v>0</v>
      </c>
      <c r="HC769" s="323">
        <f t="shared" si="1033"/>
        <v>0</v>
      </c>
      <c r="HD769" s="323">
        <f t="shared" si="1033"/>
        <v>0</v>
      </c>
      <c r="HE769" s="323">
        <f t="shared" si="1033"/>
        <v>0</v>
      </c>
      <c r="HF769" s="323">
        <f t="shared" si="1033"/>
        <v>0</v>
      </c>
      <c r="HG769" s="323">
        <f t="shared" si="1033"/>
        <v>0</v>
      </c>
      <c r="HH769" s="323">
        <f t="shared" si="1033"/>
        <v>0</v>
      </c>
      <c r="HI769" s="323">
        <f t="shared" si="1033"/>
        <v>0</v>
      </c>
      <c r="HJ769" s="323">
        <f t="shared" si="1033"/>
        <v>0</v>
      </c>
      <c r="HK769" s="323">
        <f t="shared" si="1033"/>
        <v>0</v>
      </c>
      <c r="HL769" s="323">
        <f t="shared" si="1033"/>
        <v>0</v>
      </c>
      <c r="HM769" s="323">
        <f t="shared" si="1033"/>
        <v>0</v>
      </c>
      <c r="HN769" s="323">
        <f t="shared" si="1033"/>
        <v>0</v>
      </c>
      <c r="HO769" s="323">
        <f t="shared" si="1033"/>
        <v>0</v>
      </c>
      <c r="HP769" s="323">
        <f t="shared" si="1033"/>
        <v>0</v>
      </c>
      <c r="HQ769" s="323">
        <f t="shared" si="1033"/>
        <v>0</v>
      </c>
      <c r="HR769" s="323">
        <f t="shared" si="1033"/>
        <v>0</v>
      </c>
      <c r="HS769" s="323">
        <f t="shared" ref="HS769:HX769" si="1034">HS366</f>
        <v>0</v>
      </c>
      <c r="HT769" s="323">
        <f t="shared" si="1034"/>
        <v>0</v>
      </c>
      <c r="HU769" s="323">
        <f t="shared" si="1034"/>
        <v>0</v>
      </c>
      <c r="HV769" s="323">
        <f t="shared" si="1034"/>
        <v>0</v>
      </c>
      <c r="HW769" s="323">
        <f t="shared" si="1034"/>
        <v>0</v>
      </c>
      <c r="HX769" s="323">
        <f t="shared" si="1034"/>
        <v>0</v>
      </c>
      <c r="HY769" s="323"/>
      <c r="HZ769" s="326"/>
      <c r="IA769" s="1232" t="s">
        <v>473</v>
      </c>
      <c r="IB769" s="284">
        <f t="shared" si="1010"/>
        <v>0</v>
      </c>
      <c r="IC769" s="279">
        <f t="shared" si="1011"/>
        <v>0</v>
      </c>
      <c r="ID769" s="323">
        <f t="shared" si="907"/>
        <v>0</v>
      </c>
      <c r="IE769" s="279">
        <f t="shared" si="1012"/>
        <v>0</v>
      </c>
      <c r="IF769" s="279">
        <f t="shared" si="1013"/>
        <v>0</v>
      </c>
      <c r="IG769" s="323">
        <f t="shared" si="880"/>
        <v>0</v>
      </c>
      <c r="IH769" s="284">
        <f t="shared" si="1014"/>
        <v>0</v>
      </c>
      <c r="II769" s="279">
        <f t="shared" si="1015"/>
        <v>0</v>
      </c>
      <c r="IJ769" s="323">
        <f t="shared" si="881"/>
        <v>0</v>
      </c>
      <c r="IK769" s="327">
        <f t="shared" si="1016"/>
        <v>0</v>
      </c>
      <c r="IL769" s="279">
        <f t="shared" si="1017"/>
        <v>0</v>
      </c>
      <c r="IM769" s="323">
        <f t="shared" si="882"/>
        <v>0</v>
      </c>
      <c r="IN769" s="279">
        <f t="shared" si="1018"/>
        <v>0</v>
      </c>
      <c r="IO769" s="279">
        <f t="shared" si="1019"/>
        <v>0</v>
      </c>
      <c r="IP769" s="323">
        <f t="shared" si="883"/>
        <v>0</v>
      </c>
      <c r="IQ769" s="327">
        <f t="shared" si="1020"/>
        <v>0</v>
      </c>
      <c r="IR769" s="327">
        <f t="shared" si="1021"/>
        <v>0</v>
      </c>
      <c r="IS769" s="323">
        <f t="shared" si="884"/>
        <v>0</v>
      </c>
      <c r="IT769" s="327">
        <f t="shared" si="1022"/>
        <v>0</v>
      </c>
      <c r="IU769" s="327">
        <f t="shared" si="1023"/>
        <v>0</v>
      </c>
      <c r="IV769" s="323">
        <f t="shared" si="885"/>
        <v>0</v>
      </c>
      <c r="IW769" s="327">
        <f t="shared" si="1024"/>
        <v>0</v>
      </c>
      <c r="IX769" s="327">
        <f t="shared" si="868"/>
        <v>0</v>
      </c>
      <c r="IY769" s="323">
        <f t="shared" si="886"/>
        <v>0</v>
      </c>
      <c r="IZ769" s="327">
        <f t="shared" si="869"/>
        <v>0</v>
      </c>
      <c r="JA769" s="327">
        <f t="shared" si="870"/>
        <v>0</v>
      </c>
      <c r="JB769" s="323">
        <f t="shared" si="887"/>
        <v>0</v>
      </c>
      <c r="JC769" s="327">
        <f t="shared" si="871"/>
        <v>0</v>
      </c>
      <c r="JD769" s="327">
        <f t="shared" si="872"/>
        <v>0</v>
      </c>
      <c r="JE769" s="323">
        <f t="shared" si="888"/>
        <v>0</v>
      </c>
      <c r="JF769" s="327">
        <f t="shared" si="908"/>
        <v>0</v>
      </c>
      <c r="JG769" s="327">
        <f t="shared" si="918"/>
        <v>0</v>
      </c>
      <c r="JH769" s="323">
        <f t="shared" si="889"/>
        <v>0</v>
      </c>
      <c r="JI769" s="327">
        <f t="shared" si="909"/>
        <v>0</v>
      </c>
      <c r="JJ769" s="327">
        <f t="shared" si="910"/>
        <v>0</v>
      </c>
      <c r="JK769" s="323">
        <f t="shared" si="890"/>
        <v>0</v>
      </c>
      <c r="JL769" s="327">
        <f t="shared" si="891"/>
        <v>0</v>
      </c>
      <c r="JM769" s="279">
        <f t="shared" si="892"/>
        <v>0</v>
      </c>
      <c r="JN769" s="323">
        <f>FISC!AK1075</f>
        <v>0</v>
      </c>
      <c r="JO769" s="327">
        <f t="shared" si="986"/>
        <v>0</v>
      </c>
      <c r="JP769" s="279">
        <f t="shared" si="893"/>
        <v>0</v>
      </c>
      <c r="JQ769" s="323">
        <f>FISC!AL1075</f>
        <v>0</v>
      </c>
      <c r="JR769" s="327">
        <f t="shared" si="919"/>
        <v>0</v>
      </c>
      <c r="JS769" s="279">
        <f t="shared" si="894"/>
        <v>0</v>
      </c>
      <c r="JT769" s="323">
        <f>FISC!AM1075</f>
        <v>0</v>
      </c>
      <c r="JU769" s="327">
        <f t="shared" si="920"/>
        <v>0</v>
      </c>
      <c r="JV769" s="279">
        <f t="shared" si="911"/>
        <v>0</v>
      </c>
      <c r="JW769" s="323">
        <f>FISC!AN1075</f>
        <v>0</v>
      </c>
      <c r="JX769" s="327">
        <f t="shared" si="921"/>
        <v>0</v>
      </c>
      <c r="JY769" s="279">
        <f t="shared" si="895"/>
        <v>0</v>
      </c>
      <c r="JZ769" s="323">
        <f>FISC!AO1075</f>
        <v>0</v>
      </c>
      <c r="KA769" s="327">
        <f t="shared" si="966"/>
        <v>0</v>
      </c>
      <c r="KB769" s="279">
        <f t="shared" si="967"/>
        <v>0</v>
      </c>
      <c r="KC769" s="323">
        <f>FISC!AP1075</f>
        <v>0</v>
      </c>
      <c r="KD769" s="327">
        <f t="shared" si="968"/>
        <v>0</v>
      </c>
      <c r="KE769" s="279">
        <f t="shared" si="969"/>
        <v>0</v>
      </c>
      <c r="KF769" s="323">
        <f>FISC!AQ1075</f>
        <v>0</v>
      </c>
      <c r="KG769" s="327">
        <f t="shared" si="970"/>
        <v>0</v>
      </c>
      <c r="KH769" s="279">
        <f t="shared" si="971"/>
        <v>0</v>
      </c>
      <c r="KI769" s="323">
        <f>FISC!AR1075</f>
        <v>0</v>
      </c>
      <c r="KJ769" s="327">
        <f t="shared" si="972"/>
        <v>0</v>
      </c>
      <c r="KK769" s="279">
        <f t="shared" si="973"/>
        <v>0</v>
      </c>
      <c r="KL769" s="323">
        <f>FISC!AS1075</f>
        <v>0</v>
      </c>
      <c r="KM769" s="327">
        <f t="shared" si="974"/>
        <v>0</v>
      </c>
      <c r="KN769" s="279">
        <f t="shared" si="975"/>
        <v>0</v>
      </c>
      <c r="KO769" s="323">
        <f>FISC!AT1075</f>
        <v>0</v>
      </c>
      <c r="KU769" s="326"/>
      <c r="KV769" s="327"/>
    </row>
    <row r="770" spans="1:308">
      <c r="A770" s="279"/>
      <c r="D770" s="1232" t="s">
        <v>474</v>
      </c>
      <c r="E770" s="323"/>
      <c r="F770" s="323"/>
      <c r="G770" s="323"/>
      <c r="H770" s="323"/>
      <c r="I770" s="323"/>
      <c r="J770" s="323"/>
      <c r="K770" s="323"/>
      <c r="L770" s="323"/>
      <c r="M770" s="323"/>
      <c r="N770" s="323"/>
      <c r="O770" s="323"/>
      <c r="P770" s="323"/>
      <c r="Q770" s="323"/>
      <c r="R770" s="323"/>
      <c r="S770" s="323"/>
      <c r="T770" s="323"/>
      <c r="U770" s="323"/>
      <c r="V770" s="323"/>
      <c r="W770" s="323"/>
      <c r="X770" s="323"/>
      <c r="Y770" s="323"/>
      <c r="Z770" s="323"/>
      <c r="AA770" s="323"/>
      <c r="AB770" s="323"/>
      <c r="AC770" s="323"/>
      <c r="AD770" s="323"/>
      <c r="AE770" s="323"/>
      <c r="AF770" s="323"/>
      <c r="AG770" s="323"/>
      <c r="AH770" s="323"/>
      <c r="AI770" s="323"/>
      <c r="AJ770" s="323"/>
      <c r="AK770" s="323"/>
      <c r="AL770" s="323"/>
      <c r="AM770" s="323"/>
      <c r="AN770" s="323"/>
      <c r="AO770" s="323"/>
      <c r="AP770" s="323"/>
      <c r="AQ770" s="323"/>
      <c r="AR770" s="323"/>
      <c r="AS770" s="323"/>
      <c r="AT770" s="323"/>
      <c r="AU770" s="323"/>
      <c r="AV770" s="323"/>
      <c r="AW770" s="323"/>
      <c r="AX770" s="323"/>
      <c r="AY770" s="323"/>
      <c r="AZ770" s="323"/>
      <c r="BA770" s="323"/>
      <c r="BB770" s="323"/>
      <c r="BC770" s="323"/>
      <c r="BD770" s="323"/>
      <c r="BE770" s="323"/>
      <c r="BF770" s="323"/>
      <c r="BG770" s="323"/>
      <c r="BH770" s="323"/>
      <c r="BI770" s="323"/>
      <c r="BJ770" s="323"/>
      <c r="BK770" s="323"/>
      <c r="BL770" s="323"/>
      <c r="BM770" s="323"/>
      <c r="BN770" s="323"/>
      <c r="BO770" s="323"/>
      <c r="BP770" s="323"/>
      <c r="BQ770" s="323"/>
      <c r="BR770" s="323"/>
      <c r="BS770" s="323"/>
      <c r="BT770" s="323"/>
      <c r="BU770" s="323"/>
      <c r="BV770" s="323"/>
      <c r="BW770" s="323"/>
      <c r="BX770" s="323"/>
      <c r="BY770" s="323"/>
      <c r="BZ770" s="323"/>
      <c r="CA770" s="323"/>
      <c r="CB770" s="323"/>
      <c r="CC770" s="323"/>
      <c r="CD770" s="329"/>
      <c r="CE770" s="323">
        <f t="shared" ref="CE770:DJ770" si="1035">CE367</f>
        <v>0.18629873899999999</v>
      </c>
      <c r="CF770" s="323">
        <f t="shared" si="1035"/>
        <v>0.15920899499999999</v>
      </c>
      <c r="CG770" s="323">
        <f t="shared" si="1035"/>
        <v>0.178470882</v>
      </c>
      <c r="CH770" s="323">
        <f t="shared" si="1035"/>
        <v>0.14890092199999999</v>
      </c>
      <c r="CI770" s="323">
        <f t="shared" si="1035"/>
        <v>5.8584415000000001E-2</v>
      </c>
      <c r="CJ770" s="323">
        <f t="shared" si="1035"/>
        <v>3.9388315E-2</v>
      </c>
      <c r="CK770" s="323">
        <f t="shared" si="1035"/>
        <v>4.5191657000000003E-2</v>
      </c>
      <c r="CL770" s="323">
        <f t="shared" si="1035"/>
        <v>3.8194131999999999E-2</v>
      </c>
      <c r="CM770" s="323">
        <f t="shared" si="1035"/>
        <v>4.3593558999999997E-2</v>
      </c>
      <c r="CN770" s="323">
        <f t="shared" si="1035"/>
        <v>5.3488122999999999E-2</v>
      </c>
      <c r="CO770" s="323">
        <f t="shared" si="1035"/>
        <v>4.6426489000000001E-2</v>
      </c>
      <c r="CP770" s="325">
        <f t="shared" si="1035"/>
        <v>4.8304062000000002E-2</v>
      </c>
      <c r="CQ770" s="323">
        <f t="shared" si="1035"/>
        <v>5.2774271999999997E-2</v>
      </c>
      <c r="CR770" s="323">
        <f t="shared" si="1035"/>
        <v>5.6541000000000001E-2</v>
      </c>
      <c r="CS770" s="323">
        <f t="shared" si="1035"/>
        <v>5.7675382999999997E-2</v>
      </c>
      <c r="CT770" s="323">
        <f t="shared" si="1035"/>
        <v>5.6808997E-2</v>
      </c>
      <c r="CU770" s="323">
        <f t="shared" si="1035"/>
        <v>4.6964319999999997E-2</v>
      </c>
      <c r="CV770" s="323">
        <f t="shared" si="1035"/>
        <v>5.4954225000000002E-2</v>
      </c>
      <c r="CW770" s="323">
        <f t="shared" si="1035"/>
        <v>6.1769862000000002E-2</v>
      </c>
      <c r="CX770" s="323">
        <f t="shared" si="1035"/>
        <v>6.6088794000000006E-2</v>
      </c>
      <c r="CY770" s="323">
        <f t="shared" si="1035"/>
        <v>7.6501576000000002E-2</v>
      </c>
      <c r="CZ770" s="323">
        <f t="shared" si="1035"/>
        <v>5.9327493000000002E-2</v>
      </c>
      <c r="DA770" s="323">
        <f t="shared" si="1035"/>
        <v>7.2615232000000002E-2</v>
      </c>
      <c r="DB770" s="1269">
        <f t="shared" si="1035"/>
        <v>7.5257155000000006E-2</v>
      </c>
      <c r="DC770" s="323">
        <f t="shared" si="1035"/>
        <v>5.2479115912306515E-2</v>
      </c>
      <c r="DD770" s="323">
        <f t="shared" si="1035"/>
        <v>5.585934207981038E-2</v>
      </c>
      <c r="DE770" s="323">
        <f t="shared" si="1035"/>
        <v>5.4293539633636964E-2</v>
      </c>
      <c r="DF770" s="323">
        <f t="shared" si="1035"/>
        <v>5.7689530012355966E-2</v>
      </c>
      <c r="DG770" s="323">
        <f t="shared" si="1035"/>
        <v>5.2496844027921589E-2</v>
      </c>
      <c r="DH770" s="323">
        <f t="shared" si="1035"/>
        <v>6.3531550415572804E-2</v>
      </c>
      <c r="DI770" s="323">
        <f t="shared" si="1035"/>
        <v>6.6451509381005192E-2</v>
      </c>
      <c r="DJ770" s="323">
        <f t="shared" si="1035"/>
        <v>7.8612076607345538E-2</v>
      </c>
      <c r="DK770" s="323">
        <f t="shared" ref="DK770:EP770" si="1036">DK367</f>
        <v>8.6809078866404155E-2</v>
      </c>
      <c r="DL770" s="323">
        <f t="shared" si="1036"/>
        <v>6.0433057344616049E-2</v>
      </c>
      <c r="DM770" s="323">
        <f t="shared" si="1036"/>
        <v>8.1517176994374149E-2</v>
      </c>
      <c r="DN770" s="325">
        <f t="shared" si="1036"/>
        <v>8.4506153423036967E-2</v>
      </c>
      <c r="DO770" s="323">
        <f t="shared" si="1036"/>
        <v>5.2048008536990868E-2</v>
      </c>
      <c r="DP770" s="323">
        <f t="shared" si="1036"/>
        <v>6.3192970219200617E-2</v>
      </c>
      <c r="DQ770" s="323">
        <f t="shared" si="1036"/>
        <v>5.1235985145528594E-2</v>
      </c>
      <c r="DR770" s="323">
        <f t="shared" si="1036"/>
        <v>5.4968291556039169E-2</v>
      </c>
      <c r="DS770" s="323">
        <f t="shared" si="1036"/>
        <v>5.137729354512878E-2</v>
      </c>
      <c r="DT770" s="323">
        <f t="shared" si="1036"/>
        <v>4.793513934449424E-2</v>
      </c>
      <c r="DU770" s="323">
        <f t="shared" si="1036"/>
        <v>4.4889627093318708E-2</v>
      </c>
      <c r="DV770" s="323">
        <f t="shared" si="1036"/>
        <v>4.096047780590089E-2</v>
      </c>
      <c r="DW770" s="323">
        <f t="shared" si="1036"/>
        <v>5.4415358044534401E-2</v>
      </c>
      <c r="DX770" s="323">
        <f t="shared" si="1036"/>
        <v>4.5040508734504929E-2</v>
      </c>
      <c r="DY770" s="323">
        <f t="shared" si="1036"/>
        <v>5.8503370240740829E-2</v>
      </c>
      <c r="DZ770" s="325">
        <f t="shared" si="1036"/>
        <v>4.5218736847096395E-2</v>
      </c>
      <c r="EA770" s="323">
        <f t="shared" si="1036"/>
        <v>4.6187208084312523E-2</v>
      </c>
      <c r="EB770" s="323">
        <f t="shared" si="1036"/>
        <v>2.375254384889523E-4</v>
      </c>
      <c r="EC770" s="323">
        <f t="shared" si="1036"/>
        <v>7.1074944752443255E-4</v>
      </c>
      <c r="ED770" s="323">
        <f t="shared" si="1036"/>
        <v>1.0269602923286729E-3</v>
      </c>
      <c r="EE770" s="323">
        <f t="shared" si="1036"/>
        <v>1.7602672137668641E-4</v>
      </c>
      <c r="EF770" s="323">
        <f t="shared" si="1036"/>
        <v>3.7982793851907113E-5</v>
      </c>
      <c r="EG770" s="323">
        <f t="shared" si="1036"/>
        <v>3.6999291697052163E-4</v>
      </c>
      <c r="EH770" s="323">
        <f t="shared" si="1036"/>
        <v>4.1395315342107527E-4</v>
      </c>
      <c r="EI770" s="323">
        <f t="shared" si="1036"/>
        <v>1.9518984629729881E-5</v>
      </c>
      <c r="EJ770" s="323">
        <f t="shared" si="1036"/>
        <v>2.3367160483534734E-5</v>
      </c>
      <c r="EK770" s="323">
        <f t="shared" si="1036"/>
        <v>3.2329481420287988E-4</v>
      </c>
      <c r="EL770" s="325">
        <f t="shared" si="1036"/>
        <v>1.2576885197768006E-4</v>
      </c>
      <c r="EM770" s="323">
        <f t="shared" si="1036"/>
        <v>1.5298199999999999E-4</v>
      </c>
      <c r="EN770" s="323">
        <f t="shared" si="1036"/>
        <v>0</v>
      </c>
      <c r="EO770" s="323">
        <f t="shared" si="1036"/>
        <v>3.0000000000000001E-5</v>
      </c>
      <c r="EP770" s="323">
        <f t="shared" si="1036"/>
        <v>2.5000000000000001E-5</v>
      </c>
      <c r="EQ770" s="323">
        <f t="shared" ref="EQ770:FV770" si="1037">EQ367</f>
        <v>1.0795500000000001E-3</v>
      </c>
      <c r="ER770" s="323">
        <f t="shared" si="1037"/>
        <v>3.0000000000000001E-5</v>
      </c>
      <c r="ES770" s="323">
        <f t="shared" si="1037"/>
        <v>1.9601200000000001E-3</v>
      </c>
      <c r="ET770" s="323">
        <f t="shared" si="1037"/>
        <v>1.2520000000000001E-4</v>
      </c>
      <c r="EU770" s="323">
        <f t="shared" si="1037"/>
        <v>0</v>
      </c>
      <c r="EV770" s="323">
        <f t="shared" si="1037"/>
        <v>1.088E-4</v>
      </c>
      <c r="EW770" s="323">
        <f t="shared" si="1037"/>
        <v>7.6799999999999997E-5</v>
      </c>
      <c r="EX770" s="325">
        <f t="shared" si="1037"/>
        <v>1.5E-5</v>
      </c>
      <c r="EY770" s="323">
        <f t="shared" si="1037"/>
        <v>9.9058999999999994E-2</v>
      </c>
      <c r="EZ770" s="323">
        <f t="shared" si="1037"/>
        <v>8.5198399999999994E-2</v>
      </c>
      <c r="FA770" s="323">
        <f t="shared" si="1037"/>
        <v>7.63567E-2</v>
      </c>
      <c r="FB770" s="323">
        <f t="shared" si="1037"/>
        <v>8.8739799999999994E-2</v>
      </c>
      <c r="FC770" s="323">
        <f t="shared" si="1037"/>
        <v>5.3900799999999999E-2</v>
      </c>
      <c r="FD770" s="323">
        <f t="shared" si="1037"/>
        <v>7.5960078E-2</v>
      </c>
      <c r="FE770" s="323">
        <f t="shared" si="1037"/>
        <v>7.5316400000000006E-2</v>
      </c>
      <c r="FF770" s="323">
        <f t="shared" si="1037"/>
        <v>6.9633775999999994E-2</v>
      </c>
      <c r="FG770" s="323">
        <f t="shared" si="1037"/>
        <v>5.4080218999999999E-2</v>
      </c>
      <c r="FH770" s="323">
        <f t="shared" si="1037"/>
        <v>6.0066E-3</v>
      </c>
      <c r="FI770" s="323">
        <f t="shared" si="1037"/>
        <v>3.3464599999999997E-2</v>
      </c>
      <c r="FJ770" s="325">
        <f t="shared" si="1037"/>
        <v>6.1432399999999998E-2</v>
      </c>
      <c r="FK770" s="323">
        <f t="shared" si="1037"/>
        <v>6.8993600000000002E-2</v>
      </c>
      <c r="FL770" s="323">
        <f t="shared" si="1037"/>
        <v>8.1558641000000001E-2</v>
      </c>
      <c r="FM770" s="323">
        <f t="shared" si="1037"/>
        <v>7.3485800000000004E-2</v>
      </c>
      <c r="FN770" s="323">
        <f t="shared" si="1037"/>
        <v>8.8610520809064286E-2</v>
      </c>
      <c r="FO770" s="323">
        <f t="shared" si="1037"/>
        <v>6.7279644627024404E-2</v>
      </c>
      <c r="FP770" s="323">
        <f t="shared" si="1037"/>
        <v>8.1074199999999999E-2</v>
      </c>
      <c r="FQ770" s="323">
        <f t="shared" si="1037"/>
        <v>3.47984E-2</v>
      </c>
      <c r="FR770" s="323">
        <f t="shared" si="1037"/>
        <v>5.0456300000000003E-2</v>
      </c>
      <c r="FS770" s="323">
        <f t="shared" si="1037"/>
        <v>8.4759892552102548E-2</v>
      </c>
      <c r="FT770" s="323">
        <f t="shared" si="1037"/>
        <v>7.0676377310043809E-2</v>
      </c>
      <c r="FU770" s="323">
        <f t="shared" si="1037"/>
        <v>6.0885094000000001E-2</v>
      </c>
      <c r="FV770" s="323">
        <f t="shared" si="1037"/>
        <v>7.2896464999999994E-2</v>
      </c>
      <c r="FW770" s="323">
        <v>3.2360800000000002E-2</v>
      </c>
      <c r="FX770" s="323">
        <v>6.4580128000000001E-2</v>
      </c>
      <c r="FY770" s="323">
        <v>6.8402000000000004E-2</v>
      </c>
      <c r="FZ770" s="323">
        <v>5.8953441523909536E-2</v>
      </c>
      <c r="GA770" s="323">
        <v>6.0339790582176596E-2</v>
      </c>
      <c r="GB770" s="323">
        <v>8.4150883999999995E-2</v>
      </c>
      <c r="GC770" s="323">
        <v>7.1144637999999996E-2</v>
      </c>
      <c r="GD770" s="323">
        <v>9.4180229000000004E-2</v>
      </c>
      <c r="GE770" s="323">
        <v>9.3732650000000001E-2</v>
      </c>
      <c r="GF770" s="323">
        <v>0.10326107599999999</v>
      </c>
      <c r="GG770" s="323">
        <v>9.9859117999999997E-2</v>
      </c>
      <c r="GH770" s="323">
        <v>0.1050020673773243</v>
      </c>
      <c r="GI770" s="323">
        <f t="shared" ref="GI770:HR770" si="1038">GI367</f>
        <v>0</v>
      </c>
      <c r="GJ770" s="323">
        <f t="shared" si="1038"/>
        <v>0</v>
      </c>
      <c r="GK770" s="323">
        <f t="shared" si="1038"/>
        <v>0</v>
      </c>
      <c r="GL770" s="323">
        <f t="shared" si="1038"/>
        <v>0</v>
      </c>
      <c r="GM770" s="323">
        <f t="shared" si="1038"/>
        <v>0</v>
      </c>
      <c r="GN770" s="323">
        <f t="shared" si="1038"/>
        <v>0</v>
      </c>
      <c r="GO770" s="323">
        <f t="shared" si="1038"/>
        <v>0</v>
      </c>
      <c r="GP770" s="323">
        <f t="shared" si="1038"/>
        <v>0</v>
      </c>
      <c r="GQ770" s="323">
        <f t="shared" si="1038"/>
        <v>0</v>
      </c>
      <c r="GR770" s="323">
        <f t="shared" si="1038"/>
        <v>0</v>
      </c>
      <c r="GS770" s="323">
        <f t="shared" si="1038"/>
        <v>0</v>
      </c>
      <c r="GT770" s="323">
        <f t="shared" si="1038"/>
        <v>0</v>
      </c>
      <c r="GU770" s="323">
        <f t="shared" si="1038"/>
        <v>0.47547929900000002</v>
      </c>
      <c r="GV770" s="323">
        <f t="shared" si="1038"/>
        <v>0.43885382099999998</v>
      </c>
      <c r="GW770" s="323">
        <f t="shared" si="1038"/>
        <v>0.51562478599999995</v>
      </c>
      <c r="GX770" s="323">
        <f t="shared" si="1038"/>
        <v>0.45634243099999999</v>
      </c>
      <c r="GY770" s="323">
        <f t="shared" si="1038"/>
        <v>0.46226521700000001</v>
      </c>
      <c r="GZ770" s="323">
        <f t="shared" si="1038"/>
        <v>0.468278413</v>
      </c>
      <c r="HA770" s="323">
        <f t="shared" si="1038"/>
        <v>0.59799794900000003</v>
      </c>
      <c r="HB770" s="323">
        <f t="shared" si="1038"/>
        <v>0.45727828100000001</v>
      </c>
      <c r="HC770" s="323">
        <f t="shared" si="1038"/>
        <v>0.47951903200000001</v>
      </c>
      <c r="HD770" s="323">
        <f t="shared" si="1038"/>
        <v>0.48487598700000001</v>
      </c>
      <c r="HE770" s="323">
        <f t="shared" si="1038"/>
        <v>0.61109103600000003</v>
      </c>
      <c r="HF770" s="323">
        <f t="shared" si="1038"/>
        <v>0.62623041245350075</v>
      </c>
      <c r="HG770" s="323">
        <f t="shared" si="1038"/>
        <v>0.69252155800000004</v>
      </c>
      <c r="HH770" s="323">
        <f t="shared" si="1038"/>
        <v>0.62730457299999998</v>
      </c>
      <c r="HI770" s="323">
        <f t="shared" si="1038"/>
        <v>0.60267086199999997</v>
      </c>
      <c r="HJ770" s="323">
        <f t="shared" si="1038"/>
        <v>0.60076210399999996</v>
      </c>
      <c r="HK770" s="323">
        <f t="shared" si="1038"/>
        <v>0.53064373799999998</v>
      </c>
      <c r="HL770" s="323">
        <f t="shared" si="1038"/>
        <v>0.62274074599999996</v>
      </c>
      <c r="HM770" s="323">
        <f t="shared" si="1038"/>
        <v>0.64121932100000001</v>
      </c>
      <c r="HN770" s="323">
        <f t="shared" si="1038"/>
        <v>0.61542526799999997</v>
      </c>
      <c r="HO770" s="323">
        <f t="shared" si="1038"/>
        <v>0.63637793799999998</v>
      </c>
      <c r="HP770" s="323">
        <f t="shared" si="1038"/>
        <v>0.909791075</v>
      </c>
      <c r="HQ770" s="323">
        <f t="shared" si="1038"/>
        <v>1.161305917</v>
      </c>
      <c r="HR770" s="323">
        <f t="shared" si="1038"/>
        <v>1.8291097199999999</v>
      </c>
      <c r="HS770" s="323">
        <f t="shared" ref="HS770:HX770" si="1039">HS367</f>
        <v>0.89568562200000001</v>
      </c>
      <c r="HT770" s="323">
        <f t="shared" si="1039"/>
        <v>1.0386557489999999</v>
      </c>
      <c r="HU770" s="323">
        <f t="shared" si="1039"/>
        <v>1.0802104830000001</v>
      </c>
      <c r="HV770" s="323">
        <f t="shared" si="1039"/>
        <v>1.3890730360000001</v>
      </c>
      <c r="HW770" s="323">
        <f t="shared" si="1039"/>
        <v>1.3627600390000001</v>
      </c>
      <c r="HX770" s="323">
        <f t="shared" si="1039"/>
        <v>4.5570987179999998</v>
      </c>
      <c r="HY770" s="323"/>
      <c r="HZ770" s="326"/>
      <c r="IA770" s="1232" t="s">
        <v>474</v>
      </c>
      <c r="IB770" s="284">
        <f t="shared" si="1010"/>
        <v>0.77085226799999984</v>
      </c>
      <c r="IC770" s="279">
        <f t="shared" si="1011"/>
        <v>0.27519802199999999</v>
      </c>
      <c r="ID770" s="323">
        <f t="shared" si="907"/>
        <v>1.0460502899999997</v>
      </c>
      <c r="IE770" s="279">
        <f t="shared" si="1012"/>
        <v>0.32571819699999999</v>
      </c>
      <c r="IF770" s="279">
        <f t="shared" si="1013"/>
        <v>0.41156011200000003</v>
      </c>
      <c r="IG770" s="323">
        <f t="shared" si="880"/>
        <v>0.73727830900000002</v>
      </c>
      <c r="IH770" s="284">
        <f t="shared" si="1014"/>
        <v>0.33634992208160419</v>
      </c>
      <c r="II770" s="279">
        <f t="shared" si="1015"/>
        <v>0.45832905261678208</v>
      </c>
      <c r="IJ770" s="323">
        <f t="shared" si="881"/>
        <v>0.79467897469838622</v>
      </c>
      <c r="IK770" s="327">
        <f t="shared" si="1016"/>
        <v>0.32075768834738227</v>
      </c>
      <c r="IL770" s="279">
        <f t="shared" si="1017"/>
        <v>0.28902807876609615</v>
      </c>
      <c r="IM770" s="323">
        <f t="shared" si="882"/>
        <v>0.60978576711347843</v>
      </c>
      <c r="IN770" s="279">
        <f t="shared" si="1018"/>
        <v>4.8376452777883168E-2</v>
      </c>
      <c r="IO770" s="279">
        <f t="shared" si="1019"/>
        <v>1.2758958816854215E-3</v>
      </c>
      <c r="IP770" s="323">
        <f t="shared" si="883"/>
        <v>4.9652348659568586E-2</v>
      </c>
      <c r="IQ770" s="327">
        <f t="shared" si="1020"/>
        <v>1.3175320000000002E-3</v>
      </c>
      <c r="IR770" s="327">
        <f t="shared" si="1021"/>
        <v>2.2859199999999999E-3</v>
      </c>
      <c r="IS770" s="323">
        <f t="shared" si="884"/>
        <v>3.603452E-3</v>
      </c>
      <c r="IT770" s="327">
        <f t="shared" si="1022"/>
        <v>0.47921477799999995</v>
      </c>
      <c r="IU770" s="327">
        <f t="shared" si="1023"/>
        <v>0.29993399499999995</v>
      </c>
      <c r="IV770" s="323">
        <f t="shared" si="885"/>
        <v>0.77914877299999996</v>
      </c>
      <c r="IW770" s="327">
        <f t="shared" si="1024"/>
        <v>0.4610024064360887</v>
      </c>
      <c r="IX770" s="327">
        <f t="shared" si="868"/>
        <v>0.37447252886214633</v>
      </c>
      <c r="IY770" s="323">
        <f>IW770+IX770</f>
        <v>0.83547493529823502</v>
      </c>
      <c r="IZ770" s="327">
        <f t="shared" si="869"/>
        <v>0.36878704410608609</v>
      </c>
      <c r="JA770" s="327">
        <f t="shared" si="870"/>
        <v>0.56717977837732436</v>
      </c>
      <c r="JB770" s="323">
        <f t="shared" si="887"/>
        <v>0.93596682248341045</v>
      </c>
      <c r="JC770" s="327">
        <f t="shared" si="871"/>
        <v>0</v>
      </c>
      <c r="JD770" s="327">
        <f t="shared" si="872"/>
        <v>0</v>
      </c>
      <c r="JE770" s="323">
        <f t="shared" si="888"/>
        <v>0</v>
      </c>
      <c r="JF770" s="327">
        <f t="shared" si="908"/>
        <v>2.8168439670000001</v>
      </c>
      <c r="JG770" s="327">
        <f t="shared" si="918"/>
        <v>3.2569926974535006</v>
      </c>
      <c r="JH770" s="323">
        <f t="shared" si="889"/>
        <v>6.0738366644535002</v>
      </c>
      <c r="JI770" s="327">
        <f t="shared" si="909"/>
        <v>3.6766435810000004</v>
      </c>
      <c r="JJ770" s="327">
        <f t="shared" si="910"/>
        <v>5.7932292389999995</v>
      </c>
      <c r="JK770" s="323">
        <f t="shared" si="890"/>
        <v>9.4698728199999991</v>
      </c>
      <c r="JL770" s="327">
        <f t="shared" si="891"/>
        <v>10.323483647</v>
      </c>
      <c r="JM770" s="279">
        <f t="shared" si="892"/>
        <v>1.2057098349434785</v>
      </c>
      <c r="JN770" s="323">
        <f>FISC!AK1076</f>
        <v>11.529193481943478</v>
      </c>
      <c r="JO770" s="327">
        <f>JQ770*0.44</f>
        <v>6.128265169140886</v>
      </c>
      <c r="JP770" s="279">
        <f t="shared" si="893"/>
        <v>7.799610215270218</v>
      </c>
      <c r="JQ770" s="323">
        <f>FISC!AL1076</f>
        <v>13.927875384411104</v>
      </c>
      <c r="JR770" s="327">
        <f t="shared" si="919"/>
        <v>7.6957617569733232</v>
      </c>
      <c r="JS770" s="279">
        <f t="shared" si="894"/>
        <v>8.3370752367211018</v>
      </c>
      <c r="JT770" s="323">
        <f>FISC!AM1076</f>
        <v>16.032836993694424</v>
      </c>
      <c r="JU770" s="327">
        <f t="shared" si="920"/>
        <v>8.8753017078173411</v>
      </c>
      <c r="JV770" s="279">
        <f t="shared" si="911"/>
        <v>9.6149101834687887</v>
      </c>
      <c r="JW770" s="323">
        <f>FISC!AN1076</f>
        <v>18.49021189128613</v>
      </c>
      <c r="JX770" s="327">
        <f t="shared" si="921"/>
        <v>10.083659829113385</v>
      </c>
      <c r="JY770" s="279">
        <f t="shared" si="895"/>
        <v>10.923964814872834</v>
      </c>
      <c r="JZ770" s="323">
        <f>FISC!AO1076</f>
        <v>21.007624643986219</v>
      </c>
      <c r="KA770" s="327">
        <f t="shared" si="966"/>
        <v>11.294666676745502</v>
      </c>
      <c r="KB770" s="279">
        <f t="shared" si="967"/>
        <v>12.235888899807629</v>
      </c>
      <c r="KC770" s="323">
        <f>FISC!AP1076</f>
        <v>23.53055557655313</v>
      </c>
      <c r="KD770" s="327">
        <f t="shared" si="968"/>
        <v>13.702384982753019</v>
      </c>
      <c r="KE770" s="279">
        <f t="shared" si="969"/>
        <v>14.844250397982437</v>
      </c>
      <c r="KF770" s="323">
        <f>FISC!AQ1076</f>
        <v>28.546635380735456</v>
      </c>
      <c r="KG770" s="327">
        <f t="shared" si="970"/>
        <v>16.555413142016928</v>
      </c>
      <c r="KH770" s="279">
        <f t="shared" si="971"/>
        <v>17.935030903851672</v>
      </c>
      <c r="KI770" s="323">
        <f>FISC!AR1076</f>
        <v>34.4904440458686</v>
      </c>
      <c r="KJ770" s="327">
        <f t="shared" si="972"/>
        <v>19.656962666992548</v>
      </c>
      <c r="KK770" s="279">
        <f t="shared" si="973"/>
        <v>21.295042889241927</v>
      </c>
      <c r="KL770" s="323">
        <f>FISC!AS1076</f>
        <v>40.952005556234475</v>
      </c>
      <c r="KM770" s="327">
        <f t="shared" si="974"/>
        <v>21.625859890301907</v>
      </c>
      <c r="KN770" s="279">
        <f t="shared" si="975"/>
        <v>23.428014881160404</v>
      </c>
      <c r="KO770" s="323">
        <f>FISC!AT1076</f>
        <v>45.053874771462311</v>
      </c>
      <c r="KU770" s="326"/>
      <c r="KV770" s="327"/>
    </row>
    <row r="771" spans="1:308">
      <c r="A771" s="279"/>
      <c r="B771" s="96" t="s">
        <v>338</v>
      </c>
      <c r="D771" s="332" t="s">
        <v>475</v>
      </c>
      <c r="E771" s="323"/>
      <c r="F771" s="323"/>
      <c r="G771" s="323"/>
      <c r="H771" s="323"/>
      <c r="I771" s="323"/>
      <c r="J771" s="323"/>
      <c r="K771" s="323"/>
      <c r="L771" s="323"/>
      <c r="M771" s="323"/>
      <c r="N771" s="323"/>
      <c r="O771" s="323"/>
      <c r="P771" s="323"/>
      <c r="Q771" s="323"/>
      <c r="R771" s="323"/>
      <c r="S771" s="323"/>
      <c r="T771" s="323"/>
      <c r="U771" s="323"/>
      <c r="V771" s="323"/>
      <c r="W771" s="323"/>
      <c r="X771" s="323"/>
      <c r="Y771" s="323"/>
      <c r="Z771" s="323"/>
      <c r="AA771" s="323"/>
      <c r="AB771" s="323"/>
      <c r="AC771" s="323"/>
      <c r="AD771" s="323"/>
      <c r="AE771" s="323"/>
      <c r="AF771" s="323"/>
      <c r="AG771" s="323"/>
      <c r="AH771" s="323"/>
      <c r="AI771" s="323"/>
      <c r="AJ771" s="323"/>
      <c r="AK771" s="323"/>
      <c r="AL771" s="323"/>
      <c r="AM771" s="323"/>
      <c r="AN771" s="323"/>
      <c r="AO771" s="323">
        <v>17.045080924600001</v>
      </c>
      <c r="AP771" s="323">
        <v>15.375850726500001</v>
      </c>
      <c r="AQ771" s="323">
        <v>18.6100274402</v>
      </c>
      <c r="AR771" s="323">
        <v>16.440530884299999</v>
      </c>
      <c r="AS771" s="323">
        <v>15.350039650700001</v>
      </c>
      <c r="AT771" s="323">
        <v>18.058999721399999</v>
      </c>
      <c r="AU771" s="323">
        <v>17.492775146600003</v>
      </c>
      <c r="AV771" s="323">
        <v>19.390814389600003</v>
      </c>
      <c r="AW771" s="323">
        <v>19.507058581200003</v>
      </c>
      <c r="AX771" s="323">
        <v>18.399187242</v>
      </c>
      <c r="AY771" s="323">
        <v>20.183848600099999</v>
      </c>
      <c r="AZ771" s="323">
        <v>21.4360325687</v>
      </c>
      <c r="BA771" s="323">
        <v>22.824121529599999</v>
      </c>
      <c r="BB771" s="323">
        <v>18.683016350800003</v>
      </c>
      <c r="BC771" s="323">
        <v>21.339992549899996</v>
      </c>
      <c r="BD771" s="323">
        <v>21.006627921800003</v>
      </c>
      <c r="BE771" s="323">
        <v>21.867128856999997</v>
      </c>
      <c r="BF771" s="323">
        <v>22.1927202603</v>
      </c>
      <c r="BG771" s="323">
        <v>20.660311997299999</v>
      </c>
      <c r="BH771" s="323">
        <v>24.485219245099998</v>
      </c>
      <c r="BI771" s="323">
        <v>23.432227439400002</v>
      </c>
      <c r="BJ771" s="323">
        <v>21.023373335199999</v>
      </c>
      <c r="BK771" s="323">
        <v>22.8377025606</v>
      </c>
      <c r="BL771" s="323">
        <v>24.340718837399997</v>
      </c>
      <c r="BM771" s="323">
        <v>23.771749191399998</v>
      </c>
      <c r="BN771" s="323">
        <v>24.179452358199999</v>
      </c>
      <c r="BO771" s="323">
        <v>24.087836556399999</v>
      </c>
      <c r="BP771" s="323">
        <v>22.146452180600001</v>
      </c>
      <c r="BQ771" s="323">
        <v>24.0091000816</v>
      </c>
      <c r="BR771" s="323">
        <v>26.690848141500002</v>
      </c>
      <c r="BS771" s="323">
        <v>24.1000651174</v>
      </c>
      <c r="BT771" s="323">
        <v>25.790491357800001</v>
      </c>
      <c r="BU771" s="323">
        <v>27.199180325900002</v>
      </c>
      <c r="BV771" s="323">
        <v>25.751857735999998</v>
      </c>
      <c r="BW771" s="323">
        <v>24.1006961141</v>
      </c>
      <c r="BX771" s="323">
        <v>24.928988610300003</v>
      </c>
      <c r="BY771" s="323">
        <v>27.058124117400002</v>
      </c>
      <c r="BZ771" s="323">
        <v>24.023823872999998</v>
      </c>
      <c r="CA771" s="323">
        <v>25.757828007600004</v>
      </c>
      <c r="CB771" s="323">
        <v>25.1543730912</v>
      </c>
      <c r="CC771" s="323">
        <v>26.0025780729</v>
      </c>
      <c r="CD771" s="329">
        <f>CD368</f>
        <v>0</v>
      </c>
      <c r="CE771" s="323">
        <f t="shared" ref="CE771:DJ771" si="1040">CE368</f>
        <v>26.193950407599999</v>
      </c>
      <c r="CF771" s="323">
        <f t="shared" si="1040"/>
        <v>30.537244051999998</v>
      </c>
      <c r="CG771" s="323">
        <f t="shared" si="1040"/>
        <v>31.713199928100003</v>
      </c>
      <c r="CH771" s="323">
        <f t="shared" si="1040"/>
        <v>29.210378220000003</v>
      </c>
      <c r="CI771" s="323">
        <f t="shared" si="1040"/>
        <v>30.778055479799995</v>
      </c>
      <c r="CJ771" s="323">
        <f t="shared" si="1040"/>
        <v>29.573716512900003</v>
      </c>
      <c r="CK771" s="323">
        <f t="shared" si="1040"/>
        <v>33.513913665799997</v>
      </c>
      <c r="CL771" s="323">
        <f t="shared" si="1040"/>
        <v>30.433911302299997</v>
      </c>
      <c r="CM771" s="323">
        <f t="shared" si="1040"/>
        <v>31.000781095999997</v>
      </c>
      <c r="CN771" s="323">
        <f t="shared" si="1040"/>
        <v>30.170115046299998</v>
      </c>
      <c r="CO771" s="323">
        <f t="shared" si="1040"/>
        <v>36.0058408242</v>
      </c>
      <c r="CP771" s="325">
        <f t="shared" si="1040"/>
        <v>43.757739748199995</v>
      </c>
      <c r="CQ771" s="323">
        <f t="shared" si="1040"/>
        <v>33.471184775199994</v>
      </c>
      <c r="CR771" s="323">
        <f t="shared" si="1040"/>
        <v>33.434064120400002</v>
      </c>
      <c r="CS771" s="323">
        <f t="shared" si="1040"/>
        <v>38.626960668099997</v>
      </c>
      <c r="CT771" s="323">
        <f t="shared" si="1040"/>
        <v>31.706105306399998</v>
      </c>
      <c r="CU771" s="323">
        <f t="shared" si="1040"/>
        <v>31.394059134400003</v>
      </c>
      <c r="CV771" s="323">
        <f t="shared" si="1040"/>
        <v>35.882737953700001</v>
      </c>
      <c r="CW771" s="323">
        <f t="shared" si="1040"/>
        <v>33.075159354500002</v>
      </c>
      <c r="CX771" s="323">
        <f t="shared" si="1040"/>
        <v>31.039300498900001</v>
      </c>
      <c r="CY771" s="323">
        <f t="shared" si="1040"/>
        <v>37.192440240000003</v>
      </c>
      <c r="CZ771" s="323">
        <f t="shared" si="1040"/>
        <v>34.869681115199995</v>
      </c>
      <c r="DA771" s="323">
        <f t="shared" si="1040"/>
        <v>34.499460470800003</v>
      </c>
      <c r="DB771" s="1269">
        <f t="shared" si="1040"/>
        <v>47.369050485200006</v>
      </c>
      <c r="DC771" s="323">
        <f t="shared" si="1040"/>
        <v>37.152220847247435</v>
      </c>
      <c r="DD771" s="323">
        <f t="shared" si="1040"/>
        <v>39.11347159675941</v>
      </c>
      <c r="DE771" s="323">
        <f t="shared" si="1040"/>
        <v>42.967671525083119</v>
      </c>
      <c r="DF771" s="323">
        <f t="shared" si="1040"/>
        <v>44.94925926023231</v>
      </c>
      <c r="DG771" s="323">
        <f t="shared" si="1040"/>
        <v>40.775350997670785</v>
      </c>
      <c r="DH771" s="323">
        <f t="shared" si="1040"/>
        <v>42.918952010932088</v>
      </c>
      <c r="DI771" s="323">
        <f t="shared" si="1040"/>
        <v>41.26642830750005</v>
      </c>
      <c r="DJ771" s="323">
        <f t="shared" si="1040"/>
        <v>41.239115872312233</v>
      </c>
      <c r="DK771" s="323">
        <f t="shared" ref="DK771:EP771" si="1041">DK368</f>
        <v>42.604703452951888</v>
      </c>
      <c r="DL771" s="323">
        <f t="shared" si="1041"/>
        <v>41.523903473342031</v>
      </c>
      <c r="DM771" s="323">
        <f t="shared" si="1041"/>
        <v>43.165366416875827</v>
      </c>
      <c r="DN771" s="325">
        <f t="shared" si="1041"/>
        <v>59.092532898797486</v>
      </c>
      <c r="DO771" s="323">
        <f t="shared" si="1041"/>
        <v>38.445664297665274</v>
      </c>
      <c r="DP771" s="323">
        <f t="shared" si="1041"/>
        <v>41.233652227421587</v>
      </c>
      <c r="DQ771" s="323">
        <f t="shared" si="1041"/>
        <v>45.783437808304797</v>
      </c>
      <c r="DR771" s="323">
        <f t="shared" si="1041"/>
        <v>37.81452832372527</v>
      </c>
      <c r="DS771" s="323">
        <f t="shared" si="1041"/>
        <v>40.020885699629673</v>
      </c>
      <c r="DT771" s="323">
        <f t="shared" si="1041"/>
        <v>47.777370732519998</v>
      </c>
      <c r="DU771" s="323">
        <f t="shared" si="1041"/>
        <v>42.835804453561529</v>
      </c>
      <c r="DV771" s="323">
        <f t="shared" si="1041"/>
        <v>42.68298217757912</v>
      </c>
      <c r="DW771" s="323">
        <f t="shared" si="1041"/>
        <v>48.179965031960045</v>
      </c>
      <c r="DX771" s="323">
        <f t="shared" si="1041"/>
        <v>41.323544411150003</v>
      </c>
      <c r="DY771" s="323">
        <f t="shared" si="1041"/>
        <v>43.841985045804634</v>
      </c>
      <c r="DZ771" s="325">
        <f t="shared" si="1041"/>
        <v>60.086841465289396</v>
      </c>
      <c r="EA771" s="323">
        <f t="shared" si="1041"/>
        <v>43.543357164931251</v>
      </c>
      <c r="EB771" s="323">
        <f t="shared" si="1041"/>
        <v>44.347574842021515</v>
      </c>
      <c r="EC771" s="323">
        <f t="shared" si="1041"/>
        <v>52.846526088215477</v>
      </c>
      <c r="ED771" s="323">
        <f t="shared" si="1041"/>
        <v>48.225939134043763</v>
      </c>
      <c r="EE771" s="323">
        <f t="shared" si="1041"/>
        <v>45.185369242105963</v>
      </c>
      <c r="EF771" s="323">
        <f t="shared" si="1041"/>
        <v>55.9083828028878</v>
      </c>
      <c r="EG771" s="323">
        <f t="shared" si="1041"/>
        <v>50.367792074604417</v>
      </c>
      <c r="EH771" s="323">
        <f t="shared" si="1041"/>
        <v>46.768529444280837</v>
      </c>
      <c r="EI771" s="323">
        <f t="shared" si="1041"/>
        <v>54.235682428344518</v>
      </c>
      <c r="EJ771" s="323">
        <f t="shared" si="1041"/>
        <v>48.953844839073028</v>
      </c>
      <c r="EK771" s="323">
        <f t="shared" si="1041"/>
        <v>50.189217396378183</v>
      </c>
      <c r="EL771" s="325">
        <f t="shared" si="1041"/>
        <v>64.569952200011286</v>
      </c>
      <c r="EM771" s="323">
        <f t="shared" si="1041"/>
        <v>47.52563120632</v>
      </c>
      <c r="EN771" s="323">
        <f t="shared" si="1041"/>
        <v>54.722804146800009</v>
      </c>
      <c r="EO771" s="323">
        <f t="shared" si="1041"/>
        <v>54.961715030960001</v>
      </c>
      <c r="EP771" s="323">
        <f t="shared" si="1041"/>
        <v>49.389373737296673</v>
      </c>
      <c r="EQ771" s="323">
        <f t="shared" ref="EQ771:FV771" si="1042">EQ368</f>
        <v>52.368215546056668</v>
      </c>
      <c r="ER771" s="323">
        <f t="shared" si="1042"/>
        <v>62.180448366056659</v>
      </c>
      <c r="ES771" s="323">
        <f t="shared" si="1042"/>
        <v>56.079019996352798</v>
      </c>
      <c r="ET771" s="323">
        <f t="shared" si="1042"/>
        <v>56.402314137709936</v>
      </c>
      <c r="EU771" s="323">
        <f t="shared" si="1042"/>
        <v>54.714496935680003</v>
      </c>
      <c r="EV771" s="323">
        <f t="shared" si="1042"/>
        <v>57.778528300494401</v>
      </c>
      <c r="EW771" s="323">
        <f t="shared" si="1042"/>
        <v>58.135009390280018</v>
      </c>
      <c r="EX771" s="325">
        <f t="shared" si="1042"/>
        <v>71.773079526670003</v>
      </c>
      <c r="EY771" s="323">
        <f t="shared" si="1042"/>
        <v>54.263382039290008</v>
      </c>
      <c r="EZ771" s="323">
        <f t="shared" si="1042"/>
        <v>61.952180569923961</v>
      </c>
      <c r="FA771" s="323">
        <f t="shared" si="1042"/>
        <v>61.400699289466829</v>
      </c>
      <c r="FB771" s="323">
        <f t="shared" si="1042"/>
        <v>58.598301699079997</v>
      </c>
      <c r="FC771" s="323">
        <f t="shared" si="1042"/>
        <v>60.445300122399203</v>
      </c>
      <c r="FD771" s="323">
        <f t="shared" si="1042"/>
        <v>78.471032264479192</v>
      </c>
      <c r="FE771" s="323">
        <f t="shared" si="1042"/>
        <v>66.07755830056</v>
      </c>
      <c r="FF771" s="323">
        <f t="shared" si="1042"/>
        <v>58.48371647499664</v>
      </c>
      <c r="FG771" s="323">
        <f t="shared" si="1042"/>
        <v>60.428050559280003</v>
      </c>
      <c r="FH771" s="323">
        <f t="shared" si="1042"/>
        <v>38.734274717475898</v>
      </c>
      <c r="FI771" s="323">
        <f t="shared" si="1042"/>
        <v>40.964304717332695</v>
      </c>
      <c r="FJ771" s="325">
        <f t="shared" si="1042"/>
        <v>72.390007426795904</v>
      </c>
      <c r="FK771" s="323">
        <f t="shared" si="1042"/>
        <v>54.168901728150594</v>
      </c>
      <c r="FL771" s="323">
        <f t="shared" si="1042"/>
        <v>60.051041430954385</v>
      </c>
      <c r="FM771" s="323">
        <f t="shared" si="1042"/>
        <v>71.479806972853822</v>
      </c>
      <c r="FN771" s="323">
        <f t="shared" si="1042"/>
        <v>63.371288552983501</v>
      </c>
      <c r="FO771" s="323">
        <f t="shared" si="1042"/>
        <v>61.997095310571702</v>
      </c>
      <c r="FP771" s="323">
        <f t="shared" si="1042"/>
        <v>69.343101686268739</v>
      </c>
      <c r="FQ771" s="323">
        <f t="shared" si="1042"/>
        <v>60.057290794969944</v>
      </c>
      <c r="FR771" s="323">
        <f t="shared" si="1042"/>
        <v>58.694828293877428</v>
      </c>
      <c r="FS771" s="323">
        <f t="shared" si="1042"/>
        <v>64.712181678315659</v>
      </c>
      <c r="FT771" s="323">
        <f t="shared" si="1042"/>
        <v>64.673643356741692</v>
      </c>
      <c r="FU771" s="323">
        <f t="shared" si="1042"/>
        <v>66.447717415473193</v>
      </c>
      <c r="FV771" s="323">
        <f t="shared" si="1042"/>
        <v>80.95332279998722</v>
      </c>
      <c r="FW771" s="323">
        <v>57.455082833334053</v>
      </c>
      <c r="FX771" s="323">
        <v>61.040984403823927</v>
      </c>
      <c r="FY771" s="323">
        <v>71.34859550482399</v>
      </c>
      <c r="FZ771" s="323">
        <v>67.735260111406518</v>
      </c>
      <c r="GA771" s="323">
        <v>71.406121894751934</v>
      </c>
      <c r="GB771" s="323">
        <v>79.97994653947751</v>
      </c>
      <c r="GC771" s="323">
        <v>74.128009737574985</v>
      </c>
      <c r="GD771" s="323">
        <v>66.461552756245538</v>
      </c>
      <c r="GE771" s="323">
        <v>83.517696730099829</v>
      </c>
      <c r="GF771" s="323">
        <v>75.203753604971894</v>
      </c>
      <c r="GG771" s="323">
        <v>73.101989073323665</v>
      </c>
      <c r="GH771" s="323">
        <v>91.710698926614242</v>
      </c>
      <c r="GI771" s="323">
        <f t="shared" ref="GI771:HR771" si="1043">GI368</f>
        <v>75.83596751694094</v>
      </c>
      <c r="GJ771" s="323">
        <f t="shared" si="1043"/>
        <v>91.518969854744995</v>
      </c>
      <c r="GK771" s="323">
        <f t="shared" si="1043"/>
        <v>89.953357421414836</v>
      </c>
      <c r="GL771" s="323">
        <f t="shared" si="1043"/>
        <v>76.794259471496403</v>
      </c>
      <c r="GM771" s="323">
        <f t="shared" si="1043"/>
        <v>79.812763006002214</v>
      </c>
      <c r="GN771" s="323">
        <f t="shared" si="1043"/>
        <v>90.371227122600786</v>
      </c>
      <c r="GO771" s="323">
        <f t="shared" si="1043"/>
        <v>93.541868119232603</v>
      </c>
      <c r="GP771" s="323">
        <f t="shared" si="1043"/>
        <v>78.785211588544087</v>
      </c>
      <c r="GQ771" s="323">
        <f t="shared" si="1043"/>
        <v>91.676332418468078</v>
      </c>
      <c r="GR771" s="323">
        <f t="shared" si="1043"/>
        <v>80.289282286640002</v>
      </c>
      <c r="GS771" s="323">
        <f t="shared" si="1043"/>
        <v>83.865236796749997</v>
      </c>
      <c r="GT771" s="323">
        <f t="shared" si="1043"/>
        <v>97.978523219140015</v>
      </c>
      <c r="GU771" s="323">
        <f t="shared" si="1043"/>
        <v>93.588156971670628</v>
      </c>
      <c r="GV771" s="323">
        <f t="shared" si="1043"/>
        <v>95.09266117670154</v>
      </c>
      <c r="GW771" s="323">
        <f t="shared" si="1043"/>
        <v>92.184935714847882</v>
      </c>
      <c r="GX771" s="323">
        <f t="shared" si="1043"/>
        <v>95.011488550449997</v>
      </c>
      <c r="GY771" s="323">
        <f t="shared" si="1043"/>
        <v>90.740672627979492</v>
      </c>
      <c r="GZ771" s="323">
        <f t="shared" si="1043"/>
        <v>94.519543153649991</v>
      </c>
      <c r="HA771" s="323">
        <f t="shared" si="1043"/>
        <v>108.52683890841251</v>
      </c>
      <c r="HB771" s="323">
        <f t="shared" si="1043"/>
        <v>90.239175114779997</v>
      </c>
      <c r="HC771" s="323">
        <f t="shared" si="1043"/>
        <v>93.516958395113221</v>
      </c>
      <c r="HD771" s="323">
        <f t="shared" si="1043"/>
        <v>103.89674737625</v>
      </c>
      <c r="HE771" s="323">
        <f t="shared" si="1043"/>
        <v>102.254227319295</v>
      </c>
      <c r="HF771" s="323">
        <f t="shared" si="1043"/>
        <v>130.19032642524189</v>
      </c>
      <c r="HG771" s="323">
        <f t="shared" si="1043"/>
        <v>119.86874236616913</v>
      </c>
      <c r="HH771" s="323">
        <f t="shared" si="1043"/>
        <v>111.53782990078483</v>
      </c>
      <c r="HI771" s="323">
        <f t="shared" si="1043"/>
        <v>112.14483491384611</v>
      </c>
      <c r="HJ771" s="323">
        <f t="shared" si="1043"/>
        <v>124.95749331484998</v>
      </c>
      <c r="HK771" s="323">
        <f t="shared" si="1043"/>
        <v>105.55191559369999</v>
      </c>
      <c r="HL771" s="323">
        <f t="shared" si="1043"/>
        <v>111.3711804819222</v>
      </c>
      <c r="HM771" s="323">
        <f t="shared" si="1043"/>
        <v>139.25446059146091</v>
      </c>
      <c r="HN771" s="323">
        <f t="shared" si="1043"/>
        <v>109.02983075476104</v>
      </c>
      <c r="HO771" s="323">
        <f t="shared" si="1043"/>
        <v>110.89497578340911</v>
      </c>
      <c r="HP771" s="323">
        <f t="shared" si="1043"/>
        <v>122.05574261761694</v>
      </c>
      <c r="HQ771" s="323">
        <f t="shared" si="1043"/>
        <v>114.08303553167009</v>
      </c>
      <c r="HR771" s="323">
        <f t="shared" si="1043"/>
        <v>138.51546891650182</v>
      </c>
      <c r="HS771" s="323">
        <f t="shared" ref="HS771:HX771" si="1044">HS368</f>
        <v>144.17090390292202</v>
      </c>
      <c r="HT771" s="323">
        <f t="shared" si="1044"/>
        <v>155.25680619866401</v>
      </c>
      <c r="HU771" s="323">
        <f t="shared" si="1044"/>
        <v>148.57455194759606</v>
      </c>
      <c r="HV771" s="323">
        <f t="shared" si="1044"/>
        <v>173.26160989092597</v>
      </c>
      <c r="HW771" s="323">
        <f t="shared" si="1044"/>
        <v>147.78109822700696</v>
      </c>
      <c r="HX771" s="323">
        <f t="shared" si="1044"/>
        <v>161.5893439171</v>
      </c>
      <c r="HY771" s="323"/>
      <c r="HZ771" s="326"/>
      <c r="IA771" s="332" t="s">
        <v>475</v>
      </c>
      <c r="IB771" s="284">
        <f t="shared" si="1010"/>
        <v>178.00654460040002</v>
      </c>
      <c r="IC771" s="279">
        <f t="shared" si="1011"/>
        <v>204.8823016828</v>
      </c>
      <c r="ID771" s="323">
        <f t="shared" si="907"/>
        <v>382.8888462832</v>
      </c>
      <c r="IE771" s="279">
        <f t="shared" si="1012"/>
        <v>204.51511195820001</v>
      </c>
      <c r="IF771" s="279">
        <f t="shared" si="1013"/>
        <v>218.04509216459999</v>
      </c>
      <c r="IG771" s="323">
        <f t="shared" si="880"/>
        <v>422.56020412279997</v>
      </c>
      <c r="IH771" s="284">
        <f t="shared" si="1014"/>
        <v>247.87692623792515</v>
      </c>
      <c r="II771" s="279">
        <f t="shared" si="1015"/>
        <v>268.89205042177957</v>
      </c>
      <c r="IJ771" s="323">
        <f t="shared" si="881"/>
        <v>516.76897665970478</v>
      </c>
      <c r="IK771" s="327">
        <f t="shared" si="1016"/>
        <v>251.07553908926661</v>
      </c>
      <c r="IL771" s="279">
        <f t="shared" si="1017"/>
        <v>278.95112258534476</v>
      </c>
      <c r="IM771" s="323">
        <f t="shared" si="882"/>
        <v>530.02666167461143</v>
      </c>
      <c r="IN771" s="279">
        <f t="shared" si="1018"/>
        <v>290.05714927420576</v>
      </c>
      <c r="IO771" s="279">
        <f t="shared" si="1019"/>
        <v>315.08501838269228</v>
      </c>
      <c r="IP771" s="323">
        <f t="shared" si="883"/>
        <v>605.14216765689798</v>
      </c>
      <c r="IQ771" s="327">
        <f t="shared" si="1020"/>
        <v>321.14818803349004</v>
      </c>
      <c r="IR771" s="327">
        <f t="shared" si="1021"/>
        <v>354.88244828718717</v>
      </c>
      <c r="IS771" s="323">
        <f t="shared" si="884"/>
        <v>676.03063632067722</v>
      </c>
      <c r="IT771" s="327">
        <f t="shared" si="1022"/>
        <v>375.13089598463921</v>
      </c>
      <c r="IU771" s="327">
        <f t="shared" si="1023"/>
        <v>337.07791219644116</v>
      </c>
      <c r="IV771" s="323">
        <f t="shared" si="885"/>
        <v>712.20880818108037</v>
      </c>
      <c r="IW771" s="327">
        <f t="shared" si="1024"/>
        <v>380.41123568178273</v>
      </c>
      <c r="IX771" s="327">
        <f t="shared" si="868"/>
        <v>395.53898433936519</v>
      </c>
      <c r="IY771" s="323">
        <f t="shared" si="886"/>
        <v>775.95022002114797</v>
      </c>
      <c r="IZ771" s="327">
        <f t="shared" si="869"/>
        <v>408.9659912876179</v>
      </c>
      <c r="JA771" s="327">
        <f t="shared" si="870"/>
        <v>464.12370082883012</v>
      </c>
      <c r="JB771" s="323">
        <f t="shared" si="887"/>
        <v>873.08969211644808</v>
      </c>
      <c r="JC771" s="327">
        <f t="shared" si="871"/>
        <v>504.28654439320019</v>
      </c>
      <c r="JD771" s="327">
        <f t="shared" si="872"/>
        <v>526.13645442877475</v>
      </c>
      <c r="JE771" s="323">
        <f t="shared" si="888"/>
        <v>1030.4229988219749</v>
      </c>
      <c r="JF771" s="327">
        <f t="shared" si="908"/>
        <v>561.13745819529959</v>
      </c>
      <c r="JG771" s="327">
        <f t="shared" si="918"/>
        <v>628.62427353909266</v>
      </c>
      <c r="JH771" s="323">
        <f t="shared" si="889"/>
        <v>1189.7617317343922</v>
      </c>
      <c r="JI771" s="327">
        <f t="shared" si="909"/>
        <v>685.43199657127229</v>
      </c>
      <c r="JJ771" s="327">
        <f t="shared" si="910"/>
        <v>733.83351419541998</v>
      </c>
      <c r="JK771" s="323">
        <f t="shared" si="890"/>
        <v>1419.2655107666924</v>
      </c>
      <c r="JL771" s="327">
        <f t="shared" si="891"/>
        <v>930.63431408421513</v>
      </c>
      <c r="JM771" s="279">
        <f t="shared" si="892"/>
        <v>952.91844083774015</v>
      </c>
      <c r="JN771" s="323">
        <f>FISC!AK1077</f>
        <v>1883.5527549219553</v>
      </c>
      <c r="JO771" s="327">
        <f>JQ771*0.49055</f>
        <v>1111.3111172601966</v>
      </c>
      <c r="JP771" s="279">
        <f t="shared" si="893"/>
        <v>1154.1279149693351</v>
      </c>
      <c r="JQ771" s="323">
        <f>FISC!AL1077</f>
        <v>2265.4390322295317</v>
      </c>
      <c r="JR771" s="327">
        <f t="shared" si="919"/>
        <v>1253.206590184283</v>
      </c>
      <c r="JS771" s="279">
        <f t="shared" si="894"/>
        <v>1357.6404726996398</v>
      </c>
      <c r="JT771" s="323">
        <f>FISC!AM1077</f>
        <v>2610.8470628839227</v>
      </c>
      <c r="JU771" s="327">
        <f t="shared" si="920"/>
        <v>1429.777598628827</v>
      </c>
      <c r="JV771" s="279">
        <f t="shared" si="911"/>
        <v>1548.9257318478963</v>
      </c>
      <c r="JW771" s="323">
        <f>FISC!AN1077</f>
        <v>2978.7033304767233</v>
      </c>
      <c r="JX771" s="327">
        <f t="shared" si="921"/>
        <v>1642.6145328356624</v>
      </c>
      <c r="JY771" s="279">
        <f t="shared" si="895"/>
        <v>1779.4990772386345</v>
      </c>
      <c r="JZ771" s="323">
        <f>FISC!AO1077</f>
        <v>3422.113610074297</v>
      </c>
      <c r="KA771" s="327">
        <f t="shared" si="966"/>
        <v>1835.4760370437871</v>
      </c>
      <c r="KB771" s="279">
        <f t="shared" si="967"/>
        <v>1988.432373464103</v>
      </c>
      <c r="KC771" s="323">
        <f>FISC!AP1077</f>
        <v>3823.90841050789</v>
      </c>
      <c r="KD771" s="327">
        <f t="shared" si="968"/>
        <v>2001.4385465781604</v>
      </c>
      <c r="KE771" s="279">
        <f t="shared" si="969"/>
        <v>2168.2250921263403</v>
      </c>
      <c r="KF771" s="323">
        <f>FISC!AQ1077</f>
        <v>4169.663638704501</v>
      </c>
      <c r="KG771" s="327">
        <f t="shared" si="970"/>
        <v>2218.3013801595735</v>
      </c>
      <c r="KH771" s="279">
        <f t="shared" si="971"/>
        <v>2403.1598285062046</v>
      </c>
      <c r="KI771" s="323">
        <f>FISC!AR1077</f>
        <v>4621.461208665778</v>
      </c>
      <c r="KJ771" s="327">
        <f t="shared" si="972"/>
        <v>2485.6015198539039</v>
      </c>
      <c r="KK771" s="279">
        <f t="shared" si="973"/>
        <v>2692.7349798417295</v>
      </c>
      <c r="KL771" s="323">
        <f>FISC!AS1077</f>
        <v>5178.3364996956334</v>
      </c>
      <c r="KM771" s="327">
        <f t="shared" si="974"/>
        <v>3189.5472365293322</v>
      </c>
      <c r="KN771" s="279">
        <f t="shared" si="975"/>
        <v>3455.3428395734431</v>
      </c>
      <c r="KO771" s="323">
        <f>FISC!AT1077</f>
        <v>6644.8900761027753</v>
      </c>
      <c r="KU771" s="326"/>
      <c r="KV771" s="327"/>
    </row>
    <row r="772" spans="1:308">
      <c r="A772" s="279"/>
      <c r="D772" s="1232" t="s">
        <v>476</v>
      </c>
      <c r="E772" s="323"/>
      <c r="F772" s="323"/>
      <c r="G772" s="323"/>
      <c r="H772" s="323"/>
      <c r="I772" s="323"/>
      <c r="J772" s="323"/>
      <c r="K772" s="323"/>
      <c r="L772" s="323"/>
      <c r="M772" s="323"/>
      <c r="N772" s="323"/>
      <c r="O772" s="323"/>
      <c r="P772" s="323"/>
      <c r="Q772" s="323"/>
      <c r="R772" s="323"/>
      <c r="S772" s="323"/>
      <c r="T772" s="323"/>
      <c r="U772" s="323"/>
      <c r="V772" s="323"/>
      <c r="W772" s="323"/>
      <c r="X772" s="323"/>
      <c r="Y772" s="323"/>
      <c r="Z772" s="323"/>
      <c r="AA772" s="323"/>
      <c r="AB772" s="323"/>
      <c r="AC772" s="323"/>
      <c r="AD772" s="323"/>
      <c r="AE772" s="323"/>
      <c r="AF772" s="323"/>
      <c r="AG772" s="323"/>
      <c r="AH772" s="323"/>
      <c r="AI772" s="323"/>
      <c r="AJ772" s="323"/>
      <c r="AK772" s="323"/>
      <c r="AL772" s="323"/>
      <c r="AM772" s="323"/>
      <c r="AN772" s="323"/>
      <c r="AO772" s="323"/>
      <c r="AP772" s="323"/>
      <c r="AQ772" s="323"/>
      <c r="AR772" s="323"/>
      <c r="AS772" s="323"/>
      <c r="AT772" s="323"/>
      <c r="AU772" s="323"/>
      <c r="AV772" s="323"/>
      <c r="AW772" s="323"/>
      <c r="AX772" s="323"/>
      <c r="AY772" s="323"/>
      <c r="AZ772" s="323"/>
      <c r="BA772" s="323"/>
      <c r="BB772" s="323"/>
      <c r="BC772" s="323"/>
      <c r="BD772" s="323"/>
      <c r="BE772" s="323"/>
      <c r="BF772" s="323"/>
      <c r="BG772" s="323"/>
      <c r="BH772" s="323"/>
      <c r="BI772" s="323"/>
      <c r="BJ772" s="323"/>
      <c r="BK772" s="323"/>
      <c r="BL772" s="323"/>
      <c r="BM772" s="323"/>
      <c r="BN772" s="323"/>
      <c r="BO772" s="323"/>
      <c r="BP772" s="323"/>
      <c r="BQ772" s="323"/>
      <c r="BR772" s="323"/>
      <c r="BS772" s="323"/>
      <c r="BT772" s="323"/>
      <c r="BU772" s="323"/>
      <c r="BV772" s="323"/>
      <c r="BW772" s="323"/>
      <c r="BX772" s="323"/>
      <c r="BY772" s="323"/>
      <c r="BZ772" s="323"/>
      <c r="CA772" s="323"/>
      <c r="CB772" s="323"/>
      <c r="CC772" s="323"/>
      <c r="CD772" s="329"/>
      <c r="CE772" s="323">
        <f t="shared" ref="CE772:DJ772" si="1045">CE369</f>
        <v>15.881936169600001</v>
      </c>
      <c r="CF772" s="323">
        <f t="shared" si="1045"/>
        <v>18.854891973000001</v>
      </c>
      <c r="CG772" s="323">
        <f t="shared" si="1045"/>
        <v>21.022694216100003</v>
      </c>
      <c r="CH772" s="323">
        <f t="shared" si="1045"/>
        <v>18.475735869000001</v>
      </c>
      <c r="CI772" s="323">
        <f t="shared" si="1045"/>
        <v>20.979492343799997</v>
      </c>
      <c r="CJ772" s="323">
        <f t="shared" si="1045"/>
        <v>20.168021736900002</v>
      </c>
      <c r="CK772" s="323">
        <f t="shared" si="1045"/>
        <v>21.989315188799999</v>
      </c>
      <c r="CL772" s="323">
        <f t="shared" si="1045"/>
        <v>20.275165771299999</v>
      </c>
      <c r="CM772" s="323">
        <f t="shared" si="1045"/>
        <v>20.410296612</v>
      </c>
      <c r="CN772" s="323">
        <f t="shared" si="1045"/>
        <v>19.940888978299999</v>
      </c>
      <c r="CO772" s="323">
        <f t="shared" si="1045"/>
        <v>26.053933561200001</v>
      </c>
      <c r="CP772" s="325">
        <f t="shared" si="1045"/>
        <v>33.077771980199998</v>
      </c>
      <c r="CQ772" s="323">
        <f t="shared" si="1045"/>
        <v>33.471184775199994</v>
      </c>
      <c r="CR772" s="323">
        <f t="shared" si="1045"/>
        <v>33.434064120400002</v>
      </c>
      <c r="CS772" s="323">
        <f t="shared" si="1045"/>
        <v>38.626960668099997</v>
      </c>
      <c r="CT772" s="323">
        <f t="shared" si="1045"/>
        <v>31.706105306399998</v>
      </c>
      <c r="CU772" s="323">
        <f t="shared" si="1045"/>
        <v>31.394059134400003</v>
      </c>
      <c r="CV772" s="323">
        <f t="shared" si="1045"/>
        <v>35.882737953700001</v>
      </c>
      <c r="CW772" s="323">
        <f t="shared" si="1045"/>
        <v>33.075159354500002</v>
      </c>
      <c r="CX772" s="323">
        <f t="shared" si="1045"/>
        <v>31.039300498900001</v>
      </c>
      <c r="CY772" s="323">
        <f t="shared" si="1045"/>
        <v>37.192440240000003</v>
      </c>
      <c r="CZ772" s="323">
        <f t="shared" si="1045"/>
        <v>34.869681115199995</v>
      </c>
      <c r="DA772" s="323">
        <f t="shared" si="1045"/>
        <v>34.499460470800003</v>
      </c>
      <c r="DB772" s="1269">
        <f t="shared" si="1045"/>
        <v>47.369050485200006</v>
      </c>
      <c r="DC772" s="323">
        <f t="shared" si="1045"/>
        <v>23.266508495967319</v>
      </c>
      <c r="DD772" s="323">
        <f t="shared" si="1045"/>
        <v>23.758111601567538</v>
      </c>
      <c r="DE772" s="323">
        <f t="shared" si="1045"/>
        <v>27.771328359273731</v>
      </c>
      <c r="DF772" s="323">
        <f t="shared" si="1045"/>
        <v>26.057107734049509</v>
      </c>
      <c r="DG772" s="323">
        <f t="shared" si="1045"/>
        <v>25.026585214483969</v>
      </c>
      <c r="DH772" s="323">
        <f t="shared" si="1045"/>
        <v>25.517735918346453</v>
      </c>
      <c r="DI772" s="323">
        <f t="shared" si="1045"/>
        <v>25.528013021523304</v>
      </c>
      <c r="DJ772" s="323">
        <f t="shared" si="1045"/>
        <v>24.555686210496649</v>
      </c>
      <c r="DK772" s="323">
        <f t="shared" ref="DK772:EP772" si="1046">DK369</f>
        <v>26.906421522073092</v>
      </c>
      <c r="DL772" s="323">
        <f t="shared" si="1046"/>
        <v>23.506149810616684</v>
      </c>
      <c r="DM772" s="323">
        <f t="shared" si="1046"/>
        <v>24.68303512760636</v>
      </c>
      <c r="DN772" s="325">
        <f t="shared" si="1046"/>
        <v>36.569341124057701</v>
      </c>
      <c r="DO772" s="323">
        <f t="shared" si="1046"/>
        <v>25.701807561024744</v>
      </c>
      <c r="DP772" s="323">
        <f t="shared" si="1046"/>
        <v>26.397325789838082</v>
      </c>
      <c r="DQ772" s="323">
        <f t="shared" si="1046"/>
        <v>31.555241930825211</v>
      </c>
      <c r="DR772" s="323">
        <f t="shared" si="1046"/>
        <v>26.863054138133752</v>
      </c>
      <c r="DS772" s="323">
        <f t="shared" si="1046"/>
        <v>26.717636984190449</v>
      </c>
      <c r="DT772" s="323">
        <f t="shared" si="1046"/>
        <v>32.69728655681979</v>
      </c>
      <c r="DU772" s="323">
        <f t="shared" si="1046"/>
        <v>29.609370200203948</v>
      </c>
      <c r="DV772" s="323">
        <f t="shared" si="1046"/>
        <v>30.218131036601271</v>
      </c>
      <c r="DW772" s="323">
        <f t="shared" si="1046"/>
        <v>34.381804019969429</v>
      </c>
      <c r="DX772" s="323">
        <f t="shared" si="1046"/>
        <v>28.627043046811128</v>
      </c>
      <c r="DY772" s="323">
        <f t="shared" si="1046"/>
        <v>30.426527154767683</v>
      </c>
      <c r="DZ772" s="325">
        <f t="shared" si="1046"/>
        <v>45.255670960007315</v>
      </c>
      <c r="EA772" s="323">
        <f t="shared" si="1046"/>
        <v>29.397361652393904</v>
      </c>
      <c r="EB772" s="323">
        <f t="shared" si="1046"/>
        <v>29.655846328871178</v>
      </c>
      <c r="EC772" s="323">
        <f t="shared" si="1046"/>
        <v>38.342055351274077</v>
      </c>
      <c r="ED772" s="323">
        <f t="shared" si="1046"/>
        <v>33.930998060903121</v>
      </c>
      <c r="EE772" s="323">
        <f t="shared" si="1046"/>
        <v>31.829732903307988</v>
      </c>
      <c r="EF772" s="323">
        <f t="shared" si="1046"/>
        <v>40.563303410143575</v>
      </c>
      <c r="EG772" s="323">
        <f t="shared" si="1046"/>
        <v>35.919538485570449</v>
      </c>
      <c r="EH772" s="323">
        <f t="shared" si="1046"/>
        <v>32.726659883868365</v>
      </c>
      <c r="EI772" s="323">
        <f t="shared" si="1046"/>
        <v>39.61005153807298</v>
      </c>
      <c r="EJ772" s="323">
        <f t="shared" si="1046"/>
        <v>34.021254095932044</v>
      </c>
      <c r="EK772" s="323">
        <f t="shared" si="1046"/>
        <v>34.65518012998443</v>
      </c>
      <c r="EL772" s="325">
        <f t="shared" si="1046"/>
        <v>46.603714353491178</v>
      </c>
      <c r="EM772" s="323">
        <f t="shared" si="1046"/>
        <v>30.906249728319999</v>
      </c>
      <c r="EN772" s="323">
        <f t="shared" si="1046"/>
        <v>35.091470095800005</v>
      </c>
      <c r="EO772" s="323">
        <f t="shared" si="1046"/>
        <v>36.65031393396</v>
      </c>
      <c r="EP772" s="323">
        <f t="shared" si="1046"/>
        <v>32.886596466520004</v>
      </c>
      <c r="EQ772" s="323">
        <f t="shared" ref="EQ772:FV772" si="1047">EQ369</f>
        <v>35.038868828280002</v>
      </c>
      <c r="ER772" s="323">
        <f t="shared" si="1047"/>
        <v>43.132705185279995</v>
      </c>
      <c r="ES772" s="323">
        <f t="shared" si="1047"/>
        <v>39.356497086352796</v>
      </c>
      <c r="ET772" s="323">
        <f t="shared" si="1047"/>
        <v>37.734449936709929</v>
      </c>
      <c r="EU772" s="323">
        <f t="shared" si="1047"/>
        <v>37.11177639868</v>
      </c>
      <c r="EV772" s="323">
        <f t="shared" si="1047"/>
        <v>40.404032144494401</v>
      </c>
      <c r="EW772" s="323">
        <f t="shared" si="1047"/>
        <v>38.387444583280022</v>
      </c>
      <c r="EX772" s="325">
        <f t="shared" si="1047"/>
        <v>51.889292503</v>
      </c>
      <c r="EY772" s="323">
        <f t="shared" si="1047"/>
        <v>34.296850887800005</v>
      </c>
      <c r="EZ772" s="323">
        <f t="shared" si="1047"/>
        <v>41.130810978923961</v>
      </c>
      <c r="FA772" s="323">
        <f t="shared" si="1047"/>
        <v>42.016032445419995</v>
      </c>
      <c r="FB772" s="323">
        <f t="shared" si="1047"/>
        <v>40.468883834080003</v>
      </c>
      <c r="FC772" s="323">
        <f t="shared" si="1047"/>
        <v>40.459910524399199</v>
      </c>
      <c r="FD772" s="323">
        <f t="shared" si="1047"/>
        <v>59.028955909479201</v>
      </c>
      <c r="FE772" s="323">
        <f t="shared" si="1047"/>
        <v>39.751392172399996</v>
      </c>
      <c r="FF772" s="323">
        <f t="shared" si="1047"/>
        <v>38.875159240119999</v>
      </c>
      <c r="FG772" s="323">
        <f t="shared" si="1047"/>
        <v>42.163423852679998</v>
      </c>
      <c r="FH772" s="323">
        <f t="shared" si="1047"/>
        <v>28.42865419908</v>
      </c>
      <c r="FI772" s="323">
        <f t="shared" si="1047"/>
        <v>25.959696988936798</v>
      </c>
      <c r="FJ772" s="325">
        <f t="shared" si="1047"/>
        <v>51.431453945399994</v>
      </c>
      <c r="FK772" s="323">
        <f t="shared" si="1047"/>
        <v>35.002858807720003</v>
      </c>
      <c r="FL772" s="323">
        <f t="shared" si="1047"/>
        <v>39.207689627559979</v>
      </c>
      <c r="FM772" s="323">
        <f t="shared" si="1047"/>
        <v>49.472296509000003</v>
      </c>
      <c r="FN772" s="323">
        <f t="shared" si="1047"/>
        <v>42.979163396173341</v>
      </c>
      <c r="FO772" s="323">
        <f t="shared" si="1047"/>
        <v>41.368668658497164</v>
      </c>
      <c r="FP772" s="323">
        <f t="shared" si="1047"/>
        <v>46.118193713987054</v>
      </c>
      <c r="FQ772" s="323">
        <f t="shared" si="1047"/>
        <v>40.440497797398329</v>
      </c>
      <c r="FR772" s="323">
        <f t="shared" si="1047"/>
        <v>38.993644202098764</v>
      </c>
      <c r="FS772" s="323">
        <f t="shared" si="1047"/>
        <v>43.75181860061484</v>
      </c>
      <c r="FT772" s="323">
        <f t="shared" si="1047"/>
        <v>43.0573064332117</v>
      </c>
      <c r="FU772" s="323">
        <f t="shared" si="1047"/>
        <v>45.637175283768784</v>
      </c>
      <c r="FV772" s="323">
        <f t="shared" si="1047"/>
        <v>59.002626250009676</v>
      </c>
      <c r="FW772" s="323">
        <v>38.676735753829782</v>
      </c>
      <c r="FX772" s="323">
        <v>39.946161936048583</v>
      </c>
      <c r="FY772" s="323">
        <v>48.504380458713548</v>
      </c>
      <c r="FZ772" s="323">
        <v>45.626606782743686</v>
      </c>
      <c r="GA772" s="323">
        <v>48.178742218431545</v>
      </c>
      <c r="GB772" s="323">
        <v>56.630153828914708</v>
      </c>
      <c r="GC772" s="323">
        <v>50.055151263039996</v>
      </c>
      <c r="GD772" s="323">
        <v>43.807227043699996</v>
      </c>
      <c r="GE772" s="323">
        <v>56.012617229773603</v>
      </c>
      <c r="GF772" s="323">
        <v>48.884781706864608</v>
      </c>
      <c r="GG772" s="323">
        <v>51.031707439965153</v>
      </c>
      <c r="GH772" s="323">
        <v>66.063478275774557</v>
      </c>
      <c r="GI772" s="323">
        <f t="shared" ref="GI772:HR772" si="1048">GI369</f>
        <v>52.261630586622253</v>
      </c>
      <c r="GJ772" s="323">
        <f t="shared" si="1048"/>
        <v>62.788312695233685</v>
      </c>
      <c r="GK772" s="323">
        <f t="shared" si="1048"/>
        <v>59.264710403018157</v>
      </c>
      <c r="GL772" s="323">
        <f t="shared" si="1048"/>
        <v>51.003329466508958</v>
      </c>
      <c r="GM772" s="323">
        <f t="shared" si="1048"/>
        <v>54.271152905200005</v>
      </c>
      <c r="GN772" s="323">
        <f t="shared" si="1048"/>
        <v>61.477659934236584</v>
      </c>
      <c r="GO772" s="323">
        <f t="shared" si="1048"/>
        <v>60.920412199326172</v>
      </c>
      <c r="GP772" s="323">
        <f t="shared" si="1048"/>
        <v>50.197395067350342</v>
      </c>
      <c r="GQ772" s="323">
        <f t="shared" si="1048"/>
        <v>62.11656720336142</v>
      </c>
      <c r="GR772" s="323">
        <f t="shared" si="1048"/>
        <v>52.755765961640002</v>
      </c>
      <c r="GS772" s="323">
        <f t="shared" si="1048"/>
        <v>56.130795758749997</v>
      </c>
      <c r="GT772" s="323">
        <f t="shared" si="1048"/>
        <v>66.757954746140001</v>
      </c>
      <c r="GU772" s="323">
        <f t="shared" si="1048"/>
        <v>62.181831814199995</v>
      </c>
      <c r="GV772" s="323">
        <f t="shared" si="1048"/>
        <v>60.037218570701533</v>
      </c>
      <c r="GW772" s="323">
        <f t="shared" si="1048"/>
        <v>59.178527273324072</v>
      </c>
      <c r="GX772" s="323">
        <f t="shared" si="1048"/>
        <v>64.542478498449995</v>
      </c>
      <c r="GY772" s="323">
        <f t="shared" si="1048"/>
        <v>60.586507752979493</v>
      </c>
      <c r="GZ772" s="323">
        <f t="shared" si="1048"/>
        <v>63.480555277650005</v>
      </c>
      <c r="HA772" s="323">
        <f t="shared" si="1048"/>
        <v>72.277019610412509</v>
      </c>
      <c r="HB772" s="323">
        <f t="shared" si="1048"/>
        <v>57.151694257780001</v>
      </c>
      <c r="HC772" s="323">
        <f t="shared" si="1048"/>
        <v>60.889530337113221</v>
      </c>
      <c r="HD772" s="323">
        <f t="shared" si="1048"/>
        <v>70.645444112250004</v>
      </c>
      <c r="HE772" s="323">
        <f t="shared" si="1048"/>
        <v>69.402485699294999</v>
      </c>
      <c r="HF772" s="323">
        <f t="shared" si="1048"/>
        <v>92.542788181232822</v>
      </c>
      <c r="HG772" s="323">
        <f t="shared" si="1048"/>
        <v>88.441319920169121</v>
      </c>
      <c r="HH772" s="323">
        <f t="shared" si="1048"/>
        <v>73.33246407378482</v>
      </c>
      <c r="HI772" s="323">
        <f t="shared" si="1048"/>
        <v>75.233215001846105</v>
      </c>
      <c r="HJ772" s="323">
        <f t="shared" si="1048"/>
        <v>88.868271311849995</v>
      </c>
      <c r="HK772" s="323">
        <f t="shared" si="1048"/>
        <v>70.441157013699993</v>
      </c>
      <c r="HL772" s="323">
        <f t="shared" si="1048"/>
        <v>75.112381955699973</v>
      </c>
      <c r="HM772" s="323">
        <f t="shared" si="1048"/>
        <v>93.706752745460918</v>
      </c>
      <c r="HN772" s="323">
        <f t="shared" si="1048"/>
        <v>71.677457952761031</v>
      </c>
      <c r="HO772" s="323">
        <f t="shared" si="1048"/>
        <v>73.504555467409105</v>
      </c>
      <c r="HP772" s="323">
        <f t="shared" si="1048"/>
        <v>82.958277634616948</v>
      </c>
      <c r="HQ772" s="323">
        <f t="shared" si="1048"/>
        <v>76.244217041670055</v>
      </c>
      <c r="HR772" s="323">
        <f t="shared" si="1048"/>
        <v>94.04911231450204</v>
      </c>
      <c r="HS772" s="323">
        <f t="shared" ref="HS772:HX772" si="1049">HS369</f>
        <v>108.83336026992203</v>
      </c>
      <c r="HT772" s="323">
        <f t="shared" si="1049"/>
        <v>104.178979323664</v>
      </c>
      <c r="HU772" s="323">
        <f t="shared" si="1049"/>
        <v>97.935982490596061</v>
      </c>
      <c r="HV772" s="323">
        <f t="shared" si="1049"/>
        <v>120.58003322992597</v>
      </c>
      <c r="HW772" s="323">
        <f t="shared" si="1049"/>
        <v>99.362518881006991</v>
      </c>
      <c r="HX772" s="323">
        <f t="shared" si="1049"/>
        <v>109.4677229431</v>
      </c>
      <c r="HY772" s="323"/>
      <c r="HZ772" s="326"/>
      <c r="IA772" s="1232" t="s">
        <v>476</v>
      </c>
      <c r="IB772" s="284">
        <f t="shared" si="1010"/>
        <v>115.38277230840002</v>
      </c>
      <c r="IC772" s="279">
        <f t="shared" si="1011"/>
        <v>141.7473720918</v>
      </c>
      <c r="ID772" s="323">
        <f t="shared" si="907"/>
        <v>257.13014440020004</v>
      </c>
      <c r="IE772" s="279">
        <f t="shared" si="1012"/>
        <v>204.51511195820001</v>
      </c>
      <c r="IF772" s="279">
        <f t="shared" si="1013"/>
        <v>218.04509216459999</v>
      </c>
      <c r="IG772" s="323">
        <f t="shared" si="880"/>
        <v>422.56020412279997</v>
      </c>
      <c r="IH772" s="284">
        <f t="shared" si="1014"/>
        <v>151.39737732368852</v>
      </c>
      <c r="II772" s="279">
        <f t="shared" si="1015"/>
        <v>161.74864681637379</v>
      </c>
      <c r="IJ772" s="323">
        <f t="shared" si="881"/>
        <v>313.14602414006231</v>
      </c>
      <c r="IK772" s="327">
        <f t="shared" si="1016"/>
        <v>169.93235296083202</v>
      </c>
      <c r="IL772" s="279">
        <f t="shared" si="1017"/>
        <v>198.51854641836076</v>
      </c>
      <c r="IM772" s="323">
        <f t="shared" si="882"/>
        <v>368.45089937919278</v>
      </c>
      <c r="IN772" s="279">
        <f t="shared" si="1018"/>
        <v>203.71929770689383</v>
      </c>
      <c r="IO772" s="279">
        <f t="shared" si="1019"/>
        <v>223.53639848691944</v>
      </c>
      <c r="IP772" s="323">
        <f t="shared" si="883"/>
        <v>427.25569619381326</v>
      </c>
      <c r="IQ772" s="327">
        <f t="shared" si="1020"/>
        <v>213.70620423815998</v>
      </c>
      <c r="IR772" s="327">
        <f t="shared" si="1021"/>
        <v>244.88349265251716</v>
      </c>
      <c r="IS772" s="323">
        <f t="shared" si="884"/>
        <v>458.58969689067715</v>
      </c>
      <c r="IT772" s="327">
        <f t="shared" si="1022"/>
        <v>257.40144458010235</v>
      </c>
      <c r="IU772" s="327">
        <f t="shared" si="1023"/>
        <v>226.60978039861681</v>
      </c>
      <c r="IV772" s="323">
        <f t="shared" si="885"/>
        <v>484.01122497871916</v>
      </c>
      <c r="IW772" s="327">
        <f t="shared" si="1024"/>
        <v>254.14887071293754</v>
      </c>
      <c r="IX772" s="327">
        <f t="shared" si="868"/>
        <v>270.8830685671021</v>
      </c>
      <c r="IY772" s="323">
        <f t="shared" si="886"/>
        <v>525.03193928003964</v>
      </c>
      <c r="IZ772" s="327">
        <f t="shared" si="869"/>
        <v>277.56278097868187</v>
      </c>
      <c r="JA772" s="327">
        <f t="shared" si="870"/>
        <v>315.85496295911793</v>
      </c>
      <c r="JB772" s="323">
        <f t="shared" si="887"/>
        <v>593.41774393779974</v>
      </c>
      <c r="JC772" s="327">
        <f t="shared" si="871"/>
        <v>341.06679599081963</v>
      </c>
      <c r="JD772" s="327">
        <f t="shared" si="872"/>
        <v>348.87889093656798</v>
      </c>
      <c r="JE772" s="323">
        <f t="shared" si="888"/>
        <v>689.94568692738767</v>
      </c>
      <c r="JF772" s="327">
        <f t="shared" si="908"/>
        <v>370.00711918730514</v>
      </c>
      <c r="JG772" s="327">
        <f t="shared" si="918"/>
        <v>422.9089621980836</v>
      </c>
      <c r="JH772" s="323">
        <f t="shared" si="889"/>
        <v>792.91608138538868</v>
      </c>
      <c r="JI772" s="327">
        <f t="shared" si="909"/>
        <v>471.42880927704999</v>
      </c>
      <c r="JJ772" s="327">
        <f t="shared" si="910"/>
        <v>492.14037315642008</v>
      </c>
      <c r="JK772" s="323">
        <f t="shared" si="890"/>
        <v>963.56918243347013</v>
      </c>
      <c r="JL772" s="327">
        <f t="shared" si="891"/>
        <v>640.35859713821515</v>
      </c>
      <c r="JM772" s="279">
        <f t="shared" si="892"/>
        <v>646.06290808413178</v>
      </c>
      <c r="JN772" s="323">
        <f>FISC!AK1078</f>
        <v>1286.4215052223469</v>
      </c>
      <c r="JO772" s="327">
        <f>JQ772*0.495</f>
        <v>776.4393670129125</v>
      </c>
      <c r="JP772" s="279">
        <f t="shared" si="893"/>
        <v>792.12501079095114</v>
      </c>
      <c r="JQ772" s="323">
        <f>FISC!AL1078</f>
        <v>1568.5643778038636</v>
      </c>
      <c r="JR772" s="327">
        <f t="shared" si="919"/>
        <v>873.39042397413698</v>
      </c>
      <c r="JS772" s="279">
        <f t="shared" si="894"/>
        <v>946.1729593053152</v>
      </c>
      <c r="JT772" s="323">
        <f>FISC!AM1078</f>
        <v>1819.5633832794522</v>
      </c>
      <c r="JU772" s="327">
        <f t="shared" si="920"/>
        <v>999.62549530339436</v>
      </c>
      <c r="JV772" s="279">
        <f t="shared" si="911"/>
        <v>1082.9276199120104</v>
      </c>
      <c r="JW772" s="323">
        <f>FISC!AN1078</f>
        <v>2082.5531152154049</v>
      </c>
      <c r="JX772" s="327">
        <f t="shared" si="921"/>
        <v>1144.8938467629791</v>
      </c>
      <c r="JY772" s="279">
        <f t="shared" si="895"/>
        <v>1240.3016673265606</v>
      </c>
      <c r="JZ772" s="323">
        <f>FISC!AO1078</f>
        <v>2385.1955140895398</v>
      </c>
      <c r="KA772" s="327">
        <f t="shared" si="966"/>
        <v>1299.1818128064717</v>
      </c>
      <c r="KB772" s="279">
        <f t="shared" si="967"/>
        <v>1407.446963873678</v>
      </c>
      <c r="KC772" s="323">
        <f>FISC!AP1078</f>
        <v>2706.6287766801497</v>
      </c>
      <c r="KD772" s="327">
        <f t="shared" si="968"/>
        <v>1427.6273202264788</v>
      </c>
      <c r="KE772" s="279">
        <f t="shared" si="969"/>
        <v>1546.5962635786855</v>
      </c>
      <c r="KF772" s="323">
        <f>FISC!AQ1078</f>
        <v>2974.2235838051643</v>
      </c>
      <c r="KG772" s="327">
        <f t="shared" si="970"/>
        <v>1592.1792729135602</v>
      </c>
      <c r="KH772" s="279">
        <f t="shared" si="971"/>
        <v>1724.8608789896905</v>
      </c>
      <c r="KI772" s="323">
        <f>FISC!AR1078</f>
        <v>3317.0401519032507</v>
      </c>
      <c r="KJ772" s="327">
        <f t="shared" si="972"/>
        <v>1737.3102078397944</v>
      </c>
      <c r="KK772" s="279">
        <f t="shared" si="973"/>
        <v>1882.0860584931108</v>
      </c>
      <c r="KL772" s="323">
        <f>FISC!AS1078</f>
        <v>3619.3962663329053</v>
      </c>
      <c r="KM772" s="327">
        <f t="shared" si="974"/>
        <v>2196.816872760553</v>
      </c>
      <c r="KN772" s="279">
        <f t="shared" si="975"/>
        <v>2379.884945490599</v>
      </c>
      <c r="KO772" s="323">
        <f>FISC!AT1078</f>
        <v>4576.701818251152</v>
      </c>
      <c r="KU772" s="326"/>
      <c r="KV772" s="327"/>
    </row>
    <row r="773" spans="1:308">
      <c r="A773" s="279"/>
      <c r="D773" s="1232" t="s">
        <v>477</v>
      </c>
      <c r="E773" s="323"/>
      <c r="F773" s="323"/>
      <c r="G773" s="323"/>
      <c r="H773" s="323"/>
      <c r="I773" s="323"/>
      <c r="J773" s="323"/>
      <c r="K773" s="323"/>
      <c r="L773" s="323"/>
      <c r="M773" s="323"/>
      <c r="N773" s="323"/>
      <c r="O773" s="323"/>
      <c r="P773" s="323"/>
      <c r="Q773" s="323"/>
      <c r="R773" s="323"/>
      <c r="S773" s="323"/>
      <c r="T773" s="323"/>
      <c r="U773" s="323"/>
      <c r="V773" s="323"/>
      <c r="W773" s="323"/>
      <c r="X773" s="323"/>
      <c r="Y773" s="323"/>
      <c r="Z773" s="323"/>
      <c r="AA773" s="323"/>
      <c r="AB773" s="323"/>
      <c r="AC773" s="323"/>
      <c r="AD773" s="323"/>
      <c r="AE773" s="323"/>
      <c r="AF773" s="323"/>
      <c r="AG773" s="323"/>
      <c r="AH773" s="323"/>
      <c r="AI773" s="323"/>
      <c r="AJ773" s="323"/>
      <c r="AK773" s="323"/>
      <c r="AL773" s="323"/>
      <c r="AM773" s="323"/>
      <c r="AN773" s="323"/>
      <c r="AO773" s="323"/>
      <c r="AP773" s="323"/>
      <c r="AQ773" s="323"/>
      <c r="AR773" s="323"/>
      <c r="AS773" s="323"/>
      <c r="AT773" s="323"/>
      <c r="AU773" s="323"/>
      <c r="AV773" s="323"/>
      <c r="AW773" s="323"/>
      <c r="AX773" s="323"/>
      <c r="AY773" s="323"/>
      <c r="AZ773" s="323"/>
      <c r="BA773" s="323"/>
      <c r="BB773" s="323"/>
      <c r="BC773" s="323"/>
      <c r="BD773" s="323"/>
      <c r="BE773" s="323"/>
      <c r="BF773" s="323"/>
      <c r="BG773" s="323"/>
      <c r="BH773" s="323"/>
      <c r="BI773" s="323"/>
      <c r="BJ773" s="323"/>
      <c r="BK773" s="323"/>
      <c r="BL773" s="323"/>
      <c r="BM773" s="323"/>
      <c r="BN773" s="323"/>
      <c r="BO773" s="323"/>
      <c r="BP773" s="323"/>
      <c r="BQ773" s="323"/>
      <c r="BR773" s="323"/>
      <c r="BS773" s="323"/>
      <c r="BT773" s="323"/>
      <c r="BU773" s="323"/>
      <c r="BV773" s="323"/>
      <c r="BW773" s="323"/>
      <c r="BX773" s="323"/>
      <c r="BY773" s="323"/>
      <c r="BZ773" s="323"/>
      <c r="CA773" s="323"/>
      <c r="CB773" s="323"/>
      <c r="CC773" s="323"/>
      <c r="CD773" s="329"/>
      <c r="CE773" s="323">
        <f t="shared" ref="CE773:DJ773" si="1050">CE370</f>
        <v>15.881936169600001</v>
      </c>
      <c r="CF773" s="323">
        <f t="shared" si="1050"/>
        <v>18.854891973000001</v>
      </c>
      <c r="CG773" s="323">
        <f t="shared" si="1050"/>
        <v>21.022694216100003</v>
      </c>
      <c r="CH773" s="323">
        <f t="shared" si="1050"/>
        <v>18.475735869000001</v>
      </c>
      <c r="CI773" s="323">
        <f t="shared" si="1050"/>
        <v>20.979486082799998</v>
      </c>
      <c r="CJ773" s="323">
        <f t="shared" si="1050"/>
        <v>20.168021736900002</v>
      </c>
      <c r="CK773" s="323">
        <f t="shared" si="1050"/>
        <v>21.989315188799999</v>
      </c>
      <c r="CL773" s="323">
        <f t="shared" si="1050"/>
        <v>20.2751557713</v>
      </c>
      <c r="CM773" s="323">
        <f t="shared" si="1050"/>
        <v>20.409192611999998</v>
      </c>
      <c r="CN773" s="323">
        <f t="shared" si="1050"/>
        <v>19.940791218299999</v>
      </c>
      <c r="CO773" s="323">
        <f t="shared" si="1050"/>
        <v>26.053933561200001</v>
      </c>
      <c r="CP773" s="325">
        <f t="shared" si="1050"/>
        <v>33.077771980199998</v>
      </c>
      <c r="CQ773" s="323">
        <f t="shared" si="1050"/>
        <v>21.0190435542</v>
      </c>
      <c r="CR773" s="323">
        <f t="shared" si="1050"/>
        <v>20.917568714400002</v>
      </c>
      <c r="CS773" s="323">
        <f t="shared" si="1050"/>
        <v>26.884899377100002</v>
      </c>
      <c r="CT773" s="323">
        <f t="shared" si="1050"/>
        <v>21.2873725854</v>
      </c>
      <c r="CU773" s="323">
        <f t="shared" si="1050"/>
        <v>20.929796582400002</v>
      </c>
      <c r="CV773" s="323">
        <f t="shared" si="1050"/>
        <v>23.1939375957</v>
      </c>
      <c r="CW773" s="323">
        <f t="shared" si="1050"/>
        <v>21.954958753500001</v>
      </c>
      <c r="CX773" s="323">
        <f t="shared" si="1050"/>
        <v>20.563003224900001</v>
      </c>
      <c r="CY773" s="323">
        <f t="shared" si="1050"/>
        <v>23.182708599000001</v>
      </c>
      <c r="CZ773" s="323">
        <f t="shared" si="1050"/>
        <v>23.120711980199999</v>
      </c>
      <c r="DA773" s="323">
        <f t="shared" si="1050"/>
        <v>23.529648034800001</v>
      </c>
      <c r="DB773" s="1269">
        <f t="shared" si="1050"/>
        <v>34.412194987200003</v>
      </c>
      <c r="DC773" s="323">
        <f t="shared" si="1050"/>
        <v>23.266508495967319</v>
      </c>
      <c r="DD773" s="323">
        <f t="shared" si="1050"/>
        <v>23.758111601567538</v>
      </c>
      <c r="DE773" s="323">
        <f t="shared" si="1050"/>
        <v>27.771328359273731</v>
      </c>
      <c r="DF773" s="323">
        <f t="shared" si="1050"/>
        <v>26.057107734049509</v>
      </c>
      <c r="DG773" s="323">
        <f t="shared" si="1050"/>
        <v>25.026580111714612</v>
      </c>
      <c r="DH773" s="323">
        <f t="shared" si="1050"/>
        <v>25.517735918346453</v>
      </c>
      <c r="DI773" s="323">
        <f t="shared" si="1050"/>
        <v>25.528013021523304</v>
      </c>
      <c r="DJ773" s="323">
        <f t="shared" si="1050"/>
        <v>24.555686210496649</v>
      </c>
      <c r="DK773" s="323">
        <f t="shared" ref="DK773:EP773" si="1051">DK370</f>
        <v>26.906421522073092</v>
      </c>
      <c r="DL773" s="323">
        <f t="shared" si="1051"/>
        <v>23.506149810616684</v>
      </c>
      <c r="DM773" s="323">
        <f t="shared" si="1051"/>
        <v>24.683025302693412</v>
      </c>
      <c r="DN773" s="325">
        <f t="shared" si="1051"/>
        <v>36.569063777088552</v>
      </c>
      <c r="DO773" s="323">
        <f t="shared" si="1051"/>
        <v>25.701807561024744</v>
      </c>
      <c r="DP773" s="323">
        <f t="shared" si="1051"/>
        <v>26.397325789838082</v>
      </c>
      <c r="DQ773" s="323">
        <f t="shared" si="1051"/>
        <v>31.555241930825211</v>
      </c>
      <c r="DR773" s="323">
        <f t="shared" si="1051"/>
        <v>26.863054138133752</v>
      </c>
      <c r="DS773" s="323">
        <f t="shared" si="1051"/>
        <v>26.717636984190449</v>
      </c>
      <c r="DT773" s="323">
        <f t="shared" si="1051"/>
        <v>32.69728655681979</v>
      </c>
      <c r="DU773" s="323">
        <f t="shared" si="1051"/>
        <v>29.609370200203948</v>
      </c>
      <c r="DV773" s="323">
        <f t="shared" si="1051"/>
        <v>30.218131036601271</v>
      </c>
      <c r="DW773" s="323">
        <f t="shared" si="1051"/>
        <v>34.381804019969429</v>
      </c>
      <c r="DX773" s="323">
        <f t="shared" si="1051"/>
        <v>28.627043046811128</v>
      </c>
      <c r="DY773" s="323">
        <f t="shared" si="1051"/>
        <v>30.426527154767683</v>
      </c>
      <c r="DZ773" s="325">
        <f t="shared" si="1051"/>
        <v>45.255670960007315</v>
      </c>
      <c r="EA773" s="323">
        <f t="shared" si="1051"/>
        <v>29.397361652393904</v>
      </c>
      <c r="EB773" s="323">
        <f t="shared" si="1051"/>
        <v>29.655846328871178</v>
      </c>
      <c r="EC773" s="323">
        <f t="shared" si="1051"/>
        <v>38.342055351274077</v>
      </c>
      <c r="ED773" s="323">
        <f t="shared" si="1051"/>
        <v>33.930998060903121</v>
      </c>
      <c r="EE773" s="323">
        <f t="shared" si="1051"/>
        <v>31.829732903307988</v>
      </c>
      <c r="EF773" s="323">
        <f t="shared" si="1051"/>
        <v>40.563303410143575</v>
      </c>
      <c r="EG773" s="323">
        <f t="shared" si="1051"/>
        <v>35.919538485570449</v>
      </c>
      <c r="EH773" s="323">
        <f t="shared" si="1051"/>
        <v>32.726659883868365</v>
      </c>
      <c r="EI773" s="323">
        <f t="shared" si="1051"/>
        <v>39.61005153807298</v>
      </c>
      <c r="EJ773" s="323">
        <f t="shared" si="1051"/>
        <v>34.021254095932044</v>
      </c>
      <c r="EK773" s="323">
        <f t="shared" si="1051"/>
        <v>34.65518012998443</v>
      </c>
      <c r="EL773" s="325">
        <f t="shared" si="1051"/>
        <v>46.603714353491178</v>
      </c>
      <c r="EM773" s="323">
        <f t="shared" si="1051"/>
        <v>30.906249728319999</v>
      </c>
      <c r="EN773" s="323">
        <f t="shared" si="1051"/>
        <v>35.091470095800005</v>
      </c>
      <c r="EO773" s="323">
        <f t="shared" si="1051"/>
        <v>36.65031393396</v>
      </c>
      <c r="EP773" s="323">
        <f t="shared" si="1051"/>
        <v>32.886596466520004</v>
      </c>
      <c r="EQ773" s="323">
        <f t="shared" ref="EQ773:FV773" si="1052">EQ370</f>
        <v>35.038868828280002</v>
      </c>
      <c r="ER773" s="323">
        <f t="shared" si="1052"/>
        <v>43.132705185279995</v>
      </c>
      <c r="ES773" s="323">
        <f t="shared" si="1052"/>
        <v>39.356497086352796</v>
      </c>
      <c r="ET773" s="323">
        <f t="shared" si="1052"/>
        <v>37.734449936709929</v>
      </c>
      <c r="EU773" s="323">
        <f t="shared" si="1052"/>
        <v>37.11177639868</v>
      </c>
      <c r="EV773" s="323">
        <f t="shared" si="1052"/>
        <v>40.404032144494401</v>
      </c>
      <c r="EW773" s="323">
        <f t="shared" si="1052"/>
        <v>38.387444583280022</v>
      </c>
      <c r="EX773" s="325">
        <f t="shared" si="1052"/>
        <v>51.889292503</v>
      </c>
      <c r="EY773" s="323">
        <f t="shared" si="1052"/>
        <v>34.296850887800005</v>
      </c>
      <c r="EZ773" s="323">
        <f t="shared" si="1052"/>
        <v>41.130810978923961</v>
      </c>
      <c r="FA773" s="323">
        <f t="shared" si="1052"/>
        <v>42.016032445419995</v>
      </c>
      <c r="FB773" s="323">
        <f t="shared" si="1052"/>
        <v>40.468883834080003</v>
      </c>
      <c r="FC773" s="323">
        <f t="shared" si="1052"/>
        <v>40.459910524399199</v>
      </c>
      <c r="FD773" s="323">
        <f t="shared" si="1052"/>
        <v>59.028955909479201</v>
      </c>
      <c r="FE773" s="323">
        <f t="shared" si="1052"/>
        <v>39.751392172399996</v>
      </c>
      <c r="FF773" s="323">
        <f t="shared" si="1052"/>
        <v>38.875159240119999</v>
      </c>
      <c r="FG773" s="323">
        <f t="shared" si="1052"/>
        <v>42.163423852679998</v>
      </c>
      <c r="FH773" s="323">
        <f t="shared" si="1052"/>
        <v>28.42865419908</v>
      </c>
      <c r="FI773" s="323">
        <f t="shared" si="1052"/>
        <v>25.959696988936798</v>
      </c>
      <c r="FJ773" s="325">
        <f t="shared" si="1052"/>
        <v>51.431453945399994</v>
      </c>
      <c r="FK773" s="323">
        <f t="shared" si="1052"/>
        <v>35.002858807720003</v>
      </c>
      <c r="FL773" s="323">
        <f t="shared" si="1052"/>
        <v>39.207689627559979</v>
      </c>
      <c r="FM773" s="323">
        <f t="shared" si="1052"/>
        <v>49.472296509000003</v>
      </c>
      <c r="FN773" s="323">
        <f t="shared" si="1052"/>
        <v>42.979163396173341</v>
      </c>
      <c r="FO773" s="323">
        <f t="shared" si="1052"/>
        <v>41.368668658497164</v>
      </c>
      <c r="FP773" s="323">
        <f t="shared" si="1052"/>
        <v>46.118193713987054</v>
      </c>
      <c r="FQ773" s="323">
        <f t="shared" si="1052"/>
        <v>40.440497797398329</v>
      </c>
      <c r="FR773" s="323">
        <f t="shared" si="1052"/>
        <v>38.993644202098764</v>
      </c>
      <c r="FS773" s="323">
        <f t="shared" si="1052"/>
        <v>43.75181860061484</v>
      </c>
      <c r="FT773" s="323">
        <f t="shared" si="1052"/>
        <v>43.0573064332117</v>
      </c>
      <c r="FU773" s="323">
        <f t="shared" si="1052"/>
        <v>45.637175283768784</v>
      </c>
      <c r="FV773" s="323">
        <f t="shared" si="1052"/>
        <v>59.002626250009676</v>
      </c>
      <c r="FW773" s="323">
        <v>38.676735753829782</v>
      </c>
      <c r="FX773" s="323">
        <v>39.946161936048583</v>
      </c>
      <c r="FY773" s="323">
        <v>48.504380458713548</v>
      </c>
      <c r="FZ773" s="323">
        <v>45.626606782743686</v>
      </c>
      <c r="GA773" s="323">
        <v>48.178742218431545</v>
      </c>
      <c r="GB773" s="323">
        <v>56.630153828914708</v>
      </c>
      <c r="GC773" s="323">
        <v>50.055151263039996</v>
      </c>
      <c r="GD773" s="323">
        <v>43.807227043699996</v>
      </c>
      <c r="GE773" s="323">
        <v>56.012617229773603</v>
      </c>
      <c r="GF773" s="323">
        <v>48.884781706864608</v>
      </c>
      <c r="GG773" s="323">
        <v>51.031707439965153</v>
      </c>
      <c r="GH773" s="323">
        <v>66.063478275774557</v>
      </c>
      <c r="GI773" s="323">
        <f t="shared" ref="GI773:HR773" si="1053">GI370</f>
        <v>52.244725581622255</v>
      </c>
      <c r="GJ773" s="323">
        <f t="shared" si="1053"/>
        <v>62.765330236233687</v>
      </c>
      <c r="GK773" s="323">
        <f t="shared" si="1053"/>
        <v>59.243896196018156</v>
      </c>
      <c r="GL773" s="323">
        <f t="shared" si="1053"/>
        <v>50.98288807150896</v>
      </c>
      <c r="GM773" s="323">
        <f t="shared" si="1053"/>
        <v>54.250768541200003</v>
      </c>
      <c r="GN773" s="323">
        <f t="shared" si="1053"/>
        <v>61.453832934303691</v>
      </c>
      <c r="GO773" s="323">
        <f t="shared" si="1053"/>
        <v>60.902610856479178</v>
      </c>
      <c r="GP773" s="323">
        <f t="shared" si="1053"/>
        <v>50.187344765715444</v>
      </c>
      <c r="GQ773" s="323">
        <f t="shared" si="1053"/>
        <v>62.103972101563201</v>
      </c>
      <c r="GR773" s="323">
        <f t="shared" si="1053"/>
        <v>52.735897940640001</v>
      </c>
      <c r="GS773" s="323">
        <f t="shared" si="1053"/>
        <v>56.104643205750001</v>
      </c>
      <c r="GT773" s="323">
        <f t="shared" si="1053"/>
        <v>66.733926239140004</v>
      </c>
      <c r="GU773" s="323">
        <f t="shared" si="1053"/>
        <v>62.158857972199996</v>
      </c>
      <c r="GV773" s="323">
        <f t="shared" si="1053"/>
        <v>60.029309262549994</v>
      </c>
      <c r="GW773" s="323">
        <f t="shared" si="1053"/>
        <v>59.169522346500003</v>
      </c>
      <c r="GX773" s="323">
        <f t="shared" si="1053"/>
        <v>64.52860598545</v>
      </c>
      <c r="GY773" s="323">
        <f t="shared" si="1053"/>
        <v>60.572182681979491</v>
      </c>
      <c r="GZ773" s="323">
        <f t="shared" si="1053"/>
        <v>63.469634149649998</v>
      </c>
      <c r="HA773" s="323">
        <f t="shared" si="1053"/>
        <v>72.264538514412507</v>
      </c>
      <c r="HB773" s="323">
        <f t="shared" si="1053"/>
        <v>57.141034558779999</v>
      </c>
      <c r="HC773" s="323">
        <f t="shared" si="1053"/>
        <v>60.880727948119997</v>
      </c>
      <c r="HD773" s="323">
        <f t="shared" si="1053"/>
        <v>70.631216667250001</v>
      </c>
      <c r="HE773" s="323">
        <f t="shared" si="1053"/>
        <v>69.387986040295004</v>
      </c>
      <c r="HF773" s="323">
        <f t="shared" si="1053"/>
        <v>92.527496021232821</v>
      </c>
      <c r="HG773" s="323">
        <f t="shared" si="1053"/>
        <v>88.426353865169133</v>
      </c>
      <c r="HH773" s="323">
        <f t="shared" si="1053"/>
        <v>73.319420889784823</v>
      </c>
      <c r="HI773" s="323">
        <f t="shared" si="1053"/>
        <v>75.220508510846102</v>
      </c>
      <c r="HJ773" s="323">
        <f t="shared" si="1053"/>
        <v>88.855849391849986</v>
      </c>
      <c r="HK773" s="323">
        <f t="shared" si="1053"/>
        <v>70.428333834699998</v>
      </c>
      <c r="HL773" s="323">
        <f t="shared" si="1053"/>
        <v>75.098535038699964</v>
      </c>
      <c r="HM773" s="323">
        <f t="shared" si="1053"/>
        <v>93.691551994460923</v>
      </c>
      <c r="HN773" s="323">
        <f t="shared" si="1053"/>
        <v>71.664753960761033</v>
      </c>
      <c r="HO773" s="323">
        <f t="shared" si="1053"/>
        <v>73.489515221409107</v>
      </c>
      <c r="HP773" s="323">
        <f t="shared" si="1053"/>
        <v>82.94173279861694</v>
      </c>
      <c r="HQ773" s="323">
        <f t="shared" si="1053"/>
        <v>76.226510295670053</v>
      </c>
      <c r="HR773" s="323">
        <f t="shared" si="1053"/>
        <v>94.03064137850204</v>
      </c>
      <c r="HS773" s="323">
        <f t="shared" ref="HS773:HX773" si="1054">HS370</f>
        <v>108.81817834592202</v>
      </c>
      <c r="HT773" s="323">
        <f t="shared" si="1054"/>
        <v>104.16569753866401</v>
      </c>
      <c r="HU773" s="323">
        <f t="shared" si="1054"/>
        <v>97.922946180596057</v>
      </c>
      <c r="HV773" s="323">
        <f t="shared" si="1054"/>
        <v>120.56579411692599</v>
      </c>
      <c r="HW773" s="323">
        <f t="shared" si="1054"/>
        <v>99.350303581006983</v>
      </c>
      <c r="HX773" s="323">
        <f t="shared" si="1054"/>
        <v>109.45140863110001</v>
      </c>
      <c r="HY773" s="323"/>
      <c r="HZ773" s="326"/>
      <c r="IA773" s="1232" t="s">
        <v>477</v>
      </c>
      <c r="IB773" s="284">
        <f t="shared" si="1010"/>
        <v>115.38276604740001</v>
      </c>
      <c r="IC773" s="279">
        <f t="shared" si="1011"/>
        <v>141.74616033180001</v>
      </c>
      <c r="ID773" s="323">
        <f t="shared" si="907"/>
        <v>257.12892637920004</v>
      </c>
      <c r="IE773" s="279">
        <f t="shared" si="1012"/>
        <v>134.2326184092</v>
      </c>
      <c r="IF773" s="279">
        <f t="shared" si="1013"/>
        <v>146.7632255796</v>
      </c>
      <c r="IG773" s="323">
        <f t="shared" si="880"/>
        <v>280.9958439888</v>
      </c>
      <c r="IH773" s="284">
        <f t="shared" si="1014"/>
        <v>151.39737222091915</v>
      </c>
      <c r="II773" s="279">
        <f t="shared" si="1015"/>
        <v>161.7483596444917</v>
      </c>
      <c r="IJ773" s="323">
        <f t="shared" si="881"/>
        <v>313.14573186541088</v>
      </c>
      <c r="IK773" s="327">
        <f t="shared" si="1016"/>
        <v>169.93235296083202</v>
      </c>
      <c r="IL773" s="279">
        <f t="shared" si="1017"/>
        <v>198.51854641836076</v>
      </c>
      <c r="IM773" s="323">
        <f t="shared" si="882"/>
        <v>368.45089937919278</v>
      </c>
      <c r="IN773" s="279">
        <f t="shared" si="1018"/>
        <v>203.71929770689383</v>
      </c>
      <c r="IO773" s="279">
        <f t="shared" si="1019"/>
        <v>223.53639848691944</v>
      </c>
      <c r="IP773" s="323">
        <f t="shared" si="883"/>
        <v>427.25569619381326</v>
      </c>
      <c r="IQ773" s="327">
        <f t="shared" si="1020"/>
        <v>213.70620423815998</v>
      </c>
      <c r="IR773" s="327">
        <f t="shared" si="1021"/>
        <v>244.88349265251716</v>
      </c>
      <c r="IS773" s="323">
        <f t="shared" si="884"/>
        <v>458.58969689067715</v>
      </c>
      <c r="IT773" s="327">
        <f t="shared" si="1022"/>
        <v>257.40144458010235</v>
      </c>
      <c r="IU773" s="327">
        <f t="shared" si="1023"/>
        <v>226.60978039861681</v>
      </c>
      <c r="IV773" s="323">
        <f t="shared" si="885"/>
        <v>484.01122497871916</v>
      </c>
      <c r="IW773" s="327">
        <f t="shared" si="1024"/>
        <v>254.14887071293754</v>
      </c>
      <c r="IX773" s="327">
        <f t="shared" si="868"/>
        <v>270.8830685671021</v>
      </c>
      <c r="IY773" s="323">
        <f>IW773+IX773</f>
        <v>525.03193928003964</v>
      </c>
      <c r="IZ773" s="327">
        <f t="shared" si="869"/>
        <v>277.56278097868187</v>
      </c>
      <c r="JA773" s="327">
        <f t="shared" si="870"/>
        <v>315.85496295911793</v>
      </c>
      <c r="JB773" s="323">
        <f t="shared" si="887"/>
        <v>593.41774393779974</v>
      </c>
      <c r="JC773" s="327">
        <f t="shared" si="871"/>
        <v>340.94144156088674</v>
      </c>
      <c r="JD773" s="327">
        <f t="shared" si="872"/>
        <v>348.76839510928789</v>
      </c>
      <c r="JE773" s="323">
        <f t="shared" si="888"/>
        <v>689.70983667017458</v>
      </c>
      <c r="JF773" s="327">
        <f t="shared" si="908"/>
        <v>369.92811239832946</v>
      </c>
      <c r="JG773" s="327">
        <f t="shared" si="918"/>
        <v>422.83299975009032</v>
      </c>
      <c r="JH773" s="323">
        <f t="shared" si="889"/>
        <v>792.76111214841978</v>
      </c>
      <c r="JI773" s="327">
        <f t="shared" si="909"/>
        <v>471.34900153105002</v>
      </c>
      <c r="JJ773" s="327">
        <f t="shared" si="910"/>
        <v>492.04470564942005</v>
      </c>
      <c r="JK773" s="323">
        <f t="shared" si="890"/>
        <v>963.39370718047007</v>
      </c>
      <c r="JL773" s="327">
        <f t="shared" si="891"/>
        <v>640.2743283942151</v>
      </c>
      <c r="JM773" s="279">
        <f t="shared" si="892"/>
        <v>646.14717682813182</v>
      </c>
      <c r="JN773" s="323">
        <f>FISC!AK1079</f>
        <v>1286.4215052223469</v>
      </c>
      <c r="JO773" s="327">
        <f>JQ773*0.495</f>
        <v>776.4393670129125</v>
      </c>
      <c r="JP773" s="279">
        <f t="shared" si="893"/>
        <v>792.12501079095114</v>
      </c>
      <c r="JQ773" s="323">
        <f>FISC!AL1079</f>
        <v>1568.5643778038636</v>
      </c>
      <c r="JR773" s="327">
        <f t="shared" si="919"/>
        <v>873.39042397413698</v>
      </c>
      <c r="JS773" s="279">
        <f t="shared" si="894"/>
        <v>946.1729593053152</v>
      </c>
      <c r="JT773" s="323">
        <f>FISC!AM1079</f>
        <v>1819.5633832794522</v>
      </c>
      <c r="JU773" s="327">
        <f t="shared" si="920"/>
        <v>999.62549530339436</v>
      </c>
      <c r="JV773" s="279">
        <f t="shared" si="911"/>
        <v>1082.9276199120104</v>
      </c>
      <c r="JW773" s="323">
        <f>FISC!AN1079</f>
        <v>2082.5531152154049</v>
      </c>
      <c r="JX773" s="327">
        <f t="shared" si="921"/>
        <v>1144.8938467629791</v>
      </c>
      <c r="JY773" s="279">
        <f t="shared" si="895"/>
        <v>1240.3016673265606</v>
      </c>
      <c r="JZ773" s="323">
        <f>FISC!AO1079</f>
        <v>2385.1955140895398</v>
      </c>
      <c r="KA773" s="327">
        <f t="shared" si="966"/>
        <v>1299.1818128064717</v>
      </c>
      <c r="KB773" s="279">
        <f t="shared" si="967"/>
        <v>1407.446963873678</v>
      </c>
      <c r="KC773" s="323">
        <f>FISC!AP1079</f>
        <v>2706.6287766801497</v>
      </c>
      <c r="KD773" s="327">
        <f t="shared" si="968"/>
        <v>1427.6273202264788</v>
      </c>
      <c r="KE773" s="279">
        <f t="shared" si="969"/>
        <v>1546.5962635786855</v>
      </c>
      <c r="KF773" s="323">
        <f>FISC!AQ1079</f>
        <v>2974.2235838051643</v>
      </c>
      <c r="KG773" s="327">
        <f t="shared" si="970"/>
        <v>1592.1792729135602</v>
      </c>
      <c r="KH773" s="279">
        <f t="shared" si="971"/>
        <v>1724.8608789896905</v>
      </c>
      <c r="KI773" s="323">
        <f>FISC!AR1079</f>
        <v>3317.0401519032507</v>
      </c>
      <c r="KJ773" s="327">
        <f t="shared" si="972"/>
        <v>1737.3102078397944</v>
      </c>
      <c r="KK773" s="279">
        <f t="shared" si="973"/>
        <v>1882.0860584931108</v>
      </c>
      <c r="KL773" s="323">
        <f>FISC!AS1079</f>
        <v>3619.3962663329053</v>
      </c>
      <c r="KM773" s="327">
        <f t="shared" si="974"/>
        <v>2196.816872760553</v>
      </c>
      <c r="KN773" s="279">
        <f t="shared" si="975"/>
        <v>2379.884945490599</v>
      </c>
      <c r="KO773" s="323">
        <f>FISC!AT1079</f>
        <v>4576.701818251152</v>
      </c>
      <c r="KU773" s="326"/>
      <c r="KV773" s="327"/>
    </row>
    <row r="774" spans="1:308">
      <c r="A774" s="279"/>
      <c r="D774" s="2061" t="s">
        <v>3690</v>
      </c>
      <c r="E774" s="323"/>
      <c r="F774" s="323"/>
      <c r="G774" s="323"/>
      <c r="H774" s="323"/>
      <c r="I774" s="323"/>
      <c r="J774" s="323"/>
      <c r="K774" s="323"/>
      <c r="L774" s="323"/>
      <c r="M774" s="323"/>
      <c r="N774" s="323"/>
      <c r="O774" s="323"/>
      <c r="P774" s="323"/>
      <c r="Q774" s="323"/>
      <c r="R774" s="323"/>
      <c r="S774" s="323"/>
      <c r="T774" s="323"/>
      <c r="U774" s="323"/>
      <c r="V774" s="323"/>
      <c r="W774" s="323"/>
      <c r="X774" s="323"/>
      <c r="Y774" s="323"/>
      <c r="Z774" s="323"/>
      <c r="AA774" s="323"/>
      <c r="AB774" s="323"/>
      <c r="AC774" s="323"/>
      <c r="AD774" s="323"/>
      <c r="AE774" s="323"/>
      <c r="AF774" s="323"/>
      <c r="AG774" s="323"/>
      <c r="AH774" s="323"/>
      <c r="AI774" s="323"/>
      <c r="AJ774" s="323"/>
      <c r="AK774" s="323"/>
      <c r="AL774" s="323"/>
      <c r="AM774" s="323"/>
      <c r="AN774" s="323"/>
      <c r="AO774" s="323"/>
      <c r="AP774" s="323"/>
      <c r="AQ774" s="323"/>
      <c r="AR774" s="323"/>
      <c r="AS774" s="323"/>
      <c r="AT774" s="323"/>
      <c r="AU774" s="323"/>
      <c r="AV774" s="323"/>
      <c r="AW774" s="323"/>
      <c r="AX774" s="323"/>
      <c r="AY774" s="323"/>
      <c r="AZ774" s="323"/>
      <c r="BA774" s="323"/>
      <c r="BB774" s="323"/>
      <c r="BC774" s="323"/>
      <c r="BD774" s="323"/>
      <c r="BE774" s="323"/>
      <c r="BF774" s="323"/>
      <c r="BG774" s="323"/>
      <c r="BH774" s="323"/>
      <c r="BI774" s="323"/>
      <c r="BJ774" s="323"/>
      <c r="BK774" s="323"/>
      <c r="BL774" s="323"/>
      <c r="BM774" s="323"/>
      <c r="BN774" s="323"/>
      <c r="BO774" s="323"/>
      <c r="BP774" s="323"/>
      <c r="BQ774" s="323"/>
      <c r="BR774" s="323"/>
      <c r="BS774" s="323"/>
      <c r="BT774" s="323"/>
      <c r="BU774" s="323"/>
      <c r="BV774" s="323"/>
      <c r="BW774" s="323"/>
      <c r="BX774" s="323"/>
      <c r="BY774" s="323"/>
      <c r="BZ774" s="323"/>
      <c r="CA774" s="323"/>
      <c r="CB774" s="323"/>
      <c r="CC774" s="323"/>
      <c r="CD774" s="329"/>
      <c r="CE774" s="323"/>
      <c r="CF774" s="323"/>
      <c r="CG774" s="323"/>
      <c r="CH774" s="323"/>
      <c r="CI774" s="323"/>
      <c r="CJ774" s="323"/>
      <c r="CK774" s="323"/>
      <c r="CL774" s="323"/>
      <c r="CM774" s="323"/>
      <c r="CN774" s="323"/>
      <c r="CO774" s="323"/>
      <c r="CP774" s="325"/>
      <c r="CQ774" s="323"/>
      <c r="CR774" s="323"/>
      <c r="CS774" s="323"/>
      <c r="CT774" s="323"/>
      <c r="CU774" s="323"/>
      <c r="CV774" s="323"/>
      <c r="CW774" s="323"/>
      <c r="CX774" s="323"/>
      <c r="CY774" s="323"/>
      <c r="CZ774" s="323"/>
      <c r="DA774" s="323"/>
      <c r="DB774" s="1269"/>
      <c r="DC774" s="323"/>
      <c r="DD774" s="323"/>
      <c r="DE774" s="323"/>
      <c r="DF774" s="323"/>
      <c r="DG774" s="323"/>
      <c r="DH774" s="323"/>
      <c r="DI774" s="323"/>
      <c r="DJ774" s="323"/>
      <c r="DK774" s="323"/>
      <c r="DL774" s="323"/>
      <c r="DM774" s="323"/>
      <c r="DN774" s="325"/>
      <c r="DO774" s="323"/>
      <c r="DP774" s="323"/>
      <c r="DQ774" s="323"/>
      <c r="DR774" s="323"/>
      <c r="DS774" s="323"/>
      <c r="DT774" s="323"/>
      <c r="DU774" s="323"/>
      <c r="DV774" s="323"/>
      <c r="DW774" s="323"/>
      <c r="DX774" s="323"/>
      <c r="DY774" s="323"/>
      <c r="DZ774" s="325"/>
      <c r="EA774" s="323"/>
      <c r="EB774" s="323"/>
      <c r="EC774" s="323"/>
      <c r="ED774" s="323"/>
      <c r="EE774" s="323"/>
      <c r="EF774" s="323"/>
      <c r="EG774" s="323"/>
      <c r="EH774" s="323"/>
      <c r="EI774" s="323"/>
      <c r="EJ774" s="323"/>
      <c r="EK774" s="323"/>
      <c r="EL774" s="325"/>
      <c r="EM774" s="323"/>
      <c r="EN774" s="323"/>
      <c r="EO774" s="323"/>
      <c r="EP774" s="323"/>
      <c r="EQ774" s="323"/>
      <c r="ER774" s="323"/>
      <c r="ES774" s="323"/>
      <c r="ET774" s="323"/>
      <c r="EU774" s="323"/>
      <c r="EV774" s="323"/>
      <c r="EW774" s="323"/>
      <c r="EX774" s="325"/>
      <c r="EY774" s="323"/>
      <c r="EZ774" s="323"/>
      <c r="FA774" s="323"/>
      <c r="FB774" s="323"/>
      <c r="FC774" s="323"/>
      <c r="FD774" s="323"/>
      <c r="FE774" s="323"/>
      <c r="FF774" s="323"/>
      <c r="FG774" s="323"/>
      <c r="FH774" s="323"/>
      <c r="FI774" s="323"/>
      <c r="FJ774" s="325"/>
      <c r="FK774" s="323"/>
      <c r="FL774" s="323"/>
      <c r="FM774" s="323"/>
      <c r="FN774" s="323"/>
      <c r="FO774" s="323"/>
      <c r="FP774" s="323"/>
      <c r="FQ774" s="323"/>
      <c r="FR774" s="323"/>
      <c r="FS774" s="323"/>
      <c r="FT774" s="323"/>
      <c r="FU774" s="323"/>
      <c r="FV774" s="323"/>
      <c r="FW774" s="323"/>
      <c r="FX774" s="323"/>
      <c r="FY774" s="323"/>
      <c r="FZ774" s="323"/>
      <c r="GA774" s="323"/>
      <c r="GB774" s="323"/>
      <c r="GC774" s="323"/>
      <c r="GD774" s="323"/>
      <c r="GE774" s="323"/>
      <c r="GF774" s="323"/>
      <c r="GG774" s="323"/>
      <c r="GH774" s="323"/>
      <c r="GI774" s="323">
        <f t="shared" ref="GI774:GS774" si="1055">GI371</f>
        <v>18.621550163040002</v>
      </c>
      <c r="GJ774" s="323">
        <f t="shared" si="1055"/>
        <v>20.13856173384</v>
      </c>
      <c r="GK774" s="323">
        <f t="shared" si="1055"/>
        <v>19.065575122880002</v>
      </c>
      <c r="GL774" s="323">
        <f t="shared" si="1055"/>
        <v>17.143206107280001</v>
      </c>
      <c r="GM774" s="323">
        <f t="shared" si="1055"/>
        <v>19.147330649919997</v>
      </c>
      <c r="GN774" s="323">
        <f t="shared" si="1055"/>
        <v>19.748852192959998</v>
      </c>
      <c r="GO774" s="323">
        <f t="shared" si="1055"/>
        <v>17.031914361319998</v>
      </c>
      <c r="GP774" s="323">
        <f t="shared" si="1055"/>
        <v>16.660494642299998</v>
      </c>
      <c r="GQ774" s="323">
        <f t="shared" si="1055"/>
        <v>18.1204528124</v>
      </c>
      <c r="GR774" s="323">
        <f t="shared" si="1055"/>
        <v>14.778540782799999</v>
      </c>
      <c r="GS774" s="323">
        <f t="shared" si="1055"/>
        <v>19.547090501</v>
      </c>
      <c r="GT774" s="323">
        <f t="shared" ref="GT774:HR774" si="1056">GT371</f>
        <v>17.8728997684</v>
      </c>
      <c r="GU774" s="323">
        <f t="shared" si="1056"/>
        <v>19.517355107049998</v>
      </c>
      <c r="GV774" s="323">
        <f t="shared" si="1056"/>
        <v>19.299225045250001</v>
      </c>
      <c r="GW774" s="323">
        <f t="shared" si="1056"/>
        <v>18.060882726749998</v>
      </c>
      <c r="GX774" s="323">
        <f t="shared" si="1056"/>
        <v>17.678909647799998</v>
      </c>
      <c r="GY774" s="323">
        <f t="shared" si="1056"/>
        <v>17.581841311750001</v>
      </c>
      <c r="GZ774" s="323">
        <f t="shared" si="1056"/>
        <v>19.34944360575</v>
      </c>
      <c r="HA774" s="323">
        <f t="shared" si="1056"/>
        <v>20.279060251000001</v>
      </c>
      <c r="HB774" s="323">
        <f t="shared" si="1056"/>
        <v>17.884521598880003</v>
      </c>
      <c r="HC774" s="323">
        <f t="shared" si="1056"/>
        <v>20.93994063577</v>
      </c>
      <c r="HD774" s="323">
        <f t="shared" si="1056"/>
        <v>21.216653540599999</v>
      </c>
      <c r="HE774" s="323">
        <f t="shared" si="1056"/>
        <v>22.542889310450001</v>
      </c>
      <c r="HF774" s="323">
        <f t="shared" si="1056"/>
        <v>24.683743775949718</v>
      </c>
      <c r="HG774" s="323">
        <f t="shared" si="1056"/>
        <v>24.837158954469125</v>
      </c>
      <c r="HH774" s="323">
        <f t="shared" si="1056"/>
        <v>27.664315110584813</v>
      </c>
      <c r="HI774" s="323">
        <f t="shared" si="1056"/>
        <v>24.032889363196091</v>
      </c>
      <c r="HJ774" s="323">
        <f t="shared" si="1056"/>
        <v>25.205551699049998</v>
      </c>
      <c r="HK774" s="323">
        <f t="shared" si="1056"/>
        <v>23.306523920899998</v>
      </c>
      <c r="HL774" s="323">
        <f t="shared" si="1056"/>
        <v>24.492293114599967</v>
      </c>
      <c r="HM774" s="323">
        <f t="shared" si="1056"/>
        <v>25.0167684378</v>
      </c>
      <c r="HN774" s="323">
        <f t="shared" si="1056"/>
        <v>22.346394937700001</v>
      </c>
      <c r="HO774" s="323">
        <f t="shared" si="1056"/>
        <v>23.319033626299969</v>
      </c>
      <c r="HP774" s="323">
        <f t="shared" si="1056"/>
        <v>22.133956423649991</v>
      </c>
      <c r="HQ774" s="323">
        <f t="shared" si="1056"/>
        <v>24.539989117050027</v>
      </c>
      <c r="HR774" s="323">
        <f t="shared" si="1056"/>
        <v>29.900995368950021</v>
      </c>
      <c r="HS774" s="323">
        <f t="shared" ref="HS774:HX774" si="1057">HS371</f>
        <v>37.859755554800003</v>
      </c>
      <c r="HT774" s="323">
        <f t="shared" si="1057"/>
        <v>42.734016769699998</v>
      </c>
      <c r="HU774" s="323">
        <f t="shared" si="1057"/>
        <v>39.296883099550001</v>
      </c>
      <c r="HV774" s="323">
        <f t="shared" si="1057"/>
        <v>47.271114695349993</v>
      </c>
      <c r="HW774" s="323">
        <f t="shared" si="1057"/>
        <v>38.413361857149994</v>
      </c>
      <c r="HX774" s="323">
        <f t="shared" si="1057"/>
        <v>46.324279427799993</v>
      </c>
      <c r="HY774" s="323"/>
      <c r="HZ774" s="326"/>
      <c r="IA774" s="2146" t="s">
        <v>3690</v>
      </c>
      <c r="IB774" s="284">
        <f t="shared" ref="IB774:IB776" si="1058">SUM(CE774:CJ774)</f>
        <v>0</v>
      </c>
      <c r="IC774" s="279">
        <f t="shared" ref="IC774:IC776" si="1059">SUM(CK774:CP774)</f>
        <v>0</v>
      </c>
      <c r="ID774" s="323">
        <f t="shared" si="907"/>
        <v>0</v>
      </c>
      <c r="IE774" s="279">
        <f t="shared" ref="IE774:IE776" si="1060">SUM(CQ774:CV774)</f>
        <v>0</v>
      </c>
      <c r="IF774" s="279">
        <f t="shared" ref="IF774:IF776" si="1061">SUM(CW774:DB774)</f>
        <v>0</v>
      </c>
      <c r="IG774" s="323">
        <f t="shared" ref="IG774:IG776" si="1062">IE774+IF774</f>
        <v>0</v>
      </c>
      <c r="IH774" s="284">
        <f t="shared" ref="IH774:IH776" si="1063">SUM(DC774:DH774)</f>
        <v>0</v>
      </c>
      <c r="II774" s="279">
        <f t="shared" ref="II774:II776" si="1064">SUM(DI774:DN774)</f>
        <v>0</v>
      </c>
      <c r="IJ774" s="323">
        <f t="shared" ref="IJ774:IJ776" si="1065">IH774+II774</f>
        <v>0</v>
      </c>
      <c r="IK774" s="327">
        <f t="shared" ref="IK774:IK776" si="1066">SUM(DO774:DT774)</f>
        <v>0</v>
      </c>
      <c r="IL774" s="279">
        <f t="shared" ref="IL774:IL776" si="1067">SUM(DU774:DZ774)</f>
        <v>0</v>
      </c>
      <c r="IM774" s="323">
        <f t="shared" ref="IM774:IM776" si="1068">IK774+IL774</f>
        <v>0</v>
      </c>
      <c r="IN774" s="279">
        <f t="shared" ref="IN774:IN776" si="1069">SUM(EA774:EF774)</f>
        <v>0</v>
      </c>
      <c r="IO774" s="279">
        <f t="shared" ref="IO774:IO776" si="1070">SUM(EG774:EL774)</f>
        <v>0</v>
      </c>
      <c r="IP774" s="323">
        <f t="shared" ref="IP774:IP776" si="1071">IN774+IO774</f>
        <v>0</v>
      </c>
      <c r="IQ774" s="327">
        <f t="shared" ref="IQ774:IQ776" si="1072">SUM(EM774:ER774)</f>
        <v>0</v>
      </c>
      <c r="IR774" s="327">
        <f t="shared" ref="IR774:IR776" si="1073">SUM(ES774:EX774)</f>
        <v>0</v>
      </c>
      <c r="IS774" s="323">
        <f t="shared" ref="IS774:IS776" si="1074">IQ774+IR774</f>
        <v>0</v>
      </c>
      <c r="IT774" s="327">
        <f t="shared" ref="IT774:IT776" si="1075">SUM(EY774:FD774)</f>
        <v>0</v>
      </c>
      <c r="IU774" s="327">
        <f t="shared" ref="IU774:IU776" si="1076">SUM(FE774:FJ774)</f>
        <v>0</v>
      </c>
      <c r="IV774" s="323">
        <f t="shared" ref="IV774:IV776" si="1077">IT774+IU774</f>
        <v>0</v>
      </c>
      <c r="IW774" s="327">
        <f t="shared" ref="IW774:IW776" si="1078">SUM(FK774:FP774)</f>
        <v>0</v>
      </c>
      <c r="IX774" s="327">
        <f t="shared" ref="IX774:IX776" si="1079">SUM(FQ774:FV774)</f>
        <v>0</v>
      </c>
      <c r="IY774" s="323">
        <f t="shared" ref="IY774:IY776" si="1080">IW774+IX774</f>
        <v>0</v>
      </c>
      <c r="IZ774" s="327">
        <f t="shared" ref="IZ774:IZ776" si="1081">SUM(FW774:GB774)</f>
        <v>0</v>
      </c>
      <c r="JA774" s="327">
        <f t="shared" ref="JA774:JA776" si="1082">SUM(GC774:GH774)</f>
        <v>0</v>
      </c>
      <c r="JB774" s="323">
        <f t="shared" ref="JB774:JB776" si="1083">IZ774+JA774</f>
        <v>0</v>
      </c>
      <c r="JC774" s="327">
        <f t="shared" ref="JC774:JC776" si="1084">SUM(GI774:GN774)</f>
        <v>113.86507596992001</v>
      </c>
      <c r="JD774" s="327">
        <f t="shared" ref="JD774:JD776" si="1085">SUM(GO774:GT774)</f>
        <v>104.01139286822</v>
      </c>
      <c r="JE774" s="323">
        <f t="shared" ref="JE774:JE776" si="1086">JC774+JD774</f>
        <v>217.87646883814</v>
      </c>
      <c r="JF774" s="327">
        <f t="shared" ref="JF774:JF776" si="1087">SUM(GU774:GZ774)</f>
        <v>111.48765744434999</v>
      </c>
      <c r="JG774" s="327">
        <f t="shared" ref="JG774:JG776" si="1088">SUM(HA774:HF774)</f>
        <v>127.54680911264973</v>
      </c>
      <c r="JH774" s="323">
        <f t="shared" ref="JH774:JH776" si="1089">JF774+JG774</f>
        <v>239.03446655699972</v>
      </c>
      <c r="JI774" s="327">
        <f t="shared" ref="JI774:JI776" si="1090">SUM(HG774:HL774)</f>
        <v>149.53873216279999</v>
      </c>
      <c r="JJ774" s="327">
        <f t="shared" si="910"/>
        <v>147.25713791145</v>
      </c>
      <c r="JK774" s="323">
        <f t="shared" si="890"/>
        <v>296.79587007424999</v>
      </c>
      <c r="JL774" s="327">
        <f t="shared" si="891"/>
        <v>251.89941140434996</v>
      </c>
      <c r="JM774" s="279">
        <f t="shared" si="892"/>
        <v>113.47276100999619</v>
      </c>
      <c r="JN774" s="323">
        <f>FISC!AK1080</f>
        <v>365.37217241434615</v>
      </c>
      <c r="JO774" s="327"/>
      <c r="JQ774" s="323">
        <f>FISC!AL1080</f>
        <v>435.92795323418318</v>
      </c>
      <c r="JR774" s="327"/>
      <c r="JT774" s="323">
        <f>FISC!AM1080</f>
        <v>522.15202833808723</v>
      </c>
      <c r="JU774" s="327"/>
      <c r="JW774" s="323">
        <f>FISC!AN1080</f>
        <v>623.88141953681486</v>
      </c>
      <c r="JX774" s="327"/>
      <c r="JZ774" s="323">
        <f>FISC!AO1080</f>
        <v>741.73179377211716</v>
      </c>
      <c r="KA774" s="327"/>
      <c r="KC774" s="323">
        <f>FISC!AP1080</f>
        <v>806.49564952285152</v>
      </c>
      <c r="KD774" s="327"/>
      <c r="KF774" s="323">
        <f>FISC!AQ1080</f>
        <v>842.34222964485207</v>
      </c>
      <c r="KG774" s="327"/>
      <c r="KI774" s="323">
        <f>FISC!AR1080</f>
        <v>889.31273395289895</v>
      </c>
      <c r="KJ774" s="327"/>
      <c r="KL774" s="323">
        <f>FISC!AS1080</f>
        <v>938.53262196152548</v>
      </c>
      <c r="KM774" s="327"/>
      <c r="KO774" s="323">
        <f>FISC!AT1080</f>
        <v>989.36185230026229</v>
      </c>
      <c r="KU774" s="326"/>
      <c r="KV774" s="327"/>
    </row>
    <row r="775" spans="1:308">
      <c r="A775" s="279"/>
      <c r="D775" s="2063" t="s">
        <v>3698</v>
      </c>
      <c r="E775" s="323"/>
      <c r="F775" s="323"/>
      <c r="G775" s="323"/>
      <c r="H775" s="323"/>
      <c r="I775" s="323"/>
      <c r="J775" s="323"/>
      <c r="K775" s="323"/>
      <c r="L775" s="323"/>
      <c r="M775" s="323"/>
      <c r="N775" s="323"/>
      <c r="O775" s="323"/>
      <c r="P775" s="323"/>
      <c r="Q775" s="323"/>
      <c r="R775" s="323"/>
      <c r="S775" s="323"/>
      <c r="T775" s="323"/>
      <c r="U775" s="323"/>
      <c r="V775" s="323"/>
      <c r="W775" s="323"/>
      <c r="X775" s="323"/>
      <c r="Y775" s="323"/>
      <c r="Z775" s="323"/>
      <c r="AA775" s="323"/>
      <c r="AB775" s="323"/>
      <c r="AC775" s="323"/>
      <c r="AD775" s="323"/>
      <c r="AE775" s="323"/>
      <c r="AF775" s="323"/>
      <c r="AG775" s="323"/>
      <c r="AH775" s="323"/>
      <c r="AI775" s="323"/>
      <c r="AJ775" s="323"/>
      <c r="AK775" s="323"/>
      <c r="AL775" s="323"/>
      <c r="AM775" s="323"/>
      <c r="AN775" s="323"/>
      <c r="AO775" s="323"/>
      <c r="AP775" s="323"/>
      <c r="AQ775" s="323"/>
      <c r="AR775" s="323"/>
      <c r="AS775" s="323"/>
      <c r="AT775" s="323"/>
      <c r="AU775" s="323"/>
      <c r="AV775" s="323"/>
      <c r="AW775" s="323"/>
      <c r="AX775" s="323"/>
      <c r="AY775" s="323"/>
      <c r="AZ775" s="323"/>
      <c r="BA775" s="323"/>
      <c r="BB775" s="323"/>
      <c r="BC775" s="323"/>
      <c r="BD775" s="323"/>
      <c r="BE775" s="323"/>
      <c r="BF775" s="323"/>
      <c r="BG775" s="323"/>
      <c r="BH775" s="323"/>
      <c r="BI775" s="323"/>
      <c r="BJ775" s="323"/>
      <c r="BK775" s="323"/>
      <c r="BL775" s="323"/>
      <c r="BM775" s="323"/>
      <c r="BN775" s="323"/>
      <c r="BO775" s="323"/>
      <c r="BP775" s="323"/>
      <c r="BQ775" s="323"/>
      <c r="BR775" s="323"/>
      <c r="BS775" s="323"/>
      <c r="BT775" s="323"/>
      <c r="BU775" s="323"/>
      <c r="BV775" s="323"/>
      <c r="BW775" s="323"/>
      <c r="BX775" s="323"/>
      <c r="BY775" s="323"/>
      <c r="BZ775" s="323"/>
      <c r="CA775" s="323"/>
      <c r="CB775" s="323"/>
      <c r="CC775" s="323"/>
      <c r="CD775" s="329"/>
      <c r="CE775" s="323"/>
      <c r="CF775" s="323"/>
      <c r="CG775" s="323"/>
      <c r="CH775" s="323"/>
      <c r="CI775" s="323"/>
      <c r="CJ775" s="323"/>
      <c r="CK775" s="323"/>
      <c r="CL775" s="323"/>
      <c r="CM775" s="323"/>
      <c r="CN775" s="323"/>
      <c r="CO775" s="323"/>
      <c r="CP775" s="325"/>
      <c r="CQ775" s="323"/>
      <c r="CR775" s="323"/>
      <c r="CS775" s="323"/>
      <c r="CT775" s="323"/>
      <c r="CU775" s="323"/>
      <c r="CV775" s="323"/>
      <c r="CW775" s="323"/>
      <c r="CX775" s="323"/>
      <c r="CY775" s="323"/>
      <c r="CZ775" s="323"/>
      <c r="DA775" s="323"/>
      <c r="DB775" s="1269"/>
      <c r="DC775" s="323"/>
      <c r="DD775" s="323"/>
      <c r="DE775" s="323"/>
      <c r="DF775" s="323"/>
      <c r="DG775" s="323"/>
      <c r="DH775" s="323"/>
      <c r="DI775" s="323"/>
      <c r="DJ775" s="323"/>
      <c r="DK775" s="323"/>
      <c r="DL775" s="323"/>
      <c r="DM775" s="323"/>
      <c r="DN775" s="325"/>
      <c r="DO775" s="323"/>
      <c r="DP775" s="323"/>
      <c r="DQ775" s="323"/>
      <c r="DR775" s="323"/>
      <c r="DS775" s="323"/>
      <c r="DT775" s="323"/>
      <c r="DU775" s="323"/>
      <c r="DV775" s="323"/>
      <c r="DW775" s="323"/>
      <c r="DX775" s="323"/>
      <c r="DY775" s="323"/>
      <c r="DZ775" s="325"/>
      <c r="EA775" s="323"/>
      <c r="EB775" s="323"/>
      <c r="EC775" s="323"/>
      <c r="ED775" s="323"/>
      <c r="EE775" s="323"/>
      <c r="EF775" s="323"/>
      <c r="EG775" s="323"/>
      <c r="EH775" s="323"/>
      <c r="EI775" s="323"/>
      <c r="EJ775" s="323"/>
      <c r="EK775" s="323"/>
      <c r="EL775" s="325"/>
      <c r="EM775" s="323"/>
      <c r="EN775" s="323"/>
      <c r="EO775" s="323"/>
      <c r="EP775" s="323"/>
      <c r="EQ775" s="323"/>
      <c r="ER775" s="323"/>
      <c r="ES775" s="323"/>
      <c r="ET775" s="323"/>
      <c r="EU775" s="323"/>
      <c r="EV775" s="323"/>
      <c r="EW775" s="323"/>
      <c r="EX775" s="325"/>
      <c r="EY775" s="323"/>
      <c r="EZ775" s="323"/>
      <c r="FA775" s="323"/>
      <c r="FB775" s="323"/>
      <c r="FC775" s="323"/>
      <c r="FD775" s="323"/>
      <c r="FE775" s="323"/>
      <c r="FF775" s="323"/>
      <c r="FG775" s="323"/>
      <c r="FH775" s="323"/>
      <c r="FI775" s="323"/>
      <c r="FJ775" s="325"/>
      <c r="FK775" s="323"/>
      <c r="FL775" s="323"/>
      <c r="FM775" s="323"/>
      <c r="FN775" s="323"/>
      <c r="FO775" s="323"/>
      <c r="FP775" s="323"/>
      <c r="FQ775" s="323"/>
      <c r="FR775" s="323"/>
      <c r="FS775" s="323"/>
      <c r="FT775" s="323"/>
      <c r="FU775" s="323"/>
      <c r="FV775" s="323"/>
      <c r="FW775" s="323"/>
      <c r="FX775" s="323"/>
      <c r="FY775" s="323"/>
      <c r="FZ775" s="323"/>
      <c r="GA775" s="323"/>
      <c r="GB775" s="323"/>
      <c r="GC775" s="323"/>
      <c r="GD775" s="323"/>
      <c r="GE775" s="323"/>
      <c r="GF775" s="323"/>
      <c r="GG775" s="323"/>
      <c r="GH775" s="323"/>
      <c r="GI775" s="323">
        <f t="shared" ref="GI775:GS775" si="1091">GI372</f>
        <v>0</v>
      </c>
      <c r="GJ775" s="323">
        <f t="shared" si="1091"/>
        <v>0</v>
      </c>
      <c r="GK775" s="323">
        <f t="shared" si="1091"/>
        <v>0</v>
      </c>
      <c r="GL775" s="323">
        <f t="shared" si="1091"/>
        <v>0</v>
      </c>
      <c r="GM775" s="323">
        <f t="shared" si="1091"/>
        <v>0</v>
      </c>
      <c r="GN775" s="323">
        <f t="shared" si="1091"/>
        <v>0</v>
      </c>
      <c r="GO775" s="323">
        <f t="shared" si="1091"/>
        <v>0</v>
      </c>
      <c r="GP775" s="323">
        <f t="shared" si="1091"/>
        <v>0</v>
      </c>
      <c r="GQ775" s="323">
        <f t="shared" si="1091"/>
        <v>0</v>
      </c>
      <c r="GR775" s="323">
        <f t="shared" si="1091"/>
        <v>0</v>
      </c>
      <c r="GS775" s="323">
        <f t="shared" si="1091"/>
        <v>0</v>
      </c>
      <c r="GT775" s="323">
        <f t="shared" ref="GT775:HC775" si="1092">GT372</f>
        <v>0</v>
      </c>
      <c r="GU775" s="323">
        <f t="shared" si="1092"/>
        <v>0</v>
      </c>
      <c r="GV775" s="323">
        <f t="shared" si="1092"/>
        <v>0</v>
      </c>
      <c r="GW775" s="323">
        <f t="shared" si="1092"/>
        <v>0</v>
      </c>
      <c r="GX775" s="323">
        <f t="shared" si="1092"/>
        <v>0</v>
      </c>
      <c r="GY775" s="323">
        <f t="shared" si="1092"/>
        <v>0</v>
      </c>
      <c r="GZ775" s="323">
        <f t="shared" si="1092"/>
        <v>0</v>
      </c>
      <c r="HA775" s="323">
        <f t="shared" si="1092"/>
        <v>0</v>
      </c>
      <c r="HB775" s="323">
        <f t="shared" si="1092"/>
        <v>0</v>
      </c>
      <c r="HC775" s="323">
        <f t="shared" si="1092"/>
        <v>0</v>
      </c>
      <c r="HD775" s="323">
        <f t="shared" ref="HD775:HR775" si="1093">HD372</f>
        <v>0</v>
      </c>
      <c r="HE775" s="323">
        <f t="shared" si="1093"/>
        <v>0</v>
      </c>
      <c r="HF775" s="323">
        <f t="shared" si="1093"/>
        <v>0</v>
      </c>
      <c r="HG775" s="323">
        <f t="shared" si="1093"/>
        <v>0</v>
      </c>
      <c r="HH775" s="323">
        <f t="shared" si="1093"/>
        <v>0</v>
      </c>
      <c r="HI775" s="323">
        <f t="shared" si="1093"/>
        <v>0</v>
      </c>
      <c r="HJ775" s="323">
        <f t="shared" si="1093"/>
        <v>0</v>
      </c>
      <c r="HK775" s="323">
        <f t="shared" si="1093"/>
        <v>0</v>
      </c>
      <c r="HL775" s="323">
        <f t="shared" si="1093"/>
        <v>0</v>
      </c>
      <c r="HM775" s="323">
        <f t="shared" si="1093"/>
        <v>0</v>
      </c>
      <c r="HN775" s="323">
        <f t="shared" si="1093"/>
        <v>0</v>
      </c>
      <c r="HO775" s="323">
        <f t="shared" si="1093"/>
        <v>0</v>
      </c>
      <c r="HP775" s="323">
        <f t="shared" si="1093"/>
        <v>0</v>
      </c>
      <c r="HQ775" s="323">
        <f t="shared" si="1093"/>
        <v>0</v>
      </c>
      <c r="HR775" s="323">
        <f t="shared" si="1093"/>
        <v>0</v>
      </c>
      <c r="HS775" s="323">
        <f t="shared" ref="HS775:HX775" si="1094">HS372</f>
        <v>0</v>
      </c>
      <c r="HT775" s="323">
        <f t="shared" si="1094"/>
        <v>0</v>
      </c>
      <c r="HU775" s="323">
        <f t="shared" si="1094"/>
        <v>0</v>
      </c>
      <c r="HV775" s="323">
        <f t="shared" si="1094"/>
        <v>0</v>
      </c>
      <c r="HW775" s="323">
        <f t="shared" si="1094"/>
        <v>0</v>
      </c>
      <c r="HX775" s="323">
        <f t="shared" si="1094"/>
        <v>0</v>
      </c>
      <c r="HY775" s="323"/>
      <c r="HZ775" s="326"/>
      <c r="IA775" s="2147" t="s">
        <v>3698</v>
      </c>
      <c r="IB775" s="284">
        <f t="shared" si="1058"/>
        <v>0</v>
      </c>
      <c r="IC775" s="279">
        <f t="shared" si="1059"/>
        <v>0</v>
      </c>
      <c r="ID775" s="323">
        <f t="shared" si="907"/>
        <v>0</v>
      </c>
      <c r="IE775" s="279">
        <f t="shared" si="1060"/>
        <v>0</v>
      </c>
      <c r="IF775" s="279">
        <f t="shared" si="1061"/>
        <v>0</v>
      </c>
      <c r="IG775" s="323">
        <f t="shared" si="1062"/>
        <v>0</v>
      </c>
      <c r="IH775" s="284">
        <f t="shared" si="1063"/>
        <v>0</v>
      </c>
      <c r="II775" s="279">
        <f t="shared" si="1064"/>
        <v>0</v>
      </c>
      <c r="IJ775" s="323">
        <f t="shared" si="1065"/>
        <v>0</v>
      </c>
      <c r="IK775" s="327">
        <f t="shared" si="1066"/>
        <v>0</v>
      </c>
      <c r="IL775" s="279">
        <f t="shared" si="1067"/>
        <v>0</v>
      </c>
      <c r="IM775" s="323">
        <f t="shared" si="1068"/>
        <v>0</v>
      </c>
      <c r="IN775" s="279">
        <f t="shared" si="1069"/>
        <v>0</v>
      </c>
      <c r="IO775" s="279">
        <f t="shared" si="1070"/>
        <v>0</v>
      </c>
      <c r="IP775" s="323">
        <f t="shared" si="1071"/>
        <v>0</v>
      </c>
      <c r="IQ775" s="327">
        <f t="shared" si="1072"/>
        <v>0</v>
      </c>
      <c r="IR775" s="327">
        <f t="shared" si="1073"/>
        <v>0</v>
      </c>
      <c r="IS775" s="323">
        <f t="shared" si="1074"/>
        <v>0</v>
      </c>
      <c r="IT775" s="327">
        <f t="shared" si="1075"/>
        <v>0</v>
      </c>
      <c r="IU775" s="327">
        <f t="shared" si="1076"/>
        <v>0</v>
      </c>
      <c r="IV775" s="323">
        <f t="shared" si="1077"/>
        <v>0</v>
      </c>
      <c r="IW775" s="327">
        <f t="shared" si="1078"/>
        <v>0</v>
      </c>
      <c r="IX775" s="327">
        <f t="shared" si="1079"/>
        <v>0</v>
      </c>
      <c r="IY775" s="323">
        <f t="shared" si="1080"/>
        <v>0</v>
      </c>
      <c r="IZ775" s="327">
        <f t="shared" si="1081"/>
        <v>0</v>
      </c>
      <c r="JA775" s="327">
        <f t="shared" si="1082"/>
        <v>0</v>
      </c>
      <c r="JB775" s="323">
        <f t="shared" si="1083"/>
        <v>0</v>
      </c>
      <c r="JC775" s="327">
        <f t="shared" si="1084"/>
        <v>0</v>
      </c>
      <c r="JD775" s="327">
        <f t="shared" si="1085"/>
        <v>0</v>
      </c>
      <c r="JE775" s="323">
        <f t="shared" si="1086"/>
        <v>0</v>
      </c>
      <c r="JF775" s="327">
        <f t="shared" si="1087"/>
        <v>0</v>
      </c>
      <c r="JG775" s="327">
        <f t="shared" si="1088"/>
        <v>0</v>
      </c>
      <c r="JH775" s="323">
        <f t="shared" si="1089"/>
        <v>0</v>
      </c>
      <c r="JI775" s="327">
        <f t="shared" si="1090"/>
        <v>0</v>
      </c>
      <c r="JJ775" s="327">
        <f t="shared" si="910"/>
        <v>0</v>
      </c>
      <c r="JK775" s="323">
        <f t="shared" si="890"/>
        <v>0</v>
      </c>
      <c r="JL775" s="327">
        <f t="shared" si="891"/>
        <v>0</v>
      </c>
      <c r="JM775" s="279">
        <f t="shared" si="892"/>
        <v>0</v>
      </c>
      <c r="JN775" s="323">
        <f>FISC!AK1081</f>
        <v>0</v>
      </c>
      <c r="JO775" s="327"/>
      <c r="JQ775" s="323">
        <f>FISC!AL1081</f>
        <v>0</v>
      </c>
      <c r="JR775" s="327"/>
      <c r="JT775" s="323">
        <f>FISC!AM1081</f>
        <v>0</v>
      </c>
      <c r="JU775" s="327"/>
      <c r="JW775" s="323">
        <f>FISC!AN1081</f>
        <v>0</v>
      </c>
      <c r="JX775" s="327"/>
      <c r="JZ775" s="323">
        <f>FISC!AO1081</f>
        <v>0</v>
      </c>
      <c r="KA775" s="327"/>
      <c r="KC775" s="323">
        <f>FISC!AP1081</f>
        <v>0</v>
      </c>
      <c r="KD775" s="327"/>
      <c r="KF775" s="323">
        <f>FISC!AQ1081</f>
        <v>0</v>
      </c>
      <c r="KG775" s="327"/>
      <c r="KI775" s="323">
        <f>FISC!AR1081</f>
        <v>0</v>
      </c>
      <c r="KJ775" s="327"/>
      <c r="KL775" s="323">
        <f>FISC!AS1081</f>
        <v>0</v>
      </c>
      <c r="KM775" s="327"/>
      <c r="KO775" s="323">
        <f>FISC!AT1081</f>
        <v>0</v>
      </c>
      <c r="KU775" s="326"/>
      <c r="KV775" s="327"/>
    </row>
    <row r="776" spans="1:308">
      <c r="A776" s="279"/>
      <c r="D776" s="2061" t="s">
        <v>3691</v>
      </c>
      <c r="E776" s="323"/>
      <c r="F776" s="323"/>
      <c r="G776" s="323"/>
      <c r="H776" s="323"/>
      <c r="I776" s="323"/>
      <c r="J776" s="323"/>
      <c r="K776" s="323"/>
      <c r="L776" s="323"/>
      <c r="M776" s="323"/>
      <c r="N776" s="323"/>
      <c r="O776" s="323"/>
      <c r="P776" s="323"/>
      <c r="Q776" s="323"/>
      <c r="R776" s="323"/>
      <c r="S776" s="323"/>
      <c r="T776" s="323"/>
      <c r="U776" s="323"/>
      <c r="V776" s="323"/>
      <c r="W776" s="323"/>
      <c r="X776" s="323"/>
      <c r="Y776" s="323"/>
      <c r="Z776" s="323"/>
      <c r="AA776" s="323"/>
      <c r="AB776" s="323"/>
      <c r="AC776" s="323"/>
      <c r="AD776" s="323"/>
      <c r="AE776" s="323"/>
      <c r="AF776" s="323"/>
      <c r="AG776" s="323"/>
      <c r="AH776" s="323"/>
      <c r="AI776" s="323"/>
      <c r="AJ776" s="323"/>
      <c r="AK776" s="323"/>
      <c r="AL776" s="323"/>
      <c r="AM776" s="323"/>
      <c r="AN776" s="323"/>
      <c r="AO776" s="323"/>
      <c r="AP776" s="323"/>
      <c r="AQ776" s="323"/>
      <c r="AR776" s="323"/>
      <c r="AS776" s="323"/>
      <c r="AT776" s="323"/>
      <c r="AU776" s="323"/>
      <c r="AV776" s="323"/>
      <c r="AW776" s="323"/>
      <c r="AX776" s="323"/>
      <c r="AY776" s="323"/>
      <c r="AZ776" s="323"/>
      <c r="BA776" s="323"/>
      <c r="BB776" s="323"/>
      <c r="BC776" s="323"/>
      <c r="BD776" s="323"/>
      <c r="BE776" s="323"/>
      <c r="BF776" s="323"/>
      <c r="BG776" s="323"/>
      <c r="BH776" s="323"/>
      <c r="BI776" s="323"/>
      <c r="BJ776" s="323"/>
      <c r="BK776" s="323"/>
      <c r="BL776" s="323"/>
      <c r="BM776" s="323"/>
      <c r="BN776" s="323"/>
      <c r="BO776" s="323"/>
      <c r="BP776" s="323"/>
      <c r="BQ776" s="323"/>
      <c r="BR776" s="323"/>
      <c r="BS776" s="323"/>
      <c r="BT776" s="323"/>
      <c r="BU776" s="323"/>
      <c r="BV776" s="323"/>
      <c r="BW776" s="323"/>
      <c r="BX776" s="323"/>
      <c r="BY776" s="323"/>
      <c r="BZ776" s="323"/>
      <c r="CA776" s="323"/>
      <c r="CB776" s="323"/>
      <c r="CC776" s="323"/>
      <c r="CD776" s="329"/>
      <c r="CE776" s="323"/>
      <c r="CF776" s="323"/>
      <c r="CG776" s="323"/>
      <c r="CH776" s="323"/>
      <c r="CI776" s="323"/>
      <c r="CJ776" s="323"/>
      <c r="CK776" s="323"/>
      <c r="CL776" s="323"/>
      <c r="CM776" s="323"/>
      <c r="CN776" s="323"/>
      <c r="CO776" s="323"/>
      <c r="CP776" s="325"/>
      <c r="CQ776" s="323"/>
      <c r="CR776" s="323"/>
      <c r="CS776" s="323"/>
      <c r="CT776" s="323"/>
      <c r="CU776" s="323"/>
      <c r="CV776" s="323"/>
      <c r="CW776" s="323"/>
      <c r="CX776" s="323"/>
      <c r="CY776" s="323"/>
      <c r="CZ776" s="323"/>
      <c r="DA776" s="323"/>
      <c r="DB776" s="1269"/>
      <c r="DC776" s="323"/>
      <c r="DD776" s="323"/>
      <c r="DE776" s="323"/>
      <c r="DF776" s="323"/>
      <c r="DG776" s="323"/>
      <c r="DH776" s="323"/>
      <c r="DI776" s="323"/>
      <c r="DJ776" s="323"/>
      <c r="DK776" s="323"/>
      <c r="DL776" s="323"/>
      <c r="DM776" s="323"/>
      <c r="DN776" s="325"/>
      <c r="DO776" s="323"/>
      <c r="DP776" s="323"/>
      <c r="DQ776" s="323"/>
      <c r="DR776" s="323"/>
      <c r="DS776" s="323"/>
      <c r="DT776" s="323"/>
      <c r="DU776" s="323"/>
      <c r="DV776" s="323"/>
      <c r="DW776" s="323"/>
      <c r="DX776" s="323"/>
      <c r="DY776" s="323"/>
      <c r="DZ776" s="325"/>
      <c r="EA776" s="323"/>
      <c r="EB776" s="323"/>
      <c r="EC776" s="323"/>
      <c r="ED776" s="323"/>
      <c r="EE776" s="323"/>
      <c r="EF776" s="323"/>
      <c r="EG776" s="323"/>
      <c r="EH776" s="323"/>
      <c r="EI776" s="323"/>
      <c r="EJ776" s="323"/>
      <c r="EK776" s="323"/>
      <c r="EL776" s="325"/>
      <c r="EM776" s="323"/>
      <c r="EN776" s="323"/>
      <c r="EO776" s="323"/>
      <c r="EP776" s="323"/>
      <c r="EQ776" s="323"/>
      <c r="ER776" s="323"/>
      <c r="ES776" s="323"/>
      <c r="ET776" s="323"/>
      <c r="EU776" s="323"/>
      <c r="EV776" s="323"/>
      <c r="EW776" s="323"/>
      <c r="EX776" s="325"/>
      <c r="EY776" s="323"/>
      <c r="EZ776" s="323"/>
      <c r="FA776" s="323"/>
      <c r="FB776" s="323"/>
      <c r="FC776" s="323"/>
      <c r="FD776" s="323"/>
      <c r="FE776" s="323"/>
      <c r="FF776" s="323"/>
      <c r="FG776" s="323"/>
      <c r="FH776" s="323"/>
      <c r="FI776" s="323"/>
      <c r="FJ776" s="325"/>
      <c r="FK776" s="323"/>
      <c r="FL776" s="323"/>
      <c r="FM776" s="323"/>
      <c r="FN776" s="323"/>
      <c r="FO776" s="323"/>
      <c r="FP776" s="323"/>
      <c r="FQ776" s="323"/>
      <c r="FR776" s="323"/>
      <c r="FS776" s="323"/>
      <c r="FT776" s="323"/>
      <c r="FU776" s="323"/>
      <c r="FV776" s="323"/>
      <c r="FW776" s="323"/>
      <c r="FX776" s="323"/>
      <c r="FY776" s="323"/>
      <c r="FZ776" s="323"/>
      <c r="GA776" s="323"/>
      <c r="GB776" s="323"/>
      <c r="GC776" s="323"/>
      <c r="GD776" s="323"/>
      <c r="GE776" s="323"/>
      <c r="GF776" s="323"/>
      <c r="GG776" s="323"/>
      <c r="GH776" s="323"/>
      <c r="GI776" s="323">
        <f t="shared" ref="GI776:GS776" si="1095">GI373</f>
        <v>26.869045207771087</v>
      </c>
      <c r="GJ776" s="323">
        <f t="shared" si="1095"/>
        <v>28.348487532979917</v>
      </c>
      <c r="GK776" s="323">
        <f t="shared" si="1095"/>
        <v>32.827277544266494</v>
      </c>
      <c r="GL776" s="323">
        <f t="shared" si="1095"/>
        <v>27.278879323101066</v>
      </c>
      <c r="GM776" s="323">
        <f t="shared" si="1095"/>
        <v>27.328682793280006</v>
      </c>
      <c r="GN776" s="323">
        <f t="shared" si="1095"/>
        <v>33.129504786819304</v>
      </c>
      <c r="GO776" s="323">
        <f t="shared" si="1095"/>
        <v>35.963111250913741</v>
      </c>
      <c r="GP776" s="323">
        <f t="shared" si="1095"/>
        <v>28.325491965273457</v>
      </c>
      <c r="GQ776" s="323">
        <f t="shared" si="1095"/>
        <v>31.943786451876843</v>
      </c>
      <c r="GR776" s="323">
        <f t="shared" si="1095"/>
        <v>29.894351546639999</v>
      </c>
      <c r="GS776" s="323">
        <f t="shared" si="1095"/>
        <v>26.718174257249999</v>
      </c>
      <c r="GT776" s="323">
        <f t="shared" ref="GT776:HC776" si="1096">GT373</f>
        <v>33.876161390740002</v>
      </c>
      <c r="GU776" s="323">
        <f t="shared" si="1096"/>
        <v>35.135505214799998</v>
      </c>
      <c r="GV776" s="323">
        <f t="shared" si="1096"/>
        <v>34.949686118099997</v>
      </c>
      <c r="GW776" s="323">
        <f t="shared" si="1096"/>
        <v>33.971146908099996</v>
      </c>
      <c r="GX776" s="323">
        <f t="shared" si="1096"/>
        <v>39.348629041750002</v>
      </c>
      <c r="GY776" s="323">
        <f t="shared" si="1096"/>
        <v>33.990762285229494</v>
      </c>
      <c r="GZ776" s="323">
        <f t="shared" si="1096"/>
        <v>33.540946054000003</v>
      </c>
      <c r="HA776" s="323">
        <f t="shared" si="1096"/>
        <v>43.6850092532625</v>
      </c>
      <c r="HB776" s="323">
        <f t="shared" si="1096"/>
        <v>33.31422075735</v>
      </c>
      <c r="HC776" s="323">
        <f t="shared" si="1096"/>
        <v>31.9033229715</v>
      </c>
      <c r="HD776" s="323">
        <f t="shared" ref="HD776:HR776" si="1097">HD373</f>
        <v>39.975401104199996</v>
      </c>
      <c r="HE776" s="323">
        <f t="shared" si="1097"/>
        <v>36.440112760494998</v>
      </c>
      <c r="HF776" s="323">
        <f t="shared" si="1097"/>
        <v>45.040769212433105</v>
      </c>
      <c r="HG776" s="323">
        <f t="shared" si="1097"/>
        <v>63.589194910699995</v>
      </c>
      <c r="HH776" s="323">
        <f t="shared" si="1097"/>
        <v>45.655105779200007</v>
      </c>
      <c r="HI776" s="323">
        <f t="shared" si="1097"/>
        <v>51.187619147650004</v>
      </c>
      <c r="HJ776" s="323">
        <f t="shared" si="1097"/>
        <v>63.650297692799995</v>
      </c>
      <c r="HK776" s="323">
        <f t="shared" si="1097"/>
        <v>47.121809913799993</v>
      </c>
      <c r="HL776" s="323">
        <f t="shared" si="1097"/>
        <v>50.606241924099997</v>
      </c>
      <c r="HM776" s="323">
        <f t="shared" si="1097"/>
        <v>68.674783556660927</v>
      </c>
      <c r="HN776" s="323">
        <f t="shared" si="1097"/>
        <v>49.318359023061028</v>
      </c>
      <c r="HO776" s="323">
        <f t="shared" si="1097"/>
        <v>50.170481595109138</v>
      </c>
      <c r="HP776" s="323">
        <f t="shared" si="1097"/>
        <v>60.807776374966956</v>
      </c>
      <c r="HQ776" s="323">
        <f t="shared" si="1097"/>
        <v>51.686521178620033</v>
      </c>
      <c r="HR776" s="323">
        <f t="shared" si="1097"/>
        <v>64.129646009552019</v>
      </c>
      <c r="HS776" s="323">
        <f t="shared" ref="HS776:HX776" si="1098">HS373</f>
        <v>70.958422791122018</v>
      </c>
      <c r="HT776" s="323">
        <f t="shared" si="1098"/>
        <v>61.431680768964007</v>
      </c>
      <c r="HU776" s="323">
        <f t="shared" si="1098"/>
        <v>58.626063081046048</v>
      </c>
      <c r="HV776" s="323">
        <f t="shared" si="1098"/>
        <v>73.294679421575992</v>
      </c>
      <c r="HW776" s="323">
        <f t="shared" si="1098"/>
        <v>60.936941723856989</v>
      </c>
      <c r="HX776" s="323">
        <f t="shared" si="1098"/>
        <v>63.127129203300015</v>
      </c>
      <c r="HY776" s="323"/>
      <c r="HZ776" s="326"/>
      <c r="IA776" s="2146" t="s">
        <v>3691</v>
      </c>
      <c r="IB776" s="284">
        <f t="shared" si="1058"/>
        <v>0</v>
      </c>
      <c r="IC776" s="279">
        <f t="shared" si="1059"/>
        <v>0</v>
      </c>
      <c r="ID776" s="323">
        <f t="shared" si="907"/>
        <v>0</v>
      </c>
      <c r="IE776" s="279">
        <f t="shared" si="1060"/>
        <v>0</v>
      </c>
      <c r="IF776" s="279">
        <f t="shared" si="1061"/>
        <v>0</v>
      </c>
      <c r="IG776" s="323">
        <f t="shared" si="1062"/>
        <v>0</v>
      </c>
      <c r="IH776" s="284">
        <f t="shared" si="1063"/>
        <v>0</v>
      </c>
      <c r="II776" s="279">
        <f t="shared" si="1064"/>
        <v>0</v>
      </c>
      <c r="IJ776" s="323">
        <f t="shared" si="1065"/>
        <v>0</v>
      </c>
      <c r="IK776" s="327">
        <f t="shared" si="1066"/>
        <v>0</v>
      </c>
      <c r="IL776" s="279">
        <f t="shared" si="1067"/>
        <v>0</v>
      </c>
      <c r="IM776" s="323">
        <f t="shared" si="1068"/>
        <v>0</v>
      </c>
      <c r="IN776" s="279">
        <f t="shared" si="1069"/>
        <v>0</v>
      </c>
      <c r="IO776" s="279">
        <f t="shared" si="1070"/>
        <v>0</v>
      </c>
      <c r="IP776" s="323">
        <f t="shared" si="1071"/>
        <v>0</v>
      </c>
      <c r="IQ776" s="327">
        <f t="shared" si="1072"/>
        <v>0</v>
      </c>
      <c r="IR776" s="327">
        <f t="shared" si="1073"/>
        <v>0</v>
      </c>
      <c r="IS776" s="323">
        <f t="shared" si="1074"/>
        <v>0</v>
      </c>
      <c r="IT776" s="327">
        <f t="shared" si="1075"/>
        <v>0</v>
      </c>
      <c r="IU776" s="327">
        <f t="shared" si="1076"/>
        <v>0</v>
      </c>
      <c r="IV776" s="323">
        <f t="shared" si="1077"/>
        <v>0</v>
      </c>
      <c r="IW776" s="327">
        <f t="shared" si="1078"/>
        <v>0</v>
      </c>
      <c r="IX776" s="327">
        <f t="shared" si="1079"/>
        <v>0</v>
      </c>
      <c r="IY776" s="323">
        <f t="shared" si="1080"/>
        <v>0</v>
      </c>
      <c r="IZ776" s="327">
        <f t="shared" si="1081"/>
        <v>0</v>
      </c>
      <c r="JA776" s="327">
        <f t="shared" si="1082"/>
        <v>0</v>
      </c>
      <c r="JB776" s="323">
        <f t="shared" si="1083"/>
        <v>0</v>
      </c>
      <c r="JC776" s="327">
        <f t="shared" si="1084"/>
        <v>175.78187718821786</v>
      </c>
      <c r="JD776" s="327">
        <f t="shared" si="1085"/>
        <v>186.72107686269405</v>
      </c>
      <c r="JE776" s="323">
        <f t="shared" si="1086"/>
        <v>362.50295405091191</v>
      </c>
      <c r="JF776" s="327">
        <f t="shared" si="1087"/>
        <v>210.93667562197948</v>
      </c>
      <c r="JG776" s="327">
        <f t="shared" si="1088"/>
        <v>230.35883605924062</v>
      </c>
      <c r="JH776" s="323">
        <f t="shared" si="1089"/>
        <v>441.29551168122009</v>
      </c>
      <c r="JI776" s="327">
        <f t="shared" si="1090"/>
        <v>321.81026936824998</v>
      </c>
      <c r="JJ776" s="327">
        <f t="shared" si="910"/>
        <v>344.78756773797011</v>
      </c>
      <c r="JK776" s="323">
        <f t="shared" si="890"/>
        <v>666.59783710622014</v>
      </c>
      <c r="JL776" s="327">
        <f t="shared" si="891"/>
        <v>388.37491698986508</v>
      </c>
      <c r="JM776" s="279">
        <f t="shared" si="892"/>
        <v>532.67441581813569</v>
      </c>
      <c r="JN776" s="323">
        <f>FISC!AK1082</f>
        <v>921.04933280800083</v>
      </c>
      <c r="JO776" s="327"/>
      <c r="JQ776" s="323">
        <f>FISC!AL1082</f>
        <v>1132.6364245696805</v>
      </c>
      <c r="JR776" s="327"/>
      <c r="JT776" s="323">
        <f>FISC!AM1082</f>
        <v>1297.4113549413651</v>
      </c>
      <c r="JU776" s="327"/>
      <c r="JW776" s="323">
        <f>FISC!AN1082</f>
        <v>1458.6716956785899</v>
      </c>
      <c r="JX776" s="327"/>
      <c r="JZ776" s="323">
        <f>FISC!AO1082</f>
        <v>1643.4637203174225</v>
      </c>
      <c r="KA776" s="327"/>
      <c r="KC776" s="323">
        <f>FISC!AP1082</f>
        <v>1900.1331271572981</v>
      </c>
      <c r="KD776" s="327"/>
      <c r="KF776" s="323">
        <f>FISC!AQ1082</f>
        <v>2131.8813541603122</v>
      </c>
      <c r="KG776" s="327"/>
      <c r="KI776" s="323">
        <f>FISC!AR1082</f>
        <v>2427.727417950352</v>
      </c>
      <c r="KJ776" s="327"/>
      <c r="KL776" s="323">
        <f>FISC!AS1082</f>
        <v>2680.8636443713799</v>
      </c>
      <c r="KM776" s="327"/>
      <c r="KO776" s="323">
        <f>FISC!AT1082</f>
        <v>3587.3399659508896</v>
      </c>
      <c r="KU776" s="326"/>
      <c r="KV776" s="327"/>
    </row>
    <row r="777" spans="1:308">
      <c r="A777" s="279"/>
      <c r="D777" s="1232" t="s">
        <v>478</v>
      </c>
      <c r="E777" s="323"/>
      <c r="F777" s="323"/>
      <c r="G777" s="323"/>
      <c r="H777" s="323"/>
      <c r="I777" s="323"/>
      <c r="J777" s="323"/>
      <c r="K777" s="323"/>
      <c r="L777" s="323"/>
      <c r="M777" s="323"/>
      <c r="N777" s="323"/>
      <c r="O777" s="323"/>
      <c r="P777" s="323"/>
      <c r="Q777" s="323"/>
      <c r="R777" s="323"/>
      <c r="S777" s="323"/>
      <c r="T777" s="323"/>
      <c r="U777" s="323"/>
      <c r="V777" s="323"/>
      <c r="W777" s="323"/>
      <c r="X777" s="323"/>
      <c r="Y777" s="323"/>
      <c r="Z777" s="323"/>
      <c r="AA777" s="323"/>
      <c r="AB777" s="323"/>
      <c r="AC777" s="323"/>
      <c r="AD777" s="323"/>
      <c r="AE777" s="323"/>
      <c r="AF777" s="323"/>
      <c r="AG777" s="323"/>
      <c r="AH777" s="323"/>
      <c r="AI777" s="323"/>
      <c r="AJ777" s="323"/>
      <c r="AK777" s="323"/>
      <c r="AL777" s="323"/>
      <c r="AM777" s="323"/>
      <c r="AN777" s="323"/>
      <c r="AO777" s="323"/>
      <c r="AP777" s="323"/>
      <c r="AQ777" s="323"/>
      <c r="AR777" s="323"/>
      <c r="AS777" s="323"/>
      <c r="AT777" s="323"/>
      <c r="AU777" s="323"/>
      <c r="AV777" s="323"/>
      <c r="AW777" s="323"/>
      <c r="AX777" s="323"/>
      <c r="AY777" s="323"/>
      <c r="AZ777" s="323"/>
      <c r="BA777" s="323"/>
      <c r="BB777" s="323"/>
      <c r="BC777" s="323"/>
      <c r="BD777" s="323"/>
      <c r="BE777" s="323"/>
      <c r="BF777" s="323"/>
      <c r="BG777" s="323"/>
      <c r="BH777" s="323"/>
      <c r="BI777" s="323"/>
      <c r="BJ777" s="323"/>
      <c r="BK777" s="323"/>
      <c r="BL777" s="323"/>
      <c r="BM777" s="323"/>
      <c r="BN777" s="323"/>
      <c r="BO777" s="323"/>
      <c r="BP777" s="323"/>
      <c r="BQ777" s="323"/>
      <c r="BR777" s="323"/>
      <c r="BS777" s="323"/>
      <c r="BT777" s="323"/>
      <c r="BU777" s="323"/>
      <c r="BV777" s="323"/>
      <c r="BW777" s="323"/>
      <c r="BX777" s="323"/>
      <c r="BY777" s="323"/>
      <c r="BZ777" s="323"/>
      <c r="CA777" s="323"/>
      <c r="CB777" s="323"/>
      <c r="CC777" s="323"/>
      <c r="CD777" s="329"/>
      <c r="CE777" s="323">
        <f t="shared" ref="CE777:DJ777" si="1099">CE374</f>
        <v>0</v>
      </c>
      <c r="CF777" s="323">
        <f t="shared" si="1099"/>
        <v>0</v>
      </c>
      <c r="CG777" s="323">
        <f t="shared" si="1099"/>
        <v>0</v>
      </c>
      <c r="CH777" s="323">
        <f t="shared" si="1099"/>
        <v>0</v>
      </c>
      <c r="CI777" s="323">
        <f t="shared" si="1099"/>
        <v>6.2609999999999999E-6</v>
      </c>
      <c r="CJ777" s="323">
        <f t="shared" si="1099"/>
        <v>0</v>
      </c>
      <c r="CK777" s="323">
        <f t="shared" si="1099"/>
        <v>0</v>
      </c>
      <c r="CL777" s="323">
        <f t="shared" si="1099"/>
        <v>1.0000000000000001E-5</v>
      </c>
      <c r="CM777" s="323">
        <f t="shared" si="1099"/>
        <v>1.1039999999999999E-3</v>
      </c>
      <c r="CN777" s="323">
        <f t="shared" si="1099"/>
        <v>9.7759999999999999E-5</v>
      </c>
      <c r="CO777" s="323">
        <f t="shared" si="1099"/>
        <v>0</v>
      </c>
      <c r="CP777" s="325">
        <f t="shared" si="1099"/>
        <v>0</v>
      </c>
      <c r="CQ777" s="323">
        <f t="shared" si="1099"/>
        <v>0</v>
      </c>
      <c r="CR777" s="323">
        <f t="shared" si="1099"/>
        <v>0</v>
      </c>
      <c r="CS777" s="323">
        <f t="shared" si="1099"/>
        <v>0</v>
      </c>
      <c r="CT777" s="323">
        <f t="shared" si="1099"/>
        <v>0</v>
      </c>
      <c r="CU777" s="323">
        <f t="shared" si="1099"/>
        <v>4.5650000000000003E-6</v>
      </c>
      <c r="CV777" s="323">
        <f t="shared" si="1099"/>
        <v>0</v>
      </c>
      <c r="CW777" s="323">
        <f t="shared" si="1099"/>
        <v>0</v>
      </c>
      <c r="CX777" s="323">
        <f t="shared" si="1099"/>
        <v>0</v>
      </c>
      <c r="CY777" s="323">
        <f t="shared" si="1099"/>
        <v>0</v>
      </c>
      <c r="CZ777" s="323">
        <f t="shared" si="1099"/>
        <v>0</v>
      </c>
      <c r="DA777" s="323">
        <f t="shared" si="1099"/>
        <v>8.7520000000000002E-6</v>
      </c>
      <c r="DB777" s="1269">
        <f t="shared" si="1099"/>
        <v>2.4699200000000002E-4</v>
      </c>
      <c r="DC777" s="323">
        <f t="shared" si="1099"/>
        <v>0</v>
      </c>
      <c r="DD777" s="323">
        <f t="shared" si="1099"/>
        <v>0</v>
      </c>
      <c r="DE777" s="323">
        <f t="shared" si="1099"/>
        <v>0</v>
      </c>
      <c r="DF777" s="323">
        <f t="shared" si="1099"/>
        <v>0</v>
      </c>
      <c r="DG777" s="323">
        <f t="shared" si="1099"/>
        <v>5.102769357407113E-6</v>
      </c>
      <c r="DH777" s="323">
        <f t="shared" si="1099"/>
        <v>0</v>
      </c>
      <c r="DI777" s="323">
        <f t="shared" si="1099"/>
        <v>0</v>
      </c>
      <c r="DJ777" s="323">
        <f t="shared" si="1099"/>
        <v>0</v>
      </c>
      <c r="DK777" s="323">
        <f t="shared" ref="DK777:EP777" si="1100">DK374</f>
        <v>0</v>
      </c>
      <c r="DL777" s="323">
        <f t="shared" si="1100"/>
        <v>0</v>
      </c>
      <c r="DM777" s="323">
        <f t="shared" si="1100"/>
        <v>9.8249129473932234E-6</v>
      </c>
      <c r="DN777" s="325">
        <f t="shared" si="1100"/>
        <v>2.7734696915213906E-4</v>
      </c>
      <c r="DO777" s="323">
        <f t="shared" si="1100"/>
        <v>0</v>
      </c>
      <c r="DP777" s="323">
        <f t="shared" si="1100"/>
        <v>0</v>
      </c>
      <c r="DQ777" s="323">
        <f t="shared" si="1100"/>
        <v>0</v>
      </c>
      <c r="DR777" s="323">
        <f t="shared" si="1100"/>
        <v>0</v>
      </c>
      <c r="DS777" s="323">
        <f t="shared" si="1100"/>
        <v>0</v>
      </c>
      <c r="DT777" s="323">
        <f t="shared" si="1100"/>
        <v>0</v>
      </c>
      <c r="DU777" s="323">
        <f t="shared" si="1100"/>
        <v>0</v>
      </c>
      <c r="DV777" s="323">
        <f t="shared" si="1100"/>
        <v>0</v>
      </c>
      <c r="DW777" s="323">
        <f t="shared" si="1100"/>
        <v>0</v>
      </c>
      <c r="DX777" s="323">
        <f t="shared" si="1100"/>
        <v>0</v>
      </c>
      <c r="DY777" s="323">
        <f t="shared" si="1100"/>
        <v>0</v>
      </c>
      <c r="DZ777" s="325">
        <f t="shared" si="1100"/>
        <v>0</v>
      </c>
      <c r="EA777" s="323">
        <f t="shared" si="1100"/>
        <v>0</v>
      </c>
      <c r="EB777" s="323">
        <f t="shared" si="1100"/>
        <v>0</v>
      </c>
      <c r="EC777" s="323">
        <f t="shared" si="1100"/>
        <v>0</v>
      </c>
      <c r="ED777" s="323">
        <f t="shared" si="1100"/>
        <v>0</v>
      </c>
      <c r="EE777" s="323">
        <f t="shared" si="1100"/>
        <v>0</v>
      </c>
      <c r="EF777" s="323">
        <f t="shared" si="1100"/>
        <v>0</v>
      </c>
      <c r="EG777" s="323">
        <f t="shared" si="1100"/>
        <v>0</v>
      </c>
      <c r="EH777" s="323">
        <f t="shared" si="1100"/>
        <v>0</v>
      </c>
      <c r="EI777" s="323">
        <f t="shared" si="1100"/>
        <v>0</v>
      </c>
      <c r="EJ777" s="323">
        <f t="shared" si="1100"/>
        <v>0</v>
      </c>
      <c r="EK777" s="323">
        <f t="shared" si="1100"/>
        <v>0</v>
      </c>
      <c r="EL777" s="325">
        <f t="shared" si="1100"/>
        <v>0</v>
      </c>
      <c r="EM777" s="323">
        <f t="shared" si="1100"/>
        <v>0</v>
      </c>
      <c r="EN777" s="323">
        <f t="shared" si="1100"/>
        <v>0</v>
      </c>
      <c r="EO777" s="323">
        <f t="shared" si="1100"/>
        <v>0</v>
      </c>
      <c r="EP777" s="323">
        <f t="shared" si="1100"/>
        <v>0</v>
      </c>
      <c r="EQ777" s="323">
        <f t="shared" ref="EQ777:FV777" si="1101">EQ374</f>
        <v>0</v>
      </c>
      <c r="ER777" s="323">
        <f t="shared" si="1101"/>
        <v>0</v>
      </c>
      <c r="ES777" s="323">
        <f t="shared" si="1101"/>
        <v>0</v>
      </c>
      <c r="ET777" s="323">
        <f t="shared" si="1101"/>
        <v>0</v>
      </c>
      <c r="EU777" s="323">
        <f t="shared" si="1101"/>
        <v>0</v>
      </c>
      <c r="EV777" s="323">
        <f t="shared" si="1101"/>
        <v>0</v>
      </c>
      <c r="EW777" s="323">
        <f t="shared" si="1101"/>
        <v>0</v>
      </c>
      <c r="EX777" s="325">
        <f t="shared" si="1101"/>
        <v>0</v>
      </c>
      <c r="EY777" s="323">
        <f t="shared" si="1101"/>
        <v>0</v>
      </c>
      <c r="EZ777" s="323">
        <f t="shared" si="1101"/>
        <v>0</v>
      </c>
      <c r="FA777" s="323">
        <f t="shared" si="1101"/>
        <v>0</v>
      </c>
      <c r="FB777" s="323">
        <f t="shared" si="1101"/>
        <v>0</v>
      </c>
      <c r="FC777" s="323">
        <f t="shared" si="1101"/>
        <v>0</v>
      </c>
      <c r="FD777" s="323">
        <f t="shared" si="1101"/>
        <v>0</v>
      </c>
      <c r="FE777" s="323">
        <f t="shared" si="1101"/>
        <v>0</v>
      </c>
      <c r="FF777" s="323">
        <f t="shared" si="1101"/>
        <v>0</v>
      </c>
      <c r="FG777" s="323">
        <f t="shared" si="1101"/>
        <v>0</v>
      </c>
      <c r="FH777" s="323">
        <f t="shared" si="1101"/>
        <v>0</v>
      </c>
      <c r="FI777" s="323">
        <f t="shared" si="1101"/>
        <v>0</v>
      </c>
      <c r="FJ777" s="325">
        <f t="shared" si="1101"/>
        <v>0</v>
      </c>
      <c r="FK777" s="323">
        <f t="shared" si="1101"/>
        <v>0</v>
      </c>
      <c r="FL777" s="323">
        <f t="shared" si="1101"/>
        <v>0</v>
      </c>
      <c r="FM777" s="323">
        <f t="shared" si="1101"/>
        <v>0</v>
      </c>
      <c r="FN777" s="323">
        <f t="shared" si="1101"/>
        <v>0</v>
      </c>
      <c r="FO777" s="323">
        <f t="shared" si="1101"/>
        <v>0</v>
      </c>
      <c r="FP777" s="323">
        <f t="shared" si="1101"/>
        <v>0</v>
      </c>
      <c r="FQ777" s="323">
        <f t="shared" si="1101"/>
        <v>0</v>
      </c>
      <c r="FR777" s="323">
        <f t="shared" si="1101"/>
        <v>0</v>
      </c>
      <c r="FS777" s="323">
        <f t="shared" si="1101"/>
        <v>0</v>
      </c>
      <c r="FT777" s="323">
        <f t="shared" si="1101"/>
        <v>0</v>
      </c>
      <c r="FU777" s="323">
        <f t="shared" si="1101"/>
        <v>0</v>
      </c>
      <c r="FV777" s="323">
        <f t="shared" si="1101"/>
        <v>0</v>
      </c>
      <c r="FW777" s="323">
        <v>0</v>
      </c>
      <c r="FX777" s="323">
        <v>0</v>
      </c>
      <c r="FY777" s="323">
        <v>0</v>
      </c>
      <c r="FZ777" s="323">
        <v>0</v>
      </c>
      <c r="GA777" s="323">
        <v>0</v>
      </c>
      <c r="GB777" s="323">
        <v>0</v>
      </c>
      <c r="GC777" s="323">
        <v>0</v>
      </c>
      <c r="GD777" s="323">
        <v>0</v>
      </c>
      <c r="GE777" s="323">
        <v>0</v>
      </c>
      <c r="GF777" s="323">
        <v>0</v>
      </c>
      <c r="GG777" s="323">
        <v>0</v>
      </c>
      <c r="GH777" s="323">
        <v>0</v>
      </c>
      <c r="GI777" s="323">
        <f t="shared" ref="GI777:GS777" si="1102">GI374</f>
        <v>0</v>
      </c>
      <c r="GJ777" s="323">
        <f t="shared" si="1102"/>
        <v>0</v>
      </c>
      <c r="GK777" s="323">
        <f t="shared" si="1102"/>
        <v>0</v>
      </c>
      <c r="GL777" s="323">
        <f t="shared" si="1102"/>
        <v>0</v>
      </c>
      <c r="GM777" s="323">
        <f t="shared" si="1102"/>
        <v>0</v>
      </c>
      <c r="GN777" s="323">
        <f t="shared" si="1102"/>
        <v>0</v>
      </c>
      <c r="GO777" s="323">
        <f t="shared" si="1102"/>
        <v>0</v>
      </c>
      <c r="GP777" s="323">
        <f t="shared" si="1102"/>
        <v>0</v>
      </c>
      <c r="GQ777" s="323">
        <f t="shared" si="1102"/>
        <v>0</v>
      </c>
      <c r="GR777" s="323">
        <f t="shared" si="1102"/>
        <v>0</v>
      </c>
      <c r="GS777" s="323">
        <f t="shared" si="1102"/>
        <v>0</v>
      </c>
      <c r="GT777" s="323">
        <f t="shared" ref="GT777:HC777" si="1103">GT374</f>
        <v>0</v>
      </c>
      <c r="GU777" s="323">
        <f t="shared" si="1103"/>
        <v>0</v>
      </c>
      <c r="GV777" s="323">
        <f t="shared" si="1103"/>
        <v>0</v>
      </c>
      <c r="GW777" s="323">
        <f t="shared" si="1103"/>
        <v>0</v>
      </c>
      <c r="GX777" s="323">
        <f t="shared" si="1103"/>
        <v>0</v>
      </c>
      <c r="GY777" s="323">
        <f t="shared" si="1103"/>
        <v>0</v>
      </c>
      <c r="GZ777" s="323">
        <f t="shared" si="1103"/>
        <v>0</v>
      </c>
      <c r="HA777" s="323">
        <f t="shared" si="1103"/>
        <v>0</v>
      </c>
      <c r="HB777" s="323">
        <f t="shared" si="1103"/>
        <v>0</v>
      </c>
      <c r="HC777" s="323">
        <f t="shared" si="1103"/>
        <v>0</v>
      </c>
      <c r="HD777" s="323">
        <f t="shared" ref="HD777:HR777" si="1104">HD374</f>
        <v>0</v>
      </c>
      <c r="HE777" s="323">
        <f t="shared" si="1104"/>
        <v>0</v>
      </c>
      <c r="HF777" s="323">
        <f t="shared" si="1104"/>
        <v>0</v>
      </c>
      <c r="HG777" s="323">
        <f t="shared" si="1104"/>
        <v>0</v>
      </c>
      <c r="HH777" s="323">
        <f t="shared" si="1104"/>
        <v>0</v>
      </c>
      <c r="HI777" s="323">
        <f t="shared" si="1104"/>
        <v>0</v>
      </c>
      <c r="HJ777" s="323">
        <f t="shared" si="1104"/>
        <v>0</v>
      </c>
      <c r="HK777" s="323">
        <f t="shared" si="1104"/>
        <v>0</v>
      </c>
      <c r="HL777" s="323">
        <f t="shared" si="1104"/>
        <v>0</v>
      </c>
      <c r="HM777" s="323">
        <f t="shared" si="1104"/>
        <v>0</v>
      </c>
      <c r="HN777" s="323">
        <f t="shared" si="1104"/>
        <v>0</v>
      </c>
      <c r="HO777" s="323">
        <f t="shared" si="1104"/>
        <v>0</v>
      </c>
      <c r="HP777" s="323">
        <f t="shared" si="1104"/>
        <v>0</v>
      </c>
      <c r="HQ777" s="323">
        <f t="shared" si="1104"/>
        <v>0</v>
      </c>
      <c r="HR777" s="323">
        <f t="shared" si="1104"/>
        <v>0</v>
      </c>
      <c r="HS777" s="323">
        <f t="shared" ref="HS777:HX777" si="1105">HS374</f>
        <v>0</v>
      </c>
      <c r="HT777" s="323">
        <f t="shared" si="1105"/>
        <v>0</v>
      </c>
      <c r="HU777" s="323">
        <f t="shared" si="1105"/>
        <v>0</v>
      </c>
      <c r="HV777" s="323">
        <f t="shared" si="1105"/>
        <v>0</v>
      </c>
      <c r="HW777" s="323">
        <f t="shared" si="1105"/>
        <v>0</v>
      </c>
      <c r="HX777" s="323">
        <f t="shared" si="1105"/>
        <v>0</v>
      </c>
      <c r="HY777" s="323"/>
      <c r="HZ777" s="326"/>
      <c r="IA777" s="1232" t="s">
        <v>478</v>
      </c>
      <c r="IB777" s="284">
        <f t="shared" si="1010"/>
        <v>6.2609999999999999E-6</v>
      </c>
      <c r="IC777" s="279">
        <f t="shared" si="1011"/>
        <v>1.2117599999999999E-3</v>
      </c>
      <c r="ID777" s="323">
        <f t="shared" si="907"/>
        <v>1.2180209999999999E-3</v>
      </c>
      <c r="IE777" s="279">
        <f t="shared" si="1012"/>
        <v>4.5650000000000003E-6</v>
      </c>
      <c r="IF777" s="279">
        <f t="shared" si="1013"/>
        <v>2.5574400000000002E-4</v>
      </c>
      <c r="IG777" s="323">
        <f t="shared" si="880"/>
        <v>2.6030900000000002E-4</v>
      </c>
      <c r="IH777" s="284">
        <f t="shared" si="1014"/>
        <v>5.102769357407113E-6</v>
      </c>
      <c r="II777" s="279">
        <f t="shared" si="1015"/>
        <v>2.8717188209953227E-4</v>
      </c>
      <c r="IJ777" s="323">
        <f t="shared" si="881"/>
        <v>2.9227465145693937E-4</v>
      </c>
      <c r="IK777" s="327">
        <f t="shared" si="1016"/>
        <v>0</v>
      </c>
      <c r="IL777" s="279">
        <f t="shared" si="1017"/>
        <v>0</v>
      </c>
      <c r="IM777" s="323">
        <f t="shared" si="882"/>
        <v>0</v>
      </c>
      <c r="IN777" s="279">
        <f t="shared" si="1018"/>
        <v>0</v>
      </c>
      <c r="IO777" s="279">
        <f t="shared" si="1019"/>
        <v>0</v>
      </c>
      <c r="IP777" s="323">
        <f t="shared" si="883"/>
        <v>0</v>
      </c>
      <c r="IQ777" s="327">
        <f t="shared" si="1020"/>
        <v>0</v>
      </c>
      <c r="IR777" s="327">
        <f t="shared" si="1021"/>
        <v>0</v>
      </c>
      <c r="IS777" s="323">
        <f t="shared" si="884"/>
        <v>0</v>
      </c>
      <c r="IT777" s="327">
        <f t="shared" si="1022"/>
        <v>0</v>
      </c>
      <c r="IU777" s="327">
        <f t="shared" si="1023"/>
        <v>0</v>
      </c>
      <c r="IV777" s="323">
        <f t="shared" si="885"/>
        <v>0</v>
      </c>
      <c r="IW777" s="327">
        <f t="shared" si="1024"/>
        <v>0</v>
      </c>
      <c r="IX777" s="327">
        <f t="shared" si="868"/>
        <v>0</v>
      </c>
      <c r="IY777" s="323">
        <f t="shared" si="886"/>
        <v>0</v>
      </c>
      <c r="IZ777" s="327">
        <f t="shared" si="869"/>
        <v>0</v>
      </c>
      <c r="JA777" s="327">
        <f t="shared" si="870"/>
        <v>0</v>
      </c>
      <c r="JB777" s="323">
        <f t="shared" si="887"/>
        <v>0</v>
      </c>
      <c r="JC777" s="327">
        <f t="shared" si="871"/>
        <v>0</v>
      </c>
      <c r="JD777" s="327">
        <f t="shared" si="872"/>
        <v>0</v>
      </c>
      <c r="JE777" s="323">
        <f t="shared" si="888"/>
        <v>0</v>
      </c>
      <c r="JF777" s="327">
        <f t="shared" si="908"/>
        <v>0</v>
      </c>
      <c r="JG777" s="327">
        <f t="shared" si="918"/>
        <v>0</v>
      </c>
      <c r="JH777" s="323">
        <f t="shared" si="889"/>
        <v>0</v>
      </c>
      <c r="JI777" s="327">
        <f t="shared" si="909"/>
        <v>0</v>
      </c>
      <c r="JJ777" s="327">
        <f t="shared" si="910"/>
        <v>0</v>
      </c>
      <c r="JK777" s="323">
        <f t="shared" si="890"/>
        <v>0</v>
      </c>
      <c r="JL777" s="327">
        <f t="shared" si="891"/>
        <v>0</v>
      </c>
      <c r="JM777" s="279">
        <f t="shared" si="892"/>
        <v>0</v>
      </c>
      <c r="JN777" s="323">
        <f>FISC!AK1083</f>
        <v>0</v>
      </c>
      <c r="JO777" s="327">
        <f t="shared" si="986"/>
        <v>0</v>
      </c>
      <c r="JP777" s="279">
        <f t="shared" si="893"/>
        <v>0</v>
      </c>
      <c r="JQ777" s="323">
        <f>FISC!AL1083</f>
        <v>0</v>
      </c>
      <c r="JR777" s="327">
        <f t="shared" si="919"/>
        <v>0</v>
      </c>
      <c r="JS777" s="279">
        <f t="shared" si="894"/>
        <v>0</v>
      </c>
      <c r="JT777" s="323">
        <f>FISC!AM1083</f>
        <v>0</v>
      </c>
      <c r="JU777" s="327">
        <f t="shared" si="920"/>
        <v>0</v>
      </c>
      <c r="JV777" s="279">
        <f t="shared" si="911"/>
        <v>0</v>
      </c>
      <c r="JW777" s="323">
        <f>FISC!AN1083</f>
        <v>0</v>
      </c>
      <c r="JX777" s="327">
        <f t="shared" si="921"/>
        <v>0</v>
      </c>
      <c r="JY777" s="279">
        <f t="shared" si="895"/>
        <v>0</v>
      </c>
      <c r="JZ777" s="323">
        <f>FISC!AO1083</f>
        <v>0</v>
      </c>
      <c r="KA777" s="327">
        <f t="shared" ref="KA777:KA779" si="1106">KC777*0.48</f>
        <v>0</v>
      </c>
      <c r="KB777" s="279">
        <f t="shared" ref="KB777:KB779" si="1107">KC777-KA777</f>
        <v>0</v>
      </c>
      <c r="KC777" s="323">
        <f>FISC!AP1083</f>
        <v>0</v>
      </c>
      <c r="KD777" s="327">
        <f t="shared" ref="KD777:KD779" si="1108">KF777*0.48</f>
        <v>0</v>
      </c>
      <c r="KE777" s="279">
        <f t="shared" ref="KE777:KE779" si="1109">KF777-KD777</f>
        <v>0</v>
      </c>
      <c r="KF777" s="323">
        <f>FISC!AQ1083</f>
        <v>0</v>
      </c>
      <c r="KG777" s="327">
        <f t="shared" ref="KG777:KG779" si="1110">KI777*0.48</f>
        <v>0</v>
      </c>
      <c r="KH777" s="279">
        <f t="shared" ref="KH777:KH779" si="1111">KI777-KG777</f>
        <v>0</v>
      </c>
      <c r="KI777" s="323">
        <f>FISC!AR1083</f>
        <v>0</v>
      </c>
      <c r="KJ777" s="327">
        <f t="shared" ref="KJ777:KJ779" si="1112">KL777*0.48</f>
        <v>0</v>
      </c>
      <c r="KK777" s="279">
        <f t="shared" ref="KK777:KK779" si="1113">KL777-KJ777</f>
        <v>0</v>
      </c>
      <c r="KL777" s="323">
        <f>FISC!AS1083</f>
        <v>0</v>
      </c>
      <c r="KM777" s="327">
        <f t="shared" ref="KM777:KM779" si="1114">KO777*0.48</f>
        <v>0</v>
      </c>
      <c r="KN777" s="279">
        <f t="shared" ref="KN777:KN779" si="1115">KO777-KM777</f>
        <v>0</v>
      </c>
      <c r="KO777" s="323">
        <f>FISC!AT1083</f>
        <v>0</v>
      </c>
      <c r="KU777" s="326"/>
      <c r="KV777" s="327"/>
    </row>
    <row r="778" spans="1:308">
      <c r="A778" s="279"/>
      <c r="D778" s="1232" t="s">
        <v>479</v>
      </c>
      <c r="E778" s="323"/>
      <c r="F778" s="323"/>
      <c r="G778" s="323"/>
      <c r="H778" s="323"/>
      <c r="I778" s="323"/>
      <c r="J778" s="323"/>
      <c r="K778" s="323"/>
      <c r="L778" s="323"/>
      <c r="M778" s="323"/>
      <c r="N778" s="323"/>
      <c r="O778" s="323"/>
      <c r="P778" s="323"/>
      <c r="Q778" s="323"/>
      <c r="R778" s="323"/>
      <c r="S778" s="323"/>
      <c r="T778" s="323"/>
      <c r="U778" s="323"/>
      <c r="V778" s="323"/>
      <c r="W778" s="323"/>
      <c r="X778" s="323"/>
      <c r="Y778" s="323"/>
      <c r="Z778" s="323"/>
      <c r="AA778" s="323"/>
      <c r="AB778" s="323"/>
      <c r="AC778" s="323"/>
      <c r="AD778" s="323"/>
      <c r="AE778" s="323"/>
      <c r="AF778" s="323"/>
      <c r="AG778" s="323"/>
      <c r="AH778" s="323"/>
      <c r="AI778" s="323"/>
      <c r="AJ778" s="323"/>
      <c r="AK778" s="323"/>
      <c r="AL778" s="323"/>
      <c r="AM778" s="323"/>
      <c r="AN778" s="323"/>
      <c r="AO778" s="323"/>
      <c r="AP778" s="323"/>
      <c r="AQ778" s="323"/>
      <c r="AR778" s="323"/>
      <c r="AS778" s="323"/>
      <c r="AT778" s="323"/>
      <c r="AU778" s="323"/>
      <c r="AV778" s="323"/>
      <c r="AW778" s="323"/>
      <c r="AX778" s="323"/>
      <c r="AY778" s="323"/>
      <c r="AZ778" s="323"/>
      <c r="BA778" s="323"/>
      <c r="BB778" s="323"/>
      <c r="BC778" s="323"/>
      <c r="BD778" s="323"/>
      <c r="BE778" s="323"/>
      <c r="BF778" s="323"/>
      <c r="BG778" s="323"/>
      <c r="BH778" s="323"/>
      <c r="BI778" s="323"/>
      <c r="BJ778" s="323"/>
      <c r="BK778" s="323"/>
      <c r="BL778" s="323"/>
      <c r="BM778" s="323"/>
      <c r="BN778" s="323"/>
      <c r="BO778" s="323"/>
      <c r="BP778" s="323"/>
      <c r="BQ778" s="323"/>
      <c r="BR778" s="323"/>
      <c r="BS778" s="323"/>
      <c r="BT778" s="323"/>
      <c r="BU778" s="323"/>
      <c r="BV778" s="323"/>
      <c r="BW778" s="323"/>
      <c r="BX778" s="323"/>
      <c r="BY778" s="323"/>
      <c r="BZ778" s="323"/>
      <c r="CA778" s="323"/>
      <c r="CB778" s="323"/>
      <c r="CC778" s="323"/>
      <c r="CD778" s="329"/>
      <c r="CE778" s="323">
        <f t="shared" ref="CE778:DJ778" si="1116">CE375</f>
        <v>0</v>
      </c>
      <c r="CF778" s="323">
        <f t="shared" si="1116"/>
        <v>0</v>
      </c>
      <c r="CG778" s="323">
        <f t="shared" si="1116"/>
        <v>0</v>
      </c>
      <c r="CH778" s="323">
        <f t="shared" si="1116"/>
        <v>0</v>
      </c>
      <c r="CI778" s="323">
        <f t="shared" si="1116"/>
        <v>0</v>
      </c>
      <c r="CJ778" s="323">
        <f t="shared" si="1116"/>
        <v>0</v>
      </c>
      <c r="CK778" s="323">
        <f t="shared" si="1116"/>
        <v>0</v>
      </c>
      <c r="CL778" s="323">
        <f t="shared" si="1116"/>
        <v>0</v>
      </c>
      <c r="CM778" s="323">
        <f t="shared" si="1116"/>
        <v>0</v>
      </c>
      <c r="CN778" s="323">
        <f t="shared" si="1116"/>
        <v>0</v>
      </c>
      <c r="CO778" s="323">
        <f t="shared" si="1116"/>
        <v>0</v>
      </c>
      <c r="CP778" s="325">
        <f t="shared" si="1116"/>
        <v>0</v>
      </c>
      <c r="CQ778" s="323">
        <f t="shared" si="1116"/>
        <v>0</v>
      </c>
      <c r="CR778" s="323">
        <f t="shared" si="1116"/>
        <v>0</v>
      </c>
      <c r="CS778" s="323">
        <f t="shared" si="1116"/>
        <v>0</v>
      </c>
      <c r="CT778" s="323">
        <f t="shared" si="1116"/>
        <v>0</v>
      </c>
      <c r="CU778" s="323">
        <f t="shared" si="1116"/>
        <v>0</v>
      </c>
      <c r="CV778" s="323">
        <f t="shared" si="1116"/>
        <v>0</v>
      </c>
      <c r="CW778" s="323">
        <f t="shared" si="1116"/>
        <v>0</v>
      </c>
      <c r="CX778" s="323">
        <f t="shared" si="1116"/>
        <v>0</v>
      </c>
      <c r="CY778" s="323">
        <f t="shared" si="1116"/>
        <v>0</v>
      </c>
      <c r="CZ778" s="323">
        <f t="shared" si="1116"/>
        <v>0</v>
      </c>
      <c r="DA778" s="323">
        <f t="shared" si="1116"/>
        <v>0</v>
      </c>
      <c r="DB778" s="1269">
        <f t="shared" si="1116"/>
        <v>0</v>
      </c>
      <c r="DC778" s="323">
        <f t="shared" si="1116"/>
        <v>0</v>
      </c>
      <c r="DD778" s="323">
        <f t="shared" si="1116"/>
        <v>0</v>
      </c>
      <c r="DE778" s="323">
        <f t="shared" si="1116"/>
        <v>0</v>
      </c>
      <c r="DF778" s="323">
        <f t="shared" si="1116"/>
        <v>0</v>
      </c>
      <c r="DG778" s="323">
        <f t="shared" si="1116"/>
        <v>0</v>
      </c>
      <c r="DH778" s="323">
        <f t="shared" si="1116"/>
        <v>0</v>
      </c>
      <c r="DI778" s="323">
        <f t="shared" si="1116"/>
        <v>0</v>
      </c>
      <c r="DJ778" s="323">
        <f t="shared" si="1116"/>
        <v>0</v>
      </c>
      <c r="DK778" s="323">
        <f t="shared" ref="DK778:EP778" si="1117">DK375</f>
        <v>0</v>
      </c>
      <c r="DL778" s="323">
        <f t="shared" si="1117"/>
        <v>0</v>
      </c>
      <c r="DM778" s="323">
        <f t="shared" si="1117"/>
        <v>0</v>
      </c>
      <c r="DN778" s="325">
        <f t="shared" si="1117"/>
        <v>0</v>
      </c>
      <c r="DO778" s="323">
        <f t="shared" si="1117"/>
        <v>0</v>
      </c>
      <c r="DP778" s="323">
        <f t="shared" si="1117"/>
        <v>0</v>
      </c>
      <c r="DQ778" s="323">
        <f t="shared" si="1117"/>
        <v>0</v>
      </c>
      <c r="DR778" s="323">
        <f t="shared" si="1117"/>
        <v>0</v>
      </c>
      <c r="DS778" s="323">
        <f t="shared" si="1117"/>
        <v>0</v>
      </c>
      <c r="DT778" s="323">
        <f t="shared" si="1117"/>
        <v>0</v>
      </c>
      <c r="DU778" s="323">
        <f t="shared" si="1117"/>
        <v>0</v>
      </c>
      <c r="DV778" s="323">
        <f t="shared" si="1117"/>
        <v>0</v>
      </c>
      <c r="DW778" s="323">
        <f t="shared" si="1117"/>
        <v>0</v>
      </c>
      <c r="DX778" s="323">
        <f t="shared" si="1117"/>
        <v>0</v>
      </c>
      <c r="DY778" s="323">
        <f t="shared" si="1117"/>
        <v>0</v>
      </c>
      <c r="DZ778" s="325">
        <f t="shared" si="1117"/>
        <v>0</v>
      </c>
      <c r="EA778" s="323">
        <f t="shared" si="1117"/>
        <v>0</v>
      </c>
      <c r="EB778" s="323">
        <f t="shared" si="1117"/>
        <v>0</v>
      </c>
      <c r="EC778" s="323">
        <f t="shared" si="1117"/>
        <v>0</v>
      </c>
      <c r="ED778" s="323">
        <f t="shared" si="1117"/>
        <v>0</v>
      </c>
      <c r="EE778" s="323">
        <f t="shared" si="1117"/>
        <v>0</v>
      </c>
      <c r="EF778" s="323">
        <f t="shared" si="1117"/>
        <v>0</v>
      </c>
      <c r="EG778" s="323">
        <f t="shared" si="1117"/>
        <v>0</v>
      </c>
      <c r="EH778" s="323">
        <f t="shared" si="1117"/>
        <v>0</v>
      </c>
      <c r="EI778" s="323">
        <f t="shared" si="1117"/>
        <v>0</v>
      </c>
      <c r="EJ778" s="323">
        <f t="shared" si="1117"/>
        <v>0</v>
      </c>
      <c r="EK778" s="323">
        <f t="shared" si="1117"/>
        <v>0</v>
      </c>
      <c r="EL778" s="325">
        <f t="shared" si="1117"/>
        <v>0</v>
      </c>
      <c r="EM778" s="323">
        <f t="shared" si="1117"/>
        <v>0</v>
      </c>
      <c r="EN778" s="323">
        <f t="shared" si="1117"/>
        <v>0</v>
      </c>
      <c r="EO778" s="323">
        <f t="shared" si="1117"/>
        <v>0</v>
      </c>
      <c r="EP778" s="323">
        <f t="shared" si="1117"/>
        <v>0</v>
      </c>
      <c r="EQ778" s="323">
        <f t="shared" ref="EQ778:FV778" si="1118">EQ375</f>
        <v>0</v>
      </c>
      <c r="ER778" s="323">
        <f t="shared" si="1118"/>
        <v>0</v>
      </c>
      <c r="ES778" s="323">
        <f t="shared" si="1118"/>
        <v>0</v>
      </c>
      <c r="ET778" s="323">
        <f t="shared" si="1118"/>
        <v>0</v>
      </c>
      <c r="EU778" s="323">
        <f t="shared" si="1118"/>
        <v>0</v>
      </c>
      <c r="EV778" s="323">
        <f t="shared" si="1118"/>
        <v>0</v>
      </c>
      <c r="EW778" s="323">
        <f t="shared" si="1118"/>
        <v>0</v>
      </c>
      <c r="EX778" s="325">
        <f t="shared" si="1118"/>
        <v>0</v>
      </c>
      <c r="EY778" s="323">
        <f t="shared" si="1118"/>
        <v>0</v>
      </c>
      <c r="EZ778" s="323">
        <f t="shared" si="1118"/>
        <v>0</v>
      </c>
      <c r="FA778" s="323">
        <f t="shared" si="1118"/>
        <v>0</v>
      </c>
      <c r="FB778" s="323">
        <f t="shared" si="1118"/>
        <v>0</v>
      </c>
      <c r="FC778" s="323">
        <f t="shared" si="1118"/>
        <v>0</v>
      </c>
      <c r="FD778" s="323">
        <f t="shared" si="1118"/>
        <v>0</v>
      </c>
      <c r="FE778" s="323">
        <f t="shared" si="1118"/>
        <v>0</v>
      </c>
      <c r="FF778" s="323">
        <f t="shared" si="1118"/>
        <v>0</v>
      </c>
      <c r="FG778" s="323">
        <f t="shared" si="1118"/>
        <v>0</v>
      </c>
      <c r="FH778" s="323">
        <f t="shared" si="1118"/>
        <v>0</v>
      </c>
      <c r="FI778" s="323">
        <f t="shared" si="1118"/>
        <v>0</v>
      </c>
      <c r="FJ778" s="325">
        <f t="shared" si="1118"/>
        <v>0</v>
      </c>
      <c r="FK778" s="323">
        <f t="shared" si="1118"/>
        <v>0</v>
      </c>
      <c r="FL778" s="323">
        <f t="shared" si="1118"/>
        <v>0</v>
      </c>
      <c r="FM778" s="323">
        <f t="shared" si="1118"/>
        <v>0</v>
      </c>
      <c r="FN778" s="323">
        <f t="shared" si="1118"/>
        <v>0</v>
      </c>
      <c r="FO778" s="323">
        <f t="shared" si="1118"/>
        <v>0</v>
      </c>
      <c r="FP778" s="323">
        <f t="shared" si="1118"/>
        <v>0</v>
      </c>
      <c r="FQ778" s="323">
        <f t="shared" si="1118"/>
        <v>0</v>
      </c>
      <c r="FR778" s="323">
        <f t="shared" si="1118"/>
        <v>0</v>
      </c>
      <c r="FS778" s="323">
        <f t="shared" si="1118"/>
        <v>0</v>
      </c>
      <c r="FT778" s="323">
        <f t="shared" si="1118"/>
        <v>0</v>
      </c>
      <c r="FU778" s="323">
        <f t="shared" si="1118"/>
        <v>0</v>
      </c>
      <c r="FV778" s="323">
        <f t="shared" si="1118"/>
        <v>0</v>
      </c>
      <c r="FW778" s="323">
        <v>0</v>
      </c>
      <c r="FX778" s="323">
        <v>0</v>
      </c>
      <c r="FY778" s="323">
        <v>0</v>
      </c>
      <c r="FZ778" s="323">
        <v>0</v>
      </c>
      <c r="GA778" s="323">
        <v>0</v>
      </c>
      <c r="GB778" s="323">
        <v>0</v>
      </c>
      <c r="GC778" s="323">
        <v>0</v>
      </c>
      <c r="GD778" s="323">
        <v>0</v>
      </c>
      <c r="GE778" s="323">
        <v>0</v>
      </c>
      <c r="GF778" s="323">
        <v>0</v>
      </c>
      <c r="GG778" s="323">
        <v>0</v>
      </c>
      <c r="GH778" s="323">
        <v>0</v>
      </c>
      <c r="GI778" s="323">
        <f t="shared" ref="GI778:GS778" si="1119">GI375</f>
        <v>0</v>
      </c>
      <c r="GJ778" s="323">
        <f t="shared" si="1119"/>
        <v>0</v>
      </c>
      <c r="GK778" s="323">
        <f t="shared" si="1119"/>
        <v>0</v>
      </c>
      <c r="GL778" s="323">
        <f t="shared" si="1119"/>
        <v>0</v>
      </c>
      <c r="GM778" s="323">
        <f t="shared" si="1119"/>
        <v>0</v>
      </c>
      <c r="GN778" s="323">
        <f t="shared" si="1119"/>
        <v>0</v>
      </c>
      <c r="GO778" s="323">
        <f t="shared" si="1119"/>
        <v>0</v>
      </c>
      <c r="GP778" s="323">
        <f t="shared" si="1119"/>
        <v>0</v>
      </c>
      <c r="GQ778" s="323">
        <f t="shared" si="1119"/>
        <v>0</v>
      </c>
      <c r="GR778" s="323">
        <f t="shared" si="1119"/>
        <v>0</v>
      </c>
      <c r="GS778" s="323">
        <f t="shared" si="1119"/>
        <v>0</v>
      </c>
      <c r="GT778" s="323">
        <f t="shared" ref="GT778:HC778" si="1120">GT375</f>
        <v>0</v>
      </c>
      <c r="GU778" s="323">
        <f t="shared" si="1120"/>
        <v>0</v>
      </c>
      <c r="GV778" s="323">
        <f t="shared" si="1120"/>
        <v>0</v>
      </c>
      <c r="GW778" s="323">
        <f t="shared" si="1120"/>
        <v>0</v>
      </c>
      <c r="GX778" s="323">
        <f t="shared" si="1120"/>
        <v>0</v>
      </c>
      <c r="GY778" s="323">
        <f t="shared" si="1120"/>
        <v>0</v>
      </c>
      <c r="GZ778" s="323">
        <f t="shared" si="1120"/>
        <v>0</v>
      </c>
      <c r="HA778" s="323">
        <f t="shared" si="1120"/>
        <v>0</v>
      </c>
      <c r="HB778" s="323">
        <f t="shared" si="1120"/>
        <v>0</v>
      </c>
      <c r="HC778" s="323">
        <f t="shared" si="1120"/>
        <v>0</v>
      </c>
      <c r="HD778" s="323">
        <f t="shared" ref="HD778:HR778" si="1121">HD375</f>
        <v>0</v>
      </c>
      <c r="HE778" s="323">
        <f t="shared" si="1121"/>
        <v>0</v>
      </c>
      <c r="HF778" s="323">
        <f t="shared" si="1121"/>
        <v>0</v>
      </c>
      <c r="HG778" s="323">
        <f t="shared" si="1121"/>
        <v>0</v>
      </c>
      <c r="HH778" s="323">
        <f t="shared" si="1121"/>
        <v>0</v>
      </c>
      <c r="HI778" s="323">
        <f t="shared" si="1121"/>
        <v>0</v>
      </c>
      <c r="HJ778" s="323">
        <f t="shared" si="1121"/>
        <v>0</v>
      </c>
      <c r="HK778" s="323">
        <f t="shared" si="1121"/>
        <v>0</v>
      </c>
      <c r="HL778" s="323">
        <f t="shared" si="1121"/>
        <v>0</v>
      </c>
      <c r="HM778" s="323">
        <f t="shared" si="1121"/>
        <v>0</v>
      </c>
      <c r="HN778" s="323">
        <f t="shared" si="1121"/>
        <v>0</v>
      </c>
      <c r="HO778" s="323">
        <f t="shared" si="1121"/>
        <v>0</v>
      </c>
      <c r="HP778" s="323">
        <f t="shared" si="1121"/>
        <v>0</v>
      </c>
      <c r="HQ778" s="323">
        <f t="shared" si="1121"/>
        <v>0</v>
      </c>
      <c r="HR778" s="323">
        <f t="shared" si="1121"/>
        <v>0</v>
      </c>
      <c r="HS778" s="323">
        <f t="shared" ref="HS778:HX778" si="1122">HS375</f>
        <v>0</v>
      </c>
      <c r="HT778" s="323">
        <f t="shared" si="1122"/>
        <v>0</v>
      </c>
      <c r="HU778" s="323">
        <f t="shared" si="1122"/>
        <v>0</v>
      </c>
      <c r="HV778" s="323">
        <f t="shared" si="1122"/>
        <v>0</v>
      </c>
      <c r="HW778" s="323">
        <f t="shared" si="1122"/>
        <v>0</v>
      </c>
      <c r="HX778" s="323">
        <f t="shared" si="1122"/>
        <v>0</v>
      </c>
      <c r="HY778" s="323"/>
      <c r="HZ778" s="326"/>
      <c r="IA778" s="1232" t="s">
        <v>479</v>
      </c>
      <c r="IB778" s="284">
        <f t="shared" si="1010"/>
        <v>0</v>
      </c>
      <c r="IC778" s="279">
        <f t="shared" si="1011"/>
        <v>0</v>
      </c>
      <c r="ID778" s="323">
        <f t="shared" si="907"/>
        <v>0</v>
      </c>
      <c r="IE778" s="279">
        <f t="shared" si="1012"/>
        <v>0</v>
      </c>
      <c r="IF778" s="279">
        <f t="shared" si="1013"/>
        <v>0</v>
      </c>
      <c r="IG778" s="323">
        <f t="shared" si="880"/>
        <v>0</v>
      </c>
      <c r="IH778" s="284">
        <f t="shared" si="1014"/>
        <v>0</v>
      </c>
      <c r="II778" s="279">
        <f t="shared" si="1015"/>
        <v>0</v>
      </c>
      <c r="IJ778" s="323">
        <f t="shared" si="881"/>
        <v>0</v>
      </c>
      <c r="IK778" s="327">
        <f t="shared" si="1016"/>
        <v>0</v>
      </c>
      <c r="IL778" s="279">
        <f t="shared" si="1017"/>
        <v>0</v>
      </c>
      <c r="IM778" s="323">
        <f t="shared" si="882"/>
        <v>0</v>
      </c>
      <c r="IN778" s="279">
        <f t="shared" si="1018"/>
        <v>0</v>
      </c>
      <c r="IO778" s="279">
        <f t="shared" si="1019"/>
        <v>0</v>
      </c>
      <c r="IP778" s="323">
        <f t="shared" si="883"/>
        <v>0</v>
      </c>
      <c r="IQ778" s="327">
        <f t="shared" si="1020"/>
        <v>0</v>
      </c>
      <c r="IR778" s="327">
        <f t="shared" si="1021"/>
        <v>0</v>
      </c>
      <c r="IS778" s="323">
        <f t="shared" si="884"/>
        <v>0</v>
      </c>
      <c r="IT778" s="327">
        <f t="shared" si="1022"/>
        <v>0</v>
      </c>
      <c r="IU778" s="327">
        <f t="shared" si="1023"/>
        <v>0</v>
      </c>
      <c r="IV778" s="323">
        <f t="shared" si="885"/>
        <v>0</v>
      </c>
      <c r="IW778" s="327">
        <f t="shared" si="1024"/>
        <v>0</v>
      </c>
      <c r="IX778" s="327">
        <f t="shared" si="868"/>
        <v>0</v>
      </c>
      <c r="IY778" s="323">
        <f t="shared" si="886"/>
        <v>0</v>
      </c>
      <c r="IZ778" s="327">
        <f t="shared" si="869"/>
        <v>0</v>
      </c>
      <c r="JA778" s="327">
        <f t="shared" si="870"/>
        <v>0</v>
      </c>
      <c r="JB778" s="323">
        <f t="shared" si="887"/>
        <v>0</v>
      </c>
      <c r="JC778" s="327">
        <f t="shared" si="871"/>
        <v>0</v>
      </c>
      <c r="JD778" s="327">
        <f t="shared" si="872"/>
        <v>0</v>
      </c>
      <c r="JE778" s="323">
        <f t="shared" si="888"/>
        <v>0</v>
      </c>
      <c r="JF778" s="327">
        <f t="shared" si="908"/>
        <v>0</v>
      </c>
      <c r="JG778" s="327">
        <f t="shared" si="918"/>
        <v>0</v>
      </c>
      <c r="JH778" s="323">
        <f t="shared" si="889"/>
        <v>0</v>
      </c>
      <c r="JI778" s="327">
        <f t="shared" si="909"/>
        <v>0</v>
      </c>
      <c r="JJ778" s="327">
        <f t="shared" si="910"/>
        <v>0</v>
      </c>
      <c r="JK778" s="323">
        <f t="shared" si="890"/>
        <v>0</v>
      </c>
      <c r="JL778" s="327">
        <f t="shared" si="891"/>
        <v>0</v>
      </c>
      <c r="JM778" s="279">
        <f t="shared" si="892"/>
        <v>0</v>
      </c>
      <c r="JN778" s="323">
        <f>FISC!AK1084</f>
        <v>0</v>
      </c>
      <c r="JO778" s="327">
        <f t="shared" si="986"/>
        <v>0</v>
      </c>
      <c r="JP778" s="279">
        <f t="shared" si="893"/>
        <v>0</v>
      </c>
      <c r="JQ778" s="323">
        <f>FISC!AL1084</f>
        <v>0</v>
      </c>
      <c r="JR778" s="327">
        <f t="shared" si="919"/>
        <v>0</v>
      </c>
      <c r="JS778" s="279">
        <f t="shared" si="894"/>
        <v>0</v>
      </c>
      <c r="JT778" s="323">
        <f>FISC!AM1084</f>
        <v>0</v>
      </c>
      <c r="JU778" s="327">
        <f t="shared" si="920"/>
        <v>0</v>
      </c>
      <c r="JV778" s="279">
        <f t="shared" si="911"/>
        <v>0</v>
      </c>
      <c r="JW778" s="323">
        <f>FISC!AN1084</f>
        <v>0</v>
      </c>
      <c r="JX778" s="327">
        <f t="shared" si="921"/>
        <v>0</v>
      </c>
      <c r="JY778" s="279">
        <f t="shared" si="895"/>
        <v>0</v>
      </c>
      <c r="JZ778" s="323">
        <f>FISC!AO1084</f>
        <v>0</v>
      </c>
      <c r="KA778" s="327">
        <f t="shared" si="1106"/>
        <v>0</v>
      </c>
      <c r="KB778" s="279">
        <f t="shared" si="1107"/>
        <v>0</v>
      </c>
      <c r="KC778" s="323">
        <f>FISC!AP1084</f>
        <v>0</v>
      </c>
      <c r="KD778" s="327">
        <f t="shared" si="1108"/>
        <v>0</v>
      </c>
      <c r="KE778" s="279">
        <f t="shared" si="1109"/>
        <v>0</v>
      </c>
      <c r="KF778" s="323">
        <f>FISC!AQ1084</f>
        <v>0</v>
      </c>
      <c r="KG778" s="327">
        <f t="shared" si="1110"/>
        <v>0</v>
      </c>
      <c r="KH778" s="279">
        <f t="shared" si="1111"/>
        <v>0</v>
      </c>
      <c r="KI778" s="323">
        <f>FISC!AR1084</f>
        <v>0</v>
      </c>
      <c r="KJ778" s="327">
        <f t="shared" si="1112"/>
        <v>0</v>
      </c>
      <c r="KK778" s="279">
        <f t="shared" si="1113"/>
        <v>0</v>
      </c>
      <c r="KL778" s="323">
        <f>FISC!AS1084</f>
        <v>0</v>
      </c>
      <c r="KM778" s="327">
        <f t="shared" si="1114"/>
        <v>0</v>
      </c>
      <c r="KN778" s="279">
        <f t="shared" si="1115"/>
        <v>0</v>
      </c>
      <c r="KO778" s="323">
        <f>FISC!AT1084</f>
        <v>0</v>
      </c>
      <c r="KU778" s="326"/>
      <c r="KV778" s="327"/>
    </row>
    <row r="779" spans="1:308">
      <c r="A779" s="279"/>
      <c r="D779" s="1232" t="s">
        <v>480</v>
      </c>
      <c r="E779" s="323"/>
      <c r="F779" s="323"/>
      <c r="G779" s="323"/>
      <c r="H779" s="323"/>
      <c r="I779" s="323"/>
      <c r="J779" s="323"/>
      <c r="K779" s="323"/>
      <c r="L779" s="323"/>
      <c r="M779" s="323"/>
      <c r="N779" s="323"/>
      <c r="O779" s="323"/>
      <c r="P779" s="323"/>
      <c r="Q779" s="323"/>
      <c r="R779" s="323"/>
      <c r="S779" s="323"/>
      <c r="T779" s="323"/>
      <c r="U779" s="323"/>
      <c r="V779" s="323"/>
      <c r="W779" s="323"/>
      <c r="X779" s="323"/>
      <c r="Y779" s="323"/>
      <c r="Z779" s="323"/>
      <c r="AA779" s="323"/>
      <c r="AB779" s="323"/>
      <c r="AC779" s="323"/>
      <c r="AD779" s="323"/>
      <c r="AE779" s="323"/>
      <c r="AF779" s="323"/>
      <c r="AG779" s="323"/>
      <c r="AH779" s="323"/>
      <c r="AI779" s="323"/>
      <c r="AJ779" s="323"/>
      <c r="AK779" s="323"/>
      <c r="AL779" s="323"/>
      <c r="AM779" s="323"/>
      <c r="AN779" s="323"/>
      <c r="AO779" s="323"/>
      <c r="AP779" s="323"/>
      <c r="AQ779" s="323"/>
      <c r="AR779" s="323"/>
      <c r="AS779" s="323"/>
      <c r="AT779" s="323"/>
      <c r="AU779" s="323"/>
      <c r="AV779" s="323"/>
      <c r="AW779" s="323"/>
      <c r="AX779" s="323"/>
      <c r="AY779" s="323"/>
      <c r="AZ779" s="323"/>
      <c r="BA779" s="323"/>
      <c r="BB779" s="323"/>
      <c r="BC779" s="323"/>
      <c r="BD779" s="323"/>
      <c r="BE779" s="323"/>
      <c r="BF779" s="323"/>
      <c r="BG779" s="323"/>
      <c r="BH779" s="323"/>
      <c r="BI779" s="323"/>
      <c r="BJ779" s="323"/>
      <c r="BK779" s="323"/>
      <c r="BL779" s="323"/>
      <c r="BM779" s="323"/>
      <c r="BN779" s="323"/>
      <c r="BO779" s="323"/>
      <c r="BP779" s="323"/>
      <c r="BQ779" s="323"/>
      <c r="BR779" s="323"/>
      <c r="BS779" s="323"/>
      <c r="BT779" s="323"/>
      <c r="BU779" s="323"/>
      <c r="BV779" s="323"/>
      <c r="BW779" s="323"/>
      <c r="BX779" s="323"/>
      <c r="BY779" s="323"/>
      <c r="BZ779" s="323"/>
      <c r="CA779" s="323"/>
      <c r="CB779" s="323"/>
      <c r="CC779" s="323"/>
      <c r="CD779" s="329"/>
      <c r="CE779" s="323">
        <f t="shared" ref="CE779:DJ779" si="1123">CE376</f>
        <v>10.312014238</v>
      </c>
      <c r="CF779" s="323">
        <f t="shared" si="1123"/>
        <v>11.682352078999999</v>
      </c>
      <c r="CG779" s="323">
        <f t="shared" si="1123"/>
        <v>10.690505712</v>
      </c>
      <c r="CH779" s="323">
        <f t="shared" si="1123"/>
        <v>10.734642351</v>
      </c>
      <c r="CI779" s="323">
        <f t="shared" si="1123"/>
        <v>9.7985631360000003</v>
      </c>
      <c r="CJ779" s="323">
        <f t="shared" si="1123"/>
        <v>9.4056947760000007</v>
      </c>
      <c r="CK779" s="323">
        <f t="shared" si="1123"/>
        <v>11.524598477</v>
      </c>
      <c r="CL779" s="323">
        <f t="shared" si="1123"/>
        <v>10.158745530999999</v>
      </c>
      <c r="CM779" s="323">
        <f t="shared" si="1123"/>
        <v>10.590484483999999</v>
      </c>
      <c r="CN779" s="323">
        <f t="shared" si="1123"/>
        <v>10.229226067999999</v>
      </c>
      <c r="CO779" s="323">
        <f t="shared" si="1123"/>
        <v>9.9519072630000007</v>
      </c>
      <c r="CP779" s="325">
        <f t="shared" si="1123"/>
        <v>10.679967767999999</v>
      </c>
      <c r="CQ779" s="323">
        <f t="shared" si="1123"/>
        <v>12.38807276</v>
      </c>
      <c r="CR779" s="323">
        <f t="shared" si="1123"/>
        <v>12.467862021</v>
      </c>
      <c r="CS779" s="323">
        <f t="shared" si="1123"/>
        <v>11.696207848</v>
      </c>
      <c r="CT779" s="323">
        <f t="shared" si="1123"/>
        <v>10.381398195999999</v>
      </c>
      <c r="CU779" s="323">
        <f t="shared" si="1123"/>
        <v>10.439065612</v>
      </c>
      <c r="CV779" s="323">
        <f t="shared" si="1123"/>
        <v>12.667704062</v>
      </c>
      <c r="CW779" s="323">
        <f t="shared" si="1123"/>
        <v>10.976646073</v>
      </c>
      <c r="CX779" s="323">
        <f t="shared" si="1123"/>
        <v>10.287932966</v>
      </c>
      <c r="CY779" s="323">
        <f t="shared" si="1123"/>
        <v>10.544515338</v>
      </c>
      <c r="CZ779" s="323">
        <f t="shared" si="1123"/>
        <v>11.492866818</v>
      </c>
      <c r="DA779" s="323">
        <f t="shared" si="1123"/>
        <v>10.822163140000001</v>
      </c>
      <c r="DB779" s="1269">
        <f t="shared" si="1123"/>
        <v>12.855031159999999</v>
      </c>
      <c r="DC779" s="323">
        <f t="shared" si="1123"/>
        <v>13.885712351280118</v>
      </c>
      <c r="DD779" s="323">
        <f t="shared" si="1123"/>
        <v>14.829079303096313</v>
      </c>
      <c r="DE779" s="323">
        <f t="shared" si="1123"/>
        <v>13.77518902838599</v>
      </c>
      <c r="DF779" s="323">
        <f t="shared" si="1123"/>
        <v>14.922692627866242</v>
      </c>
      <c r="DG779" s="323">
        <f t="shared" si="1123"/>
        <v>13.517082003110152</v>
      </c>
      <c r="DH779" s="323">
        <f t="shared" si="1123"/>
        <v>15.628054550338424</v>
      </c>
      <c r="DI779" s="323">
        <f t="shared" si="1123"/>
        <v>13.175239244661348</v>
      </c>
      <c r="DJ779" s="323">
        <f t="shared" si="1123"/>
        <v>13.077335491675587</v>
      </c>
      <c r="DK779" s="323">
        <f t="shared" ref="DK779:EP779" si="1124">DK376</f>
        <v>13.248190450859843</v>
      </c>
      <c r="DL779" s="323">
        <f t="shared" si="1124"/>
        <v>12.742532211910587</v>
      </c>
      <c r="DM779" s="323">
        <f t="shared" si="1124"/>
        <v>12.568932074627444</v>
      </c>
      <c r="DN779" s="325">
        <f t="shared" si="1124"/>
        <v>15.546468166257402</v>
      </c>
      <c r="DO779" s="323">
        <f t="shared" si="1124"/>
        <v>12.743856736640529</v>
      </c>
      <c r="DP779" s="323">
        <f t="shared" si="1124"/>
        <v>14.836326437583503</v>
      </c>
      <c r="DQ779" s="323">
        <f t="shared" si="1124"/>
        <v>14.228195877479589</v>
      </c>
      <c r="DR779" s="323">
        <f t="shared" si="1124"/>
        <v>10.951474185591518</v>
      </c>
      <c r="DS779" s="323">
        <f t="shared" si="1124"/>
        <v>13.303248715439221</v>
      </c>
      <c r="DT779" s="323">
        <f t="shared" si="1124"/>
        <v>15.080084175700211</v>
      </c>
      <c r="DU779" s="323">
        <f t="shared" si="1124"/>
        <v>13.226434253357581</v>
      </c>
      <c r="DV779" s="323">
        <f t="shared" si="1124"/>
        <v>12.464851140977846</v>
      </c>
      <c r="DW779" s="323">
        <f t="shared" si="1124"/>
        <v>13.798161011990613</v>
      </c>
      <c r="DX779" s="323">
        <f t="shared" si="1124"/>
        <v>12.696501364338877</v>
      </c>
      <c r="DY779" s="323">
        <f t="shared" si="1124"/>
        <v>13.415457891036949</v>
      </c>
      <c r="DZ779" s="325">
        <f t="shared" si="1124"/>
        <v>14.831170505282081</v>
      </c>
      <c r="EA779" s="323">
        <f t="shared" si="1124"/>
        <v>14.145995512537345</v>
      </c>
      <c r="EB779" s="323">
        <f t="shared" si="1124"/>
        <v>14.691728513150336</v>
      </c>
      <c r="EC779" s="323">
        <f t="shared" si="1124"/>
        <v>14.5044707369414</v>
      </c>
      <c r="ED779" s="323">
        <f t="shared" si="1124"/>
        <v>14.294941073140643</v>
      </c>
      <c r="EE779" s="323">
        <f t="shared" si="1124"/>
        <v>13.355636338797972</v>
      </c>
      <c r="EF779" s="323">
        <f t="shared" si="1124"/>
        <v>15.345079392744225</v>
      </c>
      <c r="EG779" s="323">
        <f t="shared" si="1124"/>
        <v>14.448253589033969</v>
      </c>
      <c r="EH779" s="323">
        <f t="shared" si="1124"/>
        <v>14.041869560412472</v>
      </c>
      <c r="EI779" s="323">
        <f t="shared" si="1124"/>
        <v>14.625630890271539</v>
      </c>
      <c r="EJ779" s="323">
        <f t="shared" si="1124"/>
        <v>14.932590743140988</v>
      </c>
      <c r="EK779" s="323">
        <f t="shared" si="1124"/>
        <v>15.534037266393753</v>
      </c>
      <c r="EL779" s="325">
        <f t="shared" si="1124"/>
        <v>17.966237846520112</v>
      </c>
      <c r="EM779" s="323">
        <f t="shared" si="1124"/>
        <v>16.452051478000001</v>
      </c>
      <c r="EN779" s="323">
        <f t="shared" si="1124"/>
        <v>19.421774051</v>
      </c>
      <c r="EO779" s="323">
        <f t="shared" si="1124"/>
        <v>18.083721097000002</v>
      </c>
      <c r="EP779" s="323">
        <f t="shared" si="1124"/>
        <v>16.299147270776668</v>
      </c>
      <c r="EQ779" s="323">
        <f t="shared" ref="EQ779:FV779" si="1125">EQ376</f>
        <v>17.136581717776668</v>
      </c>
      <c r="ER779" s="323">
        <f t="shared" si="1125"/>
        <v>18.885433180776666</v>
      </c>
      <c r="ES779" s="323">
        <f t="shared" si="1125"/>
        <v>16.497697909999999</v>
      </c>
      <c r="ET779" s="323">
        <f t="shared" si="1125"/>
        <v>18.437644201000001</v>
      </c>
      <c r="EU779" s="323">
        <f t="shared" si="1125"/>
        <v>17.389135537000001</v>
      </c>
      <c r="EV779" s="323">
        <f t="shared" si="1125"/>
        <v>17.151386156000001</v>
      </c>
      <c r="EW779" s="323">
        <f t="shared" si="1125"/>
        <v>19.552364807</v>
      </c>
      <c r="EX779" s="325">
        <f t="shared" si="1125"/>
        <v>19.671107023669997</v>
      </c>
      <c r="EY779" s="323">
        <f t="shared" si="1125"/>
        <v>19.59418576249</v>
      </c>
      <c r="EZ779" s="323">
        <f t="shared" si="1125"/>
        <v>20.436109718000001</v>
      </c>
      <c r="FA779" s="323">
        <f t="shared" si="1125"/>
        <v>18.98516237604683</v>
      </c>
      <c r="FB779" s="323">
        <f t="shared" si="1125"/>
        <v>18.011922991999999</v>
      </c>
      <c r="FC779" s="323">
        <f t="shared" si="1125"/>
        <v>19.608461198000001</v>
      </c>
      <c r="FD779" s="323">
        <f t="shared" si="1125"/>
        <v>19.068546339000001</v>
      </c>
      <c r="FE779" s="323">
        <f t="shared" si="1125"/>
        <v>19.909591206999998</v>
      </c>
      <c r="FF779" s="323">
        <f t="shared" si="1125"/>
        <v>18.654437322</v>
      </c>
      <c r="FG779" s="323">
        <f t="shared" si="1125"/>
        <v>17.617448429</v>
      </c>
      <c r="FH779" s="323">
        <f t="shared" si="1125"/>
        <v>8.6637359269999994</v>
      </c>
      <c r="FI779" s="323">
        <f t="shared" si="1125"/>
        <v>13.405638166999999</v>
      </c>
      <c r="FJ779" s="325">
        <f t="shared" si="1125"/>
        <v>19.352599138999999</v>
      </c>
      <c r="FK779" s="323">
        <f t="shared" si="1125"/>
        <v>18.84398345258775</v>
      </c>
      <c r="FL779" s="323">
        <f t="shared" si="1125"/>
        <v>20.595821602939999</v>
      </c>
      <c r="FM779" s="323">
        <f t="shared" si="1125"/>
        <v>21.68748176815107</v>
      </c>
      <c r="FN779" s="323">
        <f t="shared" si="1125"/>
        <v>20.345557790859818</v>
      </c>
      <c r="FO779" s="323">
        <f t="shared" si="1125"/>
        <v>20.545755038492295</v>
      </c>
      <c r="FP779" s="323">
        <f t="shared" si="1125"/>
        <v>23.13632653198728</v>
      </c>
      <c r="FQ779" s="323">
        <f t="shared" si="1125"/>
        <v>17.738215291302456</v>
      </c>
      <c r="FR779" s="323">
        <f t="shared" si="1125"/>
        <v>17.418107180999996</v>
      </c>
      <c r="FS779" s="323">
        <f t="shared" si="1125"/>
        <v>19.614753259000004</v>
      </c>
      <c r="FT779" s="323">
        <f t="shared" si="1125"/>
        <v>21.282264591804449</v>
      </c>
      <c r="FU779" s="323">
        <f t="shared" si="1125"/>
        <v>20.471551178864715</v>
      </c>
      <c r="FV779" s="323">
        <f t="shared" si="1125"/>
        <v>21.594922956410219</v>
      </c>
      <c r="FW779" s="323">
        <v>18.067622638078653</v>
      </c>
      <c r="FX779" s="323">
        <v>20.641168116501973</v>
      </c>
      <c r="FY779" s="323">
        <v>21.972693046623665</v>
      </c>
      <c r="FZ779" s="323">
        <v>21.254760980425406</v>
      </c>
      <c r="GA779" s="323">
        <v>22.469927832496712</v>
      </c>
      <c r="GB779" s="323">
        <v>22.327669297897245</v>
      </c>
      <c r="GC779" s="323">
        <v>21.79843131662</v>
      </c>
      <c r="GD779" s="323">
        <v>20.237493026270002</v>
      </c>
      <c r="GE779" s="323">
        <v>23.498200746375137</v>
      </c>
      <c r="GF779" s="323">
        <v>21.466052514000001</v>
      </c>
      <c r="GG779" s="323">
        <v>20.725141396000001</v>
      </c>
      <c r="GH779" s="323">
        <v>24.324853584447212</v>
      </c>
      <c r="GI779" s="323">
        <f t="shared" ref="GI779:GS779" si="1126">GI376</f>
        <v>23.176657358497923</v>
      </c>
      <c r="GJ779" s="323">
        <f t="shared" si="1126"/>
        <v>28.247596359008622</v>
      </c>
      <c r="GK779" s="323">
        <f t="shared" si="1126"/>
        <v>30.296841981115463</v>
      </c>
      <c r="GL779" s="323">
        <f t="shared" si="1126"/>
        <v>25.469940530999995</v>
      </c>
      <c r="GM779" s="323">
        <f t="shared" si="1126"/>
        <v>25.183633776999997</v>
      </c>
      <c r="GN779" s="323">
        <f t="shared" si="1126"/>
        <v>28.581190517</v>
      </c>
      <c r="GO779" s="323">
        <f t="shared" si="1126"/>
        <v>27.723163620000001</v>
      </c>
      <c r="GP779" s="323">
        <f t="shared" si="1126"/>
        <v>27.471186628000002</v>
      </c>
      <c r="GQ779" s="323">
        <f t="shared" si="1126"/>
        <v>28.922375887000001</v>
      </c>
      <c r="GR779" s="323">
        <f t="shared" si="1126"/>
        <v>26.914108077000002</v>
      </c>
      <c r="GS779" s="323">
        <f t="shared" si="1126"/>
        <v>27.256239658999998</v>
      </c>
      <c r="GT779" s="323">
        <f t="shared" ref="GT779:HC779" si="1127">GT376</f>
        <v>30.707153056999999</v>
      </c>
      <c r="GU779" s="323">
        <f t="shared" si="1127"/>
        <v>30.085040145000001</v>
      </c>
      <c r="GV779" s="323">
        <f t="shared" si="1127"/>
        <v>33.807194367999998</v>
      </c>
      <c r="GW779" s="323">
        <f t="shared" si="1127"/>
        <v>32.269678593000002</v>
      </c>
      <c r="GX779" s="323">
        <f t="shared" si="1127"/>
        <v>29.753129599000001</v>
      </c>
      <c r="GY779" s="323">
        <f t="shared" si="1127"/>
        <v>29.79562949</v>
      </c>
      <c r="GZ779" s="323">
        <f t="shared" si="1127"/>
        <v>30.43527224</v>
      </c>
      <c r="HA779" s="323">
        <f t="shared" si="1127"/>
        <v>31.140117139000001</v>
      </c>
      <c r="HB779" s="323">
        <f t="shared" si="1127"/>
        <v>30.211059159000001</v>
      </c>
      <c r="HC779" s="323">
        <f t="shared" si="1127"/>
        <v>31.647467160000001</v>
      </c>
      <c r="HD779" s="323">
        <f t="shared" ref="HD779:HR779" si="1128">HD376</f>
        <v>31.118847344999999</v>
      </c>
      <c r="HE779" s="323">
        <f t="shared" si="1128"/>
        <v>31.824080359</v>
      </c>
      <c r="HF779" s="323">
        <f t="shared" si="1128"/>
        <v>36.439533484009068</v>
      </c>
      <c r="HG779" s="323">
        <f t="shared" si="1128"/>
        <v>29.268599494</v>
      </c>
      <c r="HH779" s="323">
        <f t="shared" si="1128"/>
        <v>36.883923897999999</v>
      </c>
      <c r="HI779" s="323">
        <f t="shared" si="1128"/>
        <v>35.788384030000003</v>
      </c>
      <c r="HJ779" s="323">
        <f t="shared" si="1128"/>
        <v>34.282555879999997</v>
      </c>
      <c r="HK779" s="323">
        <f t="shared" si="1128"/>
        <v>33.674921998999999</v>
      </c>
      <c r="HL779" s="323">
        <f t="shared" si="1128"/>
        <v>34.750766525000003</v>
      </c>
      <c r="HM779" s="323">
        <f t="shared" si="1128"/>
        <v>37.157009326999997</v>
      </c>
      <c r="HN779" s="323">
        <f t="shared" si="1128"/>
        <v>35.894756825000002</v>
      </c>
      <c r="HO779" s="323">
        <f t="shared" si="1128"/>
        <v>35.863372382000001</v>
      </c>
      <c r="HP779" s="323">
        <f t="shared" si="1128"/>
        <v>36.219550777999999</v>
      </c>
      <c r="HQ779" s="323">
        <f t="shared" si="1128"/>
        <v>36.459067403000027</v>
      </c>
      <c r="HR779" s="323">
        <f t="shared" si="1128"/>
        <v>43.153552174999788</v>
      </c>
      <c r="HS779" s="323">
        <f t="shared" ref="HS779:HX779" si="1129">HS376</f>
        <v>30.721247007999999</v>
      </c>
      <c r="HT779" s="323">
        <f t="shared" si="1129"/>
        <v>47.182787965000003</v>
      </c>
      <c r="HU779" s="323">
        <f t="shared" si="1129"/>
        <v>46.805324374000001</v>
      </c>
      <c r="HV779" s="323">
        <f t="shared" si="1129"/>
        <v>47.141018877999997</v>
      </c>
      <c r="HW779" s="323">
        <f t="shared" si="1129"/>
        <v>43.079254544999998</v>
      </c>
      <c r="HX779" s="323">
        <f t="shared" si="1129"/>
        <v>46.936622573999998</v>
      </c>
      <c r="HY779" s="323"/>
      <c r="HZ779" s="326"/>
      <c r="IA779" s="1232" t="s">
        <v>480</v>
      </c>
      <c r="IB779" s="284">
        <f t="shared" si="1010"/>
        <v>62.623772291999998</v>
      </c>
      <c r="IC779" s="279">
        <f t="shared" si="1011"/>
        <v>63.134929590999995</v>
      </c>
      <c r="ID779" s="323">
        <f t="shared" si="907"/>
        <v>125.75870188299999</v>
      </c>
      <c r="IE779" s="279">
        <f t="shared" si="1012"/>
        <v>70.040310499</v>
      </c>
      <c r="IF779" s="279">
        <f t="shared" si="1013"/>
        <v>66.979155495000001</v>
      </c>
      <c r="IG779" s="323">
        <f t="shared" si="880"/>
        <v>137.019465994</v>
      </c>
      <c r="IH779" s="284">
        <f t="shared" si="1014"/>
        <v>86.557809864077228</v>
      </c>
      <c r="II779" s="279">
        <f t="shared" si="1015"/>
        <v>80.358697639992201</v>
      </c>
      <c r="IJ779" s="323">
        <f t="shared" si="881"/>
        <v>166.91650750406944</v>
      </c>
      <c r="IK779" s="327">
        <f t="shared" si="1016"/>
        <v>81.143186128434579</v>
      </c>
      <c r="IL779" s="279">
        <f t="shared" si="1017"/>
        <v>80.432576166983949</v>
      </c>
      <c r="IM779" s="323">
        <f t="shared" si="882"/>
        <v>161.57576229541854</v>
      </c>
      <c r="IN779" s="279">
        <f t="shared" si="1018"/>
        <v>86.337851567311915</v>
      </c>
      <c r="IO779" s="279">
        <f t="shared" si="1019"/>
        <v>91.548619895772831</v>
      </c>
      <c r="IP779" s="323">
        <f t="shared" si="883"/>
        <v>177.88647146308475</v>
      </c>
      <c r="IQ779" s="327">
        <f t="shared" si="1020"/>
        <v>106.27870879533</v>
      </c>
      <c r="IR779" s="327">
        <f t="shared" si="1021"/>
        <v>108.69933563467001</v>
      </c>
      <c r="IS779" s="323">
        <f t="shared" si="884"/>
        <v>214.97804443000001</v>
      </c>
      <c r="IT779" s="327">
        <f t="shared" si="1022"/>
        <v>115.70438838553682</v>
      </c>
      <c r="IU779" s="327">
        <f t="shared" si="1023"/>
        <v>97.603450191000007</v>
      </c>
      <c r="IV779" s="323">
        <f t="shared" si="885"/>
        <v>213.30783857653682</v>
      </c>
      <c r="IW779" s="327">
        <f t="shared" si="1024"/>
        <v>125.1549261850182</v>
      </c>
      <c r="IX779" s="327">
        <f t="shared" si="868"/>
        <v>118.11981445838184</v>
      </c>
      <c r="IY779" s="323">
        <f>IW779+IX779</f>
        <v>243.27474064340004</v>
      </c>
      <c r="IZ779" s="327">
        <f t="shared" si="869"/>
        <v>126.73384191202365</v>
      </c>
      <c r="JA779" s="327">
        <f t="shared" si="870"/>
        <v>132.05017258371234</v>
      </c>
      <c r="JB779" s="323">
        <f t="shared" si="887"/>
        <v>258.78401449573596</v>
      </c>
      <c r="JC779" s="327">
        <f t="shared" si="871"/>
        <v>160.95586052362202</v>
      </c>
      <c r="JD779" s="327">
        <f t="shared" si="872"/>
        <v>168.99422692799999</v>
      </c>
      <c r="JE779" s="323">
        <f t="shared" si="888"/>
        <v>329.95008745162204</v>
      </c>
      <c r="JF779" s="327">
        <f t="shared" si="908"/>
        <v>186.14594443499999</v>
      </c>
      <c r="JG779" s="327">
        <f t="shared" si="918"/>
        <v>192.38110464600908</v>
      </c>
      <c r="JH779" s="323">
        <f t="shared" si="889"/>
        <v>378.52704908100907</v>
      </c>
      <c r="JI779" s="327">
        <f t="shared" si="909"/>
        <v>204.64915182599998</v>
      </c>
      <c r="JJ779" s="327">
        <f t="shared" si="910"/>
        <v>224.7473088899998</v>
      </c>
      <c r="JK779" s="323">
        <f t="shared" si="890"/>
        <v>429.39646071599975</v>
      </c>
      <c r="JL779" s="327">
        <f t="shared" si="891"/>
        <v>261.86625534399997</v>
      </c>
      <c r="JM779" s="279">
        <f t="shared" si="892"/>
        <v>275.06248539481402</v>
      </c>
      <c r="JN779" s="323">
        <f>FISC!AK1085</f>
        <v>536.92874073881399</v>
      </c>
      <c r="JO779" s="327">
        <f>JQ779*0.482</f>
        <v>299.97449937868851</v>
      </c>
      <c r="JP779" s="279">
        <f t="shared" si="893"/>
        <v>322.37923377211757</v>
      </c>
      <c r="JQ779" s="323">
        <f>FISC!AL1085</f>
        <v>622.35373315080608</v>
      </c>
      <c r="JR779" s="327">
        <f t="shared" si="919"/>
        <v>338.12445718088708</v>
      </c>
      <c r="JS779" s="279">
        <f t="shared" si="894"/>
        <v>366.30149527929433</v>
      </c>
      <c r="JT779" s="323">
        <f>FISC!AM1085</f>
        <v>704.42595246018141</v>
      </c>
      <c r="JU779" s="327">
        <f t="shared" si="920"/>
        <v>382.38679807745956</v>
      </c>
      <c r="JV779" s="279">
        <f t="shared" si="911"/>
        <v>414.25236458391458</v>
      </c>
      <c r="JW779" s="323">
        <f>FISC!AN1085</f>
        <v>796.63916266137414</v>
      </c>
      <c r="JX779" s="327">
        <f t="shared" si="921"/>
        <v>442.79688531271461</v>
      </c>
      <c r="JY779" s="279">
        <f t="shared" si="895"/>
        <v>479.69662575544089</v>
      </c>
      <c r="JZ779" s="323">
        <f>FISC!AO1085</f>
        <v>922.4935110681555</v>
      </c>
      <c r="KA779" s="327">
        <f t="shared" si="1106"/>
        <v>477.10440080174988</v>
      </c>
      <c r="KB779" s="279">
        <f t="shared" si="1107"/>
        <v>516.86310086856236</v>
      </c>
      <c r="KC779" s="323">
        <f>FISC!AP1085</f>
        <v>993.96750167031223</v>
      </c>
      <c r="KD779" s="327">
        <f t="shared" si="1108"/>
        <v>506.19355289062281</v>
      </c>
      <c r="KE779" s="279">
        <f t="shared" si="1109"/>
        <v>548.37634896484133</v>
      </c>
      <c r="KF779" s="323">
        <f>FISC!AQ1085</f>
        <v>1054.5699018554642</v>
      </c>
      <c r="KG779" s="327">
        <f t="shared" si="1110"/>
        <v>550.12226408157824</v>
      </c>
      <c r="KH779" s="279">
        <f t="shared" si="1111"/>
        <v>595.96578608837638</v>
      </c>
      <c r="KI779" s="323">
        <f>FISC!AR1085</f>
        <v>1146.0880501699546</v>
      </c>
      <c r="KJ779" s="327">
        <f t="shared" si="1112"/>
        <v>663.18285060923847</v>
      </c>
      <c r="KK779" s="279">
        <f t="shared" si="1113"/>
        <v>718.4480881600083</v>
      </c>
      <c r="KL779" s="323">
        <f>FISC!AS1085</f>
        <v>1381.6309387692468</v>
      </c>
      <c r="KM779" s="327">
        <f t="shared" si="1114"/>
        <v>899.18246777261993</v>
      </c>
      <c r="KN779" s="279">
        <f t="shared" si="1115"/>
        <v>974.11434008700508</v>
      </c>
      <c r="KO779" s="323">
        <f>FISC!AT1085</f>
        <v>1873.296807859625</v>
      </c>
      <c r="KU779" s="326"/>
      <c r="KV779" s="327"/>
    </row>
    <row r="780" spans="1:308">
      <c r="A780" s="279"/>
      <c r="D780" s="1416" t="s">
        <v>3699</v>
      </c>
      <c r="E780" s="323"/>
      <c r="F780" s="323"/>
      <c r="G780" s="323"/>
      <c r="H780" s="323"/>
      <c r="I780" s="323"/>
      <c r="J780" s="323"/>
      <c r="K780" s="323"/>
      <c r="L780" s="323"/>
      <c r="M780" s="323"/>
      <c r="N780" s="323"/>
      <c r="O780" s="323"/>
      <c r="P780" s="323"/>
      <c r="Q780" s="323"/>
      <c r="R780" s="323"/>
      <c r="S780" s="323"/>
      <c r="T780" s="323"/>
      <c r="U780" s="323"/>
      <c r="V780" s="323"/>
      <c r="W780" s="323"/>
      <c r="X780" s="323"/>
      <c r="Y780" s="323"/>
      <c r="Z780" s="323"/>
      <c r="AA780" s="323"/>
      <c r="AB780" s="323"/>
      <c r="AC780" s="323"/>
      <c r="AD780" s="323"/>
      <c r="AE780" s="323"/>
      <c r="AF780" s="323"/>
      <c r="AG780" s="323"/>
      <c r="AH780" s="323"/>
      <c r="AI780" s="323"/>
      <c r="AJ780" s="323"/>
      <c r="AK780" s="323"/>
      <c r="AL780" s="323"/>
      <c r="AM780" s="323"/>
      <c r="AN780" s="323"/>
      <c r="AO780" s="323"/>
      <c r="AP780" s="323"/>
      <c r="AQ780" s="323"/>
      <c r="AR780" s="323"/>
      <c r="AS780" s="323"/>
      <c r="AT780" s="323"/>
      <c r="AU780" s="323"/>
      <c r="AV780" s="323"/>
      <c r="AW780" s="323"/>
      <c r="AX780" s="323"/>
      <c r="AY780" s="323"/>
      <c r="AZ780" s="323"/>
      <c r="BA780" s="323"/>
      <c r="BB780" s="323"/>
      <c r="BC780" s="323"/>
      <c r="BD780" s="323"/>
      <c r="BE780" s="323"/>
      <c r="BF780" s="323"/>
      <c r="BG780" s="323"/>
      <c r="BH780" s="323"/>
      <c r="BI780" s="323"/>
      <c r="BJ780" s="323"/>
      <c r="BK780" s="323"/>
      <c r="BL780" s="323"/>
      <c r="BM780" s="323"/>
      <c r="BN780" s="323"/>
      <c r="BO780" s="323"/>
      <c r="BP780" s="323"/>
      <c r="BQ780" s="323"/>
      <c r="BR780" s="323"/>
      <c r="BS780" s="323"/>
      <c r="BT780" s="323"/>
      <c r="BU780" s="323"/>
      <c r="BV780" s="323"/>
      <c r="BW780" s="323"/>
      <c r="BX780" s="323"/>
      <c r="BY780" s="323"/>
      <c r="BZ780" s="323"/>
      <c r="CA780" s="323"/>
      <c r="CB780" s="323"/>
      <c r="CC780" s="323"/>
      <c r="CD780" s="329"/>
      <c r="CE780" s="323"/>
      <c r="CF780" s="323"/>
      <c r="CG780" s="323"/>
      <c r="CH780" s="323"/>
      <c r="CI780" s="323"/>
      <c r="CJ780" s="323"/>
      <c r="CK780" s="323"/>
      <c r="CL780" s="323"/>
      <c r="CM780" s="323"/>
      <c r="CN780" s="323"/>
      <c r="CO780" s="323"/>
      <c r="CP780" s="325"/>
      <c r="CQ780" s="323"/>
      <c r="CR780" s="323"/>
      <c r="CS780" s="323"/>
      <c r="CT780" s="323"/>
      <c r="CU780" s="323"/>
      <c r="CV780" s="323"/>
      <c r="CW780" s="323"/>
      <c r="CX780" s="323"/>
      <c r="CY780" s="323"/>
      <c r="CZ780" s="323"/>
      <c r="DA780" s="323"/>
      <c r="DB780" s="1269"/>
      <c r="DC780" s="323"/>
      <c r="DD780" s="323"/>
      <c r="DE780" s="323"/>
      <c r="DF780" s="323"/>
      <c r="DG780" s="323"/>
      <c r="DH780" s="323"/>
      <c r="DI780" s="323"/>
      <c r="DJ780" s="323"/>
      <c r="DK780" s="323"/>
      <c r="DL780" s="323"/>
      <c r="DM780" s="323"/>
      <c r="DN780" s="325"/>
      <c r="DO780" s="323"/>
      <c r="DP780" s="323"/>
      <c r="DQ780" s="323"/>
      <c r="DR780" s="323"/>
      <c r="DS780" s="323"/>
      <c r="DT780" s="323"/>
      <c r="DU780" s="323"/>
      <c r="DV780" s="323"/>
      <c r="DW780" s="323"/>
      <c r="DX780" s="323"/>
      <c r="DY780" s="323"/>
      <c r="DZ780" s="325"/>
      <c r="EA780" s="323"/>
      <c r="EB780" s="323"/>
      <c r="EC780" s="323"/>
      <c r="ED780" s="323"/>
      <c r="EE780" s="323"/>
      <c r="EF780" s="323"/>
      <c r="EG780" s="323"/>
      <c r="EH780" s="323"/>
      <c r="EI780" s="323"/>
      <c r="EJ780" s="323"/>
      <c r="EK780" s="323"/>
      <c r="EL780" s="325"/>
      <c r="EM780" s="323"/>
      <c r="EN780" s="323"/>
      <c r="EO780" s="323"/>
      <c r="EP780" s="323"/>
      <c r="EQ780" s="323"/>
      <c r="ER780" s="323"/>
      <c r="ES780" s="323"/>
      <c r="ET780" s="323"/>
      <c r="EU780" s="323"/>
      <c r="EV780" s="323"/>
      <c r="EW780" s="323"/>
      <c r="EX780" s="325"/>
      <c r="EY780" s="323"/>
      <c r="EZ780" s="323"/>
      <c r="FA780" s="323"/>
      <c r="FB780" s="323"/>
      <c r="FC780" s="323"/>
      <c r="FD780" s="323"/>
      <c r="FE780" s="323"/>
      <c r="FF780" s="323"/>
      <c r="FG780" s="323"/>
      <c r="FH780" s="323"/>
      <c r="FI780" s="323"/>
      <c r="FJ780" s="325"/>
      <c r="FK780" s="323"/>
      <c r="FL780" s="323"/>
      <c r="FM780" s="323"/>
      <c r="FN780" s="323"/>
      <c r="FO780" s="323"/>
      <c r="FP780" s="323"/>
      <c r="FQ780" s="323"/>
      <c r="FR780" s="323"/>
      <c r="FS780" s="323"/>
      <c r="FT780" s="323"/>
      <c r="FU780" s="323"/>
      <c r="FV780" s="323"/>
      <c r="FW780" s="323"/>
      <c r="FX780" s="323"/>
      <c r="FY780" s="323"/>
      <c r="FZ780" s="323"/>
      <c r="GA780" s="323"/>
      <c r="GB780" s="323"/>
      <c r="GC780" s="323"/>
      <c r="GD780" s="323"/>
      <c r="GE780" s="323"/>
      <c r="GF780" s="323"/>
      <c r="GG780" s="323"/>
      <c r="GH780" s="323"/>
      <c r="GI780" s="323">
        <f>GI377</f>
        <v>11.835811386040781</v>
      </c>
      <c r="GJ780" s="323">
        <f t="shared" ref="GJ780:HR780" si="1130">GJ377</f>
        <v>16.368825286186244</v>
      </c>
      <c r="GK780" s="323">
        <f t="shared" si="1130"/>
        <v>18.626655494597099</v>
      </c>
      <c r="GL780" s="323">
        <f t="shared" si="1130"/>
        <v>15.247610541046223</v>
      </c>
      <c r="GM780" s="323">
        <f t="shared" si="1130"/>
        <v>15.180324250881009</v>
      </c>
      <c r="GN780" s="323">
        <f t="shared" si="1130"/>
        <v>18.857287339903351</v>
      </c>
      <c r="GO780" s="323">
        <f t="shared" si="1130"/>
        <v>14.022337529</v>
      </c>
      <c r="GP780" s="323">
        <f t="shared" si="1130"/>
        <v>16.603586373999999</v>
      </c>
      <c r="GQ780" s="323">
        <f t="shared" si="1130"/>
        <v>18.000881171</v>
      </c>
      <c r="GR780" s="323">
        <f t="shared" si="1130"/>
        <v>15.797242635</v>
      </c>
      <c r="GS780" s="323">
        <f t="shared" si="1130"/>
        <v>18.061040444</v>
      </c>
      <c r="GT780" s="323">
        <f t="shared" si="1130"/>
        <v>18.423771622</v>
      </c>
      <c r="GU780" s="323">
        <f t="shared" si="1130"/>
        <v>19.517355107049998</v>
      </c>
      <c r="GV780" s="323">
        <f t="shared" si="1130"/>
        <v>19.299225045250001</v>
      </c>
      <c r="GW780" s="323">
        <f t="shared" si="1130"/>
        <v>18.060882726749998</v>
      </c>
      <c r="GX780" s="323">
        <f t="shared" si="1130"/>
        <v>17.678909647799998</v>
      </c>
      <c r="GY780" s="323">
        <f t="shared" si="1130"/>
        <v>17.581841311750001</v>
      </c>
      <c r="GZ780" s="323">
        <f t="shared" si="1130"/>
        <v>19.34944360575</v>
      </c>
      <c r="HA780" s="323">
        <f t="shared" si="1130"/>
        <v>20.279060251000001</v>
      </c>
      <c r="HB780" s="323">
        <f t="shared" si="1130"/>
        <v>17.884521598880003</v>
      </c>
      <c r="HC780" s="323">
        <f t="shared" si="1130"/>
        <v>20.93994063577</v>
      </c>
      <c r="HD780" s="323">
        <f t="shared" si="1130"/>
        <v>21.216653540599999</v>
      </c>
      <c r="HE780" s="323">
        <f t="shared" si="1130"/>
        <v>22.542889310450001</v>
      </c>
      <c r="HF780" s="323">
        <f t="shared" si="1130"/>
        <v>24.683743775949718</v>
      </c>
      <c r="HG780" s="323">
        <f>HG377</f>
        <v>18.732350756999999</v>
      </c>
      <c r="HH780" s="323">
        <f t="shared" si="1130"/>
        <v>19.765273656000002</v>
      </c>
      <c r="HI780" s="323">
        <f t="shared" si="1130"/>
        <v>18.411886663000001</v>
      </c>
      <c r="HJ780" s="323">
        <f t="shared" si="1130"/>
        <v>18.721700053999999</v>
      </c>
      <c r="HK780" s="323">
        <f t="shared" si="1130"/>
        <v>18.284817916000002</v>
      </c>
      <c r="HL780" s="323">
        <f t="shared" si="1130"/>
        <v>19.653992529</v>
      </c>
      <c r="HM780" s="323">
        <f t="shared" si="1130"/>
        <v>19.45731155</v>
      </c>
      <c r="HN780" s="323">
        <f t="shared" si="1130"/>
        <v>19.138700149000002</v>
      </c>
      <c r="HO780" s="323">
        <f t="shared" si="1130"/>
        <v>19.899002755000001</v>
      </c>
      <c r="HP780" s="323">
        <f t="shared" si="1130"/>
        <v>18.346471637</v>
      </c>
      <c r="HQ780" s="323">
        <f t="shared" si="1130"/>
        <v>19.077167491000029</v>
      </c>
      <c r="HR780" s="323">
        <f t="shared" si="1130"/>
        <v>22.915633951999968</v>
      </c>
      <c r="HS780" s="323">
        <f t="shared" ref="HS780:HX780" si="1131">HS377</f>
        <v>13.635684697</v>
      </c>
      <c r="HT780" s="323">
        <f t="shared" si="1131"/>
        <v>14.705594176</v>
      </c>
      <c r="HU780" s="323">
        <f t="shared" si="1131"/>
        <v>14.866858227</v>
      </c>
      <c r="HV780" s="323">
        <f t="shared" si="1131"/>
        <v>15.932352476</v>
      </c>
      <c r="HW780" s="323">
        <f t="shared" si="1131"/>
        <v>14.410444085</v>
      </c>
      <c r="HX780" s="323">
        <f t="shared" si="1131"/>
        <v>17.113375629</v>
      </c>
      <c r="HY780" s="323"/>
      <c r="HZ780" s="326"/>
      <c r="IA780" s="1416" t="s">
        <v>3699</v>
      </c>
      <c r="IB780" s="284">
        <f t="shared" ref="IB780:IB784" si="1132">SUM(CE780:CJ780)</f>
        <v>0</v>
      </c>
      <c r="IC780" s="279">
        <f t="shared" ref="IC780:IC784" si="1133">SUM(CK780:CP780)</f>
        <v>0</v>
      </c>
      <c r="ID780" s="323">
        <f t="shared" ref="ID780:ID784" si="1134">IB780+IC780</f>
        <v>0</v>
      </c>
      <c r="IE780" s="279">
        <f t="shared" ref="IE780:IE784" si="1135">SUM(CQ780:CV780)</f>
        <v>0</v>
      </c>
      <c r="IF780" s="279">
        <f t="shared" ref="IF780:IF784" si="1136">SUM(CW780:DB780)</f>
        <v>0</v>
      </c>
      <c r="IG780" s="323">
        <f t="shared" ref="IG780:IG784" si="1137">IE780+IF780</f>
        <v>0</v>
      </c>
      <c r="IH780" s="284">
        <f t="shared" ref="IH780:IH784" si="1138">SUM(DC780:DH780)</f>
        <v>0</v>
      </c>
      <c r="II780" s="279">
        <f t="shared" ref="II780:II784" si="1139">SUM(DI780:DN780)</f>
        <v>0</v>
      </c>
      <c r="IJ780" s="323">
        <f t="shared" ref="IJ780:IJ784" si="1140">IH780+II780</f>
        <v>0</v>
      </c>
      <c r="IK780" s="327">
        <f t="shared" ref="IK780:IK784" si="1141">SUM(DO780:DT780)</f>
        <v>0</v>
      </c>
      <c r="IL780" s="279">
        <f t="shared" ref="IL780:IL784" si="1142">SUM(DU780:DZ780)</f>
        <v>0</v>
      </c>
      <c r="IM780" s="323">
        <f t="shared" ref="IM780:IM784" si="1143">IK780+IL780</f>
        <v>0</v>
      </c>
      <c r="IN780" s="279">
        <f t="shared" ref="IN780:IN784" si="1144">SUM(EA780:EF780)</f>
        <v>0</v>
      </c>
      <c r="IO780" s="279">
        <f t="shared" ref="IO780:IO784" si="1145">SUM(EG780:EL780)</f>
        <v>0</v>
      </c>
      <c r="IP780" s="323">
        <f t="shared" ref="IP780:IP784" si="1146">IN780+IO780</f>
        <v>0</v>
      </c>
      <c r="IQ780" s="327">
        <f t="shared" ref="IQ780:IQ784" si="1147">SUM(EM780:ER780)</f>
        <v>0</v>
      </c>
      <c r="IR780" s="327">
        <f t="shared" ref="IR780:IR784" si="1148">SUM(ES780:EX780)</f>
        <v>0</v>
      </c>
      <c r="IS780" s="323">
        <f t="shared" ref="IS780:IS784" si="1149">IQ780+IR780</f>
        <v>0</v>
      </c>
      <c r="IT780" s="327">
        <f t="shared" ref="IT780:IT784" si="1150">SUM(EY780:FD780)</f>
        <v>0</v>
      </c>
      <c r="IU780" s="327">
        <f t="shared" ref="IU780:IU784" si="1151">SUM(FE780:FJ780)</f>
        <v>0</v>
      </c>
      <c r="IV780" s="323">
        <f t="shared" ref="IV780:IV784" si="1152">IT780+IU780</f>
        <v>0</v>
      </c>
      <c r="IW780" s="327">
        <f t="shared" ref="IW780:IW784" si="1153">SUM(FK780:FP780)</f>
        <v>0</v>
      </c>
      <c r="IX780" s="327">
        <f t="shared" ref="IX780:IX784" si="1154">SUM(FQ780:FV780)</f>
        <v>0</v>
      </c>
      <c r="IY780" s="323">
        <f t="shared" ref="IY780:IY784" si="1155">IW780+IX780</f>
        <v>0</v>
      </c>
      <c r="IZ780" s="327">
        <f t="shared" ref="IZ780:IZ784" si="1156">SUM(FW780:GB780)</f>
        <v>0</v>
      </c>
      <c r="JA780" s="327">
        <f t="shared" ref="JA780:JA784" si="1157">SUM(GC780:GH780)</f>
        <v>0</v>
      </c>
      <c r="JB780" s="323">
        <f t="shared" ref="JB780:JB784" si="1158">IZ780+JA780</f>
        <v>0</v>
      </c>
      <c r="JC780" s="327">
        <f t="shared" ref="JC780:JC784" si="1159">SUM(GI780:GN780)</f>
        <v>96.116514298654707</v>
      </c>
      <c r="JD780" s="327">
        <f t="shared" ref="JD780:JD784" si="1160">SUM(GO780:GT780)</f>
        <v>100.90885977500001</v>
      </c>
      <c r="JE780" s="323">
        <f t="shared" ref="JE780:JE784" si="1161">JC780+JD780</f>
        <v>197.02537407365472</v>
      </c>
      <c r="JF780" s="327">
        <f t="shared" ref="JF780:JF784" si="1162">SUM(GU780:GZ780)</f>
        <v>111.48765744434999</v>
      </c>
      <c r="JG780" s="327">
        <f t="shared" ref="JG780:JG784" si="1163">SUM(HA780:HF780)</f>
        <v>127.54680911264973</v>
      </c>
      <c r="JH780" s="323">
        <f t="shared" ref="JH780:JH784" si="1164">JF780+JG780</f>
        <v>239.03446655699972</v>
      </c>
      <c r="JI780" s="327">
        <f t="shared" ref="JI780:JI784" si="1165">SUM(HG780:HL780)</f>
        <v>113.570021575</v>
      </c>
      <c r="JJ780" s="327">
        <f t="shared" si="910"/>
        <v>118.834287534</v>
      </c>
      <c r="JK780" s="323">
        <f t="shared" si="890"/>
        <v>232.404309109</v>
      </c>
      <c r="JL780" s="327">
        <f t="shared" si="891"/>
        <v>90.664309290000006</v>
      </c>
      <c r="JM780" s="279">
        <f t="shared" si="892"/>
        <v>-66.758704177352769</v>
      </c>
      <c r="JN780" s="323">
        <f>FISC!AK1086</f>
        <v>23.90560511264723</v>
      </c>
      <c r="JO780" s="327"/>
      <c r="JQ780" s="323">
        <f>FISC!AL1086</f>
        <v>25.716188678026072</v>
      </c>
      <c r="JR780" s="327"/>
      <c r="JT780" s="323">
        <f>FISC!AM1086</f>
        <v>27.480798170159606</v>
      </c>
      <c r="JU780" s="327"/>
      <c r="JW780" s="323">
        <f>FISC!AN1086</f>
        <v>29.026387972281828</v>
      </c>
      <c r="JX780" s="327"/>
      <c r="JZ780" s="323">
        <f>FISC!AO1086</f>
        <v>30.466305167040503</v>
      </c>
      <c r="KA780" s="327"/>
      <c r="KC780" s="323">
        <f>FISC!AP1086</f>
        <v>33.130362188368132</v>
      </c>
      <c r="KD780" s="327"/>
      <c r="KF780" s="323">
        <f>FISC!AQ1086</f>
        <v>36.642844116255866</v>
      </c>
      <c r="KG780" s="327"/>
      <c r="KI780" s="323">
        <f>FISC!AR1086</f>
        <v>41.162188886295894</v>
      </c>
      <c r="KJ780" s="327"/>
      <c r="KL780" s="323">
        <f>FISC!AS1086</f>
        <v>46.189297808214462</v>
      </c>
      <c r="KM780" s="327"/>
      <c r="KO780" s="323">
        <f>FISC!AT1086</f>
        <v>51.738043465818002</v>
      </c>
      <c r="KU780" s="326"/>
      <c r="KV780" s="327"/>
    </row>
    <row r="781" spans="1:308">
      <c r="A781" s="279"/>
      <c r="D781" s="1415" t="s">
        <v>3692</v>
      </c>
      <c r="E781" s="323"/>
      <c r="F781" s="323"/>
      <c r="G781" s="323"/>
      <c r="H781" s="323"/>
      <c r="I781" s="323"/>
      <c r="J781" s="323"/>
      <c r="K781" s="323"/>
      <c r="L781" s="323"/>
      <c r="M781" s="323"/>
      <c r="N781" s="323"/>
      <c r="O781" s="323"/>
      <c r="P781" s="323"/>
      <c r="Q781" s="323"/>
      <c r="R781" s="323"/>
      <c r="S781" s="323"/>
      <c r="T781" s="323"/>
      <c r="U781" s="323"/>
      <c r="V781" s="323"/>
      <c r="W781" s="323"/>
      <c r="X781" s="323"/>
      <c r="Y781" s="323"/>
      <c r="Z781" s="323"/>
      <c r="AA781" s="323"/>
      <c r="AB781" s="323"/>
      <c r="AC781" s="323"/>
      <c r="AD781" s="323"/>
      <c r="AE781" s="323"/>
      <c r="AF781" s="323"/>
      <c r="AG781" s="323"/>
      <c r="AH781" s="323"/>
      <c r="AI781" s="323"/>
      <c r="AJ781" s="323"/>
      <c r="AK781" s="323"/>
      <c r="AL781" s="323"/>
      <c r="AM781" s="323"/>
      <c r="AN781" s="323"/>
      <c r="AO781" s="323"/>
      <c r="AP781" s="323"/>
      <c r="AQ781" s="323"/>
      <c r="AR781" s="323"/>
      <c r="AS781" s="323"/>
      <c r="AT781" s="323"/>
      <c r="AU781" s="323"/>
      <c r="AV781" s="323"/>
      <c r="AW781" s="323"/>
      <c r="AX781" s="323"/>
      <c r="AY781" s="323"/>
      <c r="AZ781" s="323"/>
      <c r="BA781" s="323"/>
      <c r="BB781" s="323"/>
      <c r="BC781" s="323"/>
      <c r="BD781" s="323"/>
      <c r="BE781" s="323"/>
      <c r="BF781" s="323"/>
      <c r="BG781" s="323"/>
      <c r="BH781" s="323"/>
      <c r="BI781" s="323"/>
      <c r="BJ781" s="323"/>
      <c r="BK781" s="323"/>
      <c r="BL781" s="323"/>
      <c r="BM781" s="323"/>
      <c r="BN781" s="323"/>
      <c r="BO781" s="323"/>
      <c r="BP781" s="323"/>
      <c r="BQ781" s="323"/>
      <c r="BR781" s="323"/>
      <c r="BS781" s="323"/>
      <c r="BT781" s="323"/>
      <c r="BU781" s="323"/>
      <c r="BV781" s="323"/>
      <c r="BW781" s="323"/>
      <c r="BX781" s="323"/>
      <c r="BY781" s="323"/>
      <c r="BZ781" s="323"/>
      <c r="CA781" s="323"/>
      <c r="CB781" s="323"/>
      <c r="CC781" s="323"/>
      <c r="CD781" s="329"/>
      <c r="CE781" s="323"/>
      <c r="CF781" s="323"/>
      <c r="CG781" s="323"/>
      <c r="CH781" s="323"/>
      <c r="CI781" s="323"/>
      <c r="CJ781" s="323"/>
      <c r="CK781" s="323"/>
      <c r="CL781" s="323"/>
      <c r="CM781" s="323"/>
      <c r="CN781" s="323"/>
      <c r="CO781" s="323"/>
      <c r="CP781" s="325"/>
      <c r="CQ781" s="323"/>
      <c r="CR781" s="323"/>
      <c r="CS781" s="323"/>
      <c r="CT781" s="323"/>
      <c r="CU781" s="323"/>
      <c r="CV781" s="323"/>
      <c r="CW781" s="323"/>
      <c r="CX781" s="323"/>
      <c r="CY781" s="323"/>
      <c r="CZ781" s="323"/>
      <c r="DA781" s="323"/>
      <c r="DB781" s="1269"/>
      <c r="DC781" s="323"/>
      <c r="DD781" s="323"/>
      <c r="DE781" s="323"/>
      <c r="DF781" s="323"/>
      <c r="DG781" s="323"/>
      <c r="DH781" s="323"/>
      <c r="DI781" s="323"/>
      <c r="DJ781" s="323"/>
      <c r="DK781" s="323"/>
      <c r="DL781" s="323"/>
      <c r="DM781" s="323"/>
      <c r="DN781" s="325"/>
      <c r="DO781" s="323"/>
      <c r="DP781" s="323"/>
      <c r="DQ781" s="323"/>
      <c r="DR781" s="323"/>
      <c r="DS781" s="323"/>
      <c r="DT781" s="323"/>
      <c r="DU781" s="323"/>
      <c r="DV781" s="323"/>
      <c r="DW781" s="323"/>
      <c r="DX781" s="323"/>
      <c r="DY781" s="323"/>
      <c r="DZ781" s="325"/>
      <c r="EA781" s="323"/>
      <c r="EB781" s="323"/>
      <c r="EC781" s="323"/>
      <c r="ED781" s="323"/>
      <c r="EE781" s="323"/>
      <c r="EF781" s="323"/>
      <c r="EG781" s="323"/>
      <c r="EH781" s="323"/>
      <c r="EI781" s="323"/>
      <c r="EJ781" s="323"/>
      <c r="EK781" s="323"/>
      <c r="EL781" s="325"/>
      <c r="EM781" s="323"/>
      <c r="EN781" s="323"/>
      <c r="EO781" s="323"/>
      <c r="EP781" s="323"/>
      <c r="EQ781" s="323"/>
      <c r="ER781" s="323"/>
      <c r="ES781" s="323"/>
      <c r="ET781" s="323"/>
      <c r="EU781" s="323"/>
      <c r="EV781" s="323"/>
      <c r="EW781" s="323"/>
      <c r="EX781" s="325"/>
      <c r="EY781" s="323"/>
      <c r="EZ781" s="323"/>
      <c r="FA781" s="323"/>
      <c r="FB781" s="323"/>
      <c r="FC781" s="323"/>
      <c r="FD781" s="323"/>
      <c r="FE781" s="323"/>
      <c r="FF781" s="323"/>
      <c r="FG781" s="323"/>
      <c r="FH781" s="323"/>
      <c r="FI781" s="323"/>
      <c r="FJ781" s="325"/>
      <c r="FK781" s="323"/>
      <c r="FL781" s="323"/>
      <c r="FM781" s="323"/>
      <c r="FN781" s="323"/>
      <c r="FO781" s="323"/>
      <c r="FP781" s="323"/>
      <c r="FQ781" s="323"/>
      <c r="FR781" s="323"/>
      <c r="FS781" s="323"/>
      <c r="FT781" s="323"/>
      <c r="FU781" s="323"/>
      <c r="FV781" s="323"/>
      <c r="FW781" s="323"/>
      <c r="FX781" s="323"/>
      <c r="FY781" s="323"/>
      <c r="FZ781" s="323"/>
      <c r="GA781" s="323"/>
      <c r="GB781" s="323"/>
      <c r="GC781" s="323"/>
      <c r="GD781" s="323"/>
      <c r="GE781" s="323"/>
      <c r="GF781" s="323"/>
      <c r="GG781" s="323"/>
      <c r="GH781" s="323"/>
      <c r="GI781" s="323">
        <v>7.1887379006929368</v>
      </c>
      <c r="GJ781" s="323">
        <v>11.347241844020623</v>
      </c>
      <c r="GK781" s="323">
        <v>13.686550857194634</v>
      </c>
      <c r="GL781" s="323">
        <v>10.569632087498746</v>
      </c>
      <c r="GM781" s="323">
        <v>11.060746960727158</v>
      </c>
      <c r="GN781" s="323">
        <v>12.561918312933836</v>
      </c>
      <c r="GO781" s="323">
        <v>11.764287033</v>
      </c>
      <c r="GP781" s="323">
        <v>11.343624119999999</v>
      </c>
      <c r="GQ781" s="323">
        <v>13.733666679000001</v>
      </c>
      <c r="GR781" s="323">
        <v>11.12984047</v>
      </c>
      <c r="GS781" s="323">
        <v>12.820111701</v>
      </c>
      <c r="GT781" s="323">
        <v>13.343047703</v>
      </c>
      <c r="GU781" s="323">
        <v>12.179096483</v>
      </c>
      <c r="GV781" s="323">
        <v>13.792608605</v>
      </c>
      <c r="GW781" s="323">
        <v>12.581864399000001</v>
      </c>
      <c r="GX781" s="323">
        <v>13.004489758</v>
      </c>
      <c r="GY781" s="323">
        <v>12.884854229</v>
      </c>
      <c r="GZ781" s="323">
        <v>12.164321276000001</v>
      </c>
      <c r="HA781" s="323">
        <v>12.751935484000001</v>
      </c>
      <c r="HB781" s="323">
        <v>11.772115047</v>
      </c>
      <c r="HC781" s="323">
        <v>13.463221335</v>
      </c>
      <c r="HD781" s="323">
        <v>12.181658798999999</v>
      </c>
      <c r="HE781" s="323">
        <v>13.369622064</v>
      </c>
      <c r="HF781" s="323">
        <v>14.000802376009071</v>
      </c>
      <c r="HG781" s="323">
        <f t="shared" ref="GS781:HR782" si="1166">HG379</f>
        <v>7.5301155949999998</v>
      </c>
      <c r="HH781" s="323">
        <f t="shared" si="1166"/>
        <v>8.1051394630000004</v>
      </c>
      <c r="HI781" s="323">
        <f t="shared" si="1166"/>
        <v>7.494011414</v>
      </c>
      <c r="HJ781" s="323">
        <f t="shared" si="1166"/>
        <v>7.6185479469999997</v>
      </c>
      <c r="HK781" s="323">
        <f t="shared" si="1166"/>
        <v>7.2424456289999997</v>
      </c>
      <c r="HL781" s="323">
        <f t="shared" si="1166"/>
        <v>7.9957527969999997</v>
      </c>
      <c r="HM781" s="323">
        <f t="shared" si="1166"/>
        <v>7.8314167579999996</v>
      </c>
      <c r="HN781" s="323">
        <f t="shared" si="1166"/>
        <v>7.6252108859999996</v>
      </c>
      <c r="HO781" s="323">
        <f t="shared" si="1166"/>
        <v>7.9537116369999996</v>
      </c>
      <c r="HP781" s="323">
        <f t="shared" si="1166"/>
        <v>7.6626812190000004</v>
      </c>
      <c r="HQ781" s="323">
        <f t="shared" si="1166"/>
        <v>7.9312455770000003</v>
      </c>
      <c r="HR781" s="323">
        <f t="shared" si="1166"/>
        <v>8.0095309490000002</v>
      </c>
      <c r="HS781" s="323">
        <f t="shared" ref="HS781:HX781" si="1167">HS379</f>
        <v>18.758657235000001</v>
      </c>
      <c r="HT781" s="323">
        <f t="shared" si="1167"/>
        <v>19.049017958</v>
      </c>
      <c r="HU781" s="323">
        <f t="shared" si="1167"/>
        <v>19.688566478999999</v>
      </c>
      <c r="HV781" s="323">
        <f t="shared" si="1167"/>
        <v>19.566008928999999</v>
      </c>
      <c r="HW781" s="323">
        <f t="shared" si="1167"/>
        <v>18.061979344000001</v>
      </c>
      <c r="HX781" s="323">
        <f t="shared" si="1167"/>
        <v>20.353049282000001</v>
      </c>
      <c r="HY781" s="323"/>
      <c r="HZ781" s="326"/>
      <c r="IA781" s="1415" t="s">
        <v>3692</v>
      </c>
      <c r="IB781" s="284">
        <f t="shared" si="1132"/>
        <v>0</v>
      </c>
      <c r="IC781" s="279">
        <f t="shared" si="1133"/>
        <v>0</v>
      </c>
      <c r="ID781" s="323">
        <f t="shared" si="1134"/>
        <v>0</v>
      </c>
      <c r="IE781" s="279">
        <f t="shared" si="1135"/>
        <v>0</v>
      </c>
      <c r="IF781" s="279">
        <f t="shared" si="1136"/>
        <v>0</v>
      </c>
      <c r="IG781" s="323">
        <f t="shared" si="1137"/>
        <v>0</v>
      </c>
      <c r="IH781" s="284">
        <f t="shared" si="1138"/>
        <v>0</v>
      </c>
      <c r="II781" s="279">
        <f t="shared" si="1139"/>
        <v>0</v>
      </c>
      <c r="IJ781" s="323">
        <f t="shared" si="1140"/>
        <v>0</v>
      </c>
      <c r="IK781" s="327">
        <f t="shared" si="1141"/>
        <v>0</v>
      </c>
      <c r="IL781" s="279">
        <f t="shared" si="1142"/>
        <v>0</v>
      </c>
      <c r="IM781" s="323">
        <f t="shared" si="1143"/>
        <v>0</v>
      </c>
      <c r="IN781" s="279">
        <f t="shared" si="1144"/>
        <v>0</v>
      </c>
      <c r="IO781" s="279">
        <f t="shared" si="1145"/>
        <v>0</v>
      </c>
      <c r="IP781" s="323">
        <f t="shared" si="1146"/>
        <v>0</v>
      </c>
      <c r="IQ781" s="327">
        <f t="shared" si="1147"/>
        <v>0</v>
      </c>
      <c r="IR781" s="327">
        <f t="shared" si="1148"/>
        <v>0</v>
      </c>
      <c r="IS781" s="323">
        <f t="shared" si="1149"/>
        <v>0</v>
      </c>
      <c r="IT781" s="327">
        <f t="shared" si="1150"/>
        <v>0</v>
      </c>
      <c r="IU781" s="327">
        <f t="shared" si="1151"/>
        <v>0</v>
      </c>
      <c r="IV781" s="323">
        <f t="shared" si="1152"/>
        <v>0</v>
      </c>
      <c r="IW781" s="327">
        <f t="shared" si="1153"/>
        <v>0</v>
      </c>
      <c r="IX781" s="327">
        <f t="shared" si="1154"/>
        <v>0</v>
      </c>
      <c r="IY781" s="323">
        <f t="shared" si="1155"/>
        <v>0</v>
      </c>
      <c r="IZ781" s="327">
        <f t="shared" si="1156"/>
        <v>0</v>
      </c>
      <c r="JA781" s="327">
        <f t="shared" si="1157"/>
        <v>0</v>
      </c>
      <c r="JB781" s="323">
        <f t="shared" si="1158"/>
        <v>0</v>
      </c>
      <c r="JC781" s="327">
        <f t="shared" si="1159"/>
        <v>66.414827963067935</v>
      </c>
      <c r="JD781" s="327">
        <f t="shared" si="1160"/>
        <v>74.134577706000002</v>
      </c>
      <c r="JE781" s="323">
        <f t="shared" si="1161"/>
        <v>140.54940566906794</v>
      </c>
      <c r="JF781" s="327">
        <f t="shared" si="1162"/>
        <v>76.607234750000003</v>
      </c>
      <c r="JG781" s="327">
        <f t="shared" si="1163"/>
        <v>77.539355105009065</v>
      </c>
      <c r="JH781" s="323">
        <f t="shared" si="1164"/>
        <v>154.14658985500907</v>
      </c>
      <c r="JI781" s="327">
        <f t="shared" si="1165"/>
        <v>45.986012845000005</v>
      </c>
      <c r="JJ781" s="327">
        <f t="shared" si="910"/>
        <v>47.013797025999999</v>
      </c>
      <c r="JK781" s="323">
        <f t="shared" si="890"/>
        <v>92.999809870999997</v>
      </c>
      <c r="JL781" s="327">
        <f t="shared" si="891"/>
        <v>115.477279227</v>
      </c>
      <c r="JM781" s="279">
        <f t="shared" si="892"/>
        <v>-15.141150912637087</v>
      </c>
      <c r="JN781" s="323">
        <f>FISC!AK1087</f>
        <v>100.33612831436291</v>
      </c>
      <c r="JO781" s="327"/>
      <c r="JQ781" s="323">
        <f>FISC!AL1087</f>
        <v>119.94403160106025</v>
      </c>
      <c r="JR781" s="327"/>
      <c r="JT781" s="323">
        <f>FISC!AM1087</f>
        <v>126.20452228727881</v>
      </c>
      <c r="JU781" s="327"/>
      <c r="JW781" s="323">
        <f>FISC!AN1087</f>
        <v>132.35110417648482</v>
      </c>
      <c r="JX781" s="327"/>
      <c r="JZ781" s="323">
        <f>FISC!AO1087</f>
        <v>143.21473351148737</v>
      </c>
      <c r="KA781" s="327"/>
      <c r="KC781" s="323">
        <f>FISC!AP1087</f>
        <v>152.88730271554229</v>
      </c>
      <c r="KD781" s="327"/>
      <c r="KF781" s="323">
        <f>FISC!AQ1087</f>
        <v>171.91777930147077</v>
      </c>
      <c r="KG781" s="327"/>
      <c r="KI781" s="323">
        <f>FISC!AR1087</f>
        <v>193.34792281387996</v>
      </c>
      <c r="KJ781" s="327"/>
      <c r="KL781" s="323">
        <f>FISC!AS1087</f>
        <v>217.37537481611687</v>
      </c>
      <c r="KM781" s="327"/>
      <c r="KO781" s="323">
        <f>FISC!AT1087</f>
        <v>244.09947345536784</v>
      </c>
      <c r="KU781" s="326"/>
      <c r="KV781" s="327"/>
    </row>
    <row r="782" spans="1:308">
      <c r="A782" s="279"/>
      <c r="D782" s="2082" t="s">
        <v>3073</v>
      </c>
      <c r="E782" s="323"/>
      <c r="F782" s="323"/>
      <c r="G782" s="323"/>
      <c r="H782" s="323"/>
      <c r="I782" s="323"/>
      <c r="J782" s="323"/>
      <c r="K782" s="323"/>
      <c r="L782" s="323"/>
      <c r="M782" s="323"/>
      <c r="N782" s="323"/>
      <c r="O782" s="323"/>
      <c r="P782" s="323"/>
      <c r="Q782" s="323"/>
      <c r="R782" s="323"/>
      <c r="S782" s="323"/>
      <c r="T782" s="323"/>
      <c r="U782" s="323"/>
      <c r="V782" s="323"/>
      <c r="W782" s="323"/>
      <c r="X782" s="323"/>
      <c r="Y782" s="323"/>
      <c r="Z782" s="323"/>
      <c r="AA782" s="323"/>
      <c r="AB782" s="323"/>
      <c r="AC782" s="323"/>
      <c r="AD782" s="323"/>
      <c r="AE782" s="323"/>
      <c r="AF782" s="323"/>
      <c r="AG782" s="323"/>
      <c r="AH782" s="323"/>
      <c r="AI782" s="323"/>
      <c r="AJ782" s="323"/>
      <c r="AK782" s="323"/>
      <c r="AL782" s="323"/>
      <c r="AM782" s="323"/>
      <c r="AN782" s="323"/>
      <c r="AO782" s="323"/>
      <c r="AP782" s="323"/>
      <c r="AQ782" s="323"/>
      <c r="AR782" s="323"/>
      <c r="AS782" s="323"/>
      <c r="AT782" s="323"/>
      <c r="AU782" s="323"/>
      <c r="AV782" s="323"/>
      <c r="AW782" s="323"/>
      <c r="AX782" s="323"/>
      <c r="AY782" s="323"/>
      <c r="AZ782" s="323"/>
      <c r="BA782" s="323"/>
      <c r="BB782" s="323"/>
      <c r="BC782" s="323"/>
      <c r="BD782" s="323"/>
      <c r="BE782" s="323"/>
      <c r="BF782" s="323"/>
      <c r="BG782" s="323"/>
      <c r="BH782" s="323"/>
      <c r="BI782" s="323"/>
      <c r="BJ782" s="323"/>
      <c r="BK782" s="323"/>
      <c r="BL782" s="323"/>
      <c r="BM782" s="323"/>
      <c r="BN782" s="323"/>
      <c r="BO782" s="323"/>
      <c r="BP782" s="323"/>
      <c r="BQ782" s="323"/>
      <c r="BR782" s="323"/>
      <c r="BS782" s="323"/>
      <c r="BT782" s="323"/>
      <c r="BU782" s="323"/>
      <c r="BV782" s="323"/>
      <c r="BW782" s="323"/>
      <c r="BX782" s="323"/>
      <c r="BY782" s="323"/>
      <c r="BZ782" s="323"/>
      <c r="CA782" s="323"/>
      <c r="CB782" s="323"/>
      <c r="CC782" s="323"/>
      <c r="CD782" s="329"/>
      <c r="CE782" s="323"/>
      <c r="CF782" s="323"/>
      <c r="CG782" s="323"/>
      <c r="CH782" s="323"/>
      <c r="CI782" s="323"/>
      <c r="CJ782" s="323"/>
      <c r="CK782" s="323"/>
      <c r="CL782" s="323"/>
      <c r="CM782" s="323"/>
      <c r="CN782" s="323"/>
      <c r="CO782" s="323"/>
      <c r="CP782" s="325"/>
      <c r="CQ782" s="323"/>
      <c r="CR782" s="323"/>
      <c r="CS782" s="323"/>
      <c r="CT782" s="323"/>
      <c r="CU782" s="323"/>
      <c r="CV782" s="323"/>
      <c r="CW782" s="323"/>
      <c r="CX782" s="323"/>
      <c r="CY782" s="323"/>
      <c r="CZ782" s="323"/>
      <c r="DA782" s="323"/>
      <c r="DB782" s="1269"/>
      <c r="DC782" s="323"/>
      <c r="DD782" s="323"/>
      <c r="DE782" s="323"/>
      <c r="DF782" s="323"/>
      <c r="DG782" s="323"/>
      <c r="DH782" s="323"/>
      <c r="DI782" s="323"/>
      <c r="DJ782" s="323"/>
      <c r="DK782" s="323"/>
      <c r="DL782" s="323"/>
      <c r="DM782" s="323"/>
      <c r="DN782" s="325"/>
      <c r="DO782" s="323"/>
      <c r="DP782" s="323"/>
      <c r="DQ782" s="323"/>
      <c r="DR782" s="323"/>
      <c r="DS782" s="323"/>
      <c r="DT782" s="323"/>
      <c r="DU782" s="323"/>
      <c r="DV782" s="323"/>
      <c r="DW782" s="323"/>
      <c r="DX782" s="323"/>
      <c r="DY782" s="323"/>
      <c r="DZ782" s="325"/>
      <c r="EA782" s="323"/>
      <c r="EB782" s="323"/>
      <c r="EC782" s="323"/>
      <c r="ED782" s="323"/>
      <c r="EE782" s="323"/>
      <c r="EF782" s="323"/>
      <c r="EG782" s="323"/>
      <c r="EH782" s="323"/>
      <c r="EI782" s="323"/>
      <c r="EJ782" s="323"/>
      <c r="EK782" s="323"/>
      <c r="EL782" s="325"/>
      <c r="EM782" s="323"/>
      <c r="EN782" s="323"/>
      <c r="EO782" s="323"/>
      <c r="EP782" s="323"/>
      <c r="EQ782" s="323"/>
      <c r="ER782" s="323"/>
      <c r="ES782" s="323"/>
      <c r="ET782" s="323"/>
      <c r="EU782" s="323"/>
      <c r="EV782" s="323"/>
      <c r="EW782" s="323"/>
      <c r="EX782" s="325"/>
      <c r="EY782" s="323"/>
      <c r="EZ782" s="323"/>
      <c r="FA782" s="323"/>
      <c r="FB782" s="323"/>
      <c r="FC782" s="323"/>
      <c r="FD782" s="323"/>
      <c r="FE782" s="323"/>
      <c r="FF782" s="323"/>
      <c r="FG782" s="323"/>
      <c r="FH782" s="323"/>
      <c r="FI782" s="323"/>
      <c r="FJ782" s="325"/>
      <c r="FK782" s="323"/>
      <c r="FL782" s="323"/>
      <c r="FM782" s="323"/>
      <c r="FN782" s="323"/>
      <c r="FO782" s="323"/>
      <c r="FP782" s="323"/>
      <c r="FQ782" s="323"/>
      <c r="FR782" s="323"/>
      <c r="FS782" s="323"/>
      <c r="FT782" s="323"/>
      <c r="FU782" s="323"/>
      <c r="FV782" s="323"/>
      <c r="FW782" s="323">
        <f t="shared" ref="FW782:GH782" si="1168">FW380</f>
        <v>0.828245024</v>
      </c>
      <c r="FX782" s="323">
        <f t="shared" si="1168"/>
        <v>1.091022758</v>
      </c>
      <c r="FY782" s="323">
        <f t="shared" si="1168"/>
        <v>1.1813036130000001</v>
      </c>
      <c r="FZ782" s="323">
        <f t="shared" si="1168"/>
        <v>1.1446105390000001</v>
      </c>
      <c r="GA782" s="323">
        <f t="shared" si="1168"/>
        <v>1.1751307639999999</v>
      </c>
      <c r="GB782" s="323">
        <f t="shared" si="1168"/>
        <v>1.2494390500000001</v>
      </c>
      <c r="GC782" s="323">
        <f t="shared" si="1168"/>
        <v>1.1935265230000001</v>
      </c>
      <c r="GD782" s="323">
        <f t="shared" si="1168"/>
        <v>0.958497143</v>
      </c>
      <c r="GE782" s="323">
        <f t="shared" si="1168"/>
        <v>1.11445927</v>
      </c>
      <c r="GF782" s="323">
        <f t="shared" si="1168"/>
        <v>1.1999669719999999</v>
      </c>
      <c r="GG782" s="323">
        <f t="shared" si="1168"/>
        <v>1.1889153610000001</v>
      </c>
      <c r="GH782" s="323">
        <f t="shared" si="1168"/>
        <v>1.385564504</v>
      </c>
      <c r="GI782" s="323">
        <f t="shared" ref="GI782:GQ782" si="1169">GI380</f>
        <v>1.21073736</v>
      </c>
      <c r="GJ782" s="323">
        <f t="shared" si="1169"/>
        <v>1.3205667619999999</v>
      </c>
      <c r="GK782" s="323">
        <f t="shared" si="1169"/>
        <v>1.411681636</v>
      </c>
      <c r="GL782" s="323">
        <f t="shared" si="1169"/>
        <v>1.1410272400000001</v>
      </c>
      <c r="GM782" s="323">
        <f t="shared" si="1169"/>
        <v>1.155290588</v>
      </c>
      <c r="GN782" s="323">
        <f t="shared" si="1169"/>
        <v>1.29052203</v>
      </c>
      <c r="GO782" s="323">
        <f t="shared" si="1169"/>
        <v>1.2083091020000001</v>
      </c>
      <c r="GP782" s="323">
        <f t="shared" si="1169"/>
        <v>1.15882376</v>
      </c>
      <c r="GQ782" s="323">
        <f t="shared" si="1169"/>
        <v>1.417136704</v>
      </c>
      <c r="GR782" s="323">
        <f>GR380</f>
        <v>1.130445774</v>
      </c>
      <c r="GS782" s="323">
        <f t="shared" si="1166"/>
        <v>1.3095804870000001</v>
      </c>
      <c r="GT782" s="323">
        <f t="shared" si="1166"/>
        <v>1.3766600499999999</v>
      </c>
      <c r="GU782" s="323">
        <f t="shared" si="1166"/>
        <v>1.2532150660000001</v>
      </c>
      <c r="GV782" s="323">
        <f t="shared" si="1166"/>
        <v>1.4214319870000001</v>
      </c>
      <c r="GW782" s="323">
        <f t="shared" si="1166"/>
        <v>1.2920655080000001</v>
      </c>
      <c r="GX782" s="323">
        <f t="shared" si="1166"/>
        <v>1.343284208</v>
      </c>
      <c r="GY782" s="323">
        <f t="shared" si="1166"/>
        <v>1.313763872</v>
      </c>
      <c r="GZ782" s="323">
        <f t="shared" si="1166"/>
        <v>1.25963402</v>
      </c>
      <c r="HA782" s="323">
        <f t="shared" si="1166"/>
        <v>1.304045565</v>
      </c>
      <c r="HB782" s="323">
        <f t="shared" si="1166"/>
        <v>1.211248026</v>
      </c>
      <c r="HC782" s="323">
        <f t="shared" si="1166"/>
        <v>1.3897288139999999</v>
      </c>
      <c r="HD782" s="323">
        <f t="shared" si="1166"/>
        <v>1.226373521</v>
      </c>
      <c r="HE782" s="323">
        <f t="shared" si="1166"/>
        <v>1.3664009580000001</v>
      </c>
      <c r="HF782" s="323">
        <f t="shared" si="1166"/>
        <v>1.3763920160000001</v>
      </c>
      <c r="HG782" s="323">
        <f t="shared" si="1166"/>
        <v>1.4508406220000001</v>
      </c>
      <c r="HH782" s="323">
        <f t="shared" si="1166"/>
        <v>1.5411530920000001</v>
      </c>
      <c r="HI782" s="323">
        <f t="shared" si="1166"/>
        <v>1.4252575679999999</v>
      </c>
      <c r="HJ782" s="323">
        <f t="shared" si="1166"/>
        <v>1.4603782380000001</v>
      </c>
      <c r="HK782" s="323">
        <f t="shared" si="1166"/>
        <v>1.3586528920000001</v>
      </c>
      <c r="HL782" s="323">
        <f t="shared" si="1166"/>
        <v>1.5133927810000001</v>
      </c>
      <c r="HM782" s="323">
        <f t="shared" si="1166"/>
        <v>1.487774004</v>
      </c>
      <c r="HN782" s="323">
        <f t="shared" si="1166"/>
        <v>1.4247102270000001</v>
      </c>
      <c r="HO782" s="323">
        <f t="shared" si="1166"/>
        <v>1.479416692</v>
      </c>
      <c r="HP782" s="323">
        <f t="shared" si="1166"/>
        <v>1.4584101650000001</v>
      </c>
      <c r="HQ782" s="323">
        <f t="shared" si="1166"/>
        <v>1.483908215</v>
      </c>
      <c r="HR782" s="323">
        <f t="shared" si="1166"/>
        <v>2.3340540490000001</v>
      </c>
      <c r="HS782" s="323">
        <f t="shared" ref="HS782:HX782" si="1170">HS380</f>
        <v>2.502546851</v>
      </c>
      <c r="HT782" s="323">
        <f t="shared" si="1170"/>
        <v>2.4564866809999999</v>
      </c>
      <c r="HU782" s="323">
        <f t="shared" si="1170"/>
        <v>2.5490056499999998</v>
      </c>
      <c r="HV782" s="323">
        <f t="shared" si="1170"/>
        <v>2.5066022999999999</v>
      </c>
      <c r="HW782" s="323">
        <f t="shared" si="1170"/>
        <v>2.2360938450000001</v>
      </c>
      <c r="HX782" s="323">
        <f t="shared" si="1170"/>
        <v>2.6153892999999999</v>
      </c>
      <c r="HY782" s="323"/>
      <c r="HZ782" s="326"/>
      <c r="IA782" s="2082" t="s">
        <v>3073</v>
      </c>
      <c r="IB782" s="284">
        <f t="shared" si="1132"/>
        <v>0</v>
      </c>
      <c r="IC782" s="279">
        <f t="shared" si="1133"/>
        <v>0</v>
      </c>
      <c r="ID782" s="323">
        <f t="shared" si="1134"/>
        <v>0</v>
      </c>
      <c r="IE782" s="279">
        <f t="shared" si="1135"/>
        <v>0</v>
      </c>
      <c r="IF782" s="279">
        <f t="shared" si="1136"/>
        <v>0</v>
      </c>
      <c r="IG782" s="323">
        <f t="shared" si="1137"/>
        <v>0</v>
      </c>
      <c r="IH782" s="284">
        <f t="shared" si="1138"/>
        <v>0</v>
      </c>
      <c r="II782" s="279">
        <f t="shared" si="1139"/>
        <v>0</v>
      </c>
      <c r="IJ782" s="323">
        <f t="shared" si="1140"/>
        <v>0</v>
      </c>
      <c r="IK782" s="327">
        <f t="shared" si="1141"/>
        <v>0</v>
      </c>
      <c r="IL782" s="279">
        <f t="shared" si="1142"/>
        <v>0</v>
      </c>
      <c r="IM782" s="323">
        <f t="shared" si="1143"/>
        <v>0</v>
      </c>
      <c r="IN782" s="279">
        <f t="shared" si="1144"/>
        <v>0</v>
      </c>
      <c r="IO782" s="279">
        <f t="shared" si="1145"/>
        <v>0</v>
      </c>
      <c r="IP782" s="323">
        <f t="shared" si="1146"/>
        <v>0</v>
      </c>
      <c r="IQ782" s="327">
        <f t="shared" si="1147"/>
        <v>0</v>
      </c>
      <c r="IR782" s="327">
        <f t="shared" si="1148"/>
        <v>0</v>
      </c>
      <c r="IS782" s="323">
        <f t="shared" si="1149"/>
        <v>0</v>
      </c>
      <c r="IT782" s="327">
        <f t="shared" si="1150"/>
        <v>0</v>
      </c>
      <c r="IU782" s="327">
        <f t="shared" si="1151"/>
        <v>0</v>
      </c>
      <c r="IV782" s="323">
        <f t="shared" si="1152"/>
        <v>0</v>
      </c>
      <c r="IW782" s="327">
        <f t="shared" si="1153"/>
        <v>0</v>
      </c>
      <c r="IX782" s="327">
        <f t="shared" si="1154"/>
        <v>0</v>
      </c>
      <c r="IY782" s="323">
        <f t="shared" si="1155"/>
        <v>0</v>
      </c>
      <c r="IZ782" s="327">
        <f t="shared" si="1156"/>
        <v>6.6697517480000004</v>
      </c>
      <c r="JA782" s="327">
        <f t="shared" si="1157"/>
        <v>7.0409297730000002</v>
      </c>
      <c r="JB782" s="323">
        <f t="shared" si="1158"/>
        <v>13.710681521000001</v>
      </c>
      <c r="JC782" s="327">
        <f t="shared" si="1159"/>
        <v>7.5298256160000001</v>
      </c>
      <c r="JD782" s="327">
        <f t="shared" si="1160"/>
        <v>7.6009558769999996</v>
      </c>
      <c r="JE782" s="323">
        <f t="shared" si="1161"/>
        <v>15.130781493000001</v>
      </c>
      <c r="JF782" s="327">
        <f t="shared" si="1162"/>
        <v>7.8833946610000005</v>
      </c>
      <c r="JG782" s="327">
        <f t="shared" si="1163"/>
        <v>7.8741889</v>
      </c>
      <c r="JH782" s="323">
        <f t="shared" si="1164"/>
        <v>15.757583561000001</v>
      </c>
      <c r="JI782" s="327">
        <f t="shared" si="1165"/>
        <v>8.7496751930000016</v>
      </c>
      <c r="JJ782" s="327">
        <f t="shared" si="910"/>
        <v>9.6682733519999999</v>
      </c>
      <c r="JK782" s="323">
        <f t="shared" si="890"/>
        <v>18.417948545000002</v>
      </c>
      <c r="JL782" s="327">
        <f t="shared" si="891"/>
        <v>14.866124626999998</v>
      </c>
      <c r="JM782" s="279">
        <f t="shared" si="892"/>
        <v>5.464119169216076</v>
      </c>
      <c r="JN782" s="323">
        <f>FISC!AK1088</f>
        <v>20.330243796216074</v>
      </c>
      <c r="JO782" s="327">
        <f>JQ782*0.491</f>
        <v>10.561534167197513</v>
      </c>
      <c r="JP782" s="279">
        <f t="shared" si="893"/>
        <v>10.948718719151801</v>
      </c>
      <c r="JQ782" s="323">
        <f>FISC!AL1088</f>
        <v>21.510252886349313</v>
      </c>
      <c r="JR782" s="327">
        <f t="shared" si="919"/>
        <v>12.317375528710677</v>
      </c>
      <c r="JS782" s="279">
        <f t="shared" si="894"/>
        <v>13.343823489436566</v>
      </c>
      <c r="JT782" s="323">
        <f>FISC!AM1088</f>
        <v>25.661199018147244</v>
      </c>
      <c r="JU782" s="327">
        <f t="shared" si="920"/>
        <v>13.783399784557341</v>
      </c>
      <c r="JV782" s="279">
        <f t="shared" si="911"/>
        <v>14.932016433270453</v>
      </c>
      <c r="JW782" s="323">
        <f>FISC!AN1088</f>
        <v>28.715416217827794</v>
      </c>
      <c r="JX782" s="327">
        <f t="shared" si="921"/>
        <v>13.050387656634008</v>
      </c>
      <c r="JY782" s="279">
        <f t="shared" si="895"/>
        <v>14.137919961353511</v>
      </c>
      <c r="JZ782" s="323">
        <f>FISC!AO1088</f>
        <v>27.188307617987519</v>
      </c>
      <c r="KA782" s="327">
        <f t="shared" ref="KA782:KA783" si="1171">KC782*0.48</f>
        <v>13.050387656634008</v>
      </c>
      <c r="KB782" s="279">
        <f t="shared" ref="KB782:KB783" si="1172">KC782-KA782</f>
        <v>14.137919961353511</v>
      </c>
      <c r="KC782" s="323">
        <f>FISC!AP1088</f>
        <v>27.188307617987519</v>
      </c>
      <c r="KD782" s="327">
        <f t="shared" ref="KD782:KD783" si="1173">KF782*0.48</f>
        <v>13.050387656634008</v>
      </c>
      <c r="KE782" s="279">
        <f t="shared" ref="KE782:KE783" si="1174">KF782-KD782</f>
        <v>14.137919961353511</v>
      </c>
      <c r="KF782" s="323">
        <f>FISC!AQ1088</f>
        <v>27.188307617987519</v>
      </c>
      <c r="KG782" s="327">
        <f t="shared" ref="KG782:KG783" si="1175">KI782*0.48</f>
        <v>13.050387656634008</v>
      </c>
      <c r="KH782" s="279">
        <f t="shared" ref="KH782:KH783" si="1176">KI782-KG782</f>
        <v>14.137919961353511</v>
      </c>
      <c r="KI782" s="323">
        <f>FISC!AR1088</f>
        <v>27.188307617987519</v>
      </c>
      <c r="KJ782" s="327">
        <f t="shared" ref="KJ782:KJ783" si="1177">KL782*0.48</f>
        <v>13.050387656634008</v>
      </c>
      <c r="KK782" s="279">
        <f t="shared" ref="KK782:KK783" si="1178">KL782-KJ782</f>
        <v>14.137919961353511</v>
      </c>
      <c r="KL782" s="323">
        <f>FISC!AS1088</f>
        <v>27.188307617987519</v>
      </c>
      <c r="KM782" s="327">
        <f t="shared" ref="KM782:KM783" si="1179">KO782*0.48</f>
        <v>13.050387656634008</v>
      </c>
      <c r="KN782" s="279">
        <f t="shared" ref="KN782:KN783" si="1180">KO782-KM782</f>
        <v>14.137919961353511</v>
      </c>
      <c r="KO782" s="323">
        <f>FISC!AT1088</f>
        <v>27.188307617987519</v>
      </c>
      <c r="KU782" s="326"/>
      <c r="KV782" s="327"/>
    </row>
    <row r="783" spans="1:308">
      <c r="A783" s="279"/>
      <c r="D783" s="2082" t="s">
        <v>3061</v>
      </c>
      <c r="E783" s="323"/>
      <c r="F783" s="323"/>
      <c r="G783" s="323"/>
      <c r="H783" s="323"/>
      <c r="I783" s="323"/>
      <c r="J783" s="323"/>
      <c r="K783" s="323"/>
      <c r="L783" s="323"/>
      <c r="M783" s="323"/>
      <c r="N783" s="323"/>
      <c r="O783" s="323"/>
      <c r="P783" s="323"/>
      <c r="Q783" s="323"/>
      <c r="R783" s="323"/>
      <c r="S783" s="323"/>
      <c r="T783" s="323"/>
      <c r="U783" s="323"/>
      <c r="V783" s="323"/>
      <c r="W783" s="323"/>
      <c r="X783" s="323"/>
      <c r="Y783" s="323"/>
      <c r="Z783" s="323"/>
      <c r="AA783" s="323"/>
      <c r="AB783" s="323"/>
      <c r="AC783" s="323"/>
      <c r="AD783" s="323"/>
      <c r="AE783" s="323"/>
      <c r="AF783" s="323"/>
      <c r="AG783" s="323"/>
      <c r="AH783" s="323"/>
      <c r="AI783" s="323"/>
      <c r="AJ783" s="323"/>
      <c r="AK783" s="323"/>
      <c r="AL783" s="323"/>
      <c r="AM783" s="323"/>
      <c r="AN783" s="323"/>
      <c r="AO783" s="323"/>
      <c r="AP783" s="323"/>
      <c r="AQ783" s="323"/>
      <c r="AR783" s="323"/>
      <c r="AS783" s="323"/>
      <c r="AT783" s="323"/>
      <c r="AU783" s="323"/>
      <c r="AV783" s="323"/>
      <c r="AW783" s="323"/>
      <c r="AX783" s="323"/>
      <c r="AY783" s="323"/>
      <c r="AZ783" s="323"/>
      <c r="BA783" s="323"/>
      <c r="BB783" s="323"/>
      <c r="BC783" s="323"/>
      <c r="BD783" s="323"/>
      <c r="BE783" s="323"/>
      <c r="BF783" s="323"/>
      <c r="BG783" s="323"/>
      <c r="BH783" s="323"/>
      <c r="BI783" s="323"/>
      <c r="BJ783" s="323"/>
      <c r="BK783" s="323"/>
      <c r="BL783" s="323"/>
      <c r="BM783" s="323"/>
      <c r="BN783" s="323"/>
      <c r="BO783" s="323"/>
      <c r="BP783" s="323"/>
      <c r="BQ783" s="323"/>
      <c r="BR783" s="323"/>
      <c r="BS783" s="323"/>
      <c r="BT783" s="323"/>
      <c r="BU783" s="323"/>
      <c r="BV783" s="323"/>
      <c r="BW783" s="323"/>
      <c r="BX783" s="323"/>
      <c r="BY783" s="323"/>
      <c r="BZ783" s="323"/>
      <c r="CA783" s="323"/>
      <c r="CB783" s="323"/>
      <c r="CC783" s="323"/>
      <c r="CD783" s="329"/>
      <c r="CE783" s="323"/>
      <c r="CF783" s="323"/>
      <c r="CG783" s="323"/>
      <c r="CH783" s="323"/>
      <c r="CI783" s="323"/>
      <c r="CJ783" s="323"/>
      <c r="CK783" s="323"/>
      <c r="CL783" s="323"/>
      <c r="CM783" s="323"/>
      <c r="CN783" s="323"/>
      <c r="CO783" s="323"/>
      <c r="CP783" s="325"/>
      <c r="CQ783" s="323"/>
      <c r="CR783" s="323"/>
      <c r="CS783" s="323"/>
      <c r="CT783" s="323"/>
      <c r="CU783" s="323"/>
      <c r="CV783" s="323"/>
      <c r="CW783" s="323"/>
      <c r="CX783" s="323"/>
      <c r="CY783" s="323"/>
      <c r="CZ783" s="323"/>
      <c r="DA783" s="323"/>
      <c r="DB783" s="1269"/>
      <c r="DC783" s="323"/>
      <c r="DD783" s="323"/>
      <c r="DE783" s="323"/>
      <c r="DF783" s="323"/>
      <c r="DG783" s="323"/>
      <c r="DH783" s="323"/>
      <c r="DI783" s="323"/>
      <c r="DJ783" s="323"/>
      <c r="DK783" s="323"/>
      <c r="DL783" s="323"/>
      <c r="DM783" s="323"/>
      <c r="DN783" s="325"/>
      <c r="DO783" s="323"/>
      <c r="DP783" s="323"/>
      <c r="DQ783" s="323"/>
      <c r="DR783" s="323"/>
      <c r="DS783" s="323"/>
      <c r="DT783" s="323"/>
      <c r="DU783" s="323"/>
      <c r="DV783" s="323"/>
      <c r="DW783" s="323"/>
      <c r="DX783" s="323"/>
      <c r="DY783" s="323"/>
      <c r="DZ783" s="325"/>
      <c r="EA783" s="323"/>
      <c r="EB783" s="323"/>
      <c r="EC783" s="323"/>
      <c r="ED783" s="323"/>
      <c r="EE783" s="323"/>
      <c r="EF783" s="323"/>
      <c r="EG783" s="323"/>
      <c r="EH783" s="323"/>
      <c r="EI783" s="323"/>
      <c r="EJ783" s="323"/>
      <c r="EK783" s="323"/>
      <c r="EL783" s="325"/>
      <c r="EM783" s="323"/>
      <c r="EN783" s="323"/>
      <c r="EO783" s="323"/>
      <c r="EP783" s="323"/>
      <c r="EQ783" s="323"/>
      <c r="ER783" s="323"/>
      <c r="ES783" s="323"/>
      <c r="ET783" s="323"/>
      <c r="EU783" s="323"/>
      <c r="EV783" s="323"/>
      <c r="EW783" s="323"/>
      <c r="EX783" s="325"/>
      <c r="EY783" s="323"/>
      <c r="EZ783" s="323"/>
      <c r="FA783" s="323"/>
      <c r="FB783" s="323"/>
      <c r="FC783" s="323"/>
      <c r="FD783" s="323"/>
      <c r="FE783" s="323"/>
      <c r="FF783" s="323"/>
      <c r="FG783" s="323"/>
      <c r="FH783" s="323"/>
      <c r="FI783" s="323"/>
      <c r="FJ783" s="325"/>
      <c r="FK783" s="323"/>
      <c r="FL783" s="323"/>
      <c r="FM783" s="323"/>
      <c r="FN783" s="323"/>
      <c r="FO783" s="323"/>
      <c r="FP783" s="323"/>
      <c r="FQ783" s="323"/>
      <c r="FR783" s="323"/>
      <c r="FS783" s="323"/>
      <c r="FT783" s="323"/>
      <c r="FU783" s="323"/>
      <c r="FV783" s="323"/>
      <c r="FW783" s="323">
        <f t="shared" ref="FW783:GH783" si="1181">FW381</f>
        <v>1.7884611360786498</v>
      </c>
      <c r="FX783" s="323">
        <f t="shared" si="1181"/>
        <v>1.7175631045019708</v>
      </c>
      <c r="FY783" s="323">
        <f t="shared" si="1181"/>
        <v>1.5141902276236654</v>
      </c>
      <c r="FZ783" s="323">
        <f t="shared" si="1181"/>
        <v>1.4675749104254083</v>
      </c>
      <c r="GA783" s="323">
        <f t="shared" si="1181"/>
        <v>1.5696364994967102</v>
      </c>
      <c r="GB783" s="323">
        <f t="shared" si="1181"/>
        <v>1.7274268752068689</v>
      </c>
      <c r="GC783" s="323">
        <f t="shared" si="1181"/>
        <v>1.3616914986199975</v>
      </c>
      <c r="GD783" s="323">
        <f t="shared" si="1181"/>
        <v>1.2976991952699999</v>
      </c>
      <c r="GE783" s="323">
        <f t="shared" si="1181"/>
        <v>2.2069305183751373</v>
      </c>
      <c r="GF783" s="323">
        <f t="shared" si="1181"/>
        <v>0</v>
      </c>
      <c r="GG783" s="323">
        <f t="shared" si="1181"/>
        <v>0</v>
      </c>
      <c r="GH783" s="323">
        <f t="shared" si="1181"/>
        <v>0</v>
      </c>
      <c r="GI783" s="323">
        <f t="shared" ref="GI783:GQ783" si="1182">GI381</f>
        <v>8.5584979223574438E-6</v>
      </c>
      <c r="GJ783" s="323">
        <f t="shared" si="1182"/>
        <v>3.3478320120086207</v>
      </c>
      <c r="GK783" s="323">
        <f t="shared" si="1182"/>
        <v>4.959474629115463</v>
      </c>
      <c r="GL783" s="323">
        <f t="shared" si="1182"/>
        <v>3.9962475849999999</v>
      </c>
      <c r="GM783" s="323">
        <f t="shared" si="1182"/>
        <v>4.0668713849999998</v>
      </c>
      <c r="GN783" s="323">
        <f t="shared" si="1182"/>
        <v>4.5343731800000002</v>
      </c>
      <c r="GO783" s="323">
        <f t="shared" si="1182"/>
        <v>4.2359832549999998</v>
      </c>
      <c r="GP783" s="323">
        <f t="shared" si="1182"/>
        <v>4.081165425</v>
      </c>
      <c r="GQ783" s="323">
        <f t="shared" si="1182"/>
        <v>4.9792459649999996</v>
      </c>
      <c r="GR783" s="323">
        <f>GR381</f>
        <v>4.0629598549999999</v>
      </c>
      <c r="GS783" s="323">
        <f t="shared" ref="GS783:HR783" si="1183">GS381</f>
        <v>4.6105536000000003</v>
      </c>
      <c r="GT783" s="323">
        <f t="shared" si="1183"/>
        <v>4.8366650550000001</v>
      </c>
      <c r="GU783" s="323">
        <f t="shared" si="1183"/>
        <v>4.3909459850000001</v>
      </c>
      <c r="GV783" s="323">
        <f t="shared" si="1183"/>
        <v>4.9943378750000003</v>
      </c>
      <c r="GW783" s="323">
        <f t="shared" si="1183"/>
        <v>4.5397962349999998</v>
      </c>
      <c r="GX783" s="323">
        <f t="shared" si="1183"/>
        <v>4.7502431300000003</v>
      </c>
      <c r="GY783" s="323">
        <f t="shared" si="1183"/>
        <v>4.6160356</v>
      </c>
      <c r="GZ783" s="323">
        <f t="shared" si="1183"/>
        <v>4.422406305</v>
      </c>
      <c r="HA783" s="323">
        <f t="shared" si="1183"/>
        <v>4.5813317050000002</v>
      </c>
      <c r="HB783" s="323">
        <f t="shared" si="1183"/>
        <v>4.2655642450000002</v>
      </c>
      <c r="HC783" s="323">
        <f t="shared" si="1183"/>
        <v>4.8779792649999996</v>
      </c>
      <c r="HD783" s="323">
        <f t="shared" si="1183"/>
        <v>4.3137745450000002</v>
      </c>
      <c r="HE783" s="323">
        <f t="shared" si="1183"/>
        <v>4.7965803100000004</v>
      </c>
      <c r="HF783" s="323">
        <f t="shared" si="1183"/>
        <v>4.8358005999999998</v>
      </c>
      <c r="HG783" s="323">
        <f t="shared" si="1183"/>
        <v>5.0878819799999997</v>
      </c>
      <c r="HH783" s="323">
        <f t="shared" si="1183"/>
        <v>5.4246677600000002</v>
      </c>
      <c r="HI783" s="323">
        <f t="shared" si="1183"/>
        <v>5.0032457749999999</v>
      </c>
      <c r="HJ783" s="323">
        <f t="shared" si="1183"/>
        <v>5.1396817749999997</v>
      </c>
      <c r="HK783" s="323">
        <f t="shared" si="1183"/>
        <v>4.7697885299999996</v>
      </c>
      <c r="HL783" s="323">
        <f t="shared" si="1183"/>
        <v>5.2113831839999998</v>
      </c>
      <c r="HM783" s="323">
        <f t="shared" si="1183"/>
        <v>5.2260425609999999</v>
      </c>
      <c r="HN783" s="323">
        <f t="shared" si="1183"/>
        <v>5.0108948849999999</v>
      </c>
      <c r="HO783" s="323">
        <f t="shared" si="1183"/>
        <v>5.1964591149999997</v>
      </c>
      <c r="HP783" s="323">
        <f t="shared" si="1183"/>
        <v>5.1190543399999999</v>
      </c>
      <c r="HQ783" s="323">
        <f t="shared" si="1183"/>
        <v>5.2095490409999998</v>
      </c>
      <c r="HR783" s="323">
        <f t="shared" si="1183"/>
        <v>7.3701624949999998</v>
      </c>
      <c r="HS783" s="323">
        <f t="shared" ref="HS783:HX783" si="1184">HS381</f>
        <v>7.7715946870000003</v>
      </c>
      <c r="HT783" s="323">
        <f t="shared" si="1184"/>
        <v>7.9488815150000001</v>
      </c>
      <c r="HU783" s="323">
        <f t="shared" si="1184"/>
        <v>8.3837178580000007</v>
      </c>
      <c r="HV783" s="323">
        <f t="shared" si="1184"/>
        <v>8.3127833530000004</v>
      </c>
      <c r="HW783" s="323">
        <f t="shared" si="1184"/>
        <v>7.5047545050000002</v>
      </c>
      <c r="HX783" s="323">
        <f t="shared" si="1184"/>
        <v>8.8114256260000001</v>
      </c>
      <c r="HY783" s="323"/>
      <c r="HZ783" s="326"/>
      <c r="IA783" s="2082" t="s">
        <v>3061</v>
      </c>
      <c r="IB783" s="284">
        <f t="shared" si="1132"/>
        <v>0</v>
      </c>
      <c r="IC783" s="279">
        <f t="shared" si="1133"/>
        <v>0</v>
      </c>
      <c r="ID783" s="323">
        <f t="shared" si="1134"/>
        <v>0</v>
      </c>
      <c r="IE783" s="279">
        <f t="shared" si="1135"/>
        <v>0</v>
      </c>
      <c r="IF783" s="279">
        <f t="shared" si="1136"/>
        <v>0</v>
      </c>
      <c r="IG783" s="323">
        <f t="shared" si="1137"/>
        <v>0</v>
      </c>
      <c r="IH783" s="284">
        <f t="shared" si="1138"/>
        <v>0</v>
      </c>
      <c r="II783" s="279">
        <f t="shared" si="1139"/>
        <v>0</v>
      </c>
      <c r="IJ783" s="323">
        <f t="shared" si="1140"/>
        <v>0</v>
      </c>
      <c r="IK783" s="327">
        <f t="shared" si="1141"/>
        <v>0</v>
      </c>
      <c r="IL783" s="279">
        <f t="shared" si="1142"/>
        <v>0</v>
      </c>
      <c r="IM783" s="323">
        <f t="shared" si="1143"/>
        <v>0</v>
      </c>
      <c r="IN783" s="279">
        <f t="shared" si="1144"/>
        <v>0</v>
      </c>
      <c r="IO783" s="279">
        <f t="shared" si="1145"/>
        <v>0</v>
      </c>
      <c r="IP783" s="323">
        <f t="shared" si="1146"/>
        <v>0</v>
      </c>
      <c r="IQ783" s="327">
        <f t="shared" si="1147"/>
        <v>0</v>
      </c>
      <c r="IR783" s="327">
        <f t="shared" si="1148"/>
        <v>0</v>
      </c>
      <c r="IS783" s="323">
        <f t="shared" si="1149"/>
        <v>0</v>
      </c>
      <c r="IT783" s="327">
        <f t="shared" si="1150"/>
        <v>0</v>
      </c>
      <c r="IU783" s="327">
        <f t="shared" si="1151"/>
        <v>0</v>
      </c>
      <c r="IV783" s="323">
        <f t="shared" si="1152"/>
        <v>0</v>
      </c>
      <c r="IW783" s="327">
        <f t="shared" si="1153"/>
        <v>0</v>
      </c>
      <c r="IX783" s="327">
        <f t="shared" si="1154"/>
        <v>0</v>
      </c>
      <c r="IY783" s="323">
        <f t="shared" si="1155"/>
        <v>0</v>
      </c>
      <c r="IZ783" s="327">
        <f t="shared" si="1156"/>
        <v>9.7848527533332721</v>
      </c>
      <c r="JA783" s="327">
        <f t="shared" si="1157"/>
        <v>4.8663212122651345</v>
      </c>
      <c r="JB783" s="323">
        <f t="shared" si="1158"/>
        <v>14.651173965598407</v>
      </c>
      <c r="JC783" s="327">
        <f t="shared" si="1159"/>
        <v>20.904807349622004</v>
      </c>
      <c r="JD783" s="327">
        <f t="shared" si="1160"/>
        <v>26.806573154999999</v>
      </c>
      <c r="JE783" s="323">
        <f t="shared" si="1161"/>
        <v>47.711380504621999</v>
      </c>
      <c r="JF783" s="327">
        <f t="shared" si="1162"/>
        <v>27.713765130000002</v>
      </c>
      <c r="JG783" s="327">
        <f t="shared" si="1163"/>
        <v>27.67103067</v>
      </c>
      <c r="JH783" s="323">
        <f t="shared" si="1164"/>
        <v>55.384795800000006</v>
      </c>
      <c r="JI783" s="327">
        <f t="shared" si="1165"/>
        <v>30.636649003999999</v>
      </c>
      <c r="JJ783" s="327">
        <f t="shared" si="910"/>
        <v>33.132162436999998</v>
      </c>
      <c r="JK783" s="323">
        <f t="shared" si="890"/>
        <v>63.768811440999997</v>
      </c>
      <c r="JL783" s="327">
        <f t="shared" si="891"/>
        <v>48.733157544000001</v>
      </c>
      <c r="JM783" s="279">
        <f t="shared" si="892"/>
        <v>32.370837176900814</v>
      </c>
      <c r="JN783" s="323">
        <f>FISC!AK1089</f>
        <v>81.103994720900815</v>
      </c>
      <c r="JO783" s="327">
        <f>JQ783*0.511</f>
        <v>43.589140954713699</v>
      </c>
      <c r="JP783" s="279">
        <f t="shared" si="893"/>
        <v>41.712504749227008</v>
      </c>
      <c r="JQ783" s="323">
        <f>FISC!AL1089</f>
        <v>85.301645703940707</v>
      </c>
      <c r="JR783" s="327">
        <f t="shared" si="919"/>
        <v>48.477168873018073</v>
      </c>
      <c r="JS783" s="279">
        <f t="shared" si="894"/>
        <v>52.516932945769582</v>
      </c>
      <c r="JT783" s="323">
        <f>FISC!AM1089</f>
        <v>100.99410181878766</v>
      </c>
      <c r="JU783" s="327">
        <f t="shared" si="920"/>
        <v>53.877262651887229</v>
      </c>
      <c r="JV783" s="279">
        <f t="shared" si="911"/>
        <v>58.367034539544498</v>
      </c>
      <c r="JW783" s="323">
        <f>FISC!AN1089</f>
        <v>112.24429719143173</v>
      </c>
      <c r="JX783" s="327">
        <f t="shared" si="921"/>
        <v>51.177215762452647</v>
      </c>
      <c r="JY783" s="279">
        <f t="shared" si="895"/>
        <v>55.441983742657044</v>
      </c>
      <c r="JZ783" s="323">
        <f>FISC!AO1089</f>
        <v>106.61919950510969</v>
      </c>
      <c r="KA783" s="327">
        <f t="shared" si="1171"/>
        <v>51.177215762452647</v>
      </c>
      <c r="KB783" s="279">
        <f t="shared" si="1172"/>
        <v>55.441983742657044</v>
      </c>
      <c r="KC783" s="323">
        <f>FISC!AP1089</f>
        <v>106.61919950510969</v>
      </c>
      <c r="KD783" s="327">
        <f t="shared" si="1173"/>
        <v>51.177215762452647</v>
      </c>
      <c r="KE783" s="279">
        <f t="shared" si="1174"/>
        <v>55.441983742657044</v>
      </c>
      <c r="KF783" s="323">
        <f>FISC!AQ1089</f>
        <v>106.61919950510969</v>
      </c>
      <c r="KG783" s="327">
        <f t="shared" si="1175"/>
        <v>51.177215762452647</v>
      </c>
      <c r="KH783" s="279">
        <f t="shared" si="1176"/>
        <v>55.441983742657044</v>
      </c>
      <c r="KI783" s="323">
        <f>FISC!AR1089</f>
        <v>106.61919950510969</v>
      </c>
      <c r="KJ783" s="327">
        <f t="shared" si="1177"/>
        <v>51.177215762452647</v>
      </c>
      <c r="KK783" s="279">
        <f t="shared" si="1178"/>
        <v>55.441983742657044</v>
      </c>
      <c r="KL783" s="323">
        <f>FISC!AS1089</f>
        <v>106.61919950510969</v>
      </c>
      <c r="KM783" s="327">
        <f t="shared" si="1179"/>
        <v>51.177215762452647</v>
      </c>
      <c r="KN783" s="279">
        <f t="shared" si="1180"/>
        <v>55.441983742657044</v>
      </c>
      <c r="KO783" s="323">
        <f>FISC!AT1089</f>
        <v>106.61919950510969</v>
      </c>
      <c r="KU783" s="326"/>
      <c r="KV783" s="327"/>
    </row>
    <row r="784" spans="1:308">
      <c r="A784" s="279"/>
      <c r="D784" s="1416" t="s">
        <v>3700</v>
      </c>
      <c r="E784" s="323"/>
      <c r="F784" s="323"/>
      <c r="G784" s="323"/>
      <c r="H784" s="323"/>
      <c r="I784" s="323"/>
      <c r="J784" s="323"/>
      <c r="K784" s="323"/>
      <c r="L784" s="323"/>
      <c r="M784" s="323"/>
      <c r="N784" s="323"/>
      <c r="O784" s="323"/>
      <c r="P784" s="323"/>
      <c r="Q784" s="323"/>
      <c r="R784" s="323"/>
      <c r="S784" s="323"/>
      <c r="T784" s="323"/>
      <c r="U784" s="323"/>
      <c r="V784" s="323"/>
      <c r="W784" s="323"/>
      <c r="X784" s="323"/>
      <c r="Y784" s="323"/>
      <c r="Z784" s="323"/>
      <c r="AA784" s="323"/>
      <c r="AB784" s="323"/>
      <c r="AC784" s="323"/>
      <c r="AD784" s="323"/>
      <c r="AE784" s="323"/>
      <c r="AF784" s="323"/>
      <c r="AG784" s="323"/>
      <c r="AH784" s="323"/>
      <c r="AI784" s="323"/>
      <c r="AJ784" s="323"/>
      <c r="AK784" s="323"/>
      <c r="AL784" s="323"/>
      <c r="AM784" s="323"/>
      <c r="AN784" s="323"/>
      <c r="AO784" s="323"/>
      <c r="AP784" s="323"/>
      <c r="AQ784" s="323"/>
      <c r="AR784" s="323"/>
      <c r="AS784" s="323"/>
      <c r="AT784" s="323"/>
      <c r="AU784" s="323"/>
      <c r="AV784" s="323"/>
      <c r="AW784" s="323"/>
      <c r="AX784" s="323"/>
      <c r="AY784" s="323"/>
      <c r="AZ784" s="323"/>
      <c r="BA784" s="323"/>
      <c r="BB784" s="323"/>
      <c r="BC784" s="323"/>
      <c r="BD784" s="323"/>
      <c r="BE784" s="323"/>
      <c r="BF784" s="323"/>
      <c r="BG784" s="323"/>
      <c r="BH784" s="323"/>
      <c r="BI784" s="323"/>
      <c r="BJ784" s="323"/>
      <c r="BK784" s="323"/>
      <c r="BL784" s="323"/>
      <c r="BM784" s="323"/>
      <c r="BN784" s="323"/>
      <c r="BO784" s="323"/>
      <c r="BP784" s="323"/>
      <c r="BQ784" s="323"/>
      <c r="BR784" s="323"/>
      <c r="BS784" s="323"/>
      <c r="BT784" s="323"/>
      <c r="BU784" s="323"/>
      <c r="BV784" s="323"/>
      <c r="BW784" s="323"/>
      <c r="BX784" s="323"/>
      <c r="BY784" s="323"/>
      <c r="BZ784" s="323"/>
      <c r="CA784" s="323"/>
      <c r="CB784" s="323"/>
      <c r="CC784" s="323"/>
      <c r="CD784" s="329"/>
      <c r="CE784" s="323"/>
      <c r="CF784" s="323"/>
      <c r="CG784" s="323"/>
      <c r="CH784" s="323"/>
      <c r="CI784" s="323"/>
      <c r="CJ784" s="323"/>
      <c r="CK784" s="323"/>
      <c r="CL784" s="323"/>
      <c r="CM784" s="323"/>
      <c r="CN784" s="323"/>
      <c r="CO784" s="323"/>
      <c r="CP784" s="325"/>
      <c r="CQ784" s="323"/>
      <c r="CR784" s="323"/>
      <c r="CS784" s="323"/>
      <c r="CT784" s="323"/>
      <c r="CU784" s="323"/>
      <c r="CV784" s="323"/>
      <c r="CW784" s="323"/>
      <c r="CX784" s="323"/>
      <c r="CY784" s="323"/>
      <c r="CZ784" s="323"/>
      <c r="DA784" s="323"/>
      <c r="DB784" s="1269"/>
      <c r="DC784" s="323"/>
      <c r="DD784" s="323"/>
      <c r="DE784" s="323"/>
      <c r="DF784" s="323"/>
      <c r="DG784" s="323"/>
      <c r="DH784" s="323"/>
      <c r="DI784" s="323"/>
      <c r="DJ784" s="323"/>
      <c r="DK784" s="323"/>
      <c r="DL784" s="323"/>
      <c r="DM784" s="323"/>
      <c r="DN784" s="325"/>
      <c r="DO784" s="323"/>
      <c r="DP784" s="323"/>
      <c r="DQ784" s="323"/>
      <c r="DR784" s="323"/>
      <c r="DS784" s="323"/>
      <c r="DT784" s="323"/>
      <c r="DU784" s="323"/>
      <c r="DV784" s="323"/>
      <c r="DW784" s="323"/>
      <c r="DX784" s="323"/>
      <c r="DY784" s="323"/>
      <c r="DZ784" s="325"/>
      <c r="EA784" s="323"/>
      <c r="EB784" s="323"/>
      <c r="EC784" s="323"/>
      <c r="ED784" s="323"/>
      <c r="EE784" s="323"/>
      <c r="EF784" s="323"/>
      <c r="EG784" s="323"/>
      <c r="EH784" s="323"/>
      <c r="EI784" s="323"/>
      <c r="EJ784" s="323"/>
      <c r="EK784" s="323"/>
      <c r="EL784" s="325"/>
      <c r="EM784" s="323"/>
      <c r="EN784" s="323"/>
      <c r="EO784" s="323"/>
      <c r="EP784" s="323"/>
      <c r="EQ784" s="323"/>
      <c r="ER784" s="323"/>
      <c r="ES784" s="323"/>
      <c r="ET784" s="323"/>
      <c r="EU784" s="323"/>
      <c r="EV784" s="323"/>
      <c r="EW784" s="323"/>
      <c r="EX784" s="325"/>
      <c r="EY784" s="323"/>
      <c r="EZ784" s="323"/>
      <c r="FA784" s="323"/>
      <c r="FB784" s="323"/>
      <c r="FC784" s="323"/>
      <c r="FD784" s="323"/>
      <c r="FE784" s="323"/>
      <c r="FF784" s="323"/>
      <c r="FG784" s="323"/>
      <c r="FH784" s="323"/>
      <c r="FI784" s="323"/>
      <c r="FJ784" s="325"/>
      <c r="FK784" s="323"/>
      <c r="FL784" s="323"/>
      <c r="FM784" s="323"/>
      <c r="FN784" s="323"/>
      <c r="FO784" s="323"/>
      <c r="FP784" s="323"/>
      <c r="FQ784" s="323"/>
      <c r="FR784" s="323"/>
      <c r="FS784" s="323"/>
      <c r="FT784" s="323"/>
      <c r="FU784" s="323"/>
      <c r="FV784" s="323"/>
      <c r="FW784" s="323"/>
      <c r="FX784" s="323"/>
      <c r="FY784" s="323"/>
      <c r="FZ784" s="323"/>
      <c r="GA784" s="323"/>
      <c r="GB784" s="323"/>
      <c r="GC784" s="323"/>
      <c r="GD784" s="323"/>
      <c r="GE784" s="323"/>
      <c r="GF784" s="323"/>
      <c r="GG784" s="323"/>
      <c r="GH784" s="323"/>
      <c r="GI784" s="323">
        <f t="shared" ref="GI784:GI789" si="1185">GI382</f>
        <v>11.340845972457142</v>
      </c>
      <c r="GJ784" s="323">
        <f t="shared" ref="GJ784:HR784" si="1186">GJ382</f>
        <v>11.878771072822378</v>
      </c>
      <c r="GK784" s="323">
        <f t="shared" si="1186"/>
        <v>11.670186486518364</v>
      </c>
      <c r="GL784" s="323">
        <f t="shared" si="1186"/>
        <v>10.222329989953773</v>
      </c>
      <c r="GM784" s="323">
        <f t="shared" si="1186"/>
        <v>10.003309526118988</v>
      </c>
      <c r="GN784" s="323">
        <f t="shared" si="1186"/>
        <v>9.7239031770966484</v>
      </c>
      <c r="GO784" s="323">
        <f t="shared" si="1186"/>
        <v>13.700826091000001</v>
      </c>
      <c r="GP784" s="323">
        <f t="shared" si="1186"/>
        <v>10.867600254000003</v>
      </c>
      <c r="GQ784" s="323">
        <f t="shared" si="1186"/>
        <v>10.921494716000002</v>
      </c>
      <c r="GR784" s="323">
        <f t="shared" si="1186"/>
        <v>11.116865442000002</v>
      </c>
      <c r="GS784" s="323">
        <f t="shared" si="1186"/>
        <v>9.1951992149999988</v>
      </c>
      <c r="GT784" s="323">
        <f t="shared" si="1186"/>
        <v>12.283381434999999</v>
      </c>
      <c r="GU784" s="323">
        <f t="shared" si="1186"/>
        <v>10.567685037950003</v>
      </c>
      <c r="GV784" s="323">
        <f t="shared" si="1186"/>
        <v>14.507969322749997</v>
      </c>
      <c r="GW784" s="323">
        <f t="shared" si="1186"/>
        <v>14.208795866250004</v>
      </c>
      <c r="GX784" s="323">
        <f t="shared" si="1186"/>
        <v>12.074219951200003</v>
      </c>
      <c r="GY784" s="323">
        <f t="shared" si="1186"/>
        <v>12.213788178249999</v>
      </c>
      <c r="GZ784" s="323">
        <f t="shared" si="1186"/>
        <v>11.085828634249999</v>
      </c>
      <c r="HA784" s="323">
        <f t="shared" si="1186"/>
        <v>10.861056888</v>
      </c>
      <c r="HB784" s="323">
        <f t="shared" si="1186"/>
        <v>12.326537560119998</v>
      </c>
      <c r="HC784" s="323">
        <f t="shared" si="1186"/>
        <v>10.707526524230001</v>
      </c>
      <c r="HD784" s="323">
        <f t="shared" si="1186"/>
        <v>9.9021938043999995</v>
      </c>
      <c r="HE784" s="323">
        <f t="shared" si="1186"/>
        <v>9.2811910485499993</v>
      </c>
      <c r="HF784" s="323">
        <f t="shared" si="1186"/>
        <v>11.75578970805935</v>
      </c>
      <c r="HG784" s="323">
        <f t="shared" si="1186"/>
        <v>10.536248736999999</v>
      </c>
      <c r="HH784" s="323">
        <f t="shared" si="1186"/>
        <v>17.13174244</v>
      </c>
      <c r="HI784" s="323">
        <f t="shared" si="1186"/>
        <v>17.403246550999999</v>
      </c>
      <c r="HJ784" s="323">
        <f t="shared" si="1186"/>
        <v>15.586295436</v>
      </c>
      <c r="HK784" s="323">
        <f t="shared" si="1186"/>
        <v>15.409531309</v>
      </c>
      <c r="HL784" s="323">
        <f t="shared" si="1186"/>
        <v>15.121135228</v>
      </c>
      <c r="HM784" s="323">
        <f t="shared" si="1186"/>
        <v>17.724151422999999</v>
      </c>
      <c r="HN784" s="323">
        <f t="shared" si="1186"/>
        <v>16.784662189999999</v>
      </c>
      <c r="HO784" s="323">
        <f t="shared" si="1186"/>
        <v>15.997013987000001</v>
      </c>
      <c r="HP784" s="323">
        <f t="shared" si="1186"/>
        <v>17.898038970999998</v>
      </c>
      <c r="HQ784" s="323">
        <f t="shared" si="1186"/>
        <v>17.420294225999999</v>
      </c>
      <c r="HR784" s="323">
        <f t="shared" si="1186"/>
        <v>20.274094912999818</v>
      </c>
      <c r="HS784" s="323">
        <f t="shared" ref="HS784:HX784" si="1187">HS382</f>
        <v>17.085562310999997</v>
      </c>
      <c r="HT784" s="323">
        <f t="shared" si="1187"/>
        <v>32.477193789000005</v>
      </c>
      <c r="HU784" s="323">
        <f t="shared" si="1187"/>
        <v>31.938466147</v>
      </c>
      <c r="HV784" s="323">
        <f t="shared" si="1187"/>
        <v>31.208666401999999</v>
      </c>
      <c r="HW784" s="323">
        <f t="shared" si="1187"/>
        <v>28.668810459999996</v>
      </c>
      <c r="HX784" s="323">
        <f t="shared" si="1187"/>
        <v>29.823246944999998</v>
      </c>
      <c r="HY784" s="323"/>
      <c r="HZ784" s="326"/>
      <c r="IA784" s="1416" t="s">
        <v>3700</v>
      </c>
      <c r="IB784" s="284">
        <f t="shared" si="1132"/>
        <v>0</v>
      </c>
      <c r="IC784" s="279">
        <f t="shared" si="1133"/>
        <v>0</v>
      </c>
      <c r="ID784" s="323">
        <f t="shared" si="1134"/>
        <v>0</v>
      </c>
      <c r="IE784" s="279">
        <f t="shared" si="1135"/>
        <v>0</v>
      </c>
      <c r="IF784" s="279">
        <f t="shared" si="1136"/>
        <v>0</v>
      </c>
      <c r="IG784" s="323">
        <f t="shared" si="1137"/>
        <v>0</v>
      </c>
      <c r="IH784" s="284">
        <f t="shared" si="1138"/>
        <v>0</v>
      </c>
      <c r="II784" s="279">
        <f t="shared" si="1139"/>
        <v>0</v>
      </c>
      <c r="IJ784" s="323">
        <f t="shared" si="1140"/>
        <v>0</v>
      </c>
      <c r="IK784" s="327">
        <f t="shared" si="1141"/>
        <v>0</v>
      </c>
      <c r="IL784" s="279">
        <f t="shared" si="1142"/>
        <v>0</v>
      </c>
      <c r="IM784" s="323">
        <f t="shared" si="1143"/>
        <v>0</v>
      </c>
      <c r="IN784" s="279">
        <f t="shared" si="1144"/>
        <v>0</v>
      </c>
      <c r="IO784" s="279">
        <f t="shared" si="1145"/>
        <v>0</v>
      </c>
      <c r="IP784" s="323">
        <f t="shared" si="1146"/>
        <v>0</v>
      </c>
      <c r="IQ784" s="327">
        <f t="shared" si="1147"/>
        <v>0</v>
      </c>
      <c r="IR784" s="327">
        <f t="shared" si="1148"/>
        <v>0</v>
      </c>
      <c r="IS784" s="323">
        <f t="shared" si="1149"/>
        <v>0</v>
      </c>
      <c r="IT784" s="327">
        <f t="shared" si="1150"/>
        <v>0</v>
      </c>
      <c r="IU784" s="327">
        <f t="shared" si="1151"/>
        <v>0</v>
      </c>
      <c r="IV784" s="323">
        <f t="shared" si="1152"/>
        <v>0</v>
      </c>
      <c r="IW784" s="327">
        <f t="shared" si="1153"/>
        <v>0</v>
      </c>
      <c r="IX784" s="327">
        <f t="shared" si="1154"/>
        <v>0</v>
      </c>
      <c r="IY784" s="323">
        <f t="shared" si="1155"/>
        <v>0</v>
      </c>
      <c r="IZ784" s="327">
        <f t="shared" si="1156"/>
        <v>0</v>
      </c>
      <c r="JA784" s="327">
        <f t="shared" si="1157"/>
        <v>0</v>
      </c>
      <c r="JB784" s="323">
        <f t="shared" si="1158"/>
        <v>0</v>
      </c>
      <c r="JC784" s="327">
        <f t="shared" si="1159"/>
        <v>64.839346224967287</v>
      </c>
      <c r="JD784" s="327">
        <f t="shared" si="1160"/>
        <v>68.085367153000007</v>
      </c>
      <c r="JE784" s="323">
        <f t="shared" si="1161"/>
        <v>132.92471337796729</v>
      </c>
      <c r="JF784" s="327">
        <f t="shared" si="1162"/>
        <v>74.658286990649998</v>
      </c>
      <c r="JG784" s="327">
        <f t="shared" si="1163"/>
        <v>64.834295533359352</v>
      </c>
      <c r="JH784" s="323">
        <f t="shared" si="1164"/>
        <v>139.49258252400935</v>
      </c>
      <c r="JI784" s="327">
        <f t="shared" si="1165"/>
        <v>91.188199701000002</v>
      </c>
      <c r="JJ784" s="327">
        <f t="shared" si="910"/>
        <v>106.09825570999982</v>
      </c>
      <c r="JK784" s="323">
        <f t="shared" si="890"/>
        <v>197.28645541099982</v>
      </c>
      <c r="JL784" s="327">
        <f t="shared" si="891"/>
        <v>171.20194605399999</v>
      </c>
      <c r="JM784" s="279">
        <f t="shared" si="892"/>
        <v>140.05082274068704</v>
      </c>
      <c r="JN784" s="323">
        <f>FISC!AK1090</f>
        <v>311.25276879468703</v>
      </c>
      <c r="JO784" s="327"/>
      <c r="JQ784" s="323">
        <f>FISC!AL1090</f>
        <v>369.88161428142979</v>
      </c>
      <c r="JR784" s="327"/>
      <c r="JT784" s="323">
        <f>FISC!AM1090</f>
        <v>424.0853311658081</v>
      </c>
      <c r="JU784" s="327"/>
      <c r="JW784" s="323">
        <f>FISC!AN1090</f>
        <v>494.30195710334812</v>
      </c>
      <c r="JX784" s="327"/>
      <c r="JZ784" s="323">
        <f>FISC!AO1090</f>
        <v>615.00496526653035</v>
      </c>
      <c r="KA784" s="327"/>
      <c r="KC784" s="323">
        <f>FISC!AP1090</f>
        <v>674.14232964330449</v>
      </c>
      <c r="KD784" s="327"/>
      <c r="KF784" s="323">
        <f>FISC!AQ1090</f>
        <v>712.20177131464027</v>
      </c>
      <c r="KG784" s="327"/>
      <c r="KI784" s="323">
        <f>FISC!AR1090</f>
        <v>777.77043134668168</v>
      </c>
      <c r="KJ784" s="327"/>
      <c r="KL784" s="323">
        <f>FISC!AS1090</f>
        <v>984.25875902181838</v>
      </c>
      <c r="KM784" s="327"/>
      <c r="KO784" s="323">
        <f>FISC!AT1090</f>
        <v>1443.651783815342</v>
      </c>
      <c r="KU784" s="326"/>
      <c r="KV784" s="327"/>
    </row>
    <row r="785" spans="1:308">
      <c r="A785" s="279"/>
      <c r="D785" s="1232" t="s">
        <v>481</v>
      </c>
      <c r="E785" s="323"/>
      <c r="F785" s="323"/>
      <c r="G785" s="323"/>
      <c r="H785" s="323"/>
      <c r="I785" s="323"/>
      <c r="J785" s="323"/>
      <c r="K785" s="323"/>
      <c r="L785" s="323"/>
      <c r="M785" s="323"/>
      <c r="N785" s="323"/>
      <c r="O785" s="323"/>
      <c r="P785" s="323"/>
      <c r="Q785" s="323"/>
      <c r="R785" s="323"/>
      <c r="S785" s="323"/>
      <c r="T785" s="323"/>
      <c r="U785" s="323"/>
      <c r="V785" s="323"/>
      <c r="W785" s="323"/>
      <c r="X785" s="323"/>
      <c r="Y785" s="323"/>
      <c r="Z785" s="323"/>
      <c r="AA785" s="323"/>
      <c r="AB785" s="323"/>
      <c r="AC785" s="323"/>
      <c r="AD785" s="323"/>
      <c r="AE785" s="323"/>
      <c r="AF785" s="323"/>
      <c r="AG785" s="323"/>
      <c r="AH785" s="323"/>
      <c r="AI785" s="323"/>
      <c r="AJ785" s="323"/>
      <c r="AK785" s="323"/>
      <c r="AL785" s="323"/>
      <c r="AM785" s="323"/>
      <c r="AN785" s="323"/>
      <c r="AO785" s="323"/>
      <c r="AP785" s="323"/>
      <c r="AQ785" s="323"/>
      <c r="AR785" s="323"/>
      <c r="AS785" s="323"/>
      <c r="AT785" s="323"/>
      <c r="AU785" s="323"/>
      <c r="AV785" s="323"/>
      <c r="AW785" s="323"/>
      <c r="AX785" s="323"/>
      <c r="AY785" s="323"/>
      <c r="AZ785" s="323"/>
      <c r="BA785" s="323"/>
      <c r="BB785" s="323"/>
      <c r="BC785" s="323"/>
      <c r="BD785" s="323"/>
      <c r="BE785" s="323"/>
      <c r="BF785" s="323"/>
      <c r="BG785" s="323"/>
      <c r="BH785" s="323"/>
      <c r="BI785" s="323"/>
      <c r="BJ785" s="323"/>
      <c r="BK785" s="323"/>
      <c r="BL785" s="323"/>
      <c r="BM785" s="323"/>
      <c r="BN785" s="323"/>
      <c r="BO785" s="323"/>
      <c r="BP785" s="323"/>
      <c r="BQ785" s="323"/>
      <c r="BR785" s="323"/>
      <c r="BS785" s="323"/>
      <c r="BT785" s="323"/>
      <c r="BU785" s="323"/>
      <c r="BV785" s="323"/>
      <c r="BW785" s="323"/>
      <c r="BX785" s="323"/>
      <c r="BY785" s="323"/>
      <c r="BZ785" s="323"/>
      <c r="CA785" s="323"/>
      <c r="CB785" s="323"/>
      <c r="CC785" s="323"/>
      <c r="CD785" s="329"/>
      <c r="CE785" s="323">
        <f t="shared" ref="CE785:DJ785" si="1188">CE383</f>
        <v>0</v>
      </c>
      <c r="CF785" s="323">
        <f t="shared" si="1188"/>
        <v>0</v>
      </c>
      <c r="CG785" s="323">
        <f t="shared" si="1188"/>
        <v>0</v>
      </c>
      <c r="CH785" s="323">
        <f t="shared" si="1188"/>
        <v>0</v>
      </c>
      <c r="CI785" s="323">
        <f t="shared" si="1188"/>
        <v>0</v>
      </c>
      <c r="CJ785" s="323">
        <f t="shared" si="1188"/>
        <v>0</v>
      </c>
      <c r="CK785" s="323">
        <f t="shared" si="1188"/>
        <v>0</v>
      </c>
      <c r="CL785" s="323">
        <f t="shared" si="1188"/>
        <v>0</v>
      </c>
      <c r="CM785" s="323">
        <f t="shared" si="1188"/>
        <v>0</v>
      </c>
      <c r="CN785" s="323">
        <f t="shared" si="1188"/>
        <v>0</v>
      </c>
      <c r="CO785" s="323">
        <f t="shared" si="1188"/>
        <v>0</v>
      </c>
      <c r="CP785" s="325">
        <f t="shared" si="1188"/>
        <v>0</v>
      </c>
      <c r="CQ785" s="323">
        <f t="shared" si="1188"/>
        <v>0</v>
      </c>
      <c r="CR785" s="323">
        <f t="shared" si="1188"/>
        <v>0</v>
      </c>
      <c r="CS785" s="323">
        <f t="shared" si="1188"/>
        <v>0</v>
      </c>
      <c r="CT785" s="323">
        <f t="shared" si="1188"/>
        <v>0</v>
      </c>
      <c r="CU785" s="323">
        <f t="shared" si="1188"/>
        <v>0</v>
      </c>
      <c r="CV785" s="323">
        <f t="shared" si="1188"/>
        <v>0</v>
      </c>
      <c r="CW785" s="323">
        <f t="shared" si="1188"/>
        <v>0</v>
      </c>
      <c r="CX785" s="323">
        <f t="shared" si="1188"/>
        <v>0</v>
      </c>
      <c r="CY785" s="323">
        <f t="shared" si="1188"/>
        <v>0</v>
      </c>
      <c r="CZ785" s="323">
        <f t="shared" si="1188"/>
        <v>0</v>
      </c>
      <c r="DA785" s="323">
        <f t="shared" si="1188"/>
        <v>0</v>
      </c>
      <c r="DB785" s="1269">
        <f t="shared" si="1188"/>
        <v>0</v>
      </c>
      <c r="DC785" s="323">
        <f t="shared" si="1188"/>
        <v>0</v>
      </c>
      <c r="DD785" s="323">
        <f t="shared" si="1188"/>
        <v>0</v>
      </c>
      <c r="DE785" s="323">
        <f t="shared" si="1188"/>
        <v>0</v>
      </c>
      <c r="DF785" s="323">
        <f t="shared" si="1188"/>
        <v>0</v>
      </c>
      <c r="DG785" s="323">
        <f t="shared" si="1188"/>
        <v>0</v>
      </c>
      <c r="DH785" s="323">
        <f t="shared" si="1188"/>
        <v>0</v>
      </c>
      <c r="DI785" s="323">
        <f t="shared" si="1188"/>
        <v>0</v>
      </c>
      <c r="DJ785" s="323">
        <f t="shared" si="1188"/>
        <v>0</v>
      </c>
      <c r="DK785" s="323">
        <f t="shared" ref="DK785:EP785" si="1189">DK383</f>
        <v>0</v>
      </c>
      <c r="DL785" s="323">
        <f t="shared" si="1189"/>
        <v>0</v>
      </c>
      <c r="DM785" s="323">
        <f t="shared" si="1189"/>
        <v>0</v>
      </c>
      <c r="DN785" s="325">
        <f t="shared" si="1189"/>
        <v>0</v>
      </c>
      <c r="DO785" s="323">
        <f t="shared" si="1189"/>
        <v>0</v>
      </c>
      <c r="DP785" s="323">
        <f t="shared" si="1189"/>
        <v>0</v>
      </c>
      <c r="DQ785" s="323">
        <f t="shared" si="1189"/>
        <v>0</v>
      </c>
      <c r="DR785" s="323">
        <f t="shared" si="1189"/>
        <v>0</v>
      </c>
      <c r="DS785" s="323">
        <f t="shared" si="1189"/>
        <v>0</v>
      </c>
      <c r="DT785" s="323">
        <f t="shared" si="1189"/>
        <v>0</v>
      </c>
      <c r="DU785" s="323">
        <f t="shared" si="1189"/>
        <v>0</v>
      </c>
      <c r="DV785" s="323">
        <f t="shared" si="1189"/>
        <v>0</v>
      </c>
      <c r="DW785" s="323">
        <f t="shared" si="1189"/>
        <v>0</v>
      </c>
      <c r="DX785" s="323">
        <f t="shared" si="1189"/>
        <v>0</v>
      </c>
      <c r="DY785" s="323">
        <f t="shared" si="1189"/>
        <v>0</v>
      </c>
      <c r="DZ785" s="325">
        <f t="shared" si="1189"/>
        <v>0</v>
      </c>
      <c r="EA785" s="323">
        <f t="shared" si="1189"/>
        <v>0</v>
      </c>
      <c r="EB785" s="323">
        <f t="shared" si="1189"/>
        <v>0</v>
      </c>
      <c r="EC785" s="323">
        <f t="shared" si="1189"/>
        <v>0</v>
      </c>
      <c r="ED785" s="323">
        <f t="shared" si="1189"/>
        <v>0</v>
      </c>
      <c r="EE785" s="323">
        <f t="shared" si="1189"/>
        <v>0</v>
      </c>
      <c r="EF785" s="323">
        <f t="shared" si="1189"/>
        <v>0</v>
      </c>
      <c r="EG785" s="323">
        <f t="shared" si="1189"/>
        <v>0</v>
      </c>
      <c r="EH785" s="323">
        <f t="shared" si="1189"/>
        <v>0</v>
      </c>
      <c r="EI785" s="323">
        <f t="shared" si="1189"/>
        <v>0</v>
      </c>
      <c r="EJ785" s="323">
        <f t="shared" si="1189"/>
        <v>0</v>
      </c>
      <c r="EK785" s="323">
        <f t="shared" si="1189"/>
        <v>0</v>
      </c>
      <c r="EL785" s="325">
        <f t="shared" si="1189"/>
        <v>0</v>
      </c>
      <c r="EM785" s="323">
        <f t="shared" si="1189"/>
        <v>0</v>
      </c>
      <c r="EN785" s="323">
        <f t="shared" si="1189"/>
        <v>0</v>
      </c>
      <c r="EO785" s="323">
        <f t="shared" si="1189"/>
        <v>0</v>
      </c>
      <c r="EP785" s="323">
        <f t="shared" si="1189"/>
        <v>0</v>
      </c>
      <c r="EQ785" s="323">
        <f t="shared" ref="EQ785:FV785" si="1190">EQ383</f>
        <v>0</v>
      </c>
      <c r="ER785" s="323">
        <f t="shared" si="1190"/>
        <v>0</v>
      </c>
      <c r="ES785" s="323">
        <f t="shared" si="1190"/>
        <v>0</v>
      </c>
      <c r="ET785" s="323">
        <f t="shared" si="1190"/>
        <v>0</v>
      </c>
      <c r="EU785" s="323">
        <f t="shared" si="1190"/>
        <v>0</v>
      </c>
      <c r="EV785" s="323">
        <f t="shared" si="1190"/>
        <v>0</v>
      </c>
      <c r="EW785" s="323">
        <f t="shared" si="1190"/>
        <v>0</v>
      </c>
      <c r="EX785" s="325">
        <f t="shared" si="1190"/>
        <v>0</v>
      </c>
      <c r="EY785" s="323">
        <f t="shared" si="1190"/>
        <v>0</v>
      </c>
      <c r="EZ785" s="323">
        <f t="shared" si="1190"/>
        <v>0</v>
      </c>
      <c r="FA785" s="323">
        <f t="shared" si="1190"/>
        <v>0</v>
      </c>
      <c r="FB785" s="323">
        <f t="shared" si="1190"/>
        <v>0</v>
      </c>
      <c r="FC785" s="323">
        <f t="shared" si="1190"/>
        <v>0</v>
      </c>
      <c r="FD785" s="323">
        <f t="shared" si="1190"/>
        <v>0</v>
      </c>
      <c r="FE785" s="323">
        <f t="shared" si="1190"/>
        <v>0</v>
      </c>
      <c r="FF785" s="323">
        <f t="shared" si="1190"/>
        <v>0</v>
      </c>
      <c r="FG785" s="323">
        <f t="shared" si="1190"/>
        <v>0</v>
      </c>
      <c r="FH785" s="323">
        <f t="shared" si="1190"/>
        <v>0</v>
      </c>
      <c r="FI785" s="323">
        <f t="shared" si="1190"/>
        <v>0</v>
      </c>
      <c r="FJ785" s="325">
        <f t="shared" si="1190"/>
        <v>0</v>
      </c>
      <c r="FK785" s="323">
        <f t="shared" si="1190"/>
        <v>0</v>
      </c>
      <c r="FL785" s="323">
        <f t="shared" si="1190"/>
        <v>0</v>
      </c>
      <c r="FM785" s="323">
        <f t="shared" si="1190"/>
        <v>0</v>
      </c>
      <c r="FN785" s="323">
        <f t="shared" si="1190"/>
        <v>0</v>
      </c>
      <c r="FO785" s="323">
        <f t="shared" si="1190"/>
        <v>0</v>
      </c>
      <c r="FP785" s="323">
        <f t="shared" si="1190"/>
        <v>0</v>
      </c>
      <c r="FQ785" s="323">
        <f t="shared" si="1190"/>
        <v>0</v>
      </c>
      <c r="FR785" s="323">
        <f t="shared" si="1190"/>
        <v>0</v>
      </c>
      <c r="FS785" s="323">
        <f t="shared" si="1190"/>
        <v>0</v>
      </c>
      <c r="FT785" s="323">
        <f t="shared" si="1190"/>
        <v>0</v>
      </c>
      <c r="FU785" s="323">
        <f t="shared" si="1190"/>
        <v>0</v>
      </c>
      <c r="FV785" s="323">
        <f t="shared" si="1190"/>
        <v>0</v>
      </c>
      <c r="FW785" s="323">
        <v>0</v>
      </c>
      <c r="FX785" s="323">
        <v>0</v>
      </c>
      <c r="FY785" s="323">
        <v>0</v>
      </c>
      <c r="FZ785" s="323">
        <v>0</v>
      </c>
      <c r="GA785" s="323">
        <v>0</v>
      </c>
      <c r="GB785" s="323">
        <v>0</v>
      </c>
      <c r="GC785" s="323">
        <v>0</v>
      </c>
      <c r="GD785" s="323">
        <v>0</v>
      </c>
      <c r="GE785" s="323">
        <v>0</v>
      </c>
      <c r="GF785" s="323">
        <v>0</v>
      </c>
      <c r="GG785" s="323">
        <v>0</v>
      </c>
      <c r="GH785" s="323">
        <v>0</v>
      </c>
      <c r="GI785" s="323">
        <f t="shared" si="1185"/>
        <v>0</v>
      </c>
      <c r="GJ785" s="323">
        <f t="shared" ref="GJ785:HR785" si="1191">GJ383</f>
        <v>0</v>
      </c>
      <c r="GK785" s="323">
        <f t="shared" si="1191"/>
        <v>0</v>
      </c>
      <c r="GL785" s="323">
        <f t="shared" si="1191"/>
        <v>0</v>
      </c>
      <c r="GM785" s="323">
        <f t="shared" si="1191"/>
        <v>0</v>
      </c>
      <c r="GN785" s="323">
        <f t="shared" si="1191"/>
        <v>0</v>
      </c>
      <c r="GO785" s="323">
        <f t="shared" si="1191"/>
        <v>0</v>
      </c>
      <c r="GP785" s="323">
        <f t="shared" si="1191"/>
        <v>0</v>
      </c>
      <c r="GQ785" s="323">
        <f t="shared" si="1191"/>
        <v>0</v>
      </c>
      <c r="GR785" s="323">
        <f t="shared" si="1191"/>
        <v>0</v>
      </c>
      <c r="GS785" s="323">
        <f t="shared" si="1191"/>
        <v>0</v>
      </c>
      <c r="GT785" s="323">
        <f t="shared" si="1191"/>
        <v>0</v>
      </c>
      <c r="GU785" s="323">
        <f t="shared" si="1191"/>
        <v>0</v>
      </c>
      <c r="GV785" s="323">
        <f t="shared" si="1191"/>
        <v>0</v>
      </c>
      <c r="GW785" s="323">
        <f t="shared" si="1191"/>
        <v>0</v>
      </c>
      <c r="GX785" s="323">
        <f t="shared" si="1191"/>
        <v>0</v>
      </c>
      <c r="GY785" s="323">
        <f t="shared" si="1191"/>
        <v>0</v>
      </c>
      <c r="GZ785" s="323">
        <f t="shared" si="1191"/>
        <v>0</v>
      </c>
      <c r="HA785" s="323">
        <f t="shared" si="1191"/>
        <v>0</v>
      </c>
      <c r="HB785" s="323">
        <f t="shared" si="1191"/>
        <v>0</v>
      </c>
      <c r="HC785" s="323">
        <f t="shared" si="1191"/>
        <v>0</v>
      </c>
      <c r="HD785" s="323">
        <f t="shared" si="1191"/>
        <v>0</v>
      </c>
      <c r="HE785" s="323">
        <f t="shared" si="1191"/>
        <v>0</v>
      </c>
      <c r="HF785" s="323">
        <f t="shared" si="1191"/>
        <v>0</v>
      </c>
      <c r="HG785" s="323">
        <f t="shared" si="1191"/>
        <v>0</v>
      </c>
      <c r="HH785" s="323">
        <f t="shared" si="1191"/>
        <v>0</v>
      </c>
      <c r="HI785" s="323">
        <f t="shared" si="1191"/>
        <v>0</v>
      </c>
      <c r="HJ785" s="323">
        <f t="shared" si="1191"/>
        <v>0</v>
      </c>
      <c r="HK785" s="323">
        <f t="shared" si="1191"/>
        <v>0</v>
      </c>
      <c r="HL785" s="323">
        <f t="shared" si="1191"/>
        <v>0</v>
      </c>
      <c r="HM785" s="323">
        <f t="shared" si="1191"/>
        <v>0</v>
      </c>
      <c r="HN785" s="323">
        <f t="shared" si="1191"/>
        <v>0</v>
      </c>
      <c r="HO785" s="323">
        <f t="shared" si="1191"/>
        <v>0</v>
      </c>
      <c r="HP785" s="323">
        <f t="shared" si="1191"/>
        <v>0</v>
      </c>
      <c r="HQ785" s="323">
        <f t="shared" si="1191"/>
        <v>0</v>
      </c>
      <c r="HR785" s="323">
        <f t="shared" si="1191"/>
        <v>0</v>
      </c>
      <c r="HS785" s="323">
        <f t="shared" ref="HS785:HX785" si="1192">HS383</f>
        <v>0</v>
      </c>
      <c r="HT785" s="323">
        <f t="shared" si="1192"/>
        <v>0</v>
      </c>
      <c r="HU785" s="323">
        <f t="shared" si="1192"/>
        <v>0</v>
      </c>
      <c r="HV785" s="323">
        <f t="shared" si="1192"/>
        <v>0</v>
      </c>
      <c r="HW785" s="323">
        <f t="shared" si="1192"/>
        <v>0</v>
      </c>
      <c r="HX785" s="323">
        <f t="shared" si="1192"/>
        <v>0</v>
      </c>
      <c r="HY785" s="323"/>
      <c r="HZ785" s="326"/>
      <c r="IA785" s="1232" t="s">
        <v>481</v>
      </c>
      <c r="IB785" s="284">
        <f>SUM(CE785:CJ785)</f>
        <v>0</v>
      </c>
      <c r="IC785" s="279">
        <f>SUM(CK785:CP785)</f>
        <v>0</v>
      </c>
      <c r="ID785" s="323">
        <f t="shared" si="907"/>
        <v>0</v>
      </c>
      <c r="IE785" s="279">
        <f>SUM(CQ785:CV785)</f>
        <v>0</v>
      </c>
      <c r="IF785" s="279">
        <f>SUM(CW785:DB785)</f>
        <v>0</v>
      </c>
      <c r="IG785" s="323">
        <f t="shared" si="880"/>
        <v>0</v>
      </c>
      <c r="IH785" s="284">
        <f>SUM(DC785:DH785)</f>
        <v>0</v>
      </c>
      <c r="II785" s="279">
        <f>SUM(DI785:DN785)</f>
        <v>0</v>
      </c>
      <c r="IJ785" s="323">
        <f t="shared" si="881"/>
        <v>0</v>
      </c>
      <c r="IK785" s="327">
        <f>SUM(DO785:DT785)</f>
        <v>0</v>
      </c>
      <c r="IL785" s="279">
        <f>SUM(DU785:DZ785)</f>
        <v>0</v>
      </c>
      <c r="IM785" s="323">
        <f t="shared" si="882"/>
        <v>0</v>
      </c>
      <c r="IN785" s="279">
        <f>SUM(EA785:EF785)</f>
        <v>0</v>
      </c>
      <c r="IO785" s="279">
        <f>SUM(EG785:EL785)</f>
        <v>0</v>
      </c>
      <c r="IP785" s="323">
        <f t="shared" si="883"/>
        <v>0</v>
      </c>
      <c r="IQ785" s="327">
        <f>SUM(EM785:ER785)</f>
        <v>0</v>
      </c>
      <c r="IR785" s="327">
        <f>SUM(ES785:EX785)</f>
        <v>0</v>
      </c>
      <c r="IS785" s="323">
        <f t="shared" si="884"/>
        <v>0</v>
      </c>
      <c r="IT785" s="327">
        <f>SUM(EY785:FD785)</f>
        <v>0</v>
      </c>
      <c r="IU785" s="327">
        <f>SUM(FE785:FJ785)</f>
        <v>0</v>
      </c>
      <c r="IV785" s="323">
        <f t="shared" si="885"/>
        <v>0</v>
      </c>
      <c r="IW785" s="327">
        <f t="shared" si="1024"/>
        <v>0</v>
      </c>
      <c r="IX785" s="327">
        <f t="shared" si="868"/>
        <v>0</v>
      </c>
      <c r="IY785" s="323">
        <f>IW785+IX785</f>
        <v>0</v>
      </c>
      <c r="IZ785" s="327">
        <f t="shared" si="869"/>
        <v>0</v>
      </c>
      <c r="JA785" s="327">
        <f t="shared" si="870"/>
        <v>0</v>
      </c>
      <c r="JB785" s="323">
        <f t="shared" si="887"/>
        <v>0</v>
      </c>
      <c r="JC785" s="327">
        <f t="shared" si="871"/>
        <v>0</v>
      </c>
      <c r="JD785" s="327">
        <f t="shared" si="872"/>
        <v>0</v>
      </c>
      <c r="JE785" s="323">
        <f t="shared" si="888"/>
        <v>0</v>
      </c>
      <c r="JF785" s="327">
        <f t="shared" si="908"/>
        <v>0</v>
      </c>
      <c r="JG785" s="327">
        <f t="shared" si="918"/>
        <v>0</v>
      </c>
      <c r="JH785" s="323">
        <f t="shared" si="889"/>
        <v>0</v>
      </c>
      <c r="JI785" s="327">
        <f t="shared" si="909"/>
        <v>0</v>
      </c>
      <c r="JJ785" s="327">
        <f t="shared" si="910"/>
        <v>0</v>
      </c>
      <c r="JK785" s="323">
        <f t="shared" si="890"/>
        <v>0</v>
      </c>
      <c r="JL785" s="327">
        <f t="shared" si="891"/>
        <v>0</v>
      </c>
      <c r="JM785" s="279">
        <f t="shared" si="892"/>
        <v>0</v>
      </c>
      <c r="JN785" s="323">
        <f>FISC!AK1091</f>
        <v>0</v>
      </c>
      <c r="JO785" s="327">
        <f t="shared" si="986"/>
        <v>0</v>
      </c>
      <c r="JP785" s="279">
        <f t="shared" si="893"/>
        <v>0</v>
      </c>
      <c r="JQ785" s="323">
        <f>FISC!AL1091</f>
        <v>0</v>
      </c>
      <c r="JR785" s="327">
        <f t="shared" si="919"/>
        <v>0</v>
      </c>
      <c r="JS785" s="279">
        <f t="shared" si="894"/>
        <v>0</v>
      </c>
      <c r="JT785" s="323">
        <f>FISC!AM1091</f>
        <v>0</v>
      </c>
      <c r="JU785" s="327">
        <f t="shared" si="920"/>
        <v>0</v>
      </c>
      <c r="JV785" s="279">
        <f t="shared" si="911"/>
        <v>0</v>
      </c>
      <c r="JW785" s="323">
        <f>FISC!AN1091</f>
        <v>0</v>
      </c>
      <c r="JX785" s="327">
        <f t="shared" si="921"/>
        <v>0</v>
      </c>
      <c r="JY785" s="279">
        <f t="shared" si="895"/>
        <v>0</v>
      </c>
      <c r="JZ785" s="323">
        <f>FISC!AO1091</f>
        <v>0</v>
      </c>
      <c r="KA785" s="327">
        <f t="shared" ref="KA785:KA792" si="1193">KC785*0.48</f>
        <v>0</v>
      </c>
      <c r="KB785" s="279">
        <f t="shared" ref="KB785:KB815" si="1194">KC785-KA785</f>
        <v>0</v>
      </c>
      <c r="KC785" s="323">
        <f>FISC!AP1091</f>
        <v>0</v>
      </c>
      <c r="KD785" s="327">
        <f t="shared" ref="KD785:KD792" si="1195">KF785*0.48</f>
        <v>0</v>
      </c>
      <c r="KE785" s="279">
        <f t="shared" ref="KE785:KE815" si="1196">KF785-KD785</f>
        <v>0</v>
      </c>
      <c r="KF785" s="323">
        <f>FISC!AQ1091</f>
        <v>0</v>
      </c>
      <c r="KG785" s="327">
        <f t="shared" ref="KG785:KG792" si="1197">KI785*0.48</f>
        <v>0</v>
      </c>
      <c r="KH785" s="279">
        <f t="shared" ref="KH785:KH815" si="1198">KI785-KG785</f>
        <v>0</v>
      </c>
      <c r="KI785" s="323">
        <f>FISC!AR1091</f>
        <v>0</v>
      </c>
      <c r="KJ785" s="327">
        <f t="shared" ref="KJ785:KJ792" si="1199">KL785*0.48</f>
        <v>0</v>
      </c>
      <c r="KK785" s="279">
        <f t="shared" ref="KK785:KK815" si="1200">KL785-KJ785</f>
        <v>0</v>
      </c>
      <c r="KL785" s="323">
        <f>FISC!AS1091</f>
        <v>0</v>
      </c>
      <c r="KM785" s="327">
        <f t="shared" ref="KM785:KM792" si="1201">KO785*0.48</f>
        <v>0</v>
      </c>
      <c r="KN785" s="279">
        <f t="shared" ref="KN785:KN815" si="1202">KO785-KM785</f>
        <v>0</v>
      </c>
      <c r="KO785" s="323">
        <f>FISC!AT1091</f>
        <v>0</v>
      </c>
      <c r="KU785" s="326"/>
      <c r="KV785" s="327"/>
    </row>
    <row r="786" spans="1:308">
      <c r="A786" s="279"/>
      <c r="D786" s="1232" t="s">
        <v>482</v>
      </c>
      <c r="E786" s="323"/>
      <c r="F786" s="323"/>
      <c r="G786" s="323"/>
      <c r="H786" s="323"/>
      <c r="I786" s="323"/>
      <c r="J786" s="323"/>
      <c r="K786" s="323"/>
      <c r="L786" s="323"/>
      <c r="M786" s="323"/>
      <c r="N786" s="323"/>
      <c r="O786" s="323"/>
      <c r="P786" s="323"/>
      <c r="Q786" s="323"/>
      <c r="R786" s="323"/>
      <c r="S786" s="323"/>
      <c r="T786" s="323"/>
      <c r="U786" s="323"/>
      <c r="V786" s="323"/>
      <c r="W786" s="323"/>
      <c r="X786" s="323"/>
      <c r="Y786" s="323"/>
      <c r="Z786" s="323"/>
      <c r="AA786" s="323"/>
      <c r="AB786" s="323"/>
      <c r="AC786" s="323"/>
      <c r="AD786" s="323"/>
      <c r="AE786" s="323"/>
      <c r="AF786" s="323"/>
      <c r="AG786" s="323"/>
      <c r="AH786" s="323"/>
      <c r="AI786" s="323"/>
      <c r="AJ786" s="323"/>
      <c r="AK786" s="323"/>
      <c r="AL786" s="323"/>
      <c r="AM786" s="323"/>
      <c r="AN786" s="323"/>
      <c r="AO786" s="323"/>
      <c r="AP786" s="323"/>
      <c r="AQ786" s="323"/>
      <c r="AR786" s="323"/>
      <c r="AS786" s="323"/>
      <c r="AT786" s="323"/>
      <c r="AU786" s="323"/>
      <c r="AV786" s="323"/>
      <c r="AW786" s="323"/>
      <c r="AX786" s="323"/>
      <c r="AY786" s="323"/>
      <c r="AZ786" s="323"/>
      <c r="BA786" s="323"/>
      <c r="BB786" s="323"/>
      <c r="BC786" s="323"/>
      <c r="BD786" s="323"/>
      <c r="BE786" s="323"/>
      <c r="BF786" s="323"/>
      <c r="BG786" s="323"/>
      <c r="BH786" s="323"/>
      <c r="BI786" s="323"/>
      <c r="BJ786" s="323"/>
      <c r="BK786" s="323"/>
      <c r="BL786" s="323"/>
      <c r="BM786" s="323"/>
      <c r="BN786" s="323"/>
      <c r="BO786" s="323"/>
      <c r="BP786" s="323"/>
      <c r="BQ786" s="323"/>
      <c r="BR786" s="323"/>
      <c r="BS786" s="323"/>
      <c r="BT786" s="323"/>
      <c r="BU786" s="323"/>
      <c r="BV786" s="323"/>
      <c r="BW786" s="323"/>
      <c r="BX786" s="323"/>
      <c r="BY786" s="323"/>
      <c r="BZ786" s="323"/>
      <c r="CA786" s="323"/>
      <c r="CB786" s="323"/>
      <c r="CC786" s="323"/>
      <c r="CD786" s="329"/>
      <c r="CE786" s="323">
        <f t="shared" ref="CE786:DJ786" si="1203">CE384</f>
        <v>0</v>
      </c>
      <c r="CF786" s="323">
        <f t="shared" si="1203"/>
        <v>0</v>
      </c>
      <c r="CG786" s="323">
        <f t="shared" si="1203"/>
        <v>0</v>
      </c>
      <c r="CH786" s="323">
        <f t="shared" si="1203"/>
        <v>0</v>
      </c>
      <c r="CI786" s="323">
        <f t="shared" si="1203"/>
        <v>0</v>
      </c>
      <c r="CJ786" s="323">
        <f t="shared" si="1203"/>
        <v>0</v>
      </c>
      <c r="CK786" s="323">
        <f t="shared" si="1203"/>
        <v>0</v>
      </c>
      <c r="CL786" s="323">
        <f t="shared" si="1203"/>
        <v>0</v>
      </c>
      <c r="CM786" s="323">
        <f t="shared" si="1203"/>
        <v>0</v>
      </c>
      <c r="CN786" s="323">
        <f t="shared" si="1203"/>
        <v>0</v>
      </c>
      <c r="CO786" s="323">
        <f t="shared" si="1203"/>
        <v>0</v>
      </c>
      <c r="CP786" s="325">
        <f t="shared" si="1203"/>
        <v>0</v>
      </c>
      <c r="CQ786" s="323">
        <f t="shared" si="1203"/>
        <v>0</v>
      </c>
      <c r="CR786" s="323">
        <f t="shared" si="1203"/>
        <v>0</v>
      </c>
      <c r="CS786" s="323">
        <f t="shared" si="1203"/>
        <v>0</v>
      </c>
      <c r="CT786" s="323">
        <f t="shared" si="1203"/>
        <v>0</v>
      </c>
      <c r="CU786" s="323">
        <f t="shared" si="1203"/>
        <v>0</v>
      </c>
      <c r="CV786" s="323">
        <f t="shared" si="1203"/>
        <v>0</v>
      </c>
      <c r="CW786" s="323">
        <f t="shared" si="1203"/>
        <v>0</v>
      </c>
      <c r="CX786" s="323">
        <f t="shared" si="1203"/>
        <v>0</v>
      </c>
      <c r="CY786" s="323">
        <f t="shared" si="1203"/>
        <v>0</v>
      </c>
      <c r="CZ786" s="323">
        <f t="shared" si="1203"/>
        <v>0</v>
      </c>
      <c r="DA786" s="323">
        <f t="shared" si="1203"/>
        <v>0</v>
      </c>
      <c r="DB786" s="1269">
        <f t="shared" si="1203"/>
        <v>0</v>
      </c>
      <c r="DC786" s="323">
        <f t="shared" si="1203"/>
        <v>0</v>
      </c>
      <c r="DD786" s="323">
        <f t="shared" si="1203"/>
        <v>0</v>
      </c>
      <c r="DE786" s="323">
        <f t="shared" si="1203"/>
        <v>0</v>
      </c>
      <c r="DF786" s="323">
        <f t="shared" si="1203"/>
        <v>0</v>
      </c>
      <c r="DG786" s="323">
        <f t="shared" si="1203"/>
        <v>0</v>
      </c>
      <c r="DH786" s="323">
        <f t="shared" si="1203"/>
        <v>0</v>
      </c>
      <c r="DI786" s="323">
        <f t="shared" si="1203"/>
        <v>0</v>
      </c>
      <c r="DJ786" s="323">
        <f t="shared" si="1203"/>
        <v>0</v>
      </c>
      <c r="DK786" s="323">
        <f t="shared" ref="DK786:EP786" si="1204">DK384</f>
        <v>0</v>
      </c>
      <c r="DL786" s="323">
        <f t="shared" si="1204"/>
        <v>0</v>
      </c>
      <c r="DM786" s="323">
        <f t="shared" si="1204"/>
        <v>0</v>
      </c>
      <c r="DN786" s="325">
        <f t="shared" si="1204"/>
        <v>0</v>
      </c>
      <c r="DO786" s="323">
        <f t="shared" si="1204"/>
        <v>0</v>
      </c>
      <c r="DP786" s="323">
        <f t="shared" si="1204"/>
        <v>0</v>
      </c>
      <c r="DQ786" s="323">
        <f t="shared" si="1204"/>
        <v>0</v>
      </c>
      <c r="DR786" s="323">
        <f t="shared" si="1204"/>
        <v>0</v>
      </c>
      <c r="DS786" s="323">
        <f t="shared" si="1204"/>
        <v>0</v>
      </c>
      <c r="DT786" s="323">
        <f t="shared" si="1204"/>
        <v>0</v>
      </c>
      <c r="DU786" s="323">
        <f t="shared" si="1204"/>
        <v>0</v>
      </c>
      <c r="DV786" s="323">
        <f t="shared" si="1204"/>
        <v>0</v>
      </c>
      <c r="DW786" s="323">
        <f t="shared" si="1204"/>
        <v>0</v>
      </c>
      <c r="DX786" s="323">
        <f t="shared" si="1204"/>
        <v>0</v>
      </c>
      <c r="DY786" s="323">
        <f t="shared" si="1204"/>
        <v>0</v>
      </c>
      <c r="DZ786" s="325">
        <f t="shared" si="1204"/>
        <v>0</v>
      </c>
      <c r="EA786" s="323">
        <f t="shared" si="1204"/>
        <v>0</v>
      </c>
      <c r="EB786" s="323">
        <f t="shared" si="1204"/>
        <v>0</v>
      </c>
      <c r="EC786" s="323">
        <f t="shared" si="1204"/>
        <v>0</v>
      </c>
      <c r="ED786" s="323">
        <f t="shared" si="1204"/>
        <v>0</v>
      </c>
      <c r="EE786" s="323">
        <f t="shared" si="1204"/>
        <v>0</v>
      </c>
      <c r="EF786" s="323">
        <f t="shared" si="1204"/>
        <v>0</v>
      </c>
      <c r="EG786" s="323">
        <f t="shared" si="1204"/>
        <v>0</v>
      </c>
      <c r="EH786" s="323">
        <f t="shared" si="1204"/>
        <v>0</v>
      </c>
      <c r="EI786" s="323">
        <f t="shared" si="1204"/>
        <v>0</v>
      </c>
      <c r="EJ786" s="323">
        <f t="shared" si="1204"/>
        <v>0</v>
      </c>
      <c r="EK786" s="323">
        <f t="shared" si="1204"/>
        <v>0</v>
      </c>
      <c r="EL786" s="325">
        <f t="shared" si="1204"/>
        <v>0</v>
      </c>
      <c r="EM786" s="323">
        <f t="shared" si="1204"/>
        <v>0</v>
      </c>
      <c r="EN786" s="323">
        <f t="shared" si="1204"/>
        <v>0</v>
      </c>
      <c r="EO786" s="323">
        <f t="shared" si="1204"/>
        <v>0</v>
      </c>
      <c r="EP786" s="323">
        <f t="shared" si="1204"/>
        <v>0</v>
      </c>
      <c r="EQ786" s="323">
        <f t="shared" ref="EQ786:FV786" si="1205">EQ384</f>
        <v>0</v>
      </c>
      <c r="ER786" s="323">
        <f t="shared" si="1205"/>
        <v>0</v>
      </c>
      <c r="ES786" s="323">
        <f t="shared" si="1205"/>
        <v>0</v>
      </c>
      <c r="ET786" s="323">
        <f t="shared" si="1205"/>
        <v>0</v>
      </c>
      <c r="EU786" s="323">
        <f t="shared" si="1205"/>
        <v>0</v>
      </c>
      <c r="EV786" s="323">
        <f t="shared" si="1205"/>
        <v>0</v>
      </c>
      <c r="EW786" s="323">
        <f t="shared" si="1205"/>
        <v>0</v>
      </c>
      <c r="EX786" s="325">
        <f t="shared" si="1205"/>
        <v>0</v>
      </c>
      <c r="EY786" s="323">
        <f t="shared" si="1205"/>
        <v>0.10653807999999999</v>
      </c>
      <c r="EZ786" s="323">
        <f t="shared" si="1205"/>
        <v>0.119452564</v>
      </c>
      <c r="FA786" s="323">
        <f t="shared" si="1205"/>
        <v>0.13369715900000001</v>
      </c>
      <c r="FB786" s="323">
        <f t="shared" si="1205"/>
        <v>0.117494873</v>
      </c>
      <c r="FC786" s="323">
        <f t="shared" si="1205"/>
        <v>0.11112109100000001</v>
      </c>
      <c r="FD786" s="323">
        <f t="shared" si="1205"/>
        <v>0.107722707</v>
      </c>
      <c r="FE786" s="323">
        <f t="shared" si="1205"/>
        <v>0.11991792900000001</v>
      </c>
      <c r="FF786" s="323">
        <f t="shared" si="1205"/>
        <v>0.134249074</v>
      </c>
      <c r="FG786" s="323">
        <f t="shared" si="1205"/>
        <v>0.12293912899999999</v>
      </c>
      <c r="FH786" s="323">
        <f t="shared" si="1205"/>
        <v>4.6729676999999997E-2</v>
      </c>
      <c r="FI786" s="323">
        <f t="shared" si="1205"/>
        <v>3.814647E-3</v>
      </c>
      <c r="FJ786" s="325">
        <f t="shared" si="1205"/>
        <v>1.0799428E-2</v>
      </c>
      <c r="FK786" s="323">
        <f t="shared" si="1205"/>
        <v>2.6409012999999999E-2</v>
      </c>
      <c r="FL786" s="323">
        <f t="shared" si="1205"/>
        <v>1.5117556000000001E-2</v>
      </c>
      <c r="FM786" s="323">
        <f t="shared" si="1205"/>
        <v>2.9343368000000002E-2</v>
      </c>
      <c r="FN786" s="323">
        <f t="shared" si="1205"/>
        <v>4.6567365950341562E-2</v>
      </c>
      <c r="FO786" s="323">
        <f t="shared" si="1205"/>
        <v>8.0208810855810081E-2</v>
      </c>
      <c r="FP786" s="323">
        <f t="shared" si="1205"/>
        <v>7.7259509594136175E-2</v>
      </c>
      <c r="FQ786" s="323">
        <f t="shared" si="1205"/>
        <v>0.11215451619431686</v>
      </c>
      <c r="FR786" s="323">
        <f t="shared" si="1205"/>
        <v>6.6105133672819394E-2</v>
      </c>
      <c r="FS786" s="323">
        <f t="shared" si="1205"/>
        <v>6.2961698881499398E-2</v>
      </c>
      <c r="FT786" s="323">
        <f t="shared" si="1205"/>
        <v>5.2771587392215019E-2</v>
      </c>
      <c r="FU786" s="323">
        <f t="shared" si="1205"/>
        <v>5.7690208506360106E-2</v>
      </c>
      <c r="FV786" s="323">
        <f t="shared" si="1205"/>
        <v>7.4472849233990973E-2</v>
      </c>
      <c r="FW786" s="323">
        <v>8.2250240226935292E-2</v>
      </c>
      <c r="FX786" s="323">
        <v>9.0805313971209292E-2</v>
      </c>
      <c r="FY786" s="323">
        <v>6.290088198763627E-2</v>
      </c>
      <c r="FZ786" s="323">
        <v>0.11254463923743112</v>
      </c>
      <c r="GA786" s="323">
        <v>5.3539901131737538E-2</v>
      </c>
      <c r="GB786" s="323">
        <v>0.18795065650670742</v>
      </c>
      <c r="GC786" s="323">
        <v>0.20999435494870752</v>
      </c>
      <c r="GD786" s="323">
        <v>0.20817016616648687</v>
      </c>
      <c r="GE786" s="323">
        <v>0.18023657502643631</v>
      </c>
      <c r="GF786" s="323">
        <v>0.16923144942246571</v>
      </c>
      <c r="GG786" s="323">
        <v>0.17581170783388561</v>
      </c>
      <c r="GH786" s="323">
        <v>0.15567696859847699</v>
      </c>
      <c r="GI786" s="323">
        <f t="shared" si="1185"/>
        <v>0</v>
      </c>
      <c r="GJ786" s="323">
        <f t="shared" ref="GJ786:HR786" si="1206">GJ384</f>
        <v>0</v>
      </c>
      <c r="GK786" s="323">
        <f t="shared" si="1206"/>
        <v>0</v>
      </c>
      <c r="GL786" s="323">
        <f t="shared" si="1206"/>
        <v>0</v>
      </c>
      <c r="GM786" s="323">
        <f t="shared" si="1206"/>
        <v>0</v>
      </c>
      <c r="GN786" s="323">
        <f t="shared" si="1206"/>
        <v>0</v>
      </c>
      <c r="GO786" s="323">
        <f t="shared" si="1206"/>
        <v>0</v>
      </c>
      <c r="GP786" s="323">
        <f t="shared" si="1206"/>
        <v>0</v>
      </c>
      <c r="GQ786" s="323">
        <f t="shared" si="1206"/>
        <v>0</v>
      </c>
      <c r="GR786" s="323">
        <f t="shared" si="1206"/>
        <v>0</v>
      </c>
      <c r="GS786" s="323">
        <f t="shared" si="1206"/>
        <v>0</v>
      </c>
      <c r="GT786" s="323">
        <f t="shared" si="1206"/>
        <v>0</v>
      </c>
      <c r="GU786" s="323">
        <f t="shared" si="1206"/>
        <v>0.19999550699999999</v>
      </c>
      <c r="GV786" s="323">
        <f t="shared" si="1206"/>
        <v>0.24524757899999999</v>
      </c>
      <c r="GW786" s="323">
        <f t="shared" si="1206"/>
        <v>0.237309567</v>
      </c>
      <c r="GX786" s="323">
        <f t="shared" si="1206"/>
        <v>0.21867305200000001</v>
      </c>
      <c r="GY786" s="323">
        <f t="shared" si="1206"/>
        <v>5.9883767999999997E-2</v>
      </c>
      <c r="GZ786" s="323">
        <f t="shared" si="1206"/>
        <v>0.38814536799999999</v>
      </c>
      <c r="HA786" s="323">
        <f t="shared" si="1206"/>
        <v>0.39780178300000002</v>
      </c>
      <c r="HB786" s="323">
        <f t="shared" si="1206"/>
        <v>0.37802133799999998</v>
      </c>
      <c r="HC786" s="323">
        <f t="shared" si="1206"/>
        <v>0.385825005</v>
      </c>
      <c r="HD786" s="323">
        <f t="shared" si="1206"/>
        <v>0.44115505100000002</v>
      </c>
      <c r="HE786" s="323">
        <f t="shared" si="1206"/>
        <v>0.518501294</v>
      </c>
      <c r="HF786" s="323">
        <f t="shared" si="1206"/>
        <v>0.50786886399999998</v>
      </c>
      <c r="HG786" s="323">
        <f t="shared" si="1206"/>
        <v>0.51054981600000005</v>
      </c>
      <c r="HH786" s="323">
        <f t="shared" si="1206"/>
        <v>0.48340100899999999</v>
      </c>
      <c r="HI786" s="323">
        <f t="shared" si="1206"/>
        <v>0.46028750299999999</v>
      </c>
      <c r="HJ786" s="323">
        <f t="shared" si="1206"/>
        <v>0.57127893699999999</v>
      </c>
      <c r="HK786" s="323">
        <f t="shared" si="1206"/>
        <v>0.58402084099999996</v>
      </c>
      <c r="HL786" s="323">
        <f t="shared" si="1206"/>
        <v>0.70045251500000005</v>
      </c>
      <c r="HM786" s="323">
        <f t="shared" si="1206"/>
        <v>0.70818774399999995</v>
      </c>
      <c r="HN786" s="323">
        <f t="shared" si="1206"/>
        <v>0.56814267900000004</v>
      </c>
      <c r="HO786" s="323">
        <f t="shared" si="1206"/>
        <v>0.66096034400000003</v>
      </c>
      <c r="HP786" s="323">
        <f t="shared" si="1206"/>
        <v>0.63541737700000001</v>
      </c>
      <c r="HQ786" s="323">
        <f t="shared" si="1206"/>
        <v>0.72147112199999996</v>
      </c>
      <c r="HR786" s="323">
        <f t="shared" si="1206"/>
        <v>0.69097228799999999</v>
      </c>
      <c r="HS786" s="323">
        <f t="shared" ref="HS786:HX786" si="1207">HS384</f>
        <v>0.66076011999999995</v>
      </c>
      <c r="HT786" s="323">
        <f t="shared" si="1207"/>
        <v>1.1497363460000001</v>
      </c>
      <c r="HU786" s="323">
        <f t="shared" si="1207"/>
        <v>1.296465226</v>
      </c>
      <c r="HV786" s="323">
        <f t="shared" si="1207"/>
        <v>1.287719778</v>
      </c>
      <c r="HW786" s="323">
        <f t="shared" si="1207"/>
        <v>2.2738004420000002</v>
      </c>
      <c r="HX786" s="323">
        <f t="shared" si="1207"/>
        <v>2.4058936759999998</v>
      </c>
      <c r="HY786" s="323"/>
      <c r="HZ786" s="326"/>
      <c r="IA786" s="1232" t="s">
        <v>482</v>
      </c>
      <c r="IB786" s="284">
        <f>SUM(CE786:CJ786)</f>
        <v>0</v>
      </c>
      <c r="IC786" s="279">
        <f>SUM(CK786:CP786)</f>
        <v>0</v>
      </c>
      <c r="ID786" s="323">
        <f t="shared" si="907"/>
        <v>0</v>
      </c>
      <c r="IE786" s="279">
        <f>SUM(CQ786:CV786)</f>
        <v>0</v>
      </c>
      <c r="IF786" s="279">
        <f>SUM(CW786:DB786)</f>
        <v>0</v>
      </c>
      <c r="IG786" s="323">
        <f t="shared" si="880"/>
        <v>0</v>
      </c>
      <c r="IH786" s="284">
        <f>SUM(DC786:DH786)</f>
        <v>0</v>
      </c>
      <c r="II786" s="279">
        <f>SUM(DI786:DN786)</f>
        <v>0</v>
      </c>
      <c r="IJ786" s="323">
        <f t="shared" si="881"/>
        <v>0</v>
      </c>
      <c r="IK786" s="327">
        <f>SUM(DO786:DT786)</f>
        <v>0</v>
      </c>
      <c r="IL786" s="279">
        <f>SUM(DU786:DZ786)</f>
        <v>0</v>
      </c>
      <c r="IM786" s="323">
        <f t="shared" si="882"/>
        <v>0</v>
      </c>
      <c r="IN786" s="279">
        <f>SUM(EA786:EF786)</f>
        <v>0</v>
      </c>
      <c r="IO786" s="279">
        <f>SUM(EG786:EL786)</f>
        <v>0</v>
      </c>
      <c r="IP786" s="323">
        <f t="shared" si="883"/>
        <v>0</v>
      </c>
      <c r="IQ786" s="327">
        <f>SUM(EM786:ER786)</f>
        <v>0</v>
      </c>
      <c r="IR786" s="327">
        <f>SUM(ES786:EX786)</f>
        <v>0</v>
      </c>
      <c r="IS786" s="323">
        <f t="shared" si="884"/>
        <v>0</v>
      </c>
      <c r="IT786" s="327">
        <f>SUM(EY786:FD786)</f>
        <v>0.69602647399999995</v>
      </c>
      <c r="IU786" s="327">
        <f>SUM(FE786:FJ786)</f>
        <v>0.43844988399999996</v>
      </c>
      <c r="IV786" s="323">
        <f t="shared" si="885"/>
        <v>1.1344763579999999</v>
      </c>
      <c r="IW786" s="327">
        <f t="shared" si="1024"/>
        <v>0.27490562340028779</v>
      </c>
      <c r="IX786" s="327">
        <f t="shared" si="868"/>
        <v>0.42615599388120173</v>
      </c>
      <c r="IY786" s="323">
        <f t="shared" si="886"/>
        <v>0.70106161728148952</v>
      </c>
      <c r="IZ786" s="327">
        <f t="shared" si="869"/>
        <v>0.58999163306165692</v>
      </c>
      <c r="JA786" s="327">
        <f t="shared" si="870"/>
        <v>1.099121221996459</v>
      </c>
      <c r="JB786" s="323">
        <f t="shared" si="887"/>
        <v>1.689112855058116</v>
      </c>
      <c r="JC786" s="327">
        <f t="shared" si="871"/>
        <v>0</v>
      </c>
      <c r="JD786" s="327">
        <f t="shared" si="872"/>
        <v>0</v>
      </c>
      <c r="JE786" s="323">
        <f t="shared" si="888"/>
        <v>0</v>
      </c>
      <c r="JF786" s="327">
        <f t="shared" si="908"/>
        <v>1.3492548409999998</v>
      </c>
      <c r="JG786" s="327">
        <f t="shared" si="918"/>
        <v>2.6291733349999999</v>
      </c>
      <c r="JH786" s="323">
        <f t="shared" si="889"/>
        <v>3.9784281759999995</v>
      </c>
      <c r="JI786" s="327">
        <f t="shared" si="909"/>
        <v>3.3099906209999999</v>
      </c>
      <c r="JJ786" s="327">
        <f t="shared" si="910"/>
        <v>3.9851515539999998</v>
      </c>
      <c r="JK786" s="323">
        <f t="shared" si="890"/>
        <v>7.2951421749999996</v>
      </c>
      <c r="JL786" s="327">
        <f t="shared" si="891"/>
        <v>9.0743755880000005</v>
      </c>
      <c r="JM786" s="279">
        <f t="shared" si="892"/>
        <v>-4.2849397098524538</v>
      </c>
      <c r="JN786" s="323">
        <f>FISC!AK1092</f>
        <v>4.7894358781475468</v>
      </c>
      <c r="JO786" s="327">
        <f>JQ786*0.471</f>
        <v>3.3416726169049826</v>
      </c>
      <c r="JP786" s="279">
        <f t="shared" si="893"/>
        <v>3.7531737034877621</v>
      </c>
      <c r="JQ786" s="323">
        <f>FISC!AL1092</f>
        <v>7.0948463203927448</v>
      </c>
      <c r="JR786" s="327">
        <f t="shared" si="919"/>
        <v>4.1064082782426325</v>
      </c>
      <c r="JS786" s="279">
        <f t="shared" si="894"/>
        <v>4.4486089680961847</v>
      </c>
      <c r="JT786" s="323">
        <f>FISC!AM1092</f>
        <v>8.5550172463388172</v>
      </c>
      <c r="JU786" s="327">
        <f t="shared" si="920"/>
        <v>4.8493246149975073</v>
      </c>
      <c r="JV786" s="279">
        <f t="shared" si="911"/>
        <v>5.2534349995806329</v>
      </c>
      <c r="JW786" s="323">
        <f>FISC!AN1092</f>
        <v>10.10275961457814</v>
      </c>
      <c r="JX786" s="327">
        <f t="shared" si="921"/>
        <v>6.2711042958106384</v>
      </c>
      <c r="JY786" s="279">
        <f t="shared" si="895"/>
        <v>6.7936963204615255</v>
      </c>
      <c r="JZ786" s="323">
        <f>FISC!AO1092</f>
        <v>13.064800616272164</v>
      </c>
      <c r="KA786" s="327">
        <f t="shared" si="1193"/>
        <v>7.3347824368761447</v>
      </c>
      <c r="KB786" s="279">
        <f t="shared" si="1194"/>
        <v>7.9460143066158242</v>
      </c>
      <c r="KC786" s="323">
        <f>FISC!AP1092</f>
        <v>15.280796743491969</v>
      </c>
      <c r="KD786" s="327">
        <f t="shared" si="1195"/>
        <v>8.5830798043692642</v>
      </c>
      <c r="KE786" s="279">
        <f t="shared" si="1196"/>
        <v>9.2983364547333718</v>
      </c>
      <c r="KF786" s="323">
        <f>FISC!AQ1092</f>
        <v>17.881416259102636</v>
      </c>
      <c r="KG786" s="327">
        <f t="shared" si="1197"/>
        <v>9.8882754019160135</v>
      </c>
      <c r="KH786" s="279">
        <f t="shared" si="1198"/>
        <v>10.712298352075683</v>
      </c>
      <c r="KI786" s="323">
        <f>FISC!AR1092</f>
        <v>20.600573753991696</v>
      </c>
      <c r="KJ786" s="327">
        <f t="shared" si="1199"/>
        <v>11.237232600585754</v>
      </c>
      <c r="KK786" s="279">
        <f t="shared" si="1200"/>
        <v>12.173668650634569</v>
      </c>
      <c r="KL786" s="323">
        <f>FISC!AS1092</f>
        <v>23.410901251220324</v>
      </c>
      <c r="KM786" s="327">
        <f t="shared" si="1201"/>
        <v>12.472616655441426</v>
      </c>
      <c r="KN786" s="279">
        <f t="shared" si="1202"/>
        <v>13.512001376728213</v>
      </c>
      <c r="KO786" s="323">
        <f>FISC!AT1092</f>
        <v>25.984618032169639</v>
      </c>
      <c r="KU786" s="326"/>
      <c r="KV786" s="327"/>
    </row>
    <row r="787" spans="1:308">
      <c r="A787" s="279"/>
      <c r="D787" s="1232" t="s">
        <v>483</v>
      </c>
      <c r="E787" s="323"/>
      <c r="F787" s="323"/>
      <c r="G787" s="323"/>
      <c r="H787" s="323"/>
      <c r="I787" s="323"/>
      <c r="J787" s="323"/>
      <c r="K787" s="323"/>
      <c r="L787" s="323"/>
      <c r="M787" s="323"/>
      <c r="N787" s="323"/>
      <c r="O787" s="323"/>
      <c r="P787" s="323"/>
      <c r="Q787" s="323"/>
      <c r="R787" s="323"/>
      <c r="S787" s="323"/>
      <c r="T787" s="323"/>
      <c r="U787" s="323"/>
      <c r="V787" s="323"/>
      <c r="W787" s="323"/>
      <c r="X787" s="323"/>
      <c r="Y787" s="323"/>
      <c r="Z787" s="323"/>
      <c r="AA787" s="323"/>
      <c r="AB787" s="323"/>
      <c r="AC787" s="323"/>
      <c r="AD787" s="323"/>
      <c r="AE787" s="323"/>
      <c r="AF787" s="323"/>
      <c r="AG787" s="323"/>
      <c r="AH787" s="323"/>
      <c r="AI787" s="323"/>
      <c r="AJ787" s="323"/>
      <c r="AK787" s="323"/>
      <c r="AL787" s="323"/>
      <c r="AM787" s="323"/>
      <c r="AN787" s="323"/>
      <c r="AO787" s="323"/>
      <c r="AP787" s="323"/>
      <c r="AQ787" s="323"/>
      <c r="AR787" s="323"/>
      <c r="AS787" s="323"/>
      <c r="AT787" s="323"/>
      <c r="AU787" s="323"/>
      <c r="AV787" s="323"/>
      <c r="AW787" s="323"/>
      <c r="AX787" s="323"/>
      <c r="AY787" s="323"/>
      <c r="AZ787" s="323"/>
      <c r="BA787" s="323"/>
      <c r="BB787" s="323"/>
      <c r="BC787" s="323"/>
      <c r="BD787" s="323"/>
      <c r="BE787" s="323"/>
      <c r="BF787" s="323"/>
      <c r="BG787" s="323"/>
      <c r="BH787" s="323"/>
      <c r="BI787" s="323"/>
      <c r="BJ787" s="323"/>
      <c r="BK787" s="323"/>
      <c r="BL787" s="323"/>
      <c r="BM787" s="323"/>
      <c r="BN787" s="323"/>
      <c r="BO787" s="323"/>
      <c r="BP787" s="323"/>
      <c r="BQ787" s="323"/>
      <c r="BR787" s="323"/>
      <c r="BS787" s="323"/>
      <c r="BT787" s="323"/>
      <c r="BU787" s="323"/>
      <c r="BV787" s="323"/>
      <c r="BW787" s="323"/>
      <c r="BX787" s="323"/>
      <c r="BY787" s="323"/>
      <c r="BZ787" s="323"/>
      <c r="CA787" s="323"/>
      <c r="CB787" s="323"/>
      <c r="CC787" s="323"/>
      <c r="CD787" s="329"/>
      <c r="CE787" s="323">
        <f t="shared" ref="CE787:DJ787" si="1208">CE385</f>
        <v>0</v>
      </c>
      <c r="CF787" s="323">
        <f t="shared" si="1208"/>
        <v>0</v>
      </c>
      <c r="CG787" s="323">
        <f t="shared" si="1208"/>
        <v>0</v>
      </c>
      <c r="CH787" s="323">
        <f t="shared" si="1208"/>
        <v>0</v>
      </c>
      <c r="CI787" s="323">
        <f t="shared" si="1208"/>
        <v>0</v>
      </c>
      <c r="CJ787" s="323">
        <f t="shared" si="1208"/>
        <v>0</v>
      </c>
      <c r="CK787" s="323">
        <f t="shared" si="1208"/>
        <v>0</v>
      </c>
      <c r="CL787" s="323">
        <f t="shared" si="1208"/>
        <v>0</v>
      </c>
      <c r="CM787" s="323">
        <f t="shared" si="1208"/>
        <v>0</v>
      </c>
      <c r="CN787" s="323">
        <f t="shared" si="1208"/>
        <v>0</v>
      </c>
      <c r="CO787" s="323">
        <f t="shared" si="1208"/>
        <v>0</v>
      </c>
      <c r="CP787" s="325">
        <f t="shared" si="1208"/>
        <v>0</v>
      </c>
      <c r="CQ787" s="323">
        <f t="shared" si="1208"/>
        <v>6.4068461000000007E-2</v>
      </c>
      <c r="CR787" s="323">
        <f t="shared" si="1208"/>
        <v>4.8633385000000001E-2</v>
      </c>
      <c r="CS787" s="323">
        <f t="shared" si="1208"/>
        <v>4.5853443000000001E-2</v>
      </c>
      <c r="CT787" s="323">
        <f t="shared" si="1208"/>
        <v>3.7334525E-2</v>
      </c>
      <c r="CU787" s="323">
        <f t="shared" si="1208"/>
        <v>2.5196940000000001E-2</v>
      </c>
      <c r="CV787" s="323">
        <f t="shared" si="1208"/>
        <v>2.1096296E-2</v>
      </c>
      <c r="CW787" s="323">
        <f t="shared" si="1208"/>
        <v>0.14355452799999999</v>
      </c>
      <c r="CX787" s="323">
        <f t="shared" si="1208"/>
        <v>0.18836430800000001</v>
      </c>
      <c r="CY787" s="323">
        <f t="shared" si="1208"/>
        <v>3.4652163030000001</v>
      </c>
      <c r="CZ787" s="323">
        <f t="shared" si="1208"/>
        <v>0.25610231700000002</v>
      </c>
      <c r="DA787" s="323">
        <f t="shared" si="1208"/>
        <v>0.14764929600000001</v>
      </c>
      <c r="DB787" s="1269">
        <f t="shared" si="1208"/>
        <v>0.101824338</v>
      </c>
      <c r="DC787" s="323">
        <f t="shared" si="1208"/>
        <v>0</v>
      </c>
      <c r="DD787" s="323">
        <f t="shared" si="1208"/>
        <v>0.52628069209555683</v>
      </c>
      <c r="DE787" s="323">
        <f t="shared" si="1208"/>
        <v>1.4211541374234002</v>
      </c>
      <c r="DF787" s="323">
        <f t="shared" si="1208"/>
        <v>3.9694588983165602</v>
      </c>
      <c r="DG787" s="323">
        <f t="shared" si="1208"/>
        <v>2.2316837800766649</v>
      </c>
      <c r="DH787" s="323">
        <f t="shared" si="1208"/>
        <v>1.7731615422472089</v>
      </c>
      <c r="DI787" s="323">
        <f t="shared" si="1208"/>
        <v>2.5631760413154012</v>
      </c>
      <c r="DJ787" s="323">
        <f t="shared" si="1208"/>
        <v>3.6060941701399969</v>
      </c>
      <c r="DK787" s="323">
        <f t="shared" ref="DK787:EP787" si="1209">DK385</f>
        <v>2.4500914800189548</v>
      </c>
      <c r="DL787" s="323">
        <f t="shared" si="1209"/>
        <v>5.2752214508147572</v>
      </c>
      <c r="DM787" s="323">
        <f t="shared" si="1209"/>
        <v>5.9133992146420242</v>
      </c>
      <c r="DN787" s="325">
        <f t="shared" si="1209"/>
        <v>6.9767236084823825</v>
      </c>
      <c r="DO787" s="323">
        <f t="shared" si="1209"/>
        <v>0</v>
      </c>
      <c r="DP787" s="323">
        <f t="shared" si="1209"/>
        <v>0</v>
      </c>
      <c r="DQ787" s="323">
        <f t="shared" si="1209"/>
        <v>0</v>
      </c>
      <c r="DR787" s="323">
        <f t="shared" si="1209"/>
        <v>0</v>
      </c>
      <c r="DS787" s="323">
        <f t="shared" si="1209"/>
        <v>0</v>
      </c>
      <c r="DT787" s="323">
        <f t="shared" si="1209"/>
        <v>0</v>
      </c>
      <c r="DU787" s="323">
        <f t="shared" si="1209"/>
        <v>0</v>
      </c>
      <c r="DV787" s="323">
        <f t="shared" si="1209"/>
        <v>0</v>
      </c>
      <c r="DW787" s="323">
        <f t="shared" si="1209"/>
        <v>0</v>
      </c>
      <c r="DX787" s="323">
        <f t="shared" si="1209"/>
        <v>0</v>
      </c>
      <c r="DY787" s="323">
        <f t="shared" si="1209"/>
        <v>0</v>
      </c>
      <c r="DZ787" s="325">
        <f t="shared" si="1209"/>
        <v>0</v>
      </c>
      <c r="EA787" s="323">
        <f t="shared" si="1209"/>
        <v>0</v>
      </c>
      <c r="EB787" s="323">
        <f t="shared" si="1209"/>
        <v>0</v>
      </c>
      <c r="EC787" s="323">
        <f t="shared" si="1209"/>
        <v>0</v>
      </c>
      <c r="ED787" s="323">
        <f t="shared" si="1209"/>
        <v>0</v>
      </c>
      <c r="EE787" s="323">
        <f t="shared" si="1209"/>
        <v>0</v>
      </c>
      <c r="EF787" s="323">
        <f t="shared" si="1209"/>
        <v>0</v>
      </c>
      <c r="EG787" s="323">
        <f t="shared" si="1209"/>
        <v>0</v>
      </c>
      <c r="EH787" s="323">
        <f t="shared" si="1209"/>
        <v>0</v>
      </c>
      <c r="EI787" s="323">
        <f t="shared" si="1209"/>
        <v>0</v>
      </c>
      <c r="EJ787" s="323">
        <f t="shared" si="1209"/>
        <v>0</v>
      </c>
      <c r="EK787" s="323">
        <f t="shared" si="1209"/>
        <v>0</v>
      </c>
      <c r="EL787" s="325">
        <f t="shared" si="1209"/>
        <v>0</v>
      </c>
      <c r="EM787" s="323">
        <f t="shared" si="1209"/>
        <v>0.16733000000000001</v>
      </c>
      <c r="EN787" s="323">
        <f t="shared" si="1209"/>
        <v>0.20956</v>
      </c>
      <c r="EO787" s="323">
        <f t="shared" si="1209"/>
        <v>0.22767999999999999</v>
      </c>
      <c r="EP787" s="323">
        <f t="shared" si="1209"/>
        <v>0.20363000000000001</v>
      </c>
      <c r="EQ787" s="323">
        <f t="shared" ref="EQ787:FV787" si="1210">EQ385</f>
        <v>0.19276499999999999</v>
      </c>
      <c r="ER787" s="323">
        <f t="shared" si="1210"/>
        <v>0.16231000000000001</v>
      </c>
      <c r="ES787" s="323">
        <f t="shared" si="1210"/>
        <v>0.224825</v>
      </c>
      <c r="ET787" s="323">
        <f t="shared" si="1210"/>
        <v>0.23022000000000001</v>
      </c>
      <c r="EU787" s="323">
        <f t="shared" si="1210"/>
        <v>0.213585</v>
      </c>
      <c r="EV787" s="323">
        <f t="shared" si="1210"/>
        <v>0.22311</v>
      </c>
      <c r="EW787" s="323">
        <f t="shared" si="1210"/>
        <v>0.19520000000000001</v>
      </c>
      <c r="EX787" s="325">
        <f t="shared" si="1210"/>
        <v>0.21268000000000001</v>
      </c>
      <c r="EY787" s="323">
        <f t="shared" si="1210"/>
        <v>0.26580730899999999</v>
      </c>
      <c r="EZ787" s="323">
        <f t="shared" si="1210"/>
        <v>0.26580730899999999</v>
      </c>
      <c r="FA787" s="323">
        <f t="shared" si="1210"/>
        <v>0.26580730899999999</v>
      </c>
      <c r="FB787" s="323">
        <f t="shared" si="1210"/>
        <v>0</v>
      </c>
      <c r="FC787" s="323">
        <f t="shared" si="1210"/>
        <v>0.26580730899999999</v>
      </c>
      <c r="FD787" s="323">
        <f t="shared" si="1210"/>
        <v>0.26580730899999999</v>
      </c>
      <c r="FE787" s="323">
        <f t="shared" si="1210"/>
        <v>6.2966569921600009</v>
      </c>
      <c r="FF787" s="323">
        <f t="shared" si="1210"/>
        <v>0.8198708388766387</v>
      </c>
      <c r="FG787" s="323">
        <f t="shared" si="1210"/>
        <v>0.52423914859999998</v>
      </c>
      <c r="FH787" s="323">
        <f t="shared" si="1210"/>
        <v>1.5951549143959001</v>
      </c>
      <c r="FI787" s="323">
        <f t="shared" si="1210"/>
        <v>1.5951549143959001</v>
      </c>
      <c r="FJ787" s="325">
        <f t="shared" si="1210"/>
        <v>1.5951549143959001</v>
      </c>
      <c r="FK787" s="323">
        <f t="shared" si="1210"/>
        <v>0.29565045484284408</v>
      </c>
      <c r="FL787" s="323">
        <f t="shared" si="1210"/>
        <v>0.23241264445440948</v>
      </c>
      <c r="FM787" s="323">
        <f t="shared" si="1210"/>
        <v>0.29068532770274641</v>
      </c>
      <c r="FN787" s="323">
        <f t="shared" si="1210"/>
        <v>0</v>
      </c>
      <c r="FO787" s="323">
        <f t="shared" si="1210"/>
        <v>2.4628027264377026E-3</v>
      </c>
      <c r="FP787" s="323">
        <f t="shared" si="1210"/>
        <v>1.1321930700268231E-2</v>
      </c>
      <c r="FQ787" s="323">
        <f t="shared" si="1210"/>
        <v>1.7664231900748419</v>
      </c>
      <c r="FR787" s="323">
        <f t="shared" si="1210"/>
        <v>2.2169717771058468</v>
      </c>
      <c r="FS787" s="323">
        <f t="shared" si="1210"/>
        <v>1.2826481198193107</v>
      </c>
      <c r="FT787" s="323">
        <f t="shared" si="1210"/>
        <v>0.2813007443333333</v>
      </c>
      <c r="FU787" s="323">
        <f t="shared" si="1210"/>
        <v>0.2813007443333333</v>
      </c>
      <c r="FV787" s="323">
        <f t="shared" si="1210"/>
        <v>0.2813007443333333</v>
      </c>
      <c r="FW787" s="323">
        <v>9.2340063198682126E-2</v>
      </c>
      <c r="FX787" s="323">
        <v>0.11524411630216823</v>
      </c>
      <c r="FY787" s="323">
        <v>0.14171416749914964</v>
      </c>
      <c r="FZ787" s="323">
        <v>0</v>
      </c>
      <c r="GA787" s="323">
        <v>9.6456097691933931E-2</v>
      </c>
      <c r="GB787" s="323">
        <v>0.27037780815886664</v>
      </c>
      <c r="GC787" s="323">
        <v>1.2426386619662857</v>
      </c>
      <c r="GD787" s="323">
        <v>1.5595893771090639</v>
      </c>
      <c r="GE787" s="323">
        <v>3.0518096729246502</v>
      </c>
      <c r="GF787" s="323">
        <v>0.17165030568481376</v>
      </c>
      <c r="GG787" s="323">
        <v>0.17660300052462727</v>
      </c>
      <c r="GH787" s="323">
        <v>0.27698401279400947</v>
      </c>
      <c r="GI787" s="323">
        <f t="shared" si="1185"/>
        <v>0</v>
      </c>
      <c r="GJ787" s="323">
        <f t="shared" ref="GJ787:HR787" si="1211">GJ385</f>
        <v>0</v>
      </c>
      <c r="GK787" s="323">
        <f t="shared" si="1211"/>
        <v>0</v>
      </c>
      <c r="GL787" s="323">
        <f t="shared" si="1211"/>
        <v>0</v>
      </c>
      <c r="GM787" s="323">
        <f t="shared" si="1211"/>
        <v>0</v>
      </c>
      <c r="GN787" s="323">
        <f t="shared" si="1211"/>
        <v>0</v>
      </c>
      <c r="GO787" s="323">
        <f t="shared" si="1211"/>
        <v>0</v>
      </c>
      <c r="GP787" s="323">
        <f t="shared" si="1211"/>
        <v>0</v>
      </c>
      <c r="GQ787" s="323">
        <f t="shared" si="1211"/>
        <v>0</v>
      </c>
      <c r="GR787" s="323">
        <f t="shared" si="1211"/>
        <v>0</v>
      </c>
      <c r="GS787" s="323">
        <f t="shared" si="1211"/>
        <v>0</v>
      </c>
      <c r="GT787" s="323">
        <f t="shared" si="1211"/>
        <v>0</v>
      </c>
      <c r="GU787" s="323">
        <f t="shared" si="1211"/>
        <v>0</v>
      </c>
      <c r="GV787" s="323">
        <f t="shared" si="1211"/>
        <v>0</v>
      </c>
      <c r="GW787" s="323">
        <f t="shared" si="1211"/>
        <v>0</v>
      </c>
      <c r="GX787" s="323">
        <f t="shared" si="1211"/>
        <v>0</v>
      </c>
      <c r="GY787" s="323">
        <f t="shared" si="1211"/>
        <v>0</v>
      </c>
      <c r="GZ787" s="323">
        <f t="shared" si="1211"/>
        <v>0</v>
      </c>
      <c r="HA787" s="323">
        <f t="shared" si="1211"/>
        <v>0</v>
      </c>
      <c r="HB787" s="323">
        <f t="shared" si="1211"/>
        <v>0</v>
      </c>
      <c r="HC787" s="323">
        <f t="shared" si="1211"/>
        <v>0</v>
      </c>
      <c r="HD787" s="323">
        <f t="shared" si="1211"/>
        <v>0</v>
      </c>
      <c r="HE787" s="323">
        <f t="shared" si="1211"/>
        <v>0</v>
      </c>
      <c r="HF787" s="323">
        <f t="shared" si="1211"/>
        <v>0</v>
      </c>
      <c r="HG787" s="323">
        <f t="shared" si="1211"/>
        <v>0</v>
      </c>
      <c r="HH787" s="323">
        <f t="shared" si="1211"/>
        <v>0</v>
      </c>
      <c r="HI787" s="323">
        <f t="shared" si="1211"/>
        <v>0</v>
      </c>
      <c r="HJ787" s="323">
        <f t="shared" si="1211"/>
        <v>0</v>
      </c>
      <c r="HK787" s="323">
        <f t="shared" si="1211"/>
        <v>0</v>
      </c>
      <c r="HL787" s="323">
        <f t="shared" si="1211"/>
        <v>0</v>
      </c>
      <c r="HM787" s="323">
        <f t="shared" si="1211"/>
        <v>0</v>
      </c>
      <c r="HN787" s="323">
        <f t="shared" si="1211"/>
        <v>0</v>
      </c>
      <c r="HO787" s="323">
        <f t="shared" si="1211"/>
        <v>0</v>
      </c>
      <c r="HP787" s="323">
        <f t="shared" si="1211"/>
        <v>0</v>
      </c>
      <c r="HQ787" s="323">
        <f t="shared" si="1211"/>
        <v>0</v>
      </c>
      <c r="HR787" s="323">
        <f t="shared" si="1211"/>
        <v>0</v>
      </c>
      <c r="HS787" s="323">
        <f t="shared" ref="HS787:HX787" si="1212">HS385</f>
        <v>0</v>
      </c>
      <c r="HT787" s="323">
        <f t="shared" si="1212"/>
        <v>0</v>
      </c>
      <c r="HU787" s="323">
        <f t="shared" si="1212"/>
        <v>0</v>
      </c>
      <c r="HV787" s="323">
        <f t="shared" si="1212"/>
        <v>0</v>
      </c>
      <c r="HW787" s="323">
        <f t="shared" si="1212"/>
        <v>0</v>
      </c>
      <c r="HX787" s="323">
        <f t="shared" si="1212"/>
        <v>0</v>
      </c>
      <c r="HY787" s="323"/>
      <c r="HZ787" s="326"/>
      <c r="IA787" s="1232" t="s">
        <v>483</v>
      </c>
      <c r="IB787" s="284">
        <f>SUM(CE787:CJ787)</f>
        <v>0</v>
      </c>
      <c r="IC787" s="279">
        <f>SUM(CK787:CP787)</f>
        <v>0</v>
      </c>
      <c r="ID787" s="323">
        <f t="shared" si="907"/>
        <v>0</v>
      </c>
      <c r="IE787" s="279">
        <f>SUM(CQ787:CV787)</f>
        <v>0.24218305000000001</v>
      </c>
      <c r="IF787" s="279">
        <f>SUM(CW787:DB787)</f>
        <v>4.3027110899999998</v>
      </c>
      <c r="IG787" s="323">
        <f t="shared" si="880"/>
        <v>4.5448941400000002</v>
      </c>
      <c r="IH787" s="284">
        <f>SUM(DC787:DH787)</f>
        <v>9.9217390501593918</v>
      </c>
      <c r="II787" s="279">
        <f>SUM(DI787:DN787)</f>
        <v>26.784705965413515</v>
      </c>
      <c r="IJ787" s="323">
        <f t="shared" si="881"/>
        <v>36.706445015572911</v>
      </c>
      <c r="IK787" s="327">
        <f>SUM(DO787:DT787)</f>
        <v>0</v>
      </c>
      <c r="IL787" s="279">
        <f>SUM(DU787:DZ787)</f>
        <v>0</v>
      </c>
      <c r="IM787" s="323">
        <f t="shared" si="882"/>
        <v>0</v>
      </c>
      <c r="IN787" s="279">
        <f>SUM(EA787:EF787)</f>
        <v>0</v>
      </c>
      <c r="IO787" s="279">
        <f>SUM(EG787:EL787)</f>
        <v>0</v>
      </c>
      <c r="IP787" s="323">
        <f t="shared" si="883"/>
        <v>0</v>
      </c>
      <c r="IQ787" s="327">
        <f>SUM(EM787:ER787)</f>
        <v>1.1632750000000001</v>
      </c>
      <c r="IR787" s="327">
        <f>SUM(ES787:EX787)</f>
        <v>1.29962</v>
      </c>
      <c r="IS787" s="323">
        <f t="shared" si="884"/>
        <v>2.4628950000000001</v>
      </c>
      <c r="IT787" s="327">
        <f>SUM(EY787:FD787)</f>
        <v>1.3290365449999999</v>
      </c>
      <c r="IU787" s="327">
        <f>SUM(FE787:FJ787)</f>
        <v>12.42623172282434</v>
      </c>
      <c r="IV787" s="323">
        <f t="shared" si="885"/>
        <v>13.75526826782434</v>
      </c>
      <c r="IW787" s="327">
        <f t="shared" si="1024"/>
        <v>0.832533160426706</v>
      </c>
      <c r="IX787" s="327">
        <f t="shared" si="868"/>
        <v>6.1099453200000005</v>
      </c>
      <c r="IY787" s="323">
        <f t="shared" si="886"/>
        <v>6.9424784804267068</v>
      </c>
      <c r="IZ787" s="327">
        <f t="shared" si="869"/>
        <v>0.71613225285080051</v>
      </c>
      <c r="JA787" s="327">
        <f t="shared" si="870"/>
        <v>6.4792750310034508</v>
      </c>
      <c r="JB787" s="323">
        <f t="shared" si="887"/>
        <v>7.1954072838542515</v>
      </c>
      <c r="JC787" s="327">
        <f t="shared" si="871"/>
        <v>0</v>
      </c>
      <c r="JD787" s="327">
        <f t="shared" si="872"/>
        <v>0</v>
      </c>
      <c r="JE787" s="323">
        <f t="shared" si="888"/>
        <v>0</v>
      </c>
      <c r="JF787" s="327">
        <f t="shared" si="908"/>
        <v>0</v>
      </c>
      <c r="JG787" s="327">
        <f t="shared" si="918"/>
        <v>0</v>
      </c>
      <c r="JH787" s="323">
        <f t="shared" si="889"/>
        <v>0</v>
      </c>
      <c r="JI787" s="327">
        <f t="shared" si="909"/>
        <v>0</v>
      </c>
      <c r="JJ787" s="327">
        <f t="shared" si="910"/>
        <v>0</v>
      </c>
      <c r="JK787" s="323">
        <f t="shared" si="890"/>
        <v>0</v>
      </c>
      <c r="JL787" s="327">
        <f t="shared" si="891"/>
        <v>0</v>
      </c>
      <c r="JM787" s="279">
        <f t="shared" si="892"/>
        <v>0</v>
      </c>
      <c r="JN787" s="323">
        <f>FISC!AK1093</f>
        <v>0</v>
      </c>
      <c r="JO787" s="327">
        <f t="shared" si="986"/>
        <v>0</v>
      </c>
      <c r="JP787" s="279">
        <f t="shared" si="893"/>
        <v>0</v>
      </c>
      <c r="JQ787" s="323">
        <f>FISC!AL1093</f>
        <v>0</v>
      </c>
      <c r="JR787" s="327">
        <f t="shared" si="919"/>
        <v>0</v>
      </c>
      <c r="JS787" s="279">
        <f t="shared" si="894"/>
        <v>0</v>
      </c>
      <c r="JT787" s="323">
        <f>FISC!AM1093</f>
        <v>0</v>
      </c>
      <c r="JU787" s="327">
        <f t="shared" si="920"/>
        <v>0</v>
      </c>
      <c r="JV787" s="279">
        <f t="shared" si="911"/>
        <v>0</v>
      </c>
      <c r="JW787" s="323">
        <f>FISC!AN1093</f>
        <v>0</v>
      </c>
      <c r="JX787" s="327">
        <f t="shared" si="921"/>
        <v>0</v>
      </c>
      <c r="JY787" s="279">
        <f t="shared" si="895"/>
        <v>0</v>
      </c>
      <c r="JZ787" s="323">
        <f>FISC!AO1093</f>
        <v>0</v>
      </c>
      <c r="KA787" s="327">
        <f t="shared" si="1193"/>
        <v>0</v>
      </c>
      <c r="KB787" s="279">
        <f t="shared" si="1194"/>
        <v>0</v>
      </c>
      <c r="KC787" s="323">
        <f>FISC!AP1093</f>
        <v>0</v>
      </c>
      <c r="KD787" s="327">
        <f t="shared" si="1195"/>
        <v>0</v>
      </c>
      <c r="KE787" s="279">
        <f t="shared" si="1196"/>
        <v>0</v>
      </c>
      <c r="KF787" s="323">
        <f>FISC!AQ1093</f>
        <v>0</v>
      </c>
      <c r="KG787" s="327">
        <f t="shared" si="1197"/>
        <v>0</v>
      </c>
      <c r="KH787" s="279">
        <f t="shared" si="1198"/>
        <v>0</v>
      </c>
      <c r="KI787" s="323">
        <f>FISC!AR1093</f>
        <v>0</v>
      </c>
      <c r="KJ787" s="327">
        <f t="shared" si="1199"/>
        <v>0</v>
      </c>
      <c r="KK787" s="279">
        <f t="shared" si="1200"/>
        <v>0</v>
      </c>
      <c r="KL787" s="323">
        <f>FISC!AS1093</f>
        <v>0</v>
      </c>
      <c r="KM787" s="327">
        <f t="shared" si="1201"/>
        <v>0</v>
      </c>
      <c r="KN787" s="279">
        <f t="shared" si="1202"/>
        <v>0</v>
      </c>
      <c r="KO787" s="323">
        <f>FISC!AT1093</f>
        <v>0</v>
      </c>
      <c r="KU787" s="326"/>
      <c r="KV787" s="327"/>
    </row>
    <row r="788" spans="1:308">
      <c r="A788" s="279"/>
      <c r="D788" s="1232" t="s">
        <v>484</v>
      </c>
      <c r="E788" s="323"/>
      <c r="F788" s="323"/>
      <c r="G788" s="323"/>
      <c r="H788" s="323"/>
      <c r="I788" s="323"/>
      <c r="J788" s="323"/>
      <c r="K788" s="323"/>
      <c r="L788" s="323"/>
      <c r="M788" s="323"/>
      <c r="N788" s="323"/>
      <c r="O788" s="323"/>
      <c r="P788" s="323"/>
      <c r="Q788" s="323"/>
      <c r="R788" s="323"/>
      <c r="S788" s="323"/>
      <c r="T788" s="323"/>
      <c r="U788" s="323"/>
      <c r="V788" s="323"/>
      <c r="W788" s="323"/>
      <c r="X788" s="323"/>
      <c r="Y788" s="323"/>
      <c r="Z788" s="323"/>
      <c r="AA788" s="323"/>
      <c r="AB788" s="323"/>
      <c r="AC788" s="323"/>
      <c r="AD788" s="323"/>
      <c r="AE788" s="323"/>
      <c r="AF788" s="323"/>
      <c r="AG788" s="323"/>
      <c r="AH788" s="323"/>
      <c r="AI788" s="323"/>
      <c r="AJ788" s="323"/>
      <c r="AK788" s="323"/>
      <c r="AL788" s="323"/>
      <c r="AM788" s="323"/>
      <c r="AN788" s="323"/>
      <c r="AO788" s="323"/>
      <c r="AP788" s="323"/>
      <c r="AQ788" s="323"/>
      <c r="AR788" s="323"/>
      <c r="AS788" s="323"/>
      <c r="AT788" s="323"/>
      <c r="AU788" s="323"/>
      <c r="AV788" s="323"/>
      <c r="AW788" s="323"/>
      <c r="AX788" s="323"/>
      <c r="AY788" s="323"/>
      <c r="AZ788" s="323"/>
      <c r="BA788" s="323"/>
      <c r="BB788" s="323"/>
      <c r="BC788" s="323"/>
      <c r="BD788" s="323"/>
      <c r="BE788" s="323"/>
      <c r="BF788" s="323"/>
      <c r="BG788" s="323"/>
      <c r="BH788" s="323"/>
      <c r="BI788" s="323"/>
      <c r="BJ788" s="323"/>
      <c r="BK788" s="323"/>
      <c r="BL788" s="323"/>
      <c r="BM788" s="323"/>
      <c r="BN788" s="323"/>
      <c r="BO788" s="323"/>
      <c r="BP788" s="323"/>
      <c r="BQ788" s="323"/>
      <c r="BR788" s="323"/>
      <c r="BS788" s="323"/>
      <c r="BT788" s="323"/>
      <c r="BU788" s="323"/>
      <c r="BV788" s="323"/>
      <c r="BW788" s="323"/>
      <c r="BX788" s="323"/>
      <c r="BY788" s="323"/>
      <c r="BZ788" s="323"/>
      <c r="CA788" s="323"/>
      <c r="CB788" s="323"/>
      <c r="CC788" s="323"/>
      <c r="CD788" s="329"/>
      <c r="CE788" s="323">
        <f t="shared" ref="CE788:DJ788" si="1213">CE386</f>
        <v>0</v>
      </c>
      <c r="CF788" s="323">
        <f t="shared" si="1213"/>
        <v>0</v>
      </c>
      <c r="CG788" s="323">
        <f t="shared" si="1213"/>
        <v>0</v>
      </c>
      <c r="CH788" s="323">
        <f t="shared" si="1213"/>
        <v>0</v>
      </c>
      <c r="CI788" s="323">
        <f t="shared" si="1213"/>
        <v>0</v>
      </c>
      <c r="CJ788" s="323">
        <f t="shared" si="1213"/>
        <v>0</v>
      </c>
      <c r="CK788" s="323">
        <f t="shared" si="1213"/>
        <v>0</v>
      </c>
      <c r="CL788" s="323">
        <f t="shared" si="1213"/>
        <v>0</v>
      </c>
      <c r="CM788" s="323">
        <f t="shared" si="1213"/>
        <v>0</v>
      </c>
      <c r="CN788" s="323">
        <f t="shared" si="1213"/>
        <v>0</v>
      </c>
      <c r="CO788" s="323">
        <f t="shared" si="1213"/>
        <v>0</v>
      </c>
      <c r="CP788" s="325">
        <f t="shared" si="1213"/>
        <v>0</v>
      </c>
      <c r="CQ788" s="323">
        <f t="shared" si="1213"/>
        <v>0</v>
      </c>
      <c r="CR788" s="323">
        <f t="shared" si="1213"/>
        <v>3.0000000000000001E-6</v>
      </c>
      <c r="CS788" s="323">
        <f t="shared" si="1213"/>
        <v>0</v>
      </c>
      <c r="CT788" s="323">
        <f t="shared" si="1213"/>
        <v>0</v>
      </c>
      <c r="CU788" s="323">
        <f t="shared" si="1213"/>
        <v>0</v>
      </c>
      <c r="CV788" s="323">
        <f t="shared" si="1213"/>
        <v>0</v>
      </c>
      <c r="CW788" s="323">
        <f t="shared" si="1213"/>
        <v>0</v>
      </c>
      <c r="CX788" s="323">
        <f t="shared" si="1213"/>
        <v>0</v>
      </c>
      <c r="CY788" s="323">
        <f t="shared" si="1213"/>
        <v>0</v>
      </c>
      <c r="CZ788" s="323">
        <f t="shared" si="1213"/>
        <v>0</v>
      </c>
      <c r="DA788" s="323">
        <f t="shared" si="1213"/>
        <v>0</v>
      </c>
      <c r="DB788" s="1269">
        <f t="shared" si="1213"/>
        <v>5.3999999999999998E-5</v>
      </c>
      <c r="DC788" s="323">
        <f t="shared" si="1213"/>
        <v>0</v>
      </c>
      <c r="DD788" s="323">
        <f t="shared" si="1213"/>
        <v>2.9638320199400635E-6</v>
      </c>
      <c r="DE788" s="323">
        <f t="shared" si="1213"/>
        <v>0</v>
      </c>
      <c r="DF788" s="323">
        <f t="shared" si="1213"/>
        <v>0</v>
      </c>
      <c r="DG788" s="323">
        <f t="shared" si="1213"/>
        <v>0</v>
      </c>
      <c r="DH788" s="323">
        <f t="shared" si="1213"/>
        <v>0</v>
      </c>
      <c r="DI788" s="323">
        <f t="shared" si="1213"/>
        <v>0</v>
      </c>
      <c r="DJ788" s="323">
        <f t="shared" si="1213"/>
        <v>0</v>
      </c>
      <c r="DK788" s="323">
        <f t="shared" ref="DK788:EP788" si="1214">DK386</f>
        <v>0</v>
      </c>
      <c r="DL788" s="323">
        <f t="shared" si="1214"/>
        <v>0</v>
      </c>
      <c r="DM788" s="323">
        <f t="shared" si="1214"/>
        <v>0</v>
      </c>
      <c r="DN788" s="325">
        <f t="shared" si="1214"/>
        <v>6.063652399355246E-5</v>
      </c>
      <c r="DO788" s="323">
        <f t="shared" si="1214"/>
        <v>0</v>
      </c>
      <c r="DP788" s="323">
        <f t="shared" si="1214"/>
        <v>0</v>
      </c>
      <c r="DQ788" s="323">
        <f t="shared" si="1214"/>
        <v>0</v>
      </c>
      <c r="DR788" s="323">
        <f t="shared" si="1214"/>
        <v>0</v>
      </c>
      <c r="DS788" s="323">
        <f t="shared" si="1214"/>
        <v>0</v>
      </c>
      <c r="DT788" s="323">
        <f t="shared" si="1214"/>
        <v>0</v>
      </c>
      <c r="DU788" s="323">
        <f t="shared" si="1214"/>
        <v>0</v>
      </c>
      <c r="DV788" s="323">
        <f t="shared" si="1214"/>
        <v>0</v>
      </c>
      <c r="DW788" s="323">
        <f t="shared" si="1214"/>
        <v>0</v>
      </c>
      <c r="DX788" s="323">
        <f t="shared" si="1214"/>
        <v>0</v>
      </c>
      <c r="DY788" s="323">
        <f t="shared" si="1214"/>
        <v>0</v>
      </c>
      <c r="DZ788" s="325">
        <f t="shared" si="1214"/>
        <v>0</v>
      </c>
      <c r="EA788" s="323">
        <f t="shared" si="1214"/>
        <v>0</v>
      </c>
      <c r="EB788" s="323">
        <f t="shared" si="1214"/>
        <v>0</v>
      </c>
      <c r="EC788" s="323">
        <f t="shared" si="1214"/>
        <v>0</v>
      </c>
      <c r="ED788" s="323">
        <f t="shared" si="1214"/>
        <v>0</v>
      </c>
      <c r="EE788" s="323">
        <f t="shared" si="1214"/>
        <v>0</v>
      </c>
      <c r="EF788" s="323">
        <f t="shared" si="1214"/>
        <v>0</v>
      </c>
      <c r="EG788" s="323">
        <f t="shared" si="1214"/>
        <v>0</v>
      </c>
      <c r="EH788" s="323">
        <f t="shared" si="1214"/>
        <v>0</v>
      </c>
      <c r="EI788" s="323">
        <f t="shared" si="1214"/>
        <v>0</v>
      </c>
      <c r="EJ788" s="323">
        <f t="shared" si="1214"/>
        <v>0</v>
      </c>
      <c r="EK788" s="323">
        <f t="shared" si="1214"/>
        <v>0</v>
      </c>
      <c r="EL788" s="325">
        <f t="shared" si="1214"/>
        <v>0</v>
      </c>
      <c r="EM788" s="323">
        <f t="shared" si="1214"/>
        <v>0.16733000000000001</v>
      </c>
      <c r="EN788" s="323">
        <f t="shared" si="1214"/>
        <v>0.20956</v>
      </c>
      <c r="EO788" s="323">
        <f t="shared" si="1214"/>
        <v>0.22767999999999999</v>
      </c>
      <c r="EP788" s="323">
        <f t="shared" si="1214"/>
        <v>0.20363000000000001</v>
      </c>
      <c r="EQ788" s="323">
        <f t="shared" ref="EQ788:FV788" si="1215">EQ386</f>
        <v>0.19276499999999999</v>
      </c>
      <c r="ER788" s="323">
        <f t="shared" si="1215"/>
        <v>0.16231000000000001</v>
      </c>
      <c r="ES788" s="323">
        <f t="shared" si="1215"/>
        <v>0.224825</v>
      </c>
      <c r="ET788" s="323">
        <f t="shared" si="1215"/>
        <v>0.23022000000000001</v>
      </c>
      <c r="EU788" s="323">
        <f t="shared" si="1215"/>
        <v>0.213585</v>
      </c>
      <c r="EV788" s="323">
        <f t="shared" si="1215"/>
        <v>0.22311</v>
      </c>
      <c r="EW788" s="323">
        <f t="shared" si="1215"/>
        <v>0.19520000000000001</v>
      </c>
      <c r="EX788" s="325">
        <f t="shared" si="1215"/>
        <v>0.21268000000000001</v>
      </c>
      <c r="EY788" s="323">
        <f t="shared" si="1215"/>
        <v>0</v>
      </c>
      <c r="EZ788" s="323">
        <f t="shared" si="1215"/>
        <v>0</v>
      </c>
      <c r="FA788" s="323">
        <f t="shared" si="1215"/>
        <v>0</v>
      </c>
      <c r="FB788" s="323">
        <f t="shared" si="1215"/>
        <v>0</v>
      </c>
      <c r="FC788" s="323">
        <f t="shared" si="1215"/>
        <v>0</v>
      </c>
      <c r="FD788" s="323">
        <f t="shared" si="1215"/>
        <v>0</v>
      </c>
      <c r="FE788" s="323">
        <f t="shared" si="1215"/>
        <v>0</v>
      </c>
      <c r="FF788" s="323">
        <f t="shared" si="1215"/>
        <v>0</v>
      </c>
      <c r="FG788" s="323">
        <f t="shared" si="1215"/>
        <v>0</v>
      </c>
      <c r="FH788" s="323">
        <f t="shared" si="1215"/>
        <v>0</v>
      </c>
      <c r="FI788" s="323">
        <f t="shared" si="1215"/>
        <v>0</v>
      </c>
      <c r="FJ788" s="325">
        <f t="shared" si="1215"/>
        <v>0</v>
      </c>
      <c r="FK788" s="323">
        <f t="shared" si="1215"/>
        <v>0</v>
      </c>
      <c r="FL788" s="323">
        <f t="shared" si="1215"/>
        <v>0</v>
      </c>
      <c r="FM788" s="323">
        <f t="shared" si="1215"/>
        <v>0</v>
      </c>
      <c r="FN788" s="323">
        <f t="shared" si="1215"/>
        <v>0</v>
      </c>
      <c r="FO788" s="323">
        <f t="shared" si="1215"/>
        <v>0</v>
      </c>
      <c r="FP788" s="323">
        <f t="shared" si="1215"/>
        <v>0</v>
      </c>
      <c r="FQ788" s="323">
        <f t="shared" si="1215"/>
        <v>0</v>
      </c>
      <c r="FR788" s="323">
        <f t="shared" si="1215"/>
        <v>0</v>
      </c>
      <c r="FS788" s="323">
        <f t="shared" si="1215"/>
        <v>0</v>
      </c>
      <c r="FT788" s="323">
        <f t="shared" si="1215"/>
        <v>0</v>
      </c>
      <c r="FU788" s="323">
        <f t="shared" si="1215"/>
        <v>0</v>
      </c>
      <c r="FV788" s="323">
        <f t="shared" si="1215"/>
        <v>0</v>
      </c>
      <c r="FW788" s="323">
        <v>0</v>
      </c>
      <c r="FX788" s="323">
        <v>0</v>
      </c>
      <c r="FY788" s="323">
        <v>0</v>
      </c>
      <c r="FZ788" s="323">
        <v>0</v>
      </c>
      <c r="GA788" s="323">
        <v>0</v>
      </c>
      <c r="GB788" s="323">
        <v>0</v>
      </c>
      <c r="GC788" s="323">
        <v>0</v>
      </c>
      <c r="GD788" s="323">
        <v>0</v>
      </c>
      <c r="GE788" s="323">
        <v>0</v>
      </c>
      <c r="GF788" s="323">
        <v>0</v>
      </c>
      <c r="GG788" s="323">
        <v>0</v>
      </c>
      <c r="GH788" s="323">
        <v>0</v>
      </c>
      <c r="GI788" s="323">
        <f t="shared" si="1185"/>
        <v>0</v>
      </c>
      <c r="GJ788" s="323">
        <f t="shared" ref="GJ788:HR788" si="1216">GJ386</f>
        <v>0</v>
      </c>
      <c r="GK788" s="323">
        <f t="shared" si="1216"/>
        <v>0</v>
      </c>
      <c r="GL788" s="323">
        <f t="shared" si="1216"/>
        <v>0</v>
      </c>
      <c r="GM788" s="323">
        <f t="shared" si="1216"/>
        <v>0</v>
      </c>
      <c r="GN788" s="323">
        <f t="shared" si="1216"/>
        <v>0</v>
      </c>
      <c r="GO788" s="323">
        <f t="shared" si="1216"/>
        <v>0</v>
      </c>
      <c r="GP788" s="323">
        <f t="shared" si="1216"/>
        <v>0</v>
      </c>
      <c r="GQ788" s="323">
        <f t="shared" si="1216"/>
        <v>0</v>
      </c>
      <c r="GR788" s="323">
        <f t="shared" si="1216"/>
        <v>0</v>
      </c>
      <c r="GS788" s="323">
        <f t="shared" si="1216"/>
        <v>0</v>
      </c>
      <c r="GT788" s="323">
        <f t="shared" si="1216"/>
        <v>0</v>
      </c>
      <c r="GU788" s="323">
        <f t="shared" si="1216"/>
        <v>0</v>
      </c>
      <c r="GV788" s="323">
        <f t="shared" si="1216"/>
        <v>0</v>
      </c>
      <c r="GW788" s="323">
        <f t="shared" si="1216"/>
        <v>0</v>
      </c>
      <c r="GX788" s="323">
        <f t="shared" si="1216"/>
        <v>0</v>
      </c>
      <c r="GY788" s="323">
        <f t="shared" si="1216"/>
        <v>0</v>
      </c>
      <c r="GZ788" s="323">
        <f t="shared" si="1216"/>
        <v>0</v>
      </c>
      <c r="HA788" s="323">
        <f t="shared" si="1216"/>
        <v>0</v>
      </c>
      <c r="HB788" s="323">
        <f t="shared" si="1216"/>
        <v>0</v>
      </c>
      <c r="HC788" s="323">
        <f t="shared" si="1216"/>
        <v>0</v>
      </c>
      <c r="HD788" s="323">
        <f t="shared" si="1216"/>
        <v>0</v>
      </c>
      <c r="HE788" s="323">
        <f t="shared" si="1216"/>
        <v>0</v>
      </c>
      <c r="HF788" s="323">
        <f t="shared" si="1216"/>
        <v>0</v>
      </c>
      <c r="HG788" s="323">
        <f t="shared" si="1216"/>
        <v>0</v>
      </c>
      <c r="HH788" s="323">
        <f t="shared" si="1216"/>
        <v>0</v>
      </c>
      <c r="HI788" s="323">
        <f t="shared" si="1216"/>
        <v>0</v>
      </c>
      <c r="HJ788" s="323">
        <f t="shared" si="1216"/>
        <v>0</v>
      </c>
      <c r="HK788" s="323">
        <f t="shared" si="1216"/>
        <v>0</v>
      </c>
      <c r="HL788" s="323">
        <f t="shared" si="1216"/>
        <v>0</v>
      </c>
      <c r="HM788" s="323">
        <f t="shared" si="1216"/>
        <v>0</v>
      </c>
      <c r="HN788" s="323">
        <f t="shared" si="1216"/>
        <v>0</v>
      </c>
      <c r="HO788" s="323">
        <f t="shared" si="1216"/>
        <v>0</v>
      </c>
      <c r="HP788" s="323">
        <f t="shared" si="1216"/>
        <v>0</v>
      </c>
      <c r="HQ788" s="323">
        <f t="shared" si="1216"/>
        <v>0</v>
      </c>
      <c r="HR788" s="323">
        <f t="shared" si="1216"/>
        <v>0</v>
      </c>
      <c r="HS788" s="323">
        <f t="shared" ref="HS788:HX788" si="1217">HS386</f>
        <v>0</v>
      </c>
      <c r="HT788" s="323">
        <f t="shared" si="1217"/>
        <v>0</v>
      </c>
      <c r="HU788" s="323">
        <f t="shared" si="1217"/>
        <v>0</v>
      </c>
      <c r="HV788" s="323">
        <f t="shared" si="1217"/>
        <v>0</v>
      </c>
      <c r="HW788" s="323">
        <f t="shared" si="1217"/>
        <v>0</v>
      </c>
      <c r="HX788" s="323">
        <f t="shared" si="1217"/>
        <v>0</v>
      </c>
      <c r="HY788" s="323"/>
      <c r="HZ788" s="326"/>
      <c r="IA788" s="1232" t="s">
        <v>484</v>
      </c>
      <c r="IB788" s="284">
        <f>SUM(CE788:CJ788)</f>
        <v>0</v>
      </c>
      <c r="IC788" s="279">
        <f>SUM(CK788:CP788)</f>
        <v>0</v>
      </c>
      <c r="ID788" s="323">
        <f t="shared" si="907"/>
        <v>0</v>
      </c>
      <c r="IE788" s="279">
        <f>SUM(CQ788:CV788)</f>
        <v>3.0000000000000001E-6</v>
      </c>
      <c r="IF788" s="279">
        <f>SUM(CW788:DB788)</f>
        <v>5.3999999999999998E-5</v>
      </c>
      <c r="IG788" s="323">
        <f t="shared" si="880"/>
        <v>5.6999999999999996E-5</v>
      </c>
      <c r="IH788" s="284">
        <f>SUM(DC788:DH788)</f>
        <v>2.9638320199400635E-6</v>
      </c>
      <c r="II788" s="279">
        <f>SUM(DI788:DN788)</f>
        <v>6.063652399355246E-5</v>
      </c>
      <c r="IJ788" s="323">
        <f t="shared" si="881"/>
        <v>6.3600356013492518E-5</v>
      </c>
      <c r="IK788" s="327">
        <f>SUM(DO788:DT788)</f>
        <v>0</v>
      </c>
      <c r="IL788" s="279">
        <f>SUM(DU788:DZ788)</f>
        <v>0</v>
      </c>
      <c r="IM788" s="323">
        <f t="shared" si="882"/>
        <v>0</v>
      </c>
      <c r="IN788" s="279">
        <f>SUM(EA788:EF788)</f>
        <v>0</v>
      </c>
      <c r="IO788" s="279">
        <f>SUM(EG788:EL788)</f>
        <v>0</v>
      </c>
      <c r="IP788" s="323">
        <f t="shared" si="883"/>
        <v>0</v>
      </c>
      <c r="IQ788" s="327">
        <f>SUM(EM788:ER788)</f>
        <v>1.1632750000000001</v>
      </c>
      <c r="IR788" s="327">
        <f>SUM(ES788:EX788)</f>
        <v>1.29962</v>
      </c>
      <c r="IS788" s="323">
        <f t="shared" si="884"/>
        <v>2.4628950000000001</v>
      </c>
      <c r="IT788" s="327">
        <f>SUM(EY788:FD788)</f>
        <v>0</v>
      </c>
      <c r="IU788" s="327">
        <f>SUM(FE788:FJ788)</f>
        <v>0</v>
      </c>
      <c r="IV788" s="323">
        <f t="shared" si="885"/>
        <v>0</v>
      </c>
      <c r="IW788" s="327">
        <f t="shared" si="1024"/>
        <v>0</v>
      </c>
      <c r="IX788" s="327">
        <f t="shared" si="868"/>
        <v>0</v>
      </c>
      <c r="IY788" s="323">
        <f>IW788+IX788</f>
        <v>0</v>
      </c>
      <c r="IZ788" s="327">
        <f t="shared" si="869"/>
        <v>0</v>
      </c>
      <c r="JA788" s="327">
        <f t="shared" si="870"/>
        <v>0</v>
      </c>
      <c r="JB788" s="323">
        <f t="shared" si="887"/>
        <v>0</v>
      </c>
      <c r="JC788" s="327">
        <f t="shared" si="871"/>
        <v>0</v>
      </c>
      <c r="JD788" s="327">
        <f t="shared" si="872"/>
        <v>0</v>
      </c>
      <c r="JE788" s="323">
        <f t="shared" si="888"/>
        <v>0</v>
      </c>
      <c r="JF788" s="327">
        <f t="shared" si="908"/>
        <v>0</v>
      </c>
      <c r="JG788" s="327">
        <f t="shared" si="918"/>
        <v>0</v>
      </c>
      <c r="JH788" s="323">
        <f t="shared" si="889"/>
        <v>0</v>
      </c>
      <c r="JI788" s="327">
        <f t="shared" si="909"/>
        <v>0</v>
      </c>
      <c r="JJ788" s="327">
        <f t="shared" si="910"/>
        <v>0</v>
      </c>
      <c r="JK788" s="323">
        <f t="shared" si="890"/>
        <v>0</v>
      </c>
      <c r="JL788" s="327">
        <f t="shared" si="891"/>
        <v>0</v>
      </c>
      <c r="JM788" s="279">
        <f t="shared" si="892"/>
        <v>0</v>
      </c>
      <c r="JN788" s="323">
        <f>FISC!AK1094</f>
        <v>0</v>
      </c>
      <c r="JO788" s="327">
        <f t="shared" si="986"/>
        <v>0</v>
      </c>
      <c r="JP788" s="279">
        <f t="shared" si="893"/>
        <v>0</v>
      </c>
      <c r="JQ788" s="323">
        <f>FISC!AL1094</f>
        <v>0</v>
      </c>
      <c r="JR788" s="327">
        <f t="shared" si="919"/>
        <v>0</v>
      </c>
      <c r="JS788" s="279">
        <f t="shared" si="894"/>
        <v>0</v>
      </c>
      <c r="JT788" s="323">
        <f>FISC!AM1094</f>
        <v>0</v>
      </c>
      <c r="JU788" s="327">
        <f t="shared" si="920"/>
        <v>0</v>
      </c>
      <c r="JV788" s="279">
        <f t="shared" si="911"/>
        <v>0</v>
      </c>
      <c r="JW788" s="323">
        <f>FISC!AN1094</f>
        <v>0</v>
      </c>
      <c r="JX788" s="327">
        <f t="shared" si="921"/>
        <v>0</v>
      </c>
      <c r="JY788" s="279">
        <f t="shared" si="895"/>
        <v>0</v>
      </c>
      <c r="JZ788" s="323">
        <f>FISC!AO1094</f>
        <v>0</v>
      </c>
      <c r="KA788" s="327">
        <f t="shared" si="1193"/>
        <v>0</v>
      </c>
      <c r="KB788" s="279">
        <f t="shared" si="1194"/>
        <v>0</v>
      </c>
      <c r="KC788" s="323">
        <f>FISC!AP1094</f>
        <v>0</v>
      </c>
      <c r="KD788" s="327">
        <f t="shared" si="1195"/>
        <v>0</v>
      </c>
      <c r="KE788" s="279">
        <f t="shared" si="1196"/>
        <v>0</v>
      </c>
      <c r="KF788" s="323">
        <f>FISC!AQ1094</f>
        <v>0</v>
      </c>
      <c r="KG788" s="327">
        <f t="shared" si="1197"/>
        <v>0</v>
      </c>
      <c r="KH788" s="279">
        <f t="shared" si="1198"/>
        <v>0</v>
      </c>
      <c r="KI788" s="323">
        <f>FISC!AR1094</f>
        <v>0</v>
      </c>
      <c r="KJ788" s="327">
        <f t="shared" si="1199"/>
        <v>0</v>
      </c>
      <c r="KK788" s="279">
        <f t="shared" si="1200"/>
        <v>0</v>
      </c>
      <c r="KL788" s="323">
        <f>FISC!AS1094</f>
        <v>0</v>
      </c>
      <c r="KM788" s="327">
        <f t="shared" si="1201"/>
        <v>0</v>
      </c>
      <c r="KN788" s="279">
        <f t="shared" si="1202"/>
        <v>0</v>
      </c>
      <c r="KO788" s="323">
        <f>FISC!AT1094</f>
        <v>0</v>
      </c>
      <c r="KU788" s="326"/>
      <c r="KV788" s="327"/>
    </row>
    <row r="789" spans="1:308">
      <c r="A789" s="279"/>
      <c r="D789" s="1232" t="s">
        <v>485</v>
      </c>
      <c r="E789" s="323"/>
      <c r="F789" s="323"/>
      <c r="G789" s="323"/>
      <c r="H789" s="323"/>
      <c r="I789" s="323"/>
      <c r="J789" s="323"/>
      <c r="K789" s="323"/>
      <c r="L789" s="323"/>
      <c r="M789" s="323"/>
      <c r="N789" s="323"/>
      <c r="O789" s="323"/>
      <c r="P789" s="323"/>
      <c r="Q789" s="323"/>
      <c r="R789" s="323"/>
      <c r="S789" s="323"/>
      <c r="T789" s="323"/>
      <c r="U789" s="323"/>
      <c r="V789" s="323"/>
      <c r="W789" s="323"/>
      <c r="X789" s="323"/>
      <c r="Y789" s="323"/>
      <c r="Z789" s="323"/>
      <c r="AA789" s="323"/>
      <c r="AB789" s="323"/>
      <c r="AC789" s="323"/>
      <c r="AD789" s="323"/>
      <c r="AE789" s="323"/>
      <c r="AF789" s="323"/>
      <c r="AG789" s="323"/>
      <c r="AH789" s="323"/>
      <c r="AI789" s="323"/>
      <c r="AJ789" s="323"/>
      <c r="AK789" s="323"/>
      <c r="AL789" s="323"/>
      <c r="AM789" s="323"/>
      <c r="AN789" s="323"/>
      <c r="AO789" s="323"/>
      <c r="AP789" s="323"/>
      <c r="AQ789" s="323"/>
      <c r="AR789" s="323"/>
      <c r="AS789" s="323"/>
      <c r="AT789" s="323"/>
      <c r="AU789" s="323"/>
      <c r="AV789" s="323"/>
      <c r="AW789" s="323"/>
      <c r="AX789" s="323"/>
      <c r="AY789" s="323"/>
      <c r="AZ789" s="323"/>
      <c r="BA789" s="323"/>
      <c r="BB789" s="323"/>
      <c r="BC789" s="323"/>
      <c r="BD789" s="323"/>
      <c r="BE789" s="323"/>
      <c r="BF789" s="323"/>
      <c r="BG789" s="323"/>
      <c r="BH789" s="323"/>
      <c r="BI789" s="323"/>
      <c r="BJ789" s="323"/>
      <c r="BK789" s="323"/>
      <c r="BL789" s="323"/>
      <c r="BM789" s="323"/>
      <c r="BN789" s="323"/>
      <c r="BO789" s="323"/>
      <c r="BP789" s="323"/>
      <c r="BQ789" s="323"/>
      <c r="BR789" s="323"/>
      <c r="BS789" s="323"/>
      <c r="BT789" s="323"/>
      <c r="BU789" s="323"/>
      <c r="BV789" s="323"/>
      <c r="BW789" s="323"/>
      <c r="BX789" s="323"/>
      <c r="BY789" s="323"/>
      <c r="BZ789" s="323"/>
      <c r="CA789" s="323"/>
      <c r="CB789" s="323"/>
      <c r="CC789" s="323"/>
      <c r="CD789" s="329"/>
      <c r="CE789" s="323">
        <f t="shared" ref="CE789:DJ789" si="1218">CE387</f>
        <v>0</v>
      </c>
      <c r="CF789" s="323">
        <f t="shared" si="1218"/>
        <v>0</v>
      </c>
      <c r="CG789" s="323">
        <f t="shared" si="1218"/>
        <v>0</v>
      </c>
      <c r="CH789" s="323">
        <f t="shared" si="1218"/>
        <v>0</v>
      </c>
      <c r="CI789" s="323">
        <f t="shared" si="1218"/>
        <v>0</v>
      </c>
      <c r="CJ789" s="323">
        <f t="shared" si="1218"/>
        <v>0</v>
      </c>
      <c r="CK789" s="323">
        <f t="shared" si="1218"/>
        <v>0</v>
      </c>
      <c r="CL789" s="323">
        <f t="shared" si="1218"/>
        <v>0</v>
      </c>
      <c r="CM789" s="323">
        <f t="shared" si="1218"/>
        <v>0</v>
      </c>
      <c r="CN789" s="323">
        <f t="shared" si="1218"/>
        <v>0</v>
      </c>
      <c r="CO789" s="323">
        <f t="shared" si="1218"/>
        <v>0</v>
      </c>
      <c r="CP789" s="325">
        <f t="shared" si="1218"/>
        <v>0</v>
      </c>
      <c r="CQ789" s="323">
        <f t="shared" si="1218"/>
        <v>6.4068461000000007E-2</v>
      </c>
      <c r="CR789" s="323">
        <f t="shared" si="1218"/>
        <v>4.8630384999999998E-2</v>
      </c>
      <c r="CS789" s="323">
        <f t="shared" si="1218"/>
        <v>4.5853443000000001E-2</v>
      </c>
      <c r="CT789" s="323">
        <f t="shared" si="1218"/>
        <v>3.7334525E-2</v>
      </c>
      <c r="CU789" s="323">
        <f t="shared" si="1218"/>
        <v>2.5196940000000001E-2</v>
      </c>
      <c r="CV789" s="323">
        <f t="shared" si="1218"/>
        <v>2.1096296E-2</v>
      </c>
      <c r="CW789" s="323">
        <f t="shared" si="1218"/>
        <v>0.14355452799999999</v>
      </c>
      <c r="CX789" s="323">
        <f t="shared" si="1218"/>
        <v>0.18836430800000001</v>
      </c>
      <c r="CY789" s="323">
        <f t="shared" si="1218"/>
        <v>3.4652163030000001</v>
      </c>
      <c r="CZ789" s="323">
        <f t="shared" si="1218"/>
        <v>0.25610231700000002</v>
      </c>
      <c r="DA789" s="323">
        <f t="shared" si="1218"/>
        <v>0.14764929600000001</v>
      </c>
      <c r="DB789" s="1269">
        <f t="shared" si="1218"/>
        <v>0.101770338</v>
      </c>
      <c r="DC789" s="323">
        <f t="shared" si="1218"/>
        <v>0</v>
      </c>
      <c r="DD789" s="323">
        <f t="shared" si="1218"/>
        <v>0.52627772826353691</v>
      </c>
      <c r="DE789" s="323">
        <f t="shared" si="1218"/>
        <v>1.4211541374234002</v>
      </c>
      <c r="DF789" s="323">
        <f t="shared" si="1218"/>
        <v>3.9694588983165602</v>
      </c>
      <c r="DG789" s="323">
        <f t="shared" si="1218"/>
        <v>2.2316837800766649</v>
      </c>
      <c r="DH789" s="323">
        <f t="shared" si="1218"/>
        <v>1.7731615422472089</v>
      </c>
      <c r="DI789" s="323">
        <f t="shared" si="1218"/>
        <v>2.5631760413154012</v>
      </c>
      <c r="DJ789" s="323">
        <f t="shared" si="1218"/>
        <v>3.6060941701399969</v>
      </c>
      <c r="DK789" s="323">
        <f t="shared" ref="DK789:EP789" si="1219">DK387</f>
        <v>2.4500914800189548</v>
      </c>
      <c r="DL789" s="323">
        <f t="shared" si="1219"/>
        <v>5.2752214508147572</v>
      </c>
      <c r="DM789" s="323">
        <f t="shared" si="1219"/>
        <v>5.9133992146420242</v>
      </c>
      <c r="DN789" s="325">
        <f t="shared" si="1219"/>
        <v>6.9766629719583886</v>
      </c>
      <c r="DO789" s="323">
        <f t="shared" si="1219"/>
        <v>0</v>
      </c>
      <c r="DP789" s="323">
        <f t="shared" si="1219"/>
        <v>0</v>
      </c>
      <c r="DQ789" s="323">
        <f t="shared" si="1219"/>
        <v>0</v>
      </c>
      <c r="DR789" s="323">
        <f t="shared" si="1219"/>
        <v>0</v>
      </c>
      <c r="DS789" s="323">
        <f t="shared" si="1219"/>
        <v>0</v>
      </c>
      <c r="DT789" s="323">
        <f t="shared" si="1219"/>
        <v>0</v>
      </c>
      <c r="DU789" s="323">
        <f t="shared" si="1219"/>
        <v>0</v>
      </c>
      <c r="DV789" s="323">
        <f t="shared" si="1219"/>
        <v>0</v>
      </c>
      <c r="DW789" s="323">
        <f t="shared" si="1219"/>
        <v>0</v>
      </c>
      <c r="DX789" s="323">
        <f t="shared" si="1219"/>
        <v>0</v>
      </c>
      <c r="DY789" s="323">
        <f t="shared" si="1219"/>
        <v>0</v>
      </c>
      <c r="DZ789" s="325">
        <f t="shared" si="1219"/>
        <v>0</v>
      </c>
      <c r="EA789" s="323">
        <f t="shared" si="1219"/>
        <v>0</v>
      </c>
      <c r="EB789" s="323">
        <f t="shared" si="1219"/>
        <v>0</v>
      </c>
      <c r="EC789" s="323">
        <f t="shared" si="1219"/>
        <v>0</v>
      </c>
      <c r="ED789" s="323">
        <f t="shared" si="1219"/>
        <v>0</v>
      </c>
      <c r="EE789" s="323">
        <f t="shared" si="1219"/>
        <v>0</v>
      </c>
      <c r="EF789" s="323">
        <f t="shared" si="1219"/>
        <v>0</v>
      </c>
      <c r="EG789" s="323">
        <f t="shared" si="1219"/>
        <v>0</v>
      </c>
      <c r="EH789" s="323">
        <f t="shared" si="1219"/>
        <v>0</v>
      </c>
      <c r="EI789" s="323">
        <f t="shared" si="1219"/>
        <v>0</v>
      </c>
      <c r="EJ789" s="323">
        <f t="shared" si="1219"/>
        <v>0</v>
      </c>
      <c r="EK789" s="323">
        <f t="shared" si="1219"/>
        <v>0</v>
      </c>
      <c r="EL789" s="325">
        <f t="shared" si="1219"/>
        <v>0</v>
      </c>
      <c r="EM789" s="323">
        <f t="shared" si="1219"/>
        <v>0</v>
      </c>
      <c r="EN789" s="323">
        <f t="shared" si="1219"/>
        <v>0</v>
      </c>
      <c r="EO789" s="323">
        <f t="shared" si="1219"/>
        <v>0</v>
      </c>
      <c r="EP789" s="323">
        <f t="shared" si="1219"/>
        <v>0</v>
      </c>
      <c r="EQ789" s="323">
        <f t="shared" ref="EQ789:FV789" si="1220">EQ387</f>
        <v>0</v>
      </c>
      <c r="ER789" s="323">
        <f t="shared" si="1220"/>
        <v>0</v>
      </c>
      <c r="ES789" s="323">
        <f t="shared" si="1220"/>
        <v>0</v>
      </c>
      <c r="ET789" s="323">
        <f t="shared" si="1220"/>
        <v>0</v>
      </c>
      <c r="EU789" s="323">
        <f t="shared" si="1220"/>
        <v>0</v>
      </c>
      <c r="EV789" s="323">
        <f t="shared" si="1220"/>
        <v>0</v>
      </c>
      <c r="EW789" s="323">
        <f t="shared" si="1220"/>
        <v>0</v>
      </c>
      <c r="EX789" s="325">
        <f t="shared" si="1220"/>
        <v>0</v>
      </c>
      <c r="EY789" s="323">
        <f t="shared" si="1220"/>
        <v>0.26580730899999999</v>
      </c>
      <c r="EZ789" s="323">
        <f t="shared" si="1220"/>
        <v>0.26580730899999999</v>
      </c>
      <c r="FA789" s="323">
        <f t="shared" si="1220"/>
        <v>0.26580730899999999</v>
      </c>
      <c r="FB789" s="323">
        <f t="shared" si="1220"/>
        <v>0.26580730899999999</v>
      </c>
      <c r="FC789" s="323">
        <f t="shared" si="1220"/>
        <v>0.26580730899999999</v>
      </c>
      <c r="FD789" s="323">
        <f t="shared" si="1220"/>
        <v>0.26580730899999999</v>
      </c>
      <c r="FE789" s="323">
        <f t="shared" si="1220"/>
        <v>6.2966569921600009</v>
      </c>
      <c r="FF789" s="323">
        <f t="shared" si="1220"/>
        <v>0.8198708388766387</v>
      </c>
      <c r="FG789" s="323">
        <f t="shared" si="1220"/>
        <v>0.52423914859999998</v>
      </c>
      <c r="FH789" s="323">
        <f t="shared" si="1220"/>
        <v>1.5951549143959001</v>
      </c>
      <c r="FI789" s="323">
        <f t="shared" si="1220"/>
        <v>1.5951549143959001</v>
      </c>
      <c r="FJ789" s="325">
        <f t="shared" si="1220"/>
        <v>1.5951549143959001</v>
      </c>
      <c r="FK789" s="323">
        <f t="shared" si="1220"/>
        <v>0.29565045484284408</v>
      </c>
      <c r="FL789" s="323">
        <f t="shared" si="1220"/>
        <v>0.23241264445440948</v>
      </c>
      <c r="FM789" s="323">
        <f t="shared" si="1220"/>
        <v>0.29068532770274641</v>
      </c>
      <c r="FN789" s="323">
        <f t="shared" si="1220"/>
        <v>1.1939545732940664E-3</v>
      </c>
      <c r="FO789" s="323">
        <f t="shared" si="1220"/>
        <v>2.4628027264377026E-3</v>
      </c>
      <c r="FP789" s="323">
        <f t="shared" si="1220"/>
        <v>1.1321930700268231E-2</v>
      </c>
      <c r="FQ789" s="323">
        <f t="shared" si="1220"/>
        <v>1.7664231900748419</v>
      </c>
      <c r="FR789" s="323">
        <f t="shared" si="1220"/>
        <v>2.2169717771058468</v>
      </c>
      <c r="FS789" s="323">
        <f t="shared" si="1220"/>
        <v>1.2826481198193107</v>
      </c>
      <c r="FT789" s="323">
        <f t="shared" si="1220"/>
        <v>0.2813007443333333</v>
      </c>
      <c r="FU789" s="323">
        <f t="shared" si="1220"/>
        <v>0.2813007443333333</v>
      </c>
      <c r="FV789" s="323">
        <f t="shared" si="1220"/>
        <v>0.2813007443333333</v>
      </c>
      <c r="FW789" s="323">
        <v>9.2340063198682126E-2</v>
      </c>
      <c r="FX789" s="323">
        <v>0.11524411630216823</v>
      </c>
      <c r="FY789" s="323">
        <v>0.14171416749914964</v>
      </c>
      <c r="FZ789" s="323">
        <v>6.6866140149199421E-2</v>
      </c>
      <c r="GA789" s="323">
        <v>9.6456097691933931E-2</v>
      </c>
      <c r="GB789" s="323">
        <v>0.27037780815886664</v>
      </c>
      <c r="GC789" s="323">
        <v>1.2426386619662857</v>
      </c>
      <c r="GD789" s="323">
        <v>1.5595893771090639</v>
      </c>
      <c r="GE789" s="323">
        <v>3.0518096729246502</v>
      </c>
      <c r="GF789" s="323">
        <v>0.17165030568481376</v>
      </c>
      <c r="GG789" s="323">
        <v>0.17660300052462727</v>
      </c>
      <c r="GH789" s="323">
        <v>0.27698401279400947</v>
      </c>
      <c r="GI789" s="323">
        <f t="shared" si="1185"/>
        <v>0</v>
      </c>
      <c r="GJ789" s="323">
        <f t="shared" ref="GJ789:HR789" si="1221">GJ387</f>
        <v>0</v>
      </c>
      <c r="GK789" s="323">
        <f t="shared" si="1221"/>
        <v>0</v>
      </c>
      <c r="GL789" s="323">
        <f t="shared" si="1221"/>
        <v>0</v>
      </c>
      <c r="GM789" s="323">
        <f t="shared" si="1221"/>
        <v>0</v>
      </c>
      <c r="GN789" s="323">
        <f t="shared" si="1221"/>
        <v>0</v>
      </c>
      <c r="GO789" s="323">
        <f t="shared" si="1221"/>
        <v>0</v>
      </c>
      <c r="GP789" s="323">
        <f t="shared" si="1221"/>
        <v>0</v>
      </c>
      <c r="GQ789" s="323">
        <f t="shared" si="1221"/>
        <v>0</v>
      </c>
      <c r="GR789" s="323">
        <f t="shared" si="1221"/>
        <v>0</v>
      </c>
      <c r="GS789" s="323">
        <f t="shared" si="1221"/>
        <v>0</v>
      </c>
      <c r="GT789" s="323">
        <f t="shared" si="1221"/>
        <v>0</v>
      </c>
      <c r="GU789" s="323">
        <f t="shared" si="1221"/>
        <v>0.50321992000000004</v>
      </c>
      <c r="GV789" s="323">
        <f t="shared" si="1221"/>
        <v>0.60779959400000005</v>
      </c>
      <c r="GW789" s="323">
        <f t="shared" si="1221"/>
        <v>0.49503668099999998</v>
      </c>
      <c r="GX789" s="323">
        <f t="shared" si="1221"/>
        <v>0.49720740099999999</v>
      </c>
      <c r="GY789" s="323">
        <f t="shared" si="1221"/>
        <v>0.25866908399999999</v>
      </c>
      <c r="GZ789" s="323">
        <f t="shared" si="1221"/>
        <v>9.1145840000000006E-2</v>
      </c>
      <c r="HA789" s="323">
        <f t="shared" si="1221"/>
        <v>4.5787891690000002</v>
      </c>
      <c r="HB789" s="323">
        <f t="shared" si="1221"/>
        <v>2.4912074770000001</v>
      </c>
      <c r="HC789" s="323">
        <f t="shared" si="1221"/>
        <v>0.57395500700000002</v>
      </c>
      <c r="HD789" s="323">
        <f t="shared" si="1221"/>
        <v>1.6551297110000001</v>
      </c>
      <c r="HE789" s="323">
        <f t="shared" si="1221"/>
        <v>0.47746946800000001</v>
      </c>
      <c r="HF789" s="323">
        <f t="shared" si="1221"/>
        <v>0.69640668999999999</v>
      </c>
      <c r="HG789" s="323">
        <f t="shared" si="1221"/>
        <v>1.4705108929999999</v>
      </c>
      <c r="HH789" s="323">
        <f t="shared" si="1221"/>
        <v>0.35344490099999998</v>
      </c>
      <c r="HI789" s="323">
        <f t="shared" si="1221"/>
        <v>0.52472494999999997</v>
      </c>
      <c r="HJ789" s="323">
        <f t="shared" si="1221"/>
        <v>1.2265425750000001</v>
      </c>
      <c r="HK789" s="323">
        <f t="shared" si="1221"/>
        <v>0.41492590299999998</v>
      </c>
      <c r="HL789" s="323">
        <f t="shared" si="1221"/>
        <v>0.80634871922222218</v>
      </c>
      <c r="HM789" s="323">
        <f t="shared" si="1221"/>
        <v>7.6825107749999999</v>
      </c>
      <c r="HN789" s="323">
        <f t="shared" si="1221"/>
        <v>0.77382195899999995</v>
      </c>
      <c r="HO789" s="323">
        <f t="shared" si="1221"/>
        <v>0.86608759000000002</v>
      </c>
      <c r="HP789" s="323">
        <f t="shared" si="1221"/>
        <v>1.985425024</v>
      </c>
      <c r="HQ789" s="323">
        <f t="shared" si="1221"/>
        <v>0.54973059300000005</v>
      </c>
      <c r="HR789" s="323">
        <f t="shared" si="1221"/>
        <v>0.62183213900000001</v>
      </c>
      <c r="HS789" s="323">
        <f t="shared" ref="HS789:HX789" si="1222">HS387</f>
        <v>1.8019394980000001</v>
      </c>
      <c r="HT789" s="323">
        <f t="shared" si="1222"/>
        <v>0.47487448700000001</v>
      </c>
      <c r="HU789" s="323">
        <f t="shared" si="1222"/>
        <v>0.52530582999999997</v>
      </c>
      <c r="HV789" s="323">
        <f t="shared" si="1222"/>
        <v>1.675391273</v>
      </c>
      <c r="HW789" s="323">
        <f t="shared" si="1222"/>
        <v>0.43035506200000001</v>
      </c>
      <c r="HX789" s="323">
        <f t="shared" si="1222"/>
        <v>0.42810213899999999</v>
      </c>
      <c r="HY789" s="323"/>
      <c r="HZ789" s="326"/>
      <c r="IA789" s="1232" t="s">
        <v>485</v>
      </c>
      <c r="IB789" s="284">
        <f>SUM(CE789:CJ789)</f>
        <v>0</v>
      </c>
      <c r="IC789" s="279">
        <f>SUM(CK789:CP789)</f>
        <v>0</v>
      </c>
      <c r="ID789" s="323">
        <f t="shared" si="907"/>
        <v>0</v>
      </c>
      <c r="IE789" s="279">
        <f>SUM(CQ789:CV789)</f>
        <v>0.24218005000000004</v>
      </c>
      <c r="IF789" s="279">
        <f>SUM(CW789:DB789)</f>
        <v>4.3026570899999994</v>
      </c>
      <c r="IG789" s="323">
        <f t="shared" si="880"/>
        <v>4.5448371399999994</v>
      </c>
      <c r="IH789" s="284">
        <f>SUM(DC789:DH789)</f>
        <v>9.9217360863273711</v>
      </c>
      <c r="II789" s="279">
        <f>SUM(DI789:DN789)</f>
        <v>26.784645328889525</v>
      </c>
      <c r="IJ789" s="323">
        <f t="shared" si="881"/>
        <v>36.706381415216896</v>
      </c>
      <c r="IK789" s="327">
        <f>SUM(DO789:DT789)</f>
        <v>0</v>
      </c>
      <c r="IL789" s="279">
        <f>SUM(DU789:DZ789)</f>
        <v>0</v>
      </c>
      <c r="IM789" s="323">
        <f t="shared" si="882"/>
        <v>0</v>
      </c>
      <c r="IN789" s="279">
        <f>SUM(EA789:EF789)</f>
        <v>0</v>
      </c>
      <c r="IO789" s="279">
        <f>SUM(EG789:EL789)</f>
        <v>0</v>
      </c>
      <c r="IP789" s="323">
        <f t="shared" si="883"/>
        <v>0</v>
      </c>
      <c r="IQ789" s="327">
        <f>SUM(EM789:ER789)</f>
        <v>0</v>
      </c>
      <c r="IR789" s="327">
        <f>SUM(ES789:EX789)</f>
        <v>0</v>
      </c>
      <c r="IS789" s="323">
        <f t="shared" si="884"/>
        <v>0</v>
      </c>
      <c r="IT789" s="327">
        <f>SUM(EY789:FD789)</f>
        <v>1.5948438539999998</v>
      </c>
      <c r="IU789" s="327">
        <f>SUM(FE789:FJ789)</f>
        <v>12.42623172282434</v>
      </c>
      <c r="IV789" s="323">
        <f t="shared" si="885"/>
        <v>14.021075576824341</v>
      </c>
      <c r="IW789" s="327">
        <f t="shared" si="1024"/>
        <v>0.83372711500000007</v>
      </c>
      <c r="IX789" s="327">
        <f t="shared" si="868"/>
        <v>6.1099453200000005</v>
      </c>
      <c r="IY789" s="323">
        <f t="shared" si="886"/>
        <v>6.9436724350000008</v>
      </c>
      <c r="IZ789" s="327">
        <f t="shared" si="869"/>
        <v>0.78299839299999996</v>
      </c>
      <c r="JA789" s="327">
        <f t="shared" si="870"/>
        <v>6.4792750310034508</v>
      </c>
      <c r="JB789" s="323">
        <f t="shared" si="887"/>
        <v>7.2622734240034506</v>
      </c>
      <c r="JC789" s="327">
        <f t="shared" si="871"/>
        <v>0</v>
      </c>
      <c r="JD789" s="327">
        <f t="shared" si="872"/>
        <v>0</v>
      </c>
      <c r="JE789" s="323">
        <f t="shared" si="888"/>
        <v>0</v>
      </c>
      <c r="JF789" s="327">
        <f t="shared" si="908"/>
        <v>2.45307852</v>
      </c>
      <c r="JG789" s="327">
        <f t="shared" si="918"/>
        <v>10.472957522000002</v>
      </c>
      <c r="JH789" s="323">
        <f t="shared" si="889"/>
        <v>12.926036042000002</v>
      </c>
      <c r="JI789" s="327">
        <f t="shared" si="909"/>
        <v>4.7964979412222224</v>
      </c>
      <c r="JJ789" s="327">
        <f t="shared" si="910"/>
        <v>12.479408079999999</v>
      </c>
      <c r="JK789" s="323">
        <f t="shared" si="890"/>
        <v>17.27590602122222</v>
      </c>
      <c r="JL789" s="327">
        <f t="shared" si="891"/>
        <v>5.3359682890000002</v>
      </c>
      <c r="JM789" s="279">
        <f t="shared" si="892"/>
        <v>29.828641493066591</v>
      </c>
      <c r="JN789" s="323">
        <f>FISC!AK1095</f>
        <v>35.164609782066591</v>
      </c>
      <c r="JO789" s="327">
        <f>JQ789*0.544</f>
        <v>24.425742561061018</v>
      </c>
      <c r="JP789" s="279">
        <f t="shared" si="893"/>
        <v>20.474519499712908</v>
      </c>
      <c r="JQ789" s="323">
        <f>FISC!AL1095</f>
        <v>44.900262060773926</v>
      </c>
      <c r="JR789" s="327">
        <f t="shared" si="919"/>
        <v>24.798179969235814</v>
      </c>
      <c r="JS789" s="279">
        <f t="shared" si="894"/>
        <v>26.864694966672136</v>
      </c>
      <c r="JT789" s="323">
        <f>FISC!AM1095</f>
        <v>51.662874935907951</v>
      </c>
      <c r="JU789" s="327">
        <f t="shared" si="920"/>
        <v>28.636049258388251</v>
      </c>
      <c r="JV789" s="279">
        <f t="shared" si="911"/>
        <v>31.022386696587272</v>
      </c>
      <c r="JW789" s="323">
        <f>FISC!AN1095</f>
        <v>59.658435954975523</v>
      </c>
      <c r="JX789" s="327">
        <f t="shared" si="921"/>
        <v>32.879954496763958</v>
      </c>
      <c r="JY789" s="279">
        <f t="shared" si="895"/>
        <v>35.619950704827616</v>
      </c>
      <c r="JZ789" s="323">
        <f>FISC!AO1095</f>
        <v>68.499905201591574</v>
      </c>
      <c r="KA789" s="327">
        <f t="shared" si="1193"/>
        <v>36.828704327698567</v>
      </c>
      <c r="KB789" s="279">
        <f t="shared" si="1194"/>
        <v>39.897763021673448</v>
      </c>
      <c r="KC789" s="323">
        <f>FISC!AP1095</f>
        <v>76.726467349372015</v>
      </c>
      <c r="KD789" s="327">
        <f t="shared" si="1195"/>
        <v>43.635054337497138</v>
      </c>
      <c r="KE789" s="279">
        <f t="shared" si="1196"/>
        <v>47.271308865621904</v>
      </c>
      <c r="KF789" s="323">
        <f>FISC!AQ1095</f>
        <v>90.906363203119042</v>
      </c>
      <c r="KG789" s="327">
        <f t="shared" si="1197"/>
        <v>50.8986297674276</v>
      </c>
      <c r="KH789" s="279">
        <f t="shared" si="1198"/>
        <v>55.140182248046578</v>
      </c>
      <c r="KI789" s="323">
        <f>FISC!AR1095</f>
        <v>106.03881201547418</v>
      </c>
      <c r="KJ789" s="327">
        <f t="shared" si="1199"/>
        <v>58.564990147143348</v>
      </c>
      <c r="KK789" s="279">
        <f t="shared" si="1200"/>
        <v>63.445405992738628</v>
      </c>
      <c r="KL789" s="323">
        <f>FISC!AS1095</f>
        <v>122.01039613988198</v>
      </c>
      <c r="KM789" s="327">
        <f t="shared" si="1201"/>
        <v>65.8156910146012</v>
      </c>
      <c r="KN789" s="279">
        <f t="shared" si="1202"/>
        <v>71.300331932484639</v>
      </c>
      <c r="KO789" s="323">
        <f>FISC!AT1095</f>
        <v>137.11602294708584</v>
      </c>
      <c r="KU789" s="326"/>
      <c r="KV789" s="327"/>
    </row>
    <row r="790" spans="1:308">
      <c r="A790" s="279"/>
      <c r="D790" s="1415" t="s">
        <v>3056</v>
      </c>
      <c r="E790" s="323"/>
      <c r="F790" s="323"/>
      <c r="G790" s="323"/>
      <c r="H790" s="323"/>
      <c r="I790" s="323"/>
      <c r="J790" s="323"/>
      <c r="K790" s="323"/>
      <c r="L790" s="323"/>
      <c r="M790" s="323"/>
      <c r="N790" s="323"/>
      <c r="O790" s="323"/>
      <c r="P790" s="323"/>
      <c r="Q790" s="323"/>
      <c r="R790" s="323"/>
      <c r="S790" s="323"/>
      <c r="T790" s="323"/>
      <c r="U790" s="323"/>
      <c r="V790" s="323"/>
      <c r="W790" s="323"/>
      <c r="X790" s="323"/>
      <c r="Y790" s="323"/>
      <c r="Z790" s="323"/>
      <c r="AA790" s="323"/>
      <c r="AB790" s="323"/>
      <c r="AC790" s="323"/>
      <c r="AD790" s="323"/>
      <c r="AE790" s="323"/>
      <c r="AF790" s="323"/>
      <c r="AG790" s="323"/>
      <c r="AH790" s="323"/>
      <c r="AI790" s="323"/>
      <c r="AJ790" s="323"/>
      <c r="AK790" s="323"/>
      <c r="AL790" s="323"/>
      <c r="AM790" s="323"/>
      <c r="AN790" s="323"/>
      <c r="AO790" s="323"/>
      <c r="AP790" s="323"/>
      <c r="AQ790" s="323"/>
      <c r="AR790" s="323"/>
      <c r="AS790" s="323"/>
      <c r="AT790" s="323"/>
      <c r="AU790" s="323"/>
      <c r="AV790" s="323"/>
      <c r="AW790" s="323"/>
      <c r="AX790" s="323"/>
      <c r="AY790" s="323"/>
      <c r="AZ790" s="323"/>
      <c r="BA790" s="323"/>
      <c r="BB790" s="323"/>
      <c r="BC790" s="323"/>
      <c r="BD790" s="323"/>
      <c r="BE790" s="323"/>
      <c r="BF790" s="323"/>
      <c r="BG790" s="323"/>
      <c r="BH790" s="323"/>
      <c r="BI790" s="323"/>
      <c r="BJ790" s="323"/>
      <c r="BK790" s="323"/>
      <c r="BL790" s="323"/>
      <c r="BM790" s="323"/>
      <c r="BN790" s="323"/>
      <c r="BO790" s="323"/>
      <c r="BP790" s="323"/>
      <c r="BQ790" s="323"/>
      <c r="BR790" s="323"/>
      <c r="BS790" s="323"/>
      <c r="BT790" s="323"/>
      <c r="BU790" s="323"/>
      <c r="BV790" s="323"/>
      <c r="BW790" s="323"/>
      <c r="BX790" s="323"/>
      <c r="BY790" s="323"/>
      <c r="BZ790" s="323"/>
      <c r="CA790" s="323"/>
      <c r="CB790" s="323"/>
      <c r="CC790" s="323"/>
      <c r="CD790" s="329"/>
      <c r="CE790" s="323">
        <v>0</v>
      </c>
      <c r="CF790" s="323">
        <v>0</v>
      </c>
      <c r="CG790" s="323">
        <v>0</v>
      </c>
      <c r="CH790" s="323">
        <v>0</v>
      </c>
      <c r="CI790" s="323">
        <v>0</v>
      </c>
      <c r="CJ790" s="323">
        <v>0</v>
      </c>
      <c r="CK790" s="323">
        <v>0</v>
      </c>
      <c r="CL790" s="323">
        <v>0</v>
      </c>
      <c r="CM790" s="323">
        <v>0</v>
      </c>
      <c r="CN790" s="323">
        <v>0</v>
      </c>
      <c r="CO790" s="323">
        <v>0</v>
      </c>
      <c r="CP790" s="325">
        <v>0</v>
      </c>
      <c r="CQ790" s="323"/>
      <c r="CR790" s="323"/>
      <c r="CS790" s="323"/>
      <c r="CT790" s="323"/>
      <c r="CU790" s="323"/>
      <c r="CV790" s="323"/>
      <c r="CW790" s="323"/>
      <c r="CX790" s="323"/>
      <c r="CY790" s="323"/>
      <c r="CZ790" s="323"/>
      <c r="DA790" s="323"/>
      <c r="DB790" s="1269"/>
      <c r="DC790" s="323"/>
      <c r="DD790" s="323"/>
      <c r="DE790" s="323"/>
      <c r="DF790" s="323"/>
      <c r="DG790" s="323"/>
      <c r="DH790" s="323"/>
      <c r="DI790" s="323"/>
      <c r="DJ790" s="323"/>
      <c r="DK790" s="323"/>
      <c r="DL790" s="323"/>
      <c r="DM790" s="323"/>
      <c r="DN790" s="325"/>
      <c r="DO790" s="323"/>
      <c r="DP790" s="323"/>
      <c r="DQ790" s="323"/>
      <c r="DR790" s="323"/>
      <c r="DS790" s="323"/>
      <c r="DT790" s="323"/>
      <c r="DU790" s="323"/>
      <c r="DV790" s="323"/>
      <c r="DW790" s="323"/>
      <c r="DX790" s="323"/>
      <c r="DY790" s="323"/>
      <c r="DZ790" s="325"/>
      <c r="EA790" s="323"/>
      <c r="EB790" s="323"/>
      <c r="EC790" s="323"/>
      <c r="ED790" s="323"/>
      <c r="EE790" s="323"/>
      <c r="EF790" s="323"/>
      <c r="EG790" s="323"/>
      <c r="EH790" s="323"/>
      <c r="EI790" s="323"/>
      <c r="EJ790" s="323"/>
      <c r="EK790" s="323"/>
      <c r="EL790" s="325"/>
      <c r="EM790" s="323"/>
      <c r="EN790" s="323"/>
      <c r="EO790" s="323"/>
      <c r="EP790" s="323"/>
      <c r="EQ790" s="323"/>
      <c r="ER790" s="323"/>
      <c r="ES790" s="323"/>
      <c r="ET790" s="323"/>
      <c r="EU790" s="323"/>
      <c r="EV790" s="323"/>
      <c r="EW790" s="323"/>
      <c r="EX790" s="325"/>
      <c r="EY790" s="323"/>
      <c r="EZ790" s="323"/>
      <c r="FA790" s="323"/>
      <c r="FB790" s="323"/>
      <c r="FC790" s="323"/>
      <c r="FD790" s="323"/>
      <c r="FE790" s="323"/>
      <c r="FF790" s="323"/>
      <c r="FG790" s="323"/>
      <c r="FH790" s="323"/>
      <c r="FI790" s="323"/>
      <c r="FJ790" s="325"/>
      <c r="FK790" s="323"/>
      <c r="FL790" s="323"/>
      <c r="FM790" s="323"/>
      <c r="FN790" s="323"/>
      <c r="FO790" s="323"/>
      <c r="FP790" s="323"/>
      <c r="FQ790" s="323"/>
      <c r="FR790" s="323"/>
      <c r="FS790" s="323"/>
      <c r="FT790" s="323"/>
      <c r="FU790" s="323"/>
      <c r="FV790" s="323"/>
      <c r="FW790" s="323">
        <f>FW388</f>
        <v>9.2340063198682126E-2</v>
      </c>
      <c r="FX790" s="323">
        <f t="shared" ref="FX790:GY790" si="1223">FX388</f>
        <v>0.11524411630216823</v>
      </c>
      <c r="FY790" s="323">
        <f t="shared" si="1223"/>
        <v>0.14171416749914964</v>
      </c>
      <c r="FZ790" s="323">
        <f t="shared" si="1223"/>
        <v>6.6866140149199421E-2</v>
      </c>
      <c r="GA790" s="323">
        <f t="shared" si="1223"/>
        <v>9.6456097691933931E-2</v>
      </c>
      <c r="GB790" s="323">
        <f t="shared" si="1223"/>
        <v>0.27037780815886664</v>
      </c>
      <c r="GC790" s="323">
        <f t="shared" si="1223"/>
        <v>1.2426386619662857</v>
      </c>
      <c r="GD790" s="323">
        <f t="shared" si="1223"/>
        <v>1.5595893771090639</v>
      </c>
      <c r="GE790" s="323">
        <f t="shared" si="1223"/>
        <v>3.0518096729246502</v>
      </c>
      <c r="GF790" s="323">
        <f t="shared" si="1223"/>
        <v>0.17165030568481376</v>
      </c>
      <c r="GG790" s="323">
        <f t="shared" si="1223"/>
        <v>0.17660300052462727</v>
      </c>
      <c r="GH790" s="323">
        <f t="shared" si="1223"/>
        <v>0.27698401279400947</v>
      </c>
      <c r="GI790" s="323">
        <f t="shared" si="1223"/>
        <v>0.13460255700000001</v>
      </c>
      <c r="GJ790" s="323">
        <f t="shared" si="1223"/>
        <v>0.159268837</v>
      </c>
      <c r="GK790" s="323">
        <f t="shared" si="1223"/>
        <v>0.14826814999999999</v>
      </c>
      <c r="GL790" s="323">
        <f t="shared" si="1223"/>
        <v>0.113621295</v>
      </c>
      <c r="GM790" s="323">
        <f t="shared" si="1223"/>
        <v>0.12733825400000001</v>
      </c>
      <c r="GN790" s="323">
        <f t="shared" si="1223"/>
        <v>0.15216264099999999</v>
      </c>
      <c r="GO790" s="323">
        <f t="shared" si="1223"/>
        <v>4.7044156880000001</v>
      </c>
      <c r="GP790" s="323">
        <f t="shared" si="1223"/>
        <v>0.805456756</v>
      </c>
      <c r="GQ790" s="323">
        <f t="shared" si="1223"/>
        <v>0.47953915200000002</v>
      </c>
      <c r="GR790" s="323">
        <f t="shared" si="1223"/>
        <v>0.20474355699999999</v>
      </c>
      <c r="GS790" s="323">
        <f t="shared" si="1223"/>
        <v>0.21043287699999999</v>
      </c>
      <c r="GT790" s="323">
        <f t="shared" si="1223"/>
        <v>0.160150235</v>
      </c>
      <c r="GU790" s="323">
        <f t="shared" si="1223"/>
        <v>0.50321992000000004</v>
      </c>
      <c r="GV790" s="323">
        <f t="shared" si="1223"/>
        <v>0.60779959400000005</v>
      </c>
      <c r="GW790" s="323">
        <f t="shared" si="1223"/>
        <v>0.49503668099999998</v>
      </c>
      <c r="GX790" s="323">
        <f t="shared" si="1223"/>
        <v>0.49720740099999999</v>
      </c>
      <c r="GY790" s="323">
        <f t="shared" si="1223"/>
        <v>0.25866908399999999</v>
      </c>
      <c r="GZ790" s="323">
        <f t="shared" ref="GZ790:HR790" si="1224">GZ388</f>
        <v>9.1145840000000006E-2</v>
      </c>
      <c r="HA790" s="323">
        <f t="shared" si="1224"/>
        <v>4.5787891690000002</v>
      </c>
      <c r="HB790" s="323">
        <f t="shared" si="1224"/>
        <v>2.4912074770000001</v>
      </c>
      <c r="HC790" s="323">
        <f t="shared" si="1224"/>
        <v>0.57395500700000002</v>
      </c>
      <c r="HD790" s="323">
        <f t="shared" si="1224"/>
        <v>1.6551297110000001</v>
      </c>
      <c r="HE790" s="323">
        <f t="shared" si="1224"/>
        <v>0.47746946800000001</v>
      </c>
      <c r="HF790" s="323">
        <f t="shared" si="1224"/>
        <v>0.69640668999999999</v>
      </c>
      <c r="HG790" s="323">
        <f t="shared" si="1224"/>
        <v>1.4705108929999999</v>
      </c>
      <c r="HH790" s="323">
        <f t="shared" si="1224"/>
        <v>0.35344490099999998</v>
      </c>
      <c r="HI790" s="323">
        <f t="shared" si="1224"/>
        <v>0.52472494999999997</v>
      </c>
      <c r="HJ790" s="323">
        <f t="shared" si="1224"/>
        <v>1.2265425750000001</v>
      </c>
      <c r="HK790" s="323">
        <f t="shared" si="1224"/>
        <v>0.41492590299999998</v>
      </c>
      <c r="HL790" s="323">
        <f t="shared" si="1224"/>
        <v>0.80634871922222218</v>
      </c>
      <c r="HM790" s="323">
        <f t="shared" si="1224"/>
        <v>7.6825107749999999</v>
      </c>
      <c r="HN790" s="323">
        <f t="shared" si="1224"/>
        <v>0.77382195899999995</v>
      </c>
      <c r="HO790" s="323">
        <f t="shared" si="1224"/>
        <v>0.86608759000000002</v>
      </c>
      <c r="HP790" s="323">
        <f t="shared" si="1224"/>
        <v>1.985425024</v>
      </c>
      <c r="HQ790" s="323">
        <f t="shared" si="1224"/>
        <v>0.54973059300000005</v>
      </c>
      <c r="HR790" s="323">
        <f t="shared" si="1224"/>
        <v>0.62183213900000001</v>
      </c>
      <c r="HS790" s="323">
        <f t="shared" ref="HS790:HX790" si="1225">HS388</f>
        <v>1.8019394980000001</v>
      </c>
      <c r="HT790" s="323">
        <f t="shared" si="1225"/>
        <v>0.47487448700000001</v>
      </c>
      <c r="HU790" s="323">
        <f t="shared" si="1225"/>
        <v>0.52530582999999997</v>
      </c>
      <c r="HV790" s="323">
        <f t="shared" si="1225"/>
        <v>1.675391273</v>
      </c>
      <c r="HW790" s="323">
        <f t="shared" si="1225"/>
        <v>0.43035506200000001</v>
      </c>
      <c r="HX790" s="323">
        <f t="shared" si="1225"/>
        <v>0.42810213899999999</v>
      </c>
      <c r="HY790" s="323"/>
      <c r="HZ790" s="326"/>
      <c r="IA790" s="1415" t="s">
        <v>3056</v>
      </c>
      <c r="IB790" s="284"/>
      <c r="ID790" s="323"/>
      <c r="IG790" s="323"/>
      <c r="IH790" s="284"/>
      <c r="IJ790" s="323"/>
      <c r="IK790" s="327"/>
      <c r="IM790" s="323"/>
      <c r="IP790" s="323"/>
      <c r="IQ790" s="327"/>
      <c r="IR790" s="327"/>
      <c r="IS790" s="323"/>
      <c r="IT790" s="327"/>
      <c r="IU790" s="327"/>
      <c r="IV790" s="323"/>
      <c r="IW790" s="327">
        <f t="shared" si="1024"/>
        <v>0</v>
      </c>
      <c r="IX790" s="327">
        <f t="shared" si="868"/>
        <v>0</v>
      </c>
      <c r="IY790" s="323">
        <f t="shared" si="886"/>
        <v>0</v>
      </c>
      <c r="IZ790" s="327">
        <f t="shared" si="869"/>
        <v>0.78299839299999996</v>
      </c>
      <c r="JA790" s="327">
        <f t="shared" si="870"/>
        <v>6.4792750310034508</v>
      </c>
      <c r="JB790" s="323">
        <f t="shared" si="887"/>
        <v>7.2622734240034506</v>
      </c>
      <c r="JC790" s="327">
        <f t="shared" si="871"/>
        <v>0.83526173399999992</v>
      </c>
      <c r="JD790" s="327">
        <f t="shared" si="872"/>
        <v>6.564738264999999</v>
      </c>
      <c r="JE790" s="323">
        <f t="shared" si="888"/>
        <v>7.3999999989999985</v>
      </c>
      <c r="JF790" s="327">
        <f t="shared" si="908"/>
        <v>2.45307852</v>
      </c>
      <c r="JG790" s="327">
        <f t="shared" si="918"/>
        <v>10.472957522000002</v>
      </c>
      <c r="JH790" s="323">
        <f t="shared" si="889"/>
        <v>12.926036042000002</v>
      </c>
      <c r="JI790" s="327">
        <f t="shared" si="909"/>
        <v>4.7964979412222224</v>
      </c>
      <c r="JJ790" s="327">
        <f t="shared" si="910"/>
        <v>12.479408079999999</v>
      </c>
      <c r="JK790" s="323">
        <f t="shared" si="890"/>
        <v>17.27590602122222</v>
      </c>
      <c r="JL790" s="327">
        <f t="shared" si="891"/>
        <v>5.3359682890000002</v>
      </c>
      <c r="JM790" s="279">
        <f t="shared" si="892"/>
        <v>14.91249501158028</v>
      </c>
      <c r="JN790" s="323">
        <f>FISC!AK1096</f>
        <v>20.24846330058028</v>
      </c>
      <c r="JO790" s="327">
        <f>JQ790*0.3</f>
        <v>6.7577438681085562</v>
      </c>
      <c r="JP790" s="279">
        <f t="shared" si="893"/>
        <v>15.768069025586634</v>
      </c>
      <c r="JQ790" s="323">
        <f>FISC!AL1096</f>
        <v>22.525812893695189</v>
      </c>
      <c r="JR790" s="327">
        <f t="shared" si="919"/>
        <v>12.787120781780523</v>
      </c>
      <c r="JS790" s="279">
        <f t="shared" si="894"/>
        <v>13.852714180262232</v>
      </c>
      <c r="JT790" s="323">
        <f>FISC!AM1096</f>
        <v>26.639834962042755</v>
      </c>
      <c r="JU790" s="327">
        <f t="shared" si="920"/>
        <v>14.279931374587369</v>
      </c>
      <c r="JV790" s="279">
        <f t="shared" si="911"/>
        <v>15.469925655802983</v>
      </c>
      <c r="JW790" s="323">
        <f>FISC!AN1096</f>
        <v>29.749857030390352</v>
      </c>
      <c r="JX790" s="327">
        <f t="shared" si="921"/>
        <v>15.772741967394214</v>
      </c>
      <c r="JY790" s="279">
        <f t="shared" si="895"/>
        <v>17.087137131343734</v>
      </c>
      <c r="JZ790" s="323">
        <f>FISC!AO1096</f>
        <v>32.859879098737949</v>
      </c>
      <c r="KA790" s="327">
        <f t="shared" si="1193"/>
        <v>15.026336670990792</v>
      </c>
      <c r="KB790" s="279">
        <f t="shared" si="1194"/>
        <v>16.27853139357336</v>
      </c>
      <c r="KC790" s="323">
        <f>FISC!AP1096</f>
        <v>31.30486806456415</v>
      </c>
      <c r="KD790" s="327">
        <f t="shared" si="1195"/>
        <v>15.399539319192503</v>
      </c>
      <c r="KE790" s="279">
        <f t="shared" si="1196"/>
        <v>16.682834262458545</v>
      </c>
      <c r="KF790" s="323">
        <f>FISC!AQ1096</f>
        <v>32.082373581651048</v>
      </c>
      <c r="KG790" s="327">
        <f t="shared" si="1197"/>
        <v>15.212937995091648</v>
      </c>
      <c r="KH790" s="279">
        <f t="shared" si="1198"/>
        <v>16.480682828015951</v>
      </c>
      <c r="KI790" s="323">
        <f>FISC!AR1096</f>
        <v>31.693620823107601</v>
      </c>
      <c r="KJ790" s="327">
        <f t="shared" si="1199"/>
        <v>15.306238657142075</v>
      </c>
      <c r="KK790" s="279">
        <f t="shared" si="1200"/>
        <v>16.58175854523725</v>
      </c>
      <c r="KL790" s="323">
        <f>FISC!AS1096</f>
        <v>31.887997202379324</v>
      </c>
      <c r="KM790" s="327">
        <f t="shared" si="1201"/>
        <v>15.259588326116862</v>
      </c>
      <c r="KN790" s="279">
        <f t="shared" si="1202"/>
        <v>16.5312206866266</v>
      </c>
      <c r="KO790" s="323">
        <f>FISC!AT1096</f>
        <v>31.790809012743463</v>
      </c>
      <c r="KU790" s="326"/>
      <c r="KV790" s="327"/>
    </row>
    <row r="791" spans="1:308">
      <c r="A791" s="279"/>
      <c r="D791" s="1492" t="s">
        <v>472</v>
      </c>
      <c r="E791" s="323"/>
      <c r="F791" s="323"/>
      <c r="G791" s="323"/>
      <c r="H791" s="323"/>
      <c r="I791" s="323"/>
      <c r="J791" s="323"/>
      <c r="K791" s="323"/>
      <c r="L791" s="323"/>
      <c r="M791" s="323"/>
      <c r="N791" s="323"/>
      <c r="O791" s="323"/>
      <c r="P791" s="323"/>
      <c r="Q791" s="323"/>
      <c r="R791" s="323"/>
      <c r="S791" s="323"/>
      <c r="T791" s="323"/>
      <c r="U791" s="323"/>
      <c r="V791" s="323"/>
      <c r="W791" s="323"/>
      <c r="X791" s="323"/>
      <c r="Y791" s="323"/>
      <c r="Z791" s="323"/>
      <c r="AA791" s="323"/>
      <c r="AB791" s="323"/>
      <c r="AC791" s="323"/>
      <c r="AD791" s="323"/>
      <c r="AE791" s="323"/>
      <c r="AF791" s="323"/>
      <c r="AG791" s="323"/>
      <c r="AH791" s="323"/>
      <c r="AI791" s="323"/>
      <c r="AJ791" s="323"/>
      <c r="AK791" s="323"/>
      <c r="AL791" s="323"/>
      <c r="AM791" s="323"/>
      <c r="AN791" s="323"/>
      <c r="AO791" s="323"/>
      <c r="AP791" s="323"/>
      <c r="AQ791" s="323"/>
      <c r="AR791" s="323"/>
      <c r="AS791" s="323"/>
      <c r="AT791" s="323"/>
      <c r="AU791" s="323"/>
      <c r="AV791" s="323"/>
      <c r="AW791" s="323"/>
      <c r="AX791" s="323"/>
      <c r="AY791" s="323"/>
      <c r="AZ791" s="323"/>
      <c r="BA791" s="323"/>
      <c r="BB791" s="323"/>
      <c r="BC791" s="323"/>
      <c r="BD791" s="323"/>
      <c r="BE791" s="323"/>
      <c r="BF791" s="323"/>
      <c r="BG791" s="323"/>
      <c r="BH791" s="323"/>
      <c r="BI791" s="323"/>
      <c r="BJ791" s="323"/>
      <c r="BK791" s="323"/>
      <c r="BL791" s="323"/>
      <c r="BM791" s="323"/>
      <c r="BN791" s="323"/>
      <c r="BO791" s="323"/>
      <c r="BP791" s="323"/>
      <c r="BQ791" s="323"/>
      <c r="BR791" s="323"/>
      <c r="BS791" s="323"/>
      <c r="BT791" s="323"/>
      <c r="BU791" s="323"/>
      <c r="BV791" s="323"/>
      <c r="BW791" s="323"/>
      <c r="BX791" s="323"/>
      <c r="BY791" s="323"/>
      <c r="BZ791" s="323"/>
      <c r="CA791" s="323"/>
      <c r="CB791" s="323"/>
      <c r="CC791" s="323"/>
      <c r="CD791" s="329"/>
      <c r="CE791" s="323"/>
      <c r="CF791" s="323"/>
      <c r="CG791" s="323"/>
      <c r="CH791" s="323"/>
      <c r="CI791" s="323"/>
      <c r="CJ791" s="323"/>
      <c r="CK791" s="323"/>
      <c r="CL791" s="323"/>
      <c r="CM791" s="323"/>
      <c r="CN791" s="323"/>
      <c r="CO791" s="323"/>
      <c r="CP791" s="325"/>
      <c r="CQ791" s="323"/>
      <c r="CR791" s="323"/>
      <c r="CS791" s="323"/>
      <c r="CT791" s="323"/>
      <c r="CU791" s="323"/>
      <c r="CV791" s="323"/>
      <c r="CW791" s="323"/>
      <c r="CX791" s="323"/>
      <c r="CY791" s="323"/>
      <c r="CZ791" s="323"/>
      <c r="DA791" s="323"/>
      <c r="DB791" s="1269"/>
      <c r="DC791" s="323"/>
      <c r="DD791" s="323"/>
      <c r="DE791" s="323"/>
      <c r="DF791" s="323"/>
      <c r="DG791" s="323"/>
      <c r="DH791" s="323"/>
      <c r="DI791" s="323"/>
      <c r="DJ791" s="323"/>
      <c r="DK791" s="323"/>
      <c r="DL791" s="323"/>
      <c r="DM791" s="323"/>
      <c r="DN791" s="325"/>
      <c r="DO791" s="323"/>
      <c r="DP791" s="323"/>
      <c r="DQ791" s="323"/>
      <c r="DR791" s="323"/>
      <c r="DS791" s="323"/>
      <c r="DT791" s="323"/>
      <c r="DU791" s="323"/>
      <c r="DV791" s="323"/>
      <c r="DW791" s="323"/>
      <c r="DX791" s="323"/>
      <c r="DY791" s="323"/>
      <c r="DZ791" s="325"/>
      <c r="EA791" s="323"/>
      <c r="EB791" s="323"/>
      <c r="EC791" s="323"/>
      <c r="ED791" s="323"/>
      <c r="EE791" s="323"/>
      <c r="EF791" s="323"/>
      <c r="EG791" s="323"/>
      <c r="EH791" s="323"/>
      <c r="EI791" s="323"/>
      <c r="EJ791" s="323"/>
      <c r="EK791" s="323"/>
      <c r="EL791" s="325"/>
      <c r="EM791" s="323"/>
      <c r="EN791" s="323"/>
      <c r="EO791" s="323"/>
      <c r="EP791" s="323"/>
      <c r="EQ791" s="323"/>
      <c r="ER791" s="323"/>
      <c r="ES791" s="323"/>
      <c r="ET791" s="323"/>
      <c r="EU791" s="323"/>
      <c r="EV791" s="323"/>
      <c r="EW791" s="323"/>
      <c r="EX791" s="325"/>
      <c r="EY791" s="323"/>
      <c r="EZ791" s="323"/>
      <c r="FA791" s="323"/>
      <c r="FB791" s="323"/>
      <c r="FC791" s="323"/>
      <c r="FD791" s="323"/>
      <c r="FE791" s="323"/>
      <c r="FF791" s="323"/>
      <c r="FG791" s="323"/>
      <c r="FH791" s="323"/>
      <c r="FI791" s="323"/>
      <c r="FJ791" s="325"/>
      <c r="FK791" s="323"/>
      <c r="FL791" s="323"/>
      <c r="FM791" s="323"/>
      <c r="FN791" s="323"/>
      <c r="FO791" s="323"/>
      <c r="FP791" s="323"/>
      <c r="FQ791" s="323"/>
      <c r="FR791" s="323"/>
      <c r="FS791" s="323"/>
      <c r="FT791" s="323"/>
      <c r="FU791" s="323"/>
      <c r="FV791" s="323"/>
      <c r="FW791" s="323">
        <v>0</v>
      </c>
      <c r="FX791" s="323">
        <v>0</v>
      </c>
      <c r="FY791" s="323">
        <v>0</v>
      </c>
      <c r="FZ791" s="323">
        <v>0</v>
      </c>
      <c r="GA791" s="323">
        <v>0</v>
      </c>
      <c r="GB791" s="323">
        <v>0</v>
      </c>
      <c r="GC791" s="323">
        <v>0</v>
      </c>
      <c r="GD791" s="323">
        <v>0</v>
      </c>
      <c r="GE791" s="323">
        <v>0</v>
      </c>
      <c r="GF791" s="323">
        <v>0</v>
      </c>
      <c r="GG791" s="323">
        <v>0</v>
      </c>
      <c r="GH791" s="323">
        <v>0</v>
      </c>
      <c r="GI791" s="323">
        <v>0</v>
      </c>
      <c r="GJ791" s="323">
        <v>0</v>
      </c>
      <c r="GK791" s="323">
        <v>0</v>
      </c>
      <c r="GL791" s="323">
        <v>0</v>
      </c>
      <c r="GM791" s="323">
        <v>0</v>
      </c>
      <c r="GN791" s="323">
        <v>0</v>
      </c>
      <c r="GO791" s="323">
        <v>0</v>
      </c>
      <c r="GP791" s="323">
        <v>0</v>
      </c>
      <c r="GQ791" s="323">
        <v>0</v>
      </c>
      <c r="GR791" s="323">
        <v>0</v>
      </c>
      <c r="GS791" s="323">
        <v>0</v>
      </c>
      <c r="GT791" s="323">
        <v>0</v>
      </c>
      <c r="GU791" s="323">
        <f t="shared" ref="GU791:HR791" si="1226">GU389</f>
        <v>2.2973842000000001E-2</v>
      </c>
      <c r="GV791" s="323">
        <f t="shared" si="1226"/>
        <v>7.9093081515383343E-3</v>
      </c>
      <c r="GW791" s="323">
        <f t="shared" si="1226"/>
        <v>9.0049268240762655E-3</v>
      </c>
      <c r="GX791" s="323">
        <f t="shared" si="1226"/>
        <v>1.3872513E-2</v>
      </c>
      <c r="GY791" s="323">
        <f t="shared" si="1226"/>
        <v>1.4325071E-2</v>
      </c>
      <c r="GZ791" s="323">
        <f t="shared" si="1226"/>
        <v>1.0921128E-2</v>
      </c>
      <c r="HA791" s="323">
        <f t="shared" si="1226"/>
        <v>1.2481096000000001E-2</v>
      </c>
      <c r="HB791" s="323">
        <f t="shared" si="1226"/>
        <v>1.0659699E-2</v>
      </c>
      <c r="HC791" s="323">
        <f t="shared" si="1226"/>
        <v>8.8023889932264329E-3</v>
      </c>
      <c r="HD791" s="323">
        <f t="shared" si="1226"/>
        <v>1.4227445E-2</v>
      </c>
      <c r="HE791" s="323">
        <f t="shared" si="1226"/>
        <v>1.4499659E-2</v>
      </c>
      <c r="HF791" s="323">
        <f t="shared" si="1226"/>
        <v>1.509216E-2</v>
      </c>
      <c r="HG791" s="323">
        <f t="shared" si="1226"/>
        <v>1.4966055000000001E-2</v>
      </c>
      <c r="HH791" s="323">
        <f t="shared" si="1226"/>
        <v>1.3043183999999999E-2</v>
      </c>
      <c r="HI791" s="323">
        <f t="shared" si="1226"/>
        <v>1.2706491E-2</v>
      </c>
      <c r="HJ791" s="323">
        <f t="shared" si="1226"/>
        <v>1.2421919999999999E-2</v>
      </c>
      <c r="HK791" s="323">
        <f t="shared" si="1226"/>
        <v>1.2823179000000001E-2</v>
      </c>
      <c r="HL791" s="323">
        <f t="shared" si="1226"/>
        <v>1.3846917E-2</v>
      </c>
      <c r="HM791" s="323">
        <f t="shared" si="1226"/>
        <v>1.5200751E-2</v>
      </c>
      <c r="HN791" s="323">
        <f t="shared" si="1226"/>
        <v>1.2703992000000001E-2</v>
      </c>
      <c r="HO791" s="323">
        <f t="shared" si="1226"/>
        <v>1.5040246E-2</v>
      </c>
      <c r="HP791" s="323">
        <f t="shared" si="1226"/>
        <v>1.6544836E-2</v>
      </c>
      <c r="HQ791" s="323">
        <f t="shared" si="1226"/>
        <v>1.7706745999999999E-2</v>
      </c>
      <c r="HR791" s="323">
        <f t="shared" si="1226"/>
        <v>1.8470936E-2</v>
      </c>
      <c r="HS791" s="323">
        <f t="shared" ref="HS791:HX791" si="1227">HS389</f>
        <v>1.5181923999999999E-2</v>
      </c>
      <c r="HT791" s="323">
        <f t="shared" si="1227"/>
        <v>1.3281785000000001E-2</v>
      </c>
      <c r="HU791" s="323">
        <f t="shared" si="1227"/>
        <v>1.3036310000000001E-2</v>
      </c>
      <c r="HV791" s="323">
        <f t="shared" si="1227"/>
        <v>1.4239112999999999E-2</v>
      </c>
      <c r="HW791" s="323">
        <f t="shared" si="1227"/>
        <v>1.22153E-2</v>
      </c>
      <c r="HX791" s="323">
        <f t="shared" si="1227"/>
        <v>1.6314312000000001E-2</v>
      </c>
      <c r="HY791" s="323"/>
      <c r="HZ791" s="326"/>
      <c r="IA791" s="1492" t="s">
        <v>472</v>
      </c>
      <c r="IB791" s="284"/>
      <c r="ID791" s="323"/>
      <c r="IG791" s="323"/>
      <c r="IH791" s="284"/>
      <c r="IJ791" s="323"/>
      <c r="IK791" s="327"/>
      <c r="IM791" s="323"/>
      <c r="IP791" s="323"/>
      <c r="IQ791" s="327"/>
      <c r="IR791" s="327"/>
      <c r="IS791" s="323"/>
      <c r="IT791" s="327"/>
      <c r="IU791" s="327"/>
      <c r="IV791" s="323"/>
      <c r="IW791" s="327"/>
      <c r="IX791" s="327">
        <f t="shared" si="868"/>
        <v>0</v>
      </c>
      <c r="IY791" s="323">
        <f>IW791+IX791</f>
        <v>0</v>
      </c>
      <c r="IZ791" s="327">
        <f t="shared" si="869"/>
        <v>0</v>
      </c>
      <c r="JA791" s="327">
        <f t="shared" si="870"/>
        <v>0</v>
      </c>
      <c r="JB791" s="323">
        <f t="shared" si="887"/>
        <v>0</v>
      </c>
      <c r="JC791" s="327">
        <f t="shared" si="871"/>
        <v>0</v>
      </c>
      <c r="JD791" s="327">
        <f t="shared" si="872"/>
        <v>0</v>
      </c>
      <c r="JE791" s="323">
        <f t="shared" si="888"/>
        <v>0</v>
      </c>
      <c r="JF791" s="327">
        <f t="shared" si="908"/>
        <v>7.9006788975614597E-2</v>
      </c>
      <c r="JG791" s="327">
        <f t="shared" si="918"/>
        <v>7.5762447993226428E-2</v>
      </c>
      <c r="JH791" s="323">
        <f t="shared" si="889"/>
        <v>0.15476923696884104</v>
      </c>
      <c r="JI791" s="327">
        <f t="shared" si="909"/>
        <v>7.9807745999999999E-2</v>
      </c>
      <c r="JJ791" s="327">
        <f t="shared" si="910"/>
        <v>9.5667507000000013E-2</v>
      </c>
      <c r="JK791" s="323">
        <f t="shared" si="890"/>
        <v>0.175475253</v>
      </c>
      <c r="JL791" s="327">
        <f t="shared" si="891"/>
        <v>8.4268743999999993E-2</v>
      </c>
      <c r="JM791" s="279">
        <f t="shared" si="892"/>
        <v>-8.4268743999999993E-2</v>
      </c>
      <c r="JN791" s="323">
        <f>FISC!AK1097</f>
        <v>0</v>
      </c>
      <c r="JO791" s="327">
        <f t="shared" si="986"/>
        <v>0</v>
      </c>
      <c r="JP791" s="279">
        <f t="shared" si="893"/>
        <v>0</v>
      </c>
      <c r="JQ791" s="323">
        <f>FISC!AL1097</f>
        <v>0</v>
      </c>
      <c r="JR791" s="327">
        <f t="shared" si="919"/>
        <v>0</v>
      </c>
      <c r="JS791" s="279">
        <f t="shared" si="894"/>
        <v>0</v>
      </c>
      <c r="JT791" s="323">
        <f>FISC!AM1097</f>
        <v>0</v>
      </c>
      <c r="JU791" s="327">
        <f t="shared" si="920"/>
        <v>0</v>
      </c>
      <c r="JV791" s="279">
        <f t="shared" si="911"/>
        <v>0</v>
      </c>
      <c r="JW791" s="323">
        <f>FISC!AN1097</f>
        <v>0</v>
      </c>
      <c r="JX791" s="327">
        <f t="shared" si="921"/>
        <v>0</v>
      </c>
      <c r="JY791" s="279">
        <f t="shared" si="895"/>
        <v>0</v>
      </c>
      <c r="JZ791" s="323">
        <f>FISC!AO1097</f>
        <v>0</v>
      </c>
      <c r="KA791" s="327">
        <f t="shared" si="1193"/>
        <v>0</v>
      </c>
      <c r="KB791" s="279">
        <f t="shared" si="1194"/>
        <v>0</v>
      </c>
      <c r="KC791" s="323">
        <f>FISC!AP1097</f>
        <v>0</v>
      </c>
      <c r="KD791" s="327">
        <f t="shared" si="1195"/>
        <v>0</v>
      </c>
      <c r="KE791" s="279">
        <f t="shared" si="1196"/>
        <v>0</v>
      </c>
      <c r="KF791" s="323">
        <f>FISC!AQ1097</f>
        <v>0</v>
      </c>
      <c r="KG791" s="327">
        <f t="shared" si="1197"/>
        <v>0</v>
      </c>
      <c r="KH791" s="279">
        <f t="shared" si="1198"/>
        <v>0</v>
      </c>
      <c r="KI791" s="323">
        <f>FISC!AR1097</f>
        <v>0</v>
      </c>
      <c r="KJ791" s="327">
        <f t="shared" si="1199"/>
        <v>0</v>
      </c>
      <c r="KK791" s="279">
        <f t="shared" si="1200"/>
        <v>0</v>
      </c>
      <c r="KL791" s="323">
        <f>FISC!AS1097</f>
        <v>0</v>
      </c>
      <c r="KM791" s="327">
        <f t="shared" si="1201"/>
        <v>0</v>
      </c>
      <c r="KN791" s="279">
        <f t="shared" si="1202"/>
        <v>0</v>
      </c>
      <c r="KO791" s="323">
        <f>FISC!AT1097</f>
        <v>0</v>
      </c>
      <c r="KU791" s="326"/>
      <c r="KV791" s="327"/>
    </row>
    <row r="792" spans="1:308">
      <c r="A792" s="279"/>
      <c r="D792" s="1232" t="s">
        <v>486</v>
      </c>
      <c r="E792" s="323"/>
      <c r="F792" s="323"/>
      <c r="G792" s="323"/>
      <c r="H792" s="323"/>
      <c r="I792" s="323"/>
      <c r="J792" s="323"/>
      <c r="K792" s="323"/>
      <c r="L792" s="323"/>
      <c r="M792" s="323"/>
      <c r="N792" s="323"/>
      <c r="O792" s="323"/>
      <c r="P792" s="323"/>
      <c r="Q792" s="323"/>
      <c r="R792" s="323"/>
      <c r="S792" s="323"/>
      <c r="T792" s="323"/>
      <c r="U792" s="323"/>
      <c r="V792" s="323"/>
      <c r="W792" s="323"/>
      <c r="X792" s="323"/>
      <c r="Y792" s="323"/>
      <c r="Z792" s="323"/>
      <c r="AA792" s="323"/>
      <c r="AB792" s="323"/>
      <c r="AC792" s="323"/>
      <c r="AD792" s="323"/>
      <c r="AE792" s="323"/>
      <c r="AF792" s="323"/>
      <c r="AG792" s="323"/>
      <c r="AH792" s="323"/>
      <c r="AI792" s="323"/>
      <c r="AJ792" s="323"/>
      <c r="AK792" s="323"/>
      <c r="AL792" s="323"/>
      <c r="AM792" s="323"/>
      <c r="AN792" s="323"/>
      <c r="AO792" s="323"/>
      <c r="AP792" s="323"/>
      <c r="AQ792" s="323"/>
      <c r="AR792" s="323"/>
      <c r="AS792" s="323"/>
      <c r="AT792" s="323"/>
      <c r="AU792" s="323"/>
      <c r="AV792" s="323"/>
      <c r="AW792" s="323"/>
      <c r="AX792" s="323"/>
      <c r="AY792" s="323"/>
      <c r="AZ792" s="323"/>
      <c r="BA792" s="323"/>
      <c r="BB792" s="323"/>
      <c r="BC792" s="323"/>
      <c r="BD792" s="323"/>
      <c r="BE792" s="323"/>
      <c r="BF792" s="323"/>
      <c r="BG792" s="323"/>
      <c r="BH792" s="323"/>
      <c r="BI792" s="323"/>
      <c r="BJ792" s="323"/>
      <c r="BK792" s="323"/>
      <c r="BL792" s="323"/>
      <c r="BM792" s="323"/>
      <c r="BN792" s="323"/>
      <c r="BO792" s="323"/>
      <c r="BP792" s="323"/>
      <c r="BQ792" s="323"/>
      <c r="BR792" s="323"/>
      <c r="BS792" s="323"/>
      <c r="BT792" s="323"/>
      <c r="BU792" s="323"/>
      <c r="BV792" s="323"/>
      <c r="BW792" s="323"/>
      <c r="BX792" s="323"/>
      <c r="BY792" s="323"/>
      <c r="BZ792" s="323"/>
      <c r="CA792" s="323"/>
      <c r="CB792" s="323"/>
      <c r="CC792" s="323"/>
      <c r="CD792" s="329"/>
      <c r="CE792" s="323">
        <f t="shared" ref="CE792:DJ792" si="1228">CE390</f>
        <v>0</v>
      </c>
      <c r="CF792" s="323">
        <f t="shared" si="1228"/>
        <v>0</v>
      </c>
      <c r="CG792" s="323">
        <f t="shared" si="1228"/>
        <v>0</v>
      </c>
      <c r="CH792" s="323">
        <f t="shared" si="1228"/>
        <v>0</v>
      </c>
      <c r="CI792" s="323">
        <f t="shared" si="1228"/>
        <v>0</v>
      </c>
      <c r="CJ792" s="323">
        <f t="shared" si="1228"/>
        <v>0</v>
      </c>
      <c r="CK792" s="323">
        <f t="shared" si="1228"/>
        <v>0</v>
      </c>
      <c r="CL792" s="323">
        <f t="shared" si="1228"/>
        <v>0</v>
      </c>
      <c r="CM792" s="323">
        <f t="shared" si="1228"/>
        <v>0</v>
      </c>
      <c r="CN792" s="323">
        <f t="shared" si="1228"/>
        <v>0</v>
      </c>
      <c r="CO792" s="323">
        <f t="shared" si="1228"/>
        <v>0</v>
      </c>
      <c r="CP792" s="325">
        <f t="shared" si="1228"/>
        <v>0</v>
      </c>
      <c r="CQ792" s="323">
        <f t="shared" si="1228"/>
        <v>0</v>
      </c>
      <c r="CR792" s="323">
        <f t="shared" si="1228"/>
        <v>0</v>
      </c>
      <c r="CS792" s="323">
        <f t="shared" si="1228"/>
        <v>0</v>
      </c>
      <c r="CT792" s="323">
        <f t="shared" si="1228"/>
        <v>0</v>
      </c>
      <c r="CU792" s="323">
        <f t="shared" si="1228"/>
        <v>0</v>
      </c>
      <c r="CV792" s="323">
        <f t="shared" si="1228"/>
        <v>0</v>
      </c>
      <c r="CW792" s="323">
        <f t="shared" si="1228"/>
        <v>0</v>
      </c>
      <c r="CX792" s="323">
        <f t="shared" si="1228"/>
        <v>0</v>
      </c>
      <c r="CY792" s="323">
        <f t="shared" si="1228"/>
        <v>0</v>
      </c>
      <c r="CZ792" s="323">
        <f t="shared" si="1228"/>
        <v>0</v>
      </c>
      <c r="DA792" s="323">
        <f t="shared" si="1228"/>
        <v>0</v>
      </c>
      <c r="DB792" s="1269">
        <f t="shared" si="1228"/>
        <v>0</v>
      </c>
      <c r="DC792" s="323">
        <f t="shared" si="1228"/>
        <v>0</v>
      </c>
      <c r="DD792" s="323">
        <f t="shared" si="1228"/>
        <v>0</v>
      </c>
      <c r="DE792" s="323">
        <f t="shared" si="1228"/>
        <v>0</v>
      </c>
      <c r="DF792" s="323">
        <f t="shared" si="1228"/>
        <v>0</v>
      </c>
      <c r="DG792" s="323">
        <f t="shared" si="1228"/>
        <v>0</v>
      </c>
      <c r="DH792" s="323">
        <f t="shared" si="1228"/>
        <v>0</v>
      </c>
      <c r="DI792" s="323">
        <f t="shared" si="1228"/>
        <v>0</v>
      </c>
      <c r="DJ792" s="323">
        <f t="shared" si="1228"/>
        <v>0</v>
      </c>
      <c r="DK792" s="323">
        <f t="shared" ref="DK792:EP792" si="1229">DK390</f>
        <v>0</v>
      </c>
      <c r="DL792" s="323">
        <f t="shared" si="1229"/>
        <v>0</v>
      </c>
      <c r="DM792" s="323">
        <f t="shared" si="1229"/>
        <v>0</v>
      </c>
      <c r="DN792" s="325">
        <f t="shared" si="1229"/>
        <v>0</v>
      </c>
      <c r="DO792" s="323">
        <f t="shared" si="1229"/>
        <v>0</v>
      </c>
      <c r="DP792" s="323">
        <f t="shared" si="1229"/>
        <v>0</v>
      </c>
      <c r="DQ792" s="323">
        <f t="shared" si="1229"/>
        <v>0</v>
      </c>
      <c r="DR792" s="323">
        <f t="shared" si="1229"/>
        <v>0</v>
      </c>
      <c r="DS792" s="323">
        <f t="shared" si="1229"/>
        <v>0</v>
      </c>
      <c r="DT792" s="323">
        <f t="shared" si="1229"/>
        <v>0</v>
      </c>
      <c r="DU792" s="323">
        <f t="shared" si="1229"/>
        <v>0</v>
      </c>
      <c r="DV792" s="323">
        <f t="shared" si="1229"/>
        <v>0</v>
      </c>
      <c r="DW792" s="323">
        <f t="shared" si="1229"/>
        <v>0</v>
      </c>
      <c r="DX792" s="323">
        <f t="shared" si="1229"/>
        <v>0</v>
      </c>
      <c r="DY792" s="323">
        <f t="shared" si="1229"/>
        <v>0</v>
      </c>
      <c r="DZ792" s="325">
        <f t="shared" si="1229"/>
        <v>0</v>
      </c>
      <c r="EA792" s="323">
        <f t="shared" si="1229"/>
        <v>0</v>
      </c>
      <c r="EB792" s="323">
        <f t="shared" si="1229"/>
        <v>0</v>
      </c>
      <c r="EC792" s="323">
        <f t="shared" si="1229"/>
        <v>0</v>
      </c>
      <c r="ED792" s="323">
        <f t="shared" si="1229"/>
        <v>0</v>
      </c>
      <c r="EE792" s="323">
        <f t="shared" si="1229"/>
        <v>0</v>
      </c>
      <c r="EF792" s="323">
        <f t="shared" si="1229"/>
        <v>0</v>
      </c>
      <c r="EG792" s="323">
        <f t="shared" si="1229"/>
        <v>0</v>
      </c>
      <c r="EH792" s="323">
        <f t="shared" si="1229"/>
        <v>0</v>
      </c>
      <c r="EI792" s="323">
        <f t="shared" si="1229"/>
        <v>0</v>
      </c>
      <c r="EJ792" s="323">
        <f t="shared" si="1229"/>
        <v>0</v>
      </c>
      <c r="EK792" s="323">
        <f t="shared" si="1229"/>
        <v>0</v>
      </c>
      <c r="EL792" s="325">
        <f t="shared" si="1229"/>
        <v>0</v>
      </c>
      <c r="EM792" s="323">
        <f t="shared" si="1229"/>
        <v>0</v>
      </c>
      <c r="EN792" s="323">
        <f t="shared" si="1229"/>
        <v>0</v>
      </c>
      <c r="EO792" s="323">
        <f t="shared" si="1229"/>
        <v>0</v>
      </c>
      <c r="EP792" s="323">
        <f t="shared" si="1229"/>
        <v>0</v>
      </c>
      <c r="EQ792" s="323">
        <f t="shared" ref="EQ792:FV792" si="1230">EQ390</f>
        <v>0</v>
      </c>
      <c r="ER792" s="323">
        <f t="shared" si="1230"/>
        <v>0</v>
      </c>
      <c r="ES792" s="323">
        <f t="shared" si="1230"/>
        <v>0</v>
      </c>
      <c r="ET792" s="323">
        <f t="shared" si="1230"/>
        <v>0</v>
      </c>
      <c r="EU792" s="323">
        <f t="shared" si="1230"/>
        <v>0</v>
      </c>
      <c r="EV792" s="323">
        <f t="shared" si="1230"/>
        <v>0</v>
      </c>
      <c r="EW792" s="323">
        <f t="shared" si="1230"/>
        <v>0</v>
      </c>
      <c r="EX792" s="325">
        <f t="shared" si="1230"/>
        <v>0</v>
      </c>
      <c r="EY792" s="323">
        <f t="shared" si="1230"/>
        <v>0</v>
      </c>
      <c r="EZ792" s="323">
        <f t="shared" si="1230"/>
        <v>0</v>
      </c>
      <c r="FA792" s="323">
        <f t="shared" si="1230"/>
        <v>0</v>
      </c>
      <c r="FB792" s="323">
        <f t="shared" si="1230"/>
        <v>0</v>
      </c>
      <c r="FC792" s="323">
        <f t="shared" si="1230"/>
        <v>0</v>
      </c>
      <c r="FD792" s="323">
        <f t="shared" si="1230"/>
        <v>0</v>
      </c>
      <c r="FE792" s="323">
        <f t="shared" si="1230"/>
        <v>0</v>
      </c>
      <c r="FF792" s="323">
        <f t="shared" si="1230"/>
        <v>0</v>
      </c>
      <c r="FG792" s="323">
        <f t="shared" si="1230"/>
        <v>0</v>
      </c>
      <c r="FH792" s="323">
        <f t="shared" si="1230"/>
        <v>0</v>
      </c>
      <c r="FI792" s="323">
        <f t="shared" si="1230"/>
        <v>0</v>
      </c>
      <c r="FJ792" s="325">
        <f t="shared" si="1230"/>
        <v>0</v>
      </c>
      <c r="FK792" s="323">
        <f t="shared" si="1230"/>
        <v>0</v>
      </c>
      <c r="FL792" s="323">
        <f t="shared" si="1230"/>
        <v>0</v>
      </c>
      <c r="FM792" s="323">
        <f t="shared" si="1230"/>
        <v>0</v>
      </c>
      <c r="FN792" s="323">
        <f t="shared" si="1230"/>
        <v>0</v>
      </c>
      <c r="FO792" s="323">
        <f t="shared" si="1230"/>
        <v>0</v>
      </c>
      <c r="FP792" s="323">
        <f t="shared" si="1230"/>
        <v>0</v>
      </c>
      <c r="FQ792" s="323">
        <f t="shared" si="1230"/>
        <v>0</v>
      </c>
      <c r="FR792" s="323">
        <f t="shared" si="1230"/>
        <v>0</v>
      </c>
      <c r="FS792" s="323">
        <f t="shared" si="1230"/>
        <v>0</v>
      </c>
      <c r="FT792" s="323">
        <f t="shared" si="1230"/>
        <v>0</v>
      </c>
      <c r="FU792" s="323">
        <f t="shared" si="1230"/>
        <v>0</v>
      </c>
      <c r="FV792" s="323">
        <f t="shared" si="1230"/>
        <v>0</v>
      </c>
      <c r="FW792" s="323">
        <v>0.53613413799999998</v>
      </c>
      <c r="FX792" s="323">
        <v>0.24760492100000001</v>
      </c>
      <c r="FY792" s="323">
        <v>0.66690695</v>
      </c>
      <c r="FZ792" s="323">
        <v>0.74134770900000002</v>
      </c>
      <c r="GA792" s="323">
        <v>0.60745584500000005</v>
      </c>
      <c r="GB792" s="323">
        <v>0.56379494799999996</v>
      </c>
      <c r="GC792" s="323">
        <v>0.82179414100000003</v>
      </c>
      <c r="GD792" s="323">
        <v>0.64907314299999996</v>
      </c>
      <c r="GE792" s="323">
        <v>0.77483250599999998</v>
      </c>
      <c r="GF792" s="323">
        <v>4.5120376289999999</v>
      </c>
      <c r="GG792" s="323">
        <v>0.992725529</v>
      </c>
      <c r="GH792" s="323">
        <v>0.88970608500000004</v>
      </c>
      <c r="GI792" s="323">
        <f t="shared" ref="GI792:GT792" si="1231">GI390</f>
        <v>0</v>
      </c>
      <c r="GJ792" s="323">
        <f t="shared" si="1231"/>
        <v>0</v>
      </c>
      <c r="GK792" s="323">
        <f t="shared" si="1231"/>
        <v>0</v>
      </c>
      <c r="GL792" s="323">
        <f t="shared" si="1231"/>
        <v>0</v>
      </c>
      <c r="GM792" s="323">
        <f t="shared" si="1231"/>
        <v>0</v>
      </c>
      <c r="GN792" s="323">
        <f t="shared" si="1231"/>
        <v>0</v>
      </c>
      <c r="GO792" s="323">
        <f t="shared" si="1231"/>
        <v>0</v>
      </c>
      <c r="GP792" s="323">
        <f t="shared" si="1231"/>
        <v>0</v>
      </c>
      <c r="GQ792" s="323">
        <f t="shared" si="1231"/>
        <v>0</v>
      </c>
      <c r="GR792" s="323">
        <f t="shared" si="1231"/>
        <v>0</v>
      </c>
      <c r="GS792" s="323">
        <f t="shared" si="1231"/>
        <v>0</v>
      </c>
      <c r="GT792" s="323">
        <f t="shared" si="1231"/>
        <v>0</v>
      </c>
      <c r="GU792" s="323">
        <f t="shared" ref="GU792:HR792" si="1232">GU390</f>
        <v>0.61806958547062929</v>
      </c>
      <c r="GV792" s="323">
        <f t="shared" si="1232"/>
        <v>0.39520106500000002</v>
      </c>
      <c r="GW792" s="323">
        <f t="shared" si="1232"/>
        <v>4.3836005238156017E-3</v>
      </c>
      <c r="GX792" s="323">
        <f t="shared" si="1232"/>
        <v>0</v>
      </c>
      <c r="GY792" s="323">
        <f t="shared" si="1232"/>
        <v>3.9982533000000001E-2</v>
      </c>
      <c r="GZ792" s="323">
        <f t="shared" si="1232"/>
        <v>0.124424428</v>
      </c>
      <c r="HA792" s="323">
        <f t="shared" si="1232"/>
        <v>0.13311120700000001</v>
      </c>
      <c r="HB792" s="323">
        <f t="shared" si="1232"/>
        <v>7.1928829999999997E-3</v>
      </c>
      <c r="HC792" s="323">
        <f t="shared" si="1232"/>
        <v>2.0180885999999999E-2</v>
      </c>
      <c r="HD792" s="323">
        <f t="shared" si="1232"/>
        <v>3.6171157000000002E-2</v>
      </c>
      <c r="HE792" s="323">
        <f t="shared" si="1232"/>
        <v>3.1690498999999997E-2</v>
      </c>
      <c r="HF792" s="323">
        <f t="shared" si="1232"/>
        <v>3.7292060000000001E-3</v>
      </c>
      <c r="HG792" s="323">
        <f t="shared" si="1232"/>
        <v>0.17776224299999999</v>
      </c>
      <c r="HH792" s="323">
        <f t="shared" si="1232"/>
        <v>0.48459601899999999</v>
      </c>
      <c r="HI792" s="323">
        <f t="shared" si="1232"/>
        <v>0.13822342900000001</v>
      </c>
      <c r="HJ792" s="323">
        <f t="shared" si="1232"/>
        <v>8.8446110000000005E-3</v>
      </c>
      <c r="HK792" s="323">
        <f t="shared" si="1232"/>
        <v>0.436889837</v>
      </c>
      <c r="HL792" s="323">
        <f t="shared" si="1232"/>
        <v>1.230767E-3</v>
      </c>
      <c r="HM792" s="323">
        <f t="shared" si="1232"/>
        <v>0</v>
      </c>
      <c r="HN792" s="323">
        <f t="shared" si="1232"/>
        <v>0.11565133900000001</v>
      </c>
      <c r="HO792" s="323">
        <f t="shared" si="1232"/>
        <v>0</v>
      </c>
      <c r="HP792" s="323">
        <f t="shared" si="1232"/>
        <v>0.25707180400000001</v>
      </c>
      <c r="HQ792" s="323">
        <f t="shared" si="1232"/>
        <v>0.10854937200000001</v>
      </c>
      <c r="HR792" s="323">
        <f t="shared" si="1232"/>
        <v>0</v>
      </c>
      <c r="HS792" s="323">
        <f t="shared" ref="HS792:HX792" si="1233">HS390</f>
        <v>2.1535970070000001</v>
      </c>
      <c r="HT792" s="323">
        <f t="shared" si="1233"/>
        <v>2.270428077</v>
      </c>
      <c r="HU792" s="323">
        <f t="shared" si="1233"/>
        <v>2.0114740270000002</v>
      </c>
      <c r="HV792" s="323">
        <f t="shared" si="1233"/>
        <v>2.5774467319999999</v>
      </c>
      <c r="HW792" s="323">
        <f t="shared" si="1233"/>
        <v>2.635169297</v>
      </c>
      <c r="HX792" s="323">
        <f t="shared" si="1233"/>
        <v>2.3510025849999998</v>
      </c>
      <c r="HY792" s="323"/>
      <c r="HZ792" s="326"/>
      <c r="IA792" s="1232" t="s">
        <v>486</v>
      </c>
      <c r="IB792" s="284">
        <f>SUM(CE792:CJ792)</f>
        <v>0</v>
      </c>
      <c r="IC792" s="279">
        <f>SUM(CK792:CP792)</f>
        <v>0</v>
      </c>
      <c r="ID792" s="323">
        <f t="shared" si="907"/>
        <v>0</v>
      </c>
      <c r="IE792" s="279">
        <f>SUM(CQ792:CV792)</f>
        <v>0</v>
      </c>
      <c r="IF792" s="279">
        <f>SUM(CW792:DB792)</f>
        <v>0</v>
      </c>
      <c r="IG792" s="323">
        <f t="shared" si="880"/>
        <v>0</v>
      </c>
      <c r="IH792" s="284">
        <f>SUM(DC792:DH792)</f>
        <v>0</v>
      </c>
      <c r="II792" s="279">
        <f>SUM(DI792:DN792)</f>
        <v>0</v>
      </c>
      <c r="IJ792" s="323">
        <f t="shared" si="881"/>
        <v>0</v>
      </c>
      <c r="IK792" s="327">
        <f>SUM(DO792:DT792)</f>
        <v>0</v>
      </c>
      <c r="IL792" s="279">
        <f>SUM(DU792:DZ792)</f>
        <v>0</v>
      </c>
      <c r="IM792" s="323">
        <f t="shared" si="882"/>
        <v>0</v>
      </c>
      <c r="IN792" s="279">
        <f>SUM(EA792:EF792)</f>
        <v>0</v>
      </c>
      <c r="IO792" s="279">
        <f>SUM(EG792:EL792)</f>
        <v>0</v>
      </c>
      <c r="IP792" s="323">
        <f t="shared" si="883"/>
        <v>0</v>
      </c>
      <c r="IQ792" s="327">
        <f>SUM(EM792:ER792)</f>
        <v>0</v>
      </c>
      <c r="IR792" s="327">
        <f>SUM(ES792:EX792)</f>
        <v>0</v>
      </c>
      <c r="IS792" s="323">
        <f t="shared" si="884"/>
        <v>0</v>
      </c>
      <c r="IT792" s="327">
        <f>SUM(EY792:FD792)</f>
        <v>0</v>
      </c>
      <c r="IU792" s="327">
        <f>SUM(FE792:FJ792)</f>
        <v>0</v>
      </c>
      <c r="IV792" s="323">
        <f t="shared" si="885"/>
        <v>0</v>
      </c>
      <c r="IW792" s="327">
        <f>SUM(FK792:FP792)</f>
        <v>0</v>
      </c>
      <c r="IX792" s="327">
        <f t="shared" si="868"/>
        <v>0</v>
      </c>
      <c r="IY792" s="323">
        <f t="shared" si="886"/>
        <v>0</v>
      </c>
      <c r="IZ792" s="327">
        <f t="shared" si="869"/>
        <v>3.363244511</v>
      </c>
      <c r="JA792" s="327">
        <f t="shared" si="870"/>
        <v>8.6401690329999994</v>
      </c>
      <c r="JB792" s="323">
        <f t="shared" si="887"/>
        <v>12.003413543999999</v>
      </c>
      <c r="JC792" s="327">
        <f t="shared" si="871"/>
        <v>0</v>
      </c>
      <c r="JD792" s="327">
        <f t="shared" si="872"/>
        <v>0</v>
      </c>
      <c r="JE792" s="323">
        <f t="shared" si="888"/>
        <v>0</v>
      </c>
      <c r="JF792" s="327">
        <f t="shared" si="908"/>
        <v>1.1820612119944449</v>
      </c>
      <c r="JG792" s="327">
        <f t="shared" si="918"/>
        <v>0.23207583800000006</v>
      </c>
      <c r="JH792" s="323">
        <f t="shared" si="889"/>
        <v>1.414137049994445</v>
      </c>
      <c r="JI792" s="327">
        <f t="shared" si="909"/>
        <v>1.247546906</v>
      </c>
      <c r="JJ792" s="327">
        <f t="shared" si="910"/>
        <v>0.48127251500000001</v>
      </c>
      <c r="JK792" s="323">
        <f t="shared" si="890"/>
        <v>1.7288194209999999</v>
      </c>
      <c r="JL792" s="327">
        <f t="shared" si="891"/>
        <v>13.999117725000001</v>
      </c>
      <c r="JM792" s="279">
        <f t="shared" si="892"/>
        <v>-13.999117725000001</v>
      </c>
      <c r="JN792" s="323">
        <f>FISC!AK1098</f>
        <v>0</v>
      </c>
      <c r="JO792" s="327">
        <f t="shared" si="986"/>
        <v>0</v>
      </c>
      <c r="JP792" s="279">
        <f t="shared" si="893"/>
        <v>0</v>
      </c>
      <c r="JQ792" s="323">
        <f>FISC!AL1098</f>
        <v>0</v>
      </c>
      <c r="JR792" s="327">
        <f t="shared" si="919"/>
        <v>0</v>
      </c>
      <c r="JS792" s="279">
        <f t="shared" si="894"/>
        <v>0</v>
      </c>
      <c r="JT792" s="323">
        <f>FISC!AM1098</f>
        <v>0</v>
      </c>
      <c r="JU792" s="327">
        <f t="shared" si="920"/>
        <v>0</v>
      </c>
      <c r="JV792" s="279">
        <f t="shared" si="911"/>
        <v>0</v>
      </c>
      <c r="JW792" s="323">
        <f>FISC!AN1098</f>
        <v>0</v>
      </c>
      <c r="JX792" s="327">
        <f t="shared" si="921"/>
        <v>0</v>
      </c>
      <c r="JY792" s="279">
        <f t="shared" si="895"/>
        <v>0</v>
      </c>
      <c r="JZ792" s="323">
        <f>FISC!AO1098</f>
        <v>0</v>
      </c>
      <c r="KA792" s="327">
        <f t="shared" si="1193"/>
        <v>0</v>
      </c>
      <c r="KB792" s="279">
        <f t="shared" si="1194"/>
        <v>0</v>
      </c>
      <c r="KC792" s="323">
        <f>FISC!AP1098</f>
        <v>0</v>
      </c>
      <c r="KD792" s="327">
        <f t="shared" si="1195"/>
        <v>0</v>
      </c>
      <c r="KE792" s="279">
        <f t="shared" si="1196"/>
        <v>0</v>
      </c>
      <c r="KF792" s="323">
        <f>FISC!AQ1098</f>
        <v>0</v>
      </c>
      <c r="KG792" s="327">
        <f t="shared" si="1197"/>
        <v>0</v>
      </c>
      <c r="KH792" s="279">
        <f t="shared" si="1198"/>
        <v>0</v>
      </c>
      <c r="KI792" s="323">
        <f>FISC!AR1098</f>
        <v>0</v>
      </c>
      <c r="KJ792" s="327">
        <f t="shared" si="1199"/>
        <v>0</v>
      </c>
      <c r="KK792" s="279">
        <f t="shared" si="1200"/>
        <v>0</v>
      </c>
      <c r="KL792" s="323">
        <f>FISC!AS1098</f>
        <v>0</v>
      </c>
      <c r="KM792" s="327">
        <f t="shared" si="1201"/>
        <v>0</v>
      </c>
      <c r="KN792" s="279">
        <f t="shared" si="1202"/>
        <v>0</v>
      </c>
      <c r="KO792" s="323">
        <f>FISC!AT1098</f>
        <v>0</v>
      </c>
      <c r="KU792" s="326"/>
      <c r="KV792" s="327"/>
    </row>
    <row r="793" spans="1:308">
      <c r="A793" s="279"/>
      <c r="B793" s="96" t="s">
        <v>338</v>
      </c>
      <c r="D793" s="332" t="s">
        <v>487</v>
      </c>
      <c r="E793" s="323"/>
      <c r="F793" s="323"/>
      <c r="G793" s="323"/>
      <c r="H793" s="323"/>
      <c r="I793" s="323"/>
      <c r="J793" s="323"/>
      <c r="K793" s="323"/>
      <c r="L793" s="323"/>
      <c r="M793" s="323"/>
      <c r="N793" s="323"/>
      <c r="O793" s="323"/>
      <c r="P793" s="323"/>
      <c r="Q793" s="323"/>
      <c r="R793" s="323"/>
      <c r="S793" s="323"/>
      <c r="T793" s="323"/>
      <c r="U793" s="323"/>
      <c r="V793" s="323"/>
      <c r="W793" s="323"/>
      <c r="X793" s="323"/>
      <c r="Y793" s="323"/>
      <c r="Z793" s="323"/>
      <c r="AA793" s="323"/>
      <c r="AB793" s="323"/>
      <c r="AC793" s="323"/>
      <c r="AD793" s="323"/>
      <c r="AE793" s="323"/>
      <c r="AF793" s="323"/>
      <c r="AG793" s="323"/>
      <c r="AH793" s="323"/>
      <c r="AI793" s="323"/>
      <c r="AJ793" s="323"/>
      <c r="AK793" s="323"/>
      <c r="AL793" s="323"/>
      <c r="AM793" s="323"/>
      <c r="AN793" s="323"/>
      <c r="AO793" s="323">
        <v>2.050939278</v>
      </c>
      <c r="AP793" s="323">
        <v>2.0556247019999998</v>
      </c>
      <c r="AQ793" s="323">
        <v>2.3811226030000001</v>
      </c>
      <c r="AR793" s="323">
        <v>2.110181678</v>
      </c>
      <c r="AS793" s="323">
        <v>2.0282881719999999</v>
      </c>
      <c r="AT793" s="323">
        <v>2.1411471390000001</v>
      </c>
      <c r="AU793" s="323">
        <v>2.0159249340000001</v>
      </c>
      <c r="AV793" s="323">
        <v>2.0265463420000001</v>
      </c>
      <c r="AW793" s="323">
        <v>2.1387262659999999</v>
      </c>
      <c r="AX793" s="323">
        <v>2.1351451200000002</v>
      </c>
      <c r="AY793" s="323">
        <v>2.3892233959999998</v>
      </c>
      <c r="AZ793" s="323">
        <v>3.0547991839999997</v>
      </c>
      <c r="BA793" s="323">
        <v>2.3855418099999999</v>
      </c>
      <c r="BB793" s="323">
        <v>2.1848860829999999</v>
      </c>
      <c r="BC793" s="323">
        <v>2.556422983</v>
      </c>
      <c r="BD793" s="323">
        <v>1.9868456699999999</v>
      </c>
      <c r="BE793" s="323">
        <v>2.5072275149999999</v>
      </c>
      <c r="BF793" s="323">
        <v>2.5357415680000002</v>
      </c>
      <c r="BG793" s="323">
        <v>2.5195553070000001</v>
      </c>
      <c r="BH793" s="323">
        <v>2.9929771970000001</v>
      </c>
      <c r="BI793" s="323">
        <v>2.8364469729999997</v>
      </c>
      <c r="BJ793" s="323">
        <v>2.5813798270000001</v>
      </c>
      <c r="BK793" s="323">
        <v>2.9074636800000002</v>
      </c>
      <c r="BL793" s="323">
        <v>3.4703078079999998</v>
      </c>
      <c r="BM793" s="323">
        <v>3.0002106570000002</v>
      </c>
      <c r="BN793" s="323">
        <v>3.1727009369999997</v>
      </c>
      <c r="BO793" s="323">
        <v>3.5578559200000002</v>
      </c>
      <c r="BP793" s="323">
        <v>3.2282880449999998</v>
      </c>
      <c r="BQ793" s="323">
        <v>4.3394258319999999</v>
      </c>
      <c r="BR793" s="323">
        <v>2.9842759319999996</v>
      </c>
      <c r="BS793" s="323">
        <v>5.6593501880000003</v>
      </c>
      <c r="BT793" s="323">
        <v>5.510527626</v>
      </c>
      <c r="BU793" s="323">
        <v>3.6484720959999999</v>
      </c>
      <c r="BV793" s="323">
        <v>3.7128394570000003</v>
      </c>
      <c r="BW793" s="323">
        <v>3.6039010360000003</v>
      </c>
      <c r="BX793" s="323">
        <v>3.6605664009999996</v>
      </c>
      <c r="BY793" s="323">
        <v>3.9345618229999997</v>
      </c>
      <c r="BZ793" s="323">
        <v>3.1780264760000003</v>
      </c>
      <c r="CA793" s="323">
        <v>3.0838727180000003</v>
      </c>
      <c r="CB793" s="323">
        <v>3.100872909</v>
      </c>
      <c r="CC793" s="323">
        <v>3.547492176</v>
      </c>
      <c r="CD793" s="329">
        <f>CD391</f>
        <v>0</v>
      </c>
      <c r="CE793" s="323">
        <f t="shared" ref="CE793:DJ793" si="1234">CE391</f>
        <v>3.7939490010000001</v>
      </c>
      <c r="CF793" s="323">
        <f t="shared" si="1234"/>
        <v>3.6849063950000001</v>
      </c>
      <c r="CG793" s="323">
        <f t="shared" si="1234"/>
        <v>4.2298009200000006</v>
      </c>
      <c r="CH793" s="323">
        <f t="shared" si="1234"/>
        <v>4.7960771339999999</v>
      </c>
      <c r="CI793" s="323">
        <f t="shared" si="1234"/>
        <v>4.4440132929999994</v>
      </c>
      <c r="CJ793" s="323">
        <f t="shared" si="1234"/>
        <v>4.6901386550000002</v>
      </c>
      <c r="CK793" s="323">
        <f t="shared" si="1234"/>
        <v>5.1187349449999999</v>
      </c>
      <c r="CL793" s="323">
        <f t="shared" si="1234"/>
        <v>4.5187200610000007</v>
      </c>
      <c r="CM793" s="323">
        <f t="shared" si="1234"/>
        <v>4.7120015899999999</v>
      </c>
      <c r="CN793" s="323">
        <f t="shared" si="1234"/>
        <v>4.5289465480000004</v>
      </c>
      <c r="CO793" s="323">
        <f t="shared" si="1234"/>
        <v>5.0770140540000002</v>
      </c>
      <c r="CP793" s="325">
        <f t="shared" si="1234"/>
        <v>6.5780947249999997</v>
      </c>
      <c r="CQ793" s="323">
        <f t="shared" si="1234"/>
        <v>4.5260695740000001</v>
      </c>
      <c r="CR793" s="323">
        <f t="shared" si="1234"/>
        <v>4.4296167329999996</v>
      </c>
      <c r="CS793" s="323">
        <f t="shared" si="1234"/>
        <v>5.1189771039999998</v>
      </c>
      <c r="CT793" s="323">
        <f t="shared" si="1234"/>
        <v>4.653692693</v>
      </c>
      <c r="CU793" s="323">
        <f t="shared" si="1234"/>
        <v>5.2470855609999996</v>
      </c>
      <c r="CV793" s="323">
        <f t="shared" si="1234"/>
        <v>5.120880852</v>
      </c>
      <c r="CW793" s="323">
        <f t="shared" si="1234"/>
        <v>5.8398687669999996</v>
      </c>
      <c r="CX793" s="323">
        <f t="shared" si="1234"/>
        <v>5.2255585289999997</v>
      </c>
      <c r="CY793" s="323">
        <f t="shared" si="1234"/>
        <v>5.4515260190000001</v>
      </c>
      <c r="CZ793" s="323">
        <f t="shared" si="1234"/>
        <v>5.5418820239999995</v>
      </c>
      <c r="DA793" s="323">
        <f t="shared" si="1234"/>
        <v>6.403867397</v>
      </c>
      <c r="DB793" s="1269">
        <f t="shared" si="1234"/>
        <v>6.7253262319999996</v>
      </c>
      <c r="DC793" s="323">
        <f t="shared" si="1234"/>
        <v>4.717518391219099</v>
      </c>
      <c r="DD793" s="323">
        <f t="shared" si="1234"/>
        <v>5.0071018254349102</v>
      </c>
      <c r="DE793" s="323">
        <f t="shared" si="1234"/>
        <v>5.8552444317066703</v>
      </c>
      <c r="DF793" s="323">
        <f t="shared" si="1234"/>
        <v>6.2349773763509688</v>
      </c>
      <c r="DG793" s="323">
        <f t="shared" si="1234"/>
        <v>6.6207631803169766</v>
      </c>
      <c r="DH793" s="323">
        <f t="shared" si="1234"/>
        <v>6.4818232372852265</v>
      </c>
      <c r="DI793" s="323">
        <f t="shared" si="1234"/>
        <v>6.1764333713555928</v>
      </c>
      <c r="DJ793" s="323">
        <f t="shared" si="1234"/>
        <v>6.7243387316349805</v>
      </c>
      <c r="DK793" s="323">
        <f t="shared" ref="DK793:EP793" si="1235">DK391</f>
        <v>6.6414733698364117</v>
      </c>
      <c r="DL793" s="323">
        <f t="shared" si="1235"/>
        <v>6.4436331890574552</v>
      </c>
      <c r="DM793" s="323">
        <f t="shared" si="1235"/>
        <v>7.3935269252555615</v>
      </c>
      <c r="DN793" s="325">
        <f t="shared" si="1235"/>
        <v>7.5153159330142207</v>
      </c>
      <c r="DO793" s="323">
        <f t="shared" si="1235"/>
        <v>5.8731630538802673</v>
      </c>
      <c r="DP793" s="323">
        <f t="shared" si="1235"/>
        <v>6.8078431655664318</v>
      </c>
      <c r="DQ793" s="323">
        <f t="shared" si="1235"/>
        <v>6.4688609146038862</v>
      </c>
      <c r="DR793" s="323">
        <f t="shared" si="1235"/>
        <v>5.6332750131440354</v>
      </c>
      <c r="DS793" s="323">
        <f t="shared" si="1235"/>
        <v>6.2808248521408157</v>
      </c>
      <c r="DT793" s="323">
        <f t="shared" si="1235"/>
        <v>6.9785687391861932</v>
      </c>
      <c r="DU793" s="323">
        <f t="shared" si="1235"/>
        <v>6.4535900326504123</v>
      </c>
      <c r="DV793" s="323">
        <f t="shared" si="1235"/>
        <v>6.1697360451144787</v>
      </c>
      <c r="DW793" s="323">
        <f t="shared" si="1235"/>
        <v>7.4766078562602099</v>
      </c>
      <c r="DX793" s="323">
        <f t="shared" si="1235"/>
        <v>6.3795661551859313</v>
      </c>
      <c r="DY793" s="323">
        <f t="shared" si="1235"/>
        <v>8.3772605749685294</v>
      </c>
      <c r="DZ793" s="325">
        <f t="shared" si="1235"/>
        <v>7.7605591533426193</v>
      </c>
      <c r="EA793" s="323">
        <f t="shared" si="1235"/>
        <v>6.1493475067648262</v>
      </c>
      <c r="EB793" s="323">
        <f t="shared" si="1235"/>
        <v>6.2040950000465163</v>
      </c>
      <c r="EC793" s="323">
        <f t="shared" si="1235"/>
        <v>6.9022639913784412</v>
      </c>
      <c r="ED793" s="323">
        <f t="shared" si="1235"/>
        <v>7.5065225584641651</v>
      </c>
      <c r="EE793" s="323">
        <f t="shared" si="1235"/>
        <v>6.7874645516201646</v>
      </c>
      <c r="EF793" s="323">
        <f t="shared" si="1235"/>
        <v>8.0890839007437059</v>
      </c>
      <c r="EG793" s="323">
        <f t="shared" si="1235"/>
        <v>7.8174915835055865</v>
      </c>
      <c r="EH793" s="323">
        <f t="shared" si="1235"/>
        <v>6.1129786020533592</v>
      </c>
      <c r="EI793" s="323">
        <f t="shared" si="1235"/>
        <v>7.2803985792543404</v>
      </c>
      <c r="EJ793" s="323">
        <f t="shared" si="1235"/>
        <v>6.1156640965712405</v>
      </c>
      <c r="EK793" s="323">
        <f t="shared" si="1235"/>
        <v>7.357798925689039</v>
      </c>
      <c r="EL793" s="325">
        <f t="shared" si="1235"/>
        <v>7.2199111359018326</v>
      </c>
      <c r="EM793" s="323">
        <f t="shared" si="1235"/>
        <v>8.0683065989999996</v>
      </c>
      <c r="EN793" s="323">
        <f t="shared" si="1235"/>
        <v>9.4906773229999999</v>
      </c>
      <c r="EO793" s="323">
        <f t="shared" si="1235"/>
        <v>7.7190137740000004</v>
      </c>
      <c r="EP793" s="323">
        <f t="shared" si="1235"/>
        <v>8.2399675400000003</v>
      </c>
      <c r="EQ793" s="323">
        <f t="shared" ref="EQ793:FV793" si="1236">EQ391</f>
        <v>9.2015794169999996</v>
      </c>
      <c r="ER793" s="323">
        <f t="shared" si="1236"/>
        <v>10.894658637999999</v>
      </c>
      <c r="ES793" s="323">
        <f t="shared" si="1236"/>
        <v>10.052058144</v>
      </c>
      <c r="ET793" s="323">
        <f t="shared" si="1236"/>
        <v>9.3441168450000003</v>
      </c>
      <c r="EU793" s="323">
        <f t="shared" si="1236"/>
        <v>8.8959362710000001</v>
      </c>
      <c r="EV793" s="323">
        <f t="shared" si="1236"/>
        <v>10.422192985000001</v>
      </c>
      <c r="EW793" s="323">
        <f t="shared" si="1236"/>
        <v>10.007485909</v>
      </c>
      <c r="EX793" s="325">
        <f t="shared" si="1236"/>
        <v>9.4093752990000006</v>
      </c>
      <c r="EY793" s="323">
        <f t="shared" si="1236"/>
        <v>10.398021448</v>
      </c>
      <c r="EZ793" s="323">
        <f t="shared" si="1236"/>
        <v>11.89994688</v>
      </c>
      <c r="FA793" s="323">
        <f t="shared" si="1236"/>
        <v>8.7815171400000001</v>
      </c>
      <c r="FB793" s="323">
        <f t="shared" si="1236"/>
        <v>10.001424850999999</v>
      </c>
      <c r="FC793" s="323">
        <f t="shared" si="1236"/>
        <v>10.763715027610001</v>
      </c>
      <c r="FD793" s="323">
        <f t="shared" si="1236"/>
        <v>12.073045403479998</v>
      </c>
      <c r="FE793" s="323">
        <f t="shared" si="1236"/>
        <v>10.227735416700002</v>
      </c>
      <c r="FF793" s="323">
        <f t="shared" si="1236"/>
        <v>9.8075142343100001</v>
      </c>
      <c r="FG793" s="323">
        <f t="shared" si="1236"/>
        <v>10.532080037709999</v>
      </c>
      <c r="FH793" s="323">
        <f t="shared" si="1236"/>
        <v>5.8022008460200007</v>
      </c>
      <c r="FI793" s="323">
        <f t="shared" si="1236"/>
        <v>7.48305267899</v>
      </c>
      <c r="FJ793" s="325">
        <f t="shared" si="1236"/>
        <v>9.5112301575600018</v>
      </c>
      <c r="FK793" s="323">
        <f t="shared" si="1236"/>
        <v>9.296074136864517</v>
      </c>
      <c r="FL793" s="323">
        <f t="shared" si="1236"/>
        <v>10.65239108676109</v>
      </c>
      <c r="FM793" s="323">
        <f t="shared" si="1236"/>
        <v>10.976699959915249</v>
      </c>
      <c r="FN793" s="323">
        <f t="shared" si="1236"/>
        <v>12.10266366517248</v>
      </c>
      <c r="FO793" s="323">
        <f t="shared" si="1236"/>
        <v>10.558175669872419</v>
      </c>
      <c r="FP793" s="323">
        <f t="shared" si="1236"/>
        <v>11.37814121478068</v>
      </c>
      <c r="FQ793" s="323">
        <f t="shared" si="1236"/>
        <v>7.8399095164019643</v>
      </c>
      <c r="FR793" s="323">
        <f t="shared" si="1236"/>
        <v>9.0972629761733455</v>
      </c>
      <c r="FS793" s="323">
        <f t="shared" si="1236"/>
        <v>10.726625780432572</v>
      </c>
      <c r="FT793" s="323">
        <f t="shared" si="1236"/>
        <v>10.399853175586575</v>
      </c>
      <c r="FU793" s="323">
        <f t="shared" si="1236"/>
        <v>9.4452242049853279</v>
      </c>
      <c r="FV793" s="323">
        <f t="shared" si="1236"/>
        <v>11.269758498964924</v>
      </c>
      <c r="FW793" s="323">
        <v>9.4821284252321298</v>
      </c>
      <c r="FX793" s="323">
        <v>10.045892009600527</v>
      </c>
      <c r="FY793" s="323">
        <v>10.423432988996325</v>
      </c>
      <c r="FZ793" s="323">
        <v>10.200461923450804</v>
      </c>
      <c r="GA793" s="323">
        <v>10.529149483587618</v>
      </c>
      <c r="GB793" s="323">
        <v>12.424799576764602</v>
      </c>
      <c r="GC793" s="323">
        <v>9.3675806430179698</v>
      </c>
      <c r="GD793" s="323">
        <v>10.436896168783601</v>
      </c>
      <c r="GE793" s="323">
        <v>11.12648420926465</v>
      </c>
      <c r="GF793" s="323">
        <v>11.180707859421489</v>
      </c>
      <c r="GG793" s="323">
        <v>12.441656344522334</v>
      </c>
      <c r="GH793" s="323">
        <v>15.360749506889384</v>
      </c>
      <c r="GI793" s="323">
        <f t="shared" ref="GI793:GT793" si="1237">GI391</f>
        <v>16.38637118794</v>
      </c>
      <c r="GJ793" s="323">
        <f t="shared" si="1237"/>
        <v>18.870421394480001</v>
      </c>
      <c r="GK793" s="323">
        <f t="shared" si="1237"/>
        <v>17.922437522620001</v>
      </c>
      <c r="GL793" s="323">
        <f t="shared" si="1237"/>
        <v>15.91175706177</v>
      </c>
      <c r="GM793" s="323">
        <f t="shared" si="1237"/>
        <v>17.6898592149</v>
      </c>
      <c r="GN793" s="323">
        <f t="shared" si="1237"/>
        <v>17.845496401392008</v>
      </c>
      <c r="GO793" s="323">
        <f t="shared" si="1237"/>
        <v>17.28448116675051</v>
      </c>
      <c r="GP793" s="323">
        <f t="shared" si="1237"/>
        <v>17.937385359725457</v>
      </c>
      <c r="GQ793" s="323">
        <f t="shared" si="1237"/>
        <v>18.388605268396716</v>
      </c>
      <c r="GR793" s="323">
        <f t="shared" si="1237"/>
        <v>14.653189289850001</v>
      </c>
      <c r="GS793" s="323">
        <f t="shared" si="1237"/>
        <v>19.5043521843</v>
      </c>
      <c r="GT793" s="323">
        <f t="shared" si="1237"/>
        <v>19.236271389540001</v>
      </c>
      <c r="GU793" s="323">
        <f t="shared" ref="GU793:HR793" si="1238">GU391</f>
        <v>16.109238721179999</v>
      </c>
      <c r="GV793" s="323">
        <f t="shared" si="1238"/>
        <v>16.080309593607428</v>
      </c>
      <c r="GW793" s="323">
        <f t="shared" si="1238"/>
        <v>15.752290386280876</v>
      </c>
      <c r="GX793" s="323">
        <f t="shared" si="1238"/>
        <v>14.5539997201</v>
      </c>
      <c r="GY793" s="323">
        <f t="shared" si="1238"/>
        <v>14.038801213699999</v>
      </c>
      <c r="GZ793" s="323">
        <f t="shared" si="1238"/>
        <v>15.968614914</v>
      </c>
      <c r="HA793" s="323">
        <f t="shared" si="1238"/>
        <v>16.682865285489999</v>
      </c>
      <c r="HB793" s="323">
        <f t="shared" si="1238"/>
        <v>14.36316860374</v>
      </c>
      <c r="HC793" s="323">
        <f t="shared" si="1238"/>
        <v>15.680942144125849</v>
      </c>
      <c r="HD793" s="323">
        <f t="shared" si="1238"/>
        <v>15.896774606989998</v>
      </c>
      <c r="HE793" s="323">
        <f t="shared" si="1238"/>
        <v>18.334208299580002</v>
      </c>
      <c r="HF793" s="323">
        <f t="shared" si="1238"/>
        <v>21.025106816680001</v>
      </c>
      <c r="HG793" s="323">
        <f t="shared" si="1238"/>
        <v>18.810523006650005</v>
      </c>
      <c r="HH793" s="323">
        <f t="shared" si="1238"/>
        <v>21.599772738509998</v>
      </c>
      <c r="HI793" s="323">
        <f t="shared" si="1238"/>
        <v>18.723085021669998</v>
      </c>
      <c r="HJ793" s="323">
        <f t="shared" si="1238"/>
        <v>20.84783622094</v>
      </c>
      <c r="HK793" s="323">
        <f t="shared" si="1238"/>
        <v>19.475042627266152</v>
      </c>
      <c r="HL793" s="323">
        <f t="shared" si="1238"/>
        <v>25.732392115283858</v>
      </c>
      <c r="HM793" s="323">
        <f t="shared" si="1238"/>
        <v>19.551557754339999</v>
      </c>
      <c r="HN793" s="323">
        <f t="shared" si="1238"/>
        <v>17.592179521950001</v>
      </c>
      <c r="HO793" s="323">
        <f t="shared" si="1238"/>
        <v>21.37660780761</v>
      </c>
      <c r="HP793" s="323">
        <f t="shared" si="1238"/>
        <v>17.589842046209998</v>
      </c>
      <c r="HQ793" s="323">
        <f t="shared" si="1238"/>
        <v>20.041385776709998</v>
      </c>
      <c r="HR793" s="323">
        <f t="shared" si="1238"/>
        <v>21.063688336639999</v>
      </c>
      <c r="HS793" s="323">
        <f t="shared" ref="HS793:HX793" si="1239">HS391</f>
        <v>19.760724558</v>
      </c>
      <c r="HT793" s="323">
        <f t="shared" si="1239"/>
        <v>21.930891502000001</v>
      </c>
      <c r="HU793" s="323">
        <f t="shared" si="1239"/>
        <v>19.731335023</v>
      </c>
      <c r="HV793" s="323">
        <f t="shared" si="1239"/>
        <v>25.365873542999999</v>
      </c>
      <c r="HW793" s="323">
        <f t="shared" si="1239"/>
        <v>20.044307132</v>
      </c>
      <c r="HX793" s="323">
        <f t="shared" si="1239"/>
        <v>27.384216580370001</v>
      </c>
      <c r="HY793" s="323"/>
      <c r="HZ793" s="326"/>
      <c r="IA793" s="332" t="s">
        <v>487</v>
      </c>
      <c r="IB793" s="284">
        <f>SUM(CE793:CJ793)</f>
        <v>25.638885397999999</v>
      </c>
      <c r="IC793" s="279">
        <f>SUM(CK793:CP793)</f>
        <v>30.533511922999999</v>
      </c>
      <c r="ID793" s="323">
        <f t="shared" si="907"/>
        <v>56.172397320999998</v>
      </c>
      <c r="IE793" s="279">
        <f>SUM(CQ793:CV793)</f>
        <v>29.096322516999997</v>
      </c>
      <c r="IF793" s="279">
        <f>SUM(CW793:DB793)</f>
        <v>35.188028967999998</v>
      </c>
      <c r="IG793" s="323">
        <f t="shared" si="880"/>
        <v>64.284351485000002</v>
      </c>
      <c r="IH793" s="284">
        <f>SUM(DC793:DH793)</f>
        <v>34.917428442313849</v>
      </c>
      <c r="II793" s="279">
        <f>SUM(DI793:DN793)</f>
        <v>40.894721520154221</v>
      </c>
      <c r="IJ793" s="323">
        <f t="shared" si="881"/>
        <v>75.812149962468069</v>
      </c>
      <c r="IK793" s="327">
        <f>SUM(DO793:DT793)</f>
        <v>38.042535738521629</v>
      </c>
      <c r="IL793" s="279">
        <f>SUM(DU793:DZ793)</f>
        <v>42.61731981752218</v>
      </c>
      <c r="IM793" s="323">
        <f t="shared" si="882"/>
        <v>80.659855556043809</v>
      </c>
      <c r="IN793" s="279">
        <f>SUM(EA793:EF793)</f>
        <v>41.638777509017814</v>
      </c>
      <c r="IO793" s="279">
        <f>SUM(EG793:EL793)</f>
        <v>41.904242922975392</v>
      </c>
      <c r="IP793" s="323">
        <f t="shared" si="883"/>
        <v>83.543020431993199</v>
      </c>
      <c r="IQ793" s="327">
        <f>SUM(EM793:ER793)</f>
        <v>53.614203290999995</v>
      </c>
      <c r="IR793" s="327">
        <f>SUM(ES793:EX793)</f>
        <v>58.131165453000008</v>
      </c>
      <c r="IS793" s="323">
        <f t="shared" si="884"/>
        <v>111.745368744</v>
      </c>
      <c r="IT793" s="327">
        <f>SUM(EY793:FD793)</f>
        <v>63.917670750089997</v>
      </c>
      <c r="IU793" s="327">
        <f>SUM(FE793:FJ793)</f>
        <v>53.36381337129</v>
      </c>
      <c r="IV793" s="323">
        <f t="shared" si="885"/>
        <v>117.28148412138</v>
      </c>
      <c r="IW793" s="327">
        <f>SUM(FK793:FP793)</f>
        <v>64.964145733366436</v>
      </c>
      <c r="IX793" s="327">
        <f t="shared" si="868"/>
        <v>58.778634152544711</v>
      </c>
      <c r="IY793" s="323">
        <f>IW793+IX793</f>
        <v>123.74277988591115</v>
      </c>
      <c r="IZ793" s="327">
        <f t="shared" si="869"/>
        <v>63.105864407631998</v>
      </c>
      <c r="JA793" s="327">
        <f t="shared" si="870"/>
        <v>69.914074731899433</v>
      </c>
      <c r="JB793" s="323">
        <f t="shared" si="887"/>
        <v>133.01993913953143</v>
      </c>
      <c r="JC793" s="327">
        <f t="shared" si="871"/>
        <v>104.62634278310202</v>
      </c>
      <c r="JD793" s="327">
        <f t="shared" si="872"/>
        <v>107.00428465856268</v>
      </c>
      <c r="JE793" s="323">
        <f t="shared" si="888"/>
        <v>211.6306274416647</v>
      </c>
      <c r="JF793" s="327">
        <f t="shared" si="908"/>
        <v>92.503254548868313</v>
      </c>
      <c r="JG793" s="327">
        <f t="shared" si="918"/>
        <v>101.98306575660584</v>
      </c>
      <c r="JH793" s="323">
        <f t="shared" si="889"/>
        <v>194.48632030547415</v>
      </c>
      <c r="JI793" s="327">
        <f t="shared" si="909"/>
        <v>125.18865173032</v>
      </c>
      <c r="JJ793" s="327">
        <f t="shared" si="910"/>
        <v>117.21526124345999</v>
      </c>
      <c r="JK793" s="323">
        <f t="shared" si="890"/>
        <v>242.40391297378</v>
      </c>
      <c r="JL793" s="327">
        <f t="shared" si="891"/>
        <v>134.21734833837002</v>
      </c>
      <c r="JM793" s="279">
        <f t="shared" si="892"/>
        <v>141.4331277191767</v>
      </c>
      <c r="JN793" s="323">
        <f>FISC!AK1099</f>
        <v>275.65047605754671</v>
      </c>
      <c r="JO793" s="327">
        <f>JQ793*0.4847</f>
        <v>157.40251550686389</v>
      </c>
      <c r="JP793" s="279">
        <f t="shared" si="893"/>
        <v>167.33962500657509</v>
      </c>
      <c r="JQ793" s="323">
        <f>FISC!AL1099</f>
        <v>324.74214051343898</v>
      </c>
      <c r="JR793" s="327">
        <f>JT793*0.52</f>
        <v>192.08257687929446</v>
      </c>
      <c r="JS793" s="279">
        <f t="shared" si="894"/>
        <v>177.30699404242566</v>
      </c>
      <c r="JT793" s="323">
        <f>FISC!AM1099</f>
        <v>369.38957092172012</v>
      </c>
      <c r="JU793" s="327">
        <f>JW793*0.52</f>
        <v>218.81867892209698</v>
      </c>
      <c r="JV793" s="279">
        <f t="shared" si="911"/>
        <v>201.98647285116641</v>
      </c>
      <c r="JW793" s="323">
        <f>FISC!AN1099</f>
        <v>420.80515177326339</v>
      </c>
      <c r="JX793" s="327">
        <f>JZ793*0.52</f>
        <v>248.03285416370528</v>
      </c>
      <c r="JY793" s="279">
        <f t="shared" si="895"/>
        <v>228.95340384342023</v>
      </c>
      <c r="JZ793" s="323">
        <f>FISC!AO1099</f>
        <v>476.98625800712551</v>
      </c>
      <c r="KA793" s="327">
        <f>KC793*0.52</f>
        <v>279.93159788298999</v>
      </c>
      <c r="KB793" s="279">
        <f t="shared" si="1194"/>
        <v>258.39839804583687</v>
      </c>
      <c r="KC793" s="323">
        <f>FISC!AP1099</f>
        <v>538.32999592882686</v>
      </c>
      <c r="KD793" s="327">
        <f>KF793*0.52</f>
        <v>305.77915204148434</v>
      </c>
      <c r="KE793" s="279">
        <f t="shared" si="1196"/>
        <v>282.25767880752397</v>
      </c>
      <c r="KF793" s="323">
        <f>FISC!AQ1099</f>
        <v>588.03683084900831</v>
      </c>
      <c r="KG793" s="327">
        <f>KI793*0.52</f>
        <v>335.9009940714264</v>
      </c>
      <c r="KH793" s="279">
        <f t="shared" si="1198"/>
        <v>310.06245606593205</v>
      </c>
      <c r="KI793" s="323">
        <f>FISC!AR1099</f>
        <v>645.96345013735845</v>
      </c>
      <c r="KJ793" s="327">
        <f>KL793*0.52</f>
        <v>369.33506795726328</v>
      </c>
      <c r="KK793" s="279">
        <f t="shared" si="1200"/>
        <v>340.9246781143969</v>
      </c>
      <c r="KL793" s="323">
        <f>FISC!AS1099</f>
        <v>710.25974607166017</v>
      </c>
      <c r="KM793" s="327">
        <f>KO793*0.52</f>
        <v>477.1924964640736</v>
      </c>
      <c r="KN793" s="279">
        <f t="shared" si="1202"/>
        <v>440.48538135145253</v>
      </c>
      <c r="KO793" s="323">
        <f>FISC!AT1099</f>
        <v>917.67787781552613</v>
      </c>
      <c r="KU793" s="326"/>
      <c r="KV793" s="327"/>
    </row>
    <row r="794" spans="1:308">
      <c r="A794" s="279"/>
      <c r="D794" s="1232" t="s">
        <v>488</v>
      </c>
      <c r="E794" s="323"/>
      <c r="F794" s="323"/>
      <c r="G794" s="323"/>
      <c r="H794" s="323"/>
      <c r="I794" s="323"/>
      <c r="J794" s="323"/>
      <c r="K794" s="323"/>
      <c r="L794" s="323"/>
      <c r="M794" s="323"/>
      <c r="N794" s="323"/>
      <c r="O794" s="323"/>
      <c r="P794" s="323"/>
      <c r="Q794" s="323"/>
      <c r="R794" s="323"/>
      <c r="S794" s="323"/>
      <c r="T794" s="323"/>
      <c r="U794" s="323"/>
      <c r="V794" s="323"/>
      <c r="W794" s="323"/>
      <c r="X794" s="323"/>
      <c r="Y794" s="323"/>
      <c r="Z794" s="323"/>
      <c r="AA794" s="323"/>
      <c r="AB794" s="323"/>
      <c r="AC794" s="323"/>
      <c r="AD794" s="323"/>
      <c r="AE794" s="323"/>
      <c r="AF794" s="323"/>
      <c r="AG794" s="323"/>
      <c r="AH794" s="323"/>
      <c r="AI794" s="323"/>
      <c r="AJ794" s="323"/>
      <c r="AK794" s="323"/>
      <c r="AL794" s="323"/>
      <c r="AM794" s="323"/>
      <c r="AN794" s="323"/>
      <c r="AO794" s="323"/>
      <c r="AP794" s="323"/>
      <c r="AQ794" s="323"/>
      <c r="AR794" s="323"/>
      <c r="AS794" s="323"/>
      <c r="AT794" s="323"/>
      <c r="AU794" s="323"/>
      <c r="AV794" s="323"/>
      <c r="AW794" s="323"/>
      <c r="AX794" s="323"/>
      <c r="AY794" s="323"/>
      <c r="AZ794" s="323"/>
      <c r="BA794" s="323"/>
      <c r="BB794" s="323"/>
      <c r="BC794" s="323"/>
      <c r="BD794" s="323"/>
      <c r="BE794" s="323"/>
      <c r="BF794" s="323"/>
      <c r="BG794" s="323"/>
      <c r="BH794" s="323"/>
      <c r="BI794" s="323"/>
      <c r="BJ794" s="323"/>
      <c r="BK794" s="323"/>
      <c r="BL794" s="323"/>
      <c r="BM794" s="323"/>
      <c r="BN794" s="323"/>
      <c r="BO794" s="323"/>
      <c r="BP794" s="323"/>
      <c r="BQ794" s="323"/>
      <c r="BR794" s="323"/>
      <c r="BS794" s="323"/>
      <c r="BT794" s="323"/>
      <c r="BU794" s="323"/>
      <c r="BV794" s="323"/>
      <c r="BW794" s="323"/>
      <c r="BX794" s="323"/>
      <c r="BY794" s="323"/>
      <c r="BZ794" s="323"/>
      <c r="CA794" s="323"/>
      <c r="CB794" s="323"/>
      <c r="CC794" s="323"/>
      <c r="CD794" s="329"/>
      <c r="CE794" s="323">
        <f t="shared" ref="CE794:DJ794" si="1240">CE392</f>
        <v>3.7649300010000002</v>
      </c>
      <c r="CF794" s="323">
        <f t="shared" si="1240"/>
        <v>3.654463367</v>
      </c>
      <c r="CG794" s="323">
        <f t="shared" si="1240"/>
        <v>4.2003979640000004</v>
      </c>
      <c r="CH794" s="323">
        <f t="shared" si="1240"/>
        <v>4.7701381339999998</v>
      </c>
      <c r="CI794" s="323">
        <f t="shared" si="1240"/>
        <v>4.4225586779999997</v>
      </c>
      <c r="CJ794" s="323">
        <f t="shared" si="1240"/>
        <v>4.662408235</v>
      </c>
      <c r="CK794" s="323">
        <f t="shared" si="1240"/>
        <v>5.0886850260000003</v>
      </c>
      <c r="CL794" s="323">
        <f t="shared" si="1240"/>
        <v>4.4849622350000002</v>
      </c>
      <c r="CM794" s="323">
        <f t="shared" si="1240"/>
        <v>4.6669248640000003</v>
      </c>
      <c r="CN794" s="323">
        <f t="shared" si="1240"/>
        <v>4.4794063450000001</v>
      </c>
      <c r="CO794" s="323">
        <f t="shared" si="1240"/>
        <v>5.0232119920000002</v>
      </c>
      <c r="CP794" s="325">
        <f t="shared" si="1240"/>
        <v>4.5355961279999999</v>
      </c>
      <c r="CQ794" s="323">
        <f t="shared" si="1240"/>
        <v>4.4336139489999997</v>
      </c>
      <c r="CR794" s="323">
        <f t="shared" si="1240"/>
        <v>4.37160057</v>
      </c>
      <c r="CS794" s="323">
        <f t="shared" si="1240"/>
        <v>5.0647123540000001</v>
      </c>
      <c r="CT794" s="323">
        <f t="shared" si="1240"/>
        <v>4.6030556569999996</v>
      </c>
      <c r="CU794" s="323">
        <f t="shared" si="1240"/>
        <v>5.190752088</v>
      </c>
      <c r="CV794" s="323">
        <f t="shared" si="1240"/>
        <v>5.0590093649999996</v>
      </c>
      <c r="CW794" s="323">
        <f t="shared" si="1240"/>
        <v>5.779398284</v>
      </c>
      <c r="CX794" s="323">
        <f t="shared" si="1240"/>
        <v>5.1601387259999996</v>
      </c>
      <c r="CY794" s="323">
        <f t="shared" si="1240"/>
        <v>5.3850232470000003</v>
      </c>
      <c r="CZ794" s="323">
        <f t="shared" si="1240"/>
        <v>5.4852656059999996</v>
      </c>
      <c r="DA794" s="323">
        <f t="shared" si="1240"/>
        <v>6.3460526159999997</v>
      </c>
      <c r="DB794" s="1269">
        <f t="shared" si="1240"/>
        <v>6.6693261149999996</v>
      </c>
      <c r="DC794" s="323">
        <f t="shared" si="1240"/>
        <v>4.6211519734745101</v>
      </c>
      <c r="DD794" s="323">
        <f t="shared" si="1240"/>
        <v>4.9415221481915275</v>
      </c>
      <c r="DE794" s="323">
        <f t="shared" si="1240"/>
        <v>5.7931747312918791</v>
      </c>
      <c r="DF794" s="323">
        <f t="shared" si="1240"/>
        <v>6.1671343117798232</v>
      </c>
      <c r="DG794" s="323">
        <f t="shared" si="1240"/>
        <v>6.549681704796555</v>
      </c>
      <c r="DH794" s="323">
        <f t="shared" si="1240"/>
        <v>6.4035085774146765</v>
      </c>
      <c r="DI794" s="323">
        <f t="shared" si="1240"/>
        <v>6.1124778401467887</v>
      </c>
      <c r="DJ794" s="323">
        <f t="shared" si="1240"/>
        <v>6.6401554021999516</v>
      </c>
      <c r="DK794" s="323">
        <f t="shared" ref="DK794:EP794" si="1241">DK392</f>
        <v>6.5604545160844632</v>
      </c>
      <c r="DL794" s="323">
        <f t="shared" si="1241"/>
        <v>6.3778043914593727</v>
      </c>
      <c r="DM794" s="323">
        <f t="shared" si="1241"/>
        <v>7.3255949161749987</v>
      </c>
      <c r="DN794" s="325">
        <f t="shared" si="1241"/>
        <v>7.4527377684728098</v>
      </c>
      <c r="DO794" s="323">
        <f t="shared" si="1241"/>
        <v>5.8731630538802673</v>
      </c>
      <c r="DP794" s="323">
        <f t="shared" si="1241"/>
        <v>6.8078431655664318</v>
      </c>
      <c r="DQ794" s="323">
        <f t="shared" si="1241"/>
        <v>6.4688609146038862</v>
      </c>
      <c r="DR794" s="323">
        <f t="shared" si="1241"/>
        <v>5.6332750131440354</v>
      </c>
      <c r="DS794" s="323">
        <f t="shared" si="1241"/>
        <v>6.2808248521408157</v>
      </c>
      <c r="DT794" s="323">
        <f t="shared" si="1241"/>
        <v>6.9785687391861932</v>
      </c>
      <c r="DU794" s="323">
        <f t="shared" si="1241"/>
        <v>6.4535900326504123</v>
      </c>
      <c r="DV794" s="323">
        <f t="shared" si="1241"/>
        <v>6.1666189870583787</v>
      </c>
      <c r="DW794" s="323">
        <f t="shared" si="1241"/>
        <v>7.4766078562602099</v>
      </c>
      <c r="DX794" s="323">
        <f t="shared" si="1241"/>
        <v>6.3795661551859313</v>
      </c>
      <c r="DY794" s="323">
        <f t="shared" si="1241"/>
        <v>8.32572093050379</v>
      </c>
      <c r="DZ794" s="325">
        <f t="shared" si="1241"/>
        <v>7.6946739900874261</v>
      </c>
      <c r="EA794" s="323">
        <f t="shared" si="1241"/>
        <v>5.9709157452946702</v>
      </c>
      <c r="EB794" s="323">
        <f t="shared" si="1241"/>
        <v>6.1930267862607513</v>
      </c>
      <c r="EC794" s="323">
        <f t="shared" si="1241"/>
        <v>6.8366706782345226</v>
      </c>
      <c r="ED794" s="323">
        <f t="shared" si="1241"/>
        <v>7.3996390542959301</v>
      </c>
      <c r="EE794" s="323">
        <f t="shared" si="1241"/>
        <v>6.6481701830412749</v>
      </c>
      <c r="EF794" s="323">
        <f t="shared" si="1241"/>
        <v>7.9097141246217415</v>
      </c>
      <c r="EG794" s="323">
        <f t="shared" si="1241"/>
        <v>7.7976141556567224</v>
      </c>
      <c r="EH794" s="323">
        <f t="shared" si="1241"/>
        <v>6.0899358810040418</v>
      </c>
      <c r="EI794" s="323">
        <f t="shared" si="1241"/>
        <v>7.2599918001110302</v>
      </c>
      <c r="EJ794" s="323">
        <f t="shared" si="1241"/>
        <v>6.09850100077443</v>
      </c>
      <c r="EK794" s="323">
        <f t="shared" si="1241"/>
        <v>7.3423507888719568</v>
      </c>
      <c r="EL794" s="325">
        <f t="shared" si="1241"/>
        <v>7.1986020821000141</v>
      </c>
      <c r="EM794" s="323">
        <f t="shared" si="1241"/>
        <v>8.0683065989999996</v>
      </c>
      <c r="EN794" s="323">
        <f t="shared" si="1241"/>
        <v>9.4906773229999999</v>
      </c>
      <c r="EO794" s="323">
        <f t="shared" si="1241"/>
        <v>7.7190137740000004</v>
      </c>
      <c r="EP794" s="323">
        <f t="shared" si="1241"/>
        <v>8.2399675400000003</v>
      </c>
      <c r="EQ794" s="323">
        <f t="shared" ref="EQ794:FV794" si="1242">EQ392</f>
        <v>9.2015794169999996</v>
      </c>
      <c r="ER794" s="323">
        <f t="shared" si="1242"/>
        <v>10.894658637999999</v>
      </c>
      <c r="ES794" s="323">
        <f t="shared" si="1242"/>
        <v>10.052058144</v>
      </c>
      <c r="ET794" s="323">
        <f t="shared" si="1242"/>
        <v>9.3441168450000003</v>
      </c>
      <c r="EU794" s="323">
        <f t="shared" si="1242"/>
        <v>8.8959362710000001</v>
      </c>
      <c r="EV794" s="323">
        <f t="shared" si="1242"/>
        <v>10.422192985000001</v>
      </c>
      <c r="EW794" s="323">
        <f t="shared" si="1242"/>
        <v>10.007485909</v>
      </c>
      <c r="EX794" s="325">
        <f t="shared" si="1242"/>
        <v>9.4093752990000006</v>
      </c>
      <c r="EY794" s="323">
        <f t="shared" si="1242"/>
        <v>10.390131737999999</v>
      </c>
      <c r="EZ794" s="323">
        <f t="shared" si="1242"/>
        <v>11.890927289</v>
      </c>
      <c r="FA794" s="323">
        <f t="shared" si="1242"/>
        <v>8.7742525570000005</v>
      </c>
      <c r="FB794" s="323">
        <f t="shared" si="1242"/>
        <v>9.9941077699999994</v>
      </c>
      <c r="FC794" s="323">
        <f t="shared" si="1242"/>
        <v>10.75621766461</v>
      </c>
      <c r="FD794" s="323">
        <f t="shared" si="1242"/>
        <v>12.063946789479999</v>
      </c>
      <c r="FE794" s="323">
        <f t="shared" si="1242"/>
        <v>10.217109155700001</v>
      </c>
      <c r="FF794" s="323">
        <f t="shared" si="1242"/>
        <v>9.7985069233100006</v>
      </c>
      <c r="FG794" s="323">
        <f t="shared" si="1242"/>
        <v>10.521560971709999</v>
      </c>
      <c r="FH794" s="323">
        <f t="shared" si="1242"/>
        <v>5.7948877540200003</v>
      </c>
      <c r="FI794" s="323">
        <f t="shared" si="1242"/>
        <v>7.4764164659899999</v>
      </c>
      <c r="FJ794" s="325">
        <f t="shared" si="1242"/>
        <v>9.4979612185600022</v>
      </c>
      <c r="FK794" s="323">
        <f t="shared" si="1242"/>
        <v>9.2834013466618099</v>
      </c>
      <c r="FL794" s="323">
        <f t="shared" si="1242"/>
        <v>10.647164430312086</v>
      </c>
      <c r="FM794" s="323">
        <f t="shared" si="1242"/>
        <v>10.974569157896138</v>
      </c>
      <c r="FN794" s="323">
        <f t="shared" si="1242"/>
        <v>12.099828045799677</v>
      </c>
      <c r="FO794" s="323">
        <f t="shared" si="1242"/>
        <v>10.556424125698003</v>
      </c>
      <c r="FP794" s="323">
        <f t="shared" si="1242"/>
        <v>11.376889681862176</v>
      </c>
      <c r="FQ794" s="323">
        <f t="shared" si="1242"/>
        <v>7.8387063296804564</v>
      </c>
      <c r="FR794" s="323">
        <f t="shared" si="1242"/>
        <v>9.0959619742715212</v>
      </c>
      <c r="FS794" s="323">
        <f t="shared" si="1242"/>
        <v>10.724988879002872</v>
      </c>
      <c r="FT794" s="323">
        <f t="shared" si="1242"/>
        <v>10.397643512870836</v>
      </c>
      <c r="FU794" s="323">
        <f t="shared" si="1242"/>
        <v>9.4421136143409647</v>
      </c>
      <c r="FV794" s="323">
        <f t="shared" si="1242"/>
        <v>11.266880211771658</v>
      </c>
      <c r="FW794" s="323">
        <v>9.4809287640814972</v>
      </c>
      <c r="FX794" s="323">
        <v>10.044828791337999</v>
      </c>
      <c r="FY794" s="323">
        <v>10.422652361827392</v>
      </c>
      <c r="FZ794" s="323">
        <v>10.199248105446308</v>
      </c>
      <c r="GA794" s="323">
        <v>10.527990284408517</v>
      </c>
      <c r="GB794" s="323">
        <v>12.42368400400418</v>
      </c>
      <c r="GC794" s="323">
        <v>9.3664109229519799</v>
      </c>
      <c r="GD794" s="323">
        <v>10.436108789197581</v>
      </c>
      <c r="GE794" s="323">
        <v>11.125297359105671</v>
      </c>
      <c r="GF794" s="323">
        <v>11.180707859421489</v>
      </c>
      <c r="GG794" s="323">
        <v>12.441656344522334</v>
      </c>
      <c r="GH794" s="323">
        <v>15.360749506889384</v>
      </c>
      <c r="GI794" s="323">
        <f t="shared" ref="GI794:GT794" si="1243">GI392</f>
        <v>16.38637118794</v>
      </c>
      <c r="GJ794" s="323">
        <f t="shared" si="1243"/>
        <v>18.870421394480001</v>
      </c>
      <c r="GK794" s="323">
        <f t="shared" si="1243"/>
        <v>17.902703465620004</v>
      </c>
      <c r="GL794" s="323">
        <f t="shared" si="1243"/>
        <v>15.911751761770001</v>
      </c>
      <c r="GM794" s="323">
        <f t="shared" si="1243"/>
        <v>17.6898592149</v>
      </c>
      <c r="GN794" s="323">
        <f t="shared" si="1243"/>
        <v>17.845496401392008</v>
      </c>
      <c r="GO794" s="323">
        <f t="shared" si="1243"/>
        <v>17.272801511078217</v>
      </c>
      <c r="GP794" s="323">
        <f t="shared" si="1243"/>
        <v>17.937385359725457</v>
      </c>
      <c r="GQ794" s="323">
        <f t="shared" si="1243"/>
        <v>18.388551817730875</v>
      </c>
      <c r="GR794" s="323">
        <f t="shared" si="1243"/>
        <v>14.653189289850001</v>
      </c>
      <c r="GS794" s="323">
        <f t="shared" si="1243"/>
        <v>19.5043521843</v>
      </c>
      <c r="GT794" s="323">
        <f t="shared" si="1243"/>
        <v>19.236271389540001</v>
      </c>
      <c r="GU794" s="323">
        <f t="shared" ref="GU794:HR794" si="1244">GU392</f>
        <v>16.09821875718</v>
      </c>
      <c r="GV794" s="323">
        <f t="shared" si="1244"/>
        <v>16.080309593607428</v>
      </c>
      <c r="GW794" s="323">
        <f t="shared" si="1244"/>
        <v>15.752290386280876</v>
      </c>
      <c r="GX794" s="323">
        <f t="shared" si="1244"/>
        <v>14.5539440301</v>
      </c>
      <c r="GY794" s="323">
        <f t="shared" si="1244"/>
        <v>14.0387825207</v>
      </c>
      <c r="GZ794" s="323">
        <f t="shared" si="1244"/>
        <v>15.96860227</v>
      </c>
      <c r="HA794" s="323">
        <f t="shared" si="1244"/>
        <v>16.682865285489999</v>
      </c>
      <c r="HB794" s="323">
        <f t="shared" si="1244"/>
        <v>14.36313648374</v>
      </c>
      <c r="HC794" s="323">
        <f t="shared" si="1244"/>
        <v>15.680938436036636</v>
      </c>
      <c r="HD794" s="323">
        <f t="shared" si="1244"/>
        <v>15.896748486989999</v>
      </c>
      <c r="HE794" s="323">
        <f t="shared" si="1244"/>
        <v>18.334208299580002</v>
      </c>
      <c r="HF794" s="323">
        <f t="shared" si="1244"/>
        <v>21.025106816680001</v>
      </c>
      <c r="HG794" s="323">
        <f t="shared" si="1244"/>
        <v>18.628259372650003</v>
      </c>
      <c r="HH794" s="323">
        <f t="shared" si="1244"/>
        <v>21.175846789509997</v>
      </c>
      <c r="HI794" s="323">
        <f t="shared" si="1244"/>
        <v>18.10141797767</v>
      </c>
      <c r="HJ794" s="323">
        <f t="shared" si="1244"/>
        <v>20.43742023994</v>
      </c>
      <c r="HK794" s="323">
        <f t="shared" si="1244"/>
        <v>17.264602129266152</v>
      </c>
      <c r="HL794" s="323">
        <f t="shared" si="1244"/>
        <v>21.248584009283856</v>
      </c>
      <c r="HM794" s="323">
        <f t="shared" si="1244"/>
        <v>19.09770419234</v>
      </c>
      <c r="HN794" s="323">
        <f t="shared" si="1244"/>
        <v>17.03184268895</v>
      </c>
      <c r="HO794" s="323">
        <f t="shared" si="1244"/>
        <v>18.999674508609999</v>
      </c>
      <c r="HP794" s="323">
        <f t="shared" si="1244"/>
        <v>16.847194861209999</v>
      </c>
      <c r="HQ794" s="323">
        <f t="shared" si="1244"/>
        <v>18.999140111709998</v>
      </c>
      <c r="HR794" s="323">
        <f t="shared" si="1244"/>
        <v>20.10712749464</v>
      </c>
      <c r="HS794" s="323">
        <f t="shared" ref="HS794:HX794" si="1245">HS392</f>
        <v>16.862617924999999</v>
      </c>
      <c r="HT794" s="323">
        <f t="shared" si="1245"/>
        <v>18.781337984</v>
      </c>
      <c r="HU794" s="323">
        <f t="shared" si="1245"/>
        <v>16.744407281000001</v>
      </c>
      <c r="HV794" s="323">
        <f t="shared" si="1245"/>
        <v>21.620486313000001</v>
      </c>
      <c r="HW794" s="323">
        <f t="shared" si="1245"/>
        <v>16.965396950999999</v>
      </c>
      <c r="HX794" s="323">
        <f t="shared" si="1245"/>
        <v>23.596900496</v>
      </c>
      <c r="HY794" s="323"/>
      <c r="HZ794" s="326"/>
      <c r="IA794" s="1232" t="s">
        <v>488</v>
      </c>
      <c r="IB794" s="284">
        <f>SUM(CE794:CJ794)</f>
        <v>25.474896379</v>
      </c>
      <c r="IC794" s="279">
        <f>SUM(CK794:CP794)</f>
        <v>28.278786590000003</v>
      </c>
      <c r="ID794" s="323">
        <f t="shared" si="907"/>
        <v>53.753682969000003</v>
      </c>
      <c r="IE794" s="279">
        <f>SUM(CQ794:CV794)</f>
        <v>28.722743983000001</v>
      </c>
      <c r="IF794" s="279">
        <f>SUM(CW794:DB794)</f>
        <v>34.825204593999992</v>
      </c>
      <c r="IG794" s="323">
        <f t="shared" si="880"/>
        <v>63.547948576999993</v>
      </c>
      <c r="IH794" s="284">
        <f>SUM(DC794:DH794)</f>
        <v>34.476173446948977</v>
      </c>
      <c r="II794" s="279">
        <f>SUM(DI794:DN794)</f>
        <v>40.46922483453838</v>
      </c>
      <c r="IJ794" s="323">
        <f t="shared" si="881"/>
        <v>74.945398281487357</v>
      </c>
      <c r="IK794" s="327">
        <f>SUM(DO794:DT794)</f>
        <v>38.042535738521629</v>
      </c>
      <c r="IL794" s="279">
        <f>SUM(DU794:DZ794)</f>
        <v>42.496777951746147</v>
      </c>
      <c r="IM794" s="323">
        <f t="shared" si="882"/>
        <v>80.539313690267775</v>
      </c>
      <c r="IN794" s="279">
        <f>SUM(EA794:EF794)</f>
        <v>40.958136571748888</v>
      </c>
      <c r="IO794" s="279">
        <f>SUM(EG794:EL794)</f>
        <v>41.786995708518198</v>
      </c>
      <c r="IP794" s="323">
        <f t="shared" si="883"/>
        <v>82.745132280267086</v>
      </c>
      <c r="IQ794" s="327">
        <f>SUM(EM794:ER794)</f>
        <v>53.614203290999995</v>
      </c>
      <c r="IR794" s="327">
        <f>SUM(ES794:EX794)</f>
        <v>58.131165453000008</v>
      </c>
      <c r="IS794" s="323">
        <f t="shared" si="884"/>
        <v>111.745368744</v>
      </c>
      <c r="IT794" s="327">
        <f>SUM(EY794:FD794)</f>
        <v>63.869583808089992</v>
      </c>
      <c r="IU794" s="327">
        <f>SUM(FE794:FJ794)</f>
        <v>53.306442489289999</v>
      </c>
      <c r="IV794" s="323">
        <f t="shared" si="885"/>
        <v>117.17602629737999</v>
      </c>
      <c r="IW794" s="327">
        <f>SUM(FK794:FP794)</f>
        <v>64.938276788229885</v>
      </c>
      <c r="IX794" s="327">
        <f t="shared" ref="IX794:IX815" si="1246">SUM(FQ794:FV794)</f>
        <v>58.766294521938313</v>
      </c>
      <c r="IY794" s="323">
        <f t="shared" si="886"/>
        <v>123.70457131016821</v>
      </c>
      <c r="IZ794" s="327">
        <f t="shared" ref="IZ794:IZ825" si="1247">SUM(FW794:GB794)</f>
        <v>63.09933231110589</v>
      </c>
      <c r="JA794" s="327">
        <f t="shared" ref="JA794:JA825" si="1248">SUM(GC794:GH794)</f>
        <v>69.910930782088442</v>
      </c>
      <c r="JB794" s="323">
        <f t="shared" si="887"/>
        <v>133.01026309319434</v>
      </c>
      <c r="JC794" s="327">
        <f t="shared" ref="JC794:JC825" si="1249">SUM(GI794:GN794)</f>
        <v>104.60660342610203</v>
      </c>
      <c r="JD794" s="327">
        <f t="shared" ref="JD794:JD825" si="1250">SUM(GO794:GT794)</f>
        <v>106.99255155222457</v>
      </c>
      <c r="JE794" s="323">
        <f t="shared" si="888"/>
        <v>211.5991549783266</v>
      </c>
      <c r="JF794" s="327">
        <f t="shared" si="908"/>
        <v>92.492147557868307</v>
      </c>
      <c r="JG794" s="327">
        <f t="shared" si="918"/>
        <v>101.98300380851663</v>
      </c>
      <c r="JH794" s="323">
        <f t="shared" si="889"/>
        <v>194.47515136638492</v>
      </c>
      <c r="JI794" s="327">
        <f t="shared" si="909"/>
        <v>116.85613051832</v>
      </c>
      <c r="JJ794" s="327">
        <f t="shared" si="910"/>
        <v>111.08268385745998</v>
      </c>
      <c r="JK794" s="323">
        <f t="shared" si="890"/>
        <v>227.93881437578</v>
      </c>
      <c r="JL794" s="327">
        <f t="shared" si="891"/>
        <v>114.57114695</v>
      </c>
      <c r="JM794" s="279">
        <f t="shared" si="892"/>
        <v>161.0793291075467</v>
      </c>
      <c r="JN794" s="323">
        <f>FISC!AK1100</f>
        <v>275.65047605754671</v>
      </c>
      <c r="JO794" s="327">
        <f>JQ794*0.4847</f>
        <v>157.40251550686389</v>
      </c>
      <c r="JP794" s="279">
        <f t="shared" si="893"/>
        <v>167.33962500657509</v>
      </c>
      <c r="JQ794" s="323">
        <f>FISC!AL1100</f>
        <v>324.74214051343898</v>
      </c>
      <c r="JR794" s="327">
        <f>JT794*0.52</f>
        <v>192.08257687929446</v>
      </c>
      <c r="JS794" s="279">
        <f t="shared" si="894"/>
        <v>177.30699404242566</v>
      </c>
      <c r="JT794" s="323">
        <f>FISC!AM1100</f>
        <v>369.38957092172012</v>
      </c>
      <c r="JU794" s="327">
        <f>JW794*0.52</f>
        <v>218.81867892209698</v>
      </c>
      <c r="JV794" s="279">
        <f t="shared" si="911"/>
        <v>201.98647285116641</v>
      </c>
      <c r="JW794" s="323">
        <f>FISC!AN1100</f>
        <v>420.80515177326339</v>
      </c>
      <c r="JX794" s="327">
        <f>JZ794*0.52</f>
        <v>248.03285416370528</v>
      </c>
      <c r="JY794" s="279">
        <f t="shared" si="895"/>
        <v>228.95340384342023</v>
      </c>
      <c r="JZ794" s="323">
        <f>FISC!AO1100</f>
        <v>476.98625800712551</v>
      </c>
      <c r="KA794" s="327">
        <f>KC794*0.52</f>
        <v>279.93159788298999</v>
      </c>
      <c r="KB794" s="279">
        <f t="shared" si="1194"/>
        <v>258.39839804583687</v>
      </c>
      <c r="KC794" s="323">
        <f>FISC!AP1100</f>
        <v>538.32999592882686</v>
      </c>
      <c r="KD794" s="327">
        <f>KF794*0.52</f>
        <v>305.77915204148434</v>
      </c>
      <c r="KE794" s="279">
        <f t="shared" si="1196"/>
        <v>282.25767880752397</v>
      </c>
      <c r="KF794" s="323">
        <f>FISC!AQ1100</f>
        <v>588.03683084900831</v>
      </c>
      <c r="KG794" s="327">
        <f>KI794*0.52</f>
        <v>335.9009940714264</v>
      </c>
      <c r="KH794" s="279">
        <f t="shared" si="1198"/>
        <v>310.06245606593205</v>
      </c>
      <c r="KI794" s="323">
        <f>FISC!AR1100</f>
        <v>645.96345013735845</v>
      </c>
      <c r="KJ794" s="327">
        <f>KL794*0.52</f>
        <v>369.33506795726328</v>
      </c>
      <c r="KK794" s="279">
        <f t="shared" si="1200"/>
        <v>340.9246781143969</v>
      </c>
      <c r="KL794" s="323">
        <f>FISC!AS1100</f>
        <v>710.25974607166017</v>
      </c>
      <c r="KM794" s="327">
        <f>KO794*0.52</f>
        <v>477.1924964640736</v>
      </c>
      <c r="KN794" s="279">
        <f t="shared" si="1202"/>
        <v>440.48538135145253</v>
      </c>
      <c r="KO794" s="323">
        <f>FISC!AT1100</f>
        <v>917.67787781552613</v>
      </c>
      <c r="KU794" s="326"/>
      <c r="KV794" s="327"/>
    </row>
    <row r="795" spans="1:308">
      <c r="A795" s="279"/>
      <c r="D795" s="1416" t="s">
        <v>3071</v>
      </c>
      <c r="E795" s="323"/>
      <c r="F795" s="323"/>
      <c r="G795" s="323"/>
      <c r="H795" s="323"/>
      <c r="I795" s="323"/>
      <c r="J795" s="323"/>
      <c r="K795" s="323"/>
      <c r="L795" s="323"/>
      <c r="M795" s="323"/>
      <c r="N795" s="323"/>
      <c r="O795" s="323"/>
      <c r="P795" s="323"/>
      <c r="Q795" s="323"/>
      <c r="R795" s="323"/>
      <c r="S795" s="323"/>
      <c r="T795" s="323"/>
      <c r="U795" s="323"/>
      <c r="V795" s="323"/>
      <c r="W795" s="323"/>
      <c r="X795" s="323"/>
      <c r="Y795" s="323"/>
      <c r="Z795" s="323"/>
      <c r="AA795" s="323"/>
      <c r="AB795" s="323"/>
      <c r="AC795" s="323"/>
      <c r="AD795" s="323"/>
      <c r="AE795" s="323"/>
      <c r="AF795" s="323"/>
      <c r="AG795" s="323"/>
      <c r="AH795" s="323"/>
      <c r="AI795" s="323"/>
      <c r="AJ795" s="323"/>
      <c r="AK795" s="323"/>
      <c r="AL795" s="323"/>
      <c r="AM795" s="323"/>
      <c r="AN795" s="323"/>
      <c r="AO795" s="323"/>
      <c r="AP795" s="323"/>
      <c r="AQ795" s="323"/>
      <c r="AR795" s="323"/>
      <c r="AS795" s="323"/>
      <c r="AT795" s="323"/>
      <c r="AU795" s="323"/>
      <c r="AV795" s="323"/>
      <c r="AW795" s="323"/>
      <c r="AX795" s="323"/>
      <c r="AY795" s="323"/>
      <c r="AZ795" s="323"/>
      <c r="BA795" s="323"/>
      <c r="BB795" s="323"/>
      <c r="BC795" s="323"/>
      <c r="BD795" s="323"/>
      <c r="BE795" s="323"/>
      <c r="BF795" s="323"/>
      <c r="BG795" s="323"/>
      <c r="BH795" s="323"/>
      <c r="BI795" s="323"/>
      <c r="BJ795" s="323"/>
      <c r="BK795" s="323"/>
      <c r="BL795" s="323"/>
      <c r="BM795" s="323"/>
      <c r="BN795" s="323"/>
      <c r="BO795" s="323"/>
      <c r="BP795" s="323"/>
      <c r="BQ795" s="323"/>
      <c r="BR795" s="323"/>
      <c r="BS795" s="323"/>
      <c r="BT795" s="323"/>
      <c r="BU795" s="323"/>
      <c r="BV795" s="323"/>
      <c r="BW795" s="323"/>
      <c r="BX795" s="323"/>
      <c r="BY795" s="323"/>
      <c r="BZ795" s="323"/>
      <c r="CA795" s="323"/>
      <c r="CB795" s="323"/>
      <c r="CC795" s="323"/>
      <c r="CD795" s="329"/>
      <c r="CE795" s="323">
        <v>0</v>
      </c>
      <c r="CF795" s="323">
        <v>0</v>
      </c>
      <c r="CG795" s="323">
        <v>0</v>
      </c>
      <c r="CH795" s="323">
        <v>0</v>
      </c>
      <c r="CI795" s="323">
        <v>0</v>
      </c>
      <c r="CJ795" s="323">
        <v>0</v>
      </c>
      <c r="CK795" s="323">
        <v>0</v>
      </c>
      <c r="CL795" s="323">
        <v>0</v>
      </c>
      <c r="CM795" s="323">
        <v>0</v>
      </c>
      <c r="CN795" s="323">
        <v>0</v>
      </c>
      <c r="CO795" s="323">
        <v>0</v>
      </c>
      <c r="CP795" s="325">
        <v>0</v>
      </c>
      <c r="CQ795" s="323"/>
      <c r="CR795" s="323"/>
      <c r="CS795" s="323"/>
      <c r="CT795" s="323"/>
      <c r="CU795" s="323"/>
      <c r="CV795" s="323"/>
      <c r="CW795" s="323"/>
      <c r="CX795" s="323"/>
      <c r="CY795" s="323"/>
      <c r="CZ795" s="323"/>
      <c r="DA795" s="323"/>
      <c r="DB795" s="1269"/>
      <c r="DC795" s="323"/>
      <c r="DD795" s="323"/>
      <c r="DE795" s="323"/>
      <c r="DF795" s="323"/>
      <c r="DG795" s="323"/>
      <c r="DH795" s="323"/>
      <c r="DI795" s="323"/>
      <c r="DJ795" s="323"/>
      <c r="DK795" s="323"/>
      <c r="DL795" s="323"/>
      <c r="DM795" s="323"/>
      <c r="DN795" s="325"/>
      <c r="DO795" s="323"/>
      <c r="DP795" s="323"/>
      <c r="DQ795" s="323"/>
      <c r="DR795" s="323"/>
      <c r="DS795" s="323"/>
      <c r="DT795" s="323"/>
      <c r="DU795" s="323"/>
      <c r="DV795" s="323"/>
      <c r="DW795" s="323"/>
      <c r="DX795" s="323"/>
      <c r="DY795" s="323"/>
      <c r="DZ795" s="325"/>
      <c r="EA795" s="323"/>
      <c r="EB795" s="323"/>
      <c r="EC795" s="323"/>
      <c r="ED795" s="323"/>
      <c r="EE795" s="323"/>
      <c r="EF795" s="323"/>
      <c r="EG795" s="323"/>
      <c r="EH795" s="323"/>
      <c r="EI795" s="323"/>
      <c r="EJ795" s="323"/>
      <c r="EK795" s="323"/>
      <c r="EL795" s="325"/>
      <c r="EM795" s="323"/>
      <c r="EN795" s="323"/>
      <c r="EO795" s="323"/>
      <c r="EP795" s="323"/>
      <c r="EQ795" s="323"/>
      <c r="ER795" s="323"/>
      <c r="ES795" s="323"/>
      <c r="ET795" s="323"/>
      <c r="EU795" s="323"/>
      <c r="EV795" s="323"/>
      <c r="EW795" s="323"/>
      <c r="EX795" s="325"/>
      <c r="EY795" s="323"/>
      <c r="EZ795" s="323"/>
      <c r="FA795" s="323"/>
      <c r="FB795" s="323"/>
      <c r="FC795" s="323"/>
      <c r="FD795" s="323"/>
      <c r="FE795" s="323"/>
      <c r="FF795" s="323"/>
      <c r="FG795" s="323"/>
      <c r="FH795" s="323"/>
      <c r="FI795" s="323"/>
      <c r="FJ795" s="325"/>
      <c r="FK795" s="323"/>
      <c r="FL795" s="323"/>
      <c r="FM795" s="323"/>
      <c r="FN795" s="323"/>
      <c r="FO795" s="323"/>
      <c r="FP795" s="323"/>
      <c r="FQ795" s="323"/>
      <c r="FR795" s="323"/>
      <c r="FS795" s="323"/>
      <c r="FT795" s="323"/>
      <c r="FU795" s="323"/>
      <c r="FV795" s="323"/>
      <c r="FW795" s="323">
        <f>FW393</f>
        <v>1.142374225</v>
      </c>
      <c r="FX795" s="323">
        <f t="shared" ref="FX795:HR795" si="1251">FX393</f>
        <v>1.3714005600000001</v>
      </c>
      <c r="FY795" s="323">
        <f t="shared" si="1251"/>
        <v>1.3486233999999999</v>
      </c>
      <c r="FZ795" s="323">
        <f t="shared" si="1251"/>
        <v>1.3361463929999999</v>
      </c>
      <c r="GA795" s="323">
        <f t="shared" si="1251"/>
        <v>1.3245327259999999</v>
      </c>
      <c r="GB795" s="323">
        <f t="shared" si="1251"/>
        <v>1.570408018</v>
      </c>
      <c r="GC795" s="323">
        <f t="shared" si="1251"/>
        <v>1.426327613</v>
      </c>
      <c r="GD795" s="323">
        <f t="shared" si="1251"/>
        <v>1.3598600949999999</v>
      </c>
      <c r="GE795" s="323">
        <f t="shared" si="1251"/>
        <v>1.47652962</v>
      </c>
      <c r="GF795" s="323">
        <f t="shared" si="1251"/>
        <v>1.671819607</v>
      </c>
      <c r="GG795" s="323">
        <f t="shared" si="1251"/>
        <v>1.781849389</v>
      </c>
      <c r="GH795" s="323">
        <f t="shared" si="1251"/>
        <v>2.2344886580000001</v>
      </c>
      <c r="GI795" s="323">
        <f t="shared" si="1251"/>
        <v>1.879521035</v>
      </c>
      <c r="GJ795" s="323">
        <f t="shared" si="1251"/>
        <v>2.1783190979999998</v>
      </c>
      <c r="GK795" s="323">
        <f t="shared" si="1251"/>
        <v>2.1223117720000002</v>
      </c>
      <c r="GL795" s="323">
        <f t="shared" si="1251"/>
        <v>1.8411083859999999</v>
      </c>
      <c r="GM795" s="323">
        <f t="shared" si="1251"/>
        <v>2.0267621070000001</v>
      </c>
      <c r="GN795" s="323">
        <f t="shared" si="1251"/>
        <v>2.1458013060000001</v>
      </c>
      <c r="GO795" s="323">
        <f t="shared" si="1251"/>
        <v>2.0240819110000001</v>
      </c>
      <c r="GP795" s="323">
        <f t="shared" si="1251"/>
        <v>1.9149301700000001</v>
      </c>
      <c r="GQ795" s="323">
        <f t="shared" si="1251"/>
        <v>2.1255325799999998</v>
      </c>
      <c r="GR795" s="323">
        <f t="shared" si="1251"/>
        <v>1.6310646289999999</v>
      </c>
      <c r="GS795" s="323">
        <f t="shared" si="1251"/>
        <v>2.2950203239999998</v>
      </c>
      <c r="GT795" s="323">
        <f t="shared" si="1251"/>
        <v>2.2538759659999998</v>
      </c>
      <c r="GU795" s="323">
        <f t="shared" si="1251"/>
        <v>2.12214714</v>
      </c>
      <c r="GV795" s="323">
        <f t="shared" si="1251"/>
        <v>2.1670857479999999</v>
      </c>
      <c r="GW795" s="323">
        <f t="shared" si="1251"/>
        <v>2.1718456270000002</v>
      </c>
      <c r="GX795" s="323">
        <f t="shared" si="1251"/>
        <v>2.220623019</v>
      </c>
      <c r="GY795" s="323">
        <f t="shared" si="1251"/>
        <v>2.204828091</v>
      </c>
      <c r="GZ795" s="323">
        <f t="shared" si="1251"/>
        <v>2.442708648</v>
      </c>
      <c r="HA795" s="323">
        <f t="shared" si="1251"/>
        <v>2.610357413</v>
      </c>
      <c r="HB795" s="323">
        <f t="shared" si="1251"/>
        <v>2.18930932</v>
      </c>
      <c r="HC795" s="323">
        <f t="shared" si="1251"/>
        <v>2.5189404280000001</v>
      </c>
      <c r="HD795" s="323">
        <f t="shared" si="1251"/>
        <v>2.7636696440000001</v>
      </c>
      <c r="HE795" s="323">
        <f t="shared" si="1251"/>
        <v>2.744250488</v>
      </c>
      <c r="HF795" s="323">
        <f t="shared" si="1251"/>
        <v>3.0336654850000002</v>
      </c>
      <c r="HG795" s="323">
        <f t="shared" si="1251"/>
        <v>2.7809004339999999</v>
      </c>
      <c r="HH795" s="323">
        <f t="shared" si="1251"/>
        <v>2.9228121969999998</v>
      </c>
      <c r="HI795" s="323">
        <f t="shared" si="1251"/>
        <v>2.6849386069999999</v>
      </c>
      <c r="HJ795" s="323">
        <f t="shared" si="1251"/>
        <v>2.7153306050000001</v>
      </c>
      <c r="HK795" s="323">
        <f t="shared" si="1251"/>
        <v>2.5944976670000002</v>
      </c>
      <c r="HL795" s="323">
        <f t="shared" si="1251"/>
        <v>2.863231195</v>
      </c>
      <c r="HM795" s="323">
        <f t="shared" si="1251"/>
        <v>2.6600246310000002</v>
      </c>
      <c r="HN795" s="323">
        <f t="shared" si="1251"/>
        <v>2.2921553829999999</v>
      </c>
      <c r="HO795" s="323">
        <f t="shared" si="1251"/>
        <v>2.7342626299999999</v>
      </c>
      <c r="HP795" s="323">
        <f t="shared" si="1251"/>
        <v>2.5559861449999999</v>
      </c>
      <c r="HQ795" s="323">
        <f t="shared" si="1251"/>
        <v>2.9015952359999999</v>
      </c>
      <c r="HR795" s="323">
        <f t="shared" si="1251"/>
        <v>3.2460479759999998</v>
      </c>
      <c r="HS795" s="323">
        <f t="shared" ref="HS795:HX795" si="1252">HS393</f>
        <v>2.5621303630000001</v>
      </c>
      <c r="HT795" s="323">
        <f t="shared" si="1252"/>
        <v>2.7840921089999999</v>
      </c>
      <c r="HU795" s="323">
        <f t="shared" si="1252"/>
        <v>2.6396960489999999</v>
      </c>
      <c r="HV795" s="323">
        <f t="shared" si="1252"/>
        <v>3.3091891900000001</v>
      </c>
      <c r="HW795" s="323">
        <f t="shared" si="1252"/>
        <v>2.719871645</v>
      </c>
      <c r="HX795" s="323">
        <f t="shared" si="1252"/>
        <v>3.3472108733299999</v>
      </c>
      <c r="HY795" s="323"/>
      <c r="HZ795" s="326"/>
      <c r="IA795" s="1416" t="s">
        <v>3071</v>
      </c>
      <c r="IB795" s="284"/>
      <c r="ID795" s="323"/>
      <c r="IG795" s="323"/>
      <c r="IH795" s="284"/>
      <c r="IJ795" s="323"/>
      <c r="IK795" s="327"/>
      <c r="IM795" s="323"/>
      <c r="IP795" s="323"/>
      <c r="IQ795" s="327"/>
      <c r="IR795" s="327"/>
      <c r="IS795" s="323"/>
      <c r="IT795" s="327"/>
      <c r="IU795" s="327"/>
      <c r="IV795" s="323"/>
      <c r="IW795" s="327">
        <v>7.2977012000000006</v>
      </c>
      <c r="IX795" s="327">
        <f t="shared" si="1246"/>
        <v>0</v>
      </c>
      <c r="IY795" s="323">
        <f t="shared" si="886"/>
        <v>7.2977012000000006</v>
      </c>
      <c r="IZ795" s="327">
        <f t="shared" si="1247"/>
        <v>8.0934853219999994</v>
      </c>
      <c r="JA795" s="327">
        <f t="shared" si="1248"/>
        <v>9.9508749820000002</v>
      </c>
      <c r="JB795" s="323">
        <f t="shared" si="887"/>
        <v>18.044360304000001</v>
      </c>
      <c r="JC795" s="327">
        <f t="shared" si="1249"/>
        <v>12.193823704</v>
      </c>
      <c r="JD795" s="327">
        <f t="shared" si="1250"/>
        <v>12.244505579999998</v>
      </c>
      <c r="JE795" s="323">
        <f t="shared" si="888"/>
        <v>24.438329283999998</v>
      </c>
      <c r="JF795" s="327">
        <f t="shared" si="908"/>
        <v>13.329238273</v>
      </c>
      <c r="JG795" s="327">
        <f t="shared" si="918"/>
        <v>15.860192778000002</v>
      </c>
      <c r="JH795" s="323">
        <f t="shared" si="889"/>
        <v>29.189431051</v>
      </c>
      <c r="JI795" s="327">
        <f t="shared" si="909"/>
        <v>16.561710704999999</v>
      </c>
      <c r="JJ795" s="327">
        <f t="shared" si="910"/>
        <v>16.390072001</v>
      </c>
      <c r="JK795" s="323">
        <f t="shared" si="890"/>
        <v>32.951782706000003</v>
      </c>
      <c r="JL795" s="327">
        <f t="shared" si="891"/>
        <v>17.36219022933</v>
      </c>
      <c r="JM795" s="279">
        <f t="shared" si="892"/>
        <v>15.715154372717048</v>
      </c>
      <c r="JN795" s="323">
        <f>FISC!AK1101</f>
        <v>33.077344602047049</v>
      </c>
      <c r="JO795" s="327">
        <f>JQ795*0.52</f>
        <v>20.088446207753876</v>
      </c>
      <c r="JP795" s="279">
        <f t="shared" si="893"/>
        <v>18.54318111484973</v>
      </c>
      <c r="JQ795" s="323">
        <f>FISC!AL1101</f>
        <v>38.631627322603606</v>
      </c>
      <c r="JR795" s="327">
        <f>JT795*0.52</f>
        <v>23.468252465353913</v>
      </c>
      <c r="JS795" s="279">
        <f t="shared" si="894"/>
        <v>21.6630022757113</v>
      </c>
      <c r="JT795" s="323">
        <f>FISC!AM1101</f>
        <v>45.131254741065213</v>
      </c>
      <c r="JU795" s="327">
        <f>JW795*0.52</f>
        <v>21.778349336553894</v>
      </c>
      <c r="JV795" s="279">
        <f t="shared" si="911"/>
        <v>20.103091695280519</v>
      </c>
      <c r="JW795" s="323">
        <f>FISC!AN1101</f>
        <v>41.881441031834413</v>
      </c>
      <c r="JX795" s="327">
        <f>JZ795*0.52</f>
        <v>22.623300900953904</v>
      </c>
      <c r="JY795" s="279">
        <f t="shared" si="895"/>
        <v>20.883046985495913</v>
      </c>
      <c r="JZ795" s="323">
        <f>FISC!AO1101</f>
        <v>43.506347886449817</v>
      </c>
      <c r="KA795" s="327">
        <f>KC795*0.52</f>
        <v>22.623300900953904</v>
      </c>
      <c r="KB795" s="279">
        <f t="shared" si="1194"/>
        <v>20.883046985495913</v>
      </c>
      <c r="KC795" s="323">
        <f>FISC!AP1101</f>
        <v>43.506347886449817</v>
      </c>
      <c r="KD795" s="327">
        <f>KF795*0.52</f>
        <v>22.623300900953904</v>
      </c>
      <c r="KE795" s="279">
        <f t="shared" si="1196"/>
        <v>20.883046985495913</v>
      </c>
      <c r="KF795" s="323">
        <f>FISC!AQ1101</f>
        <v>43.506347886449817</v>
      </c>
      <c r="KG795" s="327">
        <f>KI795*0.52</f>
        <v>22.623300900953904</v>
      </c>
      <c r="KH795" s="279">
        <f t="shared" si="1198"/>
        <v>20.883046985495913</v>
      </c>
      <c r="KI795" s="323">
        <f>FISC!AR1101</f>
        <v>43.506347886449817</v>
      </c>
      <c r="KJ795" s="327">
        <f>KL795*0.52</f>
        <v>22.623300900953904</v>
      </c>
      <c r="KK795" s="279">
        <f t="shared" si="1200"/>
        <v>20.883046985495913</v>
      </c>
      <c r="KL795" s="323">
        <f>FISC!AS1101</f>
        <v>43.506347886449817</v>
      </c>
      <c r="KM795" s="327">
        <f>KO795*0.52</f>
        <v>22.623300900953904</v>
      </c>
      <c r="KN795" s="279">
        <f t="shared" si="1202"/>
        <v>20.883046985495913</v>
      </c>
      <c r="KO795" s="323">
        <f>FISC!AT1101</f>
        <v>43.506347886449817</v>
      </c>
      <c r="KU795" s="326"/>
      <c r="KV795" s="327"/>
    </row>
    <row r="796" spans="1:308">
      <c r="A796" s="279"/>
      <c r="D796" s="1416" t="s">
        <v>3072</v>
      </c>
      <c r="E796" s="323"/>
      <c r="F796" s="323"/>
      <c r="G796" s="323"/>
      <c r="H796" s="323"/>
      <c r="I796" s="323"/>
      <c r="J796" s="323"/>
      <c r="K796" s="323"/>
      <c r="L796" s="323"/>
      <c r="M796" s="323"/>
      <c r="N796" s="323"/>
      <c r="O796" s="323"/>
      <c r="P796" s="323"/>
      <c r="Q796" s="323"/>
      <c r="R796" s="323"/>
      <c r="S796" s="323"/>
      <c r="T796" s="323"/>
      <c r="U796" s="323"/>
      <c r="V796" s="323"/>
      <c r="W796" s="323"/>
      <c r="X796" s="323"/>
      <c r="Y796" s="323"/>
      <c r="Z796" s="323"/>
      <c r="AA796" s="323"/>
      <c r="AB796" s="323"/>
      <c r="AC796" s="323"/>
      <c r="AD796" s="323"/>
      <c r="AE796" s="323"/>
      <c r="AF796" s="323"/>
      <c r="AG796" s="323"/>
      <c r="AH796" s="323"/>
      <c r="AI796" s="323"/>
      <c r="AJ796" s="323"/>
      <c r="AK796" s="323"/>
      <c r="AL796" s="323"/>
      <c r="AM796" s="323"/>
      <c r="AN796" s="323"/>
      <c r="AO796" s="323"/>
      <c r="AP796" s="323"/>
      <c r="AQ796" s="323"/>
      <c r="AR796" s="323"/>
      <c r="AS796" s="323"/>
      <c r="AT796" s="323"/>
      <c r="AU796" s="323"/>
      <c r="AV796" s="323"/>
      <c r="AW796" s="323"/>
      <c r="AX796" s="323"/>
      <c r="AY796" s="323"/>
      <c r="AZ796" s="323"/>
      <c r="BA796" s="323"/>
      <c r="BB796" s="323"/>
      <c r="BC796" s="323"/>
      <c r="BD796" s="323"/>
      <c r="BE796" s="323"/>
      <c r="BF796" s="323"/>
      <c r="BG796" s="323"/>
      <c r="BH796" s="323"/>
      <c r="BI796" s="323"/>
      <c r="BJ796" s="323"/>
      <c r="BK796" s="323"/>
      <c r="BL796" s="323"/>
      <c r="BM796" s="323"/>
      <c r="BN796" s="323"/>
      <c r="BO796" s="323"/>
      <c r="BP796" s="323"/>
      <c r="BQ796" s="323"/>
      <c r="BR796" s="323"/>
      <c r="BS796" s="323"/>
      <c r="BT796" s="323"/>
      <c r="BU796" s="323"/>
      <c r="BV796" s="323"/>
      <c r="BW796" s="323"/>
      <c r="BX796" s="323"/>
      <c r="BY796" s="323"/>
      <c r="BZ796" s="323"/>
      <c r="CA796" s="323"/>
      <c r="CB796" s="323"/>
      <c r="CC796" s="323"/>
      <c r="CD796" s="329"/>
      <c r="CE796" s="323">
        <v>0</v>
      </c>
      <c r="CF796" s="323">
        <v>0</v>
      </c>
      <c r="CG796" s="323">
        <v>0</v>
      </c>
      <c r="CH796" s="323">
        <v>0</v>
      </c>
      <c r="CI796" s="323">
        <v>0</v>
      </c>
      <c r="CJ796" s="323">
        <v>0</v>
      </c>
      <c r="CK796" s="323">
        <v>0</v>
      </c>
      <c r="CL796" s="323">
        <v>0</v>
      </c>
      <c r="CM796" s="323">
        <v>0</v>
      </c>
      <c r="CN796" s="323">
        <v>0</v>
      </c>
      <c r="CO796" s="323">
        <v>0</v>
      </c>
      <c r="CP796" s="325">
        <v>0</v>
      </c>
      <c r="CQ796" s="323"/>
      <c r="CR796" s="323"/>
      <c r="CS796" s="323"/>
      <c r="CT796" s="323"/>
      <c r="CU796" s="323"/>
      <c r="CV796" s="323"/>
      <c r="CW796" s="323"/>
      <c r="CX796" s="323"/>
      <c r="CY796" s="323"/>
      <c r="CZ796" s="323"/>
      <c r="DA796" s="323"/>
      <c r="DB796" s="1269"/>
      <c r="DC796" s="323"/>
      <c r="DD796" s="323"/>
      <c r="DE796" s="323"/>
      <c r="DF796" s="323"/>
      <c r="DG796" s="323"/>
      <c r="DH796" s="323"/>
      <c r="DI796" s="323"/>
      <c r="DJ796" s="323"/>
      <c r="DK796" s="323"/>
      <c r="DL796" s="323"/>
      <c r="DM796" s="323"/>
      <c r="DN796" s="325"/>
      <c r="DO796" s="323"/>
      <c r="DP796" s="323"/>
      <c r="DQ796" s="323"/>
      <c r="DR796" s="323"/>
      <c r="DS796" s="323"/>
      <c r="DT796" s="323"/>
      <c r="DU796" s="323"/>
      <c r="DV796" s="323"/>
      <c r="DW796" s="323"/>
      <c r="DX796" s="323"/>
      <c r="DY796" s="323"/>
      <c r="DZ796" s="325"/>
      <c r="EA796" s="323"/>
      <c r="EB796" s="323"/>
      <c r="EC796" s="323"/>
      <c r="ED796" s="323"/>
      <c r="EE796" s="323"/>
      <c r="EF796" s="323"/>
      <c r="EG796" s="323"/>
      <c r="EH796" s="323"/>
      <c r="EI796" s="323"/>
      <c r="EJ796" s="323"/>
      <c r="EK796" s="323"/>
      <c r="EL796" s="325"/>
      <c r="EM796" s="323"/>
      <c r="EN796" s="323"/>
      <c r="EO796" s="323"/>
      <c r="EP796" s="323"/>
      <c r="EQ796" s="323"/>
      <c r="ER796" s="323"/>
      <c r="ES796" s="323"/>
      <c r="ET796" s="323"/>
      <c r="EU796" s="323"/>
      <c r="EV796" s="323"/>
      <c r="EW796" s="323"/>
      <c r="EX796" s="325"/>
      <c r="EY796" s="323"/>
      <c r="EZ796" s="323"/>
      <c r="FA796" s="323"/>
      <c r="FB796" s="323"/>
      <c r="FC796" s="323"/>
      <c r="FD796" s="323"/>
      <c r="FE796" s="323"/>
      <c r="FF796" s="323"/>
      <c r="FG796" s="323"/>
      <c r="FH796" s="323"/>
      <c r="FI796" s="323"/>
      <c r="FJ796" s="325"/>
      <c r="FK796" s="323"/>
      <c r="FL796" s="323"/>
      <c r="FM796" s="323"/>
      <c r="FN796" s="323"/>
      <c r="FO796" s="323"/>
      <c r="FP796" s="323"/>
      <c r="FQ796" s="323"/>
      <c r="FR796" s="323"/>
      <c r="FS796" s="323"/>
      <c r="FT796" s="323"/>
      <c r="FU796" s="323"/>
      <c r="FV796" s="323"/>
      <c r="FW796" s="323">
        <f>FW394</f>
        <v>0.151499141</v>
      </c>
      <c r="FX796" s="323">
        <f t="shared" ref="FX796:HR796" si="1253">FX394</f>
        <v>0.17055729</v>
      </c>
      <c r="FY796" s="323">
        <f t="shared" si="1253"/>
        <v>0.17473365900000001</v>
      </c>
      <c r="FZ796" s="323">
        <f t="shared" si="1253"/>
        <v>0.174869108</v>
      </c>
      <c r="GA796" s="323">
        <f t="shared" si="1253"/>
        <v>0.168777448</v>
      </c>
      <c r="GB796" s="323">
        <f t="shared" si="1253"/>
        <v>0.18668902400000001</v>
      </c>
      <c r="GC796" s="323">
        <f t="shared" si="1253"/>
        <v>0.19409479399999999</v>
      </c>
      <c r="GD796" s="323">
        <f t="shared" si="1253"/>
        <v>0.17683579099999999</v>
      </c>
      <c r="GE796" s="323">
        <f t="shared" si="1253"/>
        <v>0.19785641300000001</v>
      </c>
      <c r="GF796" s="323">
        <f t="shared" si="1253"/>
        <v>0.20060424399999999</v>
      </c>
      <c r="GG796" s="323">
        <f t="shared" si="1253"/>
        <v>0.227485671</v>
      </c>
      <c r="GH796" s="323">
        <f t="shared" si="1253"/>
        <v>0.28658639400000002</v>
      </c>
      <c r="GI796" s="323">
        <f t="shared" si="1253"/>
        <v>0.239341902</v>
      </c>
      <c r="GJ796" s="323">
        <f t="shared" si="1253"/>
        <v>0.28002997600000001</v>
      </c>
      <c r="GK796" s="323">
        <f t="shared" si="1253"/>
        <v>0.271350231</v>
      </c>
      <c r="GL796" s="323">
        <f t="shared" si="1253"/>
        <v>0.236687542</v>
      </c>
      <c r="GM796" s="323">
        <f t="shared" si="1253"/>
        <v>0.25746289900000002</v>
      </c>
      <c r="GN796" s="323">
        <f t="shared" si="1253"/>
        <v>0.27490142899999997</v>
      </c>
      <c r="GO796" s="323">
        <f t="shared" si="1253"/>
        <v>0.25368069700000001</v>
      </c>
      <c r="GP796" s="323">
        <f t="shared" si="1253"/>
        <v>0.23767899100000001</v>
      </c>
      <c r="GQ796" s="323">
        <f t="shared" si="1253"/>
        <v>0.26934907299999999</v>
      </c>
      <c r="GR796" s="323">
        <f t="shared" si="1253"/>
        <v>0.181288001</v>
      </c>
      <c r="GS796" s="323">
        <f t="shared" si="1253"/>
        <v>0.292236985</v>
      </c>
      <c r="GT796" s="323">
        <f t="shared" si="1253"/>
        <v>0.284246844</v>
      </c>
      <c r="GU796" s="323">
        <f t="shared" si="1253"/>
        <v>0.26954578499999998</v>
      </c>
      <c r="GV796" s="323">
        <f t="shared" si="1253"/>
        <v>0.27515811400000001</v>
      </c>
      <c r="GW796" s="323">
        <f t="shared" si="1253"/>
        <v>0.273028508</v>
      </c>
      <c r="GX796" s="323">
        <f t="shared" si="1253"/>
        <v>0.281283269</v>
      </c>
      <c r="GY796" s="323">
        <f t="shared" si="1253"/>
        <v>0.28033565500000002</v>
      </c>
      <c r="GZ796" s="323">
        <f t="shared" si="1253"/>
        <v>0.313937097</v>
      </c>
      <c r="HA796" s="323">
        <f t="shared" si="1253"/>
        <v>0.32739517299999998</v>
      </c>
      <c r="HB796" s="323">
        <f t="shared" si="1253"/>
        <v>0.273230957</v>
      </c>
      <c r="HC796" s="323">
        <f t="shared" si="1253"/>
        <v>0.31121012799999997</v>
      </c>
      <c r="HD796" s="323">
        <f t="shared" si="1253"/>
        <v>0.34604845400000001</v>
      </c>
      <c r="HE796" s="323">
        <f t="shared" si="1253"/>
        <v>0.34641095999999999</v>
      </c>
      <c r="HF796" s="323">
        <f t="shared" si="1253"/>
        <v>0.39034159400000001</v>
      </c>
      <c r="HG796" s="323">
        <f t="shared" si="1253"/>
        <v>0.35167994200000002</v>
      </c>
      <c r="HH796" s="323">
        <f t="shared" si="1253"/>
        <v>0.37136045600000001</v>
      </c>
      <c r="HI796" s="323">
        <f t="shared" si="1253"/>
        <v>0.34176325600000002</v>
      </c>
      <c r="HJ796" s="323">
        <f t="shared" si="1253"/>
        <v>0.33996253399999998</v>
      </c>
      <c r="HK796" s="323">
        <f t="shared" si="1253"/>
        <v>0.32839048399999998</v>
      </c>
      <c r="HL796" s="323">
        <f t="shared" si="1253"/>
        <v>0.354267265</v>
      </c>
      <c r="HM796" s="323">
        <f t="shared" si="1253"/>
        <v>0.333138343</v>
      </c>
      <c r="HN796" s="323">
        <f t="shared" si="1253"/>
        <v>0.42217533499999998</v>
      </c>
      <c r="HO796" s="323">
        <f t="shared" si="1253"/>
        <v>0.34271981800000001</v>
      </c>
      <c r="HP796" s="323">
        <f t="shared" si="1253"/>
        <v>0.32193376499999998</v>
      </c>
      <c r="HQ796" s="323">
        <f t="shared" si="1253"/>
        <v>0.360564249</v>
      </c>
      <c r="HR796" s="323">
        <f t="shared" si="1253"/>
        <v>0.42768734800000002</v>
      </c>
      <c r="HS796" s="323">
        <f t="shared" ref="HS796:HX796" si="1254">HS394</f>
        <v>0.33597627000000002</v>
      </c>
      <c r="HT796" s="323">
        <f t="shared" si="1254"/>
        <v>0.36545416600000002</v>
      </c>
      <c r="HU796" s="323">
        <f t="shared" si="1254"/>
        <v>0.34723169300000001</v>
      </c>
      <c r="HV796" s="323">
        <f t="shared" si="1254"/>
        <v>0.43619804000000001</v>
      </c>
      <c r="HW796" s="323">
        <f t="shared" si="1254"/>
        <v>0.35899488699999998</v>
      </c>
      <c r="HX796" s="323">
        <f t="shared" si="1254"/>
        <v>0.44006886504000003</v>
      </c>
      <c r="HY796" s="323"/>
      <c r="HZ796" s="326"/>
      <c r="IA796" s="1416" t="s">
        <v>3072</v>
      </c>
      <c r="IB796" s="284"/>
      <c r="ID796" s="323"/>
      <c r="IG796" s="323"/>
      <c r="IH796" s="284"/>
      <c r="IJ796" s="323"/>
      <c r="IK796" s="327"/>
      <c r="IM796" s="323"/>
      <c r="IP796" s="323"/>
      <c r="IQ796" s="327"/>
      <c r="IR796" s="327"/>
      <c r="IS796" s="323"/>
      <c r="IT796" s="327"/>
      <c r="IU796" s="327"/>
      <c r="IV796" s="323"/>
      <c r="IW796" s="327">
        <f t="shared" ref="IW796:IW813" si="1255">SUM(FK796:FP796)</f>
        <v>0</v>
      </c>
      <c r="IX796" s="327">
        <f t="shared" si="1246"/>
        <v>0</v>
      </c>
      <c r="IY796" s="323">
        <f>IW796+IX796</f>
        <v>0</v>
      </c>
      <c r="IZ796" s="327">
        <f t="shared" si="1247"/>
        <v>1.0271256700000002</v>
      </c>
      <c r="JA796" s="327">
        <f t="shared" si="1248"/>
        <v>1.2834633069999999</v>
      </c>
      <c r="JB796" s="323">
        <f t="shared" si="887"/>
        <v>2.3105889770000001</v>
      </c>
      <c r="JC796" s="327">
        <f t="shared" si="1249"/>
        <v>1.5597739790000003</v>
      </c>
      <c r="JD796" s="327">
        <f t="shared" si="1250"/>
        <v>1.5184805909999999</v>
      </c>
      <c r="JE796" s="323">
        <f t="shared" si="888"/>
        <v>3.0782545700000004</v>
      </c>
      <c r="JF796" s="327">
        <f t="shared" ref="JF796:JF812" si="1256">SUM(GU796:GZ796)</f>
        <v>1.693288428</v>
      </c>
      <c r="JG796" s="327">
        <f t="shared" si="918"/>
        <v>1.9946372659999998</v>
      </c>
      <c r="JH796" s="323">
        <f t="shared" si="889"/>
        <v>3.6879256939999996</v>
      </c>
      <c r="JI796" s="327">
        <f t="shared" si="909"/>
        <v>2.0874239370000001</v>
      </c>
      <c r="JJ796" s="327">
        <f t="shared" si="910"/>
        <v>2.208218858</v>
      </c>
      <c r="JK796" s="323">
        <f t="shared" si="890"/>
        <v>4.295642795</v>
      </c>
      <c r="JL796" s="327">
        <f t="shared" si="891"/>
        <v>2.2839239210400004</v>
      </c>
      <c r="JM796" s="279">
        <f t="shared" si="892"/>
        <v>2.4768531553759257</v>
      </c>
      <c r="JN796" s="323">
        <f>FISC!AK1102</f>
        <v>4.7607770764159261</v>
      </c>
      <c r="JO796" s="327">
        <f>JQ796*0.52</f>
        <v>2.5217477344743235</v>
      </c>
      <c r="JP796" s="279">
        <f t="shared" si="893"/>
        <v>2.3277671395147603</v>
      </c>
      <c r="JQ796" s="323">
        <f>FISC!AL1102</f>
        <v>4.8495148739890839</v>
      </c>
      <c r="JR796" s="327">
        <f>JT796*0.52</f>
        <v>2.9560407229786709</v>
      </c>
      <c r="JS796" s="279">
        <f t="shared" si="894"/>
        <v>2.7286529750572348</v>
      </c>
      <c r="JT796" s="323">
        <f>FISC!AM1102</f>
        <v>5.6846936980359057</v>
      </c>
      <c r="JU796" s="327">
        <f>JW796*0.52</f>
        <v>3.1719999999999997</v>
      </c>
      <c r="JV796" s="279">
        <f t="shared" si="911"/>
        <v>2.9279999999999999</v>
      </c>
      <c r="JW796" s="323">
        <f>FISC!AN1102</f>
        <v>6.1</v>
      </c>
      <c r="JX796" s="327">
        <f>JZ796*0.52</f>
        <v>3.1719999999999997</v>
      </c>
      <c r="JY796" s="279">
        <f t="shared" si="895"/>
        <v>2.9279999999999999</v>
      </c>
      <c r="JZ796" s="323">
        <f>FISC!AO1102</f>
        <v>6.1</v>
      </c>
      <c r="KA796" s="327">
        <f>KC796*0.52</f>
        <v>3.1719999999999997</v>
      </c>
      <c r="KB796" s="279">
        <f t="shared" si="1194"/>
        <v>2.9279999999999999</v>
      </c>
      <c r="KC796" s="323">
        <f>FISC!AP1102</f>
        <v>6.1</v>
      </c>
      <c r="KD796" s="327">
        <f>KF796*0.52</f>
        <v>3.1719999999999997</v>
      </c>
      <c r="KE796" s="279">
        <f t="shared" si="1196"/>
        <v>2.9279999999999999</v>
      </c>
      <c r="KF796" s="323">
        <f>FISC!AQ1102</f>
        <v>6.1</v>
      </c>
      <c r="KG796" s="327">
        <f>KI796*0.52</f>
        <v>3.1719999999999997</v>
      </c>
      <c r="KH796" s="279">
        <f t="shared" si="1198"/>
        <v>2.9279999999999999</v>
      </c>
      <c r="KI796" s="323">
        <f>FISC!AR1102</f>
        <v>6.1</v>
      </c>
      <c r="KJ796" s="327">
        <f>KL796*0.52</f>
        <v>3.1719999999999997</v>
      </c>
      <c r="KK796" s="279">
        <f t="shared" si="1200"/>
        <v>2.9279999999999999</v>
      </c>
      <c r="KL796" s="323">
        <f>FISC!AS1102</f>
        <v>6.1</v>
      </c>
      <c r="KM796" s="327">
        <f>KO796*0.52</f>
        <v>3.1719999999999997</v>
      </c>
      <c r="KN796" s="279">
        <f t="shared" si="1202"/>
        <v>2.9279999999999999</v>
      </c>
      <c r="KO796" s="323">
        <f>FISC!AT1102</f>
        <v>6.1</v>
      </c>
      <c r="KU796" s="326"/>
      <c r="KV796" s="327"/>
    </row>
    <row r="797" spans="1:308">
      <c r="A797" s="279"/>
      <c r="D797" s="1232" t="s">
        <v>489</v>
      </c>
      <c r="E797" s="323"/>
      <c r="F797" s="323"/>
      <c r="G797" s="323"/>
      <c r="H797" s="323"/>
      <c r="I797" s="323"/>
      <c r="J797" s="323"/>
      <c r="K797" s="323"/>
      <c r="L797" s="323"/>
      <c r="M797" s="323"/>
      <c r="N797" s="323"/>
      <c r="O797" s="323"/>
      <c r="P797" s="323"/>
      <c r="Q797" s="323"/>
      <c r="R797" s="323"/>
      <c r="S797" s="323"/>
      <c r="T797" s="323"/>
      <c r="U797" s="323"/>
      <c r="V797" s="323"/>
      <c r="W797" s="323"/>
      <c r="X797" s="323"/>
      <c r="Y797" s="323"/>
      <c r="Z797" s="323"/>
      <c r="AA797" s="323"/>
      <c r="AB797" s="323"/>
      <c r="AC797" s="323"/>
      <c r="AD797" s="323"/>
      <c r="AE797" s="323"/>
      <c r="AF797" s="323"/>
      <c r="AG797" s="323"/>
      <c r="AH797" s="323"/>
      <c r="AI797" s="323"/>
      <c r="AJ797" s="323"/>
      <c r="AK797" s="323"/>
      <c r="AL797" s="323"/>
      <c r="AM797" s="323"/>
      <c r="AN797" s="323"/>
      <c r="AO797" s="323"/>
      <c r="AP797" s="323"/>
      <c r="AQ797" s="323"/>
      <c r="AR797" s="323"/>
      <c r="AS797" s="323"/>
      <c r="AT797" s="323"/>
      <c r="AU797" s="323"/>
      <c r="AV797" s="323"/>
      <c r="AW797" s="323"/>
      <c r="AX797" s="323"/>
      <c r="AY797" s="323"/>
      <c r="AZ797" s="323"/>
      <c r="BA797" s="323"/>
      <c r="BB797" s="323"/>
      <c r="BC797" s="323"/>
      <c r="BD797" s="323"/>
      <c r="BE797" s="323"/>
      <c r="BF797" s="323"/>
      <c r="BG797" s="323"/>
      <c r="BH797" s="323"/>
      <c r="BI797" s="323"/>
      <c r="BJ797" s="323"/>
      <c r="BK797" s="323"/>
      <c r="BL797" s="323"/>
      <c r="BM797" s="323"/>
      <c r="BN797" s="323"/>
      <c r="BO797" s="323"/>
      <c r="BP797" s="323"/>
      <c r="BQ797" s="323"/>
      <c r="BR797" s="323"/>
      <c r="BS797" s="323"/>
      <c r="BT797" s="323"/>
      <c r="BU797" s="323"/>
      <c r="BV797" s="323"/>
      <c r="BW797" s="323"/>
      <c r="BX797" s="323"/>
      <c r="BY797" s="323"/>
      <c r="BZ797" s="323"/>
      <c r="CA797" s="323"/>
      <c r="CB797" s="323"/>
      <c r="CC797" s="323"/>
      <c r="CD797" s="329"/>
      <c r="CE797" s="323">
        <f t="shared" ref="CE797:DJ797" si="1257">CE395</f>
        <v>0</v>
      </c>
      <c r="CF797" s="323">
        <f t="shared" si="1257"/>
        <v>0</v>
      </c>
      <c r="CG797" s="323">
        <f t="shared" si="1257"/>
        <v>0</v>
      </c>
      <c r="CH797" s="323">
        <f t="shared" si="1257"/>
        <v>0</v>
      </c>
      <c r="CI797" s="323">
        <f t="shared" si="1257"/>
        <v>0</v>
      </c>
      <c r="CJ797" s="323">
        <f t="shared" si="1257"/>
        <v>0</v>
      </c>
      <c r="CK797" s="323">
        <f t="shared" si="1257"/>
        <v>0</v>
      </c>
      <c r="CL797" s="323">
        <f t="shared" si="1257"/>
        <v>0</v>
      </c>
      <c r="CM797" s="323">
        <f t="shared" si="1257"/>
        <v>0</v>
      </c>
      <c r="CN797" s="323">
        <f t="shared" si="1257"/>
        <v>0</v>
      </c>
      <c r="CO797" s="323">
        <f t="shared" si="1257"/>
        <v>0</v>
      </c>
      <c r="CP797" s="325">
        <f t="shared" si="1257"/>
        <v>0</v>
      </c>
      <c r="CQ797" s="323">
        <f t="shared" si="1257"/>
        <v>0</v>
      </c>
      <c r="CR797" s="323">
        <f t="shared" si="1257"/>
        <v>0</v>
      </c>
      <c r="CS797" s="323">
        <f t="shared" si="1257"/>
        <v>0</v>
      </c>
      <c r="CT797" s="323">
        <f t="shared" si="1257"/>
        <v>0</v>
      </c>
      <c r="CU797" s="323">
        <f t="shared" si="1257"/>
        <v>0</v>
      </c>
      <c r="CV797" s="323">
        <f t="shared" si="1257"/>
        <v>0</v>
      </c>
      <c r="CW797" s="323">
        <f t="shared" si="1257"/>
        <v>0</v>
      </c>
      <c r="CX797" s="323">
        <f t="shared" si="1257"/>
        <v>0</v>
      </c>
      <c r="CY797" s="323">
        <f t="shared" si="1257"/>
        <v>0</v>
      </c>
      <c r="CZ797" s="323">
        <f t="shared" si="1257"/>
        <v>0</v>
      </c>
      <c r="DA797" s="323">
        <f t="shared" si="1257"/>
        <v>0</v>
      </c>
      <c r="DB797" s="1269">
        <f t="shared" si="1257"/>
        <v>0</v>
      </c>
      <c r="DC797" s="323">
        <f t="shared" si="1257"/>
        <v>0</v>
      </c>
      <c r="DD797" s="323">
        <f t="shared" si="1257"/>
        <v>0</v>
      </c>
      <c r="DE797" s="323">
        <f t="shared" si="1257"/>
        <v>0</v>
      </c>
      <c r="DF797" s="323">
        <f t="shared" si="1257"/>
        <v>0</v>
      </c>
      <c r="DG797" s="323">
        <f t="shared" si="1257"/>
        <v>0</v>
      </c>
      <c r="DH797" s="323">
        <f t="shared" si="1257"/>
        <v>0</v>
      </c>
      <c r="DI797" s="323">
        <f t="shared" si="1257"/>
        <v>0</v>
      </c>
      <c r="DJ797" s="323">
        <f t="shared" si="1257"/>
        <v>0</v>
      </c>
      <c r="DK797" s="323">
        <f t="shared" ref="DK797:EP797" si="1258">DK395</f>
        <v>0</v>
      </c>
      <c r="DL797" s="323">
        <f t="shared" si="1258"/>
        <v>0</v>
      </c>
      <c r="DM797" s="323">
        <f t="shared" si="1258"/>
        <v>0</v>
      </c>
      <c r="DN797" s="325">
        <f t="shared" si="1258"/>
        <v>0</v>
      </c>
      <c r="DO797" s="323">
        <f t="shared" si="1258"/>
        <v>0</v>
      </c>
      <c r="DP797" s="323">
        <f t="shared" si="1258"/>
        <v>0</v>
      </c>
      <c r="DQ797" s="323">
        <f t="shared" si="1258"/>
        <v>0</v>
      </c>
      <c r="DR797" s="323">
        <f t="shared" si="1258"/>
        <v>0</v>
      </c>
      <c r="DS797" s="323">
        <f t="shared" si="1258"/>
        <v>0</v>
      </c>
      <c r="DT797" s="323">
        <f t="shared" si="1258"/>
        <v>0</v>
      </c>
      <c r="DU797" s="323">
        <f t="shared" si="1258"/>
        <v>0</v>
      </c>
      <c r="DV797" s="323">
        <f t="shared" si="1258"/>
        <v>0</v>
      </c>
      <c r="DW797" s="323">
        <f t="shared" si="1258"/>
        <v>0</v>
      </c>
      <c r="DX797" s="323">
        <f t="shared" si="1258"/>
        <v>0</v>
      </c>
      <c r="DY797" s="323">
        <f t="shared" si="1258"/>
        <v>0</v>
      </c>
      <c r="DZ797" s="325">
        <f t="shared" si="1258"/>
        <v>0</v>
      </c>
      <c r="EA797" s="323">
        <f t="shared" si="1258"/>
        <v>0</v>
      </c>
      <c r="EB797" s="323">
        <f t="shared" si="1258"/>
        <v>0</v>
      </c>
      <c r="EC797" s="323">
        <f t="shared" si="1258"/>
        <v>0</v>
      </c>
      <c r="ED797" s="323">
        <f t="shared" si="1258"/>
        <v>0</v>
      </c>
      <c r="EE797" s="323">
        <f t="shared" si="1258"/>
        <v>0</v>
      </c>
      <c r="EF797" s="323">
        <f t="shared" si="1258"/>
        <v>0</v>
      </c>
      <c r="EG797" s="323">
        <f t="shared" si="1258"/>
        <v>0</v>
      </c>
      <c r="EH797" s="323">
        <f t="shared" si="1258"/>
        <v>0</v>
      </c>
      <c r="EI797" s="323">
        <f t="shared" si="1258"/>
        <v>0</v>
      </c>
      <c r="EJ797" s="323">
        <f t="shared" si="1258"/>
        <v>0</v>
      </c>
      <c r="EK797" s="323">
        <f t="shared" si="1258"/>
        <v>0</v>
      </c>
      <c r="EL797" s="325">
        <f t="shared" si="1258"/>
        <v>0</v>
      </c>
      <c r="EM797" s="323">
        <f t="shared" si="1258"/>
        <v>0</v>
      </c>
      <c r="EN797" s="323">
        <f t="shared" si="1258"/>
        <v>0</v>
      </c>
      <c r="EO797" s="323">
        <f t="shared" si="1258"/>
        <v>0</v>
      </c>
      <c r="EP797" s="323">
        <f t="shared" si="1258"/>
        <v>0</v>
      </c>
      <c r="EQ797" s="323">
        <f t="shared" ref="EQ797:FV797" si="1259">EQ395</f>
        <v>0</v>
      </c>
      <c r="ER797" s="323">
        <f t="shared" si="1259"/>
        <v>0</v>
      </c>
      <c r="ES797" s="323">
        <f t="shared" si="1259"/>
        <v>0</v>
      </c>
      <c r="ET797" s="323">
        <f t="shared" si="1259"/>
        <v>0</v>
      </c>
      <c r="EU797" s="323">
        <f t="shared" si="1259"/>
        <v>0</v>
      </c>
      <c r="EV797" s="323">
        <f t="shared" si="1259"/>
        <v>0</v>
      </c>
      <c r="EW797" s="323">
        <f t="shared" si="1259"/>
        <v>0</v>
      </c>
      <c r="EX797" s="325">
        <f t="shared" si="1259"/>
        <v>0</v>
      </c>
      <c r="EY797" s="323">
        <f t="shared" si="1259"/>
        <v>7.8897099999999994E-3</v>
      </c>
      <c r="EZ797" s="323">
        <f t="shared" si="1259"/>
        <v>9.0195910000000004E-3</v>
      </c>
      <c r="FA797" s="323">
        <f t="shared" si="1259"/>
        <v>7.2645829999999998E-3</v>
      </c>
      <c r="FB797" s="323">
        <f t="shared" si="1259"/>
        <v>7.3170809999999996E-3</v>
      </c>
      <c r="FC797" s="323">
        <f t="shared" si="1259"/>
        <v>7.4973629999999999E-3</v>
      </c>
      <c r="FD797" s="323">
        <f t="shared" si="1259"/>
        <v>9.0986139999999997E-3</v>
      </c>
      <c r="FE797" s="323">
        <f t="shared" si="1259"/>
        <v>1.0626261E-2</v>
      </c>
      <c r="FF797" s="323">
        <f t="shared" si="1259"/>
        <v>9.0073110000000005E-3</v>
      </c>
      <c r="FG797" s="323">
        <f t="shared" si="1259"/>
        <v>1.0519066000000001E-2</v>
      </c>
      <c r="FH797" s="323">
        <f t="shared" si="1259"/>
        <v>7.3130920000000002E-3</v>
      </c>
      <c r="FI797" s="323">
        <f t="shared" si="1259"/>
        <v>6.6362130000000002E-3</v>
      </c>
      <c r="FJ797" s="325">
        <f t="shared" si="1259"/>
        <v>1.3268939E-2</v>
      </c>
      <c r="FK797" s="323">
        <f t="shared" si="1259"/>
        <v>1.2672790202706292E-2</v>
      </c>
      <c r="FL797" s="323">
        <f t="shared" si="1259"/>
        <v>5.2266564490041443E-3</v>
      </c>
      <c r="FM797" s="323">
        <f t="shared" si="1259"/>
        <v>2.130802019112327E-3</v>
      </c>
      <c r="FN797" s="323">
        <f t="shared" si="1259"/>
        <v>2.8356193728027528E-3</v>
      </c>
      <c r="FO797" s="323">
        <f t="shared" si="1259"/>
        <v>1.7515441744158345E-3</v>
      </c>
      <c r="FP797" s="323">
        <f t="shared" si="1259"/>
        <v>1.2515329185041437E-3</v>
      </c>
      <c r="FQ797" s="323">
        <f t="shared" si="1259"/>
        <v>1.2031867215080677E-3</v>
      </c>
      <c r="FR797" s="323">
        <f t="shared" si="1259"/>
        <v>1.3010019018243793E-3</v>
      </c>
      <c r="FS797" s="323">
        <f t="shared" si="1259"/>
        <v>1.6369014297009372E-3</v>
      </c>
      <c r="FT797" s="323">
        <f t="shared" si="1259"/>
        <v>2.2096627157388712E-3</v>
      </c>
      <c r="FU797" s="323">
        <f t="shared" si="1259"/>
        <v>3.1105906443623559E-3</v>
      </c>
      <c r="FV797" s="323">
        <f t="shared" si="1259"/>
        <v>2.8782871932655487E-3</v>
      </c>
      <c r="FW797" s="323">
        <v>1.1996611506319809E-3</v>
      </c>
      <c r="FX797" s="323">
        <v>1.0632182625275946E-3</v>
      </c>
      <c r="FY797" s="323">
        <v>7.8062716893183607E-4</v>
      </c>
      <c r="FZ797" s="323">
        <v>1.2138180044963423E-3</v>
      </c>
      <c r="GA797" s="323">
        <v>1.1591991791016049E-3</v>
      </c>
      <c r="GB797" s="323">
        <v>1.1155727604234284E-3</v>
      </c>
      <c r="GC797" s="323">
        <v>1.1155727604234284E-3</v>
      </c>
      <c r="GD797" s="323">
        <v>1.1155727604234284E-3</v>
      </c>
      <c r="GE797" s="323">
        <v>1.1155727604234284E-3</v>
      </c>
      <c r="GF797" s="323">
        <v>1.1155727604234284E-3</v>
      </c>
      <c r="GG797" s="323">
        <v>1.1155727604234284E-3</v>
      </c>
      <c r="GH797" s="323">
        <v>1.1155727604234284E-3</v>
      </c>
      <c r="GI797" s="323">
        <f t="shared" ref="GI797:HR797" si="1260">GI395</f>
        <v>0</v>
      </c>
      <c r="GJ797" s="323">
        <f t="shared" si="1260"/>
        <v>0</v>
      </c>
      <c r="GK797" s="323">
        <f t="shared" si="1260"/>
        <v>0</v>
      </c>
      <c r="GL797" s="323">
        <f t="shared" si="1260"/>
        <v>0</v>
      </c>
      <c r="GM797" s="323">
        <f t="shared" si="1260"/>
        <v>0</v>
      </c>
      <c r="GN797" s="323">
        <f t="shared" si="1260"/>
        <v>0</v>
      </c>
      <c r="GO797" s="323">
        <f t="shared" si="1260"/>
        <v>0</v>
      </c>
      <c r="GP797" s="323">
        <f t="shared" si="1260"/>
        <v>0</v>
      </c>
      <c r="GQ797" s="323">
        <f t="shared" si="1260"/>
        <v>0</v>
      </c>
      <c r="GR797" s="323">
        <f t="shared" si="1260"/>
        <v>0</v>
      </c>
      <c r="GS797" s="323">
        <f t="shared" si="1260"/>
        <v>0</v>
      </c>
      <c r="GT797" s="323">
        <f t="shared" si="1260"/>
        <v>0</v>
      </c>
      <c r="GU797" s="323">
        <f t="shared" si="1260"/>
        <v>1.1019964E-2</v>
      </c>
      <c r="GV797" s="323">
        <f t="shared" si="1260"/>
        <v>0</v>
      </c>
      <c r="GW797" s="323">
        <f t="shared" si="1260"/>
        <v>0</v>
      </c>
      <c r="GX797" s="323">
        <f t="shared" si="1260"/>
        <v>5.5689999999999997E-5</v>
      </c>
      <c r="GY797" s="323">
        <f t="shared" si="1260"/>
        <v>1.8692999999999999E-5</v>
      </c>
      <c r="GZ797" s="323">
        <f t="shared" si="1260"/>
        <v>1.2644E-5</v>
      </c>
      <c r="HA797" s="323">
        <f t="shared" si="1260"/>
        <v>0</v>
      </c>
      <c r="HB797" s="323">
        <f t="shared" si="1260"/>
        <v>3.2119999999999997E-5</v>
      </c>
      <c r="HC797" s="323">
        <f t="shared" si="1260"/>
        <v>3.7080892141609686E-6</v>
      </c>
      <c r="HD797" s="323">
        <f t="shared" si="1260"/>
        <v>2.6120000000000001E-5</v>
      </c>
      <c r="HE797" s="323">
        <f t="shared" si="1260"/>
        <v>0</v>
      </c>
      <c r="HF797" s="323">
        <f t="shared" si="1260"/>
        <v>0</v>
      </c>
      <c r="HG797" s="323">
        <f t="shared" si="1260"/>
        <v>0.18226363400000001</v>
      </c>
      <c r="HH797" s="323">
        <f t="shared" si="1260"/>
        <v>0.42392594900000002</v>
      </c>
      <c r="HI797" s="323">
        <f t="shared" si="1260"/>
        <v>0.62166704399999995</v>
      </c>
      <c r="HJ797" s="323">
        <f t="shared" si="1260"/>
        <v>0.41041598099999999</v>
      </c>
      <c r="HK797" s="323">
        <f t="shared" si="1260"/>
        <v>2.2104404980000001</v>
      </c>
      <c r="HL797" s="323">
        <f t="shared" si="1260"/>
        <v>4.4838081059999997</v>
      </c>
      <c r="HM797" s="323">
        <f t="shared" si="1260"/>
        <v>0.45385356199999999</v>
      </c>
      <c r="HN797" s="323">
        <f t="shared" si="1260"/>
        <v>0.56033683300000003</v>
      </c>
      <c r="HO797" s="323">
        <f t="shared" si="1260"/>
        <v>2.3769332990000001</v>
      </c>
      <c r="HP797" s="323">
        <f t="shared" si="1260"/>
        <v>0.74264718500000004</v>
      </c>
      <c r="HQ797" s="323">
        <f t="shared" si="1260"/>
        <v>1.042245665</v>
      </c>
      <c r="HR797" s="323">
        <f t="shared" si="1260"/>
        <v>0.95656084200000002</v>
      </c>
      <c r="HS797" s="323">
        <f t="shared" ref="HS797:HX797" si="1261">HS395</f>
        <v>0</v>
      </c>
      <c r="HT797" s="323">
        <f t="shared" si="1261"/>
        <v>7.2429999999999999E-6</v>
      </c>
      <c r="HU797" s="323">
        <f t="shared" si="1261"/>
        <v>0</v>
      </c>
      <c r="HV797" s="323">
        <f t="shared" si="1261"/>
        <v>0</v>
      </c>
      <c r="HW797" s="323">
        <f t="shared" si="1261"/>
        <v>4.3649000000000002E-5</v>
      </c>
      <c r="HX797" s="323">
        <f t="shared" si="1261"/>
        <v>3.6346000000000001E-5</v>
      </c>
      <c r="HY797" s="323"/>
      <c r="HZ797" s="326"/>
      <c r="IA797" s="1232" t="s">
        <v>489</v>
      </c>
      <c r="IB797" s="284">
        <f t="shared" ref="IB797:IB815" si="1262">SUM(CE797:CJ797)</f>
        <v>0</v>
      </c>
      <c r="IC797" s="279">
        <f t="shared" ref="IC797:IC815" si="1263">SUM(CK797:CP797)</f>
        <v>0</v>
      </c>
      <c r="ID797" s="323">
        <f t="shared" si="907"/>
        <v>0</v>
      </c>
      <c r="IE797" s="279">
        <f t="shared" ref="IE797:IE815" si="1264">SUM(CQ797:CV797)</f>
        <v>0</v>
      </c>
      <c r="IF797" s="279">
        <f t="shared" ref="IF797:IF815" si="1265">SUM(CW797:DB797)</f>
        <v>0</v>
      </c>
      <c r="IG797" s="323">
        <f t="shared" si="880"/>
        <v>0</v>
      </c>
      <c r="IH797" s="284">
        <f t="shared" ref="IH797:IH815" si="1266">SUM(DC797:DH797)</f>
        <v>0</v>
      </c>
      <c r="II797" s="279">
        <f t="shared" ref="II797:II815" si="1267">SUM(DI797:DN797)</f>
        <v>0</v>
      </c>
      <c r="IJ797" s="323">
        <f t="shared" si="881"/>
        <v>0</v>
      </c>
      <c r="IK797" s="327">
        <f t="shared" ref="IK797:IK815" si="1268">SUM(DO797:DT797)</f>
        <v>0</v>
      </c>
      <c r="IL797" s="279">
        <f t="shared" ref="IL797:IL815" si="1269">SUM(DU797:DZ797)</f>
        <v>0</v>
      </c>
      <c r="IM797" s="323">
        <f t="shared" si="882"/>
        <v>0</v>
      </c>
      <c r="IN797" s="279">
        <f t="shared" ref="IN797:IN815" si="1270">SUM(EA797:EF797)</f>
        <v>0</v>
      </c>
      <c r="IO797" s="279">
        <f t="shared" ref="IO797:IO815" si="1271">SUM(EG797:EL797)</f>
        <v>0</v>
      </c>
      <c r="IP797" s="323">
        <f t="shared" si="883"/>
        <v>0</v>
      </c>
      <c r="IQ797" s="327">
        <f t="shared" ref="IQ797:IQ815" si="1272">SUM(EM797:ER797)</f>
        <v>0</v>
      </c>
      <c r="IR797" s="327">
        <f t="shared" ref="IR797:IR815" si="1273">SUM(ES797:EX797)</f>
        <v>0</v>
      </c>
      <c r="IS797" s="323">
        <f t="shared" si="884"/>
        <v>0</v>
      </c>
      <c r="IT797" s="327">
        <f t="shared" ref="IT797:IT815" si="1274">SUM(EY797:FD797)</f>
        <v>4.8086941999999994E-2</v>
      </c>
      <c r="IU797" s="327">
        <f t="shared" ref="IU797:IU815" si="1275">SUM(FE797:FJ797)</f>
        <v>5.7370882000000005E-2</v>
      </c>
      <c r="IV797" s="323">
        <f t="shared" si="885"/>
        <v>0.10545782400000001</v>
      </c>
      <c r="IW797" s="327">
        <f t="shared" si="1255"/>
        <v>2.5868945136545491E-2</v>
      </c>
      <c r="IX797" s="327">
        <f t="shared" si="1246"/>
        <v>1.233963060640016E-2</v>
      </c>
      <c r="IY797" s="323">
        <f t="shared" si="886"/>
        <v>3.8208575742945651E-2</v>
      </c>
      <c r="IZ797" s="327">
        <f t="shared" si="1247"/>
        <v>6.5320965261127873E-3</v>
      </c>
      <c r="JA797" s="327">
        <f t="shared" si="1248"/>
        <v>6.6934365625405711E-3</v>
      </c>
      <c r="JB797" s="323">
        <f t="shared" si="887"/>
        <v>1.3225533088653358E-2</v>
      </c>
      <c r="JC797" s="327">
        <f t="shared" si="1249"/>
        <v>0</v>
      </c>
      <c r="JD797" s="327">
        <f t="shared" si="1250"/>
        <v>0</v>
      </c>
      <c r="JE797" s="323">
        <f t="shared" si="888"/>
        <v>0</v>
      </c>
      <c r="JF797" s="327">
        <f t="shared" si="1256"/>
        <v>1.1106991E-2</v>
      </c>
      <c r="JG797" s="327">
        <f t="shared" si="918"/>
        <v>6.1948089214160972E-5</v>
      </c>
      <c r="JH797" s="323">
        <f t="shared" si="889"/>
        <v>1.1168939089214161E-2</v>
      </c>
      <c r="JI797" s="327">
        <f t="shared" si="909"/>
        <v>8.3325212119999996</v>
      </c>
      <c r="JJ797" s="327">
        <f t="shared" si="910"/>
        <v>6.1325773860000004</v>
      </c>
      <c r="JK797" s="323">
        <f t="shared" si="890"/>
        <v>14.465098598000001</v>
      </c>
      <c r="JL797" s="327">
        <f t="shared" si="891"/>
        <v>8.7238000000000007E-5</v>
      </c>
      <c r="JM797" s="279">
        <f t="shared" si="892"/>
        <v>-8.7238000000000007E-5</v>
      </c>
      <c r="JN797" s="323">
        <f>FISC!AK1103</f>
        <v>0</v>
      </c>
      <c r="JO797" s="327">
        <f t="shared" ref="JO797:JO802" si="1276">JQ797*0.52</f>
        <v>0</v>
      </c>
      <c r="JP797" s="279">
        <f t="shared" si="893"/>
        <v>0</v>
      </c>
      <c r="JQ797" s="323">
        <f>FISC!AL1103</f>
        <v>0</v>
      </c>
      <c r="JR797" s="327">
        <f t="shared" ref="JR797:JR802" si="1277">JT797*0.52</f>
        <v>0</v>
      </c>
      <c r="JS797" s="279">
        <f t="shared" si="894"/>
        <v>0</v>
      </c>
      <c r="JT797" s="323">
        <f>FISC!AM1103</f>
        <v>0</v>
      </c>
      <c r="JU797" s="327">
        <f t="shared" ref="JU797:JU802" si="1278">JW797*0.52</f>
        <v>0</v>
      </c>
      <c r="JV797" s="279">
        <f t="shared" si="911"/>
        <v>0</v>
      </c>
      <c r="JW797" s="323">
        <f>FISC!AN1103</f>
        <v>0</v>
      </c>
      <c r="JX797" s="327">
        <f t="shared" ref="JX797:JX802" si="1279">JZ797*0.52</f>
        <v>0</v>
      </c>
      <c r="JY797" s="279">
        <f t="shared" si="895"/>
        <v>0</v>
      </c>
      <c r="JZ797" s="323">
        <f>FISC!AO1103</f>
        <v>0</v>
      </c>
      <c r="KA797" s="327">
        <f t="shared" ref="KA797:KA802" si="1280">KC797*0.52</f>
        <v>0</v>
      </c>
      <c r="KB797" s="279">
        <f t="shared" si="1194"/>
        <v>0</v>
      </c>
      <c r="KC797" s="323">
        <f>FISC!AP1103</f>
        <v>0</v>
      </c>
      <c r="KD797" s="327">
        <f t="shared" ref="KD797:KD802" si="1281">KF797*0.52</f>
        <v>0</v>
      </c>
      <c r="KE797" s="279">
        <f t="shared" si="1196"/>
        <v>0</v>
      </c>
      <c r="KF797" s="323">
        <f>FISC!AQ1103</f>
        <v>0</v>
      </c>
      <c r="KG797" s="327">
        <f t="shared" ref="KG797:KG802" si="1282">KI797*0.52</f>
        <v>0</v>
      </c>
      <c r="KH797" s="279">
        <f t="shared" si="1198"/>
        <v>0</v>
      </c>
      <c r="KI797" s="323">
        <f>FISC!AR1103</f>
        <v>0</v>
      </c>
      <c r="KJ797" s="327">
        <f t="shared" ref="KJ797:KJ802" si="1283">KL797*0.52</f>
        <v>0</v>
      </c>
      <c r="KK797" s="279">
        <f t="shared" si="1200"/>
        <v>0</v>
      </c>
      <c r="KL797" s="323">
        <f>FISC!AS1103</f>
        <v>0</v>
      </c>
      <c r="KM797" s="327">
        <f t="shared" ref="KM797:KM802" si="1284">KO797*0.52</f>
        <v>0</v>
      </c>
      <c r="KN797" s="279">
        <f t="shared" si="1202"/>
        <v>0</v>
      </c>
      <c r="KO797" s="323">
        <f>FISC!AT1103</f>
        <v>0</v>
      </c>
      <c r="KU797" s="326"/>
      <c r="KV797" s="327"/>
    </row>
    <row r="798" spans="1:308">
      <c r="A798" s="279"/>
      <c r="D798" s="1232" t="s">
        <v>490</v>
      </c>
      <c r="E798" s="323"/>
      <c r="F798" s="323"/>
      <c r="G798" s="323"/>
      <c r="H798" s="323"/>
      <c r="I798" s="323"/>
      <c r="J798" s="323"/>
      <c r="K798" s="323"/>
      <c r="L798" s="323"/>
      <c r="M798" s="323"/>
      <c r="N798" s="323"/>
      <c r="O798" s="323"/>
      <c r="P798" s="323"/>
      <c r="Q798" s="323"/>
      <c r="R798" s="323"/>
      <c r="S798" s="323"/>
      <c r="T798" s="323"/>
      <c r="U798" s="323"/>
      <c r="V798" s="323"/>
      <c r="W798" s="323"/>
      <c r="X798" s="323"/>
      <c r="Y798" s="323"/>
      <c r="Z798" s="323"/>
      <c r="AA798" s="323"/>
      <c r="AB798" s="323"/>
      <c r="AC798" s="323"/>
      <c r="AD798" s="323"/>
      <c r="AE798" s="323"/>
      <c r="AF798" s="323"/>
      <c r="AG798" s="323"/>
      <c r="AH798" s="323"/>
      <c r="AI798" s="323"/>
      <c r="AJ798" s="323"/>
      <c r="AK798" s="323"/>
      <c r="AL798" s="323"/>
      <c r="AM798" s="323"/>
      <c r="AN798" s="323"/>
      <c r="AO798" s="323"/>
      <c r="AP798" s="323"/>
      <c r="AQ798" s="323"/>
      <c r="AR798" s="323"/>
      <c r="AS798" s="323"/>
      <c r="AT798" s="323"/>
      <c r="AU798" s="323"/>
      <c r="AV798" s="323"/>
      <c r="AW798" s="323"/>
      <c r="AX798" s="323"/>
      <c r="AY798" s="323"/>
      <c r="AZ798" s="323"/>
      <c r="BA798" s="323"/>
      <c r="BB798" s="323"/>
      <c r="BC798" s="323"/>
      <c r="BD798" s="323"/>
      <c r="BE798" s="323"/>
      <c r="BF798" s="323"/>
      <c r="BG798" s="323"/>
      <c r="BH798" s="323"/>
      <c r="BI798" s="323"/>
      <c r="BJ798" s="323"/>
      <c r="BK798" s="323"/>
      <c r="BL798" s="323"/>
      <c r="BM798" s="323"/>
      <c r="BN798" s="323"/>
      <c r="BO798" s="323"/>
      <c r="BP798" s="323"/>
      <c r="BQ798" s="323"/>
      <c r="BR798" s="323"/>
      <c r="BS798" s="323"/>
      <c r="BT798" s="323"/>
      <c r="BU798" s="323"/>
      <c r="BV798" s="323"/>
      <c r="BW798" s="323"/>
      <c r="BX798" s="323"/>
      <c r="BY798" s="323"/>
      <c r="BZ798" s="323"/>
      <c r="CA798" s="323"/>
      <c r="CB798" s="323"/>
      <c r="CC798" s="323"/>
      <c r="CD798" s="329"/>
      <c r="CE798" s="323">
        <f t="shared" ref="CE798:DJ798" si="1285">CE396</f>
        <v>0</v>
      </c>
      <c r="CF798" s="323">
        <f t="shared" si="1285"/>
        <v>0</v>
      </c>
      <c r="CG798" s="323">
        <f t="shared" si="1285"/>
        <v>0</v>
      </c>
      <c r="CH798" s="323">
        <f t="shared" si="1285"/>
        <v>0</v>
      </c>
      <c r="CI798" s="323">
        <f t="shared" si="1285"/>
        <v>0</v>
      </c>
      <c r="CJ798" s="323">
        <f t="shared" si="1285"/>
        <v>0</v>
      </c>
      <c r="CK798" s="323">
        <f t="shared" si="1285"/>
        <v>0</v>
      </c>
      <c r="CL798" s="323">
        <f t="shared" si="1285"/>
        <v>0</v>
      </c>
      <c r="CM798" s="323">
        <f t="shared" si="1285"/>
        <v>0</v>
      </c>
      <c r="CN798" s="323">
        <f t="shared" si="1285"/>
        <v>0</v>
      </c>
      <c r="CO798" s="323">
        <f t="shared" si="1285"/>
        <v>0</v>
      </c>
      <c r="CP798" s="325">
        <f t="shared" si="1285"/>
        <v>0</v>
      </c>
      <c r="CQ798" s="323">
        <f t="shared" si="1285"/>
        <v>0</v>
      </c>
      <c r="CR798" s="323">
        <f t="shared" si="1285"/>
        <v>0</v>
      </c>
      <c r="CS798" s="323">
        <f t="shared" si="1285"/>
        <v>0</v>
      </c>
      <c r="CT798" s="323">
        <f t="shared" si="1285"/>
        <v>0</v>
      </c>
      <c r="CU798" s="323">
        <f t="shared" si="1285"/>
        <v>0</v>
      </c>
      <c r="CV798" s="323">
        <f t="shared" si="1285"/>
        <v>0</v>
      </c>
      <c r="CW798" s="323">
        <f t="shared" si="1285"/>
        <v>0</v>
      </c>
      <c r="CX798" s="323">
        <f t="shared" si="1285"/>
        <v>0</v>
      </c>
      <c r="CY798" s="323">
        <f t="shared" si="1285"/>
        <v>0</v>
      </c>
      <c r="CZ798" s="323">
        <f t="shared" si="1285"/>
        <v>0</v>
      </c>
      <c r="DA798" s="323">
        <f t="shared" si="1285"/>
        <v>0</v>
      </c>
      <c r="DB798" s="1269">
        <f t="shared" si="1285"/>
        <v>0</v>
      </c>
      <c r="DC798" s="323">
        <f t="shared" si="1285"/>
        <v>0</v>
      </c>
      <c r="DD798" s="323">
        <f t="shared" si="1285"/>
        <v>0</v>
      </c>
      <c r="DE798" s="323">
        <f t="shared" si="1285"/>
        <v>0</v>
      </c>
      <c r="DF798" s="323">
        <f t="shared" si="1285"/>
        <v>0</v>
      </c>
      <c r="DG798" s="323">
        <f t="shared" si="1285"/>
        <v>0</v>
      </c>
      <c r="DH798" s="323">
        <f t="shared" si="1285"/>
        <v>0</v>
      </c>
      <c r="DI798" s="323">
        <f t="shared" si="1285"/>
        <v>0</v>
      </c>
      <c r="DJ798" s="323">
        <f t="shared" si="1285"/>
        <v>0</v>
      </c>
      <c r="DK798" s="323">
        <f t="shared" ref="DK798:EP798" si="1286">DK396</f>
        <v>0</v>
      </c>
      <c r="DL798" s="323">
        <f t="shared" si="1286"/>
        <v>0</v>
      </c>
      <c r="DM798" s="323">
        <f t="shared" si="1286"/>
        <v>0</v>
      </c>
      <c r="DN798" s="325">
        <f t="shared" si="1286"/>
        <v>0</v>
      </c>
      <c r="DO798" s="323">
        <f t="shared" si="1286"/>
        <v>0</v>
      </c>
      <c r="DP798" s="323">
        <f t="shared" si="1286"/>
        <v>0</v>
      </c>
      <c r="DQ798" s="323">
        <f t="shared" si="1286"/>
        <v>0</v>
      </c>
      <c r="DR798" s="323">
        <f t="shared" si="1286"/>
        <v>0</v>
      </c>
      <c r="DS798" s="323">
        <f t="shared" si="1286"/>
        <v>0</v>
      </c>
      <c r="DT798" s="323">
        <f t="shared" si="1286"/>
        <v>0</v>
      </c>
      <c r="DU798" s="323">
        <f t="shared" si="1286"/>
        <v>0</v>
      </c>
      <c r="DV798" s="323">
        <f t="shared" si="1286"/>
        <v>0</v>
      </c>
      <c r="DW798" s="323">
        <f t="shared" si="1286"/>
        <v>0</v>
      </c>
      <c r="DX798" s="323">
        <f t="shared" si="1286"/>
        <v>0</v>
      </c>
      <c r="DY798" s="323">
        <f t="shared" si="1286"/>
        <v>0</v>
      </c>
      <c r="DZ798" s="325">
        <f t="shared" si="1286"/>
        <v>0</v>
      </c>
      <c r="EA798" s="323">
        <f t="shared" si="1286"/>
        <v>0</v>
      </c>
      <c r="EB798" s="323">
        <f t="shared" si="1286"/>
        <v>0</v>
      </c>
      <c r="EC798" s="323">
        <f t="shared" si="1286"/>
        <v>0</v>
      </c>
      <c r="ED798" s="323">
        <f t="shared" si="1286"/>
        <v>0</v>
      </c>
      <c r="EE798" s="323">
        <f t="shared" si="1286"/>
        <v>0</v>
      </c>
      <c r="EF798" s="323">
        <f t="shared" si="1286"/>
        <v>0</v>
      </c>
      <c r="EG798" s="323">
        <f t="shared" si="1286"/>
        <v>0</v>
      </c>
      <c r="EH798" s="323">
        <f t="shared" si="1286"/>
        <v>0</v>
      </c>
      <c r="EI798" s="323">
        <f t="shared" si="1286"/>
        <v>0</v>
      </c>
      <c r="EJ798" s="323">
        <f t="shared" si="1286"/>
        <v>0</v>
      </c>
      <c r="EK798" s="323">
        <f t="shared" si="1286"/>
        <v>0</v>
      </c>
      <c r="EL798" s="325">
        <f t="shared" si="1286"/>
        <v>0</v>
      </c>
      <c r="EM798" s="323">
        <f t="shared" si="1286"/>
        <v>0</v>
      </c>
      <c r="EN798" s="323">
        <f t="shared" si="1286"/>
        <v>0</v>
      </c>
      <c r="EO798" s="323">
        <f t="shared" si="1286"/>
        <v>0</v>
      </c>
      <c r="EP798" s="323">
        <f t="shared" si="1286"/>
        <v>0</v>
      </c>
      <c r="EQ798" s="323">
        <f t="shared" ref="EQ798:FV798" si="1287">EQ396</f>
        <v>0</v>
      </c>
      <c r="ER798" s="323">
        <f t="shared" si="1287"/>
        <v>0</v>
      </c>
      <c r="ES798" s="323">
        <f t="shared" si="1287"/>
        <v>0</v>
      </c>
      <c r="ET798" s="323">
        <f t="shared" si="1287"/>
        <v>0</v>
      </c>
      <c r="EU798" s="323">
        <f t="shared" si="1287"/>
        <v>0</v>
      </c>
      <c r="EV798" s="323">
        <f t="shared" si="1287"/>
        <v>0</v>
      </c>
      <c r="EW798" s="323">
        <f t="shared" si="1287"/>
        <v>0</v>
      </c>
      <c r="EX798" s="325">
        <f t="shared" si="1287"/>
        <v>0</v>
      </c>
      <c r="EY798" s="323">
        <f t="shared" si="1287"/>
        <v>0</v>
      </c>
      <c r="EZ798" s="323">
        <f t="shared" si="1287"/>
        <v>0</v>
      </c>
      <c r="FA798" s="323">
        <f t="shared" si="1287"/>
        <v>0</v>
      </c>
      <c r="FB798" s="323">
        <f t="shared" si="1287"/>
        <v>0</v>
      </c>
      <c r="FC798" s="323">
        <f t="shared" si="1287"/>
        <v>0</v>
      </c>
      <c r="FD798" s="323">
        <f t="shared" si="1287"/>
        <v>0</v>
      </c>
      <c r="FE798" s="323">
        <f t="shared" si="1287"/>
        <v>0</v>
      </c>
      <c r="FF798" s="323">
        <f t="shared" si="1287"/>
        <v>0</v>
      </c>
      <c r="FG798" s="323">
        <f t="shared" si="1287"/>
        <v>0</v>
      </c>
      <c r="FH798" s="323">
        <f t="shared" si="1287"/>
        <v>0</v>
      </c>
      <c r="FI798" s="323">
        <f t="shared" si="1287"/>
        <v>0</v>
      </c>
      <c r="FJ798" s="325">
        <f t="shared" si="1287"/>
        <v>0</v>
      </c>
      <c r="FK798" s="323">
        <f t="shared" si="1287"/>
        <v>0</v>
      </c>
      <c r="FL798" s="323">
        <f t="shared" si="1287"/>
        <v>0</v>
      </c>
      <c r="FM798" s="323">
        <f t="shared" si="1287"/>
        <v>0</v>
      </c>
      <c r="FN798" s="323">
        <f t="shared" si="1287"/>
        <v>0</v>
      </c>
      <c r="FO798" s="323">
        <f t="shared" si="1287"/>
        <v>0</v>
      </c>
      <c r="FP798" s="323">
        <f t="shared" si="1287"/>
        <v>0</v>
      </c>
      <c r="FQ798" s="323">
        <f t="shared" si="1287"/>
        <v>0</v>
      </c>
      <c r="FR798" s="323">
        <f t="shared" si="1287"/>
        <v>0</v>
      </c>
      <c r="FS798" s="323">
        <f t="shared" si="1287"/>
        <v>0</v>
      </c>
      <c r="FT798" s="323">
        <f t="shared" si="1287"/>
        <v>0</v>
      </c>
      <c r="FU798" s="323">
        <f t="shared" si="1287"/>
        <v>0</v>
      </c>
      <c r="FV798" s="323">
        <f t="shared" si="1287"/>
        <v>0</v>
      </c>
      <c r="FW798" s="323">
        <v>0</v>
      </c>
      <c r="FX798" s="323">
        <v>0</v>
      </c>
      <c r="FY798" s="323">
        <v>0</v>
      </c>
      <c r="FZ798" s="323">
        <v>0</v>
      </c>
      <c r="GA798" s="323">
        <v>0</v>
      </c>
      <c r="GB798" s="323">
        <v>0</v>
      </c>
      <c r="GC798" s="323">
        <v>0</v>
      </c>
      <c r="GD798" s="323">
        <v>0</v>
      </c>
      <c r="GE798" s="323">
        <v>0</v>
      </c>
      <c r="GF798" s="323">
        <v>0</v>
      </c>
      <c r="GG798" s="323">
        <v>0</v>
      </c>
      <c r="GH798" s="323">
        <v>0</v>
      </c>
      <c r="GI798" s="323">
        <f t="shared" ref="GI798:HR798" si="1288">GI396</f>
        <v>0</v>
      </c>
      <c r="GJ798" s="323">
        <f t="shared" si="1288"/>
        <v>0</v>
      </c>
      <c r="GK798" s="323">
        <f t="shared" si="1288"/>
        <v>0</v>
      </c>
      <c r="GL798" s="323">
        <f t="shared" si="1288"/>
        <v>0</v>
      </c>
      <c r="GM798" s="323">
        <f t="shared" si="1288"/>
        <v>0</v>
      </c>
      <c r="GN798" s="323">
        <f t="shared" si="1288"/>
        <v>0</v>
      </c>
      <c r="GO798" s="323">
        <f t="shared" si="1288"/>
        <v>0</v>
      </c>
      <c r="GP798" s="323">
        <f t="shared" si="1288"/>
        <v>0</v>
      </c>
      <c r="GQ798" s="323">
        <f t="shared" si="1288"/>
        <v>0</v>
      </c>
      <c r="GR798" s="323">
        <f t="shared" si="1288"/>
        <v>0</v>
      </c>
      <c r="GS798" s="323">
        <f t="shared" si="1288"/>
        <v>0</v>
      </c>
      <c r="GT798" s="323">
        <f t="shared" si="1288"/>
        <v>0</v>
      </c>
      <c r="GU798" s="323">
        <f t="shared" si="1288"/>
        <v>0</v>
      </c>
      <c r="GV798" s="323">
        <f t="shared" si="1288"/>
        <v>0</v>
      </c>
      <c r="GW798" s="323">
        <f t="shared" si="1288"/>
        <v>0</v>
      </c>
      <c r="GX798" s="323">
        <f t="shared" si="1288"/>
        <v>0</v>
      </c>
      <c r="GY798" s="323">
        <f t="shared" si="1288"/>
        <v>0</v>
      </c>
      <c r="GZ798" s="323">
        <f t="shared" si="1288"/>
        <v>0</v>
      </c>
      <c r="HA798" s="323">
        <f t="shared" si="1288"/>
        <v>0</v>
      </c>
      <c r="HB798" s="323">
        <f t="shared" si="1288"/>
        <v>0</v>
      </c>
      <c r="HC798" s="323">
        <f t="shared" si="1288"/>
        <v>0</v>
      </c>
      <c r="HD798" s="323">
        <f t="shared" si="1288"/>
        <v>0</v>
      </c>
      <c r="HE798" s="323">
        <f t="shared" si="1288"/>
        <v>0</v>
      </c>
      <c r="HF798" s="323">
        <f t="shared" si="1288"/>
        <v>0</v>
      </c>
      <c r="HG798" s="323">
        <f t="shared" si="1288"/>
        <v>0</v>
      </c>
      <c r="HH798" s="323">
        <f t="shared" si="1288"/>
        <v>0</v>
      </c>
      <c r="HI798" s="323">
        <f t="shared" si="1288"/>
        <v>0</v>
      </c>
      <c r="HJ798" s="323">
        <f t="shared" si="1288"/>
        <v>0</v>
      </c>
      <c r="HK798" s="323">
        <f t="shared" si="1288"/>
        <v>0</v>
      </c>
      <c r="HL798" s="323">
        <f t="shared" si="1288"/>
        <v>0</v>
      </c>
      <c r="HM798" s="323">
        <f t="shared" si="1288"/>
        <v>0</v>
      </c>
      <c r="HN798" s="323">
        <f t="shared" si="1288"/>
        <v>0</v>
      </c>
      <c r="HO798" s="323">
        <f t="shared" si="1288"/>
        <v>0</v>
      </c>
      <c r="HP798" s="323">
        <f t="shared" si="1288"/>
        <v>0</v>
      </c>
      <c r="HQ798" s="323">
        <f t="shared" si="1288"/>
        <v>0</v>
      </c>
      <c r="HR798" s="323">
        <f t="shared" si="1288"/>
        <v>0</v>
      </c>
      <c r="HS798" s="323">
        <f t="shared" ref="HS798:HX798" si="1289">HS396</f>
        <v>0</v>
      </c>
      <c r="HT798" s="323">
        <f t="shared" si="1289"/>
        <v>0</v>
      </c>
      <c r="HU798" s="323">
        <f t="shared" si="1289"/>
        <v>0</v>
      </c>
      <c r="HV798" s="323">
        <f t="shared" si="1289"/>
        <v>0</v>
      </c>
      <c r="HW798" s="323">
        <f t="shared" si="1289"/>
        <v>0</v>
      </c>
      <c r="HX798" s="323">
        <f t="shared" si="1289"/>
        <v>0</v>
      </c>
      <c r="HY798" s="323"/>
      <c r="HZ798" s="326"/>
      <c r="IA798" s="1232" t="s">
        <v>490</v>
      </c>
      <c r="IB798" s="284">
        <f t="shared" si="1262"/>
        <v>0</v>
      </c>
      <c r="IC798" s="279">
        <f t="shared" si="1263"/>
        <v>0</v>
      </c>
      <c r="ID798" s="323">
        <f t="shared" si="907"/>
        <v>0</v>
      </c>
      <c r="IE798" s="279">
        <f t="shared" si="1264"/>
        <v>0</v>
      </c>
      <c r="IF798" s="279">
        <f t="shared" si="1265"/>
        <v>0</v>
      </c>
      <c r="IG798" s="323">
        <f t="shared" si="880"/>
        <v>0</v>
      </c>
      <c r="IH798" s="284">
        <f t="shared" si="1266"/>
        <v>0</v>
      </c>
      <c r="II798" s="279">
        <f t="shared" si="1267"/>
        <v>0</v>
      </c>
      <c r="IJ798" s="323">
        <f t="shared" si="881"/>
        <v>0</v>
      </c>
      <c r="IK798" s="327">
        <f t="shared" si="1268"/>
        <v>0</v>
      </c>
      <c r="IL798" s="279">
        <f t="shared" si="1269"/>
        <v>0</v>
      </c>
      <c r="IM798" s="323">
        <f t="shared" si="882"/>
        <v>0</v>
      </c>
      <c r="IN798" s="279">
        <f t="shared" si="1270"/>
        <v>0</v>
      </c>
      <c r="IO798" s="279">
        <f t="shared" si="1271"/>
        <v>0</v>
      </c>
      <c r="IP798" s="323">
        <f t="shared" si="883"/>
        <v>0</v>
      </c>
      <c r="IQ798" s="327">
        <f t="shared" si="1272"/>
        <v>0</v>
      </c>
      <c r="IR798" s="327">
        <f t="shared" si="1273"/>
        <v>0</v>
      </c>
      <c r="IS798" s="323">
        <f t="shared" si="884"/>
        <v>0</v>
      </c>
      <c r="IT798" s="327">
        <f t="shared" si="1274"/>
        <v>0</v>
      </c>
      <c r="IU798" s="327">
        <f t="shared" si="1275"/>
        <v>0</v>
      </c>
      <c r="IV798" s="323">
        <f t="shared" si="885"/>
        <v>0</v>
      </c>
      <c r="IW798" s="327">
        <f t="shared" si="1255"/>
        <v>0</v>
      </c>
      <c r="IX798" s="327">
        <f t="shared" si="1246"/>
        <v>0</v>
      </c>
      <c r="IY798" s="323">
        <f>IW798+IX798</f>
        <v>0</v>
      </c>
      <c r="IZ798" s="327">
        <f t="shared" si="1247"/>
        <v>0</v>
      </c>
      <c r="JA798" s="327">
        <f t="shared" si="1248"/>
        <v>0</v>
      </c>
      <c r="JB798" s="323">
        <f t="shared" si="887"/>
        <v>0</v>
      </c>
      <c r="JC798" s="327">
        <f t="shared" si="1249"/>
        <v>0</v>
      </c>
      <c r="JD798" s="327">
        <f t="shared" si="1250"/>
        <v>0</v>
      </c>
      <c r="JE798" s="323">
        <f t="shared" si="888"/>
        <v>0</v>
      </c>
      <c r="JF798" s="327">
        <f t="shared" si="1256"/>
        <v>0</v>
      </c>
      <c r="JG798" s="327">
        <f t="shared" si="918"/>
        <v>0</v>
      </c>
      <c r="JH798" s="323">
        <f t="shared" si="889"/>
        <v>0</v>
      </c>
      <c r="JI798" s="327">
        <f t="shared" si="909"/>
        <v>0</v>
      </c>
      <c r="JJ798" s="327">
        <f t="shared" si="910"/>
        <v>0</v>
      </c>
      <c r="JK798" s="323">
        <f t="shared" si="890"/>
        <v>0</v>
      </c>
      <c r="JL798" s="327">
        <f t="shared" si="891"/>
        <v>0</v>
      </c>
      <c r="JM798" s="279">
        <f t="shared" si="892"/>
        <v>0</v>
      </c>
      <c r="JN798" s="323">
        <f>FISC!AK1104</f>
        <v>0</v>
      </c>
      <c r="JO798" s="327">
        <f t="shared" si="1276"/>
        <v>0</v>
      </c>
      <c r="JP798" s="279">
        <f t="shared" si="893"/>
        <v>0</v>
      </c>
      <c r="JQ798" s="323">
        <f>FISC!AL1104</f>
        <v>0</v>
      </c>
      <c r="JR798" s="327">
        <f t="shared" si="1277"/>
        <v>0</v>
      </c>
      <c r="JS798" s="279">
        <f t="shared" si="894"/>
        <v>0</v>
      </c>
      <c r="JT798" s="323">
        <f>FISC!AM1104</f>
        <v>0</v>
      </c>
      <c r="JU798" s="327">
        <f t="shared" si="1278"/>
        <v>0</v>
      </c>
      <c r="JV798" s="279">
        <f t="shared" si="911"/>
        <v>0</v>
      </c>
      <c r="JW798" s="323">
        <f>FISC!AN1104</f>
        <v>0</v>
      </c>
      <c r="JX798" s="327">
        <f t="shared" si="1279"/>
        <v>0</v>
      </c>
      <c r="JY798" s="279">
        <f t="shared" si="895"/>
        <v>0</v>
      </c>
      <c r="JZ798" s="323">
        <f>FISC!AO1104</f>
        <v>0</v>
      </c>
      <c r="KA798" s="327">
        <f t="shared" si="1280"/>
        <v>0</v>
      </c>
      <c r="KB798" s="279">
        <f t="shared" si="1194"/>
        <v>0</v>
      </c>
      <c r="KC798" s="323">
        <f>FISC!AP1104</f>
        <v>0</v>
      </c>
      <c r="KD798" s="327">
        <f t="shared" si="1281"/>
        <v>0</v>
      </c>
      <c r="KE798" s="279">
        <f t="shared" si="1196"/>
        <v>0</v>
      </c>
      <c r="KF798" s="323">
        <f>FISC!AQ1104</f>
        <v>0</v>
      </c>
      <c r="KG798" s="327">
        <f t="shared" si="1282"/>
        <v>0</v>
      </c>
      <c r="KH798" s="279">
        <f t="shared" si="1198"/>
        <v>0</v>
      </c>
      <c r="KI798" s="323">
        <f>FISC!AR1104</f>
        <v>0</v>
      </c>
      <c r="KJ798" s="327">
        <f t="shared" si="1283"/>
        <v>0</v>
      </c>
      <c r="KK798" s="279">
        <f t="shared" si="1200"/>
        <v>0</v>
      </c>
      <c r="KL798" s="323">
        <f>FISC!AS1104</f>
        <v>0</v>
      </c>
      <c r="KM798" s="327">
        <f t="shared" si="1284"/>
        <v>0</v>
      </c>
      <c r="KN798" s="279">
        <f t="shared" si="1202"/>
        <v>0</v>
      </c>
      <c r="KO798" s="323">
        <f>FISC!AT1104</f>
        <v>0</v>
      </c>
      <c r="KU798" s="326"/>
      <c r="KV798" s="327"/>
    </row>
    <row r="799" spans="1:308">
      <c r="A799" s="279"/>
      <c r="D799" s="1232" t="s">
        <v>491</v>
      </c>
      <c r="E799" s="323"/>
      <c r="F799" s="323"/>
      <c r="G799" s="323"/>
      <c r="H799" s="323"/>
      <c r="I799" s="323"/>
      <c r="J799" s="323"/>
      <c r="K799" s="323"/>
      <c r="L799" s="323"/>
      <c r="M799" s="323"/>
      <c r="N799" s="323"/>
      <c r="O799" s="323"/>
      <c r="P799" s="323"/>
      <c r="Q799" s="323"/>
      <c r="R799" s="323"/>
      <c r="S799" s="323"/>
      <c r="T799" s="323"/>
      <c r="U799" s="323"/>
      <c r="V799" s="323"/>
      <c r="W799" s="323"/>
      <c r="X799" s="323"/>
      <c r="Y799" s="323"/>
      <c r="Z799" s="323"/>
      <c r="AA799" s="323"/>
      <c r="AB799" s="323"/>
      <c r="AC799" s="323"/>
      <c r="AD799" s="323"/>
      <c r="AE799" s="323"/>
      <c r="AF799" s="323"/>
      <c r="AG799" s="323"/>
      <c r="AH799" s="323"/>
      <c r="AI799" s="323"/>
      <c r="AJ799" s="323"/>
      <c r="AK799" s="323"/>
      <c r="AL799" s="323"/>
      <c r="AM799" s="323"/>
      <c r="AN799" s="323"/>
      <c r="AO799" s="323"/>
      <c r="AP799" s="323"/>
      <c r="AQ799" s="323"/>
      <c r="AR799" s="323"/>
      <c r="AS799" s="323"/>
      <c r="AT799" s="323"/>
      <c r="AU799" s="323"/>
      <c r="AV799" s="323"/>
      <c r="AW799" s="323"/>
      <c r="AX799" s="323"/>
      <c r="AY799" s="323"/>
      <c r="AZ799" s="323"/>
      <c r="BA799" s="323"/>
      <c r="BB799" s="323"/>
      <c r="BC799" s="323"/>
      <c r="BD799" s="323"/>
      <c r="BE799" s="323"/>
      <c r="BF799" s="323"/>
      <c r="BG799" s="323"/>
      <c r="BH799" s="323"/>
      <c r="BI799" s="323"/>
      <c r="BJ799" s="323"/>
      <c r="BK799" s="323"/>
      <c r="BL799" s="323"/>
      <c r="BM799" s="323"/>
      <c r="BN799" s="323"/>
      <c r="BO799" s="323"/>
      <c r="BP799" s="323"/>
      <c r="BQ799" s="323"/>
      <c r="BR799" s="323"/>
      <c r="BS799" s="323"/>
      <c r="BT799" s="323"/>
      <c r="BU799" s="323"/>
      <c r="BV799" s="323"/>
      <c r="BW799" s="323"/>
      <c r="BX799" s="323"/>
      <c r="BY799" s="323"/>
      <c r="BZ799" s="323"/>
      <c r="CA799" s="323"/>
      <c r="CB799" s="323"/>
      <c r="CC799" s="323"/>
      <c r="CD799" s="329"/>
      <c r="CE799" s="323">
        <f t="shared" ref="CE799:DJ799" si="1290">CE397</f>
        <v>0</v>
      </c>
      <c r="CF799" s="323">
        <f t="shared" si="1290"/>
        <v>0</v>
      </c>
      <c r="CG799" s="323">
        <f t="shared" si="1290"/>
        <v>0</v>
      </c>
      <c r="CH799" s="323">
        <f t="shared" si="1290"/>
        <v>0</v>
      </c>
      <c r="CI799" s="323">
        <f t="shared" si="1290"/>
        <v>0</v>
      </c>
      <c r="CJ799" s="323">
        <f t="shared" si="1290"/>
        <v>0</v>
      </c>
      <c r="CK799" s="323">
        <f t="shared" si="1290"/>
        <v>0</v>
      </c>
      <c r="CL799" s="323">
        <f t="shared" si="1290"/>
        <v>0</v>
      </c>
      <c r="CM799" s="323">
        <f t="shared" si="1290"/>
        <v>0</v>
      </c>
      <c r="CN799" s="323">
        <f t="shared" si="1290"/>
        <v>0</v>
      </c>
      <c r="CO799" s="323">
        <f t="shared" si="1290"/>
        <v>0</v>
      </c>
      <c r="CP799" s="325">
        <f t="shared" si="1290"/>
        <v>0</v>
      </c>
      <c r="CQ799" s="323">
        <f t="shared" si="1290"/>
        <v>0</v>
      </c>
      <c r="CR799" s="323">
        <f t="shared" si="1290"/>
        <v>0</v>
      </c>
      <c r="CS799" s="323">
        <f t="shared" si="1290"/>
        <v>0</v>
      </c>
      <c r="CT799" s="323">
        <f t="shared" si="1290"/>
        <v>0</v>
      </c>
      <c r="CU799" s="323">
        <f t="shared" si="1290"/>
        <v>0</v>
      </c>
      <c r="CV799" s="323">
        <f t="shared" si="1290"/>
        <v>0</v>
      </c>
      <c r="CW799" s="323">
        <f t="shared" si="1290"/>
        <v>0</v>
      </c>
      <c r="CX799" s="323">
        <f t="shared" si="1290"/>
        <v>0</v>
      </c>
      <c r="CY799" s="323">
        <f t="shared" si="1290"/>
        <v>0</v>
      </c>
      <c r="CZ799" s="323">
        <f t="shared" si="1290"/>
        <v>0</v>
      </c>
      <c r="DA799" s="323">
        <f t="shared" si="1290"/>
        <v>0</v>
      </c>
      <c r="DB799" s="1269">
        <f t="shared" si="1290"/>
        <v>0</v>
      </c>
      <c r="DC799" s="323">
        <f t="shared" si="1290"/>
        <v>0</v>
      </c>
      <c r="DD799" s="323">
        <f t="shared" si="1290"/>
        <v>0</v>
      </c>
      <c r="DE799" s="323">
        <f t="shared" si="1290"/>
        <v>0</v>
      </c>
      <c r="DF799" s="323">
        <f t="shared" si="1290"/>
        <v>0</v>
      </c>
      <c r="DG799" s="323">
        <f t="shared" si="1290"/>
        <v>0</v>
      </c>
      <c r="DH799" s="323">
        <f t="shared" si="1290"/>
        <v>0</v>
      </c>
      <c r="DI799" s="323">
        <f t="shared" si="1290"/>
        <v>0</v>
      </c>
      <c r="DJ799" s="323">
        <f t="shared" si="1290"/>
        <v>0</v>
      </c>
      <c r="DK799" s="323">
        <f t="shared" ref="DK799:EP799" si="1291">DK397</f>
        <v>0</v>
      </c>
      <c r="DL799" s="323">
        <f t="shared" si="1291"/>
        <v>0</v>
      </c>
      <c r="DM799" s="323">
        <f t="shared" si="1291"/>
        <v>0</v>
      </c>
      <c r="DN799" s="325">
        <f t="shared" si="1291"/>
        <v>0</v>
      </c>
      <c r="DO799" s="323">
        <f t="shared" si="1291"/>
        <v>0</v>
      </c>
      <c r="DP799" s="323">
        <f t="shared" si="1291"/>
        <v>0</v>
      </c>
      <c r="DQ799" s="323">
        <f t="shared" si="1291"/>
        <v>0</v>
      </c>
      <c r="DR799" s="323">
        <f t="shared" si="1291"/>
        <v>0</v>
      </c>
      <c r="DS799" s="323">
        <f t="shared" si="1291"/>
        <v>0</v>
      </c>
      <c r="DT799" s="323">
        <f t="shared" si="1291"/>
        <v>0</v>
      </c>
      <c r="DU799" s="323">
        <f t="shared" si="1291"/>
        <v>0</v>
      </c>
      <c r="DV799" s="323">
        <f t="shared" si="1291"/>
        <v>0</v>
      </c>
      <c r="DW799" s="323">
        <f t="shared" si="1291"/>
        <v>0</v>
      </c>
      <c r="DX799" s="323">
        <f t="shared" si="1291"/>
        <v>0</v>
      </c>
      <c r="DY799" s="323">
        <f t="shared" si="1291"/>
        <v>0</v>
      </c>
      <c r="DZ799" s="325">
        <f t="shared" si="1291"/>
        <v>0</v>
      </c>
      <c r="EA799" s="323">
        <f t="shared" si="1291"/>
        <v>0</v>
      </c>
      <c r="EB799" s="323">
        <f t="shared" si="1291"/>
        <v>0</v>
      </c>
      <c r="EC799" s="323">
        <f t="shared" si="1291"/>
        <v>0</v>
      </c>
      <c r="ED799" s="323">
        <f t="shared" si="1291"/>
        <v>0</v>
      </c>
      <c r="EE799" s="323">
        <f t="shared" si="1291"/>
        <v>0</v>
      </c>
      <c r="EF799" s="323">
        <f t="shared" si="1291"/>
        <v>0</v>
      </c>
      <c r="EG799" s="323">
        <f t="shared" si="1291"/>
        <v>0</v>
      </c>
      <c r="EH799" s="323">
        <f t="shared" si="1291"/>
        <v>0</v>
      </c>
      <c r="EI799" s="323">
        <f t="shared" si="1291"/>
        <v>0</v>
      </c>
      <c r="EJ799" s="323">
        <f t="shared" si="1291"/>
        <v>0</v>
      </c>
      <c r="EK799" s="323">
        <f t="shared" si="1291"/>
        <v>0</v>
      </c>
      <c r="EL799" s="325">
        <f t="shared" si="1291"/>
        <v>0</v>
      </c>
      <c r="EM799" s="323">
        <f t="shared" si="1291"/>
        <v>0</v>
      </c>
      <c r="EN799" s="323">
        <f t="shared" si="1291"/>
        <v>0</v>
      </c>
      <c r="EO799" s="323">
        <f t="shared" si="1291"/>
        <v>0</v>
      </c>
      <c r="EP799" s="323">
        <f t="shared" si="1291"/>
        <v>0</v>
      </c>
      <c r="EQ799" s="323">
        <f t="shared" ref="EQ799:FV799" si="1292">EQ397</f>
        <v>0</v>
      </c>
      <c r="ER799" s="323">
        <f t="shared" si="1292"/>
        <v>0</v>
      </c>
      <c r="ES799" s="323">
        <f t="shared" si="1292"/>
        <v>0</v>
      </c>
      <c r="ET799" s="323">
        <f t="shared" si="1292"/>
        <v>0</v>
      </c>
      <c r="EU799" s="323">
        <f t="shared" si="1292"/>
        <v>0</v>
      </c>
      <c r="EV799" s="323">
        <f t="shared" si="1292"/>
        <v>0</v>
      </c>
      <c r="EW799" s="323">
        <f t="shared" si="1292"/>
        <v>0</v>
      </c>
      <c r="EX799" s="325">
        <f t="shared" si="1292"/>
        <v>0</v>
      </c>
      <c r="EY799" s="323">
        <f t="shared" si="1292"/>
        <v>0</v>
      </c>
      <c r="EZ799" s="323">
        <f t="shared" si="1292"/>
        <v>0</v>
      </c>
      <c r="FA799" s="323">
        <f t="shared" si="1292"/>
        <v>0</v>
      </c>
      <c r="FB799" s="323">
        <f t="shared" si="1292"/>
        <v>0</v>
      </c>
      <c r="FC799" s="323">
        <f t="shared" si="1292"/>
        <v>0</v>
      </c>
      <c r="FD799" s="323">
        <f t="shared" si="1292"/>
        <v>0</v>
      </c>
      <c r="FE799" s="323">
        <f t="shared" si="1292"/>
        <v>0</v>
      </c>
      <c r="FF799" s="323">
        <f t="shared" si="1292"/>
        <v>0</v>
      </c>
      <c r="FG799" s="323">
        <f t="shared" si="1292"/>
        <v>0</v>
      </c>
      <c r="FH799" s="323">
        <f t="shared" si="1292"/>
        <v>0</v>
      </c>
      <c r="FI799" s="323">
        <f t="shared" si="1292"/>
        <v>0</v>
      </c>
      <c r="FJ799" s="325">
        <f t="shared" si="1292"/>
        <v>0</v>
      </c>
      <c r="FK799" s="323">
        <f t="shared" si="1292"/>
        <v>0</v>
      </c>
      <c r="FL799" s="323">
        <f t="shared" si="1292"/>
        <v>0</v>
      </c>
      <c r="FM799" s="323">
        <f t="shared" si="1292"/>
        <v>0</v>
      </c>
      <c r="FN799" s="323">
        <f t="shared" si="1292"/>
        <v>0</v>
      </c>
      <c r="FO799" s="323">
        <f t="shared" si="1292"/>
        <v>0</v>
      </c>
      <c r="FP799" s="323">
        <f t="shared" si="1292"/>
        <v>0</v>
      </c>
      <c r="FQ799" s="323">
        <f t="shared" si="1292"/>
        <v>0</v>
      </c>
      <c r="FR799" s="323">
        <f t="shared" si="1292"/>
        <v>0</v>
      </c>
      <c r="FS799" s="323">
        <f t="shared" si="1292"/>
        <v>0</v>
      </c>
      <c r="FT799" s="323">
        <f t="shared" si="1292"/>
        <v>0</v>
      </c>
      <c r="FU799" s="323">
        <f t="shared" si="1292"/>
        <v>0</v>
      </c>
      <c r="FV799" s="323">
        <f t="shared" si="1292"/>
        <v>0</v>
      </c>
      <c r="FW799" s="323">
        <v>0</v>
      </c>
      <c r="FX799" s="323">
        <v>0</v>
      </c>
      <c r="FY799" s="323">
        <v>0</v>
      </c>
      <c r="FZ799" s="323">
        <v>0</v>
      </c>
      <c r="GA799" s="323">
        <v>0</v>
      </c>
      <c r="GB799" s="323">
        <v>0</v>
      </c>
      <c r="GC799" s="323">
        <v>0</v>
      </c>
      <c r="GD799" s="323">
        <v>0</v>
      </c>
      <c r="GE799" s="323">
        <v>0</v>
      </c>
      <c r="GF799" s="323">
        <v>0</v>
      </c>
      <c r="GG799" s="323">
        <v>0</v>
      </c>
      <c r="GH799" s="323">
        <v>0</v>
      </c>
      <c r="GI799" s="323">
        <f t="shared" ref="GI799:HL799" si="1293">GI397</f>
        <v>0</v>
      </c>
      <c r="GJ799" s="323">
        <f t="shared" si="1293"/>
        <v>0</v>
      </c>
      <c r="GK799" s="323">
        <f t="shared" si="1293"/>
        <v>0</v>
      </c>
      <c r="GL799" s="323">
        <f t="shared" si="1293"/>
        <v>0</v>
      </c>
      <c r="GM799" s="323">
        <f t="shared" si="1293"/>
        <v>0</v>
      </c>
      <c r="GN799" s="323">
        <f t="shared" si="1293"/>
        <v>0</v>
      </c>
      <c r="GO799" s="323">
        <f t="shared" si="1293"/>
        <v>0</v>
      </c>
      <c r="GP799" s="323">
        <f t="shared" si="1293"/>
        <v>0</v>
      </c>
      <c r="GQ799" s="323">
        <f t="shared" si="1293"/>
        <v>0</v>
      </c>
      <c r="GR799" s="323">
        <f t="shared" si="1293"/>
        <v>0</v>
      </c>
      <c r="GS799" s="323">
        <f t="shared" si="1293"/>
        <v>0</v>
      </c>
      <c r="GT799" s="323">
        <f t="shared" si="1293"/>
        <v>0</v>
      </c>
      <c r="GU799" s="323">
        <f t="shared" si="1293"/>
        <v>0</v>
      </c>
      <c r="GV799" s="323">
        <f t="shared" si="1293"/>
        <v>0</v>
      </c>
      <c r="GW799" s="323">
        <f t="shared" si="1293"/>
        <v>0</v>
      </c>
      <c r="GX799" s="323">
        <f t="shared" si="1293"/>
        <v>0</v>
      </c>
      <c r="GY799" s="323">
        <f t="shared" si="1293"/>
        <v>0</v>
      </c>
      <c r="GZ799" s="323">
        <f t="shared" si="1293"/>
        <v>0</v>
      </c>
      <c r="HA799" s="323">
        <f t="shared" si="1293"/>
        <v>0</v>
      </c>
      <c r="HB799" s="323">
        <f t="shared" si="1293"/>
        <v>0</v>
      </c>
      <c r="HC799" s="323">
        <f t="shared" si="1293"/>
        <v>0</v>
      </c>
      <c r="HD799" s="323">
        <f t="shared" si="1293"/>
        <v>0</v>
      </c>
      <c r="HE799" s="323">
        <f t="shared" si="1293"/>
        <v>0</v>
      </c>
      <c r="HF799" s="323">
        <f t="shared" si="1293"/>
        <v>0</v>
      </c>
      <c r="HG799" s="323">
        <f t="shared" si="1293"/>
        <v>0</v>
      </c>
      <c r="HH799" s="323">
        <f t="shared" si="1293"/>
        <v>0</v>
      </c>
      <c r="HI799" s="323">
        <f t="shared" si="1293"/>
        <v>0</v>
      </c>
      <c r="HJ799" s="323">
        <f t="shared" si="1293"/>
        <v>0</v>
      </c>
      <c r="HK799" s="323">
        <f t="shared" si="1293"/>
        <v>0</v>
      </c>
      <c r="HL799" s="323">
        <f t="shared" si="1293"/>
        <v>0</v>
      </c>
      <c r="HM799" s="323">
        <f t="shared" ref="HM799:HR799" si="1294">HM397</f>
        <v>0</v>
      </c>
      <c r="HN799" s="323">
        <f t="shared" si="1294"/>
        <v>0</v>
      </c>
      <c r="HO799" s="323">
        <f t="shared" si="1294"/>
        <v>0</v>
      </c>
      <c r="HP799" s="323">
        <f t="shared" si="1294"/>
        <v>0</v>
      </c>
      <c r="HQ799" s="323">
        <f t="shared" si="1294"/>
        <v>0</v>
      </c>
      <c r="HR799" s="323">
        <f t="shared" si="1294"/>
        <v>0</v>
      </c>
      <c r="HS799" s="323">
        <f t="shared" ref="HS799:HX799" si="1295">HS397</f>
        <v>0</v>
      </c>
      <c r="HT799" s="323">
        <f t="shared" si="1295"/>
        <v>0</v>
      </c>
      <c r="HU799" s="323">
        <f t="shared" si="1295"/>
        <v>0</v>
      </c>
      <c r="HV799" s="323">
        <f t="shared" si="1295"/>
        <v>0</v>
      </c>
      <c r="HW799" s="323">
        <f t="shared" si="1295"/>
        <v>0</v>
      </c>
      <c r="HX799" s="323">
        <f t="shared" si="1295"/>
        <v>0</v>
      </c>
      <c r="HY799" s="323"/>
      <c r="HZ799" s="326"/>
      <c r="IA799" s="1232" t="s">
        <v>491</v>
      </c>
      <c r="IB799" s="284">
        <f t="shared" si="1262"/>
        <v>0</v>
      </c>
      <c r="IC799" s="279">
        <f t="shared" si="1263"/>
        <v>0</v>
      </c>
      <c r="ID799" s="323">
        <f t="shared" si="907"/>
        <v>0</v>
      </c>
      <c r="IE799" s="279">
        <f t="shared" si="1264"/>
        <v>0</v>
      </c>
      <c r="IF799" s="279">
        <f t="shared" si="1265"/>
        <v>0</v>
      </c>
      <c r="IG799" s="323">
        <f t="shared" si="880"/>
        <v>0</v>
      </c>
      <c r="IH799" s="284">
        <f t="shared" si="1266"/>
        <v>0</v>
      </c>
      <c r="II799" s="279">
        <f t="shared" si="1267"/>
        <v>0</v>
      </c>
      <c r="IJ799" s="323">
        <f t="shared" si="881"/>
        <v>0</v>
      </c>
      <c r="IK799" s="327">
        <f t="shared" si="1268"/>
        <v>0</v>
      </c>
      <c r="IL799" s="279">
        <f t="shared" si="1269"/>
        <v>0</v>
      </c>
      <c r="IM799" s="323">
        <f t="shared" si="882"/>
        <v>0</v>
      </c>
      <c r="IN799" s="279">
        <f t="shared" si="1270"/>
        <v>0</v>
      </c>
      <c r="IO799" s="279">
        <f t="shared" si="1271"/>
        <v>0</v>
      </c>
      <c r="IP799" s="323">
        <f t="shared" si="883"/>
        <v>0</v>
      </c>
      <c r="IQ799" s="327">
        <f t="shared" si="1272"/>
        <v>0</v>
      </c>
      <c r="IR799" s="327">
        <f t="shared" si="1273"/>
        <v>0</v>
      </c>
      <c r="IS799" s="323">
        <f t="shared" si="884"/>
        <v>0</v>
      </c>
      <c r="IT799" s="327">
        <f t="shared" si="1274"/>
        <v>0</v>
      </c>
      <c r="IU799" s="327">
        <f t="shared" si="1275"/>
        <v>0</v>
      </c>
      <c r="IV799" s="323">
        <f t="shared" si="885"/>
        <v>0</v>
      </c>
      <c r="IW799" s="327">
        <f t="shared" si="1255"/>
        <v>0</v>
      </c>
      <c r="IX799" s="327">
        <f t="shared" si="1246"/>
        <v>0</v>
      </c>
      <c r="IY799" s="323">
        <f t="shared" si="886"/>
        <v>0</v>
      </c>
      <c r="IZ799" s="327">
        <f t="shared" si="1247"/>
        <v>0</v>
      </c>
      <c r="JA799" s="327">
        <f t="shared" si="1248"/>
        <v>0</v>
      </c>
      <c r="JB799" s="323">
        <f t="shared" si="887"/>
        <v>0</v>
      </c>
      <c r="JC799" s="327">
        <f t="shared" si="1249"/>
        <v>0</v>
      </c>
      <c r="JD799" s="327">
        <f t="shared" si="1250"/>
        <v>0</v>
      </c>
      <c r="JE799" s="323">
        <f t="shared" si="888"/>
        <v>0</v>
      </c>
      <c r="JF799" s="327">
        <f t="shared" si="1256"/>
        <v>0</v>
      </c>
      <c r="JG799" s="327">
        <f t="shared" si="918"/>
        <v>0</v>
      </c>
      <c r="JH799" s="323">
        <f t="shared" si="889"/>
        <v>0</v>
      </c>
      <c r="JI799" s="327">
        <f t="shared" si="909"/>
        <v>0</v>
      </c>
      <c r="JJ799" s="327">
        <f t="shared" si="910"/>
        <v>0</v>
      </c>
      <c r="JK799" s="323">
        <f t="shared" si="890"/>
        <v>0</v>
      </c>
      <c r="JL799" s="327">
        <f t="shared" si="891"/>
        <v>0</v>
      </c>
      <c r="JM799" s="279">
        <f t="shared" si="892"/>
        <v>0</v>
      </c>
      <c r="JN799" s="323">
        <f>FISC!AK1105</f>
        <v>0</v>
      </c>
      <c r="JO799" s="327">
        <f t="shared" si="1276"/>
        <v>0</v>
      </c>
      <c r="JP799" s="279">
        <f t="shared" si="893"/>
        <v>0</v>
      </c>
      <c r="JQ799" s="323">
        <f>FISC!AL1105</f>
        <v>0</v>
      </c>
      <c r="JR799" s="327">
        <f t="shared" si="1277"/>
        <v>0</v>
      </c>
      <c r="JS799" s="279">
        <f t="shared" si="894"/>
        <v>0</v>
      </c>
      <c r="JT799" s="323">
        <f>FISC!AM1105</f>
        <v>0</v>
      </c>
      <c r="JU799" s="327">
        <f t="shared" si="1278"/>
        <v>0</v>
      </c>
      <c r="JV799" s="279">
        <f t="shared" si="911"/>
        <v>0</v>
      </c>
      <c r="JW799" s="323">
        <f>FISC!AN1105</f>
        <v>0</v>
      </c>
      <c r="JX799" s="327">
        <f t="shared" si="1279"/>
        <v>0</v>
      </c>
      <c r="JY799" s="279">
        <f t="shared" si="895"/>
        <v>0</v>
      </c>
      <c r="JZ799" s="323">
        <f>FISC!AO1105</f>
        <v>0</v>
      </c>
      <c r="KA799" s="327">
        <f t="shared" si="1280"/>
        <v>0</v>
      </c>
      <c r="KB799" s="279">
        <f t="shared" si="1194"/>
        <v>0</v>
      </c>
      <c r="KC799" s="323">
        <f>FISC!AP1105</f>
        <v>0</v>
      </c>
      <c r="KD799" s="327">
        <f t="shared" si="1281"/>
        <v>0</v>
      </c>
      <c r="KE799" s="279">
        <f t="shared" si="1196"/>
        <v>0</v>
      </c>
      <c r="KF799" s="323">
        <f>FISC!AQ1105</f>
        <v>0</v>
      </c>
      <c r="KG799" s="327">
        <f t="shared" si="1282"/>
        <v>0</v>
      </c>
      <c r="KH799" s="279">
        <f t="shared" si="1198"/>
        <v>0</v>
      </c>
      <c r="KI799" s="323">
        <f>FISC!AR1105</f>
        <v>0</v>
      </c>
      <c r="KJ799" s="327">
        <f t="shared" si="1283"/>
        <v>0</v>
      </c>
      <c r="KK799" s="279">
        <f t="shared" si="1200"/>
        <v>0</v>
      </c>
      <c r="KL799" s="323">
        <f>FISC!AS1105</f>
        <v>0</v>
      </c>
      <c r="KM799" s="327">
        <f t="shared" si="1284"/>
        <v>0</v>
      </c>
      <c r="KN799" s="279">
        <f t="shared" si="1202"/>
        <v>0</v>
      </c>
      <c r="KO799" s="323">
        <f>FISC!AT1105</f>
        <v>0</v>
      </c>
      <c r="KU799" s="326"/>
      <c r="KV799" s="327"/>
    </row>
    <row r="800" spans="1:308">
      <c r="A800" s="279"/>
      <c r="D800" s="1232" t="s">
        <v>492</v>
      </c>
      <c r="E800" s="323"/>
      <c r="F800" s="323"/>
      <c r="G800" s="323"/>
      <c r="H800" s="323"/>
      <c r="I800" s="323"/>
      <c r="J800" s="323"/>
      <c r="K800" s="323"/>
      <c r="L800" s="323"/>
      <c r="M800" s="323"/>
      <c r="N800" s="323"/>
      <c r="O800" s="323"/>
      <c r="P800" s="323"/>
      <c r="Q800" s="323"/>
      <c r="R800" s="323"/>
      <c r="S800" s="323"/>
      <c r="T800" s="323"/>
      <c r="U800" s="323"/>
      <c r="V800" s="323"/>
      <c r="W800" s="323"/>
      <c r="X800" s="323"/>
      <c r="Y800" s="323"/>
      <c r="Z800" s="323"/>
      <c r="AA800" s="323"/>
      <c r="AB800" s="323"/>
      <c r="AC800" s="323"/>
      <c r="AD800" s="323"/>
      <c r="AE800" s="323"/>
      <c r="AF800" s="323"/>
      <c r="AG800" s="323"/>
      <c r="AH800" s="323"/>
      <c r="AI800" s="323"/>
      <c r="AJ800" s="323"/>
      <c r="AK800" s="323"/>
      <c r="AL800" s="323"/>
      <c r="AM800" s="323"/>
      <c r="AN800" s="323"/>
      <c r="AO800" s="323"/>
      <c r="AP800" s="323"/>
      <c r="AQ800" s="323"/>
      <c r="AR800" s="323"/>
      <c r="AS800" s="323"/>
      <c r="AT800" s="323"/>
      <c r="AU800" s="323"/>
      <c r="AV800" s="323"/>
      <c r="AW800" s="323"/>
      <c r="AX800" s="323"/>
      <c r="AY800" s="323"/>
      <c r="AZ800" s="323"/>
      <c r="BA800" s="323"/>
      <c r="BB800" s="323"/>
      <c r="BC800" s="323"/>
      <c r="BD800" s="323"/>
      <c r="BE800" s="323"/>
      <c r="BF800" s="323"/>
      <c r="BG800" s="323"/>
      <c r="BH800" s="323"/>
      <c r="BI800" s="323"/>
      <c r="BJ800" s="323"/>
      <c r="BK800" s="323"/>
      <c r="BL800" s="323"/>
      <c r="BM800" s="323"/>
      <c r="BN800" s="323"/>
      <c r="BO800" s="323"/>
      <c r="BP800" s="323"/>
      <c r="BQ800" s="323"/>
      <c r="BR800" s="323"/>
      <c r="BS800" s="323"/>
      <c r="BT800" s="323"/>
      <c r="BU800" s="323"/>
      <c r="BV800" s="323"/>
      <c r="BW800" s="323"/>
      <c r="BX800" s="323"/>
      <c r="BY800" s="323"/>
      <c r="BZ800" s="323"/>
      <c r="CA800" s="323"/>
      <c r="CB800" s="323"/>
      <c r="CC800" s="323"/>
      <c r="CD800" s="329"/>
      <c r="CE800" s="323">
        <f t="shared" ref="CE800:DJ800" si="1296">CE398</f>
        <v>0</v>
      </c>
      <c r="CF800" s="323">
        <f t="shared" si="1296"/>
        <v>0</v>
      </c>
      <c r="CG800" s="323">
        <f t="shared" si="1296"/>
        <v>0</v>
      </c>
      <c r="CH800" s="323">
        <f t="shared" si="1296"/>
        <v>0</v>
      </c>
      <c r="CI800" s="323">
        <f t="shared" si="1296"/>
        <v>0</v>
      </c>
      <c r="CJ800" s="323">
        <f t="shared" si="1296"/>
        <v>0</v>
      </c>
      <c r="CK800" s="323">
        <f t="shared" si="1296"/>
        <v>0</v>
      </c>
      <c r="CL800" s="323">
        <f t="shared" si="1296"/>
        <v>0</v>
      </c>
      <c r="CM800" s="323">
        <f t="shared" si="1296"/>
        <v>0</v>
      </c>
      <c r="CN800" s="323">
        <f t="shared" si="1296"/>
        <v>0</v>
      </c>
      <c r="CO800" s="323">
        <f t="shared" si="1296"/>
        <v>0</v>
      </c>
      <c r="CP800" s="325">
        <f t="shared" si="1296"/>
        <v>0</v>
      </c>
      <c r="CQ800" s="323">
        <f t="shared" si="1296"/>
        <v>0</v>
      </c>
      <c r="CR800" s="323">
        <f t="shared" si="1296"/>
        <v>0</v>
      </c>
      <c r="CS800" s="323">
        <f t="shared" si="1296"/>
        <v>0</v>
      </c>
      <c r="CT800" s="323">
        <f t="shared" si="1296"/>
        <v>0</v>
      </c>
      <c r="CU800" s="323">
        <f t="shared" si="1296"/>
        <v>0</v>
      </c>
      <c r="CV800" s="323">
        <f t="shared" si="1296"/>
        <v>0</v>
      </c>
      <c r="CW800" s="323">
        <f t="shared" si="1296"/>
        <v>0</v>
      </c>
      <c r="CX800" s="323">
        <f t="shared" si="1296"/>
        <v>0</v>
      </c>
      <c r="CY800" s="323">
        <f t="shared" si="1296"/>
        <v>0</v>
      </c>
      <c r="CZ800" s="323">
        <f t="shared" si="1296"/>
        <v>0</v>
      </c>
      <c r="DA800" s="323">
        <f t="shared" si="1296"/>
        <v>0</v>
      </c>
      <c r="DB800" s="1269">
        <f t="shared" si="1296"/>
        <v>0</v>
      </c>
      <c r="DC800" s="323">
        <f t="shared" si="1296"/>
        <v>0</v>
      </c>
      <c r="DD800" s="323">
        <f t="shared" si="1296"/>
        <v>0</v>
      </c>
      <c r="DE800" s="323">
        <f t="shared" si="1296"/>
        <v>0</v>
      </c>
      <c r="DF800" s="323">
        <f t="shared" si="1296"/>
        <v>0</v>
      </c>
      <c r="DG800" s="323">
        <f t="shared" si="1296"/>
        <v>0</v>
      </c>
      <c r="DH800" s="323">
        <f t="shared" si="1296"/>
        <v>0</v>
      </c>
      <c r="DI800" s="323">
        <f t="shared" si="1296"/>
        <v>0</v>
      </c>
      <c r="DJ800" s="323">
        <f t="shared" si="1296"/>
        <v>0</v>
      </c>
      <c r="DK800" s="323">
        <f t="shared" ref="DK800:EP800" si="1297">DK398</f>
        <v>0</v>
      </c>
      <c r="DL800" s="323">
        <f t="shared" si="1297"/>
        <v>0</v>
      </c>
      <c r="DM800" s="323">
        <f t="shared" si="1297"/>
        <v>0</v>
      </c>
      <c r="DN800" s="325">
        <f t="shared" si="1297"/>
        <v>0</v>
      </c>
      <c r="DO800" s="323">
        <f t="shared" si="1297"/>
        <v>0</v>
      </c>
      <c r="DP800" s="323">
        <f t="shared" si="1297"/>
        <v>0</v>
      </c>
      <c r="DQ800" s="323">
        <f t="shared" si="1297"/>
        <v>0</v>
      </c>
      <c r="DR800" s="323">
        <f t="shared" si="1297"/>
        <v>0</v>
      </c>
      <c r="DS800" s="323">
        <f t="shared" si="1297"/>
        <v>0</v>
      </c>
      <c r="DT800" s="323">
        <f t="shared" si="1297"/>
        <v>0</v>
      </c>
      <c r="DU800" s="323">
        <f t="shared" si="1297"/>
        <v>0</v>
      </c>
      <c r="DV800" s="323">
        <f t="shared" si="1297"/>
        <v>0</v>
      </c>
      <c r="DW800" s="323">
        <f t="shared" si="1297"/>
        <v>0</v>
      </c>
      <c r="DX800" s="323">
        <f t="shared" si="1297"/>
        <v>0</v>
      </c>
      <c r="DY800" s="323">
        <f t="shared" si="1297"/>
        <v>0</v>
      </c>
      <c r="DZ800" s="325">
        <f t="shared" si="1297"/>
        <v>0</v>
      </c>
      <c r="EA800" s="323">
        <f t="shared" si="1297"/>
        <v>0</v>
      </c>
      <c r="EB800" s="323">
        <f t="shared" si="1297"/>
        <v>0</v>
      </c>
      <c r="EC800" s="323">
        <f t="shared" si="1297"/>
        <v>0</v>
      </c>
      <c r="ED800" s="323">
        <f t="shared" si="1297"/>
        <v>0</v>
      </c>
      <c r="EE800" s="323">
        <f t="shared" si="1297"/>
        <v>0</v>
      </c>
      <c r="EF800" s="323">
        <f t="shared" si="1297"/>
        <v>0</v>
      </c>
      <c r="EG800" s="323">
        <f t="shared" si="1297"/>
        <v>0</v>
      </c>
      <c r="EH800" s="323">
        <f t="shared" si="1297"/>
        <v>0</v>
      </c>
      <c r="EI800" s="323">
        <f t="shared" si="1297"/>
        <v>0</v>
      </c>
      <c r="EJ800" s="323">
        <f t="shared" si="1297"/>
        <v>0</v>
      </c>
      <c r="EK800" s="323">
        <f t="shared" si="1297"/>
        <v>0</v>
      </c>
      <c r="EL800" s="325">
        <f t="shared" si="1297"/>
        <v>0</v>
      </c>
      <c r="EM800" s="323">
        <f t="shared" si="1297"/>
        <v>0</v>
      </c>
      <c r="EN800" s="323">
        <f t="shared" si="1297"/>
        <v>0</v>
      </c>
      <c r="EO800" s="323">
        <f t="shared" si="1297"/>
        <v>0</v>
      </c>
      <c r="EP800" s="323">
        <f t="shared" si="1297"/>
        <v>0</v>
      </c>
      <c r="EQ800" s="323">
        <f t="shared" ref="EQ800:FV800" si="1298">EQ398</f>
        <v>0</v>
      </c>
      <c r="ER800" s="323">
        <f t="shared" si="1298"/>
        <v>0</v>
      </c>
      <c r="ES800" s="323">
        <f t="shared" si="1298"/>
        <v>0</v>
      </c>
      <c r="ET800" s="323">
        <f t="shared" si="1298"/>
        <v>0</v>
      </c>
      <c r="EU800" s="323">
        <f t="shared" si="1298"/>
        <v>0</v>
      </c>
      <c r="EV800" s="323">
        <f t="shared" si="1298"/>
        <v>0</v>
      </c>
      <c r="EW800" s="323">
        <f t="shared" si="1298"/>
        <v>0</v>
      </c>
      <c r="EX800" s="325">
        <f t="shared" si="1298"/>
        <v>0</v>
      </c>
      <c r="EY800" s="323">
        <f t="shared" si="1298"/>
        <v>0</v>
      </c>
      <c r="EZ800" s="323">
        <f t="shared" si="1298"/>
        <v>0</v>
      </c>
      <c r="FA800" s="323">
        <f t="shared" si="1298"/>
        <v>0</v>
      </c>
      <c r="FB800" s="323">
        <f t="shared" si="1298"/>
        <v>0</v>
      </c>
      <c r="FC800" s="323">
        <f t="shared" si="1298"/>
        <v>0</v>
      </c>
      <c r="FD800" s="323">
        <f t="shared" si="1298"/>
        <v>0</v>
      </c>
      <c r="FE800" s="323">
        <f t="shared" si="1298"/>
        <v>0</v>
      </c>
      <c r="FF800" s="323">
        <f t="shared" si="1298"/>
        <v>0</v>
      </c>
      <c r="FG800" s="323">
        <f t="shared" si="1298"/>
        <v>0</v>
      </c>
      <c r="FH800" s="323">
        <f t="shared" si="1298"/>
        <v>0</v>
      </c>
      <c r="FI800" s="323">
        <f t="shared" si="1298"/>
        <v>0</v>
      </c>
      <c r="FJ800" s="325">
        <f t="shared" si="1298"/>
        <v>0</v>
      </c>
      <c r="FK800" s="323">
        <f t="shared" si="1298"/>
        <v>0</v>
      </c>
      <c r="FL800" s="323">
        <f t="shared" si="1298"/>
        <v>0</v>
      </c>
      <c r="FM800" s="323">
        <f t="shared" si="1298"/>
        <v>0</v>
      </c>
      <c r="FN800" s="323">
        <f t="shared" si="1298"/>
        <v>0</v>
      </c>
      <c r="FO800" s="323">
        <f t="shared" si="1298"/>
        <v>0</v>
      </c>
      <c r="FP800" s="323">
        <f t="shared" si="1298"/>
        <v>0</v>
      </c>
      <c r="FQ800" s="323">
        <f t="shared" si="1298"/>
        <v>0</v>
      </c>
      <c r="FR800" s="323">
        <f t="shared" si="1298"/>
        <v>0</v>
      </c>
      <c r="FS800" s="323">
        <f t="shared" si="1298"/>
        <v>0</v>
      </c>
      <c r="FT800" s="323">
        <f t="shared" si="1298"/>
        <v>0</v>
      </c>
      <c r="FU800" s="323">
        <f t="shared" si="1298"/>
        <v>0</v>
      </c>
      <c r="FV800" s="323">
        <f t="shared" si="1298"/>
        <v>0</v>
      </c>
      <c r="FW800" s="323">
        <v>0</v>
      </c>
      <c r="FX800" s="323">
        <v>0</v>
      </c>
      <c r="FY800" s="323">
        <v>0</v>
      </c>
      <c r="FZ800" s="323">
        <v>0</v>
      </c>
      <c r="GA800" s="323">
        <v>0</v>
      </c>
      <c r="GB800" s="323">
        <v>0</v>
      </c>
      <c r="GC800" s="323">
        <v>0</v>
      </c>
      <c r="GD800" s="323">
        <v>0</v>
      </c>
      <c r="GE800" s="323">
        <v>0</v>
      </c>
      <c r="GF800" s="323">
        <v>0</v>
      </c>
      <c r="GG800" s="323">
        <v>0</v>
      </c>
      <c r="GH800" s="323">
        <v>0</v>
      </c>
      <c r="GI800" s="323">
        <f t="shared" ref="GI800:HL800" si="1299">GI398</f>
        <v>0</v>
      </c>
      <c r="GJ800" s="323">
        <f t="shared" si="1299"/>
        <v>0</v>
      </c>
      <c r="GK800" s="323">
        <f t="shared" si="1299"/>
        <v>0</v>
      </c>
      <c r="GL800" s="323">
        <f t="shared" si="1299"/>
        <v>0</v>
      </c>
      <c r="GM800" s="323">
        <f t="shared" si="1299"/>
        <v>0</v>
      </c>
      <c r="GN800" s="323">
        <f t="shared" si="1299"/>
        <v>0</v>
      </c>
      <c r="GO800" s="323">
        <f t="shared" si="1299"/>
        <v>0</v>
      </c>
      <c r="GP800" s="323">
        <f t="shared" si="1299"/>
        <v>0</v>
      </c>
      <c r="GQ800" s="323">
        <f t="shared" si="1299"/>
        <v>0</v>
      </c>
      <c r="GR800" s="323">
        <f t="shared" si="1299"/>
        <v>0</v>
      </c>
      <c r="GS800" s="323">
        <f t="shared" si="1299"/>
        <v>0</v>
      </c>
      <c r="GT800" s="323">
        <f t="shared" si="1299"/>
        <v>0</v>
      </c>
      <c r="GU800" s="323">
        <f t="shared" si="1299"/>
        <v>0</v>
      </c>
      <c r="GV800" s="323">
        <f t="shared" si="1299"/>
        <v>0</v>
      </c>
      <c r="GW800" s="323">
        <f t="shared" si="1299"/>
        <v>0</v>
      </c>
      <c r="GX800" s="323">
        <f t="shared" si="1299"/>
        <v>0</v>
      </c>
      <c r="GY800" s="323">
        <f t="shared" si="1299"/>
        <v>0</v>
      </c>
      <c r="GZ800" s="323">
        <f t="shared" si="1299"/>
        <v>0</v>
      </c>
      <c r="HA800" s="323">
        <f t="shared" si="1299"/>
        <v>0</v>
      </c>
      <c r="HB800" s="323">
        <f t="shared" si="1299"/>
        <v>0</v>
      </c>
      <c r="HC800" s="323">
        <f t="shared" si="1299"/>
        <v>0</v>
      </c>
      <c r="HD800" s="323">
        <f t="shared" si="1299"/>
        <v>0</v>
      </c>
      <c r="HE800" s="323">
        <f t="shared" si="1299"/>
        <v>0</v>
      </c>
      <c r="HF800" s="323">
        <f t="shared" si="1299"/>
        <v>0</v>
      </c>
      <c r="HG800" s="323">
        <f t="shared" si="1299"/>
        <v>0</v>
      </c>
      <c r="HH800" s="323">
        <f t="shared" si="1299"/>
        <v>0</v>
      </c>
      <c r="HI800" s="323">
        <f t="shared" si="1299"/>
        <v>0</v>
      </c>
      <c r="HJ800" s="323">
        <f t="shared" si="1299"/>
        <v>0</v>
      </c>
      <c r="HK800" s="323">
        <f t="shared" si="1299"/>
        <v>0</v>
      </c>
      <c r="HL800" s="323">
        <f t="shared" si="1299"/>
        <v>0</v>
      </c>
      <c r="HM800" s="323">
        <f t="shared" ref="HM800:HR800" si="1300">HM398</f>
        <v>0</v>
      </c>
      <c r="HN800" s="323">
        <f t="shared" si="1300"/>
        <v>0</v>
      </c>
      <c r="HO800" s="323">
        <f t="shared" si="1300"/>
        <v>0</v>
      </c>
      <c r="HP800" s="323">
        <f t="shared" si="1300"/>
        <v>0</v>
      </c>
      <c r="HQ800" s="323">
        <f t="shared" si="1300"/>
        <v>0</v>
      </c>
      <c r="HR800" s="323">
        <f t="shared" si="1300"/>
        <v>0</v>
      </c>
      <c r="HS800" s="323">
        <f t="shared" ref="HS800:HX800" si="1301">HS398</f>
        <v>0</v>
      </c>
      <c r="HT800" s="323">
        <f t="shared" si="1301"/>
        <v>0</v>
      </c>
      <c r="HU800" s="323">
        <f t="shared" si="1301"/>
        <v>0</v>
      </c>
      <c r="HV800" s="323">
        <f t="shared" si="1301"/>
        <v>0</v>
      </c>
      <c r="HW800" s="323">
        <f t="shared" si="1301"/>
        <v>0</v>
      </c>
      <c r="HX800" s="323">
        <f t="shared" si="1301"/>
        <v>0</v>
      </c>
      <c r="HY800" s="323"/>
      <c r="HZ800" s="326"/>
      <c r="IA800" s="1232" t="s">
        <v>492</v>
      </c>
      <c r="IB800" s="284">
        <f t="shared" si="1262"/>
        <v>0</v>
      </c>
      <c r="IC800" s="279">
        <f t="shared" si="1263"/>
        <v>0</v>
      </c>
      <c r="ID800" s="323">
        <f t="shared" si="907"/>
        <v>0</v>
      </c>
      <c r="IE800" s="279">
        <f t="shared" si="1264"/>
        <v>0</v>
      </c>
      <c r="IF800" s="279">
        <f t="shared" si="1265"/>
        <v>0</v>
      </c>
      <c r="IG800" s="323">
        <f t="shared" si="880"/>
        <v>0</v>
      </c>
      <c r="IH800" s="284">
        <f t="shared" si="1266"/>
        <v>0</v>
      </c>
      <c r="II800" s="279">
        <f t="shared" si="1267"/>
        <v>0</v>
      </c>
      <c r="IJ800" s="323">
        <f t="shared" si="881"/>
        <v>0</v>
      </c>
      <c r="IK800" s="327">
        <f t="shared" si="1268"/>
        <v>0</v>
      </c>
      <c r="IL800" s="279">
        <f t="shared" si="1269"/>
        <v>0</v>
      </c>
      <c r="IM800" s="323">
        <f t="shared" si="882"/>
        <v>0</v>
      </c>
      <c r="IN800" s="279">
        <f t="shared" si="1270"/>
        <v>0</v>
      </c>
      <c r="IO800" s="279">
        <f t="shared" si="1271"/>
        <v>0</v>
      </c>
      <c r="IP800" s="323">
        <f t="shared" si="883"/>
        <v>0</v>
      </c>
      <c r="IQ800" s="327">
        <f t="shared" si="1272"/>
        <v>0</v>
      </c>
      <c r="IR800" s="327">
        <f t="shared" si="1273"/>
        <v>0</v>
      </c>
      <c r="IS800" s="323">
        <f t="shared" si="884"/>
        <v>0</v>
      </c>
      <c r="IT800" s="327">
        <f t="shared" si="1274"/>
        <v>0</v>
      </c>
      <c r="IU800" s="327">
        <f t="shared" si="1275"/>
        <v>0</v>
      </c>
      <c r="IV800" s="323">
        <f t="shared" si="885"/>
        <v>0</v>
      </c>
      <c r="IW800" s="327">
        <f t="shared" si="1255"/>
        <v>0</v>
      </c>
      <c r="IX800" s="327">
        <f t="shared" si="1246"/>
        <v>0</v>
      </c>
      <c r="IY800" s="323">
        <f t="shared" si="886"/>
        <v>0</v>
      </c>
      <c r="IZ800" s="327">
        <f t="shared" si="1247"/>
        <v>0</v>
      </c>
      <c r="JA800" s="327">
        <f t="shared" si="1248"/>
        <v>0</v>
      </c>
      <c r="JB800" s="323">
        <f t="shared" si="887"/>
        <v>0</v>
      </c>
      <c r="JC800" s="327">
        <f t="shared" si="1249"/>
        <v>0</v>
      </c>
      <c r="JD800" s="327">
        <f t="shared" si="1250"/>
        <v>0</v>
      </c>
      <c r="JE800" s="323">
        <f t="shared" si="888"/>
        <v>0</v>
      </c>
      <c r="JF800" s="327">
        <f t="shared" si="1256"/>
        <v>0</v>
      </c>
      <c r="JG800" s="327">
        <f t="shared" si="918"/>
        <v>0</v>
      </c>
      <c r="JH800" s="323">
        <f t="shared" si="889"/>
        <v>0</v>
      </c>
      <c r="JI800" s="327">
        <f t="shared" si="909"/>
        <v>0</v>
      </c>
      <c r="JJ800" s="327">
        <f t="shared" si="910"/>
        <v>0</v>
      </c>
      <c r="JK800" s="323">
        <f t="shared" si="890"/>
        <v>0</v>
      </c>
      <c r="JL800" s="327">
        <f t="shared" si="891"/>
        <v>0</v>
      </c>
      <c r="JM800" s="279">
        <f t="shared" si="892"/>
        <v>0</v>
      </c>
      <c r="JN800" s="323">
        <f>FISC!AK1106</f>
        <v>0</v>
      </c>
      <c r="JO800" s="327">
        <f t="shared" si="1276"/>
        <v>0</v>
      </c>
      <c r="JP800" s="279">
        <f t="shared" si="893"/>
        <v>0</v>
      </c>
      <c r="JQ800" s="323">
        <f>FISC!AL1106</f>
        <v>0</v>
      </c>
      <c r="JR800" s="327">
        <f t="shared" si="1277"/>
        <v>0</v>
      </c>
      <c r="JS800" s="279">
        <f t="shared" si="894"/>
        <v>0</v>
      </c>
      <c r="JT800" s="323">
        <f>FISC!AM1106</f>
        <v>0</v>
      </c>
      <c r="JU800" s="327">
        <f t="shared" si="1278"/>
        <v>0</v>
      </c>
      <c r="JV800" s="279">
        <f t="shared" si="911"/>
        <v>0</v>
      </c>
      <c r="JW800" s="323">
        <f>FISC!AN1106</f>
        <v>0</v>
      </c>
      <c r="JX800" s="327">
        <f t="shared" si="1279"/>
        <v>0</v>
      </c>
      <c r="JY800" s="279">
        <f t="shared" si="895"/>
        <v>0</v>
      </c>
      <c r="JZ800" s="323">
        <f>FISC!AO1106</f>
        <v>0</v>
      </c>
      <c r="KA800" s="327">
        <f t="shared" si="1280"/>
        <v>0</v>
      </c>
      <c r="KB800" s="279">
        <f t="shared" si="1194"/>
        <v>0</v>
      </c>
      <c r="KC800" s="323">
        <f>FISC!AP1106</f>
        <v>0</v>
      </c>
      <c r="KD800" s="327">
        <f t="shared" si="1281"/>
        <v>0</v>
      </c>
      <c r="KE800" s="279">
        <f t="shared" si="1196"/>
        <v>0</v>
      </c>
      <c r="KF800" s="323">
        <f>FISC!AQ1106</f>
        <v>0</v>
      </c>
      <c r="KG800" s="327">
        <f t="shared" si="1282"/>
        <v>0</v>
      </c>
      <c r="KH800" s="279">
        <f t="shared" si="1198"/>
        <v>0</v>
      </c>
      <c r="KI800" s="323">
        <f>FISC!AR1106</f>
        <v>0</v>
      </c>
      <c r="KJ800" s="327">
        <f t="shared" si="1283"/>
        <v>0</v>
      </c>
      <c r="KK800" s="279">
        <f t="shared" si="1200"/>
        <v>0</v>
      </c>
      <c r="KL800" s="323">
        <f>FISC!AS1106</f>
        <v>0</v>
      </c>
      <c r="KM800" s="327">
        <f t="shared" si="1284"/>
        <v>0</v>
      </c>
      <c r="KN800" s="279">
        <f t="shared" si="1202"/>
        <v>0</v>
      </c>
      <c r="KO800" s="323">
        <f>FISC!AT1106</f>
        <v>0</v>
      </c>
      <c r="KU800" s="326"/>
      <c r="KV800" s="327"/>
    </row>
    <row r="801" spans="1:314">
      <c r="A801" s="279"/>
      <c r="D801" s="1232" t="s">
        <v>493</v>
      </c>
      <c r="E801" s="323"/>
      <c r="F801" s="323"/>
      <c r="G801" s="323"/>
      <c r="H801" s="323"/>
      <c r="I801" s="323"/>
      <c r="J801" s="323"/>
      <c r="K801" s="323"/>
      <c r="L801" s="323"/>
      <c r="M801" s="323"/>
      <c r="N801" s="323"/>
      <c r="O801" s="323"/>
      <c r="P801" s="323"/>
      <c r="Q801" s="323"/>
      <c r="R801" s="323"/>
      <c r="S801" s="323"/>
      <c r="T801" s="323"/>
      <c r="U801" s="323"/>
      <c r="V801" s="323"/>
      <c r="W801" s="323"/>
      <c r="X801" s="323"/>
      <c r="Y801" s="323"/>
      <c r="Z801" s="323"/>
      <c r="AA801" s="323"/>
      <c r="AB801" s="323"/>
      <c r="AC801" s="323"/>
      <c r="AD801" s="323"/>
      <c r="AE801" s="323"/>
      <c r="AF801" s="323"/>
      <c r="AG801" s="323"/>
      <c r="AH801" s="323"/>
      <c r="AI801" s="323"/>
      <c r="AJ801" s="323"/>
      <c r="AK801" s="323"/>
      <c r="AL801" s="323"/>
      <c r="AM801" s="323"/>
      <c r="AN801" s="323"/>
      <c r="AO801" s="323"/>
      <c r="AP801" s="323"/>
      <c r="AQ801" s="323"/>
      <c r="AR801" s="323"/>
      <c r="AS801" s="323"/>
      <c r="AT801" s="323"/>
      <c r="AU801" s="323"/>
      <c r="AV801" s="323"/>
      <c r="AW801" s="323"/>
      <c r="AX801" s="323"/>
      <c r="AY801" s="323"/>
      <c r="AZ801" s="323"/>
      <c r="BA801" s="323"/>
      <c r="BB801" s="323"/>
      <c r="BC801" s="323"/>
      <c r="BD801" s="323"/>
      <c r="BE801" s="323"/>
      <c r="BF801" s="323"/>
      <c r="BG801" s="323"/>
      <c r="BH801" s="323"/>
      <c r="BI801" s="323"/>
      <c r="BJ801" s="323"/>
      <c r="BK801" s="323"/>
      <c r="BL801" s="323"/>
      <c r="BM801" s="323"/>
      <c r="BN801" s="323"/>
      <c r="BO801" s="323"/>
      <c r="BP801" s="323"/>
      <c r="BQ801" s="323"/>
      <c r="BR801" s="323"/>
      <c r="BS801" s="323"/>
      <c r="BT801" s="323"/>
      <c r="BU801" s="323"/>
      <c r="BV801" s="323"/>
      <c r="BW801" s="323"/>
      <c r="BX801" s="323"/>
      <c r="BY801" s="323"/>
      <c r="BZ801" s="323"/>
      <c r="CA801" s="323"/>
      <c r="CB801" s="323"/>
      <c r="CC801" s="323"/>
      <c r="CD801" s="329"/>
      <c r="CE801" s="323">
        <f t="shared" ref="CE801:DJ801" si="1302">CE399</f>
        <v>2.9019E-2</v>
      </c>
      <c r="CF801" s="323">
        <f t="shared" si="1302"/>
        <v>3.0443028E-2</v>
      </c>
      <c r="CG801" s="323">
        <f t="shared" si="1302"/>
        <v>2.9402956000000001E-2</v>
      </c>
      <c r="CH801" s="323">
        <f t="shared" si="1302"/>
        <v>2.5939E-2</v>
      </c>
      <c r="CI801" s="323">
        <f t="shared" si="1302"/>
        <v>2.1454615E-2</v>
      </c>
      <c r="CJ801" s="323">
        <f t="shared" si="1302"/>
        <v>2.7730419999999999E-2</v>
      </c>
      <c r="CK801" s="323">
        <f t="shared" si="1302"/>
        <v>3.0049919000000001E-2</v>
      </c>
      <c r="CL801" s="323">
        <f t="shared" si="1302"/>
        <v>3.3757825999999998E-2</v>
      </c>
      <c r="CM801" s="323">
        <f t="shared" si="1302"/>
        <v>4.5076725999999998E-2</v>
      </c>
      <c r="CN801" s="323">
        <f t="shared" si="1302"/>
        <v>4.9540202999999998E-2</v>
      </c>
      <c r="CO801" s="323">
        <f t="shared" si="1302"/>
        <v>5.3802061999999998E-2</v>
      </c>
      <c r="CP801" s="325">
        <f t="shared" si="1302"/>
        <v>2.0424985969999998</v>
      </c>
      <c r="CQ801" s="323">
        <f t="shared" si="1302"/>
        <v>9.2455625E-2</v>
      </c>
      <c r="CR801" s="323">
        <f t="shared" si="1302"/>
        <v>5.8016163000000003E-2</v>
      </c>
      <c r="CS801" s="323">
        <f t="shared" si="1302"/>
        <v>5.426475E-2</v>
      </c>
      <c r="CT801" s="323">
        <f t="shared" si="1302"/>
        <v>5.0637036000000003E-2</v>
      </c>
      <c r="CU801" s="323">
        <f t="shared" si="1302"/>
        <v>5.6333473000000002E-2</v>
      </c>
      <c r="CV801" s="323">
        <f t="shared" si="1302"/>
        <v>6.1871487000000003E-2</v>
      </c>
      <c r="CW801" s="323">
        <f t="shared" si="1302"/>
        <v>6.0470482999999998E-2</v>
      </c>
      <c r="CX801" s="323">
        <f t="shared" si="1302"/>
        <v>6.5419802999999999E-2</v>
      </c>
      <c r="CY801" s="323">
        <f t="shared" si="1302"/>
        <v>6.6502772000000002E-2</v>
      </c>
      <c r="CZ801" s="323">
        <f t="shared" si="1302"/>
        <v>5.6616418000000002E-2</v>
      </c>
      <c r="DA801" s="323">
        <f t="shared" si="1302"/>
        <v>5.7814781000000003E-2</v>
      </c>
      <c r="DB801" s="1269">
        <f t="shared" si="1302"/>
        <v>5.6000117000000002E-2</v>
      </c>
      <c r="DC801" s="323">
        <f t="shared" si="1302"/>
        <v>9.6366417744588609E-2</v>
      </c>
      <c r="DD801" s="323">
        <f t="shared" si="1302"/>
        <v>6.5579677243383164E-2</v>
      </c>
      <c r="DE801" s="323">
        <f t="shared" si="1302"/>
        <v>6.2069700414791013E-2</v>
      </c>
      <c r="DF801" s="323">
        <f t="shared" si="1302"/>
        <v>6.7843064571146069E-2</v>
      </c>
      <c r="DG801" s="323">
        <f t="shared" si="1302"/>
        <v>7.1081475520421863E-2</v>
      </c>
      <c r="DH801" s="323">
        <f t="shared" si="1302"/>
        <v>7.831465987054971E-2</v>
      </c>
      <c r="DI801" s="323">
        <f t="shared" si="1302"/>
        <v>6.3955531208804484E-2</v>
      </c>
      <c r="DJ801" s="323">
        <f t="shared" si="1302"/>
        <v>8.418332943502857E-2</v>
      </c>
      <c r="DK801" s="323">
        <f t="shared" ref="DK801:EP801" si="1303">DK399</f>
        <v>8.1018853751948422E-2</v>
      </c>
      <c r="DL801" s="323">
        <f t="shared" si="1303"/>
        <v>6.5828797598082897E-2</v>
      </c>
      <c r="DM801" s="323">
        <f t="shared" si="1303"/>
        <v>6.7932009080562794E-2</v>
      </c>
      <c r="DN801" s="325">
        <f t="shared" si="1303"/>
        <v>6.2578164541410547E-2</v>
      </c>
      <c r="DO801" s="323">
        <f t="shared" si="1303"/>
        <v>0</v>
      </c>
      <c r="DP801" s="323">
        <f t="shared" si="1303"/>
        <v>0</v>
      </c>
      <c r="DQ801" s="323">
        <f t="shared" si="1303"/>
        <v>0</v>
      </c>
      <c r="DR801" s="323">
        <f t="shared" si="1303"/>
        <v>0</v>
      </c>
      <c r="DS801" s="323">
        <f t="shared" si="1303"/>
        <v>0</v>
      </c>
      <c r="DT801" s="323">
        <f t="shared" si="1303"/>
        <v>0</v>
      </c>
      <c r="DU801" s="323">
        <f t="shared" si="1303"/>
        <v>0</v>
      </c>
      <c r="DV801" s="323">
        <f t="shared" si="1303"/>
        <v>0</v>
      </c>
      <c r="DW801" s="323">
        <f t="shared" si="1303"/>
        <v>0</v>
      </c>
      <c r="DX801" s="323">
        <f t="shared" si="1303"/>
        <v>0</v>
      </c>
      <c r="DY801" s="323">
        <f t="shared" si="1303"/>
        <v>0</v>
      </c>
      <c r="DZ801" s="325">
        <f t="shared" si="1303"/>
        <v>0</v>
      </c>
      <c r="EA801" s="323">
        <f t="shared" si="1303"/>
        <v>0.17843176147015635</v>
      </c>
      <c r="EB801" s="323">
        <f t="shared" si="1303"/>
        <v>1.1068213785765339E-2</v>
      </c>
      <c r="EC801" s="323">
        <f t="shared" si="1303"/>
        <v>6.5593313143918724E-2</v>
      </c>
      <c r="ED801" s="323">
        <f t="shared" si="1303"/>
        <v>0.10688350416823514</v>
      </c>
      <c r="EE801" s="323">
        <f t="shared" si="1303"/>
        <v>0.13929436857888944</v>
      </c>
      <c r="EF801" s="323">
        <f t="shared" si="1303"/>
        <v>0.17936977612196442</v>
      </c>
      <c r="EG801" s="323">
        <f t="shared" si="1303"/>
        <v>1.9877427848863954E-2</v>
      </c>
      <c r="EH801" s="323">
        <f t="shared" si="1303"/>
        <v>2.304272104931706E-2</v>
      </c>
      <c r="EI801" s="323">
        <f t="shared" si="1303"/>
        <v>2.0406779143309947E-2</v>
      </c>
      <c r="EJ801" s="323">
        <f t="shared" si="1303"/>
        <v>1.7163095796810426E-2</v>
      </c>
      <c r="EK801" s="323">
        <f t="shared" si="1303"/>
        <v>1.544813681708251E-2</v>
      </c>
      <c r="EL801" s="325">
        <f t="shared" si="1303"/>
        <v>2.1309053801818231E-2</v>
      </c>
      <c r="EM801" s="323">
        <f t="shared" si="1303"/>
        <v>0</v>
      </c>
      <c r="EN801" s="323">
        <f t="shared" si="1303"/>
        <v>0</v>
      </c>
      <c r="EO801" s="323">
        <f t="shared" si="1303"/>
        <v>0</v>
      </c>
      <c r="EP801" s="323">
        <f t="shared" si="1303"/>
        <v>0</v>
      </c>
      <c r="EQ801" s="323">
        <f t="shared" ref="EQ801:FV801" si="1304">EQ399</f>
        <v>0</v>
      </c>
      <c r="ER801" s="323">
        <f t="shared" si="1304"/>
        <v>0</v>
      </c>
      <c r="ES801" s="323">
        <f t="shared" si="1304"/>
        <v>0</v>
      </c>
      <c r="ET801" s="323">
        <f t="shared" si="1304"/>
        <v>0</v>
      </c>
      <c r="EU801" s="323">
        <f t="shared" si="1304"/>
        <v>0</v>
      </c>
      <c r="EV801" s="323">
        <f t="shared" si="1304"/>
        <v>0</v>
      </c>
      <c r="EW801" s="323">
        <f t="shared" si="1304"/>
        <v>0</v>
      </c>
      <c r="EX801" s="325">
        <f t="shared" si="1304"/>
        <v>0</v>
      </c>
      <c r="EY801" s="323">
        <f t="shared" si="1304"/>
        <v>0</v>
      </c>
      <c r="EZ801" s="323">
        <f t="shared" si="1304"/>
        <v>0</v>
      </c>
      <c r="FA801" s="323">
        <f t="shared" si="1304"/>
        <v>0</v>
      </c>
      <c r="FB801" s="323">
        <f t="shared" si="1304"/>
        <v>0</v>
      </c>
      <c r="FC801" s="323">
        <f t="shared" si="1304"/>
        <v>0</v>
      </c>
      <c r="FD801" s="323">
        <f t="shared" si="1304"/>
        <v>0</v>
      </c>
      <c r="FE801" s="323">
        <f t="shared" si="1304"/>
        <v>0</v>
      </c>
      <c r="FF801" s="323">
        <f t="shared" si="1304"/>
        <v>0</v>
      </c>
      <c r="FG801" s="323">
        <f t="shared" si="1304"/>
        <v>0</v>
      </c>
      <c r="FH801" s="323">
        <f t="shared" si="1304"/>
        <v>0</v>
      </c>
      <c r="FI801" s="323">
        <f t="shared" si="1304"/>
        <v>0</v>
      </c>
      <c r="FJ801" s="325">
        <f t="shared" si="1304"/>
        <v>0</v>
      </c>
      <c r="FK801" s="323">
        <f t="shared" si="1304"/>
        <v>0</v>
      </c>
      <c r="FL801" s="323">
        <f t="shared" si="1304"/>
        <v>0</v>
      </c>
      <c r="FM801" s="323">
        <f t="shared" si="1304"/>
        <v>0</v>
      </c>
      <c r="FN801" s="323">
        <f t="shared" si="1304"/>
        <v>0</v>
      </c>
      <c r="FO801" s="323">
        <f t="shared" si="1304"/>
        <v>0</v>
      </c>
      <c r="FP801" s="323">
        <f t="shared" si="1304"/>
        <v>0</v>
      </c>
      <c r="FQ801" s="323">
        <f t="shared" si="1304"/>
        <v>0</v>
      </c>
      <c r="FR801" s="323">
        <f t="shared" si="1304"/>
        <v>0</v>
      </c>
      <c r="FS801" s="323">
        <f t="shared" si="1304"/>
        <v>0</v>
      </c>
      <c r="FT801" s="323">
        <f t="shared" si="1304"/>
        <v>0</v>
      </c>
      <c r="FU801" s="323">
        <f t="shared" si="1304"/>
        <v>0</v>
      </c>
      <c r="FV801" s="323">
        <f t="shared" si="1304"/>
        <v>0</v>
      </c>
      <c r="FW801" s="323">
        <v>0</v>
      </c>
      <c r="FX801" s="323">
        <v>0</v>
      </c>
      <c r="FY801" s="323">
        <v>0</v>
      </c>
      <c r="FZ801" s="323">
        <v>0</v>
      </c>
      <c r="GA801" s="323">
        <v>0</v>
      </c>
      <c r="GB801" s="323">
        <v>0</v>
      </c>
      <c r="GC801" s="323">
        <v>0</v>
      </c>
      <c r="GD801" s="323">
        <v>0</v>
      </c>
      <c r="GE801" s="323">
        <v>0</v>
      </c>
      <c r="GF801" s="323">
        <v>0</v>
      </c>
      <c r="GG801" s="323">
        <v>0</v>
      </c>
      <c r="GH801" s="323">
        <v>0</v>
      </c>
      <c r="GI801" s="323">
        <f t="shared" ref="GI801:HL801" si="1305">GI399</f>
        <v>0</v>
      </c>
      <c r="GJ801" s="323">
        <f t="shared" si="1305"/>
        <v>0</v>
      </c>
      <c r="GK801" s="323">
        <f t="shared" si="1305"/>
        <v>0</v>
      </c>
      <c r="GL801" s="323">
        <f t="shared" si="1305"/>
        <v>0</v>
      </c>
      <c r="GM801" s="323">
        <f t="shared" si="1305"/>
        <v>0</v>
      </c>
      <c r="GN801" s="323">
        <f t="shared" si="1305"/>
        <v>0</v>
      </c>
      <c r="GO801" s="323">
        <f t="shared" si="1305"/>
        <v>0</v>
      </c>
      <c r="GP801" s="323">
        <f t="shared" si="1305"/>
        <v>0</v>
      </c>
      <c r="GQ801" s="323">
        <f t="shared" si="1305"/>
        <v>0</v>
      </c>
      <c r="GR801" s="323">
        <f t="shared" si="1305"/>
        <v>0</v>
      </c>
      <c r="GS801" s="323">
        <f t="shared" si="1305"/>
        <v>0</v>
      </c>
      <c r="GT801" s="323">
        <f t="shared" si="1305"/>
        <v>0</v>
      </c>
      <c r="GU801" s="323">
        <f t="shared" si="1305"/>
        <v>0</v>
      </c>
      <c r="GV801" s="323">
        <f t="shared" si="1305"/>
        <v>0</v>
      </c>
      <c r="GW801" s="323">
        <f t="shared" si="1305"/>
        <v>0</v>
      </c>
      <c r="GX801" s="323">
        <f t="shared" si="1305"/>
        <v>0</v>
      </c>
      <c r="GY801" s="323">
        <f t="shared" si="1305"/>
        <v>0</v>
      </c>
      <c r="GZ801" s="323">
        <f t="shared" si="1305"/>
        <v>0</v>
      </c>
      <c r="HA801" s="323">
        <f t="shared" si="1305"/>
        <v>0</v>
      </c>
      <c r="HB801" s="323">
        <f t="shared" si="1305"/>
        <v>0</v>
      </c>
      <c r="HC801" s="323">
        <f t="shared" si="1305"/>
        <v>0</v>
      </c>
      <c r="HD801" s="323">
        <f t="shared" si="1305"/>
        <v>0</v>
      </c>
      <c r="HE801" s="323">
        <f t="shared" si="1305"/>
        <v>0</v>
      </c>
      <c r="HF801" s="323">
        <f t="shared" si="1305"/>
        <v>0</v>
      </c>
      <c r="HG801" s="323">
        <f t="shared" si="1305"/>
        <v>0</v>
      </c>
      <c r="HH801" s="323">
        <f t="shared" si="1305"/>
        <v>0</v>
      </c>
      <c r="HI801" s="323">
        <f t="shared" si="1305"/>
        <v>0</v>
      </c>
      <c r="HJ801" s="323">
        <f t="shared" si="1305"/>
        <v>0</v>
      </c>
      <c r="HK801" s="323">
        <f t="shared" si="1305"/>
        <v>0</v>
      </c>
      <c r="HL801" s="323">
        <f t="shared" si="1305"/>
        <v>0</v>
      </c>
      <c r="HM801" s="323">
        <f t="shared" ref="HM801:HR801" si="1306">HM399</f>
        <v>0</v>
      </c>
      <c r="HN801" s="323">
        <f t="shared" si="1306"/>
        <v>0</v>
      </c>
      <c r="HO801" s="323">
        <f t="shared" si="1306"/>
        <v>0</v>
      </c>
      <c r="HP801" s="323">
        <f t="shared" si="1306"/>
        <v>0</v>
      </c>
      <c r="HQ801" s="323">
        <f t="shared" si="1306"/>
        <v>0</v>
      </c>
      <c r="HR801" s="323">
        <f t="shared" si="1306"/>
        <v>0</v>
      </c>
      <c r="HS801" s="323">
        <f t="shared" ref="HS801:HX801" si="1307">HS399</f>
        <v>0</v>
      </c>
      <c r="HT801" s="323">
        <f t="shared" si="1307"/>
        <v>0</v>
      </c>
      <c r="HU801" s="323">
        <f t="shared" si="1307"/>
        <v>0</v>
      </c>
      <c r="HV801" s="323">
        <f t="shared" si="1307"/>
        <v>0</v>
      </c>
      <c r="HW801" s="323">
        <f t="shared" si="1307"/>
        <v>0</v>
      </c>
      <c r="HX801" s="323">
        <f t="shared" si="1307"/>
        <v>0</v>
      </c>
      <c r="HY801" s="323"/>
      <c r="HZ801" s="326"/>
      <c r="IA801" s="1232" t="s">
        <v>493</v>
      </c>
      <c r="IB801" s="284">
        <f t="shared" si="1262"/>
        <v>0.16398901900000001</v>
      </c>
      <c r="IC801" s="279">
        <f t="shared" si="1263"/>
        <v>2.2547253329999997</v>
      </c>
      <c r="ID801" s="323">
        <f t="shared" si="907"/>
        <v>2.4187143519999998</v>
      </c>
      <c r="IE801" s="279">
        <f t="shared" si="1264"/>
        <v>0.37357853400000002</v>
      </c>
      <c r="IF801" s="279">
        <f t="shared" si="1265"/>
        <v>0.36282437400000001</v>
      </c>
      <c r="IG801" s="323">
        <f t="shared" si="880"/>
        <v>0.73640290800000008</v>
      </c>
      <c r="IH801" s="284">
        <f t="shared" si="1266"/>
        <v>0.44125499536488044</v>
      </c>
      <c r="II801" s="279">
        <f t="shared" si="1267"/>
        <v>0.42549668561583776</v>
      </c>
      <c r="IJ801" s="323">
        <f t="shared" si="881"/>
        <v>0.8667516809807182</v>
      </c>
      <c r="IK801" s="327">
        <f t="shared" si="1268"/>
        <v>0</v>
      </c>
      <c r="IL801" s="279">
        <f t="shared" si="1269"/>
        <v>0</v>
      </c>
      <c r="IM801" s="323">
        <f t="shared" si="882"/>
        <v>0</v>
      </c>
      <c r="IN801" s="279">
        <f t="shared" si="1270"/>
        <v>0.68064093726892949</v>
      </c>
      <c r="IO801" s="279">
        <f t="shared" si="1271"/>
        <v>0.11724721445720213</v>
      </c>
      <c r="IP801" s="323">
        <f t="shared" si="883"/>
        <v>0.79788815172613159</v>
      </c>
      <c r="IQ801" s="327">
        <f t="shared" si="1272"/>
        <v>0</v>
      </c>
      <c r="IR801" s="327">
        <f t="shared" si="1273"/>
        <v>0</v>
      </c>
      <c r="IS801" s="323">
        <f t="shared" si="884"/>
        <v>0</v>
      </c>
      <c r="IT801" s="327">
        <f t="shared" si="1274"/>
        <v>0</v>
      </c>
      <c r="IU801" s="327">
        <f t="shared" si="1275"/>
        <v>0</v>
      </c>
      <c r="IV801" s="323">
        <f t="shared" si="885"/>
        <v>0</v>
      </c>
      <c r="IW801" s="327">
        <f t="shared" si="1255"/>
        <v>0</v>
      </c>
      <c r="IX801" s="327">
        <f t="shared" si="1246"/>
        <v>0</v>
      </c>
      <c r="IY801" s="323">
        <f>IW801+IX801</f>
        <v>0</v>
      </c>
      <c r="IZ801" s="327">
        <f t="shared" si="1247"/>
        <v>0</v>
      </c>
      <c r="JA801" s="327">
        <f t="shared" si="1248"/>
        <v>0</v>
      </c>
      <c r="JB801" s="323">
        <f t="shared" si="887"/>
        <v>0</v>
      </c>
      <c r="JC801" s="327">
        <f t="shared" si="1249"/>
        <v>0</v>
      </c>
      <c r="JD801" s="327">
        <f t="shared" si="1250"/>
        <v>0</v>
      </c>
      <c r="JE801" s="323">
        <f t="shared" si="888"/>
        <v>0</v>
      </c>
      <c r="JF801" s="327">
        <f t="shared" si="1256"/>
        <v>0</v>
      </c>
      <c r="JG801" s="327">
        <f t="shared" si="918"/>
        <v>0</v>
      </c>
      <c r="JH801" s="323">
        <f t="shared" si="889"/>
        <v>0</v>
      </c>
      <c r="JI801" s="327">
        <f t="shared" si="909"/>
        <v>0</v>
      </c>
      <c r="JJ801" s="327">
        <f t="shared" si="910"/>
        <v>0</v>
      </c>
      <c r="JK801" s="323">
        <f t="shared" si="890"/>
        <v>0</v>
      </c>
      <c r="JL801" s="327">
        <f t="shared" si="891"/>
        <v>0</v>
      </c>
      <c r="JM801" s="279">
        <f t="shared" si="892"/>
        <v>0</v>
      </c>
      <c r="JN801" s="323">
        <f>FISC!AK1107</f>
        <v>0</v>
      </c>
      <c r="JO801" s="327">
        <f t="shared" si="1276"/>
        <v>0</v>
      </c>
      <c r="JP801" s="279">
        <f t="shared" si="893"/>
        <v>0</v>
      </c>
      <c r="JQ801" s="323">
        <f>FISC!AL1107</f>
        <v>0</v>
      </c>
      <c r="JR801" s="327">
        <f t="shared" si="1277"/>
        <v>0</v>
      </c>
      <c r="JS801" s="279">
        <f t="shared" si="894"/>
        <v>0</v>
      </c>
      <c r="JT801" s="323">
        <f>FISC!AM1107</f>
        <v>0</v>
      </c>
      <c r="JU801" s="327">
        <f t="shared" si="1278"/>
        <v>0</v>
      </c>
      <c r="JV801" s="279">
        <f t="shared" si="911"/>
        <v>0</v>
      </c>
      <c r="JW801" s="323">
        <f>FISC!AN1107</f>
        <v>0</v>
      </c>
      <c r="JX801" s="327">
        <f t="shared" si="1279"/>
        <v>0</v>
      </c>
      <c r="JY801" s="279">
        <f t="shared" si="895"/>
        <v>0</v>
      </c>
      <c r="JZ801" s="323">
        <f>FISC!AO1107</f>
        <v>0</v>
      </c>
      <c r="KA801" s="327">
        <f t="shared" si="1280"/>
        <v>0</v>
      </c>
      <c r="KB801" s="279">
        <f t="shared" si="1194"/>
        <v>0</v>
      </c>
      <c r="KC801" s="323">
        <f>FISC!AP1107</f>
        <v>0</v>
      </c>
      <c r="KD801" s="327">
        <f t="shared" si="1281"/>
        <v>0</v>
      </c>
      <c r="KE801" s="279">
        <f t="shared" si="1196"/>
        <v>0</v>
      </c>
      <c r="KF801" s="323">
        <f>FISC!AQ1107</f>
        <v>0</v>
      </c>
      <c r="KG801" s="327">
        <f t="shared" si="1282"/>
        <v>0</v>
      </c>
      <c r="KH801" s="279">
        <f t="shared" si="1198"/>
        <v>0</v>
      </c>
      <c r="KI801" s="323">
        <f>FISC!AR1107</f>
        <v>0</v>
      </c>
      <c r="KJ801" s="327">
        <f t="shared" si="1283"/>
        <v>0</v>
      </c>
      <c r="KK801" s="279">
        <f t="shared" si="1200"/>
        <v>0</v>
      </c>
      <c r="KL801" s="323">
        <f>FISC!AS1107</f>
        <v>0</v>
      </c>
      <c r="KM801" s="327">
        <f t="shared" si="1284"/>
        <v>0</v>
      </c>
      <c r="KN801" s="279">
        <f t="shared" si="1202"/>
        <v>0</v>
      </c>
      <c r="KO801" s="323">
        <f>FISC!AT1107</f>
        <v>0</v>
      </c>
      <c r="KU801" s="326"/>
      <c r="KV801" s="327"/>
    </row>
    <row r="802" spans="1:314">
      <c r="A802" s="279"/>
      <c r="B802" s="96" t="s">
        <v>338</v>
      </c>
      <c r="D802" s="332" t="s">
        <v>494</v>
      </c>
      <c r="E802" s="323"/>
      <c r="F802" s="323"/>
      <c r="G802" s="323"/>
      <c r="H802" s="323"/>
      <c r="I802" s="323"/>
      <c r="J802" s="323"/>
      <c r="K802" s="323"/>
      <c r="L802" s="323"/>
      <c r="M802" s="323"/>
      <c r="N802" s="323"/>
      <c r="O802" s="323"/>
      <c r="P802" s="323"/>
      <c r="Q802" s="323"/>
      <c r="R802" s="323"/>
      <c r="S802" s="323"/>
      <c r="T802" s="323"/>
      <c r="U802" s="323"/>
      <c r="V802" s="323"/>
      <c r="W802" s="323"/>
      <c r="X802" s="323"/>
      <c r="Y802" s="323"/>
      <c r="Z802" s="323"/>
      <c r="AA802" s="323"/>
      <c r="AB802" s="323"/>
      <c r="AC802" s="323"/>
      <c r="AD802" s="323"/>
      <c r="AE802" s="323"/>
      <c r="AF802" s="323"/>
      <c r="AG802" s="323"/>
      <c r="AH802" s="323"/>
      <c r="AI802" s="323"/>
      <c r="AJ802" s="323"/>
      <c r="AK802" s="323"/>
      <c r="AL802" s="323"/>
      <c r="AM802" s="323"/>
      <c r="AN802" s="323"/>
      <c r="AO802" s="323">
        <v>0</v>
      </c>
      <c r="AP802" s="323">
        <v>0</v>
      </c>
      <c r="AQ802" s="323">
        <v>0</v>
      </c>
      <c r="AR802" s="323">
        <v>0</v>
      </c>
      <c r="AS802" s="323">
        <v>0</v>
      </c>
      <c r="AT802" s="323">
        <v>0</v>
      </c>
      <c r="AU802" s="323">
        <v>0</v>
      </c>
      <c r="AV802" s="323">
        <v>0</v>
      </c>
      <c r="AW802" s="323">
        <v>0</v>
      </c>
      <c r="AX802" s="323">
        <v>0</v>
      </c>
      <c r="AY802" s="323">
        <v>0</v>
      </c>
      <c r="AZ802" s="323">
        <v>0</v>
      </c>
      <c r="BA802" s="323">
        <v>0</v>
      </c>
      <c r="BB802" s="323">
        <v>0</v>
      </c>
      <c r="BC802" s="323">
        <v>0</v>
      </c>
      <c r="BD802" s="323">
        <v>0</v>
      </c>
      <c r="BE802" s="323">
        <v>0</v>
      </c>
      <c r="BF802" s="323">
        <v>0</v>
      </c>
      <c r="BG802" s="323">
        <v>0</v>
      </c>
      <c r="BH802" s="323">
        <v>0</v>
      </c>
      <c r="BI802" s="323">
        <v>0</v>
      </c>
      <c r="BJ802" s="323">
        <v>0</v>
      </c>
      <c r="BK802" s="323">
        <v>0</v>
      </c>
      <c r="BL802" s="323">
        <v>0</v>
      </c>
      <c r="BM802" s="323">
        <v>0</v>
      </c>
      <c r="BN802" s="323">
        <v>0</v>
      </c>
      <c r="BO802" s="323">
        <v>0</v>
      </c>
      <c r="BP802" s="323">
        <v>0</v>
      </c>
      <c r="BQ802" s="323">
        <v>0</v>
      </c>
      <c r="BR802" s="323">
        <v>0</v>
      </c>
      <c r="BS802" s="323">
        <v>0</v>
      </c>
      <c r="BT802" s="323">
        <v>0</v>
      </c>
      <c r="BU802" s="323">
        <v>0</v>
      </c>
      <c r="BV802" s="323">
        <v>0</v>
      </c>
      <c r="BW802" s="323">
        <v>0</v>
      </c>
      <c r="BX802" s="323">
        <v>0</v>
      </c>
      <c r="BY802" s="323">
        <v>0</v>
      </c>
      <c r="BZ802" s="323">
        <v>0</v>
      </c>
      <c r="CA802" s="323">
        <v>0</v>
      </c>
      <c r="CB802" s="323">
        <v>0</v>
      </c>
      <c r="CC802" s="323">
        <v>0</v>
      </c>
      <c r="CD802" s="329">
        <f>CD400</f>
        <v>0</v>
      </c>
      <c r="CE802" s="323">
        <f t="shared" ref="CE802:DJ802" si="1308">CE400</f>
        <v>0</v>
      </c>
      <c r="CF802" s="323">
        <f t="shared" si="1308"/>
        <v>0</v>
      </c>
      <c r="CG802" s="323">
        <f t="shared" si="1308"/>
        <v>0</v>
      </c>
      <c r="CH802" s="323">
        <f t="shared" si="1308"/>
        <v>0</v>
      </c>
      <c r="CI802" s="323">
        <f t="shared" si="1308"/>
        <v>0</v>
      </c>
      <c r="CJ802" s="323">
        <f t="shared" si="1308"/>
        <v>0</v>
      </c>
      <c r="CK802" s="323">
        <f t="shared" si="1308"/>
        <v>0</v>
      </c>
      <c r="CL802" s="323">
        <f t="shared" si="1308"/>
        <v>0</v>
      </c>
      <c r="CM802" s="323">
        <f t="shared" si="1308"/>
        <v>0</v>
      </c>
      <c r="CN802" s="323">
        <f t="shared" si="1308"/>
        <v>0</v>
      </c>
      <c r="CO802" s="323">
        <f t="shared" si="1308"/>
        <v>0</v>
      </c>
      <c r="CP802" s="325">
        <f t="shared" si="1308"/>
        <v>0</v>
      </c>
      <c r="CQ802" s="323">
        <f t="shared" si="1308"/>
        <v>0</v>
      </c>
      <c r="CR802" s="323">
        <f t="shared" si="1308"/>
        <v>0</v>
      </c>
      <c r="CS802" s="323">
        <f t="shared" si="1308"/>
        <v>0</v>
      </c>
      <c r="CT802" s="323">
        <f t="shared" si="1308"/>
        <v>0</v>
      </c>
      <c r="CU802" s="323">
        <f t="shared" si="1308"/>
        <v>0</v>
      </c>
      <c r="CV802" s="323">
        <f t="shared" si="1308"/>
        <v>0</v>
      </c>
      <c r="CW802" s="323">
        <f t="shared" si="1308"/>
        <v>0</v>
      </c>
      <c r="CX802" s="323">
        <f t="shared" si="1308"/>
        <v>0</v>
      </c>
      <c r="CY802" s="323">
        <f t="shared" si="1308"/>
        <v>0</v>
      </c>
      <c r="CZ802" s="323">
        <f t="shared" si="1308"/>
        <v>0</v>
      </c>
      <c r="DA802" s="323">
        <f t="shared" si="1308"/>
        <v>0</v>
      </c>
      <c r="DB802" s="1269">
        <f t="shared" si="1308"/>
        <v>0</v>
      </c>
      <c r="DC802" s="323">
        <f t="shared" si="1308"/>
        <v>0</v>
      </c>
      <c r="DD802" s="323">
        <f t="shared" si="1308"/>
        <v>0</v>
      </c>
      <c r="DE802" s="323">
        <f t="shared" si="1308"/>
        <v>0</v>
      </c>
      <c r="DF802" s="323">
        <f t="shared" si="1308"/>
        <v>0</v>
      </c>
      <c r="DG802" s="323">
        <f t="shared" si="1308"/>
        <v>0</v>
      </c>
      <c r="DH802" s="323">
        <f t="shared" si="1308"/>
        <v>0</v>
      </c>
      <c r="DI802" s="323">
        <f t="shared" si="1308"/>
        <v>0</v>
      </c>
      <c r="DJ802" s="323">
        <f t="shared" si="1308"/>
        <v>0</v>
      </c>
      <c r="DK802" s="323">
        <f t="shared" ref="DK802:EP802" si="1309">DK400</f>
        <v>0</v>
      </c>
      <c r="DL802" s="323">
        <f t="shared" si="1309"/>
        <v>0</v>
      </c>
      <c r="DM802" s="323">
        <f t="shared" si="1309"/>
        <v>0</v>
      </c>
      <c r="DN802" s="325">
        <f t="shared" si="1309"/>
        <v>0</v>
      </c>
      <c r="DO802" s="323">
        <f t="shared" si="1309"/>
        <v>1.4012196116278401</v>
      </c>
      <c r="DP802" s="323">
        <f t="shared" si="1309"/>
        <v>1.6494282220527039</v>
      </c>
      <c r="DQ802" s="323">
        <f t="shared" si="1309"/>
        <v>1.6889298647278099</v>
      </c>
      <c r="DR802" s="323">
        <f t="shared" si="1309"/>
        <v>1.4231696573650972</v>
      </c>
      <c r="DS802" s="323">
        <f t="shared" si="1309"/>
        <v>1.6544713914223328</v>
      </c>
      <c r="DT802" s="323">
        <f t="shared" si="1309"/>
        <v>1.932345019940918</v>
      </c>
      <c r="DU802" s="323">
        <f t="shared" si="1309"/>
        <v>1.8640574035777588</v>
      </c>
      <c r="DV802" s="323">
        <f t="shared" si="1309"/>
        <v>1.4360335330885925</v>
      </c>
      <c r="DW802" s="323">
        <f t="shared" si="1309"/>
        <v>1.7761069132149354</v>
      </c>
      <c r="DX802" s="323">
        <f t="shared" si="1309"/>
        <v>1.5111364337747801</v>
      </c>
      <c r="DY802" s="323">
        <f t="shared" si="1309"/>
        <v>1.70934394185147</v>
      </c>
      <c r="DZ802" s="325">
        <f t="shared" si="1309"/>
        <v>1.9651395078054199</v>
      </c>
      <c r="EA802" s="323">
        <f t="shared" si="1309"/>
        <v>1.9831582390338744</v>
      </c>
      <c r="EB802" s="323">
        <f t="shared" si="1309"/>
        <v>2.4947089151636046</v>
      </c>
      <c r="EC802" s="323">
        <f t="shared" si="1309"/>
        <v>2.9591955459501955</v>
      </c>
      <c r="ED802" s="323">
        <f t="shared" si="1309"/>
        <v>2.2754081149420622</v>
      </c>
      <c r="EE802" s="323">
        <f t="shared" si="1309"/>
        <v>3.8653326145914919</v>
      </c>
      <c r="EF802" s="323">
        <f t="shared" si="1309"/>
        <v>3.4743778774808045</v>
      </c>
      <c r="EG802" s="323">
        <f t="shared" si="1309"/>
        <v>3.3600276604696502</v>
      </c>
      <c r="EH802" s="323">
        <f t="shared" si="1309"/>
        <v>2.7860280269369659</v>
      </c>
      <c r="EI802" s="323">
        <f t="shared" si="1309"/>
        <v>5.6314320566001435</v>
      </c>
      <c r="EJ802" s="323">
        <f t="shared" si="1309"/>
        <v>3.3354232779817048</v>
      </c>
      <c r="EK802" s="323">
        <f t="shared" si="1309"/>
        <v>1.6795237250850219</v>
      </c>
      <c r="EL802" s="325">
        <f t="shared" si="1309"/>
        <v>5.0171640943863522</v>
      </c>
      <c r="EM802" s="323">
        <f t="shared" si="1309"/>
        <v>0</v>
      </c>
      <c r="EN802" s="323">
        <f t="shared" si="1309"/>
        <v>0</v>
      </c>
      <c r="EO802" s="323">
        <f t="shared" si="1309"/>
        <v>0</v>
      </c>
      <c r="EP802" s="323">
        <f t="shared" si="1309"/>
        <v>0</v>
      </c>
      <c r="EQ802" s="323">
        <f t="shared" ref="EQ802:FV802" si="1310">EQ400</f>
        <v>0</v>
      </c>
      <c r="ER802" s="323">
        <f t="shared" si="1310"/>
        <v>0</v>
      </c>
      <c r="ES802" s="323">
        <f t="shared" si="1310"/>
        <v>0</v>
      </c>
      <c r="ET802" s="323">
        <f t="shared" si="1310"/>
        <v>0</v>
      </c>
      <c r="EU802" s="323">
        <f t="shared" si="1310"/>
        <v>0</v>
      </c>
      <c r="EV802" s="323">
        <f t="shared" si="1310"/>
        <v>0</v>
      </c>
      <c r="EW802" s="323">
        <f t="shared" si="1310"/>
        <v>0</v>
      </c>
      <c r="EX802" s="325">
        <f t="shared" si="1310"/>
        <v>0</v>
      </c>
      <c r="EY802" s="323">
        <f t="shared" si="1310"/>
        <v>0</v>
      </c>
      <c r="EZ802" s="323">
        <f t="shared" si="1310"/>
        <v>0</v>
      </c>
      <c r="FA802" s="323">
        <f t="shared" si="1310"/>
        <v>0</v>
      </c>
      <c r="FB802" s="323">
        <f t="shared" si="1310"/>
        <v>0</v>
      </c>
      <c r="FC802" s="323">
        <f t="shared" si="1310"/>
        <v>0</v>
      </c>
      <c r="FD802" s="323">
        <f t="shared" si="1310"/>
        <v>0</v>
      </c>
      <c r="FE802" s="323">
        <f t="shared" si="1310"/>
        <v>0</v>
      </c>
      <c r="FF802" s="323">
        <f t="shared" si="1310"/>
        <v>0</v>
      </c>
      <c r="FG802" s="323">
        <f t="shared" si="1310"/>
        <v>0</v>
      </c>
      <c r="FH802" s="323">
        <f t="shared" si="1310"/>
        <v>0</v>
      </c>
      <c r="FI802" s="323">
        <f t="shared" si="1310"/>
        <v>0</v>
      </c>
      <c r="FJ802" s="325">
        <f t="shared" si="1310"/>
        <v>0</v>
      </c>
      <c r="FK802" s="323">
        <f t="shared" si="1310"/>
        <v>0</v>
      </c>
      <c r="FL802" s="323">
        <f t="shared" si="1310"/>
        <v>0</v>
      </c>
      <c r="FM802" s="323">
        <f t="shared" si="1310"/>
        <v>0</v>
      </c>
      <c r="FN802" s="323">
        <f t="shared" si="1310"/>
        <v>0</v>
      </c>
      <c r="FO802" s="323">
        <f t="shared" si="1310"/>
        <v>0</v>
      </c>
      <c r="FP802" s="323">
        <f t="shared" si="1310"/>
        <v>0</v>
      </c>
      <c r="FQ802" s="323">
        <f t="shared" si="1310"/>
        <v>0</v>
      </c>
      <c r="FR802" s="323">
        <f t="shared" si="1310"/>
        <v>0</v>
      </c>
      <c r="FS802" s="323">
        <f t="shared" si="1310"/>
        <v>0</v>
      </c>
      <c r="FT802" s="323">
        <f t="shared" si="1310"/>
        <v>0</v>
      </c>
      <c r="FU802" s="323">
        <f t="shared" si="1310"/>
        <v>0</v>
      </c>
      <c r="FV802" s="323">
        <f t="shared" si="1310"/>
        <v>0</v>
      </c>
      <c r="FW802" s="323">
        <v>0</v>
      </c>
      <c r="FX802" s="323">
        <v>0</v>
      </c>
      <c r="FY802" s="323">
        <v>0</v>
      </c>
      <c r="FZ802" s="323">
        <v>0</v>
      </c>
      <c r="GA802" s="323">
        <v>0</v>
      </c>
      <c r="GB802" s="323">
        <v>0</v>
      </c>
      <c r="GC802" s="323">
        <v>0</v>
      </c>
      <c r="GD802" s="323">
        <v>0</v>
      </c>
      <c r="GE802" s="323">
        <v>0</v>
      </c>
      <c r="GF802" s="323">
        <v>0</v>
      </c>
      <c r="GG802" s="323">
        <v>0</v>
      </c>
      <c r="GH802" s="323">
        <v>0</v>
      </c>
      <c r="GI802" s="323">
        <f t="shared" ref="GI802:HL802" si="1311">GI400</f>
        <v>0</v>
      </c>
      <c r="GJ802" s="323">
        <f t="shared" si="1311"/>
        <v>0</v>
      </c>
      <c r="GK802" s="323">
        <f t="shared" si="1311"/>
        <v>0</v>
      </c>
      <c r="GL802" s="323">
        <f t="shared" si="1311"/>
        <v>0</v>
      </c>
      <c r="GM802" s="323">
        <f t="shared" si="1311"/>
        <v>0</v>
      </c>
      <c r="GN802" s="323">
        <f t="shared" si="1311"/>
        <v>0</v>
      </c>
      <c r="GO802" s="323">
        <f t="shared" si="1311"/>
        <v>0</v>
      </c>
      <c r="GP802" s="323">
        <f t="shared" si="1311"/>
        <v>0</v>
      </c>
      <c r="GQ802" s="323">
        <f t="shared" si="1311"/>
        <v>0</v>
      </c>
      <c r="GR802" s="323">
        <f t="shared" si="1311"/>
        <v>0</v>
      </c>
      <c r="GS802" s="323">
        <f t="shared" si="1311"/>
        <v>0</v>
      </c>
      <c r="GT802" s="323">
        <f t="shared" si="1311"/>
        <v>0</v>
      </c>
      <c r="GU802" s="323">
        <f t="shared" si="1311"/>
        <v>0</v>
      </c>
      <c r="GV802" s="323">
        <f t="shared" si="1311"/>
        <v>0</v>
      </c>
      <c r="GW802" s="323">
        <f t="shared" si="1311"/>
        <v>0</v>
      </c>
      <c r="GX802" s="323">
        <f t="shared" si="1311"/>
        <v>0</v>
      </c>
      <c r="GY802" s="323">
        <f t="shared" si="1311"/>
        <v>0</v>
      </c>
      <c r="GZ802" s="323">
        <f t="shared" si="1311"/>
        <v>0</v>
      </c>
      <c r="HA802" s="323">
        <f t="shared" si="1311"/>
        <v>0</v>
      </c>
      <c r="HB802" s="323">
        <f t="shared" si="1311"/>
        <v>0</v>
      </c>
      <c r="HC802" s="323">
        <f t="shared" si="1311"/>
        <v>0</v>
      </c>
      <c r="HD802" s="323">
        <f t="shared" si="1311"/>
        <v>0</v>
      </c>
      <c r="HE802" s="323">
        <f t="shared" si="1311"/>
        <v>0</v>
      </c>
      <c r="HF802" s="323">
        <f t="shared" si="1311"/>
        <v>0</v>
      </c>
      <c r="HG802" s="323">
        <f t="shared" si="1311"/>
        <v>0</v>
      </c>
      <c r="HH802" s="323">
        <f t="shared" si="1311"/>
        <v>0</v>
      </c>
      <c r="HI802" s="323">
        <f t="shared" si="1311"/>
        <v>0</v>
      </c>
      <c r="HJ802" s="323">
        <f t="shared" si="1311"/>
        <v>0</v>
      </c>
      <c r="HK802" s="323">
        <f t="shared" si="1311"/>
        <v>0</v>
      </c>
      <c r="HL802" s="323">
        <f t="shared" si="1311"/>
        <v>0</v>
      </c>
      <c r="HM802" s="323">
        <f t="shared" ref="HM802:HR802" si="1312">HM400</f>
        <v>0</v>
      </c>
      <c r="HN802" s="323">
        <f t="shared" si="1312"/>
        <v>0</v>
      </c>
      <c r="HO802" s="323">
        <f t="shared" si="1312"/>
        <v>0</v>
      </c>
      <c r="HP802" s="323">
        <f t="shared" si="1312"/>
        <v>0</v>
      </c>
      <c r="HQ802" s="323">
        <f t="shared" si="1312"/>
        <v>0</v>
      </c>
      <c r="HR802" s="323">
        <f t="shared" si="1312"/>
        <v>0</v>
      </c>
      <c r="HS802" s="323">
        <f t="shared" ref="HS802:HX802" si="1313">HS400</f>
        <v>0</v>
      </c>
      <c r="HT802" s="323">
        <f t="shared" si="1313"/>
        <v>0</v>
      </c>
      <c r="HU802" s="323">
        <f t="shared" si="1313"/>
        <v>0</v>
      </c>
      <c r="HV802" s="323">
        <f t="shared" si="1313"/>
        <v>0</v>
      </c>
      <c r="HW802" s="323">
        <f t="shared" si="1313"/>
        <v>0</v>
      </c>
      <c r="HX802" s="323">
        <f t="shared" si="1313"/>
        <v>0</v>
      </c>
      <c r="HY802" s="323"/>
      <c r="HZ802" s="326"/>
      <c r="IA802" s="332" t="s">
        <v>494</v>
      </c>
      <c r="IB802" s="284">
        <f t="shared" si="1262"/>
        <v>0</v>
      </c>
      <c r="IC802" s="279">
        <f t="shared" si="1263"/>
        <v>0</v>
      </c>
      <c r="ID802" s="323">
        <f t="shared" si="907"/>
        <v>0</v>
      </c>
      <c r="IE802" s="279">
        <f t="shared" si="1264"/>
        <v>0</v>
      </c>
      <c r="IF802" s="279">
        <f t="shared" si="1265"/>
        <v>0</v>
      </c>
      <c r="IG802" s="323">
        <f t="shared" si="880"/>
        <v>0</v>
      </c>
      <c r="IH802" s="284">
        <f t="shared" si="1266"/>
        <v>0</v>
      </c>
      <c r="II802" s="279">
        <f t="shared" si="1267"/>
        <v>0</v>
      </c>
      <c r="IJ802" s="323">
        <f t="shared" si="881"/>
        <v>0</v>
      </c>
      <c r="IK802" s="327">
        <f t="shared" si="1268"/>
        <v>9.7495637671367028</v>
      </c>
      <c r="IL802" s="279">
        <f t="shared" si="1269"/>
        <v>10.261817733312956</v>
      </c>
      <c r="IM802" s="323">
        <f t="shared" si="882"/>
        <v>20.011381500449659</v>
      </c>
      <c r="IN802" s="279">
        <f t="shared" si="1270"/>
        <v>17.052181307162034</v>
      </c>
      <c r="IO802" s="279">
        <f t="shared" si="1271"/>
        <v>21.809598841459838</v>
      </c>
      <c r="IP802" s="323">
        <f t="shared" si="883"/>
        <v>38.861780148621875</v>
      </c>
      <c r="IQ802" s="327">
        <f t="shared" si="1272"/>
        <v>0</v>
      </c>
      <c r="IR802" s="327">
        <f t="shared" si="1273"/>
        <v>0</v>
      </c>
      <c r="IS802" s="323">
        <f t="shared" si="884"/>
        <v>0</v>
      </c>
      <c r="IT802" s="327">
        <f t="shared" si="1274"/>
        <v>0</v>
      </c>
      <c r="IU802" s="327">
        <f t="shared" si="1275"/>
        <v>0</v>
      </c>
      <c r="IV802" s="323">
        <f t="shared" si="885"/>
        <v>0</v>
      </c>
      <c r="IW802" s="327">
        <f t="shared" si="1255"/>
        <v>0</v>
      </c>
      <c r="IX802" s="327">
        <f t="shared" si="1246"/>
        <v>0</v>
      </c>
      <c r="IY802" s="323">
        <f t="shared" si="886"/>
        <v>0</v>
      </c>
      <c r="IZ802" s="327">
        <f t="shared" si="1247"/>
        <v>0</v>
      </c>
      <c r="JA802" s="327">
        <f t="shared" si="1248"/>
        <v>0</v>
      </c>
      <c r="JB802" s="323">
        <f t="shared" si="887"/>
        <v>0</v>
      </c>
      <c r="JC802" s="327">
        <f t="shared" si="1249"/>
        <v>0</v>
      </c>
      <c r="JD802" s="327">
        <f t="shared" si="1250"/>
        <v>0</v>
      </c>
      <c r="JE802" s="323">
        <f t="shared" si="888"/>
        <v>0</v>
      </c>
      <c r="JF802" s="327">
        <f t="shared" si="1256"/>
        <v>0</v>
      </c>
      <c r="JG802" s="327">
        <f t="shared" si="918"/>
        <v>0</v>
      </c>
      <c r="JH802" s="323">
        <f t="shared" si="889"/>
        <v>0</v>
      </c>
      <c r="JI802" s="327">
        <f t="shared" si="909"/>
        <v>0</v>
      </c>
      <c r="JJ802" s="327">
        <f t="shared" si="910"/>
        <v>0</v>
      </c>
      <c r="JK802" s="323">
        <f t="shared" si="890"/>
        <v>0</v>
      </c>
      <c r="JL802" s="327">
        <f t="shared" si="891"/>
        <v>0</v>
      </c>
      <c r="JM802" s="279">
        <f t="shared" si="892"/>
        <v>0</v>
      </c>
      <c r="JN802" s="323">
        <f>FISC!AK1108</f>
        <v>0</v>
      </c>
      <c r="JO802" s="327">
        <f t="shared" si="1276"/>
        <v>0</v>
      </c>
      <c r="JP802" s="279">
        <f t="shared" si="893"/>
        <v>0</v>
      </c>
      <c r="JQ802" s="323">
        <f>FISC!AL1108</f>
        <v>0</v>
      </c>
      <c r="JR802" s="327">
        <f t="shared" si="1277"/>
        <v>0</v>
      </c>
      <c r="JS802" s="279">
        <f t="shared" si="894"/>
        <v>0</v>
      </c>
      <c r="JT802" s="323">
        <f>FISC!AM1108</f>
        <v>0</v>
      </c>
      <c r="JU802" s="327">
        <f t="shared" si="1278"/>
        <v>0</v>
      </c>
      <c r="JV802" s="279">
        <f t="shared" si="911"/>
        <v>0</v>
      </c>
      <c r="JW802" s="323">
        <f>FISC!AN1108</f>
        <v>0</v>
      </c>
      <c r="JX802" s="327">
        <f t="shared" si="1279"/>
        <v>0</v>
      </c>
      <c r="JY802" s="279">
        <f t="shared" si="895"/>
        <v>0</v>
      </c>
      <c r="JZ802" s="323">
        <f>FISC!AO1108</f>
        <v>0</v>
      </c>
      <c r="KA802" s="327">
        <f t="shared" si="1280"/>
        <v>0</v>
      </c>
      <c r="KB802" s="279">
        <f t="shared" si="1194"/>
        <v>0</v>
      </c>
      <c r="KC802" s="323">
        <f>FISC!AP1108</f>
        <v>0</v>
      </c>
      <c r="KD802" s="327">
        <f t="shared" si="1281"/>
        <v>0</v>
      </c>
      <c r="KE802" s="279">
        <f t="shared" si="1196"/>
        <v>0</v>
      </c>
      <c r="KF802" s="323">
        <f>FISC!AQ1108</f>
        <v>0</v>
      </c>
      <c r="KG802" s="327">
        <f t="shared" si="1282"/>
        <v>0</v>
      </c>
      <c r="KH802" s="279">
        <f t="shared" si="1198"/>
        <v>0</v>
      </c>
      <c r="KI802" s="323">
        <f>FISC!AR1108</f>
        <v>0</v>
      </c>
      <c r="KJ802" s="327">
        <f t="shared" si="1283"/>
        <v>0</v>
      </c>
      <c r="KK802" s="279">
        <f t="shared" si="1200"/>
        <v>0</v>
      </c>
      <c r="KL802" s="323">
        <f>FISC!AS1108</f>
        <v>0</v>
      </c>
      <c r="KM802" s="327">
        <f t="shared" si="1284"/>
        <v>0</v>
      </c>
      <c r="KN802" s="279">
        <f t="shared" si="1202"/>
        <v>0</v>
      </c>
      <c r="KO802" s="323">
        <f>FISC!AT1108</f>
        <v>0</v>
      </c>
      <c r="KU802" s="326"/>
      <c r="KV802" s="327"/>
    </row>
    <row r="803" spans="1:314" s="454" customFormat="1">
      <c r="B803" s="1366" t="s">
        <v>338</v>
      </c>
      <c r="C803" s="1366"/>
      <c r="D803" s="331" t="s">
        <v>496</v>
      </c>
      <c r="E803" s="654">
        <f t="shared" ref="E803:BP803" si="1314">SUM(E804:E809)</f>
        <v>0</v>
      </c>
      <c r="F803" s="654">
        <f t="shared" si="1314"/>
        <v>0</v>
      </c>
      <c r="G803" s="654">
        <f t="shared" si="1314"/>
        <v>0</v>
      </c>
      <c r="H803" s="654">
        <f t="shared" si="1314"/>
        <v>0</v>
      </c>
      <c r="I803" s="654">
        <f t="shared" si="1314"/>
        <v>0</v>
      </c>
      <c r="J803" s="654">
        <f t="shared" si="1314"/>
        <v>0</v>
      </c>
      <c r="K803" s="654">
        <f t="shared" si="1314"/>
        <v>0</v>
      </c>
      <c r="L803" s="654">
        <f t="shared" si="1314"/>
        <v>0</v>
      </c>
      <c r="M803" s="654">
        <f t="shared" si="1314"/>
        <v>0</v>
      </c>
      <c r="N803" s="654">
        <f t="shared" si="1314"/>
        <v>0</v>
      </c>
      <c r="O803" s="654">
        <f t="shared" si="1314"/>
        <v>0</v>
      </c>
      <c r="P803" s="654">
        <f t="shared" si="1314"/>
        <v>0</v>
      </c>
      <c r="Q803" s="654">
        <f t="shared" si="1314"/>
        <v>0</v>
      </c>
      <c r="R803" s="654">
        <f t="shared" si="1314"/>
        <v>0</v>
      </c>
      <c r="S803" s="654">
        <f t="shared" si="1314"/>
        <v>0</v>
      </c>
      <c r="T803" s="654">
        <f t="shared" si="1314"/>
        <v>0</v>
      </c>
      <c r="U803" s="654">
        <f t="shared" si="1314"/>
        <v>0</v>
      </c>
      <c r="V803" s="654">
        <f t="shared" si="1314"/>
        <v>0</v>
      </c>
      <c r="W803" s="654">
        <f t="shared" si="1314"/>
        <v>0</v>
      </c>
      <c r="X803" s="654">
        <f t="shared" si="1314"/>
        <v>0</v>
      </c>
      <c r="Y803" s="654">
        <f t="shared" si="1314"/>
        <v>0</v>
      </c>
      <c r="Z803" s="654">
        <f t="shared" si="1314"/>
        <v>0</v>
      </c>
      <c r="AA803" s="654">
        <f t="shared" si="1314"/>
        <v>0</v>
      </c>
      <c r="AB803" s="654">
        <f t="shared" si="1314"/>
        <v>0</v>
      </c>
      <c r="AC803" s="654">
        <f t="shared" si="1314"/>
        <v>0</v>
      </c>
      <c r="AD803" s="654">
        <f t="shared" si="1314"/>
        <v>0</v>
      </c>
      <c r="AE803" s="654">
        <f t="shared" si="1314"/>
        <v>0</v>
      </c>
      <c r="AF803" s="654">
        <f t="shared" si="1314"/>
        <v>0</v>
      </c>
      <c r="AG803" s="654">
        <f t="shared" si="1314"/>
        <v>0</v>
      </c>
      <c r="AH803" s="654">
        <f t="shared" si="1314"/>
        <v>0</v>
      </c>
      <c r="AI803" s="654">
        <f t="shared" si="1314"/>
        <v>0</v>
      </c>
      <c r="AJ803" s="654">
        <f t="shared" si="1314"/>
        <v>0</v>
      </c>
      <c r="AK803" s="654">
        <f t="shared" si="1314"/>
        <v>0</v>
      </c>
      <c r="AL803" s="654">
        <f t="shared" si="1314"/>
        <v>0</v>
      </c>
      <c r="AM803" s="654">
        <f t="shared" si="1314"/>
        <v>0</v>
      </c>
      <c r="AN803" s="654">
        <f t="shared" si="1314"/>
        <v>0</v>
      </c>
      <c r="AO803" s="654">
        <f t="shared" si="1314"/>
        <v>0</v>
      </c>
      <c r="AP803" s="654">
        <f t="shared" si="1314"/>
        <v>0</v>
      </c>
      <c r="AQ803" s="654">
        <f t="shared" si="1314"/>
        <v>0</v>
      </c>
      <c r="AR803" s="654">
        <f t="shared" si="1314"/>
        <v>0</v>
      </c>
      <c r="AS803" s="654">
        <f t="shared" si="1314"/>
        <v>0</v>
      </c>
      <c r="AT803" s="654">
        <f t="shared" si="1314"/>
        <v>0</v>
      </c>
      <c r="AU803" s="654">
        <f t="shared" si="1314"/>
        <v>0</v>
      </c>
      <c r="AV803" s="654">
        <f t="shared" si="1314"/>
        <v>0</v>
      </c>
      <c r="AW803" s="654">
        <f t="shared" si="1314"/>
        <v>0</v>
      </c>
      <c r="AX803" s="654">
        <f t="shared" si="1314"/>
        <v>0</v>
      </c>
      <c r="AY803" s="654">
        <f t="shared" si="1314"/>
        <v>0</v>
      </c>
      <c r="AZ803" s="654">
        <f t="shared" si="1314"/>
        <v>0</v>
      </c>
      <c r="BA803" s="654">
        <f t="shared" si="1314"/>
        <v>0</v>
      </c>
      <c r="BB803" s="654">
        <f t="shared" si="1314"/>
        <v>0</v>
      </c>
      <c r="BC803" s="654">
        <f t="shared" si="1314"/>
        <v>0</v>
      </c>
      <c r="BD803" s="654">
        <f t="shared" si="1314"/>
        <v>0</v>
      </c>
      <c r="BE803" s="654">
        <f t="shared" si="1314"/>
        <v>0</v>
      </c>
      <c r="BF803" s="654">
        <f t="shared" si="1314"/>
        <v>0</v>
      </c>
      <c r="BG803" s="654">
        <f t="shared" si="1314"/>
        <v>0</v>
      </c>
      <c r="BH803" s="654">
        <f t="shared" si="1314"/>
        <v>0</v>
      </c>
      <c r="BI803" s="654">
        <f t="shared" si="1314"/>
        <v>0</v>
      </c>
      <c r="BJ803" s="654">
        <f t="shared" si="1314"/>
        <v>0</v>
      </c>
      <c r="BK803" s="654">
        <f t="shared" si="1314"/>
        <v>0</v>
      </c>
      <c r="BL803" s="654">
        <f t="shared" si="1314"/>
        <v>0</v>
      </c>
      <c r="BM803" s="654">
        <f t="shared" si="1314"/>
        <v>0</v>
      </c>
      <c r="BN803" s="654">
        <f t="shared" si="1314"/>
        <v>0</v>
      </c>
      <c r="BO803" s="654">
        <f t="shared" si="1314"/>
        <v>0</v>
      </c>
      <c r="BP803" s="654">
        <f t="shared" si="1314"/>
        <v>0</v>
      </c>
      <c r="BQ803" s="654">
        <f t="shared" ref="BQ803:EB803" si="1315">SUM(BQ804:BQ809)</f>
        <v>0</v>
      </c>
      <c r="BR803" s="654">
        <f t="shared" si="1315"/>
        <v>0</v>
      </c>
      <c r="BS803" s="654">
        <f t="shared" si="1315"/>
        <v>0</v>
      </c>
      <c r="BT803" s="654">
        <f t="shared" si="1315"/>
        <v>0</v>
      </c>
      <c r="BU803" s="654">
        <f t="shared" si="1315"/>
        <v>0</v>
      </c>
      <c r="BV803" s="654">
        <f t="shared" si="1315"/>
        <v>0</v>
      </c>
      <c r="BW803" s="654">
        <f t="shared" si="1315"/>
        <v>0</v>
      </c>
      <c r="BX803" s="654">
        <f t="shared" si="1315"/>
        <v>0</v>
      </c>
      <c r="BY803" s="654">
        <f t="shared" si="1315"/>
        <v>0</v>
      </c>
      <c r="BZ803" s="654">
        <f t="shared" si="1315"/>
        <v>0</v>
      </c>
      <c r="CA803" s="654">
        <f t="shared" si="1315"/>
        <v>0</v>
      </c>
      <c r="CB803" s="654">
        <f t="shared" si="1315"/>
        <v>0</v>
      </c>
      <c r="CC803" s="654">
        <f t="shared" si="1315"/>
        <v>0</v>
      </c>
      <c r="CD803" s="1367">
        <f t="shared" si="1315"/>
        <v>0</v>
      </c>
      <c r="CE803" s="654">
        <f t="shared" si="1315"/>
        <v>0</v>
      </c>
      <c r="CF803" s="654">
        <f t="shared" si="1315"/>
        <v>0</v>
      </c>
      <c r="CG803" s="654">
        <f t="shared" si="1315"/>
        <v>0</v>
      </c>
      <c r="CH803" s="654">
        <f t="shared" si="1315"/>
        <v>0</v>
      </c>
      <c r="CI803" s="654">
        <f t="shared" si="1315"/>
        <v>0</v>
      </c>
      <c r="CJ803" s="654">
        <f t="shared" si="1315"/>
        <v>0</v>
      </c>
      <c r="CK803" s="654">
        <f t="shared" si="1315"/>
        <v>0</v>
      </c>
      <c r="CL803" s="654">
        <f t="shared" si="1315"/>
        <v>0</v>
      </c>
      <c r="CM803" s="654">
        <f t="shared" si="1315"/>
        <v>0</v>
      </c>
      <c r="CN803" s="654">
        <f t="shared" si="1315"/>
        <v>0</v>
      </c>
      <c r="CO803" s="654">
        <f t="shared" si="1315"/>
        <v>0</v>
      </c>
      <c r="CP803" s="1368">
        <f t="shared" si="1315"/>
        <v>0</v>
      </c>
      <c r="CQ803" s="654">
        <f t="shared" si="1315"/>
        <v>0</v>
      </c>
      <c r="CR803" s="654">
        <f t="shared" si="1315"/>
        <v>0</v>
      </c>
      <c r="CS803" s="654">
        <f t="shared" si="1315"/>
        <v>0</v>
      </c>
      <c r="CT803" s="654">
        <f t="shared" si="1315"/>
        <v>0</v>
      </c>
      <c r="CU803" s="654">
        <f t="shared" si="1315"/>
        <v>0</v>
      </c>
      <c r="CV803" s="654">
        <f t="shared" si="1315"/>
        <v>0</v>
      </c>
      <c r="CW803" s="654">
        <f t="shared" si="1315"/>
        <v>0</v>
      </c>
      <c r="CX803" s="654">
        <f t="shared" si="1315"/>
        <v>0</v>
      </c>
      <c r="CY803" s="654">
        <f t="shared" si="1315"/>
        <v>0</v>
      </c>
      <c r="CZ803" s="654">
        <f t="shared" si="1315"/>
        <v>0</v>
      </c>
      <c r="DA803" s="654">
        <f t="shared" si="1315"/>
        <v>0</v>
      </c>
      <c r="DB803" s="1369">
        <f t="shared" si="1315"/>
        <v>0</v>
      </c>
      <c r="DC803" s="654">
        <f t="shared" si="1315"/>
        <v>0</v>
      </c>
      <c r="DD803" s="654">
        <f t="shared" si="1315"/>
        <v>0</v>
      </c>
      <c r="DE803" s="654">
        <f t="shared" si="1315"/>
        <v>0</v>
      </c>
      <c r="DF803" s="654">
        <f t="shared" si="1315"/>
        <v>0</v>
      </c>
      <c r="DG803" s="654">
        <f t="shared" si="1315"/>
        <v>0</v>
      </c>
      <c r="DH803" s="654">
        <f t="shared" si="1315"/>
        <v>0</v>
      </c>
      <c r="DI803" s="654">
        <f t="shared" si="1315"/>
        <v>0</v>
      </c>
      <c r="DJ803" s="654">
        <f t="shared" si="1315"/>
        <v>0</v>
      </c>
      <c r="DK803" s="654">
        <f t="shared" si="1315"/>
        <v>0</v>
      </c>
      <c r="DL803" s="654">
        <f t="shared" si="1315"/>
        <v>0</v>
      </c>
      <c r="DM803" s="654">
        <f t="shared" si="1315"/>
        <v>0</v>
      </c>
      <c r="DN803" s="1368">
        <f t="shared" si="1315"/>
        <v>0</v>
      </c>
      <c r="DO803" s="654">
        <f t="shared" si="1315"/>
        <v>0</v>
      </c>
      <c r="DP803" s="654">
        <f t="shared" si="1315"/>
        <v>0</v>
      </c>
      <c r="DQ803" s="654">
        <f t="shared" si="1315"/>
        <v>0</v>
      </c>
      <c r="DR803" s="654">
        <f t="shared" si="1315"/>
        <v>0</v>
      </c>
      <c r="DS803" s="654">
        <f t="shared" si="1315"/>
        <v>0</v>
      </c>
      <c r="DT803" s="654">
        <f t="shared" si="1315"/>
        <v>0</v>
      </c>
      <c r="DU803" s="654">
        <f t="shared" si="1315"/>
        <v>0</v>
      </c>
      <c r="DV803" s="654">
        <f t="shared" si="1315"/>
        <v>0</v>
      </c>
      <c r="DW803" s="654">
        <f t="shared" si="1315"/>
        <v>0</v>
      </c>
      <c r="DX803" s="654">
        <f t="shared" si="1315"/>
        <v>0</v>
      </c>
      <c r="DY803" s="654">
        <f t="shared" si="1315"/>
        <v>0</v>
      </c>
      <c r="DZ803" s="1368">
        <f t="shared" si="1315"/>
        <v>0</v>
      </c>
      <c r="EA803" s="654">
        <f t="shared" si="1315"/>
        <v>0</v>
      </c>
      <c r="EB803" s="654">
        <f t="shared" si="1315"/>
        <v>0</v>
      </c>
      <c r="EC803" s="654">
        <f t="shared" ref="EC803:FP803" si="1316">SUM(EC804:EC809)</f>
        <v>0</v>
      </c>
      <c r="ED803" s="654">
        <f t="shared" si="1316"/>
        <v>0</v>
      </c>
      <c r="EE803" s="654">
        <f t="shared" si="1316"/>
        <v>0</v>
      </c>
      <c r="EF803" s="654">
        <f t="shared" si="1316"/>
        <v>0</v>
      </c>
      <c r="EG803" s="654">
        <f t="shared" si="1316"/>
        <v>0</v>
      </c>
      <c r="EH803" s="654">
        <f t="shared" si="1316"/>
        <v>0</v>
      </c>
      <c r="EI803" s="654">
        <f t="shared" si="1316"/>
        <v>0</v>
      </c>
      <c r="EJ803" s="654">
        <f t="shared" si="1316"/>
        <v>0</v>
      </c>
      <c r="EK803" s="654">
        <f t="shared" si="1316"/>
        <v>0</v>
      </c>
      <c r="EL803" s="1368">
        <f t="shared" si="1316"/>
        <v>0</v>
      </c>
      <c r="EM803" s="654">
        <f t="shared" si="1316"/>
        <v>0</v>
      </c>
      <c r="EN803" s="654">
        <f t="shared" si="1316"/>
        <v>0</v>
      </c>
      <c r="EO803" s="654">
        <f t="shared" si="1316"/>
        <v>0</v>
      </c>
      <c r="EP803" s="654">
        <f t="shared" si="1316"/>
        <v>0</v>
      </c>
      <c r="EQ803" s="654">
        <f t="shared" si="1316"/>
        <v>0</v>
      </c>
      <c r="ER803" s="654">
        <f t="shared" si="1316"/>
        <v>0</v>
      </c>
      <c r="ES803" s="654">
        <f t="shared" si="1316"/>
        <v>0</v>
      </c>
      <c r="ET803" s="654">
        <f t="shared" si="1316"/>
        <v>0</v>
      </c>
      <c r="EU803" s="654">
        <f t="shared" si="1316"/>
        <v>0</v>
      </c>
      <c r="EV803" s="654">
        <f t="shared" si="1316"/>
        <v>0</v>
      </c>
      <c r="EW803" s="654">
        <f t="shared" si="1316"/>
        <v>0</v>
      </c>
      <c r="EX803" s="1368">
        <f t="shared" si="1316"/>
        <v>0</v>
      </c>
      <c r="EY803" s="654">
        <f t="shared" si="1316"/>
        <v>0</v>
      </c>
      <c r="EZ803" s="654">
        <f t="shared" si="1316"/>
        <v>0</v>
      </c>
      <c r="FA803" s="654">
        <f t="shared" si="1316"/>
        <v>0</v>
      </c>
      <c r="FB803" s="654">
        <f t="shared" si="1316"/>
        <v>0</v>
      </c>
      <c r="FC803" s="654">
        <f t="shared" si="1316"/>
        <v>0</v>
      </c>
      <c r="FD803" s="654">
        <f t="shared" si="1316"/>
        <v>0</v>
      </c>
      <c r="FE803" s="654">
        <f t="shared" si="1316"/>
        <v>0</v>
      </c>
      <c r="FF803" s="654">
        <f t="shared" si="1316"/>
        <v>0</v>
      </c>
      <c r="FG803" s="654">
        <f t="shared" si="1316"/>
        <v>0</v>
      </c>
      <c r="FH803" s="654">
        <f t="shared" si="1316"/>
        <v>0</v>
      </c>
      <c r="FI803" s="654">
        <f t="shared" si="1316"/>
        <v>0</v>
      </c>
      <c r="FJ803" s="1368">
        <f t="shared" si="1316"/>
        <v>0</v>
      </c>
      <c r="FK803" s="654">
        <f t="shared" si="1316"/>
        <v>0</v>
      </c>
      <c r="FL803" s="654">
        <f t="shared" si="1316"/>
        <v>0</v>
      </c>
      <c r="FM803" s="654">
        <f t="shared" si="1316"/>
        <v>0</v>
      </c>
      <c r="FN803" s="654">
        <f t="shared" si="1316"/>
        <v>0</v>
      </c>
      <c r="FO803" s="654">
        <f t="shared" si="1316"/>
        <v>0</v>
      </c>
      <c r="FP803" s="654">
        <f t="shared" si="1316"/>
        <v>0</v>
      </c>
      <c r="FQ803" s="654">
        <f t="shared" ref="FQ803:FV803" si="1317">SUM(FQ804:FQ809)</f>
        <v>0</v>
      </c>
      <c r="FR803" s="654">
        <f t="shared" si="1317"/>
        <v>0</v>
      </c>
      <c r="FS803" s="654">
        <f t="shared" si="1317"/>
        <v>0</v>
      </c>
      <c r="FT803" s="654">
        <f t="shared" si="1317"/>
        <v>0</v>
      </c>
      <c r="FU803" s="654">
        <f t="shared" si="1317"/>
        <v>0</v>
      </c>
      <c r="FV803" s="654">
        <f t="shared" si="1317"/>
        <v>0</v>
      </c>
      <c r="FW803" s="654">
        <v>0</v>
      </c>
      <c r="FX803" s="654">
        <v>0</v>
      </c>
      <c r="FY803" s="654">
        <v>0</v>
      </c>
      <c r="FZ803" s="654">
        <v>0</v>
      </c>
      <c r="GA803" s="654">
        <v>0</v>
      </c>
      <c r="GB803" s="654">
        <v>0</v>
      </c>
      <c r="GC803" s="654">
        <v>0</v>
      </c>
      <c r="GD803" s="654">
        <v>0</v>
      </c>
      <c r="GE803" s="654">
        <v>0</v>
      </c>
      <c r="GF803" s="654">
        <v>0</v>
      </c>
      <c r="GG803" s="654">
        <v>0</v>
      </c>
      <c r="GH803" s="654">
        <v>0</v>
      </c>
      <c r="GI803" s="654">
        <v>0</v>
      </c>
      <c r="GJ803" s="654">
        <v>0</v>
      </c>
      <c r="GK803" s="654">
        <v>0</v>
      </c>
      <c r="GL803" s="654">
        <v>0</v>
      </c>
      <c r="GM803" s="654">
        <v>0</v>
      </c>
      <c r="GN803" s="654">
        <v>0</v>
      </c>
      <c r="GO803" s="654">
        <v>0</v>
      </c>
      <c r="GP803" s="654">
        <v>0</v>
      </c>
      <c r="GQ803" s="654">
        <v>0</v>
      </c>
      <c r="GR803" s="654">
        <v>0</v>
      </c>
      <c r="GS803" s="654">
        <v>0</v>
      </c>
      <c r="GT803" s="654">
        <v>0</v>
      </c>
      <c r="GU803" s="654">
        <v>0</v>
      </c>
      <c r="GV803" s="654">
        <v>0</v>
      </c>
      <c r="GW803" s="654">
        <v>0</v>
      </c>
      <c r="GX803" s="654">
        <v>0</v>
      </c>
      <c r="GY803" s="654">
        <v>0</v>
      </c>
      <c r="GZ803" s="654">
        <v>0</v>
      </c>
      <c r="HA803" s="654">
        <v>0</v>
      </c>
      <c r="HB803" s="654">
        <v>0</v>
      </c>
      <c r="HC803" s="654">
        <v>0</v>
      </c>
      <c r="HD803" s="654">
        <v>0</v>
      </c>
      <c r="HE803" s="654">
        <v>0</v>
      </c>
      <c r="HF803" s="654">
        <v>0</v>
      </c>
      <c r="HG803" s="654">
        <v>0</v>
      </c>
      <c r="HH803" s="654">
        <v>0</v>
      </c>
      <c r="HI803" s="654">
        <v>0</v>
      </c>
      <c r="HJ803" s="654">
        <v>0</v>
      </c>
      <c r="HK803" s="654">
        <v>0</v>
      </c>
      <c r="HL803" s="654">
        <v>0</v>
      </c>
      <c r="HM803" s="654">
        <v>0</v>
      </c>
      <c r="HN803" s="654">
        <v>0</v>
      </c>
      <c r="HO803" s="654">
        <v>0</v>
      </c>
      <c r="HP803" s="654">
        <v>0</v>
      </c>
      <c r="HQ803" s="654">
        <v>0</v>
      </c>
      <c r="HR803" s="654">
        <v>0</v>
      </c>
      <c r="HS803" s="654">
        <v>0</v>
      </c>
      <c r="HT803" s="654">
        <v>0</v>
      </c>
      <c r="HU803" s="654">
        <v>0</v>
      </c>
      <c r="HV803" s="654">
        <v>0</v>
      </c>
      <c r="HW803" s="654">
        <v>0</v>
      </c>
      <c r="HX803" s="654">
        <v>0</v>
      </c>
      <c r="HY803" s="654"/>
      <c r="HZ803" s="1370"/>
      <c r="IA803" s="331" t="s">
        <v>496</v>
      </c>
      <c r="IB803" s="284">
        <f t="shared" si="1262"/>
        <v>0</v>
      </c>
      <c r="IC803" s="279">
        <f t="shared" si="1263"/>
        <v>0</v>
      </c>
      <c r="ID803" s="323">
        <f t="shared" si="907"/>
        <v>0</v>
      </c>
      <c r="IE803" s="279">
        <f t="shared" si="1264"/>
        <v>0</v>
      </c>
      <c r="IF803" s="279">
        <f t="shared" si="1265"/>
        <v>0</v>
      </c>
      <c r="IG803" s="323">
        <f t="shared" si="880"/>
        <v>0</v>
      </c>
      <c r="IH803" s="284">
        <f t="shared" si="1266"/>
        <v>0</v>
      </c>
      <c r="II803" s="279">
        <f t="shared" si="1267"/>
        <v>0</v>
      </c>
      <c r="IJ803" s="323">
        <f t="shared" si="881"/>
        <v>0</v>
      </c>
      <c r="IK803" s="327">
        <f t="shared" si="1268"/>
        <v>0</v>
      </c>
      <c r="IL803" s="279">
        <f t="shared" si="1269"/>
        <v>0</v>
      </c>
      <c r="IM803" s="323">
        <f t="shared" si="882"/>
        <v>0</v>
      </c>
      <c r="IN803" s="279">
        <f t="shared" si="1270"/>
        <v>0</v>
      </c>
      <c r="IO803" s="279">
        <f t="shared" si="1271"/>
        <v>0</v>
      </c>
      <c r="IP803" s="323">
        <f t="shared" si="883"/>
        <v>0</v>
      </c>
      <c r="IQ803" s="327">
        <f t="shared" si="1272"/>
        <v>0</v>
      </c>
      <c r="IR803" s="327">
        <f t="shared" si="1273"/>
        <v>0</v>
      </c>
      <c r="IS803" s="323">
        <f t="shared" si="884"/>
        <v>0</v>
      </c>
      <c r="IT803" s="327">
        <f t="shared" si="1274"/>
        <v>0</v>
      </c>
      <c r="IU803" s="327">
        <f t="shared" si="1275"/>
        <v>0</v>
      </c>
      <c r="IV803" s="323">
        <f t="shared" si="885"/>
        <v>0</v>
      </c>
      <c r="IW803" s="327">
        <f t="shared" si="1255"/>
        <v>0</v>
      </c>
      <c r="IX803" s="327">
        <f t="shared" si="1246"/>
        <v>0</v>
      </c>
      <c r="IY803" s="323">
        <f t="shared" si="886"/>
        <v>0</v>
      </c>
      <c r="IZ803" s="327">
        <f t="shared" si="1247"/>
        <v>0</v>
      </c>
      <c r="JA803" s="327">
        <f t="shared" si="1248"/>
        <v>0</v>
      </c>
      <c r="JB803" s="323">
        <f t="shared" si="887"/>
        <v>0</v>
      </c>
      <c r="JC803" s="327">
        <f t="shared" si="1249"/>
        <v>0</v>
      </c>
      <c r="JD803" s="327">
        <f t="shared" si="1250"/>
        <v>0</v>
      </c>
      <c r="JE803" s="323">
        <f t="shared" si="888"/>
        <v>0</v>
      </c>
      <c r="JF803" s="327">
        <f t="shared" si="1256"/>
        <v>0</v>
      </c>
      <c r="JG803" s="327">
        <f t="shared" si="918"/>
        <v>0</v>
      </c>
      <c r="JH803" s="323">
        <f t="shared" si="889"/>
        <v>0</v>
      </c>
      <c r="JI803" s="327">
        <f t="shared" si="909"/>
        <v>0</v>
      </c>
      <c r="JJ803" s="327">
        <f t="shared" si="910"/>
        <v>0</v>
      </c>
      <c r="JK803" s="323">
        <f t="shared" si="890"/>
        <v>0</v>
      </c>
      <c r="JL803" s="327">
        <f t="shared" si="891"/>
        <v>0</v>
      </c>
      <c r="JM803" s="279">
        <f t="shared" si="892"/>
        <v>0</v>
      </c>
      <c r="JN803" s="323">
        <f>FISC!AK1109</f>
        <v>0</v>
      </c>
      <c r="JO803" s="327">
        <f t="shared" ref="JO803:JO812" si="1318">JQ803*0.48</f>
        <v>0</v>
      </c>
      <c r="JP803" s="279">
        <f t="shared" si="893"/>
        <v>0</v>
      </c>
      <c r="JQ803" s="323">
        <f>FISC!AL1109</f>
        <v>0</v>
      </c>
      <c r="JR803" s="327">
        <f t="shared" ref="JR803:JR812" si="1319">JT803*0.48</f>
        <v>0</v>
      </c>
      <c r="JS803" s="279">
        <f t="shared" si="894"/>
        <v>0</v>
      </c>
      <c r="JT803" s="323">
        <f>FISC!AM1109</f>
        <v>0</v>
      </c>
      <c r="JU803" s="327">
        <f t="shared" ref="JU803:JU812" si="1320">JW803*0.48</f>
        <v>0</v>
      </c>
      <c r="JV803" s="279">
        <f t="shared" si="911"/>
        <v>0</v>
      </c>
      <c r="JW803" s="323">
        <f>FISC!AN1109</f>
        <v>0</v>
      </c>
      <c r="JX803" s="327">
        <f t="shared" ref="JX803:JX812" si="1321">JZ803*0.48</f>
        <v>0</v>
      </c>
      <c r="JY803" s="279">
        <f t="shared" si="895"/>
        <v>0</v>
      </c>
      <c r="JZ803" s="323">
        <f>FISC!AO1109</f>
        <v>0</v>
      </c>
      <c r="KA803" s="327">
        <f t="shared" ref="KA803:KA812" si="1322">KC803*0.48</f>
        <v>0</v>
      </c>
      <c r="KB803" s="279">
        <f t="shared" si="1194"/>
        <v>0</v>
      </c>
      <c r="KC803" s="323">
        <f>FISC!AP1109</f>
        <v>0</v>
      </c>
      <c r="KD803" s="327">
        <f t="shared" ref="KD803:KD812" si="1323">KF803*0.48</f>
        <v>0</v>
      </c>
      <c r="KE803" s="279">
        <f t="shared" si="1196"/>
        <v>0</v>
      </c>
      <c r="KF803" s="323">
        <f>FISC!AQ1109</f>
        <v>0</v>
      </c>
      <c r="KG803" s="327">
        <f t="shared" ref="KG803:KG812" si="1324">KI803*0.48</f>
        <v>0</v>
      </c>
      <c r="KH803" s="279">
        <f t="shared" si="1198"/>
        <v>0</v>
      </c>
      <c r="KI803" s="323">
        <f>FISC!AR1109</f>
        <v>0</v>
      </c>
      <c r="KJ803" s="327">
        <f t="shared" ref="KJ803:KJ812" si="1325">KL803*0.48</f>
        <v>0</v>
      </c>
      <c r="KK803" s="279">
        <f t="shared" si="1200"/>
        <v>0</v>
      </c>
      <c r="KL803" s="323">
        <f>FISC!AS1109</f>
        <v>0</v>
      </c>
      <c r="KM803" s="327">
        <f t="shared" ref="KM803:KM812" si="1326">KO803*0.48</f>
        <v>0</v>
      </c>
      <c r="KN803" s="279">
        <f t="shared" si="1202"/>
        <v>0</v>
      </c>
      <c r="KO803" s="323">
        <f>FISC!AT1109</f>
        <v>0</v>
      </c>
      <c r="KU803" s="1370"/>
      <c r="KV803" s="960"/>
      <c r="KY803" s="454">
        <f>SUM(KY804:KY809)</f>
        <v>0</v>
      </c>
      <c r="KZ803" s="454">
        <f>SUM(KZ804:KZ809)</f>
        <v>0</v>
      </c>
      <c r="LA803" s="454">
        <f>SUM(LA804:LA809)</f>
        <v>0</v>
      </c>
      <c r="LB803" s="454">
        <f>SUM(LB804:LB809)</f>
        <v>0</v>
      </c>
    </row>
    <row r="804" spans="1:314" s="454" customFormat="1">
      <c r="B804" s="1366" t="s">
        <v>338</v>
      </c>
      <c r="C804" s="1366"/>
      <c r="D804" s="332" t="s">
        <v>497</v>
      </c>
      <c r="E804" s="654"/>
      <c r="F804" s="654"/>
      <c r="G804" s="654"/>
      <c r="H804" s="654"/>
      <c r="I804" s="654"/>
      <c r="J804" s="654"/>
      <c r="K804" s="654"/>
      <c r="L804" s="654"/>
      <c r="M804" s="654"/>
      <c r="N804" s="654"/>
      <c r="O804" s="654"/>
      <c r="P804" s="654"/>
      <c r="Q804" s="654"/>
      <c r="R804" s="654"/>
      <c r="S804" s="654"/>
      <c r="T804" s="654"/>
      <c r="U804" s="654"/>
      <c r="V804" s="654"/>
      <c r="W804" s="654"/>
      <c r="X804" s="654"/>
      <c r="Y804" s="654"/>
      <c r="Z804" s="654"/>
      <c r="AA804" s="654"/>
      <c r="AB804" s="654"/>
      <c r="AC804" s="654"/>
      <c r="AD804" s="654"/>
      <c r="AE804" s="654"/>
      <c r="AF804" s="654"/>
      <c r="AG804" s="654"/>
      <c r="AH804" s="654"/>
      <c r="AI804" s="654"/>
      <c r="AJ804" s="654"/>
      <c r="AK804" s="654"/>
      <c r="AL804" s="654"/>
      <c r="AM804" s="654"/>
      <c r="AN804" s="654"/>
      <c r="AO804" s="654">
        <v>0</v>
      </c>
      <c r="AP804" s="654">
        <v>0</v>
      </c>
      <c r="AQ804" s="654">
        <v>0</v>
      </c>
      <c r="AR804" s="654">
        <v>0</v>
      </c>
      <c r="AS804" s="654">
        <v>0</v>
      </c>
      <c r="AT804" s="654">
        <v>0</v>
      </c>
      <c r="AU804" s="654">
        <v>0</v>
      </c>
      <c r="AV804" s="654">
        <v>0</v>
      </c>
      <c r="AW804" s="654">
        <v>0</v>
      </c>
      <c r="AX804" s="654">
        <v>0</v>
      </c>
      <c r="AY804" s="654">
        <v>0</v>
      </c>
      <c r="AZ804" s="654">
        <v>0</v>
      </c>
      <c r="BA804" s="654">
        <v>0</v>
      </c>
      <c r="BB804" s="654">
        <v>0</v>
      </c>
      <c r="BC804" s="654">
        <v>0</v>
      </c>
      <c r="BD804" s="654">
        <v>0</v>
      </c>
      <c r="BE804" s="654">
        <v>0</v>
      </c>
      <c r="BF804" s="654">
        <v>0</v>
      </c>
      <c r="BG804" s="654">
        <v>0</v>
      </c>
      <c r="BH804" s="654">
        <v>0</v>
      </c>
      <c r="BI804" s="654">
        <v>0</v>
      </c>
      <c r="BJ804" s="654">
        <v>0</v>
      </c>
      <c r="BK804" s="654">
        <v>0</v>
      </c>
      <c r="BL804" s="654">
        <v>0</v>
      </c>
      <c r="BM804" s="654">
        <v>0</v>
      </c>
      <c r="BN804" s="654">
        <v>0</v>
      </c>
      <c r="BO804" s="654">
        <v>0</v>
      </c>
      <c r="BP804" s="654">
        <v>0</v>
      </c>
      <c r="BQ804" s="654">
        <v>0</v>
      </c>
      <c r="BR804" s="654">
        <v>0</v>
      </c>
      <c r="BS804" s="654">
        <v>0</v>
      </c>
      <c r="BT804" s="654">
        <v>0</v>
      </c>
      <c r="BU804" s="654">
        <v>0</v>
      </c>
      <c r="BV804" s="654">
        <v>0</v>
      </c>
      <c r="BW804" s="654">
        <v>0</v>
      </c>
      <c r="BX804" s="654">
        <v>0</v>
      </c>
      <c r="BY804" s="654">
        <v>0</v>
      </c>
      <c r="BZ804" s="654">
        <v>0</v>
      </c>
      <c r="CA804" s="654">
        <v>0</v>
      </c>
      <c r="CB804" s="654">
        <v>0</v>
      </c>
      <c r="CC804" s="654">
        <v>0</v>
      </c>
      <c r="CD804" s="1367">
        <v>0</v>
      </c>
      <c r="CE804" s="654">
        <f t="shared" ref="CE804:DJ804" si="1327">CE402</f>
        <v>0</v>
      </c>
      <c r="CF804" s="654">
        <f t="shared" si="1327"/>
        <v>0</v>
      </c>
      <c r="CG804" s="654">
        <f t="shared" si="1327"/>
        <v>0</v>
      </c>
      <c r="CH804" s="654">
        <f t="shared" si="1327"/>
        <v>0</v>
      </c>
      <c r="CI804" s="654">
        <f t="shared" si="1327"/>
        <v>0</v>
      </c>
      <c r="CJ804" s="654">
        <f t="shared" si="1327"/>
        <v>0</v>
      </c>
      <c r="CK804" s="654">
        <f t="shared" si="1327"/>
        <v>0</v>
      </c>
      <c r="CL804" s="654">
        <f t="shared" si="1327"/>
        <v>0</v>
      </c>
      <c r="CM804" s="654">
        <f t="shared" si="1327"/>
        <v>0</v>
      </c>
      <c r="CN804" s="654">
        <f t="shared" si="1327"/>
        <v>0</v>
      </c>
      <c r="CO804" s="654">
        <f t="shared" si="1327"/>
        <v>0</v>
      </c>
      <c r="CP804" s="1368">
        <f t="shared" si="1327"/>
        <v>0</v>
      </c>
      <c r="CQ804" s="654">
        <f t="shared" si="1327"/>
        <v>0</v>
      </c>
      <c r="CR804" s="654">
        <f t="shared" si="1327"/>
        <v>0</v>
      </c>
      <c r="CS804" s="654">
        <f t="shared" si="1327"/>
        <v>0</v>
      </c>
      <c r="CT804" s="654">
        <f t="shared" si="1327"/>
        <v>0</v>
      </c>
      <c r="CU804" s="654">
        <f t="shared" si="1327"/>
        <v>0</v>
      </c>
      <c r="CV804" s="654">
        <f t="shared" si="1327"/>
        <v>0</v>
      </c>
      <c r="CW804" s="654">
        <f t="shared" si="1327"/>
        <v>0</v>
      </c>
      <c r="CX804" s="654">
        <f t="shared" si="1327"/>
        <v>0</v>
      </c>
      <c r="CY804" s="654">
        <f t="shared" si="1327"/>
        <v>0</v>
      </c>
      <c r="CZ804" s="654">
        <f t="shared" si="1327"/>
        <v>0</v>
      </c>
      <c r="DA804" s="654">
        <f t="shared" si="1327"/>
        <v>0</v>
      </c>
      <c r="DB804" s="1369">
        <f t="shared" si="1327"/>
        <v>0</v>
      </c>
      <c r="DC804" s="654">
        <f t="shared" si="1327"/>
        <v>0</v>
      </c>
      <c r="DD804" s="654">
        <f t="shared" si="1327"/>
        <v>0</v>
      </c>
      <c r="DE804" s="654">
        <f t="shared" si="1327"/>
        <v>0</v>
      </c>
      <c r="DF804" s="654">
        <f t="shared" si="1327"/>
        <v>0</v>
      </c>
      <c r="DG804" s="654">
        <f t="shared" si="1327"/>
        <v>0</v>
      </c>
      <c r="DH804" s="654">
        <f t="shared" si="1327"/>
        <v>0</v>
      </c>
      <c r="DI804" s="654">
        <f t="shared" si="1327"/>
        <v>0</v>
      </c>
      <c r="DJ804" s="654">
        <f t="shared" si="1327"/>
        <v>0</v>
      </c>
      <c r="DK804" s="654">
        <f t="shared" ref="DK804:EP804" si="1328">DK402</f>
        <v>0</v>
      </c>
      <c r="DL804" s="654">
        <f t="shared" si="1328"/>
        <v>0</v>
      </c>
      <c r="DM804" s="654">
        <f t="shared" si="1328"/>
        <v>0</v>
      </c>
      <c r="DN804" s="1368">
        <f t="shared" si="1328"/>
        <v>0</v>
      </c>
      <c r="DO804" s="654">
        <f t="shared" si="1328"/>
        <v>0</v>
      </c>
      <c r="DP804" s="654">
        <f t="shared" si="1328"/>
        <v>0</v>
      </c>
      <c r="DQ804" s="654">
        <f t="shared" si="1328"/>
        <v>0</v>
      </c>
      <c r="DR804" s="654">
        <f t="shared" si="1328"/>
        <v>0</v>
      </c>
      <c r="DS804" s="654">
        <f t="shared" si="1328"/>
        <v>0</v>
      </c>
      <c r="DT804" s="654">
        <f t="shared" si="1328"/>
        <v>0</v>
      </c>
      <c r="DU804" s="654">
        <f t="shared" si="1328"/>
        <v>0</v>
      </c>
      <c r="DV804" s="654">
        <f t="shared" si="1328"/>
        <v>0</v>
      </c>
      <c r="DW804" s="654">
        <f t="shared" si="1328"/>
        <v>0</v>
      </c>
      <c r="DX804" s="654">
        <f t="shared" si="1328"/>
        <v>0</v>
      </c>
      <c r="DY804" s="654">
        <f t="shared" si="1328"/>
        <v>0</v>
      </c>
      <c r="DZ804" s="1368">
        <f t="shared" si="1328"/>
        <v>0</v>
      </c>
      <c r="EA804" s="654">
        <f t="shared" si="1328"/>
        <v>0</v>
      </c>
      <c r="EB804" s="654">
        <f t="shared" si="1328"/>
        <v>0</v>
      </c>
      <c r="EC804" s="654">
        <f t="shared" si="1328"/>
        <v>0</v>
      </c>
      <c r="ED804" s="654">
        <f t="shared" si="1328"/>
        <v>0</v>
      </c>
      <c r="EE804" s="654">
        <f t="shared" si="1328"/>
        <v>0</v>
      </c>
      <c r="EF804" s="654">
        <f t="shared" si="1328"/>
        <v>0</v>
      </c>
      <c r="EG804" s="654">
        <f t="shared" si="1328"/>
        <v>0</v>
      </c>
      <c r="EH804" s="654">
        <f t="shared" si="1328"/>
        <v>0</v>
      </c>
      <c r="EI804" s="654">
        <f t="shared" si="1328"/>
        <v>0</v>
      </c>
      <c r="EJ804" s="654">
        <f t="shared" si="1328"/>
        <v>0</v>
      </c>
      <c r="EK804" s="654">
        <f t="shared" si="1328"/>
        <v>0</v>
      </c>
      <c r="EL804" s="1368">
        <f t="shared" si="1328"/>
        <v>0</v>
      </c>
      <c r="EM804" s="654">
        <f t="shared" si="1328"/>
        <v>0</v>
      </c>
      <c r="EN804" s="654">
        <f t="shared" si="1328"/>
        <v>0</v>
      </c>
      <c r="EO804" s="654">
        <f t="shared" si="1328"/>
        <v>0</v>
      </c>
      <c r="EP804" s="654">
        <f t="shared" si="1328"/>
        <v>0</v>
      </c>
      <c r="EQ804" s="654">
        <f t="shared" ref="EQ804:FV804" si="1329">EQ402</f>
        <v>0</v>
      </c>
      <c r="ER804" s="654">
        <f t="shared" si="1329"/>
        <v>0</v>
      </c>
      <c r="ES804" s="654">
        <f t="shared" si="1329"/>
        <v>0</v>
      </c>
      <c r="ET804" s="654">
        <f t="shared" si="1329"/>
        <v>0</v>
      </c>
      <c r="EU804" s="654">
        <f t="shared" si="1329"/>
        <v>0</v>
      </c>
      <c r="EV804" s="654">
        <f t="shared" si="1329"/>
        <v>0</v>
      </c>
      <c r="EW804" s="654">
        <f t="shared" si="1329"/>
        <v>0</v>
      </c>
      <c r="EX804" s="1368">
        <f t="shared" si="1329"/>
        <v>0</v>
      </c>
      <c r="EY804" s="654">
        <f t="shared" si="1329"/>
        <v>0</v>
      </c>
      <c r="EZ804" s="654">
        <f t="shared" si="1329"/>
        <v>0</v>
      </c>
      <c r="FA804" s="654">
        <f t="shared" si="1329"/>
        <v>0</v>
      </c>
      <c r="FB804" s="654">
        <f t="shared" si="1329"/>
        <v>0</v>
      </c>
      <c r="FC804" s="654">
        <f t="shared" si="1329"/>
        <v>0</v>
      </c>
      <c r="FD804" s="654">
        <f t="shared" si="1329"/>
        <v>0</v>
      </c>
      <c r="FE804" s="654">
        <f t="shared" si="1329"/>
        <v>0</v>
      </c>
      <c r="FF804" s="654">
        <f t="shared" si="1329"/>
        <v>0</v>
      </c>
      <c r="FG804" s="654">
        <f t="shared" si="1329"/>
        <v>0</v>
      </c>
      <c r="FH804" s="654">
        <f t="shared" si="1329"/>
        <v>0</v>
      </c>
      <c r="FI804" s="654">
        <f t="shared" si="1329"/>
        <v>0</v>
      </c>
      <c r="FJ804" s="1368">
        <f t="shared" si="1329"/>
        <v>0</v>
      </c>
      <c r="FK804" s="654">
        <f t="shared" si="1329"/>
        <v>0</v>
      </c>
      <c r="FL804" s="654">
        <f t="shared" si="1329"/>
        <v>0</v>
      </c>
      <c r="FM804" s="654">
        <f t="shared" si="1329"/>
        <v>0</v>
      </c>
      <c r="FN804" s="654">
        <f t="shared" si="1329"/>
        <v>0</v>
      </c>
      <c r="FO804" s="654">
        <f t="shared" si="1329"/>
        <v>0</v>
      </c>
      <c r="FP804" s="654">
        <f t="shared" si="1329"/>
        <v>0</v>
      </c>
      <c r="FQ804" s="654">
        <f t="shared" si="1329"/>
        <v>0</v>
      </c>
      <c r="FR804" s="654">
        <f t="shared" si="1329"/>
        <v>0</v>
      </c>
      <c r="FS804" s="654">
        <f t="shared" si="1329"/>
        <v>0</v>
      </c>
      <c r="FT804" s="654">
        <f t="shared" si="1329"/>
        <v>0</v>
      </c>
      <c r="FU804" s="654">
        <f t="shared" si="1329"/>
        <v>0</v>
      </c>
      <c r="FV804" s="654">
        <f t="shared" si="1329"/>
        <v>0</v>
      </c>
      <c r="FW804" s="654">
        <v>0</v>
      </c>
      <c r="FX804" s="654">
        <v>0</v>
      </c>
      <c r="FY804" s="654">
        <v>0</v>
      </c>
      <c r="FZ804" s="654">
        <v>0</v>
      </c>
      <c r="GA804" s="654">
        <v>0</v>
      </c>
      <c r="GB804" s="654">
        <v>0</v>
      </c>
      <c r="GC804" s="654">
        <v>0</v>
      </c>
      <c r="GD804" s="654">
        <v>0</v>
      </c>
      <c r="GE804" s="654">
        <v>0</v>
      </c>
      <c r="GF804" s="654">
        <v>0</v>
      </c>
      <c r="GG804" s="654">
        <v>0</v>
      </c>
      <c r="GH804" s="654">
        <v>0</v>
      </c>
      <c r="GI804" s="654">
        <v>0</v>
      </c>
      <c r="GJ804" s="654">
        <v>0</v>
      </c>
      <c r="GK804" s="654">
        <v>0</v>
      </c>
      <c r="GL804" s="654">
        <v>0</v>
      </c>
      <c r="GM804" s="654">
        <v>0</v>
      </c>
      <c r="GN804" s="654">
        <v>0</v>
      </c>
      <c r="GO804" s="654">
        <v>0</v>
      </c>
      <c r="GP804" s="654">
        <v>0</v>
      </c>
      <c r="GQ804" s="654">
        <v>0</v>
      </c>
      <c r="GR804" s="654">
        <v>0</v>
      </c>
      <c r="GS804" s="654">
        <v>0</v>
      </c>
      <c r="GT804" s="654">
        <v>0</v>
      </c>
      <c r="GU804" s="654">
        <v>0</v>
      </c>
      <c r="GV804" s="654">
        <v>0</v>
      </c>
      <c r="GW804" s="654">
        <v>0</v>
      </c>
      <c r="GX804" s="654">
        <v>0</v>
      </c>
      <c r="GY804" s="654">
        <v>0</v>
      </c>
      <c r="GZ804" s="654">
        <v>0</v>
      </c>
      <c r="HA804" s="654">
        <v>0</v>
      </c>
      <c r="HB804" s="654">
        <v>0</v>
      </c>
      <c r="HC804" s="654">
        <v>0</v>
      </c>
      <c r="HD804" s="654">
        <v>0</v>
      </c>
      <c r="HE804" s="654">
        <v>0</v>
      </c>
      <c r="HF804" s="654">
        <v>0</v>
      </c>
      <c r="HG804" s="654">
        <v>0</v>
      </c>
      <c r="HH804" s="654">
        <v>0</v>
      </c>
      <c r="HI804" s="654">
        <v>0</v>
      </c>
      <c r="HJ804" s="654">
        <v>0</v>
      </c>
      <c r="HK804" s="654">
        <v>0</v>
      </c>
      <c r="HL804" s="654">
        <v>0</v>
      </c>
      <c r="HM804" s="654">
        <v>0</v>
      </c>
      <c r="HN804" s="654">
        <v>0</v>
      </c>
      <c r="HO804" s="654">
        <v>0</v>
      </c>
      <c r="HP804" s="654">
        <v>0</v>
      </c>
      <c r="HQ804" s="654">
        <v>0</v>
      </c>
      <c r="HR804" s="654">
        <v>0</v>
      </c>
      <c r="HS804" s="654">
        <v>0</v>
      </c>
      <c r="HT804" s="654">
        <v>0</v>
      </c>
      <c r="HU804" s="654">
        <v>0</v>
      </c>
      <c r="HV804" s="654">
        <v>0</v>
      </c>
      <c r="HW804" s="654">
        <v>0</v>
      </c>
      <c r="HX804" s="654">
        <v>0</v>
      </c>
      <c r="HY804" s="654"/>
      <c r="HZ804" s="1370"/>
      <c r="IA804" s="332" t="s">
        <v>497</v>
      </c>
      <c r="IB804" s="284">
        <f t="shared" si="1262"/>
        <v>0</v>
      </c>
      <c r="IC804" s="279">
        <f t="shared" si="1263"/>
        <v>0</v>
      </c>
      <c r="ID804" s="323">
        <f t="shared" si="907"/>
        <v>0</v>
      </c>
      <c r="IE804" s="279">
        <f t="shared" si="1264"/>
        <v>0</v>
      </c>
      <c r="IF804" s="279">
        <f t="shared" si="1265"/>
        <v>0</v>
      </c>
      <c r="IG804" s="323">
        <f t="shared" si="880"/>
        <v>0</v>
      </c>
      <c r="IH804" s="284">
        <f t="shared" si="1266"/>
        <v>0</v>
      </c>
      <c r="II804" s="279">
        <f t="shared" si="1267"/>
        <v>0</v>
      </c>
      <c r="IJ804" s="323">
        <f t="shared" si="881"/>
        <v>0</v>
      </c>
      <c r="IK804" s="327">
        <f t="shared" si="1268"/>
        <v>0</v>
      </c>
      <c r="IL804" s="279">
        <f t="shared" si="1269"/>
        <v>0</v>
      </c>
      <c r="IM804" s="323">
        <f t="shared" si="882"/>
        <v>0</v>
      </c>
      <c r="IN804" s="279">
        <f t="shared" si="1270"/>
        <v>0</v>
      </c>
      <c r="IO804" s="279">
        <f t="shared" si="1271"/>
        <v>0</v>
      </c>
      <c r="IP804" s="323">
        <f t="shared" si="883"/>
        <v>0</v>
      </c>
      <c r="IQ804" s="327">
        <f t="shared" si="1272"/>
        <v>0</v>
      </c>
      <c r="IR804" s="327">
        <f t="shared" si="1273"/>
        <v>0</v>
      </c>
      <c r="IS804" s="323">
        <f t="shared" si="884"/>
        <v>0</v>
      </c>
      <c r="IT804" s="327">
        <f t="shared" si="1274"/>
        <v>0</v>
      </c>
      <c r="IU804" s="327">
        <f t="shared" si="1275"/>
        <v>0</v>
      </c>
      <c r="IV804" s="323">
        <f t="shared" si="885"/>
        <v>0</v>
      </c>
      <c r="IW804" s="327">
        <f t="shared" si="1255"/>
        <v>0</v>
      </c>
      <c r="IX804" s="327">
        <f t="shared" si="1246"/>
        <v>0</v>
      </c>
      <c r="IY804" s="323">
        <f>IW804+IX804</f>
        <v>0</v>
      </c>
      <c r="IZ804" s="327">
        <f t="shared" si="1247"/>
        <v>0</v>
      </c>
      <c r="JA804" s="327">
        <f t="shared" si="1248"/>
        <v>0</v>
      </c>
      <c r="JB804" s="323">
        <f t="shared" si="887"/>
        <v>0</v>
      </c>
      <c r="JC804" s="327">
        <f t="shared" si="1249"/>
        <v>0</v>
      </c>
      <c r="JD804" s="327">
        <f t="shared" si="1250"/>
        <v>0</v>
      </c>
      <c r="JE804" s="323">
        <f t="shared" si="888"/>
        <v>0</v>
      </c>
      <c r="JF804" s="327">
        <f t="shared" si="1256"/>
        <v>0</v>
      </c>
      <c r="JG804" s="327">
        <f t="shared" si="918"/>
        <v>0</v>
      </c>
      <c r="JH804" s="323">
        <f t="shared" si="889"/>
        <v>0</v>
      </c>
      <c r="JI804" s="327">
        <f t="shared" si="909"/>
        <v>0</v>
      </c>
      <c r="JJ804" s="327">
        <f t="shared" si="910"/>
        <v>0</v>
      </c>
      <c r="JK804" s="323">
        <f t="shared" si="890"/>
        <v>0</v>
      </c>
      <c r="JL804" s="327">
        <f t="shared" si="891"/>
        <v>0</v>
      </c>
      <c r="JM804" s="279">
        <f t="shared" si="892"/>
        <v>0</v>
      </c>
      <c r="JN804" s="323">
        <f>FISC!AK1110</f>
        <v>0</v>
      </c>
      <c r="JO804" s="327">
        <f t="shared" si="1318"/>
        <v>0</v>
      </c>
      <c r="JP804" s="279">
        <f t="shared" si="893"/>
        <v>0</v>
      </c>
      <c r="JQ804" s="323">
        <f>FISC!AL1110</f>
        <v>0</v>
      </c>
      <c r="JR804" s="327">
        <f t="shared" si="1319"/>
        <v>0</v>
      </c>
      <c r="JS804" s="279">
        <f t="shared" si="894"/>
        <v>0</v>
      </c>
      <c r="JT804" s="323">
        <f>FISC!AM1110</f>
        <v>0</v>
      </c>
      <c r="JU804" s="327">
        <f t="shared" si="1320"/>
        <v>0</v>
      </c>
      <c r="JV804" s="279">
        <f t="shared" si="911"/>
        <v>0</v>
      </c>
      <c r="JW804" s="323">
        <f>FISC!AN1110</f>
        <v>0</v>
      </c>
      <c r="JX804" s="327">
        <f t="shared" si="1321"/>
        <v>0</v>
      </c>
      <c r="JY804" s="279">
        <f t="shared" si="895"/>
        <v>0</v>
      </c>
      <c r="JZ804" s="323">
        <f>FISC!AO1110</f>
        <v>0</v>
      </c>
      <c r="KA804" s="327">
        <f t="shared" si="1322"/>
        <v>0</v>
      </c>
      <c r="KB804" s="279">
        <f t="shared" si="1194"/>
        <v>0</v>
      </c>
      <c r="KC804" s="323">
        <f>FISC!AP1110</f>
        <v>0</v>
      </c>
      <c r="KD804" s="327">
        <f t="shared" si="1323"/>
        <v>0</v>
      </c>
      <c r="KE804" s="279">
        <f t="shared" si="1196"/>
        <v>0</v>
      </c>
      <c r="KF804" s="323">
        <f>FISC!AQ1110</f>
        <v>0</v>
      </c>
      <c r="KG804" s="327">
        <f t="shared" si="1324"/>
        <v>0</v>
      </c>
      <c r="KH804" s="279">
        <f t="shared" si="1198"/>
        <v>0</v>
      </c>
      <c r="KI804" s="323">
        <f>FISC!AR1110</f>
        <v>0</v>
      </c>
      <c r="KJ804" s="327">
        <f t="shared" si="1325"/>
        <v>0</v>
      </c>
      <c r="KK804" s="279">
        <f t="shared" si="1200"/>
        <v>0</v>
      </c>
      <c r="KL804" s="323">
        <f>FISC!AS1110</f>
        <v>0</v>
      </c>
      <c r="KM804" s="327">
        <f t="shared" si="1326"/>
        <v>0</v>
      </c>
      <c r="KN804" s="279">
        <f t="shared" si="1202"/>
        <v>0</v>
      </c>
      <c r="KO804" s="323">
        <f>FISC!AT1110</f>
        <v>0</v>
      </c>
      <c r="KU804" s="1370"/>
      <c r="KV804" s="960"/>
    </row>
    <row r="805" spans="1:314" s="454" customFormat="1">
      <c r="B805" s="1366"/>
      <c r="C805" s="1366"/>
      <c r="D805" s="1232" t="s">
        <v>498</v>
      </c>
      <c r="E805" s="654"/>
      <c r="F805" s="654"/>
      <c r="G805" s="654"/>
      <c r="H805" s="654"/>
      <c r="I805" s="654"/>
      <c r="J805" s="654"/>
      <c r="K805" s="654"/>
      <c r="L805" s="654"/>
      <c r="M805" s="654"/>
      <c r="N805" s="654"/>
      <c r="O805" s="654"/>
      <c r="P805" s="654"/>
      <c r="Q805" s="654"/>
      <c r="R805" s="654"/>
      <c r="S805" s="654"/>
      <c r="T805" s="654"/>
      <c r="U805" s="654"/>
      <c r="V805" s="654"/>
      <c r="W805" s="654"/>
      <c r="X805" s="654"/>
      <c r="Y805" s="654"/>
      <c r="Z805" s="654"/>
      <c r="AA805" s="654"/>
      <c r="AB805" s="654"/>
      <c r="AC805" s="654"/>
      <c r="AD805" s="654"/>
      <c r="AE805" s="654"/>
      <c r="AF805" s="654"/>
      <c r="AG805" s="654"/>
      <c r="AH805" s="654"/>
      <c r="AI805" s="654"/>
      <c r="AJ805" s="654"/>
      <c r="AK805" s="654"/>
      <c r="AL805" s="654"/>
      <c r="AM805" s="654"/>
      <c r="AN805" s="654"/>
      <c r="AO805" s="654"/>
      <c r="AP805" s="654"/>
      <c r="AQ805" s="654"/>
      <c r="AR805" s="654"/>
      <c r="AS805" s="654"/>
      <c r="AT805" s="654"/>
      <c r="AU805" s="654"/>
      <c r="AV805" s="654"/>
      <c r="AW805" s="654"/>
      <c r="AX805" s="654"/>
      <c r="AY805" s="654"/>
      <c r="AZ805" s="654"/>
      <c r="BA805" s="654"/>
      <c r="BB805" s="654"/>
      <c r="BC805" s="654"/>
      <c r="BD805" s="654"/>
      <c r="BE805" s="654"/>
      <c r="BF805" s="654"/>
      <c r="BG805" s="654"/>
      <c r="BH805" s="654"/>
      <c r="BI805" s="654"/>
      <c r="BJ805" s="654"/>
      <c r="BK805" s="654"/>
      <c r="BL805" s="654"/>
      <c r="BM805" s="654"/>
      <c r="BN805" s="654"/>
      <c r="BO805" s="654"/>
      <c r="BP805" s="654"/>
      <c r="BQ805" s="654"/>
      <c r="BR805" s="654"/>
      <c r="BS805" s="654"/>
      <c r="BT805" s="654"/>
      <c r="BU805" s="654"/>
      <c r="BV805" s="654"/>
      <c r="BW805" s="654"/>
      <c r="BX805" s="654"/>
      <c r="BY805" s="654"/>
      <c r="BZ805" s="654"/>
      <c r="CA805" s="654"/>
      <c r="CB805" s="654"/>
      <c r="CC805" s="654"/>
      <c r="CD805" s="1367"/>
      <c r="CE805" s="654">
        <f t="shared" ref="CE805:DJ805" si="1330">CE403</f>
        <v>0</v>
      </c>
      <c r="CF805" s="654">
        <f t="shared" si="1330"/>
        <v>0</v>
      </c>
      <c r="CG805" s="654">
        <f t="shared" si="1330"/>
        <v>0</v>
      </c>
      <c r="CH805" s="654">
        <f t="shared" si="1330"/>
        <v>0</v>
      </c>
      <c r="CI805" s="654">
        <f t="shared" si="1330"/>
        <v>0</v>
      </c>
      <c r="CJ805" s="654">
        <f t="shared" si="1330"/>
        <v>0</v>
      </c>
      <c r="CK805" s="654">
        <f t="shared" si="1330"/>
        <v>0</v>
      </c>
      <c r="CL805" s="654">
        <f t="shared" si="1330"/>
        <v>0</v>
      </c>
      <c r="CM805" s="654">
        <f t="shared" si="1330"/>
        <v>0</v>
      </c>
      <c r="CN805" s="654">
        <f t="shared" si="1330"/>
        <v>0</v>
      </c>
      <c r="CO805" s="654">
        <f t="shared" si="1330"/>
        <v>0</v>
      </c>
      <c r="CP805" s="1368">
        <f t="shared" si="1330"/>
        <v>0</v>
      </c>
      <c r="CQ805" s="654">
        <f t="shared" si="1330"/>
        <v>0</v>
      </c>
      <c r="CR805" s="654">
        <f t="shared" si="1330"/>
        <v>0</v>
      </c>
      <c r="CS805" s="654">
        <f t="shared" si="1330"/>
        <v>0</v>
      </c>
      <c r="CT805" s="654">
        <f t="shared" si="1330"/>
        <v>0</v>
      </c>
      <c r="CU805" s="654">
        <f t="shared" si="1330"/>
        <v>0</v>
      </c>
      <c r="CV805" s="654">
        <f t="shared" si="1330"/>
        <v>0</v>
      </c>
      <c r="CW805" s="654">
        <f t="shared" si="1330"/>
        <v>0</v>
      </c>
      <c r="CX805" s="654">
        <f t="shared" si="1330"/>
        <v>0</v>
      </c>
      <c r="CY805" s="654">
        <f t="shared" si="1330"/>
        <v>0</v>
      </c>
      <c r="CZ805" s="654">
        <f t="shared" si="1330"/>
        <v>0</v>
      </c>
      <c r="DA805" s="654">
        <f t="shared" si="1330"/>
        <v>0</v>
      </c>
      <c r="DB805" s="1369">
        <f t="shared" si="1330"/>
        <v>0</v>
      </c>
      <c r="DC805" s="654">
        <f t="shared" si="1330"/>
        <v>0</v>
      </c>
      <c r="DD805" s="654">
        <f t="shared" si="1330"/>
        <v>0</v>
      </c>
      <c r="DE805" s="654">
        <f t="shared" si="1330"/>
        <v>0</v>
      </c>
      <c r="DF805" s="654">
        <f t="shared" si="1330"/>
        <v>0</v>
      </c>
      <c r="DG805" s="654">
        <f t="shared" si="1330"/>
        <v>0</v>
      </c>
      <c r="DH805" s="654">
        <f t="shared" si="1330"/>
        <v>0</v>
      </c>
      <c r="DI805" s="654">
        <f t="shared" si="1330"/>
        <v>0</v>
      </c>
      <c r="DJ805" s="654">
        <f t="shared" si="1330"/>
        <v>0</v>
      </c>
      <c r="DK805" s="654">
        <f t="shared" ref="DK805:EP805" si="1331">DK403</f>
        <v>0</v>
      </c>
      <c r="DL805" s="654">
        <f t="shared" si="1331"/>
        <v>0</v>
      </c>
      <c r="DM805" s="654">
        <f t="shared" si="1331"/>
        <v>0</v>
      </c>
      <c r="DN805" s="1368">
        <f t="shared" si="1331"/>
        <v>0</v>
      </c>
      <c r="DO805" s="654">
        <f t="shared" si="1331"/>
        <v>0</v>
      </c>
      <c r="DP805" s="654">
        <f t="shared" si="1331"/>
        <v>0</v>
      </c>
      <c r="DQ805" s="654">
        <f t="shared" si="1331"/>
        <v>0</v>
      </c>
      <c r="DR805" s="654">
        <f t="shared" si="1331"/>
        <v>0</v>
      </c>
      <c r="DS805" s="654">
        <f t="shared" si="1331"/>
        <v>0</v>
      </c>
      <c r="DT805" s="654">
        <f t="shared" si="1331"/>
        <v>0</v>
      </c>
      <c r="DU805" s="654">
        <f t="shared" si="1331"/>
        <v>0</v>
      </c>
      <c r="DV805" s="654">
        <f t="shared" si="1331"/>
        <v>0</v>
      </c>
      <c r="DW805" s="654">
        <f t="shared" si="1331"/>
        <v>0</v>
      </c>
      <c r="DX805" s="654">
        <f t="shared" si="1331"/>
        <v>0</v>
      </c>
      <c r="DY805" s="654">
        <f t="shared" si="1331"/>
        <v>0</v>
      </c>
      <c r="DZ805" s="1368">
        <f t="shared" si="1331"/>
        <v>0</v>
      </c>
      <c r="EA805" s="654">
        <f t="shared" si="1331"/>
        <v>0</v>
      </c>
      <c r="EB805" s="654">
        <f t="shared" si="1331"/>
        <v>0</v>
      </c>
      <c r="EC805" s="654">
        <f t="shared" si="1331"/>
        <v>0</v>
      </c>
      <c r="ED805" s="654">
        <f t="shared" si="1331"/>
        <v>0</v>
      </c>
      <c r="EE805" s="654">
        <f t="shared" si="1331"/>
        <v>0</v>
      </c>
      <c r="EF805" s="654">
        <f t="shared" si="1331"/>
        <v>0</v>
      </c>
      <c r="EG805" s="654">
        <f t="shared" si="1331"/>
        <v>0</v>
      </c>
      <c r="EH805" s="654">
        <f t="shared" si="1331"/>
        <v>0</v>
      </c>
      <c r="EI805" s="654">
        <f t="shared" si="1331"/>
        <v>0</v>
      </c>
      <c r="EJ805" s="654">
        <f t="shared" si="1331"/>
        <v>0</v>
      </c>
      <c r="EK805" s="654">
        <f t="shared" si="1331"/>
        <v>0</v>
      </c>
      <c r="EL805" s="1368">
        <f t="shared" si="1331"/>
        <v>0</v>
      </c>
      <c r="EM805" s="654">
        <f t="shared" si="1331"/>
        <v>0</v>
      </c>
      <c r="EN805" s="654">
        <f t="shared" si="1331"/>
        <v>0</v>
      </c>
      <c r="EO805" s="654">
        <f t="shared" si="1331"/>
        <v>0</v>
      </c>
      <c r="EP805" s="654">
        <f t="shared" si="1331"/>
        <v>0</v>
      </c>
      <c r="EQ805" s="654">
        <f t="shared" ref="EQ805:FV805" si="1332">EQ403</f>
        <v>0</v>
      </c>
      <c r="ER805" s="654">
        <f t="shared" si="1332"/>
        <v>0</v>
      </c>
      <c r="ES805" s="654">
        <f t="shared" si="1332"/>
        <v>0</v>
      </c>
      <c r="ET805" s="654">
        <f t="shared" si="1332"/>
        <v>0</v>
      </c>
      <c r="EU805" s="654">
        <f t="shared" si="1332"/>
        <v>0</v>
      </c>
      <c r="EV805" s="654">
        <f t="shared" si="1332"/>
        <v>0</v>
      </c>
      <c r="EW805" s="654">
        <f t="shared" si="1332"/>
        <v>0</v>
      </c>
      <c r="EX805" s="1368">
        <f t="shared" si="1332"/>
        <v>0</v>
      </c>
      <c r="EY805" s="654">
        <f t="shared" si="1332"/>
        <v>0</v>
      </c>
      <c r="EZ805" s="654">
        <f t="shared" si="1332"/>
        <v>0</v>
      </c>
      <c r="FA805" s="654">
        <f t="shared" si="1332"/>
        <v>0</v>
      </c>
      <c r="FB805" s="654">
        <f t="shared" si="1332"/>
        <v>0</v>
      </c>
      <c r="FC805" s="654">
        <f t="shared" si="1332"/>
        <v>0</v>
      </c>
      <c r="FD805" s="654">
        <f t="shared" si="1332"/>
        <v>0</v>
      </c>
      <c r="FE805" s="654">
        <f t="shared" si="1332"/>
        <v>0</v>
      </c>
      <c r="FF805" s="654">
        <f t="shared" si="1332"/>
        <v>0</v>
      </c>
      <c r="FG805" s="654">
        <f t="shared" si="1332"/>
        <v>0</v>
      </c>
      <c r="FH805" s="654">
        <f t="shared" si="1332"/>
        <v>0</v>
      </c>
      <c r="FI805" s="654">
        <f t="shared" si="1332"/>
        <v>0</v>
      </c>
      <c r="FJ805" s="1368">
        <f t="shared" si="1332"/>
        <v>0</v>
      </c>
      <c r="FK805" s="654">
        <f t="shared" si="1332"/>
        <v>0</v>
      </c>
      <c r="FL805" s="654">
        <f t="shared" si="1332"/>
        <v>0</v>
      </c>
      <c r="FM805" s="654">
        <f t="shared" si="1332"/>
        <v>0</v>
      </c>
      <c r="FN805" s="654">
        <f t="shared" si="1332"/>
        <v>0</v>
      </c>
      <c r="FO805" s="654">
        <f t="shared" si="1332"/>
        <v>0</v>
      </c>
      <c r="FP805" s="654">
        <f t="shared" si="1332"/>
        <v>0</v>
      </c>
      <c r="FQ805" s="654">
        <f t="shared" si="1332"/>
        <v>0</v>
      </c>
      <c r="FR805" s="654">
        <f t="shared" si="1332"/>
        <v>0</v>
      </c>
      <c r="FS805" s="654">
        <f t="shared" si="1332"/>
        <v>0</v>
      </c>
      <c r="FT805" s="654">
        <f t="shared" si="1332"/>
        <v>0</v>
      </c>
      <c r="FU805" s="654">
        <f t="shared" si="1332"/>
        <v>0</v>
      </c>
      <c r="FV805" s="654">
        <f t="shared" si="1332"/>
        <v>0</v>
      </c>
      <c r="FW805" s="654">
        <v>0</v>
      </c>
      <c r="FX805" s="654">
        <v>0</v>
      </c>
      <c r="FY805" s="654">
        <v>0</v>
      </c>
      <c r="FZ805" s="654">
        <v>0</v>
      </c>
      <c r="GA805" s="654">
        <v>0</v>
      </c>
      <c r="GB805" s="654">
        <v>0</v>
      </c>
      <c r="GC805" s="654">
        <v>0</v>
      </c>
      <c r="GD805" s="654">
        <v>0</v>
      </c>
      <c r="GE805" s="654">
        <v>0</v>
      </c>
      <c r="GF805" s="654">
        <v>0</v>
      </c>
      <c r="GG805" s="654">
        <v>0</v>
      </c>
      <c r="GH805" s="654">
        <v>0</v>
      </c>
      <c r="GI805" s="654">
        <v>0</v>
      </c>
      <c r="GJ805" s="654">
        <v>0</v>
      </c>
      <c r="GK805" s="654">
        <v>0</v>
      </c>
      <c r="GL805" s="654">
        <v>0</v>
      </c>
      <c r="GM805" s="654">
        <v>0</v>
      </c>
      <c r="GN805" s="654">
        <v>0</v>
      </c>
      <c r="GO805" s="654">
        <v>0</v>
      </c>
      <c r="GP805" s="654">
        <v>0</v>
      </c>
      <c r="GQ805" s="654">
        <v>0</v>
      </c>
      <c r="GR805" s="654">
        <v>0</v>
      </c>
      <c r="GS805" s="654">
        <v>0</v>
      </c>
      <c r="GT805" s="654">
        <v>0</v>
      </c>
      <c r="GU805" s="654">
        <v>0</v>
      </c>
      <c r="GV805" s="654">
        <v>0</v>
      </c>
      <c r="GW805" s="654">
        <v>0</v>
      </c>
      <c r="GX805" s="654">
        <v>0</v>
      </c>
      <c r="GY805" s="654">
        <v>0</v>
      </c>
      <c r="GZ805" s="654">
        <v>0</v>
      </c>
      <c r="HA805" s="654">
        <v>0</v>
      </c>
      <c r="HB805" s="654">
        <v>0</v>
      </c>
      <c r="HC805" s="654">
        <v>0</v>
      </c>
      <c r="HD805" s="654">
        <v>0</v>
      </c>
      <c r="HE805" s="654">
        <v>0</v>
      </c>
      <c r="HF805" s="654">
        <v>0</v>
      </c>
      <c r="HG805" s="654">
        <v>0</v>
      </c>
      <c r="HH805" s="654">
        <v>0</v>
      </c>
      <c r="HI805" s="654">
        <v>0</v>
      </c>
      <c r="HJ805" s="654">
        <v>0</v>
      </c>
      <c r="HK805" s="654">
        <v>0</v>
      </c>
      <c r="HL805" s="654">
        <v>0</v>
      </c>
      <c r="HM805" s="654">
        <v>0</v>
      </c>
      <c r="HN805" s="654">
        <v>0</v>
      </c>
      <c r="HO805" s="654">
        <v>0</v>
      </c>
      <c r="HP805" s="654">
        <v>0</v>
      </c>
      <c r="HQ805" s="654">
        <v>0</v>
      </c>
      <c r="HR805" s="654">
        <v>0</v>
      </c>
      <c r="HS805" s="654">
        <v>0</v>
      </c>
      <c r="HT805" s="654">
        <v>0</v>
      </c>
      <c r="HU805" s="654">
        <v>0</v>
      </c>
      <c r="HV805" s="654">
        <v>0</v>
      </c>
      <c r="HW805" s="654">
        <v>0</v>
      </c>
      <c r="HX805" s="654">
        <v>0</v>
      </c>
      <c r="HY805" s="654"/>
      <c r="HZ805" s="1370"/>
      <c r="IA805" s="1232" t="s">
        <v>498</v>
      </c>
      <c r="IB805" s="284">
        <f t="shared" si="1262"/>
        <v>0</v>
      </c>
      <c r="IC805" s="279">
        <f t="shared" si="1263"/>
        <v>0</v>
      </c>
      <c r="ID805" s="323">
        <f t="shared" si="907"/>
        <v>0</v>
      </c>
      <c r="IE805" s="279">
        <f t="shared" si="1264"/>
        <v>0</v>
      </c>
      <c r="IF805" s="279">
        <f t="shared" si="1265"/>
        <v>0</v>
      </c>
      <c r="IG805" s="323">
        <f t="shared" si="880"/>
        <v>0</v>
      </c>
      <c r="IH805" s="284">
        <f t="shared" si="1266"/>
        <v>0</v>
      </c>
      <c r="II805" s="279">
        <f t="shared" si="1267"/>
        <v>0</v>
      </c>
      <c r="IJ805" s="323">
        <f t="shared" si="881"/>
        <v>0</v>
      </c>
      <c r="IK805" s="327">
        <f t="shared" si="1268"/>
        <v>0</v>
      </c>
      <c r="IL805" s="279">
        <f t="shared" si="1269"/>
        <v>0</v>
      </c>
      <c r="IM805" s="323">
        <f t="shared" si="882"/>
        <v>0</v>
      </c>
      <c r="IN805" s="279">
        <f t="shared" si="1270"/>
        <v>0</v>
      </c>
      <c r="IO805" s="279">
        <f t="shared" si="1271"/>
        <v>0</v>
      </c>
      <c r="IP805" s="323">
        <f t="shared" si="883"/>
        <v>0</v>
      </c>
      <c r="IQ805" s="327">
        <f t="shared" si="1272"/>
        <v>0</v>
      </c>
      <c r="IR805" s="327">
        <f t="shared" si="1273"/>
        <v>0</v>
      </c>
      <c r="IS805" s="323">
        <f t="shared" si="884"/>
        <v>0</v>
      </c>
      <c r="IT805" s="327">
        <f t="shared" si="1274"/>
        <v>0</v>
      </c>
      <c r="IU805" s="327">
        <f t="shared" si="1275"/>
        <v>0</v>
      </c>
      <c r="IV805" s="323">
        <f t="shared" si="885"/>
        <v>0</v>
      </c>
      <c r="IW805" s="327">
        <f t="shared" si="1255"/>
        <v>0</v>
      </c>
      <c r="IX805" s="327">
        <f t="shared" si="1246"/>
        <v>0</v>
      </c>
      <c r="IY805" s="323">
        <f t="shared" si="886"/>
        <v>0</v>
      </c>
      <c r="IZ805" s="327">
        <f t="shared" si="1247"/>
        <v>0</v>
      </c>
      <c r="JA805" s="327">
        <f t="shared" si="1248"/>
        <v>0</v>
      </c>
      <c r="JB805" s="323">
        <f t="shared" si="887"/>
        <v>0</v>
      </c>
      <c r="JC805" s="327">
        <f t="shared" si="1249"/>
        <v>0</v>
      </c>
      <c r="JD805" s="327">
        <f t="shared" si="1250"/>
        <v>0</v>
      </c>
      <c r="JE805" s="323">
        <f t="shared" si="888"/>
        <v>0</v>
      </c>
      <c r="JF805" s="327">
        <f t="shared" si="1256"/>
        <v>0</v>
      </c>
      <c r="JG805" s="327">
        <f t="shared" si="918"/>
        <v>0</v>
      </c>
      <c r="JH805" s="323">
        <f t="shared" si="889"/>
        <v>0</v>
      </c>
      <c r="JI805" s="327">
        <f t="shared" si="909"/>
        <v>0</v>
      </c>
      <c r="JJ805" s="327">
        <f t="shared" si="910"/>
        <v>0</v>
      </c>
      <c r="JK805" s="323">
        <f t="shared" si="890"/>
        <v>0</v>
      </c>
      <c r="JL805" s="327">
        <f t="shared" si="891"/>
        <v>0</v>
      </c>
      <c r="JM805" s="279">
        <f t="shared" si="892"/>
        <v>0</v>
      </c>
      <c r="JN805" s="323">
        <f>FISC!AK1111</f>
        <v>0</v>
      </c>
      <c r="JO805" s="327">
        <f t="shared" si="1318"/>
        <v>0</v>
      </c>
      <c r="JP805" s="279">
        <f t="shared" si="893"/>
        <v>0</v>
      </c>
      <c r="JQ805" s="323">
        <f>FISC!AL1111</f>
        <v>0</v>
      </c>
      <c r="JR805" s="327">
        <f t="shared" si="1319"/>
        <v>0</v>
      </c>
      <c r="JS805" s="279">
        <f t="shared" si="894"/>
        <v>0</v>
      </c>
      <c r="JT805" s="323">
        <f>FISC!AM1111</f>
        <v>0</v>
      </c>
      <c r="JU805" s="327">
        <f t="shared" si="1320"/>
        <v>0</v>
      </c>
      <c r="JV805" s="279">
        <f t="shared" si="911"/>
        <v>0</v>
      </c>
      <c r="JW805" s="323">
        <f>FISC!AN1111</f>
        <v>0</v>
      </c>
      <c r="JX805" s="327">
        <f t="shared" si="1321"/>
        <v>0</v>
      </c>
      <c r="JY805" s="279">
        <f t="shared" si="895"/>
        <v>0</v>
      </c>
      <c r="JZ805" s="323">
        <f>FISC!AO1111</f>
        <v>0</v>
      </c>
      <c r="KA805" s="327">
        <f t="shared" si="1322"/>
        <v>0</v>
      </c>
      <c r="KB805" s="279">
        <f t="shared" si="1194"/>
        <v>0</v>
      </c>
      <c r="KC805" s="323">
        <f>FISC!AP1111</f>
        <v>0</v>
      </c>
      <c r="KD805" s="327">
        <f t="shared" si="1323"/>
        <v>0</v>
      </c>
      <c r="KE805" s="279">
        <f t="shared" si="1196"/>
        <v>0</v>
      </c>
      <c r="KF805" s="323">
        <f>FISC!AQ1111</f>
        <v>0</v>
      </c>
      <c r="KG805" s="327">
        <f t="shared" si="1324"/>
        <v>0</v>
      </c>
      <c r="KH805" s="279">
        <f t="shared" si="1198"/>
        <v>0</v>
      </c>
      <c r="KI805" s="323">
        <f>FISC!AR1111</f>
        <v>0</v>
      </c>
      <c r="KJ805" s="327">
        <f t="shared" si="1325"/>
        <v>0</v>
      </c>
      <c r="KK805" s="279">
        <f t="shared" si="1200"/>
        <v>0</v>
      </c>
      <c r="KL805" s="323">
        <f>FISC!AS1111</f>
        <v>0</v>
      </c>
      <c r="KM805" s="327">
        <f t="shared" si="1326"/>
        <v>0</v>
      </c>
      <c r="KN805" s="279">
        <f t="shared" si="1202"/>
        <v>0</v>
      </c>
      <c r="KO805" s="323">
        <f>FISC!AT1111</f>
        <v>0</v>
      </c>
      <c r="KU805" s="1370"/>
      <c r="KV805" s="960"/>
    </row>
    <row r="806" spans="1:314" s="454" customFormat="1">
      <c r="B806" s="1366"/>
      <c r="C806" s="1366"/>
      <c r="D806" s="1232" t="s">
        <v>499</v>
      </c>
      <c r="E806" s="654"/>
      <c r="F806" s="654"/>
      <c r="G806" s="654"/>
      <c r="H806" s="654"/>
      <c r="I806" s="654"/>
      <c r="J806" s="654"/>
      <c r="K806" s="654"/>
      <c r="L806" s="654"/>
      <c r="M806" s="654"/>
      <c r="N806" s="654"/>
      <c r="O806" s="654"/>
      <c r="P806" s="654"/>
      <c r="Q806" s="654"/>
      <c r="R806" s="654"/>
      <c r="S806" s="654"/>
      <c r="T806" s="654"/>
      <c r="U806" s="654"/>
      <c r="V806" s="654"/>
      <c r="W806" s="654"/>
      <c r="X806" s="654"/>
      <c r="Y806" s="654"/>
      <c r="Z806" s="654"/>
      <c r="AA806" s="654"/>
      <c r="AB806" s="654"/>
      <c r="AC806" s="654"/>
      <c r="AD806" s="654"/>
      <c r="AE806" s="654"/>
      <c r="AF806" s="654"/>
      <c r="AG806" s="654"/>
      <c r="AH806" s="654"/>
      <c r="AI806" s="654"/>
      <c r="AJ806" s="654"/>
      <c r="AK806" s="654"/>
      <c r="AL806" s="654"/>
      <c r="AM806" s="654"/>
      <c r="AN806" s="654"/>
      <c r="AO806" s="654"/>
      <c r="AP806" s="654"/>
      <c r="AQ806" s="654"/>
      <c r="AR806" s="654"/>
      <c r="AS806" s="654"/>
      <c r="AT806" s="654"/>
      <c r="AU806" s="654"/>
      <c r="AV806" s="654"/>
      <c r="AW806" s="654"/>
      <c r="AX806" s="654"/>
      <c r="AY806" s="654"/>
      <c r="AZ806" s="654"/>
      <c r="BA806" s="654"/>
      <c r="BB806" s="654"/>
      <c r="BC806" s="654"/>
      <c r="BD806" s="654"/>
      <c r="BE806" s="654"/>
      <c r="BF806" s="654"/>
      <c r="BG806" s="654"/>
      <c r="BH806" s="654"/>
      <c r="BI806" s="654"/>
      <c r="BJ806" s="654"/>
      <c r="BK806" s="654"/>
      <c r="BL806" s="654"/>
      <c r="BM806" s="654"/>
      <c r="BN806" s="654"/>
      <c r="BO806" s="654"/>
      <c r="BP806" s="654"/>
      <c r="BQ806" s="654"/>
      <c r="BR806" s="654"/>
      <c r="BS806" s="654"/>
      <c r="BT806" s="654"/>
      <c r="BU806" s="654"/>
      <c r="BV806" s="654"/>
      <c r="BW806" s="654"/>
      <c r="BX806" s="654"/>
      <c r="BY806" s="654"/>
      <c r="BZ806" s="654"/>
      <c r="CA806" s="654"/>
      <c r="CB806" s="654"/>
      <c r="CC806" s="654"/>
      <c r="CD806" s="1367"/>
      <c r="CE806" s="654">
        <f t="shared" ref="CE806:DJ806" si="1333">CE404</f>
        <v>0</v>
      </c>
      <c r="CF806" s="654">
        <f t="shared" si="1333"/>
        <v>0</v>
      </c>
      <c r="CG806" s="654">
        <f t="shared" si="1333"/>
        <v>0</v>
      </c>
      <c r="CH806" s="654">
        <f t="shared" si="1333"/>
        <v>0</v>
      </c>
      <c r="CI806" s="654">
        <f t="shared" si="1333"/>
        <v>0</v>
      </c>
      <c r="CJ806" s="654">
        <f t="shared" si="1333"/>
        <v>0</v>
      </c>
      <c r="CK806" s="654">
        <f t="shared" si="1333"/>
        <v>0</v>
      </c>
      <c r="CL806" s="654">
        <f t="shared" si="1333"/>
        <v>0</v>
      </c>
      <c r="CM806" s="654">
        <f t="shared" si="1333"/>
        <v>0</v>
      </c>
      <c r="CN806" s="654">
        <f t="shared" si="1333"/>
        <v>0</v>
      </c>
      <c r="CO806" s="654">
        <f t="shared" si="1333"/>
        <v>0</v>
      </c>
      <c r="CP806" s="1368">
        <f t="shared" si="1333"/>
        <v>0</v>
      </c>
      <c r="CQ806" s="654">
        <f t="shared" si="1333"/>
        <v>0</v>
      </c>
      <c r="CR806" s="654">
        <f t="shared" si="1333"/>
        <v>0</v>
      </c>
      <c r="CS806" s="654">
        <f t="shared" si="1333"/>
        <v>0</v>
      </c>
      <c r="CT806" s="654">
        <f t="shared" si="1333"/>
        <v>0</v>
      </c>
      <c r="CU806" s="654">
        <f t="shared" si="1333"/>
        <v>0</v>
      </c>
      <c r="CV806" s="654">
        <f t="shared" si="1333"/>
        <v>0</v>
      </c>
      <c r="CW806" s="654">
        <f t="shared" si="1333"/>
        <v>0</v>
      </c>
      <c r="CX806" s="654">
        <f t="shared" si="1333"/>
        <v>0</v>
      </c>
      <c r="CY806" s="654">
        <f t="shared" si="1333"/>
        <v>0</v>
      </c>
      <c r="CZ806" s="654">
        <f t="shared" si="1333"/>
        <v>0</v>
      </c>
      <c r="DA806" s="654">
        <f t="shared" si="1333"/>
        <v>0</v>
      </c>
      <c r="DB806" s="1369">
        <f t="shared" si="1333"/>
        <v>0</v>
      </c>
      <c r="DC806" s="654">
        <f t="shared" si="1333"/>
        <v>0</v>
      </c>
      <c r="DD806" s="654">
        <f t="shared" si="1333"/>
        <v>0</v>
      </c>
      <c r="DE806" s="654">
        <f t="shared" si="1333"/>
        <v>0</v>
      </c>
      <c r="DF806" s="654">
        <f t="shared" si="1333"/>
        <v>0</v>
      </c>
      <c r="DG806" s="654">
        <f t="shared" si="1333"/>
        <v>0</v>
      </c>
      <c r="DH806" s="654">
        <f t="shared" si="1333"/>
        <v>0</v>
      </c>
      <c r="DI806" s="654">
        <f t="shared" si="1333"/>
        <v>0</v>
      </c>
      <c r="DJ806" s="654">
        <f t="shared" si="1333"/>
        <v>0</v>
      </c>
      <c r="DK806" s="654">
        <f t="shared" ref="DK806:EP806" si="1334">DK404</f>
        <v>0</v>
      </c>
      <c r="DL806" s="654">
        <f t="shared" si="1334"/>
        <v>0</v>
      </c>
      <c r="DM806" s="654">
        <f t="shared" si="1334"/>
        <v>0</v>
      </c>
      <c r="DN806" s="1368">
        <f t="shared" si="1334"/>
        <v>0</v>
      </c>
      <c r="DO806" s="654">
        <f t="shared" si="1334"/>
        <v>0</v>
      </c>
      <c r="DP806" s="654">
        <f t="shared" si="1334"/>
        <v>0</v>
      </c>
      <c r="DQ806" s="654">
        <f t="shared" si="1334"/>
        <v>0</v>
      </c>
      <c r="DR806" s="654">
        <f t="shared" si="1334"/>
        <v>0</v>
      </c>
      <c r="DS806" s="654">
        <f t="shared" si="1334"/>
        <v>0</v>
      </c>
      <c r="DT806" s="654">
        <f t="shared" si="1334"/>
        <v>0</v>
      </c>
      <c r="DU806" s="654">
        <f t="shared" si="1334"/>
        <v>0</v>
      </c>
      <c r="DV806" s="654">
        <f t="shared" si="1334"/>
        <v>0</v>
      </c>
      <c r="DW806" s="654">
        <f t="shared" si="1334"/>
        <v>0</v>
      </c>
      <c r="DX806" s="654">
        <f t="shared" si="1334"/>
        <v>0</v>
      </c>
      <c r="DY806" s="654">
        <f t="shared" si="1334"/>
        <v>0</v>
      </c>
      <c r="DZ806" s="1368">
        <f t="shared" si="1334"/>
        <v>0</v>
      </c>
      <c r="EA806" s="654">
        <f t="shared" si="1334"/>
        <v>0</v>
      </c>
      <c r="EB806" s="654">
        <f t="shared" si="1334"/>
        <v>0</v>
      </c>
      <c r="EC806" s="654">
        <f t="shared" si="1334"/>
        <v>0</v>
      </c>
      <c r="ED806" s="654">
        <f t="shared" si="1334"/>
        <v>0</v>
      </c>
      <c r="EE806" s="654">
        <f t="shared" si="1334"/>
        <v>0</v>
      </c>
      <c r="EF806" s="654">
        <f t="shared" si="1334"/>
        <v>0</v>
      </c>
      <c r="EG806" s="654">
        <f t="shared" si="1334"/>
        <v>0</v>
      </c>
      <c r="EH806" s="654">
        <f t="shared" si="1334"/>
        <v>0</v>
      </c>
      <c r="EI806" s="654">
        <f t="shared" si="1334"/>
        <v>0</v>
      </c>
      <c r="EJ806" s="654">
        <f t="shared" si="1334"/>
        <v>0</v>
      </c>
      <c r="EK806" s="654">
        <f t="shared" si="1334"/>
        <v>0</v>
      </c>
      <c r="EL806" s="1368">
        <f t="shared" si="1334"/>
        <v>0</v>
      </c>
      <c r="EM806" s="654">
        <f t="shared" si="1334"/>
        <v>0</v>
      </c>
      <c r="EN806" s="654">
        <f t="shared" si="1334"/>
        <v>0</v>
      </c>
      <c r="EO806" s="654">
        <f t="shared" si="1334"/>
        <v>0</v>
      </c>
      <c r="EP806" s="654">
        <f t="shared" si="1334"/>
        <v>0</v>
      </c>
      <c r="EQ806" s="654">
        <f t="shared" ref="EQ806:FV806" si="1335">EQ404</f>
        <v>0</v>
      </c>
      <c r="ER806" s="654">
        <f t="shared" si="1335"/>
        <v>0</v>
      </c>
      <c r="ES806" s="654">
        <f t="shared" si="1335"/>
        <v>0</v>
      </c>
      <c r="ET806" s="654">
        <f t="shared" si="1335"/>
        <v>0</v>
      </c>
      <c r="EU806" s="654">
        <f t="shared" si="1335"/>
        <v>0</v>
      </c>
      <c r="EV806" s="654">
        <f t="shared" si="1335"/>
        <v>0</v>
      </c>
      <c r="EW806" s="654">
        <f t="shared" si="1335"/>
        <v>0</v>
      </c>
      <c r="EX806" s="1368">
        <f t="shared" si="1335"/>
        <v>0</v>
      </c>
      <c r="EY806" s="654">
        <f t="shared" si="1335"/>
        <v>0</v>
      </c>
      <c r="EZ806" s="654">
        <f t="shared" si="1335"/>
        <v>0</v>
      </c>
      <c r="FA806" s="654">
        <f t="shared" si="1335"/>
        <v>0</v>
      </c>
      <c r="FB806" s="654">
        <f t="shared" si="1335"/>
        <v>0</v>
      </c>
      <c r="FC806" s="654">
        <f t="shared" si="1335"/>
        <v>0</v>
      </c>
      <c r="FD806" s="654">
        <f t="shared" si="1335"/>
        <v>0</v>
      </c>
      <c r="FE806" s="654">
        <f t="shared" si="1335"/>
        <v>0</v>
      </c>
      <c r="FF806" s="654">
        <f t="shared" si="1335"/>
        <v>0</v>
      </c>
      <c r="FG806" s="654">
        <f t="shared" si="1335"/>
        <v>0</v>
      </c>
      <c r="FH806" s="654">
        <f t="shared" si="1335"/>
        <v>0</v>
      </c>
      <c r="FI806" s="654">
        <f t="shared" si="1335"/>
        <v>0</v>
      </c>
      <c r="FJ806" s="1368">
        <f t="shared" si="1335"/>
        <v>0</v>
      </c>
      <c r="FK806" s="654">
        <f t="shared" si="1335"/>
        <v>0</v>
      </c>
      <c r="FL806" s="654">
        <f t="shared" si="1335"/>
        <v>0</v>
      </c>
      <c r="FM806" s="654">
        <f t="shared" si="1335"/>
        <v>0</v>
      </c>
      <c r="FN806" s="654">
        <f t="shared" si="1335"/>
        <v>0</v>
      </c>
      <c r="FO806" s="654">
        <f t="shared" si="1335"/>
        <v>0</v>
      </c>
      <c r="FP806" s="654">
        <f t="shared" si="1335"/>
        <v>0</v>
      </c>
      <c r="FQ806" s="654">
        <f t="shared" si="1335"/>
        <v>0</v>
      </c>
      <c r="FR806" s="654">
        <f t="shared" si="1335"/>
        <v>0</v>
      </c>
      <c r="FS806" s="654">
        <f t="shared" si="1335"/>
        <v>0</v>
      </c>
      <c r="FT806" s="654">
        <f t="shared" si="1335"/>
        <v>0</v>
      </c>
      <c r="FU806" s="654">
        <f t="shared" si="1335"/>
        <v>0</v>
      </c>
      <c r="FV806" s="654">
        <f t="shared" si="1335"/>
        <v>0</v>
      </c>
      <c r="FW806" s="654">
        <v>0</v>
      </c>
      <c r="FX806" s="654">
        <v>0</v>
      </c>
      <c r="FY806" s="654">
        <v>0</v>
      </c>
      <c r="FZ806" s="654">
        <v>0</v>
      </c>
      <c r="GA806" s="654">
        <v>0</v>
      </c>
      <c r="GB806" s="654">
        <v>0</v>
      </c>
      <c r="GC806" s="654">
        <v>0</v>
      </c>
      <c r="GD806" s="654">
        <v>0</v>
      </c>
      <c r="GE806" s="654">
        <v>0</v>
      </c>
      <c r="GF806" s="654">
        <v>0</v>
      </c>
      <c r="GG806" s="654">
        <v>0</v>
      </c>
      <c r="GH806" s="654">
        <v>0</v>
      </c>
      <c r="GI806" s="654">
        <v>0</v>
      </c>
      <c r="GJ806" s="654">
        <v>0</v>
      </c>
      <c r="GK806" s="654">
        <v>0</v>
      </c>
      <c r="GL806" s="654">
        <v>0</v>
      </c>
      <c r="GM806" s="654">
        <v>0</v>
      </c>
      <c r="GN806" s="654">
        <v>0</v>
      </c>
      <c r="GO806" s="654">
        <v>0</v>
      </c>
      <c r="GP806" s="654">
        <v>0</v>
      </c>
      <c r="GQ806" s="654">
        <v>0</v>
      </c>
      <c r="GR806" s="654">
        <v>0</v>
      </c>
      <c r="GS806" s="654">
        <v>0</v>
      </c>
      <c r="GT806" s="654">
        <v>0</v>
      </c>
      <c r="GU806" s="654">
        <v>0</v>
      </c>
      <c r="GV806" s="654">
        <v>0</v>
      </c>
      <c r="GW806" s="654">
        <v>0</v>
      </c>
      <c r="GX806" s="654">
        <v>0</v>
      </c>
      <c r="GY806" s="654">
        <v>0</v>
      </c>
      <c r="GZ806" s="654">
        <v>0</v>
      </c>
      <c r="HA806" s="654">
        <v>0</v>
      </c>
      <c r="HB806" s="654">
        <v>0</v>
      </c>
      <c r="HC806" s="654">
        <v>0</v>
      </c>
      <c r="HD806" s="654">
        <v>0</v>
      </c>
      <c r="HE806" s="654">
        <v>0</v>
      </c>
      <c r="HF806" s="654">
        <v>0</v>
      </c>
      <c r="HG806" s="654">
        <v>0</v>
      </c>
      <c r="HH806" s="654">
        <v>0</v>
      </c>
      <c r="HI806" s="654">
        <v>0</v>
      </c>
      <c r="HJ806" s="654">
        <v>0</v>
      </c>
      <c r="HK806" s="654">
        <v>0</v>
      </c>
      <c r="HL806" s="654">
        <v>0</v>
      </c>
      <c r="HM806" s="654">
        <v>0</v>
      </c>
      <c r="HN806" s="654">
        <v>0</v>
      </c>
      <c r="HO806" s="654">
        <v>0</v>
      </c>
      <c r="HP806" s="654">
        <v>0</v>
      </c>
      <c r="HQ806" s="654">
        <v>0</v>
      </c>
      <c r="HR806" s="654">
        <v>0</v>
      </c>
      <c r="HS806" s="654">
        <v>0</v>
      </c>
      <c r="HT806" s="654">
        <v>0</v>
      </c>
      <c r="HU806" s="654">
        <v>0</v>
      </c>
      <c r="HV806" s="654">
        <v>0</v>
      </c>
      <c r="HW806" s="654">
        <v>0</v>
      </c>
      <c r="HX806" s="654">
        <v>0</v>
      </c>
      <c r="HY806" s="654"/>
      <c r="HZ806" s="1370"/>
      <c r="IA806" s="1232" t="s">
        <v>499</v>
      </c>
      <c r="IB806" s="284">
        <f t="shared" si="1262"/>
        <v>0</v>
      </c>
      <c r="IC806" s="279">
        <f t="shared" si="1263"/>
        <v>0</v>
      </c>
      <c r="ID806" s="323">
        <f t="shared" si="907"/>
        <v>0</v>
      </c>
      <c r="IE806" s="279">
        <f t="shared" si="1264"/>
        <v>0</v>
      </c>
      <c r="IF806" s="279">
        <f t="shared" si="1265"/>
        <v>0</v>
      </c>
      <c r="IG806" s="323">
        <f t="shared" si="880"/>
        <v>0</v>
      </c>
      <c r="IH806" s="284">
        <f t="shared" si="1266"/>
        <v>0</v>
      </c>
      <c r="II806" s="279">
        <f t="shared" si="1267"/>
        <v>0</v>
      </c>
      <c r="IJ806" s="323">
        <f t="shared" si="881"/>
        <v>0</v>
      </c>
      <c r="IK806" s="327">
        <f t="shared" si="1268"/>
        <v>0</v>
      </c>
      <c r="IL806" s="279">
        <f t="shared" si="1269"/>
        <v>0</v>
      </c>
      <c r="IM806" s="323">
        <f t="shared" si="882"/>
        <v>0</v>
      </c>
      <c r="IN806" s="279">
        <f t="shared" si="1270"/>
        <v>0</v>
      </c>
      <c r="IO806" s="279">
        <f t="shared" si="1271"/>
        <v>0</v>
      </c>
      <c r="IP806" s="323">
        <f t="shared" si="883"/>
        <v>0</v>
      </c>
      <c r="IQ806" s="327">
        <f t="shared" si="1272"/>
        <v>0</v>
      </c>
      <c r="IR806" s="327">
        <f t="shared" si="1273"/>
        <v>0</v>
      </c>
      <c r="IS806" s="323">
        <f t="shared" si="884"/>
        <v>0</v>
      </c>
      <c r="IT806" s="327">
        <f t="shared" si="1274"/>
        <v>0</v>
      </c>
      <c r="IU806" s="327">
        <f t="shared" si="1275"/>
        <v>0</v>
      </c>
      <c r="IV806" s="323">
        <f t="shared" si="885"/>
        <v>0</v>
      </c>
      <c r="IW806" s="327">
        <f t="shared" si="1255"/>
        <v>0</v>
      </c>
      <c r="IX806" s="327">
        <f t="shared" si="1246"/>
        <v>0</v>
      </c>
      <c r="IY806" s="323">
        <f t="shared" si="886"/>
        <v>0</v>
      </c>
      <c r="IZ806" s="327">
        <f t="shared" si="1247"/>
        <v>0</v>
      </c>
      <c r="JA806" s="327">
        <f t="shared" si="1248"/>
        <v>0</v>
      </c>
      <c r="JB806" s="323">
        <f t="shared" si="887"/>
        <v>0</v>
      </c>
      <c r="JC806" s="327">
        <f t="shared" si="1249"/>
        <v>0</v>
      </c>
      <c r="JD806" s="327">
        <f t="shared" si="1250"/>
        <v>0</v>
      </c>
      <c r="JE806" s="323">
        <f t="shared" si="888"/>
        <v>0</v>
      </c>
      <c r="JF806" s="327">
        <f t="shared" si="1256"/>
        <v>0</v>
      </c>
      <c r="JG806" s="327">
        <f t="shared" si="918"/>
        <v>0</v>
      </c>
      <c r="JH806" s="323">
        <f t="shared" si="889"/>
        <v>0</v>
      </c>
      <c r="JI806" s="327">
        <f t="shared" si="909"/>
        <v>0</v>
      </c>
      <c r="JJ806" s="327">
        <f t="shared" si="910"/>
        <v>0</v>
      </c>
      <c r="JK806" s="323">
        <f t="shared" si="890"/>
        <v>0</v>
      </c>
      <c r="JL806" s="327">
        <f t="shared" si="891"/>
        <v>0</v>
      </c>
      <c r="JM806" s="279">
        <f t="shared" si="892"/>
        <v>0</v>
      </c>
      <c r="JN806" s="323">
        <f>FISC!AK1112</f>
        <v>0</v>
      </c>
      <c r="JO806" s="327">
        <f t="shared" si="1318"/>
        <v>0</v>
      </c>
      <c r="JP806" s="279">
        <f t="shared" si="893"/>
        <v>0</v>
      </c>
      <c r="JQ806" s="323">
        <f>FISC!AL1112</f>
        <v>0</v>
      </c>
      <c r="JR806" s="327">
        <f t="shared" si="1319"/>
        <v>0</v>
      </c>
      <c r="JS806" s="279">
        <f t="shared" si="894"/>
        <v>0</v>
      </c>
      <c r="JT806" s="323">
        <f>FISC!AM1112</f>
        <v>0</v>
      </c>
      <c r="JU806" s="327">
        <f t="shared" si="1320"/>
        <v>0</v>
      </c>
      <c r="JV806" s="279">
        <f t="shared" si="911"/>
        <v>0</v>
      </c>
      <c r="JW806" s="323">
        <f>FISC!AN1112</f>
        <v>0</v>
      </c>
      <c r="JX806" s="327">
        <f t="shared" si="1321"/>
        <v>0</v>
      </c>
      <c r="JY806" s="279">
        <f t="shared" si="895"/>
        <v>0</v>
      </c>
      <c r="JZ806" s="323">
        <f>FISC!AO1112</f>
        <v>0</v>
      </c>
      <c r="KA806" s="327">
        <f t="shared" si="1322"/>
        <v>0</v>
      </c>
      <c r="KB806" s="279">
        <f t="shared" si="1194"/>
        <v>0</v>
      </c>
      <c r="KC806" s="323">
        <f>FISC!AP1112</f>
        <v>0</v>
      </c>
      <c r="KD806" s="327">
        <f t="shared" si="1323"/>
        <v>0</v>
      </c>
      <c r="KE806" s="279">
        <f t="shared" si="1196"/>
        <v>0</v>
      </c>
      <c r="KF806" s="323">
        <f>FISC!AQ1112</f>
        <v>0</v>
      </c>
      <c r="KG806" s="327">
        <f t="shared" si="1324"/>
        <v>0</v>
      </c>
      <c r="KH806" s="279">
        <f t="shared" si="1198"/>
        <v>0</v>
      </c>
      <c r="KI806" s="323">
        <f>FISC!AR1112</f>
        <v>0</v>
      </c>
      <c r="KJ806" s="327">
        <f t="shared" si="1325"/>
        <v>0</v>
      </c>
      <c r="KK806" s="279">
        <f t="shared" si="1200"/>
        <v>0</v>
      </c>
      <c r="KL806" s="323">
        <f>FISC!AS1112</f>
        <v>0</v>
      </c>
      <c r="KM806" s="327">
        <f t="shared" si="1326"/>
        <v>0</v>
      </c>
      <c r="KN806" s="279">
        <f t="shared" si="1202"/>
        <v>0</v>
      </c>
      <c r="KO806" s="323">
        <f>FISC!AT1112</f>
        <v>0</v>
      </c>
      <c r="KU806" s="1370"/>
      <c r="KV806" s="960"/>
    </row>
    <row r="807" spans="1:314" s="454" customFormat="1">
      <c r="B807" s="1366"/>
      <c r="C807" s="1366"/>
      <c r="D807" s="1232" t="s">
        <v>500</v>
      </c>
      <c r="E807" s="654"/>
      <c r="F807" s="654"/>
      <c r="G807" s="654"/>
      <c r="H807" s="654"/>
      <c r="I807" s="654"/>
      <c r="J807" s="654"/>
      <c r="K807" s="654"/>
      <c r="L807" s="654"/>
      <c r="M807" s="654"/>
      <c r="N807" s="654"/>
      <c r="O807" s="654"/>
      <c r="P807" s="654"/>
      <c r="Q807" s="654"/>
      <c r="R807" s="654"/>
      <c r="S807" s="654"/>
      <c r="T807" s="654"/>
      <c r="U807" s="654"/>
      <c r="V807" s="654"/>
      <c r="W807" s="654"/>
      <c r="X807" s="654"/>
      <c r="Y807" s="654"/>
      <c r="Z807" s="654"/>
      <c r="AA807" s="654"/>
      <c r="AB807" s="654"/>
      <c r="AC807" s="654"/>
      <c r="AD807" s="654"/>
      <c r="AE807" s="654"/>
      <c r="AF807" s="654"/>
      <c r="AG807" s="654"/>
      <c r="AH807" s="654"/>
      <c r="AI807" s="654"/>
      <c r="AJ807" s="654"/>
      <c r="AK807" s="654"/>
      <c r="AL807" s="654"/>
      <c r="AM807" s="654"/>
      <c r="AN807" s="654"/>
      <c r="AO807" s="654"/>
      <c r="AP807" s="654"/>
      <c r="AQ807" s="654"/>
      <c r="AR807" s="654"/>
      <c r="AS807" s="654"/>
      <c r="AT807" s="654"/>
      <c r="AU807" s="654"/>
      <c r="AV807" s="654"/>
      <c r="AW807" s="654"/>
      <c r="AX807" s="654"/>
      <c r="AY807" s="654"/>
      <c r="AZ807" s="654"/>
      <c r="BA807" s="654"/>
      <c r="BB807" s="654"/>
      <c r="BC807" s="654"/>
      <c r="BD807" s="654"/>
      <c r="BE807" s="654"/>
      <c r="BF807" s="654"/>
      <c r="BG807" s="654"/>
      <c r="BH807" s="654"/>
      <c r="BI807" s="654"/>
      <c r="BJ807" s="654"/>
      <c r="BK807" s="654"/>
      <c r="BL807" s="654"/>
      <c r="BM807" s="654"/>
      <c r="BN807" s="654"/>
      <c r="BO807" s="654"/>
      <c r="BP807" s="654"/>
      <c r="BQ807" s="654"/>
      <c r="BR807" s="654"/>
      <c r="BS807" s="654"/>
      <c r="BT807" s="654"/>
      <c r="BU807" s="654"/>
      <c r="BV807" s="654"/>
      <c r="BW807" s="654"/>
      <c r="BX807" s="654"/>
      <c r="BY807" s="654"/>
      <c r="BZ807" s="654"/>
      <c r="CA807" s="654"/>
      <c r="CB807" s="654"/>
      <c r="CC807" s="654"/>
      <c r="CD807" s="1367"/>
      <c r="CE807" s="654">
        <f t="shared" ref="CE807:DJ807" si="1336">CE405</f>
        <v>0</v>
      </c>
      <c r="CF807" s="654">
        <f t="shared" si="1336"/>
        <v>0</v>
      </c>
      <c r="CG807" s="654">
        <f t="shared" si="1336"/>
        <v>0</v>
      </c>
      <c r="CH807" s="654">
        <f t="shared" si="1336"/>
        <v>0</v>
      </c>
      <c r="CI807" s="654">
        <f t="shared" si="1336"/>
        <v>0</v>
      </c>
      <c r="CJ807" s="654">
        <f t="shared" si="1336"/>
        <v>0</v>
      </c>
      <c r="CK807" s="654">
        <f t="shared" si="1336"/>
        <v>0</v>
      </c>
      <c r="CL807" s="654">
        <f t="shared" si="1336"/>
        <v>0</v>
      </c>
      <c r="CM807" s="654">
        <f t="shared" si="1336"/>
        <v>0</v>
      </c>
      <c r="CN807" s="654">
        <f t="shared" si="1336"/>
        <v>0</v>
      </c>
      <c r="CO807" s="654">
        <f t="shared" si="1336"/>
        <v>0</v>
      </c>
      <c r="CP807" s="1368">
        <f t="shared" si="1336"/>
        <v>0</v>
      </c>
      <c r="CQ807" s="654">
        <f t="shared" si="1336"/>
        <v>0</v>
      </c>
      <c r="CR807" s="654">
        <f t="shared" si="1336"/>
        <v>0</v>
      </c>
      <c r="CS807" s="654">
        <f t="shared" si="1336"/>
        <v>0</v>
      </c>
      <c r="CT807" s="654">
        <f t="shared" si="1336"/>
        <v>0</v>
      </c>
      <c r="CU807" s="654">
        <f t="shared" si="1336"/>
        <v>0</v>
      </c>
      <c r="CV807" s="654">
        <f t="shared" si="1336"/>
        <v>0</v>
      </c>
      <c r="CW807" s="654">
        <f t="shared" si="1336"/>
        <v>0</v>
      </c>
      <c r="CX807" s="654">
        <f t="shared" si="1336"/>
        <v>0</v>
      </c>
      <c r="CY807" s="654">
        <f t="shared" si="1336"/>
        <v>0</v>
      </c>
      <c r="CZ807" s="654">
        <f t="shared" si="1336"/>
        <v>0</v>
      </c>
      <c r="DA807" s="654">
        <f t="shared" si="1336"/>
        <v>0</v>
      </c>
      <c r="DB807" s="1369">
        <f t="shared" si="1336"/>
        <v>0</v>
      </c>
      <c r="DC807" s="654">
        <f t="shared" si="1336"/>
        <v>0</v>
      </c>
      <c r="DD807" s="654">
        <f t="shared" si="1336"/>
        <v>0</v>
      </c>
      <c r="DE807" s="654">
        <f t="shared" si="1336"/>
        <v>0</v>
      </c>
      <c r="DF807" s="654">
        <f t="shared" si="1336"/>
        <v>0</v>
      </c>
      <c r="DG807" s="654">
        <f t="shared" si="1336"/>
        <v>0</v>
      </c>
      <c r="DH807" s="654">
        <f t="shared" si="1336"/>
        <v>0</v>
      </c>
      <c r="DI807" s="654">
        <f t="shared" si="1336"/>
        <v>0</v>
      </c>
      <c r="DJ807" s="654">
        <f t="shared" si="1336"/>
        <v>0</v>
      </c>
      <c r="DK807" s="654">
        <f t="shared" ref="DK807:EP807" si="1337">DK405</f>
        <v>0</v>
      </c>
      <c r="DL807" s="654">
        <f t="shared" si="1337"/>
        <v>0</v>
      </c>
      <c r="DM807" s="654">
        <f t="shared" si="1337"/>
        <v>0</v>
      </c>
      <c r="DN807" s="1368">
        <f t="shared" si="1337"/>
        <v>0</v>
      </c>
      <c r="DO807" s="654">
        <f t="shared" si="1337"/>
        <v>0</v>
      </c>
      <c r="DP807" s="654">
        <f t="shared" si="1337"/>
        <v>0</v>
      </c>
      <c r="DQ807" s="654">
        <f t="shared" si="1337"/>
        <v>0</v>
      </c>
      <c r="DR807" s="654">
        <f t="shared" si="1337"/>
        <v>0</v>
      </c>
      <c r="DS807" s="654">
        <f t="shared" si="1337"/>
        <v>0</v>
      </c>
      <c r="DT807" s="654">
        <f t="shared" si="1337"/>
        <v>0</v>
      </c>
      <c r="DU807" s="654">
        <f t="shared" si="1337"/>
        <v>0</v>
      </c>
      <c r="DV807" s="654">
        <f t="shared" si="1337"/>
        <v>0</v>
      </c>
      <c r="DW807" s="654">
        <f t="shared" si="1337"/>
        <v>0</v>
      </c>
      <c r="DX807" s="654">
        <f t="shared" si="1337"/>
        <v>0</v>
      </c>
      <c r="DY807" s="654">
        <f t="shared" si="1337"/>
        <v>0</v>
      </c>
      <c r="DZ807" s="1368">
        <f t="shared" si="1337"/>
        <v>0</v>
      </c>
      <c r="EA807" s="654">
        <f t="shared" si="1337"/>
        <v>0</v>
      </c>
      <c r="EB807" s="654">
        <f t="shared" si="1337"/>
        <v>0</v>
      </c>
      <c r="EC807" s="654">
        <f t="shared" si="1337"/>
        <v>0</v>
      </c>
      <c r="ED807" s="654">
        <f t="shared" si="1337"/>
        <v>0</v>
      </c>
      <c r="EE807" s="654">
        <f t="shared" si="1337"/>
        <v>0</v>
      </c>
      <c r="EF807" s="654">
        <f t="shared" si="1337"/>
        <v>0</v>
      </c>
      <c r="EG807" s="654">
        <f t="shared" si="1337"/>
        <v>0</v>
      </c>
      <c r="EH807" s="654">
        <f t="shared" si="1337"/>
        <v>0</v>
      </c>
      <c r="EI807" s="654">
        <f t="shared" si="1337"/>
        <v>0</v>
      </c>
      <c r="EJ807" s="654">
        <f t="shared" si="1337"/>
        <v>0</v>
      </c>
      <c r="EK807" s="654">
        <f t="shared" si="1337"/>
        <v>0</v>
      </c>
      <c r="EL807" s="1368">
        <f t="shared" si="1337"/>
        <v>0</v>
      </c>
      <c r="EM807" s="654">
        <f t="shared" si="1337"/>
        <v>0</v>
      </c>
      <c r="EN807" s="654">
        <f t="shared" si="1337"/>
        <v>0</v>
      </c>
      <c r="EO807" s="654">
        <f t="shared" si="1337"/>
        <v>0</v>
      </c>
      <c r="EP807" s="654">
        <f t="shared" si="1337"/>
        <v>0</v>
      </c>
      <c r="EQ807" s="654">
        <f t="shared" ref="EQ807:FV807" si="1338">EQ405</f>
        <v>0</v>
      </c>
      <c r="ER807" s="654">
        <f t="shared" si="1338"/>
        <v>0</v>
      </c>
      <c r="ES807" s="654">
        <f t="shared" si="1338"/>
        <v>0</v>
      </c>
      <c r="ET807" s="654">
        <f t="shared" si="1338"/>
        <v>0</v>
      </c>
      <c r="EU807" s="654">
        <f t="shared" si="1338"/>
        <v>0</v>
      </c>
      <c r="EV807" s="654">
        <f t="shared" si="1338"/>
        <v>0</v>
      </c>
      <c r="EW807" s="654">
        <f t="shared" si="1338"/>
        <v>0</v>
      </c>
      <c r="EX807" s="1368">
        <f t="shared" si="1338"/>
        <v>0</v>
      </c>
      <c r="EY807" s="654">
        <f t="shared" si="1338"/>
        <v>0</v>
      </c>
      <c r="EZ807" s="654">
        <f t="shared" si="1338"/>
        <v>0</v>
      </c>
      <c r="FA807" s="654">
        <f t="shared" si="1338"/>
        <v>0</v>
      </c>
      <c r="FB807" s="654">
        <f t="shared" si="1338"/>
        <v>0</v>
      </c>
      <c r="FC807" s="654">
        <f t="shared" si="1338"/>
        <v>0</v>
      </c>
      <c r="FD807" s="654">
        <f t="shared" si="1338"/>
        <v>0</v>
      </c>
      <c r="FE807" s="654">
        <f t="shared" si="1338"/>
        <v>0</v>
      </c>
      <c r="FF807" s="654">
        <f t="shared" si="1338"/>
        <v>0</v>
      </c>
      <c r="FG807" s="654">
        <f t="shared" si="1338"/>
        <v>0</v>
      </c>
      <c r="FH807" s="654">
        <f t="shared" si="1338"/>
        <v>0</v>
      </c>
      <c r="FI807" s="654">
        <f t="shared" si="1338"/>
        <v>0</v>
      </c>
      <c r="FJ807" s="1368">
        <f t="shared" si="1338"/>
        <v>0</v>
      </c>
      <c r="FK807" s="654">
        <f t="shared" si="1338"/>
        <v>0</v>
      </c>
      <c r="FL807" s="654">
        <f t="shared" si="1338"/>
        <v>0</v>
      </c>
      <c r="FM807" s="654">
        <f t="shared" si="1338"/>
        <v>0</v>
      </c>
      <c r="FN807" s="654">
        <f t="shared" si="1338"/>
        <v>0</v>
      </c>
      <c r="FO807" s="654">
        <f t="shared" si="1338"/>
        <v>0</v>
      </c>
      <c r="FP807" s="654">
        <f t="shared" si="1338"/>
        <v>0</v>
      </c>
      <c r="FQ807" s="654">
        <f t="shared" si="1338"/>
        <v>0</v>
      </c>
      <c r="FR807" s="654">
        <f t="shared" si="1338"/>
        <v>0</v>
      </c>
      <c r="FS807" s="654">
        <f t="shared" si="1338"/>
        <v>0</v>
      </c>
      <c r="FT807" s="654">
        <f t="shared" si="1338"/>
        <v>0</v>
      </c>
      <c r="FU807" s="654">
        <f t="shared" si="1338"/>
        <v>0</v>
      </c>
      <c r="FV807" s="654">
        <f t="shared" si="1338"/>
        <v>0</v>
      </c>
      <c r="FW807" s="654">
        <v>0</v>
      </c>
      <c r="FX807" s="654">
        <v>0</v>
      </c>
      <c r="FY807" s="654">
        <v>0</v>
      </c>
      <c r="FZ807" s="654">
        <v>0</v>
      </c>
      <c r="GA807" s="654">
        <v>0</v>
      </c>
      <c r="GB807" s="654">
        <v>0</v>
      </c>
      <c r="GC807" s="654">
        <v>0</v>
      </c>
      <c r="GD807" s="654">
        <v>0</v>
      </c>
      <c r="GE807" s="654">
        <v>0</v>
      </c>
      <c r="GF807" s="654">
        <v>0</v>
      </c>
      <c r="GG807" s="654">
        <v>0</v>
      </c>
      <c r="GH807" s="654">
        <v>0</v>
      </c>
      <c r="GI807" s="654">
        <v>0</v>
      </c>
      <c r="GJ807" s="654">
        <v>0</v>
      </c>
      <c r="GK807" s="654">
        <v>0</v>
      </c>
      <c r="GL807" s="654">
        <v>0</v>
      </c>
      <c r="GM807" s="654">
        <v>0</v>
      </c>
      <c r="GN807" s="654">
        <v>0</v>
      </c>
      <c r="GO807" s="654">
        <v>0</v>
      </c>
      <c r="GP807" s="654">
        <v>0</v>
      </c>
      <c r="GQ807" s="654">
        <v>0</v>
      </c>
      <c r="GR807" s="654">
        <v>0</v>
      </c>
      <c r="GS807" s="654">
        <v>0</v>
      </c>
      <c r="GT807" s="654">
        <v>0</v>
      </c>
      <c r="GU807" s="654">
        <v>0</v>
      </c>
      <c r="GV807" s="654">
        <v>0</v>
      </c>
      <c r="GW807" s="654">
        <v>0</v>
      </c>
      <c r="GX807" s="654">
        <v>0</v>
      </c>
      <c r="GY807" s="654">
        <v>0</v>
      </c>
      <c r="GZ807" s="654">
        <v>0</v>
      </c>
      <c r="HA807" s="654">
        <v>0</v>
      </c>
      <c r="HB807" s="654">
        <v>0</v>
      </c>
      <c r="HC807" s="654">
        <v>0</v>
      </c>
      <c r="HD807" s="654">
        <v>0</v>
      </c>
      <c r="HE807" s="654">
        <v>0</v>
      </c>
      <c r="HF807" s="654">
        <v>0</v>
      </c>
      <c r="HG807" s="654">
        <v>0</v>
      </c>
      <c r="HH807" s="654">
        <v>0</v>
      </c>
      <c r="HI807" s="654">
        <v>0</v>
      </c>
      <c r="HJ807" s="654">
        <v>0</v>
      </c>
      <c r="HK807" s="654">
        <v>0</v>
      </c>
      <c r="HL807" s="654">
        <v>0</v>
      </c>
      <c r="HM807" s="654">
        <v>0</v>
      </c>
      <c r="HN807" s="654">
        <v>0</v>
      </c>
      <c r="HO807" s="654">
        <v>0</v>
      </c>
      <c r="HP807" s="654">
        <v>0</v>
      </c>
      <c r="HQ807" s="654">
        <v>0</v>
      </c>
      <c r="HR807" s="654">
        <v>0</v>
      </c>
      <c r="HS807" s="654">
        <v>0</v>
      </c>
      <c r="HT807" s="654">
        <v>0</v>
      </c>
      <c r="HU807" s="654">
        <v>0</v>
      </c>
      <c r="HV807" s="654">
        <v>0</v>
      </c>
      <c r="HW807" s="654">
        <v>0</v>
      </c>
      <c r="HX807" s="654">
        <v>0</v>
      </c>
      <c r="HY807" s="654"/>
      <c r="HZ807" s="1370"/>
      <c r="IA807" s="1232" t="s">
        <v>500</v>
      </c>
      <c r="IB807" s="284">
        <f t="shared" si="1262"/>
        <v>0</v>
      </c>
      <c r="IC807" s="279">
        <f t="shared" si="1263"/>
        <v>0</v>
      </c>
      <c r="ID807" s="323">
        <f t="shared" si="907"/>
        <v>0</v>
      </c>
      <c r="IE807" s="279">
        <f t="shared" si="1264"/>
        <v>0</v>
      </c>
      <c r="IF807" s="279">
        <f t="shared" si="1265"/>
        <v>0</v>
      </c>
      <c r="IG807" s="323">
        <f t="shared" si="880"/>
        <v>0</v>
      </c>
      <c r="IH807" s="284">
        <f t="shared" si="1266"/>
        <v>0</v>
      </c>
      <c r="II807" s="279">
        <f t="shared" si="1267"/>
        <v>0</v>
      </c>
      <c r="IJ807" s="323">
        <f t="shared" si="881"/>
        <v>0</v>
      </c>
      <c r="IK807" s="327">
        <f t="shared" si="1268"/>
        <v>0</v>
      </c>
      <c r="IL807" s="279">
        <f t="shared" si="1269"/>
        <v>0</v>
      </c>
      <c r="IM807" s="323">
        <f t="shared" si="882"/>
        <v>0</v>
      </c>
      <c r="IN807" s="279">
        <f t="shared" si="1270"/>
        <v>0</v>
      </c>
      <c r="IO807" s="279">
        <f t="shared" si="1271"/>
        <v>0</v>
      </c>
      <c r="IP807" s="323">
        <f t="shared" si="883"/>
        <v>0</v>
      </c>
      <c r="IQ807" s="327">
        <f t="shared" si="1272"/>
        <v>0</v>
      </c>
      <c r="IR807" s="327">
        <f t="shared" si="1273"/>
        <v>0</v>
      </c>
      <c r="IS807" s="323">
        <f t="shared" si="884"/>
        <v>0</v>
      </c>
      <c r="IT807" s="327">
        <f t="shared" si="1274"/>
        <v>0</v>
      </c>
      <c r="IU807" s="327">
        <f t="shared" si="1275"/>
        <v>0</v>
      </c>
      <c r="IV807" s="323">
        <f t="shared" si="885"/>
        <v>0</v>
      </c>
      <c r="IW807" s="327">
        <f t="shared" si="1255"/>
        <v>0</v>
      </c>
      <c r="IX807" s="327">
        <f t="shared" si="1246"/>
        <v>0</v>
      </c>
      <c r="IY807" s="323">
        <f>IW807+IX807</f>
        <v>0</v>
      </c>
      <c r="IZ807" s="327">
        <f t="shared" si="1247"/>
        <v>0</v>
      </c>
      <c r="JA807" s="327">
        <f t="shared" si="1248"/>
        <v>0</v>
      </c>
      <c r="JB807" s="323">
        <f t="shared" si="887"/>
        <v>0</v>
      </c>
      <c r="JC807" s="327">
        <f t="shared" si="1249"/>
        <v>0</v>
      </c>
      <c r="JD807" s="327">
        <f t="shared" si="1250"/>
        <v>0</v>
      </c>
      <c r="JE807" s="323">
        <f t="shared" si="888"/>
        <v>0</v>
      </c>
      <c r="JF807" s="327">
        <f t="shared" si="1256"/>
        <v>0</v>
      </c>
      <c r="JG807" s="327">
        <f t="shared" si="918"/>
        <v>0</v>
      </c>
      <c r="JH807" s="323">
        <f t="shared" si="889"/>
        <v>0</v>
      </c>
      <c r="JI807" s="327">
        <f t="shared" si="909"/>
        <v>0</v>
      </c>
      <c r="JJ807" s="327">
        <f t="shared" si="910"/>
        <v>0</v>
      </c>
      <c r="JK807" s="323">
        <f t="shared" si="890"/>
        <v>0</v>
      </c>
      <c r="JL807" s="327">
        <f t="shared" si="891"/>
        <v>0</v>
      </c>
      <c r="JM807" s="279">
        <f t="shared" si="892"/>
        <v>0</v>
      </c>
      <c r="JN807" s="323">
        <f>FISC!AK1113</f>
        <v>0</v>
      </c>
      <c r="JO807" s="327">
        <f t="shared" si="1318"/>
        <v>0</v>
      </c>
      <c r="JP807" s="279">
        <f t="shared" si="893"/>
        <v>0</v>
      </c>
      <c r="JQ807" s="323">
        <f>FISC!AL1113</f>
        <v>0</v>
      </c>
      <c r="JR807" s="327">
        <f t="shared" si="1319"/>
        <v>0</v>
      </c>
      <c r="JS807" s="279">
        <f t="shared" si="894"/>
        <v>0</v>
      </c>
      <c r="JT807" s="323">
        <f>FISC!AM1113</f>
        <v>0</v>
      </c>
      <c r="JU807" s="327">
        <f t="shared" si="1320"/>
        <v>0</v>
      </c>
      <c r="JV807" s="279">
        <f t="shared" si="911"/>
        <v>0</v>
      </c>
      <c r="JW807" s="323">
        <f>FISC!AN1113</f>
        <v>0</v>
      </c>
      <c r="JX807" s="327">
        <f t="shared" si="1321"/>
        <v>0</v>
      </c>
      <c r="JY807" s="279">
        <f t="shared" si="895"/>
        <v>0</v>
      </c>
      <c r="JZ807" s="323">
        <f>FISC!AO1113</f>
        <v>0</v>
      </c>
      <c r="KA807" s="327">
        <f t="shared" si="1322"/>
        <v>0</v>
      </c>
      <c r="KB807" s="279">
        <f t="shared" si="1194"/>
        <v>0</v>
      </c>
      <c r="KC807" s="323">
        <f>FISC!AP1113</f>
        <v>0</v>
      </c>
      <c r="KD807" s="327">
        <f t="shared" si="1323"/>
        <v>0</v>
      </c>
      <c r="KE807" s="279">
        <f t="shared" si="1196"/>
        <v>0</v>
      </c>
      <c r="KF807" s="323">
        <f>FISC!AQ1113</f>
        <v>0</v>
      </c>
      <c r="KG807" s="327">
        <f t="shared" si="1324"/>
        <v>0</v>
      </c>
      <c r="KH807" s="279">
        <f t="shared" si="1198"/>
        <v>0</v>
      </c>
      <c r="KI807" s="323">
        <f>FISC!AR1113</f>
        <v>0</v>
      </c>
      <c r="KJ807" s="327">
        <f t="shared" si="1325"/>
        <v>0</v>
      </c>
      <c r="KK807" s="279">
        <f t="shared" si="1200"/>
        <v>0</v>
      </c>
      <c r="KL807" s="323">
        <f>FISC!AS1113</f>
        <v>0</v>
      </c>
      <c r="KM807" s="327">
        <f t="shared" si="1326"/>
        <v>0</v>
      </c>
      <c r="KN807" s="279">
        <f t="shared" si="1202"/>
        <v>0</v>
      </c>
      <c r="KO807" s="323">
        <f>FISC!AT1113</f>
        <v>0</v>
      </c>
      <c r="KU807" s="1370"/>
      <c r="KV807" s="960"/>
    </row>
    <row r="808" spans="1:314" s="454" customFormat="1">
      <c r="B808" s="1366"/>
      <c r="C808" s="1366"/>
      <c r="D808" s="1232" t="s">
        <v>501</v>
      </c>
      <c r="E808" s="654"/>
      <c r="F808" s="654"/>
      <c r="G808" s="654"/>
      <c r="H808" s="654"/>
      <c r="I808" s="654"/>
      <c r="J808" s="654"/>
      <c r="K808" s="654"/>
      <c r="L808" s="654"/>
      <c r="M808" s="654"/>
      <c r="N808" s="654"/>
      <c r="O808" s="654"/>
      <c r="P808" s="654"/>
      <c r="Q808" s="654"/>
      <c r="R808" s="654"/>
      <c r="S808" s="654"/>
      <c r="T808" s="654"/>
      <c r="U808" s="654"/>
      <c r="V808" s="654"/>
      <c r="W808" s="654"/>
      <c r="X808" s="654"/>
      <c r="Y808" s="654"/>
      <c r="Z808" s="654"/>
      <c r="AA808" s="654"/>
      <c r="AB808" s="654"/>
      <c r="AC808" s="654"/>
      <c r="AD808" s="654"/>
      <c r="AE808" s="654"/>
      <c r="AF808" s="654"/>
      <c r="AG808" s="654"/>
      <c r="AH808" s="654"/>
      <c r="AI808" s="654"/>
      <c r="AJ808" s="654"/>
      <c r="AK808" s="654"/>
      <c r="AL808" s="654"/>
      <c r="AM808" s="654"/>
      <c r="AN808" s="654"/>
      <c r="AO808" s="654"/>
      <c r="AP808" s="654"/>
      <c r="AQ808" s="654"/>
      <c r="AR808" s="654"/>
      <c r="AS808" s="654"/>
      <c r="AT808" s="654"/>
      <c r="AU808" s="654"/>
      <c r="AV808" s="654"/>
      <c r="AW808" s="654"/>
      <c r="AX808" s="654"/>
      <c r="AY808" s="654"/>
      <c r="AZ808" s="654"/>
      <c r="BA808" s="654"/>
      <c r="BB808" s="654"/>
      <c r="BC808" s="654"/>
      <c r="BD808" s="654"/>
      <c r="BE808" s="654"/>
      <c r="BF808" s="654"/>
      <c r="BG808" s="654"/>
      <c r="BH808" s="654"/>
      <c r="BI808" s="654"/>
      <c r="BJ808" s="654"/>
      <c r="BK808" s="654"/>
      <c r="BL808" s="654"/>
      <c r="BM808" s="654"/>
      <c r="BN808" s="654"/>
      <c r="BO808" s="654"/>
      <c r="BP808" s="654"/>
      <c r="BQ808" s="654"/>
      <c r="BR808" s="654"/>
      <c r="BS808" s="654"/>
      <c r="BT808" s="654"/>
      <c r="BU808" s="654"/>
      <c r="BV808" s="654"/>
      <c r="BW808" s="654"/>
      <c r="BX808" s="654"/>
      <c r="BY808" s="654"/>
      <c r="BZ808" s="654"/>
      <c r="CA808" s="654"/>
      <c r="CB808" s="654"/>
      <c r="CC808" s="654"/>
      <c r="CD808" s="1367"/>
      <c r="CE808" s="654">
        <f t="shared" ref="CE808:DJ808" si="1339">CE406</f>
        <v>0</v>
      </c>
      <c r="CF808" s="654">
        <f t="shared" si="1339"/>
        <v>0</v>
      </c>
      <c r="CG808" s="654">
        <f t="shared" si="1339"/>
        <v>0</v>
      </c>
      <c r="CH808" s="654">
        <f t="shared" si="1339"/>
        <v>0</v>
      </c>
      <c r="CI808" s="654">
        <f t="shared" si="1339"/>
        <v>0</v>
      </c>
      <c r="CJ808" s="654">
        <f t="shared" si="1339"/>
        <v>0</v>
      </c>
      <c r="CK808" s="654">
        <f t="shared" si="1339"/>
        <v>0</v>
      </c>
      <c r="CL808" s="654">
        <f t="shared" si="1339"/>
        <v>0</v>
      </c>
      <c r="CM808" s="654">
        <f t="shared" si="1339"/>
        <v>0</v>
      </c>
      <c r="CN808" s="654">
        <f t="shared" si="1339"/>
        <v>0</v>
      </c>
      <c r="CO808" s="654">
        <f t="shared" si="1339"/>
        <v>0</v>
      </c>
      <c r="CP808" s="1368">
        <f t="shared" si="1339"/>
        <v>0</v>
      </c>
      <c r="CQ808" s="654">
        <f t="shared" si="1339"/>
        <v>0</v>
      </c>
      <c r="CR808" s="654">
        <f t="shared" si="1339"/>
        <v>0</v>
      </c>
      <c r="CS808" s="654">
        <f t="shared" si="1339"/>
        <v>0</v>
      </c>
      <c r="CT808" s="654">
        <f t="shared" si="1339"/>
        <v>0</v>
      </c>
      <c r="CU808" s="654">
        <f t="shared" si="1339"/>
        <v>0</v>
      </c>
      <c r="CV808" s="654">
        <f t="shared" si="1339"/>
        <v>0</v>
      </c>
      <c r="CW808" s="654">
        <f t="shared" si="1339"/>
        <v>0</v>
      </c>
      <c r="CX808" s="654">
        <f t="shared" si="1339"/>
        <v>0</v>
      </c>
      <c r="CY808" s="654">
        <f t="shared" si="1339"/>
        <v>0</v>
      </c>
      <c r="CZ808" s="654">
        <f t="shared" si="1339"/>
        <v>0</v>
      </c>
      <c r="DA808" s="654">
        <f t="shared" si="1339"/>
        <v>0</v>
      </c>
      <c r="DB808" s="1369">
        <f t="shared" si="1339"/>
        <v>0</v>
      </c>
      <c r="DC808" s="654">
        <f t="shared" si="1339"/>
        <v>0</v>
      </c>
      <c r="DD808" s="654">
        <f t="shared" si="1339"/>
        <v>0</v>
      </c>
      <c r="DE808" s="654">
        <f t="shared" si="1339"/>
        <v>0</v>
      </c>
      <c r="DF808" s="654">
        <f t="shared" si="1339"/>
        <v>0</v>
      </c>
      <c r="DG808" s="654">
        <f t="shared" si="1339"/>
        <v>0</v>
      </c>
      <c r="DH808" s="654">
        <f t="shared" si="1339"/>
        <v>0</v>
      </c>
      <c r="DI808" s="654">
        <f t="shared" si="1339"/>
        <v>0</v>
      </c>
      <c r="DJ808" s="654">
        <f t="shared" si="1339"/>
        <v>0</v>
      </c>
      <c r="DK808" s="654">
        <f t="shared" ref="DK808:EP808" si="1340">DK406</f>
        <v>0</v>
      </c>
      <c r="DL808" s="654">
        <f t="shared" si="1340"/>
        <v>0</v>
      </c>
      <c r="DM808" s="654">
        <f t="shared" si="1340"/>
        <v>0</v>
      </c>
      <c r="DN808" s="1368">
        <f t="shared" si="1340"/>
        <v>0</v>
      </c>
      <c r="DO808" s="654">
        <f t="shared" si="1340"/>
        <v>0</v>
      </c>
      <c r="DP808" s="654">
        <f t="shared" si="1340"/>
        <v>0</v>
      </c>
      <c r="DQ808" s="654">
        <f t="shared" si="1340"/>
        <v>0</v>
      </c>
      <c r="DR808" s="654">
        <f t="shared" si="1340"/>
        <v>0</v>
      </c>
      <c r="DS808" s="654">
        <f t="shared" si="1340"/>
        <v>0</v>
      </c>
      <c r="DT808" s="654">
        <f t="shared" si="1340"/>
        <v>0</v>
      </c>
      <c r="DU808" s="654">
        <f t="shared" si="1340"/>
        <v>0</v>
      </c>
      <c r="DV808" s="654">
        <f t="shared" si="1340"/>
        <v>0</v>
      </c>
      <c r="DW808" s="654">
        <f t="shared" si="1340"/>
        <v>0</v>
      </c>
      <c r="DX808" s="654">
        <f t="shared" si="1340"/>
        <v>0</v>
      </c>
      <c r="DY808" s="654">
        <f t="shared" si="1340"/>
        <v>0</v>
      </c>
      <c r="DZ808" s="1368">
        <f t="shared" si="1340"/>
        <v>0</v>
      </c>
      <c r="EA808" s="654">
        <f t="shared" si="1340"/>
        <v>0</v>
      </c>
      <c r="EB808" s="654">
        <f t="shared" si="1340"/>
        <v>0</v>
      </c>
      <c r="EC808" s="654">
        <f t="shared" si="1340"/>
        <v>0</v>
      </c>
      <c r="ED808" s="654">
        <f t="shared" si="1340"/>
        <v>0</v>
      </c>
      <c r="EE808" s="654">
        <f t="shared" si="1340"/>
        <v>0</v>
      </c>
      <c r="EF808" s="654">
        <f t="shared" si="1340"/>
        <v>0</v>
      </c>
      <c r="EG808" s="654">
        <f t="shared" si="1340"/>
        <v>0</v>
      </c>
      <c r="EH808" s="654">
        <f t="shared" si="1340"/>
        <v>0</v>
      </c>
      <c r="EI808" s="654">
        <f t="shared" si="1340"/>
        <v>0</v>
      </c>
      <c r="EJ808" s="654">
        <f t="shared" si="1340"/>
        <v>0</v>
      </c>
      <c r="EK808" s="654">
        <f t="shared" si="1340"/>
        <v>0</v>
      </c>
      <c r="EL808" s="1368">
        <f t="shared" si="1340"/>
        <v>0</v>
      </c>
      <c r="EM808" s="654">
        <f t="shared" si="1340"/>
        <v>0</v>
      </c>
      <c r="EN808" s="654">
        <f t="shared" si="1340"/>
        <v>0</v>
      </c>
      <c r="EO808" s="654">
        <f t="shared" si="1340"/>
        <v>0</v>
      </c>
      <c r="EP808" s="654">
        <f t="shared" si="1340"/>
        <v>0</v>
      </c>
      <c r="EQ808" s="654">
        <f t="shared" ref="EQ808:FV808" si="1341">EQ406</f>
        <v>0</v>
      </c>
      <c r="ER808" s="654">
        <f t="shared" si="1341"/>
        <v>0</v>
      </c>
      <c r="ES808" s="654">
        <f t="shared" si="1341"/>
        <v>0</v>
      </c>
      <c r="ET808" s="654">
        <f t="shared" si="1341"/>
        <v>0</v>
      </c>
      <c r="EU808" s="654">
        <f t="shared" si="1341"/>
        <v>0</v>
      </c>
      <c r="EV808" s="654">
        <f t="shared" si="1341"/>
        <v>0</v>
      </c>
      <c r="EW808" s="654">
        <f t="shared" si="1341"/>
        <v>0</v>
      </c>
      <c r="EX808" s="1368">
        <f t="shared" si="1341"/>
        <v>0</v>
      </c>
      <c r="EY808" s="654">
        <f t="shared" si="1341"/>
        <v>0</v>
      </c>
      <c r="EZ808" s="654">
        <f t="shared" si="1341"/>
        <v>0</v>
      </c>
      <c r="FA808" s="654">
        <f t="shared" si="1341"/>
        <v>0</v>
      </c>
      <c r="FB808" s="654">
        <f t="shared" si="1341"/>
        <v>0</v>
      </c>
      <c r="FC808" s="654">
        <f t="shared" si="1341"/>
        <v>0</v>
      </c>
      <c r="FD808" s="654">
        <f t="shared" si="1341"/>
        <v>0</v>
      </c>
      <c r="FE808" s="654">
        <f t="shared" si="1341"/>
        <v>0</v>
      </c>
      <c r="FF808" s="654">
        <f t="shared" si="1341"/>
        <v>0</v>
      </c>
      <c r="FG808" s="654">
        <f t="shared" si="1341"/>
        <v>0</v>
      </c>
      <c r="FH808" s="654">
        <f t="shared" si="1341"/>
        <v>0</v>
      </c>
      <c r="FI808" s="654">
        <f t="shared" si="1341"/>
        <v>0</v>
      </c>
      <c r="FJ808" s="1368">
        <f t="shared" si="1341"/>
        <v>0</v>
      </c>
      <c r="FK808" s="654">
        <f t="shared" si="1341"/>
        <v>0</v>
      </c>
      <c r="FL808" s="654">
        <f t="shared" si="1341"/>
        <v>0</v>
      </c>
      <c r="FM808" s="654">
        <f t="shared" si="1341"/>
        <v>0</v>
      </c>
      <c r="FN808" s="654">
        <f t="shared" si="1341"/>
        <v>0</v>
      </c>
      <c r="FO808" s="654">
        <f t="shared" si="1341"/>
        <v>0</v>
      </c>
      <c r="FP808" s="654">
        <f t="shared" si="1341"/>
        <v>0</v>
      </c>
      <c r="FQ808" s="654">
        <f t="shared" si="1341"/>
        <v>0</v>
      </c>
      <c r="FR808" s="654">
        <f t="shared" si="1341"/>
        <v>0</v>
      </c>
      <c r="FS808" s="654">
        <f t="shared" si="1341"/>
        <v>0</v>
      </c>
      <c r="FT808" s="654">
        <f t="shared" si="1341"/>
        <v>0</v>
      </c>
      <c r="FU808" s="654">
        <f t="shared" si="1341"/>
        <v>0</v>
      </c>
      <c r="FV808" s="654">
        <f t="shared" si="1341"/>
        <v>0</v>
      </c>
      <c r="FW808" s="654">
        <v>0</v>
      </c>
      <c r="FX808" s="654">
        <v>0</v>
      </c>
      <c r="FY808" s="654">
        <v>0</v>
      </c>
      <c r="FZ808" s="654">
        <v>0</v>
      </c>
      <c r="GA808" s="654">
        <v>0</v>
      </c>
      <c r="GB808" s="654">
        <v>0</v>
      </c>
      <c r="GC808" s="654">
        <v>0</v>
      </c>
      <c r="GD808" s="654">
        <v>0</v>
      </c>
      <c r="GE808" s="654">
        <v>0</v>
      </c>
      <c r="GF808" s="654">
        <v>0</v>
      </c>
      <c r="GG808" s="654">
        <v>0</v>
      </c>
      <c r="GH808" s="654">
        <v>0</v>
      </c>
      <c r="GI808" s="654">
        <v>0</v>
      </c>
      <c r="GJ808" s="654">
        <v>0</v>
      </c>
      <c r="GK808" s="654">
        <v>0</v>
      </c>
      <c r="GL808" s="654">
        <v>0</v>
      </c>
      <c r="GM808" s="654">
        <v>0</v>
      </c>
      <c r="GN808" s="654">
        <v>0</v>
      </c>
      <c r="GO808" s="654">
        <v>0</v>
      </c>
      <c r="GP808" s="654">
        <v>0</v>
      </c>
      <c r="GQ808" s="654">
        <v>0</v>
      </c>
      <c r="GR808" s="654">
        <v>0</v>
      </c>
      <c r="GS808" s="654">
        <v>0</v>
      </c>
      <c r="GT808" s="654">
        <v>0</v>
      </c>
      <c r="GU808" s="654">
        <v>0</v>
      </c>
      <c r="GV808" s="654">
        <v>0</v>
      </c>
      <c r="GW808" s="654">
        <v>0</v>
      </c>
      <c r="GX808" s="654">
        <v>0</v>
      </c>
      <c r="GY808" s="654">
        <v>0</v>
      </c>
      <c r="GZ808" s="654">
        <v>0</v>
      </c>
      <c r="HA808" s="654">
        <v>0</v>
      </c>
      <c r="HB808" s="654">
        <v>0</v>
      </c>
      <c r="HC808" s="654">
        <v>0</v>
      </c>
      <c r="HD808" s="654">
        <v>0</v>
      </c>
      <c r="HE808" s="654">
        <v>0</v>
      </c>
      <c r="HF808" s="654">
        <v>0</v>
      </c>
      <c r="HG808" s="654">
        <v>0</v>
      </c>
      <c r="HH808" s="654">
        <v>0</v>
      </c>
      <c r="HI808" s="654">
        <v>0</v>
      </c>
      <c r="HJ808" s="654">
        <v>0</v>
      </c>
      <c r="HK808" s="654">
        <v>0</v>
      </c>
      <c r="HL808" s="654">
        <v>0</v>
      </c>
      <c r="HM808" s="654">
        <v>0</v>
      </c>
      <c r="HN808" s="654">
        <v>0</v>
      </c>
      <c r="HO808" s="654">
        <v>0</v>
      </c>
      <c r="HP808" s="654">
        <v>0</v>
      </c>
      <c r="HQ808" s="654">
        <v>0</v>
      </c>
      <c r="HR808" s="654">
        <v>0</v>
      </c>
      <c r="HS808" s="654">
        <v>0</v>
      </c>
      <c r="HT808" s="654">
        <v>0</v>
      </c>
      <c r="HU808" s="654">
        <v>0</v>
      </c>
      <c r="HV808" s="654">
        <v>0</v>
      </c>
      <c r="HW808" s="654">
        <v>0</v>
      </c>
      <c r="HX808" s="654">
        <v>0</v>
      </c>
      <c r="HY808" s="654"/>
      <c r="HZ808" s="1370"/>
      <c r="IA808" s="1232" t="s">
        <v>501</v>
      </c>
      <c r="IB808" s="284">
        <f t="shared" si="1262"/>
        <v>0</v>
      </c>
      <c r="IC808" s="279">
        <f t="shared" si="1263"/>
        <v>0</v>
      </c>
      <c r="ID808" s="323">
        <f t="shared" si="907"/>
        <v>0</v>
      </c>
      <c r="IE808" s="279">
        <f t="shared" si="1264"/>
        <v>0</v>
      </c>
      <c r="IF808" s="279">
        <f t="shared" si="1265"/>
        <v>0</v>
      </c>
      <c r="IG808" s="323">
        <f t="shared" si="880"/>
        <v>0</v>
      </c>
      <c r="IH808" s="284">
        <f t="shared" si="1266"/>
        <v>0</v>
      </c>
      <c r="II808" s="279">
        <f t="shared" si="1267"/>
        <v>0</v>
      </c>
      <c r="IJ808" s="323">
        <f t="shared" si="881"/>
        <v>0</v>
      </c>
      <c r="IK808" s="327">
        <f t="shared" si="1268"/>
        <v>0</v>
      </c>
      <c r="IL808" s="279">
        <f t="shared" si="1269"/>
        <v>0</v>
      </c>
      <c r="IM808" s="323">
        <f t="shared" si="882"/>
        <v>0</v>
      </c>
      <c r="IN808" s="279">
        <f t="shared" si="1270"/>
        <v>0</v>
      </c>
      <c r="IO808" s="279">
        <f t="shared" si="1271"/>
        <v>0</v>
      </c>
      <c r="IP808" s="323">
        <f t="shared" si="883"/>
        <v>0</v>
      </c>
      <c r="IQ808" s="327">
        <f t="shared" si="1272"/>
        <v>0</v>
      </c>
      <c r="IR808" s="327">
        <f t="shared" si="1273"/>
        <v>0</v>
      </c>
      <c r="IS808" s="323">
        <f t="shared" si="884"/>
        <v>0</v>
      </c>
      <c r="IT808" s="327">
        <f t="shared" si="1274"/>
        <v>0</v>
      </c>
      <c r="IU808" s="327">
        <f t="shared" si="1275"/>
        <v>0</v>
      </c>
      <c r="IV808" s="323">
        <f t="shared" si="885"/>
        <v>0</v>
      </c>
      <c r="IW808" s="327">
        <f t="shared" si="1255"/>
        <v>0</v>
      </c>
      <c r="IX808" s="327">
        <f t="shared" si="1246"/>
        <v>0</v>
      </c>
      <c r="IY808" s="323">
        <f t="shared" si="886"/>
        <v>0</v>
      </c>
      <c r="IZ808" s="327">
        <f t="shared" si="1247"/>
        <v>0</v>
      </c>
      <c r="JA808" s="327">
        <f t="shared" si="1248"/>
        <v>0</v>
      </c>
      <c r="JB808" s="323">
        <f t="shared" si="887"/>
        <v>0</v>
      </c>
      <c r="JC808" s="327">
        <f t="shared" si="1249"/>
        <v>0</v>
      </c>
      <c r="JD808" s="327">
        <f t="shared" si="1250"/>
        <v>0</v>
      </c>
      <c r="JE808" s="323">
        <f t="shared" si="888"/>
        <v>0</v>
      </c>
      <c r="JF808" s="327">
        <f t="shared" si="1256"/>
        <v>0</v>
      </c>
      <c r="JG808" s="327">
        <f t="shared" si="918"/>
        <v>0</v>
      </c>
      <c r="JH808" s="323">
        <f t="shared" si="889"/>
        <v>0</v>
      </c>
      <c r="JI808" s="327">
        <f t="shared" si="909"/>
        <v>0</v>
      </c>
      <c r="JJ808" s="327">
        <f t="shared" si="910"/>
        <v>0</v>
      </c>
      <c r="JK808" s="323">
        <f t="shared" si="890"/>
        <v>0</v>
      </c>
      <c r="JL808" s="327">
        <f t="shared" si="891"/>
        <v>0</v>
      </c>
      <c r="JM808" s="279">
        <f t="shared" si="892"/>
        <v>0</v>
      </c>
      <c r="JN808" s="323">
        <f>FISC!AK1114</f>
        <v>0</v>
      </c>
      <c r="JO808" s="327">
        <f t="shared" si="1318"/>
        <v>0</v>
      </c>
      <c r="JP808" s="279">
        <f t="shared" si="893"/>
        <v>0</v>
      </c>
      <c r="JQ808" s="323">
        <f>FISC!AL1114</f>
        <v>0</v>
      </c>
      <c r="JR808" s="327">
        <f t="shared" si="1319"/>
        <v>0</v>
      </c>
      <c r="JS808" s="279">
        <f t="shared" si="894"/>
        <v>0</v>
      </c>
      <c r="JT808" s="323">
        <f>FISC!AM1114</f>
        <v>0</v>
      </c>
      <c r="JU808" s="327">
        <f t="shared" si="1320"/>
        <v>0</v>
      </c>
      <c r="JV808" s="279">
        <f t="shared" si="911"/>
        <v>0</v>
      </c>
      <c r="JW808" s="323">
        <f>FISC!AN1114</f>
        <v>0</v>
      </c>
      <c r="JX808" s="327">
        <f t="shared" si="1321"/>
        <v>0</v>
      </c>
      <c r="JY808" s="279">
        <f t="shared" si="895"/>
        <v>0</v>
      </c>
      <c r="JZ808" s="323">
        <f>FISC!AO1114</f>
        <v>0</v>
      </c>
      <c r="KA808" s="327">
        <f t="shared" si="1322"/>
        <v>0</v>
      </c>
      <c r="KB808" s="279">
        <f t="shared" si="1194"/>
        <v>0</v>
      </c>
      <c r="KC808" s="323">
        <f>FISC!AP1114</f>
        <v>0</v>
      </c>
      <c r="KD808" s="327">
        <f t="shared" si="1323"/>
        <v>0</v>
      </c>
      <c r="KE808" s="279">
        <f t="shared" si="1196"/>
        <v>0</v>
      </c>
      <c r="KF808" s="323">
        <f>FISC!AQ1114</f>
        <v>0</v>
      </c>
      <c r="KG808" s="327">
        <f t="shared" si="1324"/>
        <v>0</v>
      </c>
      <c r="KH808" s="279">
        <f t="shared" si="1198"/>
        <v>0</v>
      </c>
      <c r="KI808" s="323">
        <f>FISC!AR1114</f>
        <v>0</v>
      </c>
      <c r="KJ808" s="327">
        <f t="shared" si="1325"/>
        <v>0</v>
      </c>
      <c r="KK808" s="279">
        <f t="shared" si="1200"/>
        <v>0</v>
      </c>
      <c r="KL808" s="323">
        <f>FISC!AS1114</f>
        <v>0</v>
      </c>
      <c r="KM808" s="327">
        <f t="shared" si="1326"/>
        <v>0</v>
      </c>
      <c r="KN808" s="279">
        <f t="shared" si="1202"/>
        <v>0</v>
      </c>
      <c r="KO808" s="323">
        <f>FISC!AT1114</f>
        <v>0</v>
      </c>
      <c r="KU808" s="1370"/>
      <c r="KV808" s="960"/>
    </row>
    <row r="809" spans="1:314" s="454" customFormat="1">
      <c r="B809" s="1366" t="s">
        <v>338</v>
      </c>
      <c r="C809" s="1366"/>
      <c r="D809" s="332" t="s">
        <v>502</v>
      </c>
      <c r="E809" s="654"/>
      <c r="F809" s="654"/>
      <c r="G809" s="654"/>
      <c r="H809" s="654"/>
      <c r="I809" s="654"/>
      <c r="J809" s="654"/>
      <c r="K809" s="654"/>
      <c r="L809" s="654"/>
      <c r="M809" s="654"/>
      <c r="N809" s="654"/>
      <c r="O809" s="654"/>
      <c r="P809" s="654"/>
      <c r="Q809" s="654"/>
      <c r="R809" s="654"/>
      <c r="S809" s="654"/>
      <c r="T809" s="654"/>
      <c r="U809" s="654"/>
      <c r="V809" s="654"/>
      <c r="W809" s="654"/>
      <c r="X809" s="654"/>
      <c r="Y809" s="654"/>
      <c r="Z809" s="654"/>
      <c r="AA809" s="654"/>
      <c r="AB809" s="654"/>
      <c r="AC809" s="654"/>
      <c r="AD809" s="654"/>
      <c r="AE809" s="654"/>
      <c r="AF809" s="654"/>
      <c r="AG809" s="654"/>
      <c r="AH809" s="654"/>
      <c r="AI809" s="654"/>
      <c r="AJ809" s="654"/>
      <c r="AK809" s="654"/>
      <c r="AL809" s="654"/>
      <c r="AM809" s="654"/>
      <c r="AN809" s="654"/>
      <c r="AO809" s="654">
        <v>0</v>
      </c>
      <c r="AP809" s="654">
        <v>0</v>
      </c>
      <c r="AQ809" s="654">
        <v>0</v>
      </c>
      <c r="AR809" s="654">
        <v>0</v>
      </c>
      <c r="AS809" s="654">
        <v>0</v>
      </c>
      <c r="AT809" s="654">
        <v>0</v>
      </c>
      <c r="AU809" s="654">
        <v>0</v>
      </c>
      <c r="AV809" s="654">
        <v>0</v>
      </c>
      <c r="AW809" s="654">
        <v>0</v>
      </c>
      <c r="AX809" s="654">
        <v>0</v>
      </c>
      <c r="AY809" s="654">
        <v>0</v>
      </c>
      <c r="AZ809" s="654">
        <v>0</v>
      </c>
      <c r="BA809" s="654">
        <v>0</v>
      </c>
      <c r="BB809" s="654">
        <v>0</v>
      </c>
      <c r="BC809" s="654">
        <v>0</v>
      </c>
      <c r="BD809" s="654">
        <v>0</v>
      </c>
      <c r="BE809" s="654">
        <v>0</v>
      </c>
      <c r="BF809" s="654">
        <v>0</v>
      </c>
      <c r="BG809" s="654">
        <v>0</v>
      </c>
      <c r="BH809" s="654">
        <v>0</v>
      </c>
      <c r="BI809" s="654">
        <v>0</v>
      </c>
      <c r="BJ809" s="654">
        <v>0</v>
      </c>
      <c r="BK809" s="654">
        <v>0</v>
      </c>
      <c r="BL809" s="654">
        <v>0</v>
      </c>
      <c r="BM809" s="654">
        <v>0</v>
      </c>
      <c r="BN809" s="654">
        <v>0</v>
      </c>
      <c r="BO809" s="654">
        <v>0</v>
      </c>
      <c r="BP809" s="654">
        <v>0</v>
      </c>
      <c r="BQ809" s="654">
        <v>0</v>
      </c>
      <c r="BR809" s="654">
        <v>0</v>
      </c>
      <c r="BS809" s="654">
        <v>0</v>
      </c>
      <c r="BT809" s="654">
        <v>0</v>
      </c>
      <c r="BU809" s="654">
        <v>0</v>
      </c>
      <c r="BV809" s="654">
        <v>0</v>
      </c>
      <c r="BW809" s="654">
        <v>0</v>
      </c>
      <c r="BX809" s="654">
        <v>0</v>
      </c>
      <c r="BY809" s="654">
        <v>0</v>
      </c>
      <c r="BZ809" s="654">
        <v>0</v>
      </c>
      <c r="CA809" s="654">
        <v>0</v>
      </c>
      <c r="CB809" s="654">
        <v>0</v>
      </c>
      <c r="CC809" s="654">
        <v>0</v>
      </c>
      <c r="CD809" s="1367">
        <v>0</v>
      </c>
      <c r="CE809" s="654">
        <f t="shared" ref="CE809:DJ809" si="1342">CE407</f>
        <v>0</v>
      </c>
      <c r="CF809" s="654">
        <f t="shared" si="1342"/>
        <v>0</v>
      </c>
      <c r="CG809" s="654">
        <f t="shared" si="1342"/>
        <v>0</v>
      </c>
      <c r="CH809" s="654">
        <f t="shared" si="1342"/>
        <v>0</v>
      </c>
      <c r="CI809" s="654">
        <f t="shared" si="1342"/>
        <v>0</v>
      </c>
      <c r="CJ809" s="654">
        <f t="shared" si="1342"/>
        <v>0</v>
      </c>
      <c r="CK809" s="654">
        <f t="shared" si="1342"/>
        <v>0</v>
      </c>
      <c r="CL809" s="654">
        <f t="shared" si="1342"/>
        <v>0</v>
      </c>
      <c r="CM809" s="654">
        <f t="shared" si="1342"/>
        <v>0</v>
      </c>
      <c r="CN809" s="654">
        <f t="shared" si="1342"/>
        <v>0</v>
      </c>
      <c r="CO809" s="654">
        <f t="shared" si="1342"/>
        <v>0</v>
      </c>
      <c r="CP809" s="1368">
        <f t="shared" si="1342"/>
        <v>0</v>
      </c>
      <c r="CQ809" s="654">
        <f t="shared" si="1342"/>
        <v>0</v>
      </c>
      <c r="CR809" s="654">
        <f t="shared" si="1342"/>
        <v>0</v>
      </c>
      <c r="CS809" s="654">
        <f t="shared" si="1342"/>
        <v>0</v>
      </c>
      <c r="CT809" s="654">
        <f t="shared" si="1342"/>
        <v>0</v>
      </c>
      <c r="CU809" s="654">
        <f t="shared" si="1342"/>
        <v>0</v>
      </c>
      <c r="CV809" s="654">
        <f t="shared" si="1342"/>
        <v>0</v>
      </c>
      <c r="CW809" s="654">
        <f t="shared" si="1342"/>
        <v>0</v>
      </c>
      <c r="CX809" s="654">
        <f t="shared" si="1342"/>
        <v>0</v>
      </c>
      <c r="CY809" s="654">
        <f t="shared" si="1342"/>
        <v>0</v>
      </c>
      <c r="CZ809" s="654">
        <f t="shared" si="1342"/>
        <v>0</v>
      </c>
      <c r="DA809" s="654">
        <f t="shared" si="1342"/>
        <v>0</v>
      </c>
      <c r="DB809" s="1369">
        <f t="shared" si="1342"/>
        <v>0</v>
      </c>
      <c r="DC809" s="654">
        <f t="shared" si="1342"/>
        <v>0</v>
      </c>
      <c r="DD809" s="654">
        <f t="shared" si="1342"/>
        <v>0</v>
      </c>
      <c r="DE809" s="654">
        <f t="shared" si="1342"/>
        <v>0</v>
      </c>
      <c r="DF809" s="654">
        <f t="shared" si="1342"/>
        <v>0</v>
      </c>
      <c r="DG809" s="654">
        <f t="shared" si="1342"/>
        <v>0</v>
      </c>
      <c r="DH809" s="654">
        <f t="shared" si="1342"/>
        <v>0</v>
      </c>
      <c r="DI809" s="654">
        <f t="shared" si="1342"/>
        <v>0</v>
      </c>
      <c r="DJ809" s="654">
        <f t="shared" si="1342"/>
        <v>0</v>
      </c>
      <c r="DK809" s="654">
        <f t="shared" ref="DK809:EP809" si="1343">DK407</f>
        <v>0</v>
      </c>
      <c r="DL809" s="654">
        <f t="shared" si="1343"/>
        <v>0</v>
      </c>
      <c r="DM809" s="654">
        <f t="shared" si="1343"/>
        <v>0</v>
      </c>
      <c r="DN809" s="1368">
        <f t="shared" si="1343"/>
        <v>0</v>
      </c>
      <c r="DO809" s="654">
        <f t="shared" si="1343"/>
        <v>0</v>
      </c>
      <c r="DP809" s="654">
        <f t="shared" si="1343"/>
        <v>0</v>
      </c>
      <c r="DQ809" s="654">
        <f t="shared" si="1343"/>
        <v>0</v>
      </c>
      <c r="DR809" s="654">
        <f t="shared" si="1343"/>
        <v>0</v>
      </c>
      <c r="DS809" s="654">
        <f t="shared" si="1343"/>
        <v>0</v>
      </c>
      <c r="DT809" s="654">
        <f t="shared" si="1343"/>
        <v>0</v>
      </c>
      <c r="DU809" s="654">
        <f t="shared" si="1343"/>
        <v>0</v>
      </c>
      <c r="DV809" s="654">
        <f t="shared" si="1343"/>
        <v>0</v>
      </c>
      <c r="DW809" s="654">
        <f t="shared" si="1343"/>
        <v>0</v>
      </c>
      <c r="DX809" s="654">
        <f t="shared" si="1343"/>
        <v>0</v>
      </c>
      <c r="DY809" s="654">
        <f t="shared" si="1343"/>
        <v>0</v>
      </c>
      <c r="DZ809" s="1368">
        <f t="shared" si="1343"/>
        <v>0</v>
      </c>
      <c r="EA809" s="654">
        <f t="shared" si="1343"/>
        <v>0</v>
      </c>
      <c r="EB809" s="654">
        <f t="shared" si="1343"/>
        <v>0</v>
      </c>
      <c r="EC809" s="654">
        <f t="shared" si="1343"/>
        <v>0</v>
      </c>
      <c r="ED809" s="654">
        <f t="shared" si="1343"/>
        <v>0</v>
      </c>
      <c r="EE809" s="654">
        <f t="shared" si="1343"/>
        <v>0</v>
      </c>
      <c r="EF809" s="654">
        <f t="shared" si="1343"/>
        <v>0</v>
      </c>
      <c r="EG809" s="654">
        <f t="shared" si="1343"/>
        <v>0</v>
      </c>
      <c r="EH809" s="654">
        <f t="shared" si="1343"/>
        <v>0</v>
      </c>
      <c r="EI809" s="654">
        <f t="shared" si="1343"/>
        <v>0</v>
      </c>
      <c r="EJ809" s="654">
        <f t="shared" si="1343"/>
        <v>0</v>
      </c>
      <c r="EK809" s="654">
        <f t="shared" si="1343"/>
        <v>0</v>
      </c>
      <c r="EL809" s="1368">
        <f t="shared" si="1343"/>
        <v>0</v>
      </c>
      <c r="EM809" s="654">
        <f t="shared" si="1343"/>
        <v>0</v>
      </c>
      <c r="EN809" s="654">
        <f t="shared" si="1343"/>
        <v>0</v>
      </c>
      <c r="EO809" s="654">
        <f t="shared" si="1343"/>
        <v>0</v>
      </c>
      <c r="EP809" s="654">
        <f t="shared" si="1343"/>
        <v>0</v>
      </c>
      <c r="EQ809" s="654">
        <f t="shared" ref="EQ809:FV809" si="1344">EQ407</f>
        <v>0</v>
      </c>
      <c r="ER809" s="654">
        <f t="shared" si="1344"/>
        <v>0</v>
      </c>
      <c r="ES809" s="654">
        <f t="shared" si="1344"/>
        <v>0</v>
      </c>
      <c r="ET809" s="654">
        <f t="shared" si="1344"/>
        <v>0</v>
      </c>
      <c r="EU809" s="654">
        <f t="shared" si="1344"/>
        <v>0</v>
      </c>
      <c r="EV809" s="654">
        <f t="shared" si="1344"/>
        <v>0</v>
      </c>
      <c r="EW809" s="654">
        <f t="shared" si="1344"/>
        <v>0</v>
      </c>
      <c r="EX809" s="1368">
        <f t="shared" si="1344"/>
        <v>0</v>
      </c>
      <c r="EY809" s="654">
        <f t="shared" si="1344"/>
        <v>0</v>
      </c>
      <c r="EZ809" s="654">
        <f t="shared" si="1344"/>
        <v>0</v>
      </c>
      <c r="FA809" s="654">
        <f t="shared" si="1344"/>
        <v>0</v>
      </c>
      <c r="FB809" s="654">
        <f t="shared" si="1344"/>
        <v>0</v>
      </c>
      <c r="FC809" s="654">
        <f t="shared" si="1344"/>
        <v>0</v>
      </c>
      <c r="FD809" s="654">
        <f t="shared" si="1344"/>
        <v>0</v>
      </c>
      <c r="FE809" s="654">
        <f t="shared" si="1344"/>
        <v>0</v>
      </c>
      <c r="FF809" s="654">
        <f t="shared" si="1344"/>
        <v>0</v>
      </c>
      <c r="FG809" s="654">
        <f t="shared" si="1344"/>
        <v>0</v>
      </c>
      <c r="FH809" s="654">
        <f t="shared" si="1344"/>
        <v>0</v>
      </c>
      <c r="FI809" s="654">
        <f t="shared" si="1344"/>
        <v>0</v>
      </c>
      <c r="FJ809" s="1368">
        <f t="shared" si="1344"/>
        <v>0</v>
      </c>
      <c r="FK809" s="654">
        <f t="shared" si="1344"/>
        <v>0</v>
      </c>
      <c r="FL809" s="654">
        <f t="shared" si="1344"/>
        <v>0</v>
      </c>
      <c r="FM809" s="654">
        <f t="shared" si="1344"/>
        <v>0</v>
      </c>
      <c r="FN809" s="654">
        <f t="shared" si="1344"/>
        <v>0</v>
      </c>
      <c r="FO809" s="654">
        <f t="shared" si="1344"/>
        <v>0</v>
      </c>
      <c r="FP809" s="654">
        <f t="shared" si="1344"/>
        <v>0</v>
      </c>
      <c r="FQ809" s="654">
        <f t="shared" si="1344"/>
        <v>0</v>
      </c>
      <c r="FR809" s="654">
        <f t="shared" si="1344"/>
        <v>0</v>
      </c>
      <c r="FS809" s="654">
        <f t="shared" si="1344"/>
        <v>0</v>
      </c>
      <c r="FT809" s="654">
        <f t="shared" si="1344"/>
        <v>0</v>
      </c>
      <c r="FU809" s="654">
        <f t="shared" si="1344"/>
        <v>0</v>
      </c>
      <c r="FV809" s="654">
        <f t="shared" si="1344"/>
        <v>0</v>
      </c>
      <c r="FW809" s="654">
        <v>0</v>
      </c>
      <c r="FX809" s="654">
        <v>0</v>
      </c>
      <c r="FY809" s="654">
        <v>0</v>
      </c>
      <c r="FZ809" s="654">
        <v>0</v>
      </c>
      <c r="GA809" s="654">
        <v>0</v>
      </c>
      <c r="GB809" s="654">
        <v>0</v>
      </c>
      <c r="GC809" s="654">
        <v>0</v>
      </c>
      <c r="GD809" s="654">
        <v>0</v>
      </c>
      <c r="GE809" s="654">
        <v>0</v>
      </c>
      <c r="GF809" s="654">
        <v>0</v>
      </c>
      <c r="GG809" s="654">
        <v>0</v>
      </c>
      <c r="GH809" s="654">
        <v>0</v>
      </c>
      <c r="GI809" s="654">
        <v>0</v>
      </c>
      <c r="GJ809" s="654">
        <v>0</v>
      </c>
      <c r="GK809" s="654">
        <v>0</v>
      </c>
      <c r="GL809" s="654">
        <v>0</v>
      </c>
      <c r="GM809" s="654">
        <v>0</v>
      </c>
      <c r="GN809" s="654">
        <v>0</v>
      </c>
      <c r="GO809" s="654">
        <v>0</v>
      </c>
      <c r="GP809" s="654">
        <v>0</v>
      </c>
      <c r="GQ809" s="654">
        <v>0</v>
      </c>
      <c r="GR809" s="654">
        <v>0</v>
      </c>
      <c r="GS809" s="654">
        <v>0</v>
      </c>
      <c r="GT809" s="654">
        <v>0</v>
      </c>
      <c r="GU809" s="654">
        <v>0</v>
      </c>
      <c r="GV809" s="654">
        <v>0</v>
      </c>
      <c r="GW809" s="654">
        <v>0</v>
      </c>
      <c r="GX809" s="654">
        <v>0</v>
      </c>
      <c r="GY809" s="654">
        <v>0</v>
      </c>
      <c r="GZ809" s="654">
        <v>0</v>
      </c>
      <c r="HA809" s="654">
        <v>0</v>
      </c>
      <c r="HB809" s="654">
        <v>0</v>
      </c>
      <c r="HC809" s="654">
        <v>0</v>
      </c>
      <c r="HD809" s="654">
        <v>0</v>
      </c>
      <c r="HE809" s="654">
        <v>0</v>
      </c>
      <c r="HF809" s="654">
        <v>0</v>
      </c>
      <c r="HG809" s="654">
        <v>0</v>
      </c>
      <c r="HH809" s="654">
        <v>0</v>
      </c>
      <c r="HI809" s="654">
        <v>0</v>
      </c>
      <c r="HJ809" s="654">
        <v>0</v>
      </c>
      <c r="HK809" s="654">
        <v>0</v>
      </c>
      <c r="HL809" s="654">
        <v>0</v>
      </c>
      <c r="HM809" s="654">
        <v>0</v>
      </c>
      <c r="HN809" s="654">
        <v>0</v>
      </c>
      <c r="HO809" s="654">
        <v>0</v>
      </c>
      <c r="HP809" s="654">
        <v>0</v>
      </c>
      <c r="HQ809" s="654">
        <v>0</v>
      </c>
      <c r="HR809" s="654">
        <v>0</v>
      </c>
      <c r="HS809" s="654">
        <v>0</v>
      </c>
      <c r="HT809" s="654">
        <v>0</v>
      </c>
      <c r="HU809" s="654">
        <v>0</v>
      </c>
      <c r="HV809" s="654">
        <v>0</v>
      </c>
      <c r="HW809" s="654">
        <v>0</v>
      </c>
      <c r="HX809" s="654">
        <v>0</v>
      </c>
      <c r="HY809" s="654"/>
      <c r="HZ809" s="1370"/>
      <c r="IA809" s="332" t="s">
        <v>502</v>
      </c>
      <c r="IB809" s="284">
        <f t="shared" si="1262"/>
        <v>0</v>
      </c>
      <c r="IC809" s="279">
        <f t="shared" si="1263"/>
        <v>0</v>
      </c>
      <c r="ID809" s="323">
        <f t="shared" si="907"/>
        <v>0</v>
      </c>
      <c r="IE809" s="279">
        <f t="shared" si="1264"/>
        <v>0</v>
      </c>
      <c r="IF809" s="279">
        <f t="shared" si="1265"/>
        <v>0</v>
      </c>
      <c r="IG809" s="323">
        <f t="shared" si="880"/>
        <v>0</v>
      </c>
      <c r="IH809" s="284">
        <f t="shared" si="1266"/>
        <v>0</v>
      </c>
      <c r="II809" s="279">
        <f t="shared" si="1267"/>
        <v>0</v>
      </c>
      <c r="IJ809" s="323">
        <f t="shared" si="881"/>
        <v>0</v>
      </c>
      <c r="IK809" s="327">
        <f t="shared" si="1268"/>
        <v>0</v>
      </c>
      <c r="IL809" s="279">
        <f t="shared" si="1269"/>
        <v>0</v>
      </c>
      <c r="IM809" s="323">
        <f t="shared" si="882"/>
        <v>0</v>
      </c>
      <c r="IN809" s="279">
        <f t="shared" si="1270"/>
        <v>0</v>
      </c>
      <c r="IO809" s="279">
        <f t="shared" si="1271"/>
        <v>0</v>
      </c>
      <c r="IP809" s="323">
        <f t="shared" si="883"/>
        <v>0</v>
      </c>
      <c r="IQ809" s="327">
        <f t="shared" si="1272"/>
        <v>0</v>
      </c>
      <c r="IR809" s="327">
        <f t="shared" si="1273"/>
        <v>0</v>
      </c>
      <c r="IS809" s="323">
        <f t="shared" si="884"/>
        <v>0</v>
      </c>
      <c r="IT809" s="327">
        <f t="shared" si="1274"/>
        <v>0</v>
      </c>
      <c r="IU809" s="327">
        <f t="shared" si="1275"/>
        <v>0</v>
      </c>
      <c r="IV809" s="323">
        <f t="shared" si="885"/>
        <v>0</v>
      </c>
      <c r="IW809" s="327">
        <f t="shared" si="1255"/>
        <v>0</v>
      </c>
      <c r="IX809" s="327">
        <f t="shared" si="1246"/>
        <v>0</v>
      </c>
      <c r="IY809" s="323">
        <f>IW809+IX809</f>
        <v>0</v>
      </c>
      <c r="IZ809" s="327">
        <f t="shared" si="1247"/>
        <v>0</v>
      </c>
      <c r="JA809" s="327">
        <f t="shared" si="1248"/>
        <v>0</v>
      </c>
      <c r="JB809" s="323">
        <f t="shared" si="887"/>
        <v>0</v>
      </c>
      <c r="JC809" s="327">
        <f t="shared" si="1249"/>
        <v>0</v>
      </c>
      <c r="JD809" s="327">
        <f t="shared" si="1250"/>
        <v>0</v>
      </c>
      <c r="JE809" s="323">
        <f t="shared" si="888"/>
        <v>0</v>
      </c>
      <c r="JF809" s="327">
        <f t="shared" si="1256"/>
        <v>0</v>
      </c>
      <c r="JG809" s="327">
        <f t="shared" si="918"/>
        <v>0</v>
      </c>
      <c r="JH809" s="323">
        <f t="shared" si="889"/>
        <v>0</v>
      </c>
      <c r="JI809" s="327">
        <f t="shared" si="909"/>
        <v>0</v>
      </c>
      <c r="JJ809" s="327">
        <f t="shared" si="910"/>
        <v>0</v>
      </c>
      <c r="JK809" s="323">
        <f t="shared" si="890"/>
        <v>0</v>
      </c>
      <c r="JL809" s="327">
        <f t="shared" si="891"/>
        <v>0</v>
      </c>
      <c r="JM809" s="279">
        <f t="shared" si="892"/>
        <v>0</v>
      </c>
      <c r="JN809" s="323">
        <f>FISC!AK1115</f>
        <v>0</v>
      </c>
      <c r="JO809" s="327">
        <f t="shared" si="1318"/>
        <v>0</v>
      </c>
      <c r="JP809" s="279">
        <f t="shared" si="893"/>
        <v>0</v>
      </c>
      <c r="JQ809" s="323">
        <f>FISC!AL1115</f>
        <v>0</v>
      </c>
      <c r="JR809" s="327">
        <f t="shared" si="1319"/>
        <v>0</v>
      </c>
      <c r="JS809" s="279">
        <f t="shared" si="894"/>
        <v>0</v>
      </c>
      <c r="JT809" s="323">
        <f>FISC!AM1115</f>
        <v>0</v>
      </c>
      <c r="JU809" s="327">
        <f t="shared" si="1320"/>
        <v>0</v>
      </c>
      <c r="JV809" s="279">
        <f t="shared" si="911"/>
        <v>0</v>
      </c>
      <c r="JW809" s="323">
        <f>FISC!AN1115</f>
        <v>0</v>
      </c>
      <c r="JX809" s="327">
        <f t="shared" si="1321"/>
        <v>0</v>
      </c>
      <c r="JY809" s="279">
        <f t="shared" si="895"/>
        <v>0</v>
      </c>
      <c r="JZ809" s="323">
        <f>FISC!AO1115</f>
        <v>0</v>
      </c>
      <c r="KA809" s="327">
        <f t="shared" si="1322"/>
        <v>0</v>
      </c>
      <c r="KB809" s="279">
        <f t="shared" si="1194"/>
        <v>0</v>
      </c>
      <c r="KC809" s="323">
        <f>FISC!AP1115</f>
        <v>0</v>
      </c>
      <c r="KD809" s="327">
        <f t="shared" si="1323"/>
        <v>0</v>
      </c>
      <c r="KE809" s="279">
        <f t="shared" si="1196"/>
        <v>0</v>
      </c>
      <c r="KF809" s="323">
        <f>FISC!AQ1115</f>
        <v>0</v>
      </c>
      <c r="KG809" s="327">
        <f t="shared" si="1324"/>
        <v>0</v>
      </c>
      <c r="KH809" s="279">
        <f t="shared" si="1198"/>
        <v>0</v>
      </c>
      <c r="KI809" s="323">
        <f>FISC!AR1115</f>
        <v>0</v>
      </c>
      <c r="KJ809" s="327">
        <f t="shared" si="1325"/>
        <v>0</v>
      </c>
      <c r="KK809" s="279">
        <f t="shared" si="1200"/>
        <v>0</v>
      </c>
      <c r="KL809" s="323">
        <f>FISC!AS1115</f>
        <v>0</v>
      </c>
      <c r="KM809" s="327">
        <f t="shared" si="1326"/>
        <v>0</v>
      </c>
      <c r="KN809" s="279">
        <f t="shared" si="1202"/>
        <v>0</v>
      </c>
      <c r="KO809" s="323">
        <f>FISC!AT1115</f>
        <v>0</v>
      </c>
      <c r="KU809" s="1370"/>
      <c r="KV809" s="960"/>
    </row>
    <row r="810" spans="1:314" s="454" customFormat="1">
      <c r="B810" s="1366"/>
      <c r="C810" s="1366"/>
      <c r="D810" s="1232" t="s">
        <v>498</v>
      </c>
      <c r="E810" s="654"/>
      <c r="F810" s="654"/>
      <c r="G810" s="654"/>
      <c r="H810" s="654"/>
      <c r="I810" s="654"/>
      <c r="J810" s="654"/>
      <c r="K810" s="654"/>
      <c r="L810" s="654"/>
      <c r="M810" s="654"/>
      <c r="N810" s="654"/>
      <c r="O810" s="654"/>
      <c r="P810" s="654"/>
      <c r="Q810" s="654"/>
      <c r="R810" s="654"/>
      <c r="S810" s="654"/>
      <c r="T810" s="654"/>
      <c r="U810" s="654"/>
      <c r="V810" s="654"/>
      <c r="W810" s="654"/>
      <c r="X810" s="654"/>
      <c r="Y810" s="654"/>
      <c r="Z810" s="654"/>
      <c r="AA810" s="654"/>
      <c r="AB810" s="654"/>
      <c r="AC810" s="654"/>
      <c r="AD810" s="654"/>
      <c r="AE810" s="654"/>
      <c r="AF810" s="654"/>
      <c r="AG810" s="654"/>
      <c r="AH810" s="654"/>
      <c r="AI810" s="654"/>
      <c r="AJ810" s="654"/>
      <c r="AK810" s="654"/>
      <c r="AL810" s="654"/>
      <c r="AM810" s="654"/>
      <c r="AN810" s="654"/>
      <c r="AO810" s="654"/>
      <c r="AP810" s="654"/>
      <c r="AQ810" s="654"/>
      <c r="AR810" s="654"/>
      <c r="AS810" s="654"/>
      <c r="AT810" s="654"/>
      <c r="AU810" s="654"/>
      <c r="AV810" s="654"/>
      <c r="AW810" s="654"/>
      <c r="AX810" s="654"/>
      <c r="AY810" s="654"/>
      <c r="AZ810" s="654"/>
      <c r="BA810" s="654"/>
      <c r="BB810" s="654"/>
      <c r="BC810" s="654"/>
      <c r="BD810" s="654"/>
      <c r="BE810" s="654"/>
      <c r="BF810" s="654"/>
      <c r="BG810" s="654"/>
      <c r="BH810" s="654"/>
      <c r="BI810" s="654"/>
      <c r="BJ810" s="654"/>
      <c r="BK810" s="654"/>
      <c r="BL810" s="654"/>
      <c r="BM810" s="654"/>
      <c r="BN810" s="654"/>
      <c r="BO810" s="654"/>
      <c r="BP810" s="654"/>
      <c r="BQ810" s="654"/>
      <c r="BR810" s="654"/>
      <c r="BS810" s="654"/>
      <c r="BT810" s="654"/>
      <c r="BU810" s="654"/>
      <c r="BV810" s="654"/>
      <c r="BW810" s="654"/>
      <c r="BX810" s="654"/>
      <c r="BY810" s="654"/>
      <c r="BZ810" s="654"/>
      <c r="CA810" s="654"/>
      <c r="CB810" s="654"/>
      <c r="CC810" s="654"/>
      <c r="CD810" s="1367"/>
      <c r="CE810" s="654">
        <f t="shared" ref="CE810:DJ810" si="1345">CE408</f>
        <v>0</v>
      </c>
      <c r="CF810" s="654">
        <f t="shared" si="1345"/>
        <v>0</v>
      </c>
      <c r="CG810" s="654">
        <f t="shared" si="1345"/>
        <v>0</v>
      </c>
      <c r="CH810" s="654">
        <f t="shared" si="1345"/>
        <v>0</v>
      </c>
      <c r="CI810" s="654">
        <f t="shared" si="1345"/>
        <v>0</v>
      </c>
      <c r="CJ810" s="654">
        <f t="shared" si="1345"/>
        <v>0</v>
      </c>
      <c r="CK810" s="654">
        <f t="shared" si="1345"/>
        <v>0</v>
      </c>
      <c r="CL810" s="654">
        <f t="shared" si="1345"/>
        <v>0</v>
      </c>
      <c r="CM810" s="654">
        <f t="shared" si="1345"/>
        <v>0</v>
      </c>
      <c r="CN810" s="654">
        <f t="shared" si="1345"/>
        <v>0</v>
      </c>
      <c r="CO810" s="654">
        <f t="shared" si="1345"/>
        <v>0</v>
      </c>
      <c r="CP810" s="1368">
        <f t="shared" si="1345"/>
        <v>0</v>
      </c>
      <c r="CQ810" s="654">
        <f t="shared" si="1345"/>
        <v>0</v>
      </c>
      <c r="CR810" s="654">
        <f t="shared" si="1345"/>
        <v>0</v>
      </c>
      <c r="CS810" s="654">
        <f t="shared" si="1345"/>
        <v>0</v>
      </c>
      <c r="CT810" s="654">
        <f t="shared" si="1345"/>
        <v>0</v>
      </c>
      <c r="CU810" s="654">
        <f t="shared" si="1345"/>
        <v>0</v>
      </c>
      <c r="CV810" s="654">
        <f t="shared" si="1345"/>
        <v>0</v>
      </c>
      <c r="CW810" s="654">
        <f t="shared" si="1345"/>
        <v>0</v>
      </c>
      <c r="CX810" s="654">
        <f t="shared" si="1345"/>
        <v>0</v>
      </c>
      <c r="CY810" s="654">
        <f t="shared" si="1345"/>
        <v>0</v>
      </c>
      <c r="CZ810" s="654">
        <f t="shared" si="1345"/>
        <v>0</v>
      </c>
      <c r="DA810" s="654">
        <f t="shared" si="1345"/>
        <v>0</v>
      </c>
      <c r="DB810" s="1369">
        <f t="shared" si="1345"/>
        <v>0</v>
      </c>
      <c r="DC810" s="654">
        <f t="shared" si="1345"/>
        <v>0</v>
      </c>
      <c r="DD810" s="654">
        <f t="shared" si="1345"/>
        <v>0</v>
      </c>
      <c r="DE810" s="654">
        <f t="shared" si="1345"/>
        <v>0</v>
      </c>
      <c r="DF810" s="654">
        <f t="shared" si="1345"/>
        <v>0</v>
      </c>
      <c r="DG810" s="654">
        <f t="shared" si="1345"/>
        <v>0</v>
      </c>
      <c r="DH810" s="654">
        <f t="shared" si="1345"/>
        <v>0</v>
      </c>
      <c r="DI810" s="654">
        <f t="shared" si="1345"/>
        <v>0</v>
      </c>
      <c r="DJ810" s="654">
        <f t="shared" si="1345"/>
        <v>0</v>
      </c>
      <c r="DK810" s="654">
        <f t="shared" ref="DK810:EP810" si="1346">DK408</f>
        <v>0</v>
      </c>
      <c r="DL810" s="654">
        <f t="shared" si="1346"/>
        <v>0</v>
      </c>
      <c r="DM810" s="654">
        <f t="shared" si="1346"/>
        <v>0</v>
      </c>
      <c r="DN810" s="1368">
        <f t="shared" si="1346"/>
        <v>0</v>
      </c>
      <c r="DO810" s="654">
        <f t="shared" si="1346"/>
        <v>0</v>
      </c>
      <c r="DP810" s="654">
        <f t="shared" si="1346"/>
        <v>0</v>
      </c>
      <c r="DQ810" s="654">
        <f t="shared" si="1346"/>
        <v>0</v>
      </c>
      <c r="DR810" s="654">
        <f t="shared" si="1346"/>
        <v>0</v>
      </c>
      <c r="DS810" s="654">
        <f t="shared" si="1346"/>
        <v>0</v>
      </c>
      <c r="DT810" s="654">
        <f t="shared" si="1346"/>
        <v>0</v>
      </c>
      <c r="DU810" s="654">
        <f t="shared" si="1346"/>
        <v>0</v>
      </c>
      <c r="DV810" s="654">
        <f t="shared" si="1346"/>
        <v>0</v>
      </c>
      <c r="DW810" s="654">
        <f t="shared" si="1346"/>
        <v>0</v>
      </c>
      <c r="DX810" s="654">
        <f t="shared" si="1346"/>
        <v>0</v>
      </c>
      <c r="DY810" s="654">
        <f t="shared" si="1346"/>
        <v>0</v>
      </c>
      <c r="DZ810" s="1368">
        <f t="shared" si="1346"/>
        <v>0</v>
      </c>
      <c r="EA810" s="654">
        <f t="shared" si="1346"/>
        <v>0</v>
      </c>
      <c r="EB810" s="654">
        <f t="shared" si="1346"/>
        <v>0</v>
      </c>
      <c r="EC810" s="654">
        <f t="shared" si="1346"/>
        <v>0</v>
      </c>
      <c r="ED810" s="654">
        <f t="shared" si="1346"/>
        <v>0</v>
      </c>
      <c r="EE810" s="654">
        <f t="shared" si="1346"/>
        <v>0</v>
      </c>
      <c r="EF810" s="654">
        <f t="shared" si="1346"/>
        <v>0</v>
      </c>
      <c r="EG810" s="654">
        <f t="shared" si="1346"/>
        <v>0</v>
      </c>
      <c r="EH810" s="654">
        <f t="shared" si="1346"/>
        <v>0</v>
      </c>
      <c r="EI810" s="654">
        <f t="shared" si="1346"/>
        <v>0</v>
      </c>
      <c r="EJ810" s="654">
        <f t="shared" si="1346"/>
        <v>0</v>
      </c>
      <c r="EK810" s="654">
        <f t="shared" si="1346"/>
        <v>0</v>
      </c>
      <c r="EL810" s="1368">
        <f t="shared" si="1346"/>
        <v>0</v>
      </c>
      <c r="EM810" s="654">
        <f t="shared" si="1346"/>
        <v>0</v>
      </c>
      <c r="EN810" s="654">
        <f t="shared" si="1346"/>
        <v>0</v>
      </c>
      <c r="EO810" s="654">
        <f t="shared" si="1346"/>
        <v>0</v>
      </c>
      <c r="EP810" s="654">
        <f t="shared" si="1346"/>
        <v>0</v>
      </c>
      <c r="EQ810" s="654">
        <f t="shared" ref="EQ810:FV810" si="1347">EQ408</f>
        <v>0</v>
      </c>
      <c r="ER810" s="654">
        <f t="shared" si="1347"/>
        <v>0</v>
      </c>
      <c r="ES810" s="654">
        <f t="shared" si="1347"/>
        <v>0</v>
      </c>
      <c r="ET810" s="654">
        <f t="shared" si="1347"/>
        <v>0</v>
      </c>
      <c r="EU810" s="654">
        <f t="shared" si="1347"/>
        <v>0</v>
      </c>
      <c r="EV810" s="654">
        <f t="shared" si="1347"/>
        <v>0</v>
      </c>
      <c r="EW810" s="654">
        <f t="shared" si="1347"/>
        <v>0</v>
      </c>
      <c r="EX810" s="1368">
        <f t="shared" si="1347"/>
        <v>0</v>
      </c>
      <c r="EY810" s="654">
        <f t="shared" si="1347"/>
        <v>0</v>
      </c>
      <c r="EZ810" s="654">
        <f t="shared" si="1347"/>
        <v>0</v>
      </c>
      <c r="FA810" s="654">
        <f t="shared" si="1347"/>
        <v>0</v>
      </c>
      <c r="FB810" s="654">
        <f t="shared" si="1347"/>
        <v>0</v>
      </c>
      <c r="FC810" s="654">
        <f t="shared" si="1347"/>
        <v>0</v>
      </c>
      <c r="FD810" s="654">
        <f t="shared" si="1347"/>
        <v>0</v>
      </c>
      <c r="FE810" s="654">
        <f t="shared" si="1347"/>
        <v>0</v>
      </c>
      <c r="FF810" s="654">
        <f t="shared" si="1347"/>
        <v>0</v>
      </c>
      <c r="FG810" s="654">
        <f t="shared" si="1347"/>
        <v>0</v>
      </c>
      <c r="FH810" s="654">
        <f t="shared" si="1347"/>
        <v>0</v>
      </c>
      <c r="FI810" s="654">
        <f t="shared" si="1347"/>
        <v>0</v>
      </c>
      <c r="FJ810" s="1368">
        <f t="shared" si="1347"/>
        <v>0</v>
      </c>
      <c r="FK810" s="654">
        <f t="shared" si="1347"/>
        <v>0</v>
      </c>
      <c r="FL810" s="654">
        <f t="shared" si="1347"/>
        <v>0</v>
      </c>
      <c r="FM810" s="654">
        <f t="shared" si="1347"/>
        <v>0</v>
      </c>
      <c r="FN810" s="654">
        <f t="shared" si="1347"/>
        <v>0</v>
      </c>
      <c r="FO810" s="654">
        <f t="shared" si="1347"/>
        <v>0</v>
      </c>
      <c r="FP810" s="654">
        <f t="shared" si="1347"/>
        <v>0</v>
      </c>
      <c r="FQ810" s="654">
        <f t="shared" si="1347"/>
        <v>0</v>
      </c>
      <c r="FR810" s="654">
        <f t="shared" si="1347"/>
        <v>0</v>
      </c>
      <c r="FS810" s="654">
        <f t="shared" si="1347"/>
        <v>0</v>
      </c>
      <c r="FT810" s="654">
        <f t="shared" si="1347"/>
        <v>0</v>
      </c>
      <c r="FU810" s="654">
        <f t="shared" si="1347"/>
        <v>0</v>
      </c>
      <c r="FV810" s="654">
        <f t="shared" si="1347"/>
        <v>0</v>
      </c>
      <c r="FW810" s="654">
        <v>0</v>
      </c>
      <c r="FX810" s="654">
        <v>0</v>
      </c>
      <c r="FY810" s="654">
        <v>0</v>
      </c>
      <c r="FZ810" s="654">
        <v>0</v>
      </c>
      <c r="GA810" s="654">
        <v>0</v>
      </c>
      <c r="GB810" s="654">
        <v>0</v>
      </c>
      <c r="GC810" s="654">
        <v>0</v>
      </c>
      <c r="GD810" s="654">
        <v>0</v>
      </c>
      <c r="GE810" s="654">
        <v>0</v>
      </c>
      <c r="GF810" s="654">
        <v>0</v>
      </c>
      <c r="GG810" s="654">
        <v>0</v>
      </c>
      <c r="GH810" s="654">
        <v>0</v>
      </c>
      <c r="GI810" s="654">
        <v>0</v>
      </c>
      <c r="GJ810" s="654">
        <v>0</v>
      </c>
      <c r="GK810" s="654">
        <v>0</v>
      </c>
      <c r="GL810" s="654">
        <v>0</v>
      </c>
      <c r="GM810" s="654">
        <v>0</v>
      </c>
      <c r="GN810" s="654">
        <v>0</v>
      </c>
      <c r="GO810" s="654">
        <v>0</v>
      </c>
      <c r="GP810" s="654">
        <v>0</v>
      </c>
      <c r="GQ810" s="654">
        <v>0</v>
      </c>
      <c r="GR810" s="654">
        <v>0</v>
      </c>
      <c r="GS810" s="654">
        <v>0</v>
      </c>
      <c r="GT810" s="654">
        <v>0</v>
      </c>
      <c r="GU810" s="654">
        <v>0</v>
      </c>
      <c r="GV810" s="654">
        <v>0</v>
      </c>
      <c r="GW810" s="654">
        <v>0</v>
      </c>
      <c r="GX810" s="654">
        <v>0</v>
      </c>
      <c r="GY810" s="654">
        <v>0</v>
      </c>
      <c r="GZ810" s="654">
        <v>0</v>
      </c>
      <c r="HA810" s="654">
        <v>0</v>
      </c>
      <c r="HB810" s="654">
        <v>0</v>
      </c>
      <c r="HC810" s="654">
        <v>0</v>
      </c>
      <c r="HD810" s="654">
        <v>0</v>
      </c>
      <c r="HE810" s="654">
        <v>0</v>
      </c>
      <c r="HF810" s="654">
        <v>0</v>
      </c>
      <c r="HG810" s="654">
        <v>0</v>
      </c>
      <c r="HH810" s="654">
        <v>0</v>
      </c>
      <c r="HI810" s="654">
        <v>0</v>
      </c>
      <c r="HJ810" s="654">
        <v>0</v>
      </c>
      <c r="HK810" s="654">
        <v>0</v>
      </c>
      <c r="HL810" s="654">
        <v>0</v>
      </c>
      <c r="HM810" s="654">
        <v>0</v>
      </c>
      <c r="HN810" s="654">
        <v>0</v>
      </c>
      <c r="HO810" s="654">
        <v>0</v>
      </c>
      <c r="HP810" s="654">
        <v>0</v>
      </c>
      <c r="HQ810" s="654">
        <v>0</v>
      </c>
      <c r="HR810" s="654">
        <v>0</v>
      </c>
      <c r="HS810" s="654">
        <v>0</v>
      </c>
      <c r="HT810" s="654">
        <v>0</v>
      </c>
      <c r="HU810" s="654">
        <v>0</v>
      </c>
      <c r="HV810" s="654">
        <v>0</v>
      </c>
      <c r="HW810" s="654">
        <v>0</v>
      </c>
      <c r="HX810" s="654">
        <v>0</v>
      </c>
      <c r="HY810" s="654"/>
      <c r="HZ810" s="1370"/>
      <c r="IA810" s="1232" t="s">
        <v>498</v>
      </c>
      <c r="IB810" s="284">
        <f t="shared" si="1262"/>
        <v>0</v>
      </c>
      <c r="IC810" s="279">
        <f t="shared" si="1263"/>
        <v>0</v>
      </c>
      <c r="ID810" s="323">
        <f t="shared" si="907"/>
        <v>0</v>
      </c>
      <c r="IE810" s="279">
        <f t="shared" si="1264"/>
        <v>0</v>
      </c>
      <c r="IF810" s="279">
        <f t="shared" si="1265"/>
        <v>0</v>
      </c>
      <c r="IG810" s="323">
        <f t="shared" si="880"/>
        <v>0</v>
      </c>
      <c r="IH810" s="284">
        <f t="shared" si="1266"/>
        <v>0</v>
      </c>
      <c r="II810" s="279">
        <f t="shared" si="1267"/>
        <v>0</v>
      </c>
      <c r="IJ810" s="323">
        <f t="shared" si="881"/>
        <v>0</v>
      </c>
      <c r="IK810" s="327">
        <f t="shared" si="1268"/>
        <v>0</v>
      </c>
      <c r="IL810" s="279">
        <f t="shared" si="1269"/>
        <v>0</v>
      </c>
      <c r="IM810" s="323">
        <f t="shared" si="882"/>
        <v>0</v>
      </c>
      <c r="IN810" s="279">
        <f t="shared" si="1270"/>
        <v>0</v>
      </c>
      <c r="IO810" s="279">
        <f t="shared" si="1271"/>
        <v>0</v>
      </c>
      <c r="IP810" s="323">
        <f t="shared" si="883"/>
        <v>0</v>
      </c>
      <c r="IQ810" s="327">
        <f t="shared" si="1272"/>
        <v>0</v>
      </c>
      <c r="IR810" s="327">
        <f t="shared" si="1273"/>
        <v>0</v>
      </c>
      <c r="IS810" s="323">
        <f t="shared" si="884"/>
        <v>0</v>
      </c>
      <c r="IT810" s="327">
        <f t="shared" si="1274"/>
        <v>0</v>
      </c>
      <c r="IU810" s="327">
        <f t="shared" si="1275"/>
        <v>0</v>
      </c>
      <c r="IV810" s="323">
        <f t="shared" si="885"/>
        <v>0</v>
      </c>
      <c r="IW810" s="327">
        <f t="shared" si="1255"/>
        <v>0</v>
      </c>
      <c r="IX810" s="327">
        <f t="shared" si="1246"/>
        <v>0</v>
      </c>
      <c r="IY810" s="323">
        <f t="shared" si="886"/>
        <v>0</v>
      </c>
      <c r="IZ810" s="327">
        <f t="shared" si="1247"/>
        <v>0</v>
      </c>
      <c r="JA810" s="327">
        <f t="shared" si="1248"/>
        <v>0</v>
      </c>
      <c r="JB810" s="323">
        <f t="shared" si="887"/>
        <v>0</v>
      </c>
      <c r="JC810" s="327">
        <f t="shared" si="1249"/>
        <v>0</v>
      </c>
      <c r="JD810" s="327">
        <f t="shared" si="1250"/>
        <v>0</v>
      </c>
      <c r="JE810" s="323">
        <f t="shared" si="888"/>
        <v>0</v>
      </c>
      <c r="JF810" s="327">
        <f t="shared" si="1256"/>
        <v>0</v>
      </c>
      <c r="JG810" s="327">
        <f t="shared" si="918"/>
        <v>0</v>
      </c>
      <c r="JH810" s="323">
        <f t="shared" si="889"/>
        <v>0</v>
      </c>
      <c r="JI810" s="327">
        <f t="shared" si="909"/>
        <v>0</v>
      </c>
      <c r="JJ810" s="327">
        <f t="shared" si="910"/>
        <v>0</v>
      </c>
      <c r="JK810" s="323">
        <f t="shared" si="890"/>
        <v>0</v>
      </c>
      <c r="JL810" s="327">
        <f t="shared" si="891"/>
        <v>0</v>
      </c>
      <c r="JM810" s="279">
        <f t="shared" si="892"/>
        <v>0</v>
      </c>
      <c r="JN810" s="323">
        <f>FISC!AK1116</f>
        <v>0</v>
      </c>
      <c r="JO810" s="327">
        <f t="shared" si="1318"/>
        <v>0</v>
      </c>
      <c r="JP810" s="279">
        <f t="shared" si="893"/>
        <v>0</v>
      </c>
      <c r="JQ810" s="323">
        <f>FISC!AL1116</f>
        <v>0</v>
      </c>
      <c r="JR810" s="327">
        <f t="shared" si="1319"/>
        <v>0</v>
      </c>
      <c r="JS810" s="279">
        <f t="shared" si="894"/>
        <v>0</v>
      </c>
      <c r="JT810" s="323">
        <f>FISC!AM1116</f>
        <v>0</v>
      </c>
      <c r="JU810" s="327">
        <f t="shared" si="1320"/>
        <v>0</v>
      </c>
      <c r="JV810" s="279">
        <f t="shared" si="911"/>
        <v>0</v>
      </c>
      <c r="JW810" s="323">
        <f>FISC!AN1116</f>
        <v>0</v>
      </c>
      <c r="JX810" s="327">
        <f t="shared" si="1321"/>
        <v>0</v>
      </c>
      <c r="JY810" s="279">
        <f t="shared" si="895"/>
        <v>0</v>
      </c>
      <c r="JZ810" s="323">
        <f>FISC!AO1116</f>
        <v>0</v>
      </c>
      <c r="KA810" s="327">
        <f t="shared" si="1322"/>
        <v>0</v>
      </c>
      <c r="KB810" s="279">
        <f t="shared" si="1194"/>
        <v>0</v>
      </c>
      <c r="KC810" s="323">
        <f>FISC!AP1116</f>
        <v>0</v>
      </c>
      <c r="KD810" s="327">
        <f t="shared" si="1323"/>
        <v>0</v>
      </c>
      <c r="KE810" s="279">
        <f t="shared" si="1196"/>
        <v>0</v>
      </c>
      <c r="KF810" s="323">
        <f>FISC!AQ1116</f>
        <v>0</v>
      </c>
      <c r="KG810" s="327">
        <f t="shared" si="1324"/>
        <v>0</v>
      </c>
      <c r="KH810" s="279">
        <f t="shared" si="1198"/>
        <v>0</v>
      </c>
      <c r="KI810" s="323">
        <f>FISC!AR1116</f>
        <v>0</v>
      </c>
      <c r="KJ810" s="327">
        <f t="shared" si="1325"/>
        <v>0</v>
      </c>
      <c r="KK810" s="279">
        <f t="shared" si="1200"/>
        <v>0</v>
      </c>
      <c r="KL810" s="323">
        <f>FISC!AS1116</f>
        <v>0</v>
      </c>
      <c r="KM810" s="327">
        <f t="shared" si="1326"/>
        <v>0</v>
      </c>
      <c r="KN810" s="279">
        <f t="shared" si="1202"/>
        <v>0</v>
      </c>
      <c r="KO810" s="323">
        <f>FISC!AT1116</f>
        <v>0</v>
      </c>
      <c r="KU810" s="1370"/>
      <c r="KV810" s="960"/>
    </row>
    <row r="811" spans="1:314" s="454" customFormat="1">
      <c r="B811" s="1366"/>
      <c r="C811" s="1366"/>
      <c r="D811" s="1232" t="s">
        <v>499</v>
      </c>
      <c r="E811" s="654"/>
      <c r="F811" s="654"/>
      <c r="G811" s="654"/>
      <c r="H811" s="654"/>
      <c r="I811" s="654"/>
      <c r="J811" s="654"/>
      <c r="K811" s="654"/>
      <c r="L811" s="654"/>
      <c r="M811" s="654"/>
      <c r="N811" s="654"/>
      <c r="O811" s="654"/>
      <c r="P811" s="654"/>
      <c r="Q811" s="654"/>
      <c r="R811" s="654"/>
      <c r="S811" s="654"/>
      <c r="T811" s="654"/>
      <c r="U811" s="654"/>
      <c r="V811" s="654"/>
      <c r="W811" s="654"/>
      <c r="X811" s="654"/>
      <c r="Y811" s="654"/>
      <c r="Z811" s="654"/>
      <c r="AA811" s="654"/>
      <c r="AB811" s="654"/>
      <c r="AC811" s="654"/>
      <c r="AD811" s="654"/>
      <c r="AE811" s="654"/>
      <c r="AF811" s="654"/>
      <c r="AG811" s="654"/>
      <c r="AH811" s="654"/>
      <c r="AI811" s="654"/>
      <c r="AJ811" s="654"/>
      <c r="AK811" s="654"/>
      <c r="AL811" s="654"/>
      <c r="AM811" s="654"/>
      <c r="AN811" s="654"/>
      <c r="AO811" s="654"/>
      <c r="AP811" s="654"/>
      <c r="AQ811" s="654"/>
      <c r="AR811" s="654"/>
      <c r="AS811" s="654"/>
      <c r="AT811" s="654"/>
      <c r="AU811" s="654"/>
      <c r="AV811" s="654"/>
      <c r="AW811" s="654"/>
      <c r="AX811" s="654"/>
      <c r="AY811" s="654"/>
      <c r="AZ811" s="654"/>
      <c r="BA811" s="654"/>
      <c r="BB811" s="654"/>
      <c r="BC811" s="654"/>
      <c r="BD811" s="654"/>
      <c r="BE811" s="654"/>
      <c r="BF811" s="654"/>
      <c r="BG811" s="654"/>
      <c r="BH811" s="654"/>
      <c r="BI811" s="654"/>
      <c r="BJ811" s="654"/>
      <c r="BK811" s="654"/>
      <c r="BL811" s="654"/>
      <c r="BM811" s="654"/>
      <c r="BN811" s="654"/>
      <c r="BO811" s="654"/>
      <c r="BP811" s="654"/>
      <c r="BQ811" s="654"/>
      <c r="BR811" s="654"/>
      <c r="BS811" s="654"/>
      <c r="BT811" s="654"/>
      <c r="BU811" s="654"/>
      <c r="BV811" s="654"/>
      <c r="BW811" s="654"/>
      <c r="BX811" s="654"/>
      <c r="BY811" s="654"/>
      <c r="BZ811" s="654"/>
      <c r="CA811" s="654"/>
      <c r="CB811" s="654"/>
      <c r="CC811" s="654"/>
      <c r="CD811" s="1367"/>
      <c r="CE811" s="654">
        <f t="shared" ref="CE811:DJ811" si="1348">CE409</f>
        <v>0</v>
      </c>
      <c r="CF811" s="654">
        <f t="shared" si="1348"/>
        <v>0</v>
      </c>
      <c r="CG811" s="654">
        <f t="shared" si="1348"/>
        <v>0</v>
      </c>
      <c r="CH811" s="654">
        <f t="shared" si="1348"/>
        <v>0</v>
      </c>
      <c r="CI811" s="654">
        <f t="shared" si="1348"/>
        <v>0</v>
      </c>
      <c r="CJ811" s="654">
        <f t="shared" si="1348"/>
        <v>0</v>
      </c>
      <c r="CK811" s="654">
        <f t="shared" si="1348"/>
        <v>0</v>
      </c>
      <c r="CL811" s="654">
        <f t="shared" si="1348"/>
        <v>0</v>
      </c>
      <c r="CM811" s="654">
        <f t="shared" si="1348"/>
        <v>0</v>
      </c>
      <c r="CN811" s="654">
        <f t="shared" si="1348"/>
        <v>0</v>
      </c>
      <c r="CO811" s="654">
        <f t="shared" si="1348"/>
        <v>0</v>
      </c>
      <c r="CP811" s="1368">
        <f t="shared" si="1348"/>
        <v>0</v>
      </c>
      <c r="CQ811" s="654">
        <f t="shared" si="1348"/>
        <v>0</v>
      </c>
      <c r="CR811" s="654">
        <f t="shared" si="1348"/>
        <v>0</v>
      </c>
      <c r="CS811" s="654">
        <f t="shared" si="1348"/>
        <v>0</v>
      </c>
      <c r="CT811" s="654">
        <f t="shared" si="1348"/>
        <v>0</v>
      </c>
      <c r="CU811" s="654">
        <f t="shared" si="1348"/>
        <v>0</v>
      </c>
      <c r="CV811" s="654">
        <f t="shared" si="1348"/>
        <v>0</v>
      </c>
      <c r="CW811" s="654">
        <f t="shared" si="1348"/>
        <v>0</v>
      </c>
      <c r="CX811" s="654">
        <f t="shared" si="1348"/>
        <v>0</v>
      </c>
      <c r="CY811" s="654">
        <f t="shared" si="1348"/>
        <v>0</v>
      </c>
      <c r="CZ811" s="654">
        <f t="shared" si="1348"/>
        <v>0</v>
      </c>
      <c r="DA811" s="654">
        <f t="shared" si="1348"/>
        <v>0</v>
      </c>
      <c r="DB811" s="1369">
        <f t="shared" si="1348"/>
        <v>0</v>
      </c>
      <c r="DC811" s="654">
        <f t="shared" si="1348"/>
        <v>0</v>
      </c>
      <c r="DD811" s="654">
        <f t="shared" si="1348"/>
        <v>0</v>
      </c>
      <c r="DE811" s="654">
        <f t="shared" si="1348"/>
        <v>0</v>
      </c>
      <c r="DF811" s="654">
        <f t="shared" si="1348"/>
        <v>0</v>
      </c>
      <c r="DG811" s="654">
        <f t="shared" si="1348"/>
        <v>0</v>
      </c>
      <c r="DH811" s="654">
        <f t="shared" si="1348"/>
        <v>0</v>
      </c>
      <c r="DI811" s="654">
        <f t="shared" si="1348"/>
        <v>0</v>
      </c>
      <c r="DJ811" s="654">
        <f t="shared" si="1348"/>
        <v>0</v>
      </c>
      <c r="DK811" s="654">
        <f t="shared" ref="DK811:EP811" si="1349">DK409</f>
        <v>0</v>
      </c>
      <c r="DL811" s="654">
        <f t="shared" si="1349"/>
        <v>0</v>
      </c>
      <c r="DM811" s="654">
        <f t="shared" si="1349"/>
        <v>0</v>
      </c>
      <c r="DN811" s="1368">
        <f t="shared" si="1349"/>
        <v>0</v>
      </c>
      <c r="DO811" s="654">
        <f t="shared" si="1349"/>
        <v>0</v>
      </c>
      <c r="DP811" s="654">
        <f t="shared" si="1349"/>
        <v>0</v>
      </c>
      <c r="DQ811" s="654">
        <f t="shared" si="1349"/>
        <v>0</v>
      </c>
      <c r="DR811" s="654">
        <f t="shared" si="1349"/>
        <v>0</v>
      </c>
      <c r="DS811" s="654">
        <f t="shared" si="1349"/>
        <v>0</v>
      </c>
      <c r="DT811" s="654">
        <f t="shared" si="1349"/>
        <v>0</v>
      </c>
      <c r="DU811" s="654">
        <f t="shared" si="1349"/>
        <v>0</v>
      </c>
      <c r="DV811" s="654">
        <f t="shared" si="1349"/>
        <v>0</v>
      </c>
      <c r="DW811" s="654">
        <f t="shared" si="1349"/>
        <v>0</v>
      </c>
      <c r="DX811" s="654">
        <f t="shared" si="1349"/>
        <v>0</v>
      </c>
      <c r="DY811" s="654">
        <f t="shared" si="1349"/>
        <v>0</v>
      </c>
      <c r="DZ811" s="1368">
        <f t="shared" si="1349"/>
        <v>0</v>
      </c>
      <c r="EA811" s="654">
        <f t="shared" si="1349"/>
        <v>0</v>
      </c>
      <c r="EB811" s="654">
        <f t="shared" si="1349"/>
        <v>0</v>
      </c>
      <c r="EC811" s="654">
        <f t="shared" si="1349"/>
        <v>0</v>
      </c>
      <c r="ED811" s="654">
        <f t="shared" si="1349"/>
        <v>0</v>
      </c>
      <c r="EE811" s="654">
        <f t="shared" si="1349"/>
        <v>0</v>
      </c>
      <c r="EF811" s="654">
        <f t="shared" si="1349"/>
        <v>0</v>
      </c>
      <c r="EG811" s="654">
        <f t="shared" si="1349"/>
        <v>0</v>
      </c>
      <c r="EH811" s="654">
        <f t="shared" si="1349"/>
        <v>0</v>
      </c>
      <c r="EI811" s="654">
        <f t="shared" si="1349"/>
        <v>0</v>
      </c>
      <c r="EJ811" s="654">
        <f t="shared" si="1349"/>
        <v>0</v>
      </c>
      <c r="EK811" s="654">
        <f t="shared" si="1349"/>
        <v>0</v>
      </c>
      <c r="EL811" s="1368">
        <f t="shared" si="1349"/>
        <v>0</v>
      </c>
      <c r="EM811" s="654">
        <f t="shared" si="1349"/>
        <v>0</v>
      </c>
      <c r="EN811" s="654">
        <f t="shared" si="1349"/>
        <v>0</v>
      </c>
      <c r="EO811" s="654">
        <f t="shared" si="1349"/>
        <v>0</v>
      </c>
      <c r="EP811" s="654">
        <f t="shared" si="1349"/>
        <v>0</v>
      </c>
      <c r="EQ811" s="654">
        <f t="shared" ref="EQ811:FV811" si="1350">EQ409</f>
        <v>0</v>
      </c>
      <c r="ER811" s="654">
        <f t="shared" si="1350"/>
        <v>0</v>
      </c>
      <c r="ES811" s="654">
        <f t="shared" si="1350"/>
        <v>0</v>
      </c>
      <c r="ET811" s="654">
        <f t="shared" si="1350"/>
        <v>0</v>
      </c>
      <c r="EU811" s="654">
        <f t="shared" si="1350"/>
        <v>0</v>
      </c>
      <c r="EV811" s="654">
        <f t="shared" si="1350"/>
        <v>0</v>
      </c>
      <c r="EW811" s="654">
        <f t="shared" si="1350"/>
        <v>0</v>
      </c>
      <c r="EX811" s="1368">
        <f t="shared" si="1350"/>
        <v>0</v>
      </c>
      <c r="EY811" s="654">
        <f t="shared" si="1350"/>
        <v>0</v>
      </c>
      <c r="EZ811" s="654">
        <f t="shared" si="1350"/>
        <v>0</v>
      </c>
      <c r="FA811" s="654">
        <f t="shared" si="1350"/>
        <v>0</v>
      </c>
      <c r="FB811" s="654">
        <f t="shared" si="1350"/>
        <v>0</v>
      </c>
      <c r="FC811" s="654">
        <f t="shared" si="1350"/>
        <v>0</v>
      </c>
      <c r="FD811" s="654">
        <f t="shared" si="1350"/>
        <v>0</v>
      </c>
      <c r="FE811" s="654">
        <f t="shared" si="1350"/>
        <v>0</v>
      </c>
      <c r="FF811" s="654">
        <f t="shared" si="1350"/>
        <v>0</v>
      </c>
      <c r="FG811" s="654">
        <f t="shared" si="1350"/>
        <v>0</v>
      </c>
      <c r="FH811" s="654">
        <f t="shared" si="1350"/>
        <v>0</v>
      </c>
      <c r="FI811" s="654">
        <f t="shared" si="1350"/>
        <v>0</v>
      </c>
      <c r="FJ811" s="1368">
        <f t="shared" si="1350"/>
        <v>0</v>
      </c>
      <c r="FK811" s="654">
        <f t="shared" si="1350"/>
        <v>0</v>
      </c>
      <c r="FL811" s="654">
        <f t="shared" si="1350"/>
        <v>0</v>
      </c>
      <c r="FM811" s="654">
        <f t="shared" si="1350"/>
        <v>0</v>
      </c>
      <c r="FN811" s="654">
        <f t="shared" si="1350"/>
        <v>0</v>
      </c>
      <c r="FO811" s="654">
        <f t="shared" si="1350"/>
        <v>0</v>
      </c>
      <c r="FP811" s="654">
        <f t="shared" si="1350"/>
        <v>0</v>
      </c>
      <c r="FQ811" s="654">
        <f t="shared" si="1350"/>
        <v>0</v>
      </c>
      <c r="FR811" s="654">
        <f t="shared" si="1350"/>
        <v>0</v>
      </c>
      <c r="FS811" s="654">
        <f t="shared" si="1350"/>
        <v>0</v>
      </c>
      <c r="FT811" s="654">
        <f t="shared" si="1350"/>
        <v>0</v>
      </c>
      <c r="FU811" s="654">
        <f t="shared" si="1350"/>
        <v>0</v>
      </c>
      <c r="FV811" s="654">
        <f t="shared" si="1350"/>
        <v>0</v>
      </c>
      <c r="FW811" s="654">
        <v>0</v>
      </c>
      <c r="FX811" s="654">
        <v>0</v>
      </c>
      <c r="FY811" s="654">
        <v>0</v>
      </c>
      <c r="FZ811" s="654">
        <v>0</v>
      </c>
      <c r="GA811" s="654">
        <v>0</v>
      </c>
      <c r="GB811" s="654">
        <v>0</v>
      </c>
      <c r="GC811" s="654">
        <v>0</v>
      </c>
      <c r="GD811" s="654">
        <v>0</v>
      </c>
      <c r="GE811" s="654">
        <v>0</v>
      </c>
      <c r="GF811" s="654">
        <v>0</v>
      </c>
      <c r="GG811" s="654">
        <v>0</v>
      </c>
      <c r="GH811" s="654">
        <v>0</v>
      </c>
      <c r="GI811" s="654">
        <v>0</v>
      </c>
      <c r="GJ811" s="654">
        <v>0</v>
      </c>
      <c r="GK811" s="654">
        <v>0</v>
      </c>
      <c r="GL811" s="654">
        <v>0</v>
      </c>
      <c r="GM811" s="654">
        <v>0</v>
      </c>
      <c r="GN811" s="654">
        <v>0</v>
      </c>
      <c r="GO811" s="654">
        <v>0</v>
      </c>
      <c r="GP811" s="654">
        <v>0</v>
      </c>
      <c r="GQ811" s="654">
        <v>0</v>
      </c>
      <c r="GR811" s="654">
        <v>0</v>
      </c>
      <c r="GS811" s="654">
        <v>0</v>
      </c>
      <c r="GT811" s="654">
        <v>0</v>
      </c>
      <c r="GU811" s="654">
        <v>0</v>
      </c>
      <c r="GV811" s="654">
        <v>0</v>
      </c>
      <c r="GW811" s="654">
        <v>0</v>
      </c>
      <c r="GX811" s="654">
        <v>0</v>
      </c>
      <c r="GY811" s="654">
        <v>0</v>
      </c>
      <c r="GZ811" s="654">
        <v>0</v>
      </c>
      <c r="HA811" s="654">
        <v>0</v>
      </c>
      <c r="HB811" s="654">
        <v>0</v>
      </c>
      <c r="HC811" s="654">
        <v>0</v>
      </c>
      <c r="HD811" s="654">
        <v>0</v>
      </c>
      <c r="HE811" s="654">
        <v>0</v>
      </c>
      <c r="HF811" s="654">
        <v>0</v>
      </c>
      <c r="HG811" s="654">
        <v>0</v>
      </c>
      <c r="HH811" s="654">
        <v>0</v>
      </c>
      <c r="HI811" s="654">
        <v>0</v>
      </c>
      <c r="HJ811" s="654">
        <v>0</v>
      </c>
      <c r="HK811" s="654">
        <v>0</v>
      </c>
      <c r="HL811" s="654">
        <v>0</v>
      </c>
      <c r="HM811" s="654">
        <v>0</v>
      </c>
      <c r="HN811" s="654">
        <v>0</v>
      </c>
      <c r="HO811" s="654">
        <v>0</v>
      </c>
      <c r="HP811" s="654">
        <v>0</v>
      </c>
      <c r="HQ811" s="654">
        <v>0</v>
      </c>
      <c r="HR811" s="654">
        <v>0</v>
      </c>
      <c r="HS811" s="654">
        <v>0</v>
      </c>
      <c r="HT811" s="654">
        <v>0</v>
      </c>
      <c r="HU811" s="654">
        <v>0</v>
      </c>
      <c r="HV811" s="654">
        <v>0</v>
      </c>
      <c r="HW811" s="654">
        <v>0</v>
      </c>
      <c r="HX811" s="654">
        <v>0</v>
      </c>
      <c r="HY811" s="654"/>
      <c r="HZ811" s="1370"/>
      <c r="IA811" s="1232" t="s">
        <v>499</v>
      </c>
      <c r="IB811" s="284">
        <f t="shared" si="1262"/>
        <v>0</v>
      </c>
      <c r="IC811" s="279">
        <f t="shared" si="1263"/>
        <v>0</v>
      </c>
      <c r="ID811" s="323">
        <f t="shared" si="907"/>
        <v>0</v>
      </c>
      <c r="IE811" s="279">
        <f t="shared" si="1264"/>
        <v>0</v>
      </c>
      <c r="IF811" s="279">
        <f t="shared" si="1265"/>
        <v>0</v>
      </c>
      <c r="IG811" s="323">
        <f t="shared" si="880"/>
        <v>0</v>
      </c>
      <c r="IH811" s="284">
        <f t="shared" si="1266"/>
        <v>0</v>
      </c>
      <c r="II811" s="279">
        <f t="shared" si="1267"/>
        <v>0</v>
      </c>
      <c r="IJ811" s="323">
        <f t="shared" si="881"/>
        <v>0</v>
      </c>
      <c r="IK811" s="327">
        <f t="shared" si="1268"/>
        <v>0</v>
      </c>
      <c r="IL811" s="279">
        <f t="shared" si="1269"/>
        <v>0</v>
      </c>
      <c r="IM811" s="323">
        <f t="shared" si="882"/>
        <v>0</v>
      </c>
      <c r="IN811" s="279">
        <f t="shared" si="1270"/>
        <v>0</v>
      </c>
      <c r="IO811" s="279">
        <f t="shared" si="1271"/>
        <v>0</v>
      </c>
      <c r="IP811" s="323">
        <f t="shared" si="883"/>
        <v>0</v>
      </c>
      <c r="IQ811" s="327">
        <f t="shared" si="1272"/>
        <v>0</v>
      </c>
      <c r="IR811" s="327">
        <f t="shared" si="1273"/>
        <v>0</v>
      </c>
      <c r="IS811" s="323">
        <f t="shared" si="884"/>
        <v>0</v>
      </c>
      <c r="IT811" s="327">
        <f t="shared" si="1274"/>
        <v>0</v>
      </c>
      <c r="IU811" s="327">
        <f t="shared" si="1275"/>
        <v>0</v>
      </c>
      <c r="IV811" s="323">
        <f t="shared" si="885"/>
        <v>0</v>
      </c>
      <c r="IW811" s="327">
        <f t="shared" si="1255"/>
        <v>0</v>
      </c>
      <c r="IX811" s="327">
        <f t="shared" si="1246"/>
        <v>0</v>
      </c>
      <c r="IY811" s="323">
        <f t="shared" si="886"/>
        <v>0</v>
      </c>
      <c r="IZ811" s="327">
        <f t="shared" si="1247"/>
        <v>0</v>
      </c>
      <c r="JA811" s="327">
        <f t="shared" si="1248"/>
        <v>0</v>
      </c>
      <c r="JB811" s="323">
        <f t="shared" si="887"/>
        <v>0</v>
      </c>
      <c r="JC811" s="327">
        <f t="shared" si="1249"/>
        <v>0</v>
      </c>
      <c r="JD811" s="327">
        <f t="shared" si="1250"/>
        <v>0</v>
      </c>
      <c r="JE811" s="323">
        <f t="shared" si="888"/>
        <v>0</v>
      </c>
      <c r="JF811" s="327">
        <f t="shared" si="1256"/>
        <v>0</v>
      </c>
      <c r="JG811" s="327">
        <f t="shared" si="918"/>
        <v>0</v>
      </c>
      <c r="JH811" s="323">
        <f t="shared" si="889"/>
        <v>0</v>
      </c>
      <c r="JI811" s="327">
        <f t="shared" si="909"/>
        <v>0</v>
      </c>
      <c r="JJ811" s="327">
        <f t="shared" si="910"/>
        <v>0</v>
      </c>
      <c r="JK811" s="323">
        <f t="shared" si="890"/>
        <v>0</v>
      </c>
      <c r="JL811" s="327">
        <f t="shared" si="891"/>
        <v>0</v>
      </c>
      <c r="JM811" s="279">
        <f t="shared" si="892"/>
        <v>0</v>
      </c>
      <c r="JN811" s="323">
        <f>FISC!AK1117</f>
        <v>0</v>
      </c>
      <c r="JO811" s="327">
        <f t="shared" si="1318"/>
        <v>0</v>
      </c>
      <c r="JP811" s="279">
        <f t="shared" si="893"/>
        <v>0</v>
      </c>
      <c r="JQ811" s="323">
        <f>FISC!AL1117</f>
        <v>0</v>
      </c>
      <c r="JR811" s="327">
        <f t="shared" si="1319"/>
        <v>0</v>
      </c>
      <c r="JS811" s="279">
        <f t="shared" si="894"/>
        <v>0</v>
      </c>
      <c r="JT811" s="323">
        <f>FISC!AM1117</f>
        <v>0</v>
      </c>
      <c r="JU811" s="327">
        <f t="shared" si="1320"/>
        <v>0</v>
      </c>
      <c r="JV811" s="279">
        <f t="shared" si="911"/>
        <v>0</v>
      </c>
      <c r="JW811" s="323">
        <f>FISC!AN1117</f>
        <v>0</v>
      </c>
      <c r="JX811" s="327">
        <f t="shared" si="1321"/>
        <v>0</v>
      </c>
      <c r="JY811" s="279">
        <f t="shared" si="895"/>
        <v>0</v>
      </c>
      <c r="JZ811" s="323">
        <f>FISC!AO1117</f>
        <v>0</v>
      </c>
      <c r="KA811" s="327">
        <f t="shared" si="1322"/>
        <v>0</v>
      </c>
      <c r="KB811" s="279">
        <f t="shared" si="1194"/>
        <v>0</v>
      </c>
      <c r="KC811" s="323">
        <f>FISC!AP1117</f>
        <v>0</v>
      </c>
      <c r="KD811" s="327">
        <f t="shared" si="1323"/>
        <v>0</v>
      </c>
      <c r="KE811" s="279">
        <f t="shared" si="1196"/>
        <v>0</v>
      </c>
      <c r="KF811" s="323">
        <f>FISC!AQ1117</f>
        <v>0</v>
      </c>
      <c r="KG811" s="327">
        <f t="shared" si="1324"/>
        <v>0</v>
      </c>
      <c r="KH811" s="279">
        <f t="shared" si="1198"/>
        <v>0</v>
      </c>
      <c r="KI811" s="323">
        <f>FISC!AR1117</f>
        <v>0</v>
      </c>
      <c r="KJ811" s="327">
        <f t="shared" si="1325"/>
        <v>0</v>
      </c>
      <c r="KK811" s="279">
        <f t="shared" si="1200"/>
        <v>0</v>
      </c>
      <c r="KL811" s="323">
        <f>FISC!AS1117</f>
        <v>0</v>
      </c>
      <c r="KM811" s="327">
        <f t="shared" si="1326"/>
        <v>0</v>
      </c>
      <c r="KN811" s="279">
        <f t="shared" si="1202"/>
        <v>0</v>
      </c>
      <c r="KO811" s="323">
        <f>FISC!AT1117</f>
        <v>0</v>
      </c>
      <c r="KU811" s="1370"/>
      <c r="KV811" s="960"/>
    </row>
    <row r="812" spans="1:314" s="454" customFormat="1">
      <c r="B812" s="1366"/>
      <c r="C812" s="1366"/>
      <c r="D812" s="1232" t="s">
        <v>503</v>
      </c>
      <c r="E812" s="654"/>
      <c r="F812" s="654"/>
      <c r="G812" s="654"/>
      <c r="H812" s="654"/>
      <c r="I812" s="654"/>
      <c r="J812" s="654"/>
      <c r="K812" s="654"/>
      <c r="L812" s="654"/>
      <c r="M812" s="654"/>
      <c r="N812" s="654"/>
      <c r="O812" s="654"/>
      <c r="P812" s="654"/>
      <c r="Q812" s="654"/>
      <c r="R812" s="654"/>
      <c r="S812" s="654"/>
      <c r="T812" s="654"/>
      <c r="U812" s="654"/>
      <c r="V812" s="654"/>
      <c r="W812" s="654"/>
      <c r="X812" s="654"/>
      <c r="Y812" s="654"/>
      <c r="Z812" s="654"/>
      <c r="AA812" s="654"/>
      <c r="AB812" s="654"/>
      <c r="AC812" s="654"/>
      <c r="AD812" s="654"/>
      <c r="AE812" s="654"/>
      <c r="AF812" s="654"/>
      <c r="AG812" s="654"/>
      <c r="AH812" s="654"/>
      <c r="AI812" s="654"/>
      <c r="AJ812" s="654"/>
      <c r="AK812" s="654"/>
      <c r="AL812" s="654"/>
      <c r="AM812" s="654"/>
      <c r="AN812" s="654"/>
      <c r="AO812" s="654"/>
      <c r="AP812" s="654"/>
      <c r="AQ812" s="654"/>
      <c r="AR812" s="654"/>
      <c r="AS812" s="654"/>
      <c r="AT812" s="654"/>
      <c r="AU812" s="654"/>
      <c r="AV812" s="654"/>
      <c r="AW812" s="654"/>
      <c r="AX812" s="654"/>
      <c r="AY812" s="654"/>
      <c r="AZ812" s="654"/>
      <c r="BA812" s="654"/>
      <c r="BB812" s="654"/>
      <c r="BC812" s="654"/>
      <c r="BD812" s="654"/>
      <c r="BE812" s="654"/>
      <c r="BF812" s="654"/>
      <c r="BG812" s="654"/>
      <c r="BH812" s="654"/>
      <c r="BI812" s="654"/>
      <c r="BJ812" s="654"/>
      <c r="BK812" s="654"/>
      <c r="BL812" s="654"/>
      <c r="BM812" s="654"/>
      <c r="BN812" s="654"/>
      <c r="BO812" s="654"/>
      <c r="BP812" s="654"/>
      <c r="BQ812" s="654"/>
      <c r="BR812" s="654"/>
      <c r="BS812" s="654"/>
      <c r="BT812" s="654"/>
      <c r="BU812" s="654"/>
      <c r="BV812" s="654"/>
      <c r="BW812" s="654"/>
      <c r="BX812" s="654"/>
      <c r="BY812" s="654"/>
      <c r="BZ812" s="654"/>
      <c r="CA812" s="654"/>
      <c r="CB812" s="654"/>
      <c r="CC812" s="654"/>
      <c r="CD812" s="1367"/>
      <c r="CE812" s="654">
        <f t="shared" ref="CE812:DJ812" si="1351">CE410</f>
        <v>0</v>
      </c>
      <c r="CF812" s="654">
        <f t="shared" si="1351"/>
        <v>0</v>
      </c>
      <c r="CG812" s="654">
        <f t="shared" si="1351"/>
        <v>0</v>
      </c>
      <c r="CH812" s="654">
        <f t="shared" si="1351"/>
        <v>0</v>
      </c>
      <c r="CI812" s="654">
        <f t="shared" si="1351"/>
        <v>0</v>
      </c>
      <c r="CJ812" s="654">
        <f t="shared" si="1351"/>
        <v>0</v>
      </c>
      <c r="CK812" s="654">
        <f t="shared" si="1351"/>
        <v>0</v>
      </c>
      <c r="CL812" s="654">
        <f t="shared" si="1351"/>
        <v>0</v>
      </c>
      <c r="CM812" s="654">
        <f t="shared" si="1351"/>
        <v>0</v>
      </c>
      <c r="CN812" s="654">
        <f t="shared" si="1351"/>
        <v>0</v>
      </c>
      <c r="CO812" s="654">
        <f t="shared" si="1351"/>
        <v>0</v>
      </c>
      <c r="CP812" s="1368">
        <f t="shared" si="1351"/>
        <v>0</v>
      </c>
      <c r="CQ812" s="654">
        <f t="shared" si="1351"/>
        <v>0</v>
      </c>
      <c r="CR812" s="654">
        <f t="shared" si="1351"/>
        <v>0</v>
      </c>
      <c r="CS812" s="654">
        <f t="shared" si="1351"/>
        <v>0</v>
      </c>
      <c r="CT812" s="654">
        <f t="shared" si="1351"/>
        <v>0</v>
      </c>
      <c r="CU812" s="654">
        <f t="shared" si="1351"/>
        <v>0</v>
      </c>
      <c r="CV812" s="654">
        <f t="shared" si="1351"/>
        <v>0</v>
      </c>
      <c r="CW812" s="654">
        <f t="shared" si="1351"/>
        <v>0</v>
      </c>
      <c r="CX812" s="654">
        <f t="shared" si="1351"/>
        <v>0</v>
      </c>
      <c r="CY812" s="654">
        <f t="shared" si="1351"/>
        <v>0</v>
      </c>
      <c r="CZ812" s="654">
        <f t="shared" si="1351"/>
        <v>0</v>
      </c>
      <c r="DA812" s="654">
        <f t="shared" si="1351"/>
        <v>0</v>
      </c>
      <c r="DB812" s="1369">
        <f t="shared" si="1351"/>
        <v>0</v>
      </c>
      <c r="DC812" s="654">
        <f t="shared" si="1351"/>
        <v>0</v>
      </c>
      <c r="DD812" s="654">
        <f t="shared" si="1351"/>
        <v>0</v>
      </c>
      <c r="DE812" s="654">
        <f t="shared" si="1351"/>
        <v>0</v>
      </c>
      <c r="DF812" s="654">
        <f t="shared" si="1351"/>
        <v>0</v>
      </c>
      <c r="DG812" s="654">
        <f t="shared" si="1351"/>
        <v>0</v>
      </c>
      <c r="DH812" s="654">
        <f t="shared" si="1351"/>
        <v>0</v>
      </c>
      <c r="DI812" s="654">
        <f t="shared" si="1351"/>
        <v>0</v>
      </c>
      <c r="DJ812" s="654">
        <f t="shared" si="1351"/>
        <v>0</v>
      </c>
      <c r="DK812" s="654">
        <f t="shared" ref="DK812:EP812" si="1352">DK410</f>
        <v>0</v>
      </c>
      <c r="DL812" s="654">
        <f t="shared" si="1352"/>
        <v>0</v>
      </c>
      <c r="DM812" s="654">
        <f t="shared" si="1352"/>
        <v>0</v>
      </c>
      <c r="DN812" s="1368">
        <f t="shared" si="1352"/>
        <v>0</v>
      </c>
      <c r="DO812" s="654">
        <f t="shared" si="1352"/>
        <v>0</v>
      </c>
      <c r="DP812" s="654">
        <f t="shared" si="1352"/>
        <v>0</v>
      </c>
      <c r="DQ812" s="654">
        <f t="shared" si="1352"/>
        <v>0</v>
      </c>
      <c r="DR812" s="654">
        <f t="shared" si="1352"/>
        <v>0</v>
      </c>
      <c r="DS812" s="654">
        <f t="shared" si="1352"/>
        <v>0</v>
      </c>
      <c r="DT812" s="654">
        <f t="shared" si="1352"/>
        <v>0</v>
      </c>
      <c r="DU812" s="654">
        <f t="shared" si="1352"/>
        <v>0</v>
      </c>
      <c r="DV812" s="654">
        <f t="shared" si="1352"/>
        <v>0</v>
      </c>
      <c r="DW812" s="654">
        <f t="shared" si="1352"/>
        <v>0</v>
      </c>
      <c r="DX812" s="654">
        <f t="shared" si="1352"/>
        <v>0</v>
      </c>
      <c r="DY812" s="654">
        <f t="shared" si="1352"/>
        <v>0</v>
      </c>
      <c r="DZ812" s="1368">
        <f t="shared" si="1352"/>
        <v>0</v>
      </c>
      <c r="EA812" s="654">
        <f t="shared" si="1352"/>
        <v>0</v>
      </c>
      <c r="EB812" s="654">
        <f t="shared" si="1352"/>
        <v>0</v>
      </c>
      <c r="EC812" s="654">
        <f t="shared" si="1352"/>
        <v>0</v>
      </c>
      <c r="ED812" s="654">
        <f t="shared" si="1352"/>
        <v>0</v>
      </c>
      <c r="EE812" s="654">
        <f t="shared" si="1352"/>
        <v>0</v>
      </c>
      <c r="EF812" s="654">
        <f t="shared" si="1352"/>
        <v>0</v>
      </c>
      <c r="EG812" s="654">
        <f t="shared" si="1352"/>
        <v>0</v>
      </c>
      <c r="EH812" s="654">
        <f t="shared" si="1352"/>
        <v>0</v>
      </c>
      <c r="EI812" s="654">
        <f t="shared" si="1352"/>
        <v>0</v>
      </c>
      <c r="EJ812" s="654">
        <f t="shared" si="1352"/>
        <v>0</v>
      </c>
      <c r="EK812" s="654">
        <f t="shared" si="1352"/>
        <v>0</v>
      </c>
      <c r="EL812" s="1368">
        <f t="shared" si="1352"/>
        <v>0</v>
      </c>
      <c r="EM812" s="654">
        <f t="shared" si="1352"/>
        <v>0</v>
      </c>
      <c r="EN812" s="654">
        <f t="shared" si="1352"/>
        <v>0</v>
      </c>
      <c r="EO812" s="654">
        <f t="shared" si="1352"/>
        <v>0</v>
      </c>
      <c r="EP812" s="654">
        <f t="shared" si="1352"/>
        <v>0</v>
      </c>
      <c r="EQ812" s="654">
        <f t="shared" ref="EQ812:FV812" si="1353">EQ410</f>
        <v>0</v>
      </c>
      <c r="ER812" s="654">
        <f t="shared" si="1353"/>
        <v>0</v>
      </c>
      <c r="ES812" s="654">
        <f t="shared" si="1353"/>
        <v>0</v>
      </c>
      <c r="ET812" s="654">
        <f t="shared" si="1353"/>
        <v>0</v>
      </c>
      <c r="EU812" s="654">
        <f t="shared" si="1353"/>
        <v>0</v>
      </c>
      <c r="EV812" s="654">
        <f t="shared" si="1353"/>
        <v>0</v>
      </c>
      <c r="EW812" s="654">
        <f t="shared" si="1353"/>
        <v>0</v>
      </c>
      <c r="EX812" s="1368">
        <f t="shared" si="1353"/>
        <v>0</v>
      </c>
      <c r="EY812" s="654">
        <f t="shared" si="1353"/>
        <v>0</v>
      </c>
      <c r="EZ812" s="654">
        <f t="shared" si="1353"/>
        <v>0</v>
      </c>
      <c r="FA812" s="654">
        <f t="shared" si="1353"/>
        <v>0</v>
      </c>
      <c r="FB812" s="654">
        <f t="shared" si="1353"/>
        <v>0</v>
      </c>
      <c r="FC812" s="654">
        <f t="shared" si="1353"/>
        <v>0</v>
      </c>
      <c r="FD812" s="654">
        <f t="shared" si="1353"/>
        <v>0</v>
      </c>
      <c r="FE812" s="654">
        <f t="shared" si="1353"/>
        <v>0</v>
      </c>
      <c r="FF812" s="654">
        <f t="shared" si="1353"/>
        <v>0</v>
      </c>
      <c r="FG812" s="654">
        <f t="shared" si="1353"/>
        <v>0</v>
      </c>
      <c r="FH812" s="654">
        <f t="shared" si="1353"/>
        <v>0</v>
      </c>
      <c r="FI812" s="654">
        <f t="shared" si="1353"/>
        <v>0</v>
      </c>
      <c r="FJ812" s="1368">
        <f t="shared" si="1353"/>
        <v>0</v>
      </c>
      <c r="FK812" s="654">
        <f t="shared" si="1353"/>
        <v>0</v>
      </c>
      <c r="FL812" s="654">
        <f t="shared" si="1353"/>
        <v>0</v>
      </c>
      <c r="FM812" s="654">
        <f t="shared" si="1353"/>
        <v>0</v>
      </c>
      <c r="FN812" s="654">
        <f t="shared" si="1353"/>
        <v>0</v>
      </c>
      <c r="FO812" s="654">
        <f t="shared" si="1353"/>
        <v>0</v>
      </c>
      <c r="FP812" s="654">
        <f t="shared" si="1353"/>
        <v>0</v>
      </c>
      <c r="FQ812" s="654">
        <f t="shared" si="1353"/>
        <v>0</v>
      </c>
      <c r="FR812" s="654">
        <f t="shared" si="1353"/>
        <v>0</v>
      </c>
      <c r="FS812" s="654">
        <f t="shared" si="1353"/>
        <v>0</v>
      </c>
      <c r="FT812" s="654">
        <f t="shared" si="1353"/>
        <v>0</v>
      </c>
      <c r="FU812" s="654">
        <f t="shared" si="1353"/>
        <v>0</v>
      </c>
      <c r="FV812" s="654">
        <f t="shared" si="1353"/>
        <v>0</v>
      </c>
      <c r="FW812" s="654">
        <v>0</v>
      </c>
      <c r="FX812" s="654">
        <v>0</v>
      </c>
      <c r="FY812" s="654">
        <v>0</v>
      </c>
      <c r="FZ812" s="654">
        <v>0</v>
      </c>
      <c r="GA812" s="654">
        <v>0</v>
      </c>
      <c r="GB812" s="654">
        <v>0</v>
      </c>
      <c r="GC812" s="654">
        <v>0</v>
      </c>
      <c r="GD812" s="654">
        <v>0</v>
      </c>
      <c r="GE812" s="654">
        <v>0</v>
      </c>
      <c r="GF812" s="654">
        <v>0</v>
      </c>
      <c r="GG812" s="654">
        <v>0</v>
      </c>
      <c r="GH812" s="654">
        <v>0</v>
      </c>
      <c r="GI812" s="654">
        <v>0</v>
      </c>
      <c r="GJ812" s="654">
        <v>0</v>
      </c>
      <c r="GK812" s="654">
        <v>0</v>
      </c>
      <c r="GL812" s="654">
        <v>0</v>
      </c>
      <c r="GM812" s="654">
        <v>0</v>
      </c>
      <c r="GN812" s="654">
        <v>0</v>
      </c>
      <c r="GO812" s="654">
        <v>0</v>
      </c>
      <c r="GP812" s="654">
        <v>0</v>
      </c>
      <c r="GQ812" s="654">
        <v>0</v>
      </c>
      <c r="GR812" s="654">
        <v>0</v>
      </c>
      <c r="GS812" s="654">
        <v>0</v>
      </c>
      <c r="GT812" s="654">
        <v>0</v>
      </c>
      <c r="GU812" s="654">
        <v>0</v>
      </c>
      <c r="GV812" s="654">
        <v>0</v>
      </c>
      <c r="GW812" s="654">
        <v>0</v>
      </c>
      <c r="GX812" s="654">
        <v>0</v>
      </c>
      <c r="GY812" s="654">
        <v>0</v>
      </c>
      <c r="GZ812" s="654">
        <v>0</v>
      </c>
      <c r="HA812" s="654">
        <v>0</v>
      </c>
      <c r="HB812" s="654">
        <v>0</v>
      </c>
      <c r="HC812" s="654">
        <v>0</v>
      </c>
      <c r="HD812" s="654">
        <v>0</v>
      </c>
      <c r="HE812" s="654">
        <v>0</v>
      </c>
      <c r="HF812" s="654">
        <v>0</v>
      </c>
      <c r="HG812" s="654">
        <v>0</v>
      </c>
      <c r="HH812" s="654">
        <v>0</v>
      </c>
      <c r="HI812" s="654">
        <v>0</v>
      </c>
      <c r="HJ812" s="654">
        <v>0</v>
      </c>
      <c r="HK812" s="654">
        <v>0</v>
      </c>
      <c r="HL812" s="654">
        <v>0</v>
      </c>
      <c r="HM812" s="654">
        <v>0</v>
      </c>
      <c r="HN812" s="654">
        <v>0</v>
      </c>
      <c r="HO812" s="654">
        <v>0</v>
      </c>
      <c r="HP812" s="654">
        <v>0</v>
      </c>
      <c r="HQ812" s="654">
        <v>0</v>
      </c>
      <c r="HR812" s="654">
        <v>0</v>
      </c>
      <c r="HS812" s="654">
        <v>0</v>
      </c>
      <c r="HT812" s="654">
        <v>0</v>
      </c>
      <c r="HU812" s="654">
        <v>0</v>
      </c>
      <c r="HV812" s="654">
        <v>0</v>
      </c>
      <c r="HW812" s="654">
        <v>0</v>
      </c>
      <c r="HX812" s="654">
        <v>0</v>
      </c>
      <c r="HY812" s="654"/>
      <c r="HZ812" s="1370"/>
      <c r="IA812" s="1232" t="s">
        <v>503</v>
      </c>
      <c r="IB812" s="284">
        <f t="shared" si="1262"/>
        <v>0</v>
      </c>
      <c r="IC812" s="279">
        <f t="shared" si="1263"/>
        <v>0</v>
      </c>
      <c r="ID812" s="323">
        <f t="shared" si="907"/>
        <v>0</v>
      </c>
      <c r="IE812" s="279">
        <f t="shared" si="1264"/>
        <v>0</v>
      </c>
      <c r="IF812" s="279">
        <f t="shared" si="1265"/>
        <v>0</v>
      </c>
      <c r="IG812" s="323">
        <f t="shared" si="880"/>
        <v>0</v>
      </c>
      <c r="IH812" s="284">
        <f t="shared" si="1266"/>
        <v>0</v>
      </c>
      <c r="II812" s="279">
        <f t="shared" si="1267"/>
        <v>0</v>
      </c>
      <c r="IJ812" s="323">
        <f t="shared" si="881"/>
        <v>0</v>
      </c>
      <c r="IK812" s="327">
        <f t="shared" si="1268"/>
        <v>0</v>
      </c>
      <c r="IL812" s="279">
        <f t="shared" si="1269"/>
        <v>0</v>
      </c>
      <c r="IM812" s="323">
        <f t="shared" si="882"/>
        <v>0</v>
      </c>
      <c r="IN812" s="279">
        <f t="shared" si="1270"/>
        <v>0</v>
      </c>
      <c r="IO812" s="279">
        <f t="shared" si="1271"/>
        <v>0</v>
      </c>
      <c r="IP812" s="323">
        <f t="shared" si="883"/>
        <v>0</v>
      </c>
      <c r="IQ812" s="327">
        <f t="shared" si="1272"/>
        <v>0</v>
      </c>
      <c r="IR812" s="327">
        <f t="shared" si="1273"/>
        <v>0</v>
      </c>
      <c r="IS812" s="323">
        <f t="shared" si="884"/>
        <v>0</v>
      </c>
      <c r="IT812" s="327">
        <f t="shared" si="1274"/>
        <v>0</v>
      </c>
      <c r="IU812" s="327">
        <f t="shared" si="1275"/>
        <v>0</v>
      </c>
      <c r="IV812" s="323">
        <f t="shared" si="885"/>
        <v>0</v>
      </c>
      <c r="IW812" s="327">
        <f t="shared" si="1255"/>
        <v>0</v>
      </c>
      <c r="IX812" s="327">
        <f t="shared" si="1246"/>
        <v>0</v>
      </c>
      <c r="IY812" s="323">
        <f>IW812+IX812</f>
        <v>0</v>
      </c>
      <c r="IZ812" s="327">
        <f t="shared" si="1247"/>
        <v>0</v>
      </c>
      <c r="JA812" s="327">
        <f t="shared" si="1248"/>
        <v>0</v>
      </c>
      <c r="JB812" s="323">
        <f t="shared" si="887"/>
        <v>0</v>
      </c>
      <c r="JC812" s="327">
        <f t="shared" si="1249"/>
        <v>0</v>
      </c>
      <c r="JD812" s="327">
        <f t="shared" si="1250"/>
        <v>0</v>
      </c>
      <c r="JE812" s="323">
        <f t="shared" si="888"/>
        <v>0</v>
      </c>
      <c r="JF812" s="327">
        <f t="shared" si="1256"/>
        <v>0</v>
      </c>
      <c r="JG812" s="327">
        <f t="shared" si="918"/>
        <v>0</v>
      </c>
      <c r="JH812" s="323">
        <f t="shared" si="889"/>
        <v>0</v>
      </c>
      <c r="JI812" s="327">
        <f t="shared" si="909"/>
        <v>0</v>
      </c>
      <c r="JJ812" s="327">
        <f t="shared" si="910"/>
        <v>0</v>
      </c>
      <c r="JK812" s="323">
        <f t="shared" si="890"/>
        <v>0</v>
      </c>
      <c r="JL812" s="327">
        <f t="shared" si="891"/>
        <v>0</v>
      </c>
      <c r="JM812" s="279">
        <f t="shared" si="892"/>
        <v>0</v>
      </c>
      <c r="JN812" s="323">
        <f>FISC!AK1118</f>
        <v>0</v>
      </c>
      <c r="JO812" s="327">
        <f t="shared" si="1318"/>
        <v>0</v>
      </c>
      <c r="JP812" s="279">
        <f t="shared" si="893"/>
        <v>0</v>
      </c>
      <c r="JQ812" s="323">
        <f>FISC!AL1118</f>
        <v>0</v>
      </c>
      <c r="JR812" s="327">
        <f t="shared" si="1319"/>
        <v>0</v>
      </c>
      <c r="JS812" s="279">
        <f t="shared" si="894"/>
        <v>0</v>
      </c>
      <c r="JT812" s="323">
        <f>FISC!AM1118</f>
        <v>0</v>
      </c>
      <c r="JU812" s="327">
        <f t="shared" si="1320"/>
        <v>0</v>
      </c>
      <c r="JV812" s="279">
        <f t="shared" si="911"/>
        <v>0</v>
      </c>
      <c r="JW812" s="323">
        <f>FISC!AN1118</f>
        <v>0</v>
      </c>
      <c r="JX812" s="327">
        <f t="shared" si="1321"/>
        <v>0</v>
      </c>
      <c r="JY812" s="279">
        <f t="shared" si="895"/>
        <v>0</v>
      </c>
      <c r="JZ812" s="323">
        <f>FISC!AO1118</f>
        <v>0</v>
      </c>
      <c r="KA812" s="327">
        <f t="shared" si="1322"/>
        <v>0</v>
      </c>
      <c r="KB812" s="279">
        <f t="shared" si="1194"/>
        <v>0</v>
      </c>
      <c r="KC812" s="323">
        <f>FISC!AP1118</f>
        <v>0</v>
      </c>
      <c r="KD812" s="327">
        <f t="shared" si="1323"/>
        <v>0</v>
      </c>
      <c r="KE812" s="279">
        <f t="shared" si="1196"/>
        <v>0</v>
      </c>
      <c r="KF812" s="323">
        <f>FISC!AQ1118</f>
        <v>0</v>
      </c>
      <c r="KG812" s="327">
        <f t="shared" si="1324"/>
        <v>0</v>
      </c>
      <c r="KH812" s="279">
        <f t="shared" si="1198"/>
        <v>0</v>
      </c>
      <c r="KI812" s="323">
        <f>FISC!AR1118</f>
        <v>0</v>
      </c>
      <c r="KJ812" s="327">
        <f t="shared" si="1325"/>
        <v>0</v>
      </c>
      <c r="KK812" s="279">
        <f t="shared" si="1200"/>
        <v>0</v>
      </c>
      <c r="KL812" s="323">
        <f>FISC!AS1118</f>
        <v>0</v>
      </c>
      <c r="KM812" s="327">
        <f t="shared" si="1326"/>
        <v>0</v>
      </c>
      <c r="KN812" s="279">
        <f t="shared" si="1202"/>
        <v>0</v>
      </c>
      <c r="KO812" s="323">
        <f>FISC!AT1118</f>
        <v>0</v>
      </c>
      <c r="KU812" s="1370"/>
      <c r="KV812" s="960"/>
    </row>
    <row r="813" spans="1:314">
      <c r="A813" s="279"/>
      <c r="B813" s="96" t="s">
        <v>338</v>
      </c>
      <c r="D813" s="331" t="s">
        <v>504</v>
      </c>
      <c r="E813" s="323">
        <f t="shared" ref="E813:BP813" si="1354">E814+E818+E822</f>
        <v>0</v>
      </c>
      <c r="F813" s="323">
        <f t="shared" si="1354"/>
        <v>0</v>
      </c>
      <c r="G813" s="323">
        <f t="shared" si="1354"/>
        <v>0</v>
      </c>
      <c r="H813" s="323">
        <f t="shared" si="1354"/>
        <v>0</v>
      </c>
      <c r="I813" s="323">
        <f t="shared" si="1354"/>
        <v>0</v>
      </c>
      <c r="J813" s="323">
        <f t="shared" si="1354"/>
        <v>0</v>
      </c>
      <c r="K813" s="323">
        <f t="shared" si="1354"/>
        <v>0</v>
      </c>
      <c r="L813" s="323">
        <f t="shared" si="1354"/>
        <v>0</v>
      </c>
      <c r="M813" s="323">
        <f t="shared" si="1354"/>
        <v>0</v>
      </c>
      <c r="N813" s="323">
        <f t="shared" si="1354"/>
        <v>0</v>
      </c>
      <c r="O813" s="323">
        <f t="shared" si="1354"/>
        <v>0</v>
      </c>
      <c r="P813" s="323">
        <f t="shared" si="1354"/>
        <v>0</v>
      </c>
      <c r="Q813" s="323">
        <f t="shared" si="1354"/>
        <v>0</v>
      </c>
      <c r="R813" s="323">
        <f t="shared" si="1354"/>
        <v>0</v>
      </c>
      <c r="S813" s="323">
        <f t="shared" si="1354"/>
        <v>0</v>
      </c>
      <c r="T813" s="323">
        <f t="shared" si="1354"/>
        <v>0</v>
      </c>
      <c r="U813" s="323">
        <f t="shared" si="1354"/>
        <v>0</v>
      </c>
      <c r="V813" s="323">
        <f t="shared" si="1354"/>
        <v>0</v>
      </c>
      <c r="W813" s="323">
        <f t="shared" si="1354"/>
        <v>0</v>
      </c>
      <c r="X813" s="323">
        <f t="shared" si="1354"/>
        <v>0</v>
      </c>
      <c r="Y813" s="323">
        <f t="shared" si="1354"/>
        <v>0</v>
      </c>
      <c r="Z813" s="323">
        <f t="shared" si="1354"/>
        <v>0</v>
      </c>
      <c r="AA813" s="323">
        <f t="shared" si="1354"/>
        <v>0</v>
      </c>
      <c r="AB813" s="323">
        <f t="shared" si="1354"/>
        <v>0</v>
      </c>
      <c r="AC813" s="323">
        <f t="shared" si="1354"/>
        <v>0</v>
      </c>
      <c r="AD813" s="323">
        <f t="shared" si="1354"/>
        <v>0</v>
      </c>
      <c r="AE813" s="323">
        <f t="shared" si="1354"/>
        <v>0</v>
      </c>
      <c r="AF813" s="323">
        <f t="shared" si="1354"/>
        <v>0</v>
      </c>
      <c r="AG813" s="323">
        <f t="shared" si="1354"/>
        <v>0</v>
      </c>
      <c r="AH813" s="323">
        <f t="shared" si="1354"/>
        <v>0</v>
      </c>
      <c r="AI813" s="323">
        <f t="shared" si="1354"/>
        <v>0</v>
      </c>
      <c r="AJ813" s="323">
        <f t="shared" si="1354"/>
        <v>0</v>
      </c>
      <c r="AK813" s="323">
        <f t="shared" si="1354"/>
        <v>0</v>
      </c>
      <c r="AL813" s="323">
        <f t="shared" si="1354"/>
        <v>0</v>
      </c>
      <c r="AM813" s="323">
        <f t="shared" si="1354"/>
        <v>0</v>
      </c>
      <c r="AN813" s="323">
        <f t="shared" si="1354"/>
        <v>0</v>
      </c>
      <c r="AO813" s="323">
        <f t="shared" si="1354"/>
        <v>21.649201587</v>
      </c>
      <c r="AP813" s="323">
        <f t="shared" si="1354"/>
        <v>0</v>
      </c>
      <c r="AQ813" s="323">
        <f t="shared" si="1354"/>
        <v>8.0213442799999992</v>
      </c>
      <c r="AR813" s="323">
        <f t="shared" si="1354"/>
        <v>12.581843562</v>
      </c>
      <c r="AS813" s="323">
        <f t="shared" si="1354"/>
        <v>9.056692696999999</v>
      </c>
      <c r="AT813" s="323">
        <f t="shared" si="1354"/>
        <v>97.265289525</v>
      </c>
      <c r="AU813" s="323">
        <f t="shared" si="1354"/>
        <v>14.359943473818106</v>
      </c>
      <c r="AV813" s="323">
        <f t="shared" si="1354"/>
        <v>7.232509424266377</v>
      </c>
      <c r="AW813" s="323">
        <f t="shared" si="1354"/>
        <v>59.516871442659337</v>
      </c>
      <c r="AX813" s="323">
        <f t="shared" si="1354"/>
        <v>33.411417465369809</v>
      </c>
      <c r="AY813" s="323">
        <f t="shared" si="1354"/>
        <v>16.044825288505645</v>
      </c>
      <c r="AZ813" s="323">
        <f t="shared" si="1354"/>
        <v>109.82659987000741</v>
      </c>
      <c r="BA813" s="323">
        <f t="shared" si="1354"/>
        <v>8.8019992640933733</v>
      </c>
      <c r="BB813" s="323">
        <f t="shared" si="1354"/>
        <v>10.577286439512136</v>
      </c>
      <c r="BC813" s="323">
        <f t="shared" si="1354"/>
        <v>8.244866279878206</v>
      </c>
      <c r="BD813" s="323">
        <f t="shared" si="1354"/>
        <v>75.35028321798481</v>
      </c>
      <c r="BE813" s="323">
        <f t="shared" si="1354"/>
        <v>9.7280125404380176</v>
      </c>
      <c r="BF813" s="323">
        <f t="shared" si="1354"/>
        <v>27.298432574456768</v>
      </c>
      <c r="BG813" s="323">
        <f t="shared" si="1354"/>
        <v>49.565736672181224</v>
      </c>
      <c r="BH813" s="323">
        <f t="shared" si="1354"/>
        <v>45.808815921452073</v>
      </c>
      <c r="BI813" s="323">
        <f t="shared" si="1354"/>
        <v>44.04422361746596</v>
      </c>
      <c r="BJ813" s="323">
        <f t="shared" si="1354"/>
        <v>86.384493198957969</v>
      </c>
      <c r="BK813" s="323">
        <f t="shared" si="1354"/>
        <v>18.147950790476774</v>
      </c>
      <c r="BL813" s="323">
        <f t="shared" si="1354"/>
        <v>86.604788187888346</v>
      </c>
      <c r="BM813" s="323">
        <f t="shared" si="1354"/>
        <v>6.0136036638934369</v>
      </c>
      <c r="BN813" s="323">
        <f t="shared" si="1354"/>
        <v>11.641648074884673</v>
      </c>
      <c r="BO813" s="323">
        <f t="shared" si="1354"/>
        <v>16.867940131778187</v>
      </c>
      <c r="BP813" s="323">
        <f t="shared" si="1354"/>
        <v>5.4282211105678257</v>
      </c>
      <c r="BQ813" s="323">
        <f t="shared" ref="BQ813:EB813" si="1355">BQ814+BQ818+BQ822</f>
        <v>4.8722007713956961</v>
      </c>
      <c r="BR813" s="323">
        <f t="shared" si="1355"/>
        <v>82.006366405057818</v>
      </c>
      <c r="BS813" s="323">
        <f t="shared" si="1355"/>
        <v>40.803880088389626</v>
      </c>
      <c r="BT813" s="323">
        <f t="shared" si="1355"/>
        <v>14.813409459931112</v>
      </c>
      <c r="BU813" s="323">
        <f t="shared" si="1355"/>
        <v>22.770009261522112</v>
      </c>
      <c r="BV813" s="323">
        <f t="shared" si="1355"/>
        <v>48.610405375930306</v>
      </c>
      <c r="BW813" s="323">
        <f t="shared" si="1355"/>
        <v>41.538890177774903</v>
      </c>
      <c r="BX813" s="323">
        <f t="shared" si="1355"/>
        <v>32.076902483857872</v>
      </c>
      <c r="BY813" s="323">
        <f t="shared" si="1355"/>
        <v>6.4084407417666696E-6</v>
      </c>
      <c r="BZ813" s="323">
        <f t="shared" si="1355"/>
        <v>3.9502690426215792</v>
      </c>
      <c r="CA813" s="323">
        <f t="shared" si="1355"/>
        <v>21.932064366094338</v>
      </c>
      <c r="CB813" s="323">
        <f t="shared" si="1355"/>
        <v>38.051989401949243</v>
      </c>
      <c r="CC813" s="323">
        <f t="shared" si="1355"/>
        <v>50.358811871651319</v>
      </c>
      <c r="CD813" s="329">
        <f t="shared" si="1355"/>
        <v>43.183925704585832</v>
      </c>
      <c r="CE813" s="323">
        <f t="shared" si="1355"/>
        <v>31.294496220706698</v>
      </c>
      <c r="CF813" s="323">
        <f t="shared" si="1355"/>
        <v>38.849477566021811</v>
      </c>
      <c r="CG813" s="323">
        <f t="shared" si="1355"/>
        <v>76.031701622894502</v>
      </c>
      <c r="CH813" s="323">
        <f t="shared" si="1355"/>
        <v>48.3828124680496</v>
      </c>
      <c r="CI813" s="323">
        <f t="shared" si="1355"/>
        <v>36.012732783613451</v>
      </c>
      <c r="CJ813" s="323">
        <f t="shared" si="1355"/>
        <v>62.84400919591495</v>
      </c>
      <c r="CK813" s="323">
        <f t="shared" si="1355"/>
        <v>22.369328398681304</v>
      </c>
      <c r="CL813" s="323">
        <f t="shared" si="1355"/>
        <v>15.370313869472696</v>
      </c>
      <c r="CM813" s="323">
        <f t="shared" si="1355"/>
        <v>15.260357731845993</v>
      </c>
      <c r="CN813" s="323">
        <f t="shared" si="1355"/>
        <v>60.223322623538365</v>
      </c>
      <c r="CO813" s="323">
        <f t="shared" si="1355"/>
        <v>36.611849603410164</v>
      </c>
      <c r="CP813" s="325">
        <f t="shared" si="1355"/>
        <v>31.066255138470598</v>
      </c>
      <c r="CQ813" s="323">
        <f t="shared" si="1355"/>
        <v>34.448433302576923</v>
      </c>
      <c r="CR813" s="323">
        <f t="shared" si="1355"/>
        <v>20.63533699242986</v>
      </c>
      <c r="CS813" s="323">
        <f t="shared" si="1355"/>
        <v>32.087946900292721</v>
      </c>
      <c r="CT813" s="323">
        <f t="shared" si="1355"/>
        <v>27.612034403931105</v>
      </c>
      <c r="CU813" s="323">
        <f t="shared" si="1355"/>
        <v>37.436683176818299</v>
      </c>
      <c r="CV813" s="323">
        <f t="shared" si="1355"/>
        <v>88.698945014422492</v>
      </c>
      <c r="CW813" s="323">
        <f t="shared" si="1355"/>
        <v>19.204165503062438</v>
      </c>
      <c r="CX813" s="323">
        <f t="shared" si="1355"/>
        <v>20.746947771968358</v>
      </c>
      <c r="CY813" s="323">
        <f t="shared" si="1355"/>
        <v>35.869115706465713</v>
      </c>
      <c r="CZ813" s="323">
        <f t="shared" si="1355"/>
        <v>25.985062782443698</v>
      </c>
      <c r="DA813" s="323">
        <f t="shared" si="1355"/>
        <v>51.924950351204735</v>
      </c>
      <c r="DB813" s="1269">
        <f t="shared" si="1355"/>
        <v>21.277785089683185</v>
      </c>
      <c r="DC813" s="323">
        <f t="shared" si="1355"/>
        <v>31.952444359087636</v>
      </c>
      <c r="DD813" s="323">
        <f t="shared" si="1355"/>
        <v>25.176932769502265</v>
      </c>
      <c r="DE813" s="323">
        <f t="shared" si="1355"/>
        <v>37.733474002093303</v>
      </c>
      <c r="DF813" s="323">
        <f t="shared" si="1355"/>
        <v>10.630564396348262</v>
      </c>
      <c r="DG813" s="323">
        <f t="shared" si="1355"/>
        <v>42.242365627815268</v>
      </c>
      <c r="DH813" s="323">
        <f t="shared" si="1355"/>
        <v>51.857928151955861</v>
      </c>
      <c r="DI813" s="323">
        <f t="shared" si="1355"/>
        <v>10.091643304932198</v>
      </c>
      <c r="DJ813" s="323">
        <f t="shared" si="1355"/>
        <v>14.552678703328509</v>
      </c>
      <c r="DK813" s="323">
        <f t="shared" si="1355"/>
        <v>15.303282783798712</v>
      </c>
      <c r="DL813" s="323">
        <f t="shared" si="1355"/>
        <v>65.287056068877121</v>
      </c>
      <c r="DM813" s="323">
        <f t="shared" si="1355"/>
        <v>19.525803094469907</v>
      </c>
      <c r="DN813" s="325">
        <f t="shared" si="1355"/>
        <v>49.359432531340339</v>
      </c>
      <c r="DO813" s="323">
        <f t="shared" si="1355"/>
        <v>33.422444226957452</v>
      </c>
      <c r="DP813" s="323">
        <f t="shared" si="1355"/>
        <v>18.29263575142069</v>
      </c>
      <c r="DQ813" s="323">
        <f t="shared" si="1355"/>
        <v>12.474113623446415</v>
      </c>
      <c r="DR813" s="323">
        <f t="shared" si="1355"/>
        <v>3.5377734003285308</v>
      </c>
      <c r="DS813" s="323">
        <f t="shared" si="1355"/>
        <v>31.35309165422964</v>
      </c>
      <c r="DT813" s="323">
        <f t="shared" si="1355"/>
        <v>66.135865509090536</v>
      </c>
      <c r="DU813" s="323">
        <f t="shared" si="1355"/>
        <v>26.913274467305172</v>
      </c>
      <c r="DV813" s="323">
        <f t="shared" si="1355"/>
        <v>15.756937633074747</v>
      </c>
      <c r="DW813" s="323">
        <f t="shared" si="1355"/>
        <v>20.479289792514571</v>
      </c>
      <c r="DX813" s="323">
        <f t="shared" si="1355"/>
        <v>18.128668872949451</v>
      </c>
      <c r="DY813" s="323">
        <f t="shared" si="1355"/>
        <v>11.651588312578538</v>
      </c>
      <c r="DZ813" s="325">
        <f t="shared" si="1355"/>
        <v>72.036400702622785</v>
      </c>
      <c r="EA813" s="323">
        <f t="shared" si="1355"/>
        <v>34.374027905691761</v>
      </c>
      <c r="EB813" s="323">
        <f t="shared" si="1355"/>
        <v>19.935162580397741</v>
      </c>
      <c r="EC813" s="323">
        <f t="shared" ref="EC813:FP813" si="1356">EC814+EC818+EC822</f>
        <v>25.342666027910504</v>
      </c>
      <c r="ED813" s="323">
        <f t="shared" si="1356"/>
        <v>23.34687522806593</v>
      </c>
      <c r="EE813" s="323">
        <f t="shared" si="1356"/>
        <v>28.348180612750795</v>
      </c>
      <c r="EF813" s="323">
        <f t="shared" si="1356"/>
        <v>63.428379327498348</v>
      </c>
      <c r="EG813" s="323">
        <f t="shared" si="1356"/>
        <v>47.224657854775174</v>
      </c>
      <c r="EH813" s="323">
        <f t="shared" si="1356"/>
        <v>16.080746444490156</v>
      </c>
      <c r="EI813" s="323">
        <f t="shared" si="1356"/>
        <v>37.312599014628738</v>
      </c>
      <c r="EJ813" s="323">
        <f t="shared" si="1356"/>
        <v>24.48871988855079</v>
      </c>
      <c r="EK813" s="323">
        <f t="shared" si="1356"/>
        <v>8.1360103973705851</v>
      </c>
      <c r="EL813" s="325">
        <f t="shared" si="1356"/>
        <v>30.89065158657996</v>
      </c>
      <c r="EM813" s="323">
        <f t="shared" si="1356"/>
        <v>23.923055191511224</v>
      </c>
      <c r="EN813" s="323">
        <f t="shared" si="1356"/>
        <v>33.012554116012367</v>
      </c>
      <c r="EO813" s="323">
        <f t="shared" si="1356"/>
        <v>32.159939741700256</v>
      </c>
      <c r="EP813" s="323">
        <f t="shared" si="1356"/>
        <v>25.713574178749187</v>
      </c>
      <c r="EQ813" s="323">
        <f t="shared" si="1356"/>
        <v>8.589162902411001</v>
      </c>
      <c r="ER813" s="323">
        <f t="shared" si="1356"/>
        <v>111.15390138590099</v>
      </c>
      <c r="ES813" s="323">
        <f t="shared" si="1356"/>
        <v>25.804821157746737</v>
      </c>
      <c r="ET813" s="323">
        <f t="shared" si="1356"/>
        <v>40.261564226468217</v>
      </c>
      <c r="EU813" s="323">
        <f t="shared" si="1356"/>
        <v>26.416724477371513</v>
      </c>
      <c r="EV813" s="323">
        <f t="shared" si="1356"/>
        <v>31.9069752635531</v>
      </c>
      <c r="EW813" s="323">
        <f t="shared" si="1356"/>
        <v>9.2735813359162655</v>
      </c>
      <c r="EX813" s="325">
        <f t="shared" si="1356"/>
        <v>26.53420387887488</v>
      </c>
      <c r="EY813" s="323">
        <f t="shared" si="1356"/>
        <v>32.241833855093404</v>
      </c>
      <c r="EZ813" s="323">
        <f t="shared" si="1356"/>
        <v>19.120340874614172</v>
      </c>
      <c r="FA813" s="323">
        <f t="shared" si="1356"/>
        <v>42.084767594036236</v>
      </c>
      <c r="FB813" s="323">
        <f t="shared" si="1356"/>
        <v>17.141012261463228</v>
      </c>
      <c r="FC813" s="323">
        <f t="shared" si="1356"/>
        <v>28.591621457094867</v>
      </c>
      <c r="FD813" s="323">
        <f t="shared" si="1356"/>
        <v>81.290194267614766</v>
      </c>
      <c r="FE813" s="323">
        <f t="shared" si="1356"/>
        <v>18.57477772208745</v>
      </c>
      <c r="FF813" s="323">
        <f t="shared" si="1356"/>
        <v>40.829624657206764</v>
      </c>
      <c r="FG813" s="323">
        <f t="shared" si="1356"/>
        <v>23.485399915408056</v>
      </c>
      <c r="FH813" s="323">
        <f t="shared" si="1356"/>
        <v>43.434433253070921</v>
      </c>
      <c r="FI813" s="323">
        <f t="shared" si="1356"/>
        <v>25.711020665681996</v>
      </c>
      <c r="FJ813" s="325">
        <f t="shared" si="1356"/>
        <v>65.053378120495665</v>
      </c>
      <c r="FK813" s="323">
        <f t="shared" si="1356"/>
        <v>18.016468952481294</v>
      </c>
      <c r="FL813" s="323">
        <f t="shared" si="1356"/>
        <v>22.038160849417618</v>
      </c>
      <c r="FM813" s="323">
        <f t="shared" si="1356"/>
        <v>85.114840036842878</v>
      </c>
      <c r="FN813" s="323">
        <f t="shared" si="1356"/>
        <v>55.795753342564119</v>
      </c>
      <c r="FO813" s="323">
        <f t="shared" si="1356"/>
        <v>24.596989962932081</v>
      </c>
      <c r="FP813" s="323">
        <f t="shared" si="1356"/>
        <v>52.943284085381222</v>
      </c>
      <c r="FQ813" s="323">
        <f t="shared" ref="FQ813:FV813" si="1357">FQ814+FQ818+FQ822</f>
        <v>26.0973223375467</v>
      </c>
      <c r="FR813" s="323">
        <f t="shared" si="1357"/>
        <v>26.0973223375467</v>
      </c>
      <c r="FS813" s="323">
        <f t="shared" si="1357"/>
        <v>101.97518335178538</v>
      </c>
      <c r="FT813" s="323">
        <f t="shared" si="1357"/>
        <v>40.092255082663847</v>
      </c>
      <c r="FU813" s="323">
        <f t="shared" si="1357"/>
        <v>26.540783368213397</v>
      </c>
      <c r="FV813" s="323">
        <f t="shared" si="1357"/>
        <v>81.779804093706915</v>
      </c>
      <c r="FW813" s="323">
        <v>25.536817192198459</v>
      </c>
      <c r="FX813" s="323">
        <v>68.769149023021257</v>
      </c>
      <c r="FY813" s="323">
        <v>34.1409768277097</v>
      </c>
      <c r="FZ813" s="323">
        <v>51.587092125766084</v>
      </c>
      <c r="GA813" s="323">
        <v>54.156510223755291</v>
      </c>
      <c r="GB813" s="323">
        <v>64.522391058925933</v>
      </c>
      <c r="GC813" s="323">
        <v>51.379938509455535</v>
      </c>
      <c r="GD813" s="323">
        <v>32.894609653005027</v>
      </c>
      <c r="GE813" s="323">
        <v>127.61318963777623</v>
      </c>
      <c r="GF813" s="323">
        <v>64.638842304396093</v>
      </c>
      <c r="GG813" s="323">
        <v>211.40135803759989</v>
      </c>
      <c r="GH813" s="323">
        <v>37.543484832671957</v>
      </c>
      <c r="GI813" s="323">
        <f t="shared" ref="GI813:GN813" si="1358">GI814+GI818+GI822</f>
        <v>62.74872643707684</v>
      </c>
      <c r="GJ813" s="323">
        <f t="shared" si="1358"/>
        <v>33.996989547576973</v>
      </c>
      <c r="GK813" s="323">
        <f t="shared" si="1358"/>
        <v>31.0326441574929</v>
      </c>
      <c r="GL813" s="323">
        <f t="shared" si="1358"/>
        <v>54.975020401665994</v>
      </c>
      <c r="GM813" s="323">
        <f t="shared" si="1358"/>
        <v>31.0326441574929</v>
      </c>
      <c r="GN813" s="323">
        <f t="shared" si="1358"/>
        <v>58.862560093245818</v>
      </c>
      <c r="GO813" s="323">
        <f t="shared" ref="GO813:HR813" si="1359">GO814+GO818+GO822</f>
        <v>36.823556696673975</v>
      </c>
      <c r="GP813" s="323">
        <f t="shared" si="1359"/>
        <v>35.848173299673974</v>
      </c>
      <c r="GQ813" s="323">
        <f t="shared" si="1359"/>
        <v>35.848173299673974</v>
      </c>
      <c r="GR813" s="323">
        <f t="shared" si="1359"/>
        <v>211.7847689805443</v>
      </c>
      <c r="GS813" s="323">
        <f t="shared" si="1359"/>
        <v>47.861229932689689</v>
      </c>
      <c r="GT813" s="323">
        <f t="shared" si="1359"/>
        <v>70.492758751144535</v>
      </c>
      <c r="GU813" s="323">
        <f t="shared" si="1359"/>
        <v>34.381813544500368</v>
      </c>
      <c r="GV813" s="323">
        <f t="shared" si="1359"/>
        <v>9.7639445017651276</v>
      </c>
      <c r="GW813" s="323">
        <f t="shared" si="1359"/>
        <v>127.49641382185916</v>
      </c>
      <c r="GX813" s="323">
        <f t="shared" si="1359"/>
        <v>14.899181219072448</v>
      </c>
      <c r="GY813" s="323">
        <f t="shared" si="1359"/>
        <v>22.534442006360759</v>
      </c>
      <c r="GZ813" s="323">
        <f t="shared" si="1359"/>
        <v>125.2904778409454</v>
      </c>
      <c r="HA813" s="323">
        <f t="shared" si="1359"/>
        <v>14.411668654781918</v>
      </c>
      <c r="HB813" s="323">
        <f t="shared" si="1359"/>
        <v>0</v>
      </c>
      <c r="HC813" s="323">
        <f t="shared" si="1359"/>
        <v>135.58406579948007</v>
      </c>
      <c r="HD813" s="323">
        <f t="shared" si="1359"/>
        <v>29.529508718633497</v>
      </c>
      <c r="HE813" s="323">
        <f t="shared" si="1359"/>
        <v>91.100709918904002</v>
      </c>
      <c r="HF813" s="323">
        <f t="shared" si="1359"/>
        <v>152.79918350532938</v>
      </c>
      <c r="HG813" s="323">
        <f t="shared" si="1359"/>
        <v>36.550565428489207</v>
      </c>
      <c r="HH813" s="323">
        <f t="shared" si="1359"/>
        <v>0</v>
      </c>
      <c r="HI813" s="323">
        <f t="shared" si="1359"/>
        <v>121.5161496827613</v>
      </c>
      <c r="HJ813" s="323">
        <f t="shared" si="1359"/>
        <v>34.237850121589396</v>
      </c>
      <c r="HK813" s="323">
        <f t="shared" si="1359"/>
        <v>6.9469754804080805</v>
      </c>
      <c r="HL813" s="323">
        <f t="shared" si="1359"/>
        <v>163.71812133269415</v>
      </c>
      <c r="HM813" s="323">
        <f t="shared" si="1359"/>
        <v>14.90240277279772</v>
      </c>
      <c r="HN813" s="323">
        <f t="shared" si="1359"/>
        <v>0</v>
      </c>
      <c r="HO813" s="323">
        <f t="shared" si="1359"/>
        <v>103.08538457683022</v>
      </c>
      <c r="HP813" s="323">
        <f t="shared" si="1359"/>
        <v>0</v>
      </c>
      <c r="HQ813" s="323">
        <f t="shared" si="1359"/>
        <v>6.5565700777080353</v>
      </c>
      <c r="HR813" s="323">
        <f t="shared" si="1359"/>
        <v>127.07845223580055</v>
      </c>
      <c r="HS813" s="323">
        <f t="shared" ref="HS813:HX813" si="1360">HS814+HS818+HS822</f>
        <v>29.246894488254931</v>
      </c>
      <c r="HT813" s="323">
        <f t="shared" si="1360"/>
        <v>0</v>
      </c>
      <c r="HU813" s="323">
        <f t="shared" si="1360"/>
        <v>111.16250615829921</v>
      </c>
      <c r="HV813" s="323">
        <f t="shared" si="1360"/>
        <v>14.001812152559998</v>
      </c>
      <c r="HW813" s="323">
        <f t="shared" si="1360"/>
        <v>0</v>
      </c>
      <c r="HX813" s="323">
        <f t="shared" si="1360"/>
        <v>165.68198319561654</v>
      </c>
      <c r="HY813" s="323"/>
      <c r="HZ813" s="326"/>
      <c r="IA813" s="331" t="s">
        <v>504</v>
      </c>
      <c r="IB813" s="284">
        <f t="shared" si="1262"/>
        <v>293.41522985720098</v>
      </c>
      <c r="IC813" s="279">
        <f t="shared" si="1263"/>
        <v>180.90142736541915</v>
      </c>
      <c r="ID813" s="323">
        <f t="shared" si="907"/>
        <v>474.31665722262017</v>
      </c>
      <c r="IE813" s="279">
        <f t="shared" si="1264"/>
        <v>240.9193797904714</v>
      </c>
      <c r="IF813" s="279">
        <f t="shared" si="1265"/>
        <v>175.00802720482812</v>
      </c>
      <c r="IG813" s="323">
        <f t="shared" si="880"/>
        <v>415.92740699529952</v>
      </c>
      <c r="IH813" s="284">
        <f t="shared" si="1266"/>
        <v>199.59370930680259</v>
      </c>
      <c r="II813" s="279">
        <f t="shared" si="1267"/>
        <v>174.1198964867468</v>
      </c>
      <c r="IJ813" s="323">
        <f t="shared" si="881"/>
        <v>373.71360579354939</v>
      </c>
      <c r="IK813" s="327">
        <f t="shared" si="1268"/>
        <v>165.21592416547327</v>
      </c>
      <c r="IL813" s="279">
        <f t="shared" si="1269"/>
        <v>164.96615978104526</v>
      </c>
      <c r="IM813" s="323">
        <f t="shared" si="882"/>
        <v>330.18208394651856</v>
      </c>
      <c r="IN813" s="279">
        <f t="shared" si="1270"/>
        <v>194.77529168231507</v>
      </c>
      <c r="IO813" s="279">
        <f t="shared" si="1271"/>
        <v>164.1333851863954</v>
      </c>
      <c r="IP813" s="323">
        <f t="shared" si="883"/>
        <v>358.90867686871047</v>
      </c>
      <c r="IQ813" s="327">
        <f t="shared" si="1272"/>
        <v>234.55218751628502</v>
      </c>
      <c r="IR813" s="327">
        <f t="shared" si="1273"/>
        <v>160.19787033993072</v>
      </c>
      <c r="IS813" s="323">
        <f t="shared" si="884"/>
        <v>394.75005785621573</v>
      </c>
      <c r="IT813" s="327">
        <f t="shared" si="1274"/>
        <v>220.46977030991667</v>
      </c>
      <c r="IU813" s="327">
        <f t="shared" si="1275"/>
        <v>217.08863433395084</v>
      </c>
      <c r="IV813" s="323">
        <f t="shared" si="885"/>
        <v>437.5584046438675</v>
      </c>
      <c r="IW813" s="327">
        <f t="shared" si="1255"/>
        <v>258.50549722961921</v>
      </c>
      <c r="IX813" s="327">
        <f t="shared" si="1246"/>
        <v>302.58267057146293</v>
      </c>
      <c r="IY813" s="323">
        <f t="shared" si="886"/>
        <v>561.08816780108214</v>
      </c>
      <c r="IZ813" s="327">
        <f t="shared" si="1247"/>
        <v>298.71293645137666</v>
      </c>
      <c r="JA813" s="327">
        <f t="shared" si="1248"/>
        <v>525.47142297490473</v>
      </c>
      <c r="JB813" s="323">
        <f t="shared" si="887"/>
        <v>824.18435942628139</v>
      </c>
      <c r="JC813" s="327">
        <f t="shared" si="1249"/>
        <v>272.64858479455143</v>
      </c>
      <c r="JD813" s="327">
        <f t="shared" si="1250"/>
        <v>438.65866096040048</v>
      </c>
      <c r="JE813" s="323">
        <f t="shared" si="888"/>
        <v>711.30724575495196</v>
      </c>
      <c r="JF813" s="327">
        <f>JF814+JF818+JF822+JF825</f>
        <v>334.36627293450329</v>
      </c>
      <c r="JG813" s="327">
        <f>JG814+JG818+JG822+JG825</f>
        <v>423.42513659712887</v>
      </c>
      <c r="JH813" s="323">
        <f t="shared" si="889"/>
        <v>757.7914095316321</v>
      </c>
      <c r="JI813" s="327">
        <f t="shared" si="909"/>
        <v>362.96966204594213</v>
      </c>
      <c r="JJ813" s="327">
        <f t="shared" si="910"/>
        <v>251.62280966313654</v>
      </c>
      <c r="JK813" s="323">
        <f t="shared" si="890"/>
        <v>614.59247170907861</v>
      </c>
      <c r="JL813" s="327">
        <f t="shared" si="891"/>
        <v>320.09319599473065</v>
      </c>
      <c r="JM813" s="279">
        <f t="shared" si="892"/>
        <v>348.18303430093169</v>
      </c>
      <c r="JN813" s="323">
        <f>FISC!AK1119</f>
        <v>668.27623029566234</v>
      </c>
      <c r="JO813" s="327">
        <f>JO814+JO818+JO822+JO825</f>
        <v>270.29182599186208</v>
      </c>
      <c r="JP813" s="279">
        <f t="shared" si="893"/>
        <v>273.68931845850818</v>
      </c>
      <c r="JQ813" s="323">
        <f>FISC!AL1119</f>
        <v>543.98114445037027</v>
      </c>
      <c r="JR813" s="327">
        <f>JR814+JR818+JR822+JR825</f>
        <v>293.8220360524756</v>
      </c>
      <c r="JS813" s="279">
        <f t="shared" si="894"/>
        <v>311.36033882113816</v>
      </c>
      <c r="JT813" s="323">
        <f>FISC!AM1119</f>
        <v>605.18237487361375</v>
      </c>
      <c r="JU813" s="327">
        <f>JU814+JU818+JU822+JU825</f>
        <v>307.74231383428355</v>
      </c>
      <c r="JV813" s="279">
        <f t="shared" si="911"/>
        <v>309.41224176606761</v>
      </c>
      <c r="JW813" s="323">
        <f>FISC!AN1119</f>
        <v>617.15455560035116</v>
      </c>
      <c r="JX813" s="327">
        <f>JX814+JX818+JX822+JX825</f>
        <v>304.35724050592478</v>
      </c>
      <c r="JY813" s="279">
        <f t="shared" si="895"/>
        <v>321.72082607830737</v>
      </c>
      <c r="JZ813" s="323">
        <f>FISC!AO1119</f>
        <v>626.07806658423215</v>
      </c>
      <c r="KA813" s="327">
        <f>KA814+KA818+KA822+KA825</f>
        <v>272.47543883567363</v>
      </c>
      <c r="KB813" s="279">
        <f t="shared" si="1194"/>
        <v>441.96391909317532</v>
      </c>
      <c r="KC813" s="323">
        <f>FISC!AP1119</f>
        <v>714.43935792884895</v>
      </c>
      <c r="KD813" s="327">
        <f>KD814+KD818+KD822+KD825</f>
        <v>418.89009866430513</v>
      </c>
      <c r="KE813" s="279">
        <f t="shared" si="1196"/>
        <v>454.74477432384344</v>
      </c>
      <c r="KF813" s="323">
        <f>FISC!AQ1119</f>
        <v>873.63487298814857</v>
      </c>
      <c r="KG813" s="327">
        <f>KG814+KG818+KG822+KG825</f>
        <v>431.45680162423429</v>
      </c>
      <c r="KH813" s="279">
        <f t="shared" si="1198"/>
        <v>467.27920807567904</v>
      </c>
      <c r="KI813" s="323">
        <f>FISC!AR1119</f>
        <v>898.73600969991332</v>
      </c>
      <c r="KJ813" s="327">
        <f>KJ814+KJ818+KJ822+KJ825</f>
        <v>444.40050567296134</v>
      </c>
      <c r="KK813" s="279">
        <f t="shared" si="1200"/>
        <v>481.39267988146742</v>
      </c>
      <c r="KL813" s="323">
        <f>FISC!AS1119</f>
        <v>925.79318555442876</v>
      </c>
      <c r="KM813" s="327">
        <f>KM814+KM818+KM822+KM825</f>
        <v>457.73252084315016</v>
      </c>
      <c r="KN813" s="279">
        <f t="shared" si="1202"/>
        <v>496.4792874448666</v>
      </c>
      <c r="KO813" s="323">
        <f>FISC!AT1119</f>
        <v>954.21180828801675</v>
      </c>
      <c r="KU813" s="326"/>
      <c r="KV813" s="327"/>
      <c r="KY813" s="279">
        <f>KY814+KY818+KY822</f>
        <v>0</v>
      </c>
      <c r="KZ813" s="279">
        <f>KZ814+KZ818+KZ822</f>
        <v>0</v>
      </c>
      <c r="LA813" s="279">
        <f>LA814+LA818+LA822</f>
        <v>0</v>
      </c>
      <c r="LB813" s="279">
        <f>LB814+LB818+LB822</f>
        <v>0</v>
      </c>
    </row>
    <row r="814" spans="1:314">
      <c r="A814" s="279"/>
      <c r="B814" s="96" t="s">
        <v>338</v>
      </c>
      <c r="D814" s="333" t="s">
        <v>505</v>
      </c>
      <c r="E814" s="323">
        <f t="shared" ref="E814:BP814" si="1361">SUM(E815:E817)</f>
        <v>0</v>
      </c>
      <c r="F814" s="323">
        <f t="shared" si="1361"/>
        <v>0</v>
      </c>
      <c r="G814" s="323">
        <f t="shared" si="1361"/>
        <v>0</v>
      </c>
      <c r="H814" s="323">
        <f t="shared" si="1361"/>
        <v>0</v>
      </c>
      <c r="I814" s="323">
        <f t="shared" si="1361"/>
        <v>0</v>
      </c>
      <c r="J814" s="323">
        <f t="shared" si="1361"/>
        <v>0</v>
      </c>
      <c r="K814" s="323">
        <f t="shared" si="1361"/>
        <v>0</v>
      </c>
      <c r="L814" s="323">
        <f t="shared" si="1361"/>
        <v>0</v>
      </c>
      <c r="M814" s="323">
        <f t="shared" si="1361"/>
        <v>0</v>
      </c>
      <c r="N814" s="323">
        <f t="shared" si="1361"/>
        <v>0</v>
      </c>
      <c r="O814" s="323">
        <f t="shared" si="1361"/>
        <v>0</v>
      </c>
      <c r="P814" s="323">
        <f t="shared" si="1361"/>
        <v>0</v>
      </c>
      <c r="Q814" s="323">
        <f t="shared" si="1361"/>
        <v>0</v>
      </c>
      <c r="R814" s="323">
        <f t="shared" si="1361"/>
        <v>0</v>
      </c>
      <c r="S814" s="323">
        <f t="shared" si="1361"/>
        <v>0</v>
      </c>
      <c r="T814" s="323">
        <f t="shared" si="1361"/>
        <v>0</v>
      </c>
      <c r="U814" s="323">
        <f t="shared" si="1361"/>
        <v>0</v>
      </c>
      <c r="V814" s="323">
        <f t="shared" si="1361"/>
        <v>0</v>
      </c>
      <c r="W814" s="323">
        <f t="shared" si="1361"/>
        <v>0</v>
      </c>
      <c r="X814" s="323">
        <f t="shared" si="1361"/>
        <v>0</v>
      </c>
      <c r="Y814" s="323">
        <f t="shared" si="1361"/>
        <v>0</v>
      </c>
      <c r="Z814" s="323">
        <f t="shared" si="1361"/>
        <v>0</v>
      </c>
      <c r="AA814" s="323">
        <f t="shared" si="1361"/>
        <v>0</v>
      </c>
      <c r="AB814" s="323">
        <f t="shared" si="1361"/>
        <v>0</v>
      </c>
      <c r="AC814" s="323">
        <f t="shared" si="1361"/>
        <v>0</v>
      </c>
      <c r="AD814" s="323">
        <f t="shared" si="1361"/>
        <v>0</v>
      </c>
      <c r="AE814" s="323">
        <f t="shared" si="1361"/>
        <v>0</v>
      </c>
      <c r="AF814" s="323">
        <f t="shared" si="1361"/>
        <v>0</v>
      </c>
      <c r="AG814" s="323">
        <f t="shared" si="1361"/>
        <v>0</v>
      </c>
      <c r="AH814" s="323">
        <f t="shared" si="1361"/>
        <v>0</v>
      </c>
      <c r="AI814" s="323">
        <f t="shared" si="1361"/>
        <v>0</v>
      </c>
      <c r="AJ814" s="323">
        <f t="shared" si="1361"/>
        <v>0</v>
      </c>
      <c r="AK814" s="323">
        <f t="shared" si="1361"/>
        <v>0</v>
      </c>
      <c r="AL814" s="323">
        <f t="shared" si="1361"/>
        <v>0</v>
      </c>
      <c r="AM814" s="323">
        <f t="shared" si="1361"/>
        <v>0</v>
      </c>
      <c r="AN814" s="323">
        <f t="shared" si="1361"/>
        <v>0</v>
      </c>
      <c r="AO814" s="323">
        <f t="shared" si="1361"/>
        <v>0</v>
      </c>
      <c r="AP814" s="323">
        <f t="shared" si="1361"/>
        <v>0</v>
      </c>
      <c r="AQ814" s="323">
        <f t="shared" si="1361"/>
        <v>0</v>
      </c>
      <c r="AR814" s="323">
        <f t="shared" si="1361"/>
        <v>0</v>
      </c>
      <c r="AS814" s="323">
        <f t="shared" si="1361"/>
        <v>0</v>
      </c>
      <c r="AT814" s="323">
        <f t="shared" si="1361"/>
        <v>0</v>
      </c>
      <c r="AU814" s="323">
        <f t="shared" si="1361"/>
        <v>0</v>
      </c>
      <c r="AV814" s="323">
        <f t="shared" si="1361"/>
        <v>0</v>
      </c>
      <c r="AW814" s="323">
        <f t="shared" si="1361"/>
        <v>0</v>
      </c>
      <c r="AX814" s="323">
        <f t="shared" si="1361"/>
        <v>0</v>
      </c>
      <c r="AY814" s="323">
        <f t="shared" si="1361"/>
        <v>0</v>
      </c>
      <c r="AZ814" s="323">
        <f t="shared" si="1361"/>
        <v>0</v>
      </c>
      <c r="BA814" s="323">
        <f t="shared" si="1361"/>
        <v>0</v>
      </c>
      <c r="BB814" s="323">
        <f t="shared" si="1361"/>
        <v>0</v>
      </c>
      <c r="BC814" s="323">
        <f t="shared" si="1361"/>
        <v>0</v>
      </c>
      <c r="BD814" s="323">
        <f t="shared" si="1361"/>
        <v>0</v>
      </c>
      <c r="BE814" s="323">
        <f t="shared" si="1361"/>
        <v>0</v>
      </c>
      <c r="BF814" s="323">
        <f t="shared" si="1361"/>
        <v>0</v>
      </c>
      <c r="BG814" s="323">
        <f t="shared" si="1361"/>
        <v>0</v>
      </c>
      <c r="BH814" s="323">
        <f t="shared" si="1361"/>
        <v>0</v>
      </c>
      <c r="BI814" s="323">
        <f t="shared" si="1361"/>
        <v>0</v>
      </c>
      <c r="BJ814" s="323">
        <f t="shared" si="1361"/>
        <v>0</v>
      </c>
      <c r="BK814" s="323">
        <f t="shared" si="1361"/>
        <v>0</v>
      </c>
      <c r="BL814" s="323">
        <f t="shared" si="1361"/>
        <v>0</v>
      </c>
      <c r="BM814" s="323">
        <f t="shared" si="1361"/>
        <v>0</v>
      </c>
      <c r="BN814" s="323">
        <f t="shared" si="1361"/>
        <v>0</v>
      </c>
      <c r="BO814" s="323">
        <f t="shared" si="1361"/>
        <v>0</v>
      </c>
      <c r="BP814" s="323">
        <f t="shared" si="1361"/>
        <v>0</v>
      </c>
      <c r="BQ814" s="323">
        <f t="shared" ref="BQ814:EB814" si="1362">SUM(BQ815:BQ817)</f>
        <v>0</v>
      </c>
      <c r="BR814" s="323">
        <f t="shared" si="1362"/>
        <v>0</v>
      </c>
      <c r="BS814" s="323">
        <f t="shared" si="1362"/>
        <v>0</v>
      </c>
      <c r="BT814" s="323">
        <f t="shared" si="1362"/>
        <v>0</v>
      </c>
      <c r="BU814" s="323">
        <f t="shared" si="1362"/>
        <v>0</v>
      </c>
      <c r="BV814" s="323">
        <f t="shared" si="1362"/>
        <v>0</v>
      </c>
      <c r="BW814" s="323">
        <f t="shared" si="1362"/>
        <v>0</v>
      </c>
      <c r="BX814" s="323">
        <f t="shared" si="1362"/>
        <v>0</v>
      </c>
      <c r="BY814" s="323">
        <f t="shared" si="1362"/>
        <v>0</v>
      </c>
      <c r="BZ814" s="323">
        <f t="shared" si="1362"/>
        <v>0</v>
      </c>
      <c r="CA814" s="323">
        <f t="shared" si="1362"/>
        <v>0</v>
      </c>
      <c r="CB814" s="323">
        <f t="shared" si="1362"/>
        <v>0</v>
      </c>
      <c r="CC814" s="323">
        <f t="shared" si="1362"/>
        <v>0</v>
      </c>
      <c r="CD814" s="329">
        <f t="shared" si="1362"/>
        <v>0</v>
      </c>
      <c r="CE814" s="323">
        <f t="shared" si="1362"/>
        <v>0</v>
      </c>
      <c r="CF814" s="323">
        <f t="shared" si="1362"/>
        <v>0</v>
      </c>
      <c r="CG814" s="323">
        <f t="shared" si="1362"/>
        <v>0</v>
      </c>
      <c r="CH814" s="323">
        <f t="shared" si="1362"/>
        <v>0</v>
      </c>
      <c r="CI814" s="323">
        <f t="shared" si="1362"/>
        <v>0</v>
      </c>
      <c r="CJ814" s="323">
        <f t="shared" si="1362"/>
        <v>0</v>
      </c>
      <c r="CK814" s="323">
        <f t="shared" si="1362"/>
        <v>0</v>
      </c>
      <c r="CL814" s="323">
        <f t="shared" si="1362"/>
        <v>0</v>
      </c>
      <c r="CM814" s="323">
        <f t="shared" si="1362"/>
        <v>0</v>
      </c>
      <c r="CN814" s="323">
        <f t="shared" si="1362"/>
        <v>0</v>
      </c>
      <c r="CO814" s="323">
        <f t="shared" si="1362"/>
        <v>0</v>
      </c>
      <c r="CP814" s="325">
        <f t="shared" si="1362"/>
        <v>0</v>
      </c>
      <c r="CQ814" s="323">
        <f t="shared" si="1362"/>
        <v>0</v>
      </c>
      <c r="CR814" s="323">
        <f t="shared" si="1362"/>
        <v>0</v>
      </c>
      <c r="CS814" s="323">
        <f t="shared" si="1362"/>
        <v>0</v>
      </c>
      <c r="CT814" s="323">
        <f t="shared" si="1362"/>
        <v>0</v>
      </c>
      <c r="CU814" s="323">
        <f t="shared" si="1362"/>
        <v>0</v>
      </c>
      <c r="CV814" s="323">
        <f t="shared" si="1362"/>
        <v>0</v>
      </c>
      <c r="CW814" s="323">
        <f t="shared" si="1362"/>
        <v>0</v>
      </c>
      <c r="CX814" s="323">
        <f t="shared" si="1362"/>
        <v>0</v>
      </c>
      <c r="CY814" s="323">
        <f t="shared" si="1362"/>
        <v>0</v>
      </c>
      <c r="CZ814" s="323">
        <f t="shared" si="1362"/>
        <v>0</v>
      </c>
      <c r="DA814" s="323">
        <f t="shared" si="1362"/>
        <v>0</v>
      </c>
      <c r="DB814" s="1269">
        <f t="shared" si="1362"/>
        <v>0</v>
      </c>
      <c r="DC814" s="323">
        <f t="shared" si="1362"/>
        <v>0</v>
      </c>
      <c r="DD814" s="323">
        <f t="shared" si="1362"/>
        <v>0</v>
      </c>
      <c r="DE814" s="323">
        <f t="shared" si="1362"/>
        <v>0</v>
      </c>
      <c r="DF814" s="323">
        <f t="shared" si="1362"/>
        <v>0</v>
      </c>
      <c r="DG814" s="323">
        <f t="shared" si="1362"/>
        <v>0</v>
      </c>
      <c r="DH814" s="323">
        <f t="shared" si="1362"/>
        <v>0</v>
      </c>
      <c r="DI814" s="323">
        <f t="shared" si="1362"/>
        <v>0</v>
      </c>
      <c r="DJ814" s="323">
        <f t="shared" si="1362"/>
        <v>0</v>
      </c>
      <c r="DK814" s="323">
        <f t="shared" si="1362"/>
        <v>0</v>
      </c>
      <c r="DL814" s="323">
        <f t="shared" si="1362"/>
        <v>0</v>
      </c>
      <c r="DM814" s="323">
        <f t="shared" si="1362"/>
        <v>0</v>
      </c>
      <c r="DN814" s="325">
        <f t="shared" si="1362"/>
        <v>0</v>
      </c>
      <c r="DO814" s="323">
        <f t="shared" si="1362"/>
        <v>16.600601300289206</v>
      </c>
      <c r="DP814" s="323">
        <f t="shared" si="1362"/>
        <v>6.15912446300276</v>
      </c>
      <c r="DQ814" s="323">
        <f t="shared" si="1362"/>
        <v>0.36889618367652649</v>
      </c>
      <c r="DR814" s="323">
        <f t="shared" si="1362"/>
        <v>0.3018041686636207</v>
      </c>
      <c r="DS814" s="323">
        <f t="shared" si="1362"/>
        <v>7.0875698198049868</v>
      </c>
      <c r="DT814" s="323">
        <f t="shared" si="1362"/>
        <v>27.439521254223713</v>
      </c>
      <c r="DU814" s="323">
        <f t="shared" si="1362"/>
        <v>5.179773115333397E-2</v>
      </c>
      <c r="DV814" s="323">
        <f t="shared" si="1362"/>
        <v>5.8007764595570457E-2</v>
      </c>
      <c r="DW814" s="323">
        <f t="shared" si="1362"/>
        <v>10.541360405145587</v>
      </c>
      <c r="DX814" s="323">
        <f t="shared" si="1362"/>
        <v>2.0703769716469367E-2</v>
      </c>
      <c r="DY814" s="323">
        <f t="shared" si="1362"/>
        <v>4.4983689553372501E-2</v>
      </c>
      <c r="DZ814" s="325">
        <f t="shared" si="1362"/>
        <v>0.19766063222458286</v>
      </c>
      <c r="EA814" s="323">
        <f t="shared" si="1362"/>
        <v>5.89555870610981</v>
      </c>
      <c r="EB814" s="323">
        <f t="shared" si="1362"/>
        <v>6.4121414643872559</v>
      </c>
      <c r="EC814" s="323">
        <f t="shared" ref="EC814:FP814" si="1363">SUM(EC815:EC817)</f>
        <v>6.3896163980000003</v>
      </c>
      <c r="ED814" s="323">
        <f t="shared" si="1363"/>
        <v>4.8874335853238193E-2</v>
      </c>
      <c r="EE814" s="323">
        <f t="shared" si="1363"/>
        <v>5.1864803727297613</v>
      </c>
      <c r="EF814" s="323">
        <f t="shared" si="1363"/>
        <v>16.549897689864551</v>
      </c>
      <c r="EG814" s="323">
        <f t="shared" si="1363"/>
        <v>11.749718728585187</v>
      </c>
      <c r="EH814" s="323">
        <f t="shared" si="1363"/>
        <v>0.10086442254855665</v>
      </c>
      <c r="EI814" s="323">
        <f t="shared" si="1363"/>
        <v>2.681430422759524</v>
      </c>
      <c r="EJ814" s="323">
        <f t="shared" si="1363"/>
        <v>7.1357226622450884</v>
      </c>
      <c r="EK814" s="323">
        <f t="shared" si="1363"/>
        <v>5.0993692085567657E-2</v>
      </c>
      <c r="EL814" s="325">
        <f t="shared" si="1363"/>
        <v>0.7199081113879362</v>
      </c>
      <c r="EM814" s="323">
        <f t="shared" si="1363"/>
        <v>2.1782744436593422</v>
      </c>
      <c r="EN814" s="323">
        <f t="shared" si="1363"/>
        <v>4.4297227553648515</v>
      </c>
      <c r="EO814" s="323">
        <f t="shared" si="1363"/>
        <v>9.8563909410486317E-2</v>
      </c>
      <c r="EP814" s="323">
        <f t="shared" si="1363"/>
        <v>2.364907381854027E-2</v>
      </c>
      <c r="EQ814" s="323">
        <f t="shared" si="1363"/>
        <v>2.350520414</v>
      </c>
      <c r="ER814" s="323">
        <f t="shared" si="1363"/>
        <v>7.9641907069496227</v>
      </c>
      <c r="ES814" s="323">
        <f t="shared" si="1363"/>
        <v>1.0648808655174591E-2</v>
      </c>
      <c r="ET814" s="323">
        <f t="shared" si="1363"/>
        <v>6.6596087007049221E-2</v>
      </c>
      <c r="EU814" s="323">
        <f t="shared" si="1363"/>
        <v>9.7848614553610838E-2</v>
      </c>
      <c r="EV814" s="323">
        <f t="shared" si="1363"/>
        <v>1.4425746636360746</v>
      </c>
      <c r="EW814" s="323">
        <f t="shared" si="1363"/>
        <v>0</v>
      </c>
      <c r="EX814" s="325">
        <f t="shared" si="1363"/>
        <v>0.21532801592438158</v>
      </c>
      <c r="EY814" s="323">
        <f t="shared" si="1363"/>
        <v>0</v>
      </c>
      <c r="EZ814" s="323">
        <f t="shared" si="1363"/>
        <v>0</v>
      </c>
      <c r="FA814" s="323">
        <f t="shared" si="1363"/>
        <v>9.608507644444737</v>
      </c>
      <c r="FB814" s="323">
        <f t="shared" si="1363"/>
        <v>0</v>
      </c>
      <c r="FC814" s="323">
        <f t="shared" si="1363"/>
        <v>0</v>
      </c>
      <c r="FD814" s="323">
        <f t="shared" si="1363"/>
        <v>6.3793097794931768</v>
      </c>
      <c r="FE814" s="323">
        <f t="shared" si="1363"/>
        <v>0</v>
      </c>
      <c r="FF814" s="323">
        <f t="shared" si="1363"/>
        <v>0</v>
      </c>
      <c r="FG814" s="323">
        <f t="shared" si="1363"/>
        <v>0</v>
      </c>
      <c r="FH814" s="323">
        <f t="shared" si="1363"/>
        <v>3.2316815070000011</v>
      </c>
      <c r="FI814" s="323">
        <f t="shared" si="1363"/>
        <v>0</v>
      </c>
      <c r="FJ814" s="325">
        <f t="shared" si="1363"/>
        <v>4.9663468379999998</v>
      </c>
      <c r="FK814" s="323">
        <f t="shared" si="1363"/>
        <v>0</v>
      </c>
      <c r="FL814" s="323">
        <f t="shared" si="1363"/>
        <v>0</v>
      </c>
      <c r="FM814" s="323">
        <f t="shared" si="1363"/>
        <v>0</v>
      </c>
      <c r="FN814" s="323">
        <f t="shared" si="1363"/>
        <v>0</v>
      </c>
      <c r="FO814" s="323">
        <f t="shared" si="1363"/>
        <v>0</v>
      </c>
      <c r="FP814" s="323">
        <f t="shared" si="1363"/>
        <v>0</v>
      </c>
      <c r="FQ814" s="323">
        <f t="shared" ref="FQ814:FV814" si="1364">SUM(FQ815:FQ817)</f>
        <v>0</v>
      </c>
      <c r="FR814" s="323">
        <f t="shared" si="1364"/>
        <v>0</v>
      </c>
      <c r="FS814" s="323">
        <f t="shared" si="1364"/>
        <v>0</v>
      </c>
      <c r="FT814" s="323">
        <f t="shared" si="1364"/>
        <v>4.0488905105571273</v>
      </c>
      <c r="FU814" s="323">
        <f t="shared" si="1364"/>
        <v>0</v>
      </c>
      <c r="FV814" s="323">
        <f t="shared" si="1364"/>
        <v>0</v>
      </c>
      <c r="FW814" s="323">
        <v>0</v>
      </c>
      <c r="FX814" s="323">
        <v>0</v>
      </c>
      <c r="FY814" s="323">
        <v>0</v>
      </c>
      <c r="FZ814" s="323">
        <v>0</v>
      </c>
      <c r="GA814" s="323">
        <v>6.18907129997271</v>
      </c>
      <c r="GB814" s="323">
        <v>29.757070639362848</v>
      </c>
      <c r="GC814" s="323">
        <v>0</v>
      </c>
      <c r="GD814" s="323">
        <v>0</v>
      </c>
      <c r="GE814" s="323">
        <v>0</v>
      </c>
      <c r="GF814" s="323">
        <v>0</v>
      </c>
      <c r="GG814" s="323">
        <v>178.58328382937401</v>
      </c>
      <c r="GH814" s="323">
        <v>0</v>
      </c>
      <c r="GI814" s="323">
        <f>GI815+GI817</f>
        <v>14.81502815</v>
      </c>
      <c r="GJ814" s="323">
        <f t="shared" ref="GJ814:HR814" si="1365">GJ815+GJ817</f>
        <v>14.81502815</v>
      </c>
      <c r="GK814" s="323">
        <f t="shared" si="1365"/>
        <v>14.81502815</v>
      </c>
      <c r="GL814" s="323">
        <f t="shared" si="1365"/>
        <v>20.359520180055206</v>
      </c>
      <c r="GM814" s="323">
        <f t="shared" si="1365"/>
        <v>14.81502815</v>
      </c>
      <c r="GN814" s="323">
        <f t="shared" si="1365"/>
        <v>27.663576914</v>
      </c>
      <c r="GO814" s="323">
        <f t="shared" si="1365"/>
        <v>26.330020899520001</v>
      </c>
      <c r="GP814" s="323">
        <f t="shared" si="1365"/>
        <v>26.330020899520001</v>
      </c>
      <c r="GQ814" s="323">
        <f t="shared" si="1365"/>
        <v>26.330020899520001</v>
      </c>
      <c r="GR814" s="323">
        <f t="shared" si="1365"/>
        <v>164.87697557812001</v>
      </c>
      <c r="GS814" s="323">
        <f>GS815+GS817</f>
        <v>28.136248942555717</v>
      </c>
      <c r="GT814" s="323">
        <f t="shared" si="1365"/>
        <v>26.330020899520001</v>
      </c>
      <c r="GU814" s="323">
        <f t="shared" si="1365"/>
        <v>0</v>
      </c>
      <c r="GV814" s="323">
        <f t="shared" si="1365"/>
        <v>0</v>
      </c>
      <c r="GW814" s="323">
        <f t="shared" si="1365"/>
        <v>74.85618628968507</v>
      </c>
      <c r="GX814" s="323">
        <f t="shared" si="1365"/>
        <v>0</v>
      </c>
      <c r="GY814" s="323">
        <f t="shared" si="1365"/>
        <v>20.479901550034139</v>
      </c>
      <c r="GZ814" s="323">
        <f t="shared" si="1365"/>
        <v>72.266987752008589</v>
      </c>
      <c r="HA814" s="323">
        <f t="shared" si="1365"/>
        <v>0</v>
      </c>
      <c r="HB814" s="323">
        <f t="shared" si="1365"/>
        <v>0</v>
      </c>
      <c r="HC814" s="323">
        <f t="shared" si="1365"/>
        <v>87.700392731184422</v>
      </c>
      <c r="HD814" s="323">
        <f t="shared" si="1365"/>
        <v>0</v>
      </c>
      <c r="HE814" s="323">
        <f t="shared" si="1365"/>
        <v>81.742566145485355</v>
      </c>
      <c r="HF814" s="323">
        <f t="shared" si="1365"/>
        <v>86.715186151799713</v>
      </c>
      <c r="HG814" s="323">
        <f t="shared" si="1365"/>
        <v>0</v>
      </c>
      <c r="HH814" s="323">
        <f t="shared" si="1365"/>
        <v>0</v>
      </c>
      <c r="HI814" s="323">
        <f t="shared" si="1365"/>
        <v>76.674013141162661</v>
      </c>
      <c r="HJ814" s="323">
        <f t="shared" si="1365"/>
        <v>0</v>
      </c>
      <c r="HK814" s="323">
        <f t="shared" si="1365"/>
        <v>6.9469754804080805</v>
      </c>
      <c r="HL814" s="323">
        <f t="shared" si="1365"/>
        <v>105.77887260819162</v>
      </c>
      <c r="HM814" s="323">
        <f t="shared" si="1365"/>
        <v>0</v>
      </c>
      <c r="HN814" s="323">
        <f t="shared" si="1365"/>
        <v>0</v>
      </c>
      <c r="HO814" s="323">
        <f t="shared" si="1365"/>
        <v>67.522017559415104</v>
      </c>
      <c r="HP814" s="323">
        <f t="shared" si="1365"/>
        <v>0</v>
      </c>
      <c r="HQ814" s="323">
        <f t="shared" si="1365"/>
        <v>0</v>
      </c>
      <c r="HR814" s="323">
        <f t="shared" si="1365"/>
        <v>68.214742099381553</v>
      </c>
      <c r="HS814" s="323">
        <f t="shared" ref="HS814:HX814" si="1366">HS815+HS817</f>
        <v>0</v>
      </c>
      <c r="HT814" s="323">
        <f t="shared" si="1366"/>
        <v>0</v>
      </c>
      <c r="HU814" s="323">
        <f t="shared" si="1366"/>
        <v>69.447124157592043</v>
      </c>
      <c r="HV814" s="323">
        <f t="shared" si="1366"/>
        <v>0</v>
      </c>
      <c r="HW814" s="323">
        <f t="shared" si="1366"/>
        <v>0</v>
      </c>
      <c r="HX814" s="323">
        <f t="shared" si="1366"/>
        <v>69.765940058209665</v>
      </c>
      <c r="HY814" s="323"/>
      <c r="HZ814" s="326"/>
      <c r="IA814" s="333" t="s">
        <v>505</v>
      </c>
      <c r="IB814" s="284">
        <f t="shared" si="1262"/>
        <v>0</v>
      </c>
      <c r="IC814" s="279">
        <f t="shared" si="1263"/>
        <v>0</v>
      </c>
      <c r="ID814" s="323">
        <f t="shared" si="907"/>
        <v>0</v>
      </c>
      <c r="IE814" s="279">
        <f t="shared" si="1264"/>
        <v>0</v>
      </c>
      <c r="IF814" s="279">
        <f t="shared" si="1265"/>
        <v>0</v>
      </c>
      <c r="IG814" s="323">
        <f t="shared" si="880"/>
        <v>0</v>
      </c>
      <c r="IH814" s="284">
        <f t="shared" si="1266"/>
        <v>0</v>
      </c>
      <c r="II814" s="279">
        <f t="shared" si="1267"/>
        <v>0</v>
      </c>
      <c r="IJ814" s="323">
        <f t="shared" si="881"/>
        <v>0</v>
      </c>
      <c r="IK814" s="327">
        <f t="shared" si="1268"/>
        <v>57.95751718966082</v>
      </c>
      <c r="IL814" s="279">
        <f t="shared" si="1269"/>
        <v>10.914513992388917</v>
      </c>
      <c r="IM814" s="323">
        <f t="shared" si="882"/>
        <v>68.872031182049739</v>
      </c>
      <c r="IN814" s="279">
        <f t="shared" si="1270"/>
        <v>40.482568966944612</v>
      </c>
      <c r="IO814" s="279">
        <f t="shared" si="1271"/>
        <v>22.438638039611863</v>
      </c>
      <c r="IP814" s="323">
        <f t="shared" si="883"/>
        <v>62.921207006556472</v>
      </c>
      <c r="IQ814" s="327">
        <f t="shared" si="1272"/>
        <v>17.044921303202841</v>
      </c>
      <c r="IR814" s="327">
        <f t="shared" si="1273"/>
        <v>1.8329961897762908</v>
      </c>
      <c r="IS814" s="323">
        <f t="shared" si="884"/>
        <v>18.877917492979133</v>
      </c>
      <c r="IT814" s="327">
        <f t="shared" si="1274"/>
        <v>15.987817423937914</v>
      </c>
      <c r="IU814" s="327">
        <f t="shared" si="1275"/>
        <v>8.1980283450000009</v>
      </c>
      <c r="IV814" s="323">
        <f t="shared" si="885"/>
        <v>24.185845768937916</v>
      </c>
      <c r="IW814" s="327">
        <v>4.9684083120000002</v>
      </c>
      <c r="IX814" s="327">
        <f t="shared" si="1246"/>
        <v>4.0488905105571273</v>
      </c>
      <c r="IY814" s="323">
        <f t="shared" si="886"/>
        <v>9.0172988225571267</v>
      </c>
      <c r="IZ814" s="327">
        <f t="shared" si="1247"/>
        <v>35.946141939335561</v>
      </c>
      <c r="JA814" s="327">
        <f t="shared" si="1248"/>
        <v>178.58328382937401</v>
      </c>
      <c r="JB814" s="323">
        <f t="shared" si="887"/>
        <v>214.52942576870959</v>
      </c>
      <c r="JC814" s="327">
        <f t="shared" si="1249"/>
        <v>107.2832096940552</v>
      </c>
      <c r="JD814" s="327">
        <f t="shared" si="1250"/>
        <v>298.33330811875572</v>
      </c>
      <c r="JE814" s="323">
        <f t="shared" si="888"/>
        <v>405.61651781281091</v>
      </c>
      <c r="JF814" s="327">
        <f>JF815+JF817</f>
        <v>167.60307559172779</v>
      </c>
      <c r="JG814" s="327">
        <f>JG815+JG817</f>
        <v>256.15814502846951</v>
      </c>
      <c r="JH814" s="323">
        <f t="shared" si="889"/>
        <v>423.76122062019726</v>
      </c>
      <c r="JI814" s="327">
        <f t="shared" si="909"/>
        <v>189.39986122976237</v>
      </c>
      <c r="JJ814" s="327">
        <f t="shared" si="910"/>
        <v>135.73675965879664</v>
      </c>
      <c r="JK814" s="323">
        <f t="shared" si="890"/>
        <v>325.13662088855904</v>
      </c>
      <c r="JL814" s="327">
        <f t="shared" si="891"/>
        <v>139.21306421580169</v>
      </c>
      <c r="JM814" s="327">
        <f>JM815+JM817</f>
        <v>140.17490791596327</v>
      </c>
      <c r="JN814" s="323">
        <f>FISC!AK1120</f>
        <v>280.34981583192655</v>
      </c>
      <c r="JO814" s="327">
        <f>JO815+JO817</f>
        <v>146.28051136800309</v>
      </c>
      <c r="JP814" s="327">
        <f>JP815+JP817</f>
        <v>146.28051136800309</v>
      </c>
      <c r="JQ814" s="323">
        <f>FISC!AL1120</f>
        <v>292.56102273600618</v>
      </c>
      <c r="JR814" s="327">
        <f>JR815+JR817</f>
        <v>153.27215101048608</v>
      </c>
      <c r="JS814" s="279">
        <f t="shared" si="894"/>
        <v>153.27215101048608</v>
      </c>
      <c r="JT814" s="323">
        <f>FISC!AM1120</f>
        <v>306.54430202097217</v>
      </c>
      <c r="JU814" s="327">
        <f>JU815+JU817</f>
        <v>160.53365850987643</v>
      </c>
      <c r="JV814" s="279">
        <f t="shared" si="911"/>
        <v>160.53365850987643</v>
      </c>
      <c r="JW814" s="323">
        <f>FISC!AN1120</f>
        <v>321.06731701975286</v>
      </c>
      <c r="JX814" s="327">
        <f>JX815+JX817</f>
        <v>166.91977322674356</v>
      </c>
      <c r="JY814" s="279">
        <f t="shared" si="895"/>
        <v>166.91977322674356</v>
      </c>
      <c r="JZ814" s="323">
        <f>FISC!AO1120</f>
        <v>333.83954645348712</v>
      </c>
      <c r="KA814" s="327">
        <f>KA815+KA817</f>
        <v>178.47429527567482</v>
      </c>
      <c r="KB814" s="279">
        <f t="shared" si="1194"/>
        <v>178.47429527567482</v>
      </c>
      <c r="KC814" s="323">
        <f>FISC!AP1120</f>
        <v>356.94859055134964</v>
      </c>
      <c r="KD814" s="327">
        <f>KD815+KD817</f>
        <v>183.82852413394508</v>
      </c>
      <c r="KE814" s="279">
        <f t="shared" si="1196"/>
        <v>183.82852413394508</v>
      </c>
      <c r="KF814" s="323">
        <f>FISC!AQ1120</f>
        <v>367.65704826789016</v>
      </c>
      <c r="KG814" s="327">
        <f>KG815+KG817</f>
        <v>189.34337985796344</v>
      </c>
      <c r="KH814" s="279">
        <f t="shared" si="1198"/>
        <v>189.34337985796344</v>
      </c>
      <c r="KI814" s="323">
        <f>FISC!AR1120</f>
        <v>378.68675971592688</v>
      </c>
      <c r="KJ814" s="327">
        <f>KJ815+KJ817</f>
        <v>195.02368125370236</v>
      </c>
      <c r="KK814" s="279">
        <f t="shared" si="1200"/>
        <v>195.02368125370236</v>
      </c>
      <c r="KL814" s="323">
        <f>FISC!AS1120</f>
        <v>390.04736250740473</v>
      </c>
      <c r="KM814" s="327">
        <f>KM815+KM817</f>
        <v>200.87439169131343</v>
      </c>
      <c r="KN814" s="279">
        <f t="shared" si="1202"/>
        <v>200.87439169131343</v>
      </c>
      <c r="KO814" s="323">
        <f>FISC!AT1120</f>
        <v>401.74878338262687</v>
      </c>
      <c r="KU814" s="326"/>
      <c r="KV814" s="327"/>
      <c r="KY814" s="279">
        <f>SUM(KY815:KY817)</f>
        <v>0</v>
      </c>
      <c r="KZ814" s="279">
        <f>SUM(KZ815:KZ817)</f>
        <v>0</v>
      </c>
      <c r="LA814" s="279">
        <f>SUM(LA815:LA817)</f>
        <v>0</v>
      </c>
      <c r="LB814" s="279">
        <f>SUM(LB815:LB817)</f>
        <v>0</v>
      </c>
    </row>
    <row r="815" spans="1:314">
      <c r="A815" s="279"/>
      <c r="B815" s="96" t="s">
        <v>338</v>
      </c>
      <c r="D815" s="334" t="s">
        <v>506</v>
      </c>
      <c r="E815" s="323"/>
      <c r="F815" s="323"/>
      <c r="G815" s="323"/>
      <c r="H815" s="323"/>
      <c r="I815" s="323"/>
      <c r="J815" s="323"/>
      <c r="K815" s="323"/>
      <c r="L815" s="323"/>
      <c r="M815" s="323"/>
      <c r="N815" s="323"/>
      <c r="O815" s="323"/>
      <c r="P815" s="323"/>
      <c r="Q815" s="323"/>
      <c r="R815" s="323"/>
      <c r="S815" s="323"/>
      <c r="T815" s="323"/>
      <c r="U815" s="323"/>
      <c r="V815" s="323"/>
      <c r="W815" s="323"/>
      <c r="X815" s="323"/>
      <c r="Y815" s="323"/>
      <c r="Z815" s="323"/>
      <c r="AA815" s="323"/>
      <c r="AB815" s="323"/>
      <c r="AC815" s="323"/>
      <c r="AD815" s="323"/>
      <c r="AE815" s="323"/>
      <c r="AF815" s="323"/>
      <c r="AG815" s="323"/>
      <c r="AH815" s="323"/>
      <c r="AI815" s="323"/>
      <c r="AJ815" s="323"/>
      <c r="AK815" s="323"/>
      <c r="AL815" s="323"/>
      <c r="AM815" s="323"/>
      <c r="AN815" s="323"/>
      <c r="AO815" s="323">
        <v>0</v>
      </c>
      <c r="AP815" s="323">
        <v>0</v>
      </c>
      <c r="AQ815" s="323">
        <v>0</v>
      </c>
      <c r="AR815" s="323">
        <v>0</v>
      </c>
      <c r="AS815" s="323">
        <v>0</v>
      </c>
      <c r="AT815" s="323">
        <v>0</v>
      </c>
      <c r="AU815" s="323">
        <v>0</v>
      </c>
      <c r="AV815" s="323">
        <v>0</v>
      </c>
      <c r="AW815" s="323">
        <v>0</v>
      </c>
      <c r="AX815" s="323">
        <v>0</v>
      </c>
      <c r="AY815" s="323">
        <v>0</v>
      </c>
      <c r="AZ815" s="323">
        <v>0</v>
      </c>
      <c r="BA815" s="323">
        <v>0</v>
      </c>
      <c r="BB815" s="323">
        <v>0</v>
      </c>
      <c r="BC815" s="323">
        <v>0</v>
      </c>
      <c r="BD815" s="323">
        <v>0</v>
      </c>
      <c r="BE815" s="323">
        <v>0</v>
      </c>
      <c r="BF815" s="323">
        <v>0</v>
      </c>
      <c r="BG815" s="323">
        <v>0</v>
      </c>
      <c r="BH815" s="323">
        <v>0</v>
      </c>
      <c r="BI815" s="323">
        <v>0</v>
      </c>
      <c r="BJ815" s="323">
        <v>0</v>
      </c>
      <c r="BK815" s="323">
        <v>0</v>
      </c>
      <c r="BL815" s="323">
        <v>0</v>
      </c>
      <c r="BM815" s="323">
        <v>0</v>
      </c>
      <c r="BN815" s="323">
        <v>0</v>
      </c>
      <c r="BO815" s="323">
        <v>0</v>
      </c>
      <c r="BP815" s="323">
        <v>0</v>
      </c>
      <c r="BQ815" s="323">
        <v>0</v>
      </c>
      <c r="BR815" s="323">
        <v>0</v>
      </c>
      <c r="BS815" s="323">
        <v>0</v>
      </c>
      <c r="BT815" s="323">
        <v>0</v>
      </c>
      <c r="BU815" s="323">
        <v>0</v>
      </c>
      <c r="BV815" s="323">
        <v>0</v>
      </c>
      <c r="BW815" s="323">
        <v>0</v>
      </c>
      <c r="BX815" s="323">
        <v>0</v>
      </c>
      <c r="BY815" s="323">
        <v>0</v>
      </c>
      <c r="BZ815" s="323">
        <v>0</v>
      </c>
      <c r="CA815" s="323">
        <v>0</v>
      </c>
      <c r="CB815" s="323">
        <v>0</v>
      </c>
      <c r="CC815" s="323">
        <v>0</v>
      </c>
      <c r="CD815" s="329"/>
      <c r="CE815" s="323">
        <f t="shared" ref="CE815:DB815" si="1367">CE413</f>
        <v>0</v>
      </c>
      <c r="CF815" s="323">
        <f t="shared" si="1367"/>
        <v>0</v>
      </c>
      <c r="CG815" s="323">
        <f t="shared" si="1367"/>
        <v>0</v>
      </c>
      <c r="CH815" s="323">
        <f t="shared" si="1367"/>
        <v>0</v>
      </c>
      <c r="CI815" s="323">
        <f t="shared" si="1367"/>
        <v>0</v>
      </c>
      <c r="CJ815" s="323">
        <f t="shared" si="1367"/>
        <v>0</v>
      </c>
      <c r="CK815" s="323">
        <f t="shared" si="1367"/>
        <v>0</v>
      </c>
      <c r="CL815" s="323">
        <f t="shared" si="1367"/>
        <v>0</v>
      </c>
      <c r="CM815" s="323">
        <f t="shared" si="1367"/>
        <v>0</v>
      </c>
      <c r="CN815" s="323">
        <f t="shared" si="1367"/>
        <v>0</v>
      </c>
      <c r="CO815" s="323">
        <f t="shared" si="1367"/>
        <v>0</v>
      </c>
      <c r="CP815" s="325">
        <f t="shared" si="1367"/>
        <v>0</v>
      </c>
      <c r="CQ815" s="323">
        <f t="shared" si="1367"/>
        <v>0</v>
      </c>
      <c r="CR815" s="323">
        <f t="shared" si="1367"/>
        <v>0</v>
      </c>
      <c r="CS815" s="323">
        <f t="shared" si="1367"/>
        <v>0</v>
      </c>
      <c r="CT815" s="323">
        <f t="shared" si="1367"/>
        <v>0</v>
      </c>
      <c r="CU815" s="323">
        <f t="shared" si="1367"/>
        <v>0</v>
      </c>
      <c r="CV815" s="323">
        <f t="shared" si="1367"/>
        <v>0</v>
      </c>
      <c r="CW815" s="323">
        <f t="shared" si="1367"/>
        <v>0</v>
      </c>
      <c r="CX815" s="323">
        <f t="shared" si="1367"/>
        <v>0</v>
      </c>
      <c r="CY815" s="323">
        <f t="shared" si="1367"/>
        <v>0</v>
      </c>
      <c r="CZ815" s="323">
        <f t="shared" si="1367"/>
        <v>0</v>
      </c>
      <c r="DA815" s="323">
        <f t="shared" si="1367"/>
        <v>0</v>
      </c>
      <c r="DB815" s="1269">
        <f t="shared" si="1367"/>
        <v>0</v>
      </c>
      <c r="DC815" s="323">
        <f t="shared" ref="DC815:FN815" si="1368">DC159</f>
        <v>0</v>
      </c>
      <c r="DD815" s="323">
        <f t="shared" si="1368"/>
        <v>0</v>
      </c>
      <c r="DE815" s="323">
        <f t="shared" si="1368"/>
        <v>0</v>
      </c>
      <c r="DF815" s="323">
        <f t="shared" si="1368"/>
        <v>0</v>
      </c>
      <c r="DG815" s="323">
        <f t="shared" si="1368"/>
        <v>0</v>
      </c>
      <c r="DH815" s="323">
        <f t="shared" si="1368"/>
        <v>0</v>
      </c>
      <c r="DI815" s="323">
        <f t="shared" si="1368"/>
        <v>0</v>
      </c>
      <c r="DJ815" s="323">
        <f t="shared" si="1368"/>
        <v>0</v>
      </c>
      <c r="DK815" s="323">
        <f t="shared" si="1368"/>
        <v>0</v>
      </c>
      <c r="DL815" s="323">
        <f t="shared" si="1368"/>
        <v>0</v>
      </c>
      <c r="DM815" s="323">
        <f t="shared" si="1368"/>
        <v>0</v>
      </c>
      <c r="DN815" s="323">
        <f t="shared" si="1368"/>
        <v>0</v>
      </c>
      <c r="DO815" s="323">
        <f t="shared" si="1368"/>
        <v>16.600601300289206</v>
      </c>
      <c r="DP815" s="323">
        <f t="shared" si="1368"/>
        <v>6.15912446300276</v>
      </c>
      <c r="DQ815" s="323">
        <f t="shared" si="1368"/>
        <v>0.36889618367652649</v>
      </c>
      <c r="DR815" s="323">
        <f t="shared" si="1368"/>
        <v>0.3018041686636207</v>
      </c>
      <c r="DS815" s="323">
        <f t="shared" si="1368"/>
        <v>7.0875698198049868</v>
      </c>
      <c r="DT815" s="323">
        <f t="shared" si="1368"/>
        <v>27.439521254223713</v>
      </c>
      <c r="DU815" s="323">
        <f t="shared" si="1368"/>
        <v>5.179773115333397E-2</v>
      </c>
      <c r="DV815" s="323">
        <f t="shared" si="1368"/>
        <v>5.8007764595570457E-2</v>
      </c>
      <c r="DW815" s="323">
        <f t="shared" si="1368"/>
        <v>10.541360405145587</v>
      </c>
      <c r="DX815" s="323">
        <f t="shared" si="1368"/>
        <v>2.0703769716469367E-2</v>
      </c>
      <c r="DY815" s="323">
        <f t="shared" si="1368"/>
        <v>4.4983689553372501E-2</v>
      </c>
      <c r="DZ815" s="323">
        <f t="shared" si="1368"/>
        <v>0.19766063222458286</v>
      </c>
      <c r="EA815" s="323">
        <f t="shared" si="1368"/>
        <v>5.89555870610981</v>
      </c>
      <c r="EB815" s="323">
        <f t="shared" si="1368"/>
        <v>6.4121414643872559</v>
      </c>
      <c r="EC815" s="323">
        <f t="shared" si="1368"/>
        <v>6.3896163980000003</v>
      </c>
      <c r="ED815" s="323">
        <f t="shared" si="1368"/>
        <v>4.8874335853238193E-2</v>
      </c>
      <c r="EE815" s="323">
        <f t="shared" si="1368"/>
        <v>5.1864803727297613</v>
      </c>
      <c r="EF815" s="323">
        <f t="shared" si="1368"/>
        <v>16.549897689864551</v>
      </c>
      <c r="EG815" s="323">
        <f t="shared" si="1368"/>
        <v>11.749718728585187</v>
      </c>
      <c r="EH815" s="323">
        <f t="shared" si="1368"/>
        <v>0.10086442254855665</v>
      </c>
      <c r="EI815" s="323">
        <f t="shared" si="1368"/>
        <v>2.681430422759524</v>
      </c>
      <c r="EJ815" s="323">
        <f t="shared" si="1368"/>
        <v>7.1357226622450884</v>
      </c>
      <c r="EK815" s="323">
        <f t="shared" si="1368"/>
        <v>5.0993692085567657E-2</v>
      </c>
      <c r="EL815" s="323">
        <f t="shared" si="1368"/>
        <v>0.7199081113879362</v>
      </c>
      <c r="EM815" s="323">
        <f t="shared" si="1368"/>
        <v>2.1782744436593422</v>
      </c>
      <c r="EN815" s="323">
        <f t="shared" si="1368"/>
        <v>4.4297227553648515</v>
      </c>
      <c r="EO815" s="323">
        <f t="shared" si="1368"/>
        <v>9.8563909410486317E-2</v>
      </c>
      <c r="EP815" s="323">
        <f t="shared" si="1368"/>
        <v>2.364907381854027E-2</v>
      </c>
      <c r="EQ815" s="323">
        <f t="shared" si="1368"/>
        <v>2.350520414</v>
      </c>
      <c r="ER815" s="323">
        <f t="shared" si="1368"/>
        <v>7.9641907069496227</v>
      </c>
      <c r="ES815" s="323">
        <f t="shared" si="1368"/>
        <v>1.0648808655174591E-2</v>
      </c>
      <c r="ET815" s="323">
        <f t="shared" si="1368"/>
        <v>6.6596087007049221E-2</v>
      </c>
      <c r="EU815" s="323">
        <f t="shared" si="1368"/>
        <v>9.7848614553610838E-2</v>
      </c>
      <c r="EV815" s="323">
        <f t="shared" si="1368"/>
        <v>1.4425746636360746</v>
      </c>
      <c r="EW815" s="323">
        <f t="shared" si="1368"/>
        <v>0</v>
      </c>
      <c r="EX815" s="323">
        <f t="shared" si="1368"/>
        <v>0.21532801592438158</v>
      </c>
      <c r="EY815" s="323">
        <f t="shared" si="1368"/>
        <v>0</v>
      </c>
      <c r="EZ815" s="323">
        <f t="shared" si="1368"/>
        <v>0</v>
      </c>
      <c r="FA815" s="323">
        <f t="shared" si="1368"/>
        <v>9.608507644444737</v>
      </c>
      <c r="FB815" s="323">
        <f t="shared" si="1368"/>
        <v>0</v>
      </c>
      <c r="FC815" s="323">
        <f t="shared" si="1368"/>
        <v>0</v>
      </c>
      <c r="FD815" s="323">
        <f t="shared" si="1368"/>
        <v>6.3793097794931768</v>
      </c>
      <c r="FE815" s="323">
        <f t="shared" si="1368"/>
        <v>0</v>
      </c>
      <c r="FF815" s="323">
        <f t="shared" si="1368"/>
        <v>0</v>
      </c>
      <c r="FG815" s="323">
        <f t="shared" si="1368"/>
        <v>0</v>
      </c>
      <c r="FH815" s="323">
        <f t="shared" si="1368"/>
        <v>3.2316815070000011</v>
      </c>
      <c r="FI815" s="323">
        <f t="shared" si="1368"/>
        <v>0</v>
      </c>
      <c r="FJ815" s="323">
        <f t="shared" si="1368"/>
        <v>4.9663468379999998</v>
      </c>
      <c r="FK815" s="323">
        <f t="shared" si="1368"/>
        <v>0</v>
      </c>
      <c r="FL815" s="323">
        <f t="shared" si="1368"/>
        <v>0</v>
      </c>
      <c r="FM815" s="323">
        <f t="shared" si="1368"/>
        <v>0</v>
      </c>
      <c r="FN815" s="323">
        <f t="shared" si="1368"/>
        <v>0</v>
      </c>
      <c r="FO815" s="323">
        <f t="shared" ref="FO815:HD815" si="1369">FO159</f>
        <v>0</v>
      </c>
      <c r="FP815" s="323">
        <f t="shared" si="1369"/>
        <v>0</v>
      </c>
      <c r="FQ815" s="323">
        <f t="shared" si="1369"/>
        <v>0</v>
      </c>
      <c r="FR815" s="323">
        <f t="shared" si="1369"/>
        <v>0</v>
      </c>
      <c r="FS815" s="323">
        <f t="shared" si="1369"/>
        <v>0</v>
      </c>
      <c r="FT815" s="323">
        <f t="shared" si="1369"/>
        <v>4.0488905105571273</v>
      </c>
      <c r="FU815" s="323">
        <f t="shared" si="1369"/>
        <v>0</v>
      </c>
      <c r="FV815" s="323">
        <f t="shared" si="1369"/>
        <v>0</v>
      </c>
      <c r="FW815" s="323">
        <f t="shared" si="1369"/>
        <v>0</v>
      </c>
      <c r="FX815" s="323">
        <f t="shared" si="1369"/>
        <v>0</v>
      </c>
      <c r="FY815" s="323">
        <f t="shared" si="1369"/>
        <v>0</v>
      </c>
      <c r="FZ815" s="323">
        <f t="shared" si="1369"/>
        <v>0</v>
      </c>
      <c r="GA815" s="323">
        <f t="shared" si="1369"/>
        <v>6.1890712999727082</v>
      </c>
      <c r="GB815" s="323">
        <f t="shared" si="1369"/>
        <v>29.757070639362848</v>
      </c>
      <c r="GC815" s="323">
        <f t="shared" si="1369"/>
        <v>0</v>
      </c>
      <c r="GD815" s="323">
        <f t="shared" si="1369"/>
        <v>0</v>
      </c>
      <c r="GE815" s="323">
        <f t="shared" si="1369"/>
        <v>0</v>
      </c>
      <c r="GF815" s="323">
        <f t="shared" si="1369"/>
        <v>0</v>
      </c>
      <c r="GG815" s="323">
        <f t="shared" si="1369"/>
        <v>178.58328382937401</v>
      </c>
      <c r="GH815" s="323">
        <f t="shared" si="1369"/>
        <v>0</v>
      </c>
      <c r="GI815" s="323">
        <f t="shared" si="1369"/>
        <v>0</v>
      </c>
      <c r="GJ815" s="323">
        <f t="shared" si="1369"/>
        <v>0</v>
      </c>
      <c r="GK815" s="323">
        <f t="shared" si="1369"/>
        <v>0</v>
      </c>
      <c r="GL815" s="323">
        <f t="shared" si="1369"/>
        <v>5.5444920300552063</v>
      </c>
      <c r="GM815" s="323">
        <f t="shared" si="1369"/>
        <v>0</v>
      </c>
      <c r="GN815" s="323">
        <f t="shared" si="1369"/>
        <v>12.848548764</v>
      </c>
      <c r="GO815" s="323">
        <f t="shared" si="1369"/>
        <v>0</v>
      </c>
      <c r="GP815" s="323">
        <f t="shared" si="1369"/>
        <v>0</v>
      </c>
      <c r="GQ815" s="323">
        <f t="shared" si="1369"/>
        <v>0</v>
      </c>
      <c r="GR815" s="323">
        <f t="shared" si="1369"/>
        <v>138.5469546786</v>
      </c>
      <c r="GS815" s="323">
        <f t="shared" si="1369"/>
        <v>1.8062280430357145</v>
      </c>
      <c r="GT815" s="323">
        <f t="shared" si="1369"/>
        <v>0</v>
      </c>
      <c r="GU815" s="323">
        <f t="shared" si="1369"/>
        <v>0</v>
      </c>
      <c r="GV815" s="323">
        <f t="shared" si="1369"/>
        <v>0</v>
      </c>
      <c r="GW815" s="323">
        <f t="shared" si="1369"/>
        <v>2.5891985376764817</v>
      </c>
      <c r="GX815" s="323">
        <f t="shared" si="1369"/>
        <v>0</v>
      </c>
      <c r="GY815" s="323">
        <f t="shared" si="1369"/>
        <v>20.479901550034139</v>
      </c>
      <c r="GZ815" s="323">
        <f t="shared" si="1369"/>
        <v>0</v>
      </c>
      <c r="HA815" s="323">
        <f t="shared" si="1369"/>
        <v>0</v>
      </c>
      <c r="HB815" s="323">
        <f t="shared" si="1369"/>
        <v>0</v>
      </c>
      <c r="HC815" s="323">
        <f t="shared" si="1369"/>
        <v>0.98520657938470313</v>
      </c>
      <c r="HD815" s="323">
        <f t="shared" si="1369"/>
        <v>0</v>
      </c>
      <c r="HE815" s="323">
        <f t="shared" ref="HE815:HR815" si="1370">HE159</f>
        <v>81.742566145485355</v>
      </c>
      <c r="HF815" s="323">
        <f t="shared" si="1370"/>
        <v>0</v>
      </c>
      <c r="HG815" s="323">
        <f t="shared" si="1370"/>
        <v>0</v>
      </c>
      <c r="HH815" s="323">
        <f t="shared" si="1370"/>
        <v>0</v>
      </c>
      <c r="HI815" s="323">
        <f t="shared" si="1370"/>
        <v>0</v>
      </c>
      <c r="HJ815" s="323">
        <f t="shared" si="1370"/>
        <v>0</v>
      </c>
      <c r="HK815" s="323">
        <f t="shared" si="1370"/>
        <v>6.9469754804080805</v>
      </c>
      <c r="HL815" s="323">
        <f t="shared" si="1370"/>
        <v>29.104859467028962</v>
      </c>
      <c r="HM815" s="323">
        <f t="shared" si="1370"/>
        <v>0</v>
      </c>
      <c r="HN815" s="323">
        <f t="shared" si="1370"/>
        <v>0</v>
      </c>
      <c r="HO815" s="323">
        <f t="shared" si="1370"/>
        <v>0</v>
      </c>
      <c r="HP815" s="323">
        <f t="shared" si="1370"/>
        <v>0</v>
      </c>
      <c r="HQ815" s="323">
        <f t="shared" si="1370"/>
        <v>0</v>
      </c>
      <c r="HR815" s="323">
        <f t="shared" si="1370"/>
        <v>0</v>
      </c>
      <c r="HS815" s="323">
        <f t="shared" ref="HS815:HX815" si="1371">HS159</f>
        <v>0</v>
      </c>
      <c r="HT815" s="323">
        <f t="shared" si="1371"/>
        <v>0</v>
      </c>
      <c r="HU815" s="323">
        <f t="shared" si="1371"/>
        <v>0</v>
      </c>
      <c r="HV815" s="323">
        <f t="shared" si="1371"/>
        <v>0</v>
      </c>
      <c r="HW815" s="323">
        <f t="shared" si="1371"/>
        <v>0</v>
      </c>
      <c r="HX815" s="323">
        <f t="shared" si="1371"/>
        <v>0</v>
      </c>
      <c r="HY815" s="323"/>
      <c r="HZ815" s="326"/>
      <c r="IA815" s="334" t="s">
        <v>506</v>
      </c>
      <c r="IB815" s="284">
        <f t="shared" si="1262"/>
        <v>0</v>
      </c>
      <c r="IC815" s="279">
        <f t="shared" si="1263"/>
        <v>0</v>
      </c>
      <c r="ID815" s="323">
        <f t="shared" si="907"/>
        <v>0</v>
      </c>
      <c r="IE815" s="279">
        <f t="shared" si="1264"/>
        <v>0</v>
      </c>
      <c r="IF815" s="279">
        <f t="shared" si="1265"/>
        <v>0</v>
      </c>
      <c r="IG815" s="323">
        <f t="shared" si="880"/>
        <v>0</v>
      </c>
      <c r="IH815" s="284">
        <f t="shared" si="1266"/>
        <v>0</v>
      </c>
      <c r="II815" s="279">
        <f t="shared" si="1267"/>
        <v>0</v>
      </c>
      <c r="IJ815" s="323">
        <f t="shared" si="881"/>
        <v>0</v>
      </c>
      <c r="IK815" s="327">
        <f t="shared" si="1268"/>
        <v>57.95751718966082</v>
      </c>
      <c r="IL815" s="279">
        <f t="shared" si="1269"/>
        <v>10.914513992388917</v>
      </c>
      <c r="IM815" s="323">
        <f t="shared" si="882"/>
        <v>68.872031182049739</v>
      </c>
      <c r="IN815" s="279">
        <f t="shared" si="1270"/>
        <v>40.482568966944612</v>
      </c>
      <c r="IO815" s="279">
        <f t="shared" si="1271"/>
        <v>22.438638039611863</v>
      </c>
      <c r="IP815" s="323">
        <f t="shared" si="883"/>
        <v>62.921207006556472</v>
      </c>
      <c r="IQ815" s="327">
        <f t="shared" si="1272"/>
        <v>17.044921303202841</v>
      </c>
      <c r="IR815" s="327">
        <f t="shared" si="1273"/>
        <v>1.8329961897762908</v>
      </c>
      <c r="IS815" s="323">
        <f t="shared" si="884"/>
        <v>18.877917492979133</v>
      </c>
      <c r="IT815" s="327">
        <f t="shared" si="1274"/>
        <v>15.987817423937914</v>
      </c>
      <c r="IU815" s="327">
        <f t="shared" si="1275"/>
        <v>8.1980283450000009</v>
      </c>
      <c r="IV815" s="323">
        <f t="shared" si="885"/>
        <v>24.185845768937916</v>
      </c>
      <c r="IW815" s="327">
        <v>4.9684083120000002</v>
      </c>
      <c r="IX815" s="327">
        <f t="shared" si="1246"/>
        <v>4.0488905105571273</v>
      </c>
      <c r="IY815" s="323">
        <f>IW815+IX815</f>
        <v>9.0172988225571267</v>
      </c>
      <c r="IZ815" s="327">
        <f t="shared" si="1247"/>
        <v>35.946141939335554</v>
      </c>
      <c r="JA815" s="327">
        <f t="shared" si="1248"/>
        <v>178.58328382937401</v>
      </c>
      <c r="JB815" s="323">
        <f t="shared" si="887"/>
        <v>214.52942576870956</v>
      </c>
      <c r="JC815" s="327">
        <f t="shared" si="1249"/>
        <v>18.393040794055207</v>
      </c>
      <c r="JD815" s="327">
        <f t="shared" si="1250"/>
        <v>140.3531827216357</v>
      </c>
      <c r="JE815" s="323">
        <f t="shared" si="888"/>
        <v>158.7462235156909</v>
      </c>
      <c r="JF815" s="327">
        <f>SUM(GU815:GZ815)</f>
        <v>23.06910008771062</v>
      </c>
      <c r="JG815" s="327">
        <f t="shared" ref="JG815:JG877" si="1372">SUM(HA815:HF815)</f>
        <v>82.727772724870064</v>
      </c>
      <c r="JH815" s="323">
        <f t="shared" si="889"/>
        <v>105.79687281258069</v>
      </c>
      <c r="JI815" s="327">
        <f t="shared" si="909"/>
        <v>36.051834947437044</v>
      </c>
      <c r="JJ815" s="327">
        <f t="shared" si="910"/>
        <v>0</v>
      </c>
      <c r="JK815" s="323">
        <f t="shared" si="890"/>
        <v>36.051834947437044</v>
      </c>
      <c r="JL815" s="327">
        <f t="shared" si="891"/>
        <v>0</v>
      </c>
      <c r="JM815" s="327">
        <f>FISC!AK93*FISC!AK259/1000</f>
        <v>0</v>
      </c>
      <c r="JN815" s="323">
        <f>FISC!AK1121</f>
        <v>0</v>
      </c>
      <c r="JO815" s="327">
        <f>FISC!AK101*FISC!AL259/1000</f>
        <v>0</v>
      </c>
      <c r="JP815" s="327">
        <f>FISC!AL93*FISC!AL259/1000</f>
        <v>0</v>
      </c>
      <c r="JQ815" s="323">
        <f>FISC!AL1121</f>
        <v>0</v>
      </c>
      <c r="JR815" s="279">
        <f>FISC!AL101*FISC!AM259/1000</f>
        <v>0</v>
      </c>
      <c r="JS815" s="279">
        <f>JT815-JR815</f>
        <v>0</v>
      </c>
      <c r="JT815" s="323">
        <f>FISC!AM1121</f>
        <v>0</v>
      </c>
      <c r="JU815" s="279">
        <f>FISC!AM101*FISC!AN259/1000</f>
        <v>0</v>
      </c>
      <c r="JV815" s="279">
        <f t="shared" si="911"/>
        <v>0</v>
      </c>
      <c r="JW815" s="323">
        <f>FISC!AN1121</f>
        <v>0</v>
      </c>
      <c r="JX815" s="279">
        <f>FISC!AN101*FISC!AO259/1000</f>
        <v>0</v>
      </c>
      <c r="JY815" s="279">
        <f t="shared" si="895"/>
        <v>0</v>
      </c>
      <c r="JZ815" s="323">
        <f>FISC!AO1121</f>
        <v>0</v>
      </c>
      <c r="KA815" s="279">
        <f>FISC!AO101*FISC!AP259/1000</f>
        <v>0</v>
      </c>
      <c r="KB815" s="279">
        <f t="shared" si="1194"/>
        <v>0</v>
      </c>
      <c r="KC815" s="323">
        <f>FISC!AP1121</f>
        <v>0</v>
      </c>
      <c r="KD815" s="279">
        <f>FISC!AP101*FISC!AQ259/1000</f>
        <v>0</v>
      </c>
      <c r="KE815" s="279">
        <f t="shared" si="1196"/>
        <v>0</v>
      </c>
      <c r="KF815" s="323">
        <f>FISC!AQ1121</f>
        <v>0</v>
      </c>
      <c r="KG815" s="279">
        <f>FISC!AQ101*FISC!AR259/1000</f>
        <v>0</v>
      </c>
      <c r="KH815" s="279">
        <f t="shared" si="1198"/>
        <v>0</v>
      </c>
      <c r="KI815" s="323">
        <f>FISC!AR1121</f>
        <v>0</v>
      </c>
      <c r="KJ815" s="279">
        <f>FISC!AR101*FISC!AS259/1000</f>
        <v>0</v>
      </c>
      <c r="KK815" s="279">
        <f t="shared" si="1200"/>
        <v>0</v>
      </c>
      <c r="KL815" s="323">
        <f>FISC!AS1121</f>
        <v>0</v>
      </c>
      <c r="KM815" s="279">
        <f>FISC!AS101*FISC!AT259/1000</f>
        <v>0</v>
      </c>
      <c r="KN815" s="279">
        <f t="shared" si="1202"/>
        <v>0</v>
      </c>
      <c r="KO815" s="323">
        <f>FISC!AT1121</f>
        <v>0</v>
      </c>
      <c r="KU815" s="326"/>
      <c r="KV815" s="327"/>
    </row>
    <row r="816" spans="1:314">
      <c r="A816" s="279"/>
      <c r="D816" s="334" t="str">
        <f>FISC!D1122</f>
        <v>o/w UK</v>
      </c>
      <c r="E816" s="323"/>
      <c r="F816" s="323"/>
      <c r="G816" s="323"/>
      <c r="H816" s="323"/>
      <c r="I816" s="323"/>
      <c r="J816" s="323"/>
      <c r="K816" s="323"/>
      <c r="L816" s="323"/>
      <c r="M816" s="323"/>
      <c r="N816" s="323"/>
      <c r="O816" s="323"/>
      <c r="P816" s="323"/>
      <c r="Q816" s="323"/>
      <c r="R816" s="323"/>
      <c r="S816" s="323"/>
      <c r="T816" s="323"/>
      <c r="U816" s="323"/>
      <c r="V816" s="323"/>
      <c r="W816" s="323"/>
      <c r="X816" s="323"/>
      <c r="Y816" s="323"/>
      <c r="Z816" s="323"/>
      <c r="AA816" s="323"/>
      <c r="AB816" s="323"/>
      <c r="AC816" s="323"/>
      <c r="AD816" s="323"/>
      <c r="AE816" s="323"/>
      <c r="AF816" s="323"/>
      <c r="AG816" s="323"/>
      <c r="AH816" s="323"/>
      <c r="AI816" s="323"/>
      <c r="AJ816" s="323"/>
      <c r="AK816" s="323"/>
      <c r="AL816" s="323"/>
      <c r="AM816" s="323"/>
      <c r="AN816" s="323"/>
      <c r="AO816" s="323"/>
      <c r="AP816" s="323"/>
      <c r="AQ816" s="323"/>
      <c r="AR816" s="323"/>
      <c r="AS816" s="323"/>
      <c r="AT816" s="323"/>
      <c r="AU816" s="323"/>
      <c r="AV816" s="323"/>
      <c r="AW816" s="323"/>
      <c r="AX816" s="323"/>
      <c r="AY816" s="323"/>
      <c r="AZ816" s="323"/>
      <c r="BA816" s="323"/>
      <c r="BB816" s="323"/>
      <c r="BC816" s="323"/>
      <c r="BD816" s="323"/>
      <c r="BE816" s="323"/>
      <c r="BF816" s="323"/>
      <c r="BG816" s="323"/>
      <c r="BH816" s="323"/>
      <c r="BI816" s="323"/>
      <c r="BJ816" s="323"/>
      <c r="BK816" s="323"/>
      <c r="BL816" s="323"/>
      <c r="BM816" s="323"/>
      <c r="BN816" s="323"/>
      <c r="BO816" s="323"/>
      <c r="BP816" s="323"/>
      <c r="BQ816" s="323"/>
      <c r="BR816" s="323"/>
      <c r="BS816" s="323"/>
      <c r="BT816" s="323"/>
      <c r="BU816" s="323"/>
      <c r="BV816" s="323"/>
      <c r="BW816" s="323"/>
      <c r="BX816" s="323"/>
      <c r="BY816" s="323"/>
      <c r="BZ816" s="323"/>
      <c r="CA816" s="323"/>
      <c r="CB816" s="323"/>
      <c r="CC816" s="323"/>
      <c r="CD816" s="329"/>
      <c r="CE816" s="323"/>
      <c r="CF816" s="323"/>
      <c r="CG816" s="323"/>
      <c r="CH816" s="323"/>
      <c r="CI816" s="323"/>
      <c r="CJ816" s="323"/>
      <c r="CK816" s="323"/>
      <c r="CL816" s="323"/>
      <c r="CM816" s="323"/>
      <c r="CN816" s="323"/>
      <c r="CO816" s="323"/>
      <c r="CP816" s="325"/>
      <c r="CQ816" s="323"/>
      <c r="CR816" s="323"/>
      <c r="CS816" s="323"/>
      <c r="CT816" s="323"/>
      <c r="CU816" s="323"/>
      <c r="CV816" s="323"/>
      <c r="CW816" s="323"/>
      <c r="CX816" s="323"/>
      <c r="CY816" s="323"/>
      <c r="CZ816" s="323"/>
      <c r="DA816" s="323"/>
      <c r="DB816" s="1269"/>
      <c r="DC816" s="323"/>
      <c r="DD816" s="323"/>
      <c r="DE816" s="323"/>
      <c r="DF816" s="323"/>
      <c r="DG816" s="323"/>
      <c r="DH816" s="323"/>
      <c r="DI816" s="323"/>
      <c r="DJ816" s="323"/>
      <c r="DK816" s="323"/>
      <c r="DL816" s="323"/>
      <c r="DM816" s="323"/>
      <c r="DN816" s="325"/>
      <c r="DO816" s="323"/>
      <c r="DP816" s="323"/>
      <c r="DQ816" s="323"/>
      <c r="DR816" s="323"/>
      <c r="DS816" s="323"/>
      <c r="DT816" s="323"/>
      <c r="DU816" s="323"/>
      <c r="DV816" s="323"/>
      <c r="DW816" s="323"/>
      <c r="DX816" s="323"/>
      <c r="DY816" s="323"/>
      <c r="DZ816" s="325"/>
      <c r="EA816" s="323"/>
      <c r="EB816" s="323"/>
      <c r="EC816" s="323"/>
      <c r="ED816" s="323"/>
      <c r="EE816" s="323"/>
      <c r="EF816" s="323"/>
      <c r="EG816" s="323"/>
      <c r="EH816" s="323"/>
      <c r="EI816" s="323"/>
      <c r="EJ816" s="323"/>
      <c r="EK816" s="323"/>
      <c r="EL816" s="325"/>
      <c r="EM816" s="323"/>
      <c r="EN816" s="323"/>
      <c r="EO816" s="323"/>
      <c r="EP816" s="323"/>
      <c r="EQ816" s="323"/>
      <c r="ER816" s="323"/>
      <c r="ES816" s="323"/>
      <c r="ET816" s="323"/>
      <c r="EU816" s="323"/>
      <c r="EV816" s="323"/>
      <c r="EW816" s="323"/>
      <c r="EX816" s="325"/>
      <c r="EY816" s="323"/>
      <c r="EZ816" s="323"/>
      <c r="FA816" s="323"/>
      <c r="FB816" s="323"/>
      <c r="FC816" s="323"/>
      <c r="FD816" s="323"/>
      <c r="FE816" s="323"/>
      <c r="FF816" s="323"/>
      <c r="FG816" s="323"/>
      <c r="FH816" s="323"/>
      <c r="FI816" s="323"/>
      <c r="FJ816" s="325"/>
      <c r="FK816" s="323"/>
      <c r="FL816" s="323"/>
      <c r="FM816" s="323"/>
      <c r="FN816" s="323"/>
      <c r="FO816" s="323"/>
      <c r="FP816" s="323"/>
      <c r="FQ816" s="323"/>
      <c r="FR816" s="323"/>
      <c r="FS816" s="323"/>
      <c r="FT816" s="323"/>
      <c r="FU816" s="323"/>
      <c r="FV816" s="323"/>
      <c r="FW816" s="323">
        <v>0</v>
      </c>
      <c r="FX816" s="323">
        <v>0</v>
      </c>
      <c r="FY816" s="323">
        <v>0</v>
      </c>
      <c r="FZ816" s="323">
        <v>0</v>
      </c>
      <c r="GA816" s="323">
        <v>0</v>
      </c>
      <c r="GB816" s="323">
        <v>0</v>
      </c>
      <c r="GC816" s="323">
        <v>0</v>
      </c>
      <c r="GD816" s="323">
        <v>0</v>
      </c>
      <c r="GE816" s="323">
        <v>0</v>
      </c>
      <c r="GF816" s="323">
        <v>0</v>
      </c>
      <c r="GG816" s="323">
        <v>178.58328382937401</v>
      </c>
      <c r="GH816" s="323">
        <v>0</v>
      </c>
      <c r="GI816" s="323">
        <v>0</v>
      </c>
      <c r="GJ816" s="323">
        <v>0</v>
      </c>
      <c r="GK816" s="323">
        <v>0</v>
      </c>
      <c r="GL816" s="323">
        <v>0</v>
      </c>
      <c r="GM816" s="323">
        <v>0</v>
      </c>
      <c r="GN816" s="323">
        <v>0</v>
      </c>
      <c r="GO816" s="323">
        <v>1</v>
      </c>
      <c r="GP816" s="323">
        <v>2</v>
      </c>
      <c r="GQ816" s="323">
        <v>3</v>
      </c>
      <c r="GR816" s="323">
        <v>4</v>
      </c>
      <c r="GS816" s="323">
        <v>5</v>
      </c>
      <c r="GT816" s="323">
        <v>6</v>
      </c>
      <c r="GU816" s="323">
        <v>0</v>
      </c>
      <c r="GV816" s="323">
        <v>0</v>
      </c>
      <c r="GW816" s="323">
        <v>0</v>
      </c>
      <c r="GX816" s="323">
        <v>0</v>
      </c>
      <c r="GY816" s="323">
        <v>0</v>
      </c>
      <c r="GZ816" s="323">
        <v>0</v>
      </c>
      <c r="HA816" s="323">
        <v>0</v>
      </c>
      <c r="HB816" s="323">
        <v>0</v>
      </c>
      <c r="HC816" s="323">
        <v>0</v>
      </c>
      <c r="HD816" s="323">
        <v>0</v>
      </c>
      <c r="HE816" s="323">
        <v>81.74256614548537</v>
      </c>
      <c r="HF816" s="323">
        <v>0</v>
      </c>
      <c r="HG816" s="323">
        <v>0</v>
      </c>
      <c r="HH816" s="323">
        <v>0</v>
      </c>
      <c r="HI816" s="323">
        <v>0</v>
      </c>
      <c r="HJ816" s="323">
        <v>0</v>
      </c>
      <c r="HK816" s="323">
        <v>0</v>
      </c>
      <c r="HL816" s="323">
        <v>0</v>
      </c>
      <c r="HM816" s="323">
        <v>0</v>
      </c>
      <c r="HN816" s="323">
        <v>0</v>
      </c>
      <c r="HO816" s="323">
        <v>0</v>
      </c>
      <c r="HP816" s="323">
        <v>0</v>
      </c>
      <c r="HQ816" s="323">
        <v>0</v>
      </c>
      <c r="HR816" s="323">
        <v>0</v>
      </c>
      <c r="HS816" s="323">
        <v>0</v>
      </c>
      <c r="HT816" s="323">
        <v>0</v>
      </c>
      <c r="HU816" s="323">
        <v>0</v>
      </c>
      <c r="HV816" s="323">
        <v>0</v>
      </c>
      <c r="HW816" s="323">
        <v>0</v>
      </c>
      <c r="HX816" s="323">
        <v>0</v>
      </c>
      <c r="HY816" s="323"/>
      <c r="HZ816" s="326"/>
      <c r="IA816" s="335" t="s">
        <v>3278</v>
      </c>
      <c r="IB816" s="284"/>
      <c r="ID816" s="323"/>
      <c r="IG816" s="323"/>
      <c r="IH816" s="284"/>
      <c r="IJ816" s="323"/>
      <c r="IK816" s="327"/>
      <c r="IM816" s="323"/>
      <c r="IP816" s="323"/>
      <c r="IQ816" s="327"/>
      <c r="IR816" s="327"/>
      <c r="IS816" s="323"/>
      <c r="IT816" s="327"/>
      <c r="IU816" s="327"/>
      <c r="IV816" s="323"/>
      <c r="IW816" s="327"/>
      <c r="IX816" s="327"/>
      <c r="IY816" s="323"/>
      <c r="IZ816" s="327">
        <f t="shared" si="1247"/>
        <v>0</v>
      </c>
      <c r="JA816" s="327">
        <f t="shared" si="1248"/>
        <v>178.58328382937401</v>
      </c>
      <c r="JB816" s="323">
        <f t="shared" si="887"/>
        <v>178.58328382937401</v>
      </c>
      <c r="JC816" s="327">
        <f t="shared" si="1249"/>
        <v>0</v>
      </c>
      <c r="JD816" s="327">
        <f t="shared" si="1250"/>
        <v>21</v>
      </c>
      <c r="JE816" s="323">
        <f t="shared" si="888"/>
        <v>21</v>
      </c>
      <c r="JF816" s="327">
        <f>SUM(GU816:GZ816)</f>
        <v>0</v>
      </c>
      <c r="JG816" s="327">
        <f t="shared" si="1372"/>
        <v>81.74256614548537</v>
      </c>
      <c r="JH816" s="323">
        <f t="shared" si="889"/>
        <v>81.74256614548537</v>
      </c>
      <c r="JI816" s="327">
        <f t="shared" si="909"/>
        <v>0</v>
      </c>
      <c r="JJ816" s="327">
        <f t="shared" si="910"/>
        <v>0</v>
      </c>
      <c r="JK816" s="323">
        <f t="shared" si="890"/>
        <v>0</v>
      </c>
      <c r="JL816" s="327">
        <f t="shared" si="891"/>
        <v>0</v>
      </c>
      <c r="JM816" s="327">
        <f>JN816-JL816</f>
        <v>0</v>
      </c>
      <c r="JN816" s="323">
        <f>FISC!AK1122</f>
        <v>0</v>
      </c>
      <c r="JO816" s="327">
        <f>JQ816/2</f>
        <v>0</v>
      </c>
      <c r="JP816" s="327">
        <f>JQ816-JO816</f>
        <v>0</v>
      </c>
      <c r="JQ816" s="323">
        <f>FISC!AL1122</f>
        <v>0</v>
      </c>
      <c r="JT816" s="323">
        <f>FISC!AM1122</f>
        <v>0</v>
      </c>
      <c r="JW816" s="323">
        <f>FISC!AN1122</f>
        <v>0</v>
      </c>
      <c r="JZ816" s="323">
        <f>FISC!AO1122</f>
        <v>0</v>
      </c>
      <c r="KC816" s="323">
        <f>FISC!AP1122</f>
        <v>1</v>
      </c>
      <c r="KF816" s="323">
        <f>FISC!AQ1122</f>
        <v>2</v>
      </c>
      <c r="KI816" s="323">
        <f>FISC!AR1122</f>
        <v>3</v>
      </c>
      <c r="KL816" s="323">
        <f>FISC!AS1122</f>
        <v>4</v>
      </c>
      <c r="KO816" s="323">
        <f>FISC!AT1122</f>
        <v>5</v>
      </c>
      <c r="KU816" s="326"/>
      <c r="KV816" s="327"/>
    </row>
    <row r="817" spans="1:314">
      <c r="A817" s="279"/>
      <c r="B817" s="96" t="s">
        <v>338</v>
      </c>
      <c r="D817" s="334" t="s">
        <v>507</v>
      </c>
      <c r="E817" s="323"/>
      <c r="F817" s="323"/>
      <c r="G817" s="323"/>
      <c r="H817" s="323"/>
      <c r="I817" s="323"/>
      <c r="J817" s="323"/>
      <c r="K817" s="323"/>
      <c r="L817" s="323"/>
      <c r="M817" s="323"/>
      <c r="N817" s="323"/>
      <c r="O817" s="323"/>
      <c r="P817" s="323"/>
      <c r="Q817" s="323"/>
      <c r="R817" s="323"/>
      <c r="S817" s="323"/>
      <c r="T817" s="323"/>
      <c r="U817" s="323"/>
      <c r="V817" s="323"/>
      <c r="W817" s="323"/>
      <c r="X817" s="323"/>
      <c r="Y817" s="323"/>
      <c r="Z817" s="323"/>
      <c r="AA817" s="323"/>
      <c r="AB817" s="323"/>
      <c r="AC817" s="323"/>
      <c r="AD817" s="323"/>
      <c r="AE817" s="323"/>
      <c r="AF817" s="323"/>
      <c r="AG817" s="323"/>
      <c r="AH817" s="323"/>
      <c r="AI817" s="323"/>
      <c r="AJ817" s="323"/>
      <c r="AK817" s="323"/>
      <c r="AL817" s="323"/>
      <c r="AM817" s="323"/>
      <c r="AN817" s="323"/>
      <c r="AO817" s="323">
        <v>0</v>
      </c>
      <c r="AP817" s="323">
        <v>0</v>
      </c>
      <c r="AQ817" s="323">
        <v>0</v>
      </c>
      <c r="AR817" s="323">
        <v>0</v>
      </c>
      <c r="AS817" s="323">
        <v>0</v>
      </c>
      <c r="AT817" s="323">
        <v>0</v>
      </c>
      <c r="AU817" s="323">
        <v>0</v>
      </c>
      <c r="AV817" s="323">
        <v>0</v>
      </c>
      <c r="AW817" s="323">
        <v>0</v>
      </c>
      <c r="AX817" s="323">
        <v>0</v>
      </c>
      <c r="AY817" s="323">
        <v>0</v>
      </c>
      <c r="AZ817" s="323">
        <v>0</v>
      </c>
      <c r="BA817" s="323">
        <v>0</v>
      </c>
      <c r="BB817" s="323">
        <v>0</v>
      </c>
      <c r="BC817" s="323">
        <v>0</v>
      </c>
      <c r="BD817" s="323">
        <v>0</v>
      </c>
      <c r="BE817" s="323">
        <v>0</v>
      </c>
      <c r="BF817" s="323">
        <v>0</v>
      </c>
      <c r="BG817" s="323">
        <v>0</v>
      </c>
      <c r="BH817" s="323">
        <v>0</v>
      </c>
      <c r="BI817" s="323">
        <v>0</v>
      </c>
      <c r="BJ817" s="323">
        <v>0</v>
      </c>
      <c r="BK817" s="323">
        <v>0</v>
      </c>
      <c r="BL817" s="323">
        <v>0</v>
      </c>
      <c r="BM817" s="323">
        <v>0</v>
      </c>
      <c r="BN817" s="323">
        <v>0</v>
      </c>
      <c r="BO817" s="323">
        <v>0</v>
      </c>
      <c r="BP817" s="323">
        <v>0</v>
      </c>
      <c r="BQ817" s="323">
        <v>0</v>
      </c>
      <c r="BR817" s="323">
        <v>0</v>
      </c>
      <c r="BS817" s="323">
        <v>0</v>
      </c>
      <c r="BT817" s="323">
        <v>0</v>
      </c>
      <c r="BU817" s="323">
        <v>0</v>
      </c>
      <c r="BV817" s="323">
        <v>0</v>
      </c>
      <c r="BW817" s="323">
        <v>0</v>
      </c>
      <c r="BX817" s="323">
        <v>0</v>
      </c>
      <c r="BY817" s="323">
        <v>0</v>
      </c>
      <c r="BZ817" s="323">
        <v>0</v>
      </c>
      <c r="CA817" s="323">
        <v>0</v>
      </c>
      <c r="CB817" s="323">
        <v>0</v>
      </c>
      <c r="CC817" s="323">
        <v>0</v>
      </c>
      <c r="CD817" s="329"/>
      <c r="CE817" s="323">
        <f t="shared" ref="CE817:DB817" si="1373">CE414</f>
        <v>0</v>
      </c>
      <c r="CF817" s="323">
        <f t="shared" si="1373"/>
        <v>0</v>
      </c>
      <c r="CG817" s="323">
        <f t="shared" si="1373"/>
        <v>0</v>
      </c>
      <c r="CH817" s="323">
        <f t="shared" si="1373"/>
        <v>0</v>
      </c>
      <c r="CI817" s="323">
        <f t="shared" si="1373"/>
        <v>0</v>
      </c>
      <c r="CJ817" s="323">
        <f t="shared" si="1373"/>
        <v>0</v>
      </c>
      <c r="CK817" s="323">
        <f t="shared" si="1373"/>
        <v>0</v>
      </c>
      <c r="CL817" s="323">
        <f t="shared" si="1373"/>
        <v>0</v>
      </c>
      <c r="CM817" s="323">
        <f t="shared" si="1373"/>
        <v>0</v>
      </c>
      <c r="CN817" s="323">
        <f t="shared" si="1373"/>
        <v>0</v>
      </c>
      <c r="CO817" s="323">
        <f t="shared" si="1373"/>
        <v>0</v>
      </c>
      <c r="CP817" s="325">
        <f t="shared" si="1373"/>
        <v>0</v>
      </c>
      <c r="CQ817" s="323">
        <f t="shared" si="1373"/>
        <v>0</v>
      </c>
      <c r="CR817" s="323">
        <f t="shared" si="1373"/>
        <v>0</v>
      </c>
      <c r="CS817" s="323">
        <f t="shared" si="1373"/>
        <v>0</v>
      </c>
      <c r="CT817" s="323">
        <f t="shared" si="1373"/>
        <v>0</v>
      </c>
      <c r="CU817" s="323">
        <f t="shared" si="1373"/>
        <v>0</v>
      </c>
      <c r="CV817" s="323">
        <f t="shared" si="1373"/>
        <v>0</v>
      </c>
      <c r="CW817" s="323">
        <f t="shared" si="1373"/>
        <v>0</v>
      </c>
      <c r="CX817" s="323">
        <f t="shared" si="1373"/>
        <v>0</v>
      </c>
      <c r="CY817" s="323">
        <f t="shared" si="1373"/>
        <v>0</v>
      </c>
      <c r="CZ817" s="323">
        <f t="shared" si="1373"/>
        <v>0</v>
      </c>
      <c r="DA817" s="323">
        <f t="shared" si="1373"/>
        <v>0</v>
      </c>
      <c r="DB817" s="1269">
        <f t="shared" si="1373"/>
        <v>0</v>
      </c>
      <c r="DC817" s="323">
        <f t="shared" ref="DC817:DZ817" si="1374">DC166</f>
        <v>0</v>
      </c>
      <c r="DD817" s="323">
        <f t="shared" si="1374"/>
        <v>0</v>
      </c>
      <c r="DE817" s="323">
        <f t="shared" si="1374"/>
        <v>0</v>
      </c>
      <c r="DF817" s="323">
        <f t="shared" si="1374"/>
        <v>0</v>
      </c>
      <c r="DG817" s="323">
        <f t="shared" si="1374"/>
        <v>0</v>
      </c>
      <c r="DH817" s="323">
        <f t="shared" si="1374"/>
        <v>0</v>
      </c>
      <c r="DI817" s="323">
        <f t="shared" si="1374"/>
        <v>0</v>
      </c>
      <c r="DJ817" s="323">
        <f t="shared" si="1374"/>
        <v>0</v>
      </c>
      <c r="DK817" s="323">
        <f t="shared" si="1374"/>
        <v>0</v>
      </c>
      <c r="DL817" s="323">
        <f t="shared" si="1374"/>
        <v>0</v>
      </c>
      <c r="DM817" s="323">
        <f t="shared" si="1374"/>
        <v>0</v>
      </c>
      <c r="DN817" s="325">
        <f t="shared" si="1374"/>
        <v>0</v>
      </c>
      <c r="DO817" s="323">
        <f t="shared" si="1374"/>
        <v>0</v>
      </c>
      <c r="DP817" s="323">
        <f t="shared" si="1374"/>
        <v>0</v>
      </c>
      <c r="DQ817" s="323">
        <f t="shared" si="1374"/>
        <v>0</v>
      </c>
      <c r="DR817" s="323">
        <f t="shared" si="1374"/>
        <v>0</v>
      </c>
      <c r="DS817" s="323">
        <f t="shared" si="1374"/>
        <v>0</v>
      </c>
      <c r="DT817" s="323">
        <f t="shared" si="1374"/>
        <v>0</v>
      </c>
      <c r="DU817" s="323">
        <f t="shared" si="1374"/>
        <v>0</v>
      </c>
      <c r="DV817" s="323">
        <f t="shared" si="1374"/>
        <v>0</v>
      </c>
      <c r="DW817" s="323">
        <f t="shared" si="1374"/>
        <v>0</v>
      </c>
      <c r="DX817" s="323">
        <f t="shared" si="1374"/>
        <v>0</v>
      </c>
      <c r="DY817" s="323">
        <f t="shared" si="1374"/>
        <v>0</v>
      </c>
      <c r="DZ817" s="325">
        <f t="shared" si="1374"/>
        <v>0</v>
      </c>
      <c r="EA817" s="323">
        <f>EA166</f>
        <v>0</v>
      </c>
      <c r="EB817" s="323">
        <f t="shared" ref="EB817:GM817" si="1375">EB166</f>
        <v>0</v>
      </c>
      <c r="EC817" s="323">
        <f t="shared" si="1375"/>
        <v>0</v>
      </c>
      <c r="ED817" s="323">
        <f t="shared" si="1375"/>
        <v>0</v>
      </c>
      <c r="EE817" s="323">
        <f t="shared" si="1375"/>
        <v>0</v>
      </c>
      <c r="EF817" s="323">
        <f t="shared" si="1375"/>
        <v>0</v>
      </c>
      <c r="EG817" s="323">
        <f t="shared" si="1375"/>
        <v>0</v>
      </c>
      <c r="EH817" s="323">
        <f t="shared" si="1375"/>
        <v>0</v>
      </c>
      <c r="EI817" s="323">
        <f t="shared" si="1375"/>
        <v>0</v>
      </c>
      <c r="EJ817" s="323">
        <f t="shared" si="1375"/>
        <v>0</v>
      </c>
      <c r="EK817" s="323">
        <f t="shared" si="1375"/>
        <v>0</v>
      </c>
      <c r="EL817" s="325">
        <f t="shared" si="1375"/>
        <v>0</v>
      </c>
      <c r="EM817" s="323">
        <f t="shared" si="1375"/>
        <v>0</v>
      </c>
      <c r="EN817" s="323">
        <f t="shared" si="1375"/>
        <v>0</v>
      </c>
      <c r="EO817" s="323">
        <f t="shared" si="1375"/>
        <v>0</v>
      </c>
      <c r="EP817" s="323">
        <f t="shared" si="1375"/>
        <v>0</v>
      </c>
      <c r="EQ817" s="323">
        <f t="shared" si="1375"/>
        <v>0</v>
      </c>
      <c r="ER817" s="323">
        <f t="shared" si="1375"/>
        <v>0</v>
      </c>
      <c r="ES817" s="323">
        <f t="shared" si="1375"/>
        <v>0</v>
      </c>
      <c r="ET817" s="323">
        <f t="shared" si="1375"/>
        <v>0</v>
      </c>
      <c r="EU817" s="323">
        <f t="shared" si="1375"/>
        <v>0</v>
      </c>
      <c r="EV817" s="323">
        <f t="shared" si="1375"/>
        <v>0</v>
      </c>
      <c r="EW817" s="323">
        <f t="shared" si="1375"/>
        <v>0</v>
      </c>
      <c r="EX817" s="325">
        <f t="shared" si="1375"/>
        <v>0</v>
      </c>
      <c r="EY817" s="323">
        <f t="shared" si="1375"/>
        <v>0</v>
      </c>
      <c r="EZ817" s="323">
        <f t="shared" si="1375"/>
        <v>0</v>
      </c>
      <c r="FA817" s="323">
        <f t="shared" si="1375"/>
        <v>0</v>
      </c>
      <c r="FB817" s="323">
        <f t="shared" si="1375"/>
        <v>0</v>
      </c>
      <c r="FC817" s="323">
        <f t="shared" si="1375"/>
        <v>0</v>
      </c>
      <c r="FD817" s="323">
        <f t="shared" si="1375"/>
        <v>0</v>
      </c>
      <c r="FE817" s="323">
        <f t="shared" si="1375"/>
        <v>0</v>
      </c>
      <c r="FF817" s="323">
        <f t="shared" si="1375"/>
        <v>0</v>
      </c>
      <c r="FG817" s="323">
        <f t="shared" si="1375"/>
        <v>0</v>
      </c>
      <c r="FH817" s="323">
        <f t="shared" si="1375"/>
        <v>0</v>
      </c>
      <c r="FI817" s="323">
        <f t="shared" si="1375"/>
        <v>0</v>
      </c>
      <c r="FJ817" s="325">
        <f t="shared" si="1375"/>
        <v>0</v>
      </c>
      <c r="FK817" s="323">
        <f t="shared" si="1375"/>
        <v>0</v>
      </c>
      <c r="FL817" s="323">
        <f t="shared" si="1375"/>
        <v>0</v>
      </c>
      <c r="FM817" s="323">
        <f t="shared" si="1375"/>
        <v>0</v>
      </c>
      <c r="FN817" s="323">
        <f t="shared" si="1375"/>
        <v>0</v>
      </c>
      <c r="FO817" s="323">
        <f t="shared" si="1375"/>
        <v>0</v>
      </c>
      <c r="FP817" s="323">
        <f t="shared" si="1375"/>
        <v>0</v>
      </c>
      <c r="FQ817" s="323">
        <f t="shared" si="1375"/>
        <v>0</v>
      </c>
      <c r="FR817" s="323">
        <f t="shared" si="1375"/>
        <v>0</v>
      </c>
      <c r="FS817" s="323">
        <f t="shared" si="1375"/>
        <v>0</v>
      </c>
      <c r="FT817" s="323">
        <f t="shared" si="1375"/>
        <v>0</v>
      </c>
      <c r="FU817" s="323">
        <f t="shared" si="1375"/>
        <v>0</v>
      </c>
      <c r="FV817" s="323">
        <f t="shared" si="1375"/>
        <v>0</v>
      </c>
      <c r="FW817" s="323">
        <f t="shared" si="1375"/>
        <v>0</v>
      </c>
      <c r="FX817" s="323">
        <f t="shared" si="1375"/>
        <v>0</v>
      </c>
      <c r="FY817" s="323">
        <f t="shared" si="1375"/>
        <v>0</v>
      </c>
      <c r="FZ817" s="323">
        <f t="shared" si="1375"/>
        <v>0</v>
      </c>
      <c r="GA817" s="323">
        <f t="shared" si="1375"/>
        <v>0</v>
      </c>
      <c r="GB817" s="323">
        <f t="shared" si="1375"/>
        <v>0</v>
      </c>
      <c r="GC817" s="323">
        <f t="shared" si="1375"/>
        <v>0</v>
      </c>
      <c r="GD817" s="323">
        <f t="shared" si="1375"/>
        <v>0</v>
      </c>
      <c r="GE817" s="323">
        <f t="shared" si="1375"/>
        <v>0</v>
      </c>
      <c r="GF817" s="323">
        <f>GF166</f>
        <v>0</v>
      </c>
      <c r="GG817" s="323">
        <f t="shared" si="1375"/>
        <v>0</v>
      </c>
      <c r="GH817" s="323">
        <f t="shared" si="1375"/>
        <v>0</v>
      </c>
      <c r="GI817" s="323">
        <f t="shared" si="1375"/>
        <v>14.81502815</v>
      </c>
      <c r="GJ817" s="323">
        <f t="shared" si="1375"/>
        <v>14.81502815</v>
      </c>
      <c r="GK817" s="323">
        <f t="shared" si="1375"/>
        <v>14.81502815</v>
      </c>
      <c r="GL817" s="323">
        <f t="shared" si="1375"/>
        <v>14.81502815</v>
      </c>
      <c r="GM817" s="323">
        <f t="shared" si="1375"/>
        <v>14.81502815</v>
      </c>
      <c r="GN817" s="323">
        <f t="shared" ref="GN817:HR817" si="1376">GN166</f>
        <v>14.81502815</v>
      </c>
      <c r="GO817" s="323">
        <f t="shared" si="1376"/>
        <v>26.330020899520001</v>
      </c>
      <c r="GP817" s="323">
        <f t="shared" si="1376"/>
        <v>26.330020899520001</v>
      </c>
      <c r="GQ817" s="323">
        <f t="shared" si="1376"/>
        <v>26.330020899520001</v>
      </c>
      <c r="GR817" s="323">
        <f t="shared" si="1376"/>
        <v>26.330020899520001</v>
      </c>
      <c r="GS817" s="323">
        <f t="shared" si="1376"/>
        <v>26.330020899520001</v>
      </c>
      <c r="GT817" s="323">
        <f t="shared" si="1376"/>
        <v>26.330020899520001</v>
      </c>
      <c r="GU817" s="323">
        <f t="shared" si="1376"/>
        <v>0</v>
      </c>
      <c r="GV817" s="323">
        <f t="shared" si="1376"/>
        <v>0</v>
      </c>
      <c r="GW817" s="323">
        <f t="shared" si="1376"/>
        <v>72.266987752008589</v>
      </c>
      <c r="GX817" s="323">
        <f t="shared" si="1376"/>
        <v>0</v>
      </c>
      <c r="GY817" s="323">
        <f t="shared" si="1376"/>
        <v>0</v>
      </c>
      <c r="GZ817" s="323">
        <f t="shared" si="1376"/>
        <v>72.266987752008589</v>
      </c>
      <c r="HA817" s="323">
        <f t="shared" si="1376"/>
        <v>0</v>
      </c>
      <c r="HB817" s="323">
        <f t="shared" si="1376"/>
        <v>0</v>
      </c>
      <c r="HC817" s="323">
        <f t="shared" si="1376"/>
        <v>86.715186151799713</v>
      </c>
      <c r="HD817" s="323">
        <f t="shared" si="1376"/>
        <v>0</v>
      </c>
      <c r="HE817" s="323">
        <f t="shared" si="1376"/>
        <v>0</v>
      </c>
      <c r="HF817" s="323">
        <f t="shared" si="1376"/>
        <v>86.715186151799713</v>
      </c>
      <c r="HG817" s="323">
        <f t="shared" si="1376"/>
        <v>0</v>
      </c>
      <c r="HH817" s="323">
        <f t="shared" si="1376"/>
        <v>0</v>
      </c>
      <c r="HI817" s="323">
        <f t="shared" si="1376"/>
        <v>76.674013141162661</v>
      </c>
      <c r="HJ817" s="323">
        <f t="shared" si="1376"/>
        <v>0</v>
      </c>
      <c r="HK817" s="323">
        <f t="shared" si="1376"/>
        <v>0</v>
      </c>
      <c r="HL817" s="323">
        <f t="shared" si="1376"/>
        <v>76.674013141162661</v>
      </c>
      <c r="HM817" s="323">
        <f t="shared" si="1376"/>
        <v>0</v>
      </c>
      <c r="HN817" s="323">
        <f t="shared" si="1376"/>
        <v>0</v>
      </c>
      <c r="HO817" s="323">
        <f t="shared" si="1376"/>
        <v>67.522017559415104</v>
      </c>
      <c r="HP817" s="323">
        <f t="shared" si="1376"/>
        <v>0</v>
      </c>
      <c r="HQ817" s="323">
        <f t="shared" si="1376"/>
        <v>0</v>
      </c>
      <c r="HR817" s="323">
        <f t="shared" si="1376"/>
        <v>68.214742099381553</v>
      </c>
      <c r="HS817" s="323">
        <f t="shared" ref="HS817:HX817" si="1377">HS166</f>
        <v>0</v>
      </c>
      <c r="HT817" s="323">
        <f t="shared" si="1377"/>
        <v>0</v>
      </c>
      <c r="HU817" s="323">
        <f t="shared" si="1377"/>
        <v>69.447124157592043</v>
      </c>
      <c r="HV817" s="323">
        <f t="shared" si="1377"/>
        <v>0</v>
      </c>
      <c r="HW817" s="323">
        <f t="shared" si="1377"/>
        <v>0</v>
      </c>
      <c r="HX817" s="323">
        <f t="shared" si="1377"/>
        <v>69.765940058209665</v>
      </c>
      <c r="HY817" s="323"/>
      <c r="HZ817" s="326"/>
      <c r="IA817" s="334" t="s">
        <v>507</v>
      </c>
      <c r="IB817" s="284">
        <f>SUM(CE817:CJ817)</f>
        <v>0</v>
      </c>
      <c r="IC817" s="279">
        <f>SUM(CK817:CP817)</f>
        <v>0</v>
      </c>
      <c r="ID817" s="323">
        <f>IB817+IC817</f>
        <v>0</v>
      </c>
      <c r="IE817" s="279">
        <f>SUM(CQ817:CV817)</f>
        <v>0</v>
      </c>
      <c r="IF817" s="279">
        <f>SUM(CW817:DB817)</f>
        <v>0</v>
      </c>
      <c r="IG817" s="323">
        <f t="shared" si="880"/>
        <v>0</v>
      </c>
      <c r="IH817" s="284">
        <f>SUM(DC817:DH817)</f>
        <v>0</v>
      </c>
      <c r="II817" s="279">
        <f>SUM(DI817:DN817)</f>
        <v>0</v>
      </c>
      <c r="IJ817" s="323">
        <f t="shared" si="881"/>
        <v>0</v>
      </c>
      <c r="IK817" s="327">
        <f>SUM(DO817:DT817)</f>
        <v>0</v>
      </c>
      <c r="IL817" s="279">
        <f>SUM(DU817:DZ817)</f>
        <v>0</v>
      </c>
      <c r="IM817" s="323">
        <f t="shared" si="882"/>
        <v>0</v>
      </c>
      <c r="IN817" s="279">
        <f>SUM(EA817:EF817)</f>
        <v>0</v>
      </c>
      <c r="IO817" s="279">
        <f>SUM(EG817:EL817)</f>
        <v>0</v>
      </c>
      <c r="IP817" s="323">
        <f t="shared" si="883"/>
        <v>0</v>
      </c>
      <c r="IQ817" s="327">
        <f>SUM(EM817:ER817)</f>
        <v>0</v>
      </c>
      <c r="IR817" s="327">
        <f>SUM(ES817:EX817)</f>
        <v>0</v>
      </c>
      <c r="IS817" s="323">
        <f t="shared" si="884"/>
        <v>0</v>
      </c>
      <c r="IT817" s="327">
        <f>SUM(EY817:FD817)</f>
        <v>0</v>
      </c>
      <c r="IU817" s="327">
        <f>SUM(FE817:FJ817)</f>
        <v>0</v>
      </c>
      <c r="IV817" s="323">
        <f t="shared" si="885"/>
        <v>0</v>
      </c>
      <c r="IW817" s="327">
        <f>SUM(FK817:FP817)</f>
        <v>0</v>
      </c>
      <c r="IX817" s="327">
        <f t="shared" ref="IX817:IX860" si="1378">SUM(FQ817:FV817)</f>
        <v>0</v>
      </c>
      <c r="IY817" s="323">
        <f t="shared" si="886"/>
        <v>0</v>
      </c>
      <c r="IZ817" s="327">
        <f t="shared" si="1247"/>
        <v>0</v>
      </c>
      <c r="JA817" s="327">
        <f t="shared" si="1248"/>
        <v>0</v>
      </c>
      <c r="JB817" s="323">
        <f t="shared" si="887"/>
        <v>0</v>
      </c>
      <c r="JC817" s="327">
        <f t="shared" si="1249"/>
        <v>88.890168900000006</v>
      </c>
      <c r="JD817" s="327">
        <f t="shared" si="1250"/>
        <v>157.98012539712002</v>
      </c>
      <c r="JE817" s="323">
        <f t="shared" si="888"/>
        <v>246.87029429712004</v>
      </c>
      <c r="JF817" s="327">
        <f>SUM(GU817:GZ817)</f>
        <v>144.53397550401718</v>
      </c>
      <c r="JG817" s="327">
        <f t="shared" si="1372"/>
        <v>173.43037230359943</v>
      </c>
      <c r="JH817" s="323">
        <f t="shared" si="889"/>
        <v>317.9643478076166</v>
      </c>
      <c r="JI817" s="327">
        <f t="shared" si="909"/>
        <v>153.34802628232532</v>
      </c>
      <c r="JJ817" s="327">
        <f t="shared" si="910"/>
        <v>135.73675965879664</v>
      </c>
      <c r="JK817" s="323">
        <f t="shared" si="890"/>
        <v>289.08478594112194</v>
      </c>
      <c r="JL817" s="327">
        <f t="shared" si="891"/>
        <v>139.21306421580169</v>
      </c>
      <c r="JM817" s="327">
        <f>FISC!AK82*FISC!AK259/1000</f>
        <v>140.17490791596327</v>
      </c>
      <c r="JN817" s="323">
        <f>FISC!AK1123</f>
        <v>280.34981583192655</v>
      </c>
      <c r="JO817" s="327">
        <f>FISC!AK87*FISC!AL259/1000</f>
        <v>146.28051136800309</v>
      </c>
      <c r="JP817" s="327">
        <f>FISC!AL82*FISC!AL259/1000</f>
        <v>146.28051136800309</v>
      </c>
      <c r="JQ817" s="323">
        <f>FISC!AL1123</f>
        <v>292.56102273600618</v>
      </c>
      <c r="JR817" s="279">
        <f>FISC!AL87*FISC!AM259/1000</f>
        <v>153.27215101048608</v>
      </c>
      <c r="JS817" s="279">
        <f t="shared" si="894"/>
        <v>153.27215101048608</v>
      </c>
      <c r="JT817" s="323">
        <f>FISC!AM1123</f>
        <v>306.54430202097217</v>
      </c>
      <c r="JU817" s="279">
        <f>FISC!AM87*FISC!AN259/1000</f>
        <v>160.53365850987643</v>
      </c>
      <c r="JV817" s="279">
        <f t="shared" ref="JV817" si="1379">JW817-JU817</f>
        <v>160.53365850987643</v>
      </c>
      <c r="JW817" s="323">
        <f>FISC!AN1123</f>
        <v>321.06731701975286</v>
      </c>
      <c r="JX817" s="279">
        <f>FISC!AN87*FISC!AO259/1000</f>
        <v>166.91977322674356</v>
      </c>
      <c r="JY817" s="279">
        <f t="shared" ref="JY817" si="1380">JZ817-JX817</f>
        <v>166.91977322674356</v>
      </c>
      <c r="JZ817" s="323">
        <f>FISC!AO1123</f>
        <v>333.83954645348712</v>
      </c>
      <c r="KA817" s="279">
        <f>FISC!AO87*FISC!AP259/1000</f>
        <v>178.47429527567482</v>
      </c>
      <c r="KB817" s="279">
        <f t="shared" ref="KB817" si="1381">KC817-KA817</f>
        <v>178.47429527567482</v>
      </c>
      <c r="KC817" s="323">
        <f>FISC!AP1123</f>
        <v>356.94859055134964</v>
      </c>
      <c r="KD817" s="279">
        <f>FISC!AP87*FISC!AQ259/1000</f>
        <v>183.82852413394508</v>
      </c>
      <c r="KE817" s="279">
        <f t="shared" ref="KE817" si="1382">KF817-KD817</f>
        <v>183.82852413394508</v>
      </c>
      <c r="KF817" s="323">
        <f>FISC!AQ1123</f>
        <v>367.65704826789016</v>
      </c>
      <c r="KG817" s="279">
        <f>FISC!AQ87*FISC!AR259/1000</f>
        <v>189.34337985796344</v>
      </c>
      <c r="KH817" s="279">
        <f t="shared" ref="KH817" si="1383">KI817-KG817</f>
        <v>189.34337985796344</v>
      </c>
      <c r="KI817" s="323">
        <f>FISC!AR1123</f>
        <v>378.68675971592688</v>
      </c>
      <c r="KJ817" s="279">
        <f>FISC!AR87*FISC!AS259/1000</f>
        <v>195.02368125370236</v>
      </c>
      <c r="KK817" s="279">
        <f t="shared" ref="KK817" si="1384">KL817-KJ817</f>
        <v>195.02368125370236</v>
      </c>
      <c r="KL817" s="323">
        <f>FISC!AS1123</f>
        <v>390.04736250740473</v>
      </c>
      <c r="KM817" s="279">
        <f>FISC!AS87*FISC!AT259/1000</f>
        <v>200.87439169131343</v>
      </c>
      <c r="KN817" s="279">
        <f t="shared" ref="KN817" si="1385">KO817-KM817</f>
        <v>200.87439169131343</v>
      </c>
      <c r="KO817" s="323">
        <f>FISC!AT1123</f>
        <v>401.74878338262687</v>
      </c>
      <c r="KU817" s="326"/>
      <c r="KV817" s="327"/>
    </row>
    <row r="818" spans="1:314">
      <c r="A818" s="279"/>
      <c r="B818" s="96" t="s">
        <v>338</v>
      </c>
      <c r="D818" s="333" t="s">
        <v>508</v>
      </c>
      <c r="E818" s="323">
        <f t="shared" ref="E818:BP818" si="1386">SUM(E819:E820)</f>
        <v>0</v>
      </c>
      <c r="F818" s="323">
        <f t="shared" si="1386"/>
        <v>0</v>
      </c>
      <c r="G818" s="323">
        <f t="shared" si="1386"/>
        <v>0</v>
      </c>
      <c r="H818" s="323">
        <f t="shared" si="1386"/>
        <v>0</v>
      </c>
      <c r="I818" s="323">
        <f t="shared" si="1386"/>
        <v>0</v>
      </c>
      <c r="J818" s="323">
        <f t="shared" si="1386"/>
        <v>0</v>
      </c>
      <c r="K818" s="323">
        <f t="shared" si="1386"/>
        <v>0</v>
      </c>
      <c r="L818" s="323">
        <f t="shared" si="1386"/>
        <v>0</v>
      </c>
      <c r="M818" s="323">
        <f t="shared" si="1386"/>
        <v>0</v>
      </c>
      <c r="N818" s="323">
        <f t="shared" si="1386"/>
        <v>0</v>
      </c>
      <c r="O818" s="323">
        <f t="shared" si="1386"/>
        <v>0</v>
      </c>
      <c r="P818" s="323">
        <f t="shared" si="1386"/>
        <v>0</v>
      </c>
      <c r="Q818" s="323">
        <f t="shared" si="1386"/>
        <v>0</v>
      </c>
      <c r="R818" s="323">
        <f t="shared" si="1386"/>
        <v>0</v>
      </c>
      <c r="S818" s="323">
        <f t="shared" si="1386"/>
        <v>0</v>
      </c>
      <c r="T818" s="323">
        <f t="shared" si="1386"/>
        <v>0</v>
      </c>
      <c r="U818" s="323">
        <f t="shared" si="1386"/>
        <v>0</v>
      </c>
      <c r="V818" s="323">
        <f t="shared" si="1386"/>
        <v>0</v>
      </c>
      <c r="W818" s="323">
        <f t="shared" si="1386"/>
        <v>0</v>
      </c>
      <c r="X818" s="323">
        <f t="shared" si="1386"/>
        <v>0</v>
      </c>
      <c r="Y818" s="323">
        <f t="shared" si="1386"/>
        <v>0</v>
      </c>
      <c r="Z818" s="323">
        <f t="shared" si="1386"/>
        <v>0</v>
      </c>
      <c r="AA818" s="323">
        <f t="shared" si="1386"/>
        <v>0</v>
      </c>
      <c r="AB818" s="323">
        <f t="shared" si="1386"/>
        <v>0</v>
      </c>
      <c r="AC818" s="323">
        <f t="shared" si="1386"/>
        <v>0</v>
      </c>
      <c r="AD818" s="323">
        <f t="shared" si="1386"/>
        <v>0</v>
      </c>
      <c r="AE818" s="323">
        <f t="shared" si="1386"/>
        <v>0</v>
      </c>
      <c r="AF818" s="323">
        <f t="shared" si="1386"/>
        <v>0</v>
      </c>
      <c r="AG818" s="323">
        <f t="shared" si="1386"/>
        <v>0</v>
      </c>
      <c r="AH818" s="323">
        <f t="shared" si="1386"/>
        <v>0</v>
      </c>
      <c r="AI818" s="323">
        <f t="shared" si="1386"/>
        <v>0</v>
      </c>
      <c r="AJ818" s="323">
        <f t="shared" si="1386"/>
        <v>0</v>
      </c>
      <c r="AK818" s="323">
        <f t="shared" si="1386"/>
        <v>0</v>
      </c>
      <c r="AL818" s="323">
        <f t="shared" si="1386"/>
        <v>0</v>
      </c>
      <c r="AM818" s="323">
        <f t="shared" si="1386"/>
        <v>0</v>
      </c>
      <c r="AN818" s="323">
        <f t="shared" si="1386"/>
        <v>0</v>
      </c>
      <c r="AO818" s="323">
        <f t="shared" si="1386"/>
        <v>21.649201587</v>
      </c>
      <c r="AP818" s="323">
        <f t="shared" si="1386"/>
        <v>0</v>
      </c>
      <c r="AQ818" s="323">
        <f t="shared" si="1386"/>
        <v>8.0213442799999992</v>
      </c>
      <c r="AR818" s="323">
        <f t="shared" si="1386"/>
        <v>12.581843562</v>
      </c>
      <c r="AS818" s="323">
        <f t="shared" si="1386"/>
        <v>9.056692696999999</v>
      </c>
      <c r="AT818" s="323">
        <f t="shared" si="1386"/>
        <v>97.265289525</v>
      </c>
      <c r="AU818" s="323">
        <f t="shared" si="1386"/>
        <v>14.359943473818106</v>
      </c>
      <c r="AV818" s="323">
        <f t="shared" si="1386"/>
        <v>7.232509424266377</v>
      </c>
      <c r="AW818" s="323">
        <f t="shared" si="1386"/>
        <v>59.516871442659337</v>
      </c>
      <c r="AX818" s="323">
        <f t="shared" si="1386"/>
        <v>33.411417465369809</v>
      </c>
      <c r="AY818" s="323">
        <f t="shared" si="1386"/>
        <v>16.044825288505645</v>
      </c>
      <c r="AZ818" s="323">
        <f t="shared" si="1386"/>
        <v>109.82659987000741</v>
      </c>
      <c r="BA818" s="323">
        <f t="shared" si="1386"/>
        <v>8.8019992640933733</v>
      </c>
      <c r="BB818" s="323">
        <f t="shared" si="1386"/>
        <v>10.577286439512136</v>
      </c>
      <c r="BC818" s="323">
        <f t="shared" si="1386"/>
        <v>8.244866279878206</v>
      </c>
      <c r="BD818" s="323">
        <f t="shared" si="1386"/>
        <v>75.35028321798481</v>
      </c>
      <c r="BE818" s="323">
        <f t="shared" si="1386"/>
        <v>9.7280125404380176</v>
      </c>
      <c r="BF818" s="323">
        <f t="shared" si="1386"/>
        <v>27.298432574456768</v>
      </c>
      <c r="BG818" s="323">
        <f t="shared" si="1386"/>
        <v>49.565736672181224</v>
      </c>
      <c r="BH818" s="323">
        <f t="shared" si="1386"/>
        <v>45.808815921452073</v>
      </c>
      <c r="BI818" s="323">
        <f t="shared" si="1386"/>
        <v>44.04422361746596</v>
      </c>
      <c r="BJ818" s="323">
        <f t="shared" si="1386"/>
        <v>86.384493198957969</v>
      </c>
      <c r="BK818" s="323">
        <f t="shared" si="1386"/>
        <v>18.147950790476774</v>
      </c>
      <c r="BL818" s="323">
        <f t="shared" si="1386"/>
        <v>86.604788187888346</v>
      </c>
      <c r="BM818" s="323">
        <f t="shared" si="1386"/>
        <v>6.0136036638934369</v>
      </c>
      <c r="BN818" s="323">
        <f t="shared" si="1386"/>
        <v>11.641648074884673</v>
      </c>
      <c r="BO818" s="323">
        <f t="shared" si="1386"/>
        <v>16.867940131778187</v>
      </c>
      <c r="BP818" s="323">
        <f t="shared" si="1386"/>
        <v>5.4282211105678257</v>
      </c>
      <c r="BQ818" s="323">
        <f t="shared" ref="BQ818:DB818" si="1387">SUM(BQ819:BQ820)</f>
        <v>4.8722007713956961</v>
      </c>
      <c r="BR818" s="323">
        <f t="shared" si="1387"/>
        <v>82.006366405057818</v>
      </c>
      <c r="BS818" s="323">
        <f t="shared" si="1387"/>
        <v>40.803880088389626</v>
      </c>
      <c r="BT818" s="323">
        <f t="shared" si="1387"/>
        <v>14.813409459931112</v>
      </c>
      <c r="BU818" s="323">
        <f t="shared" si="1387"/>
        <v>22.770009261522112</v>
      </c>
      <c r="BV818" s="323">
        <f t="shared" si="1387"/>
        <v>48.610405375930306</v>
      </c>
      <c r="BW818" s="323">
        <f t="shared" si="1387"/>
        <v>41.538890177774903</v>
      </c>
      <c r="BX818" s="323">
        <f t="shared" si="1387"/>
        <v>32.076902483857872</v>
      </c>
      <c r="BY818" s="323">
        <f t="shared" si="1387"/>
        <v>6.4084407417666696E-6</v>
      </c>
      <c r="BZ818" s="323">
        <f t="shared" si="1387"/>
        <v>3.9502690426215792</v>
      </c>
      <c r="CA818" s="323">
        <f t="shared" si="1387"/>
        <v>21.932064366094338</v>
      </c>
      <c r="CB818" s="323">
        <f t="shared" si="1387"/>
        <v>38.051989401949243</v>
      </c>
      <c r="CC818" s="323">
        <f t="shared" si="1387"/>
        <v>50.358811871651319</v>
      </c>
      <c r="CD818" s="329">
        <f t="shared" si="1387"/>
        <v>43.183925704585832</v>
      </c>
      <c r="CE818" s="323">
        <f t="shared" si="1387"/>
        <v>31.294496220706698</v>
      </c>
      <c r="CF818" s="323">
        <f t="shared" si="1387"/>
        <v>38.849477566021811</v>
      </c>
      <c r="CG818" s="323">
        <f t="shared" si="1387"/>
        <v>76.031701622894502</v>
      </c>
      <c r="CH818" s="323">
        <f t="shared" si="1387"/>
        <v>48.3828124680496</v>
      </c>
      <c r="CI818" s="323">
        <f t="shared" si="1387"/>
        <v>36.012732783613451</v>
      </c>
      <c r="CJ818" s="323">
        <f t="shared" si="1387"/>
        <v>62.84400919591495</v>
      </c>
      <c r="CK818" s="323">
        <f t="shared" si="1387"/>
        <v>22.369328398681304</v>
      </c>
      <c r="CL818" s="323">
        <f t="shared" si="1387"/>
        <v>15.370313869472696</v>
      </c>
      <c r="CM818" s="323">
        <f t="shared" si="1387"/>
        <v>15.260357731845993</v>
      </c>
      <c r="CN818" s="323">
        <f t="shared" si="1387"/>
        <v>60.223322623538365</v>
      </c>
      <c r="CO818" s="323">
        <f t="shared" si="1387"/>
        <v>36.611849603410164</v>
      </c>
      <c r="CP818" s="325">
        <f t="shared" si="1387"/>
        <v>31.066255138470598</v>
      </c>
      <c r="CQ818" s="323">
        <f t="shared" si="1387"/>
        <v>34.448433302576923</v>
      </c>
      <c r="CR818" s="323">
        <f t="shared" si="1387"/>
        <v>20.63533699242986</v>
      </c>
      <c r="CS818" s="323">
        <f t="shared" si="1387"/>
        <v>32.087946900292721</v>
      </c>
      <c r="CT818" s="323">
        <f t="shared" si="1387"/>
        <v>27.612034403931105</v>
      </c>
      <c r="CU818" s="323">
        <f t="shared" si="1387"/>
        <v>37.436683176818299</v>
      </c>
      <c r="CV818" s="323">
        <f t="shared" si="1387"/>
        <v>88.698945014422492</v>
      </c>
      <c r="CW818" s="323">
        <f t="shared" si="1387"/>
        <v>19.204165503062438</v>
      </c>
      <c r="CX818" s="323">
        <f t="shared" si="1387"/>
        <v>20.746947771968358</v>
      </c>
      <c r="CY818" s="323">
        <f t="shared" si="1387"/>
        <v>35.869115706465713</v>
      </c>
      <c r="CZ818" s="323">
        <f t="shared" si="1387"/>
        <v>25.985062782443698</v>
      </c>
      <c r="DA818" s="323">
        <f t="shared" si="1387"/>
        <v>51.924950351204735</v>
      </c>
      <c r="DB818" s="1269">
        <f t="shared" si="1387"/>
        <v>21.277785089683185</v>
      </c>
      <c r="DC818" s="323">
        <f t="shared" ref="DC818:FN818" si="1388">DC819+DC820</f>
        <v>31.952444359087636</v>
      </c>
      <c r="DD818" s="323">
        <f t="shared" si="1388"/>
        <v>25.176932769502265</v>
      </c>
      <c r="DE818" s="323">
        <f t="shared" si="1388"/>
        <v>37.733474002093303</v>
      </c>
      <c r="DF818" s="323">
        <f t="shared" si="1388"/>
        <v>10.630564396348262</v>
      </c>
      <c r="DG818" s="323">
        <f t="shared" si="1388"/>
        <v>42.242365627815268</v>
      </c>
      <c r="DH818" s="323">
        <f t="shared" si="1388"/>
        <v>51.857928151955861</v>
      </c>
      <c r="DI818" s="323">
        <f t="shared" si="1388"/>
        <v>10.091643304932198</v>
      </c>
      <c r="DJ818" s="323">
        <f t="shared" si="1388"/>
        <v>14.552678703328509</v>
      </c>
      <c r="DK818" s="323">
        <f t="shared" si="1388"/>
        <v>15.303282783798712</v>
      </c>
      <c r="DL818" s="323">
        <f t="shared" si="1388"/>
        <v>65.287056068877121</v>
      </c>
      <c r="DM818" s="323">
        <f t="shared" si="1388"/>
        <v>19.525803094469907</v>
      </c>
      <c r="DN818" s="323">
        <f t="shared" si="1388"/>
        <v>49.359432531340339</v>
      </c>
      <c r="DO818" s="323">
        <f t="shared" si="1388"/>
        <v>16.821842926668246</v>
      </c>
      <c r="DP818" s="323">
        <f t="shared" si="1388"/>
        <v>12.133511288417928</v>
      </c>
      <c r="DQ818" s="323">
        <f t="shared" si="1388"/>
        <v>12.10521743976989</v>
      </c>
      <c r="DR818" s="323">
        <f t="shared" si="1388"/>
        <v>3.2359692316649102</v>
      </c>
      <c r="DS818" s="323">
        <f t="shared" si="1388"/>
        <v>24.265521834424653</v>
      </c>
      <c r="DT818" s="323">
        <f t="shared" si="1388"/>
        <v>38.69634425486683</v>
      </c>
      <c r="DU818" s="323">
        <f t="shared" si="1388"/>
        <v>26.861476736151836</v>
      </c>
      <c r="DV818" s="323">
        <f t="shared" si="1388"/>
        <v>15.698929868479176</v>
      </c>
      <c r="DW818" s="323">
        <f t="shared" si="1388"/>
        <v>9.9379293873689836</v>
      </c>
      <c r="DX818" s="323">
        <f t="shared" si="1388"/>
        <v>18.107965103232981</v>
      </c>
      <c r="DY818" s="323">
        <f t="shared" si="1388"/>
        <v>11.606604623025165</v>
      </c>
      <c r="DZ818" s="323">
        <f t="shared" si="1388"/>
        <v>71.838740070398202</v>
      </c>
      <c r="EA818" s="323">
        <f t="shared" si="1388"/>
        <v>28.478469199581948</v>
      </c>
      <c r="EB818" s="323">
        <f t="shared" si="1388"/>
        <v>13.523021116010485</v>
      </c>
      <c r="EC818" s="323">
        <f t="shared" si="1388"/>
        <v>18.953049629910502</v>
      </c>
      <c r="ED818" s="323">
        <f t="shared" si="1388"/>
        <v>23.298000892212691</v>
      </c>
      <c r="EE818" s="323">
        <f t="shared" si="1388"/>
        <v>23.161700240021034</v>
      </c>
      <c r="EF818" s="323">
        <f t="shared" si="1388"/>
        <v>46.878481637633797</v>
      </c>
      <c r="EG818" s="323">
        <f t="shared" si="1388"/>
        <v>35.474939126189987</v>
      </c>
      <c r="EH818" s="323">
        <f t="shared" si="1388"/>
        <v>15.9798820219416</v>
      </c>
      <c r="EI818" s="323">
        <f t="shared" si="1388"/>
        <v>34.631168591869212</v>
      </c>
      <c r="EJ818" s="323">
        <f t="shared" si="1388"/>
        <v>17.3529972263057</v>
      </c>
      <c r="EK818" s="323">
        <f t="shared" si="1388"/>
        <v>8.0850167052850175</v>
      </c>
      <c r="EL818" s="323">
        <f t="shared" si="1388"/>
        <v>30.170743475192022</v>
      </c>
      <c r="EM818" s="323">
        <f t="shared" si="1388"/>
        <v>21.744780747851884</v>
      </c>
      <c r="EN818" s="323">
        <f t="shared" si="1388"/>
        <v>28.582831360647518</v>
      </c>
      <c r="EO818" s="323">
        <f t="shared" si="1388"/>
        <v>32.06137583228977</v>
      </c>
      <c r="EP818" s="323">
        <f t="shared" si="1388"/>
        <v>25.689925104930648</v>
      </c>
      <c r="EQ818" s="323">
        <f t="shared" si="1388"/>
        <v>6.238642488411001</v>
      </c>
      <c r="ER818" s="323">
        <f t="shared" si="1388"/>
        <v>103.18971067895137</v>
      </c>
      <c r="ES818" s="323">
        <f t="shared" si="1388"/>
        <v>25.794172349091561</v>
      </c>
      <c r="ET818" s="323">
        <f t="shared" si="1388"/>
        <v>40.194968139461167</v>
      </c>
      <c r="EU818" s="323">
        <f t="shared" si="1388"/>
        <v>26.318875862817901</v>
      </c>
      <c r="EV818" s="323">
        <f t="shared" si="1388"/>
        <v>30.464400599917024</v>
      </c>
      <c r="EW818" s="323">
        <f t="shared" si="1388"/>
        <v>9.2735813359162655</v>
      </c>
      <c r="EX818" s="323">
        <f t="shared" si="1388"/>
        <v>26.318875862950499</v>
      </c>
      <c r="EY818" s="323">
        <f t="shared" si="1388"/>
        <v>32.241833855093404</v>
      </c>
      <c r="EZ818" s="323">
        <f t="shared" si="1388"/>
        <v>19.120340874614172</v>
      </c>
      <c r="FA818" s="323">
        <f t="shared" si="1388"/>
        <v>32.476259949591501</v>
      </c>
      <c r="FB818" s="323">
        <f t="shared" si="1388"/>
        <v>17.141012261463228</v>
      </c>
      <c r="FC818" s="323">
        <f t="shared" si="1388"/>
        <v>28.591621457094867</v>
      </c>
      <c r="FD818" s="323">
        <f t="shared" si="1388"/>
        <v>74.910884488121596</v>
      </c>
      <c r="FE818" s="323">
        <f t="shared" si="1388"/>
        <v>18.57477772208745</v>
      </c>
      <c r="FF818" s="323">
        <f t="shared" si="1388"/>
        <v>40.829624657206764</v>
      </c>
      <c r="FG818" s="323">
        <f t="shared" si="1388"/>
        <v>23.485399915408056</v>
      </c>
      <c r="FH818" s="323">
        <f t="shared" si="1388"/>
        <v>40.202751746070916</v>
      </c>
      <c r="FI818" s="323">
        <f t="shared" si="1388"/>
        <v>25.711020665681996</v>
      </c>
      <c r="FJ818" s="323">
        <f t="shared" si="1388"/>
        <v>60.087031282495659</v>
      </c>
      <c r="FK818" s="323">
        <f t="shared" si="1388"/>
        <v>18.016468952481294</v>
      </c>
      <c r="FL818" s="323">
        <f t="shared" si="1388"/>
        <v>22.038160849417618</v>
      </c>
      <c r="FM818" s="323">
        <f t="shared" si="1388"/>
        <v>85.114840036842878</v>
      </c>
      <c r="FN818" s="323">
        <f t="shared" si="1388"/>
        <v>55.795753342564119</v>
      </c>
      <c r="FO818" s="323">
        <f t="shared" ref="FO818:GE818" si="1389">FO819+FO820</f>
        <v>24.596989962932081</v>
      </c>
      <c r="FP818" s="323">
        <f t="shared" si="1389"/>
        <v>52.943284085381222</v>
      </c>
      <c r="FQ818" s="323">
        <f t="shared" si="1389"/>
        <v>26.0973223375467</v>
      </c>
      <c r="FR818" s="323">
        <f t="shared" si="1389"/>
        <v>26.0973223375467</v>
      </c>
      <c r="FS818" s="323">
        <f t="shared" si="1389"/>
        <v>101.97518335178538</v>
      </c>
      <c r="FT818" s="323">
        <f t="shared" si="1389"/>
        <v>36.043364572106718</v>
      </c>
      <c r="FU818" s="323">
        <f t="shared" si="1389"/>
        <v>26.540783368213397</v>
      </c>
      <c r="FV818" s="323">
        <f t="shared" si="1389"/>
        <v>81.779804093706915</v>
      </c>
      <c r="FW818" s="323">
        <f t="shared" si="1389"/>
        <v>25.536817192198459</v>
      </c>
      <c r="FX818" s="323">
        <f t="shared" si="1389"/>
        <v>68.769149023021257</v>
      </c>
      <c r="FY818" s="323">
        <f t="shared" si="1389"/>
        <v>34.1409768277097</v>
      </c>
      <c r="FZ818" s="323">
        <f t="shared" si="1389"/>
        <v>51.587092125766084</v>
      </c>
      <c r="GA818" s="323">
        <f t="shared" si="1389"/>
        <v>47.967438923782581</v>
      </c>
      <c r="GB818" s="323">
        <f t="shared" si="1389"/>
        <v>34.765320419563082</v>
      </c>
      <c r="GC818" s="323">
        <f t="shared" si="1389"/>
        <v>51.379938509455535</v>
      </c>
      <c r="GD818" s="323">
        <f t="shared" si="1389"/>
        <v>32.894609653005027</v>
      </c>
      <c r="GE818" s="323">
        <f t="shared" si="1389"/>
        <v>127.61318963777623</v>
      </c>
      <c r="GF818" s="323">
        <f>GF819+GF820</f>
        <v>64.638842304396093</v>
      </c>
      <c r="GG818" s="323">
        <f t="shared" ref="GG818:HR818" si="1390">GG819+GG820</f>
        <v>32.818074208225894</v>
      </c>
      <c r="GH818" s="323">
        <f t="shared" si="1390"/>
        <v>37.543484832671957</v>
      </c>
      <c r="GI818" s="323">
        <f t="shared" si="1390"/>
        <v>47.933698287076837</v>
      </c>
      <c r="GJ818" s="323">
        <f t="shared" si="1390"/>
        <v>19.181961397576977</v>
      </c>
      <c r="GK818" s="323">
        <f t="shared" si="1390"/>
        <v>16.2176160074929</v>
      </c>
      <c r="GL818" s="323">
        <f t="shared" si="1390"/>
        <v>34.615500221610787</v>
      </c>
      <c r="GM818" s="323">
        <f t="shared" si="1390"/>
        <v>16.2176160074929</v>
      </c>
      <c r="GN818" s="323">
        <f t="shared" si="1390"/>
        <v>31.198983179245815</v>
      </c>
      <c r="GO818" s="323">
        <f t="shared" si="1390"/>
        <v>10.493535797153971</v>
      </c>
      <c r="GP818" s="323">
        <f t="shared" si="1390"/>
        <v>9.518152400153971</v>
      </c>
      <c r="GQ818" s="323">
        <f t="shared" si="1390"/>
        <v>9.518152400153971</v>
      </c>
      <c r="GR818" s="323">
        <f t="shared" si="1390"/>
        <v>46.907793402424289</v>
      </c>
      <c r="GS818" s="323">
        <f t="shared" si="1390"/>
        <v>19.724980990133972</v>
      </c>
      <c r="GT818" s="323">
        <f t="shared" si="1390"/>
        <v>44.162737851624534</v>
      </c>
      <c r="GU818" s="323">
        <f t="shared" si="1390"/>
        <v>34.381813544500368</v>
      </c>
      <c r="GV818" s="323">
        <f t="shared" si="1390"/>
        <v>9.7639445017651276</v>
      </c>
      <c r="GW818" s="323">
        <f t="shared" si="1390"/>
        <v>52.640227532174087</v>
      </c>
      <c r="GX818" s="323">
        <f t="shared" si="1390"/>
        <v>14.899181219072448</v>
      </c>
      <c r="GY818" s="323">
        <f t="shared" si="1390"/>
        <v>2.0545404563266199</v>
      </c>
      <c r="GZ818" s="323">
        <f t="shared" si="1390"/>
        <v>53.023490088936811</v>
      </c>
      <c r="HA818" s="323">
        <f t="shared" si="1390"/>
        <v>14.411668654781918</v>
      </c>
      <c r="HB818" s="323">
        <f t="shared" si="1390"/>
        <v>0</v>
      </c>
      <c r="HC818" s="323">
        <f t="shared" si="1390"/>
        <v>47.88367306829565</v>
      </c>
      <c r="HD818" s="323">
        <f t="shared" si="1390"/>
        <v>29.529508718633497</v>
      </c>
      <c r="HE818" s="323">
        <f t="shared" si="1390"/>
        <v>9.3581437734186519</v>
      </c>
      <c r="HF818" s="323">
        <f t="shared" si="1390"/>
        <v>66.083997353529654</v>
      </c>
      <c r="HG818" s="323">
        <f t="shared" si="1390"/>
        <v>36.550565428489207</v>
      </c>
      <c r="HH818" s="323">
        <f t="shared" si="1390"/>
        <v>0</v>
      </c>
      <c r="HI818" s="323">
        <f t="shared" si="1390"/>
        <v>44.842136541598634</v>
      </c>
      <c r="HJ818" s="323">
        <f t="shared" si="1390"/>
        <v>34.237850121589396</v>
      </c>
      <c r="HK818" s="323">
        <f t="shared" si="1390"/>
        <v>0</v>
      </c>
      <c r="HL818" s="323">
        <f t="shared" si="1390"/>
        <v>57.939248724502541</v>
      </c>
      <c r="HM818" s="323">
        <f t="shared" si="1390"/>
        <v>14.90240277279772</v>
      </c>
      <c r="HN818" s="323">
        <f t="shared" si="1390"/>
        <v>0</v>
      </c>
      <c r="HO818" s="323">
        <f t="shared" si="1390"/>
        <v>35.563367017415111</v>
      </c>
      <c r="HP818" s="323">
        <f t="shared" si="1390"/>
        <v>0</v>
      </c>
      <c r="HQ818" s="323">
        <f t="shared" si="1390"/>
        <v>6.5565700777080353</v>
      </c>
      <c r="HR818" s="323">
        <f t="shared" si="1390"/>
        <v>58.863710136419002</v>
      </c>
      <c r="HS818" s="323">
        <f t="shared" ref="HS818:HX818" si="1391">HS819+HS820</f>
        <v>29.246894488254931</v>
      </c>
      <c r="HT818" s="323">
        <f t="shared" si="1391"/>
        <v>0</v>
      </c>
      <c r="HU818" s="323">
        <f t="shared" si="1391"/>
        <v>41.715382000707159</v>
      </c>
      <c r="HV818" s="323">
        <f t="shared" si="1391"/>
        <v>14.001812152559998</v>
      </c>
      <c r="HW818" s="323">
        <f t="shared" si="1391"/>
        <v>0</v>
      </c>
      <c r="HX818" s="323">
        <f t="shared" si="1391"/>
        <v>95.916043137406874</v>
      </c>
      <c r="HY818" s="323"/>
      <c r="HZ818" s="326"/>
      <c r="IA818" s="333" t="s">
        <v>508</v>
      </c>
      <c r="IB818" s="284">
        <f>SUM(CE818:CJ818)</f>
        <v>293.41522985720098</v>
      </c>
      <c r="IC818" s="279">
        <f>SUM(CK818:CP818)</f>
        <v>180.90142736541915</v>
      </c>
      <c r="ID818" s="323">
        <f t="shared" si="907"/>
        <v>474.31665722262017</v>
      </c>
      <c r="IE818" s="279">
        <f>SUM(CQ818:CV818)</f>
        <v>240.9193797904714</v>
      </c>
      <c r="IF818" s="279">
        <f>SUM(CW818:DB818)</f>
        <v>175.00802720482812</v>
      </c>
      <c r="IG818" s="323">
        <f t="shared" si="880"/>
        <v>415.92740699529952</v>
      </c>
      <c r="IH818" s="284">
        <f>SUM(DC818:DH818)</f>
        <v>199.59370930680259</v>
      </c>
      <c r="II818" s="279">
        <f>SUM(DI818:DN818)</f>
        <v>174.1198964867468</v>
      </c>
      <c r="IJ818" s="323">
        <f t="shared" si="881"/>
        <v>373.71360579354939</v>
      </c>
      <c r="IK818" s="327">
        <f>SUM(DO818:DT818)</f>
        <v>107.25840697581245</v>
      </c>
      <c r="IL818" s="279">
        <f>SUM(DU818:DZ818)</f>
        <v>154.05164578865634</v>
      </c>
      <c r="IM818" s="323">
        <f t="shared" si="882"/>
        <v>261.31005276446876</v>
      </c>
      <c r="IN818" s="279">
        <f>SUM(EA818:EF818)</f>
        <v>154.29272271537047</v>
      </c>
      <c r="IO818" s="279">
        <f>SUM(EG818:EL818)</f>
        <v>141.69474714678353</v>
      </c>
      <c r="IP818" s="323">
        <f t="shared" si="883"/>
        <v>295.987469862154</v>
      </c>
      <c r="IQ818" s="327">
        <f>SUM(EM818:ER818)</f>
        <v>217.5072662130822</v>
      </c>
      <c r="IR818" s="327">
        <f>SUM(ES818:EX818)</f>
        <v>158.36487415015444</v>
      </c>
      <c r="IS818" s="323">
        <f t="shared" si="884"/>
        <v>375.87214036323667</v>
      </c>
      <c r="IT818" s="327">
        <f>SUM(EY818:FD818)</f>
        <v>204.48195288597879</v>
      </c>
      <c r="IU818" s="327">
        <f>SUM(FE818:FJ818)</f>
        <v>208.89060598895082</v>
      </c>
      <c r="IV818" s="323">
        <f t="shared" si="885"/>
        <v>413.37255887492961</v>
      </c>
      <c r="IW818" s="327">
        <f>SUM(FK818:FP818)</f>
        <v>258.50549722961921</v>
      </c>
      <c r="IX818" s="327">
        <f t="shared" si="1378"/>
        <v>298.53378006090583</v>
      </c>
      <c r="IY818" s="323">
        <f t="shared" si="886"/>
        <v>557.03927729052498</v>
      </c>
      <c r="IZ818" s="327">
        <f t="shared" si="1247"/>
        <v>262.76679451204114</v>
      </c>
      <c r="JA818" s="327">
        <f t="shared" si="1248"/>
        <v>346.88813914553072</v>
      </c>
      <c r="JB818" s="323">
        <f t="shared" si="887"/>
        <v>609.65493365757186</v>
      </c>
      <c r="JC818" s="327">
        <f t="shared" si="1249"/>
        <v>165.36537510049624</v>
      </c>
      <c r="JD818" s="327">
        <f t="shared" si="1250"/>
        <v>140.3253528416447</v>
      </c>
      <c r="JE818" s="323">
        <f t="shared" si="888"/>
        <v>305.69072794214094</v>
      </c>
      <c r="JF818" s="327">
        <f>JF819+JF820</f>
        <v>166.76319734277547</v>
      </c>
      <c r="JG818" s="327">
        <f>JG819+JG820</f>
        <v>167.26699156865936</v>
      </c>
      <c r="JH818" s="323">
        <f t="shared" si="889"/>
        <v>334.03018891143483</v>
      </c>
      <c r="JI818" s="327">
        <f t="shared" si="909"/>
        <v>173.56980081617976</v>
      </c>
      <c r="JJ818" s="327">
        <f t="shared" si="910"/>
        <v>115.88605000433986</v>
      </c>
      <c r="JK818" s="323">
        <f t="shared" si="890"/>
        <v>289.45585082051963</v>
      </c>
      <c r="JL818" s="327">
        <f t="shared" si="891"/>
        <v>180.88013177892896</v>
      </c>
      <c r="JM818" s="327">
        <f>JM819+JM820</f>
        <v>205.7936870050068</v>
      </c>
      <c r="JN818" s="323">
        <f>FISC!AK1124</f>
        <v>387.9264144637358</v>
      </c>
      <c r="JO818" s="327">
        <f>JO819+JO820</f>
        <v>124.01131462385896</v>
      </c>
      <c r="JP818" s="327">
        <f>JP819+JP820</f>
        <v>127.40880709050518</v>
      </c>
      <c r="JQ818" s="323">
        <f>FISC!AL1124</f>
        <v>251.42012171436414</v>
      </c>
      <c r="JR818" s="327">
        <f>JR819+JR820</f>
        <v>140.54988504198951</v>
      </c>
      <c r="JS818" s="327">
        <f>JS819+JS820</f>
        <v>158.08818781065202</v>
      </c>
      <c r="JT818" s="323">
        <f>FISC!AM1124</f>
        <v>298.63807285264153</v>
      </c>
      <c r="JU818" s="327">
        <f>JU819+JU820</f>
        <v>147.20865532440715</v>
      </c>
      <c r="JV818" s="327">
        <f>JV819+JV820</f>
        <v>148.87858325619118</v>
      </c>
      <c r="JW818" s="323">
        <f>FISC!AN1124</f>
        <v>296.08723858059835</v>
      </c>
      <c r="JX818" s="327">
        <f>JX819+JX820</f>
        <v>137.43746727918119</v>
      </c>
      <c r="JY818" s="327">
        <f>JY819+JY820</f>
        <v>154.8010528515639</v>
      </c>
      <c r="JZ818" s="323">
        <f>FISC!AO1124</f>
        <v>292.23852013074509</v>
      </c>
      <c r="KA818" s="327">
        <f>KA819+KA820</f>
        <v>94.001143559998795</v>
      </c>
      <c r="KB818" s="327">
        <f>KB819+KB820</f>
        <v>263.48962381750044</v>
      </c>
      <c r="KC818" s="323">
        <f>FISC!AP1124</f>
        <v>357.49076737749925</v>
      </c>
      <c r="KD818" s="327">
        <f>KD819+KD820</f>
        <v>235.06157453036005</v>
      </c>
      <c r="KE818" s="327">
        <f>KE819+KE820</f>
        <v>270.91625018989839</v>
      </c>
      <c r="KF818" s="323">
        <f>FISC!AQ1124</f>
        <v>505.97782472025841</v>
      </c>
      <c r="KG818" s="327">
        <f>KG819+KG820</f>
        <v>242.11342176627085</v>
      </c>
      <c r="KH818" s="327">
        <f>KH819+KH820</f>
        <v>277.9358282177156</v>
      </c>
      <c r="KI818" s="323">
        <f>FISC!AR1124</f>
        <v>520.04924998398644</v>
      </c>
      <c r="KJ818" s="327">
        <f>KJ819+KJ820</f>
        <v>249.37682441925898</v>
      </c>
      <c r="KK818" s="327">
        <f>KK819+KK820</f>
        <v>286.36899862776511</v>
      </c>
      <c r="KL818" s="323">
        <f>FISC!AS1124</f>
        <v>535.74582304702403</v>
      </c>
      <c r="KM818" s="327">
        <f>KM819+KM820</f>
        <v>256.85812915183675</v>
      </c>
      <c r="KN818" s="327">
        <f>KN819+KN820</f>
        <v>295.60489575355314</v>
      </c>
      <c r="KO818" s="323">
        <f>FISC!AT1124</f>
        <v>552.46302490538983</v>
      </c>
      <c r="KU818" s="326"/>
      <c r="KV818" s="327"/>
      <c r="KY818" s="279">
        <f>SUM(KY819:KY820)</f>
        <v>0</v>
      </c>
      <c r="KZ818" s="279">
        <f>SUM(KZ819:KZ820)</f>
        <v>0</v>
      </c>
      <c r="LA818" s="279">
        <f>SUM(LA819:LA820)</f>
        <v>0</v>
      </c>
      <c r="LB818" s="279">
        <f>SUM(LB819:LB820)</f>
        <v>0</v>
      </c>
    </row>
    <row r="819" spans="1:314">
      <c r="A819" s="279"/>
      <c r="B819" s="96" t="s">
        <v>338</v>
      </c>
      <c r="D819" s="334" t="s">
        <v>506</v>
      </c>
      <c r="E819" s="323"/>
      <c r="F819" s="323"/>
      <c r="G819" s="323"/>
      <c r="H819" s="323"/>
      <c r="I819" s="323"/>
      <c r="J819" s="323"/>
      <c r="K819" s="323"/>
      <c r="L819" s="323"/>
      <c r="M819" s="323"/>
      <c r="N819" s="323"/>
      <c r="O819" s="323"/>
      <c r="P819" s="323"/>
      <c r="Q819" s="323"/>
      <c r="R819" s="323"/>
      <c r="S819" s="323"/>
      <c r="T819" s="323"/>
      <c r="U819" s="323"/>
      <c r="V819" s="323"/>
      <c r="W819" s="323"/>
      <c r="X819" s="323"/>
      <c r="Y819" s="323"/>
      <c r="Z819" s="323"/>
      <c r="AA819" s="323"/>
      <c r="AB819" s="323"/>
      <c r="AC819" s="323"/>
      <c r="AD819" s="323"/>
      <c r="AE819" s="323"/>
      <c r="AF819" s="323"/>
      <c r="AG819" s="323"/>
      <c r="AH819" s="323"/>
      <c r="AI819" s="323"/>
      <c r="AJ819" s="323"/>
      <c r="AK819" s="323"/>
      <c r="AL819" s="323"/>
      <c r="AM819" s="323"/>
      <c r="AN819" s="323"/>
      <c r="AO819" s="323">
        <v>21.649201587</v>
      </c>
      <c r="AP819" s="323">
        <v>0</v>
      </c>
      <c r="AQ819" s="323">
        <v>8.0213442799999992</v>
      </c>
      <c r="AR819" s="323">
        <v>12.581843562</v>
      </c>
      <c r="AS819" s="323">
        <v>9.056692696999999</v>
      </c>
      <c r="AT819" s="323">
        <v>97.265289525</v>
      </c>
      <c r="AU819" s="323">
        <v>6.1597314819999998</v>
      </c>
      <c r="AV819" s="323">
        <v>4.7773699999999995</v>
      </c>
      <c r="AW819" s="323">
        <v>58.822261999999988</v>
      </c>
      <c r="AX819" s="323">
        <v>26.394771204000001</v>
      </c>
      <c r="AY819" s="323">
        <v>6.9810858910000002</v>
      </c>
      <c r="AZ819" s="323">
        <v>24.142312999000001</v>
      </c>
      <c r="BA819" s="323">
        <v>0.531323502</v>
      </c>
      <c r="BB819" s="323">
        <v>5.2342624570000007</v>
      </c>
      <c r="BC819" s="323">
        <v>1.0111021920000001</v>
      </c>
      <c r="BD819" s="323">
        <v>67.936107326759995</v>
      </c>
      <c r="BE819" s="323">
        <v>1.03516734123</v>
      </c>
      <c r="BF819" s="323">
        <v>13.367550886</v>
      </c>
      <c r="BG819" s="323">
        <v>41.011713339000003</v>
      </c>
      <c r="BH819" s="323">
        <v>37.631219074000001</v>
      </c>
      <c r="BI819" s="323">
        <v>29.764305502999996</v>
      </c>
      <c r="BJ819" s="323">
        <v>25.662271436000001</v>
      </c>
      <c r="BK819" s="323">
        <v>4.6969805640000004</v>
      </c>
      <c r="BL819" s="323">
        <v>72.178950183000012</v>
      </c>
      <c r="BM819" s="323">
        <v>2.2913186510000001</v>
      </c>
      <c r="BN819" s="323">
        <v>4.1133515819999991</v>
      </c>
      <c r="BO819" s="323">
        <v>11.480174020999998</v>
      </c>
      <c r="BP819" s="323">
        <v>0.244489505</v>
      </c>
      <c r="BQ819" s="323">
        <v>0.210040425</v>
      </c>
      <c r="BR819" s="323">
        <v>36.401174263000001</v>
      </c>
      <c r="BS819" s="323">
        <v>28.600580636487997</v>
      </c>
      <c r="BT819" s="323">
        <v>0</v>
      </c>
      <c r="BU819" s="323">
        <v>16.179806585249999</v>
      </c>
      <c r="BV819" s="323">
        <v>40.644011394025</v>
      </c>
      <c r="BW819" s="323">
        <v>0</v>
      </c>
      <c r="BX819" s="323">
        <v>3.0755816996010013</v>
      </c>
      <c r="BY819" s="323">
        <v>0</v>
      </c>
      <c r="BZ819" s="323">
        <v>0</v>
      </c>
      <c r="CA819" s="323">
        <v>12.997303972659999</v>
      </c>
      <c r="CB819" s="323">
        <v>31.179930483504002</v>
      </c>
      <c r="CC819" s="323">
        <v>17.791806279455997</v>
      </c>
      <c r="CD819" s="329">
        <v>32.721542591764994</v>
      </c>
      <c r="CE819" s="323">
        <f t="shared" ref="CE819:DB819" si="1392">CE416</f>
        <v>10.649725516935002</v>
      </c>
      <c r="CF819" s="323">
        <f t="shared" si="1392"/>
        <v>32.642625870288001</v>
      </c>
      <c r="CG819" s="323">
        <f t="shared" si="1392"/>
        <v>42.376945760600009</v>
      </c>
      <c r="CH819" s="323">
        <f t="shared" si="1392"/>
        <v>8.2179470510999995</v>
      </c>
      <c r="CI819" s="323">
        <f t="shared" si="1392"/>
        <v>2.710436597478</v>
      </c>
      <c r="CJ819" s="323">
        <f t="shared" si="1392"/>
        <v>39.538582284914</v>
      </c>
      <c r="CK819" s="323">
        <f t="shared" si="1392"/>
        <v>0</v>
      </c>
      <c r="CL819" s="323">
        <f t="shared" si="1392"/>
        <v>0</v>
      </c>
      <c r="CM819" s="323">
        <f t="shared" si="1392"/>
        <v>0</v>
      </c>
      <c r="CN819" s="323">
        <f t="shared" si="1392"/>
        <v>5.1416973700781536</v>
      </c>
      <c r="CO819" s="323">
        <f t="shared" si="1392"/>
        <v>20.51012667949999</v>
      </c>
      <c r="CP819" s="325">
        <f t="shared" si="1392"/>
        <v>9.2667948451580067</v>
      </c>
      <c r="CQ819" s="323">
        <f t="shared" si="1392"/>
        <v>17.574926579780833</v>
      </c>
      <c r="CR819" s="323">
        <f t="shared" si="1392"/>
        <v>6.1004475483840262E-2</v>
      </c>
      <c r="CS819" s="323">
        <f t="shared" si="1392"/>
        <v>18.410786140034833</v>
      </c>
      <c r="CT819" s="323">
        <f t="shared" si="1392"/>
        <v>4.6459715500613363</v>
      </c>
      <c r="CU819" s="323">
        <f t="shared" si="1392"/>
        <v>11.644424817805957</v>
      </c>
      <c r="CV819" s="323">
        <f t="shared" si="1392"/>
        <v>63.104221270265896</v>
      </c>
      <c r="CW819" s="323">
        <f t="shared" si="1392"/>
        <v>0.36886337475031195</v>
      </c>
      <c r="CX819" s="323">
        <f t="shared" si="1392"/>
        <v>5.3526167373176399E-2</v>
      </c>
      <c r="CY819" s="323">
        <f t="shared" si="1392"/>
        <v>17.62001316069103</v>
      </c>
      <c r="CZ819" s="323">
        <f t="shared" si="1392"/>
        <v>13.437569677394109</v>
      </c>
      <c r="DA819" s="323">
        <f t="shared" si="1392"/>
        <v>27.297930233327257</v>
      </c>
      <c r="DB819" s="1269">
        <f t="shared" si="1392"/>
        <v>0.68446750797208367</v>
      </c>
      <c r="DC819" s="323">
        <f t="shared" ref="DC819:FN819" si="1393">DC160</f>
        <v>18.500350525863201</v>
      </c>
      <c r="DD819" s="323">
        <f t="shared" si="1393"/>
        <v>6.1547591233999999</v>
      </c>
      <c r="DE819" s="323">
        <f t="shared" si="1393"/>
        <v>21.85774148142</v>
      </c>
      <c r="DF819" s="323">
        <f t="shared" si="1393"/>
        <v>0.27488678799999999</v>
      </c>
      <c r="DG819" s="323">
        <f t="shared" si="1393"/>
        <v>33.148919335843502</v>
      </c>
      <c r="DH819" s="323">
        <f t="shared" si="1393"/>
        <v>22.95045653645364</v>
      </c>
      <c r="DI819" s="323">
        <f t="shared" si="1393"/>
        <v>0.45384504142463566</v>
      </c>
      <c r="DJ819" s="323">
        <f t="shared" si="1393"/>
        <v>3.0471868759055294</v>
      </c>
      <c r="DK819" s="323">
        <f t="shared" si="1393"/>
        <v>0.34657287472925635</v>
      </c>
      <c r="DL819" s="323">
        <f t="shared" si="1393"/>
        <v>54.368579620764223</v>
      </c>
      <c r="DM819" s="323">
        <f t="shared" si="1393"/>
        <v>0.23876751243749914</v>
      </c>
      <c r="DN819" s="323">
        <f t="shared" si="1393"/>
        <v>43.464944561485638</v>
      </c>
      <c r="DO819" s="323">
        <f t="shared" si="1393"/>
        <v>4.6855716548560604</v>
      </c>
      <c r="DP819" s="323">
        <f t="shared" si="1393"/>
        <v>0</v>
      </c>
      <c r="DQ819" s="323">
        <f t="shared" si="1393"/>
        <v>0</v>
      </c>
      <c r="DR819" s="323">
        <f t="shared" si="1393"/>
        <v>0</v>
      </c>
      <c r="DS819" s="323">
        <f t="shared" si="1393"/>
        <v>9.1588665883095004</v>
      </c>
      <c r="DT819" s="323">
        <f t="shared" si="1393"/>
        <v>20.663968732646893</v>
      </c>
      <c r="DU819" s="323">
        <f t="shared" si="1393"/>
        <v>15.873335991999999</v>
      </c>
      <c r="DV819" s="323">
        <f t="shared" si="1393"/>
        <v>0</v>
      </c>
      <c r="DW819" s="323">
        <f t="shared" si="1393"/>
        <v>0</v>
      </c>
      <c r="DX819" s="323">
        <f t="shared" si="1393"/>
        <v>12.168713068197375</v>
      </c>
      <c r="DY819" s="323">
        <f t="shared" si="1393"/>
        <v>0</v>
      </c>
      <c r="DZ819" s="323">
        <f t="shared" si="1393"/>
        <v>52.75959672845898</v>
      </c>
      <c r="EA819" s="323">
        <f t="shared" si="1393"/>
        <v>16.435436212890188</v>
      </c>
      <c r="EB819" s="323">
        <f t="shared" si="1393"/>
        <v>1.9416037326127447</v>
      </c>
      <c r="EC819" s="323">
        <f t="shared" si="1393"/>
        <v>0</v>
      </c>
      <c r="ED819" s="323">
        <f t="shared" si="1393"/>
        <v>14.085088712740772</v>
      </c>
      <c r="EE819" s="323">
        <f t="shared" si="1393"/>
        <v>4.4952272066647154</v>
      </c>
      <c r="EF819" s="323">
        <f t="shared" si="1393"/>
        <v>32.180366850462036</v>
      </c>
      <c r="EG819" s="323">
        <f t="shared" si="1393"/>
        <v>27.740567568486426</v>
      </c>
      <c r="EH819" s="323">
        <f t="shared" si="1393"/>
        <v>3.4351810122460638</v>
      </c>
      <c r="EI819" s="323">
        <f t="shared" si="1393"/>
        <v>13.132741159268299</v>
      </c>
      <c r="EJ819" s="323">
        <f t="shared" si="1393"/>
        <v>13.831257406782735</v>
      </c>
      <c r="EK819" s="323">
        <f t="shared" si="1393"/>
        <v>0</v>
      </c>
      <c r="EL819" s="323">
        <f t="shared" si="1393"/>
        <v>0</v>
      </c>
      <c r="EM819" s="323">
        <f t="shared" si="1393"/>
        <v>6.0684036755970308</v>
      </c>
      <c r="EN819" s="323">
        <f t="shared" si="1393"/>
        <v>12.302054782967376</v>
      </c>
      <c r="EO819" s="323">
        <f t="shared" si="1393"/>
        <v>0.10422218235476999</v>
      </c>
      <c r="EP819" s="323">
        <f t="shared" si="1393"/>
        <v>0</v>
      </c>
      <c r="EQ819" s="323">
        <f t="shared" si="1393"/>
        <v>0</v>
      </c>
      <c r="ER819" s="323">
        <f t="shared" si="1393"/>
        <v>71.232557029016377</v>
      </c>
      <c r="ES819" s="323">
        <f t="shared" si="1393"/>
        <v>14.021816380000001</v>
      </c>
      <c r="ET819" s="323">
        <f t="shared" si="1393"/>
        <v>25.648448246000001</v>
      </c>
      <c r="EU819" s="323">
        <f t="shared" si="1393"/>
        <v>0</v>
      </c>
      <c r="EV819" s="323">
        <f t="shared" si="1393"/>
        <v>13.419106073131385</v>
      </c>
      <c r="EW819" s="323">
        <f t="shared" si="1393"/>
        <v>0</v>
      </c>
      <c r="EX819" s="323">
        <f t="shared" si="1393"/>
        <v>0</v>
      </c>
      <c r="EY819" s="323">
        <f t="shared" si="1393"/>
        <v>18.885914780479233</v>
      </c>
      <c r="EZ819" s="323">
        <f t="shared" si="1393"/>
        <v>0</v>
      </c>
      <c r="FA819" s="323">
        <f t="shared" si="1393"/>
        <v>0</v>
      </c>
      <c r="FB819" s="323">
        <f t="shared" si="1393"/>
        <v>0</v>
      </c>
      <c r="FC819" s="323">
        <f t="shared" si="1393"/>
        <v>9.2111639751582803</v>
      </c>
      <c r="FD819" s="323">
        <f t="shared" si="1393"/>
        <v>46.484624538530092</v>
      </c>
      <c r="FE819" s="323">
        <f t="shared" si="1393"/>
        <v>0</v>
      </c>
      <c r="FF819" s="323">
        <f t="shared" si="1393"/>
        <v>17.942072601710958</v>
      </c>
      <c r="FG819" s="323">
        <f t="shared" si="1393"/>
        <v>0</v>
      </c>
      <c r="FH819" s="323">
        <f t="shared" si="1393"/>
        <v>23.107773860801</v>
      </c>
      <c r="FI819" s="323">
        <f t="shared" si="1393"/>
        <v>0</v>
      </c>
      <c r="FJ819" s="323">
        <f t="shared" si="1393"/>
        <v>37.913166435999997</v>
      </c>
      <c r="FK819" s="323">
        <f t="shared" si="1393"/>
        <v>0</v>
      </c>
      <c r="FL819" s="323">
        <f t="shared" si="1393"/>
        <v>0</v>
      </c>
      <c r="FM819" s="323">
        <f t="shared" si="1393"/>
        <v>55.78206542418198</v>
      </c>
      <c r="FN819" s="323">
        <f t="shared" si="1393"/>
        <v>35.485712861354926</v>
      </c>
      <c r="FO819" s="323">
        <f t="shared" ref="FO819:HH819" si="1394">FO160</f>
        <v>0</v>
      </c>
      <c r="FP819" s="323">
        <f t="shared" si="1394"/>
        <v>28.462910114962668</v>
      </c>
      <c r="FQ819" s="323">
        <f t="shared" si="1394"/>
        <v>0</v>
      </c>
      <c r="FR819" s="323">
        <f t="shared" si="1394"/>
        <v>0</v>
      </c>
      <c r="FS819" s="323">
        <f t="shared" si="1394"/>
        <v>74.49219628223868</v>
      </c>
      <c r="FT819" s="323">
        <f t="shared" si="1394"/>
        <v>11.165815152893289</v>
      </c>
      <c r="FU819" s="323">
        <f t="shared" si="1394"/>
        <v>0</v>
      </c>
      <c r="FV819" s="323">
        <f t="shared" si="1394"/>
        <v>56.902254674493491</v>
      </c>
      <c r="FW819" s="323">
        <f t="shared" si="1394"/>
        <v>1.2382475E-2</v>
      </c>
      <c r="FX819" s="323">
        <f t="shared" si="1394"/>
        <v>43.244714305822797</v>
      </c>
      <c r="FY819" s="323">
        <f t="shared" si="1394"/>
        <v>8.6165421105112401</v>
      </c>
      <c r="FZ819" s="323">
        <f t="shared" si="1394"/>
        <v>17.063186750203002</v>
      </c>
      <c r="GA819" s="323">
        <f t="shared" si="1394"/>
        <v>13.4435335482195</v>
      </c>
      <c r="GB819" s="323">
        <f t="shared" si="1394"/>
        <v>0.241415044</v>
      </c>
      <c r="GC819" s="323">
        <f t="shared" si="1394"/>
        <v>18.56186430122964</v>
      </c>
      <c r="GD819" s="323">
        <f t="shared" si="1394"/>
        <v>7.6535444779132003E-2</v>
      </c>
      <c r="GE819" s="323">
        <f t="shared" si="1394"/>
        <v>94.795115429550336</v>
      </c>
      <c r="GF819" s="323">
        <f t="shared" si="1394"/>
        <v>31.820768096170202</v>
      </c>
      <c r="GG819" s="323">
        <f t="shared" si="1394"/>
        <v>0</v>
      </c>
      <c r="GH819" s="323">
        <f t="shared" si="1394"/>
        <v>4.7254106244460603</v>
      </c>
      <c r="GI819" s="323">
        <f t="shared" si="1394"/>
        <v>31.716082279583937</v>
      </c>
      <c r="GJ819" s="323">
        <f t="shared" si="1394"/>
        <v>2.9643453900840777</v>
      </c>
      <c r="GK819" s="323">
        <f t="shared" si="1394"/>
        <v>0</v>
      </c>
      <c r="GL819" s="323">
        <f t="shared" si="1394"/>
        <v>18.397884214117887</v>
      </c>
      <c r="GM819" s="323">
        <f t="shared" si="1394"/>
        <v>0</v>
      </c>
      <c r="GN819" s="323">
        <f t="shared" si="1394"/>
        <v>14.981367171752915</v>
      </c>
      <c r="GO819" s="323">
        <f t="shared" si="1394"/>
        <v>0.9753833970000001</v>
      </c>
      <c r="GP819" s="323">
        <f t="shared" si="1394"/>
        <v>0</v>
      </c>
      <c r="GQ819" s="323">
        <f t="shared" si="1394"/>
        <v>0</v>
      </c>
      <c r="GR819" s="323">
        <f t="shared" si="1394"/>
        <v>37.389641002270317</v>
      </c>
      <c r="GS819" s="323">
        <f t="shared" si="1394"/>
        <v>10.206828589979999</v>
      </c>
      <c r="GT819" s="323">
        <f t="shared" si="1394"/>
        <v>34.644585451470562</v>
      </c>
      <c r="GU819" s="323">
        <f t="shared" si="1394"/>
        <v>34.381813544500368</v>
      </c>
      <c r="GV819" s="323">
        <f t="shared" si="1394"/>
        <v>9.7639445017651276</v>
      </c>
      <c r="GW819" s="323">
        <f t="shared" si="1394"/>
        <v>7.465749931508225</v>
      </c>
      <c r="GX819" s="323">
        <f t="shared" si="1394"/>
        <v>14.899181219072448</v>
      </c>
      <c r="GY819" s="323">
        <f t="shared" si="1394"/>
        <v>2.0545404563266199</v>
      </c>
      <c r="GZ819" s="323">
        <f t="shared" si="1394"/>
        <v>7.8490124882709535</v>
      </c>
      <c r="HA819" s="323">
        <f t="shared" si="1394"/>
        <v>14.411668654781918</v>
      </c>
      <c r="HB819" s="323">
        <f t="shared" si="1394"/>
        <v>0</v>
      </c>
      <c r="HC819" s="323">
        <f t="shared" si="1394"/>
        <v>0</v>
      </c>
      <c r="HD819" s="323">
        <f t="shared" si="1394"/>
        <v>29.529508718633497</v>
      </c>
      <c r="HE819" s="323">
        <f t="shared" si="1394"/>
        <v>9.3581437734186519</v>
      </c>
      <c r="HF819" s="323">
        <f t="shared" si="1394"/>
        <v>18.200324285234</v>
      </c>
      <c r="HG819" s="323">
        <f t="shared" si="1394"/>
        <v>36.550565428489207</v>
      </c>
      <c r="HH819" s="323">
        <f t="shared" si="1394"/>
        <v>0</v>
      </c>
      <c r="HI819" s="323">
        <f t="shared" ref="HI819:HK819" si="1395">HI160</f>
        <v>0</v>
      </c>
      <c r="HJ819" s="323">
        <f t="shared" si="1395"/>
        <v>34.237850121589396</v>
      </c>
      <c r="HK819" s="323">
        <f t="shared" si="1395"/>
        <v>0</v>
      </c>
      <c r="HL819" s="323">
        <f t="shared" ref="HL819:HR819" si="1396">HL160</f>
        <v>13.097112182903905</v>
      </c>
      <c r="HM819" s="323">
        <f t="shared" si="1396"/>
        <v>14.90240277279772</v>
      </c>
      <c r="HN819" s="323">
        <f t="shared" si="1396"/>
        <v>0</v>
      </c>
      <c r="HO819" s="323">
        <f t="shared" si="1396"/>
        <v>0</v>
      </c>
      <c r="HP819" s="323">
        <f t="shared" si="1396"/>
        <v>0</v>
      </c>
      <c r="HQ819" s="323">
        <f t="shared" si="1396"/>
        <v>6.5565700777080353</v>
      </c>
      <c r="HR819" s="323">
        <f t="shared" si="1396"/>
        <v>22.935490024454118</v>
      </c>
      <c r="HS819" s="323">
        <f t="shared" ref="HS819:HX819" si="1397">HS160</f>
        <v>29.246894488254931</v>
      </c>
      <c r="HT819" s="323">
        <f t="shared" si="1397"/>
        <v>0</v>
      </c>
      <c r="HU819" s="323">
        <f t="shared" si="1397"/>
        <v>0.79635628059999997</v>
      </c>
      <c r="HV819" s="323">
        <f t="shared" si="1397"/>
        <v>14.001812152559998</v>
      </c>
      <c r="HW819" s="323">
        <f t="shared" si="1397"/>
        <v>0</v>
      </c>
      <c r="HX819" s="323">
        <f t="shared" si="1397"/>
        <v>0</v>
      </c>
      <c r="HY819" s="323"/>
      <c r="HZ819" s="326"/>
      <c r="IA819" s="334" t="s">
        <v>506</v>
      </c>
      <c r="IB819" s="284">
        <f>SUM(CE819:CJ819)</f>
        <v>136.13626308131501</v>
      </c>
      <c r="IC819" s="279">
        <f>SUM(CK819:CP819)</f>
        <v>34.918618894736156</v>
      </c>
      <c r="ID819" s="323">
        <f t="shared" si="907"/>
        <v>171.05488197605115</v>
      </c>
      <c r="IE819" s="279">
        <f>SUM(CQ819:CV819)</f>
        <v>115.44133483343269</v>
      </c>
      <c r="IF819" s="279">
        <f>SUM(CW819:DB819)</f>
        <v>59.462370121507973</v>
      </c>
      <c r="IG819" s="323">
        <f t="shared" si="880"/>
        <v>174.90370495494068</v>
      </c>
      <c r="IH819" s="284">
        <f>SUM(DC819:DH819)</f>
        <v>102.88711379098035</v>
      </c>
      <c r="II819" s="279">
        <f>SUM(DI819:DN819)</f>
        <v>101.91989648674678</v>
      </c>
      <c r="IJ819" s="323">
        <f t="shared" si="881"/>
        <v>204.80701027772713</v>
      </c>
      <c r="IK819" s="327">
        <f>SUM(DO819:DT819)</f>
        <v>34.508406975812456</v>
      </c>
      <c r="IL819" s="279">
        <f>SUM(DU819:DZ819)</f>
        <v>80.801645788656359</v>
      </c>
      <c r="IM819" s="323">
        <f t="shared" si="882"/>
        <v>115.31005276446882</v>
      </c>
      <c r="IN819" s="279">
        <f>SUM(EA819:EF819)</f>
        <v>69.137722715370458</v>
      </c>
      <c r="IO819" s="279">
        <f>SUM(EG819:EL819)</f>
        <v>58.13974714678352</v>
      </c>
      <c r="IP819" s="323">
        <f t="shared" si="883"/>
        <v>127.27746986215398</v>
      </c>
      <c r="IQ819" s="327">
        <f>SUM(EM819:ER819)</f>
        <v>89.707237669935552</v>
      </c>
      <c r="IR819" s="327">
        <f>SUM(ES819:EX819)</f>
        <v>53.089370699131393</v>
      </c>
      <c r="IS819" s="323">
        <f t="shared" si="884"/>
        <v>142.79660836906694</v>
      </c>
      <c r="IT819" s="327">
        <f>SUM(EY819:FD819)</f>
        <v>74.581703294167596</v>
      </c>
      <c r="IU819" s="327">
        <f>SUM(FE819:FJ819)</f>
        <v>78.963012898511948</v>
      </c>
      <c r="IV819" s="323">
        <f t="shared" si="885"/>
        <v>153.54471619267954</v>
      </c>
      <c r="IW819" s="327">
        <f>SUM(FK819:FP819)</f>
        <v>119.73068840049957</v>
      </c>
      <c r="IX819" s="327">
        <f t="shared" si="1378"/>
        <v>142.56026610962545</v>
      </c>
      <c r="IY819" s="323">
        <f>IW819+IX819</f>
        <v>262.290954510125</v>
      </c>
      <c r="IZ819" s="327">
        <f t="shared" si="1247"/>
        <v>82.62177423375654</v>
      </c>
      <c r="JA819" s="327">
        <f t="shared" si="1248"/>
        <v>149.97969389617538</v>
      </c>
      <c r="JB819" s="323">
        <f t="shared" si="887"/>
        <v>232.6014681299319</v>
      </c>
      <c r="JC819" s="327">
        <f t="shared" si="1249"/>
        <v>68.059679055538822</v>
      </c>
      <c r="JD819" s="327">
        <f t="shared" si="1250"/>
        <v>83.216438440720879</v>
      </c>
      <c r="JE819" s="323">
        <f t="shared" si="888"/>
        <v>151.2761174962597</v>
      </c>
      <c r="JF819" s="327">
        <f>SUM(GU819:GZ819)</f>
        <v>76.414242141443751</v>
      </c>
      <c r="JG819" s="327">
        <f t="shared" si="1372"/>
        <v>71.499645432068064</v>
      </c>
      <c r="JH819" s="323">
        <f t="shared" si="889"/>
        <v>147.91388757351183</v>
      </c>
      <c r="JI819" s="327">
        <f t="shared" si="909"/>
        <v>83.88552773298251</v>
      </c>
      <c r="JJ819" s="327">
        <f t="shared" si="910"/>
        <v>44.394462874959871</v>
      </c>
      <c r="JK819" s="323">
        <f t="shared" ref="JK819:JK882" si="1398">JI819+JJ819</f>
        <v>128.27999060794238</v>
      </c>
      <c r="JL819" s="327">
        <f t="shared" si="891"/>
        <v>44.045062921414932</v>
      </c>
      <c r="JM819" s="327">
        <f>FISC!AK95*FISC!AK259/1000</f>
        <v>68.139302898545893</v>
      </c>
      <c r="JN819" s="323">
        <f>FISC!AK1125</f>
        <v>112.61764625081402</v>
      </c>
      <c r="JO819" s="327">
        <f>FISC!AK103*FISC!AL259/1000</f>
        <v>46.966408364980857</v>
      </c>
      <c r="JP819" s="327">
        <f>FISC!AL95*FISC!AL259/1000</f>
        <v>50.363900831627085</v>
      </c>
      <c r="JQ819" s="323">
        <f>FISC!AL1125</f>
        <v>97.330309196607956</v>
      </c>
      <c r="JR819" s="279">
        <f>FISC!AL103*FISC!AM259/1000</f>
        <v>59.822531847334673</v>
      </c>
      <c r="JS819" s="279">
        <f>JT819-JR819</f>
        <v>77.360834615997177</v>
      </c>
      <c r="JT819" s="323">
        <f>FISC!AM1125</f>
        <v>137.18336646333185</v>
      </c>
      <c r="JU819" s="279">
        <f>FISC!AM103*FISC!AN259/1000</f>
        <v>62.656717710702758</v>
      </c>
      <c r="JV819" s="279">
        <f>JW819-JU819</f>
        <v>64.326645642486795</v>
      </c>
      <c r="JW819" s="323">
        <f>FISC!AN1125</f>
        <v>126.98336335318955</v>
      </c>
      <c r="JX819" s="279">
        <f>FISC!AN103*FISC!AO259/1000</f>
        <v>49.522008406778937</v>
      </c>
      <c r="JY819" s="279">
        <f>JZ819-JX819</f>
        <v>66.885593979161655</v>
      </c>
      <c r="JZ819" s="323">
        <f>FISC!AO1125</f>
        <v>116.40760238594059</v>
      </c>
      <c r="KA819" s="279">
        <f>FISC!AO103*FISC!AP259/1000</f>
        <v>0</v>
      </c>
      <c r="KB819" s="279">
        <f>KC819-KA819</f>
        <v>88.224524233940471</v>
      </c>
      <c r="KC819" s="323">
        <f>FISC!AP1125</f>
        <v>88.224524233940471</v>
      </c>
      <c r="KD819" s="279">
        <f>FISC!AP103*FISC!AQ259/1000</f>
        <v>54.538521959293185</v>
      </c>
      <c r="KE819" s="279">
        <f>KF819-KD819</f>
        <v>90.393197618831493</v>
      </c>
      <c r="KF819" s="323">
        <f>FISC!AQ1125</f>
        <v>144.93171957812467</v>
      </c>
      <c r="KG819" s="279">
        <f>FISC!AQ103*FISC!AR259/1000</f>
        <v>56.174677618071982</v>
      </c>
      <c r="KH819" s="279">
        <f>KI819-KG819</f>
        <v>91.99708406951676</v>
      </c>
      <c r="KI819" s="323">
        <f>FISC!AR1125</f>
        <v>148.17176168758874</v>
      </c>
      <c r="KJ819" s="279">
        <f>FISC!AR103*FISC!AS259/1000</f>
        <v>57.859917946614146</v>
      </c>
      <c r="KK819" s="279">
        <f>KL819-KJ819</f>
        <v>94.852092155120246</v>
      </c>
      <c r="KL819" s="323">
        <f>FISC!AS1125</f>
        <v>152.71201010173439</v>
      </c>
      <c r="KM819" s="279">
        <f>FISC!AS103*FISC!AT259/1000</f>
        <v>59.595715485012576</v>
      </c>
      <c r="KN819" s="279">
        <f>KO819-KM819</f>
        <v>98.342482086728936</v>
      </c>
      <c r="KO819" s="323">
        <f>FISC!AT1125</f>
        <v>157.93819757174151</v>
      </c>
      <c r="KU819" s="326"/>
      <c r="KV819" s="327"/>
    </row>
    <row r="820" spans="1:314">
      <c r="A820" s="279"/>
      <c r="B820" s="96" t="s">
        <v>338</v>
      </c>
      <c r="D820" s="334" t="s">
        <v>507</v>
      </c>
      <c r="E820" s="323"/>
      <c r="F820" s="323"/>
      <c r="G820" s="323"/>
      <c r="H820" s="323"/>
      <c r="I820" s="323"/>
      <c r="J820" s="323"/>
      <c r="K820" s="323"/>
      <c r="L820" s="323"/>
      <c r="M820" s="323"/>
      <c r="N820" s="323"/>
      <c r="O820" s="323"/>
      <c r="P820" s="323"/>
      <c r="Q820" s="323"/>
      <c r="R820" s="323"/>
      <c r="S820" s="323"/>
      <c r="T820" s="323"/>
      <c r="U820" s="323"/>
      <c r="V820" s="323"/>
      <c r="W820" s="323"/>
      <c r="X820" s="323"/>
      <c r="Y820" s="323"/>
      <c r="Z820" s="323"/>
      <c r="AA820" s="323"/>
      <c r="AB820" s="323"/>
      <c r="AC820" s="323"/>
      <c r="AD820" s="323"/>
      <c r="AE820" s="323"/>
      <c r="AF820" s="323"/>
      <c r="AG820" s="323"/>
      <c r="AH820" s="323"/>
      <c r="AI820" s="323"/>
      <c r="AJ820" s="323"/>
      <c r="AK820" s="323"/>
      <c r="AL820" s="323"/>
      <c r="AM820" s="323"/>
      <c r="AN820" s="323"/>
      <c r="AO820" s="323">
        <v>0</v>
      </c>
      <c r="AP820" s="323">
        <v>0</v>
      </c>
      <c r="AQ820" s="323">
        <v>0</v>
      </c>
      <c r="AR820" s="323">
        <v>0</v>
      </c>
      <c r="AS820" s="323">
        <v>0</v>
      </c>
      <c r="AT820" s="323">
        <v>0</v>
      </c>
      <c r="AU820" s="323">
        <v>8.2002119918181062</v>
      </c>
      <c r="AV820" s="323">
        <v>2.4551394242663771</v>
      </c>
      <c r="AW820" s="323">
        <v>0.69460944265934976</v>
      </c>
      <c r="AX820" s="323">
        <v>7.0166462613698037</v>
      </c>
      <c r="AY820" s="323">
        <v>9.0637393975056462</v>
      </c>
      <c r="AZ820" s="323">
        <v>85.684286871007416</v>
      </c>
      <c r="BA820" s="323">
        <v>8.270675762093374</v>
      </c>
      <c r="BB820" s="323">
        <v>5.3430239825121344</v>
      </c>
      <c r="BC820" s="323">
        <v>7.2337640878782059</v>
      </c>
      <c r="BD820" s="323">
        <v>7.4141758912248124</v>
      </c>
      <c r="BE820" s="323">
        <v>8.6928451992080173</v>
      </c>
      <c r="BF820" s="323">
        <v>13.930881688456768</v>
      </c>
      <c r="BG820" s="323">
        <v>8.5540233331812221</v>
      </c>
      <c r="BH820" s="323">
        <v>8.1775968474520724</v>
      </c>
      <c r="BI820" s="323">
        <v>14.279918114465966</v>
      </c>
      <c r="BJ820" s="323">
        <v>60.722221762957972</v>
      </c>
      <c r="BK820" s="323">
        <v>13.450970226476773</v>
      </c>
      <c r="BL820" s="323">
        <v>14.425838004888339</v>
      </c>
      <c r="BM820" s="323">
        <v>3.7222850128934368</v>
      </c>
      <c r="BN820" s="323">
        <v>7.5282964928846736</v>
      </c>
      <c r="BO820" s="323">
        <v>5.3877661107781902</v>
      </c>
      <c r="BP820" s="323">
        <v>5.183731605567826</v>
      </c>
      <c r="BQ820" s="323">
        <v>4.6621603463956962</v>
      </c>
      <c r="BR820" s="323">
        <v>45.605192142057817</v>
      </c>
      <c r="BS820" s="323">
        <v>12.203299451901628</v>
      </c>
      <c r="BT820" s="323">
        <v>14.813409459931112</v>
      </c>
      <c r="BU820" s="323">
        <v>6.5902026762721153</v>
      </c>
      <c r="BV820" s="323">
        <v>7.9663939819053082</v>
      </c>
      <c r="BW820" s="323">
        <v>41.538890177774903</v>
      </c>
      <c r="BX820" s="323">
        <v>29.001320784256873</v>
      </c>
      <c r="BY820" s="323">
        <v>6.4084407417666696E-6</v>
      </c>
      <c r="BZ820" s="323">
        <v>3.9502690426215792</v>
      </c>
      <c r="CA820" s="323">
        <v>8.9347603934343383</v>
      </c>
      <c r="CB820" s="323">
        <v>6.8720589184452443</v>
      </c>
      <c r="CC820" s="323">
        <v>32.567005592195322</v>
      </c>
      <c r="CD820" s="329">
        <v>10.462383112820836</v>
      </c>
      <c r="CE820" s="323">
        <f t="shared" ref="CE820:DB820" si="1399">CE417</f>
        <v>20.644770703771695</v>
      </c>
      <c r="CF820" s="323">
        <f t="shared" si="1399"/>
        <v>6.2068516957338105</v>
      </c>
      <c r="CG820" s="323">
        <f t="shared" si="1399"/>
        <v>33.654755862294493</v>
      </c>
      <c r="CH820" s="323">
        <f t="shared" si="1399"/>
        <v>40.164865416949603</v>
      </c>
      <c r="CI820" s="323">
        <f t="shared" si="1399"/>
        <v>33.30229618613545</v>
      </c>
      <c r="CJ820" s="323">
        <f t="shared" si="1399"/>
        <v>23.305426911000946</v>
      </c>
      <c r="CK820" s="323">
        <f t="shared" si="1399"/>
        <v>22.369328398681304</v>
      </c>
      <c r="CL820" s="323">
        <f t="shared" si="1399"/>
        <v>15.370313869472696</v>
      </c>
      <c r="CM820" s="323">
        <f t="shared" si="1399"/>
        <v>15.260357731845993</v>
      </c>
      <c r="CN820" s="323">
        <f t="shared" si="1399"/>
        <v>55.08162525346021</v>
      </c>
      <c r="CO820" s="323">
        <f t="shared" si="1399"/>
        <v>16.101722923910174</v>
      </c>
      <c r="CP820" s="325">
        <f t="shared" si="1399"/>
        <v>21.799460293312592</v>
      </c>
      <c r="CQ820" s="323">
        <f t="shared" si="1399"/>
        <v>16.87350672279609</v>
      </c>
      <c r="CR820" s="323">
        <f t="shared" si="1399"/>
        <v>20.574332516946019</v>
      </c>
      <c r="CS820" s="323">
        <f t="shared" si="1399"/>
        <v>13.677160760257889</v>
      </c>
      <c r="CT820" s="323">
        <f t="shared" si="1399"/>
        <v>22.966062853869769</v>
      </c>
      <c r="CU820" s="323">
        <f t="shared" si="1399"/>
        <v>25.792258359012344</v>
      </c>
      <c r="CV820" s="323">
        <f t="shared" si="1399"/>
        <v>25.594723744156603</v>
      </c>
      <c r="CW820" s="323">
        <f t="shared" si="1399"/>
        <v>18.835302128312126</v>
      </c>
      <c r="CX820" s="323">
        <f t="shared" si="1399"/>
        <v>20.69342160459518</v>
      </c>
      <c r="CY820" s="323">
        <f t="shared" si="1399"/>
        <v>18.249102545774683</v>
      </c>
      <c r="CZ820" s="323">
        <f t="shared" si="1399"/>
        <v>12.54749310504959</v>
      </c>
      <c r="DA820" s="323">
        <f t="shared" si="1399"/>
        <v>24.627020117877478</v>
      </c>
      <c r="DB820" s="1269">
        <f t="shared" si="1399"/>
        <v>20.593317581711101</v>
      </c>
      <c r="DC820" s="323">
        <f t="shared" ref="DC820:FN820" si="1400">DC167</f>
        <v>13.452093833224433</v>
      </c>
      <c r="DD820" s="323">
        <f t="shared" si="1400"/>
        <v>19.022173646102264</v>
      </c>
      <c r="DE820" s="323">
        <f t="shared" si="1400"/>
        <v>15.875732520673303</v>
      </c>
      <c r="DF820" s="323">
        <f t="shared" si="1400"/>
        <v>10.355677608348262</v>
      </c>
      <c r="DG820" s="323">
        <f t="shared" si="1400"/>
        <v>9.0934462919717642</v>
      </c>
      <c r="DH820" s="323">
        <f t="shared" si="1400"/>
        <v>28.907471615502221</v>
      </c>
      <c r="DI820" s="323">
        <f t="shared" si="1400"/>
        <v>9.6377982635075625</v>
      </c>
      <c r="DJ820" s="323">
        <f t="shared" si="1400"/>
        <v>11.505491827422979</v>
      </c>
      <c r="DK820" s="323">
        <f t="shared" si="1400"/>
        <v>14.956709909069456</v>
      </c>
      <c r="DL820" s="323">
        <f t="shared" si="1400"/>
        <v>10.918476448112893</v>
      </c>
      <c r="DM820" s="323">
        <f t="shared" si="1400"/>
        <v>19.287035582032409</v>
      </c>
      <c r="DN820" s="323">
        <f t="shared" si="1400"/>
        <v>5.8944879698547039</v>
      </c>
      <c r="DO820" s="323">
        <f t="shared" si="1400"/>
        <v>12.136271271812186</v>
      </c>
      <c r="DP820" s="323">
        <f t="shared" si="1400"/>
        <v>12.133511288417928</v>
      </c>
      <c r="DQ820" s="323">
        <f t="shared" si="1400"/>
        <v>12.10521743976989</v>
      </c>
      <c r="DR820" s="323">
        <f t="shared" si="1400"/>
        <v>3.2359692316649102</v>
      </c>
      <c r="DS820" s="323">
        <f t="shared" si="1400"/>
        <v>15.106655246115155</v>
      </c>
      <c r="DT820" s="323">
        <f t="shared" si="1400"/>
        <v>18.032375522219933</v>
      </c>
      <c r="DU820" s="323">
        <f t="shared" si="1400"/>
        <v>10.988140744151838</v>
      </c>
      <c r="DV820" s="323">
        <f t="shared" si="1400"/>
        <v>15.698929868479176</v>
      </c>
      <c r="DW820" s="323">
        <f t="shared" si="1400"/>
        <v>9.9379293873689836</v>
      </c>
      <c r="DX820" s="323">
        <f t="shared" si="1400"/>
        <v>5.9392520350356071</v>
      </c>
      <c r="DY820" s="323">
        <f t="shared" si="1400"/>
        <v>11.606604623025165</v>
      </c>
      <c r="DZ820" s="323">
        <f t="shared" si="1400"/>
        <v>19.079143341939226</v>
      </c>
      <c r="EA820" s="323">
        <f t="shared" si="1400"/>
        <v>12.04303298669176</v>
      </c>
      <c r="EB820" s="323">
        <f t="shared" si="1400"/>
        <v>11.58141738339774</v>
      </c>
      <c r="EC820" s="323">
        <f t="shared" si="1400"/>
        <v>18.953049629910502</v>
      </c>
      <c r="ED820" s="323">
        <f t="shared" si="1400"/>
        <v>9.2129121794719193</v>
      </c>
      <c r="EE820" s="323">
        <f t="shared" si="1400"/>
        <v>18.666473033356318</v>
      </c>
      <c r="EF820" s="323">
        <f t="shared" si="1400"/>
        <v>14.698114787171765</v>
      </c>
      <c r="EG820" s="323">
        <f t="shared" si="1400"/>
        <v>7.7343715577035592</v>
      </c>
      <c r="EH820" s="323">
        <f t="shared" si="1400"/>
        <v>12.544701009695537</v>
      </c>
      <c r="EI820" s="323">
        <f t="shared" si="1400"/>
        <v>21.498427432600909</v>
      </c>
      <c r="EJ820" s="323">
        <f t="shared" si="1400"/>
        <v>3.5217398195229666</v>
      </c>
      <c r="EK820" s="323">
        <f t="shared" si="1400"/>
        <v>8.0850167052850175</v>
      </c>
      <c r="EL820" s="323">
        <f t="shared" si="1400"/>
        <v>30.170743475192022</v>
      </c>
      <c r="EM820" s="323">
        <f t="shared" si="1400"/>
        <v>15.676377072254855</v>
      </c>
      <c r="EN820" s="323">
        <f t="shared" si="1400"/>
        <v>16.280776577680143</v>
      </c>
      <c r="EO820" s="323">
        <f t="shared" si="1400"/>
        <v>31.957153649935002</v>
      </c>
      <c r="EP820" s="323">
        <f t="shared" si="1400"/>
        <v>25.689925104930648</v>
      </c>
      <c r="EQ820" s="323">
        <f t="shared" si="1400"/>
        <v>6.238642488411001</v>
      </c>
      <c r="ER820" s="323">
        <f t="shared" si="1400"/>
        <v>31.957153649935002</v>
      </c>
      <c r="ES820" s="323">
        <f t="shared" si="1400"/>
        <v>11.77235596909156</v>
      </c>
      <c r="ET820" s="323">
        <f t="shared" si="1400"/>
        <v>14.546519893461165</v>
      </c>
      <c r="EU820" s="323">
        <f t="shared" si="1400"/>
        <v>26.318875862817901</v>
      </c>
      <c r="EV820" s="323">
        <f t="shared" si="1400"/>
        <v>17.045294526785639</v>
      </c>
      <c r="EW820" s="323">
        <f t="shared" si="1400"/>
        <v>9.2735813359162655</v>
      </c>
      <c r="EX820" s="323">
        <f t="shared" si="1400"/>
        <v>26.318875862950499</v>
      </c>
      <c r="EY820" s="323">
        <f t="shared" si="1400"/>
        <v>13.355919074614171</v>
      </c>
      <c r="EZ820" s="323">
        <f t="shared" si="1400"/>
        <v>19.120340874614172</v>
      </c>
      <c r="FA820" s="323">
        <f t="shared" si="1400"/>
        <v>32.476259949591501</v>
      </c>
      <c r="FB820" s="323">
        <f t="shared" si="1400"/>
        <v>17.141012261463228</v>
      </c>
      <c r="FC820" s="323">
        <f t="shared" si="1400"/>
        <v>19.380457481936588</v>
      </c>
      <c r="FD820" s="323">
        <f t="shared" si="1400"/>
        <v>28.4262599495915</v>
      </c>
      <c r="FE820" s="323">
        <f t="shared" si="1400"/>
        <v>18.57477772208745</v>
      </c>
      <c r="FF820" s="323">
        <f t="shared" si="1400"/>
        <v>22.887552055495807</v>
      </c>
      <c r="FG820" s="323">
        <f t="shared" si="1400"/>
        <v>23.485399915408056</v>
      </c>
      <c r="FH820" s="323">
        <f t="shared" si="1400"/>
        <v>17.094977885269913</v>
      </c>
      <c r="FI820" s="323">
        <f t="shared" si="1400"/>
        <v>25.711020665681996</v>
      </c>
      <c r="FJ820" s="323">
        <f t="shared" si="1400"/>
        <v>22.173864846495658</v>
      </c>
      <c r="FK820" s="323">
        <f t="shared" si="1400"/>
        <v>18.016468952481294</v>
      </c>
      <c r="FL820" s="323">
        <f t="shared" si="1400"/>
        <v>22.038160849417618</v>
      </c>
      <c r="FM820" s="323">
        <f t="shared" si="1400"/>
        <v>29.332774612660895</v>
      </c>
      <c r="FN820" s="323">
        <f t="shared" si="1400"/>
        <v>20.310040481209192</v>
      </c>
      <c r="FO820" s="323">
        <f t="shared" ref="FO820:HH820" si="1401">FO167</f>
        <v>24.596989962932081</v>
      </c>
      <c r="FP820" s="323">
        <f t="shared" si="1401"/>
        <v>24.480373970418551</v>
      </c>
      <c r="FQ820" s="323">
        <f t="shared" si="1401"/>
        <v>26.0973223375467</v>
      </c>
      <c r="FR820" s="323">
        <f t="shared" si="1401"/>
        <v>26.0973223375467</v>
      </c>
      <c r="FS820" s="323">
        <f t="shared" si="1401"/>
        <v>27.482987069546699</v>
      </c>
      <c r="FT820" s="323">
        <f t="shared" si="1401"/>
        <v>24.877549419213427</v>
      </c>
      <c r="FU820" s="323">
        <f t="shared" si="1401"/>
        <v>26.540783368213397</v>
      </c>
      <c r="FV820" s="323">
        <f t="shared" si="1401"/>
        <v>24.877549419213427</v>
      </c>
      <c r="FW820" s="323">
        <f t="shared" si="1401"/>
        <v>25.52443471719846</v>
      </c>
      <c r="FX820" s="323">
        <f t="shared" si="1401"/>
        <v>25.52443471719846</v>
      </c>
      <c r="FY820" s="323">
        <f t="shared" si="1401"/>
        <v>25.52443471719846</v>
      </c>
      <c r="FZ820" s="323">
        <f t="shared" si="1401"/>
        <v>34.523905375563082</v>
      </c>
      <c r="GA820" s="323">
        <f t="shared" si="1401"/>
        <v>34.523905375563082</v>
      </c>
      <c r="GB820" s="323">
        <f t="shared" si="1401"/>
        <v>34.523905375563082</v>
      </c>
      <c r="GC820" s="323">
        <f t="shared" si="1401"/>
        <v>32.818074208225894</v>
      </c>
      <c r="GD820" s="323">
        <f t="shared" si="1401"/>
        <v>32.818074208225894</v>
      </c>
      <c r="GE820" s="323">
        <f t="shared" si="1401"/>
        <v>32.818074208225894</v>
      </c>
      <c r="GF820" s="323">
        <f t="shared" si="1401"/>
        <v>32.818074208225894</v>
      </c>
      <c r="GG820" s="323">
        <f t="shared" si="1401"/>
        <v>32.818074208225894</v>
      </c>
      <c r="GH820" s="323">
        <f t="shared" si="1401"/>
        <v>32.818074208225894</v>
      </c>
      <c r="GI820" s="323">
        <f t="shared" si="1401"/>
        <v>16.2176160074929</v>
      </c>
      <c r="GJ820" s="323">
        <f t="shared" si="1401"/>
        <v>16.2176160074929</v>
      </c>
      <c r="GK820" s="323">
        <f t="shared" si="1401"/>
        <v>16.2176160074929</v>
      </c>
      <c r="GL820" s="323">
        <f t="shared" si="1401"/>
        <v>16.2176160074929</v>
      </c>
      <c r="GM820" s="323">
        <f t="shared" si="1401"/>
        <v>16.2176160074929</v>
      </c>
      <c r="GN820" s="323">
        <f t="shared" si="1401"/>
        <v>16.2176160074929</v>
      </c>
      <c r="GO820" s="323">
        <f t="shared" si="1401"/>
        <v>9.518152400153971</v>
      </c>
      <c r="GP820" s="323">
        <f t="shared" si="1401"/>
        <v>9.518152400153971</v>
      </c>
      <c r="GQ820" s="323">
        <f t="shared" si="1401"/>
        <v>9.518152400153971</v>
      </c>
      <c r="GR820" s="323">
        <f t="shared" si="1401"/>
        <v>9.518152400153971</v>
      </c>
      <c r="GS820" s="323">
        <f t="shared" si="1401"/>
        <v>9.518152400153971</v>
      </c>
      <c r="GT820" s="323">
        <f t="shared" si="1401"/>
        <v>9.518152400153971</v>
      </c>
      <c r="GU820" s="323">
        <f t="shared" si="1401"/>
        <v>0</v>
      </c>
      <c r="GV820" s="323">
        <f t="shared" si="1401"/>
        <v>0</v>
      </c>
      <c r="GW820" s="323">
        <f t="shared" si="1401"/>
        <v>45.17447760066586</v>
      </c>
      <c r="GX820" s="323">
        <f t="shared" si="1401"/>
        <v>0</v>
      </c>
      <c r="GY820" s="323">
        <f t="shared" si="1401"/>
        <v>0</v>
      </c>
      <c r="GZ820" s="323">
        <f t="shared" si="1401"/>
        <v>45.17447760066586</v>
      </c>
      <c r="HA820" s="323">
        <f t="shared" si="1401"/>
        <v>0</v>
      </c>
      <c r="HB820" s="323">
        <f t="shared" si="1401"/>
        <v>0</v>
      </c>
      <c r="HC820" s="323">
        <f t="shared" si="1401"/>
        <v>47.88367306829565</v>
      </c>
      <c r="HD820" s="323">
        <f t="shared" si="1401"/>
        <v>0</v>
      </c>
      <c r="HE820" s="323">
        <f t="shared" si="1401"/>
        <v>0</v>
      </c>
      <c r="HF820" s="323">
        <f t="shared" si="1401"/>
        <v>47.88367306829565</v>
      </c>
      <c r="HG820" s="323">
        <f t="shared" si="1401"/>
        <v>0</v>
      </c>
      <c r="HH820" s="323">
        <f t="shared" si="1401"/>
        <v>0</v>
      </c>
      <c r="HI820" s="323">
        <f t="shared" ref="HI820:HK820" si="1402">HI167</f>
        <v>44.842136541598634</v>
      </c>
      <c r="HJ820" s="323">
        <f t="shared" si="1402"/>
        <v>0</v>
      </c>
      <c r="HK820" s="323">
        <f t="shared" si="1402"/>
        <v>0</v>
      </c>
      <c r="HL820" s="323">
        <f>HL167</f>
        <v>44.842136541598634</v>
      </c>
      <c r="HM820" s="323">
        <f t="shared" ref="HM820:HR820" si="1403">HM167</f>
        <v>0</v>
      </c>
      <c r="HN820" s="323">
        <f t="shared" si="1403"/>
        <v>0</v>
      </c>
      <c r="HO820" s="323">
        <f t="shared" si="1403"/>
        <v>35.563367017415111</v>
      </c>
      <c r="HP820" s="323">
        <f t="shared" si="1403"/>
        <v>0</v>
      </c>
      <c r="HQ820" s="323">
        <f t="shared" si="1403"/>
        <v>0</v>
      </c>
      <c r="HR820" s="323">
        <f t="shared" si="1403"/>
        <v>35.928220111964883</v>
      </c>
      <c r="HS820" s="323">
        <f t="shared" ref="HS820:HX820" si="1404">HS167</f>
        <v>0</v>
      </c>
      <c r="HT820" s="323">
        <f t="shared" si="1404"/>
        <v>0</v>
      </c>
      <c r="HU820" s="323">
        <f t="shared" si="1404"/>
        <v>40.919025720107157</v>
      </c>
      <c r="HV820" s="323">
        <f t="shared" si="1404"/>
        <v>0</v>
      </c>
      <c r="HW820" s="323">
        <f t="shared" si="1404"/>
        <v>0</v>
      </c>
      <c r="HX820" s="323">
        <f t="shared" si="1404"/>
        <v>95.916043137406874</v>
      </c>
      <c r="HY820" s="323"/>
      <c r="HZ820" s="326"/>
      <c r="IA820" s="334" t="s">
        <v>507</v>
      </c>
      <c r="IB820" s="284">
        <f>SUM(CE820:CJ820)</f>
        <v>157.27896677588598</v>
      </c>
      <c r="IC820" s="279">
        <f>SUM(CK820:CP820)</f>
        <v>145.98280847068298</v>
      </c>
      <c r="ID820" s="323">
        <f t="shared" si="907"/>
        <v>303.26177524656896</v>
      </c>
      <c r="IE820" s="279">
        <f>SUM(CQ820:CV820)</f>
        <v>125.47804495703872</v>
      </c>
      <c r="IF820" s="279">
        <f>SUM(CW820:DB820)</f>
        <v>115.54565708332017</v>
      </c>
      <c r="IG820" s="323">
        <f t="shared" si="880"/>
        <v>241.0237020403589</v>
      </c>
      <c r="IH820" s="284">
        <f>SUM(DC820:DH820)</f>
        <v>96.706595515822244</v>
      </c>
      <c r="II820" s="279">
        <f>SUM(DI820:DN820)</f>
        <v>72.2</v>
      </c>
      <c r="IJ820" s="323">
        <f t="shared" si="881"/>
        <v>168.90659551582223</v>
      </c>
      <c r="IK820" s="327">
        <f>SUM(DO820:DT820)</f>
        <v>72.75</v>
      </c>
      <c r="IL820" s="279">
        <f>SUM(DU820:DZ820)</f>
        <v>73.25</v>
      </c>
      <c r="IM820" s="323">
        <f t="shared" si="882"/>
        <v>146</v>
      </c>
      <c r="IN820" s="279">
        <f>SUM(EA820:EF820)</f>
        <v>85.155000000000001</v>
      </c>
      <c r="IO820" s="279">
        <f>SUM(EG820:EL820)</f>
        <v>83.555000000000007</v>
      </c>
      <c r="IP820" s="323">
        <f t="shared" si="883"/>
        <v>168.71</v>
      </c>
      <c r="IQ820" s="327">
        <f>SUM(EM820:ER820)</f>
        <v>127.80002854314665</v>
      </c>
      <c r="IR820" s="327">
        <f>SUM(ES820:EX820)</f>
        <v>105.27550345102301</v>
      </c>
      <c r="IS820" s="323">
        <f t="shared" si="884"/>
        <v>233.07553199416967</v>
      </c>
      <c r="IT820" s="327">
        <f>SUM(EY820:FD820)</f>
        <v>129.90024959181116</v>
      </c>
      <c r="IU820" s="327">
        <f>SUM(FE820:FJ820)</f>
        <v>129.92759309043888</v>
      </c>
      <c r="IV820" s="323">
        <f t="shared" si="885"/>
        <v>259.82784268225004</v>
      </c>
      <c r="IW820" s="327">
        <f>SUM(FK820:FP820)</f>
        <v>138.77480882911962</v>
      </c>
      <c r="IX820" s="327">
        <f t="shared" si="1378"/>
        <v>155.97351395128035</v>
      </c>
      <c r="IY820" s="323">
        <f t="shared" si="886"/>
        <v>294.74832278039997</v>
      </c>
      <c r="IZ820" s="327">
        <f t="shared" si="1247"/>
        <v>180.14502027828465</v>
      </c>
      <c r="JA820" s="327">
        <f t="shared" si="1248"/>
        <v>196.90844524935534</v>
      </c>
      <c r="JB820" s="323">
        <f t="shared" si="887"/>
        <v>377.05346552764001</v>
      </c>
      <c r="JC820" s="327">
        <f t="shared" si="1249"/>
        <v>97.305696044957386</v>
      </c>
      <c r="JD820" s="327">
        <f t="shared" si="1250"/>
        <v>57.10891440092383</v>
      </c>
      <c r="JE820" s="323">
        <f t="shared" si="888"/>
        <v>154.41461044588121</v>
      </c>
      <c r="JF820" s="327">
        <f>SUM(GU820:GZ820)</f>
        <v>90.348955201331719</v>
      </c>
      <c r="JG820" s="327">
        <f t="shared" si="1372"/>
        <v>95.7673461365913</v>
      </c>
      <c r="JH820" s="323">
        <f>JF820+JG820</f>
        <v>186.11630133792301</v>
      </c>
      <c r="JI820" s="327">
        <f t="shared" si="909"/>
        <v>89.684273083197269</v>
      </c>
      <c r="JJ820" s="327">
        <f t="shared" ref="JJ820:JJ883" si="1405">SUM(HM820:HR820)</f>
        <v>71.491587129379994</v>
      </c>
      <c r="JK820" s="323">
        <f t="shared" si="1398"/>
        <v>161.17586021257728</v>
      </c>
      <c r="JL820" s="327">
        <f t="shared" si="891"/>
        <v>136.83506885751405</v>
      </c>
      <c r="JM820" s="327">
        <f>FISC!AK83*FISC!AK259/1000</f>
        <v>137.6543841064609</v>
      </c>
      <c r="JN820" s="323">
        <f>FISC!AK1126</f>
        <v>275.30876821292179</v>
      </c>
      <c r="JO820" s="327">
        <f>FISC!AK88*FISC!AL259/1000</f>
        <v>77.0449062588781</v>
      </c>
      <c r="JP820" s="327">
        <f>FISC!AL83*FISC!AL259/1000</f>
        <v>77.0449062588781</v>
      </c>
      <c r="JQ820" s="323">
        <f>FISC!AL1126</f>
        <v>154.0898125177562</v>
      </c>
      <c r="JR820" s="279">
        <f>FISC!AL88*FISC!AM259/1000</f>
        <v>80.727353194654839</v>
      </c>
      <c r="JS820" s="279">
        <f>JT820-JR820</f>
        <v>80.727353194654839</v>
      </c>
      <c r="JT820" s="323">
        <f>FISC!AM1126</f>
        <v>161.45470638930968</v>
      </c>
      <c r="JU820" s="279">
        <f>FISC!AM88*FISC!AN259/1000</f>
        <v>84.551937613704396</v>
      </c>
      <c r="JV820" s="279">
        <f>JW820-JU820</f>
        <v>84.551937613704396</v>
      </c>
      <c r="JW820" s="323">
        <f>FISC!AN1126</f>
        <v>169.10387522740879</v>
      </c>
      <c r="JX820" s="279">
        <f>FISC!AN88*FISC!AO259/1000</f>
        <v>87.91545887240224</v>
      </c>
      <c r="JY820" s="279">
        <f>JZ820-JX820</f>
        <v>87.91545887240224</v>
      </c>
      <c r="JZ820" s="323">
        <f>FISC!AO1126</f>
        <v>175.83091774480448</v>
      </c>
      <c r="KA820" s="279">
        <f>FISC!AO88*FISC!AP259/1000</f>
        <v>94.001143559998795</v>
      </c>
      <c r="KB820" s="279">
        <f>KC820-KA820</f>
        <v>175.26509958355996</v>
      </c>
      <c r="KC820" s="323">
        <f>FISC!AP1126</f>
        <v>269.26624314355877</v>
      </c>
      <c r="KD820" s="279">
        <f>FISC!AP88*FISC!AQ259/1000</f>
        <v>180.52305257106687</v>
      </c>
      <c r="KE820" s="279">
        <f>KF820-KD820</f>
        <v>180.52305257106687</v>
      </c>
      <c r="KF820" s="323">
        <f>FISC!AQ1126</f>
        <v>361.04610514213374</v>
      </c>
      <c r="KG820" s="279">
        <f>FISC!AQ88*FISC!AR259/1000</f>
        <v>185.93874414819885</v>
      </c>
      <c r="KH820" s="279">
        <f>KI820-KG820</f>
        <v>185.93874414819885</v>
      </c>
      <c r="KI820" s="323">
        <f>FISC!AR1126</f>
        <v>371.8774882963977</v>
      </c>
      <c r="KJ820" s="279">
        <f>FISC!AR88*FISC!AS259/1000</f>
        <v>191.51690647264485</v>
      </c>
      <c r="KK820" s="279">
        <f>KL820-KJ820</f>
        <v>191.51690647264485</v>
      </c>
      <c r="KL820" s="323">
        <f>FISC!AS1126</f>
        <v>383.0338129452897</v>
      </c>
      <c r="KM820" s="279">
        <f>FISC!AS88*FISC!AT259/1000</f>
        <v>197.26241366682419</v>
      </c>
      <c r="KN820" s="279">
        <f>KO820-KM820</f>
        <v>197.26241366682419</v>
      </c>
      <c r="KO820" s="323">
        <f>FISC!AT1126</f>
        <v>394.52482733364837</v>
      </c>
      <c r="KU820" s="326"/>
      <c r="KV820" s="327"/>
    </row>
    <row r="821" spans="1:314">
      <c r="A821" s="279"/>
      <c r="D821" s="1493" t="s">
        <v>3151</v>
      </c>
      <c r="E821" s="323"/>
      <c r="F821" s="323"/>
      <c r="G821" s="323"/>
      <c r="H821" s="323"/>
      <c r="I821" s="323"/>
      <c r="J821" s="323"/>
      <c r="K821" s="323"/>
      <c r="L821" s="323"/>
      <c r="M821" s="323"/>
      <c r="N821" s="323"/>
      <c r="O821" s="323"/>
      <c r="P821" s="323"/>
      <c r="Q821" s="323"/>
      <c r="R821" s="323"/>
      <c r="S821" s="323"/>
      <c r="T821" s="323"/>
      <c r="U821" s="323"/>
      <c r="V821" s="323"/>
      <c r="W821" s="323"/>
      <c r="X821" s="323"/>
      <c r="Y821" s="323"/>
      <c r="Z821" s="323"/>
      <c r="AA821" s="323"/>
      <c r="AB821" s="323"/>
      <c r="AC821" s="323"/>
      <c r="AD821" s="323"/>
      <c r="AE821" s="323"/>
      <c r="AF821" s="323"/>
      <c r="AG821" s="323"/>
      <c r="AH821" s="323"/>
      <c r="AI821" s="323"/>
      <c r="AJ821" s="323"/>
      <c r="AK821" s="323"/>
      <c r="AL821" s="323"/>
      <c r="AM821" s="323"/>
      <c r="AN821" s="323"/>
      <c r="AO821" s="323"/>
      <c r="AP821" s="323"/>
      <c r="AQ821" s="323"/>
      <c r="AR821" s="323"/>
      <c r="AS821" s="323"/>
      <c r="AT821" s="323"/>
      <c r="AU821" s="323"/>
      <c r="AV821" s="323"/>
      <c r="AW821" s="323"/>
      <c r="AX821" s="323"/>
      <c r="AY821" s="323"/>
      <c r="AZ821" s="323"/>
      <c r="BA821" s="323"/>
      <c r="BB821" s="323"/>
      <c r="BC821" s="323"/>
      <c r="BD821" s="323"/>
      <c r="BE821" s="323"/>
      <c r="BF821" s="323"/>
      <c r="BG821" s="323"/>
      <c r="BH821" s="323"/>
      <c r="BI821" s="323"/>
      <c r="BJ821" s="323"/>
      <c r="BK821" s="323"/>
      <c r="BL821" s="323"/>
      <c r="BM821" s="323"/>
      <c r="BN821" s="323"/>
      <c r="BO821" s="323"/>
      <c r="BP821" s="323"/>
      <c r="BQ821" s="323"/>
      <c r="BR821" s="323"/>
      <c r="BS821" s="323"/>
      <c r="BT821" s="323"/>
      <c r="BU821" s="323"/>
      <c r="BV821" s="323"/>
      <c r="BW821" s="323"/>
      <c r="BX821" s="323"/>
      <c r="BY821" s="323"/>
      <c r="BZ821" s="323"/>
      <c r="CA821" s="323"/>
      <c r="CB821" s="323"/>
      <c r="CC821" s="323"/>
      <c r="CD821" s="329"/>
      <c r="CE821" s="323"/>
      <c r="CF821" s="323"/>
      <c r="CG821" s="323"/>
      <c r="CH821" s="323"/>
      <c r="CI821" s="323"/>
      <c r="CJ821" s="323"/>
      <c r="CK821" s="323"/>
      <c r="CL821" s="323"/>
      <c r="CM821" s="323"/>
      <c r="CN821" s="323"/>
      <c r="CO821" s="323"/>
      <c r="CP821" s="325"/>
      <c r="CQ821" s="323"/>
      <c r="CR821" s="323"/>
      <c r="CS821" s="323"/>
      <c r="CT821" s="323"/>
      <c r="CU821" s="323"/>
      <c r="CV821" s="323"/>
      <c r="CW821" s="323"/>
      <c r="CX821" s="323"/>
      <c r="CY821" s="323"/>
      <c r="CZ821" s="323"/>
      <c r="DA821" s="323"/>
      <c r="DB821" s="1269"/>
      <c r="DC821" s="323"/>
      <c r="DD821" s="323"/>
      <c r="DE821" s="323"/>
      <c r="DF821" s="323"/>
      <c r="DG821" s="323"/>
      <c r="DH821" s="323"/>
      <c r="DI821" s="323"/>
      <c r="DJ821" s="323"/>
      <c r="DK821" s="323"/>
      <c r="DL821" s="323"/>
      <c r="DM821" s="323"/>
      <c r="DN821" s="325"/>
      <c r="DO821" s="323"/>
      <c r="DP821" s="323"/>
      <c r="DQ821" s="323"/>
      <c r="DR821" s="323"/>
      <c r="DS821" s="323"/>
      <c r="DT821" s="323"/>
      <c r="DU821" s="323"/>
      <c r="DV821" s="323"/>
      <c r="DW821" s="323"/>
      <c r="DX821" s="323"/>
      <c r="DY821" s="323"/>
      <c r="DZ821" s="325"/>
      <c r="EA821" s="323"/>
      <c r="EB821" s="323"/>
      <c r="EC821" s="323"/>
      <c r="ED821" s="323"/>
      <c r="EE821" s="323"/>
      <c r="EF821" s="323"/>
      <c r="EG821" s="323"/>
      <c r="EH821" s="323"/>
      <c r="EI821" s="323"/>
      <c r="EJ821" s="323"/>
      <c r="EK821" s="323"/>
      <c r="EL821" s="325"/>
      <c r="EM821" s="323"/>
      <c r="EN821" s="323"/>
      <c r="EO821" s="323"/>
      <c r="EP821" s="323"/>
      <c r="EQ821" s="323"/>
      <c r="ER821" s="323"/>
      <c r="ES821" s="323"/>
      <c r="ET821" s="323"/>
      <c r="EU821" s="323"/>
      <c r="EV821" s="323"/>
      <c r="EW821" s="323"/>
      <c r="EX821" s="325"/>
      <c r="EY821" s="323"/>
      <c r="EZ821" s="323"/>
      <c r="FA821" s="323"/>
      <c r="FB821" s="323"/>
      <c r="FC821" s="323"/>
      <c r="FD821" s="323"/>
      <c r="FE821" s="323"/>
      <c r="FF821" s="323"/>
      <c r="FG821" s="323"/>
      <c r="FH821" s="323"/>
      <c r="FI821" s="323"/>
      <c r="FJ821" s="325"/>
      <c r="FK821" s="323"/>
      <c r="FL821" s="323"/>
      <c r="FM821" s="323"/>
      <c r="FN821" s="323"/>
      <c r="FO821" s="323"/>
      <c r="FP821" s="323"/>
      <c r="FQ821" s="323"/>
      <c r="FR821" s="323"/>
      <c r="FS821" s="323"/>
      <c r="FT821" s="323"/>
      <c r="FU821" s="323"/>
      <c r="FV821" s="323"/>
      <c r="FW821" s="323"/>
      <c r="FX821" s="323"/>
      <c r="FY821" s="323"/>
      <c r="FZ821" s="323"/>
      <c r="GA821" s="323"/>
      <c r="GB821" s="323"/>
      <c r="GC821" s="323"/>
      <c r="GD821" s="323"/>
      <c r="GE821" s="323"/>
      <c r="GF821" s="323"/>
      <c r="GG821" s="323"/>
      <c r="GH821" s="323"/>
      <c r="GI821" s="1654"/>
      <c r="HZ821" s="326"/>
      <c r="IA821" s="1493" t="s">
        <v>3151</v>
      </c>
      <c r="IB821" s="284"/>
      <c r="ID821" s="323"/>
      <c r="IG821" s="323"/>
      <c r="IH821" s="284"/>
      <c r="IJ821" s="323"/>
      <c r="IK821" s="327"/>
      <c r="IM821" s="323"/>
      <c r="IP821" s="323"/>
      <c r="IQ821" s="327"/>
      <c r="IR821" s="327"/>
      <c r="IS821" s="323"/>
      <c r="IT821" s="327"/>
      <c r="IU821" s="327"/>
      <c r="IV821" s="323"/>
      <c r="IW821" s="327"/>
      <c r="IX821" s="327">
        <f t="shared" si="1378"/>
        <v>0</v>
      </c>
      <c r="IY821" s="323">
        <f>IW821+IX821</f>
        <v>0</v>
      </c>
      <c r="IZ821" s="327">
        <f t="shared" si="1247"/>
        <v>0</v>
      </c>
      <c r="JA821" s="327">
        <f t="shared" si="1248"/>
        <v>0</v>
      </c>
      <c r="JB821" s="323">
        <f t="shared" si="887"/>
        <v>0</v>
      </c>
      <c r="JC821" s="327">
        <f t="shared" si="1249"/>
        <v>0</v>
      </c>
      <c r="JD821" s="327">
        <f t="shared" si="1250"/>
        <v>0</v>
      </c>
      <c r="JE821" s="323">
        <f t="shared" si="888"/>
        <v>0</v>
      </c>
      <c r="JF821" s="327">
        <v>0</v>
      </c>
      <c r="JG821" s="327">
        <f t="shared" si="1372"/>
        <v>0</v>
      </c>
      <c r="JH821" s="323">
        <f t="shared" ref="JH821:JH884" si="1406">JF821+JG821</f>
        <v>0</v>
      </c>
      <c r="JI821" s="327">
        <f t="shared" si="909"/>
        <v>0</v>
      </c>
      <c r="JJ821" s="327">
        <f t="shared" si="1405"/>
        <v>0</v>
      </c>
      <c r="JK821" s="323">
        <f t="shared" si="1398"/>
        <v>0</v>
      </c>
      <c r="JL821" s="327">
        <f t="shared" ref="JL821:JL884" si="1407">SUM(HS821:HX821)</f>
        <v>0</v>
      </c>
      <c r="JN821" s="323">
        <f>FISC!AK1127</f>
        <v>0</v>
      </c>
      <c r="JO821" s="327"/>
      <c r="JQ821" s="323">
        <f>FISC!AL1127</f>
        <v>0</v>
      </c>
      <c r="JT821" s="323">
        <f>FISC!AM1127</f>
        <v>0</v>
      </c>
      <c r="JW821" s="323">
        <f>FISC!AN1127</f>
        <v>0</v>
      </c>
      <c r="JZ821" s="323">
        <f>FISC!AO1127</f>
        <v>0</v>
      </c>
      <c r="KC821" s="323">
        <f>FISC!AP1127</f>
        <v>0</v>
      </c>
      <c r="KF821" s="323">
        <f>FISC!AQ1127</f>
        <v>0</v>
      </c>
      <c r="KI821" s="323">
        <f>FISC!AR1127</f>
        <v>0</v>
      </c>
      <c r="KL821" s="323">
        <f>FISC!AS1127</f>
        <v>0</v>
      </c>
      <c r="KO821" s="323">
        <f>FISC!AT1127</f>
        <v>0</v>
      </c>
      <c r="KU821" s="326"/>
      <c r="KV821" s="327"/>
    </row>
    <row r="822" spans="1:314">
      <c r="A822" s="279"/>
      <c r="B822" s="96" t="s">
        <v>338</v>
      </c>
      <c r="D822" s="333" t="s">
        <v>509</v>
      </c>
      <c r="E822" s="323"/>
      <c r="F822" s="323"/>
      <c r="G822" s="323"/>
      <c r="H822" s="323"/>
      <c r="I822" s="323"/>
      <c r="J822" s="323"/>
      <c r="K822" s="323"/>
      <c r="L822" s="323"/>
      <c r="M822" s="323"/>
      <c r="N822" s="323"/>
      <c r="O822" s="323"/>
      <c r="P822" s="323"/>
      <c r="Q822" s="323"/>
      <c r="R822" s="323"/>
      <c r="S822" s="323"/>
      <c r="T822" s="323"/>
      <c r="U822" s="323"/>
      <c r="V822" s="323"/>
      <c r="W822" s="323"/>
      <c r="X822" s="323"/>
      <c r="Y822" s="323"/>
      <c r="Z822" s="323"/>
      <c r="AA822" s="323"/>
      <c r="AB822" s="323"/>
      <c r="AC822" s="323"/>
      <c r="AD822" s="323"/>
      <c r="AE822" s="323"/>
      <c r="AF822" s="323"/>
      <c r="AG822" s="323"/>
      <c r="AH822" s="323"/>
      <c r="AI822" s="323"/>
      <c r="AJ822" s="323"/>
      <c r="AK822" s="323"/>
      <c r="AL822" s="323"/>
      <c r="AM822" s="323"/>
      <c r="AN822" s="323"/>
      <c r="AO822" s="323">
        <v>0</v>
      </c>
      <c r="AP822" s="323">
        <v>0</v>
      </c>
      <c r="AQ822" s="323">
        <v>0</v>
      </c>
      <c r="AR822" s="323">
        <v>0</v>
      </c>
      <c r="AS822" s="323">
        <v>0</v>
      </c>
      <c r="AT822" s="323">
        <v>0</v>
      </c>
      <c r="AU822" s="323">
        <v>0</v>
      </c>
      <c r="AV822" s="323">
        <v>0</v>
      </c>
      <c r="AW822" s="323">
        <v>0</v>
      </c>
      <c r="AX822" s="323">
        <v>0</v>
      </c>
      <c r="AY822" s="323">
        <v>0</v>
      </c>
      <c r="AZ822" s="323">
        <v>0</v>
      </c>
      <c r="BA822" s="323">
        <v>0</v>
      </c>
      <c r="BB822" s="323">
        <v>0</v>
      </c>
      <c r="BC822" s="323">
        <v>0</v>
      </c>
      <c r="BD822" s="323">
        <v>0</v>
      </c>
      <c r="BE822" s="323">
        <v>0</v>
      </c>
      <c r="BF822" s="323">
        <v>0</v>
      </c>
      <c r="BG822" s="323">
        <v>0</v>
      </c>
      <c r="BH822" s="323">
        <v>0</v>
      </c>
      <c r="BI822" s="323">
        <v>0</v>
      </c>
      <c r="BJ822" s="323">
        <v>0</v>
      </c>
      <c r="BK822" s="323">
        <v>0</v>
      </c>
      <c r="BL822" s="323">
        <v>0</v>
      </c>
      <c r="BM822" s="323">
        <v>0</v>
      </c>
      <c r="BN822" s="323">
        <v>0</v>
      </c>
      <c r="BO822" s="323">
        <v>0</v>
      </c>
      <c r="BP822" s="323">
        <v>0</v>
      </c>
      <c r="BQ822" s="323">
        <v>0</v>
      </c>
      <c r="BR822" s="323">
        <v>0</v>
      </c>
      <c r="BS822" s="323">
        <v>0</v>
      </c>
      <c r="BT822" s="323">
        <v>0</v>
      </c>
      <c r="BU822" s="323">
        <v>0</v>
      </c>
      <c r="BV822" s="323">
        <v>0</v>
      </c>
      <c r="BW822" s="323">
        <v>0</v>
      </c>
      <c r="BX822" s="323">
        <v>0</v>
      </c>
      <c r="BY822" s="323">
        <v>0</v>
      </c>
      <c r="BZ822" s="323">
        <v>0</v>
      </c>
      <c r="CA822" s="323">
        <v>0</v>
      </c>
      <c r="CB822" s="323">
        <v>0</v>
      </c>
      <c r="CC822" s="323">
        <v>0</v>
      </c>
      <c r="CD822" s="329">
        <v>0</v>
      </c>
      <c r="CE822" s="323">
        <f t="shared" ref="CE822:DJ822" si="1408">CE418</f>
        <v>0</v>
      </c>
      <c r="CF822" s="323">
        <f t="shared" si="1408"/>
        <v>0</v>
      </c>
      <c r="CG822" s="323">
        <f t="shared" si="1408"/>
        <v>0</v>
      </c>
      <c r="CH822" s="323">
        <f t="shared" si="1408"/>
        <v>0</v>
      </c>
      <c r="CI822" s="323">
        <f t="shared" si="1408"/>
        <v>0</v>
      </c>
      <c r="CJ822" s="323">
        <f t="shared" si="1408"/>
        <v>0</v>
      </c>
      <c r="CK822" s="323">
        <f t="shared" si="1408"/>
        <v>0</v>
      </c>
      <c r="CL822" s="323">
        <f t="shared" si="1408"/>
        <v>0</v>
      </c>
      <c r="CM822" s="323">
        <f t="shared" si="1408"/>
        <v>0</v>
      </c>
      <c r="CN822" s="323">
        <f t="shared" si="1408"/>
        <v>0</v>
      </c>
      <c r="CO822" s="323">
        <f t="shared" si="1408"/>
        <v>0</v>
      </c>
      <c r="CP822" s="325">
        <f t="shared" si="1408"/>
        <v>0</v>
      </c>
      <c r="CQ822" s="323">
        <f t="shared" si="1408"/>
        <v>0</v>
      </c>
      <c r="CR822" s="323">
        <f t="shared" si="1408"/>
        <v>0</v>
      </c>
      <c r="CS822" s="323">
        <f t="shared" si="1408"/>
        <v>0</v>
      </c>
      <c r="CT822" s="323">
        <f t="shared" si="1408"/>
        <v>0</v>
      </c>
      <c r="CU822" s="323">
        <f t="shared" si="1408"/>
        <v>0</v>
      </c>
      <c r="CV822" s="323">
        <f t="shared" si="1408"/>
        <v>0</v>
      </c>
      <c r="CW822" s="323">
        <f t="shared" si="1408"/>
        <v>0</v>
      </c>
      <c r="CX822" s="323">
        <f t="shared" si="1408"/>
        <v>0</v>
      </c>
      <c r="CY822" s="323">
        <f t="shared" si="1408"/>
        <v>0</v>
      </c>
      <c r="CZ822" s="323">
        <f t="shared" si="1408"/>
        <v>0</v>
      </c>
      <c r="DA822" s="323">
        <f t="shared" si="1408"/>
        <v>0</v>
      </c>
      <c r="DB822" s="1269">
        <f t="shared" si="1408"/>
        <v>0</v>
      </c>
      <c r="DC822" s="323">
        <f t="shared" si="1408"/>
        <v>0</v>
      </c>
      <c r="DD822" s="323">
        <f t="shared" si="1408"/>
        <v>0</v>
      </c>
      <c r="DE822" s="323">
        <f t="shared" si="1408"/>
        <v>0</v>
      </c>
      <c r="DF822" s="323">
        <f t="shared" si="1408"/>
        <v>0</v>
      </c>
      <c r="DG822" s="323">
        <f t="shared" si="1408"/>
        <v>0</v>
      </c>
      <c r="DH822" s="323">
        <f t="shared" si="1408"/>
        <v>0</v>
      </c>
      <c r="DI822" s="323">
        <f t="shared" si="1408"/>
        <v>0</v>
      </c>
      <c r="DJ822" s="323">
        <f t="shared" si="1408"/>
        <v>0</v>
      </c>
      <c r="DK822" s="323">
        <f t="shared" ref="DK822:EP822" si="1409">DK418</f>
        <v>0</v>
      </c>
      <c r="DL822" s="323">
        <f t="shared" si="1409"/>
        <v>0</v>
      </c>
      <c r="DM822" s="323">
        <f t="shared" si="1409"/>
        <v>0</v>
      </c>
      <c r="DN822" s="325">
        <f t="shared" si="1409"/>
        <v>0</v>
      </c>
      <c r="DO822" s="323">
        <f t="shared" si="1409"/>
        <v>0</v>
      </c>
      <c r="DP822" s="323">
        <f t="shared" si="1409"/>
        <v>0</v>
      </c>
      <c r="DQ822" s="323">
        <f t="shared" si="1409"/>
        <v>0</v>
      </c>
      <c r="DR822" s="323">
        <f t="shared" si="1409"/>
        <v>0</v>
      </c>
      <c r="DS822" s="323">
        <f t="shared" si="1409"/>
        <v>0</v>
      </c>
      <c r="DT822" s="323">
        <f t="shared" si="1409"/>
        <v>0</v>
      </c>
      <c r="DU822" s="323">
        <f t="shared" si="1409"/>
        <v>0</v>
      </c>
      <c r="DV822" s="323">
        <f t="shared" si="1409"/>
        <v>0</v>
      </c>
      <c r="DW822" s="323">
        <f t="shared" si="1409"/>
        <v>0</v>
      </c>
      <c r="DX822" s="323">
        <f t="shared" si="1409"/>
        <v>0</v>
      </c>
      <c r="DY822" s="323">
        <f t="shared" si="1409"/>
        <v>0</v>
      </c>
      <c r="DZ822" s="325">
        <f t="shared" si="1409"/>
        <v>0</v>
      </c>
      <c r="EA822" s="323">
        <f t="shared" si="1409"/>
        <v>0</v>
      </c>
      <c r="EB822" s="323">
        <f t="shared" si="1409"/>
        <v>0</v>
      </c>
      <c r="EC822" s="323">
        <f t="shared" si="1409"/>
        <v>0</v>
      </c>
      <c r="ED822" s="323">
        <f t="shared" si="1409"/>
        <v>0</v>
      </c>
      <c r="EE822" s="323">
        <f t="shared" si="1409"/>
        <v>0</v>
      </c>
      <c r="EF822" s="323">
        <f t="shared" si="1409"/>
        <v>0</v>
      </c>
      <c r="EG822" s="323">
        <f t="shared" si="1409"/>
        <v>0</v>
      </c>
      <c r="EH822" s="323">
        <f t="shared" si="1409"/>
        <v>0</v>
      </c>
      <c r="EI822" s="323">
        <f t="shared" si="1409"/>
        <v>0</v>
      </c>
      <c r="EJ822" s="323">
        <f t="shared" si="1409"/>
        <v>0</v>
      </c>
      <c r="EK822" s="323">
        <f t="shared" si="1409"/>
        <v>0</v>
      </c>
      <c r="EL822" s="325">
        <f t="shared" si="1409"/>
        <v>0</v>
      </c>
      <c r="EM822" s="323">
        <f t="shared" si="1409"/>
        <v>0</v>
      </c>
      <c r="EN822" s="323">
        <f t="shared" si="1409"/>
        <v>0</v>
      </c>
      <c r="EO822" s="323">
        <f t="shared" si="1409"/>
        <v>0</v>
      </c>
      <c r="EP822" s="323">
        <f t="shared" si="1409"/>
        <v>0</v>
      </c>
      <c r="EQ822" s="323">
        <f t="shared" ref="EQ822:FV822" si="1410">EQ418</f>
        <v>0</v>
      </c>
      <c r="ER822" s="323">
        <f t="shared" si="1410"/>
        <v>0</v>
      </c>
      <c r="ES822" s="323">
        <f t="shared" si="1410"/>
        <v>0</v>
      </c>
      <c r="ET822" s="323">
        <f t="shared" si="1410"/>
        <v>0</v>
      </c>
      <c r="EU822" s="323">
        <f t="shared" si="1410"/>
        <v>0</v>
      </c>
      <c r="EV822" s="323">
        <f t="shared" si="1410"/>
        <v>0</v>
      </c>
      <c r="EW822" s="323">
        <f t="shared" si="1410"/>
        <v>0</v>
      </c>
      <c r="EX822" s="325">
        <f t="shared" si="1410"/>
        <v>0</v>
      </c>
      <c r="EY822" s="323">
        <f t="shared" si="1410"/>
        <v>0</v>
      </c>
      <c r="EZ822" s="323">
        <f t="shared" si="1410"/>
        <v>0</v>
      </c>
      <c r="FA822" s="323">
        <f t="shared" si="1410"/>
        <v>0</v>
      </c>
      <c r="FB822" s="323">
        <f t="shared" si="1410"/>
        <v>0</v>
      </c>
      <c r="FC822" s="323">
        <f t="shared" si="1410"/>
        <v>0</v>
      </c>
      <c r="FD822" s="323">
        <f t="shared" si="1410"/>
        <v>0</v>
      </c>
      <c r="FE822" s="323">
        <f t="shared" si="1410"/>
        <v>0</v>
      </c>
      <c r="FF822" s="323">
        <f t="shared" si="1410"/>
        <v>0</v>
      </c>
      <c r="FG822" s="323">
        <f t="shared" si="1410"/>
        <v>0</v>
      </c>
      <c r="FH822" s="323">
        <f t="shared" si="1410"/>
        <v>0</v>
      </c>
      <c r="FI822" s="323">
        <f t="shared" si="1410"/>
        <v>0</v>
      </c>
      <c r="FJ822" s="325">
        <f t="shared" si="1410"/>
        <v>0</v>
      </c>
      <c r="FK822" s="323">
        <f t="shared" si="1410"/>
        <v>0</v>
      </c>
      <c r="FL822" s="323">
        <f t="shared" si="1410"/>
        <v>0</v>
      </c>
      <c r="FM822" s="323">
        <f t="shared" si="1410"/>
        <v>0</v>
      </c>
      <c r="FN822" s="323">
        <f t="shared" si="1410"/>
        <v>0</v>
      </c>
      <c r="FO822" s="323">
        <f t="shared" si="1410"/>
        <v>0</v>
      </c>
      <c r="FP822" s="323">
        <f t="shared" si="1410"/>
        <v>0</v>
      </c>
      <c r="FQ822" s="323">
        <f t="shared" si="1410"/>
        <v>0</v>
      </c>
      <c r="FR822" s="323">
        <f t="shared" si="1410"/>
        <v>0</v>
      </c>
      <c r="FS822" s="323">
        <f t="shared" si="1410"/>
        <v>0</v>
      </c>
      <c r="FT822" s="323">
        <f t="shared" si="1410"/>
        <v>0</v>
      </c>
      <c r="FU822" s="323">
        <f t="shared" si="1410"/>
        <v>0</v>
      </c>
      <c r="FV822" s="323">
        <f t="shared" si="1410"/>
        <v>0</v>
      </c>
      <c r="FW822" s="323">
        <v>0</v>
      </c>
      <c r="FX822" s="323">
        <v>0</v>
      </c>
      <c r="FY822" s="323">
        <v>0</v>
      </c>
      <c r="FZ822" s="323">
        <v>0</v>
      </c>
      <c r="GA822" s="323">
        <v>0</v>
      </c>
      <c r="GB822" s="323">
        <v>0</v>
      </c>
      <c r="GC822" s="323">
        <v>0</v>
      </c>
      <c r="GD822" s="323">
        <v>0</v>
      </c>
      <c r="GE822" s="323">
        <v>0</v>
      </c>
      <c r="GF822" s="323">
        <v>0</v>
      </c>
      <c r="GG822" s="323">
        <v>0</v>
      </c>
      <c r="GH822" s="323">
        <v>0</v>
      </c>
      <c r="GI822" s="323">
        <v>0</v>
      </c>
      <c r="GJ822" s="323">
        <v>0</v>
      </c>
      <c r="GK822" s="323">
        <v>0</v>
      </c>
      <c r="GL822" s="323">
        <v>0</v>
      </c>
      <c r="GM822" s="323">
        <v>0</v>
      </c>
      <c r="GN822" s="323">
        <v>0</v>
      </c>
      <c r="GO822" s="323">
        <v>0</v>
      </c>
      <c r="GP822" s="323">
        <v>0</v>
      </c>
      <c r="GQ822" s="323">
        <v>0</v>
      </c>
      <c r="GR822" s="323">
        <v>0</v>
      </c>
      <c r="GS822" s="323">
        <v>0</v>
      </c>
      <c r="GT822" s="323">
        <v>0</v>
      </c>
      <c r="GU822" s="323">
        <v>0</v>
      </c>
      <c r="GV822" s="323">
        <v>0</v>
      </c>
      <c r="GW822" s="323">
        <v>0</v>
      </c>
      <c r="GX822" s="323">
        <v>0</v>
      </c>
      <c r="GY822" s="323">
        <v>0</v>
      </c>
      <c r="GZ822" s="323">
        <v>0</v>
      </c>
      <c r="HA822" s="323">
        <v>0</v>
      </c>
      <c r="HB822" s="323">
        <v>0</v>
      </c>
      <c r="HC822" s="323">
        <v>0</v>
      </c>
      <c r="HD822" s="323">
        <v>0</v>
      </c>
      <c r="HE822" s="323">
        <v>0</v>
      </c>
      <c r="HF822" s="323">
        <v>0</v>
      </c>
      <c r="HG822" s="323">
        <v>0</v>
      </c>
      <c r="HH822" s="323">
        <v>0</v>
      </c>
      <c r="HI822" s="323">
        <v>0</v>
      </c>
      <c r="HJ822" s="323">
        <v>0</v>
      </c>
      <c r="HK822" s="323">
        <v>0</v>
      </c>
      <c r="HL822" s="323">
        <v>0</v>
      </c>
      <c r="HM822" s="323">
        <v>0</v>
      </c>
      <c r="HN822" s="323">
        <v>0</v>
      </c>
      <c r="HO822" s="323">
        <v>0</v>
      </c>
      <c r="HP822" s="323">
        <v>0</v>
      </c>
      <c r="HQ822" s="323">
        <v>0</v>
      </c>
      <c r="HR822" s="323">
        <v>0</v>
      </c>
      <c r="HS822" s="323">
        <v>0</v>
      </c>
      <c r="HT822" s="323">
        <v>0</v>
      </c>
      <c r="HU822" s="323">
        <v>0</v>
      </c>
      <c r="HV822" s="323">
        <v>0</v>
      </c>
      <c r="HW822" s="323">
        <v>0</v>
      </c>
      <c r="HX822" s="323">
        <v>0</v>
      </c>
      <c r="HY822" s="323"/>
      <c r="HZ822" s="326"/>
      <c r="IA822" s="333" t="s">
        <v>509</v>
      </c>
      <c r="IB822" s="284">
        <f>SUM(CE822:CJ822)</f>
        <v>0</v>
      </c>
      <c r="IC822" s="279">
        <f>SUM(CK822:CP822)</f>
        <v>0</v>
      </c>
      <c r="ID822" s="323">
        <f t="shared" si="907"/>
        <v>0</v>
      </c>
      <c r="IE822" s="279">
        <f>SUM(CQ822:CV822)</f>
        <v>0</v>
      </c>
      <c r="IF822" s="279">
        <f>SUM(CW822:DB822)</f>
        <v>0</v>
      </c>
      <c r="IG822" s="323">
        <f t="shared" si="880"/>
        <v>0</v>
      </c>
      <c r="IH822" s="284">
        <f>SUM(DC822:DH822)</f>
        <v>0</v>
      </c>
      <c r="II822" s="279">
        <f>SUM(DI822:DN822)</f>
        <v>0</v>
      </c>
      <c r="IJ822" s="323">
        <f t="shared" si="881"/>
        <v>0</v>
      </c>
      <c r="IK822" s="327">
        <f>SUM(DO822:DT822)</f>
        <v>0</v>
      </c>
      <c r="IL822" s="279">
        <f>SUM(DU822:DZ822)</f>
        <v>0</v>
      </c>
      <c r="IM822" s="323">
        <f t="shared" si="882"/>
        <v>0</v>
      </c>
      <c r="IN822" s="279">
        <f>SUM(EA822:EF822)</f>
        <v>0</v>
      </c>
      <c r="IO822" s="279">
        <f>SUM(EG822:EL822)</f>
        <v>0</v>
      </c>
      <c r="IP822" s="323">
        <f t="shared" si="883"/>
        <v>0</v>
      </c>
      <c r="IQ822" s="327">
        <f>SUM(EM822:ER822)</f>
        <v>0</v>
      </c>
      <c r="IR822" s="327">
        <f>SUM(ES822:EX822)</f>
        <v>0</v>
      </c>
      <c r="IS822" s="323">
        <f t="shared" si="884"/>
        <v>0</v>
      </c>
      <c r="IT822" s="327">
        <f>SUM(EY822:FD822)</f>
        <v>0</v>
      </c>
      <c r="IU822" s="327">
        <f>SUM(FE822:FJ822)</f>
        <v>0</v>
      </c>
      <c r="IV822" s="323">
        <f t="shared" si="885"/>
        <v>0</v>
      </c>
      <c r="IW822" s="327">
        <f>SUM(FK822:FP822)</f>
        <v>0</v>
      </c>
      <c r="IX822" s="327">
        <f t="shared" si="1378"/>
        <v>0</v>
      </c>
      <c r="IY822" s="323">
        <f t="shared" si="886"/>
        <v>0</v>
      </c>
      <c r="IZ822" s="327">
        <f t="shared" si="1247"/>
        <v>0</v>
      </c>
      <c r="JA822" s="327">
        <f t="shared" si="1248"/>
        <v>0</v>
      </c>
      <c r="JB822" s="323">
        <f t="shared" si="887"/>
        <v>0</v>
      </c>
      <c r="JC822" s="327">
        <f t="shared" si="1249"/>
        <v>0</v>
      </c>
      <c r="JD822" s="327">
        <f t="shared" si="1250"/>
        <v>0</v>
      </c>
      <c r="JE822" s="323">
        <f t="shared" si="888"/>
        <v>0</v>
      </c>
      <c r="JF822" s="327">
        <f>SUM(GU822:GZ822)</f>
        <v>0</v>
      </c>
      <c r="JG822" s="327">
        <f t="shared" si="1372"/>
        <v>0</v>
      </c>
      <c r="JH822" s="323">
        <f t="shared" si="1406"/>
        <v>0</v>
      </c>
      <c r="JI822" s="327">
        <f t="shared" si="909"/>
        <v>0</v>
      </c>
      <c r="JJ822" s="327">
        <f t="shared" si="1405"/>
        <v>0</v>
      </c>
      <c r="JK822" s="323">
        <f t="shared" si="1398"/>
        <v>0</v>
      </c>
      <c r="JL822" s="327">
        <f t="shared" si="1407"/>
        <v>0</v>
      </c>
      <c r="JM822" s="279">
        <f t="shared" si="892"/>
        <v>0</v>
      </c>
      <c r="JN822" s="323">
        <f>FISC!AK1128</f>
        <v>0</v>
      </c>
      <c r="JO822" s="327">
        <v>0</v>
      </c>
      <c r="JP822" s="279">
        <f>JQ822-JO822</f>
        <v>0</v>
      </c>
      <c r="JQ822" s="323">
        <f>FISC!AL1128</f>
        <v>0</v>
      </c>
      <c r="JR822" s="327">
        <v>0</v>
      </c>
      <c r="JS822" s="279">
        <f>JT822-JR822</f>
        <v>0</v>
      </c>
      <c r="JT822" s="323">
        <f>FISC!AM1128</f>
        <v>0</v>
      </c>
      <c r="JU822" s="327">
        <v>0</v>
      </c>
      <c r="JV822" s="279">
        <f>JW822-JU822</f>
        <v>0</v>
      </c>
      <c r="JW822" s="323">
        <f>FISC!AN1128</f>
        <v>0</v>
      </c>
      <c r="JX822" s="327">
        <v>0</v>
      </c>
      <c r="JY822" s="279">
        <f>JZ822-JX822</f>
        <v>0</v>
      </c>
      <c r="JZ822" s="323">
        <f>FISC!AO1128</f>
        <v>0</v>
      </c>
      <c r="KA822" s="327">
        <v>0</v>
      </c>
      <c r="KB822" s="279">
        <f>KC822-KA822</f>
        <v>0</v>
      </c>
      <c r="KC822" s="323">
        <f>FISC!AP1128</f>
        <v>0</v>
      </c>
      <c r="KD822" s="327">
        <v>0</v>
      </c>
      <c r="KE822" s="279">
        <f>KF822-KD822</f>
        <v>0</v>
      </c>
      <c r="KF822" s="323">
        <f>FISC!AQ1128</f>
        <v>0</v>
      </c>
      <c r="KG822" s="327">
        <v>0</v>
      </c>
      <c r="KH822" s="279">
        <f>KI822-KG822</f>
        <v>0</v>
      </c>
      <c r="KI822" s="323">
        <f>FISC!AR1128</f>
        <v>0</v>
      </c>
      <c r="KJ822" s="327">
        <v>0</v>
      </c>
      <c r="KK822" s="279">
        <f>KL822-KJ822</f>
        <v>0</v>
      </c>
      <c r="KL822" s="323">
        <f>FISC!AS1128</f>
        <v>0</v>
      </c>
      <c r="KM822" s="327">
        <v>0</v>
      </c>
      <c r="KN822" s="279">
        <f>KO822-KM822</f>
        <v>0</v>
      </c>
      <c r="KO822" s="323">
        <f>FISC!AT1128</f>
        <v>0</v>
      </c>
      <c r="KU822" s="326"/>
      <c r="KV822" s="327"/>
    </row>
    <row r="823" spans="1:314">
      <c r="A823" s="279"/>
      <c r="D823" s="1232" t="s">
        <v>506</v>
      </c>
      <c r="E823" s="323"/>
      <c r="F823" s="323"/>
      <c r="G823" s="323"/>
      <c r="H823" s="323"/>
      <c r="I823" s="323"/>
      <c r="J823" s="323"/>
      <c r="K823" s="323"/>
      <c r="L823" s="323"/>
      <c r="M823" s="323"/>
      <c r="N823" s="323"/>
      <c r="O823" s="323"/>
      <c r="P823" s="323"/>
      <c r="Q823" s="323"/>
      <c r="R823" s="323"/>
      <c r="S823" s="323"/>
      <c r="T823" s="323"/>
      <c r="U823" s="323"/>
      <c r="V823" s="323"/>
      <c r="W823" s="323"/>
      <c r="X823" s="323"/>
      <c r="Y823" s="323"/>
      <c r="Z823" s="323"/>
      <c r="AA823" s="323"/>
      <c r="AB823" s="323"/>
      <c r="AC823" s="323"/>
      <c r="AD823" s="323"/>
      <c r="AE823" s="323"/>
      <c r="AF823" s="323"/>
      <c r="AG823" s="323"/>
      <c r="AH823" s="323"/>
      <c r="AI823" s="323"/>
      <c r="AJ823" s="323"/>
      <c r="AK823" s="323"/>
      <c r="AL823" s="323"/>
      <c r="AM823" s="323"/>
      <c r="AN823" s="323"/>
      <c r="AO823" s="323"/>
      <c r="AP823" s="323"/>
      <c r="AQ823" s="323"/>
      <c r="AR823" s="323"/>
      <c r="AS823" s="323"/>
      <c r="AT823" s="323"/>
      <c r="AU823" s="323"/>
      <c r="AV823" s="323"/>
      <c r="AW823" s="323"/>
      <c r="AX823" s="323"/>
      <c r="AY823" s="323"/>
      <c r="AZ823" s="323"/>
      <c r="BA823" s="323"/>
      <c r="BB823" s="323"/>
      <c r="BC823" s="323"/>
      <c r="BD823" s="323"/>
      <c r="BE823" s="323"/>
      <c r="BF823" s="323"/>
      <c r="BG823" s="323"/>
      <c r="BH823" s="323"/>
      <c r="BI823" s="323"/>
      <c r="BJ823" s="323"/>
      <c r="BK823" s="323"/>
      <c r="BL823" s="323"/>
      <c r="BM823" s="323"/>
      <c r="BN823" s="323"/>
      <c r="BO823" s="323"/>
      <c r="BP823" s="323"/>
      <c r="BQ823" s="323"/>
      <c r="BR823" s="323"/>
      <c r="BS823" s="323"/>
      <c r="BT823" s="323"/>
      <c r="BU823" s="323"/>
      <c r="BV823" s="323"/>
      <c r="BW823" s="323"/>
      <c r="BX823" s="323"/>
      <c r="BY823" s="323"/>
      <c r="BZ823" s="323"/>
      <c r="CA823" s="323"/>
      <c r="CB823" s="323"/>
      <c r="CC823" s="323"/>
      <c r="CD823" s="329"/>
      <c r="CE823" s="323">
        <f t="shared" ref="CE823:DJ823" si="1411">CE419</f>
        <v>0</v>
      </c>
      <c r="CF823" s="323">
        <f t="shared" si="1411"/>
        <v>0</v>
      </c>
      <c r="CG823" s="323">
        <f t="shared" si="1411"/>
        <v>0</v>
      </c>
      <c r="CH823" s="323">
        <f t="shared" si="1411"/>
        <v>0</v>
      </c>
      <c r="CI823" s="323">
        <f t="shared" si="1411"/>
        <v>0</v>
      </c>
      <c r="CJ823" s="323">
        <f t="shared" si="1411"/>
        <v>0</v>
      </c>
      <c r="CK823" s="323">
        <f t="shared" si="1411"/>
        <v>0</v>
      </c>
      <c r="CL823" s="323">
        <f t="shared" si="1411"/>
        <v>0</v>
      </c>
      <c r="CM823" s="323">
        <f t="shared" si="1411"/>
        <v>0</v>
      </c>
      <c r="CN823" s="323">
        <f t="shared" si="1411"/>
        <v>0</v>
      </c>
      <c r="CO823" s="323">
        <f t="shared" si="1411"/>
        <v>0</v>
      </c>
      <c r="CP823" s="325">
        <f t="shared" si="1411"/>
        <v>0</v>
      </c>
      <c r="CQ823" s="323">
        <f t="shared" si="1411"/>
        <v>0</v>
      </c>
      <c r="CR823" s="323">
        <f t="shared" si="1411"/>
        <v>0</v>
      </c>
      <c r="CS823" s="323">
        <f t="shared" si="1411"/>
        <v>0</v>
      </c>
      <c r="CT823" s="323">
        <f t="shared" si="1411"/>
        <v>0</v>
      </c>
      <c r="CU823" s="323">
        <f t="shared" si="1411"/>
        <v>0</v>
      </c>
      <c r="CV823" s="323">
        <f t="shared" si="1411"/>
        <v>0</v>
      </c>
      <c r="CW823" s="323">
        <f t="shared" si="1411"/>
        <v>0</v>
      </c>
      <c r="CX823" s="323">
        <f t="shared" si="1411"/>
        <v>0</v>
      </c>
      <c r="CY823" s="323">
        <f t="shared" si="1411"/>
        <v>0</v>
      </c>
      <c r="CZ823" s="323">
        <f t="shared" si="1411"/>
        <v>0</v>
      </c>
      <c r="DA823" s="323">
        <f t="shared" si="1411"/>
        <v>0</v>
      </c>
      <c r="DB823" s="1269">
        <f t="shared" si="1411"/>
        <v>0</v>
      </c>
      <c r="DC823" s="323">
        <f t="shared" si="1411"/>
        <v>0</v>
      </c>
      <c r="DD823" s="323">
        <f t="shared" si="1411"/>
        <v>0</v>
      </c>
      <c r="DE823" s="323">
        <f t="shared" si="1411"/>
        <v>0</v>
      </c>
      <c r="DF823" s="323">
        <f t="shared" si="1411"/>
        <v>0</v>
      </c>
      <c r="DG823" s="323">
        <f t="shared" si="1411"/>
        <v>0</v>
      </c>
      <c r="DH823" s="323">
        <f t="shared" si="1411"/>
        <v>0</v>
      </c>
      <c r="DI823" s="323">
        <f t="shared" si="1411"/>
        <v>0</v>
      </c>
      <c r="DJ823" s="323">
        <f t="shared" si="1411"/>
        <v>0</v>
      </c>
      <c r="DK823" s="323">
        <f t="shared" ref="DK823:EP823" si="1412">DK419</f>
        <v>0</v>
      </c>
      <c r="DL823" s="323">
        <f t="shared" si="1412"/>
        <v>0</v>
      </c>
      <c r="DM823" s="323">
        <f t="shared" si="1412"/>
        <v>0</v>
      </c>
      <c r="DN823" s="325">
        <f t="shared" si="1412"/>
        <v>0</v>
      </c>
      <c r="DO823" s="323">
        <f t="shared" si="1412"/>
        <v>0</v>
      </c>
      <c r="DP823" s="323">
        <f t="shared" si="1412"/>
        <v>0</v>
      </c>
      <c r="DQ823" s="323">
        <f t="shared" si="1412"/>
        <v>0</v>
      </c>
      <c r="DR823" s="323">
        <f t="shared" si="1412"/>
        <v>0</v>
      </c>
      <c r="DS823" s="323">
        <f t="shared" si="1412"/>
        <v>0</v>
      </c>
      <c r="DT823" s="323">
        <f t="shared" si="1412"/>
        <v>0</v>
      </c>
      <c r="DU823" s="323">
        <f t="shared" si="1412"/>
        <v>0</v>
      </c>
      <c r="DV823" s="323">
        <f t="shared" si="1412"/>
        <v>0</v>
      </c>
      <c r="DW823" s="323">
        <f t="shared" si="1412"/>
        <v>0</v>
      </c>
      <c r="DX823" s="323">
        <f t="shared" si="1412"/>
        <v>0</v>
      </c>
      <c r="DY823" s="323">
        <f t="shared" si="1412"/>
        <v>0</v>
      </c>
      <c r="DZ823" s="325">
        <f t="shared" si="1412"/>
        <v>0</v>
      </c>
      <c r="EA823" s="323">
        <f t="shared" si="1412"/>
        <v>0</v>
      </c>
      <c r="EB823" s="323">
        <f t="shared" si="1412"/>
        <v>0</v>
      </c>
      <c r="EC823" s="323">
        <f t="shared" si="1412"/>
        <v>0</v>
      </c>
      <c r="ED823" s="323">
        <f t="shared" si="1412"/>
        <v>0</v>
      </c>
      <c r="EE823" s="323">
        <f t="shared" si="1412"/>
        <v>0</v>
      </c>
      <c r="EF823" s="323">
        <f t="shared" si="1412"/>
        <v>0</v>
      </c>
      <c r="EG823" s="323">
        <f t="shared" si="1412"/>
        <v>0</v>
      </c>
      <c r="EH823" s="323">
        <f t="shared" si="1412"/>
        <v>0</v>
      </c>
      <c r="EI823" s="323">
        <f t="shared" si="1412"/>
        <v>0</v>
      </c>
      <c r="EJ823" s="323">
        <f t="shared" si="1412"/>
        <v>0</v>
      </c>
      <c r="EK823" s="323">
        <f t="shared" si="1412"/>
        <v>0</v>
      </c>
      <c r="EL823" s="325">
        <f t="shared" si="1412"/>
        <v>0</v>
      </c>
      <c r="EM823" s="323">
        <f t="shared" si="1412"/>
        <v>0</v>
      </c>
      <c r="EN823" s="323">
        <f t="shared" si="1412"/>
        <v>0</v>
      </c>
      <c r="EO823" s="323">
        <f t="shared" si="1412"/>
        <v>0</v>
      </c>
      <c r="EP823" s="323">
        <f t="shared" si="1412"/>
        <v>0</v>
      </c>
      <c r="EQ823" s="323">
        <f t="shared" ref="EQ823:FV823" si="1413">EQ419</f>
        <v>0</v>
      </c>
      <c r="ER823" s="323">
        <f t="shared" si="1413"/>
        <v>0</v>
      </c>
      <c r="ES823" s="323">
        <f t="shared" si="1413"/>
        <v>0</v>
      </c>
      <c r="ET823" s="323">
        <f t="shared" si="1413"/>
        <v>0</v>
      </c>
      <c r="EU823" s="323">
        <f t="shared" si="1413"/>
        <v>0</v>
      </c>
      <c r="EV823" s="323">
        <f t="shared" si="1413"/>
        <v>0</v>
      </c>
      <c r="EW823" s="323">
        <f t="shared" si="1413"/>
        <v>0</v>
      </c>
      <c r="EX823" s="325">
        <f t="shared" si="1413"/>
        <v>0</v>
      </c>
      <c r="EY823" s="323">
        <f t="shared" si="1413"/>
        <v>0</v>
      </c>
      <c r="EZ823" s="323">
        <f t="shared" si="1413"/>
        <v>0</v>
      </c>
      <c r="FA823" s="323">
        <f t="shared" si="1413"/>
        <v>0</v>
      </c>
      <c r="FB823" s="323">
        <f t="shared" si="1413"/>
        <v>0</v>
      </c>
      <c r="FC823" s="323">
        <f t="shared" si="1413"/>
        <v>0</v>
      </c>
      <c r="FD823" s="323">
        <f t="shared" si="1413"/>
        <v>0</v>
      </c>
      <c r="FE823" s="323">
        <f t="shared" si="1413"/>
        <v>0</v>
      </c>
      <c r="FF823" s="323">
        <f t="shared" si="1413"/>
        <v>0</v>
      </c>
      <c r="FG823" s="323">
        <f t="shared" si="1413"/>
        <v>0</v>
      </c>
      <c r="FH823" s="323">
        <f t="shared" si="1413"/>
        <v>0</v>
      </c>
      <c r="FI823" s="323">
        <f t="shared" si="1413"/>
        <v>0</v>
      </c>
      <c r="FJ823" s="325">
        <f t="shared" si="1413"/>
        <v>0</v>
      </c>
      <c r="FK823" s="323">
        <f t="shared" si="1413"/>
        <v>0</v>
      </c>
      <c r="FL823" s="323">
        <f t="shared" si="1413"/>
        <v>0</v>
      </c>
      <c r="FM823" s="323">
        <f t="shared" si="1413"/>
        <v>0</v>
      </c>
      <c r="FN823" s="323">
        <f t="shared" si="1413"/>
        <v>0</v>
      </c>
      <c r="FO823" s="323">
        <f t="shared" si="1413"/>
        <v>0</v>
      </c>
      <c r="FP823" s="323">
        <f t="shared" si="1413"/>
        <v>0</v>
      </c>
      <c r="FQ823" s="323">
        <f t="shared" si="1413"/>
        <v>0</v>
      </c>
      <c r="FR823" s="323">
        <f t="shared" si="1413"/>
        <v>0</v>
      </c>
      <c r="FS823" s="323">
        <f t="shared" si="1413"/>
        <v>0</v>
      </c>
      <c r="FT823" s="323">
        <f t="shared" si="1413"/>
        <v>0</v>
      </c>
      <c r="FU823" s="323">
        <f t="shared" si="1413"/>
        <v>0</v>
      </c>
      <c r="FV823" s="323">
        <f t="shared" si="1413"/>
        <v>0</v>
      </c>
      <c r="FW823" s="323">
        <v>0</v>
      </c>
      <c r="FX823" s="323">
        <v>0</v>
      </c>
      <c r="FY823" s="323">
        <v>0</v>
      </c>
      <c r="FZ823" s="323">
        <v>0</v>
      </c>
      <c r="GA823" s="323">
        <v>0</v>
      </c>
      <c r="GB823" s="323">
        <v>0</v>
      </c>
      <c r="GC823" s="323">
        <v>0</v>
      </c>
      <c r="GD823" s="323">
        <v>0</v>
      </c>
      <c r="GE823" s="323">
        <v>0</v>
      </c>
      <c r="GF823" s="323">
        <v>0</v>
      </c>
      <c r="GG823" s="323">
        <v>0</v>
      </c>
      <c r="GH823" s="323">
        <v>0</v>
      </c>
      <c r="GI823" s="323">
        <v>0</v>
      </c>
      <c r="GJ823" s="323">
        <v>0</v>
      </c>
      <c r="GK823" s="323">
        <v>0</v>
      </c>
      <c r="GL823" s="323">
        <v>0</v>
      </c>
      <c r="GM823" s="323">
        <v>0</v>
      </c>
      <c r="GN823" s="323">
        <v>0</v>
      </c>
      <c r="GO823" s="323">
        <v>0</v>
      </c>
      <c r="GP823" s="323">
        <v>0</v>
      </c>
      <c r="GQ823" s="323">
        <v>0</v>
      </c>
      <c r="GR823" s="323">
        <v>0</v>
      </c>
      <c r="GS823" s="323">
        <v>0</v>
      </c>
      <c r="GT823" s="323">
        <v>0</v>
      </c>
      <c r="GU823" s="323">
        <v>0</v>
      </c>
      <c r="GV823" s="323">
        <v>0</v>
      </c>
      <c r="GW823" s="323">
        <v>0</v>
      </c>
      <c r="GX823" s="323">
        <v>0</v>
      </c>
      <c r="GY823" s="323">
        <v>0</v>
      </c>
      <c r="GZ823" s="323">
        <v>0</v>
      </c>
      <c r="HA823" s="323">
        <v>0</v>
      </c>
      <c r="HB823" s="323">
        <v>0</v>
      </c>
      <c r="HC823" s="323">
        <v>0</v>
      </c>
      <c r="HD823" s="323">
        <v>0</v>
      </c>
      <c r="HE823" s="323">
        <v>0</v>
      </c>
      <c r="HF823" s="323">
        <v>0</v>
      </c>
      <c r="HG823" s="323">
        <v>0</v>
      </c>
      <c r="HH823" s="323">
        <v>0</v>
      </c>
      <c r="HI823" s="323">
        <v>0</v>
      </c>
      <c r="HJ823" s="323">
        <v>0</v>
      </c>
      <c r="HK823" s="323">
        <v>0</v>
      </c>
      <c r="HL823" s="323">
        <v>0</v>
      </c>
      <c r="HM823" s="323">
        <v>0</v>
      </c>
      <c r="HN823" s="323">
        <v>0</v>
      </c>
      <c r="HO823" s="323">
        <v>0</v>
      </c>
      <c r="HP823" s="323">
        <v>0</v>
      </c>
      <c r="HQ823" s="323">
        <v>0</v>
      </c>
      <c r="HR823" s="323">
        <v>0</v>
      </c>
      <c r="HS823" s="323">
        <v>0</v>
      </c>
      <c r="HT823" s="323">
        <v>0</v>
      </c>
      <c r="HU823" s="323">
        <v>0</v>
      </c>
      <c r="HV823" s="323">
        <v>0</v>
      </c>
      <c r="HW823" s="323">
        <v>0</v>
      </c>
      <c r="HX823" s="323">
        <v>0</v>
      </c>
      <c r="HY823" s="323"/>
      <c r="HZ823" s="326"/>
      <c r="IA823" s="1420" t="s">
        <v>506</v>
      </c>
      <c r="IB823" s="284">
        <f>SUM(CE823:CJ823)</f>
        <v>0</v>
      </c>
      <c r="IC823" s="279">
        <f>SUM(CK823:CP823)</f>
        <v>0</v>
      </c>
      <c r="ID823" s="323">
        <f t="shared" si="907"/>
        <v>0</v>
      </c>
      <c r="IE823" s="279">
        <f>SUM(CQ823:CV823)</f>
        <v>0</v>
      </c>
      <c r="IF823" s="279">
        <f>SUM(CW823:DB823)</f>
        <v>0</v>
      </c>
      <c r="IG823" s="323">
        <f t="shared" si="880"/>
        <v>0</v>
      </c>
      <c r="IH823" s="284">
        <f>SUM(DC823:DH823)</f>
        <v>0</v>
      </c>
      <c r="II823" s="279">
        <f>SUM(DI823:DN823)</f>
        <v>0</v>
      </c>
      <c r="IJ823" s="323">
        <f t="shared" si="881"/>
        <v>0</v>
      </c>
      <c r="IK823" s="327">
        <f>SUM(DO823:DT823)</f>
        <v>0</v>
      </c>
      <c r="IL823" s="279">
        <f>SUM(DU823:DZ823)</f>
        <v>0</v>
      </c>
      <c r="IM823" s="323">
        <f t="shared" si="882"/>
        <v>0</v>
      </c>
      <c r="IN823" s="279">
        <f>SUM(EA823:EF823)</f>
        <v>0</v>
      </c>
      <c r="IO823" s="279">
        <f>SUM(EG823:EL823)</f>
        <v>0</v>
      </c>
      <c r="IP823" s="323">
        <f t="shared" si="883"/>
        <v>0</v>
      </c>
      <c r="IQ823" s="327">
        <f>SUM(EM823:ER823)</f>
        <v>0</v>
      </c>
      <c r="IR823" s="327">
        <f>SUM(ES823:EX823)</f>
        <v>0</v>
      </c>
      <c r="IS823" s="323">
        <f t="shared" si="884"/>
        <v>0</v>
      </c>
      <c r="IT823" s="327">
        <f>SUM(EY823:FD823)</f>
        <v>0</v>
      </c>
      <c r="IU823" s="327">
        <f>SUM(FE823:FJ823)</f>
        <v>0</v>
      </c>
      <c r="IV823" s="323">
        <f t="shared" si="885"/>
        <v>0</v>
      </c>
      <c r="IW823" s="327">
        <f>SUM(FK823:FP823)</f>
        <v>0</v>
      </c>
      <c r="IX823" s="327">
        <f t="shared" si="1378"/>
        <v>0</v>
      </c>
      <c r="IY823" s="323">
        <f t="shared" si="886"/>
        <v>0</v>
      </c>
      <c r="IZ823" s="327">
        <f t="shared" si="1247"/>
        <v>0</v>
      </c>
      <c r="JA823" s="327">
        <f t="shared" si="1248"/>
        <v>0</v>
      </c>
      <c r="JB823" s="323">
        <f t="shared" si="887"/>
        <v>0</v>
      </c>
      <c r="JC823" s="327">
        <f t="shared" si="1249"/>
        <v>0</v>
      </c>
      <c r="JD823" s="327">
        <f t="shared" si="1250"/>
        <v>0</v>
      </c>
      <c r="JE823" s="323">
        <f t="shared" si="888"/>
        <v>0</v>
      </c>
      <c r="JF823" s="327">
        <f>SUM(GU823:GZ823)</f>
        <v>0</v>
      </c>
      <c r="JG823" s="327">
        <f t="shared" si="1372"/>
        <v>0</v>
      </c>
      <c r="JH823" s="323">
        <f t="shared" si="1406"/>
        <v>0</v>
      </c>
      <c r="JI823" s="327">
        <f t="shared" si="909"/>
        <v>0</v>
      </c>
      <c r="JJ823" s="327">
        <f t="shared" si="1405"/>
        <v>0</v>
      </c>
      <c r="JK823" s="323">
        <f t="shared" si="1398"/>
        <v>0</v>
      </c>
      <c r="JL823" s="327">
        <f t="shared" si="1407"/>
        <v>0</v>
      </c>
      <c r="JM823" s="279">
        <f t="shared" si="892"/>
        <v>0</v>
      </c>
      <c r="JN823" s="323">
        <f>FISC!AK1129</f>
        <v>0</v>
      </c>
      <c r="JO823" s="327">
        <v>0</v>
      </c>
      <c r="JP823" s="279">
        <f>JQ823-JO823</f>
        <v>0</v>
      </c>
      <c r="JQ823" s="323">
        <f>FISC!AL1129</f>
        <v>0</v>
      </c>
      <c r="JR823" s="327">
        <v>0</v>
      </c>
      <c r="JS823" s="279">
        <f>JT823-JR823</f>
        <v>0</v>
      </c>
      <c r="JT823" s="323">
        <f>FISC!AM1129</f>
        <v>0</v>
      </c>
      <c r="JU823" s="327">
        <v>0</v>
      </c>
      <c r="JV823" s="279">
        <f>JW823-JU823</f>
        <v>0</v>
      </c>
      <c r="JW823" s="323">
        <f>FISC!AN1129</f>
        <v>0</v>
      </c>
      <c r="JX823" s="327">
        <v>0</v>
      </c>
      <c r="JY823" s="279">
        <f>JZ823-JX823</f>
        <v>0</v>
      </c>
      <c r="JZ823" s="323">
        <f>FISC!AO1129</f>
        <v>0</v>
      </c>
      <c r="KA823" s="327">
        <v>0</v>
      </c>
      <c r="KB823" s="279">
        <f>KC823-KA823</f>
        <v>0</v>
      </c>
      <c r="KC823" s="323">
        <f>FISC!AP1129</f>
        <v>0</v>
      </c>
      <c r="KD823" s="327">
        <v>0</v>
      </c>
      <c r="KE823" s="279">
        <f>KF823-KD823</f>
        <v>0</v>
      </c>
      <c r="KF823" s="323">
        <f>FISC!AQ1129</f>
        <v>0</v>
      </c>
      <c r="KG823" s="327">
        <v>0</v>
      </c>
      <c r="KH823" s="279">
        <f>KI823-KG823</f>
        <v>0</v>
      </c>
      <c r="KI823" s="323">
        <f>FISC!AR1129</f>
        <v>0</v>
      </c>
      <c r="KJ823" s="327">
        <v>0</v>
      </c>
      <c r="KK823" s="279">
        <f>KL823-KJ823</f>
        <v>0</v>
      </c>
      <c r="KL823" s="323">
        <f>FISC!AS1129</f>
        <v>0</v>
      </c>
      <c r="KM823" s="327">
        <v>0</v>
      </c>
      <c r="KN823" s="279">
        <f>KO823-KM823</f>
        <v>0</v>
      </c>
      <c r="KO823" s="323">
        <f>FISC!AT1129</f>
        <v>0</v>
      </c>
      <c r="KU823" s="326"/>
      <c r="KV823" s="327"/>
    </row>
    <row r="824" spans="1:314">
      <c r="A824" s="279"/>
      <c r="D824" s="1232" t="s">
        <v>507</v>
      </c>
      <c r="E824" s="323"/>
      <c r="F824" s="323"/>
      <c r="G824" s="323"/>
      <c r="H824" s="323"/>
      <c r="I824" s="323"/>
      <c r="J824" s="323"/>
      <c r="K824" s="323"/>
      <c r="L824" s="323"/>
      <c r="M824" s="323"/>
      <c r="N824" s="323"/>
      <c r="O824" s="323"/>
      <c r="P824" s="323"/>
      <c r="Q824" s="323"/>
      <c r="R824" s="323"/>
      <c r="S824" s="323"/>
      <c r="T824" s="323"/>
      <c r="U824" s="323"/>
      <c r="V824" s="323"/>
      <c r="W824" s="323"/>
      <c r="X824" s="323"/>
      <c r="Y824" s="323"/>
      <c r="Z824" s="323"/>
      <c r="AA824" s="323"/>
      <c r="AB824" s="323"/>
      <c r="AC824" s="323"/>
      <c r="AD824" s="323"/>
      <c r="AE824" s="323"/>
      <c r="AF824" s="323"/>
      <c r="AG824" s="323"/>
      <c r="AH824" s="323"/>
      <c r="AI824" s="323"/>
      <c r="AJ824" s="323"/>
      <c r="AK824" s="323"/>
      <c r="AL824" s="323"/>
      <c r="AM824" s="323"/>
      <c r="AN824" s="323"/>
      <c r="AO824" s="323"/>
      <c r="AP824" s="323"/>
      <c r="AQ824" s="323"/>
      <c r="AR824" s="323"/>
      <c r="AS824" s="323"/>
      <c r="AT824" s="323"/>
      <c r="AU824" s="323"/>
      <c r="AV824" s="323"/>
      <c r="AW824" s="323"/>
      <c r="AX824" s="323"/>
      <c r="AY824" s="323"/>
      <c r="AZ824" s="323"/>
      <c r="BA824" s="323"/>
      <c r="BB824" s="323"/>
      <c r="BC824" s="323"/>
      <c r="BD824" s="323"/>
      <c r="BE824" s="323"/>
      <c r="BF824" s="323"/>
      <c r="BG824" s="323"/>
      <c r="BH824" s="323"/>
      <c r="BI824" s="323"/>
      <c r="BJ824" s="323"/>
      <c r="BK824" s="323"/>
      <c r="BL824" s="323"/>
      <c r="BM824" s="323"/>
      <c r="BN824" s="323"/>
      <c r="BO824" s="323"/>
      <c r="BP824" s="323"/>
      <c r="BQ824" s="323"/>
      <c r="BR824" s="323"/>
      <c r="BS824" s="323"/>
      <c r="BT824" s="323"/>
      <c r="BU824" s="323"/>
      <c r="BV824" s="323"/>
      <c r="BW824" s="323"/>
      <c r="BX824" s="323"/>
      <c r="BY824" s="323"/>
      <c r="BZ824" s="323"/>
      <c r="CA824" s="323"/>
      <c r="CB824" s="323"/>
      <c r="CC824" s="323"/>
      <c r="CD824" s="329"/>
      <c r="CE824" s="323">
        <f t="shared" ref="CE824:DJ824" si="1414">CE420</f>
        <v>0</v>
      </c>
      <c r="CF824" s="323">
        <f t="shared" si="1414"/>
        <v>0</v>
      </c>
      <c r="CG824" s="323">
        <f t="shared" si="1414"/>
        <v>0</v>
      </c>
      <c r="CH824" s="323">
        <f t="shared" si="1414"/>
        <v>0</v>
      </c>
      <c r="CI824" s="323">
        <f t="shared" si="1414"/>
        <v>0</v>
      </c>
      <c r="CJ824" s="323">
        <f t="shared" si="1414"/>
        <v>0</v>
      </c>
      <c r="CK824" s="323">
        <f t="shared" si="1414"/>
        <v>0</v>
      </c>
      <c r="CL824" s="323">
        <f t="shared" si="1414"/>
        <v>0</v>
      </c>
      <c r="CM824" s="323">
        <f t="shared" si="1414"/>
        <v>0</v>
      </c>
      <c r="CN824" s="323">
        <f t="shared" si="1414"/>
        <v>0</v>
      </c>
      <c r="CO824" s="323">
        <f t="shared" si="1414"/>
        <v>0</v>
      </c>
      <c r="CP824" s="325">
        <f t="shared" si="1414"/>
        <v>0</v>
      </c>
      <c r="CQ824" s="323">
        <f t="shared" si="1414"/>
        <v>0</v>
      </c>
      <c r="CR824" s="323">
        <f t="shared" si="1414"/>
        <v>0</v>
      </c>
      <c r="CS824" s="323">
        <f t="shared" si="1414"/>
        <v>0</v>
      </c>
      <c r="CT824" s="323">
        <f t="shared" si="1414"/>
        <v>0</v>
      </c>
      <c r="CU824" s="323">
        <f t="shared" si="1414"/>
        <v>0</v>
      </c>
      <c r="CV824" s="323">
        <f t="shared" si="1414"/>
        <v>0</v>
      </c>
      <c r="CW824" s="323">
        <f t="shared" si="1414"/>
        <v>0</v>
      </c>
      <c r="CX824" s="323">
        <f t="shared" si="1414"/>
        <v>0</v>
      </c>
      <c r="CY824" s="323">
        <f t="shared" si="1414"/>
        <v>0</v>
      </c>
      <c r="CZ824" s="323">
        <f t="shared" si="1414"/>
        <v>0</v>
      </c>
      <c r="DA824" s="323">
        <f t="shared" si="1414"/>
        <v>0</v>
      </c>
      <c r="DB824" s="1269">
        <f t="shared" si="1414"/>
        <v>0</v>
      </c>
      <c r="DC824" s="323">
        <f t="shared" si="1414"/>
        <v>0</v>
      </c>
      <c r="DD824" s="323">
        <f t="shared" si="1414"/>
        <v>0</v>
      </c>
      <c r="DE824" s="323">
        <f t="shared" si="1414"/>
        <v>0</v>
      </c>
      <c r="DF824" s="323">
        <f t="shared" si="1414"/>
        <v>0</v>
      </c>
      <c r="DG824" s="323">
        <f t="shared" si="1414"/>
        <v>0</v>
      </c>
      <c r="DH824" s="323">
        <f t="shared" si="1414"/>
        <v>0</v>
      </c>
      <c r="DI824" s="323">
        <f t="shared" si="1414"/>
        <v>0</v>
      </c>
      <c r="DJ824" s="323">
        <f t="shared" si="1414"/>
        <v>0</v>
      </c>
      <c r="DK824" s="323">
        <f t="shared" ref="DK824:EP824" si="1415">DK420</f>
        <v>0</v>
      </c>
      <c r="DL824" s="323">
        <f t="shared" si="1415"/>
        <v>0</v>
      </c>
      <c r="DM824" s="323">
        <f t="shared" si="1415"/>
        <v>0</v>
      </c>
      <c r="DN824" s="325">
        <f t="shared" si="1415"/>
        <v>0</v>
      </c>
      <c r="DO824" s="323">
        <f t="shared" si="1415"/>
        <v>0</v>
      </c>
      <c r="DP824" s="323">
        <f t="shared" si="1415"/>
        <v>0</v>
      </c>
      <c r="DQ824" s="323">
        <f t="shared" si="1415"/>
        <v>0</v>
      </c>
      <c r="DR824" s="323">
        <f t="shared" si="1415"/>
        <v>0</v>
      </c>
      <c r="DS824" s="323">
        <f t="shared" si="1415"/>
        <v>0</v>
      </c>
      <c r="DT824" s="323">
        <f t="shared" si="1415"/>
        <v>0</v>
      </c>
      <c r="DU824" s="323">
        <f t="shared" si="1415"/>
        <v>0</v>
      </c>
      <c r="DV824" s="323">
        <f t="shared" si="1415"/>
        <v>0</v>
      </c>
      <c r="DW824" s="323">
        <f t="shared" si="1415"/>
        <v>0</v>
      </c>
      <c r="DX824" s="323">
        <f t="shared" si="1415"/>
        <v>0</v>
      </c>
      <c r="DY824" s="323">
        <f t="shared" si="1415"/>
        <v>0</v>
      </c>
      <c r="DZ824" s="325">
        <f t="shared" si="1415"/>
        <v>0</v>
      </c>
      <c r="EA824" s="323">
        <f t="shared" si="1415"/>
        <v>0</v>
      </c>
      <c r="EB824" s="323">
        <f t="shared" si="1415"/>
        <v>0</v>
      </c>
      <c r="EC824" s="323">
        <f t="shared" si="1415"/>
        <v>0</v>
      </c>
      <c r="ED824" s="323">
        <f t="shared" si="1415"/>
        <v>0</v>
      </c>
      <c r="EE824" s="323">
        <f t="shared" si="1415"/>
        <v>0</v>
      </c>
      <c r="EF824" s="323">
        <f t="shared" si="1415"/>
        <v>0</v>
      </c>
      <c r="EG824" s="323">
        <f t="shared" si="1415"/>
        <v>0</v>
      </c>
      <c r="EH824" s="323">
        <f t="shared" si="1415"/>
        <v>0</v>
      </c>
      <c r="EI824" s="323">
        <f t="shared" si="1415"/>
        <v>0</v>
      </c>
      <c r="EJ824" s="323">
        <f t="shared" si="1415"/>
        <v>0</v>
      </c>
      <c r="EK824" s="323">
        <f t="shared" si="1415"/>
        <v>0</v>
      </c>
      <c r="EL824" s="325">
        <f t="shared" si="1415"/>
        <v>0</v>
      </c>
      <c r="EM824" s="323">
        <f t="shared" si="1415"/>
        <v>0</v>
      </c>
      <c r="EN824" s="323">
        <f t="shared" si="1415"/>
        <v>0</v>
      </c>
      <c r="EO824" s="323">
        <f t="shared" si="1415"/>
        <v>0</v>
      </c>
      <c r="EP824" s="323">
        <f t="shared" si="1415"/>
        <v>0</v>
      </c>
      <c r="EQ824" s="323">
        <f t="shared" ref="EQ824:FV824" si="1416">EQ420</f>
        <v>0</v>
      </c>
      <c r="ER824" s="323">
        <f t="shared" si="1416"/>
        <v>0</v>
      </c>
      <c r="ES824" s="323">
        <f t="shared" si="1416"/>
        <v>0</v>
      </c>
      <c r="ET824" s="323">
        <f t="shared" si="1416"/>
        <v>0</v>
      </c>
      <c r="EU824" s="323">
        <f t="shared" si="1416"/>
        <v>0</v>
      </c>
      <c r="EV824" s="323">
        <f t="shared" si="1416"/>
        <v>0</v>
      </c>
      <c r="EW824" s="323">
        <f t="shared" si="1416"/>
        <v>0</v>
      </c>
      <c r="EX824" s="325">
        <f t="shared" si="1416"/>
        <v>0</v>
      </c>
      <c r="EY824" s="323">
        <f t="shared" si="1416"/>
        <v>0</v>
      </c>
      <c r="EZ824" s="323">
        <f t="shared" si="1416"/>
        <v>0</v>
      </c>
      <c r="FA824" s="323">
        <f t="shared" si="1416"/>
        <v>0</v>
      </c>
      <c r="FB824" s="323">
        <f t="shared" si="1416"/>
        <v>0</v>
      </c>
      <c r="FC824" s="323">
        <f t="shared" si="1416"/>
        <v>0</v>
      </c>
      <c r="FD824" s="323">
        <f t="shared" si="1416"/>
        <v>0</v>
      </c>
      <c r="FE824" s="323">
        <f t="shared" si="1416"/>
        <v>0</v>
      </c>
      <c r="FF824" s="323">
        <f t="shared" si="1416"/>
        <v>0</v>
      </c>
      <c r="FG824" s="323">
        <f t="shared" si="1416"/>
        <v>0</v>
      </c>
      <c r="FH824" s="323">
        <f t="shared" si="1416"/>
        <v>0</v>
      </c>
      <c r="FI824" s="323">
        <f t="shared" si="1416"/>
        <v>0</v>
      </c>
      <c r="FJ824" s="325">
        <f t="shared" si="1416"/>
        <v>0</v>
      </c>
      <c r="FK824" s="323">
        <f t="shared" si="1416"/>
        <v>0</v>
      </c>
      <c r="FL824" s="323">
        <f t="shared" si="1416"/>
        <v>0</v>
      </c>
      <c r="FM824" s="323">
        <f t="shared" si="1416"/>
        <v>0</v>
      </c>
      <c r="FN824" s="323">
        <f t="shared" si="1416"/>
        <v>0</v>
      </c>
      <c r="FO824" s="323">
        <f t="shared" si="1416"/>
        <v>0</v>
      </c>
      <c r="FP824" s="323">
        <f t="shared" si="1416"/>
        <v>0</v>
      </c>
      <c r="FQ824" s="323">
        <f t="shared" si="1416"/>
        <v>0</v>
      </c>
      <c r="FR824" s="323">
        <f t="shared" si="1416"/>
        <v>0</v>
      </c>
      <c r="FS824" s="323">
        <f t="shared" si="1416"/>
        <v>0</v>
      </c>
      <c r="FT824" s="323">
        <f t="shared" si="1416"/>
        <v>0</v>
      </c>
      <c r="FU824" s="323">
        <f t="shared" si="1416"/>
        <v>0</v>
      </c>
      <c r="FV824" s="323">
        <f t="shared" si="1416"/>
        <v>0</v>
      </c>
      <c r="FW824" s="323">
        <v>0</v>
      </c>
      <c r="FX824" s="323">
        <v>0</v>
      </c>
      <c r="FY824" s="323">
        <v>0</v>
      </c>
      <c r="FZ824" s="323">
        <v>0</v>
      </c>
      <c r="GA824" s="323">
        <v>0</v>
      </c>
      <c r="GB824" s="323">
        <v>0</v>
      </c>
      <c r="GC824" s="323">
        <v>0</v>
      </c>
      <c r="GD824" s="323">
        <v>0</v>
      </c>
      <c r="GE824" s="323">
        <v>0</v>
      </c>
      <c r="GF824" s="323">
        <v>0</v>
      </c>
      <c r="GG824" s="323">
        <v>0</v>
      </c>
      <c r="GH824" s="323">
        <v>0</v>
      </c>
      <c r="GI824" s="323">
        <v>0</v>
      </c>
      <c r="GJ824" s="323">
        <v>0</v>
      </c>
      <c r="GK824" s="323">
        <v>0</v>
      </c>
      <c r="GL824" s="323">
        <v>0</v>
      </c>
      <c r="GM824" s="323">
        <v>0</v>
      </c>
      <c r="GN824" s="323">
        <v>0</v>
      </c>
      <c r="GO824" s="323">
        <v>0</v>
      </c>
      <c r="GP824" s="323">
        <v>0</v>
      </c>
      <c r="GQ824" s="323">
        <v>0</v>
      </c>
      <c r="GR824" s="323">
        <v>0</v>
      </c>
      <c r="GS824" s="323">
        <v>0</v>
      </c>
      <c r="GT824" s="323">
        <v>0</v>
      </c>
      <c r="GU824" s="323">
        <v>0</v>
      </c>
      <c r="GV824" s="323">
        <v>0</v>
      </c>
      <c r="GW824" s="323">
        <v>0</v>
      </c>
      <c r="GX824" s="323">
        <v>0</v>
      </c>
      <c r="GY824" s="323">
        <v>0</v>
      </c>
      <c r="GZ824" s="323">
        <v>0</v>
      </c>
      <c r="HA824" s="323">
        <v>0</v>
      </c>
      <c r="HB824" s="323">
        <v>0</v>
      </c>
      <c r="HC824" s="323">
        <v>0</v>
      </c>
      <c r="HD824" s="323">
        <v>0</v>
      </c>
      <c r="HE824" s="323">
        <v>0</v>
      </c>
      <c r="HF824" s="323">
        <v>0</v>
      </c>
      <c r="HG824" s="323">
        <v>0</v>
      </c>
      <c r="HH824" s="323">
        <v>0</v>
      </c>
      <c r="HI824" s="323">
        <v>0</v>
      </c>
      <c r="HJ824" s="323">
        <v>0</v>
      </c>
      <c r="HK824" s="323">
        <v>0</v>
      </c>
      <c r="HL824" s="323">
        <v>0</v>
      </c>
      <c r="HM824" s="323">
        <v>0</v>
      </c>
      <c r="HN824" s="323">
        <v>0</v>
      </c>
      <c r="HO824" s="323">
        <v>0</v>
      </c>
      <c r="HP824" s="323">
        <v>0</v>
      </c>
      <c r="HQ824" s="323">
        <v>0</v>
      </c>
      <c r="HR824" s="323">
        <v>0</v>
      </c>
      <c r="HS824" s="323">
        <v>0</v>
      </c>
      <c r="HT824" s="323">
        <v>0</v>
      </c>
      <c r="HU824" s="323">
        <v>0</v>
      </c>
      <c r="HV824" s="323">
        <v>0</v>
      </c>
      <c r="HW824" s="323">
        <v>0</v>
      </c>
      <c r="HX824" s="323">
        <v>0</v>
      </c>
      <c r="HY824" s="323"/>
      <c r="HZ824" s="326"/>
      <c r="IA824" s="1420" t="s">
        <v>507</v>
      </c>
      <c r="IB824" s="284">
        <f>SUM(CE824:CJ824)</f>
        <v>0</v>
      </c>
      <c r="IC824" s="279">
        <f>SUM(CK824:CP824)</f>
        <v>0</v>
      </c>
      <c r="ID824" s="323">
        <f t="shared" si="907"/>
        <v>0</v>
      </c>
      <c r="IE824" s="279">
        <f>SUM(CQ824:CV824)</f>
        <v>0</v>
      </c>
      <c r="IF824" s="279">
        <f>SUM(CW824:DB824)</f>
        <v>0</v>
      </c>
      <c r="IG824" s="323">
        <f t="shared" si="880"/>
        <v>0</v>
      </c>
      <c r="IH824" s="284">
        <f>SUM(DC824:DH824)</f>
        <v>0</v>
      </c>
      <c r="II824" s="279">
        <f>SUM(DI824:DN824)</f>
        <v>0</v>
      </c>
      <c r="IJ824" s="323">
        <f t="shared" si="881"/>
        <v>0</v>
      </c>
      <c r="IK824" s="327">
        <f>SUM(DO824:DT824)</f>
        <v>0</v>
      </c>
      <c r="IL824" s="279">
        <f>SUM(DU824:DZ824)</f>
        <v>0</v>
      </c>
      <c r="IM824" s="323">
        <f t="shared" si="882"/>
        <v>0</v>
      </c>
      <c r="IN824" s="279">
        <f>SUM(EA824:EF824)</f>
        <v>0</v>
      </c>
      <c r="IO824" s="279">
        <f>SUM(EG824:EL824)</f>
        <v>0</v>
      </c>
      <c r="IP824" s="323">
        <f t="shared" si="883"/>
        <v>0</v>
      </c>
      <c r="IQ824" s="327">
        <f>SUM(EM824:ER824)</f>
        <v>0</v>
      </c>
      <c r="IR824" s="327">
        <f>SUM(ES824:EX824)</f>
        <v>0</v>
      </c>
      <c r="IS824" s="323">
        <f t="shared" si="884"/>
        <v>0</v>
      </c>
      <c r="IT824" s="327">
        <f>SUM(EY824:FD824)</f>
        <v>0</v>
      </c>
      <c r="IU824" s="327">
        <f>SUM(FE824:FJ824)</f>
        <v>0</v>
      </c>
      <c r="IV824" s="323">
        <f t="shared" si="885"/>
        <v>0</v>
      </c>
      <c r="IW824" s="327">
        <f>SUM(FK824:FP824)</f>
        <v>0</v>
      </c>
      <c r="IX824" s="327">
        <f t="shared" si="1378"/>
        <v>0</v>
      </c>
      <c r="IY824" s="323">
        <f>IW824+IX824</f>
        <v>0</v>
      </c>
      <c r="IZ824" s="327">
        <f t="shared" si="1247"/>
        <v>0</v>
      </c>
      <c r="JA824" s="327">
        <f t="shared" si="1248"/>
        <v>0</v>
      </c>
      <c r="JB824" s="323">
        <f t="shared" si="887"/>
        <v>0</v>
      </c>
      <c r="JC824" s="327">
        <f t="shared" si="1249"/>
        <v>0</v>
      </c>
      <c r="JD824" s="327">
        <f t="shared" si="1250"/>
        <v>0</v>
      </c>
      <c r="JE824" s="323">
        <f t="shared" si="888"/>
        <v>0</v>
      </c>
      <c r="JF824" s="327">
        <f>SUM(GU824:GZ824)</f>
        <v>0</v>
      </c>
      <c r="JG824" s="327">
        <f t="shared" si="1372"/>
        <v>0</v>
      </c>
      <c r="JH824" s="323">
        <f t="shared" si="1406"/>
        <v>0</v>
      </c>
      <c r="JI824" s="327">
        <f t="shared" si="909"/>
        <v>0</v>
      </c>
      <c r="JJ824" s="327">
        <f t="shared" si="1405"/>
        <v>0</v>
      </c>
      <c r="JK824" s="323">
        <f t="shared" si="1398"/>
        <v>0</v>
      </c>
      <c r="JL824" s="327">
        <f t="shared" si="1407"/>
        <v>0</v>
      </c>
      <c r="JM824" s="279">
        <f t="shared" si="892"/>
        <v>0</v>
      </c>
      <c r="JN824" s="323">
        <f>FISC!AK1130</f>
        <v>0</v>
      </c>
      <c r="JO824" s="327">
        <v>0</v>
      </c>
      <c r="JP824" s="279">
        <f>JQ824-JO824</f>
        <v>0</v>
      </c>
      <c r="JQ824" s="323">
        <f>FISC!AL1130</f>
        <v>0</v>
      </c>
      <c r="JR824" s="327">
        <v>0</v>
      </c>
      <c r="JS824" s="279">
        <f>JT824-JR824</f>
        <v>0</v>
      </c>
      <c r="JT824" s="323">
        <f>FISC!AM1130</f>
        <v>0</v>
      </c>
      <c r="JU824" s="327">
        <v>0</v>
      </c>
      <c r="JV824" s="279">
        <f>JW824-JU824</f>
        <v>0</v>
      </c>
      <c r="JW824" s="323">
        <f>FISC!AN1130</f>
        <v>0</v>
      </c>
      <c r="JX824" s="327">
        <v>0</v>
      </c>
      <c r="JY824" s="279">
        <f>JZ824-JX824</f>
        <v>0</v>
      </c>
      <c r="JZ824" s="323">
        <f>FISC!AO1130</f>
        <v>0</v>
      </c>
      <c r="KA824" s="327">
        <v>0</v>
      </c>
      <c r="KB824" s="279">
        <f>KC824-KA824</f>
        <v>0</v>
      </c>
      <c r="KC824" s="323">
        <f>FISC!AP1130</f>
        <v>0</v>
      </c>
      <c r="KD824" s="327">
        <v>0</v>
      </c>
      <c r="KE824" s="279">
        <f>KF824-KD824</f>
        <v>0</v>
      </c>
      <c r="KF824" s="323">
        <f>FISC!AQ1130</f>
        <v>0</v>
      </c>
      <c r="KG824" s="327">
        <v>0</v>
      </c>
      <c r="KH824" s="279">
        <f>KI824-KG824</f>
        <v>0</v>
      </c>
      <c r="KI824" s="323">
        <f>FISC!AR1130</f>
        <v>0</v>
      </c>
      <c r="KJ824" s="327">
        <v>0</v>
      </c>
      <c r="KK824" s="279">
        <f>KL824-KJ824</f>
        <v>0</v>
      </c>
      <c r="KL824" s="323">
        <f>FISC!AS1130</f>
        <v>0</v>
      </c>
      <c r="KM824" s="327">
        <v>0</v>
      </c>
      <c r="KN824" s="279">
        <f>KO824-KM824</f>
        <v>0</v>
      </c>
      <c r="KO824" s="323">
        <f>FISC!AT1130</f>
        <v>0</v>
      </c>
      <c r="KU824" s="326"/>
      <c r="KV824" s="327"/>
    </row>
    <row r="825" spans="1:314">
      <c r="A825" s="279"/>
      <c r="D825" s="1494" t="s">
        <v>3116</v>
      </c>
      <c r="E825" s="323"/>
      <c r="F825" s="323"/>
      <c r="G825" s="323"/>
      <c r="H825" s="323"/>
      <c r="I825" s="323"/>
      <c r="J825" s="323"/>
      <c r="K825" s="323"/>
      <c r="L825" s="323"/>
      <c r="M825" s="323"/>
      <c r="N825" s="323"/>
      <c r="O825" s="323"/>
      <c r="P825" s="323"/>
      <c r="Q825" s="323"/>
      <c r="R825" s="323"/>
      <c r="S825" s="323"/>
      <c r="T825" s="323"/>
      <c r="U825" s="323"/>
      <c r="V825" s="323"/>
      <c r="W825" s="323"/>
      <c r="X825" s="323"/>
      <c r="Y825" s="323"/>
      <c r="Z825" s="323"/>
      <c r="AA825" s="323"/>
      <c r="AB825" s="323"/>
      <c r="AC825" s="323"/>
      <c r="AD825" s="323"/>
      <c r="AE825" s="323"/>
      <c r="AF825" s="323"/>
      <c r="AG825" s="323"/>
      <c r="AH825" s="323"/>
      <c r="AI825" s="323"/>
      <c r="AJ825" s="323"/>
      <c r="AK825" s="323"/>
      <c r="AL825" s="323"/>
      <c r="AM825" s="323"/>
      <c r="AN825" s="323"/>
      <c r="AO825" s="323"/>
      <c r="AP825" s="323"/>
      <c r="AQ825" s="323"/>
      <c r="AR825" s="323"/>
      <c r="AS825" s="323"/>
      <c r="AT825" s="323"/>
      <c r="AU825" s="323"/>
      <c r="AV825" s="323"/>
      <c r="AW825" s="323"/>
      <c r="AX825" s="323"/>
      <c r="AY825" s="323"/>
      <c r="AZ825" s="323"/>
      <c r="BA825" s="323"/>
      <c r="BB825" s="323"/>
      <c r="BC825" s="323"/>
      <c r="BD825" s="323"/>
      <c r="BE825" s="323"/>
      <c r="BF825" s="323"/>
      <c r="BG825" s="323"/>
      <c r="BH825" s="323"/>
      <c r="BI825" s="323"/>
      <c r="BJ825" s="323"/>
      <c r="BK825" s="323"/>
      <c r="BL825" s="323"/>
      <c r="BM825" s="323"/>
      <c r="BN825" s="323"/>
      <c r="BO825" s="323"/>
      <c r="BP825" s="323"/>
      <c r="BQ825" s="323"/>
      <c r="BR825" s="323"/>
      <c r="BS825" s="323"/>
      <c r="BT825" s="323"/>
      <c r="BU825" s="323"/>
      <c r="BV825" s="323"/>
      <c r="BW825" s="323"/>
      <c r="BX825" s="323"/>
      <c r="BY825" s="323"/>
      <c r="BZ825" s="323"/>
      <c r="CA825" s="323"/>
      <c r="CB825" s="323"/>
      <c r="CC825" s="323"/>
      <c r="CD825" s="329"/>
      <c r="CE825" s="323"/>
      <c r="CF825" s="323"/>
      <c r="CG825" s="323"/>
      <c r="CH825" s="323"/>
      <c r="CI825" s="323"/>
      <c r="CJ825" s="323"/>
      <c r="CK825" s="323"/>
      <c r="CL825" s="323"/>
      <c r="CM825" s="323"/>
      <c r="CN825" s="323"/>
      <c r="CO825" s="323"/>
      <c r="CP825" s="325"/>
      <c r="CQ825" s="323"/>
      <c r="CR825" s="323"/>
      <c r="CS825" s="323"/>
      <c r="CT825" s="323"/>
      <c r="CU825" s="323"/>
      <c r="CV825" s="323"/>
      <c r="CW825" s="323"/>
      <c r="CX825" s="323"/>
      <c r="CY825" s="323"/>
      <c r="CZ825" s="323"/>
      <c r="DA825" s="323"/>
      <c r="DB825" s="1269"/>
      <c r="DC825" s="323"/>
      <c r="DD825" s="323"/>
      <c r="DE825" s="323"/>
      <c r="DF825" s="323"/>
      <c r="DG825" s="323"/>
      <c r="DH825" s="323"/>
      <c r="DI825" s="323"/>
      <c r="DJ825" s="323"/>
      <c r="DK825" s="323"/>
      <c r="DL825" s="323"/>
      <c r="DM825" s="323"/>
      <c r="DN825" s="325"/>
      <c r="DO825" s="323"/>
      <c r="DP825" s="323"/>
      <c r="DQ825" s="323"/>
      <c r="DR825" s="323"/>
      <c r="DS825" s="323"/>
      <c r="DT825" s="323"/>
      <c r="DU825" s="323"/>
      <c r="DV825" s="323"/>
      <c r="DW825" s="323"/>
      <c r="DX825" s="323"/>
      <c r="DY825" s="323"/>
      <c r="DZ825" s="325"/>
      <c r="EA825" s="323"/>
      <c r="EB825" s="323"/>
      <c r="EC825" s="323"/>
      <c r="ED825" s="323"/>
      <c r="EE825" s="323"/>
      <c r="EF825" s="323"/>
      <c r="EG825" s="323"/>
      <c r="EH825" s="323"/>
      <c r="EI825" s="323"/>
      <c r="EJ825" s="323"/>
      <c r="EK825" s="323"/>
      <c r="EL825" s="325"/>
      <c r="EM825" s="323"/>
      <c r="EN825" s="323"/>
      <c r="EO825" s="323"/>
      <c r="EP825" s="323"/>
      <c r="EQ825" s="323"/>
      <c r="ER825" s="323"/>
      <c r="ES825" s="323"/>
      <c r="ET825" s="323"/>
      <c r="EU825" s="323"/>
      <c r="EV825" s="323"/>
      <c r="EW825" s="323"/>
      <c r="EX825" s="325"/>
      <c r="EY825" s="323"/>
      <c r="EZ825" s="323"/>
      <c r="FA825" s="323"/>
      <c r="FB825" s="323"/>
      <c r="FC825" s="323"/>
      <c r="FD825" s="323"/>
      <c r="FE825" s="323"/>
      <c r="FF825" s="323"/>
      <c r="FG825" s="323"/>
      <c r="FH825" s="323"/>
      <c r="FI825" s="323"/>
      <c r="FJ825" s="325"/>
      <c r="FK825" s="323"/>
      <c r="FL825" s="323"/>
      <c r="FM825" s="323"/>
      <c r="FN825" s="323"/>
      <c r="FO825" s="323"/>
      <c r="FP825" s="323"/>
      <c r="FQ825" s="323"/>
      <c r="FR825" s="323"/>
      <c r="FS825" s="323"/>
      <c r="FT825" s="323"/>
      <c r="FU825" s="323"/>
      <c r="FV825" s="323"/>
      <c r="FW825" s="323">
        <v>0</v>
      </c>
      <c r="FX825" s="323">
        <v>0</v>
      </c>
      <c r="FY825" s="323">
        <v>0</v>
      </c>
      <c r="FZ825" s="323">
        <v>0</v>
      </c>
      <c r="GA825" s="323">
        <v>0</v>
      </c>
      <c r="GB825" s="323">
        <v>0</v>
      </c>
      <c r="GC825" s="323">
        <v>0</v>
      </c>
      <c r="GD825" s="323">
        <v>0</v>
      </c>
      <c r="GE825" s="323">
        <v>0</v>
      </c>
      <c r="GF825" s="323">
        <v>0</v>
      </c>
      <c r="GG825" s="323">
        <v>0</v>
      </c>
      <c r="GH825" s="323">
        <v>0</v>
      </c>
      <c r="GI825" s="323">
        <v>0</v>
      </c>
      <c r="GJ825" s="323">
        <v>0</v>
      </c>
      <c r="GK825" s="323">
        <v>0</v>
      </c>
      <c r="GL825" s="323">
        <v>0</v>
      </c>
      <c r="GM825" s="323">
        <v>0</v>
      </c>
      <c r="GN825" s="323">
        <v>0</v>
      </c>
      <c r="GO825" s="323">
        <v>0</v>
      </c>
      <c r="GP825" s="323">
        <v>0</v>
      </c>
      <c r="GQ825" s="323">
        <v>0</v>
      </c>
      <c r="GR825" s="323">
        <v>0</v>
      </c>
      <c r="GS825" s="323">
        <v>0</v>
      </c>
      <c r="GT825" s="323">
        <v>0</v>
      </c>
      <c r="GU825" s="323">
        <v>0</v>
      </c>
      <c r="GV825" s="323">
        <v>0</v>
      </c>
      <c r="GW825" s="323">
        <v>0</v>
      </c>
      <c r="GX825" s="323">
        <v>0</v>
      </c>
      <c r="GY825" s="323">
        <v>0</v>
      </c>
      <c r="GZ825" s="323">
        <v>0</v>
      </c>
      <c r="HA825" s="323">
        <v>0</v>
      </c>
      <c r="HB825" s="323">
        <v>0</v>
      </c>
      <c r="HC825" s="323">
        <v>0</v>
      </c>
      <c r="HD825" s="323">
        <v>0</v>
      </c>
      <c r="HE825" s="323">
        <v>0</v>
      </c>
      <c r="HF825" s="323">
        <v>0</v>
      </c>
      <c r="HG825" s="323">
        <v>0</v>
      </c>
      <c r="HH825" s="323">
        <v>0</v>
      </c>
      <c r="HI825" s="323">
        <v>0</v>
      </c>
      <c r="HJ825" s="323">
        <v>0</v>
      </c>
      <c r="HK825" s="323">
        <v>0</v>
      </c>
      <c r="HL825" s="323">
        <v>0</v>
      </c>
      <c r="HM825" s="323">
        <v>0</v>
      </c>
      <c r="HN825" s="323">
        <v>0</v>
      </c>
      <c r="HO825" s="323">
        <v>0</v>
      </c>
      <c r="HP825" s="323">
        <v>0</v>
      </c>
      <c r="HQ825" s="323">
        <v>0</v>
      </c>
      <c r="HR825" s="323">
        <v>0</v>
      </c>
      <c r="HS825" s="323">
        <v>0</v>
      </c>
      <c r="HT825" s="323">
        <v>0</v>
      </c>
      <c r="HU825" s="323">
        <v>0</v>
      </c>
      <c r="HV825" s="323">
        <v>0</v>
      </c>
      <c r="HW825" s="323">
        <v>0</v>
      </c>
      <c r="HX825" s="323">
        <v>0</v>
      </c>
      <c r="HY825" s="323"/>
      <c r="HZ825" s="326"/>
      <c r="IA825" s="1494" t="s">
        <v>3116</v>
      </c>
      <c r="IB825" s="284"/>
      <c r="ID825" s="323"/>
      <c r="IG825" s="323"/>
      <c r="IH825" s="284"/>
      <c r="IJ825" s="323"/>
      <c r="IK825" s="327"/>
      <c r="IM825" s="323"/>
      <c r="IP825" s="323"/>
      <c r="IQ825" s="327"/>
      <c r="IR825" s="327"/>
      <c r="IS825" s="323"/>
      <c r="IT825" s="327">
        <v>0</v>
      </c>
      <c r="IU825" s="327">
        <v>0</v>
      </c>
      <c r="IV825" s="323">
        <f t="shared" si="885"/>
        <v>0</v>
      </c>
      <c r="IW825" s="327">
        <v>0</v>
      </c>
      <c r="IX825" s="327">
        <f t="shared" si="1378"/>
        <v>0</v>
      </c>
      <c r="IY825" s="323">
        <f t="shared" si="886"/>
        <v>0</v>
      </c>
      <c r="IZ825" s="327">
        <f t="shared" si="1247"/>
        <v>0</v>
      </c>
      <c r="JA825" s="327">
        <f t="shared" si="1248"/>
        <v>0</v>
      </c>
      <c r="JB825" s="323">
        <f t="shared" si="887"/>
        <v>0</v>
      </c>
      <c r="JC825" s="327">
        <f t="shared" si="1249"/>
        <v>0</v>
      </c>
      <c r="JD825" s="327">
        <f t="shared" si="1250"/>
        <v>0</v>
      </c>
      <c r="JE825" s="323">
        <f t="shared" si="888"/>
        <v>0</v>
      </c>
      <c r="JF825" s="327">
        <f>SUM(GU825:GZ825)</f>
        <v>0</v>
      </c>
      <c r="JG825" s="327">
        <f t="shared" si="1372"/>
        <v>0</v>
      </c>
      <c r="JH825" s="323">
        <f t="shared" si="1406"/>
        <v>0</v>
      </c>
      <c r="JI825" s="327">
        <f t="shared" si="909"/>
        <v>0</v>
      </c>
      <c r="JJ825" s="327">
        <f t="shared" si="1405"/>
        <v>0</v>
      </c>
      <c r="JK825" s="323">
        <f t="shared" si="1398"/>
        <v>0</v>
      </c>
      <c r="JL825" s="327">
        <f t="shared" si="1407"/>
        <v>0</v>
      </c>
      <c r="JM825" s="327">
        <f>FISC!AK98*FISC!AK259/1000</f>
        <v>0</v>
      </c>
      <c r="JN825" s="323">
        <f>FISC!AK1131</f>
        <v>0</v>
      </c>
      <c r="JO825" s="327">
        <f>FISC!AK106*FISC!AL259/1000</f>
        <v>0</v>
      </c>
      <c r="JP825" s="327">
        <f>FISC!AL98*FISC!AL259/1000</f>
        <v>0</v>
      </c>
      <c r="JQ825" s="323">
        <f>FISC!AL1131</f>
        <v>0</v>
      </c>
      <c r="JR825" s="279">
        <f>FISC!AL106*FISC!AM259/1000</f>
        <v>0</v>
      </c>
      <c r="JS825" s="279">
        <f>JT825-JR825</f>
        <v>0</v>
      </c>
      <c r="JT825" s="323">
        <f>FISC!AM1131</f>
        <v>0</v>
      </c>
      <c r="JU825" s="279">
        <f>FISC!AM106*FISC!AN259/1000</f>
        <v>0</v>
      </c>
      <c r="JV825" s="279">
        <f>JW825-JU825</f>
        <v>0</v>
      </c>
      <c r="JW825" s="323">
        <f>FISC!AN1131</f>
        <v>0</v>
      </c>
      <c r="JX825" s="279">
        <f>FISC!AN106*FISC!AO259/1000</f>
        <v>0</v>
      </c>
      <c r="JY825" s="279">
        <f>JZ825-JX825</f>
        <v>0</v>
      </c>
      <c r="JZ825" s="323">
        <f>FISC!AO1131</f>
        <v>0</v>
      </c>
      <c r="KA825" s="279">
        <f>FISC!AO106*FISC!AQ259/1000</f>
        <v>0</v>
      </c>
      <c r="KB825" s="279">
        <f>KC825-KA825</f>
        <v>0</v>
      </c>
      <c r="KC825" s="323">
        <f>FISC!AP1131</f>
        <v>0</v>
      </c>
      <c r="KD825" s="279">
        <f>FISC!AP106*FISC!AR259/1000</f>
        <v>0</v>
      </c>
      <c r="KE825" s="279">
        <f>KF825-KD825</f>
        <v>0</v>
      </c>
      <c r="KF825" s="323">
        <f>FISC!AQ1131</f>
        <v>0</v>
      </c>
      <c r="KG825" s="279">
        <f>FISC!AW106*FISC!AX259/1000</f>
        <v>0</v>
      </c>
      <c r="KH825" s="279">
        <f>KI825-KG825</f>
        <v>0</v>
      </c>
      <c r="KI825" s="323">
        <f>FISC!AR1131</f>
        <v>0</v>
      </c>
      <c r="KJ825" s="279">
        <f>FISC!AZ106*FISC!BA259/1000</f>
        <v>0</v>
      </c>
      <c r="KK825" s="279">
        <f>KL825-KJ825</f>
        <v>0</v>
      </c>
      <c r="KL825" s="323">
        <f>FISC!AS1131</f>
        <v>0</v>
      </c>
      <c r="KM825" s="279">
        <f>FISC!BC106*FISC!BD259/1000</f>
        <v>0</v>
      </c>
      <c r="KN825" s="279">
        <f>KO825-KM825</f>
        <v>0</v>
      </c>
      <c r="KO825" s="323">
        <f>FISC!AT1131</f>
        <v>0</v>
      </c>
      <c r="KU825" s="326"/>
      <c r="KV825" s="327"/>
    </row>
    <row r="826" spans="1:314">
      <c r="A826" s="279"/>
      <c r="B826" s="96" t="s">
        <v>338</v>
      </c>
      <c r="D826" s="331" t="s">
        <v>510</v>
      </c>
      <c r="E826" s="323">
        <f t="shared" ref="E826:BP826" si="1417">SUM(E827:E849)</f>
        <v>0</v>
      </c>
      <c r="F826" s="323">
        <f t="shared" si="1417"/>
        <v>0</v>
      </c>
      <c r="G826" s="323">
        <f t="shared" si="1417"/>
        <v>0</v>
      </c>
      <c r="H826" s="323">
        <f t="shared" si="1417"/>
        <v>0</v>
      </c>
      <c r="I826" s="323">
        <f t="shared" si="1417"/>
        <v>0</v>
      </c>
      <c r="J826" s="323">
        <f t="shared" si="1417"/>
        <v>0</v>
      </c>
      <c r="K826" s="323">
        <f t="shared" si="1417"/>
        <v>0</v>
      </c>
      <c r="L826" s="323">
        <f t="shared" si="1417"/>
        <v>0</v>
      </c>
      <c r="M826" s="323">
        <f t="shared" si="1417"/>
        <v>0</v>
      </c>
      <c r="N826" s="323">
        <f t="shared" si="1417"/>
        <v>0</v>
      </c>
      <c r="O826" s="323">
        <f t="shared" si="1417"/>
        <v>0</v>
      </c>
      <c r="P826" s="323">
        <f t="shared" si="1417"/>
        <v>0</v>
      </c>
      <c r="Q826" s="323">
        <f t="shared" si="1417"/>
        <v>0</v>
      </c>
      <c r="R826" s="323">
        <f t="shared" si="1417"/>
        <v>0</v>
      </c>
      <c r="S826" s="323">
        <f t="shared" si="1417"/>
        <v>0</v>
      </c>
      <c r="T826" s="323">
        <f t="shared" si="1417"/>
        <v>0</v>
      </c>
      <c r="U826" s="323">
        <f t="shared" si="1417"/>
        <v>0</v>
      </c>
      <c r="V826" s="323">
        <f t="shared" si="1417"/>
        <v>0</v>
      </c>
      <c r="W826" s="323">
        <f t="shared" si="1417"/>
        <v>0</v>
      </c>
      <c r="X826" s="323">
        <f t="shared" si="1417"/>
        <v>0</v>
      </c>
      <c r="Y826" s="323">
        <f t="shared" si="1417"/>
        <v>0</v>
      </c>
      <c r="Z826" s="323">
        <f t="shared" si="1417"/>
        <v>0</v>
      </c>
      <c r="AA826" s="323">
        <f t="shared" si="1417"/>
        <v>0</v>
      </c>
      <c r="AB826" s="323">
        <f t="shared" si="1417"/>
        <v>0</v>
      </c>
      <c r="AC826" s="323">
        <f t="shared" si="1417"/>
        <v>0</v>
      </c>
      <c r="AD826" s="323">
        <f t="shared" si="1417"/>
        <v>0</v>
      </c>
      <c r="AE826" s="323">
        <f t="shared" si="1417"/>
        <v>0</v>
      </c>
      <c r="AF826" s="323">
        <f t="shared" si="1417"/>
        <v>0</v>
      </c>
      <c r="AG826" s="323">
        <f t="shared" si="1417"/>
        <v>0</v>
      </c>
      <c r="AH826" s="323">
        <f t="shared" si="1417"/>
        <v>0</v>
      </c>
      <c r="AI826" s="323">
        <f t="shared" si="1417"/>
        <v>0</v>
      </c>
      <c r="AJ826" s="323">
        <f t="shared" si="1417"/>
        <v>0</v>
      </c>
      <c r="AK826" s="323">
        <f t="shared" si="1417"/>
        <v>0</v>
      </c>
      <c r="AL826" s="323">
        <f t="shared" si="1417"/>
        <v>0</v>
      </c>
      <c r="AM826" s="323">
        <f t="shared" si="1417"/>
        <v>0</v>
      </c>
      <c r="AN826" s="323">
        <f t="shared" si="1417"/>
        <v>0</v>
      </c>
      <c r="AO826" s="323">
        <f t="shared" si="1417"/>
        <v>0.73677144149999996</v>
      </c>
      <c r="AP826" s="323">
        <f t="shared" si="1417"/>
        <v>0.87022344689999998</v>
      </c>
      <c r="AQ826" s="323">
        <f t="shared" si="1417"/>
        <v>1.2205197695000001</v>
      </c>
      <c r="AR826" s="323">
        <f t="shared" si="1417"/>
        <v>11.218997224387699</v>
      </c>
      <c r="AS826" s="323">
        <f t="shared" si="1417"/>
        <v>1.1459010598400001</v>
      </c>
      <c r="AT826" s="323">
        <f t="shared" si="1417"/>
        <v>13.439773997560001</v>
      </c>
      <c r="AU826" s="323">
        <f t="shared" si="1417"/>
        <v>1.3793941121</v>
      </c>
      <c r="AV826" s="323">
        <f t="shared" si="1417"/>
        <v>1.3463665591</v>
      </c>
      <c r="AW826" s="323">
        <f t="shared" si="1417"/>
        <v>2.7954608421350797</v>
      </c>
      <c r="AX826" s="323">
        <f t="shared" si="1417"/>
        <v>12.463194194551081</v>
      </c>
      <c r="AY826" s="323">
        <f t="shared" si="1417"/>
        <v>2.8796825043380001</v>
      </c>
      <c r="AZ826" s="323">
        <f t="shared" si="1417"/>
        <v>12.240232727716002</v>
      </c>
      <c r="BA826" s="323">
        <f t="shared" si="1417"/>
        <v>1.6134195004136</v>
      </c>
      <c r="BB826" s="323">
        <f t="shared" si="1417"/>
        <v>1.5360832911</v>
      </c>
      <c r="BC826" s="323">
        <f t="shared" si="1417"/>
        <v>1.6732264774500001</v>
      </c>
      <c r="BD826" s="323">
        <f t="shared" si="1417"/>
        <v>14.741944910921598</v>
      </c>
      <c r="BE826" s="323">
        <f t="shared" si="1417"/>
        <v>2.0575662368063701</v>
      </c>
      <c r="BF826" s="323">
        <f t="shared" si="1417"/>
        <v>13.797079441020001</v>
      </c>
      <c r="BG826" s="323">
        <f t="shared" si="1417"/>
        <v>1.0195078205658223</v>
      </c>
      <c r="BH826" s="323">
        <f t="shared" si="1417"/>
        <v>1.0814504231915532</v>
      </c>
      <c r="BI826" s="323">
        <f t="shared" si="1417"/>
        <v>1.3832592429894861</v>
      </c>
      <c r="BJ826" s="323">
        <f t="shared" si="1417"/>
        <v>14.99119513133029</v>
      </c>
      <c r="BK826" s="323">
        <f t="shared" si="1417"/>
        <v>1.8934237770492439</v>
      </c>
      <c r="BL826" s="323">
        <f t="shared" si="1417"/>
        <v>13.954147275184809</v>
      </c>
      <c r="BM826" s="323">
        <f t="shared" si="1417"/>
        <v>1.7886043891709966</v>
      </c>
      <c r="BN826" s="323">
        <f t="shared" si="1417"/>
        <v>1.5941371205182304</v>
      </c>
      <c r="BO826" s="323">
        <f t="shared" si="1417"/>
        <v>14.094322102162641</v>
      </c>
      <c r="BP826" s="323">
        <f t="shared" si="1417"/>
        <v>1.8087952032119421</v>
      </c>
      <c r="BQ826" s="323">
        <f t="shared" ref="BQ826:CD826" si="1418">SUM(BQ827:BQ849)</f>
        <v>1.9733735562058536</v>
      </c>
      <c r="BR826" s="323">
        <f t="shared" si="1418"/>
        <v>14.585566951660402</v>
      </c>
      <c r="BS826" s="323">
        <f t="shared" si="1418"/>
        <v>5.5705372722639872</v>
      </c>
      <c r="BT826" s="323">
        <f t="shared" si="1418"/>
        <v>3.2445956032393015</v>
      </c>
      <c r="BU826" s="323">
        <f t="shared" si="1418"/>
        <v>3.1190568878314879</v>
      </c>
      <c r="BV826" s="323">
        <f t="shared" si="1418"/>
        <v>19.028217306632374</v>
      </c>
      <c r="BW826" s="323">
        <f t="shared" si="1418"/>
        <v>3.3744569585588167</v>
      </c>
      <c r="BX826" s="323">
        <f t="shared" si="1418"/>
        <v>16.720974450205173</v>
      </c>
      <c r="BY826" s="323">
        <f t="shared" si="1418"/>
        <v>4.2109300315163303</v>
      </c>
      <c r="BZ826" s="323">
        <f t="shared" si="1418"/>
        <v>4.3588513318034314</v>
      </c>
      <c r="CA826" s="323">
        <f t="shared" si="1418"/>
        <v>20.355346801990287</v>
      </c>
      <c r="CB826" s="323">
        <f t="shared" si="1418"/>
        <v>5.8428300556804622</v>
      </c>
      <c r="CC826" s="323">
        <f t="shared" si="1418"/>
        <v>7.4380672993229435</v>
      </c>
      <c r="CD826" s="329">
        <f t="shared" si="1418"/>
        <v>17.444373388980807</v>
      </c>
      <c r="CE826" s="323">
        <f>CE827+CE833+CE843+CE845+CE849</f>
        <v>3.773602833097268</v>
      </c>
      <c r="CF826" s="323">
        <f t="shared" ref="CF826:EQ826" si="1419">CF827+CF833+CF843+CF845+CF849</f>
        <v>7.8182821325727847</v>
      </c>
      <c r="CG826" s="323">
        <f t="shared" si="1419"/>
        <v>3.6104804731934399</v>
      </c>
      <c r="CH826" s="323">
        <f t="shared" si="1419"/>
        <v>28.03934679175023</v>
      </c>
      <c r="CI826" s="323">
        <f t="shared" si="1419"/>
        <v>4.8661733910247236</v>
      </c>
      <c r="CJ826" s="323">
        <f t="shared" si="1419"/>
        <v>18.075482076032799</v>
      </c>
      <c r="CK826" s="323">
        <f t="shared" si="1419"/>
        <v>3.7769396770250454</v>
      </c>
      <c r="CL826" s="323">
        <f t="shared" si="1419"/>
        <v>6.7874119777830728</v>
      </c>
      <c r="CM826" s="323">
        <f t="shared" si="1419"/>
        <v>23.460303531456216</v>
      </c>
      <c r="CN826" s="323">
        <f t="shared" si="1419"/>
        <v>4.2418208646173605</v>
      </c>
      <c r="CO826" s="323">
        <f t="shared" si="1419"/>
        <v>5.9256209439995917</v>
      </c>
      <c r="CP826" s="325">
        <f t="shared" si="1419"/>
        <v>26.10459214491987</v>
      </c>
      <c r="CQ826" s="323">
        <f t="shared" si="1419"/>
        <v>3.3418364696999996</v>
      </c>
      <c r="CR826" s="323">
        <f t="shared" si="1419"/>
        <v>6.5449263030962497</v>
      </c>
      <c r="CS826" s="323">
        <f t="shared" si="1419"/>
        <v>7.5501068364899995</v>
      </c>
      <c r="CT826" s="323">
        <f t="shared" si="1419"/>
        <v>16.261565968536868</v>
      </c>
      <c r="CU826" s="323">
        <f t="shared" si="1419"/>
        <v>4.6290882605947905</v>
      </c>
      <c r="CV826" s="323">
        <f t="shared" si="1419"/>
        <v>21.655439408825746</v>
      </c>
      <c r="CW826" s="323">
        <f t="shared" si="1419"/>
        <v>6.7834283947911951</v>
      </c>
      <c r="CX826" s="323">
        <f t="shared" si="1419"/>
        <v>4.1981558905599998</v>
      </c>
      <c r="CY826" s="323">
        <f t="shared" si="1419"/>
        <v>43.364985725967856</v>
      </c>
      <c r="CZ826" s="323">
        <f t="shared" si="1419"/>
        <v>23.622884144488452</v>
      </c>
      <c r="DA826" s="323">
        <f t="shared" si="1419"/>
        <v>7.0054394432192941</v>
      </c>
      <c r="DB826" s="1269">
        <f t="shared" si="1419"/>
        <v>27.583656393924237</v>
      </c>
      <c r="DC826" s="323">
        <f t="shared" si="1419"/>
        <v>3.2357062895308539</v>
      </c>
      <c r="DD826" s="323">
        <f t="shared" si="1419"/>
        <v>2.2745306210000003</v>
      </c>
      <c r="DE826" s="323">
        <f t="shared" si="1419"/>
        <v>13.538169391189323</v>
      </c>
      <c r="DF826" s="323">
        <f t="shared" si="1419"/>
        <v>25.970255474577556</v>
      </c>
      <c r="DG826" s="323">
        <f t="shared" si="1419"/>
        <v>2.9217145880000004</v>
      </c>
      <c r="DH826" s="323">
        <f t="shared" si="1419"/>
        <v>28.899659217306308</v>
      </c>
      <c r="DI826" s="323">
        <f t="shared" si="1419"/>
        <v>4.8783868162208952</v>
      </c>
      <c r="DJ826" s="323">
        <f t="shared" si="1419"/>
        <v>5.1171349970333324</v>
      </c>
      <c r="DK826" s="323">
        <f t="shared" si="1419"/>
        <v>39.458440578257921</v>
      </c>
      <c r="DL826" s="323">
        <f t="shared" si="1419"/>
        <v>5.5982327768414768</v>
      </c>
      <c r="DM826" s="323">
        <f t="shared" si="1419"/>
        <v>5.6733429452304431</v>
      </c>
      <c r="DN826" s="325">
        <f t="shared" si="1419"/>
        <v>30.030674571258462</v>
      </c>
      <c r="DO826" s="323">
        <f t="shared" si="1419"/>
        <v>5.864405474916901</v>
      </c>
      <c r="DP826" s="323">
        <f t="shared" si="1419"/>
        <v>6.8378481926238717</v>
      </c>
      <c r="DQ826" s="323">
        <f t="shared" si="1419"/>
        <v>37.116546520512699</v>
      </c>
      <c r="DR826" s="323">
        <f t="shared" si="1419"/>
        <v>12.081748573901143</v>
      </c>
      <c r="DS826" s="323">
        <f t="shared" si="1419"/>
        <v>7.3360024290356769</v>
      </c>
      <c r="DT826" s="323">
        <f t="shared" si="1419"/>
        <v>43.014089080394044</v>
      </c>
      <c r="DU826" s="323">
        <f t="shared" si="1419"/>
        <v>8.1547782268997402</v>
      </c>
      <c r="DV826" s="323">
        <f t="shared" si="1419"/>
        <v>7.0820522524339884</v>
      </c>
      <c r="DW826" s="323">
        <f t="shared" si="1419"/>
        <v>40.098563240539136</v>
      </c>
      <c r="DX826" s="323">
        <f t="shared" si="1419"/>
        <v>8.3576268002064005</v>
      </c>
      <c r="DY826" s="323">
        <f t="shared" si="1419"/>
        <v>9.8554637964104632</v>
      </c>
      <c r="DZ826" s="325">
        <f t="shared" si="1419"/>
        <v>47.360164741347774</v>
      </c>
      <c r="EA826" s="323">
        <f t="shared" si="1419"/>
        <v>7.2527547036434381</v>
      </c>
      <c r="EB826" s="323">
        <f t="shared" si="1419"/>
        <v>6.5318750234620744</v>
      </c>
      <c r="EC826" s="323">
        <f t="shared" si="1419"/>
        <v>26.858247887388359</v>
      </c>
      <c r="ED826" s="323">
        <f t="shared" si="1419"/>
        <v>28.721351107820574</v>
      </c>
      <c r="EE826" s="323">
        <f t="shared" si="1419"/>
        <v>8.5077782517982019</v>
      </c>
      <c r="EF826" s="323">
        <f t="shared" si="1419"/>
        <v>53.531702429578104</v>
      </c>
      <c r="EG826" s="323">
        <f t="shared" si="1419"/>
        <v>11.12780800442701</v>
      </c>
      <c r="EH826" s="323">
        <f t="shared" si="1419"/>
        <v>7.7831734905389149</v>
      </c>
      <c r="EI826" s="323">
        <f t="shared" si="1419"/>
        <v>23.500836516834458</v>
      </c>
      <c r="EJ826" s="323">
        <f t="shared" si="1419"/>
        <v>36.536083130647825</v>
      </c>
      <c r="EK826" s="323">
        <f t="shared" si="1419"/>
        <v>17.833473760482146</v>
      </c>
      <c r="EL826" s="325">
        <f t="shared" si="1419"/>
        <v>34.345229155187425</v>
      </c>
      <c r="EM826" s="323">
        <f t="shared" si="1419"/>
        <v>7.4888774369999993</v>
      </c>
      <c r="EN826" s="323">
        <f t="shared" si="1419"/>
        <v>40.843009521381404</v>
      </c>
      <c r="EO826" s="323">
        <f t="shared" si="1419"/>
        <v>46.785923167361609</v>
      </c>
      <c r="EP826" s="323">
        <f t="shared" si="1419"/>
        <v>18.55738308921201</v>
      </c>
      <c r="EQ826" s="323">
        <f t="shared" si="1419"/>
        <v>9.6110066193090482</v>
      </c>
      <c r="ER826" s="323">
        <f t="shared" ref="ER826:FP826" si="1420">ER827+ER833+ER843+ER845+ER849</f>
        <v>35.266688025447394</v>
      </c>
      <c r="ES826" s="323">
        <f t="shared" si="1420"/>
        <v>10.346748043999991</v>
      </c>
      <c r="ET826" s="323">
        <f t="shared" si="1420"/>
        <v>5.8391709211</v>
      </c>
      <c r="EU826" s="323">
        <f t="shared" si="1420"/>
        <v>43.662565787999995</v>
      </c>
      <c r="EV826" s="323">
        <f t="shared" si="1420"/>
        <v>16.099511322836889</v>
      </c>
      <c r="EW826" s="323">
        <f t="shared" si="1420"/>
        <v>7.045610838</v>
      </c>
      <c r="EX826" s="325">
        <f t="shared" si="1420"/>
        <v>26.208560388999999</v>
      </c>
      <c r="EY826" s="323">
        <f t="shared" si="1420"/>
        <v>9.1750337620104041</v>
      </c>
      <c r="EZ826" s="323">
        <f t="shared" si="1420"/>
        <v>21.679448522001998</v>
      </c>
      <c r="FA826" s="323">
        <f t="shared" si="1420"/>
        <v>48.108473449067887</v>
      </c>
      <c r="FB826" s="323">
        <f t="shared" si="1420"/>
        <v>41.303309647297183</v>
      </c>
      <c r="FC826" s="323">
        <f t="shared" si="1420"/>
        <v>11.81657427103638</v>
      </c>
      <c r="FD826" s="323">
        <f t="shared" si="1420"/>
        <v>41.641741794899325</v>
      </c>
      <c r="FE826" s="323">
        <f t="shared" si="1420"/>
        <v>14.735024890960016</v>
      </c>
      <c r="FF826" s="323">
        <f t="shared" si="1420"/>
        <v>9.3852508562531689</v>
      </c>
      <c r="FG826" s="323">
        <f t="shared" si="1420"/>
        <v>12.538681632529986</v>
      </c>
      <c r="FH826" s="323">
        <f t="shared" si="1420"/>
        <v>18.712704155814109</v>
      </c>
      <c r="FI826" s="323">
        <f t="shared" si="1420"/>
        <v>37.976299437211026</v>
      </c>
      <c r="FJ826" s="325">
        <f t="shared" si="1420"/>
        <v>12.722002488007465</v>
      </c>
      <c r="FK826" s="323">
        <f t="shared" si="1420"/>
        <v>8.0981259595561923</v>
      </c>
      <c r="FL826" s="323">
        <f t="shared" si="1420"/>
        <v>8.6108858428315358</v>
      </c>
      <c r="FM826" s="323">
        <f t="shared" si="1420"/>
        <v>86.909853386565914</v>
      </c>
      <c r="FN826" s="323">
        <f t="shared" si="1420"/>
        <v>27.54278671824477</v>
      </c>
      <c r="FO826" s="323">
        <f t="shared" si="1420"/>
        <v>11.169055637366844</v>
      </c>
      <c r="FP826" s="323">
        <f t="shared" si="1420"/>
        <v>67.230759273435282</v>
      </c>
      <c r="FQ826" s="323">
        <f t="shared" ref="FQ826:FV826" si="1421">FQ827+FQ833+FQ843+FQ845+FQ849</f>
        <v>10.174064402360132</v>
      </c>
      <c r="FR826" s="323">
        <f t="shared" si="1421"/>
        <v>9.5004950430328599</v>
      </c>
      <c r="FS826" s="323">
        <f t="shared" si="1421"/>
        <v>16.75108791575078</v>
      </c>
      <c r="FT826" s="323">
        <f t="shared" si="1421"/>
        <v>77.567366338390585</v>
      </c>
      <c r="FU826" s="323">
        <f t="shared" si="1421"/>
        <v>9.7849742606808618</v>
      </c>
      <c r="FV826" s="323">
        <f t="shared" si="1421"/>
        <v>52.07429201195486</v>
      </c>
      <c r="FW826" s="323">
        <v>8.3976877939031542</v>
      </c>
      <c r="FX826" s="323">
        <v>8.441170142468966</v>
      </c>
      <c r="FY826" s="323">
        <v>65.554970758750216</v>
      </c>
      <c r="FZ826" s="323">
        <v>27.739173847568807</v>
      </c>
      <c r="GA826" s="323">
        <v>57.842734102384561</v>
      </c>
      <c r="GB826" s="323">
        <v>30.421683713950962</v>
      </c>
      <c r="GC826" s="323">
        <f>15.110415030852+GC845</f>
        <v>26.179737693851997</v>
      </c>
      <c r="GD826" s="323">
        <v>46.384958962221042</v>
      </c>
      <c r="GE826" s="323">
        <v>23.136475927755605</v>
      </c>
      <c r="GF826" s="323">
        <v>29.472443897830001</v>
      </c>
      <c r="GG826" s="323">
        <v>10.466326267348695</v>
      </c>
      <c r="GH826" s="323">
        <v>67.187691652926262</v>
      </c>
      <c r="GI826" s="323">
        <f t="shared" ref="GI826:HR826" si="1422">GI827+GI833+GI843+GI845+GI849</f>
        <v>12.590526003191858</v>
      </c>
      <c r="GJ826" s="323">
        <f t="shared" si="1422"/>
        <v>12.681057377886301</v>
      </c>
      <c r="GK826" s="323">
        <f t="shared" si="1422"/>
        <v>60.163454116096645</v>
      </c>
      <c r="GL826" s="323">
        <f t="shared" si="1422"/>
        <v>16.959811841347207</v>
      </c>
      <c r="GM826" s="323">
        <f t="shared" si="1422"/>
        <v>16.763726175850447</v>
      </c>
      <c r="GN826" s="323">
        <f t="shared" si="1422"/>
        <v>67.799362869309789</v>
      </c>
      <c r="GO826" s="323">
        <f t="shared" si="1422"/>
        <v>19.205895338818436</v>
      </c>
      <c r="GP826" s="323">
        <f t="shared" si="1422"/>
        <v>16.130838637606274</v>
      </c>
      <c r="GQ826" s="323">
        <f t="shared" si="1422"/>
        <v>66.680814890480107</v>
      </c>
      <c r="GR826" s="323">
        <f t="shared" si="1422"/>
        <v>14.950413646296663</v>
      </c>
      <c r="GS826" s="323">
        <f t="shared" si="1422"/>
        <v>15.664574994576665</v>
      </c>
      <c r="GT826" s="323">
        <f t="shared" si="1422"/>
        <v>81.297665007185543</v>
      </c>
      <c r="GU826" s="323">
        <f t="shared" si="1422"/>
        <v>13.214011885146572</v>
      </c>
      <c r="GV826" s="323">
        <f t="shared" si="1422"/>
        <v>20.395870754432522</v>
      </c>
      <c r="GW826" s="323">
        <f t="shared" si="1422"/>
        <v>107.41433448584093</v>
      </c>
      <c r="GX826" s="323">
        <f t="shared" si="1422"/>
        <v>11.89728118817</v>
      </c>
      <c r="GY826" s="323">
        <f t="shared" si="1422"/>
        <v>13.508316846430001</v>
      </c>
      <c r="GZ826" s="323">
        <f t="shared" si="1422"/>
        <v>94.380821347131615</v>
      </c>
      <c r="HA826" s="323">
        <f t="shared" si="1422"/>
        <v>12.45620571672</v>
      </c>
      <c r="HB826" s="323">
        <f t="shared" si="1422"/>
        <v>19.448969497499679</v>
      </c>
      <c r="HC826" s="323">
        <f t="shared" si="1422"/>
        <v>51.51885271804791</v>
      </c>
      <c r="HD826" s="323">
        <f t="shared" si="1422"/>
        <v>47.103255782953894</v>
      </c>
      <c r="HE826" s="323">
        <f t="shared" si="1422"/>
        <v>25.458474736392294</v>
      </c>
      <c r="HF826" s="323">
        <f t="shared" si="1422"/>
        <v>43.219032775318965</v>
      </c>
      <c r="HG826" s="323">
        <f t="shared" si="1422"/>
        <v>90.1972454928259</v>
      </c>
      <c r="HH826" s="323">
        <f t="shared" si="1422"/>
        <v>12.518775859883274</v>
      </c>
      <c r="HI826" s="323">
        <f t="shared" si="1422"/>
        <v>92.218142853502783</v>
      </c>
      <c r="HJ826" s="323">
        <f t="shared" si="1422"/>
        <v>12.835025668899998</v>
      </c>
      <c r="HK826" s="323">
        <f t="shared" si="1422"/>
        <v>11.105474968279999</v>
      </c>
      <c r="HL826" s="323">
        <f t="shared" si="1422"/>
        <v>91.817074683663208</v>
      </c>
      <c r="HM826" s="323">
        <f t="shared" si="1422"/>
        <v>12.422606634919996</v>
      </c>
      <c r="HN826" s="323">
        <f t="shared" si="1422"/>
        <v>10.193767693647999</v>
      </c>
      <c r="HO826" s="323">
        <f t="shared" si="1422"/>
        <v>32.916530137071994</v>
      </c>
      <c r="HP826" s="323">
        <f t="shared" si="1422"/>
        <v>44.874752952619993</v>
      </c>
      <c r="HQ826" s="323">
        <f t="shared" si="1422"/>
        <v>14.733242366460015</v>
      </c>
      <c r="HR826" s="323">
        <f t="shared" si="1422"/>
        <v>68.479405993251063</v>
      </c>
      <c r="HS826" s="323">
        <f t="shared" ref="HS826:HX826" si="1423">HS827+HS833+HS843+HS845+HS849</f>
        <v>12.716272012819999</v>
      </c>
      <c r="HT826" s="323">
        <f t="shared" si="1423"/>
        <v>25.733604096315005</v>
      </c>
      <c r="HU826" s="323">
        <f t="shared" si="1423"/>
        <v>103.21500648156081</v>
      </c>
      <c r="HV826" s="323">
        <f t="shared" si="1423"/>
        <v>13.080965366119997</v>
      </c>
      <c r="HW826" s="323">
        <f t="shared" si="1423"/>
        <v>12.00300772711001</v>
      </c>
      <c r="HX826" s="323">
        <f t="shared" si="1423"/>
        <v>54.296608855710005</v>
      </c>
      <c r="HY826" s="323"/>
      <c r="HZ826" s="326"/>
      <c r="IA826" s="331" t="s">
        <v>510</v>
      </c>
      <c r="IB826" s="284">
        <f t="shared" ref="IB826:IB835" si="1424">SUM(CE826:CJ826)</f>
        <v>66.183367697671244</v>
      </c>
      <c r="IC826" s="279">
        <f t="shared" ref="IC826:IC835" si="1425">SUM(CK826:CP826)</f>
        <v>70.296689139801146</v>
      </c>
      <c r="ID826" s="323">
        <f t="shared" si="907"/>
        <v>136.48005683747238</v>
      </c>
      <c r="IE826" s="279">
        <f t="shared" ref="IE826:IE835" si="1426">SUM(CQ826:CV826)</f>
        <v>59.98296324724366</v>
      </c>
      <c r="IF826" s="279">
        <f t="shared" ref="IF826:IF835" si="1427">SUM(CW826:DB826)</f>
        <v>112.55854999295104</v>
      </c>
      <c r="IG826" s="323">
        <f t="shared" si="880"/>
        <v>172.54151324019472</v>
      </c>
      <c r="IH826" s="284">
        <f t="shared" ref="IH826:IH835" si="1428">SUM(DC826:DH826)</f>
        <v>76.840035581604042</v>
      </c>
      <c r="II826" s="279">
        <f t="shared" ref="II826:II835" si="1429">SUM(DI826:DN826)</f>
        <v>90.756212684842538</v>
      </c>
      <c r="IJ826" s="323">
        <f t="shared" si="881"/>
        <v>167.59624826644659</v>
      </c>
      <c r="IK826" s="327">
        <f t="shared" ref="IK826:IK835" si="1430">SUM(DO826:DT826)</f>
        <v>112.25064027138434</v>
      </c>
      <c r="IL826" s="279">
        <f t="shared" ref="IL826:IL835" si="1431">SUM(DU826:DZ826)</f>
        <v>120.90864905783751</v>
      </c>
      <c r="IM826" s="323">
        <f t="shared" si="882"/>
        <v>233.15928932922185</v>
      </c>
      <c r="IN826" s="279">
        <f t="shared" ref="IN826:IN835" si="1432">SUM(EA826:EF826)</f>
        <v>131.40370940369075</v>
      </c>
      <c r="IO826" s="279">
        <f t="shared" ref="IO826:IO835" si="1433">SUM(EG826:EL826)</f>
        <v>131.12660405811778</v>
      </c>
      <c r="IP826" s="323">
        <f t="shared" si="883"/>
        <v>262.53031346180853</v>
      </c>
      <c r="IQ826" s="327">
        <f t="shared" ref="IQ826:IQ835" si="1434">SUM(EM826:ER826)</f>
        <v>158.55288785971146</v>
      </c>
      <c r="IR826" s="327">
        <f t="shared" ref="IR826:IR835" si="1435">SUM(ES826:EX826)</f>
        <v>109.20216730293687</v>
      </c>
      <c r="IS826" s="323">
        <f t="shared" si="884"/>
        <v>267.75505516264832</v>
      </c>
      <c r="IT826" s="327">
        <f t="shared" ref="IT826:IT835" si="1436">SUM(EY826:FD826)</f>
        <v>173.72458144631318</v>
      </c>
      <c r="IU826" s="327">
        <f t="shared" ref="IU826:IU835" si="1437">SUM(FE826:FJ826)</f>
        <v>106.06996346077577</v>
      </c>
      <c r="IV826" s="323">
        <f t="shared" si="885"/>
        <v>279.79454490708895</v>
      </c>
      <c r="IW826" s="327">
        <f t="shared" ref="IW826:IW835" si="1438">SUM(FK826:FP826)</f>
        <v>209.56146681800055</v>
      </c>
      <c r="IX826" s="327">
        <f t="shared" si="1378"/>
        <v>175.85227997217009</v>
      </c>
      <c r="IY826" s="323">
        <f t="shared" si="886"/>
        <v>385.41374679017065</v>
      </c>
      <c r="IZ826" s="327">
        <f t="shared" ref="IZ826:IZ863" si="1439">SUM(FW826:GB826)</f>
        <v>198.39742035902665</v>
      </c>
      <c r="JA826" s="327">
        <f t="shared" ref="JA826:JA863" si="1440">SUM(GC826:GH826)</f>
        <v>202.82763440193361</v>
      </c>
      <c r="JB826" s="323">
        <f t="shared" si="887"/>
        <v>401.22505476096023</v>
      </c>
      <c r="JC826" s="327">
        <f t="shared" ref="JC826:JC859" si="1441">SUM(GI826:GN826)</f>
        <v>186.95793838368223</v>
      </c>
      <c r="JD826" s="327">
        <f t="shared" ref="JD826:JD859" si="1442">SUM(GO826:GT826)</f>
        <v>213.9302025149637</v>
      </c>
      <c r="JE826" s="323">
        <f t="shared" si="888"/>
        <v>400.88814089864593</v>
      </c>
      <c r="JF826" s="327">
        <f>JF827+JF833+JF843+JF845+JF849</f>
        <v>260.81063650715168</v>
      </c>
      <c r="JG826" s="327">
        <f>JG827+JG833+JG843+JG845+JG849</f>
        <v>199.20479122693277</v>
      </c>
      <c r="JH826" s="323">
        <f t="shared" si="1406"/>
        <v>460.01542773408448</v>
      </c>
      <c r="JI826" s="327">
        <f t="shared" si="909"/>
        <v>310.69173952705512</v>
      </c>
      <c r="JJ826" s="327">
        <f t="shared" si="1405"/>
        <v>183.62030577797105</v>
      </c>
      <c r="JK826" s="323">
        <f t="shared" si="1398"/>
        <v>494.31204530502617</v>
      </c>
      <c r="JL826" s="327">
        <f t="shared" si="1407"/>
        <v>221.04546453963582</v>
      </c>
      <c r="JM826" s="279">
        <f t="shared" si="892"/>
        <v>332.83853698524371</v>
      </c>
      <c r="JN826" s="323">
        <f>FISC!AK1132</f>
        <v>553.88400152487952</v>
      </c>
      <c r="JO826" s="327">
        <f>JO827+JO833+JO843+JO845+JO849</f>
        <v>306.89064868253172</v>
      </c>
      <c r="JP826" s="279">
        <f t="shared" ref="JP826:JP839" si="1443">JQ826-JO826</f>
        <v>306.89064868253172</v>
      </c>
      <c r="JQ826" s="323">
        <f>FISC!AL1132</f>
        <v>613.78129736506344</v>
      </c>
      <c r="JR826" s="327">
        <f>JR827+JR833+JR843+JR845+JR849</f>
        <v>345.32736315431532</v>
      </c>
      <c r="JS826" s="279">
        <f t="shared" ref="JS826:JS839" si="1444">JT826-JR826</f>
        <v>345.32736315431532</v>
      </c>
      <c r="JT826" s="323">
        <f>FISC!AM1132</f>
        <v>690.65472630863064</v>
      </c>
      <c r="JU826" s="327">
        <f>JU827+JU833+JU843+JU845+JU849</f>
        <v>382.19348331554403</v>
      </c>
      <c r="JV826" s="279">
        <f t="shared" ref="JV826:JV839" si="1445">JW826-JU826</f>
        <v>382.19348331554403</v>
      </c>
      <c r="JW826" s="323">
        <f>FISC!AN1132</f>
        <v>764.38696663108806</v>
      </c>
      <c r="JX826" s="327">
        <f>JX827+JX833+JX843+JX845+JX849</f>
        <v>440.27809258605254</v>
      </c>
      <c r="JY826" s="279">
        <f t="shared" ref="JY826:JY839" si="1446">JZ826-JX826</f>
        <v>440.27809258605254</v>
      </c>
      <c r="JZ826" s="323">
        <f>FISC!AO1132</f>
        <v>880.55618517210507</v>
      </c>
      <c r="KA826" s="327">
        <f>KA827+KA833+KA843+KA845+KA849</f>
        <v>491.65402230395955</v>
      </c>
      <c r="KB826" s="279">
        <f t="shared" ref="KB826:KB839" si="1447">KC826-KA826</f>
        <v>491.65402230395955</v>
      </c>
      <c r="KC826" s="323">
        <f>FISC!AP1132</f>
        <v>983.3080446079191</v>
      </c>
      <c r="KD826" s="327">
        <f>KD827+KD833+KD843+KD845+KD849</f>
        <v>528.78798418610654</v>
      </c>
      <c r="KE826" s="279">
        <f t="shared" ref="KE826:KE839" si="1448">KF826-KD826</f>
        <v>528.78798418610654</v>
      </c>
      <c r="KF826" s="323">
        <f>FISC!AQ1132</f>
        <v>1057.5759683722131</v>
      </c>
      <c r="KG826" s="327">
        <f>KG827+KG833+KG843+KG845+KG849</f>
        <v>585.25846243494095</v>
      </c>
      <c r="KH826" s="279">
        <f t="shared" ref="KH826:KH839" si="1449">KI826-KG826</f>
        <v>585.25846243494095</v>
      </c>
      <c r="KI826" s="323">
        <f>FISC!AR1132</f>
        <v>1170.5169248698819</v>
      </c>
      <c r="KJ826" s="327">
        <f>KJ827+KJ833+KJ843+KJ845+KJ849</f>
        <v>647.83824479186922</v>
      </c>
      <c r="KK826" s="279">
        <f t="shared" ref="KK826:KK839" si="1450">KL826-KJ826</f>
        <v>647.83824479186922</v>
      </c>
      <c r="KL826" s="323">
        <f>FISC!AS1132</f>
        <v>1295.6764895837384</v>
      </c>
      <c r="KM826" s="327">
        <f>KM827+KM833+KM843+KM845+KM849</f>
        <v>909.30826953876021</v>
      </c>
      <c r="KN826" s="279">
        <f t="shared" ref="KN826:KN839" si="1451">KO826-KM826</f>
        <v>909.30826953876021</v>
      </c>
      <c r="KO826" s="323">
        <f>FISC!AT1132</f>
        <v>1818.6165390775204</v>
      </c>
      <c r="KU826" s="326"/>
      <c r="KV826" s="327"/>
      <c r="KY826" s="279">
        <f>SUM(KY827:KY849)</f>
        <v>0</v>
      </c>
      <c r="KZ826" s="279">
        <f>SUM(KZ827:KZ849)</f>
        <v>0</v>
      </c>
      <c r="LA826" s="279">
        <f>SUM(LA827:LA849)</f>
        <v>0</v>
      </c>
      <c r="LB826" s="279">
        <f>SUM(LB827:LB849)</f>
        <v>0</v>
      </c>
    </row>
    <row r="827" spans="1:314">
      <c r="A827" s="279"/>
      <c r="B827" s="96" t="s">
        <v>338</v>
      </c>
      <c r="D827" s="332" t="s">
        <v>511</v>
      </c>
      <c r="E827" s="323"/>
      <c r="F827" s="323"/>
      <c r="G827" s="323"/>
      <c r="H827" s="323"/>
      <c r="I827" s="323"/>
      <c r="J827" s="323"/>
      <c r="K827" s="323"/>
      <c r="L827" s="323"/>
      <c r="M827" s="323"/>
      <c r="N827" s="323"/>
      <c r="O827" s="323"/>
      <c r="P827" s="323"/>
      <c r="Q827" s="323"/>
      <c r="R827" s="323"/>
      <c r="S827" s="323"/>
      <c r="T827" s="323"/>
      <c r="U827" s="323"/>
      <c r="V827" s="323"/>
      <c r="W827" s="323"/>
      <c r="X827" s="323"/>
      <c r="Y827" s="323"/>
      <c r="Z827" s="323"/>
      <c r="AA827" s="323"/>
      <c r="AB827" s="323"/>
      <c r="AC827" s="323"/>
      <c r="AD827" s="323"/>
      <c r="AE827" s="323"/>
      <c r="AF827" s="323"/>
      <c r="AG827" s="323"/>
      <c r="AH827" s="323"/>
      <c r="AI827" s="323"/>
      <c r="AJ827" s="323"/>
      <c r="AK827" s="323"/>
      <c r="AL827" s="323"/>
      <c r="AM827" s="323"/>
      <c r="AN827" s="323"/>
      <c r="AO827" s="323">
        <v>0.154215399</v>
      </c>
      <c r="AP827" s="323">
        <v>0.165675132</v>
      </c>
      <c r="AQ827" s="323">
        <v>0.21644575699999999</v>
      </c>
      <c r="AR827" s="323">
        <v>9.7416033999999999E-2</v>
      </c>
      <c r="AS827" s="323">
        <v>0.13680968800000001</v>
      </c>
      <c r="AT827" s="323">
        <v>0.22409047600000001</v>
      </c>
      <c r="AU827" s="323">
        <v>0.310831835</v>
      </c>
      <c r="AV827" s="323">
        <v>0.20387734599999999</v>
      </c>
      <c r="AW827" s="323">
        <v>0.24274651899999999</v>
      </c>
      <c r="AX827" s="323">
        <v>0.158897132</v>
      </c>
      <c r="AY827" s="323">
        <v>0.14530776400000001</v>
      </c>
      <c r="AZ827" s="323">
        <v>0.14586431399999999</v>
      </c>
      <c r="BA827" s="323">
        <v>0.112464122</v>
      </c>
      <c r="BB827" s="323">
        <v>6.1370329000000001E-2</v>
      </c>
      <c r="BC827" s="323">
        <v>0.24344016099999999</v>
      </c>
      <c r="BD827" s="323">
        <v>6.6406132000000007E-2</v>
      </c>
      <c r="BE827" s="323">
        <v>0.121485233</v>
      </c>
      <c r="BF827" s="323">
        <v>0.29459816999999999</v>
      </c>
      <c r="BG827" s="323">
        <v>0.14374276499999999</v>
      </c>
      <c r="BH827" s="323">
        <v>5.0412472999999999E-2</v>
      </c>
      <c r="BI827" s="323">
        <v>0.119531479</v>
      </c>
      <c r="BJ827" s="323">
        <v>0.117182773</v>
      </c>
      <c r="BK827" s="323">
        <v>0.139319886</v>
      </c>
      <c r="BL827" s="323">
        <v>9.3819033999999996E-2</v>
      </c>
      <c r="BM827" s="323">
        <v>0.16605524699999999</v>
      </c>
      <c r="BN827" s="323">
        <v>0.13190608500000001</v>
      </c>
      <c r="BO827" s="323">
        <v>0.124383143</v>
      </c>
      <c r="BP827" s="323">
        <v>6.7974710999999993E-2</v>
      </c>
      <c r="BQ827" s="323">
        <v>5.0037067999999997E-2</v>
      </c>
      <c r="BR827" s="323">
        <v>7.2376399999999994E-2</v>
      </c>
      <c r="BS827" s="323">
        <v>0.52325078800000002</v>
      </c>
      <c r="BT827" s="323">
        <v>0.61815566199999994</v>
      </c>
      <c r="BU827" s="323">
        <v>0.26931280199999996</v>
      </c>
      <c r="BV827" s="323">
        <v>0.146253455</v>
      </c>
      <c r="BW827" s="323">
        <v>0.39017576100000001</v>
      </c>
      <c r="BX827" s="323">
        <v>0.31805466799999998</v>
      </c>
      <c r="BY827" s="323">
        <v>0.23199751899999999</v>
      </c>
      <c r="BZ827" s="323">
        <v>1.241697906</v>
      </c>
      <c r="CA827" s="323">
        <v>0.40994502399999999</v>
      </c>
      <c r="CB827" s="323">
        <v>0.92393205700000003</v>
      </c>
      <c r="CC827" s="323">
        <v>1.3329878239999999</v>
      </c>
      <c r="CD827" s="329">
        <v>8.6959473999999995E-2</v>
      </c>
      <c r="CE827" s="323">
        <f t="shared" ref="CE827:DJ827" si="1452">CE422</f>
        <v>0.42411765699999998</v>
      </c>
      <c r="CF827" s="323">
        <f t="shared" si="1452"/>
        <v>2.5073829549999997</v>
      </c>
      <c r="CG827" s="323">
        <f t="shared" si="1452"/>
        <v>0.49407995200000004</v>
      </c>
      <c r="CH827" s="323">
        <f t="shared" si="1452"/>
        <v>0.39170781799999999</v>
      </c>
      <c r="CI827" s="323">
        <f t="shared" si="1452"/>
        <v>0.53165609300000005</v>
      </c>
      <c r="CJ827" s="323">
        <f t="shared" si="1452"/>
        <v>0.34950223200000002</v>
      </c>
      <c r="CK827" s="323">
        <f t="shared" si="1452"/>
        <v>0.273336464</v>
      </c>
      <c r="CL827" s="323">
        <f t="shared" si="1452"/>
        <v>0.37588870600000002</v>
      </c>
      <c r="CM827" s="323">
        <f t="shared" si="1452"/>
        <v>0.27494637999999999</v>
      </c>
      <c r="CN827" s="323">
        <f t="shared" si="1452"/>
        <v>0.50402692500000001</v>
      </c>
      <c r="CO827" s="323">
        <f t="shared" si="1452"/>
        <v>0.42779299499999995</v>
      </c>
      <c r="CP827" s="325">
        <f t="shared" si="1452"/>
        <v>0.20996990900000001</v>
      </c>
      <c r="CQ827" s="323">
        <f t="shared" si="1452"/>
        <v>0.25210226200000002</v>
      </c>
      <c r="CR827" s="323">
        <f t="shared" si="1452"/>
        <v>2.6261131999999998</v>
      </c>
      <c r="CS827" s="323">
        <f t="shared" si="1452"/>
        <v>1.899018369</v>
      </c>
      <c r="CT827" s="323">
        <f t="shared" si="1452"/>
        <v>0.22562015299999999</v>
      </c>
      <c r="CU827" s="323">
        <f t="shared" si="1452"/>
        <v>0.19519945999999999</v>
      </c>
      <c r="CV827" s="323">
        <f t="shared" si="1452"/>
        <v>5.6464017999999998E-2</v>
      </c>
      <c r="CW827" s="323">
        <f t="shared" si="1452"/>
        <v>0.109400867</v>
      </c>
      <c r="CX827" s="323">
        <f t="shared" si="1452"/>
        <v>0.17085389600000001</v>
      </c>
      <c r="CY827" s="323">
        <f t="shared" si="1452"/>
        <v>0.201691177</v>
      </c>
      <c r="CZ827" s="323">
        <f t="shared" si="1452"/>
        <v>0.348341079</v>
      </c>
      <c r="DA827" s="323">
        <f t="shared" si="1452"/>
        <v>0.25666332400000003</v>
      </c>
      <c r="DB827" s="1269">
        <f t="shared" si="1452"/>
        <v>3.3604609779999999</v>
      </c>
      <c r="DC827" s="323">
        <f t="shared" si="1452"/>
        <v>0</v>
      </c>
      <c r="DD827" s="323">
        <f t="shared" si="1452"/>
        <v>0</v>
      </c>
      <c r="DE827" s="323">
        <f t="shared" si="1452"/>
        <v>0.311</v>
      </c>
      <c r="DF827" s="323">
        <f t="shared" si="1452"/>
        <v>8.0000000000000002E-3</v>
      </c>
      <c r="DG827" s="323">
        <f t="shared" si="1452"/>
        <v>0</v>
      </c>
      <c r="DH827" s="323">
        <f t="shared" si="1452"/>
        <v>0.15</v>
      </c>
      <c r="DI827" s="323">
        <f t="shared" si="1452"/>
        <v>0</v>
      </c>
      <c r="DJ827" s="323">
        <f t="shared" si="1452"/>
        <v>4.0000000000000001E-3</v>
      </c>
      <c r="DK827" s="323">
        <f t="shared" ref="DK827:EP827" si="1453">DK422</f>
        <v>0</v>
      </c>
      <c r="DL827" s="323">
        <f t="shared" si="1453"/>
        <v>0.33400000000000002</v>
      </c>
      <c r="DM827" s="323">
        <f t="shared" si="1453"/>
        <v>0</v>
      </c>
      <c r="DN827" s="325">
        <f t="shared" si="1453"/>
        <v>4.093</v>
      </c>
      <c r="DO827" s="323">
        <f t="shared" si="1453"/>
        <v>0.27275503595865902</v>
      </c>
      <c r="DP827" s="323">
        <f t="shared" si="1453"/>
        <v>0.13691573476460012</v>
      </c>
      <c r="DQ827" s="323">
        <f t="shared" si="1453"/>
        <v>0.29403610878610426</v>
      </c>
      <c r="DR827" s="323">
        <f t="shared" si="1453"/>
        <v>0.37726801619882</v>
      </c>
      <c r="DS827" s="323">
        <f t="shared" si="1453"/>
        <v>0.19325706514218965</v>
      </c>
      <c r="DT827" s="323">
        <f t="shared" si="1453"/>
        <v>0.38170584152654141</v>
      </c>
      <c r="DU827" s="323">
        <f t="shared" si="1453"/>
        <v>0.17927338428701151</v>
      </c>
      <c r="DV827" s="323">
        <f t="shared" si="1453"/>
        <v>0.3562400584501112</v>
      </c>
      <c r="DW827" s="323">
        <f t="shared" si="1453"/>
        <v>0.60798901617621515</v>
      </c>
      <c r="DX827" s="323">
        <f t="shared" si="1453"/>
        <v>0.17125279287636225</v>
      </c>
      <c r="DY827" s="323">
        <f t="shared" si="1453"/>
        <v>0.47455601938920611</v>
      </c>
      <c r="DZ827" s="325">
        <f t="shared" si="1453"/>
        <v>4.1264848004812089</v>
      </c>
      <c r="EA827" s="323">
        <f t="shared" si="1453"/>
        <v>0.99990214406361466</v>
      </c>
      <c r="EB827" s="323">
        <f t="shared" si="1453"/>
        <v>0.27852339059275361</v>
      </c>
      <c r="EC827" s="323">
        <f t="shared" si="1453"/>
        <v>0.20422662926574031</v>
      </c>
      <c r="ED827" s="323">
        <f t="shared" si="1453"/>
        <v>0.74494557809681083</v>
      </c>
      <c r="EE827" s="323">
        <f t="shared" si="1453"/>
        <v>0.63782926969350562</v>
      </c>
      <c r="EF827" s="323">
        <f t="shared" si="1453"/>
        <v>1.972298738839442</v>
      </c>
      <c r="EG827" s="323">
        <f t="shared" si="1453"/>
        <v>0.73811955136459251</v>
      </c>
      <c r="EH827" s="323">
        <f t="shared" si="1453"/>
        <v>0.38431697922910513</v>
      </c>
      <c r="EI827" s="323">
        <f t="shared" si="1453"/>
        <v>0.40575158412395818</v>
      </c>
      <c r="EJ827" s="323">
        <f t="shared" si="1453"/>
        <v>0.38080934176827952</v>
      </c>
      <c r="EK827" s="323">
        <f t="shared" si="1453"/>
        <v>0.12208876173982063</v>
      </c>
      <c r="EL827" s="325">
        <f t="shared" si="1453"/>
        <v>2.7741284554356915</v>
      </c>
      <c r="EM827" s="323">
        <f t="shared" si="1453"/>
        <v>0.446381417</v>
      </c>
      <c r="EN827" s="323">
        <f t="shared" si="1453"/>
        <v>0.37882296199999999</v>
      </c>
      <c r="EO827" s="323">
        <f t="shared" si="1453"/>
        <v>0.43899298399999997</v>
      </c>
      <c r="EP827" s="323">
        <f t="shared" si="1453"/>
        <v>0.41913514200000002</v>
      </c>
      <c r="EQ827" s="323">
        <f t="shared" ref="EQ827:FV827" si="1454">EQ422</f>
        <v>0.37956826100000002</v>
      </c>
      <c r="ER827" s="323">
        <f t="shared" si="1454"/>
        <v>0.46952987499999999</v>
      </c>
      <c r="ES827" s="323">
        <f t="shared" si="1454"/>
        <v>0.37303118600000001</v>
      </c>
      <c r="ET827" s="323">
        <f t="shared" si="1454"/>
        <v>0.39464575600000001</v>
      </c>
      <c r="EU827" s="323">
        <f t="shared" si="1454"/>
        <v>0.38522885299999998</v>
      </c>
      <c r="EV827" s="323">
        <f t="shared" si="1454"/>
        <v>0.31141468500000002</v>
      </c>
      <c r="EW827" s="323">
        <f t="shared" si="1454"/>
        <v>0.36140069600000002</v>
      </c>
      <c r="EX827" s="325">
        <f t="shared" si="1454"/>
        <v>0.37888442500000002</v>
      </c>
      <c r="EY827" s="323">
        <f t="shared" si="1454"/>
        <v>1.5790409411999997</v>
      </c>
      <c r="EZ827" s="323">
        <f t="shared" si="1454"/>
        <v>2.5435839422800002</v>
      </c>
      <c r="FA827" s="323">
        <f t="shared" si="1454"/>
        <v>2.2017863289999999</v>
      </c>
      <c r="FB827" s="323">
        <f t="shared" si="1454"/>
        <v>1.5297826892399999</v>
      </c>
      <c r="FC827" s="323">
        <f t="shared" si="1454"/>
        <v>2.7402879711199999</v>
      </c>
      <c r="FD827" s="323">
        <f t="shared" si="1454"/>
        <v>1.9113574153999999</v>
      </c>
      <c r="FE827" s="323">
        <f t="shared" si="1454"/>
        <v>1.24339174502</v>
      </c>
      <c r="FF827" s="323">
        <f t="shared" si="1454"/>
        <v>1.59248714214</v>
      </c>
      <c r="FG827" s="323">
        <f t="shared" si="1454"/>
        <v>1.7139272865199999</v>
      </c>
      <c r="FH827" s="323">
        <f t="shared" si="1454"/>
        <v>1.19660034264</v>
      </c>
      <c r="FI827" s="323">
        <f t="shared" si="1454"/>
        <v>0.80393395703999992</v>
      </c>
      <c r="FJ827" s="325">
        <f t="shared" si="1454"/>
        <v>1.2714591299400004</v>
      </c>
      <c r="FK827" s="323">
        <f t="shared" si="1454"/>
        <v>1.5928214432000001</v>
      </c>
      <c r="FL827" s="323">
        <f t="shared" si="1454"/>
        <v>1.24998923837</v>
      </c>
      <c r="FM827" s="323">
        <f t="shared" si="1454"/>
        <v>1.518097074715266</v>
      </c>
      <c r="FN827" s="323">
        <f t="shared" si="1454"/>
        <v>1.7416583268114421</v>
      </c>
      <c r="FO827" s="323">
        <f t="shared" si="1454"/>
        <v>1.1670106619498282</v>
      </c>
      <c r="FP827" s="323">
        <f t="shared" si="1454"/>
        <v>1.770644669555832</v>
      </c>
      <c r="FQ827" s="323">
        <f t="shared" si="1454"/>
        <v>1.8155118051784016</v>
      </c>
      <c r="FR827" s="323">
        <f t="shared" si="1454"/>
        <v>2.0569109538487074</v>
      </c>
      <c r="FS827" s="323">
        <f t="shared" si="1454"/>
        <v>1.4406132151087707</v>
      </c>
      <c r="FT827" s="323">
        <f t="shared" si="1454"/>
        <v>1.4564551837749273</v>
      </c>
      <c r="FU827" s="323">
        <f t="shared" si="1454"/>
        <v>1.4431878242198071</v>
      </c>
      <c r="FV827" s="323">
        <f t="shared" si="1454"/>
        <v>2.3315102905560745</v>
      </c>
      <c r="FW827" s="323">
        <v>1.9413417945431548</v>
      </c>
      <c r="FX827" s="323">
        <v>0.93562625923935228</v>
      </c>
      <c r="FY827" s="323">
        <v>1.3737111405424205</v>
      </c>
      <c r="FZ827" s="323">
        <v>0.8299057456765998</v>
      </c>
      <c r="GA827" s="323">
        <v>0.82019962607456109</v>
      </c>
      <c r="GB827" s="323">
        <v>1.1932862675797971</v>
      </c>
      <c r="GC827" s="323">
        <v>1.0970836272819584</v>
      </c>
      <c r="GD827" s="323">
        <v>0.8630207143460058</v>
      </c>
      <c r="GE827" s="323">
        <v>0.83827016145915012</v>
      </c>
      <c r="GF827" s="323">
        <v>0.59219634099999996</v>
      </c>
      <c r="GG827" s="323">
        <v>1.279616879</v>
      </c>
      <c r="GH827" s="323">
        <v>1.585185066</v>
      </c>
      <c r="GI827" s="323">
        <f t="shared" ref="GI827:HK827" si="1455">GI422</f>
        <v>1.394870656698409</v>
      </c>
      <c r="GJ827" s="323">
        <f t="shared" si="1455"/>
        <v>1.5214866952370725</v>
      </c>
      <c r="GK827" s="323">
        <f t="shared" si="1455"/>
        <v>1.3287745824178832</v>
      </c>
      <c r="GL827" s="323">
        <f t="shared" si="1455"/>
        <v>1.1531979933135186</v>
      </c>
      <c r="GM827" s="323">
        <f t="shared" si="1455"/>
        <v>0.89835558173760088</v>
      </c>
      <c r="GN827" s="323">
        <f t="shared" si="1455"/>
        <v>1.7016470251771298</v>
      </c>
      <c r="GO827" s="323">
        <f t="shared" si="1455"/>
        <v>1.1333693422496438</v>
      </c>
      <c r="GP827" s="323">
        <f t="shared" si="1455"/>
        <v>0.74823814801286437</v>
      </c>
      <c r="GQ827" s="323">
        <f t="shared" si="1455"/>
        <v>1.2292553834790385</v>
      </c>
      <c r="GR827" s="323">
        <f t="shared" si="1455"/>
        <v>1.41419585798</v>
      </c>
      <c r="GS827" s="323">
        <f t="shared" si="1455"/>
        <v>0.96602921900000005</v>
      </c>
      <c r="GT827" s="323">
        <f t="shared" si="1455"/>
        <v>1.1407991200000001</v>
      </c>
      <c r="GU827" s="323">
        <f t="shared" si="1455"/>
        <v>1.3015250044</v>
      </c>
      <c r="GV827" s="323">
        <f t="shared" si="1455"/>
        <v>1.1709209948000001</v>
      </c>
      <c r="GW827" s="323">
        <f t="shared" si="1455"/>
        <v>1.293057557</v>
      </c>
      <c r="GX827" s="323">
        <f t="shared" si="1455"/>
        <v>1.0839306975</v>
      </c>
      <c r="GY827" s="323">
        <f t="shared" si="1455"/>
        <v>1.12674518615</v>
      </c>
      <c r="GZ827" s="323">
        <f t="shared" si="1455"/>
        <v>1.0460221473</v>
      </c>
      <c r="HA827" s="323">
        <f t="shared" si="1455"/>
        <v>1.159986167</v>
      </c>
      <c r="HB827" s="323">
        <f t="shared" si="1455"/>
        <v>1.3487452909890718</v>
      </c>
      <c r="HC827" s="323">
        <f t="shared" si="1455"/>
        <v>1.1820561762499999</v>
      </c>
      <c r="HD827" s="323">
        <f t="shared" si="1455"/>
        <v>1.6419433128000001</v>
      </c>
      <c r="HE827" s="323">
        <f t="shared" si="1455"/>
        <v>10.665542854</v>
      </c>
      <c r="HF827" s="323">
        <f t="shared" si="1455"/>
        <v>1.4559923667500001</v>
      </c>
      <c r="HG827" s="323">
        <f t="shared" si="1455"/>
        <v>1.6216983287</v>
      </c>
      <c r="HH827" s="323">
        <f t="shared" si="1455"/>
        <v>1.0662832596</v>
      </c>
      <c r="HI827" s="323">
        <f t="shared" si="1455"/>
        <v>0.22232799119999999</v>
      </c>
      <c r="HJ827" s="323">
        <f t="shared" si="1455"/>
        <v>0.25443477785000002</v>
      </c>
      <c r="HK827" s="323">
        <f t="shared" si="1455"/>
        <v>0.19089202594999999</v>
      </c>
      <c r="HL827" s="323">
        <f>HL422</f>
        <v>0.28605253489999999</v>
      </c>
      <c r="HM827" s="323">
        <f t="shared" ref="HM827:HR827" si="1456">HM422</f>
        <v>0.28035572514999996</v>
      </c>
      <c r="HN827" s="323">
        <f t="shared" si="1456"/>
        <v>0.30719848839999997</v>
      </c>
      <c r="HO827" s="323">
        <f t="shared" si="1456"/>
        <v>0.24569497775000002</v>
      </c>
      <c r="HP827" s="323">
        <f t="shared" si="1456"/>
        <v>0.11852685804999999</v>
      </c>
      <c r="HQ827" s="323">
        <f t="shared" si="1456"/>
        <v>0.76571388524999995</v>
      </c>
      <c r="HR827" s="323">
        <f t="shared" si="1456"/>
        <v>7.4814296821999999</v>
      </c>
      <c r="HS827" s="323">
        <f t="shared" ref="HS827:HX827" si="1457">HS422</f>
        <v>0.48066877845</v>
      </c>
      <c r="HT827" s="323">
        <f t="shared" si="1457"/>
        <v>0.2232557275</v>
      </c>
      <c r="HU827" s="323">
        <f t="shared" si="1457"/>
        <v>0.22240996100000002</v>
      </c>
      <c r="HV827" s="323">
        <f t="shared" si="1457"/>
        <v>0.251888997</v>
      </c>
      <c r="HW827" s="323">
        <f t="shared" si="1457"/>
        <v>0.18649309324999999</v>
      </c>
      <c r="HX827" s="323">
        <f t="shared" si="1457"/>
        <v>18.10201110225</v>
      </c>
      <c r="HY827" s="323"/>
      <c r="HZ827" s="326"/>
      <c r="IA827" s="332" t="s">
        <v>511</v>
      </c>
      <c r="IB827" s="284">
        <f t="shared" si="1424"/>
        <v>4.6984467069999996</v>
      </c>
      <c r="IC827" s="279">
        <f t="shared" si="1425"/>
        <v>2.065961379</v>
      </c>
      <c r="ID827" s="323">
        <f t="shared" si="907"/>
        <v>6.7644080859999995</v>
      </c>
      <c r="IE827" s="279">
        <f t="shared" si="1426"/>
        <v>5.2545174620000008</v>
      </c>
      <c r="IF827" s="279">
        <f t="shared" si="1427"/>
        <v>4.4474113209999997</v>
      </c>
      <c r="IG827" s="323">
        <f t="shared" si="880"/>
        <v>9.7019287829999996</v>
      </c>
      <c r="IH827" s="284">
        <f t="shared" si="1428"/>
        <v>0.46899999999999997</v>
      </c>
      <c r="II827" s="279">
        <f t="shared" si="1429"/>
        <v>4.431</v>
      </c>
      <c r="IJ827" s="323">
        <f t="shared" si="881"/>
        <v>4.9000000000000004</v>
      </c>
      <c r="IK827" s="327">
        <f t="shared" si="1430"/>
        <v>1.6559378023769145</v>
      </c>
      <c r="IL827" s="279">
        <f t="shared" si="1431"/>
        <v>5.9157960716601146</v>
      </c>
      <c r="IM827" s="323">
        <f t="shared" si="882"/>
        <v>7.5717338740370295</v>
      </c>
      <c r="IN827" s="279">
        <f t="shared" si="1432"/>
        <v>4.8377257505518667</v>
      </c>
      <c r="IO827" s="279">
        <f t="shared" si="1433"/>
        <v>4.8052146736614478</v>
      </c>
      <c r="IP827" s="323">
        <f t="shared" si="883"/>
        <v>9.6429404242133145</v>
      </c>
      <c r="IQ827" s="327">
        <f t="shared" si="1434"/>
        <v>2.5324306410000004</v>
      </c>
      <c r="IR827" s="327">
        <f t="shared" si="1435"/>
        <v>2.2046056009999999</v>
      </c>
      <c r="IS827" s="323">
        <f t="shared" si="884"/>
        <v>4.7370362420000003</v>
      </c>
      <c r="IT827" s="327">
        <f t="shared" si="1436"/>
        <v>12.505839288239999</v>
      </c>
      <c r="IU827" s="327">
        <f t="shared" si="1437"/>
        <v>7.8217996032999997</v>
      </c>
      <c r="IV827" s="323">
        <f t="shared" si="885"/>
        <v>20.327638891539998</v>
      </c>
      <c r="IW827" s="327">
        <f t="shared" si="1438"/>
        <v>9.0402214146023692</v>
      </c>
      <c r="IX827" s="327">
        <f t="shared" si="1378"/>
        <v>10.544189272686689</v>
      </c>
      <c r="IY827" s="323">
        <f>IW827+IX827</f>
        <v>19.584410687289058</v>
      </c>
      <c r="IZ827" s="327">
        <f t="shared" si="1439"/>
        <v>7.0940708336558851</v>
      </c>
      <c r="JA827" s="327">
        <f t="shared" si="1440"/>
        <v>6.2553727890871142</v>
      </c>
      <c r="JB827" s="323">
        <f t="shared" ref="JB827:JB904" si="1458">IZ827+JA827</f>
        <v>13.349443622742999</v>
      </c>
      <c r="JC827" s="327">
        <f t="shared" si="1441"/>
        <v>7.9983325345816132</v>
      </c>
      <c r="JD827" s="327">
        <f t="shared" si="1442"/>
        <v>6.6318870707215467</v>
      </c>
      <c r="JE827" s="323">
        <f t="shared" ref="JE827:JE865" si="1459">JC827+JD827</f>
        <v>14.630219605303161</v>
      </c>
      <c r="JF827" s="327">
        <f t="shared" ref="JF827:JF843" si="1460">SUM(GU827:GZ827)</f>
        <v>7.0222015871500005</v>
      </c>
      <c r="JG827" s="327">
        <f t="shared" si="1372"/>
        <v>17.454266167789072</v>
      </c>
      <c r="JH827" s="323">
        <f t="shared" si="1406"/>
        <v>24.476467754939073</v>
      </c>
      <c r="JI827" s="327">
        <f t="shared" si="909"/>
        <v>3.6416889182000003</v>
      </c>
      <c r="JJ827" s="327">
        <f t="shared" si="1405"/>
        <v>9.1989196167999996</v>
      </c>
      <c r="JK827" s="323">
        <f t="shared" si="1398"/>
        <v>12.840608534999999</v>
      </c>
      <c r="JL827" s="327">
        <f t="shared" si="1407"/>
        <v>19.466727659450001</v>
      </c>
      <c r="JM827" s="279">
        <f t="shared" si="892"/>
        <v>24.930210738092484</v>
      </c>
      <c r="JN827" s="323">
        <f>FISC!AK1133</f>
        <v>44.396938397542485</v>
      </c>
      <c r="JO827" s="327">
        <f t="shared" ref="JO827:JO839" si="1461">JQ827*0.5</f>
        <v>14.738096573689953</v>
      </c>
      <c r="JP827" s="279">
        <f t="shared" si="1443"/>
        <v>14.738096573689953</v>
      </c>
      <c r="JQ827" s="323">
        <f>FISC!AL1133</f>
        <v>29.476193147379906</v>
      </c>
      <c r="JR827" s="327">
        <f t="shared" ref="JR827:JR839" si="1462">JT827*0.5</f>
        <v>15.987135736277054</v>
      </c>
      <c r="JS827" s="279">
        <f t="shared" si="1444"/>
        <v>15.987135736277054</v>
      </c>
      <c r="JT827" s="323">
        <f>FISC!AM1133</f>
        <v>31.974271472554108</v>
      </c>
      <c r="JU827" s="327">
        <f t="shared" ref="JU827:JU839" si="1463">JW827*0.5</f>
        <v>18.065463381993059</v>
      </c>
      <c r="JV827" s="279">
        <f t="shared" si="1445"/>
        <v>18.065463381993059</v>
      </c>
      <c r="JW827" s="323">
        <f>FISC!AN1133</f>
        <v>36.130926763986118</v>
      </c>
      <c r="JX827" s="327">
        <f t="shared" ref="JX827:JX839" si="1464">JZ827*0.5</f>
        <v>20.372052361737477</v>
      </c>
      <c r="JY827" s="279">
        <f t="shared" si="1446"/>
        <v>20.372052361737477</v>
      </c>
      <c r="JZ827" s="323">
        <f>FISC!AO1133</f>
        <v>40.744104723474955</v>
      </c>
      <c r="KA827" s="327">
        <f t="shared" ref="KA827:KA839" si="1465">KC827*0.5</f>
        <v>23.412928227400482</v>
      </c>
      <c r="KB827" s="279">
        <f t="shared" si="1447"/>
        <v>23.412928227400482</v>
      </c>
      <c r="KC827" s="323">
        <f>FISC!AP1133</f>
        <v>46.825856454800963</v>
      </c>
      <c r="KD827" s="327">
        <f t="shared" ref="KD827:KD839" si="1466">KF827*0.5</f>
        <v>26.95987895103114</v>
      </c>
      <c r="KE827" s="279">
        <f t="shared" si="1448"/>
        <v>26.95987895103114</v>
      </c>
      <c r="KF827" s="323">
        <f>FISC!AQ1133</f>
        <v>53.91975790206228</v>
      </c>
      <c r="KG827" s="327">
        <f t="shared" ref="KG827:KG839" si="1467">KI827*0.5</f>
        <v>30.519195289967698</v>
      </c>
      <c r="KH827" s="279">
        <f t="shared" si="1449"/>
        <v>30.519195289967698</v>
      </c>
      <c r="KI827" s="323">
        <f>FISC!AR1133</f>
        <v>61.038390579935395</v>
      </c>
      <c r="KJ827" s="327">
        <f t="shared" ref="KJ827:KJ839" si="1468">KL827*0.5</f>
        <v>34.079218921261997</v>
      </c>
      <c r="KK827" s="279">
        <f t="shared" si="1450"/>
        <v>34.079218921261997</v>
      </c>
      <c r="KL827" s="323">
        <f>FISC!AS1133</f>
        <v>68.158437842523995</v>
      </c>
      <c r="KM827" s="327">
        <f t="shared" ref="KM827:KM839" si="1469">KO827*0.5</f>
        <v>37.167690306328197</v>
      </c>
      <c r="KN827" s="279">
        <f t="shared" si="1451"/>
        <v>37.167690306328197</v>
      </c>
      <c r="KO827" s="323">
        <f>FISC!AT1133</f>
        <v>74.335380612656394</v>
      </c>
      <c r="KU827" s="326"/>
      <c r="KV827" s="327"/>
    </row>
    <row r="828" spans="1:314">
      <c r="A828" s="279"/>
      <c r="D828" s="1232" t="s">
        <v>512</v>
      </c>
      <c r="E828" s="323"/>
      <c r="F828" s="323"/>
      <c r="G828" s="323"/>
      <c r="H828" s="323"/>
      <c r="I828" s="323"/>
      <c r="J828" s="323"/>
      <c r="K828" s="323"/>
      <c r="L828" s="323"/>
      <c r="M828" s="323"/>
      <c r="N828" s="323"/>
      <c r="O828" s="323"/>
      <c r="P828" s="323"/>
      <c r="Q828" s="323"/>
      <c r="R828" s="323"/>
      <c r="S828" s="323"/>
      <c r="T828" s="323"/>
      <c r="U828" s="323"/>
      <c r="V828" s="323"/>
      <c r="W828" s="323"/>
      <c r="X828" s="323"/>
      <c r="Y828" s="323"/>
      <c r="Z828" s="323"/>
      <c r="AA828" s="323"/>
      <c r="AB828" s="323"/>
      <c r="AC828" s="323"/>
      <c r="AD828" s="323"/>
      <c r="AE828" s="323"/>
      <c r="AF828" s="323"/>
      <c r="AG828" s="323"/>
      <c r="AH828" s="323"/>
      <c r="AI828" s="323"/>
      <c r="AJ828" s="323"/>
      <c r="AK828" s="323"/>
      <c r="AL828" s="323"/>
      <c r="AM828" s="323"/>
      <c r="AN828" s="323"/>
      <c r="AO828" s="323"/>
      <c r="AP828" s="323"/>
      <c r="AQ828" s="323"/>
      <c r="AR828" s="323"/>
      <c r="AS828" s="323"/>
      <c r="AT828" s="323"/>
      <c r="AU828" s="323"/>
      <c r="AV828" s="323"/>
      <c r="AW828" s="323"/>
      <c r="AX828" s="323"/>
      <c r="AY828" s="323"/>
      <c r="AZ828" s="323"/>
      <c r="BA828" s="323"/>
      <c r="BB828" s="323"/>
      <c r="BC828" s="323"/>
      <c r="BD828" s="323"/>
      <c r="BE828" s="323"/>
      <c r="BF828" s="323"/>
      <c r="BG828" s="323"/>
      <c r="BH828" s="323"/>
      <c r="BI828" s="323"/>
      <c r="BJ828" s="323"/>
      <c r="BK828" s="323"/>
      <c r="BL828" s="323"/>
      <c r="BM828" s="323"/>
      <c r="BN828" s="323"/>
      <c r="BO828" s="323"/>
      <c r="BP828" s="323"/>
      <c r="BQ828" s="323"/>
      <c r="BR828" s="323"/>
      <c r="BS828" s="323"/>
      <c r="BT828" s="323"/>
      <c r="BU828" s="323"/>
      <c r="BV828" s="323"/>
      <c r="BW828" s="323"/>
      <c r="BX828" s="323"/>
      <c r="BY828" s="323"/>
      <c r="BZ828" s="323"/>
      <c r="CA828" s="323"/>
      <c r="CB828" s="323"/>
      <c r="CC828" s="323"/>
      <c r="CD828" s="329"/>
      <c r="CE828" s="323">
        <f t="shared" ref="CE828:DJ828" si="1470">CE423</f>
        <v>0.31953783099999999</v>
      </c>
      <c r="CF828" s="323">
        <f t="shared" si="1470"/>
        <v>1.2531272</v>
      </c>
      <c r="CG828" s="323">
        <f t="shared" si="1470"/>
        <v>0.41102835000000004</v>
      </c>
      <c r="CH828" s="323">
        <f t="shared" si="1470"/>
        <v>0.34850524399999999</v>
      </c>
      <c r="CI828" s="323">
        <f t="shared" si="1470"/>
        <v>0.53165609300000005</v>
      </c>
      <c r="CJ828" s="323">
        <f t="shared" si="1470"/>
        <v>0.34950223200000002</v>
      </c>
      <c r="CK828" s="323">
        <f t="shared" si="1470"/>
        <v>0.23318187400000001</v>
      </c>
      <c r="CL828" s="323">
        <f t="shared" si="1470"/>
        <v>0.37588870600000002</v>
      </c>
      <c r="CM828" s="323">
        <f t="shared" si="1470"/>
        <v>0.27494637999999999</v>
      </c>
      <c r="CN828" s="323">
        <f t="shared" si="1470"/>
        <v>9.0026925000000008E-2</v>
      </c>
      <c r="CO828" s="323">
        <f t="shared" si="1470"/>
        <v>0.38279299499999997</v>
      </c>
      <c r="CP828" s="325">
        <f t="shared" si="1470"/>
        <v>0.20996990900000001</v>
      </c>
      <c r="CQ828" s="323">
        <f t="shared" si="1470"/>
        <v>0.25210226200000002</v>
      </c>
      <c r="CR828" s="323">
        <f t="shared" si="1470"/>
        <v>2.3781132</v>
      </c>
      <c r="CS828" s="323">
        <f t="shared" si="1470"/>
        <v>1.899018369</v>
      </c>
      <c r="CT828" s="323">
        <f t="shared" si="1470"/>
        <v>0.22562015299999999</v>
      </c>
      <c r="CU828" s="323">
        <f t="shared" si="1470"/>
        <v>0.19519945999999999</v>
      </c>
      <c r="CV828" s="323">
        <f t="shared" si="1470"/>
        <v>5.6464017999999998E-2</v>
      </c>
      <c r="CW828" s="323">
        <f t="shared" si="1470"/>
        <v>0.109400867</v>
      </c>
      <c r="CX828" s="323">
        <f t="shared" si="1470"/>
        <v>0.17085389600000001</v>
      </c>
      <c r="CY828" s="323">
        <f t="shared" si="1470"/>
        <v>0.201691177</v>
      </c>
      <c r="CZ828" s="323">
        <f t="shared" si="1470"/>
        <v>0.288341079</v>
      </c>
      <c r="DA828" s="323">
        <f t="shared" si="1470"/>
        <v>0.25666332400000003</v>
      </c>
      <c r="DB828" s="1269">
        <f t="shared" si="1470"/>
        <v>0.27646097800000002</v>
      </c>
      <c r="DC828" s="323">
        <f t="shared" si="1470"/>
        <v>0</v>
      </c>
      <c r="DD828" s="323">
        <f t="shared" si="1470"/>
        <v>0</v>
      </c>
      <c r="DE828" s="323">
        <f t="shared" si="1470"/>
        <v>0</v>
      </c>
      <c r="DF828" s="323">
        <f t="shared" si="1470"/>
        <v>0</v>
      </c>
      <c r="DG828" s="323">
        <f t="shared" si="1470"/>
        <v>0</v>
      </c>
      <c r="DH828" s="323">
        <f t="shared" si="1470"/>
        <v>0</v>
      </c>
      <c r="DI828" s="323">
        <f t="shared" si="1470"/>
        <v>0</v>
      </c>
      <c r="DJ828" s="323">
        <f t="shared" si="1470"/>
        <v>4.0000000000000001E-3</v>
      </c>
      <c r="DK828" s="323">
        <f t="shared" ref="DK828:EP828" si="1471">DK423</f>
        <v>0</v>
      </c>
      <c r="DL828" s="323">
        <f t="shared" si="1471"/>
        <v>2E-3</v>
      </c>
      <c r="DM828" s="323">
        <f t="shared" si="1471"/>
        <v>0</v>
      </c>
      <c r="DN828" s="325">
        <f t="shared" si="1471"/>
        <v>1.548</v>
      </c>
      <c r="DO828" s="323">
        <f t="shared" si="1471"/>
        <v>0.27275503595865902</v>
      </c>
      <c r="DP828" s="323">
        <f t="shared" si="1471"/>
        <v>0.13691573476460012</v>
      </c>
      <c r="DQ828" s="323">
        <f t="shared" si="1471"/>
        <v>0.29403610878610426</v>
      </c>
      <c r="DR828" s="323">
        <f t="shared" si="1471"/>
        <v>0.37726801619882</v>
      </c>
      <c r="DS828" s="323">
        <f t="shared" si="1471"/>
        <v>0.19325706514218965</v>
      </c>
      <c r="DT828" s="323">
        <f t="shared" si="1471"/>
        <v>0.38170584152654141</v>
      </c>
      <c r="DU828" s="323">
        <f t="shared" si="1471"/>
        <v>0.17927338428701151</v>
      </c>
      <c r="DV828" s="323">
        <f t="shared" si="1471"/>
        <v>0.3562400584501112</v>
      </c>
      <c r="DW828" s="323">
        <f t="shared" si="1471"/>
        <v>0.60798901617621515</v>
      </c>
      <c r="DX828" s="323">
        <f t="shared" si="1471"/>
        <v>0.17125279287636225</v>
      </c>
      <c r="DY828" s="323">
        <f t="shared" si="1471"/>
        <v>0.47455601938920611</v>
      </c>
      <c r="DZ828" s="325">
        <f t="shared" si="1471"/>
        <v>0.86503258648120851</v>
      </c>
      <c r="EA828" s="323">
        <f t="shared" si="1471"/>
        <v>0.99990214406361466</v>
      </c>
      <c r="EB828" s="323">
        <f t="shared" si="1471"/>
        <v>0.27852339059275361</v>
      </c>
      <c r="EC828" s="323">
        <f t="shared" si="1471"/>
        <v>0.20422662926574031</v>
      </c>
      <c r="ED828" s="323">
        <f t="shared" si="1471"/>
        <v>0.23100134709681086</v>
      </c>
      <c r="EE828" s="323">
        <f t="shared" si="1471"/>
        <v>0.63782926969350562</v>
      </c>
      <c r="EF828" s="323">
        <f t="shared" si="1471"/>
        <v>1.972298738839442</v>
      </c>
      <c r="EG828" s="323">
        <f t="shared" si="1471"/>
        <v>0.73811955136459251</v>
      </c>
      <c r="EH828" s="323">
        <f t="shared" si="1471"/>
        <v>0.38431697922910513</v>
      </c>
      <c r="EI828" s="323">
        <f t="shared" si="1471"/>
        <v>0.40575158412395818</v>
      </c>
      <c r="EJ828" s="323">
        <f t="shared" si="1471"/>
        <v>0.17080934176827953</v>
      </c>
      <c r="EK828" s="323">
        <f t="shared" si="1471"/>
        <v>0.10608876173982063</v>
      </c>
      <c r="EL828" s="325">
        <f t="shared" si="1471"/>
        <v>0.16210954043569137</v>
      </c>
      <c r="EM828" s="323">
        <f t="shared" si="1471"/>
        <v>0</v>
      </c>
      <c r="EN828" s="323">
        <f t="shared" si="1471"/>
        <v>0</v>
      </c>
      <c r="EO828" s="323">
        <f t="shared" si="1471"/>
        <v>0</v>
      </c>
      <c r="EP828" s="323">
        <f t="shared" si="1471"/>
        <v>0</v>
      </c>
      <c r="EQ828" s="323">
        <f t="shared" ref="EQ828:FV828" si="1472">EQ423</f>
        <v>0</v>
      </c>
      <c r="ER828" s="323">
        <f t="shared" si="1472"/>
        <v>0</v>
      </c>
      <c r="ES828" s="323">
        <f t="shared" si="1472"/>
        <v>0</v>
      </c>
      <c r="ET828" s="323">
        <f t="shared" si="1472"/>
        <v>0</v>
      </c>
      <c r="EU828" s="323">
        <f t="shared" si="1472"/>
        <v>0</v>
      </c>
      <c r="EV828" s="323">
        <f t="shared" si="1472"/>
        <v>0</v>
      </c>
      <c r="EW828" s="323">
        <f t="shared" si="1472"/>
        <v>0</v>
      </c>
      <c r="EX828" s="325">
        <f t="shared" si="1472"/>
        <v>0</v>
      </c>
      <c r="EY828" s="323">
        <f t="shared" si="1472"/>
        <v>1.0603227551999999</v>
      </c>
      <c r="EZ828" s="323">
        <f t="shared" si="1472"/>
        <v>2.3138055242800002</v>
      </c>
      <c r="FA828" s="323">
        <f t="shared" si="1472"/>
        <v>1.9311447209999999</v>
      </c>
      <c r="FB828" s="323">
        <f t="shared" si="1472"/>
        <v>1.2681437422399999</v>
      </c>
      <c r="FC828" s="323">
        <f t="shared" si="1472"/>
        <v>2.46918483912</v>
      </c>
      <c r="FD828" s="323">
        <f t="shared" si="1472"/>
        <v>1.5401608593999998</v>
      </c>
      <c r="FE828" s="323">
        <f t="shared" si="1472"/>
        <v>0.95148537501999997</v>
      </c>
      <c r="FF828" s="323">
        <f t="shared" si="1472"/>
        <v>1.3194295061399999</v>
      </c>
      <c r="FG828" s="323">
        <f t="shared" si="1472"/>
        <v>1.46625427952</v>
      </c>
      <c r="FH828" s="323">
        <f t="shared" si="1472"/>
        <v>0.97736562364000013</v>
      </c>
      <c r="FI828" s="323">
        <f t="shared" si="1472"/>
        <v>0.54316732103999998</v>
      </c>
      <c r="FJ828" s="325">
        <f t="shared" si="1472"/>
        <v>1.1830160649400003</v>
      </c>
      <c r="FK828" s="323">
        <f t="shared" si="1472"/>
        <v>0.93103091020000006</v>
      </c>
      <c r="FL828" s="323">
        <f t="shared" si="1472"/>
        <v>0.96139398136999998</v>
      </c>
      <c r="FM828" s="323">
        <f t="shared" si="1472"/>
        <v>1.2506923210400001</v>
      </c>
      <c r="FN828" s="323">
        <f t="shared" si="1472"/>
        <v>1.1685909724609986</v>
      </c>
      <c r="FO828" s="323">
        <f t="shared" si="1472"/>
        <v>0.91123084888249695</v>
      </c>
      <c r="FP828" s="323">
        <f t="shared" si="1472"/>
        <v>1.4607784838678952</v>
      </c>
      <c r="FQ828" s="323">
        <f t="shared" si="1472"/>
        <v>1.4595349277567042</v>
      </c>
      <c r="FR828" s="323">
        <f t="shared" si="1472"/>
        <v>1.8308382841322961</v>
      </c>
      <c r="FS828" s="323">
        <f t="shared" si="1472"/>
        <v>1.0249331411440332</v>
      </c>
      <c r="FT828" s="323">
        <f t="shared" si="1472"/>
        <v>0.90877478960336411</v>
      </c>
      <c r="FU828" s="323">
        <f t="shared" si="1472"/>
        <v>1.0316682406701274</v>
      </c>
      <c r="FV828" s="323">
        <f t="shared" si="1472"/>
        <v>1.6524999792397439</v>
      </c>
      <c r="FW828" s="323">
        <v>1.7007960426910091</v>
      </c>
      <c r="FX828" s="323">
        <v>0.79959669542324818</v>
      </c>
      <c r="FY828" s="323">
        <v>1.2455452996862408</v>
      </c>
      <c r="FZ828" s="323">
        <v>0.81583218204676855</v>
      </c>
      <c r="GA828" s="323">
        <v>0.82018315040790779</v>
      </c>
      <c r="GB828" s="323">
        <v>1.141135206401904</v>
      </c>
      <c r="GC828" s="323">
        <v>1.0970836272819584</v>
      </c>
      <c r="GD828" s="323">
        <v>0.83797054894602541</v>
      </c>
      <c r="GE828" s="323">
        <v>0.83827016145915012</v>
      </c>
      <c r="GF828" s="323">
        <v>0.59219634099999996</v>
      </c>
      <c r="GG828" s="323">
        <v>1.279616879</v>
      </c>
      <c r="GH828" s="323">
        <v>1.585185066</v>
      </c>
      <c r="GI828" s="323">
        <f t="shared" ref="GI828:HR828" si="1473">GI423</f>
        <v>0.53065387711361145</v>
      </c>
      <c r="GJ828" s="323">
        <f t="shared" si="1473"/>
        <v>0.80185078515701469</v>
      </c>
      <c r="GK828" s="323">
        <f t="shared" si="1473"/>
        <v>0.53416604367341647</v>
      </c>
      <c r="GL828" s="323">
        <f t="shared" si="1473"/>
        <v>0.57592804931351838</v>
      </c>
      <c r="GM828" s="323">
        <f t="shared" si="1473"/>
        <v>0.24123587277145539</v>
      </c>
      <c r="GN828" s="323">
        <f t="shared" si="1473"/>
        <v>0.75691242965084937</v>
      </c>
      <c r="GO828" s="323">
        <f t="shared" si="1473"/>
        <v>0.21224006759173406</v>
      </c>
      <c r="GP828" s="323">
        <f t="shared" si="1473"/>
        <v>0.1624172070128643</v>
      </c>
      <c r="GQ828" s="323">
        <f t="shared" si="1473"/>
        <v>0.48718092297107868</v>
      </c>
      <c r="GR828" s="323">
        <f t="shared" si="1473"/>
        <v>0.54503668098000002</v>
      </c>
      <c r="GS828" s="323">
        <f t="shared" si="1473"/>
        <v>0.29089334500000003</v>
      </c>
      <c r="GT828" s="323">
        <f t="shared" si="1473"/>
        <v>0.33836328300000001</v>
      </c>
      <c r="GU828" s="323">
        <f t="shared" si="1473"/>
        <v>0.28986165739999997</v>
      </c>
      <c r="GV828" s="323">
        <f t="shared" si="1473"/>
        <v>0.38619191680000009</v>
      </c>
      <c r="GW828" s="323">
        <f t="shared" si="1473"/>
        <v>0.54144656599999996</v>
      </c>
      <c r="GX828" s="323">
        <f t="shared" si="1473"/>
        <v>0.2007817415</v>
      </c>
      <c r="GY828" s="323">
        <f t="shared" si="1473"/>
        <v>0.31793908015</v>
      </c>
      <c r="GZ828" s="323">
        <f t="shared" si="1473"/>
        <v>0.33982641530000002</v>
      </c>
      <c r="HA828" s="323">
        <f t="shared" si="1473"/>
        <v>0.18146204899999999</v>
      </c>
      <c r="HB828" s="323">
        <f t="shared" si="1473"/>
        <v>0.35237570398907175</v>
      </c>
      <c r="HC828" s="323">
        <f t="shared" si="1473"/>
        <v>0.45324221125000003</v>
      </c>
      <c r="HD828" s="323">
        <f t="shared" si="1473"/>
        <v>0.40902524880000002</v>
      </c>
      <c r="HE828" s="323">
        <f t="shared" si="1473"/>
        <v>0.36810757999999999</v>
      </c>
      <c r="HF828" s="323">
        <f t="shared" si="1473"/>
        <v>0.41576074974999999</v>
      </c>
      <c r="HG828" s="323">
        <f t="shared" si="1473"/>
        <v>0.2952884717</v>
      </c>
      <c r="HH828" s="323">
        <f t="shared" si="1473"/>
        <v>0.30457031560000003</v>
      </c>
      <c r="HI828" s="323">
        <f t="shared" si="1473"/>
        <v>0.19902697019999999</v>
      </c>
      <c r="HJ828" s="323">
        <f t="shared" si="1473"/>
        <v>0.25352194385000004</v>
      </c>
      <c r="HK828" s="323">
        <f t="shared" si="1473"/>
        <v>0.17668310194999998</v>
      </c>
      <c r="HL828" s="323">
        <f t="shared" si="1473"/>
        <v>0.27235725389999998</v>
      </c>
      <c r="HM828" s="323">
        <f t="shared" si="1473"/>
        <v>0.25795349214999996</v>
      </c>
      <c r="HN828" s="323">
        <f t="shared" si="1473"/>
        <v>0.2742077114</v>
      </c>
      <c r="HO828" s="323">
        <f t="shared" si="1473"/>
        <v>0.24389953575000001</v>
      </c>
      <c r="HP828" s="323">
        <f t="shared" si="1473"/>
        <v>0.10689349505</v>
      </c>
      <c r="HQ828" s="323">
        <f t="shared" si="1473"/>
        <v>0.21122163525000001</v>
      </c>
      <c r="HR828" s="323">
        <f t="shared" si="1473"/>
        <v>0.17270739419999998</v>
      </c>
      <c r="HS828" s="323">
        <f t="shared" ref="HS828:HX828" si="1474">HS423</f>
        <v>0.47817328344999999</v>
      </c>
      <c r="HT828" s="323">
        <f t="shared" si="1474"/>
        <v>0.22092706149999999</v>
      </c>
      <c r="HU828" s="323">
        <f t="shared" si="1474"/>
        <v>0.21872473000000001</v>
      </c>
      <c r="HV828" s="323">
        <f t="shared" si="1474"/>
        <v>0.24877479999999999</v>
      </c>
      <c r="HW828" s="323">
        <f t="shared" si="1474"/>
        <v>0.18379633525</v>
      </c>
      <c r="HX828" s="323">
        <f t="shared" si="1474"/>
        <v>9.9156907249999995E-2</v>
      </c>
      <c r="HY828" s="323"/>
      <c r="HZ828" s="326"/>
      <c r="IA828" s="1232" t="s">
        <v>512</v>
      </c>
      <c r="IB828" s="284">
        <f t="shared" si="1424"/>
        <v>3.2133569500000001</v>
      </c>
      <c r="IC828" s="279">
        <f t="shared" si="1425"/>
        <v>1.5668067889999999</v>
      </c>
      <c r="ID828" s="323">
        <f t="shared" si="907"/>
        <v>4.7801637389999998</v>
      </c>
      <c r="IE828" s="279">
        <f t="shared" si="1426"/>
        <v>5.0065174619999997</v>
      </c>
      <c r="IF828" s="279">
        <f t="shared" si="1427"/>
        <v>1.303411321</v>
      </c>
      <c r="IG828" s="323">
        <f t="shared" si="880"/>
        <v>6.3099287830000002</v>
      </c>
      <c r="IH828" s="284">
        <f t="shared" si="1428"/>
        <v>0</v>
      </c>
      <c r="II828" s="279">
        <f t="shared" si="1429"/>
        <v>1.554</v>
      </c>
      <c r="IJ828" s="323">
        <f t="shared" si="881"/>
        <v>1.554</v>
      </c>
      <c r="IK828" s="327">
        <f t="shared" si="1430"/>
        <v>1.6559378023769145</v>
      </c>
      <c r="IL828" s="279">
        <f t="shared" si="1431"/>
        <v>2.6543438576601144</v>
      </c>
      <c r="IM828" s="323">
        <f t="shared" si="882"/>
        <v>4.3102816600370293</v>
      </c>
      <c r="IN828" s="279">
        <f t="shared" si="1432"/>
        <v>4.3237815195518667</v>
      </c>
      <c r="IO828" s="279">
        <f t="shared" si="1433"/>
        <v>1.9671957586614472</v>
      </c>
      <c r="IP828" s="323">
        <f t="shared" si="883"/>
        <v>6.2909772782133135</v>
      </c>
      <c r="IQ828" s="327">
        <f t="shared" si="1434"/>
        <v>0</v>
      </c>
      <c r="IR828" s="327">
        <f t="shared" si="1435"/>
        <v>0</v>
      </c>
      <c r="IS828" s="323">
        <f t="shared" si="884"/>
        <v>0</v>
      </c>
      <c r="IT828" s="327">
        <f t="shared" si="1436"/>
        <v>10.58276244124</v>
      </c>
      <c r="IU828" s="327">
        <f t="shared" si="1437"/>
        <v>6.4407181703000003</v>
      </c>
      <c r="IV828" s="323">
        <f t="shared" si="885"/>
        <v>17.023480611540002</v>
      </c>
      <c r="IW828" s="327">
        <f t="shared" si="1438"/>
        <v>6.6837175178213917</v>
      </c>
      <c r="IX828" s="327">
        <f t="shared" si="1378"/>
        <v>7.9082493625462691</v>
      </c>
      <c r="IY828" s="323">
        <f t="shared" ref="IY828:IY859" si="1475">IW828+IX828</f>
        <v>14.591966880367661</v>
      </c>
      <c r="IZ828" s="327">
        <f t="shared" si="1439"/>
        <v>6.5230885766570781</v>
      </c>
      <c r="JA828" s="327">
        <f t="shared" si="1440"/>
        <v>6.2303226236871341</v>
      </c>
      <c r="JB828" s="323">
        <f t="shared" si="1458"/>
        <v>12.753411200344212</v>
      </c>
      <c r="JC828" s="327">
        <f t="shared" si="1441"/>
        <v>3.4407470576798653</v>
      </c>
      <c r="JD828" s="327">
        <f t="shared" si="1442"/>
        <v>2.0361315065556771</v>
      </c>
      <c r="JE828" s="323">
        <f t="shared" si="1459"/>
        <v>5.4768785642355429</v>
      </c>
      <c r="JF828" s="327">
        <f t="shared" si="1460"/>
        <v>2.0760473771499997</v>
      </c>
      <c r="JG828" s="327">
        <f t="shared" si="1372"/>
        <v>2.1799735427890718</v>
      </c>
      <c r="JH828" s="323">
        <f t="shared" si="1406"/>
        <v>4.2560209199390719</v>
      </c>
      <c r="JI828" s="327">
        <f t="shared" ref="JI828:JI889" si="1476">SUM(HG828:HL828)</f>
        <v>1.5014480572000002</v>
      </c>
      <c r="JJ828" s="327">
        <f t="shared" si="1405"/>
        <v>1.2668832637999998</v>
      </c>
      <c r="JK828" s="323">
        <f t="shared" si="1398"/>
        <v>2.7683313209999998</v>
      </c>
      <c r="JL828" s="327">
        <f t="shared" si="1407"/>
        <v>1.44955311745</v>
      </c>
      <c r="JM828" s="279">
        <f t="shared" si="892"/>
        <v>22.389495454763601</v>
      </c>
      <c r="JN828" s="323">
        <f>FISC!AK1134</f>
        <v>23.839048572213603</v>
      </c>
      <c r="JO828" s="327">
        <f t="shared" ref="JO828" si="1477">JQ828*0.5</f>
        <v>13.012663038476997</v>
      </c>
      <c r="JP828" s="279">
        <f t="shared" ref="JP828" si="1478">JQ828-JO828</f>
        <v>13.012663038476997</v>
      </c>
      <c r="JQ828" s="323">
        <f>FISC!AL1134</f>
        <v>26.025326076953995</v>
      </c>
      <c r="JR828" s="327">
        <f t="shared" si="1462"/>
        <v>14.507698707943089</v>
      </c>
      <c r="JS828" s="279">
        <f t="shared" si="1444"/>
        <v>14.507698707943089</v>
      </c>
      <c r="JT828" s="323">
        <f>FISC!AM1134</f>
        <v>29.015397415886177</v>
      </c>
      <c r="JU828" s="327">
        <f t="shared" si="1463"/>
        <v>15.460872644791637</v>
      </c>
      <c r="JV828" s="279">
        <f t="shared" si="1445"/>
        <v>15.460872644791637</v>
      </c>
      <c r="JW828" s="323">
        <f>FISC!AN1134</f>
        <v>30.921745289583274</v>
      </c>
      <c r="JX828" s="327">
        <f t="shared" si="1464"/>
        <v>17.006959909270801</v>
      </c>
      <c r="JY828" s="279">
        <f t="shared" si="1446"/>
        <v>17.006959909270801</v>
      </c>
      <c r="JZ828" s="323">
        <f>FISC!AO1134</f>
        <v>34.013919818541602</v>
      </c>
      <c r="KA828" s="327">
        <f t="shared" si="1465"/>
        <v>18.707655900197881</v>
      </c>
      <c r="KB828" s="279">
        <f t="shared" si="1447"/>
        <v>18.707655900197881</v>
      </c>
      <c r="KC828" s="323">
        <f>FISC!AP1134</f>
        <v>37.415311800395763</v>
      </c>
      <c r="KD828" s="327">
        <f t="shared" si="1466"/>
        <v>20.578421490217671</v>
      </c>
      <c r="KE828" s="279">
        <f t="shared" si="1448"/>
        <v>20.578421490217671</v>
      </c>
      <c r="KF828" s="323">
        <f>FISC!AQ1134</f>
        <v>41.156842980435343</v>
      </c>
      <c r="KG828" s="327">
        <f t="shared" si="1467"/>
        <v>22.636263639239441</v>
      </c>
      <c r="KH828" s="279">
        <f t="shared" si="1449"/>
        <v>22.636263639239441</v>
      </c>
      <c r="KI828" s="323">
        <f>FISC!AR1134</f>
        <v>45.272527278478883</v>
      </c>
      <c r="KJ828" s="327">
        <f t="shared" si="1468"/>
        <v>24.899890003163389</v>
      </c>
      <c r="KK828" s="279">
        <f t="shared" si="1450"/>
        <v>24.899890003163389</v>
      </c>
      <c r="KL828" s="323">
        <f>FISC!AS1134</f>
        <v>49.799780006326777</v>
      </c>
      <c r="KM828" s="327">
        <f t="shared" si="1469"/>
        <v>27.389879003479731</v>
      </c>
      <c r="KN828" s="279">
        <f t="shared" si="1451"/>
        <v>27.389879003479731</v>
      </c>
      <c r="KO828" s="323">
        <f>FISC!AT1134</f>
        <v>54.779758006959462</v>
      </c>
      <c r="KU828" s="326"/>
      <c r="KV828" s="327"/>
    </row>
    <row r="829" spans="1:314">
      <c r="A829" s="279"/>
      <c r="D829" s="1497" t="s">
        <v>513</v>
      </c>
      <c r="E829" s="323"/>
      <c r="F829" s="323"/>
      <c r="G829" s="323"/>
      <c r="H829" s="323"/>
      <c r="I829" s="323"/>
      <c r="J829" s="323"/>
      <c r="K829" s="323"/>
      <c r="L829" s="323"/>
      <c r="M829" s="323"/>
      <c r="N829" s="323"/>
      <c r="O829" s="323"/>
      <c r="P829" s="323"/>
      <c r="Q829" s="323"/>
      <c r="R829" s="323"/>
      <c r="S829" s="323"/>
      <c r="T829" s="323"/>
      <c r="U829" s="323"/>
      <c r="V829" s="323"/>
      <c r="W829" s="323"/>
      <c r="X829" s="323"/>
      <c r="Y829" s="323"/>
      <c r="Z829" s="323"/>
      <c r="AA829" s="323"/>
      <c r="AB829" s="323"/>
      <c r="AC829" s="323"/>
      <c r="AD829" s="323"/>
      <c r="AE829" s="323"/>
      <c r="AF829" s="323"/>
      <c r="AG829" s="323"/>
      <c r="AH829" s="323"/>
      <c r="AI829" s="323"/>
      <c r="AJ829" s="323"/>
      <c r="AK829" s="323"/>
      <c r="AL829" s="323"/>
      <c r="AM829" s="323"/>
      <c r="AN829" s="323"/>
      <c r="AO829" s="323"/>
      <c r="AP829" s="323"/>
      <c r="AQ829" s="323"/>
      <c r="AR829" s="323"/>
      <c r="AS829" s="323"/>
      <c r="AT829" s="323"/>
      <c r="AU829" s="323"/>
      <c r="AV829" s="323"/>
      <c r="AW829" s="323"/>
      <c r="AX829" s="323"/>
      <c r="AY829" s="323"/>
      <c r="AZ829" s="323"/>
      <c r="BA829" s="323"/>
      <c r="BB829" s="323"/>
      <c r="BC829" s="323"/>
      <c r="BD829" s="323"/>
      <c r="BE829" s="323"/>
      <c r="BF829" s="323"/>
      <c r="BG829" s="323"/>
      <c r="BH829" s="323"/>
      <c r="BI829" s="323"/>
      <c r="BJ829" s="323"/>
      <c r="BK829" s="323"/>
      <c r="BL829" s="323"/>
      <c r="BM829" s="323"/>
      <c r="BN829" s="323"/>
      <c r="BO829" s="323"/>
      <c r="BP829" s="323"/>
      <c r="BQ829" s="323"/>
      <c r="BR829" s="323"/>
      <c r="BS829" s="323"/>
      <c r="BT829" s="323"/>
      <c r="BU829" s="323"/>
      <c r="BV829" s="323"/>
      <c r="BW829" s="323"/>
      <c r="BX829" s="323"/>
      <c r="BY829" s="323"/>
      <c r="BZ829" s="323"/>
      <c r="CA829" s="323"/>
      <c r="CB829" s="323"/>
      <c r="CC829" s="323"/>
      <c r="CD829" s="329"/>
      <c r="CE829" s="323">
        <f t="shared" ref="CE829:DJ829" si="1479">CE424</f>
        <v>0.104579826</v>
      </c>
      <c r="CF829" s="323">
        <f t="shared" si="1479"/>
        <v>1.254255755</v>
      </c>
      <c r="CG829" s="323">
        <f t="shared" si="1479"/>
        <v>8.3051602000000002E-2</v>
      </c>
      <c r="CH829" s="323">
        <f t="shared" si="1479"/>
        <v>4.3202574000000001E-2</v>
      </c>
      <c r="CI829" s="323">
        <f t="shared" si="1479"/>
        <v>0</v>
      </c>
      <c r="CJ829" s="323">
        <f t="shared" si="1479"/>
        <v>0</v>
      </c>
      <c r="CK829" s="323">
        <f t="shared" si="1479"/>
        <v>4.0154589999999997E-2</v>
      </c>
      <c r="CL829" s="323">
        <f t="shared" si="1479"/>
        <v>0</v>
      </c>
      <c r="CM829" s="323">
        <f t="shared" si="1479"/>
        <v>0</v>
      </c>
      <c r="CN829" s="323">
        <f t="shared" si="1479"/>
        <v>0.41399999999999998</v>
      </c>
      <c r="CO829" s="323">
        <f t="shared" si="1479"/>
        <v>4.4999999999999998E-2</v>
      </c>
      <c r="CP829" s="325">
        <f t="shared" si="1479"/>
        <v>0</v>
      </c>
      <c r="CQ829" s="323">
        <f t="shared" si="1479"/>
        <v>0</v>
      </c>
      <c r="CR829" s="323">
        <f t="shared" si="1479"/>
        <v>0.248</v>
      </c>
      <c r="CS829" s="323">
        <f t="shared" si="1479"/>
        <v>0</v>
      </c>
      <c r="CT829" s="323">
        <f t="shared" si="1479"/>
        <v>0</v>
      </c>
      <c r="CU829" s="323">
        <f t="shared" si="1479"/>
        <v>0</v>
      </c>
      <c r="CV829" s="323">
        <f t="shared" si="1479"/>
        <v>0</v>
      </c>
      <c r="CW829" s="323">
        <f t="shared" si="1479"/>
        <v>0</v>
      </c>
      <c r="CX829" s="323">
        <f t="shared" si="1479"/>
        <v>0</v>
      </c>
      <c r="CY829" s="323">
        <f t="shared" si="1479"/>
        <v>0</v>
      </c>
      <c r="CZ829" s="323">
        <f t="shared" si="1479"/>
        <v>0.06</v>
      </c>
      <c r="DA829" s="323">
        <f t="shared" si="1479"/>
        <v>0</v>
      </c>
      <c r="DB829" s="1269">
        <f t="shared" si="1479"/>
        <v>3.0840000000000001</v>
      </c>
      <c r="DC829" s="323">
        <f t="shared" si="1479"/>
        <v>0</v>
      </c>
      <c r="DD829" s="323">
        <f t="shared" si="1479"/>
        <v>0</v>
      </c>
      <c r="DE829" s="323">
        <f t="shared" si="1479"/>
        <v>0.311</v>
      </c>
      <c r="DF829" s="323">
        <f t="shared" si="1479"/>
        <v>8.0000000000000002E-3</v>
      </c>
      <c r="DG829" s="323">
        <f t="shared" si="1479"/>
        <v>0</v>
      </c>
      <c r="DH829" s="323">
        <f t="shared" si="1479"/>
        <v>0.15</v>
      </c>
      <c r="DI829" s="323">
        <f t="shared" si="1479"/>
        <v>0</v>
      </c>
      <c r="DJ829" s="323">
        <f t="shared" si="1479"/>
        <v>0</v>
      </c>
      <c r="DK829" s="323">
        <f t="shared" ref="DK829:EP829" si="1480">DK424</f>
        <v>0</v>
      </c>
      <c r="DL829" s="323">
        <f t="shared" si="1480"/>
        <v>0.33200000000000002</v>
      </c>
      <c r="DM829" s="323">
        <f t="shared" si="1480"/>
        <v>0</v>
      </c>
      <c r="DN829" s="325">
        <f t="shared" si="1480"/>
        <v>2.5449999999999999</v>
      </c>
      <c r="DO829" s="323">
        <f t="shared" si="1480"/>
        <v>0</v>
      </c>
      <c r="DP829" s="323">
        <f t="shared" si="1480"/>
        <v>0</v>
      </c>
      <c r="DQ829" s="323">
        <f t="shared" si="1480"/>
        <v>0</v>
      </c>
      <c r="DR829" s="323">
        <f t="shared" si="1480"/>
        <v>0</v>
      </c>
      <c r="DS829" s="323">
        <f t="shared" si="1480"/>
        <v>0</v>
      </c>
      <c r="DT829" s="323">
        <f t="shared" si="1480"/>
        <v>0</v>
      </c>
      <c r="DU829" s="323">
        <f t="shared" si="1480"/>
        <v>0</v>
      </c>
      <c r="DV829" s="323">
        <f t="shared" si="1480"/>
        <v>0</v>
      </c>
      <c r="DW829" s="323">
        <f t="shared" si="1480"/>
        <v>0</v>
      </c>
      <c r="DX829" s="323">
        <f t="shared" si="1480"/>
        <v>0</v>
      </c>
      <c r="DY829" s="323">
        <f t="shared" si="1480"/>
        <v>0</v>
      </c>
      <c r="DZ829" s="325">
        <f t="shared" si="1480"/>
        <v>3.2614522140000002</v>
      </c>
      <c r="EA829" s="323">
        <f t="shared" si="1480"/>
        <v>0</v>
      </c>
      <c r="EB829" s="323">
        <f t="shared" si="1480"/>
        <v>0</v>
      </c>
      <c r="EC829" s="323">
        <f t="shared" si="1480"/>
        <v>0</v>
      </c>
      <c r="ED829" s="323">
        <f t="shared" si="1480"/>
        <v>0.51394423099999997</v>
      </c>
      <c r="EE829" s="323">
        <f t="shared" si="1480"/>
        <v>0</v>
      </c>
      <c r="EF829" s="323">
        <f t="shared" si="1480"/>
        <v>0</v>
      </c>
      <c r="EG829" s="323">
        <f t="shared" si="1480"/>
        <v>0</v>
      </c>
      <c r="EH829" s="323">
        <f t="shared" si="1480"/>
        <v>0</v>
      </c>
      <c r="EI829" s="323">
        <f t="shared" si="1480"/>
        <v>0</v>
      </c>
      <c r="EJ829" s="323">
        <f t="shared" si="1480"/>
        <v>0.21</v>
      </c>
      <c r="EK829" s="323">
        <f t="shared" si="1480"/>
        <v>1.6E-2</v>
      </c>
      <c r="EL829" s="325">
        <f t="shared" si="1480"/>
        <v>2.6120189150000002</v>
      </c>
      <c r="EM829" s="323">
        <f t="shared" si="1480"/>
        <v>0</v>
      </c>
      <c r="EN829" s="323">
        <f t="shared" si="1480"/>
        <v>0</v>
      </c>
      <c r="EO829" s="323">
        <f t="shared" si="1480"/>
        <v>0</v>
      </c>
      <c r="EP829" s="323">
        <f t="shared" si="1480"/>
        <v>0</v>
      </c>
      <c r="EQ829" s="323">
        <f t="shared" ref="EQ829:FV829" si="1481">EQ424</f>
        <v>0</v>
      </c>
      <c r="ER829" s="323">
        <f t="shared" si="1481"/>
        <v>0</v>
      </c>
      <c r="ES829" s="323">
        <f t="shared" si="1481"/>
        <v>0</v>
      </c>
      <c r="ET829" s="323">
        <f t="shared" si="1481"/>
        <v>0</v>
      </c>
      <c r="EU829" s="323">
        <f t="shared" si="1481"/>
        <v>0</v>
      </c>
      <c r="EV829" s="323">
        <f t="shared" si="1481"/>
        <v>0</v>
      </c>
      <c r="EW829" s="323">
        <f t="shared" si="1481"/>
        <v>0</v>
      </c>
      <c r="EX829" s="325">
        <f t="shared" si="1481"/>
        <v>0</v>
      </c>
      <c r="EY829" s="323">
        <f t="shared" si="1481"/>
        <v>0</v>
      </c>
      <c r="EZ829" s="323">
        <f t="shared" si="1481"/>
        <v>0</v>
      </c>
      <c r="FA829" s="323">
        <f t="shared" si="1481"/>
        <v>0</v>
      </c>
      <c r="FB829" s="323">
        <f t="shared" si="1481"/>
        <v>0</v>
      </c>
      <c r="FC829" s="323">
        <f t="shared" si="1481"/>
        <v>0</v>
      </c>
      <c r="FD829" s="323">
        <f t="shared" si="1481"/>
        <v>0</v>
      </c>
      <c r="FE829" s="323">
        <f t="shared" si="1481"/>
        <v>0</v>
      </c>
      <c r="FF829" s="323">
        <f t="shared" si="1481"/>
        <v>0</v>
      </c>
      <c r="FG829" s="323">
        <f t="shared" si="1481"/>
        <v>0</v>
      </c>
      <c r="FH829" s="323">
        <f t="shared" si="1481"/>
        <v>0</v>
      </c>
      <c r="FI829" s="323">
        <f t="shared" si="1481"/>
        <v>0</v>
      </c>
      <c r="FJ829" s="325">
        <f t="shared" si="1481"/>
        <v>0</v>
      </c>
      <c r="FK829" s="323">
        <f t="shared" si="1481"/>
        <v>0</v>
      </c>
      <c r="FL829" s="323">
        <f t="shared" si="1481"/>
        <v>0</v>
      </c>
      <c r="FM829" s="323">
        <f t="shared" si="1481"/>
        <v>0</v>
      </c>
      <c r="FN829" s="323">
        <f t="shared" si="1481"/>
        <v>0</v>
      </c>
      <c r="FO829" s="323">
        <f t="shared" si="1481"/>
        <v>0</v>
      </c>
      <c r="FP829" s="323">
        <f t="shared" si="1481"/>
        <v>0</v>
      </c>
      <c r="FQ829" s="323">
        <f t="shared" si="1481"/>
        <v>0</v>
      </c>
      <c r="FR829" s="323">
        <f t="shared" si="1481"/>
        <v>0</v>
      </c>
      <c r="FS829" s="323">
        <f t="shared" si="1481"/>
        <v>0</v>
      </c>
      <c r="FT829" s="323">
        <f t="shared" si="1481"/>
        <v>0</v>
      </c>
      <c r="FU829" s="323">
        <f t="shared" si="1481"/>
        <v>0</v>
      </c>
      <c r="FV829" s="323">
        <f t="shared" si="1481"/>
        <v>0</v>
      </c>
      <c r="FW829" s="323">
        <v>0</v>
      </c>
      <c r="FX829" s="323">
        <v>0</v>
      </c>
      <c r="FY829" s="323">
        <v>0</v>
      </c>
      <c r="FZ829" s="323">
        <v>0</v>
      </c>
      <c r="GA829" s="323">
        <v>0</v>
      </c>
      <c r="GB829" s="323">
        <v>0</v>
      </c>
      <c r="GC829" s="323">
        <v>0</v>
      </c>
      <c r="GD829" s="323">
        <v>0</v>
      </c>
      <c r="GE829" s="323">
        <v>0</v>
      </c>
      <c r="GF829" s="323">
        <v>0</v>
      </c>
      <c r="GG829" s="323">
        <v>0</v>
      </c>
      <c r="GH829" s="323">
        <v>0</v>
      </c>
      <c r="GI829" s="323">
        <v>0</v>
      </c>
      <c r="GJ829" s="323">
        <v>0</v>
      </c>
      <c r="GK829" s="323">
        <v>0</v>
      </c>
      <c r="GL829" s="323">
        <v>0</v>
      </c>
      <c r="GM829" s="323">
        <v>0</v>
      </c>
      <c r="GN829" s="323">
        <v>0</v>
      </c>
      <c r="GO829" s="323">
        <v>0</v>
      </c>
      <c r="GP829" s="323">
        <v>0</v>
      </c>
      <c r="GQ829" s="323">
        <v>0</v>
      </c>
      <c r="GR829" s="323">
        <v>0</v>
      </c>
      <c r="GS829" s="323">
        <v>0</v>
      </c>
      <c r="GT829" s="323">
        <v>0</v>
      </c>
      <c r="GU829" s="323">
        <f t="shared" ref="GU829:HL829" si="1482">GU424</f>
        <v>0</v>
      </c>
      <c r="GV829" s="323">
        <f t="shared" si="1482"/>
        <v>0</v>
      </c>
      <c r="GW829" s="323">
        <f t="shared" si="1482"/>
        <v>0</v>
      </c>
      <c r="GX829" s="323">
        <f t="shared" si="1482"/>
        <v>0</v>
      </c>
      <c r="GY829" s="323">
        <f t="shared" si="1482"/>
        <v>0</v>
      </c>
      <c r="GZ829" s="323">
        <f t="shared" si="1482"/>
        <v>0</v>
      </c>
      <c r="HA829" s="323">
        <f t="shared" si="1482"/>
        <v>0</v>
      </c>
      <c r="HB829" s="323">
        <f t="shared" si="1482"/>
        <v>0</v>
      </c>
      <c r="HC829" s="323">
        <f t="shared" si="1482"/>
        <v>0</v>
      </c>
      <c r="HD829" s="323">
        <f t="shared" si="1482"/>
        <v>0</v>
      </c>
      <c r="HE829" s="323">
        <f t="shared" si="1482"/>
        <v>9.3539999999999992</v>
      </c>
      <c r="HF829" s="323">
        <f t="shared" si="1482"/>
        <v>0</v>
      </c>
      <c r="HG829" s="323">
        <f t="shared" si="1482"/>
        <v>0</v>
      </c>
      <c r="HH829" s="323">
        <f t="shared" si="1482"/>
        <v>0</v>
      </c>
      <c r="HI829" s="323">
        <f t="shared" si="1482"/>
        <v>0</v>
      </c>
      <c r="HJ829" s="323">
        <f t="shared" si="1482"/>
        <v>0</v>
      </c>
      <c r="HK829" s="323">
        <f t="shared" si="1482"/>
        <v>0</v>
      </c>
      <c r="HL829" s="323">
        <f t="shared" si="1482"/>
        <v>0</v>
      </c>
      <c r="HM829" s="323">
        <f t="shared" ref="HM829:HR829" si="1483">HM424</f>
        <v>0</v>
      </c>
      <c r="HN829" s="323">
        <f t="shared" si="1483"/>
        <v>0</v>
      </c>
      <c r="HO829" s="323">
        <f t="shared" si="1483"/>
        <v>0</v>
      </c>
      <c r="HP829" s="323">
        <f t="shared" si="1483"/>
        <v>0</v>
      </c>
      <c r="HQ829" s="323">
        <f t="shared" si="1483"/>
        <v>0.54822534899999997</v>
      </c>
      <c r="HR829" s="323">
        <f t="shared" si="1483"/>
        <v>7.3</v>
      </c>
      <c r="HS829" s="323">
        <f t="shared" ref="HS829:HX829" si="1484">HS424</f>
        <v>0</v>
      </c>
      <c r="HT829" s="323">
        <f t="shared" si="1484"/>
        <v>0</v>
      </c>
      <c r="HU829" s="323">
        <f t="shared" si="1484"/>
        <v>0</v>
      </c>
      <c r="HV829" s="323">
        <f t="shared" si="1484"/>
        <v>0</v>
      </c>
      <c r="HW829" s="323">
        <f t="shared" si="1484"/>
        <v>0</v>
      </c>
      <c r="HX829" s="323">
        <f t="shared" si="1484"/>
        <v>18</v>
      </c>
      <c r="HY829" s="323"/>
      <c r="HZ829" s="326"/>
      <c r="IA829" s="1497" t="s">
        <v>513</v>
      </c>
      <c r="IB829" s="284">
        <f t="shared" si="1424"/>
        <v>1.4850897569999999</v>
      </c>
      <c r="IC829" s="279">
        <f t="shared" si="1425"/>
        <v>0.49915458999999995</v>
      </c>
      <c r="ID829" s="323">
        <f t="shared" si="907"/>
        <v>1.9842443469999997</v>
      </c>
      <c r="IE829" s="279">
        <f t="shared" si="1426"/>
        <v>0.248</v>
      </c>
      <c r="IF829" s="279">
        <f t="shared" si="1427"/>
        <v>3.1440000000000001</v>
      </c>
      <c r="IG829" s="323">
        <f t="shared" si="880"/>
        <v>3.3920000000000003</v>
      </c>
      <c r="IH829" s="284">
        <f t="shared" si="1428"/>
        <v>0.46899999999999997</v>
      </c>
      <c r="II829" s="279">
        <f t="shared" si="1429"/>
        <v>2.8769999999999998</v>
      </c>
      <c r="IJ829" s="323">
        <f t="shared" si="881"/>
        <v>3.3459999999999996</v>
      </c>
      <c r="IK829" s="327">
        <f t="shared" si="1430"/>
        <v>0</v>
      </c>
      <c r="IL829" s="279">
        <f t="shared" si="1431"/>
        <v>3.2614522140000002</v>
      </c>
      <c r="IM829" s="323">
        <f t="shared" si="882"/>
        <v>3.2614522140000002</v>
      </c>
      <c r="IN829" s="279">
        <f t="shared" si="1432"/>
        <v>0.51394423099999997</v>
      </c>
      <c r="IO829" s="279">
        <f t="shared" si="1433"/>
        <v>2.8380189150000001</v>
      </c>
      <c r="IP829" s="323">
        <f t="shared" si="883"/>
        <v>3.3519631460000001</v>
      </c>
      <c r="IQ829" s="327">
        <f t="shared" si="1434"/>
        <v>0</v>
      </c>
      <c r="IR829" s="327">
        <f t="shared" si="1435"/>
        <v>0</v>
      </c>
      <c r="IS829" s="323">
        <f t="shared" si="884"/>
        <v>0</v>
      </c>
      <c r="IT829" s="327">
        <f t="shared" si="1436"/>
        <v>0</v>
      </c>
      <c r="IU829" s="327">
        <f t="shared" si="1437"/>
        <v>0</v>
      </c>
      <c r="IV829" s="323">
        <f t="shared" si="885"/>
        <v>0</v>
      </c>
      <c r="IW829" s="327">
        <f t="shared" si="1438"/>
        <v>0</v>
      </c>
      <c r="IX829" s="327">
        <f t="shared" si="1378"/>
        <v>0</v>
      </c>
      <c r="IY829" s="323">
        <f t="shared" si="1475"/>
        <v>0</v>
      </c>
      <c r="IZ829" s="327">
        <f t="shared" si="1439"/>
        <v>0</v>
      </c>
      <c r="JA829" s="327">
        <f t="shared" si="1440"/>
        <v>0</v>
      </c>
      <c r="JB829" s="323">
        <f t="shared" si="1458"/>
        <v>0</v>
      </c>
      <c r="JC829" s="327">
        <f t="shared" si="1441"/>
        <v>0</v>
      </c>
      <c r="JD829" s="327">
        <f t="shared" si="1442"/>
        <v>0</v>
      </c>
      <c r="JE829" s="323">
        <f t="shared" si="1459"/>
        <v>0</v>
      </c>
      <c r="JF829" s="327">
        <f t="shared" si="1460"/>
        <v>0</v>
      </c>
      <c r="JG829" s="327">
        <f t="shared" si="1372"/>
        <v>9.3539999999999992</v>
      </c>
      <c r="JH829" s="323">
        <f t="shared" si="1406"/>
        <v>9.3539999999999992</v>
      </c>
      <c r="JI829" s="327">
        <f t="shared" si="1476"/>
        <v>0</v>
      </c>
      <c r="JJ829" s="327">
        <f t="shared" si="1405"/>
        <v>7.8482253489999998</v>
      </c>
      <c r="JK829" s="323">
        <f t="shared" si="1398"/>
        <v>7.8482253489999998</v>
      </c>
      <c r="JL829" s="327">
        <f t="shared" si="1407"/>
        <v>18</v>
      </c>
      <c r="JM829" s="279">
        <f t="shared" si="892"/>
        <v>0</v>
      </c>
      <c r="JN829" s="323">
        <f>FISC!AK1135</f>
        <v>18</v>
      </c>
      <c r="JO829" s="327">
        <f t="shared" si="1461"/>
        <v>0</v>
      </c>
      <c r="JP829" s="279">
        <f t="shared" si="1443"/>
        <v>0</v>
      </c>
      <c r="JQ829" s="323">
        <f>FISC!AL1135</f>
        <v>0</v>
      </c>
      <c r="JR829" s="327">
        <f t="shared" si="1462"/>
        <v>0</v>
      </c>
      <c r="JS829" s="279">
        <f t="shared" si="1444"/>
        <v>0</v>
      </c>
      <c r="JT829" s="323">
        <f>FISC!AM1135</f>
        <v>0</v>
      </c>
      <c r="JU829" s="327">
        <f t="shared" si="1463"/>
        <v>0</v>
      </c>
      <c r="JV829" s="279">
        <f t="shared" si="1445"/>
        <v>0</v>
      </c>
      <c r="JW829" s="323">
        <f>FISC!AN1135</f>
        <v>0</v>
      </c>
      <c r="JX829" s="327">
        <f t="shared" si="1464"/>
        <v>0</v>
      </c>
      <c r="JY829" s="279">
        <f t="shared" si="1446"/>
        <v>0</v>
      </c>
      <c r="JZ829" s="323">
        <f>FISC!AO1135</f>
        <v>0</v>
      </c>
      <c r="KA829" s="327">
        <f t="shared" si="1465"/>
        <v>0</v>
      </c>
      <c r="KB829" s="279">
        <f t="shared" si="1447"/>
        <v>0</v>
      </c>
      <c r="KC829" s="323">
        <f>FISC!AP1135</f>
        <v>0</v>
      </c>
      <c r="KD829" s="327">
        <f t="shared" si="1466"/>
        <v>0</v>
      </c>
      <c r="KE829" s="279">
        <f t="shared" si="1448"/>
        <v>0</v>
      </c>
      <c r="KF829" s="323">
        <f>FISC!AQ1135</f>
        <v>0</v>
      </c>
      <c r="KG829" s="327">
        <f t="shared" si="1467"/>
        <v>0</v>
      </c>
      <c r="KH829" s="279">
        <f t="shared" si="1449"/>
        <v>0</v>
      </c>
      <c r="KI829" s="323">
        <f>FISC!AR1135</f>
        <v>0</v>
      </c>
      <c r="KJ829" s="327">
        <f t="shared" si="1468"/>
        <v>0</v>
      </c>
      <c r="KK829" s="279">
        <f t="shared" si="1450"/>
        <v>0</v>
      </c>
      <c r="KL829" s="323">
        <f>FISC!AS1135</f>
        <v>0</v>
      </c>
      <c r="KM829" s="327">
        <f t="shared" si="1469"/>
        <v>0</v>
      </c>
      <c r="KN829" s="279">
        <f t="shared" si="1451"/>
        <v>0</v>
      </c>
      <c r="KO829" s="323">
        <f>FISC!AT1135</f>
        <v>0</v>
      </c>
      <c r="KU829" s="326"/>
      <c r="KV829" s="327"/>
    </row>
    <row r="830" spans="1:314">
      <c r="A830" s="279"/>
      <c r="D830" s="1497" t="s">
        <v>514</v>
      </c>
      <c r="E830" s="323"/>
      <c r="F830" s="323"/>
      <c r="G830" s="323"/>
      <c r="H830" s="323"/>
      <c r="I830" s="323"/>
      <c r="J830" s="323"/>
      <c r="K830" s="323"/>
      <c r="L830" s="323"/>
      <c r="M830" s="323"/>
      <c r="N830" s="323"/>
      <c r="O830" s="323"/>
      <c r="P830" s="323"/>
      <c r="Q830" s="323"/>
      <c r="R830" s="323"/>
      <c r="S830" s="323"/>
      <c r="T830" s="323"/>
      <c r="U830" s="323"/>
      <c r="V830" s="323"/>
      <c r="W830" s="323"/>
      <c r="X830" s="323"/>
      <c r="Y830" s="323"/>
      <c r="Z830" s="323"/>
      <c r="AA830" s="323"/>
      <c r="AB830" s="323"/>
      <c r="AC830" s="323"/>
      <c r="AD830" s="323"/>
      <c r="AE830" s="323"/>
      <c r="AF830" s="323"/>
      <c r="AG830" s="323"/>
      <c r="AH830" s="323"/>
      <c r="AI830" s="323"/>
      <c r="AJ830" s="323"/>
      <c r="AK830" s="323"/>
      <c r="AL830" s="323"/>
      <c r="AM830" s="323"/>
      <c r="AN830" s="323"/>
      <c r="AO830" s="323"/>
      <c r="AP830" s="323"/>
      <c r="AQ830" s="323"/>
      <c r="AR830" s="323"/>
      <c r="AS830" s="323"/>
      <c r="AT830" s="323"/>
      <c r="AU830" s="323"/>
      <c r="AV830" s="323"/>
      <c r="AW830" s="323"/>
      <c r="AX830" s="323"/>
      <c r="AY830" s="323"/>
      <c r="AZ830" s="323"/>
      <c r="BA830" s="323"/>
      <c r="BB830" s="323"/>
      <c r="BC830" s="323"/>
      <c r="BD830" s="323"/>
      <c r="BE830" s="323"/>
      <c r="BF830" s="323"/>
      <c r="BG830" s="323"/>
      <c r="BH830" s="323"/>
      <c r="BI830" s="323"/>
      <c r="BJ830" s="323"/>
      <c r="BK830" s="323"/>
      <c r="BL830" s="323"/>
      <c r="BM830" s="323"/>
      <c r="BN830" s="323"/>
      <c r="BO830" s="323"/>
      <c r="BP830" s="323"/>
      <c r="BQ830" s="323"/>
      <c r="BR830" s="323"/>
      <c r="BS830" s="323"/>
      <c r="BT830" s="323"/>
      <c r="BU830" s="323"/>
      <c r="BV830" s="323"/>
      <c r="BW830" s="323"/>
      <c r="BX830" s="323"/>
      <c r="BY830" s="323"/>
      <c r="BZ830" s="323"/>
      <c r="CA830" s="323"/>
      <c r="CB830" s="323"/>
      <c r="CC830" s="323"/>
      <c r="CD830" s="329"/>
      <c r="CE830" s="323">
        <f t="shared" ref="CE830:DJ830" si="1485">CE425</f>
        <v>0</v>
      </c>
      <c r="CF830" s="323">
        <f t="shared" si="1485"/>
        <v>0</v>
      </c>
      <c r="CG830" s="323">
        <f t="shared" si="1485"/>
        <v>0</v>
      </c>
      <c r="CH830" s="323">
        <f t="shared" si="1485"/>
        <v>0</v>
      </c>
      <c r="CI830" s="323">
        <f t="shared" si="1485"/>
        <v>0</v>
      </c>
      <c r="CJ830" s="323">
        <f t="shared" si="1485"/>
        <v>0</v>
      </c>
      <c r="CK830" s="323">
        <f t="shared" si="1485"/>
        <v>0</v>
      </c>
      <c r="CL830" s="323">
        <f t="shared" si="1485"/>
        <v>0</v>
      </c>
      <c r="CM830" s="323">
        <f t="shared" si="1485"/>
        <v>0</v>
      </c>
      <c r="CN830" s="323">
        <f t="shared" si="1485"/>
        <v>0</v>
      </c>
      <c r="CO830" s="323">
        <f t="shared" si="1485"/>
        <v>0</v>
      </c>
      <c r="CP830" s="325">
        <f t="shared" si="1485"/>
        <v>0</v>
      </c>
      <c r="CQ830" s="323">
        <f t="shared" si="1485"/>
        <v>0</v>
      </c>
      <c r="CR830" s="323">
        <f t="shared" si="1485"/>
        <v>0</v>
      </c>
      <c r="CS830" s="323">
        <f t="shared" si="1485"/>
        <v>0</v>
      </c>
      <c r="CT830" s="323">
        <f t="shared" si="1485"/>
        <v>0</v>
      </c>
      <c r="CU830" s="323">
        <f t="shared" si="1485"/>
        <v>0</v>
      </c>
      <c r="CV830" s="323">
        <f t="shared" si="1485"/>
        <v>0</v>
      </c>
      <c r="CW830" s="323">
        <f t="shared" si="1485"/>
        <v>0</v>
      </c>
      <c r="CX830" s="323">
        <f t="shared" si="1485"/>
        <v>0</v>
      </c>
      <c r="CY830" s="323">
        <f t="shared" si="1485"/>
        <v>0</v>
      </c>
      <c r="CZ830" s="323">
        <f t="shared" si="1485"/>
        <v>0</v>
      </c>
      <c r="DA830" s="323">
        <f t="shared" si="1485"/>
        <v>0</v>
      </c>
      <c r="DB830" s="1269">
        <f t="shared" si="1485"/>
        <v>0</v>
      </c>
      <c r="DC830" s="323">
        <f t="shared" si="1485"/>
        <v>0</v>
      </c>
      <c r="DD830" s="323">
        <f t="shared" si="1485"/>
        <v>0</v>
      </c>
      <c r="DE830" s="323">
        <f t="shared" si="1485"/>
        <v>0</v>
      </c>
      <c r="DF830" s="323">
        <f t="shared" si="1485"/>
        <v>0</v>
      </c>
      <c r="DG830" s="323">
        <f t="shared" si="1485"/>
        <v>0</v>
      </c>
      <c r="DH830" s="323">
        <f t="shared" si="1485"/>
        <v>0</v>
      </c>
      <c r="DI830" s="323">
        <f t="shared" si="1485"/>
        <v>0</v>
      </c>
      <c r="DJ830" s="323">
        <f t="shared" si="1485"/>
        <v>0</v>
      </c>
      <c r="DK830" s="323">
        <f t="shared" ref="DK830:EP830" si="1486">DK425</f>
        <v>0</v>
      </c>
      <c r="DL830" s="323">
        <f t="shared" si="1486"/>
        <v>0</v>
      </c>
      <c r="DM830" s="323">
        <f t="shared" si="1486"/>
        <v>0</v>
      </c>
      <c r="DN830" s="325">
        <f t="shared" si="1486"/>
        <v>0</v>
      </c>
      <c r="DO830" s="323">
        <f t="shared" si="1486"/>
        <v>0</v>
      </c>
      <c r="DP830" s="323">
        <f t="shared" si="1486"/>
        <v>0</v>
      </c>
      <c r="DQ830" s="323">
        <f t="shared" si="1486"/>
        <v>0</v>
      </c>
      <c r="DR830" s="323">
        <f t="shared" si="1486"/>
        <v>0</v>
      </c>
      <c r="DS830" s="323">
        <f t="shared" si="1486"/>
        <v>0</v>
      </c>
      <c r="DT830" s="323">
        <f t="shared" si="1486"/>
        <v>0</v>
      </c>
      <c r="DU830" s="323">
        <f t="shared" si="1486"/>
        <v>0</v>
      </c>
      <c r="DV830" s="323">
        <f t="shared" si="1486"/>
        <v>0</v>
      </c>
      <c r="DW830" s="323">
        <f t="shared" si="1486"/>
        <v>0</v>
      </c>
      <c r="DX830" s="323">
        <f t="shared" si="1486"/>
        <v>0</v>
      </c>
      <c r="DY830" s="323">
        <f t="shared" si="1486"/>
        <v>0</v>
      </c>
      <c r="DZ830" s="325">
        <f t="shared" si="1486"/>
        <v>0</v>
      </c>
      <c r="EA830" s="323">
        <f t="shared" si="1486"/>
        <v>0</v>
      </c>
      <c r="EB830" s="323">
        <f t="shared" si="1486"/>
        <v>0</v>
      </c>
      <c r="EC830" s="323">
        <f t="shared" si="1486"/>
        <v>0</v>
      </c>
      <c r="ED830" s="323">
        <f t="shared" si="1486"/>
        <v>0</v>
      </c>
      <c r="EE830" s="323">
        <f t="shared" si="1486"/>
        <v>0</v>
      </c>
      <c r="EF830" s="323">
        <f t="shared" si="1486"/>
        <v>0</v>
      </c>
      <c r="EG830" s="323">
        <f t="shared" si="1486"/>
        <v>0</v>
      </c>
      <c r="EH830" s="323">
        <f t="shared" si="1486"/>
        <v>0</v>
      </c>
      <c r="EI830" s="323">
        <f t="shared" si="1486"/>
        <v>0</v>
      </c>
      <c r="EJ830" s="323">
        <f t="shared" si="1486"/>
        <v>0</v>
      </c>
      <c r="EK830" s="323">
        <f t="shared" si="1486"/>
        <v>0</v>
      </c>
      <c r="EL830" s="325">
        <f t="shared" si="1486"/>
        <v>0</v>
      </c>
      <c r="EM830" s="323">
        <f t="shared" si="1486"/>
        <v>0</v>
      </c>
      <c r="EN830" s="323">
        <f t="shared" si="1486"/>
        <v>0</v>
      </c>
      <c r="EO830" s="323">
        <f t="shared" si="1486"/>
        <v>0</v>
      </c>
      <c r="EP830" s="323">
        <f t="shared" si="1486"/>
        <v>0</v>
      </c>
      <c r="EQ830" s="323">
        <f t="shared" ref="EQ830:FV830" si="1487">EQ425</f>
        <v>0</v>
      </c>
      <c r="ER830" s="323">
        <f t="shared" si="1487"/>
        <v>0</v>
      </c>
      <c r="ES830" s="323">
        <f t="shared" si="1487"/>
        <v>0</v>
      </c>
      <c r="ET830" s="323">
        <f t="shared" si="1487"/>
        <v>0</v>
      </c>
      <c r="EU830" s="323">
        <f t="shared" si="1487"/>
        <v>0</v>
      </c>
      <c r="EV830" s="323">
        <f t="shared" si="1487"/>
        <v>0</v>
      </c>
      <c r="EW830" s="323">
        <f t="shared" si="1487"/>
        <v>0</v>
      </c>
      <c r="EX830" s="325">
        <f t="shared" si="1487"/>
        <v>0</v>
      </c>
      <c r="EY830" s="323">
        <f t="shared" si="1487"/>
        <v>0</v>
      </c>
      <c r="EZ830" s="323">
        <f t="shared" si="1487"/>
        <v>0</v>
      </c>
      <c r="FA830" s="323">
        <f t="shared" si="1487"/>
        <v>0</v>
      </c>
      <c r="FB830" s="323">
        <f t="shared" si="1487"/>
        <v>0</v>
      </c>
      <c r="FC830" s="323">
        <f t="shared" si="1487"/>
        <v>0</v>
      </c>
      <c r="FD830" s="323">
        <f t="shared" si="1487"/>
        <v>0</v>
      </c>
      <c r="FE830" s="323">
        <f t="shared" si="1487"/>
        <v>0</v>
      </c>
      <c r="FF830" s="323">
        <f t="shared" si="1487"/>
        <v>0</v>
      </c>
      <c r="FG830" s="323">
        <f t="shared" si="1487"/>
        <v>0</v>
      </c>
      <c r="FH830" s="323">
        <f t="shared" si="1487"/>
        <v>0</v>
      </c>
      <c r="FI830" s="323">
        <f t="shared" si="1487"/>
        <v>0</v>
      </c>
      <c r="FJ830" s="325">
        <f t="shared" si="1487"/>
        <v>0</v>
      </c>
      <c r="FK830" s="323">
        <f t="shared" si="1487"/>
        <v>0</v>
      </c>
      <c r="FL830" s="323">
        <f t="shared" si="1487"/>
        <v>0</v>
      </c>
      <c r="FM830" s="323">
        <f t="shared" si="1487"/>
        <v>0</v>
      </c>
      <c r="FN830" s="323">
        <f t="shared" si="1487"/>
        <v>0</v>
      </c>
      <c r="FO830" s="323">
        <f t="shared" si="1487"/>
        <v>0</v>
      </c>
      <c r="FP830" s="323">
        <f t="shared" si="1487"/>
        <v>0</v>
      </c>
      <c r="FQ830" s="323">
        <f t="shared" si="1487"/>
        <v>0</v>
      </c>
      <c r="FR830" s="323">
        <f t="shared" si="1487"/>
        <v>0</v>
      </c>
      <c r="FS830" s="323">
        <f t="shared" si="1487"/>
        <v>0</v>
      </c>
      <c r="FT830" s="323">
        <f t="shared" si="1487"/>
        <v>0</v>
      </c>
      <c r="FU830" s="323">
        <f t="shared" si="1487"/>
        <v>0</v>
      </c>
      <c r="FV830" s="323">
        <f t="shared" si="1487"/>
        <v>0</v>
      </c>
      <c r="FW830" s="323">
        <v>0</v>
      </c>
      <c r="FX830" s="323">
        <v>0</v>
      </c>
      <c r="FY830" s="323">
        <v>0</v>
      </c>
      <c r="FZ830" s="323">
        <v>0</v>
      </c>
      <c r="GA830" s="323">
        <v>0</v>
      </c>
      <c r="GB830" s="323">
        <v>0</v>
      </c>
      <c r="GC830" s="323">
        <v>0</v>
      </c>
      <c r="GD830" s="323">
        <v>0</v>
      </c>
      <c r="GE830" s="323">
        <v>0</v>
      </c>
      <c r="GF830" s="323">
        <v>0</v>
      </c>
      <c r="GG830" s="323">
        <v>0</v>
      </c>
      <c r="GH830" s="323">
        <v>0</v>
      </c>
      <c r="GI830" s="323">
        <v>0</v>
      </c>
      <c r="GJ830" s="323">
        <v>0</v>
      </c>
      <c r="GK830" s="323">
        <v>0</v>
      </c>
      <c r="GL830" s="323">
        <v>0</v>
      </c>
      <c r="GM830" s="323">
        <v>0</v>
      </c>
      <c r="GN830" s="323">
        <v>0</v>
      </c>
      <c r="GO830" s="323">
        <v>0</v>
      </c>
      <c r="GP830" s="323">
        <v>0</v>
      </c>
      <c r="GQ830" s="323">
        <v>0</v>
      </c>
      <c r="GR830" s="323">
        <v>0</v>
      </c>
      <c r="GS830" s="323">
        <v>0</v>
      </c>
      <c r="GT830" s="323">
        <v>0</v>
      </c>
      <c r="GU830" s="323">
        <v>0</v>
      </c>
      <c r="GV830" s="323">
        <v>0</v>
      </c>
      <c r="GW830" s="323">
        <v>0</v>
      </c>
      <c r="GX830" s="323">
        <v>0</v>
      </c>
      <c r="GY830" s="323">
        <v>0</v>
      </c>
      <c r="GZ830" s="323">
        <v>0</v>
      </c>
      <c r="HA830" s="323">
        <v>0</v>
      </c>
      <c r="HB830" s="323">
        <v>0</v>
      </c>
      <c r="HC830" s="323">
        <v>0</v>
      </c>
      <c r="HD830" s="323">
        <v>0</v>
      </c>
      <c r="HE830" s="323">
        <v>0</v>
      </c>
      <c r="HF830" s="323">
        <v>0</v>
      </c>
      <c r="HG830" s="323">
        <v>0</v>
      </c>
      <c r="HH830" s="323">
        <v>0</v>
      </c>
      <c r="HI830" s="323">
        <v>0</v>
      </c>
      <c r="HJ830" s="323">
        <v>0</v>
      </c>
      <c r="HK830" s="323">
        <v>0</v>
      </c>
      <c r="HL830" s="323">
        <v>0</v>
      </c>
      <c r="HM830" s="323">
        <v>0</v>
      </c>
      <c r="HN830" s="323">
        <v>0</v>
      </c>
      <c r="HO830" s="323">
        <v>0</v>
      </c>
      <c r="HP830" s="323">
        <v>0</v>
      </c>
      <c r="HQ830" s="323">
        <v>0</v>
      </c>
      <c r="HR830" s="323">
        <v>0</v>
      </c>
      <c r="HS830" s="323">
        <v>0</v>
      </c>
      <c r="HT830" s="323">
        <v>0</v>
      </c>
      <c r="HU830" s="323">
        <v>0</v>
      </c>
      <c r="HV830" s="323">
        <v>0</v>
      </c>
      <c r="HW830" s="323">
        <v>0</v>
      </c>
      <c r="HX830" s="323">
        <v>0</v>
      </c>
      <c r="HY830" s="323"/>
      <c r="HZ830" s="326"/>
      <c r="IA830" s="1497" t="s">
        <v>514</v>
      </c>
      <c r="IB830" s="284">
        <f t="shared" si="1424"/>
        <v>0</v>
      </c>
      <c r="IC830" s="279">
        <f t="shared" si="1425"/>
        <v>0</v>
      </c>
      <c r="ID830" s="323">
        <f t="shared" si="907"/>
        <v>0</v>
      </c>
      <c r="IE830" s="279">
        <f t="shared" si="1426"/>
        <v>0</v>
      </c>
      <c r="IF830" s="279">
        <f t="shared" si="1427"/>
        <v>0</v>
      </c>
      <c r="IG830" s="323">
        <f t="shared" si="880"/>
        <v>0</v>
      </c>
      <c r="IH830" s="284">
        <f t="shared" si="1428"/>
        <v>0</v>
      </c>
      <c r="II830" s="279">
        <f t="shared" si="1429"/>
        <v>0</v>
      </c>
      <c r="IJ830" s="323">
        <f t="shared" si="881"/>
        <v>0</v>
      </c>
      <c r="IK830" s="327">
        <f t="shared" si="1430"/>
        <v>0</v>
      </c>
      <c r="IL830" s="279">
        <f t="shared" si="1431"/>
        <v>0</v>
      </c>
      <c r="IM830" s="323">
        <f t="shared" si="882"/>
        <v>0</v>
      </c>
      <c r="IN830" s="279">
        <f t="shared" si="1432"/>
        <v>0</v>
      </c>
      <c r="IO830" s="279">
        <f t="shared" si="1433"/>
        <v>0</v>
      </c>
      <c r="IP830" s="323">
        <f t="shared" si="883"/>
        <v>0</v>
      </c>
      <c r="IQ830" s="327">
        <f t="shared" si="1434"/>
        <v>0</v>
      </c>
      <c r="IR830" s="327">
        <f t="shared" si="1435"/>
        <v>0</v>
      </c>
      <c r="IS830" s="323">
        <f t="shared" si="884"/>
        <v>0</v>
      </c>
      <c r="IT830" s="327">
        <f t="shared" si="1436"/>
        <v>0</v>
      </c>
      <c r="IU830" s="327">
        <f t="shared" si="1437"/>
        <v>0</v>
      </c>
      <c r="IV830" s="323">
        <f t="shared" si="885"/>
        <v>0</v>
      </c>
      <c r="IW830" s="327">
        <f t="shared" si="1438"/>
        <v>0</v>
      </c>
      <c r="IX830" s="327">
        <f t="shared" si="1378"/>
        <v>0</v>
      </c>
      <c r="IY830" s="323">
        <f>IW830+IX830</f>
        <v>0</v>
      </c>
      <c r="IZ830" s="327">
        <f t="shared" si="1439"/>
        <v>0</v>
      </c>
      <c r="JA830" s="327">
        <f t="shared" si="1440"/>
        <v>0</v>
      </c>
      <c r="JB830" s="323">
        <f t="shared" si="1458"/>
        <v>0</v>
      </c>
      <c r="JC830" s="327">
        <f t="shared" si="1441"/>
        <v>0</v>
      </c>
      <c r="JD830" s="327">
        <f t="shared" si="1442"/>
        <v>0</v>
      </c>
      <c r="JE830" s="323">
        <f t="shared" si="1459"/>
        <v>0</v>
      </c>
      <c r="JF830" s="327">
        <f t="shared" si="1460"/>
        <v>0</v>
      </c>
      <c r="JG830" s="327">
        <f t="shared" si="1372"/>
        <v>0</v>
      </c>
      <c r="JH830" s="323">
        <f t="shared" si="1406"/>
        <v>0</v>
      </c>
      <c r="JI830" s="327">
        <f t="shared" si="1476"/>
        <v>0</v>
      </c>
      <c r="JJ830" s="327">
        <f t="shared" si="1405"/>
        <v>0</v>
      </c>
      <c r="JK830" s="323">
        <f t="shared" si="1398"/>
        <v>0</v>
      </c>
      <c r="JL830" s="327">
        <f t="shared" si="1407"/>
        <v>0</v>
      </c>
      <c r="JM830" s="279">
        <f t="shared" ref="JM830:JM839" si="1488">JN830-JL830</f>
        <v>0</v>
      </c>
      <c r="JN830" s="323">
        <f>FISC!AK1136</f>
        <v>0</v>
      </c>
      <c r="JO830" s="327">
        <f t="shared" si="1461"/>
        <v>0</v>
      </c>
      <c r="JP830" s="279">
        <f t="shared" si="1443"/>
        <v>0</v>
      </c>
      <c r="JQ830" s="323">
        <f>FISC!AL1136</f>
        <v>0</v>
      </c>
      <c r="JR830" s="327">
        <f t="shared" si="1462"/>
        <v>0</v>
      </c>
      <c r="JS830" s="279">
        <f t="shared" si="1444"/>
        <v>0</v>
      </c>
      <c r="JT830" s="323">
        <f>FISC!AM1136</f>
        <v>0</v>
      </c>
      <c r="JU830" s="327">
        <f t="shared" si="1463"/>
        <v>0</v>
      </c>
      <c r="JV830" s="279">
        <f t="shared" si="1445"/>
        <v>0</v>
      </c>
      <c r="JW830" s="323">
        <f>FISC!AN1136</f>
        <v>0</v>
      </c>
      <c r="JX830" s="327">
        <f t="shared" si="1464"/>
        <v>0</v>
      </c>
      <c r="JY830" s="279">
        <f t="shared" si="1446"/>
        <v>0</v>
      </c>
      <c r="JZ830" s="323">
        <f>FISC!AO1136</f>
        <v>0</v>
      </c>
      <c r="KA830" s="327">
        <f t="shared" si="1465"/>
        <v>0</v>
      </c>
      <c r="KB830" s="279">
        <f t="shared" si="1447"/>
        <v>0</v>
      </c>
      <c r="KC830" s="323">
        <f>FISC!AP1136</f>
        <v>0</v>
      </c>
      <c r="KD830" s="327">
        <f t="shared" si="1466"/>
        <v>0</v>
      </c>
      <c r="KE830" s="279">
        <f t="shared" si="1448"/>
        <v>0</v>
      </c>
      <c r="KF830" s="323">
        <f>FISC!AQ1136</f>
        <v>0</v>
      </c>
      <c r="KG830" s="327">
        <f t="shared" si="1467"/>
        <v>0</v>
      </c>
      <c r="KH830" s="279">
        <f t="shared" si="1449"/>
        <v>0</v>
      </c>
      <c r="KI830" s="323">
        <f>FISC!AR1136</f>
        <v>0</v>
      </c>
      <c r="KJ830" s="327">
        <f t="shared" si="1468"/>
        <v>0</v>
      </c>
      <c r="KK830" s="279">
        <f t="shared" si="1450"/>
        <v>0</v>
      </c>
      <c r="KL830" s="323">
        <f>FISC!AS1136</f>
        <v>0</v>
      </c>
      <c r="KM830" s="327">
        <f t="shared" si="1469"/>
        <v>0</v>
      </c>
      <c r="KN830" s="279">
        <f t="shared" si="1451"/>
        <v>0</v>
      </c>
      <c r="KO830" s="323">
        <f>FISC!AT1136</f>
        <v>0</v>
      </c>
      <c r="KU830" s="326"/>
      <c r="KV830" s="327"/>
    </row>
    <row r="831" spans="1:314">
      <c r="A831" s="279"/>
      <c r="D831" s="1517" t="s">
        <v>3157</v>
      </c>
      <c r="E831" s="323"/>
      <c r="F831" s="323"/>
      <c r="G831" s="323"/>
      <c r="H831" s="323"/>
      <c r="I831" s="323"/>
      <c r="J831" s="323"/>
      <c r="K831" s="323"/>
      <c r="L831" s="323"/>
      <c r="M831" s="323"/>
      <c r="N831" s="323"/>
      <c r="O831" s="323"/>
      <c r="P831" s="323"/>
      <c r="Q831" s="323"/>
      <c r="R831" s="323"/>
      <c r="S831" s="323"/>
      <c r="T831" s="323"/>
      <c r="U831" s="323"/>
      <c r="V831" s="323"/>
      <c r="W831" s="323"/>
      <c r="X831" s="323"/>
      <c r="Y831" s="323"/>
      <c r="Z831" s="323"/>
      <c r="AA831" s="323"/>
      <c r="AB831" s="323"/>
      <c r="AC831" s="323"/>
      <c r="AD831" s="323"/>
      <c r="AE831" s="323"/>
      <c r="AF831" s="323"/>
      <c r="AG831" s="323"/>
      <c r="AH831" s="323"/>
      <c r="AI831" s="323"/>
      <c r="AJ831" s="323"/>
      <c r="AK831" s="323"/>
      <c r="AL831" s="323"/>
      <c r="AM831" s="323"/>
      <c r="AN831" s="323"/>
      <c r="AO831" s="323"/>
      <c r="AP831" s="323"/>
      <c r="AQ831" s="323"/>
      <c r="AR831" s="323"/>
      <c r="AS831" s="323"/>
      <c r="AT831" s="323"/>
      <c r="AU831" s="323"/>
      <c r="AV831" s="323"/>
      <c r="AW831" s="323"/>
      <c r="AX831" s="323"/>
      <c r="AY831" s="323"/>
      <c r="AZ831" s="323"/>
      <c r="BA831" s="323"/>
      <c r="BB831" s="323"/>
      <c r="BC831" s="323"/>
      <c r="BD831" s="323"/>
      <c r="BE831" s="323"/>
      <c r="BF831" s="323"/>
      <c r="BG831" s="323"/>
      <c r="BH831" s="323"/>
      <c r="BI831" s="323"/>
      <c r="BJ831" s="323"/>
      <c r="BK831" s="323"/>
      <c r="BL831" s="323"/>
      <c r="BM831" s="323"/>
      <c r="BN831" s="323"/>
      <c r="BO831" s="323"/>
      <c r="BP831" s="323"/>
      <c r="BQ831" s="323"/>
      <c r="BR831" s="323"/>
      <c r="BS831" s="323"/>
      <c r="BT831" s="323"/>
      <c r="BU831" s="323"/>
      <c r="BV831" s="323"/>
      <c r="BW831" s="323"/>
      <c r="BX831" s="323"/>
      <c r="BY831" s="323"/>
      <c r="BZ831" s="323"/>
      <c r="CA831" s="323"/>
      <c r="CB831" s="323"/>
      <c r="CC831" s="323"/>
      <c r="CD831" s="329"/>
      <c r="CE831" s="323">
        <f t="shared" ref="CE831:DJ831" si="1489">CE426</f>
        <v>0</v>
      </c>
      <c r="CF831" s="323">
        <f t="shared" si="1489"/>
        <v>0</v>
      </c>
      <c r="CG831" s="323">
        <f t="shared" si="1489"/>
        <v>0</v>
      </c>
      <c r="CH831" s="323">
        <f t="shared" si="1489"/>
        <v>0</v>
      </c>
      <c r="CI831" s="323">
        <f t="shared" si="1489"/>
        <v>0</v>
      </c>
      <c r="CJ831" s="323">
        <f t="shared" si="1489"/>
        <v>0</v>
      </c>
      <c r="CK831" s="323">
        <f t="shared" si="1489"/>
        <v>0</v>
      </c>
      <c r="CL831" s="323">
        <f t="shared" si="1489"/>
        <v>0</v>
      </c>
      <c r="CM831" s="323">
        <f t="shared" si="1489"/>
        <v>0</v>
      </c>
      <c r="CN831" s="323">
        <f t="shared" si="1489"/>
        <v>0</v>
      </c>
      <c r="CO831" s="323">
        <f t="shared" si="1489"/>
        <v>0</v>
      </c>
      <c r="CP831" s="325">
        <f t="shared" si="1489"/>
        <v>0</v>
      </c>
      <c r="CQ831" s="323">
        <f t="shared" si="1489"/>
        <v>0</v>
      </c>
      <c r="CR831" s="323">
        <f t="shared" si="1489"/>
        <v>0</v>
      </c>
      <c r="CS831" s="323">
        <f t="shared" si="1489"/>
        <v>0</v>
      </c>
      <c r="CT831" s="323">
        <f t="shared" si="1489"/>
        <v>0</v>
      </c>
      <c r="CU831" s="323">
        <f t="shared" si="1489"/>
        <v>0</v>
      </c>
      <c r="CV831" s="323">
        <f t="shared" si="1489"/>
        <v>0</v>
      </c>
      <c r="CW831" s="323">
        <f t="shared" si="1489"/>
        <v>0</v>
      </c>
      <c r="CX831" s="323">
        <f t="shared" si="1489"/>
        <v>0</v>
      </c>
      <c r="CY831" s="323">
        <f t="shared" si="1489"/>
        <v>0</v>
      </c>
      <c r="CZ831" s="323">
        <f t="shared" si="1489"/>
        <v>0</v>
      </c>
      <c r="DA831" s="323">
        <f t="shared" si="1489"/>
        <v>0</v>
      </c>
      <c r="DB831" s="1269">
        <f t="shared" si="1489"/>
        <v>0</v>
      </c>
      <c r="DC831" s="323">
        <f t="shared" si="1489"/>
        <v>0</v>
      </c>
      <c r="DD831" s="323">
        <f t="shared" si="1489"/>
        <v>0</v>
      </c>
      <c r="DE831" s="323">
        <f t="shared" si="1489"/>
        <v>0</v>
      </c>
      <c r="DF831" s="323">
        <f t="shared" si="1489"/>
        <v>0</v>
      </c>
      <c r="DG831" s="323">
        <f t="shared" si="1489"/>
        <v>0</v>
      </c>
      <c r="DH831" s="323">
        <f t="shared" si="1489"/>
        <v>0</v>
      </c>
      <c r="DI831" s="323">
        <f t="shared" si="1489"/>
        <v>0</v>
      </c>
      <c r="DJ831" s="323">
        <f t="shared" si="1489"/>
        <v>0</v>
      </c>
      <c r="DK831" s="323">
        <f t="shared" ref="DK831:EP831" si="1490">DK426</f>
        <v>0</v>
      </c>
      <c r="DL831" s="323">
        <f t="shared" si="1490"/>
        <v>0</v>
      </c>
      <c r="DM831" s="323">
        <f t="shared" si="1490"/>
        <v>0</v>
      </c>
      <c r="DN831" s="325">
        <f t="shared" si="1490"/>
        <v>0</v>
      </c>
      <c r="DO831" s="323">
        <f t="shared" si="1490"/>
        <v>0</v>
      </c>
      <c r="DP831" s="323">
        <f t="shared" si="1490"/>
        <v>0</v>
      </c>
      <c r="DQ831" s="323">
        <f t="shared" si="1490"/>
        <v>0</v>
      </c>
      <c r="DR831" s="323">
        <f t="shared" si="1490"/>
        <v>0</v>
      </c>
      <c r="DS831" s="323">
        <f t="shared" si="1490"/>
        <v>0</v>
      </c>
      <c r="DT831" s="323">
        <f t="shared" si="1490"/>
        <v>0</v>
      </c>
      <c r="DU831" s="323">
        <f t="shared" si="1490"/>
        <v>0</v>
      </c>
      <c r="DV831" s="323">
        <f t="shared" si="1490"/>
        <v>0</v>
      </c>
      <c r="DW831" s="323">
        <f t="shared" si="1490"/>
        <v>0</v>
      </c>
      <c r="DX831" s="323">
        <f t="shared" si="1490"/>
        <v>0</v>
      </c>
      <c r="DY831" s="323">
        <f t="shared" si="1490"/>
        <v>0</v>
      </c>
      <c r="DZ831" s="325">
        <f t="shared" si="1490"/>
        <v>0</v>
      </c>
      <c r="EA831" s="323">
        <f t="shared" si="1490"/>
        <v>0</v>
      </c>
      <c r="EB831" s="323">
        <f t="shared" si="1490"/>
        <v>0</v>
      </c>
      <c r="EC831" s="323">
        <f t="shared" si="1490"/>
        <v>0</v>
      </c>
      <c r="ED831" s="323">
        <f t="shared" si="1490"/>
        <v>0</v>
      </c>
      <c r="EE831" s="323">
        <f t="shared" si="1490"/>
        <v>0</v>
      </c>
      <c r="EF831" s="323">
        <f t="shared" si="1490"/>
        <v>0</v>
      </c>
      <c r="EG831" s="323">
        <f t="shared" si="1490"/>
        <v>0</v>
      </c>
      <c r="EH831" s="323">
        <f t="shared" si="1490"/>
        <v>0</v>
      </c>
      <c r="EI831" s="323">
        <f t="shared" si="1490"/>
        <v>0</v>
      </c>
      <c r="EJ831" s="323">
        <f t="shared" si="1490"/>
        <v>0</v>
      </c>
      <c r="EK831" s="323">
        <f t="shared" si="1490"/>
        <v>0</v>
      </c>
      <c r="EL831" s="325">
        <f t="shared" si="1490"/>
        <v>0</v>
      </c>
      <c r="EM831" s="323">
        <f t="shared" si="1490"/>
        <v>0</v>
      </c>
      <c r="EN831" s="323">
        <f t="shared" si="1490"/>
        <v>0</v>
      </c>
      <c r="EO831" s="323">
        <f t="shared" si="1490"/>
        <v>0</v>
      </c>
      <c r="EP831" s="323">
        <f t="shared" si="1490"/>
        <v>0</v>
      </c>
      <c r="EQ831" s="323">
        <f t="shared" ref="EQ831:FV831" si="1491">EQ426</f>
        <v>0</v>
      </c>
      <c r="ER831" s="323">
        <f t="shared" si="1491"/>
        <v>0</v>
      </c>
      <c r="ES831" s="323">
        <f t="shared" si="1491"/>
        <v>0</v>
      </c>
      <c r="ET831" s="323">
        <f t="shared" si="1491"/>
        <v>0</v>
      </c>
      <c r="EU831" s="323">
        <f t="shared" si="1491"/>
        <v>0</v>
      </c>
      <c r="EV831" s="323">
        <f t="shared" si="1491"/>
        <v>0</v>
      </c>
      <c r="EW831" s="323">
        <f t="shared" si="1491"/>
        <v>0</v>
      </c>
      <c r="EX831" s="325">
        <f t="shared" si="1491"/>
        <v>0</v>
      </c>
      <c r="EY831" s="323">
        <f t="shared" si="1491"/>
        <v>0</v>
      </c>
      <c r="EZ831" s="323">
        <f t="shared" si="1491"/>
        <v>0</v>
      </c>
      <c r="FA831" s="323">
        <f t="shared" si="1491"/>
        <v>0</v>
      </c>
      <c r="FB831" s="323">
        <f t="shared" si="1491"/>
        <v>0</v>
      </c>
      <c r="FC831" s="323">
        <f t="shared" si="1491"/>
        <v>0</v>
      </c>
      <c r="FD831" s="323">
        <f t="shared" si="1491"/>
        <v>0</v>
      </c>
      <c r="FE831" s="323">
        <f t="shared" si="1491"/>
        <v>0</v>
      </c>
      <c r="FF831" s="323">
        <f t="shared" si="1491"/>
        <v>0</v>
      </c>
      <c r="FG831" s="323">
        <f t="shared" si="1491"/>
        <v>0</v>
      </c>
      <c r="FH831" s="323">
        <f t="shared" si="1491"/>
        <v>0</v>
      </c>
      <c r="FI831" s="323">
        <f t="shared" si="1491"/>
        <v>0</v>
      </c>
      <c r="FJ831" s="325">
        <f t="shared" si="1491"/>
        <v>0</v>
      </c>
      <c r="FK831" s="323">
        <f t="shared" si="1491"/>
        <v>0</v>
      </c>
      <c r="FL831" s="323">
        <f t="shared" si="1491"/>
        <v>0</v>
      </c>
      <c r="FM831" s="323">
        <f t="shared" si="1491"/>
        <v>0</v>
      </c>
      <c r="FN831" s="323">
        <f t="shared" si="1491"/>
        <v>0</v>
      </c>
      <c r="FO831" s="323">
        <f t="shared" si="1491"/>
        <v>0</v>
      </c>
      <c r="FP831" s="323">
        <f t="shared" si="1491"/>
        <v>0</v>
      </c>
      <c r="FQ831" s="323">
        <f t="shared" si="1491"/>
        <v>0</v>
      </c>
      <c r="FR831" s="323">
        <f t="shared" si="1491"/>
        <v>0</v>
      </c>
      <c r="FS831" s="323">
        <f t="shared" si="1491"/>
        <v>0</v>
      </c>
      <c r="FT831" s="323">
        <f t="shared" si="1491"/>
        <v>0</v>
      </c>
      <c r="FU831" s="323">
        <f t="shared" si="1491"/>
        <v>0</v>
      </c>
      <c r="FV831" s="323">
        <f t="shared" si="1491"/>
        <v>0</v>
      </c>
      <c r="FW831" s="323">
        <v>0</v>
      </c>
      <c r="FX831" s="323">
        <v>0</v>
      </c>
      <c r="FY831" s="323">
        <v>0</v>
      </c>
      <c r="FZ831" s="323">
        <v>0</v>
      </c>
      <c r="GA831" s="323">
        <v>0</v>
      </c>
      <c r="GB831" s="323">
        <v>0</v>
      </c>
      <c r="GC831" s="323">
        <v>0</v>
      </c>
      <c r="GD831" s="323">
        <v>0</v>
      </c>
      <c r="GE831" s="323">
        <v>0</v>
      </c>
      <c r="GF831" s="323">
        <v>0</v>
      </c>
      <c r="GG831" s="323">
        <v>0</v>
      </c>
      <c r="GH831" s="323">
        <v>0</v>
      </c>
      <c r="GI831" s="323">
        <v>0</v>
      </c>
      <c r="GJ831" s="323">
        <v>0</v>
      </c>
      <c r="GK831" s="323">
        <v>0</v>
      </c>
      <c r="GL831" s="323">
        <v>0</v>
      </c>
      <c r="GM831" s="323">
        <v>0</v>
      </c>
      <c r="GN831" s="323">
        <v>0</v>
      </c>
      <c r="GO831" s="323">
        <v>0</v>
      </c>
      <c r="GP831" s="323">
        <v>0</v>
      </c>
      <c r="GQ831" s="323">
        <v>0</v>
      </c>
      <c r="GR831" s="323">
        <v>0</v>
      </c>
      <c r="GS831" s="323">
        <v>0</v>
      </c>
      <c r="GT831" s="323">
        <v>0</v>
      </c>
      <c r="GU831" s="323">
        <v>0</v>
      </c>
      <c r="GV831" s="323">
        <v>0</v>
      </c>
      <c r="GW831" s="323">
        <v>0</v>
      </c>
      <c r="GX831" s="323">
        <v>0</v>
      </c>
      <c r="GY831" s="323">
        <v>0</v>
      </c>
      <c r="GZ831" s="323">
        <v>0</v>
      </c>
      <c r="HA831" s="323">
        <v>0</v>
      </c>
      <c r="HB831" s="323">
        <v>0</v>
      </c>
      <c r="HC831" s="323">
        <v>0</v>
      </c>
      <c r="HD831" s="323">
        <v>0</v>
      </c>
      <c r="HE831" s="323">
        <v>0</v>
      </c>
      <c r="HF831" s="323">
        <v>0</v>
      </c>
      <c r="HG831" s="323">
        <v>0</v>
      </c>
      <c r="HH831" s="323">
        <v>0</v>
      </c>
      <c r="HI831" s="323">
        <v>0</v>
      </c>
      <c r="HJ831" s="323">
        <v>0</v>
      </c>
      <c r="HK831" s="323">
        <v>0</v>
      </c>
      <c r="HL831" s="323">
        <v>0</v>
      </c>
      <c r="HM831" s="323">
        <v>0</v>
      </c>
      <c r="HN831" s="323">
        <v>0</v>
      </c>
      <c r="HO831" s="323">
        <v>0</v>
      </c>
      <c r="HP831" s="323">
        <v>0</v>
      </c>
      <c r="HQ831" s="323">
        <v>0</v>
      </c>
      <c r="HR831" s="323">
        <v>0</v>
      </c>
      <c r="HS831" s="323">
        <v>0</v>
      </c>
      <c r="HT831" s="323">
        <v>0</v>
      </c>
      <c r="HU831" s="323">
        <v>0</v>
      </c>
      <c r="HV831" s="323">
        <v>0</v>
      </c>
      <c r="HW831" s="323">
        <v>0</v>
      </c>
      <c r="HX831" s="323">
        <v>0</v>
      </c>
      <c r="HY831" s="323"/>
      <c r="HZ831" s="326"/>
      <c r="IA831" s="1517" t="s">
        <v>3157</v>
      </c>
      <c r="IB831" s="284">
        <f t="shared" si="1424"/>
        <v>0</v>
      </c>
      <c r="IC831" s="279">
        <f t="shared" si="1425"/>
        <v>0</v>
      </c>
      <c r="ID831" s="323">
        <f t="shared" si="907"/>
        <v>0</v>
      </c>
      <c r="IE831" s="279">
        <f t="shared" si="1426"/>
        <v>0</v>
      </c>
      <c r="IF831" s="279">
        <f t="shared" si="1427"/>
        <v>0</v>
      </c>
      <c r="IG831" s="323">
        <f t="shared" si="880"/>
        <v>0</v>
      </c>
      <c r="IH831" s="284">
        <f t="shared" si="1428"/>
        <v>0</v>
      </c>
      <c r="II831" s="279">
        <f t="shared" si="1429"/>
        <v>0</v>
      </c>
      <c r="IJ831" s="323">
        <f t="shared" si="881"/>
        <v>0</v>
      </c>
      <c r="IK831" s="327">
        <f t="shared" si="1430"/>
        <v>0</v>
      </c>
      <c r="IL831" s="279">
        <f t="shared" si="1431"/>
        <v>0</v>
      </c>
      <c r="IM831" s="323">
        <f t="shared" si="882"/>
        <v>0</v>
      </c>
      <c r="IN831" s="279">
        <f t="shared" si="1432"/>
        <v>0</v>
      </c>
      <c r="IO831" s="279">
        <f t="shared" si="1433"/>
        <v>0</v>
      </c>
      <c r="IP831" s="323">
        <f t="shared" si="883"/>
        <v>0</v>
      </c>
      <c r="IQ831" s="327">
        <f t="shared" si="1434"/>
        <v>0</v>
      </c>
      <c r="IR831" s="327">
        <f t="shared" si="1435"/>
        <v>0</v>
      </c>
      <c r="IS831" s="323">
        <f t="shared" si="884"/>
        <v>0</v>
      </c>
      <c r="IT831" s="327">
        <f t="shared" si="1436"/>
        <v>0</v>
      </c>
      <c r="IU831" s="327">
        <f t="shared" si="1437"/>
        <v>0</v>
      </c>
      <c r="IV831" s="323">
        <f t="shared" si="885"/>
        <v>0</v>
      </c>
      <c r="IW831" s="327">
        <f t="shared" si="1438"/>
        <v>0</v>
      </c>
      <c r="IX831" s="327">
        <f t="shared" si="1378"/>
        <v>0</v>
      </c>
      <c r="IY831" s="323">
        <f t="shared" si="1475"/>
        <v>0</v>
      </c>
      <c r="IZ831" s="327">
        <f t="shared" si="1439"/>
        <v>0</v>
      </c>
      <c r="JA831" s="327">
        <f t="shared" si="1440"/>
        <v>0</v>
      </c>
      <c r="JB831" s="323">
        <f t="shared" si="1458"/>
        <v>0</v>
      </c>
      <c r="JC831" s="327">
        <f t="shared" si="1441"/>
        <v>0</v>
      </c>
      <c r="JD831" s="327">
        <f t="shared" si="1442"/>
        <v>0</v>
      </c>
      <c r="JE831" s="323">
        <f t="shared" si="1459"/>
        <v>0</v>
      </c>
      <c r="JF831" s="327">
        <f t="shared" si="1460"/>
        <v>0</v>
      </c>
      <c r="JG831" s="327">
        <f t="shared" si="1372"/>
        <v>0</v>
      </c>
      <c r="JH831" s="323">
        <f t="shared" si="1406"/>
        <v>0</v>
      </c>
      <c r="JI831" s="327">
        <f t="shared" si="1476"/>
        <v>0</v>
      </c>
      <c r="JJ831" s="327">
        <f t="shared" si="1405"/>
        <v>0</v>
      </c>
      <c r="JK831" s="323">
        <f t="shared" si="1398"/>
        <v>0</v>
      </c>
      <c r="JL831" s="327">
        <f t="shared" si="1407"/>
        <v>0</v>
      </c>
      <c r="JM831" s="279">
        <f t="shared" si="1488"/>
        <v>0</v>
      </c>
      <c r="JN831" s="323">
        <f>FISC!AK1137</f>
        <v>0</v>
      </c>
      <c r="JO831" s="327">
        <f t="shared" si="1461"/>
        <v>0</v>
      </c>
      <c r="JP831" s="279">
        <f t="shared" si="1443"/>
        <v>0</v>
      </c>
      <c r="JQ831" s="323">
        <f>FISC!AL1137</f>
        <v>0</v>
      </c>
      <c r="JR831" s="327">
        <f t="shared" si="1462"/>
        <v>0</v>
      </c>
      <c r="JS831" s="279">
        <f t="shared" si="1444"/>
        <v>0</v>
      </c>
      <c r="JT831" s="323">
        <f>FISC!AM1137</f>
        <v>0</v>
      </c>
      <c r="JU831" s="327">
        <f t="shared" si="1463"/>
        <v>0</v>
      </c>
      <c r="JV831" s="279">
        <f t="shared" si="1445"/>
        <v>0</v>
      </c>
      <c r="JW831" s="323">
        <f>FISC!AN1137</f>
        <v>0</v>
      </c>
      <c r="JX831" s="327">
        <f t="shared" si="1464"/>
        <v>0</v>
      </c>
      <c r="JY831" s="279">
        <f t="shared" si="1446"/>
        <v>0</v>
      </c>
      <c r="JZ831" s="323">
        <f>FISC!AO1137</f>
        <v>0</v>
      </c>
      <c r="KA831" s="327">
        <f t="shared" si="1465"/>
        <v>0</v>
      </c>
      <c r="KB831" s="279">
        <f t="shared" si="1447"/>
        <v>0</v>
      </c>
      <c r="KC831" s="323">
        <f>FISC!AP1137</f>
        <v>0</v>
      </c>
      <c r="KD831" s="327">
        <f t="shared" si="1466"/>
        <v>0</v>
      </c>
      <c r="KE831" s="279">
        <f t="shared" si="1448"/>
        <v>0</v>
      </c>
      <c r="KF831" s="323">
        <f>FISC!AQ1137</f>
        <v>0</v>
      </c>
      <c r="KG831" s="327">
        <f t="shared" si="1467"/>
        <v>0</v>
      </c>
      <c r="KH831" s="279">
        <f t="shared" si="1449"/>
        <v>0</v>
      </c>
      <c r="KI831" s="323">
        <f>FISC!AR1137</f>
        <v>0</v>
      </c>
      <c r="KJ831" s="327">
        <f t="shared" si="1468"/>
        <v>0</v>
      </c>
      <c r="KK831" s="279">
        <f t="shared" si="1450"/>
        <v>0</v>
      </c>
      <c r="KL831" s="323">
        <f>FISC!AS1137</f>
        <v>0</v>
      </c>
      <c r="KM831" s="327">
        <f t="shared" si="1469"/>
        <v>0</v>
      </c>
      <c r="KN831" s="279">
        <f t="shared" si="1451"/>
        <v>0</v>
      </c>
      <c r="KO831" s="323">
        <f>FISC!AT1137</f>
        <v>0</v>
      </c>
      <c r="KU831" s="326"/>
      <c r="KV831" s="327"/>
    </row>
    <row r="832" spans="1:314">
      <c r="A832" s="279"/>
      <c r="D832" s="1232" t="s">
        <v>3112</v>
      </c>
      <c r="E832" s="323"/>
      <c r="F832" s="323"/>
      <c r="G832" s="323"/>
      <c r="H832" s="323"/>
      <c r="I832" s="323"/>
      <c r="J832" s="323"/>
      <c r="K832" s="323"/>
      <c r="L832" s="323"/>
      <c r="M832" s="323"/>
      <c r="N832" s="323"/>
      <c r="O832" s="323"/>
      <c r="P832" s="323"/>
      <c r="Q832" s="323"/>
      <c r="R832" s="323"/>
      <c r="S832" s="323"/>
      <c r="T832" s="323"/>
      <c r="U832" s="323"/>
      <c r="V832" s="323"/>
      <c r="W832" s="323"/>
      <c r="X832" s="323"/>
      <c r="Y832" s="323"/>
      <c r="Z832" s="323"/>
      <c r="AA832" s="323"/>
      <c r="AB832" s="323"/>
      <c r="AC832" s="323"/>
      <c r="AD832" s="323"/>
      <c r="AE832" s="323"/>
      <c r="AF832" s="323"/>
      <c r="AG832" s="323"/>
      <c r="AH832" s="323"/>
      <c r="AI832" s="323"/>
      <c r="AJ832" s="323"/>
      <c r="AK832" s="323"/>
      <c r="AL832" s="323"/>
      <c r="AM832" s="323"/>
      <c r="AN832" s="323"/>
      <c r="AO832" s="323"/>
      <c r="AP832" s="323"/>
      <c r="AQ832" s="323"/>
      <c r="AR832" s="323"/>
      <c r="AS832" s="323"/>
      <c r="AT832" s="323"/>
      <c r="AU832" s="323"/>
      <c r="AV832" s="323"/>
      <c r="AW832" s="323"/>
      <c r="AX832" s="323"/>
      <c r="AY832" s="323"/>
      <c r="AZ832" s="323"/>
      <c r="BA832" s="323"/>
      <c r="BB832" s="323"/>
      <c r="BC832" s="323"/>
      <c r="BD832" s="323"/>
      <c r="BE832" s="323"/>
      <c r="BF832" s="323"/>
      <c r="BG832" s="323"/>
      <c r="BH832" s="323"/>
      <c r="BI832" s="323"/>
      <c r="BJ832" s="323"/>
      <c r="BK832" s="323"/>
      <c r="BL832" s="323"/>
      <c r="BM832" s="323"/>
      <c r="BN832" s="323"/>
      <c r="BO832" s="323"/>
      <c r="BP832" s="323"/>
      <c r="BQ832" s="323"/>
      <c r="BR832" s="323"/>
      <c r="BS832" s="323"/>
      <c r="BT832" s="323"/>
      <c r="BU832" s="323"/>
      <c r="BV832" s="323"/>
      <c r="BW832" s="323"/>
      <c r="BX832" s="323"/>
      <c r="BY832" s="323"/>
      <c r="BZ832" s="323"/>
      <c r="CA832" s="323"/>
      <c r="CB832" s="323"/>
      <c r="CC832" s="323"/>
      <c r="CD832" s="329"/>
      <c r="CE832" s="323">
        <f t="shared" ref="CE832:DJ832" si="1492">CE427</f>
        <v>0</v>
      </c>
      <c r="CF832" s="323">
        <f t="shared" si="1492"/>
        <v>0</v>
      </c>
      <c r="CG832" s="323">
        <f t="shared" si="1492"/>
        <v>0</v>
      </c>
      <c r="CH832" s="323">
        <f t="shared" si="1492"/>
        <v>0</v>
      </c>
      <c r="CI832" s="323">
        <f t="shared" si="1492"/>
        <v>0</v>
      </c>
      <c r="CJ832" s="323">
        <f t="shared" si="1492"/>
        <v>0</v>
      </c>
      <c r="CK832" s="323">
        <f t="shared" si="1492"/>
        <v>0</v>
      </c>
      <c r="CL832" s="323">
        <f t="shared" si="1492"/>
        <v>0</v>
      </c>
      <c r="CM832" s="323">
        <f t="shared" si="1492"/>
        <v>0</v>
      </c>
      <c r="CN832" s="323">
        <f t="shared" si="1492"/>
        <v>0</v>
      </c>
      <c r="CO832" s="323">
        <f t="shared" si="1492"/>
        <v>0</v>
      </c>
      <c r="CP832" s="325">
        <f t="shared" si="1492"/>
        <v>0</v>
      </c>
      <c r="CQ832" s="323">
        <f t="shared" si="1492"/>
        <v>0</v>
      </c>
      <c r="CR832" s="323">
        <f t="shared" si="1492"/>
        <v>0</v>
      </c>
      <c r="CS832" s="323">
        <f t="shared" si="1492"/>
        <v>0</v>
      </c>
      <c r="CT832" s="323">
        <f t="shared" si="1492"/>
        <v>0</v>
      </c>
      <c r="CU832" s="323">
        <f t="shared" si="1492"/>
        <v>0</v>
      </c>
      <c r="CV832" s="323">
        <f t="shared" si="1492"/>
        <v>0</v>
      </c>
      <c r="CW832" s="323">
        <f t="shared" si="1492"/>
        <v>0</v>
      </c>
      <c r="CX832" s="323">
        <f t="shared" si="1492"/>
        <v>0</v>
      </c>
      <c r="CY832" s="323">
        <f t="shared" si="1492"/>
        <v>0</v>
      </c>
      <c r="CZ832" s="323">
        <f t="shared" si="1492"/>
        <v>0</v>
      </c>
      <c r="DA832" s="323">
        <f t="shared" si="1492"/>
        <v>0</v>
      </c>
      <c r="DB832" s="1269">
        <f t="shared" si="1492"/>
        <v>0</v>
      </c>
      <c r="DC832" s="323">
        <f t="shared" si="1492"/>
        <v>0</v>
      </c>
      <c r="DD832" s="323">
        <f t="shared" si="1492"/>
        <v>0</v>
      </c>
      <c r="DE832" s="323">
        <f t="shared" si="1492"/>
        <v>0</v>
      </c>
      <c r="DF832" s="323">
        <f t="shared" si="1492"/>
        <v>0</v>
      </c>
      <c r="DG832" s="323">
        <f t="shared" si="1492"/>
        <v>0</v>
      </c>
      <c r="DH832" s="323">
        <f t="shared" si="1492"/>
        <v>0</v>
      </c>
      <c r="DI832" s="323">
        <f t="shared" si="1492"/>
        <v>0</v>
      </c>
      <c r="DJ832" s="323">
        <f t="shared" si="1492"/>
        <v>0</v>
      </c>
      <c r="DK832" s="323">
        <f t="shared" ref="DK832:EP832" si="1493">DK427</f>
        <v>0</v>
      </c>
      <c r="DL832" s="323">
        <f t="shared" si="1493"/>
        <v>0</v>
      </c>
      <c r="DM832" s="323">
        <f t="shared" si="1493"/>
        <v>0</v>
      </c>
      <c r="DN832" s="325">
        <f t="shared" si="1493"/>
        <v>0</v>
      </c>
      <c r="DO832" s="323">
        <f t="shared" si="1493"/>
        <v>0</v>
      </c>
      <c r="DP832" s="323">
        <f t="shared" si="1493"/>
        <v>0</v>
      </c>
      <c r="DQ832" s="323">
        <f t="shared" si="1493"/>
        <v>0</v>
      </c>
      <c r="DR832" s="323">
        <f t="shared" si="1493"/>
        <v>0</v>
      </c>
      <c r="DS832" s="323">
        <f t="shared" si="1493"/>
        <v>0</v>
      </c>
      <c r="DT832" s="323">
        <f t="shared" si="1493"/>
        <v>0</v>
      </c>
      <c r="DU832" s="323">
        <f t="shared" si="1493"/>
        <v>0</v>
      </c>
      <c r="DV832" s="323">
        <f t="shared" si="1493"/>
        <v>0</v>
      </c>
      <c r="DW832" s="323">
        <f t="shared" si="1493"/>
        <v>0</v>
      </c>
      <c r="DX832" s="323">
        <f t="shared" si="1493"/>
        <v>0</v>
      </c>
      <c r="DY832" s="323">
        <f t="shared" si="1493"/>
        <v>0</v>
      </c>
      <c r="DZ832" s="325">
        <f t="shared" si="1493"/>
        <v>0</v>
      </c>
      <c r="EA832" s="323">
        <f t="shared" si="1493"/>
        <v>0</v>
      </c>
      <c r="EB832" s="323">
        <f t="shared" si="1493"/>
        <v>0</v>
      </c>
      <c r="EC832" s="323">
        <f t="shared" si="1493"/>
        <v>0</v>
      </c>
      <c r="ED832" s="323">
        <f t="shared" si="1493"/>
        <v>0</v>
      </c>
      <c r="EE832" s="323">
        <f t="shared" si="1493"/>
        <v>0</v>
      </c>
      <c r="EF832" s="323">
        <f t="shared" si="1493"/>
        <v>0</v>
      </c>
      <c r="EG832" s="323">
        <f t="shared" si="1493"/>
        <v>0</v>
      </c>
      <c r="EH832" s="323">
        <f t="shared" si="1493"/>
        <v>0</v>
      </c>
      <c r="EI832" s="323">
        <f t="shared" si="1493"/>
        <v>0</v>
      </c>
      <c r="EJ832" s="323">
        <f t="shared" si="1493"/>
        <v>0</v>
      </c>
      <c r="EK832" s="323">
        <f t="shared" si="1493"/>
        <v>0</v>
      </c>
      <c r="EL832" s="325">
        <f t="shared" si="1493"/>
        <v>0</v>
      </c>
      <c r="EM832" s="323">
        <f t="shared" si="1493"/>
        <v>0.446381417</v>
      </c>
      <c r="EN832" s="323">
        <f t="shared" si="1493"/>
        <v>0.37882296199999999</v>
      </c>
      <c r="EO832" s="323">
        <f t="shared" si="1493"/>
        <v>0.43899298399999997</v>
      </c>
      <c r="EP832" s="323">
        <f t="shared" si="1493"/>
        <v>0.41913514200000002</v>
      </c>
      <c r="EQ832" s="323">
        <f t="shared" ref="EQ832:FV832" si="1494">EQ427</f>
        <v>0.37956826100000002</v>
      </c>
      <c r="ER832" s="323">
        <f t="shared" si="1494"/>
        <v>0.46952987499999999</v>
      </c>
      <c r="ES832" s="323">
        <f t="shared" si="1494"/>
        <v>0.37303118600000001</v>
      </c>
      <c r="ET832" s="323">
        <f t="shared" si="1494"/>
        <v>0.39464575600000001</v>
      </c>
      <c r="EU832" s="323">
        <f t="shared" si="1494"/>
        <v>0.38522885299999998</v>
      </c>
      <c r="EV832" s="323">
        <f t="shared" si="1494"/>
        <v>0.31141468500000002</v>
      </c>
      <c r="EW832" s="323">
        <f t="shared" si="1494"/>
        <v>0.36140069600000002</v>
      </c>
      <c r="EX832" s="325">
        <f t="shared" si="1494"/>
        <v>0.37888442500000002</v>
      </c>
      <c r="EY832" s="323">
        <f t="shared" si="1494"/>
        <v>0.51871818599999997</v>
      </c>
      <c r="EZ832" s="323">
        <f t="shared" si="1494"/>
        <v>0.22977841800000001</v>
      </c>
      <c r="FA832" s="323">
        <f t="shared" si="1494"/>
        <v>0.27064160799999998</v>
      </c>
      <c r="FB832" s="323">
        <f t="shared" si="1494"/>
        <v>0.26163894700000001</v>
      </c>
      <c r="FC832" s="323">
        <f t="shared" si="1494"/>
        <v>0.27110313200000002</v>
      </c>
      <c r="FD832" s="323">
        <f t="shared" si="1494"/>
        <v>0.37119655600000001</v>
      </c>
      <c r="FE832" s="323">
        <f t="shared" si="1494"/>
        <v>0.29190637000000003</v>
      </c>
      <c r="FF832" s="323">
        <f t="shared" si="1494"/>
        <v>0.27305763599999999</v>
      </c>
      <c r="FG832" s="323">
        <f t="shared" si="1494"/>
        <v>0.247673007</v>
      </c>
      <c r="FH832" s="323">
        <f t="shared" si="1494"/>
        <v>0.21923471899999999</v>
      </c>
      <c r="FI832" s="323">
        <f t="shared" si="1494"/>
        <v>0.260766636</v>
      </c>
      <c r="FJ832" s="325">
        <f t="shared" si="1494"/>
        <v>8.8443065000000001E-2</v>
      </c>
      <c r="FK832" s="323">
        <f t="shared" si="1494"/>
        <v>0.66179053300000001</v>
      </c>
      <c r="FL832" s="323">
        <f t="shared" si="1494"/>
        <v>0.28859525699999999</v>
      </c>
      <c r="FM832" s="323">
        <f t="shared" si="1494"/>
        <v>0.26740475367526595</v>
      </c>
      <c r="FN832" s="323">
        <f t="shared" si="1494"/>
        <v>0.57306735435044331</v>
      </c>
      <c r="FO832" s="323">
        <f t="shared" si="1494"/>
        <v>0.25577981306733133</v>
      </c>
      <c r="FP832" s="323">
        <f t="shared" si="1494"/>
        <v>0.30986618568793678</v>
      </c>
      <c r="FQ832" s="323">
        <f t="shared" si="1494"/>
        <v>0.35597687742169737</v>
      </c>
      <c r="FR832" s="323">
        <f t="shared" si="1494"/>
        <v>0.22607266971641143</v>
      </c>
      <c r="FS832" s="323">
        <f t="shared" si="1494"/>
        <v>0.41568007396473755</v>
      </c>
      <c r="FT832" s="323">
        <f t="shared" si="1494"/>
        <v>0.54768039417156322</v>
      </c>
      <c r="FU832" s="323">
        <f t="shared" si="1494"/>
        <v>0.41151958354967971</v>
      </c>
      <c r="FV832" s="323">
        <f t="shared" si="1494"/>
        <v>0.67901031131633072</v>
      </c>
      <c r="FW832" s="323">
        <v>0.24054575185214569</v>
      </c>
      <c r="FX832" s="323">
        <v>0.13602956381610412</v>
      </c>
      <c r="FY832" s="323">
        <v>0.1281658408561796</v>
      </c>
      <c r="FZ832" s="323">
        <v>1.4073563629831214E-2</v>
      </c>
      <c r="GA832" s="323">
        <v>1.6475666653356817E-5</v>
      </c>
      <c r="GB832" s="323">
        <v>5.2151061177893136E-2</v>
      </c>
      <c r="GC832" s="323">
        <f t="shared" ref="GC832:HL832" si="1495">GC427</f>
        <v>1.1531979933135186</v>
      </c>
      <c r="GD832" s="323">
        <f t="shared" si="1495"/>
        <v>0.89835558173760088</v>
      </c>
      <c r="GE832" s="323">
        <f t="shared" si="1495"/>
        <v>1.7016470251771298</v>
      </c>
      <c r="GF832" s="323">
        <f t="shared" si="1495"/>
        <v>0</v>
      </c>
      <c r="GG832" s="323">
        <f t="shared" si="1495"/>
        <v>0</v>
      </c>
      <c r="GH832" s="323">
        <f t="shared" si="1495"/>
        <v>0</v>
      </c>
      <c r="GI832" s="323">
        <f t="shared" si="1495"/>
        <v>0.8642167795847977</v>
      </c>
      <c r="GJ832" s="323">
        <f t="shared" si="1495"/>
        <v>0.71963591008005778</v>
      </c>
      <c r="GK832" s="323">
        <f t="shared" si="1495"/>
        <v>0.79460853874446669</v>
      </c>
      <c r="GL832" s="323">
        <f t="shared" si="1495"/>
        <v>0.57726994399999998</v>
      </c>
      <c r="GM832" s="323">
        <f t="shared" si="1495"/>
        <v>0.65711970896614547</v>
      </c>
      <c r="GN832" s="323">
        <f t="shared" si="1495"/>
        <v>0.94473459552628036</v>
      </c>
      <c r="GO832" s="323">
        <f t="shared" si="1495"/>
        <v>0.92112927465790972</v>
      </c>
      <c r="GP832" s="323">
        <f t="shared" si="1495"/>
        <v>0.58582094100000004</v>
      </c>
      <c r="GQ832" s="323">
        <f t="shared" si="1495"/>
        <v>0.74207446050795989</v>
      </c>
      <c r="GR832" s="323">
        <f t="shared" si="1495"/>
        <v>0.86915917700000001</v>
      </c>
      <c r="GS832" s="323">
        <f t="shared" si="1495"/>
        <v>0.67513587399999997</v>
      </c>
      <c r="GT832" s="323">
        <f t="shared" si="1495"/>
        <v>0.80243583699999999</v>
      </c>
      <c r="GU832" s="323">
        <f t="shared" si="1495"/>
        <v>1.011663347</v>
      </c>
      <c r="GV832" s="323">
        <f t="shared" si="1495"/>
        <v>0.78472907800000002</v>
      </c>
      <c r="GW832" s="323">
        <f t="shared" si="1495"/>
        <v>0.75161099099999995</v>
      </c>
      <c r="GX832" s="323">
        <f t="shared" si="1495"/>
        <v>0.88314895599999998</v>
      </c>
      <c r="GY832" s="323">
        <f t="shared" si="1495"/>
        <v>0.80880610600000002</v>
      </c>
      <c r="GZ832" s="323">
        <f t="shared" si="1495"/>
        <v>0.70619573199999996</v>
      </c>
      <c r="HA832" s="323">
        <f t="shared" si="1495"/>
        <v>0.97852411800000005</v>
      </c>
      <c r="HB832" s="323">
        <f t="shared" si="1495"/>
        <v>0.996369587</v>
      </c>
      <c r="HC832" s="323">
        <f t="shared" si="1495"/>
        <v>0.72881396499999995</v>
      </c>
      <c r="HD832" s="323">
        <f t="shared" si="1495"/>
        <v>1.2329180639999999</v>
      </c>
      <c r="HE832" s="323">
        <f t="shared" si="1495"/>
        <v>0.94343527400000005</v>
      </c>
      <c r="HF832" s="323">
        <f t="shared" si="1495"/>
        <v>1.0402316170000001</v>
      </c>
      <c r="HG832" s="323">
        <f t="shared" si="1495"/>
        <v>1.326409857</v>
      </c>
      <c r="HH832" s="323">
        <f t="shared" si="1495"/>
        <v>0.761712944</v>
      </c>
      <c r="HI832" s="323">
        <f t="shared" si="1495"/>
        <v>2.3301021000000002E-2</v>
      </c>
      <c r="HJ832" s="323">
        <f t="shared" si="1495"/>
        <v>9.1283399999999995E-4</v>
      </c>
      <c r="HK832" s="323">
        <f t="shared" si="1495"/>
        <v>1.4208924E-2</v>
      </c>
      <c r="HL832" s="323">
        <f t="shared" si="1495"/>
        <v>1.3695281E-2</v>
      </c>
      <c r="HM832" s="323">
        <f t="shared" ref="HM832:HR832" si="1496">HM427</f>
        <v>2.2402233000000001E-2</v>
      </c>
      <c r="HN832" s="323">
        <f t="shared" si="1496"/>
        <v>3.2990776999999999E-2</v>
      </c>
      <c r="HO832" s="323">
        <f t="shared" si="1496"/>
        <v>1.795442E-3</v>
      </c>
      <c r="HP832" s="323">
        <f t="shared" si="1496"/>
        <v>1.1633363000000001E-2</v>
      </c>
      <c r="HQ832" s="323">
        <f t="shared" si="1496"/>
        <v>6.2669010000000001E-3</v>
      </c>
      <c r="HR832" s="323">
        <f t="shared" si="1496"/>
        <v>8.7222879999999999E-3</v>
      </c>
      <c r="HS832" s="323">
        <f t="shared" ref="HS832:HX832" si="1497">HS427</f>
        <v>2.4954949999999999E-3</v>
      </c>
      <c r="HT832" s="323">
        <f t="shared" si="1497"/>
        <v>2.3286660000000001E-3</v>
      </c>
      <c r="HU832" s="323">
        <f t="shared" si="1497"/>
        <v>3.6852310000000002E-3</v>
      </c>
      <c r="HV832" s="323">
        <f t="shared" si="1497"/>
        <v>3.114197E-3</v>
      </c>
      <c r="HW832" s="323">
        <f t="shared" si="1497"/>
        <v>2.6967580000000001E-3</v>
      </c>
      <c r="HX832" s="323">
        <f t="shared" si="1497"/>
        <v>2.8541949999999999E-3</v>
      </c>
      <c r="HY832" s="323"/>
      <c r="HZ832" s="326"/>
      <c r="IA832" s="1232" t="s">
        <v>3112</v>
      </c>
      <c r="IB832" s="284">
        <f t="shared" si="1424"/>
        <v>0</v>
      </c>
      <c r="IC832" s="279">
        <f t="shared" si="1425"/>
        <v>0</v>
      </c>
      <c r="ID832" s="323">
        <f t="shared" si="907"/>
        <v>0</v>
      </c>
      <c r="IE832" s="279">
        <f t="shared" si="1426"/>
        <v>0</v>
      </c>
      <c r="IF832" s="279">
        <f t="shared" si="1427"/>
        <v>0</v>
      </c>
      <c r="IG832" s="323">
        <f t="shared" si="880"/>
        <v>0</v>
      </c>
      <c r="IH832" s="284">
        <f t="shared" si="1428"/>
        <v>0</v>
      </c>
      <c r="II832" s="279">
        <f t="shared" si="1429"/>
        <v>0</v>
      </c>
      <c r="IJ832" s="323">
        <f t="shared" si="881"/>
        <v>0</v>
      </c>
      <c r="IK832" s="327">
        <f t="shared" si="1430"/>
        <v>0</v>
      </c>
      <c r="IL832" s="279">
        <f t="shared" si="1431"/>
        <v>0</v>
      </c>
      <c r="IM832" s="323">
        <f t="shared" si="882"/>
        <v>0</v>
      </c>
      <c r="IN832" s="279">
        <f t="shared" si="1432"/>
        <v>0</v>
      </c>
      <c r="IO832" s="279">
        <f t="shared" si="1433"/>
        <v>0</v>
      </c>
      <c r="IP832" s="323">
        <f t="shared" si="883"/>
        <v>0</v>
      </c>
      <c r="IQ832" s="327">
        <f t="shared" si="1434"/>
        <v>2.5324306410000004</v>
      </c>
      <c r="IR832" s="327">
        <f t="shared" si="1435"/>
        <v>2.2046056009999999</v>
      </c>
      <c r="IS832" s="323">
        <f t="shared" si="884"/>
        <v>4.7370362420000003</v>
      </c>
      <c r="IT832" s="327">
        <f t="shared" si="1436"/>
        <v>1.9230768469999999</v>
      </c>
      <c r="IU832" s="327">
        <f t="shared" si="1437"/>
        <v>1.3810814330000001</v>
      </c>
      <c r="IV832" s="323">
        <f t="shared" si="885"/>
        <v>3.3041582800000002</v>
      </c>
      <c r="IW832" s="327">
        <f t="shared" si="1438"/>
        <v>2.3565038967809775</v>
      </c>
      <c r="IX832" s="327">
        <f t="shared" si="1378"/>
        <v>2.63593991014042</v>
      </c>
      <c r="IY832" s="323">
        <f>IW832+IX832</f>
        <v>4.992443806921397</v>
      </c>
      <c r="IZ832" s="327">
        <f t="shared" si="1439"/>
        <v>0.57098225699880711</v>
      </c>
      <c r="JA832" s="327">
        <f t="shared" si="1440"/>
        <v>3.753200600228249</v>
      </c>
      <c r="JB832" s="323">
        <f t="shared" si="1458"/>
        <v>4.324182857227056</v>
      </c>
      <c r="JC832" s="327">
        <f t="shared" si="1441"/>
        <v>4.5575854769017488</v>
      </c>
      <c r="JD832" s="327">
        <f t="shared" si="1442"/>
        <v>4.5957555641658701</v>
      </c>
      <c r="JE832" s="323">
        <f t="shared" si="1459"/>
        <v>9.1533410410676197</v>
      </c>
      <c r="JF832" s="327">
        <f t="shared" si="1460"/>
        <v>4.9461542100000004</v>
      </c>
      <c r="JG832" s="327">
        <f t="shared" si="1372"/>
        <v>5.9202926250000001</v>
      </c>
      <c r="JH832" s="323">
        <f t="shared" si="1406"/>
        <v>10.866446835000001</v>
      </c>
      <c r="JI832" s="327">
        <f t="shared" si="1476"/>
        <v>2.1402408610000001</v>
      </c>
      <c r="JJ832" s="327">
        <f t="shared" si="1405"/>
        <v>8.3811004000000008E-2</v>
      </c>
      <c r="JK832" s="323">
        <f t="shared" si="1398"/>
        <v>2.2240518650000003</v>
      </c>
      <c r="JL832" s="327">
        <f t="shared" si="1407"/>
        <v>1.7174542000000001E-2</v>
      </c>
      <c r="JM832" s="279">
        <f t="shared" si="1488"/>
        <v>2.5407152833288822</v>
      </c>
      <c r="JN832" s="323">
        <f>FISC!AK1138</f>
        <v>2.557889825328882</v>
      </c>
      <c r="JO832" s="327">
        <f t="shared" si="1461"/>
        <v>1.7254335352129555</v>
      </c>
      <c r="JP832" s="279">
        <f t="shared" si="1443"/>
        <v>1.7254335352129555</v>
      </c>
      <c r="JQ832" s="323">
        <f>FISC!AL1138</f>
        <v>3.450867070425911</v>
      </c>
      <c r="JR832" s="327">
        <f t="shared" si="1462"/>
        <v>1.4794370283339653</v>
      </c>
      <c r="JS832" s="279">
        <f t="shared" si="1444"/>
        <v>1.4794370283339653</v>
      </c>
      <c r="JT832" s="323">
        <f>FISC!AM1138</f>
        <v>2.9588740566679306</v>
      </c>
      <c r="JU832" s="327">
        <f t="shared" si="1463"/>
        <v>2.6045907372014216</v>
      </c>
      <c r="JV832" s="279">
        <f t="shared" si="1445"/>
        <v>2.6045907372014216</v>
      </c>
      <c r="JW832" s="323">
        <f>FISC!AN1138</f>
        <v>5.2091814744028433</v>
      </c>
      <c r="JX832" s="327">
        <f t="shared" si="1464"/>
        <v>3.3650924524666763</v>
      </c>
      <c r="JY832" s="279">
        <f t="shared" si="1446"/>
        <v>3.3650924524666763</v>
      </c>
      <c r="JZ832" s="323">
        <f>FISC!AO1138</f>
        <v>6.7301849049333526</v>
      </c>
      <c r="KA832" s="327">
        <f t="shared" si="1465"/>
        <v>4.7052723272026</v>
      </c>
      <c r="KB832" s="279">
        <f t="shared" si="1447"/>
        <v>4.7052723272026</v>
      </c>
      <c r="KC832" s="323">
        <f>FISC!AP1138</f>
        <v>9.4105446544052</v>
      </c>
      <c r="KD832" s="327">
        <f t="shared" si="1466"/>
        <v>6.3814574608134684</v>
      </c>
      <c r="KE832" s="279">
        <f t="shared" si="1448"/>
        <v>6.3814574608134684</v>
      </c>
      <c r="KF832" s="323">
        <f>FISC!AQ1138</f>
        <v>12.762914921626937</v>
      </c>
      <c r="KG832" s="327">
        <f t="shared" si="1467"/>
        <v>7.8829316507282563</v>
      </c>
      <c r="KH832" s="279">
        <f t="shared" si="1449"/>
        <v>7.8829316507282563</v>
      </c>
      <c r="KI832" s="323">
        <f>FISC!AR1138</f>
        <v>15.765863301456513</v>
      </c>
      <c r="KJ832" s="327">
        <f t="shared" si="1468"/>
        <v>9.1793289180986086</v>
      </c>
      <c r="KK832" s="279">
        <f t="shared" si="1450"/>
        <v>9.1793289180986086</v>
      </c>
      <c r="KL832" s="323">
        <f>FISC!AS1138</f>
        <v>18.358657836197217</v>
      </c>
      <c r="KM832" s="327">
        <f t="shared" si="1469"/>
        <v>9.7778113028484661</v>
      </c>
      <c r="KN832" s="279">
        <f t="shared" si="1451"/>
        <v>9.7778113028484661</v>
      </c>
      <c r="KO832" s="323">
        <f>FISC!AT1138</f>
        <v>19.555622605696932</v>
      </c>
      <c r="KU832" s="326"/>
      <c r="KV832" s="327"/>
    </row>
    <row r="833" spans="1:308">
      <c r="A833" s="279"/>
      <c r="B833" s="96" t="s">
        <v>338</v>
      </c>
      <c r="D833" s="332" t="s">
        <v>517</v>
      </c>
      <c r="E833" s="323"/>
      <c r="F833" s="323"/>
      <c r="G833" s="323"/>
      <c r="H833" s="323"/>
      <c r="I833" s="323"/>
      <c r="J833" s="323"/>
      <c r="K833" s="323"/>
      <c r="L833" s="323"/>
      <c r="M833" s="323"/>
      <c r="N833" s="323"/>
      <c r="O833" s="323"/>
      <c r="P833" s="323"/>
      <c r="Q833" s="323"/>
      <c r="R833" s="323"/>
      <c r="S833" s="323"/>
      <c r="T833" s="323"/>
      <c r="U833" s="323"/>
      <c r="V833" s="323"/>
      <c r="W833" s="323"/>
      <c r="X833" s="323"/>
      <c r="Y833" s="323"/>
      <c r="Z833" s="323"/>
      <c r="AA833" s="323"/>
      <c r="AB833" s="323"/>
      <c r="AC833" s="323"/>
      <c r="AD833" s="323"/>
      <c r="AE833" s="323"/>
      <c r="AF833" s="323"/>
      <c r="AG833" s="323"/>
      <c r="AH833" s="323"/>
      <c r="AI833" s="323"/>
      <c r="AJ833" s="323"/>
      <c r="AK833" s="323"/>
      <c r="AL833" s="323"/>
      <c r="AM833" s="323"/>
      <c r="AN833" s="323"/>
      <c r="AO833" s="323">
        <v>9.1938191000000002E-2</v>
      </c>
      <c r="AP833" s="323">
        <v>0.131073096</v>
      </c>
      <c r="AQ833" s="323">
        <v>0.15234457100000001</v>
      </c>
      <c r="AR833" s="323">
        <v>10.423360935587699</v>
      </c>
      <c r="AS833" s="323">
        <v>0.25242462974000002</v>
      </c>
      <c r="AT833" s="323">
        <v>12.158069341760001</v>
      </c>
      <c r="AU833" s="323">
        <v>0.44914714</v>
      </c>
      <c r="AV833" s="323">
        <v>0.38593147500000002</v>
      </c>
      <c r="AW833" s="323">
        <v>1.6494841447350799</v>
      </c>
      <c r="AX833" s="323">
        <v>11.46493262275108</v>
      </c>
      <c r="AY833" s="323">
        <v>1.6592442891380002</v>
      </c>
      <c r="AZ833" s="323">
        <v>10.458299885916</v>
      </c>
      <c r="BA833" s="323">
        <v>0.62426544431359998</v>
      </c>
      <c r="BB833" s="323">
        <v>0.49748634920000001</v>
      </c>
      <c r="BC833" s="323">
        <v>0.24290696525</v>
      </c>
      <c r="BD833" s="323">
        <v>13.880545030221599</v>
      </c>
      <c r="BE833" s="323">
        <v>0.66758697920637033</v>
      </c>
      <c r="BF833" s="323">
        <v>11.861815910320001</v>
      </c>
      <c r="BG833" s="323">
        <v>0.35866325106582247</v>
      </c>
      <c r="BH833" s="323">
        <v>0.45773928059155317</v>
      </c>
      <c r="BI833" s="323">
        <v>0.45848911188948605</v>
      </c>
      <c r="BJ833" s="323">
        <v>13.791902066230291</v>
      </c>
      <c r="BK833" s="323">
        <v>0.47825054964924363</v>
      </c>
      <c r="BL833" s="323">
        <v>12.420486216384809</v>
      </c>
      <c r="BM833" s="323">
        <v>0.46987664377099669</v>
      </c>
      <c r="BN833" s="323">
        <v>0.53759858011823058</v>
      </c>
      <c r="BO833" s="323">
        <v>12.639872382862642</v>
      </c>
      <c r="BP833" s="323">
        <v>0.44254918401194199</v>
      </c>
      <c r="BQ833" s="323">
        <v>0.63188435270585375</v>
      </c>
      <c r="BR833" s="323">
        <v>12.551800247860402</v>
      </c>
      <c r="BS833" s="323">
        <v>4.0331948522639864</v>
      </c>
      <c r="BT833" s="323">
        <v>1.6871768931393016</v>
      </c>
      <c r="BU833" s="323">
        <v>1.688170825631488</v>
      </c>
      <c r="BV833" s="323">
        <v>17.679750081232374</v>
      </c>
      <c r="BW833" s="323">
        <v>1.7607482601588165</v>
      </c>
      <c r="BX833" s="323">
        <v>14.682762745605173</v>
      </c>
      <c r="BY833" s="323">
        <v>2.7265063734163308</v>
      </c>
      <c r="BZ833" s="323">
        <v>1.5601356600034322</v>
      </c>
      <c r="CA833" s="323">
        <v>17.558414323590288</v>
      </c>
      <c r="CB833" s="323">
        <v>2.9659494073804624</v>
      </c>
      <c r="CC833" s="323">
        <v>3.0355734911229435</v>
      </c>
      <c r="CD833" s="329">
        <v>13.255613202980808</v>
      </c>
      <c r="CE833" s="323">
        <f t="shared" ref="CE833:DJ833" si="1498">CE428</f>
        <v>1.6167831411972675</v>
      </c>
      <c r="CF833" s="323">
        <f t="shared" si="1498"/>
        <v>3.6882050805727848</v>
      </c>
      <c r="CG833" s="323">
        <f t="shared" si="1498"/>
        <v>1.5499662068934397</v>
      </c>
      <c r="CH833" s="323">
        <f t="shared" si="1498"/>
        <v>26.117188124450227</v>
      </c>
      <c r="CI833" s="323">
        <f t="shared" si="1498"/>
        <v>1.7346709986247237</v>
      </c>
      <c r="CJ833" s="323">
        <f t="shared" si="1498"/>
        <v>14.8250584171328</v>
      </c>
      <c r="CK833" s="323">
        <f t="shared" si="1498"/>
        <v>1.5574821470250453</v>
      </c>
      <c r="CL833" s="323">
        <f t="shared" si="1498"/>
        <v>4.5251111390830721</v>
      </c>
      <c r="CM833" s="323">
        <f t="shared" si="1498"/>
        <v>20.497836527856215</v>
      </c>
      <c r="CN833" s="323">
        <f t="shared" si="1498"/>
        <v>1.5607754299173602</v>
      </c>
      <c r="CO833" s="323">
        <f t="shared" si="1498"/>
        <v>2.9002088036995914</v>
      </c>
      <c r="CP833" s="325">
        <f t="shared" si="1498"/>
        <v>21.072294191219871</v>
      </c>
      <c r="CQ833" s="323">
        <f t="shared" si="1498"/>
        <v>1.3976488369</v>
      </c>
      <c r="CR833" s="323">
        <f t="shared" si="1498"/>
        <v>2.1886302990962498</v>
      </c>
      <c r="CS833" s="323">
        <f t="shared" si="1498"/>
        <v>1.7718507181900001</v>
      </c>
      <c r="CT833" s="323">
        <f t="shared" si="1498"/>
        <v>13.24638598783687</v>
      </c>
      <c r="CU833" s="323">
        <f t="shared" si="1498"/>
        <v>2.15872342799479</v>
      </c>
      <c r="CV833" s="323">
        <f t="shared" si="1498"/>
        <v>18.838668766725746</v>
      </c>
      <c r="CW833" s="323">
        <f t="shared" si="1498"/>
        <v>4.431410708191196</v>
      </c>
      <c r="CX833" s="323">
        <f t="shared" si="1498"/>
        <v>2.0922114548600002</v>
      </c>
      <c r="CY833" s="323">
        <f t="shared" si="1498"/>
        <v>40.092281139967852</v>
      </c>
      <c r="CZ833" s="323">
        <f t="shared" si="1498"/>
        <v>20.010567568988449</v>
      </c>
      <c r="DA833" s="323">
        <f t="shared" si="1498"/>
        <v>3.7238746661192943</v>
      </c>
      <c r="DB833" s="1269">
        <f t="shared" si="1498"/>
        <v>18.278076595324237</v>
      </c>
      <c r="DC833" s="323">
        <f t="shared" si="1498"/>
        <v>3.1417062895308541</v>
      </c>
      <c r="DD833" s="323">
        <f t="shared" si="1498"/>
        <v>1.9695306210000001</v>
      </c>
      <c r="DE833" s="323">
        <f t="shared" si="1498"/>
        <v>12.773169391189322</v>
      </c>
      <c r="DF833" s="323">
        <f t="shared" si="1498"/>
        <v>25.440255474577558</v>
      </c>
      <c r="DG833" s="323">
        <f t="shared" si="1498"/>
        <v>2.3677145880000001</v>
      </c>
      <c r="DH833" s="323">
        <f t="shared" si="1498"/>
        <v>28.26765921730631</v>
      </c>
      <c r="DI833" s="323">
        <f t="shared" si="1498"/>
        <v>4.4783868162208949</v>
      </c>
      <c r="DJ833" s="323">
        <f t="shared" si="1498"/>
        <v>2.8081349970333327</v>
      </c>
      <c r="DK833" s="323">
        <f t="shared" ref="DK833:EP833" si="1499">DK428</f>
        <v>39.258440578257918</v>
      </c>
      <c r="DL833" s="323">
        <f t="shared" si="1499"/>
        <v>5.1262327768414773</v>
      </c>
      <c r="DM833" s="323">
        <f t="shared" si="1499"/>
        <v>5.6073429452304433</v>
      </c>
      <c r="DN833" s="325">
        <f t="shared" si="1499"/>
        <v>25.829674571258462</v>
      </c>
      <c r="DO833" s="323">
        <f t="shared" si="1499"/>
        <v>4.0942054783773099</v>
      </c>
      <c r="DP833" s="323">
        <f t="shared" si="1499"/>
        <v>5.4135775290166368</v>
      </c>
      <c r="DQ833" s="323">
        <f t="shared" si="1499"/>
        <v>35.250741832944399</v>
      </c>
      <c r="DR833" s="323">
        <f t="shared" si="1499"/>
        <v>9.504193312803924</v>
      </c>
      <c r="DS833" s="323">
        <f t="shared" si="1499"/>
        <v>5.3330825097904846</v>
      </c>
      <c r="DT833" s="323">
        <f t="shared" si="1499"/>
        <v>37.063371463442813</v>
      </c>
      <c r="DU833" s="323">
        <f t="shared" si="1499"/>
        <v>5.6997514422082549</v>
      </c>
      <c r="DV833" s="323">
        <f t="shared" si="1499"/>
        <v>4.9474619458595495</v>
      </c>
      <c r="DW833" s="323">
        <f t="shared" si="1499"/>
        <v>36.400695935424416</v>
      </c>
      <c r="DX833" s="323">
        <f t="shared" si="1499"/>
        <v>5.5610277849819187</v>
      </c>
      <c r="DY833" s="323">
        <f t="shared" si="1499"/>
        <v>5.4410584619438662</v>
      </c>
      <c r="DZ833" s="325">
        <f t="shared" si="1499"/>
        <v>35.784775285212312</v>
      </c>
      <c r="EA833" s="323">
        <f t="shared" si="1499"/>
        <v>4.7554075989988913</v>
      </c>
      <c r="EB833" s="323">
        <f t="shared" si="1499"/>
        <v>4.9659967040266864</v>
      </c>
      <c r="EC833" s="323">
        <f t="shared" si="1499"/>
        <v>25.082252679340424</v>
      </c>
      <c r="ED833" s="323">
        <f t="shared" si="1499"/>
        <v>25.776118284825365</v>
      </c>
      <c r="EE833" s="323">
        <f t="shared" si="1499"/>
        <v>6.0602861280016933</v>
      </c>
      <c r="EF833" s="323">
        <f t="shared" si="1499"/>
        <v>45.990391915313971</v>
      </c>
      <c r="EG833" s="323">
        <f t="shared" si="1499"/>
        <v>8.1139350526579435</v>
      </c>
      <c r="EH833" s="323">
        <f t="shared" si="1499"/>
        <v>5.6205062631854821</v>
      </c>
      <c r="EI833" s="323">
        <f t="shared" si="1499"/>
        <v>20.005206643771992</v>
      </c>
      <c r="EJ833" s="323">
        <f t="shared" si="1499"/>
        <v>33.529927566531427</v>
      </c>
      <c r="EK833" s="323">
        <f t="shared" si="1499"/>
        <v>13.771535683664935</v>
      </c>
      <c r="EL833" s="325">
        <f t="shared" si="1499"/>
        <v>24.122196044097482</v>
      </c>
      <c r="EM833" s="323">
        <f t="shared" si="1499"/>
        <v>7.0424960199999997</v>
      </c>
      <c r="EN833" s="323">
        <f t="shared" si="1499"/>
        <v>40.464186559381403</v>
      </c>
      <c r="EO833" s="323">
        <f t="shared" si="1499"/>
        <v>44.179945981361605</v>
      </c>
      <c r="EP833" s="323">
        <f t="shared" si="1499"/>
        <v>18.138247947212012</v>
      </c>
      <c r="EQ833" s="323">
        <f t="shared" ref="EQ833:FV833" si="1500">EQ428</f>
        <v>9.2314383583090489</v>
      </c>
      <c r="ER833" s="323">
        <f t="shared" si="1500"/>
        <v>32.580119317447398</v>
      </c>
      <c r="ES833" s="323">
        <f t="shared" si="1500"/>
        <v>9.9737168579999906</v>
      </c>
      <c r="ET833" s="323">
        <f t="shared" si="1500"/>
        <v>5.4445251651</v>
      </c>
      <c r="EU833" s="323">
        <f t="shared" si="1500"/>
        <v>41.373921715999998</v>
      </c>
      <c r="EV833" s="323">
        <f t="shared" si="1500"/>
        <v>15.78809663783689</v>
      </c>
      <c r="EW833" s="323">
        <f t="shared" si="1500"/>
        <v>6.6842101419999995</v>
      </c>
      <c r="EX833" s="325">
        <f t="shared" si="1500"/>
        <v>23.707248927999999</v>
      </c>
      <c r="EY833" s="323">
        <f t="shared" si="1500"/>
        <v>6.6932532325704042</v>
      </c>
      <c r="EZ833" s="323">
        <f t="shared" si="1500"/>
        <v>18.554647278281998</v>
      </c>
      <c r="FA833" s="323">
        <f t="shared" si="1500"/>
        <v>41.627558053227887</v>
      </c>
      <c r="FB833" s="323">
        <f t="shared" si="1500"/>
        <v>38.38300759809718</v>
      </c>
      <c r="FC833" s="323">
        <f t="shared" si="1500"/>
        <v>6.8850920704863805</v>
      </c>
      <c r="FD833" s="323">
        <f t="shared" si="1500"/>
        <v>36.049170045379327</v>
      </c>
      <c r="FE833" s="323">
        <f t="shared" si="1500"/>
        <v>12.075919238000001</v>
      </c>
      <c r="FF833" s="323">
        <f t="shared" si="1500"/>
        <v>6.7709654623431845</v>
      </c>
      <c r="FG833" s="323">
        <f t="shared" si="1500"/>
        <v>10.011704121280001</v>
      </c>
      <c r="FH833" s="323">
        <f t="shared" si="1500"/>
        <v>17.026678205514109</v>
      </c>
      <c r="FI833" s="323">
        <f t="shared" si="1500"/>
        <v>36.479603600361024</v>
      </c>
      <c r="FJ833" s="325">
        <f t="shared" si="1500"/>
        <v>8.9335278420674644</v>
      </c>
      <c r="FK833" s="323">
        <f t="shared" si="1500"/>
        <v>5.4905550594923902</v>
      </c>
      <c r="FL833" s="323">
        <f t="shared" si="1500"/>
        <v>6.2787814167982532</v>
      </c>
      <c r="FM833" s="323">
        <f t="shared" si="1500"/>
        <v>83.458812788193399</v>
      </c>
      <c r="FN833" s="323">
        <f t="shared" si="1500"/>
        <v>8.3265681001028167</v>
      </c>
      <c r="FO833" s="323">
        <f t="shared" si="1500"/>
        <v>8.8591909554926929</v>
      </c>
      <c r="FP833" s="323">
        <f t="shared" si="1500"/>
        <v>58.91475530991125</v>
      </c>
      <c r="FQ833" s="323">
        <f t="shared" si="1500"/>
        <v>5.8595706443440356</v>
      </c>
      <c r="FR833" s="323">
        <f t="shared" si="1500"/>
        <v>6.2599139299738091</v>
      </c>
      <c r="FS833" s="323">
        <f t="shared" si="1500"/>
        <v>9.4871765382705071</v>
      </c>
      <c r="FT833" s="323">
        <f t="shared" si="1500"/>
        <v>55.644611207796316</v>
      </c>
      <c r="FU833" s="323">
        <f t="shared" si="1500"/>
        <v>7.1824640136957143</v>
      </c>
      <c r="FV833" s="323">
        <f t="shared" si="1500"/>
        <v>45.591714286455286</v>
      </c>
      <c r="FW833" s="323">
        <v>5.6655055174853022</v>
      </c>
      <c r="FX833" s="323">
        <v>6.2887759753053363</v>
      </c>
      <c r="FY833" s="323">
        <v>58.373979038208603</v>
      </c>
      <c r="FZ833" s="323">
        <v>14.239249687379989</v>
      </c>
      <c r="GA833" s="323">
        <v>55.523537706356599</v>
      </c>
      <c r="GB833" s="323">
        <v>21.796173973252806</v>
      </c>
      <c r="GC833" s="323">
        <v>12.081231768389062</v>
      </c>
      <c r="GD833" s="323">
        <v>44.661561328771228</v>
      </c>
      <c r="GE833" s="323">
        <v>16.396063073699835</v>
      </c>
      <c r="GF833" s="323">
        <v>27.358875574197342</v>
      </c>
      <c r="GG833" s="323">
        <v>7.9164675246468104</v>
      </c>
      <c r="GH833" s="323">
        <v>58.361683088513075</v>
      </c>
      <c r="GI833" s="323">
        <f t="shared" ref="GI833:HR833" si="1501">GI428</f>
        <v>9.8596502289075616</v>
      </c>
      <c r="GJ833" s="323">
        <f t="shared" si="1501"/>
        <v>9.9968046967865281</v>
      </c>
      <c r="GK833" s="323">
        <f t="shared" si="1501"/>
        <v>53.533450637127352</v>
      </c>
      <c r="GL833" s="323">
        <f t="shared" si="1501"/>
        <v>14.333028802406302</v>
      </c>
      <c r="GM833" s="323">
        <f t="shared" si="1501"/>
        <v>15.093809356477131</v>
      </c>
      <c r="GN833" s="323">
        <f t="shared" si="1501"/>
        <v>56.873159462766402</v>
      </c>
      <c r="GO833" s="323">
        <f t="shared" si="1501"/>
        <v>17.250100366304356</v>
      </c>
      <c r="GP833" s="323">
        <f t="shared" si="1501"/>
        <v>14.793392160612864</v>
      </c>
      <c r="GQ833" s="323">
        <f t="shared" si="1501"/>
        <v>59.605681422716977</v>
      </c>
      <c r="GR833" s="323">
        <f t="shared" si="1501"/>
        <v>12.331705050066665</v>
      </c>
      <c r="GS833" s="323">
        <f t="shared" si="1501"/>
        <v>13.634477371386666</v>
      </c>
      <c r="GT833" s="323">
        <f t="shared" si="1501"/>
        <v>44.025331526085537</v>
      </c>
      <c r="GU833" s="323">
        <f t="shared" si="1501"/>
        <v>10.725449950520662</v>
      </c>
      <c r="GV833" s="323">
        <f t="shared" si="1501"/>
        <v>18.292511232904008</v>
      </c>
      <c r="GW833" s="323">
        <f t="shared" si="1501"/>
        <v>98.30599488412571</v>
      </c>
      <c r="GX833" s="323">
        <f t="shared" si="1501"/>
        <v>9.93325176912</v>
      </c>
      <c r="GY833" s="323">
        <f t="shared" si="1501"/>
        <v>11.446578424230001</v>
      </c>
      <c r="GZ833" s="323">
        <f t="shared" si="1501"/>
        <v>86.049504158581627</v>
      </c>
      <c r="HA833" s="323">
        <f t="shared" si="1501"/>
        <v>10.54084457327</v>
      </c>
      <c r="HB833" s="323">
        <f t="shared" si="1501"/>
        <v>17.166397923217019</v>
      </c>
      <c r="HC833" s="323">
        <f t="shared" si="1501"/>
        <v>42.109037957926915</v>
      </c>
      <c r="HD833" s="323">
        <f t="shared" si="1501"/>
        <v>43.848020775653893</v>
      </c>
      <c r="HE833" s="323">
        <f t="shared" si="1501"/>
        <v>13.317024965192294</v>
      </c>
      <c r="HF833" s="323">
        <f t="shared" si="1501"/>
        <v>33.61055604821896</v>
      </c>
      <c r="HG833" s="323">
        <f t="shared" si="1501"/>
        <v>35.068585017825903</v>
      </c>
      <c r="HH833" s="323">
        <f t="shared" si="1501"/>
        <v>9.9394322954332726</v>
      </c>
      <c r="HI833" s="323">
        <f t="shared" si="1501"/>
        <v>83.885068981852783</v>
      </c>
      <c r="HJ833" s="323">
        <f t="shared" si="1501"/>
        <v>10.554926877949999</v>
      </c>
      <c r="HK833" s="323">
        <f t="shared" si="1501"/>
        <v>9.6045938914299995</v>
      </c>
      <c r="HL833" s="323">
        <f t="shared" si="1501"/>
        <v>82.553875998713025</v>
      </c>
      <c r="HM833" s="323">
        <f t="shared" si="1501"/>
        <v>10.486595673419995</v>
      </c>
      <c r="HN833" s="323">
        <f t="shared" si="1501"/>
        <v>8.4017518406480001</v>
      </c>
      <c r="HO833" s="323">
        <f t="shared" si="1501"/>
        <v>23.309610880921998</v>
      </c>
      <c r="HP833" s="323">
        <f t="shared" si="1501"/>
        <v>43.881362449199997</v>
      </c>
      <c r="HQ833" s="323">
        <f t="shared" si="1501"/>
        <v>12.600237437560017</v>
      </c>
      <c r="HR833" s="323">
        <f t="shared" si="1501"/>
        <v>52.304534172561063</v>
      </c>
      <c r="HS833" s="323">
        <f t="shared" ref="HS833:HX833" si="1502">HS428</f>
        <v>10.382556947019999</v>
      </c>
      <c r="HT833" s="323">
        <f t="shared" si="1502"/>
        <v>23.907858633305004</v>
      </c>
      <c r="HU833" s="323">
        <f t="shared" si="1502"/>
        <v>94.257733496910802</v>
      </c>
      <c r="HV833" s="323">
        <f t="shared" si="1502"/>
        <v>11.428943489419996</v>
      </c>
      <c r="HW833" s="323">
        <f t="shared" si="1502"/>
        <v>10.31703566021001</v>
      </c>
      <c r="HX833" s="323">
        <f t="shared" si="1502"/>
        <v>26.926589429670003</v>
      </c>
      <c r="HY833" s="323"/>
      <c r="HZ833" s="326"/>
      <c r="IA833" s="332" t="s">
        <v>517</v>
      </c>
      <c r="IB833" s="284">
        <f t="shared" si="1424"/>
        <v>49.531871968871243</v>
      </c>
      <c r="IC833" s="279">
        <f t="shared" si="1425"/>
        <v>52.113708238801152</v>
      </c>
      <c r="ID833" s="323">
        <f t="shared" si="907"/>
        <v>101.6455802076724</v>
      </c>
      <c r="IE833" s="279">
        <f t="shared" si="1426"/>
        <v>39.601908036743652</v>
      </c>
      <c r="IF833" s="279">
        <f t="shared" si="1427"/>
        <v>88.628422133451039</v>
      </c>
      <c r="IG833" s="323">
        <f t="shared" si="880"/>
        <v>128.23033017019469</v>
      </c>
      <c r="IH833" s="284">
        <f t="shared" si="1428"/>
        <v>73.960035581604046</v>
      </c>
      <c r="II833" s="279">
        <f t="shared" si="1429"/>
        <v>83.108212684842528</v>
      </c>
      <c r="IJ833" s="323">
        <f t="shared" si="881"/>
        <v>157.06824826644657</v>
      </c>
      <c r="IK833" s="327">
        <f t="shared" si="1430"/>
        <v>96.65917212637558</v>
      </c>
      <c r="IL833" s="279">
        <f t="shared" si="1431"/>
        <v>93.834770855630325</v>
      </c>
      <c r="IM833" s="323">
        <f t="shared" si="882"/>
        <v>190.4939429820059</v>
      </c>
      <c r="IN833" s="279">
        <f t="shared" si="1432"/>
        <v>112.63045331050702</v>
      </c>
      <c r="IO833" s="279">
        <f t="shared" si="1433"/>
        <v>105.16330725390925</v>
      </c>
      <c r="IP833" s="323">
        <f t="shared" si="883"/>
        <v>217.79376056441629</v>
      </c>
      <c r="IQ833" s="327">
        <f t="shared" si="1434"/>
        <v>151.63643418371146</v>
      </c>
      <c r="IR833" s="327">
        <f t="shared" si="1435"/>
        <v>102.97171944693687</v>
      </c>
      <c r="IS833" s="323">
        <f t="shared" si="884"/>
        <v>254.60815363064833</v>
      </c>
      <c r="IT833" s="327">
        <f t="shared" si="1436"/>
        <v>148.19272827804318</v>
      </c>
      <c r="IU833" s="327">
        <f t="shared" si="1437"/>
        <v>91.298398469565782</v>
      </c>
      <c r="IV833" s="323">
        <f t="shared" si="885"/>
        <v>239.49112674760897</v>
      </c>
      <c r="IW833" s="327">
        <f t="shared" si="1438"/>
        <v>171.32866362999081</v>
      </c>
      <c r="IX833" s="327">
        <f t="shared" si="1378"/>
        <v>130.02545062053565</v>
      </c>
      <c r="IY833" s="323">
        <f t="shared" si="1475"/>
        <v>301.35411425052644</v>
      </c>
      <c r="IZ833" s="327">
        <f t="shared" si="1439"/>
        <v>161.88722189798864</v>
      </c>
      <c r="JA833" s="327">
        <f t="shared" si="1440"/>
        <v>166.77588235821736</v>
      </c>
      <c r="JB833" s="323">
        <f t="shared" si="1458"/>
        <v>328.663104256206</v>
      </c>
      <c r="JC833" s="327">
        <f t="shared" si="1441"/>
        <v>159.68990318447129</v>
      </c>
      <c r="JD833" s="327">
        <f t="shared" si="1442"/>
        <v>161.64068789717305</v>
      </c>
      <c r="JE833" s="323">
        <f t="shared" si="1459"/>
        <v>321.33059108164434</v>
      </c>
      <c r="JF833" s="327">
        <f t="shared" si="1460"/>
        <v>234.75329041948203</v>
      </c>
      <c r="JG833" s="327">
        <f t="shared" si="1372"/>
        <v>160.59188224347909</v>
      </c>
      <c r="JH833" s="323">
        <f t="shared" si="1406"/>
        <v>395.34517266296109</v>
      </c>
      <c r="JI833" s="327">
        <f t="shared" si="1476"/>
        <v>231.60648306320502</v>
      </c>
      <c r="JJ833" s="327">
        <f t="shared" si="1405"/>
        <v>150.98409245431105</v>
      </c>
      <c r="JK833" s="323">
        <f t="shared" si="1398"/>
        <v>382.59057551751607</v>
      </c>
      <c r="JL833" s="327">
        <f t="shared" si="1407"/>
        <v>177.22071765653578</v>
      </c>
      <c r="JM833" s="279">
        <f t="shared" si="1488"/>
        <v>290.47542382284149</v>
      </c>
      <c r="JN833" s="323">
        <f>FISC!AK1139</f>
        <v>467.69614147937727</v>
      </c>
      <c r="JO833" s="327">
        <f t="shared" si="1461"/>
        <v>268.83531180677193</v>
      </c>
      <c r="JP833" s="279">
        <f t="shared" si="1443"/>
        <v>268.83531180677193</v>
      </c>
      <c r="JQ833" s="323">
        <f>FISC!AL1139</f>
        <v>537.67062361354385</v>
      </c>
      <c r="JR833" s="327">
        <f t="shared" si="1462"/>
        <v>303.18700162756249</v>
      </c>
      <c r="JS833" s="279">
        <f t="shared" si="1444"/>
        <v>303.18700162756249</v>
      </c>
      <c r="JT833" s="323">
        <f>FISC!AM1139</f>
        <v>606.37400325512499</v>
      </c>
      <c r="JU833" s="327">
        <f t="shared" si="1463"/>
        <v>336.40999819410786</v>
      </c>
      <c r="JV833" s="279">
        <f t="shared" si="1445"/>
        <v>336.40999819410786</v>
      </c>
      <c r="JW833" s="323">
        <f>FISC!AN1139</f>
        <v>672.81999638821571</v>
      </c>
      <c r="JX833" s="327">
        <f t="shared" si="1464"/>
        <v>390.50614222313266</v>
      </c>
      <c r="JY833" s="279">
        <f t="shared" si="1446"/>
        <v>390.50614222313266</v>
      </c>
      <c r="JZ833" s="323">
        <f>FISC!AO1139</f>
        <v>781.01228444626531</v>
      </c>
      <c r="KA833" s="327">
        <f t="shared" si="1465"/>
        <v>437.71859206070911</v>
      </c>
      <c r="KB833" s="279">
        <f t="shared" si="1447"/>
        <v>437.71859206070911</v>
      </c>
      <c r="KC833" s="323">
        <f>FISC!AP1139</f>
        <v>875.43718412141823</v>
      </c>
      <c r="KD833" s="327">
        <f t="shared" si="1466"/>
        <v>469.83128319362186</v>
      </c>
      <c r="KE833" s="279">
        <f t="shared" si="1448"/>
        <v>469.83128319362186</v>
      </c>
      <c r="KF833" s="323">
        <f>FISC!AQ1139</f>
        <v>939.66256638724371</v>
      </c>
      <c r="KG833" s="327">
        <f t="shared" si="1467"/>
        <v>516.870003706332</v>
      </c>
      <c r="KH833" s="279">
        <f t="shared" si="1449"/>
        <v>516.870003706332</v>
      </c>
      <c r="KI833" s="323">
        <f>FISC!AR1139</f>
        <v>1033.740007412664</v>
      </c>
      <c r="KJ833" s="327">
        <f t="shared" si="1468"/>
        <v>564.2535089406025</v>
      </c>
      <c r="KK833" s="279">
        <f t="shared" si="1450"/>
        <v>564.2535089406025</v>
      </c>
      <c r="KL833" s="323">
        <f>FISC!AS1139</f>
        <v>1128.507017881205</v>
      </c>
      <c r="KM833" s="327">
        <f t="shared" si="1469"/>
        <v>819.11289289091178</v>
      </c>
      <c r="KN833" s="279">
        <f t="shared" si="1451"/>
        <v>819.11289289091178</v>
      </c>
      <c r="KO833" s="323">
        <f>FISC!AT1139</f>
        <v>1638.2257857818236</v>
      </c>
      <c r="KU833" s="326"/>
      <c r="KV833" s="327"/>
    </row>
    <row r="834" spans="1:308">
      <c r="A834" s="279"/>
      <c r="D834" s="1232" t="s">
        <v>518</v>
      </c>
      <c r="E834" s="323"/>
      <c r="F834" s="323"/>
      <c r="G834" s="323"/>
      <c r="H834" s="323"/>
      <c r="I834" s="323"/>
      <c r="J834" s="323"/>
      <c r="K834" s="323"/>
      <c r="L834" s="323"/>
      <c r="M834" s="323"/>
      <c r="N834" s="323"/>
      <c r="O834" s="323"/>
      <c r="P834" s="323"/>
      <c r="Q834" s="323"/>
      <c r="R834" s="323"/>
      <c r="S834" s="323"/>
      <c r="T834" s="323"/>
      <c r="U834" s="323"/>
      <c r="V834" s="323"/>
      <c r="W834" s="323"/>
      <c r="X834" s="323"/>
      <c r="Y834" s="323"/>
      <c r="Z834" s="323"/>
      <c r="AA834" s="323"/>
      <c r="AB834" s="323"/>
      <c r="AC834" s="323"/>
      <c r="AD834" s="323"/>
      <c r="AE834" s="323"/>
      <c r="AF834" s="323"/>
      <c r="AG834" s="323"/>
      <c r="AH834" s="323"/>
      <c r="AI834" s="323"/>
      <c r="AJ834" s="323"/>
      <c r="AK834" s="323"/>
      <c r="AL834" s="323"/>
      <c r="AM834" s="323"/>
      <c r="AN834" s="323"/>
      <c r="AO834" s="323"/>
      <c r="AP834" s="323"/>
      <c r="AQ834" s="323"/>
      <c r="AR834" s="323"/>
      <c r="AS834" s="323"/>
      <c r="AT834" s="323"/>
      <c r="AU834" s="323"/>
      <c r="AV834" s="323"/>
      <c r="AW834" s="323"/>
      <c r="AX834" s="323"/>
      <c r="AY834" s="323"/>
      <c r="AZ834" s="323"/>
      <c r="BA834" s="323"/>
      <c r="BB834" s="323"/>
      <c r="BC834" s="323"/>
      <c r="BD834" s="323"/>
      <c r="BE834" s="323"/>
      <c r="BF834" s="323"/>
      <c r="BG834" s="323"/>
      <c r="BH834" s="323"/>
      <c r="BI834" s="323"/>
      <c r="BJ834" s="323"/>
      <c r="BK834" s="323"/>
      <c r="BL834" s="323"/>
      <c r="BM834" s="323"/>
      <c r="BN834" s="323"/>
      <c r="BO834" s="323"/>
      <c r="BP834" s="323"/>
      <c r="BQ834" s="323"/>
      <c r="BR834" s="323"/>
      <c r="BS834" s="323"/>
      <c r="BT834" s="323"/>
      <c r="BU834" s="323"/>
      <c r="BV834" s="323"/>
      <c r="BW834" s="323"/>
      <c r="BX834" s="323"/>
      <c r="BY834" s="323"/>
      <c r="BZ834" s="323"/>
      <c r="CA834" s="323"/>
      <c r="CB834" s="323"/>
      <c r="CC834" s="323"/>
      <c r="CD834" s="329"/>
      <c r="CE834" s="323">
        <f t="shared" ref="CE834:DJ834" si="1503">CE429</f>
        <v>0</v>
      </c>
      <c r="CF834" s="323">
        <f t="shared" si="1503"/>
        <v>0</v>
      </c>
      <c r="CG834" s="323">
        <f t="shared" si="1503"/>
        <v>0</v>
      </c>
      <c r="CH834" s="323">
        <f t="shared" si="1503"/>
        <v>0</v>
      </c>
      <c r="CI834" s="323">
        <f t="shared" si="1503"/>
        <v>0</v>
      </c>
      <c r="CJ834" s="323">
        <f t="shared" si="1503"/>
        <v>0</v>
      </c>
      <c r="CK834" s="323">
        <f t="shared" si="1503"/>
        <v>0</v>
      </c>
      <c r="CL834" s="323">
        <f t="shared" si="1503"/>
        <v>0</v>
      </c>
      <c r="CM834" s="323">
        <f t="shared" si="1503"/>
        <v>0</v>
      </c>
      <c r="CN834" s="323">
        <f t="shared" si="1503"/>
        <v>0</v>
      </c>
      <c r="CO834" s="323">
        <f t="shared" si="1503"/>
        <v>0</v>
      </c>
      <c r="CP834" s="325">
        <f t="shared" si="1503"/>
        <v>0</v>
      </c>
      <c r="CQ834" s="323">
        <f t="shared" si="1503"/>
        <v>0</v>
      </c>
      <c r="CR834" s="323">
        <f t="shared" si="1503"/>
        <v>0</v>
      </c>
      <c r="CS834" s="323">
        <f t="shared" si="1503"/>
        <v>0</v>
      </c>
      <c r="CT834" s="323">
        <f t="shared" si="1503"/>
        <v>0</v>
      </c>
      <c r="CU834" s="323">
        <f t="shared" si="1503"/>
        <v>0</v>
      </c>
      <c r="CV834" s="323">
        <f t="shared" si="1503"/>
        <v>0</v>
      </c>
      <c r="CW834" s="323">
        <f t="shared" si="1503"/>
        <v>0</v>
      </c>
      <c r="CX834" s="323">
        <f t="shared" si="1503"/>
        <v>0</v>
      </c>
      <c r="CY834" s="323">
        <f t="shared" si="1503"/>
        <v>0</v>
      </c>
      <c r="CZ834" s="323">
        <f t="shared" si="1503"/>
        <v>0</v>
      </c>
      <c r="DA834" s="323">
        <f t="shared" si="1503"/>
        <v>0</v>
      </c>
      <c r="DB834" s="1269">
        <f t="shared" si="1503"/>
        <v>0</v>
      </c>
      <c r="DC834" s="323">
        <f t="shared" si="1503"/>
        <v>0</v>
      </c>
      <c r="DD834" s="323">
        <f t="shared" si="1503"/>
        <v>0</v>
      </c>
      <c r="DE834" s="323">
        <f t="shared" si="1503"/>
        <v>0</v>
      </c>
      <c r="DF834" s="323">
        <f t="shared" si="1503"/>
        <v>0</v>
      </c>
      <c r="DG834" s="323">
        <f t="shared" si="1503"/>
        <v>0</v>
      </c>
      <c r="DH834" s="323">
        <f t="shared" si="1503"/>
        <v>0</v>
      </c>
      <c r="DI834" s="323">
        <f t="shared" si="1503"/>
        <v>0</v>
      </c>
      <c r="DJ834" s="323">
        <f t="shared" si="1503"/>
        <v>0</v>
      </c>
      <c r="DK834" s="323">
        <f t="shared" ref="DK834:EP834" si="1504">DK429</f>
        <v>0</v>
      </c>
      <c r="DL834" s="323">
        <f t="shared" si="1504"/>
        <v>0</v>
      </c>
      <c r="DM834" s="323">
        <f t="shared" si="1504"/>
        <v>0</v>
      </c>
      <c r="DN834" s="325">
        <f t="shared" si="1504"/>
        <v>0</v>
      </c>
      <c r="DO834" s="323">
        <f t="shared" si="1504"/>
        <v>0</v>
      </c>
      <c r="DP834" s="323">
        <f t="shared" si="1504"/>
        <v>0</v>
      </c>
      <c r="DQ834" s="323">
        <f t="shared" si="1504"/>
        <v>0</v>
      </c>
      <c r="DR834" s="323">
        <f t="shared" si="1504"/>
        <v>0</v>
      </c>
      <c r="DS834" s="323">
        <f t="shared" si="1504"/>
        <v>0</v>
      </c>
      <c r="DT834" s="323">
        <f t="shared" si="1504"/>
        <v>0</v>
      </c>
      <c r="DU834" s="323">
        <f t="shared" si="1504"/>
        <v>0</v>
      </c>
      <c r="DV834" s="323">
        <f t="shared" si="1504"/>
        <v>0</v>
      </c>
      <c r="DW834" s="323">
        <f t="shared" si="1504"/>
        <v>0</v>
      </c>
      <c r="DX834" s="323">
        <f t="shared" si="1504"/>
        <v>0</v>
      </c>
      <c r="DY834" s="323">
        <f t="shared" si="1504"/>
        <v>0</v>
      </c>
      <c r="DZ834" s="325">
        <f t="shared" si="1504"/>
        <v>0</v>
      </c>
      <c r="EA834" s="323">
        <f t="shared" si="1504"/>
        <v>0</v>
      </c>
      <c r="EB834" s="323">
        <f t="shared" si="1504"/>
        <v>0</v>
      </c>
      <c r="EC834" s="323">
        <f t="shared" si="1504"/>
        <v>0</v>
      </c>
      <c r="ED834" s="323">
        <f t="shared" si="1504"/>
        <v>0</v>
      </c>
      <c r="EE834" s="323">
        <f t="shared" si="1504"/>
        <v>0</v>
      </c>
      <c r="EF834" s="323">
        <f t="shared" si="1504"/>
        <v>0</v>
      </c>
      <c r="EG834" s="323">
        <f t="shared" si="1504"/>
        <v>0</v>
      </c>
      <c r="EH834" s="323">
        <f t="shared" si="1504"/>
        <v>0</v>
      </c>
      <c r="EI834" s="323">
        <f t="shared" si="1504"/>
        <v>0</v>
      </c>
      <c r="EJ834" s="323">
        <f t="shared" si="1504"/>
        <v>0</v>
      </c>
      <c r="EK834" s="323">
        <f t="shared" si="1504"/>
        <v>0</v>
      </c>
      <c r="EL834" s="325">
        <f t="shared" si="1504"/>
        <v>0</v>
      </c>
      <c r="EM834" s="323">
        <f t="shared" si="1504"/>
        <v>0</v>
      </c>
      <c r="EN834" s="323">
        <f t="shared" si="1504"/>
        <v>0</v>
      </c>
      <c r="EO834" s="323">
        <f t="shared" si="1504"/>
        <v>0</v>
      </c>
      <c r="EP834" s="323">
        <f t="shared" si="1504"/>
        <v>0</v>
      </c>
      <c r="EQ834" s="323">
        <f t="shared" ref="EQ834:FV834" si="1505">EQ429</f>
        <v>0</v>
      </c>
      <c r="ER834" s="323">
        <f t="shared" si="1505"/>
        <v>0</v>
      </c>
      <c r="ES834" s="323">
        <f t="shared" si="1505"/>
        <v>0</v>
      </c>
      <c r="ET834" s="323">
        <f t="shared" si="1505"/>
        <v>0</v>
      </c>
      <c r="EU834" s="323">
        <f t="shared" si="1505"/>
        <v>0</v>
      </c>
      <c r="EV834" s="323">
        <f t="shared" si="1505"/>
        <v>0</v>
      </c>
      <c r="EW834" s="323">
        <f t="shared" si="1505"/>
        <v>0</v>
      </c>
      <c r="EX834" s="325">
        <f t="shared" si="1505"/>
        <v>0</v>
      </c>
      <c r="EY834" s="323">
        <f t="shared" si="1505"/>
        <v>0</v>
      </c>
      <c r="EZ834" s="323">
        <f t="shared" si="1505"/>
        <v>0</v>
      </c>
      <c r="FA834" s="323">
        <f t="shared" si="1505"/>
        <v>0</v>
      </c>
      <c r="FB834" s="323">
        <f t="shared" si="1505"/>
        <v>0</v>
      </c>
      <c r="FC834" s="323">
        <f t="shared" si="1505"/>
        <v>0</v>
      </c>
      <c r="FD834" s="323">
        <f t="shared" si="1505"/>
        <v>0</v>
      </c>
      <c r="FE834" s="323">
        <f t="shared" si="1505"/>
        <v>0</v>
      </c>
      <c r="FF834" s="323">
        <f t="shared" si="1505"/>
        <v>0</v>
      </c>
      <c r="FG834" s="323">
        <f t="shared" si="1505"/>
        <v>0</v>
      </c>
      <c r="FH834" s="323">
        <f t="shared" si="1505"/>
        <v>0</v>
      </c>
      <c r="FI834" s="323">
        <f t="shared" si="1505"/>
        <v>0</v>
      </c>
      <c r="FJ834" s="325">
        <f t="shared" si="1505"/>
        <v>0</v>
      </c>
      <c r="FK834" s="323">
        <f t="shared" si="1505"/>
        <v>0</v>
      </c>
      <c r="FL834" s="323">
        <f t="shared" si="1505"/>
        <v>0</v>
      </c>
      <c r="FM834" s="323">
        <f t="shared" si="1505"/>
        <v>0</v>
      </c>
      <c r="FN834" s="323">
        <f t="shared" si="1505"/>
        <v>0</v>
      </c>
      <c r="FO834" s="323">
        <f t="shared" si="1505"/>
        <v>0</v>
      </c>
      <c r="FP834" s="323">
        <f t="shared" si="1505"/>
        <v>0</v>
      </c>
      <c r="FQ834" s="323">
        <f t="shared" si="1505"/>
        <v>0</v>
      </c>
      <c r="FR834" s="323">
        <f t="shared" si="1505"/>
        <v>0</v>
      </c>
      <c r="FS834" s="323">
        <f t="shared" si="1505"/>
        <v>0</v>
      </c>
      <c r="FT834" s="323">
        <f t="shared" si="1505"/>
        <v>0</v>
      </c>
      <c r="FU834" s="323">
        <f t="shared" si="1505"/>
        <v>0</v>
      </c>
      <c r="FV834" s="323">
        <f t="shared" si="1505"/>
        <v>0</v>
      </c>
      <c r="FW834" s="323">
        <v>0</v>
      </c>
      <c r="FX834" s="323">
        <v>0</v>
      </c>
      <c r="FY834" s="323">
        <v>0</v>
      </c>
      <c r="FZ834" s="323">
        <v>0</v>
      </c>
      <c r="GA834" s="323">
        <v>0</v>
      </c>
      <c r="GB834" s="323">
        <v>0</v>
      </c>
      <c r="GC834" s="323">
        <v>0</v>
      </c>
      <c r="GD834" s="323">
        <v>0</v>
      </c>
      <c r="GE834" s="323">
        <v>0</v>
      </c>
      <c r="GF834" s="323">
        <v>0</v>
      </c>
      <c r="GG834" s="323">
        <v>0</v>
      </c>
      <c r="GH834" s="323">
        <v>0</v>
      </c>
      <c r="GI834" s="323">
        <v>0</v>
      </c>
      <c r="GJ834" s="323">
        <v>0</v>
      </c>
      <c r="GK834" s="323">
        <v>0</v>
      </c>
      <c r="GL834" s="323">
        <v>0</v>
      </c>
      <c r="GM834" s="323">
        <v>0</v>
      </c>
      <c r="GN834" s="323">
        <v>0</v>
      </c>
      <c r="GO834" s="323">
        <v>0</v>
      </c>
      <c r="GP834" s="323">
        <v>0</v>
      </c>
      <c r="GQ834" s="323">
        <v>0</v>
      </c>
      <c r="GR834" s="323">
        <v>0</v>
      </c>
      <c r="GS834" s="323">
        <v>0</v>
      </c>
      <c r="GT834" s="323">
        <v>0</v>
      </c>
      <c r="GU834" s="323">
        <v>0</v>
      </c>
      <c r="GV834" s="323">
        <v>0</v>
      </c>
      <c r="GW834" s="323">
        <v>0</v>
      </c>
      <c r="GX834" s="323">
        <v>0</v>
      </c>
      <c r="GY834" s="323">
        <v>0</v>
      </c>
      <c r="GZ834" s="323">
        <v>0</v>
      </c>
      <c r="HA834" s="323">
        <v>0</v>
      </c>
      <c r="HB834" s="323">
        <v>0</v>
      </c>
      <c r="HC834" s="323">
        <v>0</v>
      </c>
      <c r="HD834" s="323">
        <v>0</v>
      </c>
      <c r="HE834" s="323">
        <v>0</v>
      </c>
      <c r="HF834" s="323">
        <v>0</v>
      </c>
      <c r="HG834" s="323">
        <v>0</v>
      </c>
      <c r="HH834" s="323">
        <v>0</v>
      </c>
      <c r="HI834" s="323">
        <v>0</v>
      </c>
      <c r="HJ834" s="323">
        <v>0</v>
      </c>
      <c r="HK834" s="323">
        <v>0</v>
      </c>
      <c r="HL834" s="323">
        <v>0</v>
      </c>
      <c r="HM834" s="323">
        <v>0</v>
      </c>
      <c r="HN834" s="323">
        <v>0</v>
      </c>
      <c r="HO834" s="323">
        <v>0</v>
      </c>
      <c r="HP834" s="323">
        <v>0</v>
      </c>
      <c r="HQ834" s="323">
        <v>0</v>
      </c>
      <c r="HR834" s="323">
        <v>0</v>
      </c>
      <c r="HS834" s="323">
        <v>0</v>
      </c>
      <c r="HT834" s="323">
        <v>0</v>
      </c>
      <c r="HU834" s="323">
        <v>0</v>
      </c>
      <c r="HV834" s="323">
        <v>0</v>
      </c>
      <c r="HW834" s="323">
        <v>0</v>
      </c>
      <c r="HX834" s="323">
        <v>0</v>
      </c>
      <c r="HY834" s="323"/>
      <c r="HZ834" s="326"/>
      <c r="IA834" s="1232" t="s">
        <v>518</v>
      </c>
      <c r="IB834" s="284">
        <f t="shared" si="1424"/>
        <v>0</v>
      </c>
      <c r="IC834" s="279">
        <f t="shared" si="1425"/>
        <v>0</v>
      </c>
      <c r="ID834" s="323">
        <f t="shared" si="907"/>
        <v>0</v>
      </c>
      <c r="IE834" s="279">
        <f t="shared" si="1426"/>
        <v>0</v>
      </c>
      <c r="IF834" s="279">
        <f t="shared" si="1427"/>
        <v>0</v>
      </c>
      <c r="IG834" s="323">
        <f t="shared" si="880"/>
        <v>0</v>
      </c>
      <c r="IH834" s="284">
        <f t="shared" si="1428"/>
        <v>0</v>
      </c>
      <c r="II834" s="279">
        <f t="shared" si="1429"/>
        <v>0</v>
      </c>
      <c r="IJ834" s="323">
        <f t="shared" si="881"/>
        <v>0</v>
      </c>
      <c r="IK834" s="327">
        <f t="shared" si="1430"/>
        <v>0</v>
      </c>
      <c r="IL834" s="279">
        <f t="shared" si="1431"/>
        <v>0</v>
      </c>
      <c r="IM834" s="323">
        <f t="shared" si="882"/>
        <v>0</v>
      </c>
      <c r="IN834" s="279">
        <f t="shared" si="1432"/>
        <v>0</v>
      </c>
      <c r="IO834" s="279">
        <f t="shared" si="1433"/>
        <v>0</v>
      </c>
      <c r="IP834" s="323">
        <f t="shared" si="883"/>
        <v>0</v>
      </c>
      <c r="IQ834" s="327">
        <f t="shared" si="1434"/>
        <v>0</v>
      </c>
      <c r="IR834" s="327">
        <f t="shared" si="1435"/>
        <v>0</v>
      </c>
      <c r="IS834" s="323">
        <f t="shared" si="884"/>
        <v>0</v>
      </c>
      <c r="IT834" s="327">
        <f t="shared" si="1436"/>
        <v>0</v>
      </c>
      <c r="IU834" s="327">
        <f t="shared" si="1437"/>
        <v>0</v>
      </c>
      <c r="IV834" s="323">
        <f t="shared" si="885"/>
        <v>0</v>
      </c>
      <c r="IW834" s="327">
        <f t="shared" si="1438"/>
        <v>0</v>
      </c>
      <c r="IX834" s="327">
        <f t="shared" si="1378"/>
        <v>0</v>
      </c>
      <c r="IY834" s="323">
        <f t="shared" si="1475"/>
        <v>0</v>
      </c>
      <c r="IZ834" s="327">
        <f t="shared" si="1439"/>
        <v>0</v>
      </c>
      <c r="JA834" s="327">
        <f t="shared" si="1440"/>
        <v>0</v>
      </c>
      <c r="JB834" s="323">
        <f t="shared" si="1458"/>
        <v>0</v>
      </c>
      <c r="JC834" s="327">
        <f t="shared" si="1441"/>
        <v>0</v>
      </c>
      <c r="JD834" s="327">
        <f t="shared" si="1442"/>
        <v>0</v>
      </c>
      <c r="JE834" s="323">
        <f t="shared" si="1459"/>
        <v>0</v>
      </c>
      <c r="JF834" s="327">
        <f t="shared" si="1460"/>
        <v>0</v>
      </c>
      <c r="JG834" s="327">
        <f t="shared" si="1372"/>
        <v>0</v>
      </c>
      <c r="JH834" s="323">
        <f t="shared" si="1406"/>
        <v>0</v>
      </c>
      <c r="JI834" s="327">
        <f t="shared" si="1476"/>
        <v>0</v>
      </c>
      <c r="JJ834" s="327">
        <f t="shared" si="1405"/>
        <v>0</v>
      </c>
      <c r="JK834" s="323">
        <f t="shared" si="1398"/>
        <v>0</v>
      </c>
      <c r="JL834" s="327">
        <f t="shared" si="1407"/>
        <v>0</v>
      </c>
      <c r="JM834" s="279">
        <f t="shared" si="1488"/>
        <v>0</v>
      </c>
      <c r="JN834" s="323">
        <f>FISC!AK1140</f>
        <v>0</v>
      </c>
      <c r="JO834" s="327">
        <f t="shared" si="1461"/>
        <v>0</v>
      </c>
      <c r="JP834" s="279">
        <f t="shared" si="1443"/>
        <v>0</v>
      </c>
      <c r="JQ834" s="323">
        <f>FISC!AL1140</f>
        <v>0</v>
      </c>
      <c r="JR834" s="327">
        <f t="shared" si="1462"/>
        <v>0</v>
      </c>
      <c r="JS834" s="279">
        <f t="shared" si="1444"/>
        <v>0</v>
      </c>
      <c r="JT834" s="323">
        <f>FISC!AM1140</f>
        <v>0</v>
      </c>
      <c r="JU834" s="327">
        <f t="shared" si="1463"/>
        <v>0</v>
      </c>
      <c r="JV834" s="279">
        <f t="shared" si="1445"/>
        <v>0</v>
      </c>
      <c r="JW834" s="323">
        <f>FISC!AN1140</f>
        <v>0</v>
      </c>
      <c r="JX834" s="327">
        <f t="shared" si="1464"/>
        <v>0</v>
      </c>
      <c r="JY834" s="279">
        <f t="shared" si="1446"/>
        <v>0</v>
      </c>
      <c r="JZ834" s="323">
        <f>FISC!AO1140</f>
        <v>0</v>
      </c>
      <c r="KA834" s="327">
        <f t="shared" si="1465"/>
        <v>0</v>
      </c>
      <c r="KB834" s="279">
        <f t="shared" si="1447"/>
        <v>0</v>
      </c>
      <c r="KC834" s="323">
        <f>FISC!AP1140</f>
        <v>0</v>
      </c>
      <c r="KD834" s="327">
        <f t="shared" si="1466"/>
        <v>0</v>
      </c>
      <c r="KE834" s="279">
        <f t="shared" si="1448"/>
        <v>0</v>
      </c>
      <c r="KF834" s="323">
        <f>FISC!AQ1140</f>
        <v>0</v>
      </c>
      <c r="KG834" s="327">
        <f t="shared" si="1467"/>
        <v>0</v>
      </c>
      <c r="KH834" s="279">
        <f t="shared" si="1449"/>
        <v>0</v>
      </c>
      <c r="KI834" s="323">
        <f>FISC!AR1140</f>
        <v>0</v>
      </c>
      <c r="KJ834" s="327">
        <f t="shared" si="1468"/>
        <v>0</v>
      </c>
      <c r="KK834" s="279">
        <f t="shared" si="1450"/>
        <v>0</v>
      </c>
      <c r="KL834" s="323">
        <f>FISC!AS1140</f>
        <v>0</v>
      </c>
      <c r="KM834" s="327">
        <f t="shared" si="1469"/>
        <v>0</v>
      </c>
      <c r="KN834" s="279">
        <f t="shared" si="1451"/>
        <v>0</v>
      </c>
      <c r="KO834" s="323">
        <f>FISC!AT1140</f>
        <v>0</v>
      </c>
      <c r="KU834" s="326"/>
      <c r="KV834" s="327"/>
    </row>
    <row r="835" spans="1:308">
      <c r="A835" s="279"/>
      <c r="D835" s="1232" t="s">
        <v>519</v>
      </c>
      <c r="E835" s="323"/>
      <c r="F835" s="323"/>
      <c r="G835" s="323"/>
      <c r="H835" s="323"/>
      <c r="I835" s="323"/>
      <c r="J835" s="323"/>
      <c r="K835" s="323"/>
      <c r="L835" s="323"/>
      <c r="M835" s="323"/>
      <c r="N835" s="323"/>
      <c r="O835" s="323"/>
      <c r="P835" s="323"/>
      <c r="Q835" s="323"/>
      <c r="R835" s="323"/>
      <c r="S835" s="323"/>
      <c r="T835" s="323"/>
      <c r="U835" s="323"/>
      <c r="V835" s="323"/>
      <c r="W835" s="323"/>
      <c r="X835" s="323"/>
      <c r="Y835" s="323"/>
      <c r="Z835" s="323"/>
      <c r="AA835" s="323"/>
      <c r="AB835" s="323"/>
      <c r="AC835" s="323"/>
      <c r="AD835" s="323"/>
      <c r="AE835" s="323"/>
      <c r="AF835" s="323"/>
      <c r="AG835" s="323"/>
      <c r="AH835" s="323"/>
      <c r="AI835" s="323"/>
      <c r="AJ835" s="323"/>
      <c r="AK835" s="323"/>
      <c r="AL835" s="323"/>
      <c r="AM835" s="323"/>
      <c r="AN835" s="323"/>
      <c r="AO835" s="323"/>
      <c r="AP835" s="323"/>
      <c r="AQ835" s="323"/>
      <c r="AR835" s="323"/>
      <c r="AS835" s="323"/>
      <c r="AT835" s="323"/>
      <c r="AU835" s="323"/>
      <c r="AV835" s="323"/>
      <c r="AW835" s="323"/>
      <c r="AX835" s="323"/>
      <c r="AY835" s="323"/>
      <c r="AZ835" s="323"/>
      <c r="BA835" s="323"/>
      <c r="BB835" s="323"/>
      <c r="BC835" s="323"/>
      <c r="BD835" s="323"/>
      <c r="BE835" s="323"/>
      <c r="BF835" s="323"/>
      <c r="BG835" s="323"/>
      <c r="BH835" s="323"/>
      <c r="BI835" s="323"/>
      <c r="BJ835" s="323"/>
      <c r="BK835" s="323"/>
      <c r="BL835" s="323"/>
      <c r="BM835" s="323"/>
      <c r="BN835" s="323"/>
      <c r="BO835" s="323"/>
      <c r="BP835" s="323"/>
      <c r="BQ835" s="323"/>
      <c r="BR835" s="323"/>
      <c r="BS835" s="323"/>
      <c r="BT835" s="323"/>
      <c r="BU835" s="323"/>
      <c r="BV835" s="323"/>
      <c r="BW835" s="323"/>
      <c r="BX835" s="323"/>
      <c r="BY835" s="323"/>
      <c r="BZ835" s="323"/>
      <c r="CA835" s="323"/>
      <c r="CB835" s="323"/>
      <c r="CC835" s="323"/>
      <c r="CD835" s="329"/>
      <c r="CE835" s="323">
        <f t="shared" ref="CE835:DJ835" si="1506">CE430</f>
        <v>0.84612021500000001</v>
      </c>
      <c r="CF835" s="323">
        <f t="shared" si="1506"/>
        <v>1.239917706</v>
      </c>
      <c r="CG835" s="323">
        <f t="shared" si="1506"/>
        <v>0.81163455799999995</v>
      </c>
      <c r="CH835" s="323">
        <f t="shared" si="1506"/>
        <v>1.1469411650000001</v>
      </c>
      <c r="CI835" s="323">
        <f t="shared" si="1506"/>
        <v>1.0924245699999999</v>
      </c>
      <c r="CJ835" s="323">
        <f t="shared" si="1506"/>
        <v>0.91695716599999999</v>
      </c>
      <c r="CK835" s="323">
        <f t="shared" si="1506"/>
        <v>0.88386281799999999</v>
      </c>
      <c r="CL835" s="323">
        <f t="shared" si="1506"/>
        <v>0.79949821899999995</v>
      </c>
      <c r="CM835" s="323">
        <f t="shared" si="1506"/>
        <v>1.094622336</v>
      </c>
      <c r="CN835" s="323">
        <f t="shared" si="1506"/>
        <v>0.66101670800000001</v>
      </c>
      <c r="CO835" s="323">
        <f t="shared" si="1506"/>
        <v>1.37028259</v>
      </c>
      <c r="CP835" s="325">
        <f t="shared" si="1506"/>
        <v>1.239677871</v>
      </c>
      <c r="CQ835" s="323">
        <f t="shared" si="1506"/>
        <v>0.75713307200000002</v>
      </c>
      <c r="CR835" s="323">
        <f t="shared" si="1506"/>
        <v>0.86384865900000007</v>
      </c>
      <c r="CS835" s="323">
        <f t="shared" si="1506"/>
        <v>1.0818581519999999</v>
      </c>
      <c r="CT835" s="323">
        <f t="shared" si="1506"/>
        <v>0.94316988899999998</v>
      </c>
      <c r="CU835" s="323">
        <f t="shared" si="1506"/>
        <v>1.1399535000000001</v>
      </c>
      <c r="CV835" s="323">
        <f t="shared" si="1506"/>
        <v>0.869352397</v>
      </c>
      <c r="CW835" s="323">
        <f t="shared" si="1506"/>
        <v>1.0327421210000001</v>
      </c>
      <c r="CX835" s="323">
        <f t="shared" si="1506"/>
        <v>0.80614112999999998</v>
      </c>
      <c r="CY835" s="323">
        <f t="shared" si="1506"/>
        <v>0.80478576099999999</v>
      </c>
      <c r="CZ835" s="323">
        <f t="shared" si="1506"/>
        <v>1.25552967</v>
      </c>
      <c r="DA835" s="323">
        <f t="shared" si="1506"/>
        <v>1.2630899390000001</v>
      </c>
      <c r="DB835" s="1269">
        <f t="shared" si="1506"/>
        <v>1.595495163</v>
      </c>
      <c r="DC835" s="323">
        <f t="shared" si="1506"/>
        <v>2.7323422260000001</v>
      </c>
      <c r="DD835" s="323">
        <f t="shared" si="1506"/>
        <v>1.9695306210000001</v>
      </c>
      <c r="DE835" s="323">
        <f t="shared" si="1506"/>
        <v>2.9419112730000001</v>
      </c>
      <c r="DF835" s="323">
        <f t="shared" si="1506"/>
        <v>2.210264118</v>
      </c>
      <c r="DG835" s="323">
        <f t="shared" si="1506"/>
        <v>2.3677145880000001</v>
      </c>
      <c r="DH835" s="323">
        <f t="shared" si="1506"/>
        <v>4.6395279880000002</v>
      </c>
      <c r="DI835" s="323">
        <f t="shared" si="1506"/>
        <v>3.299215857333333</v>
      </c>
      <c r="DJ835" s="323">
        <f t="shared" si="1506"/>
        <v>2.3583743803333328</v>
      </c>
      <c r="DK835" s="323">
        <f t="shared" ref="DK835:EP835" si="1507">DK430</f>
        <v>4.6481581993333325</v>
      </c>
      <c r="DL835" s="323">
        <f t="shared" si="1507"/>
        <v>2.216913984333333</v>
      </c>
      <c r="DM835" s="323">
        <f t="shared" si="1507"/>
        <v>2.4478672073333327</v>
      </c>
      <c r="DN835" s="325">
        <f t="shared" si="1507"/>
        <v>0.55133333333333301</v>
      </c>
      <c r="DO835" s="323">
        <f t="shared" si="1507"/>
        <v>3.2524888553773099</v>
      </c>
      <c r="DP835" s="323">
        <f t="shared" si="1507"/>
        <v>3.446459883927349</v>
      </c>
      <c r="DQ835" s="323">
        <f t="shared" si="1507"/>
        <v>3.5689261370808989</v>
      </c>
      <c r="DR835" s="323">
        <f t="shared" si="1507"/>
        <v>3.3435633859533533</v>
      </c>
      <c r="DS835" s="323">
        <f t="shared" si="1507"/>
        <v>3.5286734867164888</v>
      </c>
      <c r="DT835" s="323">
        <f t="shared" si="1507"/>
        <v>7.0173774340976163</v>
      </c>
      <c r="DU835" s="323">
        <f t="shared" si="1507"/>
        <v>4.229113230208255</v>
      </c>
      <c r="DV835" s="323">
        <f t="shared" si="1507"/>
        <v>4.1098691158595493</v>
      </c>
      <c r="DW835" s="323">
        <f t="shared" si="1507"/>
        <v>4.6729895104244159</v>
      </c>
      <c r="DX835" s="323">
        <f t="shared" si="1507"/>
        <v>3.8017053499615452</v>
      </c>
      <c r="DY835" s="323">
        <f t="shared" si="1507"/>
        <v>4.477257558041666</v>
      </c>
      <c r="DZ835" s="325">
        <f t="shared" si="1507"/>
        <v>5.698768663492813</v>
      </c>
      <c r="EA835" s="323">
        <f t="shared" si="1507"/>
        <v>3.9136909759988914</v>
      </c>
      <c r="EB835" s="323">
        <f t="shared" si="1507"/>
        <v>3.8151139260266862</v>
      </c>
      <c r="EC835" s="323">
        <f t="shared" si="1507"/>
        <v>4.1558004443404251</v>
      </c>
      <c r="ED835" s="323">
        <f t="shared" si="1507"/>
        <v>4.7867844218253621</v>
      </c>
      <c r="EE835" s="323">
        <f t="shared" si="1507"/>
        <v>5.183299164001693</v>
      </c>
      <c r="EF835" s="323">
        <f t="shared" si="1507"/>
        <v>7.8901812493139687</v>
      </c>
      <c r="EG835" s="323">
        <f t="shared" si="1507"/>
        <v>4.2537307356579444</v>
      </c>
      <c r="EH835" s="323">
        <f t="shared" si="1507"/>
        <v>4.018994933185482</v>
      </c>
      <c r="EI835" s="323">
        <f t="shared" si="1507"/>
        <v>4.9306483567719921</v>
      </c>
      <c r="EJ835" s="323">
        <f t="shared" si="1507"/>
        <v>4.5815354485314277</v>
      </c>
      <c r="EK835" s="323">
        <f t="shared" si="1507"/>
        <v>4.032344568664934</v>
      </c>
      <c r="EL835" s="325">
        <f t="shared" si="1507"/>
        <v>5.3981107900974807</v>
      </c>
      <c r="EM835" s="323">
        <f t="shared" si="1507"/>
        <v>4.9193208039999998</v>
      </c>
      <c r="EN835" s="323">
        <f t="shared" si="1507"/>
        <v>4.1769152370000002</v>
      </c>
      <c r="EO835" s="323">
        <f t="shared" si="1507"/>
        <v>9.3931258549999992</v>
      </c>
      <c r="EP835" s="323">
        <f t="shared" si="1507"/>
        <v>7.2205925710000001</v>
      </c>
      <c r="EQ835" s="323">
        <f t="shared" ref="EQ835:FV835" si="1508">EQ430</f>
        <v>8.1619172199999994</v>
      </c>
      <c r="ER835" s="323">
        <f t="shared" si="1508"/>
        <v>12.602468755</v>
      </c>
      <c r="ES835" s="323">
        <f t="shared" si="1508"/>
        <v>6.4096278329999903</v>
      </c>
      <c r="ET835" s="323">
        <f t="shared" si="1508"/>
        <v>4.5777012901000003</v>
      </c>
      <c r="EU835" s="323">
        <f t="shared" si="1508"/>
        <v>10.178172785999999</v>
      </c>
      <c r="EV835" s="323">
        <f t="shared" si="1508"/>
        <v>5.7319480469999995</v>
      </c>
      <c r="EW835" s="323">
        <f t="shared" si="1508"/>
        <v>5.753748055</v>
      </c>
      <c r="EX835" s="325">
        <f t="shared" si="1508"/>
        <v>12.849049871</v>
      </c>
      <c r="EY835" s="323">
        <f t="shared" si="1508"/>
        <v>5.262664585000004</v>
      </c>
      <c r="EZ835" s="323">
        <f t="shared" si="1508"/>
        <v>4.9105104329999971</v>
      </c>
      <c r="FA835" s="323">
        <f t="shared" si="1508"/>
        <v>10.614566404999994</v>
      </c>
      <c r="FB835" s="323">
        <f t="shared" si="1508"/>
        <v>5.982973087666668</v>
      </c>
      <c r="FC835" s="323">
        <f t="shared" si="1508"/>
        <v>5.0321488136666686</v>
      </c>
      <c r="FD835" s="323">
        <f t="shared" si="1508"/>
        <v>13.741639270186663</v>
      </c>
      <c r="FE835" s="323">
        <f t="shared" si="1508"/>
        <v>10.973276706</v>
      </c>
      <c r="FF835" s="323">
        <f t="shared" si="1508"/>
        <v>5.2036532519400005</v>
      </c>
      <c r="FG835" s="323">
        <f t="shared" si="1508"/>
        <v>8.8470259482800007</v>
      </c>
      <c r="FH835" s="323">
        <f t="shared" si="1508"/>
        <v>2.0223138180000007</v>
      </c>
      <c r="FI835" s="323">
        <f t="shared" si="1508"/>
        <v>4.7078686879999996</v>
      </c>
      <c r="FJ835" s="325">
        <f t="shared" si="1508"/>
        <v>8.2387352850674649</v>
      </c>
      <c r="FK835" s="323">
        <f t="shared" si="1508"/>
        <v>4.1809635077728302</v>
      </c>
      <c r="FL835" s="323">
        <f t="shared" si="1508"/>
        <v>4.344070762522632</v>
      </c>
      <c r="FM835" s="323">
        <f t="shared" si="1508"/>
        <v>7.7392183635863887</v>
      </c>
      <c r="FN835" s="323">
        <f t="shared" si="1508"/>
        <v>7.1681718182082301</v>
      </c>
      <c r="FO835" s="323">
        <f t="shared" si="1508"/>
        <v>4.4930568851904198</v>
      </c>
      <c r="FP835" s="323">
        <f t="shared" si="1508"/>
        <v>13.26570507691347</v>
      </c>
      <c r="FQ835" s="323">
        <f t="shared" si="1508"/>
        <v>4.775869532086837</v>
      </c>
      <c r="FR835" s="323">
        <f t="shared" si="1508"/>
        <v>5.2003298556468467</v>
      </c>
      <c r="FS835" s="323">
        <f t="shared" si="1508"/>
        <v>8.2771314033253613</v>
      </c>
      <c r="FT835" s="323">
        <f t="shared" si="1508"/>
        <v>1.7569701169257621</v>
      </c>
      <c r="FU835" s="323">
        <f t="shared" si="1508"/>
        <v>5.9387130385604241</v>
      </c>
      <c r="FV835" s="323">
        <f t="shared" si="1508"/>
        <v>9.8571338504248942</v>
      </c>
      <c r="FW835" s="323">
        <v>4.5564002029239381</v>
      </c>
      <c r="FX835" s="323">
        <v>5.0377439437933438</v>
      </c>
      <c r="FY835" s="323">
        <v>17.27022690215097</v>
      </c>
      <c r="FZ835" s="323">
        <v>13.138111052309924</v>
      </c>
      <c r="GA835" s="323">
        <v>12.167709325778533</v>
      </c>
      <c r="GB835" s="323">
        <v>16.18517118848273</v>
      </c>
      <c r="GC835" s="323">
        <v>10.914465227937068</v>
      </c>
      <c r="GD835" s="323">
        <v>43.632295053877669</v>
      </c>
      <c r="GE835" s="323">
        <v>15.13273897558325</v>
      </c>
      <c r="GF835" s="323">
        <v>2.6328494555600752</v>
      </c>
      <c r="GG835" s="323">
        <v>6.6875427071732885</v>
      </c>
      <c r="GH835" s="323">
        <v>18.959289332746017</v>
      </c>
      <c r="GI835" s="323">
        <f t="shared" ref="GI835:HR835" si="1509">GI430</f>
        <v>5.9181546022953997</v>
      </c>
      <c r="GJ835" s="323">
        <f t="shared" si="1509"/>
        <v>6.1299909303831379</v>
      </c>
      <c r="GK835" s="323">
        <f t="shared" si="1509"/>
        <v>11.704692125427322</v>
      </c>
      <c r="GL835" s="323">
        <f t="shared" si="1509"/>
        <v>10.205421723916889</v>
      </c>
      <c r="GM835" s="323">
        <f t="shared" si="1509"/>
        <v>10.072698733208821</v>
      </c>
      <c r="GN835" s="323">
        <f t="shared" si="1509"/>
        <v>12.930866568233451</v>
      </c>
      <c r="GO835" s="323">
        <f t="shared" si="1509"/>
        <v>11.890697832311565</v>
      </c>
      <c r="GP835" s="323">
        <f t="shared" si="1509"/>
        <v>10.619063331474727</v>
      </c>
      <c r="GQ835" s="323">
        <f t="shared" si="1509"/>
        <v>11.799154777326669</v>
      </c>
      <c r="GR835" s="323">
        <f t="shared" si="1509"/>
        <v>7.9459349121666669</v>
      </c>
      <c r="GS835" s="323">
        <f t="shared" si="1509"/>
        <v>8.132609364166667</v>
      </c>
      <c r="GT835" s="323">
        <f t="shared" si="1509"/>
        <v>8.9813491721666683</v>
      </c>
      <c r="GU835" s="323">
        <f t="shared" si="1509"/>
        <v>8.5854644437892578</v>
      </c>
      <c r="GV835" s="323">
        <f t="shared" si="1509"/>
        <v>7.426674227940719</v>
      </c>
      <c r="GW835" s="323">
        <f t="shared" si="1509"/>
        <v>26.038505397220156</v>
      </c>
      <c r="GX835" s="323">
        <f t="shared" si="1509"/>
        <v>7.2679998719099999</v>
      </c>
      <c r="GY835" s="323">
        <f t="shared" si="1509"/>
        <v>7.1623864173899996</v>
      </c>
      <c r="GZ835" s="323">
        <f t="shared" si="1509"/>
        <v>18.713971455980001</v>
      </c>
      <c r="HA835" s="323">
        <f t="shared" si="1509"/>
        <v>7.9620785439800006</v>
      </c>
      <c r="HB835" s="323">
        <f t="shared" si="1509"/>
        <v>6.9139648996799998</v>
      </c>
      <c r="HC835" s="323">
        <f t="shared" si="1509"/>
        <v>20.125925459074047</v>
      </c>
      <c r="HD835" s="323">
        <f t="shared" si="1509"/>
        <v>5.78453051376</v>
      </c>
      <c r="HE835" s="323">
        <f t="shared" si="1509"/>
        <v>6.7625461797399993</v>
      </c>
      <c r="HF835" s="323">
        <f t="shared" si="1509"/>
        <v>30.974578281569183</v>
      </c>
      <c r="HG835" s="323">
        <f t="shared" si="1509"/>
        <v>7.3758758163199989</v>
      </c>
      <c r="HH835" s="323">
        <f t="shared" si="1509"/>
        <v>7.096768563569972</v>
      </c>
      <c r="HI835" s="323">
        <f t="shared" si="1509"/>
        <v>23.531517947129998</v>
      </c>
      <c r="HJ835" s="323">
        <f t="shared" si="1509"/>
        <v>7.2577778196400011</v>
      </c>
      <c r="HK835" s="323">
        <f t="shared" si="1509"/>
        <v>6.8773916845333005</v>
      </c>
      <c r="HL835" s="323">
        <f t="shared" si="1509"/>
        <v>25.535159217869843</v>
      </c>
      <c r="HM835" s="323">
        <f t="shared" si="1509"/>
        <v>8.1700970788599996</v>
      </c>
      <c r="HN835" s="323">
        <f t="shared" si="1509"/>
        <v>6.2947325803099998</v>
      </c>
      <c r="HO835" s="323">
        <f t="shared" si="1509"/>
        <v>20.907432702629997</v>
      </c>
      <c r="HP835" s="323">
        <f t="shared" si="1509"/>
        <v>6.4938159255100043</v>
      </c>
      <c r="HQ835" s="323">
        <f t="shared" si="1509"/>
        <v>10.226875728320012</v>
      </c>
      <c r="HR835" s="323">
        <f t="shared" si="1509"/>
        <v>25.380417885240007</v>
      </c>
      <c r="HS835" s="323">
        <f t="shared" ref="HS835:HX835" si="1510">HS430</f>
        <v>7.5558838867899993</v>
      </c>
      <c r="HT835" s="323">
        <f t="shared" si="1510"/>
        <v>7.8161037287300008</v>
      </c>
      <c r="HU835" s="323">
        <f t="shared" si="1510"/>
        <v>34.102881835459996</v>
      </c>
      <c r="HV835" s="323">
        <f t="shared" si="1510"/>
        <v>8.5515037359099981</v>
      </c>
      <c r="HW835" s="323">
        <f t="shared" si="1510"/>
        <v>7.098492146400007</v>
      </c>
      <c r="HX835" s="323">
        <f t="shared" si="1510"/>
        <v>23.51756893348</v>
      </c>
      <c r="HY835" s="323"/>
      <c r="HZ835" s="326"/>
      <c r="IA835" s="1232" t="s">
        <v>519</v>
      </c>
      <c r="IB835" s="284">
        <f t="shared" si="1424"/>
        <v>6.0539953799999999</v>
      </c>
      <c r="IC835" s="279">
        <f t="shared" si="1425"/>
        <v>6.0489605419999997</v>
      </c>
      <c r="ID835" s="323">
        <f t="shared" si="907"/>
        <v>12.102955922</v>
      </c>
      <c r="IE835" s="279">
        <f t="shared" si="1426"/>
        <v>5.6553156690000002</v>
      </c>
      <c r="IF835" s="279">
        <f t="shared" si="1427"/>
        <v>6.7577837839999999</v>
      </c>
      <c r="IG835" s="323">
        <f t="shared" si="880"/>
        <v>12.413099453000001</v>
      </c>
      <c r="IH835" s="284">
        <f t="shared" si="1428"/>
        <v>16.861290814</v>
      </c>
      <c r="II835" s="279">
        <f t="shared" si="1429"/>
        <v>15.521862961999997</v>
      </c>
      <c r="IJ835" s="323">
        <f t="shared" si="881"/>
        <v>32.383153776</v>
      </c>
      <c r="IK835" s="327">
        <f t="shared" si="1430"/>
        <v>24.157489183153018</v>
      </c>
      <c r="IL835" s="279">
        <f t="shared" si="1431"/>
        <v>26.989703427988246</v>
      </c>
      <c r="IM835" s="323">
        <f t="shared" si="882"/>
        <v>51.147192611141264</v>
      </c>
      <c r="IN835" s="279">
        <f t="shared" si="1432"/>
        <v>29.744870181507025</v>
      </c>
      <c r="IO835" s="279">
        <f t="shared" si="1433"/>
        <v>27.215364832909255</v>
      </c>
      <c r="IP835" s="323">
        <f t="shared" si="883"/>
        <v>56.960235014416284</v>
      </c>
      <c r="IQ835" s="327">
        <f t="shared" si="1434"/>
        <v>46.474340441999999</v>
      </c>
      <c r="IR835" s="327">
        <f t="shared" si="1435"/>
        <v>45.500247882099984</v>
      </c>
      <c r="IS835" s="323">
        <f t="shared" si="884"/>
        <v>91.974588324099983</v>
      </c>
      <c r="IT835" s="327">
        <f t="shared" si="1436"/>
        <v>45.544502594519997</v>
      </c>
      <c r="IU835" s="327">
        <f t="shared" si="1437"/>
        <v>39.992873697287465</v>
      </c>
      <c r="IV835" s="323">
        <f t="shared" si="885"/>
        <v>85.537376291807462</v>
      </c>
      <c r="IW835" s="327">
        <f t="shared" si="1438"/>
        <v>41.191186414193972</v>
      </c>
      <c r="IX835" s="327">
        <f t="shared" si="1378"/>
        <v>35.806147796970123</v>
      </c>
      <c r="IY835" s="323">
        <f>IW835+IX835</f>
        <v>76.997334211164087</v>
      </c>
      <c r="IZ835" s="327">
        <f t="shared" si="1439"/>
        <v>68.355362615439432</v>
      </c>
      <c r="JA835" s="327">
        <f t="shared" si="1440"/>
        <v>97.959180752877387</v>
      </c>
      <c r="JB835" s="323">
        <f t="shared" si="1458"/>
        <v>166.31454336831683</v>
      </c>
      <c r="JC835" s="327">
        <f t="shared" si="1441"/>
        <v>56.961824683465025</v>
      </c>
      <c r="JD835" s="327">
        <f t="shared" si="1442"/>
        <v>59.36880938961297</v>
      </c>
      <c r="JE835" s="323">
        <f t="shared" si="1459"/>
        <v>116.33063407307799</v>
      </c>
      <c r="JF835" s="327">
        <f t="shared" si="1460"/>
        <v>75.195001814230139</v>
      </c>
      <c r="JG835" s="327">
        <f t="shared" si="1372"/>
        <v>78.523623877803232</v>
      </c>
      <c r="JH835" s="323">
        <f t="shared" si="1406"/>
        <v>153.71862569203336</v>
      </c>
      <c r="JI835" s="327">
        <f t="shared" si="1476"/>
        <v>77.674491049063107</v>
      </c>
      <c r="JJ835" s="327">
        <f t="shared" si="1405"/>
        <v>77.473371900870021</v>
      </c>
      <c r="JK835" s="323">
        <f t="shared" si="1398"/>
        <v>155.14786294993314</v>
      </c>
      <c r="JL835" s="327">
        <f t="shared" si="1407"/>
        <v>88.64243426677001</v>
      </c>
      <c r="JM835" s="279">
        <f t="shared" si="1488"/>
        <v>160.91186632445098</v>
      </c>
      <c r="JN835" s="323">
        <f>FISC!AK1141</f>
        <v>249.55430059122099</v>
      </c>
      <c r="JO835" s="327">
        <f t="shared" si="1461"/>
        <v>144.06418337205051</v>
      </c>
      <c r="JP835" s="279">
        <f t="shared" si="1443"/>
        <v>144.06418337205051</v>
      </c>
      <c r="JQ835" s="323">
        <f>FISC!AL1141</f>
        <v>288.12836674410102</v>
      </c>
      <c r="JR835" s="327">
        <f t="shared" si="1462"/>
        <v>171.74185298250248</v>
      </c>
      <c r="JS835" s="279">
        <f t="shared" si="1444"/>
        <v>171.74185298250248</v>
      </c>
      <c r="JT835" s="323">
        <f>FISC!AM1141</f>
        <v>343.48370596500496</v>
      </c>
      <c r="JU835" s="327">
        <f t="shared" si="1463"/>
        <v>197.94965974763238</v>
      </c>
      <c r="JV835" s="279">
        <f t="shared" si="1445"/>
        <v>197.94965974763238</v>
      </c>
      <c r="JW835" s="323">
        <f>FISC!AN1141</f>
        <v>395.89931949526476</v>
      </c>
      <c r="JX835" s="327">
        <f t="shared" si="1464"/>
        <v>245.54614641798258</v>
      </c>
      <c r="JY835" s="279">
        <f t="shared" si="1446"/>
        <v>245.54614641798258</v>
      </c>
      <c r="JZ835" s="323">
        <f>FISC!AO1141</f>
        <v>491.09229283596517</v>
      </c>
      <c r="KA835" s="327">
        <f t="shared" si="1465"/>
        <v>282.19809180328889</v>
      </c>
      <c r="KB835" s="279">
        <f t="shared" si="1447"/>
        <v>282.19809180328889</v>
      </c>
      <c r="KC835" s="323">
        <f>FISC!AP1141</f>
        <v>564.39618360657778</v>
      </c>
      <c r="KD835" s="327">
        <f t="shared" si="1466"/>
        <v>308.28712319741697</v>
      </c>
      <c r="KE835" s="279">
        <f t="shared" si="1448"/>
        <v>308.28712319741697</v>
      </c>
      <c r="KF835" s="323">
        <f>FISC!AQ1141</f>
        <v>616.57424639483395</v>
      </c>
      <c r="KG835" s="327">
        <f t="shared" si="1467"/>
        <v>348.98802532955892</v>
      </c>
      <c r="KH835" s="279">
        <f t="shared" si="1449"/>
        <v>348.98802532955892</v>
      </c>
      <c r="KI835" s="323">
        <f>FISC!AR1141</f>
        <v>697.97605065911785</v>
      </c>
      <c r="KJ835" s="327">
        <f t="shared" si="1468"/>
        <v>389.69701537361726</v>
      </c>
      <c r="KK835" s="279">
        <f t="shared" si="1450"/>
        <v>389.69701537361726</v>
      </c>
      <c r="KL835" s="323">
        <f>FISC!AS1141</f>
        <v>779.39403074723452</v>
      </c>
      <c r="KM835" s="327">
        <f t="shared" si="1469"/>
        <v>637.52068441643701</v>
      </c>
      <c r="KN835" s="279">
        <f t="shared" si="1451"/>
        <v>637.52068441643701</v>
      </c>
      <c r="KO835" s="323">
        <f>FISC!AT1141</f>
        <v>1275.041368832874</v>
      </c>
      <c r="KU835" s="326"/>
      <c r="KV835" s="327"/>
    </row>
    <row r="836" spans="1:308">
      <c r="A836" s="279"/>
      <c r="D836" s="1416" t="s">
        <v>3118</v>
      </c>
      <c r="E836" s="323"/>
      <c r="F836" s="323"/>
      <c r="G836" s="323"/>
      <c r="H836" s="323"/>
      <c r="I836" s="323"/>
      <c r="J836" s="323"/>
      <c r="K836" s="323"/>
      <c r="L836" s="323"/>
      <c r="M836" s="323"/>
      <c r="N836" s="323"/>
      <c r="O836" s="323"/>
      <c r="P836" s="323"/>
      <c r="Q836" s="323"/>
      <c r="R836" s="323"/>
      <c r="S836" s="323"/>
      <c r="T836" s="323"/>
      <c r="U836" s="323"/>
      <c r="V836" s="323"/>
      <c r="W836" s="323"/>
      <c r="X836" s="323"/>
      <c r="Y836" s="323"/>
      <c r="Z836" s="323"/>
      <c r="AA836" s="323"/>
      <c r="AB836" s="323"/>
      <c r="AC836" s="323"/>
      <c r="AD836" s="323"/>
      <c r="AE836" s="323"/>
      <c r="AF836" s="323"/>
      <c r="AG836" s="323"/>
      <c r="AH836" s="323"/>
      <c r="AI836" s="323"/>
      <c r="AJ836" s="323"/>
      <c r="AK836" s="323"/>
      <c r="AL836" s="323"/>
      <c r="AM836" s="323"/>
      <c r="AN836" s="323"/>
      <c r="AO836" s="323"/>
      <c r="AP836" s="323"/>
      <c r="AQ836" s="323"/>
      <c r="AR836" s="323"/>
      <c r="AS836" s="323"/>
      <c r="AT836" s="323"/>
      <c r="AU836" s="323"/>
      <c r="AV836" s="323"/>
      <c r="AW836" s="323"/>
      <c r="AX836" s="323"/>
      <c r="AY836" s="323"/>
      <c r="AZ836" s="323"/>
      <c r="BA836" s="323"/>
      <c r="BB836" s="323"/>
      <c r="BC836" s="323"/>
      <c r="BD836" s="323"/>
      <c r="BE836" s="323"/>
      <c r="BF836" s="323"/>
      <c r="BG836" s="323"/>
      <c r="BH836" s="323"/>
      <c r="BI836" s="323"/>
      <c r="BJ836" s="323"/>
      <c r="BK836" s="323"/>
      <c r="BL836" s="323"/>
      <c r="BM836" s="323"/>
      <c r="BN836" s="323"/>
      <c r="BO836" s="323"/>
      <c r="BP836" s="323"/>
      <c r="BQ836" s="323"/>
      <c r="BR836" s="323"/>
      <c r="BS836" s="323"/>
      <c r="BT836" s="323"/>
      <c r="BU836" s="323"/>
      <c r="BV836" s="323"/>
      <c r="BW836" s="323"/>
      <c r="BX836" s="323"/>
      <c r="BY836" s="323"/>
      <c r="BZ836" s="323"/>
      <c r="CA836" s="323"/>
      <c r="CB836" s="323"/>
      <c r="CC836" s="323"/>
      <c r="CD836" s="329"/>
      <c r="CE836" s="323"/>
      <c r="CF836" s="323"/>
      <c r="CG836" s="323"/>
      <c r="CH836" s="323"/>
      <c r="CI836" s="323"/>
      <c r="CJ836" s="323"/>
      <c r="CK836" s="323"/>
      <c r="CL836" s="323"/>
      <c r="CM836" s="323"/>
      <c r="CN836" s="323"/>
      <c r="CO836" s="323"/>
      <c r="CP836" s="325"/>
      <c r="CQ836" s="323"/>
      <c r="CR836" s="323"/>
      <c r="CS836" s="323"/>
      <c r="CT836" s="323"/>
      <c r="CU836" s="323"/>
      <c r="CV836" s="323"/>
      <c r="CW836" s="323"/>
      <c r="CX836" s="323"/>
      <c r="CY836" s="323"/>
      <c r="CZ836" s="323"/>
      <c r="DA836" s="323"/>
      <c r="DB836" s="1269"/>
      <c r="DC836" s="1654">
        <f t="shared" ref="DC836:FN836" si="1511">DC431</f>
        <v>0</v>
      </c>
      <c r="DD836" s="1654">
        <f t="shared" si="1511"/>
        <v>0</v>
      </c>
      <c r="DE836" s="1654">
        <f t="shared" si="1511"/>
        <v>0</v>
      </c>
      <c r="DF836" s="1654">
        <f t="shared" si="1511"/>
        <v>0</v>
      </c>
      <c r="DG836" s="1654">
        <f t="shared" si="1511"/>
        <v>0</v>
      </c>
      <c r="DH836" s="1654">
        <f t="shared" si="1511"/>
        <v>0</v>
      </c>
      <c r="DI836" s="1654">
        <f t="shared" si="1511"/>
        <v>0</v>
      </c>
      <c r="DJ836" s="1654">
        <f t="shared" si="1511"/>
        <v>0</v>
      </c>
      <c r="DK836" s="1654">
        <f t="shared" si="1511"/>
        <v>0</v>
      </c>
      <c r="DL836" s="1654">
        <f t="shared" si="1511"/>
        <v>0</v>
      </c>
      <c r="DM836" s="1654">
        <f t="shared" si="1511"/>
        <v>0</v>
      </c>
      <c r="DN836" s="1654">
        <f t="shared" si="1511"/>
        <v>0</v>
      </c>
      <c r="DO836" s="1654">
        <f t="shared" si="1511"/>
        <v>0</v>
      </c>
      <c r="DP836" s="1654">
        <f t="shared" si="1511"/>
        <v>0</v>
      </c>
      <c r="DQ836" s="1654">
        <f t="shared" si="1511"/>
        <v>0</v>
      </c>
      <c r="DR836" s="1654">
        <f t="shared" si="1511"/>
        <v>0</v>
      </c>
      <c r="DS836" s="1654">
        <f t="shared" si="1511"/>
        <v>0</v>
      </c>
      <c r="DT836" s="1654">
        <f t="shared" si="1511"/>
        <v>0</v>
      </c>
      <c r="DU836" s="1654">
        <f t="shared" si="1511"/>
        <v>0</v>
      </c>
      <c r="DV836" s="1654">
        <f t="shared" si="1511"/>
        <v>0</v>
      </c>
      <c r="DW836" s="1654">
        <f t="shared" si="1511"/>
        <v>0</v>
      </c>
      <c r="DX836" s="1654">
        <f t="shared" si="1511"/>
        <v>0</v>
      </c>
      <c r="DY836" s="1654">
        <f t="shared" si="1511"/>
        <v>0</v>
      </c>
      <c r="DZ836" s="1654">
        <f t="shared" si="1511"/>
        <v>0</v>
      </c>
      <c r="EA836" s="1654">
        <f t="shared" si="1511"/>
        <v>0</v>
      </c>
      <c r="EB836" s="1654">
        <f t="shared" si="1511"/>
        <v>0</v>
      </c>
      <c r="EC836" s="1654">
        <f t="shared" si="1511"/>
        <v>0</v>
      </c>
      <c r="ED836" s="1654">
        <f t="shared" si="1511"/>
        <v>0</v>
      </c>
      <c r="EE836" s="1654">
        <f t="shared" si="1511"/>
        <v>0</v>
      </c>
      <c r="EF836" s="1654">
        <f t="shared" si="1511"/>
        <v>0</v>
      </c>
      <c r="EG836" s="1654">
        <f t="shared" si="1511"/>
        <v>0</v>
      </c>
      <c r="EH836" s="1654">
        <f t="shared" si="1511"/>
        <v>0</v>
      </c>
      <c r="EI836" s="1654">
        <f t="shared" si="1511"/>
        <v>0</v>
      </c>
      <c r="EJ836" s="1654">
        <f t="shared" si="1511"/>
        <v>0</v>
      </c>
      <c r="EK836" s="1654">
        <f t="shared" si="1511"/>
        <v>0</v>
      </c>
      <c r="EL836" s="1654">
        <f t="shared" si="1511"/>
        <v>0</v>
      </c>
      <c r="EM836" s="1654">
        <f t="shared" si="1511"/>
        <v>0</v>
      </c>
      <c r="EN836" s="1654">
        <f t="shared" si="1511"/>
        <v>0</v>
      </c>
      <c r="EO836" s="1654">
        <f t="shared" si="1511"/>
        <v>0</v>
      </c>
      <c r="EP836" s="1654">
        <f t="shared" si="1511"/>
        <v>0</v>
      </c>
      <c r="EQ836" s="1654">
        <f t="shared" si="1511"/>
        <v>0</v>
      </c>
      <c r="ER836" s="1654">
        <f t="shared" si="1511"/>
        <v>0</v>
      </c>
      <c r="ES836" s="1654">
        <f t="shared" si="1511"/>
        <v>0</v>
      </c>
      <c r="ET836" s="1654">
        <f t="shared" si="1511"/>
        <v>0</v>
      </c>
      <c r="EU836" s="1654">
        <f t="shared" si="1511"/>
        <v>0</v>
      </c>
      <c r="EV836" s="1654">
        <f t="shared" si="1511"/>
        <v>0</v>
      </c>
      <c r="EW836" s="1654">
        <f t="shared" si="1511"/>
        <v>0</v>
      </c>
      <c r="EX836" s="1654">
        <f t="shared" si="1511"/>
        <v>0</v>
      </c>
      <c r="EY836" s="1654">
        <f t="shared" si="1511"/>
        <v>0</v>
      </c>
      <c r="EZ836" s="1654">
        <f t="shared" si="1511"/>
        <v>0</v>
      </c>
      <c r="FA836" s="1654">
        <f t="shared" si="1511"/>
        <v>0</v>
      </c>
      <c r="FB836" s="1654">
        <f t="shared" si="1511"/>
        <v>0</v>
      </c>
      <c r="FC836" s="1654">
        <f t="shared" si="1511"/>
        <v>0</v>
      </c>
      <c r="FD836" s="1654">
        <f t="shared" si="1511"/>
        <v>0</v>
      </c>
      <c r="FE836" s="1654">
        <f t="shared" si="1511"/>
        <v>0</v>
      </c>
      <c r="FF836" s="1654">
        <f t="shared" si="1511"/>
        <v>0</v>
      </c>
      <c r="FG836" s="1654">
        <f t="shared" si="1511"/>
        <v>0</v>
      </c>
      <c r="FH836" s="1654">
        <f t="shared" si="1511"/>
        <v>0</v>
      </c>
      <c r="FI836" s="1654">
        <f t="shared" si="1511"/>
        <v>0</v>
      </c>
      <c r="FJ836" s="1654">
        <f t="shared" si="1511"/>
        <v>0</v>
      </c>
      <c r="FK836" s="1654">
        <f t="shared" si="1511"/>
        <v>0</v>
      </c>
      <c r="FL836" s="1654">
        <f t="shared" si="1511"/>
        <v>0</v>
      </c>
      <c r="FM836" s="1654">
        <f t="shared" si="1511"/>
        <v>0</v>
      </c>
      <c r="FN836" s="1654">
        <f t="shared" si="1511"/>
        <v>0</v>
      </c>
      <c r="FO836" s="1654">
        <f t="shared" ref="FO836:HK836" si="1512">FO431</f>
        <v>0</v>
      </c>
      <c r="FP836" s="1654">
        <f t="shared" si="1512"/>
        <v>0</v>
      </c>
      <c r="FQ836" s="1654">
        <f t="shared" si="1512"/>
        <v>0</v>
      </c>
      <c r="FR836" s="1654">
        <f t="shared" si="1512"/>
        <v>0</v>
      </c>
      <c r="FS836" s="1654">
        <f t="shared" si="1512"/>
        <v>0</v>
      </c>
      <c r="FT836" s="1654">
        <f t="shared" si="1512"/>
        <v>0</v>
      </c>
      <c r="FU836" s="1654">
        <f t="shared" si="1512"/>
        <v>0</v>
      </c>
      <c r="FV836" s="1654">
        <f t="shared" si="1512"/>
        <v>0</v>
      </c>
      <c r="FW836" s="1654">
        <f t="shared" si="1512"/>
        <v>0.92318832435999987</v>
      </c>
      <c r="FX836" s="1654">
        <f t="shared" si="1512"/>
        <v>1.5247529943199998</v>
      </c>
      <c r="FY836" s="1654">
        <f t="shared" si="1512"/>
        <v>2.4596694842077933</v>
      </c>
      <c r="FZ836" s="1654">
        <f t="shared" si="1512"/>
        <v>1.9307226408922056</v>
      </c>
      <c r="GA836" s="1654">
        <f t="shared" si="1512"/>
        <v>1.6797785813100017</v>
      </c>
      <c r="GB836" s="1654">
        <f t="shared" si="1512"/>
        <v>2.0582854242527948</v>
      </c>
      <c r="GC836" s="1654">
        <f t="shared" si="1512"/>
        <v>1.6530114376372036</v>
      </c>
      <c r="GD836" s="1654">
        <f t="shared" si="1512"/>
        <v>1.9862153990710003</v>
      </c>
      <c r="GE836" s="1654">
        <f t="shared" si="1512"/>
        <v>2.0711385295390019</v>
      </c>
      <c r="GF836" s="1654">
        <f t="shared" si="1512"/>
        <v>2.173728671830002</v>
      </c>
      <c r="GG836" s="1654">
        <f t="shared" si="1512"/>
        <v>1.7955816243486999</v>
      </c>
      <c r="GH836" s="1654">
        <f t="shared" si="1512"/>
        <v>2.7172967976912994</v>
      </c>
      <c r="GI836" s="1654">
        <f t="shared" si="1512"/>
        <v>2.0682120853497188</v>
      </c>
      <c r="GJ836" s="1654">
        <f t="shared" si="1512"/>
        <v>2.1222335614302805</v>
      </c>
      <c r="GK836" s="1654">
        <f t="shared" si="1512"/>
        <v>1.8292268649079999</v>
      </c>
      <c r="GL836" s="1654">
        <f t="shared" si="1512"/>
        <v>2.1035890286338392</v>
      </c>
      <c r="GM836" s="1654">
        <f t="shared" si="1512"/>
        <v>2.3860223618304586</v>
      </c>
      <c r="GN836" s="1654">
        <f t="shared" si="1512"/>
        <v>2.964427220312726</v>
      </c>
      <c r="GO836" s="1654">
        <f t="shared" si="1512"/>
        <v>2.6429249151448997</v>
      </c>
      <c r="GP836" s="1654">
        <f t="shared" si="1512"/>
        <v>2.2986638383080602</v>
      </c>
      <c r="GQ836" s="1654">
        <f t="shared" si="1512"/>
        <v>3.0314129841599997</v>
      </c>
      <c r="GR836" s="1654">
        <f t="shared" si="1512"/>
        <v>0</v>
      </c>
      <c r="GS836" s="1654">
        <f t="shared" si="1512"/>
        <v>0</v>
      </c>
      <c r="GT836" s="1654">
        <f t="shared" si="1512"/>
        <v>0</v>
      </c>
      <c r="GU836" s="1654">
        <f t="shared" si="1512"/>
        <v>5.2474914807892574</v>
      </c>
      <c r="GV836" s="1654">
        <f t="shared" si="1512"/>
        <v>3.7494254769407198</v>
      </c>
      <c r="GW836" s="1654">
        <f t="shared" si="1512"/>
        <v>3.3178440732201553</v>
      </c>
      <c r="GX836" s="1654">
        <f t="shared" si="1512"/>
        <v>4.0079416719100003</v>
      </c>
      <c r="GY836" s="1654">
        <f t="shared" si="1512"/>
        <v>3.8370378613900002</v>
      </c>
      <c r="GZ836" s="1654">
        <f t="shared" si="1512"/>
        <v>4.1440972879800002</v>
      </c>
      <c r="HA836" s="1654">
        <f t="shared" si="1512"/>
        <v>4.9510413419800017</v>
      </c>
      <c r="HB836" s="1654">
        <f t="shared" si="1512"/>
        <v>3.84974374968</v>
      </c>
      <c r="HC836" s="1654">
        <f t="shared" si="1512"/>
        <v>4.7290830312940493</v>
      </c>
      <c r="HD836" s="1654">
        <f t="shared" si="1512"/>
        <v>3.1378757267599999</v>
      </c>
      <c r="HE836" s="1654">
        <f t="shared" si="1512"/>
        <v>3.6100148057399997</v>
      </c>
      <c r="HF836" s="1654">
        <f t="shared" si="1512"/>
        <v>4.2565477254699999</v>
      </c>
      <c r="HG836" s="1654">
        <f t="shared" si="1512"/>
        <v>4.362090478319999</v>
      </c>
      <c r="HH836" s="1654">
        <f t="shared" si="1512"/>
        <v>4.1285172975699718</v>
      </c>
      <c r="HI836" s="1654">
        <f t="shared" si="1512"/>
        <v>3.4442858281299995</v>
      </c>
      <c r="HJ836" s="1654">
        <f t="shared" si="1512"/>
        <v>3.8810005356400015</v>
      </c>
      <c r="HK836" s="1654">
        <f t="shared" si="1512"/>
        <v>3.8656673255333005</v>
      </c>
      <c r="HL836" s="1654">
        <f>HL431</f>
        <v>3.2049764485365069</v>
      </c>
      <c r="HM836" s="1654">
        <f t="shared" ref="HM836:HR836" si="1513">HM431</f>
        <v>4.7780647958599998</v>
      </c>
      <c r="HN836" s="1654">
        <f t="shared" si="1513"/>
        <v>3.29265499031</v>
      </c>
      <c r="HO836" s="1654">
        <f t="shared" si="1513"/>
        <v>3.7236164156299947</v>
      </c>
      <c r="HP836" s="1654">
        <f t="shared" si="1513"/>
        <v>3.3635775865100039</v>
      </c>
      <c r="HQ836" s="1654">
        <f t="shared" si="1513"/>
        <v>4.0695764953200113</v>
      </c>
      <c r="HR836" s="1654">
        <f t="shared" si="1513"/>
        <v>6.2353836352400096</v>
      </c>
      <c r="HS836" s="1654">
        <f t="shared" ref="HS836:HX836" si="1514">HS431</f>
        <v>3.9879700097899993</v>
      </c>
      <c r="HT836" s="1654">
        <f t="shared" si="1514"/>
        <v>4.0337051357300009</v>
      </c>
      <c r="HU836" s="1654">
        <f t="shared" si="1514"/>
        <v>3.8974349474600012</v>
      </c>
      <c r="HV836" s="1654">
        <f t="shared" si="1514"/>
        <v>4.4301556819099979</v>
      </c>
      <c r="HW836" s="1654">
        <f t="shared" si="1514"/>
        <v>3.248720534400007</v>
      </c>
      <c r="HX836" s="1654">
        <f t="shared" si="1514"/>
        <v>3.8204561284799978</v>
      </c>
      <c r="HY836" s="1654"/>
      <c r="HZ836" s="326"/>
      <c r="IA836" s="1416" t="s">
        <v>3118</v>
      </c>
      <c r="IB836" s="284"/>
      <c r="ID836" s="323"/>
      <c r="IG836" s="323"/>
      <c r="IH836" s="284"/>
      <c r="IJ836" s="323"/>
      <c r="IK836" s="327"/>
      <c r="IM836" s="323"/>
      <c r="IP836" s="323"/>
      <c r="IQ836" s="327"/>
      <c r="IR836" s="327"/>
      <c r="IS836" s="323"/>
      <c r="IT836" s="327"/>
      <c r="IU836" s="327"/>
      <c r="IV836" s="323"/>
      <c r="IW836" s="327">
        <v>9.1052140446290366</v>
      </c>
      <c r="IX836" s="327">
        <f t="shared" si="1378"/>
        <v>0</v>
      </c>
      <c r="IY836" s="323">
        <f t="shared" si="1475"/>
        <v>9.1052140446290366</v>
      </c>
      <c r="IZ836" s="327">
        <f t="shared" si="1439"/>
        <v>10.576397449342796</v>
      </c>
      <c r="JA836" s="327">
        <f t="shared" si="1440"/>
        <v>12.396972460117206</v>
      </c>
      <c r="JB836" s="323">
        <f t="shared" si="1458"/>
        <v>22.973369909460004</v>
      </c>
      <c r="JC836" s="327">
        <f t="shared" si="1441"/>
        <v>13.473711122465023</v>
      </c>
      <c r="JD836" s="327">
        <f t="shared" si="1442"/>
        <v>7.9730017376129592</v>
      </c>
      <c r="JE836" s="323">
        <f t="shared" si="1459"/>
        <v>21.44671286007798</v>
      </c>
      <c r="JF836" s="327">
        <f t="shared" si="1460"/>
        <v>24.303837852230135</v>
      </c>
      <c r="JG836" s="327">
        <f t="shared" si="1372"/>
        <v>24.53430638092405</v>
      </c>
      <c r="JH836" s="323">
        <f t="shared" si="1406"/>
        <v>48.838144233154182</v>
      </c>
      <c r="JI836" s="327">
        <f t="shared" si="1476"/>
        <v>22.886537913729779</v>
      </c>
      <c r="JJ836" s="327">
        <f t="shared" si="1405"/>
        <v>25.462873918870017</v>
      </c>
      <c r="JK836" s="323">
        <f t="shared" si="1398"/>
        <v>48.349411832599799</v>
      </c>
      <c r="JL836" s="327">
        <f t="shared" si="1407"/>
        <v>23.418442437770004</v>
      </c>
      <c r="JM836" s="279">
        <f t="shared" si="1488"/>
        <v>41.303163831810615</v>
      </c>
      <c r="JN836" s="323">
        <f>FISC!AK1142</f>
        <v>64.721606269580619</v>
      </c>
      <c r="JO836" s="327">
        <f t="shared" si="1461"/>
        <v>34.022170121421418</v>
      </c>
      <c r="JP836" s="279">
        <f t="shared" si="1443"/>
        <v>34.022170121421418</v>
      </c>
      <c r="JQ836" s="323">
        <f>FISC!AL1142</f>
        <v>68.044340242842836</v>
      </c>
      <c r="JR836" s="327">
        <f t="shared" si="1462"/>
        <v>35.723278627492491</v>
      </c>
      <c r="JS836" s="279">
        <f t="shared" si="1444"/>
        <v>35.723278627492491</v>
      </c>
      <c r="JT836" s="323">
        <f>FISC!AM1142</f>
        <v>71.446557254984981</v>
      </c>
      <c r="JU836" s="327">
        <f t="shared" si="1463"/>
        <v>37.509442558867114</v>
      </c>
      <c r="JV836" s="279">
        <f t="shared" si="1445"/>
        <v>37.509442558867114</v>
      </c>
      <c r="JW836" s="323">
        <f>FISC!AN1142</f>
        <v>75.018885117734229</v>
      </c>
      <c r="JX836" s="327">
        <f t="shared" si="1464"/>
        <v>39.384914686810468</v>
      </c>
      <c r="JY836" s="279">
        <f t="shared" si="1446"/>
        <v>39.384914686810468</v>
      </c>
      <c r="JZ836" s="323">
        <f>FISC!AO1142</f>
        <v>78.769829373620937</v>
      </c>
      <c r="KA836" s="327">
        <f t="shared" si="1465"/>
        <v>43.255090268749406</v>
      </c>
      <c r="KB836" s="279">
        <f t="shared" si="1447"/>
        <v>43.255090268749406</v>
      </c>
      <c r="KC836" s="323">
        <f>FISC!AP1142</f>
        <v>86.510180537498812</v>
      </c>
      <c r="KD836" s="327">
        <f t="shared" si="1466"/>
        <v>47.5055703188875</v>
      </c>
      <c r="KE836" s="279">
        <f t="shared" si="1448"/>
        <v>47.5055703188875</v>
      </c>
      <c r="KF836" s="323">
        <f>FISC!AQ1142</f>
        <v>95.011140637775</v>
      </c>
      <c r="KG836" s="327">
        <f t="shared" si="1467"/>
        <v>52.173725619368888</v>
      </c>
      <c r="KH836" s="279">
        <f t="shared" si="1449"/>
        <v>52.173725619368888</v>
      </c>
      <c r="KI836" s="323">
        <f>FISC!AR1142</f>
        <v>104.34745123873778</v>
      </c>
      <c r="KJ836" s="327">
        <f t="shared" si="1468"/>
        <v>57.300599208319042</v>
      </c>
      <c r="KK836" s="279">
        <f t="shared" si="1450"/>
        <v>57.300599208319042</v>
      </c>
      <c r="KL836" s="323">
        <f>FISC!AS1142</f>
        <v>114.60119841663808</v>
      </c>
      <c r="KM836" s="327">
        <f t="shared" si="1469"/>
        <v>62.931267235658254</v>
      </c>
      <c r="KN836" s="279">
        <f t="shared" si="1451"/>
        <v>62.931267235658254</v>
      </c>
      <c r="KO836" s="323">
        <f>FISC!AT1142</f>
        <v>125.86253447131651</v>
      </c>
      <c r="KU836" s="326"/>
      <c r="KV836" s="327"/>
    </row>
    <row r="837" spans="1:308">
      <c r="A837" s="279"/>
      <c r="D837" s="1416" t="s">
        <v>3069</v>
      </c>
      <c r="E837" s="323"/>
      <c r="F837" s="323"/>
      <c r="G837" s="323"/>
      <c r="H837" s="323"/>
      <c r="I837" s="323"/>
      <c r="J837" s="323"/>
      <c r="K837" s="323"/>
      <c r="L837" s="323"/>
      <c r="M837" s="323"/>
      <c r="N837" s="323"/>
      <c r="O837" s="323"/>
      <c r="P837" s="323"/>
      <c r="Q837" s="323"/>
      <c r="R837" s="323"/>
      <c r="S837" s="323"/>
      <c r="T837" s="323"/>
      <c r="U837" s="323"/>
      <c r="V837" s="323"/>
      <c r="W837" s="323"/>
      <c r="X837" s="323"/>
      <c r="Y837" s="323"/>
      <c r="Z837" s="323"/>
      <c r="AA837" s="323"/>
      <c r="AB837" s="323"/>
      <c r="AC837" s="323"/>
      <c r="AD837" s="323"/>
      <c r="AE837" s="323"/>
      <c r="AF837" s="323"/>
      <c r="AG837" s="323"/>
      <c r="AH837" s="323"/>
      <c r="AI837" s="323"/>
      <c r="AJ837" s="323"/>
      <c r="AK837" s="323"/>
      <c r="AL837" s="323"/>
      <c r="AM837" s="323"/>
      <c r="AN837" s="323"/>
      <c r="AO837" s="323"/>
      <c r="AP837" s="323"/>
      <c r="AQ837" s="323"/>
      <c r="AR837" s="323"/>
      <c r="AS837" s="323"/>
      <c r="AT837" s="323"/>
      <c r="AU837" s="323"/>
      <c r="AV837" s="323"/>
      <c r="AW837" s="323"/>
      <c r="AX837" s="323"/>
      <c r="AY837" s="323"/>
      <c r="AZ837" s="323"/>
      <c r="BA837" s="323"/>
      <c r="BB837" s="323"/>
      <c r="BC837" s="323"/>
      <c r="BD837" s="323"/>
      <c r="BE837" s="323"/>
      <c r="BF837" s="323"/>
      <c r="BG837" s="323"/>
      <c r="BH837" s="323"/>
      <c r="BI837" s="323"/>
      <c r="BJ837" s="323"/>
      <c r="BK837" s="323"/>
      <c r="BL837" s="323"/>
      <c r="BM837" s="323"/>
      <c r="BN837" s="323"/>
      <c r="BO837" s="323"/>
      <c r="BP837" s="323"/>
      <c r="BQ837" s="323"/>
      <c r="BR837" s="323"/>
      <c r="BS837" s="323"/>
      <c r="BT837" s="323"/>
      <c r="BU837" s="323"/>
      <c r="BV837" s="323"/>
      <c r="BW837" s="323"/>
      <c r="BX837" s="323"/>
      <c r="BY837" s="323"/>
      <c r="BZ837" s="323"/>
      <c r="CA837" s="323"/>
      <c r="CB837" s="323"/>
      <c r="CC837" s="323"/>
      <c r="CD837" s="329"/>
      <c r="CE837" s="323">
        <v>0</v>
      </c>
      <c r="CF837" s="323">
        <v>0</v>
      </c>
      <c r="CG837" s="323">
        <v>0</v>
      </c>
      <c r="CH837" s="323">
        <v>0</v>
      </c>
      <c r="CI837" s="323">
        <v>0</v>
      </c>
      <c r="CJ837" s="323">
        <v>0</v>
      </c>
      <c r="CK837" s="323">
        <v>0</v>
      </c>
      <c r="CL837" s="323">
        <v>0</v>
      </c>
      <c r="CM837" s="323">
        <v>0</v>
      </c>
      <c r="CN837" s="323">
        <v>0</v>
      </c>
      <c r="CO837" s="323">
        <v>0</v>
      </c>
      <c r="CP837" s="325">
        <v>0</v>
      </c>
      <c r="CQ837" s="323"/>
      <c r="CR837" s="323"/>
      <c r="CS837" s="323"/>
      <c r="CT837" s="323"/>
      <c r="CU837" s="323"/>
      <c r="CV837" s="323"/>
      <c r="CW837" s="323"/>
      <c r="CX837" s="323"/>
      <c r="CY837" s="323"/>
      <c r="CZ837" s="323"/>
      <c r="DA837" s="323"/>
      <c r="DB837" s="1269"/>
      <c r="DC837" s="1654">
        <f t="shared" ref="DC837:FN837" si="1515">DC432</f>
        <v>0</v>
      </c>
      <c r="DD837" s="1654">
        <f t="shared" si="1515"/>
        <v>0</v>
      </c>
      <c r="DE837" s="1654">
        <f t="shared" si="1515"/>
        <v>0</v>
      </c>
      <c r="DF837" s="1654">
        <f t="shared" si="1515"/>
        <v>0</v>
      </c>
      <c r="DG837" s="1654">
        <f t="shared" si="1515"/>
        <v>0</v>
      </c>
      <c r="DH837" s="1654">
        <f t="shared" si="1515"/>
        <v>0</v>
      </c>
      <c r="DI837" s="1654">
        <f t="shared" si="1515"/>
        <v>0</v>
      </c>
      <c r="DJ837" s="1654">
        <f t="shared" si="1515"/>
        <v>0</v>
      </c>
      <c r="DK837" s="1654">
        <f t="shared" si="1515"/>
        <v>0</v>
      </c>
      <c r="DL837" s="1654">
        <f t="shared" si="1515"/>
        <v>0</v>
      </c>
      <c r="DM837" s="1654">
        <f t="shared" si="1515"/>
        <v>0</v>
      </c>
      <c r="DN837" s="1654">
        <f t="shared" si="1515"/>
        <v>0</v>
      </c>
      <c r="DO837" s="1654">
        <f t="shared" si="1515"/>
        <v>0</v>
      </c>
      <c r="DP837" s="1654">
        <f t="shared" si="1515"/>
        <v>0</v>
      </c>
      <c r="DQ837" s="1654">
        <f t="shared" si="1515"/>
        <v>0</v>
      </c>
      <c r="DR837" s="1654">
        <f t="shared" si="1515"/>
        <v>0</v>
      </c>
      <c r="DS837" s="1654">
        <f t="shared" si="1515"/>
        <v>0</v>
      </c>
      <c r="DT837" s="1654">
        <f t="shared" si="1515"/>
        <v>0</v>
      </c>
      <c r="DU837" s="1654">
        <f t="shared" si="1515"/>
        <v>0</v>
      </c>
      <c r="DV837" s="1654">
        <f t="shared" si="1515"/>
        <v>0</v>
      </c>
      <c r="DW837" s="1654">
        <f t="shared" si="1515"/>
        <v>0</v>
      </c>
      <c r="DX837" s="1654">
        <f t="shared" si="1515"/>
        <v>0</v>
      </c>
      <c r="DY837" s="1654">
        <f t="shared" si="1515"/>
        <v>0</v>
      </c>
      <c r="DZ837" s="1654">
        <f t="shared" si="1515"/>
        <v>0</v>
      </c>
      <c r="EA837" s="1654">
        <f t="shared" si="1515"/>
        <v>0</v>
      </c>
      <c r="EB837" s="1654">
        <f t="shared" si="1515"/>
        <v>0</v>
      </c>
      <c r="EC837" s="1654">
        <f t="shared" si="1515"/>
        <v>0</v>
      </c>
      <c r="ED837" s="1654">
        <f t="shared" si="1515"/>
        <v>0</v>
      </c>
      <c r="EE837" s="1654">
        <f t="shared" si="1515"/>
        <v>0</v>
      </c>
      <c r="EF837" s="1654">
        <f t="shared" si="1515"/>
        <v>0</v>
      </c>
      <c r="EG837" s="1654">
        <f t="shared" si="1515"/>
        <v>0</v>
      </c>
      <c r="EH837" s="1654">
        <f t="shared" si="1515"/>
        <v>0</v>
      </c>
      <c r="EI837" s="1654">
        <f t="shared" si="1515"/>
        <v>0</v>
      </c>
      <c r="EJ837" s="1654">
        <f t="shared" si="1515"/>
        <v>0</v>
      </c>
      <c r="EK837" s="1654">
        <f t="shared" si="1515"/>
        <v>0</v>
      </c>
      <c r="EL837" s="1654">
        <f t="shared" si="1515"/>
        <v>0</v>
      </c>
      <c r="EM837" s="1654">
        <f t="shared" si="1515"/>
        <v>0</v>
      </c>
      <c r="EN837" s="1654">
        <f t="shared" si="1515"/>
        <v>0</v>
      </c>
      <c r="EO837" s="1654">
        <f t="shared" si="1515"/>
        <v>0</v>
      </c>
      <c r="EP837" s="1654">
        <f t="shared" si="1515"/>
        <v>0</v>
      </c>
      <c r="EQ837" s="1654">
        <f t="shared" si="1515"/>
        <v>0</v>
      </c>
      <c r="ER837" s="1654">
        <f t="shared" si="1515"/>
        <v>0</v>
      </c>
      <c r="ES837" s="1654">
        <f t="shared" si="1515"/>
        <v>0</v>
      </c>
      <c r="ET837" s="1654">
        <f t="shared" si="1515"/>
        <v>0</v>
      </c>
      <c r="EU837" s="1654">
        <f t="shared" si="1515"/>
        <v>0</v>
      </c>
      <c r="EV837" s="1654">
        <f t="shared" si="1515"/>
        <v>0</v>
      </c>
      <c r="EW837" s="1654">
        <f t="shared" si="1515"/>
        <v>0</v>
      </c>
      <c r="EX837" s="1654">
        <f t="shared" si="1515"/>
        <v>0</v>
      </c>
      <c r="EY837" s="1654">
        <f t="shared" si="1515"/>
        <v>0</v>
      </c>
      <c r="EZ837" s="1654">
        <f t="shared" si="1515"/>
        <v>0</v>
      </c>
      <c r="FA837" s="1654">
        <f t="shared" si="1515"/>
        <v>0</v>
      </c>
      <c r="FB837" s="1654">
        <f t="shared" si="1515"/>
        <v>0</v>
      </c>
      <c r="FC837" s="1654">
        <f t="shared" si="1515"/>
        <v>0</v>
      </c>
      <c r="FD837" s="1654">
        <f t="shared" si="1515"/>
        <v>0</v>
      </c>
      <c r="FE837" s="1654">
        <f t="shared" si="1515"/>
        <v>0</v>
      </c>
      <c r="FF837" s="1654">
        <f t="shared" si="1515"/>
        <v>0</v>
      </c>
      <c r="FG837" s="1654">
        <f t="shared" si="1515"/>
        <v>0</v>
      </c>
      <c r="FH837" s="1654">
        <f t="shared" si="1515"/>
        <v>0</v>
      </c>
      <c r="FI837" s="1654">
        <f t="shared" si="1515"/>
        <v>0</v>
      </c>
      <c r="FJ837" s="1654">
        <f t="shared" si="1515"/>
        <v>0</v>
      </c>
      <c r="FK837" s="1654">
        <f t="shared" si="1515"/>
        <v>0</v>
      </c>
      <c r="FL837" s="1654">
        <f t="shared" si="1515"/>
        <v>0</v>
      </c>
      <c r="FM837" s="1654">
        <f t="shared" si="1515"/>
        <v>0</v>
      </c>
      <c r="FN837" s="1654">
        <f t="shared" si="1515"/>
        <v>0</v>
      </c>
      <c r="FO837" s="1654">
        <f t="shared" ref="FO837:HK837" si="1516">FO432</f>
        <v>0</v>
      </c>
      <c r="FP837" s="1654">
        <f t="shared" si="1516"/>
        <v>0</v>
      </c>
      <c r="FQ837" s="1654">
        <f t="shared" si="1516"/>
        <v>0</v>
      </c>
      <c r="FR837" s="1654">
        <f t="shared" si="1516"/>
        <v>0</v>
      </c>
      <c r="FS837" s="1654">
        <f t="shared" si="1516"/>
        <v>0</v>
      </c>
      <c r="FT837" s="1654">
        <f t="shared" si="1516"/>
        <v>0</v>
      </c>
      <c r="FU837" s="1654">
        <f t="shared" si="1516"/>
        <v>0</v>
      </c>
      <c r="FV837" s="1654">
        <f t="shared" si="1516"/>
        <v>0</v>
      </c>
      <c r="FW837" s="1654">
        <f t="shared" si="1516"/>
        <v>2.7427314350000001</v>
      </c>
      <c r="FX837" s="1654">
        <f t="shared" si="1516"/>
        <v>3.3048278679999998</v>
      </c>
      <c r="FY837" s="1654">
        <f t="shared" si="1516"/>
        <v>3.4209741390000001</v>
      </c>
      <c r="FZ837" s="1654">
        <f t="shared" si="1516"/>
        <v>3.0838155999999999</v>
      </c>
      <c r="GA837" s="1654">
        <f t="shared" si="1516"/>
        <v>3.3429999769999998</v>
      </c>
      <c r="GB837" s="1654">
        <f t="shared" si="1516"/>
        <v>3.4417001489999999</v>
      </c>
      <c r="GC837" s="1654">
        <f t="shared" si="1516"/>
        <v>3.8239994500000001</v>
      </c>
      <c r="GD837" s="1654">
        <f t="shared" si="1516"/>
        <v>2.876337382</v>
      </c>
      <c r="GE837" s="1654">
        <f t="shared" si="1516"/>
        <v>3.549066308</v>
      </c>
      <c r="GF837" s="1654">
        <f t="shared" si="1516"/>
        <v>2.6945463589999998</v>
      </c>
      <c r="GG837" s="1654">
        <f t="shared" si="1516"/>
        <v>3.33441718</v>
      </c>
      <c r="GH837" s="1654">
        <f t="shared" si="1516"/>
        <v>3.9168072249999999</v>
      </c>
      <c r="GI837" s="1654">
        <f t="shared" si="1516"/>
        <v>3.3601609429999999</v>
      </c>
      <c r="GJ837" s="1654">
        <f t="shared" si="1516"/>
        <v>3.8932636230000002</v>
      </c>
      <c r="GK837" s="1654">
        <f t="shared" si="1516"/>
        <v>3.6109727999999999</v>
      </c>
      <c r="GL837" s="1654">
        <f t="shared" si="1516"/>
        <v>3.6337095530000001</v>
      </c>
      <c r="GM837" s="1654">
        <f t="shared" si="1516"/>
        <v>3.7568253989999998</v>
      </c>
      <c r="GN837" s="1654">
        <f t="shared" si="1516"/>
        <v>4.0893793110000001</v>
      </c>
      <c r="GO837" s="1654">
        <f t="shared" si="1516"/>
        <v>4.4531423920000002</v>
      </c>
      <c r="GP837" s="1654">
        <f t="shared" si="1516"/>
        <v>3.5257689679999999</v>
      </c>
      <c r="GQ837" s="1654">
        <f t="shared" si="1516"/>
        <v>3.9731112679999998</v>
      </c>
      <c r="GR837" s="1654">
        <f t="shared" si="1516"/>
        <v>3.1513043870000002</v>
      </c>
      <c r="GS837" s="1654">
        <f t="shared" si="1516"/>
        <v>3.3379788389999998</v>
      </c>
      <c r="GT837" s="1654">
        <f t="shared" si="1516"/>
        <v>4.1867186470000002</v>
      </c>
      <c r="GU837" s="1654">
        <f t="shared" si="1516"/>
        <v>3.3379729629999999</v>
      </c>
      <c r="GV837" s="1654">
        <f t="shared" si="1516"/>
        <v>3.6769997509999999</v>
      </c>
      <c r="GW837" s="1654">
        <f t="shared" si="1516"/>
        <v>3.6830813880000002</v>
      </c>
      <c r="GX837" s="1654">
        <f t="shared" si="1516"/>
        <v>3.2600522000000001</v>
      </c>
      <c r="GY837" s="1654">
        <f t="shared" si="1516"/>
        <v>3.3253455559999998</v>
      </c>
      <c r="GZ837" s="1654">
        <f t="shared" si="1516"/>
        <v>3.619165873</v>
      </c>
      <c r="HA837" s="1654">
        <f t="shared" si="1516"/>
        <v>3.010857202</v>
      </c>
      <c r="HB837" s="1654">
        <f t="shared" si="1516"/>
        <v>3.0642211499999998</v>
      </c>
      <c r="HC837" s="1654">
        <f t="shared" si="1516"/>
        <v>2.8411651629999999</v>
      </c>
      <c r="HD837" s="1654">
        <f t="shared" si="1516"/>
        <v>2.6463547869999999</v>
      </c>
      <c r="HE837" s="1654">
        <f t="shared" si="1516"/>
        <v>3.1518743740000001</v>
      </c>
      <c r="HF837" s="1654">
        <f t="shared" si="1516"/>
        <v>3.3228378709999999</v>
      </c>
      <c r="HG837" s="1654">
        <f t="shared" si="1516"/>
        <v>3.0137853379999999</v>
      </c>
      <c r="HH837" s="1654">
        <f t="shared" si="1516"/>
        <v>2.9682512660000002</v>
      </c>
      <c r="HI837" s="1654">
        <f t="shared" si="1516"/>
        <v>2.970953373</v>
      </c>
      <c r="HJ837" s="1654">
        <f t="shared" si="1516"/>
        <v>3.3767772840000001</v>
      </c>
      <c r="HK837" s="1654">
        <f t="shared" si="1516"/>
        <v>3.011724359</v>
      </c>
      <c r="HL837" s="1654">
        <f>HL432</f>
        <v>4.1929636713333363</v>
      </c>
      <c r="HM837" s="1654">
        <f t="shared" ref="HM837:HR837" si="1517">HM432</f>
        <v>3.3920322829999998</v>
      </c>
      <c r="HN837" s="1654">
        <f t="shared" si="1517"/>
        <v>3.0020775899999999</v>
      </c>
      <c r="HO837" s="1654">
        <f t="shared" si="1517"/>
        <v>3.406110693</v>
      </c>
      <c r="HP837" s="1654">
        <f t="shared" si="1517"/>
        <v>3.1302383389999999</v>
      </c>
      <c r="HQ837" s="1654">
        <f t="shared" si="1517"/>
        <v>3.5291995909999998</v>
      </c>
      <c r="HR837" s="1654">
        <f t="shared" si="1517"/>
        <v>3.6309376389999999</v>
      </c>
      <c r="HS837" s="1654">
        <f t="shared" ref="HS837:HX837" si="1518">HS432</f>
        <v>3.5679138770000001</v>
      </c>
      <c r="HT837" s="1654">
        <f t="shared" si="1518"/>
        <v>3.7823985929999999</v>
      </c>
      <c r="HU837" s="1654">
        <f t="shared" si="1518"/>
        <v>3.7691131859999989</v>
      </c>
      <c r="HV837" s="1654">
        <f t="shared" si="1518"/>
        <v>4.1213480540000003</v>
      </c>
      <c r="HW837" s="1654">
        <f t="shared" si="1518"/>
        <v>3.8497716120000001</v>
      </c>
      <c r="HX837" s="1654">
        <f t="shared" si="1518"/>
        <v>4.6393650859999997</v>
      </c>
      <c r="HY837" s="1654"/>
      <c r="HZ837" s="326"/>
      <c r="IA837" s="1416" t="s">
        <v>3069</v>
      </c>
      <c r="IB837" s="284"/>
      <c r="ID837" s="323"/>
      <c r="IG837" s="323"/>
      <c r="IH837" s="284"/>
      <c r="IJ837" s="323"/>
      <c r="IK837" s="327"/>
      <c r="IM837" s="323"/>
      <c r="IP837" s="323"/>
      <c r="IQ837" s="327"/>
      <c r="IR837" s="327"/>
      <c r="IS837" s="323"/>
      <c r="IT837" s="327"/>
      <c r="IU837" s="327"/>
      <c r="IV837" s="323"/>
      <c r="IW837" s="1548">
        <v>19.722913615500001</v>
      </c>
      <c r="IX837" s="327">
        <f t="shared" si="1378"/>
        <v>0</v>
      </c>
      <c r="IY837" s="323">
        <f t="shared" si="1475"/>
        <v>19.722913615500001</v>
      </c>
      <c r="IZ837" s="327">
        <f t="shared" si="1439"/>
        <v>19.337049168</v>
      </c>
      <c r="JA837" s="327">
        <f t="shared" si="1440"/>
        <v>20.195173904000001</v>
      </c>
      <c r="JB837" s="323">
        <f t="shared" si="1458"/>
        <v>39.532223072000001</v>
      </c>
      <c r="JC837" s="327">
        <f t="shared" si="1441"/>
        <v>22.344311628999996</v>
      </c>
      <c r="JD837" s="327">
        <f t="shared" si="1442"/>
        <v>22.628024500999999</v>
      </c>
      <c r="JE837" s="323">
        <f t="shared" si="1459"/>
        <v>44.972336129999995</v>
      </c>
      <c r="JF837" s="327">
        <f t="shared" si="1460"/>
        <v>20.902617730999999</v>
      </c>
      <c r="JG837" s="327">
        <f t="shared" si="1372"/>
        <v>18.037310547000001</v>
      </c>
      <c r="JH837" s="323">
        <f t="shared" si="1406"/>
        <v>38.939928277999996</v>
      </c>
      <c r="JI837" s="327">
        <f t="shared" si="1476"/>
        <v>19.534455291333337</v>
      </c>
      <c r="JJ837" s="327">
        <f t="shared" si="1405"/>
        <v>20.090596134999998</v>
      </c>
      <c r="JK837" s="323">
        <f t="shared" si="1398"/>
        <v>39.625051426333336</v>
      </c>
      <c r="JL837" s="327">
        <f t="shared" si="1407"/>
        <v>23.729910408000002</v>
      </c>
      <c r="JM837" s="279">
        <f t="shared" si="1488"/>
        <v>43.479035950809795</v>
      </c>
      <c r="JN837" s="323">
        <f>FISC!AK1143</f>
        <v>67.208946358809797</v>
      </c>
      <c r="JO837" s="327">
        <f t="shared" si="1461"/>
        <v>16.596038660098849</v>
      </c>
      <c r="JP837" s="279">
        <f t="shared" si="1443"/>
        <v>16.596038660098849</v>
      </c>
      <c r="JQ837" s="323">
        <f>FISC!AL1143</f>
        <v>33.192077320197697</v>
      </c>
      <c r="JR837" s="327">
        <f t="shared" si="1462"/>
        <v>17.514299080690151</v>
      </c>
      <c r="JS837" s="279">
        <f t="shared" si="1444"/>
        <v>17.514299080690151</v>
      </c>
      <c r="JT837" s="323">
        <f>FISC!AM1143</f>
        <v>35.028598161380302</v>
      </c>
      <c r="JU837" s="327">
        <f t="shared" si="1463"/>
        <v>18.838952328831102</v>
      </c>
      <c r="JV837" s="279">
        <f t="shared" si="1445"/>
        <v>18.838952328831102</v>
      </c>
      <c r="JW837" s="323">
        <f>FISC!AN1143</f>
        <v>37.677904657662204</v>
      </c>
      <c r="JX837" s="327">
        <f t="shared" si="1464"/>
        <v>18.838952328831102</v>
      </c>
      <c r="JY837" s="279">
        <f t="shared" si="1446"/>
        <v>18.838952328831102</v>
      </c>
      <c r="JZ837" s="323">
        <f>FISC!AO1143</f>
        <v>37.677904657662204</v>
      </c>
      <c r="KA837" s="327">
        <f t="shared" si="1465"/>
        <v>33.604473179404891</v>
      </c>
      <c r="KB837" s="279">
        <f t="shared" si="1447"/>
        <v>33.604473179404891</v>
      </c>
      <c r="KC837" s="323">
        <f>FISC!AP1143</f>
        <v>67.208946358809783</v>
      </c>
      <c r="KD837" s="327">
        <f t="shared" si="1466"/>
        <v>33.604473179404891</v>
      </c>
      <c r="KE837" s="279">
        <f t="shared" si="1448"/>
        <v>33.604473179404891</v>
      </c>
      <c r="KF837" s="323">
        <f>FISC!AQ1143</f>
        <v>67.208946358809783</v>
      </c>
      <c r="KG837" s="327">
        <f t="shared" si="1467"/>
        <v>33.604473179404891</v>
      </c>
      <c r="KH837" s="279">
        <f t="shared" si="1449"/>
        <v>33.604473179404891</v>
      </c>
      <c r="KI837" s="323">
        <f>FISC!AR1143</f>
        <v>67.208946358809783</v>
      </c>
      <c r="KJ837" s="327">
        <f t="shared" si="1468"/>
        <v>33.604473179404891</v>
      </c>
      <c r="KK837" s="279">
        <f t="shared" si="1450"/>
        <v>33.604473179404891</v>
      </c>
      <c r="KL837" s="323">
        <f>FISC!AS1143</f>
        <v>67.208946358809783</v>
      </c>
      <c r="KM837" s="327">
        <f t="shared" si="1469"/>
        <v>33.604473179404891</v>
      </c>
      <c r="KN837" s="279">
        <f t="shared" si="1451"/>
        <v>33.604473179404891</v>
      </c>
      <c r="KO837" s="323">
        <f>FISC!AT1143</f>
        <v>67.208946358809783</v>
      </c>
      <c r="KU837" s="326"/>
      <c r="KV837" s="327"/>
    </row>
    <row r="838" spans="1:308">
      <c r="A838" s="279"/>
      <c r="D838" s="1416" t="s">
        <v>3070</v>
      </c>
      <c r="E838" s="323"/>
      <c r="F838" s="323"/>
      <c r="G838" s="323"/>
      <c r="H838" s="323"/>
      <c r="I838" s="323"/>
      <c r="J838" s="323"/>
      <c r="K838" s="323"/>
      <c r="L838" s="323"/>
      <c r="M838" s="323"/>
      <c r="N838" s="323"/>
      <c r="O838" s="323"/>
      <c r="P838" s="323"/>
      <c r="Q838" s="323"/>
      <c r="R838" s="323"/>
      <c r="S838" s="323"/>
      <c r="T838" s="323"/>
      <c r="U838" s="323"/>
      <c r="V838" s="323"/>
      <c r="W838" s="323"/>
      <c r="X838" s="323"/>
      <c r="Y838" s="323"/>
      <c r="Z838" s="323"/>
      <c r="AA838" s="323"/>
      <c r="AB838" s="323"/>
      <c r="AC838" s="323"/>
      <c r="AD838" s="323"/>
      <c r="AE838" s="323"/>
      <c r="AF838" s="323"/>
      <c r="AG838" s="323"/>
      <c r="AH838" s="323"/>
      <c r="AI838" s="323"/>
      <c r="AJ838" s="323"/>
      <c r="AK838" s="323"/>
      <c r="AL838" s="323"/>
      <c r="AM838" s="323"/>
      <c r="AN838" s="323"/>
      <c r="AO838" s="323"/>
      <c r="AP838" s="323"/>
      <c r="AQ838" s="323"/>
      <c r="AR838" s="323"/>
      <c r="AS838" s="323"/>
      <c r="AT838" s="323"/>
      <c r="AU838" s="323"/>
      <c r="AV838" s="323"/>
      <c r="AW838" s="323"/>
      <c r="AX838" s="323"/>
      <c r="AY838" s="323"/>
      <c r="AZ838" s="323"/>
      <c r="BA838" s="323"/>
      <c r="BB838" s="323"/>
      <c r="BC838" s="323"/>
      <c r="BD838" s="323"/>
      <c r="BE838" s="323"/>
      <c r="BF838" s="323"/>
      <c r="BG838" s="323"/>
      <c r="BH838" s="323"/>
      <c r="BI838" s="323"/>
      <c r="BJ838" s="323"/>
      <c r="BK838" s="323"/>
      <c r="BL838" s="323"/>
      <c r="BM838" s="323"/>
      <c r="BN838" s="323"/>
      <c r="BO838" s="323"/>
      <c r="BP838" s="323"/>
      <c r="BQ838" s="323"/>
      <c r="BR838" s="323"/>
      <c r="BS838" s="323"/>
      <c r="BT838" s="323"/>
      <c r="BU838" s="323"/>
      <c r="BV838" s="323"/>
      <c r="BW838" s="323"/>
      <c r="BX838" s="323"/>
      <c r="BY838" s="323"/>
      <c r="BZ838" s="323"/>
      <c r="CA838" s="323"/>
      <c r="CB838" s="323"/>
      <c r="CC838" s="323"/>
      <c r="CD838" s="329"/>
      <c r="CE838" s="323">
        <v>0</v>
      </c>
      <c r="CF838" s="323">
        <v>0</v>
      </c>
      <c r="CG838" s="323">
        <v>0</v>
      </c>
      <c r="CH838" s="323">
        <v>0</v>
      </c>
      <c r="CI838" s="323">
        <v>0</v>
      </c>
      <c r="CJ838" s="323">
        <v>0</v>
      </c>
      <c r="CK838" s="323">
        <v>0</v>
      </c>
      <c r="CL838" s="323">
        <v>0</v>
      </c>
      <c r="CM838" s="323">
        <v>0</v>
      </c>
      <c r="CN838" s="323">
        <v>0</v>
      </c>
      <c r="CO838" s="323">
        <v>0</v>
      </c>
      <c r="CP838" s="325">
        <v>0</v>
      </c>
      <c r="CQ838" s="323"/>
      <c r="CR838" s="323"/>
      <c r="CS838" s="323"/>
      <c r="CT838" s="323"/>
      <c r="CU838" s="323"/>
      <c r="CV838" s="323"/>
      <c r="CW838" s="323"/>
      <c r="CX838" s="323"/>
      <c r="CY838" s="323"/>
      <c r="CZ838" s="323"/>
      <c r="DA838" s="323"/>
      <c r="DB838" s="1269"/>
      <c r="DC838" s="1654">
        <f t="shared" ref="DC838:FN838" si="1519">DC445</f>
        <v>0</v>
      </c>
      <c r="DD838" s="1654">
        <f t="shared" si="1519"/>
        <v>0</v>
      </c>
      <c r="DE838" s="1654">
        <f t="shared" si="1519"/>
        <v>0</v>
      </c>
      <c r="DF838" s="1654">
        <f t="shared" si="1519"/>
        <v>0</v>
      </c>
      <c r="DG838" s="1654">
        <f t="shared" si="1519"/>
        <v>0</v>
      </c>
      <c r="DH838" s="1654">
        <f t="shared" si="1519"/>
        <v>0</v>
      </c>
      <c r="DI838" s="1654">
        <f t="shared" si="1519"/>
        <v>0</v>
      </c>
      <c r="DJ838" s="1654">
        <f t="shared" si="1519"/>
        <v>0</v>
      </c>
      <c r="DK838" s="1654">
        <f t="shared" si="1519"/>
        <v>0</v>
      </c>
      <c r="DL838" s="1654">
        <f t="shared" si="1519"/>
        <v>0</v>
      </c>
      <c r="DM838" s="1654">
        <f t="shared" si="1519"/>
        <v>0</v>
      </c>
      <c r="DN838" s="1654">
        <f t="shared" si="1519"/>
        <v>0</v>
      </c>
      <c r="DO838" s="1654">
        <f t="shared" si="1519"/>
        <v>0</v>
      </c>
      <c r="DP838" s="1654">
        <f t="shared" si="1519"/>
        <v>0</v>
      </c>
      <c r="DQ838" s="1654">
        <f t="shared" si="1519"/>
        <v>0</v>
      </c>
      <c r="DR838" s="1654">
        <f t="shared" si="1519"/>
        <v>0</v>
      </c>
      <c r="DS838" s="1654">
        <f t="shared" si="1519"/>
        <v>0</v>
      </c>
      <c r="DT838" s="1654">
        <f t="shared" si="1519"/>
        <v>0</v>
      </c>
      <c r="DU838" s="1654">
        <f t="shared" si="1519"/>
        <v>0</v>
      </c>
      <c r="DV838" s="1654">
        <f t="shared" si="1519"/>
        <v>0</v>
      </c>
      <c r="DW838" s="1654">
        <f t="shared" si="1519"/>
        <v>0</v>
      </c>
      <c r="DX838" s="1654">
        <f t="shared" si="1519"/>
        <v>0</v>
      </c>
      <c r="DY838" s="1654">
        <f t="shared" si="1519"/>
        <v>0</v>
      </c>
      <c r="DZ838" s="1654">
        <f t="shared" si="1519"/>
        <v>0</v>
      </c>
      <c r="EA838" s="1654">
        <f t="shared" si="1519"/>
        <v>0</v>
      </c>
      <c r="EB838" s="1654">
        <f t="shared" si="1519"/>
        <v>0</v>
      </c>
      <c r="EC838" s="1654">
        <f t="shared" si="1519"/>
        <v>0</v>
      </c>
      <c r="ED838" s="1654">
        <f t="shared" si="1519"/>
        <v>0</v>
      </c>
      <c r="EE838" s="1654">
        <f t="shared" si="1519"/>
        <v>0</v>
      </c>
      <c r="EF838" s="1654">
        <f t="shared" si="1519"/>
        <v>0</v>
      </c>
      <c r="EG838" s="1654">
        <f t="shared" si="1519"/>
        <v>0</v>
      </c>
      <c r="EH838" s="1654">
        <f t="shared" si="1519"/>
        <v>0</v>
      </c>
      <c r="EI838" s="1654">
        <f t="shared" si="1519"/>
        <v>0</v>
      </c>
      <c r="EJ838" s="1654">
        <f t="shared" si="1519"/>
        <v>0</v>
      </c>
      <c r="EK838" s="1654">
        <f t="shared" si="1519"/>
        <v>0</v>
      </c>
      <c r="EL838" s="1654">
        <f t="shared" si="1519"/>
        <v>0</v>
      </c>
      <c r="EM838" s="1654">
        <f t="shared" si="1519"/>
        <v>0</v>
      </c>
      <c r="EN838" s="1654">
        <f t="shared" si="1519"/>
        <v>0</v>
      </c>
      <c r="EO838" s="1654">
        <f t="shared" si="1519"/>
        <v>0</v>
      </c>
      <c r="EP838" s="1654">
        <f t="shared" si="1519"/>
        <v>0</v>
      </c>
      <c r="EQ838" s="1654">
        <f t="shared" si="1519"/>
        <v>0</v>
      </c>
      <c r="ER838" s="1654">
        <f t="shared" si="1519"/>
        <v>0</v>
      </c>
      <c r="ES838" s="1654">
        <f t="shared" si="1519"/>
        <v>0</v>
      </c>
      <c r="ET838" s="1654">
        <f t="shared" si="1519"/>
        <v>0</v>
      </c>
      <c r="EU838" s="1654">
        <f t="shared" si="1519"/>
        <v>0</v>
      </c>
      <c r="EV838" s="1654">
        <f t="shared" si="1519"/>
        <v>0</v>
      </c>
      <c r="EW838" s="1654">
        <f t="shared" si="1519"/>
        <v>0</v>
      </c>
      <c r="EX838" s="1654">
        <f t="shared" si="1519"/>
        <v>0</v>
      </c>
      <c r="EY838" s="1654">
        <f t="shared" si="1519"/>
        <v>0</v>
      </c>
      <c r="EZ838" s="1654">
        <f t="shared" si="1519"/>
        <v>0</v>
      </c>
      <c r="FA838" s="1654">
        <f t="shared" si="1519"/>
        <v>0</v>
      </c>
      <c r="FB838" s="1654">
        <f t="shared" si="1519"/>
        <v>0</v>
      </c>
      <c r="FC838" s="1654">
        <f t="shared" si="1519"/>
        <v>0</v>
      </c>
      <c r="FD838" s="1654">
        <f t="shared" si="1519"/>
        <v>0</v>
      </c>
      <c r="FE838" s="1654">
        <f t="shared" si="1519"/>
        <v>0</v>
      </c>
      <c r="FF838" s="1654">
        <f t="shared" si="1519"/>
        <v>0</v>
      </c>
      <c r="FG838" s="1654">
        <f t="shared" si="1519"/>
        <v>0</v>
      </c>
      <c r="FH838" s="1654">
        <f t="shared" si="1519"/>
        <v>0</v>
      </c>
      <c r="FI838" s="1654">
        <f t="shared" si="1519"/>
        <v>0</v>
      </c>
      <c r="FJ838" s="1654">
        <f t="shared" si="1519"/>
        <v>0</v>
      </c>
      <c r="FK838" s="1654">
        <f t="shared" si="1519"/>
        <v>0</v>
      </c>
      <c r="FL838" s="1654">
        <f t="shared" si="1519"/>
        <v>0</v>
      </c>
      <c r="FM838" s="1654">
        <f t="shared" si="1519"/>
        <v>0</v>
      </c>
      <c r="FN838" s="1654">
        <f t="shared" si="1519"/>
        <v>0</v>
      </c>
      <c r="FO838" s="1654">
        <f t="shared" ref="FO838:HK838" si="1520">FO445</f>
        <v>0</v>
      </c>
      <c r="FP838" s="1654">
        <f t="shared" si="1520"/>
        <v>0</v>
      </c>
      <c r="FQ838" s="1654">
        <f t="shared" si="1520"/>
        <v>0</v>
      </c>
      <c r="FR838" s="1654">
        <f t="shared" si="1520"/>
        <v>0</v>
      </c>
      <c r="FS838" s="1654">
        <f t="shared" si="1520"/>
        <v>0</v>
      </c>
      <c r="FT838" s="1654">
        <f t="shared" si="1520"/>
        <v>0</v>
      </c>
      <c r="FU838" s="1654">
        <f t="shared" si="1520"/>
        <v>0</v>
      </c>
      <c r="FV838" s="1654">
        <f t="shared" si="1520"/>
        <v>0</v>
      </c>
      <c r="FW838" s="1654">
        <f t="shared" si="1520"/>
        <v>0.89048044356393818</v>
      </c>
      <c r="FX838" s="1654">
        <f t="shared" si="1520"/>
        <v>0.20816308147334395</v>
      </c>
      <c r="FY838" s="1654">
        <f t="shared" si="1520"/>
        <v>11.389583278943176</v>
      </c>
      <c r="FZ838" s="1654">
        <f t="shared" si="1520"/>
        <v>8.1235728114177181</v>
      </c>
      <c r="GA838" s="1654">
        <f t="shared" si="1520"/>
        <v>7.1449307674685318</v>
      </c>
      <c r="GB838" s="1654">
        <f t="shared" si="1520"/>
        <v>10.685185615229937</v>
      </c>
      <c r="GC838" s="1654">
        <f t="shared" si="1520"/>
        <v>5.4374543402998636</v>
      </c>
      <c r="GD838" s="1654">
        <f t="shared" si="1520"/>
        <v>38.769742272806667</v>
      </c>
      <c r="GE838" s="1654">
        <f t="shared" si="1520"/>
        <v>9.5125341380442467</v>
      </c>
      <c r="GF838" s="1654">
        <f t="shared" si="1520"/>
        <v>0</v>
      </c>
      <c r="GG838" s="1654">
        <f t="shared" si="1520"/>
        <v>1.5575439028245883</v>
      </c>
      <c r="GH838" s="1654">
        <f t="shared" si="1520"/>
        <v>12.325185310054717</v>
      </c>
      <c r="GI838" s="1654">
        <f t="shared" si="1520"/>
        <v>0.4897815739456805</v>
      </c>
      <c r="GJ838" s="1654">
        <f t="shared" si="1520"/>
        <v>0.1144937459528574</v>
      </c>
      <c r="GK838" s="1654">
        <f t="shared" si="1520"/>
        <v>6.2644924605193237</v>
      </c>
      <c r="GL838" s="1654">
        <f t="shared" si="1520"/>
        <v>4.4681231422830496</v>
      </c>
      <c r="GM838" s="1654">
        <f t="shared" si="1520"/>
        <v>3.929850972378361</v>
      </c>
      <c r="GN838" s="1654">
        <f t="shared" si="1520"/>
        <v>5.8770600369207262</v>
      </c>
      <c r="GO838" s="1654">
        <f t="shared" si="1520"/>
        <v>4.7946305251666672</v>
      </c>
      <c r="GP838" s="1654">
        <f t="shared" si="1520"/>
        <v>4.7946305251666672</v>
      </c>
      <c r="GQ838" s="1654">
        <f t="shared" si="1520"/>
        <v>4.7946305251666672</v>
      </c>
      <c r="GR838" s="1654">
        <f t="shared" si="1520"/>
        <v>4.7946305251666672</v>
      </c>
      <c r="GS838" s="1654">
        <f t="shared" si="1520"/>
        <v>4.7946305251666672</v>
      </c>
      <c r="GT838" s="1654">
        <f t="shared" si="1520"/>
        <v>4.7946305251666672</v>
      </c>
      <c r="GU838" s="1654">
        <f t="shared" si="1520"/>
        <v>0</v>
      </c>
      <c r="GV838" s="1654">
        <f t="shared" si="1520"/>
        <v>0</v>
      </c>
      <c r="GW838" s="1654">
        <f t="shared" si="1520"/>
        <v>19.037579936</v>
      </c>
      <c r="GX838" s="1654">
        <f t="shared" si="1520"/>
        <v>0</v>
      </c>
      <c r="GY838" s="1654">
        <f t="shared" si="1520"/>
        <v>0</v>
      </c>
      <c r="GZ838" s="1654">
        <f t="shared" si="1520"/>
        <v>10.950588294999999</v>
      </c>
      <c r="HA838" s="1654">
        <f t="shared" si="1520"/>
        <v>0</v>
      </c>
      <c r="HB838" s="1654">
        <f t="shared" si="1520"/>
        <v>0</v>
      </c>
      <c r="HC838" s="1654">
        <f t="shared" si="1520"/>
        <v>12.555359264779998</v>
      </c>
      <c r="HD838" s="1654">
        <f t="shared" si="1520"/>
        <v>0</v>
      </c>
      <c r="HE838" s="1654">
        <f t="shared" si="1520"/>
        <v>0</v>
      </c>
      <c r="HF838" s="1654">
        <f t="shared" si="1520"/>
        <v>13.93294442322</v>
      </c>
      <c r="HG838" s="1654">
        <f t="shared" si="1520"/>
        <v>0</v>
      </c>
      <c r="HH838" s="1654">
        <f t="shared" si="1520"/>
        <v>0</v>
      </c>
      <c r="HI838" s="1654">
        <f t="shared" si="1520"/>
        <v>17.116278745999999</v>
      </c>
      <c r="HJ838" s="1654">
        <f t="shared" si="1520"/>
        <v>0</v>
      </c>
      <c r="HK838" s="1654">
        <f t="shared" si="1520"/>
        <v>0</v>
      </c>
      <c r="HL838" s="1654">
        <f>HL445</f>
        <v>18.137219097999999</v>
      </c>
      <c r="HM838" s="1654">
        <f t="shared" ref="HM838:HR838" si="1521">HM445</f>
        <v>0</v>
      </c>
      <c r="HN838" s="1654">
        <f t="shared" si="1521"/>
        <v>0</v>
      </c>
      <c r="HO838" s="1654">
        <f t="shared" si="1521"/>
        <v>13.777705594</v>
      </c>
      <c r="HP838" s="1654">
        <f t="shared" si="1521"/>
        <v>0</v>
      </c>
      <c r="HQ838" s="1654">
        <f t="shared" si="1521"/>
        <v>2.628099642</v>
      </c>
      <c r="HR838" s="1654">
        <f t="shared" si="1521"/>
        <v>15.514096610999999</v>
      </c>
      <c r="HS838" s="1654">
        <f t="shared" ref="HS838:HX838" si="1522">HS445</f>
        <v>0</v>
      </c>
      <c r="HT838" s="1654">
        <f t="shared" si="1522"/>
        <v>0</v>
      </c>
      <c r="HU838" s="1654">
        <f t="shared" si="1522"/>
        <v>26.436333701999999</v>
      </c>
      <c r="HV838" s="1654">
        <f t="shared" si="1522"/>
        <v>0</v>
      </c>
      <c r="HW838" s="1654">
        <f t="shared" si="1522"/>
        <v>0</v>
      </c>
      <c r="HX838" s="1654">
        <f t="shared" si="1522"/>
        <v>15.057747719</v>
      </c>
      <c r="HY838" s="1654"/>
      <c r="HZ838" s="326"/>
      <c r="IA838" s="1416" t="s">
        <v>3070</v>
      </c>
      <c r="IB838" s="284"/>
      <c r="ID838" s="323"/>
      <c r="IG838" s="323"/>
      <c r="IH838" s="284"/>
      <c r="IJ838" s="323"/>
      <c r="IK838" s="327"/>
      <c r="IM838" s="323"/>
      <c r="IP838" s="323"/>
      <c r="IQ838" s="327"/>
      <c r="IR838" s="327"/>
      <c r="IS838" s="323"/>
      <c r="IT838" s="327"/>
      <c r="IU838" s="327"/>
      <c r="IV838" s="323"/>
      <c r="IW838" s="1548">
        <v>8.8921222545000003</v>
      </c>
      <c r="IX838" s="327">
        <f t="shared" si="1378"/>
        <v>0</v>
      </c>
      <c r="IY838" s="323">
        <f t="shared" si="1475"/>
        <v>8.8921222545000003</v>
      </c>
      <c r="IZ838" s="327">
        <f t="shared" si="1439"/>
        <v>38.441915998096647</v>
      </c>
      <c r="JA838" s="327">
        <f t="shared" si="1440"/>
        <v>67.602459964030089</v>
      </c>
      <c r="JB838" s="323">
        <f t="shared" si="1458"/>
        <v>106.04437596212674</v>
      </c>
      <c r="JC838" s="327">
        <f t="shared" si="1441"/>
        <v>21.143801931999999</v>
      </c>
      <c r="JD838" s="327">
        <f t="shared" si="1442"/>
        <v>28.767783151000003</v>
      </c>
      <c r="JE838" s="323">
        <f t="shared" si="1459"/>
        <v>49.911585083000006</v>
      </c>
      <c r="JF838" s="327">
        <f t="shared" si="1460"/>
        <v>29.988168231</v>
      </c>
      <c r="JG838" s="327">
        <f t="shared" si="1372"/>
        <v>26.488303687999998</v>
      </c>
      <c r="JH838" s="323">
        <f t="shared" si="1406"/>
        <v>56.476471918999998</v>
      </c>
      <c r="JI838" s="327">
        <f t="shared" si="1476"/>
        <v>35.253497843999995</v>
      </c>
      <c r="JJ838" s="327">
        <f t="shared" si="1405"/>
        <v>31.919901846999998</v>
      </c>
      <c r="JK838" s="323">
        <f t="shared" si="1398"/>
        <v>67.173399690999986</v>
      </c>
      <c r="JL838" s="327">
        <f t="shared" si="1407"/>
        <v>41.494081420999997</v>
      </c>
      <c r="JM838" s="279">
        <f t="shared" si="1488"/>
        <v>5.2907614110000054</v>
      </c>
      <c r="JN838" s="323">
        <f>FISC!AK1144</f>
        <v>46.784842832000002</v>
      </c>
      <c r="JO838" s="327">
        <f t="shared" si="1461"/>
        <v>25.945593480500001</v>
      </c>
      <c r="JP838" s="279">
        <f t="shared" si="1443"/>
        <v>25.945593480500001</v>
      </c>
      <c r="JQ838" s="323">
        <f>FISC!AL1144</f>
        <v>51.891186961000002</v>
      </c>
      <c r="JR838" s="327">
        <f t="shared" si="1462"/>
        <v>28.433651751500001</v>
      </c>
      <c r="JS838" s="279">
        <f t="shared" si="1444"/>
        <v>28.433651751500001</v>
      </c>
      <c r="JT838" s="323">
        <f>FISC!AM1144</f>
        <v>56.867303503000002</v>
      </c>
      <c r="JU838" s="327">
        <f t="shared" si="1463"/>
        <v>30.806958122741825</v>
      </c>
      <c r="JV838" s="279">
        <f t="shared" si="1445"/>
        <v>30.806958122741825</v>
      </c>
      <c r="JW838" s="323">
        <f>FISC!AN1144</f>
        <v>61.613916245483651</v>
      </c>
      <c r="JX838" s="327">
        <f t="shared" si="1464"/>
        <v>33.405520524245574</v>
      </c>
      <c r="JY838" s="279">
        <f t="shared" si="1446"/>
        <v>33.405520524245574</v>
      </c>
      <c r="JZ838" s="323">
        <f>FISC!AO1144</f>
        <v>66.811041048491148</v>
      </c>
      <c r="KA838" s="327">
        <f t="shared" si="1465"/>
        <v>57.850178852210732</v>
      </c>
      <c r="KB838" s="279">
        <f t="shared" si="1447"/>
        <v>57.850178852210732</v>
      </c>
      <c r="KC838" s="323">
        <f>FISC!AP1144</f>
        <v>115.70035770442146</v>
      </c>
      <c r="KD838" s="327">
        <f t="shared" si="1466"/>
        <v>57.850178852210732</v>
      </c>
      <c r="KE838" s="279">
        <f t="shared" si="1448"/>
        <v>57.850178852210732</v>
      </c>
      <c r="KF838" s="323">
        <f>FISC!AQ1144</f>
        <v>115.70035770442146</v>
      </c>
      <c r="KG838" s="327">
        <f t="shared" si="1467"/>
        <v>57.850178852210732</v>
      </c>
      <c r="KH838" s="279">
        <f t="shared" si="1449"/>
        <v>57.850178852210732</v>
      </c>
      <c r="KI838" s="323">
        <f>FISC!AR1144</f>
        <v>115.70035770442146</v>
      </c>
      <c r="KJ838" s="327">
        <f t="shared" si="1468"/>
        <v>57.850178852210732</v>
      </c>
      <c r="KK838" s="279">
        <f t="shared" si="1450"/>
        <v>57.850178852210732</v>
      </c>
      <c r="KL838" s="323">
        <f>FISC!AS1144</f>
        <v>115.70035770442146</v>
      </c>
      <c r="KM838" s="327">
        <f t="shared" si="1469"/>
        <v>57.850178852210732</v>
      </c>
      <c r="KN838" s="279">
        <f t="shared" si="1451"/>
        <v>57.850178852210732</v>
      </c>
      <c r="KO838" s="323">
        <f>FISC!AT1144</f>
        <v>115.70035770442146</v>
      </c>
      <c r="KU838" s="326"/>
      <c r="KV838" s="327"/>
    </row>
    <row r="839" spans="1:308">
      <c r="A839" s="279"/>
      <c r="D839" s="1232" t="s">
        <v>520</v>
      </c>
      <c r="E839" s="323"/>
      <c r="F839" s="323"/>
      <c r="G839" s="323"/>
      <c r="H839" s="323"/>
      <c r="I839" s="323"/>
      <c r="J839" s="323"/>
      <c r="K839" s="323"/>
      <c r="L839" s="323"/>
      <c r="M839" s="323"/>
      <c r="N839" s="323"/>
      <c r="O839" s="323"/>
      <c r="P839" s="323"/>
      <c r="Q839" s="323"/>
      <c r="R839" s="323"/>
      <c r="S839" s="323"/>
      <c r="T839" s="323"/>
      <c r="U839" s="323"/>
      <c r="V839" s="323"/>
      <c r="W839" s="323"/>
      <c r="X839" s="323"/>
      <c r="Y839" s="323"/>
      <c r="Z839" s="323"/>
      <c r="AA839" s="323"/>
      <c r="AB839" s="323"/>
      <c r="AC839" s="323"/>
      <c r="AD839" s="323"/>
      <c r="AE839" s="323"/>
      <c r="AF839" s="323"/>
      <c r="AG839" s="323"/>
      <c r="AH839" s="323"/>
      <c r="AI839" s="323"/>
      <c r="AJ839" s="323"/>
      <c r="AK839" s="323"/>
      <c r="AL839" s="323"/>
      <c r="AM839" s="323"/>
      <c r="AN839" s="323"/>
      <c r="AO839" s="323"/>
      <c r="AP839" s="323"/>
      <c r="AQ839" s="323"/>
      <c r="AR839" s="323"/>
      <c r="AS839" s="323"/>
      <c r="AT839" s="323"/>
      <c r="AU839" s="323"/>
      <c r="AV839" s="323"/>
      <c r="AW839" s="323"/>
      <c r="AX839" s="323"/>
      <c r="AY839" s="323"/>
      <c r="AZ839" s="323"/>
      <c r="BA839" s="323"/>
      <c r="BB839" s="323"/>
      <c r="BC839" s="323"/>
      <c r="BD839" s="323"/>
      <c r="BE839" s="323"/>
      <c r="BF839" s="323"/>
      <c r="BG839" s="323"/>
      <c r="BH839" s="323"/>
      <c r="BI839" s="323"/>
      <c r="BJ839" s="323"/>
      <c r="BK839" s="323"/>
      <c r="BL839" s="323"/>
      <c r="BM839" s="323"/>
      <c r="BN839" s="323"/>
      <c r="BO839" s="323"/>
      <c r="BP839" s="323"/>
      <c r="BQ839" s="323"/>
      <c r="BR839" s="323"/>
      <c r="BS839" s="323"/>
      <c r="BT839" s="323"/>
      <c r="BU839" s="323"/>
      <c r="BV839" s="323"/>
      <c r="BW839" s="323"/>
      <c r="BX839" s="323"/>
      <c r="BY839" s="323"/>
      <c r="BZ839" s="323"/>
      <c r="CA839" s="323"/>
      <c r="CB839" s="323"/>
      <c r="CC839" s="323"/>
      <c r="CD839" s="329"/>
      <c r="CE839" s="323">
        <f t="shared" ref="CE839:EP839" si="1523">CE433</f>
        <v>0.77066292619726762</v>
      </c>
      <c r="CF839" s="323">
        <f t="shared" si="1523"/>
        <v>2.4482873745727849</v>
      </c>
      <c r="CG839" s="323">
        <f t="shared" si="1523"/>
        <v>0.73833164889343972</v>
      </c>
      <c r="CH839" s="323">
        <f t="shared" si="1523"/>
        <v>24.970246959450225</v>
      </c>
      <c r="CI839" s="323">
        <f t="shared" si="1523"/>
        <v>0.64224642862472392</v>
      </c>
      <c r="CJ839" s="323">
        <f t="shared" si="1523"/>
        <v>13.9081012511328</v>
      </c>
      <c r="CK839" s="323">
        <f t="shared" si="1523"/>
        <v>0.67361932902504518</v>
      </c>
      <c r="CL839" s="323">
        <f t="shared" si="1523"/>
        <v>3.7256129200830719</v>
      </c>
      <c r="CM839" s="323">
        <f t="shared" si="1523"/>
        <v>19.403214191856215</v>
      </c>
      <c r="CN839" s="323">
        <f t="shared" si="1523"/>
        <v>0.89975872191736017</v>
      </c>
      <c r="CO839" s="323">
        <f t="shared" si="1523"/>
        <v>1.5299262136995913</v>
      </c>
      <c r="CP839" s="325">
        <f t="shared" si="1523"/>
        <v>19.83261632021987</v>
      </c>
      <c r="CQ839" s="323">
        <f t="shared" si="1523"/>
        <v>0.64051576489999995</v>
      </c>
      <c r="CR839" s="323">
        <f t="shared" si="1523"/>
        <v>1.3247816400962495</v>
      </c>
      <c r="CS839" s="323">
        <f t="shared" si="1523"/>
        <v>0.68999256619000005</v>
      </c>
      <c r="CT839" s="323">
        <f t="shared" si="1523"/>
        <v>12.30321609883687</v>
      </c>
      <c r="CU839" s="323">
        <f t="shared" si="1523"/>
        <v>1.0187699279947897</v>
      </c>
      <c r="CV839" s="323">
        <f t="shared" si="1523"/>
        <v>17.969316369725746</v>
      </c>
      <c r="CW839" s="323">
        <f t="shared" si="1523"/>
        <v>3.3986685871911959</v>
      </c>
      <c r="CX839" s="323">
        <f t="shared" si="1523"/>
        <v>1.2860703248600001</v>
      </c>
      <c r="CY839" s="323">
        <f t="shared" si="1523"/>
        <v>39.287495378967854</v>
      </c>
      <c r="CZ839" s="323">
        <f t="shared" si="1523"/>
        <v>18.755037898988448</v>
      </c>
      <c r="DA839" s="323">
        <f t="shared" si="1523"/>
        <v>2.4607847271192944</v>
      </c>
      <c r="DB839" s="1269">
        <f t="shared" si="1523"/>
        <v>16.682581432324238</v>
      </c>
      <c r="DC839" s="323">
        <f t="shared" si="1523"/>
        <v>0.40936406353085403</v>
      </c>
      <c r="DD839" s="323">
        <f t="shared" si="1523"/>
        <v>0</v>
      </c>
      <c r="DE839" s="323">
        <f t="shared" si="1523"/>
        <v>9.8312581181893215</v>
      </c>
      <c r="DF839" s="323">
        <f t="shared" si="1523"/>
        <v>23.229991356577557</v>
      </c>
      <c r="DG839" s="323">
        <f t="shared" si="1523"/>
        <v>0</v>
      </c>
      <c r="DH839" s="323">
        <f t="shared" si="1523"/>
        <v>23.628131229306309</v>
      </c>
      <c r="DI839" s="323">
        <f t="shared" si="1523"/>
        <v>1.1791709588875621</v>
      </c>
      <c r="DJ839" s="323">
        <f t="shared" si="1523"/>
        <v>0.4497606167</v>
      </c>
      <c r="DK839" s="323">
        <f t="shared" si="1523"/>
        <v>34.610282378924587</v>
      </c>
      <c r="DL839" s="323">
        <f t="shared" si="1523"/>
        <v>2.9093187925081443</v>
      </c>
      <c r="DM839" s="323">
        <f t="shared" si="1523"/>
        <v>3.1594757378971106</v>
      </c>
      <c r="DN839" s="323">
        <f t="shared" si="1523"/>
        <v>25.27834123792513</v>
      </c>
      <c r="DO839" s="323">
        <f t="shared" si="1523"/>
        <v>0.84171662300000005</v>
      </c>
      <c r="DP839" s="323">
        <f t="shared" si="1523"/>
        <v>1.967117645089288</v>
      </c>
      <c r="DQ839" s="323">
        <f t="shared" si="1523"/>
        <v>31.681815695863499</v>
      </c>
      <c r="DR839" s="323">
        <f t="shared" si="1523"/>
        <v>6.1606299268505698</v>
      </c>
      <c r="DS839" s="323">
        <f t="shared" si="1523"/>
        <v>1.804409023073996</v>
      </c>
      <c r="DT839" s="323">
        <f t="shared" si="1523"/>
        <v>30.045994029345199</v>
      </c>
      <c r="DU839" s="323">
        <f t="shared" si="1523"/>
        <v>1.4706382119999999</v>
      </c>
      <c r="DV839" s="323">
        <f t="shared" si="1523"/>
        <v>0.83759282999999995</v>
      </c>
      <c r="DW839" s="323">
        <f t="shared" si="1523"/>
        <v>31.727706425000001</v>
      </c>
      <c r="DX839" s="323">
        <f t="shared" si="1523"/>
        <v>1.759322435020374</v>
      </c>
      <c r="DY839" s="323">
        <f t="shared" si="1523"/>
        <v>0.96380090390219997</v>
      </c>
      <c r="DZ839" s="323">
        <f t="shared" si="1523"/>
        <v>30.086006621719498</v>
      </c>
      <c r="EA839" s="323">
        <f t="shared" si="1523"/>
        <v>0.84171662300000005</v>
      </c>
      <c r="EB839" s="323">
        <f t="shared" si="1523"/>
        <v>1.1508827779999999</v>
      </c>
      <c r="EC839" s="323">
        <f t="shared" si="1523"/>
        <v>20.926452234999999</v>
      </c>
      <c r="ED839" s="323">
        <f t="shared" si="1523"/>
        <v>20.989333863000002</v>
      </c>
      <c r="EE839" s="323">
        <f t="shared" si="1523"/>
        <v>0.87698696399999998</v>
      </c>
      <c r="EF839" s="323">
        <f t="shared" si="1523"/>
        <v>38.100210666000002</v>
      </c>
      <c r="EG839" s="323">
        <f t="shared" si="1523"/>
        <v>3.860204317</v>
      </c>
      <c r="EH839" s="323">
        <f t="shared" si="1523"/>
        <v>1.6015113299999999</v>
      </c>
      <c r="EI839" s="323">
        <f t="shared" si="1523"/>
        <v>15.074558287</v>
      </c>
      <c r="EJ839" s="323">
        <f t="shared" si="1523"/>
        <v>28.948392117999997</v>
      </c>
      <c r="EK839" s="323">
        <f t="shared" si="1523"/>
        <v>9.7391911150000006</v>
      </c>
      <c r="EL839" s="323">
        <f t="shared" si="1523"/>
        <v>18.724085254000002</v>
      </c>
      <c r="EM839" s="323">
        <f t="shared" si="1523"/>
        <v>2.1231752159999999</v>
      </c>
      <c r="EN839" s="323">
        <f t="shared" si="1523"/>
        <v>36.2872713223814</v>
      </c>
      <c r="EO839" s="323">
        <f t="shared" si="1523"/>
        <v>34.786820126361604</v>
      </c>
      <c r="EP839" s="323">
        <f t="shared" si="1523"/>
        <v>10.917655376212011</v>
      </c>
      <c r="EQ839" s="323">
        <f t="shared" ref="EQ839:GG839" si="1524">EQ433</f>
        <v>1.0695211383090499</v>
      </c>
      <c r="ER839" s="323">
        <f t="shared" si="1524"/>
        <v>19.977650562447401</v>
      </c>
      <c r="ES839" s="323">
        <f t="shared" si="1524"/>
        <v>3.5640890249999999</v>
      </c>
      <c r="ET839" s="323">
        <f t="shared" si="1524"/>
        <v>0.86682387499999991</v>
      </c>
      <c r="EU839" s="323">
        <f t="shared" si="1524"/>
        <v>31.195748930000001</v>
      </c>
      <c r="EV839" s="323">
        <f t="shared" si="1524"/>
        <v>10.056148590836891</v>
      </c>
      <c r="EW839" s="323">
        <f t="shared" si="1524"/>
        <v>0.93046208699999999</v>
      </c>
      <c r="EX839" s="323">
        <f t="shared" si="1524"/>
        <v>10.858199057</v>
      </c>
      <c r="EY839" s="323">
        <f t="shared" si="1524"/>
        <v>1.4305886475704002</v>
      </c>
      <c r="EZ839" s="323">
        <f t="shared" si="1524"/>
        <v>13.644136845282</v>
      </c>
      <c r="FA839" s="323">
        <f t="shared" si="1524"/>
        <v>31.012991648227889</v>
      </c>
      <c r="FB839" s="323">
        <f t="shared" si="1524"/>
        <v>32.400034510430515</v>
      </c>
      <c r="FC839" s="323">
        <f t="shared" si="1524"/>
        <v>1.8529432568197119</v>
      </c>
      <c r="FD839" s="323">
        <f t="shared" si="1524"/>
        <v>22.307530775192664</v>
      </c>
      <c r="FE839" s="323">
        <f t="shared" si="1524"/>
        <v>1.102642532</v>
      </c>
      <c r="FF839" s="323">
        <f t="shared" si="1524"/>
        <v>1.5673122104031836</v>
      </c>
      <c r="FG839" s="323">
        <f t="shared" si="1524"/>
        <v>1.164678173</v>
      </c>
      <c r="FH839" s="323">
        <f t="shared" si="1524"/>
        <v>15.00436438751411</v>
      </c>
      <c r="FI839" s="323">
        <f t="shared" si="1524"/>
        <v>31.771734912361026</v>
      </c>
      <c r="FJ839" s="323">
        <f t="shared" si="1524"/>
        <v>0.69479255699999998</v>
      </c>
      <c r="FK839" s="323">
        <f t="shared" si="1524"/>
        <v>1.30959155171956</v>
      </c>
      <c r="FL839" s="323">
        <f t="shared" si="1524"/>
        <v>1.9347106542756209</v>
      </c>
      <c r="FM839" s="323">
        <f t="shared" si="1524"/>
        <v>75.71959442460701</v>
      </c>
      <c r="FN839" s="323">
        <f t="shared" si="1524"/>
        <v>1.1583962818945865</v>
      </c>
      <c r="FO839" s="323">
        <f t="shared" si="1524"/>
        <v>4.366134070302274</v>
      </c>
      <c r="FP839" s="323">
        <f t="shared" si="1524"/>
        <v>45.64905023299778</v>
      </c>
      <c r="FQ839" s="323">
        <f t="shared" si="1524"/>
        <v>1.0837011122571989</v>
      </c>
      <c r="FR839" s="323">
        <f t="shared" si="1524"/>
        <v>1.059584074326962</v>
      </c>
      <c r="FS839" s="323">
        <f t="shared" si="1524"/>
        <v>1.2100451349451466</v>
      </c>
      <c r="FT839" s="323">
        <f t="shared" si="1524"/>
        <v>53.887641090870552</v>
      </c>
      <c r="FU839" s="323">
        <f t="shared" si="1524"/>
        <v>1.24375097513529</v>
      </c>
      <c r="FV839" s="323">
        <f t="shared" si="1524"/>
        <v>35.734580436030392</v>
      </c>
      <c r="FW839" s="323">
        <f t="shared" si="1524"/>
        <v>1.1091053145613641</v>
      </c>
      <c r="FX839" s="323">
        <f t="shared" si="1524"/>
        <v>1.251032031511992</v>
      </c>
      <c r="FY839" s="323">
        <f t="shared" si="1524"/>
        <v>41.103752136057629</v>
      </c>
      <c r="FZ839" s="323">
        <f t="shared" si="1524"/>
        <v>1.1011386350700656</v>
      </c>
      <c r="GA839" s="323">
        <f t="shared" si="1524"/>
        <v>43.355828380578068</v>
      </c>
      <c r="GB839" s="323">
        <f t="shared" si="1524"/>
        <v>5.6110027847700756</v>
      </c>
      <c r="GC839" s="323">
        <f t="shared" si="1524"/>
        <v>1.1667665404519934</v>
      </c>
      <c r="GD839" s="323">
        <f t="shared" si="1524"/>
        <v>1.0292662748935573</v>
      </c>
      <c r="GE839" s="323">
        <f t="shared" si="1524"/>
        <v>1.2633240981165843</v>
      </c>
      <c r="GF839" s="323">
        <f t="shared" si="1524"/>
        <v>24.726026118637265</v>
      </c>
      <c r="GG839" s="323">
        <f t="shared" si="1524"/>
        <v>1.2289248174735214</v>
      </c>
      <c r="GH839" s="323">
        <f t="shared" ref="GH839:HR839" si="1525">GH433</f>
        <v>39.402393755767058</v>
      </c>
      <c r="GI839" s="323">
        <f t="shared" si="1525"/>
        <v>0</v>
      </c>
      <c r="GJ839" s="323">
        <f t="shared" si="1525"/>
        <v>0</v>
      </c>
      <c r="GK839" s="323">
        <f t="shared" si="1525"/>
        <v>37.830943720766165</v>
      </c>
      <c r="GL839" s="323">
        <f t="shared" si="1525"/>
        <v>0</v>
      </c>
      <c r="GM839" s="323">
        <f t="shared" si="1525"/>
        <v>0</v>
      </c>
      <c r="GN839" s="323">
        <f t="shared" si="1525"/>
        <v>39.097062721909495</v>
      </c>
      <c r="GO839" s="323">
        <f t="shared" si="1525"/>
        <v>0</v>
      </c>
      <c r="GP839" s="323">
        <f t="shared" si="1525"/>
        <v>0</v>
      </c>
      <c r="GQ839" s="323">
        <f t="shared" si="1525"/>
        <v>42.755879130666671</v>
      </c>
      <c r="GR839" s="323">
        <f t="shared" si="1525"/>
        <v>0</v>
      </c>
      <c r="GS839" s="323">
        <f t="shared" si="1525"/>
        <v>0</v>
      </c>
      <c r="GT839" s="323">
        <f t="shared" si="1525"/>
        <v>26.769587676048875</v>
      </c>
      <c r="GU839" s="323">
        <f t="shared" si="1525"/>
        <v>2.1399855067314051</v>
      </c>
      <c r="GV839" s="323">
        <f t="shared" si="1525"/>
        <v>10.865837004963289</v>
      </c>
      <c r="GW839" s="323">
        <f t="shared" si="1525"/>
        <v>72.267489486905546</v>
      </c>
      <c r="GX839" s="323">
        <f t="shared" si="1525"/>
        <v>2.6652518972100006</v>
      </c>
      <c r="GY839" s="323">
        <f t="shared" si="1525"/>
        <v>4.2841920068400006</v>
      </c>
      <c r="GZ839" s="323">
        <f t="shared" si="1525"/>
        <v>67.335532702601625</v>
      </c>
      <c r="HA839" s="323">
        <f t="shared" si="1525"/>
        <v>2.5787660292899997</v>
      </c>
      <c r="HB839" s="323">
        <f t="shared" si="1525"/>
        <v>10.252433023537021</v>
      </c>
      <c r="HC839" s="323">
        <f t="shared" si="1525"/>
        <v>21.983112498852869</v>
      </c>
      <c r="HD839" s="323">
        <f t="shared" si="1525"/>
        <v>38.063490261893897</v>
      </c>
      <c r="HE839" s="323">
        <f t="shared" si="1525"/>
        <v>6.5544787854522948</v>
      </c>
      <c r="HF839" s="323">
        <f t="shared" si="1525"/>
        <v>2.6359777666497743</v>
      </c>
      <c r="HG839" s="323">
        <f t="shared" si="1525"/>
        <v>27.692709201505902</v>
      </c>
      <c r="HH839" s="323">
        <f t="shared" si="1525"/>
        <v>2.8426637318633006</v>
      </c>
      <c r="HI839" s="323">
        <f t="shared" si="1525"/>
        <v>60.353551034722791</v>
      </c>
      <c r="HJ839" s="323">
        <f t="shared" si="1525"/>
        <v>3.2971490583099987</v>
      </c>
      <c r="HK839" s="323">
        <f t="shared" si="1525"/>
        <v>2.727202206896699</v>
      </c>
      <c r="HL839" s="323">
        <f t="shared" si="1525"/>
        <v>57.018716780843178</v>
      </c>
      <c r="HM839" s="323">
        <f t="shared" si="1525"/>
        <v>2.3164985945599943</v>
      </c>
      <c r="HN839" s="323">
        <f t="shared" si="1525"/>
        <v>2.1070192603380002</v>
      </c>
      <c r="HO839" s="323">
        <f t="shared" si="1525"/>
        <v>2.4021781782920009</v>
      </c>
      <c r="HP839" s="323">
        <f t="shared" si="1525"/>
        <v>37.387546523689991</v>
      </c>
      <c r="HQ839" s="323">
        <f t="shared" si="1525"/>
        <v>2.3733617092400041</v>
      </c>
      <c r="HR839" s="323">
        <f t="shared" si="1525"/>
        <v>26.924116287321052</v>
      </c>
      <c r="HS839" s="323">
        <f t="shared" ref="HS839:HX839" si="1526">HS433</f>
        <v>2.826673060230001</v>
      </c>
      <c r="HT839" s="323">
        <f t="shared" si="1526"/>
        <v>16.091754904575001</v>
      </c>
      <c r="HU839" s="323">
        <f t="shared" si="1526"/>
        <v>60.154851661450806</v>
      </c>
      <c r="HV839" s="323">
        <f t="shared" si="1526"/>
        <v>2.8774397535099991</v>
      </c>
      <c r="HW839" s="323">
        <f t="shared" si="1526"/>
        <v>3.218543513810002</v>
      </c>
      <c r="HX839" s="323">
        <f t="shared" si="1526"/>
        <v>3.409020496190001</v>
      </c>
      <c r="HY839" s="323"/>
      <c r="HZ839" s="326"/>
      <c r="IA839" s="1232" t="s">
        <v>520</v>
      </c>
      <c r="IB839" s="284">
        <f>SUM(CE839:CJ839)</f>
        <v>43.47787658887124</v>
      </c>
      <c r="IC839" s="279">
        <f>SUM(CK839:CP839)</f>
        <v>46.064747696801156</v>
      </c>
      <c r="ID839" s="323">
        <f t="shared" si="907"/>
        <v>89.542624285672389</v>
      </c>
      <c r="IE839" s="279">
        <f>SUM(CQ839:CV839)</f>
        <v>33.946592367743655</v>
      </c>
      <c r="IF839" s="279">
        <f>SUM(CW839:DB839)</f>
        <v>81.870638349451028</v>
      </c>
      <c r="IG839" s="323">
        <f t="shared" si="880"/>
        <v>115.81723071719469</v>
      </c>
      <c r="IH839" s="284">
        <f>SUM(DC839:DH839)</f>
        <v>57.098744767604046</v>
      </c>
      <c r="II839" s="279">
        <f>SUM(DI839:DN839)</f>
        <v>67.586349722842542</v>
      </c>
      <c r="IJ839" s="323">
        <f t="shared" si="881"/>
        <v>124.68509449044659</v>
      </c>
      <c r="IK839" s="327">
        <f>SUM(DO839:DT839)</f>
        <v>72.501682943222548</v>
      </c>
      <c r="IL839" s="279">
        <f>SUM(DU839:DZ839)</f>
        <v>66.845067427642078</v>
      </c>
      <c r="IM839" s="323">
        <f t="shared" si="882"/>
        <v>139.34675037086464</v>
      </c>
      <c r="IN839" s="279">
        <f>SUM(EA839:EF839)</f>
        <v>82.885583128999997</v>
      </c>
      <c r="IO839" s="279">
        <f>SUM(EG839:EL839)</f>
        <v>77.947942420999993</v>
      </c>
      <c r="IP839" s="323">
        <f t="shared" si="883"/>
        <v>160.83352554999999</v>
      </c>
      <c r="IQ839" s="327">
        <f>SUM(EM839:ER839)</f>
        <v>105.16209374171149</v>
      </c>
      <c r="IR839" s="327">
        <f>SUM(ES839:EX839)</f>
        <v>57.471471564836897</v>
      </c>
      <c r="IS839" s="323">
        <f t="shared" si="884"/>
        <v>162.63356530654838</v>
      </c>
      <c r="IT839" s="327">
        <f>SUM(EY839:FD839)</f>
        <v>102.64822568352318</v>
      </c>
      <c r="IU839" s="327">
        <f>SUM(FE839:FJ839)</f>
        <v>51.305524772278318</v>
      </c>
      <c r="IV839" s="323">
        <f t="shared" si="885"/>
        <v>153.9537504558015</v>
      </c>
      <c r="IW839" s="327">
        <f>SUM(FK839:FP839)</f>
        <v>130.13747721579682</v>
      </c>
      <c r="IX839" s="327">
        <f t="shared" si="1378"/>
        <v>94.219302823565542</v>
      </c>
      <c r="IY839" s="323">
        <f t="shared" si="1475"/>
        <v>224.35678003936238</v>
      </c>
      <c r="IZ839" s="327">
        <f t="shared" si="1439"/>
        <v>93.531859282549192</v>
      </c>
      <c r="JA839" s="327">
        <f t="shared" si="1440"/>
        <v>68.816701605339972</v>
      </c>
      <c r="JB839" s="323">
        <f t="shared" si="1458"/>
        <v>162.34856088788916</v>
      </c>
      <c r="JC839" s="327">
        <f t="shared" si="1441"/>
        <v>76.928006442675667</v>
      </c>
      <c r="JD839" s="327">
        <f t="shared" si="1442"/>
        <v>69.525466806715542</v>
      </c>
      <c r="JE839" s="323">
        <f t="shared" si="1459"/>
        <v>146.45347324939121</v>
      </c>
      <c r="JF839" s="327">
        <f t="shared" si="1460"/>
        <v>159.55828860525185</v>
      </c>
      <c r="JG839" s="327">
        <f t="shared" si="1372"/>
        <v>82.06825836567586</v>
      </c>
      <c r="JH839" s="323">
        <f t="shared" si="1406"/>
        <v>241.62654697092771</v>
      </c>
      <c r="JI839" s="327">
        <f t="shared" si="1476"/>
        <v>153.93199201414188</v>
      </c>
      <c r="JJ839" s="327">
        <f t="shared" si="1405"/>
        <v>73.510720553441047</v>
      </c>
      <c r="JK839" s="323">
        <f t="shared" si="1398"/>
        <v>227.44271256758293</v>
      </c>
      <c r="JL839" s="327">
        <f t="shared" si="1407"/>
        <v>88.578283389765815</v>
      </c>
      <c r="JM839" s="279">
        <f t="shared" si="1488"/>
        <v>129.56355749839042</v>
      </c>
      <c r="JN839" s="323">
        <f>FISC!AK1145</f>
        <v>218.14184088815625</v>
      </c>
      <c r="JO839" s="327">
        <f t="shared" si="1461"/>
        <v>124.77112843472143</v>
      </c>
      <c r="JP839" s="279">
        <f t="shared" si="1443"/>
        <v>124.77112843472143</v>
      </c>
      <c r="JQ839" s="323">
        <f>FISC!AL1145</f>
        <v>249.54225686944287</v>
      </c>
      <c r="JR839" s="327">
        <f t="shared" si="1462"/>
        <v>131.44514864506004</v>
      </c>
      <c r="JS839" s="279">
        <f t="shared" si="1444"/>
        <v>131.44514864506004</v>
      </c>
      <c r="JT839" s="323">
        <f>FISC!AM1145</f>
        <v>262.89029729012009</v>
      </c>
      <c r="JU839" s="327">
        <f t="shared" si="1463"/>
        <v>138.46033844647548</v>
      </c>
      <c r="JV839" s="279">
        <f t="shared" si="1445"/>
        <v>138.46033844647548</v>
      </c>
      <c r="JW839" s="323">
        <f>FISC!AN1145</f>
        <v>276.92067689295095</v>
      </c>
      <c r="JX839" s="327">
        <f t="shared" si="1464"/>
        <v>144.9599958051501</v>
      </c>
      <c r="JY839" s="279">
        <f t="shared" si="1446"/>
        <v>144.9599958051501</v>
      </c>
      <c r="JZ839" s="323">
        <f>FISC!AO1145</f>
        <v>289.9199916103002</v>
      </c>
      <c r="KA839" s="327">
        <f t="shared" si="1465"/>
        <v>155.52050025742022</v>
      </c>
      <c r="KB839" s="279">
        <f t="shared" si="1447"/>
        <v>155.52050025742022</v>
      </c>
      <c r="KC839" s="323">
        <f>FISC!AP1145</f>
        <v>311.04100051484045</v>
      </c>
      <c r="KD839" s="327">
        <f t="shared" si="1466"/>
        <v>161.54415999620488</v>
      </c>
      <c r="KE839" s="279">
        <f t="shared" si="1448"/>
        <v>161.54415999620488</v>
      </c>
      <c r="KF839" s="323">
        <f>FISC!AQ1145</f>
        <v>323.08831999240977</v>
      </c>
      <c r="KG839" s="327">
        <f t="shared" si="1467"/>
        <v>167.88197837677308</v>
      </c>
      <c r="KH839" s="279">
        <f t="shared" si="1449"/>
        <v>167.88197837677308</v>
      </c>
      <c r="KI839" s="323">
        <f>FISC!AR1145</f>
        <v>335.76395675354615</v>
      </c>
      <c r="KJ839" s="327">
        <f t="shared" si="1468"/>
        <v>174.55649356698524</v>
      </c>
      <c r="KK839" s="279">
        <f t="shared" si="1450"/>
        <v>174.55649356698524</v>
      </c>
      <c r="KL839" s="323">
        <f>FISC!AS1145</f>
        <v>349.11298713397048</v>
      </c>
      <c r="KM839" s="327">
        <f t="shared" si="1469"/>
        <v>181.59220847447477</v>
      </c>
      <c r="KN839" s="279">
        <f t="shared" si="1451"/>
        <v>181.59220847447477</v>
      </c>
      <c r="KO839" s="323">
        <f>FISC!AT1145</f>
        <v>363.18441694894955</v>
      </c>
      <c r="KU839" s="326"/>
      <c r="KV839" s="327"/>
    </row>
    <row r="840" spans="1:308">
      <c r="A840" s="279"/>
      <c r="D840" s="1415" t="s">
        <v>3057</v>
      </c>
      <c r="E840" s="323"/>
      <c r="F840" s="323"/>
      <c r="G840" s="323"/>
      <c r="H840" s="323"/>
      <c r="I840" s="323"/>
      <c r="J840" s="323"/>
      <c r="K840" s="323"/>
      <c r="L840" s="323"/>
      <c r="M840" s="323"/>
      <c r="N840" s="323"/>
      <c r="O840" s="323"/>
      <c r="P840" s="323"/>
      <c r="Q840" s="323"/>
      <c r="R840" s="323"/>
      <c r="S840" s="323"/>
      <c r="T840" s="323"/>
      <c r="U840" s="323"/>
      <c r="V840" s="323"/>
      <c r="W840" s="323"/>
      <c r="X840" s="323"/>
      <c r="Y840" s="323"/>
      <c r="Z840" s="323"/>
      <c r="AA840" s="323"/>
      <c r="AB840" s="323"/>
      <c r="AC840" s="323"/>
      <c r="AD840" s="323"/>
      <c r="AE840" s="323"/>
      <c r="AF840" s="323"/>
      <c r="AG840" s="323"/>
      <c r="AH840" s="323"/>
      <c r="AI840" s="323"/>
      <c r="AJ840" s="323"/>
      <c r="AK840" s="323"/>
      <c r="AL840" s="323"/>
      <c r="AM840" s="323"/>
      <c r="AN840" s="323"/>
      <c r="AO840" s="323"/>
      <c r="AP840" s="323"/>
      <c r="AQ840" s="323"/>
      <c r="AR840" s="323"/>
      <c r="AS840" s="323"/>
      <c r="AT840" s="323"/>
      <c r="AU840" s="323"/>
      <c r="AV840" s="323"/>
      <c r="AW840" s="323"/>
      <c r="AX840" s="323"/>
      <c r="AY840" s="323"/>
      <c r="AZ840" s="323"/>
      <c r="BA840" s="323"/>
      <c r="BB840" s="323"/>
      <c r="BC840" s="323"/>
      <c r="BD840" s="323"/>
      <c r="BE840" s="323"/>
      <c r="BF840" s="323"/>
      <c r="BG840" s="323"/>
      <c r="BH840" s="323"/>
      <c r="BI840" s="323"/>
      <c r="BJ840" s="323"/>
      <c r="BK840" s="323"/>
      <c r="BL840" s="323"/>
      <c r="BM840" s="323"/>
      <c r="BN840" s="323"/>
      <c r="BO840" s="323"/>
      <c r="BP840" s="323"/>
      <c r="BQ840" s="323"/>
      <c r="BR840" s="323"/>
      <c r="BS840" s="323"/>
      <c r="BT840" s="323"/>
      <c r="BU840" s="323"/>
      <c r="BV840" s="323"/>
      <c r="BW840" s="323"/>
      <c r="BX840" s="323"/>
      <c r="BY840" s="323"/>
      <c r="BZ840" s="323"/>
      <c r="CA840" s="323"/>
      <c r="CB840" s="323"/>
      <c r="CC840" s="323"/>
      <c r="CD840" s="329"/>
      <c r="CE840" s="1432">
        <v>0</v>
      </c>
      <c r="CF840" s="1432">
        <v>1.7720709642719998</v>
      </c>
      <c r="CG840" s="1432">
        <v>0</v>
      </c>
      <c r="CH840" s="1432">
        <v>24.277350664404999</v>
      </c>
      <c r="CI840" s="1432">
        <v>0</v>
      </c>
      <c r="CJ840" s="1432">
        <v>13.187791715238999</v>
      </c>
      <c r="CK840" s="1432">
        <v>0</v>
      </c>
      <c r="CL840" s="1432">
        <v>3.1359618529199995</v>
      </c>
      <c r="CM840" s="1432">
        <v>18.798441418391999</v>
      </c>
      <c r="CN840" s="1432">
        <v>0.34932004166400005</v>
      </c>
      <c r="CO840" s="323">
        <v>0.85506566784197013</v>
      </c>
      <c r="CP840" s="325">
        <v>19.123361426614217</v>
      </c>
      <c r="CQ840" s="323">
        <v>0</v>
      </c>
      <c r="CR840" s="323">
        <v>0.5883615519562494</v>
      </c>
      <c r="CS840" s="323">
        <v>0</v>
      </c>
      <c r="CT840" s="323"/>
      <c r="CU840" s="323"/>
      <c r="CV840" s="323"/>
      <c r="CW840" s="323"/>
      <c r="CX840" s="323"/>
      <c r="CY840" s="323"/>
      <c r="CZ840" s="323"/>
      <c r="DA840" s="323"/>
      <c r="DB840" s="1269"/>
      <c r="DC840" s="323">
        <f t="shared" ref="DC840:FN840" si="1527">DC154</f>
        <v>0</v>
      </c>
      <c r="DD840" s="323">
        <f t="shared" si="1527"/>
        <v>0</v>
      </c>
      <c r="DE840" s="323">
        <f t="shared" si="1527"/>
        <v>0</v>
      </c>
      <c r="DF840" s="323">
        <f t="shared" si="1527"/>
        <v>0</v>
      </c>
      <c r="DG840" s="323">
        <f t="shared" si="1527"/>
        <v>0</v>
      </c>
      <c r="DH840" s="323">
        <f t="shared" si="1527"/>
        <v>0</v>
      </c>
      <c r="DI840" s="323">
        <f t="shared" si="1527"/>
        <v>0</v>
      </c>
      <c r="DJ840" s="323">
        <f t="shared" si="1527"/>
        <v>0</v>
      </c>
      <c r="DK840" s="323">
        <f t="shared" si="1527"/>
        <v>0</v>
      </c>
      <c r="DL840" s="323">
        <f t="shared" si="1527"/>
        <v>0</v>
      </c>
      <c r="DM840" s="323">
        <f t="shared" si="1527"/>
        <v>0</v>
      </c>
      <c r="DN840" s="325">
        <f t="shared" si="1527"/>
        <v>0</v>
      </c>
      <c r="DO840" s="323">
        <f t="shared" si="1527"/>
        <v>0</v>
      </c>
      <c r="DP840" s="323">
        <f t="shared" si="1527"/>
        <v>0</v>
      </c>
      <c r="DQ840" s="323">
        <f t="shared" si="1527"/>
        <v>0</v>
      </c>
      <c r="DR840" s="323">
        <f t="shared" si="1527"/>
        <v>0</v>
      </c>
      <c r="DS840" s="323">
        <f t="shared" si="1527"/>
        <v>0</v>
      </c>
      <c r="DT840" s="323">
        <f t="shared" si="1527"/>
        <v>0</v>
      </c>
      <c r="DU840" s="323">
        <f t="shared" si="1527"/>
        <v>0</v>
      </c>
      <c r="DV840" s="323">
        <f t="shared" si="1527"/>
        <v>0</v>
      </c>
      <c r="DW840" s="323">
        <f t="shared" si="1527"/>
        <v>0</v>
      </c>
      <c r="DX840" s="323">
        <f t="shared" si="1527"/>
        <v>0</v>
      </c>
      <c r="DY840" s="323">
        <f t="shared" si="1527"/>
        <v>0</v>
      </c>
      <c r="DZ840" s="325">
        <f t="shared" si="1527"/>
        <v>0</v>
      </c>
      <c r="EA840" s="323">
        <f t="shared" si="1527"/>
        <v>0</v>
      </c>
      <c r="EB840" s="323">
        <f t="shared" si="1527"/>
        <v>0</v>
      </c>
      <c r="EC840" s="323">
        <f t="shared" si="1527"/>
        <v>0</v>
      </c>
      <c r="ED840" s="323">
        <f t="shared" si="1527"/>
        <v>0</v>
      </c>
      <c r="EE840" s="323">
        <f t="shared" si="1527"/>
        <v>0</v>
      </c>
      <c r="EF840" s="323">
        <f t="shared" si="1527"/>
        <v>0</v>
      </c>
      <c r="EG840" s="323">
        <f t="shared" si="1527"/>
        <v>0</v>
      </c>
      <c r="EH840" s="323">
        <f t="shared" si="1527"/>
        <v>0</v>
      </c>
      <c r="EI840" s="323">
        <f t="shared" si="1527"/>
        <v>0</v>
      </c>
      <c r="EJ840" s="323">
        <f t="shared" si="1527"/>
        <v>0</v>
      </c>
      <c r="EK840" s="323">
        <f t="shared" si="1527"/>
        <v>0</v>
      </c>
      <c r="EL840" s="325">
        <f t="shared" si="1527"/>
        <v>0</v>
      </c>
      <c r="EM840" s="323">
        <f t="shared" si="1527"/>
        <v>0</v>
      </c>
      <c r="EN840" s="323">
        <f t="shared" si="1527"/>
        <v>0</v>
      </c>
      <c r="EO840" s="323">
        <f t="shared" si="1527"/>
        <v>0</v>
      </c>
      <c r="EP840" s="323">
        <f t="shared" si="1527"/>
        <v>0</v>
      </c>
      <c r="EQ840" s="323">
        <f t="shared" si="1527"/>
        <v>0</v>
      </c>
      <c r="ER840" s="323">
        <f t="shared" si="1527"/>
        <v>0</v>
      </c>
      <c r="ES840" s="323">
        <f t="shared" si="1527"/>
        <v>0</v>
      </c>
      <c r="ET840" s="323">
        <f t="shared" si="1527"/>
        <v>0</v>
      </c>
      <c r="EU840" s="323">
        <f t="shared" si="1527"/>
        <v>0</v>
      </c>
      <c r="EV840" s="323">
        <f t="shared" si="1527"/>
        <v>0</v>
      </c>
      <c r="EW840" s="323">
        <f t="shared" si="1527"/>
        <v>0</v>
      </c>
      <c r="EX840" s="325">
        <f t="shared" si="1527"/>
        <v>0</v>
      </c>
      <c r="EY840" s="323">
        <f t="shared" si="1527"/>
        <v>0</v>
      </c>
      <c r="EZ840" s="323">
        <f t="shared" si="1527"/>
        <v>0</v>
      </c>
      <c r="FA840" s="323">
        <f t="shared" si="1527"/>
        <v>0</v>
      </c>
      <c r="FB840" s="323">
        <f t="shared" si="1527"/>
        <v>0</v>
      </c>
      <c r="FC840" s="323">
        <f t="shared" si="1527"/>
        <v>0</v>
      </c>
      <c r="FD840" s="323">
        <f t="shared" si="1527"/>
        <v>0</v>
      </c>
      <c r="FE840" s="323">
        <f t="shared" si="1527"/>
        <v>0</v>
      </c>
      <c r="FF840" s="323">
        <f t="shared" si="1527"/>
        <v>0</v>
      </c>
      <c r="FG840" s="323">
        <f t="shared" si="1527"/>
        <v>0</v>
      </c>
      <c r="FH840" s="323">
        <f t="shared" si="1527"/>
        <v>0</v>
      </c>
      <c r="FI840" s="323">
        <f t="shared" si="1527"/>
        <v>0</v>
      </c>
      <c r="FJ840" s="325">
        <f t="shared" si="1527"/>
        <v>0</v>
      </c>
      <c r="FK840" s="323">
        <f t="shared" si="1527"/>
        <v>0</v>
      </c>
      <c r="FL840" s="323">
        <f t="shared" si="1527"/>
        <v>0</v>
      </c>
      <c r="FM840" s="323">
        <f t="shared" si="1527"/>
        <v>0</v>
      </c>
      <c r="FN840" s="323">
        <f t="shared" si="1527"/>
        <v>0</v>
      </c>
      <c r="FO840" s="323">
        <f t="shared" ref="FO840:HK840" si="1528">FO154</f>
        <v>0</v>
      </c>
      <c r="FP840" s="323">
        <f t="shared" si="1528"/>
        <v>0</v>
      </c>
      <c r="FQ840" s="323">
        <f t="shared" si="1528"/>
        <v>0</v>
      </c>
      <c r="FR840" s="323">
        <f t="shared" si="1528"/>
        <v>0</v>
      </c>
      <c r="FS840" s="323">
        <f t="shared" si="1528"/>
        <v>0</v>
      </c>
      <c r="FT840" s="323">
        <f t="shared" si="1528"/>
        <v>0</v>
      </c>
      <c r="FU840" s="323">
        <f t="shared" si="1528"/>
        <v>0</v>
      </c>
      <c r="FV840" s="323">
        <f t="shared" si="1528"/>
        <v>0</v>
      </c>
      <c r="FW840" s="323">
        <f t="shared" si="1528"/>
        <v>0</v>
      </c>
      <c r="FX840" s="323">
        <f t="shared" si="1528"/>
        <v>0.13815066190961411</v>
      </c>
      <c r="FY840" s="323">
        <f t="shared" si="1528"/>
        <v>39.901259719999999</v>
      </c>
      <c r="FZ840" s="323">
        <f t="shared" si="1528"/>
        <v>0</v>
      </c>
      <c r="GA840" s="323">
        <f t="shared" si="1528"/>
        <v>42.270651444000002</v>
      </c>
      <c r="GB840" s="323">
        <f t="shared" si="1528"/>
        <v>0</v>
      </c>
      <c r="GC840" s="323">
        <f t="shared" si="1528"/>
        <v>0</v>
      </c>
      <c r="GD840" s="323">
        <f t="shared" si="1528"/>
        <v>0</v>
      </c>
      <c r="GE840" s="323">
        <f t="shared" si="1528"/>
        <v>0</v>
      </c>
      <c r="GF840" s="323">
        <f t="shared" si="1528"/>
        <v>23.460708399999998</v>
      </c>
      <c r="GG840" s="323">
        <f t="shared" si="1528"/>
        <v>0</v>
      </c>
      <c r="GH840" s="323">
        <f t="shared" si="1528"/>
        <v>37.967731396234953</v>
      </c>
      <c r="GI840" s="1654">
        <f t="shared" si="1528"/>
        <v>0</v>
      </c>
      <c r="GJ840" s="1654">
        <f t="shared" si="1528"/>
        <v>0</v>
      </c>
      <c r="GK840" s="1654">
        <f t="shared" si="1528"/>
        <v>37.830943720766165</v>
      </c>
      <c r="GL840" s="1654">
        <f t="shared" si="1528"/>
        <v>0</v>
      </c>
      <c r="GM840" s="1654">
        <f t="shared" si="1528"/>
        <v>0</v>
      </c>
      <c r="GN840" s="1654">
        <f t="shared" si="1528"/>
        <v>39.097062721909495</v>
      </c>
      <c r="GO840" s="1654">
        <f t="shared" si="1528"/>
        <v>0</v>
      </c>
      <c r="GP840" s="1654">
        <f t="shared" si="1528"/>
        <v>0</v>
      </c>
      <c r="GQ840" s="1654">
        <f t="shared" si="1528"/>
        <v>42.755879130666671</v>
      </c>
      <c r="GR840" s="1654">
        <f t="shared" si="1528"/>
        <v>0</v>
      </c>
      <c r="GS840" s="1654">
        <f t="shared" si="1528"/>
        <v>0</v>
      </c>
      <c r="GT840" s="1654">
        <f t="shared" si="1528"/>
        <v>26.769587676048875</v>
      </c>
      <c r="GU840" s="1654">
        <f t="shared" si="1528"/>
        <v>0</v>
      </c>
      <c r="GV840" s="1654">
        <f t="shared" si="1528"/>
        <v>8.3532185703925492</v>
      </c>
      <c r="GW840" s="1654">
        <f t="shared" si="1528"/>
        <v>69.735063820311296</v>
      </c>
      <c r="GX840" s="1654">
        <f t="shared" si="1528"/>
        <v>0</v>
      </c>
      <c r="GY840" s="1654">
        <f t="shared" si="1528"/>
        <v>0</v>
      </c>
      <c r="GZ840" s="1654">
        <f t="shared" si="1528"/>
        <v>64.860627565871624</v>
      </c>
      <c r="HA840" s="1654">
        <f t="shared" si="1528"/>
        <v>0</v>
      </c>
      <c r="HB840" s="1654">
        <f t="shared" si="1528"/>
        <v>7.6904207837038214</v>
      </c>
      <c r="HC840" s="1654">
        <f t="shared" si="1528"/>
        <v>19.23650826862179</v>
      </c>
      <c r="HD840" s="1654">
        <f t="shared" si="1528"/>
        <v>35.777865754843894</v>
      </c>
      <c r="HE840" s="1654">
        <f t="shared" si="1528"/>
        <v>3.9089259962722953</v>
      </c>
      <c r="HF840" s="1654">
        <f t="shared" si="1528"/>
        <v>0</v>
      </c>
      <c r="HG840" s="1654">
        <f t="shared" si="1528"/>
        <v>24.893886267105898</v>
      </c>
      <c r="HH840" s="1654">
        <f t="shared" si="1528"/>
        <v>0</v>
      </c>
      <c r="HI840" s="1654">
        <f t="shared" si="1528"/>
        <v>57.657934019426094</v>
      </c>
      <c r="HJ840" s="1654">
        <f t="shared" si="1528"/>
        <v>0</v>
      </c>
      <c r="HK840" s="1654">
        <f t="shared" si="1528"/>
        <v>0</v>
      </c>
      <c r="HL840" s="1654">
        <f>HL154</f>
        <v>54.350666155159878</v>
      </c>
      <c r="HM840" s="1654">
        <f t="shared" ref="HM840:HR840" si="1529">HM154</f>
        <v>0</v>
      </c>
      <c r="HN840" s="1654">
        <f>HN154</f>
        <v>0</v>
      </c>
      <c r="HO840" s="1654">
        <f t="shared" si="1529"/>
        <v>0</v>
      </c>
      <c r="HP840" s="1654">
        <f t="shared" si="1529"/>
        <v>35.424263524999994</v>
      </c>
      <c r="HQ840" s="1654">
        <f t="shared" si="1529"/>
        <v>0</v>
      </c>
      <c r="HR840" s="1654">
        <f t="shared" si="1529"/>
        <v>24.153517471054016</v>
      </c>
      <c r="HS840" s="1654">
        <f t="shared" ref="HS840:HX840" si="1530">HS154</f>
        <v>0</v>
      </c>
      <c r="HT840" s="1654">
        <f t="shared" si="1530"/>
        <v>13.009523317425003</v>
      </c>
      <c r="HU840" s="1654">
        <f t="shared" si="1530"/>
        <v>56.9155074000208</v>
      </c>
      <c r="HV840" s="1654">
        <f t="shared" si="1530"/>
        <v>0</v>
      </c>
      <c r="HW840" s="1654">
        <f t="shared" si="1530"/>
        <v>0</v>
      </c>
      <c r="HX840" s="1654">
        <f t="shared" si="1530"/>
        <v>0</v>
      </c>
      <c r="HY840" s="1654"/>
      <c r="HZ840" s="326"/>
      <c r="IA840" s="1415" t="s">
        <v>3057</v>
      </c>
      <c r="IB840" s="284"/>
      <c r="ID840" s="323">
        <f t="shared" si="907"/>
        <v>0</v>
      </c>
      <c r="IG840" s="323">
        <f t="shared" si="880"/>
        <v>0</v>
      </c>
      <c r="IH840" s="284"/>
      <c r="IJ840" s="323">
        <f t="shared" si="881"/>
        <v>0</v>
      </c>
      <c r="IK840" s="327"/>
      <c r="IM840" s="323">
        <f t="shared" si="882"/>
        <v>0</v>
      </c>
      <c r="IP840" s="323">
        <f t="shared" si="883"/>
        <v>0</v>
      </c>
      <c r="IQ840" s="327"/>
      <c r="IR840" s="327"/>
      <c r="IS840" s="323">
        <f t="shared" si="884"/>
        <v>0</v>
      </c>
      <c r="IT840" s="327"/>
      <c r="IU840" s="327"/>
      <c r="IV840" s="323">
        <f t="shared" si="885"/>
        <v>0</v>
      </c>
      <c r="IW840" s="327">
        <v>122.21989487944499</v>
      </c>
      <c r="IX840" s="327">
        <f t="shared" si="1378"/>
        <v>0</v>
      </c>
      <c r="IY840" s="323">
        <f>IW840+IX840</f>
        <v>122.21989487944499</v>
      </c>
      <c r="IZ840" s="327">
        <f t="shared" si="1439"/>
        <v>82.310061825909614</v>
      </c>
      <c r="JA840" s="327">
        <f t="shared" si="1440"/>
        <v>61.428439796234954</v>
      </c>
      <c r="JB840" s="323">
        <f t="shared" si="1458"/>
        <v>143.73850162214455</v>
      </c>
      <c r="JC840" s="327">
        <f t="shared" si="1441"/>
        <v>76.928006442675667</v>
      </c>
      <c r="JD840" s="327">
        <f t="shared" si="1442"/>
        <v>69.525466806715542</v>
      </c>
      <c r="JE840" s="323">
        <f t="shared" si="1459"/>
        <v>146.45347324939121</v>
      </c>
      <c r="JF840" s="327">
        <f t="shared" si="1460"/>
        <v>142.94890995657548</v>
      </c>
      <c r="JG840" s="327">
        <f t="shared" si="1372"/>
        <v>66.613720803441808</v>
      </c>
      <c r="JH840" s="323">
        <f t="shared" si="1406"/>
        <v>209.56263076001727</v>
      </c>
      <c r="JI840" s="327">
        <f t="shared" si="1476"/>
        <v>136.90248644169188</v>
      </c>
      <c r="JJ840" s="327">
        <f t="shared" si="1405"/>
        <v>59.57778099605401</v>
      </c>
      <c r="JK840" s="323">
        <f t="shared" si="1398"/>
        <v>196.48026743774588</v>
      </c>
      <c r="JL840" s="327">
        <f t="shared" si="1407"/>
        <v>69.925030717445807</v>
      </c>
      <c r="JM840" s="327">
        <f>FISC!AK436</f>
        <v>96.078599206932324</v>
      </c>
      <c r="JN840" s="323">
        <f>FISC!AK1146</f>
        <v>192.15719841386465</v>
      </c>
      <c r="JO840" s="327">
        <f>FISC!AK437</f>
        <v>111.16207639181843</v>
      </c>
      <c r="JP840" s="327">
        <f>FISC!AL436</f>
        <v>111.16207639181843</v>
      </c>
      <c r="JQ840" s="323">
        <f>FISC!AL1146</f>
        <v>222.32415278363686</v>
      </c>
      <c r="JR840" s="327">
        <f>FISC!AL437</f>
        <v>116.47519139786675</v>
      </c>
      <c r="JS840" s="327">
        <f>FISC!AM436</f>
        <v>116.47519139786675</v>
      </c>
      <c r="JT840" s="323">
        <f>FISC!AM1146</f>
        <v>232.9503827957335</v>
      </c>
      <c r="JU840" s="327">
        <f>FISC!AM437</f>
        <v>121.99338547456286</v>
      </c>
      <c r="JV840" s="327">
        <f>FISC!AN436</f>
        <v>121.99338547456286</v>
      </c>
      <c r="JW840" s="323">
        <f>FISC!AN1146</f>
        <v>243.98677094912571</v>
      </c>
      <c r="JX840" s="327">
        <f>FISC!AN437</f>
        <v>126.8463475360462</v>
      </c>
      <c r="JY840" s="327">
        <f>FISC!AO436</f>
        <v>126.8463475360462</v>
      </c>
      <c r="JZ840" s="323">
        <f>FISC!AO1146</f>
        <v>253.69269507209239</v>
      </c>
      <c r="KA840" s="327">
        <f>FISC!AO437</f>
        <v>135.62690655011045</v>
      </c>
      <c r="KB840" s="327">
        <f>FISC!AP436</f>
        <v>135.62690655011045</v>
      </c>
      <c r="KC840" s="323">
        <f>FISC!AP1146</f>
        <v>271.2538131002209</v>
      </c>
      <c r="KD840" s="327">
        <f>FISC!AP437</f>
        <v>139.69571374661376</v>
      </c>
      <c r="KE840" s="327">
        <f>FISC!AQ436</f>
        <v>139.69571374661376</v>
      </c>
      <c r="KF840" s="323">
        <f>FISC!AQ1146</f>
        <v>279.39142749322752</v>
      </c>
      <c r="KG840" s="327">
        <f>FISC!AW437</f>
        <v>0</v>
      </c>
      <c r="KH840" s="327">
        <f>FISC!AX436</f>
        <v>0</v>
      </c>
      <c r="KI840" s="323">
        <f>FISC!AR1146</f>
        <v>287.77317031802437</v>
      </c>
      <c r="KJ840" s="327">
        <f>FISC!AZ437</f>
        <v>0</v>
      </c>
      <c r="KK840" s="327">
        <f>FISC!BA436</f>
        <v>0</v>
      </c>
      <c r="KL840" s="323">
        <f>FISC!AS1146</f>
        <v>296.40636542756511</v>
      </c>
      <c r="KM840" s="327">
        <f>FISC!BC437</f>
        <v>0</v>
      </c>
      <c r="KN840" s="327">
        <f>FISC!BD436</f>
        <v>0</v>
      </c>
      <c r="KO840" s="323">
        <f>FISC!AT1146</f>
        <v>305.29855639039209</v>
      </c>
      <c r="KU840" s="326"/>
      <c r="KV840" s="327"/>
    </row>
    <row r="841" spans="1:308">
      <c r="A841" s="279"/>
      <c r="D841" s="1415" t="s">
        <v>3058</v>
      </c>
      <c r="E841" s="323"/>
      <c r="F841" s="323"/>
      <c r="G841" s="323"/>
      <c r="H841" s="323"/>
      <c r="I841" s="323"/>
      <c r="J841" s="323"/>
      <c r="K841" s="323"/>
      <c r="L841" s="323"/>
      <c r="M841" s="323"/>
      <c r="N841" s="323"/>
      <c r="O841" s="323"/>
      <c r="P841" s="323"/>
      <c r="Q841" s="323"/>
      <c r="R841" s="323"/>
      <c r="S841" s="323"/>
      <c r="T841" s="323"/>
      <c r="U841" s="323"/>
      <c r="V841" s="323"/>
      <c r="W841" s="323"/>
      <c r="X841" s="323"/>
      <c r="Y841" s="323"/>
      <c r="Z841" s="323"/>
      <c r="AA841" s="323"/>
      <c r="AB841" s="323"/>
      <c r="AC841" s="323"/>
      <c r="AD841" s="323"/>
      <c r="AE841" s="323"/>
      <c r="AF841" s="323"/>
      <c r="AG841" s="323"/>
      <c r="AH841" s="323"/>
      <c r="AI841" s="323"/>
      <c r="AJ841" s="323"/>
      <c r="AK841" s="323"/>
      <c r="AL841" s="323"/>
      <c r="AM841" s="323"/>
      <c r="AN841" s="323"/>
      <c r="AO841" s="323"/>
      <c r="AP841" s="323"/>
      <c r="AQ841" s="323"/>
      <c r="AR841" s="323"/>
      <c r="AS841" s="323"/>
      <c r="AT841" s="323"/>
      <c r="AU841" s="323"/>
      <c r="AV841" s="323"/>
      <c r="AW841" s="323"/>
      <c r="AX841" s="323"/>
      <c r="AY841" s="323"/>
      <c r="AZ841" s="323"/>
      <c r="BA841" s="323"/>
      <c r="BB841" s="323"/>
      <c r="BC841" s="323"/>
      <c r="BD841" s="323"/>
      <c r="BE841" s="323"/>
      <c r="BF841" s="323"/>
      <c r="BG841" s="323"/>
      <c r="BH841" s="323"/>
      <c r="BI841" s="323"/>
      <c r="BJ841" s="323"/>
      <c r="BK841" s="323"/>
      <c r="BL841" s="323"/>
      <c r="BM841" s="323"/>
      <c r="BN841" s="323"/>
      <c r="BO841" s="323"/>
      <c r="BP841" s="323"/>
      <c r="BQ841" s="323"/>
      <c r="BR841" s="323"/>
      <c r="BS841" s="323"/>
      <c r="BT841" s="323"/>
      <c r="BU841" s="323"/>
      <c r="BV841" s="323"/>
      <c r="BW841" s="323"/>
      <c r="BX841" s="323"/>
      <c r="BY841" s="323"/>
      <c r="BZ841" s="323"/>
      <c r="CA841" s="323"/>
      <c r="CB841" s="323"/>
      <c r="CC841" s="323"/>
      <c r="CD841" s="329"/>
      <c r="CE841" s="1432">
        <v>0.77066292599999997</v>
      </c>
      <c r="CF841" s="1432">
        <v>0.67621640999999999</v>
      </c>
      <c r="CG841" s="1432">
        <v>0.73833164799999995</v>
      </c>
      <c r="CH841" s="1432">
        <v>0.69289629500000005</v>
      </c>
      <c r="CI841" s="1432">
        <v>0.64224642799999998</v>
      </c>
      <c r="CJ841" s="1432">
        <v>0.72030953499999995</v>
      </c>
      <c r="CK841" s="1432">
        <v>0.67361932899999999</v>
      </c>
      <c r="CL841" s="1432">
        <v>0.58965106700000003</v>
      </c>
      <c r="CM841" s="1432">
        <v>0.60477277299999999</v>
      </c>
      <c r="CN841" s="1432">
        <v>0.55043867999999996</v>
      </c>
      <c r="CO841" s="1432">
        <v>0.67486054500000003</v>
      </c>
      <c r="CP841" s="1433">
        <v>0.709254893</v>
      </c>
      <c r="CQ841" s="1432">
        <v>0.64051576489999995</v>
      </c>
      <c r="CR841" s="1432">
        <v>0.73642008814000004</v>
      </c>
      <c r="CS841" s="1432">
        <v>0.68999256619000005</v>
      </c>
      <c r="CT841" s="1432">
        <v>0.68641791488000004</v>
      </c>
      <c r="CU841" s="1432">
        <v>0.68865280364000003</v>
      </c>
      <c r="CV841" s="1432">
        <v>0.70344162925999998</v>
      </c>
      <c r="CW841" s="1432">
        <v>0.68109045918</v>
      </c>
      <c r="CX841" s="323"/>
      <c r="CY841" s="323"/>
      <c r="CZ841" s="323"/>
      <c r="DA841" s="323"/>
      <c r="DB841" s="1269"/>
      <c r="DC841" s="1654">
        <f t="shared" ref="DC841:FN841" si="1531">DC435</f>
        <v>0</v>
      </c>
      <c r="DD841" s="1654">
        <f t="shared" si="1531"/>
        <v>0</v>
      </c>
      <c r="DE841" s="1654">
        <f t="shared" si="1531"/>
        <v>0</v>
      </c>
      <c r="DF841" s="1654">
        <f t="shared" si="1531"/>
        <v>0</v>
      </c>
      <c r="DG841" s="1654">
        <f t="shared" si="1531"/>
        <v>0</v>
      </c>
      <c r="DH841" s="1654">
        <f t="shared" si="1531"/>
        <v>0</v>
      </c>
      <c r="DI841" s="1654">
        <f t="shared" si="1531"/>
        <v>0</v>
      </c>
      <c r="DJ841" s="1654">
        <f t="shared" si="1531"/>
        <v>0</v>
      </c>
      <c r="DK841" s="1654">
        <f t="shared" si="1531"/>
        <v>0</v>
      </c>
      <c r="DL841" s="1654">
        <f t="shared" si="1531"/>
        <v>0</v>
      </c>
      <c r="DM841" s="1654">
        <f t="shared" si="1531"/>
        <v>0</v>
      </c>
      <c r="DN841" s="1654">
        <f t="shared" si="1531"/>
        <v>0</v>
      </c>
      <c r="DO841" s="1654">
        <f t="shared" si="1531"/>
        <v>0</v>
      </c>
      <c r="DP841" s="1654">
        <f t="shared" si="1531"/>
        <v>0</v>
      </c>
      <c r="DQ841" s="1654">
        <f t="shared" si="1531"/>
        <v>0</v>
      </c>
      <c r="DR841" s="1654">
        <f t="shared" si="1531"/>
        <v>0</v>
      </c>
      <c r="DS841" s="1654">
        <f t="shared" si="1531"/>
        <v>0</v>
      </c>
      <c r="DT841" s="1654">
        <f t="shared" si="1531"/>
        <v>0</v>
      </c>
      <c r="DU841" s="1654">
        <f t="shared" si="1531"/>
        <v>0</v>
      </c>
      <c r="DV841" s="1654">
        <f t="shared" si="1531"/>
        <v>0</v>
      </c>
      <c r="DW841" s="1654">
        <f t="shared" si="1531"/>
        <v>0</v>
      </c>
      <c r="DX841" s="1654">
        <f t="shared" si="1531"/>
        <v>0</v>
      </c>
      <c r="DY841" s="1654">
        <f t="shared" si="1531"/>
        <v>0</v>
      </c>
      <c r="DZ841" s="1654">
        <f t="shared" si="1531"/>
        <v>0</v>
      </c>
      <c r="EA841" s="1654">
        <f t="shared" si="1531"/>
        <v>0</v>
      </c>
      <c r="EB841" s="1654">
        <f t="shared" si="1531"/>
        <v>0</v>
      </c>
      <c r="EC841" s="1654">
        <f t="shared" si="1531"/>
        <v>0</v>
      </c>
      <c r="ED841" s="1654">
        <f t="shared" si="1531"/>
        <v>0</v>
      </c>
      <c r="EE841" s="1654">
        <f t="shared" si="1531"/>
        <v>0</v>
      </c>
      <c r="EF841" s="1654">
        <f t="shared" si="1531"/>
        <v>0</v>
      </c>
      <c r="EG841" s="1654">
        <f t="shared" si="1531"/>
        <v>0</v>
      </c>
      <c r="EH841" s="1654">
        <f t="shared" si="1531"/>
        <v>0</v>
      </c>
      <c r="EI841" s="1654">
        <f t="shared" si="1531"/>
        <v>0</v>
      </c>
      <c r="EJ841" s="1654">
        <f t="shared" si="1531"/>
        <v>0</v>
      </c>
      <c r="EK841" s="1654">
        <f t="shared" si="1531"/>
        <v>0</v>
      </c>
      <c r="EL841" s="1654">
        <f t="shared" si="1531"/>
        <v>0</v>
      </c>
      <c r="EM841" s="1654">
        <f t="shared" si="1531"/>
        <v>0</v>
      </c>
      <c r="EN841" s="1654">
        <f t="shared" si="1531"/>
        <v>0</v>
      </c>
      <c r="EO841" s="1654">
        <f t="shared" si="1531"/>
        <v>0</v>
      </c>
      <c r="EP841" s="1654">
        <f t="shared" si="1531"/>
        <v>0</v>
      </c>
      <c r="EQ841" s="1654">
        <f t="shared" si="1531"/>
        <v>0</v>
      </c>
      <c r="ER841" s="1654">
        <f t="shared" si="1531"/>
        <v>0</v>
      </c>
      <c r="ES841" s="1654">
        <f t="shared" si="1531"/>
        <v>0</v>
      </c>
      <c r="ET841" s="1654">
        <f t="shared" si="1531"/>
        <v>0</v>
      </c>
      <c r="EU841" s="1654">
        <f t="shared" si="1531"/>
        <v>0</v>
      </c>
      <c r="EV841" s="1654">
        <f t="shared" si="1531"/>
        <v>0</v>
      </c>
      <c r="EW841" s="1654">
        <f t="shared" si="1531"/>
        <v>0</v>
      </c>
      <c r="EX841" s="1654">
        <f t="shared" si="1531"/>
        <v>0</v>
      </c>
      <c r="EY841" s="1654">
        <f t="shared" si="1531"/>
        <v>0</v>
      </c>
      <c r="EZ841" s="1654">
        <f t="shared" si="1531"/>
        <v>0</v>
      </c>
      <c r="FA841" s="1654">
        <f t="shared" si="1531"/>
        <v>0</v>
      </c>
      <c r="FB841" s="1654">
        <f t="shared" si="1531"/>
        <v>0</v>
      </c>
      <c r="FC841" s="1654">
        <f t="shared" si="1531"/>
        <v>0</v>
      </c>
      <c r="FD841" s="1654">
        <f t="shared" si="1531"/>
        <v>0</v>
      </c>
      <c r="FE841" s="1654">
        <f t="shared" si="1531"/>
        <v>0</v>
      </c>
      <c r="FF841" s="1654">
        <f t="shared" si="1531"/>
        <v>0</v>
      </c>
      <c r="FG841" s="1654">
        <f t="shared" si="1531"/>
        <v>0</v>
      </c>
      <c r="FH841" s="1654">
        <f t="shared" si="1531"/>
        <v>0</v>
      </c>
      <c r="FI841" s="1654">
        <f t="shared" si="1531"/>
        <v>0</v>
      </c>
      <c r="FJ841" s="1654">
        <f t="shared" si="1531"/>
        <v>0</v>
      </c>
      <c r="FK841" s="1654">
        <f t="shared" si="1531"/>
        <v>0</v>
      </c>
      <c r="FL841" s="1654">
        <f t="shared" si="1531"/>
        <v>0</v>
      </c>
      <c r="FM841" s="1654">
        <f t="shared" si="1531"/>
        <v>0</v>
      </c>
      <c r="FN841" s="1654">
        <f t="shared" si="1531"/>
        <v>0</v>
      </c>
      <c r="FO841" s="1654">
        <f t="shared" ref="FO841:HK841" si="1532">FO435</f>
        <v>0</v>
      </c>
      <c r="FP841" s="1654">
        <f t="shared" si="1532"/>
        <v>0</v>
      </c>
      <c r="FQ841" s="1654">
        <f t="shared" si="1532"/>
        <v>0</v>
      </c>
      <c r="FR841" s="1654">
        <f t="shared" si="1532"/>
        <v>0</v>
      </c>
      <c r="FS841" s="1654">
        <f t="shared" si="1532"/>
        <v>0</v>
      </c>
      <c r="FT841" s="1654">
        <f t="shared" si="1532"/>
        <v>0</v>
      </c>
      <c r="FU841" s="1654">
        <f t="shared" si="1532"/>
        <v>0</v>
      </c>
      <c r="FV841" s="1654">
        <f t="shared" si="1532"/>
        <v>0</v>
      </c>
      <c r="FW841" s="1654">
        <f t="shared" si="1532"/>
        <v>1.0837539477113503</v>
      </c>
      <c r="FX841" s="1654">
        <f t="shared" si="1532"/>
        <v>1.1663178391680293</v>
      </c>
      <c r="FY841" s="1654">
        <f t="shared" si="1532"/>
        <v>1.1001783191763348</v>
      </c>
      <c r="FZ841" s="1654">
        <f t="shared" si="1532"/>
        <v>0.99185076430458929</v>
      </c>
      <c r="GA841" s="1654">
        <f t="shared" si="1532"/>
        <v>0.98033894384328968</v>
      </c>
      <c r="GB841" s="1654">
        <f t="shared" si="1532"/>
        <v>0.94836407593313243</v>
      </c>
      <c r="GC841" s="1654">
        <f t="shared" si="1532"/>
        <v>1.0492069098999999</v>
      </c>
      <c r="GD841" s="1654">
        <f t="shared" si="1532"/>
        <v>0.93045151773000001</v>
      </c>
      <c r="GE841" s="1654">
        <f t="shared" si="1532"/>
        <v>1.1183841883199999</v>
      </c>
      <c r="GF841" s="1654">
        <f t="shared" si="1532"/>
        <v>1.1779837591148656</v>
      </c>
      <c r="GG841" s="1654">
        <f t="shared" si="1532"/>
        <v>1.1722366772700004</v>
      </c>
      <c r="GH841" s="1654">
        <f t="shared" si="1532"/>
        <v>1.2878633637100028</v>
      </c>
      <c r="GI841" s="1654">
        <f t="shared" si="1532"/>
        <v>0</v>
      </c>
      <c r="GJ841" s="1654">
        <f t="shared" si="1532"/>
        <v>0</v>
      </c>
      <c r="GK841" s="1654">
        <f t="shared" si="1532"/>
        <v>0</v>
      </c>
      <c r="GL841" s="1654">
        <f t="shared" si="1532"/>
        <v>0</v>
      </c>
      <c r="GM841" s="1654">
        <f t="shared" si="1532"/>
        <v>0</v>
      </c>
      <c r="GN841" s="1654">
        <f t="shared" si="1532"/>
        <v>0</v>
      </c>
      <c r="GO841" s="1654">
        <f t="shared" si="1532"/>
        <v>0</v>
      </c>
      <c r="GP841" s="1654">
        <f t="shared" si="1532"/>
        <v>0</v>
      </c>
      <c r="GQ841" s="1654">
        <f t="shared" si="1532"/>
        <v>0</v>
      </c>
      <c r="GR841" s="1654">
        <f t="shared" si="1532"/>
        <v>0</v>
      </c>
      <c r="GS841" s="1654">
        <f t="shared" si="1532"/>
        <v>0</v>
      </c>
      <c r="GT841" s="1654">
        <f t="shared" si="1532"/>
        <v>0</v>
      </c>
      <c r="GU841" s="1654">
        <f t="shared" si="1532"/>
        <v>1.9217092337999999</v>
      </c>
      <c r="GV841" s="1654">
        <f t="shared" si="1532"/>
        <v>2.2274812110000002</v>
      </c>
      <c r="GW841" s="1654">
        <f t="shared" si="1532"/>
        <v>2.2418770073199998</v>
      </c>
      <c r="GX841" s="1654">
        <f t="shared" si="1532"/>
        <v>2.29056076629</v>
      </c>
      <c r="GY841" s="1654">
        <f t="shared" si="1532"/>
        <v>2.0612422753200002</v>
      </c>
      <c r="GZ841" s="1654">
        <f t="shared" si="1532"/>
        <v>2.1457213335800001</v>
      </c>
      <c r="HA841" s="1654">
        <f t="shared" si="1532"/>
        <v>2.2639101732899998</v>
      </c>
      <c r="HB841" s="1654">
        <f t="shared" si="1532"/>
        <v>2.1925374570231999</v>
      </c>
      <c r="HC841" s="1654">
        <f t="shared" si="1532"/>
        <v>2.2617460433892003</v>
      </c>
      <c r="HD841" s="1654">
        <f t="shared" si="1532"/>
        <v>1.7822107191800001</v>
      </c>
      <c r="HE841" s="1654">
        <f t="shared" si="1532"/>
        <v>2.06722526726</v>
      </c>
      <c r="HF841" s="1654">
        <f t="shared" si="1532"/>
        <v>2.1364147207899999</v>
      </c>
      <c r="HG841" s="1654">
        <f t="shared" si="1532"/>
        <v>2.3489911910500001</v>
      </c>
      <c r="HH841" s="1654">
        <f t="shared" si="1532"/>
        <v>2.4842257622399999</v>
      </c>
      <c r="HI841" s="1654">
        <f t="shared" si="1532"/>
        <v>2.2972412095100001</v>
      </c>
      <c r="HJ841" s="1654">
        <f t="shared" si="1532"/>
        <v>2.50521087575</v>
      </c>
      <c r="HK841" s="1654">
        <f t="shared" si="1532"/>
        <v>2.2585284374299999</v>
      </c>
      <c r="HL841" s="1654">
        <f>HL435</f>
        <v>2.0662382325799999</v>
      </c>
      <c r="HM841" s="1654">
        <f t="shared" ref="HM841:HR841" si="1533">HM435</f>
        <v>1.8484495618699939</v>
      </c>
      <c r="HN841" s="1654">
        <f t="shared" si="1533"/>
        <v>1.6122617013380001</v>
      </c>
      <c r="HO841" s="1654">
        <f t="shared" si="1533"/>
        <v>1.6583459134720011</v>
      </c>
      <c r="HP841" s="1654">
        <f t="shared" si="1533"/>
        <v>1.4885256647299983</v>
      </c>
      <c r="HQ841" s="1654">
        <f t="shared" si="1533"/>
        <v>1.8013450465000038</v>
      </c>
      <c r="HR841" s="1654">
        <f t="shared" si="1533"/>
        <v>1.8523016233730722</v>
      </c>
      <c r="HS841" s="1654">
        <f t="shared" ref="HS841:HX841" si="1534">HS435</f>
        <v>1.8796638455200003</v>
      </c>
      <c r="HT841" s="1654">
        <f t="shared" si="1534"/>
        <v>2.0985225183199998</v>
      </c>
      <c r="HU841" s="1654">
        <f t="shared" si="1534"/>
        <v>2.2876837613499998</v>
      </c>
      <c r="HV841" s="1654">
        <f t="shared" si="1534"/>
        <v>2.0459910551899991</v>
      </c>
      <c r="HW841" s="1654">
        <f t="shared" si="1534"/>
        <v>2.1126348601800027</v>
      </c>
      <c r="HX841" s="1654">
        <f t="shared" si="1534"/>
        <v>2.4045416691300008</v>
      </c>
      <c r="HY841" s="1654"/>
      <c r="HZ841" s="326"/>
      <c r="IA841" s="1415" t="s">
        <v>3058</v>
      </c>
      <c r="IB841" s="284"/>
      <c r="ID841" s="323"/>
      <c r="IG841" s="323"/>
      <c r="IH841" s="284"/>
      <c r="IJ841" s="323"/>
      <c r="IK841" s="327"/>
      <c r="IM841" s="323"/>
      <c r="IP841" s="323"/>
      <c r="IQ841" s="327"/>
      <c r="IR841" s="327"/>
      <c r="IS841" s="323"/>
      <c r="IT841" s="327"/>
      <c r="IU841" s="327"/>
      <c r="IV841" s="323"/>
      <c r="IW841" s="1548">
        <v>6.6782439365000004</v>
      </c>
      <c r="IX841" s="327">
        <f t="shared" si="1378"/>
        <v>0</v>
      </c>
      <c r="IY841" s="323">
        <f t="shared" si="1475"/>
        <v>6.6782439365000004</v>
      </c>
      <c r="IZ841" s="327">
        <f t="shared" si="1439"/>
        <v>6.2708038901367251</v>
      </c>
      <c r="JA841" s="327">
        <f t="shared" si="1440"/>
        <v>6.7361264160448684</v>
      </c>
      <c r="JB841" s="323">
        <f t="shared" si="1458"/>
        <v>13.006930306181594</v>
      </c>
      <c r="JC841" s="327">
        <f t="shared" si="1441"/>
        <v>0</v>
      </c>
      <c r="JD841" s="327">
        <f t="shared" si="1442"/>
        <v>0</v>
      </c>
      <c r="JE841" s="323">
        <f t="shared" si="1459"/>
        <v>0</v>
      </c>
      <c r="JF841" s="327">
        <f t="shared" si="1460"/>
        <v>12.888591827309998</v>
      </c>
      <c r="JG841" s="327">
        <f t="shared" si="1372"/>
        <v>12.7040443809324</v>
      </c>
      <c r="JH841" s="323">
        <f t="shared" si="1406"/>
        <v>25.592636208242396</v>
      </c>
      <c r="JI841" s="327">
        <f t="shared" si="1476"/>
        <v>13.96043570856</v>
      </c>
      <c r="JJ841" s="327">
        <f t="shared" si="1405"/>
        <v>10.261229511283069</v>
      </c>
      <c r="JK841" s="323">
        <f t="shared" si="1398"/>
        <v>24.221665219843068</v>
      </c>
      <c r="JL841" s="327">
        <f t="shared" si="1407"/>
        <v>12.829037709690002</v>
      </c>
      <c r="JM841" s="279">
        <f t="shared" ref="JM841:JM860" si="1535">JN841-JL841</f>
        <v>13.155604764601602</v>
      </c>
      <c r="JN841" s="323">
        <f>FISC!AK1147</f>
        <v>25.984642474291604</v>
      </c>
      <c r="JO841" s="327">
        <f>JQ841*0.5</f>
        <v>13.609052042903</v>
      </c>
      <c r="JP841" s="279">
        <f t="shared" ref="JP841:JP860" si="1536">JQ841-JO841</f>
        <v>13.609052042903</v>
      </c>
      <c r="JQ841" s="323">
        <f>FISC!AL1147</f>
        <v>27.218104085806001</v>
      </c>
      <c r="JR841" s="327">
        <f>JT841*0.5</f>
        <v>14.969957247193301</v>
      </c>
      <c r="JS841" s="279">
        <f t="shared" ref="JS841:JS860" si="1537">JT841-JR841</f>
        <v>14.969957247193301</v>
      </c>
      <c r="JT841" s="323">
        <f>FISC!AM1147</f>
        <v>29.939914494386603</v>
      </c>
      <c r="JU841" s="327">
        <f>JW841*0.5</f>
        <v>16.466952971912633</v>
      </c>
      <c r="JV841" s="279">
        <f t="shared" ref="JV841:JV860" si="1538">JW841-JU841</f>
        <v>16.466952971912633</v>
      </c>
      <c r="JW841" s="323">
        <f>FISC!AN1147</f>
        <v>32.933905943825266</v>
      </c>
      <c r="JX841" s="327">
        <f>JZ841*0.5</f>
        <v>18.113648269103898</v>
      </c>
      <c r="JY841" s="279">
        <f t="shared" ref="JY841:JY860" si="1539">JZ841-JX841</f>
        <v>18.113648269103898</v>
      </c>
      <c r="JZ841" s="323">
        <f>FISC!AO1147</f>
        <v>36.227296538207796</v>
      </c>
      <c r="KA841" s="327">
        <f>KC841*0.5</f>
        <v>19.893593707309787</v>
      </c>
      <c r="KB841" s="279">
        <f t="shared" ref="KB841:KB853" si="1540">KC841-KA841</f>
        <v>19.893593707309787</v>
      </c>
      <c r="KC841" s="323">
        <f>FISC!AP1147</f>
        <v>39.787187414619574</v>
      </c>
      <c r="KD841" s="327">
        <f>KF841*0.5</f>
        <v>21.84844624959111</v>
      </c>
      <c r="KE841" s="279">
        <f t="shared" ref="KE841:KE853" si="1541">KF841-KD841</f>
        <v>21.84844624959111</v>
      </c>
      <c r="KF841" s="323">
        <f>FISC!AQ1147</f>
        <v>43.696892499182219</v>
      </c>
      <c r="KG841" s="327">
        <f>KI841*0.5</f>
        <v>23.995393217760885</v>
      </c>
      <c r="KH841" s="279">
        <f t="shared" ref="KH841:KH853" si="1542">KI841-KG841</f>
        <v>23.995393217760885</v>
      </c>
      <c r="KI841" s="323">
        <f>FISC!AR1147</f>
        <v>47.99078643552177</v>
      </c>
      <c r="KJ841" s="327">
        <f>KL841*0.5</f>
        <v>26.353310853202693</v>
      </c>
      <c r="KK841" s="279">
        <f t="shared" ref="KK841:KK853" si="1543">KL841-KJ841</f>
        <v>26.353310853202693</v>
      </c>
      <c r="KL841" s="323">
        <f>FISC!AS1147</f>
        <v>52.706621706405386</v>
      </c>
      <c r="KM841" s="327">
        <f>KO841*0.5</f>
        <v>28.942930279278723</v>
      </c>
      <c r="KN841" s="279">
        <f t="shared" ref="KN841:KN853" si="1544">KO841-KM841</f>
        <v>28.942930279278723</v>
      </c>
      <c r="KO841" s="323">
        <f>FISC!AT1147</f>
        <v>57.885860558557447</v>
      </c>
      <c r="KU841" s="326"/>
      <c r="KV841" s="327"/>
    </row>
    <row r="842" spans="1:308">
      <c r="A842" s="279"/>
      <c r="D842" s="1232" t="s">
        <v>521</v>
      </c>
      <c r="E842" s="323"/>
      <c r="F842" s="323"/>
      <c r="G842" s="323"/>
      <c r="H842" s="323"/>
      <c r="I842" s="323"/>
      <c r="J842" s="323"/>
      <c r="K842" s="323"/>
      <c r="L842" s="323"/>
      <c r="M842" s="323"/>
      <c r="N842" s="323"/>
      <c r="O842" s="323"/>
      <c r="P842" s="323"/>
      <c r="Q842" s="323"/>
      <c r="R842" s="323"/>
      <c r="S842" s="323"/>
      <c r="T842" s="323"/>
      <c r="U842" s="323"/>
      <c r="V842" s="323"/>
      <c r="W842" s="323"/>
      <c r="X842" s="323"/>
      <c r="Y842" s="323"/>
      <c r="Z842" s="323"/>
      <c r="AA842" s="323"/>
      <c r="AB842" s="323"/>
      <c r="AC842" s="323"/>
      <c r="AD842" s="323"/>
      <c r="AE842" s="323"/>
      <c r="AF842" s="323"/>
      <c r="AG842" s="323"/>
      <c r="AH842" s="323"/>
      <c r="AI842" s="323"/>
      <c r="AJ842" s="323"/>
      <c r="AK842" s="323"/>
      <c r="AL842" s="323"/>
      <c r="AM842" s="323"/>
      <c r="AN842" s="323"/>
      <c r="AO842" s="323"/>
      <c r="AP842" s="323"/>
      <c r="AQ842" s="323"/>
      <c r="AR842" s="323"/>
      <c r="AS842" s="323"/>
      <c r="AT842" s="323"/>
      <c r="AU842" s="323"/>
      <c r="AV842" s="323"/>
      <c r="AW842" s="323"/>
      <c r="AX842" s="323"/>
      <c r="AY842" s="323"/>
      <c r="AZ842" s="323"/>
      <c r="BA842" s="323"/>
      <c r="BB842" s="323"/>
      <c r="BC842" s="323"/>
      <c r="BD842" s="323"/>
      <c r="BE842" s="323"/>
      <c r="BF842" s="323"/>
      <c r="BG842" s="323"/>
      <c r="BH842" s="323"/>
      <c r="BI842" s="323"/>
      <c r="BJ842" s="323"/>
      <c r="BK842" s="323"/>
      <c r="BL842" s="323"/>
      <c r="BM842" s="323"/>
      <c r="BN842" s="323"/>
      <c r="BO842" s="323"/>
      <c r="BP842" s="323"/>
      <c r="BQ842" s="323"/>
      <c r="BR842" s="323"/>
      <c r="BS842" s="323"/>
      <c r="BT842" s="323"/>
      <c r="BU842" s="323"/>
      <c r="BV842" s="323"/>
      <c r="BW842" s="323"/>
      <c r="BX842" s="323"/>
      <c r="BY842" s="323"/>
      <c r="BZ842" s="323"/>
      <c r="CA842" s="323"/>
      <c r="CB842" s="323"/>
      <c r="CC842" s="323"/>
      <c r="CD842" s="329"/>
      <c r="CE842" s="323">
        <f t="shared" ref="CE842:DJ842" si="1545">CE436</f>
        <v>0</v>
      </c>
      <c r="CF842" s="323">
        <f t="shared" si="1545"/>
        <v>0</v>
      </c>
      <c r="CG842" s="323">
        <f t="shared" si="1545"/>
        <v>0</v>
      </c>
      <c r="CH842" s="323">
        <f t="shared" si="1545"/>
        <v>0</v>
      </c>
      <c r="CI842" s="323">
        <f t="shared" si="1545"/>
        <v>0</v>
      </c>
      <c r="CJ842" s="323">
        <f t="shared" si="1545"/>
        <v>0</v>
      </c>
      <c r="CK842" s="323">
        <f t="shared" si="1545"/>
        <v>0</v>
      </c>
      <c r="CL842" s="323">
        <f t="shared" si="1545"/>
        <v>0</v>
      </c>
      <c r="CM842" s="323">
        <f t="shared" si="1545"/>
        <v>0</v>
      </c>
      <c r="CN842" s="323">
        <f t="shared" si="1545"/>
        <v>0</v>
      </c>
      <c r="CO842" s="323">
        <f t="shared" si="1545"/>
        <v>0</v>
      </c>
      <c r="CP842" s="325">
        <f t="shared" si="1545"/>
        <v>0</v>
      </c>
      <c r="CQ842" s="323">
        <f t="shared" si="1545"/>
        <v>0</v>
      </c>
      <c r="CR842" s="323">
        <f t="shared" si="1545"/>
        <v>0</v>
      </c>
      <c r="CS842" s="323">
        <f t="shared" si="1545"/>
        <v>0</v>
      </c>
      <c r="CT842" s="323">
        <f t="shared" si="1545"/>
        <v>0</v>
      </c>
      <c r="CU842" s="323">
        <f t="shared" si="1545"/>
        <v>0</v>
      </c>
      <c r="CV842" s="323">
        <f t="shared" si="1545"/>
        <v>0</v>
      </c>
      <c r="CW842" s="323">
        <f t="shared" si="1545"/>
        <v>0</v>
      </c>
      <c r="CX842" s="323">
        <f t="shared" si="1545"/>
        <v>0</v>
      </c>
      <c r="CY842" s="323">
        <f t="shared" si="1545"/>
        <v>0</v>
      </c>
      <c r="CZ842" s="323">
        <f t="shared" si="1545"/>
        <v>0</v>
      </c>
      <c r="DA842" s="323">
        <f t="shared" si="1545"/>
        <v>0</v>
      </c>
      <c r="DB842" s="1269">
        <f t="shared" si="1545"/>
        <v>0</v>
      </c>
      <c r="DC842" s="323">
        <f t="shared" si="1545"/>
        <v>0</v>
      </c>
      <c r="DD842" s="323">
        <f t="shared" si="1545"/>
        <v>0</v>
      </c>
      <c r="DE842" s="323">
        <f t="shared" si="1545"/>
        <v>0</v>
      </c>
      <c r="DF842" s="323">
        <f t="shared" si="1545"/>
        <v>0</v>
      </c>
      <c r="DG842" s="323">
        <f t="shared" si="1545"/>
        <v>0</v>
      </c>
      <c r="DH842" s="323">
        <f t="shared" si="1545"/>
        <v>0</v>
      </c>
      <c r="DI842" s="323">
        <f t="shared" si="1545"/>
        <v>0</v>
      </c>
      <c r="DJ842" s="323">
        <f t="shared" si="1545"/>
        <v>0</v>
      </c>
      <c r="DK842" s="323">
        <f t="shared" ref="DK842:EP842" si="1546">DK436</f>
        <v>0</v>
      </c>
      <c r="DL842" s="323">
        <f t="shared" si="1546"/>
        <v>0</v>
      </c>
      <c r="DM842" s="323">
        <f t="shared" si="1546"/>
        <v>0</v>
      </c>
      <c r="DN842" s="325">
        <f t="shared" si="1546"/>
        <v>0</v>
      </c>
      <c r="DO842" s="323">
        <f t="shared" si="1546"/>
        <v>0</v>
      </c>
      <c r="DP842" s="323">
        <f t="shared" si="1546"/>
        <v>0</v>
      </c>
      <c r="DQ842" s="323">
        <f t="shared" si="1546"/>
        <v>0</v>
      </c>
      <c r="DR842" s="323">
        <f t="shared" si="1546"/>
        <v>0</v>
      </c>
      <c r="DS842" s="323">
        <f t="shared" si="1546"/>
        <v>0</v>
      </c>
      <c r="DT842" s="323">
        <f t="shared" si="1546"/>
        <v>0</v>
      </c>
      <c r="DU842" s="323">
        <f t="shared" si="1546"/>
        <v>0</v>
      </c>
      <c r="DV842" s="323">
        <f t="shared" si="1546"/>
        <v>0</v>
      </c>
      <c r="DW842" s="323">
        <f t="shared" si="1546"/>
        <v>0</v>
      </c>
      <c r="DX842" s="323">
        <f t="shared" si="1546"/>
        <v>0</v>
      </c>
      <c r="DY842" s="323">
        <f t="shared" si="1546"/>
        <v>0</v>
      </c>
      <c r="DZ842" s="325">
        <f t="shared" si="1546"/>
        <v>0</v>
      </c>
      <c r="EA842" s="323">
        <f t="shared" si="1546"/>
        <v>0</v>
      </c>
      <c r="EB842" s="323">
        <f t="shared" si="1546"/>
        <v>0</v>
      </c>
      <c r="EC842" s="323">
        <f t="shared" si="1546"/>
        <v>0</v>
      </c>
      <c r="ED842" s="323">
        <f t="shared" si="1546"/>
        <v>0</v>
      </c>
      <c r="EE842" s="323">
        <f t="shared" si="1546"/>
        <v>0</v>
      </c>
      <c r="EF842" s="323">
        <f t="shared" si="1546"/>
        <v>0</v>
      </c>
      <c r="EG842" s="323">
        <f t="shared" si="1546"/>
        <v>0</v>
      </c>
      <c r="EH842" s="323">
        <f t="shared" si="1546"/>
        <v>0</v>
      </c>
      <c r="EI842" s="323">
        <f t="shared" si="1546"/>
        <v>0</v>
      </c>
      <c r="EJ842" s="323">
        <f t="shared" si="1546"/>
        <v>0</v>
      </c>
      <c r="EK842" s="323">
        <f t="shared" si="1546"/>
        <v>0</v>
      </c>
      <c r="EL842" s="325">
        <f t="shared" si="1546"/>
        <v>0</v>
      </c>
      <c r="EM842" s="323">
        <f t="shared" si="1546"/>
        <v>0</v>
      </c>
      <c r="EN842" s="323">
        <f t="shared" si="1546"/>
        <v>0</v>
      </c>
      <c r="EO842" s="323">
        <f t="shared" si="1546"/>
        <v>0</v>
      </c>
      <c r="EP842" s="323">
        <f t="shared" si="1546"/>
        <v>0</v>
      </c>
      <c r="EQ842" s="323">
        <f t="shared" ref="EQ842:FV842" si="1547">EQ436</f>
        <v>0</v>
      </c>
      <c r="ER842" s="323">
        <f t="shared" si="1547"/>
        <v>0</v>
      </c>
      <c r="ES842" s="323">
        <f t="shared" si="1547"/>
        <v>0</v>
      </c>
      <c r="ET842" s="323">
        <f t="shared" si="1547"/>
        <v>0</v>
      </c>
      <c r="EU842" s="323">
        <f t="shared" si="1547"/>
        <v>0</v>
      </c>
      <c r="EV842" s="323">
        <f t="shared" si="1547"/>
        <v>0</v>
      </c>
      <c r="EW842" s="323">
        <f t="shared" si="1547"/>
        <v>0</v>
      </c>
      <c r="EX842" s="325">
        <f t="shared" si="1547"/>
        <v>0</v>
      </c>
      <c r="EY842" s="323">
        <f t="shared" si="1547"/>
        <v>0</v>
      </c>
      <c r="EZ842" s="323">
        <f t="shared" si="1547"/>
        <v>0</v>
      </c>
      <c r="FA842" s="323">
        <f t="shared" si="1547"/>
        <v>0</v>
      </c>
      <c r="FB842" s="323">
        <f t="shared" si="1547"/>
        <v>0</v>
      </c>
      <c r="FC842" s="323">
        <f t="shared" si="1547"/>
        <v>0</v>
      </c>
      <c r="FD842" s="323">
        <f t="shared" si="1547"/>
        <v>0</v>
      </c>
      <c r="FE842" s="323">
        <f t="shared" si="1547"/>
        <v>0</v>
      </c>
      <c r="FF842" s="323">
        <f t="shared" si="1547"/>
        <v>0</v>
      </c>
      <c r="FG842" s="323">
        <f t="shared" si="1547"/>
        <v>0</v>
      </c>
      <c r="FH842" s="323">
        <f t="shared" si="1547"/>
        <v>0</v>
      </c>
      <c r="FI842" s="323">
        <f t="shared" si="1547"/>
        <v>0</v>
      </c>
      <c r="FJ842" s="325">
        <f t="shared" si="1547"/>
        <v>0</v>
      </c>
      <c r="FK842" s="323">
        <f t="shared" si="1547"/>
        <v>0</v>
      </c>
      <c r="FL842" s="323">
        <f t="shared" si="1547"/>
        <v>0</v>
      </c>
      <c r="FM842" s="323">
        <f t="shared" si="1547"/>
        <v>0</v>
      </c>
      <c r="FN842" s="323">
        <f t="shared" si="1547"/>
        <v>0</v>
      </c>
      <c r="FO842" s="323">
        <f t="shared" si="1547"/>
        <v>0</v>
      </c>
      <c r="FP842" s="323">
        <f t="shared" si="1547"/>
        <v>0</v>
      </c>
      <c r="FQ842" s="323">
        <f t="shared" si="1547"/>
        <v>0</v>
      </c>
      <c r="FR842" s="323">
        <f t="shared" si="1547"/>
        <v>0</v>
      </c>
      <c r="FS842" s="323">
        <f t="shared" si="1547"/>
        <v>0</v>
      </c>
      <c r="FT842" s="323">
        <f t="shared" si="1547"/>
        <v>0</v>
      </c>
      <c r="FU842" s="323">
        <f t="shared" si="1547"/>
        <v>0</v>
      </c>
      <c r="FV842" s="323">
        <f t="shared" si="1547"/>
        <v>0</v>
      </c>
      <c r="FW842" s="323">
        <v>0</v>
      </c>
      <c r="FX842" s="323">
        <v>0</v>
      </c>
      <c r="FY842" s="323">
        <v>0</v>
      </c>
      <c r="FZ842" s="323">
        <v>0</v>
      </c>
      <c r="GA842" s="323">
        <v>0</v>
      </c>
      <c r="GB842" s="323">
        <v>0</v>
      </c>
      <c r="GC842" s="323">
        <v>0</v>
      </c>
      <c r="GD842" s="323">
        <v>0</v>
      </c>
      <c r="GE842" s="323">
        <v>0</v>
      </c>
      <c r="GF842" s="323">
        <v>0</v>
      </c>
      <c r="GG842" s="323">
        <v>0</v>
      </c>
      <c r="GH842" s="323">
        <v>0</v>
      </c>
      <c r="GI842" s="323">
        <v>0</v>
      </c>
      <c r="GJ842" s="323">
        <v>0</v>
      </c>
      <c r="GK842" s="323">
        <v>0</v>
      </c>
      <c r="GL842" s="323">
        <v>0</v>
      </c>
      <c r="GM842" s="323">
        <v>0</v>
      </c>
      <c r="GN842" s="323">
        <v>0</v>
      </c>
      <c r="GO842" s="323">
        <v>0</v>
      </c>
      <c r="GP842" s="323">
        <v>0</v>
      </c>
      <c r="GQ842" s="323">
        <v>0</v>
      </c>
      <c r="GR842" s="323">
        <v>0</v>
      </c>
      <c r="GS842" s="323">
        <v>0</v>
      </c>
      <c r="GT842" s="323">
        <v>0</v>
      </c>
      <c r="GU842" s="323">
        <v>0</v>
      </c>
      <c r="GV842" s="323">
        <v>0</v>
      </c>
      <c r="GW842" s="323">
        <v>0</v>
      </c>
      <c r="GX842" s="323">
        <v>0</v>
      </c>
      <c r="GY842" s="323">
        <v>0</v>
      </c>
      <c r="GZ842" s="323">
        <v>0</v>
      </c>
      <c r="HA842" s="323">
        <v>0</v>
      </c>
      <c r="HB842" s="323">
        <v>0</v>
      </c>
      <c r="HC842" s="323">
        <v>0</v>
      </c>
      <c r="HD842" s="323">
        <v>0</v>
      </c>
      <c r="HE842" s="323">
        <v>0</v>
      </c>
      <c r="HF842" s="323">
        <v>0</v>
      </c>
      <c r="HG842" s="323">
        <v>0</v>
      </c>
      <c r="HH842" s="323">
        <v>0</v>
      </c>
      <c r="HI842" s="323">
        <v>0</v>
      </c>
      <c r="HJ842" s="323">
        <v>0</v>
      </c>
      <c r="HK842" s="323">
        <v>0</v>
      </c>
      <c r="HL842" s="323">
        <v>0</v>
      </c>
      <c r="HM842" s="323">
        <v>0</v>
      </c>
      <c r="HN842" s="323">
        <v>0</v>
      </c>
      <c r="HO842" s="323">
        <v>0</v>
      </c>
      <c r="HP842" s="323">
        <v>0</v>
      </c>
      <c r="HQ842" s="323">
        <v>0</v>
      </c>
      <c r="HR842" s="323">
        <v>0</v>
      </c>
      <c r="HS842" s="323">
        <v>0</v>
      </c>
      <c r="HT842" s="323">
        <v>0</v>
      </c>
      <c r="HU842" s="323">
        <v>0</v>
      </c>
      <c r="HV842" s="323">
        <v>0</v>
      </c>
      <c r="HW842" s="323">
        <v>0</v>
      </c>
      <c r="HX842" s="323">
        <v>0</v>
      </c>
      <c r="HY842" s="323"/>
      <c r="HZ842" s="326"/>
      <c r="IA842" s="1232" t="s">
        <v>521</v>
      </c>
      <c r="IB842" s="284">
        <f>SUM(CE842:CJ842)</f>
        <v>0</v>
      </c>
      <c r="IC842" s="279">
        <f>SUM(CK842:CP842)</f>
        <v>0</v>
      </c>
      <c r="ID842" s="323">
        <f t="shared" si="907"/>
        <v>0</v>
      </c>
      <c r="IE842" s="279">
        <f>SUM(CQ842:CV842)</f>
        <v>0</v>
      </c>
      <c r="IF842" s="279">
        <f>SUM(CW842:DB842)</f>
        <v>0</v>
      </c>
      <c r="IG842" s="323">
        <f>IE842+IF842</f>
        <v>0</v>
      </c>
      <c r="IH842" s="284">
        <f>SUM(DC842:DH842)</f>
        <v>0</v>
      </c>
      <c r="II842" s="279">
        <f>SUM(DI842:DN842)</f>
        <v>0</v>
      </c>
      <c r="IJ842" s="323">
        <f>IH842+II842</f>
        <v>0</v>
      </c>
      <c r="IK842" s="327">
        <f>SUM(DO842:DT842)</f>
        <v>0</v>
      </c>
      <c r="IL842" s="279">
        <f>SUM(DU842:DZ842)</f>
        <v>0</v>
      </c>
      <c r="IM842" s="323">
        <f>IK842+IL842</f>
        <v>0</v>
      </c>
      <c r="IN842" s="279">
        <f>SUM(EA842:EF842)</f>
        <v>0</v>
      </c>
      <c r="IO842" s="279">
        <f>SUM(EG842:EL842)</f>
        <v>0</v>
      </c>
      <c r="IP842" s="323">
        <f>IN842+IO842</f>
        <v>0</v>
      </c>
      <c r="IQ842" s="327">
        <f>SUM(EM842:ER842)</f>
        <v>0</v>
      </c>
      <c r="IR842" s="327">
        <f>SUM(ES842:EX842)</f>
        <v>0</v>
      </c>
      <c r="IS842" s="323">
        <f>IQ842+IR842</f>
        <v>0</v>
      </c>
      <c r="IT842" s="327">
        <f>SUM(EY842:FD842)</f>
        <v>0</v>
      </c>
      <c r="IU842" s="327">
        <f>SUM(FE842:FJ842)</f>
        <v>0</v>
      </c>
      <c r="IV842" s="323">
        <f>IT842+IU842</f>
        <v>0</v>
      </c>
      <c r="IW842" s="327">
        <f>SUM(FK842:FP842)</f>
        <v>0</v>
      </c>
      <c r="IX842" s="327">
        <f t="shared" si="1378"/>
        <v>0</v>
      </c>
      <c r="IY842" s="323">
        <f t="shared" si="1475"/>
        <v>0</v>
      </c>
      <c r="IZ842" s="327">
        <f t="shared" si="1439"/>
        <v>0</v>
      </c>
      <c r="JA842" s="327">
        <f t="shared" si="1440"/>
        <v>0</v>
      </c>
      <c r="JB842" s="323">
        <f t="shared" si="1458"/>
        <v>0</v>
      </c>
      <c r="JC842" s="327">
        <f t="shared" si="1441"/>
        <v>0</v>
      </c>
      <c r="JD842" s="327">
        <f t="shared" si="1442"/>
        <v>0</v>
      </c>
      <c r="JE842" s="323">
        <f t="shared" si="1459"/>
        <v>0</v>
      </c>
      <c r="JF842" s="327">
        <f t="shared" si="1460"/>
        <v>0</v>
      </c>
      <c r="JG842" s="327">
        <f t="shared" si="1372"/>
        <v>0</v>
      </c>
      <c r="JH842" s="323">
        <f t="shared" si="1406"/>
        <v>0</v>
      </c>
      <c r="JI842" s="327">
        <f t="shared" si="1476"/>
        <v>0</v>
      </c>
      <c r="JJ842" s="327">
        <f t="shared" si="1405"/>
        <v>0</v>
      </c>
      <c r="JK842" s="323">
        <f t="shared" si="1398"/>
        <v>0</v>
      </c>
      <c r="JL842" s="327">
        <f t="shared" si="1407"/>
        <v>0</v>
      </c>
      <c r="JM842" s="279">
        <f t="shared" si="1535"/>
        <v>0</v>
      </c>
      <c r="JN842" s="323">
        <f>FISC!AK1148</f>
        <v>0</v>
      </c>
      <c r="JO842" s="327">
        <f>JQ842*0.5</f>
        <v>0</v>
      </c>
      <c r="JP842" s="279">
        <f t="shared" si="1536"/>
        <v>0</v>
      </c>
      <c r="JQ842" s="323">
        <f>FISC!AL1148</f>
        <v>0</v>
      </c>
      <c r="JR842" s="327">
        <f>JT842*0.5</f>
        <v>0</v>
      </c>
      <c r="JS842" s="279">
        <f t="shared" si="1537"/>
        <v>0</v>
      </c>
      <c r="JT842" s="323">
        <f>FISC!AM1148</f>
        <v>0</v>
      </c>
      <c r="JU842" s="327">
        <f>JW842*0.5</f>
        <v>0</v>
      </c>
      <c r="JV842" s="279">
        <f t="shared" si="1538"/>
        <v>0</v>
      </c>
      <c r="JW842" s="323">
        <f>FISC!AN1148</f>
        <v>0</v>
      </c>
      <c r="JX842" s="327">
        <f>JZ842*0.5</f>
        <v>0</v>
      </c>
      <c r="JY842" s="279">
        <f t="shared" si="1539"/>
        <v>0</v>
      </c>
      <c r="JZ842" s="323">
        <f>FISC!AO1148</f>
        <v>0</v>
      </c>
      <c r="KA842" s="327">
        <f>KC842*0.5</f>
        <v>0</v>
      </c>
      <c r="KB842" s="279">
        <f t="shared" si="1540"/>
        <v>0</v>
      </c>
      <c r="KC842" s="323">
        <f>FISC!AP1148</f>
        <v>0</v>
      </c>
      <c r="KD842" s="327">
        <f>KF842*0.5</f>
        <v>0</v>
      </c>
      <c r="KE842" s="279">
        <f t="shared" si="1541"/>
        <v>0</v>
      </c>
      <c r="KF842" s="323">
        <f>FISC!AQ1148</f>
        <v>0</v>
      </c>
      <c r="KG842" s="327">
        <f>KI842*0.5</f>
        <v>0</v>
      </c>
      <c r="KH842" s="279">
        <f t="shared" si="1542"/>
        <v>0</v>
      </c>
      <c r="KI842" s="323">
        <f>FISC!AR1148</f>
        <v>0</v>
      </c>
      <c r="KJ842" s="327">
        <f>KL842*0.5</f>
        <v>0</v>
      </c>
      <c r="KK842" s="279">
        <f t="shared" si="1543"/>
        <v>0</v>
      </c>
      <c r="KL842" s="323">
        <f>FISC!AS1148</f>
        <v>0</v>
      </c>
      <c r="KM842" s="327">
        <f>KO842*0.5</f>
        <v>0</v>
      </c>
      <c r="KN842" s="279">
        <f t="shared" si="1544"/>
        <v>0</v>
      </c>
      <c r="KO842" s="323">
        <f>FISC!AT1148</f>
        <v>0</v>
      </c>
      <c r="KU842" s="326"/>
      <c r="KV842" s="327"/>
    </row>
    <row r="843" spans="1:308">
      <c r="A843" s="279"/>
      <c r="B843" s="96" t="s">
        <v>338</v>
      </c>
      <c r="D843" s="332" t="s">
        <v>522</v>
      </c>
      <c r="E843" s="323"/>
      <c r="F843" s="323"/>
      <c r="G843" s="323"/>
      <c r="H843" s="323"/>
      <c r="I843" s="323"/>
      <c r="J843" s="323"/>
      <c r="K843" s="323"/>
      <c r="L843" s="323"/>
      <c r="M843" s="323"/>
      <c r="N843" s="323"/>
      <c r="O843" s="323"/>
      <c r="P843" s="323"/>
      <c r="Q843" s="323"/>
      <c r="R843" s="323"/>
      <c r="S843" s="323"/>
      <c r="T843" s="323"/>
      <c r="U843" s="323"/>
      <c r="V843" s="323"/>
      <c r="W843" s="323"/>
      <c r="X843" s="323"/>
      <c r="Y843" s="323"/>
      <c r="Z843" s="323"/>
      <c r="AA843" s="323"/>
      <c r="AB843" s="323"/>
      <c r="AC843" s="323"/>
      <c r="AD843" s="323"/>
      <c r="AE843" s="323"/>
      <c r="AF843" s="323"/>
      <c r="AG843" s="323"/>
      <c r="AH843" s="323"/>
      <c r="AI843" s="323"/>
      <c r="AJ843" s="323"/>
      <c r="AK843" s="323"/>
      <c r="AL843" s="323"/>
      <c r="AM843" s="323"/>
      <c r="AN843" s="323"/>
      <c r="AO843" s="323">
        <v>0.49061785149999998</v>
      </c>
      <c r="AP843" s="323">
        <v>0.57347521889999997</v>
      </c>
      <c r="AQ843" s="323">
        <v>0.85172944149999996</v>
      </c>
      <c r="AR843" s="323">
        <v>0.69822025479999994</v>
      </c>
      <c r="AS843" s="323">
        <v>0.75666674210000007</v>
      </c>
      <c r="AT843" s="323">
        <v>1.0576141798000001</v>
      </c>
      <c r="AU843" s="323">
        <v>0.61941513710000007</v>
      </c>
      <c r="AV843" s="323">
        <v>0.75655773810000004</v>
      </c>
      <c r="AW843" s="323">
        <v>0.90323017839999997</v>
      </c>
      <c r="AX843" s="323">
        <v>0.83936443979999997</v>
      </c>
      <c r="AY843" s="323">
        <v>1.0751304511999999</v>
      </c>
      <c r="AZ843" s="323">
        <v>1.6360685278</v>
      </c>
      <c r="BA843" s="323">
        <v>0.87668993410000007</v>
      </c>
      <c r="BB843" s="323">
        <v>0.97722661290000001</v>
      </c>
      <c r="BC843" s="323">
        <v>1.1868793512</v>
      </c>
      <c r="BD843" s="323">
        <v>0.79499374870000006</v>
      </c>
      <c r="BE843" s="323">
        <v>1.2684940245999998</v>
      </c>
      <c r="BF843" s="323">
        <v>1.6406653607000001</v>
      </c>
      <c r="BG843" s="323">
        <v>0.51710180449999998</v>
      </c>
      <c r="BH843" s="323">
        <v>0.57329866959999998</v>
      </c>
      <c r="BI843" s="323">
        <v>0.80523865210000001</v>
      </c>
      <c r="BJ843" s="323">
        <v>1.0821102920999999</v>
      </c>
      <c r="BK843" s="323">
        <v>1.2758533414000002</v>
      </c>
      <c r="BL843" s="323">
        <v>1.4398420247999999</v>
      </c>
      <c r="BM843" s="323">
        <v>1.1526724984000001</v>
      </c>
      <c r="BN843" s="323">
        <v>0.92463245539999994</v>
      </c>
      <c r="BO843" s="323">
        <v>1.3300665762999999</v>
      </c>
      <c r="BP843" s="323">
        <v>1.2982713082000001</v>
      </c>
      <c r="BQ843" s="323">
        <v>1.2914521354999999</v>
      </c>
      <c r="BR843" s="323">
        <v>1.9613903038</v>
      </c>
      <c r="BS843" s="323">
        <v>0.93947939400000002</v>
      </c>
      <c r="BT843" s="323">
        <v>0.81593192510000001</v>
      </c>
      <c r="BU843" s="323">
        <v>0.86615940320000007</v>
      </c>
      <c r="BV843" s="323">
        <v>0.98600151039999995</v>
      </c>
      <c r="BW843" s="323">
        <v>1.1051260374</v>
      </c>
      <c r="BX843" s="323">
        <v>1.6165270275999999</v>
      </c>
      <c r="BY843" s="323">
        <v>1.1210591530999998</v>
      </c>
      <c r="BZ843" s="323">
        <v>1.3009832557999998</v>
      </c>
      <c r="CA843" s="323">
        <v>1.8301724414</v>
      </c>
      <c r="CB843" s="323">
        <v>1.6988992652999999</v>
      </c>
      <c r="CC843" s="323">
        <v>2.5794741742</v>
      </c>
      <c r="CD843" s="329">
        <v>4.1018007120000002</v>
      </c>
      <c r="CE843" s="323">
        <f t="shared" ref="CE843:DJ843" si="1548">CE437</f>
        <v>1.6134028819000001</v>
      </c>
      <c r="CF843" s="323">
        <f t="shared" si="1548"/>
        <v>1.50922179</v>
      </c>
      <c r="CG843" s="323">
        <f t="shared" si="1548"/>
        <v>1.4936350092999999</v>
      </c>
      <c r="CH843" s="323">
        <f t="shared" si="1548"/>
        <v>1.4227659573</v>
      </c>
      <c r="CI843" s="323">
        <f t="shared" si="1548"/>
        <v>1.9368911554000001</v>
      </c>
      <c r="CJ843" s="323">
        <f t="shared" si="1548"/>
        <v>2.5915063589000003</v>
      </c>
      <c r="CK843" s="323">
        <f t="shared" si="1548"/>
        <v>1.883544903</v>
      </c>
      <c r="CL843" s="323">
        <f t="shared" si="1548"/>
        <v>1.5830303257</v>
      </c>
      <c r="CM843" s="323">
        <f t="shared" si="1548"/>
        <v>2.3257963326</v>
      </c>
      <c r="CN843" s="323">
        <f t="shared" si="1548"/>
        <v>1.7250185097000001</v>
      </c>
      <c r="CO843" s="323">
        <f t="shared" si="1548"/>
        <v>2.1126191453000001</v>
      </c>
      <c r="CP843" s="325">
        <f t="shared" si="1548"/>
        <v>3.6523280446999999</v>
      </c>
      <c r="CQ843" s="323">
        <f t="shared" si="1548"/>
        <v>1.6340853708</v>
      </c>
      <c r="CR843" s="323">
        <f t="shared" si="1548"/>
        <v>1.688182804</v>
      </c>
      <c r="CS843" s="323">
        <f t="shared" si="1548"/>
        <v>2.7012377493000002</v>
      </c>
      <c r="CT843" s="323">
        <f t="shared" si="1548"/>
        <v>2.6915598276999999</v>
      </c>
      <c r="CU843" s="323">
        <f t="shared" si="1548"/>
        <v>2.1741653726000001</v>
      </c>
      <c r="CV843" s="323">
        <f t="shared" si="1548"/>
        <v>2.3883066240999997</v>
      </c>
      <c r="CW843" s="323">
        <f t="shared" si="1548"/>
        <v>1.8756168195999998</v>
      </c>
      <c r="CX843" s="323">
        <f t="shared" si="1548"/>
        <v>1.9300905397000001</v>
      </c>
      <c r="CY843" s="323">
        <f t="shared" si="1548"/>
        <v>2.6670134089999999</v>
      </c>
      <c r="CZ843" s="323">
        <f t="shared" si="1548"/>
        <v>3.2249754964999999</v>
      </c>
      <c r="DA843" s="323">
        <f t="shared" si="1548"/>
        <v>2.5619014530999999</v>
      </c>
      <c r="DB843" s="1269">
        <f t="shared" si="1548"/>
        <v>4.0061188206000002</v>
      </c>
      <c r="DC843" s="323">
        <f t="shared" si="1548"/>
        <v>0</v>
      </c>
      <c r="DD843" s="323">
        <f t="shared" si="1548"/>
        <v>0</v>
      </c>
      <c r="DE843" s="323">
        <f t="shared" si="1548"/>
        <v>0</v>
      </c>
      <c r="DF843" s="323">
        <f t="shared" si="1548"/>
        <v>0</v>
      </c>
      <c r="DG843" s="323">
        <f t="shared" si="1548"/>
        <v>0</v>
      </c>
      <c r="DH843" s="323">
        <f t="shared" si="1548"/>
        <v>0</v>
      </c>
      <c r="DI843" s="323">
        <f t="shared" si="1548"/>
        <v>0</v>
      </c>
      <c r="DJ843" s="323">
        <f t="shared" si="1548"/>
        <v>0</v>
      </c>
      <c r="DK843" s="323">
        <f t="shared" ref="DK843:EP843" si="1549">DK437</f>
        <v>0</v>
      </c>
      <c r="DL843" s="323">
        <f t="shared" si="1549"/>
        <v>0</v>
      </c>
      <c r="DM843" s="323">
        <f t="shared" si="1549"/>
        <v>0</v>
      </c>
      <c r="DN843" s="325">
        <f t="shared" si="1549"/>
        <v>0</v>
      </c>
      <c r="DO843" s="323">
        <f t="shared" si="1549"/>
        <v>1.4974449605809317</v>
      </c>
      <c r="DP843" s="323">
        <f t="shared" si="1549"/>
        <v>1.2873549288426345</v>
      </c>
      <c r="DQ843" s="323">
        <f t="shared" si="1549"/>
        <v>1.571768578782196</v>
      </c>
      <c r="DR843" s="323">
        <f t="shared" si="1549"/>
        <v>2.2002872448983992</v>
      </c>
      <c r="DS843" s="323">
        <f t="shared" si="1549"/>
        <v>1.8096628541030026</v>
      </c>
      <c r="DT843" s="323">
        <f t="shared" si="1549"/>
        <v>5.5690117754246877</v>
      </c>
      <c r="DU843" s="323">
        <f t="shared" si="1549"/>
        <v>2.2757534004044748</v>
      </c>
      <c r="DV843" s="323">
        <f t="shared" si="1549"/>
        <v>1.7783502481243276</v>
      </c>
      <c r="DW843" s="323">
        <f t="shared" si="1549"/>
        <v>3.0898782889385061</v>
      </c>
      <c r="DX843" s="323">
        <f t="shared" si="1549"/>
        <v>2.6253462223481199</v>
      </c>
      <c r="DY843" s="323">
        <f t="shared" si="1549"/>
        <v>3.939849315077391</v>
      </c>
      <c r="DZ843" s="325">
        <f t="shared" si="1549"/>
        <v>7.4489046556542498</v>
      </c>
      <c r="EA843" s="323">
        <f t="shared" si="1549"/>
        <v>1.4974449605809317</v>
      </c>
      <c r="EB843" s="323">
        <f t="shared" si="1549"/>
        <v>1.2873549288426345</v>
      </c>
      <c r="EC843" s="323">
        <f t="shared" si="1549"/>
        <v>1.571768578782196</v>
      </c>
      <c r="ED843" s="323">
        <f t="shared" si="1549"/>
        <v>2.2002872448983992</v>
      </c>
      <c r="EE843" s="323">
        <f t="shared" si="1549"/>
        <v>1.8096628541030026</v>
      </c>
      <c r="EF843" s="323">
        <f t="shared" si="1549"/>
        <v>5.5690117754246877</v>
      </c>
      <c r="EG843" s="323">
        <f t="shared" si="1549"/>
        <v>2.2757534004044748</v>
      </c>
      <c r="EH843" s="323">
        <f t="shared" si="1549"/>
        <v>1.7783502481243276</v>
      </c>
      <c r="EI843" s="323">
        <f t="shared" si="1549"/>
        <v>3.0898782889385061</v>
      </c>
      <c r="EJ843" s="323">
        <f t="shared" si="1549"/>
        <v>2.6253462223481199</v>
      </c>
      <c r="EK843" s="323">
        <f t="shared" si="1549"/>
        <v>3.939849315077391</v>
      </c>
      <c r="EL843" s="325">
        <f t="shared" si="1549"/>
        <v>7.4489046556542498</v>
      </c>
      <c r="EM843" s="323">
        <f t="shared" si="1549"/>
        <v>0</v>
      </c>
      <c r="EN843" s="323">
        <f t="shared" si="1549"/>
        <v>0</v>
      </c>
      <c r="EO843" s="323">
        <f t="shared" si="1549"/>
        <v>2.1669842020000001</v>
      </c>
      <c r="EP843" s="323">
        <f t="shared" si="1549"/>
        <v>0</v>
      </c>
      <c r="EQ843" s="323">
        <f t="shared" ref="EQ843:FV843" si="1550">EQ437</f>
        <v>0</v>
      </c>
      <c r="ER843" s="323">
        <f t="shared" si="1550"/>
        <v>2.2170388330000002</v>
      </c>
      <c r="ES843" s="323">
        <f t="shared" si="1550"/>
        <v>0</v>
      </c>
      <c r="ET843" s="323">
        <f t="shared" si="1550"/>
        <v>0</v>
      </c>
      <c r="EU843" s="323">
        <f t="shared" si="1550"/>
        <v>1.9034152189999993</v>
      </c>
      <c r="EV843" s="323">
        <f t="shared" si="1550"/>
        <v>0</v>
      </c>
      <c r="EW843" s="323">
        <f t="shared" si="1550"/>
        <v>0</v>
      </c>
      <c r="EX843" s="325">
        <f t="shared" si="1550"/>
        <v>2.1224270360000013</v>
      </c>
      <c r="EY843" s="323">
        <f t="shared" si="1550"/>
        <v>0.90273958824</v>
      </c>
      <c r="EZ843" s="323">
        <f t="shared" si="1550"/>
        <v>0.58121730144000006</v>
      </c>
      <c r="FA843" s="323">
        <f t="shared" si="1550"/>
        <v>4.2791290668400004</v>
      </c>
      <c r="FB843" s="323">
        <f t="shared" si="1550"/>
        <v>1.3905193599600001</v>
      </c>
      <c r="FC843" s="323">
        <f t="shared" si="1550"/>
        <v>2.1911942294299998</v>
      </c>
      <c r="FD843" s="323">
        <f t="shared" si="1550"/>
        <v>3.6812143341199994</v>
      </c>
      <c r="FE843" s="323">
        <f t="shared" si="1550"/>
        <v>1.4157139079400154</v>
      </c>
      <c r="FF843" s="323">
        <f t="shared" si="1550"/>
        <v>1.0217982517699848</v>
      </c>
      <c r="FG843" s="323">
        <f t="shared" si="1550"/>
        <v>0.813050224729985</v>
      </c>
      <c r="FH843" s="323">
        <f t="shared" si="1550"/>
        <v>0.48942560766000004</v>
      </c>
      <c r="FI843" s="323">
        <f t="shared" si="1550"/>
        <v>0.69276187980999993</v>
      </c>
      <c r="FJ843" s="325">
        <f t="shared" si="1550"/>
        <v>2.5170155160000003</v>
      </c>
      <c r="FK843" s="323">
        <f t="shared" si="1550"/>
        <v>1.0147494568638025</v>
      </c>
      <c r="FL843" s="323">
        <f t="shared" si="1550"/>
        <v>1.0821151876632829</v>
      </c>
      <c r="FM843" s="323">
        <f t="shared" si="1550"/>
        <v>1.9329435236572441</v>
      </c>
      <c r="FN843" s="323">
        <f t="shared" si="1550"/>
        <v>1.2647023778557429</v>
      </c>
      <c r="FO843" s="323">
        <f t="shared" si="1550"/>
        <v>1.1428540199243229</v>
      </c>
      <c r="FP843" s="323">
        <f t="shared" si="1550"/>
        <v>6.5453592939681995</v>
      </c>
      <c r="FQ843" s="323">
        <f t="shared" si="1550"/>
        <v>2.498981952837696</v>
      </c>
      <c r="FR843" s="323">
        <f t="shared" si="1550"/>
        <v>1.1836701592103434</v>
      </c>
      <c r="FS843" s="323">
        <f t="shared" si="1550"/>
        <v>5.8232981623715014</v>
      </c>
      <c r="FT843" s="323">
        <f t="shared" si="1550"/>
        <v>1.3713336858193401</v>
      </c>
      <c r="FU843" s="323">
        <f t="shared" si="1550"/>
        <v>1.15932242276534</v>
      </c>
      <c r="FV843" s="323">
        <f t="shared" si="1550"/>
        <v>4.1510674349435019</v>
      </c>
      <c r="FW843" s="323">
        <v>0.79084048187469802</v>
      </c>
      <c r="FX843" s="323">
        <v>1.2167679079242772</v>
      </c>
      <c r="FY843" s="323">
        <v>5.8072805799991887</v>
      </c>
      <c r="FZ843" s="323">
        <v>1.2534786565122167</v>
      </c>
      <c r="GA843" s="323">
        <v>1.498996769953403</v>
      </c>
      <c r="GB843" s="323">
        <v>7.4322234731183601</v>
      </c>
      <c r="GC843" s="323">
        <v>1.9320996351809372</v>
      </c>
      <c r="GD843" s="323">
        <v>0.86037691910380965</v>
      </c>
      <c r="GE843" s="323">
        <v>5.9021426925966187</v>
      </c>
      <c r="GF843" s="323">
        <v>1.5213719826326582</v>
      </c>
      <c r="GG843" s="323">
        <v>1.2702418637018846</v>
      </c>
      <c r="GH843" s="323">
        <v>7.2408234984131798</v>
      </c>
      <c r="GI843" s="323">
        <f t="shared" ref="GI843:HL843" si="1551">GI437</f>
        <v>1.3360051175858887</v>
      </c>
      <c r="GJ843" s="323">
        <f t="shared" si="1551"/>
        <v>1.1627659858627004</v>
      </c>
      <c r="GK843" s="323">
        <f t="shared" si="1551"/>
        <v>5.3012288965514101</v>
      </c>
      <c r="GL843" s="323">
        <f t="shared" si="1551"/>
        <v>1.4735850456273876</v>
      </c>
      <c r="GM843" s="323">
        <f t="shared" si="1551"/>
        <v>0.77156123763571494</v>
      </c>
      <c r="GN843" s="323">
        <f t="shared" si="1551"/>
        <v>9.2245563813662628</v>
      </c>
      <c r="GO843" s="323">
        <f t="shared" si="1551"/>
        <v>0.82242563026443727</v>
      </c>
      <c r="GP843" s="323">
        <f t="shared" si="1551"/>
        <v>0.58920832898054376</v>
      </c>
      <c r="GQ843" s="323">
        <f t="shared" si="1551"/>
        <v>5.8458780842840969</v>
      </c>
      <c r="GR843" s="323">
        <f t="shared" si="1551"/>
        <v>1.20451273825</v>
      </c>
      <c r="GS843" s="323">
        <f t="shared" si="1551"/>
        <v>1.0640684041900001</v>
      </c>
      <c r="GT843" s="323">
        <f t="shared" si="1551"/>
        <v>36.131534361100002</v>
      </c>
      <c r="GU843" s="323">
        <f t="shared" si="1551"/>
        <v>1.1870369302259087</v>
      </c>
      <c r="GV843" s="323">
        <f t="shared" si="1551"/>
        <v>0.93243852672851468</v>
      </c>
      <c r="GW843" s="323">
        <f t="shared" si="1551"/>
        <v>7.8152820447152225</v>
      </c>
      <c r="GX843" s="323">
        <f t="shared" si="1551"/>
        <v>0.88009872154999991</v>
      </c>
      <c r="GY843" s="323">
        <f t="shared" si="1551"/>
        <v>0.93499323604999995</v>
      </c>
      <c r="GZ843" s="323">
        <f t="shared" si="1551"/>
        <v>7.2852950412500004</v>
      </c>
      <c r="HA843" s="323">
        <f t="shared" si="1551"/>
        <v>0.75537497644999996</v>
      </c>
      <c r="HB843" s="323">
        <f t="shared" si="1551"/>
        <v>0.93382628329358708</v>
      </c>
      <c r="HC843" s="323">
        <f t="shared" si="1551"/>
        <v>8.2277585838709957</v>
      </c>
      <c r="HD843" s="323">
        <f t="shared" si="1551"/>
        <v>1.6132916945</v>
      </c>
      <c r="HE843" s="323">
        <f t="shared" si="1551"/>
        <v>1.4759069171999999</v>
      </c>
      <c r="HF843" s="323">
        <f t="shared" si="1551"/>
        <v>8.1524843603499999</v>
      </c>
      <c r="HG843" s="323">
        <f t="shared" si="1551"/>
        <v>1.4363834993</v>
      </c>
      <c r="HH843" s="323">
        <f t="shared" si="1551"/>
        <v>1.51306030485</v>
      </c>
      <c r="HI843" s="323">
        <f t="shared" si="1551"/>
        <v>8.1107458804500006</v>
      </c>
      <c r="HJ843" s="323">
        <f t="shared" si="1551"/>
        <v>2.0256640131000001</v>
      </c>
      <c r="HK843" s="323">
        <f t="shared" si="1551"/>
        <v>1.3099890509000001</v>
      </c>
      <c r="HL843" s="323">
        <f t="shared" si="1551"/>
        <v>8.9771461500501868</v>
      </c>
      <c r="HM843" s="323">
        <f t="shared" ref="HM843:HR843" si="1552">HM437</f>
        <v>1.6556552363499999</v>
      </c>
      <c r="HN843" s="323">
        <f t="shared" si="1552"/>
        <v>1.4848173645999998</v>
      </c>
      <c r="HO843" s="323">
        <f t="shared" si="1552"/>
        <v>9.3612242783999999</v>
      </c>
      <c r="HP843" s="323">
        <f t="shared" si="1552"/>
        <v>0.87486364537000005</v>
      </c>
      <c r="HQ843" s="323">
        <f t="shared" si="1552"/>
        <v>1.3672910436499999</v>
      </c>
      <c r="HR843" s="323">
        <f t="shared" si="1552"/>
        <v>8.6934421384900009</v>
      </c>
      <c r="HS843" s="323">
        <f t="shared" ref="HS843:HX843" si="1553">HS437</f>
        <v>1.85304628735</v>
      </c>
      <c r="HT843" s="323">
        <f t="shared" si="1553"/>
        <v>1.6024897355100001</v>
      </c>
      <c r="HU843" s="323">
        <f t="shared" si="1553"/>
        <v>8.73486302365</v>
      </c>
      <c r="HV843" s="323">
        <f t="shared" si="1553"/>
        <v>1.4001328797000001</v>
      </c>
      <c r="HW843" s="323">
        <f t="shared" si="1553"/>
        <v>1.49947897365</v>
      </c>
      <c r="HX843" s="323">
        <f t="shared" si="1553"/>
        <v>9.2680083237900011</v>
      </c>
      <c r="HY843" s="323"/>
      <c r="HZ843" s="326"/>
      <c r="IA843" s="332" t="s">
        <v>522</v>
      </c>
      <c r="IB843" s="284">
        <f>SUM(CE843:CJ843)</f>
        <v>10.5674231528</v>
      </c>
      <c r="IC843" s="279">
        <f>SUM(CK843:CP843)</f>
        <v>13.282337260999999</v>
      </c>
      <c r="ID843" s="323">
        <f>IB843+IC843</f>
        <v>23.849760413799999</v>
      </c>
      <c r="IE843" s="279">
        <f>SUM(CQ843:CV843)</f>
        <v>13.277537748500002</v>
      </c>
      <c r="IF843" s="279">
        <f>SUM(CW843:DB843)</f>
        <v>16.265716538500001</v>
      </c>
      <c r="IG843" s="323">
        <f>IE843+IF843</f>
        <v>29.543254287000003</v>
      </c>
      <c r="IH843" s="284">
        <f>SUM(DC843:DH843)</f>
        <v>0</v>
      </c>
      <c r="II843" s="279">
        <f>SUM(DI843:DN843)</f>
        <v>0</v>
      </c>
      <c r="IJ843" s="323">
        <f>IH843+II843</f>
        <v>0</v>
      </c>
      <c r="IK843" s="327">
        <f>SUM(DO843:DT843)</f>
        <v>13.935530342631852</v>
      </c>
      <c r="IL843" s="279">
        <f>SUM(DU843:DZ843)</f>
        <v>21.158082130547072</v>
      </c>
      <c r="IM843" s="323">
        <f>IK843+IL843</f>
        <v>35.093612473178922</v>
      </c>
      <c r="IN843" s="279">
        <f>SUM(EA843:EF843)</f>
        <v>13.935530342631852</v>
      </c>
      <c r="IO843" s="279">
        <f>SUM(EG843:EL843)</f>
        <v>21.158082130547072</v>
      </c>
      <c r="IP843" s="323">
        <f>IN843+IO843</f>
        <v>35.093612473178922</v>
      </c>
      <c r="IQ843" s="327">
        <f>SUM(EM843:ER843)</f>
        <v>4.3840230350000002</v>
      </c>
      <c r="IR843" s="327">
        <f>SUM(ES843:EX843)</f>
        <v>4.0258422550000006</v>
      </c>
      <c r="IS843" s="323">
        <f>IQ843+IR843</f>
        <v>8.4098652900000008</v>
      </c>
      <c r="IT843" s="327">
        <f>SUM(EY843:FD843)</f>
        <v>13.02601388003</v>
      </c>
      <c r="IU843" s="327">
        <f>SUM(FE843:FJ843)</f>
        <v>6.9497653879099861</v>
      </c>
      <c r="IV843" s="323">
        <f>IT843+IU843</f>
        <v>19.975779267939984</v>
      </c>
      <c r="IW843" s="327">
        <f>SUM(FK843:FP843)</f>
        <v>12.982723859932594</v>
      </c>
      <c r="IX843" s="327">
        <f t="shared" si="1378"/>
        <v>16.187673817947722</v>
      </c>
      <c r="IY843" s="323">
        <f t="shared" si="1475"/>
        <v>29.170397677880317</v>
      </c>
      <c r="IZ843" s="327">
        <f t="shared" si="1439"/>
        <v>17.999587869382143</v>
      </c>
      <c r="JA843" s="327">
        <f t="shared" si="1440"/>
        <v>18.727056591629086</v>
      </c>
      <c r="JB843" s="323">
        <f t="shared" si="1458"/>
        <v>36.726644461011233</v>
      </c>
      <c r="JC843" s="327">
        <f t="shared" si="1441"/>
        <v>19.269702664629364</v>
      </c>
      <c r="JD843" s="327">
        <f t="shared" si="1442"/>
        <v>45.657627547069083</v>
      </c>
      <c r="JE843" s="323">
        <f t="shared" si="1459"/>
        <v>64.927330211698447</v>
      </c>
      <c r="JF843" s="327">
        <f t="shared" si="1460"/>
        <v>19.035144500519646</v>
      </c>
      <c r="JG843" s="327">
        <f t="shared" si="1372"/>
        <v>21.158642815664585</v>
      </c>
      <c r="JH843" s="323">
        <f t="shared" si="1406"/>
        <v>40.193787316184228</v>
      </c>
      <c r="JI843" s="327">
        <f t="shared" si="1476"/>
        <v>23.372988898650188</v>
      </c>
      <c r="JJ843" s="327">
        <f t="shared" si="1405"/>
        <v>23.437293706860004</v>
      </c>
      <c r="JK843" s="323">
        <f t="shared" si="1398"/>
        <v>46.810282605510196</v>
      </c>
      <c r="JL843" s="327">
        <f t="shared" si="1407"/>
        <v>24.358019223650004</v>
      </c>
      <c r="JM843" s="279">
        <f t="shared" si="1535"/>
        <v>17.432902424309766</v>
      </c>
      <c r="JN843" s="323">
        <f>FISC!AK1149</f>
        <v>41.79092164795977</v>
      </c>
      <c r="JO843" s="327">
        <f>JQ843*0.5</f>
        <v>23.317240302069841</v>
      </c>
      <c r="JP843" s="279">
        <f t="shared" si="1536"/>
        <v>23.317240302069841</v>
      </c>
      <c r="JQ843" s="323">
        <f>FISC!AL1149</f>
        <v>46.634480604139682</v>
      </c>
      <c r="JR843" s="327">
        <f>JT843*0.5</f>
        <v>26.153225790475759</v>
      </c>
      <c r="JS843" s="279">
        <f t="shared" si="1537"/>
        <v>26.153225790475759</v>
      </c>
      <c r="JT843" s="323">
        <f>FISC!AM1149</f>
        <v>52.306451580951517</v>
      </c>
      <c r="JU843" s="327">
        <f>JW843*0.5</f>
        <v>27.718021739443103</v>
      </c>
      <c r="JV843" s="279">
        <f t="shared" si="1538"/>
        <v>27.718021739443103</v>
      </c>
      <c r="JW843" s="323">
        <f>FISC!AN1149</f>
        <v>55.436043478886205</v>
      </c>
      <c r="JX843" s="327">
        <f>JZ843*0.5</f>
        <v>29.399898001182386</v>
      </c>
      <c r="JY843" s="279">
        <f t="shared" si="1539"/>
        <v>29.399898001182386</v>
      </c>
      <c r="JZ843" s="323">
        <f>FISC!AO1149</f>
        <v>58.799796002364772</v>
      </c>
      <c r="KA843" s="327">
        <f>KC843*0.5</f>
        <v>30.522502015849984</v>
      </c>
      <c r="KB843" s="279">
        <f t="shared" si="1540"/>
        <v>30.522502015849984</v>
      </c>
      <c r="KC843" s="323">
        <f>FISC!AP1149</f>
        <v>61.045004031699968</v>
      </c>
      <c r="KD843" s="327">
        <f>KF843*0.5</f>
        <v>31.996822041453488</v>
      </c>
      <c r="KE843" s="279">
        <f t="shared" si="1541"/>
        <v>31.996822041453488</v>
      </c>
      <c r="KF843" s="323">
        <f>FISC!AQ1149</f>
        <v>63.993644082906975</v>
      </c>
      <c r="KG843" s="327">
        <f>KI843*0.5</f>
        <v>37.869263438641298</v>
      </c>
      <c r="KH843" s="279">
        <f t="shared" si="1542"/>
        <v>37.869263438641298</v>
      </c>
      <c r="KI843" s="323">
        <f>FISC!AR1149</f>
        <v>75.738526877282595</v>
      </c>
      <c r="KJ843" s="327">
        <f>KL843*0.5</f>
        <v>49.505516930004781</v>
      </c>
      <c r="KK843" s="279">
        <f t="shared" si="1543"/>
        <v>49.505516930004781</v>
      </c>
      <c r="KL843" s="323">
        <f>FISC!AS1149</f>
        <v>99.011033860009562</v>
      </c>
      <c r="KM843" s="327">
        <f>KO843*0.5</f>
        <v>53.027686341520287</v>
      </c>
      <c r="KN843" s="279">
        <f t="shared" si="1544"/>
        <v>53.027686341520287</v>
      </c>
      <c r="KO843" s="323">
        <f>FISC!AT1149</f>
        <v>106.05537268304057</v>
      </c>
      <c r="KU843" s="326"/>
      <c r="KV843" s="327"/>
    </row>
    <row r="844" spans="1:308">
      <c r="A844" s="279"/>
      <c r="D844" s="1417" t="s">
        <v>3059</v>
      </c>
      <c r="E844" s="323"/>
      <c r="F844" s="323"/>
      <c r="G844" s="323"/>
      <c r="H844" s="323"/>
      <c r="I844" s="323"/>
      <c r="J844" s="323"/>
      <c r="K844" s="323"/>
      <c r="L844" s="323"/>
      <c r="M844" s="323"/>
      <c r="N844" s="323"/>
      <c r="O844" s="323"/>
      <c r="P844" s="323"/>
      <c r="Q844" s="323"/>
      <c r="R844" s="323"/>
      <c r="S844" s="323"/>
      <c r="T844" s="323"/>
      <c r="U844" s="323"/>
      <c r="V844" s="323"/>
      <c r="W844" s="323"/>
      <c r="X844" s="323"/>
      <c r="Y844" s="323"/>
      <c r="Z844" s="323"/>
      <c r="AA844" s="323"/>
      <c r="AB844" s="323"/>
      <c r="AC844" s="323"/>
      <c r="AD844" s="323"/>
      <c r="AE844" s="323"/>
      <c r="AF844" s="323"/>
      <c r="AG844" s="323"/>
      <c r="AH844" s="323"/>
      <c r="AI844" s="323"/>
      <c r="AJ844" s="323"/>
      <c r="AK844" s="323"/>
      <c r="AL844" s="323"/>
      <c r="AM844" s="323"/>
      <c r="AN844" s="323"/>
      <c r="AO844" s="323"/>
      <c r="AP844" s="323"/>
      <c r="AQ844" s="323"/>
      <c r="AR844" s="323"/>
      <c r="AS844" s="323"/>
      <c r="AT844" s="323"/>
      <c r="AU844" s="323"/>
      <c r="AV844" s="323"/>
      <c r="AW844" s="323"/>
      <c r="AX844" s="323"/>
      <c r="AY844" s="323"/>
      <c r="AZ844" s="323"/>
      <c r="BA844" s="323"/>
      <c r="BB844" s="323"/>
      <c r="BC844" s="323"/>
      <c r="BD844" s="323"/>
      <c r="BE844" s="323"/>
      <c r="BF844" s="323"/>
      <c r="BG844" s="323"/>
      <c r="BH844" s="323"/>
      <c r="BI844" s="323"/>
      <c r="BJ844" s="323"/>
      <c r="BK844" s="323"/>
      <c r="BL844" s="323"/>
      <c r="BM844" s="323"/>
      <c r="BN844" s="323"/>
      <c r="BO844" s="323"/>
      <c r="BP844" s="323"/>
      <c r="BQ844" s="323"/>
      <c r="BR844" s="323"/>
      <c r="BS844" s="323"/>
      <c r="BT844" s="323"/>
      <c r="BU844" s="323"/>
      <c r="BV844" s="323"/>
      <c r="BW844" s="323"/>
      <c r="BX844" s="323"/>
      <c r="BY844" s="323"/>
      <c r="BZ844" s="323"/>
      <c r="CA844" s="323"/>
      <c r="CB844" s="323"/>
      <c r="CC844" s="323"/>
      <c r="CD844" s="329"/>
      <c r="CE844" s="323">
        <v>0</v>
      </c>
      <c r="CF844" s="323">
        <v>0</v>
      </c>
      <c r="CG844" s="323">
        <v>0</v>
      </c>
      <c r="CH844" s="323">
        <v>0</v>
      </c>
      <c r="CI844" s="323">
        <v>0</v>
      </c>
      <c r="CJ844" s="323">
        <v>0</v>
      </c>
      <c r="CK844" s="323">
        <v>0</v>
      </c>
      <c r="CL844" s="323">
        <v>0</v>
      </c>
      <c r="CM844" s="323">
        <v>0</v>
      </c>
      <c r="CN844" s="323">
        <v>0</v>
      </c>
      <c r="CO844" s="323">
        <v>0</v>
      </c>
      <c r="CP844" s="325">
        <v>0</v>
      </c>
      <c r="CQ844" s="323"/>
      <c r="CR844" s="323"/>
      <c r="CS844" s="323"/>
      <c r="CT844" s="323"/>
      <c r="CU844" s="323"/>
      <c r="CV844" s="323"/>
      <c r="CW844" s="323"/>
      <c r="CX844" s="323"/>
      <c r="CY844" s="323"/>
      <c r="CZ844" s="323"/>
      <c r="DA844" s="323"/>
      <c r="DB844" s="1269"/>
      <c r="DC844" s="323"/>
      <c r="DD844" s="323">
        <f t="shared" ref="DD844:FN844" si="1554">DD446</f>
        <v>0</v>
      </c>
      <c r="DE844" s="323">
        <f t="shared" si="1554"/>
        <v>0</v>
      </c>
      <c r="DF844" s="323">
        <f t="shared" si="1554"/>
        <v>0</v>
      </c>
      <c r="DG844" s="323">
        <f t="shared" si="1554"/>
        <v>0</v>
      </c>
      <c r="DH844" s="323">
        <f t="shared" si="1554"/>
        <v>0</v>
      </c>
      <c r="DI844" s="323">
        <f t="shared" si="1554"/>
        <v>0</v>
      </c>
      <c r="DJ844" s="323">
        <f t="shared" si="1554"/>
        <v>0</v>
      </c>
      <c r="DK844" s="323">
        <f t="shared" si="1554"/>
        <v>0</v>
      </c>
      <c r="DL844" s="323">
        <f t="shared" si="1554"/>
        <v>0</v>
      </c>
      <c r="DM844" s="323">
        <f t="shared" si="1554"/>
        <v>0</v>
      </c>
      <c r="DN844" s="325">
        <f t="shared" si="1554"/>
        <v>0</v>
      </c>
      <c r="DO844" s="323">
        <f t="shared" si="1554"/>
        <v>0</v>
      </c>
      <c r="DP844" s="323">
        <f t="shared" si="1554"/>
        <v>0</v>
      </c>
      <c r="DQ844" s="323">
        <f t="shared" si="1554"/>
        <v>0</v>
      </c>
      <c r="DR844" s="323">
        <f t="shared" si="1554"/>
        <v>0</v>
      </c>
      <c r="DS844" s="323">
        <f t="shared" si="1554"/>
        <v>0</v>
      </c>
      <c r="DT844" s="323">
        <f t="shared" si="1554"/>
        <v>0</v>
      </c>
      <c r="DU844" s="323">
        <f t="shared" si="1554"/>
        <v>0</v>
      </c>
      <c r="DV844" s="323">
        <f t="shared" si="1554"/>
        <v>0</v>
      </c>
      <c r="DW844" s="323">
        <f t="shared" si="1554"/>
        <v>0</v>
      </c>
      <c r="DX844" s="323">
        <f t="shared" si="1554"/>
        <v>0</v>
      </c>
      <c r="DY844" s="323">
        <f t="shared" si="1554"/>
        <v>0</v>
      </c>
      <c r="DZ844" s="325">
        <f t="shared" si="1554"/>
        <v>0</v>
      </c>
      <c r="EA844" s="323">
        <f t="shared" si="1554"/>
        <v>0</v>
      </c>
      <c r="EB844" s="323">
        <f t="shared" si="1554"/>
        <v>0</v>
      </c>
      <c r="EC844" s="323">
        <f t="shared" si="1554"/>
        <v>0</v>
      </c>
      <c r="ED844" s="323">
        <f t="shared" si="1554"/>
        <v>0</v>
      </c>
      <c r="EE844" s="323">
        <f t="shared" si="1554"/>
        <v>0</v>
      </c>
      <c r="EF844" s="323">
        <f t="shared" si="1554"/>
        <v>0</v>
      </c>
      <c r="EG844" s="323">
        <f t="shared" si="1554"/>
        <v>0</v>
      </c>
      <c r="EH844" s="323">
        <f t="shared" si="1554"/>
        <v>0</v>
      </c>
      <c r="EI844" s="323">
        <f t="shared" si="1554"/>
        <v>0</v>
      </c>
      <c r="EJ844" s="323">
        <f t="shared" si="1554"/>
        <v>0</v>
      </c>
      <c r="EK844" s="323">
        <f t="shared" si="1554"/>
        <v>0</v>
      </c>
      <c r="EL844" s="325">
        <f t="shared" si="1554"/>
        <v>0</v>
      </c>
      <c r="EM844" s="323">
        <f t="shared" si="1554"/>
        <v>0</v>
      </c>
      <c r="EN844" s="323">
        <f t="shared" si="1554"/>
        <v>0</v>
      </c>
      <c r="EO844" s="323">
        <f t="shared" si="1554"/>
        <v>2.1669842020000001</v>
      </c>
      <c r="EP844" s="323">
        <f t="shared" si="1554"/>
        <v>0</v>
      </c>
      <c r="EQ844" s="323">
        <f t="shared" si="1554"/>
        <v>0</v>
      </c>
      <c r="ER844" s="323">
        <f t="shared" si="1554"/>
        <v>2.2170388330000002</v>
      </c>
      <c r="ES844" s="323">
        <f t="shared" si="1554"/>
        <v>0</v>
      </c>
      <c r="ET844" s="323">
        <f t="shared" si="1554"/>
        <v>0</v>
      </c>
      <c r="EU844" s="323">
        <f t="shared" si="1554"/>
        <v>1.9034152189999993</v>
      </c>
      <c r="EV844" s="323">
        <f t="shared" si="1554"/>
        <v>0</v>
      </c>
      <c r="EW844" s="323">
        <f t="shared" si="1554"/>
        <v>0</v>
      </c>
      <c r="EX844" s="325">
        <f t="shared" si="1554"/>
        <v>2.1224270360000013</v>
      </c>
      <c r="EY844" s="323">
        <f t="shared" si="1554"/>
        <v>0</v>
      </c>
      <c r="EZ844" s="323">
        <f t="shared" si="1554"/>
        <v>0</v>
      </c>
      <c r="FA844" s="323">
        <f t="shared" si="1554"/>
        <v>0</v>
      </c>
      <c r="FB844" s="323">
        <f t="shared" si="1554"/>
        <v>0</v>
      </c>
      <c r="FC844" s="323">
        <f t="shared" si="1554"/>
        <v>0</v>
      </c>
      <c r="FD844" s="323">
        <f t="shared" si="1554"/>
        <v>0</v>
      </c>
      <c r="FE844" s="323">
        <f t="shared" si="1554"/>
        <v>0</v>
      </c>
      <c r="FF844" s="323">
        <f t="shared" si="1554"/>
        <v>0</v>
      </c>
      <c r="FG844" s="323">
        <f t="shared" si="1554"/>
        <v>0</v>
      </c>
      <c r="FH844" s="323">
        <f t="shared" si="1554"/>
        <v>0</v>
      </c>
      <c r="FI844" s="323">
        <f t="shared" si="1554"/>
        <v>0</v>
      </c>
      <c r="FJ844" s="325">
        <f t="shared" si="1554"/>
        <v>0</v>
      </c>
      <c r="FK844" s="323">
        <f t="shared" si="1554"/>
        <v>0</v>
      </c>
      <c r="FL844" s="323">
        <f t="shared" si="1554"/>
        <v>0</v>
      </c>
      <c r="FM844" s="323">
        <f t="shared" si="1554"/>
        <v>0</v>
      </c>
      <c r="FN844" s="323">
        <f t="shared" si="1554"/>
        <v>0</v>
      </c>
      <c r="FO844" s="323">
        <f t="shared" ref="FO844:GH844" si="1555">FO446</f>
        <v>0</v>
      </c>
      <c r="FP844" s="323">
        <f t="shared" si="1555"/>
        <v>0</v>
      </c>
      <c r="FQ844" s="323">
        <f t="shared" si="1555"/>
        <v>0</v>
      </c>
      <c r="FR844" s="323">
        <f t="shared" si="1555"/>
        <v>0</v>
      </c>
      <c r="FS844" s="323">
        <f t="shared" si="1555"/>
        <v>0</v>
      </c>
      <c r="FT844" s="323">
        <f t="shared" si="1555"/>
        <v>0</v>
      </c>
      <c r="FU844" s="323">
        <f t="shared" si="1555"/>
        <v>0</v>
      </c>
      <c r="FV844" s="323">
        <f t="shared" si="1555"/>
        <v>0</v>
      </c>
      <c r="FW844" s="323">
        <f t="shared" si="1555"/>
        <v>0</v>
      </c>
      <c r="FX844" s="323">
        <f t="shared" si="1555"/>
        <v>0</v>
      </c>
      <c r="FY844" s="323">
        <f t="shared" si="1555"/>
        <v>0</v>
      </c>
      <c r="FZ844" s="323">
        <f t="shared" si="1555"/>
        <v>0</v>
      </c>
      <c r="GA844" s="323">
        <f t="shared" si="1555"/>
        <v>0</v>
      </c>
      <c r="GB844" s="323">
        <f t="shared" si="1555"/>
        <v>5.0882907560000001</v>
      </c>
      <c r="GC844" s="323">
        <f t="shared" si="1555"/>
        <v>0</v>
      </c>
      <c r="GD844" s="323">
        <f t="shared" si="1555"/>
        <v>0</v>
      </c>
      <c r="GE844" s="323">
        <f t="shared" si="1555"/>
        <v>4.1749723110000003</v>
      </c>
      <c r="GF844" s="323">
        <f t="shared" si="1555"/>
        <v>0</v>
      </c>
      <c r="GG844" s="323">
        <f t="shared" si="1555"/>
        <v>0</v>
      </c>
      <c r="GH844" s="323">
        <f t="shared" si="1555"/>
        <v>7.5733823740000004</v>
      </c>
      <c r="GI844" s="1658">
        <f t="shared" ref="GI844:HK844" si="1556">GI446</f>
        <v>0</v>
      </c>
      <c r="GJ844" s="1658">
        <f t="shared" si="1556"/>
        <v>0</v>
      </c>
      <c r="GK844" s="1658">
        <f t="shared" si="1556"/>
        <v>4.2565631896947203</v>
      </c>
      <c r="GL844" s="1658">
        <f t="shared" si="1556"/>
        <v>0</v>
      </c>
      <c r="GM844" s="1658">
        <f t="shared" si="1556"/>
        <v>0</v>
      </c>
      <c r="GN844" s="1658">
        <f t="shared" si="1556"/>
        <v>7.8374443953052797</v>
      </c>
      <c r="GO844" s="1658">
        <f t="shared" si="1556"/>
        <v>0</v>
      </c>
      <c r="GP844" s="1658">
        <f t="shared" si="1556"/>
        <v>0</v>
      </c>
      <c r="GQ844" s="1658">
        <f t="shared" si="1556"/>
        <v>4.668619745</v>
      </c>
      <c r="GR844" s="1658">
        <f t="shared" si="1556"/>
        <v>0</v>
      </c>
      <c r="GS844" s="1658">
        <f t="shared" si="1556"/>
        <v>0</v>
      </c>
      <c r="GT844" s="1658">
        <f t="shared" si="1556"/>
        <v>6.4630102349999996</v>
      </c>
      <c r="GU844" s="1658">
        <f t="shared" si="1556"/>
        <v>0</v>
      </c>
      <c r="GV844" s="1658">
        <f t="shared" si="1556"/>
        <v>0</v>
      </c>
      <c r="GW844" s="1658">
        <f t="shared" si="1556"/>
        <v>6.9110671999999997</v>
      </c>
      <c r="GX844" s="1658">
        <f t="shared" si="1556"/>
        <v>0</v>
      </c>
      <c r="GY844" s="1658">
        <f t="shared" si="1556"/>
        <v>0</v>
      </c>
      <c r="GZ844" s="1658">
        <f t="shared" si="1556"/>
        <v>6.4017662</v>
      </c>
      <c r="HA844" s="1658">
        <f t="shared" si="1556"/>
        <v>0</v>
      </c>
      <c r="HB844" s="1658">
        <f t="shared" si="1556"/>
        <v>0</v>
      </c>
      <c r="HC844" s="1658">
        <f t="shared" si="1556"/>
        <v>6.6403872000000002</v>
      </c>
      <c r="HD844" s="1658">
        <f t="shared" si="1556"/>
        <v>0</v>
      </c>
      <c r="HE844" s="1658">
        <f t="shared" si="1556"/>
        <v>0</v>
      </c>
      <c r="HF844" s="1658">
        <f t="shared" si="1556"/>
        <v>5.6018812000000002</v>
      </c>
      <c r="HG844" s="1658">
        <f t="shared" si="1556"/>
        <v>0</v>
      </c>
      <c r="HH844" s="1658">
        <f t="shared" si="1556"/>
        <v>0</v>
      </c>
      <c r="HI844" s="1658">
        <f t="shared" si="1556"/>
        <v>6.6362009999999998</v>
      </c>
      <c r="HJ844" s="1658">
        <f t="shared" si="1556"/>
        <v>0</v>
      </c>
      <c r="HK844" s="1658">
        <f t="shared" si="1556"/>
        <v>0</v>
      </c>
      <c r="HL844" s="1658">
        <f>HL446</f>
        <v>7.6570984879999999</v>
      </c>
      <c r="HM844" s="1658">
        <f t="shared" ref="HM844:HR844" si="1557">HM446</f>
        <v>0</v>
      </c>
      <c r="HN844" s="1658">
        <f t="shared" si="1557"/>
        <v>0</v>
      </c>
      <c r="HO844" s="1658">
        <f t="shared" si="1557"/>
        <v>7.6120700000000001</v>
      </c>
      <c r="HP844" s="1658">
        <f t="shared" si="1557"/>
        <v>0</v>
      </c>
      <c r="HQ844" s="1658">
        <f t="shared" si="1557"/>
        <v>0</v>
      </c>
      <c r="HR844" s="1658">
        <f t="shared" si="1557"/>
        <v>7.3355617100000003</v>
      </c>
      <c r="HS844" s="1658">
        <f t="shared" ref="HS844:HX844" si="1558">HS446</f>
        <v>0</v>
      </c>
      <c r="HT844" s="1658">
        <f t="shared" si="1558"/>
        <v>0</v>
      </c>
      <c r="HU844" s="1658">
        <f t="shared" si="1558"/>
        <v>7.5563668000000002</v>
      </c>
      <c r="HV844" s="1658">
        <f t="shared" si="1558"/>
        <v>0</v>
      </c>
      <c r="HW844" s="1658">
        <f t="shared" si="1558"/>
        <v>0</v>
      </c>
      <c r="HX844" s="1658">
        <f t="shared" si="1558"/>
        <v>8.1033525970000007</v>
      </c>
      <c r="HY844" s="1658"/>
      <c r="HZ844" s="326"/>
      <c r="IA844" s="1417" t="s">
        <v>3059</v>
      </c>
      <c r="IB844" s="284"/>
      <c r="ID844" s="323"/>
      <c r="IG844" s="323"/>
      <c r="IH844" s="284"/>
      <c r="IJ844" s="323"/>
      <c r="IK844" s="327"/>
      <c r="IM844" s="323"/>
      <c r="IP844" s="323"/>
      <c r="IQ844" s="327"/>
      <c r="IR844" s="327"/>
      <c r="IS844" s="323"/>
      <c r="IT844" s="327"/>
      <c r="IU844" s="327"/>
      <c r="IV844" s="323"/>
      <c r="IW844" s="1548">
        <v>6.3</v>
      </c>
      <c r="IX844" s="327">
        <f t="shared" si="1378"/>
        <v>0</v>
      </c>
      <c r="IY844" s="323">
        <f t="shared" si="1475"/>
        <v>6.3</v>
      </c>
      <c r="IZ844" s="327">
        <f t="shared" si="1439"/>
        <v>5.0882907560000001</v>
      </c>
      <c r="JA844" s="327">
        <f t="shared" si="1440"/>
        <v>11.748354685000001</v>
      </c>
      <c r="JB844" s="323">
        <f t="shared" si="1458"/>
        <v>16.836645441000002</v>
      </c>
      <c r="JC844" s="327">
        <f t="shared" si="1441"/>
        <v>12.094007585</v>
      </c>
      <c r="JD844" s="327">
        <f t="shared" si="1442"/>
        <v>11.13162998</v>
      </c>
      <c r="JE844" s="323">
        <f t="shared" si="1459"/>
        <v>23.225637565</v>
      </c>
      <c r="JF844" s="327">
        <f>SUM(GU844:GZ844)+2.5</f>
        <v>15.812833399999999</v>
      </c>
      <c r="JG844" s="327">
        <f t="shared" si="1372"/>
        <v>12.2422684</v>
      </c>
      <c r="JH844" s="323">
        <f t="shared" si="1406"/>
        <v>28.055101799999999</v>
      </c>
      <c r="JI844" s="327">
        <f t="shared" si="1476"/>
        <v>14.293299487999999</v>
      </c>
      <c r="JJ844" s="327">
        <f t="shared" si="1405"/>
        <v>14.94763171</v>
      </c>
      <c r="JK844" s="323">
        <f t="shared" si="1398"/>
        <v>29.240931197999998</v>
      </c>
      <c r="JL844" s="327">
        <f t="shared" si="1407"/>
        <v>15.659719397</v>
      </c>
      <c r="JM844" s="279">
        <f t="shared" si="1535"/>
        <v>11.130638124569998</v>
      </c>
      <c r="JN844" s="323">
        <f>FISC!AK1150</f>
        <v>26.790357521569998</v>
      </c>
      <c r="JO844" s="327">
        <f t="shared" ref="JO844:JO849" si="1559">JQ844*0.5</f>
        <v>13.395178760784999</v>
      </c>
      <c r="JP844" s="279">
        <f t="shared" si="1536"/>
        <v>13.395178760784999</v>
      </c>
      <c r="JQ844" s="323">
        <f>FISC!AL1150</f>
        <v>26.790357521569998</v>
      </c>
      <c r="JR844" s="327">
        <f t="shared" ref="JR844:JR849" si="1560">JT844*0.5</f>
        <v>13.395178760784999</v>
      </c>
      <c r="JS844" s="279">
        <f t="shared" si="1537"/>
        <v>13.395178760784999</v>
      </c>
      <c r="JT844" s="323">
        <f>FISC!AM1150</f>
        <v>26.790357521569998</v>
      </c>
      <c r="JU844" s="327">
        <f t="shared" ref="JU844:JU849" si="1561">JW844*0.5</f>
        <v>13.395178760784999</v>
      </c>
      <c r="JV844" s="279">
        <f t="shared" si="1538"/>
        <v>13.395178760784999</v>
      </c>
      <c r="JW844" s="323">
        <f>FISC!AN1150</f>
        <v>26.790357521569998</v>
      </c>
      <c r="JX844" s="327">
        <f t="shared" ref="JX844:JX849" si="1562">JZ844*0.5</f>
        <v>13.395178760784999</v>
      </c>
      <c r="JY844" s="279">
        <f t="shared" si="1539"/>
        <v>13.395178760784999</v>
      </c>
      <c r="JZ844" s="323">
        <f>FISC!AO1150</f>
        <v>26.790357521569998</v>
      </c>
      <c r="KA844" s="327">
        <f t="shared" ref="KA844:KA849" si="1563">KC844*0.5</f>
        <v>13.804647071349464</v>
      </c>
      <c r="KB844" s="279">
        <f t="shared" si="1540"/>
        <v>13.804647071349464</v>
      </c>
      <c r="KC844" s="323">
        <f>FISC!AP1150</f>
        <v>27.609294142698928</v>
      </c>
      <c r="KD844" s="327">
        <f t="shared" ref="KD844:KD849" si="1564">KF844*0.5</f>
        <v>13.804647071349464</v>
      </c>
      <c r="KE844" s="279">
        <f t="shared" si="1541"/>
        <v>13.804647071349464</v>
      </c>
      <c r="KF844" s="323">
        <f>FISC!AQ1150</f>
        <v>27.609294142698928</v>
      </c>
      <c r="KG844" s="327">
        <f t="shared" ref="KG844:KG849" si="1565">KI844*0.5</f>
        <v>13.804647071349464</v>
      </c>
      <c r="KH844" s="279">
        <f t="shared" si="1542"/>
        <v>13.804647071349464</v>
      </c>
      <c r="KI844" s="323">
        <f>FISC!AR1150</f>
        <v>27.609294142698928</v>
      </c>
      <c r="KJ844" s="327">
        <f t="shared" ref="KJ844:KJ849" si="1566">KL844*0.5</f>
        <v>13.804647071349464</v>
      </c>
      <c r="KK844" s="279">
        <f t="shared" si="1543"/>
        <v>13.804647071349464</v>
      </c>
      <c r="KL844" s="323">
        <f>FISC!AS1150</f>
        <v>27.609294142698928</v>
      </c>
      <c r="KM844" s="327">
        <f t="shared" ref="KM844:KM849" si="1567">KO844*0.5</f>
        <v>13.804647071349464</v>
      </c>
      <c r="KN844" s="279">
        <f t="shared" si="1544"/>
        <v>13.804647071349464</v>
      </c>
      <c r="KO844" s="323">
        <f>FISC!AT1150</f>
        <v>27.609294142698928</v>
      </c>
      <c r="KU844" s="326"/>
      <c r="KV844" s="327"/>
    </row>
    <row r="845" spans="1:308">
      <c r="A845" s="279"/>
      <c r="B845" s="96" t="s">
        <v>338</v>
      </c>
      <c r="D845" s="1495" t="s">
        <v>3158</v>
      </c>
      <c r="E845" s="323"/>
      <c r="F845" s="323"/>
      <c r="G845" s="323"/>
      <c r="H845" s="323"/>
      <c r="I845" s="323"/>
      <c r="J845" s="323"/>
      <c r="K845" s="323"/>
      <c r="L845" s="323"/>
      <c r="M845" s="323"/>
      <c r="N845" s="323"/>
      <c r="O845" s="323"/>
      <c r="P845" s="323"/>
      <c r="Q845" s="323"/>
      <c r="R845" s="323"/>
      <c r="S845" s="323"/>
      <c r="T845" s="323"/>
      <c r="U845" s="323"/>
      <c r="V845" s="323"/>
      <c r="W845" s="323"/>
      <c r="X845" s="323"/>
      <c r="Y845" s="323"/>
      <c r="Z845" s="323"/>
      <c r="AA845" s="323"/>
      <c r="AB845" s="323"/>
      <c r="AC845" s="323"/>
      <c r="AD845" s="323"/>
      <c r="AE845" s="323"/>
      <c r="AF845" s="323"/>
      <c r="AG845" s="323"/>
      <c r="AH845" s="323"/>
      <c r="AI845" s="323"/>
      <c r="AJ845" s="323"/>
      <c r="AK845" s="323"/>
      <c r="AL845" s="323"/>
      <c r="AM845" s="323"/>
      <c r="AN845" s="323"/>
      <c r="AO845" s="323">
        <v>0</v>
      </c>
      <c r="AP845" s="323">
        <v>0</v>
      </c>
      <c r="AQ845" s="323">
        <v>0</v>
      </c>
      <c r="AR845" s="323">
        <v>0</v>
      </c>
      <c r="AS845" s="323">
        <v>0</v>
      </c>
      <c r="AT845" s="323">
        <v>0</v>
      </c>
      <c r="AU845" s="323">
        <v>0</v>
      </c>
      <c r="AV845" s="323">
        <v>0</v>
      </c>
      <c r="AW845" s="323">
        <v>0</v>
      </c>
      <c r="AX845" s="323">
        <v>0</v>
      </c>
      <c r="AY845" s="323">
        <v>0</v>
      </c>
      <c r="AZ845" s="323">
        <v>0</v>
      </c>
      <c r="BA845" s="323">
        <v>0</v>
      </c>
      <c r="BB845" s="323">
        <v>0</v>
      </c>
      <c r="BC845" s="323">
        <v>0</v>
      </c>
      <c r="BD845" s="323">
        <v>0</v>
      </c>
      <c r="BE845" s="323">
        <v>0</v>
      </c>
      <c r="BF845" s="323">
        <v>0</v>
      </c>
      <c r="BG845" s="323">
        <v>0</v>
      </c>
      <c r="BH845" s="323">
        <v>0</v>
      </c>
      <c r="BI845" s="323">
        <v>0</v>
      </c>
      <c r="BJ845" s="323">
        <v>0</v>
      </c>
      <c r="BK845" s="323">
        <v>0</v>
      </c>
      <c r="BL845" s="323">
        <v>0</v>
      </c>
      <c r="BM845" s="323">
        <v>0</v>
      </c>
      <c r="BN845" s="323">
        <v>0</v>
      </c>
      <c r="BO845" s="323">
        <v>0</v>
      </c>
      <c r="BP845" s="323">
        <v>0</v>
      </c>
      <c r="BQ845" s="323">
        <v>0</v>
      </c>
      <c r="BR845" s="323">
        <v>0</v>
      </c>
      <c r="BS845" s="323">
        <v>0</v>
      </c>
      <c r="BT845" s="323">
        <v>0</v>
      </c>
      <c r="BU845" s="323">
        <v>0</v>
      </c>
      <c r="BV845" s="323">
        <v>0</v>
      </c>
      <c r="BW845" s="323">
        <v>0</v>
      </c>
      <c r="BX845" s="323">
        <v>0</v>
      </c>
      <c r="BY845" s="323">
        <v>0</v>
      </c>
      <c r="BZ845" s="323">
        <v>0</v>
      </c>
      <c r="CA845" s="323">
        <v>0</v>
      </c>
      <c r="CB845" s="323">
        <v>0</v>
      </c>
      <c r="CC845" s="323">
        <v>0</v>
      </c>
      <c r="CD845" s="329">
        <v>0</v>
      </c>
      <c r="CE845" s="323">
        <f t="shared" ref="CE845:DJ845" si="1568">CE438</f>
        <v>0</v>
      </c>
      <c r="CF845" s="323">
        <f t="shared" si="1568"/>
        <v>0</v>
      </c>
      <c r="CG845" s="323">
        <f t="shared" si="1568"/>
        <v>0</v>
      </c>
      <c r="CH845" s="323">
        <f t="shared" si="1568"/>
        <v>0</v>
      </c>
      <c r="CI845" s="323">
        <f t="shared" si="1568"/>
        <v>0</v>
      </c>
      <c r="CJ845" s="323">
        <f t="shared" si="1568"/>
        <v>0</v>
      </c>
      <c r="CK845" s="323">
        <f t="shared" si="1568"/>
        <v>0</v>
      </c>
      <c r="CL845" s="323">
        <f t="shared" si="1568"/>
        <v>0</v>
      </c>
      <c r="CM845" s="323">
        <f t="shared" si="1568"/>
        <v>0</v>
      </c>
      <c r="CN845" s="323">
        <f t="shared" si="1568"/>
        <v>0</v>
      </c>
      <c r="CO845" s="323">
        <f t="shared" si="1568"/>
        <v>0</v>
      </c>
      <c r="CP845" s="325">
        <f t="shared" si="1568"/>
        <v>0</v>
      </c>
      <c r="CQ845" s="323">
        <f t="shared" si="1568"/>
        <v>0</v>
      </c>
      <c r="CR845" s="323">
        <f t="shared" si="1568"/>
        <v>0</v>
      </c>
      <c r="CS845" s="323">
        <f t="shared" si="1568"/>
        <v>0</v>
      </c>
      <c r="CT845" s="323">
        <f t="shared" si="1568"/>
        <v>0</v>
      </c>
      <c r="CU845" s="323">
        <f t="shared" si="1568"/>
        <v>0</v>
      </c>
      <c r="CV845" s="323">
        <f t="shared" si="1568"/>
        <v>0</v>
      </c>
      <c r="CW845" s="323">
        <f t="shared" si="1568"/>
        <v>0</v>
      </c>
      <c r="CX845" s="323">
        <f t="shared" si="1568"/>
        <v>0</v>
      </c>
      <c r="CY845" s="323">
        <f t="shared" si="1568"/>
        <v>0</v>
      </c>
      <c r="CZ845" s="323">
        <f t="shared" si="1568"/>
        <v>0</v>
      </c>
      <c r="DA845" s="323">
        <f t="shared" si="1568"/>
        <v>0</v>
      </c>
      <c r="DB845" s="1269">
        <f t="shared" si="1568"/>
        <v>0</v>
      </c>
      <c r="DC845" s="323">
        <f t="shared" si="1568"/>
        <v>0</v>
      </c>
      <c r="DD845" s="323">
        <f t="shared" si="1568"/>
        <v>0</v>
      </c>
      <c r="DE845" s="323">
        <f t="shared" si="1568"/>
        <v>0</v>
      </c>
      <c r="DF845" s="323">
        <f t="shared" si="1568"/>
        <v>0</v>
      </c>
      <c r="DG845" s="323">
        <f t="shared" si="1568"/>
        <v>0</v>
      </c>
      <c r="DH845" s="323">
        <f t="shared" si="1568"/>
        <v>0</v>
      </c>
      <c r="DI845" s="323">
        <f t="shared" si="1568"/>
        <v>0</v>
      </c>
      <c r="DJ845" s="323">
        <f t="shared" si="1568"/>
        <v>0</v>
      </c>
      <c r="DK845" s="323">
        <f t="shared" ref="DK845:EP845" si="1569">DK438</f>
        <v>0</v>
      </c>
      <c r="DL845" s="323">
        <f t="shared" si="1569"/>
        <v>0</v>
      </c>
      <c r="DM845" s="323">
        <f t="shared" si="1569"/>
        <v>0</v>
      </c>
      <c r="DN845" s="325">
        <f t="shared" si="1569"/>
        <v>0</v>
      </c>
      <c r="DO845" s="323">
        <f t="shared" si="1569"/>
        <v>0</v>
      </c>
      <c r="DP845" s="323">
        <f t="shared" si="1569"/>
        <v>0</v>
      </c>
      <c r="DQ845" s="323">
        <f t="shared" si="1569"/>
        <v>0</v>
      </c>
      <c r="DR845" s="323">
        <f t="shared" si="1569"/>
        <v>0</v>
      </c>
      <c r="DS845" s="323">
        <f t="shared" si="1569"/>
        <v>0</v>
      </c>
      <c r="DT845" s="323">
        <f t="shared" si="1569"/>
        <v>0</v>
      </c>
      <c r="DU845" s="323">
        <f t="shared" si="1569"/>
        <v>0</v>
      </c>
      <c r="DV845" s="323">
        <f t="shared" si="1569"/>
        <v>0</v>
      </c>
      <c r="DW845" s="323">
        <f t="shared" si="1569"/>
        <v>0</v>
      </c>
      <c r="DX845" s="323">
        <f t="shared" si="1569"/>
        <v>0</v>
      </c>
      <c r="DY845" s="323">
        <f t="shared" si="1569"/>
        <v>0</v>
      </c>
      <c r="DZ845" s="325">
        <f t="shared" si="1569"/>
        <v>0</v>
      </c>
      <c r="EA845" s="323">
        <f t="shared" si="1569"/>
        <v>0</v>
      </c>
      <c r="EB845" s="323">
        <f t="shared" si="1569"/>
        <v>0</v>
      </c>
      <c r="EC845" s="323">
        <f t="shared" si="1569"/>
        <v>0</v>
      </c>
      <c r="ED845" s="323">
        <f t="shared" si="1569"/>
        <v>0</v>
      </c>
      <c r="EE845" s="323">
        <f t="shared" si="1569"/>
        <v>0</v>
      </c>
      <c r="EF845" s="323">
        <f t="shared" si="1569"/>
        <v>0</v>
      </c>
      <c r="EG845" s="323">
        <f t="shared" si="1569"/>
        <v>0</v>
      </c>
      <c r="EH845" s="323">
        <f t="shared" si="1569"/>
        <v>0</v>
      </c>
      <c r="EI845" s="323">
        <f t="shared" si="1569"/>
        <v>0</v>
      </c>
      <c r="EJ845" s="323">
        <f t="shared" si="1569"/>
        <v>0</v>
      </c>
      <c r="EK845" s="323">
        <f t="shared" si="1569"/>
        <v>0</v>
      </c>
      <c r="EL845" s="325">
        <f t="shared" si="1569"/>
        <v>0</v>
      </c>
      <c r="EM845" s="323">
        <f t="shared" si="1569"/>
        <v>0</v>
      </c>
      <c r="EN845" s="323">
        <f t="shared" si="1569"/>
        <v>0</v>
      </c>
      <c r="EO845" s="323">
        <f t="shared" si="1569"/>
        <v>0</v>
      </c>
      <c r="EP845" s="323">
        <f t="shared" si="1569"/>
        <v>0</v>
      </c>
      <c r="EQ845" s="323">
        <f t="shared" ref="EQ845:FV845" si="1570">EQ438</f>
        <v>0</v>
      </c>
      <c r="ER845" s="323">
        <f t="shared" si="1570"/>
        <v>0</v>
      </c>
      <c r="ES845" s="323">
        <f t="shared" si="1570"/>
        <v>0</v>
      </c>
      <c r="ET845" s="323">
        <f t="shared" si="1570"/>
        <v>0</v>
      </c>
      <c r="EU845" s="323">
        <f t="shared" si="1570"/>
        <v>0</v>
      </c>
      <c r="EV845" s="323">
        <f t="shared" si="1570"/>
        <v>0</v>
      </c>
      <c r="EW845" s="323">
        <f t="shared" si="1570"/>
        <v>0</v>
      </c>
      <c r="EX845" s="325">
        <f t="shared" si="1570"/>
        <v>0</v>
      </c>
      <c r="EY845" s="323">
        <f t="shared" si="1570"/>
        <v>0</v>
      </c>
      <c r="EZ845" s="323">
        <f t="shared" si="1570"/>
        <v>0</v>
      </c>
      <c r="FA845" s="323">
        <f t="shared" si="1570"/>
        <v>0</v>
      </c>
      <c r="FB845" s="323">
        <f t="shared" si="1570"/>
        <v>0</v>
      </c>
      <c r="FC845" s="323">
        <f t="shared" si="1570"/>
        <v>0</v>
      </c>
      <c r="FD845" s="323">
        <f t="shared" si="1570"/>
        <v>0</v>
      </c>
      <c r="FE845" s="323">
        <f t="shared" si="1570"/>
        <v>0</v>
      </c>
      <c r="FF845" s="323">
        <f t="shared" si="1570"/>
        <v>0</v>
      </c>
      <c r="FG845" s="323">
        <f t="shared" si="1570"/>
        <v>0</v>
      </c>
      <c r="FH845" s="323">
        <f t="shared" si="1570"/>
        <v>0</v>
      </c>
      <c r="FI845" s="323">
        <f t="shared" si="1570"/>
        <v>0</v>
      </c>
      <c r="FJ845" s="325">
        <f t="shared" si="1570"/>
        <v>0</v>
      </c>
      <c r="FK845" s="323">
        <f t="shared" si="1570"/>
        <v>0</v>
      </c>
      <c r="FL845" s="323">
        <f t="shared" si="1570"/>
        <v>0</v>
      </c>
      <c r="FM845" s="323">
        <f t="shared" si="1570"/>
        <v>0</v>
      </c>
      <c r="FN845" s="323">
        <f t="shared" si="1570"/>
        <v>16.209857913474771</v>
      </c>
      <c r="FO845" s="323">
        <f t="shared" si="1570"/>
        <v>0</v>
      </c>
      <c r="FP845" s="323">
        <f t="shared" si="1570"/>
        <v>0</v>
      </c>
      <c r="FQ845" s="323">
        <f t="shared" si="1570"/>
        <v>0</v>
      </c>
      <c r="FR845" s="323">
        <f t="shared" si="1570"/>
        <v>0</v>
      </c>
      <c r="FS845" s="323">
        <f t="shared" si="1570"/>
        <v>0</v>
      </c>
      <c r="FT845" s="323">
        <f t="shared" si="1570"/>
        <v>19.094966261</v>
      </c>
      <c r="FU845" s="323">
        <f t="shared" si="1570"/>
        <v>0</v>
      </c>
      <c r="FV845" s="323">
        <f t="shared" si="1570"/>
        <v>0</v>
      </c>
      <c r="FW845" s="323">
        <v>0</v>
      </c>
      <c r="FX845" s="323">
        <v>0</v>
      </c>
      <c r="FY845" s="323">
        <v>0</v>
      </c>
      <c r="FZ845" s="323">
        <v>11.416539758000001</v>
      </c>
      <c r="GA845" s="323">
        <v>0</v>
      </c>
      <c r="GB845" s="323">
        <v>0</v>
      </c>
      <c r="GC845" s="323">
        <f>GC847</f>
        <v>11.069322662999999</v>
      </c>
      <c r="GD845" s="323">
        <v>0</v>
      </c>
      <c r="GE845" s="323">
        <v>0</v>
      </c>
      <c r="GF845" s="323">
        <v>0</v>
      </c>
      <c r="GG845" s="323">
        <v>0</v>
      </c>
      <c r="GH845" s="323">
        <v>0</v>
      </c>
      <c r="GI845" s="323">
        <v>0</v>
      </c>
      <c r="GJ845" s="323">
        <v>0</v>
      </c>
      <c r="GK845" s="323">
        <v>0</v>
      </c>
      <c r="GL845" s="323">
        <v>0</v>
      </c>
      <c r="GM845" s="323">
        <v>0</v>
      </c>
      <c r="GN845" s="323">
        <v>0</v>
      </c>
      <c r="GO845" s="323">
        <v>0</v>
      </c>
      <c r="GP845" s="323">
        <v>0</v>
      </c>
      <c r="GQ845" s="323">
        <v>0</v>
      </c>
      <c r="GR845" s="323">
        <v>0</v>
      </c>
      <c r="GS845" s="323">
        <v>0</v>
      </c>
      <c r="GT845" s="323">
        <v>0</v>
      </c>
      <c r="GU845" s="323">
        <v>0</v>
      </c>
      <c r="GV845" s="323">
        <v>0</v>
      </c>
      <c r="GW845" s="323">
        <v>0</v>
      </c>
      <c r="GX845" s="323">
        <v>0</v>
      </c>
      <c r="GY845" s="323">
        <v>0</v>
      </c>
      <c r="GZ845" s="323">
        <v>0</v>
      </c>
      <c r="HA845" s="323">
        <v>0</v>
      </c>
      <c r="HB845" s="323">
        <v>0</v>
      </c>
      <c r="HC845" s="323">
        <v>0</v>
      </c>
      <c r="HD845" s="323">
        <v>0</v>
      </c>
      <c r="HE845" s="323">
        <v>0</v>
      </c>
      <c r="HF845" s="323">
        <v>0</v>
      </c>
      <c r="HG845" s="323">
        <f>HG846+HG847</f>
        <v>52.070578646999998</v>
      </c>
      <c r="HH845" s="323">
        <f t="shared" ref="HH845:HL845" si="1571">HH846+HH847</f>
        <v>0</v>
      </c>
      <c r="HI845" s="323">
        <f t="shared" si="1571"/>
        <v>0</v>
      </c>
      <c r="HJ845" s="323">
        <f t="shared" si="1571"/>
        <v>0</v>
      </c>
      <c r="HK845" s="323">
        <f t="shared" si="1571"/>
        <v>0</v>
      </c>
      <c r="HL845" s="323">
        <f t="shared" si="1571"/>
        <v>0</v>
      </c>
      <c r="HM845" s="323">
        <f t="shared" ref="HM845:HR845" si="1572">HM846+HM847</f>
        <v>0</v>
      </c>
      <c r="HN845" s="323">
        <f t="shared" si="1572"/>
        <v>0</v>
      </c>
      <c r="HO845" s="323">
        <f t="shared" si="1572"/>
        <v>0</v>
      </c>
      <c r="HP845" s="323">
        <f t="shared" si="1572"/>
        <v>0</v>
      </c>
      <c r="HQ845" s="323">
        <f t="shared" si="1572"/>
        <v>0</v>
      </c>
      <c r="HR845" s="323">
        <f t="shared" si="1572"/>
        <v>0</v>
      </c>
      <c r="HS845" s="323">
        <f t="shared" ref="HS845:HX845" si="1573">HS846+HS847</f>
        <v>0</v>
      </c>
      <c r="HT845" s="323">
        <f t="shared" si="1573"/>
        <v>0</v>
      </c>
      <c r="HU845" s="323">
        <f t="shared" si="1573"/>
        <v>0</v>
      </c>
      <c r="HV845" s="323">
        <f t="shared" si="1573"/>
        <v>0</v>
      </c>
      <c r="HW845" s="323">
        <f t="shared" si="1573"/>
        <v>0</v>
      </c>
      <c r="HX845" s="323">
        <f t="shared" si="1573"/>
        <v>0</v>
      </c>
      <c r="HY845" s="323"/>
      <c r="HZ845" s="326"/>
      <c r="IA845" s="1495" t="s">
        <v>3158</v>
      </c>
      <c r="IB845" s="284">
        <f>SUM(CE845:CJ845)</f>
        <v>0</v>
      </c>
      <c r="IC845" s="279">
        <f>SUM(CK845:CP845)</f>
        <v>0</v>
      </c>
      <c r="ID845" s="323">
        <f>IB845+IC845</f>
        <v>0</v>
      </c>
      <c r="IE845" s="279">
        <f>SUM(CQ845:CV845)</f>
        <v>0</v>
      </c>
      <c r="IF845" s="279">
        <f>SUM(CW845:DB845)</f>
        <v>0</v>
      </c>
      <c r="IG845" s="323">
        <f>IE845+IF845</f>
        <v>0</v>
      </c>
      <c r="IH845" s="284">
        <f>SUM(DC845:DH845)</f>
        <v>0</v>
      </c>
      <c r="II845" s="279">
        <f>SUM(DI845:DN845)</f>
        <v>0</v>
      </c>
      <c r="IJ845" s="323">
        <f>IH845+II845</f>
        <v>0</v>
      </c>
      <c r="IK845" s="327">
        <f>SUM(DO845:DT845)</f>
        <v>0</v>
      </c>
      <c r="IL845" s="279">
        <f>SUM(DU845:DZ845)</f>
        <v>0</v>
      </c>
      <c r="IM845" s="323">
        <f>IK845+IL845</f>
        <v>0</v>
      </c>
      <c r="IN845" s="279">
        <f>SUM(EA845:EF845)</f>
        <v>0</v>
      </c>
      <c r="IO845" s="279">
        <f>SUM(EG845:EL845)</f>
        <v>0</v>
      </c>
      <c r="IP845" s="323">
        <f>IN845+IO845</f>
        <v>0</v>
      </c>
      <c r="IQ845" s="327">
        <f>SUM(EM845:ER845)</f>
        <v>0</v>
      </c>
      <c r="IR845" s="327">
        <f>SUM(ES845:EX845)</f>
        <v>0</v>
      </c>
      <c r="IS845" s="323">
        <f>IQ845+IR845</f>
        <v>0</v>
      </c>
      <c r="IT845" s="327">
        <f>SUM(EY845:FD845)</f>
        <v>0</v>
      </c>
      <c r="IU845" s="327">
        <f>SUM(FE845:FJ845)</f>
        <v>0</v>
      </c>
      <c r="IV845" s="323">
        <f>IT845+IU845</f>
        <v>0</v>
      </c>
      <c r="IW845" s="327">
        <f t="shared" ref="IW845:IW851" si="1574">SUM(FK845:FP845)</f>
        <v>16.209857913474771</v>
      </c>
      <c r="IX845" s="327">
        <f t="shared" si="1378"/>
        <v>19.094966261</v>
      </c>
      <c r="IY845" s="323">
        <f t="shared" si="1475"/>
        <v>35.304824174474774</v>
      </c>
      <c r="IZ845" s="327">
        <f t="shared" si="1439"/>
        <v>11.416539758000001</v>
      </c>
      <c r="JA845" s="327">
        <f t="shared" si="1440"/>
        <v>11.069322662999999</v>
      </c>
      <c r="JB845" s="323">
        <f t="shared" si="1458"/>
        <v>22.485862421</v>
      </c>
      <c r="JC845" s="327">
        <f t="shared" si="1441"/>
        <v>0</v>
      </c>
      <c r="JD845" s="327">
        <f t="shared" si="1442"/>
        <v>0</v>
      </c>
      <c r="JE845" s="323">
        <f t="shared" si="1459"/>
        <v>0</v>
      </c>
      <c r="JF845" s="327">
        <f>SUM(GU845:GZ845)</f>
        <v>0</v>
      </c>
      <c r="JG845" s="327">
        <f t="shared" si="1372"/>
        <v>0</v>
      </c>
      <c r="JH845" s="323">
        <f t="shared" si="1406"/>
        <v>0</v>
      </c>
      <c r="JI845" s="327">
        <f t="shared" si="1476"/>
        <v>52.070578646999998</v>
      </c>
      <c r="JJ845" s="327">
        <f t="shared" si="1405"/>
        <v>0</v>
      </c>
      <c r="JK845" s="323">
        <f t="shared" si="1398"/>
        <v>52.070578646999998</v>
      </c>
      <c r="JL845" s="327">
        <f t="shared" si="1407"/>
        <v>0</v>
      </c>
      <c r="JM845" s="279">
        <f t="shared" si="1535"/>
        <v>0</v>
      </c>
      <c r="JN845" s="323">
        <f>FISC!AK1151</f>
        <v>0</v>
      </c>
      <c r="JO845" s="327">
        <f t="shared" si="1559"/>
        <v>0</v>
      </c>
      <c r="JP845" s="279">
        <f t="shared" si="1536"/>
        <v>0</v>
      </c>
      <c r="JQ845" s="323">
        <f>FISC!AL1151</f>
        <v>0</v>
      </c>
      <c r="JR845" s="327">
        <f t="shared" si="1560"/>
        <v>0</v>
      </c>
      <c r="JS845" s="279">
        <f t="shared" si="1537"/>
        <v>0</v>
      </c>
      <c r="JT845" s="323">
        <f>FISC!AM1151</f>
        <v>0</v>
      </c>
      <c r="JU845" s="327">
        <f t="shared" si="1561"/>
        <v>0</v>
      </c>
      <c r="JV845" s="279">
        <f t="shared" si="1538"/>
        <v>0</v>
      </c>
      <c r="JW845" s="323">
        <f>FISC!AN1151</f>
        <v>0</v>
      </c>
      <c r="JX845" s="327">
        <f t="shared" si="1562"/>
        <v>0</v>
      </c>
      <c r="JY845" s="279">
        <f t="shared" si="1539"/>
        <v>0</v>
      </c>
      <c r="JZ845" s="323">
        <f>FISC!AO1151</f>
        <v>0</v>
      </c>
      <c r="KA845" s="327">
        <f t="shared" si="1563"/>
        <v>0</v>
      </c>
      <c r="KB845" s="279">
        <f t="shared" si="1540"/>
        <v>0</v>
      </c>
      <c r="KC845" s="323">
        <f>FISC!AP1151</f>
        <v>0</v>
      </c>
      <c r="KD845" s="327">
        <f t="shared" si="1564"/>
        <v>0</v>
      </c>
      <c r="KE845" s="279">
        <f t="shared" si="1541"/>
        <v>0</v>
      </c>
      <c r="KF845" s="323">
        <f>FISC!AQ1151</f>
        <v>0</v>
      </c>
      <c r="KG845" s="327">
        <f t="shared" si="1565"/>
        <v>0</v>
      </c>
      <c r="KH845" s="279">
        <f t="shared" si="1542"/>
        <v>0</v>
      </c>
      <c r="KI845" s="323">
        <f>FISC!AR1151</f>
        <v>0</v>
      </c>
      <c r="KJ845" s="327">
        <f t="shared" si="1566"/>
        <v>0</v>
      </c>
      <c r="KK845" s="279">
        <f t="shared" si="1543"/>
        <v>0</v>
      </c>
      <c r="KL845" s="323">
        <f>FISC!AS1151</f>
        <v>0</v>
      </c>
      <c r="KM845" s="327">
        <f t="shared" si="1567"/>
        <v>0</v>
      </c>
      <c r="KN845" s="279">
        <f t="shared" si="1544"/>
        <v>0</v>
      </c>
      <c r="KO845" s="323">
        <f>FISC!AT1151</f>
        <v>0</v>
      </c>
      <c r="KU845" s="326"/>
      <c r="KV845" s="327"/>
    </row>
    <row r="846" spans="1:308">
      <c r="A846" s="279"/>
      <c r="D846" s="1232" t="s">
        <v>506</v>
      </c>
      <c r="E846" s="323"/>
      <c r="F846" s="323"/>
      <c r="G846" s="323"/>
      <c r="H846" s="323"/>
      <c r="I846" s="323"/>
      <c r="J846" s="323"/>
      <c r="K846" s="323"/>
      <c r="L846" s="323"/>
      <c r="M846" s="323"/>
      <c r="N846" s="323"/>
      <c r="O846" s="323"/>
      <c r="P846" s="323"/>
      <c r="Q846" s="323"/>
      <c r="R846" s="323"/>
      <c r="S846" s="323"/>
      <c r="T846" s="323"/>
      <c r="U846" s="323"/>
      <c r="V846" s="323"/>
      <c r="W846" s="323"/>
      <c r="X846" s="323"/>
      <c r="Y846" s="323"/>
      <c r="Z846" s="323"/>
      <c r="AA846" s="323"/>
      <c r="AB846" s="323"/>
      <c r="AC846" s="323"/>
      <c r="AD846" s="323"/>
      <c r="AE846" s="323"/>
      <c r="AF846" s="323"/>
      <c r="AG846" s="323"/>
      <c r="AH846" s="323"/>
      <c r="AI846" s="323"/>
      <c r="AJ846" s="323"/>
      <c r="AK846" s="323"/>
      <c r="AL846" s="323"/>
      <c r="AM846" s="323"/>
      <c r="AN846" s="323"/>
      <c r="AO846" s="323"/>
      <c r="AP846" s="323"/>
      <c r="AQ846" s="323"/>
      <c r="AR846" s="323"/>
      <c r="AS846" s="323"/>
      <c r="AT846" s="323"/>
      <c r="AU846" s="323"/>
      <c r="AV846" s="323"/>
      <c r="AW846" s="323"/>
      <c r="AX846" s="323"/>
      <c r="AY846" s="323"/>
      <c r="AZ846" s="323"/>
      <c r="BA846" s="323"/>
      <c r="BB846" s="323"/>
      <c r="BC846" s="323"/>
      <c r="BD846" s="323"/>
      <c r="BE846" s="323"/>
      <c r="BF846" s="323"/>
      <c r="BG846" s="323"/>
      <c r="BH846" s="323"/>
      <c r="BI846" s="323"/>
      <c r="BJ846" s="323"/>
      <c r="BK846" s="323"/>
      <c r="BL846" s="323"/>
      <c r="BM846" s="323"/>
      <c r="BN846" s="323"/>
      <c r="BO846" s="323"/>
      <c r="BP846" s="323"/>
      <c r="BQ846" s="323"/>
      <c r="BR846" s="323"/>
      <c r="BS846" s="323"/>
      <c r="BT846" s="323"/>
      <c r="BU846" s="323"/>
      <c r="BV846" s="323"/>
      <c r="BW846" s="323"/>
      <c r="BX846" s="323"/>
      <c r="BY846" s="323"/>
      <c r="BZ846" s="323"/>
      <c r="CA846" s="323"/>
      <c r="CB846" s="323"/>
      <c r="CC846" s="323"/>
      <c r="CD846" s="329"/>
      <c r="CE846" s="323">
        <f t="shared" ref="CE846:DJ846" si="1575">CE439</f>
        <v>0</v>
      </c>
      <c r="CF846" s="323">
        <f t="shared" si="1575"/>
        <v>0</v>
      </c>
      <c r="CG846" s="323">
        <f t="shared" si="1575"/>
        <v>0</v>
      </c>
      <c r="CH846" s="323">
        <f t="shared" si="1575"/>
        <v>0</v>
      </c>
      <c r="CI846" s="323">
        <f t="shared" si="1575"/>
        <v>0</v>
      </c>
      <c r="CJ846" s="323">
        <f t="shared" si="1575"/>
        <v>0</v>
      </c>
      <c r="CK846" s="323">
        <f t="shared" si="1575"/>
        <v>0</v>
      </c>
      <c r="CL846" s="323">
        <f t="shared" si="1575"/>
        <v>0</v>
      </c>
      <c r="CM846" s="323">
        <f t="shared" si="1575"/>
        <v>0</v>
      </c>
      <c r="CN846" s="323">
        <f t="shared" si="1575"/>
        <v>0</v>
      </c>
      <c r="CO846" s="323">
        <f t="shared" si="1575"/>
        <v>0</v>
      </c>
      <c r="CP846" s="325">
        <f t="shared" si="1575"/>
        <v>0</v>
      </c>
      <c r="CQ846" s="323">
        <f t="shared" si="1575"/>
        <v>0</v>
      </c>
      <c r="CR846" s="323">
        <f t="shared" si="1575"/>
        <v>0</v>
      </c>
      <c r="CS846" s="323">
        <f t="shared" si="1575"/>
        <v>0</v>
      </c>
      <c r="CT846" s="323">
        <f t="shared" si="1575"/>
        <v>0</v>
      </c>
      <c r="CU846" s="323">
        <f t="shared" si="1575"/>
        <v>0</v>
      </c>
      <c r="CV846" s="323">
        <f t="shared" si="1575"/>
        <v>0</v>
      </c>
      <c r="CW846" s="323">
        <f t="shared" si="1575"/>
        <v>0</v>
      </c>
      <c r="CX846" s="323">
        <f t="shared" si="1575"/>
        <v>0</v>
      </c>
      <c r="CY846" s="323">
        <f t="shared" si="1575"/>
        <v>0</v>
      </c>
      <c r="CZ846" s="323">
        <f t="shared" si="1575"/>
        <v>0</v>
      </c>
      <c r="DA846" s="323">
        <f t="shared" si="1575"/>
        <v>0</v>
      </c>
      <c r="DB846" s="1269">
        <f t="shared" si="1575"/>
        <v>0</v>
      </c>
      <c r="DC846" s="323">
        <f t="shared" si="1575"/>
        <v>0</v>
      </c>
      <c r="DD846" s="323">
        <f t="shared" si="1575"/>
        <v>0</v>
      </c>
      <c r="DE846" s="323">
        <f t="shared" si="1575"/>
        <v>0</v>
      </c>
      <c r="DF846" s="323">
        <f t="shared" si="1575"/>
        <v>0</v>
      </c>
      <c r="DG846" s="323">
        <f t="shared" si="1575"/>
        <v>0</v>
      </c>
      <c r="DH846" s="323">
        <f t="shared" si="1575"/>
        <v>0</v>
      </c>
      <c r="DI846" s="323">
        <f t="shared" si="1575"/>
        <v>0</v>
      </c>
      <c r="DJ846" s="323">
        <f t="shared" si="1575"/>
        <v>0</v>
      </c>
      <c r="DK846" s="323">
        <f t="shared" ref="DK846:EP846" si="1576">DK439</f>
        <v>0</v>
      </c>
      <c r="DL846" s="323">
        <f t="shared" si="1576"/>
        <v>0</v>
      </c>
      <c r="DM846" s="323">
        <f t="shared" si="1576"/>
        <v>0</v>
      </c>
      <c r="DN846" s="325">
        <f t="shared" si="1576"/>
        <v>0</v>
      </c>
      <c r="DO846" s="323">
        <f t="shared" si="1576"/>
        <v>0</v>
      </c>
      <c r="DP846" s="323">
        <f t="shared" si="1576"/>
        <v>0</v>
      </c>
      <c r="DQ846" s="323">
        <f t="shared" si="1576"/>
        <v>0</v>
      </c>
      <c r="DR846" s="323">
        <f t="shared" si="1576"/>
        <v>0</v>
      </c>
      <c r="DS846" s="323">
        <f t="shared" si="1576"/>
        <v>0</v>
      </c>
      <c r="DT846" s="323">
        <f t="shared" si="1576"/>
        <v>0</v>
      </c>
      <c r="DU846" s="323">
        <f t="shared" si="1576"/>
        <v>0</v>
      </c>
      <c r="DV846" s="323">
        <f t="shared" si="1576"/>
        <v>0</v>
      </c>
      <c r="DW846" s="323">
        <f t="shared" si="1576"/>
        <v>0</v>
      </c>
      <c r="DX846" s="323">
        <f t="shared" si="1576"/>
        <v>0</v>
      </c>
      <c r="DY846" s="323">
        <f t="shared" si="1576"/>
        <v>0</v>
      </c>
      <c r="DZ846" s="325">
        <f t="shared" si="1576"/>
        <v>0</v>
      </c>
      <c r="EA846" s="323">
        <f t="shared" si="1576"/>
        <v>0</v>
      </c>
      <c r="EB846" s="323">
        <f t="shared" si="1576"/>
        <v>0</v>
      </c>
      <c r="EC846" s="323">
        <f t="shared" si="1576"/>
        <v>0</v>
      </c>
      <c r="ED846" s="323">
        <f t="shared" si="1576"/>
        <v>0</v>
      </c>
      <c r="EE846" s="323">
        <f t="shared" si="1576"/>
        <v>0</v>
      </c>
      <c r="EF846" s="323">
        <f t="shared" si="1576"/>
        <v>0</v>
      </c>
      <c r="EG846" s="323">
        <f t="shared" si="1576"/>
        <v>0</v>
      </c>
      <c r="EH846" s="323">
        <f t="shared" si="1576"/>
        <v>0</v>
      </c>
      <c r="EI846" s="323">
        <f t="shared" si="1576"/>
        <v>0</v>
      </c>
      <c r="EJ846" s="323">
        <f t="shared" si="1576"/>
        <v>0</v>
      </c>
      <c r="EK846" s="323">
        <f t="shared" si="1576"/>
        <v>0</v>
      </c>
      <c r="EL846" s="325">
        <f t="shared" si="1576"/>
        <v>0</v>
      </c>
      <c r="EM846" s="323">
        <f t="shared" si="1576"/>
        <v>0</v>
      </c>
      <c r="EN846" s="323">
        <f t="shared" si="1576"/>
        <v>0</v>
      </c>
      <c r="EO846" s="323">
        <f t="shared" si="1576"/>
        <v>0</v>
      </c>
      <c r="EP846" s="323">
        <f t="shared" si="1576"/>
        <v>0</v>
      </c>
      <c r="EQ846" s="323">
        <f t="shared" ref="EQ846:FV846" si="1577">EQ439</f>
        <v>0</v>
      </c>
      <c r="ER846" s="323">
        <f t="shared" si="1577"/>
        <v>0</v>
      </c>
      <c r="ES846" s="323">
        <f t="shared" si="1577"/>
        <v>0</v>
      </c>
      <c r="ET846" s="323">
        <f t="shared" si="1577"/>
        <v>0</v>
      </c>
      <c r="EU846" s="323">
        <f t="shared" si="1577"/>
        <v>0</v>
      </c>
      <c r="EV846" s="323">
        <f t="shared" si="1577"/>
        <v>0</v>
      </c>
      <c r="EW846" s="323">
        <f t="shared" si="1577"/>
        <v>0</v>
      </c>
      <c r="EX846" s="325">
        <f t="shared" si="1577"/>
        <v>0</v>
      </c>
      <c r="EY846" s="323">
        <f t="shared" si="1577"/>
        <v>0</v>
      </c>
      <c r="EZ846" s="323">
        <f t="shared" si="1577"/>
        <v>0</v>
      </c>
      <c r="FA846" s="323">
        <f t="shared" si="1577"/>
        <v>0</v>
      </c>
      <c r="FB846" s="323">
        <f t="shared" si="1577"/>
        <v>0</v>
      </c>
      <c r="FC846" s="323">
        <f t="shared" si="1577"/>
        <v>0</v>
      </c>
      <c r="FD846" s="323">
        <f t="shared" si="1577"/>
        <v>0</v>
      </c>
      <c r="FE846" s="323">
        <f t="shared" si="1577"/>
        <v>0</v>
      </c>
      <c r="FF846" s="323">
        <f t="shared" si="1577"/>
        <v>0</v>
      </c>
      <c r="FG846" s="323">
        <f t="shared" si="1577"/>
        <v>0</v>
      </c>
      <c r="FH846" s="323">
        <f t="shared" si="1577"/>
        <v>0</v>
      </c>
      <c r="FI846" s="323">
        <f t="shared" si="1577"/>
        <v>0</v>
      </c>
      <c r="FJ846" s="325">
        <f t="shared" si="1577"/>
        <v>0</v>
      </c>
      <c r="FK846" s="323">
        <f t="shared" si="1577"/>
        <v>0</v>
      </c>
      <c r="FL846" s="323">
        <f t="shared" si="1577"/>
        <v>0</v>
      </c>
      <c r="FM846" s="323">
        <f t="shared" si="1577"/>
        <v>0</v>
      </c>
      <c r="FN846" s="323">
        <f t="shared" si="1577"/>
        <v>0</v>
      </c>
      <c r="FO846" s="323">
        <f t="shared" si="1577"/>
        <v>0</v>
      </c>
      <c r="FP846" s="323">
        <f t="shared" si="1577"/>
        <v>0</v>
      </c>
      <c r="FQ846" s="323">
        <f t="shared" si="1577"/>
        <v>0</v>
      </c>
      <c r="FR846" s="323">
        <f t="shared" si="1577"/>
        <v>0</v>
      </c>
      <c r="FS846" s="323">
        <f t="shared" si="1577"/>
        <v>0</v>
      </c>
      <c r="FT846" s="323">
        <f t="shared" si="1577"/>
        <v>0</v>
      </c>
      <c r="FU846" s="323">
        <f t="shared" si="1577"/>
        <v>0</v>
      </c>
      <c r="FV846" s="323">
        <f t="shared" si="1577"/>
        <v>0</v>
      </c>
      <c r="FW846" s="323">
        <v>0</v>
      </c>
      <c r="FX846" s="323">
        <v>0</v>
      </c>
      <c r="FY846" s="323">
        <v>0</v>
      </c>
      <c r="FZ846" s="323">
        <v>0</v>
      </c>
      <c r="GA846" s="323">
        <v>0</v>
      </c>
      <c r="GB846" s="323">
        <v>0</v>
      </c>
      <c r="GC846" s="323">
        <v>0</v>
      </c>
      <c r="GD846" s="323">
        <v>0</v>
      </c>
      <c r="GE846" s="323">
        <v>0</v>
      </c>
      <c r="GF846" s="323">
        <v>0</v>
      </c>
      <c r="GG846" s="323">
        <v>0</v>
      </c>
      <c r="GH846" s="323">
        <v>0</v>
      </c>
      <c r="GI846" s="323">
        <v>0</v>
      </c>
      <c r="GJ846" s="323">
        <v>0</v>
      </c>
      <c r="GK846" s="323">
        <v>0</v>
      </c>
      <c r="GL846" s="323">
        <v>0</v>
      </c>
      <c r="GM846" s="323">
        <v>0</v>
      </c>
      <c r="GN846" s="323">
        <v>0</v>
      </c>
      <c r="GO846" s="323">
        <v>0</v>
      </c>
      <c r="GP846" s="323">
        <v>0</v>
      </c>
      <c r="GQ846" s="323">
        <v>0</v>
      </c>
      <c r="GR846" s="323">
        <v>0</v>
      </c>
      <c r="GS846" s="323">
        <v>0</v>
      </c>
      <c r="GT846" s="323">
        <v>0</v>
      </c>
      <c r="GU846" s="323">
        <v>0</v>
      </c>
      <c r="GV846" s="323">
        <v>0</v>
      </c>
      <c r="GW846" s="323">
        <v>0</v>
      </c>
      <c r="GX846" s="323">
        <v>0</v>
      </c>
      <c r="GY846" s="323">
        <v>0</v>
      </c>
      <c r="GZ846" s="323">
        <v>0</v>
      </c>
      <c r="HA846" s="323">
        <v>0</v>
      </c>
      <c r="HB846" s="323">
        <v>0</v>
      </c>
      <c r="HC846" s="323">
        <v>0</v>
      </c>
      <c r="HD846" s="323">
        <v>0</v>
      </c>
      <c r="HE846" s="323">
        <v>0</v>
      </c>
      <c r="HF846" s="323">
        <v>0</v>
      </c>
      <c r="HG846" s="323">
        <f t="shared" ref="HG846:HL847" si="1578">HG439</f>
        <v>52.070578646999998</v>
      </c>
      <c r="HH846" s="323">
        <f t="shared" si="1578"/>
        <v>0</v>
      </c>
      <c r="HI846" s="323">
        <f t="shared" si="1578"/>
        <v>0</v>
      </c>
      <c r="HJ846" s="323">
        <f t="shared" si="1578"/>
        <v>0</v>
      </c>
      <c r="HK846" s="323">
        <f t="shared" si="1578"/>
        <v>0</v>
      </c>
      <c r="HL846" s="323">
        <f t="shared" si="1578"/>
        <v>0</v>
      </c>
      <c r="HM846" s="323">
        <f t="shared" ref="HM846:HR846" si="1579">HM439</f>
        <v>0</v>
      </c>
      <c r="HN846" s="323">
        <f t="shared" si="1579"/>
        <v>0</v>
      </c>
      <c r="HO846" s="323">
        <f t="shared" si="1579"/>
        <v>0</v>
      </c>
      <c r="HP846" s="323">
        <f t="shared" si="1579"/>
        <v>0</v>
      </c>
      <c r="HQ846" s="323">
        <f t="shared" si="1579"/>
        <v>0</v>
      </c>
      <c r="HR846" s="323">
        <f t="shared" si="1579"/>
        <v>0</v>
      </c>
      <c r="HS846" s="323">
        <f t="shared" ref="HS846:HX846" si="1580">HS439</f>
        <v>0</v>
      </c>
      <c r="HT846" s="323">
        <f t="shared" si="1580"/>
        <v>0</v>
      </c>
      <c r="HU846" s="323">
        <f t="shared" si="1580"/>
        <v>0</v>
      </c>
      <c r="HV846" s="323">
        <f t="shared" si="1580"/>
        <v>0</v>
      </c>
      <c r="HW846" s="323">
        <f t="shared" si="1580"/>
        <v>0</v>
      </c>
      <c r="HX846" s="323">
        <f t="shared" si="1580"/>
        <v>0</v>
      </c>
      <c r="HY846" s="323"/>
      <c r="HZ846" s="326"/>
      <c r="IA846" s="1232" t="s">
        <v>506</v>
      </c>
      <c r="IB846" s="284">
        <f>SUM(CE846:CJ846)</f>
        <v>0</v>
      </c>
      <c r="IC846" s="279">
        <f>SUM(CK846:CP846)</f>
        <v>0</v>
      </c>
      <c r="ID846" s="323">
        <f>IB846+IC846</f>
        <v>0</v>
      </c>
      <c r="IE846" s="279">
        <f>SUM(CQ846:CV846)</f>
        <v>0</v>
      </c>
      <c r="IF846" s="279">
        <f>SUM(CW846:DB846)</f>
        <v>0</v>
      </c>
      <c r="IG846" s="323">
        <f>IE846+IF846</f>
        <v>0</v>
      </c>
      <c r="IH846" s="284">
        <f>SUM(DC846:DH846)</f>
        <v>0</v>
      </c>
      <c r="II846" s="279">
        <f>SUM(DI846:DN846)</f>
        <v>0</v>
      </c>
      <c r="IJ846" s="323">
        <f>IH846+II846</f>
        <v>0</v>
      </c>
      <c r="IK846" s="327">
        <f>SUM(DO846:DT846)</f>
        <v>0</v>
      </c>
      <c r="IL846" s="279">
        <f>SUM(DU846:DZ846)</f>
        <v>0</v>
      </c>
      <c r="IM846" s="323">
        <f>IK846+IL846</f>
        <v>0</v>
      </c>
      <c r="IN846" s="279">
        <f>SUM(EA846:EF846)</f>
        <v>0</v>
      </c>
      <c r="IO846" s="279">
        <f>SUM(EG846:EL846)</f>
        <v>0</v>
      </c>
      <c r="IP846" s="323">
        <f>IN846+IO846</f>
        <v>0</v>
      </c>
      <c r="IQ846" s="327">
        <f>SUM(EM846:ER846)</f>
        <v>0</v>
      </c>
      <c r="IR846" s="327">
        <f>SUM(ES846:EX846)</f>
        <v>0</v>
      </c>
      <c r="IS846" s="323">
        <f>IQ846+IR846</f>
        <v>0</v>
      </c>
      <c r="IT846" s="327">
        <f>SUM(EY846:FD846)</f>
        <v>0</v>
      </c>
      <c r="IU846" s="327">
        <f>SUM(FE846:FJ846)</f>
        <v>0</v>
      </c>
      <c r="IV846" s="323">
        <f>IT846+IU846</f>
        <v>0</v>
      </c>
      <c r="IW846" s="327">
        <f t="shared" si="1574"/>
        <v>0</v>
      </c>
      <c r="IX846" s="327">
        <f t="shared" si="1378"/>
        <v>0</v>
      </c>
      <c r="IY846" s="323">
        <f t="shared" si="1475"/>
        <v>0</v>
      </c>
      <c r="IZ846" s="327">
        <f t="shared" si="1439"/>
        <v>0</v>
      </c>
      <c r="JA846" s="327">
        <f t="shared" si="1440"/>
        <v>0</v>
      </c>
      <c r="JB846" s="323">
        <f t="shared" si="1458"/>
        <v>0</v>
      </c>
      <c r="JC846" s="327">
        <f t="shared" si="1441"/>
        <v>0</v>
      </c>
      <c r="JD846" s="327">
        <f t="shared" si="1442"/>
        <v>0</v>
      </c>
      <c r="JE846" s="323">
        <f t="shared" si="1459"/>
        <v>0</v>
      </c>
      <c r="JF846" s="327">
        <f>SUM(GU846:GZ846)</f>
        <v>0</v>
      </c>
      <c r="JG846" s="327">
        <f t="shared" si="1372"/>
        <v>0</v>
      </c>
      <c r="JH846" s="323">
        <f t="shared" si="1406"/>
        <v>0</v>
      </c>
      <c r="JI846" s="327">
        <f t="shared" si="1476"/>
        <v>52.070578646999998</v>
      </c>
      <c r="JJ846" s="327">
        <f t="shared" si="1405"/>
        <v>0</v>
      </c>
      <c r="JK846" s="323">
        <f t="shared" si="1398"/>
        <v>52.070578646999998</v>
      </c>
      <c r="JL846" s="327">
        <f t="shared" si="1407"/>
        <v>0</v>
      </c>
      <c r="JM846" s="279">
        <f t="shared" si="1535"/>
        <v>0</v>
      </c>
      <c r="JN846" s="323">
        <f>FISC!AK1152</f>
        <v>0</v>
      </c>
      <c r="JO846" s="327">
        <f t="shared" si="1559"/>
        <v>0</v>
      </c>
      <c r="JP846" s="279">
        <f t="shared" si="1536"/>
        <v>0</v>
      </c>
      <c r="JQ846" s="323">
        <f>FISC!AL1152</f>
        <v>0</v>
      </c>
      <c r="JR846" s="327">
        <f t="shared" si="1560"/>
        <v>0</v>
      </c>
      <c r="JS846" s="279">
        <f t="shared" si="1537"/>
        <v>0</v>
      </c>
      <c r="JT846" s="323">
        <f>FISC!AM1152</f>
        <v>0</v>
      </c>
      <c r="JU846" s="327">
        <f t="shared" si="1561"/>
        <v>0</v>
      </c>
      <c r="JV846" s="279">
        <f t="shared" si="1538"/>
        <v>0</v>
      </c>
      <c r="JW846" s="323">
        <f>FISC!AN1152</f>
        <v>0</v>
      </c>
      <c r="JX846" s="327">
        <f t="shared" si="1562"/>
        <v>0</v>
      </c>
      <c r="JY846" s="279">
        <f t="shared" si="1539"/>
        <v>0</v>
      </c>
      <c r="JZ846" s="323">
        <f>FISC!AO1152</f>
        <v>0</v>
      </c>
      <c r="KA846" s="327">
        <f t="shared" si="1563"/>
        <v>0</v>
      </c>
      <c r="KB846" s="279">
        <f t="shared" si="1540"/>
        <v>0</v>
      </c>
      <c r="KC846" s="323">
        <f>FISC!AP1152</f>
        <v>0</v>
      </c>
      <c r="KD846" s="327">
        <f t="shared" si="1564"/>
        <v>0</v>
      </c>
      <c r="KE846" s="279">
        <f t="shared" si="1541"/>
        <v>0</v>
      </c>
      <c r="KF846" s="323">
        <f>FISC!AQ1152</f>
        <v>0</v>
      </c>
      <c r="KG846" s="327">
        <f t="shared" si="1565"/>
        <v>0</v>
      </c>
      <c r="KH846" s="279">
        <f t="shared" si="1542"/>
        <v>0</v>
      </c>
      <c r="KI846" s="323">
        <f>FISC!AR1152</f>
        <v>0</v>
      </c>
      <c r="KJ846" s="327">
        <f t="shared" si="1566"/>
        <v>0</v>
      </c>
      <c r="KK846" s="279">
        <f t="shared" si="1543"/>
        <v>0</v>
      </c>
      <c r="KL846" s="323">
        <f>FISC!AS1152</f>
        <v>0</v>
      </c>
      <c r="KM846" s="327">
        <f t="shared" si="1567"/>
        <v>0</v>
      </c>
      <c r="KN846" s="279">
        <f t="shared" si="1544"/>
        <v>0</v>
      </c>
      <c r="KO846" s="323">
        <f>FISC!AT1152</f>
        <v>0</v>
      </c>
      <c r="KU846" s="326"/>
      <c r="KV846" s="327"/>
    </row>
    <row r="847" spans="1:308">
      <c r="A847" s="279"/>
      <c r="D847" s="1232" t="s">
        <v>507</v>
      </c>
      <c r="E847" s="323"/>
      <c r="F847" s="323"/>
      <c r="G847" s="323"/>
      <c r="H847" s="323"/>
      <c r="I847" s="323"/>
      <c r="J847" s="323"/>
      <c r="K847" s="323"/>
      <c r="L847" s="323"/>
      <c r="M847" s="323"/>
      <c r="N847" s="323"/>
      <c r="O847" s="323"/>
      <c r="P847" s="323"/>
      <c r="Q847" s="323"/>
      <c r="R847" s="323"/>
      <c r="S847" s="323"/>
      <c r="T847" s="323"/>
      <c r="U847" s="323"/>
      <c r="V847" s="323"/>
      <c r="W847" s="323"/>
      <c r="X847" s="323"/>
      <c r="Y847" s="323"/>
      <c r="Z847" s="323"/>
      <c r="AA847" s="323"/>
      <c r="AB847" s="323"/>
      <c r="AC847" s="323"/>
      <c r="AD847" s="323"/>
      <c r="AE847" s="323"/>
      <c r="AF847" s="323"/>
      <c r="AG847" s="323"/>
      <c r="AH847" s="323"/>
      <c r="AI847" s="323"/>
      <c r="AJ847" s="323"/>
      <c r="AK847" s="323"/>
      <c r="AL847" s="323"/>
      <c r="AM847" s="323"/>
      <c r="AN847" s="323"/>
      <c r="AO847" s="323"/>
      <c r="AP847" s="323"/>
      <c r="AQ847" s="323"/>
      <c r="AR847" s="323"/>
      <c r="AS847" s="323"/>
      <c r="AT847" s="323"/>
      <c r="AU847" s="323"/>
      <c r="AV847" s="323"/>
      <c r="AW847" s="323"/>
      <c r="AX847" s="323"/>
      <c r="AY847" s="323"/>
      <c r="AZ847" s="323"/>
      <c r="BA847" s="323"/>
      <c r="BB847" s="323"/>
      <c r="BC847" s="323"/>
      <c r="BD847" s="323"/>
      <c r="BE847" s="323"/>
      <c r="BF847" s="323"/>
      <c r="BG847" s="323"/>
      <c r="BH847" s="323"/>
      <c r="BI847" s="323"/>
      <c r="BJ847" s="323"/>
      <c r="BK847" s="323"/>
      <c r="BL847" s="323"/>
      <c r="BM847" s="323"/>
      <c r="BN847" s="323"/>
      <c r="BO847" s="323"/>
      <c r="BP847" s="323"/>
      <c r="BQ847" s="323"/>
      <c r="BR847" s="323"/>
      <c r="BS847" s="323"/>
      <c r="BT847" s="323"/>
      <c r="BU847" s="323"/>
      <c r="BV847" s="323"/>
      <c r="BW847" s="323"/>
      <c r="BX847" s="323"/>
      <c r="BY847" s="323"/>
      <c r="BZ847" s="323"/>
      <c r="CA847" s="323"/>
      <c r="CB847" s="323"/>
      <c r="CC847" s="323"/>
      <c r="CD847" s="329"/>
      <c r="CE847" s="323">
        <f t="shared" ref="CE847:DJ847" si="1581">CE440</f>
        <v>0</v>
      </c>
      <c r="CF847" s="323">
        <f t="shared" si="1581"/>
        <v>0</v>
      </c>
      <c r="CG847" s="323">
        <f t="shared" si="1581"/>
        <v>0</v>
      </c>
      <c r="CH847" s="323">
        <f t="shared" si="1581"/>
        <v>0</v>
      </c>
      <c r="CI847" s="323">
        <f t="shared" si="1581"/>
        <v>0</v>
      </c>
      <c r="CJ847" s="323">
        <f t="shared" si="1581"/>
        <v>0</v>
      </c>
      <c r="CK847" s="323">
        <f t="shared" si="1581"/>
        <v>0</v>
      </c>
      <c r="CL847" s="323">
        <f t="shared" si="1581"/>
        <v>0</v>
      </c>
      <c r="CM847" s="323">
        <f t="shared" si="1581"/>
        <v>0</v>
      </c>
      <c r="CN847" s="323">
        <f t="shared" si="1581"/>
        <v>0</v>
      </c>
      <c r="CO847" s="323">
        <f t="shared" si="1581"/>
        <v>0</v>
      </c>
      <c r="CP847" s="325">
        <f t="shared" si="1581"/>
        <v>0</v>
      </c>
      <c r="CQ847" s="323">
        <f t="shared" si="1581"/>
        <v>0</v>
      </c>
      <c r="CR847" s="323">
        <f t="shared" si="1581"/>
        <v>0</v>
      </c>
      <c r="CS847" s="323">
        <f t="shared" si="1581"/>
        <v>0</v>
      </c>
      <c r="CT847" s="323">
        <f t="shared" si="1581"/>
        <v>0</v>
      </c>
      <c r="CU847" s="323">
        <f t="shared" si="1581"/>
        <v>0</v>
      </c>
      <c r="CV847" s="323">
        <f t="shared" si="1581"/>
        <v>0</v>
      </c>
      <c r="CW847" s="323">
        <f t="shared" si="1581"/>
        <v>0</v>
      </c>
      <c r="CX847" s="323">
        <f t="shared" si="1581"/>
        <v>0</v>
      </c>
      <c r="CY847" s="323">
        <f t="shared" si="1581"/>
        <v>0</v>
      </c>
      <c r="CZ847" s="323">
        <f t="shared" si="1581"/>
        <v>0</v>
      </c>
      <c r="DA847" s="323">
        <f t="shared" si="1581"/>
        <v>0</v>
      </c>
      <c r="DB847" s="1269">
        <f t="shared" si="1581"/>
        <v>0</v>
      </c>
      <c r="DC847" s="323">
        <f t="shared" si="1581"/>
        <v>0</v>
      </c>
      <c r="DD847" s="323">
        <f t="shared" si="1581"/>
        <v>0</v>
      </c>
      <c r="DE847" s="323">
        <f t="shared" si="1581"/>
        <v>0</v>
      </c>
      <c r="DF847" s="323">
        <f t="shared" si="1581"/>
        <v>0</v>
      </c>
      <c r="DG847" s="323">
        <f t="shared" si="1581"/>
        <v>0</v>
      </c>
      <c r="DH847" s="323">
        <f t="shared" si="1581"/>
        <v>0</v>
      </c>
      <c r="DI847" s="323">
        <f t="shared" si="1581"/>
        <v>0</v>
      </c>
      <c r="DJ847" s="323">
        <f t="shared" si="1581"/>
        <v>0</v>
      </c>
      <c r="DK847" s="323">
        <f t="shared" ref="DK847:EP847" si="1582">DK440</f>
        <v>0</v>
      </c>
      <c r="DL847" s="323">
        <f t="shared" si="1582"/>
        <v>0</v>
      </c>
      <c r="DM847" s="323">
        <f t="shared" si="1582"/>
        <v>0</v>
      </c>
      <c r="DN847" s="325">
        <f t="shared" si="1582"/>
        <v>0</v>
      </c>
      <c r="DO847" s="323">
        <f t="shared" si="1582"/>
        <v>0</v>
      </c>
      <c r="DP847" s="323">
        <f t="shared" si="1582"/>
        <v>0</v>
      </c>
      <c r="DQ847" s="323">
        <f t="shared" si="1582"/>
        <v>0</v>
      </c>
      <c r="DR847" s="323">
        <f t="shared" si="1582"/>
        <v>0</v>
      </c>
      <c r="DS847" s="323">
        <f t="shared" si="1582"/>
        <v>0</v>
      </c>
      <c r="DT847" s="323">
        <f t="shared" si="1582"/>
        <v>0</v>
      </c>
      <c r="DU847" s="323">
        <f t="shared" si="1582"/>
        <v>0</v>
      </c>
      <c r="DV847" s="323">
        <f t="shared" si="1582"/>
        <v>0</v>
      </c>
      <c r="DW847" s="323">
        <f t="shared" si="1582"/>
        <v>0</v>
      </c>
      <c r="DX847" s="323">
        <f t="shared" si="1582"/>
        <v>0</v>
      </c>
      <c r="DY847" s="323">
        <f t="shared" si="1582"/>
        <v>0</v>
      </c>
      <c r="DZ847" s="325">
        <f t="shared" si="1582"/>
        <v>0</v>
      </c>
      <c r="EA847" s="323">
        <f t="shared" si="1582"/>
        <v>0</v>
      </c>
      <c r="EB847" s="323">
        <f t="shared" si="1582"/>
        <v>0</v>
      </c>
      <c r="EC847" s="323">
        <f t="shared" si="1582"/>
        <v>0</v>
      </c>
      <c r="ED847" s="323">
        <f t="shared" si="1582"/>
        <v>0</v>
      </c>
      <c r="EE847" s="323">
        <f t="shared" si="1582"/>
        <v>0</v>
      </c>
      <c r="EF847" s="323">
        <f t="shared" si="1582"/>
        <v>0</v>
      </c>
      <c r="EG847" s="323">
        <f t="shared" si="1582"/>
        <v>0</v>
      </c>
      <c r="EH847" s="323">
        <f t="shared" si="1582"/>
        <v>0</v>
      </c>
      <c r="EI847" s="323">
        <f t="shared" si="1582"/>
        <v>0</v>
      </c>
      <c r="EJ847" s="323">
        <f t="shared" si="1582"/>
        <v>0</v>
      </c>
      <c r="EK847" s="323">
        <f t="shared" si="1582"/>
        <v>0</v>
      </c>
      <c r="EL847" s="325">
        <f t="shared" si="1582"/>
        <v>0</v>
      </c>
      <c r="EM847" s="323">
        <f t="shared" si="1582"/>
        <v>0</v>
      </c>
      <c r="EN847" s="323">
        <f t="shared" si="1582"/>
        <v>0</v>
      </c>
      <c r="EO847" s="323">
        <f t="shared" si="1582"/>
        <v>0</v>
      </c>
      <c r="EP847" s="323">
        <f t="shared" si="1582"/>
        <v>0</v>
      </c>
      <c r="EQ847" s="323">
        <f t="shared" ref="EQ847:FV847" si="1583">EQ440</f>
        <v>0</v>
      </c>
      <c r="ER847" s="323">
        <f t="shared" si="1583"/>
        <v>0</v>
      </c>
      <c r="ES847" s="323">
        <f t="shared" si="1583"/>
        <v>0</v>
      </c>
      <c r="ET847" s="323">
        <f t="shared" si="1583"/>
        <v>0</v>
      </c>
      <c r="EU847" s="323">
        <f t="shared" si="1583"/>
        <v>0</v>
      </c>
      <c r="EV847" s="323">
        <f t="shared" si="1583"/>
        <v>0</v>
      </c>
      <c r="EW847" s="323">
        <f t="shared" si="1583"/>
        <v>0</v>
      </c>
      <c r="EX847" s="325">
        <f t="shared" si="1583"/>
        <v>0</v>
      </c>
      <c r="EY847" s="323">
        <f t="shared" si="1583"/>
        <v>0</v>
      </c>
      <c r="EZ847" s="323">
        <f t="shared" si="1583"/>
        <v>0</v>
      </c>
      <c r="FA847" s="323">
        <f t="shared" si="1583"/>
        <v>0</v>
      </c>
      <c r="FB847" s="323">
        <f t="shared" si="1583"/>
        <v>0</v>
      </c>
      <c r="FC847" s="323">
        <f t="shared" si="1583"/>
        <v>0</v>
      </c>
      <c r="FD847" s="323">
        <f t="shared" si="1583"/>
        <v>0</v>
      </c>
      <c r="FE847" s="323">
        <f t="shared" si="1583"/>
        <v>0</v>
      </c>
      <c r="FF847" s="323">
        <f t="shared" si="1583"/>
        <v>0</v>
      </c>
      <c r="FG847" s="323">
        <f t="shared" si="1583"/>
        <v>0</v>
      </c>
      <c r="FH847" s="323">
        <f t="shared" si="1583"/>
        <v>0</v>
      </c>
      <c r="FI847" s="323">
        <f t="shared" si="1583"/>
        <v>0</v>
      </c>
      <c r="FJ847" s="325">
        <f t="shared" si="1583"/>
        <v>0</v>
      </c>
      <c r="FK847" s="323">
        <f t="shared" si="1583"/>
        <v>0</v>
      </c>
      <c r="FL847" s="323">
        <f t="shared" si="1583"/>
        <v>0</v>
      </c>
      <c r="FM847" s="323">
        <f t="shared" si="1583"/>
        <v>0</v>
      </c>
      <c r="FN847" s="323">
        <f t="shared" si="1583"/>
        <v>16.209857913474771</v>
      </c>
      <c r="FO847" s="323">
        <f t="shared" si="1583"/>
        <v>0</v>
      </c>
      <c r="FP847" s="323">
        <f t="shared" si="1583"/>
        <v>0</v>
      </c>
      <c r="FQ847" s="323">
        <f t="shared" si="1583"/>
        <v>0</v>
      </c>
      <c r="FR847" s="323">
        <f t="shared" si="1583"/>
        <v>0</v>
      </c>
      <c r="FS847" s="323">
        <f t="shared" si="1583"/>
        <v>0</v>
      </c>
      <c r="FT847" s="323">
        <f t="shared" si="1583"/>
        <v>19.094966261</v>
      </c>
      <c r="FU847" s="323">
        <f t="shared" si="1583"/>
        <v>0</v>
      </c>
      <c r="FV847" s="323">
        <f t="shared" si="1583"/>
        <v>0</v>
      </c>
      <c r="FW847" s="323">
        <v>0</v>
      </c>
      <c r="FX847" s="323">
        <v>0</v>
      </c>
      <c r="FY847" s="323">
        <v>0</v>
      </c>
      <c r="FZ847" s="323">
        <v>11.416539758000001</v>
      </c>
      <c r="GA847" s="323">
        <v>0</v>
      </c>
      <c r="GB847" s="323">
        <v>0</v>
      </c>
      <c r="GC847" s="323">
        <v>11.069322662999999</v>
      </c>
      <c r="GD847" s="323">
        <v>0</v>
      </c>
      <c r="GE847" s="323">
        <v>0</v>
      </c>
      <c r="GF847" s="323">
        <v>0</v>
      </c>
      <c r="GG847" s="323">
        <v>0</v>
      </c>
      <c r="GH847" s="323">
        <v>0</v>
      </c>
      <c r="GI847" s="323">
        <v>0</v>
      </c>
      <c r="GJ847" s="323">
        <v>0</v>
      </c>
      <c r="GK847" s="323">
        <v>0</v>
      </c>
      <c r="GL847" s="323">
        <v>0</v>
      </c>
      <c r="GM847" s="323">
        <v>0</v>
      </c>
      <c r="GN847" s="323">
        <v>0</v>
      </c>
      <c r="GO847" s="323">
        <v>0</v>
      </c>
      <c r="GP847" s="323">
        <v>0</v>
      </c>
      <c r="GQ847" s="323">
        <v>0</v>
      </c>
      <c r="GR847" s="323">
        <v>0</v>
      </c>
      <c r="GS847" s="323">
        <v>0</v>
      </c>
      <c r="GT847" s="323">
        <v>0</v>
      </c>
      <c r="GU847" s="323">
        <v>0</v>
      </c>
      <c r="GV847" s="323">
        <v>0</v>
      </c>
      <c r="GW847" s="323">
        <v>0</v>
      </c>
      <c r="GX847" s="323">
        <v>0</v>
      </c>
      <c r="GY847" s="323">
        <v>0</v>
      </c>
      <c r="GZ847" s="323">
        <v>0</v>
      </c>
      <c r="HA847" s="323">
        <v>0</v>
      </c>
      <c r="HB847" s="323">
        <v>0</v>
      </c>
      <c r="HC847" s="323">
        <v>0</v>
      </c>
      <c r="HD847" s="323">
        <v>0</v>
      </c>
      <c r="HE847" s="323">
        <v>0</v>
      </c>
      <c r="HF847" s="323">
        <v>0</v>
      </c>
      <c r="HG847" s="323">
        <f t="shared" si="1578"/>
        <v>0</v>
      </c>
      <c r="HH847" s="323">
        <f t="shared" si="1578"/>
        <v>0</v>
      </c>
      <c r="HI847" s="323">
        <f t="shared" si="1578"/>
        <v>0</v>
      </c>
      <c r="HJ847" s="323">
        <f t="shared" si="1578"/>
        <v>0</v>
      </c>
      <c r="HK847" s="323">
        <f t="shared" si="1578"/>
        <v>0</v>
      </c>
      <c r="HL847" s="323">
        <f t="shared" si="1578"/>
        <v>0</v>
      </c>
      <c r="HM847" s="323">
        <f t="shared" ref="HM847:HR847" si="1584">HM440</f>
        <v>0</v>
      </c>
      <c r="HN847" s="323">
        <f t="shared" si="1584"/>
        <v>0</v>
      </c>
      <c r="HO847" s="323">
        <f t="shared" si="1584"/>
        <v>0</v>
      </c>
      <c r="HP847" s="323">
        <f t="shared" si="1584"/>
        <v>0</v>
      </c>
      <c r="HQ847" s="323">
        <f t="shared" si="1584"/>
        <v>0</v>
      </c>
      <c r="HR847" s="323">
        <f t="shared" si="1584"/>
        <v>0</v>
      </c>
      <c r="HS847" s="323">
        <f t="shared" ref="HS847:HX847" si="1585">HS440</f>
        <v>0</v>
      </c>
      <c r="HT847" s="323">
        <f t="shared" si="1585"/>
        <v>0</v>
      </c>
      <c r="HU847" s="323">
        <f t="shared" si="1585"/>
        <v>0</v>
      </c>
      <c r="HV847" s="323">
        <f t="shared" si="1585"/>
        <v>0</v>
      </c>
      <c r="HW847" s="323">
        <f t="shared" si="1585"/>
        <v>0</v>
      </c>
      <c r="HX847" s="323">
        <f t="shared" si="1585"/>
        <v>0</v>
      </c>
      <c r="HY847" s="323"/>
      <c r="HZ847" s="326"/>
      <c r="IA847" s="1232" t="s">
        <v>507</v>
      </c>
      <c r="IB847" s="284">
        <f>SUM(CE847:CJ847)</f>
        <v>0</v>
      </c>
      <c r="IC847" s="279">
        <f>SUM(CK847:CP847)</f>
        <v>0</v>
      </c>
      <c r="ID847" s="323">
        <f>IB847+IC847</f>
        <v>0</v>
      </c>
      <c r="IE847" s="279">
        <f>SUM(CQ847:CV847)</f>
        <v>0</v>
      </c>
      <c r="IF847" s="279">
        <f>SUM(CW847:DB847)</f>
        <v>0</v>
      </c>
      <c r="IG847" s="323">
        <f>IE847+IF847</f>
        <v>0</v>
      </c>
      <c r="IH847" s="284">
        <f>SUM(DC847:DH847)</f>
        <v>0</v>
      </c>
      <c r="II847" s="279">
        <f>SUM(DI847:DN847)</f>
        <v>0</v>
      </c>
      <c r="IJ847" s="323">
        <f>IH847+II847</f>
        <v>0</v>
      </c>
      <c r="IK847" s="327">
        <f>SUM(DO847:DT847)</f>
        <v>0</v>
      </c>
      <c r="IL847" s="279">
        <f>SUM(DU847:DZ847)</f>
        <v>0</v>
      </c>
      <c r="IM847" s="323">
        <f>IK847+IL847</f>
        <v>0</v>
      </c>
      <c r="IN847" s="279">
        <f>SUM(EA847:EF847)</f>
        <v>0</v>
      </c>
      <c r="IO847" s="279">
        <f>SUM(EG847:EL847)</f>
        <v>0</v>
      </c>
      <c r="IP847" s="323">
        <f>IN847+IO847</f>
        <v>0</v>
      </c>
      <c r="IQ847" s="327">
        <f>SUM(EM847:ER847)</f>
        <v>0</v>
      </c>
      <c r="IR847" s="327">
        <f>SUM(ES847:EX847)</f>
        <v>0</v>
      </c>
      <c r="IS847" s="323">
        <f>IQ847+IR847</f>
        <v>0</v>
      </c>
      <c r="IT847" s="327">
        <f>SUM(EY847:FD847)</f>
        <v>0</v>
      </c>
      <c r="IU847" s="327">
        <f>SUM(FE847:FJ847)</f>
        <v>0</v>
      </c>
      <c r="IV847" s="323">
        <f>IT847+IU847</f>
        <v>0</v>
      </c>
      <c r="IW847" s="327">
        <f t="shared" si="1574"/>
        <v>16.209857913474771</v>
      </c>
      <c r="IX847" s="327">
        <f t="shared" si="1378"/>
        <v>19.094966261</v>
      </c>
      <c r="IY847" s="323">
        <f t="shared" si="1475"/>
        <v>35.304824174474774</v>
      </c>
      <c r="IZ847" s="327">
        <f t="shared" si="1439"/>
        <v>11.416539758000001</v>
      </c>
      <c r="JA847" s="327">
        <f t="shared" si="1440"/>
        <v>11.069322662999999</v>
      </c>
      <c r="JB847" s="323">
        <f t="shared" si="1458"/>
        <v>22.485862421</v>
      </c>
      <c r="JC847" s="327">
        <f t="shared" si="1441"/>
        <v>0</v>
      </c>
      <c r="JD847" s="327">
        <f t="shared" si="1442"/>
        <v>0</v>
      </c>
      <c r="JE847" s="323">
        <f t="shared" si="1459"/>
        <v>0</v>
      </c>
      <c r="JF847" s="327">
        <f>SUM(GU847:GZ847)</f>
        <v>0</v>
      </c>
      <c r="JG847" s="327">
        <f t="shared" si="1372"/>
        <v>0</v>
      </c>
      <c r="JH847" s="323">
        <f t="shared" si="1406"/>
        <v>0</v>
      </c>
      <c r="JI847" s="327">
        <f t="shared" si="1476"/>
        <v>0</v>
      </c>
      <c r="JJ847" s="327">
        <f t="shared" si="1405"/>
        <v>0</v>
      </c>
      <c r="JK847" s="323">
        <f t="shared" si="1398"/>
        <v>0</v>
      </c>
      <c r="JL847" s="327">
        <f t="shared" si="1407"/>
        <v>0</v>
      </c>
      <c r="JM847" s="279">
        <f t="shared" si="1535"/>
        <v>0</v>
      </c>
      <c r="JN847" s="323">
        <f>FISC!AK1153</f>
        <v>0</v>
      </c>
      <c r="JO847" s="327">
        <f t="shared" si="1559"/>
        <v>0</v>
      </c>
      <c r="JP847" s="279">
        <f t="shared" si="1536"/>
        <v>0</v>
      </c>
      <c r="JQ847" s="323">
        <f>FISC!AL1153</f>
        <v>0</v>
      </c>
      <c r="JR847" s="327">
        <f t="shared" si="1560"/>
        <v>0</v>
      </c>
      <c r="JS847" s="279">
        <f t="shared" si="1537"/>
        <v>0</v>
      </c>
      <c r="JT847" s="323">
        <f>FISC!AM1153</f>
        <v>0</v>
      </c>
      <c r="JU847" s="327">
        <f t="shared" si="1561"/>
        <v>0</v>
      </c>
      <c r="JV847" s="279">
        <f t="shared" si="1538"/>
        <v>0</v>
      </c>
      <c r="JW847" s="323">
        <f>FISC!AN1153</f>
        <v>0</v>
      </c>
      <c r="JX847" s="327">
        <f t="shared" si="1562"/>
        <v>0</v>
      </c>
      <c r="JY847" s="279">
        <f t="shared" si="1539"/>
        <v>0</v>
      </c>
      <c r="JZ847" s="323">
        <f>FISC!AO1153</f>
        <v>0</v>
      </c>
      <c r="KA847" s="327">
        <f t="shared" si="1563"/>
        <v>0</v>
      </c>
      <c r="KB847" s="279">
        <f t="shared" si="1540"/>
        <v>0</v>
      </c>
      <c r="KC847" s="323">
        <f>FISC!AP1153</f>
        <v>0</v>
      </c>
      <c r="KD847" s="327">
        <f t="shared" si="1564"/>
        <v>0</v>
      </c>
      <c r="KE847" s="279">
        <f t="shared" si="1541"/>
        <v>0</v>
      </c>
      <c r="KF847" s="323">
        <f>FISC!AQ1153</f>
        <v>0</v>
      </c>
      <c r="KG847" s="327">
        <f t="shared" si="1565"/>
        <v>0</v>
      </c>
      <c r="KH847" s="279">
        <f t="shared" si="1542"/>
        <v>0</v>
      </c>
      <c r="KI847" s="323">
        <f>FISC!AR1153</f>
        <v>0</v>
      </c>
      <c r="KJ847" s="327">
        <f t="shared" si="1566"/>
        <v>0</v>
      </c>
      <c r="KK847" s="279">
        <f t="shared" si="1543"/>
        <v>0</v>
      </c>
      <c r="KL847" s="323">
        <f>FISC!AS1153</f>
        <v>0</v>
      </c>
      <c r="KM847" s="327">
        <f t="shared" si="1567"/>
        <v>0</v>
      </c>
      <c r="KN847" s="279">
        <f t="shared" si="1544"/>
        <v>0</v>
      </c>
      <c r="KO847" s="323">
        <f>FISC!AT1153</f>
        <v>0</v>
      </c>
      <c r="KU847" s="326"/>
      <c r="KV847" s="327"/>
    </row>
    <row r="848" spans="1:308">
      <c r="A848" s="279"/>
      <c r="D848" s="1418" t="s">
        <v>3117</v>
      </c>
      <c r="E848" s="323"/>
      <c r="F848" s="323"/>
      <c r="G848" s="323"/>
      <c r="H848" s="323"/>
      <c r="I848" s="323"/>
      <c r="J848" s="323"/>
      <c r="K848" s="323"/>
      <c r="L848" s="323"/>
      <c r="M848" s="323"/>
      <c r="N848" s="323"/>
      <c r="O848" s="323"/>
      <c r="P848" s="323"/>
      <c r="Q848" s="323"/>
      <c r="R848" s="323"/>
      <c r="S848" s="323"/>
      <c r="T848" s="323"/>
      <c r="U848" s="323"/>
      <c r="V848" s="323"/>
      <c r="W848" s="323"/>
      <c r="X848" s="323"/>
      <c r="Y848" s="323"/>
      <c r="Z848" s="323"/>
      <c r="AA848" s="323"/>
      <c r="AB848" s="323"/>
      <c r="AC848" s="323"/>
      <c r="AD848" s="323"/>
      <c r="AE848" s="323"/>
      <c r="AF848" s="323"/>
      <c r="AG848" s="323"/>
      <c r="AH848" s="323"/>
      <c r="AI848" s="323"/>
      <c r="AJ848" s="323"/>
      <c r="AK848" s="323"/>
      <c r="AL848" s="323"/>
      <c r="AM848" s="323"/>
      <c r="AN848" s="323"/>
      <c r="AO848" s="323"/>
      <c r="AP848" s="323"/>
      <c r="AQ848" s="323"/>
      <c r="AR848" s="323"/>
      <c r="AS848" s="323"/>
      <c r="AT848" s="323"/>
      <c r="AU848" s="323"/>
      <c r="AV848" s="323"/>
      <c r="AW848" s="323"/>
      <c r="AX848" s="323"/>
      <c r="AY848" s="323"/>
      <c r="AZ848" s="323"/>
      <c r="BA848" s="323"/>
      <c r="BB848" s="323"/>
      <c r="BC848" s="323"/>
      <c r="BD848" s="323"/>
      <c r="BE848" s="323"/>
      <c r="BF848" s="323"/>
      <c r="BG848" s="323"/>
      <c r="BH848" s="323"/>
      <c r="BI848" s="323"/>
      <c r="BJ848" s="323"/>
      <c r="BK848" s="323"/>
      <c r="BL848" s="323"/>
      <c r="BM848" s="323"/>
      <c r="BN848" s="323"/>
      <c r="BO848" s="323"/>
      <c r="BP848" s="323"/>
      <c r="BQ848" s="323"/>
      <c r="BR848" s="323"/>
      <c r="BS848" s="323"/>
      <c r="BT848" s="323"/>
      <c r="BU848" s="323"/>
      <c r="BV848" s="323"/>
      <c r="BW848" s="323"/>
      <c r="BX848" s="323"/>
      <c r="BY848" s="323"/>
      <c r="BZ848" s="323"/>
      <c r="CA848" s="323"/>
      <c r="CB848" s="323"/>
      <c r="CC848" s="323"/>
      <c r="CD848" s="329"/>
      <c r="CE848" s="323"/>
      <c r="CF848" s="323"/>
      <c r="CG848" s="323"/>
      <c r="CH848" s="323"/>
      <c r="CI848" s="323"/>
      <c r="CJ848" s="323"/>
      <c r="CK848" s="323"/>
      <c r="CL848" s="323"/>
      <c r="CM848" s="323"/>
      <c r="CN848" s="323"/>
      <c r="CO848" s="323"/>
      <c r="CP848" s="325"/>
      <c r="CQ848" s="323"/>
      <c r="CR848" s="323"/>
      <c r="CS848" s="323"/>
      <c r="CT848" s="323"/>
      <c r="CU848" s="323"/>
      <c r="CV848" s="323"/>
      <c r="CW848" s="323"/>
      <c r="CX848" s="323"/>
      <c r="CY848" s="323"/>
      <c r="CZ848" s="323"/>
      <c r="DA848" s="323"/>
      <c r="DB848" s="1269"/>
      <c r="DC848" s="323"/>
      <c r="DD848" s="323"/>
      <c r="DE848" s="323"/>
      <c r="DF848" s="323"/>
      <c r="DG848" s="323"/>
      <c r="DH848" s="323"/>
      <c r="DI848" s="323"/>
      <c r="DJ848" s="323"/>
      <c r="DK848" s="323"/>
      <c r="DL848" s="323"/>
      <c r="DM848" s="323"/>
      <c r="DN848" s="325"/>
      <c r="DO848" s="323"/>
      <c r="DP848" s="323"/>
      <c r="DQ848" s="323"/>
      <c r="DR848" s="323"/>
      <c r="DS848" s="323"/>
      <c r="DT848" s="323"/>
      <c r="DU848" s="323"/>
      <c r="DV848" s="323"/>
      <c r="DW848" s="323"/>
      <c r="DX848" s="323"/>
      <c r="DY848" s="323"/>
      <c r="DZ848" s="325"/>
      <c r="EA848" s="323"/>
      <c r="EB848" s="323"/>
      <c r="EC848" s="323"/>
      <c r="ED848" s="323"/>
      <c r="EE848" s="323"/>
      <c r="EF848" s="323"/>
      <c r="EG848" s="323"/>
      <c r="EH848" s="323"/>
      <c r="EI848" s="323"/>
      <c r="EJ848" s="323"/>
      <c r="EK848" s="323"/>
      <c r="EL848" s="325"/>
      <c r="EM848" s="323"/>
      <c r="EN848" s="323"/>
      <c r="EO848" s="323"/>
      <c r="EP848" s="323"/>
      <c r="EQ848" s="323"/>
      <c r="ER848" s="323"/>
      <c r="ES848" s="323"/>
      <c r="ET848" s="323"/>
      <c r="EU848" s="323"/>
      <c r="EV848" s="323"/>
      <c r="EW848" s="323"/>
      <c r="EX848" s="325"/>
      <c r="EY848" s="323"/>
      <c r="EZ848" s="323"/>
      <c r="FA848" s="323"/>
      <c r="FB848" s="323"/>
      <c r="FC848" s="323"/>
      <c r="FD848" s="323"/>
      <c r="FE848" s="323"/>
      <c r="FF848" s="323"/>
      <c r="FG848" s="323"/>
      <c r="FH848" s="323"/>
      <c r="FI848" s="323"/>
      <c r="FJ848" s="325"/>
      <c r="FK848" s="323"/>
      <c r="FL848" s="323"/>
      <c r="FM848" s="323"/>
      <c r="FN848" s="323"/>
      <c r="FO848" s="323"/>
      <c r="FP848" s="323"/>
      <c r="FQ848" s="323"/>
      <c r="FR848" s="323"/>
      <c r="FS848" s="323"/>
      <c r="FT848" s="323"/>
      <c r="FU848" s="323"/>
      <c r="FV848" s="323"/>
      <c r="FW848" s="323">
        <v>0</v>
      </c>
      <c r="FX848" s="323">
        <v>0</v>
      </c>
      <c r="FY848" s="323">
        <v>0</v>
      </c>
      <c r="FZ848" s="323">
        <v>11.416539758000001</v>
      </c>
      <c r="GA848" s="323">
        <v>0</v>
      </c>
      <c r="GB848" s="323">
        <v>0</v>
      </c>
      <c r="GC848" s="323">
        <v>11.069322662999999</v>
      </c>
      <c r="GD848" s="323">
        <v>0</v>
      </c>
      <c r="GE848" s="323">
        <v>0</v>
      </c>
      <c r="GF848" s="323">
        <v>0</v>
      </c>
      <c r="GG848" s="323">
        <v>0</v>
      </c>
      <c r="GH848" s="323">
        <v>0</v>
      </c>
      <c r="GI848" s="323">
        <v>0</v>
      </c>
      <c r="GJ848" s="323">
        <v>0</v>
      </c>
      <c r="GK848" s="323">
        <v>0</v>
      </c>
      <c r="GL848" s="323">
        <v>0</v>
      </c>
      <c r="GM848" s="323">
        <v>0</v>
      </c>
      <c r="GN848" s="323">
        <v>0</v>
      </c>
      <c r="GO848" s="323">
        <v>0</v>
      </c>
      <c r="GP848" s="323">
        <v>0</v>
      </c>
      <c r="GQ848" s="323">
        <v>0</v>
      </c>
      <c r="GR848" s="323">
        <v>0</v>
      </c>
      <c r="GS848" s="323">
        <v>0</v>
      </c>
      <c r="GT848" s="323">
        <v>0</v>
      </c>
      <c r="GU848" s="323">
        <v>0</v>
      </c>
      <c r="GV848" s="323">
        <v>0</v>
      </c>
      <c r="GW848" s="323">
        <v>0</v>
      </c>
      <c r="GX848" s="323">
        <v>0</v>
      </c>
      <c r="GY848" s="323">
        <v>0</v>
      </c>
      <c r="GZ848" s="323">
        <v>0</v>
      </c>
      <c r="HA848" s="323">
        <v>0</v>
      </c>
      <c r="HB848" s="323">
        <v>0</v>
      </c>
      <c r="HC848" s="323">
        <v>0</v>
      </c>
      <c r="HD848" s="323">
        <v>0</v>
      </c>
      <c r="HE848" s="323">
        <v>0</v>
      </c>
      <c r="HF848" s="323">
        <v>0</v>
      </c>
      <c r="HG848" s="323">
        <v>0</v>
      </c>
      <c r="HH848" s="323">
        <v>0</v>
      </c>
      <c r="HI848" s="323">
        <v>0</v>
      </c>
      <c r="HJ848" s="323">
        <v>0</v>
      </c>
      <c r="HK848" s="323">
        <v>0</v>
      </c>
      <c r="HL848" s="323">
        <v>0</v>
      </c>
      <c r="HM848" s="323">
        <v>0</v>
      </c>
      <c r="HN848" s="323">
        <v>0</v>
      </c>
      <c r="HO848" s="323">
        <v>0</v>
      </c>
      <c r="HP848" s="323">
        <v>0</v>
      </c>
      <c r="HQ848" s="323">
        <v>0</v>
      </c>
      <c r="HR848" s="323">
        <v>0</v>
      </c>
      <c r="HS848" s="323">
        <v>0</v>
      </c>
      <c r="HT848" s="323">
        <v>0</v>
      </c>
      <c r="HU848" s="323">
        <v>0</v>
      </c>
      <c r="HV848" s="323">
        <v>0</v>
      </c>
      <c r="HW848" s="323">
        <v>0</v>
      </c>
      <c r="HX848" s="323">
        <v>0</v>
      </c>
      <c r="HY848" s="323"/>
      <c r="HZ848" s="326"/>
      <c r="IA848" s="1418" t="s">
        <v>3117</v>
      </c>
      <c r="IB848" s="284"/>
      <c r="ID848" s="323"/>
      <c r="IG848" s="323"/>
      <c r="IH848" s="284"/>
      <c r="IJ848" s="323"/>
      <c r="IK848" s="327"/>
      <c r="IM848" s="323"/>
      <c r="IP848" s="323"/>
      <c r="IQ848" s="327"/>
      <c r="IR848" s="327"/>
      <c r="IS848" s="323"/>
      <c r="IT848" s="327"/>
      <c r="IU848" s="327"/>
      <c r="IV848" s="323"/>
      <c r="IW848" s="327">
        <f t="shared" si="1574"/>
        <v>0</v>
      </c>
      <c r="IX848" s="327">
        <f t="shared" si="1378"/>
        <v>0</v>
      </c>
      <c r="IY848" s="323">
        <f t="shared" si="1475"/>
        <v>0</v>
      </c>
      <c r="IZ848" s="327">
        <f t="shared" si="1439"/>
        <v>11.416539758000001</v>
      </c>
      <c r="JA848" s="327">
        <f t="shared" si="1440"/>
        <v>11.069322662999999</v>
      </c>
      <c r="JB848" s="323">
        <f t="shared" si="1458"/>
        <v>22.485862421</v>
      </c>
      <c r="JC848" s="327">
        <f t="shared" si="1441"/>
        <v>0</v>
      </c>
      <c r="JD848" s="327">
        <f t="shared" si="1442"/>
        <v>0</v>
      </c>
      <c r="JE848" s="323">
        <f t="shared" si="1459"/>
        <v>0</v>
      </c>
      <c r="JF848" s="327">
        <f>SUM(GU848:GZ848)</f>
        <v>0</v>
      </c>
      <c r="JG848" s="327">
        <f t="shared" si="1372"/>
        <v>0</v>
      </c>
      <c r="JH848" s="323">
        <f t="shared" si="1406"/>
        <v>0</v>
      </c>
      <c r="JI848" s="327">
        <f t="shared" si="1476"/>
        <v>0</v>
      </c>
      <c r="JJ848" s="327">
        <f t="shared" si="1405"/>
        <v>0</v>
      </c>
      <c r="JK848" s="323">
        <f t="shared" si="1398"/>
        <v>0</v>
      </c>
      <c r="JL848" s="327">
        <f t="shared" si="1407"/>
        <v>0</v>
      </c>
      <c r="JM848" s="279">
        <f t="shared" si="1535"/>
        <v>0</v>
      </c>
      <c r="JN848" s="323">
        <f>FISC!AK1154</f>
        <v>0</v>
      </c>
      <c r="JO848" s="327">
        <f t="shared" si="1559"/>
        <v>0</v>
      </c>
      <c r="JP848" s="279">
        <f t="shared" si="1536"/>
        <v>0</v>
      </c>
      <c r="JQ848" s="323">
        <f>FISC!AL1154</f>
        <v>0</v>
      </c>
      <c r="JR848" s="327">
        <f t="shared" si="1560"/>
        <v>0</v>
      </c>
      <c r="JS848" s="279">
        <f t="shared" si="1537"/>
        <v>0</v>
      </c>
      <c r="JT848" s="323">
        <f>FISC!AM1154</f>
        <v>0</v>
      </c>
      <c r="JU848" s="327">
        <f t="shared" si="1561"/>
        <v>0</v>
      </c>
      <c r="JV848" s="279">
        <f t="shared" si="1538"/>
        <v>0</v>
      </c>
      <c r="JW848" s="323">
        <f>FISC!AN1154</f>
        <v>0</v>
      </c>
      <c r="JX848" s="327">
        <f t="shared" si="1562"/>
        <v>0</v>
      </c>
      <c r="JY848" s="279">
        <f t="shared" si="1539"/>
        <v>0</v>
      </c>
      <c r="JZ848" s="323">
        <f>FISC!AO1154</f>
        <v>0</v>
      </c>
      <c r="KA848" s="327">
        <f t="shared" si="1563"/>
        <v>0</v>
      </c>
      <c r="KB848" s="279">
        <f t="shared" si="1540"/>
        <v>0</v>
      </c>
      <c r="KC848" s="323">
        <f>FISC!AP1154</f>
        <v>0</v>
      </c>
      <c r="KD848" s="327">
        <f t="shared" si="1564"/>
        <v>0</v>
      </c>
      <c r="KE848" s="279">
        <f t="shared" si="1541"/>
        <v>0</v>
      </c>
      <c r="KF848" s="323">
        <f>FISC!AQ1154</f>
        <v>0</v>
      </c>
      <c r="KG848" s="327">
        <f t="shared" si="1565"/>
        <v>0</v>
      </c>
      <c r="KH848" s="279">
        <f t="shared" si="1542"/>
        <v>0</v>
      </c>
      <c r="KI848" s="323">
        <f>FISC!AR1154</f>
        <v>0</v>
      </c>
      <c r="KJ848" s="327">
        <f t="shared" si="1566"/>
        <v>0</v>
      </c>
      <c r="KK848" s="279">
        <f t="shared" si="1543"/>
        <v>0</v>
      </c>
      <c r="KL848" s="323">
        <f>FISC!AS1154</f>
        <v>0</v>
      </c>
      <c r="KM848" s="327">
        <f t="shared" si="1567"/>
        <v>0</v>
      </c>
      <c r="KN848" s="279">
        <f t="shared" si="1544"/>
        <v>0</v>
      </c>
      <c r="KO848" s="323">
        <f>FISC!AT1154</f>
        <v>0</v>
      </c>
      <c r="KU848" s="326"/>
      <c r="KV848" s="327"/>
    </row>
    <row r="849" spans="1:314">
      <c r="A849" s="279"/>
      <c r="B849" s="96" t="s">
        <v>338</v>
      </c>
      <c r="D849" s="1495" t="s">
        <v>3159</v>
      </c>
      <c r="E849" s="323"/>
      <c r="F849" s="323"/>
      <c r="G849" s="323"/>
      <c r="H849" s="323"/>
      <c r="I849" s="323"/>
      <c r="J849" s="323"/>
      <c r="K849" s="323"/>
      <c r="L849" s="323"/>
      <c r="M849" s="323"/>
      <c r="N849" s="323"/>
      <c r="O849" s="323"/>
      <c r="P849" s="323"/>
      <c r="Q849" s="323"/>
      <c r="R849" s="323"/>
      <c r="S849" s="323"/>
      <c r="T849" s="323"/>
      <c r="U849" s="323"/>
      <c r="V849" s="323"/>
      <c r="W849" s="323"/>
      <c r="X849" s="323"/>
      <c r="Y849" s="323"/>
      <c r="Z849" s="323"/>
      <c r="AA849" s="323"/>
      <c r="AB849" s="323"/>
      <c r="AC849" s="323"/>
      <c r="AD849" s="323"/>
      <c r="AE849" s="323"/>
      <c r="AF849" s="323"/>
      <c r="AG849" s="323"/>
      <c r="AH849" s="323"/>
      <c r="AI849" s="323"/>
      <c r="AJ849" s="323"/>
      <c r="AK849" s="323"/>
      <c r="AL849" s="323"/>
      <c r="AM849" s="323"/>
      <c r="AN849" s="323"/>
      <c r="AO849" s="323">
        <v>0</v>
      </c>
      <c r="AP849" s="323">
        <v>0</v>
      </c>
      <c r="AQ849" s="323">
        <v>0</v>
      </c>
      <c r="AR849" s="323">
        <v>0</v>
      </c>
      <c r="AS849" s="323">
        <v>0</v>
      </c>
      <c r="AT849" s="323">
        <v>0</v>
      </c>
      <c r="AU849" s="323">
        <v>0</v>
      </c>
      <c r="AV849" s="323">
        <v>0</v>
      </c>
      <c r="AW849" s="323">
        <v>0</v>
      </c>
      <c r="AX849" s="323">
        <v>0</v>
      </c>
      <c r="AY849" s="323">
        <v>0</v>
      </c>
      <c r="AZ849" s="323">
        <v>0</v>
      </c>
      <c r="BA849" s="323">
        <v>0</v>
      </c>
      <c r="BB849" s="323">
        <v>0</v>
      </c>
      <c r="BC849" s="323">
        <v>0</v>
      </c>
      <c r="BD849" s="323">
        <v>0</v>
      </c>
      <c r="BE849" s="323">
        <v>0</v>
      </c>
      <c r="BF849" s="323">
        <v>0</v>
      </c>
      <c r="BG849" s="323">
        <v>0</v>
      </c>
      <c r="BH849" s="323">
        <v>0</v>
      </c>
      <c r="BI849" s="323">
        <v>0</v>
      </c>
      <c r="BJ849" s="323">
        <v>0</v>
      </c>
      <c r="BK849" s="323">
        <v>0</v>
      </c>
      <c r="BL849" s="323">
        <v>0</v>
      </c>
      <c r="BM849" s="323">
        <v>0</v>
      </c>
      <c r="BN849" s="323">
        <v>0</v>
      </c>
      <c r="BO849" s="323">
        <v>0</v>
      </c>
      <c r="BP849" s="323">
        <v>0</v>
      </c>
      <c r="BQ849" s="323">
        <v>0</v>
      </c>
      <c r="BR849" s="323">
        <v>0</v>
      </c>
      <c r="BS849" s="323">
        <v>7.4612237999999997E-2</v>
      </c>
      <c r="BT849" s="323">
        <v>0.123331123</v>
      </c>
      <c r="BU849" s="323">
        <v>0.295413857</v>
      </c>
      <c r="BV849" s="323">
        <v>0.21621225999999999</v>
      </c>
      <c r="BW849" s="323">
        <v>0.1184069</v>
      </c>
      <c r="BX849" s="323">
        <v>0.103630009</v>
      </c>
      <c r="BY849" s="323">
        <v>0.13136698599999999</v>
      </c>
      <c r="BZ849" s="323">
        <v>0.25603450999999999</v>
      </c>
      <c r="CA849" s="323">
        <v>0.55681501300000003</v>
      </c>
      <c r="CB849" s="323">
        <v>0.25404932600000002</v>
      </c>
      <c r="CC849" s="323">
        <v>0.49003181000000001</v>
      </c>
      <c r="CD849" s="329">
        <v>0</v>
      </c>
      <c r="CE849" s="323">
        <f t="shared" ref="CE849:DJ849" si="1586">CE441</f>
        <v>0.119299153</v>
      </c>
      <c r="CF849" s="323">
        <f t="shared" si="1586"/>
        <v>0.11347230699999999</v>
      </c>
      <c r="CG849" s="323">
        <f t="shared" si="1586"/>
        <v>7.2799304999999995E-2</v>
      </c>
      <c r="CH849" s="323">
        <f t="shared" si="1586"/>
        <v>0.107684892</v>
      </c>
      <c r="CI849" s="323">
        <f t="shared" si="1586"/>
        <v>0.662955144</v>
      </c>
      <c r="CJ849" s="323">
        <f t="shared" si="1586"/>
        <v>0.30941506800000002</v>
      </c>
      <c r="CK849" s="323">
        <f t="shared" si="1586"/>
        <v>6.2576163000000004E-2</v>
      </c>
      <c r="CL849" s="323">
        <f t="shared" si="1586"/>
        <v>0.303381807</v>
      </c>
      <c r="CM849" s="323">
        <f t="shared" si="1586"/>
        <v>0.36172429099999998</v>
      </c>
      <c r="CN849" s="323">
        <f t="shared" si="1586"/>
        <v>0.45200000000000001</v>
      </c>
      <c r="CO849" s="323">
        <f t="shared" si="1586"/>
        <v>0.48499999999999999</v>
      </c>
      <c r="CP849" s="325">
        <f t="shared" si="1586"/>
        <v>1.17</v>
      </c>
      <c r="CQ849" s="323">
        <f t="shared" si="1586"/>
        <v>5.8000000000000003E-2</v>
      </c>
      <c r="CR849" s="323">
        <f t="shared" si="1586"/>
        <v>4.2000000000000003E-2</v>
      </c>
      <c r="CS849" s="323">
        <f t="shared" si="1586"/>
        <v>1.1779999999999999</v>
      </c>
      <c r="CT849" s="323">
        <f t="shared" si="1586"/>
        <v>9.8000000000000004E-2</v>
      </c>
      <c r="CU849" s="323">
        <f t="shared" si="1586"/>
        <v>0.10100000000000001</v>
      </c>
      <c r="CV849" s="323">
        <f t="shared" si="1586"/>
        <v>0.372</v>
      </c>
      <c r="CW849" s="323">
        <f t="shared" si="1586"/>
        <v>0.36699999999999999</v>
      </c>
      <c r="CX849" s="323">
        <f t="shared" si="1586"/>
        <v>5.0000000000000001E-3</v>
      </c>
      <c r="CY849" s="323">
        <f t="shared" si="1586"/>
        <v>0.40400000000000003</v>
      </c>
      <c r="CZ849" s="323">
        <f t="shared" si="1586"/>
        <v>3.9E-2</v>
      </c>
      <c r="DA849" s="323">
        <f t="shared" si="1586"/>
        <v>0.46300000000000002</v>
      </c>
      <c r="DB849" s="1269">
        <f t="shared" si="1586"/>
        <v>1.9390000000000001</v>
      </c>
      <c r="DC849" s="323">
        <f t="shared" si="1586"/>
        <v>9.4E-2</v>
      </c>
      <c r="DD849" s="323">
        <f t="shared" si="1586"/>
        <v>0.30499999999999999</v>
      </c>
      <c r="DE849" s="323">
        <f t="shared" si="1586"/>
        <v>0.45400000000000001</v>
      </c>
      <c r="DF849" s="323">
        <f t="shared" si="1586"/>
        <v>0.52200000000000002</v>
      </c>
      <c r="DG849" s="323">
        <f t="shared" si="1586"/>
        <v>0.55400000000000005</v>
      </c>
      <c r="DH849" s="323">
        <f t="shared" si="1586"/>
        <v>0.48199999999999998</v>
      </c>
      <c r="DI849" s="323">
        <f t="shared" si="1586"/>
        <v>0.4</v>
      </c>
      <c r="DJ849" s="323">
        <f t="shared" si="1586"/>
        <v>2.3050000000000002</v>
      </c>
      <c r="DK849" s="323">
        <f t="shared" ref="DK849:EP849" si="1587">DK441</f>
        <v>0.2</v>
      </c>
      <c r="DL849" s="323">
        <f t="shared" si="1587"/>
        <v>0.13800000000000001</v>
      </c>
      <c r="DM849" s="323">
        <f t="shared" si="1587"/>
        <v>6.6000000000000003E-2</v>
      </c>
      <c r="DN849" s="325">
        <f t="shared" si="1587"/>
        <v>0.108</v>
      </c>
      <c r="DO849" s="323">
        <f t="shared" si="1587"/>
        <v>0</v>
      </c>
      <c r="DP849" s="323">
        <f t="shared" si="1587"/>
        <v>0</v>
      </c>
      <c r="DQ849" s="323">
        <f t="shared" si="1587"/>
        <v>0</v>
      </c>
      <c r="DR849" s="323">
        <f t="shared" si="1587"/>
        <v>0</v>
      </c>
      <c r="DS849" s="323">
        <f t="shared" si="1587"/>
        <v>0</v>
      </c>
      <c r="DT849" s="323">
        <f t="shared" si="1587"/>
        <v>0</v>
      </c>
      <c r="DU849" s="323">
        <f t="shared" si="1587"/>
        <v>0</v>
      </c>
      <c r="DV849" s="323">
        <f t="shared" si="1587"/>
        <v>0</v>
      </c>
      <c r="DW849" s="323">
        <f t="shared" si="1587"/>
        <v>0</v>
      </c>
      <c r="DX849" s="323">
        <f t="shared" si="1587"/>
        <v>0</v>
      </c>
      <c r="DY849" s="323">
        <f t="shared" si="1587"/>
        <v>0</v>
      </c>
      <c r="DZ849" s="325">
        <f t="shared" si="1587"/>
        <v>0</v>
      </c>
      <c r="EA849" s="323">
        <f t="shared" si="1587"/>
        <v>0</v>
      </c>
      <c r="EB849" s="323">
        <f t="shared" si="1587"/>
        <v>0</v>
      </c>
      <c r="EC849" s="323">
        <f t="shared" si="1587"/>
        <v>0</v>
      </c>
      <c r="ED849" s="323">
        <f t="shared" si="1587"/>
        <v>0</v>
      </c>
      <c r="EE849" s="323">
        <f t="shared" si="1587"/>
        <v>0</v>
      </c>
      <c r="EF849" s="323">
        <f t="shared" si="1587"/>
        <v>0</v>
      </c>
      <c r="EG849" s="323">
        <f t="shared" si="1587"/>
        <v>0</v>
      </c>
      <c r="EH849" s="323">
        <f t="shared" si="1587"/>
        <v>0</v>
      </c>
      <c r="EI849" s="323">
        <f t="shared" si="1587"/>
        <v>0</v>
      </c>
      <c r="EJ849" s="323">
        <f t="shared" si="1587"/>
        <v>0</v>
      </c>
      <c r="EK849" s="323">
        <f t="shared" si="1587"/>
        <v>0</v>
      </c>
      <c r="EL849" s="325">
        <f t="shared" si="1587"/>
        <v>0</v>
      </c>
      <c r="EM849" s="323">
        <f t="shared" si="1587"/>
        <v>0</v>
      </c>
      <c r="EN849" s="323">
        <f t="shared" si="1587"/>
        <v>0</v>
      </c>
      <c r="EO849" s="323">
        <f t="shared" si="1587"/>
        <v>0</v>
      </c>
      <c r="EP849" s="323">
        <f t="shared" si="1587"/>
        <v>0</v>
      </c>
      <c r="EQ849" s="323">
        <f t="shared" ref="EQ849:FV849" si="1588">EQ441</f>
        <v>0</v>
      </c>
      <c r="ER849" s="323">
        <f t="shared" si="1588"/>
        <v>0</v>
      </c>
      <c r="ES849" s="323">
        <f t="shared" si="1588"/>
        <v>0</v>
      </c>
      <c r="ET849" s="323">
        <f t="shared" si="1588"/>
        <v>0</v>
      </c>
      <c r="EU849" s="323">
        <f t="shared" si="1588"/>
        <v>0</v>
      </c>
      <c r="EV849" s="323">
        <f t="shared" si="1588"/>
        <v>0</v>
      </c>
      <c r="EW849" s="323">
        <f t="shared" si="1588"/>
        <v>0</v>
      </c>
      <c r="EX849" s="325">
        <f t="shared" si="1588"/>
        <v>0</v>
      </c>
      <c r="EY849" s="323">
        <f t="shared" si="1588"/>
        <v>0</v>
      </c>
      <c r="EZ849" s="323">
        <f t="shared" si="1588"/>
        <v>0</v>
      </c>
      <c r="FA849" s="323">
        <f t="shared" si="1588"/>
        <v>0</v>
      </c>
      <c r="FB849" s="323">
        <f t="shared" si="1588"/>
        <v>0</v>
      </c>
      <c r="FC849" s="323">
        <f t="shared" si="1588"/>
        <v>0</v>
      </c>
      <c r="FD849" s="323">
        <f t="shared" si="1588"/>
        <v>0</v>
      </c>
      <c r="FE849" s="323">
        <f t="shared" si="1588"/>
        <v>0</v>
      </c>
      <c r="FF849" s="323">
        <f t="shared" si="1588"/>
        <v>0</v>
      </c>
      <c r="FG849" s="323">
        <f t="shared" si="1588"/>
        <v>0</v>
      </c>
      <c r="FH849" s="323">
        <f t="shared" si="1588"/>
        <v>0</v>
      </c>
      <c r="FI849" s="323">
        <f t="shared" si="1588"/>
        <v>0</v>
      </c>
      <c r="FJ849" s="325">
        <f t="shared" si="1588"/>
        <v>0</v>
      </c>
      <c r="FK849" s="323">
        <f t="shared" si="1588"/>
        <v>0</v>
      </c>
      <c r="FL849" s="323">
        <f t="shared" si="1588"/>
        <v>0</v>
      </c>
      <c r="FM849" s="323">
        <f t="shared" si="1588"/>
        <v>0</v>
      </c>
      <c r="FN849" s="323">
        <f t="shared" si="1588"/>
        <v>0</v>
      </c>
      <c r="FO849" s="323">
        <f t="shared" si="1588"/>
        <v>0</v>
      </c>
      <c r="FP849" s="323">
        <f t="shared" si="1588"/>
        <v>0</v>
      </c>
      <c r="FQ849" s="323">
        <f t="shared" si="1588"/>
        <v>0</v>
      </c>
      <c r="FR849" s="323">
        <f t="shared" si="1588"/>
        <v>0</v>
      </c>
      <c r="FS849" s="323">
        <f t="shared" si="1588"/>
        <v>0</v>
      </c>
      <c r="FT849" s="323">
        <f t="shared" si="1588"/>
        <v>0</v>
      </c>
      <c r="FU849" s="323">
        <f t="shared" si="1588"/>
        <v>0</v>
      </c>
      <c r="FV849" s="323">
        <f t="shared" si="1588"/>
        <v>0</v>
      </c>
      <c r="FW849" s="323">
        <v>0</v>
      </c>
      <c r="FX849" s="323">
        <v>0</v>
      </c>
      <c r="FY849" s="323">
        <v>0</v>
      </c>
      <c r="FZ849" s="323">
        <v>0</v>
      </c>
      <c r="GA849" s="323">
        <v>0</v>
      </c>
      <c r="GB849" s="323">
        <v>0</v>
      </c>
      <c r="GC849" s="323">
        <v>0</v>
      </c>
      <c r="GD849" s="323">
        <v>0</v>
      </c>
      <c r="GE849" s="323">
        <v>0</v>
      </c>
      <c r="GF849" s="323">
        <v>0</v>
      </c>
      <c r="GG849" s="323">
        <v>0</v>
      </c>
      <c r="GH849" s="323">
        <v>0</v>
      </c>
      <c r="GI849" s="323">
        <v>0</v>
      </c>
      <c r="GJ849" s="323">
        <v>0</v>
      </c>
      <c r="GK849" s="323">
        <v>0</v>
      </c>
      <c r="GL849" s="323">
        <v>0</v>
      </c>
      <c r="GM849" s="323">
        <v>0</v>
      </c>
      <c r="GN849" s="323">
        <v>0</v>
      </c>
      <c r="GO849" s="323">
        <v>0</v>
      </c>
      <c r="GP849" s="323">
        <v>0</v>
      </c>
      <c r="GQ849" s="323">
        <v>0</v>
      </c>
      <c r="GR849" s="323">
        <v>0</v>
      </c>
      <c r="GS849" s="323">
        <v>0</v>
      </c>
      <c r="GT849" s="323">
        <v>0</v>
      </c>
      <c r="GU849" s="323">
        <v>0</v>
      </c>
      <c r="GV849" s="323">
        <v>0</v>
      </c>
      <c r="GW849" s="323">
        <v>0</v>
      </c>
      <c r="GX849" s="323">
        <v>0</v>
      </c>
      <c r="GY849" s="323">
        <v>0</v>
      </c>
      <c r="GZ849" s="323">
        <v>0</v>
      </c>
      <c r="HA849" s="323">
        <v>0</v>
      </c>
      <c r="HB849" s="323">
        <v>0</v>
      </c>
      <c r="HC849" s="323">
        <v>0</v>
      </c>
      <c r="HD849" s="323">
        <v>0</v>
      </c>
      <c r="HE849" s="323">
        <v>0</v>
      </c>
      <c r="HF849" s="323">
        <v>0</v>
      </c>
      <c r="HG849" s="323">
        <v>0</v>
      </c>
      <c r="HH849" s="323">
        <v>0</v>
      </c>
      <c r="HI849" s="323">
        <v>0</v>
      </c>
      <c r="HJ849" s="323">
        <v>0</v>
      </c>
      <c r="HK849" s="323">
        <v>0</v>
      </c>
      <c r="HL849" s="323">
        <v>0</v>
      </c>
      <c r="HM849" s="323">
        <v>0</v>
      </c>
      <c r="HN849" s="323">
        <v>0</v>
      </c>
      <c r="HO849" s="323">
        <v>0</v>
      </c>
      <c r="HP849" s="323">
        <v>0</v>
      </c>
      <c r="HQ849" s="323">
        <v>0</v>
      </c>
      <c r="HR849" s="323">
        <v>0</v>
      </c>
      <c r="HS849" s="323">
        <v>0</v>
      </c>
      <c r="HT849" s="323">
        <v>0</v>
      </c>
      <c r="HU849" s="323">
        <v>0</v>
      </c>
      <c r="HV849" s="323">
        <v>0</v>
      </c>
      <c r="HW849" s="323">
        <v>0</v>
      </c>
      <c r="HX849" s="323">
        <v>0</v>
      </c>
      <c r="HY849" s="323"/>
      <c r="HZ849" s="326"/>
      <c r="IA849" s="1495" t="s">
        <v>3159</v>
      </c>
      <c r="IB849" s="284">
        <f>SUM(CE849:CJ849)</f>
        <v>1.3856258690000001</v>
      </c>
      <c r="IC849" s="279">
        <f>SUM(CK849:CP849)</f>
        <v>2.8346822609999998</v>
      </c>
      <c r="ID849" s="323">
        <f>IB849+IC849</f>
        <v>4.2203081299999994</v>
      </c>
      <c r="IE849" s="279">
        <f>SUM(CQ849:CV849)</f>
        <v>1.8490000000000002</v>
      </c>
      <c r="IF849" s="279">
        <f>SUM(CW849:DB849)</f>
        <v>3.2170000000000001</v>
      </c>
      <c r="IG849" s="323">
        <f>IE849+IF849</f>
        <v>5.0660000000000007</v>
      </c>
      <c r="IH849" s="284">
        <f>SUM(DC849:DH849)</f>
        <v>2.411</v>
      </c>
      <c r="II849" s="279">
        <f>SUM(DI849:DN849)</f>
        <v>3.2170000000000001</v>
      </c>
      <c r="IJ849" s="323">
        <f>IH849+II849</f>
        <v>5.6280000000000001</v>
      </c>
      <c r="IK849" s="327">
        <f>SUM(DO849:DT849)</f>
        <v>0</v>
      </c>
      <c r="IL849" s="279">
        <f>SUM(DU849:DZ849)</f>
        <v>0</v>
      </c>
      <c r="IM849" s="323">
        <f>IK849+IL849</f>
        <v>0</v>
      </c>
      <c r="IN849" s="279">
        <f>SUM(EA849:EF849)</f>
        <v>0</v>
      </c>
      <c r="IO849" s="279">
        <f>SUM(EG849:EL849)</f>
        <v>0</v>
      </c>
      <c r="IP849" s="323">
        <f>IN849+IO849</f>
        <v>0</v>
      </c>
      <c r="IQ849" s="327">
        <f>SUM(EM849:ER849)</f>
        <v>0</v>
      </c>
      <c r="IR849" s="327">
        <f>SUM(ES849:EX849)</f>
        <v>0</v>
      </c>
      <c r="IS849" s="323">
        <f>IQ849+IR849</f>
        <v>0</v>
      </c>
      <c r="IT849" s="327">
        <f>SUM(EY849:FD849)</f>
        <v>0</v>
      </c>
      <c r="IU849" s="327">
        <f>SUM(FE849:FJ849)</f>
        <v>0</v>
      </c>
      <c r="IV849" s="323">
        <f>IT849+IU849</f>
        <v>0</v>
      </c>
      <c r="IW849" s="327">
        <f t="shared" si="1574"/>
        <v>0</v>
      </c>
      <c r="IX849" s="327">
        <f t="shared" si="1378"/>
        <v>0</v>
      </c>
      <c r="IY849" s="323">
        <f t="shared" si="1475"/>
        <v>0</v>
      </c>
      <c r="IZ849" s="327">
        <f t="shared" si="1439"/>
        <v>0</v>
      </c>
      <c r="JA849" s="327">
        <f t="shared" si="1440"/>
        <v>0</v>
      </c>
      <c r="JB849" s="323">
        <f t="shared" si="1458"/>
        <v>0</v>
      </c>
      <c r="JC849" s="327">
        <f t="shared" si="1441"/>
        <v>0</v>
      </c>
      <c r="JD849" s="327">
        <f t="shared" si="1442"/>
        <v>0</v>
      </c>
      <c r="JE849" s="323">
        <f t="shared" si="1459"/>
        <v>0</v>
      </c>
      <c r="JF849" s="327">
        <f>SUM(GU849:GZ849)</f>
        <v>0</v>
      </c>
      <c r="JG849" s="327">
        <f t="shared" si="1372"/>
        <v>0</v>
      </c>
      <c r="JH849" s="323">
        <f t="shared" si="1406"/>
        <v>0</v>
      </c>
      <c r="JI849" s="327">
        <f t="shared" si="1476"/>
        <v>0</v>
      </c>
      <c r="JJ849" s="327">
        <f t="shared" si="1405"/>
        <v>0</v>
      </c>
      <c r="JK849" s="323">
        <f t="shared" si="1398"/>
        <v>0</v>
      </c>
      <c r="JL849" s="327">
        <f t="shared" si="1407"/>
        <v>0</v>
      </c>
      <c r="JM849" s="279">
        <f t="shared" si="1535"/>
        <v>0</v>
      </c>
      <c r="JN849" s="323">
        <f>FISC!AK1155</f>
        <v>0</v>
      </c>
      <c r="JO849" s="327">
        <f t="shared" si="1559"/>
        <v>0</v>
      </c>
      <c r="JP849" s="279">
        <f t="shared" si="1536"/>
        <v>0</v>
      </c>
      <c r="JQ849" s="323">
        <f>FISC!AL1155</f>
        <v>0</v>
      </c>
      <c r="JR849" s="327">
        <f t="shared" si="1560"/>
        <v>0</v>
      </c>
      <c r="JS849" s="279">
        <f t="shared" si="1537"/>
        <v>0</v>
      </c>
      <c r="JT849" s="323">
        <f>FISC!AM1155</f>
        <v>0</v>
      </c>
      <c r="JU849" s="327">
        <f t="shared" si="1561"/>
        <v>0</v>
      </c>
      <c r="JV849" s="279">
        <f t="shared" si="1538"/>
        <v>0</v>
      </c>
      <c r="JW849" s="323">
        <f>FISC!AN1155</f>
        <v>0</v>
      </c>
      <c r="JX849" s="327">
        <f t="shared" si="1562"/>
        <v>0</v>
      </c>
      <c r="JY849" s="279">
        <f t="shared" si="1539"/>
        <v>0</v>
      </c>
      <c r="JZ849" s="323">
        <f>FISC!AO1155</f>
        <v>0</v>
      </c>
      <c r="KA849" s="327">
        <f t="shared" si="1563"/>
        <v>0</v>
      </c>
      <c r="KB849" s="279">
        <f t="shared" si="1540"/>
        <v>0</v>
      </c>
      <c r="KC849" s="323">
        <f>FISC!AP1155</f>
        <v>0</v>
      </c>
      <c r="KD849" s="327">
        <f t="shared" si="1564"/>
        <v>0</v>
      </c>
      <c r="KE849" s="279">
        <f t="shared" si="1541"/>
        <v>0</v>
      </c>
      <c r="KF849" s="323">
        <f>FISC!AQ1155</f>
        <v>0</v>
      </c>
      <c r="KG849" s="327">
        <f t="shared" si="1565"/>
        <v>0</v>
      </c>
      <c r="KH849" s="279">
        <f t="shared" si="1542"/>
        <v>0</v>
      </c>
      <c r="KI849" s="323">
        <f>FISC!AR1155</f>
        <v>0</v>
      </c>
      <c r="KJ849" s="327">
        <f t="shared" si="1566"/>
        <v>0</v>
      </c>
      <c r="KK849" s="279">
        <f t="shared" si="1543"/>
        <v>0</v>
      </c>
      <c r="KL849" s="323">
        <f>FISC!AS1155</f>
        <v>0</v>
      </c>
      <c r="KM849" s="327">
        <f t="shared" si="1567"/>
        <v>0</v>
      </c>
      <c r="KN849" s="279">
        <f t="shared" si="1544"/>
        <v>0</v>
      </c>
      <c r="KO849" s="323">
        <f>FISC!AT1155</f>
        <v>0</v>
      </c>
      <c r="KU849" s="326"/>
      <c r="KV849" s="327"/>
    </row>
    <row r="850" spans="1:314">
      <c r="A850" s="279"/>
      <c r="B850" s="96" t="s">
        <v>338</v>
      </c>
      <c r="D850" s="331" t="s">
        <v>557</v>
      </c>
      <c r="E850" s="323">
        <f t="shared" ref="E850:AJ850" si="1589">E851+E853+E868+E869+E877+E885+E901+E903</f>
        <v>0</v>
      </c>
      <c r="F850" s="323">
        <f t="shared" si="1589"/>
        <v>0</v>
      </c>
      <c r="G850" s="323">
        <f t="shared" si="1589"/>
        <v>0</v>
      </c>
      <c r="H850" s="323">
        <f t="shared" si="1589"/>
        <v>0</v>
      </c>
      <c r="I850" s="323">
        <f t="shared" si="1589"/>
        <v>0</v>
      </c>
      <c r="J850" s="323">
        <f t="shared" si="1589"/>
        <v>0</v>
      </c>
      <c r="K850" s="323">
        <f t="shared" si="1589"/>
        <v>0</v>
      </c>
      <c r="L850" s="323">
        <f t="shared" si="1589"/>
        <v>0</v>
      </c>
      <c r="M850" s="323">
        <f t="shared" si="1589"/>
        <v>0</v>
      </c>
      <c r="N850" s="323">
        <f t="shared" si="1589"/>
        <v>0</v>
      </c>
      <c r="O850" s="323">
        <f t="shared" si="1589"/>
        <v>0</v>
      </c>
      <c r="P850" s="323">
        <f t="shared" si="1589"/>
        <v>0</v>
      </c>
      <c r="Q850" s="323">
        <f t="shared" si="1589"/>
        <v>0</v>
      </c>
      <c r="R850" s="323">
        <f t="shared" si="1589"/>
        <v>0</v>
      </c>
      <c r="S850" s="323">
        <f t="shared" si="1589"/>
        <v>0</v>
      </c>
      <c r="T850" s="323">
        <f t="shared" si="1589"/>
        <v>0</v>
      </c>
      <c r="U850" s="323">
        <f t="shared" si="1589"/>
        <v>0</v>
      </c>
      <c r="V850" s="323">
        <f t="shared" si="1589"/>
        <v>0</v>
      </c>
      <c r="W850" s="323">
        <f t="shared" si="1589"/>
        <v>0</v>
      </c>
      <c r="X850" s="323">
        <f t="shared" si="1589"/>
        <v>0</v>
      </c>
      <c r="Y850" s="323">
        <f t="shared" si="1589"/>
        <v>0</v>
      </c>
      <c r="Z850" s="323">
        <f t="shared" si="1589"/>
        <v>0</v>
      </c>
      <c r="AA850" s="323">
        <f t="shared" si="1589"/>
        <v>0</v>
      </c>
      <c r="AB850" s="323">
        <f t="shared" si="1589"/>
        <v>0</v>
      </c>
      <c r="AC850" s="323">
        <f t="shared" si="1589"/>
        <v>0</v>
      </c>
      <c r="AD850" s="323">
        <f t="shared" si="1589"/>
        <v>0</v>
      </c>
      <c r="AE850" s="323">
        <f t="shared" si="1589"/>
        <v>0</v>
      </c>
      <c r="AF850" s="323">
        <f t="shared" si="1589"/>
        <v>0</v>
      </c>
      <c r="AG850" s="323">
        <f t="shared" si="1589"/>
        <v>0</v>
      </c>
      <c r="AH850" s="323">
        <f t="shared" si="1589"/>
        <v>0</v>
      </c>
      <c r="AI850" s="323">
        <f t="shared" si="1589"/>
        <v>0</v>
      </c>
      <c r="AJ850" s="323">
        <f t="shared" si="1589"/>
        <v>0</v>
      </c>
      <c r="AK850" s="323">
        <f t="shared" ref="AK850:BP850" si="1590">AK851+AK853+AK868+AK869+AK877+AK885+AK901+AK903</f>
        <v>0</v>
      </c>
      <c r="AL850" s="323">
        <f t="shared" si="1590"/>
        <v>0</v>
      </c>
      <c r="AM850" s="323">
        <f t="shared" si="1590"/>
        <v>0</v>
      </c>
      <c r="AN850" s="323">
        <f t="shared" si="1590"/>
        <v>0</v>
      </c>
      <c r="AO850" s="323">
        <f t="shared" si="1590"/>
        <v>0.4218368758062</v>
      </c>
      <c r="AP850" s="323">
        <f t="shared" si="1590"/>
        <v>0.15930158205101999</v>
      </c>
      <c r="AQ850" s="323">
        <f t="shared" si="1590"/>
        <v>0.61614968011050009</v>
      </c>
      <c r="AR850" s="323">
        <f t="shared" si="1590"/>
        <v>0.29238099254990002</v>
      </c>
      <c r="AS850" s="323">
        <f t="shared" si="1590"/>
        <v>0.49848143689416663</v>
      </c>
      <c r="AT850" s="323">
        <f t="shared" si="1590"/>
        <v>0.27567536453119995</v>
      </c>
      <c r="AU850" s="323">
        <f t="shared" si="1590"/>
        <v>0.41900182074452003</v>
      </c>
      <c r="AV850" s="323">
        <f t="shared" si="1590"/>
        <v>5.9318858289000003E-3</v>
      </c>
      <c r="AW850" s="323">
        <f t="shared" si="1590"/>
        <v>0.31037488525610002</v>
      </c>
      <c r="AX850" s="323">
        <f t="shared" si="1590"/>
        <v>0.79970507613979092</v>
      </c>
      <c r="AY850" s="323">
        <f t="shared" si="1590"/>
        <v>0.12941338107390002</v>
      </c>
      <c r="AZ850" s="323">
        <f t="shared" si="1590"/>
        <v>0.66349748529589991</v>
      </c>
      <c r="BA850" s="323">
        <f t="shared" si="1590"/>
        <v>0.43553760418569998</v>
      </c>
      <c r="BB850" s="323">
        <f t="shared" si="1590"/>
        <v>1.0110004030600001E-2</v>
      </c>
      <c r="BC850" s="323">
        <f t="shared" si="1590"/>
        <v>0.92716271887939983</v>
      </c>
      <c r="BD850" s="323">
        <f t="shared" si="1590"/>
        <v>0.33346708193720004</v>
      </c>
      <c r="BE850" s="323">
        <f t="shared" si="1590"/>
        <v>0.16446884016910002</v>
      </c>
      <c r="BF850" s="323">
        <f t="shared" si="1590"/>
        <v>0.46283348290624249</v>
      </c>
      <c r="BG850" s="323">
        <f t="shared" si="1590"/>
        <v>47.211846316241342</v>
      </c>
      <c r="BH850" s="323">
        <f t="shared" si="1590"/>
        <v>74.45831871456619</v>
      </c>
      <c r="BI850" s="323">
        <f t="shared" si="1590"/>
        <v>45.532160173451999</v>
      </c>
      <c r="BJ850" s="323">
        <f t="shared" si="1590"/>
        <v>75.295248003342707</v>
      </c>
      <c r="BK850" s="323">
        <f t="shared" si="1590"/>
        <v>53.105264547779008</v>
      </c>
      <c r="BL850" s="323">
        <f t="shared" si="1590"/>
        <v>38.754961242518796</v>
      </c>
      <c r="BM850" s="323">
        <f t="shared" si="1590"/>
        <v>69.929913903593913</v>
      </c>
      <c r="BN850" s="323">
        <f t="shared" si="1590"/>
        <v>49.273468699155501</v>
      </c>
      <c r="BO850" s="323">
        <f t="shared" si="1590"/>
        <v>48.539825571859296</v>
      </c>
      <c r="BP850" s="323">
        <f t="shared" si="1590"/>
        <v>83.436657257436394</v>
      </c>
      <c r="BQ850" s="323">
        <f t="shared" ref="BQ850:CV850" si="1591">BQ851+BQ853+BQ868+BQ869+BQ877+BQ885+BQ901+BQ903</f>
        <v>70.304949398627159</v>
      </c>
      <c r="BR850" s="323">
        <f t="shared" si="1591"/>
        <v>28.275897556700397</v>
      </c>
      <c r="BS850" s="323">
        <f t="shared" si="1591"/>
        <v>61.815081714061002</v>
      </c>
      <c r="BT850" s="323">
        <f t="shared" si="1591"/>
        <v>54.432380561523502</v>
      </c>
      <c r="BU850" s="323">
        <f t="shared" si="1591"/>
        <v>38.381478157159499</v>
      </c>
      <c r="BV850" s="323">
        <f t="shared" si="1591"/>
        <v>84.69430708071971</v>
      </c>
      <c r="BW850" s="323">
        <f t="shared" si="1591"/>
        <v>52.963476475276906</v>
      </c>
      <c r="BX850" s="323">
        <f t="shared" si="1591"/>
        <v>37.893483078853301</v>
      </c>
      <c r="BY850" s="323">
        <f t="shared" si="1591"/>
        <v>62.100208835434358</v>
      </c>
      <c r="BZ850" s="323">
        <f t="shared" si="1591"/>
        <v>63.563128624635553</v>
      </c>
      <c r="CA850" s="323">
        <f t="shared" si="1591"/>
        <v>44.987419374886883</v>
      </c>
      <c r="CB850" s="323">
        <f t="shared" si="1591"/>
        <v>82.44895081532394</v>
      </c>
      <c r="CC850" s="323">
        <f t="shared" si="1591"/>
        <v>110.29717865720355</v>
      </c>
      <c r="CD850" s="329">
        <f t="shared" si="1591"/>
        <v>44.276011968101493</v>
      </c>
      <c r="CE850" s="323">
        <f t="shared" si="1591"/>
        <v>71.458612352207666</v>
      </c>
      <c r="CF850" s="323">
        <f t="shared" si="1591"/>
        <v>80.614230169444525</v>
      </c>
      <c r="CG850" s="323">
        <f t="shared" si="1591"/>
        <v>56.53873985673652</v>
      </c>
      <c r="CH850" s="323">
        <f t="shared" si="1591"/>
        <v>112.84926202137515</v>
      </c>
      <c r="CI850" s="323">
        <f t="shared" si="1591"/>
        <v>58.41319784896168</v>
      </c>
      <c r="CJ850" s="323">
        <f t="shared" si="1591"/>
        <v>58.648621584906493</v>
      </c>
      <c r="CK850" s="323">
        <f t="shared" si="1591"/>
        <v>95.979081952908501</v>
      </c>
      <c r="CL850" s="323">
        <f t="shared" si="1591"/>
        <v>62.087554476596175</v>
      </c>
      <c r="CM850" s="323">
        <f t="shared" si="1591"/>
        <v>59.108390563097089</v>
      </c>
      <c r="CN850" s="323">
        <f t="shared" si="1591"/>
        <v>114.98262093264997</v>
      </c>
      <c r="CO850" s="323">
        <f t="shared" si="1591"/>
        <v>84.451621389061472</v>
      </c>
      <c r="CP850" s="325">
        <f t="shared" si="1591"/>
        <v>47.933403958317456</v>
      </c>
      <c r="CQ850" s="323">
        <f t="shared" si="1591"/>
        <v>100.17957960570411</v>
      </c>
      <c r="CR850" s="323">
        <f t="shared" si="1591"/>
        <v>76.755145306457905</v>
      </c>
      <c r="CS850" s="323">
        <f t="shared" si="1591"/>
        <v>78.99562305287499</v>
      </c>
      <c r="CT850" s="323">
        <f t="shared" si="1591"/>
        <v>90.375015269121633</v>
      </c>
      <c r="CU850" s="323">
        <f t="shared" si="1591"/>
        <v>74.556325616232883</v>
      </c>
      <c r="CV850" s="323">
        <f t="shared" si="1591"/>
        <v>74.798320147405676</v>
      </c>
      <c r="CW850" s="323">
        <f t="shared" ref="CW850:EB850" si="1592">CW851+CW853+CW868+CW869+CW877+CW885+CW901+CW903</f>
        <v>83.594369939108489</v>
      </c>
      <c r="CX850" s="323">
        <f t="shared" si="1592"/>
        <v>55.364763503715224</v>
      </c>
      <c r="CY850" s="323">
        <f t="shared" si="1592"/>
        <v>102.5462955264567</v>
      </c>
      <c r="CZ850" s="323">
        <f t="shared" si="1592"/>
        <v>137.93081720125494</v>
      </c>
      <c r="DA850" s="323">
        <f t="shared" si="1592"/>
        <v>75.620315410053152</v>
      </c>
      <c r="DB850" s="1269">
        <f t="shared" si="1592"/>
        <v>36.487652212698229</v>
      </c>
      <c r="DC850" s="323">
        <f t="shared" si="1592"/>
        <v>115.07450532287467</v>
      </c>
      <c r="DD850" s="323">
        <f t="shared" si="1592"/>
        <v>88.600249235000007</v>
      </c>
      <c r="DE850" s="323">
        <f t="shared" si="1592"/>
        <v>75.262546940399986</v>
      </c>
      <c r="DF850" s="323">
        <f t="shared" si="1592"/>
        <v>152.2468426775811</v>
      </c>
      <c r="DG850" s="323">
        <f t="shared" si="1592"/>
        <v>83.222383627999989</v>
      </c>
      <c r="DH850" s="323">
        <f t="shared" si="1592"/>
        <v>76.716107223000009</v>
      </c>
      <c r="DI850" s="323">
        <f t="shared" si="1592"/>
        <v>124.87842583198848</v>
      </c>
      <c r="DJ850" s="323">
        <f t="shared" si="1592"/>
        <v>78.511082680869407</v>
      </c>
      <c r="DK850" s="323">
        <f t="shared" si="1592"/>
        <v>90.745945551081348</v>
      </c>
      <c r="DL850" s="323">
        <f t="shared" si="1592"/>
        <v>125.2924094857818</v>
      </c>
      <c r="DM850" s="323">
        <f t="shared" si="1592"/>
        <v>74.90322348545844</v>
      </c>
      <c r="DN850" s="325">
        <f t="shared" si="1592"/>
        <v>61.502820190708533</v>
      </c>
      <c r="DO850" s="323">
        <f t="shared" si="1592"/>
        <v>144.07550871509005</v>
      </c>
      <c r="DP850" s="323">
        <f t="shared" si="1592"/>
        <v>113.07770425551797</v>
      </c>
      <c r="DQ850" s="323">
        <f t="shared" si="1592"/>
        <v>76.082356122777597</v>
      </c>
      <c r="DR850" s="323">
        <f t="shared" si="1592"/>
        <v>156.06651094656246</v>
      </c>
      <c r="DS850" s="323">
        <f t="shared" si="1592"/>
        <v>104.26100455498974</v>
      </c>
      <c r="DT850" s="323">
        <f t="shared" si="1592"/>
        <v>111.50208148811539</v>
      </c>
      <c r="DU850" s="323">
        <f t="shared" si="1592"/>
        <v>132.61847265266206</v>
      </c>
      <c r="DV850" s="323">
        <f t="shared" si="1592"/>
        <v>104.58270080807941</v>
      </c>
      <c r="DW850" s="323">
        <f t="shared" si="1592"/>
        <v>79.563794331681549</v>
      </c>
      <c r="DX850" s="323">
        <f t="shared" si="1592"/>
        <v>153.83782506362562</v>
      </c>
      <c r="DY850" s="323">
        <f t="shared" si="1592"/>
        <v>100.9167906141913</v>
      </c>
      <c r="DZ850" s="325">
        <f t="shared" si="1592"/>
        <v>46.872684568321155</v>
      </c>
      <c r="EA850" s="323">
        <f t="shared" si="1592"/>
        <v>145.30212676947173</v>
      </c>
      <c r="EB850" s="323">
        <f t="shared" si="1592"/>
        <v>130.68953977944261</v>
      </c>
      <c r="EC850" s="323">
        <f t="shared" ref="EC850:FH850" si="1593">EC851+EC853+EC868+EC869+EC877+EC885+EC901+EC903</f>
        <v>141.10338209713646</v>
      </c>
      <c r="ED850" s="323">
        <f t="shared" si="1593"/>
        <v>140.02275301199998</v>
      </c>
      <c r="EE850" s="323">
        <f t="shared" si="1593"/>
        <v>96.151639869999997</v>
      </c>
      <c r="EF850" s="323">
        <f t="shared" si="1593"/>
        <v>90.247179783000007</v>
      </c>
      <c r="EG850" s="323">
        <f t="shared" si="1593"/>
        <v>156.25003193032137</v>
      </c>
      <c r="EH850" s="323">
        <f t="shared" si="1593"/>
        <v>94.812955786241616</v>
      </c>
      <c r="EI850" s="323">
        <f t="shared" si="1593"/>
        <v>124.76817025059032</v>
      </c>
      <c r="EJ850" s="323">
        <f t="shared" si="1593"/>
        <v>119.00127803696546</v>
      </c>
      <c r="EK850" s="323">
        <f t="shared" si="1593"/>
        <v>120.87081263640491</v>
      </c>
      <c r="EL850" s="325">
        <f t="shared" si="1593"/>
        <v>77.702326093316088</v>
      </c>
      <c r="EM850" s="323">
        <f t="shared" si="1593"/>
        <v>109.85451754499697</v>
      </c>
      <c r="EN850" s="323">
        <f t="shared" si="1593"/>
        <v>125.79905447463875</v>
      </c>
      <c r="EO850" s="323">
        <f t="shared" si="1593"/>
        <v>102.91453615671431</v>
      </c>
      <c r="EP850" s="323">
        <f t="shared" si="1593"/>
        <v>157.58331419881409</v>
      </c>
      <c r="EQ850" s="323">
        <f t="shared" si="1593"/>
        <v>145.96961350311793</v>
      </c>
      <c r="ER850" s="323">
        <f t="shared" si="1593"/>
        <v>106.89384576221238</v>
      </c>
      <c r="ES850" s="323">
        <f t="shared" si="1593"/>
        <v>135.51409806396794</v>
      </c>
      <c r="ET850" s="323">
        <f t="shared" si="1593"/>
        <v>117.00239800372515</v>
      </c>
      <c r="EU850" s="323">
        <f t="shared" si="1593"/>
        <v>138.66612055156887</v>
      </c>
      <c r="EV850" s="323">
        <f t="shared" si="1593"/>
        <v>276.39451889608108</v>
      </c>
      <c r="EW850" s="323">
        <f t="shared" si="1593"/>
        <v>169.57482779654237</v>
      </c>
      <c r="EX850" s="325">
        <f t="shared" si="1593"/>
        <v>80.696747638226839</v>
      </c>
      <c r="EY850" s="323">
        <f t="shared" si="1593"/>
        <v>135.54473385247792</v>
      </c>
      <c r="EZ850" s="323">
        <f t="shared" si="1593"/>
        <v>150.91730850391738</v>
      </c>
      <c r="FA850" s="323">
        <f t="shared" si="1593"/>
        <v>150.34048970330511</v>
      </c>
      <c r="FB850" s="323">
        <f t="shared" si="1593"/>
        <v>152.86264558400836</v>
      </c>
      <c r="FC850" s="323">
        <f t="shared" si="1593"/>
        <v>167.49266295468342</v>
      </c>
      <c r="FD850" s="323">
        <f t="shared" si="1593"/>
        <v>153.30630701289576</v>
      </c>
      <c r="FE850" s="323">
        <f t="shared" si="1593"/>
        <v>141.90985569054118</v>
      </c>
      <c r="FF850" s="323">
        <f t="shared" si="1593"/>
        <v>166.06225588561682</v>
      </c>
      <c r="FG850" s="323">
        <f t="shared" si="1593"/>
        <v>169.20589458029306</v>
      </c>
      <c r="FH850" s="323">
        <f t="shared" si="1593"/>
        <v>147.73294296268554</v>
      </c>
      <c r="FI850" s="323">
        <f t="shared" ref="FI850:FV850" si="1594">FI851+FI853+FI868+FI869+FI877+FI885+FI901+FI903</f>
        <v>252.83473571944506</v>
      </c>
      <c r="FJ850" s="325">
        <f t="shared" si="1594"/>
        <v>112.92171774518997</v>
      </c>
      <c r="FK850" s="323">
        <f t="shared" si="1594"/>
        <v>219.1918465372174</v>
      </c>
      <c r="FL850" s="323">
        <f t="shared" si="1594"/>
        <v>155.82205387646056</v>
      </c>
      <c r="FM850" s="323">
        <f t="shared" si="1594"/>
        <v>167.81463236436889</v>
      </c>
      <c r="FN850" s="323">
        <f t="shared" si="1594"/>
        <v>142.24071716064336</v>
      </c>
      <c r="FO850" s="323">
        <f t="shared" si="1594"/>
        <v>198.30870370624206</v>
      </c>
      <c r="FP850" s="323">
        <f t="shared" si="1594"/>
        <v>160.83325130389358</v>
      </c>
      <c r="FQ850" s="323">
        <f t="shared" si="1594"/>
        <v>119.74511789993736</v>
      </c>
      <c r="FR850" s="323">
        <f t="shared" si="1594"/>
        <v>161.14429667342094</v>
      </c>
      <c r="FS850" s="323">
        <f t="shared" si="1594"/>
        <v>182.70007181548141</v>
      </c>
      <c r="FT850" s="323">
        <f t="shared" si="1594"/>
        <v>170.5411933862847</v>
      </c>
      <c r="FU850" s="323">
        <f t="shared" si="1594"/>
        <v>289.50421094387059</v>
      </c>
      <c r="FV850" s="323">
        <f t="shared" si="1594"/>
        <v>121.51134231148433</v>
      </c>
      <c r="FW850" s="323">
        <v>151.80794224983575</v>
      </c>
      <c r="FX850" s="323">
        <v>182.72433729046381</v>
      </c>
      <c r="FY850" s="323">
        <v>288.38844737599351</v>
      </c>
      <c r="FZ850" s="323">
        <v>177.82332819536788</v>
      </c>
      <c r="GA850" s="323">
        <v>179.01943237914801</v>
      </c>
      <c r="GB850" s="323">
        <v>164.6325557816927</v>
      </c>
      <c r="GC850" s="323">
        <v>197.80811904856702</v>
      </c>
      <c r="GD850" s="323">
        <v>250.93833467570244</v>
      </c>
      <c r="GE850" s="323">
        <v>208.77223398815104</v>
      </c>
      <c r="GF850" s="323">
        <v>230.91735339860341</v>
      </c>
      <c r="GG850" s="323">
        <v>262.55063902730666</v>
      </c>
      <c r="GH850" s="323">
        <v>172.5182399804556</v>
      </c>
      <c r="GI850" s="1654">
        <f t="shared" ref="GI850:HR850" si="1595">GI851+GI853+GI869+GI877+GI885+GI901+GI903</f>
        <v>257.5454968214832</v>
      </c>
      <c r="GJ850" s="1654">
        <f t="shared" si="1595"/>
        <v>281.09502307627758</v>
      </c>
      <c r="GK850" s="1654">
        <f t="shared" si="1595"/>
        <v>241.58285759185569</v>
      </c>
      <c r="GL850" s="1654">
        <f t="shared" si="1595"/>
        <v>205.05214757106037</v>
      </c>
      <c r="GM850" s="1654">
        <f t="shared" si="1595"/>
        <v>216.49314831084266</v>
      </c>
      <c r="GN850" s="1654">
        <f t="shared" si="1595"/>
        <v>159.05253265239878</v>
      </c>
      <c r="GO850" s="1654">
        <f t="shared" si="1595"/>
        <v>225.1136218782292</v>
      </c>
      <c r="GP850" s="1654">
        <f t="shared" si="1595"/>
        <v>212.3992348710471</v>
      </c>
      <c r="GQ850" s="1654">
        <f t="shared" si="1595"/>
        <v>207.33054668257515</v>
      </c>
      <c r="GR850" s="1654">
        <f t="shared" si="1595"/>
        <v>304.74168630998582</v>
      </c>
      <c r="GS850" s="1654">
        <f t="shared" si="1595"/>
        <v>380.85325936667687</v>
      </c>
      <c r="GT850" s="1654">
        <f t="shared" si="1595"/>
        <v>165.43507792166898</v>
      </c>
      <c r="GU850" s="1654">
        <f t="shared" si="1595"/>
        <v>184.67336250382041</v>
      </c>
      <c r="GV850" s="1654">
        <f t="shared" si="1595"/>
        <v>277.40657337020019</v>
      </c>
      <c r="GW850" s="1654">
        <f t="shared" si="1595"/>
        <v>265.32312881129747</v>
      </c>
      <c r="GX850" s="1654">
        <f t="shared" si="1595"/>
        <v>215.34851151694906</v>
      </c>
      <c r="GY850" s="1654">
        <f t="shared" si="1595"/>
        <v>246.89019660525443</v>
      </c>
      <c r="GZ850" s="1654">
        <f t="shared" si="1595"/>
        <v>224.44205997715068</v>
      </c>
      <c r="HA850" s="1654">
        <f t="shared" si="1595"/>
        <v>260.7184256565896</v>
      </c>
      <c r="HB850" s="1654">
        <f t="shared" si="1595"/>
        <v>306.47656616645116</v>
      </c>
      <c r="HC850" s="1654">
        <f t="shared" si="1595"/>
        <v>204.06977351211842</v>
      </c>
      <c r="HD850" s="1654">
        <f t="shared" si="1595"/>
        <v>268.19963427527472</v>
      </c>
      <c r="HE850" s="1654">
        <f t="shared" si="1595"/>
        <v>382.08929568552065</v>
      </c>
      <c r="HF850" s="1654">
        <f t="shared" si="1595"/>
        <v>337.30442969236077</v>
      </c>
      <c r="HG850" s="1654">
        <f t="shared" si="1595"/>
        <v>300.57638153002182</v>
      </c>
      <c r="HH850" s="1654">
        <f t="shared" si="1595"/>
        <v>323.61834648334269</v>
      </c>
      <c r="HI850" s="1654">
        <f t="shared" si="1595"/>
        <v>274.90092470622028</v>
      </c>
      <c r="HJ850" s="1654">
        <f t="shared" si="1595"/>
        <v>249.79452497433934</v>
      </c>
      <c r="HK850" s="1654">
        <f t="shared" si="1595"/>
        <v>288.74138931171098</v>
      </c>
      <c r="HL850" s="1654">
        <f t="shared" si="1595"/>
        <v>282.88999114945949</v>
      </c>
      <c r="HM850" s="1654">
        <f t="shared" si="1595"/>
        <v>288.66475449032583</v>
      </c>
      <c r="HN850" s="1654">
        <f t="shared" si="1595"/>
        <v>336.15095467739013</v>
      </c>
      <c r="HO850" s="1654">
        <f t="shared" si="1595"/>
        <v>284.39328642894338</v>
      </c>
      <c r="HP850" s="1654">
        <f t="shared" si="1595"/>
        <v>242.69848744344856</v>
      </c>
      <c r="HQ850" s="1654">
        <f t="shared" si="1595"/>
        <v>298.96414539408391</v>
      </c>
      <c r="HR850" s="1654">
        <f t="shared" si="1595"/>
        <v>245.35985787604648</v>
      </c>
      <c r="HS850" s="1654">
        <f t="shared" ref="HS850:HX850" si="1596">HS851+HS853+HS869+HS877+HS885+HS901+HS903</f>
        <v>276.73483253137482</v>
      </c>
      <c r="HT850" s="1654">
        <f t="shared" si="1596"/>
        <v>393.58737785431555</v>
      </c>
      <c r="HU850" s="1654">
        <f t="shared" si="1596"/>
        <v>299.26406440066654</v>
      </c>
      <c r="HV850" s="1654">
        <f t="shared" si="1596"/>
        <v>257.92227685286838</v>
      </c>
      <c r="HW850" s="1654">
        <f t="shared" si="1596"/>
        <v>347.5476032362987</v>
      </c>
      <c r="HX850" s="1654">
        <f t="shared" si="1596"/>
        <v>309.43818888775087</v>
      </c>
      <c r="HY850" s="1654"/>
      <c r="HZ850" s="326"/>
      <c r="IA850" s="331" t="s">
        <v>557</v>
      </c>
      <c r="IB850" s="284">
        <f>SUM(CE850:CJ850)</f>
        <v>438.52266383363207</v>
      </c>
      <c r="IC850" s="279">
        <f>SUM(CK850:CP850)</f>
        <v>464.54267327263068</v>
      </c>
      <c r="ID850" s="323">
        <f>IB850+IC850</f>
        <v>903.06533710626275</v>
      </c>
      <c r="IE850" s="279">
        <f>SUM(CQ850:CV850)</f>
        <v>495.66000899779721</v>
      </c>
      <c r="IF850" s="279">
        <f>SUM(CW850:DB850)</f>
        <v>491.5442137932867</v>
      </c>
      <c r="IG850" s="323">
        <f>IE850+IF850</f>
        <v>987.20422279108391</v>
      </c>
      <c r="IH850" s="284">
        <f>SUM(DC850:DH850)</f>
        <v>591.12263502685573</v>
      </c>
      <c r="II850" s="279">
        <f>SUM(DI850:DN850)</f>
        <v>555.83390722588808</v>
      </c>
      <c r="IJ850" s="323">
        <f>IH850+II850</f>
        <v>1146.9565422527439</v>
      </c>
      <c r="IK850" s="327">
        <f>SUM(DO850:DT850)</f>
        <v>705.06516608305321</v>
      </c>
      <c r="IL850" s="279">
        <f>SUM(DU850:DZ850)</f>
        <v>618.39226803856104</v>
      </c>
      <c r="IM850" s="323">
        <f>IK850+IL850</f>
        <v>1323.4574341216144</v>
      </c>
      <c r="IN850" s="279">
        <f>SUM(EA850:EF850)</f>
        <v>743.5166213110507</v>
      </c>
      <c r="IO850" s="279">
        <f>SUM(EG850:EL850)</f>
        <v>693.40557473383979</v>
      </c>
      <c r="IP850" s="323">
        <f>IN850+IO850</f>
        <v>1436.9221960448904</v>
      </c>
      <c r="IQ850" s="327">
        <f>SUM(EM850:ER850)</f>
        <v>749.01488164049442</v>
      </c>
      <c r="IR850" s="327">
        <f>SUM(ES850:EX850)</f>
        <v>917.84871095011215</v>
      </c>
      <c r="IS850" s="323">
        <f>IQ850+IR850</f>
        <v>1666.8635925906065</v>
      </c>
      <c r="IT850" s="327">
        <f>SUM(EY850:FD850)</f>
        <v>910.46414761128801</v>
      </c>
      <c r="IU850" s="327">
        <f>SUM(FE850:FJ850)</f>
        <v>990.6674025837716</v>
      </c>
      <c r="IV850" s="323">
        <f>IT850+IU850</f>
        <v>1901.1315501950596</v>
      </c>
      <c r="IW850" s="327">
        <f t="shared" si="1574"/>
        <v>1044.2112049488258</v>
      </c>
      <c r="IX850" s="327">
        <f t="shared" si="1378"/>
        <v>1045.1462330304794</v>
      </c>
      <c r="IY850" s="323">
        <f t="shared" si="1475"/>
        <v>2089.3574379793054</v>
      </c>
      <c r="IZ850" s="327">
        <f t="shared" si="1439"/>
        <v>1144.3960432725016</v>
      </c>
      <c r="JA850" s="327">
        <f t="shared" si="1440"/>
        <v>1323.504920118786</v>
      </c>
      <c r="JB850" s="323">
        <f t="shared" si="1458"/>
        <v>2467.9009633912874</v>
      </c>
      <c r="JC850" s="327">
        <f t="shared" si="1441"/>
        <v>1360.8212060239184</v>
      </c>
      <c r="JD850" s="327">
        <f t="shared" si="1442"/>
        <v>1495.8734270301832</v>
      </c>
      <c r="JE850" s="323">
        <f t="shared" si="1459"/>
        <v>2856.6946330541014</v>
      </c>
      <c r="JF850" s="327">
        <f>JF851+JF853+JF868+JF869+JF877+JF885+JF901+JF903</f>
        <v>1414.083832784672</v>
      </c>
      <c r="JG850" s="327">
        <f>JG851+JG853+JG868+JG869+JG877+JG885+JG901+JG903</f>
        <v>1758.8581249883155</v>
      </c>
      <c r="JH850" s="323">
        <f t="shared" si="1406"/>
        <v>3172.9419577729877</v>
      </c>
      <c r="JI850" s="327">
        <f t="shared" si="1476"/>
        <v>1720.5215581550947</v>
      </c>
      <c r="JJ850" s="327">
        <f t="shared" si="1405"/>
        <v>1696.2314863102383</v>
      </c>
      <c r="JK850" s="323">
        <f t="shared" si="1398"/>
        <v>3416.753044465333</v>
      </c>
      <c r="JL850" s="327">
        <f t="shared" si="1407"/>
        <v>1884.4943437632749</v>
      </c>
      <c r="JM850" s="279">
        <f t="shared" si="1535"/>
        <v>2011.432627391973</v>
      </c>
      <c r="JN850" s="323">
        <f>FISC!AK1156</f>
        <v>3895.9269711552479</v>
      </c>
      <c r="JO850" s="327">
        <f>JO851+JO853+JO868+JO869+JO877+JO885+JO901+JO903</f>
        <v>2464.7480025445948</v>
      </c>
      <c r="JP850" s="279">
        <f t="shared" si="1536"/>
        <v>2024.9461992453307</v>
      </c>
      <c r="JQ850" s="323">
        <f>FISC!AL1156</f>
        <v>4489.6942017899255</v>
      </c>
      <c r="JR850" s="327">
        <f>JR851+JR853+JR868+JR869+JR877+JR885+JR901+JR903</f>
        <v>2694.9171572736018</v>
      </c>
      <c r="JS850" s="279">
        <f t="shared" si="1537"/>
        <v>2338.8856298565165</v>
      </c>
      <c r="JT850" s="323">
        <f>FISC!AM1156</f>
        <v>5033.8027871301183</v>
      </c>
      <c r="JU850" s="327">
        <f>JU851+JU853+JU868+JU869+JU877+JU885+JU901+JU903</f>
        <v>2914.7278894956148</v>
      </c>
      <c r="JV850" s="279">
        <f t="shared" si="1538"/>
        <v>2573.8916740490154</v>
      </c>
      <c r="JW850" s="323">
        <f>FISC!AN1156</f>
        <v>5488.6195635446302</v>
      </c>
      <c r="JX850" s="327">
        <f>JX851+JX853+JX868+JX869+JX877+JX885+JX901+JX903</f>
        <v>3367.4340980222369</v>
      </c>
      <c r="JY850" s="279">
        <f t="shared" si="1539"/>
        <v>2917.533222204429</v>
      </c>
      <c r="JZ850" s="323">
        <f>FISC!AO1156</f>
        <v>6284.9673202266658</v>
      </c>
      <c r="KA850" s="327">
        <f>KA851+KA853+KA868+KA869+KA877+KA885+KA901+KA903</f>
        <v>3766.8598618265755</v>
      </c>
      <c r="KB850" s="279">
        <f t="shared" si="1540"/>
        <v>3389.1496241201125</v>
      </c>
      <c r="KC850" s="323">
        <f>FISC!AP1156</f>
        <v>7156.0094859466881</v>
      </c>
      <c r="KD850" s="327">
        <f>KD851+KD853+KD868+KD869+KD877+KD885+KD901+KD903</f>
        <v>4311.8917292822862</v>
      </c>
      <c r="KE850" s="279">
        <f t="shared" si="1541"/>
        <v>4089.5524877766729</v>
      </c>
      <c r="KF850" s="323">
        <f>FISC!AQ1156</f>
        <v>8401.4442170589591</v>
      </c>
      <c r="KG850" s="327">
        <f>KG851+KG853+KG868+KG869+KG877+KG885+KG901+KG903</f>
        <v>4904.6593667904363</v>
      </c>
      <c r="KH850" s="279">
        <f t="shared" si="1542"/>
        <v>4530.0915619064035</v>
      </c>
      <c r="KI850" s="323">
        <f>FISC!AR1156</f>
        <v>9434.7509286968398</v>
      </c>
      <c r="KJ850" s="327">
        <f>KJ851+KJ853+KJ868+KJ869+KJ877+KJ885+KJ901+KJ903</f>
        <v>5600.2891582214643</v>
      </c>
      <c r="KK850" s="279">
        <f t="shared" si="1543"/>
        <v>5096.0757122336845</v>
      </c>
      <c r="KL850" s="323">
        <f>FISC!AS1156</f>
        <v>10696.364870455149</v>
      </c>
      <c r="KM850" s="327">
        <f>KM851+KM853+KM868+KM869+KM877+KM885+KM901+KM903</f>
        <v>7154.9278146859579</v>
      </c>
      <c r="KN850" s="279">
        <f t="shared" si="1544"/>
        <v>6679.2025563732823</v>
      </c>
      <c r="KO850" s="323">
        <f>FISC!AT1156</f>
        <v>13834.13037105924</v>
      </c>
      <c r="KU850" s="326"/>
      <c r="KV850" s="327"/>
      <c r="KY850" s="279">
        <f>KY851+KY853+KY868+KY869+KY877+KY885+KY901+KY903</f>
        <v>0</v>
      </c>
      <c r="KZ850" s="279">
        <f>KZ851+KZ853+KZ868+KZ869+KZ877+KZ885+KZ901+KZ903</f>
        <v>0</v>
      </c>
      <c r="LA850" s="279">
        <f>LA851+LA853+LA868+LA869+LA877+LA885+LA901+LA903</f>
        <v>0</v>
      </c>
      <c r="LB850" s="279">
        <f>LB851+LB853+LB868+LB869+LB877+LB885+LB901+LB903</f>
        <v>0</v>
      </c>
    </row>
    <row r="851" spans="1:314">
      <c r="A851" s="279"/>
      <c r="B851" s="96" t="s">
        <v>338</v>
      </c>
      <c r="D851" s="332" t="s">
        <v>527</v>
      </c>
      <c r="E851" s="323">
        <f>E450</f>
        <v>0</v>
      </c>
      <c r="F851" s="323"/>
      <c r="G851" s="323"/>
      <c r="H851" s="323"/>
      <c r="I851" s="323"/>
      <c r="J851" s="323"/>
      <c r="K851" s="323"/>
      <c r="L851" s="323"/>
      <c r="M851" s="323"/>
      <c r="N851" s="323"/>
      <c r="O851" s="323"/>
      <c r="P851" s="323"/>
      <c r="Q851" s="323"/>
      <c r="R851" s="323"/>
      <c r="S851" s="323"/>
      <c r="T851" s="323"/>
      <c r="U851" s="323"/>
      <c r="V851" s="323"/>
      <c r="W851" s="323"/>
      <c r="X851" s="323"/>
      <c r="Y851" s="323"/>
      <c r="Z851" s="323"/>
      <c r="AA851" s="323"/>
      <c r="AB851" s="323"/>
      <c r="AC851" s="323"/>
      <c r="AD851" s="323"/>
      <c r="AE851" s="323"/>
      <c r="AF851" s="323"/>
      <c r="AG851" s="323"/>
      <c r="AH851" s="323"/>
      <c r="AI851" s="323"/>
      <c r="AJ851" s="323"/>
      <c r="AK851" s="323"/>
      <c r="AL851" s="323"/>
      <c r="AM851" s="323"/>
      <c r="AN851" s="323"/>
      <c r="AO851" s="323"/>
      <c r="AP851" s="323"/>
      <c r="AQ851" s="323"/>
      <c r="AR851" s="323"/>
      <c r="AS851" s="323"/>
      <c r="AT851" s="323"/>
      <c r="AU851" s="323"/>
      <c r="AV851" s="323"/>
      <c r="AW851" s="323"/>
      <c r="AX851" s="323"/>
      <c r="AY851" s="323"/>
      <c r="AZ851" s="323"/>
      <c r="BA851" s="323"/>
      <c r="BB851" s="323"/>
      <c r="BC851" s="323"/>
      <c r="BD851" s="323"/>
      <c r="BE851" s="323"/>
      <c r="BF851" s="323"/>
      <c r="BG851" s="323">
        <v>15.095381744879999</v>
      </c>
      <c r="BH851" s="323">
        <v>20.234721632060001</v>
      </c>
      <c r="BI851" s="323">
        <v>14.452226852000001</v>
      </c>
      <c r="BJ851" s="323">
        <v>23.318940307999998</v>
      </c>
      <c r="BK851" s="323">
        <v>14.50986174</v>
      </c>
      <c r="BL851" s="323">
        <v>13.045122568</v>
      </c>
      <c r="BM851" s="323">
        <v>21.147525022</v>
      </c>
      <c r="BN851" s="323">
        <v>14.770075467</v>
      </c>
      <c r="BO851" s="323">
        <v>15.294659724000001</v>
      </c>
      <c r="BP851" s="323">
        <v>27.17590221307</v>
      </c>
      <c r="BQ851" s="323">
        <v>20.518297496999999</v>
      </c>
      <c r="BR851" s="323">
        <v>14.395791967999999</v>
      </c>
      <c r="BS851" s="323">
        <v>21.803452902</v>
      </c>
      <c r="BT851" s="323">
        <v>23.410404086</v>
      </c>
      <c r="BU851" s="323">
        <v>15.341779162</v>
      </c>
      <c r="BV851" s="323">
        <v>30.313546311</v>
      </c>
      <c r="BW851" s="323">
        <v>18.581134969000001</v>
      </c>
      <c r="BX851" s="323">
        <v>17.695401184000001</v>
      </c>
      <c r="BY851" s="323">
        <v>22.579168789000001</v>
      </c>
      <c r="BZ851" s="323">
        <v>22.708549825999999</v>
      </c>
      <c r="CA851" s="323">
        <v>19.934396320000001</v>
      </c>
      <c r="CB851" s="323">
        <v>28.639394724999999</v>
      </c>
      <c r="CC851" s="323">
        <v>20.336807159999999</v>
      </c>
      <c r="CD851" s="329">
        <v>17.158938525</v>
      </c>
      <c r="CE851" s="323">
        <f t="shared" ref="CE851:DJ851" si="1597">CE450</f>
        <v>12.084946429</v>
      </c>
      <c r="CF851" s="323">
        <f t="shared" si="1597"/>
        <v>16.641337970999999</v>
      </c>
      <c r="CG851" s="323">
        <f t="shared" si="1597"/>
        <v>11.535242481999999</v>
      </c>
      <c r="CH851" s="323">
        <f t="shared" si="1597"/>
        <v>13.446777431999999</v>
      </c>
      <c r="CI851" s="323">
        <f t="shared" si="1597"/>
        <v>11.549069116</v>
      </c>
      <c r="CJ851" s="323">
        <f t="shared" si="1597"/>
        <v>21.617347962</v>
      </c>
      <c r="CK851" s="323">
        <f t="shared" si="1597"/>
        <v>18.68057962</v>
      </c>
      <c r="CL851" s="323">
        <f t="shared" si="1597"/>
        <v>12.042587356</v>
      </c>
      <c r="CM851" s="323">
        <f t="shared" si="1597"/>
        <v>11.203913953000001</v>
      </c>
      <c r="CN851" s="323">
        <f t="shared" si="1597"/>
        <v>20.462549265</v>
      </c>
      <c r="CO851" s="323">
        <f t="shared" si="1597"/>
        <v>14.246940855</v>
      </c>
      <c r="CP851" s="325">
        <f t="shared" si="1597"/>
        <v>13.797846104</v>
      </c>
      <c r="CQ851" s="323">
        <f t="shared" si="1597"/>
        <v>22.125224177</v>
      </c>
      <c r="CR851" s="323">
        <f t="shared" si="1597"/>
        <v>11.680938012999999</v>
      </c>
      <c r="CS851" s="323">
        <f t="shared" si="1597"/>
        <v>10.632267025000001</v>
      </c>
      <c r="CT851" s="323">
        <f t="shared" si="1597"/>
        <v>14.917411334000001</v>
      </c>
      <c r="CU851" s="323">
        <f t="shared" si="1597"/>
        <v>17.665506487000002</v>
      </c>
      <c r="CV851" s="323">
        <f t="shared" si="1597"/>
        <v>16.019195677999999</v>
      </c>
      <c r="CW851" s="323">
        <f t="shared" si="1597"/>
        <v>14.803298207000001</v>
      </c>
      <c r="CX851" s="323">
        <f t="shared" si="1597"/>
        <v>10.862487550000001</v>
      </c>
      <c r="CY851" s="323">
        <f t="shared" si="1597"/>
        <v>13.994371896000001</v>
      </c>
      <c r="CZ851" s="323">
        <f t="shared" si="1597"/>
        <v>29.684601096999998</v>
      </c>
      <c r="DA851" s="323">
        <f t="shared" si="1597"/>
        <v>12.741810667999999</v>
      </c>
      <c r="DB851" s="1269">
        <f t="shared" si="1597"/>
        <v>12.381021744</v>
      </c>
      <c r="DC851" s="323">
        <f t="shared" si="1597"/>
        <v>21.025343853999999</v>
      </c>
      <c r="DD851" s="323">
        <f t="shared" si="1597"/>
        <v>17.064450883999999</v>
      </c>
      <c r="DE851" s="323">
        <f t="shared" si="1597"/>
        <v>12.503224723000001</v>
      </c>
      <c r="DF851" s="323">
        <f t="shared" si="1597"/>
        <v>26.648569129999998</v>
      </c>
      <c r="DG851" s="323">
        <f t="shared" si="1597"/>
        <v>12.589854769</v>
      </c>
      <c r="DH851" s="323">
        <f t="shared" si="1597"/>
        <v>12.981874009</v>
      </c>
      <c r="DI851" s="323">
        <f t="shared" si="1597"/>
        <v>24.570269512000003</v>
      </c>
      <c r="DJ851" s="323">
        <f t="shared" si="1597"/>
        <v>14.147599534999999</v>
      </c>
      <c r="DK851" s="323">
        <f t="shared" ref="DK851:EP851" si="1598">DK450</f>
        <v>17.980855743999999</v>
      </c>
      <c r="DL851" s="323">
        <f t="shared" si="1598"/>
        <v>25.03187844</v>
      </c>
      <c r="DM851" s="323">
        <f t="shared" si="1598"/>
        <v>14.284373578</v>
      </c>
      <c r="DN851" s="325">
        <f t="shared" si="1598"/>
        <v>15.932570696999999</v>
      </c>
      <c r="DO851" s="323">
        <f t="shared" si="1598"/>
        <v>29.167450424999998</v>
      </c>
      <c r="DP851" s="323">
        <f t="shared" si="1598"/>
        <v>19.129080138999999</v>
      </c>
      <c r="DQ851" s="323">
        <f t="shared" si="1598"/>
        <v>14.161995213999999</v>
      </c>
      <c r="DR851" s="323">
        <f t="shared" si="1598"/>
        <v>24.304254657000001</v>
      </c>
      <c r="DS851" s="323">
        <f t="shared" si="1598"/>
        <v>22.521776881000001</v>
      </c>
      <c r="DT851" s="323">
        <f t="shared" si="1598"/>
        <v>28.084439060000001</v>
      </c>
      <c r="DU851" s="323">
        <f t="shared" si="1598"/>
        <v>17.621245055999999</v>
      </c>
      <c r="DV851" s="323">
        <f t="shared" si="1598"/>
        <v>14.694104893</v>
      </c>
      <c r="DW851" s="323">
        <f t="shared" si="1598"/>
        <v>15.788266745</v>
      </c>
      <c r="DX851" s="323">
        <f t="shared" si="1598"/>
        <v>18.858721238000001</v>
      </c>
      <c r="DY851" s="323">
        <f t="shared" si="1598"/>
        <v>20.154612772</v>
      </c>
      <c r="DZ851" s="325">
        <f t="shared" si="1598"/>
        <v>12.514045055</v>
      </c>
      <c r="EA851" s="323">
        <f t="shared" si="1598"/>
        <v>19.792766867000001</v>
      </c>
      <c r="EB851" s="323">
        <f t="shared" si="1598"/>
        <v>29.107965469</v>
      </c>
      <c r="EC851" s="323">
        <f t="shared" si="1598"/>
        <v>17.851015699000001</v>
      </c>
      <c r="ED851" s="323">
        <f t="shared" si="1598"/>
        <v>25.050136369999997</v>
      </c>
      <c r="EE851" s="323">
        <f t="shared" si="1598"/>
        <v>16.03047767</v>
      </c>
      <c r="EF851" s="323">
        <f t="shared" si="1598"/>
        <v>17.075456347999999</v>
      </c>
      <c r="EG851" s="323">
        <f t="shared" si="1598"/>
        <v>29.697801458000001</v>
      </c>
      <c r="EH851" s="323">
        <f t="shared" si="1598"/>
        <v>17.353562953000001</v>
      </c>
      <c r="EI851" s="323">
        <f t="shared" si="1598"/>
        <v>19.302877180999999</v>
      </c>
      <c r="EJ851" s="323">
        <f t="shared" si="1598"/>
        <v>16.074630841000001</v>
      </c>
      <c r="EK851" s="323">
        <f t="shared" si="1598"/>
        <v>17.364053209000001</v>
      </c>
      <c r="EL851" s="325">
        <f t="shared" si="1598"/>
        <v>27.018982661999999</v>
      </c>
      <c r="EM851" s="323">
        <f t="shared" si="1598"/>
        <v>22.357965588999999</v>
      </c>
      <c r="EN851" s="323">
        <f t="shared" si="1598"/>
        <v>16.751667105999999</v>
      </c>
      <c r="EO851" s="323">
        <f t="shared" si="1598"/>
        <v>21.494867534000001</v>
      </c>
      <c r="EP851" s="323">
        <f t="shared" si="1598"/>
        <v>19.897867833999999</v>
      </c>
      <c r="EQ851" s="323">
        <f t="shared" ref="EQ851:GH851" si="1599">EQ450</f>
        <v>20.456608388999999</v>
      </c>
      <c r="ER851" s="323">
        <f t="shared" si="1599"/>
        <v>19.093174125000001</v>
      </c>
      <c r="ES851" s="323">
        <f t="shared" si="1599"/>
        <v>18.326633822000002</v>
      </c>
      <c r="ET851" s="323">
        <f t="shared" si="1599"/>
        <v>16.340402107999999</v>
      </c>
      <c r="EU851" s="323">
        <f t="shared" si="1599"/>
        <v>19.299630279999999</v>
      </c>
      <c r="EV851" s="323">
        <f t="shared" si="1599"/>
        <v>30.557929358999999</v>
      </c>
      <c r="EW851" s="323">
        <f t="shared" si="1599"/>
        <v>18.860687762000001</v>
      </c>
      <c r="EX851" s="325">
        <f t="shared" si="1599"/>
        <v>18.451488112</v>
      </c>
      <c r="EY851" s="323">
        <f t="shared" si="1599"/>
        <v>24.239414982</v>
      </c>
      <c r="EZ851" s="323">
        <f t="shared" si="1599"/>
        <v>22.120656127</v>
      </c>
      <c r="FA851" s="323">
        <f t="shared" si="1599"/>
        <v>24.752837227000001</v>
      </c>
      <c r="FB851" s="323">
        <f t="shared" si="1599"/>
        <v>21.791038657000001</v>
      </c>
      <c r="FC851" s="323">
        <f t="shared" si="1599"/>
        <v>20.659359716000001</v>
      </c>
      <c r="FD851" s="323">
        <f t="shared" si="1599"/>
        <v>20.369496972</v>
      </c>
      <c r="FE851" s="323">
        <f t="shared" si="1599"/>
        <v>23.644461118999999</v>
      </c>
      <c r="FF851" s="323">
        <f t="shared" si="1599"/>
        <v>23.365711551</v>
      </c>
      <c r="FG851" s="323">
        <f t="shared" si="1599"/>
        <v>23.756543451999999</v>
      </c>
      <c r="FH851" s="323">
        <f t="shared" si="1599"/>
        <v>21.769161843999999</v>
      </c>
      <c r="FI851" s="323">
        <f t="shared" si="1599"/>
        <v>20.625322347000001</v>
      </c>
      <c r="FJ851" s="325">
        <f t="shared" si="1599"/>
        <v>19.233060912999999</v>
      </c>
      <c r="FK851" s="323">
        <f t="shared" si="1599"/>
        <v>29.570546665999998</v>
      </c>
      <c r="FL851" s="323">
        <f t="shared" si="1599"/>
        <v>22.137874499999999</v>
      </c>
      <c r="FM851" s="323">
        <f t="shared" si="1599"/>
        <v>27.730051836000001</v>
      </c>
      <c r="FN851" s="323">
        <f t="shared" si="1599"/>
        <v>21.882148518000001</v>
      </c>
      <c r="FO851" s="323">
        <f t="shared" si="1599"/>
        <v>23.733691864000001</v>
      </c>
      <c r="FP851" s="323">
        <f t="shared" si="1599"/>
        <v>24.722198594999998</v>
      </c>
      <c r="FQ851" s="323">
        <f t="shared" si="1599"/>
        <v>24.172258857999999</v>
      </c>
      <c r="FR851" s="323">
        <f t="shared" si="1599"/>
        <v>23.306203089</v>
      </c>
      <c r="FS851" s="323">
        <f t="shared" si="1599"/>
        <v>27.001394251000001</v>
      </c>
      <c r="FT851" s="323">
        <f t="shared" si="1599"/>
        <v>27.925303683999999</v>
      </c>
      <c r="FU851" s="323">
        <f t="shared" si="1599"/>
        <v>22.811686567999999</v>
      </c>
      <c r="FV851" s="323">
        <f t="shared" si="1599"/>
        <v>27.270000856999999</v>
      </c>
      <c r="FW851" s="323">
        <f t="shared" si="1599"/>
        <v>27.985889607000001</v>
      </c>
      <c r="FX851" s="323">
        <f t="shared" si="1599"/>
        <v>25.470386143999999</v>
      </c>
      <c r="FY851" s="323">
        <f t="shared" si="1599"/>
        <v>27.882268113999999</v>
      </c>
      <c r="FZ851" s="323">
        <f t="shared" si="1599"/>
        <v>23.928393582000002</v>
      </c>
      <c r="GA851" s="323">
        <f t="shared" si="1599"/>
        <v>23.051851422999999</v>
      </c>
      <c r="GB851" s="323">
        <f t="shared" si="1599"/>
        <v>27.792378003</v>
      </c>
      <c r="GC851" s="323">
        <f t="shared" si="1599"/>
        <v>27.425837423000001</v>
      </c>
      <c r="GD851" s="323">
        <f t="shared" si="1599"/>
        <v>23.265284333</v>
      </c>
      <c r="GE851" s="323">
        <f t="shared" si="1599"/>
        <v>31.804743653999999</v>
      </c>
      <c r="GF851" s="323">
        <f t="shared" si="1599"/>
        <v>28.850202827</v>
      </c>
      <c r="GG851" s="323">
        <f t="shared" si="1599"/>
        <v>24.292558516</v>
      </c>
      <c r="GH851" s="323">
        <f t="shared" si="1599"/>
        <v>25.983635314000001</v>
      </c>
      <c r="GI851" s="1654">
        <f t="shared" ref="GI851:HR851" si="1600">GI450</f>
        <v>30.113241413643486</v>
      </c>
      <c r="GJ851" s="1654">
        <f t="shared" si="1600"/>
        <v>35.679176520696799</v>
      </c>
      <c r="GK851" s="1654">
        <f t="shared" si="1600"/>
        <v>31.007582065659722</v>
      </c>
      <c r="GL851" s="1654">
        <f t="shared" si="1600"/>
        <v>28.178557720533593</v>
      </c>
      <c r="GM851" s="1654">
        <f t="shared" si="1600"/>
        <v>27.095698616651859</v>
      </c>
      <c r="GN851" s="1654">
        <f t="shared" si="1600"/>
        <v>31.791908731814541</v>
      </c>
      <c r="GO851" s="1654">
        <f t="shared" si="1600"/>
        <v>29.058697854856561</v>
      </c>
      <c r="GP851" s="1654">
        <f t="shared" si="1600"/>
        <v>26.849872090047256</v>
      </c>
      <c r="GQ851" s="1654">
        <f t="shared" si="1600"/>
        <v>29.84603631209621</v>
      </c>
      <c r="GR851" s="1654">
        <f t="shared" si="1600"/>
        <v>32.732846604310609</v>
      </c>
      <c r="GS851" s="1654">
        <f t="shared" si="1600"/>
        <v>31.472732499674731</v>
      </c>
      <c r="GT851" s="1654">
        <f t="shared" si="1600"/>
        <v>33.887481956014653</v>
      </c>
      <c r="GU851" s="1654">
        <f t="shared" si="1600"/>
        <v>33.482240844000003</v>
      </c>
      <c r="GV851" s="1654">
        <f t="shared" si="1600"/>
        <v>39.155358345000003</v>
      </c>
      <c r="GW851" s="1654">
        <f t="shared" si="1600"/>
        <v>32.590146595999997</v>
      </c>
      <c r="GX851" s="1654">
        <f t="shared" si="1600"/>
        <v>45.176959107999998</v>
      </c>
      <c r="GY851" s="1654">
        <f t="shared" si="1600"/>
        <v>41.296475426999997</v>
      </c>
      <c r="GZ851" s="1654">
        <f t="shared" si="1600"/>
        <v>41.820793868999999</v>
      </c>
      <c r="HA851" s="1654">
        <f t="shared" si="1600"/>
        <v>37.895347049999998</v>
      </c>
      <c r="HB851" s="1654">
        <f t="shared" si="1600"/>
        <v>32.708509130000003</v>
      </c>
      <c r="HC851" s="1654">
        <f t="shared" si="1600"/>
        <v>36.492180198</v>
      </c>
      <c r="HD851" s="1654">
        <f t="shared" si="1600"/>
        <v>40.309171553999995</v>
      </c>
      <c r="HE851" s="1654">
        <f t="shared" si="1600"/>
        <v>42.03648329</v>
      </c>
      <c r="HF851" s="1654">
        <f t="shared" si="1600"/>
        <v>44.443864097999999</v>
      </c>
      <c r="HG851" s="1654">
        <f t="shared" si="1600"/>
        <v>43.698971552000003</v>
      </c>
      <c r="HH851" s="1654">
        <f t="shared" si="1600"/>
        <v>57.223333187999998</v>
      </c>
      <c r="HI851" s="1654">
        <f t="shared" si="1600"/>
        <v>36.875991384999999</v>
      </c>
      <c r="HJ851" s="1654">
        <f t="shared" si="1600"/>
        <v>51.656112299999997</v>
      </c>
      <c r="HK851" s="1654">
        <f t="shared" si="1600"/>
        <v>45.934828422999999</v>
      </c>
      <c r="HL851" s="1654">
        <f t="shared" si="1600"/>
        <v>39.459263438000001</v>
      </c>
      <c r="HM851" s="1654">
        <f t="shared" si="1600"/>
        <v>38.586309180000001</v>
      </c>
      <c r="HN851" s="1654">
        <f t="shared" si="1600"/>
        <v>42.951695487000002</v>
      </c>
      <c r="HO851" s="1654">
        <f t="shared" si="1600"/>
        <v>65.456874618000001</v>
      </c>
      <c r="HP851" s="1654">
        <f t="shared" si="1600"/>
        <v>54.994141072999994</v>
      </c>
      <c r="HQ851" s="1654">
        <f t="shared" si="1600"/>
        <v>46.646522693999998</v>
      </c>
      <c r="HR851" s="1654">
        <f t="shared" si="1600"/>
        <v>45.587068742</v>
      </c>
      <c r="HS851" s="1654">
        <f t="shared" ref="HS851:HX851" si="1601">HS450</f>
        <v>51.942461476000005</v>
      </c>
      <c r="HT851" s="1654">
        <f t="shared" si="1601"/>
        <v>50.838722492000002</v>
      </c>
      <c r="HU851" s="1654">
        <f t="shared" si="1601"/>
        <v>64.668022708999999</v>
      </c>
      <c r="HV851" s="1654">
        <f t="shared" si="1601"/>
        <v>41.701337670000001</v>
      </c>
      <c r="HW851" s="1654">
        <f t="shared" si="1601"/>
        <v>40.682543291999998</v>
      </c>
      <c r="HX851" s="1654">
        <f t="shared" si="1601"/>
        <v>86.183681393000001</v>
      </c>
      <c r="HY851" s="1654"/>
      <c r="HZ851" s="326"/>
      <c r="IA851" s="332" t="s">
        <v>527</v>
      </c>
      <c r="IB851" s="284">
        <f>SUM(CE851:CJ851)</f>
        <v>86.874721391999998</v>
      </c>
      <c r="IC851" s="279">
        <f>SUM(CK851:CP851)</f>
        <v>90.434417152999998</v>
      </c>
      <c r="ID851" s="323">
        <f>IB851+IC851</f>
        <v>177.309138545</v>
      </c>
      <c r="IE851" s="279">
        <f>SUM(CQ851:CV851)</f>
        <v>93.040542714000011</v>
      </c>
      <c r="IF851" s="279">
        <f>SUM(CW851:DB851)</f>
        <v>94.467591161999991</v>
      </c>
      <c r="IG851" s="323">
        <f>IE851+IF851</f>
        <v>187.50813387599999</v>
      </c>
      <c r="IH851" s="284">
        <f>SUM(DC851:DH851)</f>
        <v>102.81331736899999</v>
      </c>
      <c r="II851" s="279">
        <f>SUM(DI851:DN851)</f>
        <v>111.94754750600001</v>
      </c>
      <c r="IJ851" s="323">
        <f>IH851+II851</f>
        <v>214.76086487499998</v>
      </c>
      <c r="IK851" s="327">
        <f>SUM(DO851:DT851)</f>
        <v>137.36899637599998</v>
      </c>
      <c r="IL851" s="279">
        <f>SUM(DU851:DZ851)</f>
        <v>99.630995759000001</v>
      </c>
      <c r="IM851" s="323">
        <f>IK851+IL851</f>
        <v>236.99999213499999</v>
      </c>
      <c r="IN851" s="279">
        <f>SUM(EA851:EF851)</f>
        <v>124.90781842300001</v>
      </c>
      <c r="IO851" s="279">
        <f>SUM(EG851:EL851)</f>
        <v>126.811908304</v>
      </c>
      <c r="IP851" s="323">
        <f>IN851+IO851</f>
        <v>251.71972672700002</v>
      </c>
      <c r="IQ851" s="327">
        <f>SUM(EM851:ER851)</f>
        <v>120.05215057700001</v>
      </c>
      <c r="IR851" s="327">
        <f>SUM(ES851:EX851)</f>
        <v>121.836771443</v>
      </c>
      <c r="IS851" s="323">
        <f>IQ851+IR851</f>
        <v>241.88892202</v>
      </c>
      <c r="IT851" s="327">
        <f>SUM(EY851:FD851)</f>
        <v>133.932803681</v>
      </c>
      <c r="IU851" s="327">
        <f>SUM(FE851:FJ851)</f>
        <v>132.394261226</v>
      </c>
      <c r="IV851" s="323">
        <f>IT851+IU851</f>
        <v>266.32706490700002</v>
      </c>
      <c r="IW851" s="327">
        <f t="shared" si="1574"/>
        <v>149.77651197900002</v>
      </c>
      <c r="IX851" s="327">
        <f t="shared" si="1378"/>
        <v>152.48684730700001</v>
      </c>
      <c r="IY851" s="323">
        <f t="shared" si="1475"/>
        <v>302.26335928600002</v>
      </c>
      <c r="IZ851" s="327">
        <f t="shared" si="1439"/>
        <v>156.111166873</v>
      </c>
      <c r="JA851" s="327">
        <f t="shared" si="1440"/>
        <v>161.62226206699998</v>
      </c>
      <c r="JB851" s="323">
        <f t="shared" si="1458"/>
        <v>317.73342893999995</v>
      </c>
      <c r="JC851" s="327">
        <f t="shared" si="1441"/>
        <v>183.86616506899998</v>
      </c>
      <c r="JD851" s="327">
        <f t="shared" si="1442"/>
        <v>183.84766731700003</v>
      </c>
      <c r="JE851" s="323">
        <f t="shared" si="1459"/>
        <v>367.71383238600004</v>
      </c>
      <c r="JF851" s="327">
        <f t="shared" ref="JF851:JF868" si="1602">SUM(GU851:GZ851)</f>
        <v>233.52197418899999</v>
      </c>
      <c r="JG851" s="327">
        <f t="shared" si="1372"/>
        <v>233.88555532000001</v>
      </c>
      <c r="JH851" s="323">
        <f t="shared" si="1406"/>
        <v>467.40752950900003</v>
      </c>
      <c r="JI851" s="327">
        <f t="shared" si="1476"/>
        <v>274.84850028599999</v>
      </c>
      <c r="JJ851" s="327">
        <f t="shared" si="1405"/>
        <v>294.22261179399999</v>
      </c>
      <c r="JK851" s="323">
        <f t="shared" si="1398"/>
        <v>569.07111207999992</v>
      </c>
      <c r="JL851" s="327">
        <f t="shared" si="1407"/>
        <v>336.01676903199996</v>
      </c>
      <c r="JM851" s="279">
        <f t="shared" si="1535"/>
        <v>337.19894474379294</v>
      </c>
      <c r="JN851" s="323">
        <f>FISC!AK1157</f>
        <v>673.21571377579289</v>
      </c>
      <c r="JO851" s="327">
        <f>JQ851*0.5</f>
        <v>378.88037570548011</v>
      </c>
      <c r="JP851" s="279">
        <f t="shared" si="1536"/>
        <v>378.88037570548011</v>
      </c>
      <c r="JQ851" s="323">
        <f>FISC!AL1157</f>
        <v>757.76075141096021</v>
      </c>
      <c r="JR851" s="327">
        <f>JT851*0.5</f>
        <v>429.13916268835305</v>
      </c>
      <c r="JS851" s="279">
        <f t="shared" si="1537"/>
        <v>429.13916268835305</v>
      </c>
      <c r="JT851" s="323">
        <f>FISC!AM1157</f>
        <v>858.27832537670611</v>
      </c>
      <c r="JU851" s="327">
        <f>JW851*0.5</f>
        <v>484.91772629092952</v>
      </c>
      <c r="JV851" s="279">
        <f t="shared" si="1538"/>
        <v>484.91772629092952</v>
      </c>
      <c r="JW851" s="323">
        <f>FISC!AN1157</f>
        <v>969.83545258185904</v>
      </c>
      <c r="JX851" s="327">
        <f>JZ851*0.5</f>
        <v>546.64456648707801</v>
      </c>
      <c r="JY851" s="279">
        <f t="shared" si="1539"/>
        <v>546.64456648707801</v>
      </c>
      <c r="JZ851" s="323">
        <f>FISC!AO1157</f>
        <v>1093.289132974156</v>
      </c>
      <c r="KA851" s="327">
        <f>KC851*0.5</f>
        <v>613.99117707828611</v>
      </c>
      <c r="KB851" s="279">
        <f t="shared" si="1540"/>
        <v>613.99117707828611</v>
      </c>
      <c r="KC851" s="323">
        <f>FISC!AP1157</f>
        <v>1227.9823541565722</v>
      </c>
      <c r="KD851" s="327">
        <f>KF851*0.5</f>
        <v>689.63489009433113</v>
      </c>
      <c r="KE851" s="279">
        <f t="shared" si="1541"/>
        <v>689.63489009433113</v>
      </c>
      <c r="KF851" s="323">
        <f>FISC!AQ1157</f>
        <v>1379.2697801886623</v>
      </c>
      <c r="KG851" s="327">
        <f>KI851*0.5</f>
        <v>774.59790855395283</v>
      </c>
      <c r="KH851" s="279">
        <f t="shared" si="1542"/>
        <v>774.59790855395283</v>
      </c>
      <c r="KI851" s="323">
        <f>FISC!AR1157</f>
        <v>1549.1958171079057</v>
      </c>
      <c r="KJ851" s="327">
        <f>KL851*0.5</f>
        <v>870.02837088779995</v>
      </c>
      <c r="KK851" s="279">
        <f t="shared" si="1543"/>
        <v>870.02837088779995</v>
      </c>
      <c r="KL851" s="323">
        <f>FISC!AS1157</f>
        <v>1740.0567417755999</v>
      </c>
      <c r="KM851" s="327">
        <f>KO851*0.5</f>
        <v>977.21586618117703</v>
      </c>
      <c r="KN851" s="279">
        <f t="shared" si="1544"/>
        <v>977.21586618117703</v>
      </c>
      <c r="KO851" s="323">
        <f>FISC!AT1157</f>
        <v>1954.4317323623541</v>
      </c>
      <c r="KU851" s="326"/>
      <c r="KV851" s="327"/>
    </row>
    <row r="852" spans="1:314">
      <c r="A852" s="279"/>
      <c r="D852" s="1418" t="s">
        <v>3173</v>
      </c>
      <c r="E852" s="323"/>
      <c r="F852" s="323"/>
      <c r="G852" s="323"/>
      <c r="H852" s="323"/>
      <c r="I852" s="323"/>
      <c r="J852" s="323"/>
      <c r="K852" s="323"/>
      <c r="L852" s="323"/>
      <c r="M852" s="323"/>
      <c r="N852" s="323"/>
      <c r="O852" s="323"/>
      <c r="P852" s="323"/>
      <c r="Q852" s="323"/>
      <c r="R852" s="323"/>
      <c r="S852" s="323"/>
      <c r="T852" s="323"/>
      <c r="U852" s="323"/>
      <c r="V852" s="323"/>
      <c r="W852" s="323"/>
      <c r="X852" s="323"/>
      <c r="Y852" s="323"/>
      <c r="Z852" s="323"/>
      <c r="AA852" s="323"/>
      <c r="AB852" s="323"/>
      <c r="AC852" s="323"/>
      <c r="AD852" s="323"/>
      <c r="AE852" s="323"/>
      <c r="AF852" s="323"/>
      <c r="AG852" s="323"/>
      <c r="AH852" s="323"/>
      <c r="AI852" s="323"/>
      <c r="AJ852" s="323"/>
      <c r="AK852" s="323"/>
      <c r="AL852" s="323"/>
      <c r="AM852" s="323"/>
      <c r="AN852" s="323"/>
      <c r="AO852" s="323"/>
      <c r="AP852" s="323"/>
      <c r="AQ852" s="323"/>
      <c r="AR852" s="323"/>
      <c r="AS852" s="323"/>
      <c r="AT852" s="323"/>
      <c r="AU852" s="323"/>
      <c r="AV852" s="323"/>
      <c r="AW852" s="323"/>
      <c r="AX852" s="323"/>
      <c r="AY852" s="323"/>
      <c r="AZ852" s="323"/>
      <c r="BA852" s="323"/>
      <c r="BB852" s="323"/>
      <c r="BC852" s="323"/>
      <c r="BD852" s="323"/>
      <c r="BE852" s="323"/>
      <c r="BF852" s="323"/>
      <c r="BG852" s="323"/>
      <c r="BH852" s="323"/>
      <c r="BI852" s="323"/>
      <c r="BJ852" s="323"/>
      <c r="BK852" s="323"/>
      <c r="BL852" s="323"/>
      <c r="BM852" s="323"/>
      <c r="BN852" s="323"/>
      <c r="BO852" s="323"/>
      <c r="BP852" s="323"/>
      <c r="BQ852" s="323"/>
      <c r="BR852" s="323"/>
      <c r="BS852" s="323"/>
      <c r="BT852" s="323"/>
      <c r="BU852" s="323"/>
      <c r="BV852" s="323"/>
      <c r="BW852" s="323"/>
      <c r="BX852" s="323"/>
      <c r="BY852" s="323"/>
      <c r="BZ852" s="323"/>
      <c r="CA852" s="323"/>
      <c r="CB852" s="323"/>
      <c r="CC852" s="323"/>
      <c r="CD852" s="329"/>
      <c r="CE852" s="323"/>
      <c r="CF852" s="323"/>
      <c r="CG852" s="323"/>
      <c r="CH852" s="323"/>
      <c r="CI852" s="323"/>
      <c r="CJ852" s="323"/>
      <c r="CK852" s="323"/>
      <c r="CL852" s="323"/>
      <c r="CM852" s="323"/>
      <c r="CN852" s="323"/>
      <c r="CO852" s="323"/>
      <c r="CP852" s="325"/>
      <c r="CQ852" s="323"/>
      <c r="CR852" s="323"/>
      <c r="CS852" s="323"/>
      <c r="CT852" s="323"/>
      <c r="CU852" s="323"/>
      <c r="CV852" s="323"/>
      <c r="CW852" s="323"/>
      <c r="CX852" s="323"/>
      <c r="CY852" s="323"/>
      <c r="CZ852" s="323"/>
      <c r="DA852" s="323"/>
      <c r="DB852" s="1269"/>
      <c r="DC852" s="323"/>
      <c r="DD852" s="323"/>
      <c r="DE852" s="323"/>
      <c r="DF852" s="323"/>
      <c r="DG852" s="323"/>
      <c r="DH852" s="323"/>
      <c r="DI852" s="323"/>
      <c r="DJ852" s="323"/>
      <c r="DK852" s="323"/>
      <c r="DL852" s="323"/>
      <c r="DM852" s="323"/>
      <c r="DN852" s="325"/>
      <c r="DO852" s="323"/>
      <c r="DP852" s="323"/>
      <c r="DQ852" s="323"/>
      <c r="DR852" s="323"/>
      <c r="DS852" s="323"/>
      <c r="DT852" s="323"/>
      <c r="DU852" s="323"/>
      <c r="DV852" s="323"/>
      <c r="DW852" s="323"/>
      <c r="DX852" s="323"/>
      <c r="DY852" s="323"/>
      <c r="DZ852" s="325"/>
      <c r="EA852" s="323"/>
      <c r="EB852" s="323"/>
      <c r="EC852" s="323"/>
      <c r="ED852" s="323"/>
      <c r="EE852" s="323"/>
      <c r="EF852" s="323"/>
      <c r="EG852" s="323"/>
      <c r="EH852" s="323"/>
      <c r="EI852" s="323"/>
      <c r="EJ852" s="323"/>
      <c r="EK852" s="323"/>
      <c r="EL852" s="325"/>
      <c r="EM852" s="323"/>
      <c r="EN852" s="323"/>
      <c r="EO852" s="323"/>
      <c r="EP852" s="323"/>
      <c r="EQ852" s="323"/>
      <c r="ER852" s="323"/>
      <c r="ES852" s="323"/>
      <c r="ET852" s="323"/>
      <c r="EU852" s="323"/>
      <c r="EV852" s="323"/>
      <c r="EW852" s="323"/>
      <c r="EX852" s="325"/>
      <c r="EY852" s="323"/>
      <c r="EZ852" s="323"/>
      <c r="FA852" s="323"/>
      <c r="FB852" s="323"/>
      <c r="FC852" s="323"/>
      <c r="FD852" s="323"/>
      <c r="FE852" s="323"/>
      <c r="FF852" s="323"/>
      <c r="FG852" s="323"/>
      <c r="FH852" s="323"/>
      <c r="FI852" s="323"/>
      <c r="FJ852" s="325"/>
      <c r="FK852" s="323"/>
      <c r="FL852" s="323"/>
      <c r="FM852" s="323"/>
      <c r="FN852" s="323"/>
      <c r="FO852" s="323"/>
      <c r="FP852" s="323"/>
      <c r="FQ852" s="323"/>
      <c r="FR852" s="323"/>
      <c r="FS852" s="323"/>
      <c r="FT852" s="323"/>
      <c r="FU852" s="323"/>
      <c r="FV852" s="323"/>
      <c r="FW852" s="323"/>
      <c r="FX852" s="323"/>
      <c r="FY852" s="323"/>
      <c r="FZ852" s="323"/>
      <c r="GA852" s="323"/>
      <c r="GB852" s="323"/>
      <c r="GC852" s="323"/>
      <c r="GD852" s="323"/>
      <c r="GE852" s="323"/>
      <c r="GF852" s="323"/>
      <c r="GG852" s="323"/>
      <c r="GH852" s="323"/>
      <c r="GI852" s="1654"/>
      <c r="HZ852" s="326"/>
      <c r="IA852" s="1418" t="s">
        <v>3173</v>
      </c>
      <c r="IB852" s="284"/>
      <c r="ID852" s="323"/>
      <c r="IG852" s="323"/>
      <c r="IH852" s="284"/>
      <c r="IJ852" s="323"/>
      <c r="IK852" s="327"/>
      <c r="IM852" s="323"/>
      <c r="IP852" s="323"/>
      <c r="IQ852" s="327"/>
      <c r="IR852" s="327"/>
      <c r="IS852" s="323"/>
      <c r="IT852" s="327"/>
      <c r="IU852" s="327"/>
      <c r="IV852" s="323"/>
      <c r="IW852" s="327">
        <v>30.456305773067402</v>
      </c>
      <c r="IX852" s="327">
        <f t="shared" si="1378"/>
        <v>0</v>
      </c>
      <c r="IY852" s="323">
        <f t="shared" si="1475"/>
        <v>30.456305773067402</v>
      </c>
      <c r="IZ852" s="327">
        <f t="shared" si="1439"/>
        <v>0</v>
      </c>
      <c r="JA852" s="327">
        <f t="shared" si="1440"/>
        <v>0</v>
      </c>
      <c r="JB852" s="323">
        <f t="shared" si="1458"/>
        <v>0</v>
      </c>
      <c r="JC852" s="327">
        <f t="shared" si="1441"/>
        <v>0</v>
      </c>
      <c r="JD852" s="327">
        <f t="shared" si="1442"/>
        <v>0</v>
      </c>
      <c r="JE852" s="323">
        <f t="shared" si="1459"/>
        <v>0</v>
      </c>
      <c r="JF852" s="327">
        <f t="shared" si="1602"/>
        <v>0</v>
      </c>
      <c r="JG852" s="327">
        <f t="shared" si="1372"/>
        <v>0</v>
      </c>
      <c r="JH852" s="323">
        <f t="shared" si="1406"/>
        <v>0</v>
      </c>
      <c r="JI852" s="327">
        <f t="shared" si="1476"/>
        <v>0</v>
      </c>
      <c r="JJ852" s="327">
        <f t="shared" si="1405"/>
        <v>0</v>
      </c>
      <c r="JK852" s="323">
        <f t="shared" si="1398"/>
        <v>0</v>
      </c>
      <c r="JL852" s="327">
        <f t="shared" si="1407"/>
        <v>0</v>
      </c>
      <c r="JM852" s="279">
        <f t="shared" si="1535"/>
        <v>0</v>
      </c>
      <c r="JN852" s="323">
        <f>FISC!AK1158</f>
        <v>0</v>
      </c>
      <c r="JO852" s="327">
        <f>JQ852*0.5</f>
        <v>0</v>
      </c>
      <c r="JP852" s="279">
        <f t="shared" si="1536"/>
        <v>0</v>
      </c>
      <c r="JQ852" s="323">
        <f>FISC!AL1158</f>
        <v>0</v>
      </c>
      <c r="JR852" s="327">
        <f>JT852*0.5</f>
        <v>0</v>
      </c>
      <c r="JS852" s="279">
        <f t="shared" si="1537"/>
        <v>0</v>
      </c>
      <c r="JT852" s="323">
        <f>FISC!AM1158</f>
        <v>0</v>
      </c>
      <c r="JU852" s="327">
        <f>JW852*0.5</f>
        <v>0</v>
      </c>
      <c r="JV852" s="279">
        <f t="shared" si="1538"/>
        <v>0</v>
      </c>
      <c r="JW852" s="323">
        <f>FISC!AN1158</f>
        <v>0</v>
      </c>
      <c r="JX852" s="327">
        <f>JZ852*0.5</f>
        <v>0</v>
      </c>
      <c r="JY852" s="279">
        <f t="shared" si="1539"/>
        <v>0</v>
      </c>
      <c r="JZ852" s="323">
        <f>FISC!AO1158</f>
        <v>0</v>
      </c>
      <c r="KA852" s="327">
        <f>KC852*0.5</f>
        <v>0</v>
      </c>
      <c r="KB852" s="279">
        <f t="shared" si="1540"/>
        <v>0</v>
      </c>
      <c r="KC852" s="323">
        <f>FISC!AP1158</f>
        <v>0</v>
      </c>
      <c r="KD852" s="327">
        <f>KF852*0.5</f>
        <v>0</v>
      </c>
      <c r="KE852" s="279">
        <f t="shared" si="1541"/>
        <v>0</v>
      </c>
      <c r="KF852" s="323">
        <f>FISC!AQ1158</f>
        <v>0</v>
      </c>
      <c r="KG852" s="327">
        <f>KI852*0.5</f>
        <v>0</v>
      </c>
      <c r="KH852" s="279">
        <f t="shared" si="1542"/>
        <v>0</v>
      </c>
      <c r="KI852" s="323">
        <f>FISC!AR1158</f>
        <v>0</v>
      </c>
      <c r="KJ852" s="327">
        <f>KL852*0.5</f>
        <v>0</v>
      </c>
      <c r="KK852" s="279">
        <f t="shared" si="1543"/>
        <v>0</v>
      </c>
      <c r="KL852" s="323">
        <f>FISC!AS1158</f>
        <v>0</v>
      </c>
      <c r="KM852" s="327">
        <f>KO852*0.5</f>
        <v>0</v>
      </c>
      <c r="KN852" s="279">
        <f t="shared" si="1544"/>
        <v>0</v>
      </c>
      <c r="KO852" s="323">
        <f>FISC!AT1158</f>
        <v>0</v>
      </c>
      <c r="KU852" s="326"/>
      <c r="KV852" s="327"/>
    </row>
    <row r="853" spans="1:314">
      <c r="A853" s="279"/>
      <c r="B853" s="96" t="s">
        <v>338</v>
      </c>
      <c r="D853" s="332" t="s">
        <v>528</v>
      </c>
      <c r="E853" s="323">
        <f>E451</f>
        <v>0</v>
      </c>
      <c r="F853" s="323"/>
      <c r="G853" s="323"/>
      <c r="H853" s="323"/>
      <c r="I853" s="323"/>
      <c r="J853" s="323"/>
      <c r="K853" s="323"/>
      <c r="L853" s="323"/>
      <c r="M853" s="323"/>
      <c r="N853" s="323"/>
      <c r="O853" s="323"/>
      <c r="P853" s="323"/>
      <c r="Q853" s="323"/>
      <c r="R853" s="323"/>
      <c r="S853" s="323"/>
      <c r="T853" s="323"/>
      <c r="U853" s="323"/>
      <c r="V853" s="323"/>
      <c r="W853" s="323"/>
      <c r="X853" s="323"/>
      <c r="Y853" s="323"/>
      <c r="Z853" s="323"/>
      <c r="AA853" s="323"/>
      <c r="AB853" s="323"/>
      <c r="AC853" s="323"/>
      <c r="AD853" s="323"/>
      <c r="AE853" s="323"/>
      <c r="AF853" s="323"/>
      <c r="AG853" s="323"/>
      <c r="AH853" s="323"/>
      <c r="AI853" s="323"/>
      <c r="AJ853" s="323"/>
      <c r="AK853" s="323"/>
      <c r="AL853" s="323"/>
      <c r="AM853" s="323"/>
      <c r="AN853" s="323"/>
      <c r="AO853" s="323"/>
      <c r="AP853" s="323"/>
      <c r="AQ853" s="323"/>
      <c r="AR853" s="323"/>
      <c r="AS853" s="323"/>
      <c r="AT853" s="323"/>
      <c r="AU853" s="323"/>
      <c r="AV853" s="323"/>
      <c r="AW853" s="323"/>
      <c r="AX853" s="323"/>
      <c r="AY853" s="323"/>
      <c r="AZ853" s="323"/>
      <c r="BA853" s="323"/>
      <c r="BB853" s="323"/>
      <c r="BC853" s="323"/>
      <c r="BD853" s="323"/>
      <c r="BE853" s="323"/>
      <c r="BF853" s="323"/>
      <c r="BG853" s="323">
        <v>20.688596970159999</v>
      </c>
      <c r="BH853" s="323">
        <v>40.874441569289999</v>
      </c>
      <c r="BI853" s="323">
        <v>20.520046135729999</v>
      </c>
      <c r="BJ853" s="323">
        <v>37.145521713000001</v>
      </c>
      <c r="BK853" s="323">
        <v>26.691796255</v>
      </c>
      <c r="BL853" s="323">
        <v>15.134125903999999</v>
      </c>
      <c r="BM853" s="323">
        <v>30.254810819999999</v>
      </c>
      <c r="BN853" s="323">
        <v>23.314049823000001</v>
      </c>
      <c r="BO853" s="323">
        <v>20.342163519269999</v>
      </c>
      <c r="BP853" s="323">
        <v>34.491371984129998</v>
      </c>
      <c r="BQ853" s="323">
        <v>36.223673911790002</v>
      </c>
      <c r="BR853" s="323">
        <v>8.2638545402499997</v>
      </c>
      <c r="BS853" s="323">
        <v>21.700445538</v>
      </c>
      <c r="BT853" s="323">
        <v>18.251936741130002</v>
      </c>
      <c r="BU853" s="323">
        <v>12.904327297</v>
      </c>
      <c r="BV853" s="323">
        <v>32.799223348159998</v>
      </c>
      <c r="BW853" s="323">
        <v>17.501554906999999</v>
      </c>
      <c r="BX853" s="323">
        <v>10.529887762</v>
      </c>
      <c r="BY853" s="323">
        <v>23.578153191999998</v>
      </c>
      <c r="BZ853" s="323">
        <v>16.604365275299998</v>
      </c>
      <c r="CA853" s="323">
        <v>13.98110791561</v>
      </c>
      <c r="CB853" s="323">
        <v>28.17318181141</v>
      </c>
      <c r="CC853" s="323">
        <v>27.699043616179999</v>
      </c>
      <c r="CD853" s="329">
        <v>10.53953322998</v>
      </c>
      <c r="CE853" s="323">
        <f t="shared" ref="CE853:DJ853" si="1603">CE451</f>
        <v>15.731054242000001</v>
      </c>
      <c r="CF853" s="323">
        <f t="shared" si="1603"/>
        <v>16.405483981</v>
      </c>
      <c r="CG853" s="323">
        <f t="shared" si="1603"/>
        <v>21.585533810000001</v>
      </c>
      <c r="CH853" s="323">
        <f t="shared" si="1603"/>
        <v>27.350314616999999</v>
      </c>
      <c r="CI853" s="323">
        <f t="shared" si="1603"/>
        <v>13.658730389</v>
      </c>
      <c r="CJ853" s="323">
        <f t="shared" si="1603"/>
        <v>18.427161891000001</v>
      </c>
      <c r="CK853" s="323">
        <f t="shared" si="1603"/>
        <v>39.833826203000001</v>
      </c>
      <c r="CL853" s="323">
        <f t="shared" si="1603"/>
        <v>18.251172755999999</v>
      </c>
      <c r="CM853" s="323">
        <f t="shared" si="1603"/>
        <v>14.671889995000001</v>
      </c>
      <c r="CN853" s="323">
        <f t="shared" si="1603"/>
        <v>50.69286614</v>
      </c>
      <c r="CO853" s="323">
        <f t="shared" si="1603"/>
        <v>25.034705138</v>
      </c>
      <c r="CP853" s="325">
        <f t="shared" si="1603"/>
        <v>16.970877212000001</v>
      </c>
      <c r="CQ853" s="323">
        <f t="shared" si="1603"/>
        <v>20.994125008000001</v>
      </c>
      <c r="CR853" s="323">
        <f t="shared" si="1603"/>
        <v>20.283407453999999</v>
      </c>
      <c r="CS853" s="323">
        <f t="shared" si="1603"/>
        <v>31.619234175999999</v>
      </c>
      <c r="CT853" s="323">
        <f t="shared" si="1603"/>
        <v>19.26378047</v>
      </c>
      <c r="CU853" s="323">
        <f t="shared" si="1603"/>
        <v>24.645373439</v>
      </c>
      <c r="CV853" s="323">
        <f t="shared" si="1603"/>
        <v>18.372023926000001</v>
      </c>
      <c r="CW853" s="323">
        <f t="shared" si="1603"/>
        <v>21.650760910999999</v>
      </c>
      <c r="CX853" s="323">
        <f t="shared" si="1603"/>
        <v>15.237479366000001</v>
      </c>
      <c r="CY853" s="323">
        <f t="shared" si="1603"/>
        <v>34.053341205000002</v>
      </c>
      <c r="CZ853" s="323">
        <f t="shared" si="1603"/>
        <v>26.004351462999999</v>
      </c>
      <c r="DA853" s="323">
        <f t="shared" si="1603"/>
        <v>18.784718505000001</v>
      </c>
      <c r="DB853" s="1269">
        <f t="shared" si="1603"/>
        <v>6.0589450539999996</v>
      </c>
      <c r="DC853" s="323">
        <f t="shared" si="1603"/>
        <v>38.149480719000003</v>
      </c>
      <c r="DD853" s="323">
        <f t="shared" si="1603"/>
        <v>23.557425863999999</v>
      </c>
      <c r="DE853" s="323">
        <f t="shared" si="1603"/>
        <v>30.633589646000001</v>
      </c>
      <c r="DF853" s="323">
        <f t="shared" si="1603"/>
        <v>49.601166610999996</v>
      </c>
      <c r="DG853" s="323">
        <f t="shared" si="1603"/>
        <v>20.703508348</v>
      </c>
      <c r="DH853" s="323">
        <f t="shared" si="1603"/>
        <v>22.386334601000001</v>
      </c>
      <c r="DI853" s="323">
        <f t="shared" si="1603"/>
        <v>42.277166563999998</v>
      </c>
      <c r="DJ853" s="323">
        <f t="shared" si="1603"/>
        <v>21.631391396000001</v>
      </c>
      <c r="DK853" s="323">
        <f t="shared" ref="DK853:EP853" si="1604">DK451</f>
        <v>23.819228024000001</v>
      </c>
      <c r="DL853" s="323">
        <f t="shared" si="1604"/>
        <v>14.698335522000001</v>
      </c>
      <c r="DM853" s="323">
        <f t="shared" si="1604"/>
        <v>27.17271002</v>
      </c>
      <c r="DN853" s="325">
        <f t="shared" si="1604"/>
        <v>15.134866927999999</v>
      </c>
      <c r="DO853" s="323">
        <f t="shared" si="1604"/>
        <v>47.374549019</v>
      </c>
      <c r="DP853" s="323">
        <f t="shared" si="1604"/>
        <v>45.593146375000003</v>
      </c>
      <c r="DQ853" s="323">
        <f t="shared" si="1604"/>
        <v>28.136756302999999</v>
      </c>
      <c r="DR853" s="323">
        <f t="shared" si="1604"/>
        <v>45.042658940000003</v>
      </c>
      <c r="DS853" s="323">
        <f t="shared" si="1604"/>
        <v>30.61220647</v>
      </c>
      <c r="DT853" s="323">
        <f t="shared" si="1604"/>
        <v>46.316157398999998</v>
      </c>
      <c r="DU853" s="323">
        <f t="shared" si="1604"/>
        <v>50.922013946</v>
      </c>
      <c r="DV853" s="323">
        <f t="shared" si="1604"/>
        <v>23.300554481999999</v>
      </c>
      <c r="DW853" s="323">
        <f t="shared" si="1604"/>
        <v>24.161431893</v>
      </c>
      <c r="DX853" s="323">
        <f t="shared" si="1604"/>
        <v>52.569274215999997</v>
      </c>
      <c r="DY853" s="323">
        <f t="shared" si="1604"/>
        <v>24.781575438000001</v>
      </c>
      <c r="DZ853" s="325">
        <f t="shared" si="1604"/>
        <v>8.3918777309999992</v>
      </c>
      <c r="EA853" s="323">
        <f t="shared" si="1604"/>
        <v>69.744524425999998</v>
      </c>
      <c r="EB853" s="323">
        <f t="shared" si="1604"/>
        <v>29.526782001000001</v>
      </c>
      <c r="EC853" s="323">
        <f t="shared" si="1604"/>
        <v>51.114499516999999</v>
      </c>
      <c r="ED853" s="323">
        <f t="shared" si="1604"/>
        <v>48.703344149000003</v>
      </c>
      <c r="EE853" s="323">
        <f t="shared" si="1604"/>
        <v>29.01836788</v>
      </c>
      <c r="EF853" s="323">
        <f t="shared" si="1604"/>
        <v>31.611046483999999</v>
      </c>
      <c r="EG853" s="323">
        <f t="shared" si="1604"/>
        <v>41.164901991000001</v>
      </c>
      <c r="EH853" s="323">
        <f t="shared" si="1604"/>
        <v>17.915828225999999</v>
      </c>
      <c r="EI853" s="323">
        <f t="shared" si="1604"/>
        <v>33.183104206000003</v>
      </c>
      <c r="EJ853" s="323">
        <f t="shared" si="1604"/>
        <v>25.228070025000001</v>
      </c>
      <c r="EK853" s="323">
        <f t="shared" si="1604"/>
        <v>43.216112066999997</v>
      </c>
      <c r="EL853" s="325">
        <f t="shared" si="1604"/>
        <v>22.027895014999999</v>
      </c>
      <c r="EM853" s="323">
        <f t="shared" si="1604"/>
        <v>27.052861472453998</v>
      </c>
      <c r="EN853" s="323">
        <f t="shared" si="1604"/>
        <v>56.237058191454004</v>
      </c>
      <c r="EO853" s="323">
        <f t="shared" si="1604"/>
        <v>23.925407272453999</v>
      </c>
      <c r="EP853" s="323">
        <f t="shared" si="1604"/>
        <v>41.124411655454004</v>
      </c>
      <c r="EQ853" s="323">
        <f t="shared" ref="EQ853:GH853" si="1605">EQ451</f>
        <v>33.319237932454001</v>
      </c>
      <c r="ER853" s="323">
        <f t="shared" si="1605"/>
        <v>19.377736530453998</v>
      </c>
      <c r="ES853" s="323">
        <f t="shared" si="1605"/>
        <v>36.394684280454001</v>
      </c>
      <c r="ET853" s="323">
        <f t="shared" si="1605"/>
        <v>27.574568909453998</v>
      </c>
      <c r="EU853" s="323">
        <f t="shared" si="1605"/>
        <v>34.076756706453999</v>
      </c>
      <c r="EV853" s="323">
        <f t="shared" si="1605"/>
        <v>110.485519330454</v>
      </c>
      <c r="EW853" s="323">
        <f t="shared" si="1605"/>
        <v>54.780842942454001</v>
      </c>
      <c r="EX853" s="325">
        <f t="shared" si="1605"/>
        <v>17.718438524454001</v>
      </c>
      <c r="EY853" s="323">
        <f t="shared" si="1605"/>
        <v>34.066597782166703</v>
      </c>
      <c r="EZ853" s="323">
        <f t="shared" si="1605"/>
        <v>32.383621068166704</v>
      </c>
      <c r="FA853" s="323">
        <f t="shared" si="1605"/>
        <v>45.417365403166706</v>
      </c>
      <c r="FB853" s="323">
        <f t="shared" si="1605"/>
        <v>27.211199387166602</v>
      </c>
      <c r="FC853" s="323">
        <f t="shared" si="1605"/>
        <v>47.7747409241667</v>
      </c>
      <c r="FD853" s="323">
        <f t="shared" si="1605"/>
        <v>36.368678084166703</v>
      </c>
      <c r="FE853" s="323">
        <f t="shared" si="1605"/>
        <v>53.806526589999997</v>
      </c>
      <c r="FF853" s="323">
        <f t="shared" si="1605"/>
        <v>52.605987659</v>
      </c>
      <c r="FG853" s="323">
        <f t="shared" si="1605"/>
        <v>69.132440504000002</v>
      </c>
      <c r="FH853" s="323">
        <f t="shared" si="1605"/>
        <v>55.429907583999999</v>
      </c>
      <c r="FI853" s="323">
        <f t="shared" si="1605"/>
        <v>65.508302673000003</v>
      </c>
      <c r="FJ853" s="325">
        <f t="shared" si="1605"/>
        <v>52.641321752000003</v>
      </c>
      <c r="FK853" s="323">
        <f t="shared" si="1605"/>
        <v>54.894438030000003</v>
      </c>
      <c r="FL853" s="323">
        <f t="shared" si="1605"/>
        <v>54.930171158999997</v>
      </c>
      <c r="FM853" s="323">
        <f t="shared" si="1605"/>
        <v>51.826503940000002</v>
      </c>
      <c r="FN853" s="323">
        <f t="shared" si="1605"/>
        <v>36.277940762</v>
      </c>
      <c r="FO853" s="323">
        <f t="shared" si="1605"/>
        <v>35.521056952000002</v>
      </c>
      <c r="FP853" s="323">
        <f t="shared" si="1605"/>
        <v>55.347619846999997</v>
      </c>
      <c r="FQ853" s="323">
        <f t="shared" si="1605"/>
        <v>23.825312903</v>
      </c>
      <c r="FR853" s="323">
        <f t="shared" si="1605"/>
        <v>28.573352698000001</v>
      </c>
      <c r="FS853" s="323">
        <f t="shared" si="1605"/>
        <v>57.081974254000002</v>
      </c>
      <c r="FT853" s="323">
        <f t="shared" si="1605"/>
        <v>49.100866228000001</v>
      </c>
      <c r="FU853" s="323">
        <f t="shared" si="1605"/>
        <v>127.31638301700001</v>
      </c>
      <c r="FV853" s="323">
        <f t="shared" si="1605"/>
        <v>49.280792273000003</v>
      </c>
      <c r="FW853" s="323">
        <f t="shared" si="1605"/>
        <v>33.126714421999999</v>
      </c>
      <c r="FX853" s="323">
        <f t="shared" si="1605"/>
        <v>33.956093015999997</v>
      </c>
      <c r="FY853" s="323">
        <f t="shared" si="1605"/>
        <v>56.031679732000001</v>
      </c>
      <c r="FZ853" s="323">
        <f t="shared" si="1605"/>
        <v>67.436981486999997</v>
      </c>
      <c r="GA853" s="323">
        <f t="shared" si="1605"/>
        <v>43.402174666999997</v>
      </c>
      <c r="GB853" s="323">
        <f t="shared" si="1605"/>
        <v>48.40213387</v>
      </c>
      <c r="GC853" s="323">
        <f t="shared" si="1605"/>
        <v>60.231999448000003</v>
      </c>
      <c r="GD853" s="323">
        <f t="shared" si="1605"/>
        <v>59.949230440999997</v>
      </c>
      <c r="GE853" s="323">
        <f t="shared" si="1605"/>
        <v>65.633617379</v>
      </c>
      <c r="GF853" s="323">
        <f t="shared" si="1605"/>
        <v>82.122683185</v>
      </c>
      <c r="GG853" s="323">
        <f t="shared" si="1605"/>
        <v>68.668458121000015</v>
      </c>
      <c r="GH853" s="323">
        <f t="shared" si="1605"/>
        <v>69.451322118999997</v>
      </c>
      <c r="GI853" s="1654">
        <f t="shared" ref="GI853:HR853" si="1606">GI451</f>
        <v>86.392535342069294</v>
      </c>
      <c r="GJ853" s="1654">
        <f t="shared" si="1606"/>
        <v>69.968808116422721</v>
      </c>
      <c r="GK853" s="1654">
        <f t="shared" si="1606"/>
        <v>70.838656541507945</v>
      </c>
      <c r="GL853" s="1654">
        <f t="shared" si="1606"/>
        <v>61.869439425874084</v>
      </c>
      <c r="GM853" s="1654">
        <f t="shared" si="1606"/>
        <v>54.37241176452406</v>
      </c>
      <c r="GN853" s="1654">
        <f t="shared" si="1606"/>
        <v>40.239489522601893</v>
      </c>
      <c r="GO853" s="1654">
        <f t="shared" si="1606"/>
        <v>50.573129334638331</v>
      </c>
      <c r="GP853" s="1654">
        <f t="shared" si="1606"/>
        <v>44.460187846740155</v>
      </c>
      <c r="GQ853" s="1654">
        <f t="shared" si="1606"/>
        <v>63.04187707262151</v>
      </c>
      <c r="GR853" s="1654">
        <f t="shared" si="1606"/>
        <v>68.459258315378122</v>
      </c>
      <c r="GS853" s="1654">
        <f t="shared" si="1606"/>
        <v>108.7472268109677</v>
      </c>
      <c r="GT853" s="1654">
        <f t="shared" si="1606"/>
        <v>24.236979906654174</v>
      </c>
      <c r="GU853" s="1654">
        <f t="shared" si="1606"/>
        <v>46.042977123999997</v>
      </c>
      <c r="GV853" s="1654">
        <f t="shared" si="1606"/>
        <v>42.101963419</v>
      </c>
      <c r="GW853" s="1654">
        <f t="shared" si="1606"/>
        <v>100.174835649</v>
      </c>
      <c r="GX853" s="1654">
        <f t="shared" si="1606"/>
        <v>59.234085694000001</v>
      </c>
      <c r="GY853" s="1654">
        <f t="shared" si="1606"/>
        <v>44.001146071999997</v>
      </c>
      <c r="GZ853" s="1654">
        <f t="shared" si="1606"/>
        <v>65.571522169999994</v>
      </c>
      <c r="HA853" s="1654">
        <f t="shared" si="1606"/>
        <v>68.671740002999996</v>
      </c>
      <c r="HB853" s="1654">
        <f t="shared" si="1606"/>
        <v>69.454597501999999</v>
      </c>
      <c r="HC853" s="1654">
        <f t="shared" si="1606"/>
        <v>38.842915599000001</v>
      </c>
      <c r="HD853" s="1654">
        <f t="shared" si="1606"/>
        <v>71.721038477999997</v>
      </c>
      <c r="HE853" s="1654">
        <f t="shared" si="1606"/>
        <v>120.50202976200001</v>
      </c>
      <c r="HF853" s="1654">
        <f t="shared" si="1606"/>
        <v>72.381148528000097</v>
      </c>
      <c r="HG853" s="1654">
        <f t="shared" si="1606"/>
        <v>119.773264248</v>
      </c>
      <c r="HH853" s="1654">
        <f t="shared" si="1606"/>
        <v>59.918673392000002</v>
      </c>
      <c r="HI853" s="1654">
        <f t="shared" si="1606"/>
        <v>57.874406163000003</v>
      </c>
      <c r="HJ853" s="1654">
        <f t="shared" si="1606"/>
        <v>65.121840214000002</v>
      </c>
      <c r="HK853" s="1654">
        <f t="shared" si="1606"/>
        <v>62.167580938</v>
      </c>
      <c r="HL853" s="1654">
        <f t="shared" si="1606"/>
        <v>89.430128607</v>
      </c>
      <c r="HM853" s="1654">
        <f t="shared" si="1606"/>
        <v>77.234186745000002</v>
      </c>
      <c r="HN853" s="1654">
        <f t="shared" si="1606"/>
        <v>62.490706506999999</v>
      </c>
      <c r="HO853" s="1654">
        <f t="shared" si="1606"/>
        <v>69.046757434999989</v>
      </c>
      <c r="HP853" s="1654">
        <f t="shared" si="1606"/>
        <v>58.428867623000002</v>
      </c>
      <c r="HQ853" s="1654">
        <f t="shared" si="1606"/>
        <v>25.083662969000002</v>
      </c>
      <c r="HR853" s="1654">
        <f t="shared" si="1606"/>
        <v>57.284128770000002</v>
      </c>
      <c r="HS853" s="1654">
        <f t="shared" ref="HS853:HX853" si="1607">HS451</f>
        <v>76.920484135999999</v>
      </c>
      <c r="HT853" s="1654">
        <f t="shared" si="1607"/>
        <v>66.972420485000001</v>
      </c>
      <c r="HU853" s="1654">
        <f t="shared" si="1607"/>
        <v>64.938608340000002</v>
      </c>
      <c r="HV853" s="1654">
        <f t="shared" si="1607"/>
        <v>68.391089633999997</v>
      </c>
      <c r="HW853" s="1654">
        <f t="shared" si="1607"/>
        <v>98.659284611000004</v>
      </c>
      <c r="HX853" s="1654">
        <f t="shared" si="1607"/>
        <v>49.513932105999984</v>
      </c>
      <c r="HY853" s="1654"/>
      <c r="HZ853" s="326"/>
      <c r="IA853" s="332" t="s">
        <v>528</v>
      </c>
      <c r="IB853" s="284">
        <f>SUM(CE853:CJ853)</f>
        <v>113.15827892999999</v>
      </c>
      <c r="IC853" s="279">
        <f>SUM(CK853:CP853)</f>
        <v>165.45533744400001</v>
      </c>
      <c r="ID853" s="323">
        <f>IB853+IC853</f>
        <v>278.613616374</v>
      </c>
      <c r="IE853" s="279">
        <f>SUM(CQ853:CV853)</f>
        <v>135.177944473</v>
      </c>
      <c r="IF853" s="279">
        <f>SUM(CW853:DB853)</f>
        <v>121.78959650400002</v>
      </c>
      <c r="IG853" s="323">
        <f>IE853+IF853</f>
        <v>256.967540977</v>
      </c>
      <c r="IH853" s="284">
        <f>SUM(DC853:DH853)</f>
        <v>185.03150578899999</v>
      </c>
      <c r="II853" s="279">
        <f>SUM(DI853:DN853)</f>
        <v>144.73369845400001</v>
      </c>
      <c r="IJ853" s="323">
        <f>IH853+II853</f>
        <v>329.76520424299997</v>
      </c>
      <c r="IK853" s="327">
        <f>SUM(DO853:DT853)</f>
        <v>243.07547450599998</v>
      </c>
      <c r="IL853" s="279">
        <f>SUM(DU853:DZ853)</f>
        <v>184.126727706</v>
      </c>
      <c r="IM853" s="323">
        <f>IK853+IL853</f>
        <v>427.20220221199997</v>
      </c>
      <c r="IN853" s="279">
        <f>SUM(EA853:EF853)</f>
        <v>259.71856445700001</v>
      </c>
      <c r="IO853" s="279">
        <f>SUM(EG853:EL853)</f>
        <v>182.73591153000001</v>
      </c>
      <c r="IP853" s="323">
        <f>IN853+IO853</f>
        <v>442.45447598700002</v>
      </c>
      <c r="IQ853" s="327">
        <f>SUM(EM853:ER853)</f>
        <v>201.036713054724</v>
      </c>
      <c r="IR853" s="327">
        <f>SUM(ES853:EX853)</f>
        <v>281.03081069372399</v>
      </c>
      <c r="IS853" s="323">
        <f>IQ853+IR853</f>
        <v>482.06752374844802</v>
      </c>
      <c r="IT853" s="327">
        <f>SUM(EY853:FD853)</f>
        <v>223.22220264900014</v>
      </c>
      <c r="IU853" s="327">
        <f>SUM(FE853:FJ853)</f>
        <v>349.124486762</v>
      </c>
      <c r="IV853" s="323">
        <f>IT853+IU853</f>
        <v>572.34668941100017</v>
      </c>
      <c r="IW853" s="327">
        <f>SUM(FK853:FP853)</f>
        <v>288.79773069000004</v>
      </c>
      <c r="IX853" s="327">
        <f t="shared" si="1378"/>
        <v>335.17868137300002</v>
      </c>
      <c r="IY853" s="323">
        <f t="shared" si="1475"/>
        <v>623.976412063</v>
      </c>
      <c r="IZ853" s="327">
        <f t="shared" si="1439"/>
        <v>282.35577719399998</v>
      </c>
      <c r="JA853" s="327">
        <f t="shared" si="1440"/>
        <v>406.05731069300003</v>
      </c>
      <c r="JB853" s="323">
        <f t="shared" si="1458"/>
        <v>688.41308788700007</v>
      </c>
      <c r="JC853" s="327">
        <f t="shared" si="1441"/>
        <v>383.681340713</v>
      </c>
      <c r="JD853" s="327">
        <f t="shared" si="1442"/>
        <v>359.51865928700005</v>
      </c>
      <c r="JE853" s="323">
        <f t="shared" si="1459"/>
        <v>743.2</v>
      </c>
      <c r="JF853" s="327">
        <f t="shared" si="1602"/>
        <v>357.12653012799996</v>
      </c>
      <c r="JG853" s="327">
        <f t="shared" si="1372"/>
        <v>441.57346987200009</v>
      </c>
      <c r="JH853" s="323">
        <f t="shared" si="1406"/>
        <v>798.7</v>
      </c>
      <c r="JI853" s="327">
        <f t="shared" si="1476"/>
        <v>454.28589356200007</v>
      </c>
      <c r="JJ853" s="327">
        <f t="shared" si="1405"/>
        <v>349.56831004899999</v>
      </c>
      <c r="JK853" s="323">
        <f t="shared" si="1398"/>
        <v>803.854203611</v>
      </c>
      <c r="JL853" s="327">
        <f t="shared" si="1407"/>
        <v>425.39581931199996</v>
      </c>
      <c r="JM853" s="279">
        <f t="shared" si="1535"/>
        <v>444.64135493152878</v>
      </c>
      <c r="JN853" s="323">
        <f>FISC!AK1159</f>
        <v>870.03717424352874</v>
      </c>
      <c r="JO853" s="327">
        <f>JQ853*0.6</f>
        <v>621.03074974938613</v>
      </c>
      <c r="JP853" s="279">
        <f t="shared" si="1536"/>
        <v>414.02049983292409</v>
      </c>
      <c r="JQ853" s="323">
        <f>FISC!AL1159</f>
        <v>1035.0512495823102</v>
      </c>
      <c r="JR853" s="327">
        <f>JT853*0.55</f>
        <v>652.69132951659117</v>
      </c>
      <c r="JS853" s="279">
        <f t="shared" si="1537"/>
        <v>534.02017869539259</v>
      </c>
      <c r="JT853" s="323">
        <f>FISC!AM1159</f>
        <v>1186.7115082119838</v>
      </c>
      <c r="JU853" s="327">
        <f>JW853*0.55</f>
        <v>737.23026646379469</v>
      </c>
      <c r="JV853" s="279">
        <f t="shared" si="1538"/>
        <v>603.18839983401369</v>
      </c>
      <c r="JW853" s="323">
        <f>FISC!AN1159</f>
        <v>1340.4186662978084</v>
      </c>
      <c r="JX853" s="327">
        <f>JZ853*0.55</f>
        <v>847.15102483506098</v>
      </c>
      <c r="JY853" s="279">
        <f t="shared" si="1539"/>
        <v>693.12356577414062</v>
      </c>
      <c r="JZ853" s="323">
        <f>FISC!AO1159</f>
        <v>1540.2745906092016</v>
      </c>
      <c r="KA853" s="327">
        <f>KC853*0.55</f>
        <v>971.61967035336045</v>
      </c>
      <c r="KB853" s="279">
        <f t="shared" si="1540"/>
        <v>794.96154847093123</v>
      </c>
      <c r="KC853" s="323">
        <f>FISC!AP1159</f>
        <v>1766.5812188242917</v>
      </c>
      <c r="KD853" s="327">
        <f>KF853*0.55</f>
        <v>1151.1810446023378</v>
      </c>
      <c r="KE853" s="279">
        <f t="shared" si="1541"/>
        <v>941.87540012918544</v>
      </c>
      <c r="KF853" s="323">
        <f>FISC!AQ1159</f>
        <v>2093.0564447315232</v>
      </c>
      <c r="KG853" s="327">
        <f>KI853*0.55</f>
        <v>1326.7123569050598</v>
      </c>
      <c r="KH853" s="279">
        <f t="shared" si="1542"/>
        <v>1085.491928376867</v>
      </c>
      <c r="KI853" s="323">
        <f>FISC!AR1159</f>
        <v>2412.2042852819268</v>
      </c>
      <c r="KJ853" s="327">
        <f>KL853*0.55</f>
        <v>1533.8304715020274</v>
      </c>
      <c r="KK853" s="279">
        <f t="shared" si="1543"/>
        <v>1254.9522039562041</v>
      </c>
      <c r="KL853" s="323">
        <f>FISC!AS1159</f>
        <v>2788.7826754582316</v>
      </c>
      <c r="KM853" s="327">
        <f>KO853*0.55</f>
        <v>2087.4180294961056</v>
      </c>
      <c r="KN853" s="279">
        <f t="shared" si="1544"/>
        <v>1707.8874786786319</v>
      </c>
      <c r="KO853" s="323">
        <f>FISC!AT1159</f>
        <v>3795.3055081747375</v>
      </c>
      <c r="KU853" s="326"/>
      <c r="KV853" s="327"/>
    </row>
    <row r="854" spans="1:314">
      <c r="A854" s="279"/>
      <c r="D854" s="1418" t="s">
        <v>3573</v>
      </c>
      <c r="E854" s="323"/>
      <c r="F854" s="323"/>
      <c r="G854" s="323"/>
      <c r="H854" s="323"/>
      <c r="I854" s="323"/>
      <c r="J854" s="323"/>
      <c r="K854" s="323"/>
      <c r="L854" s="323"/>
      <c r="M854" s="323"/>
      <c r="N854" s="323"/>
      <c r="O854" s="323"/>
      <c r="P854" s="323"/>
      <c r="Q854" s="323"/>
      <c r="R854" s="323"/>
      <c r="S854" s="323"/>
      <c r="T854" s="323"/>
      <c r="U854" s="323"/>
      <c r="V854" s="323"/>
      <c r="W854" s="323"/>
      <c r="X854" s="323"/>
      <c r="Y854" s="323"/>
      <c r="Z854" s="323"/>
      <c r="AA854" s="323"/>
      <c r="AB854" s="323"/>
      <c r="AC854" s="323"/>
      <c r="AD854" s="323"/>
      <c r="AE854" s="323"/>
      <c r="AF854" s="323"/>
      <c r="AG854" s="323"/>
      <c r="AH854" s="323"/>
      <c r="AI854" s="323"/>
      <c r="AJ854" s="323"/>
      <c r="AK854" s="323"/>
      <c r="AL854" s="323"/>
      <c r="AM854" s="323"/>
      <c r="AN854" s="323"/>
      <c r="AO854" s="323"/>
      <c r="AP854" s="323"/>
      <c r="AQ854" s="323"/>
      <c r="AR854" s="323"/>
      <c r="AS854" s="323"/>
      <c r="AT854" s="323"/>
      <c r="AU854" s="323"/>
      <c r="AV854" s="323"/>
      <c r="AW854" s="323"/>
      <c r="AX854" s="323"/>
      <c r="AY854" s="323"/>
      <c r="AZ854" s="323"/>
      <c r="BA854" s="323"/>
      <c r="BB854" s="323"/>
      <c r="BC854" s="323"/>
      <c r="BD854" s="323"/>
      <c r="BE854" s="323"/>
      <c r="BF854" s="323"/>
      <c r="BG854" s="323"/>
      <c r="BH854" s="323"/>
      <c r="BI854" s="323"/>
      <c r="BJ854" s="323"/>
      <c r="BK854" s="323"/>
      <c r="BL854" s="323"/>
      <c r="BM854" s="323"/>
      <c r="BN854" s="323"/>
      <c r="BO854" s="323"/>
      <c r="BP854" s="323"/>
      <c r="BQ854" s="323"/>
      <c r="BR854" s="323"/>
      <c r="BS854" s="323"/>
      <c r="BT854" s="323"/>
      <c r="BU854" s="323"/>
      <c r="BV854" s="323"/>
      <c r="BW854" s="323"/>
      <c r="BX854" s="323"/>
      <c r="BY854" s="323"/>
      <c r="BZ854" s="323"/>
      <c r="CA854" s="323"/>
      <c r="CB854" s="323"/>
      <c r="CC854" s="323"/>
      <c r="CD854" s="329"/>
      <c r="CE854" s="323"/>
      <c r="CF854" s="323"/>
      <c r="CG854" s="323"/>
      <c r="CH854" s="323"/>
      <c r="CI854" s="323"/>
      <c r="CJ854" s="323"/>
      <c r="CK854" s="323"/>
      <c r="CL854" s="323"/>
      <c r="CM854" s="323"/>
      <c r="CN854" s="323"/>
      <c r="CO854" s="323"/>
      <c r="CP854" s="325"/>
      <c r="CQ854" s="323"/>
      <c r="CR854" s="323"/>
      <c r="CS854" s="323"/>
      <c r="CT854" s="323"/>
      <c r="CU854" s="323"/>
      <c r="CV854" s="323"/>
      <c r="CW854" s="323"/>
      <c r="CX854" s="323"/>
      <c r="CY854" s="323"/>
      <c r="CZ854" s="323"/>
      <c r="DA854" s="323"/>
      <c r="DB854" s="1269"/>
      <c r="DC854" s="323"/>
      <c r="DD854" s="323"/>
      <c r="DE854" s="323"/>
      <c r="DF854" s="323"/>
      <c r="DG854" s="323"/>
      <c r="DH854" s="323"/>
      <c r="DI854" s="323"/>
      <c r="DJ854" s="323"/>
      <c r="DK854" s="323"/>
      <c r="DL854" s="323"/>
      <c r="DM854" s="323"/>
      <c r="DN854" s="325"/>
      <c r="DO854" s="323"/>
      <c r="DP854" s="323"/>
      <c r="DQ854" s="323"/>
      <c r="DR854" s="323"/>
      <c r="DS854" s="323"/>
      <c r="DT854" s="323"/>
      <c r="DU854" s="323"/>
      <c r="DV854" s="323"/>
      <c r="DW854" s="323"/>
      <c r="DX854" s="323"/>
      <c r="DY854" s="323"/>
      <c r="DZ854" s="325"/>
      <c r="EA854" s="323"/>
      <c r="EB854" s="323"/>
      <c r="EC854" s="323"/>
      <c r="ED854" s="323"/>
      <c r="EE854" s="323"/>
      <c r="EF854" s="323"/>
      <c r="EG854" s="323"/>
      <c r="EH854" s="323"/>
      <c r="EI854" s="323"/>
      <c r="EJ854" s="323"/>
      <c r="EK854" s="323"/>
      <c r="EL854" s="325"/>
      <c r="EM854" s="323"/>
      <c r="EN854" s="323"/>
      <c r="EO854" s="323"/>
      <c r="EP854" s="323"/>
      <c r="EQ854" s="323"/>
      <c r="ER854" s="323"/>
      <c r="ES854" s="323"/>
      <c r="ET854" s="323"/>
      <c r="EU854" s="323"/>
      <c r="EV854" s="323"/>
      <c r="EW854" s="323"/>
      <c r="EX854" s="325"/>
      <c r="EY854" s="323"/>
      <c r="EZ854" s="323"/>
      <c r="FA854" s="323"/>
      <c r="FB854" s="323"/>
      <c r="FC854" s="323"/>
      <c r="FD854" s="323"/>
      <c r="FE854" s="323"/>
      <c r="FF854" s="323"/>
      <c r="FG854" s="323"/>
      <c r="FH854" s="323"/>
      <c r="FI854" s="323"/>
      <c r="FJ854" s="325"/>
      <c r="FK854" s="323"/>
      <c r="FL854" s="323"/>
      <c r="FM854" s="323"/>
      <c r="FN854" s="323"/>
      <c r="FO854" s="323"/>
      <c r="FP854" s="323"/>
      <c r="FQ854" s="323"/>
      <c r="FR854" s="323"/>
      <c r="FS854" s="323"/>
      <c r="FT854" s="323"/>
      <c r="FU854" s="323"/>
      <c r="FV854" s="323"/>
      <c r="FW854" s="323"/>
      <c r="FX854" s="323"/>
      <c r="FY854" s="323"/>
      <c r="FZ854" s="323"/>
      <c r="GA854" s="323"/>
      <c r="GB854" s="323"/>
      <c r="GC854" s="323"/>
      <c r="GD854" s="323"/>
      <c r="GE854" s="323"/>
      <c r="GF854" s="323"/>
      <c r="GG854" s="323"/>
      <c r="GH854" s="323"/>
      <c r="GI854" s="1654"/>
      <c r="GJ854" s="1654"/>
      <c r="GK854" s="1654"/>
      <c r="GL854" s="1654"/>
      <c r="GM854" s="1654"/>
      <c r="GN854" s="1654"/>
      <c r="GO854" s="1654"/>
      <c r="GP854" s="1654"/>
      <c r="GQ854" s="1654"/>
      <c r="GR854" s="1654"/>
      <c r="GS854" s="1654"/>
      <c r="GT854" s="1654"/>
      <c r="GU854" s="1654"/>
      <c r="GV854" s="1654"/>
      <c r="GW854" s="1654"/>
      <c r="GX854" s="1654"/>
      <c r="GY854" s="1654"/>
      <c r="GZ854" s="1654"/>
      <c r="HA854" s="1654"/>
      <c r="HB854" s="1654"/>
      <c r="HC854" s="1654"/>
      <c r="HD854" s="1654"/>
      <c r="HE854" s="1654"/>
      <c r="HF854" s="1654"/>
      <c r="HG854" s="1654"/>
      <c r="HH854" s="1654"/>
      <c r="HI854" s="1654"/>
      <c r="HJ854" s="1654"/>
      <c r="HK854" s="1654"/>
      <c r="HL854" s="1654"/>
      <c r="HM854" s="1654"/>
      <c r="HN854" s="1654"/>
      <c r="HO854" s="1654"/>
      <c r="HP854" s="1654"/>
      <c r="HQ854" s="1654"/>
      <c r="HR854" s="1654"/>
      <c r="HS854" s="1654"/>
      <c r="HT854" s="1654"/>
      <c r="HU854" s="1654"/>
      <c r="HV854" s="1654"/>
      <c r="HW854" s="1654"/>
      <c r="HX854" s="1654"/>
      <c r="HY854" s="1654"/>
      <c r="HZ854" s="326"/>
      <c r="IA854" s="2390" t="s">
        <v>3570</v>
      </c>
      <c r="IB854" s="284"/>
      <c r="ID854" s="323"/>
      <c r="IG854" s="323"/>
      <c r="IH854" s="284"/>
      <c r="IJ854" s="323"/>
      <c r="IK854" s="327"/>
      <c r="IM854" s="323"/>
      <c r="IP854" s="323"/>
      <c r="IQ854" s="327"/>
      <c r="IR854" s="327"/>
      <c r="IS854" s="323"/>
      <c r="IT854" s="327"/>
      <c r="IU854" s="327"/>
      <c r="IV854" s="323"/>
      <c r="IW854" s="327"/>
      <c r="IX854" s="327"/>
      <c r="IY854" s="323"/>
      <c r="IZ854" s="327"/>
      <c r="JA854" s="327"/>
      <c r="JB854" s="323"/>
      <c r="JC854" s="327"/>
      <c r="JD854" s="327"/>
      <c r="JE854" s="323"/>
      <c r="JF854" s="327"/>
      <c r="JG854" s="327"/>
      <c r="JH854" s="323"/>
      <c r="JI854" s="327">
        <f t="shared" si="1476"/>
        <v>0</v>
      </c>
      <c r="JJ854" s="327">
        <f t="shared" si="1405"/>
        <v>0</v>
      </c>
      <c r="JK854" s="323">
        <f t="shared" si="1398"/>
        <v>0</v>
      </c>
      <c r="JL854" s="327">
        <f t="shared" si="1407"/>
        <v>0</v>
      </c>
      <c r="JN854" s="323">
        <f>FISC!AK1160</f>
        <v>0</v>
      </c>
      <c r="JO854" s="327"/>
      <c r="JQ854" s="323">
        <f>FISC!AL1160</f>
        <v>0</v>
      </c>
      <c r="JR854" s="327"/>
      <c r="JT854" s="323">
        <f>FISC!AM1160</f>
        <v>0</v>
      </c>
      <c r="JU854" s="327"/>
      <c r="JW854" s="323">
        <f>FISC!AN1160</f>
        <v>0</v>
      </c>
      <c r="JX854" s="327"/>
      <c r="JZ854" s="323">
        <f>FISC!AO1160</f>
        <v>0</v>
      </c>
      <c r="KA854" s="327"/>
      <c r="KC854" s="323">
        <f>FISC!AP1160</f>
        <v>0</v>
      </c>
      <c r="KD854" s="327"/>
      <c r="KF854" s="323">
        <f>FISC!AQ1160</f>
        <v>0</v>
      </c>
      <c r="KG854" s="327"/>
      <c r="KI854" s="323">
        <f>FISC!AR1160</f>
        <v>0</v>
      </c>
      <c r="KJ854" s="327"/>
      <c r="KL854" s="323">
        <f>FISC!AS1160</f>
        <v>0</v>
      </c>
      <c r="KM854" s="327"/>
      <c r="KO854" s="323">
        <f>FISC!AT1160</f>
        <v>0</v>
      </c>
      <c r="KU854" s="326"/>
      <c r="KV854" s="327"/>
    </row>
    <row r="855" spans="1:314">
      <c r="A855" s="279"/>
      <c r="D855" s="1418" t="s">
        <v>3587</v>
      </c>
      <c r="E855" s="323"/>
      <c r="F855" s="323"/>
      <c r="G855" s="323"/>
      <c r="H855" s="323"/>
      <c r="I855" s="323"/>
      <c r="J855" s="323"/>
      <c r="K855" s="323"/>
      <c r="L855" s="323"/>
      <c r="M855" s="323"/>
      <c r="N855" s="323"/>
      <c r="O855" s="323"/>
      <c r="P855" s="323"/>
      <c r="Q855" s="323"/>
      <c r="R855" s="323"/>
      <c r="S855" s="323"/>
      <c r="T855" s="323"/>
      <c r="U855" s="323"/>
      <c r="V855" s="323"/>
      <c r="W855" s="323"/>
      <c r="X855" s="323"/>
      <c r="Y855" s="323"/>
      <c r="Z855" s="323"/>
      <c r="AA855" s="323"/>
      <c r="AB855" s="323"/>
      <c r="AC855" s="323"/>
      <c r="AD855" s="323"/>
      <c r="AE855" s="323"/>
      <c r="AF855" s="323"/>
      <c r="AG855" s="323"/>
      <c r="AH855" s="323"/>
      <c r="AI855" s="323"/>
      <c r="AJ855" s="323"/>
      <c r="AK855" s="323"/>
      <c r="AL855" s="323"/>
      <c r="AM855" s="323"/>
      <c r="AN855" s="323"/>
      <c r="AO855" s="323"/>
      <c r="AP855" s="323"/>
      <c r="AQ855" s="323"/>
      <c r="AR855" s="323"/>
      <c r="AS855" s="323"/>
      <c r="AT855" s="323"/>
      <c r="AU855" s="323"/>
      <c r="AV855" s="323"/>
      <c r="AW855" s="323"/>
      <c r="AX855" s="323"/>
      <c r="AY855" s="323"/>
      <c r="AZ855" s="323"/>
      <c r="BA855" s="323"/>
      <c r="BB855" s="323"/>
      <c r="BC855" s="323"/>
      <c r="BD855" s="323"/>
      <c r="BE855" s="323"/>
      <c r="BF855" s="323"/>
      <c r="BG855" s="323"/>
      <c r="BH855" s="323"/>
      <c r="BI855" s="323"/>
      <c r="BJ855" s="323"/>
      <c r="BK855" s="323"/>
      <c r="BL855" s="323"/>
      <c r="BM855" s="323"/>
      <c r="BN855" s="323"/>
      <c r="BO855" s="323"/>
      <c r="BP855" s="323"/>
      <c r="BQ855" s="323"/>
      <c r="BR855" s="323"/>
      <c r="BS855" s="323"/>
      <c r="BT855" s="323"/>
      <c r="BU855" s="323"/>
      <c r="BV855" s="323"/>
      <c r="BW855" s="323"/>
      <c r="BX855" s="323"/>
      <c r="BY855" s="323"/>
      <c r="BZ855" s="323"/>
      <c r="CA855" s="323"/>
      <c r="CB855" s="323"/>
      <c r="CC855" s="323"/>
      <c r="CD855" s="329"/>
      <c r="CE855" s="323"/>
      <c r="CF855" s="323"/>
      <c r="CG855" s="323"/>
      <c r="CH855" s="323"/>
      <c r="CI855" s="323"/>
      <c r="CJ855" s="323"/>
      <c r="CK855" s="323"/>
      <c r="CL855" s="323"/>
      <c r="CM855" s="323"/>
      <c r="CN855" s="323"/>
      <c r="CO855" s="323"/>
      <c r="CP855" s="325"/>
      <c r="CQ855" s="323"/>
      <c r="CR855" s="323"/>
      <c r="CS855" s="323"/>
      <c r="CT855" s="323"/>
      <c r="CU855" s="323"/>
      <c r="CV855" s="323"/>
      <c r="CW855" s="323"/>
      <c r="CX855" s="323"/>
      <c r="CY855" s="323"/>
      <c r="CZ855" s="323"/>
      <c r="DA855" s="323"/>
      <c r="DB855" s="1269"/>
      <c r="DC855" s="323"/>
      <c r="DD855" s="323"/>
      <c r="DE855" s="323"/>
      <c r="DF855" s="323"/>
      <c r="DG855" s="323"/>
      <c r="DH855" s="323"/>
      <c r="DI855" s="323"/>
      <c r="DJ855" s="323"/>
      <c r="DK855" s="323"/>
      <c r="DL855" s="323"/>
      <c r="DM855" s="323"/>
      <c r="DN855" s="325"/>
      <c r="DO855" s="323"/>
      <c r="DP855" s="323"/>
      <c r="DQ855" s="323"/>
      <c r="DR855" s="323"/>
      <c r="DS855" s="323"/>
      <c r="DT855" s="323"/>
      <c r="DU855" s="323"/>
      <c r="DV855" s="323"/>
      <c r="DW855" s="323"/>
      <c r="DX855" s="323"/>
      <c r="DY855" s="323"/>
      <c r="DZ855" s="325"/>
      <c r="EA855" s="323"/>
      <c r="EB855" s="323"/>
      <c r="EC855" s="323"/>
      <c r="ED855" s="323"/>
      <c r="EE855" s="323"/>
      <c r="EF855" s="323"/>
      <c r="EG855" s="323"/>
      <c r="EH855" s="323"/>
      <c r="EI855" s="323"/>
      <c r="EJ855" s="323"/>
      <c r="EK855" s="323"/>
      <c r="EL855" s="325"/>
      <c r="EM855" s="323"/>
      <c r="EN855" s="323"/>
      <c r="EO855" s="323"/>
      <c r="EP855" s="323"/>
      <c r="EQ855" s="323"/>
      <c r="ER855" s="323"/>
      <c r="ES855" s="323"/>
      <c r="ET855" s="323"/>
      <c r="EU855" s="323"/>
      <c r="EV855" s="323"/>
      <c r="EW855" s="323"/>
      <c r="EX855" s="325"/>
      <c r="EY855" s="323"/>
      <c r="EZ855" s="323"/>
      <c r="FA855" s="323"/>
      <c r="FB855" s="323"/>
      <c r="FC855" s="323"/>
      <c r="FD855" s="323"/>
      <c r="FE855" s="323"/>
      <c r="FF855" s="323"/>
      <c r="FG855" s="323"/>
      <c r="FH855" s="323"/>
      <c r="FI855" s="323"/>
      <c r="FJ855" s="325"/>
      <c r="FK855" s="323"/>
      <c r="FL855" s="323"/>
      <c r="FM855" s="323"/>
      <c r="FN855" s="323"/>
      <c r="FO855" s="323"/>
      <c r="FP855" s="323"/>
      <c r="FQ855" s="323"/>
      <c r="FR855" s="323"/>
      <c r="FS855" s="323"/>
      <c r="FT855" s="323"/>
      <c r="FU855" s="323"/>
      <c r="FV855" s="323"/>
      <c r="FW855" s="323"/>
      <c r="FX855" s="323"/>
      <c r="FY855" s="323"/>
      <c r="FZ855" s="323"/>
      <c r="GA855" s="323"/>
      <c r="GB855" s="323"/>
      <c r="GC855" s="323"/>
      <c r="GD855" s="323"/>
      <c r="GE855" s="323"/>
      <c r="GF855" s="323"/>
      <c r="GG855" s="323"/>
      <c r="GH855" s="323"/>
      <c r="GI855" s="1654"/>
      <c r="GJ855" s="1654"/>
      <c r="GK855" s="1654"/>
      <c r="GL855" s="1654"/>
      <c r="GM855" s="1654"/>
      <c r="GN855" s="1654"/>
      <c r="GO855" s="1654"/>
      <c r="GP855" s="1654"/>
      <c r="GQ855" s="1654"/>
      <c r="GR855" s="1654"/>
      <c r="GS855" s="1654"/>
      <c r="GT855" s="1654"/>
      <c r="GU855" s="1654"/>
      <c r="GV855" s="1654"/>
      <c r="GW855" s="1654"/>
      <c r="GX855" s="1654"/>
      <c r="GY855" s="1654"/>
      <c r="GZ855" s="1654"/>
      <c r="HA855" s="1654"/>
      <c r="HB855" s="1654"/>
      <c r="HC855" s="1654"/>
      <c r="HD855" s="1654"/>
      <c r="HE855" s="1654"/>
      <c r="HF855" s="1654"/>
      <c r="HG855" s="1654"/>
      <c r="HH855" s="1654"/>
      <c r="HI855" s="1654"/>
      <c r="HJ855" s="1654"/>
      <c r="HK855" s="1654"/>
      <c r="HL855" s="1654"/>
      <c r="HM855" s="1654"/>
      <c r="HN855" s="1654"/>
      <c r="HO855" s="1654"/>
      <c r="HP855" s="1654"/>
      <c r="HQ855" s="1654"/>
      <c r="HR855" s="1654"/>
      <c r="HS855" s="1654"/>
      <c r="HT855" s="1654"/>
      <c r="HU855" s="1654"/>
      <c r="HV855" s="1654"/>
      <c r="HW855" s="1654"/>
      <c r="HX855" s="1654"/>
      <c r="HY855" s="1654"/>
      <c r="HZ855" s="326"/>
      <c r="IA855" s="2390" t="s">
        <v>3585</v>
      </c>
      <c r="IB855" s="284"/>
      <c r="ID855" s="323"/>
      <c r="IG855" s="323"/>
      <c r="IH855" s="284"/>
      <c r="IJ855" s="323"/>
      <c r="IK855" s="327"/>
      <c r="IM855" s="323"/>
      <c r="IP855" s="323"/>
      <c r="IQ855" s="327"/>
      <c r="IR855" s="327"/>
      <c r="IS855" s="323"/>
      <c r="IT855" s="327"/>
      <c r="IU855" s="327"/>
      <c r="IV855" s="323"/>
      <c r="IW855" s="327"/>
      <c r="IX855" s="327"/>
      <c r="IY855" s="323"/>
      <c r="IZ855" s="327"/>
      <c r="JA855" s="327"/>
      <c r="JB855" s="323"/>
      <c r="JC855" s="327"/>
      <c r="JD855" s="327"/>
      <c r="JE855" s="323"/>
      <c r="JF855" s="327"/>
      <c r="JG855" s="327"/>
      <c r="JH855" s="323"/>
      <c r="JI855" s="327">
        <f t="shared" si="1476"/>
        <v>0</v>
      </c>
      <c r="JJ855" s="327">
        <f t="shared" si="1405"/>
        <v>0</v>
      </c>
      <c r="JK855" s="323">
        <f t="shared" si="1398"/>
        <v>0</v>
      </c>
      <c r="JL855" s="327">
        <f t="shared" si="1407"/>
        <v>0</v>
      </c>
      <c r="JM855" s="279">
        <f>JN855-JL855</f>
        <v>0</v>
      </c>
      <c r="JN855" s="323">
        <f>FISC!AK1161</f>
        <v>0</v>
      </c>
      <c r="JO855" s="327"/>
      <c r="JQ855" s="323">
        <f>FISC!AL1161</f>
        <v>0</v>
      </c>
      <c r="JR855" s="327"/>
      <c r="JT855" s="323">
        <f>FISC!AM1161</f>
        <v>0</v>
      </c>
      <c r="JU855" s="327"/>
      <c r="JW855" s="323">
        <f>FISC!AN1161</f>
        <v>0</v>
      </c>
      <c r="JX855" s="327"/>
      <c r="JZ855" s="323">
        <f>FISC!AO1161</f>
        <v>0</v>
      </c>
      <c r="KA855" s="327"/>
      <c r="KC855" s="323">
        <f>FISC!AP1161</f>
        <v>0</v>
      </c>
      <c r="KD855" s="327"/>
      <c r="KF855" s="323">
        <f>FISC!AQ1161</f>
        <v>0</v>
      </c>
      <c r="KG855" s="327"/>
      <c r="KI855" s="323">
        <f>FISC!AR1161</f>
        <v>0</v>
      </c>
      <c r="KJ855" s="327"/>
      <c r="KL855" s="323">
        <f>FISC!AS1161</f>
        <v>0</v>
      </c>
      <c r="KM855" s="327"/>
      <c r="KO855" s="323">
        <f>FISC!AT1161</f>
        <v>0</v>
      </c>
      <c r="KU855" s="326"/>
      <c r="KV855" s="327"/>
    </row>
    <row r="856" spans="1:314">
      <c r="A856" s="279"/>
      <c r="D856" s="1418" t="s">
        <v>3120</v>
      </c>
      <c r="E856" s="323"/>
      <c r="F856" s="323"/>
      <c r="G856" s="323"/>
      <c r="H856" s="323"/>
      <c r="I856" s="323"/>
      <c r="J856" s="323"/>
      <c r="K856" s="323"/>
      <c r="L856" s="323"/>
      <c r="M856" s="323"/>
      <c r="N856" s="323"/>
      <c r="O856" s="323"/>
      <c r="P856" s="323"/>
      <c r="Q856" s="323"/>
      <c r="R856" s="323"/>
      <c r="S856" s="323"/>
      <c r="T856" s="323"/>
      <c r="U856" s="323"/>
      <c r="V856" s="323"/>
      <c r="W856" s="323"/>
      <c r="X856" s="323"/>
      <c r="Y856" s="323"/>
      <c r="Z856" s="323"/>
      <c r="AA856" s="323"/>
      <c r="AB856" s="323"/>
      <c r="AC856" s="323"/>
      <c r="AD856" s="323"/>
      <c r="AE856" s="323"/>
      <c r="AF856" s="323"/>
      <c r="AG856" s="323"/>
      <c r="AH856" s="323"/>
      <c r="AI856" s="323"/>
      <c r="AJ856" s="323"/>
      <c r="AK856" s="323"/>
      <c r="AL856" s="323"/>
      <c r="AM856" s="323"/>
      <c r="AN856" s="323"/>
      <c r="AO856" s="323"/>
      <c r="AP856" s="323"/>
      <c r="AQ856" s="323"/>
      <c r="AR856" s="323"/>
      <c r="AS856" s="323"/>
      <c r="AT856" s="323"/>
      <c r="AU856" s="323"/>
      <c r="AV856" s="323"/>
      <c r="AW856" s="323"/>
      <c r="AX856" s="323"/>
      <c r="AY856" s="323"/>
      <c r="AZ856" s="323"/>
      <c r="BA856" s="323"/>
      <c r="BB856" s="323"/>
      <c r="BC856" s="323"/>
      <c r="BD856" s="323"/>
      <c r="BE856" s="323"/>
      <c r="BF856" s="323"/>
      <c r="BG856" s="323"/>
      <c r="BH856" s="323"/>
      <c r="BI856" s="323"/>
      <c r="BJ856" s="323"/>
      <c r="BK856" s="323"/>
      <c r="BL856" s="323"/>
      <c r="BM856" s="323"/>
      <c r="BN856" s="323"/>
      <c r="BO856" s="323"/>
      <c r="BP856" s="323"/>
      <c r="BQ856" s="323"/>
      <c r="BR856" s="323"/>
      <c r="BS856" s="323"/>
      <c r="BT856" s="323"/>
      <c r="BU856" s="323"/>
      <c r="BV856" s="323"/>
      <c r="BW856" s="323"/>
      <c r="BX856" s="323"/>
      <c r="BY856" s="323"/>
      <c r="BZ856" s="323"/>
      <c r="CA856" s="323"/>
      <c r="CB856" s="323"/>
      <c r="CC856" s="323"/>
      <c r="CD856" s="329"/>
      <c r="CE856" s="323"/>
      <c r="CF856" s="323"/>
      <c r="CG856" s="323"/>
      <c r="CH856" s="323"/>
      <c r="CI856" s="323"/>
      <c r="CJ856" s="323"/>
      <c r="CK856" s="323"/>
      <c r="CL856" s="323"/>
      <c r="CM856" s="323"/>
      <c r="CN856" s="323"/>
      <c r="CO856" s="323"/>
      <c r="CP856" s="325"/>
      <c r="CQ856" s="323"/>
      <c r="CR856" s="323"/>
      <c r="CS856" s="323"/>
      <c r="CT856" s="323"/>
      <c r="CU856" s="323"/>
      <c r="CV856" s="323"/>
      <c r="CW856" s="323"/>
      <c r="CX856" s="323"/>
      <c r="CY856" s="323"/>
      <c r="CZ856" s="323"/>
      <c r="DA856" s="323"/>
      <c r="DB856" s="1269"/>
      <c r="DC856" s="323"/>
      <c r="DD856" s="323"/>
      <c r="DE856" s="323"/>
      <c r="DF856" s="323"/>
      <c r="DG856" s="323"/>
      <c r="DH856" s="323"/>
      <c r="DI856" s="323"/>
      <c r="DJ856" s="323"/>
      <c r="DK856" s="323"/>
      <c r="DL856" s="323"/>
      <c r="DM856" s="323"/>
      <c r="DN856" s="325"/>
      <c r="DO856" s="323"/>
      <c r="DP856" s="323"/>
      <c r="DQ856" s="323"/>
      <c r="DR856" s="323"/>
      <c r="DS856" s="323"/>
      <c r="DT856" s="323"/>
      <c r="DU856" s="323"/>
      <c r="DV856" s="323"/>
      <c r="DW856" s="323"/>
      <c r="DX856" s="323"/>
      <c r="DY856" s="323"/>
      <c r="DZ856" s="325"/>
      <c r="EA856" s="323"/>
      <c r="EB856" s="323"/>
      <c r="EC856" s="323"/>
      <c r="ED856" s="323"/>
      <c r="EE856" s="323"/>
      <c r="EF856" s="323"/>
      <c r="EG856" s="323"/>
      <c r="EH856" s="323"/>
      <c r="EI856" s="323"/>
      <c r="EJ856" s="323"/>
      <c r="EK856" s="323"/>
      <c r="EL856" s="325"/>
      <c r="EM856" s="323"/>
      <c r="EN856" s="323"/>
      <c r="EO856" s="323"/>
      <c r="EP856" s="323"/>
      <c r="EQ856" s="323"/>
      <c r="ER856" s="323"/>
      <c r="ES856" s="323"/>
      <c r="ET856" s="323"/>
      <c r="EU856" s="323"/>
      <c r="EV856" s="323"/>
      <c r="EW856" s="323"/>
      <c r="EX856" s="325"/>
      <c r="EY856" s="323"/>
      <c r="EZ856" s="323"/>
      <c r="FA856" s="323"/>
      <c r="FB856" s="323"/>
      <c r="FC856" s="323"/>
      <c r="FD856" s="323"/>
      <c r="FE856" s="323"/>
      <c r="FF856" s="323"/>
      <c r="FG856" s="323"/>
      <c r="FH856" s="323"/>
      <c r="FI856" s="323"/>
      <c r="FJ856" s="325"/>
      <c r="FK856" s="323"/>
      <c r="FL856" s="323"/>
      <c r="FM856" s="323"/>
      <c r="FN856" s="323"/>
      <c r="FO856" s="323"/>
      <c r="FP856" s="323"/>
      <c r="FQ856" s="323"/>
      <c r="FR856" s="323"/>
      <c r="FS856" s="323"/>
      <c r="FT856" s="323"/>
      <c r="FU856" s="323"/>
      <c r="FV856" s="323"/>
      <c r="FW856" s="323"/>
      <c r="FX856" s="323"/>
      <c r="FY856" s="323"/>
      <c r="FZ856" s="323"/>
      <c r="GA856" s="323"/>
      <c r="GB856" s="323"/>
      <c r="GC856" s="323"/>
      <c r="GD856" s="323"/>
      <c r="GE856" s="323"/>
      <c r="GF856" s="323"/>
      <c r="GG856" s="323"/>
      <c r="GH856" s="323"/>
      <c r="GI856" s="1654"/>
      <c r="HZ856" s="326"/>
      <c r="IA856" s="2390" t="s">
        <v>3120</v>
      </c>
      <c r="IB856" s="284"/>
      <c r="ID856" s="323"/>
      <c r="IG856" s="323"/>
      <c r="IH856" s="284"/>
      <c r="IJ856" s="323"/>
      <c r="IK856" s="327"/>
      <c r="IM856" s="323"/>
      <c r="IP856" s="323"/>
      <c r="IQ856" s="327"/>
      <c r="IR856" s="327"/>
      <c r="IS856" s="323"/>
      <c r="IT856" s="327"/>
      <c r="IU856" s="327"/>
      <c r="IV856" s="323"/>
      <c r="IW856" s="327">
        <v>11.463177382</v>
      </c>
      <c r="IX856" s="327">
        <f t="shared" si="1378"/>
        <v>0</v>
      </c>
      <c r="IY856" s="323">
        <f t="shared" si="1475"/>
        <v>11.463177382</v>
      </c>
      <c r="IZ856" s="327">
        <f t="shared" si="1439"/>
        <v>0</v>
      </c>
      <c r="JA856" s="327">
        <f t="shared" si="1440"/>
        <v>0</v>
      </c>
      <c r="JB856" s="323">
        <f t="shared" si="1458"/>
        <v>0</v>
      </c>
      <c r="JC856" s="327">
        <f t="shared" si="1441"/>
        <v>0</v>
      </c>
      <c r="JD856" s="327">
        <f t="shared" si="1442"/>
        <v>0</v>
      </c>
      <c r="JE856" s="323">
        <f t="shared" si="1459"/>
        <v>0</v>
      </c>
      <c r="JF856" s="327">
        <f t="shared" si="1602"/>
        <v>0</v>
      </c>
      <c r="JG856" s="327">
        <f t="shared" si="1372"/>
        <v>0</v>
      </c>
      <c r="JH856" s="323">
        <f t="shared" si="1406"/>
        <v>0</v>
      </c>
      <c r="JI856" s="327">
        <f t="shared" si="1476"/>
        <v>0</v>
      </c>
      <c r="JJ856" s="327">
        <f t="shared" si="1405"/>
        <v>0</v>
      </c>
      <c r="JK856" s="323">
        <f t="shared" si="1398"/>
        <v>0</v>
      </c>
      <c r="JL856" s="327">
        <f t="shared" si="1407"/>
        <v>0</v>
      </c>
      <c r="JM856" s="279">
        <f t="shared" si="1535"/>
        <v>0</v>
      </c>
      <c r="JN856" s="323">
        <f>FISC!AK1162</f>
        <v>0</v>
      </c>
      <c r="JO856" s="327">
        <f>JQ856*0.55</f>
        <v>0</v>
      </c>
      <c r="JP856" s="279">
        <f t="shared" si="1536"/>
        <v>0</v>
      </c>
      <c r="JQ856" s="323">
        <f>FISC!AL1162</f>
        <v>0</v>
      </c>
      <c r="JR856" s="327">
        <f>JT856*0.55</f>
        <v>0</v>
      </c>
      <c r="JS856" s="279">
        <f t="shared" si="1537"/>
        <v>0</v>
      </c>
      <c r="JT856" s="323">
        <f>FISC!AM1162</f>
        <v>0</v>
      </c>
      <c r="JU856" s="327">
        <f>JW856*0.55</f>
        <v>0</v>
      </c>
      <c r="JV856" s="279">
        <f t="shared" si="1538"/>
        <v>0</v>
      </c>
      <c r="JW856" s="323">
        <f>FISC!AN1162</f>
        <v>0</v>
      </c>
      <c r="JX856" s="327">
        <f>JZ856*0.55</f>
        <v>0</v>
      </c>
      <c r="JY856" s="279">
        <f t="shared" si="1539"/>
        <v>0</v>
      </c>
      <c r="JZ856" s="323">
        <f>FISC!AO1162</f>
        <v>0</v>
      </c>
      <c r="KA856" s="327">
        <f>KC856*0.55</f>
        <v>0</v>
      </c>
      <c r="KB856" s="279">
        <f t="shared" ref="KB856:KB860" si="1608">KC856-KA856</f>
        <v>0</v>
      </c>
      <c r="KC856" s="323">
        <f>FISC!AP1162</f>
        <v>0</v>
      </c>
      <c r="KD856" s="327">
        <f>KF856*0.55</f>
        <v>0</v>
      </c>
      <c r="KE856" s="279">
        <f t="shared" ref="KE856:KE860" si="1609">KF856-KD856</f>
        <v>0</v>
      </c>
      <c r="KF856" s="323">
        <f>FISC!AQ1162</f>
        <v>0</v>
      </c>
      <c r="KG856" s="327">
        <f>KI856*0.55</f>
        <v>0</v>
      </c>
      <c r="KH856" s="279">
        <f t="shared" ref="KH856:KH860" si="1610">KI856-KG856</f>
        <v>0</v>
      </c>
      <c r="KI856" s="323">
        <f>FISC!AR1162</f>
        <v>0</v>
      </c>
      <c r="KJ856" s="327">
        <f>KL856*0.55</f>
        <v>0</v>
      </c>
      <c r="KK856" s="279">
        <f t="shared" ref="KK856:KK860" si="1611">KL856-KJ856</f>
        <v>0</v>
      </c>
      <c r="KL856" s="323">
        <f>FISC!AS1162</f>
        <v>0</v>
      </c>
      <c r="KM856" s="327">
        <f>KO856*0.55</f>
        <v>0</v>
      </c>
      <c r="KN856" s="279">
        <f t="shared" ref="KN856:KN860" si="1612">KO856-KM856</f>
        <v>0</v>
      </c>
      <c r="KO856" s="323">
        <f>FISC!AT1162</f>
        <v>0</v>
      </c>
      <c r="KU856" s="326"/>
      <c r="KV856" s="327"/>
    </row>
    <row r="857" spans="1:314">
      <c r="A857" s="279"/>
      <c r="D857" s="1416" t="s">
        <v>3139</v>
      </c>
      <c r="E857" s="323"/>
      <c r="F857" s="323"/>
      <c r="G857" s="323"/>
      <c r="H857" s="323"/>
      <c r="I857" s="323"/>
      <c r="J857" s="323"/>
      <c r="K857" s="323"/>
      <c r="L857" s="323"/>
      <c r="M857" s="323"/>
      <c r="N857" s="323"/>
      <c r="O857" s="323"/>
      <c r="P857" s="323"/>
      <c r="Q857" s="323"/>
      <c r="R857" s="323"/>
      <c r="S857" s="323"/>
      <c r="T857" s="323"/>
      <c r="U857" s="323"/>
      <c r="V857" s="323"/>
      <c r="W857" s="323"/>
      <c r="X857" s="323"/>
      <c r="Y857" s="323"/>
      <c r="Z857" s="323"/>
      <c r="AA857" s="323"/>
      <c r="AB857" s="323"/>
      <c r="AC857" s="323"/>
      <c r="AD857" s="323"/>
      <c r="AE857" s="323"/>
      <c r="AF857" s="323"/>
      <c r="AG857" s="323"/>
      <c r="AH857" s="323"/>
      <c r="AI857" s="323"/>
      <c r="AJ857" s="323"/>
      <c r="AK857" s="323"/>
      <c r="AL857" s="323"/>
      <c r="AM857" s="323"/>
      <c r="AN857" s="323"/>
      <c r="AO857" s="323"/>
      <c r="AP857" s="323"/>
      <c r="AQ857" s="323"/>
      <c r="AR857" s="323"/>
      <c r="AS857" s="323"/>
      <c r="AT857" s="323"/>
      <c r="AU857" s="323"/>
      <c r="AV857" s="323"/>
      <c r="AW857" s="323"/>
      <c r="AX857" s="323"/>
      <c r="AY857" s="323"/>
      <c r="AZ857" s="323"/>
      <c r="BA857" s="323"/>
      <c r="BB857" s="323"/>
      <c r="BC857" s="323"/>
      <c r="BD857" s="323"/>
      <c r="BE857" s="323"/>
      <c r="BF857" s="323"/>
      <c r="BG857" s="323"/>
      <c r="BH857" s="323"/>
      <c r="BI857" s="323"/>
      <c r="BJ857" s="323"/>
      <c r="BK857" s="323"/>
      <c r="BL857" s="323"/>
      <c r="BM857" s="323"/>
      <c r="BN857" s="323"/>
      <c r="BO857" s="323"/>
      <c r="BP857" s="323"/>
      <c r="BQ857" s="323"/>
      <c r="BR857" s="323"/>
      <c r="BS857" s="323"/>
      <c r="BT857" s="323"/>
      <c r="BU857" s="323"/>
      <c r="BV857" s="323"/>
      <c r="BW857" s="323"/>
      <c r="BX857" s="323"/>
      <c r="BY857" s="323"/>
      <c r="BZ857" s="323"/>
      <c r="CA857" s="323"/>
      <c r="CB857" s="323"/>
      <c r="CC857" s="323"/>
      <c r="CD857" s="329"/>
      <c r="CE857" s="323"/>
      <c r="CF857" s="323"/>
      <c r="CG857" s="323"/>
      <c r="CH857" s="323"/>
      <c r="CI857" s="323"/>
      <c r="CJ857" s="323"/>
      <c r="CK857" s="323"/>
      <c r="CL857" s="323"/>
      <c r="CM857" s="323"/>
      <c r="CN857" s="323"/>
      <c r="CO857" s="323"/>
      <c r="CP857" s="325"/>
      <c r="CQ857" s="323"/>
      <c r="CR857" s="323"/>
      <c r="CS857" s="323"/>
      <c r="CT857" s="323"/>
      <c r="CU857" s="323"/>
      <c r="CV857" s="323"/>
      <c r="CW857" s="323"/>
      <c r="CX857" s="323"/>
      <c r="CY857" s="323"/>
      <c r="CZ857" s="323"/>
      <c r="DA857" s="323"/>
      <c r="DB857" s="1269"/>
      <c r="DC857" s="323"/>
      <c r="DD857" s="323"/>
      <c r="DE857" s="323"/>
      <c r="DF857" s="323"/>
      <c r="DG857" s="323"/>
      <c r="DH857" s="323"/>
      <c r="DI857" s="323"/>
      <c r="DJ857" s="323"/>
      <c r="DK857" s="323"/>
      <c r="DL857" s="323"/>
      <c r="DM857" s="323"/>
      <c r="DN857" s="325"/>
      <c r="DO857" s="323"/>
      <c r="DP857" s="323"/>
      <c r="DQ857" s="323"/>
      <c r="DR857" s="323"/>
      <c r="DS857" s="323"/>
      <c r="DT857" s="323"/>
      <c r="DU857" s="323"/>
      <c r="DV857" s="323"/>
      <c r="DW857" s="323"/>
      <c r="DX857" s="323"/>
      <c r="DY857" s="323"/>
      <c r="DZ857" s="325"/>
      <c r="EA857" s="323"/>
      <c r="EB857" s="323"/>
      <c r="EC857" s="323"/>
      <c r="ED857" s="323"/>
      <c r="EE857" s="323"/>
      <c r="EF857" s="323"/>
      <c r="EG857" s="323"/>
      <c r="EH857" s="323"/>
      <c r="EI857" s="323"/>
      <c r="EJ857" s="323"/>
      <c r="EK857" s="323"/>
      <c r="EL857" s="325"/>
      <c r="EM857" s="323"/>
      <c r="EN857" s="323"/>
      <c r="EO857" s="323"/>
      <c r="EP857" s="323"/>
      <c r="EQ857" s="323"/>
      <c r="ER857" s="323"/>
      <c r="ES857" s="323"/>
      <c r="ET857" s="323"/>
      <c r="EU857" s="323"/>
      <c r="EV857" s="323"/>
      <c r="EW857" s="323"/>
      <c r="EX857" s="325"/>
      <c r="EY857" s="323"/>
      <c r="EZ857" s="323"/>
      <c r="FA857" s="323"/>
      <c r="FB857" s="323"/>
      <c r="FC857" s="323"/>
      <c r="FD857" s="323"/>
      <c r="FE857" s="323"/>
      <c r="FF857" s="323"/>
      <c r="FG857" s="323"/>
      <c r="FH857" s="323"/>
      <c r="FI857" s="323"/>
      <c r="FJ857" s="325"/>
      <c r="FK857" s="323"/>
      <c r="FL857" s="323"/>
      <c r="FM857" s="323"/>
      <c r="FN857" s="323"/>
      <c r="FO857" s="323"/>
      <c r="FP857" s="323"/>
      <c r="FQ857" s="323"/>
      <c r="FR857" s="323"/>
      <c r="FS857" s="323"/>
      <c r="FT857" s="323"/>
      <c r="FU857" s="323"/>
      <c r="FV857" s="323"/>
      <c r="FW857" s="323"/>
      <c r="FX857" s="323"/>
      <c r="FY857" s="323"/>
      <c r="FZ857" s="323"/>
      <c r="GA857" s="323"/>
      <c r="GB857" s="323"/>
      <c r="GC857" s="323"/>
      <c r="GD857" s="323"/>
      <c r="GE857" s="323"/>
      <c r="GF857" s="323"/>
      <c r="GG857" s="323"/>
      <c r="GH857" s="323"/>
      <c r="GI857" s="1654"/>
      <c r="HZ857" s="326"/>
      <c r="IA857" s="1415" t="s">
        <v>3139</v>
      </c>
      <c r="IB857" s="284"/>
      <c r="ID857" s="323"/>
      <c r="IG857" s="323"/>
      <c r="IH857" s="284"/>
      <c r="IJ857" s="323"/>
      <c r="IK857" s="327"/>
      <c r="IM857" s="323"/>
      <c r="IP857" s="323"/>
      <c r="IQ857" s="327"/>
      <c r="IR857" s="327"/>
      <c r="IS857" s="323"/>
      <c r="IT857" s="327"/>
      <c r="IU857" s="327"/>
      <c r="IV857" s="323"/>
      <c r="IW857" s="327">
        <v>0</v>
      </c>
      <c r="IX857" s="327">
        <f t="shared" si="1378"/>
        <v>0</v>
      </c>
      <c r="IY857" s="323">
        <f t="shared" si="1475"/>
        <v>0</v>
      </c>
      <c r="IZ857" s="327">
        <f t="shared" si="1439"/>
        <v>0</v>
      </c>
      <c r="JA857" s="327">
        <f t="shared" si="1440"/>
        <v>0</v>
      </c>
      <c r="JB857" s="323">
        <f t="shared" si="1458"/>
        <v>0</v>
      </c>
      <c r="JC857" s="327">
        <f t="shared" si="1441"/>
        <v>0</v>
      </c>
      <c r="JD857" s="327">
        <f t="shared" si="1442"/>
        <v>0</v>
      </c>
      <c r="JE857" s="323">
        <f t="shared" si="1459"/>
        <v>0</v>
      </c>
      <c r="JF857" s="327">
        <f t="shared" si="1602"/>
        <v>0</v>
      </c>
      <c r="JG857" s="327">
        <f t="shared" si="1372"/>
        <v>0</v>
      </c>
      <c r="JH857" s="323">
        <f t="shared" si="1406"/>
        <v>0</v>
      </c>
      <c r="JI857" s="327">
        <f t="shared" si="1476"/>
        <v>0</v>
      </c>
      <c r="JJ857" s="327">
        <f t="shared" si="1405"/>
        <v>0</v>
      </c>
      <c r="JK857" s="323">
        <f t="shared" si="1398"/>
        <v>0</v>
      </c>
      <c r="JL857" s="327">
        <f t="shared" si="1407"/>
        <v>0</v>
      </c>
      <c r="JM857" s="279">
        <f t="shared" si="1535"/>
        <v>0</v>
      </c>
      <c r="JN857" s="323">
        <f>FISC!AK1163</f>
        <v>0</v>
      </c>
      <c r="JO857" s="327">
        <f>JQ857*0.55</f>
        <v>0</v>
      </c>
      <c r="JP857" s="279">
        <f t="shared" si="1536"/>
        <v>0</v>
      </c>
      <c r="JQ857" s="323">
        <f>FISC!AL1163</f>
        <v>0</v>
      </c>
      <c r="JR857" s="327">
        <f>JT857*0.55</f>
        <v>0</v>
      </c>
      <c r="JS857" s="279">
        <f t="shared" si="1537"/>
        <v>0</v>
      </c>
      <c r="JT857" s="323">
        <f>FISC!AM1163</f>
        <v>0</v>
      </c>
      <c r="JU857" s="327">
        <f>JW857*0.55</f>
        <v>0</v>
      </c>
      <c r="JV857" s="279">
        <f t="shared" si="1538"/>
        <v>0</v>
      </c>
      <c r="JW857" s="323">
        <f>FISC!AN1163</f>
        <v>0</v>
      </c>
      <c r="JX857" s="327">
        <f>JZ857*0.55</f>
        <v>0</v>
      </c>
      <c r="JY857" s="279">
        <f t="shared" si="1539"/>
        <v>0</v>
      </c>
      <c r="JZ857" s="323">
        <f>FISC!AO1163</f>
        <v>0</v>
      </c>
      <c r="KA857" s="327">
        <f>KC857*0.55</f>
        <v>0</v>
      </c>
      <c r="KB857" s="279">
        <f t="shared" si="1608"/>
        <v>0</v>
      </c>
      <c r="KC857" s="323">
        <f>FISC!AP1163</f>
        <v>0</v>
      </c>
      <c r="KD857" s="327">
        <f>KF857*0.55</f>
        <v>0</v>
      </c>
      <c r="KE857" s="279">
        <f t="shared" si="1609"/>
        <v>0</v>
      </c>
      <c r="KF857" s="323">
        <f>FISC!AQ1163</f>
        <v>0</v>
      </c>
      <c r="KG857" s="327">
        <f>KI857*0.55</f>
        <v>0</v>
      </c>
      <c r="KH857" s="279">
        <f t="shared" si="1610"/>
        <v>0</v>
      </c>
      <c r="KI857" s="323">
        <f>FISC!AR1163</f>
        <v>0</v>
      </c>
      <c r="KJ857" s="327">
        <f>KL857*0.55</f>
        <v>0</v>
      </c>
      <c r="KK857" s="279">
        <f t="shared" si="1611"/>
        <v>0</v>
      </c>
      <c r="KL857" s="323">
        <f>FISC!AS1163</f>
        <v>0</v>
      </c>
      <c r="KM857" s="327">
        <f>KO857*0.55</f>
        <v>0</v>
      </c>
      <c r="KN857" s="279">
        <f t="shared" si="1612"/>
        <v>0</v>
      </c>
      <c r="KO857" s="323">
        <f>FISC!AT1163</f>
        <v>0</v>
      </c>
      <c r="KU857" s="326"/>
      <c r="KV857" s="327"/>
    </row>
    <row r="858" spans="1:314">
      <c r="A858" s="279"/>
      <c r="D858" s="1418" t="s">
        <v>3121</v>
      </c>
      <c r="E858" s="323"/>
      <c r="F858" s="323"/>
      <c r="G858" s="323"/>
      <c r="H858" s="323"/>
      <c r="I858" s="323"/>
      <c r="J858" s="323"/>
      <c r="K858" s="323"/>
      <c r="L858" s="323"/>
      <c r="M858" s="323"/>
      <c r="N858" s="323"/>
      <c r="O858" s="323"/>
      <c r="P858" s="323"/>
      <c r="Q858" s="323"/>
      <c r="R858" s="323"/>
      <c r="S858" s="323"/>
      <c r="T858" s="323"/>
      <c r="U858" s="323"/>
      <c r="V858" s="323"/>
      <c r="W858" s="323"/>
      <c r="X858" s="323"/>
      <c r="Y858" s="323"/>
      <c r="Z858" s="323"/>
      <c r="AA858" s="323"/>
      <c r="AB858" s="323"/>
      <c r="AC858" s="323"/>
      <c r="AD858" s="323"/>
      <c r="AE858" s="323"/>
      <c r="AF858" s="323"/>
      <c r="AG858" s="323"/>
      <c r="AH858" s="323"/>
      <c r="AI858" s="323"/>
      <c r="AJ858" s="323"/>
      <c r="AK858" s="323"/>
      <c r="AL858" s="323"/>
      <c r="AM858" s="323"/>
      <c r="AN858" s="323"/>
      <c r="AO858" s="323"/>
      <c r="AP858" s="323"/>
      <c r="AQ858" s="323"/>
      <c r="AR858" s="323"/>
      <c r="AS858" s="323"/>
      <c r="AT858" s="323"/>
      <c r="AU858" s="323"/>
      <c r="AV858" s="323"/>
      <c r="AW858" s="323"/>
      <c r="AX858" s="323"/>
      <c r="AY858" s="323"/>
      <c r="AZ858" s="323"/>
      <c r="BA858" s="323"/>
      <c r="BB858" s="323"/>
      <c r="BC858" s="323"/>
      <c r="BD858" s="323"/>
      <c r="BE858" s="323"/>
      <c r="BF858" s="323"/>
      <c r="BG858" s="323"/>
      <c r="BH858" s="323"/>
      <c r="BI858" s="323"/>
      <c r="BJ858" s="323"/>
      <c r="BK858" s="323"/>
      <c r="BL858" s="323"/>
      <c r="BM858" s="323"/>
      <c r="BN858" s="323"/>
      <c r="BO858" s="323"/>
      <c r="BP858" s="323"/>
      <c r="BQ858" s="323"/>
      <c r="BR858" s="323"/>
      <c r="BS858" s="323"/>
      <c r="BT858" s="323"/>
      <c r="BU858" s="323"/>
      <c r="BV858" s="323"/>
      <c r="BW858" s="323"/>
      <c r="BX858" s="323"/>
      <c r="BY858" s="323"/>
      <c r="BZ858" s="323"/>
      <c r="CA858" s="323"/>
      <c r="CB858" s="323"/>
      <c r="CC858" s="323"/>
      <c r="CD858" s="329"/>
      <c r="CE858" s="323"/>
      <c r="CF858" s="323"/>
      <c r="CG858" s="323"/>
      <c r="CH858" s="323"/>
      <c r="CI858" s="323"/>
      <c r="CJ858" s="323"/>
      <c r="CK858" s="323"/>
      <c r="CL858" s="323"/>
      <c r="CM858" s="323"/>
      <c r="CN858" s="323"/>
      <c r="CO858" s="323"/>
      <c r="CP858" s="325"/>
      <c r="CQ858" s="323"/>
      <c r="CR858" s="323"/>
      <c r="CS858" s="323"/>
      <c r="CT858" s="323"/>
      <c r="CU858" s="323"/>
      <c r="CV858" s="323"/>
      <c r="CW858" s="323"/>
      <c r="CX858" s="323"/>
      <c r="CY858" s="323"/>
      <c r="CZ858" s="323"/>
      <c r="DA858" s="323"/>
      <c r="DB858" s="1269"/>
      <c r="DC858" s="323"/>
      <c r="DD858" s="323"/>
      <c r="DE858" s="323"/>
      <c r="DF858" s="323"/>
      <c r="DG858" s="323"/>
      <c r="DH858" s="323"/>
      <c r="DI858" s="323"/>
      <c r="DJ858" s="323"/>
      <c r="DK858" s="323"/>
      <c r="DL858" s="323"/>
      <c r="DM858" s="323"/>
      <c r="DN858" s="325"/>
      <c r="DO858" s="323"/>
      <c r="DP858" s="323"/>
      <c r="DQ858" s="323"/>
      <c r="DR858" s="323"/>
      <c r="DS858" s="323"/>
      <c r="DT858" s="323"/>
      <c r="DU858" s="323"/>
      <c r="DV858" s="323"/>
      <c r="DW858" s="323"/>
      <c r="DX858" s="323"/>
      <c r="DY858" s="323"/>
      <c r="DZ858" s="325"/>
      <c r="EA858" s="323"/>
      <c r="EB858" s="323"/>
      <c r="EC858" s="323"/>
      <c r="ED858" s="323"/>
      <c r="EE858" s="323"/>
      <c r="EF858" s="323"/>
      <c r="EG858" s="323"/>
      <c r="EH858" s="323"/>
      <c r="EI858" s="323"/>
      <c r="EJ858" s="323"/>
      <c r="EK858" s="323"/>
      <c r="EL858" s="325"/>
      <c r="EM858" s="323"/>
      <c r="EN858" s="323"/>
      <c r="EO858" s="323"/>
      <c r="EP858" s="323"/>
      <c r="EQ858" s="323"/>
      <c r="ER858" s="323"/>
      <c r="ES858" s="323"/>
      <c r="ET858" s="323"/>
      <c r="EU858" s="323"/>
      <c r="EV858" s="323"/>
      <c r="EW858" s="323"/>
      <c r="EX858" s="325"/>
      <c r="EY858" s="323"/>
      <c r="EZ858" s="323"/>
      <c r="FA858" s="323"/>
      <c r="FB858" s="323"/>
      <c r="FC858" s="323"/>
      <c r="FD858" s="323"/>
      <c r="FE858" s="323"/>
      <c r="FF858" s="323"/>
      <c r="FG858" s="323"/>
      <c r="FH858" s="323"/>
      <c r="FI858" s="323"/>
      <c r="FJ858" s="325"/>
      <c r="FK858" s="323"/>
      <c r="FL858" s="323"/>
      <c r="FM858" s="323"/>
      <c r="FN858" s="323"/>
      <c r="FO858" s="323"/>
      <c r="FP858" s="323"/>
      <c r="FQ858" s="323"/>
      <c r="FR858" s="323"/>
      <c r="FS858" s="323"/>
      <c r="FT858" s="323"/>
      <c r="FU858" s="323"/>
      <c r="FV858" s="323"/>
      <c r="FW858" s="323"/>
      <c r="FX858" s="323"/>
      <c r="FY858" s="323"/>
      <c r="FZ858" s="323"/>
      <c r="GA858" s="323"/>
      <c r="GB858" s="323"/>
      <c r="GC858" s="323"/>
      <c r="GD858" s="323"/>
      <c r="GE858" s="323"/>
      <c r="GF858" s="323"/>
      <c r="GG858" s="323"/>
      <c r="GH858" s="323"/>
      <c r="GI858" s="1654"/>
      <c r="HZ858" s="326"/>
      <c r="IA858" s="2390" t="s">
        <v>3121</v>
      </c>
      <c r="IB858" s="284"/>
      <c r="ID858" s="323"/>
      <c r="IG858" s="323"/>
      <c r="IH858" s="284"/>
      <c r="IJ858" s="323"/>
      <c r="IK858" s="327"/>
      <c r="IM858" s="323"/>
      <c r="IP858" s="323"/>
      <c r="IQ858" s="327"/>
      <c r="IR858" s="327"/>
      <c r="IS858" s="323"/>
      <c r="IT858" s="327"/>
      <c r="IU858" s="327"/>
      <c r="IV858" s="323"/>
      <c r="IW858" s="327">
        <v>0</v>
      </c>
      <c r="IX858" s="327">
        <f t="shared" si="1378"/>
        <v>0</v>
      </c>
      <c r="IY858" s="323">
        <f t="shared" si="1475"/>
        <v>0</v>
      </c>
      <c r="IZ858" s="327">
        <f t="shared" si="1439"/>
        <v>0</v>
      </c>
      <c r="JA858" s="327">
        <f t="shared" si="1440"/>
        <v>0</v>
      </c>
      <c r="JB858" s="323">
        <f t="shared" si="1458"/>
        <v>0</v>
      </c>
      <c r="JC858" s="327">
        <f t="shared" si="1441"/>
        <v>0</v>
      </c>
      <c r="JD858" s="327">
        <f t="shared" si="1442"/>
        <v>0</v>
      </c>
      <c r="JE858" s="323">
        <f t="shared" si="1459"/>
        <v>0</v>
      </c>
      <c r="JF858" s="327">
        <f t="shared" si="1602"/>
        <v>0</v>
      </c>
      <c r="JG858" s="327">
        <f t="shared" si="1372"/>
        <v>0</v>
      </c>
      <c r="JH858" s="323">
        <f t="shared" si="1406"/>
        <v>0</v>
      </c>
      <c r="JI858" s="327">
        <f t="shared" si="1476"/>
        <v>0</v>
      </c>
      <c r="JJ858" s="327">
        <f t="shared" si="1405"/>
        <v>0</v>
      </c>
      <c r="JK858" s="323">
        <f t="shared" si="1398"/>
        <v>0</v>
      </c>
      <c r="JL858" s="327">
        <f t="shared" si="1407"/>
        <v>0</v>
      </c>
      <c r="JM858" s="279">
        <f t="shared" si="1535"/>
        <v>0</v>
      </c>
      <c r="JN858" s="323">
        <f>FISC!AK1164</f>
        <v>0</v>
      </c>
      <c r="JO858" s="327">
        <f>JQ858*0.55</f>
        <v>0</v>
      </c>
      <c r="JP858" s="279">
        <f t="shared" si="1536"/>
        <v>0</v>
      </c>
      <c r="JQ858" s="323">
        <f>FISC!AL1164</f>
        <v>0</v>
      </c>
      <c r="JR858" s="327">
        <f>JT858*0.55</f>
        <v>0</v>
      </c>
      <c r="JS858" s="279">
        <f t="shared" si="1537"/>
        <v>0</v>
      </c>
      <c r="JT858" s="323">
        <f>FISC!AM1164</f>
        <v>0</v>
      </c>
      <c r="JU858" s="327">
        <f>JW858*0.55</f>
        <v>0</v>
      </c>
      <c r="JV858" s="279">
        <f t="shared" si="1538"/>
        <v>0</v>
      </c>
      <c r="JW858" s="323">
        <f>FISC!AN1164</f>
        <v>0</v>
      </c>
      <c r="JX858" s="327">
        <f>JZ858*0.55</f>
        <v>0</v>
      </c>
      <c r="JY858" s="279">
        <f t="shared" si="1539"/>
        <v>0</v>
      </c>
      <c r="JZ858" s="323">
        <f>FISC!AO1164</f>
        <v>0</v>
      </c>
      <c r="KA858" s="327">
        <f>KC858*0.55</f>
        <v>0</v>
      </c>
      <c r="KB858" s="279">
        <f t="shared" si="1608"/>
        <v>0</v>
      </c>
      <c r="KC858" s="323">
        <f>FISC!AP1164</f>
        <v>0</v>
      </c>
      <c r="KD858" s="327">
        <f>KF858*0.55</f>
        <v>0</v>
      </c>
      <c r="KE858" s="279">
        <f t="shared" si="1609"/>
        <v>0</v>
      </c>
      <c r="KF858" s="323">
        <f>FISC!AQ1164</f>
        <v>0</v>
      </c>
      <c r="KG858" s="327">
        <f>KI858*0.55</f>
        <v>0</v>
      </c>
      <c r="KH858" s="279">
        <f t="shared" si="1610"/>
        <v>0</v>
      </c>
      <c r="KI858" s="323">
        <f>FISC!AR1164</f>
        <v>0</v>
      </c>
      <c r="KJ858" s="327">
        <f>KL858*0.55</f>
        <v>0</v>
      </c>
      <c r="KK858" s="279">
        <f t="shared" si="1611"/>
        <v>0</v>
      </c>
      <c r="KL858" s="323">
        <f>FISC!AS1164</f>
        <v>0</v>
      </c>
      <c r="KM858" s="327">
        <f>KO858*0.55</f>
        <v>0</v>
      </c>
      <c r="KN858" s="279">
        <f t="shared" si="1612"/>
        <v>0</v>
      </c>
      <c r="KO858" s="323">
        <f>FISC!AT1164</f>
        <v>0</v>
      </c>
      <c r="KU858" s="326"/>
      <c r="KV858" s="327"/>
    </row>
    <row r="859" spans="1:314">
      <c r="A859" s="279"/>
      <c r="D859" s="1418" t="s">
        <v>3051</v>
      </c>
      <c r="E859" s="323"/>
      <c r="F859" s="323"/>
      <c r="G859" s="323"/>
      <c r="H859" s="323"/>
      <c r="I859" s="323"/>
      <c r="J859" s="323"/>
      <c r="K859" s="323"/>
      <c r="L859" s="323"/>
      <c r="M859" s="323"/>
      <c r="N859" s="323"/>
      <c r="O859" s="323"/>
      <c r="P859" s="323"/>
      <c r="Q859" s="323"/>
      <c r="R859" s="323"/>
      <c r="S859" s="323"/>
      <c r="T859" s="323"/>
      <c r="U859" s="323"/>
      <c r="V859" s="323"/>
      <c r="W859" s="323"/>
      <c r="X859" s="323"/>
      <c r="Y859" s="323"/>
      <c r="Z859" s="323"/>
      <c r="AA859" s="323"/>
      <c r="AB859" s="323"/>
      <c r="AC859" s="323"/>
      <c r="AD859" s="323"/>
      <c r="AE859" s="323"/>
      <c r="AF859" s="323"/>
      <c r="AG859" s="323"/>
      <c r="AH859" s="323"/>
      <c r="AI859" s="323"/>
      <c r="AJ859" s="323"/>
      <c r="AK859" s="323"/>
      <c r="AL859" s="323"/>
      <c r="AM859" s="323"/>
      <c r="AN859" s="323"/>
      <c r="AO859" s="323"/>
      <c r="AP859" s="323"/>
      <c r="AQ859" s="323"/>
      <c r="AR859" s="323"/>
      <c r="AS859" s="323"/>
      <c r="AT859" s="323"/>
      <c r="AU859" s="323"/>
      <c r="AV859" s="323"/>
      <c r="AW859" s="323"/>
      <c r="AX859" s="323"/>
      <c r="AY859" s="323"/>
      <c r="AZ859" s="323"/>
      <c r="BA859" s="323"/>
      <c r="BB859" s="323"/>
      <c r="BC859" s="323"/>
      <c r="BD859" s="323"/>
      <c r="BE859" s="323"/>
      <c r="BF859" s="323"/>
      <c r="BG859" s="323"/>
      <c r="BH859" s="323"/>
      <c r="BI859" s="323"/>
      <c r="BJ859" s="323"/>
      <c r="BK859" s="323"/>
      <c r="BL859" s="323"/>
      <c r="BM859" s="323"/>
      <c r="BN859" s="323"/>
      <c r="BO859" s="323"/>
      <c r="BP859" s="323"/>
      <c r="BQ859" s="323"/>
      <c r="BR859" s="323"/>
      <c r="BS859" s="323"/>
      <c r="BT859" s="323"/>
      <c r="BU859" s="323"/>
      <c r="BV859" s="323"/>
      <c r="BW859" s="323"/>
      <c r="BX859" s="323"/>
      <c r="BY859" s="323"/>
      <c r="BZ859" s="323"/>
      <c r="CA859" s="323"/>
      <c r="CB859" s="323"/>
      <c r="CC859" s="323"/>
      <c r="CD859" s="329"/>
      <c r="CE859" s="323">
        <v>0</v>
      </c>
      <c r="CF859" s="323">
        <v>0</v>
      </c>
      <c r="CG859" s="323">
        <v>0</v>
      </c>
      <c r="CH859" s="323">
        <v>0</v>
      </c>
      <c r="CI859" s="323">
        <v>0</v>
      </c>
      <c r="CJ859" s="323">
        <v>0</v>
      </c>
      <c r="CK859" s="323">
        <v>0</v>
      </c>
      <c r="CL859" s="323">
        <v>0</v>
      </c>
      <c r="CM859" s="323">
        <v>0</v>
      </c>
      <c r="CN859" s="323">
        <v>0</v>
      </c>
      <c r="CO859" s="323">
        <v>0</v>
      </c>
      <c r="CP859" s="325">
        <v>0</v>
      </c>
      <c r="CQ859" s="323"/>
      <c r="CR859" s="323"/>
      <c r="CS859" s="323"/>
      <c r="CT859" s="323"/>
      <c r="CU859" s="323"/>
      <c r="CV859" s="323"/>
      <c r="CW859" s="323"/>
      <c r="CX859" s="323"/>
      <c r="CY859" s="323"/>
      <c r="CZ859" s="323"/>
      <c r="DA859" s="323"/>
      <c r="DB859" s="1269"/>
      <c r="DC859" s="323"/>
      <c r="DD859" s="323"/>
      <c r="DE859" s="323"/>
      <c r="DF859" s="323"/>
      <c r="DG859" s="323"/>
      <c r="DH859" s="323"/>
      <c r="DI859" s="323"/>
      <c r="DJ859" s="323"/>
      <c r="DK859" s="323"/>
      <c r="DL859" s="323"/>
      <c r="DM859" s="323"/>
      <c r="DN859" s="325"/>
      <c r="DO859" s="323"/>
      <c r="DP859" s="323"/>
      <c r="DQ859" s="323"/>
      <c r="DR859" s="323"/>
      <c r="DS859" s="323"/>
      <c r="DT859" s="323"/>
      <c r="DU859" s="323"/>
      <c r="DV859" s="323"/>
      <c r="DW859" s="323"/>
      <c r="DX859" s="323"/>
      <c r="DY859" s="323"/>
      <c r="DZ859" s="325"/>
      <c r="EA859" s="323"/>
      <c r="EB859" s="323"/>
      <c r="EC859" s="323"/>
      <c r="ED859" s="323"/>
      <c r="EE859" s="323"/>
      <c r="EF859" s="323"/>
      <c r="EG859" s="323"/>
      <c r="EH859" s="323"/>
      <c r="EI859" s="323"/>
      <c r="EJ859" s="323"/>
      <c r="EK859" s="323"/>
      <c r="EL859" s="325"/>
      <c r="EM859" s="323"/>
      <c r="EN859" s="323"/>
      <c r="EO859" s="323"/>
      <c r="EP859" s="323"/>
      <c r="EQ859" s="323"/>
      <c r="ER859" s="323"/>
      <c r="ES859" s="323"/>
      <c r="ET859" s="323"/>
      <c r="EU859" s="323"/>
      <c r="EV859" s="323"/>
      <c r="EW859" s="323"/>
      <c r="EX859" s="325"/>
      <c r="EY859" s="323"/>
      <c r="EZ859" s="323"/>
      <c r="FA859" s="323"/>
      <c r="FB859" s="323"/>
      <c r="FC859" s="323"/>
      <c r="FD859" s="323"/>
      <c r="FE859" s="323"/>
      <c r="FF859" s="323"/>
      <c r="FG859" s="323"/>
      <c r="FH859" s="323"/>
      <c r="FI859" s="323"/>
      <c r="FJ859" s="325"/>
      <c r="FK859" s="323"/>
      <c r="FL859" s="323"/>
      <c r="FM859" s="323"/>
      <c r="FN859" s="323"/>
      <c r="FO859" s="323"/>
      <c r="FP859" s="323"/>
      <c r="FQ859" s="323"/>
      <c r="FR859" s="323"/>
      <c r="FS859" s="323"/>
      <c r="FT859" s="323"/>
      <c r="FU859" s="323"/>
      <c r="FV859" s="323"/>
      <c r="FW859" s="323"/>
      <c r="FX859" s="323"/>
      <c r="FY859" s="323"/>
      <c r="FZ859" s="323"/>
      <c r="GA859" s="323"/>
      <c r="GB859" s="323"/>
      <c r="GC859" s="323"/>
      <c r="GD859" s="323"/>
      <c r="GE859" s="323"/>
      <c r="GF859" s="323"/>
      <c r="GG859" s="323"/>
      <c r="GH859" s="323"/>
      <c r="GI859" s="1654"/>
      <c r="HZ859" s="326"/>
      <c r="IA859" s="2390" t="s">
        <v>3051</v>
      </c>
      <c r="IB859" s="284"/>
      <c r="ID859" s="323"/>
      <c r="IG859" s="323"/>
      <c r="IH859" s="284"/>
      <c r="IJ859" s="323"/>
      <c r="IK859" s="327"/>
      <c r="IM859" s="323"/>
      <c r="IP859" s="323"/>
      <c r="IQ859" s="327"/>
      <c r="IR859" s="327"/>
      <c r="IS859" s="323"/>
      <c r="IT859" s="327"/>
      <c r="IU859" s="327"/>
      <c r="IV859" s="323"/>
      <c r="IW859" s="327">
        <f>SUM(FK859:FP859)</f>
        <v>0</v>
      </c>
      <c r="IX859" s="327">
        <f t="shared" si="1378"/>
        <v>0</v>
      </c>
      <c r="IY859" s="323">
        <f t="shared" si="1475"/>
        <v>0</v>
      </c>
      <c r="IZ859" s="327">
        <f t="shared" si="1439"/>
        <v>0</v>
      </c>
      <c r="JA859" s="327">
        <f t="shared" si="1440"/>
        <v>0</v>
      </c>
      <c r="JB859" s="323">
        <f t="shared" si="1458"/>
        <v>0</v>
      </c>
      <c r="JC859" s="327">
        <f t="shared" si="1441"/>
        <v>0</v>
      </c>
      <c r="JD859" s="327">
        <f t="shared" si="1442"/>
        <v>0</v>
      </c>
      <c r="JE859" s="323">
        <f t="shared" si="1459"/>
        <v>0</v>
      </c>
      <c r="JF859" s="327">
        <f t="shared" si="1602"/>
        <v>0</v>
      </c>
      <c r="JG859" s="327">
        <f t="shared" si="1372"/>
        <v>0</v>
      </c>
      <c r="JH859" s="323">
        <f t="shared" si="1406"/>
        <v>0</v>
      </c>
      <c r="JI859" s="327">
        <f t="shared" si="1476"/>
        <v>0</v>
      </c>
      <c r="JJ859" s="327">
        <f t="shared" si="1405"/>
        <v>0</v>
      </c>
      <c r="JK859" s="323">
        <f t="shared" si="1398"/>
        <v>0</v>
      </c>
      <c r="JL859" s="327">
        <f t="shared" si="1407"/>
        <v>0</v>
      </c>
      <c r="JM859" s="279">
        <f t="shared" si="1535"/>
        <v>0</v>
      </c>
      <c r="JN859" s="323">
        <f>FISC!AK1165</f>
        <v>0</v>
      </c>
      <c r="JO859" s="327">
        <f>JQ859*0.55</f>
        <v>0</v>
      </c>
      <c r="JP859" s="279">
        <f t="shared" si="1536"/>
        <v>0</v>
      </c>
      <c r="JQ859" s="323">
        <f>FISC!AL1165</f>
        <v>0</v>
      </c>
      <c r="JR859" s="327">
        <f>JT859*0.55</f>
        <v>0</v>
      </c>
      <c r="JS859" s="279">
        <f t="shared" si="1537"/>
        <v>0</v>
      </c>
      <c r="JT859" s="323">
        <f>FISC!AM1165</f>
        <v>0</v>
      </c>
      <c r="JU859" s="327">
        <f>JW859*0.55</f>
        <v>0</v>
      </c>
      <c r="JV859" s="279">
        <f t="shared" si="1538"/>
        <v>0</v>
      </c>
      <c r="JW859" s="323">
        <f>FISC!AN1165</f>
        <v>0</v>
      </c>
      <c r="JX859" s="327">
        <f>JZ859*0.55</f>
        <v>0</v>
      </c>
      <c r="JY859" s="279">
        <f t="shared" si="1539"/>
        <v>0</v>
      </c>
      <c r="JZ859" s="323">
        <f>FISC!AO1165</f>
        <v>0</v>
      </c>
      <c r="KA859" s="327">
        <f>KC859*0.55</f>
        <v>0</v>
      </c>
      <c r="KB859" s="279">
        <f t="shared" si="1608"/>
        <v>0</v>
      </c>
      <c r="KC859" s="323">
        <f>FISC!AP1165</f>
        <v>0</v>
      </c>
      <c r="KD859" s="327">
        <f>KF859*0.55</f>
        <v>0</v>
      </c>
      <c r="KE859" s="279">
        <f t="shared" si="1609"/>
        <v>0</v>
      </c>
      <c r="KF859" s="323">
        <f>FISC!AQ1165</f>
        <v>0</v>
      </c>
      <c r="KG859" s="327">
        <f>KI859*0.55</f>
        <v>0</v>
      </c>
      <c r="KH859" s="279">
        <f t="shared" si="1610"/>
        <v>0</v>
      </c>
      <c r="KI859" s="323">
        <f>FISC!AR1165</f>
        <v>0</v>
      </c>
      <c r="KJ859" s="327">
        <f>KL859*0.55</f>
        <v>0</v>
      </c>
      <c r="KK859" s="279">
        <f t="shared" si="1611"/>
        <v>0</v>
      </c>
      <c r="KL859" s="323">
        <f>FISC!AS1165</f>
        <v>0</v>
      </c>
      <c r="KM859" s="327">
        <f>KO859*0.55</f>
        <v>0</v>
      </c>
      <c r="KN859" s="279">
        <f t="shared" si="1612"/>
        <v>0</v>
      </c>
      <c r="KO859" s="323">
        <f>FISC!AT1165</f>
        <v>0</v>
      </c>
      <c r="KU859" s="326"/>
      <c r="KV859" s="327"/>
    </row>
    <row r="860" spans="1:314">
      <c r="A860" s="279"/>
      <c r="D860" s="1418" t="s">
        <v>3050</v>
      </c>
      <c r="E860" s="323"/>
      <c r="F860" s="323"/>
      <c r="G860" s="323"/>
      <c r="H860" s="323"/>
      <c r="I860" s="323"/>
      <c r="J860" s="323"/>
      <c r="K860" s="323"/>
      <c r="L860" s="323"/>
      <c r="M860" s="323"/>
      <c r="N860" s="323"/>
      <c r="O860" s="323"/>
      <c r="P860" s="323"/>
      <c r="Q860" s="323"/>
      <c r="R860" s="323"/>
      <c r="S860" s="323"/>
      <c r="T860" s="323"/>
      <c r="U860" s="323"/>
      <c r="V860" s="323"/>
      <c r="W860" s="323"/>
      <c r="X860" s="323"/>
      <c r="Y860" s="323"/>
      <c r="Z860" s="323"/>
      <c r="AA860" s="323"/>
      <c r="AB860" s="323"/>
      <c r="AC860" s="323"/>
      <c r="AD860" s="323"/>
      <c r="AE860" s="323"/>
      <c r="AF860" s="323"/>
      <c r="AG860" s="323"/>
      <c r="AH860" s="323"/>
      <c r="AI860" s="323"/>
      <c r="AJ860" s="323"/>
      <c r="AK860" s="323"/>
      <c r="AL860" s="323"/>
      <c r="AM860" s="323"/>
      <c r="AN860" s="323"/>
      <c r="AO860" s="323"/>
      <c r="AP860" s="323"/>
      <c r="AQ860" s="323"/>
      <c r="AR860" s="323"/>
      <c r="AS860" s="323"/>
      <c r="AT860" s="323"/>
      <c r="AU860" s="323"/>
      <c r="AV860" s="323"/>
      <c r="AW860" s="323"/>
      <c r="AX860" s="323"/>
      <c r="AY860" s="323"/>
      <c r="AZ860" s="323"/>
      <c r="BA860" s="323"/>
      <c r="BB860" s="323"/>
      <c r="BC860" s="323"/>
      <c r="BD860" s="323"/>
      <c r="BE860" s="323"/>
      <c r="BF860" s="323"/>
      <c r="BG860" s="323"/>
      <c r="BH860" s="323"/>
      <c r="BI860" s="323"/>
      <c r="BJ860" s="323"/>
      <c r="BK860" s="323"/>
      <c r="BL860" s="323"/>
      <c r="BM860" s="323"/>
      <c r="BN860" s="323"/>
      <c r="BO860" s="323"/>
      <c r="BP860" s="323"/>
      <c r="BQ860" s="323"/>
      <c r="BR860" s="323"/>
      <c r="BS860" s="323"/>
      <c r="BT860" s="323"/>
      <c r="BU860" s="323"/>
      <c r="BV860" s="323"/>
      <c r="BW860" s="323"/>
      <c r="BX860" s="323"/>
      <c r="BY860" s="323"/>
      <c r="BZ860" s="323"/>
      <c r="CA860" s="323"/>
      <c r="CB860" s="323"/>
      <c r="CC860" s="323"/>
      <c r="CD860" s="329"/>
      <c r="CE860" s="323">
        <v>0</v>
      </c>
      <c r="CF860" s="323">
        <v>0</v>
      </c>
      <c r="CG860" s="323">
        <v>0</v>
      </c>
      <c r="CH860" s="323">
        <v>0</v>
      </c>
      <c r="CI860" s="323">
        <v>0</v>
      </c>
      <c r="CJ860" s="323">
        <v>0</v>
      </c>
      <c r="CK860" s="323">
        <v>0</v>
      </c>
      <c r="CL860" s="323">
        <v>0</v>
      </c>
      <c r="CM860" s="323">
        <v>0</v>
      </c>
      <c r="CN860" s="323">
        <v>0</v>
      </c>
      <c r="CO860" s="323">
        <v>0</v>
      </c>
      <c r="CP860" s="325">
        <v>0</v>
      </c>
      <c r="CQ860" s="323"/>
      <c r="CR860" s="323"/>
      <c r="CS860" s="323"/>
      <c r="CT860" s="323"/>
      <c r="CU860" s="323"/>
      <c r="CV860" s="323"/>
      <c r="CW860" s="323"/>
      <c r="CX860" s="323"/>
      <c r="CY860" s="323"/>
      <c r="CZ860" s="323"/>
      <c r="DA860" s="323"/>
      <c r="DB860" s="1269"/>
      <c r="DC860" s="323"/>
      <c r="DD860" s="323"/>
      <c r="DE860" s="323"/>
      <c r="DF860" s="323"/>
      <c r="DG860" s="323"/>
      <c r="DH860" s="323"/>
      <c r="DI860" s="323"/>
      <c r="DJ860" s="323"/>
      <c r="DK860" s="323"/>
      <c r="DL860" s="323"/>
      <c r="DM860" s="323"/>
      <c r="DN860" s="325"/>
      <c r="DO860" s="323"/>
      <c r="DP860" s="323"/>
      <c r="DQ860" s="323"/>
      <c r="DR860" s="323"/>
      <c r="DS860" s="323"/>
      <c r="DT860" s="323"/>
      <c r="DU860" s="323"/>
      <c r="DV860" s="323"/>
      <c r="DW860" s="323"/>
      <c r="DX860" s="323"/>
      <c r="DY860" s="323"/>
      <c r="DZ860" s="325"/>
      <c r="EA860" s="323"/>
      <c r="EB860" s="323"/>
      <c r="EC860" s="323"/>
      <c r="ED860" s="323"/>
      <c r="EE860" s="323"/>
      <c r="EF860" s="323"/>
      <c r="EG860" s="323"/>
      <c r="EH860" s="323"/>
      <c r="EI860" s="323"/>
      <c r="EJ860" s="323"/>
      <c r="EK860" s="323"/>
      <c r="EL860" s="325"/>
      <c r="EM860" s="323"/>
      <c r="EN860" s="323"/>
      <c r="EO860" s="323"/>
      <c r="EP860" s="323"/>
      <c r="EQ860" s="323"/>
      <c r="ER860" s="323"/>
      <c r="ES860" s="323"/>
      <c r="ET860" s="323"/>
      <c r="EU860" s="323"/>
      <c r="EV860" s="323"/>
      <c r="EW860" s="323"/>
      <c r="EX860" s="325"/>
      <c r="EY860" s="323"/>
      <c r="EZ860" s="323"/>
      <c r="FA860" s="323"/>
      <c r="FB860" s="323"/>
      <c r="FC860" s="323"/>
      <c r="FD860" s="323"/>
      <c r="FE860" s="323"/>
      <c r="FF860" s="323"/>
      <c r="FG860" s="323"/>
      <c r="FH860" s="323"/>
      <c r="FI860" s="323"/>
      <c r="FJ860" s="325"/>
      <c r="FK860" s="323"/>
      <c r="FL860" s="323"/>
      <c r="FM860" s="323"/>
      <c r="FN860" s="323"/>
      <c r="FO860" s="323"/>
      <c r="FP860" s="323"/>
      <c r="FQ860" s="323"/>
      <c r="FR860" s="323"/>
      <c r="FS860" s="323"/>
      <c r="FT860" s="323"/>
      <c r="FU860" s="323"/>
      <c r="FV860" s="323"/>
      <c r="FW860" s="323"/>
      <c r="FX860" s="323"/>
      <c r="FY860" s="323"/>
      <c r="FZ860" s="323"/>
      <c r="GA860" s="323"/>
      <c r="GB860" s="323"/>
      <c r="GC860" s="323"/>
      <c r="GD860" s="323"/>
      <c r="GE860" s="323"/>
      <c r="GF860" s="323"/>
      <c r="GG860" s="323"/>
      <c r="GH860" s="323"/>
      <c r="GI860" s="1654">
        <f>GI840</f>
        <v>0</v>
      </c>
      <c r="GJ860" s="1654">
        <f t="shared" ref="GJ860:HR860" si="1613">GJ840</f>
        <v>0</v>
      </c>
      <c r="GK860" s="1654">
        <f t="shared" si="1613"/>
        <v>37.830943720766165</v>
      </c>
      <c r="GL860" s="1654">
        <f t="shared" si="1613"/>
        <v>0</v>
      </c>
      <c r="GM860" s="1654">
        <f t="shared" si="1613"/>
        <v>0</v>
      </c>
      <c r="GN860" s="1654">
        <f t="shared" si="1613"/>
        <v>39.097062721909495</v>
      </c>
      <c r="GO860" s="1654">
        <f t="shared" si="1613"/>
        <v>0</v>
      </c>
      <c r="GP860" s="1654">
        <f t="shared" si="1613"/>
        <v>0</v>
      </c>
      <c r="GQ860" s="1654">
        <f t="shared" si="1613"/>
        <v>42.755879130666671</v>
      </c>
      <c r="GR860" s="1654">
        <f t="shared" si="1613"/>
        <v>0</v>
      </c>
      <c r="GS860" s="1654">
        <f t="shared" si="1613"/>
        <v>0</v>
      </c>
      <c r="GT860" s="1654">
        <f t="shared" si="1613"/>
        <v>26.769587676048875</v>
      </c>
      <c r="GU860" s="1654">
        <f t="shared" si="1613"/>
        <v>0</v>
      </c>
      <c r="GV860" s="1654">
        <f t="shared" si="1613"/>
        <v>8.3532185703925492</v>
      </c>
      <c r="GW860" s="1654">
        <f t="shared" si="1613"/>
        <v>69.735063820311296</v>
      </c>
      <c r="GX860" s="1654">
        <f t="shared" si="1613"/>
        <v>0</v>
      </c>
      <c r="GY860" s="1654">
        <f t="shared" si="1613"/>
        <v>0</v>
      </c>
      <c r="GZ860" s="1654">
        <f t="shared" si="1613"/>
        <v>64.860627565871624</v>
      </c>
      <c r="HA860" s="1654">
        <f t="shared" si="1613"/>
        <v>0</v>
      </c>
      <c r="HB860" s="1654">
        <f t="shared" si="1613"/>
        <v>7.6904207837038214</v>
      </c>
      <c r="HC860" s="1654">
        <f t="shared" si="1613"/>
        <v>19.23650826862179</v>
      </c>
      <c r="HD860" s="1654">
        <f t="shared" si="1613"/>
        <v>35.777865754843894</v>
      </c>
      <c r="HE860" s="1654">
        <f t="shared" si="1613"/>
        <v>3.9089259962722953</v>
      </c>
      <c r="HF860" s="1654">
        <f>HF840</f>
        <v>0</v>
      </c>
      <c r="HG860" s="1654">
        <f t="shared" si="1613"/>
        <v>24.893886267105898</v>
      </c>
      <c r="HH860" s="1654">
        <f t="shared" si="1613"/>
        <v>0</v>
      </c>
      <c r="HI860" s="1654">
        <f t="shared" si="1613"/>
        <v>57.657934019426094</v>
      </c>
      <c r="HJ860" s="1654">
        <f t="shared" si="1613"/>
        <v>0</v>
      </c>
      <c r="HK860" s="1654">
        <f t="shared" si="1613"/>
        <v>0</v>
      </c>
      <c r="HL860" s="1654">
        <f t="shared" si="1613"/>
        <v>54.350666155159878</v>
      </c>
      <c r="HM860" s="1654">
        <f t="shared" si="1613"/>
        <v>0</v>
      </c>
      <c r="HN860" s="1654">
        <f t="shared" si="1613"/>
        <v>0</v>
      </c>
      <c r="HO860" s="1654">
        <f t="shared" si="1613"/>
        <v>0</v>
      </c>
      <c r="HP860" s="1654">
        <f t="shared" si="1613"/>
        <v>35.424263524999994</v>
      </c>
      <c r="HQ860" s="1654">
        <f t="shared" si="1613"/>
        <v>0</v>
      </c>
      <c r="HR860" s="1654">
        <f t="shared" si="1613"/>
        <v>24.153517471054016</v>
      </c>
      <c r="HS860" s="1654">
        <f t="shared" ref="HS860:HX860" si="1614">HS840</f>
        <v>0</v>
      </c>
      <c r="HT860" s="1654">
        <f t="shared" si="1614"/>
        <v>13.009523317425003</v>
      </c>
      <c r="HU860" s="1654">
        <f t="shared" si="1614"/>
        <v>56.9155074000208</v>
      </c>
      <c r="HV860" s="1654">
        <f t="shared" si="1614"/>
        <v>0</v>
      </c>
      <c r="HW860" s="1654">
        <f t="shared" si="1614"/>
        <v>0</v>
      </c>
      <c r="HX860" s="1654">
        <f t="shared" si="1614"/>
        <v>0</v>
      </c>
      <c r="HY860" s="1654"/>
      <c r="HZ860" s="326"/>
      <c r="IA860" s="2390" t="s">
        <v>3050</v>
      </c>
      <c r="IB860" s="284"/>
      <c r="ID860" s="323"/>
      <c r="IG860" s="323"/>
      <c r="IH860" s="284"/>
      <c r="IJ860" s="323"/>
      <c r="IK860" s="327"/>
      <c r="IM860" s="323"/>
      <c r="IP860" s="323"/>
      <c r="IQ860" s="327"/>
      <c r="IR860" s="327"/>
      <c r="IS860" s="323"/>
      <c r="IT860" s="327"/>
      <c r="IU860" s="327"/>
      <c r="IV860" s="323"/>
      <c r="IW860" s="327">
        <v>91.545131231999989</v>
      </c>
      <c r="IX860" s="327">
        <f t="shared" si="1378"/>
        <v>0</v>
      </c>
      <c r="IY860" s="323">
        <f>IW860+IX860</f>
        <v>91.545131231999989</v>
      </c>
      <c r="IZ860" s="327">
        <f t="shared" si="1439"/>
        <v>0</v>
      </c>
      <c r="JA860" s="327">
        <f t="shared" si="1440"/>
        <v>0</v>
      </c>
      <c r="JB860" s="323">
        <f t="shared" si="1458"/>
        <v>0</v>
      </c>
      <c r="JC860" s="327">
        <f t="shared" ref="JC860:JC864" si="1615">SUM(GI860:GN860)</f>
        <v>76.928006442675667</v>
      </c>
      <c r="JD860" s="327">
        <f t="shared" ref="JD860:JD865" si="1616">SUM(GO860:GT860)</f>
        <v>69.525466806715542</v>
      </c>
      <c r="JE860" s="323">
        <f t="shared" si="1459"/>
        <v>146.45347324939121</v>
      </c>
      <c r="JF860" s="327">
        <f t="shared" si="1602"/>
        <v>142.94890995657548</v>
      </c>
      <c r="JG860" s="327">
        <f t="shared" si="1372"/>
        <v>66.613720803441808</v>
      </c>
      <c r="JH860" s="323">
        <f t="shared" si="1406"/>
        <v>209.56263076001727</v>
      </c>
      <c r="JI860" s="327">
        <f t="shared" si="1476"/>
        <v>136.90248644169188</v>
      </c>
      <c r="JJ860" s="327">
        <f t="shared" si="1405"/>
        <v>59.57778099605401</v>
      </c>
      <c r="JK860" s="323">
        <f t="shared" si="1398"/>
        <v>196.48026743774588</v>
      </c>
      <c r="JL860" s="327">
        <f t="shared" si="1407"/>
        <v>69.925030717445807</v>
      </c>
      <c r="JM860" s="279">
        <f t="shared" si="1535"/>
        <v>122.23216769641884</v>
      </c>
      <c r="JN860" s="323">
        <f>FISC!AK1166</f>
        <v>192.15719841386465</v>
      </c>
      <c r="JO860" s="327">
        <f>JO840</f>
        <v>111.16207639181843</v>
      </c>
      <c r="JP860" s="279">
        <f t="shared" si="1536"/>
        <v>111.16207639181843</v>
      </c>
      <c r="JQ860" s="323">
        <f>FISC!AL1166</f>
        <v>222.32415278363686</v>
      </c>
      <c r="JR860" s="327">
        <f>JR840</f>
        <v>116.47519139786675</v>
      </c>
      <c r="JS860" s="279">
        <f t="shared" si="1537"/>
        <v>116.47519139786675</v>
      </c>
      <c r="JT860" s="323">
        <f>FISC!AM1166</f>
        <v>232.9503827957335</v>
      </c>
      <c r="JU860" s="327">
        <f>JU840</f>
        <v>121.99338547456286</v>
      </c>
      <c r="JV860" s="279">
        <f t="shared" si="1538"/>
        <v>121.99338547456286</v>
      </c>
      <c r="JW860" s="323">
        <f>FISC!AN1166</f>
        <v>243.98677094912571</v>
      </c>
      <c r="JX860" s="327">
        <f>JX840</f>
        <v>126.8463475360462</v>
      </c>
      <c r="JY860" s="279">
        <f t="shared" si="1539"/>
        <v>126.8463475360462</v>
      </c>
      <c r="JZ860" s="323">
        <f>FISC!AO1166</f>
        <v>253.69269507209239</v>
      </c>
      <c r="KA860" s="327">
        <f>KA840</f>
        <v>135.62690655011045</v>
      </c>
      <c r="KB860" s="279">
        <f t="shared" si="1608"/>
        <v>135.62690655011045</v>
      </c>
      <c r="KC860" s="323">
        <f>FISC!AP1166</f>
        <v>271.2538131002209</v>
      </c>
      <c r="KD860" s="327">
        <f>KD840</f>
        <v>139.69571374661376</v>
      </c>
      <c r="KE860" s="279">
        <f t="shared" si="1609"/>
        <v>139.69571374661376</v>
      </c>
      <c r="KF860" s="323">
        <f>FISC!AQ1166</f>
        <v>279.39142749322752</v>
      </c>
      <c r="KG860" s="327">
        <f>KG840</f>
        <v>0</v>
      </c>
      <c r="KH860" s="279">
        <f t="shared" si="1610"/>
        <v>287.77317031802437</v>
      </c>
      <c r="KI860" s="323">
        <f>FISC!AR1166</f>
        <v>287.77317031802437</v>
      </c>
      <c r="KJ860" s="327">
        <f>KJ840</f>
        <v>0</v>
      </c>
      <c r="KK860" s="279">
        <f t="shared" si="1611"/>
        <v>296.40636542756511</v>
      </c>
      <c r="KL860" s="323">
        <f>FISC!AS1166</f>
        <v>296.40636542756511</v>
      </c>
      <c r="KM860" s="327">
        <f>KM840</f>
        <v>0</v>
      </c>
      <c r="KN860" s="279">
        <f t="shared" si="1612"/>
        <v>305.29855639039209</v>
      </c>
      <c r="KO860" s="323">
        <f>FISC!AT1166</f>
        <v>305.29855639039209</v>
      </c>
      <c r="KU860" s="326"/>
      <c r="KV860" s="327"/>
    </row>
    <row r="861" spans="1:314">
      <c r="A861" s="279"/>
      <c r="D861" s="1393" t="s">
        <v>3219</v>
      </c>
      <c r="E861" s="323"/>
      <c r="F861" s="323"/>
      <c r="G861" s="323"/>
      <c r="H861" s="323"/>
      <c r="I861" s="323"/>
      <c r="J861" s="323"/>
      <c r="K861" s="323"/>
      <c r="L861" s="323"/>
      <c r="M861" s="323"/>
      <c r="N861" s="323"/>
      <c r="O861" s="323"/>
      <c r="P861" s="323"/>
      <c r="Q861" s="323"/>
      <c r="R861" s="323"/>
      <c r="S861" s="323"/>
      <c r="T861" s="323"/>
      <c r="U861" s="323"/>
      <c r="V861" s="323"/>
      <c r="W861" s="323"/>
      <c r="X861" s="323"/>
      <c r="Y861" s="323"/>
      <c r="Z861" s="323"/>
      <c r="AA861" s="323"/>
      <c r="AB861" s="323"/>
      <c r="AC861" s="323"/>
      <c r="AD861" s="323"/>
      <c r="AE861" s="323"/>
      <c r="AF861" s="323"/>
      <c r="AG861" s="323"/>
      <c r="AH861" s="323"/>
      <c r="AI861" s="323"/>
      <c r="AJ861" s="323"/>
      <c r="AK861" s="323"/>
      <c r="AL861" s="323"/>
      <c r="AM861" s="323"/>
      <c r="AN861" s="323"/>
      <c r="AO861" s="323"/>
      <c r="AP861" s="323"/>
      <c r="AQ861" s="323"/>
      <c r="AR861" s="323"/>
      <c r="AS861" s="323"/>
      <c r="AT861" s="323"/>
      <c r="AU861" s="323"/>
      <c r="AV861" s="323"/>
      <c r="AW861" s="323"/>
      <c r="AX861" s="323"/>
      <c r="AY861" s="323"/>
      <c r="AZ861" s="323"/>
      <c r="BA861" s="323"/>
      <c r="BB861" s="323"/>
      <c r="BC861" s="323"/>
      <c r="BD861" s="323"/>
      <c r="BE861" s="323"/>
      <c r="BF861" s="323"/>
      <c r="BG861" s="323"/>
      <c r="BH861" s="323"/>
      <c r="BI861" s="323"/>
      <c r="BJ861" s="323"/>
      <c r="BK861" s="323"/>
      <c r="BL861" s="323"/>
      <c r="BM861" s="323"/>
      <c r="BN861" s="323"/>
      <c r="BO861" s="323"/>
      <c r="BP861" s="323"/>
      <c r="BQ861" s="323"/>
      <c r="BR861" s="323"/>
      <c r="BS861" s="323"/>
      <c r="BT861" s="323"/>
      <c r="BU861" s="323"/>
      <c r="BV861" s="323"/>
      <c r="BW861" s="323"/>
      <c r="BX861" s="323"/>
      <c r="BY861" s="323"/>
      <c r="BZ861" s="323"/>
      <c r="CA861" s="323"/>
      <c r="CB861" s="323"/>
      <c r="CC861" s="323"/>
      <c r="CD861" s="329"/>
      <c r="CE861" s="323"/>
      <c r="CF861" s="323"/>
      <c r="CG861" s="323"/>
      <c r="CH861" s="323"/>
      <c r="CI861" s="323"/>
      <c r="CJ861" s="323"/>
      <c r="CK861" s="323"/>
      <c r="CL861" s="323"/>
      <c r="CM861" s="323"/>
      <c r="CN861" s="323"/>
      <c r="CO861" s="323"/>
      <c r="CP861" s="325"/>
      <c r="CQ861" s="323"/>
      <c r="CR861" s="323"/>
      <c r="CS861" s="323"/>
      <c r="CT861" s="323"/>
      <c r="CU861" s="323"/>
      <c r="CV861" s="323"/>
      <c r="CW861" s="323"/>
      <c r="CX861" s="323"/>
      <c r="CY861" s="323"/>
      <c r="CZ861" s="323"/>
      <c r="DA861" s="323"/>
      <c r="DB861" s="1269"/>
      <c r="DC861" s="323"/>
      <c r="DD861" s="323"/>
      <c r="DE861" s="323"/>
      <c r="DF861" s="323"/>
      <c r="DG861" s="323"/>
      <c r="DH861" s="323"/>
      <c r="DI861" s="323"/>
      <c r="DJ861" s="323"/>
      <c r="DK861" s="323"/>
      <c r="DL861" s="323"/>
      <c r="DM861" s="323"/>
      <c r="DN861" s="325"/>
      <c r="DO861" s="323"/>
      <c r="DP861" s="323"/>
      <c r="DQ861" s="323"/>
      <c r="DR861" s="323"/>
      <c r="DS861" s="323"/>
      <c r="DT861" s="323"/>
      <c r="DU861" s="323"/>
      <c r="DV861" s="323"/>
      <c r="DW861" s="323"/>
      <c r="DX861" s="323"/>
      <c r="DY861" s="323"/>
      <c r="DZ861" s="325"/>
      <c r="EA861" s="323"/>
      <c r="EB861" s="323"/>
      <c r="EC861" s="323"/>
      <c r="ED861" s="323"/>
      <c r="EE861" s="323"/>
      <c r="EF861" s="323"/>
      <c r="EG861" s="323"/>
      <c r="EH861" s="323"/>
      <c r="EI861" s="323"/>
      <c r="EJ861" s="323"/>
      <c r="EK861" s="323"/>
      <c r="EL861" s="325"/>
      <c r="EM861" s="323"/>
      <c r="EN861" s="323"/>
      <c r="EO861" s="323"/>
      <c r="EP861" s="323"/>
      <c r="EQ861" s="323"/>
      <c r="ER861" s="323"/>
      <c r="ES861" s="323"/>
      <c r="ET861" s="323"/>
      <c r="EU861" s="323"/>
      <c r="EV861" s="323"/>
      <c r="EW861" s="323"/>
      <c r="EX861" s="325"/>
      <c r="EY861" s="323"/>
      <c r="EZ861" s="323"/>
      <c r="FA861" s="323"/>
      <c r="FB861" s="323"/>
      <c r="FC861" s="323"/>
      <c r="FD861" s="323"/>
      <c r="FE861" s="323"/>
      <c r="FF861" s="323"/>
      <c r="FG861" s="323"/>
      <c r="FH861" s="323"/>
      <c r="FI861" s="323"/>
      <c r="FJ861" s="325"/>
      <c r="FK861" s="323"/>
      <c r="FL861" s="323"/>
      <c r="FM861" s="323"/>
      <c r="FN861" s="323"/>
      <c r="FO861" s="323"/>
      <c r="FP861" s="323"/>
      <c r="FQ861" s="323"/>
      <c r="FR861" s="323"/>
      <c r="FS861" s="323"/>
      <c r="FT861" s="323"/>
      <c r="FU861" s="323"/>
      <c r="FV861" s="323"/>
      <c r="FW861" s="323"/>
      <c r="FX861" s="323"/>
      <c r="FY861" s="323"/>
      <c r="FZ861" s="323"/>
      <c r="GA861" s="323"/>
      <c r="GB861" s="323"/>
      <c r="GC861" s="323"/>
      <c r="GD861" s="323"/>
      <c r="GE861" s="323"/>
      <c r="GF861" s="323"/>
      <c r="GG861" s="323"/>
      <c r="GH861" s="323"/>
      <c r="GI861" s="1654"/>
      <c r="HZ861" s="326"/>
      <c r="IA861" s="1774" t="s">
        <v>3219</v>
      </c>
      <c r="IB861" s="284"/>
      <c r="ID861" s="323"/>
      <c r="IG861" s="323"/>
      <c r="IH861" s="284"/>
      <c r="IJ861" s="323"/>
      <c r="IK861" s="327"/>
      <c r="IM861" s="323"/>
      <c r="IP861" s="323"/>
      <c r="IQ861" s="327"/>
      <c r="IR861" s="327"/>
      <c r="IS861" s="323"/>
      <c r="IT861" s="327"/>
      <c r="IU861" s="327"/>
      <c r="IV861" s="323"/>
      <c r="IW861" s="327"/>
      <c r="IX861" s="327"/>
      <c r="IY861" s="323">
        <f>IW861+IX861</f>
        <v>0</v>
      </c>
      <c r="IZ861" s="327">
        <f t="shared" si="1439"/>
        <v>0</v>
      </c>
      <c r="JA861" s="327">
        <f t="shared" si="1440"/>
        <v>0</v>
      </c>
      <c r="JB861" s="323">
        <f t="shared" si="1458"/>
        <v>0</v>
      </c>
      <c r="JC861" s="327">
        <f t="shared" si="1615"/>
        <v>0</v>
      </c>
      <c r="JD861" s="327">
        <f t="shared" si="1616"/>
        <v>0</v>
      </c>
      <c r="JE861" s="323">
        <f t="shared" si="1459"/>
        <v>0</v>
      </c>
      <c r="JF861" s="327">
        <f t="shared" si="1602"/>
        <v>0</v>
      </c>
      <c r="JG861" s="327">
        <f t="shared" si="1372"/>
        <v>0</v>
      </c>
      <c r="JH861" s="323">
        <f t="shared" si="1406"/>
        <v>0</v>
      </c>
      <c r="JI861" s="327">
        <f t="shared" si="1476"/>
        <v>0</v>
      </c>
      <c r="JJ861" s="327">
        <f t="shared" si="1405"/>
        <v>0</v>
      </c>
      <c r="JK861" s="323">
        <f t="shared" si="1398"/>
        <v>0</v>
      </c>
      <c r="JL861" s="327">
        <f t="shared" si="1407"/>
        <v>0</v>
      </c>
      <c r="JN861" s="323">
        <f>FISC!AK1167</f>
        <v>0</v>
      </c>
      <c r="JO861" s="327"/>
      <c r="JQ861" s="323">
        <f>FISC!AL1167</f>
        <v>0</v>
      </c>
      <c r="JT861" s="323">
        <f>FISC!AM1167</f>
        <v>0</v>
      </c>
      <c r="JW861" s="323">
        <f>FISC!AN1167</f>
        <v>0</v>
      </c>
      <c r="JZ861" s="323">
        <f>FISC!AO1167</f>
        <v>0</v>
      </c>
      <c r="KC861" s="323">
        <f>FISC!AP1167</f>
        <v>0</v>
      </c>
      <c r="KF861" s="323">
        <f>FISC!AQ1167</f>
        <v>0</v>
      </c>
      <c r="KI861" s="323">
        <f>FISC!AR1167</f>
        <v>0</v>
      </c>
      <c r="KL861" s="323">
        <f>FISC!AS1167</f>
        <v>0</v>
      </c>
      <c r="KO861" s="323">
        <f>FISC!AT1167</f>
        <v>0</v>
      </c>
      <c r="KU861" s="326"/>
      <c r="KV861" s="327"/>
    </row>
    <row r="862" spans="1:314">
      <c r="A862" s="279"/>
      <c r="D862" s="1393" t="s">
        <v>3226</v>
      </c>
      <c r="E862" s="323"/>
      <c r="F862" s="323"/>
      <c r="G862" s="323"/>
      <c r="H862" s="323"/>
      <c r="I862" s="323"/>
      <c r="J862" s="323"/>
      <c r="K862" s="323"/>
      <c r="L862" s="323"/>
      <c r="M862" s="323"/>
      <c r="N862" s="323"/>
      <c r="O862" s="323"/>
      <c r="P862" s="323"/>
      <c r="Q862" s="323"/>
      <c r="R862" s="323"/>
      <c r="S862" s="323"/>
      <c r="T862" s="323"/>
      <c r="U862" s="323"/>
      <c r="V862" s="323"/>
      <c r="W862" s="323"/>
      <c r="X862" s="323"/>
      <c r="Y862" s="323"/>
      <c r="Z862" s="323"/>
      <c r="AA862" s="323"/>
      <c r="AB862" s="323"/>
      <c r="AC862" s="323"/>
      <c r="AD862" s="323"/>
      <c r="AE862" s="323"/>
      <c r="AF862" s="323"/>
      <c r="AG862" s="323"/>
      <c r="AH862" s="323"/>
      <c r="AI862" s="323"/>
      <c r="AJ862" s="323"/>
      <c r="AK862" s="323"/>
      <c r="AL862" s="323"/>
      <c r="AM862" s="323"/>
      <c r="AN862" s="323"/>
      <c r="AO862" s="323"/>
      <c r="AP862" s="323"/>
      <c r="AQ862" s="323"/>
      <c r="AR862" s="323"/>
      <c r="AS862" s="323"/>
      <c r="AT862" s="323"/>
      <c r="AU862" s="323"/>
      <c r="AV862" s="323"/>
      <c r="AW862" s="323"/>
      <c r="AX862" s="323"/>
      <c r="AY862" s="323"/>
      <c r="AZ862" s="323"/>
      <c r="BA862" s="323"/>
      <c r="BB862" s="323"/>
      <c r="BC862" s="323"/>
      <c r="BD862" s="323"/>
      <c r="BE862" s="323"/>
      <c r="BF862" s="323"/>
      <c r="BG862" s="323"/>
      <c r="BH862" s="323"/>
      <c r="BI862" s="323"/>
      <c r="BJ862" s="323"/>
      <c r="BK862" s="323"/>
      <c r="BL862" s="323"/>
      <c r="BM862" s="323"/>
      <c r="BN862" s="323"/>
      <c r="BO862" s="323"/>
      <c r="BP862" s="323"/>
      <c r="BQ862" s="323"/>
      <c r="BR862" s="323"/>
      <c r="BS862" s="323"/>
      <c r="BT862" s="323"/>
      <c r="BU862" s="323"/>
      <c r="BV862" s="323"/>
      <c r="BW862" s="323"/>
      <c r="BX862" s="323"/>
      <c r="BY862" s="323"/>
      <c r="BZ862" s="323"/>
      <c r="CA862" s="323"/>
      <c r="CB862" s="323"/>
      <c r="CC862" s="323"/>
      <c r="CD862" s="329"/>
      <c r="CE862" s="323"/>
      <c r="CF862" s="323"/>
      <c r="CG862" s="323"/>
      <c r="CH862" s="323"/>
      <c r="CI862" s="323"/>
      <c r="CJ862" s="323"/>
      <c r="CK862" s="323"/>
      <c r="CL862" s="323"/>
      <c r="CM862" s="323"/>
      <c r="CN862" s="323"/>
      <c r="CO862" s="323"/>
      <c r="CP862" s="325"/>
      <c r="CQ862" s="323"/>
      <c r="CR862" s="323"/>
      <c r="CS862" s="323"/>
      <c r="CT862" s="323"/>
      <c r="CU862" s="323"/>
      <c r="CV862" s="323"/>
      <c r="CW862" s="323"/>
      <c r="CX862" s="323"/>
      <c r="CY862" s="323"/>
      <c r="CZ862" s="323"/>
      <c r="DA862" s="323"/>
      <c r="DB862" s="1269"/>
      <c r="DC862" s="323"/>
      <c r="DD862" s="323"/>
      <c r="DE862" s="323"/>
      <c r="DF862" s="323"/>
      <c r="DG862" s="323"/>
      <c r="DH862" s="323"/>
      <c r="DI862" s="323"/>
      <c r="DJ862" s="323"/>
      <c r="DK862" s="323"/>
      <c r="DL862" s="323"/>
      <c r="DM862" s="323"/>
      <c r="DN862" s="325"/>
      <c r="DO862" s="323"/>
      <c r="DP862" s="323"/>
      <c r="DQ862" s="323"/>
      <c r="DR862" s="323"/>
      <c r="DS862" s="323"/>
      <c r="DT862" s="323"/>
      <c r="DU862" s="323"/>
      <c r="DV862" s="323"/>
      <c r="DW862" s="323"/>
      <c r="DX862" s="323"/>
      <c r="DY862" s="323"/>
      <c r="DZ862" s="325"/>
      <c r="EA862" s="323"/>
      <c r="EB862" s="323"/>
      <c r="EC862" s="323"/>
      <c r="ED862" s="323"/>
      <c r="EE862" s="323"/>
      <c r="EF862" s="323"/>
      <c r="EG862" s="323"/>
      <c r="EH862" s="323"/>
      <c r="EI862" s="323"/>
      <c r="EJ862" s="323"/>
      <c r="EK862" s="323"/>
      <c r="EL862" s="325"/>
      <c r="EM862" s="323"/>
      <c r="EN862" s="323"/>
      <c r="EO862" s="323"/>
      <c r="EP862" s="323"/>
      <c r="EQ862" s="323"/>
      <c r="ER862" s="323"/>
      <c r="ES862" s="323"/>
      <c r="ET862" s="323"/>
      <c r="EU862" s="323"/>
      <c r="EV862" s="323"/>
      <c r="EW862" s="323"/>
      <c r="EX862" s="325"/>
      <c r="EY862" s="323"/>
      <c r="EZ862" s="323"/>
      <c r="FA862" s="323"/>
      <c r="FB862" s="323"/>
      <c r="FC862" s="323"/>
      <c r="FD862" s="323"/>
      <c r="FE862" s="323"/>
      <c r="FF862" s="323"/>
      <c r="FG862" s="323"/>
      <c r="FH862" s="323"/>
      <c r="FI862" s="323"/>
      <c r="FJ862" s="325"/>
      <c r="FK862" s="323"/>
      <c r="FL862" s="323"/>
      <c r="FM862" s="323"/>
      <c r="FN862" s="323"/>
      <c r="FO862" s="323"/>
      <c r="FP862" s="323"/>
      <c r="FQ862" s="323"/>
      <c r="FR862" s="323"/>
      <c r="FS862" s="323"/>
      <c r="FT862" s="323"/>
      <c r="FU862" s="323"/>
      <c r="FV862" s="323"/>
      <c r="FW862" s="323"/>
      <c r="FX862" s="323"/>
      <c r="FY862" s="323"/>
      <c r="FZ862" s="323"/>
      <c r="GA862" s="323"/>
      <c r="GB862" s="323"/>
      <c r="GC862" s="323"/>
      <c r="GD862" s="323"/>
      <c r="GE862" s="323"/>
      <c r="GF862" s="323"/>
      <c r="GG862" s="323"/>
      <c r="GH862" s="323"/>
      <c r="GI862" s="1654"/>
      <c r="HZ862" s="326"/>
      <c r="IA862" s="1774" t="s">
        <v>3226</v>
      </c>
      <c r="IB862" s="284"/>
      <c r="ID862" s="323"/>
      <c r="IG862" s="323"/>
      <c r="IH862" s="284"/>
      <c r="IJ862" s="323"/>
      <c r="IK862" s="327"/>
      <c r="IM862" s="323"/>
      <c r="IP862" s="323"/>
      <c r="IQ862" s="327"/>
      <c r="IR862" s="327"/>
      <c r="IS862" s="323"/>
      <c r="IT862" s="327"/>
      <c r="IU862" s="327"/>
      <c r="IV862" s="323"/>
      <c r="IW862" s="327"/>
      <c r="IX862" s="327"/>
      <c r="IY862" s="323">
        <f>IW862+IX862</f>
        <v>0</v>
      </c>
      <c r="IZ862" s="327">
        <f t="shared" si="1439"/>
        <v>0</v>
      </c>
      <c r="JA862" s="327">
        <f t="shared" si="1440"/>
        <v>0</v>
      </c>
      <c r="JB862" s="323">
        <f t="shared" si="1458"/>
        <v>0</v>
      </c>
      <c r="JC862" s="327">
        <f t="shared" si="1615"/>
        <v>0</v>
      </c>
      <c r="JD862" s="327">
        <f t="shared" si="1616"/>
        <v>0</v>
      </c>
      <c r="JE862" s="323">
        <f t="shared" si="1459"/>
        <v>0</v>
      </c>
      <c r="JF862" s="327">
        <f t="shared" si="1602"/>
        <v>0</v>
      </c>
      <c r="JG862" s="327">
        <f t="shared" si="1372"/>
        <v>0</v>
      </c>
      <c r="JH862" s="323">
        <f t="shared" si="1406"/>
        <v>0</v>
      </c>
      <c r="JI862" s="327">
        <f t="shared" si="1476"/>
        <v>0</v>
      </c>
      <c r="JJ862" s="327">
        <f t="shared" si="1405"/>
        <v>0</v>
      </c>
      <c r="JK862" s="323">
        <f t="shared" si="1398"/>
        <v>0</v>
      </c>
      <c r="JL862" s="327">
        <f t="shared" si="1407"/>
        <v>0</v>
      </c>
      <c r="JN862" s="323">
        <f>FISC!AK1168</f>
        <v>0</v>
      </c>
      <c r="JO862" s="327"/>
      <c r="JQ862" s="323">
        <f>FISC!AL1168</f>
        <v>0</v>
      </c>
      <c r="JT862" s="323">
        <f>FISC!AM1168</f>
        <v>0</v>
      </c>
      <c r="JW862" s="323">
        <f>FISC!AN1168</f>
        <v>0</v>
      </c>
      <c r="JZ862" s="323">
        <f>FISC!AO1168</f>
        <v>0</v>
      </c>
      <c r="KC862" s="323">
        <f>FISC!AP1168</f>
        <v>0</v>
      </c>
      <c r="KF862" s="323">
        <f>FISC!AQ1168</f>
        <v>0</v>
      </c>
      <c r="KI862" s="323">
        <f>FISC!AR1168</f>
        <v>0</v>
      </c>
      <c r="KL862" s="323">
        <f>FISC!AS1168</f>
        <v>0</v>
      </c>
      <c r="KO862" s="323">
        <f>FISC!AT1168</f>
        <v>0</v>
      </c>
      <c r="KU862" s="326"/>
      <c r="KV862" s="327"/>
    </row>
    <row r="863" spans="1:314">
      <c r="A863" s="279"/>
      <c r="D863" s="1393" t="str">
        <f>FISC!D1169</f>
        <v>o/w Foods (Under Grain Reserve)</v>
      </c>
      <c r="E863" s="323"/>
      <c r="F863" s="323"/>
      <c r="G863" s="323"/>
      <c r="H863" s="323"/>
      <c r="I863" s="323"/>
      <c r="J863" s="323"/>
      <c r="K863" s="323"/>
      <c r="L863" s="323"/>
      <c r="M863" s="323"/>
      <c r="N863" s="323"/>
      <c r="O863" s="323"/>
      <c r="P863" s="323"/>
      <c r="Q863" s="323"/>
      <c r="R863" s="323"/>
      <c r="S863" s="323"/>
      <c r="T863" s="323"/>
      <c r="U863" s="323"/>
      <c r="V863" s="323"/>
      <c r="W863" s="323"/>
      <c r="X863" s="323"/>
      <c r="Y863" s="323"/>
      <c r="Z863" s="323"/>
      <c r="AA863" s="323"/>
      <c r="AB863" s="323"/>
      <c r="AC863" s="323"/>
      <c r="AD863" s="323"/>
      <c r="AE863" s="323"/>
      <c r="AF863" s="323"/>
      <c r="AG863" s="323"/>
      <c r="AH863" s="323"/>
      <c r="AI863" s="323"/>
      <c r="AJ863" s="323"/>
      <c r="AK863" s="323"/>
      <c r="AL863" s="323"/>
      <c r="AM863" s="323"/>
      <c r="AN863" s="323"/>
      <c r="AO863" s="323"/>
      <c r="AP863" s="323"/>
      <c r="AQ863" s="323"/>
      <c r="AR863" s="323"/>
      <c r="AS863" s="323"/>
      <c r="AT863" s="323"/>
      <c r="AU863" s="323"/>
      <c r="AV863" s="323"/>
      <c r="AW863" s="323"/>
      <c r="AX863" s="323"/>
      <c r="AY863" s="323"/>
      <c r="AZ863" s="323"/>
      <c r="BA863" s="323"/>
      <c r="BB863" s="323"/>
      <c r="BC863" s="323"/>
      <c r="BD863" s="323"/>
      <c r="BE863" s="323"/>
      <c r="BF863" s="323"/>
      <c r="BG863" s="323"/>
      <c r="BH863" s="323"/>
      <c r="BI863" s="323"/>
      <c r="BJ863" s="323"/>
      <c r="BK863" s="323"/>
      <c r="BL863" s="323"/>
      <c r="BM863" s="323"/>
      <c r="BN863" s="323"/>
      <c r="BO863" s="323"/>
      <c r="BP863" s="323"/>
      <c r="BQ863" s="323"/>
      <c r="BR863" s="323"/>
      <c r="BS863" s="323"/>
      <c r="BT863" s="323"/>
      <c r="BU863" s="323"/>
      <c r="BV863" s="323"/>
      <c r="BW863" s="323"/>
      <c r="BX863" s="323"/>
      <c r="BY863" s="323"/>
      <c r="BZ863" s="323"/>
      <c r="CA863" s="323"/>
      <c r="CB863" s="323"/>
      <c r="CC863" s="323"/>
      <c r="CD863" s="329"/>
      <c r="CE863" s="323"/>
      <c r="CF863" s="323"/>
      <c r="CG863" s="323"/>
      <c r="CH863" s="323"/>
      <c r="CI863" s="323"/>
      <c r="CJ863" s="323"/>
      <c r="CK863" s="323"/>
      <c r="CL863" s="323"/>
      <c r="CM863" s="323"/>
      <c r="CN863" s="323"/>
      <c r="CO863" s="323"/>
      <c r="CP863" s="325"/>
      <c r="CQ863" s="323"/>
      <c r="CR863" s="323"/>
      <c r="CS863" s="323"/>
      <c r="CT863" s="323"/>
      <c r="CU863" s="323"/>
      <c r="CV863" s="323"/>
      <c r="CW863" s="323"/>
      <c r="CX863" s="323"/>
      <c r="CY863" s="323"/>
      <c r="CZ863" s="323"/>
      <c r="DA863" s="323"/>
      <c r="DB863" s="1269"/>
      <c r="DC863" s="323"/>
      <c r="DD863" s="323"/>
      <c r="DE863" s="323"/>
      <c r="DF863" s="323"/>
      <c r="DG863" s="323"/>
      <c r="DH863" s="323"/>
      <c r="DI863" s="323"/>
      <c r="DJ863" s="323"/>
      <c r="DK863" s="323"/>
      <c r="DL863" s="323"/>
      <c r="DM863" s="323"/>
      <c r="DN863" s="325"/>
      <c r="DO863" s="323"/>
      <c r="DP863" s="323"/>
      <c r="DQ863" s="323"/>
      <c r="DR863" s="323"/>
      <c r="DS863" s="323"/>
      <c r="DT863" s="323"/>
      <c r="DU863" s="323"/>
      <c r="DV863" s="323"/>
      <c r="DW863" s="323"/>
      <c r="DX863" s="323"/>
      <c r="DY863" s="323"/>
      <c r="DZ863" s="325"/>
      <c r="EA863" s="323"/>
      <c r="EB863" s="323"/>
      <c r="EC863" s="323"/>
      <c r="ED863" s="323"/>
      <c r="EE863" s="323"/>
      <c r="EF863" s="323"/>
      <c r="EG863" s="323"/>
      <c r="EH863" s="323"/>
      <c r="EI863" s="323"/>
      <c r="EJ863" s="323"/>
      <c r="EK863" s="323"/>
      <c r="EL863" s="325"/>
      <c r="EM863" s="323"/>
      <c r="EN863" s="323"/>
      <c r="EO863" s="323"/>
      <c r="EP863" s="323"/>
      <c r="EQ863" s="323"/>
      <c r="ER863" s="323"/>
      <c r="ES863" s="323"/>
      <c r="ET863" s="323"/>
      <c r="EU863" s="323"/>
      <c r="EV863" s="323"/>
      <c r="EW863" s="323"/>
      <c r="EX863" s="325"/>
      <c r="EY863" s="323"/>
      <c r="EZ863" s="323"/>
      <c r="FA863" s="323"/>
      <c r="FB863" s="323"/>
      <c r="FC863" s="323"/>
      <c r="FD863" s="323"/>
      <c r="FE863" s="323"/>
      <c r="FF863" s="323"/>
      <c r="FG863" s="323"/>
      <c r="FH863" s="323"/>
      <c r="FI863" s="323"/>
      <c r="FJ863" s="325"/>
      <c r="FK863" s="323"/>
      <c r="FL863" s="323"/>
      <c r="FM863" s="323"/>
      <c r="FN863" s="323"/>
      <c r="FO863" s="323"/>
      <c r="FP863" s="323"/>
      <c r="FQ863" s="323"/>
      <c r="FR863" s="323"/>
      <c r="FS863" s="323"/>
      <c r="FT863" s="323"/>
      <c r="FU863" s="323"/>
      <c r="FV863" s="323"/>
      <c r="FW863" s="323"/>
      <c r="FX863" s="323"/>
      <c r="FY863" s="323"/>
      <c r="FZ863" s="323"/>
      <c r="GA863" s="323"/>
      <c r="GB863" s="323"/>
      <c r="GC863" s="323"/>
      <c r="GD863" s="323"/>
      <c r="GE863" s="323"/>
      <c r="GF863" s="323"/>
      <c r="GG863" s="323"/>
      <c r="GH863" s="323"/>
      <c r="GI863" s="1654"/>
      <c r="HZ863" s="326"/>
      <c r="IA863" s="1774" t="s">
        <v>3308</v>
      </c>
      <c r="IB863" s="284"/>
      <c r="ID863" s="323"/>
      <c r="IG863" s="323"/>
      <c r="IH863" s="284"/>
      <c r="IJ863" s="323"/>
      <c r="IK863" s="327"/>
      <c r="IM863" s="323"/>
      <c r="IP863" s="323"/>
      <c r="IQ863" s="327"/>
      <c r="IR863" s="327"/>
      <c r="IS863" s="323"/>
      <c r="IT863" s="327"/>
      <c r="IU863" s="327"/>
      <c r="IV863" s="323"/>
      <c r="IW863" s="327"/>
      <c r="IX863" s="327"/>
      <c r="IY863" s="323"/>
      <c r="IZ863" s="327">
        <f t="shared" si="1439"/>
        <v>0</v>
      </c>
      <c r="JA863" s="327">
        <f t="shared" si="1440"/>
        <v>0</v>
      </c>
      <c r="JB863" s="323">
        <f t="shared" si="1458"/>
        <v>0</v>
      </c>
      <c r="JC863" s="327">
        <f t="shared" si="1615"/>
        <v>0</v>
      </c>
      <c r="JD863" s="327">
        <f t="shared" si="1616"/>
        <v>0</v>
      </c>
      <c r="JE863" s="323">
        <f t="shared" si="1459"/>
        <v>0</v>
      </c>
      <c r="JF863" s="327">
        <f t="shared" si="1602"/>
        <v>0</v>
      </c>
      <c r="JG863" s="327">
        <f t="shared" si="1372"/>
        <v>0</v>
      </c>
      <c r="JH863" s="323">
        <f t="shared" si="1406"/>
        <v>0</v>
      </c>
      <c r="JI863" s="327">
        <f t="shared" si="1476"/>
        <v>0</v>
      </c>
      <c r="JJ863" s="327">
        <f t="shared" si="1405"/>
        <v>0</v>
      </c>
      <c r="JK863" s="323">
        <f t="shared" si="1398"/>
        <v>0</v>
      </c>
      <c r="JL863" s="327">
        <f t="shared" si="1407"/>
        <v>0</v>
      </c>
      <c r="JN863" s="323">
        <f>FISC!AK1169</f>
        <v>0</v>
      </c>
      <c r="JO863" s="327"/>
      <c r="JQ863" s="323">
        <f>FISC!AL1169</f>
        <v>0</v>
      </c>
      <c r="JT863" s="323">
        <f>FISC!AM1169</f>
        <v>0</v>
      </c>
      <c r="JW863" s="323">
        <f>FISC!AN1169</f>
        <v>0</v>
      </c>
      <c r="JZ863" s="323">
        <f>FISC!AO1169</f>
        <v>0</v>
      </c>
      <c r="KC863" s="323">
        <f>FISC!AP1169</f>
        <v>0</v>
      </c>
      <c r="KF863" s="323">
        <f>FISC!AQ1169</f>
        <v>0</v>
      </c>
      <c r="KI863" s="323">
        <f>FISC!AR1169</f>
        <v>0</v>
      </c>
      <c r="KL863" s="323">
        <f>FISC!AS1169</f>
        <v>0</v>
      </c>
      <c r="KO863" s="323">
        <f>FISC!AT1169</f>
        <v>0</v>
      </c>
      <c r="KU863" s="326"/>
      <c r="KV863" s="327"/>
    </row>
    <row r="864" spans="1:314">
      <c r="A864" s="279"/>
      <c r="D864" s="1393" t="s">
        <v>3687</v>
      </c>
      <c r="E864" s="323"/>
      <c r="F864" s="323"/>
      <c r="G864" s="323"/>
      <c r="H864" s="323"/>
      <c r="I864" s="323"/>
      <c r="J864" s="323"/>
      <c r="K864" s="323"/>
      <c r="L864" s="323"/>
      <c r="M864" s="323"/>
      <c r="N864" s="323"/>
      <c r="O864" s="323"/>
      <c r="P864" s="323"/>
      <c r="Q864" s="323"/>
      <c r="R864" s="323"/>
      <c r="S864" s="323"/>
      <c r="T864" s="323"/>
      <c r="U864" s="323"/>
      <c r="V864" s="323"/>
      <c r="W864" s="323"/>
      <c r="X864" s="323"/>
      <c r="Y864" s="323"/>
      <c r="Z864" s="323"/>
      <c r="AA864" s="323"/>
      <c r="AB864" s="323"/>
      <c r="AC864" s="323"/>
      <c r="AD864" s="323"/>
      <c r="AE864" s="323"/>
      <c r="AF864" s="323"/>
      <c r="AG864" s="323"/>
      <c r="AH864" s="323"/>
      <c r="AI864" s="323"/>
      <c r="AJ864" s="323"/>
      <c r="AK864" s="323"/>
      <c r="AL864" s="323"/>
      <c r="AM864" s="323"/>
      <c r="AN864" s="323"/>
      <c r="AO864" s="323"/>
      <c r="AP864" s="323"/>
      <c r="AQ864" s="323"/>
      <c r="AR864" s="323"/>
      <c r="AS864" s="323"/>
      <c r="AT864" s="323"/>
      <c r="AU864" s="323"/>
      <c r="AV864" s="323"/>
      <c r="AW864" s="323"/>
      <c r="AX864" s="323"/>
      <c r="AY864" s="323"/>
      <c r="AZ864" s="323"/>
      <c r="BA864" s="323"/>
      <c r="BB864" s="323"/>
      <c r="BC864" s="323"/>
      <c r="BD864" s="323"/>
      <c r="BE864" s="323"/>
      <c r="BF864" s="323"/>
      <c r="BG864" s="323"/>
      <c r="BH864" s="323"/>
      <c r="BI864" s="323"/>
      <c r="BJ864" s="323"/>
      <c r="BK864" s="323"/>
      <c r="BL864" s="323"/>
      <c r="BM864" s="323"/>
      <c r="BN864" s="323"/>
      <c r="BO864" s="323"/>
      <c r="BP864" s="323"/>
      <c r="BQ864" s="323"/>
      <c r="BR864" s="323"/>
      <c r="BS864" s="323"/>
      <c r="BT864" s="323"/>
      <c r="BU864" s="323"/>
      <c r="BV864" s="323"/>
      <c r="BW864" s="323"/>
      <c r="BX864" s="323"/>
      <c r="BY864" s="323"/>
      <c r="BZ864" s="323"/>
      <c r="CA864" s="323"/>
      <c r="CB864" s="323"/>
      <c r="CC864" s="323"/>
      <c r="CD864" s="329"/>
      <c r="CE864" s="323"/>
      <c r="CF864" s="323"/>
      <c r="CG864" s="323"/>
      <c r="CH864" s="323"/>
      <c r="CI864" s="323"/>
      <c r="CJ864" s="323"/>
      <c r="CK864" s="323"/>
      <c r="CL864" s="323"/>
      <c r="CM864" s="323"/>
      <c r="CN864" s="323"/>
      <c r="CO864" s="323"/>
      <c r="CP864" s="325"/>
      <c r="CQ864" s="323"/>
      <c r="CR864" s="323"/>
      <c r="CS864" s="323"/>
      <c r="CT864" s="323"/>
      <c r="CU864" s="323"/>
      <c r="CV864" s="323"/>
      <c r="CW864" s="323"/>
      <c r="CX864" s="323"/>
      <c r="CY864" s="323"/>
      <c r="CZ864" s="323"/>
      <c r="DA864" s="323"/>
      <c r="DB864" s="1269"/>
      <c r="DC864" s="323"/>
      <c r="DD864" s="323"/>
      <c r="DE864" s="323"/>
      <c r="DF864" s="323"/>
      <c r="DG864" s="323"/>
      <c r="DH864" s="323"/>
      <c r="DI864" s="323"/>
      <c r="DJ864" s="323"/>
      <c r="DK864" s="323"/>
      <c r="DL864" s="323"/>
      <c r="DM864" s="323"/>
      <c r="DN864" s="325"/>
      <c r="DO864" s="323"/>
      <c r="DP864" s="323"/>
      <c r="DQ864" s="323"/>
      <c r="DR864" s="323"/>
      <c r="DS864" s="323"/>
      <c r="DT864" s="323"/>
      <c r="DU864" s="323"/>
      <c r="DV864" s="323"/>
      <c r="DW864" s="323"/>
      <c r="DX864" s="323"/>
      <c r="DY864" s="323"/>
      <c r="DZ864" s="325"/>
      <c r="EA864" s="323"/>
      <c r="EB864" s="323"/>
      <c r="EC864" s="323"/>
      <c r="ED864" s="323"/>
      <c r="EE864" s="323"/>
      <c r="EF864" s="323"/>
      <c r="EG864" s="323"/>
      <c r="EH864" s="323"/>
      <c r="EI864" s="323"/>
      <c r="EJ864" s="323"/>
      <c r="EK864" s="323"/>
      <c r="EL864" s="325"/>
      <c r="EM864" s="323"/>
      <c r="EN864" s="323"/>
      <c r="EO864" s="323"/>
      <c r="EP864" s="323"/>
      <c r="EQ864" s="323"/>
      <c r="ER864" s="323"/>
      <c r="ES864" s="323"/>
      <c r="ET864" s="323"/>
      <c r="EU864" s="323"/>
      <c r="EV864" s="323"/>
      <c r="EW864" s="323"/>
      <c r="EX864" s="325"/>
      <c r="EY864" s="323"/>
      <c r="EZ864" s="323"/>
      <c r="FA864" s="323"/>
      <c r="FB864" s="323"/>
      <c r="FC864" s="323"/>
      <c r="FD864" s="323"/>
      <c r="FE864" s="323"/>
      <c r="FF864" s="323"/>
      <c r="FG864" s="323"/>
      <c r="FH864" s="323"/>
      <c r="FI864" s="323"/>
      <c r="FJ864" s="325"/>
      <c r="FK864" s="323"/>
      <c r="FL864" s="323"/>
      <c r="FM864" s="323"/>
      <c r="FN864" s="323"/>
      <c r="FO864" s="323"/>
      <c r="FP864" s="323"/>
      <c r="FQ864" s="323"/>
      <c r="FR864" s="323"/>
      <c r="FS864" s="323"/>
      <c r="FT864" s="323"/>
      <c r="FU864" s="323"/>
      <c r="FV864" s="323"/>
      <c r="FW864" s="323"/>
      <c r="FX864" s="323"/>
      <c r="FY864" s="323"/>
      <c r="FZ864" s="323"/>
      <c r="GA864" s="323"/>
      <c r="GB864" s="323"/>
      <c r="GC864" s="323"/>
      <c r="GD864" s="323"/>
      <c r="GE864" s="323"/>
      <c r="GF864" s="323"/>
      <c r="GG864" s="323"/>
      <c r="GH864" s="323"/>
      <c r="GI864" s="1654"/>
      <c r="HZ864" s="326"/>
      <c r="IA864" s="1774" t="s">
        <v>3687</v>
      </c>
      <c r="IB864" s="284"/>
      <c r="ID864" s="323"/>
      <c r="IG864" s="323"/>
      <c r="IH864" s="284"/>
      <c r="IJ864" s="323"/>
      <c r="IK864" s="327"/>
      <c r="IM864" s="323"/>
      <c r="IP864" s="323"/>
      <c r="IQ864" s="327"/>
      <c r="IR864" s="327"/>
      <c r="IS864" s="323"/>
      <c r="IT864" s="327"/>
      <c r="IU864" s="327"/>
      <c r="IV864" s="323"/>
      <c r="IW864" s="327"/>
      <c r="IX864" s="327"/>
      <c r="IY864" s="323"/>
      <c r="IZ864" s="327"/>
      <c r="JA864" s="327"/>
      <c r="JB864" s="323"/>
      <c r="JC864" s="327">
        <f t="shared" si="1615"/>
        <v>0</v>
      </c>
      <c r="JD864" s="327">
        <f t="shared" si="1616"/>
        <v>0</v>
      </c>
      <c r="JE864" s="323">
        <f t="shared" si="1459"/>
        <v>0</v>
      </c>
      <c r="JF864" s="327">
        <f t="shared" si="1602"/>
        <v>0</v>
      </c>
      <c r="JG864" s="327">
        <f t="shared" si="1372"/>
        <v>0</v>
      </c>
      <c r="JH864" s="323">
        <f t="shared" si="1406"/>
        <v>0</v>
      </c>
      <c r="JI864" s="327">
        <f t="shared" si="1476"/>
        <v>0</v>
      </c>
      <c r="JJ864" s="327">
        <f t="shared" si="1405"/>
        <v>0</v>
      </c>
      <c r="JK864" s="323">
        <f t="shared" si="1398"/>
        <v>0</v>
      </c>
      <c r="JL864" s="327">
        <f t="shared" si="1407"/>
        <v>0</v>
      </c>
      <c r="JN864" s="323" t="e">
        <f>FISC!#REF!</f>
        <v>#REF!</v>
      </c>
      <c r="JO864" s="327"/>
      <c r="JQ864" s="323" t="e">
        <f>FISC!#REF!</f>
        <v>#REF!</v>
      </c>
      <c r="JT864" s="323" t="e">
        <f>FISC!#REF!</f>
        <v>#REF!</v>
      </c>
      <c r="JW864" s="323" t="e">
        <f>FISC!#REF!</f>
        <v>#REF!</v>
      </c>
      <c r="JZ864" s="323" t="e">
        <f>FISC!#REF!</f>
        <v>#REF!</v>
      </c>
      <c r="KC864" s="323" t="e">
        <f>FISC!#REF!</f>
        <v>#REF!</v>
      </c>
      <c r="KF864" s="323" t="e">
        <f>FISC!#REF!</f>
        <v>#REF!</v>
      </c>
      <c r="KI864" s="323" t="e">
        <f>FISC!#REF!</f>
        <v>#REF!</v>
      </c>
      <c r="KL864" s="323" t="e">
        <f>FISC!#REF!</f>
        <v>#REF!</v>
      </c>
      <c r="KO864" s="323" t="e">
        <f>FISC!#REF!</f>
        <v>#REF!</v>
      </c>
      <c r="KU864" s="326"/>
      <c r="KV864" s="327"/>
    </row>
    <row r="865" spans="1:308">
      <c r="A865" s="279"/>
      <c r="D865" s="1393" t="s">
        <v>3307</v>
      </c>
      <c r="E865" s="323"/>
      <c r="F865" s="323"/>
      <c r="G865" s="323"/>
      <c r="H865" s="323"/>
      <c r="I865" s="323"/>
      <c r="J865" s="323"/>
      <c r="K865" s="323"/>
      <c r="L865" s="323"/>
      <c r="M865" s="323"/>
      <c r="N865" s="323"/>
      <c r="O865" s="323"/>
      <c r="P865" s="323"/>
      <c r="Q865" s="323"/>
      <c r="R865" s="323"/>
      <c r="S865" s="323"/>
      <c r="T865" s="323"/>
      <c r="U865" s="323"/>
      <c r="V865" s="323"/>
      <c r="W865" s="323"/>
      <c r="X865" s="323"/>
      <c r="Y865" s="323"/>
      <c r="Z865" s="323"/>
      <c r="AA865" s="323"/>
      <c r="AB865" s="323"/>
      <c r="AC865" s="323"/>
      <c r="AD865" s="323"/>
      <c r="AE865" s="323"/>
      <c r="AF865" s="323"/>
      <c r="AG865" s="323"/>
      <c r="AH865" s="323"/>
      <c r="AI865" s="323"/>
      <c r="AJ865" s="323"/>
      <c r="AK865" s="323"/>
      <c r="AL865" s="323"/>
      <c r="AM865" s="323"/>
      <c r="AN865" s="323"/>
      <c r="AO865" s="323"/>
      <c r="AP865" s="323"/>
      <c r="AQ865" s="323"/>
      <c r="AR865" s="323"/>
      <c r="AS865" s="323"/>
      <c r="AT865" s="323"/>
      <c r="AU865" s="323"/>
      <c r="AV865" s="323"/>
      <c r="AW865" s="323"/>
      <c r="AX865" s="323"/>
      <c r="AY865" s="323"/>
      <c r="AZ865" s="323"/>
      <c r="BA865" s="323"/>
      <c r="BB865" s="323"/>
      <c r="BC865" s="323"/>
      <c r="BD865" s="323"/>
      <c r="BE865" s="323"/>
      <c r="BF865" s="323"/>
      <c r="BG865" s="323"/>
      <c r="BH865" s="323"/>
      <c r="BI865" s="323"/>
      <c r="BJ865" s="323"/>
      <c r="BK865" s="323"/>
      <c r="BL865" s="323"/>
      <c r="BM865" s="323"/>
      <c r="BN865" s="323"/>
      <c r="BO865" s="323"/>
      <c r="BP865" s="323"/>
      <c r="BQ865" s="323"/>
      <c r="BR865" s="323"/>
      <c r="BS865" s="323"/>
      <c r="BT865" s="323"/>
      <c r="BU865" s="323"/>
      <c r="BV865" s="323"/>
      <c r="BW865" s="323"/>
      <c r="BX865" s="323"/>
      <c r="BY865" s="323"/>
      <c r="BZ865" s="323"/>
      <c r="CA865" s="323"/>
      <c r="CB865" s="323"/>
      <c r="CC865" s="323"/>
      <c r="CD865" s="329"/>
      <c r="CE865" s="323"/>
      <c r="CF865" s="323"/>
      <c r="CG865" s="323"/>
      <c r="CH865" s="323"/>
      <c r="CI865" s="323"/>
      <c r="CJ865" s="323"/>
      <c r="CK865" s="323"/>
      <c r="CL865" s="323"/>
      <c r="CM865" s="323"/>
      <c r="CN865" s="323"/>
      <c r="CO865" s="323"/>
      <c r="CP865" s="325"/>
      <c r="CQ865" s="323"/>
      <c r="CR865" s="323"/>
      <c r="CS865" s="323"/>
      <c r="CT865" s="323"/>
      <c r="CU865" s="323"/>
      <c r="CV865" s="323"/>
      <c r="CW865" s="323"/>
      <c r="CX865" s="323"/>
      <c r="CY865" s="323"/>
      <c r="CZ865" s="323"/>
      <c r="DA865" s="323"/>
      <c r="DB865" s="1269"/>
      <c r="DC865" s="323"/>
      <c r="DD865" s="323"/>
      <c r="DE865" s="323"/>
      <c r="DF865" s="323"/>
      <c r="DG865" s="323"/>
      <c r="DH865" s="323"/>
      <c r="DI865" s="323"/>
      <c r="DJ865" s="323"/>
      <c r="DK865" s="323"/>
      <c r="DL865" s="323"/>
      <c r="DM865" s="323"/>
      <c r="DN865" s="325"/>
      <c r="DO865" s="323"/>
      <c r="DP865" s="323"/>
      <c r="DQ865" s="323"/>
      <c r="DR865" s="323"/>
      <c r="DS865" s="323"/>
      <c r="DT865" s="323"/>
      <c r="DU865" s="323"/>
      <c r="DV865" s="323"/>
      <c r="DW865" s="323"/>
      <c r="DX865" s="323"/>
      <c r="DY865" s="323"/>
      <c r="DZ865" s="325"/>
      <c r="EA865" s="323"/>
      <c r="EB865" s="323"/>
      <c r="EC865" s="323"/>
      <c r="ED865" s="323"/>
      <c r="EE865" s="323"/>
      <c r="EF865" s="323"/>
      <c r="EG865" s="323"/>
      <c r="EH865" s="323"/>
      <c r="EI865" s="323"/>
      <c r="EJ865" s="323"/>
      <c r="EK865" s="323"/>
      <c r="EL865" s="325"/>
      <c r="EM865" s="323"/>
      <c r="EN865" s="323"/>
      <c r="EO865" s="323"/>
      <c r="EP865" s="323"/>
      <c r="EQ865" s="323"/>
      <c r="ER865" s="323"/>
      <c r="ES865" s="323"/>
      <c r="ET865" s="323"/>
      <c r="EU865" s="323"/>
      <c r="EV865" s="323"/>
      <c r="EW865" s="323"/>
      <c r="EX865" s="325"/>
      <c r="EY865" s="323"/>
      <c r="EZ865" s="323"/>
      <c r="FA865" s="323"/>
      <c r="FB865" s="323"/>
      <c r="FC865" s="323"/>
      <c r="FD865" s="323"/>
      <c r="FE865" s="323"/>
      <c r="FF865" s="323"/>
      <c r="FG865" s="323"/>
      <c r="FH865" s="323"/>
      <c r="FI865" s="323"/>
      <c r="FJ865" s="325"/>
      <c r="FK865" s="323"/>
      <c r="FL865" s="323"/>
      <c r="FM865" s="323"/>
      <c r="FN865" s="323"/>
      <c r="FO865" s="323"/>
      <c r="FP865" s="323"/>
      <c r="FQ865" s="323"/>
      <c r="FR865" s="323"/>
      <c r="FS865" s="323"/>
      <c r="FT865" s="323"/>
      <c r="FU865" s="323"/>
      <c r="FV865" s="323"/>
      <c r="FW865" s="323"/>
      <c r="FX865" s="323"/>
      <c r="FY865" s="323"/>
      <c r="FZ865" s="323"/>
      <c r="GA865" s="323"/>
      <c r="GB865" s="323"/>
      <c r="GC865" s="323"/>
      <c r="GD865" s="323"/>
      <c r="GE865" s="323"/>
      <c r="GF865" s="323"/>
      <c r="GG865" s="323"/>
      <c r="GH865" s="323"/>
      <c r="GI865" s="1654"/>
      <c r="HZ865" s="326"/>
      <c r="IA865" s="1774" t="s">
        <v>3307</v>
      </c>
      <c r="IB865" s="284"/>
      <c r="ID865" s="323"/>
      <c r="IG865" s="323"/>
      <c r="IH865" s="284"/>
      <c r="IJ865" s="323"/>
      <c r="IK865" s="327"/>
      <c r="IM865" s="323"/>
      <c r="IP865" s="323"/>
      <c r="IQ865" s="327"/>
      <c r="IR865" s="327"/>
      <c r="IS865" s="323"/>
      <c r="IT865" s="327"/>
      <c r="IU865" s="327"/>
      <c r="IV865" s="323"/>
      <c r="IW865" s="327"/>
      <c r="IX865" s="327"/>
      <c r="IY865" s="323"/>
      <c r="IZ865" s="327"/>
      <c r="JA865" s="327"/>
      <c r="JB865" s="323"/>
      <c r="JC865" s="327">
        <f>JE81/2</f>
        <v>0</v>
      </c>
      <c r="JD865" s="327">
        <f t="shared" si="1616"/>
        <v>0</v>
      </c>
      <c r="JE865" s="323">
        <f t="shared" si="1459"/>
        <v>0</v>
      </c>
      <c r="JF865" s="327">
        <f t="shared" si="1602"/>
        <v>0</v>
      </c>
      <c r="JG865" s="327">
        <f t="shared" si="1372"/>
        <v>0</v>
      </c>
      <c r="JH865" s="323">
        <f t="shared" si="1406"/>
        <v>0</v>
      </c>
      <c r="JI865" s="327">
        <f t="shared" si="1476"/>
        <v>0</v>
      </c>
      <c r="JJ865" s="327">
        <f t="shared" si="1405"/>
        <v>0</v>
      </c>
      <c r="JK865" s="323">
        <f t="shared" si="1398"/>
        <v>0</v>
      </c>
      <c r="JL865" s="327">
        <f t="shared" si="1407"/>
        <v>0</v>
      </c>
      <c r="JN865" s="323">
        <f>FISC!AK1184</f>
        <v>0</v>
      </c>
      <c r="JO865" s="327"/>
      <c r="JQ865" s="323">
        <f>FISC!AL1184</f>
        <v>0</v>
      </c>
      <c r="JS865" s="1678"/>
      <c r="JT865" s="323">
        <f>FISC!AM1184</f>
        <v>0</v>
      </c>
      <c r="JW865" s="323">
        <f>FISC!AN1184</f>
        <v>0</v>
      </c>
      <c r="JZ865" s="323">
        <f>FISC!AO1184</f>
        <v>0</v>
      </c>
      <c r="KC865" s="323">
        <f>FISC!AP1184</f>
        <v>0</v>
      </c>
      <c r="KF865" s="323">
        <f>FISC!AQ1184</f>
        <v>0</v>
      </c>
      <c r="KI865" s="323">
        <f>FISC!AR1184</f>
        <v>0</v>
      </c>
      <c r="KL865" s="323">
        <f>FISC!AS1184</f>
        <v>0</v>
      </c>
      <c r="KO865" s="323">
        <f>FISC!AT1184</f>
        <v>0</v>
      </c>
      <c r="KU865" s="326"/>
      <c r="KV865" s="327"/>
    </row>
    <row r="866" spans="1:308" ht="15.3">
      <c r="A866" s="279"/>
      <c r="D866" s="1680" t="str">
        <f>FISC!D1185</f>
        <v>Flood response</v>
      </c>
      <c r="E866" s="323"/>
      <c r="F866" s="323"/>
      <c r="G866" s="323"/>
      <c r="H866" s="323"/>
      <c r="I866" s="323"/>
      <c r="J866" s="323"/>
      <c r="K866" s="323"/>
      <c r="L866" s="323"/>
      <c r="M866" s="323"/>
      <c r="N866" s="323"/>
      <c r="O866" s="323"/>
      <c r="P866" s="323"/>
      <c r="Q866" s="323"/>
      <c r="R866" s="323"/>
      <c r="S866" s="323"/>
      <c r="T866" s="323"/>
      <c r="U866" s="323"/>
      <c r="V866" s="323"/>
      <c r="W866" s="323"/>
      <c r="X866" s="323"/>
      <c r="Y866" s="323"/>
      <c r="Z866" s="323"/>
      <c r="AA866" s="323"/>
      <c r="AB866" s="323"/>
      <c r="AC866" s="323"/>
      <c r="AD866" s="323"/>
      <c r="AE866" s="323"/>
      <c r="AF866" s="323"/>
      <c r="AG866" s="323"/>
      <c r="AH866" s="323"/>
      <c r="AI866" s="323"/>
      <c r="AJ866" s="323"/>
      <c r="AK866" s="323"/>
      <c r="AL866" s="323"/>
      <c r="AM866" s="323"/>
      <c r="AN866" s="323"/>
      <c r="AO866" s="323"/>
      <c r="AP866" s="323"/>
      <c r="AQ866" s="323"/>
      <c r="AR866" s="323"/>
      <c r="AS866" s="323"/>
      <c r="AT866" s="323"/>
      <c r="AU866" s="323"/>
      <c r="AV866" s="323"/>
      <c r="AW866" s="323"/>
      <c r="AX866" s="323"/>
      <c r="AY866" s="323"/>
      <c r="AZ866" s="323"/>
      <c r="BA866" s="323"/>
      <c r="BB866" s="323"/>
      <c r="BC866" s="323"/>
      <c r="BD866" s="323"/>
      <c r="BE866" s="323"/>
      <c r="BF866" s="323"/>
      <c r="BG866" s="323"/>
      <c r="BH866" s="323"/>
      <c r="BI866" s="323"/>
      <c r="BJ866" s="323"/>
      <c r="BK866" s="323"/>
      <c r="BL866" s="323"/>
      <c r="BM866" s="323"/>
      <c r="BN866" s="323"/>
      <c r="BO866" s="323"/>
      <c r="BP866" s="323"/>
      <c r="BQ866" s="323"/>
      <c r="BR866" s="323"/>
      <c r="BS866" s="323"/>
      <c r="BT866" s="323"/>
      <c r="BU866" s="323"/>
      <c r="BV866" s="323"/>
      <c r="BW866" s="323"/>
      <c r="BX866" s="323"/>
      <c r="BY866" s="323"/>
      <c r="BZ866" s="323"/>
      <c r="CA866" s="323"/>
      <c r="CB866" s="323"/>
      <c r="CC866" s="323"/>
      <c r="CD866" s="329"/>
      <c r="CE866" s="323"/>
      <c r="CF866" s="323"/>
      <c r="CG866" s="323"/>
      <c r="CH866" s="323"/>
      <c r="CI866" s="323"/>
      <c r="CJ866" s="323"/>
      <c r="CK866" s="323"/>
      <c r="CL866" s="323"/>
      <c r="CM866" s="323"/>
      <c r="CN866" s="323"/>
      <c r="CO866" s="323"/>
      <c r="CP866" s="325"/>
      <c r="CQ866" s="323"/>
      <c r="CR866" s="323"/>
      <c r="CS866" s="323"/>
      <c r="CT866" s="323"/>
      <c r="CU866" s="323"/>
      <c r="CV866" s="323"/>
      <c r="CW866" s="323"/>
      <c r="CX866" s="323"/>
      <c r="CY866" s="323"/>
      <c r="CZ866" s="323"/>
      <c r="DA866" s="323"/>
      <c r="DB866" s="1269"/>
      <c r="DC866" s="323"/>
      <c r="DD866" s="323"/>
      <c r="DE866" s="323"/>
      <c r="DF866" s="323"/>
      <c r="DG866" s="323"/>
      <c r="DH866" s="323"/>
      <c r="DI866" s="323"/>
      <c r="DJ866" s="323"/>
      <c r="DK866" s="323"/>
      <c r="DL866" s="323"/>
      <c r="DM866" s="323"/>
      <c r="DN866" s="325"/>
      <c r="DO866" s="323"/>
      <c r="DP866" s="323"/>
      <c r="DQ866" s="323"/>
      <c r="DR866" s="323"/>
      <c r="DS866" s="323"/>
      <c r="DT866" s="323"/>
      <c r="DU866" s="323"/>
      <c r="DV866" s="323"/>
      <c r="DW866" s="323"/>
      <c r="DX866" s="323"/>
      <c r="DY866" s="323"/>
      <c r="DZ866" s="325"/>
      <c r="EA866" s="323"/>
      <c r="EB866" s="323"/>
      <c r="EC866" s="323"/>
      <c r="ED866" s="323"/>
      <c r="EE866" s="323"/>
      <c r="EF866" s="323"/>
      <c r="EG866" s="323"/>
      <c r="EH866" s="323"/>
      <c r="EI866" s="323"/>
      <c r="EJ866" s="323"/>
      <c r="EK866" s="323"/>
      <c r="EL866" s="325"/>
      <c r="EM866" s="323"/>
      <c r="EN866" s="323"/>
      <c r="EO866" s="323"/>
      <c r="EP866" s="323"/>
      <c r="EQ866" s="323"/>
      <c r="ER866" s="323"/>
      <c r="ES866" s="323"/>
      <c r="ET866" s="323"/>
      <c r="EU866" s="323"/>
      <c r="EV866" s="323"/>
      <c r="EW866" s="323"/>
      <c r="EX866" s="325"/>
      <c r="EY866" s="323"/>
      <c r="EZ866" s="323"/>
      <c r="FA866" s="323"/>
      <c r="FB866" s="323"/>
      <c r="FC866" s="323"/>
      <c r="FD866" s="323"/>
      <c r="FE866" s="323"/>
      <c r="FF866" s="323"/>
      <c r="FG866" s="323"/>
      <c r="FH866" s="323"/>
      <c r="FI866" s="323"/>
      <c r="FJ866" s="325"/>
      <c r="FK866" s="323"/>
      <c r="FL866" s="323"/>
      <c r="FM866" s="323"/>
      <c r="FN866" s="323"/>
      <c r="FO866" s="323"/>
      <c r="FP866" s="323"/>
      <c r="FQ866" s="323"/>
      <c r="FR866" s="323"/>
      <c r="FS866" s="323"/>
      <c r="FT866" s="323"/>
      <c r="FU866" s="323"/>
      <c r="FV866" s="323"/>
      <c r="FW866" s="323"/>
      <c r="FX866" s="323"/>
      <c r="FY866" s="323"/>
      <c r="FZ866" s="323"/>
      <c r="GA866" s="323"/>
      <c r="GB866" s="323"/>
      <c r="GC866" s="323"/>
      <c r="GD866" s="323"/>
      <c r="GE866" s="323"/>
      <c r="GF866" s="323"/>
      <c r="GG866" s="323"/>
      <c r="GH866" s="323"/>
      <c r="GI866" s="1654"/>
      <c r="HZ866" s="326"/>
      <c r="IA866" s="2392" t="s">
        <v>3309</v>
      </c>
      <c r="IB866" s="284"/>
      <c r="ID866" s="323"/>
      <c r="IG866" s="323"/>
      <c r="IH866" s="284"/>
      <c r="IJ866" s="323"/>
      <c r="IK866" s="327"/>
      <c r="IM866" s="323"/>
      <c r="IP866" s="323"/>
      <c r="IQ866" s="327"/>
      <c r="IR866" s="327"/>
      <c r="IS866" s="323"/>
      <c r="IT866" s="327"/>
      <c r="IU866" s="327"/>
      <c r="IV866" s="323"/>
      <c r="IW866" s="327"/>
      <c r="IX866" s="327"/>
      <c r="IY866" s="323"/>
      <c r="IZ866" s="327"/>
      <c r="JA866" s="327"/>
      <c r="JB866" s="323"/>
      <c r="JC866" s="327">
        <v>0</v>
      </c>
      <c r="JD866" s="327">
        <f>JE866</f>
        <v>23.1</v>
      </c>
      <c r="JE866" s="323">
        <v>23.1</v>
      </c>
      <c r="JF866" s="327">
        <f t="shared" si="1602"/>
        <v>0</v>
      </c>
      <c r="JG866" s="327">
        <f t="shared" si="1372"/>
        <v>0</v>
      </c>
      <c r="JH866" s="323">
        <f t="shared" si="1406"/>
        <v>0</v>
      </c>
      <c r="JI866" s="327">
        <f t="shared" si="1476"/>
        <v>0</v>
      </c>
      <c r="JJ866" s="327">
        <f t="shared" si="1405"/>
        <v>0</v>
      </c>
      <c r="JK866" s="323">
        <f t="shared" si="1398"/>
        <v>0</v>
      </c>
      <c r="JL866" s="327">
        <f t="shared" si="1407"/>
        <v>0</v>
      </c>
      <c r="JM866" s="2044"/>
      <c r="JN866" s="323">
        <f>FISC!AK1185</f>
        <v>0</v>
      </c>
      <c r="JO866" s="327"/>
      <c r="JQ866" s="323">
        <f>FISC!AL1185</f>
        <v>0</v>
      </c>
      <c r="JT866" s="323">
        <f>FISC!AM1185</f>
        <v>0</v>
      </c>
      <c r="JW866" s="323">
        <f>FISC!AN1185</f>
        <v>0</v>
      </c>
      <c r="JZ866" s="323">
        <f>FISC!AO1185</f>
        <v>0</v>
      </c>
      <c r="KC866" s="323">
        <f>FISC!AP1185</f>
        <v>0</v>
      </c>
      <c r="KF866" s="323">
        <f>FISC!AQ1185</f>
        <v>0</v>
      </c>
      <c r="KI866" s="323">
        <f>FISC!AR1185</f>
        <v>0</v>
      </c>
      <c r="KL866" s="323">
        <f>FISC!AS1185</f>
        <v>0</v>
      </c>
      <c r="KO866" s="323">
        <f>FISC!AT1185</f>
        <v>0</v>
      </c>
      <c r="KU866" s="326"/>
      <c r="KV866" s="327"/>
    </row>
    <row r="867" spans="1:308" ht="15.3">
      <c r="A867" s="279"/>
      <c r="D867" s="1680" t="str">
        <f>FISC!D1186</f>
        <v xml:space="preserve">UK Contigent </v>
      </c>
      <c r="E867" s="323"/>
      <c r="F867" s="323"/>
      <c r="G867" s="323"/>
      <c r="H867" s="323"/>
      <c r="I867" s="323"/>
      <c r="J867" s="323"/>
      <c r="K867" s="323"/>
      <c r="L867" s="323"/>
      <c r="M867" s="323"/>
      <c r="N867" s="323"/>
      <c r="O867" s="323"/>
      <c r="P867" s="323"/>
      <c r="Q867" s="323"/>
      <c r="R867" s="323"/>
      <c r="S867" s="323"/>
      <c r="T867" s="323"/>
      <c r="U867" s="323"/>
      <c r="V867" s="323"/>
      <c r="W867" s="323"/>
      <c r="X867" s="323"/>
      <c r="Y867" s="323"/>
      <c r="Z867" s="323"/>
      <c r="AA867" s="323"/>
      <c r="AB867" s="323"/>
      <c r="AC867" s="323"/>
      <c r="AD867" s="323"/>
      <c r="AE867" s="323"/>
      <c r="AF867" s="323"/>
      <c r="AG867" s="323"/>
      <c r="AH867" s="323"/>
      <c r="AI867" s="323"/>
      <c r="AJ867" s="323"/>
      <c r="AK867" s="323"/>
      <c r="AL867" s="323"/>
      <c r="AM867" s="323"/>
      <c r="AN867" s="323"/>
      <c r="AO867" s="323"/>
      <c r="AP867" s="323"/>
      <c r="AQ867" s="323"/>
      <c r="AR867" s="323"/>
      <c r="AS867" s="323"/>
      <c r="AT867" s="323"/>
      <c r="AU867" s="323"/>
      <c r="AV867" s="323"/>
      <c r="AW867" s="323"/>
      <c r="AX867" s="323"/>
      <c r="AY867" s="323"/>
      <c r="AZ867" s="323"/>
      <c r="BA867" s="323"/>
      <c r="BB867" s="323"/>
      <c r="BC867" s="323"/>
      <c r="BD867" s="323"/>
      <c r="BE867" s="323"/>
      <c r="BF867" s="323"/>
      <c r="BG867" s="323"/>
      <c r="BH867" s="323"/>
      <c r="BI867" s="323"/>
      <c r="BJ867" s="323"/>
      <c r="BK867" s="323"/>
      <c r="BL867" s="323"/>
      <c r="BM867" s="323"/>
      <c r="BN867" s="323"/>
      <c r="BO867" s="323"/>
      <c r="BP867" s="323"/>
      <c r="BQ867" s="323"/>
      <c r="BR867" s="323"/>
      <c r="BS867" s="323"/>
      <c r="BT867" s="323"/>
      <c r="BU867" s="323"/>
      <c r="BV867" s="323"/>
      <c r="BW867" s="323"/>
      <c r="BX867" s="323"/>
      <c r="BY867" s="323"/>
      <c r="BZ867" s="323"/>
      <c r="CA867" s="323"/>
      <c r="CB867" s="323"/>
      <c r="CC867" s="323"/>
      <c r="CD867" s="329"/>
      <c r="CE867" s="323"/>
      <c r="CF867" s="323"/>
      <c r="CG867" s="323"/>
      <c r="CH867" s="323"/>
      <c r="CI867" s="323"/>
      <c r="CJ867" s="323"/>
      <c r="CK867" s="323"/>
      <c r="CL867" s="323"/>
      <c r="CM867" s="323"/>
      <c r="CN867" s="323"/>
      <c r="CO867" s="323"/>
      <c r="CP867" s="325"/>
      <c r="CQ867" s="323"/>
      <c r="CR867" s="323"/>
      <c r="CS867" s="323"/>
      <c r="CT867" s="323"/>
      <c r="CU867" s="323"/>
      <c r="CV867" s="323"/>
      <c r="CW867" s="323"/>
      <c r="CX867" s="323"/>
      <c r="CY867" s="323"/>
      <c r="CZ867" s="323"/>
      <c r="DA867" s="323"/>
      <c r="DB867" s="1269"/>
      <c r="DC867" s="323"/>
      <c r="DD867" s="323"/>
      <c r="DE867" s="323"/>
      <c r="DF867" s="323"/>
      <c r="DG867" s="323"/>
      <c r="DH867" s="323"/>
      <c r="DI867" s="323"/>
      <c r="DJ867" s="323"/>
      <c r="DK867" s="323"/>
      <c r="DL867" s="323"/>
      <c r="DM867" s="323"/>
      <c r="DN867" s="325"/>
      <c r="DO867" s="323"/>
      <c r="DP867" s="323"/>
      <c r="DQ867" s="323"/>
      <c r="DR867" s="323"/>
      <c r="DS867" s="323"/>
      <c r="DT867" s="323"/>
      <c r="DU867" s="323"/>
      <c r="DV867" s="323"/>
      <c r="DW867" s="323"/>
      <c r="DX867" s="323"/>
      <c r="DY867" s="323"/>
      <c r="DZ867" s="325"/>
      <c r="EA867" s="323"/>
      <c r="EB867" s="323"/>
      <c r="EC867" s="323"/>
      <c r="ED867" s="323"/>
      <c r="EE867" s="323"/>
      <c r="EF867" s="323"/>
      <c r="EG867" s="323"/>
      <c r="EH867" s="323"/>
      <c r="EI867" s="323"/>
      <c r="EJ867" s="323"/>
      <c r="EK867" s="323"/>
      <c r="EL867" s="325"/>
      <c r="EM867" s="323"/>
      <c r="EN867" s="323"/>
      <c r="EO867" s="323"/>
      <c r="EP867" s="323"/>
      <c r="EQ867" s="323"/>
      <c r="ER867" s="323"/>
      <c r="ES867" s="323"/>
      <c r="ET867" s="323"/>
      <c r="EU867" s="323"/>
      <c r="EV867" s="323"/>
      <c r="EW867" s="323"/>
      <c r="EX867" s="325"/>
      <c r="EY867" s="323"/>
      <c r="EZ867" s="323"/>
      <c r="FA867" s="323"/>
      <c r="FB867" s="323"/>
      <c r="FC867" s="323"/>
      <c r="FD867" s="323"/>
      <c r="FE867" s="323"/>
      <c r="FF867" s="323"/>
      <c r="FG867" s="323"/>
      <c r="FH867" s="323"/>
      <c r="FI867" s="323"/>
      <c r="FJ867" s="325"/>
      <c r="FK867" s="323"/>
      <c r="FL867" s="323"/>
      <c r="FM867" s="323"/>
      <c r="FN867" s="323"/>
      <c r="FO867" s="323"/>
      <c r="FP867" s="323"/>
      <c r="FQ867" s="323"/>
      <c r="FR867" s="323"/>
      <c r="FS867" s="323"/>
      <c r="FT867" s="323"/>
      <c r="FU867" s="323"/>
      <c r="FV867" s="323"/>
      <c r="FW867" s="323"/>
      <c r="FX867" s="323"/>
      <c r="FY867" s="323"/>
      <c r="FZ867" s="323"/>
      <c r="GA867" s="323"/>
      <c r="GB867" s="323"/>
      <c r="GC867" s="323"/>
      <c r="GD867" s="323"/>
      <c r="GE867" s="323"/>
      <c r="GF867" s="323"/>
      <c r="GG867" s="323"/>
      <c r="GH867" s="323"/>
      <c r="GI867" s="1654"/>
      <c r="HZ867" s="326"/>
      <c r="IA867" s="2393" t="s">
        <v>3504</v>
      </c>
      <c r="IB867" s="284"/>
      <c r="ID867" s="323"/>
      <c r="IG867" s="323"/>
      <c r="IH867" s="284"/>
      <c r="IJ867" s="323"/>
      <c r="IK867" s="327"/>
      <c r="IM867" s="323"/>
      <c r="IP867" s="323"/>
      <c r="IQ867" s="327"/>
      <c r="IR867" s="327"/>
      <c r="IS867" s="323"/>
      <c r="IT867" s="327"/>
      <c r="IU867" s="327"/>
      <c r="IV867" s="323"/>
      <c r="IW867" s="327"/>
      <c r="IX867" s="327"/>
      <c r="IY867" s="323"/>
      <c r="IZ867" s="327"/>
      <c r="JA867" s="327"/>
      <c r="JB867" s="323"/>
      <c r="JC867" s="327">
        <f>JE867</f>
        <v>0</v>
      </c>
      <c r="JD867" s="327">
        <f t="shared" ref="JD867:JD883" si="1617">SUM(GO867:GT867)</f>
        <v>0</v>
      </c>
      <c r="JE867" s="323"/>
      <c r="JF867" s="327">
        <f t="shared" si="1602"/>
        <v>0</v>
      </c>
      <c r="JG867" s="327">
        <f t="shared" si="1372"/>
        <v>0</v>
      </c>
      <c r="JH867" s="323">
        <f t="shared" si="1406"/>
        <v>0</v>
      </c>
      <c r="JI867" s="327">
        <f t="shared" si="1476"/>
        <v>0</v>
      </c>
      <c r="JJ867" s="327">
        <f t="shared" si="1405"/>
        <v>0</v>
      </c>
      <c r="JK867" s="323">
        <f t="shared" si="1398"/>
        <v>0</v>
      </c>
      <c r="JL867" s="327">
        <f t="shared" si="1407"/>
        <v>0</v>
      </c>
      <c r="JN867" s="323">
        <f>FISC!AK1186</f>
        <v>0</v>
      </c>
      <c r="JO867" s="327"/>
      <c r="JQ867" s="323">
        <f>FISC!AL1186</f>
        <v>0</v>
      </c>
      <c r="JT867" s="323">
        <f>FISC!AM1186</f>
        <v>0</v>
      </c>
      <c r="JW867" s="323">
        <f>FISC!AN1186</f>
        <v>0</v>
      </c>
      <c r="JZ867" s="323">
        <f>FISC!AO1186</f>
        <v>0</v>
      </c>
      <c r="KC867" s="323">
        <f>FISC!AP1186</f>
        <v>0</v>
      </c>
      <c r="KF867" s="323">
        <f>FISC!AQ1186</f>
        <v>0</v>
      </c>
      <c r="KI867" s="323">
        <f>FISC!AR1186</f>
        <v>0</v>
      </c>
      <c r="KL867" s="323">
        <f>FISC!AS1186</f>
        <v>0</v>
      </c>
      <c r="KO867" s="323">
        <f>FISC!AT1186</f>
        <v>0</v>
      </c>
      <c r="KU867" s="326"/>
      <c r="KV867" s="327"/>
    </row>
    <row r="868" spans="1:308">
      <c r="A868" s="279"/>
      <c r="B868" s="96" t="s">
        <v>338</v>
      </c>
      <c r="D868" s="332" t="s">
        <v>529</v>
      </c>
      <c r="E868" s="323"/>
      <c r="F868" s="323"/>
      <c r="G868" s="323"/>
      <c r="H868" s="323"/>
      <c r="I868" s="323"/>
      <c r="J868" s="323"/>
      <c r="K868" s="323"/>
      <c r="L868" s="323"/>
      <c r="M868" s="323"/>
      <c r="N868" s="323"/>
      <c r="O868" s="323"/>
      <c r="P868" s="323"/>
      <c r="Q868" s="323"/>
      <c r="R868" s="323"/>
      <c r="S868" s="323"/>
      <c r="T868" s="323"/>
      <c r="U868" s="323"/>
      <c r="V868" s="323"/>
      <c r="W868" s="323"/>
      <c r="X868" s="323"/>
      <c r="Y868" s="323"/>
      <c r="Z868" s="323"/>
      <c r="AA868" s="323"/>
      <c r="AB868" s="323"/>
      <c r="AC868" s="323"/>
      <c r="AD868" s="323"/>
      <c r="AE868" s="323"/>
      <c r="AF868" s="323"/>
      <c r="AG868" s="323"/>
      <c r="AH868" s="323"/>
      <c r="AI868" s="323"/>
      <c r="AJ868" s="323"/>
      <c r="AK868" s="323"/>
      <c r="AL868" s="323"/>
      <c r="AM868" s="323"/>
      <c r="AN868" s="323"/>
      <c r="AO868" s="323"/>
      <c r="AP868" s="323"/>
      <c r="AQ868" s="323"/>
      <c r="AR868" s="323"/>
      <c r="AS868" s="323"/>
      <c r="AT868" s="323"/>
      <c r="AU868" s="323"/>
      <c r="AV868" s="323"/>
      <c r="AW868" s="323"/>
      <c r="AX868" s="323"/>
      <c r="AY868" s="323"/>
      <c r="AZ868" s="323"/>
      <c r="BA868" s="323"/>
      <c r="BB868" s="323"/>
      <c r="BC868" s="323"/>
      <c r="BD868" s="323"/>
      <c r="BE868" s="323"/>
      <c r="BF868" s="323"/>
      <c r="BG868" s="323">
        <v>0</v>
      </c>
      <c r="BH868" s="323">
        <v>0</v>
      </c>
      <c r="BI868" s="323">
        <v>0</v>
      </c>
      <c r="BJ868" s="323">
        <v>0</v>
      </c>
      <c r="BK868" s="323">
        <v>0</v>
      </c>
      <c r="BL868" s="323">
        <v>0</v>
      </c>
      <c r="BM868" s="323">
        <v>0</v>
      </c>
      <c r="BN868" s="323">
        <v>0</v>
      </c>
      <c r="BO868" s="323">
        <v>0</v>
      </c>
      <c r="BP868" s="323">
        <v>0</v>
      </c>
      <c r="BQ868" s="323">
        <v>0</v>
      </c>
      <c r="BR868" s="323">
        <v>0</v>
      </c>
      <c r="BS868" s="323">
        <v>0</v>
      </c>
      <c r="BT868" s="323">
        <v>0</v>
      </c>
      <c r="BU868" s="323">
        <v>0</v>
      </c>
      <c r="BV868" s="323">
        <v>0</v>
      </c>
      <c r="BW868" s="323">
        <v>0</v>
      </c>
      <c r="BX868" s="323">
        <v>0</v>
      </c>
      <c r="BY868" s="323">
        <v>0</v>
      </c>
      <c r="BZ868" s="323">
        <v>0</v>
      </c>
      <c r="CA868" s="323">
        <v>0</v>
      </c>
      <c r="CB868" s="323">
        <v>0</v>
      </c>
      <c r="CC868" s="323">
        <v>0</v>
      </c>
      <c r="CD868" s="329">
        <v>0</v>
      </c>
      <c r="CE868" s="323">
        <f t="shared" ref="CE868:DJ868" si="1618">CE452</f>
        <v>0</v>
      </c>
      <c r="CF868" s="323">
        <f t="shared" si="1618"/>
        <v>0</v>
      </c>
      <c r="CG868" s="323">
        <f t="shared" si="1618"/>
        <v>0</v>
      </c>
      <c r="CH868" s="323">
        <f t="shared" si="1618"/>
        <v>0</v>
      </c>
      <c r="CI868" s="323">
        <f t="shared" si="1618"/>
        <v>0</v>
      </c>
      <c r="CJ868" s="323">
        <f t="shared" si="1618"/>
        <v>0</v>
      </c>
      <c r="CK868" s="323">
        <f t="shared" si="1618"/>
        <v>0</v>
      </c>
      <c r="CL868" s="323">
        <f t="shared" si="1618"/>
        <v>0</v>
      </c>
      <c r="CM868" s="323">
        <f t="shared" si="1618"/>
        <v>0</v>
      </c>
      <c r="CN868" s="323">
        <f t="shared" si="1618"/>
        <v>0</v>
      </c>
      <c r="CO868" s="323">
        <f t="shared" si="1618"/>
        <v>0</v>
      </c>
      <c r="CP868" s="325">
        <f t="shared" si="1618"/>
        <v>0</v>
      </c>
      <c r="CQ868" s="323">
        <f t="shared" si="1618"/>
        <v>0</v>
      </c>
      <c r="CR868" s="323">
        <f t="shared" si="1618"/>
        <v>0</v>
      </c>
      <c r="CS868" s="323">
        <f t="shared" si="1618"/>
        <v>0</v>
      </c>
      <c r="CT868" s="323">
        <f t="shared" si="1618"/>
        <v>0</v>
      </c>
      <c r="CU868" s="323">
        <f t="shared" si="1618"/>
        <v>0</v>
      </c>
      <c r="CV868" s="323">
        <f t="shared" si="1618"/>
        <v>0</v>
      </c>
      <c r="CW868" s="323">
        <f t="shared" si="1618"/>
        <v>0</v>
      </c>
      <c r="CX868" s="323">
        <f t="shared" si="1618"/>
        <v>0</v>
      </c>
      <c r="CY868" s="323">
        <f t="shared" si="1618"/>
        <v>0</v>
      </c>
      <c r="CZ868" s="323">
        <f t="shared" si="1618"/>
        <v>0</v>
      </c>
      <c r="DA868" s="323">
        <f t="shared" si="1618"/>
        <v>0</v>
      </c>
      <c r="DB868" s="1269">
        <f t="shared" si="1618"/>
        <v>0</v>
      </c>
      <c r="DC868" s="323">
        <f t="shared" si="1618"/>
        <v>0</v>
      </c>
      <c r="DD868" s="323">
        <f t="shared" si="1618"/>
        <v>0</v>
      </c>
      <c r="DE868" s="323">
        <f t="shared" si="1618"/>
        <v>0</v>
      </c>
      <c r="DF868" s="323">
        <f t="shared" si="1618"/>
        <v>0</v>
      </c>
      <c r="DG868" s="323">
        <f t="shared" si="1618"/>
        <v>0</v>
      </c>
      <c r="DH868" s="323">
        <f t="shared" si="1618"/>
        <v>0</v>
      </c>
      <c r="DI868" s="323">
        <f t="shared" si="1618"/>
        <v>0</v>
      </c>
      <c r="DJ868" s="323">
        <f t="shared" si="1618"/>
        <v>0</v>
      </c>
      <c r="DK868" s="323">
        <f t="shared" ref="DK868:EP868" si="1619">DK452</f>
        <v>0</v>
      </c>
      <c r="DL868" s="323">
        <f t="shared" si="1619"/>
        <v>0</v>
      </c>
      <c r="DM868" s="323">
        <f t="shared" si="1619"/>
        <v>0</v>
      </c>
      <c r="DN868" s="325">
        <f t="shared" si="1619"/>
        <v>0</v>
      </c>
      <c r="DO868" s="323">
        <f t="shared" si="1619"/>
        <v>0</v>
      </c>
      <c r="DP868" s="323">
        <f t="shared" si="1619"/>
        <v>0</v>
      </c>
      <c r="DQ868" s="323">
        <f t="shared" si="1619"/>
        <v>0</v>
      </c>
      <c r="DR868" s="323">
        <f t="shared" si="1619"/>
        <v>0</v>
      </c>
      <c r="DS868" s="323">
        <f t="shared" si="1619"/>
        <v>0</v>
      </c>
      <c r="DT868" s="323">
        <f t="shared" si="1619"/>
        <v>0</v>
      </c>
      <c r="DU868" s="323">
        <f t="shared" si="1619"/>
        <v>0</v>
      </c>
      <c r="DV868" s="323">
        <f t="shared" si="1619"/>
        <v>0</v>
      </c>
      <c r="DW868" s="323">
        <f t="shared" si="1619"/>
        <v>0</v>
      </c>
      <c r="DX868" s="323">
        <f t="shared" si="1619"/>
        <v>0</v>
      </c>
      <c r="DY868" s="323">
        <f t="shared" si="1619"/>
        <v>0</v>
      </c>
      <c r="DZ868" s="325">
        <f t="shared" si="1619"/>
        <v>0</v>
      </c>
      <c r="EA868" s="323">
        <f t="shared" si="1619"/>
        <v>0</v>
      </c>
      <c r="EB868" s="323">
        <f t="shared" si="1619"/>
        <v>0</v>
      </c>
      <c r="EC868" s="323">
        <f t="shared" si="1619"/>
        <v>0</v>
      </c>
      <c r="ED868" s="323">
        <f t="shared" si="1619"/>
        <v>0</v>
      </c>
      <c r="EE868" s="323">
        <f t="shared" si="1619"/>
        <v>0</v>
      </c>
      <c r="EF868" s="323">
        <f t="shared" si="1619"/>
        <v>0</v>
      </c>
      <c r="EG868" s="323">
        <f t="shared" si="1619"/>
        <v>0</v>
      </c>
      <c r="EH868" s="323">
        <f t="shared" si="1619"/>
        <v>0</v>
      </c>
      <c r="EI868" s="323">
        <f t="shared" si="1619"/>
        <v>0</v>
      </c>
      <c r="EJ868" s="323">
        <f t="shared" si="1619"/>
        <v>0</v>
      </c>
      <c r="EK868" s="323">
        <f t="shared" si="1619"/>
        <v>0</v>
      </c>
      <c r="EL868" s="325">
        <f t="shared" si="1619"/>
        <v>0</v>
      </c>
      <c r="EM868" s="323">
        <f t="shared" si="1619"/>
        <v>0</v>
      </c>
      <c r="EN868" s="323">
        <f t="shared" si="1619"/>
        <v>0</v>
      </c>
      <c r="EO868" s="323">
        <f t="shared" si="1619"/>
        <v>0</v>
      </c>
      <c r="EP868" s="323">
        <f t="shared" si="1619"/>
        <v>0</v>
      </c>
      <c r="EQ868" s="323">
        <f t="shared" ref="EQ868:GH868" si="1620">EQ452</f>
        <v>0</v>
      </c>
      <c r="ER868" s="323">
        <f t="shared" si="1620"/>
        <v>0</v>
      </c>
      <c r="ES868" s="323">
        <f t="shared" si="1620"/>
        <v>0</v>
      </c>
      <c r="ET868" s="323">
        <f t="shared" si="1620"/>
        <v>0</v>
      </c>
      <c r="EU868" s="323">
        <f t="shared" si="1620"/>
        <v>0</v>
      </c>
      <c r="EV868" s="323">
        <f t="shared" si="1620"/>
        <v>0</v>
      </c>
      <c r="EW868" s="323">
        <f t="shared" si="1620"/>
        <v>0</v>
      </c>
      <c r="EX868" s="325">
        <f t="shared" si="1620"/>
        <v>0</v>
      </c>
      <c r="EY868" s="323">
        <f t="shared" si="1620"/>
        <v>0</v>
      </c>
      <c r="EZ868" s="323">
        <f t="shared" si="1620"/>
        <v>0</v>
      </c>
      <c r="FA868" s="323">
        <f t="shared" si="1620"/>
        <v>0</v>
      </c>
      <c r="FB868" s="323">
        <f t="shared" si="1620"/>
        <v>0</v>
      </c>
      <c r="FC868" s="323">
        <f t="shared" si="1620"/>
        <v>0</v>
      </c>
      <c r="FD868" s="323">
        <f t="shared" si="1620"/>
        <v>0</v>
      </c>
      <c r="FE868" s="323">
        <f t="shared" si="1620"/>
        <v>0</v>
      </c>
      <c r="FF868" s="323">
        <f t="shared" si="1620"/>
        <v>0</v>
      </c>
      <c r="FG868" s="323">
        <f t="shared" si="1620"/>
        <v>0</v>
      </c>
      <c r="FH868" s="323">
        <f t="shared" si="1620"/>
        <v>0</v>
      </c>
      <c r="FI868" s="323">
        <f t="shared" si="1620"/>
        <v>0</v>
      </c>
      <c r="FJ868" s="325">
        <f t="shared" si="1620"/>
        <v>0</v>
      </c>
      <c r="FK868" s="323">
        <f t="shared" si="1620"/>
        <v>0</v>
      </c>
      <c r="FL868" s="323">
        <f t="shared" si="1620"/>
        <v>0</v>
      </c>
      <c r="FM868" s="323">
        <f t="shared" si="1620"/>
        <v>0</v>
      </c>
      <c r="FN868" s="323">
        <f t="shared" si="1620"/>
        <v>0</v>
      </c>
      <c r="FO868" s="323">
        <f t="shared" si="1620"/>
        <v>0</v>
      </c>
      <c r="FP868" s="323">
        <f t="shared" si="1620"/>
        <v>0</v>
      </c>
      <c r="FQ868" s="323">
        <f t="shared" si="1620"/>
        <v>0</v>
      </c>
      <c r="FR868" s="323">
        <f t="shared" si="1620"/>
        <v>0</v>
      </c>
      <c r="FS868" s="323">
        <f t="shared" si="1620"/>
        <v>0</v>
      </c>
      <c r="FT868" s="323">
        <f t="shared" si="1620"/>
        <v>0</v>
      </c>
      <c r="FU868" s="323">
        <f t="shared" si="1620"/>
        <v>0</v>
      </c>
      <c r="FV868" s="323">
        <f t="shared" si="1620"/>
        <v>0</v>
      </c>
      <c r="FW868" s="323">
        <f t="shared" si="1620"/>
        <v>0</v>
      </c>
      <c r="FX868" s="323">
        <f t="shared" si="1620"/>
        <v>0</v>
      </c>
      <c r="FY868" s="323">
        <f t="shared" si="1620"/>
        <v>0</v>
      </c>
      <c r="FZ868" s="323">
        <f t="shared" si="1620"/>
        <v>0</v>
      </c>
      <c r="GA868" s="323">
        <f t="shared" si="1620"/>
        <v>0</v>
      </c>
      <c r="GB868" s="323">
        <f t="shared" si="1620"/>
        <v>0</v>
      </c>
      <c r="GC868" s="323">
        <f t="shared" si="1620"/>
        <v>0</v>
      </c>
      <c r="GD868" s="323">
        <f t="shared" si="1620"/>
        <v>0</v>
      </c>
      <c r="GE868" s="323">
        <f t="shared" si="1620"/>
        <v>0</v>
      </c>
      <c r="GF868" s="323">
        <f t="shared" si="1620"/>
        <v>0</v>
      </c>
      <c r="GG868" s="323">
        <f t="shared" si="1620"/>
        <v>0</v>
      </c>
      <c r="GH868" s="323">
        <f t="shared" si="1620"/>
        <v>0</v>
      </c>
      <c r="GI868" s="1654"/>
      <c r="HZ868" s="326"/>
      <c r="IA868" s="332" t="s">
        <v>529</v>
      </c>
      <c r="IB868" s="284">
        <f>SUM(CE868:CJ868)</f>
        <v>0</v>
      </c>
      <c r="IC868" s="279">
        <f>SUM(CK868:CP868)</f>
        <v>0</v>
      </c>
      <c r="ID868" s="323">
        <f>IB868+IC868</f>
        <v>0</v>
      </c>
      <c r="IE868" s="279">
        <f>SUM(CQ868:CV868)</f>
        <v>0</v>
      </c>
      <c r="IF868" s="279">
        <f>SUM(CW868:DB868)</f>
        <v>0</v>
      </c>
      <c r="IG868" s="323">
        <f>IE868+IF868</f>
        <v>0</v>
      </c>
      <c r="IH868" s="284">
        <f>SUM(DC868:DH868)</f>
        <v>0</v>
      </c>
      <c r="II868" s="279">
        <f>SUM(DI868:DN868)</f>
        <v>0</v>
      </c>
      <c r="IJ868" s="323">
        <f>IH868+II868</f>
        <v>0</v>
      </c>
      <c r="IK868" s="327">
        <f>SUM(DO868:DT868)</f>
        <v>0</v>
      </c>
      <c r="IL868" s="279">
        <f>SUM(DU868:DZ868)</f>
        <v>0</v>
      </c>
      <c r="IM868" s="323">
        <f>IK868+IL868</f>
        <v>0</v>
      </c>
      <c r="IN868" s="279">
        <f>SUM(EA868:EF868)</f>
        <v>0</v>
      </c>
      <c r="IO868" s="279">
        <f>SUM(EG868:EL868)</f>
        <v>0</v>
      </c>
      <c r="IP868" s="323">
        <f>IN868+IO868</f>
        <v>0</v>
      </c>
      <c r="IQ868" s="327">
        <f>SUM(EM868:ER868)</f>
        <v>0</v>
      </c>
      <c r="IR868" s="327">
        <f>SUM(ES868:EX868)</f>
        <v>0</v>
      </c>
      <c r="IS868" s="323">
        <f>IQ868+IR868</f>
        <v>0</v>
      </c>
      <c r="IT868" s="327">
        <f>SUM(EY868:FD868)</f>
        <v>0</v>
      </c>
      <c r="IU868" s="327">
        <f>SUM(FE868:FJ868)</f>
        <v>0</v>
      </c>
      <c r="IV868" s="323">
        <f>IT868+IU868</f>
        <v>0</v>
      </c>
      <c r="IW868" s="327">
        <f>SUM(FK868:FP868)</f>
        <v>0</v>
      </c>
      <c r="IX868" s="327">
        <f>SUM(FQ868:FV868)</f>
        <v>0</v>
      </c>
      <c r="IY868" s="323">
        <f t="shared" ref="IY868:IY953" si="1621">IW868+IX868</f>
        <v>0</v>
      </c>
      <c r="IZ868" s="327">
        <f t="shared" ref="IZ868:IZ883" si="1622">SUM(FW868:GB868)</f>
        <v>0</v>
      </c>
      <c r="JA868" s="327">
        <f t="shared" ref="JA868:JA883" si="1623">SUM(GC868:GH868)</f>
        <v>0</v>
      </c>
      <c r="JB868" s="323">
        <f t="shared" si="1458"/>
        <v>0</v>
      </c>
      <c r="JC868" s="327">
        <f t="shared" ref="JC868:JC898" si="1624">SUM(GI868:GN868)</f>
        <v>0</v>
      </c>
      <c r="JD868" s="327">
        <f t="shared" si="1617"/>
        <v>0</v>
      </c>
      <c r="JE868" s="323">
        <f t="shared" ref="JE868" si="1625">JC868+JD868</f>
        <v>0</v>
      </c>
      <c r="JF868" s="327">
        <f t="shared" si="1602"/>
        <v>0</v>
      </c>
      <c r="JG868" s="327">
        <f t="shared" si="1372"/>
        <v>0</v>
      </c>
      <c r="JH868" s="323">
        <f t="shared" si="1406"/>
        <v>0</v>
      </c>
      <c r="JI868" s="327">
        <f t="shared" si="1476"/>
        <v>0</v>
      </c>
      <c r="JJ868" s="327">
        <f t="shared" si="1405"/>
        <v>0</v>
      </c>
      <c r="JK868" s="323">
        <f t="shared" si="1398"/>
        <v>0</v>
      </c>
      <c r="JL868" s="327">
        <f t="shared" si="1407"/>
        <v>0</v>
      </c>
      <c r="JM868" s="279">
        <f>JN868-JL868</f>
        <v>0</v>
      </c>
      <c r="JN868" s="323">
        <f>FISC!AK1187</f>
        <v>0</v>
      </c>
      <c r="JO868" s="327">
        <f>JQ868*0.55</f>
        <v>0</v>
      </c>
      <c r="JP868" s="279">
        <f>JQ868-JO868</f>
        <v>0</v>
      </c>
      <c r="JQ868" s="323">
        <f>FISC!AL1187</f>
        <v>0</v>
      </c>
      <c r="JR868" s="327">
        <f>JT868*0.55</f>
        <v>0</v>
      </c>
      <c r="JS868" s="279">
        <f>JT868-JR868</f>
        <v>0</v>
      </c>
      <c r="JT868" s="323">
        <f>FISC!AM1187</f>
        <v>0</v>
      </c>
      <c r="JU868" s="327">
        <f>JW868*0.55</f>
        <v>0</v>
      </c>
      <c r="JV868" s="279">
        <f>JW868-JU868</f>
        <v>0</v>
      </c>
      <c r="JW868" s="323">
        <f>FISC!AN1187</f>
        <v>0</v>
      </c>
      <c r="JX868" s="327">
        <f>JZ868*0.55</f>
        <v>0</v>
      </c>
      <c r="JY868" s="279">
        <f>JZ868-JX868</f>
        <v>0</v>
      </c>
      <c r="JZ868" s="323">
        <f>FISC!AO1187</f>
        <v>0</v>
      </c>
      <c r="KA868" s="327">
        <f>KC868*0.55</f>
        <v>0</v>
      </c>
      <c r="KB868" s="279">
        <f>KC868-KA868</f>
        <v>0</v>
      </c>
      <c r="KC868" s="323">
        <f>FISC!AP1187</f>
        <v>0</v>
      </c>
      <c r="KD868" s="327">
        <f>KF868*0.55</f>
        <v>0</v>
      </c>
      <c r="KE868" s="279">
        <f>KF868-KD868</f>
        <v>0</v>
      </c>
      <c r="KF868" s="323">
        <f>FISC!AQ1187</f>
        <v>0</v>
      </c>
      <c r="KG868" s="327">
        <f>KI868*0.55</f>
        <v>0</v>
      </c>
      <c r="KH868" s="279">
        <f>KI868-KG868</f>
        <v>0</v>
      </c>
      <c r="KI868" s="323">
        <f>FISC!AR1187</f>
        <v>0</v>
      </c>
      <c r="KJ868" s="327">
        <f>KL868*0.55</f>
        <v>0</v>
      </c>
      <c r="KK868" s="279">
        <f>KL868-KJ868</f>
        <v>0</v>
      </c>
      <c r="KL868" s="323">
        <f>FISC!AS1187</f>
        <v>0</v>
      </c>
      <c r="KM868" s="327">
        <f>KO868*0.55</f>
        <v>0</v>
      </c>
      <c r="KN868" s="279">
        <f>KO868-KM868</f>
        <v>0</v>
      </c>
      <c r="KO868" s="323">
        <f>FISC!AT1187</f>
        <v>0</v>
      </c>
      <c r="KU868" s="326"/>
      <c r="KV868" s="327"/>
    </row>
    <row r="869" spans="1:308">
      <c r="A869" s="279"/>
      <c r="B869" s="96" t="s">
        <v>338</v>
      </c>
      <c r="D869" s="332" t="s">
        <v>512</v>
      </c>
      <c r="E869" s="323">
        <f t="shared" ref="E869:AN869" si="1626">SUM(E870:E876)</f>
        <v>0</v>
      </c>
      <c r="F869" s="323">
        <f t="shared" si="1626"/>
        <v>0</v>
      </c>
      <c r="G869" s="323">
        <f t="shared" si="1626"/>
        <v>0</v>
      </c>
      <c r="H869" s="323">
        <f t="shared" si="1626"/>
        <v>0</v>
      </c>
      <c r="I869" s="323">
        <f t="shared" si="1626"/>
        <v>0</v>
      </c>
      <c r="J869" s="323">
        <f t="shared" si="1626"/>
        <v>0</v>
      </c>
      <c r="K869" s="323">
        <f t="shared" si="1626"/>
        <v>0</v>
      </c>
      <c r="L869" s="323">
        <f t="shared" si="1626"/>
        <v>0</v>
      </c>
      <c r="M869" s="323">
        <f t="shared" si="1626"/>
        <v>0</v>
      </c>
      <c r="N869" s="323">
        <f t="shared" si="1626"/>
        <v>0</v>
      </c>
      <c r="O869" s="323">
        <f t="shared" si="1626"/>
        <v>0</v>
      </c>
      <c r="P869" s="323">
        <f t="shared" si="1626"/>
        <v>0</v>
      </c>
      <c r="Q869" s="323">
        <f t="shared" si="1626"/>
        <v>0</v>
      </c>
      <c r="R869" s="323">
        <f t="shared" si="1626"/>
        <v>0</v>
      </c>
      <c r="S869" s="323">
        <f t="shared" si="1626"/>
        <v>0</v>
      </c>
      <c r="T869" s="323">
        <f t="shared" si="1626"/>
        <v>0</v>
      </c>
      <c r="U869" s="323">
        <f t="shared" si="1626"/>
        <v>0</v>
      </c>
      <c r="V869" s="323">
        <f t="shared" si="1626"/>
        <v>0</v>
      </c>
      <c r="W869" s="323">
        <f t="shared" si="1626"/>
        <v>0</v>
      </c>
      <c r="X869" s="323">
        <f t="shared" si="1626"/>
        <v>0</v>
      </c>
      <c r="Y869" s="323">
        <f t="shared" si="1626"/>
        <v>0</v>
      </c>
      <c r="Z869" s="323">
        <f t="shared" si="1626"/>
        <v>0</v>
      </c>
      <c r="AA869" s="323">
        <f t="shared" si="1626"/>
        <v>0</v>
      </c>
      <c r="AB869" s="323">
        <f t="shared" si="1626"/>
        <v>0</v>
      </c>
      <c r="AC869" s="323">
        <f t="shared" si="1626"/>
        <v>0</v>
      </c>
      <c r="AD869" s="323">
        <f t="shared" si="1626"/>
        <v>0</v>
      </c>
      <c r="AE869" s="323">
        <f t="shared" si="1626"/>
        <v>0</v>
      </c>
      <c r="AF869" s="323">
        <f t="shared" si="1626"/>
        <v>0</v>
      </c>
      <c r="AG869" s="323">
        <f t="shared" si="1626"/>
        <v>0</v>
      </c>
      <c r="AH869" s="323">
        <f t="shared" si="1626"/>
        <v>0</v>
      </c>
      <c r="AI869" s="323">
        <f t="shared" si="1626"/>
        <v>0</v>
      </c>
      <c r="AJ869" s="323">
        <f t="shared" si="1626"/>
        <v>0</v>
      </c>
      <c r="AK869" s="323">
        <f t="shared" si="1626"/>
        <v>0</v>
      </c>
      <c r="AL869" s="323">
        <f t="shared" si="1626"/>
        <v>0</v>
      </c>
      <c r="AM869" s="323">
        <f t="shared" si="1626"/>
        <v>0</v>
      </c>
      <c r="AN869" s="323">
        <f t="shared" si="1626"/>
        <v>0</v>
      </c>
      <c r="AO869" s="323">
        <v>0.4218368758062</v>
      </c>
      <c r="AP869" s="323">
        <v>0.15930158205101999</v>
      </c>
      <c r="AQ869" s="323">
        <v>0.61614968011050009</v>
      </c>
      <c r="AR869" s="323">
        <v>0.29238099254990002</v>
      </c>
      <c r="AS869" s="323">
        <v>0.49848143689416663</v>
      </c>
      <c r="AT869" s="323">
        <v>0.27567536453119995</v>
      </c>
      <c r="AU869" s="323">
        <v>0.41900182074452003</v>
      </c>
      <c r="AV869" s="323">
        <v>5.9318858289000003E-3</v>
      </c>
      <c r="AW869" s="323">
        <v>0.31037488525610002</v>
      </c>
      <c r="AX869" s="323">
        <v>0.79970507613979092</v>
      </c>
      <c r="AY869" s="323">
        <v>0.12941338107390002</v>
      </c>
      <c r="AZ869" s="323">
        <v>0.66349748529589991</v>
      </c>
      <c r="BA869" s="323">
        <v>0.43553760418569998</v>
      </c>
      <c r="BB869" s="323">
        <v>1.0110004030600001E-2</v>
      </c>
      <c r="BC869" s="323">
        <v>0.92716271887939983</v>
      </c>
      <c r="BD869" s="323">
        <v>0.33346708193720004</v>
      </c>
      <c r="BE869" s="323">
        <v>0.16446884016910002</v>
      </c>
      <c r="BF869" s="323">
        <v>0.46283348290624249</v>
      </c>
      <c r="BG869" s="323">
        <v>0.34485740744133997</v>
      </c>
      <c r="BH869" s="323">
        <v>0.30562707834620001</v>
      </c>
      <c r="BI869" s="323">
        <v>3.3601754949219997</v>
      </c>
      <c r="BJ869" s="323">
        <v>0.59681958301269999</v>
      </c>
      <c r="BK869" s="323">
        <v>2.0890156368090151</v>
      </c>
      <c r="BL869" s="323">
        <v>1.8031393205187998</v>
      </c>
      <c r="BM869" s="323">
        <v>1.2142396788939136</v>
      </c>
      <c r="BN869" s="323">
        <v>1.3229422414755001</v>
      </c>
      <c r="BO869" s="323">
        <v>3.0085895774793001</v>
      </c>
      <c r="BP869" s="323">
        <v>0.78100995393640005</v>
      </c>
      <c r="BQ869" s="323">
        <v>0.65027402884715879</v>
      </c>
      <c r="BR869" s="323">
        <v>2.4558580965804002</v>
      </c>
      <c r="BS869" s="323">
        <v>0.45094108136100008</v>
      </c>
      <c r="BT869" s="323">
        <v>1.0678396655835001</v>
      </c>
      <c r="BU869" s="323">
        <v>1.4880671191095001</v>
      </c>
      <c r="BV869" s="323">
        <v>2.7541784805996996</v>
      </c>
      <c r="BW869" s="323">
        <v>2.2767338273769</v>
      </c>
      <c r="BX869" s="323">
        <v>1.4121463977633</v>
      </c>
      <c r="BY869" s="323">
        <v>2.270093522034367</v>
      </c>
      <c r="BZ869" s="323">
        <v>1.0974112566455481</v>
      </c>
      <c r="CA869" s="323">
        <v>2.2065212052468857</v>
      </c>
      <c r="CB869" s="323">
        <v>3.2157618047839458</v>
      </c>
      <c r="CC869" s="323">
        <v>2.047564474213543</v>
      </c>
      <c r="CD869" s="329">
        <v>3.9780344484414991</v>
      </c>
      <c r="CE869" s="323">
        <f t="shared" ref="CE869:DJ869" si="1627">CE453</f>
        <v>1.609796041207662</v>
      </c>
      <c r="CF869" s="323">
        <f t="shared" si="1627"/>
        <v>2.8524102618245348</v>
      </c>
      <c r="CG869" s="323">
        <f t="shared" si="1627"/>
        <v>2.7971942746565119</v>
      </c>
      <c r="CH869" s="323">
        <f t="shared" si="1627"/>
        <v>10.859034179375151</v>
      </c>
      <c r="CI869" s="323">
        <f t="shared" si="1627"/>
        <v>2.3939403119616838</v>
      </c>
      <c r="CJ869" s="323">
        <f t="shared" si="1627"/>
        <v>1.6320062209064963</v>
      </c>
      <c r="CK869" s="323">
        <f t="shared" si="1627"/>
        <v>1.8258375629085111</v>
      </c>
      <c r="CL869" s="323">
        <f t="shared" si="1627"/>
        <v>1.2099095125961763</v>
      </c>
      <c r="CM869" s="323">
        <f t="shared" si="1627"/>
        <v>2.958625179097079</v>
      </c>
      <c r="CN869" s="323">
        <f t="shared" si="1627"/>
        <v>11.505393079649982</v>
      </c>
      <c r="CO869" s="323">
        <f t="shared" si="1627"/>
        <v>1.6941676820614811</v>
      </c>
      <c r="CP869" s="325">
        <f t="shared" si="1627"/>
        <v>2.2384904943174666</v>
      </c>
      <c r="CQ869" s="323">
        <f t="shared" si="1627"/>
        <v>1.6860845587041022</v>
      </c>
      <c r="CR869" s="323">
        <f t="shared" si="1627"/>
        <v>2.4916075424579196</v>
      </c>
      <c r="CS869" s="323">
        <f t="shared" si="1627"/>
        <v>2.3814895858749945</v>
      </c>
      <c r="CT869" s="323">
        <f t="shared" si="1627"/>
        <v>11.364908252121625</v>
      </c>
      <c r="CU869" s="323">
        <f t="shared" si="1627"/>
        <v>2.9515366672328889</v>
      </c>
      <c r="CV869" s="323">
        <f t="shared" si="1627"/>
        <v>1.1844693454056754</v>
      </c>
      <c r="CW869" s="323">
        <f t="shared" si="1627"/>
        <v>1.2312581831084859</v>
      </c>
      <c r="CX869" s="323">
        <f t="shared" si="1627"/>
        <v>3.0364179947152299</v>
      </c>
      <c r="CY869" s="323">
        <f t="shared" si="1627"/>
        <v>2.4927100474566961</v>
      </c>
      <c r="CZ869" s="323">
        <f t="shared" si="1627"/>
        <v>12.010492029254976</v>
      </c>
      <c r="DA869" s="323">
        <f t="shared" si="1627"/>
        <v>3.1357305790531549</v>
      </c>
      <c r="DB869" s="1269">
        <f t="shared" si="1627"/>
        <v>1.9055707876982277</v>
      </c>
      <c r="DC869" s="323">
        <f t="shared" si="1627"/>
        <v>1.319552671874697</v>
      </c>
      <c r="DD869" s="323">
        <f t="shared" si="1627"/>
        <v>5.1373690910000001</v>
      </c>
      <c r="DE869" s="323">
        <f t="shared" si="1627"/>
        <v>2.9720018613999999</v>
      </c>
      <c r="DF869" s="323">
        <f t="shared" si="1627"/>
        <v>12.247483175581106</v>
      </c>
      <c r="DG869" s="323">
        <f t="shared" si="1627"/>
        <v>4.4292552779999994</v>
      </c>
      <c r="DH869" s="323">
        <f t="shared" si="1627"/>
        <v>1.487965363</v>
      </c>
      <c r="DI869" s="323">
        <f t="shared" si="1627"/>
        <v>2.1749165699884609</v>
      </c>
      <c r="DJ869" s="323">
        <f t="shared" si="1627"/>
        <v>5.4458020928694051</v>
      </c>
      <c r="DK869" s="323">
        <f t="shared" ref="DK869:EP869" si="1628">DK453</f>
        <v>2.7054398880813491</v>
      </c>
      <c r="DL869" s="323">
        <f t="shared" si="1628"/>
        <v>12.417007610781795</v>
      </c>
      <c r="DM869" s="323">
        <f t="shared" si="1628"/>
        <v>4.7381492344584499</v>
      </c>
      <c r="DN869" s="325">
        <f t="shared" si="1628"/>
        <v>1.7671193954611395</v>
      </c>
      <c r="DO869" s="323">
        <f t="shared" si="1628"/>
        <v>1.5624071460900535</v>
      </c>
      <c r="DP869" s="323">
        <f t="shared" si="1628"/>
        <v>2.5781712165179771</v>
      </c>
      <c r="DQ869" s="323">
        <f t="shared" si="1628"/>
        <v>10.308560738777594</v>
      </c>
      <c r="DR869" s="323">
        <f t="shared" si="1628"/>
        <v>12.804770040562477</v>
      </c>
      <c r="DS869" s="323">
        <f t="shared" si="1628"/>
        <v>6.9211153639897427</v>
      </c>
      <c r="DT869" s="323">
        <f t="shared" si="1628"/>
        <v>2.8734650891153914</v>
      </c>
      <c r="DU869" s="323">
        <f t="shared" si="1628"/>
        <v>3.1088051856620535</v>
      </c>
      <c r="DV869" s="323">
        <f t="shared" si="1628"/>
        <v>8.2619049010794026</v>
      </c>
      <c r="DW869" s="323">
        <f t="shared" si="1628"/>
        <v>3.466102372681549</v>
      </c>
      <c r="DX869" s="323">
        <f t="shared" si="1628"/>
        <v>15.094986895292301</v>
      </c>
      <c r="DY869" s="323">
        <f t="shared" si="1628"/>
        <v>1.9753938718579782</v>
      </c>
      <c r="DZ869" s="325">
        <f t="shared" si="1628"/>
        <v>3.2361918775691323</v>
      </c>
      <c r="EA869" s="323">
        <f t="shared" si="1628"/>
        <v>3.5015318324717364</v>
      </c>
      <c r="EB869" s="323">
        <f t="shared" si="1628"/>
        <v>9.8382652614426149</v>
      </c>
      <c r="EC869" s="323">
        <f t="shared" si="1628"/>
        <v>6.3399289731364812</v>
      </c>
      <c r="ED869" s="323">
        <f t="shared" si="1628"/>
        <v>13.964768911</v>
      </c>
      <c r="EE869" s="323">
        <f t="shared" si="1628"/>
        <v>8.0898960740000003</v>
      </c>
      <c r="EF869" s="323">
        <f t="shared" si="1628"/>
        <v>2.7822407029999998</v>
      </c>
      <c r="EG869" s="323">
        <f t="shared" si="1628"/>
        <v>3.3499686910857536</v>
      </c>
      <c r="EH869" s="323">
        <f t="shared" si="1628"/>
        <v>11.022596140739683</v>
      </c>
      <c r="EI869" s="323">
        <f t="shared" si="1628"/>
        <v>2.3467054732964439</v>
      </c>
      <c r="EJ869" s="323">
        <f t="shared" si="1628"/>
        <v>18.03617356978901</v>
      </c>
      <c r="EK869" s="323">
        <f t="shared" si="1628"/>
        <v>7.0078950868328036</v>
      </c>
      <c r="EL869" s="325">
        <f t="shared" si="1628"/>
        <v>5.2986119352560879</v>
      </c>
      <c r="EM869" s="323">
        <f t="shared" si="1628"/>
        <v>3.8486211165429598</v>
      </c>
      <c r="EN869" s="323">
        <f t="shared" si="1628"/>
        <v>10.700859893184743</v>
      </c>
      <c r="EO869" s="323">
        <f t="shared" si="1628"/>
        <v>4.6521633732603025</v>
      </c>
      <c r="EP869" s="323">
        <f t="shared" si="1628"/>
        <v>16.309403906360082</v>
      </c>
      <c r="EQ869" s="323">
        <f t="shared" ref="EQ869:GH869" si="1629">EQ453</f>
        <v>3.6079288626639343</v>
      </c>
      <c r="ER869" s="323">
        <f t="shared" si="1629"/>
        <v>11.427364020758388</v>
      </c>
      <c r="ES869" s="323">
        <f t="shared" si="1629"/>
        <v>4.599654032513925</v>
      </c>
      <c r="ET869" s="323">
        <f t="shared" si="1629"/>
        <v>11.417378753271166</v>
      </c>
      <c r="EU869" s="323">
        <f t="shared" si="1629"/>
        <v>6.4693827281148817</v>
      </c>
      <c r="EV869" s="323">
        <f t="shared" si="1629"/>
        <v>14.166945028627095</v>
      </c>
      <c r="EW869" s="323">
        <f t="shared" si="1629"/>
        <v>12.389836306088334</v>
      </c>
      <c r="EX869" s="325">
        <f t="shared" si="1629"/>
        <v>2.9029321177728376</v>
      </c>
      <c r="EY869" s="323">
        <f t="shared" si="1629"/>
        <v>4.2582108953112154</v>
      </c>
      <c r="EZ869" s="323">
        <f t="shared" si="1629"/>
        <v>15.021419806750689</v>
      </c>
      <c r="FA869" s="323">
        <f t="shared" si="1629"/>
        <v>5.9664849941384102</v>
      </c>
      <c r="FB869" s="323">
        <f t="shared" si="1629"/>
        <v>19.494149095841749</v>
      </c>
      <c r="FC869" s="323">
        <f t="shared" si="1629"/>
        <v>16.49008988651671</v>
      </c>
      <c r="FD869" s="323">
        <f t="shared" si="1629"/>
        <v>6.2893872257290457</v>
      </c>
      <c r="FE869" s="323">
        <f t="shared" si="1629"/>
        <v>6.7110417965411377</v>
      </c>
      <c r="FF869" s="323">
        <f t="shared" si="1629"/>
        <v>15.967883407616835</v>
      </c>
      <c r="FG869" s="323">
        <f t="shared" si="1629"/>
        <v>9.0334709392930357</v>
      </c>
      <c r="FH869" s="323">
        <f t="shared" si="1629"/>
        <v>21.409498307685546</v>
      </c>
      <c r="FI869" s="323">
        <f t="shared" si="1629"/>
        <v>9.427931472445044</v>
      </c>
      <c r="FJ869" s="325">
        <f t="shared" si="1629"/>
        <v>9.0492364981899645</v>
      </c>
      <c r="FK869" s="323">
        <f t="shared" si="1629"/>
        <v>6.5947894472174173</v>
      </c>
      <c r="FL869" s="323">
        <f t="shared" si="1629"/>
        <v>20.565895935460542</v>
      </c>
      <c r="FM869" s="323">
        <f t="shared" si="1629"/>
        <v>12.429435277368885</v>
      </c>
      <c r="FN869" s="323">
        <f t="shared" si="1629"/>
        <v>16.620546338643344</v>
      </c>
      <c r="FO869" s="323">
        <f t="shared" si="1629"/>
        <v>21.72806158524206</v>
      </c>
      <c r="FP869" s="323">
        <f t="shared" si="1629"/>
        <v>5.9063976818935888</v>
      </c>
      <c r="FQ869" s="323">
        <f t="shared" si="1629"/>
        <v>7.7234116519373588</v>
      </c>
      <c r="FR869" s="323">
        <f t="shared" si="1629"/>
        <v>25.884777593420942</v>
      </c>
      <c r="FS869" s="323">
        <f t="shared" si="1629"/>
        <v>13.113680258481391</v>
      </c>
      <c r="FT869" s="323">
        <f t="shared" si="1629"/>
        <v>18.082788732618027</v>
      </c>
      <c r="FU869" s="323">
        <f t="shared" si="1629"/>
        <v>24.841553885203947</v>
      </c>
      <c r="FV869" s="323">
        <f t="shared" si="1629"/>
        <v>7.1945375148176671</v>
      </c>
      <c r="FW869" s="323">
        <f t="shared" si="1629"/>
        <v>10.295539063835768</v>
      </c>
      <c r="FX869" s="323">
        <f t="shared" si="1629"/>
        <v>39.167970075463799</v>
      </c>
      <c r="FY869" s="323">
        <f t="shared" si="1629"/>
        <v>11.62923901199345</v>
      </c>
      <c r="FZ869" s="323">
        <f t="shared" si="1629"/>
        <v>4.5180598263678782</v>
      </c>
      <c r="GA869" s="323">
        <f t="shared" si="1629"/>
        <v>29.225468595148026</v>
      </c>
      <c r="GB869" s="323">
        <f t="shared" si="1629"/>
        <v>7.3349480486927394</v>
      </c>
      <c r="GC869" s="323">
        <f t="shared" si="1629"/>
        <v>8.8797004205670298</v>
      </c>
      <c r="GD869" s="323">
        <f t="shared" si="1629"/>
        <v>51.884085011702439</v>
      </c>
      <c r="GE869" s="323">
        <f t="shared" si="1629"/>
        <v>12.065713394151027</v>
      </c>
      <c r="GF869" s="323">
        <f t="shared" si="1629"/>
        <v>5.2082692012701033</v>
      </c>
      <c r="GG869" s="323">
        <f t="shared" si="1629"/>
        <v>34.678660724973334</v>
      </c>
      <c r="GH869" s="323">
        <f t="shared" si="1629"/>
        <v>5.4473070258898044</v>
      </c>
      <c r="GI869" s="1654">
        <f t="shared" ref="GI869:HR869" si="1630">GI453</f>
        <v>9.9897070448089718</v>
      </c>
      <c r="GJ869" s="1654">
        <f t="shared" si="1630"/>
        <v>59.010171550458026</v>
      </c>
      <c r="GK869" s="1654">
        <f t="shared" si="1630"/>
        <v>15.037356993349603</v>
      </c>
      <c r="GL869" s="1654">
        <f t="shared" si="1630"/>
        <v>4.8984271749860095</v>
      </c>
      <c r="GM869" s="1654">
        <f t="shared" si="1630"/>
        <v>42.644514433000012</v>
      </c>
      <c r="GN869" s="1654">
        <f t="shared" si="1630"/>
        <v>5.7326379243156538</v>
      </c>
      <c r="GO869" s="1654">
        <f t="shared" si="1630"/>
        <v>12.737969542313675</v>
      </c>
      <c r="GP869" s="1654">
        <f t="shared" si="1630"/>
        <v>65.092827532489011</v>
      </c>
      <c r="GQ869" s="1654">
        <f t="shared" si="1630"/>
        <v>16.970537585874933</v>
      </c>
      <c r="GR869" s="1654">
        <f t="shared" si="1630"/>
        <v>9.8890309096020115</v>
      </c>
      <c r="GS869" s="1654">
        <f t="shared" si="1630"/>
        <v>54.600416828589402</v>
      </c>
      <c r="GT869" s="1654">
        <f t="shared" si="1630"/>
        <v>6.8992594013140653</v>
      </c>
      <c r="GU869" s="1654">
        <f t="shared" si="1630"/>
        <v>15.022112417820438</v>
      </c>
      <c r="GV869" s="1654">
        <f t="shared" si="1630"/>
        <v>70.298226307200196</v>
      </c>
      <c r="GW869" s="1654">
        <f t="shared" si="1630"/>
        <v>15.436662169297446</v>
      </c>
      <c r="GX869" s="1654">
        <f t="shared" si="1630"/>
        <v>9.0332611239490976</v>
      </c>
      <c r="GY869" s="1654">
        <f t="shared" si="1630"/>
        <v>62.140814393254452</v>
      </c>
      <c r="GZ869" s="1654">
        <f t="shared" si="1630"/>
        <v>20.142187697150661</v>
      </c>
      <c r="HA869" s="1654">
        <f t="shared" si="1630"/>
        <v>20.40374766858961</v>
      </c>
      <c r="HB869" s="1654">
        <f t="shared" si="1630"/>
        <v>78.486753669451161</v>
      </c>
      <c r="HC869" s="1654">
        <f t="shared" si="1630"/>
        <v>16.46431260011844</v>
      </c>
      <c r="HD869" s="1654">
        <f t="shared" si="1630"/>
        <v>10.767929105274723</v>
      </c>
      <c r="HE869" s="1654">
        <f t="shared" si="1630"/>
        <v>65.730429704520603</v>
      </c>
      <c r="HF869" s="1654">
        <f t="shared" si="1630"/>
        <v>33.794247993360699</v>
      </c>
      <c r="HG869" s="1654">
        <f t="shared" si="1630"/>
        <v>21.728226095021778</v>
      </c>
      <c r="HH869" s="1654">
        <f t="shared" si="1630"/>
        <v>84.383029453342687</v>
      </c>
      <c r="HI869" s="1654">
        <f t="shared" si="1630"/>
        <v>17.086074994220311</v>
      </c>
      <c r="HJ869" s="1654">
        <f t="shared" si="1630"/>
        <v>13.086107658339365</v>
      </c>
      <c r="HK869" s="1654">
        <f t="shared" si="1630"/>
        <v>69.18838194771098</v>
      </c>
      <c r="HL869" s="1654">
        <f t="shared" si="1630"/>
        <v>27.168436258459518</v>
      </c>
      <c r="HM869" s="1654">
        <f>HM453</f>
        <v>26.018564269325807</v>
      </c>
      <c r="HN869" s="1654">
        <f t="shared" si="1630"/>
        <v>93.626243581390128</v>
      </c>
      <c r="HO869" s="1654">
        <f t="shared" si="1630"/>
        <v>17.647613942943391</v>
      </c>
      <c r="HP869" s="1654">
        <f t="shared" si="1630"/>
        <v>14.019882314781865</v>
      </c>
      <c r="HQ869" s="1654">
        <f t="shared" si="1630"/>
        <v>72.038493025417168</v>
      </c>
      <c r="HR869" s="1654">
        <f t="shared" si="1630"/>
        <v>29.87770895837977</v>
      </c>
      <c r="HS869" s="1654">
        <f t="shared" ref="HS869:HX869" si="1631">HS453</f>
        <v>23.049195652374827</v>
      </c>
      <c r="HT869" s="1654">
        <f t="shared" si="1631"/>
        <v>93.054055206315567</v>
      </c>
      <c r="HU869" s="1654">
        <f t="shared" si="1631"/>
        <v>18.829048783666558</v>
      </c>
      <c r="HV869" s="1654">
        <f t="shared" si="1631"/>
        <v>17.612073275868418</v>
      </c>
      <c r="HW869" s="1654">
        <f t="shared" si="1631"/>
        <v>74.36988517829873</v>
      </c>
      <c r="HX869" s="1654">
        <f t="shared" si="1631"/>
        <v>34.109080422750871</v>
      </c>
      <c r="HY869" s="1654"/>
      <c r="HZ869" s="326"/>
      <c r="IA869" s="332" t="s">
        <v>512</v>
      </c>
      <c r="IB869" s="284">
        <f>SUM(CE869:CJ869)</f>
        <v>22.144381289932042</v>
      </c>
      <c r="IC869" s="279">
        <f>SUM(CK869:CP869)</f>
        <v>21.432423510630695</v>
      </c>
      <c r="ID869" s="323">
        <f>IB869+IC869</f>
        <v>43.576804800562741</v>
      </c>
      <c r="IE869" s="279">
        <f>SUM(CQ869:CV869)</f>
        <v>22.060095951797205</v>
      </c>
      <c r="IF869" s="279">
        <f>SUM(CW869:DB869)</f>
        <v>23.812179621286774</v>
      </c>
      <c r="IG869" s="323">
        <f>IE869+IF869</f>
        <v>45.872275573083982</v>
      </c>
      <c r="IH869" s="284">
        <f>SUM(DC869:DH869)</f>
        <v>27.593627440855805</v>
      </c>
      <c r="II869" s="279">
        <f>SUM(DI869:DN869)</f>
        <v>29.248434791640602</v>
      </c>
      <c r="IJ869" s="323">
        <f>IH869+II869</f>
        <v>56.842062232496403</v>
      </c>
      <c r="IK869" s="327">
        <f>SUM(DO869:DT869)</f>
        <v>37.048489595053233</v>
      </c>
      <c r="IL869" s="279">
        <f>SUM(DU869:DZ869)</f>
        <v>35.143385104142418</v>
      </c>
      <c r="IM869" s="323">
        <f>IK869+IL869</f>
        <v>72.191874699195651</v>
      </c>
      <c r="IN869" s="279">
        <f>SUM(EA869:EF869)</f>
        <v>44.516631755050831</v>
      </c>
      <c r="IO869" s="279">
        <f>SUM(EG869:EL869)</f>
        <v>47.06195089699979</v>
      </c>
      <c r="IP869" s="323">
        <f>IN869+IO869</f>
        <v>91.578582652050613</v>
      </c>
      <c r="IQ869" s="327">
        <f>SUM(EM869:ER869)</f>
        <v>50.546341172770411</v>
      </c>
      <c r="IR869" s="327">
        <f>SUM(ES869:EX869)</f>
        <v>51.946128966388237</v>
      </c>
      <c r="IS869" s="323">
        <f>IQ869+IR869</f>
        <v>102.49247013915866</v>
      </c>
      <c r="IT869" s="327">
        <f>SUM(EY869:FD869)</f>
        <v>67.519741904287812</v>
      </c>
      <c r="IU869" s="327">
        <f>SUM(FE869:FJ869)</f>
        <v>71.599062421771563</v>
      </c>
      <c r="IV869" s="323">
        <f>IT869+IU869</f>
        <v>139.11880432605938</v>
      </c>
      <c r="IW869" s="327">
        <f>SUM(FK869:FP869)</f>
        <v>83.845126265825854</v>
      </c>
      <c r="IX869" s="327">
        <f>SUM(FQ869:FV869)</f>
        <v>96.840749636479345</v>
      </c>
      <c r="IY869" s="323">
        <f t="shared" si="1621"/>
        <v>180.68587590230521</v>
      </c>
      <c r="IZ869" s="327">
        <f t="shared" si="1622"/>
        <v>102.17122462150166</v>
      </c>
      <c r="JA869" s="327">
        <f t="shared" si="1623"/>
        <v>118.16373577855374</v>
      </c>
      <c r="JB869" s="323">
        <f t="shared" si="1458"/>
        <v>220.33496040005542</v>
      </c>
      <c r="JC869" s="327">
        <f t="shared" si="1624"/>
        <v>137.31281512091829</v>
      </c>
      <c r="JD869" s="327">
        <f t="shared" si="1617"/>
        <v>166.19004180018311</v>
      </c>
      <c r="JE869" s="323">
        <f t="shared" ref="JE869:JE883" si="1632">JC869+JD869</f>
        <v>303.5028569211014</v>
      </c>
      <c r="JF869" s="327">
        <f>JF870+JF876</f>
        <v>192.07326410867228</v>
      </c>
      <c r="JG869" s="327">
        <f>JG870+JG876</f>
        <v>225.64742074131522</v>
      </c>
      <c r="JH869" s="323">
        <f t="shared" si="1406"/>
        <v>417.72068484998749</v>
      </c>
      <c r="JI869" s="327">
        <f t="shared" si="1476"/>
        <v>232.64025640709463</v>
      </c>
      <c r="JJ869" s="327">
        <f t="shared" si="1405"/>
        <v>253.22850609223812</v>
      </c>
      <c r="JK869" s="323">
        <f t="shared" si="1398"/>
        <v>485.86876249933277</v>
      </c>
      <c r="JL869" s="327">
        <f t="shared" si="1407"/>
        <v>261.023338519275</v>
      </c>
      <c r="JM869" s="279">
        <f>JN869-JL869</f>
        <v>314.61506496523754</v>
      </c>
      <c r="JN869" s="323">
        <f>FISC!AK1188</f>
        <v>575.63840348451254</v>
      </c>
      <c r="JO869" s="327">
        <f>JO870+JO876</f>
        <v>341.72544281744979</v>
      </c>
      <c r="JP869" s="279">
        <f>JQ869-JO869</f>
        <v>323.4666073438359</v>
      </c>
      <c r="JQ869" s="323">
        <f>FISC!AL1188</f>
        <v>665.19205016128569</v>
      </c>
      <c r="JR869" s="327">
        <f>JR870+JR876</f>
        <v>346.02101554831893</v>
      </c>
      <c r="JS869" s="279">
        <f>JT869-JR869</f>
        <v>361.32206856329708</v>
      </c>
      <c r="JT869" s="323">
        <f>FISC!AM1188</f>
        <v>707.34308411161601</v>
      </c>
      <c r="JU869" s="327">
        <f>JU870+JU876</f>
        <v>322.19273451191486</v>
      </c>
      <c r="JV869" s="279">
        <f>JW869-JU869</f>
        <v>375.18760049986599</v>
      </c>
      <c r="JW869" s="323">
        <f>FISC!AN1188</f>
        <v>697.38033501178086</v>
      </c>
      <c r="JX869" s="327">
        <f>JX870+JX876</f>
        <v>331.265113369711</v>
      </c>
      <c r="JY869" s="279">
        <f>JZ869-JX869</f>
        <v>382.77232513844262</v>
      </c>
      <c r="JZ869" s="323">
        <f>FISC!AO1188</f>
        <v>714.03743850815363</v>
      </c>
      <c r="KA869" s="327">
        <f>KA870+KA876</f>
        <v>343.87692132867636</v>
      </c>
      <c r="KB869" s="279">
        <f>KC869-KA869</f>
        <v>531.34433645073705</v>
      </c>
      <c r="KC869" s="323">
        <f>FISC!AP1188</f>
        <v>875.22125777941335</v>
      </c>
      <c r="KD869" s="327">
        <f>KD870+KD876</f>
        <v>316.50051802646783</v>
      </c>
      <c r="KE869" s="279">
        <f>KF869-KD869</f>
        <v>757.64339689613178</v>
      </c>
      <c r="KF869" s="323">
        <f>FISC!AQ1188</f>
        <v>1074.1439149225996</v>
      </c>
      <c r="KG869" s="327">
        <f>KG870+KG876</f>
        <v>305.11723520195778</v>
      </c>
      <c r="KH869" s="279">
        <f>KI869-KG869</f>
        <v>697.6132745235177</v>
      </c>
      <c r="KI869" s="323">
        <f>FISC!AR1188</f>
        <v>1002.7305097254755</v>
      </c>
      <c r="KJ869" s="327">
        <f>KJ870+KJ876</f>
        <v>298.1343909980186</v>
      </c>
      <c r="KK869" s="279">
        <f>KL869-KJ869</f>
        <v>681.95464165965655</v>
      </c>
      <c r="KL869" s="323">
        <f>FISC!AS1188</f>
        <v>980.08903265767515</v>
      </c>
      <c r="KM869" s="327">
        <f>KM870+KM876</f>
        <v>125.923276649964</v>
      </c>
      <c r="KN869" s="279">
        <f>KO869-KM869</f>
        <v>860.41029823539589</v>
      </c>
      <c r="KO869" s="323">
        <f>FISC!AT1188</f>
        <v>986.33357488535989</v>
      </c>
      <c r="KU869" s="326"/>
      <c r="KV869" s="327"/>
    </row>
    <row r="870" spans="1:308">
      <c r="A870" s="279"/>
      <c r="B870" s="96" t="s">
        <v>338</v>
      </c>
      <c r="D870" s="334" t="s">
        <v>530</v>
      </c>
      <c r="E870" s="323"/>
      <c r="F870" s="323"/>
      <c r="G870" s="323"/>
      <c r="H870" s="323"/>
      <c r="I870" s="323"/>
      <c r="J870" s="323"/>
      <c r="K870" s="323"/>
      <c r="L870" s="323"/>
      <c r="M870" s="323"/>
      <c r="N870" s="323"/>
      <c r="O870" s="323"/>
      <c r="P870" s="323"/>
      <c r="Q870" s="323"/>
      <c r="R870" s="323"/>
      <c r="S870" s="323"/>
      <c r="T870" s="323"/>
      <c r="U870" s="323"/>
      <c r="V870" s="323"/>
      <c r="W870" s="323"/>
      <c r="X870" s="323"/>
      <c r="Y870" s="323"/>
      <c r="Z870" s="323"/>
      <c r="AA870" s="323"/>
      <c r="AB870" s="323"/>
      <c r="AC870" s="323"/>
      <c r="AD870" s="323"/>
      <c r="AE870" s="323"/>
      <c r="AF870" s="323"/>
      <c r="AG870" s="323"/>
      <c r="AH870" s="323"/>
      <c r="AI870" s="323"/>
      <c r="AJ870" s="323"/>
      <c r="AK870" s="323"/>
      <c r="AL870" s="323"/>
      <c r="AM870" s="323"/>
      <c r="AN870" s="323"/>
      <c r="AO870" s="323">
        <v>0.4218368758062</v>
      </c>
      <c r="AP870" s="323">
        <v>0.15930158205101999</v>
      </c>
      <c r="AQ870" s="323">
        <v>0.61614968011050009</v>
      </c>
      <c r="AR870" s="323">
        <v>0.29238099254990002</v>
      </c>
      <c r="AS870" s="323">
        <v>0.49848143689416663</v>
      </c>
      <c r="AT870" s="323">
        <v>0.27567536453119995</v>
      </c>
      <c r="AU870" s="323">
        <v>0.41900182074452003</v>
      </c>
      <c r="AV870" s="323">
        <v>5.9318858289000003E-3</v>
      </c>
      <c r="AW870" s="323">
        <v>0.31037488525610002</v>
      </c>
      <c r="AX870" s="323">
        <v>0.79970507613979092</v>
      </c>
      <c r="AY870" s="323">
        <v>0.12941338107390002</v>
      </c>
      <c r="AZ870" s="323">
        <v>0.66349748529589991</v>
      </c>
      <c r="BA870" s="323">
        <v>0.43553760418569998</v>
      </c>
      <c r="BB870" s="323">
        <v>1.0110004030600001E-2</v>
      </c>
      <c r="BC870" s="323">
        <v>0.92716271887939983</v>
      </c>
      <c r="BD870" s="323">
        <v>0.33346708193720004</v>
      </c>
      <c r="BE870" s="323">
        <v>0.16446884016910002</v>
      </c>
      <c r="BF870" s="323">
        <v>0.46283348290624249</v>
      </c>
      <c r="BG870" s="323">
        <v>0.34485740744133997</v>
      </c>
      <c r="BH870" s="323">
        <v>9.8169443462000003E-3</v>
      </c>
      <c r="BI870" s="323">
        <v>1.2120026289219998</v>
      </c>
      <c r="BJ870" s="323">
        <v>0.33039555101270002</v>
      </c>
      <c r="BK870" s="323">
        <v>0.32488939680901541</v>
      </c>
      <c r="BL870" s="323">
        <v>0.34050568651879998</v>
      </c>
      <c r="BM870" s="323">
        <v>0.39396392489391369</v>
      </c>
      <c r="BN870" s="323">
        <v>7.2656133475500012E-2</v>
      </c>
      <c r="BO870" s="323">
        <v>1.2065038944793001</v>
      </c>
      <c r="BP870" s="323">
        <v>0.31303042793640007</v>
      </c>
      <c r="BQ870" s="323">
        <v>0.34902942384715879</v>
      </c>
      <c r="BR870" s="323">
        <v>0.31419376258039999</v>
      </c>
      <c r="BS870" s="323">
        <v>0.43520851936100008</v>
      </c>
      <c r="BT870" s="323">
        <v>0.1174770905835</v>
      </c>
      <c r="BU870" s="323">
        <v>1.4745296531095</v>
      </c>
      <c r="BV870" s="323">
        <v>0.32665665659969995</v>
      </c>
      <c r="BW870" s="323">
        <v>0.39447036437689997</v>
      </c>
      <c r="BX870" s="323">
        <v>0.29238563276329999</v>
      </c>
      <c r="BY870" s="323">
        <v>0.58962372103436689</v>
      </c>
      <c r="BZ870" s="323">
        <v>0.26209405264554808</v>
      </c>
      <c r="CA870" s="323">
        <v>1.5240433492468854</v>
      </c>
      <c r="CB870" s="323">
        <v>0.94911435578394543</v>
      </c>
      <c r="CC870" s="323">
        <v>0.83735857921354295</v>
      </c>
      <c r="CD870" s="329">
        <v>0.3171077764414989</v>
      </c>
      <c r="CE870" s="323">
        <f t="shared" ref="CE870:DJ870" si="1633">CE454</f>
        <v>0.6969246684296645</v>
      </c>
      <c r="CF870" s="323">
        <f t="shared" si="1633"/>
        <v>0.20840830560696241</v>
      </c>
      <c r="CG870" s="323">
        <f t="shared" si="1633"/>
        <v>0.97392462447706141</v>
      </c>
      <c r="CH870" s="323">
        <f t="shared" si="1633"/>
        <v>9.8554909258991508</v>
      </c>
      <c r="CI870" s="323">
        <f t="shared" si="1633"/>
        <v>0.32145879232868413</v>
      </c>
      <c r="CJ870" s="323">
        <f t="shared" si="1633"/>
        <v>0.19237510966634239</v>
      </c>
      <c r="CK870" s="323">
        <f t="shared" si="1633"/>
        <v>0.71346271088450908</v>
      </c>
      <c r="CL870" s="323">
        <f t="shared" si="1633"/>
        <v>0.21600343383900905</v>
      </c>
      <c r="CM870" s="323">
        <f t="shared" si="1633"/>
        <v>1.1769884505048114</v>
      </c>
      <c r="CN870" s="323">
        <f t="shared" si="1633"/>
        <v>10.349296616037982</v>
      </c>
      <c r="CO870" s="323">
        <f t="shared" si="1633"/>
        <v>0.49532113773663172</v>
      </c>
      <c r="CP870" s="325">
        <f t="shared" si="1633"/>
        <v>0.33179743428691255</v>
      </c>
      <c r="CQ870" s="323">
        <f t="shared" si="1633"/>
        <v>0.79099153748848061</v>
      </c>
      <c r="CR870" s="323">
        <f t="shared" si="1633"/>
        <v>0.11403729645791975</v>
      </c>
      <c r="CS870" s="323">
        <f t="shared" si="1633"/>
        <v>1.4733748898749943</v>
      </c>
      <c r="CT870" s="323">
        <f t="shared" si="1633"/>
        <v>10.366451704121625</v>
      </c>
      <c r="CU870" s="323">
        <f t="shared" si="1633"/>
        <v>0.50758294923288882</v>
      </c>
      <c r="CV870" s="323">
        <f t="shared" si="1633"/>
        <v>0.35534728540567539</v>
      </c>
      <c r="CW870" s="323">
        <f t="shared" si="1633"/>
        <v>0.24830707547233477</v>
      </c>
      <c r="CX870" s="323">
        <f t="shared" si="1633"/>
        <v>0.74359800471522997</v>
      </c>
      <c r="CY870" s="323">
        <f t="shared" si="1633"/>
        <v>1.1104098504566957</v>
      </c>
      <c r="CZ870" s="323">
        <f t="shared" si="1633"/>
        <v>11.084422587891101</v>
      </c>
      <c r="DA870" s="323">
        <f t="shared" si="1633"/>
        <v>0.40285186905315495</v>
      </c>
      <c r="DB870" s="1269">
        <f t="shared" si="1633"/>
        <v>0.41327722969822789</v>
      </c>
      <c r="DC870" s="323">
        <f t="shared" si="1633"/>
        <v>0.30581300002400003</v>
      </c>
      <c r="DD870" s="323">
        <f t="shared" si="1633"/>
        <v>1.3218321449999999</v>
      </c>
      <c r="DE870" s="323">
        <f t="shared" si="1633"/>
        <v>1.7112772300000001</v>
      </c>
      <c r="DF870" s="323">
        <f t="shared" si="1633"/>
        <v>10.920185254000002</v>
      </c>
      <c r="DG870" s="323">
        <f t="shared" si="1633"/>
        <v>0.41516584300000003</v>
      </c>
      <c r="DH870" s="323">
        <f t="shared" si="1633"/>
        <v>0.48394333900000003</v>
      </c>
      <c r="DI870" s="323">
        <f t="shared" si="1633"/>
        <v>1.017606302988461</v>
      </c>
      <c r="DJ870" s="323">
        <f t="shared" si="1633"/>
        <v>1.3759804558694051</v>
      </c>
      <c r="DK870" s="323">
        <f t="shared" ref="DK870:EP870" si="1634">DK454</f>
        <v>1.4788225950813481</v>
      </c>
      <c r="DL870" s="323">
        <f t="shared" si="1634"/>
        <v>11.335465838468624</v>
      </c>
      <c r="DM870" s="323">
        <f t="shared" si="1634"/>
        <v>0.57451591380627609</v>
      </c>
      <c r="DN870" s="325">
        <f t="shared" si="1634"/>
        <v>0.40663164738113922</v>
      </c>
      <c r="DO870" s="323">
        <f t="shared" si="1634"/>
        <v>0.32722966209005344</v>
      </c>
      <c r="DP870" s="323">
        <f t="shared" si="1634"/>
        <v>1.9954767715179773</v>
      </c>
      <c r="DQ870" s="323">
        <f t="shared" si="1634"/>
        <v>2.9979238477775936</v>
      </c>
      <c r="DR870" s="323">
        <f t="shared" si="1634"/>
        <v>11.535534062562478</v>
      </c>
      <c r="DS870" s="323">
        <f t="shared" si="1634"/>
        <v>1.269771634989743</v>
      </c>
      <c r="DT870" s="323">
        <f t="shared" si="1634"/>
        <v>0.36580835911539161</v>
      </c>
      <c r="DU870" s="323">
        <f t="shared" si="1634"/>
        <v>1.2244464356620535</v>
      </c>
      <c r="DV870" s="323">
        <f t="shared" si="1634"/>
        <v>1.4120260280794017</v>
      </c>
      <c r="DW870" s="323">
        <f t="shared" si="1634"/>
        <v>3.1098523726815488</v>
      </c>
      <c r="DX870" s="323">
        <f t="shared" si="1634"/>
        <v>11.528777302292301</v>
      </c>
      <c r="DY870" s="323">
        <f t="shared" si="1634"/>
        <v>0.82126644185797826</v>
      </c>
      <c r="DZ870" s="325">
        <f t="shared" si="1634"/>
        <v>0.35050648456913208</v>
      </c>
      <c r="EA870" s="323">
        <f t="shared" si="1634"/>
        <v>1.3678306704717365</v>
      </c>
      <c r="EB870" s="323">
        <f t="shared" si="1634"/>
        <v>2.772290399442614</v>
      </c>
      <c r="EC870" s="323">
        <f t="shared" si="1634"/>
        <v>3.5298521251364812</v>
      </c>
      <c r="ED870" s="323">
        <f t="shared" si="1634"/>
        <v>11.962555195</v>
      </c>
      <c r="EE870" s="323">
        <f t="shared" si="1634"/>
        <v>0.92720009700000006</v>
      </c>
      <c r="EF870" s="323">
        <f t="shared" si="1634"/>
        <v>0.30176913599999999</v>
      </c>
      <c r="EG870" s="323">
        <f t="shared" si="1634"/>
        <v>1.1161334320857534</v>
      </c>
      <c r="EH870" s="323">
        <f t="shared" si="1634"/>
        <v>3.0604763937396848</v>
      </c>
      <c r="EI870" s="323">
        <f t="shared" si="1634"/>
        <v>2.0036299772964439</v>
      </c>
      <c r="EJ870" s="323">
        <f t="shared" si="1634"/>
        <v>13.871885997789011</v>
      </c>
      <c r="EK870" s="323">
        <f t="shared" si="1634"/>
        <v>0.75602008683280353</v>
      </c>
      <c r="EL870" s="325">
        <f t="shared" si="1634"/>
        <v>1.0089266132560877</v>
      </c>
      <c r="EM870" s="323">
        <f t="shared" si="1634"/>
        <v>1.6198623873765028</v>
      </c>
      <c r="EN870" s="323">
        <f t="shared" si="1634"/>
        <v>2.7373024249772246</v>
      </c>
      <c r="EO870" s="323">
        <f t="shared" si="1634"/>
        <v>2.0123866936801722</v>
      </c>
      <c r="EP870" s="323">
        <f t="shared" si="1634"/>
        <v>14.22283591316187</v>
      </c>
      <c r="EQ870" s="323">
        <f t="shared" ref="EQ870:GH870" si="1635">EQ454</f>
        <v>1.4073944976639343</v>
      </c>
      <c r="ER870" s="323">
        <f t="shared" si="1635"/>
        <v>1.0850148726375077</v>
      </c>
      <c r="ES870" s="323">
        <f t="shared" si="1635"/>
        <v>1.7520355385139252</v>
      </c>
      <c r="ET870" s="323">
        <f t="shared" si="1635"/>
        <v>2.5448483032711651</v>
      </c>
      <c r="EU870" s="323">
        <f t="shared" si="1635"/>
        <v>4.4114107411148815</v>
      </c>
      <c r="EV870" s="323">
        <f t="shared" si="1635"/>
        <v>12.708406492627095</v>
      </c>
      <c r="EW870" s="323">
        <f t="shared" si="1635"/>
        <v>2.0007631160883328</v>
      </c>
      <c r="EX870" s="325">
        <f t="shared" si="1635"/>
        <v>1.3867201917728373</v>
      </c>
      <c r="EY870" s="323">
        <f t="shared" si="1635"/>
        <v>2.2628124293112153</v>
      </c>
      <c r="EZ870" s="323">
        <f t="shared" si="1635"/>
        <v>3.0044166297506907</v>
      </c>
      <c r="FA870" s="323">
        <f t="shared" si="1635"/>
        <v>4.6224758041384097</v>
      </c>
      <c r="FB870" s="323">
        <f t="shared" si="1635"/>
        <v>15.064061914841748</v>
      </c>
      <c r="FC870" s="323">
        <f t="shared" si="1635"/>
        <v>2.678425054516711</v>
      </c>
      <c r="FD870" s="323">
        <f t="shared" si="1635"/>
        <v>0.80721773972904587</v>
      </c>
      <c r="FE870" s="323">
        <f t="shared" si="1635"/>
        <v>3.5610480045411377</v>
      </c>
      <c r="FF870" s="323">
        <f t="shared" si="1635"/>
        <v>3.2167937696168343</v>
      </c>
      <c r="FG870" s="323">
        <f t="shared" si="1635"/>
        <v>5.2020126962930346</v>
      </c>
      <c r="FH870" s="323">
        <f t="shared" si="1635"/>
        <v>14.917319584685547</v>
      </c>
      <c r="FI870" s="323">
        <f t="shared" si="1635"/>
        <v>3.1411812884450443</v>
      </c>
      <c r="FJ870" s="325">
        <f t="shared" si="1635"/>
        <v>2.3392490061899642</v>
      </c>
      <c r="FK870" s="323">
        <f t="shared" si="1635"/>
        <v>2.1311138522174171</v>
      </c>
      <c r="FL870" s="323">
        <f t="shared" si="1635"/>
        <v>3.6659391624605435</v>
      </c>
      <c r="FM870" s="323">
        <f t="shared" si="1635"/>
        <v>6.6097783233688849</v>
      </c>
      <c r="FN870" s="323">
        <f t="shared" si="1635"/>
        <v>14.472022977643345</v>
      </c>
      <c r="FO870" s="323">
        <f t="shared" si="1635"/>
        <v>3.8616398652420614</v>
      </c>
      <c r="FP870" s="323">
        <f t="shared" si="1635"/>
        <v>2.0407557288935885</v>
      </c>
      <c r="FQ870" s="323">
        <f t="shared" si="1635"/>
        <v>3.018595064937359</v>
      </c>
      <c r="FR870" s="323">
        <f t="shared" si="1635"/>
        <v>4.1255898384212824</v>
      </c>
      <c r="FS870" s="323">
        <f t="shared" si="1635"/>
        <v>7.0408369434813904</v>
      </c>
      <c r="FT870" s="323">
        <f t="shared" si="1635"/>
        <v>14.877754502618028</v>
      </c>
      <c r="FU870" s="323">
        <f t="shared" si="1635"/>
        <v>3.4291717512039499</v>
      </c>
      <c r="FV870" s="323">
        <f t="shared" si="1635"/>
        <v>1.9037964901119899</v>
      </c>
      <c r="FW870" s="323">
        <f t="shared" si="1635"/>
        <v>3.0111710048357687</v>
      </c>
      <c r="FX870" s="323">
        <f t="shared" si="1635"/>
        <v>10.635850491463801</v>
      </c>
      <c r="FY870" s="323">
        <f t="shared" si="1635"/>
        <v>6.8643131069934498</v>
      </c>
      <c r="FZ870" s="323">
        <f t="shared" si="1635"/>
        <v>1.3540609383678777</v>
      </c>
      <c r="GA870" s="323">
        <f t="shared" si="1635"/>
        <v>4.381167408148027</v>
      </c>
      <c r="GB870" s="323">
        <f t="shared" si="1635"/>
        <v>1.55055324269274</v>
      </c>
      <c r="GC870" s="323">
        <f t="shared" si="1635"/>
        <v>4.1413609305670294</v>
      </c>
      <c r="GD870" s="323">
        <f t="shared" si="1635"/>
        <v>21.884791707702441</v>
      </c>
      <c r="GE870" s="323">
        <f t="shared" si="1635"/>
        <v>7.526577834151027</v>
      </c>
      <c r="GF870" s="323">
        <f t="shared" si="1635"/>
        <v>3.4334906522701032</v>
      </c>
      <c r="GG870" s="323">
        <f t="shared" si="1635"/>
        <v>4.0878705869733327</v>
      </c>
      <c r="GH870" s="323">
        <f t="shared" si="1635"/>
        <v>1.0963131248898048</v>
      </c>
      <c r="GI870" s="1654">
        <f t="shared" ref="GI870:HR870" si="1636">GI454</f>
        <v>3.3092056958089713</v>
      </c>
      <c r="GJ870" s="1654">
        <f t="shared" si="1636"/>
        <v>22.650780052458025</v>
      </c>
      <c r="GK870" s="1654">
        <f t="shared" si="1636"/>
        <v>7.5170681773496026</v>
      </c>
      <c r="GL870" s="1654">
        <f t="shared" si="1636"/>
        <v>2.3543160589860102</v>
      </c>
      <c r="GM870" s="1654">
        <f t="shared" si="1636"/>
        <v>6.4630748740000126</v>
      </c>
      <c r="GN870" s="1654">
        <f t="shared" si="1636"/>
        <v>1.0409838473156541</v>
      </c>
      <c r="GO870" s="1654">
        <f t="shared" si="1636"/>
        <v>4.8511278593136762</v>
      </c>
      <c r="GP870" s="1654">
        <f t="shared" si="1636"/>
        <v>24.788084443489012</v>
      </c>
      <c r="GQ870" s="1654">
        <f t="shared" si="1636"/>
        <v>7.2483733268749315</v>
      </c>
      <c r="GR870" s="1654">
        <f t="shared" si="1636"/>
        <v>7.5574463796020108</v>
      </c>
      <c r="GS870" s="1654">
        <f t="shared" si="1636"/>
        <v>11.596701611589399</v>
      </c>
      <c r="GT870" s="1654">
        <f t="shared" si="1636"/>
        <v>1.4719005173140647</v>
      </c>
      <c r="GU870" s="1654">
        <f t="shared" si="1636"/>
        <v>6.7227833908204371</v>
      </c>
      <c r="GV870" s="1654">
        <f t="shared" si="1636"/>
        <v>28.717426718200194</v>
      </c>
      <c r="GW870" s="1654">
        <f t="shared" si="1636"/>
        <v>9.5612216072974459</v>
      </c>
      <c r="GX870" s="1654">
        <f t="shared" si="1636"/>
        <v>5.5347149109490976</v>
      </c>
      <c r="GY870" s="1654">
        <f t="shared" si="1636"/>
        <v>17.935308096254452</v>
      </c>
      <c r="GZ870" s="1654">
        <f t="shared" si="1636"/>
        <v>9.6507458941506616</v>
      </c>
      <c r="HA870" s="1654">
        <f t="shared" si="1636"/>
        <v>7.4258548075896105</v>
      </c>
      <c r="HB870" s="1654">
        <f t="shared" si="1636"/>
        <v>33.340351213451157</v>
      </c>
      <c r="HC870" s="1654">
        <f t="shared" si="1636"/>
        <v>10.396354616118439</v>
      </c>
      <c r="HD870" s="1654">
        <f t="shared" si="1636"/>
        <v>6.8946206912747234</v>
      </c>
      <c r="HE870" s="1654">
        <f t="shared" si="1636"/>
        <v>20.578426141520598</v>
      </c>
      <c r="HF870" s="1654">
        <f t="shared" si="1636"/>
        <v>26.494068693360703</v>
      </c>
      <c r="HG870" s="1654">
        <f t="shared" si="1636"/>
        <v>10.205643385021778</v>
      </c>
      <c r="HH870" s="1654">
        <f t="shared" si="1636"/>
        <v>34.923771469304235</v>
      </c>
      <c r="HI870" s="1654">
        <f t="shared" si="1636"/>
        <v>11.380694865912622</v>
      </c>
      <c r="HJ870" s="1654">
        <f t="shared" si="1636"/>
        <v>8.9955866693393656</v>
      </c>
      <c r="HK870" s="1654">
        <f t="shared" si="1636"/>
        <v>22.883165412710976</v>
      </c>
      <c r="HL870" s="1654">
        <f t="shared" si="1636"/>
        <v>18.712078527921058</v>
      </c>
      <c r="HM870" s="1654">
        <f t="shared" si="1636"/>
        <v>10.459200343325808</v>
      </c>
      <c r="HN870" s="1654">
        <f t="shared" si="1636"/>
        <v>37.110525243390136</v>
      </c>
      <c r="HO870" s="1654">
        <f t="shared" si="1636"/>
        <v>12.119694740481856</v>
      </c>
      <c r="HP870" s="1654">
        <f t="shared" si="1636"/>
        <v>9.2124650947818658</v>
      </c>
      <c r="HQ870" s="1654">
        <f t="shared" si="1636"/>
        <v>29.257282120417162</v>
      </c>
      <c r="HR870" s="1654">
        <f t="shared" si="1636"/>
        <v>19.04827812237977</v>
      </c>
      <c r="HS870" s="1654">
        <f t="shared" ref="HS870:HX870" si="1637">HS454</f>
        <v>11.689570772605597</v>
      </c>
      <c r="HT870" s="1654">
        <f t="shared" si="1637"/>
        <v>38.980040222315566</v>
      </c>
      <c r="HU870" s="1654">
        <f t="shared" si="1637"/>
        <v>12.246502945743485</v>
      </c>
      <c r="HV870" s="1654">
        <f t="shared" si="1637"/>
        <v>11.305602608868417</v>
      </c>
      <c r="HW870" s="1654">
        <f t="shared" si="1637"/>
        <v>30.077296888298729</v>
      </c>
      <c r="HX870" s="1654">
        <f t="shared" si="1637"/>
        <v>18.786117362981649</v>
      </c>
      <c r="HY870" s="1654"/>
      <c r="HZ870" s="326"/>
      <c r="IA870" s="334" t="s">
        <v>530</v>
      </c>
      <c r="IB870" s="284">
        <f>SUM(CE870:CJ870)</f>
        <v>12.248582426407866</v>
      </c>
      <c r="IC870" s="279">
        <f>SUM(CK870:CP870)</f>
        <v>13.282869783289856</v>
      </c>
      <c r="ID870" s="323">
        <f>IB870+IC870</f>
        <v>25.531452209697722</v>
      </c>
      <c r="IE870" s="279">
        <f>SUM(CQ870:CV870)</f>
        <v>13.607785662581584</v>
      </c>
      <c r="IF870" s="279">
        <f>SUM(CW870:DB870)</f>
        <v>14.002866617286744</v>
      </c>
      <c r="IG870" s="323">
        <f>IE870+IF870</f>
        <v>27.610652279868326</v>
      </c>
      <c r="IH870" s="284">
        <f>SUM(DC870:DH870)</f>
        <v>15.158216811024001</v>
      </c>
      <c r="II870" s="279">
        <f>SUM(DI870:DN870)</f>
        <v>16.189022753595253</v>
      </c>
      <c r="IJ870" s="323">
        <f>IH870+II870</f>
        <v>31.347239564619255</v>
      </c>
      <c r="IK870" s="327">
        <f>SUM(DO870:DT870)</f>
        <v>18.491744338053238</v>
      </c>
      <c r="IL870" s="279">
        <f>SUM(DU870:DZ870)</f>
        <v>18.446875065142414</v>
      </c>
      <c r="IM870" s="323">
        <f>IK870+IL870</f>
        <v>36.938619403195652</v>
      </c>
      <c r="IN870" s="279">
        <f>SUM(EA870:EF870)</f>
        <v>20.86149762305083</v>
      </c>
      <c r="IO870" s="279">
        <f>SUM(EG870:EL870)</f>
        <v>21.817072500999785</v>
      </c>
      <c r="IP870" s="323">
        <f>IN870+IO870</f>
        <v>42.678570124050616</v>
      </c>
      <c r="IQ870" s="327">
        <f>SUM(EM870:ER870)</f>
        <v>23.084796789497211</v>
      </c>
      <c r="IR870" s="327">
        <f>SUM(ES870:EX870)</f>
        <v>24.804184383388236</v>
      </c>
      <c r="IS870" s="323">
        <f>IQ870+IR870</f>
        <v>47.888981172885451</v>
      </c>
      <c r="IT870" s="327">
        <f>SUM(EY870:FD870)</f>
        <v>28.439409572287822</v>
      </c>
      <c r="IU870" s="327">
        <f>SUM(FE870:FJ870)</f>
        <v>32.377604349771559</v>
      </c>
      <c r="IV870" s="323">
        <f>IT870+IU870</f>
        <v>60.817013922059381</v>
      </c>
      <c r="IW870" s="327">
        <f>SUM(FK870:FP870)</f>
        <v>32.781249909825839</v>
      </c>
      <c r="IX870" s="327">
        <f>SUM(FQ870:FV870)</f>
        <v>34.395744590774001</v>
      </c>
      <c r="IY870" s="323">
        <f t="shared" si="1621"/>
        <v>67.176994500599847</v>
      </c>
      <c r="IZ870" s="327">
        <f t="shared" si="1622"/>
        <v>27.797116192501662</v>
      </c>
      <c r="JA870" s="327">
        <f t="shared" si="1623"/>
        <v>42.170404836553729</v>
      </c>
      <c r="JB870" s="323">
        <f t="shared" si="1458"/>
        <v>69.967521029055391</v>
      </c>
      <c r="JC870" s="327">
        <f t="shared" si="1624"/>
        <v>43.335428705918268</v>
      </c>
      <c r="JD870" s="327">
        <f t="shared" si="1617"/>
        <v>57.5136341381831</v>
      </c>
      <c r="JE870" s="323">
        <f t="shared" si="1632"/>
        <v>100.84906284410137</v>
      </c>
      <c r="JF870" s="327">
        <f t="shared" ref="JF870:JF900" si="1638">SUM(GU870:GZ870)</f>
        <v>78.122200617672291</v>
      </c>
      <c r="JG870" s="327">
        <f t="shared" si="1372"/>
        <v>105.12967616331522</v>
      </c>
      <c r="JH870" s="323">
        <f t="shared" si="1406"/>
        <v>183.25187678098752</v>
      </c>
      <c r="JI870" s="327">
        <f t="shared" si="1476"/>
        <v>107.10094033021005</v>
      </c>
      <c r="JJ870" s="327">
        <f t="shared" si="1405"/>
        <v>117.2074456647766</v>
      </c>
      <c r="JK870" s="323">
        <f t="shared" si="1398"/>
        <v>224.30838599498665</v>
      </c>
      <c r="JL870" s="327">
        <f t="shared" si="1407"/>
        <v>123.08513080081346</v>
      </c>
      <c r="JM870" s="327">
        <f>+(((FISC!AK134+FISC!AK140))*FISC!AK259/1000)</f>
        <v>163.18255504945876</v>
      </c>
      <c r="JN870" s="323">
        <f>FISC!AK1189</f>
        <v>286.79074781751251</v>
      </c>
      <c r="JO870" s="327">
        <f>(((FISC!AK146+FISC!AK152)-(FISC!AK147+FISC!AK153))*FISC!AL259/1000)</f>
        <v>166.2848260275378</v>
      </c>
      <c r="JP870" s="327">
        <f>+(((FISC!AL134+FISC!AL140)-(FISC!AL135+FISC!AL141))*FISC!AL259/1000)</f>
        <v>137.79870017167093</v>
      </c>
      <c r="JQ870" s="323">
        <f>FISC!AL1189</f>
        <v>332.70263135628568</v>
      </c>
      <c r="JR870" s="327">
        <f>(((FISC!AL146+FISC!AL152)-(FISC!AL147+FISC!AL153))*FISC!AM259/1000)</f>
        <v>167.3631548126279</v>
      </c>
      <c r="JS870" s="327">
        <f>+(((FISC!AM134+FISC!AM140)-(FISC!AM135+FISC!AM141))*FISC!AM259/1000)</f>
        <v>149.03354596180642</v>
      </c>
      <c r="JT870" s="323">
        <f>FISC!AM1189</f>
        <v>372.06874372761598</v>
      </c>
      <c r="JU870" s="327">
        <f>(((FISC!AM146+FISC!AM152)-(FISC!AM147+FISC!AM153))*FISC!AN259/1000)</f>
        <v>160.19321238052683</v>
      </c>
      <c r="JV870" s="327">
        <f>+(((FISC!AN134+FISC!AN140)-(FISC!AN135+FISC!AN141))*FISC!AN259/1000)</f>
        <v>163.70662536324033</v>
      </c>
      <c r="JW870" s="323">
        <f>FISC!AN1189</f>
        <v>394.35846276978089</v>
      </c>
      <c r="JX870" s="327">
        <f>(((FISC!AN146+FISC!AN152)-(FISC!AN147+FISC!AN153))*FISC!AO259/1000)</f>
        <v>173.91445411538399</v>
      </c>
      <c r="JY870" s="327">
        <f>+(((FISC!AO134+FISC!AO140)-(FISC!AO135+FISC!AO141))*FISC!AO259/1000)</f>
        <v>174.61925944442302</v>
      </c>
      <c r="JZ870" s="323">
        <f>FISC!AO1189</f>
        <v>423.77647490715367</v>
      </c>
      <c r="KA870" s="327">
        <f>(((FISC!AO146+FISC!AO152)-(FISC!AO147+FISC!AO153))*FISC!AQ259/1000)</f>
        <v>196.86385532436935</v>
      </c>
      <c r="KB870" s="327">
        <f>+(((FISC!AQ134+FISC!AQ140)-(FISC!AQ135+FISC!AQ141))*FISC!AQ259/1000)</f>
        <v>173.32018348870622</v>
      </c>
      <c r="KC870" s="323">
        <f>FISC!AP1189</f>
        <v>465.30814855741335</v>
      </c>
      <c r="KD870" s="327">
        <f>(((FISC!AQ146+FISC!AQ152)-(FISC!AQ147+FISC!AQ153))*FISC!AR259/1000)</f>
        <v>178.59622069495185</v>
      </c>
      <c r="KE870" s="327">
        <f>+(((FISC!AR134+FISC!AR140)-(FISC!AR135+FISC!AR141))*FISC!AR259/1000)</f>
        <v>177.54471305487775</v>
      </c>
      <c r="KF870" s="323">
        <f>FISC!AQ1189</f>
        <v>691.77671683759968</v>
      </c>
      <c r="KG870" s="327">
        <f>(((FISC!AR146+FISC!AR152)-(FISC!AR147+FISC!AR153))*FISC!AS259/1000)</f>
        <v>180.15700177590776</v>
      </c>
      <c r="KH870" s="327">
        <f>+(((FISC!AS134+FISC!AS140)-(FISC!AS135+FISC!AS141))*FISC!AS259/1000)</f>
        <v>176.69475369476282</v>
      </c>
      <c r="KI870" s="323">
        <f>FISC!AR1189</f>
        <v>656.46868315597555</v>
      </c>
      <c r="KJ870" s="327">
        <f>(((FISC!AS146+FISC!AS152)-(FISC!AS147+FISC!AS153))*FISC!AT259/1000)</f>
        <v>179.06809756505663</v>
      </c>
      <c r="KK870" s="327">
        <f>+(((FISC!AT134+FISC!AT140)-(FISC!AT135+FISC!AT141))*FISC!AT259/1000)</f>
        <v>174.90918985960192</v>
      </c>
      <c r="KL870" s="323">
        <f>FISC!AS1189</f>
        <v>655.77577963117551</v>
      </c>
      <c r="KM870" s="327">
        <f>(((FISC!AT146+FISC!AT152)-(FISC!AT147+FISC!AT153))*FISC!AU259/1000)</f>
        <v>0</v>
      </c>
      <c r="KN870" s="327">
        <f>+(((FISC!AU134+FISC!AU140)-(FISC!AU135+FISC!AU141))*FISC!AU259/1000)</f>
        <v>0</v>
      </c>
      <c r="KO870" s="323">
        <f>FISC!AT1189</f>
        <v>646.40588426411091</v>
      </c>
      <c r="KU870" s="326"/>
      <c r="KV870" s="327"/>
    </row>
    <row r="871" spans="1:308">
      <c r="A871" s="279"/>
      <c r="D871" s="1415" t="s">
        <v>3090</v>
      </c>
      <c r="E871" s="323"/>
      <c r="F871" s="323"/>
      <c r="G871" s="323"/>
      <c r="H871" s="323"/>
      <c r="I871" s="323"/>
      <c r="J871" s="323"/>
      <c r="K871" s="323"/>
      <c r="L871" s="323"/>
      <c r="M871" s="323"/>
      <c r="N871" s="323"/>
      <c r="O871" s="323"/>
      <c r="P871" s="323"/>
      <c r="Q871" s="323"/>
      <c r="R871" s="323"/>
      <c r="S871" s="323"/>
      <c r="T871" s="323"/>
      <c r="U871" s="323"/>
      <c r="V871" s="323"/>
      <c r="W871" s="323"/>
      <c r="X871" s="323"/>
      <c r="Y871" s="323"/>
      <c r="Z871" s="323"/>
      <c r="AA871" s="323"/>
      <c r="AB871" s="323"/>
      <c r="AC871" s="323"/>
      <c r="AD871" s="323"/>
      <c r="AE871" s="323"/>
      <c r="AF871" s="323"/>
      <c r="AG871" s="323"/>
      <c r="AH871" s="323"/>
      <c r="AI871" s="323"/>
      <c r="AJ871" s="323"/>
      <c r="AK871" s="323"/>
      <c r="AL871" s="323"/>
      <c r="AM871" s="323"/>
      <c r="AN871" s="323"/>
      <c r="AO871" s="323"/>
      <c r="AP871" s="323"/>
      <c r="AQ871" s="323"/>
      <c r="AR871" s="323"/>
      <c r="AS871" s="323"/>
      <c r="AT871" s="323"/>
      <c r="AU871" s="323"/>
      <c r="AV871" s="323"/>
      <c r="AW871" s="323"/>
      <c r="AX871" s="323"/>
      <c r="AY871" s="323"/>
      <c r="AZ871" s="323"/>
      <c r="BA871" s="323"/>
      <c r="BB871" s="323"/>
      <c r="BC871" s="323"/>
      <c r="BD871" s="323"/>
      <c r="BE871" s="323"/>
      <c r="BF871" s="323"/>
      <c r="BG871" s="323"/>
      <c r="BH871" s="323"/>
      <c r="BI871" s="323"/>
      <c r="BJ871" s="323"/>
      <c r="BK871" s="323"/>
      <c r="BL871" s="323"/>
      <c r="BM871" s="323"/>
      <c r="BN871" s="323"/>
      <c r="BO871" s="323"/>
      <c r="BP871" s="323"/>
      <c r="BQ871" s="323"/>
      <c r="BR871" s="323"/>
      <c r="BS871" s="323"/>
      <c r="BT871" s="323"/>
      <c r="BU871" s="323"/>
      <c r="BV871" s="323"/>
      <c r="BW871" s="323"/>
      <c r="BX871" s="323"/>
      <c r="BY871" s="323"/>
      <c r="BZ871" s="323"/>
      <c r="CA871" s="323"/>
      <c r="CB871" s="323"/>
      <c r="CC871" s="323"/>
      <c r="CD871" s="329"/>
      <c r="CE871" s="323">
        <v>0</v>
      </c>
      <c r="CF871" s="323">
        <v>0</v>
      </c>
      <c r="CG871" s="323">
        <v>0</v>
      </c>
      <c r="CH871" s="323">
        <v>0</v>
      </c>
      <c r="CI871" s="323">
        <v>0</v>
      </c>
      <c r="CJ871" s="323">
        <v>0</v>
      </c>
      <c r="CK871" s="323">
        <v>0</v>
      </c>
      <c r="CL871" s="323">
        <v>0</v>
      </c>
      <c r="CM871" s="323">
        <v>0</v>
      </c>
      <c r="CN871" s="323">
        <v>0</v>
      </c>
      <c r="CO871" s="323">
        <v>0</v>
      </c>
      <c r="CP871" s="325">
        <v>0</v>
      </c>
      <c r="CQ871" s="323"/>
      <c r="CR871" s="323"/>
      <c r="CS871" s="323"/>
      <c r="CT871" s="323"/>
      <c r="CU871" s="323"/>
      <c r="CV871" s="323"/>
      <c r="CW871" s="323"/>
      <c r="CX871" s="323"/>
      <c r="CY871" s="323"/>
      <c r="CZ871" s="323"/>
      <c r="DA871" s="323"/>
      <c r="DB871" s="1269"/>
      <c r="DC871" s="323"/>
      <c r="DD871" s="323"/>
      <c r="DE871" s="323"/>
      <c r="DF871" s="323"/>
      <c r="DG871" s="323"/>
      <c r="DH871" s="323"/>
      <c r="DI871" s="323"/>
      <c r="DJ871" s="323"/>
      <c r="DK871" s="323"/>
      <c r="DL871" s="323"/>
      <c r="DM871" s="323"/>
      <c r="DN871" s="325"/>
      <c r="DO871" s="323"/>
      <c r="DP871" s="323"/>
      <c r="DQ871" s="323"/>
      <c r="DR871" s="323"/>
      <c r="DS871" s="323"/>
      <c r="DT871" s="323"/>
      <c r="DU871" s="323"/>
      <c r="DV871" s="323"/>
      <c r="DW871" s="323"/>
      <c r="DX871" s="323"/>
      <c r="DY871" s="323"/>
      <c r="DZ871" s="325"/>
      <c r="EA871" s="323"/>
      <c r="EB871" s="323"/>
      <c r="EC871" s="323"/>
      <c r="ED871" s="323"/>
      <c r="EE871" s="323"/>
      <c r="EF871" s="323"/>
      <c r="EG871" s="323"/>
      <c r="EH871" s="323"/>
      <c r="EI871" s="323"/>
      <c r="EJ871" s="323"/>
      <c r="EK871" s="323"/>
      <c r="EL871" s="325"/>
      <c r="EM871" s="323"/>
      <c r="EN871" s="323"/>
      <c r="EO871" s="323"/>
      <c r="EP871" s="323"/>
      <c r="EQ871" s="323"/>
      <c r="ER871" s="323"/>
      <c r="ES871" s="323"/>
      <c r="ET871" s="323"/>
      <c r="EU871" s="323"/>
      <c r="EV871" s="323"/>
      <c r="EW871" s="323"/>
      <c r="EX871" s="325"/>
      <c r="EY871" s="323"/>
      <c r="EZ871" s="323"/>
      <c r="FA871" s="323"/>
      <c r="FB871" s="323"/>
      <c r="FC871" s="323"/>
      <c r="FD871" s="323"/>
      <c r="FE871" s="323"/>
      <c r="FF871" s="323"/>
      <c r="FG871" s="323"/>
      <c r="FH871" s="323"/>
      <c r="FI871" s="323"/>
      <c r="FJ871" s="325"/>
      <c r="FK871" s="323"/>
      <c r="FL871" s="323"/>
      <c r="FM871" s="323"/>
      <c r="FN871" s="323"/>
      <c r="FO871" s="323"/>
      <c r="FP871" s="323"/>
      <c r="FQ871" s="323"/>
      <c r="FR871" s="323"/>
      <c r="FS871" s="323"/>
      <c r="FT871" s="323"/>
      <c r="FU871" s="323"/>
      <c r="FV871" s="323"/>
      <c r="FW871" s="323">
        <v>0</v>
      </c>
      <c r="FX871" s="323">
        <v>0</v>
      </c>
      <c r="FY871" s="323">
        <v>0.63037547199999999</v>
      </c>
      <c r="FZ871" s="323">
        <v>0</v>
      </c>
      <c r="GA871" s="323">
        <v>0</v>
      </c>
      <c r="GB871" s="323">
        <v>0.47990930399999998</v>
      </c>
      <c r="GC871" s="323">
        <v>0</v>
      </c>
      <c r="GD871" s="323">
        <v>0</v>
      </c>
      <c r="GE871" s="323">
        <v>0.324788089</v>
      </c>
      <c r="GF871" s="323">
        <v>0</v>
      </c>
      <c r="GG871" s="323">
        <v>0</v>
      </c>
      <c r="GH871" s="323">
        <v>0.164867811</v>
      </c>
      <c r="GI871" s="1654"/>
      <c r="HZ871" s="326"/>
      <c r="IA871" s="1395" t="s">
        <v>3598</v>
      </c>
      <c r="IB871" s="284"/>
      <c r="ID871" s="323"/>
      <c r="IG871" s="323"/>
      <c r="IH871" s="284"/>
      <c r="IJ871" s="323"/>
      <c r="IK871" s="327"/>
      <c r="IM871" s="323"/>
      <c r="IP871" s="323"/>
      <c r="IQ871" s="327"/>
      <c r="IR871" s="327"/>
      <c r="IS871" s="323"/>
      <c r="IT871" s="327"/>
      <c r="IU871" s="327"/>
      <c r="IV871" s="323"/>
      <c r="IW871" s="327">
        <v>2.243714128537631</v>
      </c>
      <c r="IX871" s="327">
        <f>SUM(FQ871:FV871)</f>
        <v>0</v>
      </c>
      <c r="IY871" s="323">
        <f t="shared" si="1621"/>
        <v>2.243714128537631</v>
      </c>
      <c r="IZ871" s="327">
        <f t="shared" si="1622"/>
        <v>1.1102847759999999</v>
      </c>
      <c r="JA871" s="327">
        <f t="shared" si="1623"/>
        <v>0.48965590000000003</v>
      </c>
      <c r="JB871" s="323">
        <f t="shared" si="1458"/>
        <v>1.5999406759999999</v>
      </c>
      <c r="JC871" s="327">
        <f t="shared" si="1624"/>
        <v>0</v>
      </c>
      <c r="JD871" s="327">
        <f t="shared" si="1617"/>
        <v>0</v>
      </c>
      <c r="JE871" s="323">
        <f t="shared" si="1632"/>
        <v>0</v>
      </c>
      <c r="JF871" s="327">
        <f t="shared" si="1638"/>
        <v>0</v>
      </c>
      <c r="JG871" s="327">
        <f t="shared" si="1372"/>
        <v>0</v>
      </c>
      <c r="JH871" s="323">
        <f t="shared" si="1406"/>
        <v>0</v>
      </c>
      <c r="JI871" s="327">
        <f t="shared" si="1476"/>
        <v>0</v>
      </c>
      <c r="JJ871" s="327">
        <f t="shared" si="1405"/>
        <v>0</v>
      </c>
      <c r="JK871" s="323">
        <f t="shared" si="1398"/>
        <v>0</v>
      </c>
      <c r="JL871" s="327">
        <f t="shared" si="1407"/>
        <v>0</v>
      </c>
      <c r="JM871" s="279">
        <f>JN871-JL871</f>
        <v>0</v>
      </c>
      <c r="JN871" s="323">
        <f>FISC!AK1190</f>
        <v>0</v>
      </c>
      <c r="JO871" s="327">
        <f>JQ871*0.55</f>
        <v>15.740507836392286</v>
      </c>
      <c r="JP871" s="279">
        <f>JQ871-JO871</f>
        <v>12.878597320684595</v>
      </c>
      <c r="JQ871" s="323">
        <f>FISC!AL1190</f>
        <v>28.619105157076881</v>
      </c>
      <c r="JR871" s="327">
        <f>JT871*0.55</f>
        <v>30.619623624249883</v>
      </c>
      <c r="JS871" s="279">
        <f>JT871-JR871</f>
        <v>25.05241932893172</v>
      </c>
      <c r="JT871" s="323">
        <f>FISC!AM1190</f>
        <v>55.672042953181602</v>
      </c>
      <c r="JU871" s="327">
        <f>JW871*0.55</f>
        <v>38.752243764307551</v>
      </c>
      <c r="JV871" s="279">
        <f>JW871-JU871</f>
        <v>31.70638126170617</v>
      </c>
      <c r="JW871" s="323">
        <f>FISC!AN1190</f>
        <v>70.458625026013721</v>
      </c>
      <c r="JX871" s="327">
        <f>JZ871*0.55</f>
        <v>41.383518741040668</v>
      </c>
      <c r="JY871" s="279">
        <f>JZ871-JX871</f>
        <v>33.85924260630599</v>
      </c>
      <c r="JZ871" s="323">
        <f>FISC!AO1190</f>
        <v>75.242761347346658</v>
      </c>
      <c r="KA871" s="327">
        <f>KC871*0.55</f>
        <v>27.755421003279775</v>
      </c>
      <c r="KB871" s="279">
        <f>KC871-KA871</f>
        <v>22.708980820865268</v>
      </c>
      <c r="KC871" s="323">
        <f>FISC!AP1190</f>
        <v>50.464401824145042</v>
      </c>
      <c r="KD871" s="327">
        <f>KF871*0.55</f>
        <v>27.547849309642569</v>
      </c>
      <c r="KE871" s="279">
        <f>KF871-KD871</f>
        <v>22.539149435162098</v>
      </c>
      <c r="KF871" s="323">
        <f>FISC!AQ1190</f>
        <v>50.086998744804667</v>
      </c>
      <c r="KG871" s="327">
        <f>KI871*0.55</f>
        <v>26.504781838613919</v>
      </c>
      <c r="KH871" s="279">
        <f>KI871-KG871</f>
        <v>21.685730595229568</v>
      </c>
      <c r="KI871" s="323">
        <f>FISC!AR1190</f>
        <v>48.190512433843487</v>
      </c>
      <c r="KJ871" s="327">
        <f>KL871*0.55</f>
        <v>25.362533709844289</v>
      </c>
      <c r="KK871" s="279">
        <f>KL871-KJ871</f>
        <v>20.75116394441805</v>
      </c>
      <c r="KL871" s="323">
        <f>FISC!AS1190</f>
        <v>46.113697654262339</v>
      </c>
      <c r="KM871" s="327">
        <f>KO871*0.55</f>
        <v>23.590176373455144</v>
      </c>
      <c r="KN871" s="279">
        <f>KO871-KM871</f>
        <v>19.301053396463296</v>
      </c>
      <c r="KO871" s="323">
        <f>FISC!AT1190</f>
        <v>42.891229769918439</v>
      </c>
      <c r="KU871" s="326"/>
      <c r="KV871" s="327"/>
    </row>
    <row r="872" spans="1:308">
      <c r="A872" s="279"/>
      <c r="D872" s="1415" t="s">
        <v>3677</v>
      </c>
      <c r="E872" s="323"/>
      <c r="F872" s="323"/>
      <c r="G872" s="323"/>
      <c r="H872" s="323"/>
      <c r="I872" s="323"/>
      <c r="J872" s="323"/>
      <c r="K872" s="323"/>
      <c r="L872" s="323"/>
      <c r="M872" s="323"/>
      <c r="N872" s="323"/>
      <c r="O872" s="323"/>
      <c r="P872" s="323"/>
      <c r="Q872" s="323"/>
      <c r="R872" s="323"/>
      <c r="S872" s="323"/>
      <c r="T872" s="323"/>
      <c r="U872" s="323"/>
      <c r="V872" s="323"/>
      <c r="W872" s="323"/>
      <c r="X872" s="323"/>
      <c r="Y872" s="323"/>
      <c r="Z872" s="323"/>
      <c r="AA872" s="323"/>
      <c r="AB872" s="323"/>
      <c r="AC872" s="323"/>
      <c r="AD872" s="323"/>
      <c r="AE872" s="323"/>
      <c r="AF872" s="323"/>
      <c r="AG872" s="323"/>
      <c r="AH872" s="323"/>
      <c r="AI872" s="323"/>
      <c r="AJ872" s="323"/>
      <c r="AK872" s="323"/>
      <c r="AL872" s="323"/>
      <c r="AM872" s="323"/>
      <c r="AN872" s="323"/>
      <c r="AO872" s="323"/>
      <c r="AP872" s="323"/>
      <c r="AQ872" s="323"/>
      <c r="AR872" s="323"/>
      <c r="AS872" s="323"/>
      <c r="AT872" s="323"/>
      <c r="AU872" s="323"/>
      <c r="AV872" s="323"/>
      <c r="AW872" s="323"/>
      <c r="AX872" s="323"/>
      <c r="AY872" s="323"/>
      <c r="AZ872" s="323"/>
      <c r="BA872" s="323"/>
      <c r="BB872" s="323"/>
      <c r="BC872" s="323"/>
      <c r="BD872" s="323"/>
      <c r="BE872" s="323"/>
      <c r="BF872" s="323"/>
      <c r="BG872" s="323"/>
      <c r="BH872" s="323"/>
      <c r="BI872" s="323"/>
      <c r="BJ872" s="323"/>
      <c r="BK872" s="323"/>
      <c r="BL872" s="323"/>
      <c r="BM872" s="323"/>
      <c r="BN872" s="323"/>
      <c r="BO872" s="323"/>
      <c r="BP872" s="323"/>
      <c r="BQ872" s="323"/>
      <c r="BR872" s="323"/>
      <c r="BS872" s="323"/>
      <c r="BT872" s="323"/>
      <c r="BU872" s="323"/>
      <c r="BV872" s="323"/>
      <c r="BW872" s="323"/>
      <c r="BX872" s="323"/>
      <c r="BY872" s="323"/>
      <c r="BZ872" s="323"/>
      <c r="CA872" s="323"/>
      <c r="CB872" s="323"/>
      <c r="CC872" s="323"/>
      <c r="CD872" s="329"/>
      <c r="CE872" s="323"/>
      <c r="CF872" s="323"/>
      <c r="CG872" s="323"/>
      <c r="CH872" s="323"/>
      <c r="CI872" s="323"/>
      <c r="CJ872" s="323"/>
      <c r="CK872" s="323"/>
      <c r="CL872" s="323"/>
      <c r="CM872" s="323"/>
      <c r="CN872" s="323"/>
      <c r="CO872" s="323"/>
      <c r="CP872" s="325"/>
      <c r="CQ872" s="323"/>
      <c r="CR872" s="323"/>
      <c r="CS872" s="323"/>
      <c r="CT872" s="323"/>
      <c r="CU872" s="323"/>
      <c r="CV872" s="323"/>
      <c r="CW872" s="323"/>
      <c r="CX872" s="323"/>
      <c r="CY872" s="323"/>
      <c r="CZ872" s="323"/>
      <c r="DA872" s="323"/>
      <c r="DB872" s="1269"/>
      <c r="DC872" s="323"/>
      <c r="DD872" s="323"/>
      <c r="DE872" s="323"/>
      <c r="DF872" s="323"/>
      <c r="DG872" s="323"/>
      <c r="DH872" s="323"/>
      <c r="DI872" s="323"/>
      <c r="DJ872" s="323"/>
      <c r="DK872" s="323"/>
      <c r="DL872" s="323"/>
      <c r="DM872" s="323"/>
      <c r="DN872" s="325"/>
      <c r="DO872" s="323"/>
      <c r="DP872" s="323"/>
      <c r="DQ872" s="323"/>
      <c r="DR872" s="323"/>
      <c r="DS872" s="323"/>
      <c r="DT872" s="323"/>
      <c r="DU872" s="323"/>
      <c r="DV872" s="323"/>
      <c r="DW872" s="323"/>
      <c r="DX872" s="323"/>
      <c r="DY872" s="323"/>
      <c r="DZ872" s="325"/>
      <c r="EA872" s="323"/>
      <c r="EB872" s="323"/>
      <c r="EC872" s="323"/>
      <c r="ED872" s="323"/>
      <c r="EE872" s="323"/>
      <c r="EF872" s="323"/>
      <c r="EG872" s="323"/>
      <c r="EH872" s="323"/>
      <c r="EI872" s="323"/>
      <c r="EJ872" s="323"/>
      <c r="EK872" s="323"/>
      <c r="EL872" s="325"/>
      <c r="EM872" s="323"/>
      <c r="EN872" s="323"/>
      <c r="EO872" s="323"/>
      <c r="EP872" s="323"/>
      <c r="EQ872" s="323"/>
      <c r="ER872" s="323"/>
      <c r="ES872" s="323"/>
      <c r="ET872" s="323"/>
      <c r="EU872" s="323"/>
      <c r="EV872" s="323"/>
      <c r="EW872" s="323"/>
      <c r="EX872" s="325"/>
      <c r="EY872" s="323"/>
      <c r="EZ872" s="323"/>
      <c r="FA872" s="323"/>
      <c r="FB872" s="323"/>
      <c r="FC872" s="323"/>
      <c r="FD872" s="323"/>
      <c r="FE872" s="323"/>
      <c r="FF872" s="323"/>
      <c r="FG872" s="323"/>
      <c r="FH872" s="323"/>
      <c r="FI872" s="323"/>
      <c r="FJ872" s="325"/>
      <c r="FK872" s="323"/>
      <c r="FL872" s="323"/>
      <c r="FM872" s="323"/>
      <c r="FN872" s="323"/>
      <c r="FO872" s="323"/>
      <c r="FP872" s="323"/>
      <c r="FQ872" s="323"/>
      <c r="FR872" s="323"/>
      <c r="FS872" s="323"/>
      <c r="FT872" s="323"/>
      <c r="FU872" s="323"/>
      <c r="FV872" s="323"/>
      <c r="FW872" s="323"/>
      <c r="FX872" s="323"/>
      <c r="FY872" s="323"/>
      <c r="FZ872" s="323"/>
      <c r="GA872" s="323"/>
      <c r="GB872" s="323"/>
      <c r="GC872" s="323"/>
      <c r="GD872" s="323"/>
      <c r="GE872" s="323"/>
      <c r="GF872" s="323"/>
      <c r="GG872" s="323"/>
      <c r="GH872" s="323"/>
      <c r="GI872" s="1654"/>
      <c r="HZ872" s="326"/>
      <c r="IA872" s="1395" t="s">
        <v>3597</v>
      </c>
      <c r="IB872" s="284"/>
      <c r="ID872" s="323"/>
      <c r="IG872" s="323"/>
      <c r="IH872" s="284"/>
      <c r="IJ872" s="323"/>
      <c r="IK872" s="327"/>
      <c r="IM872" s="323"/>
      <c r="IP872" s="323"/>
      <c r="IQ872" s="327"/>
      <c r="IR872" s="327"/>
      <c r="IS872" s="323"/>
      <c r="IT872" s="327"/>
      <c r="IU872" s="327"/>
      <c r="IV872" s="323"/>
      <c r="IW872" s="327"/>
      <c r="IX872" s="327"/>
      <c r="IY872" s="323"/>
      <c r="IZ872" s="327"/>
      <c r="JA872" s="327"/>
      <c r="JB872" s="323"/>
      <c r="JC872" s="327"/>
      <c r="JD872" s="327"/>
      <c r="JE872" s="323"/>
      <c r="JF872" s="327"/>
      <c r="JG872" s="327"/>
      <c r="JH872" s="323"/>
      <c r="JI872" s="327"/>
      <c r="JJ872" s="327">
        <f t="shared" si="1405"/>
        <v>0</v>
      </c>
      <c r="JK872" s="323">
        <f t="shared" si="1398"/>
        <v>0</v>
      </c>
      <c r="JL872" s="327">
        <f t="shared" si="1407"/>
        <v>0</v>
      </c>
      <c r="JM872" s="327">
        <f>(((FISC!AK135+FISC!AK141))*FISC!AK259/1000)</f>
        <v>0</v>
      </c>
      <c r="JN872" s="323">
        <f>FISC!AK1191</f>
        <v>0</v>
      </c>
      <c r="JO872" s="327">
        <f>(((FISC!AK147+FISC!AK153))*FISC!AL259/1000)</f>
        <v>11.443199394367804</v>
      </c>
      <c r="JP872" s="279">
        <f>(((FISC!AL135+FISC!AL141))*FISC!AL259/1000)</f>
        <v>17.175905762709075</v>
      </c>
      <c r="JQ872" s="323">
        <f>FISC!AL1191</f>
        <v>0</v>
      </c>
      <c r="JR872" s="327">
        <f>(((FISC!AL147+FISC!AL153))*FISC!AM259/1000)</f>
        <v>24.911749573337325</v>
      </c>
      <c r="JS872" s="279">
        <f>(((FISC!AM135+FISC!AM141))*FISC!AM259/1000)</f>
        <v>30.760293379844285</v>
      </c>
      <c r="JT872" s="323">
        <f>FISC!AM1191</f>
        <v>2.8386540226660655</v>
      </c>
      <c r="JU872" s="327">
        <f>(((FISC!AM147+FISC!AM153))*FISC!AN259/1000)</f>
        <v>34.355739813332015</v>
      </c>
      <c r="JV872" s="279">
        <f>(((FISC!AN135+FISC!AN141))*FISC!AP259/1000)</f>
        <v>40.13760762423248</v>
      </c>
      <c r="JW872" s="323">
        <f>FISC!AN1191</f>
        <v>10.920358445738996</v>
      </c>
      <c r="JX872" s="327">
        <f>(((FISC!AN147+FISC!AN153))*FISC!AO259/1000)</f>
        <v>37.621380673673329</v>
      </c>
      <c r="JY872" s="279">
        <f>(((FISC!AO135+FISC!AO141))*FISC!AO259/1000)</f>
        <v>37.621380673673329</v>
      </c>
      <c r="JZ872" s="323">
        <f>FISC!AO1191</f>
        <v>22.117499157337303</v>
      </c>
      <c r="KA872" s="327">
        <f>(((FISC!AO147+FISC!AO153))*FISC!AR259/1000)</f>
        <v>42.675347767217573</v>
      </c>
      <c r="KB872" s="279">
        <f>(((FISC!AR135+FISC!AR141))*FISC!AR259/1000)</f>
        <v>40.57146803872952</v>
      </c>
      <c r="KC872" s="323">
        <f>FISC!AP1191</f>
        <v>0</v>
      </c>
      <c r="KD872" s="327">
        <f>(((FISC!AT147+FISC!AT153))*FISC!AU259/1000)</f>
        <v>0</v>
      </c>
      <c r="KE872" s="279">
        <f>(((FISC!AU135+FISC!AU141))*FISC!AU259/1000)</f>
        <v>0</v>
      </c>
      <c r="KF872" s="323">
        <f>FISC!AQ1191</f>
        <v>0</v>
      </c>
      <c r="KG872" s="327">
        <f>(((FISC!AW147+FISC!AW153))*FISC!AX259/1000)</f>
        <v>0</v>
      </c>
      <c r="KH872" s="279">
        <f>(((FISC!AX135+FISC!AX141))*FISC!AX259/1000)</f>
        <v>0</v>
      </c>
      <c r="KI872" s="323">
        <f>FISC!AR1191</f>
        <v>0</v>
      </c>
      <c r="KJ872" s="327">
        <f>(((FISC!AZ147+FISC!AZ153))*FISC!BA259/1000)</f>
        <v>0</v>
      </c>
      <c r="KK872" s="279">
        <f>(((FISC!BA135+FISC!BA141))*FISC!BA259/1000)</f>
        <v>0</v>
      </c>
      <c r="KL872" s="323">
        <f>FISC!AS1191</f>
        <v>0</v>
      </c>
      <c r="KM872" s="327">
        <f>(((FISC!BC147+FISC!BC153))*FISC!BD259/1000)</f>
        <v>0</v>
      </c>
      <c r="KN872" s="279">
        <f>(((FISC!BD135+FISC!BD141))*FISC!BD259/1000)</f>
        <v>0</v>
      </c>
      <c r="KO872" s="323">
        <f>FISC!AT1191</f>
        <v>0</v>
      </c>
      <c r="KU872" s="326"/>
      <c r="KV872" s="327"/>
    </row>
    <row r="873" spans="1:308">
      <c r="A873" s="279"/>
      <c r="D873" s="1415" t="s">
        <v>3678</v>
      </c>
      <c r="E873" s="323"/>
      <c r="F873" s="323"/>
      <c r="G873" s="323"/>
      <c r="H873" s="323"/>
      <c r="I873" s="323"/>
      <c r="J873" s="323"/>
      <c r="K873" s="323"/>
      <c r="L873" s="323"/>
      <c r="M873" s="323"/>
      <c r="N873" s="323"/>
      <c r="O873" s="323"/>
      <c r="P873" s="323"/>
      <c r="Q873" s="323"/>
      <c r="R873" s="323"/>
      <c r="S873" s="323"/>
      <c r="T873" s="323"/>
      <c r="U873" s="323"/>
      <c r="V873" s="323"/>
      <c r="W873" s="323"/>
      <c r="X873" s="323"/>
      <c r="Y873" s="323"/>
      <c r="Z873" s="323"/>
      <c r="AA873" s="323"/>
      <c r="AB873" s="323"/>
      <c r="AC873" s="323"/>
      <c r="AD873" s="323"/>
      <c r="AE873" s="323"/>
      <c r="AF873" s="323"/>
      <c r="AG873" s="323"/>
      <c r="AH873" s="323"/>
      <c r="AI873" s="323"/>
      <c r="AJ873" s="323"/>
      <c r="AK873" s="323"/>
      <c r="AL873" s="323"/>
      <c r="AM873" s="323"/>
      <c r="AN873" s="323"/>
      <c r="AO873" s="323"/>
      <c r="AP873" s="323"/>
      <c r="AQ873" s="323"/>
      <c r="AR873" s="323"/>
      <c r="AS873" s="323"/>
      <c r="AT873" s="323"/>
      <c r="AU873" s="323"/>
      <c r="AV873" s="323"/>
      <c r="AW873" s="323"/>
      <c r="AX873" s="323"/>
      <c r="AY873" s="323"/>
      <c r="AZ873" s="323"/>
      <c r="BA873" s="323"/>
      <c r="BB873" s="323"/>
      <c r="BC873" s="323"/>
      <c r="BD873" s="323"/>
      <c r="BE873" s="323"/>
      <c r="BF873" s="323"/>
      <c r="BG873" s="323"/>
      <c r="BH873" s="323"/>
      <c r="BI873" s="323"/>
      <c r="BJ873" s="323"/>
      <c r="BK873" s="323"/>
      <c r="BL873" s="323"/>
      <c r="BM873" s="323"/>
      <c r="BN873" s="323"/>
      <c r="BO873" s="323"/>
      <c r="BP873" s="323"/>
      <c r="BQ873" s="323"/>
      <c r="BR873" s="323"/>
      <c r="BS873" s="323"/>
      <c r="BT873" s="323"/>
      <c r="BU873" s="323"/>
      <c r="BV873" s="323"/>
      <c r="BW873" s="323"/>
      <c r="BX873" s="323"/>
      <c r="BY873" s="323"/>
      <c r="BZ873" s="323"/>
      <c r="CA873" s="323"/>
      <c r="CB873" s="323"/>
      <c r="CC873" s="323"/>
      <c r="CD873" s="329"/>
      <c r="CE873" s="323"/>
      <c r="CF873" s="323"/>
      <c r="CG873" s="323"/>
      <c r="CH873" s="323"/>
      <c r="CI873" s="323"/>
      <c r="CJ873" s="323"/>
      <c r="CK873" s="323"/>
      <c r="CL873" s="323"/>
      <c r="CM873" s="323"/>
      <c r="CN873" s="323"/>
      <c r="CO873" s="323"/>
      <c r="CP873" s="325"/>
      <c r="CQ873" s="323"/>
      <c r="CR873" s="323"/>
      <c r="CS873" s="323"/>
      <c r="CT873" s="323"/>
      <c r="CU873" s="323"/>
      <c r="CV873" s="323"/>
      <c r="CW873" s="323"/>
      <c r="CX873" s="323"/>
      <c r="CY873" s="323"/>
      <c r="CZ873" s="323"/>
      <c r="DA873" s="323"/>
      <c r="DB873" s="1269"/>
      <c r="DC873" s="323"/>
      <c r="DD873" s="323"/>
      <c r="DE873" s="323"/>
      <c r="DF873" s="323"/>
      <c r="DG873" s="323"/>
      <c r="DH873" s="323"/>
      <c r="DI873" s="323"/>
      <c r="DJ873" s="323"/>
      <c r="DK873" s="323"/>
      <c r="DL873" s="323"/>
      <c r="DM873" s="323"/>
      <c r="DN873" s="325"/>
      <c r="DO873" s="323"/>
      <c r="DP873" s="323"/>
      <c r="DQ873" s="323"/>
      <c r="DR873" s="323"/>
      <c r="DS873" s="323"/>
      <c r="DT873" s="323"/>
      <c r="DU873" s="323"/>
      <c r="DV873" s="323"/>
      <c r="DW873" s="323"/>
      <c r="DX873" s="323"/>
      <c r="DY873" s="323"/>
      <c r="DZ873" s="325"/>
      <c r="EA873" s="323"/>
      <c r="EB873" s="323"/>
      <c r="EC873" s="323"/>
      <c r="ED873" s="323"/>
      <c r="EE873" s="323"/>
      <c r="EF873" s="323"/>
      <c r="EG873" s="323"/>
      <c r="EH873" s="323"/>
      <c r="EI873" s="323"/>
      <c r="EJ873" s="323"/>
      <c r="EK873" s="323"/>
      <c r="EL873" s="325"/>
      <c r="EM873" s="323"/>
      <c r="EN873" s="323"/>
      <c r="EO873" s="323"/>
      <c r="EP873" s="323"/>
      <c r="EQ873" s="323"/>
      <c r="ER873" s="323"/>
      <c r="ES873" s="323"/>
      <c r="ET873" s="323"/>
      <c r="EU873" s="323"/>
      <c r="EV873" s="323"/>
      <c r="EW873" s="323"/>
      <c r="EX873" s="325"/>
      <c r="EY873" s="323"/>
      <c r="EZ873" s="323"/>
      <c r="FA873" s="323"/>
      <c r="FB873" s="323"/>
      <c r="FC873" s="323"/>
      <c r="FD873" s="323"/>
      <c r="FE873" s="323"/>
      <c r="FF873" s="323"/>
      <c r="FG873" s="323"/>
      <c r="FH873" s="323"/>
      <c r="FI873" s="323"/>
      <c r="FJ873" s="325"/>
      <c r="FK873" s="323"/>
      <c r="FL873" s="323"/>
      <c r="FM873" s="323"/>
      <c r="FN873" s="323"/>
      <c r="FO873" s="323"/>
      <c r="FP873" s="323"/>
      <c r="FQ873" s="323"/>
      <c r="FR873" s="323"/>
      <c r="FS873" s="323"/>
      <c r="FT873" s="323"/>
      <c r="FU873" s="323"/>
      <c r="FV873" s="323"/>
      <c r="FW873" s="323"/>
      <c r="FX873" s="323"/>
      <c r="FY873" s="323"/>
      <c r="FZ873" s="323"/>
      <c r="GA873" s="323"/>
      <c r="GB873" s="323"/>
      <c r="GC873" s="323"/>
      <c r="GD873" s="323"/>
      <c r="GE873" s="323"/>
      <c r="GF873" s="323"/>
      <c r="GG873" s="323"/>
      <c r="GH873" s="323"/>
      <c r="GI873" s="1654"/>
      <c r="HZ873" s="326"/>
      <c r="IA873" s="1395" t="s">
        <v>3669</v>
      </c>
      <c r="IB873" s="284"/>
      <c r="ID873" s="323"/>
      <c r="IG873" s="323"/>
      <c r="IH873" s="284"/>
      <c r="IJ873" s="323"/>
      <c r="IK873" s="327"/>
      <c r="IM873" s="323"/>
      <c r="IP873" s="323"/>
      <c r="IQ873" s="327"/>
      <c r="IR873" s="327"/>
      <c r="IS873" s="323"/>
      <c r="IT873" s="327"/>
      <c r="IU873" s="327"/>
      <c r="IV873" s="323"/>
      <c r="IW873" s="327"/>
      <c r="IX873" s="327"/>
      <c r="IY873" s="323"/>
      <c r="IZ873" s="327"/>
      <c r="JA873" s="327"/>
      <c r="JB873" s="323"/>
      <c r="JC873" s="327"/>
      <c r="JD873" s="327"/>
      <c r="JE873" s="323"/>
      <c r="JF873" s="327"/>
      <c r="JG873" s="327"/>
      <c r="JH873" s="323"/>
      <c r="JI873" s="327"/>
      <c r="JJ873" s="327">
        <f t="shared" si="1405"/>
        <v>0</v>
      </c>
      <c r="JK873" s="323">
        <f t="shared" si="1398"/>
        <v>0</v>
      </c>
      <c r="JL873" s="327">
        <f t="shared" si="1407"/>
        <v>0</v>
      </c>
      <c r="JM873" s="327">
        <f>(((FISC!AK136+FISC!AK142))*FISC!AK259/1000)</f>
        <v>0</v>
      </c>
      <c r="JN873" s="323">
        <f>FISC!AK1192</f>
        <v>0</v>
      </c>
      <c r="JO873" s="327">
        <f>(((FISC!AK148+FISC!AK154))*FISC!AL259/1000)</f>
        <v>0</v>
      </c>
      <c r="JP873" s="279">
        <f>(((FISC!AL136+FISC!AL142))*FISC!AL259/1000)</f>
        <v>0</v>
      </c>
      <c r="JQ873" s="323">
        <f>FISC!AL1192</f>
        <v>0</v>
      </c>
      <c r="JR873" s="327">
        <f>(((FISC!AL148+FISC!AL154))*FISC!AM259/1000)</f>
        <v>0</v>
      </c>
      <c r="JS873" s="279">
        <f>(((FISC!AM136+FISC!AM142))*FISC!AM259/1000)</f>
        <v>2.8386540226660655</v>
      </c>
      <c r="JT873" s="323">
        <f>FISC!AM1192</f>
        <v>0</v>
      </c>
      <c r="JU873" s="327">
        <f>(((FISC!AM148+FISC!AM154))*FISC!AN259/1000)</f>
        <v>4.1082815510180675</v>
      </c>
      <c r="JV873" s="279">
        <f>(((FISC!AN136+FISC!AN142))*FISC!AP259/1000)</f>
        <v>7.5733689397867128</v>
      </c>
      <c r="JW873" s="323">
        <f>FISC!AN1192</f>
        <v>0</v>
      </c>
      <c r="JX873" s="327">
        <f>(((FISC!AN148+FISC!AN154))*FISC!AO259/1000)</f>
        <v>10.415244679204807</v>
      </c>
      <c r="JY873" s="279">
        <f>(((FISC!AO136+FISC!AO142))*FISC!AO259/1000)</f>
        <v>11.702254478132499</v>
      </c>
      <c r="JZ873" s="323">
        <f>FISC!AO1192</f>
        <v>0</v>
      </c>
      <c r="KA873" s="327">
        <f>(((FISC!AQ148+FISC!AQ154))*FISC!AR259/1000)</f>
        <v>21.612688414173139</v>
      </c>
      <c r="KB873" s="279">
        <f>(((FISC!AR136+FISC!AR142))*FISC!AR259/1000)</f>
        <v>24.320001619339106</v>
      </c>
      <c r="KC873" s="323">
        <f>FISC!AP1192</f>
        <v>0</v>
      </c>
      <c r="KD873" s="327">
        <f>(((FISC!AT148+FISC!AT154))*FISC!AU259/1000)</f>
        <v>0</v>
      </c>
      <c r="KE873" s="279">
        <f>(((FISC!AU136+FISC!AU142))*FISC!AU259/1000)</f>
        <v>0</v>
      </c>
      <c r="KF873" s="323">
        <f>FISC!AQ1192</f>
        <v>0</v>
      </c>
      <c r="KG873" s="327">
        <f>(((FISC!AW148+FISC!AW154))*FISC!AX259/1000)</f>
        <v>0</v>
      </c>
      <c r="KH873" s="279">
        <f>(((FISC!AX136+FISC!AX142))*FISC!AX259/1000)</f>
        <v>0</v>
      </c>
      <c r="KI873" s="323">
        <f>FISC!AR1192</f>
        <v>0</v>
      </c>
      <c r="KJ873" s="327">
        <f>(((FISC!AZ148+FISC!AZ154))*FISC!BA259/1000)</f>
        <v>0</v>
      </c>
      <c r="KK873" s="279">
        <f>(((FISC!BA136+FISC!BA142))*FISC!BA259/1000)</f>
        <v>0</v>
      </c>
      <c r="KL873" s="323">
        <f>FISC!AS1192</f>
        <v>0</v>
      </c>
      <c r="KM873" s="327">
        <f>(((FISC!BC148+FISC!BC154))*FISC!BD259/1000)</f>
        <v>0</v>
      </c>
      <c r="KN873" s="279">
        <f>(((FISC!BD136+FISC!BD142))*FISC!BD259/1000)</f>
        <v>0</v>
      </c>
      <c r="KO873" s="323">
        <f>FISC!AT1192</f>
        <v>0</v>
      </c>
      <c r="KU873" s="326"/>
      <c r="KV873" s="327"/>
    </row>
    <row r="874" spans="1:308">
      <c r="A874" s="279"/>
      <c r="D874" s="1415" t="s">
        <v>3679</v>
      </c>
      <c r="E874" s="323"/>
      <c r="F874" s="323"/>
      <c r="G874" s="323"/>
      <c r="H874" s="323"/>
      <c r="I874" s="323"/>
      <c r="J874" s="323"/>
      <c r="K874" s="323"/>
      <c r="L874" s="323"/>
      <c r="M874" s="323"/>
      <c r="N874" s="323"/>
      <c r="O874" s="323"/>
      <c r="P874" s="323"/>
      <c r="Q874" s="323"/>
      <c r="R874" s="323"/>
      <c r="S874" s="323"/>
      <c r="T874" s="323"/>
      <c r="U874" s="323"/>
      <c r="V874" s="323"/>
      <c r="W874" s="323"/>
      <c r="X874" s="323"/>
      <c r="Y874" s="323"/>
      <c r="Z874" s="323"/>
      <c r="AA874" s="323"/>
      <c r="AB874" s="323"/>
      <c r="AC874" s="323"/>
      <c r="AD874" s="323"/>
      <c r="AE874" s="323"/>
      <c r="AF874" s="323"/>
      <c r="AG874" s="323"/>
      <c r="AH874" s="323"/>
      <c r="AI874" s="323"/>
      <c r="AJ874" s="323"/>
      <c r="AK874" s="323"/>
      <c r="AL874" s="323"/>
      <c r="AM874" s="323"/>
      <c r="AN874" s="323"/>
      <c r="AO874" s="323"/>
      <c r="AP874" s="323"/>
      <c r="AQ874" s="323"/>
      <c r="AR874" s="323"/>
      <c r="AS874" s="323"/>
      <c r="AT874" s="323"/>
      <c r="AU874" s="323"/>
      <c r="AV874" s="323"/>
      <c r="AW874" s="323"/>
      <c r="AX874" s="323"/>
      <c r="AY874" s="323"/>
      <c r="AZ874" s="323"/>
      <c r="BA874" s="323"/>
      <c r="BB874" s="323"/>
      <c r="BC874" s="323"/>
      <c r="BD874" s="323"/>
      <c r="BE874" s="323"/>
      <c r="BF874" s="323"/>
      <c r="BG874" s="323"/>
      <c r="BH874" s="323"/>
      <c r="BI874" s="323"/>
      <c r="BJ874" s="323"/>
      <c r="BK874" s="323"/>
      <c r="BL874" s="323"/>
      <c r="BM874" s="323"/>
      <c r="BN874" s="323"/>
      <c r="BO874" s="323"/>
      <c r="BP874" s="323"/>
      <c r="BQ874" s="323"/>
      <c r="BR874" s="323"/>
      <c r="BS874" s="323"/>
      <c r="BT874" s="323"/>
      <c r="BU874" s="323"/>
      <c r="BV874" s="323"/>
      <c r="BW874" s="323"/>
      <c r="BX874" s="323"/>
      <c r="BY874" s="323"/>
      <c r="BZ874" s="323"/>
      <c r="CA874" s="323"/>
      <c r="CB874" s="323"/>
      <c r="CC874" s="323"/>
      <c r="CD874" s="329"/>
      <c r="CE874" s="323"/>
      <c r="CF874" s="323"/>
      <c r="CG874" s="323"/>
      <c r="CH874" s="323"/>
      <c r="CI874" s="323"/>
      <c r="CJ874" s="323"/>
      <c r="CK874" s="323"/>
      <c r="CL874" s="323"/>
      <c r="CM874" s="323"/>
      <c r="CN874" s="323"/>
      <c r="CO874" s="323"/>
      <c r="CP874" s="325"/>
      <c r="CQ874" s="323"/>
      <c r="CR874" s="323"/>
      <c r="CS874" s="323"/>
      <c r="CT874" s="323"/>
      <c r="CU874" s="323"/>
      <c r="CV874" s="323"/>
      <c r="CW874" s="323"/>
      <c r="CX874" s="323"/>
      <c r="CY874" s="323"/>
      <c r="CZ874" s="323"/>
      <c r="DA874" s="323"/>
      <c r="DB874" s="1269"/>
      <c r="DC874" s="323"/>
      <c r="DD874" s="323"/>
      <c r="DE874" s="323"/>
      <c r="DF874" s="323"/>
      <c r="DG874" s="323"/>
      <c r="DH874" s="323"/>
      <c r="DI874" s="323"/>
      <c r="DJ874" s="323"/>
      <c r="DK874" s="323"/>
      <c r="DL874" s="323"/>
      <c r="DM874" s="323"/>
      <c r="DN874" s="325"/>
      <c r="DO874" s="323"/>
      <c r="DP874" s="323"/>
      <c r="DQ874" s="323"/>
      <c r="DR874" s="323"/>
      <c r="DS874" s="323"/>
      <c r="DT874" s="323"/>
      <c r="DU874" s="323"/>
      <c r="DV874" s="323"/>
      <c r="DW874" s="323"/>
      <c r="DX874" s="323"/>
      <c r="DY874" s="323"/>
      <c r="DZ874" s="325"/>
      <c r="EA874" s="323"/>
      <c r="EB874" s="323"/>
      <c r="EC874" s="323"/>
      <c r="ED874" s="323"/>
      <c r="EE874" s="323"/>
      <c r="EF874" s="323"/>
      <c r="EG874" s="323"/>
      <c r="EH874" s="323"/>
      <c r="EI874" s="323"/>
      <c r="EJ874" s="323"/>
      <c r="EK874" s="323"/>
      <c r="EL874" s="325"/>
      <c r="EM874" s="323"/>
      <c r="EN874" s="323"/>
      <c r="EO874" s="323"/>
      <c r="EP874" s="323"/>
      <c r="EQ874" s="323"/>
      <c r="ER874" s="323"/>
      <c r="ES874" s="323"/>
      <c r="ET874" s="323"/>
      <c r="EU874" s="323"/>
      <c r="EV874" s="323"/>
      <c r="EW874" s="323"/>
      <c r="EX874" s="325"/>
      <c r="EY874" s="323"/>
      <c r="EZ874" s="323"/>
      <c r="FA874" s="323"/>
      <c r="FB874" s="323"/>
      <c r="FC874" s="323"/>
      <c r="FD874" s="323"/>
      <c r="FE874" s="323"/>
      <c r="FF874" s="323"/>
      <c r="FG874" s="323"/>
      <c r="FH874" s="323"/>
      <c r="FI874" s="323"/>
      <c r="FJ874" s="325"/>
      <c r="FK874" s="323"/>
      <c r="FL874" s="323"/>
      <c r="FM874" s="323"/>
      <c r="FN874" s="323"/>
      <c r="FO874" s="323"/>
      <c r="FP874" s="323"/>
      <c r="FQ874" s="323"/>
      <c r="FR874" s="323"/>
      <c r="FS874" s="323"/>
      <c r="FT874" s="323"/>
      <c r="FU874" s="323"/>
      <c r="FV874" s="323"/>
      <c r="FW874" s="323"/>
      <c r="FX874" s="323"/>
      <c r="FY874" s="323"/>
      <c r="FZ874" s="323"/>
      <c r="GA874" s="323"/>
      <c r="GB874" s="323"/>
      <c r="GC874" s="323"/>
      <c r="GD874" s="323"/>
      <c r="GE874" s="323"/>
      <c r="GF874" s="323"/>
      <c r="GG874" s="323"/>
      <c r="GH874" s="323"/>
      <c r="GI874" s="1654"/>
      <c r="HZ874" s="326"/>
      <c r="IA874" s="1395" t="s">
        <v>3670</v>
      </c>
      <c r="IB874" s="284"/>
      <c r="ID874" s="323"/>
      <c r="IG874" s="323"/>
      <c r="IH874" s="284"/>
      <c r="IJ874" s="323"/>
      <c r="IK874" s="327"/>
      <c r="IM874" s="323"/>
      <c r="IP874" s="323"/>
      <c r="IQ874" s="327"/>
      <c r="IR874" s="327"/>
      <c r="IS874" s="323"/>
      <c r="IT874" s="327"/>
      <c r="IU874" s="327"/>
      <c r="IV874" s="323"/>
      <c r="IW874" s="327"/>
      <c r="IX874" s="327"/>
      <c r="IY874" s="323"/>
      <c r="IZ874" s="327"/>
      <c r="JA874" s="327"/>
      <c r="JB874" s="323"/>
      <c r="JC874" s="327"/>
      <c r="JD874" s="327"/>
      <c r="JE874" s="323"/>
      <c r="JF874" s="327"/>
      <c r="JG874" s="327"/>
      <c r="JH874" s="323"/>
      <c r="JI874" s="327"/>
      <c r="JJ874" s="327">
        <f t="shared" si="1405"/>
        <v>0</v>
      </c>
      <c r="JK874" s="323">
        <f t="shared" si="1398"/>
        <v>0</v>
      </c>
      <c r="JL874" s="327">
        <f t="shared" si="1407"/>
        <v>0</v>
      </c>
      <c r="JM874" s="327">
        <f>(((FISC!AK137+FISC!AK143))*FISC!AK259/1000)</f>
        <v>0</v>
      </c>
      <c r="JN874" s="323">
        <f>FISC!AK1193</f>
        <v>40.828172077023005</v>
      </c>
      <c r="JO874" s="327">
        <f>(((FISC!AK149+FISC!AK155))*FISC!AL259/1000)</f>
        <v>0</v>
      </c>
      <c r="JP874" s="279">
        <f>(((FISC!AL137+FISC!AL143))*FISC!AL259/1000)</f>
        <v>0</v>
      </c>
      <c r="JQ874" s="323">
        <f>FISC!AL1193</f>
        <v>35.397157248888973</v>
      </c>
      <c r="JR874" s="327">
        <f>(((FISC!AL149+FISC!AL155))*FISC!AM259/1000)</f>
        <v>0</v>
      </c>
      <c r="JS874" s="279">
        <f>(((FISC!AM137+FISC!AM143))*FISC!AM259/1000)</f>
        <v>0</v>
      </c>
      <c r="JT874" s="323">
        <f>FISC!AM1193</f>
        <v>20.265153442851901</v>
      </c>
      <c r="JU874" s="327">
        <f>(((FISC!AM149+FISC!AM155))*FISC!AN259/1000)</f>
        <v>0</v>
      </c>
      <c r="JV874" s="279">
        <f>(((FISC!AN137+FISC!AN143))*FISC!AP259/1000)</f>
        <v>0</v>
      </c>
      <c r="JW874" s="323">
        <f>FISC!AN1193</f>
        <v>0.50335476725579309</v>
      </c>
      <c r="JX874" s="327">
        <f>(((FISC!AN149+FISC!AN155))*FISC!AO259/1000)</f>
        <v>0</v>
      </c>
      <c r="JY874" s="279">
        <f>(((FISC!AO137+FISC!AO143))*FISC!AO259/1000)</f>
        <v>0</v>
      </c>
      <c r="JZ874" s="323">
        <f>FISC!AO1193</f>
        <v>0.11321709045740443</v>
      </c>
      <c r="KA874" s="327">
        <f>(((FISC!AQ149+FISC!AQ155))*FISC!AR259/1000)</f>
        <v>0</v>
      </c>
      <c r="KB874" s="279">
        <f>(((FISC!AR137+FISC!AR143))*FISC!AR259/1000)</f>
        <v>0</v>
      </c>
      <c r="KC874" s="323">
        <f>FISC!AP1193</f>
        <v>0</v>
      </c>
      <c r="KD874" s="327">
        <f>(((FISC!AT149+FISC!AT155))*FISC!AU259/1000)</f>
        <v>0</v>
      </c>
      <c r="KE874" s="279">
        <f>(((FISC!AU137+FISC!AU143))*FISC!AU259/1000)</f>
        <v>0</v>
      </c>
      <c r="KF874" s="323">
        <f>FISC!AQ1193</f>
        <v>0</v>
      </c>
      <c r="KG874" s="327">
        <f>(((FISC!AW149+FISC!AW155))*FISC!AX259/1000)</f>
        <v>0</v>
      </c>
      <c r="KH874" s="279">
        <f>(((FISC!AX137+FISC!AX143))*FISC!AX259/1000)</f>
        <v>0</v>
      </c>
      <c r="KI874" s="323">
        <f>FISC!AR1193</f>
        <v>0</v>
      </c>
      <c r="KJ874" s="327">
        <f>(((FISC!AZ149+FISC!AZ155))*FISC!BA259/1000)</f>
        <v>0</v>
      </c>
      <c r="KK874" s="279">
        <f>(((FISC!BA137+FISC!BA143))*FISC!BA259/1000)</f>
        <v>0</v>
      </c>
      <c r="KL874" s="323">
        <f>FISC!AS1193</f>
        <v>0</v>
      </c>
      <c r="KM874" s="327">
        <f>(((FISC!BC149+FISC!BC155))*FISC!BD259/1000)</f>
        <v>0</v>
      </c>
      <c r="KN874" s="279">
        <f>(((FISC!BD137+FISC!BD143))*FISC!BD259/1000)</f>
        <v>0</v>
      </c>
      <c r="KO874" s="323">
        <f>FISC!AT1193</f>
        <v>0</v>
      </c>
      <c r="KU874" s="326"/>
      <c r="KV874" s="327"/>
    </row>
    <row r="875" spans="1:308">
      <c r="A875" s="279"/>
      <c r="D875" s="1415" t="s">
        <v>3219</v>
      </c>
      <c r="E875" s="323"/>
      <c r="F875" s="323"/>
      <c r="G875" s="323"/>
      <c r="H875" s="323"/>
      <c r="I875" s="323"/>
      <c r="J875" s="323"/>
      <c r="K875" s="323"/>
      <c r="L875" s="323"/>
      <c r="M875" s="323"/>
      <c r="N875" s="323"/>
      <c r="O875" s="323"/>
      <c r="P875" s="323"/>
      <c r="Q875" s="323"/>
      <c r="R875" s="323"/>
      <c r="S875" s="323"/>
      <c r="T875" s="323"/>
      <c r="U875" s="323"/>
      <c r="V875" s="323"/>
      <c r="W875" s="323"/>
      <c r="X875" s="323"/>
      <c r="Y875" s="323"/>
      <c r="Z875" s="323"/>
      <c r="AA875" s="323"/>
      <c r="AB875" s="323"/>
      <c r="AC875" s="323"/>
      <c r="AD875" s="323"/>
      <c r="AE875" s="323"/>
      <c r="AF875" s="323"/>
      <c r="AG875" s="323"/>
      <c r="AH875" s="323"/>
      <c r="AI875" s="323"/>
      <c r="AJ875" s="323"/>
      <c r="AK875" s="323"/>
      <c r="AL875" s="323"/>
      <c r="AM875" s="323"/>
      <c r="AN875" s="323"/>
      <c r="AO875" s="323"/>
      <c r="AP875" s="323"/>
      <c r="AQ875" s="323"/>
      <c r="AR875" s="323"/>
      <c r="AS875" s="323"/>
      <c r="AT875" s="323"/>
      <c r="AU875" s="323"/>
      <c r="AV875" s="323"/>
      <c r="AW875" s="323"/>
      <c r="AX875" s="323"/>
      <c r="AY875" s="323"/>
      <c r="AZ875" s="323"/>
      <c r="BA875" s="323"/>
      <c r="BB875" s="323"/>
      <c r="BC875" s="323"/>
      <c r="BD875" s="323"/>
      <c r="BE875" s="323"/>
      <c r="BF875" s="323"/>
      <c r="BG875" s="323"/>
      <c r="BH875" s="323"/>
      <c r="BI875" s="323"/>
      <c r="BJ875" s="323"/>
      <c r="BK875" s="323"/>
      <c r="BL875" s="323"/>
      <c r="BM875" s="323"/>
      <c r="BN875" s="323"/>
      <c r="BO875" s="323"/>
      <c r="BP875" s="323"/>
      <c r="BQ875" s="323"/>
      <c r="BR875" s="323"/>
      <c r="BS875" s="323"/>
      <c r="BT875" s="323"/>
      <c r="BU875" s="323"/>
      <c r="BV875" s="323"/>
      <c r="BW875" s="323"/>
      <c r="BX875" s="323"/>
      <c r="BY875" s="323"/>
      <c r="BZ875" s="323"/>
      <c r="CA875" s="323"/>
      <c r="CB875" s="323"/>
      <c r="CC875" s="323"/>
      <c r="CD875" s="329"/>
      <c r="CE875" s="323"/>
      <c r="CF875" s="323"/>
      <c r="CG875" s="323"/>
      <c r="CH875" s="323"/>
      <c r="CI875" s="323"/>
      <c r="CJ875" s="323"/>
      <c r="CK875" s="323"/>
      <c r="CL875" s="323"/>
      <c r="CM875" s="323"/>
      <c r="CN875" s="323"/>
      <c r="CO875" s="323"/>
      <c r="CP875" s="325"/>
      <c r="CQ875" s="323"/>
      <c r="CR875" s="323"/>
      <c r="CS875" s="323"/>
      <c r="CT875" s="323"/>
      <c r="CU875" s="323"/>
      <c r="CV875" s="323"/>
      <c r="CW875" s="323"/>
      <c r="CX875" s="323"/>
      <c r="CY875" s="323"/>
      <c r="CZ875" s="323"/>
      <c r="DA875" s="323"/>
      <c r="DB875" s="1269"/>
      <c r="DC875" s="323"/>
      <c r="DD875" s="323"/>
      <c r="DE875" s="323"/>
      <c r="DF875" s="323"/>
      <c r="DG875" s="323"/>
      <c r="DH875" s="323"/>
      <c r="DI875" s="323"/>
      <c r="DJ875" s="323"/>
      <c r="DK875" s="323"/>
      <c r="DL875" s="323"/>
      <c r="DM875" s="323"/>
      <c r="DN875" s="325"/>
      <c r="DO875" s="323"/>
      <c r="DP875" s="323"/>
      <c r="DQ875" s="323"/>
      <c r="DR875" s="323"/>
      <c r="DS875" s="323"/>
      <c r="DT875" s="323"/>
      <c r="DU875" s="323"/>
      <c r="DV875" s="323"/>
      <c r="DW875" s="323"/>
      <c r="DX875" s="323"/>
      <c r="DY875" s="323"/>
      <c r="DZ875" s="325"/>
      <c r="EA875" s="323"/>
      <c r="EB875" s="323"/>
      <c r="EC875" s="323"/>
      <c r="ED875" s="323"/>
      <c r="EE875" s="323"/>
      <c r="EF875" s="323"/>
      <c r="EG875" s="323"/>
      <c r="EH875" s="323"/>
      <c r="EI875" s="323"/>
      <c r="EJ875" s="323"/>
      <c r="EK875" s="323"/>
      <c r="EL875" s="325"/>
      <c r="EM875" s="323"/>
      <c r="EN875" s="323"/>
      <c r="EO875" s="323"/>
      <c r="EP875" s="323"/>
      <c r="EQ875" s="323"/>
      <c r="ER875" s="323"/>
      <c r="ES875" s="323"/>
      <c r="ET875" s="323"/>
      <c r="EU875" s="323"/>
      <c r="EV875" s="323"/>
      <c r="EW875" s="323"/>
      <c r="EX875" s="325"/>
      <c r="EY875" s="323"/>
      <c r="EZ875" s="323"/>
      <c r="FA875" s="323"/>
      <c r="FB875" s="323"/>
      <c r="FC875" s="323"/>
      <c r="FD875" s="323"/>
      <c r="FE875" s="323"/>
      <c r="FF875" s="323"/>
      <c r="FG875" s="323"/>
      <c r="FH875" s="323"/>
      <c r="FI875" s="323"/>
      <c r="FJ875" s="325"/>
      <c r="FK875" s="323"/>
      <c r="FL875" s="323"/>
      <c r="FM875" s="323"/>
      <c r="FN875" s="323"/>
      <c r="FO875" s="323"/>
      <c r="FP875" s="323"/>
      <c r="FQ875" s="323"/>
      <c r="FR875" s="323"/>
      <c r="FS875" s="323"/>
      <c r="FT875" s="323"/>
      <c r="FU875" s="323"/>
      <c r="FV875" s="323"/>
      <c r="FW875" s="323"/>
      <c r="FX875" s="323"/>
      <c r="FY875" s="323"/>
      <c r="FZ875" s="323"/>
      <c r="GA875" s="323"/>
      <c r="GB875" s="323"/>
      <c r="GC875" s="323"/>
      <c r="GD875" s="323"/>
      <c r="GE875" s="323"/>
      <c r="GF875" s="323"/>
      <c r="GG875" s="323"/>
      <c r="GH875" s="323"/>
      <c r="GI875" s="1654"/>
      <c r="HZ875" s="326"/>
      <c r="IA875" s="1395" t="s">
        <v>3230</v>
      </c>
      <c r="IB875" s="284"/>
      <c r="ID875" s="323"/>
      <c r="IG875" s="323"/>
      <c r="IH875" s="284"/>
      <c r="IJ875" s="323"/>
      <c r="IK875" s="327"/>
      <c r="IM875" s="323"/>
      <c r="IP875" s="323"/>
      <c r="IQ875" s="327"/>
      <c r="IR875" s="327"/>
      <c r="IS875" s="323"/>
      <c r="IT875" s="327"/>
      <c r="IU875" s="327"/>
      <c r="IV875" s="323"/>
      <c r="IW875" s="327"/>
      <c r="IX875" s="327"/>
      <c r="IY875" s="323"/>
      <c r="IZ875" s="327"/>
      <c r="JA875" s="327"/>
      <c r="JB875" s="323"/>
      <c r="JC875" s="327"/>
      <c r="JD875" s="327"/>
      <c r="JE875" s="323"/>
      <c r="JF875" s="327"/>
      <c r="JG875" s="327"/>
      <c r="JH875" s="323"/>
      <c r="JI875" s="327"/>
      <c r="JJ875" s="327">
        <f t="shared" si="1405"/>
        <v>0</v>
      </c>
      <c r="JK875" s="323">
        <f t="shared" si="1398"/>
        <v>0</v>
      </c>
      <c r="JL875" s="327">
        <f t="shared" si="1407"/>
        <v>0</v>
      </c>
      <c r="JM875" s="279">
        <f>JN875-JL875</f>
        <v>0</v>
      </c>
      <c r="JN875" s="323">
        <f>FISC!AK1194</f>
        <v>0</v>
      </c>
      <c r="JO875" s="327">
        <v>0</v>
      </c>
      <c r="JP875" s="279">
        <v>0</v>
      </c>
      <c r="JQ875" s="323">
        <f>FISC!AL1194</f>
        <v>0</v>
      </c>
      <c r="JR875" s="327">
        <v>0</v>
      </c>
      <c r="JS875" s="279">
        <v>0</v>
      </c>
      <c r="JT875" s="323">
        <f>FISC!AM1194</f>
        <v>0</v>
      </c>
      <c r="JU875" s="327">
        <v>0</v>
      </c>
      <c r="JV875" s="279">
        <v>0</v>
      </c>
      <c r="JW875" s="323">
        <f>FISC!AN1194</f>
        <v>0</v>
      </c>
      <c r="JX875" s="327">
        <v>0</v>
      </c>
      <c r="JY875" s="279">
        <v>0</v>
      </c>
      <c r="JZ875" s="323">
        <f>FISC!AO1194</f>
        <v>0</v>
      </c>
      <c r="KA875" s="327">
        <v>0</v>
      </c>
      <c r="KB875" s="279">
        <v>0</v>
      </c>
      <c r="KC875" s="323">
        <f>FISC!AP1194</f>
        <v>0</v>
      </c>
      <c r="KD875" s="327">
        <v>0</v>
      </c>
      <c r="KE875" s="279">
        <v>0</v>
      </c>
      <c r="KF875" s="323">
        <f>FISC!AQ1194</f>
        <v>0</v>
      </c>
      <c r="KG875" s="327">
        <v>0</v>
      </c>
      <c r="KH875" s="279">
        <v>0</v>
      </c>
      <c r="KI875" s="323">
        <f>FISC!AR1194</f>
        <v>0</v>
      </c>
      <c r="KJ875" s="327">
        <v>0</v>
      </c>
      <c r="KK875" s="279">
        <v>0</v>
      </c>
      <c r="KL875" s="323">
        <f>FISC!AS1194</f>
        <v>0</v>
      </c>
      <c r="KM875" s="327">
        <v>0</v>
      </c>
      <c r="KN875" s="279">
        <v>0</v>
      </c>
      <c r="KO875" s="323">
        <f>FISC!AT1194</f>
        <v>0</v>
      </c>
      <c r="KU875" s="326"/>
      <c r="KV875" s="327"/>
    </row>
    <row r="876" spans="1:308">
      <c r="A876" s="279"/>
      <c r="B876" s="96" t="s">
        <v>338</v>
      </c>
      <c r="D876" s="334" t="s">
        <v>531</v>
      </c>
      <c r="E876" s="323"/>
      <c r="F876" s="323"/>
      <c r="G876" s="323"/>
      <c r="H876" s="323"/>
      <c r="I876" s="323"/>
      <c r="J876" s="323"/>
      <c r="K876" s="323"/>
      <c r="L876" s="323"/>
      <c r="M876" s="323"/>
      <c r="N876" s="323"/>
      <c r="O876" s="323"/>
      <c r="P876" s="323"/>
      <c r="Q876" s="323"/>
      <c r="R876" s="323"/>
      <c r="S876" s="323"/>
      <c r="T876" s="323"/>
      <c r="U876" s="323"/>
      <c r="V876" s="323"/>
      <c r="W876" s="323"/>
      <c r="X876" s="323"/>
      <c r="Y876" s="323"/>
      <c r="Z876" s="323"/>
      <c r="AA876" s="323"/>
      <c r="AB876" s="323"/>
      <c r="AC876" s="323"/>
      <c r="AD876" s="323"/>
      <c r="AE876" s="323"/>
      <c r="AF876" s="323"/>
      <c r="AG876" s="323"/>
      <c r="AH876" s="323"/>
      <c r="AI876" s="323"/>
      <c r="AJ876" s="323"/>
      <c r="AK876" s="323"/>
      <c r="AL876" s="323"/>
      <c r="AM876" s="323"/>
      <c r="AN876" s="323"/>
      <c r="AO876" s="323">
        <v>0</v>
      </c>
      <c r="AP876" s="323">
        <v>0</v>
      </c>
      <c r="AQ876" s="323">
        <v>0</v>
      </c>
      <c r="AR876" s="323">
        <v>0</v>
      </c>
      <c r="AS876" s="323">
        <v>0</v>
      </c>
      <c r="AT876" s="323">
        <v>0</v>
      </c>
      <c r="AU876" s="323">
        <v>0</v>
      </c>
      <c r="AV876" s="323">
        <v>0</v>
      </c>
      <c r="AW876" s="323">
        <v>0</v>
      </c>
      <c r="AX876" s="323">
        <v>0</v>
      </c>
      <c r="AY876" s="323">
        <v>0</v>
      </c>
      <c r="AZ876" s="323">
        <v>0</v>
      </c>
      <c r="BA876" s="323">
        <v>0</v>
      </c>
      <c r="BB876" s="323">
        <v>0</v>
      </c>
      <c r="BC876" s="323">
        <v>0</v>
      </c>
      <c r="BD876" s="323">
        <v>0</v>
      </c>
      <c r="BE876" s="323">
        <v>0</v>
      </c>
      <c r="BF876" s="323">
        <v>0</v>
      </c>
      <c r="BG876" s="323">
        <v>0</v>
      </c>
      <c r="BH876" s="323">
        <v>0.295810134</v>
      </c>
      <c r="BI876" s="323">
        <v>2.1481728659999999</v>
      </c>
      <c r="BJ876" s="323">
        <v>0.26642403199999998</v>
      </c>
      <c r="BK876" s="323">
        <v>1.76412624</v>
      </c>
      <c r="BL876" s="323">
        <v>1.4626336339999999</v>
      </c>
      <c r="BM876" s="323">
        <v>0.82027575399999997</v>
      </c>
      <c r="BN876" s="323">
        <v>1.2502861080000001</v>
      </c>
      <c r="BO876" s="323">
        <v>1.802085683</v>
      </c>
      <c r="BP876" s="323">
        <v>0.46797952599999998</v>
      </c>
      <c r="BQ876" s="323">
        <v>0.301244605</v>
      </c>
      <c r="BR876" s="323">
        <v>2.1416643340000001</v>
      </c>
      <c r="BS876" s="323">
        <v>1.5732561999999999E-2</v>
      </c>
      <c r="BT876" s="323">
        <v>0.95036257499999999</v>
      </c>
      <c r="BU876" s="323">
        <v>1.3537466E-2</v>
      </c>
      <c r="BV876" s="323">
        <v>2.4275218239999998</v>
      </c>
      <c r="BW876" s="323">
        <v>1.8822634629999999</v>
      </c>
      <c r="BX876" s="323">
        <v>1.1197607650000001</v>
      </c>
      <c r="BY876" s="323">
        <v>1.6804698010000001</v>
      </c>
      <c r="BZ876" s="323">
        <v>0.83531720399999998</v>
      </c>
      <c r="CA876" s="323">
        <v>0.68247785599999999</v>
      </c>
      <c r="CB876" s="323">
        <v>2.2666474490000001</v>
      </c>
      <c r="CC876" s="323">
        <v>1.2102058950000001</v>
      </c>
      <c r="CD876" s="329">
        <v>3.660926672</v>
      </c>
      <c r="CE876" s="323">
        <f t="shared" ref="CE876:DJ876" si="1639">CE455</f>
        <v>0.91287137277799746</v>
      </c>
      <c r="CF876" s="323">
        <f t="shared" si="1639"/>
        <v>2.6440019562175725</v>
      </c>
      <c r="CG876" s="323">
        <f t="shared" si="1639"/>
        <v>1.8232696501794503</v>
      </c>
      <c r="CH876" s="323">
        <f t="shared" si="1639"/>
        <v>1.003543253476</v>
      </c>
      <c r="CI876" s="323">
        <f t="shared" si="1639"/>
        <v>2.0724815196329995</v>
      </c>
      <c r="CJ876" s="323">
        <f t="shared" si="1639"/>
        <v>1.4396311112401539</v>
      </c>
      <c r="CK876" s="323">
        <f t="shared" si="1639"/>
        <v>1.112374852024002</v>
      </c>
      <c r="CL876" s="323">
        <f t="shared" si="1639"/>
        <v>0.9939060787571673</v>
      </c>
      <c r="CM876" s="323">
        <f t="shared" si="1639"/>
        <v>1.7816367285922678</v>
      </c>
      <c r="CN876" s="323">
        <f t="shared" si="1639"/>
        <v>1.1560964636119997</v>
      </c>
      <c r="CO876" s="323">
        <f t="shared" si="1639"/>
        <v>1.1988465443248493</v>
      </c>
      <c r="CP876" s="325">
        <f t="shared" si="1639"/>
        <v>1.9066930600305543</v>
      </c>
      <c r="CQ876" s="323">
        <f t="shared" si="1639"/>
        <v>0.89509302121562162</v>
      </c>
      <c r="CR876" s="323">
        <f t="shared" si="1639"/>
        <v>2.3775702459999999</v>
      </c>
      <c r="CS876" s="323">
        <f t="shared" si="1639"/>
        <v>0.90811469600000005</v>
      </c>
      <c r="CT876" s="323">
        <f t="shared" si="1639"/>
        <v>0.99845654799999994</v>
      </c>
      <c r="CU876" s="323">
        <f t="shared" si="1639"/>
        <v>2.4439537179999999</v>
      </c>
      <c r="CV876" s="323">
        <f t="shared" si="1639"/>
        <v>0.82912205999999999</v>
      </c>
      <c r="CW876" s="323">
        <f t="shared" si="1639"/>
        <v>0.98295110763615112</v>
      </c>
      <c r="CX876" s="323">
        <f t="shared" si="1639"/>
        <v>2.2928199899999999</v>
      </c>
      <c r="CY876" s="323">
        <f t="shared" si="1639"/>
        <v>1.3823001970000002</v>
      </c>
      <c r="CZ876" s="323">
        <f t="shared" si="1639"/>
        <v>0.9260694413638757</v>
      </c>
      <c r="DA876" s="323">
        <f t="shared" si="1639"/>
        <v>2.73287871</v>
      </c>
      <c r="DB876" s="1269">
        <f t="shared" si="1639"/>
        <v>1.4922935579999999</v>
      </c>
      <c r="DC876" s="323">
        <f t="shared" si="1639"/>
        <v>1.013739671850697</v>
      </c>
      <c r="DD876" s="323">
        <f t="shared" si="1639"/>
        <v>3.8155369459999999</v>
      </c>
      <c r="DE876" s="323">
        <f t="shared" si="1639"/>
        <v>1.2607246313999998</v>
      </c>
      <c r="DF876" s="323">
        <f t="shared" si="1639"/>
        <v>1.327297921581104</v>
      </c>
      <c r="DG876" s="323">
        <f t="shared" si="1639"/>
        <v>4.0140894349999998</v>
      </c>
      <c r="DH876" s="323">
        <f t="shared" si="1639"/>
        <v>1.004022024</v>
      </c>
      <c r="DI876" s="323">
        <f t="shared" si="1639"/>
        <v>1.1573102669999999</v>
      </c>
      <c r="DJ876" s="323">
        <f t="shared" si="1639"/>
        <v>4.0698216370000004</v>
      </c>
      <c r="DK876" s="323">
        <f t="shared" ref="DK876:EP876" si="1640">DK455</f>
        <v>1.2266172930000008</v>
      </c>
      <c r="DL876" s="323">
        <f t="shared" si="1640"/>
        <v>1.0815417723131717</v>
      </c>
      <c r="DM876" s="323">
        <f t="shared" si="1640"/>
        <v>4.1636333206521741</v>
      </c>
      <c r="DN876" s="325">
        <f t="shared" si="1640"/>
        <v>1.3604877480800004</v>
      </c>
      <c r="DO876" s="323">
        <f t="shared" si="1640"/>
        <v>1.235177484</v>
      </c>
      <c r="DP876" s="323">
        <f t="shared" si="1640"/>
        <v>0.58269444500000001</v>
      </c>
      <c r="DQ876" s="323">
        <f t="shared" si="1640"/>
        <v>7.3106368909999997</v>
      </c>
      <c r="DR876" s="323">
        <f t="shared" si="1640"/>
        <v>1.269235978</v>
      </c>
      <c r="DS876" s="323">
        <f t="shared" si="1640"/>
        <v>5.6513437289999997</v>
      </c>
      <c r="DT876" s="323">
        <f t="shared" si="1640"/>
        <v>2.5076567299999999</v>
      </c>
      <c r="DU876" s="323">
        <f t="shared" si="1640"/>
        <v>1.8843587500000001</v>
      </c>
      <c r="DV876" s="323">
        <f t="shared" si="1640"/>
        <v>6.8498788730000006</v>
      </c>
      <c r="DW876" s="323">
        <f t="shared" si="1640"/>
        <v>0.35625000000000001</v>
      </c>
      <c r="DX876" s="323">
        <f t="shared" si="1640"/>
        <v>3.566209593</v>
      </c>
      <c r="DY876" s="323">
        <f t="shared" si="1640"/>
        <v>1.15412743</v>
      </c>
      <c r="DZ876" s="325">
        <f t="shared" si="1640"/>
        <v>2.8856853930000002</v>
      </c>
      <c r="EA876" s="323">
        <f t="shared" si="1640"/>
        <v>2.1337011619999999</v>
      </c>
      <c r="EB876" s="323">
        <f t="shared" si="1640"/>
        <v>7.065974862</v>
      </c>
      <c r="EC876" s="323">
        <f t="shared" si="1640"/>
        <v>2.810076848</v>
      </c>
      <c r="ED876" s="323">
        <f t="shared" si="1640"/>
        <v>2.002213716</v>
      </c>
      <c r="EE876" s="323">
        <f t="shared" si="1640"/>
        <v>7.1626959770000003</v>
      </c>
      <c r="EF876" s="323">
        <f t="shared" si="1640"/>
        <v>2.4804715669999999</v>
      </c>
      <c r="EG876" s="323">
        <f t="shared" si="1640"/>
        <v>2.2338352590000001</v>
      </c>
      <c r="EH876" s="323">
        <f t="shared" si="1640"/>
        <v>7.9621197469999991</v>
      </c>
      <c r="EI876" s="323">
        <f t="shared" si="1640"/>
        <v>0.34307549599999998</v>
      </c>
      <c r="EJ876" s="323">
        <f t="shared" si="1640"/>
        <v>4.1642875720000001</v>
      </c>
      <c r="EK876" s="323">
        <f t="shared" si="1640"/>
        <v>6.2518750000000001</v>
      </c>
      <c r="EL876" s="325">
        <f t="shared" si="1640"/>
        <v>4.2896853220000004</v>
      </c>
      <c r="EM876" s="323">
        <f t="shared" si="1640"/>
        <v>2.228758729166457</v>
      </c>
      <c r="EN876" s="323">
        <f t="shared" si="1640"/>
        <v>7.9635574682075188</v>
      </c>
      <c r="EO876" s="323">
        <f t="shared" si="1640"/>
        <v>2.6397766795801307</v>
      </c>
      <c r="EP876" s="323">
        <f t="shared" si="1640"/>
        <v>2.0865679931982122</v>
      </c>
      <c r="EQ876" s="323">
        <f t="shared" ref="EQ876:FV876" si="1641">EQ455</f>
        <v>2.2005343650000002</v>
      </c>
      <c r="ER876" s="323">
        <f t="shared" si="1641"/>
        <v>10.34234914812088</v>
      </c>
      <c r="ES876" s="323">
        <f t="shared" si="1641"/>
        <v>2.8476184939999998</v>
      </c>
      <c r="ET876" s="323">
        <f t="shared" si="1641"/>
        <v>8.8725304500000011</v>
      </c>
      <c r="EU876" s="323">
        <f t="shared" si="1641"/>
        <v>2.0579719870000002</v>
      </c>
      <c r="EV876" s="323">
        <f t="shared" si="1641"/>
        <v>1.4585385360000001</v>
      </c>
      <c r="EW876" s="323">
        <f t="shared" si="1641"/>
        <v>10.389073190000001</v>
      </c>
      <c r="EX876" s="325">
        <f t="shared" si="1641"/>
        <v>1.516211926</v>
      </c>
      <c r="EY876" s="323">
        <f t="shared" si="1641"/>
        <v>1.9953984659999999</v>
      </c>
      <c r="EZ876" s="323">
        <f t="shared" si="1641"/>
        <v>12.017003176999999</v>
      </c>
      <c r="FA876" s="323">
        <f t="shared" si="1641"/>
        <v>1.34400919</v>
      </c>
      <c r="FB876" s="323">
        <f t="shared" si="1641"/>
        <v>4.4300871810000002</v>
      </c>
      <c r="FC876" s="323">
        <f t="shared" si="1641"/>
        <v>13.811664832</v>
      </c>
      <c r="FD876" s="323">
        <f t="shared" si="1641"/>
        <v>5.4821694860000001</v>
      </c>
      <c r="FE876" s="323">
        <f t="shared" si="1641"/>
        <v>3.1499937920000001</v>
      </c>
      <c r="FF876" s="323">
        <f t="shared" si="1641"/>
        <v>12.751089638</v>
      </c>
      <c r="FG876" s="323">
        <f t="shared" si="1641"/>
        <v>3.8314582430000002</v>
      </c>
      <c r="FH876" s="323">
        <f t="shared" si="1641"/>
        <v>6.4921787229999994</v>
      </c>
      <c r="FI876" s="323">
        <f t="shared" si="1641"/>
        <v>6.2867501839999997</v>
      </c>
      <c r="FJ876" s="325">
        <f t="shared" si="1641"/>
        <v>6.7099874919999998</v>
      </c>
      <c r="FK876" s="323">
        <f t="shared" si="1641"/>
        <v>4.4636755949999998</v>
      </c>
      <c r="FL876" s="323">
        <f t="shared" si="1641"/>
        <v>16.899956773</v>
      </c>
      <c r="FM876" s="323">
        <f t="shared" si="1641"/>
        <v>5.819656954</v>
      </c>
      <c r="FN876" s="323">
        <f t="shared" si="1641"/>
        <v>2.1485233610000001</v>
      </c>
      <c r="FO876" s="323">
        <f t="shared" si="1641"/>
        <v>17.866421719999998</v>
      </c>
      <c r="FP876" s="323">
        <f t="shared" si="1641"/>
        <v>3.8656419530000004</v>
      </c>
      <c r="FQ876" s="323">
        <f t="shared" si="1641"/>
        <v>4.7048165869999998</v>
      </c>
      <c r="FR876" s="323">
        <f t="shared" si="1641"/>
        <v>21.759187754999658</v>
      </c>
      <c r="FS876" s="323">
        <f t="shared" si="1641"/>
        <v>6.0728433150000001</v>
      </c>
      <c r="FT876" s="323">
        <f t="shared" si="1641"/>
        <v>3.2050342299999999</v>
      </c>
      <c r="FU876" s="323">
        <f t="shared" si="1641"/>
        <v>21.412382133999998</v>
      </c>
      <c r="FV876" s="323">
        <f t="shared" si="1641"/>
        <v>5.2907410247056772</v>
      </c>
      <c r="FW876" s="323">
        <f t="shared" ref="FW876:HB876" si="1642">FW455</f>
        <v>7.2843680590000002</v>
      </c>
      <c r="FX876" s="323">
        <f t="shared" si="1642"/>
        <v>28.532119584</v>
      </c>
      <c r="FY876" s="323">
        <f t="shared" si="1642"/>
        <v>4.7649259050000001</v>
      </c>
      <c r="FZ876" s="323">
        <f t="shared" si="1642"/>
        <v>3.1639988880000001</v>
      </c>
      <c r="GA876" s="323">
        <f t="shared" si="1642"/>
        <v>24.844301186999999</v>
      </c>
      <c r="GB876" s="323">
        <f t="shared" si="1642"/>
        <v>5.7843948059999999</v>
      </c>
      <c r="GC876" s="323">
        <f t="shared" si="1642"/>
        <v>4.7383394899999995</v>
      </c>
      <c r="GD876" s="323">
        <f t="shared" si="1642"/>
        <v>29.999293304000002</v>
      </c>
      <c r="GE876" s="323">
        <f t="shared" si="1642"/>
        <v>4.5391355600000001</v>
      </c>
      <c r="GF876" s="323">
        <f t="shared" si="1642"/>
        <v>1.7747785490000001</v>
      </c>
      <c r="GG876" s="323">
        <f t="shared" si="1642"/>
        <v>30.590790138000003</v>
      </c>
      <c r="GH876" s="323">
        <f t="shared" si="1642"/>
        <v>4.3509939009999998</v>
      </c>
      <c r="GI876" s="1659">
        <f t="shared" si="1642"/>
        <v>6.680501349</v>
      </c>
      <c r="GJ876" s="1659">
        <f t="shared" si="1642"/>
        <v>36.359391498000001</v>
      </c>
      <c r="GK876" s="1659">
        <f t="shared" si="1642"/>
        <v>7.5202888159999999</v>
      </c>
      <c r="GL876" s="1659">
        <f t="shared" si="1642"/>
        <v>2.5441111159999998</v>
      </c>
      <c r="GM876" s="1926">
        <f t="shared" si="1642"/>
        <v>36.181439558999998</v>
      </c>
      <c r="GN876" s="1926">
        <f t="shared" si="1642"/>
        <v>4.6916540769999999</v>
      </c>
      <c r="GO876" s="1926">
        <f t="shared" si="1642"/>
        <v>7.8868416830000001</v>
      </c>
      <c r="GP876" s="1926">
        <f t="shared" si="1642"/>
        <v>40.304743088999999</v>
      </c>
      <c r="GQ876" s="1926">
        <f t="shared" si="1642"/>
        <v>9.7221642589999995</v>
      </c>
      <c r="GR876" s="1926">
        <f t="shared" si="1642"/>
        <v>2.3315845300000002</v>
      </c>
      <c r="GS876" s="1926">
        <f t="shared" si="1642"/>
        <v>43.003715217</v>
      </c>
      <c r="GT876" s="1926">
        <f t="shared" si="1642"/>
        <v>5.4273588840000002</v>
      </c>
      <c r="GU876" s="1926">
        <f t="shared" si="1642"/>
        <v>8.2993290270000006</v>
      </c>
      <c r="GV876" s="1926">
        <f t="shared" si="1642"/>
        <v>41.580799589000002</v>
      </c>
      <c r="GW876" s="1926">
        <f t="shared" si="1642"/>
        <v>5.8754405619999996</v>
      </c>
      <c r="GX876" s="1926">
        <f t="shared" si="1642"/>
        <v>3.498546213</v>
      </c>
      <c r="GY876" s="1926">
        <f t="shared" si="1642"/>
        <v>44.205506296999999</v>
      </c>
      <c r="GZ876" s="1926">
        <f t="shared" si="1642"/>
        <v>10.491441803000001</v>
      </c>
      <c r="HA876" s="1926">
        <f t="shared" si="1642"/>
        <v>12.977892861000001</v>
      </c>
      <c r="HB876" s="1926">
        <f t="shared" si="1642"/>
        <v>45.146402455999997</v>
      </c>
      <c r="HC876" s="1926">
        <f t="shared" ref="HC876:HR876" si="1643">HC455</f>
        <v>6.0679579840000004</v>
      </c>
      <c r="HD876" s="1926">
        <f t="shared" si="1643"/>
        <v>3.8733084139999998</v>
      </c>
      <c r="HE876" s="1926">
        <f t="shared" si="1643"/>
        <v>45.152003563000001</v>
      </c>
      <c r="HF876" s="1926">
        <f t="shared" si="1643"/>
        <v>7.3001792999999999</v>
      </c>
      <c r="HG876" s="1926">
        <f t="shared" si="1643"/>
        <v>11.52258271</v>
      </c>
      <c r="HH876" s="1926">
        <f t="shared" si="1643"/>
        <v>49.459257984038459</v>
      </c>
      <c r="HI876" s="1926">
        <f t="shared" si="1643"/>
        <v>5.7053801283076897</v>
      </c>
      <c r="HJ876" s="1926">
        <f t="shared" si="1643"/>
        <v>4.0905209889999998</v>
      </c>
      <c r="HK876" s="1926">
        <f t="shared" si="1643"/>
        <v>46.305216535</v>
      </c>
      <c r="HL876" s="1926">
        <f t="shared" si="1643"/>
        <v>8.4563577305384605</v>
      </c>
      <c r="HM876" s="1926">
        <f t="shared" si="1643"/>
        <v>15.559363926</v>
      </c>
      <c r="HN876" s="1926">
        <f t="shared" si="1643"/>
        <v>56.515718337999999</v>
      </c>
      <c r="HO876" s="1926">
        <f t="shared" si="1643"/>
        <v>5.5279192024615336</v>
      </c>
      <c r="HP876" s="1926">
        <f t="shared" si="1643"/>
        <v>4.8074172199999996</v>
      </c>
      <c r="HQ876" s="1926">
        <f t="shared" si="1643"/>
        <v>42.781210905000002</v>
      </c>
      <c r="HR876" s="1926">
        <f t="shared" si="1643"/>
        <v>10.829430836</v>
      </c>
      <c r="HS876" s="1926">
        <f t="shared" ref="HS876:HX876" si="1644">HS455</f>
        <v>11.35962487976923</v>
      </c>
      <c r="HT876" s="1926">
        <f t="shared" si="1644"/>
        <v>54.074014984000002</v>
      </c>
      <c r="HU876" s="1926">
        <f t="shared" si="1644"/>
        <v>6.5825458379230728</v>
      </c>
      <c r="HV876" s="1926">
        <f t="shared" si="1644"/>
        <v>6.3064706670000001</v>
      </c>
      <c r="HW876" s="1926">
        <f t="shared" si="1644"/>
        <v>44.292588289999998</v>
      </c>
      <c r="HX876" s="1926">
        <f t="shared" si="1644"/>
        <v>15.32296305976922</v>
      </c>
      <c r="HY876" s="1926"/>
      <c r="HZ876" s="326"/>
      <c r="IA876" s="334" t="s">
        <v>531</v>
      </c>
      <c r="IB876" s="284">
        <f>SUM(CE876:CJ876)</f>
        <v>9.895798863524174</v>
      </c>
      <c r="IC876" s="279">
        <f>SUM(CK876:CP876)</f>
        <v>8.1495537273408409</v>
      </c>
      <c r="ID876" s="323">
        <f>IB876+IC876</f>
        <v>18.045352590865015</v>
      </c>
      <c r="IE876" s="279">
        <f>SUM(CQ876:CV876)</f>
        <v>8.452310289215621</v>
      </c>
      <c r="IF876" s="279">
        <f>SUM(CW876:DB876)</f>
        <v>9.8093130040000265</v>
      </c>
      <c r="IG876" s="323">
        <f>IE876+IF876</f>
        <v>18.261623293215649</v>
      </c>
      <c r="IH876" s="284">
        <f>SUM(DC876:DH876)</f>
        <v>12.435410629831798</v>
      </c>
      <c r="II876" s="279">
        <f>SUM(DI876:DN876)</f>
        <v>13.059412038045346</v>
      </c>
      <c r="IJ876" s="323">
        <f>IH876+II876</f>
        <v>25.494822667877145</v>
      </c>
      <c r="IK876" s="327">
        <f>SUM(DO876:DT876)</f>
        <v>18.556745256999999</v>
      </c>
      <c r="IL876" s="279">
        <f>SUM(DU876:DZ876)</f>
        <v>16.696510039</v>
      </c>
      <c r="IM876" s="323">
        <f>IK876+IL876</f>
        <v>35.253255295999999</v>
      </c>
      <c r="IN876" s="279">
        <f>SUM(EA876:EF876)</f>
        <v>23.655134131999997</v>
      </c>
      <c r="IO876" s="279">
        <f>SUM(EG876:EL876)</f>
        <v>25.244878396000001</v>
      </c>
      <c r="IP876" s="323">
        <f>IN876+IO876</f>
        <v>48.900012527999998</v>
      </c>
      <c r="IQ876" s="327">
        <f>SUM(EM876:ER876)</f>
        <v>27.4615443832732</v>
      </c>
      <c r="IR876" s="327">
        <f>SUM(ES876:EX876)</f>
        <v>27.141944583000004</v>
      </c>
      <c r="IS876" s="323">
        <f>IQ876+IR876</f>
        <v>54.603488966273204</v>
      </c>
      <c r="IT876" s="327">
        <f>SUM(EY876:FD876)</f>
        <v>39.080332331999998</v>
      </c>
      <c r="IU876" s="327">
        <f>SUM(FE876:FJ876)</f>
        <v>39.221458072000004</v>
      </c>
      <c r="IV876" s="323">
        <f>IT876+IU876</f>
        <v>78.301790404000002</v>
      </c>
      <c r="IW876" s="327">
        <f>SUM(FK876:FP876)</f>
        <v>51.063876355999994</v>
      </c>
      <c r="IX876" s="327">
        <f t="shared" ref="IX876:IX883" si="1645">SUM(FQ876:FV876)</f>
        <v>62.445005045705329</v>
      </c>
      <c r="IY876" s="323">
        <f t="shared" si="1621"/>
        <v>113.50888140170532</v>
      </c>
      <c r="IZ876" s="327">
        <f t="shared" si="1622"/>
        <v>74.374108428999989</v>
      </c>
      <c r="JA876" s="327">
        <f t="shared" si="1623"/>
        <v>75.993330941999986</v>
      </c>
      <c r="JB876" s="323">
        <f t="shared" si="1458"/>
        <v>150.36743937099999</v>
      </c>
      <c r="JC876" s="327">
        <f t="shared" si="1624"/>
        <v>93.977386414999998</v>
      </c>
      <c r="JD876" s="327">
        <f t="shared" si="1617"/>
        <v>108.676407662</v>
      </c>
      <c r="JE876" s="323">
        <f t="shared" si="1632"/>
        <v>202.65379407699999</v>
      </c>
      <c r="JF876" s="327">
        <f t="shared" si="1638"/>
        <v>113.951063491</v>
      </c>
      <c r="JG876" s="327">
        <f t="shared" si="1372"/>
        <v>120.51774457799999</v>
      </c>
      <c r="JH876" s="323">
        <f t="shared" si="1406"/>
        <v>234.46880806899998</v>
      </c>
      <c r="JI876" s="327">
        <f t="shared" si="1476"/>
        <v>125.5393160768846</v>
      </c>
      <c r="JJ876" s="327">
        <f t="shared" si="1405"/>
        <v>136.02106042746155</v>
      </c>
      <c r="JK876" s="323">
        <f t="shared" si="1398"/>
        <v>261.56037650434615</v>
      </c>
      <c r="JL876" s="327">
        <f t="shared" si="1407"/>
        <v>137.93820771846151</v>
      </c>
      <c r="JM876" s="279">
        <f t="shared" ref="JM876:JM883" si="1646">JN876-JL876</f>
        <v>150.90944794853851</v>
      </c>
      <c r="JN876" s="323">
        <f>FISC!AK1196</f>
        <v>288.84765566700003</v>
      </c>
      <c r="JO876" s="327">
        <f>FISC!AK184</f>
        <v>175.44061678991201</v>
      </c>
      <c r="JP876" s="279">
        <f t="shared" ref="JP876:JP903" si="1647">JQ876-JO876</f>
        <v>157.048802015088</v>
      </c>
      <c r="JQ876" s="323">
        <f>FISC!AL1196</f>
        <v>332.48941880500001</v>
      </c>
      <c r="JR876" s="327">
        <f>FISC!AL184</f>
        <v>178.657860735691</v>
      </c>
      <c r="JS876" s="279">
        <f t="shared" ref="JS876:JS883" si="1648">JT876-JR876</f>
        <v>156.61647964830897</v>
      </c>
      <c r="JT876" s="323">
        <f>FISC!AM1196</f>
        <v>335.27434038399997</v>
      </c>
      <c r="JU876" s="327">
        <f>FISC!AM184</f>
        <v>161.99952213138801</v>
      </c>
      <c r="JV876" s="279">
        <f t="shared" ref="JV876:JV883" si="1649">JW876-JU876</f>
        <v>141.02235011061197</v>
      </c>
      <c r="JW876" s="323">
        <f>FISC!AN1196</f>
        <v>303.02187224199997</v>
      </c>
      <c r="JX876" s="327">
        <f>FISC!AN184</f>
        <v>157.35065925432701</v>
      </c>
      <c r="JY876" s="279">
        <f t="shared" ref="JY876:JY883" si="1650">JZ876-JX876</f>
        <v>132.910304346673</v>
      </c>
      <c r="JZ876" s="323">
        <f>FISC!AO1196</f>
        <v>290.26096360100001</v>
      </c>
      <c r="KA876" s="327">
        <f>FISC!AO184</f>
        <v>147.01306600430701</v>
      </c>
      <c r="KB876" s="279">
        <f t="shared" ref="KB876:KB883" si="1651">KC876-KA876</f>
        <v>262.900043217693</v>
      </c>
      <c r="KC876" s="323">
        <f>FISC!AP1196</f>
        <v>409.913109222</v>
      </c>
      <c r="KD876" s="327">
        <f>FISC!AP184</f>
        <v>137.90429733151601</v>
      </c>
      <c r="KE876" s="279">
        <f t="shared" ref="KE876:KE883" si="1652">KF876-KD876</f>
        <v>244.46290075348398</v>
      </c>
      <c r="KF876" s="323">
        <f>FISC!AQ1196</f>
        <v>382.36719808499998</v>
      </c>
      <c r="KG876" s="327">
        <f>FISC!AQ184</f>
        <v>124.96023342605</v>
      </c>
      <c r="KH876" s="279">
        <f t="shared" ref="KH876:KH883" si="1653">KI876-KG876</f>
        <v>221.30159314344999</v>
      </c>
      <c r="KI876" s="323">
        <f>FISC!AR1196</f>
        <v>346.26182656949999</v>
      </c>
      <c r="KJ876" s="327">
        <f>FISC!AR184</f>
        <v>119.066293432962</v>
      </c>
      <c r="KK876" s="279">
        <f t="shared" ref="KK876:KK883" si="1654">KL876-KJ876</f>
        <v>205.24695959353764</v>
      </c>
      <c r="KL876" s="323">
        <f>FISC!AS1196</f>
        <v>324.31325302649964</v>
      </c>
      <c r="KM876" s="327">
        <f>FISC!AS184</f>
        <v>125.923276649964</v>
      </c>
      <c r="KN876" s="279">
        <f t="shared" ref="KN876:KN883" si="1655">KO876-KM876</f>
        <v>214.00441397128498</v>
      </c>
      <c r="KO876" s="323">
        <f>FISC!AT1196</f>
        <v>339.92769062124898</v>
      </c>
      <c r="KU876" s="326"/>
      <c r="KV876" s="327"/>
    </row>
    <row r="877" spans="1:308">
      <c r="A877" s="279"/>
      <c r="B877" s="96" t="s">
        <v>338</v>
      </c>
      <c r="D877" s="332" t="s">
        <v>532</v>
      </c>
      <c r="E877" s="323"/>
      <c r="F877" s="323"/>
      <c r="G877" s="323"/>
      <c r="H877" s="323"/>
      <c r="I877" s="323"/>
      <c r="J877" s="323"/>
      <c r="K877" s="323"/>
      <c r="L877" s="323"/>
      <c r="M877" s="323"/>
      <c r="N877" s="323"/>
      <c r="O877" s="323"/>
      <c r="P877" s="323"/>
      <c r="Q877" s="323"/>
      <c r="R877" s="323"/>
      <c r="S877" s="323"/>
      <c r="T877" s="323"/>
      <c r="U877" s="323"/>
      <c r="V877" s="323"/>
      <c r="W877" s="323"/>
      <c r="X877" s="323"/>
      <c r="Y877" s="323"/>
      <c r="Z877" s="323"/>
      <c r="AA877" s="323"/>
      <c r="AB877" s="323"/>
      <c r="AC877" s="323"/>
      <c r="AD877" s="323"/>
      <c r="AE877" s="323"/>
      <c r="AF877" s="323"/>
      <c r="AG877" s="323"/>
      <c r="AH877" s="323"/>
      <c r="AI877" s="323"/>
      <c r="AJ877" s="323"/>
      <c r="AK877" s="323"/>
      <c r="AL877" s="323"/>
      <c r="AM877" s="323"/>
      <c r="AN877" s="323"/>
      <c r="AO877" s="323"/>
      <c r="AP877" s="323"/>
      <c r="AQ877" s="323"/>
      <c r="AR877" s="323"/>
      <c r="AS877" s="323"/>
      <c r="AT877" s="323"/>
      <c r="AU877" s="323"/>
      <c r="AV877" s="323"/>
      <c r="AW877" s="323"/>
      <c r="AX877" s="323"/>
      <c r="AY877" s="323"/>
      <c r="AZ877" s="323"/>
      <c r="BA877" s="323"/>
      <c r="BB877" s="323"/>
      <c r="BC877" s="323"/>
      <c r="BD877" s="323"/>
      <c r="BE877" s="323"/>
      <c r="BF877" s="323"/>
      <c r="BG877" s="323">
        <v>6.3785177499200003</v>
      </c>
      <c r="BH877" s="323">
        <v>4.0654800229900001</v>
      </c>
      <c r="BI877" s="323">
        <v>2.80533423313</v>
      </c>
      <c r="BJ877" s="323">
        <v>4.7663082563300003</v>
      </c>
      <c r="BK877" s="323">
        <v>3.2685378679699997</v>
      </c>
      <c r="BL877" s="323">
        <v>3.8206991270000001</v>
      </c>
      <c r="BM877" s="323">
        <v>8.0645339810000003</v>
      </c>
      <c r="BN877" s="323">
        <v>3.0150156429099999</v>
      </c>
      <c r="BO877" s="323">
        <v>4.3463340936899995</v>
      </c>
      <c r="BP877" s="323">
        <v>7.2452022508400002</v>
      </c>
      <c r="BQ877" s="323">
        <v>4.9420447697899998</v>
      </c>
      <c r="BR877" s="323">
        <v>1.063222133</v>
      </c>
      <c r="BS877" s="323">
        <v>6.6829778989999999</v>
      </c>
      <c r="BT877" s="323">
        <v>3.7495323539999998</v>
      </c>
      <c r="BU877" s="323">
        <v>3.509515398</v>
      </c>
      <c r="BV877" s="323">
        <v>6.1784874490000004</v>
      </c>
      <c r="BW877" s="323">
        <v>5.453476276</v>
      </c>
      <c r="BX877" s="323">
        <v>1.2915165689999999</v>
      </c>
      <c r="BY877" s="323">
        <v>5.3627638649999998</v>
      </c>
      <c r="BZ877" s="323">
        <v>7.7077092819999997</v>
      </c>
      <c r="CA877" s="323">
        <v>2.15723574</v>
      </c>
      <c r="CB877" s="323">
        <v>6.4913424829600004</v>
      </c>
      <c r="CC877" s="323">
        <v>48.523234726809996</v>
      </c>
      <c r="CD877" s="329">
        <v>9.2677013269999993</v>
      </c>
      <c r="CE877" s="323">
        <f t="shared" ref="CE877:DJ877" si="1656">CE456</f>
        <v>6.6679294430000002</v>
      </c>
      <c r="CF877" s="323">
        <f t="shared" si="1656"/>
        <v>12.098923981</v>
      </c>
      <c r="CG877" s="323">
        <f t="shared" si="1656"/>
        <v>5.2774683080000004</v>
      </c>
      <c r="CH877" s="323">
        <f t="shared" si="1656"/>
        <v>8.405649017</v>
      </c>
      <c r="CI877" s="323">
        <f t="shared" si="1656"/>
        <v>5.4065421210000002</v>
      </c>
      <c r="CJ877" s="323">
        <f t="shared" si="1656"/>
        <v>3.7144937200000001</v>
      </c>
      <c r="CK877" s="323">
        <f t="shared" si="1656"/>
        <v>7.775769103</v>
      </c>
      <c r="CL877" s="323">
        <f t="shared" si="1656"/>
        <v>3.7131871599999999</v>
      </c>
      <c r="CM877" s="323">
        <f t="shared" si="1656"/>
        <v>2.2626719899999999</v>
      </c>
      <c r="CN877" s="323">
        <f t="shared" si="1656"/>
        <v>1.1571859680000001</v>
      </c>
      <c r="CO877" s="323">
        <f t="shared" si="1656"/>
        <v>4.4389136469999997</v>
      </c>
      <c r="CP877" s="325">
        <f t="shared" si="1656"/>
        <v>2.08324423</v>
      </c>
      <c r="CQ877" s="323">
        <f t="shared" si="1656"/>
        <v>8.2475725890000007</v>
      </c>
      <c r="CR877" s="323">
        <f t="shared" si="1656"/>
        <v>9.9187609339999998</v>
      </c>
      <c r="CS877" s="323">
        <f t="shared" si="1656"/>
        <v>8.5722125560000002</v>
      </c>
      <c r="CT877" s="323">
        <f t="shared" si="1656"/>
        <v>6.32988368</v>
      </c>
      <c r="CU877" s="323">
        <f t="shared" si="1656"/>
        <v>5.6792275099999996</v>
      </c>
      <c r="CV877" s="323">
        <f t="shared" si="1656"/>
        <v>5.3217766769999999</v>
      </c>
      <c r="CW877" s="323">
        <f t="shared" si="1656"/>
        <v>4.4623873239999998</v>
      </c>
      <c r="CX877" s="323">
        <f t="shared" si="1656"/>
        <v>3.4693421350000002</v>
      </c>
      <c r="CY877" s="323">
        <f t="shared" si="1656"/>
        <v>8.36510277</v>
      </c>
      <c r="CZ877" s="323">
        <f t="shared" si="1656"/>
        <v>0.69293743799999996</v>
      </c>
      <c r="DA877" s="323">
        <f t="shared" si="1656"/>
        <v>6.0929688799999999</v>
      </c>
      <c r="DB877" s="1269">
        <f t="shared" si="1656"/>
        <v>3.5319322839999998</v>
      </c>
      <c r="DC877" s="323">
        <f t="shared" si="1656"/>
        <v>6.475683912</v>
      </c>
      <c r="DD877" s="323">
        <f t="shared" si="1656"/>
        <v>5.6815871610000004</v>
      </c>
      <c r="DE877" s="323">
        <f t="shared" si="1656"/>
        <v>6.1174112559999996</v>
      </c>
      <c r="DF877" s="323">
        <f t="shared" si="1656"/>
        <v>7.8252532439999998</v>
      </c>
      <c r="DG877" s="323">
        <f t="shared" si="1656"/>
        <v>8.2094107090000001</v>
      </c>
      <c r="DH877" s="323">
        <f t="shared" si="1656"/>
        <v>17.117251670999998</v>
      </c>
      <c r="DI877" s="323">
        <f t="shared" si="1656"/>
        <v>5.8424231969999996</v>
      </c>
      <c r="DJ877" s="323">
        <f t="shared" si="1656"/>
        <v>4.5755028119999999</v>
      </c>
      <c r="DK877" s="323">
        <f t="shared" ref="DK877:EP877" si="1657">DK456</f>
        <v>6.3702584880000002</v>
      </c>
      <c r="DL877" s="323">
        <f t="shared" si="1657"/>
        <v>6.0890114610000001</v>
      </c>
      <c r="DM877" s="323">
        <f t="shared" si="1657"/>
        <v>4.2403280079999996</v>
      </c>
      <c r="DN877" s="325">
        <f t="shared" si="1657"/>
        <v>5.8292554430000001</v>
      </c>
      <c r="DO877" s="323">
        <f t="shared" si="1657"/>
        <v>5.416907331</v>
      </c>
      <c r="DP877" s="323">
        <f t="shared" si="1657"/>
        <v>7.213350685</v>
      </c>
      <c r="DQ877" s="323">
        <f t="shared" si="1657"/>
        <v>7.0325999880000003</v>
      </c>
      <c r="DR877" s="323">
        <f t="shared" si="1657"/>
        <v>7.1949629220000002</v>
      </c>
      <c r="DS877" s="323">
        <f t="shared" si="1657"/>
        <v>7.6855553429999999</v>
      </c>
      <c r="DT877" s="323">
        <f t="shared" si="1657"/>
        <v>6.0765222530000003</v>
      </c>
      <c r="DU877" s="323">
        <f t="shared" si="1657"/>
        <v>7.4745157129999997</v>
      </c>
      <c r="DV877" s="323">
        <f t="shared" si="1657"/>
        <v>7.5177942230000001</v>
      </c>
      <c r="DW877" s="323">
        <f t="shared" si="1657"/>
        <v>7.1178850169999999</v>
      </c>
      <c r="DX877" s="323">
        <f t="shared" si="1657"/>
        <v>7.1008529359999999</v>
      </c>
      <c r="DY877" s="323">
        <f t="shared" si="1657"/>
        <v>8.1943856339999996</v>
      </c>
      <c r="DZ877" s="325">
        <f t="shared" si="1657"/>
        <v>8.2006891339999992</v>
      </c>
      <c r="EA877" s="323">
        <f t="shared" si="1657"/>
        <v>9.965989532</v>
      </c>
      <c r="EB877" s="323">
        <f t="shared" si="1657"/>
        <v>4.13940047</v>
      </c>
      <c r="EC877" s="323">
        <f t="shared" si="1657"/>
        <v>22.010918264000001</v>
      </c>
      <c r="ED877" s="323">
        <f t="shared" si="1657"/>
        <v>7.5019909370000004</v>
      </c>
      <c r="EE877" s="323">
        <f t="shared" si="1657"/>
        <v>6.9683450159999998</v>
      </c>
      <c r="EF877" s="323">
        <f t="shared" si="1657"/>
        <v>8.2763239150000008</v>
      </c>
      <c r="EG877" s="323">
        <f t="shared" si="1657"/>
        <v>7.0859523250000001</v>
      </c>
      <c r="EH877" s="323">
        <f t="shared" si="1657"/>
        <v>6.9871453910000003</v>
      </c>
      <c r="EI877" s="323">
        <f t="shared" si="1657"/>
        <v>12.972594826</v>
      </c>
      <c r="EJ877" s="323">
        <f t="shared" si="1657"/>
        <v>4.3793459710000002</v>
      </c>
      <c r="EK877" s="323">
        <f t="shared" si="1657"/>
        <v>9.0947721230000003</v>
      </c>
      <c r="EL877" s="325">
        <f t="shared" si="1657"/>
        <v>0.14426433599999999</v>
      </c>
      <c r="EM877" s="323">
        <f t="shared" si="1657"/>
        <v>18.047042097999999</v>
      </c>
      <c r="EN877" s="323">
        <f t="shared" si="1657"/>
        <v>5.1734300920000003</v>
      </c>
      <c r="EO877" s="323">
        <f t="shared" si="1657"/>
        <v>19.373641127999999</v>
      </c>
      <c r="EP877" s="323">
        <f t="shared" si="1657"/>
        <v>15.147041689</v>
      </c>
      <c r="EQ877" s="323">
        <f t="shared" ref="EQ877:FV877" si="1658">EQ456</f>
        <v>20.341753901000001</v>
      </c>
      <c r="ER877" s="323">
        <f t="shared" si="1658"/>
        <v>3.115334458</v>
      </c>
      <c r="ES877" s="323">
        <f t="shared" si="1658"/>
        <v>19.644847804000001</v>
      </c>
      <c r="ET877" s="323">
        <f t="shared" si="1658"/>
        <v>9.7095882860000007</v>
      </c>
      <c r="EU877" s="323">
        <f t="shared" si="1658"/>
        <v>19.394544584999998</v>
      </c>
      <c r="EV877" s="323">
        <f t="shared" si="1658"/>
        <v>10.761032169</v>
      </c>
      <c r="EW877" s="323">
        <f t="shared" si="1658"/>
        <v>14.622692425</v>
      </c>
      <c r="EX877" s="325">
        <f t="shared" si="1658"/>
        <v>16.695182059</v>
      </c>
      <c r="EY877" s="323">
        <f t="shared" si="1658"/>
        <v>21.712690575</v>
      </c>
      <c r="EZ877" s="323">
        <f t="shared" si="1658"/>
        <v>11.114351987999999</v>
      </c>
      <c r="FA877" s="323">
        <f t="shared" si="1658"/>
        <v>11.900032509000001</v>
      </c>
      <c r="FB877" s="323">
        <f t="shared" si="1658"/>
        <v>14.591524823</v>
      </c>
      <c r="FC877" s="323">
        <f t="shared" si="1658"/>
        <v>11.329730545</v>
      </c>
      <c r="FD877" s="323">
        <f t="shared" si="1658"/>
        <v>24.254430887000002</v>
      </c>
      <c r="FE877" s="323">
        <f t="shared" si="1658"/>
        <v>8.2005321450000004</v>
      </c>
      <c r="FF877" s="323">
        <f t="shared" si="1658"/>
        <v>15.204791503999999</v>
      </c>
      <c r="FG877" s="323">
        <f t="shared" si="1658"/>
        <v>16.483069240999999</v>
      </c>
      <c r="FH877" s="323">
        <f t="shared" si="1658"/>
        <v>14.577293595</v>
      </c>
      <c r="FI877" s="323">
        <f t="shared" si="1658"/>
        <v>102.28117342</v>
      </c>
      <c r="FJ877" s="325">
        <f t="shared" si="1658"/>
        <v>0.29768140900000001</v>
      </c>
      <c r="FK877" s="323">
        <f t="shared" si="1658"/>
        <v>27.811291294</v>
      </c>
      <c r="FL877" s="323">
        <f t="shared" si="1658"/>
        <v>11.225479156</v>
      </c>
      <c r="FM877" s="323">
        <f t="shared" si="1658"/>
        <v>13.472792721999999</v>
      </c>
      <c r="FN877" s="323">
        <f t="shared" si="1658"/>
        <v>20.684093917999999</v>
      </c>
      <c r="FO877" s="323">
        <f t="shared" si="1658"/>
        <v>61.666165581000001</v>
      </c>
      <c r="FP877" s="323">
        <f t="shared" si="1658"/>
        <v>17.208988356999999</v>
      </c>
      <c r="FQ877" s="323">
        <f t="shared" si="1658"/>
        <v>11.890612138</v>
      </c>
      <c r="FR877" s="323">
        <f t="shared" si="1658"/>
        <v>18.955776752999999</v>
      </c>
      <c r="FS877" s="323">
        <f t="shared" si="1658"/>
        <v>39.958805716999997</v>
      </c>
      <c r="FT877" s="323">
        <f t="shared" si="1658"/>
        <v>11.446025357</v>
      </c>
      <c r="FU877" s="323">
        <f t="shared" si="1658"/>
        <v>25.094716684000002</v>
      </c>
      <c r="FV877" s="323">
        <f t="shared" si="1658"/>
        <v>0.74752762899998404</v>
      </c>
      <c r="FW877" s="323">
        <f t="shared" ref="FW877:HB877" si="1659">FW456</f>
        <v>19.459869106999999</v>
      </c>
      <c r="FX877" s="323">
        <f t="shared" si="1659"/>
        <v>21.798099390000001</v>
      </c>
      <c r="FY877" s="323">
        <f t="shared" si="1659"/>
        <v>121.53742553799999</v>
      </c>
      <c r="FZ877" s="323">
        <f t="shared" si="1659"/>
        <v>13.339598613</v>
      </c>
      <c r="GA877" s="323">
        <f t="shared" si="1659"/>
        <v>12.817958090999999</v>
      </c>
      <c r="GB877" s="323">
        <f t="shared" si="1659"/>
        <v>13.872035842000001</v>
      </c>
      <c r="GC877" s="323">
        <f t="shared" si="1659"/>
        <v>24.110871527</v>
      </c>
      <c r="GD877" s="323">
        <f t="shared" si="1659"/>
        <v>25.281675928999999</v>
      </c>
      <c r="GE877" s="323">
        <f t="shared" si="1659"/>
        <v>14.967056428999999</v>
      </c>
      <c r="GF877" s="323">
        <f t="shared" si="1659"/>
        <v>46.727591418999999</v>
      </c>
      <c r="GG877" s="323">
        <f t="shared" si="1659"/>
        <v>44.496763434999998</v>
      </c>
      <c r="GH877" s="323">
        <f t="shared" si="1659"/>
        <v>23.764900379</v>
      </c>
      <c r="GI877" s="1659">
        <f t="shared" si="1659"/>
        <v>48.572632648943184</v>
      </c>
      <c r="GJ877" s="1659">
        <f t="shared" si="1659"/>
        <v>20.202051609109375</v>
      </c>
      <c r="GK877" s="1659">
        <f t="shared" si="1659"/>
        <v>19.825315741947424</v>
      </c>
      <c r="GL877" s="1659">
        <f t="shared" si="1659"/>
        <v>23.652918717333343</v>
      </c>
      <c r="GM877" s="1926">
        <f t="shared" si="1659"/>
        <v>22.167689045333344</v>
      </c>
      <c r="GN877" s="1926">
        <f t="shared" si="1659"/>
        <v>19.389259348333344</v>
      </c>
      <c r="GO877" s="1926">
        <f t="shared" si="1659"/>
        <v>20.759894925980809</v>
      </c>
      <c r="GP877" s="1926">
        <f t="shared" si="1659"/>
        <v>12.191398810348149</v>
      </c>
      <c r="GQ877" s="1926">
        <f t="shared" si="1659"/>
        <v>33.126157733671022</v>
      </c>
      <c r="GR877" s="1926">
        <f t="shared" si="1659"/>
        <v>17.087662801262233</v>
      </c>
      <c r="GS877" s="1926">
        <f t="shared" si="1659"/>
        <v>44.173862473216531</v>
      </c>
      <c r="GT877" s="1926">
        <f t="shared" si="1659"/>
        <v>17.729099891521237</v>
      </c>
      <c r="GU877" s="1926">
        <f t="shared" si="1659"/>
        <v>7.2778571059999999</v>
      </c>
      <c r="GV877" s="1926">
        <f t="shared" si="1659"/>
        <v>24.224672508000001</v>
      </c>
      <c r="GW877" s="1926">
        <f t="shared" si="1659"/>
        <v>22.873544955</v>
      </c>
      <c r="GX877" s="1926">
        <f t="shared" si="1659"/>
        <v>26.666355211999999</v>
      </c>
      <c r="GY877" s="1926">
        <f t="shared" si="1659"/>
        <v>26.187000513999998</v>
      </c>
      <c r="GZ877" s="1926">
        <f t="shared" si="1659"/>
        <v>22.596829109000002</v>
      </c>
      <c r="HA877" s="1926">
        <f t="shared" si="1659"/>
        <v>35.653566965000003</v>
      </c>
      <c r="HB877" s="1926">
        <f t="shared" si="1659"/>
        <v>32.817662089999999</v>
      </c>
      <c r="HC877" s="1926">
        <f t="shared" ref="HC877:HR877" si="1660">HC456</f>
        <v>32.060185777000001</v>
      </c>
      <c r="HD877" s="1926">
        <f t="shared" si="1660"/>
        <v>23.181013326999999</v>
      </c>
      <c r="HE877" s="1926">
        <f t="shared" si="1660"/>
        <v>24.577714099000001</v>
      </c>
      <c r="HF877" s="1926">
        <f t="shared" si="1660"/>
        <v>29.304074536000002</v>
      </c>
      <c r="HG877" s="1926">
        <f t="shared" si="1660"/>
        <v>18.472463404999999</v>
      </c>
      <c r="HH877" s="1926">
        <f t="shared" si="1660"/>
        <v>18.681257051999999</v>
      </c>
      <c r="HI877" s="1926">
        <f t="shared" si="1660"/>
        <v>43.132407661999999</v>
      </c>
      <c r="HJ877" s="1926">
        <f t="shared" si="1660"/>
        <v>12.041613391</v>
      </c>
      <c r="HK877" s="1926">
        <f t="shared" si="1660"/>
        <v>23.499425105</v>
      </c>
      <c r="HL877" s="1926">
        <f t="shared" si="1660"/>
        <v>37.283959138999997</v>
      </c>
      <c r="HM877" s="1926">
        <f t="shared" si="1660"/>
        <v>33.026215712000003</v>
      </c>
      <c r="HN877" s="1926">
        <f t="shared" si="1660"/>
        <v>15.991507745</v>
      </c>
      <c r="HO877" s="1926">
        <f t="shared" si="1660"/>
        <v>41.838242194000003</v>
      </c>
      <c r="HP877" s="1926">
        <f t="shared" si="1660"/>
        <v>14.579758931999999</v>
      </c>
      <c r="HQ877" s="1926">
        <f t="shared" si="1660"/>
        <v>50.310469736999998</v>
      </c>
      <c r="HR877" s="1926">
        <f t="shared" si="1660"/>
        <v>12.787620043</v>
      </c>
      <c r="HS877" s="1926">
        <f t="shared" ref="HS877:HX877" si="1661">HS456</f>
        <v>25.264691367999998</v>
      </c>
      <c r="HT877" s="1926">
        <f t="shared" si="1661"/>
        <v>22.385244748999998</v>
      </c>
      <c r="HU877" s="1926">
        <f t="shared" si="1661"/>
        <v>35.468303765999998</v>
      </c>
      <c r="HV877" s="1926">
        <f t="shared" si="1661"/>
        <v>37.488093188999997</v>
      </c>
      <c r="HW877" s="1926">
        <f t="shared" si="1661"/>
        <v>28.955587181000002</v>
      </c>
      <c r="HX877" s="1926">
        <f t="shared" si="1661"/>
        <v>20.651618786999997</v>
      </c>
      <c r="HY877" s="1926"/>
      <c r="HZ877" s="326"/>
      <c r="IA877" s="332" t="s">
        <v>532</v>
      </c>
      <c r="IB877" s="284">
        <f>SUM(CE877:CJ877)</f>
        <v>41.571006590000003</v>
      </c>
      <c r="IC877" s="279">
        <f>SUM(CK877:CP877)</f>
        <v>21.430972097999998</v>
      </c>
      <c r="ID877" s="323">
        <f>IB877+IC877</f>
        <v>63.001978688000001</v>
      </c>
      <c r="IE877" s="279">
        <f>SUM(CQ877:CV877)</f>
        <v>44.069433945999997</v>
      </c>
      <c r="IF877" s="279">
        <f>SUM(CW877:DB877)</f>
        <v>26.614670831000002</v>
      </c>
      <c r="IG877" s="323">
        <f>IE877+IF877</f>
        <v>70.684104777000002</v>
      </c>
      <c r="IH877" s="284">
        <f>SUM(DC877:DH877)</f>
        <v>51.426597952999998</v>
      </c>
      <c r="II877" s="279">
        <f>SUM(DI877:DN877)</f>
        <v>32.946779409000001</v>
      </c>
      <c r="IJ877" s="323">
        <f>IH877+II877</f>
        <v>84.373377361999999</v>
      </c>
      <c r="IK877" s="327">
        <f>SUM(DO877:DT877)</f>
        <v>40.619898522</v>
      </c>
      <c r="IL877" s="279">
        <f>SUM(DU877:DZ877)</f>
        <v>45.606122657</v>
      </c>
      <c r="IM877" s="323">
        <f>IK877+IL877</f>
        <v>86.226021179</v>
      </c>
      <c r="IN877" s="279">
        <f>SUM(EA877:EF877)</f>
        <v>58.862968134000006</v>
      </c>
      <c r="IO877" s="279">
        <f>SUM(EG877:EL877)</f>
        <v>40.664074971999995</v>
      </c>
      <c r="IP877" s="323">
        <f>IN877+IO877</f>
        <v>99.527043106000008</v>
      </c>
      <c r="IQ877" s="327">
        <f>SUM(EM877:ER877)</f>
        <v>81.198243366</v>
      </c>
      <c r="IR877" s="327">
        <f>SUM(ES877:EX877)</f>
        <v>90.827887328000003</v>
      </c>
      <c r="IS877" s="323">
        <f>IQ877+IR877</f>
        <v>172.02613069400002</v>
      </c>
      <c r="IT877" s="327">
        <f>SUM(EY877:FD877)</f>
        <v>94.902761326999993</v>
      </c>
      <c r="IU877" s="327">
        <f>SUM(FE877:FJ877)</f>
        <v>157.04454131400001</v>
      </c>
      <c r="IV877" s="323">
        <f>IT877+IU877</f>
        <v>251.94730264100002</v>
      </c>
      <c r="IW877" s="327">
        <f>SUM(FK877:FP877)</f>
        <v>152.06881102800003</v>
      </c>
      <c r="IX877" s="327">
        <f t="shared" si="1645"/>
        <v>108.09346427799998</v>
      </c>
      <c r="IY877" s="323">
        <f t="shared" si="1621"/>
        <v>260.16227530600003</v>
      </c>
      <c r="IZ877" s="327">
        <f t="shared" si="1622"/>
        <v>202.82498658099999</v>
      </c>
      <c r="JA877" s="327">
        <f t="shared" si="1623"/>
        <v>179.34885911800001</v>
      </c>
      <c r="JB877" s="323">
        <f t="shared" si="1458"/>
        <v>382.17384569900003</v>
      </c>
      <c r="JC877" s="327">
        <f t="shared" si="1624"/>
        <v>153.80986711100002</v>
      </c>
      <c r="JD877" s="327">
        <f t="shared" si="1617"/>
        <v>145.06807663599997</v>
      </c>
      <c r="JE877" s="323">
        <f t="shared" si="1632"/>
        <v>298.87794374700002</v>
      </c>
      <c r="JF877" s="327">
        <f t="shared" si="1638"/>
        <v>129.82625940399998</v>
      </c>
      <c r="JG877" s="327">
        <f t="shared" si="1372"/>
        <v>177.594216794</v>
      </c>
      <c r="JH877" s="323">
        <f t="shared" si="1406"/>
        <v>307.42047619799996</v>
      </c>
      <c r="JI877" s="327">
        <f t="shared" si="1476"/>
        <v>153.111125754</v>
      </c>
      <c r="JJ877" s="327">
        <f t="shared" si="1405"/>
        <v>168.533814363</v>
      </c>
      <c r="JK877" s="323">
        <f t="shared" si="1398"/>
        <v>321.64494011700003</v>
      </c>
      <c r="JL877" s="327">
        <f t="shared" si="1407"/>
        <v>170.21353904</v>
      </c>
      <c r="JM877" s="279">
        <f t="shared" si="1646"/>
        <v>214.62206982366604</v>
      </c>
      <c r="JN877" s="323">
        <f>FISC!AK1198</f>
        <v>384.83560886366604</v>
      </c>
      <c r="JO877" s="327">
        <f>JQ877*0.564448862751318</f>
        <v>240.89523324537188</v>
      </c>
      <c r="JP877" s="279">
        <f t="shared" si="1647"/>
        <v>202.85956226810356</v>
      </c>
      <c r="JQ877" s="323">
        <f>FISC!AL1198</f>
        <v>426.77955283879146</v>
      </c>
      <c r="JR877" s="327">
        <f>JT877*0.580653193139725</f>
        <v>239.19266651693985</v>
      </c>
      <c r="JS877" s="279">
        <f t="shared" si="1648"/>
        <v>172.74456097606722</v>
      </c>
      <c r="JT877" s="323">
        <f>FISC!AM1198</f>
        <v>411.93722749300707</v>
      </c>
      <c r="JU877" s="327">
        <f>JW877*0.566425405611506</f>
        <v>217.06037405819291</v>
      </c>
      <c r="JV877" s="279">
        <f t="shared" si="1649"/>
        <v>166.1504987377707</v>
      </c>
      <c r="JW877" s="323">
        <f>FISC!AN1198</f>
        <v>383.21087279596361</v>
      </c>
      <c r="JX877" s="327">
        <f>JZ877*0.6</f>
        <v>248.15721889727237</v>
      </c>
      <c r="JY877" s="279">
        <f t="shared" si="1650"/>
        <v>165.43814593151492</v>
      </c>
      <c r="JZ877" s="323">
        <f>FISC!AO1198</f>
        <v>413.5953648287873</v>
      </c>
      <c r="KA877" s="327">
        <f>KC877*0.6</f>
        <v>277.13441690097528</v>
      </c>
      <c r="KB877" s="279">
        <f t="shared" si="1651"/>
        <v>184.75627793398354</v>
      </c>
      <c r="KC877" s="323">
        <f>FISC!AP1198</f>
        <v>461.89069483495882</v>
      </c>
      <c r="KD877" s="327">
        <f>KF877*0.6</f>
        <v>314.62649460578791</v>
      </c>
      <c r="KE877" s="279">
        <f t="shared" si="1652"/>
        <v>209.75099640385861</v>
      </c>
      <c r="KF877" s="323">
        <f>FISC!AQ1198</f>
        <v>524.37749100964652</v>
      </c>
      <c r="KG877" s="327">
        <f>KI877*0.6</f>
        <v>359.12115887309312</v>
      </c>
      <c r="KH877" s="279">
        <f t="shared" si="1653"/>
        <v>239.41410591539545</v>
      </c>
      <c r="KI877" s="323">
        <f>FISC!AR1198</f>
        <v>598.53526478848858</v>
      </c>
      <c r="KJ877" s="327">
        <f>KL877*0.6</f>
        <v>410.0613761647835</v>
      </c>
      <c r="KK877" s="279">
        <f t="shared" si="1654"/>
        <v>273.37425077652233</v>
      </c>
      <c r="KL877" s="323">
        <f>FISC!AS1198</f>
        <v>683.43562694130583</v>
      </c>
      <c r="KM877" s="327">
        <f>KO877*0.6</f>
        <v>544.53475386803598</v>
      </c>
      <c r="KN877" s="279">
        <f t="shared" si="1655"/>
        <v>363.02316924535728</v>
      </c>
      <c r="KO877" s="323">
        <f>FISC!AT1198</f>
        <v>907.55792311339326</v>
      </c>
      <c r="KU877" s="326"/>
      <c r="KV877" s="327"/>
    </row>
    <row r="878" spans="1:308">
      <c r="A878" s="279"/>
      <c r="B878" s="96" t="s">
        <v>338</v>
      </c>
      <c r="D878" s="335" t="s">
        <v>3227</v>
      </c>
      <c r="E878" s="323"/>
      <c r="F878" s="323"/>
      <c r="G878" s="323"/>
      <c r="H878" s="323"/>
      <c r="I878" s="323"/>
      <c r="J878" s="323"/>
      <c r="K878" s="323"/>
      <c r="L878" s="323"/>
      <c r="M878" s="323"/>
      <c r="N878" s="323"/>
      <c r="O878" s="323"/>
      <c r="P878" s="323"/>
      <c r="Q878" s="323"/>
      <c r="R878" s="323"/>
      <c r="S878" s="323"/>
      <c r="T878" s="323"/>
      <c r="U878" s="323"/>
      <c r="V878" s="323"/>
      <c r="W878" s="323"/>
      <c r="X878" s="323"/>
      <c r="Y878" s="323"/>
      <c r="Z878" s="323"/>
      <c r="AA878" s="323"/>
      <c r="AB878" s="323"/>
      <c r="AC878" s="323"/>
      <c r="AD878" s="323"/>
      <c r="AE878" s="323"/>
      <c r="AF878" s="323"/>
      <c r="AG878" s="323"/>
      <c r="AH878" s="323"/>
      <c r="AI878" s="323"/>
      <c r="AJ878" s="323"/>
      <c r="AK878" s="323"/>
      <c r="AL878" s="323"/>
      <c r="AM878" s="323"/>
      <c r="AN878" s="323"/>
      <c r="AO878" s="323"/>
      <c r="AP878" s="323"/>
      <c r="AQ878" s="323"/>
      <c r="AR878" s="323"/>
      <c r="AS878" s="323"/>
      <c r="AT878" s="323"/>
      <c r="AU878" s="323"/>
      <c r="AV878" s="323"/>
      <c r="AW878" s="323"/>
      <c r="AX878" s="323"/>
      <c r="AY878" s="323"/>
      <c r="AZ878" s="323"/>
      <c r="BA878" s="323"/>
      <c r="BB878" s="323"/>
      <c r="BC878" s="323"/>
      <c r="BD878" s="323"/>
      <c r="BE878" s="323"/>
      <c r="BF878" s="323"/>
      <c r="BG878" s="323"/>
      <c r="BH878" s="323"/>
      <c r="BI878" s="323"/>
      <c r="BJ878" s="323"/>
      <c r="BK878" s="323"/>
      <c r="BL878" s="323"/>
      <c r="BM878" s="323"/>
      <c r="BN878" s="323"/>
      <c r="BO878" s="323"/>
      <c r="BP878" s="323"/>
      <c r="BQ878" s="323"/>
      <c r="BR878" s="323"/>
      <c r="BS878" s="323"/>
      <c r="BT878" s="323"/>
      <c r="BU878" s="323"/>
      <c r="BV878" s="323"/>
      <c r="BW878" s="323"/>
      <c r="BX878" s="323"/>
      <c r="BY878" s="323"/>
      <c r="BZ878" s="323"/>
      <c r="CA878" s="323"/>
      <c r="CB878" s="323"/>
      <c r="CC878" s="323"/>
      <c r="CD878" s="329"/>
      <c r="CE878" s="323">
        <v>2.390504993</v>
      </c>
      <c r="CF878" s="323">
        <v>7.4228355150000001</v>
      </c>
      <c r="CG878" s="323">
        <v>3.3296801729999999</v>
      </c>
      <c r="CH878" s="323">
        <v>3.6924955100000001</v>
      </c>
      <c r="CI878" s="323">
        <v>4</v>
      </c>
      <c r="CJ878" s="323">
        <v>2.8368251789999999</v>
      </c>
      <c r="CK878" s="323">
        <v>2.7035992700000002</v>
      </c>
      <c r="CL878" s="323">
        <v>2.8833706860000001</v>
      </c>
      <c r="CM878" s="323">
        <v>1.6852193000000001E-2</v>
      </c>
      <c r="CN878" s="323">
        <v>0.34203537899999997</v>
      </c>
      <c r="CO878" s="323">
        <v>8.5795100999999999E-2</v>
      </c>
      <c r="CP878" s="325">
        <v>1.722784256</v>
      </c>
      <c r="CQ878" s="323">
        <v>3.3838203980000001</v>
      </c>
      <c r="CR878" s="323">
        <v>5.7186317999999998</v>
      </c>
      <c r="CS878" s="323">
        <v>6.1350750520000004</v>
      </c>
      <c r="CT878" s="323">
        <v>2.87493949</v>
      </c>
      <c r="CU878" s="323">
        <v>4.2249999999999996</v>
      </c>
      <c r="CV878" s="323">
        <v>3.3</v>
      </c>
      <c r="CW878" s="323">
        <v>3.7043971180000002</v>
      </c>
      <c r="CX878" s="323">
        <v>3.3</v>
      </c>
      <c r="CY878" s="323">
        <v>6.7</v>
      </c>
      <c r="CZ878" s="323">
        <v>0</v>
      </c>
      <c r="DA878" s="323">
        <v>3.4</v>
      </c>
      <c r="DB878" s="1269">
        <v>3.3</v>
      </c>
      <c r="DC878" s="323">
        <f t="shared" ref="DC878:EH878" si="1662">DC457</f>
        <v>3.3</v>
      </c>
      <c r="DD878" s="323">
        <f t="shared" si="1662"/>
        <v>3.3</v>
      </c>
      <c r="DE878" s="323">
        <f t="shared" si="1662"/>
        <v>3.3</v>
      </c>
      <c r="DF878" s="323">
        <f t="shared" si="1662"/>
        <v>3.3</v>
      </c>
      <c r="DG878" s="323">
        <f t="shared" si="1662"/>
        <v>3.3</v>
      </c>
      <c r="DH878" s="323">
        <f t="shared" si="1662"/>
        <v>3.3</v>
      </c>
      <c r="DI878" s="323">
        <f t="shared" si="1662"/>
        <v>3.3</v>
      </c>
      <c r="DJ878" s="323">
        <f t="shared" si="1662"/>
        <v>3.3</v>
      </c>
      <c r="DK878" s="323">
        <f t="shared" si="1662"/>
        <v>3.3</v>
      </c>
      <c r="DL878" s="323">
        <f t="shared" si="1662"/>
        <v>3.3</v>
      </c>
      <c r="DM878" s="323">
        <f t="shared" si="1662"/>
        <v>3.3</v>
      </c>
      <c r="DN878" s="325">
        <f t="shared" si="1662"/>
        <v>3.3</v>
      </c>
      <c r="DO878" s="323">
        <f t="shared" si="1662"/>
        <v>4.8980108539999998</v>
      </c>
      <c r="DP878" s="323">
        <f t="shared" si="1662"/>
        <v>6.5999999989999996</v>
      </c>
      <c r="DQ878" s="323">
        <f t="shared" si="1662"/>
        <v>6.81953502</v>
      </c>
      <c r="DR878" s="323">
        <f t="shared" si="1662"/>
        <v>6.81953502</v>
      </c>
      <c r="DS878" s="323">
        <f t="shared" si="1662"/>
        <v>7.6440726510000001</v>
      </c>
      <c r="DT878" s="323">
        <f t="shared" si="1662"/>
        <v>5.9949982159999999</v>
      </c>
      <c r="DU878" s="323">
        <f t="shared" si="1662"/>
        <v>6.81953502</v>
      </c>
      <c r="DV878" s="323">
        <f t="shared" si="1662"/>
        <v>6.81953502</v>
      </c>
      <c r="DW878" s="323">
        <f t="shared" si="1662"/>
        <v>6.81953502</v>
      </c>
      <c r="DX878" s="323">
        <f t="shared" si="1662"/>
        <v>6.8195348039999999</v>
      </c>
      <c r="DY878" s="323">
        <f t="shared" si="1662"/>
        <v>7.9879124170000004</v>
      </c>
      <c r="DZ878" s="325">
        <f t="shared" si="1662"/>
        <v>6.8195350120000002</v>
      </c>
      <c r="EA878" s="323">
        <f t="shared" si="1662"/>
        <v>9.8000000000000007</v>
      </c>
      <c r="EB878" s="323">
        <f t="shared" si="1662"/>
        <v>3.81953502</v>
      </c>
      <c r="EC878" s="323">
        <f t="shared" si="1662"/>
        <v>2.1819535019999998</v>
      </c>
      <c r="ED878" s="323">
        <f t="shared" si="1662"/>
        <v>6.8195350039999996</v>
      </c>
      <c r="EE878" s="323">
        <f t="shared" si="1662"/>
        <v>6.81953502</v>
      </c>
      <c r="EF878" s="323">
        <f t="shared" si="1662"/>
        <v>6.8195350279999998</v>
      </c>
      <c r="EG878" s="323">
        <f t="shared" si="1662"/>
        <v>6.81953502</v>
      </c>
      <c r="EH878" s="323">
        <f t="shared" si="1662"/>
        <v>6.81953502</v>
      </c>
      <c r="EI878" s="323">
        <f t="shared" ref="EI878:FN878" si="1663">EI457</f>
        <v>12.721860212999999</v>
      </c>
      <c r="EJ878" s="323">
        <f t="shared" si="1663"/>
        <v>4.3411505400000001</v>
      </c>
      <c r="EK878" s="323">
        <f t="shared" si="1663"/>
        <v>8.6823010800000002</v>
      </c>
      <c r="EL878" s="325">
        <f t="shared" si="1663"/>
        <v>0</v>
      </c>
      <c r="EM878" s="323">
        <f t="shared" si="1663"/>
        <v>14.730464983999999</v>
      </c>
      <c r="EN878" s="323">
        <f t="shared" si="1663"/>
        <v>3.2421803100000002</v>
      </c>
      <c r="EO878" s="323">
        <f t="shared" si="1663"/>
        <v>17.972645320000002</v>
      </c>
      <c r="EP878" s="323">
        <f t="shared" si="1663"/>
        <v>8.9863226459999996</v>
      </c>
      <c r="EQ878" s="323">
        <f t="shared" si="1663"/>
        <v>18.986322625</v>
      </c>
      <c r="ER878" s="323">
        <f t="shared" si="1663"/>
        <v>0</v>
      </c>
      <c r="ES878" s="323">
        <f t="shared" si="1663"/>
        <v>17.972645289999999</v>
      </c>
      <c r="ET878" s="323">
        <f t="shared" si="1663"/>
        <v>8.9863226449999996</v>
      </c>
      <c r="EU878" s="323">
        <f t="shared" si="1663"/>
        <v>8.9863226600000008</v>
      </c>
      <c r="EV878" s="323">
        <f t="shared" si="1663"/>
        <v>8.9863226449999996</v>
      </c>
      <c r="EW878" s="323">
        <f t="shared" si="1663"/>
        <v>8.9863226479999998</v>
      </c>
      <c r="EX878" s="325">
        <f t="shared" si="1663"/>
        <v>0</v>
      </c>
      <c r="EY878" s="323">
        <f t="shared" si="1663"/>
        <v>19.983332424</v>
      </c>
      <c r="EZ878" s="323">
        <f t="shared" si="1663"/>
        <v>9.9833333399999997</v>
      </c>
      <c r="FA878" s="323">
        <f t="shared" si="1663"/>
        <v>9.9833333349999993</v>
      </c>
      <c r="FB878" s="323">
        <f t="shared" si="1663"/>
        <v>9.9833333349999993</v>
      </c>
      <c r="FC878" s="323">
        <f t="shared" si="1663"/>
        <v>9.9833333349999993</v>
      </c>
      <c r="FD878" s="323">
        <f t="shared" si="1663"/>
        <v>9.9833332549999998</v>
      </c>
      <c r="FE878" s="323">
        <f t="shared" si="1663"/>
        <v>5.9900000010000003</v>
      </c>
      <c r="FF878" s="323">
        <f t="shared" si="1663"/>
        <v>14.016666670999999</v>
      </c>
      <c r="FG878" s="323">
        <f t="shared" si="1663"/>
        <v>12.000000003</v>
      </c>
      <c r="FH878" s="323">
        <f t="shared" si="1663"/>
        <v>14.01666666</v>
      </c>
      <c r="FI878" s="323">
        <f t="shared" si="1663"/>
        <v>11.999999153999999</v>
      </c>
      <c r="FJ878" s="325">
        <f t="shared" si="1663"/>
        <v>0</v>
      </c>
      <c r="FK878" s="323">
        <f t="shared" si="1663"/>
        <v>14.01666666</v>
      </c>
      <c r="FL878" s="323">
        <f t="shared" si="1663"/>
        <v>14.01666666</v>
      </c>
      <c r="FM878" s="323">
        <f t="shared" si="1663"/>
        <v>14.01666666</v>
      </c>
      <c r="FN878" s="323">
        <f t="shared" si="1663"/>
        <v>14.01666666</v>
      </c>
      <c r="FO878" s="323">
        <f t="shared" ref="FO878:GH878" si="1664">FO457</f>
        <v>14.01666666</v>
      </c>
      <c r="FP878" s="323">
        <f t="shared" si="1664"/>
        <v>14.01666666</v>
      </c>
      <c r="FQ878" s="323">
        <f t="shared" si="1664"/>
        <v>10.011228034</v>
      </c>
      <c r="FR878" s="323">
        <f t="shared" si="1664"/>
        <v>10.66133542</v>
      </c>
      <c r="FS878" s="323">
        <f t="shared" si="1664"/>
        <v>12.011228021999999</v>
      </c>
      <c r="FT878" s="323">
        <f t="shared" si="1664"/>
        <v>10.209801628999999</v>
      </c>
      <c r="FU878" s="323">
        <f t="shared" si="1664"/>
        <v>22.022456064</v>
      </c>
      <c r="FV878" s="323">
        <f t="shared" si="1664"/>
        <v>0</v>
      </c>
      <c r="FW878" s="323">
        <f t="shared" si="1664"/>
        <v>13.897358157999999</v>
      </c>
      <c r="FX878" s="323">
        <f t="shared" si="1664"/>
        <v>12.011228024999999</v>
      </c>
      <c r="FY878" s="323">
        <f t="shared" si="1664"/>
        <v>113.70904721399999</v>
      </c>
      <c r="FZ878" s="323">
        <f t="shared" si="1664"/>
        <v>12.011228023999999</v>
      </c>
      <c r="GA878" s="323">
        <f t="shared" si="1664"/>
        <v>12.011228829</v>
      </c>
      <c r="GB878" s="323">
        <f t="shared" si="1664"/>
        <v>12.011228037</v>
      </c>
      <c r="GC878" s="323">
        <f t="shared" si="1664"/>
        <v>12.631579267999999</v>
      </c>
      <c r="GD878" s="323">
        <f t="shared" si="1664"/>
        <v>12.011228471000001</v>
      </c>
      <c r="GE878" s="323">
        <f t="shared" si="1664"/>
        <v>12.322820347</v>
      </c>
      <c r="GF878" s="323">
        <f t="shared" si="1664"/>
        <v>12.323885028999999</v>
      </c>
      <c r="GG878" s="323">
        <f t="shared" si="1664"/>
        <v>24.022456063</v>
      </c>
      <c r="GH878" s="323">
        <f t="shared" si="1664"/>
        <v>11.1</v>
      </c>
      <c r="GI878" s="1654">
        <v>13.683892987</v>
      </c>
      <c r="GJ878" s="1654">
        <v>12.662296105999999</v>
      </c>
      <c r="GK878" s="1654">
        <v>12.179882039000001</v>
      </c>
      <c r="GL878" s="1654">
        <v>10.597303736000001</v>
      </c>
      <c r="GM878" s="1654">
        <v>15.134926411</v>
      </c>
      <c r="GN878" s="1654">
        <v>14.171137517</v>
      </c>
      <c r="GO878" s="1654">
        <v>13.614349638</v>
      </c>
      <c r="GP878" s="1654">
        <v>12.623696037</v>
      </c>
      <c r="GQ878" s="1654">
        <v>13.514222057</v>
      </c>
      <c r="GR878" s="1654">
        <v>19.302051208530845</v>
      </c>
      <c r="GS878" s="1654">
        <v>18.772056935919586</v>
      </c>
      <c r="GT878" s="1654">
        <v>20.944185327549565</v>
      </c>
      <c r="GU878" s="1654">
        <v>7.2067368209999998</v>
      </c>
      <c r="GV878" s="1654">
        <v>16.815718496999999</v>
      </c>
      <c r="GW878" s="1654">
        <v>12.011228035</v>
      </c>
      <c r="GX878" s="1654">
        <v>12.385181258999999</v>
      </c>
      <c r="GY878" s="1654">
        <v>11.960267955999999</v>
      </c>
      <c r="GZ878" s="1654">
        <v>14.608982337</v>
      </c>
      <c r="HA878" s="1654">
        <v>9.9030098989999988</v>
      </c>
      <c r="HB878" s="1654">
        <v>12.011228019000001</v>
      </c>
      <c r="HC878" s="1654">
        <f t="shared" ref="HC878:HR878" si="1665">HC457</f>
        <v>12.011228017000001</v>
      </c>
      <c r="HD878" s="1654">
        <f t="shared" si="1665"/>
        <v>14.711228041000002</v>
      </c>
      <c r="HE878" s="1654">
        <f t="shared" si="1665"/>
        <v>24.021016862</v>
      </c>
      <c r="HF878" s="1654">
        <f t="shared" si="1665"/>
        <v>28.9</v>
      </c>
      <c r="HG878" s="1654">
        <f>HG457</f>
        <v>12.415000935</v>
      </c>
      <c r="HH878" s="1654">
        <f t="shared" si="1665"/>
        <v>15.911227801000001</v>
      </c>
      <c r="HI878" s="1654">
        <f t="shared" si="1665"/>
        <v>12.011227599</v>
      </c>
      <c r="HJ878" s="1654">
        <f t="shared" si="1665"/>
        <v>12.011227845000001</v>
      </c>
      <c r="HK878" s="1654">
        <f t="shared" si="1665"/>
        <v>15.413681217999999</v>
      </c>
      <c r="HL878" s="1654">
        <f t="shared" si="1665"/>
        <v>12.011227999000001</v>
      </c>
      <c r="HM878" s="1654">
        <f t="shared" si="1665"/>
        <v>24.449042598999998</v>
      </c>
      <c r="HN878" s="1654">
        <f t="shared" si="1665"/>
        <v>12.011228028</v>
      </c>
      <c r="HO878" s="1654">
        <f t="shared" si="1665"/>
        <v>19.756749918000001</v>
      </c>
      <c r="HP878" s="1654">
        <f t="shared" si="1665"/>
        <v>13.710346661999999</v>
      </c>
      <c r="HQ878" s="1654">
        <f t="shared" si="1665"/>
        <v>12.011227871999999</v>
      </c>
      <c r="HR878" s="1654">
        <f t="shared" si="1665"/>
        <v>12.011228020000001</v>
      </c>
      <c r="HS878" s="1654">
        <f t="shared" ref="HS878:HX878" si="1666">HS457</f>
        <v>12.449725647999999</v>
      </c>
      <c r="HT878" s="1654">
        <f t="shared" si="1666"/>
        <v>12.011228753999999</v>
      </c>
      <c r="HU878" s="1654">
        <f t="shared" si="1666"/>
        <v>12.011227782000001</v>
      </c>
      <c r="HV878" s="1654">
        <f t="shared" si="1666"/>
        <v>14.843554469000001</v>
      </c>
      <c r="HW878" s="1654">
        <f t="shared" si="1666"/>
        <v>12.011227694</v>
      </c>
      <c r="HX878" s="1654">
        <f t="shared" si="1666"/>
        <v>15.599306855999998</v>
      </c>
      <c r="HY878" s="1654"/>
      <c r="HZ878" s="326"/>
      <c r="IA878" s="360" t="s">
        <v>3227</v>
      </c>
      <c r="IB878" s="284">
        <f>SUM(CE878:CJ878)</f>
        <v>23.672341369999998</v>
      </c>
      <c r="IC878" s="279">
        <f>SUM(CK878:CP878)</f>
        <v>7.7544368850000014</v>
      </c>
      <c r="ID878" s="323">
        <f>IB878+IC878</f>
        <v>31.426778254999999</v>
      </c>
      <c r="IE878" s="279">
        <f>SUM(CQ878:CV878)</f>
        <v>25.637466739999997</v>
      </c>
      <c r="IF878" s="279">
        <f>SUM(CW878:DB878)</f>
        <v>20.404397117999999</v>
      </c>
      <c r="IG878" s="323">
        <f>IE878+IF878</f>
        <v>46.041863857999999</v>
      </c>
      <c r="IH878" s="284">
        <f>SUM(DC878:DH878)</f>
        <v>19.8</v>
      </c>
      <c r="II878" s="279">
        <f>SUM(DI878:DN878)</f>
        <v>19.8</v>
      </c>
      <c r="IJ878" s="323">
        <f>IH878+II878</f>
        <v>39.6</v>
      </c>
      <c r="IK878" s="327">
        <f>SUM(DO878:DT878)</f>
        <v>38.776151759999998</v>
      </c>
      <c r="IL878" s="279">
        <f>SUM(DU878:DZ878)</f>
        <v>42.085587293000003</v>
      </c>
      <c r="IM878" s="323">
        <f>IK878+IL878</f>
        <v>80.861739053000008</v>
      </c>
      <c r="IN878" s="279">
        <f>SUM(EA878:EF878)</f>
        <v>36.260093573999995</v>
      </c>
      <c r="IO878" s="279">
        <f>SUM(EG878:EL878)</f>
        <v>39.384381873000002</v>
      </c>
      <c r="IP878" s="323">
        <f>IN878+IO878</f>
        <v>75.644475446999991</v>
      </c>
      <c r="IQ878" s="327">
        <f>SUM(EM878:ER878)</f>
        <v>63.917935884999999</v>
      </c>
      <c r="IR878" s="327">
        <f>SUM(ES878:EX878)</f>
        <v>53.917935887999995</v>
      </c>
      <c r="IS878" s="323">
        <f>IQ878+IR878</f>
        <v>117.83587177299999</v>
      </c>
      <c r="IT878" s="327">
        <f>SUM(EY878:FD878)</f>
        <v>69.899999023999996</v>
      </c>
      <c r="IU878" s="327">
        <f>SUM(FE878:FJ878)</f>
        <v>58.023332489000005</v>
      </c>
      <c r="IV878" s="323">
        <f>IT878+IU878</f>
        <v>127.92333151299999</v>
      </c>
      <c r="IW878" s="327">
        <v>81.294568721999994</v>
      </c>
      <c r="IX878" s="327">
        <f t="shared" si="1645"/>
        <v>64.91604916899999</v>
      </c>
      <c r="IY878" s="323">
        <f t="shared" si="1621"/>
        <v>146.21061789099997</v>
      </c>
      <c r="IZ878" s="327">
        <f t="shared" si="1622"/>
        <v>175.65131828699998</v>
      </c>
      <c r="JA878" s="327">
        <f t="shared" si="1623"/>
        <v>84.411969177999993</v>
      </c>
      <c r="JB878" s="323">
        <f t="shared" si="1458"/>
        <v>260.06328746499997</v>
      </c>
      <c r="JC878" s="327">
        <f t="shared" si="1624"/>
        <v>78.429438795999999</v>
      </c>
      <c r="JD878" s="327">
        <f t="shared" si="1617"/>
        <v>98.770561204000003</v>
      </c>
      <c r="JE878" s="323">
        <f t="shared" si="1632"/>
        <v>177.2</v>
      </c>
      <c r="JF878" s="327">
        <f t="shared" si="1638"/>
        <v>74.988114905000003</v>
      </c>
      <c r="JG878" s="327">
        <f t="shared" ref="JG878:JG903" si="1667">SUM(HA878:HF878)</f>
        <v>101.55771083799999</v>
      </c>
      <c r="JH878" s="323">
        <f t="shared" si="1406"/>
        <v>176.54582574299999</v>
      </c>
      <c r="JI878" s="327">
        <f t="shared" si="1476"/>
        <v>79.773593396999999</v>
      </c>
      <c r="JJ878" s="327">
        <f t="shared" si="1405"/>
        <v>93.949823099000014</v>
      </c>
      <c r="JK878" s="323">
        <f t="shared" si="1398"/>
        <v>173.72341649600003</v>
      </c>
      <c r="JL878" s="327">
        <f t="shared" si="1407"/>
        <v>78.926271202999999</v>
      </c>
      <c r="JM878" s="279">
        <f t="shared" si="1646"/>
        <v>106.25865214635436</v>
      </c>
      <c r="JN878" s="323">
        <f>FISC!AK1199</f>
        <v>185.18492334935436</v>
      </c>
      <c r="JO878" s="327">
        <f>(FISC!AK77*FISC!AL259/1000)</f>
        <v>0</v>
      </c>
      <c r="JP878" s="279">
        <f t="shared" si="1647"/>
        <v>208.46764615275004</v>
      </c>
      <c r="JQ878" s="323">
        <f>FISC!AL1199</f>
        <v>208.46764615275004</v>
      </c>
      <c r="JR878" s="327">
        <f>(FISC!AL77*FISC!AM259/1000)</f>
        <v>110.82612958633912</v>
      </c>
      <c r="JS878" s="279">
        <f t="shared" si="1648"/>
        <v>47.496912679859619</v>
      </c>
      <c r="JT878" s="323">
        <f>FISC!AM1199</f>
        <v>158.32304226619874</v>
      </c>
      <c r="JU878" s="327">
        <f>(FISC!AM77*FISC!AN259/1000)</f>
        <v>37.876637377551987</v>
      </c>
      <c r="JV878" s="279">
        <f t="shared" si="1649"/>
        <v>56.814956066327966</v>
      </c>
      <c r="JW878" s="323">
        <f>FISC!AN1199</f>
        <v>94.691593443879952</v>
      </c>
      <c r="JX878" s="327">
        <f>(FISC!AN77*FISC!AO259/1000)</f>
        <v>39.339634016213154</v>
      </c>
      <c r="JY878" s="279">
        <f t="shared" si="1650"/>
        <v>59.009451024319745</v>
      </c>
      <c r="JZ878" s="323">
        <f>FISC!AO1199</f>
        <v>98.349085040532898</v>
      </c>
      <c r="KA878" s="327">
        <f>(FISC!AQ77*FISC!AR259/1000)</f>
        <v>0</v>
      </c>
      <c r="KB878" s="279">
        <f t="shared" si="1651"/>
        <v>142.86592589829942</v>
      </c>
      <c r="KC878" s="323">
        <f>FISC!AP1199</f>
        <v>142.86592589829942</v>
      </c>
      <c r="KD878" s="327">
        <f>(FISC!AT77*FISC!AU259/1000)</f>
        <v>0</v>
      </c>
      <c r="KE878" s="279">
        <f t="shared" si="1652"/>
        <v>130.07239201431227</v>
      </c>
      <c r="KF878" s="323">
        <f>FISC!AQ1199</f>
        <v>130.07239201431227</v>
      </c>
      <c r="KG878" s="327">
        <f>(FISC!AW77*FISC!AX259/1000)</f>
        <v>0</v>
      </c>
      <c r="KH878" s="279">
        <f t="shared" si="1653"/>
        <v>0</v>
      </c>
      <c r="KI878" s="323">
        <f>FISC!AR1199</f>
        <v>0</v>
      </c>
      <c r="KJ878" s="327">
        <f>(FISC!AZ77*FISC!BA259/1000)</f>
        <v>0</v>
      </c>
      <c r="KK878" s="279">
        <f t="shared" si="1654"/>
        <v>0</v>
      </c>
      <c r="KL878" s="323">
        <f>FISC!AS1199</f>
        <v>0</v>
      </c>
      <c r="KM878" s="327">
        <f>(FISC!BC77*FISC!BD259/1000)</f>
        <v>0</v>
      </c>
      <c r="KN878" s="279">
        <f t="shared" si="1655"/>
        <v>0</v>
      </c>
      <c r="KO878" s="323">
        <f>FISC!AT1199</f>
        <v>0</v>
      </c>
      <c r="KU878" s="326"/>
      <c r="KV878" s="327"/>
    </row>
    <row r="879" spans="1:308">
      <c r="A879" s="279"/>
      <c r="D879" s="335"/>
      <c r="E879" s="323"/>
      <c r="F879" s="323"/>
      <c r="G879" s="323"/>
      <c r="H879" s="323"/>
      <c r="I879" s="323"/>
      <c r="J879" s="323"/>
      <c r="K879" s="323"/>
      <c r="L879" s="323"/>
      <c r="M879" s="323"/>
      <c r="N879" s="323"/>
      <c r="O879" s="323"/>
      <c r="P879" s="323"/>
      <c r="Q879" s="323"/>
      <c r="R879" s="323"/>
      <c r="S879" s="323"/>
      <c r="T879" s="323"/>
      <c r="U879" s="323"/>
      <c r="V879" s="323"/>
      <c r="W879" s="323"/>
      <c r="X879" s="323"/>
      <c r="Y879" s="323"/>
      <c r="Z879" s="323"/>
      <c r="AA879" s="323"/>
      <c r="AB879" s="323"/>
      <c r="AC879" s="323"/>
      <c r="AD879" s="323"/>
      <c r="AE879" s="323"/>
      <c r="AF879" s="323"/>
      <c r="AG879" s="323"/>
      <c r="AH879" s="323"/>
      <c r="AI879" s="323"/>
      <c r="AJ879" s="323"/>
      <c r="AK879" s="323"/>
      <c r="AL879" s="323"/>
      <c r="AM879" s="323"/>
      <c r="AN879" s="323"/>
      <c r="AO879" s="323"/>
      <c r="AP879" s="323"/>
      <c r="AQ879" s="323"/>
      <c r="AR879" s="323"/>
      <c r="AS879" s="323"/>
      <c r="AT879" s="323"/>
      <c r="AU879" s="323"/>
      <c r="AV879" s="323"/>
      <c r="AW879" s="323"/>
      <c r="AX879" s="323"/>
      <c r="AY879" s="323"/>
      <c r="AZ879" s="323"/>
      <c r="BA879" s="323"/>
      <c r="BB879" s="323"/>
      <c r="BC879" s="323"/>
      <c r="BD879" s="323"/>
      <c r="BE879" s="323"/>
      <c r="BF879" s="323"/>
      <c r="BG879" s="323"/>
      <c r="BH879" s="323"/>
      <c r="BI879" s="323"/>
      <c r="BJ879" s="323"/>
      <c r="BK879" s="323"/>
      <c r="BL879" s="323"/>
      <c r="BM879" s="323"/>
      <c r="BN879" s="323"/>
      <c r="BO879" s="323"/>
      <c r="BP879" s="323"/>
      <c r="BQ879" s="323"/>
      <c r="BR879" s="323"/>
      <c r="BS879" s="323"/>
      <c r="BT879" s="323"/>
      <c r="BU879" s="323"/>
      <c r="BV879" s="323"/>
      <c r="BW879" s="323"/>
      <c r="BX879" s="323"/>
      <c r="BY879" s="323"/>
      <c r="BZ879" s="323"/>
      <c r="CA879" s="323"/>
      <c r="CB879" s="323"/>
      <c r="CC879" s="323"/>
      <c r="CD879" s="329"/>
      <c r="CE879" s="323"/>
      <c r="CF879" s="323"/>
      <c r="CG879" s="323"/>
      <c r="CH879" s="323"/>
      <c r="CI879" s="323"/>
      <c r="CJ879" s="323"/>
      <c r="CK879" s="323"/>
      <c r="CL879" s="323"/>
      <c r="CM879" s="323"/>
      <c r="CN879" s="323"/>
      <c r="CO879" s="323"/>
      <c r="CP879" s="325"/>
      <c r="CQ879" s="323"/>
      <c r="CR879" s="323"/>
      <c r="CS879" s="323"/>
      <c r="CT879" s="323"/>
      <c r="CU879" s="323"/>
      <c r="CV879" s="323"/>
      <c r="CW879" s="323"/>
      <c r="CX879" s="323"/>
      <c r="CY879" s="323"/>
      <c r="CZ879" s="323"/>
      <c r="DA879" s="323"/>
      <c r="DB879" s="1269"/>
      <c r="DC879" s="323"/>
      <c r="DD879" s="323"/>
      <c r="DE879" s="323"/>
      <c r="DF879" s="323"/>
      <c r="DG879" s="323"/>
      <c r="DH879" s="323"/>
      <c r="DI879" s="323"/>
      <c r="DJ879" s="323"/>
      <c r="DK879" s="323"/>
      <c r="DL879" s="323"/>
      <c r="DM879" s="323"/>
      <c r="DN879" s="325"/>
      <c r="DO879" s="323"/>
      <c r="DP879" s="323"/>
      <c r="DQ879" s="323"/>
      <c r="DR879" s="323"/>
      <c r="DS879" s="323"/>
      <c r="DT879" s="323"/>
      <c r="DU879" s="323"/>
      <c r="DV879" s="323"/>
      <c r="DW879" s="323"/>
      <c r="DX879" s="323"/>
      <c r="DY879" s="323"/>
      <c r="DZ879" s="325"/>
      <c r="EA879" s="323"/>
      <c r="EB879" s="323"/>
      <c r="EC879" s="323"/>
      <c r="ED879" s="323"/>
      <c r="EE879" s="323"/>
      <c r="EF879" s="323"/>
      <c r="EG879" s="323"/>
      <c r="EH879" s="323"/>
      <c r="EI879" s="323"/>
      <c r="EJ879" s="323"/>
      <c r="EK879" s="323"/>
      <c r="EL879" s="325"/>
      <c r="EM879" s="323"/>
      <c r="EN879" s="323"/>
      <c r="EO879" s="323"/>
      <c r="EP879" s="323"/>
      <c r="EQ879" s="323"/>
      <c r="ER879" s="323"/>
      <c r="ES879" s="323"/>
      <c r="ET879" s="323"/>
      <c r="EU879" s="323"/>
      <c r="EV879" s="323"/>
      <c r="EW879" s="323"/>
      <c r="EX879" s="325"/>
      <c r="EY879" s="323"/>
      <c r="EZ879" s="323"/>
      <c r="FA879" s="323"/>
      <c r="FB879" s="323"/>
      <c r="FC879" s="323"/>
      <c r="FD879" s="323"/>
      <c r="FE879" s="323"/>
      <c r="FF879" s="323"/>
      <c r="FG879" s="323"/>
      <c r="FH879" s="323"/>
      <c r="FI879" s="323"/>
      <c r="FJ879" s="325"/>
      <c r="FK879" s="323"/>
      <c r="FL879" s="323"/>
      <c r="FM879" s="323"/>
      <c r="FN879" s="323"/>
      <c r="FO879" s="323"/>
      <c r="FP879" s="323"/>
      <c r="FQ879" s="323"/>
      <c r="FR879" s="323"/>
      <c r="FS879" s="323"/>
      <c r="FT879" s="323"/>
      <c r="FU879" s="323"/>
      <c r="FV879" s="323"/>
      <c r="FW879" s="323"/>
      <c r="FX879" s="323"/>
      <c r="FY879" s="323"/>
      <c r="FZ879" s="323"/>
      <c r="GA879" s="323"/>
      <c r="GB879" s="323"/>
      <c r="GC879" s="323"/>
      <c r="GD879" s="323"/>
      <c r="GE879" s="323"/>
      <c r="GF879" s="323"/>
      <c r="GG879" s="323"/>
      <c r="GH879" s="323"/>
      <c r="GI879" s="1654"/>
      <c r="GJ879" s="1654"/>
      <c r="GK879" s="1654"/>
      <c r="GL879" s="1654"/>
      <c r="GM879" s="1654"/>
      <c r="GN879" s="1654"/>
      <c r="GO879" s="1654"/>
      <c r="GP879" s="1654"/>
      <c r="GQ879" s="1654"/>
      <c r="GR879" s="1654"/>
      <c r="GS879" s="1654"/>
      <c r="GT879" s="1654"/>
      <c r="GU879" s="1654"/>
      <c r="GV879" s="1654"/>
      <c r="GW879" s="1654"/>
      <c r="GX879" s="1654"/>
      <c r="GY879" s="1654"/>
      <c r="GZ879" s="1654"/>
      <c r="HA879" s="1654"/>
      <c r="HB879" s="1654"/>
      <c r="HC879" s="1654"/>
      <c r="HD879" s="1654"/>
      <c r="HE879" s="1654"/>
      <c r="HF879" s="1654"/>
      <c r="HG879" s="1654"/>
      <c r="HH879" s="1654"/>
      <c r="HI879" s="1654"/>
      <c r="HJ879" s="1654"/>
      <c r="HK879" s="1654"/>
      <c r="HL879" s="1654"/>
      <c r="HM879" s="1654"/>
      <c r="HN879" s="1654"/>
      <c r="HO879" s="1654"/>
      <c r="HP879" s="1654"/>
      <c r="HQ879" s="1654"/>
      <c r="HR879" s="1654"/>
      <c r="HS879" s="1654"/>
      <c r="HT879" s="1654"/>
      <c r="HU879" s="1654"/>
      <c r="HV879" s="1654"/>
      <c r="HW879" s="1654"/>
      <c r="HX879" s="1654"/>
      <c r="HY879" s="1654"/>
      <c r="HZ879" s="326"/>
      <c r="IA879" s="2056" t="s">
        <v>3624</v>
      </c>
      <c r="IB879" s="284"/>
      <c r="ID879" s="323"/>
      <c r="IG879" s="323"/>
      <c r="IH879" s="284"/>
      <c r="IJ879" s="323"/>
      <c r="IK879" s="327"/>
      <c r="IM879" s="323"/>
      <c r="IP879" s="323"/>
      <c r="IQ879" s="327"/>
      <c r="IR879" s="327"/>
      <c r="IS879" s="323"/>
      <c r="IT879" s="327"/>
      <c r="IU879" s="327"/>
      <c r="IV879" s="323"/>
      <c r="IW879" s="327"/>
      <c r="IX879" s="327"/>
      <c r="IY879" s="323"/>
      <c r="IZ879" s="327"/>
      <c r="JA879" s="327"/>
      <c r="JB879" s="323"/>
      <c r="JC879" s="327"/>
      <c r="JD879" s="327"/>
      <c r="JE879" s="323"/>
      <c r="JF879" s="327"/>
      <c r="JG879" s="327"/>
      <c r="JH879" s="323"/>
      <c r="JI879" s="327"/>
      <c r="JJ879" s="327">
        <f t="shared" si="1405"/>
        <v>0</v>
      </c>
      <c r="JK879" s="323">
        <f t="shared" si="1398"/>
        <v>0</v>
      </c>
      <c r="JL879" s="327">
        <f t="shared" si="1407"/>
        <v>0</v>
      </c>
      <c r="JN879" s="323">
        <f>FISC!AK1200</f>
        <v>149.43554173586898</v>
      </c>
      <c r="JO879" s="327"/>
      <c r="JQ879" s="323">
        <f>FISC!AL1200</f>
        <v>166.63249823306981</v>
      </c>
      <c r="JR879" s="327"/>
      <c r="JT879" s="323">
        <f>FISC!AM1200</f>
        <v>178.75097689140489</v>
      </c>
      <c r="JU879" s="327"/>
      <c r="JW879" s="323">
        <f>FISC!AN1200</f>
        <v>201.27359997972187</v>
      </c>
      <c r="JX879" s="327"/>
      <c r="JZ879" s="323">
        <f>FISC!AO1200</f>
        <v>226.63407357716679</v>
      </c>
      <c r="KA879" s="327"/>
      <c r="KC879" s="323">
        <f>FISC!AP1200</f>
        <v>0</v>
      </c>
      <c r="KD879" s="327"/>
      <c r="KF879" s="323">
        <f>FISC!AQ1200</f>
        <v>0</v>
      </c>
      <c r="KG879" s="327"/>
      <c r="KI879" s="323">
        <f>FISC!AR1200</f>
        <v>0</v>
      </c>
      <c r="KJ879" s="327"/>
      <c r="KL879" s="323">
        <f>FISC!AS1200</f>
        <v>0</v>
      </c>
      <c r="KM879" s="327"/>
      <c r="KO879" s="323">
        <f>FISC!AT1200</f>
        <v>0</v>
      </c>
      <c r="KU879" s="326"/>
      <c r="KV879" s="327"/>
    </row>
    <row r="880" spans="1:308">
      <c r="A880" s="279"/>
      <c r="D880" s="335"/>
      <c r="E880" s="323"/>
      <c r="F880" s="323"/>
      <c r="G880" s="323"/>
      <c r="H880" s="323"/>
      <c r="I880" s="323"/>
      <c r="J880" s="323"/>
      <c r="K880" s="323"/>
      <c r="L880" s="323"/>
      <c r="M880" s="323"/>
      <c r="N880" s="323"/>
      <c r="O880" s="323"/>
      <c r="P880" s="323"/>
      <c r="Q880" s="323"/>
      <c r="R880" s="323"/>
      <c r="S880" s="323"/>
      <c r="T880" s="323"/>
      <c r="U880" s="323"/>
      <c r="V880" s="323"/>
      <c r="W880" s="323"/>
      <c r="X880" s="323"/>
      <c r="Y880" s="323"/>
      <c r="Z880" s="323"/>
      <c r="AA880" s="323"/>
      <c r="AB880" s="323"/>
      <c r="AC880" s="323"/>
      <c r="AD880" s="323"/>
      <c r="AE880" s="323"/>
      <c r="AF880" s="323"/>
      <c r="AG880" s="323"/>
      <c r="AH880" s="323"/>
      <c r="AI880" s="323"/>
      <c r="AJ880" s="323"/>
      <c r="AK880" s="323"/>
      <c r="AL880" s="323"/>
      <c r="AM880" s="323"/>
      <c r="AN880" s="323"/>
      <c r="AO880" s="323"/>
      <c r="AP880" s="323"/>
      <c r="AQ880" s="323"/>
      <c r="AR880" s="323"/>
      <c r="AS880" s="323"/>
      <c r="AT880" s="323"/>
      <c r="AU880" s="323"/>
      <c r="AV880" s="323"/>
      <c r="AW880" s="323"/>
      <c r="AX880" s="323"/>
      <c r="AY880" s="323"/>
      <c r="AZ880" s="323"/>
      <c r="BA880" s="323"/>
      <c r="BB880" s="323"/>
      <c r="BC880" s="323"/>
      <c r="BD880" s="323"/>
      <c r="BE880" s="323"/>
      <c r="BF880" s="323"/>
      <c r="BG880" s="323"/>
      <c r="BH880" s="323"/>
      <c r="BI880" s="323"/>
      <c r="BJ880" s="323"/>
      <c r="BK880" s="323"/>
      <c r="BL880" s="323"/>
      <c r="BM880" s="323"/>
      <c r="BN880" s="323"/>
      <c r="BO880" s="323"/>
      <c r="BP880" s="323"/>
      <c r="BQ880" s="323"/>
      <c r="BR880" s="323"/>
      <c r="BS880" s="323"/>
      <c r="BT880" s="323"/>
      <c r="BU880" s="323"/>
      <c r="BV880" s="323"/>
      <c r="BW880" s="323"/>
      <c r="BX880" s="323"/>
      <c r="BY880" s="323"/>
      <c r="BZ880" s="323"/>
      <c r="CA880" s="323"/>
      <c r="CB880" s="323"/>
      <c r="CC880" s="323"/>
      <c r="CD880" s="329"/>
      <c r="CE880" s="323"/>
      <c r="CF880" s="323"/>
      <c r="CG880" s="323"/>
      <c r="CH880" s="323"/>
      <c r="CI880" s="323"/>
      <c r="CJ880" s="323"/>
      <c r="CK880" s="323"/>
      <c r="CL880" s="323"/>
      <c r="CM880" s="323"/>
      <c r="CN880" s="323"/>
      <c r="CO880" s="323"/>
      <c r="CP880" s="325"/>
      <c r="CQ880" s="323"/>
      <c r="CR880" s="323"/>
      <c r="CS880" s="323"/>
      <c r="CT880" s="323"/>
      <c r="CU880" s="323"/>
      <c r="CV880" s="323"/>
      <c r="CW880" s="323"/>
      <c r="CX880" s="323"/>
      <c r="CY880" s="323"/>
      <c r="CZ880" s="323"/>
      <c r="DA880" s="323"/>
      <c r="DB880" s="1269"/>
      <c r="DC880" s="323"/>
      <c r="DD880" s="323"/>
      <c r="DE880" s="323"/>
      <c r="DF880" s="323"/>
      <c r="DG880" s="323"/>
      <c r="DH880" s="323"/>
      <c r="DI880" s="323"/>
      <c r="DJ880" s="323"/>
      <c r="DK880" s="323"/>
      <c r="DL880" s="323"/>
      <c r="DM880" s="323"/>
      <c r="DN880" s="325"/>
      <c r="DO880" s="323"/>
      <c r="DP880" s="323"/>
      <c r="DQ880" s="323"/>
      <c r="DR880" s="323"/>
      <c r="DS880" s="323"/>
      <c r="DT880" s="323"/>
      <c r="DU880" s="323"/>
      <c r="DV880" s="323"/>
      <c r="DW880" s="323"/>
      <c r="DX880" s="323"/>
      <c r="DY880" s="323"/>
      <c r="DZ880" s="325"/>
      <c r="EA880" s="323"/>
      <c r="EB880" s="323"/>
      <c r="EC880" s="323"/>
      <c r="ED880" s="323"/>
      <c r="EE880" s="323"/>
      <c r="EF880" s="323"/>
      <c r="EG880" s="323"/>
      <c r="EH880" s="323"/>
      <c r="EI880" s="323"/>
      <c r="EJ880" s="323"/>
      <c r="EK880" s="323"/>
      <c r="EL880" s="325"/>
      <c r="EM880" s="323"/>
      <c r="EN880" s="323"/>
      <c r="EO880" s="323"/>
      <c r="EP880" s="323"/>
      <c r="EQ880" s="323"/>
      <c r="ER880" s="323"/>
      <c r="ES880" s="323"/>
      <c r="ET880" s="323"/>
      <c r="EU880" s="323"/>
      <c r="EV880" s="323"/>
      <c r="EW880" s="323"/>
      <c r="EX880" s="325"/>
      <c r="EY880" s="323"/>
      <c r="EZ880" s="323"/>
      <c r="FA880" s="323"/>
      <c r="FB880" s="323"/>
      <c r="FC880" s="323"/>
      <c r="FD880" s="323"/>
      <c r="FE880" s="323"/>
      <c r="FF880" s="323"/>
      <c r="FG880" s="323"/>
      <c r="FH880" s="323"/>
      <c r="FI880" s="323"/>
      <c r="FJ880" s="325"/>
      <c r="FK880" s="323"/>
      <c r="FL880" s="323"/>
      <c r="FM880" s="323"/>
      <c r="FN880" s="323"/>
      <c r="FO880" s="323"/>
      <c r="FP880" s="323"/>
      <c r="FQ880" s="323"/>
      <c r="FR880" s="323"/>
      <c r="FS880" s="323"/>
      <c r="FT880" s="323"/>
      <c r="FU880" s="323"/>
      <c r="FV880" s="323"/>
      <c r="FW880" s="323"/>
      <c r="FX880" s="323"/>
      <c r="FY880" s="323"/>
      <c r="FZ880" s="323"/>
      <c r="GA880" s="323"/>
      <c r="GB880" s="323"/>
      <c r="GC880" s="323"/>
      <c r="GD880" s="323"/>
      <c r="GE880" s="323"/>
      <c r="GF880" s="323"/>
      <c r="GG880" s="323"/>
      <c r="GH880" s="323"/>
      <c r="GI880" s="1654"/>
      <c r="GJ880" s="1654"/>
      <c r="GK880" s="1654"/>
      <c r="GL880" s="1654"/>
      <c r="GM880" s="1654"/>
      <c r="GN880" s="1654"/>
      <c r="GO880" s="1654"/>
      <c r="GP880" s="1654"/>
      <c r="GQ880" s="1654"/>
      <c r="GR880" s="1654"/>
      <c r="GS880" s="1654"/>
      <c r="GT880" s="1654"/>
      <c r="GU880" s="1654"/>
      <c r="GV880" s="1654"/>
      <c r="GW880" s="1654"/>
      <c r="GX880" s="1654"/>
      <c r="GY880" s="1654"/>
      <c r="GZ880" s="1654"/>
      <c r="HA880" s="1654"/>
      <c r="HB880" s="1654"/>
      <c r="HC880" s="1654"/>
      <c r="HD880" s="1654"/>
      <c r="HE880" s="1654"/>
      <c r="HF880" s="1654"/>
      <c r="HG880" s="1654"/>
      <c r="HH880" s="1654"/>
      <c r="HI880" s="1654"/>
      <c r="HJ880" s="1654"/>
      <c r="HK880" s="1654"/>
      <c r="HL880" s="1654"/>
      <c r="HM880" s="1654"/>
      <c r="HN880" s="1654"/>
      <c r="HO880" s="1654"/>
      <c r="HP880" s="1654"/>
      <c r="HQ880" s="1654"/>
      <c r="HR880" s="1654"/>
      <c r="HS880" s="1654"/>
      <c r="HT880" s="1654"/>
      <c r="HU880" s="1654"/>
      <c r="HV880" s="1654"/>
      <c r="HW880" s="1654"/>
      <c r="HX880" s="1654"/>
      <c r="HY880" s="1654"/>
      <c r="HZ880" s="326"/>
      <c r="IA880" s="2056" t="s">
        <v>3688</v>
      </c>
      <c r="IB880" s="284"/>
      <c r="ID880" s="323"/>
      <c r="IG880" s="323"/>
      <c r="IH880" s="284"/>
      <c r="IJ880" s="323"/>
      <c r="IK880" s="327"/>
      <c r="IM880" s="323"/>
      <c r="IP880" s="323"/>
      <c r="IQ880" s="327"/>
      <c r="IR880" s="327"/>
      <c r="IS880" s="323"/>
      <c r="IT880" s="327"/>
      <c r="IU880" s="327"/>
      <c r="IV880" s="323"/>
      <c r="IW880" s="327"/>
      <c r="IX880" s="327"/>
      <c r="IY880" s="323"/>
      <c r="IZ880" s="327"/>
      <c r="JA880" s="327"/>
      <c r="JB880" s="323"/>
      <c r="JC880" s="327"/>
      <c r="JD880" s="327"/>
      <c r="JE880" s="323"/>
      <c r="JF880" s="327"/>
      <c r="JG880" s="327"/>
      <c r="JH880" s="323"/>
      <c r="JI880" s="327"/>
      <c r="JJ880" s="327">
        <f t="shared" si="1405"/>
        <v>0</v>
      </c>
      <c r="JK880" s="323">
        <f t="shared" si="1398"/>
        <v>0</v>
      </c>
      <c r="JL880" s="327">
        <f t="shared" si="1407"/>
        <v>0</v>
      </c>
      <c r="JN880" s="323">
        <f>FISC!AK1201</f>
        <v>35.749381613485383</v>
      </c>
      <c r="JO880" s="327"/>
      <c r="JQ880" s="323">
        <f>FISC!AL1201</f>
        <v>41.835147919680225</v>
      </c>
      <c r="JR880" s="327"/>
      <c r="JT880" s="323">
        <f>FISC!AM1201</f>
        <v>-20.427934625206149</v>
      </c>
      <c r="JU880" s="327"/>
      <c r="JW880" s="323">
        <f>FISC!AN1201</f>
        <v>-106.58200653584191</v>
      </c>
      <c r="JX880" s="327"/>
      <c r="JZ880" s="323">
        <f>FISC!AO1201</f>
        <v>-128.28498853663388</v>
      </c>
      <c r="KA880" s="327"/>
      <c r="KC880" s="323">
        <f>FISC!AP1201</f>
        <v>0</v>
      </c>
      <c r="KD880" s="327"/>
      <c r="KF880" s="323">
        <f>FISC!AQ1201</f>
        <v>0</v>
      </c>
      <c r="KG880" s="327"/>
      <c r="KI880" s="323">
        <f>FISC!AR1201</f>
        <v>0</v>
      </c>
      <c r="KJ880" s="327"/>
      <c r="KL880" s="323">
        <f>FISC!AS1201</f>
        <v>0</v>
      </c>
      <c r="KM880" s="327"/>
      <c r="KO880" s="323">
        <f>FISC!AT1201</f>
        <v>0</v>
      </c>
      <c r="KU880" s="326"/>
      <c r="KV880" s="327"/>
    </row>
    <row r="881" spans="1:308">
      <c r="A881" s="279"/>
      <c r="D881" s="1653" t="s">
        <v>3228</v>
      </c>
      <c r="E881" s="323"/>
      <c r="F881" s="323"/>
      <c r="G881" s="323"/>
      <c r="H881" s="323"/>
      <c r="I881" s="323"/>
      <c r="J881" s="323"/>
      <c r="K881" s="323"/>
      <c r="L881" s="323"/>
      <c r="M881" s="323"/>
      <c r="N881" s="323"/>
      <c r="O881" s="323"/>
      <c r="P881" s="323"/>
      <c r="Q881" s="323"/>
      <c r="R881" s="323"/>
      <c r="S881" s="323"/>
      <c r="T881" s="323"/>
      <c r="U881" s="323"/>
      <c r="V881" s="323"/>
      <c r="W881" s="323"/>
      <c r="X881" s="323"/>
      <c r="Y881" s="323"/>
      <c r="Z881" s="323"/>
      <c r="AA881" s="323"/>
      <c r="AB881" s="323"/>
      <c r="AC881" s="323"/>
      <c r="AD881" s="323"/>
      <c r="AE881" s="323"/>
      <c r="AF881" s="323"/>
      <c r="AG881" s="323"/>
      <c r="AH881" s="323"/>
      <c r="AI881" s="323"/>
      <c r="AJ881" s="323"/>
      <c r="AK881" s="323"/>
      <c r="AL881" s="323"/>
      <c r="AM881" s="323"/>
      <c r="AN881" s="323"/>
      <c r="AO881" s="323"/>
      <c r="AP881" s="323"/>
      <c r="AQ881" s="323"/>
      <c r="AR881" s="323"/>
      <c r="AS881" s="323"/>
      <c r="AT881" s="323"/>
      <c r="AU881" s="323"/>
      <c r="AV881" s="323"/>
      <c r="AW881" s="323"/>
      <c r="AX881" s="323"/>
      <c r="AY881" s="323"/>
      <c r="AZ881" s="323"/>
      <c r="BA881" s="323"/>
      <c r="BB881" s="323"/>
      <c r="BC881" s="323"/>
      <c r="BD881" s="323"/>
      <c r="BE881" s="323"/>
      <c r="BF881" s="323"/>
      <c r="BG881" s="323"/>
      <c r="BH881" s="323"/>
      <c r="BI881" s="323"/>
      <c r="BJ881" s="323"/>
      <c r="BK881" s="323"/>
      <c r="BL881" s="323"/>
      <c r="BM881" s="323"/>
      <c r="BN881" s="323"/>
      <c r="BO881" s="323"/>
      <c r="BP881" s="323"/>
      <c r="BQ881" s="323"/>
      <c r="BR881" s="323"/>
      <c r="BS881" s="323"/>
      <c r="BT881" s="323"/>
      <c r="BU881" s="323"/>
      <c r="BV881" s="323"/>
      <c r="BW881" s="323"/>
      <c r="BX881" s="323"/>
      <c r="BY881" s="323"/>
      <c r="BZ881" s="323"/>
      <c r="CA881" s="323"/>
      <c r="CB881" s="323"/>
      <c r="CC881" s="323"/>
      <c r="CD881" s="329"/>
      <c r="CE881" s="323"/>
      <c r="CF881" s="323"/>
      <c r="CG881" s="323"/>
      <c r="CH881" s="323"/>
      <c r="CI881" s="323"/>
      <c r="CJ881" s="323"/>
      <c r="CK881" s="323"/>
      <c r="CL881" s="323"/>
      <c r="CM881" s="323"/>
      <c r="CN881" s="323"/>
      <c r="CO881" s="323"/>
      <c r="CP881" s="325"/>
      <c r="CQ881" s="323"/>
      <c r="CR881" s="323"/>
      <c r="CS881" s="323"/>
      <c r="CT881" s="323"/>
      <c r="CU881" s="323"/>
      <c r="CV881" s="323"/>
      <c r="CW881" s="323"/>
      <c r="CX881" s="323"/>
      <c r="CY881" s="323"/>
      <c r="CZ881" s="323"/>
      <c r="DA881" s="323"/>
      <c r="DB881" s="1269"/>
      <c r="DC881" s="323"/>
      <c r="DD881" s="323"/>
      <c r="DE881" s="323"/>
      <c r="DF881" s="323"/>
      <c r="DG881" s="323"/>
      <c r="DH881" s="323"/>
      <c r="DI881" s="323"/>
      <c r="DJ881" s="323"/>
      <c r="DK881" s="323"/>
      <c r="DL881" s="323"/>
      <c r="DM881" s="323"/>
      <c r="DN881" s="325"/>
      <c r="DO881" s="323"/>
      <c r="DP881" s="323"/>
      <c r="DQ881" s="323"/>
      <c r="DR881" s="323"/>
      <c r="DS881" s="323"/>
      <c r="DT881" s="323"/>
      <c r="DU881" s="323"/>
      <c r="DV881" s="323"/>
      <c r="DW881" s="323"/>
      <c r="DX881" s="323"/>
      <c r="DY881" s="323"/>
      <c r="DZ881" s="325"/>
      <c r="EA881" s="323"/>
      <c r="EB881" s="323"/>
      <c r="EC881" s="323"/>
      <c r="ED881" s="323"/>
      <c r="EE881" s="323"/>
      <c r="EF881" s="323"/>
      <c r="EG881" s="323"/>
      <c r="EH881" s="323"/>
      <c r="EI881" s="323"/>
      <c r="EJ881" s="323"/>
      <c r="EK881" s="323"/>
      <c r="EL881" s="325"/>
      <c r="EM881" s="323"/>
      <c r="EN881" s="323"/>
      <c r="EO881" s="323"/>
      <c r="EP881" s="323"/>
      <c r="EQ881" s="323"/>
      <c r="ER881" s="323"/>
      <c r="ES881" s="323"/>
      <c r="ET881" s="323"/>
      <c r="EU881" s="323"/>
      <c r="EV881" s="323"/>
      <c r="EW881" s="323"/>
      <c r="EX881" s="325"/>
      <c r="EY881" s="323"/>
      <c r="EZ881" s="323"/>
      <c r="FA881" s="323"/>
      <c r="FB881" s="323"/>
      <c r="FC881" s="323"/>
      <c r="FD881" s="323"/>
      <c r="FE881" s="323"/>
      <c r="FF881" s="323"/>
      <c r="FG881" s="323"/>
      <c r="FH881" s="323"/>
      <c r="FI881" s="323"/>
      <c r="FJ881" s="325"/>
      <c r="FK881" s="323"/>
      <c r="FL881" s="323"/>
      <c r="FM881" s="323"/>
      <c r="FN881" s="323"/>
      <c r="FO881" s="323"/>
      <c r="FP881" s="323"/>
      <c r="FQ881" s="323"/>
      <c r="FR881" s="323"/>
      <c r="FS881" s="323"/>
      <c r="FT881" s="323"/>
      <c r="FU881" s="323"/>
      <c r="FV881" s="323">
        <v>0</v>
      </c>
      <c r="FW881" s="323">
        <v>0</v>
      </c>
      <c r="FX881" s="323">
        <v>0</v>
      </c>
      <c r="FY881" s="323">
        <v>101.47101130509982</v>
      </c>
      <c r="FZ881" s="323">
        <v>0</v>
      </c>
      <c r="GA881" s="323">
        <v>0</v>
      </c>
      <c r="GB881" s="323">
        <v>0</v>
      </c>
      <c r="GC881" s="323">
        <v>0</v>
      </c>
      <c r="GD881" s="323">
        <v>0</v>
      </c>
      <c r="GE881" s="323">
        <v>0</v>
      </c>
      <c r="GF881" s="323">
        <v>0</v>
      </c>
      <c r="GG881" s="323">
        <v>0</v>
      </c>
      <c r="GH881" s="323">
        <v>0</v>
      </c>
      <c r="GI881" s="1654">
        <v>0</v>
      </c>
      <c r="GJ881" s="1654">
        <v>0</v>
      </c>
      <c r="GK881" s="1654">
        <v>0</v>
      </c>
      <c r="GL881" s="1654">
        <v>0</v>
      </c>
      <c r="GM881" s="1654">
        <v>0</v>
      </c>
      <c r="GN881" s="1654">
        <v>0</v>
      </c>
      <c r="GO881" s="1654">
        <v>0</v>
      </c>
      <c r="GP881" s="1654">
        <v>0</v>
      </c>
      <c r="GQ881" s="1654">
        <v>0</v>
      </c>
      <c r="GR881" s="1654">
        <v>0</v>
      </c>
      <c r="GS881" s="1654">
        <v>0</v>
      </c>
      <c r="GT881" s="1654">
        <v>0</v>
      </c>
      <c r="GU881" s="1654">
        <v>0</v>
      </c>
      <c r="GV881" s="1654">
        <v>0</v>
      </c>
      <c r="GW881" s="1654">
        <v>0</v>
      </c>
      <c r="GX881" s="1654">
        <v>0</v>
      </c>
      <c r="GY881" s="1654">
        <v>0</v>
      </c>
      <c r="GZ881" s="1654">
        <v>0</v>
      </c>
      <c r="HA881" s="1654">
        <v>0</v>
      </c>
      <c r="HB881" s="1654">
        <v>0</v>
      </c>
      <c r="HC881" s="1654">
        <v>0</v>
      </c>
      <c r="HD881" s="1654">
        <v>0</v>
      </c>
      <c r="HE881" s="1654">
        <v>0</v>
      </c>
      <c r="HF881" s="1654">
        <v>0</v>
      </c>
      <c r="HG881" s="1654">
        <v>0</v>
      </c>
      <c r="HH881" s="1654">
        <v>0</v>
      </c>
      <c r="HI881" s="1654">
        <v>0</v>
      </c>
      <c r="HJ881" s="1654">
        <v>0</v>
      </c>
      <c r="HK881" s="1654">
        <v>0</v>
      </c>
      <c r="HL881" s="1654">
        <v>0</v>
      </c>
      <c r="HM881" s="1654">
        <v>0</v>
      </c>
      <c r="HN881" s="1654">
        <v>0</v>
      </c>
      <c r="HO881" s="1654">
        <v>0</v>
      </c>
      <c r="HP881" s="1654">
        <v>0</v>
      </c>
      <c r="HQ881" s="1654">
        <v>0</v>
      </c>
      <c r="HR881" s="1654">
        <v>0</v>
      </c>
      <c r="HS881" s="1654">
        <v>0</v>
      </c>
      <c r="HT881" s="1654">
        <v>0</v>
      </c>
      <c r="HU881" s="1654">
        <v>0</v>
      </c>
      <c r="HV881" s="1654">
        <v>0</v>
      </c>
      <c r="HW881" s="1654">
        <v>0</v>
      </c>
      <c r="HX881" s="1654">
        <v>0</v>
      </c>
      <c r="HY881" s="1654"/>
      <c r="HZ881" s="326"/>
      <c r="IA881" s="360" t="s">
        <v>3605</v>
      </c>
      <c r="IB881" s="284"/>
      <c r="ID881" s="323"/>
      <c r="IG881" s="323"/>
      <c r="IH881" s="284"/>
      <c r="IJ881" s="323"/>
      <c r="IK881" s="327"/>
      <c r="IM881" s="323"/>
      <c r="IP881" s="323"/>
      <c r="IQ881" s="327"/>
      <c r="IR881" s="327"/>
      <c r="IS881" s="323"/>
      <c r="IT881" s="327"/>
      <c r="IU881" s="327"/>
      <c r="IV881" s="323"/>
      <c r="IW881" s="327">
        <v>0</v>
      </c>
      <c r="IX881" s="327">
        <f t="shared" si="1645"/>
        <v>0</v>
      </c>
      <c r="IY881" s="323">
        <f t="shared" si="1621"/>
        <v>0</v>
      </c>
      <c r="IZ881" s="327">
        <f t="shared" si="1622"/>
        <v>101.47101130509982</v>
      </c>
      <c r="JA881" s="327">
        <f t="shared" si="1623"/>
        <v>0</v>
      </c>
      <c r="JB881" s="323">
        <f t="shared" si="1458"/>
        <v>101.47101130509982</v>
      </c>
      <c r="JC881" s="327">
        <f t="shared" si="1624"/>
        <v>0</v>
      </c>
      <c r="JD881" s="327">
        <f t="shared" si="1617"/>
        <v>0</v>
      </c>
      <c r="JE881" s="323">
        <f t="shared" si="1632"/>
        <v>0</v>
      </c>
      <c r="JF881" s="327">
        <f t="shared" si="1638"/>
        <v>0</v>
      </c>
      <c r="JG881" s="327">
        <f t="shared" si="1667"/>
        <v>0</v>
      </c>
      <c r="JH881" s="323">
        <f t="shared" si="1406"/>
        <v>0</v>
      </c>
      <c r="JI881" s="327">
        <f t="shared" si="1476"/>
        <v>0</v>
      </c>
      <c r="JJ881" s="327">
        <f t="shared" si="1405"/>
        <v>0</v>
      </c>
      <c r="JK881" s="323">
        <f t="shared" si="1398"/>
        <v>0</v>
      </c>
      <c r="JL881" s="327">
        <f t="shared" si="1407"/>
        <v>0</v>
      </c>
      <c r="JM881" s="279">
        <f t="shared" si="1646"/>
        <v>0</v>
      </c>
      <c r="JN881" s="323">
        <f>FISC!AK1202</f>
        <v>0</v>
      </c>
      <c r="JO881" s="327">
        <f t="shared" ref="JO881:JO903" si="1668">JQ881*0.55</f>
        <v>0</v>
      </c>
      <c r="JP881" s="279">
        <f t="shared" si="1647"/>
        <v>0</v>
      </c>
      <c r="JQ881" s="323">
        <f>FISC!AL1202</f>
        <v>0</v>
      </c>
      <c r="JR881" s="327">
        <f t="shared" ref="JR881:JR883" si="1669">JT881*0.55</f>
        <v>4.5540000000000012</v>
      </c>
      <c r="JS881" s="279">
        <f t="shared" si="1648"/>
        <v>3.726</v>
      </c>
      <c r="JT881" s="323">
        <f>FISC!AM1202</f>
        <v>8.2800000000000011</v>
      </c>
      <c r="JU881" s="327">
        <f t="shared" ref="JU881" si="1670">JW881*0.55</f>
        <v>9.0337500000000013</v>
      </c>
      <c r="JV881" s="279">
        <f t="shared" si="1649"/>
        <v>7.3912499999999994</v>
      </c>
      <c r="JW881" s="323">
        <f>FISC!AN1202</f>
        <v>16.425000000000001</v>
      </c>
      <c r="JX881" s="327">
        <f t="shared" ref="JX881" si="1671">JZ881*0.55</f>
        <v>9.0585000000000022</v>
      </c>
      <c r="JY881" s="279">
        <f t="shared" si="1650"/>
        <v>7.4115000000000002</v>
      </c>
      <c r="JZ881" s="323">
        <f>FISC!AO1202</f>
        <v>16.470000000000002</v>
      </c>
      <c r="KA881" s="327">
        <f t="shared" ref="KA881" si="1672">KC881*0.55</f>
        <v>11.739750000000001</v>
      </c>
      <c r="KB881" s="279">
        <f t="shared" si="1651"/>
        <v>9.6052499999999981</v>
      </c>
      <c r="KC881" s="323">
        <f>FISC!AP1202</f>
        <v>21.344999999999999</v>
      </c>
      <c r="KD881" s="327">
        <f t="shared" ref="KD881" si="1673">KF881*0.55</f>
        <v>14.396250000000002</v>
      </c>
      <c r="KE881" s="279">
        <f t="shared" si="1652"/>
        <v>11.778749999999999</v>
      </c>
      <c r="KF881" s="323">
        <f>FISC!AQ1202</f>
        <v>26.175000000000001</v>
      </c>
      <c r="KG881" s="327">
        <f t="shared" ref="KG881" si="1674">KI881*0.55</f>
        <v>0</v>
      </c>
      <c r="KH881" s="279">
        <f t="shared" si="1653"/>
        <v>0</v>
      </c>
      <c r="KI881" s="323">
        <f>FISC!AR1202</f>
        <v>0</v>
      </c>
      <c r="KJ881" s="327">
        <f t="shared" ref="KJ881" si="1675">KL881*0.55</f>
        <v>0</v>
      </c>
      <c r="KK881" s="279">
        <f t="shared" si="1654"/>
        <v>0</v>
      </c>
      <c r="KL881" s="323">
        <f>FISC!AS1202</f>
        <v>0</v>
      </c>
      <c r="KM881" s="327">
        <f t="shared" ref="KM881" si="1676">KO881*0.55</f>
        <v>0</v>
      </c>
      <c r="KN881" s="279">
        <f t="shared" si="1655"/>
        <v>0</v>
      </c>
      <c r="KO881" s="323">
        <f>FISC!AT1202</f>
        <v>0</v>
      </c>
      <c r="KU881" s="326"/>
      <c r="KV881" s="327"/>
    </row>
    <row r="882" spans="1:308">
      <c r="A882" s="279"/>
      <c r="D882" s="1417" t="s">
        <v>3049</v>
      </c>
      <c r="E882" s="323"/>
      <c r="F882" s="323"/>
      <c r="G882" s="323"/>
      <c r="H882" s="323"/>
      <c r="I882" s="323"/>
      <c r="J882" s="323"/>
      <c r="K882" s="323"/>
      <c r="L882" s="323"/>
      <c r="M882" s="323"/>
      <c r="N882" s="323"/>
      <c r="O882" s="323"/>
      <c r="P882" s="323"/>
      <c r="Q882" s="323"/>
      <c r="R882" s="323"/>
      <c r="S882" s="323"/>
      <c r="T882" s="323"/>
      <c r="U882" s="323"/>
      <c r="V882" s="323"/>
      <c r="W882" s="323"/>
      <c r="X882" s="323"/>
      <c r="Y882" s="323"/>
      <c r="Z882" s="323"/>
      <c r="AA882" s="323"/>
      <c r="AB882" s="323"/>
      <c r="AC882" s="323"/>
      <c r="AD882" s="323"/>
      <c r="AE882" s="323"/>
      <c r="AF882" s="323"/>
      <c r="AG882" s="323"/>
      <c r="AH882" s="323"/>
      <c r="AI882" s="323"/>
      <c r="AJ882" s="323"/>
      <c r="AK882" s="323"/>
      <c r="AL882" s="323"/>
      <c r="AM882" s="323"/>
      <c r="AN882" s="323"/>
      <c r="AO882" s="323"/>
      <c r="AP882" s="323"/>
      <c r="AQ882" s="323"/>
      <c r="AR882" s="323"/>
      <c r="AS882" s="323"/>
      <c r="AT882" s="323"/>
      <c r="AU882" s="323"/>
      <c r="AV882" s="323"/>
      <c r="AW882" s="323"/>
      <c r="AX882" s="323"/>
      <c r="AY882" s="323"/>
      <c r="AZ882" s="323"/>
      <c r="BA882" s="323"/>
      <c r="BB882" s="323"/>
      <c r="BC882" s="323"/>
      <c r="BD882" s="323"/>
      <c r="BE882" s="323"/>
      <c r="BF882" s="323"/>
      <c r="BG882" s="323"/>
      <c r="BH882" s="323"/>
      <c r="BI882" s="323"/>
      <c r="BJ882" s="323"/>
      <c r="BK882" s="323"/>
      <c r="BL882" s="323"/>
      <c r="BM882" s="323"/>
      <c r="BN882" s="323"/>
      <c r="BO882" s="323"/>
      <c r="BP882" s="323"/>
      <c r="BQ882" s="323"/>
      <c r="BR882" s="323"/>
      <c r="BS882" s="323"/>
      <c r="BT882" s="323"/>
      <c r="BU882" s="323"/>
      <c r="BV882" s="323"/>
      <c r="BW882" s="323"/>
      <c r="BX882" s="323"/>
      <c r="BY882" s="323"/>
      <c r="BZ882" s="323"/>
      <c r="CA882" s="323"/>
      <c r="CB882" s="323"/>
      <c r="CC882" s="323"/>
      <c r="CD882" s="329"/>
      <c r="CE882" s="323">
        <v>0</v>
      </c>
      <c r="CF882" s="323">
        <v>0</v>
      </c>
      <c r="CG882" s="323">
        <v>0</v>
      </c>
      <c r="CH882" s="323">
        <v>0</v>
      </c>
      <c r="CI882" s="323">
        <v>0</v>
      </c>
      <c r="CJ882" s="323">
        <v>0</v>
      </c>
      <c r="CK882" s="323">
        <v>0</v>
      </c>
      <c r="CL882" s="323">
        <v>0</v>
      </c>
      <c r="CM882" s="323">
        <v>0</v>
      </c>
      <c r="CN882" s="323">
        <v>0</v>
      </c>
      <c r="CO882" s="323">
        <v>0</v>
      </c>
      <c r="CP882" s="325">
        <v>0</v>
      </c>
      <c r="CQ882" s="323"/>
      <c r="CR882" s="323"/>
      <c r="CS882" s="323"/>
      <c r="CT882" s="323"/>
      <c r="CU882" s="323"/>
      <c r="CV882" s="323"/>
      <c r="CW882" s="323"/>
      <c r="CX882" s="323"/>
      <c r="CY882" s="323"/>
      <c r="CZ882" s="323"/>
      <c r="DA882" s="323"/>
      <c r="DB882" s="1269"/>
      <c r="DC882" s="323">
        <f t="shared" ref="DC882:EH882" si="1677">DC458</f>
        <v>0</v>
      </c>
      <c r="DD882" s="323">
        <f t="shared" si="1677"/>
        <v>0</v>
      </c>
      <c r="DE882" s="323">
        <f t="shared" si="1677"/>
        <v>0</v>
      </c>
      <c r="DF882" s="323">
        <f t="shared" si="1677"/>
        <v>0</v>
      </c>
      <c r="DG882" s="323">
        <f t="shared" si="1677"/>
        <v>0</v>
      </c>
      <c r="DH882" s="323">
        <f t="shared" si="1677"/>
        <v>0</v>
      </c>
      <c r="DI882" s="323">
        <f t="shared" si="1677"/>
        <v>0</v>
      </c>
      <c r="DJ882" s="323">
        <f t="shared" si="1677"/>
        <v>0</v>
      </c>
      <c r="DK882" s="323">
        <f t="shared" si="1677"/>
        <v>0</v>
      </c>
      <c r="DL882" s="323">
        <f t="shared" si="1677"/>
        <v>0</v>
      </c>
      <c r="DM882" s="323">
        <f t="shared" si="1677"/>
        <v>0</v>
      </c>
      <c r="DN882" s="325">
        <f t="shared" si="1677"/>
        <v>0</v>
      </c>
      <c r="DO882" s="323">
        <f t="shared" si="1677"/>
        <v>0</v>
      </c>
      <c r="DP882" s="323">
        <f t="shared" si="1677"/>
        <v>0</v>
      </c>
      <c r="DQ882" s="323">
        <f t="shared" si="1677"/>
        <v>0</v>
      </c>
      <c r="DR882" s="323">
        <f t="shared" si="1677"/>
        <v>0</v>
      </c>
      <c r="DS882" s="323">
        <f t="shared" si="1677"/>
        <v>0</v>
      </c>
      <c r="DT882" s="323">
        <f t="shared" si="1677"/>
        <v>0</v>
      </c>
      <c r="DU882" s="323">
        <f t="shared" si="1677"/>
        <v>0</v>
      </c>
      <c r="DV882" s="323">
        <f t="shared" si="1677"/>
        <v>0</v>
      </c>
      <c r="DW882" s="323">
        <f t="shared" si="1677"/>
        <v>0</v>
      </c>
      <c r="DX882" s="323">
        <f t="shared" si="1677"/>
        <v>0</v>
      </c>
      <c r="DY882" s="323">
        <f t="shared" si="1677"/>
        <v>0</v>
      </c>
      <c r="DZ882" s="325">
        <f t="shared" si="1677"/>
        <v>0</v>
      </c>
      <c r="EA882" s="323">
        <f t="shared" si="1677"/>
        <v>0</v>
      </c>
      <c r="EB882" s="323">
        <f t="shared" si="1677"/>
        <v>0</v>
      </c>
      <c r="EC882" s="323">
        <f t="shared" si="1677"/>
        <v>0</v>
      </c>
      <c r="ED882" s="323">
        <f t="shared" si="1677"/>
        <v>0</v>
      </c>
      <c r="EE882" s="323">
        <f t="shared" si="1677"/>
        <v>0</v>
      </c>
      <c r="EF882" s="323">
        <f t="shared" si="1677"/>
        <v>0</v>
      </c>
      <c r="EG882" s="323">
        <f t="shared" si="1677"/>
        <v>0</v>
      </c>
      <c r="EH882" s="323">
        <f t="shared" si="1677"/>
        <v>0</v>
      </c>
      <c r="EI882" s="323">
        <f t="shared" ref="EI882:FN882" si="1678">EI458</f>
        <v>0</v>
      </c>
      <c r="EJ882" s="323">
        <f t="shared" si="1678"/>
        <v>0</v>
      </c>
      <c r="EK882" s="323">
        <f t="shared" si="1678"/>
        <v>0</v>
      </c>
      <c r="EL882" s="325">
        <f t="shared" si="1678"/>
        <v>0</v>
      </c>
      <c r="EM882" s="323">
        <f t="shared" si="1678"/>
        <v>0</v>
      </c>
      <c r="EN882" s="323">
        <f t="shared" si="1678"/>
        <v>0</v>
      </c>
      <c r="EO882" s="323">
        <f t="shared" si="1678"/>
        <v>0</v>
      </c>
      <c r="EP882" s="323">
        <f t="shared" si="1678"/>
        <v>0</v>
      </c>
      <c r="EQ882" s="323">
        <f t="shared" si="1678"/>
        <v>0</v>
      </c>
      <c r="ER882" s="323">
        <f t="shared" si="1678"/>
        <v>0</v>
      </c>
      <c r="ES882" s="323">
        <f t="shared" si="1678"/>
        <v>0</v>
      </c>
      <c r="ET882" s="323">
        <f t="shared" si="1678"/>
        <v>0</v>
      </c>
      <c r="EU882" s="323">
        <f t="shared" si="1678"/>
        <v>0</v>
      </c>
      <c r="EV882" s="323">
        <f t="shared" si="1678"/>
        <v>0</v>
      </c>
      <c r="EW882" s="323">
        <f t="shared" si="1678"/>
        <v>0</v>
      </c>
      <c r="EX882" s="325">
        <f t="shared" si="1678"/>
        <v>0</v>
      </c>
      <c r="EY882" s="323">
        <f t="shared" si="1678"/>
        <v>0</v>
      </c>
      <c r="EZ882" s="323">
        <f t="shared" si="1678"/>
        <v>0</v>
      </c>
      <c r="FA882" s="323">
        <f t="shared" si="1678"/>
        <v>0</v>
      </c>
      <c r="FB882" s="323">
        <f t="shared" si="1678"/>
        <v>0</v>
      </c>
      <c r="FC882" s="323">
        <f t="shared" si="1678"/>
        <v>0</v>
      </c>
      <c r="FD882" s="323">
        <f t="shared" si="1678"/>
        <v>0</v>
      </c>
      <c r="FE882" s="323">
        <f t="shared" si="1678"/>
        <v>0</v>
      </c>
      <c r="FF882" s="323">
        <f t="shared" si="1678"/>
        <v>0</v>
      </c>
      <c r="FG882" s="323">
        <f t="shared" si="1678"/>
        <v>0</v>
      </c>
      <c r="FH882" s="323">
        <f t="shared" si="1678"/>
        <v>0</v>
      </c>
      <c r="FI882" s="323">
        <f t="shared" si="1678"/>
        <v>0</v>
      </c>
      <c r="FJ882" s="325">
        <f t="shared" si="1678"/>
        <v>0</v>
      </c>
      <c r="FK882" s="323">
        <f t="shared" si="1678"/>
        <v>0</v>
      </c>
      <c r="FL882" s="323">
        <f t="shared" si="1678"/>
        <v>0</v>
      </c>
      <c r="FM882" s="323">
        <f t="shared" si="1678"/>
        <v>0</v>
      </c>
      <c r="FN882" s="323">
        <f t="shared" si="1678"/>
        <v>0</v>
      </c>
      <c r="FO882" s="323">
        <f t="shared" ref="FO882:GT882" si="1679">FO458</f>
        <v>0</v>
      </c>
      <c r="FP882" s="323">
        <f t="shared" si="1679"/>
        <v>0</v>
      </c>
      <c r="FQ882" s="323">
        <f t="shared" si="1679"/>
        <v>0</v>
      </c>
      <c r="FR882" s="323">
        <f t="shared" si="1679"/>
        <v>0</v>
      </c>
      <c r="FS882" s="323">
        <f t="shared" si="1679"/>
        <v>0</v>
      </c>
      <c r="FT882" s="323">
        <f t="shared" si="1679"/>
        <v>0</v>
      </c>
      <c r="FU882" s="323">
        <f t="shared" si="1679"/>
        <v>0</v>
      </c>
      <c r="FV882" s="323">
        <f t="shared" si="1679"/>
        <v>0</v>
      </c>
      <c r="FW882" s="323">
        <f t="shared" si="1679"/>
        <v>0</v>
      </c>
      <c r="FX882" s="323">
        <f t="shared" si="1679"/>
        <v>7.6285068750000002</v>
      </c>
      <c r="FY882" s="323">
        <f t="shared" si="1679"/>
        <v>6.9130072079999998</v>
      </c>
      <c r="FZ882" s="323">
        <f t="shared" si="1679"/>
        <v>0.972275589</v>
      </c>
      <c r="GA882" s="323">
        <f t="shared" si="1679"/>
        <v>0</v>
      </c>
      <c r="GB882" s="323">
        <f t="shared" si="1679"/>
        <v>1.034397571</v>
      </c>
      <c r="GC882" s="323">
        <f t="shared" si="1679"/>
        <v>10.066324409</v>
      </c>
      <c r="GD882" s="323">
        <f t="shared" si="1679"/>
        <v>10.599482423</v>
      </c>
      <c r="GE882" s="323">
        <f t="shared" si="1679"/>
        <v>5.3324771999999999E-2</v>
      </c>
      <c r="GF882" s="323">
        <f t="shared" si="1679"/>
        <v>33.243282190999999</v>
      </c>
      <c r="GG882" s="323">
        <f t="shared" si="1679"/>
        <v>19.476485557</v>
      </c>
      <c r="GH882" s="323">
        <f t="shared" si="1679"/>
        <v>12.37468082</v>
      </c>
      <c r="GI882" s="1659">
        <f t="shared" si="1679"/>
        <v>32.256767070999999</v>
      </c>
      <c r="GJ882" s="1659">
        <f t="shared" si="1679"/>
        <v>6.4450805139999998</v>
      </c>
      <c r="GK882" s="1659">
        <f t="shared" si="1679"/>
        <v>6.571172647</v>
      </c>
      <c r="GL882" s="1659">
        <f t="shared" si="1679"/>
        <v>12.127108992</v>
      </c>
      <c r="GM882" s="1659">
        <f t="shared" si="1679"/>
        <v>6.1042566450000004</v>
      </c>
      <c r="GN882" s="1659">
        <f t="shared" si="1679"/>
        <v>4.2896158419999999</v>
      </c>
      <c r="GO882" s="1654">
        <f t="shared" si="1679"/>
        <v>9.304975828988816</v>
      </c>
      <c r="GP882" s="1654">
        <f t="shared" si="1679"/>
        <v>6.6989191371131268E-2</v>
      </c>
      <c r="GQ882" s="1654">
        <f t="shared" si="1679"/>
        <v>24.539645321640059</v>
      </c>
      <c r="GR882" s="1654">
        <f t="shared" si="1679"/>
        <v>0.5082772655566401</v>
      </c>
      <c r="GS882" s="1654">
        <f t="shared" si="1679"/>
        <v>9.774879751092028</v>
      </c>
      <c r="GT882" s="1654">
        <f t="shared" si="1679"/>
        <v>1.3112309303513316</v>
      </c>
      <c r="GU882" s="1654">
        <f t="shared" ref="GU882:HR882" si="1680">GU458</f>
        <v>0</v>
      </c>
      <c r="GV882" s="1654">
        <f t="shared" si="1680"/>
        <v>6.8304974759999997</v>
      </c>
      <c r="GW882" s="1654">
        <f t="shared" si="1680"/>
        <v>9.5906353109999998</v>
      </c>
      <c r="GX882" s="1654">
        <f t="shared" si="1680"/>
        <v>14.106473953</v>
      </c>
      <c r="GY882" s="1654">
        <f t="shared" si="1680"/>
        <v>13.981949655999999</v>
      </c>
      <c r="GZ882" s="1654">
        <f t="shared" si="1680"/>
        <v>7.1623217090000004</v>
      </c>
      <c r="HA882" s="1654">
        <f t="shared" si="1680"/>
        <v>22.627860151</v>
      </c>
      <c r="HB882" s="1654">
        <f t="shared" si="1680"/>
        <v>20.647062464999998</v>
      </c>
      <c r="HC882" s="1654">
        <f t="shared" si="1680"/>
        <v>18.670902823999999</v>
      </c>
      <c r="HD882" s="1654">
        <f t="shared" si="1680"/>
        <v>5.5958601909999999</v>
      </c>
      <c r="HE882" s="1654">
        <f t="shared" si="1680"/>
        <v>0</v>
      </c>
      <c r="HF882" s="1654">
        <f t="shared" si="1680"/>
        <v>0.41469011299999892</v>
      </c>
      <c r="HG882" s="1654">
        <f t="shared" si="1680"/>
        <v>2.125583716</v>
      </c>
      <c r="HH882" s="1654">
        <f t="shared" si="1680"/>
        <v>0</v>
      </c>
      <c r="HI882" s="1654">
        <f t="shared" si="1680"/>
        <v>30.551920456000001</v>
      </c>
      <c r="HJ882" s="1654">
        <f t="shared" si="1680"/>
        <v>0</v>
      </c>
      <c r="HK882" s="1654">
        <f t="shared" si="1680"/>
        <v>8.1419603909999996</v>
      </c>
      <c r="HL882" s="1654">
        <f t="shared" si="1680"/>
        <v>22.856596831999997</v>
      </c>
      <c r="HM882" s="1654">
        <f t="shared" si="1680"/>
        <v>7.1755633129999996</v>
      </c>
      <c r="HN882" s="1654">
        <f t="shared" si="1680"/>
        <v>2.6774560740000002</v>
      </c>
      <c r="HO882" s="1654">
        <f t="shared" si="1680"/>
        <v>21.632231499</v>
      </c>
      <c r="HP882" s="1654">
        <f t="shared" si="1680"/>
        <v>-3.9780632999999899E-2</v>
      </c>
      <c r="HQ882" s="1654">
        <f t="shared" si="1680"/>
        <v>18.319741352000001</v>
      </c>
      <c r="HR882" s="1654">
        <f t="shared" si="1680"/>
        <v>0.143573746</v>
      </c>
      <c r="HS882" s="1654">
        <f t="shared" ref="HS882:HX882" si="1681">HS458</f>
        <v>10.543160546999999</v>
      </c>
      <c r="HT882" s="1654">
        <f t="shared" si="1681"/>
        <v>6.800286614</v>
      </c>
      <c r="HU882" s="1654">
        <f t="shared" si="1681"/>
        <v>20.095356727999999</v>
      </c>
      <c r="HV882" s="1654">
        <f t="shared" si="1681"/>
        <v>19.502960345999998</v>
      </c>
      <c r="HW882" s="1654">
        <f t="shared" si="1681"/>
        <v>13.809625060000002</v>
      </c>
      <c r="HX882" s="1654">
        <f t="shared" si="1681"/>
        <v>4.1337904160000001</v>
      </c>
      <c r="HY882" s="1654"/>
      <c r="HZ882" s="326"/>
      <c r="IA882" s="1392" t="s">
        <v>3049</v>
      </c>
      <c r="IB882" s="284"/>
      <c r="ID882" s="323"/>
      <c r="IG882" s="323"/>
      <c r="IH882" s="284"/>
      <c r="IJ882" s="323"/>
      <c r="IK882" s="327"/>
      <c r="IM882" s="323"/>
      <c r="IP882" s="323"/>
      <c r="IQ882" s="327"/>
      <c r="IR882" s="327"/>
      <c r="IS882" s="323"/>
      <c r="IT882" s="327"/>
      <c r="IU882" s="327"/>
      <c r="IV882" s="323"/>
      <c r="IW882" s="327">
        <v>66.655878622000003</v>
      </c>
      <c r="IX882" s="327">
        <f t="shared" si="1645"/>
        <v>0</v>
      </c>
      <c r="IY882" s="323">
        <f t="shared" si="1621"/>
        <v>66.655878622000003</v>
      </c>
      <c r="IZ882" s="327">
        <f t="shared" si="1622"/>
        <v>16.548187243000001</v>
      </c>
      <c r="JA882" s="327">
        <f t="shared" si="1623"/>
        <v>85.813580172000002</v>
      </c>
      <c r="JB882" s="323">
        <f t="shared" si="1458"/>
        <v>102.361767415</v>
      </c>
      <c r="JC882" s="327">
        <f t="shared" si="1624"/>
        <v>67.794001710999993</v>
      </c>
      <c r="JD882" s="327">
        <f t="shared" si="1617"/>
        <v>45.505998289000004</v>
      </c>
      <c r="JE882" s="323">
        <f t="shared" si="1632"/>
        <v>113.3</v>
      </c>
      <c r="JF882" s="327">
        <f t="shared" si="1638"/>
        <v>51.67187810499999</v>
      </c>
      <c r="JG882" s="327">
        <f t="shared" si="1667"/>
        <v>67.956375743999985</v>
      </c>
      <c r="JH882" s="323">
        <f t="shared" si="1406"/>
        <v>119.62825384899998</v>
      </c>
      <c r="JI882" s="327">
        <f t="shared" si="1476"/>
        <v>63.676061394999991</v>
      </c>
      <c r="JJ882" s="327">
        <f t="shared" si="1405"/>
        <v>49.908785351000006</v>
      </c>
      <c r="JK882" s="323">
        <f t="shared" si="1398"/>
        <v>113.584846746</v>
      </c>
      <c r="JL882" s="327">
        <f t="shared" si="1407"/>
        <v>74.885179710999992</v>
      </c>
      <c r="JM882" s="279">
        <f t="shared" si="1646"/>
        <v>58.24169528900002</v>
      </c>
      <c r="JN882" s="323">
        <f>FISC!AK1203</f>
        <v>133.12687500000001</v>
      </c>
      <c r="JO882" s="327">
        <f t="shared" si="1668"/>
        <v>81.640056093750019</v>
      </c>
      <c r="JP882" s="279">
        <f t="shared" si="1647"/>
        <v>66.796409531249992</v>
      </c>
      <c r="JQ882" s="323">
        <f>FISC!AL1203</f>
        <v>148.43646562500001</v>
      </c>
      <c r="JR882" s="327">
        <f>JT882*0.55</f>
        <v>85.72205889843751</v>
      </c>
      <c r="JS882" s="279">
        <f t="shared" si="1648"/>
        <v>70.1362300078125</v>
      </c>
      <c r="JT882" s="323">
        <f>FISC!AM1203</f>
        <v>155.85828890625001</v>
      </c>
      <c r="JU882" s="327">
        <f>JW882*0.55</f>
        <v>90.008161843359389</v>
      </c>
      <c r="JV882" s="279">
        <f t="shared" si="1649"/>
        <v>73.643041508203126</v>
      </c>
      <c r="JW882" s="323">
        <f>FISC!AN1203</f>
        <v>163.65120335156251</v>
      </c>
      <c r="JX882" s="327">
        <f>JZ882*0.55</f>
        <v>94.508569935527376</v>
      </c>
      <c r="JY882" s="279">
        <f t="shared" si="1650"/>
        <v>77.325193583613284</v>
      </c>
      <c r="JZ882" s="323">
        <f>FISC!AO1203</f>
        <v>171.83376351914066</v>
      </c>
      <c r="KA882" s="327">
        <f>KC882*0.55</f>
        <v>0</v>
      </c>
      <c r="KB882" s="279">
        <f t="shared" si="1651"/>
        <v>0</v>
      </c>
      <c r="KC882" s="323">
        <f>FISC!AP1203</f>
        <v>0</v>
      </c>
      <c r="KD882" s="327">
        <f>KF882*0.55</f>
        <v>0</v>
      </c>
      <c r="KE882" s="279">
        <f t="shared" si="1652"/>
        <v>0</v>
      </c>
      <c r="KF882" s="323">
        <f>FISC!AQ1203</f>
        <v>0</v>
      </c>
      <c r="KG882" s="327">
        <f>KI882*0.55</f>
        <v>0</v>
      </c>
      <c r="KH882" s="279">
        <f t="shared" si="1653"/>
        <v>0</v>
      </c>
      <c r="KI882" s="323">
        <f>FISC!AR1203</f>
        <v>0</v>
      </c>
      <c r="KJ882" s="327">
        <f>KL882*0.55</f>
        <v>0</v>
      </c>
      <c r="KK882" s="279">
        <f t="shared" si="1654"/>
        <v>0</v>
      </c>
      <c r="KL882" s="323">
        <f>FISC!AS1203</f>
        <v>0</v>
      </c>
      <c r="KM882" s="327">
        <f>KO882*0.55</f>
        <v>0</v>
      </c>
      <c r="KN882" s="279">
        <f t="shared" si="1655"/>
        <v>0</v>
      </c>
      <c r="KO882" s="323">
        <f>FISC!AT1203</f>
        <v>0</v>
      </c>
      <c r="KU882" s="326"/>
      <c r="KV882" s="327"/>
    </row>
    <row r="883" spans="1:308">
      <c r="A883" s="279"/>
      <c r="D883" s="1418" t="s">
        <v>4002</v>
      </c>
      <c r="E883" s="323"/>
      <c r="F883" s="323"/>
      <c r="G883" s="323"/>
      <c r="H883" s="323"/>
      <c r="I883" s="323"/>
      <c r="J883" s="323"/>
      <c r="K883" s="323"/>
      <c r="L883" s="323"/>
      <c r="M883" s="323"/>
      <c r="N883" s="323"/>
      <c r="O883" s="323"/>
      <c r="P883" s="323"/>
      <c r="Q883" s="323"/>
      <c r="R883" s="323"/>
      <c r="S883" s="323"/>
      <c r="T883" s="323"/>
      <c r="U883" s="323"/>
      <c r="V883" s="323"/>
      <c r="W883" s="323"/>
      <c r="X883" s="323"/>
      <c r="Y883" s="323"/>
      <c r="Z883" s="323"/>
      <c r="AA883" s="323"/>
      <c r="AB883" s="323"/>
      <c r="AC883" s="323"/>
      <c r="AD883" s="323"/>
      <c r="AE883" s="323"/>
      <c r="AF883" s="323"/>
      <c r="AG883" s="323"/>
      <c r="AH883" s="323"/>
      <c r="AI883" s="323"/>
      <c r="AJ883" s="323"/>
      <c r="AK883" s="323"/>
      <c r="AL883" s="323"/>
      <c r="AM883" s="323"/>
      <c r="AN883" s="323"/>
      <c r="AO883" s="323"/>
      <c r="AP883" s="323"/>
      <c r="AQ883" s="323"/>
      <c r="AR883" s="323"/>
      <c r="AS883" s="323"/>
      <c r="AT883" s="323"/>
      <c r="AU883" s="323"/>
      <c r="AV883" s="323"/>
      <c r="AW883" s="323"/>
      <c r="AX883" s="323"/>
      <c r="AY883" s="323"/>
      <c r="AZ883" s="323"/>
      <c r="BA883" s="323"/>
      <c r="BB883" s="323"/>
      <c r="BC883" s="323"/>
      <c r="BD883" s="323"/>
      <c r="BE883" s="323"/>
      <c r="BF883" s="323"/>
      <c r="BG883" s="323"/>
      <c r="BH883" s="323"/>
      <c r="BI883" s="323"/>
      <c r="BJ883" s="323"/>
      <c r="BK883" s="323"/>
      <c r="BL883" s="323"/>
      <c r="BM883" s="323"/>
      <c r="BN883" s="323"/>
      <c r="BO883" s="323"/>
      <c r="BP883" s="323"/>
      <c r="BQ883" s="323"/>
      <c r="BR883" s="323"/>
      <c r="BS883" s="323"/>
      <c r="BT883" s="323"/>
      <c r="BU883" s="323"/>
      <c r="BV883" s="323"/>
      <c r="BW883" s="323"/>
      <c r="BX883" s="323"/>
      <c r="BY883" s="323"/>
      <c r="BZ883" s="323"/>
      <c r="CA883" s="323"/>
      <c r="CB883" s="323"/>
      <c r="CC883" s="323"/>
      <c r="CD883" s="329"/>
      <c r="CE883" s="323"/>
      <c r="CF883" s="323"/>
      <c r="CG883" s="323"/>
      <c r="CH883" s="323"/>
      <c r="CI883" s="323"/>
      <c r="CJ883" s="323"/>
      <c r="CK883" s="323"/>
      <c r="CL883" s="323"/>
      <c r="CM883" s="323"/>
      <c r="CN883" s="323"/>
      <c r="CO883" s="323"/>
      <c r="CP883" s="325"/>
      <c r="CQ883" s="323"/>
      <c r="CR883" s="323"/>
      <c r="CS883" s="323"/>
      <c r="CT883" s="323"/>
      <c r="CU883" s="323"/>
      <c r="CV883" s="323"/>
      <c r="CW883" s="323"/>
      <c r="CX883" s="323"/>
      <c r="CY883" s="323"/>
      <c r="CZ883" s="323"/>
      <c r="DA883" s="323"/>
      <c r="DB883" s="1269"/>
      <c r="DC883" s="323"/>
      <c r="DD883" s="323"/>
      <c r="DE883" s="323"/>
      <c r="DF883" s="323"/>
      <c r="DG883" s="323"/>
      <c r="DH883" s="323"/>
      <c r="DI883" s="323"/>
      <c r="DJ883" s="323"/>
      <c r="DK883" s="323"/>
      <c r="DL883" s="323"/>
      <c r="DM883" s="323"/>
      <c r="DN883" s="325"/>
      <c r="DO883" s="323"/>
      <c r="DP883" s="323"/>
      <c r="DQ883" s="323"/>
      <c r="DR883" s="323"/>
      <c r="DS883" s="323"/>
      <c r="DT883" s="323"/>
      <c r="DU883" s="323"/>
      <c r="DV883" s="323"/>
      <c r="DW883" s="323"/>
      <c r="DX883" s="323"/>
      <c r="DY883" s="323"/>
      <c r="DZ883" s="325"/>
      <c r="EA883" s="323"/>
      <c r="EB883" s="323"/>
      <c r="EC883" s="323"/>
      <c r="ED883" s="323"/>
      <c r="EE883" s="323"/>
      <c r="EF883" s="323"/>
      <c r="EG883" s="323"/>
      <c r="EH883" s="323"/>
      <c r="EI883" s="323"/>
      <c r="EJ883" s="323"/>
      <c r="EK883" s="323"/>
      <c r="EL883" s="325"/>
      <c r="EM883" s="323"/>
      <c r="EN883" s="323"/>
      <c r="EO883" s="323"/>
      <c r="EP883" s="323"/>
      <c r="EQ883" s="323"/>
      <c r="ER883" s="323"/>
      <c r="ES883" s="323"/>
      <c r="ET883" s="323"/>
      <c r="EU883" s="323"/>
      <c r="EV883" s="323"/>
      <c r="EW883" s="323"/>
      <c r="EX883" s="325"/>
      <c r="EY883" s="323"/>
      <c r="EZ883" s="323"/>
      <c r="FA883" s="323"/>
      <c r="FB883" s="323"/>
      <c r="FC883" s="323"/>
      <c r="FD883" s="323"/>
      <c r="FE883" s="323"/>
      <c r="FF883" s="323"/>
      <c r="FG883" s="323"/>
      <c r="FH883" s="323"/>
      <c r="FI883" s="323"/>
      <c r="FJ883" s="325"/>
      <c r="FK883" s="323"/>
      <c r="FL883" s="323"/>
      <c r="FM883" s="323"/>
      <c r="FN883" s="323"/>
      <c r="FO883" s="323"/>
      <c r="FP883" s="323"/>
      <c r="FQ883" s="323"/>
      <c r="FR883" s="323"/>
      <c r="FS883" s="323"/>
      <c r="FT883" s="323"/>
      <c r="FU883" s="323"/>
      <c r="FV883" s="323"/>
      <c r="FW883" s="323">
        <v>0</v>
      </c>
      <c r="FX883" s="323">
        <v>0</v>
      </c>
      <c r="FY883" s="323">
        <v>0</v>
      </c>
      <c r="FZ883" s="323">
        <v>0</v>
      </c>
      <c r="GA883" s="323">
        <v>0</v>
      </c>
      <c r="GB883" s="323">
        <v>0</v>
      </c>
      <c r="GC883" s="323">
        <v>0</v>
      </c>
      <c r="GD883" s="323">
        <v>0</v>
      </c>
      <c r="GE883" s="323">
        <v>0</v>
      </c>
      <c r="GF883" s="323">
        <v>0</v>
      </c>
      <c r="GG883" s="323">
        <v>0</v>
      </c>
      <c r="GH883" s="323">
        <v>0</v>
      </c>
      <c r="GI883" s="1654">
        <v>0</v>
      </c>
      <c r="GJ883" s="1654">
        <v>0</v>
      </c>
      <c r="GK883" s="1654">
        <v>0</v>
      </c>
      <c r="GL883" s="1654">
        <v>0</v>
      </c>
      <c r="GM883" s="1654">
        <v>0</v>
      </c>
      <c r="GN883" s="1654">
        <v>0</v>
      </c>
      <c r="GO883" s="1654">
        <v>0</v>
      </c>
      <c r="GP883" s="1654">
        <v>0</v>
      </c>
      <c r="GQ883" s="1654">
        <v>0</v>
      </c>
      <c r="GR883" s="1654">
        <v>0</v>
      </c>
      <c r="GS883" s="1654">
        <v>0</v>
      </c>
      <c r="GT883" s="1654">
        <v>0</v>
      </c>
      <c r="GU883" s="1654">
        <v>0</v>
      </c>
      <c r="GV883" s="1654">
        <v>0</v>
      </c>
      <c r="GW883" s="1654">
        <v>0</v>
      </c>
      <c r="GX883" s="1654">
        <v>0</v>
      </c>
      <c r="GY883" s="1654">
        <v>0</v>
      </c>
      <c r="GZ883" s="1654">
        <v>0</v>
      </c>
      <c r="HA883" s="1654">
        <v>0</v>
      </c>
      <c r="HB883" s="1654">
        <v>0</v>
      </c>
      <c r="HC883" s="1654">
        <v>0</v>
      </c>
      <c r="HD883" s="1654">
        <v>0</v>
      </c>
      <c r="HE883" s="1654">
        <v>0</v>
      </c>
      <c r="HF883" s="1654">
        <v>0</v>
      </c>
      <c r="HG883" s="1654">
        <v>0</v>
      </c>
      <c r="HH883" s="1654">
        <v>0</v>
      </c>
      <c r="HI883" s="1654">
        <v>0</v>
      </c>
      <c r="HJ883" s="1654">
        <v>0</v>
      </c>
      <c r="HK883" s="1654">
        <v>0</v>
      </c>
      <c r="HL883" s="1654">
        <v>0</v>
      </c>
      <c r="HM883" s="1654">
        <v>0</v>
      </c>
      <c r="HN883" s="1654">
        <v>0</v>
      </c>
      <c r="HO883" s="1654">
        <v>0</v>
      </c>
      <c r="HP883" s="1654">
        <v>0</v>
      </c>
      <c r="HQ883" s="1654">
        <v>0</v>
      </c>
      <c r="HR883" s="1654">
        <v>0</v>
      </c>
      <c r="HS883" s="1654">
        <f>HS877-HS878-HS882</f>
        <v>2.2718051729999988</v>
      </c>
      <c r="HT883" s="1654">
        <f t="shared" ref="HT883:HX883" si="1682">HT877-HT878-HT882</f>
        <v>3.5737293809999988</v>
      </c>
      <c r="HU883" s="1654">
        <f t="shared" si="1682"/>
        <v>3.3617192560000007</v>
      </c>
      <c r="HV883" s="1654">
        <f t="shared" si="1682"/>
        <v>3.1415783739999981</v>
      </c>
      <c r="HW883" s="1654">
        <f t="shared" si="1682"/>
        <v>3.1347344269999979</v>
      </c>
      <c r="HX883" s="1654">
        <f t="shared" si="1682"/>
        <v>0.91852151499999835</v>
      </c>
      <c r="HY883" s="1654"/>
      <c r="HZ883" s="326"/>
      <c r="IA883" s="1392" t="s">
        <v>3142</v>
      </c>
      <c r="IB883" s="284"/>
      <c r="ID883" s="323"/>
      <c r="IG883" s="323"/>
      <c r="IH883" s="284"/>
      <c r="IJ883" s="323"/>
      <c r="IK883" s="327"/>
      <c r="IM883" s="323"/>
      <c r="IP883" s="323"/>
      <c r="IQ883" s="327"/>
      <c r="IR883" s="327"/>
      <c r="IS883" s="323"/>
      <c r="IT883" s="327"/>
      <c r="IU883" s="327"/>
      <c r="IV883" s="323"/>
      <c r="IW883" s="327">
        <v>12.3</v>
      </c>
      <c r="IX883" s="327">
        <f t="shared" si="1645"/>
        <v>0</v>
      </c>
      <c r="IY883" s="323">
        <f t="shared" si="1621"/>
        <v>12.3</v>
      </c>
      <c r="IZ883" s="327">
        <f t="shared" si="1622"/>
        <v>0</v>
      </c>
      <c r="JA883" s="327">
        <f t="shared" si="1623"/>
        <v>0</v>
      </c>
      <c r="JB883" s="323">
        <f t="shared" si="1458"/>
        <v>0</v>
      </c>
      <c r="JC883" s="327">
        <f t="shared" si="1624"/>
        <v>0</v>
      </c>
      <c r="JD883" s="327">
        <f t="shared" si="1617"/>
        <v>0</v>
      </c>
      <c r="JE883" s="323">
        <f t="shared" si="1632"/>
        <v>0</v>
      </c>
      <c r="JF883" s="327">
        <f t="shared" si="1638"/>
        <v>0</v>
      </c>
      <c r="JG883" s="327">
        <f t="shared" si="1667"/>
        <v>0</v>
      </c>
      <c r="JH883" s="323">
        <f t="shared" si="1406"/>
        <v>0</v>
      </c>
      <c r="JI883" s="327">
        <f t="shared" si="1476"/>
        <v>0</v>
      </c>
      <c r="JJ883" s="327">
        <f t="shared" si="1405"/>
        <v>0</v>
      </c>
      <c r="JK883" s="323">
        <f t="shared" ref="JK883:JK946" si="1683">JI883+JJ883</f>
        <v>0</v>
      </c>
      <c r="JL883" s="327">
        <f t="shared" si="1407"/>
        <v>16.402088125999992</v>
      </c>
      <c r="JM883" s="279">
        <f t="shared" si="1646"/>
        <v>50.121722388311667</v>
      </c>
      <c r="JN883" s="323">
        <f>FISC!AK1204</f>
        <v>66.523810514311663</v>
      </c>
      <c r="JO883" s="327">
        <f t="shared" si="1668"/>
        <v>38.431492583572783</v>
      </c>
      <c r="JP883" s="279">
        <f t="shared" si="1647"/>
        <v>31.443948477468631</v>
      </c>
      <c r="JQ883" s="323">
        <f>FISC!AL1204</f>
        <v>69.875441061041414</v>
      </c>
      <c r="JR883" s="327">
        <f t="shared" si="1669"/>
        <v>49.211742976307079</v>
      </c>
      <c r="JS883" s="279">
        <f t="shared" si="1648"/>
        <v>40.264153344251241</v>
      </c>
      <c r="JT883" s="323">
        <f>FISC!AM1204</f>
        <v>89.47589632055832</v>
      </c>
      <c r="JU883" s="327">
        <f t="shared" ref="JU883" si="1684">JW883*0.55</f>
        <v>59.643691800286639</v>
      </c>
      <c r="JV883" s="279">
        <f t="shared" si="1649"/>
        <v>48.79938420023452</v>
      </c>
      <c r="JW883" s="323">
        <f>FISC!AN1204</f>
        <v>108.44307600052116</v>
      </c>
      <c r="JX883" s="327">
        <f t="shared" ref="JX883" si="1685">JZ883*0.55</f>
        <v>69.818383948012553</v>
      </c>
      <c r="JY883" s="279">
        <f t="shared" si="1650"/>
        <v>57.124132321101172</v>
      </c>
      <c r="JZ883" s="323">
        <f>FISC!AO1204</f>
        <v>126.94251626911372</v>
      </c>
      <c r="KA883" s="327">
        <f t="shared" ref="KA883" si="1686">KC883*0.55</f>
        <v>0</v>
      </c>
      <c r="KB883" s="279">
        <f t="shared" si="1651"/>
        <v>0</v>
      </c>
      <c r="KC883" s="323">
        <f>FISC!AP1204</f>
        <v>0</v>
      </c>
      <c r="KD883" s="327">
        <f t="shared" ref="KD883" si="1687">KF883*0.55</f>
        <v>0</v>
      </c>
      <c r="KE883" s="279">
        <f t="shared" si="1652"/>
        <v>0</v>
      </c>
      <c r="KF883" s="323">
        <f>FISC!AQ1204</f>
        <v>0</v>
      </c>
      <c r="KG883" s="327">
        <f t="shared" ref="KG883" si="1688">KI883*0.55</f>
        <v>0</v>
      </c>
      <c r="KH883" s="279">
        <f t="shared" si="1653"/>
        <v>0</v>
      </c>
      <c r="KI883" s="323">
        <f>FISC!AR1204</f>
        <v>0</v>
      </c>
      <c r="KJ883" s="327">
        <f t="shared" ref="KJ883" si="1689">KL883*0.55</f>
        <v>0</v>
      </c>
      <c r="KK883" s="279">
        <f t="shared" si="1654"/>
        <v>0</v>
      </c>
      <c r="KL883" s="323">
        <f>FISC!AS1204</f>
        <v>0</v>
      </c>
      <c r="KM883" s="327">
        <f t="shared" ref="KM883" si="1690">KO883*0.55</f>
        <v>0</v>
      </c>
      <c r="KN883" s="279">
        <f t="shared" si="1655"/>
        <v>0</v>
      </c>
      <c r="KO883" s="323">
        <f>FISC!AT1204</f>
        <v>0</v>
      </c>
      <c r="KU883" s="326"/>
      <c r="KV883" s="327"/>
    </row>
    <row r="884" spans="1:308" ht="15.3">
      <c r="A884" s="279"/>
      <c r="D884" s="1680" t="str">
        <f>FISC!D1205</f>
        <v>Flood response</v>
      </c>
      <c r="E884" s="323"/>
      <c r="F884" s="323"/>
      <c r="G884" s="323"/>
      <c r="H884" s="323"/>
      <c r="I884" s="323"/>
      <c r="J884" s="323"/>
      <c r="K884" s="323"/>
      <c r="L884" s="323"/>
      <c r="M884" s="323"/>
      <c r="N884" s="323"/>
      <c r="O884" s="323"/>
      <c r="P884" s="323"/>
      <c r="Q884" s="323"/>
      <c r="R884" s="323"/>
      <c r="S884" s="323"/>
      <c r="T884" s="323"/>
      <c r="U884" s="323"/>
      <c r="V884" s="323"/>
      <c r="W884" s="323"/>
      <c r="X884" s="323"/>
      <c r="Y884" s="323"/>
      <c r="Z884" s="323"/>
      <c r="AA884" s="323"/>
      <c r="AB884" s="323"/>
      <c r="AC884" s="323"/>
      <c r="AD884" s="323"/>
      <c r="AE884" s="323"/>
      <c r="AF884" s="323"/>
      <c r="AG884" s="323"/>
      <c r="AH884" s="323"/>
      <c r="AI884" s="323"/>
      <c r="AJ884" s="323"/>
      <c r="AK884" s="323"/>
      <c r="AL884" s="323"/>
      <c r="AM884" s="323"/>
      <c r="AN884" s="323"/>
      <c r="AO884" s="323"/>
      <c r="AP884" s="323"/>
      <c r="AQ884" s="323"/>
      <c r="AR884" s="323"/>
      <c r="AS884" s="323"/>
      <c r="AT884" s="323"/>
      <c r="AU884" s="323"/>
      <c r="AV884" s="323"/>
      <c r="AW884" s="323"/>
      <c r="AX884" s="323"/>
      <c r="AY884" s="323"/>
      <c r="AZ884" s="323"/>
      <c r="BA884" s="323"/>
      <c r="BB884" s="323"/>
      <c r="BC884" s="323"/>
      <c r="BD884" s="323"/>
      <c r="BE884" s="323"/>
      <c r="BF884" s="323"/>
      <c r="BG884" s="323"/>
      <c r="BH884" s="323"/>
      <c r="BI884" s="323"/>
      <c r="BJ884" s="323"/>
      <c r="BK884" s="323"/>
      <c r="BL884" s="323"/>
      <c r="BM884" s="323"/>
      <c r="BN884" s="323"/>
      <c r="BO884" s="323"/>
      <c r="BP884" s="323"/>
      <c r="BQ884" s="323"/>
      <c r="BR884" s="323"/>
      <c r="BS884" s="323"/>
      <c r="BT884" s="323"/>
      <c r="BU884" s="323"/>
      <c r="BV884" s="323"/>
      <c r="BW884" s="323"/>
      <c r="BX884" s="323"/>
      <c r="BY884" s="323"/>
      <c r="BZ884" s="323"/>
      <c r="CA884" s="323"/>
      <c r="CB884" s="323"/>
      <c r="CC884" s="323"/>
      <c r="CD884" s="329"/>
      <c r="CE884" s="323"/>
      <c r="CF884" s="323"/>
      <c r="CG884" s="323"/>
      <c r="CH884" s="323"/>
      <c r="CI884" s="323"/>
      <c r="CJ884" s="323"/>
      <c r="CK884" s="323"/>
      <c r="CL884" s="323"/>
      <c r="CM884" s="323"/>
      <c r="CN884" s="323"/>
      <c r="CO884" s="323"/>
      <c r="CP884" s="325"/>
      <c r="CQ884" s="323"/>
      <c r="CR884" s="323"/>
      <c r="CS884" s="323"/>
      <c r="CT884" s="323"/>
      <c r="CU884" s="323"/>
      <c r="CV884" s="323"/>
      <c r="CW884" s="323"/>
      <c r="CX884" s="323"/>
      <c r="CY884" s="323"/>
      <c r="CZ884" s="323"/>
      <c r="DA884" s="323"/>
      <c r="DB884" s="1269"/>
      <c r="DC884" s="323"/>
      <c r="DD884" s="323"/>
      <c r="DE884" s="323"/>
      <c r="DF884" s="323"/>
      <c r="DG884" s="323"/>
      <c r="DH884" s="323"/>
      <c r="DI884" s="323"/>
      <c r="DJ884" s="323"/>
      <c r="DK884" s="323"/>
      <c r="DL884" s="323"/>
      <c r="DM884" s="323"/>
      <c r="DN884" s="325"/>
      <c r="DO884" s="323"/>
      <c r="DP884" s="323"/>
      <c r="DQ884" s="323"/>
      <c r="DR884" s="323"/>
      <c r="DS884" s="323"/>
      <c r="DT884" s="323"/>
      <c r="DU884" s="323"/>
      <c r="DV884" s="323"/>
      <c r="DW884" s="323"/>
      <c r="DX884" s="323"/>
      <c r="DY884" s="323"/>
      <c r="DZ884" s="325"/>
      <c r="EA884" s="323"/>
      <c r="EB884" s="323"/>
      <c r="EC884" s="323"/>
      <c r="ED884" s="323"/>
      <c r="EE884" s="323"/>
      <c r="EF884" s="323"/>
      <c r="EG884" s="323"/>
      <c r="EH884" s="323"/>
      <c r="EI884" s="323"/>
      <c r="EJ884" s="323"/>
      <c r="EK884" s="323"/>
      <c r="EL884" s="325"/>
      <c r="EM884" s="323"/>
      <c r="EN884" s="323"/>
      <c r="EO884" s="323"/>
      <c r="EP884" s="323"/>
      <c r="EQ884" s="323"/>
      <c r="ER884" s="323"/>
      <c r="ES884" s="323"/>
      <c r="ET884" s="323"/>
      <c r="EU884" s="323"/>
      <c r="EV884" s="323"/>
      <c r="EW884" s="323"/>
      <c r="EX884" s="325"/>
      <c r="EY884" s="323"/>
      <c r="EZ884" s="323"/>
      <c r="FA884" s="323"/>
      <c r="FB884" s="323"/>
      <c r="FC884" s="323"/>
      <c r="FD884" s="323"/>
      <c r="FE884" s="323"/>
      <c r="FF884" s="323"/>
      <c r="FG884" s="323"/>
      <c r="FH884" s="323"/>
      <c r="FI884" s="323"/>
      <c r="FJ884" s="325"/>
      <c r="FK884" s="323"/>
      <c r="FL884" s="323"/>
      <c r="FM884" s="323"/>
      <c r="FN884" s="323"/>
      <c r="FO884" s="323"/>
      <c r="FP884" s="323"/>
      <c r="FQ884" s="323"/>
      <c r="FR884" s="323"/>
      <c r="FS884" s="323"/>
      <c r="FT884" s="323"/>
      <c r="FU884" s="323"/>
      <c r="FV884" s="323"/>
      <c r="FW884" s="323"/>
      <c r="FX884" s="323"/>
      <c r="FY884" s="323"/>
      <c r="FZ884" s="323"/>
      <c r="GA884" s="323"/>
      <c r="GB884" s="323"/>
      <c r="GC884" s="323"/>
      <c r="GD884" s="323"/>
      <c r="GE884" s="323"/>
      <c r="GF884" s="323"/>
      <c r="GG884" s="323"/>
      <c r="GH884" s="323"/>
      <c r="GI884" s="1654">
        <v>0</v>
      </c>
      <c r="GJ884" s="1654">
        <v>0</v>
      </c>
      <c r="GK884" s="1654">
        <v>0</v>
      </c>
      <c r="GL884" s="1654">
        <v>0</v>
      </c>
      <c r="GM884" s="1654">
        <v>0</v>
      </c>
      <c r="GN884" s="1654">
        <v>0</v>
      </c>
      <c r="GO884" s="1654">
        <v>0</v>
      </c>
      <c r="GP884" s="1654">
        <v>0</v>
      </c>
      <c r="GQ884" s="1654">
        <v>0</v>
      </c>
      <c r="GR884" s="1654">
        <v>0</v>
      </c>
      <c r="GS884" s="1654">
        <v>0</v>
      </c>
      <c r="GT884" s="1654">
        <v>0</v>
      </c>
      <c r="GU884" s="1654">
        <v>0</v>
      </c>
      <c r="GV884" s="1654">
        <v>0</v>
      </c>
      <c r="GW884" s="1654">
        <v>0</v>
      </c>
      <c r="GX884" s="1654">
        <v>0</v>
      </c>
      <c r="GY884" s="1654">
        <v>0</v>
      </c>
      <c r="GZ884" s="1654">
        <v>0</v>
      </c>
      <c r="HA884" s="1654">
        <v>0</v>
      </c>
      <c r="HB884" s="1654">
        <v>0</v>
      </c>
      <c r="HC884" s="1654">
        <v>0</v>
      </c>
      <c r="HD884" s="1654">
        <v>0</v>
      </c>
      <c r="HE884" s="1654">
        <v>0</v>
      </c>
      <c r="HF884" s="1654">
        <v>0</v>
      </c>
      <c r="HG884" s="1654">
        <v>0</v>
      </c>
      <c r="HH884" s="1654">
        <v>0</v>
      </c>
      <c r="HI884" s="1654">
        <v>0</v>
      </c>
      <c r="HJ884" s="1654">
        <v>0</v>
      </c>
      <c r="HK884" s="1654">
        <v>0</v>
      </c>
      <c r="HL884" s="1654">
        <v>0</v>
      </c>
      <c r="HM884" s="1654">
        <v>0</v>
      </c>
      <c r="HN884" s="1654">
        <v>0</v>
      </c>
      <c r="HO884" s="1654">
        <v>0</v>
      </c>
      <c r="HP884" s="1654">
        <v>0</v>
      </c>
      <c r="HQ884" s="1654">
        <v>0</v>
      </c>
      <c r="HR884" s="1654">
        <v>0</v>
      </c>
      <c r="HS884" s="1654">
        <v>0</v>
      </c>
      <c r="HT884" s="1654">
        <v>0</v>
      </c>
      <c r="HU884" s="1654">
        <v>0</v>
      </c>
      <c r="HV884" s="1654">
        <v>0</v>
      </c>
      <c r="HW884" s="1654">
        <v>0</v>
      </c>
      <c r="HX884" s="1654">
        <v>0</v>
      </c>
      <c r="HY884" s="1654"/>
      <c r="HZ884" s="326"/>
      <c r="IA884" s="2392" t="s">
        <v>3309</v>
      </c>
      <c r="IB884" s="284"/>
      <c r="ID884" s="323"/>
      <c r="IG884" s="323"/>
      <c r="IH884" s="284"/>
      <c r="IJ884" s="323"/>
      <c r="IK884" s="327"/>
      <c r="IM884" s="323"/>
      <c r="IP884" s="323"/>
      <c r="IQ884" s="327"/>
      <c r="IR884" s="327"/>
      <c r="IS884" s="323"/>
      <c r="IT884" s="327"/>
      <c r="IU884" s="327"/>
      <c r="IV884" s="323"/>
      <c r="IW884" s="327"/>
      <c r="IX884" s="327"/>
      <c r="IY884" s="323"/>
      <c r="IZ884" s="327"/>
      <c r="JA884" s="327"/>
      <c r="JB884" s="323"/>
      <c r="JC884" s="327">
        <f t="shared" si="1624"/>
        <v>0</v>
      </c>
      <c r="JD884" s="327">
        <f t="shared" ref="JD884" si="1691">JE884-JC884</f>
        <v>0</v>
      </c>
      <c r="JE884" s="323"/>
      <c r="JF884" s="327">
        <f t="shared" si="1638"/>
        <v>0</v>
      </c>
      <c r="JG884" s="327">
        <f t="shared" si="1667"/>
        <v>0</v>
      </c>
      <c r="JH884" s="323">
        <f t="shared" si="1406"/>
        <v>0</v>
      </c>
      <c r="JI884" s="327">
        <f t="shared" si="1476"/>
        <v>0</v>
      </c>
      <c r="JJ884" s="327">
        <f t="shared" ref="JJ884:JJ906" si="1692">SUM(HM884:HR884)</f>
        <v>0</v>
      </c>
      <c r="JK884" s="323">
        <f t="shared" si="1683"/>
        <v>0</v>
      </c>
      <c r="JL884" s="327">
        <f t="shared" si="1407"/>
        <v>0</v>
      </c>
      <c r="JN884" s="323">
        <f>FISC!AK1205</f>
        <v>0</v>
      </c>
      <c r="JO884" s="327"/>
      <c r="JQ884" s="323">
        <f>FISC!AL1205</f>
        <v>0</v>
      </c>
      <c r="JR884" s="327"/>
      <c r="JT884" s="323">
        <f>FISC!AM1205</f>
        <v>0</v>
      </c>
      <c r="JU884" s="327"/>
      <c r="JW884" s="323">
        <f>FISC!AN1205</f>
        <v>0</v>
      </c>
      <c r="JX884" s="327"/>
      <c r="JZ884" s="323">
        <f>FISC!AO1205</f>
        <v>0</v>
      </c>
      <c r="KA884" s="327"/>
      <c r="KC884" s="323">
        <f>FISC!AP1205</f>
        <v>0</v>
      </c>
      <c r="KD884" s="327"/>
      <c r="KF884" s="323">
        <f>FISC!AQ1205</f>
        <v>0</v>
      </c>
      <c r="KG884" s="327"/>
      <c r="KI884" s="323">
        <f>FISC!AR1205</f>
        <v>0</v>
      </c>
      <c r="KJ884" s="327"/>
      <c r="KL884" s="323">
        <f>FISC!AS1205</f>
        <v>0</v>
      </c>
      <c r="KM884" s="327"/>
      <c r="KO884" s="323">
        <f>FISC!AT1205</f>
        <v>0</v>
      </c>
      <c r="KU884" s="326"/>
      <c r="KV884" s="327"/>
    </row>
    <row r="885" spans="1:308">
      <c r="A885" s="279"/>
      <c r="B885" s="96" t="s">
        <v>338</v>
      </c>
      <c r="D885" s="332" t="s">
        <v>504</v>
      </c>
      <c r="E885" s="323">
        <f>E452</f>
        <v>0</v>
      </c>
      <c r="F885" s="323"/>
      <c r="G885" s="323"/>
      <c r="H885" s="323"/>
      <c r="I885" s="323"/>
      <c r="J885" s="323"/>
      <c r="K885" s="323"/>
      <c r="L885" s="323"/>
      <c r="M885" s="323"/>
      <c r="N885" s="323"/>
      <c r="O885" s="323"/>
      <c r="P885" s="323"/>
      <c r="Q885" s="323"/>
      <c r="R885" s="323"/>
      <c r="S885" s="323"/>
      <c r="T885" s="323"/>
      <c r="U885" s="323"/>
      <c r="V885" s="323"/>
      <c r="W885" s="323"/>
      <c r="X885" s="323"/>
      <c r="Y885" s="323"/>
      <c r="Z885" s="323"/>
      <c r="AA885" s="323"/>
      <c r="AB885" s="323"/>
      <c r="AC885" s="323"/>
      <c r="AD885" s="323"/>
      <c r="AE885" s="323"/>
      <c r="AF885" s="323"/>
      <c r="AG885" s="323"/>
      <c r="AH885" s="323"/>
      <c r="AI885" s="323"/>
      <c r="AJ885" s="323"/>
      <c r="AK885" s="323"/>
      <c r="AL885" s="323"/>
      <c r="AM885" s="323"/>
      <c r="AN885" s="323"/>
      <c r="AO885" s="323"/>
      <c r="AP885" s="323"/>
      <c r="AQ885" s="323"/>
      <c r="AR885" s="323"/>
      <c r="AS885" s="323"/>
      <c r="AT885" s="323"/>
      <c r="AU885" s="323"/>
      <c r="AV885" s="323"/>
      <c r="AW885" s="323"/>
      <c r="AX885" s="323"/>
      <c r="AY885" s="323"/>
      <c r="AZ885" s="323"/>
      <c r="BA885" s="323"/>
      <c r="BB885" s="323"/>
      <c r="BC885" s="323"/>
      <c r="BD885" s="323"/>
      <c r="BE885" s="323"/>
      <c r="BF885" s="323"/>
      <c r="BG885" s="323">
        <v>3.1646682589999999</v>
      </c>
      <c r="BH885" s="323">
        <v>2.1216136630000002</v>
      </c>
      <c r="BI885" s="323">
        <v>2.3155693419999999</v>
      </c>
      <c r="BJ885" s="323">
        <v>2.5309561120000001</v>
      </c>
      <c r="BK885" s="323">
        <v>2.7737807399999999</v>
      </c>
      <c r="BL885" s="323">
        <v>1.5672233330000001</v>
      </c>
      <c r="BM885" s="323">
        <v>3.3278472560000001</v>
      </c>
      <c r="BN885" s="323">
        <v>2.5370519859999998</v>
      </c>
      <c r="BO885" s="323">
        <v>2.1932652959999999</v>
      </c>
      <c r="BP885" s="323">
        <v>3.4204437099999998</v>
      </c>
      <c r="BQ885" s="323">
        <v>2.7780433250000001</v>
      </c>
      <c r="BR885" s="323">
        <v>0.61276477799999995</v>
      </c>
      <c r="BS885" s="323">
        <v>5.1194473450000002</v>
      </c>
      <c r="BT885" s="323">
        <v>3.0308389149999999</v>
      </c>
      <c r="BU885" s="323">
        <v>2.544931402</v>
      </c>
      <c r="BV885" s="323">
        <v>5.5550273419999998</v>
      </c>
      <c r="BW885" s="323">
        <v>4.5210786729999999</v>
      </c>
      <c r="BX885" s="323">
        <v>2.167588388</v>
      </c>
      <c r="BY885" s="323">
        <v>3.5910185179999998</v>
      </c>
      <c r="BZ885" s="323">
        <v>5.9705719950000002</v>
      </c>
      <c r="CA885" s="323">
        <v>2.6081275690000001</v>
      </c>
      <c r="CB885" s="323">
        <v>8.3581914560000001</v>
      </c>
      <c r="CC885" s="323">
        <v>4.2095795059999999</v>
      </c>
      <c r="CD885" s="329">
        <v>0.76434555999999998</v>
      </c>
      <c r="CE885" s="323">
        <f t="shared" ref="CE885:DJ885" si="1693">CE459</f>
        <v>31.008725541</v>
      </c>
      <c r="CF885" s="323">
        <f t="shared" si="1693"/>
        <v>30.273590683999998</v>
      </c>
      <c r="CG885" s="323">
        <f t="shared" si="1693"/>
        <v>10.388528758</v>
      </c>
      <c r="CH885" s="323">
        <f t="shared" si="1693"/>
        <v>45.974676111000001</v>
      </c>
      <c r="CI885" s="323">
        <f t="shared" si="1693"/>
        <v>19.159041667</v>
      </c>
      <c r="CJ885" s="323">
        <f t="shared" si="1693"/>
        <v>11.326817985</v>
      </c>
      <c r="CK885" s="323">
        <f t="shared" si="1693"/>
        <v>22.656131712000001</v>
      </c>
      <c r="CL885" s="323">
        <f t="shared" si="1693"/>
        <v>22.451381885</v>
      </c>
      <c r="CM885" s="323">
        <f t="shared" si="1693"/>
        <v>24.544405571999999</v>
      </c>
      <c r="CN885" s="323">
        <f t="shared" si="1693"/>
        <v>24.582048647000001</v>
      </c>
      <c r="CO885" s="323">
        <f t="shared" si="1693"/>
        <v>33.096296940999999</v>
      </c>
      <c r="CP885" s="325">
        <f t="shared" si="1693"/>
        <v>10.013272434999999</v>
      </c>
      <c r="CQ885" s="323">
        <f t="shared" si="1693"/>
        <v>40.197981695000003</v>
      </c>
      <c r="CR885" s="323">
        <f t="shared" si="1693"/>
        <v>26.933200114000002</v>
      </c>
      <c r="CS885" s="323">
        <f t="shared" si="1693"/>
        <v>19.441149207000002</v>
      </c>
      <c r="CT885" s="323">
        <f t="shared" si="1693"/>
        <v>31.297604437</v>
      </c>
      <c r="CU885" s="323">
        <f t="shared" si="1693"/>
        <v>18.023438837999997</v>
      </c>
      <c r="CV885" s="323">
        <f t="shared" si="1693"/>
        <v>15.158096090000001</v>
      </c>
      <c r="CW885" s="323">
        <f t="shared" si="1693"/>
        <v>32.060133296000004</v>
      </c>
      <c r="CX885" s="323">
        <f t="shared" si="1693"/>
        <v>17.047897988999999</v>
      </c>
      <c r="CY885" s="323">
        <f t="shared" si="1693"/>
        <v>36.135962094999996</v>
      </c>
      <c r="CZ885" s="323">
        <f t="shared" si="1693"/>
        <v>63.817836987</v>
      </c>
      <c r="DA885" s="323">
        <f t="shared" si="1693"/>
        <v>27.188026968999999</v>
      </c>
      <c r="DB885" s="1269">
        <f t="shared" si="1693"/>
        <v>8.63308608</v>
      </c>
      <c r="DC885" s="323">
        <f t="shared" si="1693"/>
        <v>40.971297198999999</v>
      </c>
      <c r="DD885" s="323">
        <f t="shared" si="1693"/>
        <v>28.142253245999999</v>
      </c>
      <c r="DE885" s="323">
        <f t="shared" si="1693"/>
        <v>17.836921271999998</v>
      </c>
      <c r="DF885" s="323">
        <f t="shared" si="1693"/>
        <v>45.278462911000005</v>
      </c>
      <c r="DG885" s="323">
        <f t="shared" si="1693"/>
        <v>25.677184793999999</v>
      </c>
      <c r="DH885" s="323">
        <f t="shared" si="1693"/>
        <v>16.894015403000001</v>
      </c>
      <c r="DI885" s="323">
        <f t="shared" si="1693"/>
        <v>44.115917728999996</v>
      </c>
      <c r="DJ885" s="323">
        <f t="shared" si="1693"/>
        <v>25.669929577000001</v>
      </c>
      <c r="DK885" s="323">
        <f t="shared" ref="DK885:EP885" si="1694">DK459</f>
        <v>27.229701075999998</v>
      </c>
      <c r="DL885" s="323">
        <f t="shared" si="1694"/>
        <v>55.300866290000002</v>
      </c>
      <c r="DM885" s="323">
        <f t="shared" si="1694"/>
        <v>18.793402807</v>
      </c>
      <c r="DN885" s="325">
        <f t="shared" si="1694"/>
        <v>19.262689222247403</v>
      </c>
      <c r="DO885" s="323">
        <f t="shared" si="1694"/>
        <v>46.197484413999995</v>
      </c>
      <c r="DP885" s="323">
        <f t="shared" si="1694"/>
        <v>24.385606298999999</v>
      </c>
      <c r="DQ885" s="323">
        <f t="shared" si="1694"/>
        <v>13.644596873000001</v>
      </c>
      <c r="DR885" s="323">
        <f t="shared" si="1694"/>
        <v>50.457270012999999</v>
      </c>
      <c r="DS885" s="323">
        <f t="shared" si="1694"/>
        <v>31.662977454999996</v>
      </c>
      <c r="DT885" s="323">
        <f t="shared" si="1694"/>
        <v>21.938369661000003</v>
      </c>
      <c r="DU885" s="323">
        <f t="shared" si="1694"/>
        <v>38.391949325999995</v>
      </c>
      <c r="DV885" s="323">
        <f t="shared" si="1694"/>
        <v>43.113182641000002</v>
      </c>
      <c r="DW885" s="323">
        <f t="shared" si="1694"/>
        <v>25.743103059999999</v>
      </c>
      <c r="DX885" s="323">
        <f t="shared" si="1694"/>
        <v>46.866339303333334</v>
      </c>
      <c r="DY885" s="323">
        <f t="shared" si="1694"/>
        <v>34.434867947333331</v>
      </c>
      <c r="DZ885" s="325">
        <f t="shared" si="1694"/>
        <v>12.80126987175203</v>
      </c>
      <c r="EA885" s="323">
        <f t="shared" si="1694"/>
        <v>28.923093293999997</v>
      </c>
      <c r="EB885" s="323">
        <f t="shared" si="1694"/>
        <v>50.393107370999999</v>
      </c>
      <c r="EC885" s="323">
        <f t="shared" si="1694"/>
        <v>32.933496165000001</v>
      </c>
      <c r="ED885" s="323">
        <f t="shared" si="1694"/>
        <v>35.124546735999999</v>
      </c>
      <c r="EE885" s="323">
        <f t="shared" si="1694"/>
        <v>22.884346067000003</v>
      </c>
      <c r="EF885" s="323">
        <f t="shared" si="1694"/>
        <v>22.275510945000001</v>
      </c>
      <c r="EG885" s="323">
        <f t="shared" si="1694"/>
        <v>64.550786417235614</v>
      </c>
      <c r="EH885" s="323">
        <f t="shared" si="1694"/>
        <v>29.359093324501938</v>
      </c>
      <c r="EI885" s="323">
        <f t="shared" si="1694"/>
        <v>37.523301943293859</v>
      </c>
      <c r="EJ885" s="323">
        <f t="shared" si="1694"/>
        <v>43.275898819176454</v>
      </c>
      <c r="EK885" s="323">
        <f t="shared" si="1694"/>
        <v>33.662990266572109</v>
      </c>
      <c r="EL885" s="325">
        <f t="shared" si="1694"/>
        <v>17.761979595060005</v>
      </c>
      <c r="EM885" s="323">
        <f t="shared" si="1694"/>
        <v>29.030877602</v>
      </c>
      <c r="EN885" s="323">
        <f t="shared" si="1694"/>
        <v>25.655147072999998</v>
      </c>
      <c r="EO885" s="323">
        <f t="shared" si="1694"/>
        <v>23.792101198999998</v>
      </c>
      <c r="EP885" s="323">
        <f t="shared" si="1694"/>
        <v>50.102805647000004</v>
      </c>
      <c r="EQ885" s="323">
        <f t="shared" ref="EQ885:FV885" si="1695">EQ459</f>
        <v>41.398202655000006</v>
      </c>
      <c r="ER885" s="323">
        <f t="shared" si="1695"/>
        <v>46.237368814</v>
      </c>
      <c r="ES885" s="323">
        <f t="shared" si="1695"/>
        <v>40.012950528000005</v>
      </c>
      <c r="ET885" s="323">
        <f t="shared" si="1695"/>
        <v>40.463490118000003</v>
      </c>
      <c r="EU885" s="323">
        <f t="shared" si="1695"/>
        <v>46.847186884999999</v>
      </c>
      <c r="EV885" s="323">
        <f t="shared" si="1695"/>
        <v>75.076510902999999</v>
      </c>
      <c r="EW885" s="323">
        <f t="shared" si="1695"/>
        <v>35.338310145000001</v>
      </c>
      <c r="EX885" s="325">
        <f t="shared" si="1695"/>
        <v>17.990818781000002</v>
      </c>
      <c r="EY885" s="323">
        <f t="shared" si="1695"/>
        <v>27.701123551999999</v>
      </c>
      <c r="EZ885" s="323">
        <f t="shared" si="1695"/>
        <v>49.266670255999998</v>
      </c>
      <c r="FA885" s="323">
        <f t="shared" si="1695"/>
        <v>53.066344902000004</v>
      </c>
      <c r="FB885" s="323">
        <f t="shared" si="1695"/>
        <v>52.420088438000001</v>
      </c>
      <c r="FC885" s="323">
        <f t="shared" si="1695"/>
        <v>49.256024263</v>
      </c>
      <c r="FD885" s="323">
        <f t="shared" si="1695"/>
        <v>54.089250282000002</v>
      </c>
      <c r="FE885" s="323">
        <f t="shared" si="1695"/>
        <v>43.509716311000005</v>
      </c>
      <c r="FF885" s="323">
        <f t="shared" si="1695"/>
        <v>39.572331683000002</v>
      </c>
      <c r="FG885" s="323">
        <f t="shared" si="1695"/>
        <v>34.260734192000001</v>
      </c>
      <c r="FH885" s="323">
        <f t="shared" si="1695"/>
        <v>26.601249519</v>
      </c>
      <c r="FI885" s="323">
        <f t="shared" si="1695"/>
        <v>41.101621154</v>
      </c>
      <c r="FJ885" s="325">
        <f t="shared" si="1695"/>
        <v>29.527389233000001</v>
      </c>
      <c r="FK885" s="323">
        <f t="shared" si="1695"/>
        <v>84.098326310999994</v>
      </c>
      <c r="FL885" s="323">
        <f t="shared" si="1695"/>
        <v>35.121430478000001</v>
      </c>
      <c r="FM885" s="323">
        <f t="shared" si="1695"/>
        <v>40.145696149000003</v>
      </c>
      <c r="FN885" s="323">
        <f t="shared" si="1695"/>
        <v>38.326486105000001</v>
      </c>
      <c r="FO885" s="323">
        <f t="shared" si="1695"/>
        <v>45.336893605</v>
      </c>
      <c r="FP885" s="323">
        <f t="shared" si="1695"/>
        <v>48.220412689</v>
      </c>
      <c r="FQ885" s="323">
        <f t="shared" si="1695"/>
        <v>34.066299086000001</v>
      </c>
      <c r="FR885" s="323">
        <f t="shared" si="1695"/>
        <v>54.421940470999999</v>
      </c>
      <c r="FS885" s="323">
        <f t="shared" si="1695"/>
        <v>35.178569396999997</v>
      </c>
      <c r="FT885" s="323">
        <f t="shared" si="1695"/>
        <v>45.794808373666662</v>
      </c>
      <c r="FU885" s="323">
        <f t="shared" si="1695"/>
        <v>56.330775904666666</v>
      </c>
      <c r="FV885" s="323">
        <f t="shared" si="1695"/>
        <v>31.932306715666666</v>
      </c>
      <c r="FW885" s="323">
        <f t="shared" ref="FW885:HB885" si="1696">FW459</f>
        <v>49.644555738999998</v>
      </c>
      <c r="FX885" s="323">
        <f t="shared" si="1696"/>
        <v>51.787573881999997</v>
      </c>
      <c r="FY885" s="323">
        <f t="shared" si="1696"/>
        <v>49.700702286000002</v>
      </c>
      <c r="FZ885" s="323">
        <f t="shared" si="1696"/>
        <v>45.945355274000001</v>
      </c>
      <c r="GA885" s="323">
        <f t="shared" si="1696"/>
        <v>42.378368439999996</v>
      </c>
      <c r="GB885" s="323">
        <f t="shared" si="1696"/>
        <v>59.465739681999999</v>
      </c>
      <c r="GC885" s="323">
        <f t="shared" si="1696"/>
        <v>64.698303151000005</v>
      </c>
      <c r="GD885" s="323">
        <f t="shared" si="1696"/>
        <v>64.279214105000008</v>
      </c>
      <c r="GE885" s="323">
        <f t="shared" si="1696"/>
        <v>64.141880111000006</v>
      </c>
      <c r="GF885" s="323">
        <f t="shared" si="1696"/>
        <v>54.639908537333326</v>
      </c>
      <c r="GG885" s="323">
        <f t="shared" si="1696"/>
        <v>70.65288782333333</v>
      </c>
      <c r="GH885" s="323">
        <f t="shared" si="1696"/>
        <v>38.226623678565829</v>
      </c>
      <c r="GI885" s="1654">
        <f t="shared" si="1696"/>
        <v>68.357943656699163</v>
      </c>
      <c r="GJ885" s="1654">
        <f t="shared" si="1696"/>
        <v>66.716042902865539</v>
      </c>
      <c r="GK885" s="1654">
        <f t="shared" si="1696"/>
        <v>73.92601344043527</v>
      </c>
      <c r="GL885" s="1654">
        <f t="shared" si="1696"/>
        <v>84.116058985333353</v>
      </c>
      <c r="GM885" s="1654">
        <f t="shared" si="1696"/>
        <v>68.072882353333355</v>
      </c>
      <c r="GN885" s="1654">
        <f t="shared" si="1696"/>
        <v>56.77643928833335</v>
      </c>
      <c r="GO885" s="1654">
        <f t="shared" si="1696"/>
        <v>82.723558430967941</v>
      </c>
      <c r="GP885" s="1654">
        <f t="shared" si="1696"/>
        <v>55.129834198301069</v>
      </c>
      <c r="GQ885" s="1654">
        <f t="shared" si="1696"/>
        <v>59.004763408730994</v>
      </c>
      <c r="GR885" s="1654">
        <f t="shared" si="1696"/>
        <v>149.54675498597339</v>
      </c>
      <c r="GS885" s="1654">
        <f t="shared" si="1696"/>
        <v>128.7977703820456</v>
      </c>
      <c r="GT885" s="1654">
        <f t="shared" si="1696"/>
        <v>76.431937966981039</v>
      </c>
      <c r="GU885" s="1654">
        <f t="shared" si="1696"/>
        <v>72.147118411000008</v>
      </c>
      <c r="GV885" s="1654">
        <f t="shared" si="1696"/>
        <v>82.529984952999996</v>
      </c>
      <c r="GW885" s="1654">
        <f t="shared" si="1696"/>
        <v>74.879853226999998</v>
      </c>
      <c r="GX885" s="1654">
        <f t="shared" si="1696"/>
        <v>58.730634465999998</v>
      </c>
      <c r="GY885" s="1654">
        <f t="shared" si="1696"/>
        <v>60.138067425999992</v>
      </c>
      <c r="GZ885" s="1654">
        <f t="shared" si="1696"/>
        <v>59.501611813000004</v>
      </c>
      <c r="HA885" s="1654">
        <f t="shared" si="1696"/>
        <v>86.615461240000002</v>
      </c>
      <c r="HB885" s="1654">
        <f t="shared" si="1696"/>
        <v>81.329232770999994</v>
      </c>
      <c r="HC885" s="1654">
        <f t="shared" ref="HC885:HR885" si="1697">HC459</f>
        <v>68.96629579399999</v>
      </c>
      <c r="HD885" s="1654">
        <f t="shared" si="1697"/>
        <v>99.96426489800001</v>
      </c>
      <c r="HE885" s="1654">
        <f t="shared" si="1697"/>
        <v>101.97527852</v>
      </c>
      <c r="HF885" s="1654">
        <f t="shared" si="1697"/>
        <v>146.862624471</v>
      </c>
      <c r="HG885" s="1654">
        <f t="shared" si="1697"/>
        <v>77.27567547999999</v>
      </c>
      <c r="HH885" s="1654">
        <f t="shared" si="1697"/>
        <v>86.392341445</v>
      </c>
      <c r="HI885" s="1654">
        <f t="shared" si="1697"/>
        <v>96.016011820000003</v>
      </c>
      <c r="HJ885" s="1654">
        <f t="shared" si="1697"/>
        <v>95.609035266000006</v>
      </c>
      <c r="HK885" s="1654">
        <f t="shared" si="1697"/>
        <v>68.824108565000003</v>
      </c>
      <c r="HL885" s="1654">
        <f t="shared" si="1697"/>
        <v>76.371406874000002</v>
      </c>
      <c r="HM885" s="1654">
        <f t="shared" si="1697"/>
        <v>91.847428456999992</v>
      </c>
      <c r="HN885" s="1654">
        <f t="shared" si="1697"/>
        <v>98.374294246000005</v>
      </c>
      <c r="HO885" s="1654">
        <f t="shared" si="1697"/>
        <v>74.474652566000003</v>
      </c>
      <c r="HP885" s="1654">
        <f t="shared" si="1697"/>
        <v>82.014241108666695</v>
      </c>
      <c r="HQ885" s="1654">
        <f t="shared" si="1697"/>
        <v>86.470065012666709</v>
      </c>
      <c r="HR885" s="1654">
        <f t="shared" si="1697"/>
        <v>90.782151269666699</v>
      </c>
      <c r="HS885" s="1654">
        <f t="shared" ref="HS885:HX885" si="1698">HS459</f>
        <v>68.296002334999997</v>
      </c>
      <c r="HT885" s="1654">
        <f t="shared" si="1698"/>
        <v>146.960527353</v>
      </c>
      <c r="HU885" s="1654">
        <f t="shared" si="1698"/>
        <v>108.15216611299999</v>
      </c>
      <c r="HV885" s="1654">
        <f t="shared" si="1698"/>
        <v>77.813149637999999</v>
      </c>
      <c r="HW885" s="1654">
        <f t="shared" si="1698"/>
        <v>89.405337344000003</v>
      </c>
      <c r="HX885" s="1654">
        <f t="shared" si="1698"/>
        <v>86.673610080999993</v>
      </c>
      <c r="HY885" s="1654"/>
      <c r="HZ885" s="326"/>
      <c r="IA885" s="332" t="s">
        <v>504</v>
      </c>
      <c r="IB885" s="279">
        <f>SUM(CE885:CJ885)</f>
        <v>148.13138074599999</v>
      </c>
      <c r="IC885" s="279">
        <f>SUM(CK885:CP885)</f>
        <v>137.34353719199999</v>
      </c>
      <c r="ID885" s="323">
        <f>IB885+IC885</f>
        <v>285.47491793799998</v>
      </c>
      <c r="IE885" s="279">
        <f>SUM(CQ885:CV885)</f>
        <v>151.051470381</v>
      </c>
      <c r="IF885" s="279">
        <f>SUM(CW885:DB885)</f>
        <v>184.88294341599999</v>
      </c>
      <c r="IG885" s="323">
        <f>IE885+IF885</f>
        <v>335.93441379699999</v>
      </c>
      <c r="IH885" s="279">
        <f>SUM(DC885:DH885)</f>
        <v>174.80013482499999</v>
      </c>
      <c r="II885" s="279">
        <f>SUM(DI885:DN885)</f>
        <v>190.3725067012474</v>
      </c>
      <c r="IJ885" s="323">
        <f>IH885+II885</f>
        <v>365.17264152624739</v>
      </c>
      <c r="IK885" s="279">
        <f>SUM(DO885:DT885)</f>
        <v>188.28630471499997</v>
      </c>
      <c r="IL885" s="279">
        <f>SUM(DU885:DZ885)</f>
        <v>201.35071214941865</v>
      </c>
      <c r="IM885" s="323">
        <f>IK885+IL885</f>
        <v>389.63701686441863</v>
      </c>
      <c r="IN885" s="279">
        <f>SUM(EA885:EF885)</f>
        <v>192.53410057800002</v>
      </c>
      <c r="IO885" s="279">
        <f>SUM(EG885:EL885)</f>
        <v>226.13405036583998</v>
      </c>
      <c r="IP885" s="323">
        <f>IN885+IO885</f>
        <v>418.66815094384003</v>
      </c>
      <c r="IQ885" s="279">
        <f>SUM(EM885:ER885)</f>
        <v>216.21650299000001</v>
      </c>
      <c r="IR885" s="279">
        <f>SUM(ES885:EX885)</f>
        <v>255.72926736000002</v>
      </c>
      <c r="IS885" s="323">
        <f>IQ885+IR885</f>
        <v>471.94577035000003</v>
      </c>
      <c r="IT885" s="279">
        <f>SUM(EY885:FD885)</f>
        <v>285.79950169300002</v>
      </c>
      <c r="IU885" s="279">
        <f>SUM(FE885:FJ885)</f>
        <v>214.57304209200004</v>
      </c>
      <c r="IV885" s="323">
        <f>IT885+IU885</f>
        <v>500.37254378500006</v>
      </c>
      <c r="IW885" s="327">
        <f>SUM(FK885:FP885)</f>
        <v>291.24924533699999</v>
      </c>
      <c r="IX885" s="327">
        <f>SUM(FQ885:FV885)</f>
        <v>257.72469994799997</v>
      </c>
      <c r="IY885" s="608">
        <f t="shared" si="1621"/>
        <v>548.9739452849999</v>
      </c>
      <c r="IZ885" s="327">
        <f t="shared" ref="IZ885:IZ898" si="1699">SUM(FW885:GB885)</f>
        <v>298.922295303</v>
      </c>
      <c r="JA885" s="327">
        <f t="shared" ref="JA885:JA898" si="1700">SUM(GC885:GH885)</f>
        <v>356.63881740623248</v>
      </c>
      <c r="JB885" s="323">
        <f t="shared" si="1458"/>
        <v>655.56111270923248</v>
      </c>
      <c r="JC885" s="327">
        <f t="shared" si="1624"/>
        <v>417.965380627</v>
      </c>
      <c r="JD885" s="327">
        <f t="shared" ref="JD885:JD898" si="1701">SUM(GO885:GT885)</f>
        <v>551.63461937300008</v>
      </c>
      <c r="JE885" s="323">
        <f t="shared" ref="JE885:JE895" si="1702">JC885+JD885</f>
        <v>969.60000000000014</v>
      </c>
      <c r="JF885" s="327">
        <f t="shared" si="1638"/>
        <v>407.92727029600002</v>
      </c>
      <c r="JG885" s="327">
        <f t="shared" si="1667"/>
        <v>585.71315769400007</v>
      </c>
      <c r="JH885" s="323">
        <f t="shared" ref="JH885:JH944" si="1703">JF885+JG885</f>
        <v>993.64042799000003</v>
      </c>
      <c r="JI885" s="327">
        <f t="shared" si="1476"/>
        <v>500.48857944999997</v>
      </c>
      <c r="JJ885" s="327">
        <f t="shared" si="1692"/>
        <v>523.96283266</v>
      </c>
      <c r="JK885" s="323">
        <f t="shared" si="1683"/>
        <v>1024.4514121100001</v>
      </c>
      <c r="JL885" s="327">
        <f t="shared" ref="JL885:JL948" si="1704">SUM(HS885:HX885)</f>
        <v>577.30079286400007</v>
      </c>
      <c r="JM885" s="279">
        <f t="shared" ref="JM885:JM892" si="1705">JN885-JL885</f>
        <v>578.28743349079616</v>
      </c>
      <c r="JN885" s="323">
        <f>FISC!AK1206</f>
        <v>1155.5882263547962</v>
      </c>
      <c r="JO885" s="327">
        <f>JQ885*0.552847128477785</f>
        <v>746.17942818174004</v>
      </c>
      <c r="JP885" s="279">
        <f t="shared" si="1647"/>
        <v>647.85744028989257</v>
      </c>
      <c r="JQ885" s="323">
        <f>FISC!AL1206</f>
        <v>1349.7030006039429</v>
      </c>
      <c r="JR885" s="327">
        <f>JT885*0.552847128477785</f>
        <v>874.68428968994556</v>
      </c>
      <c r="JS885" s="279">
        <f t="shared" ref="JS885:JS892" si="1706">JT885-JR885</f>
        <v>707.46065533004628</v>
      </c>
      <c r="JT885" s="323">
        <f>FISC!AM1206</f>
        <v>1582.1449450199918</v>
      </c>
      <c r="JU885" s="327">
        <f>JW885*0.552847128477785</f>
        <v>980.72641567584094</v>
      </c>
      <c r="JV885" s="279">
        <f t="shared" ref="JV885:JV892" si="1707">JW885-JU885</f>
        <v>793.22946680505959</v>
      </c>
      <c r="JW885" s="323">
        <f>FISC!AN1206</f>
        <v>1773.9558824809005</v>
      </c>
      <c r="JX885" s="327">
        <f>JZ885*0.552847128477785</f>
        <v>1192.6819357066627</v>
      </c>
      <c r="JY885" s="279">
        <f t="shared" ref="JY885:JY892" si="1708">JZ885-JX885</f>
        <v>964.66296900615612</v>
      </c>
      <c r="JZ885" s="323">
        <f>FISC!AO1206</f>
        <v>2157.3449047128188</v>
      </c>
      <c r="KA885" s="327">
        <f>KC885*0.552847128477785</f>
        <v>1330.8893950400652</v>
      </c>
      <c r="KB885" s="279">
        <f t="shared" ref="KB885:KB892" si="1709">KC885-KA885</f>
        <v>1076.4476905382749</v>
      </c>
      <c r="KC885" s="323">
        <f>FISC!AP1206</f>
        <v>2407.3370855783401</v>
      </c>
      <c r="KD885" s="327">
        <f>KF885*0.552847128477785</f>
        <v>1576.8460548716562</v>
      </c>
      <c r="KE885" s="279">
        <f t="shared" ref="KE885:KE892" si="1710">KF885-KD885</f>
        <v>1275.3819366408625</v>
      </c>
      <c r="KF885" s="323">
        <f>FISC!AQ1206</f>
        <v>2852.2279915125187</v>
      </c>
      <c r="KG885" s="327">
        <f>KI885*0.552847128477785</f>
        <v>1837.6781678613911</v>
      </c>
      <c r="KH885" s="279">
        <f t="shared" ref="KH885:KH892" si="1711">KI885-KG885</f>
        <v>1486.3477213953242</v>
      </c>
      <c r="KI885" s="323">
        <f>FISC!AR1206</f>
        <v>3324.0258892567153</v>
      </c>
      <c r="KJ885" s="327">
        <f>KL885*0.552847128477785</f>
        <v>2142.5718156747853</v>
      </c>
      <c r="KK885" s="279">
        <f t="shared" ref="KK885:KK892" si="1712">KL885-KJ885</f>
        <v>1732.9512815947342</v>
      </c>
      <c r="KL885" s="323">
        <f>FISC!AS1206</f>
        <v>3875.5230972695194</v>
      </c>
      <c r="KM885" s="327">
        <f>KO885*0.552847128477785</f>
        <v>2924.3051813881689</v>
      </c>
      <c r="KN885" s="279">
        <f t="shared" ref="KN885:KN892" si="1713">KO885-KM885</f>
        <v>2365.23152913067</v>
      </c>
      <c r="KO885" s="323">
        <f>FISC!AT1206</f>
        <v>5289.5367105188388</v>
      </c>
      <c r="KU885" s="326"/>
      <c r="KV885" s="327"/>
    </row>
    <row r="886" spans="1:308">
      <c r="A886" s="279"/>
      <c r="D886" s="1418" t="s">
        <v>3052</v>
      </c>
      <c r="E886" s="323"/>
      <c r="F886" s="323"/>
      <c r="G886" s="323"/>
      <c r="H886" s="323"/>
      <c r="I886" s="323"/>
      <c r="J886" s="323"/>
      <c r="K886" s="323"/>
      <c r="L886" s="323"/>
      <c r="M886" s="323"/>
      <c r="N886" s="323"/>
      <c r="O886" s="323"/>
      <c r="P886" s="323"/>
      <c r="Q886" s="323"/>
      <c r="R886" s="323"/>
      <c r="S886" s="323"/>
      <c r="T886" s="323"/>
      <c r="U886" s="323"/>
      <c r="V886" s="323"/>
      <c r="W886" s="323"/>
      <c r="X886" s="323"/>
      <c r="Y886" s="323"/>
      <c r="Z886" s="323"/>
      <c r="AA886" s="323"/>
      <c r="AB886" s="323"/>
      <c r="AC886" s="323"/>
      <c r="AD886" s="323"/>
      <c r="AE886" s="323"/>
      <c r="AF886" s="323"/>
      <c r="AG886" s="323"/>
      <c r="AH886" s="323"/>
      <c r="AI886" s="323"/>
      <c r="AJ886" s="323"/>
      <c r="AK886" s="323"/>
      <c r="AL886" s="323"/>
      <c r="AM886" s="323"/>
      <c r="AN886" s="323"/>
      <c r="AO886" s="323"/>
      <c r="AP886" s="323"/>
      <c r="AQ886" s="323"/>
      <c r="AR886" s="323"/>
      <c r="AS886" s="323"/>
      <c r="AT886" s="323"/>
      <c r="AU886" s="323"/>
      <c r="AV886" s="323"/>
      <c r="AW886" s="323"/>
      <c r="AX886" s="323"/>
      <c r="AY886" s="323"/>
      <c r="AZ886" s="323"/>
      <c r="BA886" s="323"/>
      <c r="BB886" s="323"/>
      <c r="BC886" s="323"/>
      <c r="BD886" s="323"/>
      <c r="BE886" s="323"/>
      <c r="BF886" s="323"/>
      <c r="BG886" s="323"/>
      <c r="BH886" s="323"/>
      <c r="BI886" s="323"/>
      <c r="BJ886" s="323"/>
      <c r="BK886" s="323"/>
      <c r="BL886" s="323"/>
      <c r="BM886" s="323"/>
      <c r="BN886" s="323"/>
      <c r="BO886" s="323"/>
      <c r="BP886" s="323"/>
      <c r="BQ886" s="323"/>
      <c r="BR886" s="323"/>
      <c r="BS886" s="323"/>
      <c r="BT886" s="323"/>
      <c r="BU886" s="323"/>
      <c r="BV886" s="323"/>
      <c r="BW886" s="323"/>
      <c r="BX886" s="323"/>
      <c r="BY886" s="323"/>
      <c r="BZ886" s="323"/>
      <c r="CA886" s="323"/>
      <c r="CB886" s="323"/>
      <c r="CC886" s="323"/>
      <c r="CD886" s="329"/>
      <c r="CE886" s="323">
        <v>0</v>
      </c>
      <c r="CF886" s="323">
        <v>0</v>
      </c>
      <c r="CG886" s="323">
        <v>0</v>
      </c>
      <c r="CH886" s="323">
        <v>0</v>
      </c>
      <c r="CI886" s="323">
        <v>0</v>
      </c>
      <c r="CJ886" s="323">
        <v>0</v>
      </c>
      <c r="CK886" s="323">
        <v>0</v>
      </c>
      <c r="CL886" s="323">
        <v>0</v>
      </c>
      <c r="CM886" s="323">
        <v>0</v>
      </c>
      <c r="CN886" s="323">
        <v>0</v>
      </c>
      <c r="CO886" s="323">
        <v>0</v>
      </c>
      <c r="CP886" s="325">
        <v>0</v>
      </c>
      <c r="CQ886" s="323"/>
      <c r="CR886" s="323"/>
      <c r="CS886" s="323"/>
      <c r="CT886" s="323"/>
      <c r="CU886" s="323"/>
      <c r="CV886" s="323"/>
      <c r="CW886" s="323"/>
      <c r="CX886" s="323"/>
      <c r="CY886" s="323"/>
      <c r="CZ886" s="323"/>
      <c r="DA886" s="323"/>
      <c r="DB886" s="1269"/>
      <c r="DC886" s="323"/>
      <c r="DD886" s="323"/>
      <c r="DE886" s="323"/>
      <c r="DF886" s="323"/>
      <c r="DG886" s="323"/>
      <c r="DH886" s="323"/>
      <c r="DI886" s="323"/>
      <c r="DJ886" s="323"/>
      <c r="DK886" s="323"/>
      <c r="DL886" s="323"/>
      <c r="DM886" s="323"/>
      <c r="DN886" s="325"/>
      <c r="DO886" s="323"/>
      <c r="DP886" s="323"/>
      <c r="DQ886" s="323"/>
      <c r="DR886" s="323"/>
      <c r="DS886" s="323"/>
      <c r="DT886" s="323"/>
      <c r="DU886" s="323"/>
      <c r="DV886" s="323"/>
      <c r="DW886" s="323"/>
      <c r="DX886" s="323"/>
      <c r="DY886" s="323"/>
      <c r="DZ886" s="325"/>
      <c r="EA886" s="323"/>
      <c r="EB886" s="323"/>
      <c r="EC886" s="323"/>
      <c r="ED886" s="323"/>
      <c r="EE886" s="323"/>
      <c r="EF886" s="323"/>
      <c r="EG886" s="323"/>
      <c r="EH886" s="323"/>
      <c r="EI886" s="323"/>
      <c r="EJ886" s="323"/>
      <c r="EK886" s="323"/>
      <c r="EL886" s="325"/>
      <c r="EM886" s="323"/>
      <c r="EN886" s="323"/>
      <c r="EO886" s="323"/>
      <c r="EP886" s="323"/>
      <c r="EQ886" s="323"/>
      <c r="ER886" s="323"/>
      <c r="ES886" s="323"/>
      <c r="ET886" s="323"/>
      <c r="EU886" s="323"/>
      <c r="EV886" s="323"/>
      <c r="EW886" s="323"/>
      <c r="EX886" s="325"/>
      <c r="EY886" s="323"/>
      <c r="EZ886" s="323"/>
      <c r="FA886" s="323"/>
      <c r="FB886" s="323"/>
      <c r="FC886" s="323"/>
      <c r="FD886" s="323"/>
      <c r="FE886" s="323"/>
      <c r="FF886" s="323"/>
      <c r="FG886" s="323"/>
      <c r="FH886" s="323"/>
      <c r="FI886" s="323"/>
      <c r="FJ886" s="325"/>
      <c r="FK886" s="323">
        <f t="shared" ref="FK886:GP886" si="1714">FK460</f>
        <v>2.1371688739999999</v>
      </c>
      <c r="FL886" s="323">
        <f t="shared" si="1714"/>
        <v>2.8902153849999999</v>
      </c>
      <c r="FM886" s="323">
        <f t="shared" si="1714"/>
        <v>1.6417362049999999</v>
      </c>
      <c r="FN886" s="323">
        <f t="shared" si="1714"/>
        <v>2.1219189379999999</v>
      </c>
      <c r="FO886" s="323">
        <f t="shared" si="1714"/>
        <v>1.8290154240000001</v>
      </c>
      <c r="FP886" s="323">
        <f t="shared" si="1714"/>
        <v>3.3174320709999998</v>
      </c>
      <c r="FQ886" s="323">
        <f t="shared" si="1714"/>
        <v>3.4286400449999999</v>
      </c>
      <c r="FR886" s="323">
        <f t="shared" si="1714"/>
        <v>2.2141364800000001</v>
      </c>
      <c r="FS886" s="323">
        <f t="shared" si="1714"/>
        <v>1.986429378</v>
      </c>
      <c r="FT886" s="323">
        <f t="shared" si="1714"/>
        <v>3.1210657579999999</v>
      </c>
      <c r="FU886" s="323">
        <f t="shared" si="1714"/>
        <v>2.9628546120000001</v>
      </c>
      <c r="FV886" s="323">
        <f t="shared" si="1714"/>
        <v>1.459065176</v>
      </c>
      <c r="FW886" s="323">
        <f t="shared" si="1714"/>
        <v>2.0362483359999999</v>
      </c>
      <c r="FX886" s="323">
        <f t="shared" si="1714"/>
        <v>1.921306264</v>
      </c>
      <c r="FY886" s="323">
        <f t="shared" si="1714"/>
        <v>1.554755807</v>
      </c>
      <c r="FZ886" s="323">
        <f t="shared" si="1714"/>
        <v>1.912427434</v>
      </c>
      <c r="GA886" s="323">
        <f t="shared" si="1714"/>
        <v>2.301903802</v>
      </c>
      <c r="GB886" s="323">
        <f t="shared" si="1714"/>
        <v>1.5034970670000001</v>
      </c>
      <c r="GC886" s="323">
        <f t="shared" si="1714"/>
        <v>2.8282554229999999</v>
      </c>
      <c r="GD886" s="323">
        <f t="shared" si="1714"/>
        <v>3.916467269</v>
      </c>
      <c r="GE886" s="323">
        <f t="shared" si="1714"/>
        <v>3.0435174800000002</v>
      </c>
      <c r="GF886" s="323">
        <f t="shared" si="1714"/>
        <v>4.0775103829999999</v>
      </c>
      <c r="GG886" s="323">
        <f t="shared" si="1714"/>
        <v>4.0398529500000002</v>
      </c>
      <c r="GH886" s="323">
        <f t="shared" si="1714"/>
        <v>2.819814630572504</v>
      </c>
      <c r="GI886" s="1654">
        <f t="shared" si="1714"/>
        <v>5.042473310220501</v>
      </c>
      <c r="GJ886" s="1654">
        <f t="shared" si="1714"/>
        <v>4.9213573098502117</v>
      </c>
      <c r="GK886" s="1654">
        <f t="shared" si="1714"/>
        <v>5.4532060176720218</v>
      </c>
      <c r="GL886" s="1654">
        <f t="shared" si="1714"/>
        <v>6.204882120571356</v>
      </c>
      <c r="GM886" s="1654">
        <f t="shared" si="1714"/>
        <v>5.0214455563545037</v>
      </c>
      <c r="GN886" s="1654">
        <f t="shared" si="1714"/>
        <v>4.1881552376498155</v>
      </c>
      <c r="GO886" s="1654">
        <f t="shared" si="1714"/>
        <v>2.394374231226009</v>
      </c>
      <c r="GP886" s="1654">
        <f t="shared" si="1714"/>
        <v>2.4001466263561686</v>
      </c>
      <c r="GQ886" s="1654">
        <f t="shared" ref="GQ886:HR886" si="1715">GQ460</f>
        <v>2.0018517860899641</v>
      </c>
      <c r="GR886" s="1654">
        <f t="shared" si="1715"/>
        <v>4.4210207876349639</v>
      </c>
      <c r="GS886" s="1654">
        <f t="shared" si="1715"/>
        <v>4.392470597202931</v>
      </c>
      <c r="GT886" s="1654">
        <f t="shared" si="1715"/>
        <v>6.1165085663307446</v>
      </c>
      <c r="GU886" s="1654">
        <f t="shared" si="1715"/>
        <v>4.1272821479999999</v>
      </c>
      <c r="GV886" s="1654">
        <f t="shared" si="1715"/>
        <v>4.6155939940000001</v>
      </c>
      <c r="GW886" s="1654">
        <f t="shared" si="1715"/>
        <v>4.4799232730000007</v>
      </c>
      <c r="GX886" s="1654">
        <f t="shared" si="1715"/>
        <v>4.6761860149999999</v>
      </c>
      <c r="GY886" s="1654">
        <f t="shared" si="1715"/>
        <v>4.6743918930000001</v>
      </c>
      <c r="GZ886" s="1654">
        <f t="shared" si="1715"/>
        <v>4.4357542399999996</v>
      </c>
      <c r="HA886" s="1654">
        <f t="shared" si="1715"/>
        <v>4.0301846770000003</v>
      </c>
      <c r="HB886" s="1654">
        <f t="shared" si="1715"/>
        <v>4.5359558339999992</v>
      </c>
      <c r="HC886" s="1654">
        <f t="shared" si="1715"/>
        <v>4.4626346840000002</v>
      </c>
      <c r="HD886" s="1654">
        <f t="shared" si="1715"/>
        <v>7.273365514</v>
      </c>
      <c r="HE886" s="1654">
        <f t="shared" si="1715"/>
        <v>9.011865169</v>
      </c>
      <c r="HF886" s="1654">
        <f t="shared" si="1715"/>
        <v>12.120709433999998</v>
      </c>
      <c r="HG886" s="1654">
        <f t="shared" si="1715"/>
        <v>13.133170757999999</v>
      </c>
      <c r="HH886" s="1654">
        <f t="shared" si="1715"/>
        <v>3.7521274770000002</v>
      </c>
      <c r="HI886" s="1654">
        <f t="shared" si="1715"/>
        <v>2.4924958670000001</v>
      </c>
      <c r="HJ886" s="1654">
        <f t="shared" si="1715"/>
        <v>11.763318237</v>
      </c>
      <c r="HK886" s="1654">
        <f t="shared" si="1715"/>
        <v>4.8615421440000004</v>
      </c>
      <c r="HL886" s="1654">
        <f t="shared" si="1715"/>
        <v>2.736469778</v>
      </c>
      <c r="HM886" s="1654">
        <f t="shared" si="1715"/>
        <v>2.228800165</v>
      </c>
      <c r="HN886" s="1654">
        <f t="shared" si="1715"/>
        <v>18.570279038999999</v>
      </c>
      <c r="HO886" s="1654">
        <f t="shared" si="1715"/>
        <v>7.641630009</v>
      </c>
      <c r="HP886" s="1654">
        <f t="shared" si="1715"/>
        <v>6.0815810690000003</v>
      </c>
      <c r="HQ886" s="1654">
        <f t="shared" si="1715"/>
        <v>6.1562342200000009</v>
      </c>
      <c r="HR886" s="1654">
        <f t="shared" si="1715"/>
        <v>7.824186117</v>
      </c>
      <c r="HS886" s="1654">
        <f t="shared" ref="HS886:HX886" si="1716">HS460</f>
        <v>6.3614942130000003</v>
      </c>
      <c r="HT886" s="1654">
        <f t="shared" si="1716"/>
        <v>3.8425349240000002</v>
      </c>
      <c r="HU886" s="1654">
        <f t="shared" si="1716"/>
        <v>17.525149939999999</v>
      </c>
      <c r="HV886" s="1654">
        <f t="shared" si="1716"/>
        <v>7.6448202700000003</v>
      </c>
      <c r="HW886" s="1654">
        <f t="shared" si="1716"/>
        <v>8.1914767270000013</v>
      </c>
      <c r="HX886" s="1654">
        <f t="shared" si="1716"/>
        <v>4.7906949540000001</v>
      </c>
      <c r="HY886" s="1654"/>
      <c r="HZ886" s="326"/>
      <c r="IA886" s="1418" t="s">
        <v>3052</v>
      </c>
      <c r="IB886" s="279">
        <f>IB885*7%</f>
        <v>10.369196652220001</v>
      </c>
      <c r="IC886" s="279">
        <f>IC885*7%</f>
        <v>9.6140476034399995</v>
      </c>
      <c r="ID886" s="323">
        <f>IB886+IC886</f>
        <v>19.983244255660001</v>
      </c>
      <c r="IE886" s="279">
        <f>IE885*7%</f>
        <v>10.57360292667</v>
      </c>
      <c r="IF886" s="279">
        <f>IF885*7%</f>
        <v>12.941806039120001</v>
      </c>
      <c r="IG886" s="323">
        <f>IE886+IF886</f>
        <v>23.515408965790002</v>
      </c>
      <c r="IH886" s="279">
        <f>IH885*7%</f>
        <v>12.236009437750001</v>
      </c>
      <c r="II886" s="279">
        <f>II885*7%</f>
        <v>13.32607546908732</v>
      </c>
      <c r="IJ886" s="323">
        <f>IH886+II886</f>
        <v>25.56208490683732</v>
      </c>
      <c r="IK886" s="279">
        <f>IK885*7%</f>
        <v>13.180041330049999</v>
      </c>
      <c r="IL886" s="279">
        <f>IL885*7%</f>
        <v>14.094549850459307</v>
      </c>
      <c r="IM886" s="323">
        <f>IK886+IL886</f>
        <v>27.274591180509304</v>
      </c>
      <c r="IN886" s="279">
        <f>IN885*7%</f>
        <v>13.477387040460004</v>
      </c>
      <c r="IO886" s="279">
        <f>IO885*7%</f>
        <v>15.829383525608801</v>
      </c>
      <c r="IP886" s="323">
        <f>IN886+IO886</f>
        <v>29.306770566068806</v>
      </c>
      <c r="IQ886" s="279">
        <f>IQ885*7%</f>
        <v>15.135155209300002</v>
      </c>
      <c r="IR886" s="279">
        <f>IR885*7%</f>
        <v>17.901048715200002</v>
      </c>
      <c r="IS886" s="323">
        <f>IQ886+IR886</f>
        <v>33.036203924500001</v>
      </c>
      <c r="IT886" s="279">
        <f>IT885*7%</f>
        <v>20.005965118510005</v>
      </c>
      <c r="IU886" s="279">
        <f>IU885*7%</f>
        <v>15.020112946440005</v>
      </c>
      <c r="IV886" s="323">
        <f>IT886+IU886</f>
        <v>35.026078064950013</v>
      </c>
      <c r="IW886" s="327">
        <v>13.937486896999999</v>
      </c>
      <c r="IX886" s="327">
        <f>SUM(FQ886:FV886)</f>
        <v>15.172191449</v>
      </c>
      <c r="IY886" s="323">
        <f>IW886+IX886</f>
        <v>29.109678345999999</v>
      </c>
      <c r="IZ886" s="327">
        <f t="shared" si="1699"/>
        <v>11.23013871</v>
      </c>
      <c r="JA886" s="327">
        <f t="shared" si="1700"/>
        <v>20.725418135572507</v>
      </c>
      <c r="JB886" s="323">
        <f t="shared" si="1458"/>
        <v>31.955556845572509</v>
      </c>
      <c r="JC886" s="327">
        <f t="shared" si="1624"/>
        <v>30.831519552318412</v>
      </c>
      <c r="JD886" s="327">
        <f t="shared" si="1701"/>
        <v>21.726372594840779</v>
      </c>
      <c r="JE886" s="323">
        <f t="shared" si="1702"/>
        <v>52.557892147159194</v>
      </c>
      <c r="JF886" s="327">
        <f t="shared" si="1638"/>
        <v>27.009131562999997</v>
      </c>
      <c r="JG886" s="327">
        <f t="shared" si="1667"/>
        <v>41.434715311999994</v>
      </c>
      <c r="JH886" s="323">
        <f t="shared" si="1703"/>
        <v>68.443846874999991</v>
      </c>
      <c r="JI886" s="327">
        <f t="shared" si="1476"/>
        <v>38.739124261000001</v>
      </c>
      <c r="JJ886" s="327">
        <f t="shared" si="1692"/>
        <v>48.502710618999998</v>
      </c>
      <c r="JK886" s="323">
        <f t="shared" si="1683"/>
        <v>87.241834879999999</v>
      </c>
      <c r="JL886" s="327">
        <f t="shared" si="1704"/>
        <v>48.356171027999999</v>
      </c>
      <c r="JM886" s="279">
        <f t="shared" si="1705"/>
        <v>54.900831159170956</v>
      </c>
      <c r="JN886" s="323">
        <f>FISC!AK1207</f>
        <v>103.25700218717095</v>
      </c>
      <c r="JO886" s="327">
        <f t="shared" si="1668"/>
        <v>63.430606029772278</v>
      </c>
      <c r="JP886" s="279">
        <f t="shared" si="1647"/>
        <v>55.357619807801257</v>
      </c>
      <c r="JQ886" s="323">
        <f>FISC!AL1207</f>
        <v>115.32837459958596</v>
      </c>
      <c r="JR886" s="327">
        <f>JT886*0.55</f>
        <v>64.472207752564358</v>
      </c>
      <c r="JS886" s="279">
        <f t="shared" si="1706"/>
        <v>52.749988161189009</v>
      </c>
      <c r="JT886" s="323">
        <f>FISC!AM1207</f>
        <v>117.22219591375337</v>
      </c>
      <c r="JU886" s="327">
        <f>JW886*0.55</f>
        <v>65.513809475356453</v>
      </c>
      <c r="JV886" s="279">
        <f t="shared" si="1707"/>
        <v>53.602207752564354</v>
      </c>
      <c r="JW886" s="323">
        <f>FISC!AN1207</f>
        <v>119.11601722792081</v>
      </c>
      <c r="JX886" s="327">
        <f>JZ886*0.55</f>
        <v>66.555411198148519</v>
      </c>
      <c r="JY886" s="279">
        <f t="shared" si="1708"/>
        <v>54.454427343939685</v>
      </c>
      <c r="JZ886" s="323">
        <f>FISC!AO1207</f>
        <v>121.0098385420882</v>
      </c>
      <c r="KA886" s="327">
        <f>KC886*0.55</f>
        <v>58.466623868489002</v>
      </c>
      <c r="KB886" s="279">
        <f t="shared" si="1709"/>
        <v>47.836328619672805</v>
      </c>
      <c r="KC886" s="323">
        <f>FISC!AP1207</f>
        <v>106.30295248816181</v>
      </c>
      <c r="KD886" s="327">
        <f>KF886*0.55</f>
        <v>58.466623868489002</v>
      </c>
      <c r="KE886" s="279">
        <f t="shared" si="1710"/>
        <v>47.836328619672805</v>
      </c>
      <c r="KF886" s="323">
        <f>FISC!AQ1207</f>
        <v>106.30295248816181</v>
      </c>
      <c r="KG886" s="327">
        <f>KI886*0.55</f>
        <v>58.466623868489002</v>
      </c>
      <c r="KH886" s="279">
        <f t="shared" si="1711"/>
        <v>47.836328619672805</v>
      </c>
      <c r="KI886" s="323">
        <f>FISC!AR1207</f>
        <v>106.30295248816181</v>
      </c>
      <c r="KJ886" s="327">
        <f>KL886*0.55</f>
        <v>58.466623868489002</v>
      </c>
      <c r="KK886" s="279">
        <f t="shared" si="1712"/>
        <v>47.836328619672805</v>
      </c>
      <c r="KL886" s="323">
        <f>FISC!AS1207</f>
        <v>106.30295248816181</v>
      </c>
      <c r="KM886" s="327">
        <f>KO886*0.55</f>
        <v>58.466623868489002</v>
      </c>
      <c r="KN886" s="279">
        <f t="shared" si="1713"/>
        <v>47.836328619672805</v>
      </c>
      <c r="KO886" s="323">
        <f>FISC!AT1207</f>
        <v>106.30295248816181</v>
      </c>
      <c r="KU886" s="326"/>
      <c r="KV886" s="327"/>
    </row>
    <row r="887" spans="1:308">
      <c r="A887" s="279"/>
      <c r="D887" s="1416" t="s">
        <v>553</v>
      </c>
      <c r="E887" s="323"/>
      <c r="F887" s="323"/>
      <c r="G887" s="323"/>
      <c r="H887" s="323"/>
      <c r="I887" s="323"/>
      <c r="J887" s="323"/>
      <c r="K887" s="323"/>
      <c r="L887" s="323"/>
      <c r="M887" s="323"/>
      <c r="N887" s="323"/>
      <c r="O887" s="323"/>
      <c r="P887" s="323"/>
      <c r="Q887" s="323"/>
      <c r="R887" s="323"/>
      <c r="S887" s="323"/>
      <c r="T887" s="323"/>
      <c r="U887" s="323"/>
      <c r="V887" s="323"/>
      <c r="W887" s="323"/>
      <c r="X887" s="323"/>
      <c r="Y887" s="323"/>
      <c r="Z887" s="323"/>
      <c r="AA887" s="323"/>
      <c r="AB887" s="323"/>
      <c r="AC887" s="323"/>
      <c r="AD887" s="323"/>
      <c r="AE887" s="323"/>
      <c r="AF887" s="323"/>
      <c r="AG887" s="323"/>
      <c r="AH887" s="323"/>
      <c r="AI887" s="323"/>
      <c r="AJ887" s="323"/>
      <c r="AK887" s="323"/>
      <c r="AL887" s="323"/>
      <c r="AM887" s="323"/>
      <c r="AN887" s="323"/>
      <c r="AO887" s="323"/>
      <c r="AP887" s="323"/>
      <c r="AQ887" s="323"/>
      <c r="AR887" s="323"/>
      <c r="AS887" s="323"/>
      <c r="AT887" s="323"/>
      <c r="AU887" s="323"/>
      <c r="AV887" s="323"/>
      <c r="AW887" s="323"/>
      <c r="AX887" s="323"/>
      <c r="AY887" s="323"/>
      <c r="AZ887" s="323"/>
      <c r="BA887" s="323"/>
      <c r="BB887" s="323"/>
      <c r="BC887" s="323"/>
      <c r="BD887" s="323"/>
      <c r="BE887" s="323"/>
      <c r="BF887" s="323"/>
      <c r="BG887" s="323"/>
      <c r="BH887" s="323"/>
      <c r="BI887" s="323"/>
      <c r="BJ887" s="323"/>
      <c r="BK887" s="323"/>
      <c r="BL887" s="323"/>
      <c r="BM887" s="323"/>
      <c r="BN887" s="323"/>
      <c r="BO887" s="323"/>
      <c r="BP887" s="323"/>
      <c r="BQ887" s="323"/>
      <c r="BR887" s="323"/>
      <c r="BS887" s="323"/>
      <c r="BT887" s="323"/>
      <c r="BU887" s="323"/>
      <c r="BV887" s="323"/>
      <c r="BW887" s="323"/>
      <c r="BX887" s="323"/>
      <c r="BY887" s="323"/>
      <c r="BZ887" s="323"/>
      <c r="CA887" s="323"/>
      <c r="CB887" s="323"/>
      <c r="CC887" s="323"/>
      <c r="CD887" s="329"/>
      <c r="CE887" s="323">
        <v>0</v>
      </c>
      <c r="CF887" s="323">
        <v>0</v>
      </c>
      <c r="CG887" s="323">
        <v>0</v>
      </c>
      <c r="CH887" s="323">
        <v>0</v>
      </c>
      <c r="CI887" s="323">
        <v>0</v>
      </c>
      <c r="CJ887" s="323">
        <v>0</v>
      </c>
      <c r="CK887" s="323">
        <v>0</v>
      </c>
      <c r="CL887" s="323">
        <v>0</v>
      </c>
      <c r="CM887" s="323">
        <v>0</v>
      </c>
      <c r="CN887" s="323">
        <v>0</v>
      </c>
      <c r="CO887" s="323">
        <v>0</v>
      </c>
      <c r="CP887" s="325">
        <v>0</v>
      </c>
      <c r="CQ887" s="323"/>
      <c r="CR887" s="323"/>
      <c r="CS887" s="323"/>
      <c r="CT887" s="323"/>
      <c r="CU887" s="323"/>
      <c r="CV887" s="323"/>
      <c r="CW887" s="323"/>
      <c r="CX887" s="323"/>
      <c r="CY887" s="323"/>
      <c r="CZ887" s="323"/>
      <c r="DA887" s="323"/>
      <c r="DB887" s="1269"/>
      <c r="DC887" s="323"/>
      <c r="DD887" s="323"/>
      <c r="DE887" s="323"/>
      <c r="DF887" s="323"/>
      <c r="DG887" s="323"/>
      <c r="DH887" s="323"/>
      <c r="DI887" s="323"/>
      <c r="DJ887" s="323"/>
      <c r="DK887" s="323"/>
      <c r="DL887" s="323"/>
      <c r="DM887" s="323"/>
      <c r="DN887" s="325"/>
      <c r="DO887" s="323"/>
      <c r="DP887" s="323"/>
      <c r="DQ887" s="323"/>
      <c r="DR887" s="323"/>
      <c r="DS887" s="323"/>
      <c r="DT887" s="323"/>
      <c r="DU887" s="323"/>
      <c r="DV887" s="323"/>
      <c r="DW887" s="323"/>
      <c r="DX887" s="323"/>
      <c r="DY887" s="323"/>
      <c r="DZ887" s="325"/>
      <c r="EA887" s="323"/>
      <c r="EB887" s="323"/>
      <c r="EC887" s="323"/>
      <c r="ED887" s="323"/>
      <c r="EE887" s="323"/>
      <c r="EF887" s="323"/>
      <c r="EG887" s="323"/>
      <c r="EH887" s="323"/>
      <c r="EI887" s="323"/>
      <c r="EJ887" s="323"/>
      <c r="EK887" s="323"/>
      <c r="EL887" s="325"/>
      <c r="EM887" s="323"/>
      <c r="EN887" s="323"/>
      <c r="EO887" s="323"/>
      <c r="EP887" s="323"/>
      <c r="EQ887" s="323"/>
      <c r="ER887" s="323"/>
      <c r="ES887" s="323"/>
      <c r="ET887" s="323"/>
      <c r="EU887" s="323"/>
      <c r="EV887" s="323"/>
      <c r="EW887" s="323"/>
      <c r="EX887" s="325"/>
      <c r="EY887" s="323"/>
      <c r="EZ887" s="323"/>
      <c r="FA887" s="323"/>
      <c r="FB887" s="323"/>
      <c r="FC887" s="323"/>
      <c r="FD887" s="323"/>
      <c r="FE887" s="323"/>
      <c r="FF887" s="323"/>
      <c r="FG887" s="323"/>
      <c r="FH887" s="323"/>
      <c r="FI887" s="323"/>
      <c r="FJ887" s="325"/>
      <c r="FK887" s="323">
        <f t="shared" ref="FK887:GP887" si="1717">FK461</f>
        <v>1.645408304</v>
      </c>
      <c r="FL887" s="323">
        <f t="shared" si="1717"/>
        <v>1.4702972000000001</v>
      </c>
      <c r="FM887" s="323">
        <f t="shared" si="1717"/>
        <v>1.5447394780000001</v>
      </c>
      <c r="FN887" s="323">
        <f t="shared" si="1717"/>
        <v>1.6877584059999999</v>
      </c>
      <c r="FO887" s="323">
        <f t="shared" si="1717"/>
        <v>1.5500421259999999</v>
      </c>
      <c r="FP887" s="323">
        <f t="shared" si="1717"/>
        <v>1.550014995</v>
      </c>
      <c r="FQ887" s="323">
        <f t="shared" si="1717"/>
        <v>1.571009085</v>
      </c>
      <c r="FR887" s="323">
        <f t="shared" si="1717"/>
        <v>1.4258154869999999</v>
      </c>
      <c r="FS887" s="323">
        <f t="shared" si="1717"/>
        <v>1.425815061</v>
      </c>
      <c r="FT887" s="323">
        <f t="shared" si="1717"/>
        <v>1.6292769739999999</v>
      </c>
      <c r="FU887" s="323">
        <f t="shared" si="1717"/>
        <v>1.48672358</v>
      </c>
      <c r="FV887" s="323">
        <f t="shared" si="1717"/>
        <v>1.4351826160000001</v>
      </c>
      <c r="FW887" s="323">
        <f t="shared" si="1717"/>
        <v>1.578747739</v>
      </c>
      <c r="FX887" s="323">
        <f t="shared" si="1717"/>
        <v>1.456572991</v>
      </c>
      <c r="FY887" s="323">
        <f t="shared" si="1717"/>
        <v>1.434116454</v>
      </c>
      <c r="FZ887" s="323">
        <f t="shared" si="1717"/>
        <v>1.524731576</v>
      </c>
      <c r="GA887" s="323">
        <f t="shared" si="1717"/>
        <v>1.501272494</v>
      </c>
      <c r="GB887" s="323">
        <f t="shared" si="1717"/>
        <v>1.485732469</v>
      </c>
      <c r="GC887" s="323">
        <f t="shared" si="1717"/>
        <v>1.6305605519999999</v>
      </c>
      <c r="GD887" s="323">
        <f t="shared" si="1717"/>
        <v>2.4271531460000002</v>
      </c>
      <c r="GE887" s="323">
        <f t="shared" si="1717"/>
        <v>2.9299431650000001</v>
      </c>
      <c r="GF887" s="323">
        <f t="shared" si="1717"/>
        <v>3.5495222709999998</v>
      </c>
      <c r="GG887" s="323">
        <f t="shared" si="1717"/>
        <v>2.727995919</v>
      </c>
      <c r="GH887" s="323">
        <f t="shared" si="1717"/>
        <v>2.8092080695725041</v>
      </c>
      <c r="GI887" s="1654">
        <f t="shared" si="1717"/>
        <v>3.405036465980265</v>
      </c>
      <c r="GJ887" s="1654">
        <f t="shared" si="1717"/>
        <v>3.3232503319736417</v>
      </c>
      <c r="GK887" s="1654">
        <f t="shared" si="1717"/>
        <v>3.6823923904644893</v>
      </c>
      <c r="GL887" s="1654">
        <f t="shared" si="1717"/>
        <v>4.1899775344037522</v>
      </c>
      <c r="GM887" s="1654">
        <f t="shared" si="1717"/>
        <v>3.3908370316339784</v>
      </c>
      <c r="GN887" s="1654">
        <f t="shared" si="1717"/>
        <v>2.8281401669452277</v>
      </c>
      <c r="GO887" s="1654">
        <f t="shared" si="1717"/>
        <v>1.5903192130027022</v>
      </c>
      <c r="GP887" s="1654">
        <f t="shared" si="1717"/>
        <v>1.5705014257670262</v>
      </c>
      <c r="GQ887" s="1654">
        <f t="shared" ref="GQ887:HR887" si="1718">GQ461</f>
        <v>1.8621303010295343</v>
      </c>
      <c r="GR887" s="1654">
        <f t="shared" si="1718"/>
        <v>3.984146728808089</v>
      </c>
      <c r="GS887" s="1654">
        <f t="shared" si="1718"/>
        <v>3.9782170336070259</v>
      </c>
      <c r="GT887" s="1654">
        <f t="shared" si="1718"/>
        <v>3.524997605359852</v>
      </c>
      <c r="GU887" s="1654">
        <f t="shared" si="1718"/>
        <v>2.6969169429999997</v>
      </c>
      <c r="GV887" s="1654">
        <f t="shared" si="1718"/>
        <v>3.1855014830000004</v>
      </c>
      <c r="GW887" s="1654">
        <f t="shared" si="1718"/>
        <v>2.8602765080000001</v>
      </c>
      <c r="GX887" s="1654">
        <f t="shared" si="1718"/>
        <v>3.2497314399999997</v>
      </c>
      <c r="GY887" s="1654">
        <f t="shared" si="1718"/>
        <v>3.1248673199999999</v>
      </c>
      <c r="GZ887" s="1654">
        <f t="shared" si="1718"/>
        <v>2.8860398329999999</v>
      </c>
      <c r="HA887" s="1654">
        <f t="shared" si="1718"/>
        <v>2.712376017</v>
      </c>
      <c r="HB887" s="1654">
        <f t="shared" si="1718"/>
        <v>3.0217059209999997</v>
      </c>
      <c r="HC887" s="1654">
        <f t="shared" si="1718"/>
        <v>2.914505084</v>
      </c>
      <c r="HD887" s="1654">
        <f t="shared" si="1718"/>
        <v>4.1702437020000005</v>
      </c>
      <c r="HE887" s="1654">
        <f t="shared" si="1718"/>
        <v>4.3090685249999998</v>
      </c>
      <c r="HF887" s="1654">
        <f t="shared" si="1718"/>
        <v>6.8217058489999998</v>
      </c>
      <c r="HG887" s="1654">
        <f t="shared" si="1718"/>
        <v>4.4146400789999998</v>
      </c>
      <c r="HH887" s="1654">
        <f t="shared" si="1718"/>
        <v>2.4043520030000001</v>
      </c>
      <c r="HI887" s="1654">
        <f t="shared" si="1718"/>
        <v>2.3597835979999999</v>
      </c>
      <c r="HJ887" s="1654">
        <f t="shared" si="1718"/>
        <v>6.7960154409999998</v>
      </c>
      <c r="HK887" s="1654">
        <f t="shared" si="1718"/>
        <v>4.4271964959999996</v>
      </c>
      <c r="HL887" s="1654">
        <f t="shared" si="1718"/>
        <v>2.51217757</v>
      </c>
      <c r="HM887" s="1654">
        <f t="shared" si="1718"/>
        <v>2.0957489420000002</v>
      </c>
      <c r="HN887" s="1654">
        <f t="shared" si="1718"/>
        <v>13.796283144999999</v>
      </c>
      <c r="HO887" s="1654">
        <f t="shared" si="1718"/>
        <v>2.5522789019999998</v>
      </c>
      <c r="HP887" s="1654">
        <f t="shared" si="1718"/>
        <v>3.0499180770000001</v>
      </c>
      <c r="HQ887" s="1654">
        <f t="shared" si="1718"/>
        <v>3.4473871579999997</v>
      </c>
      <c r="HR887" s="1654">
        <f t="shared" si="1718"/>
        <v>4.7694024019999999</v>
      </c>
      <c r="HS887" s="1654">
        <f t="shared" ref="HS887:HX887" si="1719">HS461</f>
        <v>6.179811538</v>
      </c>
      <c r="HT887" s="1654">
        <f t="shared" si="1719"/>
        <v>3.1942065149999999</v>
      </c>
      <c r="HU887" s="1654">
        <f t="shared" si="1719"/>
        <v>6.5877038169999995</v>
      </c>
      <c r="HV887" s="1654">
        <f t="shared" si="1719"/>
        <v>6.8431840270000004</v>
      </c>
      <c r="HW887" s="1654">
        <f t="shared" si="1719"/>
        <v>7.0941676890000007</v>
      </c>
      <c r="HX887" s="1654">
        <f t="shared" si="1719"/>
        <v>3.014229834</v>
      </c>
      <c r="HY887" s="1654"/>
      <c r="HZ887" s="326"/>
      <c r="IA887" s="1416" t="s">
        <v>553</v>
      </c>
      <c r="IB887" s="279">
        <f>IB886*61%</f>
        <v>6.3252099578542005</v>
      </c>
      <c r="IC887" s="279">
        <f>IC886*61%</f>
        <v>5.8645690380983995</v>
      </c>
      <c r="ID887" s="323">
        <f t="shared" ref="ID887:ID895" si="1720">IB887+IC887</f>
        <v>12.189778995952601</v>
      </c>
      <c r="IE887" s="279">
        <f>IE886*61%</f>
        <v>6.4498977852686998</v>
      </c>
      <c r="IF887" s="279">
        <f>IF886*61%</f>
        <v>7.8945016838632007</v>
      </c>
      <c r="IG887" s="323">
        <f t="shared" ref="IG887:IG895" si="1721">IE887+IF887</f>
        <v>14.344399469131901</v>
      </c>
      <c r="IH887" s="279">
        <f>IH886*61%</f>
        <v>7.4639657570275002</v>
      </c>
      <c r="II887" s="279">
        <f>II886*61%</f>
        <v>8.128906036143265</v>
      </c>
      <c r="IJ887" s="323">
        <f t="shared" ref="IJ887:IJ895" si="1722">IH887+II887</f>
        <v>15.592871793170765</v>
      </c>
      <c r="IK887" s="279">
        <f>IK886*61%</f>
        <v>8.0398252113304984</v>
      </c>
      <c r="IL887" s="279">
        <f>IL886*61%</f>
        <v>8.5976754087801766</v>
      </c>
      <c r="IM887" s="323">
        <f t="shared" ref="IM887:IM895" si="1723">IK887+IL887</f>
        <v>16.637500620110675</v>
      </c>
      <c r="IN887" s="279">
        <f>IN886*61%</f>
        <v>8.2212060946806016</v>
      </c>
      <c r="IO887" s="279">
        <f>IO886*61%</f>
        <v>9.6559239506213679</v>
      </c>
      <c r="IP887" s="323">
        <f t="shared" ref="IP887:IP895" si="1724">IN887+IO887</f>
        <v>17.877130045301968</v>
      </c>
      <c r="IQ887" s="279">
        <f>IQ886*61%</f>
        <v>9.2324446776730014</v>
      </c>
      <c r="IR887" s="279">
        <f>IR886*61%</f>
        <v>10.919639716272</v>
      </c>
      <c r="IS887" s="323">
        <f t="shared" ref="IS887:IS895" si="1725">IQ887+IR887</f>
        <v>20.152084393945003</v>
      </c>
      <c r="IT887" s="279">
        <f>IT886*61%</f>
        <v>12.203638722291103</v>
      </c>
      <c r="IU887" s="279">
        <f>IU886*61%</f>
        <v>9.1622688973284028</v>
      </c>
      <c r="IV887" s="323">
        <f t="shared" ref="IV887:IV895" si="1726">IT887+IU887</f>
        <v>21.365907619619506</v>
      </c>
      <c r="IW887" s="327">
        <v>9.4482605090000007</v>
      </c>
      <c r="IX887" s="327">
        <f>SUM(FQ887:FV887)</f>
        <v>8.9738228030000009</v>
      </c>
      <c r="IY887" s="323">
        <f t="shared" si="1621"/>
        <v>18.422083312000002</v>
      </c>
      <c r="IZ887" s="327">
        <f t="shared" si="1699"/>
        <v>8.9811737229999995</v>
      </c>
      <c r="JA887" s="327">
        <f t="shared" si="1700"/>
        <v>16.074383122572506</v>
      </c>
      <c r="JB887" s="323">
        <f t="shared" si="1458"/>
        <v>25.055556845572504</v>
      </c>
      <c r="JC887" s="327">
        <f t="shared" si="1624"/>
        <v>20.819633921401355</v>
      </c>
      <c r="JD887" s="327">
        <f t="shared" si="1701"/>
        <v>16.510312307574228</v>
      </c>
      <c r="JE887" s="323">
        <f t="shared" si="1702"/>
        <v>37.329946228975587</v>
      </c>
      <c r="JF887" s="327">
        <f t="shared" si="1638"/>
        <v>18.003333526999999</v>
      </c>
      <c r="JG887" s="327">
        <f t="shared" si="1667"/>
        <v>23.949605097999999</v>
      </c>
      <c r="JH887" s="323">
        <f t="shared" si="1703"/>
        <v>41.952938625000002</v>
      </c>
      <c r="JI887" s="327">
        <f t="shared" si="1476"/>
        <v>22.914165186999998</v>
      </c>
      <c r="JJ887" s="327">
        <f t="shared" si="1692"/>
        <v>29.711018626000001</v>
      </c>
      <c r="JK887" s="323">
        <f t="shared" si="1683"/>
        <v>52.625183813</v>
      </c>
      <c r="JL887" s="327">
        <f t="shared" si="1704"/>
        <v>32.913303419999998</v>
      </c>
      <c r="JM887" s="279">
        <f t="shared" si="1705"/>
        <v>26.591096149591152</v>
      </c>
      <c r="JN887" s="323">
        <f>FISC!AK1208</f>
        <v>59.504399569591151</v>
      </c>
      <c r="JO887" s="327">
        <f t="shared" si="1668"/>
        <v>36.645606029772274</v>
      </c>
      <c r="JP887" s="279">
        <f t="shared" si="1647"/>
        <v>31.981619807801259</v>
      </c>
      <c r="JQ887" s="323">
        <f>FISC!AL1208</f>
        <v>66.628374599585953</v>
      </c>
      <c r="JR887" s="327">
        <f>JT887*0.55</f>
        <v>37.687207752564355</v>
      </c>
      <c r="JS887" s="279">
        <f t="shared" si="1706"/>
        <v>30.83498816118901</v>
      </c>
      <c r="JT887" s="323">
        <f>FISC!AM1208</f>
        <v>68.522195913753364</v>
      </c>
      <c r="JU887" s="327">
        <f>JW887*0.55</f>
        <v>38.728809475356442</v>
      </c>
      <c r="JV887" s="279">
        <f t="shared" si="1707"/>
        <v>31.687207752564362</v>
      </c>
      <c r="JW887" s="323">
        <f>FISC!AN1208</f>
        <v>70.416017227920804</v>
      </c>
      <c r="JX887" s="327">
        <f>JZ887*0.55</f>
        <v>39.770411198148516</v>
      </c>
      <c r="JY887" s="279">
        <f t="shared" si="1708"/>
        <v>32.539427343939685</v>
      </c>
      <c r="JZ887" s="323">
        <f>FISC!AO1208</f>
        <v>72.309838542088201</v>
      </c>
      <c r="KA887" s="327">
        <f>KC887*0.55</f>
        <v>36.373025793047404</v>
      </c>
      <c r="KB887" s="279">
        <f t="shared" si="1709"/>
        <v>29.759748376129693</v>
      </c>
      <c r="KC887" s="323">
        <f>FISC!AP1208</f>
        <v>66.132774169177097</v>
      </c>
      <c r="KD887" s="327">
        <f>KF887*0.55</f>
        <v>36.373025793047404</v>
      </c>
      <c r="KE887" s="279">
        <f t="shared" si="1710"/>
        <v>29.759748376129693</v>
      </c>
      <c r="KF887" s="323">
        <f>FISC!AQ1208</f>
        <v>66.132774169177097</v>
      </c>
      <c r="KG887" s="327">
        <f>KI887*0.55</f>
        <v>36.373025793047404</v>
      </c>
      <c r="KH887" s="279">
        <f t="shared" si="1711"/>
        <v>29.759748376129693</v>
      </c>
      <c r="KI887" s="323">
        <f>FISC!AR1208</f>
        <v>66.132774169177097</v>
      </c>
      <c r="KJ887" s="327">
        <f>KL887*0.55</f>
        <v>36.373025793047404</v>
      </c>
      <c r="KK887" s="279">
        <f t="shared" si="1712"/>
        <v>29.759748376129693</v>
      </c>
      <c r="KL887" s="323">
        <f>FISC!AS1208</f>
        <v>66.132774169177097</v>
      </c>
      <c r="KM887" s="327">
        <f>KO887*0.55</f>
        <v>36.373025793047404</v>
      </c>
      <c r="KN887" s="279">
        <f t="shared" si="1713"/>
        <v>29.759748376129693</v>
      </c>
      <c r="KO887" s="323">
        <f>FISC!AT1208</f>
        <v>66.132774169177097</v>
      </c>
      <c r="KU887" s="326"/>
      <c r="KV887" s="327"/>
    </row>
    <row r="888" spans="1:308">
      <c r="A888" s="279"/>
      <c r="D888" s="1415" t="s">
        <v>3126</v>
      </c>
      <c r="E888" s="323"/>
      <c r="F888" s="323"/>
      <c r="G888" s="323"/>
      <c r="H888" s="323"/>
      <c r="I888" s="323"/>
      <c r="J888" s="323"/>
      <c r="K888" s="323"/>
      <c r="L888" s="323"/>
      <c r="M888" s="323"/>
      <c r="N888" s="323"/>
      <c r="O888" s="323"/>
      <c r="P888" s="323"/>
      <c r="Q888" s="323"/>
      <c r="R888" s="323"/>
      <c r="S888" s="323"/>
      <c r="T888" s="323"/>
      <c r="U888" s="323"/>
      <c r="V888" s="323"/>
      <c r="W888" s="323"/>
      <c r="X888" s="323"/>
      <c r="Y888" s="323"/>
      <c r="Z888" s="323"/>
      <c r="AA888" s="323"/>
      <c r="AB888" s="323"/>
      <c r="AC888" s="323"/>
      <c r="AD888" s="323"/>
      <c r="AE888" s="323"/>
      <c r="AF888" s="323"/>
      <c r="AG888" s="323"/>
      <c r="AH888" s="323"/>
      <c r="AI888" s="323"/>
      <c r="AJ888" s="323"/>
      <c r="AK888" s="323"/>
      <c r="AL888" s="323"/>
      <c r="AM888" s="323"/>
      <c r="AN888" s="323"/>
      <c r="AO888" s="323"/>
      <c r="AP888" s="323"/>
      <c r="AQ888" s="323"/>
      <c r="AR888" s="323"/>
      <c r="AS888" s="323"/>
      <c r="AT888" s="323"/>
      <c r="AU888" s="323"/>
      <c r="AV888" s="323"/>
      <c r="AW888" s="323"/>
      <c r="AX888" s="323"/>
      <c r="AY888" s="323"/>
      <c r="AZ888" s="323"/>
      <c r="BA888" s="323"/>
      <c r="BB888" s="323"/>
      <c r="BC888" s="323"/>
      <c r="BD888" s="323"/>
      <c r="BE888" s="323"/>
      <c r="BF888" s="323"/>
      <c r="BG888" s="323"/>
      <c r="BH888" s="323"/>
      <c r="BI888" s="323"/>
      <c r="BJ888" s="323"/>
      <c r="BK888" s="323"/>
      <c r="BL888" s="323"/>
      <c r="BM888" s="323"/>
      <c r="BN888" s="323"/>
      <c r="BO888" s="323"/>
      <c r="BP888" s="323"/>
      <c r="BQ888" s="323"/>
      <c r="BR888" s="323"/>
      <c r="BS888" s="323"/>
      <c r="BT888" s="323"/>
      <c r="BU888" s="323"/>
      <c r="BV888" s="323"/>
      <c r="BW888" s="323"/>
      <c r="BX888" s="323"/>
      <c r="BY888" s="323"/>
      <c r="BZ888" s="323"/>
      <c r="CA888" s="323"/>
      <c r="CB888" s="323"/>
      <c r="CC888" s="323"/>
      <c r="CD888" s="329"/>
      <c r="CE888" s="323"/>
      <c r="CF888" s="323"/>
      <c r="CG888" s="323"/>
      <c r="CH888" s="323"/>
      <c r="CI888" s="323"/>
      <c r="CJ888" s="323"/>
      <c r="CK888" s="323"/>
      <c r="CL888" s="323"/>
      <c r="CM888" s="323"/>
      <c r="CN888" s="323"/>
      <c r="CO888" s="323"/>
      <c r="CP888" s="325"/>
      <c r="CQ888" s="323"/>
      <c r="CR888" s="323"/>
      <c r="CS888" s="323"/>
      <c r="CT888" s="323"/>
      <c r="CU888" s="323"/>
      <c r="CV888" s="323"/>
      <c r="CW888" s="323"/>
      <c r="CX888" s="323"/>
      <c r="CY888" s="323"/>
      <c r="CZ888" s="323"/>
      <c r="DA888" s="323"/>
      <c r="DB888" s="1269"/>
      <c r="DC888" s="323"/>
      <c r="DD888" s="323"/>
      <c r="DE888" s="323"/>
      <c r="DF888" s="323"/>
      <c r="DG888" s="323"/>
      <c r="DH888" s="323"/>
      <c r="DI888" s="323"/>
      <c r="DJ888" s="323"/>
      <c r="DK888" s="323"/>
      <c r="DL888" s="323"/>
      <c r="DM888" s="323"/>
      <c r="DN888" s="325"/>
      <c r="DO888" s="323"/>
      <c r="DP888" s="323"/>
      <c r="DQ888" s="323"/>
      <c r="DR888" s="323"/>
      <c r="DS888" s="323"/>
      <c r="DT888" s="323"/>
      <c r="DU888" s="323"/>
      <c r="DV888" s="323"/>
      <c r="DW888" s="323"/>
      <c r="DX888" s="323"/>
      <c r="DY888" s="323"/>
      <c r="DZ888" s="325"/>
      <c r="EA888" s="323"/>
      <c r="EB888" s="323"/>
      <c r="EC888" s="323"/>
      <c r="ED888" s="323"/>
      <c r="EE888" s="323"/>
      <c r="EF888" s="323"/>
      <c r="EG888" s="323"/>
      <c r="EH888" s="323"/>
      <c r="EI888" s="323"/>
      <c r="EJ888" s="323"/>
      <c r="EK888" s="323"/>
      <c r="EL888" s="325"/>
      <c r="EM888" s="323"/>
      <c r="EN888" s="323"/>
      <c r="EO888" s="323"/>
      <c r="EP888" s="323"/>
      <c r="EQ888" s="323"/>
      <c r="ER888" s="323"/>
      <c r="ES888" s="323"/>
      <c r="ET888" s="323"/>
      <c r="EU888" s="323"/>
      <c r="EV888" s="323"/>
      <c r="EW888" s="323"/>
      <c r="EX888" s="325"/>
      <c r="EY888" s="323"/>
      <c r="EZ888" s="323"/>
      <c r="FA888" s="323"/>
      <c r="FB888" s="323"/>
      <c r="FC888" s="323"/>
      <c r="FD888" s="323"/>
      <c r="FE888" s="323"/>
      <c r="FF888" s="323"/>
      <c r="FG888" s="323"/>
      <c r="FH888" s="323"/>
      <c r="FI888" s="323"/>
      <c r="FJ888" s="325"/>
      <c r="FK888" s="323">
        <f t="shared" ref="FK888:GP888" si="1727">FK462</f>
        <v>1.4220644140000001</v>
      </c>
      <c r="FL888" s="323">
        <f t="shared" si="1727"/>
        <v>1.3937961539999999</v>
      </c>
      <c r="FM888" s="323">
        <f t="shared" si="1727"/>
        <v>1.450332677</v>
      </c>
      <c r="FN888" s="323">
        <f t="shared" si="1727"/>
        <v>1.426627922</v>
      </c>
      <c r="FO888" s="323">
        <f t="shared" si="1727"/>
        <v>1.4220644140000001</v>
      </c>
      <c r="FP888" s="323">
        <f t="shared" si="1727"/>
        <v>1.435370856</v>
      </c>
      <c r="FQ888" s="323">
        <f t="shared" si="1727"/>
        <v>1.3524104079999999</v>
      </c>
      <c r="FR888" s="323">
        <f t="shared" si="1727"/>
        <v>1.3524104079999999</v>
      </c>
      <c r="FS888" s="323">
        <f t="shared" si="1727"/>
        <v>1.352409982</v>
      </c>
      <c r="FT888" s="323">
        <f t="shared" si="1727"/>
        <v>1.435181754</v>
      </c>
      <c r="FU888" s="323">
        <f t="shared" si="1727"/>
        <v>1.435181754</v>
      </c>
      <c r="FV888" s="323">
        <f t="shared" si="1727"/>
        <v>1.4351826160000001</v>
      </c>
      <c r="FW888" s="323">
        <f t="shared" si="1727"/>
        <v>1.393772494</v>
      </c>
      <c r="FX888" s="323">
        <f t="shared" si="1727"/>
        <v>1.393772494</v>
      </c>
      <c r="FY888" s="323">
        <f t="shared" si="1727"/>
        <v>1.3939524940000001</v>
      </c>
      <c r="FZ888" s="323">
        <f t="shared" si="1727"/>
        <v>1.3939524940000001</v>
      </c>
      <c r="GA888" s="323">
        <f t="shared" si="1727"/>
        <v>1.393772494</v>
      </c>
      <c r="GB888" s="323">
        <f t="shared" si="1727"/>
        <v>1.393772494</v>
      </c>
      <c r="GC888" s="323">
        <f t="shared" si="1727"/>
        <v>1.427153146</v>
      </c>
      <c r="GD888" s="323">
        <f t="shared" si="1727"/>
        <v>2.4271531460000002</v>
      </c>
      <c r="GE888" s="323">
        <f t="shared" si="1727"/>
        <v>2.9299431650000001</v>
      </c>
      <c r="GF888" s="323">
        <f t="shared" si="1727"/>
        <v>2.4485203090000001</v>
      </c>
      <c r="GG888" s="323">
        <f t="shared" si="1727"/>
        <v>2.7029959190000001</v>
      </c>
      <c r="GH888" s="323">
        <f t="shared" si="1727"/>
        <v>2.8092080695725041</v>
      </c>
      <c r="GI888" s="1654">
        <f t="shared" si="1727"/>
        <v>1.3144160300000001</v>
      </c>
      <c r="GJ888" s="1654">
        <f t="shared" si="1727"/>
        <v>2.56750072</v>
      </c>
      <c r="GK888" s="1654">
        <f t="shared" si="1727"/>
        <v>1.9409583749999999</v>
      </c>
      <c r="GL888" s="1654">
        <f t="shared" si="1727"/>
        <v>1.732610859</v>
      </c>
      <c r="GM888" s="1654">
        <f t="shared" si="1727"/>
        <v>1.702680996</v>
      </c>
      <c r="GN888" s="1654">
        <f t="shared" si="1727"/>
        <v>2.3875832699999999</v>
      </c>
      <c r="GO888" s="1654">
        <f t="shared" si="1727"/>
        <v>1.5088087701860999</v>
      </c>
      <c r="GP888" s="1654">
        <f t="shared" si="1727"/>
        <v>1.4972201459138099</v>
      </c>
      <c r="GQ888" s="1654">
        <f t="shared" ref="GQ888:HR888" si="1728">GQ462</f>
        <v>1.7687772132834327</v>
      </c>
      <c r="GR888" s="1654">
        <f t="shared" si="1728"/>
        <v>3.5954092801093025</v>
      </c>
      <c r="GS888" s="1654">
        <f t="shared" si="1728"/>
        <v>3.9782170336070259</v>
      </c>
      <c r="GT888" s="1654">
        <f t="shared" si="1728"/>
        <v>3.524997605359852</v>
      </c>
      <c r="GU888" s="1654">
        <f t="shared" si="1728"/>
        <v>2.6365614650000002</v>
      </c>
      <c r="GV888" s="1654">
        <f t="shared" si="1728"/>
        <v>3.1300024860000004</v>
      </c>
      <c r="GW888" s="1654">
        <f t="shared" si="1728"/>
        <v>2.7601328069999997</v>
      </c>
      <c r="GX888" s="1654">
        <f t="shared" si="1728"/>
        <v>3.0078976319999997</v>
      </c>
      <c r="GY888" s="1654">
        <f t="shared" si="1728"/>
        <v>2.8704634430000002</v>
      </c>
      <c r="GZ888" s="1654">
        <f t="shared" si="1728"/>
        <v>2.7212567559999998</v>
      </c>
      <c r="HA888" s="1654">
        <f t="shared" si="1728"/>
        <v>2.304234176</v>
      </c>
      <c r="HB888" s="1654">
        <f t="shared" si="1728"/>
        <v>2.7217059209999999</v>
      </c>
      <c r="HC888" s="1654">
        <f t="shared" si="1728"/>
        <v>2.604234215</v>
      </c>
      <c r="HD888" s="1654">
        <f t="shared" si="1728"/>
        <v>2.0653872230000001</v>
      </c>
      <c r="HE888" s="1654">
        <f t="shared" si="1728"/>
        <v>3.3090685249999998</v>
      </c>
      <c r="HF888" s="1654">
        <f t="shared" si="1728"/>
        <v>3.8217058489999998</v>
      </c>
      <c r="HG888" s="1654">
        <f t="shared" si="1728"/>
        <v>4.2829496319999993</v>
      </c>
      <c r="HH888" s="1654">
        <f t="shared" si="1728"/>
        <v>2.2795030170000001</v>
      </c>
      <c r="HI888" s="1654">
        <f t="shared" si="1728"/>
        <v>2.2829496319999998</v>
      </c>
      <c r="HJ888" s="1654">
        <f t="shared" si="1728"/>
        <v>1.5964976690000001</v>
      </c>
      <c r="HK888" s="1654">
        <f t="shared" si="1728"/>
        <v>4.2825825909999997</v>
      </c>
      <c r="HL888" s="1654">
        <f t="shared" si="1728"/>
        <v>2.4853436040000001</v>
      </c>
      <c r="HM888" s="1654">
        <f t="shared" si="1728"/>
        <v>1.863989897</v>
      </c>
      <c r="HN888" s="1654">
        <f t="shared" si="1728"/>
        <v>6.4054710020000005</v>
      </c>
      <c r="HO888" s="1654">
        <f t="shared" si="1728"/>
        <v>1.9054710020000001</v>
      </c>
      <c r="HP888" s="1654">
        <f t="shared" si="1728"/>
        <v>2.6473871600000001</v>
      </c>
      <c r="HQ888" s="1654">
        <f t="shared" si="1728"/>
        <v>3.247387158</v>
      </c>
      <c r="HR888" s="1654">
        <f t="shared" si="1728"/>
        <v>4.2422513760000005</v>
      </c>
      <c r="HS888" s="1654">
        <f t="shared" ref="HS888:HX888" si="1729">HS462</f>
        <v>4.7775214229999996</v>
      </c>
      <c r="HT888" s="1654">
        <f t="shared" si="1729"/>
        <v>2.777521422</v>
      </c>
      <c r="HU888" s="1654">
        <f t="shared" si="1729"/>
        <v>2.7775214240000001</v>
      </c>
      <c r="HV888" s="1654">
        <f t="shared" si="1729"/>
        <v>3.777521423</v>
      </c>
      <c r="HW888" s="1654">
        <f t="shared" si="1729"/>
        <v>3.4775214229999998</v>
      </c>
      <c r="HX888" s="1654">
        <f t="shared" si="1729"/>
        <v>2.777521423</v>
      </c>
      <c r="HY888" s="1654"/>
      <c r="HZ888" s="326"/>
      <c r="IA888" s="1415" t="s">
        <v>3126</v>
      </c>
      <c r="IB888" s="279">
        <f>IB887*76%</f>
        <v>4.8071595679691921</v>
      </c>
      <c r="IC888" s="279">
        <f>IC887*76%</f>
        <v>4.4570724689547836</v>
      </c>
      <c r="ID888" s="323">
        <f t="shared" si="1720"/>
        <v>9.2642320369239748</v>
      </c>
      <c r="IE888" s="279">
        <f>IE887*76%</f>
        <v>4.9019223168042121</v>
      </c>
      <c r="IF888" s="279">
        <f>IF887*76%</f>
        <v>5.9998212797360324</v>
      </c>
      <c r="IG888" s="323">
        <f t="shared" si="1721"/>
        <v>10.901743596540244</v>
      </c>
      <c r="IH888" s="279">
        <f>IH887*76%</f>
        <v>5.6726139753409006</v>
      </c>
      <c r="II888" s="279">
        <f>II887*76%</f>
        <v>6.1779685874688814</v>
      </c>
      <c r="IJ888" s="323">
        <f t="shared" si="1722"/>
        <v>11.850582562809782</v>
      </c>
      <c r="IK888" s="279">
        <f>IK887*76%</f>
        <v>6.1102671606111789</v>
      </c>
      <c r="IL888" s="279">
        <f>IL887*76%</f>
        <v>6.534233310672934</v>
      </c>
      <c r="IM888" s="323">
        <f t="shared" si="1723"/>
        <v>12.644500471284113</v>
      </c>
      <c r="IN888" s="279">
        <f>IN887*76%</f>
        <v>6.2481166319572576</v>
      </c>
      <c r="IO888" s="279">
        <f>IO887*76%</f>
        <v>7.3385022024722399</v>
      </c>
      <c r="IP888" s="323">
        <f t="shared" si="1724"/>
        <v>13.586618834429498</v>
      </c>
      <c r="IQ888" s="279">
        <f>IQ887*76%</f>
        <v>7.0166579550314809</v>
      </c>
      <c r="IR888" s="279">
        <f>IR887*76%</f>
        <v>8.2989261843667208</v>
      </c>
      <c r="IS888" s="323">
        <f t="shared" si="1725"/>
        <v>15.315584139398201</v>
      </c>
      <c r="IT888" s="279">
        <f>IT887*76%</f>
        <v>9.2747654289412385</v>
      </c>
      <c r="IU888" s="279">
        <f>IU887*76%</f>
        <v>6.9633243619695859</v>
      </c>
      <c r="IV888" s="323">
        <f t="shared" si="1726"/>
        <v>16.238089790910823</v>
      </c>
      <c r="IW888" s="327">
        <v>8.5502564369999998</v>
      </c>
      <c r="IX888" s="327">
        <f>SUM(FQ888:FV888)</f>
        <v>8.3627769220000001</v>
      </c>
      <c r="IY888" s="323">
        <f t="shared" si="1621"/>
        <v>16.913033359</v>
      </c>
      <c r="IZ888" s="327">
        <f t="shared" si="1699"/>
        <v>8.3629949640000003</v>
      </c>
      <c r="JA888" s="327">
        <f t="shared" si="1700"/>
        <v>14.744973754572504</v>
      </c>
      <c r="JB888" s="323">
        <f t="shared" si="1458"/>
        <v>23.107968718572504</v>
      </c>
      <c r="JC888" s="327">
        <f t="shared" si="1624"/>
        <v>11.645750250000001</v>
      </c>
      <c r="JD888" s="327">
        <f t="shared" si="1701"/>
        <v>15.873430048459523</v>
      </c>
      <c r="JE888" s="323">
        <f t="shared" si="1702"/>
        <v>27.519180298459524</v>
      </c>
      <c r="JF888" s="327">
        <f t="shared" si="1638"/>
        <v>17.126314589</v>
      </c>
      <c r="JG888" s="327">
        <f t="shared" si="1667"/>
        <v>16.826335909000001</v>
      </c>
      <c r="JH888" s="323">
        <f t="shared" si="1703"/>
        <v>33.952650497999997</v>
      </c>
      <c r="JI888" s="327">
        <f t="shared" si="1476"/>
        <v>17.209826144999997</v>
      </c>
      <c r="JJ888" s="327">
        <f t="shared" si="1692"/>
        <v>20.311957595000003</v>
      </c>
      <c r="JK888" s="323">
        <f t="shared" si="1683"/>
        <v>37.521783740000004</v>
      </c>
      <c r="JL888" s="327">
        <f t="shared" si="1704"/>
        <v>20.365128537999997</v>
      </c>
      <c r="JM888" s="279">
        <f t="shared" si="1705"/>
        <v>20.016335404502254</v>
      </c>
      <c r="JN888" s="323">
        <f>FISC!AK1209</f>
        <v>40.381463942502251</v>
      </c>
      <c r="JO888" s="327">
        <f>JQ888*0.5</f>
        <v>22.664187299792978</v>
      </c>
      <c r="JP888" s="279">
        <f t="shared" si="1647"/>
        <v>22.664187299792978</v>
      </c>
      <c r="JQ888" s="323">
        <f>FISC!AL1209</f>
        <v>45.328374599585956</v>
      </c>
      <c r="JR888" s="327">
        <f>JT888*0.5</f>
        <v>23.611097956876687</v>
      </c>
      <c r="JS888" s="279">
        <f t="shared" si="1706"/>
        <v>23.611097956876687</v>
      </c>
      <c r="JT888" s="323">
        <f>FISC!AM1209</f>
        <v>47.222195913753374</v>
      </c>
      <c r="JU888" s="327">
        <f>JW888*0.5</f>
        <v>24.558008613960403</v>
      </c>
      <c r="JV888" s="279">
        <f t="shared" si="1707"/>
        <v>24.558008613960403</v>
      </c>
      <c r="JW888" s="323">
        <f>FISC!AN1209</f>
        <v>49.116017227920807</v>
      </c>
      <c r="JX888" s="327">
        <f t="shared" ref="JX888:JX889" si="1730">JZ888*0.55</f>
        <v>28.055411198148516</v>
      </c>
      <c r="JY888" s="279">
        <f t="shared" si="1708"/>
        <v>22.954427343939688</v>
      </c>
      <c r="JZ888" s="323">
        <f>FISC!AO1209</f>
        <v>51.009838542088204</v>
      </c>
      <c r="KA888" s="327">
        <f t="shared" ref="KA888:KA889" si="1731">KC888*0.55</f>
        <v>25.855411198148513</v>
      </c>
      <c r="KB888" s="279">
        <f t="shared" si="1709"/>
        <v>21.154427343939691</v>
      </c>
      <c r="KC888" s="323">
        <f>FISC!AP1209</f>
        <v>47.009838542088204</v>
      </c>
      <c r="KD888" s="327">
        <f t="shared" ref="KD888:KD889" si="1732">KF888*0.55</f>
        <v>25.855411198148513</v>
      </c>
      <c r="KE888" s="279">
        <f t="shared" si="1710"/>
        <v>21.154427343939691</v>
      </c>
      <c r="KF888" s="323">
        <f>FISC!AQ1209</f>
        <v>47.009838542088204</v>
      </c>
      <c r="KG888" s="327">
        <f t="shared" ref="KG888:KG889" si="1733">KI888*0.55</f>
        <v>25.855411198148513</v>
      </c>
      <c r="KH888" s="279">
        <f t="shared" si="1711"/>
        <v>21.154427343939691</v>
      </c>
      <c r="KI888" s="323">
        <f>FISC!AR1209</f>
        <v>47.009838542088204</v>
      </c>
      <c r="KJ888" s="327">
        <f t="shared" ref="KJ888:KJ889" si="1734">KL888*0.55</f>
        <v>25.855411198148513</v>
      </c>
      <c r="KK888" s="279">
        <f t="shared" si="1712"/>
        <v>21.154427343939691</v>
      </c>
      <c r="KL888" s="323">
        <f>FISC!AS1209</f>
        <v>47.009838542088204</v>
      </c>
      <c r="KM888" s="327">
        <f t="shared" ref="KM888:KM889" si="1735">KO888*0.55</f>
        <v>25.855411198148513</v>
      </c>
      <c r="KN888" s="279">
        <f t="shared" si="1713"/>
        <v>21.154427343939691</v>
      </c>
      <c r="KO888" s="323">
        <f>FISC!AT1209</f>
        <v>47.009838542088204</v>
      </c>
      <c r="KU888" s="326"/>
      <c r="KV888" s="327"/>
    </row>
    <row r="889" spans="1:308">
      <c r="A889" s="279"/>
      <c r="D889" s="1416" t="s">
        <v>554</v>
      </c>
      <c r="E889" s="323"/>
      <c r="F889" s="323"/>
      <c r="G889" s="323"/>
      <c r="H889" s="323"/>
      <c r="I889" s="323"/>
      <c r="J889" s="323"/>
      <c r="K889" s="323"/>
      <c r="L889" s="323"/>
      <c r="M889" s="323"/>
      <c r="N889" s="323"/>
      <c r="O889" s="323"/>
      <c r="P889" s="323"/>
      <c r="Q889" s="323"/>
      <c r="R889" s="323"/>
      <c r="S889" s="323"/>
      <c r="T889" s="323"/>
      <c r="U889" s="323"/>
      <c r="V889" s="323"/>
      <c r="W889" s="323"/>
      <c r="X889" s="323"/>
      <c r="Y889" s="323"/>
      <c r="Z889" s="323"/>
      <c r="AA889" s="323"/>
      <c r="AB889" s="323"/>
      <c r="AC889" s="323"/>
      <c r="AD889" s="323"/>
      <c r="AE889" s="323"/>
      <c r="AF889" s="323"/>
      <c r="AG889" s="323"/>
      <c r="AH889" s="323"/>
      <c r="AI889" s="323"/>
      <c r="AJ889" s="323"/>
      <c r="AK889" s="323"/>
      <c r="AL889" s="323"/>
      <c r="AM889" s="323"/>
      <c r="AN889" s="323"/>
      <c r="AO889" s="323"/>
      <c r="AP889" s="323"/>
      <c r="AQ889" s="323"/>
      <c r="AR889" s="323"/>
      <c r="AS889" s="323"/>
      <c r="AT889" s="323"/>
      <c r="AU889" s="323"/>
      <c r="AV889" s="323"/>
      <c r="AW889" s="323"/>
      <c r="AX889" s="323"/>
      <c r="AY889" s="323"/>
      <c r="AZ889" s="323"/>
      <c r="BA889" s="323"/>
      <c r="BB889" s="323"/>
      <c r="BC889" s="323"/>
      <c r="BD889" s="323"/>
      <c r="BE889" s="323"/>
      <c r="BF889" s="323"/>
      <c r="BG889" s="323"/>
      <c r="BH889" s="323"/>
      <c r="BI889" s="323"/>
      <c r="BJ889" s="323"/>
      <c r="BK889" s="323"/>
      <c r="BL889" s="323"/>
      <c r="BM889" s="323"/>
      <c r="BN889" s="323"/>
      <c r="BO889" s="323"/>
      <c r="BP889" s="323"/>
      <c r="BQ889" s="323"/>
      <c r="BR889" s="323"/>
      <c r="BS889" s="323"/>
      <c r="BT889" s="323"/>
      <c r="BU889" s="323"/>
      <c r="BV889" s="323"/>
      <c r="BW889" s="323"/>
      <c r="BX889" s="323"/>
      <c r="BY889" s="323"/>
      <c r="BZ889" s="323"/>
      <c r="CA889" s="323"/>
      <c r="CB889" s="323"/>
      <c r="CC889" s="323"/>
      <c r="CD889" s="329"/>
      <c r="CE889" s="323">
        <v>0</v>
      </c>
      <c r="CF889" s="323">
        <v>0</v>
      </c>
      <c r="CG889" s="323">
        <v>0</v>
      </c>
      <c r="CH889" s="323">
        <v>0</v>
      </c>
      <c r="CI889" s="323">
        <v>0</v>
      </c>
      <c r="CJ889" s="323">
        <v>0</v>
      </c>
      <c r="CK889" s="323">
        <v>0</v>
      </c>
      <c r="CL889" s="323">
        <v>0</v>
      </c>
      <c r="CM889" s="323">
        <v>0</v>
      </c>
      <c r="CN889" s="323">
        <v>0</v>
      </c>
      <c r="CO889" s="323">
        <v>0</v>
      </c>
      <c r="CP889" s="325">
        <v>0</v>
      </c>
      <c r="CQ889" s="323"/>
      <c r="CR889" s="323"/>
      <c r="CS889" s="323"/>
      <c r="CT889" s="323"/>
      <c r="CU889" s="323"/>
      <c r="CV889" s="323"/>
      <c r="CW889" s="323"/>
      <c r="CX889" s="323"/>
      <c r="CY889" s="323"/>
      <c r="CZ889" s="323"/>
      <c r="DA889" s="323"/>
      <c r="DB889" s="1269"/>
      <c r="DC889" s="323"/>
      <c r="DD889" s="323"/>
      <c r="DE889" s="323"/>
      <c r="DF889" s="323"/>
      <c r="DG889" s="323"/>
      <c r="DH889" s="323"/>
      <c r="DI889" s="323"/>
      <c r="DJ889" s="323"/>
      <c r="DK889" s="323"/>
      <c r="DL889" s="323"/>
      <c r="DM889" s="323"/>
      <c r="DN889" s="325"/>
      <c r="DO889" s="323"/>
      <c r="DP889" s="323"/>
      <c r="DQ889" s="323"/>
      <c r="DR889" s="323"/>
      <c r="DS889" s="323"/>
      <c r="DT889" s="323"/>
      <c r="DU889" s="323"/>
      <c r="DV889" s="323"/>
      <c r="DW889" s="323"/>
      <c r="DX889" s="323"/>
      <c r="DY889" s="323"/>
      <c r="DZ889" s="325"/>
      <c r="EA889" s="323"/>
      <c r="EB889" s="323"/>
      <c r="EC889" s="323"/>
      <c r="ED889" s="323"/>
      <c r="EE889" s="323"/>
      <c r="EF889" s="323"/>
      <c r="EG889" s="323"/>
      <c r="EH889" s="323"/>
      <c r="EI889" s="323"/>
      <c r="EJ889" s="323"/>
      <c r="EK889" s="323"/>
      <c r="EL889" s="325"/>
      <c r="EM889" s="323"/>
      <c r="EN889" s="323"/>
      <c r="EO889" s="323"/>
      <c r="EP889" s="323"/>
      <c r="EQ889" s="323"/>
      <c r="ER889" s="323"/>
      <c r="ES889" s="323"/>
      <c r="ET889" s="323"/>
      <c r="EU889" s="323"/>
      <c r="EV889" s="323"/>
      <c r="EW889" s="323"/>
      <c r="EX889" s="325"/>
      <c r="EY889" s="323"/>
      <c r="EZ889" s="323"/>
      <c r="FA889" s="323"/>
      <c r="FB889" s="323"/>
      <c r="FC889" s="323"/>
      <c r="FD889" s="323"/>
      <c r="FE889" s="323"/>
      <c r="FF889" s="323"/>
      <c r="FG889" s="323"/>
      <c r="FH889" s="323"/>
      <c r="FI889" s="323"/>
      <c r="FJ889" s="325"/>
      <c r="FK889" s="323">
        <f t="shared" ref="FK889:GP889" si="1736">FK463</f>
        <v>0.49176057000000001</v>
      </c>
      <c r="FL889" s="323">
        <f t="shared" si="1736"/>
        <v>1.419918185</v>
      </c>
      <c r="FM889" s="323">
        <f t="shared" si="1736"/>
        <v>9.6996727000000005E-2</v>
      </c>
      <c r="FN889" s="323">
        <f t="shared" si="1736"/>
        <v>0.43416053199999999</v>
      </c>
      <c r="FO889" s="323">
        <f t="shared" si="1736"/>
        <v>0.27897329799999998</v>
      </c>
      <c r="FP889" s="323">
        <f t="shared" si="1736"/>
        <v>1.7674170760000001</v>
      </c>
      <c r="FQ889" s="323">
        <f t="shared" si="1736"/>
        <v>1.8576309600000001</v>
      </c>
      <c r="FR889" s="323">
        <f t="shared" si="1736"/>
        <v>0.78832099300000003</v>
      </c>
      <c r="FS889" s="323">
        <f t="shared" si="1736"/>
        <v>0.56061431699999997</v>
      </c>
      <c r="FT889" s="323">
        <f t="shared" si="1736"/>
        <v>1.4917887839999999</v>
      </c>
      <c r="FU889" s="323">
        <f t="shared" si="1736"/>
        <v>1.4761310320000001</v>
      </c>
      <c r="FV889" s="323">
        <f t="shared" si="1736"/>
        <v>2.3882560000000001E-2</v>
      </c>
      <c r="FW889" s="323">
        <f t="shared" si="1736"/>
        <v>0.45750059700000001</v>
      </c>
      <c r="FX889" s="323">
        <f t="shared" si="1736"/>
        <v>0.464733273</v>
      </c>
      <c r="FY889" s="323">
        <f t="shared" si="1736"/>
        <v>0.120639353</v>
      </c>
      <c r="FZ889" s="323">
        <f t="shared" si="1736"/>
        <v>0.387695858</v>
      </c>
      <c r="GA889" s="323">
        <f t="shared" si="1736"/>
        <v>0.80063130800000004</v>
      </c>
      <c r="GB889" s="323">
        <f t="shared" si="1736"/>
        <v>1.7764598E-2</v>
      </c>
      <c r="GC889" s="323">
        <f t="shared" si="1736"/>
        <v>1.1976948709999999</v>
      </c>
      <c r="GD889" s="323">
        <f t="shared" si="1736"/>
        <v>1.489314123</v>
      </c>
      <c r="GE889" s="323">
        <f t="shared" si="1736"/>
        <v>0.113574315</v>
      </c>
      <c r="GF889" s="323">
        <f t="shared" si="1736"/>
        <v>0.52798811199999995</v>
      </c>
      <c r="GG889" s="323">
        <f t="shared" si="1736"/>
        <v>1.311857031</v>
      </c>
      <c r="GH889" s="323">
        <f t="shared" si="1736"/>
        <v>1.0606561E-2</v>
      </c>
      <c r="GI889" s="1654">
        <f t="shared" si="1736"/>
        <v>1.6374368442402361</v>
      </c>
      <c r="GJ889" s="1654">
        <f t="shared" si="1736"/>
        <v>1.59810697787657</v>
      </c>
      <c r="GK889" s="1654">
        <f t="shared" si="1736"/>
        <v>1.7708136272075328</v>
      </c>
      <c r="GL889" s="1654">
        <f t="shared" si="1736"/>
        <v>2.0149045861676038</v>
      </c>
      <c r="GM889" s="1654">
        <f t="shared" si="1736"/>
        <v>1.6306085247205253</v>
      </c>
      <c r="GN889" s="1654">
        <f t="shared" si="1736"/>
        <v>1.3600150707045875</v>
      </c>
      <c r="GO889" s="1654">
        <f t="shared" si="1736"/>
        <v>0.80405501822330661</v>
      </c>
      <c r="GP889" s="1654">
        <f t="shared" si="1736"/>
        <v>0.8296452005891426</v>
      </c>
      <c r="GQ889" s="1654">
        <f t="shared" ref="GQ889:HR889" si="1737">GQ463</f>
        <v>0.13972148506042958</v>
      </c>
      <c r="GR889" s="1654">
        <f t="shared" si="1737"/>
        <v>0.43687405882687508</v>
      </c>
      <c r="GS889" s="1654">
        <f t="shared" si="1737"/>
        <v>0.41425356359590526</v>
      </c>
      <c r="GT889" s="1654">
        <f t="shared" si="1737"/>
        <v>2.5915109609708931</v>
      </c>
      <c r="GU889" s="1654">
        <f t="shared" si="1737"/>
        <v>1.430365205</v>
      </c>
      <c r="GV889" s="1654">
        <f t="shared" si="1737"/>
        <v>1.430092511</v>
      </c>
      <c r="GW889" s="1654">
        <f t="shared" si="1737"/>
        <v>1.6196467650000002</v>
      </c>
      <c r="GX889" s="1654">
        <f t="shared" si="1737"/>
        <v>1.4264545749999999</v>
      </c>
      <c r="GY889" s="1654">
        <f t="shared" si="1737"/>
        <v>1.549524573</v>
      </c>
      <c r="GZ889" s="1654">
        <f t="shared" si="1737"/>
        <v>1.549714407</v>
      </c>
      <c r="HA889" s="1654">
        <f t="shared" si="1737"/>
        <v>1.3178086600000001</v>
      </c>
      <c r="HB889" s="1654">
        <f t="shared" si="1737"/>
        <v>1.514249913</v>
      </c>
      <c r="HC889" s="1654">
        <f t="shared" si="1737"/>
        <v>1.5481296</v>
      </c>
      <c r="HD889" s="1654">
        <f t="shared" si="1737"/>
        <v>3.1031218119999999</v>
      </c>
      <c r="HE889" s="1654">
        <f t="shared" si="1737"/>
        <v>4.7027966440000002</v>
      </c>
      <c r="HF889" s="1654">
        <f t="shared" si="1737"/>
        <v>5.2990035849999995</v>
      </c>
      <c r="HG889" s="1654">
        <f t="shared" si="1737"/>
        <v>8.7185306789999988</v>
      </c>
      <c r="HH889" s="1654">
        <f t="shared" si="1737"/>
        <v>1.3477754740000001</v>
      </c>
      <c r="HI889" s="1654">
        <f t="shared" si="1737"/>
        <v>0.13271226900000022</v>
      </c>
      <c r="HJ889" s="1654">
        <f t="shared" si="1737"/>
        <v>4.9673027960000002</v>
      </c>
      <c r="HK889" s="1654">
        <f t="shared" si="1737"/>
        <v>0.43434564800000075</v>
      </c>
      <c r="HL889" s="1654">
        <f t="shared" si="1737"/>
        <v>0.22429220799999999</v>
      </c>
      <c r="HM889" s="1654">
        <f t="shared" si="1737"/>
        <v>0.133051223</v>
      </c>
      <c r="HN889" s="1654">
        <f t="shared" si="1737"/>
        <v>4.7739958940000005</v>
      </c>
      <c r="HO889" s="1654">
        <f t="shared" si="1737"/>
        <v>5.0893511069999988</v>
      </c>
      <c r="HP889" s="1654">
        <f t="shared" si="1737"/>
        <v>3.0316629920000002</v>
      </c>
      <c r="HQ889" s="1654">
        <f t="shared" si="1737"/>
        <v>2.7088470619999998</v>
      </c>
      <c r="HR889" s="1654">
        <f t="shared" si="1737"/>
        <v>3.0547837150000001</v>
      </c>
      <c r="HS889" s="1654">
        <f t="shared" ref="HS889:HX889" si="1738">HS463</f>
        <v>0.18168267499999999</v>
      </c>
      <c r="HT889" s="1654">
        <f t="shared" si="1738"/>
        <v>0.64832840899999999</v>
      </c>
      <c r="HU889" s="1654">
        <f t="shared" si="1738"/>
        <v>10.937446123000001</v>
      </c>
      <c r="HV889" s="1654">
        <f t="shared" si="1738"/>
        <v>0.80163624300000003</v>
      </c>
      <c r="HW889" s="1654">
        <f t="shared" si="1738"/>
        <v>1.0973090379999992</v>
      </c>
      <c r="HX889" s="1654">
        <f t="shared" si="1738"/>
        <v>1.7764651199999999</v>
      </c>
      <c r="HY889" s="1654"/>
      <c r="HZ889" s="326"/>
      <c r="IA889" s="1416" t="s">
        <v>554</v>
      </c>
      <c r="IB889" s="279">
        <f>IB886-IB887</f>
        <v>4.0439866943658007</v>
      </c>
      <c r="IC889" s="279">
        <f>IC886-IC887</f>
        <v>3.7494785653416001</v>
      </c>
      <c r="ID889" s="323">
        <f t="shared" si="1720"/>
        <v>7.7934652597074008</v>
      </c>
      <c r="IE889" s="279">
        <f>IE886-IE887</f>
        <v>4.1237051414013006</v>
      </c>
      <c r="IF889" s="279">
        <f>IF886-IF887</f>
        <v>5.0473043552568004</v>
      </c>
      <c r="IG889" s="323">
        <f t="shared" si="1721"/>
        <v>9.1710094966581011</v>
      </c>
      <c r="IH889" s="279">
        <f>IH886-IH887</f>
        <v>4.7720436807225006</v>
      </c>
      <c r="II889" s="279">
        <f>II886-II887</f>
        <v>5.1971694329440545</v>
      </c>
      <c r="IJ889" s="323">
        <f t="shared" si="1722"/>
        <v>9.9692131136665552</v>
      </c>
      <c r="IK889" s="279">
        <f>IK886-IK887</f>
        <v>5.1402161187195006</v>
      </c>
      <c r="IL889" s="279">
        <f>IL886-IL887</f>
        <v>5.4968744416791306</v>
      </c>
      <c r="IM889" s="323">
        <f t="shared" si="1723"/>
        <v>10.637090560398631</v>
      </c>
      <c r="IN889" s="279">
        <f>IN886-IN887</f>
        <v>5.256180945779402</v>
      </c>
      <c r="IO889" s="279">
        <f>IO886-IO887</f>
        <v>6.173459574987433</v>
      </c>
      <c r="IP889" s="323">
        <f t="shared" si="1724"/>
        <v>11.429640520766835</v>
      </c>
      <c r="IQ889" s="279">
        <f>IQ886-IQ887</f>
        <v>5.902710531627001</v>
      </c>
      <c r="IR889" s="279">
        <f>IR886-IR887</f>
        <v>6.9814089989280017</v>
      </c>
      <c r="IS889" s="323">
        <f t="shared" si="1725"/>
        <v>12.884119530555003</v>
      </c>
      <c r="IT889" s="279">
        <f>IT886-IT887</f>
        <v>7.802326396218902</v>
      </c>
      <c r="IU889" s="279">
        <f>IU886-IU887</f>
        <v>5.8578440491116019</v>
      </c>
      <c r="IV889" s="323">
        <f t="shared" si="1726"/>
        <v>13.660170445330504</v>
      </c>
      <c r="IW889" s="327">
        <v>4.4892263879999996</v>
      </c>
      <c r="IX889" s="327">
        <f>SUM(FQ889:FV889)</f>
        <v>6.1983686459999996</v>
      </c>
      <c r="IY889" s="323">
        <f t="shared" si="1621"/>
        <v>10.687595033999999</v>
      </c>
      <c r="IZ889" s="327">
        <f t="shared" si="1699"/>
        <v>2.2489649869999999</v>
      </c>
      <c r="JA889" s="327">
        <f t="shared" si="1700"/>
        <v>4.6510350130000004</v>
      </c>
      <c r="JB889" s="323">
        <f t="shared" si="1458"/>
        <v>6.9</v>
      </c>
      <c r="JC889" s="327">
        <f t="shared" si="1624"/>
        <v>10.011885630917057</v>
      </c>
      <c r="JD889" s="327">
        <f t="shared" si="1701"/>
        <v>5.2160602872665525</v>
      </c>
      <c r="JE889" s="323">
        <f t="shared" si="1702"/>
        <v>15.227945918183609</v>
      </c>
      <c r="JF889" s="327">
        <f t="shared" si="1638"/>
        <v>9.0057980359999998</v>
      </c>
      <c r="JG889" s="327">
        <f t="shared" si="1667"/>
        <v>17.485110214000002</v>
      </c>
      <c r="JH889" s="323">
        <f t="shared" si="1703"/>
        <v>26.490908250000004</v>
      </c>
      <c r="JI889" s="327">
        <f t="shared" si="1476"/>
        <v>15.824959074000001</v>
      </c>
      <c r="JJ889" s="327">
        <f t="shared" si="1692"/>
        <v>18.791691993000001</v>
      </c>
      <c r="JK889" s="323">
        <f t="shared" si="1683"/>
        <v>34.616651066999999</v>
      </c>
      <c r="JL889" s="327">
        <f t="shared" si="1704"/>
        <v>15.442867608</v>
      </c>
      <c r="JM889" s="279">
        <f t="shared" si="1705"/>
        <v>28.309735009579803</v>
      </c>
      <c r="JN889" s="323">
        <f>FISC!AK1210</f>
        <v>43.752602617579804</v>
      </c>
      <c r="JO889" s="327">
        <f t="shared" si="1668"/>
        <v>26.785000000000004</v>
      </c>
      <c r="JP889" s="279">
        <f t="shared" si="1647"/>
        <v>23.376000000000001</v>
      </c>
      <c r="JQ889" s="323">
        <f>FISC!AL1210</f>
        <v>48.7</v>
      </c>
      <c r="JR889" s="327">
        <f t="shared" ref="JR889" si="1739">JT889*0.55</f>
        <v>26.785000000000004</v>
      </c>
      <c r="JS889" s="279">
        <f t="shared" si="1706"/>
        <v>21.914999999999999</v>
      </c>
      <c r="JT889" s="323">
        <f>FISC!AM1210</f>
        <v>48.7</v>
      </c>
      <c r="JU889" s="327">
        <f t="shared" ref="JU889" si="1740">JW889*0.55</f>
        <v>26.785000000000004</v>
      </c>
      <c r="JV889" s="279">
        <f t="shared" si="1707"/>
        <v>21.914999999999999</v>
      </c>
      <c r="JW889" s="323">
        <f>FISC!AN1210</f>
        <v>48.7</v>
      </c>
      <c r="JX889" s="327">
        <f t="shared" si="1730"/>
        <v>26.785000000000004</v>
      </c>
      <c r="JY889" s="279">
        <f t="shared" si="1708"/>
        <v>21.914999999999999</v>
      </c>
      <c r="JZ889" s="323">
        <f>FISC!AO1210</f>
        <v>48.7</v>
      </c>
      <c r="KA889" s="327">
        <f t="shared" si="1731"/>
        <v>22.093598075441594</v>
      </c>
      <c r="KB889" s="279">
        <f t="shared" si="1709"/>
        <v>18.076580243543116</v>
      </c>
      <c r="KC889" s="323">
        <f>FISC!AP1210</f>
        <v>40.170178318984711</v>
      </c>
      <c r="KD889" s="327">
        <f t="shared" si="1732"/>
        <v>22.093598075441594</v>
      </c>
      <c r="KE889" s="279">
        <f t="shared" si="1710"/>
        <v>18.076580243543116</v>
      </c>
      <c r="KF889" s="323">
        <f>FISC!AQ1210</f>
        <v>40.170178318984711</v>
      </c>
      <c r="KG889" s="327">
        <f t="shared" si="1733"/>
        <v>22.093598075441594</v>
      </c>
      <c r="KH889" s="279">
        <f t="shared" si="1711"/>
        <v>18.076580243543116</v>
      </c>
      <c r="KI889" s="323">
        <f>FISC!AR1210</f>
        <v>40.170178318984711</v>
      </c>
      <c r="KJ889" s="327">
        <f t="shared" si="1734"/>
        <v>22.093598075441594</v>
      </c>
      <c r="KK889" s="279">
        <f t="shared" si="1712"/>
        <v>18.076580243543116</v>
      </c>
      <c r="KL889" s="323">
        <f>FISC!AS1210</f>
        <v>40.170178318984711</v>
      </c>
      <c r="KM889" s="327">
        <f t="shared" si="1735"/>
        <v>22.093598075441594</v>
      </c>
      <c r="KN889" s="279">
        <f t="shared" si="1713"/>
        <v>18.076580243543116</v>
      </c>
      <c r="KO889" s="323">
        <f>FISC!AT1210</f>
        <v>40.170178318984711</v>
      </c>
      <c r="KU889" s="326"/>
      <c r="KV889" s="327"/>
    </row>
    <row r="890" spans="1:308" ht="15.3" thickBot="1">
      <c r="A890" s="279"/>
      <c r="D890" s="1418" t="s">
        <v>3053</v>
      </c>
      <c r="E890" s="323"/>
      <c r="F890" s="323"/>
      <c r="G890" s="323"/>
      <c r="H890" s="323"/>
      <c r="I890" s="323"/>
      <c r="J890" s="323"/>
      <c r="K890" s="323"/>
      <c r="L890" s="323"/>
      <c r="M890" s="323"/>
      <c r="N890" s="323"/>
      <c r="O890" s="323"/>
      <c r="P890" s="323"/>
      <c r="Q890" s="323"/>
      <c r="R890" s="323"/>
      <c r="S890" s="323"/>
      <c r="T890" s="323"/>
      <c r="U890" s="323"/>
      <c r="V890" s="323"/>
      <c r="W890" s="323"/>
      <c r="X890" s="323"/>
      <c r="Y890" s="323"/>
      <c r="Z890" s="323"/>
      <c r="AA890" s="323"/>
      <c r="AB890" s="323"/>
      <c r="AC890" s="323"/>
      <c r="AD890" s="323"/>
      <c r="AE890" s="323"/>
      <c r="AF890" s="323"/>
      <c r="AG890" s="323"/>
      <c r="AH890" s="323"/>
      <c r="AI890" s="323"/>
      <c r="AJ890" s="323"/>
      <c r="AK890" s="323"/>
      <c r="AL890" s="323"/>
      <c r="AM890" s="323"/>
      <c r="AN890" s="323"/>
      <c r="AO890" s="323"/>
      <c r="AP890" s="323"/>
      <c r="AQ890" s="323"/>
      <c r="AR890" s="323"/>
      <c r="AS890" s="323"/>
      <c r="AT890" s="323"/>
      <c r="AU890" s="323"/>
      <c r="AV890" s="323"/>
      <c r="AW890" s="323"/>
      <c r="AX890" s="323"/>
      <c r="AY890" s="323"/>
      <c r="AZ890" s="323"/>
      <c r="BA890" s="323"/>
      <c r="BB890" s="323"/>
      <c r="BC890" s="323"/>
      <c r="BD890" s="323"/>
      <c r="BE890" s="323"/>
      <c r="BF890" s="323"/>
      <c r="BG890" s="323"/>
      <c r="BH890" s="323"/>
      <c r="BI890" s="323"/>
      <c r="BJ890" s="323"/>
      <c r="BK890" s="323"/>
      <c r="BL890" s="323"/>
      <c r="BM890" s="323"/>
      <c r="BN890" s="323"/>
      <c r="BO890" s="323"/>
      <c r="BP890" s="323"/>
      <c r="BQ890" s="323"/>
      <c r="BR890" s="323"/>
      <c r="BS890" s="323"/>
      <c r="BT890" s="323"/>
      <c r="BU890" s="323"/>
      <c r="BV890" s="323"/>
      <c r="BW890" s="323"/>
      <c r="BX890" s="323"/>
      <c r="BY890" s="323"/>
      <c r="BZ890" s="323"/>
      <c r="CA890" s="323"/>
      <c r="CB890" s="323"/>
      <c r="CC890" s="323"/>
      <c r="CD890" s="329"/>
      <c r="CE890" s="323">
        <v>0</v>
      </c>
      <c r="CF890" s="323">
        <v>0</v>
      </c>
      <c r="CG890" s="323">
        <v>0</v>
      </c>
      <c r="CH890" s="323">
        <v>0</v>
      </c>
      <c r="CI890" s="323">
        <v>0</v>
      </c>
      <c r="CJ890" s="323">
        <v>0</v>
      </c>
      <c r="CK890" s="323">
        <v>0</v>
      </c>
      <c r="CL890" s="323">
        <v>0</v>
      </c>
      <c r="CM890" s="323">
        <v>0</v>
      </c>
      <c r="CN890" s="323">
        <v>0</v>
      </c>
      <c r="CO890" s="323">
        <v>0</v>
      </c>
      <c r="CP890" s="325">
        <v>0</v>
      </c>
      <c r="CQ890" s="323"/>
      <c r="CR890" s="323"/>
      <c r="CS890" s="323"/>
      <c r="CT890" s="323"/>
      <c r="CU890" s="323"/>
      <c r="CV890" s="323"/>
      <c r="CW890" s="323"/>
      <c r="CX890" s="323"/>
      <c r="CY890" s="323"/>
      <c r="CZ890" s="323"/>
      <c r="DA890" s="323"/>
      <c r="DB890" s="1269"/>
      <c r="DC890" s="323"/>
      <c r="DD890" s="323"/>
      <c r="DE890" s="323"/>
      <c r="DF890" s="323"/>
      <c r="DG890" s="323"/>
      <c r="DH890" s="323"/>
      <c r="DI890" s="323"/>
      <c r="DJ890" s="323"/>
      <c r="DK890" s="323"/>
      <c r="DL890" s="323"/>
      <c r="DM890" s="323"/>
      <c r="DN890" s="325"/>
      <c r="DO890" s="323"/>
      <c r="DP890" s="323"/>
      <c r="DQ890" s="323"/>
      <c r="DR890" s="323"/>
      <c r="DS890" s="323"/>
      <c r="DT890" s="323"/>
      <c r="DU890" s="323"/>
      <c r="DV890" s="323"/>
      <c r="DW890" s="323"/>
      <c r="DX890" s="323"/>
      <c r="DY890" s="323"/>
      <c r="DZ890" s="325"/>
      <c r="EA890" s="323"/>
      <c r="EB890" s="323"/>
      <c r="EC890" s="323"/>
      <c r="ED890" s="323"/>
      <c r="EE890" s="323"/>
      <c r="EF890" s="323"/>
      <c r="EG890" s="323"/>
      <c r="EH890" s="323"/>
      <c r="EI890" s="323"/>
      <c r="EJ890" s="323"/>
      <c r="EK890" s="323"/>
      <c r="EL890" s="325"/>
      <c r="EM890" s="323"/>
      <c r="EN890" s="323"/>
      <c r="EO890" s="323"/>
      <c r="EP890" s="323"/>
      <c r="EQ890" s="323"/>
      <c r="ER890" s="323"/>
      <c r="ES890" s="323"/>
      <c r="ET890" s="323"/>
      <c r="EU890" s="323"/>
      <c r="EV890" s="323"/>
      <c r="EW890" s="323"/>
      <c r="EX890" s="325"/>
      <c r="EY890" s="323"/>
      <c r="EZ890" s="323"/>
      <c r="FA890" s="323"/>
      <c r="FB890" s="323"/>
      <c r="FC890" s="323"/>
      <c r="FD890" s="323"/>
      <c r="FE890" s="323"/>
      <c r="FF890" s="323"/>
      <c r="FG890" s="323"/>
      <c r="FH890" s="323"/>
      <c r="FI890" s="323"/>
      <c r="FJ890" s="325"/>
      <c r="FK890" s="323">
        <f t="shared" ref="FK890:GP890" si="1741">FK464</f>
        <v>81.961157436999997</v>
      </c>
      <c r="FL890" s="323">
        <f t="shared" si="1741"/>
        <v>32.231215093000003</v>
      </c>
      <c r="FM890" s="323">
        <f t="shared" si="1741"/>
        <v>38.503959944000002</v>
      </c>
      <c r="FN890" s="323">
        <f t="shared" si="1741"/>
        <v>36.204567167</v>
      </c>
      <c r="FO890" s="323">
        <f t="shared" si="1741"/>
        <v>43.507878181000002</v>
      </c>
      <c r="FP890" s="323">
        <f t="shared" si="1741"/>
        <v>44.902980618000001</v>
      </c>
      <c r="FQ890" s="323">
        <f t="shared" si="1741"/>
        <v>30.637659040999999</v>
      </c>
      <c r="FR890" s="323">
        <f t="shared" si="1741"/>
        <v>52.207803991000006</v>
      </c>
      <c r="FS890" s="323">
        <f t="shared" si="1741"/>
        <v>33.192140019</v>
      </c>
      <c r="FT890" s="323">
        <f t="shared" si="1741"/>
        <v>42.673742615666661</v>
      </c>
      <c r="FU890" s="323">
        <f t="shared" si="1741"/>
        <v>53.367921292666665</v>
      </c>
      <c r="FV890" s="323">
        <f t="shared" si="1741"/>
        <v>30.473241539666667</v>
      </c>
      <c r="FW890" s="323">
        <f t="shared" si="1741"/>
        <v>47.608307402999998</v>
      </c>
      <c r="FX890" s="323">
        <f t="shared" si="1741"/>
        <v>49.866267618000002</v>
      </c>
      <c r="FY890" s="323">
        <f t="shared" si="1741"/>
        <v>48.145946479000003</v>
      </c>
      <c r="FZ890" s="323">
        <f t="shared" si="1741"/>
        <v>44.032927839999999</v>
      </c>
      <c r="GA890" s="323">
        <f t="shared" si="1741"/>
        <v>40.076464637999997</v>
      </c>
      <c r="GB890" s="323">
        <f t="shared" si="1741"/>
        <v>57.962242615000008</v>
      </c>
      <c r="GC890" s="323">
        <f t="shared" si="1741"/>
        <v>61.870047727999996</v>
      </c>
      <c r="GD890" s="323">
        <f t="shared" si="1741"/>
        <v>60.362746835999999</v>
      </c>
      <c r="GE890" s="323">
        <f t="shared" si="1741"/>
        <v>61.098362631000001</v>
      </c>
      <c r="GF890" s="323">
        <f t="shared" si="1741"/>
        <v>50.56239815433333</v>
      </c>
      <c r="GG890" s="323">
        <f t="shared" si="1741"/>
        <v>66.613034873333319</v>
      </c>
      <c r="GH890" s="323">
        <f t="shared" si="1741"/>
        <v>35.406809047993328</v>
      </c>
      <c r="GI890" s="1654">
        <f t="shared" si="1741"/>
        <v>63.315470346478669</v>
      </c>
      <c r="GJ890" s="1654">
        <f t="shared" si="1741"/>
        <v>61.79468559301533</v>
      </c>
      <c r="GK890" s="1654">
        <f t="shared" si="1741"/>
        <v>68.472807422763253</v>
      </c>
      <c r="GL890" s="1654">
        <f t="shared" si="1741"/>
        <v>77.911176864762012</v>
      </c>
      <c r="GM890" s="1654">
        <f t="shared" si="1741"/>
        <v>63.051436796978862</v>
      </c>
      <c r="GN890" s="1654">
        <f t="shared" si="1741"/>
        <v>52.588284050683548</v>
      </c>
      <c r="GO890" s="1654">
        <f t="shared" si="1741"/>
        <v>80.329184199741931</v>
      </c>
      <c r="GP890" s="1654">
        <f t="shared" si="1741"/>
        <v>52.729687571944901</v>
      </c>
      <c r="GQ890" s="1654">
        <f t="shared" ref="GQ890:HR890" si="1742">GQ464</f>
        <v>57.00291162264103</v>
      </c>
      <c r="GR890" s="1654">
        <f t="shared" si="1742"/>
        <v>145.12573419833842</v>
      </c>
      <c r="GS890" s="1654">
        <f t="shared" si="1742"/>
        <v>124.40529978484267</v>
      </c>
      <c r="GT890" s="1654">
        <f t="shared" si="1742"/>
        <v>70.315429400650288</v>
      </c>
      <c r="GU890" s="1654">
        <f t="shared" si="1742"/>
        <v>68.019836263000002</v>
      </c>
      <c r="GV890" s="1654">
        <f t="shared" si="1742"/>
        <v>77.914390959000002</v>
      </c>
      <c r="GW890" s="1654">
        <f t="shared" si="1742"/>
        <v>70.399929954000001</v>
      </c>
      <c r="GX890" s="1654">
        <f t="shared" si="1742"/>
        <v>54.054448450999999</v>
      </c>
      <c r="GY890" s="1654">
        <f t="shared" si="1742"/>
        <v>55.463675532999993</v>
      </c>
      <c r="GZ890" s="1654">
        <f t="shared" si="1742"/>
        <v>55.065857573000002</v>
      </c>
      <c r="HA890" s="1654">
        <f t="shared" si="1742"/>
        <v>82.585276563000008</v>
      </c>
      <c r="HB890" s="1654">
        <f t="shared" si="1742"/>
        <v>76.793276937000002</v>
      </c>
      <c r="HC890" s="1654">
        <f t="shared" si="1742"/>
        <v>64.503661109999996</v>
      </c>
      <c r="HD890" s="1654">
        <f t="shared" si="1742"/>
        <v>92.690899384000005</v>
      </c>
      <c r="HE890" s="1654">
        <f t="shared" si="1742"/>
        <v>92.963413351</v>
      </c>
      <c r="HF890" s="1654">
        <f t="shared" si="1742"/>
        <v>134.74191503700001</v>
      </c>
      <c r="HG890" s="1654">
        <f t="shared" si="1742"/>
        <v>64.142504721999998</v>
      </c>
      <c r="HH890" s="1654">
        <f t="shared" si="1742"/>
        <v>82.640213967999998</v>
      </c>
      <c r="HI890" s="1654">
        <f t="shared" si="1742"/>
        <v>93.523515953</v>
      </c>
      <c r="HJ890" s="1654">
        <f t="shared" si="1742"/>
        <v>83.845717028999999</v>
      </c>
      <c r="HK890" s="1654">
        <f t="shared" si="1742"/>
        <v>63.962566420999998</v>
      </c>
      <c r="HL890" s="1654">
        <f t="shared" si="1742"/>
        <v>73.634937096000002</v>
      </c>
      <c r="HM890" s="1654">
        <f t="shared" si="1742"/>
        <v>89.618628291999997</v>
      </c>
      <c r="HN890" s="1654">
        <f t="shared" si="1742"/>
        <v>79.804015207000006</v>
      </c>
      <c r="HO890" s="1654">
        <f t="shared" si="1742"/>
        <v>66.833022557000007</v>
      </c>
      <c r="HP890" s="1654">
        <f t="shared" si="1742"/>
        <v>75.9326600396667</v>
      </c>
      <c r="HQ890" s="1654">
        <f t="shared" si="1742"/>
        <v>80.313830792666707</v>
      </c>
      <c r="HR890" s="1654">
        <f t="shared" si="1742"/>
        <v>82.957965152666702</v>
      </c>
      <c r="HS890" s="1654">
        <f t="shared" ref="HS890:HX890" si="1743">HS464</f>
        <v>61.934508121999997</v>
      </c>
      <c r="HT890" s="1654">
        <f t="shared" si="1743"/>
        <v>143.117992429</v>
      </c>
      <c r="HU890" s="1654">
        <f t="shared" si="1743"/>
        <v>90.627016173000001</v>
      </c>
      <c r="HV890" s="1654">
        <f t="shared" si="1743"/>
        <v>70.168329368000002</v>
      </c>
      <c r="HW890" s="1654">
        <f t="shared" si="1743"/>
        <v>81.213860616999995</v>
      </c>
      <c r="HX890" s="1654">
        <f t="shared" si="1743"/>
        <v>81.88291512699999</v>
      </c>
      <c r="HY890" s="1654"/>
      <c r="HZ890" s="326"/>
      <c r="IA890" s="1418" t="s">
        <v>3053</v>
      </c>
      <c r="IB890" s="279">
        <f>IB885-IB886</f>
        <v>137.76218409377998</v>
      </c>
      <c r="IC890" s="279">
        <f>IC885-IC886</f>
        <v>127.72948958855999</v>
      </c>
      <c r="ID890" s="323">
        <f t="shared" si="1720"/>
        <v>265.49167368233998</v>
      </c>
      <c r="IE890" s="279">
        <f>IE885-IE886</f>
        <v>140.47786745433001</v>
      </c>
      <c r="IF890" s="279">
        <f>IF885-IF886</f>
        <v>171.94113737687999</v>
      </c>
      <c r="IG890" s="323">
        <f t="shared" si="1721"/>
        <v>312.41900483121003</v>
      </c>
      <c r="IH890" s="279">
        <f>IH885-IH886</f>
        <v>162.56412538724999</v>
      </c>
      <c r="II890" s="279">
        <f>II885-II886</f>
        <v>177.04643123216007</v>
      </c>
      <c r="IJ890" s="323">
        <f t="shared" si="1722"/>
        <v>339.61055661941009</v>
      </c>
      <c r="IK890" s="279">
        <f>IK885-IK886</f>
        <v>175.10626338494998</v>
      </c>
      <c r="IL890" s="279">
        <f>IL885-IL886</f>
        <v>187.25616229895934</v>
      </c>
      <c r="IM890" s="323">
        <f t="shared" si="1723"/>
        <v>362.36242568390935</v>
      </c>
      <c r="IN890" s="279">
        <f>IN885-IN886</f>
        <v>179.05671353754002</v>
      </c>
      <c r="IO890" s="279">
        <f>IO885-IO886</f>
        <v>210.30466684023119</v>
      </c>
      <c r="IP890" s="323">
        <f t="shared" si="1724"/>
        <v>389.36138037777118</v>
      </c>
      <c r="IQ890" s="279">
        <f>IQ885-IQ886</f>
        <v>201.08134778070001</v>
      </c>
      <c r="IR890" s="279">
        <f>IR885-IR886</f>
        <v>237.82821864480002</v>
      </c>
      <c r="IS890" s="323">
        <f t="shared" si="1725"/>
        <v>438.90956642550003</v>
      </c>
      <c r="IT890" s="279">
        <f>IT885-IT886</f>
        <v>265.79353657449002</v>
      </c>
      <c r="IU890" s="279">
        <f>IU885-IU886</f>
        <v>199.55292914556003</v>
      </c>
      <c r="IV890" s="323">
        <f t="shared" si="1726"/>
        <v>465.34646572005005</v>
      </c>
      <c r="IW890" s="327">
        <v>275.691249105</v>
      </c>
      <c r="IX890" s="327">
        <v>66.599999999999994</v>
      </c>
      <c r="IY890" s="323">
        <f t="shared" si="1621"/>
        <v>342.29124910500002</v>
      </c>
      <c r="IZ890" s="327">
        <f t="shared" si="1699"/>
        <v>287.69215659300005</v>
      </c>
      <c r="JA890" s="327">
        <f t="shared" si="1700"/>
        <v>335.91339927065997</v>
      </c>
      <c r="JB890" s="323">
        <f t="shared" si="1458"/>
        <v>623.60555586366002</v>
      </c>
      <c r="JC890" s="327">
        <f t="shared" si="1624"/>
        <v>387.1338610746817</v>
      </c>
      <c r="JD890" s="327">
        <f t="shared" si="1701"/>
        <v>529.9082467781592</v>
      </c>
      <c r="JE890" s="323">
        <f t="shared" si="1702"/>
        <v>917.0421078528409</v>
      </c>
      <c r="JF890" s="327">
        <f t="shared" si="1638"/>
        <v>380.91813873300003</v>
      </c>
      <c r="JG890" s="327">
        <f t="shared" si="1667"/>
        <v>544.27844238199998</v>
      </c>
      <c r="JH890" s="323">
        <f t="shared" si="1703"/>
        <v>925.19658111500007</v>
      </c>
      <c r="JI890" s="327">
        <f t="shared" ref="JI890:JI954" si="1744">SUM(HG890:HL890)</f>
        <v>461.749455189</v>
      </c>
      <c r="JJ890" s="327">
        <f t="shared" si="1692"/>
        <v>475.46012204100009</v>
      </c>
      <c r="JK890" s="323">
        <f t="shared" si="1683"/>
        <v>937.20957723000015</v>
      </c>
      <c r="JL890" s="327">
        <f t="shared" si="1704"/>
        <v>528.9446218359999</v>
      </c>
      <c r="JM890" s="279">
        <f t="shared" si="1705"/>
        <v>523.38660233162545</v>
      </c>
      <c r="JN890" s="323">
        <f>FISC!AK1211</f>
        <v>1052.3312241676254</v>
      </c>
      <c r="JO890" s="327">
        <f>JQ890*0.553132120132523</f>
        <v>682.77225391958018</v>
      </c>
      <c r="JP890" s="279">
        <f t="shared" si="1647"/>
        <v>592.49982048209131</v>
      </c>
      <c r="JQ890" s="323">
        <f>FISC!AL1211</f>
        <v>1234.374626004357</v>
      </c>
      <c r="JR890" s="327">
        <f>JT890*0.553132120132523</f>
        <v>810.29582604349764</v>
      </c>
      <c r="JS890" s="279">
        <f t="shared" si="1706"/>
        <v>654.62692306274073</v>
      </c>
      <c r="JT890" s="323">
        <f>FISC!AM1211</f>
        <v>1464.9227491062384</v>
      </c>
      <c r="JU890" s="327">
        <f>JW890*0.553132120132523</f>
        <v>915.34508314719938</v>
      </c>
      <c r="JV890" s="279">
        <f t="shared" si="1707"/>
        <v>739.49478210578036</v>
      </c>
      <c r="JW890" s="323">
        <f>FISC!AN1211</f>
        <v>1654.8398652529797</v>
      </c>
      <c r="JX890" s="327">
        <f>JZ890*0.553132120132523</f>
        <v>1126.3623324512178</v>
      </c>
      <c r="JY890" s="279">
        <f t="shared" si="1708"/>
        <v>909.97273371951292</v>
      </c>
      <c r="JZ890" s="323">
        <f>FISC!AO1211</f>
        <v>2036.3350661707307</v>
      </c>
      <c r="KA890" s="327">
        <f>KC890*0.553132120132523</f>
        <v>1272.7758885334724</v>
      </c>
      <c r="KB890" s="279">
        <f t="shared" si="1709"/>
        <v>1028.2582445567059</v>
      </c>
      <c r="KC890" s="323">
        <f>FISC!AP1211</f>
        <v>2301.0341330901783</v>
      </c>
      <c r="KD890" s="327">
        <f>KF890*0.553132120132523</f>
        <v>1518.8593385605234</v>
      </c>
      <c r="KE890" s="279">
        <f t="shared" si="1710"/>
        <v>1227.0657004638335</v>
      </c>
      <c r="KF890" s="323">
        <f>FISC!AQ1211</f>
        <v>2745.9250390243569</v>
      </c>
      <c r="KG890" s="327">
        <f>KI890*0.553132120132523</f>
        <v>1779.8259100138382</v>
      </c>
      <c r="KH890" s="279">
        <f t="shared" si="1711"/>
        <v>1437.8970267547154</v>
      </c>
      <c r="KI890" s="323">
        <f>FISC!AR1211</f>
        <v>3217.7229367685536</v>
      </c>
      <c r="KJ890" s="327">
        <f>KL890*0.553132120132523</f>
        <v>2084.8767299291276</v>
      </c>
      <c r="KK890" s="279">
        <f t="shared" si="1712"/>
        <v>1684.3434148522301</v>
      </c>
      <c r="KL890" s="323">
        <f>FISC!AS1211</f>
        <v>3769.2201447813577</v>
      </c>
      <c r="KM890" s="327">
        <f>KO890*0.553132120132523</f>
        <v>2867.0130777219729</v>
      </c>
      <c r="KN890" s="279">
        <f t="shared" si="1713"/>
        <v>2316.2206803087038</v>
      </c>
      <c r="KO890" s="323">
        <f>FISC!AT1211</f>
        <v>5183.2337580306767</v>
      </c>
      <c r="KU890" s="326"/>
      <c r="KV890" s="327"/>
    </row>
    <row r="891" spans="1:308" ht="15.3" thickBot="1">
      <c r="A891" s="279"/>
      <c r="D891" s="1416" t="s">
        <v>553</v>
      </c>
      <c r="E891" s="323"/>
      <c r="F891" s="323"/>
      <c r="G891" s="323"/>
      <c r="H891" s="323"/>
      <c r="I891" s="323"/>
      <c r="J891" s="323"/>
      <c r="K891" s="323"/>
      <c r="L891" s="323"/>
      <c r="M891" s="323"/>
      <c r="N891" s="323"/>
      <c r="O891" s="323"/>
      <c r="P891" s="323"/>
      <c r="Q891" s="323"/>
      <c r="R891" s="323"/>
      <c r="S891" s="323"/>
      <c r="T891" s="323"/>
      <c r="U891" s="323"/>
      <c r="V891" s="323"/>
      <c r="W891" s="323"/>
      <c r="X891" s="323"/>
      <c r="Y891" s="323"/>
      <c r="Z891" s="323"/>
      <c r="AA891" s="323"/>
      <c r="AB891" s="323"/>
      <c r="AC891" s="323"/>
      <c r="AD891" s="323"/>
      <c r="AE891" s="323"/>
      <c r="AF891" s="323"/>
      <c r="AG891" s="323"/>
      <c r="AH891" s="323"/>
      <c r="AI891" s="323"/>
      <c r="AJ891" s="323"/>
      <c r="AK891" s="323"/>
      <c r="AL891" s="323"/>
      <c r="AM891" s="323"/>
      <c r="AN891" s="323"/>
      <c r="AO891" s="323"/>
      <c r="AP891" s="323"/>
      <c r="AQ891" s="323"/>
      <c r="AR891" s="323"/>
      <c r="AS891" s="323"/>
      <c r="AT891" s="323"/>
      <c r="AU891" s="323"/>
      <c r="AV891" s="323"/>
      <c r="AW891" s="323"/>
      <c r="AX891" s="323"/>
      <c r="AY891" s="323"/>
      <c r="AZ891" s="323"/>
      <c r="BA891" s="323"/>
      <c r="BB891" s="323"/>
      <c r="BC891" s="323"/>
      <c r="BD891" s="323"/>
      <c r="BE891" s="323"/>
      <c r="BF891" s="323"/>
      <c r="BG891" s="323"/>
      <c r="BH891" s="323"/>
      <c r="BI891" s="323"/>
      <c r="BJ891" s="323"/>
      <c r="BK891" s="323"/>
      <c r="BL891" s="323"/>
      <c r="BM891" s="323"/>
      <c r="BN891" s="323"/>
      <c r="BO891" s="323"/>
      <c r="BP891" s="323"/>
      <c r="BQ891" s="323"/>
      <c r="BR891" s="323"/>
      <c r="BS891" s="323"/>
      <c r="BT891" s="323"/>
      <c r="BU891" s="323"/>
      <c r="BV891" s="323"/>
      <c r="BW891" s="323"/>
      <c r="BX891" s="323"/>
      <c r="BY891" s="323"/>
      <c r="BZ891" s="323"/>
      <c r="CA891" s="323"/>
      <c r="CB891" s="323"/>
      <c r="CC891" s="323"/>
      <c r="CD891" s="329"/>
      <c r="CE891" s="323">
        <v>0</v>
      </c>
      <c r="CF891" s="323">
        <v>0</v>
      </c>
      <c r="CG891" s="323">
        <v>0</v>
      </c>
      <c r="CH891" s="323">
        <v>0</v>
      </c>
      <c r="CI891" s="323">
        <v>0</v>
      </c>
      <c r="CJ891" s="323">
        <v>0</v>
      </c>
      <c r="CK891" s="323">
        <v>0</v>
      </c>
      <c r="CL891" s="323">
        <v>0</v>
      </c>
      <c r="CM891" s="323">
        <v>0</v>
      </c>
      <c r="CN891" s="323">
        <v>0</v>
      </c>
      <c r="CO891" s="323">
        <v>0</v>
      </c>
      <c r="CP891" s="325">
        <v>0</v>
      </c>
      <c r="CQ891" s="323"/>
      <c r="CR891" s="323"/>
      <c r="CS891" s="323"/>
      <c r="CT891" s="323"/>
      <c r="CU891" s="323"/>
      <c r="CV891" s="323"/>
      <c r="CW891" s="323"/>
      <c r="CX891" s="323"/>
      <c r="CY891" s="323"/>
      <c r="CZ891" s="323"/>
      <c r="DA891" s="323"/>
      <c r="DB891" s="1269"/>
      <c r="DC891" s="323"/>
      <c r="DD891" s="323"/>
      <c r="DE891" s="323"/>
      <c r="DF891" s="323"/>
      <c r="DG891" s="323"/>
      <c r="DH891" s="323"/>
      <c r="DI891" s="323"/>
      <c r="DJ891" s="323"/>
      <c r="DK891" s="323"/>
      <c r="DL891" s="323"/>
      <c r="DM891" s="323"/>
      <c r="DN891" s="325"/>
      <c r="DO891" s="323"/>
      <c r="DP891" s="323"/>
      <c r="DQ891" s="323"/>
      <c r="DR891" s="323"/>
      <c r="DS891" s="323"/>
      <c r="DT891" s="323"/>
      <c r="DU891" s="323"/>
      <c r="DV891" s="323"/>
      <c r="DW891" s="323"/>
      <c r="DX891" s="323"/>
      <c r="DY891" s="323"/>
      <c r="DZ891" s="325"/>
      <c r="EA891" s="323"/>
      <c r="EB891" s="323"/>
      <c r="EC891" s="323"/>
      <c r="ED891" s="323"/>
      <c r="EE891" s="323"/>
      <c r="EF891" s="323"/>
      <c r="EG891" s="323"/>
      <c r="EH891" s="323"/>
      <c r="EI891" s="323"/>
      <c r="EJ891" s="323"/>
      <c r="EK891" s="323"/>
      <c r="EL891" s="325"/>
      <c r="EM891" s="323"/>
      <c r="EN891" s="323"/>
      <c r="EO891" s="323"/>
      <c r="EP891" s="323"/>
      <c r="EQ891" s="323"/>
      <c r="ER891" s="323"/>
      <c r="ES891" s="323"/>
      <c r="ET891" s="323"/>
      <c r="EU891" s="323"/>
      <c r="EV891" s="323"/>
      <c r="EW891" s="323"/>
      <c r="EX891" s="325"/>
      <c r="EY891" s="323"/>
      <c r="EZ891" s="323"/>
      <c r="FA891" s="323"/>
      <c r="FB891" s="323"/>
      <c r="FC891" s="323"/>
      <c r="FD891" s="323"/>
      <c r="FE891" s="323"/>
      <c r="FF891" s="323"/>
      <c r="FG891" s="323"/>
      <c r="FH891" s="323"/>
      <c r="FI891" s="323"/>
      <c r="FJ891" s="323"/>
      <c r="FK891" s="323">
        <f t="shared" ref="FK891:GP891" si="1745">FK465</f>
        <v>21.013475028999999</v>
      </c>
      <c r="FL891" s="1623">
        <f t="shared" si="1745"/>
        <v>15.359581321</v>
      </c>
      <c r="FM891" s="1623">
        <f t="shared" si="1745"/>
        <v>28.156760133999999</v>
      </c>
      <c r="FN891" s="1623">
        <f t="shared" si="1745"/>
        <v>20.497816748999998</v>
      </c>
      <c r="FO891" s="1623">
        <f t="shared" si="1745"/>
        <v>25.275483776000002</v>
      </c>
      <c r="FP891" s="1623">
        <f t="shared" si="1745"/>
        <v>26.235161446999999</v>
      </c>
      <c r="FQ891" s="1623">
        <f t="shared" si="1745"/>
        <v>15.928431709</v>
      </c>
      <c r="FR891" s="1623">
        <f t="shared" si="1745"/>
        <v>35.645222158999999</v>
      </c>
      <c r="FS891" s="1623">
        <f t="shared" si="1745"/>
        <v>24.373610070000002</v>
      </c>
      <c r="FT891" s="1623">
        <f t="shared" si="1745"/>
        <v>27.144436080999998</v>
      </c>
      <c r="FU891" s="1623">
        <f t="shared" si="1745"/>
        <v>34.213692524999999</v>
      </c>
      <c r="FV891" s="1624">
        <f t="shared" si="1745"/>
        <v>19.364294269999998</v>
      </c>
      <c r="FW891" s="1624">
        <f t="shared" si="1745"/>
        <v>29.781235358</v>
      </c>
      <c r="FX891" s="1624">
        <f t="shared" si="1745"/>
        <v>36.793182447</v>
      </c>
      <c r="FY891" s="1624">
        <f t="shared" si="1745"/>
        <v>34.093462453000001</v>
      </c>
      <c r="FZ891" s="1624">
        <f t="shared" si="1745"/>
        <v>31.306597431</v>
      </c>
      <c r="GA891" s="1624">
        <f t="shared" si="1745"/>
        <v>30.761781915999997</v>
      </c>
      <c r="GB891" s="1624">
        <f t="shared" si="1745"/>
        <v>44.081339828000004</v>
      </c>
      <c r="GC891" s="1624">
        <f t="shared" si="1745"/>
        <v>49.436025641999997</v>
      </c>
      <c r="GD891" s="1624">
        <f t="shared" si="1745"/>
        <v>47.410516025</v>
      </c>
      <c r="GE891" s="1624">
        <f t="shared" si="1745"/>
        <v>53.783933732000001</v>
      </c>
      <c r="GF891" s="1624">
        <f t="shared" si="1745"/>
        <v>40.624879982333326</v>
      </c>
      <c r="GG891" s="1624">
        <f t="shared" si="1745"/>
        <v>56.515140672333317</v>
      </c>
      <c r="GH891" s="1624">
        <f t="shared" si="1745"/>
        <v>33.594453238993324</v>
      </c>
      <c r="GI891" s="1654">
        <f t="shared" si="1745"/>
        <v>45.013457499478669</v>
      </c>
      <c r="GJ891" s="1654">
        <f t="shared" si="1745"/>
        <v>49.620369932015329</v>
      </c>
      <c r="GK891" s="1654">
        <f t="shared" si="1745"/>
        <v>46.370719951763249</v>
      </c>
      <c r="GL891" s="1654">
        <f t="shared" si="1745"/>
        <v>65.844789846095338</v>
      </c>
      <c r="GM891" s="1654">
        <f t="shared" si="1745"/>
        <v>49.375770024312182</v>
      </c>
      <c r="GN891" s="1654">
        <f t="shared" si="1745"/>
        <v>33.954399937016873</v>
      </c>
      <c r="GO891" s="1654">
        <f t="shared" si="1745"/>
        <v>61.079093148709482</v>
      </c>
      <c r="GP891" s="1654">
        <f t="shared" si="1745"/>
        <v>33.765329866053001</v>
      </c>
      <c r="GQ891" s="1654">
        <f t="shared" ref="GQ891:HR891" si="1746">GQ465</f>
        <v>34.389260875581215</v>
      </c>
      <c r="GR891" s="1654">
        <f t="shared" si="1746"/>
        <v>97.794277297681461</v>
      </c>
      <c r="GS891" s="1654">
        <f t="shared" si="1746"/>
        <v>108.82744907665959</v>
      </c>
      <c r="GT891" s="1654">
        <f t="shared" si="1746"/>
        <v>70.229227827890327</v>
      </c>
      <c r="GU891" s="1654">
        <f t="shared" si="1746"/>
        <v>45.722296176</v>
      </c>
      <c r="GV891" s="1654">
        <f t="shared" si="1746"/>
        <v>41.990718362999999</v>
      </c>
      <c r="GW891" s="1654">
        <f t="shared" si="1746"/>
        <v>59.900200235</v>
      </c>
      <c r="GX891" s="1654">
        <f t="shared" si="1746"/>
        <v>43.570037036999999</v>
      </c>
      <c r="GY891" s="1654">
        <f t="shared" si="1746"/>
        <v>47.172167208999994</v>
      </c>
      <c r="GZ891" s="1654">
        <f t="shared" si="1746"/>
        <v>45.029397557999999</v>
      </c>
      <c r="HA891" s="1654">
        <f t="shared" si="1746"/>
        <v>62.350099483000001</v>
      </c>
      <c r="HB891" s="1654">
        <f t="shared" si="1746"/>
        <v>58.620192950000003</v>
      </c>
      <c r="HC891" s="1654">
        <f t="shared" si="1746"/>
        <v>48.328629614</v>
      </c>
      <c r="HD891" s="1654">
        <f t="shared" si="1746"/>
        <v>60.701139401000006</v>
      </c>
      <c r="HE891" s="1654">
        <f t="shared" si="1746"/>
        <v>55.675628447999998</v>
      </c>
      <c r="HF891" s="1654">
        <f t="shared" si="1746"/>
        <v>134.66983843700001</v>
      </c>
      <c r="HG891" s="1654">
        <f t="shared" si="1746"/>
        <v>55.128630242</v>
      </c>
      <c r="HH891" s="1654">
        <f t="shared" si="1746"/>
        <v>59.750155153999998</v>
      </c>
      <c r="HI891" s="1654">
        <f t="shared" si="1746"/>
        <v>53.269613438</v>
      </c>
      <c r="HJ891" s="1654">
        <f t="shared" si="1746"/>
        <v>68.00249186100001</v>
      </c>
      <c r="HK891" s="1654">
        <f t="shared" si="1746"/>
        <v>58.623075753999998</v>
      </c>
      <c r="HL891" s="1654">
        <f t="shared" si="1746"/>
        <v>70.990658312999997</v>
      </c>
      <c r="HM891" s="1654">
        <f t="shared" si="1746"/>
        <v>70.005075602000005</v>
      </c>
      <c r="HN891" s="1654">
        <f t="shared" si="1746"/>
        <v>48.783177815000002</v>
      </c>
      <c r="HO891" s="1654">
        <f t="shared" si="1746"/>
        <v>58.789082512</v>
      </c>
      <c r="HP891" s="1654">
        <f t="shared" si="1746"/>
        <v>67.07144389966669</v>
      </c>
      <c r="HQ891" s="1654">
        <f t="shared" si="1746"/>
        <v>74.610172823666701</v>
      </c>
      <c r="HR891" s="1654">
        <f t="shared" si="1746"/>
        <v>63.535615975666701</v>
      </c>
      <c r="HS891" s="1654">
        <f t="shared" ref="HS891:HX891" si="1747">HS465</f>
        <v>51.698453528999998</v>
      </c>
      <c r="HT891" s="1654">
        <f t="shared" si="1747"/>
        <v>118.706338113</v>
      </c>
      <c r="HU891" s="1654">
        <f t="shared" si="1747"/>
        <v>54.968163750000002</v>
      </c>
      <c r="HV891" s="1654">
        <f t="shared" si="1747"/>
        <v>60.059080735000009</v>
      </c>
      <c r="HW891" s="1654">
        <f t="shared" si="1747"/>
        <v>65.026827320999999</v>
      </c>
      <c r="HX891" s="1654">
        <f t="shared" si="1747"/>
        <v>67.688523919999994</v>
      </c>
      <c r="HY891" s="1654"/>
      <c r="HZ891" s="326"/>
      <c r="IA891" s="1416" t="s">
        <v>553</v>
      </c>
      <c r="IB891" s="279">
        <f>IB890*77%</f>
        <v>106.07688175221058</v>
      </c>
      <c r="IC891" s="279">
        <f>IC890*77%</f>
        <v>98.351706983191193</v>
      </c>
      <c r="ID891" s="323">
        <f t="shared" si="1720"/>
        <v>204.42858873540177</v>
      </c>
      <c r="IE891" s="279">
        <f>IE890*77%</f>
        <v>108.16795793983411</v>
      </c>
      <c r="IF891" s="279">
        <f>IF890*77%</f>
        <v>132.39467578019759</v>
      </c>
      <c r="IG891" s="323">
        <f t="shared" si="1721"/>
        <v>240.5626337200317</v>
      </c>
      <c r="IH891" s="279">
        <f>IH890*77%</f>
        <v>125.17437654818249</v>
      </c>
      <c r="II891" s="279">
        <f>II890*77%</f>
        <v>136.32575204876326</v>
      </c>
      <c r="IJ891" s="323">
        <f t="shared" si="1722"/>
        <v>261.50012859694573</v>
      </c>
      <c r="IK891" s="279">
        <f>IK890*77%</f>
        <v>134.83182280641148</v>
      </c>
      <c r="IL891" s="279">
        <f>IL890*77%</f>
        <v>144.18724497019869</v>
      </c>
      <c r="IM891" s="323">
        <f t="shared" si="1723"/>
        <v>279.0190677766102</v>
      </c>
      <c r="IN891" s="279">
        <f>IN890*77%</f>
        <v>137.87366942390582</v>
      </c>
      <c r="IO891" s="279">
        <f>IO890*77%</f>
        <v>161.93459346697801</v>
      </c>
      <c r="IP891" s="323">
        <f t="shared" si="1724"/>
        <v>299.80826289088384</v>
      </c>
      <c r="IQ891" s="279">
        <f>IQ890*77%</f>
        <v>154.83263779113901</v>
      </c>
      <c r="IR891" s="279">
        <f>IR890*77%</f>
        <v>183.12772835649602</v>
      </c>
      <c r="IS891" s="323">
        <f t="shared" si="1725"/>
        <v>337.960366147635</v>
      </c>
      <c r="IT891" s="279">
        <f>IT890*77%</f>
        <v>204.66102316235731</v>
      </c>
      <c r="IU891" s="279">
        <f>IU890*77%</f>
        <v>153.65575544208122</v>
      </c>
      <c r="IV891" s="323">
        <f t="shared" si="1726"/>
        <v>358.31677860443853</v>
      </c>
      <c r="IW891" s="327">
        <v>162.903540749</v>
      </c>
      <c r="IX891" s="327">
        <f>SUM(FQ891:FV891)</f>
        <v>156.66968681399999</v>
      </c>
      <c r="IY891" s="323">
        <f t="shared" si="1621"/>
        <v>319.57322756299999</v>
      </c>
      <c r="IZ891" s="327">
        <f t="shared" si="1699"/>
        <v>206.817599433</v>
      </c>
      <c r="JA891" s="327">
        <f t="shared" si="1700"/>
        <v>281.36494929265996</v>
      </c>
      <c r="JB891" s="323">
        <f t="shared" si="1458"/>
        <v>488.18254872565996</v>
      </c>
      <c r="JC891" s="327">
        <f t="shared" si="1624"/>
        <v>290.1795071906817</v>
      </c>
      <c r="JD891" s="327">
        <f t="shared" si="1701"/>
        <v>406.08463809257506</v>
      </c>
      <c r="JE891" s="323">
        <f t="shared" si="1702"/>
        <v>696.26414528325677</v>
      </c>
      <c r="JF891" s="327">
        <f t="shared" si="1638"/>
        <v>283.38481657800003</v>
      </c>
      <c r="JG891" s="327">
        <f t="shared" si="1667"/>
        <v>420.345528333</v>
      </c>
      <c r="JH891" s="323">
        <f t="shared" si="1703"/>
        <v>703.73034491099997</v>
      </c>
      <c r="JI891" s="327">
        <f t="shared" si="1744"/>
        <v>365.76462476199998</v>
      </c>
      <c r="JJ891" s="327">
        <f t="shared" si="1692"/>
        <v>382.79456862800009</v>
      </c>
      <c r="JK891" s="323">
        <f t="shared" si="1683"/>
        <v>748.55919339000002</v>
      </c>
      <c r="JL891" s="327">
        <f t="shared" si="1704"/>
        <v>418.14738736799995</v>
      </c>
      <c r="JM891" s="279">
        <f t="shared" si="1705"/>
        <v>395.13503073188565</v>
      </c>
      <c r="JN891" s="323">
        <f>FISC!AK1212</f>
        <v>813.2824180998856</v>
      </c>
      <c r="JO891" s="327">
        <f>JQ891*0.554082637682918</f>
        <v>526.37868486316643</v>
      </c>
      <c r="JP891" s="279">
        <f t="shared" si="1647"/>
        <v>456.00015512290662</v>
      </c>
      <c r="JQ891" s="323">
        <f>FISC!AL1212</f>
        <v>950.00032317272212</v>
      </c>
      <c r="JR891" s="327">
        <f>JT891*0.554082637682918</f>
        <v>607.82889344252794</v>
      </c>
      <c r="JS891" s="279">
        <f t="shared" si="1706"/>
        <v>489.17153953326056</v>
      </c>
      <c r="JT891" s="323">
        <f>FISC!AM1212</f>
        <v>1097.0004329757885</v>
      </c>
      <c r="JU891" s="327">
        <f>JW891*0.554082637682918</f>
        <v>686.88599079936466</v>
      </c>
      <c r="JV891" s="279">
        <f t="shared" si="1707"/>
        <v>552.79550088535643</v>
      </c>
      <c r="JW891" s="323">
        <f>FISC!AN1212</f>
        <v>1239.6814916847211</v>
      </c>
      <c r="JX891" s="327">
        <f>JZ891*0.554082637682918</f>
        <v>845.42104090286568</v>
      </c>
      <c r="JY891" s="279">
        <f t="shared" si="1708"/>
        <v>680.38212166919527</v>
      </c>
      <c r="JZ891" s="323">
        <f>FISC!AO1212</f>
        <v>1525.803162572061</v>
      </c>
      <c r="KA891" s="327">
        <f>KC891*0.554082637682918</f>
        <v>955.31560805868878</v>
      </c>
      <c r="KB891" s="279">
        <f t="shared" si="1709"/>
        <v>768.82361430290837</v>
      </c>
      <c r="KC891" s="323">
        <f>FISC!AP1212</f>
        <v>1724.1392223615971</v>
      </c>
      <c r="KD891" s="327">
        <f>KF891*0.554082637682918</f>
        <v>1140.0200503832889</v>
      </c>
      <c r="KE891" s="279">
        <f t="shared" si="1710"/>
        <v>917.47096783497591</v>
      </c>
      <c r="KF891" s="323">
        <f>FISC!AQ1212</f>
        <v>2057.4910182182648</v>
      </c>
      <c r="KG891" s="327">
        <f>KI891*0.554082637682918</f>
        <v>1335.8954131529051</v>
      </c>
      <c r="KH891" s="279">
        <f t="shared" si="1711"/>
        <v>1075.1085099070176</v>
      </c>
      <c r="KI891" s="323">
        <f>FISC!AR1212</f>
        <v>2411.0039230599227</v>
      </c>
      <c r="KJ891" s="327">
        <f>KL891*0.554082637682918</f>
        <v>1564.8593746339466</v>
      </c>
      <c r="KK891" s="279">
        <f t="shared" si="1712"/>
        <v>1259.375257907383</v>
      </c>
      <c r="KL891" s="323">
        <f>FISC!AS1212</f>
        <v>2824.2346325413296</v>
      </c>
      <c r="KM891" s="327">
        <f>KO891*0.554082637682918</f>
        <v>2151.9124979748149</v>
      </c>
      <c r="KN891" s="279">
        <f t="shared" si="1713"/>
        <v>1731.8267705461358</v>
      </c>
      <c r="KO891" s="323">
        <f>FISC!AT1212</f>
        <v>3883.7392685209506</v>
      </c>
      <c r="KU891" s="326"/>
      <c r="KV891" s="327"/>
    </row>
    <row r="892" spans="1:308">
      <c r="A892" s="279"/>
      <c r="D892" s="1415" t="s">
        <v>3126</v>
      </c>
      <c r="E892" s="323"/>
      <c r="F892" s="323"/>
      <c r="G892" s="323"/>
      <c r="H892" s="323"/>
      <c r="I892" s="323"/>
      <c r="J892" s="323"/>
      <c r="K892" s="323"/>
      <c r="L892" s="323"/>
      <c r="M892" s="323"/>
      <c r="N892" s="323"/>
      <c r="O892" s="323"/>
      <c r="P892" s="323"/>
      <c r="Q892" s="323"/>
      <c r="R892" s="323"/>
      <c r="S892" s="323"/>
      <c r="T892" s="323"/>
      <c r="U892" s="323"/>
      <c r="V892" s="323"/>
      <c r="W892" s="323"/>
      <c r="X892" s="323"/>
      <c r="Y892" s="323"/>
      <c r="Z892" s="323"/>
      <c r="AA892" s="323"/>
      <c r="AB892" s="323"/>
      <c r="AC892" s="323"/>
      <c r="AD892" s="323"/>
      <c r="AE892" s="323"/>
      <c r="AF892" s="323"/>
      <c r="AG892" s="323"/>
      <c r="AH892" s="323"/>
      <c r="AI892" s="323"/>
      <c r="AJ892" s="323"/>
      <c r="AK892" s="323"/>
      <c r="AL892" s="323"/>
      <c r="AM892" s="323"/>
      <c r="AN892" s="323"/>
      <c r="AO892" s="323"/>
      <c r="AP892" s="323"/>
      <c r="AQ892" s="323"/>
      <c r="AR892" s="323"/>
      <c r="AS892" s="323"/>
      <c r="AT892" s="323"/>
      <c r="AU892" s="323"/>
      <c r="AV892" s="323"/>
      <c r="AW892" s="323"/>
      <c r="AX892" s="323"/>
      <c r="AY892" s="323"/>
      <c r="AZ892" s="323"/>
      <c r="BA892" s="323"/>
      <c r="BB892" s="323"/>
      <c r="BC892" s="323"/>
      <c r="BD892" s="323"/>
      <c r="BE892" s="323"/>
      <c r="BF892" s="323"/>
      <c r="BG892" s="323"/>
      <c r="BH892" s="323"/>
      <c r="BI892" s="323"/>
      <c r="BJ892" s="323"/>
      <c r="BK892" s="323"/>
      <c r="BL892" s="323"/>
      <c r="BM892" s="323"/>
      <c r="BN892" s="323"/>
      <c r="BO892" s="323"/>
      <c r="BP892" s="323"/>
      <c r="BQ892" s="323"/>
      <c r="BR892" s="323"/>
      <c r="BS892" s="323"/>
      <c r="BT892" s="323"/>
      <c r="BU892" s="323"/>
      <c r="BV892" s="323"/>
      <c r="BW892" s="323"/>
      <c r="BX892" s="323"/>
      <c r="BY892" s="323"/>
      <c r="BZ892" s="323"/>
      <c r="CA892" s="323"/>
      <c r="CB892" s="323"/>
      <c r="CC892" s="323"/>
      <c r="CD892" s="329"/>
      <c r="CE892" s="323"/>
      <c r="CF892" s="323"/>
      <c r="CG892" s="323"/>
      <c r="CH892" s="323"/>
      <c r="CI892" s="323"/>
      <c r="CJ892" s="323"/>
      <c r="CK892" s="323"/>
      <c r="CL892" s="323"/>
      <c r="CM892" s="323"/>
      <c r="CN892" s="323"/>
      <c r="CO892" s="323"/>
      <c r="CP892" s="325"/>
      <c r="CQ892" s="323"/>
      <c r="CR892" s="323"/>
      <c r="CS892" s="323"/>
      <c r="CT892" s="323"/>
      <c r="CU892" s="323"/>
      <c r="CV892" s="323"/>
      <c r="CW892" s="323"/>
      <c r="CX892" s="323"/>
      <c r="CY892" s="323"/>
      <c r="CZ892" s="323"/>
      <c r="DA892" s="323"/>
      <c r="DB892" s="1269"/>
      <c r="DC892" s="323"/>
      <c r="DD892" s="323"/>
      <c r="DE892" s="323"/>
      <c r="DF892" s="323"/>
      <c r="DG892" s="323"/>
      <c r="DH892" s="323"/>
      <c r="DI892" s="323"/>
      <c r="DJ892" s="323"/>
      <c r="DK892" s="323"/>
      <c r="DL892" s="323"/>
      <c r="DM892" s="323"/>
      <c r="DN892" s="325"/>
      <c r="DO892" s="323"/>
      <c r="DP892" s="323"/>
      <c r="DQ892" s="323"/>
      <c r="DR892" s="323"/>
      <c r="DS892" s="323"/>
      <c r="DT892" s="323"/>
      <c r="DU892" s="323"/>
      <c r="DV892" s="323"/>
      <c r="DW892" s="323"/>
      <c r="DX892" s="323"/>
      <c r="DY892" s="323"/>
      <c r="DZ892" s="325"/>
      <c r="EA892" s="323"/>
      <c r="EB892" s="323"/>
      <c r="EC892" s="323"/>
      <c r="ED892" s="323"/>
      <c r="EE892" s="323"/>
      <c r="EF892" s="323"/>
      <c r="EG892" s="323"/>
      <c r="EH892" s="323"/>
      <c r="EI892" s="323"/>
      <c r="EJ892" s="323"/>
      <c r="EK892" s="323"/>
      <c r="EL892" s="325"/>
      <c r="EM892" s="323"/>
      <c r="EN892" s="323"/>
      <c r="EO892" s="323"/>
      <c r="EP892" s="323"/>
      <c r="EQ892" s="323"/>
      <c r="ER892" s="323"/>
      <c r="ES892" s="323"/>
      <c r="ET892" s="323"/>
      <c r="EU892" s="323"/>
      <c r="EV892" s="323"/>
      <c r="EW892" s="323"/>
      <c r="EX892" s="325"/>
      <c r="EY892" s="323"/>
      <c r="EZ892" s="323"/>
      <c r="FA892" s="323"/>
      <c r="FB892" s="323"/>
      <c r="FC892" s="323"/>
      <c r="FD892" s="323"/>
      <c r="FE892" s="323"/>
      <c r="FF892" s="323"/>
      <c r="FG892" s="323"/>
      <c r="FH892" s="323"/>
      <c r="FI892" s="323"/>
      <c r="FJ892" s="325"/>
      <c r="FK892" s="323">
        <f t="shared" ref="FK892:GP892" si="1748">FK466</f>
        <v>17.482311929000002</v>
      </c>
      <c r="FL892" s="323">
        <f t="shared" si="1748"/>
        <v>11.107099948</v>
      </c>
      <c r="FM892" s="323">
        <f t="shared" si="1748"/>
        <v>23.679509856999999</v>
      </c>
      <c r="FN892" s="323">
        <f t="shared" si="1748"/>
        <v>17.293242465999999</v>
      </c>
      <c r="FO892" s="323">
        <f t="shared" si="1748"/>
        <v>22.692469431999999</v>
      </c>
      <c r="FP892" s="323">
        <f t="shared" si="1748"/>
        <v>19.269962512999999</v>
      </c>
      <c r="FQ892" s="323">
        <f t="shared" si="1748"/>
        <v>12.758703525</v>
      </c>
      <c r="FR892" s="323">
        <f t="shared" si="1748"/>
        <v>24.922946290999999</v>
      </c>
      <c r="FS892" s="323">
        <f t="shared" si="1748"/>
        <v>20.048546124000001</v>
      </c>
      <c r="FT892" s="323">
        <f t="shared" si="1748"/>
        <v>21.973771252999999</v>
      </c>
      <c r="FU892" s="323">
        <f t="shared" si="1748"/>
        <v>23.041330871</v>
      </c>
      <c r="FV892" s="323">
        <f t="shared" si="1748"/>
        <v>18.024937914999999</v>
      </c>
      <c r="FW892" s="323">
        <f t="shared" si="1748"/>
        <v>22.100498948999999</v>
      </c>
      <c r="FX892" s="323">
        <f t="shared" si="1748"/>
        <v>24.565963848999999</v>
      </c>
      <c r="FY892" s="323">
        <f t="shared" si="1748"/>
        <v>23.576615412999999</v>
      </c>
      <c r="FZ892" s="323">
        <f t="shared" si="1748"/>
        <v>23.594416938999998</v>
      </c>
      <c r="GA892" s="323">
        <f t="shared" si="1748"/>
        <v>23.165967116000001</v>
      </c>
      <c r="GB892" s="323">
        <f t="shared" si="1748"/>
        <v>21.417965687999999</v>
      </c>
      <c r="GC892" s="323">
        <f t="shared" si="1748"/>
        <v>26.446485598999999</v>
      </c>
      <c r="GD892" s="323">
        <f t="shared" si="1748"/>
        <v>24.253297138000001</v>
      </c>
      <c r="GE892" s="323">
        <f t="shared" si="1748"/>
        <v>24.832493839000001</v>
      </c>
      <c r="GF892" s="323">
        <f t="shared" si="1748"/>
        <v>33.262776429333329</v>
      </c>
      <c r="GG892" s="323">
        <f t="shared" si="1748"/>
        <v>32.914308960333329</v>
      </c>
      <c r="GH892" s="323">
        <f t="shared" si="1748"/>
        <v>28.011158680333327</v>
      </c>
      <c r="GI892" s="1654">
        <f t="shared" si="1748"/>
        <v>24.112011126999999</v>
      </c>
      <c r="GJ892" s="1654">
        <f t="shared" si="1748"/>
        <v>30.688406675</v>
      </c>
      <c r="GK892" s="1654">
        <f t="shared" si="1748"/>
        <v>38.752014398999997</v>
      </c>
      <c r="GL892" s="1654">
        <f t="shared" si="1748"/>
        <v>26.683033745333333</v>
      </c>
      <c r="GM892" s="1654">
        <f t="shared" si="1748"/>
        <v>42.554643577613213</v>
      </c>
      <c r="GN892" s="1654">
        <f t="shared" si="1748"/>
        <v>29.696257655678231</v>
      </c>
      <c r="GO892" s="1654">
        <f t="shared" si="1748"/>
        <v>26.693782936018216</v>
      </c>
      <c r="GP892" s="1654">
        <f t="shared" si="1748"/>
        <v>26.59898166045965</v>
      </c>
      <c r="GQ892" s="1654">
        <f t="shared" ref="GQ892:HR892" si="1749">GQ466</f>
        <v>27.663310263398909</v>
      </c>
      <c r="GR892" s="1654">
        <f t="shared" si="1749"/>
        <v>55.600319948377077</v>
      </c>
      <c r="GS892" s="1654">
        <f t="shared" si="1749"/>
        <v>54.053561318717733</v>
      </c>
      <c r="GT892" s="1654">
        <f t="shared" si="1749"/>
        <v>51.955715162471257</v>
      </c>
      <c r="GU892" s="1654">
        <f t="shared" si="1749"/>
        <v>44.490954549999998</v>
      </c>
      <c r="GV892" s="1654">
        <f t="shared" si="1749"/>
        <v>40.536396447000001</v>
      </c>
      <c r="GW892" s="1654">
        <f t="shared" si="1749"/>
        <v>46.101277069000005</v>
      </c>
      <c r="GX892" s="1654">
        <f t="shared" si="1749"/>
        <v>36.666316277</v>
      </c>
      <c r="GY892" s="1654">
        <f t="shared" si="1749"/>
        <v>43.568330525</v>
      </c>
      <c r="GZ892" s="1654">
        <f t="shared" si="1749"/>
        <v>40.251576471</v>
      </c>
      <c r="HA892" s="1654">
        <f t="shared" si="1749"/>
        <v>40.073467524000002</v>
      </c>
      <c r="HB892" s="1654">
        <f t="shared" si="1749"/>
        <v>40.629131823999998</v>
      </c>
      <c r="HC892" s="1654">
        <f t="shared" si="1749"/>
        <v>35.057675195999998</v>
      </c>
      <c r="HD892" s="1654">
        <f t="shared" si="1749"/>
        <v>49.377102291</v>
      </c>
      <c r="HE892" s="1654">
        <f t="shared" si="1749"/>
        <v>44.041375311000003</v>
      </c>
      <c r="HF892" s="1654">
        <f t="shared" si="1749"/>
        <v>42.247151621999997</v>
      </c>
      <c r="HG892" s="1654">
        <f t="shared" si="1749"/>
        <v>48.288416775999998</v>
      </c>
      <c r="HH892" s="1654">
        <f t="shared" si="1749"/>
        <v>48.249017246000001</v>
      </c>
      <c r="HI892" s="1654">
        <f t="shared" si="1749"/>
        <v>46.232252574</v>
      </c>
      <c r="HJ892" s="1654">
        <f t="shared" si="1749"/>
        <v>34.779779367000003</v>
      </c>
      <c r="HK892" s="1654">
        <f t="shared" si="1749"/>
        <v>46.400558386999997</v>
      </c>
      <c r="HL892" s="1654">
        <f t="shared" si="1749"/>
        <v>61.199443883000001</v>
      </c>
      <c r="HM892" s="1654">
        <f t="shared" si="1749"/>
        <v>52.059830500000004</v>
      </c>
      <c r="HN892" s="1654">
        <f t="shared" si="1749"/>
        <v>46.499591997000003</v>
      </c>
      <c r="HO892" s="1654">
        <f t="shared" si="1749"/>
        <v>49.289120715000003</v>
      </c>
      <c r="HP892" s="1654">
        <f t="shared" si="1749"/>
        <v>48.337712746000001</v>
      </c>
      <c r="HQ892" s="1654">
        <f t="shared" si="1749"/>
        <v>49.106649520999994</v>
      </c>
      <c r="HR892" s="1654">
        <f t="shared" si="1749"/>
        <v>49.726253879000005</v>
      </c>
      <c r="HS892" s="1654">
        <f t="shared" ref="HS892:HX892" si="1750">HS466</f>
        <v>47.000617882999997</v>
      </c>
      <c r="HT892" s="1654">
        <f t="shared" si="1750"/>
        <v>80.871715245999994</v>
      </c>
      <c r="HU892" s="1654">
        <f t="shared" si="1750"/>
        <v>46.884514760999998</v>
      </c>
      <c r="HV892" s="1654">
        <f t="shared" si="1750"/>
        <v>56.481664074999998</v>
      </c>
      <c r="HW892" s="1654">
        <f t="shared" si="1750"/>
        <v>61.839559801000007</v>
      </c>
      <c r="HX892" s="1654">
        <f t="shared" si="1750"/>
        <v>57.371888280999997</v>
      </c>
      <c r="HY892" s="1654"/>
      <c r="HZ892" s="326"/>
      <c r="IA892" s="1415" t="s">
        <v>3126</v>
      </c>
      <c r="IB892" s="279">
        <f>IB891*70%</f>
        <v>74.253817226547397</v>
      </c>
      <c r="IC892" s="279">
        <f>IC891*70%</f>
        <v>68.846194888233825</v>
      </c>
      <c r="ID892" s="323">
        <f t="shared" si="1720"/>
        <v>143.10001211478124</v>
      </c>
      <c r="IE892" s="279">
        <f>IE891*70%</f>
        <v>75.717570557883874</v>
      </c>
      <c r="IF892" s="279">
        <f>IF891*70%</f>
        <v>92.676273046138306</v>
      </c>
      <c r="IG892" s="323">
        <f t="shared" si="1721"/>
        <v>168.39384360402218</v>
      </c>
      <c r="IH892" s="279">
        <f>IH891*70%</f>
        <v>87.622063583727737</v>
      </c>
      <c r="II892" s="279">
        <f>II891*70%</f>
        <v>95.428026434134281</v>
      </c>
      <c r="IJ892" s="323">
        <f t="shared" si="1722"/>
        <v>183.05009001786203</v>
      </c>
      <c r="IK892" s="279">
        <f>IK891*70%</f>
        <v>94.382275964488031</v>
      </c>
      <c r="IL892" s="279">
        <f>IL891*70%</f>
        <v>100.93107147913908</v>
      </c>
      <c r="IM892" s="323">
        <f t="shared" si="1723"/>
        <v>195.31334744362709</v>
      </c>
      <c r="IN892" s="279">
        <f>IN891*70%</f>
        <v>96.511568596734065</v>
      </c>
      <c r="IO892" s="279">
        <f>IO891*70%</f>
        <v>113.35421542688461</v>
      </c>
      <c r="IP892" s="323">
        <f t="shared" si="1724"/>
        <v>209.86578402361869</v>
      </c>
      <c r="IQ892" s="279">
        <f>IQ891*70%</f>
        <v>108.3828464537973</v>
      </c>
      <c r="IR892" s="279">
        <f>IR891*70%</f>
        <v>128.18940984954722</v>
      </c>
      <c r="IS892" s="323">
        <f t="shared" si="1725"/>
        <v>236.57225630334452</v>
      </c>
      <c r="IT892" s="279">
        <f>IT891*70%</f>
        <v>143.26271621365009</v>
      </c>
      <c r="IU892" s="279">
        <f>IU891*70%</f>
        <v>107.55902880945685</v>
      </c>
      <c r="IV892" s="323">
        <f t="shared" si="1726"/>
        <v>250.82174502310693</v>
      </c>
      <c r="IW892" s="327">
        <v>111.524596145</v>
      </c>
      <c r="IX892" s="327">
        <f>SUM(FQ892:FV892)</f>
        <v>120.77023597899999</v>
      </c>
      <c r="IY892" s="323">
        <f t="shared" si="1621"/>
        <v>232.29483212399998</v>
      </c>
      <c r="IZ892" s="327">
        <f t="shared" si="1699"/>
        <v>138.42142795399999</v>
      </c>
      <c r="JA892" s="327">
        <f t="shared" si="1700"/>
        <v>169.72052064599998</v>
      </c>
      <c r="JB892" s="323">
        <f t="shared" si="1458"/>
        <v>308.14194859999998</v>
      </c>
      <c r="JC892" s="327">
        <f t="shared" si="1624"/>
        <v>192.48636717962478</v>
      </c>
      <c r="JD892" s="327">
        <f t="shared" si="1701"/>
        <v>242.56567128944283</v>
      </c>
      <c r="JE892" s="323">
        <f t="shared" si="1702"/>
        <v>435.05203846906761</v>
      </c>
      <c r="JF892" s="327">
        <f t="shared" si="1638"/>
        <v>251.61485133899998</v>
      </c>
      <c r="JG892" s="327">
        <f t="shared" si="1667"/>
        <v>251.42590376799998</v>
      </c>
      <c r="JH892" s="323">
        <f t="shared" si="1703"/>
        <v>503.040755107</v>
      </c>
      <c r="JI892" s="327">
        <f t="shared" si="1744"/>
        <v>285.14946823299999</v>
      </c>
      <c r="JJ892" s="327">
        <f t="shared" si="1692"/>
        <v>295.01915935800002</v>
      </c>
      <c r="JK892" s="323">
        <f t="shared" si="1683"/>
        <v>580.16862759100002</v>
      </c>
      <c r="JL892" s="327">
        <f t="shared" si="1704"/>
        <v>350.44996004699999</v>
      </c>
      <c r="JM892" s="279">
        <f t="shared" si="1705"/>
        <v>362.3382183211553</v>
      </c>
      <c r="JN892" s="323">
        <f>FISC!AK1213</f>
        <v>712.78817836815529</v>
      </c>
      <c r="JO892" s="327">
        <f>JQ892*0.5</f>
        <v>402.57127208925039</v>
      </c>
      <c r="JP892" s="279">
        <f t="shared" si="1647"/>
        <v>402.57127208925039</v>
      </c>
      <c r="JQ892" s="323">
        <f>FISC!AL1213</f>
        <v>805.14254417850077</v>
      </c>
      <c r="JR892" s="327">
        <f>JT892*0.5</f>
        <v>459.16563894233508</v>
      </c>
      <c r="JS892" s="279">
        <f t="shared" si="1706"/>
        <v>459.16563894233508</v>
      </c>
      <c r="JT892" s="323">
        <f>FISC!AM1213</f>
        <v>918.33127788467016</v>
      </c>
      <c r="JU892" s="327">
        <f>JW892*0.5</f>
        <v>525.72377180653245</v>
      </c>
      <c r="JV892" s="279">
        <f t="shared" si="1707"/>
        <v>525.72377180653245</v>
      </c>
      <c r="JW892" s="323">
        <f>FISC!AN1213</f>
        <v>1051.4475436130649</v>
      </c>
      <c r="JX892" s="327">
        <f>JZ892*0.5</f>
        <v>568.24297477041284</v>
      </c>
      <c r="JY892" s="279">
        <f t="shared" si="1708"/>
        <v>568.24297477041284</v>
      </c>
      <c r="JZ892" s="323">
        <f>FISC!AO1213</f>
        <v>1136.4859495408257</v>
      </c>
      <c r="KA892" s="327">
        <f>KC892*0.5</f>
        <v>689.60193524926899</v>
      </c>
      <c r="KB892" s="279">
        <f t="shared" si="1709"/>
        <v>689.60193524926899</v>
      </c>
      <c r="KC892" s="323">
        <f>FISC!AP1213</f>
        <v>1379.203870498538</v>
      </c>
      <c r="KD892" s="327">
        <f>KF892*0.5</f>
        <v>773.29880871418982</v>
      </c>
      <c r="KE892" s="279">
        <f t="shared" si="1710"/>
        <v>773.29880871418982</v>
      </c>
      <c r="KF892" s="323">
        <f>FISC!AQ1213</f>
        <v>1546.5976174283796</v>
      </c>
      <c r="KG892" s="327">
        <f>KI892*0.5</f>
        <v>861.36347872973136</v>
      </c>
      <c r="KH892" s="279">
        <f t="shared" si="1711"/>
        <v>861.36347872973136</v>
      </c>
      <c r="KI892" s="323">
        <f>FISC!AR1213</f>
        <v>1722.7269574594627</v>
      </c>
      <c r="KJ892" s="327">
        <f>KL892*0.5</f>
        <v>961.41475600033857</v>
      </c>
      <c r="KK892" s="279">
        <f t="shared" si="1712"/>
        <v>961.41475600033857</v>
      </c>
      <c r="KL892" s="323">
        <f>FISC!AS1213</f>
        <v>1922.8295120006771</v>
      </c>
      <c r="KM892" s="327">
        <f>KO892*0.5</f>
        <v>1234.050151375362</v>
      </c>
      <c r="KN892" s="279">
        <f t="shared" si="1713"/>
        <v>1234.050151375362</v>
      </c>
      <c r="KO892" s="323">
        <f>FISC!AT1213</f>
        <v>2468.100302750724</v>
      </c>
      <c r="KU892" s="326"/>
      <c r="KV892" s="327"/>
    </row>
    <row r="893" spans="1:308" ht="15.3" thickBot="1">
      <c r="A893" s="279"/>
      <c r="D893" s="1415" t="str">
        <f>FISC!D1214</f>
        <v>o/w Refugees integration spending</v>
      </c>
      <c r="E893" s="323"/>
      <c r="F893" s="323"/>
      <c r="G893" s="323"/>
      <c r="H893" s="323"/>
      <c r="I893" s="323"/>
      <c r="J893" s="323"/>
      <c r="K893" s="323"/>
      <c r="L893" s="323"/>
      <c r="M893" s="323"/>
      <c r="N893" s="323"/>
      <c r="O893" s="323"/>
      <c r="P893" s="323"/>
      <c r="Q893" s="323"/>
      <c r="R893" s="323"/>
      <c r="S893" s="323"/>
      <c r="T893" s="323"/>
      <c r="U893" s="323"/>
      <c r="V893" s="323"/>
      <c r="W893" s="323"/>
      <c r="X893" s="323"/>
      <c r="Y893" s="323"/>
      <c r="Z893" s="323"/>
      <c r="AA893" s="323"/>
      <c r="AB893" s="323"/>
      <c r="AC893" s="323"/>
      <c r="AD893" s="323"/>
      <c r="AE893" s="323"/>
      <c r="AF893" s="323"/>
      <c r="AG893" s="323"/>
      <c r="AH893" s="323"/>
      <c r="AI893" s="323"/>
      <c r="AJ893" s="323"/>
      <c r="AK893" s="323"/>
      <c r="AL893" s="323"/>
      <c r="AM893" s="323"/>
      <c r="AN893" s="323"/>
      <c r="AO893" s="323"/>
      <c r="AP893" s="323"/>
      <c r="AQ893" s="323"/>
      <c r="AR893" s="323"/>
      <c r="AS893" s="323"/>
      <c r="AT893" s="323"/>
      <c r="AU893" s="323"/>
      <c r="AV893" s="323"/>
      <c r="AW893" s="323"/>
      <c r="AX893" s="323"/>
      <c r="AY893" s="323"/>
      <c r="AZ893" s="323"/>
      <c r="BA893" s="323"/>
      <c r="BB893" s="323"/>
      <c r="BC893" s="323"/>
      <c r="BD893" s="323"/>
      <c r="BE893" s="323"/>
      <c r="BF893" s="323"/>
      <c r="BG893" s="323"/>
      <c r="BH893" s="323"/>
      <c r="BI893" s="323"/>
      <c r="BJ893" s="323"/>
      <c r="BK893" s="323"/>
      <c r="BL893" s="323"/>
      <c r="BM893" s="323"/>
      <c r="BN893" s="323"/>
      <c r="BO893" s="323"/>
      <c r="BP893" s="323"/>
      <c r="BQ893" s="323"/>
      <c r="BR893" s="323"/>
      <c r="BS893" s="323"/>
      <c r="BT893" s="323"/>
      <c r="BU893" s="323"/>
      <c r="BV893" s="323"/>
      <c r="BW893" s="323"/>
      <c r="BX893" s="323"/>
      <c r="BY893" s="323"/>
      <c r="BZ893" s="323"/>
      <c r="CA893" s="323"/>
      <c r="CB893" s="323"/>
      <c r="CC893" s="323"/>
      <c r="CD893" s="329"/>
      <c r="CE893" s="323"/>
      <c r="CF893" s="323"/>
      <c r="CG893" s="323"/>
      <c r="CH893" s="323"/>
      <c r="CI893" s="323"/>
      <c r="CJ893" s="323"/>
      <c r="CK893" s="323"/>
      <c r="CL893" s="323"/>
      <c r="CM893" s="323"/>
      <c r="CN893" s="323"/>
      <c r="CO893" s="323"/>
      <c r="CP893" s="325"/>
      <c r="CQ893" s="323"/>
      <c r="CR893" s="323"/>
      <c r="CS893" s="323"/>
      <c r="CT893" s="323"/>
      <c r="CU893" s="323"/>
      <c r="CV893" s="323"/>
      <c r="CW893" s="323"/>
      <c r="CX893" s="323"/>
      <c r="CY893" s="323"/>
      <c r="CZ893" s="323"/>
      <c r="DA893" s="323"/>
      <c r="DB893" s="1269"/>
      <c r="DC893" s="323"/>
      <c r="DD893" s="323"/>
      <c r="DE893" s="323"/>
      <c r="DF893" s="323"/>
      <c r="DG893" s="323"/>
      <c r="DH893" s="323"/>
      <c r="DI893" s="323"/>
      <c r="DJ893" s="323"/>
      <c r="DK893" s="323"/>
      <c r="DL893" s="323"/>
      <c r="DM893" s="323"/>
      <c r="DN893" s="325"/>
      <c r="DO893" s="323"/>
      <c r="DP893" s="323"/>
      <c r="DQ893" s="323"/>
      <c r="DR893" s="323"/>
      <c r="DS893" s="323"/>
      <c r="DT893" s="323"/>
      <c r="DU893" s="323"/>
      <c r="DV893" s="323"/>
      <c r="DW893" s="323"/>
      <c r="DX893" s="323"/>
      <c r="DY893" s="323"/>
      <c r="DZ893" s="325"/>
      <c r="EA893" s="323"/>
      <c r="EB893" s="323"/>
      <c r="EC893" s="323"/>
      <c r="ED893" s="323"/>
      <c r="EE893" s="323"/>
      <c r="EF893" s="323"/>
      <c r="EG893" s="323"/>
      <c r="EH893" s="323"/>
      <c r="EI893" s="323"/>
      <c r="EJ893" s="323"/>
      <c r="EK893" s="323"/>
      <c r="EL893" s="325"/>
      <c r="EM893" s="323"/>
      <c r="EN893" s="323"/>
      <c r="EO893" s="323"/>
      <c r="EP893" s="323"/>
      <c r="EQ893" s="323"/>
      <c r="ER893" s="323"/>
      <c r="ES893" s="323"/>
      <c r="ET893" s="323"/>
      <c r="EU893" s="323"/>
      <c r="EV893" s="323"/>
      <c r="EW893" s="323"/>
      <c r="EX893" s="325"/>
      <c r="EY893" s="323"/>
      <c r="EZ893" s="323"/>
      <c r="FA893" s="323"/>
      <c r="FB893" s="323"/>
      <c r="FC893" s="323"/>
      <c r="FD893" s="323"/>
      <c r="FE893" s="323"/>
      <c r="FF893" s="323"/>
      <c r="FG893" s="323"/>
      <c r="FH893" s="323"/>
      <c r="FI893" s="323"/>
      <c r="FJ893" s="325"/>
      <c r="FK893" s="323"/>
      <c r="FL893" s="323"/>
      <c r="FM893" s="323"/>
      <c r="FN893" s="323"/>
      <c r="FO893" s="323"/>
      <c r="FP893" s="323"/>
      <c r="FQ893" s="323"/>
      <c r="FR893" s="323"/>
      <c r="FS893" s="323"/>
      <c r="FT893" s="323"/>
      <c r="FU893" s="323"/>
      <c r="FV893" s="323"/>
      <c r="FW893" s="323"/>
      <c r="FX893" s="323"/>
      <c r="FY893" s="323"/>
      <c r="FZ893" s="323"/>
      <c r="GA893" s="323"/>
      <c r="GB893" s="323"/>
      <c r="GC893" s="323"/>
      <c r="GD893" s="323"/>
      <c r="GE893" s="323"/>
      <c r="GF893" s="323"/>
      <c r="GG893" s="323"/>
      <c r="GH893" s="323"/>
      <c r="GI893" s="1654"/>
      <c r="GJ893" s="1654"/>
      <c r="GK893" s="1654"/>
      <c r="GL893" s="1654"/>
      <c r="GM893" s="1654"/>
      <c r="GN893" s="1654"/>
      <c r="GO893" s="1654"/>
      <c r="GP893" s="1654"/>
      <c r="GQ893" s="1654"/>
      <c r="GR893" s="1654"/>
      <c r="GS893" s="1654"/>
      <c r="GT893" s="1654"/>
      <c r="GU893" s="1654"/>
      <c r="GV893" s="1654"/>
      <c r="GW893" s="1654"/>
      <c r="GX893" s="1654"/>
      <c r="GY893" s="1654"/>
      <c r="GZ893" s="1654"/>
      <c r="HA893" s="1654"/>
      <c r="HB893" s="1654"/>
      <c r="HC893" s="1654"/>
      <c r="HD893" s="1654"/>
      <c r="HE893" s="1654"/>
      <c r="HF893" s="1654"/>
      <c r="HG893" s="1654"/>
      <c r="HH893" s="1654"/>
      <c r="HI893" s="1654"/>
      <c r="HJ893" s="1654"/>
      <c r="HK893" s="1654"/>
      <c r="HL893" s="1654"/>
      <c r="HM893" s="1654"/>
      <c r="HN893" s="1654"/>
      <c r="HO893" s="1654"/>
      <c r="HP893" s="1654"/>
      <c r="HQ893" s="1654"/>
      <c r="HR893" s="1654"/>
      <c r="HS893" s="1654"/>
      <c r="HT893" s="1654"/>
      <c r="HU893" s="1654"/>
      <c r="HV893" s="1654"/>
      <c r="HW893" s="1654"/>
      <c r="HX893" s="1654"/>
      <c r="HY893" s="1654"/>
      <c r="HZ893" s="326"/>
      <c r="IA893" s="1415" t="s">
        <v>3279</v>
      </c>
      <c r="ID893" s="323">
        <f t="shared" si="1720"/>
        <v>0</v>
      </c>
      <c r="IG893" s="323">
        <f t="shared" si="1721"/>
        <v>0</v>
      </c>
      <c r="IJ893" s="323">
        <f t="shared" si="1722"/>
        <v>0</v>
      </c>
      <c r="IM893" s="323">
        <f t="shared" si="1723"/>
        <v>0</v>
      </c>
      <c r="IP893" s="323">
        <f t="shared" si="1724"/>
        <v>0</v>
      </c>
      <c r="IS893" s="323">
        <f t="shared" si="1725"/>
        <v>0</v>
      </c>
      <c r="IV893" s="323">
        <f t="shared" si="1726"/>
        <v>0</v>
      </c>
      <c r="IW893" s="327"/>
      <c r="IX893" s="327"/>
      <c r="IY893" s="323"/>
      <c r="IZ893" s="327">
        <f t="shared" si="1699"/>
        <v>0</v>
      </c>
      <c r="JA893" s="327">
        <f t="shared" si="1700"/>
        <v>0</v>
      </c>
      <c r="JB893" s="323">
        <f t="shared" si="1458"/>
        <v>0</v>
      </c>
      <c r="JC893" s="327">
        <f t="shared" si="1624"/>
        <v>0</v>
      </c>
      <c r="JD893" s="327">
        <f t="shared" si="1701"/>
        <v>0</v>
      </c>
      <c r="JE893" s="323">
        <f t="shared" si="1702"/>
        <v>0</v>
      </c>
      <c r="JF893" s="327">
        <f t="shared" si="1638"/>
        <v>0</v>
      </c>
      <c r="JG893" s="327">
        <f t="shared" si="1667"/>
        <v>0</v>
      </c>
      <c r="JH893" s="323">
        <f t="shared" si="1703"/>
        <v>0</v>
      </c>
      <c r="JI893" s="327">
        <f t="shared" si="1744"/>
        <v>0</v>
      </c>
      <c r="JJ893" s="327">
        <f t="shared" si="1692"/>
        <v>0</v>
      </c>
      <c r="JK893" s="323">
        <f t="shared" si="1683"/>
        <v>0</v>
      </c>
      <c r="JL893" s="327">
        <f t="shared" si="1704"/>
        <v>0</v>
      </c>
      <c r="JN893" s="323">
        <f>FISC!AK1214</f>
        <v>0</v>
      </c>
      <c r="JO893" s="327"/>
      <c r="JQ893" s="323">
        <f>FISC!AL1214</f>
        <v>0</v>
      </c>
      <c r="JR893" s="327"/>
      <c r="JT893" s="323">
        <f>FISC!AM1214</f>
        <v>0</v>
      </c>
      <c r="JU893" s="327"/>
      <c r="JW893" s="323">
        <f>FISC!AN1214</f>
        <v>0</v>
      </c>
      <c r="JX893" s="327"/>
      <c r="JZ893" s="323">
        <f>FISC!AO1214</f>
        <v>0</v>
      </c>
      <c r="KA893" s="327"/>
      <c r="KC893" s="323">
        <f>FISC!AP1214</f>
        <v>0</v>
      </c>
      <c r="KD893" s="327"/>
      <c r="KF893" s="323">
        <f>FISC!AQ1214</f>
        <v>0</v>
      </c>
      <c r="KG893" s="327"/>
      <c r="KI893" s="323">
        <f>FISC!AR1214</f>
        <v>0</v>
      </c>
      <c r="KJ893" s="327"/>
      <c r="KL893" s="323">
        <f>FISC!AS1214</f>
        <v>0</v>
      </c>
      <c r="KM893" s="327"/>
      <c r="KO893" s="323">
        <f>FISC!AT1214</f>
        <v>0</v>
      </c>
      <c r="KU893" s="326"/>
      <c r="KV893" s="327"/>
    </row>
    <row r="894" spans="1:308" ht="15.3" thickBot="1">
      <c r="A894" s="279"/>
      <c r="D894" s="1416" t="s">
        <v>554</v>
      </c>
      <c r="E894" s="323"/>
      <c r="F894" s="323"/>
      <c r="G894" s="323"/>
      <c r="H894" s="323"/>
      <c r="I894" s="323"/>
      <c r="J894" s="323"/>
      <c r="K894" s="323"/>
      <c r="L894" s="323"/>
      <c r="M894" s="323"/>
      <c r="N894" s="323"/>
      <c r="O894" s="323"/>
      <c r="P894" s="323"/>
      <c r="Q894" s="323"/>
      <c r="R894" s="323"/>
      <c r="S894" s="323"/>
      <c r="T894" s="323"/>
      <c r="U894" s="323"/>
      <c r="V894" s="323"/>
      <c r="W894" s="323"/>
      <c r="X894" s="323"/>
      <c r="Y894" s="323"/>
      <c r="Z894" s="323"/>
      <c r="AA894" s="323"/>
      <c r="AB894" s="323"/>
      <c r="AC894" s="323"/>
      <c r="AD894" s="323"/>
      <c r="AE894" s="323"/>
      <c r="AF894" s="323"/>
      <c r="AG894" s="323"/>
      <c r="AH894" s="323"/>
      <c r="AI894" s="323"/>
      <c r="AJ894" s="323"/>
      <c r="AK894" s="323"/>
      <c r="AL894" s="323"/>
      <c r="AM894" s="323"/>
      <c r="AN894" s="323"/>
      <c r="AO894" s="323"/>
      <c r="AP894" s="323"/>
      <c r="AQ894" s="323"/>
      <c r="AR894" s="323"/>
      <c r="AS894" s="323"/>
      <c r="AT894" s="323"/>
      <c r="AU894" s="323"/>
      <c r="AV894" s="323"/>
      <c r="AW894" s="323"/>
      <c r="AX894" s="323"/>
      <c r="AY894" s="323"/>
      <c r="AZ894" s="323"/>
      <c r="BA894" s="323"/>
      <c r="BB894" s="323"/>
      <c r="BC894" s="323"/>
      <c r="BD894" s="323"/>
      <c r="BE894" s="323"/>
      <c r="BF894" s="323"/>
      <c r="BG894" s="323"/>
      <c r="BH894" s="323"/>
      <c r="BI894" s="323"/>
      <c r="BJ894" s="323"/>
      <c r="BK894" s="323"/>
      <c r="BL894" s="323"/>
      <c r="BM894" s="323"/>
      <c r="BN894" s="323"/>
      <c r="BO894" s="323"/>
      <c r="BP894" s="323"/>
      <c r="BQ894" s="323"/>
      <c r="BR894" s="323"/>
      <c r="BS894" s="323"/>
      <c r="BT894" s="323"/>
      <c r="BU894" s="323"/>
      <c r="BV894" s="323"/>
      <c r="BW894" s="323"/>
      <c r="BX894" s="323"/>
      <c r="BY894" s="323"/>
      <c r="BZ894" s="323"/>
      <c r="CA894" s="323"/>
      <c r="CB894" s="323"/>
      <c r="CC894" s="323"/>
      <c r="CD894" s="329"/>
      <c r="CE894" s="323">
        <v>0</v>
      </c>
      <c r="CF894" s="323">
        <v>0</v>
      </c>
      <c r="CG894" s="323">
        <v>0</v>
      </c>
      <c r="CH894" s="323">
        <v>0</v>
      </c>
      <c r="CI894" s="323">
        <v>0</v>
      </c>
      <c r="CJ894" s="323">
        <v>0</v>
      </c>
      <c r="CK894" s="323">
        <v>0</v>
      </c>
      <c r="CL894" s="323">
        <v>0</v>
      </c>
      <c r="CM894" s="323">
        <v>0</v>
      </c>
      <c r="CN894" s="323">
        <v>0</v>
      </c>
      <c r="CO894" s="323">
        <v>0</v>
      </c>
      <c r="CP894" s="325">
        <v>0</v>
      </c>
      <c r="CQ894" s="323"/>
      <c r="CR894" s="323"/>
      <c r="CS894" s="323"/>
      <c r="CT894" s="323"/>
      <c r="CU894" s="323"/>
      <c r="CV894" s="323"/>
      <c r="CW894" s="323"/>
      <c r="CX894" s="323"/>
      <c r="CY894" s="323"/>
      <c r="CZ894" s="323"/>
      <c r="DA894" s="323"/>
      <c r="DB894" s="1269"/>
      <c r="DC894" s="323"/>
      <c r="DD894" s="323"/>
      <c r="DE894" s="323"/>
      <c r="DF894" s="323"/>
      <c r="DG894" s="323"/>
      <c r="DH894" s="323"/>
      <c r="DI894" s="323"/>
      <c r="DJ894" s="323"/>
      <c r="DK894" s="323"/>
      <c r="DL894" s="323"/>
      <c r="DM894" s="323"/>
      <c r="DN894" s="325"/>
      <c r="DO894" s="323"/>
      <c r="DP894" s="323"/>
      <c r="DQ894" s="323"/>
      <c r="DR894" s="323"/>
      <c r="DS894" s="323"/>
      <c r="DT894" s="323"/>
      <c r="DU894" s="323"/>
      <c r="DV894" s="323"/>
      <c r="DW894" s="323"/>
      <c r="DX894" s="323"/>
      <c r="DY894" s="323"/>
      <c r="DZ894" s="325"/>
      <c r="EA894" s="323"/>
      <c r="EB894" s="323"/>
      <c r="EC894" s="323"/>
      <c r="ED894" s="323"/>
      <c r="EE894" s="323"/>
      <c r="EF894" s="323"/>
      <c r="EG894" s="323"/>
      <c r="EH894" s="323"/>
      <c r="EI894" s="323"/>
      <c r="EJ894" s="323"/>
      <c r="EK894" s="323"/>
      <c r="EL894" s="325"/>
      <c r="EM894" s="323"/>
      <c r="EN894" s="323"/>
      <c r="EO894" s="323"/>
      <c r="EP894" s="323"/>
      <c r="EQ894" s="323"/>
      <c r="ER894" s="323"/>
      <c r="ES894" s="323"/>
      <c r="ET894" s="323"/>
      <c r="EU894" s="323"/>
      <c r="EV894" s="323"/>
      <c r="EW894" s="323"/>
      <c r="EX894" s="325"/>
      <c r="EY894" s="323"/>
      <c r="EZ894" s="323"/>
      <c r="FA894" s="323"/>
      <c r="FB894" s="323"/>
      <c r="FC894" s="323"/>
      <c r="FD894" s="323"/>
      <c r="FE894" s="323"/>
      <c r="FF894" s="323"/>
      <c r="FG894" s="323"/>
      <c r="FH894" s="323"/>
      <c r="FI894" s="323"/>
      <c r="FJ894" s="323"/>
      <c r="FK894" s="1622">
        <f t="shared" ref="FK894:GP894" si="1751">FK467</f>
        <v>67.151987477999995</v>
      </c>
      <c r="FL894" s="1623">
        <f t="shared" si="1751"/>
        <v>13.103881592</v>
      </c>
      <c r="FM894" s="1623">
        <f t="shared" si="1751"/>
        <v>6.5174172349999999</v>
      </c>
      <c r="FN894" s="1623">
        <f t="shared" si="1751"/>
        <v>11.968223596</v>
      </c>
      <c r="FO894" s="1623">
        <f t="shared" si="1751"/>
        <v>13.952888432</v>
      </c>
      <c r="FP894" s="1623">
        <f t="shared" si="1751"/>
        <v>10.093310023000001</v>
      </c>
      <c r="FQ894" s="1623">
        <f t="shared" si="1751"/>
        <v>11.487869787999999</v>
      </c>
      <c r="FR894" s="1623">
        <f t="shared" si="1751"/>
        <v>13.362976810999999</v>
      </c>
      <c r="FS894" s="1623">
        <f t="shared" si="1751"/>
        <v>8.8185299490000002</v>
      </c>
      <c r="FT894" s="1623">
        <f t="shared" si="1751"/>
        <v>8.8314962210000001</v>
      </c>
      <c r="FU894" s="1623">
        <f t="shared" si="1751"/>
        <v>11.765230181</v>
      </c>
      <c r="FV894" s="1624">
        <f t="shared" si="1751"/>
        <v>2.3514240019999999</v>
      </c>
      <c r="FW894" s="1624">
        <f t="shared" si="1751"/>
        <v>17.827072045000001</v>
      </c>
      <c r="FX894" s="1624">
        <f t="shared" si="1751"/>
        <v>13.073085171000001</v>
      </c>
      <c r="FY894" s="1624">
        <f t="shared" si="1751"/>
        <v>14.052484026</v>
      </c>
      <c r="FZ894" s="1624">
        <f t="shared" si="1751"/>
        <v>12.726330408999999</v>
      </c>
      <c r="GA894" s="1624">
        <f t="shared" si="1751"/>
        <v>9.3146827220000006</v>
      </c>
      <c r="GB894" s="1624">
        <f t="shared" si="1751"/>
        <v>13.880902787</v>
      </c>
      <c r="GC894" s="1624">
        <f t="shared" si="1751"/>
        <v>12.434022086000001</v>
      </c>
      <c r="GD894" s="1624">
        <f t="shared" si="1751"/>
        <v>12.952230811</v>
      </c>
      <c r="GE894" s="1624">
        <f t="shared" si="1751"/>
        <v>7.3144288990000002</v>
      </c>
      <c r="GF894" s="1624">
        <f t="shared" si="1751"/>
        <v>9.9375181720000008</v>
      </c>
      <c r="GG894" s="1624">
        <f t="shared" si="1751"/>
        <v>10.097894201000001</v>
      </c>
      <c r="GH894" s="1624">
        <f t="shared" si="1751"/>
        <v>1.812355809</v>
      </c>
      <c r="GI894" s="1654">
        <f t="shared" si="1751"/>
        <v>18.302012847</v>
      </c>
      <c r="GJ894" s="1654">
        <f t="shared" si="1751"/>
        <v>12.174315661</v>
      </c>
      <c r="GK894" s="1654">
        <f t="shared" si="1751"/>
        <v>22.102087471000001</v>
      </c>
      <c r="GL894" s="1654">
        <f t="shared" si="1751"/>
        <v>13.048569157498537</v>
      </c>
      <c r="GM894" s="1654">
        <f t="shared" si="1751"/>
        <v>14.077936119471252</v>
      </c>
      <c r="GN894" s="1654">
        <f t="shared" si="1751"/>
        <v>17.249432628030206</v>
      </c>
      <c r="GO894" s="1654">
        <f t="shared" si="1751"/>
        <v>19.250091051032449</v>
      </c>
      <c r="GP894" s="1654">
        <f t="shared" si="1751"/>
        <v>18.964357705891899</v>
      </c>
      <c r="GQ894" s="1654">
        <f t="shared" ref="GQ894:HR894" si="1752">GQ467</f>
        <v>22.613650747059818</v>
      </c>
      <c r="GR894" s="1654">
        <f t="shared" si="1752"/>
        <v>47.33145690065696</v>
      </c>
      <c r="GS894" s="1654">
        <f t="shared" si="1752"/>
        <v>15.57785070818308</v>
      </c>
      <c r="GT894" s="1654">
        <f t="shared" si="1752"/>
        <v>8.6201572759962514E-2</v>
      </c>
      <c r="GU894" s="1654">
        <f t="shared" si="1752"/>
        <v>22.297540086999998</v>
      </c>
      <c r="GV894" s="1654">
        <f t="shared" si="1752"/>
        <v>35.923672596000003</v>
      </c>
      <c r="GW894" s="1654">
        <f t="shared" si="1752"/>
        <v>10.499729719000001</v>
      </c>
      <c r="GX894" s="1654">
        <f t="shared" si="1752"/>
        <v>10.484411414</v>
      </c>
      <c r="GY894" s="1654">
        <f t="shared" si="1752"/>
        <v>8.2915083240000005</v>
      </c>
      <c r="GZ894" s="1654">
        <f t="shared" si="1752"/>
        <v>10.036460014999999</v>
      </c>
      <c r="HA894" s="1654">
        <f t="shared" si="1752"/>
        <v>20.23517708</v>
      </c>
      <c r="HB894" s="1654">
        <f t="shared" si="1752"/>
        <v>18.173083986999998</v>
      </c>
      <c r="HC894" s="1654">
        <f t="shared" si="1752"/>
        <v>16.175031495999999</v>
      </c>
      <c r="HD894" s="1654">
        <f t="shared" si="1752"/>
        <v>31.989759982999999</v>
      </c>
      <c r="HE894" s="1654">
        <f t="shared" si="1752"/>
        <v>37.287784903000002</v>
      </c>
      <c r="HF894" s="1654">
        <f t="shared" si="1752"/>
        <v>7.2076600000000005E-2</v>
      </c>
      <c r="HG894" s="1654">
        <f t="shared" si="1752"/>
        <v>9.0138744800000019</v>
      </c>
      <c r="HH894" s="1654">
        <f t="shared" si="1752"/>
        <v>22.890058814</v>
      </c>
      <c r="HI894" s="1654">
        <f t="shared" si="1752"/>
        <v>40.253902515</v>
      </c>
      <c r="HJ894" s="1654">
        <f t="shared" si="1752"/>
        <v>15.843225168</v>
      </c>
      <c r="HK894" s="1654">
        <f t="shared" si="1752"/>
        <v>5.3394906669999997</v>
      </c>
      <c r="HL894" s="1654">
        <f t="shared" si="1752"/>
        <v>2.6442787830000043</v>
      </c>
      <c r="HM894" s="1654">
        <f t="shared" si="1752"/>
        <v>19.613552689999999</v>
      </c>
      <c r="HN894" s="1654">
        <f t="shared" si="1752"/>
        <v>31.020837392000001</v>
      </c>
      <c r="HO894" s="1654">
        <f t="shared" si="1752"/>
        <v>8.0439400449999994</v>
      </c>
      <c r="HP894" s="1654">
        <f t="shared" si="1752"/>
        <v>8.8612161399999998</v>
      </c>
      <c r="HQ894" s="1654">
        <f t="shared" si="1752"/>
        <v>5.703657969</v>
      </c>
      <c r="HR894" s="1654">
        <f t="shared" si="1752"/>
        <v>19.422349177000001</v>
      </c>
      <c r="HS894" s="1654">
        <f t="shared" ref="HS894:HX894" si="1753">HS467</f>
        <v>10.236054593</v>
      </c>
      <c r="HT894" s="1654">
        <f t="shared" si="1753"/>
        <v>24.470486940000001</v>
      </c>
      <c r="HU894" s="1654">
        <f t="shared" si="1753"/>
        <v>35.600019799000002</v>
      </c>
      <c r="HV894" s="1654">
        <f t="shared" si="1753"/>
        <v>10.109248633</v>
      </c>
      <c r="HW894" s="1654">
        <f t="shared" si="1753"/>
        <v>16.187033295999992</v>
      </c>
      <c r="HX894" s="1654">
        <f t="shared" si="1753"/>
        <v>14.194391206999999</v>
      </c>
      <c r="HY894" s="1654"/>
      <c r="HZ894" s="326"/>
      <c r="IA894" s="1416" t="s">
        <v>554</v>
      </c>
      <c r="IB894" s="279">
        <f>IB890-IB891</f>
        <v>31.685302341569397</v>
      </c>
      <c r="IC894" s="279">
        <f>IC890-IC891</f>
        <v>29.377782605368793</v>
      </c>
      <c r="ID894" s="323">
        <f t="shared" si="1720"/>
        <v>61.06308494693819</v>
      </c>
      <c r="IE894" s="279">
        <f>IE890-IE891</f>
        <v>32.309909514495899</v>
      </c>
      <c r="IF894" s="279">
        <f>IF890-IF891</f>
        <v>39.546461596682406</v>
      </c>
      <c r="IG894" s="323">
        <f t="shared" si="1721"/>
        <v>71.856371111178305</v>
      </c>
      <c r="IH894" s="279">
        <f>IH890-IH891</f>
        <v>37.389748839067494</v>
      </c>
      <c r="II894" s="279">
        <f>II890-II891</f>
        <v>40.720679183396811</v>
      </c>
      <c r="IJ894" s="323">
        <f t="shared" si="1722"/>
        <v>78.110428022464305</v>
      </c>
      <c r="IK894" s="279">
        <f>IK890-IK891</f>
        <v>40.274440578538503</v>
      </c>
      <c r="IL894" s="279">
        <f>IL890-IL891</f>
        <v>43.068917328760648</v>
      </c>
      <c r="IM894" s="323">
        <f t="shared" si="1723"/>
        <v>83.343357907299151</v>
      </c>
      <c r="IN894" s="279">
        <f>IN890-IN891</f>
        <v>41.183044113634196</v>
      </c>
      <c r="IO894" s="279">
        <f>IO890-IO891</f>
        <v>48.370073373253177</v>
      </c>
      <c r="IP894" s="323">
        <f t="shared" si="1724"/>
        <v>89.553117486887373</v>
      </c>
      <c r="IQ894" s="279">
        <f>IQ890-IQ891</f>
        <v>46.248709989561007</v>
      </c>
      <c r="IR894" s="279">
        <f>IR890-IR891</f>
        <v>54.700490288303996</v>
      </c>
      <c r="IS894" s="323">
        <f t="shared" si="1725"/>
        <v>100.949200277865</v>
      </c>
      <c r="IT894" s="279">
        <f>IT890-IT891</f>
        <v>61.13251341213271</v>
      </c>
      <c r="IU894" s="279">
        <f>IU890-IU891</f>
        <v>45.897173703478813</v>
      </c>
      <c r="IV894" s="323">
        <f t="shared" si="1726"/>
        <v>107.02968711561152</v>
      </c>
      <c r="IW894" s="327">
        <v>112.787708356</v>
      </c>
      <c r="IX894" s="327">
        <f>SUM(FQ894:FV894)</f>
        <v>56.617526952000006</v>
      </c>
      <c r="IY894" s="323">
        <f t="shared" si="1621"/>
        <v>169.40523530799999</v>
      </c>
      <c r="IZ894" s="327">
        <f t="shared" si="1699"/>
        <v>80.874557159999995</v>
      </c>
      <c r="JA894" s="327">
        <f t="shared" si="1700"/>
        <v>54.548449978000001</v>
      </c>
      <c r="JB894" s="323">
        <f t="shared" si="1458"/>
        <v>135.423007138</v>
      </c>
      <c r="JC894" s="327">
        <f t="shared" si="1624"/>
        <v>96.954353883999985</v>
      </c>
      <c r="JD894" s="327">
        <f t="shared" si="1701"/>
        <v>123.82360868558416</v>
      </c>
      <c r="JE894" s="323">
        <f t="shared" si="1702"/>
        <v>220.77796256958413</v>
      </c>
      <c r="JF894" s="327">
        <f t="shared" si="1638"/>
        <v>97.533322155000022</v>
      </c>
      <c r="JG894" s="327">
        <f t="shared" si="1667"/>
        <v>123.932914049</v>
      </c>
      <c r="JH894" s="323">
        <f t="shared" si="1703"/>
        <v>221.46623620400004</v>
      </c>
      <c r="JI894" s="327">
        <f t="shared" si="1744"/>
        <v>95.98483042700002</v>
      </c>
      <c r="JJ894" s="327">
        <f t="shared" si="1692"/>
        <v>92.665553412999998</v>
      </c>
      <c r="JK894" s="323">
        <f t="shared" si="1683"/>
        <v>188.65038384000002</v>
      </c>
      <c r="JL894" s="327">
        <f t="shared" si="1704"/>
        <v>110.79723446799998</v>
      </c>
      <c r="JM894" s="279">
        <f>JN894-JL894</f>
        <v>128.25157159973975</v>
      </c>
      <c r="JN894" s="323">
        <f>FISC!AK1215</f>
        <v>239.04880606773975</v>
      </c>
      <c r="JO894" s="327">
        <f t="shared" si="1668"/>
        <v>156.40586655739918</v>
      </c>
      <c r="JP894" s="279">
        <f t="shared" si="1647"/>
        <v>136.49966535918472</v>
      </c>
      <c r="JQ894" s="323">
        <f>FISC!AL1215</f>
        <v>284.37430283163485</v>
      </c>
      <c r="JR894" s="327">
        <f t="shared" ref="JR894:JR895" si="1754">JT894*0.55</f>
        <v>202.35727387174745</v>
      </c>
      <c r="JS894" s="279">
        <f t="shared" ref="JS894:JS895" si="1755">JT894-JR894</f>
        <v>165.56504225870242</v>
      </c>
      <c r="JT894" s="323">
        <f>FISC!AM1215</f>
        <v>367.92231613044987</v>
      </c>
      <c r="JU894" s="327">
        <f t="shared" ref="JU894:JU895" si="1756">JW894*0.55</f>
        <v>228.33710546254227</v>
      </c>
      <c r="JV894" s="279">
        <f t="shared" ref="JV894:JV895" si="1757">JW894-JU894</f>
        <v>186.82126810571637</v>
      </c>
      <c r="JW894" s="323">
        <f>FISC!AN1215</f>
        <v>415.15837356825864</v>
      </c>
      <c r="JX894" s="327">
        <f t="shared" ref="JX894:JX895" si="1758">JZ894*0.55</f>
        <v>280.79254697926837</v>
      </c>
      <c r="JY894" s="279">
        <f t="shared" ref="JY894:JY895" si="1759">JZ894-JX894</f>
        <v>229.73935661940135</v>
      </c>
      <c r="JZ894" s="323">
        <f>FISC!AO1215</f>
        <v>510.53190359866971</v>
      </c>
      <c r="KA894" s="327">
        <f t="shared" ref="KA894:KA895" si="1760">KC894*0.55</f>
        <v>317.29220090071965</v>
      </c>
      <c r="KB894" s="279">
        <f t="shared" ref="KB894:KB895" si="1761">KC894-KA894</f>
        <v>259.60270982786153</v>
      </c>
      <c r="KC894" s="323">
        <f>FISC!AP1215</f>
        <v>576.89491072858118</v>
      </c>
      <c r="KD894" s="327">
        <f t="shared" ref="KD894:KD895" si="1762">KF894*0.55</f>
        <v>378.6387114433507</v>
      </c>
      <c r="KE894" s="279">
        <f t="shared" ref="KE894:KE895" si="1763">KF894-KD894</f>
        <v>309.79530936274142</v>
      </c>
      <c r="KF894" s="323">
        <f>FISC!AQ1215</f>
        <v>688.43402080609212</v>
      </c>
      <c r="KG894" s="327">
        <f t="shared" ref="KG894:KG895" si="1764">KI894*0.55</f>
        <v>443.695457539747</v>
      </c>
      <c r="KH894" s="279">
        <f t="shared" ref="KH894:KH895" si="1765">KI894-KG894</f>
        <v>363.02355616888389</v>
      </c>
      <c r="KI894" s="323">
        <f>FISC!AR1215</f>
        <v>806.71901370863088</v>
      </c>
      <c r="KJ894" s="327">
        <f t="shared" ref="KJ894:KJ895" si="1766">KL894*0.55</f>
        <v>519.74203173201556</v>
      </c>
      <c r="KK894" s="279">
        <f t="shared" ref="KK894:KK895" si="1767">KL894-KJ894</f>
        <v>425.24348050801257</v>
      </c>
      <c r="KL894" s="323">
        <f>FISC!AS1215</f>
        <v>944.98551224002813</v>
      </c>
      <c r="KM894" s="327">
        <f t="shared" ref="KM894:KM895" si="1768">KO894*0.55</f>
        <v>714.72196923034937</v>
      </c>
      <c r="KN894" s="279">
        <f t="shared" ref="KN894:KN895" si="1769">KO894-KM894</f>
        <v>584.77252027937664</v>
      </c>
      <c r="KO894" s="323">
        <f>FISC!AT1215</f>
        <v>1299.494489509726</v>
      </c>
      <c r="KU894" s="326"/>
      <c r="KV894" s="327"/>
    </row>
    <row r="895" spans="1:308">
      <c r="A895" s="279"/>
      <c r="D895" s="1415" t="s">
        <v>3120</v>
      </c>
      <c r="E895" s="323"/>
      <c r="F895" s="323"/>
      <c r="G895" s="323"/>
      <c r="H895" s="323"/>
      <c r="I895" s="323"/>
      <c r="J895" s="323"/>
      <c r="K895" s="323"/>
      <c r="L895" s="323"/>
      <c r="M895" s="323"/>
      <c r="N895" s="323"/>
      <c r="O895" s="323"/>
      <c r="P895" s="323"/>
      <c r="Q895" s="323"/>
      <c r="R895" s="323"/>
      <c r="S895" s="323"/>
      <c r="T895" s="323"/>
      <c r="U895" s="323"/>
      <c r="V895" s="323"/>
      <c r="W895" s="323"/>
      <c r="X895" s="323"/>
      <c r="Y895" s="323"/>
      <c r="Z895" s="323"/>
      <c r="AA895" s="323"/>
      <c r="AB895" s="323"/>
      <c r="AC895" s="323"/>
      <c r="AD895" s="323"/>
      <c r="AE895" s="323"/>
      <c r="AF895" s="323"/>
      <c r="AG895" s="323"/>
      <c r="AH895" s="323"/>
      <c r="AI895" s="323"/>
      <c r="AJ895" s="323"/>
      <c r="AK895" s="323"/>
      <c r="AL895" s="323"/>
      <c r="AM895" s="323"/>
      <c r="AN895" s="323"/>
      <c r="AO895" s="323"/>
      <c r="AP895" s="323"/>
      <c r="AQ895" s="323"/>
      <c r="AR895" s="323"/>
      <c r="AS895" s="323"/>
      <c r="AT895" s="323"/>
      <c r="AU895" s="323"/>
      <c r="AV895" s="323"/>
      <c r="AW895" s="323"/>
      <c r="AX895" s="323"/>
      <c r="AY895" s="323"/>
      <c r="AZ895" s="323"/>
      <c r="BA895" s="323"/>
      <c r="BB895" s="323"/>
      <c r="BC895" s="323"/>
      <c r="BD895" s="323"/>
      <c r="BE895" s="323"/>
      <c r="BF895" s="323"/>
      <c r="BG895" s="323"/>
      <c r="BH895" s="323"/>
      <c r="BI895" s="323"/>
      <c r="BJ895" s="323"/>
      <c r="BK895" s="323"/>
      <c r="BL895" s="323"/>
      <c r="BM895" s="323"/>
      <c r="BN895" s="323"/>
      <c r="BO895" s="323"/>
      <c r="BP895" s="323"/>
      <c r="BQ895" s="323"/>
      <c r="BR895" s="323"/>
      <c r="BS895" s="323"/>
      <c r="BT895" s="323"/>
      <c r="BU895" s="323"/>
      <c r="BV895" s="323"/>
      <c r="BW895" s="323"/>
      <c r="BX895" s="323"/>
      <c r="BY895" s="323"/>
      <c r="BZ895" s="323"/>
      <c r="CA895" s="323"/>
      <c r="CB895" s="323"/>
      <c r="CC895" s="323"/>
      <c r="CD895" s="329"/>
      <c r="CE895" s="323"/>
      <c r="CF895" s="323"/>
      <c r="CG895" s="323"/>
      <c r="CH895" s="323"/>
      <c r="CI895" s="323"/>
      <c r="CJ895" s="323"/>
      <c r="CK895" s="323"/>
      <c r="CL895" s="323"/>
      <c r="CM895" s="323"/>
      <c r="CN895" s="323"/>
      <c r="CO895" s="323"/>
      <c r="CP895" s="325"/>
      <c r="CQ895" s="323"/>
      <c r="CR895" s="323"/>
      <c r="CS895" s="323"/>
      <c r="CT895" s="323"/>
      <c r="CU895" s="323"/>
      <c r="CV895" s="323"/>
      <c r="CW895" s="323"/>
      <c r="CX895" s="323"/>
      <c r="CY895" s="323"/>
      <c r="CZ895" s="323"/>
      <c r="DA895" s="323"/>
      <c r="DB895" s="1269"/>
      <c r="DC895" s="323"/>
      <c r="DD895" s="323"/>
      <c r="DE895" s="323"/>
      <c r="DF895" s="323"/>
      <c r="DG895" s="323"/>
      <c r="DH895" s="323"/>
      <c r="DI895" s="323"/>
      <c r="DJ895" s="323"/>
      <c r="DK895" s="323"/>
      <c r="DL895" s="323"/>
      <c r="DM895" s="323"/>
      <c r="DN895" s="325"/>
      <c r="DO895" s="323"/>
      <c r="DP895" s="323"/>
      <c r="DQ895" s="323"/>
      <c r="DR895" s="323"/>
      <c r="DS895" s="323"/>
      <c r="DT895" s="323"/>
      <c r="DU895" s="323"/>
      <c r="DV895" s="323"/>
      <c r="DW895" s="323"/>
      <c r="DX895" s="323"/>
      <c r="DY895" s="323"/>
      <c r="DZ895" s="325"/>
      <c r="EA895" s="323"/>
      <c r="EB895" s="323"/>
      <c r="EC895" s="323"/>
      <c r="ED895" s="323"/>
      <c r="EE895" s="323"/>
      <c r="EF895" s="323"/>
      <c r="EG895" s="323"/>
      <c r="EH895" s="323"/>
      <c r="EI895" s="323"/>
      <c r="EJ895" s="323"/>
      <c r="EK895" s="323"/>
      <c r="EL895" s="325"/>
      <c r="EM895" s="323"/>
      <c r="EN895" s="323"/>
      <c r="EO895" s="323"/>
      <c r="EP895" s="323"/>
      <c r="EQ895" s="323"/>
      <c r="ER895" s="323"/>
      <c r="ES895" s="323"/>
      <c r="ET895" s="323"/>
      <c r="EU895" s="323"/>
      <c r="EV895" s="323"/>
      <c r="EW895" s="323"/>
      <c r="EX895" s="325"/>
      <c r="EY895" s="323"/>
      <c r="EZ895" s="323"/>
      <c r="FA895" s="323"/>
      <c r="FB895" s="323"/>
      <c r="FC895" s="323"/>
      <c r="FD895" s="323"/>
      <c r="FE895" s="323"/>
      <c r="FF895" s="323"/>
      <c r="FG895" s="323"/>
      <c r="FH895" s="323"/>
      <c r="FI895" s="323"/>
      <c r="FJ895" s="325"/>
      <c r="FK895" s="323"/>
      <c r="FL895" s="323"/>
      <c r="FM895" s="323"/>
      <c r="FN895" s="323"/>
      <c r="FO895" s="323"/>
      <c r="FP895" s="323"/>
      <c r="FQ895" s="323"/>
      <c r="FR895" s="323"/>
      <c r="FS895" s="323"/>
      <c r="FT895" s="323"/>
      <c r="FU895" s="323"/>
      <c r="FV895" s="323"/>
      <c r="FW895" s="323"/>
      <c r="FX895" s="323"/>
      <c r="FY895" s="323"/>
      <c r="FZ895" s="323"/>
      <c r="GA895" s="323"/>
      <c r="GB895" s="323"/>
      <c r="GC895" s="323"/>
      <c r="GD895" s="323"/>
      <c r="GE895" s="323"/>
      <c r="GF895" s="323"/>
      <c r="GG895" s="323"/>
      <c r="GH895" s="323"/>
      <c r="GI895" s="1654">
        <v>0</v>
      </c>
      <c r="GJ895" s="1654">
        <v>0</v>
      </c>
      <c r="GK895" s="1654">
        <v>0</v>
      </c>
      <c r="GL895" s="1654">
        <v>0</v>
      </c>
      <c r="GM895" s="1654">
        <v>0</v>
      </c>
      <c r="GN895" s="1654">
        <v>0</v>
      </c>
      <c r="GO895" s="1654">
        <v>0</v>
      </c>
      <c r="GP895" s="1654">
        <v>0</v>
      </c>
      <c r="GQ895" s="1654">
        <v>0</v>
      </c>
      <c r="GR895" s="1654">
        <v>0</v>
      </c>
      <c r="GS895" s="1654">
        <v>0</v>
      </c>
      <c r="GT895" s="1654">
        <v>0</v>
      </c>
      <c r="GU895" s="1654">
        <v>0</v>
      </c>
      <c r="GV895" s="1654">
        <v>0</v>
      </c>
      <c r="GW895" s="1654">
        <v>0</v>
      </c>
      <c r="GX895" s="1654">
        <v>0</v>
      </c>
      <c r="GY895" s="1654">
        <v>0</v>
      </c>
      <c r="GZ895" s="1654">
        <v>0</v>
      </c>
      <c r="HA895" s="1654">
        <v>0</v>
      </c>
      <c r="HB895" s="1654">
        <v>0</v>
      </c>
      <c r="HC895" s="1654">
        <v>0</v>
      </c>
      <c r="HD895" s="1654">
        <v>0</v>
      </c>
      <c r="HE895" s="1654">
        <v>0</v>
      </c>
      <c r="HF895" s="1654">
        <v>0</v>
      </c>
      <c r="HG895" s="1654">
        <v>0</v>
      </c>
      <c r="HH895" s="1654">
        <v>0</v>
      </c>
      <c r="HI895" s="1654">
        <v>0</v>
      </c>
      <c r="HJ895" s="1654">
        <v>0</v>
      </c>
      <c r="HK895" s="1654">
        <v>0</v>
      </c>
      <c r="HL895" s="1654">
        <v>0</v>
      </c>
      <c r="HM895" s="1654">
        <v>0</v>
      </c>
      <c r="HN895" s="1654">
        <v>0</v>
      </c>
      <c r="HO895" s="1654">
        <v>0</v>
      </c>
      <c r="HP895" s="1654">
        <v>0</v>
      </c>
      <c r="HQ895" s="1654">
        <v>0</v>
      </c>
      <c r="HR895" s="1654">
        <v>0</v>
      </c>
      <c r="HS895" s="1654">
        <v>0</v>
      </c>
      <c r="HT895" s="1654">
        <v>0</v>
      </c>
      <c r="HU895" s="1654">
        <v>0</v>
      </c>
      <c r="HV895" s="1654">
        <v>0</v>
      </c>
      <c r="HW895" s="1654">
        <v>0</v>
      </c>
      <c r="HX895" s="1654">
        <v>0</v>
      </c>
      <c r="HY895" s="1654"/>
      <c r="HZ895" s="326"/>
      <c r="IA895" s="1415" t="s">
        <v>3120</v>
      </c>
      <c r="IB895" s="284"/>
      <c r="ID895" s="323">
        <f t="shared" si="1720"/>
        <v>0</v>
      </c>
      <c r="IG895" s="323">
        <f t="shared" si="1721"/>
        <v>0</v>
      </c>
      <c r="IH895" s="284"/>
      <c r="IJ895" s="323">
        <f t="shared" si="1722"/>
        <v>0</v>
      </c>
      <c r="IK895" s="327"/>
      <c r="IM895" s="323">
        <f t="shared" si="1723"/>
        <v>0</v>
      </c>
      <c r="IP895" s="323">
        <f t="shared" si="1724"/>
        <v>0</v>
      </c>
      <c r="IQ895" s="327"/>
      <c r="IR895" s="327"/>
      <c r="IS895" s="323">
        <f t="shared" si="1725"/>
        <v>0</v>
      </c>
      <c r="IT895" s="327"/>
      <c r="IU895" s="327"/>
      <c r="IV895" s="323">
        <f t="shared" si="1726"/>
        <v>0</v>
      </c>
      <c r="IW895" s="327">
        <v>0</v>
      </c>
      <c r="IX895" s="327">
        <f>SUM(FQ895:FV895)</f>
        <v>0</v>
      </c>
      <c r="IY895" s="323">
        <f t="shared" si="1621"/>
        <v>0</v>
      </c>
      <c r="IZ895" s="327">
        <f t="shared" si="1699"/>
        <v>0</v>
      </c>
      <c r="JA895" s="327">
        <f t="shared" si="1700"/>
        <v>0</v>
      </c>
      <c r="JB895" s="323">
        <f t="shared" si="1458"/>
        <v>0</v>
      </c>
      <c r="JC895" s="327">
        <f t="shared" si="1624"/>
        <v>0</v>
      </c>
      <c r="JD895" s="327">
        <f t="shared" si="1701"/>
        <v>0</v>
      </c>
      <c r="JE895" s="323">
        <f t="shared" si="1702"/>
        <v>0</v>
      </c>
      <c r="JF895" s="327">
        <f t="shared" si="1638"/>
        <v>0</v>
      </c>
      <c r="JG895" s="327">
        <f t="shared" si="1667"/>
        <v>0</v>
      </c>
      <c r="JH895" s="323">
        <f t="shared" si="1703"/>
        <v>0</v>
      </c>
      <c r="JI895" s="327">
        <f t="shared" si="1744"/>
        <v>0</v>
      </c>
      <c r="JJ895" s="327">
        <f t="shared" si="1692"/>
        <v>0</v>
      </c>
      <c r="JK895" s="323">
        <f t="shared" si="1683"/>
        <v>0</v>
      </c>
      <c r="JL895" s="327">
        <f t="shared" si="1704"/>
        <v>0</v>
      </c>
      <c r="JM895" s="279">
        <f>JN895-JL895</f>
        <v>0</v>
      </c>
      <c r="JN895" s="323">
        <f>FISC!AK1216</f>
        <v>0</v>
      </c>
      <c r="JO895" s="327">
        <f t="shared" si="1668"/>
        <v>0</v>
      </c>
      <c r="JP895" s="279">
        <f t="shared" si="1647"/>
        <v>0</v>
      </c>
      <c r="JQ895" s="323">
        <f>FISC!AL1216</f>
        <v>0</v>
      </c>
      <c r="JR895" s="327">
        <f t="shared" si="1754"/>
        <v>0</v>
      </c>
      <c r="JS895" s="279">
        <f t="shared" si="1755"/>
        <v>0</v>
      </c>
      <c r="JT895" s="323">
        <f>FISC!AM1216</f>
        <v>0</v>
      </c>
      <c r="JU895" s="327">
        <f t="shared" si="1756"/>
        <v>0</v>
      </c>
      <c r="JV895" s="279">
        <f t="shared" si="1757"/>
        <v>0</v>
      </c>
      <c r="JW895" s="323">
        <f>FISC!AN1216</f>
        <v>0</v>
      </c>
      <c r="JX895" s="327">
        <f t="shared" si="1758"/>
        <v>0</v>
      </c>
      <c r="JY895" s="279">
        <f t="shared" si="1759"/>
        <v>0</v>
      </c>
      <c r="JZ895" s="323">
        <f>FISC!AO1216</f>
        <v>0</v>
      </c>
      <c r="KA895" s="327">
        <f t="shared" si="1760"/>
        <v>0</v>
      </c>
      <c r="KB895" s="279">
        <f t="shared" si="1761"/>
        <v>0</v>
      </c>
      <c r="KC895" s="323">
        <f>FISC!AP1216</f>
        <v>0</v>
      </c>
      <c r="KD895" s="327">
        <f t="shared" si="1762"/>
        <v>0</v>
      </c>
      <c r="KE895" s="279">
        <f t="shared" si="1763"/>
        <v>0</v>
      </c>
      <c r="KF895" s="323">
        <f>FISC!AQ1216</f>
        <v>0</v>
      </c>
      <c r="KG895" s="327">
        <f t="shared" si="1764"/>
        <v>0</v>
      </c>
      <c r="KH895" s="279">
        <f t="shared" si="1765"/>
        <v>0</v>
      </c>
      <c r="KI895" s="323">
        <f>FISC!AR1216</f>
        <v>0</v>
      </c>
      <c r="KJ895" s="327">
        <f t="shared" si="1766"/>
        <v>0</v>
      </c>
      <c r="KK895" s="279">
        <f t="shared" si="1767"/>
        <v>0</v>
      </c>
      <c r="KL895" s="323">
        <f>FISC!AS1216</f>
        <v>0</v>
      </c>
      <c r="KM895" s="327">
        <f t="shared" si="1768"/>
        <v>0</v>
      </c>
      <c r="KN895" s="279">
        <f t="shared" si="1769"/>
        <v>0</v>
      </c>
      <c r="KO895" s="323">
        <f>FISC!AT1216</f>
        <v>0</v>
      </c>
      <c r="KU895" s="326"/>
      <c r="KV895" s="327"/>
    </row>
    <row r="896" spans="1:308">
      <c r="A896" s="279"/>
      <c r="D896" s="1415" t="str">
        <f>FISC!D1217</f>
        <v>o/w Social Protection</v>
      </c>
      <c r="E896" s="323"/>
      <c r="F896" s="323"/>
      <c r="G896" s="323"/>
      <c r="H896" s="323"/>
      <c r="I896" s="323"/>
      <c r="J896" s="323"/>
      <c r="K896" s="323"/>
      <c r="L896" s="323"/>
      <c r="M896" s="323"/>
      <c r="N896" s="323"/>
      <c r="O896" s="323"/>
      <c r="P896" s="323"/>
      <c r="Q896" s="323"/>
      <c r="R896" s="323"/>
      <c r="S896" s="323"/>
      <c r="T896" s="323"/>
      <c r="U896" s="323"/>
      <c r="V896" s="323"/>
      <c r="W896" s="323"/>
      <c r="X896" s="323"/>
      <c r="Y896" s="323"/>
      <c r="Z896" s="323"/>
      <c r="AA896" s="323"/>
      <c r="AB896" s="323"/>
      <c r="AC896" s="323"/>
      <c r="AD896" s="323"/>
      <c r="AE896" s="323"/>
      <c r="AF896" s="323"/>
      <c r="AG896" s="323"/>
      <c r="AH896" s="323"/>
      <c r="AI896" s="323"/>
      <c r="AJ896" s="323"/>
      <c r="AK896" s="323"/>
      <c r="AL896" s="323"/>
      <c r="AM896" s="323"/>
      <c r="AN896" s="323"/>
      <c r="AO896" s="323"/>
      <c r="AP896" s="323"/>
      <c r="AQ896" s="323"/>
      <c r="AR896" s="323"/>
      <c r="AS896" s="323"/>
      <c r="AT896" s="323"/>
      <c r="AU896" s="323"/>
      <c r="AV896" s="323"/>
      <c r="AW896" s="323"/>
      <c r="AX896" s="323"/>
      <c r="AY896" s="323"/>
      <c r="AZ896" s="323"/>
      <c r="BA896" s="323"/>
      <c r="BB896" s="323"/>
      <c r="BC896" s="323"/>
      <c r="BD896" s="323"/>
      <c r="BE896" s="323"/>
      <c r="BF896" s="323"/>
      <c r="BG896" s="323"/>
      <c r="BH896" s="323"/>
      <c r="BI896" s="323"/>
      <c r="BJ896" s="323"/>
      <c r="BK896" s="323"/>
      <c r="BL896" s="323"/>
      <c r="BM896" s="323"/>
      <c r="BN896" s="323"/>
      <c r="BO896" s="323"/>
      <c r="BP896" s="323"/>
      <c r="BQ896" s="323"/>
      <c r="BR896" s="323"/>
      <c r="BS896" s="323"/>
      <c r="BT896" s="323"/>
      <c r="BU896" s="323"/>
      <c r="BV896" s="323"/>
      <c r="BW896" s="323"/>
      <c r="BX896" s="323"/>
      <c r="BY896" s="323"/>
      <c r="BZ896" s="323"/>
      <c r="CA896" s="323"/>
      <c r="CB896" s="323"/>
      <c r="CC896" s="323"/>
      <c r="CD896" s="329"/>
      <c r="CE896" s="323"/>
      <c r="CF896" s="323"/>
      <c r="CG896" s="323"/>
      <c r="CH896" s="323"/>
      <c r="CI896" s="323"/>
      <c r="CJ896" s="323"/>
      <c r="CK896" s="323"/>
      <c r="CL896" s="323"/>
      <c r="CM896" s="323"/>
      <c r="CN896" s="323"/>
      <c r="CO896" s="323"/>
      <c r="CP896" s="325"/>
      <c r="CQ896" s="323"/>
      <c r="CR896" s="323"/>
      <c r="CS896" s="323"/>
      <c r="CT896" s="323"/>
      <c r="CU896" s="323"/>
      <c r="CV896" s="323"/>
      <c r="CW896" s="323"/>
      <c r="CX896" s="323"/>
      <c r="CY896" s="323"/>
      <c r="CZ896" s="323"/>
      <c r="DA896" s="323"/>
      <c r="DB896" s="1269"/>
      <c r="DC896" s="323"/>
      <c r="DD896" s="323"/>
      <c r="DE896" s="323"/>
      <c r="DF896" s="323"/>
      <c r="DG896" s="323"/>
      <c r="DH896" s="323"/>
      <c r="DI896" s="323"/>
      <c r="DJ896" s="323"/>
      <c r="DK896" s="323"/>
      <c r="DL896" s="323"/>
      <c r="DM896" s="323"/>
      <c r="DN896" s="325"/>
      <c r="DO896" s="323"/>
      <c r="DP896" s="323"/>
      <c r="DQ896" s="323"/>
      <c r="DR896" s="323"/>
      <c r="DS896" s="323"/>
      <c r="DT896" s="323"/>
      <c r="DU896" s="323"/>
      <c r="DV896" s="323"/>
      <c r="DW896" s="323"/>
      <c r="DX896" s="323"/>
      <c r="DY896" s="323"/>
      <c r="DZ896" s="325"/>
      <c r="EA896" s="323"/>
      <c r="EB896" s="323"/>
      <c r="EC896" s="323"/>
      <c r="ED896" s="323"/>
      <c r="EE896" s="323"/>
      <c r="EF896" s="323"/>
      <c r="EG896" s="323"/>
      <c r="EH896" s="323"/>
      <c r="EI896" s="323"/>
      <c r="EJ896" s="323"/>
      <c r="EK896" s="323"/>
      <c r="EL896" s="325"/>
      <c r="EM896" s="323"/>
      <c r="EN896" s="323"/>
      <c r="EO896" s="323"/>
      <c r="EP896" s="323"/>
      <c r="EQ896" s="323"/>
      <c r="ER896" s="323"/>
      <c r="ES896" s="323"/>
      <c r="ET896" s="323"/>
      <c r="EU896" s="323"/>
      <c r="EV896" s="323"/>
      <c r="EW896" s="323"/>
      <c r="EX896" s="325"/>
      <c r="EY896" s="323"/>
      <c r="EZ896" s="323"/>
      <c r="FA896" s="323"/>
      <c r="FB896" s="323"/>
      <c r="FC896" s="323"/>
      <c r="FD896" s="323"/>
      <c r="FE896" s="323"/>
      <c r="FF896" s="323"/>
      <c r="FG896" s="323"/>
      <c r="FH896" s="323"/>
      <c r="FI896" s="323"/>
      <c r="FJ896" s="325"/>
      <c r="FK896" s="323"/>
      <c r="FL896" s="323"/>
      <c r="FM896" s="323"/>
      <c r="FN896" s="323"/>
      <c r="FO896" s="323"/>
      <c r="FP896" s="323"/>
      <c r="FQ896" s="323"/>
      <c r="FR896" s="323"/>
      <c r="FS896" s="323"/>
      <c r="FT896" s="323"/>
      <c r="FU896" s="323"/>
      <c r="FV896" s="323"/>
      <c r="FW896" s="323"/>
      <c r="FX896" s="323"/>
      <c r="FY896" s="323"/>
      <c r="FZ896" s="323"/>
      <c r="GA896" s="323"/>
      <c r="GB896" s="323"/>
      <c r="GC896" s="323"/>
      <c r="GD896" s="323"/>
      <c r="GE896" s="323"/>
      <c r="GF896" s="323"/>
      <c r="GG896" s="323"/>
      <c r="GH896" s="323"/>
      <c r="GI896" s="1654">
        <v>0</v>
      </c>
      <c r="GJ896" s="1654">
        <v>0</v>
      </c>
      <c r="GK896" s="1654">
        <v>0</v>
      </c>
      <c r="GL896" s="1654">
        <v>0</v>
      </c>
      <c r="GM896" s="1654">
        <v>0</v>
      </c>
      <c r="GN896" s="1654">
        <v>0</v>
      </c>
      <c r="GO896" s="1654">
        <v>0</v>
      </c>
      <c r="GP896" s="1654">
        <v>0</v>
      </c>
      <c r="GQ896" s="1654">
        <v>0</v>
      </c>
      <c r="GR896" s="1654">
        <v>0</v>
      </c>
      <c r="GS896" s="1654">
        <v>0</v>
      </c>
      <c r="GT896" s="1654">
        <v>0</v>
      </c>
      <c r="GU896" s="1654">
        <v>0</v>
      </c>
      <c r="GV896" s="1654">
        <v>0</v>
      </c>
      <c r="GW896" s="1654">
        <v>0</v>
      </c>
      <c r="GX896" s="1654">
        <v>0</v>
      </c>
      <c r="GY896" s="1654">
        <v>0</v>
      </c>
      <c r="GZ896" s="1654">
        <v>0</v>
      </c>
      <c r="HA896" s="1654">
        <v>0</v>
      </c>
      <c r="HB896" s="1654">
        <v>0</v>
      </c>
      <c r="HC896" s="1654">
        <v>0</v>
      </c>
      <c r="HD896" s="1654">
        <v>0</v>
      </c>
      <c r="HE896" s="1654">
        <v>0</v>
      </c>
      <c r="HF896" s="1654">
        <v>0</v>
      </c>
      <c r="HG896" s="1654">
        <v>0</v>
      </c>
      <c r="HH896" s="1654">
        <v>0</v>
      </c>
      <c r="HI896" s="1654">
        <v>0</v>
      </c>
      <c r="HJ896" s="1654">
        <v>0</v>
      </c>
      <c r="HK896" s="1654">
        <v>0</v>
      </c>
      <c r="HL896" s="1654">
        <v>0</v>
      </c>
      <c r="HM896" s="1654">
        <v>0</v>
      </c>
      <c r="HN896" s="1654">
        <v>0</v>
      </c>
      <c r="HO896" s="1654">
        <v>0</v>
      </c>
      <c r="HP896" s="1654">
        <v>0</v>
      </c>
      <c r="HQ896" s="1654">
        <v>0</v>
      </c>
      <c r="HR896" s="1654">
        <v>0</v>
      </c>
      <c r="HS896" s="1654">
        <v>0</v>
      </c>
      <c r="HT896" s="1654">
        <v>0</v>
      </c>
      <c r="HU896" s="1654">
        <v>0</v>
      </c>
      <c r="HV896" s="1654">
        <v>0</v>
      </c>
      <c r="HW896" s="1654">
        <v>0</v>
      </c>
      <c r="HX896" s="1654">
        <v>0</v>
      </c>
      <c r="HY896" s="1654"/>
      <c r="HZ896" s="326"/>
      <c r="IA896" s="1415" t="s">
        <v>3280</v>
      </c>
      <c r="IB896" s="284"/>
      <c r="ID896" s="323"/>
      <c r="IG896" s="323"/>
      <c r="IH896" s="284"/>
      <c r="IJ896" s="323"/>
      <c r="IK896" s="327"/>
      <c r="IM896" s="323"/>
      <c r="IP896" s="323"/>
      <c r="IQ896" s="327"/>
      <c r="IR896" s="327"/>
      <c r="IS896" s="323"/>
      <c r="IT896" s="327"/>
      <c r="IU896" s="327"/>
      <c r="IV896" s="323"/>
      <c r="IW896" s="327"/>
      <c r="IX896" s="327"/>
      <c r="IY896" s="323"/>
      <c r="IZ896" s="327">
        <f t="shared" si="1699"/>
        <v>0</v>
      </c>
      <c r="JA896" s="327">
        <f t="shared" si="1700"/>
        <v>0</v>
      </c>
      <c r="JB896" s="323">
        <f t="shared" si="1458"/>
        <v>0</v>
      </c>
      <c r="JC896" s="327">
        <f t="shared" si="1624"/>
        <v>0</v>
      </c>
      <c r="JD896" s="327">
        <f t="shared" si="1701"/>
        <v>0</v>
      </c>
      <c r="JE896" s="323">
        <f t="shared" ref="JE896:JE903" si="1770">JC896+JD896</f>
        <v>0</v>
      </c>
      <c r="JF896" s="327">
        <f t="shared" si="1638"/>
        <v>0</v>
      </c>
      <c r="JG896" s="327">
        <f t="shared" si="1667"/>
        <v>0</v>
      </c>
      <c r="JH896" s="323">
        <f t="shared" si="1703"/>
        <v>0</v>
      </c>
      <c r="JI896" s="327">
        <f t="shared" si="1744"/>
        <v>0</v>
      </c>
      <c r="JJ896" s="327">
        <f t="shared" si="1692"/>
        <v>0</v>
      </c>
      <c r="JK896" s="323">
        <f t="shared" si="1683"/>
        <v>0</v>
      </c>
      <c r="JL896" s="327">
        <f t="shared" si="1704"/>
        <v>0</v>
      </c>
      <c r="JN896" s="323">
        <f>FISC!AK1217</f>
        <v>0</v>
      </c>
      <c r="JO896" s="327"/>
      <c r="JQ896" s="323">
        <f>FISC!AL1217</f>
        <v>0</v>
      </c>
      <c r="JR896" s="327"/>
      <c r="JT896" s="323">
        <f>FISC!AM1217</f>
        <v>0</v>
      </c>
      <c r="JU896" s="327"/>
      <c r="JW896" s="323">
        <f>FISC!AN1217</f>
        <v>0</v>
      </c>
      <c r="JX896" s="327"/>
      <c r="JZ896" s="323">
        <f>FISC!AO1217</f>
        <v>0</v>
      </c>
      <c r="KA896" s="327"/>
      <c r="KC896" s="323">
        <f>FISC!AP1217</f>
        <v>0</v>
      </c>
      <c r="KD896" s="327"/>
      <c r="KF896" s="323">
        <f>FISC!AQ1217</f>
        <v>0</v>
      </c>
      <c r="KG896" s="327"/>
      <c r="KI896" s="323">
        <f>FISC!AR1217</f>
        <v>0</v>
      </c>
      <c r="KJ896" s="327"/>
      <c r="KL896" s="323">
        <f>FISC!AS1217</f>
        <v>0</v>
      </c>
      <c r="KM896" s="327"/>
      <c r="KO896" s="323">
        <f>FISC!AT1217</f>
        <v>0</v>
      </c>
      <c r="KU896" s="326"/>
      <c r="KV896" s="327"/>
    </row>
    <row r="897" spans="1:314">
      <c r="A897" s="279"/>
      <c r="D897" s="1415" t="str">
        <f>FISC!D1218</f>
        <v>o/w Fertilizers</v>
      </c>
      <c r="E897" s="323"/>
      <c r="F897" s="323"/>
      <c r="G897" s="323"/>
      <c r="H897" s="323"/>
      <c r="I897" s="323"/>
      <c r="J897" s="323"/>
      <c r="K897" s="323"/>
      <c r="L897" s="323"/>
      <c r="M897" s="323"/>
      <c r="N897" s="323"/>
      <c r="O897" s="323"/>
      <c r="P897" s="323"/>
      <c r="Q897" s="323"/>
      <c r="R897" s="323"/>
      <c r="S897" s="323"/>
      <c r="T897" s="323"/>
      <c r="U897" s="323"/>
      <c r="V897" s="323"/>
      <c r="W897" s="323"/>
      <c r="X897" s="323"/>
      <c r="Y897" s="323"/>
      <c r="Z897" s="323"/>
      <c r="AA897" s="323"/>
      <c r="AB897" s="323"/>
      <c r="AC897" s="323"/>
      <c r="AD897" s="323"/>
      <c r="AE897" s="323"/>
      <c r="AF897" s="323"/>
      <c r="AG897" s="323"/>
      <c r="AH897" s="323"/>
      <c r="AI897" s="323"/>
      <c r="AJ897" s="323"/>
      <c r="AK897" s="323"/>
      <c r="AL897" s="323"/>
      <c r="AM897" s="323"/>
      <c r="AN897" s="323"/>
      <c r="AO897" s="323"/>
      <c r="AP897" s="323"/>
      <c r="AQ897" s="323"/>
      <c r="AR897" s="323"/>
      <c r="AS897" s="323"/>
      <c r="AT897" s="323"/>
      <c r="AU897" s="323"/>
      <c r="AV897" s="323"/>
      <c r="AW897" s="323"/>
      <c r="AX897" s="323"/>
      <c r="AY897" s="323"/>
      <c r="AZ897" s="323"/>
      <c r="BA897" s="323"/>
      <c r="BB897" s="323"/>
      <c r="BC897" s="323"/>
      <c r="BD897" s="323"/>
      <c r="BE897" s="323"/>
      <c r="BF897" s="323"/>
      <c r="BG897" s="323"/>
      <c r="BH897" s="323"/>
      <c r="BI897" s="323"/>
      <c r="BJ897" s="323"/>
      <c r="BK897" s="323"/>
      <c r="BL897" s="323"/>
      <c r="BM897" s="323"/>
      <c r="BN897" s="323"/>
      <c r="BO897" s="323"/>
      <c r="BP897" s="323"/>
      <c r="BQ897" s="323"/>
      <c r="BR897" s="323"/>
      <c r="BS897" s="323"/>
      <c r="BT897" s="323"/>
      <c r="BU897" s="323"/>
      <c r="BV897" s="323"/>
      <c r="BW897" s="323"/>
      <c r="BX897" s="323"/>
      <c r="BY897" s="323"/>
      <c r="BZ897" s="323"/>
      <c r="CA897" s="323"/>
      <c r="CB897" s="323"/>
      <c r="CC897" s="323"/>
      <c r="CD897" s="329"/>
      <c r="CE897" s="323"/>
      <c r="CF897" s="323"/>
      <c r="CG897" s="323"/>
      <c r="CH897" s="323"/>
      <c r="CI897" s="323"/>
      <c r="CJ897" s="323"/>
      <c r="CK897" s="323"/>
      <c r="CL897" s="323"/>
      <c r="CM897" s="323"/>
      <c r="CN897" s="323"/>
      <c r="CO897" s="323"/>
      <c r="CP897" s="325"/>
      <c r="CQ897" s="323"/>
      <c r="CR897" s="323"/>
      <c r="CS897" s="323"/>
      <c r="CT897" s="323"/>
      <c r="CU897" s="323"/>
      <c r="CV897" s="323"/>
      <c r="CW897" s="323"/>
      <c r="CX897" s="323"/>
      <c r="CY897" s="323"/>
      <c r="CZ897" s="323"/>
      <c r="DA897" s="323"/>
      <c r="DB897" s="1269"/>
      <c r="DC897" s="323"/>
      <c r="DD897" s="323"/>
      <c r="DE897" s="323"/>
      <c r="DF897" s="323"/>
      <c r="DG897" s="323"/>
      <c r="DH897" s="323"/>
      <c r="DI897" s="323"/>
      <c r="DJ897" s="323"/>
      <c r="DK897" s="323"/>
      <c r="DL897" s="323"/>
      <c r="DM897" s="323"/>
      <c r="DN897" s="325"/>
      <c r="DO897" s="323"/>
      <c r="DP897" s="323"/>
      <c r="DQ897" s="323"/>
      <c r="DR897" s="323"/>
      <c r="DS897" s="323"/>
      <c r="DT897" s="323"/>
      <c r="DU897" s="323"/>
      <c r="DV897" s="323"/>
      <c r="DW897" s="323"/>
      <c r="DX897" s="323"/>
      <c r="DY897" s="323"/>
      <c r="DZ897" s="325"/>
      <c r="EA897" s="323"/>
      <c r="EB897" s="323"/>
      <c r="EC897" s="323"/>
      <c r="ED897" s="323"/>
      <c r="EE897" s="323"/>
      <c r="EF897" s="323"/>
      <c r="EG897" s="323"/>
      <c r="EH897" s="323"/>
      <c r="EI897" s="323"/>
      <c r="EJ897" s="323"/>
      <c r="EK897" s="323"/>
      <c r="EL897" s="325"/>
      <c r="EM897" s="323"/>
      <c r="EN897" s="323"/>
      <c r="EO897" s="323"/>
      <c r="EP897" s="323"/>
      <c r="EQ897" s="323"/>
      <c r="ER897" s="323"/>
      <c r="ES897" s="323"/>
      <c r="ET897" s="323"/>
      <c r="EU897" s="323"/>
      <c r="EV897" s="323"/>
      <c r="EW897" s="323"/>
      <c r="EX897" s="325"/>
      <c r="EY897" s="323"/>
      <c r="EZ897" s="323"/>
      <c r="FA897" s="323"/>
      <c r="FB897" s="323"/>
      <c r="FC897" s="323"/>
      <c r="FD897" s="323"/>
      <c r="FE897" s="323"/>
      <c r="FF897" s="323"/>
      <c r="FG897" s="323"/>
      <c r="FH897" s="323"/>
      <c r="FI897" s="323"/>
      <c r="FJ897" s="325"/>
      <c r="FK897" s="323"/>
      <c r="FL897" s="323"/>
      <c r="FM897" s="323"/>
      <c r="FN897" s="323"/>
      <c r="FO897" s="323"/>
      <c r="FP897" s="323"/>
      <c r="FQ897" s="323"/>
      <c r="FR897" s="323"/>
      <c r="FS897" s="323"/>
      <c r="FT897" s="323"/>
      <c r="FU897" s="323"/>
      <c r="FV897" s="323"/>
      <c r="FW897" s="323"/>
      <c r="FX897" s="323"/>
      <c r="FY897" s="323"/>
      <c r="FZ897" s="323"/>
      <c r="GA897" s="323"/>
      <c r="GB897" s="323"/>
      <c r="GC897" s="323"/>
      <c r="GD897" s="323"/>
      <c r="GE897" s="323"/>
      <c r="GF897" s="323"/>
      <c r="GG897" s="323"/>
      <c r="GH897" s="323"/>
      <c r="GI897" s="1654">
        <v>0</v>
      </c>
      <c r="GJ897" s="1654">
        <v>0</v>
      </c>
      <c r="GK897" s="1654">
        <v>0</v>
      </c>
      <c r="GL897" s="1654">
        <v>0</v>
      </c>
      <c r="GM897" s="1654">
        <v>0</v>
      </c>
      <c r="GN897" s="1654">
        <v>0</v>
      </c>
      <c r="GO897" s="1654">
        <v>0</v>
      </c>
      <c r="GP897" s="1654">
        <v>0</v>
      </c>
      <c r="GQ897" s="1654">
        <v>0</v>
      </c>
      <c r="GR897" s="1654">
        <v>0</v>
      </c>
      <c r="GS897" s="1654">
        <v>0</v>
      </c>
      <c r="GT897" s="1654">
        <v>0</v>
      </c>
      <c r="GU897" s="1654">
        <v>0</v>
      </c>
      <c r="GV897" s="1654">
        <v>0</v>
      </c>
      <c r="GW897" s="1654">
        <v>0</v>
      </c>
      <c r="GX897" s="1654">
        <v>0</v>
      </c>
      <c r="GY897" s="1654">
        <v>0</v>
      </c>
      <c r="GZ897" s="1654">
        <v>0</v>
      </c>
      <c r="HA897" s="1654">
        <v>0</v>
      </c>
      <c r="HB897" s="1654">
        <v>0</v>
      </c>
      <c r="HC897" s="1654">
        <v>0</v>
      </c>
      <c r="HD897" s="1654">
        <v>0</v>
      </c>
      <c r="HE897" s="1654">
        <v>0</v>
      </c>
      <c r="HF897" s="1654">
        <v>0</v>
      </c>
      <c r="HG897" s="1654">
        <v>0</v>
      </c>
      <c r="HH897" s="1654">
        <v>0</v>
      </c>
      <c r="HI897" s="1654">
        <v>0</v>
      </c>
      <c r="HJ897" s="1654">
        <v>0</v>
      </c>
      <c r="HK897" s="1654">
        <v>0</v>
      </c>
      <c r="HL897" s="1654">
        <v>0</v>
      </c>
      <c r="HM897" s="1654">
        <v>0</v>
      </c>
      <c r="HN897" s="1654">
        <v>0</v>
      </c>
      <c r="HO897" s="1654">
        <v>0</v>
      </c>
      <c r="HP897" s="1654">
        <v>0</v>
      </c>
      <c r="HQ897" s="1654">
        <v>0</v>
      </c>
      <c r="HR897" s="1654">
        <v>0</v>
      </c>
      <c r="HS897" s="1654">
        <v>0</v>
      </c>
      <c r="HT897" s="1654">
        <v>0</v>
      </c>
      <c r="HU897" s="1654">
        <v>0</v>
      </c>
      <c r="HV897" s="1654">
        <v>0</v>
      </c>
      <c r="HW897" s="1654">
        <v>0</v>
      </c>
      <c r="HX897" s="1654">
        <v>0</v>
      </c>
      <c r="HY897" s="1654"/>
      <c r="HZ897" s="326"/>
      <c r="IA897" s="1415" t="s">
        <v>3281</v>
      </c>
      <c r="IB897" s="284"/>
      <c r="ID897" s="323"/>
      <c r="IG897" s="323"/>
      <c r="IH897" s="284"/>
      <c r="IJ897" s="323"/>
      <c r="IK897" s="327"/>
      <c r="IM897" s="323"/>
      <c r="IP897" s="323"/>
      <c r="IQ897" s="327"/>
      <c r="IR897" s="327"/>
      <c r="IS897" s="323"/>
      <c r="IT897" s="327"/>
      <c r="IU897" s="327"/>
      <c r="IV897" s="323"/>
      <c r="IW897" s="327"/>
      <c r="IX897" s="327"/>
      <c r="IY897" s="323"/>
      <c r="IZ897" s="327">
        <f t="shared" si="1699"/>
        <v>0</v>
      </c>
      <c r="JA897" s="327">
        <f t="shared" si="1700"/>
        <v>0</v>
      </c>
      <c r="JB897" s="323">
        <f t="shared" si="1458"/>
        <v>0</v>
      </c>
      <c r="JC897" s="327">
        <f t="shared" si="1624"/>
        <v>0</v>
      </c>
      <c r="JD897" s="327">
        <f t="shared" si="1701"/>
        <v>0</v>
      </c>
      <c r="JE897" s="323">
        <f t="shared" si="1770"/>
        <v>0</v>
      </c>
      <c r="JF897" s="327">
        <f t="shared" si="1638"/>
        <v>0</v>
      </c>
      <c r="JG897" s="327">
        <f t="shared" si="1667"/>
        <v>0</v>
      </c>
      <c r="JH897" s="323">
        <f t="shared" si="1703"/>
        <v>0</v>
      </c>
      <c r="JI897" s="327">
        <f t="shared" si="1744"/>
        <v>0</v>
      </c>
      <c r="JJ897" s="327">
        <f t="shared" si="1692"/>
        <v>0</v>
      </c>
      <c r="JK897" s="323">
        <f t="shared" si="1683"/>
        <v>0</v>
      </c>
      <c r="JL897" s="327">
        <f t="shared" si="1704"/>
        <v>0</v>
      </c>
      <c r="JN897" s="323">
        <f>FISC!AK1218</f>
        <v>0</v>
      </c>
      <c r="JO897" s="327"/>
      <c r="JQ897" s="323">
        <f>FISC!AL1218</f>
        <v>0</v>
      </c>
      <c r="JR897" s="327"/>
      <c r="JT897" s="323">
        <f>FISC!AM1218</f>
        <v>0</v>
      </c>
      <c r="JU897" s="327"/>
      <c r="JW897" s="323">
        <f>FISC!AN1218</f>
        <v>0</v>
      </c>
      <c r="JX897" s="327"/>
      <c r="JZ897" s="323">
        <f>FISC!AO1218</f>
        <v>0</v>
      </c>
      <c r="KA897" s="327"/>
      <c r="KC897" s="323">
        <f>FISC!AP1218</f>
        <v>0</v>
      </c>
      <c r="KD897" s="327"/>
      <c r="KF897" s="323">
        <f>FISC!AQ1218</f>
        <v>0</v>
      </c>
      <c r="KG897" s="327"/>
      <c r="KI897" s="323">
        <f>FISC!AR1218</f>
        <v>0</v>
      </c>
      <c r="KJ897" s="327"/>
      <c r="KL897" s="323">
        <f>FISC!AS1218</f>
        <v>0</v>
      </c>
      <c r="KM897" s="327"/>
      <c r="KO897" s="323">
        <f>FISC!AT1218</f>
        <v>0</v>
      </c>
      <c r="KU897" s="326"/>
      <c r="KV897" s="327"/>
    </row>
    <row r="898" spans="1:314">
      <c r="A898" s="279"/>
      <c r="D898" s="1415" t="str">
        <f>FISC!D1219</f>
        <v>Others</v>
      </c>
      <c r="E898" s="323"/>
      <c r="F898" s="323"/>
      <c r="G898" s="323"/>
      <c r="H898" s="323"/>
      <c r="I898" s="323"/>
      <c r="J898" s="323"/>
      <c r="K898" s="323"/>
      <c r="L898" s="323"/>
      <c r="M898" s="323"/>
      <c r="N898" s="323"/>
      <c r="O898" s="323"/>
      <c r="P898" s="323"/>
      <c r="Q898" s="323"/>
      <c r="R898" s="323"/>
      <c r="S898" s="323"/>
      <c r="T898" s="323"/>
      <c r="U898" s="323"/>
      <c r="V898" s="323"/>
      <c r="W898" s="323"/>
      <c r="X898" s="323"/>
      <c r="Y898" s="323"/>
      <c r="Z898" s="323"/>
      <c r="AA898" s="323"/>
      <c r="AB898" s="323"/>
      <c r="AC898" s="323"/>
      <c r="AD898" s="323"/>
      <c r="AE898" s="323"/>
      <c r="AF898" s="323"/>
      <c r="AG898" s="323"/>
      <c r="AH898" s="323"/>
      <c r="AI898" s="323"/>
      <c r="AJ898" s="323"/>
      <c r="AK898" s="323"/>
      <c r="AL898" s="323"/>
      <c r="AM898" s="323"/>
      <c r="AN898" s="323"/>
      <c r="AO898" s="323"/>
      <c r="AP898" s="323"/>
      <c r="AQ898" s="323"/>
      <c r="AR898" s="323"/>
      <c r="AS898" s="323"/>
      <c r="AT898" s="323"/>
      <c r="AU898" s="323"/>
      <c r="AV898" s="323"/>
      <c r="AW898" s="323"/>
      <c r="AX898" s="323"/>
      <c r="AY898" s="323"/>
      <c r="AZ898" s="323"/>
      <c r="BA898" s="323"/>
      <c r="BB898" s="323"/>
      <c r="BC898" s="323"/>
      <c r="BD898" s="323"/>
      <c r="BE898" s="323"/>
      <c r="BF898" s="323"/>
      <c r="BG898" s="323"/>
      <c r="BH898" s="323"/>
      <c r="BI898" s="323"/>
      <c r="BJ898" s="323"/>
      <c r="BK898" s="323"/>
      <c r="BL898" s="323"/>
      <c r="BM898" s="323"/>
      <c r="BN898" s="323"/>
      <c r="BO898" s="323"/>
      <c r="BP898" s="323"/>
      <c r="BQ898" s="323"/>
      <c r="BR898" s="323"/>
      <c r="BS898" s="323"/>
      <c r="BT898" s="323"/>
      <c r="BU898" s="323"/>
      <c r="BV898" s="323"/>
      <c r="BW898" s="323"/>
      <c r="BX898" s="323"/>
      <c r="BY898" s="323"/>
      <c r="BZ898" s="323"/>
      <c r="CA898" s="323"/>
      <c r="CB898" s="323"/>
      <c r="CC898" s="323"/>
      <c r="CD898" s="329"/>
      <c r="CE898" s="323">
        <v>0</v>
      </c>
      <c r="CF898" s="323">
        <v>0</v>
      </c>
      <c r="CG898" s="323">
        <v>0</v>
      </c>
      <c r="CH898" s="323">
        <v>0</v>
      </c>
      <c r="CI898" s="323">
        <v>0</v>
      </c>
      <c r="CJ898" s="323">
        <v>0</v>
      </c>
      <c r="CK898" s="323">
        <v>0</v>
      </c>
      <c r="CL898" s="323">
        <v>0</v>
      </c>
      <c r="CM898" s="323">
        <v>0</v>
      </c>
      <c r="CN898" s="323">
        <v>0</v>
      </c>
      <c r="CO898" s="323">
        <v>0</v>
      </c>
      <c r="CP898" s="325">
        <v>0</v>
      </c>
      <c r="CQ898" s="323"/>
      <c r="CR898" s="323"/>
      <c r="CS898" s="323"/>
      <c r="CT898" s="323"/>
      <c r="CU898" s="323"/>
      <c r="CV898" s="323"/>
      <c r="CW898" s="323"/>
      <c r="CX898" s="323"/>
      <c r="CY898" s="323"/>
      <c r="CZ898" s="323"/>
      <c r="DA898" s="323"/>
      <c r="DB898" s="1269"/>
      <c r="DC898" s="323"/>
      <c r="DD898" s="323"/>
      <c r="DE898" s="323"/>
      <c r="DF898" s="323"/>
      <c r="DG898" s="323"/>
      <c r="DH898" s="323"/>
      <c r="DI898" s="323"/>
      <c r="DJ898" s="323"/>
      <c r="DK898" s="323"/>
      <c r="DL898" s="323"/>
      <c r="DM898" s="323"/>
      <c r="DN898" s="325"/>
      <c r="DO898" s="323"/>
      <c r="DP898" s="323"/>
      <c r="DQ898" s="323"/>
      <c r="DR898" s="323"/>
      <c r="DS898" s="323"/>
      <c r="DT898" s="323"/>
      <c r="DU898" s="323"/>
      <c r="DV898" s="323"/>
      <c r="DW898" s="323"/>
      <c r="DX898" s="323"/>
      <c r="DY898" s="323"/>
      <c r="DZ898" s="325"/>
      <c r="EA898" s="323"/>
      <c r="EB898" s="323"/>
      <c r="EC898" s="323"/>
      <c r="ED898" s="323"/>
      <c r="EE898" s="323"/>
      <c r="EF898" s="323"/>
      <c r="EG898" s="323"/>
      <c r="EH898" s="323"/>
      <c r="EI898" s="323"/>
      <c r="EJ898" s="323"/>
      <c r="EK898" s="323"/>
      <c r="EL898" s="325"/>
      <c r="EM898" s="323"/>
      <c r="EN898" s="323"/>
      <c r="EO898" s="323"/>
      <c r="EP898" s="323"/>
      <c r="EQ898" s="323"/>
      <c r="ER898" s="323"/>
      <c r="ES898" s="323"/>
      <c r="ET898" s="323"/>
      <c r="EU898" s="323"/>
      <c r="EV898" s="323"/>
      <c r="EW898" s="323"/>
      <c r="EX898" s="325"/>
      <c r="EY898" s="323"/>
      <c r="EZ898" s="323"/>
      <c r="FA898" s="323"/>
      <c r="FB898" s="323"/>
      <c r="FC898" s="323"/>
      <c r="FD898" s="323"/>
      <c r="FE898" s="323"/>
      <c r="FF898" s="323"/>
      <c r="FG898" s="323"/>
      <c r="FH898" s="323"/>
      <c r="FI898" s="323"/>
      <c r="FJ898" s="325"/>
      <c r="FK898" s="323"/>
      <c r="FL898" s="323"/>
      <c r="FM898" s="323"/>
      <c r="FN898" s="323"/>
      <c r="FO898" s="323"/>
      <c r="FP898" s="323"/>
      <c r="FQ898" s="323"/>
      <c r="FR898" s="323"/>
      <c r="FS898" s="323"/>
      <c r="FT898" s="323"/>
      <c r="FU898" s="323"/>
      <c r="FV898" s="323"/>
      <c r="FW898" s="323"/>
      <c r="FX898" s="323"/>
      <c r="FY898" s="323"/>
      <c r="FZ898" s="323"/>
      <c r="GA898" s="323"/>
      <c r="GB898" s="323"/>
      <c r="GC898" s="323"/>
      <c r="GD898" s="323"/>
      <c r="GE898" s="323"/>
      <c r="GF898" s="323"/>
      <c r="GG898" s="323"/>
      <c r="GH898" s="323"/>
      <c r="GI898" s="1654">
        <v>0</v>
      </c>
      <c r="GJ898" s="1654">
        <v>0</v>
      </c>
      <c r="GK898" s="1654">
        <v>0</v>
      </c>
      <c r="GL898" s="1654">
        <v>0</v>
      </c>
      <c r="GM898" s="1654">
        <v>0</v>
      </c>
      <c r="GN898" s="1654">
        <v>0</v>
      </c>
      <c r="GO898" s="1654">
        <v>0</v>
      </c>
      <c r="GP898" s="1654">
        <v>0</v>
      </c>
      <c r="GQ898" s="1654">
        <v>0</v>
      </c>
      <c r="GR898" s="1654">
        <v>0</v>
      </c>
      <c r="GS898" s="1654">
        <v>0</v>
      </c>
      <c r="GT898" s="1654">
        <v>0</v>
      </c>
      <c r="GU898" s="1654">
        <v>0</v>
      </c>
      <c r="GV898" s="1654">
        <v>0</v>
      </c>
      <c r="GW898" s="1654">
        <v>0</v>
      </c>
      <c r="GX898" s="1654">
        <v>0</v>
      </c>
      <c r="GY898" s="1654">
        <v>0</v>
      </c>
      <c r="GZ898" s="1654">
        <v>0</v>
      </c>
      <c r="HA898" s="1654">
        <v>0</v>
      </c>
      <c r="HB898" s="1654">
        <v>0</v>
      </c>
      <c r="HC898" s="1654">
        <v>0</v>
      </c>
      <c r="HD898" s="1654">
        <v>0</v>
      </c>
      <c r="HE898" s="1654">
        <v>0</v>
      </c>
      <c r="HF898" s="1654">
        <v>0</v>
      </c>
      <c r="HG898" s="1654">
        <v>0</v>
      </c>
      <c r="HH898" s="1654">
        <v>0</v>
      </c>
      <c r="HI898" s="1654">
        <v>0</v>
      </c>
      <c r="HJ898" s="1654">
        <v>0</v>
      </c>
      <c r="HK898" s="1654">
        <v>0</v>
      </c>
      <c r="HL898" s="1654">
        <v>0</v>
      </c>
      <c r="HM898" s="1654">
        <v>0</v>
      </c>
      <c r="HN898" s="1654">
        <v>0</v>
      </c>
      <c r="HO898" s="1654">
        <v>0</v>
      </c>
      <c r="HP898" s="1654">
        <v>0</v>
      </c>
      <c r="HQ898" s="1654">
        <v>0</v>
      </c>
      <c r="HR898" s="1654">
        <v>0</v>
      </c>
      <c r="HS898" s="1654">
        <v>0</v>
      </c>
      <c r="HT898" s="1654">
        <v>0</v>
      </c>
      <c r="HU898" s="1654">
        <v>0</v>
      </c>
      <c r="HV898" s="1654">
        <v>0</v>
      </c>
      <c r="HW898" s="1654">
        <v>0</v>
      </c>
      <c r="HX898" s="1654">
        <v>0</v>
      </c>
      <c r="HY898" s="1654"/>
      <c r="HZ898" s="326"/>
      <c r="IA898" s="1416" t="s">
        <v>438</v>
      </c>
      <c r="IB898" s="284"/>
      <c r="ID898" s="323"/>
      <c r="IG898" s="323"/>
      <c r="IH898" s="284"/>
      <c r="IJ898" s="323"/>
      <c r="IK898" s="327"/>
      <c r="IM898" s="323"/>
      <c r="IP898" s="323"/>
      <c r="IQ898" s="327"/>
      <c r="IR898" s="327"/>
      <c r="IS898" s="323"/>
      <c r="IT898" s="327"/>
      <c r="IU898" s="327"/>
      <c r="IV898" s="323"/>
      <c r="IW898" s="327">
        <f>SUM(FK898:FP898)</f>
        <v>0</v>
      </c>
      <c r="IX898" s="327">
        <f>SUM(FQ898:FV898)</f>
        <v>0</v>
      </c>
      <c r="IY898" s="323">
        <f t="shared" si="1621"/>
        <v>0</v>
      </c>
      <c r="IZ898" s="327">
        <f t="shared" si="1699"/>
        <v>0</v>
      </c>
      <c r="JA898" s="327">
        <f t="shared" si="1700"/>
        <v>0</v>
      </c>
      <c r="JB898" s="323">
        <f t="shared" si="1458"/>
        <v>0</v>
      </c>
      <c r="JC898" s="327">
        <f t="shared" si="1624"/>
        <v>0</v>
      </c>
      <c r="JD898" s="327">
        <f t="shared" si="1701"/>
        <v>0</v>
      </c>
      <c r="JE898" s="323">
        <f t="shared" si="1770"/>
        <v>0</v>
      </c>
      <c r="JF898" s="327">
        <f t="shared" si="1638"/>
        <v>0</v>
      </c>
      <c r="JG898" s="327">
        <f t="shared" si="1667"/>
        <v>0</v>
      </c>
      <c r="JH898" s="323">
        <f t="shared" si="1703"/>
        <v>0</v>
      </c>
      <c r="JI898" s="327">
        <f t="shared" si="1744"/>
        <v>0</v>
      </c>
      <c r="JJ898" s="327">
        <f t="shared" si="1692"/>
        <v>0</v>
      </c>
      <c r="JK898" s="323">
        <f t="shared" si="1683"/>
        <v>0</v>
      </c>
      <c r="JL898" s="327">
        <f t="shared" si="1704"/>
        <v>0</v>
      </c>
      <c r="JM898" s="279">
        <f>JN898-JL898</f>
        <v>0</v>
      </c>
      <c r="JN898" s="323">
        <f>FISC!AK1219</f>
        <v>0</v>
      </c>
      <c r="JO898" s="327">
        <f t="shared" si="1668"/>
        <v>0</v>
      </c>
      <c r="JP898" s="279">
        <f t="shared" si="1647"/>
        <v>0</v>
      </c>
      <c r="JQ898" s="323">
        <f>FISC!AL1219</f>
        <v>0</v>
      </c>
      <c r="JR898" s="327">
        <f t="shared" ref="JR898:JR903" si="1771">JT898*0.55</f>
        <v>0</v>
      </c>
      <c r="JS898" s="279">
        <f t="shared" ref="JS898:JS903" si="1772">JT898-JR898</f>
        <v>0</v>
      </c>
      <c r="JT898" s="323">
        <f>FISC!AM1219</f>
        <v>0</v>
      </c>
      <c r="JU898" s="327">
        <f t="shared" ref="JU898:JU903" si="1773">JW898*0.55</f>
        <v>0</v>
      </c>
      <c r="JV898" s="279">
        <f t="shared" ref="JV898:JV903" si="1774">JW898-JU898</f>
        <v>0</v>
      </c>
      <c r="JW898" s="323">
        <f>FISC!AN1219</f>
        <v>0</v>
      </c>
      <c r="JX898" s="327">
        <f t="shared" ref="JX898:JX903" si="1775">JZ898*0.55</f>
        <v>0</v>
      </c>
      <c r="JY898" s="279">
        <f t="shared" ref="JY898:JY903" si="1776">JZ898-JX898</f>
        <v>0</v>
      </c>
      <c r="JZ898" s="323">
        <f>FISC!AO1219</f>
        <v>0</v>
      </c>
      <c r="KA898" s="327">
        <f t="shared" ref="KA898" si="1777">KC898*0.55</f>
        <v>0</v>
      </c>
      <c r="KB898" s="279">
        <f t="shared" ref="KB898" si="1778">KC898-KA898</f>
        <v>0</v>
      </c>
      <c r="KC898" s="323">
        <f>FISC!AP1219</f>
        <v>0</v>
      </c>
      <c r="KD898" s="327">
        <f t="shared" ref="KD898" si="1779">KF898*0.55</f>
        <v>0</v>
      </c>
      <c r="KE898" s="279">
        <f t="shared" ref="KE898" si="1780">KF898-KD898</f>
        <v>0</v>
      </c>
      <c r="KF898" s="323">
        <f>FISC!AQ1219</f>
        <v>0</v>
      </c>
      <c r="KG898" s="327">
        <f t="shared" ref="KG898" si="1781">KI898*0.55</f>
        <v>0</v>
      </c>
      <c r="KH898" s="279">
        <f t="shared" ref="KH898" si="1782">KI898-KG898</f>
        <v>0</v>
      </c>
      <c r="KI898" s="323">
        <f>FISC!AR1219</f>
        <v>0</v>
      </c>
      <c r="KJ898" s="327">
        <f t="shared" ref="KJ898" si="1783">KL898*0.55</f>
        <v>0</v>
      </c>
      <c r="KK898" s="279">
        <f t="shared" ref="KK898" si="1784">KL898-KJ898</f>
        <v>0</v>
      </c>
      <c r="KL898" s="323">
        <f>FISC!AS1219</f>
        <v>0</v>
      </c>
      <c r="KM898" s="327">
        <f t="shared" ref="KM898" si="1785">KO898*0.55</f>
        <v>0</v>
      </c>
      <c r="KN898" s="279">
        <f t="shared" ref="KN898" si="1786">KO898-KM898</f>
        <v>0</v>
      </c>
      <c r="KO898" s="323">
        <f>FISC!AT1219</f>
        <v>0</v>
      </c>
      <c r="KU898" s="326"/>
      <c r="KV898" s="327"/>
    </row>
    <row r="899" spans="1:314" ht="15.3">
      <c r="A899" s="279"/>
      <c r="D899" s="1680" t="str">
        <f>FISC!D1220</f>
        <v>Flood response (GoR)</v>
      </c>
      <c r="E899" s="323"/>
      <c r="F899" s="323"/>
      <c r="G899" s="323"/>
      <c r="H899" s="323"/>
      <c r="I899" s="323"/>
      <c r="J899" s="323"/>
      <c r="K899" s="323"/>
      <c r="L899" s="323"/>
      <c r="M899" s="323"/>
      <c r="N899" s="323"/>
      <c r="O899" s="323"/>
      <c r="P899" s="323"/>
      <c r="Q899" s="323"/>
      <c r="R899" s="323"/>
      <c r="S899" s="323"/>
      <c r="T899" s="323"/>
      <c r="U899" s="323"/>
      <c r="V899" s="323"/>
      <c r="W899" s="323"/>
      <c r="X899" s="323"/>
      <c r="Y899" s="323"/>
      <c r="Z899" s="323"/>
      <c r="AA899" s="323"/>
      <c r="AB899" s="323"/>
      <c r="AC899" s="323"/>
      <c r="AD899" s="323"/>
      <c r="AE899" s="323"/>
      <c r="AF899" s="323"/>
      <c r="AG899" s="323"/>
      <c r="AH899" s="323"/>
      <c r="AI899" s="323"/>
      <c r="AJ899" s="323"/>
      <c r="AK899" s="323"/>
      <c r="AL899" s="323"/>
      <c r="AM899" s="323"/>
      <c r="AN899" s="323"/>
      <c r="AO899" s="323"/>
      <c r="AP899" s="323"/>
      <c r="AQ899" s="323"/>
      <c r="AR899" s="323"/>
      <c r="AS899" s="323"/>
      <c r="AT899" s="323"/>
      <c r="AU899" s="323"/>
      <c r="AV899" s="323"/>
      <c r="AW899" s="323"/>
      <c r="AX899" s="323"/>
      <c r="AY899" s="323"/>
      <c r="AZ899" s="323"/>
      <c r="BA899" s="323"/>
      <c r="BB899" s="323"/>
      <c r="BC899" s="323"/>
      <c r="BD899" s="323"/>
      <c r="BE899" s="323"/>
      <c r="BF899" s="323"/>
      <c r="BG899" s="323"/>
      <c r="BH899" s="323"/>
      <c r="BI899" s="323"/>
      <c r="BJ899" s="323"/>
      <c r="BK899" s="323"/>
      <c r="BL899" s="323"/>
      <c r="BM899" s="323"/>
      <c r="BN899" s="323"/>
      <c r="BO899" s="323"/>
      <c r="BP899" s="323"/>
      <c r="BQ899" s="323"/>
      <c r="BR899" s="323"/>
      <c r="BS899" s="323"/>
      <c r="BT899" s="323"/>
      <c r="BU899" s="323"/>
      <c r="BV899" s="323"/>
      <c r="BW899" s="323"/>
      <c r="BX899" s="323"/>
      <c r="BY899" s="323"/>
      <c r="BZ899" s="323"/>
      <c r="CA899" s="323"/>
      <c r="CB899" s="323"/>
      <c r="CC899" s="323"/>
      <c r="CD899" s="329"/>
      <c r="CE899" s="323"/>
      <c r="CF899" s="323"/>
      <c r="CG899" s="323"/>
      <c r="CH899" s="323"/>
      <c r="CI899" s="323"/>
      <c r="CJ899" s="323"/>
      <c r="CK899" s="323"/>
      <c r="CL899" s="323"/>
      <c r="CM899" s="323"/>
      <c r="CN899" s="323"/>
      <c r="CO899" s="323"/>
      <c r="CP899" s="325"/>
      <c r="CQ899" s="323"/>
      <c r="CR899" s="323"/>
      <c r="CS899" s="323"/>
      <c r="CT899" s="323"/>
      <c r="CU899" s="323"/>
      <c r="CV899" s="323"/>
      <c r="CW899" s="323"/>
      <c r="CX899" s="323"/>
      <c r="CY899" s="323"/>
      <c r="CZ899" s="323"/>
      <c r="DA899" s="323"/>
      <c r="DB899" s="1269"/>
      <c r="DC899" s="323"/>
      <c r="DD899" s="323"/>
      <c r="DE899" s="323"/>
      <c r="DF899" s="323"/>
      <c r="DG899" s="323"/>
      <c r="DH899" s="323"/>
      <c r="DI899" s="323"/>
      <c r="DJ899" s="323"/>
      <c r="DK899" s="323"/>
      <c r="DL899" s="323"/>
      <c r="DM899" s="323"/>
      <c r="DN899" s="325"/>
      <c r="DO899" s="323"/>
      <c r="DP899" s="323"/>
      <c r="DQ899" s="323"/>
      <c r="DR899" s="323"/>
      <c r="DS899" s="323"/>
      <c r="DT899" s="323"/>
      <c r="DU899" s="323"/>
      <c r="DV899" s="323"/>
      <c r="DW899" s="323"/>
      <c r="DX899" s="323"/>
      <c r="DY899" s="323"/>
      <c r="DZ899" s="325"/>
      <c r="EA899" s="323"/>
      <c r="EB899" s="323"/>
      <c r="EC899" s="323"/>
      <c r="ED899" s="323"/>
      <c r="EE899" s="323"/>
      <c r="EF899" s="323"/>
      <c r="EG899" s="323"/>
      <c r="EH899" s="323"/>
      <c r="EI899" s="323"/>
      <c r="EJ899" s="323"/>
      <c r="EK899" s="323"/>
      <c r="EL899" s="325"/>
      <c r="EM899" s="323"/>
      <c r="EN899" s="323"/>
      <c r="EO899" s="323"/>
      <c r="EP899" s="323"/>
      <c r="EQ899" s="323"/>
      <c r="ER899" s="323"/>
      <c r="ES899" s="323"/>
      <c r="ET899" s="323"/>
      <c r="EU899" s="323"/>
      <c r="EV899" s="323"/>
      <c r="EW899" s="323"/>
      <c r="EX899" s="325"/>
      <c r="EY899" s="323"/>
      <c r="EZ899" s="323"/>
      <c r="FA899" s="323"/>
      <c r="FB899" s="323"/>
      <c r="FC899" s="323"/>
      <c r="FD899" s="323"/>
      <c r="FE899" s="323"/>
      <c r="FF899" s="323"/>
      <c r="FG899" s="323"/>
      <c r="FH899" s="323"/>
      <c r="FI899" s="323"/>
      <c r="FJ899" s="325"/>
      <c r="FK899" s="323"/>
      <c r="FL899" s="323"/>
      <c r="FM899" s="323"/>
      <c r="FN899" s="323"/>
      <c r="FO899" s="323"/>
      <c r="FP899" s="323"/>
      <c r="FQ899" s="323"/>
      <c r="FR899" s="323"/>
      <c r="FS899" s="323"/>
      <c r="FT899" s="323"/>
      <c r="FU899" s="323"/>
      <c r="FV899" s="323"/>
      <c r="FW899" s="323"/>
      <c r="FX899" s="323"/>
      <c r="FY899" s="323"/>
      <c r="FZ899" s="323"/>
      <c r="GA899" s="323"/>
      <c r="GB899" s="323"/>
      <c r="GC899" s="323"/>
      <c r="GD899" s="323"/>
      <c r="GE899" s="323"/>
      <c r="GF899" s="323"/>
      <c r="GG899" s="323"/>
      <c r="GH899" s="323"/>
      <c r="GI899" s="1654"/>
      <c r="GJ899" s="1654"/>
      <c r="GK899" s="1654"/>
      <c r="GL899" s="1654"/>
      <c r="GM899" s="1654"/>
      <c r="GN899" s="1654"/>
      <c r="GO899" s="1654"/>
      <c r="GP899" s="1654"/>
      <c r="GQ899" s="1654"/>
      <c r="GR899" s="1654"/>
      <c r="GS899" s="1654"/>
      <c r="GT899" s="1654"/>
      <c r="GU899" s="1654"/>
      <c r="GV899" s="1654"/>
      <c r="GW899" s="1654"/>
      <c r="GX899" s="1654"/>
      <c r="GY899" s="1654"/>
      <c r="GZ899" s="1654"/>
      <c r="HA899" s="1654"/>
      <c r="HB899" s="1654"/>
      <c r="HC899" s="1654"/>
      <c r="HD899" s="1654"/>
      <c r="HE899" s="1654"/>
      <c r="HF899" s="1654"/>
      <c r="HG899" s="1654"/>
      <c r="HH899" s="1654"/>
      <c r="HI899" s="1654"/>
      <c r="HJ899" s="1654"/>
      <c r="HK899" s="1654"/>
      <c r="HL899" s="1654"/>
      <c r="HM899" s="1654"/>
      <c r="HN899" s="1654"/>
      <c r="HO899" s="1654"/>
      <c r="HP899" s="1654"/>
      <c r="HQ899" s="1654"/>
      <c r="HR899" s="1654"/>
      <c r="HS899" s="1654"/>
      <c r="HT899" s="1654"/>
      <c r="HU899" s="1654"/>
      <c r="HV899" s="1654"/>
      <c r="HW899" s="1654"/>
      <c r="HX899" s="1654"/>
      <c r="HY899" s="1654"/>
      <c r="HZ899" s="326"/>
      <c r="IA899" s="2394" t="s">
        <v>3505</v>
      </c>
      <c r="IB899" s="284"/>
      <c r="ID899" s="323"/>
      <c r="IG899" s="323"/>
      <c r="IH899" s="284"/>
      <c r="IJ899" s="323"/>
      <c r="IK899" s="327"/>
      <c r="IM899" s="323"/>
      <c r="IP899" s="323"/>
      <c r="IQ899" s="327"/>
      <c r="IR899" s="327"/>
      <c r="IS899" s="323"/>
      <c r="IT899" s="327"/>
      <c r="IU899" s="327"/>
      <c r="IV899" s="323"/>
      <c r="IW899" s="327"/>
      <c r="IX899" s="327"/>
      <c r="IY899" s="323"/>
      <c r="IZ899" s="327"/>
      <c r="JA899" s="327"/>
      <c r="JB899" s="323"/>
      <c r="JC899" s="327"/>
      <c r="JD899" s="327"/>
      <c r="JE899" s="323"/>
      <c r="JF899" s="327">
        <v>1.9</v>
      </c>
      <c r="JG899" s="327">
        <f t="shared" si="1667"/>
        <v>0</v>
      </c>
      <c r="JH899" s="323">
        <f t="shared" si="1703"/>
        <v>1.9</v>
      </c>
      <c r="JI899" s="327">
        <f t="shared" si="1744"/>
        <v>0</v>
      </c>
      <c r="JJ899" s="327">
        <f t="shared" si="1692"/>
        <v>0</v>
      </c>
      <c r="JK899" s="323">
        <f t="shared" si="1683"/>
        <v>0</v>
      </c>
      <c r="JL899" s="327">
        <f t="shared" si="1704"/>
        <v>0</v>
      </c>
      <c r="JN899" s="323">
        <f>FISC!AK1220</f>
        <v>0</v>
      </c>
      <c r="JO899" s="327"/>
      <c r="JQ899" s="323">
        <f>FISC!AL1220</f>
        <v>0</v>
      </c>
      <c r="JR899" s="327"/>
      <c r="JT899" s="323">
        <f>FISC!AM1220</f>
        <v>0</v>
      </c>
      <c r="JU899" s="327"/>
      <c r="JW899" s="323">
        <f>FISC!AN1220</f>
        <v>0</v>
      </c>
      <c r="JX899" s="327"/>
      <c r="JZ899" s="323">
        <f>FISC!AO1220</f>
        <v>0</v>
      </c>
      <c r="KA899" s="327"/>
      <c r="KC899" s="323">
        <f>FISC!AP1220</f>
        <v>0</v>
      </c>
      <c r="KD899" s="327"/>
      <c r="KF899" s="323">
        <f>FISC!AQ1220</f>
        <v>0</v>
      </c>
      <c r="KG899" s="327"/>
      <c r="KI899" s="323">
        <f>FISC!AR1220</f>
        <v>0</v>
      </c>
      <c r="KJ899" s="327"/>
      <c r="KL899" s="323">
        <f>FISC!AS1220</f>
        <v>0</v>
      </c>
      <c r="KM899" s="327"/>
      <c r="KO899" s="323">
        <f>FISC!AT1220</f>
        <v>0</v>
      </c>
      <c r="KU899" s="326"/>
      <c r="KV899" s="327"/>
    </row>
    <row r="900" spans="1:314" ht="15.3">
      <c r="A900" s="279"/>
      <c r="D900" s="1680" t="str">
        <f>FISC!D1221</f>
        <v xml:space="preserve">UK Contigent </v>
      </c>
      <c r="E900" s="323"/>
      <c r="F900" s="323"/>
      <c r="G900" s="323"/>
      <c r="H900" s="323"/>
      <c r="I900" s="323"/>
      <c r="J900" s="323"/>
      <c r="K900" s="323"/>
      <c r="L900" s="323"/>
      <c r="M900" s="323"/>
      <c r="N900" s="323"/>
      <c r="O900" s="323"/>
      <c r="P900" s="323"/>
      <c r="Q900" s="323"/>
      <c r="R900" s="323"/>
      <c r="S900" s="323"/>
      <c r="T900" s="323"/>
      <c r="U900" s="323"/>
      <c r="V900" s="323"/>
      <c r="W900" s="323"/>
      <c r="X900" s="323"/>
      <c r="Y900" s="323"/>
      <c r="Z900" s="323"/>
      <c r="AA900" s="323"/>
      <c r="AB900" s="323"/>
      <c r="AC900" s="323"/>
      <c r="AD900" s="323"/>
      <c r="AE900" s="323"/>
      <c r="AF900" s="323"/>
      <c r="AG900" s="323"/>
      <c r="AH900" s="323"/>
      <c r="AI900" s="323"/>
      <c r="AJ900" s="323"/>
      <c r="AK900" s="323"/>
      <c r="AL900" s="323"/>
      <c r="AM900" s="323"/>
      <c r="AN900" s="323"/>
      <c r="AO900" s="323"/>
      <c r="AP900" s="323"/>
      <c r="AQ900" s="323"/>
      <c r="AR900" s="323"/>
      <c r="AS900" s="323"/>
      <c r="AT900" s="323"/>
      <c r="AU900" s="323"/>
      <c r="AV900" s="323"/>
      <c r="AW900" s="323"/>
      <c r="AX900" s="323"/>
      <c r="AY900" s="323"/>
      <c r="AZ900" s="323"/>
      <c r="BA900" s="323"/>
      <c r="BB900" s="323"/>
      <c r="BC900" s="323"/>
      <c r="BD900" s="323"/>
      <c r="BE900" s="323"/>
      <c r="BF900" s="323"/>
      <c r="BG900" s="323"/>
      <c r="BH900" s="323"/>
      <c r="BI900" s="323"/>
      <c r="BJ900" s="323"/>
      <c r="BK900" s="323"/>
      <c r="BL900" s="323"/>
      <c r="BM900" s="323"/>
      <c r="BN900" s="323"/>
      <c r="BO900" s="323"/>
      <c r="BP900" s="323"/>
      <c r="BQ900" s="323"/>
      <c r="BR900" s="323"/>
      <c r="BS900" s="323"/>
      <c r="BT900" s="323"/>
      <c r="BU900" s="323"/>
      <c r="BV900" s="323"/>
      <c r="BW900" s="323"/>
      <c r="BX900" s="323"/>
      <c r="BY900" s="323"/>
      <c r="BZ900" s="323"/>
      <c r="CA900" s="323"/>
      <c r="CB900" s="323"/>
      <c r="CC900" s="323"/>
      <c r="CD900" s="329"/>
      <c r="CE900" s="323"/>
      <c r="CF900" s="323"/>
      <c r="CG900" s="323"/>
      <c r="CH900" s="323"/>
      <c r="CI900" s="323"/>
      <c r="CJ900" s="323"/>
      <c r="CK900" s="323"/>
      <c r="CL900" s="323"/>
      <c r="CM900" s="323"/>
      <c r="CN900" s="323"/>
      <c r="CO900" s="323"/>
      <c r="CP900" s="325"/>
      <c r="CQ900" s="323"/>
      <c r="CR900" s="323"/>
      <c r="CS900" s="323"/>
      <c r="CT900" s="323"/>
      <c r="CU900" s="323"/>
      <c r="CV900" s="323"/>
      <c r="CW900" s="323"/>
      <c r="CX900" s="323"/>
      <c r="CY900" s="323"/>
      <c r="CZ900" s="323"/>
      <c r="DA900" s="323"/>
      <c r="DB900" s="1269"/>
      <c r="DC900" s="323"/>
      <c r="DD900" s="323"/>
      <c r="DE900" s="323"/>
      <c r="DF900" s="323"/>
      <c r="DG900" s="323"/>
      <c r="DH900" s="323"/>
      <c r="DI900" s="323"/>
      <c r="DJ900" s="323"/>
      <c r="DK900" s="323"/>
      <c r="DL900" s="323"/>
      <c r="DM900" s="323"/>
      <c r="DN900" s="325"/>
      <c r="DO900" s="323"/>
      <c r="DP900" s="323"/>
      <c r="DQ900" s="323"/>
      <c r="DR900" s="323"/>
      <c r="DS900" s="323"/>
      <c r="DT900" s="323"/>
      <c r="DU900" s="323"/>
      <c r="DV900" s="323"/>
      <c r="DW900" s="323"/>
      <c r="DX900" s="323"/>
      <c r="DY900" s="323"/>
      <c r="DZ900" s="325"/>
      <c r="EA900" s="323"/>
      <c r="EB900" s="323"/>
      <c r="EC900" s="323"/>
      <c r="ED900" s="323"/>
      <c r="EE900" s="323"/>
      <c r="EF900" s="323"/>
      <c r="EG900" s="323"/>
      <c r="EH900" s="323"/>
      <c r="EI900" s="323"/>
      <c r="EJ900" s="323"/>
      <c r="EK900" s="323"/>
      <c r="EL900" s="325"/>
      <c r="EM900" s="323"/>
      <c r="EN900" s="323"/>
      <c r="EO900" s="323"/>
      <c r="EP900" s="323"/>
      <c r="EQ900" s="323"/>
      <c r="ER900" s="323"/>
      <c r="ES900" s="323"/>
      <c r="ET900" s="323"/>
      <c r="EU900" s="323"/>
      <c r="EV900" s="323"/>
      <c r="EW900" s="323"/>
      <c r="EX900" s="325"/>
      <c r="EY900" s="323"/>
      <c r="EZ900" s="323"/>
      <c r="FA900" s="323"/>
      <c r="FB900" s="323"/>
      <c r="FC900" s="323"/>
      <c r="FD900" s="323"/>
      <c r="FE900" s="323"/>
      <c r="FF900" s="323"/>
      <c r="FG900" s="323"/>
      <c r="FH900" s="323"/>
      <c r="FI900" s="323"/>
      <c r="FJ900" s="325"/>
      <c r="FK900" s="323"/>
      <c r="FL900" s="323"/>
      <c r="FM900" s="323"/>
      <c r="FN900" s="323"/>
      <c r="FO900" s="323"/>
      <c r="FP900" s="323"/>
      <c r="FQ900" s="323"/>
      <c r="FR900" s="323"/>
      <c r="FS900" s="323"/>
      <c r="FT900" s="323"/>
      <c r="FU900" s="323"/>
      <c r="FV900" s="323"/>
      <c r="FW900" s="323"/>
      <c r="FX900" s="323"/>
      <c r="FY900" s="323"/>
      <c r="FZ900" s="323"/>
      <c r="GA900" s="323"/>
      <c r="GB900" s="323"/>
      <c r="GC900" s="323"/>
      <c r="GD900" s="323"/>
      <c r="GE900" s="323"/>
      <c r="GF900" s="323"/>
      <c r="GG900" s="323"/>
      <c r="GH900" s="323"/>
      <c r="GI900" s="1654"/>
      <c r="GJ900" s="1654"/>
      <c r="GK900" s="1654"/>
      <c r="GL900" s="1654"/>
      <c r="GM900" s="1654"/>
      <c r="GN900" s="1654"/>
      <c r="GO900" s="1654"/>
      <c r="GP900" s="1654"/>
      <c r="GQ900" s="1654"/>
      <c r="GR900" s="1654"/>
      <c r="GS900" s="1654"/>
      <c r="GT900" s="1654"/>
      <c r="GU900" s="1654"/>
      <c r="GV900" s="1654"/>
      <c r="GW900" s="1654"/>
      <c r="GX900" s="1654"/>
      <c r="GY900" s="1654"/>
      <c r="GZ900" s="1654"/>
      <c r="HA900" s="1654"/>
      <c r="HB900" s="1654"/>
      <c r="HC900" s="1654"/>
      <c r="HD900" s="1654"/>
      <c r="HE900" s="1654"/>
      <c r="HF900" s="1654"/>
      <c r="HG900" s="1654"/>
      <c r="HH900" s="1654"/>
      <c r="HI900" s="1654"/>
      <c r="HJ900" s="1654"/>
      <c r="HK900" s="1654"/>
      <c r="HL900" s="1654"/>
      <c r="HM900" s="1654"/>
      <c r="HN900" s="1654"/>
      <c r="HO900" s="1654"/>
      <c r="HP900" s="1654"/>
      <c r="HQ900" s="1654"/>
      <c r="HR900" s="1654"/>
      <c r="HS900" s="1654"/>
      <c r="HT900" s="1654"/>
      <c r="HU900" s="1654"/>
      <c r="HV900" s="1654"/>
      <c r="HW900" s="1654"/>
      <c r="HX900" s="1654"/>
      <c r="HY900" s="1654"/>
      <c r="HZ900" s="326"/>
      <c r="IA900" s="2393" t="s">
        <v>3504</v>
      </c>
      <c r="IB900" s="284"/>
      <c r="ID900" s="323"/>
      <c r="IG900" s="323"/>
      <c r="IH900" s="284"/>
      <c r="IJ900" s="323"/>
      <c r="IK900" s="327"/>
      <c r="IM900" s="323"/>
      <c r="IP900" s="323"/>
      <c r="IQ900" s="327"/>
      <c r="IR900" s="327"/>
      <c r="IS900" s="323"/>
      <c r="IT900" s="327"/>
      <c r="IU900" s="327"/>
      <c r="IV900" s="323"/>
      <c r="IW900" s="327"/>
      <c r="IX900" s="327"/>
      <c r="IY900" s="323"/>
      <c r="IZ900" s="327"/>
      <c r="JA900" s="327"/>
      <c r="JB900" s="323"/>
      <c r="JC900" s="327"/>
      <c r="JD900" s="327"/>
      <c r="JE900" s="323"/>
      <c r="JF900" s="327">
        <f t="shared" si="1638"/>
        <v>0</v>
      </c>
      <c r="JG900" s="327">
        <f t="shared" si="1667"/>
        <v>0</v>
      </c>
      <c r="JH900" s="323">
        <f t="shared" si="1703"/>
        <v>0</v>
      </c>
      <c r="JI900" s="327">
        <f t="shared" si="1744"/>
        <v>0</v>
      </c>
      <c r="JJ900" s="327">
        <f t="shared" si="1692"/>
        <v>0</v>
      </c>
      <c r="JK900" s="323">
        <f t="shared" si="1683"/>
        <v>0</v>
      </c>
      <c r="JL900" s="327">
        <f t="shared" si="1704"/>
        <v>0</v>
      </c>
      <c r="JN900" s="323">
        <f>FISC!AK1221</f>
        <v>0</v>
      </c>
      <c r="JO900" s="327"/>
      <c r="JQ900" s="323">
        <f>FISC!AL1221</f>
        <v>0</v>
      </c>
      <c r="JR900" s="327"/>
      <c r="JT900" s="323">
        <f>FISC!AM1221</f>
        <v>0</v>
      </c>
      <c r="JU900" s="327"/>
      <c r="JW900" s="323">
        <f>FISC!AN1221</f>
        <v>0</v>
      </c>
      <c r="JX900" s="327"/>
      <c r="JZ900" s="323">
        <f>FISC!AO1221</f>
        <v>0</v>
      </c>
      <c r="KA900" s="327"/>
      <c r="KC900" s="323">
        <f>FISC!AP1221</f>
        <v>0</v>
      </c>
      <c r="KD900" s="327"/>
      <c r="KF900" s="323">
        <f>FISC!AQ1221</f>
        <v>0</v>
      </c>
      <c r="KG900" s="327"/>
      <c r="KI900" s="323">
        <f>FISC!AR1221</f>
        <v>0</v>
      </c>
      <c r="KJ900" s="327"/>
      <c r="KL900" s="323">
        <f>FISC!AS1221</f>
        <v>0</v>
      </c>
      <c r="KM900" s="327"/>
      <c r="KO900" s="323">
        <f>FISC!AT1221</f>
        <v>0</v>
      </c>
      <c r="KU900" s="326"/>
      <c r="KV900" s="327"/>
    </row>
    <row r="901" spans="1:314">
      <c r="A901" s="279"/>
      <c r="B901" s="96" t="s">
        <v>338</v>
      </c>
      <c r="D901" s="332" t="s">
        <v>533</v>
      </c>
      <c r="E901" s="323">
        <f>E453</f>
        <v>0</v>
      </c>
      <c r="F901" s="323"/>
      <c r="G901" s="323"/>
      <c r="H901" s="323"/>
      <c r="I901" s="323"/>
      <c r="J901" s="323"/>
      <c r="K901" s="323"/>
      <c r="L901" s="323"/>
      <c r="M901" s="323"/>
      <c r="N901" s="323"/>
      <c r="O901" s="323"/>
      <c r="P901" s="323"/>
      <c r="Q901" s="323"/>
      <c r="R901" s="323"/>
      <c r="S901" s="323"/>
      <c r="T901" s="323"/>
      <c r="U901" s="323"/>
      <c r="V901" s="323"/>
      <c r="W901" s="323"/>
      <c r="X901" s="323"/>
      <c r="Y901" s="323"/>
      <c r="Z901" s="323"/>
      <c r="AA901" s="323"/>
      <c r="AB901" s="323"/>
      <c r="AC901" s="323"/>
      <c r="AD901" s="323"/>
      <c r="AE901" s="323"/>
      <c r="AF901" s="323"/>
      <c r="AG901" s="323"/>
      <c r="AH901" s="323"/>
      <c r="AI901" s="323"/>
      <c r="AJ901" s="323"/>
      <c r="AK901" s="323"/>
      <c r="AL901" s="323"/>
      <c r="AM901" s="323"/>
      <c r="AN901" s="323"/>
      <c r="AO901" s="323"/>
      <c r="AP901" s="323"/>
      <c r="AQ901" s="323"/>
      <c r="AR901" s="323"/>
      <c r="AS901" s="323"/>
      <c r="AT901" s="323"/>
      <c r="AU901" s="323"/>
      <c r="AV901" s="323"/>
      <c r="AW901" s="323"/>
      <c r="AX901" s="323"/>
      <c r="AY901" s="323"/>
      <c r="AZ901" s="323"/>
      <c r="BA901" s="323"/>
      <c r="BB901" s="323"/>
      <c r="BC901" s="323"/>
      <c r="BD901" s="323"/>
      <c r="BE901" s="323"/>
      <c r="BF901" s="323"/>
      <c r="BG901" s="323">
        <v>0.72797558612000002</v>
      </c>
      <c r="BH901" s="323">
        <v>3.9888344401999998</v>
      </c>
      <c r="BI901" s="323">
        <v>1.166327176</v>
      </c>
      <c r="BJ901" s="323">
        <v>4.5365377540000003</v>
      </c>
      <c r="BK901" s="323">
        <v>2.5838418239999998</v>
      </c>
      <c r="BL901" s="323">
        <v>2.7104474930000002</v>
      </c>
      <c r="BM901" s="323">
        <v>3.7477305379999999</v>
      </c>
      <c r="BN901" s="323">
        <v>3.0145003730000002</v>
      </c>
      <c r="BO901" s="323">
        <v>1.9164415459999999</v>
      </c>
      <c r="BP901" s="323">
        <v>4.6199256719499999</v>
      </c>
      <c r="BQ901" s="323">
        <v>1.9218507739999999</v>
      </c>
      <c r="BR901" s="323">
        <v>0.36023317574000002</v>
      </c>
      <c r="BS901" s="323">
        <v>2.9701385550000001</v>
      </c>
      <c r="BT901" s="323">
        <v>3.0417317160000001</v>
      </c>
      <c r="BU901" s="323">
        <v>0.88294982399999999</v>
      </c>
      <c r="BV901" s="323">
        <v>4.5379594660000002</v>
      </c>
      <c r="BW901" s="323">
        <v>2.1944629180000002</v>
      </c>
      <c r="BX901" s="323">
        <v>3.2697257560000001</v>
      </c>
      <c r="BY901" s="323">
        <v>1.815874443</v>
      </c>
      <c r="BZ901" s="323">
        <v>3.0689477100000002</v>
      </c>
      <c r="CA901" s="323">
        <v>2.213082714</v>
      </c>
      <c r="CB901" s="323">
        <v>4.3015471639999996</v>
      </c>
      <c r="CC901" s="323">
        <v>2.2333725969999998</v>
      </c>
      <c r="CD901" s="329">
        <v>0.85199352900000003</v>
      </c>
      <c r="CE901" s="323">
        <f t="shared" ref="CE901:DJ901" si="1787">CE468</f>
        <v>1.694336734</v>
      </c>
      <c r="CF901" s="323">
        <f t="shared" si="1787"/>
        <v>0.34213592300000001</v>
      </c>
      <c r="CG901" s="323">
        <f t="shared" si="1787"/>
        <v>2.0015177820000001</v>
      </c>
      <c r="CH901" s="323">
        <f t="shared" si="1787"/>
        <v>2.643980714</v>
      </c>
      <c r="CI901" s="323">
        <f t="shared" si="1787"/>
        <v>1.9010356150000001</v>
      </c>
      <c r="CJ901" s="323">
        <f t="shared" si="1787"/>
        <v>0.37540928699999998</v>
      </c>
      <c r="CK901" s="323">
        <f t="shared" si="1787"/>
        <v>1.9275458009999999</v>
      </c>
      <c r="CL901" s="323">
        <f t="shared" si="1787"/>
        <v>2.3708177899999998</v>
      </c>
      <c r="CM901" s="323">
        <f t="shared" si="1787"/>
        <v>1.4137448189999999</v>
      </c>
      <c r="CN901" s="323">
        <f t="shared" si="1787"/>
        <v>4.0224860720000004</v>
      </c>
      <c r="CO901" s="323">
        <f t="shared" si="1787"/>
        <v>3.435584135</v>
      </c>
      <c r="CP901" s="325">
        <f t="shared" si="1787"/>
        <v>0.75093030500000002</v>
      </c>
      <c r="CQ901" s="323">
        <f t="shared" si="1787"/>
        <v>2.3906111839999999</v>
      </c>
      <c r="CR901" s="323">
        <f t="shared" si="1787"/>
        <v>1.0183012629999999</v>
      </c>
      <c r="CS901" s="323">
        <f t="shared" si="1787"/>
        <v>0.82287460700000004</v>
      </c>
      <c r="CT901" s="323">
        <f t="shared" si="1787"/>
        <v>1.3026442389999999</v>
      </c>
      <c r="CU901" s="323">
        <f t="shared" si="1787"/>
        <v>0.97001537400000004</v>
      </c>
      <c r="CV901" s="323">
        <f t="shared" si="1787"/>
        <v>1.7521545860000001</v>
      </c>
      <c r="CW901" s="323">
        <f t="shared" si="1787"/>
        <v>1.165955109</v>
      </c>
      <c r="CX901" s="323">
        <f t="shared" si="1787"/>
        <v>0.74236926700000005</v>
      </c>
      <c r="CY901" s="323">
        <f t="shared" si="1787"/>
        <v>4.8269116089999997</v>
      </c>
      <c r="CZ901" s="323">
        <f t="shared" si="1787"/>
        <v>3.0675081569999998</v>
      </c>
      <c r="DA901" s="323">
        <f t="shared" si="1787"/>
        <v>3.6386895080000001</v>
      </c>
      <c r="DB901" s="1269">
        <f t="shared" si="1787"/>
        <v>0.86262805399999998</v>
      </c>
      <c r="DC901" s="323">
        <f t="shared" si="1787"/>
        <v>1.5044696980000001</v>
      </c>
      <c r="DD901" s="323">
        <f t="shared" si="1787"/>
        <v>0.627667647</v>
      </c>
      <c r="DE901" s="323">
        <f t="shared" si="1787"/>
        <v>1.7528183930000001</v>
      </c>
      <c r="DF901" s="323">
        <f t="shared" si="1787"/>
        <v>2.3458812569999998</v>
      </c>
      <c r="DG901" s="323">
        <f t="shared" si="1787"/>
        <v>2.1914482510000002</v>
      </c>
      <c r="DH901" s="323">
        <f t="shared" si="1787"/>
        <v>1.343832125</v>
      </c>
      <c r="DI901" s="323">
        <f t="shared" si="1787"/>
        <v>1.9781937430000001</v>
      </c>
      <c r="DJ901" s="323">
        <f t="shared" si="1787"/>
        <v>2.1640983980000001</v>
      </c>
      <c r="DK901" s="323">
        <f t="shared" ref="DK901:EP901" si="1788">DK468</f>
        <v>3.3052532179999998</v>
      </c>
      <c r="DL901" s="323">
        <f t="shared" si="1788"/>
        <v>4.0667894770000004</v>
      </c>
      <c r="DM901" s="323">
        <f t="shared" si="1788"/>
        <v>2.0382407599999999</v>
      </c>
      <c r="DN901" s="325">
        <f t="shared" si="1788"/>
        <v>1.288448796</v>
      </c>
      <c r="DO901" s="323">
        <f t="shared" si="1788"/>
        <v>0.95087065599999998</v>
      </c>
      <c r="DP901" s="323">
        <f t="shared" si="1788"/>
        <v>1.4591613000000001</v>
      </c>
      <c r="DQ901" s="323">
        <f t="shared" si="1788"/>
        <v>0.74290474699999998</v>
      </c>
      <c r="DR901" s="323">
        <f t="shared" si="1788"/>
        <v>1.5319065089999999</v>
      </c>
      <c r="DS901" s="323">
        <f t="shared" si="1788"/>
        <v>1.4276739469999999</v>
      </c>
      <c r="DT901" s="323">
        <f t="shared" si="1788"/>
        <v>2.712064518</v>
      </c>
      <c r="DU901" s="323">
        <f t="shared" si="1788"/>
        <v>0.98750042400000004</v>
      </c>
      <c r="DV901" s="323">
        <f t="shared" si="1788"/>
        <v>2.4017155840000002</v>
      </c>
      <c r="DW901" s="323">
        <f t="shared" si="1788"/>
        <v>0.82440291700000001</v>
      </c>
      <c r="DX901" s="323">
        <f t="shared" si="1788"/>
        <v>5.6141318489999996</v>
      </c>
      <c r="DY901" s="323">
        <f t="shared" si="1788"/>
        <v>4.3962038139999997</v>
      </c>
      <c r="DZ901" s="325">
        <f t="shared" si="1788"/>
        <v>0.62810827400000002</v>
      </c>
      <c r="EA901" s="323">
        <f t="shared" si="1788"/>
        <v>1.1708866120000001</v>
      </c>
      <c r="EB901" s="323">
        <f t="shared" si="1788"/>
        <v>0.75580043500000005</v>
      </c>
      <c r="EC901" s="323">
        <f t="shared" si="1788"/>
        <v>1.755143793</v>
      </c>
      <c r="ED901" s="323">
        <f t="shared" si="1788"/>
        <v>1.0557142559999999</v>
      </c>
      <c r="EE901" s="323">
        <f t="shared" si="1788"/>
        <v>2.0397238419999999</v>
      </c>
      <c r="EF901" s="323">
        <f t="shared" si="1788"/>
        <v>0.916798157</v>
      </c>
      <c r="EG901" s="323">
        <f t="shared" si="1788"/>
        <v>2.5546144399999999</v>
      </c>
      <c r="EH901" s="323">
        <f t="shared" si="1788"/>
        <v>1.889572751</v>
      </c>
      <c r="EI901" s="323">
        <f t="shared" si="1788"/>
        <v>4.6231627990000002</v>
      </c>
      <c r="EJ901" s="323">
        <f t="shared" si="1788"/>
        <v>4.7630311250000004</v>
      </c>
      <c r="EK901" s="323">
        <f t="shared" si="1788"/>
        <v>2.7607849450000002</v>
      </c>
      <c r="EL901" s="325">
        <f t="shared" si="1788"/>
        <v>0.89356759299999999</v>
      </c>
      <c r="EM901" s="323">
        <f t="shared" si="1788"/>
        <v>1.6142200179999999</v>
      </c>
      <c r="EN901" s="323">
        <f t="shared" si="1788"/>
        <v>0.89031991200000005</v>
      </c>
      <c r="EO901" s="323">
        <f t="shared" si="1788"/>
        <v>2.108782589</v>
      </c>
      <c r="EP901" s="323">
        <f t="shared" si="1788"/>
        <v>0.73936070499999995</v>
      </c>
      <c r="EQ901" s="323">
        <f t="shared" ref="EQ901:FV901" si="1789">EQ468</f>
        <v>1.3657821000000001</v>
      </c>
      <c r="ER901" s="323">
        <f t="shared" si="1789"/>
        <v>3.3043372020000001</v>
      </c>
      <c r="ES901" s="323">
        <f t="shared" si="1789"/>
        <v>5.9037791310000003</v>
      </c>
      <c r="ET901" s="323">
        <f t="shared" si="1789"/>
        <v>1.060348689</v>
      </c>
      <c r="EU901" s="323">
        <f t="shared" si="1789"/>
        <v>2.140259023</v>
      </c>
      <c r="EV901" s="323">
        <f t="shared" si="1789"/>
        <v>3.6435456049999999</v>
      </c>
      <c r="EW901" s="323">
        <f t="shared" si="1789"/>
        <v>2.2992679119999999</v>
      </c>
      <c r="EX901" s="325">
        <f t="shared" si="1789"/>
        <v>0.75024441600000003</v>
      </c>
      <c r="EY901" s="323">
        <f t="shared" si="1789"/>
        <v>3.9453585000000002</v>
      </c>
      <c r="EZ901" s="323">
        <f t="shared" si="1789"/>
        <v>1.031143436</v>
      </c>
      <c r="FA901" s="323">
        <f t="shared" si="1789"/>
        <v>1.4299499920000001</v>
      </c>
      <c r="FB901" s="323">
        <f t="shared" si="1789"/>
        <v>5.3039082369999999</v>
      </c>
      <c r="FC901" s="323">
        <f t="shared" si="1789"/>
        <v>1.616856469</v>
      </c>
      <c r="FD901" s="323">
        <f t="shared" si="1789"/>
        <v>2.4091368800000001</v>
      </c>
      <c r="FE901" s="323">
        <f t="shared" si="1789"/>
        <v>1.6777123009999999</v>
      </c>
      <c r="FF901" s="323">
        <f t="shared" si="1789"/>
        <v>2.5551396369999999</v>
      </c>
      <c r="FG901" s="323">
        <f t="shared" si="1789"/>
        <v>2.2302403979999998</v>
      </c>
      <c r="FH901" s="323">
        <f t="shared" si="1789"/>
        <v>1.916184654</v>
      </c>
      <c r="FI901" s="323">
        <f t="shared" si="1789"/>
        <v>1.855069549</v>
      </c>
      <c r="FJ901" s="325">
        <f t="shared" si="1789"/>
        <v>0.69850705300000004</v>
      </c>
      <c r="FK901" s="323">
        <f t="shared" si="1789"/>
        <v>3.4627875640000001</v>
      </c>
      <c r="FL901" s="323">
        <f t="shared" si="1789"/>
        <v>1.783247966</v>
      </c>
      <c r="FM901" s="323">
        <f t="shared" si="1789"/>
        <v>7.2172518590000001</v>
      </c>
      <c r="FN901" s="323">
        <f t="shared" si="1789"/>
        <v>0</v>
      </c>
      <c r="FO901" s="323">
        <f t="shared" si="1789"/>
        <v>0</v>
      </c>
      <c r="FP901" s="323">
        <f t="shared" si="1789"/>
        <v>0</v>
      </c>
      <c r="FQ901" s="323">
        <f t="shared" si="1789"/>
        <v>4.233397504</v>
      </c>
      <c r="FR901" s="323">
        <f t="shared" si="1789"/>
        <v>3.3493163429999999</v>
      </c>
      <c r="FS901" s="323">
        <f t="shared" si="1789"/>
        <v>6.1376404510000002</v>
      </c>
      <c r="FT901" s="323">
        <f t="shared" si="1789"/>
        <v>5.3130471799999999</v>
      </c>
      <c r="FU901" s="323">
        <f t="shared" si="1789"/>
        <v>9.2502008829999998</v>
      </c>
      <c r="FV901" s="323">
        <f t="shared" si="1789"/>
        <v>0.28717848899999998</v>
      </c>
      <c r="FW901" s="323">
        <f t="shared" ref="FW901:HB901" si="1790">FW468</f>
        <v>1.868332189</v>
      </c>
      <c r="FX901" s="323">
        <f t="shared" si="1790"/>
        <v>2.2561689999999999</v>
      </c>
      <c r="FY901" s="323">
        <f t="shared" si="1790"/>
        <v>13.465075816000001</v>
      </c>
      <c r="FZ901" s="323">
        <f t="shared" si="1790"/>
        <v>2.3868783750000002</v>
      </c>
      <c r="GA901" s="323">
        <f t="shared" si="1790"/>
        <v>6.4579859539999998</v>
      </c>
      <c r="GB901" s="323">
        <f t="shared" si="1790"/>
        <v>1.634244764</v>
      </c>
      <c r="GC901" s="323">
        <f t="shared" si="1790"/>
        <v>3.0913987989999998</v>
      </c>
      <c r="GD901" s="323">
        <f t="shared" si="1790"/>
        <v>5.1632155390000003</v>
      </c>
      <c r="GE901" s="323">
        <f t="shared" si="1790"/>
        <v>6.6170545709999997</v>
      </c>
      <c r="GF901" s="323">
        <f t="shared" si="1790"/>
        <v>5.464931773</v>
      </c>
      <c r="GG901" s="323">
        <f t="shared" si="1790"/>
        <v>4.6208750360000002</v>
      </c>
      <c r="GH901" s="323">
        <f t="shared" si="1790"/>
        <v>3.6398171860000001</v>
      </c>
      <c r="GI901" s="1654">
        <f t="shared" si="1790"/>
        <v>1.884030804</v>
      </c>
      <c r="GJ901" s="1654">
        <f t="shared" si="1790"/>
        <v>1.591270019</v>
      </c>
      <c r="GK901" s="1654">
        <f t="shared" si="1790"/>
        <v>8.5108410780000003</v>
      </c>
      <c r="GL901" s="1654">
        <f t="shared" si="1790"/>
        <v>1.336745547</v>
      </c>
      <c r="GM901" s="1654">
        <f t="shared" si="1790"/>
        <v>1.139952098</v>
      </c>
      <c r="GN901" s="1654">
        <f t="shared" si="1790"/>
        <v>4.0227978369999997</v>
      </c>
      <c r="GO901" s="1654">
        <f t="shared" si="1790"/>
        <v>12.752151707736497</v>
      </c>
      <c r="GP901" s="1654">
        <f t="shared" si="1790"/>
        <v>1.1273628969109135</v>
      </c>
      <c r="GQ901" s="1654">
        <f t="shared" si="1790"/>
        <v>1.8703137062264028</v>
      </c>
      <c r="GR901" s="1654">
        <f t="shared" si="1790"/>
        <v>6.6646715061964157</v>
      </c>
      <c r="GS901" s="1654">
        <f t="shared" si="1790"/>
        <v>4.9855332177363447</v>
      </c>
      <c r="GT901" s="1654">
        <f t="shared" si="1790"/>
        <v>0.21432958219342954</v>
      </c>
      <c r="GU901" s="1654">
        <f t="shared" si="1790"/>
        <v>2.7584634480000001</v>
      </c>
      <c r="GV901" s="1654">
        <f t="shared" si="1790"/>
        <v>1.152133259</v>
      </c>
      <c r="GW901" s="1654">
        <f t="shared" si="1790"/>
        <v>2.0849256779999998</v>
      </c>
      <c r="GX901" s="1654">
        <f t="shared" si="1790"/>
        <v>5.7714527889999996</v>
      </c>
      <c r="GY901" s="1654">
        <f t="shared" si="1790"/>
        <v>4.8026612540000002</v>
      </c>
      <c r="GZ901" s="1654">
        <f t="shared" si="1790"/>
        <v>8.135307353</v>
      </c>
      <c r="HA901" s="1654">
        <f t="shared" si="1790"/>
        <v>2.6660588619999999</v>
      </c>
      <c r="HB901" s="1654">
        <f t="shared" si="1790"/>
        <v>2.4553271940000001</v>
      </c>
      <c r="HC901" s="1654">
        <f t="shared" ref="HC901:HR901" si="1791">HC468</f>
        <v>4.1038805089999997</v>
      </c>
      <c r="HD901" s="1654">
        <f t="shared" si="1791"/>
        <v>4.0130978170000002</v>
      </c>
      <c r="HE901" s="1654">
        <f t="shared" si="1791"/>
        <v>5.5731137390000001</v>
      </c>
      <c r="HF901" s="1654">
        <f t="shared" si="1791"/>
        <v>5.4151836590000002</v>
      </c>
      <c r="HG901" s="1654">
        <f t="shared" si="1791"/>
        <v>5.6601302419999993</v>
      </c>
      <c r="HH901" s="1654">
        <f t="shared" si="1791"/>
        <v>7.5886715779999996</v>
      </c>
      <c r="HI901" s="1654">
        <f t="shared" si="1791"/>
        <v>3.288787932</v>
      </c>
      <c r="HJ901" s="1654">
        <f t="shared" si="1791"/>
        <v>4.9265698229999995</v>
      </c>
      <c r="HK901" s="1654">
        <f t="shared" si="1791"/>
        <v>4.8163185730000002</v>
      </c>
      <c r="HL901" s="1654">
        <f t="shared" si="1791"/>
        <v>6.1045923220000002</v>
      </c>
      <c r="HM901" s="1654">
        <f t="shared" si="1791"/>
        <v>4.1392073859999998</v>
      </c>
      <c r="HN901" s="1654">
        <f t="shared" si="1791"/>
        <v>9.4401640879999995</v>
      </c>
      <c r="HO901" s="1654">
        <f t="shared" si="1791"/>
        <v>3.405911997</v>
      </c>
      <c r="HP901" s="1654">
        <f t="shared" si="1791"/>
        <v>2.962872698</v>
      </c>
      <c r="HQ901" s="1654">
        <f t="shared" si="1791"/>
        <v>13.658462206999999</v>
      </c>
      <c r="HR901" s="1654">
        <f t="shared" si="1791"/>
        <v>0.87762296099999992</v>
      </c>
      <c r="HS901" s="1654">
        <f t="shared" ref="HS901:HX901" si="1792">HS468</f>
        <v>12.36144968</v>
      </c>
      <c r="HT901" s="1654">
        <f t="shared" si="1792"/>
        <v>1.2248083169999999</v>
      </c>
      <c r="HU901" s="1654">
        <f t="shared" si="1792"/>
        <v>3.9095225770000002</v>
      </c>
      <c r="HV901" s="1654">
        <f t="shared" si="1792"/>
        <v>3.0313680169999997</v>
      </c>
      <c r="HW901" s="1654">
        <f t="shared" si="1792"/>
        <v>1.2869189649999999</v>
      </c>
      <c r="HX901" s="1654">
        <f t="shared" si="1792"/>
        <v>15.884445962000001</v>
      </c>
      <c r="HY901" s="1654"/>
      <c r="HZ901" s="326"/>
      <c r="IA901" s="332" t="s">
        <v>533</v>
      </c>
      <c r="IB901" s="284">
        <f>SUM(CE901:CJ901)</f>
        <v>8.9584160549999989</v>
      </c>
      <c r="IC901" s="279">
        <f>SUM(CK901:CP901)</f>
        <v>13.921108921999998</v>
      </c>
      <c r="ID901" s="323">
        <f>IB901+IC901</f>
        <v>22.879524976999996</v>
      </c>
      <c r="IE901" s="279">
        <f>SUM(CQ901:CV901)</f>
        <v>8.2566012529999995</v>
      </c>
      <c r="IF901" s="279">
        <f>SUM(CW901:DB901)</f>
        <v>14.304061703999999</v>
      </c>
      <c r="IG901" s="323">
        <f>IE901+IF901</f>
        <v>22.560662956999998</v>
      </c>
      <c r="IH901" s="284">
        <f>SUM(DC901:DH901)</f>
        <v>9.7661173710000018</v>
      </c>
      <c r="II901" s="279">
        <f>SUM(DI901:DN901)</f>
        <v>14.841024392000001</v>
      </c>
      <c r="IJ901" s="323">
        <f>IH901+II901</f>
        <v>24.607141763000001</v>
      </c>
      <c r="IK901" s="327">
        <f>SUM(DO901:DT901)</f>
        <v>8.8245816769999994</v>
      </c>
      <c r="IL901" s="279">
        <f>SUM(DU901:DZ901)</f>
        <v>14.852062862</v>
      </c>
      <c r="IM901" s="323">
        <f>IK901+IL901</f>
        <v>23.676644539000002</v>
      </c>
      <c r="IN901" s="279">
        <f>SUM(EA901:EF901)</f>
        <v>7.6940670949999994</v>
      </c>
      <c r="IO901" s="279">
        <f>SUM(EG901:EL901)</f>
        <v>17.484733653000003</v>
      </c>
      <c r="IP901" s="323">
        <f>IN901+IO901</f>
        <v>25.178800748</v>
      </c>
      <c r="IQ901" s="327">
        <f>SUM(EM901:ER901)</f>
        <v>10.022802526</v>
      </c>
      <c r="IR901" s="327">
        <f>SUM(ES901:EX901)</f>
        <v>15.797444775999999</v>
      </c>
      <c r="IS901" s="323">
        <f>IQ901+IR901</f>
        <v>25.820247301999999</v>
      </c>
      <c r="IT901" s="327">
        <f>SUM(EY901:FD901)</f>
        <v>15.736353514000001</v>
      </c>
      <c r="IU901" s="327">
        <f>SUM(FE901:FJ901)</f>
        <v>10.932853591999999</v>
      </c>
      <c r="IV901" s="323">
        <f>IT901+IU901</f>
        <v>26.669207106000002</v>
      </c>
      <c r="IW901" s="327">
        <f>SUM(FK901:FP901)</f>
        <v>12.463287389000001</v>
      </c>
      <c r="IX901" s="327">
        <f>SUM(FQ901:FV901)</f>
        <v>28.570780849999998</v>
      </c>
      <c r="IY901" s="323">
        <f t="shared" si="1621"/>
        <v>41.034068239</v>
      </c>
      <c r="IZ901" s="327">
        <f t="shared" ref="IZ901:IZ917" si="1793">SUM(FW901:GB901)</f>
        <v>28.068686098000008</v>
      </c>
      <c r="JA901" s="327">
        <f t="shared" ref="JA901:JA917" si="1794">SUM(GC901:GH901)</f>
        <v>28.597292904</v>
      </c>
      <c r="JB901" s="323">
        <f t="shared" si="1458"/>
        <v>56.665979002000007</v>
      </c>
      <c r="JC901" s="327">
        <f t="shared" ref="JC901:JC917" si="1795">SUM(GI901:GN901)</f>
        <v>18.485637383</v>
      </c>
      <c r="JD901" s="327">
        <f>SUM(GO901:GT901)</f>
        <v>27.614362617000005</v>
      </c>
      <c r="JE901" s="323">
        <f t="shared" si="1770"/>
        <v>46.100000000000009</v>
      </c>
      <c r="JF901" s="327">
        <f>SUM(GU901:GZ901)</f>
        <v>24.704943780999997</v>
      </c>
      <c r="JG901" s="327">
        <f t="shared" si="1667"/>
        <v>24.226661780000001</v>
      </c>
      <c r="JH901" s="323">
        <f t="shared" si="1703"/>
        <v>48.931605560999998</v>
      </c>
      <c r="JI901" s="327">
        <f t="shared" si="1744"/>
        <v>32.385070469999995</v>
      </c>
      <c r="JJ901" s="327">
        <f t="shared" si="1692"/>
        <v>34.484241337</v>
      </c>
      <c r="JK901" s="323">
        <f t="shared" si="1683"/>
        <v>66.869311807000003</v>
      </c>
      <c r="JL901" s="327">
        <f t="shared" si="1704"/>
        <v>37.698513517999999</v>
      </c>
      <c r="JM901" s="279">
        <f>JN901-JL901</f>
        <v>45.930082429365385</v>
      </c>
      <c r="JN901" s="323">
        <f>FISC!AK1222</f>
        <v>83.628595947365383</v>
      </c>
      <c r="JO901" s="327">
        <f>JQ901*0.5</f>
        <v>43.27405610782688</v>
      </c>
      <c r="JP901" s="279">
        <f t="shared" si="1647"/>
        <v>43.27405610782688</v>
      </c>
      <c r="JQ901" s="323">
        <f>FISC!AL1222</f>
        <v>86.548112215653759</v>
      </c>
      <c r="JR901" s="327">
        <f>JT901*0.5</f>
        <v>48.74539990793884</v>
      </c>
      <c r="JS901" s="279">
        <f t="shared" si="1772"/>
        <v>48.74539990793884</v>
      </c>
      <c r="JT901" s="323">
        <f>FISC!AM1222</f>
        <v>97.490799815877679</v>
      </c>
      <c r="JU901" s="327">
        <f>JW901*0.5</f>
        <v>54.997224120332525</v>
      </c>
      <c r="JV901" s="279">
        <f t="shared" si="1774"/>
        <v>54.997224120332525</v>
      </c>
      <c r="JW901" s="323">
        <f>FISC!AN1222</f>
        <v>109.99444824066505</v>
      </c>
      <c r="JX901" s="327">
        <f t="shared" si="1775"/>
        <v>68.047879648994865</v>
      </c>
      <c r="JY901" s="279">
        <f t="shared" si="1776"/>
        <v>55.675537894632143</v>
      </c>
      <c r="JZ901" s="323">
        <f>FISC!AO1222</f>
        <v>123.72341754362701</v>
      </c>
      <c r="KA901" s="327">
        <f t="shared" ref="KA901:KA903" si="1796">KC901*0.55</f>
        <v>75.856212877419608</v>
      </c>
      <c r="KB901" s="279">
        <f t="shared" ref="KB901:KB903" si="1797">KC901-KA901</f>
        <v>62.064174172434207</v>
      </c>
      <c r="KC901" s="323">
        <f>FISC!AP1222</f>
        <v>137.92038704985382</v>
      </c>
      <c r="KD901" s="327">
        <f t="shared" ref="KD901:KD903" si="1798">KF901*0.55</f>
        <v>85.062868958560898</v>
      </c>
      <c r="KE901" s="279">
        <f t="shared" ref="KE901:KE903" si="1799">KF901-KD901</f>
        <v>69.596892784277088</v>
      </c>
      <c r="KF901" s="323">
        <f>FISC!AQ1222</f>
        <v>154.65976174283799</v>
      </c>
      <c r="KG901" s="327">
        <f t="shared" ref="KG901:KG903" si="1800">KI901*0.55</f>
        <v>94.749982660270447</v>
      </c>
      <c r="KH901" s="279">
        <f t="shared" ref="KH901:KH903" si="1801">KI901-KG901</f>
        <v>77.522713085675818</v>
      </c>
      <c r="KI901" s="323">
        <f>FISC!AR1222</f>
        <v>172.27269574594627</v>
      </c>
      <c r="KJ901" s="327">
        <f t="shared" ref="KJ901:KJ903" si="1802">KL901*0.55</f>
        <v>105.75562316003725</v>
      </c>
      <c r="KK901" s="279">
        <f t="shared" ref="KK901:KK903" si="1803">KL901-KJ901</f>
        <v>86.527328040030469</v>
      </c>
      <c r="KL901" s="323">
        <f>FISC!AS1222</f>
        <v>192.28295120006771</v>
      </c>
      <c r="KM901" s="327">
        <f t="shared" ref="KM901:KM903" si="1804">KO901*0.55</f>
        <v>135.74551665128982</v>
      </c>
      <c r="KN901" s="279">
        <f t="shared" ref="KN901:KN903" si="1805">KO901-KM901</f>
        <v>111.06451362378257</v>
      </c>
      <c r="KO901" s="323">
        <f>FISC!AT1222</f>
        <v>246.81003027507239</v>
      </c>
      <c r="KU901" s="326"/>
      <c r="KV901" s="327"/>
    </row>
    <row r="902" spans="1:314" ht="15.3">
      <c r="A902" s="279"/>
      <c r="D902" s="1680" t="str">
        <f>FISC!D1223</f>
        <v>Flood response</v>
      </c>
      <c r="E902" s="323"/>
      <c r="F902" s="323"/>
      <c r="G902" s="323"/>
      <c r="H902" s="323"/>
      <c r="I902" s="323"/>
      <c r="J902" s="323"/>
      <c r="K902" s="323"/>
      <c r="L902" s="323"/>
      <c r="M902" s="323"/>
      <c r="N902" s="323"/>
      <c r="O902" s="323"/>
      <c r="P902" s="323"/>
      <c r="Q902" s="323"/>
      <c r="R902" s="323"/>
      <c r="S902" s="323"/>
      <c r="T902" s="323"/>
      <c r="U902" s="323"/>
      <c r="V902" s="323"/>
      <c r="W902" s="323"/>
      <c r="X902" s="323"/>
      <c r="Y902" s="323"/>
      <c r="Z902" s="323"/>
      <c r="AA902" s="323"/>
      <c r="AB902" s="323"/>
      <c r="AC902" s="323"/>
      <c r="AD902" s="323"/>
      <c r="AE902" s="323"/>
      <c r="AF902" s="323"/>
      <c r="AG902" s="323"/>
      <c r="AH902" s="323"/>
      <c r="AI902" s="323"/>
      <c r="AJ902" s="323"/>
      <c r="AK902" s="323"/>
      <c r="AL902" s="323"/>
      <c r="AM902" s="323"/>
      <c r="AN902" s="323"/>
      <c r="AO902" s="323"/>
      <c r="AP902" s="323"/>
      <c r="AQ902" s="323"/>
      <c r="AR902" s="323"/>
      <c r="AS902" s="323"/>
      <c r="AT902" s="323"/>
      <c r="AU902" s="323"/>
      <c r="AV902" s="323"/>
      <c r="AW902" s="323"/>
      <c r="AX902" s="323"/>
      <c r="AY902" s="323"/>
      <c r="AZ902" s="323"/>
      <c r="BA902" s="323"/>
      <c r="BB902" s="323"/>
      <c r="BC902" s="323"/>
      <c r="BD902" s="323"/>
      <c r="BE902" s="323"/>
      <c r="BF902" s="323"/>
      <c r="BG902" s="323"/>
      <c r="BH902" s="323"/>
      <c r="BI902" s="323"/>
      <c r="BJ902" s="323"/>
      <c r="BK902" s="323"/>
      <c r="BL902" s="323"/>
      <c r="BM902" s="323"/>
      <c r="BN902" s="323"/>
      <c r="BO902" s="323"/>
      <c r="BP902" s="323"/>
      <c r="BQ902" s="323"/>
      <c r="BR902" s="323"/>
      <c r="BS902" s="323"/>
      <c r="BT902" s="323"/>
      <c r="BU902" s="323"/>
      <c r="BV902" s="323"/>
      <c r="BW902" s="323"/>
      <c r="BX902" s="323"/>
      <c r="BY902" s="323"/>
      <c r="BZ902" s="323"/>
      <c r="CA902" s="323"/>
      <c r="CB902" s="323"/>
      <c r="CC902" s="323"/>
      <c r="CD902" s="329"/>
      <c r="CE902" s="323"/>
      <c r="CF902" s="323"/>
      <c r="CG902" s="323"/>
      <c r="CH902" s="323"/>
      <c r="CI902" s="323"/>
      <c r="CJ902" s="323"/>
      <c r="CK902" s="323"/>
      <c r="CL902" s="323"/>
      <c r="CM902" s="323"/>
      <c r="CN902" s="323"/>
      <c r="CO902" s="323"/>
      <c r="CP902" s="325"/>
      <c r="CQ902" s="323"/>
      <c r="CR902" s="323"/>
      <c r="CS902" s="323"/>
      <c r="CT902" s="323"/>
      <c r="CU902" s="323"/>
      <c r="CV902" s="323"/>
      <c r="CW902" s="323"/>
      <c r="CX902" s="323"/>
      <c r="CY902" s="323"/>
      <c r="CZ902" s="323"/>
      <c r="DA902" s="323"/>
      <c r="DB902" s="1269"/>
      <c r="DC902" s="323"/>
      <c r="DD902" s="323"/>
      <c r="DE902" s="323"/>
      <c r="DF902" s="323"/>
      <c r="DG902" s="323"/>
      <c r="DH902" s="323"/>
      <c r="DI902" s="323"/>
      <c r="DJ902" s="323"/>
      <c r="DK902" s="323"/>
      <c r="DL902" s="323"/>
      <c r="DM902" s="323"/>
      <c r="DN902" s="325"/>
      <c r="DO902" s="323"/>
      <c r="DP902" s="323"/>
      <c r="DQ902" s="323"/>
      <c r="DR902" s="323"/>
      <c r="DS902" s="323"/>
      <c r="DT902" s="323"/>
      <c r="DU902" s="323"/>
      <c r="DV902" s="323"/>
      <c r="DW902" s="323"/>
      <c r="DX902" s="323"/>
      <c r="DY902" s="323"/>
      <c r="DZ902" s="325"/>
      <c r="EA902" s="323"/>
      <c r="EB902" s="323"/>
      <c r="EC902" s="323"/>
      <c r="ED902" s="323"/>
      <c r="EE902" s="323"/>
      <c r="EF902" s="323"/>
      <c r="EG902" s="323"/>
      <c r="EH902" s="323"/>
      <c r="EI902" s="323"/>
      <c r="EJ902" s="323"/>
      <c r="EK902" s="323"/>
      <c r="EL902" s="325"/>
      <c r="EM902" s="323"/>
      <c r="EN902" s="323"/>
      <c r="EO902" s="323"/>
      <c r="EP902" s="323"/>
      <c r="EQ902" s="323"/>
      <c r="ER902" s="323"/>
      <c r="ES902" s="323"/>
      <c r="ET902" s="323"/>
      <c r="EU902" s="323"/>
      <c r="EV902" s="323"/>
      <c r="EW902" s="323"/>
      <c r="EX902" s="325"/>
      <c r="EY902" s="323"/>
      <c r="EZ902" s="323"/>
      <c r="FA902" s="323"/>
      <c r="FB902" s="323"/>
      <c r="FC902" s="323"/>
      <c r="FD902" s="323"/>
      <c r="FE902" s="323"/>
      <c r="FF902" s="323"/>
      <c r="FG902" s="323"/>
      <c r="FH902" s="323"/>
      <c r="FI902" s="323"/>
      <c r="FJ902" s="325"/>
      <c r="FK902" s="323"/>
      <c r="FL902" s="323"/>
      <c r="FM902" s="323"/>
      <c r="FN902" s="323"/>
      <c r="FO902" s="323"/>
      <c r="FP902" s="323"/>
      <c r="FQ902" s="323"/>
      <c r="FR902" s="323"/>
      <c r="FS902" s="323"/>
      <c r="FT902" s="323"/>
      <c r="FU902" s="323"/>
      <c r="FV902" s="323"/>
      <c r="FW902" s="323"/>
      <c r="FX902" s="323"/>
      <c r="FY902" s="323"/>
      <c r="FZ902" s="323"/>
      <c r="GA902" s="323"/>
      <c r="GB902" s="323"/>
      <c r="GC902" s="323"/>
      <c r="GD902" s="323"/>
      <c r="GE902" s="323"/>
      <c r="GF902" s="323"/>
      <c r="GG902" s="323"/>
      <c r="GH902" s="323"/>
      <c r="GI902" s="1654"/>
      <c r="GJ902" s="1654"/>
      <c r="GK902" s="1654"/>
      <c r="GL902" s="1654"/>
      <c r="GM902" s="1654"/>
      <c r="GN902" s="1654"/>
      <c r="HZ902" s="326"/>
      <c r="IA902" s="2392" t="s">
        <v>3309</v>
      </c>
      <c r="IB902" s="284"/>
      <c r="ID902" s="323"/>
      <c r="IG902" s="323"/>
      <c r="IH902" s="284"/>
      <c r="IJ902" s="323"/>
      <c r="IK902" s="327"/>
      <c r="IM902" s="323"/>
      <c r="IP902" s="323"/>
      <c r="IQ902" s="327"/>
      <c r="IR902" s="327"/>
      <c r="IS902" s="323"/>
      <c r="IT902" s="327"/>
      <c r="IU902" s="327">
        <f>SUM(FE902:FJ902)</f>
        <v>0</v>
      </c>
      <c r="IV902" s="323"/>
      <c r="IW902" s="327"/>
      <c r="IX902" s="327">
        <f>SUM(FQ902:FV902)</f>
        <v>0</v>
      </c>
      <c r="IY902" s="323">
        <f t="shared" si="1621"/>
        <v>0</v>
      </c>
      <c r="IZ902" s="327">
        <f t="shared" si="1793"/>
        <v>0</v>
      </c>
      <c r="JA902" s="327">
        <f t="shared" si="1794"/>
        <v>0</v>
      </c>
      <c r="JB902" s="323">
        <f t="shared" si="1458"/>
        <v>0</v>
      </c>
      <c r="JC902" s="327">
        <f t="shared" si="1795"/>
        <v>0</v>
      </c>
      <c r="JD902" s="327">
        <f>SUM(GO902:GT902)</f>
        <v>0</v>
      </c>
      <c r="JE902" s="323">
        <f t="shared" si="1770"/>
        <v>0</v>
      </c>
      <c r="JF902" s="327">
        <v>1.2</v>
      </c>
      <c r="JG902" s="327">
        <f t="shared" si="1667"/>
        <v>0</v>
      </c>
      <c r="JH902" s="323">
        <f t="shared" si="1703"/>
        <v>1.2</v>
      </c>
      <c r="JI902" s="327">
        <f t="shared" si="1744"/>
        <v>0</v>
      </c>
      <c r="JJ902" s="327">
        <f t="shared" si="1692"/>
        <v>0</v>
      </c>
      <c r="JK902" s="323">
        <f t="shared" si="1683"/>
        <v>0</v>
      </c>
      <c r="JL902" s="327">
        <f t="shared" si="1704"/>
        <v>0</v>
      </c>
      <c r="JM902" s="279">
        <f>JN902-JL902</f>
        <v>0</v>
      </c>
      <c r="JN902" s="323">
        <f>FISC!AK1223</f>
        <v>0</v>
      </c>
      <c r="JO902" s="327">
        <f t="shared" si="1668"/>
        <v>0</v>
      </c>
      <c r="JP902" s="279">
        <f t="shared" si="1647"/>
        <v>0</v>
      </c>
      <c r="JQ902" s="323">
        <f>FISC!AL1223</f>
        <v>0</v>
      </c>
      <c r="JR902" s="327">
        <f t="shared" si="1771"/>
        <v>0</v>
      </c>
      <c r="JS902" s="279">
        <f t="shared" si="1772"/>
        <v>0</v>
      </c>
      <c r="JT902" s="323">
        <f>FISC!AM1223</f>
        <v>0</v>
      </c>
      <c r="JU902" s="327">
        <f t="shared" si="1773"/>
        <v>0</v>
      </c>
      <c r="JV902" s="279">
        <f t="shared" si="1774"/>
        <v>0</v>
      </c>
      <c r="JW902" s="323">
        <f>FISC!AN1223</f>
        <v>0</v>
      </c>
      <c r="JX902" s="327">
        <f t="shared" si="1775"/>
        <v>0</v>
      </c>
      <c r="JY902" s="279">
        <f t="shared" si="1776"/>
        <v>0</v>
      </c>
      <c r="JZ902" s="323">
        <f>FISC!AO1223</f>
        <v>0</v>
      </c>
      <c r="KA902" s="327">
        <f t="shared" si="1796"/>
        <v>0</v>
      </c>
      <c r="KB902" s="279">
        <f t="shared" si="1797"/>
        <v>0</v>
      </c>
      <c r="KC902" s="323">
        <f>FISC!AP1223</f>
        <v>0</v>
      </c>
      <c r="KD902" s="327">
        <f t="shared" si="1798"/>
        <v>0</v>
      </c>
      <c r="KE902" s="279">
        <f t="shared" si="1799"/>
        <v>0</v>
      </c>
      <c r="KF902" s="323">
        <f>FISC!AQ1223</f>
        <v>0</v>
      </c>
      <c r="KG902" s="327">
        <f t="shared" si="1800"/>
        <v>0</v>
      </c>
      <c r="KH902" s="279">
        <f t="shared" si="1801"/>
        <v>0</v>
      </c>
      <c r="KI902" s="323">
        <f>FISC!AR1223</f>
        <v>0</v>
      </c>
      <c r="KJ902" s="327">
        <f t="shared" si="1802"/>
        <v>0</v>
      </c>
      <c r="KK902" s="279">
        <f t="shared" si="1803"/>
        <v>0</v>
      </c>
      <c r="KL902" s="323">
        <f>FISC!AS1223</f>
        <v>0</v>
      </c>
      <c r="KM902" s="327">
        <f t="shared" si="1804"/>
        <v>0</v>
      </c>
      <c r="KN902" s="279">
        <f t="shared" si="1805"/>
        <v>0</v>
      </c>
      <c r="KO902" s="323">
        <f>FISC!AT1223</f>
        <v>0</v>
      </c>
      <c r="KU902" s="326"/>
      <c r="KV902" s="327"/>
    </row>
    <row r="903" spans="1:314">
      <c r="A903" s="279"/>
      <c r="B903" s="96" t="s">
        <v>338</v>
      </c>
      <c r="D903" s="332" t="s">
        <v>534</v>
      </c>
      <c r="E903" s="323">
        <f>E454</f>
        <v>0</v>
      </c>
      <c r="F903" s="323"/>
      <c r="G903" s="323"/>
      <c r="H903" s="323"/>
      <c r="I903" s="323"/>
      <c r="J903" s="323"/>
      <c r="K903" s="323"/>
      <c r="L903" s="323"/>
      <c r="M903" s="323"/>
      <c r="N903" s="323"/>
      <c r="O903" s="323"/>
      <c r="P903" s="323"/>
      <c r="Q903" s="323"/>
      <c r="R903" s="323"/>
      <c r="S903" s="323"/>
      <c r="T903" s="323"/>
      <c r="U903" s="323"/>
      <c r="V903" s="323"/>
      <c r="W903" s="323"/>
      <c r="X903" s="323"/>
      <c r="Y903" s="323"/>
      <c r="Z903" s="323"/>
      <c r="AA903" s="323"/>
      <c r="AB903" s="323"/>
      <c r="AC903" s="323"/>
      <c r="AD903" s="323"/>
      <c r="AE903" s="323"/>
      <c r="AF903" s="323"/>
      <c r="AG903" s="323"/>
      <c r="AH903" s="323"/>
      <c r="AI903" s="323"/>
      <c r="AJ903" s="323"/>
      <c r="AK903" s="323"/>
      <c r="AL903" s="323"/>
      <c r="AM903" s="323"/>
      <c r="AN903" s="323"/>
      <c r="AO903" s="323"/>
      <c r="AP903" s="323"/>
      <c r="AQ903" s="323"/>
      <c r="AR903" s="323"/>
      <c r="AS903" s="323"/>
      <c r="AT903" s="323"/>
      <c r="AU903" s="323"/>
      <c r="AV903" s="323"/>
      <c r="AW903" s="323"/>
      <c r="AX903" s="323"/>
      <c r="AY903" s="323"/>
      <c r="AZ903" s="323"/>
      <c r="BA903" s="323"/>
      <c r="BB903" s="323"/>
      <c r="BC903" s="323"/>
      <c r="BD903" s="323"/>
      <c r="BE903" s="323"/>
      <c r="BF903" s="323"/>
      <c r="BG903" s="323">
        <v>0.81184859872000004</v>
      </c>
      <c r="BH903" s="323">
        <v>2.8676003086799997</v>
      </c>
      <c r="BI903" s="323">
        <v>0.91248093966999999</v>
      </c>
      <c r="BJ903" s="323">
        <v>2.400164277</v>
      </c>
      <c r="BK903" s="323">
        <v>1.188430484</v>
      </c>
      <c r="BL903" s="323">
        <v>0.67420349700000004</v>
      </c>
      <c r="BM903" s="323">
        <v>2.1732266076999998</v>
      </c>
      <c r="BN903" s="323">
        <v>1.29983316577</v>
      </c>
      <c r="BO903" s="323">
        <v>1.43837181542</v>
      </c>
      <c r="BP903" s="323">
        <v>5.7028014735100001</v>
      </c>
      <c r="BQ903" s="323">
        <v>3.2707650922</v>
      </c>
      <c r="BR903" s="323">
        <v>1.12417286513</v>
      </c>
      <c r="BS903" s="323">
        <v>3.0876783936999996</v>
      </c>
      <c r="BT903" s="323">
        <v>1.88009708381</v>
      </c>
      <c r="BU903" s="323">
        <v>1.70990795505</v>
      </c>
      <c r="BV903" s="323">
        <v>2.55588468396</v>
      </c>
      <c r="BW903" s="323">
        <v>2.4350349049000002</v>
      </c>
      <c r="BX903" s="323">
        <v>1.5272170220899999</v>
      </c>
      <c r="BY903" s="323">
        <v>2.9031365064000001</v>
      </c>
      <c r="BZ903" s="323">
        <v>6.4055732796899996</v>
      </c>
      <c r="CA903" s="323">
        <v>1.88694791103</v>
      </c>
      <c r="CB903" s="323">
        <v>3.2695313711700003</v>
      </c>
      <c r="CC903" s="323">
        <v>5.2475765770000002</v>
      </c>
      <c r="CD903" s="329">
        <v>1.71546534868</v>
      </c>
      <c r="CE903" s="323">
        <f t="shared" ref="CE903:DJ903" si="1806">CE469</f>
        <v>2.661823922</v>
      </c>
      <c r="CF903" s="323">
        <f t="shared" si="1806"/>
        <v>2.0003473676199999</v>
      </c>
      <c r="CG903" s="323">
        <f t="shared" si="1806"/>
        <v>2.95325444208</v>
      </c>
      <c r="CH903" s="323">
        <f t="shared" si="1806"/>
        <v>4.1688299510000002</v>
      </c>
      <c r="CI903" s="323">
        <f t="shared" si="1806"/>
        <v>4.3448386289999998</v>
      </c>
      <c r="CJ903" s="323">
        <f t="shared" si="1806"/>
        <v>1.555384519</v>
      </c>
      <c r="CK903" s="323">
        <f t="shared" si="1806"/>
        <v>3.279391951</v>
      </c>
      <c r="CL903" s="323">
        <f t="shared" si="1806"/>
        <v>2.048498017</v>
      </c>
      <c r="CM903" s="323">
        <f t="shared" si="1806"/>
        <v>2.0531390549999999</v>
      </c>
      <c r="CN903" s="323">
        <f t="shared" si="1806"/>
        <v>2.5600917609999998</v>
      </c>
      <c r="CO903" s="323">
        <f t="shared" si="1806"/>
        <v>2.5050129910000001</v>
      </c>
      <c r="CP903" s="325">
        <f t="shared" si="1806"/>
        <v>2.0787431779999999</v>
      </c>
      <c r="CQ903" s="323">
        <f t="shared" si="1806"/>
        <v>4.5379803939999999</v>
      </c>
      <c r="CR903" s="323">
        <f t="shared" si="1806"/>
        <v>4.428929986</v>
      </c>
      <c r="CS903" s="323">
        <f t="shared" si="1806"/>
        <v>5.5263958960000004</v>
      </c>
      <c r="CT903" s="323">
        <f t="shared" si="1806"/>
        <v>5.8987828569999996</v>
      </c>
      <c r="CU903" s="323">
        <f t="shared" si="1806"/>
        <v>4.6212273010000002</v>
      </c>
      <c r="CV903" s="323">
        <f t="shared" si="1806"/>
        <v>16.990603844999999</v>
      </c>
      <c r="CW903" s="323">
        <f t="shared" si="1806"/>
        <v>8.220576909</v>
      </c>
      <c r="CX903" s="323">
        <f t="shared" si="1806"/>
        <v>4.9687692019999998</v>
      </c>
      <c r="CY903" s="323">
        <f t="shared" si="1806"/>
        <v>2.6778959040000001</v>
      </c>
      <c r="CZ903" s="323">
        <f t="shared" si="1806"/>
        <v>2.65309003</v>
      </c>
      <c r="DA903" s="323">
        <f t="shared" si="1806"/>
        <v>4.0383703009999996</v>
      </c>
      <c r="DB903" s="1269">
        <f t="shared" si="1806"/>
        <v>3.114468209</v>
      </c>
      <c r="DC903" s="323">
        <f t="shared" si="1806"/>
        <v>5.6286772689999998</v>
      </c>
      <c r="DD903" s="323">
        <f t="shared" si="1806"/>
        <v>8.389495342</v>
      </c>
      <c r="DE903" s="323">
        <f t="shared" si="1806"/>
        <v>3.4465797889999998</v>
      </c>
      <c r="DF903" s="323">
        <f t="shared" si="1806"/>
        <v>8.3000263489999995</v>
      </c>
      <c r="DG903" s="323">
        <f t="shared" si="1806"/>
        <v>9.4217214790000003</v>
      </c>
      <c r="DH903" s="323">
        <f t="shared" si="1806"/>
        <v>4.5048340509999996</v>
      </c>
      <c r="DI903" s="323">
        <f t="shared" si="1806"/>
        <v>3.9195385169999999</v>
      </c>
      <c r="DJ903" s="323">
        <f t="shared" si="1806"/>
        <v>4.8767588699999997</v>
      </c>
      <c r="DK903" s="323">
        <f t="shared" ref="DK903:EP903" si="1807">DK469</f>
        <v>9.3352091129999994</v>
      </c>
      <c r="DL903" s="323">
        <f t="shared" si="1807"/>
        <v>7.6885206850000003</v>
      </c>
      <c r="DM903" s="323">
        <f t="shared" si="1807"/>
        <v>3.6360190779999999</v>
      </c>
      <c r="DN903" s="325">
        <f t="shared" si="1807"/>
        <v>2.2878697090000002</v>
      </c>
      <c r="DO903" s="323">
        <f t="shared" si="1807"/>
        <v>13.405839724</v>
      </c>
      <c r="DP903" s="323">
        <f t="shared" si="1807"/>
        <v>12.719188240999999</v>
      </c>
      <c r="DQ903" s="323">
        <f t="shared" si="1807"/>
        <v>2.0549422590000002</v>
      </c>
      <c r="DR903" s="323">
        <f t="shared" si="1807"/>
        <v>14.730687865</v>
      </c>
      <c r="DS903" s="323">
        <f t="shared" si="1807"/>
        <v>3.4296990950000001</v>
      </c>
      <c r="DT903" s="323">
        <f t="shared" si="1807"/>
        <v>3.5010635080000001</v>
      </c>
      <c r="DU903" s="323">
        <f t="shared" si="1807"/>
        <v>14.112443001999999</v>
      </c>
      <c r="DV903" s="323">
        <f t="shared" si="1807"/>
        <v>5.2934440839999999</v>
      </c>
      <c r="DW903" s="323">
        <f t="shared" si="1807"/>
        <v>2.4626023269999999</v>
      </c>
      <c r="DX903" s="323">
        <f t="shared" si="1807"/>
        <v>7.7335186260000004</v>
      </c>
      <c r="DY903" s="323">
        <f t="shared" si="1807"/>
        <v>6.979751137</v>
      </c>
      <c r="DZ903" s="325">
        <f t="shared" si="1807"/>
        <v>1.1005026250000001</v>
      </c>
      <c r="EA903" s="323">
        <f t="shared" si="1807"/>
        <v>12.203334205999999</v>
      </c>
      <c r="EB903" s="323">
        <f t="shared" si="1807"/>
        <v>6.9282187720000001</v>
      </c>
      <c r="EC903" s="323">
        <f t="shared" si="1807"/>
        <v>9.0983796859999995</v>
      </c>
      <c r="ED903" s="323">
        <f t="shared" si="1807"/>
        <v>8.6222516529999993</v>
      </c>
      <c r="EE903" s="323">
        <f t="shared" si="1807"/>
        <v>11.120483321</v>
      </c>
      <c r="EF903" s="323">
        <f t="shared" si="1807"/>
        <v>7.3098032310000001</v>
      </c>
      <c r="EG903" s="323">
        <f t="shared" si="1807"/>
        <v>7.8460066079999997</v>
      </c>
      <c r="EH903" s="323">
        <f t="shared" si="1807"/>
        <v>10.285157</v>
      </c>
      <c r="EI903" s="323">
        <f t="shared" si="1807"/>
        <v>14.816423822000001</v>
      </c>
      <c r="EJ903" s="323">
        <f t="shared" si="1807"/>
        <v>7.2441276859999997</v>
      </c>
      <c r="EK903" s="323">
        <f t="shared" si="1807"/>
        <v>7.7642049389999999</v>
      </c>
      <c r="EL903" s="325">
        <f t="shared" si="1807"/>
        <v>4.5570249570000003</v>
      </c>
      <c r="EM903" s="323">
        <f t="shared" si="1807"/>
        <v>7.9029296489999998</v>
      </c>
      <c r="EN903" s="323">
        <f t="shared" si="1807"/>
        <v>10.390572207</v>
      </c>
      <c r="EO903" s="323">
        <f t="shared" si="1807"/>
        <v>7.567573061</v>
      </c>
      <c r="EP903" s="323">
        <f t="shared" si="1807"/>
        <v>14.262422762</v>
      </c>
      <c r="EQ903" s="323">
        <f t="shared" ref="EQ903:FV903" si="1808">EQ469</f>
        <v>25.480099663000001</v>
      </c>
      <c r="ER903" s="323">
        <f t="shared" si="1808"/>
        <v>4.3385306119999996</v>
      </c>
      <c r="ES903" s="323">
        <f t="shared" si="1808"/>
        <v>10.631548466</v>
      </c>
      <c r="ET903" s="323">
        <f t="shared" si="1808"/>
        <v>10.43662114</v>
      </c>
      <c r="EU903" s="323">
        <f t="shared" si="1808"/>
        <v>10.438360343999999</v>
      </c>
      <c r="EV903" s="323">
        <f t="shared" si="1808"/>
        <v>31.703036501</v>
      </c>
      <c r="EW903" s="323">
        <f t="shared" si="1808"/>
        <v>31.283190304000001</v>
      </c>
      <c r="EX903" s="325">
        <f t="shared" si="1808"/>
        <v>6.187643628</v>
      </c>
      <c r="EY903" s="323">
        <f t="shared" si="1808"/>
        <v>19.621337566000001</v>
      </c>
      <c r="EZ903" s="323">
        <f t="shared" si="1808"/>
        <v>19.979445821999999</v>
      </c>
      <c r="FA903" s="323">
        <f t="shared" si="1808"/>
        <v>7.807474676</v>
      </c>
      <c r="FB903" s="323">
        <f t="shared" si="1808"/>
        <v>12.050736946000001</v>
      </c>
      <c r="FC903" s="323">
        <f t="shared" si="1808"/>
        <v>20.365861151000001</v>
      </c>
      <c r="FD903" s="323">
        <f t="shared" si="1808"/>
        <v>9.5259266819999997</v>
      </c>
      <c r="FE903" s="323">
        <f t="shared" si="1808"/>
        <v>4.359865428</v>
      </c>
      <c r="FF903" s="323">
        <f t="shared" si="1808"/>
        <v>16.790410443999999</v>
      </c>
      <c r="FG903" s="323">
        <f t="shared" si="1808"/>
        <v>14.309395854</v>
      </c>
      <c r="FH903" s="323">
        <f t="shared" si="1808"/>
        <v>6.0296474590000004</v>
      </c>
      <c r="FI903" s="323">
        <f t="shared" si="1808"/>
        <v>12.035315104</v>
      </c>
      <c r="FJ903" s="325">
        <f t="shared" si="1808"/>
        <v>1.4745208869999999</v>
      </c>
      <c r="FK903" s="323">
        <f t="shared" si="1808"/>
        <v>12.759667224999999</v>
      </c>
      <c r="FL903" s="323">
        <f t="shared" si="1808"/>
        <v>10.057954682</v>
      </c>
      <c r="FM903" s="323">
        <f t="shared" si="1808"/>
        <v>14.992900581000001</v>
      </c>
      <c r="FN903" s="323">
        <f t="shared" si="1808"/>
        <v>8.449501519</v>
      </c>
      <c r="FO903" s="323">
        <f t="shared" si="1808"/>
        <v>10.322834118999999</v>
      </c>
      <c r="FP903" s="323">
        <f t="shared" si="1808"/>
        <v>9.4276341339999998</v>
      </c>
      <c r="FQ903" s="323">
        <f t="shared" si="1808"/>
        <v>13.833825759</v>
      </c>
      <c r="FR903" s="323">
        <f t="shared" si="1808"/>
        <v>6.652929726</v>
      </c>
      <c r="FS903" s="323">
        <f t="shared" si="1808"/>
        <v>4.2280074870000002</v>
      </c>
      <c r="FT903" s="323">
        <f t="shared" si="1808"/>
        <v>12.878353831</v>
      </c>
      <c r="FU903" s="323">
        <f t="shared" si="1808"/>
        <v>23.858894002</v>
      </c>
      <c r="FV903" s="323">
        <f t="shared" si="1808"/>
        <v>4.7989988329999997</v>
      </c>
      <c r="FW903" s="323">
        <f t="shared" ref="FW903:HB903" si="1809">FW469</f>
        <v>9.4270421219999996</v>
      </c>
      <c r="FX903" s="323">
        <f t="shared" si="1809"/>
        <v>8.2880457829999994</v>
      </c>
      <c r="FY903" s="323">
        <f t="shared" si="1809"/>
        <v>8.142056878</v>
      </c>
      <c r="FZ903" s="323">
        <f t="shared" si="1809"/>
        <v>20.268061037999999</v>
      </c>
      <c r="GA903" s="323">
        <f t="shared" si="1809"/>
        <v>21.685625209000001</v>
      </c>
      <c r="GB903" s="323">
        <f t="shared" si="1809"/>
        <v>6.1310755720000003</v>
      </c>
      <c r="GC903" s="323">
        <f t="shared" si="1809"/>
        <v>9.3700082800000004</v>
      </c>
      <c r="GD903" s="323">
        <f t="shared" si="1809"/>
        <v>21.115629317</v>
      </c>
      <c r="GE903" s="323">
        <f t="shared" si="1809"/>
        <v>13.54216845</v>
      </c>
      <c r="GF903" s="323">
        <f t="shared" si="1809"/>
        <v>7.9037664559999996</v>
      </c>
      <c r="GG903" s="323">
        <f t="shared" si="1809"/>
        <v>15.140435371000001</v>
      </c>
      <c r="GH903" s="323">
        <f t="shared" si="1809"/>
        <v>6.0046342780000002</v>
      </c>
      <c r="GI903" s="1659">
        <f t="shared" si="1809"/>
        <v>12.235405911319145</v>
      </c>
      <c r="GJ903" s="1659">
        <f t="shared" si="1809"/>
        <v>27.927502357725132</v>
      </c>
      <c r="GK903" s="1659">
        <f t="shared" si="1809"/>
        <v>22.437091730955725</v>
      </c>
      <c r="GL903" s="1659">
        <f t="shared" si="1809"/>
        <v>1</v>
      </c>
      <c r="GM903" s="1659">
        <f t="shared" si="1809"/>
        <v>1</v>
      </c>
      <c r="GN903" s="1659">
        <f t="shared" si="1809"/>
        <v>1.0999999999999943</v>
      </c>
      <c r="GO903" s="1654">
        <f t="shared" si="1809"/>
        <v>16.508220081735399</v>
      </c>
      <c r="GP903" s="1654">
        <f t="shared" si="1809"/>
        <v>7.5477514962105259</v>
      </c>
      <c r="GQ903" s="1654">
        <f t="shared" si="1809"/>
        <v>3.4708608633540838</v>
      </c>
      <c r="GR903" s="1654">
        <f t="shared" si="1809"/>
        <v>20.36146118726305</v>
      </c>
      <c r="GS903" s="1654">
        <f t="shared" si="1809"/>
        <v>8.0757171544465809</v>
      </c>
      <c r="GT903" s="1654">
        <f t="shared" si="1809"/>
        <v>6.0359892169903651</v>
      </c>
      <c r="GU903" s="1654">
        <f t="shared" si="1809"/>
        <v>7.9425931529999998</v>
      </c>
      <c r="GV903" s="1654">
        <f t="shared" si="1809"/>
        <v>17.944234579</v>
      </c>
      <c r="GW903" s="1654">
        <f t="shared" si="1809"/>
        <v>17.283160537000001</v>
      </c>
      <c r="GX903" s="1654">
        <f t="shared" si="1809"/>
        <v>10.735763124</v>
      </c>
      <c r="GY903" s="1654">
        <f t="shared" si="1809"/>
        <v>8.324031519</v>
      </c>
      <c r="GZ903" s="1654">
        <f t="shared" si="1809"/>
        <v>6.673807966</v>
      </c>
      <c r="HA903" s="1654">
        <f t="shared" si="1809"/>
        <v>8.8125038680000003</v>
      </c>
      <c r="HB903" s="1654">
        <f t="shared" si="1809"/>
        <v>9.2244838100000006</v>
      </c>
      <c r="HC903" s="1654">
        <f t="shared" ref="HC903:HR903" si="1810">HC469</f>
        <v>7.1400030350000003</v>
      </c>
      <c r="HD903" s="1654">
        <f t="shared" si="1810"/>
        <v>18.243119096000001</v>
      </c>
      <c r="HE903" s="1654">
        <f t="shared" si="1810"/>
        <v>21.694246570999997</v>
      </c>
      <c r="HF903" s="1654">
        <f t="shared" si="1810"/>
        <v>5.1032864070000006</v>
      </c>
      <c r="HG903" s="1654">
        <f t="shared" si="1810"/>
        <v>13.967650508</v>
      </c>
      <c r="HH903" s="1654">
        <f t="shared" si="1810"/>
        <v>9.4310403750000003</v>
      </c>
      <c r="HI903" s="1654">
        <f t="shared" si="1810"/>
        <v>20.627244749999999</v>
      </c>
      <c r="HJ903" s="1654">
        <f t="shared" si="1810"/>
        <v>7.3532463220000004</v>
      </c>
      <c r="HK903" s="1654">
        <f t="shared" si="1810"/>
        <v>14.31074576</v>
      </c>
      <c r="HL903" s="1654">
        <f t="shared" si="1810"/>
        <v>7.0722045109999998</v>
      </c>
      <c r="HM903" s="1654">
        <f t="shared" si="1810"/>
        <v>17.812842741000001</v>
      </c>
      <c r="HN903" s="1654">
        <f t="shared" si="1810"/>
        <v>13.276343023000001</v>
      </c>
      <c r="HO903" s="1654">
        <f t="shared" si="1810"/>
        <v>12.523233676</v>
      </c>
      <c r="HP903" s="1654">
        <f t="shared" si="1810"/>
        <v>15.698723694</v>
      </c>
      <c r="HQ903" s="1654">
        <f t="shared" si="1810"/>
        <v>4.7564697490000007</v>
      </c>
      <c r="HR903" s="1654">
        <f t="shared" si="1810"/>
        <v>8.1635571320000011</v>
      </c>
      <c r="HS903" s="1654">
        <f t="shared" ref="HS903:HX903" si="1811">HS469</f>
        <v>18.900547883999998</v>
      </c>
      <c r="HT903" s="1654">
        <f t="shared" si="1811"/>
        <v>12.151599251999997</v>
      </c>
      <c r="HU903" s="1654">
        <f t="shared" si="1811"/>
        <v>3.2983921119999984</v>
      </c>
      <c r="HV903" s="1654">
        <f t="shared" si="1811"/>
        <v>11.885165428999997</v>
      </c>
      <c r="HW903" s="1654">
        <f t="shared" si="1811"/>
        <v>14.188046665000002</v>
      </c>
      <c r="HX903" s="1654">
        <f t="shared" si="1811"/>
        <v>16.421820135999997</v>
      </c>
      <c r="HY903" s="1654"/>
      <c r="HZ903" s="326"/>
      <c r="IA903" s="332" t="s">
        <v>534</v>
      </c>
      <c r="IB903" s="284">
        <f>SUM(CE903:CJ903)</f>
        <v>17.684478830700002</v>
      </c>
      <c r="IC903" s="279">
        <f>SUM(CK903:CP903)</f>
        <v>14.524876953</v>
      </c>
      <c r="ID903" s="323">
        <f>IB903+IC903</f>
        <v>32.209355783700005</v>
      </c>
      <c r="IE903" s="279">
        <f>SUM(CQ903:CV903)</f>
        <v>42.003920278999999</v>
      </c>
      <c r="IF903" s="279">
        <f>SUM(CW903:DB903)</f>
        <v>25.673170554999999</v>
      </c>
      <c r="IG903" s="323">
        <f>IE903+IF903</f>
        <v>67.677090833999998</v>
      </c>
      <c r="IH903" s="284">
        <f>SUM(DC903:DH903)</f>
        <v>39.691334279000003</v>
      </c>
      <c r="II903" s="279">
        <f>SUM(DI903:DN903)</f>
        <v>31.743915972</v>
      </c>
      <c r="IJ903" s="323">
        <f>IH903+II903</f>
        <v>71.435250250999999</v>
      </c>
      <c r="IK903" s="327">
        <f>SUM(DO903:DT903)</f>
        <v>49.841420692</v>
      </c>
      <c r="IL903" s="279">
        <f>SUM(DU903:DZ903)</f>
        <v>37.682261800999996</v>
      </c>
      <c r="IM903" s="323">
        <f>IK903+IL903</f>
        <v>87.523682492999995</v>
      </c>
      <c r="IN903" s="279">
        <f>SUM(EA903:EF903)</f>
        <v>55.282470868999994</v>
      </c>
      <c r="IO903" s="279">
        <f>SUM(EG903:EL903)</f>
        <v>52.512945012000003</v>
      </c>
      <c r="IP903" s="323">
        <f>IN903+IO903</f>
        <v>107.795415881</v>
      </c>
      <c r="IQ903" s="327">
        <f>SUM(EM903:ER903)</f>
        <v>69.942127954</v>
      </c>
      <c r="IR903" s="327">
        <f>SUM(ES903:EX903)</f>
        <v>100.68040038300001</v>
      </c>
      <c r="IS903" s="323">
        <f>IQ903+IR903</f>
        <v>170.62252833700001</v>
      </c>
      <c r="IT903" s="327">
        <f>SUM(EY903:FD903)</f>
        <v>89.350782843000005</v>
      </c>
      <c r="IU903" s="327">
        <f>SUM(FE903:FJ903)</f>
        <v>54.999155175999995</v>
      </c>
      <c r="IV903" s="323">
        <f>IT903+IU903</f>
        <v>144.34993801900001</v>
      </c>
      <c r="IW903" s="327">
        <f>SUM(FK903:FP903)</f>
        <v>66.010492260000007</v>
      </c>
      <c r="IX903" s="327">
        <f>SUM(FQ903:FV903)</f>
        <v>66.251009637999999</v>
      </c>
      <c r="IY903" s="323">
        <f t="shared" si="1621"/>
        <v>132.26150189800001</v>
      </c>
      <c r="IZ903" s="327">
        <f t="shared" si="1793"/>
        <v>73.941906602000003</v>
      </c>
      <c r="JA903" s="327">
        <f t="shared" si="1794"/>
        <v>73.076642151999991</v>
      </c>
      <c r="JB903" s="323">
        <f t="shared" si="1458"/>
        <v>147.01854875399999</v>
      </c>
      <c r="JC903" s="327">
        <f t="shared" si="1795"/>
        <v>65.7</v>
      </c>
      <c r="JD903" s="327">
        <f>SUM(GO903:GT903)</f>
        <v>62.000000000000007</v>
      </c>
      <c r="JE903" s="323">
        <f t="shared" si="1770"/>
        <v>127.70000000000002</v>
      </c>
      <c r="JF903" s="327">
        <f>SUM(GU903:GZ903)</f>
        <v>68.903590878000003</v>
      </c>
      <c r="JG903" s="327">
        <f t="shared" si="1667"/>
        <v>70.217642787000003</v>
      </c>
      <c r="JH903" s="323">
        <f t="shared" si="1703"/>
        <v>139.12123366500001</v>
      </c>
      <c r="JI903" s="327">
        <f t="shared" si="1744"/>
        <v>72.762132226000006</v>
      </c>
      <c r="JJ903" s="327">
        <f t="shared" si="1692"/>
        <v>72.231170015000004</v>
      </c>
      <c r="JK903" s="323">
        <f t="shared" si="1683"/>
        <v>144.99330224100001</v>
      </c>
      <c r="JL903" s="327">
        <f t="shared" si="1704"/>
        <v>76.845571477999982</v>
      </c>
      <c r="JM903" s="279">
        <f>JN903-JL903</f>
        <v>76.137677007586007</v>
      </c>
      <c r="JN903" s="323">
        <f>FISC!AK1224</f>
        <v>152.98324848558599</v>
      </c>
      <c r="JO903" s="327">
        <f t="shared" si="1668"/>
        <v>92.762716737340071</v>
      </c>
      <c r="JP903" s="279">
        <f t="shared" si="1647"/>
        <v>84.329742488490965</v>
      </c>
      <c r="JQ903" s="323">
        <f>FISC!AL1224</f>
        <v>168.65948497698193</v>
      </c>
      <c r="JR903" s="327">
        <f t="shared" si="1771"/>
        <v>104.44329340551427</v>
      </c>
      <c r="JS903" s="279">
        <f t="shared" si="1772"/>
        <v>85.453603695420739</v>
      </c>
      <c r="JT903" s="323">
        <f>FISC!AM1224</f>
        <v>189.89689710093501</v>
      </c>
      <c r="JU903" s="327">
        <f t="shared" si="1773"/>
        <v>117.60314837460905</v>
      </c>
      <c r="JV903" s="279">
        <f t="shared" si="1774"/>
        <v>96.220757761043757</v>
      </c>
      <c r="JW903" s="323">
        <f>FISC!AN1224</f>
        <v>213.82390613565281</v>
      </c>
      <c r="JX903" s="327">
        <f t="shared" si="1775"/>
        <v>133.48635907745705</v>
      </c>
      <c r="JY903" s="279">
        <f t="shared" si="1776"/>
        <v>109.21611197246483</v>
      </c>
      <c r="JZ903" s="323">
        <f>FISC!AO1224</f>
        <v>242.70247104992188</v>
      </c>
      <c r="KA903" s="327">
        <f t="shared" si="1796"/>
        <v>153.4920682477921</v>
      </c>
      <c r="KB903" s="279">
        <f t="shared" si="1797"/>
        <v>125.58441947546626</v>
      </c>
      <c r="KC903" s="323">
        <f>FISC!AP1224</f>
        <v>279.07648772325837</v>
      </c>
      <c r="KD903" s="327">
        <f t="shared" si="1798"/>
        <v>178.03985812314474</v>
      </c>
      <c r="KE903" s="279">
        <f t="shared" si="1799"/>
        <v>145.66897482802747</v>
      </c>
      <c r="KF903" s="323">
        <f>FISC!AQ1224</f>
        <v>323.70883295117221</v>
      </c>
      <c r="KG903" s="327">
        <f t="shared" si="1800"/>
        <v>206.682556734711</v>
      </c>
      <c r="KH903" s="279">
        <f t="shared" si="1801"/>
        <v>169.1039100556726</v>
      </c>
      <c r="KI903" s="323">
        <f>FISC!AR1224</f>
        <v>375.7864667903836</v>
      </c>
      <c r="KJ903" s="327">
        <f t="shared" si="1802"/>
        <v>239.90710983401155</v>
      </c>
      <c r="KK903" s="279">
        <f t="shared" si="1803"/>
        <v>196.28763531873668</v>
      </c>
      <c r="KL903" s="323">
        <f>FISC!AS1224</f>
        <v>436.19474515274823</v>
      </c>
      <c r="KM903" s="327">
        <f t="shared" si="1804"/>
        <v>359.78519045121766</v>
      </c>
      <c r="KN903" s="279">
        <f t="shared" si="1805"/>
        <v>294.36970127826896</v>
      </c>
      <c r="KO903" s="323">
        <f>FISC!AT1224</f>
        <v>654.15489172948662</v>
      </c>
      <c r="KU903" s="326"/>
      <c r="KV903" s="327"/>
    </row>
    <row r="904" spans="1:314">
      <c r="A904" s="279"/>
      <c r="B904" s="96" t="s">
        <v>338</v>
      </c>
      <c r="D904" s="331" t="s">
        <v>558</v>
      </c>
      <c r="E904" s="323"/>
      <c r="F904" s="323"/>
      <c r="G904" s="323"/>
      <c r="H904" s="323"/>
      <c r="I904" s="323"/>
      <c r="J904" s="323"/>
      <c r="K904" s="323"/>
      <c r="L904" s="323"/>
      <c r="M904" s="323"/>
      <c r="N904" s="323"/>
      <c r="O904" s="323"/>
      <c r="P904" s="323"/>
      <c r="Q904" s="323"/>
      <c r="R904" s="323"/>
      <c r="S904" s="323"/>
      <c r="T904" s="323"/>
      <c r="U904" s="323"/>
      <c r="V904" s="323"/>
      <c r="W904" s="323"/>
      <c r="X904" s="323"/>
      <c r="Y904" s="323"/>
      <c r="Z904" s="323"/>
      <c r="AA904" s="323"/>
      <c r="AB904" s="323"/>
      <c r="AC904" s="323"/>
      <c r="AD904" s="323"/>
      <c r="AE904" s="323"/>
      <c r="AF904" s="323"/>
      <c r="AG904" s="323"/>
      <c r="AH904" s="323"/>
      <c r="AI904" s="323"/>
      <c r="AJ904" s="323"/>
      <c r="AK904" s="323"/>
      <c r="AL904" s="323"/>
      <c r="AM904" s="323"/>
      <c r="AN904" s="323"/>
      <c r="AO904" s="323"/>
      <c r="AP904" s="323"/>
      <c r="AQ904" s="323"/>
      <c r="AR904" s="323"/>
      <c r="AS904" s="323"/>
      <c r="AT904" s="323"/>
      <c r="AU904" s="323"/>
      <c r="AV904" s="323"/>
      <c r="AW904" s="323"/>
      <c r="AX904" s="323"/>
      <c r="AY904" s="323"/>
      <c r="AZ904" s="323"/>
      <c r="BA904" s="323"/>
      <c r="BB904" s="323"/>
      <c r="BC904" s="323"/>
      <c r="BD904" s="323"/>
      <c r="BE904" s="323"/>
      <c r="BF904" s="323"/>
      <c r="BG904" s="323"/>
      <c r="BH904" s="323"/>
      <c r="BI904" s="323"/>
      <c r="BJ904" s="323"/>
      <c r="BK904" s="323"/>
      <c r="BL904" s="323"/>
      <c r="BM904" s="323"/>
      <c r="BN904" s="323"/>
      <c r="BO904" s="323"/>
      <c r="BP904" s="323"/>
      <c r="BQ904" s="323"/>
      <c r="BR904" s="323"/>
      <c r="BS904" s="323"/>
      <c r="BT904" s="323"/>
      <c r="BU904" s="323"/>
      <c r="BV904" s="323"/>
      <c r="BW904" s="323"/>
      <c r="BX904" s="323"/>
      <c r="BY904" s="323"/>
      <c r="BZ904" s="323"/>
      <c r="CA904" s="323"/>
      <c r="CB904" s="323"/>
      <c r="CC904" s="323"/>
      <c r="CD904" s="329"/>
      <c r="CE904" s="323"/>
      <c r="CF904" s="323"/>
      <c r="CG904" s="323"/>
      <c r="CH904" s="323"/>
      <c r="CI904" s="323"/>
      <c r="CJ904" s="323"/>
      <c r="CK904" s="323"/>
      <c r="CL904" s="323"/>
      <c r="CM904" s="323"/>
      <c r="CN904" s="323"/>
      <c r="CO904" s="323"/>
      <c r="CP904" s="325"/>
      <c r="CQ904" s="323"/>
      <c r="CR904" s="323"/>
      <c r="CS904" s="323"/>
      <c r="CT904" s="323"/>
      <c r="CU904" s="323"/>
      <c r="CV904" s="323"/>
      <c r="CW904" s="323"/>
      <c r="CX904" s="323"/>
      <c r="CY904" s="323"/>
      <c r="CZ904" s="323"/>
      <c r="DA904" s="323"/>
      <c r="DB904" s="1269"/>
      <c r="DC904" s="323"/>
      <c r="DD904" s="323"/>
      <c r="DE904" s="323"/>
      <c r="DF904" s="323"/>
      <c r="DG904" s="323"/>
      <c r="DH904" s="323"/>
      <c r="DI904" s="323"/>
      <c r="DJ904" s="323"/>
      <c r="DK904" s="323"/>
      <c r="DL904" s="323"/>
      <c r="DM904" s="323"/>
      <c r="DN904" s="325"/>
      <c r="DO904" s="323"/>
      <c r="DP904" s="323"/>
      <c r="DQ904" s="323"/>
      <c r="DR904" s="323"/>
      <c r="DS904" s="323"/>
      <c r="DT904" s="323"/>
      <c r="DU904" s="323"/>
      <c r="DV904" s="323"/>
      <c r="DW904" s="323"/>
      <c r="DX904" s="323"/>
      <c r="DY904" s="323"/>
      <c r="DZ904" s="325"/>
      <c r="EA904" s="323"/>
      <c r="EB904" s="323"/>
      <c r="EC904" s="323"/>
      <c r="ED904" s="323"/>
      <c r="EE904" s="323"/>
      <c r="EF904" s="323"/>
      <c r="EG904" s="323"/>
      <c r="EH904" s="323"/>
      <c r="EI904" s="323"/>
      <c r="EJ904" s="323"/>
      <c r="EK904" s="323"/>
      <c r="EL904" s="325"/>
      <c r="EM904" s="323"/>
      <c r="EN904" s="323"/>
      <c r="EO904" s="323"/>
      <c r="EP904" s="323"/>
      <c r="EQ904" s="323"/>
      <c r="ER904" s="323"/>
      <c r="ES904" s="323"/>
      <c r="ET904" s="323"/>
      <c r="EU904" s="323"/>
      <c r="EV904" s="323"/>
      <c r="EW904" s="323"/>
      <c r="EX904" s="325"/>
      <c r="EY904" s="323"/>
      <c r="EZ904" s="323"/>
      <c r="FA904" s="323"/>
      <c r="FB904" s="323"/>
      <c r="FC904" s="323"/>
      <c r="FD904" s="323"/>
      <c r="FE904" s="323"/>
      <c r="FF904" s="323"/>
      <c r="FG904" s="323"/>
      <c r="FH904" s="323"/>
      <c r="FI904" s="323"/>
      <c r="FJ904" s="325"/>
      <c r="FK904" s="323"/>
      <c r="FL904" s="323"/>
      <c r="FM904" s="323"/>
      <c r="FN904" s="323"/>
      <c r="FO904" s="323"/>
      <c r="FP904" s="323"/>
      <c r="FQ904" s="323"/>
      <c r="FR904" s="323"/>
      <c r="FS904" s="323"/>
      <c r="FT904" s="323"/>
      <c r="FU904" s="323"/>
      <c r="FV904" s="323"/>
      <c r="FW904" s="323"/>
      <c r="FX904" s="323"/>
      <c r="FY904" s="323"/>
      <c r="FZ904" s="323"/>
      <c r="GA904" s="323"/>
      <c r="GB904" s="323"/>
      <c r="GC904" s="323"/>
      <c r="GD904" s="323"/>
      <c r="GE904" s="323"/>
      <c r="GF904" s="323"/>
      <c r="GG904" s="323"/>
      <c r="GH904" s="323"/>
      <c r="GI904" s="1654"/>
      <c r="HZ904" s="326"/>
      <c r="IA904" s="331" t="s">
        <v>558</v>
      </c>
      <c r="IB904" s="284"/>
      <c r="ID904" s="323"/>
      <c r="IG904" s="323"/>
      <c r="IH904" s="284"/>
      <c r="IJ904" s="323"/>
      <c r="IK904" s="327"/>
      <c r="IM904" s="323"/>
      <c r="IP904" s="323"/>
      <c r="IQ904" s="327"/>
      <c r="IR904" s="327"/>
      <c r="IS904" s="323"/>
      <c r="IT904" s="327"/>
      <c r="IU904" s="327"/>
      <c r="IV904" s="323"/>
      <c r="IW904" s="327"/>
      <c r="IX904" s="327"/>
      <c r="IY904" s="323"/>
      <c r="IZ904" s="327">
        <f t="shared" si="1793"/>
        <v>0</v>
      </c>
      <c r="JA904" s="327">
        <f t="shared" si="1794"/>
        <v>0</v>
      </c>
      <c r="JB904" s="323">
        <f t="shared" si="1458"/>
        <v>0</v>
      </c>
      <c r="JC904" s="327">
        <f t="shared" si="1795"/>
        <v>0</v>
      </c>
      <c r="JD904" s="327">
        <f t="shared" ref="JD904" si="1812">JE904-JC904</f>
        <v>0</v>
      </c>
      <c r="JE904" s="323"/>
      <c r="JF904" s="327"/>
      <c r="JG904" s="327"/>
      <c r="JH904" s="323">
        <f t="shared" si="1703"/>
        <v>0</v>
      </c>
      <c r="JI904" s="327">
        <f t="shared" si="1744"/>
        <v>0</v>
      </c>
      <c r="JJ904" s="327">
        <f t="shared" si="1692"/>
        <v>0</v>
      </c>
      <c r="JK904" s="323">
        <f t="shared" si="1683"/>
        <v>0</v>
      </c>
      <c r="JL904" s="327">
        <f t="shared" si="1704"/>
        <v>0</v>
      </c>
      <c r="JN904" s="323">
        <f>FISC!AK1225</f>
        <v>0</v>
      </c>
      <c r="JO904" s="327"/>
      <c r="JQ904" s="323">
        <f>FISC!AL1225</f>
        <v>0</v>
      </c>
      <c r="JR904" s="327"/>
      <c r="JT904" s="323">
        <f>FISC!AM1225</f>
        <v>0</v>
      </c>
      <c r="JU904" s="327"/>
      <c r="JW904" s="323">
        <f>FISC!AN1225</f>
        <v>0</v>
      </c>
      <c r="JX904" s="327"/>
      <c r="JZ904" s="323">
        <f>FISC!AO1225</f>
        <v>0</v>
      </c>
      <c r="KA904" s="327"/>
      <c r="KC904" s="323">
        <f>FISC!AP1225</f>
        <v>0</v>
      </c>
      <c r="KD904" s="327"/>
      <c r="KF904" s="323">
        <f>FISC!AQ1225</f>
        <v>0</v>
      </c>
      <c r="KG904" s="327"/>
      <c r="KI904" s="323">
        <f>FISC!AR1225</f>
        <v>0</v>
      </c>
      <c r="KJ904" s="327"/>
      <c r="KL904" s="323">
        <f>FISC!AS1225</f>
        <v>0</v>
      </c>
      <c r="KM904" s="327"/>
      <c r="KO904" s="323">
        <f>FISC!AT1225</f>
        <v>0</v>
      </c>
      <c r="KU904" s="326"/>
      <c r="KV904" s="327"/>
    </row>
    <row r="905" spans="1:314">
      <c r="A905" s="279"/>
      <c r="B905" s="96" t="s">
        <v>338</v>
      </c>
      <c r="D905" s="330" t="s">
        <v>559</v>
      </c>
      <c r="E905" s="323">
        <f t="shared" ref="E905:AJ905" si="1813">E754-E850</f>
        <v>0</v>
      </c>
      <c r="F905" s="323">
        <f t="shared" si="1813"/>
        <v>0</v>
      </c>
      <c r="G905" s="323">
        <f t="shared" si="1813"/>
        <v>0</v>
      </c>
      <c r="H905" s="323">
        <f t="shared" si="1813"/>
        <v>0</v>
      </c>
      <c r="I905" s="323">
        <f t="shared" si="1813"/>
        <v>0</v>
      </c>
      <c r="J905" s="323">
        <f t="shared" si="1813"/>
        <v>0</v>
      </c>
      <c r="K905" s="323">
        <f t="shared" si="1813"/>
        <v>0</v>
      </c>
      <c r="L905" s="323">
        <f t="shared" si="1813"/>
        <v>0</v>
      </c>
      <c r="M905" s="323">
        <f t="shared" si="1813"/>
        <v>0</v>
      </c>
      <c r="N905" s="323">
        <f t="shared" si="1813"/>
        <v>0</v>
      </c>
      <c r="O905" s="323">
        <f t="shared" si="1813"/>
        <v>0</v>
      </c>
      <c r="P905" s="323">
        <f t="shared" si="1813"/>
        <v>0</v>
      </c>
      <c r="Q905" s="323">
        <f t="shared" si="1813"/>
        <v>0</v>
      </c>
      <c r="R905" s="323">
        <f t="shared" si="1813"/>
        <v>0</v>
      </c>
      <c r="S905" s="323">
        <f t="shared" si="1813"/>
        <v>0</v>
      </c>
      <c r="T905" s="323">
        <f t="shared" si="1813"/>
        <v>0</v>
      </c>
      <c r="U905" s="323">
        <f t="shared" si="1813"/>
        <v>0</v>
      </c>
      <c r="V905" s="323">
        <f t="shared" si="1813"/>
        <v>0</v>
      </c>
      <c r="W905" s="323">
        <f t="shared" si="1813"/>
        <v>0</v>
      </c>
      <c r="X905" s="323">
        <f t="shared" si="1813"/>
        <v>0</v>
      </c>
      <c r="Y905" s="323">
        <f t="shared" si="1813"/>
        <v>0</v>
      </c>
      <c r="Z905" s="323">
        <f t="shared" si="1813"/>
        <v>0</v>
      </c>
      <c r="AA905" s="323">
        <f t="shared" si="1813"/>
        <v>0</v>
      </c>
      <c r="AB905" s="323">
        <f t="shared" si="1813"/>
        <v>0</v>
      </c>
      <c r="AC905" s="323">
        <f t="shared" si="1813"/>
        <v>0</v>
      </c>
      <c r="AD905" s="323">
        <f t="shared" si="1813"/>
        <v>0</v>
      </c>
      <c r="AE905" s="323">
        <f t="shared" si="1813"/>
        <v>0</v>
      </c>
      <c r="AF905" s="323">
        <f t="shared" si="1813"/>
        <v>0</v>
      </c>
      <c r="AG905" s="323">
        <f t="shared" si="1813"/>
        <v>0</v>
      </c>
      <c r="AH905" s="323">
        <f t="shared" si="1813"/>
        <v>0</v>
      </c>
      <c r="AI905" s="323">
        <f t="shared" si="1813"/>
        <v>0</v>
      </c>
      <c r="AJ905" s="323">
        <f t="shared" si="1813"/>
        <v>0</v>
      </c>
      <c r="AK905" s="323">
        <f t="shared" ref="AK905:BP905" si="1814">AK754-AK850</f>
        <v>0</v>
      </c>
      <c r="AL905" s="323">
        <f t="shared" si="1814"/>
        <v>0</v>
      </c>
      <c r="AM905" s="323">
        <f t="shared" si="1814"/>
        <v>0</v>
      </c>
      <c r="AN905" s="323">
        <f t="shared" si="1814"/>
        <v>0</v>
      </c>
      <c r="AO905" s="323">
        <f t="shared" si="1814"/>
        <v>50.342214462293803</v>
      </c>
      <c r="AP905" s="323">
        <f t="shared" si="1814"/>
        <v>27.304769607348977</v>
      </c>
      <c r="AQ905" s="323">
        <f t="shared" si="1814"/>
        <v>52.088454925589502</v>
      </c>
      <c r="AR905" s="323">
        <f t="shared" si="1814"/>
        <v>52.158303622137794</v>
      </c>
      <c r="AS905" s="323">
        <f t="shared" si="1814"/>
        <v>37.016039549645832</v>
      </c>
      <c r="AT905" s="323">
        <f t="shared" si="1814"/>
        <v>145.54274740342879</v>
      </c>
      <c r="AU905" s="323">
        <f t="shared" si="1814"/>
        <v>44.823105260773595</v>
      </c>
      <c r="AV905" s="323">
        <f t="shared" si="1814"/>
        <v>41.210677487137481</v>
      </c>
      <c r="AW905" s="323">
        <f t="shared" si="1814"/>
        <v>99.200947873738329</v>
      </c>
      <c r="AX905" s="323">
        <f t="shared" si="1814"/>
        <v>76.247369485781107</v>
      </c>
      <c r="AY905" s="323">
        <f t="shared" si="1814"/>
        <v>51.779533459869747</v>
      </c>
      <c r="AZ905" s="323">
        <f t="shared" si="1814"/>
        <v>164.17174661412753</v>
      </c>
      <c r="BA905" s="323">
        <f t="shared" si="1814"/>
        <v>47.250302493921275</v>
      </c>
      <c r="BB905" s="323">
        <f t="shared" si="1814"/>
        <v>42.194123704381532</v>
      </c>
      <c r="BC905" s="323">
        <f t="shared" si="1814"/>
        <v>57.501611650348792</v>
      </c>
      <c r="BD905" s="323">
        <f t="shared" si="1814"/>
        <v>125.19516059076922</v>
      </c>
      <c r="BE905" s="323">
        <f t="shared" si="1814"/>
        <v>49.740713777075285</v>
      </c>
      <c r="BF905" s="323">
        <f t="shared" si="1814"/>
        <v>84.363849585870526</v>
      </c>
      <c r="BG905" s="323">
        <f t="shared" si="1814"/>
        <v>37.651865692805707</v>
      </c>
      <c r="BH905" s="323">
        <f t="shared" si="1814"/>
        <v>12.972745364177442</v>
      </c>
      <c r="BI905" s="323">
        <f t="shared" si="1814"/>
        <v>45.459024650403435</v>
      </c>
      <c r="BJ905" s="323">
        <f t="shared" si="1814"/>
        <v>64.238497660145569</v>
      </c>
      <c r="BK905" s="323">
        <f t="shared" si="1814"/>
        <v>6.7960197153470148</v>
      </c>
      <c r="BL905" s="323">
        <f t="shared" si="1814"/>
        <v>112.11381982095435</v>
      </c>
      <c r="BM905" s="323">
        <f t="shared" si="1814"/>
        <v>-20.730612014129491</v>
      </c>
      <c r="BN905" s="323">
        <f t="shared" si="1814"/>
        <v>5.5919341474474038</v>
      </c>
      <c r="BO905" s="323">
        <f t="shared" si="1814"/>
        <v>38.785997773481526</v>
      </c>
      <c r="BP905" s="323">
        <f t="shared" si="1814"/>
        <v>-34.555413219056625</v>
      </c>
      <c r="BQ905" s="323">
        <f t="shared" ref="BQ905:CV905" si="1815">BQ754-BQ850</f>
        <v>-12.078330548425598</v>
      </c>
      <c r="BR905" s="323">
        <f t="shared" si="1815"/>
        <v>122.08977756751783</v>
      </c>
      <c r="BS905" s="323">
        <f t="shared" si="1815"/>
        <v>28.548471374992609</v>
      </c>
      <c r="BT905" s="323">
        <f t="shared" si="1815"/>
        <v>11.691175516446918</v>
      </c>
      <c r="BU905" s="323">
        <f t="shared" si="1815"/>
        <v>41.177768051094112</v>
      </c>
      <c r="BV905" s="323">
        <f t="shared" si="1815"/>
        <v>31.570121965842958</v>
      </c>
      <c r="BW905" s="323">
        <f t="shared" si="1815"/>
        <v>37.771134042156831</v>
      </c>
      <c r="BX905" s="323">
        <f t="shared" si="1815"/>
        <v>64.170013033509747</v>
      </c>
      <c r="BY905" s="323">
        <f t="shared" si="1815"/>
        <v>-9.0911269680772762</v>
      </c>
      <c r="BZ905" s="323">
        <f t="shared" si="1815"/>
        <v>-6.9639915402105501</v>
      </c>
      <c r="CA905" s="323">
        <f t="shared" si="1815"/>
        <v>65.162270257797758</v>
      </c>
      <c r="CB905" s="323">
        <f t="shared" si="1815"/>
        <v>9.3099377125057714</v>
      </c>
      <c r="CC905" s="323">
        <f t="shared" si="1815"/>
        <v>-4.0421302503292935</v>
      </c>
      <c r="CD905" s="329">
        <f t="shared" si="1815"/>
        <v>16.352287125465146</v>
      </c>
      <c r="CE905" s="323">
        <f t="shared" si="1815"/>
        <v>11.226550838196317</v>
      </c>
      <c r="CF905" s="323">
        <f t="shared" si="1815"/>
        <v>19.960781247150081</v>
      </c>
      <c r="CG905" s="323">
        <f t="shared" si="1815"/>
        <v>88.293623581451413</v>
      </c>
      <c r="CH905" s="323">
        <f t="shared" si="1815"/>
        <v>17.660534648424687</v>
      </c>
      <c r="CI905" s="323">
        <f t="shared" si="1815"/>
        <v>36.31099452647647</v>
      </c>
      <c r="CJ905" s="323">
        <f t="shared" si="1815"/>
        <v>90.401306480941287</v>
      </c>
      <c r="CK905" s="323">
        <f t="shared" si="1815"/>
        <v>-10.012889232402159</v>
      </c>
      <c r="CL905" s="323">
        <f t="shared" si="1815"/>
        <v>16.013408092959601</v>
      </c>
      <c r="CM905" s="323">
        <f t="shared" si="1815"/>
        <v>44.150074023205121</v>
      </c>
      <c r="CN905" s="323">
        <f t="shared" si="1815"/>
        <v>5.261383224805769</v>
      </c>
      <c r="CO905" s="323">
        <f t="shared" si="1815"/>
        <v>19.608147498548291</v>
      </c>
      <c r="CP905" s="325">
        <f t="shared" si="1815"/>
        <v>96.85123674827301</v>
      </c>
      <c r="CQ905" s="323">
        <f t="shared" si="1815"/>
        <v>-2.2586144332271942</v>
      </c>
      <c r="CR905" s="323">
        <f t="shared" si="1815"/>
        <v>9.4697950274682086</v>
      </c>
      <c r="CS905" s="323">
        <f t="shared" si="1815"/>
        <v>38.213657824007726</v>
      </c>
      <c r="CT905" s="323">
        <f t="shared" si="1815"/>
        <v>10.482476524746346</v>
      </c>
      <c r="CU905" s="323">
        <f t="shared" si="1815"/>
        <v>22.743065555580202</v>
      </c>
      <c r="CV905" s="323">
        <f t="shared" si="1815"/>
        <v>115.20482370154257</v>
      </c>
      <c r="CW905" s="323">
        <f t="shared" ref="CW905:EB905" si="1816">CW754-CW850</f>
        <v>5.9576430422451523</v>
      </c>
      <c r="CX905" s="323">
        <f t="shared" si="1816"/>
        <v>26.452220863713123</v>
      </c>
      <c r="CY905" s="323">
        <f t="shared" si="1816"/>
        <v>69.860697616976864</v>
      </c>
      <c r="CZ905" s="323">
        <f t="shared" si="1816"/>
        <v>-19.214715032122783</v>
      </c>
      <c r="DA905" s="323">
        <f t="shared" si="1816"/>
        <v>48.747024967170887</v>
      </c>
      <c r="DB905" s="1269">
        <f t="shared" si="1816"/>
        <v>105.84440212610917</v>
      </c>
      <c r="DC905" s="323">
        <f t="shared" si="1816"/>
        <v>-12.986428541790374</v>
      </c>
      <c r="DD905" s="323">
        <f t="shared" si="1816"/>
        <v>7.0968010364378245</v>
      </c>
      <c r="DE905" s="323">
        <f t="shared" si="1816"/>
        <v>62.83344332245106</v>
      </c>
      <c r="DF905" s="323">
        <f t="shared" si="1816"/>
        <v>-37.877233526748924</v>
      </c>
      <c r="DG905" s="323">
        <f t="shared" si="1816"/>
        <v>32.232385309364403</v>
      </c>
      <c r="DH905" s="323">
        <f t="shared" si="1816"/>
        <v>98.478752021755994</v>
      </c>
      <c r="DI905" s="323">
        <f t="shared" si="1816"/>
        <v>-32.909509292516304</v>
      </c>
      <c r="DJ905" s="323">
        <f t="shared" si="1816"/>
        <v>13.939963891306775</v>
      </c>
      <c r="DK905" s="323">
        <f t="shared" si="1816"/>
        <v>77.712685231954339</v>
      </c>
      <c r="DL905" s="323">
        <f t="shared" si="1816"/>
        <v>24.038571513286939</v>
      </c>
      <c r="DM905" s="323">
        <f t="shared" si="1816"/>
        <v>28.732232940405524</v>
      </c>
      <c r="DN905" s="325">
        <f t="shared" si="1816"/>
        <v>133.42889728732064</v>
      </c>
      <c r="DO905" s="323">
        <f t="shared" si="1816"/>
        <v>-38.94609377156047</v>
      </c>
      <c r="DP905" s="323">
        <f t="shared" si="1816"/>
        <v>-9.5764775659607437</v>
      </c>
      <c r="DQ905" s="323">
        <f t="shared" si="1816"/>
        <v>65.237020367504428</v>
      </c>
      <c r="DR905" s="323">
        <f t="shared" si="1816"/>
        <v>-70.15945567664852</v>
      </c>
      <c r="DS905" s="323">
        <f t="shared" si="1816"/>
        <v>7.4587257666715914</v>
      </c>
      <c r="DT905" s="323">
        <f t="shared" si="1816"/>
        <v>95.770676780347841</v>
      </c>
      <c r="DU905" s="323">
        <f t="shared" si="1816"/>
        <v>-15.74574773483468</v>
      </c>
      <c r="DV905" s="323">
        <f t="shared" si="1816"/>
        <v>-5.9040159919372002</v>
      </c>
      <c r="DW905" s="323">
        <f t="shared" si="1816"/>
        <v>105.32248860312814</v>
      </c>
      <c r="DX905" s="323">
        <f t="shared" si="1816"/>
        <v>-52.727421352877244</v>
      </c>
      <c r="DY905" s="323">
        <f t="shared" si="1816"/>
        <v>2.6065959239360268</v>
      </c>
      <c r="DZ905" s="325">
        <f t="shared" si="1816"/>
        <v>188.95681852212289</v>
      </c>
      <c r="EA905" s="323">
        <f t="shared" si="1816"/>
        <v>-28.527362464601978</v>
      </c>
      <c r="EB905" s="323">
        <f t="shared" si="1816"/>
        <v>-21.652539514106763</v>
      </c>
      <c r="EC905" s="323">
        <f t="shared" ref="EC905:FH905" si="1817">EC754-EC850</f>
        <v>13.873626841446963</v>
      </c>
      <c r="ED905" s="323">
        <f t="shared" si="1817"/>
        <v>1.1686680330526258</v>
      </c>
      <c r="EE905" s="323">
        <f t="shared" si="1817"/>
        <v>22.397601019218115</v>
      </c>
      <c r="EF905" s="323">
        <f t="shared" si="1817"/>
        <v>137.8913282368537</v>
      </c>
      <c r="EG905" s="323">
        <f t="shared" si="1817"/>
        <v>-1.7461963297775753</v>
      </c>
      <c r="EH905" s="323">
        <f t="shared" si="1817"/>
        <v>10.584492243964505</v>
      </c>
      <c r="EI905" s="323">
        <f t="shared" si="1817"/>
        <v>63.673256961588919</v>
      </c>
      <c r="EJ905" s="323">
        <f t="shared" si="1817"/>
        <v>41.980709262640744</v>
      </c>
      <c r="EK905" s="323">
        <f t="shared" si="1817"/>
        <v>-7.1049185039093459</v>
      </c>
      <c r="EL905" s="325">
        <f t="shared" si="1817"/>
        <v>112.08979081116436</v>
      </c>
      <c r="EM905" s="323">
        <f t="shared" si="1817"/>
        <v>10.369869410354255</v>
      </c>
      <c r="EN905" s="323">
        <f t="shared" si="1817"/>
        <v>51.252060539525019</v>
      </c>
      <c r="EO905" s="323">
        <f t="shared" si="1817"/>
        <v>92.177410487107565</v>
      </c>
      <c r="EP905" s="323">
        <f t="shared" si="1817"/>
        <v>-11.679561661276239</v>
      </c>
      <c r="EQ905" s="323">
        <f t="shared" si="1817"/>
        <v>-28.56469433456121</v>
      </c>
      <c r="ER905" s="323">
        <f t="shared" si="1817"/>
        <v>177.85659275868267</v>
      </c>
      <c r="ES905" s="323">
        <f t="shared" si="1817"/>
        <v>18.072183566611585</v>
      </c>
      <c r="ET905" s="323">
        <f t="shared" si="1817"/>
        <v>35.155458262292996</v>
      </c>
      <c r="EU905" s="323">
        <f t="shared" si="1817"/>
        <v>60.109411120122644</v>
      </c>
      <c r="EV905" s="323">
        <f t="shared" si="1817"/>
        <v>-99.962704997196681</v>
      </c>
      <c r="EW905" s="323">
        <f t="shared" si="1817"/>
        <v>-38.946207214846083</v>
      </c>
      <c r="EX905" s="325">
        <f t="shared" si="1817"/>
        <v>132.32396091031814</v>
      </c>
      <c r="EY905" s="323">
        <f t="shared" si="1817"/>
        <v>11.531639815876531</v>
      </c>
      <c r="EZ905" s="323">
        <f t="shared" si="1817"/>
        <v>4.0938651345833819</v>
      </c>
      <c r="FA905" s="323">
        <f t="shared" si="1817"/>
        <v>72.749586707226484</v>
      </c>
      <c r="FB905" s="323">
        <f t="shared" si="1817"/>
        <v>14.504317450792684</v>
      </c>
      <c r="FC905" s="323">
        <f t="shared" si="1817"/>
        <v>-20.401203805582327</v>
      </c>
      <c r="FD905" s="323">
        <f t="shared" si="1817"/>
        <v>134.79899764577428</v>
      </c>
      <c r="FE905" s="323">
        <f t="shared" si="1817"/>
        <v>20.579735134823835</v>
      </c>
      <c r="FF905" s="323">
        <f t="shared" si="1817"/>
        <v>0.48782273090586159</v>
      </c>
      <c r="FG905" s="323">
        <f t="shared" si="1817"/>
        <v>-9.338271103244125</v>
      </c>
      <c r="FH905" s="323">
        <f t="shared" si="1817"/>
        <v>26.03390740896063</v>
      </c>
      <c r="FI905" s="323">
        <f t="shared" ref="FI905:FV905" si="1818">FI754-FI850</f>
        <v>-96.597009332246387</v>
      </c>
      <c r="FJ905" s="325">
        <f t="shared" si="1818"/>
        <v>133.38672585636206</v>
      </c>
      <c r="FK905" s="323">
        <f t="shared" si="1818"/>
        <v>-93.131365877007653</v>
      </c>
      <c r="FL905" s="323">
        <f t="shared" si="1818"/>
        <v>-18.271631342960319</v>
      </c>
      <c r="FM905" s="323">
        <f t="shared" si="1818"/>
        <v>159.3012727441062</v>
      </c>
      <c r="FN905" s="323">
        <f t="shared" si="1818"/>
        <v>60.045235040553621</v>
      </c>
      <c r="FO905" s="323">
        <f t="shared" si="1818"/>
        <v>-43.371605854552001</v>
      </c>
      <c r="FP905" s="323">
        <f t="shared" si="1818"/>
        <v>121.32178410174845</v>
      </c>
      <c r="FQ905" s="323">
        <f t="shared" si="1818"/>
        <v>34.736620264355395</v>
      </c>
      <c r="FR905" s="323">
        <f t="shared" si="1818"/>
        <v>-3.8924786876739574</v>
      </c>
      <c r="FS905" s="323">
        <f t="shared" si="1818"/>
        <v>105.67091608287279</v>
      </c>
      <c r="FT905" s="323">
        <f t="shared" si="1818"/>
        <v>78.759100283718851</v>
      </c>
      <c r="FU905" s="323">
        <f t="shared" si="1818"/>
        <v>-124.00859336688893</v>
      </c>
      <c r="FV905" s="323">
        <f t="shared" si="1818"/>
        <v>201.67450572051013</v>
      </c>
      <c r="FW905" s="323">
        <v>-7.7577802856145297</v>
      </c>
      <c r="FX905" s="323">
        <v>17.881145306058386</v>
      </c>
      <c r="FY905" s="323">
        <v>-20.813504917829107</v>
      </c>
      <c r="FZ905" s="323">
        <v>30.64203143979131</v>
      </c>
      <c r="GA905" s="323">
        <v>68.883346584564919</v>
      </c>
      <c r="GB905" s="323">
        <v>116.64479865938523</v>
      </c>
      <c r="GC905" s="323">
        <v>15.144317438286748</v>
      </c>
      <c r="GD905" s="323">
        <v>-37.110679213351148</v>
      </c>
      <c r="GE905" s="323">
        <v>174.29080912954831</v>
      </c>
      <c r="GF905" s="323">
        <v>5.6865371737175678</v>
      </c>
      <c r="GG905" s="323">
        <v>104.76155300730449</v>
      </c>
      <c r="GH905" s="323">
        <v>154.96014495995357</v>
      </c>
      <c r="GI905" s="1654">
        <f t="shared" ref="GI905:HL905" si="1819">GI754-GI850</f>
        <v>-36.244317143483471</v>
      </c>
      <c r="GJ905" s="1654">
        <f t="shared" si="1819"/>
        <v>-64.332281865883772</v>
      </c>
      <c r="GK905" s="1654">
        <f t="shared" si="1819"/>
        <v>64.315743396283693</v>
      </c>
      <c r="GL905" s="1654">
        <f t="shared" si="1819"/>
        <v>10.452655731688509</v>
      </c>
      <c r="GM905" s="1654">
        <f t="shared" si="1819"/>
        <v>-1.1173421739326557</v>
      </c>
      <c r="GN905" s="1654">
        <f t="shared" si="1819"/>
        <v>195.96335724041455</v>
      </c>
      <c r="GO905" s="1654">
        <f t="shared" si="1819"/>
        <v>29.035478198930832</v>
      </c>
      <c r="GP905" s="1654">
        <f t="shared" si="1819"/>
        <v>-15.031052830839059</v>
      </c>
      <c r="GQ905" s="1654">
        <f t="shared" si="1819"/>
        <v>154.02559419773215</v>
      </c>
      <c r="GR905" s="1654">
        <f t="shared" si="1819"/>
        <v>105.30737492834515</v>
      </c>
      <c r="GS905" s="1654">
        <f t="shared" si="1819"/>
        <v>-146.45153599436051</v>
      </c>
      <c r="GT905" s="1654">
        <f t="shared" si="1819"/>
        <v>246.94887672734112</v>
      </c>
      <c r="GU905" s="1654">
        <f t="shared" si="1819"/>
        <v>45.320778339677133</v>
      </c>
      <c r="GV905" s="1654">
        <f t="shared" si="1819"/>
        <v>-64.252468153693542</v>
      </c>
      <c r="GW905" s="1654">
        <f t="shared" si="1819"/>
        <v>189.31192920653137</v>
      </c>
      <c r="GX905" s="1654">
        <f t="shared" si="1819"/>
        <v>3.8342026218434171</v>
      </c>
      <c r="GY905" s="1654">
        <f t="shared" si="1819"/>
        <v>-31.570297179784177</v>
      </c>
      <c r="GZ905" s="1654">
        <f t="shared" si="1819"/>
        <v>246.83058024757628</v>
      </c>
      <c r="HA905" s="1654">
        <f t="shared" si="1819"/>
        <v>-17.874802007185167</v>
      </c>
      <c r="HB905" s="1654">
        <f t="shared" si="1819"/>
        <v>-104.48662195446414</v>
      </c>
      <c r="HC905" s="1654">
        <f t="shared" si="1819"/>
        <v>186.31408910464862</v>
      </c>
      <c r="HD905" s="1654">
        <f t="shared" si="1819"/>
        <v>61.227510689165001</v>
      </c>
      <c r="HE905" s="1654">
        <f t="shared" si="1819"/>
        <v>-57.274948339862078</v>
      </c>
      <c r="HF905" s="1654">
        <f t="shared" si="1819"/>
        <v>180.80645132360343</v>
      </c>
      <c r="HG905" s="1654">
        <f t="shared" si="1819"/>
        <v>41.448338466112432</v>
      </c>
      <c r="HH905" s="1654">
        <f t="shared" si="1819"/>
        <v>-93.802130535164594</v>
      </c>
      <c r="HI905" s="1654">
        <f t="shared" si="1819"/>
        <v>215.05227264855989</v>
      </c>
      <c r="HJ905" s="1654">
        <f t="shared" si="1819"/>
        <v>33.583437785406517</v>
      </c>
      <c r="HK905" s="1654">
        <f t="shared" si="1819"/>
        <v>-55.345560112297676</v>
      </c>
      <c r="HL905" s="1654">
        <f t="shared" si="1819"/>
        <v>284.77799947479269</v>
      </c>
      <c r="HM905" s="1654">
        <f t="shared" ref="HM905:HR905" si="1820">HM754-HM850</f>
        <v>2.1799769211928037</v>
      </c>
      <c r="HN905" s="1654">
        <f t="shared" si="1820"/>
        <v>-119.47613121503105</v>
      </c>
      <c r="HO905" s="1654">
        <f t="shared" si="1820"/>
        <v>139.07166689397826</v>
      </c>
      <c r="HP905" s="1654">
        <f t="shared" si="1820"/>
        <v>53.840172953998405</v>
      </c>
      <c r="HQ905" s="1654">
        <f t="shared" si="1820"/>
        <v>-58.620373714535731</v>
      </c>
      <c r="HR905" s="1654">
        <f t="shared" si="1820"/>
        <v>314.50835901514688</v>
      </c>
      <c r="HS905" s="1654">
        <f t="shared" ref="HS905:HX905" si="1821">HS754-HS850</f>
        <v>22.658298194622148</v>
      </c>
      <c r="HT905" s="1654">
        <f t="shared" si="1821"/>
        <v>-98.093409288226553</v>
      </c>
      <c r="HU905" s="1654">
        <f t="shared" si="1821"/>
        <v>262.92790916778944</v>
      </c>
      <c r="HV905" s="1654">
        <f t="shared" si="1821"/>
        <v>84.511347847737568</v>
      </c>
      <c r="HW905" s="1654">
        <f t="shared" si="1821"/>
        <v>-78.626477990181741</v>
      </c>
      <c r="HX905" s="1654">
        <f t="shared" si="1821"/>
        <v>316.40488117504566</v>
      </c>
      <c r="HY905" s="1654"/>
      <c r="HZ905" s="326"/>
      <c r="IA905" s="330" t="s">
        <v>559</v>
      </c>
      <c r="IB905" s="284">
        <f>SUM(CE905:CJ905)</f>
        <v>263.85379132264023</v>
      </c>
      <c r="IC905" s="279">
        <f>SUM(CK905:CP905)</f>
        <v>171.87136035538964</v>
      </c>
      <c r="ID905" s="323">
        <f>IB905+IC905</f>
        <v>435.72515167802987</v>
      </c>
      <c r="IE905" s="279">
        <f>SUM(CQ905:CV905)</f>
        <v>193.85520420011784</v>
      </c>
      <c r="IF905" s="279">
        <f>SUM(CW905:DB905)</f>
        <v>237.64727358409243</v>
      </c>
      <c r="IG905" s="323">
        <f>IE905+IF905</f>
        <v>431.50247778421027</v>
      </c>
      <c r="IH905" s="284">
        <f>SUM(DC905:DH905)</f>
        <v>149.77771962147</v>
      </c>
      <c r="II905" s="279">
        <f>SUM(DI905:DN905)</f>
        <v>244.94284157175792</v>
      </c>
      <c r="IJ905" s="323">
        <f>IH905+II905</f>
        <v>394.72056119322792</v>
      </c>
      <c r="IK905" s="327">
        <f>SUM(DO905:DT905)</f>
        <v>49.784395900354127</v>
      </c>
      <c r="IL905" s="279">
        <f>SUM(DU905:DZ905)</f>
        <v>222.50871796953794</v>
      </c>
      <c r="IM905" s="323">
        <f>IK905+IL905</f>
        <v>272.29311386989207</v>
      </c>
      <c r="IN905" s="279">
        <f>SUM(EA905:EF905)</f>
        <v>125.15132215186266</v>
      </c>
      <c r="IO905" s="279">
        <f>SUM(EG905:EL905)</f>
        <v>219.4771344456716</v>
      </c>
      <c r="IP905" s="323">
        <f>IN905+IO905</f>
        <v>344.62845659753424</v>
      </c>
      <c r="IQ905" s="327">
        <f>SUM(EM905:ER905)</f>
        <v>291.41167719983207</v>
      </c>
      <c r="IR905" s="327">
        <f>SUM(ES905:EX905)</f>
        <v>106.7521016473026</v>
      </c>
      <c r="IS905" s="323">
        <f>IQ905+IR905</f>
        <v>398.16377884713467</v>
      </c>
      <c r="IT905" s="327">
        <f>SUM(EY905:FD905)</f>
        <v>217.27720294867103</v>
      </c>
      <c r="IU905" s="327">
        <f>SUM(FE905:FJ905)</f>
        <v>74.552910695561877</v>
      </c>
      <c r="IV905" s="323">
        <f>IT905+IU905</f>
        <v>291.83011364423294</v>
      </c>
      <c r="IW905" s="327">
        <f>SUM(FK905:FP905)</f>
        <v>185.8936888118883</v>
      </c>
      <c r="IX905" s="327">
        <f t="shared" ref="IX905:IX915" si="1822">SUM(FQ905:FV905)</f>
        <v>292.94007029689431</v>
      </c>
      <c r="IY905" s="323">
        <f t="shared" si="1621"/>
        <v>478.8337591087826</v>
      </c>
      <c r="IZ905" s="327">
        <f t="shared" si="1793"/>
        <v>205.48003678635621</v>
      </c>
      <c r="JA905" s="327">
        <f t="shared" si="1794"/>
        <v>417.73268249545958</v>
      </c>
      <c r="JB905" s="323">
        <f t="shared" ref="JB905:JB977" si="1823">IZ905+JA905</f>
        <v>623.21271928181579</v>
      </c>
      <c r="JC905" s="327">
        <f t="shared" si="1795"/>
        <v>169.03781518508686</v>
      </c>
      <c r="JD905" s="327">
        <f t="shared" ref="JD905:JD917" si="1824">SUM(GO905:GT905)</f>
        <v>373.83473522714968</v>
      </c>
      <c r="JE905" s="323">
        <f>JC905+JD905</f>
        <v>542.87255041223648</v>
      </c>
      <c r="JF905" s="327">
        <f>JF754-JF850</f>
        <v>389.47472508215083</v>
      </c>
      <c r="JG905" s="327">
        <f>JG754-JG850</f>
        <v>248.71167881590532</v>
      </c>
      <c r="JH905" s="323">
        <f t="shared" si="1703"/>
        <v>638.18640389805614</v>
      </c>
      <c r="JI905" s="327">
        <f t="shared" si="1744"/>
        <v>425.71435772740926</v>
      </c>
      <c r="JJ905" s="327">
        <f t="shared" si="1692"/>
        <v>331.50367085474954</v>
      </c>
      <c r="JK905" s="323">
        <f t="shared" si="1683"/>
        <v>757.21802858215881</v>
      </c>
      <c r="JL905" s="327">
        <f t="shared" si="1704"/>
        <v>509.78254910678652</v>
      </c>
      <c r="JM905" s="279">
        <f>JN905-JL905</f>
        <v>603.39779608429262</v>
      </c>
      <c r="JN905" s="323">
        <f>FISC!AK1226</f>
        <v>1113.1803451910791</v>
      </c>
      <c r="JO905" s="327">
        <f>JO754-JO850</f>
        <v>308.88268236733575</v>
      </c>
      <c r="JP905" s="279">
        <f>JQ905-JO905</f>
        <v>900.47740981867491</v>
      </c>
      <c r="JQ905" s="323">
        <f>FISC!AL1226</f>
        <v>1209.3600921860107</v>
      </c>
      <c r="JR905" s="327">
        <f>JR754-JR850</f>
        <v>472.59725073863592</v>
      </c>
      <c r="JS905" s="279">
        <f>JT905-JR905</f>
        <v>1026.0817007480273</v>
      </c>
      <c r="JT905" s="323">
        <f>FISC!AM1226</f>
        <v>1498.6789514866632</v>
      </c>
      <c r="JU905" s="327">
        <f>JU754-JU850</f>
        <v>664.95935695006938</v>
      </c>
      <c r="JV905" s="279">
        <f>JW905-JU905</f>
        <v>1213.2110251220029</v>
      </c>
      <c r="JW905" s="323">
        <f>FISC!AN1226</f>
        <v>1878.1703820720722</v>
      </c>
      <c r="JX905" s="327">
        <f>JX754-JX850</f>
        <v>679.67125658985924</v>
      </c>
      <c r="JY905" s="279">
        <f>JZ905-JX905</f>
        <v>1382.3926982727994</v>
      </c>
      <c r="JZ905" s="323">
        <f>FISC!AO1226</f>
        <v>2062.0639548626586</v>
      </c>
      <c r="KA905" s="327">
        <f>KA754-KA850</f>
        <v>719.27764615110436</v>
      </c>
      <c r="KB905" s="279">
        <f>KC905-KA905</f>
        <v>1531.782868357504</v>
      </c>
      <c r="KC905" s="323">
        <f>FISC!AP1226</f>
        <v>2251.0605145086083</v>
      </c>
      <c r="KD905" s="327">
        <f>KD754-KD850</f>
        <v>792.59409826863157</v>
      </c>
      <c r="KE905" s="279">
        <f>KF905-KD905</f>
        <v>1348.1855915880751</v>
      </c>
      <c r="KF905" s="323">
        <f>FISC!AQ1226</f>
        <v>2140.7796898567067</v>
      </c>
      <c r="KG905" s="327">
        <f>KG754-KG850</f>
        <v>794.34520994449213</v>
      </c>
      <c r="KH905" s="279">
        <f>KI905-KG905</f>
        <v>1541.0959098248359</v>
      </c>
      <c r="KI905" s="323">
        <f>FISC!AR1226</f>
        <v>2335.441119769328</v>
      </c>
      <c r="KJ905" s="327">
        <f>KJ754-KJ850</f>
        <v>770.58403257762893</v>
      </c>
      <c r="KK905" s="279">
        <f>KL905-KJ905</f>
        <v>1692.4875439624657</v>
      </c>
      <c r="KL905" s="323">
        <f>FISC!AS1226</f>
        <v>2463.0715765400946</v>
      </c>
      <c r="KM905" s="327">
        <f>KM754-KM850</f>
        <v>1106.7121899724843</v>
      </c>
      <c r="KN905" s="279">
        <f>KO905-KM905</f>
        <v>2119.2609929252903</v>
      </c>
      <c r="KO905" s="323">
        <f>FISC!AT1226</f>
        <v>3225.9731828977747</v>
      </c>
      <c r="KU905" s="326"/>
      <c r="KV905" s="327"/>
      <c r="KY905" s="279">
        <f>KY754-KY850</f>
        <v>0</v>
      </c>
      <c r="KZ905" s="279">
        <f>KZ754-KZ850</f>
        <v>0</v>
      </c>
      <c r="LA905" s="279">
        <f>LA754-LA850</f>
        <v>0</v>
      </c>
      <c r="LB905" s="279">
        <f>LB754-LB850</f>
        <v>0</v>
      </c>
    </row>
    <row r="906" spans="1:314">
      <c r="A906" s="279"/>
      <c r="B906" s="96" t="s">
        <v>338</v>
      </c>
      <c r="D906" s="330" t="s">
        <v>560</v>
      </c>
      <c r="E906" s="323">
        <f t="shared" ref="E906:AJ906" si="1825">E754-E813-E850</f>
        <v>0</v>
      </c>
      <c r="F906" s="323">
        <f t="shared" si="1825"/>
        <v>0</v>
      </c>
      <c r="G906" s="323">
        <f t="shared" si="1825"/>
        <v>0</v>
      </c>
      <c r="H906" s="323">
        <f t="shared" si="1825"/>
        <v>0</v>
      </c>
      <c r="I906" s="323">
        <f t="shared" si="1825"/>
        <v>0</v>
      </c>
      <c r="J906" s="323">
        <f t="shared" si="1825"/>
        <v>0</v>
      </c>
      <c r="K906" s="323">
        <f t="shared" si="1825"/>
        <v>0</v>
      </c>
      <c r="L906" s="323">
        <f t="shared" si="1825"/>
        <v>0</v>
      </c>
      <c r="M906" s="323">
        <f t="shared" si="1825"/>
        <v>0</v>
      </c>
      <c r="N906" s="323">
        <f t="shared" si="1825"/>
        <v>0</v>
      </c>
      <c r="O906" s="323">
        <f t="shared" si="1825"/>
        <v>0</v>
      </c>
      <c r="P906" s="323">
        <f t="shared" si="1825"/>
        <v>0</v>
      </c>
      <c r="Q906" s="323">
        <f t="shared" si="1825"/>
        <v>0</v>
      </c>
      <c r="R906" s="323">
        <f t="shared" si="1825"/>
        <v>0</v>
      </c>
      <c r="S906" s="323">
        <f t="shared" si="1825"/>
        <v>0</v>
      </c>
      <c r="T906" s="323">
        <f t="shared" si="1825"/>
        <v>0</v>
      </c>
      <c r="U906" s="323">
        <f t="shared" si="1825"/>
        <v>0</v>
      </c>
      <c r="V906" s="323">
        <f t="shared" si="1825"/>
        <v>0</v>
      </c>
      <c r="W906" s="323">
        <f t="shared" si="1825"/>
        <v>0</v>
      </c>
      <c r="X906" s="323">
        <f t="shared" si="1825"/>
        <v>0</v>
      </c>
      <c r="Y906" s="323">
        <f t="shared" si="1825"/>
        <v>0</v>
      </c>
      <c r="Z906" s="323">
        <f t="shared" si="1825"/>
        <v>0</v>
      </c>
      <c r="AA906" s="323">
        <f t="shared" si="1825"/>
        <v>0</v>
      </c>
      <c r="AB906" s="323">
        <f t="shared" si="1825"/>
        <v>0</v>
      </c>
      <c r="AC906" s="323">
        <f t="shared" si="1825"/>
        <v>0</v>
      </c>
      <c r="AD906" s="323">
        <f t="shared" si="1825"/>
        <v>0</v>
      </c>
      <c r="AE906" s="323">
        <f t="shared" si="1825"/>
        <v>0</v>
      </c>
      <c r="AF906" s="323">
        <f t="shared" si="1825"/>
        <v>0</v>
      </c>
      <c r="AG906" s="323">
        <f t="shared" si="1825"/>
        <v>0</v>
      </c>
      <c r="AH906" s="323">
        <f t="shared" si="1825"/>
        <v>0</v>
      </c>
      <c r="AI906" s="323">
        <f t="shared" si="1825"/>
        <v>0</v>
      </c>
      <c r="AJ906" s="323">
        <f t="shared" si="1825"/>
        <v>0</v>
      </c>
      <c r="AK906" s="323">
        <f t="shared" ref="AK906:BP906" si="1826">AK754-AK813-AK850</f>
        <v>0</v>
      </c>
      <c r="AL906" s="323">
        <f t="shared" si="1826"/>
        <v>0</v>
      </c>
      <c r="AM906" s="323">
        <f t="shared" si="1826"/>
        <v>0</v>
      </c>
      <c r="AN906" s="323">
        <f t="shared" si="1826"/>
        <v>0</v>
      </c>
      <c r="AO906" s="323">
        <f t="shared" si="1826"/>
        <v>28.693012875293803</v>
      </c>
      <c r="AP906" s="323">
        <f t="shared" si="1826"/>
        <v>27.304769607348977</v>
      </c>
      <c r="AQ906" s="323">
        <f t="shared" si="1826"/>
        <v>44.067110645589501</v>
      </c>
      <c r="AR906" s="323">
        <f t="shared" si="1826"/>
        <v>39.576460060137798</v>
      </c>
      <c r="AS906" s="323">
        <f t="shared" si="1826"/>
        <v>27.959346852645833</v>
      </c>
      <c r="AT906" s="323">
        <f t="shared" si="1826"/>
        <v>48.277457878428784</v>
      </c>
      <c r="AU906" s="323">
        <f t="shared" si="1826"/>
        <v>30.463161786955489</v>
      </c>
      <c r="AV906" s="323">
        <f t="shared" si="1826"/>
        <v>33.978168062871106</v>
      </c>
      <c r="AW906" s="323">
        <f t="shared" si="1826"/>
        <v>39.684076431078985</v>
      </c>
      <c r="AX906" s="323">
        <f t="shared" si="1826"/>
        <v>42.835952020411291</v>
      </c>
      <c r="AY906" s="323">
        <f t="shared" si="1826"/>
        <v>35.734708171364105</v>
      </c>
      <c r="AZ906" s="323">
        <f t="shared" si="1826"/>
        <v>54.345146744120107</v>
      </c>
      <c r="BA906" s="323">
        <f t="shared" si="1826"/>
        <v>38.4483032298279</v>
      </c>
      <c r="BB906" s="323">
        <f t="shared" si="1826"/>
        <v>31.616837264869396</v>
      </c>
      <c r="BC906" s="323">
        <f t="shared" si="1826"/>
        <v>49.256745370470583</v>
      </c>
      <c r="BD906" s="323">
        <f t="shared" si="1826"/>
        <v>49.84487737278441</v>
      </c>
      <c r="BE906" s="323">
        <f t="shared" si="1826"/>
        <v>40.01270123663727</v>
      </c>
      <c r="BF906" s="323">
        <f t="shared" si="1826"/>
        <v>57.065417011413764</v>
      </c>
      <c r="BG906" s="323">
        <f t="shared" si="1826"/>
        <v>-11.913870979375517</v>
      </c>
      <c r="BH906" s="323">
        <f t="shared" si="1826"/>
        <v>-32.836070557274631</v>
      </c>
      <c r="BI906" s="323">
        <f t="shared" si="1826"/>
        <v>1.4148010329374756</v>
      </c>
      <c r="BJ906" s="323">
        <f t="shared" si="1826"/>
        <v>-22.1459955388124</v>
      </c>
      <c r="BK906" s="323">
        <f t="shared" si="1826"/>
        <v>-11.351931075129762</v>
      </c>
      <c r="BL906" s="323">
        <f t="shared" si="1826"/>
        <v>25.509031633065995</v>
      </c>
      <c r="BM906" s="323">
        <f t="shared" si="1826"/>
        <v>-26.744215678022925</v>
      </c>
      <c r="BN906" s="323">
        <f t="shared" si="1826"/>
        <v>-6.0497139274372671</v>
      </c>
      <c r="BO906" s="323">
        <f t="shared" si="1826"/>
        <v>21.918057641703342</v>
      </c>
      <c r="BP906" s="323">
        <f t="shared" si="1826"/>
        <v>-39.983634329624451</v>
      </c>
      <c r="BQ906" s="323">
        <f t="shared" ref="BQ906:CV906" si="1827">BQ754-BQ813-BQ850</f>
        <v>-16.950531319821295</v>
      </c>
      <c r="BR906" s="323">
        <f t="shared" si="1827"/>
        <v>40.08341116246001</v>
      </c>
      <c r="BS906" s="323">
        <f t="shared" si="1827"/>
        <v>-12.255408713397017</v>
      </c>
      <c r="BT906" s="323">
        <f t="shared" si="1827"/>
        <v>-3.1222339434841899</v>
      </c>
      <c r="BU906" s="323">
        <f t="shared" si="1827"/>
        <v>18.407758789572</v>
      </c>
      <c r="BV906" s="323">
        <f t="shared" si="1827"/>
        <v>-17.040283410087341</v>
      </c>
      <c r="BW906" s="323">
        <f t="shared" si="1827"/>
        <v>-3.7677561356180718</v>
      </c>
      <c r="BX906" s="323">
        <f t="shared" si="1827"/>
        <v>32.093110549651875</v>
      </c>
      <c r="BY906" s="323">
        <f t="shared" si="1827"/>
        <v>-9.091133376518016</v>
      </c>
      <c r="BZ906" s="323">
        <f t="shared" si="1827"/>
        <v>-10.914260582832128</v>
      </c>
      <c r="CA906" s="323">
        <f t="shared" si="1827"/>
        <v>43.23020589170342</v>
      </c>
      <c r="CB906" s="323">
        <f t="shared" si="1827"/>
        <v>-28.742051689443471</v>
      </c>
      <c r="CC906" s="323">
        <f t="shared" si="1827"/>
        <v>-54.400942121980613</v>
      </c>
      <c r="CD906" s="329">
        <f t="shared" si="1827"/>
        <v>-26.831638579120686</v>
      </c>
      <c r="CE906" s="323">
        <f t="shared" si="1827"/>
        <v>-20.067945382510381</v>
      </c>
      <c r="CF906" s="323">
        <f t="shared" si="1827"/>
        <v>-18.88869631887173</v>
      </c>
      <c r="CG906" s="323">
        <f t="shared" si="1827"/>
        <v>12.261921958556918</v>
      </c>
      <c r="CH906" s="323">
        <f t="shared" si="1827"/>
        <v>-30.722277819624907</v>
      </c>
      <c r="CI906" s="323">
        <f t="shared" si="1827"/>
        <v>0.29826174286301921</v>
      </c>
      <c r="CJ906" s="323">
        <f t="shared" si="1827"/>
        <v>27.557297285026337</v>
      </c>
      <c r="CK906" s="323">
        <f t="shared" si="1827"/>
        <v>-32.382217631083464</v>
      </c>
      <c r="CL906" s="323">
        <f t="shared" si="1827"/>
        <v>0.64309422348690504</v>
      </c>
      <c r="CM906" s="323">
        <f t="shared" si="1827"/>
        <v>28.889716291359122</v>
      </c>
      <c r="CN906" s="323">
        <f t="shared" si="1827"/>
        <v>-54.961939398732596</v>
      </c>
      <c r="CO906" s="323">
        <f t="shared" si="1827"/>
        <v>-17.003702104861873</v>
      </c>
      <c r="CP906" s="325">
        <f t="shared" si="1827"/>
        <v>65.784981609802415</v>
      </c>
      <c r="CQ906" s="323">
        <f t="shared" si="1827"/>
        <v>-36.707047735804117</v>
      </c>
      <c r="CR906" s="323">
        <f t="shared" si="1827"/>
        <v>-11.165541964961648</v>
      </c>
      <c r="CS906" s="323">
        <f t="shared" si="1827"/>
        <v>6.1257109237150047</v>
      </c>
      <c r="CT906" s="323">
        <f t="shared" si="1827"/>
        <v>-17.129557879184759</v>
      </c>
      <c r="CU906" s="323">
        <f t="shared" si="1827"/>
        <v>-14.693617621238097</v>
      </c>
      <c r="CV906" s="323">
        <f t="shared" si="1827"/>
        <v>26.505878687120074</v>
      </c>
      <c r="CW906" s="323">
        <f t="shared" ref="CW906:EB906" si="1828">CW754-CW813-CW850</f>
        <v>-13.246522460817289</v>
      </c>
      <c r="CX906" s="323">
        <f t="shared" si="1828"/>
        <v>5.7052730917447647</v>
      </c>
      <c r="CY906" s="323">
        <f t="shared" si="1828"/>
        <v>33.991581910511144</v>
      </c>
      <c r="CZ906" s="323">
        <f t="shared" si="1828"/>
        <v>-45.199777814566488</v>
      </c>
      <c r="DA906" s="323">
        <f t="shared" si="1828"/>
        <v>-3.1779253840338555</v>
      </c>
      <c r="DB906" s="1269">
        <f t="shared" si="1828"/>
        <v>84.566617036425981</v>
      </c>
      <c r="DC906" s="323">
        <f t="shared" si="1828"/>
        <v>-44.93887290087801</v>
      </c>
      <c r="DD906" s="323">
        <f t="shared" si="1828"/>
        <v>-18.080131733064434</v>
      </c>
      <c r="DE906" s="323">
        <f t="shared" si="1828"/>
        <v>25.099969320357758</v>
      </c>
      <c r="DF906" s="323">
        <f t="shared" si="1828"/>
        <v>-48.507797923097186</v>
      </c>
      <c r="DG906" s="323">
        <f t="shared" si="1828"/>
        <v>-10.009980318450857</v>
      </c>
      <c r="DH906" s="323">
        <f t="shared" si="1828"/>
        <v>46.620823869800134</v>
      </c>
      <c r="DI906" s="323">
        <f t="shared" si="1828"/>
        <v>-43.001152597448495</v>
      </c>
      <c r="DJ906" s="323">
        <f t="shared" si="1828"/>
        <v>-0.61271481202173561</v>
      </c>
      <c r="DK906" s="323">
        <f t="shared" si="1828"/>
        <v>62.409402448155618</v>
      </c>
      <c r="DL906" s="323">
        <f t="shared" si="1828"/>
        <v>-41.248484555590181</v>
      </c>
      <c r="DM906" s="323">
        <f t="shared" si="1828"/>
        <v>9.2064298459356166</v>
      </c>
      <c r="DN906" s="325">
        <f t="shared" si="1828"/>
        <v>84.069464755980292</v>
      </c>
      <c r="DO906" s="323">
        <f t="shared" si="1828"/>
        <v>-72.368537998517922</v>
      </c>
      <c r="DP906" s="323">
        <f t="shared" si="1828"/>
        <v>-27.869113317381434</v>
      </c>
      <c r="DQ906" s="323">
        <f t="shared" si="1828"/>
        <v>52.762906744058014</v>
      </c>
      <c r="DR906" s="323">
        <f t="shared" si="1828"/>
        <v>-73.697229076977052</v>
      </c>
      <c r="DS906" s="323">
        <f t="shared" si="1828"/>
        <v>-23.894365887558052</v>
      </c>
      <c r="DT906" s="323">
        <f t="shared" si="1828"/>
        <v>29.634811271257306</v>
      </c>
      <c r="DU906" s="323">
        <f t="shared" si="1828"/>
        <v>-42.659022202139852</v>
      </c>
      <c r="DV906" s="323">
        <f t="shared" si="1828"/>
        <v>-21.660953625011942</v>
      </c>
      <c r="DW906" s="323">
        <f t="shared" si="1828"/>
        <v>84.843198810613558</v>
      </c>
      <c r="DX906" s="323">
        <f t="shared" si="1828"/>
        <v>-70.856090225826691</v>
      </c>
      <c r="DY906" s="323">
        <f t="shared" si="1828"/>
        <v>-9.0449923886425125</v>
      </c>
      <c r="DZ906" s="325">
        <f t="shared" si="1828"/>
        <v>116.9204178195001</v>
      </c>
      <c r="EA906" s="323">
        <f t="shared" si="1828"/>
        <v>-62.90139037029374</v>
      </c>
      <c r="EB906" s="323">
        <f t="shared" si="1828"/>
        <v>-41.587702094504507</v>
      </c>
      <c r="EC906" s="323">
        <f t="shared" ref="EC906:FH906" si="1829">EC754-EC813-EC850</f>
        <v>-11.469039186463533</v>
      </c>
      <c r="ED906" s="323">
        <f t="shared" si="1829"/>
        <v>-22.1782071950133</v>
      </c>
      <c r="EE906" s="323">
        <f t="shared" si="1829"/>
        <v>-5.9505795935326802</v>
      </c>
      <c r="EF906" s="323">
        <f t="shared" si="1829"/>
        <v>74.462948909355333</v>
      </c>
      <c r="EG906" s="323">
        <f t="shared" si="1829"/>
        <v>-48.970854184552749</v>
      </c>
      <c r="EH906" s="323">
        <f t="shared" si="1829"/>
        <v>-5.4962542005256552</v>
      </c>
      <c r="EI906" s="323">
        <f t="shared" si="1829"/>
        <v>26.360657946960174</v>
      </c>
      <c r="EJ906" s="323">
        <f t="shared" si="1829"/>
        <v>17.49198937408994</v>
      </c>
      <c r="EK906" s="323">
        <f t="shared" si="1829"/>
        <v>-15.240928901279929</v>
      </c>
      <c r="EL906" s="325">
        <f t="shared" si="1829"/>
        <v>81.1991392245844</v>
      </c>
      <c r="EM906" s="323">
        <f t="shared" si="1829"/>
        <v>-13.553185781156969</v>
      </c>
      <c r="EN906" s="323">
        <f t="shared" si="1829"/>
        <v>18.239506423512637</v>
      </c>
      <c r="EO906" s="323">
        <f t="shared" si="1829"/>
        <v>60.017470745407294</v>
      </c>
      <c r="EP906" s="323">
        <f t="shared" si="1829"/>
        <v>-37.393135840025423</v>
      </c>
      <c r="EQ906" s="323">
        <f t="shared" si="1829"/>
        <v>-37.153857236972215</v>
      </c>
      <c r="ER906" s="323">
        <f t="shared" si="1829"/>
        <v>66.702691372781658</v>
      </c>
      <c r="ES906" s="323">
        <f t="shared" si="1829"/>
        <v>-7.732637591135159</v>
      </c>
      <c r="ET906" s="323">
        <f t="shared" si="1829"/>
        <v>-5.1061059641752138</v>
      </c>
      <c r="EU906" s="323">
        <f t="shared" si="1829"/>
        <v>33.692686642751141</v>
      </c>
      <c r="EV906" s="323">
        <f t="shared" si="1829"/>
        <v>-131.86968026074979</v>
      </c>
      <c r="EW906" s="323">
        <f t="shared" si="1829"/>
        <v>-48.219788550762345</v>
      </c>
      <c r="EX906" s="325">
        <f t="shared" si="1829"/>
        <v>105.78975703144326</v>
      </c>
      <c r="EY906" s="323">
        <f t="shared" si="1829"/>
        <v>-20.710194039216873</v>
      </c>
      <c r="EZ906" s="323">
        <f t="shared" si="1829"/>
        <v>-15.026475740030804</v>
      </c>
      <c r="FA906" s="323">
        <f t="shared" si="1829"/>
        <v>30.664819113190248</v>
      </c>
      <c r="FB906" s="323">
        <f t="shared" si="1829"/>
        <v>-2.6366948106705479</v>
      </c>
      <c r="FC906" s="323">
        <f t="shared" si="1829"/>
        <v>-48.992825262677201</v>
      </c>
      <c r="FD906" s="323">
        <f t="shared" si="1829"/>
        <v>53.508803378159513</v>
      </c>
      <c r="FE906" s="323">
        <f t="shared" si="1829"/>
        <v>2.0049574127363883</v>
      </c>
      <c r="FF906" s="323">
        <f t="shared" si="1829"/>
        <v>-40.341801926300903</v>
      </c>
      <c r="FG906" s="323">
        <f t="shared" si="1829"/>
        <v>-32.823671018652192</v>
      </c>
      <c r="FH906" s="323">
        <f t="shared" si="1829"/>
        <v>-17.400525844110291</v>
      </c>
      <c r="FI906" s="323">
        <f t="shared" ref="FI906:FV906" si="1830">FI754-FI813-FI850</f>
        <v>-122.30802999792837</v>
      </c>
      <c r="FJ906" s="325">
        <f t="shared" si="1830"/>
        <v>68.333347735866397</v>
      </c>
      <c r="FK906" s="323">
        <f t="shared" si="1830"/>
        <v>-111.14783482948894</v>
      </c>
      <c r="FL906" s="323">
        <f t="shared" si="1830"/>
        <v>-40.309792192377941</v>
      </c>
      <c r="FM906" s="323">
        <f t="shared" si="1830"/>
        <v>74.186432707263322</v>
      </c>
      <c r="FN906" s="323">
        <f t="shared" si="1830"/>
        <v>4.2494816979894949</v>
      </c>
      <c r="FO906" s="323">
        <f t="shared" si="1830"/>
        <v>-67.968595817484072</v>
      </c>
      <c r="FP906" s="323">
        <f t="shared" si="1830"/>
        <v>68.378500016367241</v>
      </c>
      <c r="FQ906" s="323">
        <f t="shared" si="1830"/>
        <v>8.6392979268086947</v>
      </c>
      <c r="FR906" s="323">
        <f t="shared" si="1830"/>
        <v>-29.989801025220657</v>
      </c>
      <c r="FS906" s="323">
        <f t="shared" si="1830"/>
        <v>3.6957327310874177</v>
      </c>
      <c r="FT906" s="323">
        <f t="shared" si="1830"/>
        <v>38.666845201054997</v>
      </c>
      <c r="FU906" s="323">
        <f t="shared" si="1830"/>
        <v>-150.54937673510233</v>
      </c>
      <c r="FV906" s="323">
        <f t="shared" si="1830"/>
        <v>119.89470162680323</v>
      </c>
      <c r="FW906" s="323">
        <v>-33.294597477812985</v>
      </c>
      <c r="FX906" s="323">
        <v>-50.888003716962857</v>
      </c>
      <c r="FY906" s="323">
        <v>-54.9544817455388</v>
      </c>
      <c r="FZ906" s="323">
        <v>-20.945060685974767</v>
      </c>
      <c r="GA906" s="323">
        <v>14.726836360809642</v>
      </c>
      <c r="GB906" s="323">
        <v>52.122407600459297</v>
      </c>
      <c r="GC906" s="323">
        <v>-36.235621071168794</v>
      </c>
      <c r="GD906" s="323">
        <v>-70.005288866356182</v>
      </c>
      <c r="GE906" s="323">
        <v>46.677619491772077</v>
      </c>
      <c r="GF906" s="323">
        <v>-58.952305130678525</v>
      </c>
      <c r="GG906" s="323">
        <v>-106.63980503029541</v>
      </c>
      <c r="GH906" s="323">
        <v>117.41666012728163</v>
      </c>
      <c r="GI906" s="1654">
        <f t="shared" ref="GI906:HL906" si="1831">(GI755+GI826)-GI850</f>
        <v>-98.993043580560311</v>
      </c>
      <c r="GJ906" s="1654">
        <f t="shared" si="1831"/>
        <v>-98.329271413460731</v>
      </c>
      <c r="GK906" s="1654">
        <f t="shared" si="1831"/>
        <v>33.283099238790811</v>
      </c>
      <c r="GL906" s="1654">
        <f t="shared" si="1831"/>
        <v>-44.522364669977492</v>
      </c>
      <c r="GM906" s="1654">
        <f t="shared" si="1831"/>
        <v>-32.149986331425566</v>
      </c>
      <c r="GN906" s="1654">
        <f t="shared" si="1831"/>
        <v>137.10079714716869</v>
      </c>
      <c r="GO906" s="1654">
        <f t="shared" si="1831"/>
        <v>-7.7880784977431574</v>
      </c>
      <c r="GP906" s="1654">
        <f t="shared" si="1831"/>
        <v>-50.879226130513018</v>
      </c>
      <c r="GQ906" s="1654">
        <f t="shared" si="1831"/>
        <v>118.17742089805816</v>
      </c>
      <c r="GR906" s="1654">
        <f t="shared" si="1831"/>
        <v>-106.47739405219917</v>
      </c>
      <c r="GS906" s="1654">
        <f t="shared" si="1831"/>
        <v>-194.31276592705021</v>
      </c>
      <c r="GT906" s="1654">
        <f t="shared" si="1831"/>
        <v>176.45611797619662</v>
      </c>
      <c r="GU906" s="1654">
        <f t="shared" si="1831"/>
        <v>10.938964795176759</v>
      </c>
      <c r="GV906" s="1654">
        <f t="shared" si="1831"/>
        <v>-74.01641265545868</v>
      </c>
      <c r="GW906" s="1654">
        <f t="shared" si="1831"/>
        <v>61.81551538467221</v>
      </c>
      <c r="GX906" s="1654">
        <f t="shared" si="1831"/>
        <v>-11.064978597229043</v>
      </c>
      <c r="GY906" s="1654">
        <f t="shared" si="1831"/>
        <v>-54.10473918614494</v>
      </c>
      <c r="GZ906" s="1654">
        <f t="shared" si="1831"/>
        <v>121.54010240663087</v>
      </c>
      <c r="HA906" s="1654">
        <f t="shared" si="1831"/>
        <v>-32.286470661967087</v>
      </c>
      <c r="HB906" s="1654">
        <f t="shared" si="1831"/>
        <v>-104.48662195446414</v>
      </c>
      <c r="HC906" s="1654">
        <f t="shared" si="1831"/>
        <v>50.730023305168544</v>
      </c>
      <c r="HD906" s="1654">
        <f t="shared" si="1831"/>
        <v>31.698001970531493</v>
      </c>
      <c r="HE906" s="1654">
        <f t="shared" si="1831"/>
        <v>-148.37565825876607</v>
      </c>
      <c r="HF906" s="1654">
        <f t="shared" si="1831"/>
        <v>28.007267818274102</v>
      </c>
      <c r="HG906" s="1654">
        <f t="shared" si="1831"/>
        <v>4.8977730376232103</v>
      </c>
      <c r="HH906" s="1654">
        <f t="shared" si="1831"/>
        <v>-93.802130535164594</v>
      </c>
      <c r="HI906" s="1654">
        <f t="shared" si="1831"/>
        <v>93.536122965798597</v>
      </c>
      <c r="HJ906" s="1654">
        <f t="shared" si="1831"/>
        <v>-0.65441233618292927</v>
      </c>
      <c r="HK906" s="1654">
        <f t="shared" si="1831"/>
        <v>-62.292535592705747</v>
      </c>
      <c r="HL906" s="1654">
        <f t="shared" si="1831"/>
        <v>121.05987814209851</v>
      </c>
      <c r="HM906" s="1654">
        <f t="shared" ref="HM906:HR906" si="1832">(HM755+HM826)-HM850</f>
        <v>-12.722425851604896</v>
      </c>
      <c r="HN906" s="1654">
        <f t="shared" si="1832"/>
        <v>-119.47613121503105</v>
      </c>
      <c r="HO906" s="1654">
        <f t="shared" si="1832"/>
        <v>35.986282317148039</v>
      </c>
      <c r="HP906" s="1654">
        <f t="shared" si="1832"/>
        <v>53.840172953998405</v>
      </c>
      <c r="HQ906" s="1654">
        <f t="shared" si="1832"/>
        <v>-65.176943792243776</v>
      </c>
      <c r="HR906" s="1654">
        <f t="shared" si="1832"/>
        <v>187.42990677934637</v>
      </c>
      <c r="HS906" s="1654">
        <f t="shared" ref="HS906:HX906" si="1833">(HS755+HS826)-HS850</f>
        <v>-6.5885962936328042</v>
      </c>
      <c r="HT906" s="1654">
        <f t="shared" si="1833"/>
        <v>-98.093409288226553</v>
      </c>
      <c r="HU906" s="1654">
        <f t="shared" si="1833"/>
        <v>151.76540300949029</v>
      </c>
      <c r="HV906" s="1654">
        <f t="shared" si="1833"/>
        <v>70.50953569517759</v>
      </c>
      <c r="HW906" s="1654">
        <f t="shared" si="1833"/>
        <v>-78.626477990181741</v>
      </c>
      <c r="HX906" s="1654">
        <f t="shared" si="1833"/>
        <v>150.72289797942915</v>
      </c>
      <c r="HY906" s="1654"/>
      <c r="HZ906" s="326"/>
      <c r="IA906" s="330" t="s">
        <v>560</v>
      </c>
      <c r="IB906" s="284">
        <f>SUM(CE906:CJ906)</f>
        <v>-29.561438534560743</v>
      </c>
      <c r="IC906" s="279">
        <f>SUM(CK906:CP906)</f>
        <v>-9.030067010029498</v>
      </c>
      <c r="ID906" s="323">
        <f>IB906+IC906</f>
        <v>-38.591505544590241</v>
      </c>
      <c r="IE906" s="279">
        <f>SUM(CQ906:CV906)</f>
        <v>-47.064175590353543</v>
      </c>
      <c r="IF906" s="279">
        <f>SUM(CW906:DB906)</f>
        <v>62.639246379264257</v>
      </c>
      <c r="IG906" s="323">
        <f>IE906+IF906</f>
        <v>15.575070788910715</v>
      </c>
      <c r="IH906" s="284">
        <f>SUM(DC906:DH906)</f>
        <v>-49.815989685332596</v>
      </c>
      <c r="II906" s="279">
        <f>SUM(DI906:DN906)</f>
        <v>70.822945085011114</v>
      </c>
      <c r="IJ906" s="323">
        <f>IH906+II906</f>
        <v>21.006955399678517</v>
      </c>
      <c r="IK906" s="327">
        <f>SUM(DO906:DT906)</f>
        <v>-115.43152826511916</v>
      </c>
      <c r="IL906" s="279">
        <f>SUM(DU906:DZ906)</f>
        <v>57.542558188492663</v>
      </c>
      <c r="IM906" s="323">
        <f>IK906+IL906</f>
        <v>-57.888970076626492</v>
      </c>
      <c r="IN906" s="279">
        <f>SUM(EA906:EF906)</f>
        <v>-69.623969530452399</v>
      </c>
      <c r="IO906" s="279">
        <f>SUM(EG906:EL906)</f>
        <v>55.34374925927618</v>
      </c>
      <c r="IP906" s="323">
        <f>IN906+IO906</f>
        <v>-14.280220271176219</v>
      </c>
      <c r="IQ906" s="327">
        <f>SUM(EM906:ER906)</f>
        <v>56.859489683546983</v>
      </c>
      <c r="IR906" s="327">
        <f>SUM(ES906:EX906)</f>
        <v>-53.445768692628093</v>
      </c>
      <c r="IS906" s="323">
        <f>IQ906+IR906</f>
        <v>3.4137209909188897</v>
      </c>
      <c r="IT906" s="327">
        <f>SUM(EY906:FD906)</f>
        <v>-3.1925673612456649</v>
      </c>
      <c r="IU906" s="327">
        <f>SUM(FE906:FJ906)</f>
        <v>-142.53572363838899</v>
      </c>
      <c r="IV906" s="323">
        <f>IT906+IU906</f>
        <v>-145.72829099963465</v>
      </c>
      <c r="IW906" s="327">
        <f>SUM(FK906:FP906)</f>
        <v>-72.611808417730884</v>
      </c>
      <c r="IX906" s="327">
        <f t="shared" si="1822"/>
        <v>-9.6426002745686503</v>
      </c>
      <c r="IY906" s="323">
        <f t="shared" si="1621"/>
        <v>-82.254408692299535</v>
      </c>
      <c r="IZ906" s="327">
        <f t="shared" si="1793"/>
        <v>-93.232899665020483</v>
      </c>
      <c r="JA906" s="327">
        <f t="shared" si="1794"/>
        <v>-107.7387404794452</v>
      </c>
      <c r="JB906" s="323">
        <f t="shared" si="1823"/>
        <v>-200.97164014446568</v>
      </c>
      <c r="JC906" s="327">
        <f t="shared" si="1795"/>
        <v>-103.6107696094646</v>
      </c>
      <c r="JD906" s="327">
        <f t="shared" si="1824"/>
        <v>-64.823925733250775</v>
      </c>
      <c r="JE906" s="323">
        <f t="shared" ref="JE906:JE923" si="1834">JC906+JD906</f>
        <v>-168.43469534271537</v>
      </c>
      <c r="JF906" s="327">
        <f>JF755-JF850</f>
        <v>-205.70218435950414</v>
      </c>
      <c r="JG906" s="327">
        <f>JG755-JG850</f>
        <v>-373.91824900815618</v>
      </c>
      <c r="JH906" s="323">
        <f t="shared" si="1703"/>
        <v>-579.62043336766033</v>
      </c>
      <c r="JI906" s="327">
        <f t="shared" si="1744"/>
        <v>62.74469568146705</v>
      </c>
      <c r="JJ906" s="327">
        <f t="shared" si="1692"/>
        <v>79.880861191613093</v>
      </c>
      <c r="JK906" s="323">
        <f t="shared" si="1683"/>
        <v>142.62555687308014</v>
      </c>
      <c r="JL906" s="327">
        <f t="shared" si="1704"/>
        <v>189.68935311205593</v>
      </c>
      <c r="JM906" s="279">
        <f>JN906-JL906</f>
        <v>255.21476178336087</v>
      </c>
      <c r="JN906" s="323">
        <f>FISC!AK1227</f>
        <v>444.9041148954168</v>
      </c>
      <c r="JO906" s="327">
        <f>JO755-JO850</f>
        <v>-268.29979230705794</v>
      </c>
      <c r="JP906" s="279">
        <f>JQ906-JO906</f>
        <v>933.67874004269834</v>
      </c>
      <c r="JQ906" s="323">
        <f>FISC!AL1227</f>
        <v>665.37894773564039</v>
      </c>
      <c r="JR906" s="327">
        <f>JR755-JR850</f>
        <v>-166.55214846815488</v>
      </c>
      <c r="JS906" s="279">
        <f>JT906-JR906</f>
        <v>1060.0487250812043</v>
      </c>
      <c r="JT906" s="323">
        <f>FISC!AM1227</f>
        <v>893.49657661304946</v>
      </c>
      <c r="JU906" s="327">
        <f>JU755-JU850</f>
        <v>-24.976440199758599</v>
      </c>
      <c r="JV906" s="279">
        <f>JW906-JU906</f>
        <v>1285.9922666714797</v>
      </c>
      <c r="JW906" s="323">
        <f>FISC!AN1227</f>
        <v>1261.0158264717211</v>
      </c>
      <c r="JX906" s="327">
        <f>JX755-JX850</f>
        <v>-64.964076502118132</v>
      </c>
      <c r="JY906" s="279">
        <f>JZ906-JX906</f>
        <v>1500.9499647805446</v>
      </c>
      <c r="JZ906" s="323">
        <f>FISC!AO1227</f>
        <v>1435.9858882784265</v>
      </c>
      <c r="KA906" s="327">
        <f>KA755-KA850</f>
        <v>-44.851814988528986</v>
      </c>
      <c r="KB906" s="279">
        <f>KC906-KA906</f>
        <v>1581.4729715682884</v>
      </c>
      <c r="KC906" s="323">
        <f>FISC!AP1227</f>
        <v>1536.6211565797594</v>
      </c>
      <c r="KD906" s="327">
        <f>KD755-KD850</f>
        <v>-155.08398458177999</v>
      </c>
      <c r="KE906" s="279">
        <f>KF906-KD906</f>
        <v>1422.2288014503381</v>
      </c>
      <c r="KF906" s="323">
        <f>FISC!AQ1227</f>
        <v>1267.1448168685581</v>
      </c>
      <c r="KG906" s="327">
        <f>KG755-KG850</f>
        <v>-222.37005411468363</v>
      </c>
      <c r="KH906" s="279">
        <f>KI906-KG906</f>
        <v>1659.0751641840984</v>
      </c>
      <c r="KI906" s="323">
        <f>FISC!AR1227</f>
        <v>1436.7051100694148</v>
      </c>
      <c r="KJ906" s="327">
        <f>KJ755-KJ850</f>
        <v>-321.65471788720151</v>
      </c>
      <c r="KK906" s="279">
        <f>KL906-KJ906</f>
        <v>1858.9331088728673</v>
      </c>
      <c r="KL906" s="323">
        <f>FISC!AS1227</f>
        <v>1537.2783909856657</v>
      </c>
      <c r="KM906" s="327">
        <f>KM755-KM850</f>
        <v>-260.32860040942614</v>
      </c>
      <c r="KN906" s="279">
        <f>KO906-KM906</f>
        <v>2532.0899750191838</v>
      </c>
      <c r="KO906" s="323">
        <f>FISC!AT1227</f>
        <v>2271.7613746097577</v>
      </c>
      <c r="KU906" s="326"/>
      <c r="KV906" s="327"/>
      <c r="KY906" s="279">
        <f>KY754-KY813-KY850</f>
        <v>0</v>
      </c>
      <c r="KZ906" s="279">
        <f>KZ754-KZ813-KZ850</f>
        <v>0</v>
      </c>
      <c r="LA906" s="279">
        <f>LA754-LA813-LA850</f>
        <v>0</v>
      </c>
      <c r="LB906" s="279">
        <f>LB754-LB813-LB850</f>
        <v>0</v>
      </c>
    </row>
    <row r="907" spans="1:314">
      <c r="A907" s="279"/>
      <c r="B907" s="96" t="s">
        <v>338</v>
      </c>
      <c r="D907" s="331" t="s">
        <v>3616</v>
      </c>
      <c r="E907" s="323">
        <f t="shared" ref="E907:BP907" si="1835">E908+E912</f>
        <v>0</v>
      </c>
      <c r="F907" s="323">
        <f t="shared" si="1835"/>
        <v>0</v>
      </c>
      <c r="G907" s="323">
        <f t="shared" si="1835"/>
        <v>0</v>
      </c>
      <c r="H907" s="323">
        <f t="shared" si="1835"/>
        <v>0</v>
      </c>
      <c r="I907" s="323">
        <f t="shared" si="1835"/>
        <v>0</v>
      </c>
      <c r="J907" s="323">
        <f t="shared" si="1835"/>
        <v>0</v>
      </c>
      <c r="K907" s="323">
        <f t="shared" si="1835"/>
        <v>0</v>
      </c>
      <c r="L907" s="323">
        <f t="shared" si="1835"/>
        <v>0</v>
      </c>
      <c r="M907" s="323">
        <f t="shared" si="1835"/>
        <v>0</v>
      </c>
      <c r="N907" s="323">
        <f t="shared" si="1835"/>
        <v>0</v>
      </c>
      <c r="O907" s="323">
        <f t="shared" si="1835"/>
        <v>0</v>
      </c>
      <c r="P907" s="323">
        <f t="shared" si="1835"/>
        <v>0</v>
      </c>
      <c r="Q907" s="323">
        <f t="shared" si="1835"/>
        <v>0</v>
      </c>
      <c r="R907" s="323">
        <f t="shared" si="1835"/>
        <v>0</v>
      </c>
      <c r="S907" s="323">
        <f t="shared" si="1835"/>
        <v>0</v>
      </c>
      <c r="T907" s="323">
        <f t="shared" si="1835"/>
        <v>0</v>
      </c>
      <c r="U907" s="323">
        <f t="shared" si="1835"/>
        <v>0</v>
      </c>
      <c r="V907" s="323">
        <f t="shared" si="1835"/>
        <v>0</v>
      </c>
      <c r="W907" s="323">
        <f t="shared" si="1835"/>
        <v>0</v>
      </c>
      <c r="X907" s="323">
        <f t="shared" si="1835"/>
        <v>0</v>
      </c>
      <c r="Y907" s="323">
        <f t="shared" si="1835"/>
        <v>0</v>
      </c>
      <c r="Z907" s="323">
        <f t="shared" si="1835"/>
        <v>0</v>
      </c>
      <c r="AA907" s="323">
        <f t="shared" si="1835"/>
        <v>0</v>
      </c>
      <c r="AB907" s="323">
        <f t="shared" si="1835"/>
        <v>0</v>
      </c>
      <c r="AC907" s="323">
        <f t="shared" si="1835"/>
        <v>0</v>
      </c>
      <c r="AD907" s="323">
        <f t="shared" si="1835"/>
        <v>0</v>
      </c>
      <c r="AE907" s="323">
        <f t="shared" si="1835"/>
        <v>0</v>
      </c>
      <c r="AF907" s="323">
        <f t="shared" si="1835"/>
        <v>0</v>
      </c>
      <c r="AG907" s="323">
        <f t="shared" si="1835"/>
        <v>0</v>
      </c>
      <c r="AH907" s="323">
        <f t="shared" si="1835"/>
        <v>0</v>
      </c>
      <c r="AI907" s="323">
        <f t="shared" si="1835"/>
        <v>0</v>
      </c>
      <c r="AJ907" s="323">
        <f t="shared" si="1835"/>
        <v>0</v>
      </c>
      <c r="AK907" s="323">
        <f t="shared" si="1835"/>
        <v>0</v>
      </c>
      <c r="AL907" s="323">
        <f t="shared" si="1835"/>
        <v>0</v>
      </c>
      <c r="AM907" s="323">
        <f t="shared" si="1835"/>
        <v>0</v>
      </c>
      <c r="AN907" s="323">
        <f t="shared" si="1835"/>
        <v>0</v>
      </c>
      <c r="AO907" s="323">
        <f t="shared" si="1835"/>
        <v>0.94199739660030579</v>
      </c>
      <c r="AP907" s="323">
        <f t="shared" si="1835"/>
        <v>1.6821985179804768</v>
      </c>
      <c r="AQ907" s="323">
        <f t="shared" si="1835"/>
        <v>2.7108413189699068</v>
      </c>
      <c r="AR907" s="323">
        <f t="shared" si="1835"/>
        <v>4.522410138428933</v>
      </c>
      <c r="AS907" s="323">
        <f t="shared" si="1835"/>
        <v>1.7219130250731998</v>
      </c>
      <c r="AT907" s="323">
        <f t="shared" si="1835"/>
        <v>3.0417432979332482</v>
      </c>
      <c r="AU907" s="323">
        <f t="shared" si="1835"/>
        <v>8.8962667584006923</v>
      </c>
      <c r="AV907" s="323">
        <f t="shared" si="1835"/>
        <v>4.1520251670774488</v>
      </c>
      <c r="AW907" s="323">
        <f t="shared" si="1835"/>
        <v>1.8957136163656356</v>
      </c>
      <c r="AX907" s="323">
        <f t="shared" si="1835"/>
        <v>12.136937090588619</v>
      </c>
      <c r="AY907" s="323">
        <f t="shared" si="1835"/>
        <v>12.597302379335828</v>
      </c>
      <c r="AZ907" s="323">
        <f t="shared" si="1835"/>
        <v>88.388915926385266</v>
      </c>
      <c r="BA907" s="323">
        <f t="shared" si="1835"/>
        <v>14.15873020075451</v>
      </c>
      <c r="BB907" s="323">
        <f t="shared" si="1835"/>
        <v>9.0050438669616906</v>
      </c>
      <c r="BC907" s="323">
        <f t="shared" si="1835"/>
        <v>18.544687929647523</v>
      </c>
      <c r="BD907" s="323">
        <f t="shared" si="1835"/>
        <v>10.23558195967026</v>
      </c>
      <c r="BE907" s="323">
        <f t="shared" si="1835"/>
        <v>14.574067021856646</v>
      </c>
      <c r="BF907" s="323">
        <f t="shared" si="1835"/>
        <v>17.671187370678794</v>
      </c>
      <c r="BG907" s="323">
        <f t="shared" si="1835"/>
        <v>17.263720190043145</v>
      </c>
      <c r="BH907" s="323">
        <f t="shared" si="1835"/>
        <v>22.180577427796436</v>
      </c>
      <c r="BI907" s="323">
        <f t="shared" si="1835"/>
        <v>32.366076275329213</v>
      </c>
      <c r="BJ907" s="323">
        <f t="shared" si="1835"/>
        <v>90.678606212030303</v>
      </c>
      <c r="BK907" s="323">
        <f t="shared" si="1835"/>
        <v>36.020950438164917</v>
      </c>
      <c r="BL907" s="323">
        <f t="shared" si="1835"/>
        <v>27.703657479106681</v>
      </c>
      <c r="BM907" s="323">
        <f t="shared" si="1835"/>
        <v>24.228039812827614</v>
      </c>
      <c r="BN907" s="323">
        <f t="shared" si="1835"/>
        <v>24.500794584274139</v>
      </c>
      <c r="BO907" s="323">
        <f t="shared" si="1835"/>
        <v>19.748346084435234</v>
      </c>
      <c r="BP907" s="323">
        <f t="shared" si="1835"/>
        <v>35.257393050187574</v>
      </c>
      <c r="BQ907" s="323">
        <f t="shared" ref="BQ907:EB907" si="1836">BQ908+BQ912</f>
        <v>51.90079274386926</v>
      </c>
      <c r="BR907" s="323">
        <f t="shared" si="1836"/>
        <v>56.934454127533598</v>
      </c>
      <c r="BS907" s="323">
        <f t="shared" si="1836"/>
        <v>22.478994546108147</v>
      </c>
      <c r="BT907" s="323">
        <f t="shared" si="1836"/>
        <v>38.043308875934351</v>
      </c>
      <c r="BU907" s="323">
        <f t="shared" si="1836"/>
        <v>22.705070428034773</v>
      </c>
      <c r="BV907" s="323">
        <f t="shared" si="1836"/>
        <v>48.265851147412931</v>
      </c>
      <c r="BW907" s="323">
        <f t="shared" si="1836"/>
        <v>67.114257715617924</v>
      </c>
      <c r="BX907" s="323">
        <f t="shared" si="1836"/>
        <v>37.499140147260384</v>
      </c>
      <c r="BY907" s="323">
        <f t="shared" si="1836"/>
        <v>21.20192761686074</v>
      </c>
      <c r="BZ907" s="323">
        <f t="shared" si="1836"/>
        <v>26.276865074581579</v>
      </c>
      <c r="CA907" s="323">
        <f t="shared" si="1836"/>
        <v>29.259931858434339</v>
      </c>
      <c r="CB907" s="323">
        <f t="shared" si="1836"/>
        <v>57.64868509383524</v>
      </c>
      <c r="CC907" s="323">
        <f t="shared" si="1836"/>
        <v>70.374742669365276</v>
      </c>
      <c r="CD907" s="329">
        <f t="shared" si="1836"/>
        <v>50.786117520170833</v>
      </c>
      <c r="CE907" s="323">
        <f>CE908+CE912</f>
        <v>37.988402959771697</v>
      </c>
      <c r="CF907" s="323">
        <f t="shared" si="1836"/>
        <v>25.220409839733811</v>
      </c>
      <c r="CG907" s="323">
        <f t="shared" si="1836"/>
        <v>52.684286896294495</v>
      </c>
      <c r="CH907" s="323">
        <f t="shared" si="1836"/>
        <v>70.628913120949605</v>
      </c>
      <c r="CI907" s="323">
        <f t="shared" si="1836"/>
        <v>54.291197960135449</v>
      </c>
      <c r="CJ907" s="323">
        <f t="shared" si="1836"/>
        <v>41.119030590000946</v>
      </c>
      <c r="CK907" s="323">
        <f t="shared" si="1836"/>
        <v>55.460422057968302</v>
      </c>
      <c r="CL907" s="323">
        <f t="shared" si="1836"/>
        <v>35.436422143434697</v>
      </c>
      <c r="CM907" s="323">
        <f t="shared" si="1836"/>
        <v>42.064420844918999</v>
      </c>
      <c r="CN907" s="323">
        <f t="shared" si="1836"/>
        <v>86.950632093925208</v>
      </c>
      <c r="CO907" s="323">
        <f t="shared" si="1836"/>
        <v>75.540018884884176</v>
      </c>
      <c r="CP907" s="325">
        <f t="shared" si="1836"/>
        <v>65.990125718661602</v>
      </c>
      <c r="CQ907" s="323">
        <f t="shared" si="1836"/>
        <v>34.40228101250365</v>
      </c>
      <c r="CR907" s="323">
        <f t="shared" si="1836"/>
        <v>42.883278748654021</v>
      </c>
      <c r="CS907" s="323">
        <f t="shared" si="1836"/>
        <v>49.51160525412989</v>
      </c>
      <c r="CT907" s="323">
        <f t="shared" si="1836"/>
        <v>46.421699296442767</v>
      </c>
      <c r="CU907" s="323">
        <f t="shared" si="1836"/>
        <v>53.739223337663347</v>
      </c>
      <c r="CV907" s="323">
        <f t="shared" si="1836"/>
        <v>51.679716109066604</v>
      </c>
      <c r="CW907" s="323">
        <f t="shared" si="1836"/>
        <v>55.038740427920125</v>
      </c>
      <c r="CX907" s="323">
        <f t="shared" si="1836"/>
        <v>45.841412379944181</v>
      </c>
      <c r="CY907" s="323">
        <f t="shared" si="1836"/>
        <v>57.908603124423678</v>
      </c>
      <c r="CZ907" s="323">
        <f t="shared" si="1836"/>
        <v>64.0564101613286</v>
      </c>
      <c r="DA907" s="323">
        <f t="shared" si="1836"/>
        <v>67.95081361957044</v>
      </c>
      <c r="DB907" s="1269">
        <f t="shared" si="1836"/>
        <v>66.680155561791111</v>
      </c>
      <c r="DC907" s="323">
        <f t="shared" si="1836"/>
        <v>21.57346960858743</v>
      </c>
      <c r="DD907" s="323">
        <f t="shared" si="1836"/>
        <v>39.15421071883226</v>
      </c>
      <c r="DE907" s="323">
        <f t="shared" si="1836"/>
        <v>63.197945614300309</v>
      </c>
      <c r="DF907" s="323">
        <f t="shared" si="1836"/>
        <v>55.439473761223262</v>
      </c>
      <c r="DG907" s="323">
        <f t="shared" si="1836"/>
        <v>30.221960439713769</v>
      </c>
      <c r="DH907" s="323">
        <f t="shared" si="1836"/>
        <v>62.307650503392217</v>
      </c>
      <c r="DI907" s="323">
        <f t="shared" si="1836"/>
        <v>63.041178112724566</v>
      </c>
      <c r="DJ907" s="323">
        <f t="shared" si="1836"/>
        <v>42.419698521250979</v>
      </c>
      <c r="DK907" s="323">
        <f t="shared" si="1836"/>
        <v>51.958763865475454</v>
      </c>
      <c r="DL907" s="323">
        <f t="shared" si="1836"/>
        <v>64.843746364660888</v>
      </c>
      <c r="DM907" s="323">
        <f t="shared" si="1836"/>
        <v>85.380655616553412</v>
      </c>
      <c r="DN907" s="325">
        <f t="shared" si="1836"/>
        <v>37.898425423740704</v>
      </c>
      <c r="DO907" s="323">
        <f t="shared" si="1836"/>
        <v>28.847081130336186</v>
      </c>
      <c r="DP907" s="323">
        <f t="shared" si="1836"/>
        <v>41.982476238827928</v>
      </c>
      <c r="DQ907" s="323">
        <f t="shared" si="1836"/>
        <v>49.595832033068888</v>
      </c>
      <c r="DR907" s="323">
        <f t="shared" si="1836"/>
        <v>34.290945020766912</v>
      </c>
      <c r="DS907" s="323">
        <f t="shared" si="1836"/>
        <v>53.910384987328158</v>
      </c>
      <c r="DT907" s="323">
        <f t="shared" si="1836"/>
        <v>54.464161008450937</v>
      </c>
      <c r="DU907" s="323">
        <f t="shared" si="1836"/>
        <v>62.43160382719384</v>
      </c>
      <c r="DV907" s="323">
        <f t="shared" si="1836"/>
        <v>39.119038036654175</v>
      </c>
      <c r="DW907" s="323">
        <f t="shared" si="1836"/>
        <v>48.255834464735983</v>
      </c>
      <c r="DX907" s="323">
        <f t="shared" si="1836"/>
        <v>61.847538793963608</v>
      </c>
      <c r="DY907" s="323">
        <f t="shared" si="1836"/>
        <v>68.178430905098168</v>
      </c>
      <c r="DZ907" s="325">
        <f t="shared" si="1836"/>
        <v>63.942362148404229</v>
      </c>
      <c r="EA907" s="323">
        <f t="shared" si="1836"/>
        <v>28.786624880514758</v>
      </c>
      <c r="EB907" s="323">
        <f t="shared" si="1836"/>
        <v>55.690945095194735</v>
      </c>
      <c r="EC907" s="323">
        <f t="shared" ref="EC907:FP907" si="1837">EC908+EC912</f>
        <v>51.394767048248497</v>
      </c>
      <c r="ED907" s="323">
        <f t="shared" si="1837"/>
        <v>51.249061761118917</v>
      </c>
      <c r="EE907" s="323">
        <f t="shared" si="1837"/>
        <v>49.109509324996317</v>
      </c>
      <c r="EF907" s="323">
        <f t="shared" si="1837"/>
        <v>48.122426311116762</v>
      </c>
      <c r="EG907" s="323">
        <f t="shared" si="1837"/>
        <v>82.967037175615559</v>
      </c>
      <c r="EH907" s="323">
        <f t="shared" si="1837"/>
        <v>38.229524450007531</v>
      </c>
      <c r="EI907" s="323">
        <f t="shared" si="1837"/>
        <v>66.555127287957902</v>
      </c>
      <c r="EJ907" s="323">
        <f t="shared" si="1837"/>
        <v>45.485128549920972</v>
      </c>
      <c r="EK907" s="323">
        <f t="shared" si="1837"/>
        <v>85.263161202357011</v>
      </c>
      <c r="EL907" s="325">
        <f t="shared" si="1837"/>
        <v>77.915357075111018</v>
      </c>
      <c r="EM907" s="323">
        <f t="shared" si="1837"/>
        <v>51.614901485094855</v>
      </c>
      <c r="EN907" s="323">
        <f t="shared" si="1837"/>
        <v>43.830041447356145</v>
      </c>
      <c r="EO907" s="323">
        <f t="shared" si="1837"/>
        <v>74.469983333214998</v>
      </c>
      <c r="EP907" s="323">
        <f t="shared" si="1837"/>
        <v>66.438695400066649</v>
      </c>
      <c r="EQ907" s="323">
        <f t="shared" si="1837"/>
        <v>48.281106191485001</v>
      </c>
      <c r="ER907" s="323">
        <f t="shared" si="1837"/>
        <v>96.638936359631998</v>
      </c>
      <c r="ES907" s="323">
        <f t="shared" si="1837"/>
        <v>78.338560893719574</v>
      </c>
      <c r="ET907" s="323">
        <f t="shared" si="1837"/>
        <v>76.315914970890162</v>
      </c>
      <c r="EU907" s="323">
        <f t="shared" si="1837"/>
        <v>79.790247340832906</v>
      </c>
      <c r="EV907" s="323">
        <f t="shared" si="1837"/>
        <v>86.772331061566632</v>
      </c>
      <c r="EW907" s="323">
        <f t="shared" si="1837"/>
        <v>107.16435010407727</v>
      </c>
      <c r="EX907" s="325">
        <f t="shared" si="1837"/>
        <v>105.02289732984551</v>
      </c>
      <c r="EY907" s="323">
        <f t="shared" si="1837"/>
        <v>70.748007073833179</v>
      </c>
      <c r="EZ907" s="323">
        <f t="shared" si="1837"/>
        <v>86.413824742311178</v>
      </c>
      <c r="FA907" s="323">
        <f t="shared" si="1837"/>
        <v>90.847694377210502</v>
      </c>
      <c r="FB907" s="323">
        <f t="shared" si="1837"/>
        <v>77.065584289298229</v>
      </c>
      <c r="FC907" s="323">
        <f t="shared" si="1837"/>
        <v>85.662440113470595</v>
      </c>
      <c r="FD907" s="323">
        <f t="shared" si="1837"/>
        <v>97.286303987423508</v>
      </c>
      <c r="FE907" s="323">
        <f t="shared" si="1837"/>
        <v>77.102056569678282</v>
      </c>
      <c r="FF907" s="323">
        <f t="shared" si="1837"/>
        <v>86.003314120086642</v>
      </c>
      <c r="FG907" s="323">
        <f t="shared" si="1837"/>
        <v>75.966626252998893</v>
      </c>
      <c r="FH907" s="323">
        <f t="shared" si="1837"/>
        <v>84.38913137647242</v>
      </c>
      <c r="FI907" s="323">
        <f t="shared" si="1837"/>
        <v>117.2655610008845</v>
      </c>
      <c r="FJ907" s="325">
        <f t="shared" si="1837"/>
        <v>84.347380595698155</v>
      </c>
      <c r="FK907" s="323">
        <f t="shared" si="1837"/>
        <v>171.83657830651731</v>
      </c>
      <c r="FL907" s="323">
        <f t="shared" si="1837"/>
        <v>96.686887676163622</v>
      </c>
      <c r="FM907" s="323">
        <f t="shared" si="1837"/>
        <v>80.8996559596049</v>
      </c>
      <c r="FN907" s="323">
        <f t="shared" si="1837"/>
        <v>75.518510505059197</v>
      </c>
      <c r="FO907" s="323">
        <f t="shared" si="1837"/>
        <v>88.330848225684079</v>
      </c>
      <c r="FP907" s="323">
        <f t="shared" si="1837"/>
        <v>137.94791612681655</v>
      </c>
      <c r="FQ907" s="323">
        <f>FQ908+FQ912</f>
        <v>122.24075020475169</v>
      </c>
      <c r="FR907" s="323">
        <f t="shared" ref="FR907:GB907" si="1838">FR908+FR912</f>
        <v>88.834328388940691</v>
      </c>
      <c r="FS907" s="323">
        <f t="shared" si="1838"/>
        <v>102.06992275938669</v>
      </c>
      <c r="FT907" s="323">
        <f t="shared" si="1838"/>
        <v>98.011199247466422</v>
      </c>
      <c r="FU907" s="323">
        <f t="shared" si="1838"/>
        <v>109.56281016829439</v>
      </c>
      <c r="FV907" s="323">
        <f t="shared" si="1838"/>
        <v>82.916948134623425</v>
      </c>
      <c r="FW907" s="323">
        <f t="shared" si="1838"/>
        <v>78.999984561449466</v>
      </c>
      <c r="FX907" s="323">
        <f t="shared" si="1838"/>
        <v>73.00768048777546</v>
      </c>
      <c r="FY907" s="323">
        <f t="shared" si="1838"/>
        <v>119.97959473966745</v>
      </c>
      <c r="FZ907" s="323">
        <f t="shared" si="1838"/>
        <v>185.40299948756308</v>
      </c>
      <c r="GA907" s="323">
        <f t="shared" si="1838"/>
        <v>110.70866922756308</v>
      </c>
      <c r="GB907" s="323">
        <f t="shared" si="1838"/>
        <v>197.51155053456307</v>
      </c>
      <c r="GC907" s="323">
        <f>GC908+GC912</f>
        <v>142.09590988886288</v>
      </c>
      <c r="GD907" s="323">
        <f t="shared" ref="GD907" si="1839">GD908+GD912</f>
        <v>112.28518683182989</v>
      </c>
      <c r="GE907" s="323">
        <f t="shared" ref="GE907" si="1840">GE908+GE912</f>
        <v>143.24471721973188</v>
      </c>
      <c r="GF907" s="323">
        <f t="shared" ref="GF907" si="1841">GF908+GF912</f>
        <v>130.2277522798789</v>
      </c>
      <c r="GG907" s="323">
        <f t="shared" ref="GG907" si="1842">GG908+GG912</f>
        <v>123.77320511721888</v>
      </c>
      <c r="GH907" s="323">
        <f t="shared" ref="GH907" si="1843">GH908+GH912</f>
        <v>174.38481665122589</v>
      </c>
      <c r="GI907" s="323">
        <f t="shared" ref="GI907" si="1844">GI908+GI912</f>
        <v>83.582895258042612</v>
      </c>
      <c r="GJ907" s="323">
        <f t="shared" ref="GJ907" si="1845">GJ908+GJ912</f>
        <v>142.48012286030985</v>
      </c>
      <c r="GK907" s="323">
        <f t="shared" ref="GK907" si="1846">GK908+GK912</f>
        <v>149.43393363014627</v>
      </c>
      <c r="GL907" s="323">
        <f t="shared" ref="GL907" si="1847">GL908+GL912</f>
        <v>100.74023290516622</v>
      </c>
      <c r="GM907" s="323">
        <f t="shared" ref="GM907" si="1848">GM908+GM912</f>
        <v>88.922556966806226</v>
      </c>
      <c r="GN907" s="323">
        <f t="shared" ref="GN907" si="1849">GN908+GN912</f>
        <v>89.902842577516211</v>
      </c>
      <c r="GO907" s="323">
        <f t="shared" ref="GO907" si="1850">GO908+GO912</f>
        <v>167.2167892952499</v>
      </c>
      <c r="GP907" s="323">
        <f t="shared" ref="GP907" si="1851">GP908+GP912</f>
        <v>92.334129840903273</v>
      </c>
      <c r="GQ907" s="323">
        <f t="shared" ref="GQ907" si="1852">GQ908+GQ912</f>
        <v>148.54108609270853</v>
      </c>
      <c r="GR907" s="323">
        <f t="shared" ref="GR907" si="1853">GR908+GR912</f>
        <v>201.18229071568877</v>
      </c>
      <c r="GS907" s="323">
        <f t="shared" ref="GS907" si="1854">GS908+GS912</f>
        <v>136.9467365285725</v>
      </c>
      <c r="GT907" s="323">
        <f t="shared" ref="GT907:HF907" si="1855">GT908+GT912</f>
        <v>117.14059748664909</v>
      </c>
      <c r="GU907" s="323">
        <f t="shared" si="1855"/>
        <v>58.487081183230998</v>
      </c>
      <c r="GV907" s="323">
        <f t="shared" si="1855"/>
        <v>77.503145945607002</v>
      </c>
      <c r="GW907" s="323">
        <f t="shared" si="1855"/>
        <v>214.83519808860345</v>
      </c>
      <c r="GX907" s="323">
        <f t="shared" si="1855"/>
        <v>75.854274185001998</v>
      </c>
      <c r="GY907" s="323">
        <f t="shared" si="1855"/>
        <v>102.374334849333</v>
      </c>
      <c r="GZ907" s="323">
        <f t="shared" si="1855"/>
        <v>240.47639831050844</v>
      </c>
      <c r="HA907" s="323">
        <f t="shared" si="1855"/>
        <v>136.172658097262</v>
      </c>
      <c r="HB907" s="323">
        <f t="shared" si="1855"/>
        <v>125.74278030955099</v>
      </c>
      <c r="HC907" s="323">
        <f t="shared" si="1855"/>
        <v>270.10262158503235</v>
      </c>
      <c r="HD907" s="323">
        <f t="shared" si="1855"/>
        <v>95.542786209333997</v>
      </c>
      <c r="HE907" s="323">
        <f t="shared" si="1855"/>
        <v>73.819014791266014</v>
      </c>
      <c r="HF907" s="323">
        <f t="shared" si="1855"/>
        <v>284.04770799503132</v>
      </c>
      <c r="HG907" s="323">
        <f t="shared" ref="HG907:HR907" si="1856">HG908+HG912</f>
        <v>93.479868353342994</v>
      </c>
      <c r="HH907" s="323">
        <f t="shared" si="1856"/>
        <v>85.633789029271</v>
      </c>
      <c r="HI907" s="323">
        <f t="shared" si="1856"/>
        <v>197.03315286577026</v>
      </c>
      <c r="HJ907" s="323">
        <f t="shared" si="1856"/>
        <v>186.86119730871701</v>
      </c>
      <c r="HK907" s="323">
        <f t="shared" si="1856"/>
        <v>75.824351747326006</v>
      </c>
      <c r="HL907" s="323">
        <f t="shared" si="1856"/>
        <v>283.6184718296235</v>
      </c>
      <c r="HM907" s="323">
        <f t="shared" si="1856"/>
        <v>107.380595731315</v>
      </c>
      <c r="HN907" s="323">
        <f t="shared" si="1856"/>
        <v>101.58226137198901</v>
      </c>
      <c r="HO907" s="323">
        <f t="shared" si="1856"/>
        <v>231.46458490670523</v>
      </c>
      <c r="HP907" s="323">
        <f t="shared" si="1856"/>
        <v>71.904548919567006</v>
      </c>
      <c r="HQ907" s="323">
        <f t="shared" si="1856"/>
        <v>106.81525432636799</v>
      </c>
      <c r="HR907" s="323">
        <f t="shared" si="1856"/>
        <v>229.98797433722541</v>
      </c>
      <c r="HS907" s="323">
        <f t="shared" ref="HS907:HX907" si="1857">HS908+HS912</f>
        <v>49.117353348801004</v>
      </c>
      <c r="HT907" s="323">
        <f t="shared" si="1857"/>
        <v>117.46336153418299</v>
      </c>
      <c r="HU907" s="323">
        <f t="shared" si="1857"/>
        <v>226.89501239539419</v>
      </c>
      <c r="HV907" s="323">
        <f t="shared" si="1857"/>
        <v>121.51025031575399</v>
      </c>
      <c r="HW907" s="323">
        <f t="shared" si="1857"/>
        <v>133.105609325714</v>
      </c>
      <c r="HX907" s="323">
        <f t="shared" si="1857"/>
        <v>331.23036202506057</v>
      </c>
      <c r="HY907" s="323"/>
      <c r="HZ907" s="326"/>
      <c r="IA907" s="331" t="s">
        <v>3032</v>
      </c>
      <c r="IB907" s="284">
        <f>SUM(CE907:CJ907)</f>
        <v>281.93224136688599</v>
      </c>
      <c r="IC907" s="279">
        <f>SUM(CK907:CP907)</f>
        <v>361.44204174379297</v>
      </c>
      <c r="ID907" s="323">
        <f>IB907+IC907</f>
        <v>643.37428311067902</v>
      </c>
      <c r="IE907" s="279">
        <f>SUM(CQ907:CV907)</f>
        <v>278.63780375846028</v>
      </c>
      <c r="IF907" s="279">
        <f>SUM(CW907:DB907)</f>
        <v>357.47613527497811</v>
      </c>
      <c r="IG907" s="323">
        <f>IE907+IF907</f>
        <v>636.11393903343833</v>
      </c>
      <c r="IH907" s="284">
        <f>SUM(DC907:DH907)</f>
        <v>271.89471064604925</v>
      </c>
      <c r="II907" s="279">
        <f>SUM(DI907:DN907)</f>
        <v>345.54246790440601</v>
      </c>
      <c r="IJ907" s="323">
        <f>IH907+II907</f>
        <v>617.4371785504552</v>
      </c>
      <c r="IK907" s="327">
        <f>SUM(DO907:DT907)</f>
        <v>263.09088041877902</v>
      </c>
      <c r="IL907" s="279">
        <f>SUM(DU907:DZ907)</f>
        <v>343.77480817605004</v>
      </c>
      <c r="IM907" s="323">
        <f>IK907+IL907</f>
        <v>606.86568859482907</v>
      </c>
      <c r="IN907" s="279">
        <f>SUM(EA907:EF907)</f>
        <v>284.35333442118997</v>
      </c>
      <c r="IO907" s="279">
        <f>SUM(EG907:EL907)</f>
        <v>396.41533574097002</v>
      </c>
      <c r="IP907" s="323">
        <f>IN907+IO907</f>
        <v>680.76867016215999</v>
      </c>
      <c r="IQ907" s="327">
        <f>SUM(EM907:ER907)</f>
        <v>381.27366421684962</v>
      </c>
      <c r="IR907" s="327">
        <f>SUM(ES907:EX907)</f>
        <v>533.40430170093202</v>
      </c>
      <c r="IS907" s="323">
        <f>IQ907+IR907</f>
        <v>914.67796591778165</v>
      </c>
      <c r="IT907" s="327">
        <f>SUM(EY907:FD907)</f>
        <v>508.02385458354718</v>
      </c>
      <c r="IU907" s="327">
        <f>SUM(FE907:FJ907)</f>
        <v>525.07406991581888</v>
      </c>
      <c r="IV907" s="323">
        <f>IT907+IU907</f>
        <v>1033.0979244993659</v>
      </c>
      <c r="IW907" s="327">
        <f>SUM(FK907:FP907)</f>
        <v>651.22039679984573</v>
      </c>
      <c r="IX907" s="327">
        <f t="shared" si="1822"/>
        <v>603.63595890346335</v>
      </c>
      <c r="IY907" s="323">
        <f t="shared" si="1621"/>
        <v>1254.856355703309</v>
      </c>
      <c r="IZ907" s="327">
        <f t="shared" si="1793"/>
        <v>765.61047903858162</v>
      </c>
      <c r="JA907" s="327">
        <f t="shared" si="1794"/>
        <v>826.01158798874849</v>
      </c>
      <c r="JB907" s="323">
        <f t="shared" si="1823"/>
        <v>1591.6220670273301</v>
      </c>
      <c r="JC907" s="327">
        <f t="shared" si="1795"/>
        <v>655.06258419798746</v>
      </c>
      <c r="JD907" s="327">
        <f t="shared" si="1824"/>
        <v>863.36162995977202</v>
      </c>
      <c r="JE907" s="323">
        <f t="shared" si="1834"/>
        <v>1518.4242141577595</v>
      </c>
      <c r="JF907" s="327">
        <f>JF908+JF912</f>
        <v>761.56023217228483</v>
      </c>
      <c r="JG907" s="327">
        <f>JG908+JG912</f>
        <v>993.43129185260364</v>
      </c>
      <c r="JH907" s="323">
        <f t="shared" si="1703"/>
        <v>1754.9915240248883</v>
      </c>
      <c r="JI907" s="327">
        <f t="shared" si="1744"/>
        <v>922.45083113405076</v>
      </c>
      <c r="JJ907" s="327">
        <f>SUM(HM907:HR907)</f>
        <v>849.13521959316961</v>
      </c>
      <c r="JK907" s="323">
        <f t="shared" si="1683"/>
        <v>1771.5860507272205</v>
      </c>
      <c r="JL907" s="1518">
        <f t="shared" si="1704"/>
        <v>979.32194894490681</v>
      </c>
      <c r="JM907" s="1519">
        <f>JN907-JL907</f>
        <v>991.31444836029436</v>
      </c>
      <c r="JN907" s="323">
        <f>FISC!AK1228</f>
        <v>1970.6363973052012</v>
      </c>
      <c r="JO907" s="1518">
        <f>JO908+JO912</f>
        <v>1177.6302175826238</v>
      </c>
      <c r="JP907" s="1519">
        <f>JQ907-JO907</f>
        <v>1000.7271215083554</v>
      </c>
      <c r="JQ907" s="323">
        <f>FISC!AL1228</f>
        <v>2178.3573390909792</v>
      </c>
      <c r="JR907" s="1518">
        <f>JR908+JR912</f>
        <v>1389.3025221003832</v>
      </c>
      <c r="JS907" s="1519">
        <f>JT907-JR907</f>
        <v>1148.429091289901</v>
      </c>
      <c r="JT907" s="323">
        <f>FISC!AM1228</f>
        <v>2537.7316133902841</v>
      </c>
      <c r="JU907" s="1518">
        <f>JU908+JU912</f>
        <v>1516.3234477121457</v>
      </c>
      <c r="JV907" s="1519">
        <f>JW907-JU907</f>
        <v>1391.1094881234269</v>
      </c>
      <c r="JW907" s="323">
        <f>FISC!AN1228</f>
        <v>2907.4329358355726</v>
      </c>
      <c r="JX907" s="1518">
        <f>JX908+JX912</f>
        <v>1663.4167146759335</v>
      </c>
      <c r="JY907" s="1519">
        <f>JZ907-JX907</f>
        <v>1586.4873583135579</v>
      </c>
      <c r="JZ907" s="323">
        <f>FISC!AO1228</f>
        <v>3249.9040729894914</v>
      </c>
      <c r="KA907" s="1518">
        <f>KA908+KA912</f>
        <v>1888.2571554875967</v>
      </c>
      <c r="KB907" s="1519">
        <f>KC907-KA907</f>
        <v>1713.9671015701115</v>
      </c>
      <c r="KC907" s="323">
        <f>FISC!AP1228</f>
        <v>3602.2242570577082</v>
      </c>
      <c r="KD907" s="1518">
        <f>KD908+KD912</f>
        <v>1687.8255655340849</v>
      </c>
      <c r="KE907" s="1519">
        <f>KF907-KD907</f>
        <v>2081.6054392797109</v>
      </c>
      <c r="KF907" s="323">
        <f>FISC!AQ1228</f>
        <v>3769.4310048137959</v>
      </c>
      <c r="KG907" s="1518">
        <f>KG908+KG912</f>
        <v>2015.2635774884245</v>
      </c>
      <c r="KH907" s="1519">
        <f>KI907-KG907</f>
        <v>1890.3565072639778</v>
      </c>
      <c r="KI907" s="323">
        <f>FISC!AR1228</f>
        <v>3905.6200847524024</v>
      </c>
      <c r="KJ907" s="1518">
        <f>KJ908+KJ912</f>
        <v>2416.4849462005641</v>
      </c>
      <c r="KK907" s="1519">
        <f>KL907-KJ907</f>
        <v>2225.8736708898414</v>
      </c>
      <c r="KL907" s="323">
        <f>FISC!AS1228</f>
        <v>4642.3586170904055</v>
      </c>
      <c r="KM907" s="1518">
        <f>KM908+KM912</f>
        <v>3117.7853728989144</v>
      </c>
      <c r="KN907" s="1519">
        <f>KO907-KM907</f>
        <v>2807.1274178175358</v>
      </c>
      <c r="KO907" s="323">
        <f>FISC!AT1228</f>
        <v>5924.9127907164502</v>
      </c>
      <c r="KU907" s="326"/>
      <c r="KV907" s="327"/>
      <c r="KY907" s="279">
        <f>KY908+KY912</f>
        <v>0</v>
      </c>
      <c r="KZ907" s="279">
        <f>KZ908+KZ912</f>
        <v>0</v>
      </c>
      <c r="LA907" s="279">
        <f>LA908+LA912</f>
        <v>0</v>
      </c>
      <c r="LB907" s="279">
        <f>LB908+LB912</f>
        <v>0</v>
      </c>
    </row>
    <row r="908" spans="1:314" s="1371" customFormat="1">
      <c r="B908" s="1372" t="s">
        <v>338</v>
      </c>
      <c r="C908" s="1372"/>
      <c r="D908" s="331" t="s">
        <v>561</v>
      </c>
      <c r="E908" s="1373"/>
      <c r="F908" s="1373"/>
      <c r="G908" s="1373"/>
      <c r="H908" s="1373"/>
      <c r="I908" s="1373"/>
      <c r="J908" s="1373"/>
      <c r="K908" s="1373"/>
      <c r="L908" s="1373"/>
      <c r="M908" s="1373"/>
      <c r="N908" s="1373"/>
      <c r="O908" s="1373"/>
      <c r="P908" s="1373"/>
      <c r="Q908" s="1373"/>
      <c r="R908" s="1373"/>
      <c r="S908" s="1373"/>
      <c r="T908" s="1373"/>
      <c r="U908" s="1373"/>
      <c r="V908" s="1373"/>
      <c r="W908" s="1373"/>
      <c r="X908" s="1373"/>
      <c r="Y908" s="1373"/>
      <c r="Z908" s="1373"/>
      <c r="AA908" s="1373"/>
      <c r="AB908" s="1373"/>
      <c r="AC908" s="1373"/>
      <c r="AD908" s="1373"/>
      <c r="AE908" s="1373"/>
      <c r="AF908" s="1373"/>
      <c r="AG908" s="1373"/>
      <c r="AH908" s="1373"/>
      <c r="AI908" s="1373"/>
      <c r="AJ908" s="1373"/>
      <c r="AK908" s="1373"/>
      <c r="AL908" s="1373"/>
      <c r="AM908" s="1373"/>
      <c r="AN908" s="1373"/>
      <c r="AO908" s="1373">
        <v>0.94199739660030579</v>
      </c>
      <c r="AP908" s="1373">
        <v>1.6821985179804768</v>
      </c>
      <c r="AQ908" s="1373">
        <v>2.7108413189699068</v>
      </c>
      <c r="AR908" s="1373">
        <v>4.522410138428933</v>
      </c>
      <c r="AS908" s="1373">
        <v>1.7219130250731998</v>
      </c>
      <c r="AT908" s="1373">
        <v>3.0417432979332482</v>
      </c>
      <c r="AU908" s="1373">
        <v>8.8962667584006923</v>
      </c>
      <c r="AV908" s="1373">
        <v>4.1520251670774488</v>
      </c>
      <c r="AW908" s="1373">
        <v>1.8957136163656356</v>
      </c>
      <c r="AX908" s="1373">
        <v>12.136937090588619</v>
      </c>
      <c r="AY908" s="1373">
        <v>12.597302379335828</v>
      </c>
      <c r="AZ908" s="1373">
        <v>88.388915926385266</v>
      </c>
      <c r="BA908" s="1373">
        <v>14.15873020075451</v>
      </c>
      <c r="BB908" s="1373">
        <v>9.0050438669616906</v>
      </c>
      <c r="BC908" s="1373">
        <v>18.544687929647523</v>
      </c>
      <c r="BD908" s="1373">
        <v>10.23558195967026</v>
      </c>
      <c r="BE908" s="1373">
        <v>14.574067021856646</v>
      </c>
      <c r="BF908" s="1373">
        <v>17.671187370678794</v>
      </c>
      <c r="BG908" s="1373">
        <v>12.451294508243144</v>
      </c>
      <c r="BH908" s="1373">
        <v>10.575512258726437</v>
      </c>
      <c r="BI908" s="1373">
        <v>17.387422666289211</v>
      </c>
      <c r="BJ908" s="1373">
        <v>63.647873066030307</v>
      </c>
      <c r="BK908" s="1373">
        <v>20.880266670164918</v>
      </c>
      <c r="BL908" s="1373">
        <v>20.26695088010668</v>
      </c>
      <c r="BM908" s="1373">
        <v>5.8544672338276129</v>
      </c>
      <c r="BN908" s="1373">
        <v>13.649621592274141</v>
      </c>
      <c r="BO908" s="1373">
        <v>10.211354677215237</v>
      </c>
      <c r="BP908" s="1373">
        <v>7.9268224163475747</v>
      </c>
      <c r="BQ908" s="1373">
        <v>9.5964837929292592</v>
      </c>
      <c r="BR908" s="1373">
        <v>50.581934584973595</v>
      </c>
      <c r="BS908" s="1373">
        <v>13.252070333108145</v>
      </c>
      <c r="BT908" s="1373">
        <v>22.477493039934352</v>
      </c>
      <c r="BU908" s="1373">
        <v>11.689606913034773</v>
      </c>
      <c r="BV908" s="1373">
        <v>9.5620629325629274</v>
      </c>
      <c r="BW908" s="1373">
        <v>47.003610449617923</v>
      </c>
      <c r="BX908" s="1373">
        <v>33.692962709260385</v>
      </c>
      <c r="BY908" s="1373">
        <v>2.1001001144407416</v>
      </c>
      <c r="BZ908" s="1373">
        <v>8.1529400676215786</v>
      </c>
      <c r="CA908" s="1373">
        <v>14.111623062434338</v>
      </c>
      <c r="CB908" s="1373">
        <v>11.671582692445245</v>
      </c>
      <c r="CC908" s="1373">
        <v>38.615047441195287</v>
      </c>
      <c r="CD908" s="1374">
        <v>28.344641886820838</v>
      </c>
      <c r="CE908" s="1373">
        <f t="shared" ref="CE908:DB908" si="1858">CE1035+CE817+CE820</f>
        <v>27.461950273771695</v>
      </c>
      <c r="CF908" s="1373">
        <f t="shared" si="1858"/>
        <v>10.11084003473381</v>
      </c>
      <c r="CG908" s="1373">
        <f t="shared" si="1858"/>
        <v>37.542976234294493</v>
      </c>
      <c r="CH908" s="1373">
        <f t="shared" si="1858"/>
        <v>46.422698332949601</v>
      </c>
      <c r="CI908" s="1373">
        <f t="shared" si="1858"/>
        <v>36.82346118513545</v>
      </c>
      <c r="CJ908" s="1373">
        <f t="shared" si="1858"/>
        <v>30.045149085000947</v>
      </c>
      <c r="CK908" s="1373">
        <f t="shared" si="1858"/>
        <v>33.576041110968305</v>
      </c>
      <c r="CL908" s="1373">
        <f t="shared" si="1858"/>
        <v>17.115234173434697</v>
      </c>
      <c r="CM908" s="1373">
        <f t="shared" si="1858"/>
        <v>18.210226436918994</v>
      </c>
      <c r="CN908" s="1373">
        <f t="shared" si="1858"/>
        <v>58.01807686992521</v>
      </c>
      <c r="CO908" s="1373">
        <f t="shared" si="1858"/>
        <v>24.075295876884173</v>
      </c>
      <c r="CP908" s="1373">
        <f t="shared" si="1858"/>
        <v>30.569105037661593</v>
      </c>
      <c r="CQ908" s="1373">
        <f t="shared" si="1858"/>
        <v>22.634250257573093</v>
      </c>
      <c r="CR908" s="1373">
        <f t="shared" si="1858"/>
        <v>24.52159962765402</v>
      </c>
      <c r="CS908" s="1373">
        <f t="shared" si="1858"/>
        <v>26.668254940129891</v>
      </c>
      <c r="CT908" s="1373">
        <f t="shared" si="1858"/>
        <v>30.063085946442769</v>
      </c>
      <c r="CU908" s="1373">
        <f t="shared" si="1858"/>
        <v>37.895227394663344</v>
      </c>
      <c r="CV908" s="1373">
        <f t="shared" si="1858"/>
        <v>37.215800957066605</v>
      </c>
      <c r="CW908" s="1373">
        <f t="shared" si="1858"/>
        <v>27.254137346920125</v>
      </c>
      <c r="CX908" s="1373">
        <f t="shared" si="1858"/>
        <v>24.408593314944181</v>
      </c>
      <c r="CY908" s="1373">
        <f t="shared" si="1858"/>
        <v>27.545518918423681</v>
      </c>
      <c r="CZ908" s="1373">
        <f t="shared" si="1858"/>
        <v>16.514020665328591</v>
      </c>
      <c r="DA908" s="1373">
        <f t="shared" si="1858"/>
        <v>31.010111373193478</v>
      </c>
      <c r="DB908" s="1373">
        <f t="shared" si="1858"/>
        <v>34.526302365791103</v>
      </c>
      <c r="DC908" s="1373">
        <v>13.874262816587432</v>
      </c>
      <c r="DD908" s="1373">
        <v>22.741142375832265</v>
      </c>
      <c r="DE908" s="1373">
        <v>27.5699602763003</v>
      </c>
      <c r="DF908" s="1373">
        <v>18.868605581223264</v>
      </c>
      <c r="DG908" s="1373">
        <v>13.958714056713765</v>
      </c>
      <c r="DH908" s="1373">
        <v>51.257744914392219</v>
      </c>
      <c r="DI908" s="1373">
        <v>16.342572375724565</v>
      </c>
      <c r="DJ908" s="1373">
        <v>17.049001310250979</v>
      </c>
      <c r="DK908" s="1373">
        <v>28.752959391475457</v>
      </c>
      <c r="DL908" s="1373">
        <v>24.046596579660893</v>
      </c>
      <c r="DM908" s="1373">
        <v>26.160917535553409</v>
      </c>
      <c r="DN908" s="1375">
        <v>11.152133643740704</v>
      </c>
      <c r="DO908" s="1373">
        <v>15.433996662336185</v>
      </c>
      <c r="DP908" s="1373">
        <v>20.562498505827929</v>
      </c>
      <c r="DQ908" s="1373">
        <v>31.781562221068889</v>
      </c>
      <c r="DR908" s="1373">
        <v>9.4610312207669089</v>
      </c>
      <c r="DS908" s="1373">
        <v>26.475880533328159</v>
      </c>
      <c r="DT908" s="1373">
        <v>38.357520431450936</v>
      </c>
      <c r="DU908" s="1373">
        <f t="shared" ref="DU908:EZ908" si="1859">DU817+DU820+DU1035</f>
        <v>22.211353562193839</v>
      </c>
      <c r="DV908" s="1373">
        <f t="shared" si="1859"/>
        <v>18.817239761654175</v>
      </c>
      <c r="DW908" s="1373">
        <f t="shared" si="1859"/>
        <v>31.552162197735981</v>
      </c>
      <c r="DX908" s="1373">
        <f t="shared" si="1859"/>
        <v>27.465835039963608</v>
      </c>
      <c r="DY908" s="1373">
        <f t="shared" si="1859"/>
        <v>24.386676235098165</v>
      </c>
      <c r="DZ908" s="1373">
        <f t="shared" si="1859"/>
        <v>40.24342079840423</v>
      </c>
      <c r="EA908" s="1373">
        <f t="shared" si="1859"/>
        <v>21.74761611951476</v>
      </c>
      <c r="EB908" s="1373">
        <f t="shared" si="1859"/>
        <v>25.760209253194738</v>
      </c>
      <c r="EC908" s="1373">
        <f t="shared" si="1859"/>
        <v>23.0598770162485</v>
      </c>
      <c r="ED908" s="1373">
        <f t="shared" si="1859"/>
        <v>23.712366129118919</v>
      </c>
      <c r="EE908" s="1373">
        <f t="shared" si="1859"/>
        <v>26.735410227996319</v>
      </c>
      <c r="EF908" s="1373">
        <f t="shared" si="1859"/>
        <v>31.381530689116762</v>
      </c>
      <c r="EG908" s="1373">
        <f t="shared" si="1859"/>
        <v>27.909894950615559</v>
      </c>
      <c r="EH908" s="1373">
        <f t="shared" si="1859"/>
        <v>16.955218745007535</v>
      </c>
      <c r="EI908" s="1373">
        <f t="shared" si="1859"/>
        <v>40.070005726957909</v>
      </c>
      <c r="EJ908" s="1373">
        <f t="shared" si="1859"/>
        <v>15.661802557920968</v>
      </c>
      <c r="EK908" s="1373">
        <f t="shared" si="1859"/>
        <v>27.208560267357019</v>
      </c>
      <c r="EL908" s="1373">
        <f t="shared" si="1859"/>
        <v>58.857923823111022</v>
      </c>
      <c r="EM908" s="1373">
        <f t="shared" si="1859"/>
        <v>26.154033663094854</v>
      </c>
      <c r="EN908" s="1373">
        <f t="shared" si="1859"/>
        <v>18.445545378356144</v>
      </c>
      <c r="EO908" s="1373">
        <f t="shared" si="1859"/>
        <v>47.015260453214999</v>
      </c>
      <c r="EP908" s="1373">
        <f t="shared" si="1859"/>
        <v>29.197911488066648</v>
      </c>
      <c r="EQ908" s="1373">
        <f t="shared" si="1859"/>
        <v>21.519785242485</v>
      </c>
      <c r="ER908" s="1373">
        <f t="shared" si="1859"/>
        <v>58.928926885631995</v>
      </c>
      <c r="ES908" s="1373">
        <f t="shared" si="1859"/>
        <v>35.348274640719566</v>
      </c>
      <c r="ET908" s="1373">
        <f t="shared" si="1859"/>
        <v>30.552618112890165</v>
      </c>
      <c r="EU908" s="1373">
        <f t="shared" si="1859"/>
        <v>44.041510783832905</v>
      </c>
      <c r="EV908" s="1373">
        <f t="shared" si="1859"/>
        <v>31.903327200566636</v>
      </c>
      <c r="EW908" s="1373">
        <f t="shared" si="1859"/>
        <v>28.888202852077264</v>
      </c>
      <c r="EX908" s="1373">
        <f t="shared" si="1859"/>
        <v>76.008599532845508</v>
      </c>
      <c r="EY908" s="1373">
        <f t="shared" si="1859"/>
        <v>33.280121402833174</v>
      </c>
      <c r="EZ908" s="1373">
        <f t="shared" si="1859"/>
        <v>46.962321956311172</v>
      </c>
      <c r="FA908" s="1373">
        <f t="shared" ref="FA908:GH908" si="1860">FA817+FA820+FA1035</f>
        <v>42.414009539210497</v>
      </c>
      <c r="FB908" s="1373">
        <f t="shared" si="1860"/>
        <v>34.784045042298231</v>
      </c>
      <c r="FC908" s="1373">
        <f t="shared" si="1860"/>
        <v>44.060011411470597</v>
      </c>
      <c r="FD908" s="1373">
        <f t="shared" si="1860"/>
        <v>65.340583448423502</v>
      </c>
      <c r="FE908" s="1373">
        <f t="shared" si="1860"/>
        <v>41.617049318678283</v>
      </c>
      <c r="FF908" s="1373">
        <f t="shared" si="1860"/>
        <v>45.92982365208664</v>
      </c>
      <c r="FG908" s="1373">
        <f t="shared" si="1860"/>
        <v>46.527671511998889</v>
      </c>
      <c r="FH908" s="1373">
        <f t="shared" si="1860"/>
        <v>44.396108784472418</v>
      </c>
      <c r="FI908" s="1373">
        <f t="shared" si="1860"/>
        <v>53.012151564884498</v>
      </c>
      <c r="FJ908" s="1373">
        <f t="shared" si="1860"/>
        <v>49.474995745698159</v>
      </c>
      <c r="FK908" s="1373">
        <f t="shared" si="1860"/>
        <v>135.59233209151731</v>
      </c>
      <c r="FL908" s="1373">
        <f t="shared" si="1860"/>
        <v>66.297949603163616</v>
      </c>
      <c r="FM908" s="1373">
        <f t="shared" si="1860"/>
        <v>48.100940610604894</v>
      </c>
      <c r="FN908" s="1373">
        <f t="shared" si="1860"/>
        <v>33.241717161059192</v>
      </c>
      <c r="FO908" s="1373">
        <f t="shared" si="1860"/>
        <v>50.094245062684081</v>
      </c>
      <c r="FP908" s="1373">
        <f t="shared" si="1860"/>
        <v>52.196346233816548</v>
      </c>
      <c r="FQ908" s="1373">
        <f t="shared" si="1860"/>
        <v>42.1215202837517</v>
      </c>
      <c r="FR908" s="1373">
        <f t="shared" si="1860"/>
        <v>39.847795074940699</v>
      </c>
      <c r="FS908" s="1373">
        <f t="shared" si="1860"/>
        <v>63.234253633886681</v>
      </c>
      <c r="FT908" s="1373">
        <f t="shared" si="1860"/>
        <v>50.963642747466423</v>
      </c>
      <c r="FU908" s="1373">
        <f t="shared" si="1860"/>
        <v>35.519792666794402</v>
      </c>
      <c r="FV908" s="1373">
        <f t="shared" si="1860"/>
        <v>68.107825459623427</v>
      </c>
      <c r="FW908" s="1373">
        <f t="shared" si="1860"/>
        <v>57.499992982449463</v>
      </c>
      <c r="FX908" s="1373">
        <f t="shared" si="1860"/>
        <v>46.967371096775459</v>
      </c>
      <c r="FY908" s="1373">
        <f t="shared" si="1860"/>
        <v>59.222417094667456</v>
      </c>
      <c r="FZ908" s="1373">
        <f t="shared" si="1860"/>
        <v>99.548669602563081</v>
      </c>
      <c r="GA908" s="1373">
        <f t="shared" si="1860"/>
        <v>65.538813469563081</v>
      </c>
      <c r="GB908" s="1373">
        <f t="shared" si="1860"/>
        <v>78.728683860563081</v>
      </c>
      <c r="GC908" s="1373">
        <f t="shared" si="1860"/>
        <v>36.247905315862894</v>
      </c>
      <c r="GD908" s="1373">
        <f t="shared" si="1860"/>
        <v>53.680754194829888</v>
      </c>
      <c r="GE908" s="1373">
        <f t="shared" si="1860"/>
        <v>50.823533909731886</v>
      </c>
      <c r="GF908" s="1373">
        <f t="shared" si="1860"/>
        <v>54.358792407878894</v>
      </c>
      <c r="GG908" s="1373">
        <f t="shared" si="1860"/>
        <v>59.080995569218892</v>
      </c>
      <c r="GH908" s="1373">
        <f t="shared" si="1860"/>
        <v>127.01112217822589</v>
      </c>
      <c r="GI908" s="1373">
        <f t="shared" ref="GI908:HR908" si="1861">GI817+GI820+GI1035-GI1037</f>
        <v>46.023012419852897</v>
      </c>
      <c r="GJ908" s="1373">
        <f t="shared" si="1861"/>
        <v>43.0800780031229</v>
      </c>
      <c r="GK908" s="1373">
        <f t="shared" si="1861"/>
        <v>63.493861325522907</v>
      </c>
      <c r="GL908" s="1373">
        <f t="shared" si="1861"/>
        <v>59.725592532872909</v>
      </c>
      <c r="GM908" s="1373">
        <f t="shared" si="1861"/>
        <v>44.138338000512903</v>
      </c>
      <c r="GN908" s="1373">
        <f t="shared" si="1861"/>
        <v>78.569064449222893</v>
      </c>
      <c r="GO908" s="1373">
        <f t="shared" si="1861"/>
        <v>68.458457315448982</v>
      </c>
      <c r="GP908" s="1373">
        <f t="shared" si="1861"/>
        <v>68.136237739411968</v>
      </c>
      <c r="GQ908" s="1373">
        <f t="shared" si="1861"/>
        <v>103.41804583896895</v>
      </c>
      <c r="GR908" s="1373">
        <f t="shared" si="1861"/>
        <v>53.858104412314965</v>
      </c>
      <c r="GS908" s="1373">
        <f t="shared" si="1861"/>
        <v>59.054166320816975</v>
      </c>
      <c r="GT908" s="1373">
        <f t="shared" si="1861"/>
        <v>83.51569662422699</v>
      </c>
      <c r="GU908" s="1373">
        <f t="shared" si="1861"/>
        <v>21.910529276230999</v>
      </c>
      <c r="GV908" s="1373">
        <f t="shared" si="1861"/>
        <v>42.197749617607002</v>
      </c>
      <c r="GW908" s="1373">
        <f t="shared" si="1861"/>
        <v>167.27146023960344</v>
      </c>
      <c r="GX908" s="1373">
        <f t="shared" si="1861"/>
        <v>27.285226901001998</v>
      </c>
      <c r="GY908" s="1373">
        <f t="shared" si="1861"/>
        <v>66.984583489333005</v>
      </c>
      <c r="GZ908" s="1373">
        <f t="shared" si="1861"/>
        <v>217.69340567850844</v>
      </c>
      <c r="HA908" s="1373">
        <f t="shared" si="1861"/>
        <v>31.435793520262003</v>
      </c>
      <c r="HB908" s="1373">
        <f t="shared" si="1861"/>
        <v>21.236010936550997</v>
      </c>
      <c r="HC908" s="1373">
        <f t="shared" si="1861"/>
        <v>214.23244092003236</v>
      </c>
      <c r="HD908" s="1373">
        <f t="shared" si="1861"/>
        <v>40.509249266334002</v>
      </c>
      <c r="HE908" s="1373">
        <f t="shared" si="1861"/>
        <v>18.274648314265999</v>
      </c>
      <c r="HF908" s="1373">
        <f t="shared" si="1861"/>
        <v>228.72781350703133</v>
      </c>
      <c r="HG908" s="1373">
        <f t="shared" si="1861"/>
        <v>49.879732205343004</v>
      </c>
      <c r="HH908" s="1373">
        <f t="shared" si="1861"/>
        <v>18.934514546271</v>
      </c>
      <c r="HI908" s="1373">
        <f t="shared" si="1861"/>
        <v>154.46104035477026</v>
      </c>
      <c r="HJ908" s="1373">
        <f t="shared" si="1861"/>
        <v>70.649448433716998</v>
      </c>
      <c r="HK908" s="1373">
        <f t="shared" si="1861"/>
        <v>42.123375037326014</v>
      </c>
      <c r="HL908" s="1373">
        <f t="shared" si="1861"/>
        <v>249.40825961562348</v>
      </c>
      <c r="HM908" s="1373">
        <f t="shared" si="1861"/>
        <v>54.966984160314993</v>
      </c>
      <c r="HN908" s="1373">
        <f t="shared" si="1861"/>
        <v>23.751190503989001</v>
      </c>
      <c r="HO908" s="1373">
        <f t="shared" si="1861"/>
        <v>180.81682860570521</v>
      </c>
      <c r="HP908" s="1373">
        <f t="shared" si="1861"/>
        <v>47.141957794567006</v>
      </c>
      <c r="HQ908" s="1373">
        <f t="shared" si="1861"/>
        <v>72.235398328367992</v>
      </c>
      <c r="HR908" s="1373">
        <f t="shared" si="1861"/>
        <v>183.17119751122544</v>
      </c>
      <c r="HS908" s="1373">
        <f t="shared" ref="HS908:HX908" si="1862">HS817+HS820+HS1035-HS1037</f>
        <v>22.134883638801</v>
      </c>
      <c r="HT908" s="1373">
        <f t="shared" si="1862"/>
        <v>28.566661222182997</v>
      </c>
      <c r="HU908" s="1373">
        <f t="shared" si="1862"/>
        <v>195.04090676039419</v>
      </c>
      <c r="HV908" s="1373">
        <f t="shared" si="1862"/>
        <v>66.007727705753993</v>
      </c>
      <c r="HW908" s="1373">
        <f t="shared" si="1862"/>
        <v>86.302423310713991</v>
      </c>
      <c r="HX908" s="1373">
        <f t="shared" si="1862"/>
        <v>279.15768652706055</v>
      </c>
      <c r="HY908" s="1373"/>
      <c r="HZ908" s="1378"/>
      <c r="IA908" s="331" t="s">
        <v>561</v>
      </c>
      <c r="IB908" s="284">
        <f>SUM(CE908:CJ908)</f>
        <v>188.40707514588601</v>
      </c>
      <c r="IC908" s="279">
        <f>SUM(CK908:CP908)</f>
        <v>181.56397950579299</v>
      </c>
      <c r="ID908" s="323">
        <f>IB908+IC908</f>
        <v>369.97105465167897</v>
      </c>
      <c r="IE908" s="279">
        <f>SUM(CQ908:CV908)</f>
        <v>178.99821912352974</v>
      </c>
      <c r="IF908" s="279">
        <f>SUM(CW908:DB908)</f>
        <v>161.25868398460116</v>
      </c>
      <c r="IG908" s="323">
        <f>IE908+IF908</f>
        <v>340.25690310813093</v>
      </c>
      <c r="IH908" s="284">
        <f>SUM(DC908:DH908)</f>
        <v>148.27043002104924</v>
      </c>
      <c r="II908" s="279">
        <f>SUM(DI908:DN908)</f>
        <v>123.50418083640602</v>
      </c>
      <c r="IJ908" s="323">
        <f>IH908+II908</f>
        <v>271.77461085745529</v>
      </c>
      <c r="IK908" s="327">
        <f>SUM(DO908:DT908)</f>
        <v>142.07248957477901</v>
      </c>
      <c r="IL908" s="279">
        <f>SUM(DU908:DZ908)</f>
        <v>164.67668759505</v>
      </c>
      <c r="IM908" s="323">
        <f>IK908+IL908</f>
        <v>306.74917716982901</v>
      </c>
      <c r="IN908" s="279">
        <f>SUM(EA908:EF908)</f>
        <v>152.39700943519</v>
      </c>
      <c r="IO908" s="279">
        <f>SUM(EG908:EL908)</f>
        <v>186.66340607097001</v>
      </c>
      <c r="IP908" s="323">
        <f>IN908+IO908</f>
        <v>339.06041550615998</v>
      </c>
      <c r="IQ908" s="327">
        <f>SUM(EM908:ER908)</f>
        <v>201.26146311084966</v>
      </c>
      <c r="IR908" s="327">
        <f>SUM(ES908:EX908)</f>
        <v>246.742533122932</v>
      </c>
      <c r="IS908" s="323">
        <f>IQ908+IR908</f>
        <v>448.00399623378166</v>
      </c>
      <c r="IT908" s="327">
        <f>SUM(EY908:FD908)</f>
        <v>266.84109280054719</v>
      </c>
      <c r="IU908" s="327">
        <f>SUM(FE908:FJ908)</f>
        <v>280.95780057781889</v>
      </c>
      <c r="IV908" s="323">
        <f>IT908+IU908</f>
        <v>547.79889337836607</v>
      </c>
      <c r="IW908" s="327">
        <f>SUM(FK908:FP908)</f>
        <v>385.52353076284561</v>
      </c>
      <c r="IX908" s="327">
        <f t="shared" si="1822"/>
        <v>299.79482986646332</v>
      </c>
      <c r="IY908" s="608">
        <f t="shared" si="1621"/>
        <v>685.31836062930893</v>
      </c>
      <c r="IZ908" s="327">
        <f t="shared" si="1793"/>
        <v>407.50594810658163</v>
      </c>
      <c r="JA908" s="327">
        <f t="shared" si="1794"/>
        <v>381.20310357574834</v>
      </c>
      <c r="JB908" s="323">
        <f t="shared" si="1823"/>
        <v>788.70905168233003</v>
      </c>
      <c r="JC908" s="327">
        <f t="shared" si="1795"/>
        <v>335.02994673110743</v>
      </c>
      <c r="JD908" s="327">
        <f t="shared" si="1824"/>
        <v>436.44070825118888</v>
      </c>
      <c r="JE908" s="323">
        <f t="shared" si="1834"/>
        <v>771.47065498229631</v>
      </c>
      <c r="JF908" s="327">
        <f>JF817+JF820+JF824+JF1035-JF974</f>
        <v>535.37275481228482</v>
      </c>
      <c r="JG908" s="327">
        <f>JG817+JG820+JG824+JG1035-JG974</f>
        <v>562.41967932960358</v>
      </c>
      <c r="JH908" s="323">
        <f t="shared" si="1703"/>
        <v>1097.7924341418884</v>
      </c>
      <c r="JI908" s="327">
        <f t="shared" si="1744"/>
        <v>585.45637019305082</v>
      </c>
      <c r="JJ908" s="327">
        <f t="shared" ref="JJ908:JJ911" si="1863">SUM(HM908:HR908)</f>
        <v>562.08355690416965</v>
      </c>
      <c r="JK908" s="323">
        <f t="shared" si="1683"/>
        <v>1147.5399270972205</v>
      </c>
      <c r="JL908" s="327">
        <f t="shared" si="1704"/>
        <v>677.21028916490673</v>
      </c>
      <c r="JM908" s="279">
        <f>JN908-JL908</f>
        <v>641.43570106723087</v>
      </c>
      <c r="JN908" s="323">
        <f>FISC!AK1229</f>
        <v>1318.6459902321376</v>
      </c>
      <c r="JO908" s="327">
        <f>JO817+JO820+JO824+JO1035-JO974</f>
        <v>630.92745545925914</v>
      </c>
      <c r="JP908" s="279">
        <f>JQ908-JO908</f>
        <v>636.25861342611211</v>
      </c>
      <c r="JQ908" s="323">
        <f>FISC!AL1229</f>
        <v>1267.1860688853712</v>
      </c>
      <c r="JR908" s="327">
        <f>JR817+JR820+JR824+JR1035-JR974</f>
        <v>663.89592628541709</v>
      </c>
      <c r="JS908" s="279">
        <f>JT908-JR908</f>
        <v>664.8246940799238</v>
      </c>
      <c r="JT908" s="323">
        <f>FISC!AM1229</f>
        <v>1328.7206203653409</v>
      </c>
      <c r="JU908" s="327">
        <f>JU817+JU820+JU824+JU1035-JU974</f>
        <v>706.53426192529832</v>
      </c>
      <c r="JV908" s="279">
        <f>JW908-JU908</f>
        <v>728.55469975236974</v>
      </c>
      <c r="JW908" s="323">
        <f>FISC!AN1229</f>
        <v>1435.0889616776681</v>
      </c>
      <c r="JX908" s="327">
        <f>JX817+JX820+JX824+JX1035-JX974</f>
        <v>706.50756182794294</v>
      </c>
      <c r="JY908" s="279">
        <f>JZ908-JX908</f>
        <v>803.56168780156599</v>
      </c>
      <c r="JZ908" s="323">
        <f>FISC!AO1229</f>
        <v>1510.0692496295089</v>
      </c>
      <c r="KA908" s="327">
        <f>KA817+KA820+KA824+KA1035-KA974</f>
        <v>845.94854109568041</v>
      </c>
      <c r="KB908" s="279">
        <f>KC908-KA908</f>
        <v>861.16914434036198</v>
      </c>
      <c r="KC908" s="323">
        <f>FISC!AP1229</f>
        <v>1707.1176854360424</v>
      </c>
      <c r="KD908" s="327">
        <f>KD817+KD820+KD824+KD1035-KD974</f>
        <v>364.35157670501195</v>
      </c>
      <c r="KE908" s="279">
        <f>KF908-KD908</f>
        <v>998.76308478319675</v>
      </c>
      <c r="KF908" s="323">
        <f>FISC!AQ1229</f>
        <v>1363.1146614882086</v>
      </c>
      <c r="KG908" s="327">
        <f>KG817+KG820+KG824+KG1035-KG974</f>
        <v>375.28212400616229</v>
      </c>
      <c r="KH908" s="279">
        <f>KI908-KG908</f>
        <v>548.55349986939996</v>
      </c>
      <c r="KI908" s="323">
        <f>FISC!AR1229</f>
        <v>923.83562387556231</v>
      </c>
      <c r="KJ908" s="327">
        <f>KJ817+KJ820+KJ824+KJ1035-KJ974</f>
        <v>386.54058772634721</v>
      </c>
      <c r="KK908" s="279">
        <f>KL908-KJ908</f>
        <v>565.01010486548205</v>
      </c>
      <c r="KL908" s="323">
        <f>FISC!AS1229</f>
        <v>951.55069259182926</v>
      </c>
      <c r="KM908" s="327">
        <f>KM817+KM820+KM824+KM1035-KM974</f>
        <v>398.13680535813762</v>
      </c>
      <c r="KN908" s="279">
        <f>KO908-KM908</f>
        <v>581.9604080114467</v>
      </c>
      <c r="KO908" s="323">
        <f>FISC!AT1229</f>
        <v>980.09721336958432</v>
      </c>
      <c r="KU908" s="1378"/>
      <c r="KV908" s="1379"/>
    </row>
    <row r="909" spans="1:314" s="1371" customFormat="1">
      <c r="B909" s="1372"/>
      <c r="C909" s="1372"/>
      <c r="D909" s="1496" t="s">
        <v>3143</v>
      </c>
      <c r="E909" s="1373"/>
      <c r="F909" s="1373"/>
      <c r="G909" s="1373"/>
      <c r="H909" s="1373"/>
      <c r="I909" s="1373"/>
      <c r="J909" s="1373"/>
      <c r="K909" s="1373"/>
      <c r="L909" s="1373"/>
      <c r="M909" s="1373"/>
      <c r="N909" s="1373"/>
      <c r="O909" s="1373"/>
      <c r="P909" s="1373"/>
      <c r="Q909" s="1373"/>
      <c r="R909" s="1373"/>
      <c r="S909" s="1373"/>
      <c r="T909" s="1373"/>
      <c r="U909" s="1373"/>
      <c r="V909" s="1373"/>
      <c r="W909" s="1373"/>
      <c r="X909" s="1373"/>
      <c r="Y909" s="1373"/>
      <c r="Z909" s="1373"/>
      <c r="AA909" s="1373"/>
      <c r="AB909" s="1373"/>
      <c r="AC909" s="1373"/>
      <c r="AD909" s="1373"/>
      <c r="AE909" s="1373"/>
      <c r="AF909" s="1373"/>
      <c r="AG909" s="1373"/>
      <c r="AH909" s="1373"/>
      <c r="AI909" s="1373"/>
      <c r="AJ909" s="1373"/>
      <c r="AK909" s="1373"/>
      <c r="AL909" s="1373"/>
      <c r="AM909" s="1373"/>
      <c r="AN909" s="1373"/>
      <c r="AO909" s="1373"/>
      <c r="AP909" s="1373"/>
      <c r="AQ909" s="1373"/>
      <c r="AR909" s="1373"/>
      <c r="AS909" s="1373"/>
      <c r="AT909" s="1373"/>
      <c r="AU909" s="1373"/>
      <c r="AV909" s="1373"/>
      <c r="AW909" s="1373"/>
      <c r="AX909" s="1373"/>
      <c r="AY909" s="1373"/>
      <c r="AZ909" s="1373"/>
      <c r="BA909" s="1373"/>
      <c r="BB909" s="1373"/>
      <c r="BC909" s="1373"/>
      <c r="BD909" s="1373"/>
      <c r="BE909" s="1373"/>
      <c r="BF909" s="1373"/>
      <c r="BG909" s="1373"/>
      <c r="BH909" s="1373"/>
      <c r="BI909" s="1373"/>
      <c r="BJ909" s="1373"/>
      <c r="BK909" s="1373"/>
      <c r="BL909" s="1373"/>
      <c r="BM909" s="1373"/>
      <c r="BN909" s="1373"/>
      <c r="BO909" s="1373"/>
      <c r="BP909" s="1373"/>
      <c r="BQ909" s="1373"/>
      <c r="BR909" s="1373"/>
      <c r="BS909" s="1373"/>
      <c r="BT909" s="1373"/>
      <c r="BU909" s="1373"/>
      <c r="BV909" s="1373"/>
      <c r="BW909" s="1373"/>
      <c r="BX909" s="1373"/>
      <c r="BY909" s="1373"/>
      <c r="BZ909" s="1373"/>
      <c r="CA909" s="1373"/>
      <c r="CB909" s="1373"/>
      <c r="CC909" s="1373"/>
      <c r="CD909" s="1374"/>
      <c r="CE909" s="1373"/>
      <c r="CF909" s="1373"/>
      <c r="CG909" s="1373"/>
      <c r="CH909" s="1373"/>
      <c r="CI909" s="1373"/>
      <c r="CJ909" s="1373"/>
      <c r="CK909" s="1373"/>
      <c r="CL909" s="1373"/>
      <c r="CM909" s="1373"/>
      <c r="CN909" s="1373"/>
      <c r="CO909" s="1373"/>
      <c r="CP909" s="1375"/>
      <c r="CQ909" s="1373"/>
      <c r="CR909" s="1373"/>
      <c r="CS909" s="1373"/>
      <c r="CT909" s="1373"/>
      <c r="CU909" s="1373"/>
      <c r="CV909" s="1373"/>
      <c r="CW909" s="1373"/>
      <c r="CX909" s="1373"/>
      <c r="CY909" s="1373"/>
      <c r="CZ909" s="1373"/>
      <c r="DA909" s="1373"/>
      <c r="DB909" s="1376"/>
      <c r="DC909" s="1373"/>
      <c r="DD909" s="1373"/>
      <c r="DE909" s="1373"/>
      <c r="DF909" s="1373"/>
      <c r="DG909" s="1373"/>
      <c r="DH909" s="1373"/>
      <c r="DI909" s="1373"/>
      <c r="DJ909" s="1373"/>
      <c r="DK909" s="1373"/>
      <c r="DL909" s="1373"/>
      <c r="DM909" s="1373"/>
      <c r="DN909" s="1375"/>
      <c r="DO909" s="1373"/>
      <c r="DP909" s="1373"/>
      <c r="DQ909" s="1373"/>
      <c r="DR909" s="1373"/>
      <c r="DS909" s="1373"/>
      <c r="DT909" s="1373"/>
      <c r="DU909" s="1373"/>
      <c r="DV909" s="1373"/>
      <c r="DW909" s="1373"/>
      <c r="DX909" s="1373"/>
      <c r="DY909" s="1373"/>
      <c r="DZ909" s="1375"/>
      <c r="EA909" s="1373"/>
      <c r="EB909" s="1373"/>
      <c r="EC909" s="1373"/>
      <c r="ED909" s="1373"/>
      <c r="EE909" s="1373"/>
      <c r="EF909" s="1373"/>
      <c r="EG909" s="1373"/>
      <c r="EH909" s="1373"/>
      <c r="EI909" s="1373"/>
      <c r="EJ909" s="1373"/>
      <c r="EK909" s="1373"/>
      <c r="EL909" s="1375"/>
      <c r="EM909" s="1373"/>
      <c r="EN909" s="1373"/>
      <c r="EO909" s="1373"/>
      <c r="EP909" s="1373"/>
      <c r="EQ909" s="1373"/>
      <c r="ER909" s="1373"/>
      <c r="ES909" s="1373"/>
      <c r="ET909" s="1373"/>
      <c r="EU909" s="1373"/>
      <c r="EV909" s="1373"/>
      <c r="EW909" s="1373"/>
      <c r="EX909" s="1375"/>
      <c r="EY909" s="1373"/>
      <c r="EZ909" s="1373"/>
      <c r="FA909" s="1373"/>
      <c r="FB909" s="1373"/>
      <c r="FC909" s="1373"/>
      <c r="FD909" s="1373"/>
      <c r="FE909" s="1373"/>
      <c r="FF909" s="1373"/>
      <c r="FG909" s="1373"/>
      <c r="FH909" s="1373"/>
      <c r="FI909" s="1373"/>
      <c r="FJ909" s="1375"/>
      <c r="FK909" s="1373"/>
      <c r="FL909" s="1373"/>
      <c r="FM909" s="1373"/>
      <c r="FN909" s="1373"/>
      <c r="FO909" s="1373"/>
      <c r="FP909" s="1373"/>
      <c r="FQ909" s="1373"/>
      <c r="FR909" s="1373"/>
      <c r="FS909" s="1373"/>
      <c r="FT909" s="1373"/>
      <c r="FU909" s="1373"/>
      <c r="FV909" s="1373"/>
      <c r="FW909" s="1373"/>
      <c r="FX909" s="1373"/>
      <c r="FY909" s="1373"/>
      <c r="FZ909" s="1373"/>
      <c r="GA909" s="1373"/>
      <c r="GB909" s="1373"/>
      <c r="GC909" s="1373"/>
      <c r="GD909" s="1373"/>
      <c r="GE909" s="1373"/>
      <c r="GF909" s="1373"/>
      <c r="GG909" s="1373"/>
      <c r="GH909" s="1373"/>
      <c r="GI909" s="1654"/>
      <c r="GJ909" s="1655"/>
      <c r="GK909" s="1377"/>
      <c r="GL909" s="1377"/>
      <c r="GM909" s="1377"/>
      <c r="GN909" s="1377"/>
      <c r="GO909" s="1377"/>
      <c r="GP909" s="1377"/>
      <c r="GQ909" s="1377"/>
      <c r="GR909" s="1377"/>
      <c r="GS909" s="1377"/>
      <c r="GT909" s="1377"/>
      <c r="GU909" s="1377"/>
      <c r="GV909" s="1377"/>
      <c r="GW909" s="1377"/>
      <c r="GX909" s="1377"/>
      <c r="GY909" s="1377"/>
      <c r="GZ909" s="1377"/>
      <c r="HA909" s="1377"/>
      <c r="HB909" s="1377"/>
      <c r="HC909" s="1377"/>
      <c r="HD909" s="1377"/>
      <c r="HE909" s="1377"/>
      <c r="HF909" s="1377"/>
      <c r="HG909" s="1377"/>
      <c r="HH909" s="1377"/>
      <c r="HI909" s="1377"/>
      <c r="HJ909" s="1377"/>
      <c r="HK909" s="1377"/>
      <c r="HL909" s="1377"/>
      <c r="HM909" s="1377"/>
      <c r="HN909" s="1377"/>
      <c r="HO909" s="1377"/>
      <c r="HP909" s="1377"/>
      <c r="HQ909" s="1377"/>
      <c r="HR909" s="1377"/>
      <c r="HS909" s="1377"/>
      <c r="HT909" s="1377"/>
      <c r="HU909" s="1377"/>
      <c r="HV909" s="1377"/>
      <c r="HW909" s="1377"/>
      <c r="HX909" s="1377"/>
      <c r="HY909" s="1377"/>
      <c r="HZ909" s="1378"/>
      <c r="IA909" s="1496" t="s">
        <v>3143</v>
      </c>
      <c r="IB909" s="284"/>
      <c r="IC909" s="279"/>
      <c r="ID909" s="323"/>
      <c r="IE909" s="279"/>
      <c r="IF909" s="279"/>
      <c r="IG909" s="323"/>
      <c r="IH909" s="284"/>
      <c r="II909" s="279"/>
      <c r="IJ909" s="323"/>
      <c r="IK909" s="327"/>
      <c r="IL909" s="279"/>
      <c r="IM909" s="323"/>
      <c r="IN909" s="279"/>
      <c r="IO909" s="279"/>
      <c r="IP909" s="323"/>
      <c r="IQ909" s="327"/>
      <c r="IR909" s="327"/>
      <c r="IS909" s="323"/>
      <c r="IT909" s="327"/>
      <c r="IU909" s="327"/>
      <c r="IV909" s="323"/>
      <c r="IW909" s="327"/>
      <c r="IX909" s="327">
        <f t="shared" si="1822"/>
        <v>0</v>
      </c>
      <c r="IY909" s="323">
        <f t="shared" si="1621"/>
        <v>0</v>
      </c>
      <c r="IZ909" s="327">
        <f t="shared" si="1793"/>
        <v>0</v>
      </c>
      <c r="JA909" s="327">
        <f t="shared" si="1794"/>
        <v>0</v>
      </c>
      <c r="JB909" s="323">
        <f t="shared" si="1823"/>
        <v>0</v>
      </c>
      <c r="JC909" s="327">
        <f t="shared" si="1795"/>
        <v>0</v>
      </c>
      <c r="JD909" s="327">
        <f t="shared" si="1824"/>
        <v>0</v>
      </c>
      <c r="JE909" s="323">
        <f t="shared" si="1834"/>
        <v>0</v>
      </c>
      <c r="JF909" s="327"/>
      <c r="JG909" s="327">
        <f t="shared" ref="JG909:JG922" si="1864">SUM(HA909:HF909)</f>
        <v>0</v>
      </c>
      <c r="JH909" s="323">
        <f t="shared" si="1703"/>
        <v>0</v>
      </c>
      <c r="JI909" s="327">
        <f t="shared" si="1744"/>
        <v>0</v>
      </c>
      <c r="JJ909" s="327">
        <f t="shared" si="1863"/>
        <v>0</v>
      </c>
      <c r="JK909" s="323">
        <f t="shared" si="1683"/>
        <v>0</v>
      </c>
      <c r="JL909" s="327">
        <f t="shared" si="1704"/>
        <v>0</v>
      </c>
      <c r="JM909" s="279"/>
      <c r="JN909" s="323">
        <f>FISC!AK1230</f>
        <v>0</v>
      </c>
      <c r="JO909" s="327"/>
      <c r="JP909" s="279"/>
      <c r="JQ909" s="323">
        <f>FISC!AL1230</f>
        <v>0</v>
      </c>
      <c r="JR909" s="327"/>
      <c r="JS909" s="279"/>
      <c r="JT909" s="323">
        <f>FISC!AM1230</f>
        <v>0</v>
      </c>
      <c r="JU909" s="327"/>
      <c r="JV909" s="279"/>
      <c r="JW909" s="323">
        <f>FISC!AN1230</f>
        <v>0</v>
      </c>
      <c r="JX909" s="327"/>
      <c r="JY909" s="279"/>
      <c r="JZ909" s="323">
        <f>FISC!AO1230</f>
        <v>0</v>
      </c>
      <c r="KA909" s="327"/>
      <c r="KB909" s="279"/>
      <c r="KC909" s="323">
        <f>FISC!AP1230</f>
        <v>0</v>
      </c>
      <c r="KD909" s="327"/>
      <c r="KE909" s="279"/>
      <c r="KF909" s="323">
        <f>FISC!AQ1230</f>
        <v>0</v>
      </c>
      <c r="KG909" s="327"/>
      <c r="KH909" s="279"/>
      <c r="KI909" s="323">
        <f>FISC!AR1230</f>
        <v>0</v>
      </c>
      <c r="KJ909" s="327"/>
      <c r="KK909" s="279"/>
      <c r="KL909" s="323">
        <f>FISC!AS1230</f>
        <v>0</v>
      </c>
      <c r="KM909" s="327"/>
      <c r="KN909" s="279"/>
      <c r="KO909" s="323">
        <f>FISC!AT1230</f>
        <v>0</v>
      </c>
      <c r="KU909" s="1378"/>
      <c r="KV909" s="1379"/>
    </row>
    <row r="910" spans="1:314" s="1371" customFormat="1">
      <c r="B910" s="1372"/>
      <c r="C910" s="1372"/>
      <c r="D910" s="1497" t="s">
        <v>3140</v>
      </c>
      <c r="E910" s="1373"/>
      <c r="F910" s="1373"/>
      <c r="G910" s="1373"/>
      <c r="H910" s="1373"/>
      <c r="I910" s="1373"/>
      <c r="J910" s="1373"/>
      <c r="K910" s="1373"/>
      <c r="L910" s="1373"/>
      <c r="M910" s="1373"/>
      <c r="N910" s="1373"/>
      <c r="O910" s="1373"/>
      <c r="P910" s="1373"/>
      <c r="Q910" s="1373"/>
      <c r="R910" s="1373"/>
      <c r="S910" s="1373"/>
      <c r="T910" s="1373"/>
      <c r="U910" s="1373"/>
      <c r="V910" s="1373"/>
      <c r="W910" s="1373"/>
      <c r="X910" s="1373"/>
      <c r="Y910" s="1373"/>
      <c r="Z910" s="1373"/>
      <c r="AA910" s="1373"/>
      <c r="AB910" s="1373"/>
      <c r="AC910" s="1373"/>
      <c r="AD910" s="1373"/>
      <c r="AE910" s="1373"/>
      <c r="AF910" s="1373"/>
      <c r="AG910" s="1373"/>
      <c r="AH910" s="1373"/>
      <c r="AI910" s="1373"/>
      <c r="AJ910" s="1373"/>
      <c r="AK910" s="1373"/>
      <c r="AL910" s="1373"/>
      <c r="AM910" s="1373"/>
      <c r="AN910" s="1373"/>
      <c r="AO910" s="1373"/>
      <c r="AP910" s="1373"/>
      <c r="AQ910" s="1373"/>
      <c r="AR910" s="1373"/>
      <c r="AS910" s="1373"/>
      <c r="AT910" s="1373"/>
      <c r="AU910" s="1373"/>
      <c r="AV910" s="1373"/>
      <c r="AW910" s="1373"/>
      <c r="AX910" s="1373"/>
      <c r="AY910" s="1373"/>
      <c r="AZ910" s="1373"/>
      <c r="BA910" s="1373"/>
      <c r="BB910" s="1373"/>
      <c r="BC910" s="1373"/>
      <c r="BD910" s="1373"/>
      <c r="BE910" s="1373"/>
      <c r="BF910" s="1373"/>
      <c r="BG910" s="1373"/>
      <c r="BH910" s="1373"/>
      <c r="BI910" s="1373"/>
      <c r="BJ910" s="1373"/>
      <c r="BK910" s="1373"/>
      <c r="BL910" s="1373"/>
      <c r="BM910" s="1373"/>
      <c r="BN910" s="1373"/>
      <c r="BO910" s="1373"/>
      <c r="BP910" s="1373"/>
      <c r="BQ910" s="1373"/>
      <c r="BR910" s="1373"/>
      <c r="BS910" s="1373"/>
      <c r="BT910" s="1373"/>
      <c r="BU910" s="1373"/>
      <c r="BV910" s="1373"/>
      <c r="BW910" s="1373"/>
      <c r="BX910" s="1373"/>
      <c r="BY910" s="1373"/>
      <c r="BZ910" s="1373"/>
      <c r="CA910" s="1373"/>
      <c r="CB910" s="1373"/>
      <c r="CC910" s="1373"/>
      <c r="CD910" s="1374"/>
      <c r="CE910" s="1373"/>
      <c r="CF910" s="1373"/>
      <c r="CG910" s="1373"/>
      <c r="CH910" s="1373"/>
      <c r="CI910" s="1373"/>
      <c r="CJ910" s="1373"/>
      <c r="CK910" s="1373"/>
      <c r="CL910" s="1373"/>
      <c r="CM910" s="1373"/>
      <c r="CN910" s="1373"/>
      <c r="CO910" s="1373"/>
      <c r="CP910" s="1375"/>
      <c r="CQ910" s="1373"/>
      <c r="CR910" s="1373"/>
      <c r="CS910" s="1373"/>
      <c r="CT910" s="1373"/>
      <c r="CU910" s="1373"/>
      <c r="CV910" s="1373"/>
      <c r="CW910" s="1373"/>
      <c r="CX910" s="1373"/>
      <c r="CY910" s="1373"/>
      <c r="CZ910" s="1373"/>
      <c r="DA910" s="1373"/>
      <c r="DB910" s="1376"/>
      <c r="DC910" s="1373"/>
      <c r="DD910" s="1373"/>
      <c r="DE910" s="1373"/>
      <c r="DF910" s="1373"/>
      <c r="DG910" s="1373"/>
      <c r="DH910" s="1373"/>
      <c r="DI910" s="1373"/>
      <c r="DJ910" s="1373"/>
      <c r="DK910" s="1373"/>
      <c r="DL910" s="1373"/>
      <c r="DM910" s="1373"/>
      <c r="DN910" s="1375"/>
      <c r="DO910" s="1373"/>
      <c r="DP910" s="1373"/>
      <c r="DQ910" s="1373"/>
      <c r="DR910" s="1373"/>
      <c r="DS910" s="1373"/>
      <c r="DT910" s="1373"/>
      <c r="DU910" s="1373"/>
      <c r="DV910" s="1373"/>
      <c r="DW910" s="1373"/>
      <c r="DX910" s="1373"/>
      <c r="DY910" s="1373"/>
      <c r="DZ910" s="1375"/>
      <c r="EA910" s="1373"/>
      <c r="EB910" s="1373"/>
      <c r="EC910" s="1373"/>
      <c r="ED910" s="1373"/>
      <c r="EE910" s="1373"/>
      <c r="EF910" s="1373"/>
      <c r="EG910" s="1373"/>
      <c r="EH910" s="1373"/>
      <c r="EI910" s="1373"/>
      <c r="EJ910" s="1373"/>
      <c r="EK910" s="1373"/>
      <c r="EL910" s="1375"/>
      <c r="EM910" s="1373"/>
      <c r="EN910" s="1373"/>
      <c r="EO910" s="1373"/>
      <c r="EP910" s="1373"/>
      <c r="EQ910" s="1373"/>
      <c r="ER910" s="1373"/>
      <c r="ES910" s="1373"/>
      <c r="ET910" s="1373"/>
      <c r="EU910" s="1373"/>
      <c r="EV910" s="1373"/>
      <c r="EW910" s="1373"/>
      <c r="EX910" s="1375"/>
      <c r="EY910" s="1373"/>
      <c r="EZ910" s="1373"/>
      <c r="FA910" s="1373"/>
      <c r="FB910" s="1373"/>
      <c r="FC910" s="1373"/>
      <c r="FD910" s="1373"/>
      <c r="FE910" s="1373"/>
      <c r="FF910" s="1373"/>
      <c r="FG910" s="1373"/>
      <c r="FH910" s="1373"/>
      <c r="FI910" s="1373"/>
      <c r="FJ910" s="1375"/>
      <c r="FK910" s="1373"/>
      <c r="FL910" s="1373"/>
      <c r="FM910" s="1373"/>
      <c r="FN910" s="1373"/>
      <c r="FO910" s="1373"/>
      <c r="FP910" s="1373"/>
      <c r="FQ910" s="1373"/>
      <c r="FR910" s="1373"/>
      <c r="FS910" s="1373"/>
      <c r="FT910" s="1373"/>
      <c r="FU910" s="1373"/>
      <c r="FV910" s="1373"/>
      <c r="FW910" s="1373"/>
      <c r="FX910" s="1373"/>
      <c r="FY910" s="1373"/>
      <c r="FZ910" s="1373"/>
      <c r="GA910" s="1373"/>
      <c r="GB910" s="1373"/>
      <c r="GC910" s="1373"/>
      <c r="GD910" s="1373"/>
      <c r="GE910" s="1373"/>
      <c r="GF910" s="1373"/>
      <c r="GG910" s="1373"/>
      <c r="GH910" s="1373"/>
      <c r="GI910" s="1654"/>
      <c r="GJ910" s="1377"/>
      <c r="GK910" s="1377"/>
      <c r="GL910" s="1377"/>
      <c r="GM910" s="1377"/>
      <c r="GN910" s="1377"/>
      <c r="GO910" s="1377"/>
      <c r="GP910" s="1377"/>
      <c r="GQ910" s="1377"/>
      <c r="GR910" s="1377"/>
      <c r="GS910" s="1377"/>
      <c r="GT910" s="1377"/>
      <c r="GU910" s="1377"/>
      <c r="GV910" s="1377"/>
      <c r="GW910" s="1377"/>
      <c r="GX910" s="1377"/>
      <c r="GY910" s="1377"/>
      <c r="GZ910" s="1377"/>
      <c r="HA910" s="1377"/>
      <c r="HB910" s="1377"/>
      <c r="HC910" s="1377"/>
      <c r="HD910" s="1377"/>
      <c r="HE910" s="1377"/>
      <c r="HF910" s="1377"/>
      <c r="HG910" s="1377"/>
      <c r="HH910" s="1377"/>
      <c r="HI910" s="1377"/>
      <c r="HJ910" s="1377"/>
      <c r="HK910" s="1377"/>
      <c r="HL910" s="1377"/>
      <c r="HM910" s="1377"/>
      <c r="HN910" s="1377"/>
      <c r="HO910" s="1377"/>
      <c r="HP910" s="1377"/>
      <c r="HQ910" s="1377"/>
      <c r="HR910" s="1377"/>
      <c r="HS910" s="1377"/>
      <c r="HT910" s="1377"/>
      <c r="HU910" s="1377"/>
      <c r="HV910" s="1377"/>
      <c r="HW910" s="1377"/>
      <c r="HX910" s="1377"/>
      <c r="HY910" s="1377"/>
      <c r="HZ910" s="1378"/>
      <c r="IA910" s="1497" t="s">
        <v>3140</v>
      </c>
      <c r="IB910" s="284"/>
      <c r="IC910" s="279"/>
      <c r="ID910" s="323"/>
      <c r="IE910" s="279"/>
      <c r="IF910" s="279"/>
      <c r="IG910" s="323"/>
      <c r="IH910" s="284"/>
      <c r="II910" s="279"/>
      <c r="IJ910" s="323"/>
      <c r="IK910" s="327"/>
      <c r="IL910" s="279"/>
      <c r="IM910" s="323"/>
      <c r="IN910" s="279"/>
      <c r="IO910" s="279"/>
      <c r="IP910" s="323"/>
      <c r="IQ910" s="327"/>
      <c r="IR910" s="327"/>
      <c r="IS910" s="323"/>
      <c r="IT910" s="327"/>
      <c r="IU910" s="327"/>
      <c r="IV910" s="323"/>
      <c r="IW910" s="327"/>
      <c r="IX910" s="327">
        <f t="shared" si="1822"/>
        <v>0</v>
      </c>
      <c r="IY910" s="323">
        <f t="shared" si="1621"/>
        <v>0</v>
      </c>
      <c r="IZ910" s="327">
        <f t="shared" si="1793"/>
        <v>0</v>
      </c>
      <c r="JA910" s="327">
        <f t="shared" si="1794"/>
        <v>0</v>
      </c>
      <c r="JB910" s="323">
        <f t="shared" si="1823"/>
        <v>0</v>
      </c>
      <c r="JC910" s="327">
        <f t="shared" si="1795"/>
        <v>0</v>
      </c>
      <c r="JD910" s="327">
        <f t="shared" si="1824"/>
        <v>0</v>
      </c>
      <c r="JE910" s="323">
        <f t="shared" si="1834"/>
        <v>0</v>
      </c>
      <c r="JF910" s="327"/>
      <c r="JG910" s="327">
        <f t="shared" si="1864"/>
        <v>0</v>
      </c>
      <c r="JH910" s="323">
        <f t="shared" si="1703"/>
        <v>0</v>
      </c>
      <c r="JI910" s="327">
        <f t="shared" si="1744"/>
        <v>0</v>
      </c>
      <c r="JJ910" s="327">
        <f t="shared" si="1863"/>
        <v>0</v>
      </c>
      <c r="JK910" s="323">
        <f t="shared" si="1683"/>
        <v>0</v>
      </c>
      <c r="JL910" s="327">
        <f t="shared" si="1704"/>
        <v>0</v>
      </c>
      <c r="JM910" s="279"/>
      <c r="JN910" s="323">
        <f>FISC!AK1231</f>
        <v>0</v>
      </c>
      <c r="JO910" s="327"/>
      <c r="JP910" s="279"/>
      <c r="JQ910" s="323">
        <f>FISC!AL1231</f>
        <v>0</v>
      </c>
      <c r="JR910" s="327"/>
      <c r="JS910" s="279"/>
      <c r="JT910" s="323">
        <f>FISC!AM1231</f>
        <v>0</v>
      </c>
      <c r="JU910" s="327"/>
      <c r="JV910" s="279"/>
      <c r="JW910" s="323">
        <f>FISC!AN1231</f>
        <v>0</v>
      </c>
      <c r="JX910" s="327"/>
      <c r="JY910" s="279"/>
      <c r="JZ910" s="323">
        <f>FISC!AO1231</f>
        <v>0</v>
      </c>
      <c r="KA910" s="327"/>
      <c r="KB910" s="279"/>
      <c r="KC910" s="323">
        <f>FISC!AP1231</f>
        <v>0</v>
      </c>
      <c r="KD910" s="327"/>
      <c r="KE910" s="279"/>
      <c r="KF910" s="323">
        <f>FISC!AQ1231</f>
        <v>0</v>
      </c>
      <c r="KG910" s="327"/>
      <c r="KH910" s="279"/>
      <c r="KI910" s="323">
        <f>FISC!AR1231</f>
        <v>0</v>
      </c>
      <c r="KJ910" s="327"/>
      <c r="KK910" s="279"/>
      <c r="KL910" s="323">
        <f>FISC!AS1231</f>
        <v>0</v>
      </c>
      <c r="KM910" s="327"/>
      <c r="KN910" s="279"/>
      <c r="KO910" s="323">
        <f>FISC!AT1231</f>
        <v>0</v>
      </c>
      <c r="KU910" s="1378"/>
      <c r="KV910" s="1379"/>
    </row>
    <row r="911" spans="1:314" s="1371" customFormat="1" ht="15.3">
      <c r="B911" s="1372"/>
      <c r="C911" s="1372"/>
      <c r="D911" s="1680" t="str">
        <f>FISC!D1232</f>
        <v>Flood response</v>
      </c>
      <c r="E911" s="1373"/>
      <c r="F911" s="1373"/>
      <c r="G911" s="1373"/>
      <c r="H911" s="1373"/>
      <c r="I911" s="1373"/>
      <c r="J911" s="1373"/>
      <c r="K911" s="1373"/>
      <c r="L911" s="1373"/>
      <c r="M911" s="1373"/>
      <c r="N911" s="1373"/>
      <c r="O911" s="1373"/>
      <c r="P911" s="1373"/>
      <c r="Q911" s="1373"/>
      <c r="R911" s="1373"/>
      <c r="S911" s="1373"/>
      <c r="T911" s="1373"/>
      <c r="U911" s="1373"/>
      <c r="V911" s="1373"/>
      <c r="W911" s="1373"/>
      <c r="X911" s="1373"/>
      <c r="Y911" s="1373"/>
      <c r="Z911" s="1373"/>
      <c r="AA911" s="1373"/>
      <c r="AB911" s="1373"/>
      <c r="AC911" s="1373"/>
      <c r="AD911" s="1373"/>
      <c r="AE911" s="1373"/>
      <c r="AF911" s="1373"/>
      <c r="AG911" s="1373"/>
      <c r="AH911" s="1373"/>
      <c r="AI911" s="1373"/>
      <c r="AJ911" s="1373"/>
      <c r="AK911" s="1373"/>
      <c r="AL911" s="1373"/>
      <c r="AM911" s="1373"/>
      <c r="AN911" s="1373"/>
      <c r="AO911" s="1373"/>
      <c r="AP911" s="1373"/>
      <c r="AQ911" s="1373"/>
      <c r="AR911" s="1373"/>
      <c r="AS911" s="1373"/>
      <c r="AT911" s="1373"/>
      <c r="AU911" s="1373"/>
      <c r="AV911" s="1373"/>
      <c r="AW911" s="1373"/>
      <c r="AX911" s="1373"/>
      <c r="AY911" s="1373"/>
      <c r="AZ911" s="1373"/>
      <c r="BA911" s="1373"/>
      <c r="BB911" s="1373"/>
      <c r="BC911" s="1373"/>
      <c r="BD911" s="1373"/>
      <c r="BE911" s="1373"/>
      <c r="BF911" s="1373"/>
      <c r="BG911" s="1373"/>
      <c r="BH911" s="1373"/>
      <c r="BI911" s="1373"/>
      <c r="BJ911" s="1373"/>
      <c r="BK911" s="1373"/>
      <c r="BL911" s="1373"/>
      <c r="BM911" s="1373"/>
      <c r="BN911" s="1373"/>
      <c r="BO911" s="1373"/>
      <c r="BP911" s="1373"/>
      <c r="BQ911" s="1373"/>
      <c r="BR911" s="1373"/>
      <c r="BS911" s="1373"/>
      <c r="BT911" s="1373"/>
      <c r="BU911" s="1373"/>
      <c r="BV911" s="1373"/>
      <c r="BW911" s="1373"/>
      <c r="BX911" s="1373"/>
      <c r="BY911" s="1373"/>
      <c r="BZ911" s="1373"/>
      <c r="CA911" s="1373"/>
      <c r="CB911" s="1373"/>
      <c r="CC911" s="1373"/>
      <c r="CD911" s="1374"/>
      <c r="CE911" s="1373"/>
      <c r="CF911" s="1373"/>
      <c r="CG911" s="1373"/>
      <c r="CH911" s="1373"/>
      <c r="CI911" s="1373"/>
      <c r="CJ911" s="1373"/>
      <c r="CK911" s="1373"/>
      <c r="CL911" s="1373"/>
      <c r="CM911" s="1373"/>
      <c r="CN911" s="1373"/>
      <c r="CO911" s="1373"/>
      <c r="CP911" s="1375"/>
      <c r="CQ911" s="1373"/>
      <c r="CR911" s="1373"/>
      <c r="CS911" s="1373"/>
      <c r="CT911" s="1373"/>
      <c r="CU911" s="1373"/>
      <c r="CV911" s="1373"/>
      <c r="CW911" s="1373"/>
      <c r="CX911" s="1373"/>
      <c r="CY911" s="1373"/>
      <c r="CZ911" s="1373"/>
      <c r="DA911" s="1373"/>
      <c r="DB911" s="1376"/>
      <c r="DC911" s="1373"/>
      <c r="DD911" s="1373"/>
      <c r="DE911" s="1373"/>
      <c r="DF911" s="1373"/>
      <c r="DG911" s="1373"/>
      <c r="DH911" s="1373"/>
      <c r="DI911" s="1373"/>
      <c r="DJ911" s="1373"/>
      <c r="DK911" s="1373"/>
      <c r="DL911" s="1373"/>
      <c r="DM911" s="1373"/>
      <c r="DN911" s="1375"/>
      <c r="DO911" s="1373"/>
      <c r="DP911" s="1373"/>
      <c r="DQ911" s="1373"/>
      <c r="DR911" s="1373"/>
      <c r="DS911" s="1373"/>
      <c r="DT911" s="1373"/>
      <c r="DU911" s="1373"/>
      <c r="DV911" s="1373"/>
      <c r="DW911" s="1373"/>
      <c r="DX911" s="1373"/>
      <c r="DY911" s="1373"/>
      <c r="DZ911" s="1375"/>
      <c r="EA911" s="1373"/>
      <c r="EB911" s="1373"/>
      <c r="EC911" s="1373"/>
      <c r="ED911" s="1373"/>
      <c r="EE911" s="1373"/>
      <c r="EF911" s="1373"/>
      <c r="EG911" s="1373"/>
      <c r="EH911" s="1373"/>
      <c r="EI911" s="1373"/>
      <c r="EJ911" s="1373"/>
      <c r="EK911" s="1373"/>
      <c r="EL911" s="1375"/>
      <c r="EM911" s="1373"/>
      <c r="EN911" s="1373"/>
      <c r="EO911" s="1373"/>
      <c r="EP911" s="1373"/>
      <c r="EQ911" s="1373"/>
      <c r="ER911" s="1373"/>
      <c r="ES911" s="1373"/>
      <c r="ET911" s="1373"/>
      <c r="EU911" s="1373"/>
      <c r="EV911" s="1373"/>
      <c r="EW911" s="1373"/>
      <c r="EX911" s="1375"/>
      <c r="EY911" s="1373"/>
      <c r="EZ911" s="1373"/>
      <c r="FA911" s="1373"/>
      <c r="FB911" s="1373"/>
      <c r="FC911" s="1373"/>
      <c r="FD911" s="1373"/>
      <c r="FE911" s="1373"/>
      <c r="FF911" s="1373"/>
      <c r="FG911" s="1373"/>
      <c r="FH911" s="1373"/>
      <c r="FI911" s="1373"/>
      <c r="FJ911" s="1375"/>
      <c r="FK911" s="1373"/>
      <c r="FL911" s="1373"/>
      <c r="FM911" s="1373"/>
      <c r="FN911" s="1373"/>
      <c r="FO911" s="1373"/>
      <c r="FP911" s="1373"/>
      <c r="FQ911" s="1373"/>
      <c r="FR911" s="1373"/>
      <c r="FS911" s="1373"/>
      <c r="FT911" s="1373"/>
      <c r="FU911" s="1373"/>
      <c r="FV911" s="1373"/>
      <c r="FW911" s="1373"/>
      <c r="FX911" s="1373"/>
      <c r="FY911" s="1373"/>
      <c r="FZ911" s="1373"/>
      <c r="GA911" s="1373"/>
      <c r="GB911" s="1373"/>
      <c r="GC911" s="1373"/>
      <c r="GD911" s="1373"/>
      <c r="GE911" s="1373"/>
      <c r="GF911" s="1373"/>
      <c r="GG911" s="1373"/>
      <c r="GH911" s="1373"/>
      <c r="GI911" s="1654"/>
      <c r="GJ911" s="1655"/>
      <c r="GK911" s="1377"/>
      <c r="GL911" s="1377"/>
      <c r="GM911" s="1377"/>
      <c r="GN911" s="1377"/>
      <c r="GO911" s="1377"/>
      <c r="GP911" s="1377"/>
      <c r="GQ911" s="1377"/>
      <c r="GR911" s="1377"/>
      <c r="GS911" s="1377"/>
      <c r="GT911" s="1377"/>
      <c r="GU911" s="1377"/>
      <c r="GV911" s="1377">
        <v>3.3149512113488204</v>
      </c>
      <c r="GW911" s="1377"/>
      <c r="GX911" s="1377"/>
      <c r="GY911" s="1377"/>
      <c r="GZ911" s="1377"/>
      <c r="HA911" s="1377"/>
      <c r="HB911" s="1377"/>
      <c r="HC911" s="1377"/>
      <c r="HD911" s="1377"/>
      <c r="HE911" s="1377"/>
      <c r="HF911" s="1377"/>
      <c r="HG911" s="1377"/>
      <c r="HH911" s="1377"/>
      <c r="HI911" s="1377"/>
      <c r="HJ911" s="1377"/>
      <c r="HK911" s="1377"/>
      <c r="HL911" s="1377"/>
      <c r="HM911" s="1377"/>
      <c r="HN911" s="1377"/>
      <c r="HO911" s="1377"/>
      <c r="HP911" s="1377"/>
      <c r="HQ911" s="1377"/>
      <c r="HR911" s="1377"/>
      <c r="HS911" s="1377"/>
      <c r="HT911" s="1377"/>
      <c r="HU911" s="1377"/>
      <c r="HV911" s="1377"/>
      <c r="HW911" s="1377"/>
      <c r="HX911" s="1377"/>
      <c r="HY911" s="1377"/>
      <c r="HZ911" s="1378"/>
      <c r="IA911" s="2391" t="s">
        <v>3309</v>
      </c>
      <c r="IB911" s="284"/>
      <c r="IC911" s="279"/>
      <c r="ID911" s="323"/>
      <c r="IE911" s="279"/>
      <c r="IF911" s="279"/>
      <c r="IG911" s="323"/>
      <c r="IH911" s="284"/>
      <c r="II911" s="279"/>
      <c r="IJ911" s="323"/>
      <c r="IK911" s="327"/>
      <c r="IL911" s="279"/>
      <c r="IM911" s="323"/>
      <c r="IN911" s="279"/>
      <c r="IO911" s="279"/>
      <c r="IP911" s="323"/>
      <c r="IQ911" s="327"/>
      <c r="IR911" s="327"/>
      <c r="IS911" s="323"/>
      <c r="IT911" s="327"/>
      <c r="IU911" s="327"/>
      <c r="IV911" s="323"/>
      <c r="IW911" s="327"/>
      <c r="IX911" s="327">
        <f t="shared" si="1822"/>
        <v>0</v>
      </c>
      <c r="IY911" s="323">
        <f t="shared" si="1621"/>
        <v>0</v>
      </c>
      <c r="IZ911" s="327">
        <f t="shared" si="1793"/>
        <v>0</v>
      </c>
      <c r="JA911" s="327">
        <f t="shared" si="1794"/>
        <v>0</v>
      </c>
      <c r="JB911" s="323">
        <f t="shared" si="1823"/>
        <v>0</v>
      </c>
      <c r="JC911" s="327">
        <f t="shared" si="1795"/>
        <v>0</v>
      </c>
      <c r="JD911" s="327">
        <f t="shared" si="1824"/>
        <v>0</v>
      </c>
      <c r="JE911" s="323">
        <f t="shared" si="1834"/>
        <v>0</v>
      </c>
      <c r="JF911" s="327">
        <f>SUM(GU911:GZ911)</f>
        <v>3.3149512113488204</v>
      </c>
      <c r="JG911" s="327">
        <f t="shared" si="1864"/>
        <v>0</v>
      </c>
      <c r="JH911" s="323">
        <f t="shared" si="1703"/>
        <v>3.3149512113488204</v>
      </c>
      <c r="JI911" s="327">
        <f t="shared" si="1744"/>
        <v>0</v>
      </c>
      <c r="JJ911" s="327">
        <f t="shared" si="1863"/>
        <v>0</v>
      </c>
      <c r="JK911" s="323">
        <f t="shared" si="1683"/>
        <v>0</v>
      </c>
      <c r="JL911" s="327">
        <f t="shared" si="1704"/>
        <v>0</v>
      </c>
      <c r="JM911" s="279">
        <f>JN911-JL911</f>
        <v>23.475060212895819</v>
      </c>
      <c r="JN911" s="323">
        <f>FISC!AK1232</f>
        <v>23.475060212895819</v>
      </c>
      <c r="JO911" s="327">
        <v>1.4886279367952771</v>
      </c>
      <c r="JP911" s="279">
        <f>JQ911-JO911</f>
        <v>1.5546953647047235</v>
      </c>
      <c r="JQ911" s="323">
        <f>FISC!AL1232</f>
        <v>3.0433233015000005</v>
      </c>
      <c r="JR911" s="327"/>
      <c r="JS911" s="279"/>
      <c r="JT911" s="323">
        <f>FISC!AM1232</f>
        <v>3.1887823215750006</v>
      </c>
      <c r="JU911" s="327"/>
      <c r="JV911" s="279"/>
      <c r="JW911" s="323">
        <f>FISC!AN1232</f>
        <v>0</v>
      </c>
      <c r="JX911" s="327"/>
      <c r="JY911" s="279"/>
      <c r="JZ911" s="323">
        <f>FISC!AO1232</f>
        <v>0</v>
      </c>
      <c r="KA911" s="327"/>
      <c r="KB911" s="279"/>
      <c r="KC911" s="323">
        <f>FISC!AP1232</f>
        <v>0</v>
      </c>
      <c r="KD911" s="327"/>
      <c r="KE911" s="279"/>
      <c r="KF911" s="323">
        <f>FISC!AQ1232</f>
        <v>0</v>
      </c>
      <c r="KG911" s="327"/>
      <c r="KH911" s="279"/>
      <c r="KI911" s="323">
        <f>FISC!AR1232</f>
        <v>0</v>
      </c>
      <c r="KJ911" s="327"/>
      <c r="KK911" s="279"/>
      <c r="KL911" s="323">
        <f>FISC!AS1232</f>
        <v>0</v>
      </c>
      <c r="KM911" s="327"/>
      <c r="KN911" s="279"/>
      <c r="KO911" s="323">
        <f>FISC!AT1232</f>
        <v>0</v>
      </c>
      <c r="KU911" s="1378"/>
      <c r="KV911" s="1379"/>
    </row>
    <row r="912" spans="1:314">
      <c r="A912" s="279"/>
      <c r="B912" s="96" t="s">
        <v>338</v>
      </c>
      <c r="D912" s="331" t="s">
        <v>562</v>
      </c>
      <c r="E912" s="323">
        <f t="shared" ref="E912:AN912" si="1865">SUM(E919:E922)</f>
        <v>0</v>
      </c>
      <c r="F912" s="323">
        <f t="shared" si="1865"/>
        <v>0</v>
      </c>
      <c r="G912" s="323">
        <f t="shared" si="1865"/>
        <v>0</v>
      </c>
      <c r="H912" s="323">
        <f t="shared" si="1865"/>
        <v>0</v>
      </c>
      <c r="I912" s="323">
        <f t="shared" si="1865"/>
        <v>0</v>
      </c>
      <c r="J912" s="323">
        <f t="shared" si="1865"/>
        <v>0</v>
      </c>
      <c r="K912" s="323">
        <f t="shared" si="1865"/>
        <v>0</v>
      </c>
      <c r="L912" s="323">
        <f t="shared" si="1865"/>
        <v>0</v>
      </c>
      <c r="M912" s="323">
        <f t="shared" si="1865"/>
        <v>0</v>
      </c>
      <c r="N912" s="323">
        <f t="shared" si="1865"/>
        <v>0</v>
      </c>
      <c r="O912" s="323">
        <f t="shared" si="1865"/>
        <v>0</v>
      </c>
      <c r="P912" s="323">
        <f t="shared" si="1865"/>
        <v>0</v>
      </c>
      <c r="Q912" s="323">
        <f t="shared" si="1865"/>
        <v>0</v>
      </c>
      <c r="R912" s="323">
        <f t="shared" si="1865"/>
        <v>0</v>
      </c>
      <c r="S912" s="323">
        <f t="shared" si="1865"/>
        <v>0</v>
      </c>
      <c r="T912" s="323">
        <f t="shared" si="1865"/>
        <v>0</v>
      </c>
      <c r="U912" s="323">
        <f t="shared" si="1865"/>
        <v>0</v>
      </c>
      <c r="V912" s="323">
        <f t="shared" si="1865"/>
        <v>0</v>
      </c>
      <c r="W912" s="323">
        <f t="shared" si="1865"/>
        <v>0</v>
      </c>
      <c r="X912" s="323">
        <f t="shared" si="1865"/>
        <v>0</v>
      </c>
      <c r="Y912" s="323">
        <f t="shared" si="1865"/>
        <v>0</v>
      </c>
      <c r="Z912" s="323">
        <f t="shared" si="1865"/>
        <v>0</v>
      </c>
      <c r="AA912" s="323">
        <f t="shared" si="1865"/>
        <v>0</v>
      </c>
      <c r="AB912" s="323">
        <f t="shared" si="1865"/>
        <v>0</v>
      </c>
      <c r="AC912" s="323">
        <f t="shared" si="1865"/>
        <v>0</v>
      </c>
      <c r="AD912" s="323">
        <f t="shared" si="1865"/>
        <v>0</v>
      </c>
      <c r="AE912" s="323">
        <f t="shared" si="1865"/>
        <v>0</v>
      </c>
      <c r="AF912" s="323">
        <f t="shared" si="1865"/>
        <v>0</v>
      </c>
      <c r="AG912" s="323">
        <f t="shared" si="1865"/>
        <v>0</v>
      </c>
      <c r="AH912" s="323">
        <f t="shared" si="1865"/>
        <v>0</v>
      </c>
      <c r="AI912" s="323">
        <f t="shared" si="1865"/>
        <v>0</v>
      </c>
      <c r="AJ912" s="323">
        <f t="shared" si="1865"/>
        <v>0</v>
      </c>
      <c r="AK912" s="323">
        <f t="shared" si="1865"/>
        <v>0</v>
      </c>
      <c r="AL912" s="323">
        <f t="shared" si="1865"/>
        <v>0</v>
      </c>
      <c r="AM912" s="323">
        <f t="shared" si="1865"/>
        <v>0</v>
      </c>
      <c r="AN912" s="323">
        <f t="shared" si="1865"/>
        <v>0</v>
      </c>
      <c r="AO912" s="323">
        <v>0</v>
      </c>
      <c r="AP912" s="323">
        <v>0</v>
      </c>
      <c r="AQ912" s="323">
        <v>0</v>
      </c>
      <c r="AR912" s="323">
        <v>0</v>
      </c>
      <c r="AS912" s="323">
        <v>0</v>
      </c>
      <c r="AT912" s="323">
        <v>0</v>
      </c>
      <c r="AU912" s="323">
        <v>0</v>
      </c>
      <c r="AV912" s="323">
        <v>0</v>
      </c>
      <c r="AW912" s="323">
        <v>0</v>
      </c>
      <c r="AX912" s="323">
        <v>0</v>
      </c>
      <c r="AY912" s="323">
        <v>0</v>
      </c>
      <c r="AZ912" s="323">
        <v>0</v>
      </c>
      <c r="BA912" s="323">
        <v>0</v>
      </c>
      <c r="BB912" s="323">
        <v>0</v>
      </c>
      <c r="BC912" s="323">
        <v>0</v>
      </c>
      <c r="BD912" s="323">
        <v>0</v>
      </c>
      <c r="BE912" s="323">
        <v>0</v>
      </c>
      <c r="BF912" s="323">
        <v>0</v>
      </c>
      <c r="BG912" s="323">
        <v>4.8124256818000006</v>
      </c>
      <c r="BH912" s="323">
        <v>11.60506516907</v>
      </c>
      <c r="BI912" s="323">
        <v>14.97865360904</v>
      </c>
      <c r="BJ912" s="323">
        <v>27.030733145999999</v>
      </c>
      <c r="BK912" s="323">
        <v>15.140683768000001</v>
      </c>
      <c r="BL912" s="323">
        <v>7.4367065990000008</v>
      </c>
      <c r="BM912" s="323">
        <v>18.373572579000001</v>
      </c>
      <c r="BN912" s="323">
        <v>10.851172992</v>
      </c>
      <c r="BO912" s="323">
        <v>9.5369914072199986</v>
      </c>
      <c r="BP912" s="323">
        <v>27.330570633840001</v>
      </c>
      <c r="BQ912" s="323">
        <v>42.304308950940005</v>
      </c>
      <c r="BR912" s="323">
        <v>6.3525195425600005</v>
      </c>
      <c r="BS912" s="323">
        <v>9.2269242130000002</v>
      </c>
      <c r="BT912" s="323">
        <v>15.565815836000001</v>
      </c>
      <c r="BU912" s="323">
        <v>11.015463515</v>
      </c>
      <c r="BV912" s="323">
        <v>38.70378821485</v>
      </c>
      <c r="BW912" s="323">
        <v>20.110647266000001</v>
      </c>
      <c r="BX912" s="323">
        <v>3.8061774380000002</v>
      </c>
      <c r="BY912" s="323">
        <v>19.101827502419997</v>
      </c>
      <c r="BZ912" s="323">
        <v>18.12392500696</v>
      </c>
      <c r="CA912" s="323">
        <v>15.148308796</v>
      </c>
      <c r="CB912" s="323">
        <v>45.977102401389999</v>
      </c>
      <c r="CC912" s="323">
        <v>31.759695228169996</v>
      </c>
      <c r="CD912" s="329">
        <v>22.441475633349999</v>
      </c>
      <c r="CE912" s="323">
        <f>SUM(CE919:CE922)</f>
        <v>10.526452686000001</v>
      </c>
      <c r="CF912" s="323">
        <f t="shared" ref="CF912:EQ912" si="1866">SUM(CF919:CF922)</f>
        <v>15.109569805</v>
      </c>
      <c r="CG912" s="323">
        <f t="shared" si="1866"/>
        <v>15.141310662</v>
      </c>
      <c r="CH912" s="323">
        <f t="shared" si="1866"/>
        <v>24.206214788</v>
      </c>
      <c r="CI912" s="323">
        <f t="shared" si="1866"/>
        <v>17.467736775000002</v>
      </c>
      <c r="CJ912" s="323">
        <f t="shared" si="1866"/>
        <v>11.073881504999999</v>
      </c>
      <c r="CK912" s="323">
        <f t="shared" si="1866"/>
        <v>21.884380947</v>
      </c>
      <c r="CL912" s="323">
        <f t="shared" si="1866"/>
        <v>18.32118797</v>
      </c>
      <c r="CM912" s="323">
        <f t="shared" si="1866"/>
        <v>23.854194408000001</v>
      </c>
      <c r="CN912" s="323">
        <f t="shared" si="1866"/>
        <v>28.932555223999998</v>
      </c>
      <c r="CO912" s="323">
        <f t="shared" si="1866"/>
        <v>51.464723008</v>
      </c>
      <c r="CP912" s="325">
        <f t="shared" si="1866"/>
        <v>35.421020681000002</v>
      </c>
      <c r="CQ912" s="323">
        <f t="shared" si="1866"/>
        <v>11.76803075493056</v>
      </c>
      <c r="CR912" s="323">
        <f t="shared" si="1866"/>
        <v>18.361679120999998</v>
      </c>
      <c r="CS912" s="323">
        <f t="shared" si="1866"/>
        <v>22.843350313999998</v>
      </c>
      <c r="CT912" s="323">
        <f t="shared" si="1866"/>
        <v>16.358613350000002</v>
      </c>
      <c r="CU912" s="323">
        <f t="shared" si="1866"/>
        <v>15.843995942999999</v>
      </c>
      <c r="CV912" s="323">
        <f t="shared" si="1866"/>
        <v>14.463915152</v>
      </c>
      <c r="CW912" s="323">
        <f t="shared" si="1866"/>
        <v>27.784603081</v>
      </c>
      <c r="CX912" s="323">
        <f t="shared" si="1866"/>
        <v>21.432819065</v>
      </c>
      <c r="CY912" s="323">
        <f t="shared" si="1866"/>
        <v>30.363084206</v>
      </c>
      <c r="CZ912" s="323">
        <f t="shared" si="1866"/>
        <v>47.542389496000006</v>
      </c>
      <c r="DA912" s="323">
        <f t="shared" si="1866"/>
        <v>36.940702246376965</v>
      </c>
      <c r="DB912" s="1269">
        <f t="shared" si="1866"/>
        <v>32.153853196</v>
      </c>
      <c r="DC912" s="323">
        <f t="shared" si="1866"/>
        <v>7.699206792</v>
      </c>
      <c r="DD912" s="323">
        <f t="shared" si="1866"/>
        <v>16.413068342999999</v>
      </c>
      <c r="DE912" s="323">
        <f t="shared" si="1866"/>
        <v>35.627985338000009</v>
      </c>
      <c r="DF912" s="323">
        <f t="shared" si="1866"/>
        <v>36.570868179999998</v>
      </c>
      <c r="DG912" s="323">
        <f t="shared" si="1866"/>
        <v>16.263246383000002</v>
      </c>
      <c r="DH912" s="323">
        <f t="shared" si="1866"/>
        <v>11.049905589</v>
      </c>
      <c r="DI912" s="323">
        <f t="shared" si="1866"/>
        <v>46.698605737000001</v>
      </c>
      <c r="DJ912" s="323">
        <f t="shared" si="1866"/>
        <v>25.370697211</v>
      </c>
      <c r="DK912" s="323">
        <f t="shared" si="1866"/>
        <v>23.205804473999997</v>
      </c>
      <c r="DL912" s="323">
        <f t="shared" si="1866"/>
        <v>40.797149785000002</v>
      </c>
      <c r="DM912" s="323">
        <f t="shared" si="1866"/>
        <v>59.219738081000003</v>
      </c>
      <c r="DN912" s="325">
        <f t="shared" si="1866"/>
        <v>26.74629178</v>
      </c>
      <c r="DO912" s="323">
        <f t="shared" si="1866"/>
        <v>13.413084467999999</v>
      </c>
      <c r="DP912" s="323">
        <f t="shared" si="1866"/>
        <v>21.419977733</v>
      </c>
      <c r="DQ912" s="323">
        <f t="shared" si="1866"/>
        <v>17.814269811999999</v>
      </c>
      <c r="DR912" s="323">
        <f t="shared" si="1866"/>
        <v>24.8299138</v>
      </c>
      <c r="DS912" s="323">
        <f t="shared" si="1866"/>
        <v>27.434504454000002</v>
      </c>
      <c r="DT912" s="323">
        <f t="shared" si="1866"/>
        <v>16.106640577</v>
      </c>
      <c r="DU912" s="323">
        <f t="shared" si="1866"/>
        <v>40.220250265000004</v>
      </c>
      <c r="DV912" s="323">
        <f t="shared" si="1866"/>
        <v>20.301798274999999</v>
      </c>
      <c r="DW912" s="323">
        <f t="shared" si="1866"/>
        <v>16.703672267000002</v>
      </c>
      <c r="DX912" s="323">
        <f t="shared" si="1866"/>
        <v>34.381703754</v>
      </c>
      <c r="DY912" s="323">
        <f t="shared" si="1866"/>
        <v>43.791754669999996</v>
      </c>
      <c r="DZ912" s="325">
        <f t="shared" si="1866"/>
        <v>23.698941349999998</v>
      </c>
      <c r="EA912" s="323">
        <f t="shared" si="1866"/>
        <v>7.0390087609999998</v>
      </c>
      <c r="EB912" s="323">
        <f t="shared" si="1866"/>
        <v>29.930735841999997</v>
      </c>
      <c r="EC912" s="323">
        <f t="shared" si="1866"/>
        <v>28.334890032000001</v>
      </c>
      <c r="ED912" s="323">
        <f t="shared" si="1866"/>
        <v>27.536695631999997</v>
      </c>
      <c r="EE912" s="323">
        <f t="shared" si="1866"/>
        <v>22.374099096999998</v>
      </c>
      <c r="EF912" s="323">
        <f t="shared" si="1866"/>
        <v>16.740895622</v>
      </c>
      <c r="EG912" s="323">
        <f t="shared" si="1866"/>
        <v>55.057142225</v>
      </c>
      <c r="EH912" s="323">
        <f t="shared" si="1866"/>
        <v>21.274305705</v>
      </c>
      <c r="EI912" s="323">
        <f t="shared" si="1866"/>
        <v>26.485121561</v>
      </c>
      <c r="EJ912" s="323">
        <f t="shared" si="1866"/>
        <v>29.823325992000001</v>
      </c>
      <c r="EK912" s="323">
        <f t="shared" si="1866"/>
        <v>58.054600934999996</v>
      </c>
      <c r="EL912" s="325">
        <f t="shared" si="1866"/>
        <v>19.057433251999999</v>
      </c>
      <c r="EM912" s="323">
        <f t="shared" si="1866"/>
        <v>25.460867822000001</v>
      </c>
      <c r="EN912" s="323">
        <f t="shared" si="1866"/>
        <v>25.384496069000001</v>
      </c>
      <c r="EO912" s="323">
        <f t="shared" si="1866"/>
        <v>27.454722879999998</v>
      </c>
      <c r="EP912" s="323">
        <f t="shared" si="1866"/>
        <v>37.240783912000005</v>
      </c>
      <c r="EQ912" s="323">
        <f t="shared" si="1866"/>
        <v>26.761320949000002</v>
      </c>
      <c r="ER912" s="323">
        <f t="shared" ref="ER912:FP912" si="1867">SUM(ER919:ER922)</f>
        <v>37.710009473999996</v>
      </c>
      <c r="ES912" s="323">
        <f t="shared" si="1867"/>
        <v>42.990286253000001</v>
      </c>
      <c r="ET912" s="323">
        <f t="shared" si="1867"/>
        <v>45.763296858000004</v>
      </c>
      <c r="EU912" s="323">
        <f t="shared" si="1867"/>
        <v>35.748736557000001</v>
      </c>
      <c r="EV912" s="323">
        <f t="shared" si="1867"/>
        <v>54.869003861000003</v>
      </c>
      <c r="EW912" s="323">
        <f t="shared" si="1867"/>
        <v>78.276147252000001</v>
      </c>
      <c r="EX912" s="325">
        <f t="shared" si="1867"/>
        <v>29.014297797000001</v>
      </c>
      <c r="EY912" s="323">
        <f t="shared" si="1867"/>
        <v>37.467885670999998</v>
      </c>
      <c r="EZ912" s="323">
        <f t="shared" si="1867"/>
        <v>39.451502786000006</v>
      </c>
      <c r="FA912" s="323">
        <f t="shared" si="1867"/>
        <v>48.433684837999998</v>
      </c>
      <c r="FB912" s="323">
        <f t="shared" si="1867"/>
        <v>42.281539246999998</v>
      </c>
      <c r="FC912" s="323">
        <f t="shared" si="1867"/>
        <v>41.602428701999997</v>
      </c>
      <c r="FD912" s="323">
        <f t="shared" si="1867"/>
        <v>31.945720539</v>
      </c>
      <c r="FE912" s="323">
        <f t="shared" si="1867"/>
        <v>35.485007250999999</v>
      </c>
      <c r="FF912" s="323">
        <f t="shared" si="1867"/>
        <v>40.073490468000003</v>
      </c>
      <c r="FG912" s="323">
        <f t="shared" si="1867"/>
        <v>29.438954741</v>
      </c>
      <c r="FH912" s="323">
        <f t="shared" si="1867"/>
        <v>39.993022592000003</v>
      </c>
      <c r="FI912" s="323">
        <f t="shared" si="1867"/>
        <v>64.253409435999998</v>
      </c>
      <c r="FJ912" s="325">
        <f t="shared" si="1867"/>
        <v>34.872384849999996</v>
      </c>
      <c r="FK912" s="323">
        <f t="shared" si="1867"/>
        <v>36.244246215000004</v>
      </c>
      <c r="FL912" s="323">
        <f t="shared" si="1867"/>
        <v>30.388938072999998</v>
      </c>
      <c r="FM912" s="323">
        <f t="shared" si="1867"/>
        <v>32.798715348999998</v>
      </c>
      <c r="FN912" s="323">
        <f t="shared" si="1867"/>
        <v>42.276793343999998</v>
      </c>
      <c r="FO912" s="323">
        <f t="shared" si="1867"/>
        <v>38.236603162999998</v>
      </c>
      <c r="FP912" s="323">
        <f t="shared" si="1867"/>
        <v>85.751569892999996</v>
      </c>
      <c r="FQ912" s="323">
        <f t="shared" ref="FQ912:GH912" si="1868">SUM(FQ919:FQ922)</f>
        <v>80.119229920999999</v>
      </c>
      <c r="FR912" s="323">
        <f t="shared" si="1868"/>
        <v>48.986533313999999</v>
      </c>
      <c r="FS912" s="323">
        <f t="shared" si="1868"/>
        <v>38.835669125500004</v>
      </c>
      <c r="FT912" s="323">
        <f t="shared" si="1868"/>
        <v>47.047556499999999</v>
      </c>
      <c r="FU912" s="323">
        <f t="shared" si="1868"/>
        <v>74.043017501499989</v>
      </c>
      <c r="FV912" s="323">
        <f t="shared" si="1868"/>
        <v>14.809122674999999</v>
      </c>
      <c r="FW912" s="323">
        <f t="shared" si="1868"/>
        <v>21.499991579</v>
      </c>
      <c r="FX912" s="323">
        <f t="shared" si="1868"/>
        <v>26.040309391000001</v>
      </c>
      <c r="FY912" s="323">
        <f t="shared" si="1868"/>
        <v>60.757177644999999</v>
      </c>
      <c r="FZ912" s="323">
        <f t="shared" si="1868"/>
        <v>85.854329884999999</v>
      </c>
      <c r="GA912" s="323">
        <f t="shared" si="1868"/>
        <v>45.169855757999997</v>
      </c>
      <c r="GB912" s="323">
        <f t="shared" si="1868"/>
        <v>118.78286667399999</v>
      </c>
      <c r="GC912" s="323">
        <f t="shared" si="1868"/>
        <v>105.848004573</v>
      </c>
      <c r="GD912" s="323">
        <f t="shared" si="1868"/>
        <v>58.604432637000002</v>
      </c>
      <c r="GE912" s="323">
        <f t="shared" si="1868"/>
        <v>92.421183310000004</v>
      </c>
      <c r="GF912" s="323">
        <f t="shared" si="1868"/>
        <v>75.868959872000005</v>
      </c>
      <c r="GG912" s="323">
        <f t="shared" si="1868"/>
        <v>64.692209547999994</v>
      </c>
      <c r="GH912" s="323">
        <f t="shared" si="1868"/>
        <v>47.373694473</v>
      </c>
      <c r="GI912" s="1659">
        <f t="shared" ref="GI912:HQ912" si="1869">GI470</f>
        <v>37.559882838189708</v>
      </c>
      <c r="GJ912" s="1659">
        <f t="shared" si="1869"/>
        <v>99.400044857186941</v>
      </c>
      <c r="GK912" s="1659">
        <f t="shared" si="1869"/>
        <v>85.940072304623357</v>
      </c>
      <c r="GL912" s="1659">
        <f t="shared" si="1869"/>
        <v>41.014640372293314</v>
      </c>
      <c r="GM912" s="1659">
        <f t="shared" si="1869"/>
        <v>44.784218966293324</v>
      </c>
      <c r="GN912" s="1659">
        <f t="shared" si="1869"/>
        <v>11.333778128293314</v>
      </c>
      <c r="GO912" s="1654">
        <f t="shared" si="1869"/>
        <v>98.7583319798009</v>
      </c>
      <c r="GP912" s="1654">
        <f t="shared" si="1869"/>
        <v>24.197892101491309</v>
      </c>
      <c r="GQ912" s="1654">
        <f t="shared" si="1869"/>
        <v>45.123040253739575</v>
      </c>
      <c r="GR912" s="1654">
        <f t="shared" si="1869"/>
        <v>147.32418630337381</v>
      </c>
      <c r="GS912" s="1654">
        <f t="shared" si="1869"/>
        <v>77.892570207755526</v>
      </c>
      <c r="GT912" s="1654">
        <f t="shared" si="1869"/>
        <v>33.624900862422102</v>
      </c>
      <c r="GU912" s="1654">
        <f t="shared" si="1869"/>
        <v>36.576551907000002</v>
      </c>
      <c r="GV912" s="1654">
        <f t="shared" si="1869"/>
        <v>35.305396328</v>
      </c>
      <c r="GW912" s="1654">
        <f t="shared" si="1869"/>
        <v>47.563737848999999</v>
      </c>
      <c r="GX912" s="1654">
        <f t="shared" si="1869"/>
        <v>48.569047284</v>
      </c>
      <c r="GY912" s="1654">
        <f t="shared" si="1869"/>
        <v>35.389751359999998</v>
      </c>
      <c r="GZ912" s="1654">
        <f t="shared" si="1869"/>
        <v>22.782992631999999</v>
      </c>
      <c r="HA912" s="1654">
        <f t="shared" si="1869"/>
        <v>104.73686457700001</v>
      </c>
      <c r="HB912" s="1654">
        <f t="shared" si="1869"/>
        <v>104.506769373</v>
      </c>
      <c r="HC912" s="1654">
        <f t="shared" si="1869"/>
        <v>55.870180664999999</v>
      </c>
      <c r="HD912" s="1654">
        <f t="shared" si="1869"/>
        <v>55.033536943000001</v>
      </c>
      <c r="HE912" s="1654">
        <f t="shared" si="1869"/>
        <v>55.544366477000011</v>
      </c>
      <c r="HF912" s="1654">
        <f t="shared" si="1869"/>
        <v>55.319894487999989</v>
      </c>
      <c r="HG912" s="1654">
        <f t="shared" si="1869"/>
        <v>43.600136147999997</v>
      </c>
      <c r="HH912" s="1654">
        <f t="shared" si="1869"/>
        <v>66.699274482999996</v>
      </c>
      <c r="HI912" s="1654">
        <f t="shared" si="1869"/>
        <v>42.572112511</v>
      </c>
      <c r="HJ912" s="1654">
        <f t="shared" si="1869"/>
        <v>116.211748875</v>
      </c>
      <c r="HK912" s="1654">
        <f t="shared" si="1869"/>
        <v>33.700976709999999</v>
      </c>
      <c r="HL912" s="1654">
        <f t="shared" si="1869"/>
        <v>34.210212214000002</v>
      </c>
      <c r="HM912" s="1654">
        <f t="shared" si="1869"/>
        <v>52.413611570999997</v>
      </c>
      <c r="HN912" s="1654">
        <f t="shared" si="1869"/>
        <v>77.831070867999998</v>
      </c>
      <c r="HO912" s="1654">
        <f t="shared" si="1869"/>
        <v>50.647756301000001</v>
      </c>
      <c r="HP912" s="1654">
        <f t="shared" si="1869"/>
        <v>24.762591125000004</v>
      </c>
      <c r="HQ912" s="1654">
        <f t="shared" si="1869"/>
        <v>34.579855997999999</v>
      </c>
      <c r="HR912" s="1654">
        <f>HR470</f>
        <v>46.816776825999952</v>
      </c>
      <c r="HS912" s="1654">
        <f t="shared" ref="HS912:HX912" si="1870">HS470</f>
        <v>26.98246971</v>
      </c>
      <c r="HT912" s="1654">
        <f t="shared" si="1870"/>
        <v>88.896700311999993</v>
      </c>
      <c r="HU912" s="1654">
        <f t="shared" si="1870"/>
        <v>31.854105635</v>
      </c>
      <c r="HV912" s="1654">
        <f t="shared" si="1870"/>
        <v>55.50252261</v>
      </c>
      <c r="HW912" s="1654">
        <f t="shared" si="1870"/>
        <v>46.803186015000009</v>
      </c>
      <c r="HX912" s="1654">
        <f t="shared" si="1870"/>
        <v>52.072675497999995</v>
      </c>
      <c r="HY912" s="1654"/>
      <c r="HZ912" s="326"/>
      <c r="IA912" s="331" t="s">
        <v>562</v>
      </c>
      <c r="IB912" s="284">
        <f>SUM(CE912:CJ912)</f>
        <v>93.525166221000006</v>
      </c>
      <c r="IC912" s="279">
        <f>SUM(CK912:CP912)</f>
        <v>179.87806223799998</v>
      </c>
      <c r="ID912" s="323">
        <f>IB912+IC912</f>
        <v>273.40322845899999</v>
      </c>
      <c r="IE912" s="279">
        <f>SUM(CQ912:CV912)</f>
        <v>99.639584634930557</v>
      </c>
      <c r="IF912" s="279">
        <f>SUM(CW912:DB912)</f>
        <v>196.21745129037697</v>
      </c>
      <c r="IG912" s="323">
        <f>IE912+IF912</f>
        <v>295.85703592530751</v>
      </c>
      <c r="IH912" s="284">
        <f>SUM(DC912:DH912)</f>
        <v>123.624280625</v>
      </c>
      <c r="II912" s="279">
        <f>SUM(DI912:DN912)</f>
        <v>222.03828706800002</v>
      </c>
      <c r="IJ912" s="323">
        <f>IH912+II912</f>
        <v>345.66256769300003</v>
      </c>
      <c r="IK912" s="327">
        <f>SUM(DO912:DT912)</f>
        <v>121.01839084400001</v>
      </c>
      <c r="IL912" s="279">
        <f>SUM(DU912:DZ912)</f>
        <v>179.09812058099999</v>
      </c>
      <c r="IM912" s="323">
        <f>IK912+IL912</f>
        <v>300.116511425</v>
      </c>
      <c r="IN912" s="279">
        <f>SUM(EA912:EF912)</f>
        <v>131.956324986</v>
      </c>
      <c r="IO912" s="279">
        <f>SUM(EG912:EL912)</f>
        <v>209.75192967000001</v>
      </c>
      <c r="IP912" s="323">
        <f>IN912+IO912</f>
        <v>341.70825465600001</v>
      </c>
      <c r="IQ912" s="327">
        <f>SUM(EM912:ER912)</f>
        <v>180.01220110600002</v>
      </c>
      <c r="IR912" s="327">
        <f>SUM(ES912:EX912)</f>
        <v>286.66176857800002</v>
      </c>
      <c r="IS912" s="323">
        <f>IQ912+IR912</f>
        <v>466.67396968400004</v>
      </c>
      <c r="IT912" s="327">
        <f>SUM(EY912:FD912)</f>
        <v>241.18276178300002</v>
      </c>
      <c r="IU912" s="327">
        <f>SUM(FE912:FJ912)</f>
        <v>244.11626933800002</v>
      </c>
      <c r="IV912" s="323">
        <f>IT912+IU912</f>
        <v>485.29903112100004</v>
      </c>
      <c r="IW912" s="327">
        <f>SUM(FK912:FP912)</f>
        <v>265.69686603700001</v>
      </c>
      <c r="IX912" s="327">
        <f t="shared" si="1822"/>
        <v>303.84112903700003</v>
      </c>
      <c r="IY912" s="323">
        <f t="shared" si="1621"/>
        <v>569.53799507400004</v>
      </c>
      <c r="IZ912" s="327">
        <f t="shared" si="1793"/>
        <v>358.10453093199999</v>
      </c>
      <c r="JA912" s="327">
        <f t="shared" si="1794"/>
        <v>444.80848441300003</v>
      </c>
      <c r="JB912" s="323">
        <f t="shared" si="1823"/>
        <v>802.91301534500008</v>
      </c>
      <c r="JC912" s="327">
        <f t="shared" si="1795"/>
        <v>320.03263746687998</v>
      </c>
      <c r="JD912" s="327">
        <f t="shared" si="1824"/>
        <v>426.92092170858325</v>
      </c>
      <c r="JE912" s="323">
        <f t="shared" si="1834"/>
        <v>746.95355917546317</v>
      </c>
      <c r="JF912" s="327">
        <f>SUM(GU912:GZ912)</f>
        <v>226.18747736</v>
      </c>
      <c r="JG912" s="327">
        <f t="shared" si="1864"/>
        <v>431.011612523</v>
      </c>
      <c r="JH912" s="323">
        <f t="shared" si="1703"/>
        <v>657.19908988299994</v>
      </c>
      <c r="JI912" s="327">
        <f t="shared" si="1744"/>
        <v>336.99446094100006</v>
      </c>
      <c r="JJ912" s="327">
        <f>SUM(HM912:HR912)</f>
        <v>287.05166268899995</v>
      </c>
      <c r="JK912" s="323">
        <f t="shared" si="1683"/>
        <v>624.04612363000001</v>
      </c>
      <c r="JL912" s="327">
        <f t="shared" si="1704"/>
        <v>302.11165977999997</v>
      </c>
      <c r="JM912" s="279">
        <f>JN912-JL912</f>
        <v>349.87874729306361</v>
      </c>
      <c r="JN912" s="323">
        <f>FISC!AK1233</f>
        <v>651.99040707306358</v>
      </c>
      <c r="JO912" s="327">
        <f>JQ912*0.6</f>
        <v>546.70276212336466</v>
      </c>
      <c r="JP912" s="279">
        <f>JQ912-JO912</f>
        <v>364.46850808224315</v>
      </c>
      <c r="JQ912" s="323">
        <f>FISC!AL1233</f>
        <v>911.17127020560781</v>
      </c>
      <c r="JR912" s="327">
        <f>JT912*0.6</f>
        <v>725.40659581496607</v>
      </c>
      <c r="JS912" s="279">
        <f>JT912-JR912</f>
        <v>483.60439720997738</v>
      </c>
      <c r="JT912" s="323">
        <f>FISC!AM1233</f>
        <v>1209.0109930249434</v>
      </c>
      <c r="JU912" s="327">
        <f>JW912*0.55</f>
        <v>809.78918578684738</v>
      </c>
      <c r="JV912" s="279">
        <f>JW912-JU912</f>
        <v>662.55478837105693</v>
      </c>
      <c r="JW912" s="323">
        <f>FISC!AN1233</f>
        <v>1472.3439741579043</v>
      </c>
      <c r="JX912" s="327">
        <f>JZ912*0.55</f>
        <v>956.90915284799053</v>
      </c>
      <c r="JY912" s="279">
        <f>JZ912-JX912</f>
        <v>782.92567051199217</v>
      </c>
      <c r="JZ912" s="323">
        <f>FISC!AO1233</f>
        <v>1739.8348233599827</v>
      </c>
      <c r="KA912" s="327">
        <f>KC912*0.55</f>
        <v>1042.3086143919163</v>
      </c>
      <c r="KB912" s="279">
        <f>KC912-KA912</f>
        <v>852.7979572297495</v>
      </c>
      <c r="KC912" s="323">
        <f>FISC!AP1233</f>
        <v>1895.1065716216658</v>
      </c>
      <c r="KD912" s="327">
        <f>KF912*0.55</f>
        <v>1323.4739888290731</v>
      </c>
      <c r="KE912" s="279">
        <f>KF912-KD912</f>
        <v>1082.8423544965142</v>
      </c>
      <c r="KF912" s="323">
        <f>FISC!AQ1233</f>
        <v>2406.3163433255872</v>
      </c>
      <c r="KG912" s="327">
        <f>KI912*0.55</f>
        <v>1639.9814534822622</v>
      </c>
      <c r="KH912" s="279">
        <f>KI912-KG912</f>
        <v>1341.8030073945779</v>
      </c>
      <c r="KI912" s="323">
        <f>FISC!AR1233</f>
        <v>2981.7844608768401</v>
      </c>
      <c r="KJ912" s="327">
        <f>KL912*0.55</f>
        <v>2029.9443584742171</v>
      </c>
      <c r="KK912" s="279">
        <f>KL912-KJ912</f>
        <v>1660.863566024359</v>
      </c>
      <c r="KL912" s="323">
        <f>FISC!AS1233</f>
        <v>3690.8079244985761</v>
      </c>
      <c r="KM912" s="327">
        <f>KO912*0.55</f>
        <v>2719.6485675407766</v>
      </c>
      <c r="KN912" s="279">
        <f>KO912-KM912</f>
        <v>2225.1670098060895</v>
      </c>
      <c r="KO912" s="323">
        <f>FISC!AT1233</f>
        <v>4944.8155773468661</v>
      </c>
      <c r="KU912" s="326"/>
      <c r="KV912" s="327"/>
      <c r="KY912" s="279">
        <f>SUM(KY919:KY922)</f>
        <v>0</v>
      </c>
      <c r="KZ912" s="279">
        <f>SUM(KZ919:KZ922)</f>
        <v>0</v>
      </c>
      <c r="LA912" s="279">
        <f>SUM(LA919:LA922)</f>
        <v>0</v>
      </c>
      <c r="LB912" s="279">
        <f>SUM(LB919:LB922)</f>
        <v>0</v>
      </c>
    </row>
    <row r="913" spans="1:314">
      <c r="A913" s="279"/>
      <c r="D913" s="1415" t="s">
        <v>3574</v>
      </c>
      <c r="E913" s="323"/>
      <c r="F913" s="323"/>
      <c r="G913" s="323"/>
      <c r="H913" s="323"/>
      <c r="I913" s="323"/>
      <c r="J913" s="323"/>
      <c r="K913" s="323"/>
      <c r="L913" s="323"/>
      <c r="M913" s="323"/>
      <c r="N913" s="323"/>
      <c r="O913" s="323"/>
      <c r="P913" s="323"/>
      <c r="Q913" s="323"/>
      <c r="R913" s="323"/>
      <c r="S913" s="323"/>
      <c r="T913" s="323"/>
      <c r="U913" s="323"/>
      <c r="V913" s="323"/>
      <c r="W913" s="323"/>
      <c r="X913" s="323"/>
      <c r="Y913" s="323"/>
      <c r="Z913" s="323"/>
      <c r="AA913" s="323"/>
      <c r="AB913" s="323"/>
      <c r="AC913" s="323"/>
      <c r="AD913" s="323"/>
      <c r="AE913" s="323"/>
      <c r="AF913" s="323"/>
      <c r="AG913" s="323"/>
      <c r="AH913" s="323"/>
      <c r="AI913" s="323"/>
      <c r="AJ913" s="323"/>
      <c r="AK913" s="323"/>
      <c r="AL913" s="323"/>
      <c r="AM913" s="323"/>
      <c r="AN913" s="323"/>
      <c r="AO913" s="323"/>
      <c r="AP913" s="323"/>
      <c r="AQ913" s="323"/>
      <c r="AR913" s="323"/>
      <c r="AS913" s="323"/>
      <c r="AT913" s="323"/>
      <c r="AU913" s="323"/>
      <c r="AV913" s="323"/>
      <c r="AW913" s="323"/>
      <c r="AX913" s="323"/>
      <c r="AY913" s="323"/>
      <c r="AZ913" s="323"/>
      <c r="BA913" s="323"/>
      <c r="BB913" s="323"/>
      <c r="BC913" s="323"/>
      <c r="BD913" s="323"/>
      <c r="BE913" s="323"/>
      <c r="BF913" s="323"/>
      <c r="BG913" s="323"/>
      <c r="BH913" s="323"/>
      <c r="BI913" s="323"/>
      <c r="BJ913" s="323"/>
      <c r="BK913" s="323"/>
      <c r="BL913" s="323"/>
      <c r="BM913" s="323"/>
      <c r="BN913" s="323"/>
      <c r="BO913" s="323"/>
      <c r="BP913" s="323"/>
      <c r="BQ913" s="323"/>
      <c r="BR913" s="323"/>
      <c r="BS913" s="323"/>
      <c r="BT913" s="323"/>
      <c r="BU913" s="323"/>
      <c r="BV913" s="323"/>
      <c r="BW913" s="323"/>
      <c r="BX913" s="323"/>
      <c r="BY913" s="323"/>
      <c r="BZ913" s="323"/>
      <c r="CA913" s="323"/>
      <c r="CB913" s="323"/>
      <c r="CC913" s="323"/>
      <c r="CD913" s="329"/>
      <c r="CE913" s="323"/>
      <c r="CF913" s="323"/>
      <c r="CG913" s="323"/>
      <c r="CH913" s="323"/>
      <c r="CI913" s="323"/>
      <c r="CJ913" s="323"/>
      <c r="CK913" s="323"/>
      <c r="CL913" s="323"/>
      <c r="CM913" s="323"/>
      <c r="CN913" s="323"/>
      <c r="CO913" s="323"/>
      <c r="CP913" s="325"/>
      <c r="CQ913" s="323"/>
      <c r="CR913" s="323"/>
      <c r="CS913" s="323"/>
      <c r="CT913" s="323"/>
      <c r="CU913" s="323"/>
      <c r="CV913" s="323"/>
      <c r="CW913" s="323"/>
      <c r="CX913" s="323"/>
      <c r="CY913" s="323"/>
      <c r="CZ913" s="323"/>
      <c r="DA913" s="323"/>
      <c r="DB913" s="1269"/>
      <c r="DC913" s="323"/>
      <c r="DD913" s="323"/>
      <c r="DE913" s="323"/>
      <c r="DF913" s="323"/>
      <c r="DG913" s="323"/>
      <c r="DH913" s="323"/>
      <c r="DI913" s="323"/>
      <c r="DJ913" s="323"/>
      <c r="DK913" s="323"/>
      <c r="DL913" s="323"/>
      <c r="DM913" s="323"/>
      <c r="DN913" s="325"/>
      <c r="DO913" s="323"/>
      <c r="DP913" s="323"/>
      <c r="DQ913" s="323"/>
      <c r="DR913" s="323"/>
      <c r="DS913" s="323"/>
      <c r="DT913" s="323"/>
      <c r="DU913" s="323"/>
      <c r="DV913" s="323"/>
      <c r="DW913" s="323"/>
      <c r="DX913" s="323"/>
      <c r="DY913" s="323"/>
      <c r="DZ913" s="325"/>
      <c r="EA913" s="323"/>
      <c r="EB913" s="323"/>
      <c r="EC913" s="323"/>
      <c r="ED913" s="323"/>
      <c r="EE913" s="323"/>
      <c r="EF913" s="323"/>
      <c r="EG913" s="323"/>
      <c r="EH913" s="323"/>
      <c r="EI913" s="323"/>
      <c r="EJ913" s="323"/>
      <c r="EK913" s="323"/>
      <c r="EL913" s="325"/>
      <c r="EM913" s="323"/>
      <c r="EN913" s="323"/>
      <c r="EO913" s="323"/>
      <c r="EP913" s="323"/>
      <c r="EQ913" s="323"/>
      <c r="ER913" s="323"/>
      <c r="ES913" s="323"/>
      <c r="ET913" s="323"/>
      <c r="EU913" s="323"/>
      <c r="EV913" s="323"/>
      <c r="EW913" s="323"/>
      <c r="EX913" s="325"/>
      <c r="EY913" s="323"/>
      <c r="EZ913" s="323"/>
      <c r="FA913" s="323"/>
      <c r="FB913" s="323"/>
      <c r="FC913" s="323"/>
      <c r="FD913" s="323"/>
      <c r="FE913" s="323"/>
      <c r="FF913" s="323"/>
      <c r="FG913" s="323"/>
      <c r="FH913" s="323"/>
      <c r="FI913" s="323"/>
      <c r="FJ913" s="325"/>
      <c r="FK913" s="323"/>
      <c r="FL913" s="323"/>
      <c r="FM913" s="323"/>
      <c r="FN913" s="323"/>
      <c r="FO913" s="323"/>
      <c r="FP913" s="323"/>
      <c r="FQ913" s="323"/>
      <c r="FR913" s="323"/>
      <c r="FS913" s="323"/>
      <c r="FT913" s="323"/>
      <c r="FU913" s="323"/>
      <c r="FV913" s="323"/>
      <c r="FW913" s="323"/>
      <c r="FX913" s="323"/>
      <c r="FY913" s="323"/>
      <c r="FZ913" s="323"/>
      <c r="GA913" s="323"/>
      <c r="GB913" s="323"/>
      <c r="GC913" s="323"/>
      <c r="GD913" s="323"/>
      <c r="GE913" s="323"/>
      <c r="GF913" s="323"/>
      <c r="GG913" s="323"/>
      <c r="GH913" s="323"/>
      <c r="GI913" s="1659"/>
      <c r="GJ913" s="1659"/>
      <c r="GK913" s="1659"/>
      <c r="GL913" s="1659"/>
      <c r="GM913" s="1659"/>
      <c r="GN913" s="1659"/>
      <c r="GO913" s="1654"/>
      <c r="GP913" s="1654"/>
      <c r="GQ913" s="1654"/>
      <c r="GR913" s="1654"/>
      <c r="GS913" s="1654"/>
      <c r="GT913" s="1654"/>
      <c r="GU913" s="1654"/>
      <c r="GV913" s="1654"/>
      <c r="GW913" s="1654"/>
      <c r="GX913" s="1654"/>
      <c r="GY913" s="1654"/>
      <c r="GZ913" s="1654"/>
      <c r="HA913" s="1654"/>
      <c r="HB913" s="1654"/>
      <c r="HC913" s="1654"/>
      <c r="HD913" s="1654"/>
      <c r="HE913" s="1654"/>
      <c r="HF913" s="1654"/>
      <c r="HG913" s="1654"/>
      <c r="HH913" s="1654"/>
      <c r="HI913" s="1654"/>
      <c r="HJ913" s="1654"/>
      <c r="HK913" s="1654"/>
      <c r="HL913" s="1654"/>
      <c r="HM913" s="1654"/>
      <c r="HN913" s="1654"/>
      <c r="HO913" s="1654"/>
      <c r="HP913" s="1654"/>
      <c r="HQ913" s="1654"/>
      <c r="HR913" s="1654"/>
      <c r="HS913" s="1654"/>
      <c r="HT913" s="1654"/>
      <c r="HU913" s="1654"/>
      <c r="HV913" s="1654"/>
      <c r="HW913" s="1654"/>
      <c r="HX913" s="1654"/>
      <c r="HY913" s="1654"/>
      <c r="HZ913" s="326"/>
      <c r="IA913" s="1415" t="s">
        <v>3572</v>
      </c>
      <c r="IB913" s="284"/>
      <c r="ID913" s="323"/>
      <c r="IG913" s="323"/>
      <c r="IH913" s="284"/>
      <c r="IJ913" s="323"/>
      <c r="IK913" s="327"/>
      <c r="IM913" s="323"/>
      <c r="IP913" s="323"/>
      <c r="IQ913" s="327"/>
      <c r="IR913" s="327"/>
      <c r="IS913" s="323"/>
      <c r="IT913" s="327"/>
      <c r="IU913" s="327"/>
      <c r="IV913" s="323"/>
      <c r="IW913" s="327"/>
      <c r="IX913" s="327"/>
      <c r="IY913" s="323"/>
      <c r="IZ913" s="327"/>
      <c r="JA913" s="327"/>
      <c r="JB913" s="323"/>
      <c r="JC913" s="327"/>
      <c r="JD913" s="327"/>
      <c r="JE913" s="323"/>
      <c r="JF913" s="327"/>
      <c r="JG913" s="327"/>
      <c r="JH913" s="323"/>
      <c r="JI913" s="327">
        <f t="shared" si="1744"/>
        <v>0</v>
      </c>
      <c r="JJ913" s="327">
        <f t="shared" ref="JJ913:JJ976" si="1871">SUM(HM913:HR913)</f>
        <v>0</v>
      </c>
      <c r="JK913" s="323">
        <f t="shared" si="1683"/>
        <v>0</v>
      </c>
      <c r="JL913" s="327">
        <f t="shared" si="1704"/>
        <v>0</v>
      </c>
      <c r="JN913" s="323">
        <f>FISC!AK1234</f>
        <v>0</v>
      </c>
      <c r="JO913" s="327"/>
      <c r="JQ913" s="323">
        <f>FISC!AL1234</f>
        <v>0</v>
      </c>
      <c r="JR913" s="327"/>
      <c r="JT913" s="323">
        <f>FISC!AM1234</f>
        <v>0</v>
      </c>
      <c r="JU913" s="327"/>
      <c r="JW913" s="323">
        <f>FISC!AN1234</f>
        <v>0</v>
      </c>
      <c r="JX913" s="327"/>
      <c r="JZ913" s="323">
        <f>FISC!AO1234</f>
        <v>0</v>
      </c>
      <c r="KA913" s="327"/>
      <c r="KC913" s="323">
        <f>FISC!AP1234</f>
        <v>0</v>
      </c>
      <c r="KD913" s="327"/>
      <c r="KF913" s="323">
        <f>FISC!AQ1234</f>
        <v>0</v>
      </c>
      <c r="KG913" s="327"/>
      <c r="KI913" s="323">
        <f>FISC!AR1234</f>
        <v>0</v>
      </c>
      <c r="KJ913" s="327"/>
      <c r="KL913" s="323">
        <f>FISC!AS1234</f>
        <v>0</v>
      </c>
      <c r="KM913" s="327"/>
      <c r="KO913" s="323">
        <f>FISC!AT1234</f>
        <v>0</v>
      </c>
      <c r="KU913" s="326"/>
      <c r="KV913" s="327"/>
    </row>
    <row r="914" spans="1:314">
      <c r="A914" s="279"/>
      <c r="D914" s="1415" t="s">
        <v>3127</v>
      </c>
      <c r="E914" s="323"/>
      <c r="F914" s="323"/>
      <c r="G914" s="323"/>
      <c r="H914" s="323"/>
      <c r="I914" s="323"/>
      <c r="J914" s="323"/>
      <c r="K914" s="323"/>
      <c r="L914" s="323"/>
      <c r="M914" s="323"/>
      <c r="N914" s="323"/>
      <c r="O914" s="323"/>
      <c r="P914" s="323"/>
      <c r="Q914" s="323"/>
      <c r="R914" s="323"/>
      <c r="S914" s="323"/>
      <c r="T914" s="323"/>
      <c r="U914" s="323"/>
      <c r="V914" s="323"/>
      <c r="W914" s="323"/>
      <c r="X914" s="323"/>
      <c r="Y914" s="323"/>
      <c r="Z914" s="323"/>
      <c r="AA914" s="323"/>
      <c r="AB914" s="323"/>
      <c r="AC914" s="323"/>
      <c r="AD914" s="323"/>
      <c r="AE914" s="323"/>
      <c r="AF914" s="323"/>
      <c r="AG914" s="323"/>
      <c r="AH914" s="323"/>
      <c r="AI914" s="323"/>
      <c r="AJ914" s="323"/>
      <c r="AK914" s="323"/>
      <c r="AL914" s="323"/>
      <c r="AM914" s="323"/>
      <c r="AN914" s="323"/>
      <c r="AO914" s="323"/>
      <c r="AP914" s="323"/>
      <c r="AQ914" s="323"/>
      <c r="AR914" s="323"/>
      <c r="AS914" s="323"/>
      <c r="AT914" s="323"/>
      <c r="AU914" s="323"/>
      <c r="AV914" s="323"/>
      <c r="AW914" s="323"/>
      <c r="AX914" s="323"/>
      <c r="AY914" s="323"/>
      <c r="AZ914" s="323"/>
      <c r="BA914" s="323"/>
      <c r="BB914" s="323"/>
      <c r="BC914" s="323"/>
      <c r="BD914" s="323"/>
      <c r="BE914" s="323"/>
      <c r="BF914" s="323"/>
      <c r="BG914" s="323"/>
      <c r="BH914" s="323"/>
      <c r="BI914" s="323"/>
      <c r="BJ914" s="323"/>
      <c r="BK914" s="323"/>
      <c r="BL914" s="323"/>
      <c r="BM914" s="323"/>
      <c r="BN914" s="323"/>
      <c r="BO914" s="323"/>
      <c r="BP914" s="323"/>
      <c r="BQ914" s="323"/>
      <c r="BR914" s="323"/>
      <c r="BS914" s="323"/>
      <c r="BT914" s="323"/>
      <c r="BU914" s="323"/>
      <c r="BV914" s="323"/>
      <c r="BW914" s="323"/>
      <c r="BX914" s="323"/>
      <c r="BY914" s="323"/>
      <c r="BZ914" s="323"/>
      <c r="CA914" s="323"/>
      <c r="CB914" s="323"/>
      <c r="CC914" s="323"/>
      <c r="CD914" s="329"/>
      <c r="CE914" s="323"/>
      <c r="CF914" s="323"/>
      <c r="CG914" s="323"/>
      <c r="CH914" s="323"/>
      <c r="CI914" s="323"/>
      <c r="CJ914" s="323"/>
      <c r="CK914" s="323"/>
      <c r="CL914" s="323"/>
      <c r="CM914" s="323"/>
      <c r="CN914" s="323"/>
      <c r="CO914" s="323"/>
      <c r="CP914" s="325"/>
      <c r="CQ914" s="323"/>
      <c r="CR914" s="323"/>
      <c r="CS914" s="323"/>
      <c r="CT914" s="323"/>
      <c r="CU914" s="323"/>
      <c r="CV914" s="323"/>
      <c r="CW914" s="323"/>
      <c r="CX914" s="323"/>
      <c r="CY914" s="323"/>
      <c r="CZ914" s="323"/>
      <c r="DA914" s="323"/>
      <c r="DB914" s="1269"/>
      <c r="DC914" s="323"/>
      <c r="DD914" s="323"/>
      <c r="DE914" s="323"/>
      <c r="DF914" s="323"/>
      <c r="DG914" s="323"/>
      <c r="DH914" s="323"/>
      <c r="DI914" s="323"/>
      <c r="DJ914" s="323"/>
      <c r="DK914" s="323"/>
      <c r="DL914" s="323"/>
      <c r="DM914" s="323"/>
      <c r="DN914" s="325"/>
      <c r="DO914" s="323"/>
      <c r="DP914" s="323"/>
      <c r="DQ914" s="323"/>
      <c r="DR914" s="323"/>
      <c r="DS914" s="323"/>
      <c r="DT914" s="323"/>
      <c r="DU914" s="323"/>
      <c r="DV914" s="323"/>
      <c r="DW914" s="323"/>
      <c r="DX914" s="323"/>
      <c r="DY914" s="323"/>
      <c r="DZ914" s="325"/>
      <c r="EA914" s="323"/>
      <c r="EB914" s="323"/>
      <c r="EC914" s="323"/>
      <c r="ED914" s="323"/>
      <c r="EE914" s="323"/>
      <c r="EF914" s="323"/>
      <c r="EG914" s="323"/>
      <c r="EH914" s="323"/>
      <c r="EI914" s="323"/>
      <c r="EJ914" s="323"/>
      <c r="EK914" s="323"/>
      <c r="EL914" s="325"/>
      <c r="EM914" s="323"/>
      <c r="EN914" s="323"/>
      <c r="EO914" s="323"/>
      <c r="EP914" s="323"/>
      <c r="EQ914" s="323"/>
      <c r="ER914" s="323"/>
      <c r="ES914" s="323"/>
      <c r="ET914" s="323"/>
      <c r="EU914" s="323"/>
      <c r="EV914" s="323"/>
      <c r="EW914" s="323"/>
      <c r="EX914" s="325"/>
      <c r="EY914" s="323"/>
      <c r="EZ914" s="323"/>
      <c r="FA914" s="323"/>
      <c r="FB914" s="323"/>
      <c r="FC914" s="323"/>
      <c r="FD914" s="323"/>
      <c r="FE914" s="323"/>
      <c r="FF914" s="323"/>
      <c r="FG914" s="323"/>
      <c r="FH914" s="323"/>
      <c r="FI914" s="323"/>
      <c r="FJ914" s="325"/>
      <c r="FK914" s="323"/>
      <c r="FL914" s="323"/>
      <c r="FM914" s="323"/>
      <c r="FN914" s="323"/>
      <c r="FO914" s="323"/>
      <c r="FP914" s="323"/>
      <c r="FQ914" s="323"/>
      <c r="FR914" s="323"/>
      <c r="FS914" s="323"/>
      <c r="FT914" s="323"/>
      <c r="FU914" s="323"/>
      <c r="FV914" s="323"/>
      <c r="FW914" s="323"/>
      <c r="FX914" s="323"/>
      <c r="FY914" s="323"/>
      <c r="FZ914" s="323"/>
      <c r="GA914" s="323"/>
      <c r="GB914" s="323"/>
      <c r="GC914" s="323"/>
      <c r="GD914" s="323"/>
      <c r="GE914" s="323"/>
      <c r="GF914" s="323"/>
      <c r="GG914" s="323"/>
      <c r="GH914" s="323"/>
      <c r="GI914" s="1654"/>
      <c r="GJ914" s="1654"/>
      <c r="HF914" s="1654"/>
      <c r="HG914" s="1654"/>
      <c r="HH914" s="1654"/>
      <c r="HI914" s="1654"/>
      <c r="HJ914" s="1654"/>
      <c r="HK914" s="1654"/>
      <c r="HL914" s="1654"/>
      <c r="HM914" s="1654"/>
      <c r="HN914" s="1654"/>
      <c r="HO914" s="1654"/>
      <c r="HP914" s="1654"/>
      <c r="HQ914" s="1654"/>
      <c r="HR914" s="1654"/>
      <c r="HS914" s="1654"/>
      <c r="HT914" s="1654"/>
      <c r="HU914" s="1654"/>
      <c r="HV914" s="1654"/>
      <c r="HW914" s="1654"/>
      <c r="HX914" s="1654"/>
      <c r="HY914" s="1654"/>
      <c r="HZ914" s="326"/>
      <c r="IA914" s="1415" t="s">
        <v>3127</v>
      </c>
      <c r="IB914" s="284"/>
      <c r="ID914" s="323"/>
      <c r="IG914" s="323"/>
      <c r="IH914" s="284"/>
      <c r="IJ914" s="323"/>
      <c r="IK914" s="327"/>
      <c r="IM914" s="323"/>
      <c r="IP914" s="323"/>
      <c r="IQ914" s="327"/>
      <c r="IR914" s="327"/>
      <c r="IS914" s="323"/>
      <c r="IT914" s="327"/>
      <c r="IU914" s="327"/>
      <c r="IV914" s="323">
        <f>IT914+IU914</f>
        <v>0</v>
      </c>
      <c r="IW914" s="327"/>
      <c r="IX914" s="327">
        <f t="shared" si="1822"/>
        <v>0</v>
      </c>
      <c r="IY914" s="323">
        <f t="shared" si="1621"/>
        <v>0</v>
      </c>
      <c r="IZ914" s="327">
        <f t="shared" si="1793"/>
        <v>0</v>
      </c>
      <c r="JA914" s="327">
        <f t="shared" si="1794"/>
        <v>0</v>
      </c>
      <c r="JB914" s="323">
        <f t="shared" si="1823"/>
        <v>0</v>
      </c>
      <c r="JC914" s="327">
        <f t="shared" si="1795"/>
        <v>0</v>
      </c>
      <c r="JD914" s="327">
        <f t="shared" si="1824"/>
        <v>0</v>
      </c>
      <c r="JE914" s="323">
        <f t="shared" si="1834"/>
        <v>0</v>
      </c>
      <c r="JF914" s="327">
        <f>SUM(GU914:GZ914)</f>
        <v>0</v>
      </c>
      <c r="JG914" s="327">
        <f t="shared" si="1864"/>
        <v>0</v>
      </c>
      <c r="JH914" s="323">
        <f t="shared" si="1703"/>
        <v>0</v>
      </c>
      <c r="JI914" s="327">
        <f t="shared" si="1744"/>
        <v>0</v>
      </c>
      <c r="JJ914" s="327">
        <f t="shared" si="1871"/>
        <v>0</v>
      </c>
      <c r="JK914" s="323">
        <f t="shared" si="1683"/>
        <v>0</v>
      </c>
      <c r="JL914" s="327">
        <f t="shared" si="1704"/>
        <v>0</v>
      </c>
      <c r="JN914" s="323">
        <f>FISC!AK1235</f>
        <v>0</v>
      </c>
      <c r="JO914" s="327">
        <f>JQ914*0.5</f>
        <v>0</v>
      </c>
      <c r="JQ914" s="323">
        <f>FISC!AL1235</f>
        <v>0</v>
      </c>
      <c r="JR914" s="327">
        <f>JT914*0.5</f>
        <v>0</v>
      </c>
      <c r="JT914" s="323">
        <f>FISC!AM1235</f>
        <v>0</v>
      </c>
      <c r="JU914" s="327">
        <f>JW914*0.5</f>
        <v>0</v>
      </c>
      <c r="JW914" s="323">
        <f>FISC!AN1235</f>
        <v>0</v>
      </c>
      <c r="JX914" s="327">
        <f>JZ914*0.5</f>
        <v>0</v>
      </c>
      <c r="JZ914" s="323">
        <f>FISC!AO1235</f>
        <v>0</v>
      </c>
      <c r="KA914" s="327">
        <f>KC914*0.5</f>
        <v>0</v>
      </c>
      <c r="KC914" s="323">
        <f>FISC!AP1235</f>
        <v>0</v>
      </c>
      <c r="KD914" s="327">
        <f>KF914*0.5</f>
        <v>0</v>
      </c>
      <c r="KF914" s="323">
        <f>FISC!AQ1235</f>
        <v>0</v>
      </c>
      <c r="KG914" s="327">
        <f>KI914*0.5</f>
        <v>0</v>
      </c>
      <c r="KI914" s="323">
        <f>FISC!AR1235</f>
        <v>0</v>
      </c>
      <c r="KJ914" s="327">
        <f>KL914*0.5</f>
        <v>0</v>
      </c>
      <c r="KL914" s="323">
        <f>FISC!AS1235</f>
        <v>0</v>
      </c>
      <c r="KM914" s="327">
        <f>KO914*0.5</f>
        <v>0</v>
      </c>
      <c r="KO914" s="323">
        <f>FISC!AT1235</f>
        <v>0</v>
      </c>
      <c r="KU914" s="326"/>
      <c r="KV914" s="327"/>
    </row>
    <row r="915" spans="1:314">
      <c r="A915" s="279"/>
      <c r="D915" s="1415" t="s">
        <v>3181</v>
      </c>
      <c r="E915" s="323"/>
      <c r="F915" s="323"/>
      <c r="G915" s="323"/>
      <c r="H915" s="323"/>
      <c r="I915" s="323"/>
      <c r="J915" s="323"/>
      <c r="K915" s="323"/>
      <c r="L915" s="323"/>
      <c r="M915" s="323"/>
      <c r="N915" s="323"/>
      <c r="O915" s="323"/>
      <c r="P915" s="323"/>
      <c r="Q915" s="323"/>
      <c r="R915" s="323"/>
      <c r="S915" s="323"/>
      <c r="T915" s="323"/>
      <c r="U915" s="323"/>
      <c r="V915" s="323"/>
      <c r="W915" s="323"/>
      <c r="X915" s="323"/>
      <c r="Y915" s="323"/>
      <c r="Z915" s="323"/>
      <c r="AA915" s="323"/>
      <c r="AB915" s="323"/>
      <c r="AC915" s="323"/>
      <c r="AD915" s="323"/>
      <c r="AE915" s="323"/>
      <c r="AF915" s="323"/>
      <c r="AG915" s="323"/>
      <c r="AH915" s="323"/>
      <c r="AI915" s="323"/>
      <c r="AJ915" s="323"/>
      <c r="AK915" s="323"/>
      <c r="AL915" s="323"/>
      <c r="AM915" s="323"/>
      <c r="AN915" s="323"/>
      <c r="AO915" s="323"/>
      <c r="AP915" s="323"/>
      <c r="AQ915" s="323"/>
      <c r="AR915" s="323"/>
      <c r="AS915" s="323"/>
      <c r="AT915" s="323"/>
      <c r="AU915" s="323"/>
      <c r="AV915" s="323"/>
      <c r="AW915" s="323"/>
      <c r="AX915" s="323"/>
      <c r="AY915" s="323"/>
      <c r="AZ915" s="323"/>
      <c r="BA915" s="323"/>
      <c r="BB915" s="323"/>
      <c r="BC915" s="323"/>
      <c r="BD915" s="323"/>
      <c r="BE915" s="323"/>
      <c r="BF915" s="323"/>
      <c r="BG915" s="323"/>
      <c r="BH915" s="323"/>
      <c r="BI915" s="323"/>
      <c r="BJ915" s="323"/>
      <c r="BK915" s="323"/>
      <c r="BL915" s="323"/>
      <c r="BM915" s="323"/>
      <c r="BN915" s="323"/>
      <c r="BO915" s="323"/>
      <c r="BP915" s="323"/>
      <c r="BQ915" s="323"/>
      <c r="BR915" s="323"/>
      <c r="BS915" s="323"/>
      <c r="BT915" s="323"/>
      <c r="BU915" s="323"/>
      <c r="BV915" s="323"/>
      <c r="BW915" s="323"/>
      <c r="BX915" s="323"/>
      <c r="BY915" s="323"/>
      <c r="BZ915" s="323"/>
      <c r="CA915" s="323"/>
      <c r="CB915" s="323"/>
      <c r="CC915" s="323"/>
      <c r="CD915" s="329"/>
      <c r="CE915" s="323"/>
      <c r="CF915" s="323"/>
      <c r="CG915" s="323"/>
      <c r="CH915" s="323"/>
      <c r="CI915" s="323"/>
      <c r="CJ915" s="323"/>
      <c r="CK915" s="323"/>
      <c r="CL915" s="323"/>
      <c r="CM915" s="323"/>
      <c r="CN915" s="323"/>
      <c r="CO915" s="323"/>
      <c r="CP915" s="325"/>
      <c r="CQ915" s="323"/>
      <c r="CR915" s="323"/>
      <c r="CS915" s="323"/>
      <c r="CT915" s="323"/>
      <c r="CU915" s="323"/>
      <c r="CV915" s="323"/>
      <c r="CW915" s="323"/>
      <c r="CX915" s="323"/>
      <c r="CY915" s="323"/>
      <c r="CZ915" s="323"/>
      <c r="DA915" s="323"/>
      <c r="DB915" s="1269"/>
      <c r="DC915" s="323"/>
      <c r="DD915" s="323"/>
      <c r="DE915" s="323"/>
      <c r="DF915" s="323"/>
      <c r="DG915" s="323"/>
      <c r="DH915" s="323"/>
      <c r="DI915" s="323"/>
      <c r="DJ915" s="323"/>
      <c r="DK915" s="323"/>
      <c r="DL915" s="323"/>
      <c r="DM915" s="323"/>
      <c r="DN915" s="325"/>
      <c r="DO915" s="323"/>
      <c r="DP915" s="323"/>
      <c r="DQ915" s="323"/>
      <c r="DR915" s="323"/>
      <c r="DS915" s="323"/>
      <c r="DT915" s="323"/>
      <c r="DU915" s="323"/>
      <c r="DV915" s="323"/>
      <c r="DW915" s="323"/>
      <c r="DX915" s="323"/>
      <c r="DY915" s="323"/>
      <c r="DZ915" s="325"/>
      <c r="EA915" s="323"/>
      <c r="EB915" s="323"/>
      <c r="EC915" s="323"/>
      <c r="ED915" s="323"/>
      <c r="EE915" s="323"/>
      <c r="EF915" s="323"/>
      <c r="EG915" s="323"/>
      <c r="EH915" s="323"/>
      <c r="EI915" s="323"/>
      <c r="EJ915" s="323"/>
      <c r="EK915" s="323"/>
      <c r="EL915" s="325"/>
      <c r="EM915" s="323"/>
      <c r="EN915" s="323"/>
      <c r="EO915" s="323"/>
      <c r="EP915" s="323"/>
      <c r="EQ915" s="323"/>
      <c r="ER915" s="323"/>
      <c r="ES915" s="323"/>
      <c r="ET915" s="323"/>
      <c r="EU915" s="323"/>
      <c r="EV915" s="323"/>
      <c r="EW915" s="323"/>
      <c r="EX915" s="325"/>
      <c r="EY915" s="323"/>
      <c r="EZ915" s="323"/>
      <c r="FA915" s="323"/>
      <c r="FB915" s="323"/>
      <c r="FC915" s="323"/>
      <c r="FD915" s="323"/>
      <c r="FE915" s="323"/>
      <c r="FF915" s="323"/>
      <c r="FG915" s="323"/>
      <c r="FH915" s="323"/>
      <c r="FI915" s="323"/>
      <c r="FJ915" s="325"/>
      <c r="FK915" s="323"/>
      <c r="FL915" s="323"/>
      <c r="FM915" s="323"/>
      <c r="FN915" s="323"/>
      <c r="FO915" s="323"/>
      <c r="FP915" s="323"/>
      <c r="FQ915" s="323"/>
      <c r="FR915" s="323"/>
      <c r="FS915" s="323"/>
      <c r="FT915" s="323"/>
      <c r="FU915" s="323"/>
      <c r="FV915" s="323"/>
      <c r="FW915" s="323"/>
      <c r="FX915" s="323"/>
      <c r="FY915" s="323"/>
      <c r="FZ915" s="323"/>
      <c r="GA915" s="323"/>
      <c r="GB915" s="323"/>
      <c r="GC915" s="323"/>
      <c r="GD915" s="323"/>
      <c r="GE915" s="323"/>
      <c r="GF915" s="323"/>
      <c r="GG915" s="323"/>
      <c r="GH915" s="323"/>
      <c r="GI915" s="1654"/>
      <c r="GJ915" s="1654"/>
      <c r="GZ915" s="1654"/>
      <c r="HZ915" s="326"/>
      <c r="IA915" s="2395" t="s">
        <v>3155</v>
      </c>
      <c r="IB915" s="284"/>
      <c r="ID915" s="323"/>
      <c r="IG915" s="323"/>
      <c r="IH915" s="284"/>
      <c r="IJ915" s="323"/>
      <c r="IK915" s="327"/>
      <c r="IM915" s="323"/>
      <c r="IP915" s="323"/>
      <c r="IQ915" s="327"/>
      <c r="IR915" s="327"/>
      <c r="IS915" s="323"/>
      <c r="IT915" s="327"/>
      <c r="IU915" s="327"/>
      <c r="IV915" s="323">
        <f>IT915+IU915</f>
        <v>0</v>
      </c>
      <c r="IW915" s="327"/>
      <c r="IX915" s="327">
        <f t="shared" si="1822"/>
        <v>0</v>
      </c>
      <c r="IY915" s="323">
        <f t="shared" si="1621"/>
        <v>0</v>
      </c>
      <c r="IZ915" s="327">
        <f t="shared" si="1793"/>
        <v>0</v>
      </c>
      <c r="JA915" s="327">
        <f t="shared" si="1794"/>
        <v>0</v>
      </c>
      <c r="JB915" s="323">
        <f t="shared" si="1823"/>
        <v>0</v>
      </c>
      <c r="JC915" s="327">
        <f t="shared" si="1795"/>
        <v>0</v>
      </c>
      <c r="JD915" s="327">
        <f t="shared" si="1824"/>
        <v>0</v>
      </c>
      <c r="JE915" s="323">
        <f t="shared" si="1834"/>
        <v>0</v>
      </c>
      <c r="JF915" s="327">
        <f>SUM(GU915:GZ915)</f>
        <v>0</v>
      </c>
      <c r="JG915" s="327">
        <f t="shared" si="1864"/>
        <v>0</v>
      </c>
      <c r="JH915" s="323">
        <f t="shared" si="1703"/>
        <v>0</v>
      </c>
      <c r="JI915" s="327">
        <f t="shared" si="1744"/>
        <v>0</v>
      </c>
      <c r="JJ915" s="327">
        <f t="shared" si="1871"/>
        <v>0</v>
      </c>
      <c r="JK915" s="323">
        <f t="shared" si="1683"/>
        <v>0</v>
      </c>
      <c r="JL915" s="327">
        <f t="shared" si="1704"/>
        <v>0</v>
      </c>
      <c r="JN915" s="323">
        <f>FISC!AK1236</f>
        <v>0</v>
      </c>
      <c r="JO915" s="327">
        <v>5</v>
      </c>
      <c r="JQ915" s="323">
        <f>FISC!AL1236</f>
        <v>0</v>
      </c>
      <c r="JR915" s="327"/>
      <c r="JT915" s="323">
        <f>FISC!AM1236</f>
        <v>0</v>
      </c>
      <c r="JU915" s="327"/>
      <c r="JW915" s="323">
        <f>FISC!AN1236</f>
        <v>0</v>
      </c>
      <c r="JX915" s="327"/>
      <c r="JZ915" s="323">
        <f>FISC!AO1236</f>
        <v>0</v>
      </c>
      <c r="KA915" s="327"/>
      <c r="KC915" s="323">
        <f>FISC!AP1236</f>
        <v>0</v>
      </c>
      <c r="KD915" s="327"/>
      <c r="KF915" s="323">
        <f>FISC!AQ1236</f>
        <v>0</v>
      </c>
      <c r="KG915" s="327"/>
      <c r="KI915" s="323">
        <f>FISC!AR1236</f>
        <v>0</v>
      </c>
      <c r="KJ915" s="327"/>
      <c r="KL915" s="323">
        <f>FISC!AS1236</f>
        <v>0</v>
      </c>
      <c r="KM915" s="327"/>
      <c r="KO915" s="323">
        <f>FISC!AT1236</f>
        <v>0</v>
      </c>
      <c r="KU915" s="326"/>
      <c r="KV915" s="327"/>
    </row>
    <row r="916" spans="1:314" ht="15.3">
      <c r="A916" s="279"/>
      <c r="D916" s="1680" t="str">
        <f>FISC!D1237</f>
        <v>Flood response</v>
      </c>
      <c r="E916" s="323"/>
      <c r="F916" s="323"/>
      <c r="G916" s="323"/>
      <c r="H916" s="323"/>
      <c r="I916" s="323"/>
      <c r="J916" s="323"/>
      <c r="K916" s="323"/>
      <c r="L916" s="323"/>
      <c r="M916" s="323"/>
      <c r="N916" s="323"/>
      <c r="O916" s="323"/>
      <c r="P916" s="323"/>
      <c r="Q916" s="323"/>
      <c r="R916" s="323"/>
      <c r="S916" s="323"/>
      <c r="T916" s="323"/>
      <c r="U916" s="323"/>
      <c r="V916" s="323"/>
      <c r="W916" s="323"/>
      <c r="X916" s="323"/>
      <c r="Y916" s="323"/>
      <c r="Z916" s="323"/>
      <c r="AA916" s="323"/>
      <c r="AB916" s="323"/>
      <c r="AC916" s="323"/>
      <c r="AD916" s="323"/>
      <c r="AE916" s="323"/>
      <c r="AF916" s="323"/>
      <c r="AG916" s="323"/>
      <c r="AH916" s="323"/>
      <c r="AI916" s="323"/>
      <c r="AJ916" s="323"/>
      <c r="AK916" s="323"/>
      <c r="AL916" s="323"/>
      <c r="AM916" s="323"/>
      <c r="AN916" s="323"/>
      <c r="AO916" s="323"/>
      <c r="AP916" s="323"/>
      <c r="AQ916" s="323"/>
      <c r="AR916" s="323"/>
      <c r="AS916" s="323"/>
      <c r="AT916" s="323"/>
      <c r="AU916" s="323"/>
      <c r="AV916" s="323"/>
      <c r="AW916" s="323"/>
      <c r="AX916" s="323"/>
      <c r="AY916" s="323"/>
      <c r="AZ916" s="323"/>
      <c r="BA916" s="323"/>
      <c r="BB916" s="323"/>
      <c r="BC916" s="323"/>
      <c r="BD916" s="323"/>
      <c r="BE916" s="323"/>
      <c r="BF916" s="323"/>
      <c r="BG916" s="323"/>
      <c r="BH916" s="323"/>
      <c r="BI916" s="323"/>
      <c r="BJ916" s="323"/>
      <c r="BK916" s="323"/>
      <c r="BL916" s="323"/>
      <c r="BM916" s="323"/>
      <c r="BN916" s="323"/>
      <c r="BO916" s="323"/>
      <c r="BP916" s="323"/>
      <c r="BQ916" s="323"/>
      <c r="BR916" s="323"/>
      <c r="BS916" s="323"/>
      <c r="BT916" s="323"/>
      <c r="BU916" s="323"/>
      <c r="BV916" s="323"/>
      <c r="BW916" s="323"/>
      <c r="BX916" s="323"/>
      <c r="BY916" s="323"/>
      <c r="BZ916" s="323"/>
      <c r="CA916" s="323"/>
      <c r="CB916" s="323"/>
      <c r="CC916" s="323"/>
      <c r="CD916" s="329"/>
      <c r="CE916" s="323"/>
      <c r="CF916" s="323"/>
      <c r="CG916" s="323"/>
      <c r="CH916" s="323"/>
      <c r="CI916" s="323"/>
      <c r="CJ916" s="323"/>
      <c r="CK916" s="323"/>
      <c r="CL916" s="323"/>
      <c r="CM916" s="323"/>
      <c r="CN916" s="323"/>
      <c r="CO916" s="323"/>
      <c r="CP916" s="325"/>
      <c r="CQ916" s="323"/>
      <c r="CR916" s="323"/>
      <c r="CS916" s="323"/>
      <c r="CT916" s="323"/>
      <c r="CU916" s="323"/>
      <c r="CV916" s="323"/>
      <c r="CW916" s="323"/>
      <c r="CX916" s="323"/>
      <c r="CY916" s="323"/>
      <c r="CZ916" s="323"/>
      <c r="DA916" s="323"/>
      <c r="DB916" s="1269"/>
      <c r="DC916" s="323"/>
      <c r="DD916" s="323"/>
      <c r="DE916" s="323"/>
      <c r="DF916" s="323"/>
      <c r="DG916" s="323"/>
      <c r="DH916" s="323"/>
      <c r="DI916" s="323"/>
      <c r="DJ916" s="323"/>
      <c r="DK916" s="323"/>
      <c r="DL916" s="323"/>
      <c r="DM916" s="323"/>
      <c r="DN916" s="325"/>
      <c r="DO916" s="323"/>
      <c r="DP916" s="323"/>
      <c r="DQ916" s="323"/>
      <c r="DR916" s="323"/>
      <c r="DS916" s="323"/>
      <c r="DT916" s="323"/>
      <c r="DU916" s="323"/>
      <c r="DV916" s="323"/>
      <c r="DW916" s="323"/>
      <c r="DX916" s="323"/>
      <c r="DY916" s="323"/>
      <c r="DZ916" s="325"/>
      <c r="EA916" s="323"/>
      <c r="EB916" s="323"/>
      <c r="EC916" s="323"/>
      <c r="ED916" s="323"/>
      <c r="EE916" s="323"/>
      <c r="EF916" s="323"/>
      <c r="EG916" s="323"/>
      <c r="EH916" s="323"/>
      <c r="EI916" s="323"/>
      <c r="EJ916" s="323"/>
      <c r="EK916" s="323"/>
      <c r="EL916" s="325"/>
      <c r="EM916" s="323"/>
      <c r="EN916" s="323"/>
      <c r="EO916" s="323"/>
      <c r="EP916" s="323"/>
      <c r="EQ916" s="323"/>
      <c r="ER916" s="323"/>
      <c r="ES916" s="323"/>
      <c r="ET916" s="323"/>
      <c r="EU916" s="323"/>
      <c r="EV916" s="323"/>
      <c r="EW916" s="323"/>
      <c r="EX916" s="325"/>
      <c r="EY916" s="323"/>
      <c r="EZ916" s="323"/>
      <c r="FA916" s="323"/>
      <c r="FB916" s="323"/>
      <c r="FC916" s="323"/>
      <c r="FD916" s="323"/>
      <c r="FE916" s="323"/>
      <c r="FF916" s="323"/>
      <c r="FG916" s="323"/>
      <c r="FH916" s="323"/>
      <c r="FI916" s="323"/>
      <c r="FJ916" s="325"/>
      <c r="FK916" s="323"/>
      <c r="FL916" s="323"/>
      <c r="FM916" s="323"/>
      <c r="FN916" s="323"/>
      <c r="FO916" s="323"/>
      <c r="FP916" s="323"/>
      <c r="FQ916" s="323"/>
      <c r="FR916" s="323"/>
      <c r="FS916" s="323"/>
      <c r="FT916" s="323"/>
      <c r="FU916" s="323"/>
      <c r="FV916" s="323"/>
      <c r="FW916" s="323"/>
      <c r="FX916" s="323"/>
      <c r="FY916" s="323"/>
      <c r="FZ916" s="323"/>
      <c r="GA916" s="323"/>
      <c r="GB916" s="323"/>
      <c r="GC916" s="323"/>
      <c r="GD916" s="323"/>
      <c r="GE916" s="323"/>
      <c r="GF916" s="323"/>
      <c r="GG916" s="323"/>
      <c r="GH916" s="323"/>
      <c r="GI916" s="1654"/>
      <c r="GJ916" s="1654"/>
      <c r="GZ916" s="1654"/>
      <c r="HZ916" s="326"/>
      <c r="IA916" s="2397" t="s">
        <v>3309</v>
      </c>
      <c r="IB916" s="284"/>
      <c r="ID916" s="323"/>
      <c r="IG916" s="323"/>
      <c r="IH916" s="284"/>
      <c r="IJ916" s="323"/>
      <c r="IK916" s="327"/>
      <c r="IM916" s="323"/>
      <c r="IP916" s="323"/>
      <c r="IQ916" s="327"/>
      <c r="IR916" s="327"/>
      <c r="IS916" s="323"/>
      <c r="IT916" s="327"/>
      <c r="IU916" s="327"/>
      <c r="IV916" s="323"/>
      <c r="IW916" s="327"/>
      <c r="IX916" s="327"/>
      <c r="IY916" s="323"/>
      <c r="IZ916" s="327">
        <f t="shared" si="1793"/>
        <v>0</v>
      </c>
      <c r="JA916" s="327">
        <f t="shared" si="1794"/>
        <v>0</v>
      </c>
      <c r="JB916" s="323">
        <f t="shared" si="1823"/>
        <v>0</v>
      </c>
      <c r="JC916" s="327">
        <f t="shared" si="1795"/>
        <v>0</v>
      </c>
      <c r="JD916" s="327">
        <f t="shared" si="1824"/>
        <v>0</v>
      </c>
      <c r="JE916" s="323">
        <f t="shared" si="1834"/>
        <v>0</v>
      </c>
      <c r="JF916" s="327">
        <v>13.176769874944549</v>
      </c>
      <c r="JG916" s="327">
        <v>31.787333411437857</v>
      </c>
      <c r="JH916" s="323">
        <f t="shared" si="1703"/>
        <v>44.964103286382404</v>
      </c>
      <c r="JI916" s="327">
        <f t="shared" si="1744"/>
        <v>0</v>
      </c>
      <c r="JJ916" s="327">
        <f t="shared" si="1871"/>
        <v>0</v>
      </c>
      <c r="JK916" s="323">
        <f t="shared" si="1683"/>
        <v>0</v>
      </c>
      <c r="JL916" s="327">
        <f t="shared" si="1704"/>
        <v>0</v>
      </c>
      <c r="JN916" s="323">
        <f>FISC!AK1237</f>
        <v>0</v>
      </c>
      <c r="JO916" s="327"/>
      <c r="JQ916" s="323">
        <f>FISC!AL1237</f>
        <v>0</v>
      </c>
      <c r="JR916" s="327"/>
      <c r="JT916" s="323">
        <f>FISC!AM1237</f>
        <v>0</v>
      </c>
      <c r="JU916" s="327"/>
      <c r="JW916" s="323">
        <f>FISC!AN1237</f>
        <v>0</v>
      </c>
      <c r="JX916" s="327"/>
      <c r="JZ916" s="323">
        <f>FISC!AO1237</f>
        <v>0</v>
      </c>
      <c r="KA916" s="327"/>
      <c r="KC916" s="323">
        <f>FISC!AP1237</f>
        <v>0</v>
      </c>
      <c r="KD916" s="327"/>
      <c r="KF916" s="323">
        <f>FISC!AQ1237</f>
        <v>0</v>
      </c>
      <c r="KG916" s="327"/>
      <c r="KI916" s="323">
        <f>FISC!AR1237</f>
        <v>0</v>
      </c>
      <c r="KJ916" s="327"/>
      <c r="KL916" s="323">
        <f>FISC!AS1237</f>
        <v>0</v>
      </c>
      <c r="KM916" s="327"/>
      <c r="KO916" s="323">
        <f>FISC!AT1237</f>
        <v>0</v>
      </c>
      <c r="KU916" s="326"/>
      <c r="KV916" s="327"/>
    </row>
    <row r="917" spans="1:314" ht="15.3">
      <c r="A917" s="279"/>
      <c r="D917" s="1680" t="str">
        <f>FISC!D1238</f>
        <v>Flood response (GoR)</v>
      </c>
      <c r="E917" s="323"/>
      <c r="F917" s="323"/>
      <c r="G917" s="323"/>
      <c r="H917" s="323"/>
      <c r="I917" s="323"/>
      <c r="J917" s="323"/>
      <c r="K917" s="323"/>
      <c r="L917" s="323"/>
      <c r="M917" s="323"/>
      <c r="N917" s="323"/>
      <c r="O917" s="323"/>
      <c r="P917" s="323"/>
      <c r="Q917" s="323"/>
      <c r="R917" s="323"/>
      <c r="S917" s="323"/>
      <c r="T917" s="323"/>
      <c r="U917" s="323"/>
      <c r="V917" s="323"/>
      <c r="W917" s="323"/>
      <c r="X917" s="323"/>
      <c r="Y917" s="323"/>
      <c r="Z917" s="323"/>
      <c r="AA917" s="323"/>
      <c r="AB917" s="323"/>
      <c r="AC917" s="323"/>
      <c r="AD917" s="323"/>
      <c r="AE917" s="323"/>
      <c r="AF917" s="323"/>
      <c r="AG917" s="323"/>
      <c r="AH917" s="323"/>
      <c r="AI917" s="323"/>
      <c r="AJ917" s="323"/>
      <c r="AK917" s="323"/>
      <c r="AL917" s="323"/>
      <c r="AM917" s="323"/>
      <c r="AN917" s="323"/>
      <c r="AO917" s="323"/>
      <c r="AP917" s="323"/>
      <c r="AQ917" s="323"/>
      <c r="AR917" s="323"/>
      <c r="AS917" s="323"/>
      <c r="AT917" s="323"/>
      <c r="AU917" s="323"/>
      <c r="AV917" s="323"/>
      <c r="AW917" s="323"/>
      <c r="AX917" s="323"/>
      <c r="AY917" s="323"/>
      <c r="AZ917" s="323"/>
      <c r="BA917" s="323"/>
      <c r="BB917" s="323"/>
      <c r="BC917" s="323"/>
      <c r="BD917" s="323"/>
      <c r="BE917" s="323"/>
      <c r="BF917" s="323"/>
      <c r="BG917" s="323"/>
      <c r="BH917" s="323"/>
      <c r="BI917" s="323"/>
      <c r="BJ917" s="323"/>
      <c r="BK917" s="323"/>
      <c r="BL917" s="323"/>
      <c r="BM917" s="323"/>
      <c r="BN917" s="323"/>
      <c r="BO917" s="323"/>
      <c r="BP917" s="323"/>
      <c r="BQ917" s="323"/>
      <c r="BR917" s="323"/>
      <c r="BS917" s="323"/>
      <c r="BT917" s="323"/>
      <c r="BU917" s="323"/>
      <c r="BV917" s="323"/>
      <c r="BW917" s="323"/>
      <c r="BX917" s="323"/>
      <c r="BY917" s="323"/>
      <c r="BZ917" s="323"/>
      <c r="CA917" s="323"/>
      <c r="CB917" s="323"/>
      <c r="CC917" s="323"/>
      <c r="CD917" s="329"/>
      <c r="CE917" s="323"/>
      <c r="CF917" s="323"/>
      <c r="CG917" s="323"/>
      <c r="CH917" s="323"/>
      <c r="CI917" s="323"/>
      <c r="CJ917" s="323"/>
      <c r="CK917" s="323"/>
      <c r="CL917" s="323"/>
      <c r="CM917" s="323"/>
      <c r="CN917" s="323"/>
      <c r="CO917" s="323"/>
      <c r="CP917" s="325"/>
      <c r="CQ917" s="323"/>
      <c r="CR917" s="323"/>
      <c r="CS917" s="323"/>
      <c r="CT917" s="323"/>
      <c r="CU917" s="323"/>
      <c r="CV917" s="323"/>
      <c r="CW917" s="323"/>
      <c r="CX917" s="323"/>
      <c r="CY917" s="323"/>
      <c r="CZ917" s="323"/>
      <c r="DA917" s="323"/>
      <c r="DB917" s="1269"/>
      <c r="DC917" s="323"/>
      <c r="DD917" s="323"/>
      <c r="DE917" s="323"/>
      <c r="DF917" s="323"/>
      <c r="DG917" s="323"/>
      <c r="DH917" s="323"/>
      <c r="DI917" s="323"/>
      <c r="DJ917" s="323"/>
      <c r="DK917" s="323"/>
      <c r="DL917" s="323"/>
      <c r="DM917" s="323"/>
      <c r="DN917" s="325"/>
      <c r="DO917" s="323"/>
      <c r="DP917" s="323"/>
      <c r="DQ917" s="323"/>
      <c r="DR917" s="323"/>
      <c r="DS917" s="323"/>
      <c r="DT917" s="323"/>
      <c r="DU917" s="323"/>
      <c r="DV917" s="323"/>
      <c r="DW917" s="323"/>
      <c r="DX917" s="323"/>
      <c r="DY917" s="323"/>
      <c r="DZ917" s="325"/>
      <c r="EA917" s="323"/>
      <c r="EB917" s="323"/>
      <c r="EC917" s="323"/>
      <c r="ED917" s="323"/>
      <c r="EE917" s="323"/>
      <c r="EF917" s="323"/>
      <c r="EG917" s="323"/>
      <c r="EH917" s="323"/>
      <c r="EI917" s="323"/>
      <c r="EJ917" s="323"/>
      <c r="EK917" s="323"/>
      <c r="EL917" s="325"/>
      <c r="EM917" s="323"/>
      <c r="EN917" s="323"/>
      <c r="EO917" s="323"/>
      <c r="EP917" s="323"/>
      <c r="EQ917" s="323"/>
      <c r="ER917" s="323"/>
      <c r="ES917" s="323"/>
      <c r="ET917" s="323"/>
      <c r="EU917" s="323"/>
      <c r="EV917" s="323"/>
      <c r="EW917" s="323"/>
      <c r="EX917" s="325"/>
      <c r="EY917" s="323"/>
      <c r="EZ917" s="323"/>
      <c r="FA917" s="323"/>
      <c r="FB917" s="323"/>
      <c r="FC917" s="323"/>
      <c r="FD917" s="323"/>
      <c r="FE917" s="323"/>
      <c r="FF917" s="323"/>
      <c r="FG917" s="323"/>
      <c r="FH917" s="323"/>
      <c r="FI917" s="323"/>
      <c r="FJ917" s="325"/>
      <c r="FK917" s="323"/>
      <c r="FL917" s="323"/>
      <c r="FM917" s="323"/>
      <c r="FN917" s="323"/>
      <c r="FO917" s="323"/>
      <c r="FP917" s="323"/>
      <c r="FQ917" s="323"/>
      <c r="FR917" s="323"/>
      <c r="FS917" s="323"/>
      <c r="FT917" s="323"/>
      <c r="FU917" s="323"/>
      <c r="FV917" s="323"/>
      <c r="FW917" s="323"/>
      <c r="FX917" s="323"/>
      <c r="FY917" s="323"/>
      <c r="FZ917" s="323"/>
      <c r="GA917" s="323"/>
      <c r="GB917" s="323"/>
      <c r="GC917" s="323"/>
      <c r="GD917" s="323"/>
      <c r="GE917" s="323"/>
      <c r="GF917" s="323"/>
      <c r="GG917" s="323"/>
      <c r="GH917" s="323"/>
      <c r="GI917" s="1654"/>
      <c r="HZ917" s="326"/>
      <c r="IA917" s="2398" t="s">
        <v>3505</v>
      </c>
      <c r="IB917" s="284"/>
      <c r="ID917" s="323"/>
      <c r="IG917" s="323"/>
      <c r="IH917" s="284"/>
      <c r="IJ917" s="323"/>
      <c r="IK917" s="327"/>
      <c r="IM917" s="323"/>
      <c r="IP917" s="323"/>
      <c r="IQ917" s="327"/>
      <c r="IR917" s="327"/>
      <c r="IS917" s="323"/>
      <c r="IT917" s="327"/>
      <c r="IU917" s="327"/>
      <c r="IV917" s="323"/>
      <c r="IW917" s="327"/>
      <c r="IX917" s="327"/>
      <c r="IY917" s="323"/>
      <c r="IZ917" s="327">
        <f t="shared" si="1793"/>
        <v>0</v>
      </c>
      <c r="JA917" s="327">
        <f t="shared" si="1794"/>
        <v>0</v>
      </c>
      <c r="JB917" s="323">
        <f t="shared" si="1823"/>
        <v>0</v>
      </c>
      <c r="JC917" s="327">
        <f t="shared" si="1795"/>
        <v>0</v>
      </c>
      <c r="JD917" s="327">
        <f t="shared" si="1824"/>
        <v>0</v>
      </c>
      <c r="JE917" s="323">
        <f t="shared" si="1834"/>
        <v>0</v>
      </c>
      <c r="JF917" s="327">
        <v>17.140287192999999</v>
      </c>
      <c r="JG917" s="327">
        <f t="shared" si="1864"/>
        <v>0</v>
      </c>
      <c r="JH917" s="323">
        <f t="shared" si="1703"/>
        <v>17.140287192999999</v>
      </c>
      <c r="JI917" s="327">
        <f t="shared" si="1744"/>
        <v>0</v>
      </c>
      <c r="JJ917" s="327">
        <f t="shared" si="1871"/>
        <v>0</v>
      </c>
      <c r="JK917" s="323">
        <f t="shared" si="1683"/>
        <v>0</v>
      </c>
      <c r="JL917" s="327">
        <f t="shared" si="1704"/>
        <v>0</v>
      </c>
      <c r="JN917" s="323">
        <f>FISC!AK1238</f>
        <v>0</v>
      </c>
      <c r="JO917" s="327"/>
      <c r="JQ917" s="323">
        <f>FISC!AL1238</f>
        <v>0</v>
      </c>
      <c r="JR917" s="327"/>
      <c r="JT917" s="323">
        <f>FISC!AM1238</f>
        <v>0</v>
      </c>
      <c r="JU917" s="327"/>
      <c r="JW917" s="323">
        <f>FISC!AN1238</f>
        <v>0</v>
      </c>
      <c r="JX917" s="327"/>
      <c r="JZ917" s="323">
        <f>FISC!AO1238</f>
        <v>0</v>
      </c>
      <c r="KA917" s="327"/>
      <c r="KC917" s="323">
        <f>FISC!AP1238</f>
        <v>0</v>
      </c>
      <c r="KD917" s="327"/>
      <c r="KF917" s="323">
        <f>FISC!AQ1238</f>
        <v>0</v>
      </c>
      <c r="KG917" s="327"/>
      <c r="KI917" s="323">
        <f>FISC!AR1238</f>
        <v>0</v>
      </c>
      <c r="KJ917" s="327"/>
      <c r="KL917" s="323">
        <f>FISC!AS1238</f>
        <v>0</v>
      </c>
      <c r="KM917" s="327"/>
      <c r="KO917" s="323">
        <f>FISC!AT1238</f>
        <v>0</v>
      </c>
      <c r="KU917" s="326"/>
      <c r="KV917" s="327"/>
    </row>
    <row r="918" spans="1:314" ht="15.3">
      <c r="A918" s="279"/>
      <c r="D918" s="1680" t="str">
        <f>FISC!D1239</f>
        <v xml:space="preserve">UK Contigent </v>
      </c>
      <c r="E918" s="323"/>
      <c r="F918" s="323"/>
      <c r="G918" s="323"/>
      <c r="H918" s="323"/>
      <c r="I918" s="323"/>
      <c r="J918" s="323"/>
      <c r="K918" s="323"/>
      <c r="L918" s="323"/>
      <c r="M918" s="323"/>
      <c r="N918" s="323"/>
      <c r="O918" s="323"/>
      <c r="P918" s="323"/>
      <c r="Q918" s="323"/>
      <c r="R918" s="323"/>
      <c r="S918" s="323"/>
      <c r="T918" s="323"/>
      <c r="U918" s="323"/>
      <c r="V918" s="323"/>
      <c r="W918" s="323"/>
      <c r="X918" s="323"/>
      <c r="Y918" s="323"/>
      <c r="Z918" s="323"/>
      <c r="AA918" s="323"/>
      <c r="AB918" s="323"/>
      <c r="AC918" s="323"/>
      <c r="AD918" s="323"/>
      <c r="AE918" s="323"/>
      <c r="AF918" s="323"/>
      <c r="AG918" s="323"/>
      <c r="AH918" s="323"/>
      <c r="AI918" s="323"/>
      <c r="AJ918" s="323"/>
      <c r="AK918" s="323"/>
      <c r="AL918" s="323"/>
      <c r="AM918" s="323"/>
      <c r="AN918" s="323"/>
      <c r="AO918" s="323"/>
      <c r="AP918" s="323"/>
      <c r="AQ918" s="323"/>
      <c r="AR918" s="323"/>
      <c r="AS918" s="323"/>
      <c r="AT918" s="323"/>
      <c r="AU918" s="323"/>
      <c r="AV918" s="323"/>
      <c r="AW918" s="323"/>
      <c r="AX918" s="323"/>
      <c r="AY918" s="323"/>
      <c r="AZ918" s="323"/>
      <c r="BA918" s="323"/>
      <c r="BB918" s="323"/>
      <c r="BC918" s="323"/>
      <c r="BD918" s="323"/>
      <c r="BE918" s="323"/>
      <c r="BF918" s="323"/>
      <c r="BG918" s="323"/>
      <c r="BH918" s="323"/>
      <c r="BI918" s="323"/>
      <c r="BJ918" s="323"/>
      <c r="BK918" s="323"/>
      <c r="BL918" s="323"/>
      <c r="BM918" s="323"/>
      <c r="BN918" s="323"/>
      <c r="BO918" s="323"/>
      <c r="BP918" s="323"/>
      <c r="BQ918" s="323"/>
      <c r="BR918" s="323"/>
      <c r="BS918" s="323"/>
      <c r="BT918" s="323"/>
      <c r="BU918" s="323"/>
      <c r="BV918" s="323"/>
      <c r="BW918" s="323"/>
      <c r="BX918" s="323"/>
      <c r="BY918" s="323"/>
      <c r="BZ918" s="323"/>
      <c r="CA918" s="323"/>
      <c r="CB918" s="323"/>
      <c r="CC918" s="323"/>
      <c r="CD918" s="329"/>
      <c r="CE918" s="323"/>
      <c r="CF918" s="323"/>
      <c r="CG918" s="323"/>
      <c r="CH918" s="323"/>
      <c r="CI918" s="323"/>
      <c r="CJ918" s="323"/>
      <c r="CK918" s="323"/>
      <c r="CL918" s="323"/>
      <c r="CM918" s="323"/>
      <c r="CN918" s="323"/>
      <c r="CO918" s="323"/>
      <c r="CP918" s="325"/>
      <c r="CQ918" s="323"/>
      <c r="CR918" s="323"/>
      <c r="CS918" s="323"/>
      <c r="CT918" s="323"/>
      <c r="CU918" s="323"/>
      <c r="CV918" s="323"/>
      <c r="CW918" s="323"/>
      <c r="CX918" s="323"/>
      <c r="CY918" s="323"/>
      <c r="CZ918" s="323"/>
      <c r="DA918" s="323"/>
      <c r="DB918" s="1269"/>
      <c r="DC918" s="323"/>
      <c r="DD918" s="323"/>
      <c r="DE918" s="323"/>
      <c r="DF918" s="323"/>
      <c r="DG918" s="323"/>
      <c r="DH918" s="323"/>
      <c r="DI918" s="323"/>
      <c r="DJ918" s="323"/>
      <c r="DK918" s="323"/>
      <c r="DL918" s="323"/>
      <c r="DM918" s="323"/>
      <c r="DN918" s="325"/>
      <c r="DO918" s="323"/>
      <c r="DP918" s="323"/>
      <c r="DQ918" s="323"/>
      <c r="DR918" s="323"/>
      <c r="DS918" s="323"/>
      <c r="DT918" s="323"/>
      <c r="DU918" s="323"/>
      <c r="DV918" s="323"/>
      <c r="DW918" s="323"/>
      <c r="DX918" s="323"/>
      <c r="DY918" s="323"/>
      <c r="DZ918" s="325"/>
      <c r="EA918" s="323"/>
      <c r="EB918" s="323"/>
      <c r="EC918" s="323"/>
      <c r="ED918" s="323"/>
      <c r="EE918" s="323"/>
      <c r="EF918" s="323"/>
      <c r="EG918" s="323"/>
      <c r="EH918" s="323"/>
      <c r="EI918" s="323"/>
      <c r="EJ918" s="323"/>
      <c r="EK918" s="323"/>
      <c r="EL918" s="325"/>
      <c r="EM918" s="323"/>
      <c r="EN918" s="323"/>
      <c r="EO918" s="323"/>
      <c r="EP918" s="323"/>
      <c r="EQ918" s="323"/>
      <c r="ER918" s="323"/>
      <c r="ES918" s="323"/>
      <c r="ET918" s="323"/>
      <c r="EU918" s="323"/>
      <c r="EV918" s="323"/>
      <c r="EW918" s="323"/>
      <c r="EX918" s="325"/>
      <c r="EY918" s="323"/>
      <c r="EZ918" s="323"/>
      <c r="FA918" s="323"/>
      <c r="FB918" s="323"/>
      <c r="FC918" s="323"/>
      <c r="FD918" s="323"/>
      <c r="FE918" s="323"/>
      <c r="FF918" s="323"/>
      <c r="FG918" s="323"/>
      <c r="FH918" s="323"/>
      <c r="FI918" s="323"/>
      <c r="FJ918" s="325"/>
      <c r="FK918" s="323"/>
      <c r="FL918" s="323"/>
      <c r="FM918" s="323"/>
      <c r="FN918" s="323"/>
      <c r="FO918" s="323"/>
      <c r="FP918" s="323"/>
      <c r="FQ918" s="323"/>
      <c r="FR918" s="323"/>
      <c r="FS918" s="323"/>
      <c r="FT918" s="323"/>
      <c r="FU918" s="323"/>
      <c r="FV918" s="323"/>
      <c r="FW918" s="323"/>
      <c r="FX918" s="323"/>
      <c r="FY918" s="323"/>
      <c r="FZ918" s="323"/>
      <c r="GA918" s="323"/>
      <c r="GB918" s="323"/>
      <c r="GC918" s="323"/>
      <c r="GD918" s="323"/>
      <c r="GE918" s="323"/>
      <c r="GF918" s="323"/>
      <c r="GG918" s="323"/>
      <c r="GH918" s="323"/>
      <c r="GI918" s="1654"/>
      <c r="HZ918" s="326"/>
      <c r="IA918" s="2396" t="s">
        <v>3504</v>
      </c>
      <c r="IB918" s="284"/>
      <c r="ID918" s="323"/>
      <c r="IG918" s="323"/>
      <c r="IH918" s="284"/>
      <c r="IJ918" s="323"/>
      <c r="IK918" s="327"/>
      <c r="IM918" s="323"/>
      <c r="IP918" s="323"/>
      <c r="IQ918" s="327"/>
      <c r="IR918" s="327"/>
      <c r="IS918" s="323"/>
      <c r="IT918" s="327"/>
      <c r="IU918" s="327"/>
      <c r="IV918" s="323"/>
      <c r="IW918" s="327"/>
      <c r="IX918" s="327"/>
      <c r="IY918" s="323"/>
      <c r="IZ918" s="327"/>
      <c r="JA918" s="327"/>
      <c r="JB918" s="323"/>
      <c r="JC918" s="327"/>
      <c r="JD918" s="327"/>
      <c r="JE918" s="323"/>
      <c r="JF918" s="327">
        <v>0</v>
      </c>
      <c r="JG918" s="327">
        <f t="shared" si="1864"/>
        <v>0</v>
      </c>
      <c r="JH918" s="323">
        <f t="shared" si="1703"/>
        <v>0</v>
      </c>
      <c r="JI918" s="327">
        <f t="shared" si="1744"/>
        <v>0</v>
      </c>
      <c r="JJ918" s="327">
        <f t="shared" si="1871"/>
        <v>0</v>
      </c>
      <c r="JK918" s="323">
        <f t="shared" si="1683"/>
        <v>0</v>
      </c>
      <c r="JL918" s="327">
        <f t="shared" si="1704"/>
        <v>0</v>
      </c>
      <c r="JN918" s="323">
        <f>FISC!AK1239</f>
        <v>0</v>
      </c>
      <c r="JO918" s="327"/>
      <c r="JQ918" s="323">
        <f>FISC!AL1239</f>
        <v>0</v>
      </c>
      <c r="JR918" s="327"/>
      <c r="JT918" s="323">
        <f>FISC!AM1239</f>
        <v>0</v>
      </c>
      <c r="JU918" s="327"/>
      <c r="JW918" s="323">
        <f>FISC!AN1239</f>
        <v>0</v>
      </c>
      <c r="JX918" s="327"/>
      <c r="JZ918" s="323">
        <f>FISC!AO1239</f>
        <v>0</v>
      </c>
      <c r="KA918" s="327"/>
      <c r="KC918" s="323">
        <f>FISC!AP1239</f>
        <v>0</v>
      </c>
      <c r="KD918" s="327"/>
      <c r="KF918" s="323">
        <f>FISC!AQ1239</f>
        <v>0</v>
      </c>
      <c r="KG918" s="327"/>
      <c r="KI918" s="323">
        <f>FISC!AR1239</f>
        <v>0</v>
      </c>
      <c r="KJ918" s="327"/>
      <c r="KL918" s="323">
        <f>FISC!AS1239</f>
        <v>0</v>
      </c>
      <c r="KM918" s="327"/>
      <c r="KO918" s="323">
        <f>FISC!AT1239</f>
        <v>0</v>
      </c>
      <c r="KU918" s="326"/>
      <c r="KV918" s="327"/>
    </row>
    <row r="919" spans="1:314">
      <c r="A919" s="279"/>
      <c r="B919" s="96" t="s">
        <v>338</v>
      </c>
      <c r="D919" s="332" t="s">
        <v>536</v>
      </c>
      <c r="E919" s="323">
        <f>E459</f>
        <v>0</v>
      </c>
      <c r="F919" s="323"/>
      <c r="G919" s="323"/>
      <c r="H919" s="323"/>
      <c r="I919" s="323"/>
      <c r="J919" s="323"/>
      <c r="K919" s="323"/>
      <c r="L919" s="323"/>
      <c r="M919" s="323"/>
      <c r="N919" s="323"/>
      <c r="O919" s="323"/>
      <c r="P919" s="323"/>
      <c r="Q919" s="323"/>
      <c r="R919" s="323"/>
      <c r="S919" s="323"/>
      <c r="T919" s="323"/>
      <c r="U919" s="323"/>
      <c r="V919" s="323"/>
      <c r="W919" s="323"/>
      <c r="X919" s="323"/>
      <c r="Y919" s="323"/>
      <c r="Z919" s="323"/>
      <c r="AA919" s="323"/>
      <c r="AB919" s="323"/>
      <c r="AC919" s="323"/>
      <c r="AD919" s="323"/>
      <c r="AE919" s="323"/>
      <c r="AF919" s="323"/>
      <c r="AG919" s="323"/>
      <c r="AH919" s="323"/>
      <c r="AI919" s="323"/>
      <c r="AJ919" s="323"/>
      <c r="AK919" s="323"/>
      <c r="AL919" s="323"/>
      <c r="AM919" s="323"/>
      <c r="AN919" s="323"/>
      <c r="AO919" s="323"/>
      <c r="AP919" s="323"/>
      <c r="AQ919" s="323"/>
      <c r="AR919" s="323"/>
      <c r="AS919" s="323"/>
      <c r="AT919" s="323"/>
      <c r="AU919" s="323"/>
      <c r="AV919" s="323"/>
      <c r="AW919" s="323"/>
      <c r="AX919" s="323"/>
      <c r="AY919" s="323"/>
      <c r="AZ919" s="323"/>
      <c r="BA919" s="323"/>
      <c r="BB919" s="323"/>
      <c r="BC919" s="323"/>
      <c r="BD919" s="323"/>
      <c r="BE919" s="323"/>
      <c r="BF919" s="323"/>
      <c r="BG919" s="323">
        <v>4.8124256818000006</v>
      </c>
      <c r="BH919" s="323">
        <v>11.60506516907</v>
      </c>
      <c r="BI919" s="323">
        <v>14.97865360904</v>
      </c>
      <c r="BJ919" s="323">
        <v>27.030733145999999</v>
      </c>
      <c r="BK919" s="323">
        <v>15.140683768000001</v>
      </c>
      <c r="BL919" s="323">
        <v>7.3592373990000004</v>
      </c>
      <c r="BM919" s="323">
        <v>18.373572579000001</v>
      </c>
      <c r="BN919" s="323">
        <v>10.851172992</v>
      </c>
      <c r="BO919" s="323">
        <v>9.5369914072199986</v>
      </c>
      <c r="BP919" s="323">
        <v>27.330570633840001</v>
      </c>
      <c r="BQ919" s="323">
        <v>42.281347382940005</v>
      </c>
      <c r="BR919" s="323">
        <v>6.3525195425600005</v>
      </c>
      <c r="BS919" s="323">
        <v>9.1269242130000006</v>
      </c>
      <c r="BT919" s="323">
        <v>15.551282902000001</v>
      </c>
      <c r="BU919" s="323">
        <v>10.995463515000001</v>
      </c>
      <c r="BV919" s="323">
        <v>38.103788214849999</v>
      </c>
      <c r="BW919" s="323">
        <v>19.883443779</v>
      </c>
      <c r="BX919" s="323">
        <v>3.8061774380000002</v>
      </c>
      <c r="BY919" s="323">
        <v>18.801827502419997</v>
      </c>
      <c r="BZ919" s="323">
        <v>18.09141030696</v>
      </c>
      <c r="CA919" s="323">
        <v>15.135650383</v>
      </c>
      <c r="CB919" s="323">
        <v>44.757974098390001</v>
      </c>
      <c r="CC919" s="323">
        <v>31.716340132169996</v>
      </c>
      <c r="CD919" s="329">
        <v>22.43490539335</v>
      </c>
      <c r="CE919" s="323">
        <f t="shared" ref="CE919:DJ919" si="1872">CE471</f>
        <v>10.526452686000001</v>
      </c>
      <c r="CF919" s="323">
        <f t="shared" si="1872"/>
        <v>14.788687463</v>
      </c>
      <c r="CG919" s="323">
        <f t="shared" si="1872"/>
        <v>15.141310662</v>
      </c>
      <c r="CH919" s="323">
        <f t="shared" si="1872"/>
        <v>23.906214788</v>
      </c>
      <c r="CI919" s="323">
        <f t="shared" si="1872"/>
        <v>17.150936775000002</v>
      </c>
      <c r="CJ919" s="323">
        <f t="shared" si="1872"/>
        <v>11.073881504999999</v>
      </c>
      <c r="CK919" s="323">
        <f t="shared" si="1872"/>
        <v>21.884380947</v>
      </c>
      <c r="CL919" s="323">
        <f t="shared" si="1872"/>
        <v>18.32118797</v>
      </c>
      <c r="CM919" s="323">
        <f t="shared" si="1872"/>
        <v>23.373190814000001</v>
      </c>
      <c r="CN919" s="323">
        <f t="shared" si="1872"/>
        <v>27.952275332999999</v>
      </c>
      <c r="CO919" s="323">
        <f t="shared" si="1872"/>
        <v>51.030099032000003</v>
      </c>
      <c r="CP919" s="325">
        <f t="shared" si="1872"/>
        <v>34.385280105</v>
      </c>
      <c r="CQ919" s="323">
        <f t="shared" si="1872"/>
        <v>11.71803075493056</v>
      </c>
      <c r="CR919" s="323">
        <f t="shared" si="1872"/>
        <v>14.296176774999999</v>
      </c>
      <c r="CS919" s="323">
        <f t="shared" si="1872"/>
        <v>22.625164313999999</v>
      </c>
      <c r="CT919" s="323">
        <f t="shared" si="1872"/>
        <v>16.358613350000002</v>
      </c>
      <c r="CU919" s="323">
        <f t="shared" si="1872"/>
        <v>15.643995943</v>
      </c>
      <c r="CV919" s="323">
        <f t="shared" si="1872"/>
        <v>14.454799152</v>
      </c>
      <c r="CW919" s="323">
        <f t="shared" si="1872"/>
        <v>27.779478081000001</v>
      </c>
      <c r="CX919" s="323">
        <f t="shared" si="1872"/>
        <v>21.432819065</v>
      </c>
      <c r="CY919" s="323">
        <f t="shared" si="1872"/>
        <v>30.063084205999999</v>
      </c>
      <c r="CZ919" s="323">
        <f t="shared" si="1872"/>
        <v>46.928807496000005</v>
      </c>
      <c r="DA919" s="323">
        <f t="shared" si="1872"/>
        <v>36.640702246376968</v>
      </c>
      <c r="DB919" s="1269">
        <f t="shared" si="1872"/>
        <v>32.153853196</v>
      </c>
      <c r="DC919" s="323">
        <f t="shared" si="1872"/>
        <v>7.699206792</v>
      </c>
      <c r="DD919" s="323">
        <f t="shared" si="1872"/>
        <v>15.615804453999999</v>
      </c>
      <c r="DE919" s="323">
        <f t="shared" si="1872"/>
        <v>34.553283314000005</v>
      </c>
      <c r="DF919" s="323">
        <f t="shared" si="1872"/>
        <v>35.766758748999997</v>
      </c>
      <c r="DG919" s="323">
        <f t="shared" si="1872"/>
        <v>14.505710753000001</v>
      </c>
      <c r="DH919" s="323">
        <f t="shared" si="1872"/>
        <v>9.6282044520000003</v>
      </c>
      <c r="DI919" s="323">
        <f t="shared" si="1872"/>
        <v>45.308410111000001</v>
      </c>
      <c r="DJ919" s="323">
        <f t="shared" si="1872"/>
        <v>24.575965203999999</v>
      </c>
      <c r="DK919" s="323">
        <f t="shared" ref="DK919:EP919" si="1873">DK471</f>
        <v>20.724792952999998</v>
      </c>
      <c r="DL919" s="323">
        <f t="shared" si="1873"/>
        <v>40.700034496000001</v>
      </c>
      <c r="DM919" s="323">
        <f t="shared" si="1873"/>
        <v>57.556615731000001</v>
      </c>
      <c r="DN919" s="325">
        <f t="shared" si="1873"/>
        <v>26.028251037</v>
      </c>
      <c r="DO919" s="323">
        <f t="shared" si="1873"/>
        <v>13.413084467999999</v>
      </c>
      <c r="DP919" s="323">
        <f t="shared" si="1873"/>
        <v>20.513162054999999</v>
      </c>
      <c r="DQ919" s="323">
        <f t="shared" si="1873"/>
        <v>17.430781947</v>
      </c>
      <c r="DR919" s="323">
        <f t="shared" si="1873"/>
        <v>24.498937213000001</v>
      </c>
      <c r="DS919" s="323">
        <f t="shared" si="1873"/>
        <v>26.308812109000002</v>
      </c>
      <c r="DT919" s="323">
        <f t="shared" si="1873"/>
        <v>15.421166871</v>
      </c>
      <c r="DU919" s="323">
        <f t="shared" si="1873"/>
        <v>38.146938749</v>
      </c>
      <c r="DV919" s="323">
        <f t="shared" si="1873"/>
        <v>19.405948199000001</v>
      </c>
      <c r="DW919" s="323">
        <f t="shared" si="1873"/>
        <v>16.027426585000001</v>
      </c>
      <c r="DX919" s="323">
        <f t="shared" si="1873"/>
        <v>34.381703754</v>
      </c>
      <c r="DY919" s="323">
        <f t="shared" si="1873"/>
        <v>43.061038738000001</v>
      </c>
      <c r="DZ919" s="325">
        <f t="shared" si="1873"/>
        <v>23.303213546999999</v>
      </c>
      <c r="EA919" s="323">
        <f t="shared" si="1873"/>
        <v>7.0390087609999998</v>
      </c>
      <c r="EB919" s="323">
        <f t="shared" si="1873"/>
        <v>27.880420234999999</v>
      </c>
      <c r="EC919" s="323">
        <f t="shared" si="1873"/>
        <v>27.983209404</v>
      </c>
      <c r="ED919" s="323">
        <f t="shared" si="1873"/>
        <v>26.463758969999997</v>
      </c>
      <c r="EE919" s="323">
        <f t="shared" si="1873"/>
        <v>22.189802706999998</v>
      </c>
      <c r="EF919" s="323">
        <f t="shared" si="1873"/>
        <v>16.484109042</v>
      </c>
      <c r="EG919" s="323">
        <f t="shared" si="1873"/>
        <v>53.879159250000001</v>
      </c>
      <c r="EH919" s="323">
        <f t="shared" si="1873"/>
        <v>20.661667502</v>
      </c>
      <c r="EI919" s="323">
        <f t="shared" si="1873"/>
        <v>25.803920057999999</v>
      </c>
      <c r="EJ919" s="323">
        <f t="shared" si="1873"/>
        <v>29.208660017</v>
      </c>
      <c r="EK919" s="323">
        <f t="shared" si="1873"/>
        <v>56.536960389999997</v>
      </c>
      <c r="EL919" s="325">
        <f t="shared" si="1873"/>
        <v>18.840317065000001</v>
      </c>
      <c r="EM919" s="323">
        <f t="shared" si="1873"/>
        <v>25.460867822000001</v>
      </c>
      <c r="EN919" s="323">
        <f t="shared" si="1873"/>
        <v>23.237070240000001</v>
      </c>
      <c r="EO919" s="323">
        <f t="shared" si="1873"/>
        <v>26.156810261999997</v>
      </c>
      <c r="EP919" s="323">
        <f t="shared" si="1873"/>
        <v>35.459373626000001</v>
      </c>
      <c r="EQ919" s="323">
        <f t="shared" ref="EQ919:FV920" si="1874">EQ471</f>
        <v>25.850891169000001</v>
      </c>
      <c r="ER919" s="323">
        <f t="shared" si="1874"/>
        <v>37.452469549999996</v>
      </c>
      <c r="ES919" s="323">
        <f t="shared" si="1874"/>
        <v>41.463536611000002</v>
      </c>
      <c r="ET919" s="323">
        <f t="shared" si="1874"/>
        <v>44.353644627000001</v>
      </c>
      <c r="EU919" s="323">
        <f t="shared" si="1874"/>
        <v>34.999554809999999</v>
      </c>
      <c r="EV919" s="323">
        <f t="shared" si="1874"/>
        <v>52.172713250000001</v>
      </c>
      <c r="EW919" s="323">
        <f t="shared" si="1874"/>
        <v>74.941448680999997</v>
      </c>
      <c r="EX919" s="325">
        <f t="shared" si="1874"/>
        <v>28.824252475000002</v>
      </c>
      <c r="EY919" s="323">
        <f t="shared" si="1874"/>
        <v>37.467885670999998</v>
      </c>
      <c r="EZ919" s="323">
        <f t="shared" si="1874"/>
        <v>38.294529799000003</v>
      </c>
      <c r="FA919" s="323">
        <f t="shared" si="1874"/>
        <v>47.459462975999998</v>
      </c>
      <c r="FB919" s="323">
        <f t="shared" si="1874"/>
        <v>38.939648501999997</v>
      </c>
      <c r="FC919" s="323">
        <f t="shared" si="1874"/>
        <v>38.777168355999997</v>
      </c>
      <c r="FD919" s="323">
        <f t="shared" si="1874"/>
        <v>31.242091212999998</v>
      </c>
      <c r="FE919" s="323">
        <f t="shared" si="1874"/>
        <v>34.734893370000002</v>
      </c>
      <c r="FF919" s="323">
        <f t="shared" si="1874"/>
        <v>39.839215345</v>
      </c>
      <c r="FG919" s="323">
        <f t="shared" si="1874"/>
        <v>29.231937251000002</v>
      </c>
      <c r="FH919" s="323">
        <f t="shared" si="1874"/>
        <v>39.648290052</v>
      </c>
      <c r="FI919" s="323">
        <f t="shared" si="1874"/>
        <v>62.089244090000001</v>
      </c>
      <c r="FJ919" s="325">
        <f t="shared" si="1874"/>
        <v>27.429325165000002</v>
      </c>
      <c r="FK919" s="323">
        <f t="shared" si="1874"/>
        <v>34.855069626000002</v>
      </c>
      <c r="FL919" s="323">
        <f t="shared" si="1874"/>
        <v>30.3539335</v>
      </c>
      <c r="FM919" s="323">
        <f t="shared" si="1874"/>
        <v>32.166852878</v>
      </c>
      <c r="FN919" s="323">
        <f t="shared" si="1874"/>
        <v>40.761681717999998</v>
      </c>
      <c r="FO919" s="323">
        <f t="shared" si="1874"/>
        <v>35.703419597</v>
      </c>
      <c r="FP919" s="323">
        <f t="shared" si="1874"/>
        <v>84.823746598</v>
      </c>
      <c r="FQ919" s="323">
        <f t="shared" si="1874"/>
        <v>80.119229920999999</v>
      </c>
      <c r="FR919" s="323">
        <f t="shared" si="1874"/>
        <v>48.986533313999999</v>
      </c>
      <c r="FS919" s="323">
        <f t="shared" si="1874"/>
        <v>35.909699193000002</v>
      </c>
      <c r="FT919" s="323">
        <f t="shared" si="1874"/>
        <v>47.047556499999999</v>
      </c>
      <c r="FU919" s="323">
        <f t="shared" si="1874"/>
        <v>71.117047568999993</v>
      </c>
      <c r="FV919" s="323">
        <f t="shared" si="1874"/>
        <v>14.809122674999999</v>
      </c>
      <c r="FW919" s="323">
        <f t="shared" ref="FW919:GL920" si="1875">FW471</f>
        <v>21.499991579</v>
      </c>
      <c r="FX919" s="323">
        <f t="shared" si="1875"/>
        <v>26.040309391000001</v>
      </c>
      <c r="FY919" s="323">
        <f t="shared" si="1875"/>
        <v>59.389177644999997</v>
      </c>
      <c r="FZ919" s="323">
        <f t="shared" si="1875"/>
        <v>85.854329884999999</v>
      </c>
      <c r="GA919" s="323">
        <f t="shared" si="1875"/>
        <v>45.169855757999997</v>
      </c>
      <c r="GB919" s="323">
        <f t="shared" si="1875"/>
        <v>117.414866674</v>
      </c>
      <c r="GC919" s="323">
        <f t="shared" si="1875"/>
        <v>105.848004573</v>
      </c>
      <c r="GD919" s="323">
        <f t="shared" si="1875"/>
        <v>58.604432637000002</v>
      </c>
      <c r="GE919" s="323">
        <f t="shared" si="1875"/>
        <v>92.421183310000004</v>
      </c>
      <c r="GF919" s="323">
        <f t="shared" si="1875"/>
        <v>75.868959872000005</v>
      </c>
      <c r="GG919" s="323">
        <f t="shared" si="1875"/>
        <v>64.692209547999994</v>
      </c>
      <c r="GH919" s="323">
        <f t="shared" si="1875"/>
        <v>47.373694473</v>
      </c>
      <c r="GI919" s="323">
        <v>37.559882838189708</v>
      </c>
      <c r="GJ919" s="323">
        <v>99.400044857186941</v>
      </c>
      <c r="GK919" s="323">
        <v>85.940072304623357</v>
      </c>
      <c r="GL919" s="323">
        <v>41.014640372293314</v>
      </c>
      <c r="GM919" s="323">
        <v>44.784218966293324</v>
      </c>
      <c r="GN919" s="323">
        <v>11.333778128293314</v>
      </c>
      <c r="GO919" s="323">
        <v>98.7583319798009</v>
      </c>
      <c r="GP919" s="323">
        <v>24.197892101491309</v>
      </c>
      <c r="GQ919" s="323">
        <v>45.123040253739575</v>
      </c>
      <c r="GR919" s="323">
        <v>147.32418630337381</v>
      </c>
      <c r="GS919" s="323">
        <v>77.892570207755526</v>
      </c>
      <c r="GT919" s="323">
        <v>33.624900862422102</v>
      </c>
      <c r="GU919" s="323">
        <f t="shared" ref="GU919:HR920" si="1876">GU471</f>
        <v>36.576551907000002</v>
      </c>
      <c r="GV919" s="323">
        <f t="shared" si="1876"/>
        <v>35.305396328</v>
      </c>
      <c r="GW919" s="323">
        <f t="shared" si="1876"/>
        <v>47.563737848999999</v>
      </c>
      <c r="GX919" s="323">
        <f t="shared" si="1876"/>
        <v>48.569047284</v>
      </c>
      <c r="GY919" s="323">
        <f t="shared" si="1876"/>
        <v>35.389751359999998</v>
      </c>
      <c r="GZ919" s="323">
        <f t="shared" si="1876"/>
        <v>22.782992631999999</v>
      </c>
      <c r="HA919" s="323">
        <f t="shared" si="1876"/>
        <v>104.73686457700001</v>
      </c>
      <c r="HB919" s="323">
        <f t="shared" si="1876"/>
        <v>104.506769373</v>
      </c>
      <c r="HC919" s="323">
        <f t="shared" si="1876"/>
        <v>55.870180664999999</v>
      </c>
      <c r="HD919" s="323">
        <f t="shared" si="1876"/>
        <v>55.033536943000001</v>
      </c>
      <c r="HE919" s="323">
        <f t="shared" si="1876"/>
        <v>55.544366477000011</v>
      </c>
      <c r="HF919" s="323">
        <f t="shared" si="1876"/>
        <v>55.319894487999989</v>
      </c>
      <c r="HG919" s="323">
        <f t="shared" si="1876"/>
        <v>43.600136147999997</v>
      </c>
      <c r="HH919" s="323">
        <f t="shared" si="1876"/>
        <v>66.699274482999996</v>
      </c>
      <c r="HI919" s="323">
        <f t="shared" si="1876"/>
        <v>42.572112511</v>
      </c>
      <c r="HJ919" s="323">
        <f t="shared" si="1876"/>
        <v>116.211748875</v>
      </c>
      <c r="HK919" s="323">
        <f t="shared" si="1876"/>
        <v>33.700976709999999</v>
      </c>
      <c r="HL919" s="323">
        <f t="shared" si="1876"/>
        <v>34.210212214000002</v>
      </c>
      <c r="HM919" s="323">
        <f t="shared" si="1876"/>
        <v>52.413611570999997</v>
      </c>
      <c r="HN919" s="323">
        <f t="shared" si="1876"/>
        <v>77.831070867999998</v>
      </c>
      <c r="HO919" s="323">
        <f t="shared" si="1876"/>
        <v>47.947756300999998</v>
      </c>
      <c r="HP919" s="323">
        <f t="shared" si="1876"/>
        <v>24.762591125000004</v>
      </c>
      <c r="HQ919" s="323">
        <f t="shared" si="1876"/>
        <v>34.579855997999999</v>
      </c>
      <c r="HR919" s="323">
        <f t="shared" si="1876"/>
        <v>44.416776825999953</v>
      </c>
      <c r="HS919" s="323">
        <f t="shared" ref="HS919:HX920" si="1877">HS471</f>
        <v>26.98246971</v>
      </c>
      <c r="HT919" s="323">
        <f t="shared" si="1877"/>
        <v>88.896700311999993</v>
      </c>
      <c r="HU919" s="323">
        <f t="shared" si="1877"/>
        <v>30.51489440184799</v>
      </c>
      <c r="HV919" s="323">
        <f t="shared" si="1877"/>
        <v>55.50252261</v>
      </c>
      <c r="HW919" s="323">
        <f t="shared" si="1877"/>
        <v>46.803186015000009</v>
      </c>
      <c r="HX919" s="323">
        <f t="shared" si="1877"/>
        <v>50.672675497999997</v>
      </c>
      <c r="HY919" s="323"/>
      <c r="HZ919" s="326"/>
      <c r="IA919" s="332" t="s">
        <v>536</v>
      </c>
      <c r="IB919" s="284">
        <f>SUM(CE919:CJ919)</f>
        <v>92.587483879000004</v>
      </c>
      <c r="IC919" s="279">
        <f>SUM(CK919:CP919)</f>
        <v>176.94641420100001</v>
      </c>
      <c r="ID919" s="323">
        <f>IB919+IC919</f>
        <v>269.53389808000003</v>
      </c>
      <c r="IE919" s="279">
        <f>SUM(CQ919:CV919)</f>
        <v>95.096780288930546</v>
      </c>
      <c r="IF919" s="279">
        <f>SUM(CW919:DB919)</f>
        <v>194.99874429037698</v>
      </c>
      <c r="IG919" s="323">
        <f>IE919+IF919</f>
        <v>290.09552457930749</v>
      </c>
      <c r="IH919" s="284">
        <f>SUM(DC919:DH919)</f>
        <v>117.76896851400001</v>
      </c>
      <c r="II919" s="279">
        <f>SUM(DI919:DN919)</f>
        <v>214.89406953199997</v>
      </c>
      <c r="IJ919" s="323">
        <f>IH919+II919</f>
        <v>332.663038046</v>
      </c>
      <c r="IK919" s="327">
        <f>SUM(DO919:DT919)</f>
        <v>117.58594466299999</v>
      </c>
      <c r="IL919" s="279">
        <f>SUM(DU919:DZ919)</f>
        <v>174.326269572</v>
      </c>
      <c r="IM919" s="323">
        <f>IK919+IL919</f>
        <v>291.91221423499996</v>
      </c>
      <c r="IN919" s="279">
        <f>SUM(EA919:EF919)</f>
        <v>128.040309119</v>
      </c>
      <c r="IO919" s="279">
        <f>SUM(EG919:EL919)</f>
        <v>204.93068428199999</v>
      </c>
      <c r="IP919" s="323">
        <f>IN919+IO919</f>
        <v>332.97099340099999</v>
      </c>
      <c r="IQ919" s="327">
        <f>SUM(EM919:ER919)</f>
        <v>173.617482669</v>
      </c>
      <c r="IR919" s="327">
        <f>SUM(ES919:EX919)</f>
        <v>276.75515045399999</v>
      </c>
      <c r="IS919" s="323">
        <f>IQ919+IR919</f>
        <v>450.37263312300001</v>
      </c>
      <c r="IT919" s="327">
        <f>SUM(EY919:FD919)</f>
        <v>232.18078651700003</v>
      </c>
      <c r="IU919" s="327">
        <f>SUM(FE919:FJ919)</f>
        <v>232.97290527299998</v>
      </c>
      <c r="IV919" s="323">
        <f>IT919+IU919</f>
        <v>465.15369179000004</v>
      </c>
      <c r="IW919" s="327">
        <f>SUM(FK919:FP919)</f>
        <v>258.664703917</v>
      </c>
      <c r="IX919" s="327">
        <f>SUM(FQ919:FV919)</f>
        <v>297.98918917200001</v>
      </c>
      <c r="IY919" s="323">
        <f t="shared" si="1621"/>
        <v>556.65389308900001</v>
      </c>
      <c r="IZ919" s="327">
        <f t="shared" ref="IZ919:IZ931" si="1878">SUM(FW919:GB919)</f>
        <v>355.368530932</v>
      </c>
      <c r="JA919" s="327">
        <f t="shared" ref="JA919:JA931" si="1879">SUM(GC919:GH919)</f>
        <v>444.80848441300003</v>
      </c>
      <c r="JB919" s="323">
        <f t="shared" si="1823"/>
        <v>800.17701534499997</v>
      </c>
      <c r="JC919" s="327">
        <f>SUM(GI919:GN919)</f>
        <v>320.03263746687998</v>
      </c>
      <c r="JD919" s="327">
        <f>SUM(GO919:GT919)</f>
        <v>426.92092170858325</v>
      </c>
      <c r="JE919" s="323">
        <f t="shared" si="1834"/>
        <v>746.95355917546317</v>
      </c>
      <c r="JF919" s="327">
        <f>SUM(GU919:GZ919)</f>
        <v>226.18747736</v>
      </c>
      <c r="JG919" s="327">
        <f t="shared" si="1864"/>
        <v>431.011612523</v>
      </c>
      <c r="JH919" s="323">
        <f t="shared" si="1703"/>
        <v>657.19908988299994</v>
      </c>
      <c r="JI919" s="327">
        <f t="shared" si="1744"/>
        <v>336.99446094100006</v>
      </c>
      <c r="JJ919" s="327">
        <f t="shared" si="1871"/>
        <v>281.95166268899993</v>
      </c>
      <c r="JK919" s="323">
        <f t="shared" si="1683"/>
        <v>618.94612362999999</v>
      </c>
      <c r="JL919" s="327">
        <f>SUM(HS919:HX919)</f>
        <v>299.37244854684798</v>
      </c>
      <c r="JM919" s="279">
        <f>JN919-JL919</f>
        <v>346.89483359821566</v>
      </c>
      <c r="JN919" s="323">
        <f>FISC!AK1240</f>
        <v>646.26728214506363</v>
      </c>
      <c r="JO919" s="327">
        <f>JQ919*0.6</f>
        <v>543.2688871665647</v>
      </c>
      <c r="JP919" s="279">
        <f>JQ919-JO919</f>
        <v>362.17925811104317</v>
      </c>
      <c r="JQ919" s="323">
        <f>FISC!AL1240</f>
        <v>905.44814527760786</v>
      </c>
      <c r="JR919" s="327">
        <f>JT919*0.6</f>
        <v>721.97272085816599</v>
      </c>
      <c r="JS919" s="279">
        <f>JT919-JR919</f>
        <v>481.3151472387774</v>
      </c>
      <c r="JT919" s="323">
        <f>FISC!AM1240</f>
        <v>1203.2878680969434</v>
      </c>
      <c r="JU919" s="327">
        <f>JW919*0.55</f>
        <v>806.64146707644738</v>
      </c>
      <c r="JV919" s="279">
        <f>JW919-JU919</f>
        <v>659.97938215345687</v>
      </c>
      <c r="JW919" s="323">
        <f>FISC!AN1240</f>
        <v>1466.6208492299043</v>
      </c>
      <c r="JX919" s="327">
        <f>JZ919*0.55</f>
        <v>953.76143413759053</v>
      </c>
      <c r="JY919" s="279">
        <f>JZ919-JX919</f>
        <v>780.3502642943921</v>
      </c>
      <c r="JZ919" s="323">
        <f>FISC!AO1240</f>
        <v>1734.1116984319826</v>
      </c>
      <c r="KA919" s="327">
        <f>KC919*0.55</f>
        <v>1039.1608956815162</v>
      </c>
      <c r="KB919" s="279">
        <f>KC919-KA919</f>
        <v>850.22255101214955</v>
      </c>
      <c r="KC919" s="323">
        <f>FISC!AP1240</f>
        <v>1889.3834466936657</v>
      </c>
      <c r="KD919" s="327">
        <f>KF919*0.55</f>
        <v>1320.3262701186732</v>
      </c>
      <c r="KE919" s="279">
        <f>KF919-KD919</f>
        <v>1080.2669482789142</v>
      </c>
      <c r="KF919" s="323">
        <f>FISC!AQ1240</f>
        <v>2400.5932183975874</v>
      </c>
      <c r="KG919" s="327">
        <f>KI919*0.55</f>
        <v>1636.8337347718623</v>
      </c>
      <c r="KH919" s="279">
        <f>KI919-KG919</f>
        <v>1339.2276011769779</v>
      </c>
      <c r="KI919" s="323">
        <f>FISC!AR1240</f>
        <v>2976.0613359488402</v>
      </c>
      <c r="KJ919" s="327">
        <f>KL919*0.55</f>
        <v>2026.7966397638172</v>
      </c>
      <c r="KK919" s="279">
        <f>KL919-KJ919</f>
        <v>1658.288159806759</v>
      </c>
      <c r="KL919" s="323">
        <f>FISC!AS1240</f>
        <v>3685.0847995705763</v>
      </c>
      <c r="KM919" s="327">
        <f>KO919*0.55</f>
        <v>2716.5008488303765</v>
      </c>
      <c r="KN919" s="279">
        <f>KO919-KM919</f>
        <v>2222.5916035884893</v>
      </c>
      <c r="KO919" s="323">
        <f>FISC!AT1240</f>
        <v>4939.0924524188658</v>
      </c>
      <c r="KU919" s="326"/>
      <c r="KV919" s="327"/>
    </row>
    <row r="920" spans="1:314">
      <c r="A920" s="279"/>
      <c r="B920" s="96" t="s">
        <v>338</v>
      </c>
      <c r="D920" s="332" t="s">
        <v>537</v>
      </c>
      <c r="E920" s="323">
        <f>E468</f>
        <v>0</v>
      </c>
      <c r="F920" s="323"/>
      <c r="G920" s="323"/>
      <c r="H920" s="323"/>
      <c r="I920" s="323"/>
      <c r="J920" s="323"/>
      <c r="K920" s="323"/>
      <c r="L920" s="323"/>
      <c r="M920" s="323"/>
      <c r="N920" s="323"/>
      <c r="O920" s="323"/>
      <c r="P920" s="323"/>
      <c r="Q920" s="323"/>
      <c r="R920" s="323"/>
      <c r="S920" s="323"/>
      <c r="T920" s="323"/>
      <c r="U920" s="323"/>
      <c r="V920" s="323"/>
      <c r="W920" s="323"/>
      <c r="X920" s="323"/>
      <c r="Y920" s="323"/>
      <c r="Z920" s="323"/>
      <c r="AA920" s="323"/>
      <c r="AB920" s="323"/>
      <c r="AC920" s="323"/>
      <c r="AD920" s="323"/>
      <c r="AE920" s="323"/>
      <c r="AF920" s="323"/>
      <c r="AG920" s="323"/>
      <c r="AH920" s="323"/>
      <c r="AI920" s="323"/>
      <c r="AJ920" s="323"/>
      <c r="AK920" s="323"/>
      <c r="AL920" s="323"/>
      <c r="AM920" s="323"/>
      <c r="AN920" s="323"/>
      <c r="AO920" s="323"/>
      <c r="AP920" s="323"/>
      <c r="AQ920" s="323"/>
      <c r="AR920" s="323"/>
      <c r="AS920" s="323"/>
      <c r="AT920" s="323"/>
      <c r="AU920" s="323"/>
      <c r="AV920" s="323"/>
      <c r="AW920" s="323"/>
      <c r="AX920" s="323"/>
      <c r="AY920" s="323"/>
      <c r="AZ920" s="323"/>
      <c r="BA920" s="323"/>
      <c r="BB920" s="323"/>
      <c r="BC920" s="323"/>
      <c r="BD920" s="323"/>
      <c r="BE920" s="323"/>
      <c r="BF920" s="323"/>
      <c r="BG920" s="323">
        <v>0</v>
      </c>
      <c r="BH920" s="323">
        <v>0</v>
      </c>
      <c r="BI920" s="323">
        <v>0</v>
      </c>
      <c r="BJ920" s="323">
        <v>0</v>
      </c>
      <c r="BK920" s="323">
        <v>0</v>
      </c>
      <c r="BL920" s="323">
        <v>0</v>
      </c>
      <c r="BM920" s="323">
        <v>0</v>
      </c>
      <c r="BN920" s="323">
        <v>0</v>
      </c>
      <c r="BO920" s="323">
        <v>0</v>
      </c>
      <c r="BP920" s="323">
        <v>0</v>
      </c>
      <c r="BQ920" s="323">
        <v>0</v>
      </c>
      <c r="BR920" s="323">
        <v>0</v>
      </c>
      <c r="BS920" s="323">
        <v>0.1</v>
      </c>
      <c r="BT920" s="323">
        <v>8.8199999999999997E-3</v>
      </c>
      <c r="BU920" s="323">
        <v>0</v>
      </c>
      <c r="BV920" s="323">
        <v>0.6</v>
      </c>
      <c r="BW920" s="323">
        <v>0.2</v>
      </c>
      <c r="BX920" s="323">
        <v>0</v>
      </c>
      <c r="BY920" s="323">
        <v>0.3</v>
      </c>
      <c r="BZ920" s="323">
        <v>2.3514699999999999E-2</v>
      </c>
      <c r="CA920" s="323">
        <v>3.6584130000000001E-3</v>
      </c>
      <c r="CB920" s="323">
        <v>1.104487223</v>
      </c>
      <c r="CC920" s="323">
        <v>0</v>
      </c>
      <c r="CD920" s="329">
        <v>0</v>
      </c>
      <c r="CE920" s="323">
        <f t="shared" ref="CE920:DJ920" si="1880">CE472</f>
        <v>0</v>
      </c>
      <c r="CF920" s="323">
        <f t="shared" si="1880"/>
        <v>0.32088234199999999</v>
      </c>
      <c r="CG920" s="323">
        <f t="shared" si="1880"/>
        <v>0</v>
      </c>
      <c r="CH920" s="323">
        <f t="shared" si="1880"/>
        <v>0.3</v>
      </c>
      <c r="CI920" s="323">
        <f t="shared" si="1880"/>
        <v>0.31680000000000003</v>
      </c>
      <c r="CJ920" s="323">
        <f t="shared" si="1880"/>
        <v>0</v>
      </c>
      <c r="CK920" s="323">
        <f t="shared" si="1880"/>
        <v>0</v>
      </c>
      <c r="CL920" s="323">
        <f t="shared" si="1880"/>
        <v>0</v>
      </c>
      <c r="CM920" s="323">
        <f t="shared" si="1880"/>
        <v>0.226708194</v>
      </c>
      <c r="CN920" s="323">
        <f t="shared" si="1880"/>
        <v>0.71366432300000004</v>
      </c>
      <c r="CO920" s="323">
        <f t="shared" si="1880"/>
        <v>0.21346294199999999</v>
      </c>
      <c r="CP920" s="325">
        <f t="shared" si="1880"/>
        <v>0</v>
      </c>
      <c r="CQ920" s="323">
        <f t="shared" si="1880"/>
        <v>0.05</v>
      </c>
      <c r="CR920" s="323">
        <f t="shared" si="1880"/>
        <v>0</v>
      </c>
      <c r="CS920" s="323">
        <f t="shared" si="1880"/>
        <v>0.21818599999999999</v>
      </c>
      <c r="CT920" s="323">
        <f t="shared" si="1880"/>
        <v>0</v>
      </c>
      <c r="CU920" s="323">
        <f t="shared" si="1880"/>
        <v>0.2</v>
      </c>
      <c r="CV920" s="323">
        <f t="shared" si="1880"/>
        <v>9.1160000000000008E-3</v>
      </c>
      <c r="CW920" s="323">
        <f t="shared" si="1880"/>
        <v>5.1250000000000002E-3</v>
      </c>
      <c r="CX920" s="323">
        <f t="shared" si="1880"/>
        <v>0</v>
      </c>
      <c r="CY920" s="323">
        <f t="shared" si="1880"/>
        <v>0.3</v>
      </c>
      <c r="CZ920" s="323">
        <f t="shared" si="1880"/>
        <v>0.61358199999999996</v>
      </c>
      <c r="DA920" s="323">
        <f t="shared" si="1880"/>
        <v>0.3</v>
      </c>
      <c r="DB920" s="1269">
        <f t="shared" si="1880"/>
        <v>0</v>
      </c>
      <c r="DC920" s="323">
        <f t="shared" si="1880"/>
        <v>0</v>
      </c>
      <c r="DD920" s="323">
        <f t="shared" si="1880"/>
        <v>0</v>
      </c>
      <c r="DE920" s="323">
        <f t="shared" si="1880"/>
        <v>0.6</v>
      </c>
      <c r="DF920" s="323">
        <f t="shared" si="1880"/>
        <v>0.3</v>
      </c>
      <c r="DG920" s="323">
        <f t="shared" si="1880"/>
        <v>0</v>
      </c>
      <c r="DH920" s="323">
        <f t="shared" si="1880"/>
        <v>0</v>
      </c>
      <c r="DI920" s="323">
        <f t="shared" si="1880"/>
        <v>0</v>
      </c>
      <c r="DJ920" s="323">
        <f t="shared" si="1880"/>
        <v>0.3</v>
      </c>
      <c r="DK920" s="323">
        <f t="shared" ref="DK920:EP920" si="1881">DK472</f>
        <v>0.3</v>
      </c>
      <c r="DL920" s="323">
        <f t="shared" si="1881"/>
        <v>0</v>
      </c>
      <c r="DM920" s="323">
        <f t="shared" si="1881"/>
        <v>0.74068397699999999</v>
      </c>
      <c r="DN920" s="325">
        <f t="shared" si="1881"/>
        <v>0</v>
      </c>
      <c r="DO920" s="323">
        <f t="shared" si="1881"/>
        <v>0</v>
      </c>
      <c r="DP920" s="323">
        <f t="shared" si="1881"/>
        <v>0</v>
      </c>
      <c r="DQ920" s="323">
        <f t="shared" si="1881"/>
        <v>0</v>
      </c>
      <c r="DR920" s="323">
        <f t="shared" si="1881"/>
        <v>0</v>
      </c>
      <c r="DS920" s="323">
        <f t="shared" si="1881"/>
        <v>0</v>
      </c>
      <c r="DT920" s="323">
        <f t="shared" si="1881"/>
        <v>0</v>
      </c>
      <c r="DU920" s="323">
        <f t="shared" si="1881"/>
        <v>0</v>
      </c>
      <c r="DV920" s="323">
        <f t="shared" si="1881"/>
        <v>0</v>
      </c>
      <c r="DW920" s="323">
        <f t="shared" si="1881"/>
        <v>0</v>
      </c>
      <c r="DX920" s="323">
        <f t="shared" si="1881"/>
        <v>0</v>
      </c>
      <c r="DY920" s="323">
        <f t="shared" si="1881"/>
        <v>0</v>
      </c>
      <c r="DZ920" s="325">
        <f t="shared" si="1881"/>
        <v>0</v>
      </c>
      <c r="EA920" s="323">
        <f t="shared" si="1881"/>
        <v>0</v>
      </c>
      <c r="EB920" s="323">
        <f t="shared" si="1881"/>
        <v>0</v>
      </c>
      <c r="EC920" s="323">
        <f t="shared" si="1881"/>
        <v>0</v>
      </c>
      <c r="ED920" s="323">
        <f t="shared" si="1881"/>
        <v>0</v>
      </c>
      <c r="EE920" s="323">
        <f t="shared" si="1881"/>
        <v>0</v>
      </c>
      <c r="EF920" s="323">
        <f t="shared" si="1881"/>
        <v>0</v>
      </c>
      <c r="EG920" s="323">
        <f t="shared" si="1881"/>
        <v>0</v>
      </c>
      <c r="EH920" s="323">
        <f t="shared" si="1881"/>
        <v>0</v>
      </c>
      <c r="EI920" s="323">
        <f t="shared" si="1881"/>
        <v>0</v>
      </c>
      <c r="EJ920" s="323">
        <f t="shared" si="1881"/>
        <v>0</v>
      </c>
      <c r="EK920" s="323">
        <f t="shared" si="1881"/>
        <v>0</v>
      </c>
      <c r="EL920" s="325">
        <f t="shared" si="1881"/>
        <v>0</v>
      </c>
      <c r="EM920" s="323">
        <f t="shared" si="1881"/>
        <v>0</v>
      </c>
      <c r="EN920" s="323">
        <f t="shared" si="1881"/>
        <v>0</v>
      </c>
      <c r="EO920" s="323">
        <f t="shared" si="1881"/>
        <v>0</v>
      </c>
      <c r="EP920" s="323">
        <f t="shared" si="1881"/>
        <v>0</v>
      </c>
      <c r="EQ920" s="323">
        <f t="shared" ref="EQ920" si="1882">EQ472</f>
        <v>0</v>
      </c>
      <c r="ER920" s="323">
        <f t="shared" si="1874"/>
        <v>0</v>
      </c>
      <c r="ES920" s="323">
        <f t="shared" si="1874"/>
        <v>0</v>
      </c>
      <c r="ET920" s="323">
        <f t="shared" si="1874"/>
        <v>0</v>
      </c>
      <c r="EU920" s="323">
        <f t="shared" si="1874"/>
        <v>0</v>
      </c>
      <c r="EV920" s="323">
        <f t="shared" si="1874"/>
        <v>0</v>
      </c>
      <c r="EW920" s="323">
        <f t="shared" si="1874"/>
        <v>0</v>
      </c>
      <c r="EX920" s="323">
        <f t="shared" si="1874"/>
        <v>0</v>
      </c>
      <c r="EY920" s="323">
        <f t="shared" si="1874"/>
        <v>0</v>
      </c>
      <c r="EZ920" s="323">
        <f t="shared" si="1874"/>
        <v>0</v>
      </c>
      <c r="FA920" s="323">
        <f t="shared" si="1874"/>
        <v>0</v>
      </c>
      <c r="FB920" s="323">
        <f t="shared" si="1874"/>
        <v>0</v>
      </c>
      <c r="FC920" s="323">
        <f t="shared" si="1874"/>
        <v>0</v>
      </c>
      <c r="FD920" s="323">
        <f t="shared" si="1874"/>
        <v>0</v>
      </c>
      <c r="FE920" s="323">
        <f t="shared" si="1874"/>
        <v>0</v>
      </c>
      <c r="FF920" s="323">
        <f t="shared" si="1874"/>
        <v>0</v>
      </c>
      <c r="FG920" s="323">
        <f t="shared" si="1874"/>
        <v>0</v>
      </c>
      <c r="FH920" s="323">
        <f t="shared" si="1874"/>
        <v>0</v>
      </c>
      <c r="FI920" s="323">
        <f t="shared" si="1874"/>
        <v>0</v>
      </c>
      <c r="FJ920" s="323">
        <f t="shared" si="1874"/>
        <v>6.978548</v>
      </c>
      <c r="FK920" s="323">
        <f t="shared" si="1874"/>
        <v>0</v>
      </c>
      <c r="FL920" s="323">
        <f t="shared" si="1874"/>
        <v>0</v>
      </c>
      <c r="FM920" s="323">
        <f t="shared" si="1874"/>
        <v>0</v>
      </c>
      <c r="FN920" s="323">
        <f t="shared" si="1874"/>
        <v>0</v>
      </c>
      <c r="FO920" s="323">
        <f t="shared" si="1874"/>
        <v>0</v>
      </c>
      <c r="FP920" s="323">
        <f t="shared" si="1874"/>
        <v>0</v>
      </c>
      <c r="FQ920" s="323">
        <f t="shared" si="1874"/>
        <v>0</v>
      </c>
      <c r="FR920" s="323">
        <f t="shared" si="1874"/>
        <v>0</v>
      </c>
      <c r="FS920" s="323">
        <f t="shared" si="1874"/>
        <v>2.9259699325000001</v>
      </c>
      <c r="FT920" s="323">
        <f t="shared" si="1874"/>
        <v>0</v>
      </c>
      <c r="FU920" s="323">
        <f t="shared" si="1874"/>
        <v>2.9259699325000001</v>
      </c>
      <c r="FV920" s="323">
        <f t="shared" si="1874"/>
        <v>0</v>
      </c>
      <c r="FW920" s="323">
        <f t="shared" si="1875"/>
        <v>0</v>
      </c>
      <c r="FX920" s="323">
        <f t="shared" si="1875"/>
        <v>0</v>
      </c>
      <c r="FY920" s="323">
        <f t="shared" si="1875"/>
        <v>1.3680000000000001</v>
      </c>
      <c r="FZ920" s="323">
        <f t="shared" si="1875"/>
        <v>0</v>
      </c>
      <c r="GA920" s="323">
        <f t="shared" si="1875"/>
        <v>0</v>
      </c>
      <c r="GB920" s="323">
        <f t="shared" si="1875"/>
        <v>1.3680000000000001</v>
      </c>
      <c r="GC920" s="323">
        <f t="shared" si="1875"/>
        <v>0</v>
      </c>
      <c r="GD920" s="323">
        <f t="shared" si="1875"/>
        <v>0</v>
      </c>
      <c r="GE920" s="323">
        <f t="shared" si="1875"/>
        <v>0</v>
      </c>
      <c r="GF920" s="323">
        <f t="shared" si="1875"/>
        <v>0</v>
      </c>
      <c r="GG920" s="323">
        <f t="shared" si="1875"/>
        <v>0</v>
      </c>
      <c r="GH920" s="323">
        <f t="shared" si="1875"/>
        <v>0</v>
      </c>
      <c r="GI920" s="323">
        <f t="shared" si="1875"/>
        <v>0</v>
      </c>
      <c r="GJ920" s="323">
        <f t="shared" si="1875"/>
        <v>0</v>
      </c>
      <c r="GK920" s="323">
        <f t="shared" si="1875"/>
        <v>0</v>
      </c>
      <c r="GL920" s="323">
        <f t="shared" si="1875"/>
        <v>0</v>
      </c>
      <c r="GM920" s="323">
        <f t="shared" ref="GM920:HQ920" si="1883">GM472</f>
        <v>0</v>
      </c>
      <c r="GN920" s="323">
        <f t="shared" si="1883"/>
        <v>0</v>
      </c>
      <c r="GO920" s="323">
        <f t="shared" si="1883"/>
        <v>0</v>
      </c>
      <c r="GP920" s="323">
        <f t="shared" si="1883"/>
        <v>0</v>
      </c>
      <c r="GQ920" s="323">
        <f t="shared" si="1883"/>
        <v>0</v>
      </c>
      <c r="GR920" s="323">
        <f t="shared" si="1883"/>
        <v>0</v>
      </c>
      <c r="GS920" s="323">
        <f t="shared" si="1883"/>
        <v>0</v>
      </c>
      <c r="GT920" s="323">
        <f t="shared" si="1883"/>
        <v>0</v>
      </c>
      <c r="GU920" s="323">
        <f t="shared" si="1883"/>
        <v>0</v>
      </c>
      <c r="GV920" s="323">
        <f t="shared" si="1883"/>
        <v>0</v>
      </c>
      <c r="GW920" s="323">
        <f t="shared" si="1883"/>
        <v>0</v>
      </c>
      <c r="GX920" s="323">
        <f t="shared" si="1883"/>
        <v>0</v>
      </c>
      <c r="GY920" s="323">
        <f t="shared" si="1883"/>
        <v>0</v>
      </c>
      <c r="GZ920" s="323">
        <f t="shared" si="1883"/>
        <v>0</v>
      </c>
      <c r="HA920" s="323">
        <f t="shared" si="1883"/>
        <v>0</v>
      </c>
      <c r="HB920" s="323">
        <f t="shared" si="1883"/>
        <v>0</v>
      </c>
      <c r="HC920" s="323">
        <f t="shared" si="1883"/>
        <v>0</v>
      </c>
      <c r="HD920" s="323">
        <f t="shared" si="1883"/>
        <v>0</v>
      </c>
      <c r="HE920" s="323">
        <f t="shared" si="1883"/>
        <v>0</v>
      </c>
      <c r="HF920" s="323">
        <f t="shared" si="1883"/>
        <v>0</v>
      </c>
      <c r="HG920" s="323">
        <f t="shared" si="1883"/>
        <v>0</v>
      </c>
      <c r="HH920" s="323">
        <f t="shared" si="1883"/>
        <v>0</v>
      </c>
      <c r="HI920" s="323">
        <f t="shared" si="1883"/>
        <v>0</v>
      </c>
      <c r="HJ920" s="323">
        <f t="shared" si="1883"/>
        <v>0</v>
      </c>
      <c r="HK920" s="323">
        <f t="shared" si="1883"/>
        <v>0</v>
      </c>
      <c r="HL920" s="323">
        <f t="shared" si="1883"/>
        <v>0</v>
      </c>
      <c r="HM920" s="323">
        <f t="shared" si="1883"/>
        <v>0</v>
      </c>
      <c r="HN920" s="323">
        <f t="shared" si="1883"/>
        <v>0</v>
      </c>
      <c r="HO920" s="323">
        <f t="shared" si="1883"/>
        <v>2.7</v>
      </c>
      <c r="HP920" s="323">
        <f t="shared" si="1883"/>
        <v>0</v>
      </c>
      <c r="HQ920" s="323">
        <f t="shared" si="1883"/>
        <v>0</v>
      </c>
      <c r="HR920" s="323">
        <f t="shared" si="1876"/>
        <v>2.4</v>
      </c>
      <c r="HS920" s="323">
        <f t="shared" si="1877"/>
        <v>0</v>
      </c>
      <c r="HT920" s="323">
        <f t="shared" si="1877"/>
        <v>0</v>
      </c>
      <c r="HU920" s="323">
        <f t="shared" si="1877"/>
        <v>1.3392112331520101</v>
      </c>
      <c r="HV920" s="323">
        <f t="shared" si="1877"/>
        <v>0</v>
      </c>
      <c r="HW920" s="323">
        <f t="shared" si="1877"/>
        <v>0</v>
      </c>
      <c r="HX920" s="323">
        <f t="shared" si="1877"/>
        <v>1.4</v>
      </c>
      <c r="HY920" s="323"/>
      <c r="HZ920" s="326"/>
      <c r="IA920" s="332" t="s">
        <v>537</v>
      </c>
      <c r="IB920" s="284">
        <f>SUM(CE920:CJ920)</f>
        <v>0.937682342</v>
      </c>
      <c r="IC920" s="279">
        <f>SUM(CK920:CP920)</f>
        <v>1.153835459</v>
      </c>
      <c r="ID920" s="323">
        <f>IB920+IC920</f>
        <v>2.0915178010000002</v>
      </c>
      <c r="IE920" s="279">
        <f>SUM(CQ920:CV920)</f>
        <v>0.477302</v>
      </c>
      <c r="IF920" s="279">
        <f>SUM(CW920:DB920)</f>
        <v>1.218707</v>
      </c>
      <c r="IG920" s="323">
        <f>IE920+IF920</f>
        <v>1.6960090000000001</v>
      </c>
      <c r="IH920" s="284">
        <f>SUM(DC920:DH920)</f>
        <v>0.89999999999999991</v>
      </c>
      <c r="II920" s="279">
        <f>SUM(DI920:DN920)</f>
        <v>1.3406839769999999</v>
      </c>
      <c r="IJ920" s="323">
        <f>IH920+II920</f>
        <v>2.2406839769999998</v>
      </c>
      <c r="IK920" s="327">
        <f>SUM(DO920:DT920)</f>
        <v>0</v>
      </c>
      <c r="IL920" s="279">
        <f>SUM(DU920:DZ920)</f>
        <v>0</v>
      </c>
      <c r="IM920" s="323">
        <f>IK920+IL920</f>
        <v>0</v>
      </c>
      <c r="IN920" s="279">
        <f>SUM(EA920:EF920)</f>
        <v>0</v>
      </c>
      <c r="IO920" s="279">
        <f>SUM(EG920:EL920)</f>
        <v>0</v>
      </c>
      <c r="IP920" s="323">
        <f>IN920+IO920</f>
        <v>0</v>
      </c>
      <c r="IQ920" s="327">
        <f>SUM(EM920:ER920)</f>
        <v>0</v>
      </c>
      <c r="IR920" s="327">
        <f>SUM(ES920:EX920)</f>
        <v>0</v>
      </c>
      <c r="IS920" s="323">
        <f>IQ920+IR920</f>
        <v>0</v>
      </c>
      <c r="IT920" s="327">
        <f>SUM(EY920:FD920)</f>
        <v>0</v>
      </c>
      <c r="IU920" s="327">
        <f>SUM(FE920:FJ920)</f>
        <v>6.978548</v>
      </c>
      <c r="IV920" s="323">
        <f>IT920+IU920</f>
        <v>6.978548</v>
      </c>
      <c r="IW920" s="327">
        <f>SUM(FK920:FP920)</f>
        <v>0</v>
      </c>
      <c r="IX920" s="327">
        <f>SUM(FQ920:FV920)</f>
        <v>5.8519398650000003</v>
      </c>
      <c r="IY920" s="323">
        <f t="shared" si="1621"/>
        <v>5.8519398650000003</v>
      </c>
      <c r="IZ920" s="327">
        <f t="shared" si="1878"/>
        <v>2.7360000000000002</v>
      </c>
      <c r="JA920" s="327">
        <f t="shared" si="1879"/>
        <v>0</v>
      </c>
      <c r="JB920" s="323">
        <f t="shared" si="1823"/>
        <v>2.7360000000000002</v>
      </c>
      <c r="JC920" s="327">
        <f>SUM(GI920:GN920)</f>
        <v>0</v>
      </c>
      <c r="JD920" s="327">
        <f>SUM(GO920:GT920)</f>
        <v>0</v>
      </c>
      <c r="JE920" s="323">
        <f t="shared" si="1834"/>
        <v>0</v>
      </c>
      <c r="JF920" s="327">
        <f>SUM(GU920:GZ920)</f>
        <v>0</v>
      </c>
      <c r="JG920" s="327">
        <f t="shared" si="1864"/>
        <v>0</v>
      </c>
      <c r="JH920" s="323">
        <f t="shared" si="1703"/>
        <v>0</v>
      </c>
      <c r="JI920" s="327">
        <f t="shared" si="1744"/>
        <v>0</v>
      </c>
      <c r="JJ920" s="327">
        <f t="shared" si="1871"/>
        <v>5.0999999999999996</v>
      </c>
      <c r="JK920" s="323">
        <f t="shared" si="1683"/>
        <v>5.0999999999999996</v>
      </c>
      <c r="JL920" s="327">
        <f t="shared" si="1704"/>
        <v>2.7392112331520098</v>
      </c>
      <c r="JM920" s="279">
        <f>JN920-JL920</f>
        <v>2.9839136948479901</v>
      </c>
      <c r="JN920" s="323">
        <f>FISC!AK1241</f>
        <v>5.7231249279999998</v>
      </c>
      <c r="JO920" s="327">
        <f>JQ920*0.5</f>
        <v>2.8615624639999999</v>
      </c>
      <c r="JP920" s="279">
        <f>JQ920-JO920</f>
        <v>2.8615624639999999</v>
      </c>
      <c r="JQ920" s="323">
        <f>FISC!AL1241</f>
        <v>5.7231249279999998</v>
      </c>
      <c r="JR920" s="327">
        <f>JT920*0.5</f>
        <v>2.8615624639999999</v>
      </c>
      <c r="JS920" s="279">
        <f>JT920-JR920</f>
        <v>2.8615624639999999</v>
      </c>
      <c r="JT920" s="323">
        <f>FISC!AM1241</f>
        <v>5.7231249279999998</v>
      </c>
      <c r="JU920" s="327">
        <f>JW920*0.5</f>
        <v>2.8615624639999999</v>
      </c>
      <c r="JV920" s="279">
        <f>JW920-JU920</f>
        <v>2.8615624639999999</v>
      </c>
      <c r="JW920" s="323">
        <f>FISC!AN1241</f>
        <v>5.7231249279999998</v>
      </c>
      <c r="JX920" s="327">
        <f>JZ920*0.5</f>
        <v>2.8615624639999999</v>
      </c>
      <c r="JY920" s="279">
        <f>JZ920-JX920</f>
        <v>2.8615624639999999</v>
      </c>
      <c r="JZ920" s="323">
        <f>FISC!AO1241</f>
        <v>5.7231249279999998</v>
      </c>
      <c r="KA920" s="327">
        <f>KC920*0.5</f>
        <v>2.8615624639999999</v>
      </c>
      <c r="KB920" s="279">
        <f>KC920-KA920</f>
        <v>2.8615624639999999</v>
      </c>
      <c r="KC920" s="323">
        <f>FISC!AP1241</f>
        <v>5.7231249279999998</v>
      </c>
      <c r="KD920" s="327">
        <f>KF920*0.5</f>
        <v>2.8615624639999999</v>
      </c>
      <c r="KE920" s="279">
        <f>KF920-KD920</f>
        <v>2.8615624639999999</v>
      </c>
      <c r="KF920" s="323">
        <f>FISC!AQ1241</f>
        <v>5.7231249279999998</v>
      </c>
      <c r="KG920" s="327">
        <f>KI920*0.5</f>
        <v>2.8615624639999999</v>
      </c>
      <c r="KH920" s="279">
        <f>KI920-KG920</f>
        <v>2.8615624639999999</v>
      </c>
      <c r="KI920" s="323">
        <f>FISC!AR1241</f>
        <v>5.7231249279999998</v>
      </c>
      <c r="KJ920" s="327">
        <f>KL920*0.5</f>
        <v>2.8615624639999999</v>
      </c>
      <c r="KK920" s="279">
        <f>KL920-KJ920</f>
        <v>2.8615624639999999</v>
      </c>
      <c r="KL920" s="323">
        <f>FISC!AS1241</f>
        <v>5.7231249279999998</v>
      </c>
      <c r="KM920" s="327">
        <f>KO920*0.5</f>
        <v>2.8615624639999999</v>
      </c>
      <c r="KN920" s="279">
        <f>KO920-KM920</f>
        <v>2.8615624639999999</v>
      </c>
      <c r="KO920" s="323">
        <f>FISC!AT1241</f>
        <v>5.7231249279999998</v>
      </c>
      <c r="KU920" s="326"/>
      <c r="KV920" s="327"/>
    </row>
    <row r="921" spans="1:314">
      <c r="A921" s="279"/>
      <c r="B921" s="96" t="s">
        <v>338</v>
      </c>
      <c r="D921" s="332" t="s">
        <v>538</v>
      </c>
      <c r="E921" s="323"/>
      <c r="F921" s="323"/>
      <c r="G921" s="323"/>
      <c r="H921" s="323"/>
      <c r="I921" s="323"/>
      <c r="J921" s="323"/>
      <c r="K921" s="323"/>
      <c r="L921" s="323"/>
      <c r="M921" s="323"/>
      <c r="N921" s="323"/>
      <c r="O921" s="323"/>
      <c r="P921" s="323"/>
      <c r="Q921" s="323"/>
      <c r="R921" s="323"/>
      <c r="S921" s="323"/>
      <c r="T921" s="323"/>
      <c r="U921" s="323"/>
      <c r="V921" s="323"/>
      <c r="W921" s="323"/>
      <c r="X921" s="323"/>
      <c r="Y921" s="323"/>
      <c r="Z921" s="323"/>
      <c r="AA921" s="323"/>
      <c r="AB921" s="323"/>
      <c r="AC921" s="323"/>
      <c r="AD921" s="323"/>
      <c r="AE921" s="323"/>
      <c r="AF921" s="323"/>
      <c r="AG921" s="323"/>
      <c r="AH921" s="323"/>
      <c r="AI921" s="323"/>
      <c r="AJ921" s="323"/>
      <c r="AK921" s="323"/>
      <c r="AL921" s="323"/>
      <c r="AM921" s="323"/>
      <c r="AN921" s="323"/>
      <c r="AO921" s="323"/>
      <c r="AP921" s="323"/>
      <c r="AQ921" s="323"/>
      <c r="AR921" s="323"/>
      <c r="AS921" s="323"/>
      <c r="AT921" s="323"/>
      <c r="AU921" s="323"/>
      <c r="AV921" s="323"/>
      <c r="AW921" s="323"/>
      <c r="AX921" s="323"/>
      <c r="AY921" s="323"/>
      <c r="AZ921" s="323"/>
      <c r="BA921" s="323"/>
      <c r="BB921" s="323"/>
      <c r="BC921" s="323"/>
      <c r="BD921" s="323"/>
      <c r="BE921" s="323"/>
      <c r="BF921" s="323"/>
      <c r="BG921" s="323">
        <v>0</v>
      </c>
      <c r="BH921" s="323">
        <v>0</v>
      </c>
      <c r="BI921" s="323">
        <v>0</v>
      </c>
      <c r="BJ921" s="323">
        <v>0</v>
      </c>
      <c r="BK921" s="323">
        <v>0</v>
      </c>
      <c r="BL921" s="323">
        <v>0</v>
      </c>
      <c r="BM921" s="323">
        <v>0</v>
      </c>
      <c r="BN921" s="323">
        <v>0</v>
      </c>
      <c r="BO921" s="323">
        <v>0</v>
      </c>
      <c r="BP921" s="323">
        <v>0</v>
      </c>
      <c r="BQ921" s="323">
        <v>0</v>
      </c>
      <c r="BR921" s="323">
        <v>0</v>
      </c>
      <c r="BS921" s="323">
        <v>0</v>
      </c>
      <c r="BT921" s="323">
        <v>0</v>
      </c>
      <c r="BU921" s="323">
        <v>0</v>
      </c>
      <c r="BV921" s="323">
        <v>0</v>
      </c>
      <c r="BW921" s="323">
        <v>0</v>
      </c>
      <c r="BX921" s="323">
        <v>0</v>
      </c>
      <c r="BY921" s="323">
        <v>0</v>
      </c>
      <c r="BZ921" s="323">
        <v>0</v>
      </c>
      <c r="CA921" s="323">
        <v>0</v>
      </c>
      <c r="CB921" s="323">
        <v>0</v>
      </c>
      <c r="CC921" s="323">
        <v>0</v>
      </c>
      <c r="CD921" s="329">
        <v>0</v>
      </c>
      <c r="CE921" s="323">
        <f t="shared" ref="CE921:DJ921" si="1884">CE473</f>
        <v>0</v>
      </c>
      <c r="CF921" s="323">
        <f t="shared" si="1884"/>
        <v>0</v>
      </c>
      <c r="CG921" s="323">
        <f t="shared" si="1884"/>
        <v>0</v>
      </c>
      <c r="CH921" s="323">
        <f t="shared" si="1884"/>
        <v>0</v>
      </c>
      <c r="CI921" s="323">
        <f t="shared" si="1884"/>
        <v>0</v>
      </c>
      <c r="CJ921" s="323">
        <f t="shared" si="1884"/>
        <v>0</v>
      </c>
      <c r="CK921" s="323">
        <f t="shared" si="1884"/>
        <v>0</v>
      </c>
      <c r="CL921" s="323">
        <f t="shared" si="1884"/>
        <v>0</v>
      </c>
      <c r="CM921" s="323">
        <f t="shared" si="1884"/>
        <v>0</v>
      </c>
      <c r="CN921" s="323">
        <f t="shared" si="1884"/>
        <v>0</v>
      </c>
      <c r="CO921" s="323">
        <f t="shared" si="1884"/>
        <v>0</v>
      </c>
      <c r="CP921" s="325">
        <f t="shared" si="1884"/>
        <v>0</v>
      </c>
      <c r="CQ921" s="323">
        <f t="shared" si="1884"/>
        <v>0</v>
      </c>
      <c r="CR921" s="323">
        <f t="shared" si="1884"/>
        <v>0</v>
      </c>
      <c r="CS921" s="323">
        <f t="shared" si="1884"/>
        <v>0</v>
      </c>
      <c r="CT921" s="323">
        <f t="shared" si="1884"/>
        <v>0</v>
      </c>
      <c r="CU921" s="323">
        <f t="shared" si="1884"/>
        <v>0</v>
      </c>
      <c r="CV921" s="323">
        <f t="shared" si="1884"/>
        <v>0</v>
      </c>
      <c r="CW921" s="323">
        <f t="shared" si="1884"/>
        <v>0</v>
      </c>
      <c r="CX921" s="323">
        <f t="shared" si="1884"/>
        <v>0</v>
      </c>
      <c r="CY921" s="323">
        <f t="shared" si="1884"/>
        <v>0</v>
      </c>
      <c r="CZ921" s="323">
        <f t="shared" si="1884"/>
        <v>0</v>
      </c>
      <c r="DA921" s="323">
        <f t="shared" si="1884"/>
        <v>0</v>
      </c>
      <c r="DB921" s="1269">
        <f t="shared" si="1884"/>
        <v>0</v>
      </c>
      <c r="DC921" s="323">
        <f t="shared" si="1884"/>
        <v>0</v>
      </c>
      <c r="DD921" s="323">
        <f t="shared" si="1884"/>
        <v>0</v>
      </c>
      <c r="DE921" s="323">
        <f t="shared" si="1884"/>
        <v>0</v>
      </c>
      <c r="DF921" s="323">
        <f t="shared" si="1884"/>
        <v>0</v>
      </c>
      <c r="DG921" s="323">
        <f t="shared" si="1884"/>
        <v>0</v>
      </c>
      <c r="DH921" s="323">
        <f t="shared" si="1884"/>
        <v>0</v>
      </c>
      <c r="DI921" s="323">
        <f t="shared" si="1884"/>
        <v>0</v>
      </c>
      <c r="DJ921" s="323">
        <f t="shared" si="1884"/>
        <v>0</v>
      </c>
      <c r="DK921" s="323">
        <f t="shared" ref="DK921:EP921" si="1885">DK473</f>
        <v>0</v>
      </c>
      <c r="DL921" s="323">
        <f t="shared" si="1885"/>
        <v>0</v>
      </c>
      <c r="DM921" s="323">
        <f t="shared" si="1885"/>
        <v>0</v>
      </c>
      <c r="DN921" s="325">
        <f t="shared" si="1885"/>
        <v>0</v>
      </c>
      <c r="DO921" s="323">
        <f t="shared" si="1885"/>
        <v>0</v>
      </c>
      <c r="DP921" s="323">
        <f t="shared" si="1885"/>
        <v>0.90681567799999996</v>
      </c>
      <c r="DQ921" s="323">
        <f t="shared" si="1885"/>
        <v>0.38348786499999998</v>
      </c>
      <c r="DR921" s="323">
        <f t="shared" si="1885"/>
        <v>0.33097658699999999</v>
      </c>
      <c r="DS921" s="323">
        <f t="shared" si="1885"/>
        <v>1.125692345</v>
      </c>
      <c r="DT921" s="323">
        <f t="shared" si="1885"/>
        <v>0.68547370600000002</v>
      </c>
      <c r="DU921" s="323">
        <f t="shared" si="1885"/>
        <v>1.83866822</v>
      </c>
      <c r="DV921" s="323">
        <f t="shared" si="1885"/>
        <v>0.895850076</v>
      </c>
      <c r="DW921" s="323">
        <f t="shared" si="1885"/>
        <v>0.67624568200000001</v>
      </c>
      <c r="DX921" s="323">
        <f t="shared" si="1885"/>
        <v>0</v>
      </c>
      <c r="DY921" s="323">
        <f t="shared" si="1885"/>
        <v>0.69160871599999996</v>
      </c>
      <c r="DZ921" s="325">
        <f t="shared" si="1885"/>
        <v>0.39572780299999999</v>
      </c>
      <c r="EA921" s="323">
        <f t="shared" si="1885"/>
        <v>0</v>
      </c>
      <c r="EB921" s="323">
        <f t="shared" si="1885"/>
        <v>2.0503156069999999</v>
      </c>
      <c r="EC921" s="323">
        <f t="shared" si="1885"/>
        <v>0.351680628</v>
      </c>
      <c r="ED921" s="323">
        <f t="shared" si="1885"/>
        <v>1.0221471120000001</v>
      </c>
      <c r="EE921" s="323">
        <f t="shared" si="1885"/>
        <v>0.18429639</v>
      </c>
      <c r="EF921" s="323">
        <f t="shared" si="1885"/>
        <v>0.25678657999999999</v>
      </c>
      <c r="EG921" s="323">
        <f t="shared" si="1885"/>
        <v>1.1779829749999999</v>
      </c>
      <c r="EH921" s="323">
        <f t="shared" si="1885"/>
        <v>0.61263820300000005</v>
      </c>
      <c r="EI921" s="323">
        <f t="shared" si="1885"/>
        <v>0.68120150300000004</v>
      </c>
      <c r="EJ921" s="323">
        <f t="shared" si="1885"/>
        <v>0.61466597499999998</v>
      </c>
      <c r="EK921" s="323">
        <f t="shared" si="1885"/>
        <v>1.5176405449999999</v>
      </c>
      <c r="EL921" s="325">
        <f t="shared" si="1885"/>
        <v>0.21711618699999999</v>
      </c>
      <c r="EM921" s="323">
        <f t="shared" si="1885"/>
        <v>0</v>
      </c>
      <c r="EN921" s="323">
        <f t="shared" si="1885"/>
        <v>0</v>
      </c>
      <c r="EO921" s="323">
        <f t="shared" si="1885"/>
        <v>0</v>
      </c>
      <c r="EP921" s="323">
        <f t="shared" si="1885"/>
        <v>0</v>
      </c>
      <c r="EQ921" s="323">
        <f t="shared" ref="EQ921:FV921" si="1886">EQ473</f>
        <v>0</v>
      </c>
      <c r="ER921" s="323">
        <f t="shared" si="1886"/>
        <v>0</v>
      </c>
      <c r="ES921" s="323">
        <f t="shared" si="1886"/>
        <v>0</v>
      </c>
      <c r="ET921" s="323">
        <f t="shared" si="1886"/>
        <v>0</v>
      </c>
      <c r="EU921" s="323">
        <f t="shared" si="1886"/>
        <v>0</v>
      </c>
      <c r="EV921" s="323">
        <f t="shared" si="1886"/>
        <v>0</v>
      </c>
      <c r="EW921" s="323">
        <f t="shared" si="1886"/>
        <v>0</v>
      </c>
      <c r="EX921" s="325">
        <f t="shared" si="1886"/>
        <v>0</v>
      </c>
      <c r="EY921" s="323">
        <f t="shared" si="1886"/>
        <v>0</v>
      </c>
      <c r="EZ921" s="323">
        <f t="shared" si="1886"/>
        <v>0</v>
      </c>
      <c r="FA921" s="323">
        <f t="shared" si="1886"/>
        <v>0</v>
      </c>
      <c r="FB921" s="323">
        <f t="shared" si="1886"/>
        <v>0</v>
      </c>
      <c r="FC921" s="323">
        <f t="shared" si="1886"/>
        <v>0</v>
      </c>
      <c r="FD921" s="323">
        <f t="shared" si="1886"/>
        <v>0</v>
      </c>
      <c r="FE921" s="323">
        <f t="shared" si="1886"/>
        <v>0</v>
      </c>
      <c r="FF921" s="323">
        <f t="shared" si="1886"/>
        <v>0</v>
      </c>
      <c r="FG921" s="323">
        <f t="shared" si="1886"/>
        <v>0</v>
      </c>
      <c r="FH921" s="323">
        <f t="shared" si="1886"/>
        <v>0</v>
      </c>
      <c r="FI921" s="323">
        <f t="shared" si="1886"/>
        <v>0</v>
      </c>
      <c r="FJ921" s="325">
        <f t="shared" si="1886"/>
        <v>0</v>
      </c>
      <c r="FK921" s="323">
        <f t="shared" si="1886"/>
        <v>0</v>
      </c>
      <c r="FL921" s="323">
        <f t="shared" si="1886"/>
        <v>0</v>
      </c>
      <c r="FM921" s="323">
        <f t="shared" si="1886"/>
        <v>0</v>
      </c>
      <c r="FN921" s="323">
        <f t="shared" si="1886"/>
        <v>0</v>
      </c>
      <c r="FO921" s="323">
        <f t="shared" si="1886"/>
        <v>0</v>
      </c>
      <c r="FP921" s="323">
        <f t="shared" si="1886"/>
        <v>0</v>
      </c>
      <c r="FQ921" s="323">
        <f t="shared" si="1886"/>
        <v>0</v>
      </c>
      <c r="FR921" s="323">
        <f t="shared" si="1886"/>
        <v>0</v>
      </c>
      <c r="FS921" s="323">
        <f t="shared" si="1886"/>
        <v>0</v>
      </c>
      <c r="FT921" s="323">
        <f t="shared" si="1886"/>
        <v>0</v>
      </c>
      <c r="FU921" s="323">
        <f t="shared" si="1886"/>
        <v>0</v>
      </c>
      <c r="FV921" s="323">
        <f t="shared" si="1886"/>
        <v>0</v>
      </c>
      <c r="FW921" s="323">
        <v>0</v>
      </c>
      <c r="FX921" s="323">
        <v>0</v>
      </c>
      <c r="FY921" s="323">
        <v>0</v>
      </c>
      <c r="FZ921" s="323">
        <v>0</v>
      </c>
      <c r="GA921" s="323">
        <v>0</v>
      </c>
      <c r="GB921" s="323">
        <v>0</v>
      </c>
      <c r="GC921" s="323">
        <v>0</v>
      </c>
      <c r="GD921" s="323">
        <v>0</v>
      </c>
      <c r="GE921" s="323">
        <v>0</v>
      </c>
      <c r="GF921" s="323">
        <v>0</v>
      </c>
      <c r="GG921" s="323">
        <v>0</v>
      </c>
      <c r="GH921" s="323">
        <v>0</v>
      </c>
      <c r="GI921" s="323">
        <v>0</v>
      </c>
      <c r="GJ921" s="323">
        <v>0</v>
      </c>
      <c r="GK921" s="323">
        <v>0</v>
      </c>
      <c r="GL921" s="323">
        <v>0</v>
      </c>
      <c r="GM921" s="323">
        <v>0</v>
      </c>
      <c r="GN921" s="323">
        <v>0</v>
      </c>
      <c r="GO921" s="323">
        <v>0</v>
      </c>
      <c r="GP921" s="323">
        <v>0</v>
      </c>
      <c r="GQ921" s="323">
        <v>0</v>
      </c>
      <c r="GR921" s="323">
        <v>0</v>
      </c>
      <c r="GS921" s="323">
        <v>0</v>
      </c>
      <c r="GT921" s="323">
        <v>0</v>
      </c>
      <c r="GU921" s="323">
        <v>0</v>
      </c>
      <c r="GV921" s="323">
        <v>0</v>
      </c>
      <c r="GW921" s="323">
        <v>0</v>
      </c>
      <c r="GX921" s="323">
        <v>0</v>
      </c>
      <c r="GY921" s="323">
        <v>0</v>
      </c>
      <c r="GZ921" s="323">
        <v>0</v>
      </c>
      <c r="HA921" s="323">
        <v>0</v>
      </c>
      <c r="HB921" s="323">
        <v>0</v>
      </c>
      <c r="HC921" s="323">
        <v>0</v>
      </c>
      <c r="HD921" s="323">
        <v>0</v>
      </c>
      <c r="HE921" s="323">
        <v>0</v>
      </c>
      <c r="HF921" s="323">
        <v>0</v>
      </c>
      <c r="HG921" s="323">
        <v>0</v>
      </c>
      <c r="HH921" s="323">
        <v>0</v>
      </c>
      <c r="HI921" s="323">
        <v>0</v>
      </c>
      <c r="HJ921" s="323">
        <v>0</v>
      </c>
      <c r="HK921" s="323">
        <v>0</v>
      </c>
      <c r="HL921" s="323">
        <v>0</v>
      </c>
      <c r="HM921" s="323">
        <v>0</v>
      </c>
      <c r="HN921" s="323">
        <v>0</v>
      </c>
      <c r="HO921" s="323">
        <v>0</v>
      </c>
      <c r="HP921" s="323">
        <v>0</v>
      </c>
      <c r="HQ921" s="323">
        <v>0</v>
      </c>
      <c r="HR921" s="323">
        <v>0</v>
      </c>
      <c r="HS921" s="323">
        <v>0</v>
      </c>
      <c r="HT921" s="323">
        <v>0</v>
      </c>
      <c r="HU921" s="323">
        <v>0</v>
      </c>
      <c r="HV921" s="323">
        <v>0</v>
      </c>
      <c r="HW921" s="323">
        <v>0</v>
      </c>
      <c r="HX921" s="323">
        <v>0</v>
      </c>
      <c r="HY921" s="323"/>
      <c r="HZ921" s="326"/>
      <c r="IA921" s="332" t="s">
        <v>538</v>
      </c>
      <c r="IB921" s="284">
        <f>SUM(CE921:CJ921)</f>
        <v>0</v>
      </c>
      <c r="IC921" s="279">
        <f>SUM(CK921:CP921)</f>
        <v>0</v>
      </c>
      <c r="ID921" s="323">
        <f>IB921+IC921</f>
        <v>0</v>
      </c>
      <c r="IE921" s="279">
        <f>SUM(CQ921:CV921)</f>
        <v>0</v>
      </c>
      <c r="IF921" s="279">
        <f>SUM(CW921:DB921)</f>
        <v>0</v>
      </c>
      <c r="IG921" s="323">
        <f>IE921+IF921</f>
        <v>0</v>
      </c>
      <c r="IH921" s="284">
        <f>SUM(DC921:DH921)</f>
        <v>0</v>
      </c>
      <c r="II921" s="279">
        <f>SUM(DI921:DN921)</f>
        <v>0</v>
      </c>
      <c r="IJ921" s="323">
        <f>IH921+II921</f>
        <v>0</v>
      </c>
      <c r="IK921" s="327">
        <f>SUM(DO921:DT921)</f>
        <v>3.4324461809999995</v>
      </c>
      <c r="IL921" s="279">
        <f>SUM(DU921:DZ921)</f>
        <v>4.4981004970000003</v>
      </c>
      <c r="IM921" s="323">
        <f>IK921+IL921</f>
        <v>7.9305466779999998</v>
      </c>
      <c r="IN921" s="279">
        <f>SUM(EA921:EF921)</f>
        <v>3.8652263170000003</v>
      </c>
      <c r="IO921" s="279">
        <f>SUM(EG921:EL921)</f>
        <v>4.8212453879999995</v>
      </c>
      <c r="IP921" s="323">
        <f>IN921+IO921</f>
        <v>8.6864717049999989</v>
      </c>
      <c r="IQ921" s="327">
        <f>SUM(EM921:ER921)</f>
        <v>0</v>
      </c>
      <c r="IR921" s="327">
        <f>SUM(ES921:EX921)</f>
        <v>0</v>
      </c>
      <c r="IS921" s="323">
        <f>IQ921+IR921</f>
        <v>0</v>
      </c>
      <c r="IT921" s="327">
        <f>SUM(EY921:FD921)</f>
        <v>0</v>
      </c>
      <c r="IU921" s="327">
        <f>SUM(FE921:FJ921)</f>
        <v>0</v>
      </c>
      <c r="IV921" s="323">
        <f>IT921+IU921</f>
        <v>0</v>
      </c>
      <c r="IW921" s="327">
        <f>SUM(FK921:FP921)</f>
        <v>0</v>
      </c>
      <c r="IX921" s="327">
        <f>SUM(FQ921:FV921)</f>
        <v>0</v>
      </c>
      <c r="IY921" s="323">
        <f>IW921+IX921</f>
        <v>0</v>
      </c>
      <c r="IZ921" s="327">
        <f t="shared" si="1878"/>
        <v>0</v>
      </c>
      <c r="JA921" s="327">
        <f t="shared" si="1879"/>
        <v>0</v>
      </c>
      <c r="JB921" s="323">
        <f t="shared" si="1823"/>
        <v>0</v>
      </c>
      <c r="JC921" s="327">
        <f>SUM(GI921:GN921)</f>
        <v>0</v>
      </c>
      <c r="JD921" s="327">
        <f>SUM(GO921:GT921)</f>
        <v>0</v>
      </c>
      <c r="JE921" s="323">
        <f t="shared" si="1834"/>
        <v>0</v>
      </c>
      <c r="JF921" s="327">
        <f>SUM(GU921:GZ921)</f>
        <v>0</v>
      </c>
      <c r="JG921" s="327">
        <f t="shared" si="1864"/>
        <v>0</v>
      </c>
      <c r="JH921" s="323">
        <f t="shared" si="1703"/>
        <v>0</v>
      </c>
      <c r="JI921" s="327">
        <f t="shared" si="1744"/>
        <v>0</v>
      </c>
      <c r="JJ921" s="327">
        <f t="shared" si="1871"/>
        <v>0</v>
      </c>
      <c r="JK921" s="323">
        <f t="shared" si="1683"/>
        <v>0</v>
      </c>
      <c r="JL921" s="327">
        <f t="shared" si="1704"/>
        <v>0</v>
      </c>
      <c r="JM921" s="279">
        <f>JN921-JL921</f>
        <v>0</v>
      </c>
      <c r="JN921" s="323">
        <f>FISC!AK1242</f>
        <v>0</v>
      </c>
      <c r="JO921" s="327">
        <f>JQ921*0.5</f>
        <v>0</v>
      </c>
      <c r="JP921" s="279">
        <f>JQ921-JO921</f>
        <v>0</v>
      </c>
      <c r="JQ921" s="323">
        <f>FISC!AL1242</f>
        <v>0</v>
      </c>
      <c r="JR921" s="327">
        <f>JT921*0.5</f>
        <v>0</v>
      </c>
      <c r="JS921" s="279">
        <f>JT921-JR921</f>
        <v>0</v>
      </c>
      <c r="JT921" s="323">
        <f>FISC!AM1242</f>
        <v>0</v>
      </c>
      <c r="JU921" s="327">
        <f>JW921*0.5</f>
        <v>0</v>
      </c>
      <c r="JV921" s="279">
        <f>JW921-JU921</f>
        <v>0</v>
      </c>
      <c r="JW921" s="323">
        <f>FISC!AN1242</f>
        <v>0</v>
      </c>
      <c r="JX921" s="327">
        <f>JZ921*0.5</f>
        <v>0</v>
      </c>
      <c r="JY921" s="279">
        <f>JZ921-JX921</f>
        <v>0</v>
      </c>
      <c r="JZ921" s="323">
        <f>FISC!AO1242</f>
        <v>0</v>
      </c>
      <c r="KA921" s="327">
        <f>KC921*0.5</f>
        <v>0</v>
      </c>
      <c r="KB921" s="279">
        <f>KC921-KA921</f>
        <v>0</v>
      </c>
      <c r="KC921" s="323">
        <f>FISC!AP1242</f>
        <v>0</v>
      </c>
      <c r="KD921" s="327">
        <f>KF921*0.5</f>
        <v>0</v>
      </c>
      <c r="KE921" s="279">
        <f>KF921-KD921</f>
        <v>0</v>
      </c>
      <c r="KF921" s="323">
        <f>FISC!AQ1242</f>
        <v>0</v>
      </c>
      <c r="KG921" s="327">
        <f>KI921*0.5</f>
        <v>0</v>
      </c>
      <c r="KH921" s="279">
        <f>KI921-KG921</f>
        <v>0</v>
      </c>
      <c r="KI921" s="323">
        <f>FISC!AR1242</f>
        <v>0</v>
      </c>
      <c r="KJ921" s="327">
        <f>KL921*0.5</f>
        <v>0</v>
      </c>
      <c r="KK921" s="279">
        <f>KL921-KJ921</f>
        <v>0</v>
      </c>
      <c r="KL921" s="323">
        <f>FISC!AS1242</f>
        <v>0</v>
      </c>
      <c r="KM921" s="327">
        <f>KO921*0.5</f>
        <v>0</v>
      </c>
      <c r="KN921" s="279">
        <f>KO921-KM921</f>
        <v>0</v>
      </c>
      <c r="KO921" s="323">
        <f>FISC!AT1242</f>
        <v>0</v>
      </c>
      <c r="KU921" s="326"/>
      <c r="KV921" s="327"/>
    </row>
    <row r="922" spans="1:314">
      <c r="A922" s="279"/>
      <c r="B922" s="96" t="s">
        <v>338</v>
      </c>
      <c r="D922" s="332" t="s">
        <v>539</v>
      </c>
      <c r="E922" s="323">
        <f>E469</f>
        <v>0</v>
      </c>
      <c r="F922" s="323"/>
      <c r="G922" s="323"/>
      <c r="H922" s="323"/>
      <c r="I922" s="323"/>
      <c r="J922" s="323"/>
      <c r="K922" s="323"/>
      <c r="L922" s="323"/>
      <c r="M922" s="323"/>
      <c r="N922" s="323"/>
      <c r="O922" s="323"/>
      <c r="P922" s="323"/>
      <c r="Q922" s="323"/>
      <c r="R922" s="323"/>
      <c r="S922" s="323"/>
      <c r="T922" s="323"/>
      <c r="U922" s="323"/>
      <c r="V922" s="323"/>
      <c r="W922" s="323"/>
      <c r="X922" s="323"/>
      <c r="Y922" s="323"/>
      <c r="Z922" s="323"/>
      <c r="AA922" s="323"/>
      <c r="AB922" s="323"/>
      <c r="AC922" s="323"/>
      <c r="AD922" s="323"/>
      <c r="AE922" s="323"/>
      <c r="AF922" s="323"/>
      <c r="AG922" s="323"/>
      <c r="AH922" s="323"/>
      <c r="AI922" s="323"/>
      <c r="AJ922" s="323"/>
      <c r="AK922" s="323"/>
      <c r="AL922" s="323"/>
      <c r="AM922" s="323"/>
      <c r="AN922" s="323"/>
      <c r="AO922" s="323"/>
      <c r="AP922" s="323"/>
      <c r="AQ922" s="323"/>
      <c r="AR922" s="323"/>
      <c r="AS922" s="323"/>
      <c r="AT922" s="323"/>
      <c r="AU922" s="323"/>
      <c r="AV922" s="323"/>
      <c r="AW922" s="323"/>
      <c r="AX922" s="323"/>
      <c r="AY922" s="323"/>
      <c r="AZ922" s="323"/>
      <c r="BA922" s="323"/>
      <c r="BB922" s="323"/>
      <c r="BC922" s="323"/>
      <c r="BD922" s="323"/>
      <c r="BE922" s="323"/>
      <c r="BF922" s="323"/>
      <c r="BG922" s="323">
        <v>0</v>
      </c>
      <c r="BH922" s="323">
        <v>0</v>
      </c>
      <c r="BI922" s="323">
        <v>0</v>
      </c>
      <c r="BJ922" s="323">
        <v>0</v>
      </c>
      <c r="BK922" s="323">
        <v>0</v>
      </c>
      <c r="BL922" s="323">
        <v>7.7469200000000002E-2</v>
      </c>
      <c r="BM922" s="323">
        <v>0</v>
      </c>
      <c r="BN922" s="323">
        <v>0</v>
      </c>
      <c r="BO922" s="323">
        <v>0</v>
      </c>
      <c r="BP922" s="323">
        <v>0</v>
      </c>
      <c r="BQ922" s="323">
        <v>2.2961568000000002E-2</v>
      </c>
      <c r="BR922" s="323">
        <v>0</v>
      </c>
      <c r="BS922" s="323">
        <v>0</v>
      </c>
      <c r="BT922" s="323">
        <v>5.7129340000000002E-3</v>
      </c>
      <c r="BU922" s="323">
        <v>0.02</v>
      </c>
      <c r="BV922" s="323">
        <v>0</v>
      </c>
      <c r="BW922" s="323">
        <v>2.7203486999999998E-2</v>
      </c>
      <c r="BX922" s="323">
        <v>0</v>
      </c>
      <c r="BY922" s="323">
        <v>0</v>
      </c>
      <c r="BZ922" s="323">
        <v>8.9999999999999993E-3</v>
      </c>
      <c r="CA922" s="323">
        <v>8.9999999999999993E-3</v>
      </c>
      <c r="CB922" s="323">
        <v>0.11464108000000001</v>
      </c>
      <c r="CC922" s="323">
        <v>4.3355096000000003E-2</v>
      </c>
      <c r="CD922" s="329">
        <v>6.5702399999999998E-3</v>
      </c>
      <c r="CE922" s="323">
        <f t="shared" ref="CE922:DJ922" si="1887">CE474</f>
        <v>0</v>
      </c>
      <c r="CF922" s="323">
        <f t="shared" si="1887"/>
        <v>0</v>
      </c>
      <c r="CG922" s="323">
        <f t="shared" si="1887"/>
        <v>0</v>
      </c>
      <c r="CH922" s="323">
        <f t="shared" si="1887"/>
        <v>0</v>
      </c>
      <c r="CI922" s="323">
        <f t="shared" si="1887"/>
        <v>0</v>
      </c>
      <c r="CJ922" s="323">
        <f t="shared" si="1887"/>
        <v>0</v>
      </c>
      <c r="CK922" s="323">
        <f t="shared" si="1887"/>
        <v>0</v>
      </c>
      <c r="CL922" s="323">
        <f t="shared" si="1887"/>
        <v>0</v>
      </c>
      <c r="CM922" s="323">
        <f t="shared" si="1887"/>
        <v>0.2542954</v>
      </c>
      <c r="CN922" s="323">
        <f t="shared" si="1887"/>
        <v>0.26661556800000002</v>
      </c>
      <c r="CO922" s="323">
        <f t="shared" si="1887"/>
        <v>0.22116103400000001</v>
      </c>
      <c r="CP922" s="325">
        <f t="shared" si="1887"/>
        <v>1.035740576</v>
      </c>
      <c r="CQ922" s="323">
        <f t="shared" si="1887"/>
        <v>0</v>
      </c>
      <c r="CR922" s="323">
        <f t="shared" si="1887"/>
        <v>4.0655023459999997</v>
      </c>
      <c r="CS922" s="323">
        <f t="shared" si="1887"/>
        <v>0</v>
      </c>
      <c r="CT922" s="323">
        <f t="shared" si="1887"/>
        <v>0</v>
      </c>
      <c r="CU922" s="323">
        <f t="shared" si="1887"/>
        <v>0</v>
      </c>
      <c r="CV922" s="323">
        <f t="shared" si="1887"/>
        <v>0</v>
      </c>
      <c r="CW922" s="323">
        <f t="shared" si="1887"/>
        <v>0</v>
      </c>
      <c r="CX922" s="323">
        <f t="shared" si="1887"/>
        <v>0</v>
      </c>
      <c r="CY922" s="323">
        <f t="shared" si="1887"/>
        <v>0</v>
      </c>
      <c r="CZ922" s="323">
        <f t="shared" si="1887"/>
        <v>0</v>
      </c>
      <c r="DA922" s="323">
        <f t="shared" si="1887"/>
        <v>0</v>
      </c>
      <c r="DB922" s="1269">
        <f t="shared" si="1887"/>
        <v>0</v>
      </c>
      <c r="DC922" s="323">
        <f t="shared" si="1887"/>
        <v>0</v>
      </c>
      <c r="DD922" s="323">
        <f t="shared" si="1887"/>
        <v>0.797263889</v>
      </c>
      <c r="DE922" s="323">
        <f t="shared" si="1887"/>
        <v>0.474702024</v>
      </c>
      <c r="DF922" s="323">
        <f t="shared" si="1887"/>
        <v>0.50410943100000005</v>
      </c>
      <c r="DG922" s="323">
        <f t="shared" si="1887"/>
        <v>1.75753563</v>
      </c>
      <c r="DH922" s="323">
        <f t="shared" si="1887"/>
        <v>1.4217011369999999</v>
      </c>
      <c r="DI922" s="323">
        <f t="shared" si="1887"/>
        <v>1.3901956259999999</v>
      </c>
      <c r="DJ922" s="323">
        <f t="shared" si="1887"/>
        <v>0.49473200699999997</v>
      </c>
      <c r="DK922" s="323">
        <f t="shared" ref="DK922:EP922" si="1888">DK474</f>
        <v>2.1810115209999998</v>
      </c>
      <c r="DL922" s="323">
        <f t="shared" si="1888"/>
        <v>9.7115288999999994E-2</v>
      </c>
      <c r="DM922" s="323">
        <f t="shared" si="1888"/>
        <v>0.92243837299999998</v>
      </c>
      <c r="DN922" s="325">
        <f t="shared" si="1888"/>
        <v>0.71804074299999998</v>
      </c>
      <c r="DO922" s="323">
        <f t="shared" si="1888"/>
        <v>0</v>
      </c>
      <c r="DP922" s="323">
        <f t="shared" si="1888"/>
        <v>0</v>
      </c>
      <c r="DQ922" s="323">
        <f t="shared" si="1888"/>
        <v>0</v>
      </c>
      <c r="DR922" s="323">
        <f t="shared" si="1888"/>
        <v>0</v>
      </c>
      <c r="DS922" s="323">
        <f t="shared" si="1888"/>
        <v>0</v>
      </c>
      <c r="DT922" s="323">
        <f t="shared" si="1888"/>
        <v>0</v>
      </c>
      <c r="DU922" s="323">
        <f t="shared" si="1888"/>
        <v>0.234643296</v>
      </c>
      <c r="DV922" s="323">
        <f t="shared" si="1888"/>
        <v>0</v>
      </c>
      <c r="DW922" s="323">
        <f t="shared" si="1888"/>
        <v>0</v>
      </c>
      <c r="DX922" s="323">
        <f t="shared" si="1888"/>
        <v>0</v>
      </c>
      <c r="DY922" s="323">
        <f t="shared" si="1888"/>
        <v>3.9107216E-2</v>
      </c>
      <c r="DZ922" s="325">
        <f t="shared" si="1888"/>
        <v>0</v>
      </c>
      <c r="EA922" s="323">
        <f t="shared" si="1888"/>
        <v>0</v>
      </c>
      <c r="EB922" s="323">
        <f t="shared" si="1888"/>
        <v>0</v>
      </c>
      <c r="EC922" s="323">
        <f t="shared" si="1888"/>
        <v>0</v>
      </c>
      <c r="ED922" s="323">
        <f t="shared" si="1888"/>
        <v>5.0789550000000003E-2</v>
      </c>
      <c r="EE922" s="323">
        <f t="shared" si="1888"/>
        <v>0</v>
      </c>
      <c r="EF922" s="323">
        <f t="shared" si="1888"/>
        <v>0</v>
      </c>
      <c r="EG922" s="323">
        <f t="shared" si="1888"/>
        <v>0</v>
      </c>
      <c r="EH922" s="323">
        <f t="shared" si="1888"/>
        <v>0</v>
      </c>
      <c r="EI922" s="323">
        <f t="shared" si="1888"/>
        <v>0</v>
      </c>
      <c r="EJ922" s="323">
        <f t="shared" si="1888"/>
        <v>0</v>
      </c>
      <c r="EK922" s="323">
        <f t="shared" si="1888"/>
        <v>0</v>
      </c>
      <c r="EL922" s="325">
        <f t="shared" si="1888"/>
        <v>0</v>
      </c>
      <c r="EM922" s="323">
        <f t="shared" si="1888"/>
        <v>0</v>
      </c>
      <c r="EN922" s="323">
        <f t="shared" si="1888"/>
        <v>2.1474258289999999</v>
      </c>
      <c r="EO922" s="323">
        <f t="shared" si="1888"/>
        <v>1.297912618</v>
      </c>
      <c r="EP922" s="323">
        <f t="shared" si="1888"/>
        <v>1.7814102860000001</v>
      </c>
      <c r="EQ922" s="323">
        <f t="shared" ref="EQ922:FV922" si="1889">EQ474</f>
        <v>0.91042977999999997</v>
      </c>
      <c r="ER922" s="323">
        <f t="shared" si="1889"/>
        <v>0.25753992399999998</v>
      </c>
      <c r="ES922" s="323">
        <f t="shared" si="1889"/>
        <v>1.526749642</v>
      </c>
      <c r="ET922" s="323">
        <f t="shared" si="1889"/>
        <v>1.4096522309999999</v>
      </c>
      <c r="EU922" s="323">
        <f t="shared" si="1889"/>
        <v>0.74918174699999995</v>
      </c>
      <c r="EV922" s="323">
        <f t="shared" si="1889"/>
        <v>2.6962906109999998</v>
      </c>
      <c r="EW922" s="323">
        <f t="shared" si="1889"/>
        <v>3.3346985710000001</v>
      </c>
      <c r="EX922" s="325">
        <f t="shared" si="1889"/>
        <v>0.19004532199999999</v>
      </c>
      <c r="EY922" s="323">
        <f t="shared" si="1889"/>
        <v>0</v>
      </c>
      <c r="EZ922" s="323">
        <f t="shared" si="1889"/>
        <v>1.1569729870000001</v>
      </c>
      <c r="FA922" s="323">
        <f t="shared" si="1889"/>
        <v>0.97422186200000005</v>
      </c>
      <c r="FB922" s="323">
        <f t="shared" si="1889"/>
        <v>3.3418907450000002</v>
      </c>
      <c r="FC922" s="323">
        <f t="shared" si="1889"/>
        <v>2.8252603459999999</v>
      </c>
      <c r="FD922" s="323">
        <f t="shared" si="1889"/>
        <v>0.70362932600000005</v>
      </c>
      <c r="FE922" s="323">
        <f t="shared" si="1889"/>
        <v>0.75011388099999998</v>
      </c>
      <c r="FF922" s="323">
        <f t="shared" si="1889"/>
        <v>0.234275123</v>
      </c>
      <c r="FG922" s="323">
        <f t="shared" si="1889"/>
        <v>0.20701749</v>
      </c>
      <c r="FH922" s="323">
        <f t="shared" si="1889"/>
        <v>0.34473253999999998</v>
      </c>
      <c r="FI922" s="323">
        <f t="shared" si="1889"/>
        <v>2.1641653459999999</v>
      </c>
      <c r="FJ922" s="325">
        <f t="shared" si="1889"/>
        <v>0.46451168500000001</v>
      </c>
      <c r="FK922" s="323">
        <f t="shared" si="1889"/>
        <v>1.3891765890000001</v>
      </c>
      <c r="FL922" s="323">
        <f t="shared" si="1889"/>
        <v>3.5004572999999997E-2</v>
      </c>
      <c r="FM922" s="323">
        <f t="shared" si="1889"/>
        <v>0.63186247100000004</v>
      </c>
      <c r="FN922" s="323">
        <f t="shared" si="1889"/>
        <v>1.5151116259999999</v>
      </c>
      <c r="FO922" s="323">
        <f t="shared" si="1889"/>
        <v>2.5331835659999999</v>
      </c>
      <c r="FP922" s="323">
        <f t="shared" si="1889"/>
        <v>0.92782329500000005</v>
      </c>
      <c r="FQ922" s="323">
        <f t="shared" si="1889"/>
        <v>0</v>
      </c>
      <c r="FR922" s="323">
        <f t="shared" si="1889"/>
        <v>0</v>
      </c>
      <c r="FS922" s="323">
        <f t="shared" si="1889"/>
        <v>0</v>
      </c>
      <c r="FT922" s="323">
        <f t="shared" si="1889"/>
        <v>0</v>
      </c>
      <c r="FU922" s="323">
        <f t="shared" si="1889"/>
        <v>0</v>
      </c>
      <c r="FV922" s="323">
        <f t="shared" si="1889"/>
        <v>0</v>
      </c>
      <c r="FW922" s="323">
        <v>0</v>
      </c>
      <c r="FX922" s="323">
        <v>0</v>
      </c>
      <c r="FY922" s="323">
        <v>0</v>
      </c>
      <c r="FZ922" s="323">
        <v>0</v>
      </c>
      <c r="GA922" s="323">
        <v>0</v>
      </c>
      <c r="GB922" s="323">
        <v>0</v>
      </c>
      <c r="GC922" s="323">
        <v>0</v>
      </c>
      <c r="GD922" s="323">
        <v>0</v>
      </c>
      <c r="GE922" s="323">
        <v>0</v>
      </c>
      <c r="GF922" s="323">
        <v>0</v>
      </c>
      <c r="GG922" s="323">
        <v>0</v>
      </c>
      <c r="GH922" s="323">
        <v>0</v>
      </c>
      <c r="GI922" s="323">
        <v>0</v>
      </c>
      <c r="GJ922" s="323">
        <v>0</v>
      </c>
      <c r="GK922" s="323">
        <v>0</v>
      </c>
      <c r="GL922" s="323">
        <v>0</v>
      </c>
      <c r="GM922" s="323">
        <v>0</v>
      </c>
      <c r="GN922" s="323">
        <v>0</v>
      </c>
      <c r="GO922" s="323">
        <v>0</v>
      </c>
      <c r="GP922" s="323">
        <v>0</v>
      </c>
      <c r="GQ922" s="323">
        <v>0</v>
      </c>
      <c r="GR922" s="323">
        <v>0</v>
      </c>
      <c r="GS922" s="323">
        <v>0</v>
      </c>
      <c r="GT922" s="323">
        <v>0</v>
      </c>
      <c r="GU922" s="323">
        <v>0</v>
      </c>
      <c r="GV922" s="323">
        <v>0</v>
      </c>
      <c r="GW922" s="323">
        <v>0</v>
      </c>
      <c r="GX922" s="323">
        <v>0</v>
      </c>
      <c r="GY922" s="323">
        <v>0</v>
      </c>
      <c r="GZ922" s="323">
        <v>0</v>
      </c>
      <c r="HA922" s="323">
        <v>0</v>
      </c>
      <c r="HB922" s="323">
        <v>0</v>
      </c>
      <c r="HC922" s="323">
        <v>0</v>
      </c>
      <c r="HD922" s="323">
        <v>0</v>
      </c>
      <c r="HE922" s="323">
        <v>0</v>
      </c>
      <c r="HF922" s="323">
        <v>0</v>
      </c>
      <c r="HG922" s="323">
        <v>0</v>
      </c>
      <c r="HH922" s="323">
        <v>0</v>
      </c>
      <c r="HI922" s="323">
        <v>0</v>
      </c>
      <c r="HJ922" s="323">
        <v>0</v>
      </c>
      <c r="HK922" s="323">
        <v>0</v>
      </c>
      <c r="HL922" s="323">
        <v>0</v>
      </c>
      <c r="HM922" s="323">
        <v>0</v>
      </c>
      <c r="HN922" s="323">
        <v>0</v>
      </c>
      <c r="HO922" s="323">
        <v>0</v>
      </c>
      <c r="HP922" s="323">
        <v>0</v>
      </c>
      <c r="HQ922" s="323">
        <v>0</v>
      </c>
      <c r="HR922" s="323">
        <v>0</v>
      </c>
      <c r="HS922" s="323">
        <v>0</v>
      </c>
      <c r="HT922" s="323">
        <v>0</v>
      </c>
      <c r="HU922" s="323">
        <v>0</v>
      </c>
      <c r="HV922" s="323">
        <v>0</v>
      </c>
      <c r="HW922" s="323">
        <v>0</v>
      </c>
      <c r="HX922" s="323">
        <v>0</v>
      </c>
      <c r="HY922" s="323"/>
      <c r="HZ922" s="326"/>
      <c r="IA922" s="332" t="s">
        <v>539</v>
      </c>
      <c r="IB922" s="284">
        <f>SUM(CE922:CJ922)</f>
        <v>0</v>
      </c>
      <c r="IC922" s="279">
        <f>SUM(CK922:CP922)</f>
        <v>1.777812578</v>
      </c>
      <c r="ID922" s="323">
        <f>IB922+IC922</f>
        <v>1.777812578</v>
      </c>
      <c r="IE922" s="279">
        <f>SUM(CQ922:CV922)</f>
        <v>4.0655023459999997</v>
      </c>
      <c r="IF922" s="279">
        <f>SUM(CW922:DB922)</f>
        <v>0</v>
      </c>
      <c r="IG922" s="323">
        <f>IE922+IF922</f>
        <v>4.0655023459999997</v>
      </c>
      <c r="IH922" s="284">
        <f>SUM(DC922:DH922)</f>
        <v>4.9553121109999996</v>
      </c>
      <c r="II922" s="279">
        <f>SUM(DI922:DN922)</f>
        <v>5.8035335589999999</v>
      </c>
      <c r="IJ922" s="323">
        <f>IH922+II922</f>
        <v>10.758845669999999</v>
      </c>
      <c r="IK922" s="327">
        <f>SUM(DO922:DT922)</f>
        <v>0</v>
      </c>
      <c r="IL922" s="279">
        <f>SUM(DU922:DZ922)</f>
        <v>0.273750512</v>
      </c>
      <c r="IM922" s="323">
        <f>IK922+IL922</f>
        <v>0.273750512</v>
      </c>
      <c r="IN922" s="279">
        <f>SUM(EA922:EF922)</f>
        <v>5.0789550000000003E-2</v>
      </c>
      <c r="IO922" s="279">
        <f>SUM(EG922:EL922)</f>
        <v>0</v>
      </c>
      <c r="IP922" s="323">
        <f>IN922+IO922</f>
        <v>5.0789550000000003E-2</v>
      </c>
      <c r="IQ922" s="327">
        <f>SUM(EM922:ER922)</f>
        <v>6.3947184369999999</v>
      </c>
      <c r="IR922" s="327">
        <f>SUM(ES922:EX922)</f>
        <v>9.9066181239999995</v>
      </c>
      <c r="IS922" s="323">
        <f>IQ922+IR922</f>
        <v>16.301336560999999</v>
      </c>
      <c r="IT922" s="327">
        <f>SUM(EY922:FD922)</f>
        <v>9.0019752660000005</v>
      </c>
      <c r="IU922" s="327">
        <f>SUM(FE922:FJ922)</f>
        <v>4.1648160650000001</v>
      </c>
      <c r="IV922" s="323">
        <f>IT922+IU922</f>
        <v>13.166791331000001</v>
      </c>
      <c r="IW922" s="327">
        <f>SUM(FK922:FP922)</f>
        <v>7.0321621199999989</v>
      </c>
      <c r="IX922" s="327">
        <f>SUM(FQ922:FV922)</f>
        <v>0</v>
      </c>
      <c r="IY922" s="323">
        <f t="shared" si="1621"/>
        <v>7.0321621199999989</v>
      </c>
      <c r="IZ922" s="327">
        <f t="shared" si="1878"/>
        <v>0</v>
      </c>
      <c r="JA922" s="327">
        <f t="shared" si="1879"/>
        <v>0</v>
      </c>
      <c r="JB922" s="323">
        <f t="shared" si="1823"/>
        <v>0</v>
      </c>
      <c r="JC922" s="327">
        <f>SUM(GI922:GN922)</f>
        <v>0</v>
      </c>
      <c r="JD922" s="327">
        <f>SUM(GO922:GT922)</f>
        <v>0</v>
      </c>
      <c r="JE922" s="323">
        <f t="shared" si="1834"/>
        <v>0</v>
      </c>
      <c r="JF922" s="327">
        <f>SUM(GU922:GZ922)</f>
        <v>0</v>
      </c>
      <c r="JG922" s="327">
        <f t="shared" si="1864"/>
        <v>0</v>
      </c>
      <c r="JH922" s="323">
        <f t="shared" si="1703"/>
        <v>0</v>
      </c>
      <c r="JI922" s="327">
        <f t="shared" si="1744"/>
        <v>0</v>
      </c>
      <c r="JJ922" s="327">
        <f t="shared" si="1871"/>
        <v>0</v>
      </c>
      <c r="JK922" s="323">
        <f t="shared" si="1683"/>
        <v>0</v>
      </c>
      <c r="JL922" s="327">
        <f t="shared" si="1704"/>
        <v>0</v>
      </c>
      <c r="JM922" s="279">
        <f>JN922-JL922</f>
        <v>0</v>
      </c>
      <c r="JN922" s="323">
        <f>FISC!AK1243</f>
        <v>0</v>
      </c>
      <c r="JO922" s="327">
        <f>JQ922*0.5</f>
        <v>0</v>
      </c>
      <c r="JP922" s="279">
        <f>JQ922-JO922</f>
        <v>0</v>
      </c>
      <c r="JQ922" s="323">
        <f>FISC!AL1243</f>
        <v>0</v>
      </c>
      <c r="JR922" s="327">
        <f>JT922*0.5</f>
        <v>0</v>
      </c>
      <c r="JS922" s="279">
        <f>JT922-JR922</f>
        <v>0</v>
      </c>
      <c r="JT922" s="323">
        <f>FISC!AM1243</f>
        <v>0</v>
      </c>
      <c r="JU922" s="327">
        <f>JW922*0.5</f>
        <v>0</v>
      </c>
      <c r="JV922" s="279">
        <f>JW922-JU922</f>
        <v>0</v>
      </c>
      <c r="JW922" s="323">
        <f>FISC!AN1243</f>
        <v>0</v>
      </c>
      <c r="JX922" s="327">
        <f>JZ922*0.5</f>
        <v>0</v>
      </c>
      <c r="JY922" s="279">
        <f>JZ922-JX922</f>
        <v>0</v>
      </c>
      <c r="JZ922" s="323">
        <f>FISC!AO1243</f>
        <v>0</v>
      </c>
      <c r="KA922" s="327">
        <f>KC922*0.5</f>
        <v>0</v>
      </c>
      <c r="KB922" s="279">
        <f>KC922-KA922</f>
        <v>0</v>
      </c>
      <c r="KC922" s="323">
        <f>FISC!AP1243</f>
        <v>0</v>
      </c>
      <c r="KD922" s="327">
        <f>KF922*0.5</f>
        <v>0</v>
      </c>
      <c r="KE922" s="279">
        <f>KF922-KD922</f>
        <v>0</v>
      </c>
      <c r="KF922" s="323">
        <f>FISC!AQ1243</f>
        <v>0</v>
      </c>
      <c r="KG922" s="327">
        <f>KI922*0.5</f>
        <v>0</v>
      </c>
      <c r="KH922" s="279">
        <f>KI922-KG922</f>
        <v>0</v>
      </c>
      <c r="KI922" s="323">
        <f>FISC!AR1243</f>
        <v>0</v>
      </c>
      <c r="KJ922" s="327">
        <f>KL922*0.5</f>
        <v>0</v>
      </c>
      <c r="KK922" s="279">
        <f>KL922-KJ922</f>
        <v>0</v>
      </c>
      <c r="KL922" s="323">
        <f>FISC!AS1243</f>
        <v>0</v>
      </c>
      <c r="KM922" s="327">
        <f>KO922*0.5</f>
        <v>0</v>
      </c>
      <c r="KN922" s="279">
        <f>KO922-KM922</f>
        <v>0</v>
      </c>
      <c r="KO922" s="323">
        <f>FISC!AT1243</f>
        <v>0</v>
      </c>
      <c r="KU922" s="326"/>
      <c r="KV922" s="327"/>
    </row>
    <row r="923" spans="1:314">
      <c r="A923" s="279"/>
      <c r="B923" s="96" t="s">
        <v>338</v>
      </c>
      <c r="D923" s="331" t="s">
        <v>3028</v>
      </c>
      <c r="E923" s="323"/>
      <c r="F923" s="323"/>
      <c r="G923" s="323"/>
      <c r="H923" s="323"/>
      <c r="I923" s="323"/>
      <c r="J923" s="323"/>
      <c r="K923" s="323"/>
      <c r="L923" s="323"/>
      <c r="M923" s="323"/>
      <c r="N923" s="323"/>
      <c r="O923" s="323"/>
      <c r="P923" s="323"/>
      <c r="Q923" s="323"/>
      <c r="R923" s="323"/>
      <c r="S923" s="323"/>
      <c r="T923" s="323"/>
      <c r="U923" s="323"/>
      <c r="V923" s="323"/>
      <c r="W923" s="323"/>
      <c r="X923" s="323"/>
      <c r="Y923" s="323"/>
      <c r="Z923" s="323"/>
      <c r="AA923" s="323"/>
      <c r="AB923" s="323"/>
      <c r="AC923" s="323"/>
      <c r="AD923" s="323"/>
      <c r="AE923" s="323"/>
      <c r="AF923" s="323"/>
      <c r="AG923" s="323"/>
      <c r="AH923" s="323"/>
      <c r="AI923" s="323"/>
      <c r="AJ923" s="323"/>
      <c r="AK923" s="323"/>
      <c r="AL923" s="323"/>
      <c r="AM923" s="323"/>
      <c r="AN923" s="323"/>
      <c r="AO923" s="323"/>
      <c r="AP923" s="323"/>
      <c r="AQ923" s="323"/>
      <c r="AR923" s="323"/>
      <c r="AS923" s="323"/>
      <c r="AT923" s="323"/>
      <c r="AU923" s="323"/>
      <c r="AV923" s="323"/>
      <c r="AW923" s="323"/>
      <c r="AX923" s="323"/>
      <c r="AY923" s="323"/>
      <c r="AZ923" s="323"/>
      <c r="BA923" s="323"/>
      <c r="BB923" s="323"/>
      <c r="BC923" s="323"/>
      <c r="BD923" s="323"/>
      <c r="BE923" s="323"/>
      <c r="BF923" s="323"/>
      <c r="BG923" s="323"/>
      <c r="BH923" s="323"/>
      <c r="BI923" s="323"/>
      <c r="BJ923" s="323"/>
      <c r="BK923" s="323"/>
      <c r="BL923" s="323"/>
      <c r="BM923" s="323"/>
      <c r="BN923" s="323"/>
      <c r="BO923" s="323"/>
      <c r="BP923" s="323"/>
      <c r="BQ923" s="323"/>
      <c r="BR923" s="323"/>
      <c r="BS923" s="323"/>
      <c r="BT923" s="323"/>
      <c r="BU923" s="323"/>
      <c r="BV923" s="323"/>
      <c r="BW923" s="323"/>
      <c r="BX923" s="323"/>
      <c r="BY923" s="323"/>
      <c r="BZ923" s="323"/>
      <c r="CA923" s="323"/>
      <c r="CB923" s="323"/>
      <c r="CC923" s="323"/>
      <c r="CD923" s="329"/>
      <c r="CE923" s="323"/>
      <c r="CF923" s="323"/>
      <c r="CG923" s="323"/>
      <c r="CH923" s="323"/>
      <c r="CI923" s="323"/>
      <c r="CJ923" s="323"/>
      <c r="CK923" s="323"/>
      <c r="CL923" s="323"/>
      <c r="CM923" s="323"/>
      <c r="CN923" s="323"/>
      <c r="CO923" s="323"/>
      <c r="CP923" s="325"/>
      <c r="CQ923" s="323"/>
      <c r="CR923" s="323"/>
      <c r="CS923" s="323"/>
      <c r="CT923" s="323"/>
      <c r="CU923" s="323"/>
      <c r="CV923" s="323"/>
      <c r="CW923" s="323"/>
      <c r="CX923" s="323"/>
      <c r="CY923" s="323"/>
      <c r="CZ923" s="323"/>
      <c r="DA923" s="323"/>
      <c r="DB923" s="1269"/>
      <c r="DC923" s="323"/>
      <c r="DD923" s="323"/>
      <c r="DE923" s="323"/>
      <c r="DF923" s="323"/>
      <c r="DG923" s="323"/>
      <c r="DH923" s="323"/>
      <c r="DI923" s="323"/>
      <c r="DJ923" s="323"/>
      <c r="DK923" s="323"/>
      <c r="DL923" s="323"/>
      <c r="DM923" s="323"/>
      <c r="DN923" s="325"/>
      <c r="DO923" s="323"/>
      <c r="DP923" s="323"/>
      <c r="DQ923" s="323"/>
      <c r="DR923" s="323"/>
      <c r="DS923" s="323"/>
      <c r="DT923" s="323"/>
      <c r="DU923" s="323"/>
      <c r="DV923" s="323"/>
      <c r="DW923" s="323"/>
      <c r="DX923" s="323"/>
      <c r="DY923" s="323"/>
      <c r="DZ923" s="325"/>
      <c r="EA923" s="323"/>
      <c r="EB923" s="323"/>
      <c r="EC923" s="323"/>
      <c r="ED923" s="323"/>
      <c r="EE923" s="323"/>
      <c r="EF923" s="323"/>
      <c r="EG923" s="323"/>
      <c r="EH923" s="323"/>
      <c r="EI923" s="323"/>
      <c r="EJ923" s="323"/>
      <c r="EK923" s="323"/>
      <c r="EL923" s="325"/>
      <c r="EM923" s="323"/>
      <c r="EN923" s="323"/>
      <c r="EO923" s="323"/>
      <c r="EP923" s="323"/>
      <c r="EQ923" s="323"/>
      <c r="ER923" s="323"/>
      <c r="ES923" s="323"/>
      <c r="ET923" s="323"/>
      <c r="EU923" s="323"/>
      <c r="EV923" s="323"/>
      <c r="EW923" s="323"/>
      <c r="EX923" s="325"/>
      <c r="EY923" s="323"/>
      <c r="EZ923" s="323"/>
      <c r="FA923" s="323"/>
      <c r="FB923" s="323"/>
      <c r="FC923" s="323"/>
      <c r="FD923" s="323"/>
      <c r="FE923" s="323"/>
      <c r="FF923" s="323"/>
      <c r="FG923" s="323"/>
      <c r="FH923" s="323"/>
      <c r="FI923" s="323"/>
      <c r="FJ923" s="325"/>
      <c r="FK923" s="323"/>
      <c r="FL923" s="323"/>
      <c r="FM923" s="323"/>
      <c r="FN923" s="323"/>
      <c r="FO923" s="323"/>
      <c r="FP923" s="323"/>
      <c r="FQ923" s="323"/>
      <c r="FR923" s="323"/>
      <c r="FS923" s="323"/>
      <c r="FT923" s="323"/>
      <c r="FU923" s="323"/>
      <c r="FV923" s="323"/>
      <c r="FW923" s="323"/>
      <c r="FX923" s="323"/>
      <c r="FY923" s="323"/>
      <c r="FZ923" s="323"/>
      <c r="GA923" s="323"/>
      <c r="GB923" s="323"/>
      <c r="GC923" s="323"/>
      <c r="GD923" s="323"/>
      <c r="GE923" s="323"/>
      <c r="GF923" s="323"/>
      <c r="GG923" s="323"/>
      <c r="GH923" s="323"/>
      <c r="GI923" s="1654"/>
      <c r="HZ923" s="326"/>
      <c r="IA923" s="331" t="s">
        <v>3033</v>
      </c>
      <c r="IB923" s="284"/>
      <c r="ID923" s="323"/>
      <c r="IG923" s="323"/>
      <c r="IH923" s="284"/>
      <c r="IJ923" s="323"/>
      <c r="IK923" s="327"/>
      <c r="IM923" s="323"/>
      <c r="IP923" s="323"/>
      <c r="IQ923" s="327"/>
      <c r="IR923" s="327"/>
      <c r="IS923" s="323"/>
      <c r="IT923" s="327"/>
      <c r="IU923" s="327"/>
      <c r="IV923" s="323"/>
      <c r="IW923" s="327"/>
      <c r="IX923" s="327"/>
      <c r="IY923" s="323"/>
      <c r="IZ923" s="327">
        <f t="shared" si="1878"/>
        <v>0</v>
      </c>
      <c r="JA923" s="327">
        <f t="shared" si="1879"/>
        <v>0</v>
      </c>
      <c r="JB923" s="323">
        <f t="shared" si="1823"/>
        <v>0</v>
      </c>
      <c r="JC923" s="327">
        <f>SUM(GI923:GN923)</f>
        <v>0</v>
      </c>
      <c r="JD923" s="327">
        <f>SUM(GO923:GT923)</f>
        <v>0</v>
      </c>
      <c r="JE923" s="323">
        <f t="shared" si="1834"/>
        <v>0</v>
      </c>
      <c r="JF923" s="327"/>
      <c r="JG923" s="327"/>
      <c r="JH923" s="323"/>
      <c r="JI923" s="327">
        <f t="shared" si="1744"/>
        <v>0</v>
      </c>
      <c r="JJ923" s="327">
        <f t="shared" si="1871"/>
        <v>0</v>
      </c>
      <c r="JK923" s="323">
        <f t="shared" si="1683"/>
        <v>0</v>
      </c>
      <c r="JL923" s="327">
        <f t="shared" si="1704"/>
        <v>0</v>
      </c>
      <c r="JN923" s="323">
        <f>FISC!AK1244</f>
        <v>0</v>
      </c>
      <c r="JO923" s="327"/>
      <c r="JQ923" s="323">
        <f>FISC!AL1244</f>
        <v>0</v>
      </c>
      <c r="JR923" s="327"/>
      <c r="JT923" s="323">
        <f>FISC!AM1244</f>
        <v>0</v>
      </c>
      <c r="JU923" s="327"/>
      <c r="JW923" s="323">
        <f>FISC!AN1244</f>
        <v>0</v>
      </c>
      <c r="JX923" s="327"/>
      <c r="JZ923" s="323">
        <f>FISC!AO1244</f>
        <v>0</v>
      </c>
      <c r="KA923" s="327"/>
      <c r="KC923" s="323">
        <f>FISC!AP1244</f>
        <v>0</v>
      </c>
      <c r="KD923" s="327"/>
      <c r="KF923" s="323">
        <f>FISC!AQ1244</f>
        <v>0</v>
      </c>
      <c r="KG923" s="327"/>
      <c r="KI923" s="323">
        <f>FISC!AR1244</f>
        <v>0</v>
      </c>
      <c r="KJ923" s="327"/>
      <c r="KL923" s="323">
        <f>FISC!AS1244</f>
        <v>0</v>
      </c>
      <c r="KM923" s="327"/>
      <c r="KO923" s="323">
        <f>FISC!AT1244</f>
        <v>0</v>
      </c>
      <c r="KU923" s="326"/>
      <c r="KV923" s="327"/>
    </row>
    <row r="924" spans="1:314">
      <c r="A924" s="279"/>
      <c r="B924" s="96" t="s">
        <v>338</v>
      </c>
      <c r="D924" s="330" t="s">
        <v>559</v>
      </c>
      <c r="E924" s="323">
        <f t="shared" ref="E924:AJ924" si="1890">+E754-E850-E907</f>
        <v>0</v>
      </c>
      <c r="F924" s="323">
        <f t="shared" si="1890"/>
        <v>0</v>
      </c>
      <c r="G924" s="323">
        <f t="shared" si="1890"/>
        <v>0</v>
      </c>
      <c r="H924" s="323">
        <f t="shared" si="1890"/>
        <v>0</v>
      </c>
      <c r="I924" s="323">
        <f t="shared" si="1890"/>
        <v>0</v>
      </c>
      <c r="J924" s="323">
        <f t="shared" si="1890"/>
        <v>0</v>
      </c>
      <c r="K924" s="323">
        <f t="shared" si="1890"/>
        <v>0</v>
      </c>
      <c r="L924" s="323">
        <f t="shared" si="1890"/>
        <v>0</v>
      </c>
      <c r="M924" s="323">
        <f t="shared" si="1890"/>
        <v>0</v>
      </c>
      <c r="N924" s="323">
        <f t="shared" si="1890"/>
        <v>0</v>
      </c>
      <c r="O924" s="323">
        <f t="shared" si="1890"/>
        <v>0</v>
      </c>
      <c r="P924" s="323">
        <f t="shared" si="1890"/>
        <v>0</v>
      </c>
      <c r="Q924" s="323">
        <f t="shared" si="1890"/>
        <v>0</v>
      </c>
      <c r="R924" s="323">
        <f t="shared" si="1890"/>
        <v>0</v>
      </c>
      <c r="S924" s="323">
        <f t="shared" si="1890"/>
        <v>0</v>
      </c>
      <c r="T924" s="323">
        <f t="shared" si="1890"/>
        <v>0</v>
      </c>
      <c r="U924" s="323">
        <f t="shared" si="1890"/>
        <v>0</v>
      </c>
      <c r="V924" s="323">
        <f t="shared" si="1890"/>
        <v>0</v>
      </c>
      <c r="W924" s="323">
        <f t="shared" si="1890"/>
        <v>0</v>
      </c>
      <c r="X924" s="323">
        <f t="shared" si="1890"/>
        <v>0</v>
      </c>
      <c r="Y924" s="323">
        <f t="shared" si="1890"/>
        <v>0</v>
      </c>
      <c r="Z924" s="323">
        <f t="shared" si="1890"/>
        <v>0</v>
      </c>
      <c r="AA924" s="323">
        <f t="shared" si="1890"/>
        <v>0</v>
      </c>
      <c r="AB924" s="323">
        <f t="shared" si="1890"/>
        <v>0</v>
      </c>
      <c r="AC924" s="323">
        <f t="shared" si="1890"/>
        <v>0</v>
      </c>
      <c r="AD924" s="323">
        <f t="shared" si="1890"/>
        <v>0</v>
      </c>
      <c r="AE924" s="323">
        <f t="shared" si="1890"/>
        <v>0</v>
      </c>
      <c r="AF924" s="323">
        <f t="shared" si="1890"/>
        <v>0</v>
      </c>
      <c r="AG924" s="323">
        <f t="shared" si="1890"/>
        <v>0</v>
      </c>
      <c r="AH924" s="323">
        <f t="shared" si="1890"/>
        <v>0</v>
      </c>
      <c r="AI924" s="323">
        <f t="shared" si="1890"/>
        <v>0</v>
      </c>
      <c r="AJ924" s="323">
        <f t="shared" si="1890"/>
        <v>0</v>
      </c>
      <c r="AK924" s="323">
        <f t="shared" ref="AK924:BP924" si="1891">+AK754-AK850-AK907</f>
        <v>0</v>
      </c>
      <c r="AL924" s="323">
        <f t="shared" si="1891"/>
        <v>0</v>
      </c>
      <c r="AM924" s="323">
        <f t="shared" si="1891"/>
        <v>0</v>
      </c>
      <c r="AN924" s="323">
        <f t="shared" si="1891"/>
        <v>0</v>
      </c>
      <c r="AO924" s="323">
        <f t="shared" si="1891"/>
        <v>49.400217065693496</v>
      </c>
      <c r="AP924" s="323">
        <f t="shared" si="1891"/>
        <v>25.622571089368499</v>
      </c>
      <c r="AQ924" s="323">
        <f t="shared" si="1891"/>
        <v>49.377613606619597</v>
      </c>
      <c r="AR924" s="323">
        <f t="shared" si="1891"/>
        <v>47.635893483708863</v>
      </c>
      <c r="AS924" s="323">
        <f t="shared" si="1891"/>
        <v>35.294126524572633</v>
      </c>
      <c r="AT924" s="323">
        <f t="shared" si="1891"/>
        <v>142.50100410549555</v>
      </c>
      <c r="AU924" s="323">
        <f t="shared" si="1891"/>
        <v>35.926838502372902</v>
      </c>
      <c r="AV924" s="323">
        <f t="shared" si="1891"/>
        <v>37.058652320060034</v>
      </c>
      <c r="AW924" s="323">
        <f t="shared" si="1891"/>
        <v>97.305234257372689</v>
      </c>
      <c r="AX924" s="323">
        <f t="shared" si="1891"/>
        <v>64.11043239519249</v>
      </c>
      <c r="AY924" s="323">
        <f t="shared" si="1891"/>
        <v>39.182231080533917</v>
      </c>
      <c r="AZ924" s="323">
        <f t="shared" si="1891"/>
        <v>75.782830687742262</v>
      </c>
      <c r="BA924" s="323">
        <f t="shared" si="1891"/>
        <v>33.091572293166763</v>
      </c>
      <c r="BB924" s="323">
        <f t="shared" si="1891"/>
        <v>33.18907983741984</v>
      </c>
      <c r="BC924" s="323">
        <f t="shared" si="1891"/>
        <v>38.956923720701269</v>
      </c>
      <c r="BD924" s="323">
        <f t="shared" si="1891"/>
        <v>114.95957863109896</v>
      </c>
      <c r="BE924" s="323">
        <f t="shared" si="1891"/>
        <v>35.166646755218636</v>
      </c>
      <c r="BF924" s="323">
        <f t="shared" si="1891"/>
        <v>66.692662215191731</v>
      </c>
      <c r="BG924" s="323">
        <f t="shared" si="1891"/>
        <v>20.388145502762562</v>
      </c>
      <c r="BH924" s="323">
        <f t="shared" si="1891"/>
        <v>-9.2078320636189943</v>
      </c>
      <c r="BI924" s="323">
        <f t="shared" si="1891"/>
        <v>13.092948375074222</v>
      </c>
      <c r="BJ924" s="323">
        <f t="shared" si="1891"/>
        <v>-26.440108551884734</v>
      </c>
      <c r="BK924" s="323">
        <f t="shared" si="1891"/>
        <v>-29.224930722817902</v>
      </c>
      <c r="BL924" s="323">
        <f t="shared" si="1891"/>
        <v>84.410162341847666</v>
      </c>
      <c r="BM924" s="323">
        <f t="shared" si="1891"/>
        <v>-44.958651826957109</v>
      </c>
      <c r="BN924" s="323">
        <f t="shared" si="1891"/>
        <v>-18.908860436826735</v>
      </c>
      <c r="BO924" s="323">
        <f t="shared" si="1891"/>
        <v>19.037651689046292</v>
      </c>
      <c r="BP924" s="323">
        <f t="shared" si="1891"/>
        <v>-69.812806269244192</v>
      </c>
      <c r="BQ924" s="323">
        <f t="shared" ref="BQ924:CD924" si="1892">+BQ754-BQ850-BQ907</f>
        <v>-63.979123292294858</v>
      </c>
      <c r="BR924" s="323">
        <f t="shared" si="1892"/>
        <v>65.15532343998423</v>
      </c>
      <c r="BS924" s="323">
        <f t="shared" si="1892"/>
        <v>6.0694768288844614</v>
      </c>
      <c r="BT924" s="323">
        <f t="shared" si="1892"/>
        <v>-26.352133359487432</v>
      </c>
      <c r="BU924" s="323">
        <f t="shared" si="1892"/>
        <v>18.472697623059339</v>
      </c>
      <c r="BV924" s="323">
        <f t="shared" si="1892"/>
        <v>-16.695729181569973</v>
      </c>
      <c r="BW924" s="323">
        <f t="shared" si="1892"/>
        <v>-29.343123673461093</v>
      </c>
      <c r="BX924" s="323">
        <f t="shared" si="1892"/>
        <v>26.670872886249363</v>
      </c>
      <c r="BY924" s="323">
        <f t="shared" si="1892"/>
        <v>-30.293054584938016</v>
      </c>
      <c r="BZ924" s="323">
        <f t="shared" si="1892"/>
        <v>-33.240856614792129</v>
      </c>
      <c r="CA924" s="323">
        <f t="shared" si="1892"/>
        <v>35.902338399363416</v>
      </c>
      <c r="CB924" s="323">
        <f t="shared" si="1892"/>
        <v>-48.338747381329469</v>
      </c>
      <c r="CC924" s="323">
        <f t="shared" si="1892"/>
        <v>-74.416872919694569</v>
      </c>
      <c r="CD924" s="329">
        <f t="shared" si="1892"/>
        <v>-34.433830394705687</v>
      </c>
      <c r="CE924" s="323">
        <f>CE905-CE907</f>
        <v>-26.76185212157538</v>
      </c>
      <c r="CF924" s="323">
        <f t="shared" ref="CF924:EQ924" si="1893">CF905-CF907</f>
        <v>-5.2596285925837307</v>
      </c>
      <c r="CG924" s="323">
        <f t="shared" si="1893"/>
        <v>35.609336685156919</v>
      </c>
      <c r="CH924" s="323">
        <f t="shared" si="1893"/>
        <v>-52.968378472524918</v>
      </c>
      <c r="CI924" s="323">
        <f t="shared" si="1893"/>
        <v>-17.980203433658978</v>
      </c>
      <c r="CJ924" s="323">
        <f t="shared" si="1893"/>
        <v>49.28227589094034</v>
      </c>
      <c r="CK924" s="323">
        <f t="shared" si="1893"/>
        <v>-65.473311290370461</v>
      </c>
      <c r="CL924" s="323">
        <f t="shared" si="1893"/>
        <v>-19.423014050475096</v>
      </c>
      <c r="CM924" s="323">
        <f t="shared" si="1893"/>
        <v>2.0856531782861225</v>
      </c>
      <c r="CN924" s="323">
        <f t="shared" si="1893"/>
        <v>-81.689248869119439</v>
      </c>
      <c r="CO924" s="323">
        <f t="shared" si="1893"/>
        <v>-55.931871386335885</v>
      </c>
      <c r="CP924" s="325">
        <f t="shared" si="1893"/>
        <v>30.861111029611408</v>
      </c>
      <c r="CQ924" s="323">
        <f t="shared" si="1893"/>
        <v>-36.660895445730844</v>
      </c>
      <c r="CR924" s="323">
        <f t="shared" si="1893"/>
        <v>-33.413483721185813</v>
      </c>
      <c r="CS924" s="323">
        <f t="shared" si="1893"/>
        <v>-11.297947430122164</v>
      </c>
      <c r="CT924" s="323">
        <f t="shared" si="1893"/>
        <v>-35.939222771696421</v>
      </c>
      <c r="CU924" s="323">
        <f t="shared" si="1893"/>
        <v>-30.996157782083145</v>
      </c>
      <c r="CV924" s="323">
        <f t="shared" si="1893"/>
        <v>63.525107592475962</v>
      </c>
      <c r="CW924" s="323">
        <f t="shared" si="1893"/>
        <v>-49.081097385674973</v>
      </c>
      <c r="CX924" s="323">
        <f t="shared" si="1893"/>
        <v>-19.389191516231058</v>
      </c>
      <c r="CY924" s="323">
        <f t="shared" si="1893"/>
        <v>11.952094492553186</v>
      </c>
      <c r="CZ924" s="323">
        <f t="shared" si="1893"/>
        <v>-83.271125193451383</v>
      </c>
      <c r="DA924" s="323">
        <f t="shared" si="1893"/>
        <v>-19.203788652399552</v>
      </c>
      <c r="DB924" s="1269">
        <f t="shared" si="1893"/>
        <v>39.164246564318063</v>
      </c>
      <c r="DC924" s="323">
        <f t="shared" si="1893"/>
        <v>-34.559898150377805</v>
      </c>
      <c r="DD924" s="323">
        <f t="shared" si="1893"/>
        <v>-32.057409682394436</v>
      </c>
      <c r="DE924" s="323">
        <f t="shared" si="1893"/>
        <v>-0.36450229184924865</v>
      </c>
      <c r="DF924" s="323">
        <f t="shared" si="1893"/>
        <v>-93.316707287972179</v>
      </c>
      <c r="DG924" s="323">
        <f t="shared" si="1893"/>
        <v>2.0104248696506346</v>
      </c>
      <c r="DH924" s="323">
        <f t="shared" si="1893"/>
        <v>36.171101518363777</v>
      </c>
      <c r="DI924" s="323">
        <f t="shared" si="1893"/>
        <v>-95.95068740524087</v>
      </c>
      <c r="DJ924" s="323">
        <f t="shared" si="1893"/>
        <v>-28.479734629944204</v>
      </c>
      <c r="DK924" s="323">
        <f t="shared" si="1893"/>
        <v>25.753921366478885</v>
      </c>
      <c r="DL924" s="323">
        <f t="shared" si="1893"/>
        <v>-40.805174851373948</v>
      </c>
      <c r="DM924" s="323">
        <f t="shared" si="1893"/>
        <v>-56.648422676147888</v>
      </c>
      <c r="DN924" s="325">
        <f t="shared" si="1893"/>
        <v>95.530471863579933</v>
      </c>
      <c r="DO924" s="323">
        <f t="shared" si="1893"/>
        <v>-67.793174901896663</v>
      </c>
      <c r="DP924" s="323">
        <f t="shared" si="1893"/>
        <v>-51.558953804788672</v>
      </c>
      <c r="DQ924" s="323">
        <f t="shared" si="1893"/>
        <v>15.64118833443554</v>
      </c>
      <c r="DR924" s="323">
        <f t="shared" si="1893"/>
        <v>-104.45040069741543</v>
      </c>
      <c r="DS924" s="323">
        <f t="shared" si="1893"/>
        <v>-46.451659220656566</v>
      </c>
      <c r="DT924" s="323">
        <f t="shared" si="1893"/>
        <v>41.306515771896905</v>
      </c>
      <c r="DU924" s="323">
        <f t="shared" si="1893"/>
        <v>-78.17735156202852</v>
      </c>
      <c r="DV924" s="323">
        <f t="shared" si="1893"/>
        <v>-45.023054028591375</v>
      </c>
      <c r="DW924" s="323">
        <f t="shared" si="1893"/>
        <v>57.066654138392153</v>
      </c>
      <c r="DX924" s="323">
        <f t="shared" si="1893"/>
        <v>-114.57496014684085</v>
      </c>
      <c r="DY924" s="323">
        <f t="shared" si="1893"/>
        <v>-65.571834981162141</v>
      </c>
      <c r="DZ924" s="325">
        <f t="shared" si="1893"/>
        <v>125.01445637371866</v>
      </c>
      <c r="EA924" s="323">
        <f t="shared" si="1893"/>
        <v>-57.313987345116736</v>
      </c>
      <c r="EB924" s="323">
        <f t="shared" si="1893"/>
        <v>-77.343484609301498</v>
      </c>
      <c r="EC924" s="323">
        <f t="shared" si="1893"/>
        <v>-37.521140206801533</v>
      </c>
      <c r="ED924" s="323">
        <f t="shared" si="1893"/>
        <v>-50.080393728066291</v>
      </c>
      <c r="EE924" s="323">
        <f t="shared" si="1893"/>
        <v>-26.711908305778202</v>
      </c>
      <c r="EF924" s="323">
        <f t="shared" si="1893"/>
        <v>89.768901925736941</v>
      </c>
      <c r="EG924" s="323">
        <f t="shared" si="1893"/>
        <v>-84.713233505393134</v>
      </c>
      <c r="EH924" s="323">
        <f t="shared" si="1893"/>
        <v>-27.645032206043027</v>
      </c>
      <c r="EI924" s="323">
        <f t="shared" si="1893"/>
        <v>-2.8818703263689827</v>
      </c>
      <c r="EJ924" s="323">
        <f t="shared" si="1893"/>
        <v>-3.5044192872802284</v>
      </c>
      <c r="EK924" s="323">
        <f t="shared" si="1893"/>
        <v>-92.368079706266357</v>
      </c>
      <c r="EL924" s="325">
        <f t="shared" si="1893"/>
        <v>34.174433736053345</v>
      </c>
      <c r="EM924" s="323">
        <f t="shared" si="1893"/>
        <v>-41.2450320747406</v>
      </c>
      <c r="EN924" s="323">
        <f t="shared" si="1893"/>
        <v>7.422019092168874</v>
      </c>
      <c r="EO924" s="323">
        <f t="shared" si="1893"/>
        <v>17.707427153892567</v>
      </c>
      <c r="EP924" s="323">
        <f t="shared" si="1893"/>
        <v>-78.118257061342888</v>
      </c>
      <c r="EQ924" s="323">
        <f t="shared" si="1893"/>
        <v>-76.845800526046219</v>
      </c>
      <c r="ER924" s="323">
        <f t="shared" ref="ER924:FP924" si="1894">ER905-ER907</f>
        <v>81.217656399050668</v>
      </c>
      <c r="ES924" s="323">
        <f t="shared" si="1894"/>
        <v>-60.266377327107989</v>
      </c>
      <c r="ET924" s="323">
        <f t="shared" si="1894"/>
        <v>-41.160456708597167</v>
      </c>
      <c r="EU924" s="323">
        <f t="shared" si="1894"/>
        <v>-19.680836220710262</v>
      </c>
      <c r="EV924" s="323">
        <f t="shared" si="1894"/>
        <v>-186.73503605876331</v>
      </c>
      <c r="EW924" s="323">
        <f t="shared" si="1894"/>
        <v>-146.11055731892336</v>
      </c>
      <c r="EX924" s="325">
        <f t="shared" si="1894"/>
        <v>27.301063580472629</v>
      </c>
      <c r="EY924" s="323">
        <f t="shared" si="1894"/>
        <v>-59.216367257956648</v>
      </c>
      <c r="EZ924" s="323">
        <f t="shared" si="1894"/>
        <v>-82.319959607727796</v>
      </c>
      <c r="FA924" s="323">
        <f t="shared" si="1894"/>
        <v>-18.098107669984017</v>
      </c>
      <c r="FB924" s="323">
        <f t="shared" si="1894"/>
        <v>-62.561266838505546</v>
      </c>
      <c r="FC924" s="323">
        <f t="shared" si="1894"/>
        <v>-106.06364391905292</v>
      </c>
      <c r="FD924" s="323">
        <f t="shared" si="1894"/>
        <v>37.51269365835077</v>
      </c>
      <c r="FE924" s="323">
        <f t="shared" si="1894"/>
        <v>-56.522321434854447</v>
      </c>
      <c r="FF924" s="323">
        <f t="shared" si="1894"/>
        <v>-85.515491389180781</v>
      </c>
      <c r="FG924" s="323">
        <f t="shared" si="1894"/>
        <v>-85.304897356243018</v>
      </c>
      <c r="FH924" s="323">
        <f t="shared" si="1894"/>
        <v>-58.35522396751179</v>
      </c>
      <c r="FI924" s="323">
        <f t="shared" si="1894"/>
        <v>-213.86257033313089</v>
      </c>
      <c r="FJ924" s="325">
        <f t="shared" si="1894"/>
        <v>49.039345260663907</v>
      </c>
      <c r="FK924" s="323">
        <f t="shared" si="1894"/>
        <v>-264.96794418352499</v>
      </c>
      <c r="FL924" s="323">
        <f t="shared" si="1894"/>
        <v>-114.95851901912394</v>
      </c>
      <c r="FM924" s="323">
        <f t="shared" si="1894"/>
        <v>78.4016167845013</v>
      </c>
      <c r="FN924" s="323">
        <f t="shared" si="1894"/>
        <v>-15.473275464505576</v>
      </c>
      <c r="FO924" s="323">
        <f t="shared" si="1894"/>
        <v>-131.70245408023607</v>
      </c>
      <c r="FP924" s="323">
        <f t="shared" si="1894"/>
        <v>-16.626132025068102</v>
      </c>
      <c r="FQ924" s="323">
        <f t="shared" ref="FQ924:FV924" si="1895">FQ905-FQ907</f>
        <v>-87.504129940396297</v>
      </c>
      <c r="FR924" s="323">
        <f t="shared" si="1895"/>
        <v>-92.726807076614648</v>
      </c>
      <c r="FS924" s="323">
        <f t="shared" si="1895"/>
        <v>3.600993323486108</v>
      </c>
      <c r="FT924" s="323">
        <f t="shared" si="1895"/>
        <v>-19.252098963747571</v>
      </c>
      <c r="FU924" s="323">
        <f t="shared" si="1895"/>
        <v>-233.57140353518332</v>
      </c>
      <c r="FV924" s="323">
        <f t="shared" si="1895"/>
        <v>118.7575575858867</v>
      </c>
      <c r="FW924" s="323">
        <v>-86.757764847063982</v>
      </c>
      <c r="FX924" s="323">
        <v>-55.126535181717074</v>
      </c>
      <c r="FY924" s="323">
        <v>-114.4853690854966</v>
      </c>
      <c r="FZ924" s="323">
        <v>-121.23602056953979</v>
      </c>
      <c r="GA924" s="323">
        <v>-33.249545396800073</v>
      </c>
      <c r="GB924" s="323">
        <v>-47.341804396159858</v>
      </c>
      <c r="GC924" s="323">
        <v>-136.27992244803835</v>
      </c>
      <c r="GD924" s="323">
        <v>-138.87711470864298</v>
      </c>
      <c r="GE924" s="323">
        <v>52.948797802354164</v>
      </c>
      <c r="GF924" s="323">
        <v>-107.55231464362349</v>
      </c>
      <c r="GG924" s="323">
        <v>-2.0227516473765661</v>
      </c>
      <c r="GH924" s="323">
        <v>20.223345017978289</v>
      </c>
      <c r="GI924" s="1654">
        <f>GI905-GI907</f>
        <v>-119.82721240152608</v>
      </c>
      <c r="GJ924" s="1654">
        <f t="shared" ref="GJ924:HF924" si="1896">GJ905-GJ907</f>
        <v>-206.81240472619362</v>
      </c>
      <c r="GK924" s="1654">
        <f t="shared" si="1896"/>
        <v>-85.118190233862578</v>
      </c>
      <c r="GL924" s="1654">
        <f t="shared" si="1896"/>
        <v>-90.287577173477715</v>
      </c>
      <c r="GM924" s="1654">
        <f t="shared" si="1896"/>
        <v>-90.039899140738882</v>
      </c>
      <c r="GN924" s="1654">
        <f t="shared" si="1896"/>
        <v>106.06051466289834</v>
      </c>
      <c r="GO924" s="1654">
        <f t="shared" si="1896"/>
        <v>-138.18131109631906</v>
      </c>
      <c r="GP924" s="1654">
        <f t="shared" si="1896"/>
        <v>-107.36518267174233</v>
      </c>
      <c r="GQ924" s="1654">
        <f t="shared" si="1896"/>
        <v>5.4845081050236217</v>
      </c>
      <c r="GR924" s="1654">
        <f t="shared" si="1896"/>
        <v>-95.87491578734361</v>
      </c>
      <c r="GS924" s="1654">
        <f t="shared" si="1896"/>
        <v>-283.39827252293298</v>
      </c>
      <c r="GT924" s="1654">
        <f t="shared" si="1896"/>
        <v>129.80827924069203</v>
      </c>
      <c r="GU924" s="1654">
        <f t="shared" si="1896"/>
        <v>-13.166302843553865</v>
      </c>
      <c r="GV924" s="1654">
        <f t="shared" si="1896"/>
        <v>-141.75561409930054</v>
      </c>
      <c r="GW924" s="1654">
        <f t="shared" si="1896"/>
        <v>-25.523268882072074</v>
      </c>
      <c r="GX924" s="1654">
        <f t="shared" si="1896"/>
        <v>-72.020071563158581</v>
      </c>
      <c r="GY924" s="1654">
        <f t="shared" si="1896"/>
        <v>-133.94463202911717</v>
      </c>
      <c r="GZ924" s="1654">
        <f t="shared" si="1896"/>
        <v>6.3541819370678354</v>
      </c>
      <c r="HA924" s="1654">
        <f t="shared" si="1896"/>
        <v>-154.04746010444717</v>
      </c>
      <c r="HB924" s="1654">
        <f t="shared" si="1896"/>
        <v>-230.22940226401514</v>
      </c>
      <c r="HC924" s="1654">
        <f t="shared" si="1896"/>
        <v>-83.788532480383736</v>
      </c>
      <c r="HD924" s="1654">
        <f t="shared" si="1896"/>
        <v>-34.315275520168996</v>
      </c>
      <c r="HE924" s="1654">
        <f t="shared" si="1896"/>
        <v>-131.09396313112808</v>
      </c>
      <c r="HF924" s="1654">
        <f t="shared" si="1896"/>
        <v>-103.24125667142789</v>
      </c>
      <c r="HG924" s="1654">
        <f t="shared" ref="HG924:HL924" si="1897">HG905-HG907</f>
        <v>-52.031529887230562</v>
      </c>
      <c r="HH924" s="1654">
        <f t="shared" si="1897"/>
        <v>-179.43591956443561</v>
      </c>
      <c r="HI924" s="1654">
        <f t="shared" si="1897"/>
        <v>18.01911978278963</v>
      </c>
      <c r="HJ924" s="1654">
        <f t="shared" si="1897"/>
        <v>-153.27775952331049</v>
      </c>
      <c r="HK924" s="1654">
        <f t="shared" si="1897"/>
        <v>-131.16991185962368</v>
      </c>
      <c r="HL924" s="1654">
        <f t="shared" si="1897"/>
        <v>1.1595276451691916</v>
      </c>
      <c r="HM924" s="1654">
        <f t="shared" ref="HM924:HR924" si="1898">HM905-HM907</f>
        <v>-105.20061881012219</v>
      </c>
      <c r="HN924" s="1654">
        <f t="shared" si="1898"/>
        <v>-221.05839258702005</v>
      </c>
      <c r="HO924" s="1654">
        <f t="shared" si="1898"/>
        <v>-92.392918012726966</v>
      </c>
      <c r="HP924" s="1654">
        <f t="shared" si="1898"/>
        <v>-18.064375965568601</v>
      </c>
      <c r="HQ924" s="1654">
        <f t="shared" si="1898"/>
        <v>-165.43562804090374</v>
      </c>
      <c r="HR924" s="1654">
        <f t="shared" si="1898"/>
        <v>84.52038467792147</v>
      </c>
      <c r="HS924" s="1654">
        <f t="shared" ref="HS924:HX924" si="1899">HS905-HS907</f>
        <v>-26.459055154178856</v>
      </c>
      <c r="HT924" s="1654">
        <f t="shared" si="1899"/>
        <v>-215.55677082240953</v>
      </c>
      <c r="HU924" s="1654">
        <f t="shared" si="1899"/>
        <v>36.032896772395247</v>
      </c>
      <c r="HV924" s="1654">
        <f t="shared" si="1899"/>
        <v>-36.998902468016425</v>
      </c>
      <c r="HW924" s="1654">
        <f t="shared" si="1899"/>
        <v>-211.73208731589574</v>
      </c>
      <c r="HX924" s="1654">
        <f t="shared" si="1899"/>
        <v>-14.825480850014912</v>
      </c>
      <c r="HY924" s="1654"/>
      <c r="HZ924" s="326"/>
      <c r="IA924" s="330" t="s">
        <v>559</v>
      </c>
      <c r="IB924" s="284">
        <f>SUM(CE924:CJ924)</f>
        <v>-18.078450044245741</v>
      </c>
      <c r="IC924" s="279">
        <f>SUM(CK924:CP924)</f>
        <v>-189.57068138840336</v>
      </c>
      <c r="ID924" s="323">
        <f>IB924+IC924</f>
        <v>-207.64913143264909</v>
      </c>
      <c r="IE924" s="279">
        <f>SUM(CQ924:CV924)</f>
        <v>-84.782599558342412</v>
      </c>
      <c r="IF924" s="279">
        <f>SUM(CW924:DB924)</f>
        <v>-119.8288616908857</v>
      </c>
      <c r="IG924" s="323">
        <f>IE924+IF924</f>
        <v>-204.61146124922811</v>
      </c>
      <c r="IH924" s="284">
        <f>SUM(DC924:DH924)</f>
        <v>-122.11699102457928</v>
      </c>
      <c r="II924" s="279">
        <f>SUM(DI924:DN924)</f>
        <v>-100.59962633264807</v>
      </c>
      <c r="IJ924" s="323">
        <f>IH924+II924</f>
        <v>-222.71661735722734</v>
      </c>
      <c r="IK924" s="327">
        <f>SUM(DO924:DT924)</f>
        <v>-213.3064845184249</v>
      </c>
      <c r="IL924" s="279">
        <f>SUM(DU924:DZ924)</f>
        <v>-121.26609020651206</v>
      </c>
      <c r="IM924" s="323">
        <f>IK924+IL924</f>
        <v>-334.57257472493694</v>
      </c>
      <c r="IN924" s="279">
        <f>SUM(EA924:EF924)</f>
        <v>-159.20201226932733</v>
      </c>
      <c r="IO924" s="279">
        <f>SUM(EG924:EL924)</f>
        <v>-176.93820129529837</v>
      </c>
      <c r="IP924" s="323">
        <f>IN924+IO924</f>
        <v>-336.1402135646257</v>
      </c>
      <c r="IQ924" s="327">
        <f>SUM(EM924:ER924)</f>
        <v>-89.861987017017611</v>
      </c>
      <c r="IR924" s="327">
        <f>SUM(ES924:EX924)</f>
        <v>-426.65220005362949</v>
      </c>
      <c r="IS924" s="323">
        <f>IQ924+IR924</f>
        <v>-516.51418707064704</v>
      </c>
      <c r="IT924" s="327">
        <f>SUM(EY924:FD924)</f>
        <v>-290.74665163487617</v>
      </c>
      <c r="IU924" s="327">
        <f>SUM(FE924:FJ924)</f>
        <v>-450.521159220257</v>
      </c>
      <c r="IV924" s="323">
        <f>IT924+IU924</f>
        <v>-741.26781085513312</v>
      </c>
      <c r="IW924" s="327">
        <f>SUM(FK924:FP924)</f>
        <v>-465.32670798795738</v>
      </c>
      <c r="IX924" s="327">
        <f>SUM(FQ924:FV924)</f>
        <v>-310.69588860656904</v>
      </c>
      <c r="IY924" s="323">
        <f t="shared" si="1621"/>
        <v>-776.02259659452648</v>
      </c>
      <c r="IZ924" s="327">
        <f t="shared" si="1878"/>
        <v>-458.19703947677738</v>
      </c>
      <c r="JA924" s="327">
        <f t="shared" si="1879"/>
        <v>-311.55996062734891</v>
      </c>
      <c r="JB924" s="323">
        <f t="shared" si="1823"/>
        <v>-769.75700010412629</v>
      </c>
      <c r="JC924" s="327">
        <f>+JC754-JC850-JC907</f>
        <v>-486.02476901290061</v>
      </c>
      <c r="JD924" s="327">
        <f>+JD754-JD850-JD907</f>
        <v>-489.5268947326224</v>
      </c>
      <c r="JE924" s="327">
        <f>+JE754-JE850-JE907</f>
        <v>-975.55166374552277</v>
      </c>
      <c r="JF924" s="327">
        <f>+JF754-JF850-JF907</f>
        <v>-372.085507090134</v>
      </c>
      <c r="JG924" s="327">
        <f>+JG754-JG850-JG907</f>
        <v>-744.71961303669832</v>
      </c>
      <c r="JH924" s="327">
        <f t="shared" si="1703"/>
        <v>-1116.8051201268322</v>
      </c>
      <c r="JI924" s="327">
        <f t="shared" si="1744"/>
        <v>-496.73647340664149</v>
      </c>
      <c r="JJ924" s="327">
        <f t="shared" si="1871"/>
        <v>-517.63154873842007</v>
      </c>
      <c r="JK924" s="323">
        <f t="shared" si="1683"/>
        <v>-1014.3680221450616</v>
      </c>
      <c r="JL924" s="327">
        <f t="shared" si="1704"/>
        <v>-469.53939983812023</v>
      </c>
      <c r="JM924" s="327">
        <f>+JM754-JM850-JM907</f>
        <v>-387.91665227600197</v>
      </c>
      <c r="JN924" s="323">
        <f>FISC!AK1245</f>
        <v>-857.45605211412203</v>
      </c>
      <c r="JO924" s="327">
        <f>+JO754-JO850-JO907</f>
        <v>-868.74753521528805</v>
      </c>
      <c r="JP924" s="327">
        <f>+JP754-JP850-JP907</f>
        <v>-100.24971168968045</v>
      </c>
      <c r="JQ924" s="323">
        <f>FISC!AL1245</f>
        <v>-968.99724690496851</v>
      </c>
      <c r="JR924" s="327">
        <f>+JR754-JR850-JR907</f>
        <v>-916.70527136174724</v>
      </c>
      <c r="JS924" s="327">
        <f>+JS754-JS850-JS907</f>
        <v>-122.34739054187366</v>
      </c>
      <c r="JT924" s="323">
        <f>FISC!AM1245</f>
        <v>-1039.0526619036209</v>
      </c>
      <c r="JU924" s="327">
        <f>+JU754-JU850-JU907</f>
        <v>-851.36409076207633</v>
      </c>
      <c r="JV924" s="327">
        <f>+JV754-JV850-JV907</f>
        <v>-177.89846300142403</v>
      </c>
      <c r="JW924" s="323">
        <f>FISC!AN1245</f>
        <v>-1029.2625537635004</v>
      </c>
      <c r="JX924" s="327">
        <f>+JX754-JX850-JX907</f>
        <v>-983.74545808607422</v>
      </c>
      <c r="JY924" s="327">
        <f>+JY754-JY850-JY907</f>
        <v>-204.09466004075898</v>
      </c>
      <c r="JZ924" s="323">
        <f>FISC!AO1245</f>
        <v>-1187.8401181268327</v>
      </c>
      <c r="KA924" s="327">
        <f>+KA754-KA850-KA907</f>
        <v>-1168.9795093364924</v>
      </c>
      <c r="KB924" s="327">
        <f>+KB754-KB850-KB907</f>
        <v>-182.18423321260752</v>
      </c>
      <c r="KC924" s="323">
        <f>FISC!AP1245</f>
        <v>-1351.1637425490999</v>
      </c>
      <c r="KD924" s="327">
        <f>+KD754-KD850-KD907</f>
        <v>-895.23146726545338</v>
      </c>
      <c r="KE924" s="327">
        <f>+KE754-KE850-KE907</f>
        <v>-733.41984769163582</v>
      </c>
      <c r="KF924" s="323">
        <f>FISC!AQ1245</f>
        <v>-1628.6513149570892</v>
      </c>
      <c r="KG924" s="327">
        <f>+KG754-KG850-KG907</f>
        <v>-1220.9183675439324</v>
      </c>
      <c r="KH924" s="327">
        <f>+KH754-KH850-KH907</f>
        <v>-349.26059743914197</v>
      </c>
      <c r="KI924" s="323">
        <f>FISC!AR1245</f>
        <v>-1570.1789649830744</v>
      </c>
      <c r="KJ924" s="327">
        <f>+KJ754-KJ850-KJ907</f>
        <v>-1645.9009136229351</v>
      </c>
      <c r="KK924" s="327">
        <f>+KK754-KK850-KK907</f>
        <v>-533.3861269273757</v>
      </c>
      <c r="KL924" s="323">
        <f>FISC!AS1245</f>
        <v>-2179.2870405503108</v>
      </c>
      <c r="KM924" s="327">
        <f>+KM754-KM850-KM907</f>
        <v>-2011.07318292643</v>
      </c>
      <c r="KN924" s="327">
        <f>+KN754-KN850-KN907</f>
        <v>-687.8664248922455</v>
      </c>
      <c r="KO924" s="323">
        <f>FISC!AT1245</f>
        <v>-2698.9396078186755</v>
      </c>
      <c r="KU924" s="326"/>
      <c r="KV924" s="327"/>
      <c r="KY924" s="279">
        <f>+KY754-KY850-KY907</f>
        <v>0</v>
      </c>
      <c r="KZ924" s="279">
        <f>+KZ754-KZ850-KZ907</f>
        <v>0</v>
      </c>
      <c r="LA924" s="279">
        <f>+LA754-LA850-LA907</f>
        <v>0</v>
      </c>
      <c r="LB924" s="279">
        <f>+LB754-LB850-LB907</f>
        <v>0</v>
      </c>
    </row>
    <row r="925" spans="1:314">
      <c r="A925" s="279"/>
      <c r="B925" s="96" t="s">
        <v>338</v>
      </c>
      <c r="D925" s="330" t="s">
        <v>560</v>
      </c>
      <c r="E925" s="323">
        <f t="shared" ref="E925:AJ925" si="1900">E754-E813-E850-E907</f>
        <v>0</v>
      </c>
      <c r="F925" s="323">
        <f t="shared" si="1900"/>
        <v>0</v>
      </c>
      <c r="G925" s="323">
        <f t="shared" si="1900"/>
        <v>0</v>
      </c>
      <c r="H925" s="323">
        <f t="shared" si="1900"/>
        <v>0</v>
      </c>
      <c r="I925" s="323">
        <f t="shared" si="1900"/>
        <v>0</v>
      </c>
      <c r="J925" s="323">
        <f t="shared" si="1900"/>
        <v>0</v>
      </c>
      <c r="K925" s="323">
        <f t="shared" si="1900"/>
        <v>0</v>
      </c>
      <c r="L925" s="323">
        <f t="shared" si="1900"/>
        <v>0</v>
      </c>
      <c r="M925" s="323">
        <f t="shared" si="1900"/>
        <v>0</v>
      </c>
      <c r="N925" s="323">
        <f t="shared" si="1900"/>
        <v>0</v>
      </c>
      <c r="O925" s="323">
        <f t="shared" si="1900"/>
        <v>0</v>
      </c>
      <c r="P925" s="323">
        <f t="shared" si="1900"/>
        <v>0</v>
      </c>
      <c r="Q925" s="323">
        <f t="shared" si="1900"/>
        <v>0</v>
      </c>
      <c r="R925" s="323">
        <f t="shared" si="1900"/>
        <v>0</v>
      </c>
      <c r="S925" s="323">
        <f t="shared" si="1900"/>
        <v>0</v>
      </c>
      <c r="T925" s="323">
        <f t="shared" si="1900"/>
        <v>0</v>
      </c>
      <c r="U925" s="323">
        <f t="shared" si="1900"/>
        <v>0</v>
      </c>
      <c r="V925" s="323">
        <f t="shared" si="1900"/>
        <v>0</v>
      </c>
      <c r="W925" s="323">
        <f t="shared" si="1900"/>
        <v>0</v>
      </c>
      <c r="X925" s="323">
        <f t="shared" si="1900"/>
        <v>0</v>
      </c>
      <c r="Y925" s="323">
        <f t="shared" si="1900"/>
        <v>0</v>
      </c>
      <c r="Z925" s="323">
        <f t="shared" si="1900"/>
        <v>0</v>
      </c>
      <c r="AA925" s="323">
        <f t="shared" si="1900"/>
        <v>0</v>
      </c>
      <c r="AB925" s="323">
        <f t="shared" si="1900"/>
        <v>0</v>
      </c>
      <c r="AC925" s="323">
        <f t="shared" si="1900"/>
        <v>0</v>
      </c>
      <c r="AD925" s="323">
        <f t="shared" si="1900"/>
        <v>0</v>
      </c>
      <c r="AE925" s="323">
        <f t="shared" si="1900"/>
        <v>0</v>
      </c>
      <c r="AF925" s="323">
        <f t="shared" si="1900"/>
        <v>0</v>
      </c>
      <c r="AG925" s="323">
        <f t="shared" si="1900"/>
        <v>0</v>
      </c>
      <c r="AH925" s="323">
        <f t="shared" si="1900"/>
        <v>0</v>
      </c>
      <c r="AI925" s="323">
        <f t="shared" si="1900"/>
        <v>0</v>
      </c>
      <c r="AJ925" s="323">
        <f t="shared" si="1900"/>
        <v>0</v>
      </c>
      <c r="AK925" s="323">
        <f t="shared" ref="AK925:BP925" si="1901">AK754-AK813-AK850-AK907</f>
        <v>0</v>
      </c>
      <c r="AL925" s="323">
        <f t="shared" si="1901"/>
        <v>0</v>
      </c>
      <c r="AM925" s="323">
        <f t="shared" si="1901"/>
        <v>0</v>
      </c>
      <c r="AN925" s="323">
        <f t="shared" si="1901"/>
        <v>0</v>
      </c>
      <c r="AO925" s="323">
        <f t="shared" si="1901"/>
        <v>27.751015478693496</v>
      </c>
      <c r="AP925" s="323">
        <f t="shared" si="1901"/>
        <v>25.622571089368499</v>
      </c>
      <c r="AQ925" s="323">
        <f t="shared" si="1901"/>
        <v>41.356269326619596</v>
      </c>
      <c r="AR925" s="323">
        <f t="shared" si="1901"/>
        <v>35.054049921708867</v>
      </c>
      <c r="AS925" s="323">
        <f t="shared" si="1901"/>
        <v>26.237433827572634</v>
      </c>
      <c r="AT925" s="323">
        <f t="shared" si="1901"/>
        <v>45.235714580495539</v>
      </c>
      <c r="AU925" s="323">
        <f t="shared" si="1901"/>
        <v>21.566895028554796</v>
      </c>
      <c r="AV925" s="323">
        <f t="shared" si="1901"/>
        <v>29.826142895793659</v>
      </c>
      <c r="AW925" s="323">
        <f t="shared" si="1901"/>
        <v>37.788362814713352</v>
      </c>
      <c r="AX925" s="323">
        <f t="shared" si="1901"/>
        <v>30.699014929822674</v>
      </c>
      <c r="AY925" s="323">
        <f t="shared" si="1901"/>
        <v>23.137405792028275</v>
      </c>
      <c r="AZ925" s="323">
        <f t="shared" si="1901"/>
        <v>-34.043769182265159</v>
      </c>
      <c r="BA925" s="323">
        <f t="shared" si="1901"/>
        <v>24.289573029073388</v>
      </c>
      <c r="BB925" s="323">
        <f t="shared" si="1901"/>
        <v>22.611793397907704</v>
      </c>
      <c r="BC925" s="323">
        <f t="shared" si="1901"/>
        <v>30.71205744082306</v>
      </c>
      <c r="BD925" s="323">
        <f t="shared" si="1901"/>
        <v>39.609295413114154</v>
      </c>
      <c r="BE925" s="323">
        <f t="shared" si="1901"/>
        <v>25.438634214780624</v>
      </c>
      <c r="BF925" s="323">
        <f t="shared" si="1901"/>
        <v>39.39422964073497</v>
      </c>
      <c r="BG925" s="323">
        <f t="shared" si="1901"/>
        <v>-29.177591169418662</v>
      </c>
      <c r="BH925" s="323">
        <f t="shared" si="1901"/>
        <v>-55.016647985071067</v>
      </c>
      <c r="BI925" s="323">
        <f t="shared" si="1901"/>
        <v>-30.951275242391738</v>
      </c>
      <c r="BJ925" s="323">
        <f t="shared" si="1901"/>
        <v>-112.8246017508427</v>
      </c>
      <c r="BK925" s="323">
        <f t="shared" si="1901"/>
        <v>-47.372881513294679</v>
      </c>
      <c r="BL925" s="323">
        <f t="shared" si="1901"/>
        <v>-2.1946258460406867</v>
      </c>
      <c r="BM925" s="323">
        <f t="shared" si="1901"/>
        <v>-50.972255490850543</v>
      </c>
      <c r="BN925" s="323">
        <f t="shared" si="1901"/>
        <v>-30.550508511711406</v>
      </c>
      <c r="BO925" s="323">
        <f t="shared" si="1901"/>
        <v>2.1697115572681085</v>
      </c>
      <c r="BP925" s="323">
        <f t="shared" si="1901"/>
        <v>-75.241027379812024</v>
      </c>
      <c r="BQ925" s="323">
        <f t="shared" ref="BQ925:CD925" si="1902">BQ754-BQ813-BQ850-BQ907</f>
        <v>-68.851324063690555</v>
      </c>
      <c r="BR925" s="323">
        <f t="shared" si="1902"/>
        <v>-16.851042965073589</v>
      </c>
      <c r="BS925" s="323">
        <f t="shared" si="1902"/>
        <v>-34.734403259505164</v>
      </c>
      <c r="BT925" s="323">
        <f t="shared" si="1902"/>
        <v>-41.16554281941854</v>
      </c>
      <c r="BU925" s="323">
        <f t="shared" si="1902"/>
        <v>-4.297311638462773</v>
      </c>
      <c r="BV925" s="323">
        <f t="shared" si="1902"/>
        <v>-65.306134557500272</v>
      </c>
      <c r="BW925" s="323">
        <f t="shared" si="1902"/>
        <v>-70.882013851235996</v>
      </c>
      <c r="BX925" s="323">
        <f t="shared" si="1902"/>
        <v>-5.4060295976085087</v>
      </c>
      <c r="BY925" s="323">
        <f t="shared" si="1902"/>
        <v>-30.293060993378756</v>
      </c>
      <c r="BZ925" s="323">
        <f t="shared" si="1902"/>
        <v>-37.191125657413707</v>
      </c>
      <c r="CA925" s="323">
        <f t="shared" si="1902"/>
        <v>13.970274033269082</v>
      </c>
      <c r="CB925" s="323">
        <f t="shared" si="1902"/>
        <v>-86.390736783278712</v>
      </c>
      <c r="CC925" s="323">
        <f t="shared" si="1902"/>
        <v>-124.7756847913459</v>
      </c>
      <c r="CD925" s="329">
        <f t="shared" si="1902"/>
        <v>-77.617756099291512</v>
      </c>
      <c r="CE925" s="323">
        <f>CE906-CE907</f>
        <v>-58.056348342282078</v>
      </c>
      <c r="CF925" s="323">
        <f t="shared" ref="CF925:EQ925" si="1903">CF906-CF907</f>
        <v>-44.109106158605542</v>
      </c>
      <c r="CG925" s="323">
        <f t="shared" si="1903"/>
        <v>-40.422364937737576</v>
      </c>
      <c r="CH925" s="323">
        <f t="shared" si="1903"/>
        <v>-101.35119094057451</v>
      </c>
      <c r="CI925" s="323">
        <f t="shared" si="1903"/>
        <v>-53.99293621727243</v>
      </c>
      <c r="CJ925" s="323">
        <f t="shared" si="1903"/>
        <v>-13.561733304974609</v>
      </c>
      <c r="CK925" s="323">
        <f t="shared" si="1903"/>
        <v>-87.842639689051765</v>
      </c>
      <c r="CL925" s="323">
        <f t="shared" si="1903"/>
        <v>-34.793327919947792</v>
      </c>
      <c r="CM925" s="323">
        <f t="shared" si="1903"/>
        <v>-13.174704553559877</v>
      </c>
      <c r="CN925" s="323">
        <f t="shared" si="1903"/>
        <v>-141.9125714926578</v>
      </c>
      <c r="CO925" s="323">
        <f t="shared" si="1903"/>
        <v>-92.543720989746049</v>
      </c>
      <c r="CP925" s="325">
        <f t="shared" si="1903"/>
        <v>-0.20514410885918721</v>
      </c>
      <c r="CQ925" s="323">
        <f t="shared" si="1903"/>
        <v>-71.109328748307775</v>
      </c>
      <c r="CR925" s="323">
        <f t="shared" si="1903"/>
        <v>-54.048820713615669</v>
      </c>
      <c r="CS925" s="323">
        <f t="shared" si="1903"/>
        <v>-43.385894330414885</v>
      </c>
      <c r="CT925" s="323">
        <f t="shared" si="1903"/>
        <v>-63.551257175627526</v>
      </c>
      <c r="CU925" s="323">
        <f t="shared" si="1903"/>
        <v>-68.432840958901437</v>
      </c>
      <c r="CV925" s="323">
        <f t="shared" si="1903"/>
        <v>-25.17383742194653</v>
      </c>
      <c r="CW925" s="323">
        <f t="shared" si="1903"/>
        <v>-68.285262888737407</v>
      </c>
      <c r="CX925" s="323">
        <f t="shared" si="1903"/>
        <v>-40.136139288199416</v>
      </c>
      <c r="CY925" s="323">
        <f t="shared" si="1903"/>
        <v>-23.917021213912534</v>
      </c>
      <c r="CZ925" s="323">
        <f t="shared" si="1903"/>
        <v>-109.25618797589509</v>
      </c>
      <c r="DA925" s="323">
        <f t="shared" si="1903"/>
        <v>-71.128739003604295</v>
      </c>
      <c r="DB925" s="1269">
        <f t="shared" si="1903"/>
        <v>17.886461474634871</v>
      </c>
      <c r="DC925" s="323">
        <f t="shared" si="1903"/>
        <v>-66.512342509465441</v>
      </c>
      <c r="DD925" s="323">
        <f t="shared" si="1903"/>
        <v>-57.234342451896694</v>
      </c>
      <c r="DE925" s="323">
        <f t="shared" si="1903"/>
        <v>-38.097976293942551</v>
      </c>
      <c r="DF925" s="323">
        <f t="shared" si="1903"/>
        <v>-103.94727168432044</v>
      </c>
      <c r="DG925" s="323">
        <f t="shared" si="1903"/>
        <v>-40.231940758164626</v>
      </c>
      <c r="DH925" s="323">
        <f t="shared" si="1903"/>
        <v>-15.686826633592084</v>
      </c>
      <c r="DI925" s="323">
        <f t="shared" si="1903"/>
        <v>-106.04233071017306</v>
      </c>
      <c r="DJ925" s="323">
        <f t="shared" si="1903"/>
        <v>-43.032413333272714</v>
      </c>
      <c r="DK925" s="323">
        <f t="shared" si="1903"/>
        <v>10.450638582680163</v>
      </c>
      <c r="DL925" s="323">
        <f t="shared" si="1903"/>
        <v>-106.09223092025107</v>
      </c>
      <c r="DM925" s="323">
        <f t="shared" si="1903"/>
        <v>-76.174225770617795</v>
      </c>
      <c r="DN925" s="325">
        <f t="shared" si="1903"/>
        <v>46.171039332239587</v>
      </c>
      <c r="DO925" s="323">
        <f t="shared" si="1903"/>
        <v>-101.21561912885412</v>
      </c>
      <c r="DP925" s="323">
        <f t="shared" si="1903"/>
        <v>-69.851589556209362</v>
      </c>
      <c r="DQ925" s="323">
        <f t="shared" si="1903"/>
        <v>3.1670747109891266</v>
      </c>
      <c r="DR925" s="323">
        <f t="shared" si="1903"/>
        <v>-107.98817409774396</v>
      </c>
      <c r="DS925" s="323">
        <f t="shared" si="1903"/>
        <v>-77.80475087488621</v>
      </c>
      <c r="DT925" s="323">
        <f t="shared" si="1903"/>
        <v>-24.829349737193631</v>
      </c>
      <c r="DU925" s="323">
        <f t="shared" si="1903"/>
        <v>-105.09062602933369</v>
      </c>
      <c r="DV925" s="323">
        <f t="shared" si="1903"/>
        <v>-60.779991661666116</v>
      </c>
      <c r="DW925" s="323">
        <f t="shared" si="1903"/>
        <v>36.587364345877575</v>
      </c>
      <c r="DX925" s="323">
        <f t="shared" si="1903"/>
        <v>-132.7036290197903</v>
      </c>
      <c r="DY925" s="323">
        <f t="shared" si="1903"/>
        <v>-77.22342329374068</v>
      </c>
      <c r="DZ925" s="325">
        <f t="shared" si="1903"/>
        <v>52.978055671095873</v>
      </c>
      <c r="EA925" s="323">
        <f t="shared" si="1903"/>
        <v>-91.68801525080849</v>
      </c>
      <c r="EB925" s="323">
        <f t="shared" si="1903"/>
        <v>-97.278647189699242</v>
      </c>
      <c r="EC925" s="323">
        <f t="shared" si="1903"/>
        <v>-62.86380623471203</v>
      </c>
      <c r="ED925" s="323">
        <f t="shared" si="1903"/>
        <v>-73.427268956132224</v>
      </c>
      <c r="EE925" s="323">
        <f t="shared" si="1903"/>
        <v>-55.060088918528997</v>
      </c>
      <c r="EF925" s="323">
        <f t="shared" si="1903"/>
        <v>26.340522598238572</v>
      </c>
      <c r="EG925" s="323">
        <f t="shared" si="1903"/>
        <v>-131.93789136016829</v>
      </c>
      <c r="EH925" s="323">
        <f t="shared" si="1903"/>
        <v>-43.725778650533186</v>
      </c>
      <c r="EI925" s="323">
        <f t="shared" si="1903"/>
        <v>-40.194469340997728</v>
      </c>
      <c r="EJ925" s="323">
        <f t="shared" si="1903"/>
        <v>-27.993139175831033</v>
      </c>
      <c r="EK925" s="323">
        <f t="shared" si="1903"/>
        <v>-100.50409010363694</v>
      </c>
      <c r="EL925" s="325">
        <f t="shared" si="1903"/>
        <v>3.2837821494733817</v>
      </c>
      <c r="EM925" s="323">
        <f t="shared" si="1903"/>
        <v>-65.168087266251831</v>
      </c>
      <c r="EN925" s="323">
        <f t="shared" si="1903"/>
        <v>-25.590535023843508</v>
      </c>
      <c r="EO925" s="323">
        <f t="shared" si="1903"/>
        <v>-14.452512587807703</v>
      </c>
      <c r="EP925" s="323">
        <f t="shared" si="1903"/>
        <v>-103.83183124009207</v>
      </c>
      <c r="EQ925" s="323">
        <f t="shared" si="1903"/>
        <v>-85.434963428457223</v>
      </c>
      <c r="ER925" s="323">
        <f t="shared" ref="ER925:FP925" si="1904">ER906-ER907</f>
        <v>-29.93624498685034</v>
      </c>
      <c r="ES925" s="323">
        <f t="shared" si="1904"/>
        <v>-86.071198484854733</v>
      </c>
      <c r="ET925" s="323">
        <f t="shared" si="1904"/>
        <v>-81.422020935065376</v>
      </c>
      <c r="EU925" s="323">
        <f t="shared" si="1904"/>
        <v>-46.097560698081764</v>
      </c>
      <c r="EV925" s="323">
        <f t="shared" si="1904"/>
        <v>-218.64201132231642</v>
      </c>
      <c r="EW925" s="323">
        <f t="shared" si="1904"/>
        <v>-155.3841386548396</v>
      </c>
      <c r="EX925" s="325">
        <f t="shared" si="1904"/>
        <v>0.76685970159775252</v>
      </c>
      <c r="EY925" s="323">
        <f t="shared" si="1904"/>
        <v>-91.458201113050052</v>
      </c>
      <c r="EZ925" s="323">
        <f t="shared" si="1904"/>
        <v>-101.44030048234198</v>
      </c>
      <c r="FA925" s="323">
        <f t="shared" si="1904"/>
        <v>-60.182875264020254</v>
      </c>
      <c r="FB925" s="323">
        <f t="shared" si="1904"/>
        <v>-79.702279099968777</v>
      </c>
      <c r="FC925" s="323">
        <f t="shared" si="1904"/>
        <v>-134.65526537614778</v>
      </c>
      <c r="FD925" s="323">
        <f t="shared" si="1904"/>
        <v>-43.777500609263996</v>
      </c>
      <c r="FE925" s="323">
        <f t="shared" si="1904"/>
        <v>-75.097099156941894</v>
      </c>
      <c r="FF925" s="323">
        <f t="shared" si="1904"/>
        <v>-126.34511604638755</v>
      </c>
      <c r="FG925" s="323">
        <f t="shared" si="1904"/>
        <v>-108.79029727165108</v>
      </c>
      <c r="FH925" s="323">
        <f t="shared" si="1904"/>
        <v>-101.78965722058271</v>
      </c>
      <c r="FI925" s="323">
        <f t="shared" si="1904"/>
        <v>-239.57359099881288</v>
      </c>
      <c r="FJ925" s="325">
        <f t="shared" si="1904"/>
        <v>-16.014032859831758</v>
      </c>
      <c r="FK925" s="323">
        <f t="shared" si="1904"/>
        <v>-282.98441313600625</v>
      </c>
      <c r="FL925" s="323">
        <f t="shared" si="1904"/>
        <v>-136.99667986854155</v>
      </c>
      <c r="FM925" s="323">
        <f t="shared" si="1904"/>
        <v>-6.713223252341578</v>
      </c>
      <c r="FN925" s="323">
        <f t="shared" si="1904"/>
        <v>-71.269028807069702</v>
      </c>
      <c r="FO925" s="323">
        <f t="shared" si="1904"/>
        <v>-156.29944404316814</v>
      </c>
      <c r="FP925" s="323">
        <f t="shared" si="1904"/>
        <v>-69.569416110449311</v>
      </c>
      <c r="FQ925" s="323">
        <f t="shared" ref="FQ925:FV925" si="1905">FQ906-FQ907</f>
        <v>-113.601452277943</v>
      </c>
      <c r="FR925" s="323">
        <f t="shared" si="1905"/>
        <v>-118.82412941416135</v>
      </c>
      <c r="FS925" s="323">
        <f t="shared" si="1905"/>
        <v>-98.374190028299267</v>
      </c>
      <c r="FT925" s="323">
        <f t="shared" si="1905"/>
        <v>-59.344354046411425</v>
      </c>
      <c r="FU925" s="323">
        <f t="shared" si="1905"/>
        <v>-260.11218690339672</v>
      </c>
      <c r="FV925" s="323">
        <f t="shared" si="1905"/>
        <v>36.977753492179801</v>
      </c>
      <c r="FW925" s="323">
        <v>-112.29458203926244</v>
      </c>
      <c r="FX925" s="323">
        <v>-123.89568420473832</v>
      </c>
      <c r="FY925" s="323">
        <v>-148.62634591320631</v>
      </c>
      <c r="FZ925" s="323">
        <v>-172.82311269530587</v>
      </c>
      <c r="GA925" s="323">
        <v>-87.40605562055535</v>
      </c>
      <c r="GB925" s="323">
        <v>-111.86419545508579</v>
      </c>
      <c r="GC925" s="323">
        <v>-187.65986095749389</v>
      </c>
      <c r="GD925" s="323">
        <v>-171.77172436164801</v>
      </c>
      <c r="GE925" s="323">
        <v>-74.664391835422066</v>
      </c>
      <c r="GF925" s="323">
        <v>-172.19115694801957</v>
      </c>
      <c r="GG925" s="323">
        <v>-213.42410968497646</v>
      </c>
      <c r="GH925" s="323">
        <v>-17.320139814693647</v>
      </c>
      <c r="GI925" s="1654">
        <f>GI906-GI907</f>
        <v>-182.57593883860292</v>
      </c>
      <c r="GJ925" s="1654">
        <f t="shared" ref="GJ925:HF925" si="1906">GJ906-GJ907</f>
        <v>-240.80939427377058</v>
      </c>
      <c r="GK925" s="1654">
        <f t="shared" si="1906"/>
        <v>-116.15083439135546</v>
      </c>
      <c r="GL925" s="1654">
        <f t="shared" si="1906"/>
        <v>-145.26259757514373</v>
      </c>
      <c r="GM925" s="1654">
        <f t="shared" si="1906"/>
        <v>-121.07254329823179</v>
      </c>
      <c r="GN925" s="1654">
        <f t="shared" si="1906"/>
        <v>47.197954569652481</v>
      </c>
      <c r="GO925" s="1654">
        <f t="shared" si="1906"/>
        <v>-175.00486779299305</v>
      </c>
      <c r="GP925" s="1654">
        <f t="shared" si="1906"/>
        <v>-143.21335597141629</v>
      </c>
      <c r="GQ925" s="1654">
        <f t="shared" si="1906"/>
        <v>-30.363665194650366</v>
      </c>
      <c r="GR925" s="1654">
        <f t="shared" si="1906"/>
        <v>-307.65968476788794</v>
      </c>
      <c r="GS925" s="1654">
        <f t="shared" si="1906"/>
        <v>-331.25950245562274</v>
      </c>
      <c r="GT925" s="1654">
        <f t="shared" si="1906"/>
        <v>59.315520489547538</v>
      </c>
      <c r="GU925" s="1654">
        <f t="shared" si="1906"/>
        <v>-47.54811638805424</v>
      </c>
      <c r="GV925" s="1654">
        <f t="shared" si="1906"/>
        <v>-151.51955860106568</v>
      </c>
      <c r="GW925" s="1654">
        <f t="shared" si="1906"/>
        <v>-153.01968270393124</v>
      </c>
      <c r="GX925" s="1654">
        <f t="shared" si="1906"/>
        <v>-86.919252782231041</v>
      </c>
      <c r="GY925" s="1654">
        <f t="shared" si="1906"/>
        <v>-156.47907403547794</v>
      </c>
      <c r="GZ925" s="1654">
        <f t="shared" si="1906"/>
        <v>-118.93629590387758</v>
      </c>
      <c r="HA925" s="1654">
        <f t="shared" si="1906"/>
        <v>-168.45912875922909</v>
      </c>
      <c r="HB925" s="1654">
        <f t="shared" si="1906"/>
        <v>-230.22940226401514</v>
      </c>
      <c r="HC925" s="1654">
        <f t="shared" si="1906"/>
        <v>-219.37259827986381</v>
      </c>
      <c r="HD925" s="1654">
        <f t="shared" si="1906"/>
        <v>-63.844784238802504</v>
      </c>
      <c r="HE925" s="1654">
        <f t="shared" si="1906"/>
        <v>-222.19467305003207</v>
      </c>
      <c r="HF925" s="1654">
        <f t="shared" si="1906"/>
        <v>-256.04044017675722</v>
      </c>
      <c r="HG925" s="1654">
        <f t="shared" ref="HG925:HL925" si="1907">HG906-HG907</f>
        <v>-88.582095315719783</v>
      </c>
      <c r="HH925" s="1654">
        <f t="shared" si="1907"/>
        <v>-179.43591956443561</v>
      </c>
      <c r="HI925" s="1654">
        <f t="shared" si="1907"/>
        <v>-103.49702989997166</v>
      </c>
      <c r="HJ925" s="1654">
        <f t="shared" si="1907"/>
        <v>-187.51560964489994</v>
      </c>
      <c r="HK925" s="1654">
        <f t="shared" si="1907"/>
        <v>-138.11688734003175</v>
      </c>
      <c r="HL925" s="1654">
        <f t="shared" si="1907"/>
        <v>-162.55859368752499</v>
      </c>
      <c r="HM925" s="1654">
        <f t="shared" ref="HM925:HR925" si="1908">HM906-HM907</f>
        <v>-120.10302158291989</v>
      </c>
      <c r="HN925" s="1654">
        <f t="shared" si="1908"/>
        <v>-221.05839258702005</v>
      </c>
      <c r="HO925" s="1654">
        <f t="shared" si="1908"/>
        <v>-195.47830258955719</v>
      </c>
      <c r="HP925" s="1654">
        <f t="shared" si="1908"/>
        <v>-18.064375965568601</v>
      </c>
      <c r="HQ925" s="1654">
        <f t="shared" si="1908"/>
        <v>-171.99219811861178</v>
      </c>
      <c r="HR925" s="1654">
        <f t="shared" si="1908"/>
        <v>-42.558067557879042</v>
      </c>
      <c r="HS925" s="1654">
        <f t="shared" ref="HS925:HX925" si="1909">HS906-HS907</f>
        <v>-55.705949642433808</v>
      </c>
      <c r="HT925" s="1654">
        <f t="shared" si="1909"/>
        <v>-215.55677082240953</v>
      </c>
      <c r="HU925" s="1654">
        <f t="shared" si="1909"/>
        <v>-75.129609385903905</v>
      </c>
      <c r="HV925" s="1654">
        <f t="shared" si="1909"/>
        <v>-51.000714620576403</v>
      </c>
      <c r="HW925" s="1654">
        <f t="shared" si="1909"/>
        <v>-211.73208731589574</v>
      </c>
      <c r="HX925" s="1654">
        <f t="shared" si="1909"/>
        <v>-180.50746404563142</v>
      </c>
      <c r="HY925" s="1654"/>
      <c r="HZ925" s="326"/>
      <c r="IA925" s="330" t="s">
        <v>560</v>
      </c>
      <c r="IB925" s="284">
        <f>SUM(CE925:CJ925)</f>
        <v>-311.49367990144674</v>
      </c>
      <c r="IC925" s="279">
        <f>SUM(CK925:CP925)</f>
        <v>-370.47210875382251</v>
      </c>
      <c r="ID925" s="323">
        <f>IB925+IC925</f>
        <v>-681.96578865526931</v>
      </c>
      <c r="IE925" s="279">
        <f>SUM(CQ925:CV925)</f>
        <v>-325.70197934881384</v>
      </c>
      <c r="IF925" s="279">
        <f>SUM(CW925:DB925)</f>
        <v>-294.83688889571386</v>
      </c>
      <c r="IG925" s="323">
        <f>IE925+IF925</f>
        <v>-620.53886824452775</v>
      </c>
      <c r="IH925" s="284">
        <f>SUM(DC925:DH925)</f>
        <v>-321.71070033138182</v>
      </c>
      <c r="II925" s="279">
        <f>SUM(DI925:DN925)</f>
        <v>-274.71952281939491</v>
      </c>
      <c r="IJ925" s="323">
        <f>IH925+II925</f>
        <v>-596.43022315077678</v>
      </c>
      <c r="IK925" s="327">
        <f>SUM(DO925:DT925)</f>
        <v>-378.52240868389816</v>
      </c>
      <c r="IL925" s="279">
        <f>SUM(DU925:DZ925)</f>
        <v>-286.23224998755728</v>
      </c>
      <c r="IM925" s="323">
        <f>IK925+IL925</f>
        <v>-664.75465867145545</v>
      </c>
      <c r="IN925" s="279">
        <f>SUM(EA925:EF925)</f>
        <v>-353.9773039516424</v>
      </c>
      <c r="IO925" s="279">
        <f>SUM(EG925:EL925)</f>
        <v>-341.07158648169377</v>
      </c>
      <c r="IP925" s="323">
        <f>IN925+IO925</f>
        <v>-695.04889043333617</v>
      </c>
      <c r="IQ925" s="327">
        <f>SUM(EM925:ER925)</f>
        <v>-324.41417453330263</v>
      </c>
      <c r="IR925" s="327">
        <f>SUM(ES925:EX925)</f>
        <v>-586.85007039356015</v>
      </c>
      <c r="IS925" s="323">
        <f>IQ925+IR925</f>
        <v>-911.26424492686283</v>
      </c>
      <c r="IT925" s="327">
        <f>SUM(EY925:FD925)</f>
        <v>-511.21642194479284</v>
      </c>
      <c r="IU925" s="327">
        <f>SUM(FE925:FJ925)</f>
        <v>-667.60979355420784</v>
      </c>
      <c r="IV925" s="323">
        <f>IT925+IU925</f>
        <v>-1178.8262154990007</v>
      </c>
      <c r="IW925" s="327">
        <f>SUM(FK925:FP925)</f>
        <v>-723.83220521757653</v>
      </c>
      <c r="IX925" s="327">
        <f>SUM(FQ925:FV925)</f>
        <v>-613.27855917803197</v>
      </c>
      <c r="IY925" s="323">
        <f t="shared" si="1621"/>
        <v>-1337.1107643956084</v>
      </c>
      <c r="IZ925" s="327">
        <f t="shared" si="1878"/>
        <v>-756.90997592815404</v>
      </c>
      <c r="JA925" s="327">
        <f t="shared" si="1879"/>
        <v>-837.03138360225364</v>
      </c>
      <c r="JB925" s="323">
        <f t="shared" si="1823"/>
        <v>-1593.9413595304077</v>
      </c>
      <c r="JC925" s="327">
        <f>+JC924-JC813</f>
        <v>-758.67335380745203</v>
      </c>
      <c r="JD925" s="327">
        <f>+JD924-JD813</f>
        <v>-928.18555569302293</v>
      </c>
      <c r="JE925" s="327">
        <f>+JE924-JE813</f>
        <v>-1686.8589095004747</v>
      </c>
      <c r="JF925" s="327">
        <f>+JF924-JF813</f>
        <v>-706.45178002463729</v>
      </c>
      <c r="JG925" s="327">
        <f>+JG924-JG813</f>
        <v>-1168.1447496338271</v>
      </c>
      <c r="JH925" s="327">
        <f t="shared" si="1703"/>
        <v>-1874.5965296584645</v>
      </c>
      <c r="JI925" s="327">
        <f t="shared" si="1744"/>
        <v>-859.70613545258379</v>
      </c>
      <c r="JJ925" s="327">
        <f t="shared" si="1871"/>
        <v>-769.2543584015566</v>
      </c>
      <c r="JK925" s="323">
        <f t="shared" si="1683"/>
        <v>-1628.9604938541404</v>
      </c>
      <c r="JL925" s="327">
        <f t="shared" si="1704"/>
        <v>-789.63259583285082</v>
      </c>
      <c r="JM925" s="327">
        <f>+JM924-JM813</f>
        <v>-736.09968657693366</v>
      </c>
      <c r="JN925" s="323">
        <f>FISC!AK1246</f>
        <v>-1525.7322824097844</v>
      </c>
      <c r="JO925" s="327">
        <f>+JO924-JO813</f>
        <v>-1139.0393612071503</v>
      </c>
      <c r="JP925" s="327">
        <f>+JP924-JP813</f>
        <v>-373.93903014818864</v>
      </c>
      <c r="JQ925" s="323">
        <f>FISC!AL1246</f>
        <v>-1512.9783913553388</v>
      </c>
      <c r="JR925" s="327">
        <f>+JR924-JR813</f>
        <v>-1210.5273074142228</v>
      </c>
      <c r="JS925" s="327">
        <f>+JS924-JS813</f>
        <v>-433.70772936301182</v>
      </c>
      <c r="JT925" s="323">
        <f>FISC!AM1246</f>
        <v>-1644.2350367772347</v>
      </c>
      <c r="JU925" s="327">
        <f>+JU924-JU813</f>
        <v>-1159.1064045963599</v>
      </c>
      <c r="JV925" s="327">
        <f>+JV924-JV813</f>
        <v>-487.31070476749164</v>
      </c>
      <c r="JW925" s="323">
        <f>FISC!AN1246</f>
        <v>-1646.4171093638515</v>
      </c>
      <c r="JX925" s="327">
        <f>+JX924-JX813</f>
        <v>-1288.1026985919989</v>
      </c>
      <c r="JY925" s="327">
        <f>+JY924-JY813</f>
        <v>-525.81548611906635</v>
      </c>
      <c r="JZ925" s="323">
        <f>FISC!AO1246</f>
        <v>-1813.9181847110649</v>
      </c>
      <c r="KA925" s="327">
        <f>+KA924-KA813</f>
        <v>-1441.454948172166</v>
      </c>
      <c r="KB925" s="327">
        <f>+KB924-KB813</f>
        <v>-624.14815230578279</v>
      </c>
      <c r="KC925" s="323">
        <f>FISC!AP1246</f>
        <v>-2065.6031004779488</v>
      </c>
      <c r="KD925" s="327">
        <f>+KD924-KD813</f>
        <v>-1314.1215659297586</v>
      </c>
      <c r="KE925" s="327">
        <f>+KE924-KE813</f>
        <v>-1188.1646220154794</v>
      </c>
      <c r="KF925" s="323">
        <f>FISC!AQ1246</f>
        <v>-2502.2861879452375</v>
      </c>
      <c r="KG925" s="327">
        <f>+KG924-KG813</f>
        <v>-1652.3751691681666</v>
      </c>
      <c r="KH925" s="327">
        <f>+KH924-KH813</f>
        <v>-816.53980551482096</v>
      </c>
      <c r="KI925" s="323">
        <f>FISC!AR1246</f>
        <v>-2468.9149746829876</v>
      </c>
      <c r="KJ925" s="327">
        <f>+KJ924-KJ813</f>
        <v>-2090.3014192958963</v>
      </c>
      <c r="KK925" s="327">
        <f>+KK924-KK813</f>
        <v>-1014.7788068088431</v>
      </c>
      <c r="KL925" s="323">
        <f>FISC!AS1246</f>
        <v>-3105.0802261047397</v>
      </c>
      <c r="KM925" s="327">
        <f>+KM924-KM813</f>
        <v>-2468.8057037695803</v>
      </c>
      <c r="KN925" s="327">
        <f>+KN924-KN813</f>
        <v>-1184.3457123371122</v>
      </c>
      <c r="KO925" s="323">
        <f>FISC!AT1246</f>
        <v>-3653.1514161066925</v>
      </c>
      <c r="KU925" s="326"/>
      <c r="KV925" s="327"/>
      <c r="KY925" s="279">
        <f>KY754-KY813-KY850-KY907</f>
        <v>0</v>
      </c>
      <c r="KZ925" s="279">
        <f>KZ754-KZ813-KZ850-KZ907</f>
        <v>0</v>
      </c>
      <c r="LA925" s="279">
        <f>LA754-LA813-LA850-LA907</f>
        <v>0</v>
      </c>
      <c r="LB925" s="279">
        <f>LB754-LB813-LB850-LB907</f>
        <v>0</v>
      </c>
    </row>
    <row r="926" spans="1:314">
      <c r="A926" s="279"/>
      <c r="D926" s="1498" t="s">
        <v>3033</v>
      </c>
      <c r="E926" s="323"/>
      <c r="F926" s="323"/>
      <c r="G926" s="323"/>
      <c r="H926" s="323"/>
      <c r="I926" s="323"/>
      <c r="J926" s="323"/>
      <c r="K926" s="323"/>
      <c r="L926" s="323"/>
      <c r="M926" s="323"/>
      <c r="N926" s="323"/>
      <c r="O926" s="323"/>
      <c r="P926" s="323"/>
      <c r="Q926" s="323"/>
      <c r="R926" s="323"/>
      <c r="S926" s="323"/>
      <c r="T926" s="323"/>
      <c r="U926" s="323"/>
      <c r="V926" s="323"/>
      <c r="W926" s="323"/>
      <c r="X926" s="323"/>
      <c r="Y926" s="323"/>
      <c r="Z926" s="323"/>
      <c r="AA926" s="323"/>
      <c r="AB926" s="323"/>
      <c r="AC926" s="323"/>
      <c r="AD926" s="323"/>
      <c r="AE926" s="323"/>
      <c r="AF926" s="323"/>
      <c r="AG926" s="323"/>
      <c r="AH926" s="323"/>
      <c r="AI926" s="323"/>
      <c r="AJ926" s="323"/>
      <c r="AK926" s="323"/>
      <c r="AL926" s="323"/>
      <c r="AM926" s="323"/>
      <c r="AN926" s="323"/>
      <c r="AO926" s="323"/>
      <c r="AP926" s="323"/>
      <c r="AQ926" s="323"/>
      <c r="AR926" s="323"/>
      <c r="AS926" s="323"/>
      <c r="AT926" s="323"/>
      <c r="AU926" s="323"/>
      <c r="AV926" s="323"/>
      <c r="AW926" s="323"/>
      <c r="AX926" s="323"/>
      <c r="AY926" s="323"/>
      <c r="AZ926" s="323"/>
      <c r="BA926" s="323"/>
      <c r="BB926" s="323"/>
      <c r="BC926" s="323"/>
      <c r="BD926" s="323"/>
      <c r="BE926" s="323"/>
      <c r="BF926" s="323"/>
      <c r="BG926" s="323"/>
      <c r="BH926" s="323"/>
      <c r="BI926" s="323"/>
      <c r="BJ926" s="323"/>
      <c r="BK926" s="323"/>
      <c r="BL926" s="323"/>
      <c r="BM926" s="323"/>
      <c r="BN926" s="323"/>
      <c r="BO926" s="323"/>
      <c r="BP926" s="323"/>
      <c r="BQ926" s="323"/>
      <c r="BR926" s="323"/>
      <c r="BS926" s="323"/>
      <c r="BT926" s="323"/>
      <c r="BU926" s="323"/>
      <c r="BV926" s="323"/>
      <c r="BW926" s="323"/>
      <c r="BX926" s="323"/>
      <c r="BY926" s="323"/>
      <c r="BZ926" s="323"/>
      <c r="CA926" s="323"/>
      <c r="CB926" s="323"/>
      <c r="CC926" s="323"/>
      <c r="CD926" s="329"/>
      <c r="CE926" s="323"/>
      <c r="CF926" s="323"/>
      <c r="CG926" s="323"/>
      <c r="CH926" s="323"/>
      <c r="CI926" s="323"/>
      <c r="CJ926" s="323"/>
      <c r="CK926" s="323"/>
      <c r="CL926" s="323"/>
      <c r="CM926" s="323"/>
      <c r="CN926" s="323"/>
      <c r="CO926" s="323"/>
      <c r="CP926" s="325"/>
      <c r="CQ926" s="323"/>
      <c r="CR926" s="323"/>
      <c r="CS926" s="323"/>
      <c r="CT926" s="323"/>
      <c r="CU926" s="323"/>
      <c r="CV926" s="323"/>
      <c r="CW926" s="323"/>
      <c r="CX926" s="323"/>
      <c r="CY926" s="323"/>
      <c r="CZ926" s="323"/>
      <c r="DA926" s="323"/>
      <c r="DB926" s="1269"/>
      <c r="DC926" s="323"/>
      <c r="DD926" s="323"/>
      <c r="DE926" s="323"/>
      <c r="DF926" s="323"/>
      <c r="DG926" s="323"/>
      <c r="DH926" s="323"/>
      <c r="DI926" s="323"/>
      <c r="DJ926" s="323"/>
      <c r="DK926" s="323"/>
      <c r="DL926" s="323"/>
      <c r="DM926" s="323"/>
      <c r="DN926" s="325"/>
      <c r="DO926" s="323"/>
      <c r="DP926" s="323"/>
      <c r="DQ926" s="323"/>
      <c r="DR926" s="323"/>
      <c r="DS926" s="323"/>
      <c r="DT926" s="323"/>
      <c r="DU926" s="323"/>
      <c r="DV926" s="323"/>
      <c r="DW926" s="323"/>
      <c r="DX926" s="323"/>
      <c r="DY926" s="323"/>
      <c r="DZ926" s="325"/>
      <c r="EA926" s="323"/>
      <c r="EB926" s="323"/>
      <c r="EC926" s="323"/>
      <c r="ED926" s="323"/>
      <c r="EE926" s="323"/>
      <c r="EF926" s="323"/>
      <c r="EG926" s="323"/>
      <c r="EH926" s="323"/>
      <c r="EI926" s="323"/>
      <c r="EJ926" s="323"/>
      <c r="EK926" s="323"/>
      <c r="EL926" s="325"/>
      <c r="EM926" s="323"/>
      <c r="EN926" s="323"/>
      <c r="EO926" s="323"/>
      <c r="EP926" s="323"/>
      <c r="EQ926" s="323"/>
      <c r="ER926" s="323"/>
      <c r="ES926" s="323"/>
      <c r="ET926" s="323"/>
      <c r="EU926" s="323"/>
      <c r="EV926" s="323"/>
      <c r="EW926" s="323"/>
      <c r="EX926" s="325"/>
      <c r="EY926" s="323"/>
      <c r="EZ926" s="323"/>
      <c r="FA926" s="323"/>
      <c r="FB926" s="323"/>
      <c r="FC926" s="323"/>
      <c r="FD926" s="323"/>
      <c r="FE926" s="323"/>
      <c r="FF926" s="323"/>
      <c r="FG926" s="323"/>
      <c r="FH926" s="323"/>
      <c r="FI926" s="323"/>
      <c r="FJ926" s="325"/>
      <c r="FK926" s="323"/>
      <c r="FL926" s="323"/>
      <c r="FM926" s="323"/>
      <c r="FN926" s="323"/>
      <c r="FO926" s="323"/>
      <c r="FP926" s="323"/>
      <c r="FQ926" s="323"/>
      <c r="FR926" s="323"/>
      <c r="FS926" s="323"/>
      <c r="FT926" s="323"/>
      <c r="FU926" s="323"/>
      <c r="FV926" s="323"/>
      <c r="FW926" s="323"/>
      <c r="FX926" s="323"/>
      <c r="FY926" s="323"/>
      <c r="FZ926" s="323"/>
      <c r="GA926" s="323"/>
      <c r="GB926" s="323"/>
      <c r="GC926" s="323"/>
      <c r="GD926" s="323"/>
      <c r="GE926" s="323"/>
      <c r="GF926" s="323"/>
      <c r="GG926" s="323"/>
      <c r="GH926" s="323"/>
      <c r="GI926" s="1654"/>
      <c r="HZ926" s="326"/>
      <c r="IA926" s="1498" t="s">
        <v>3033</v>
      </c>
      <c r="IB926" s="284"/>
      <c r="ID926" s="323"/>
      <c r="IG926" s="323"/>
      <c r="IH926" s="284"/>
      <c r="IJ926" s="323"/>
      <c r="IK926" s="327"/>
      <c r="IM926" s="323"/>
      <c r="IP926" s="323"/>
      <c r="IQ926" s="327"/>
      <c r="IR926" s="327"/>
      <c r="IS926" s="323"/>
      <c r="IT926" s="327"/>
      <c r="IU926" s="327"/>
      <c r="IV926" s="323"/>
      <c r="IW926" s="327"/>
      <c r="IX926" s="327"/>
      <c r="IY926" s="323"/>
      <c r="IZ926" s="327">
        <f t="shared" si="1878"/>
        <v>0</v>
      </c>
      <c r="JA926" s="327">
        <f t="shared" si="1879"/>
        <v>0</v>
      </c>
      <c r="JB926" s="323">
        <f t="shared" si="1823"/>
        <v>0</v>
      </c>
      <c r="JC926" s="327">
        <f t="shared" ref="JC926:JC931" si="1910">SUM(GI926:GN926)</f>
        <v>0</v>
      </c>
      <c r="JD926" s="327">
        <f t="shared" ref="JD926" si="1911">JE926-JC926</f>
        <v>0</v>
      </c>
      <c r="JE926" s="323"/>
      <c r="JF926" s="327"/>
      <c r="JG926" s="327"/>
      <c r="JH926" s="323"/>
      <c r="JI926" s="327">
        <f t="shared" si="1744"/>
        <v>0</v>
      </c>
      <c r="JJ926" s="327">
        <f t="shared" si="1871"/>
        <v>0</v>
      </c>
      <c r="JK926" s="323">
        <f t="shared" si="1683"/>
        <v>0</v>
      </c>
      <c r="JL926" s="327">
        <f t="shared" si="1704"/>
        <v>0</v>
      </c>
      <c r="JN926" s="323">
        <f>FISC!AK1247</f>
        <v>0</v>
      </c>
      <c r="JO926" s="327"/>
      <c r="JQ926" s="323">
        <f>FISC!AL1247</f>
        <v>0</v>
      </c>
      <c r="JT926" s="323">
        <f>FISC!AM1247</f>
        <v>0</v>
      </c>
      <c r="JW926" s="323">
        <f>FISC!AN1247</f>
        <v>0</v>
      </c>
      <c r="JZ926" s="323">
        <f>FISC!AO1247</f>
        <v>0</v>
      </c>
      <c r="KC926" s="323">
        <f>FISC!AP1247</f>
        <v>0</v>
      </c>
      <c r="KF926" s="323">
        <f>FISC!AQ1247</f>
        <v>0</v>
      </c>
      <c r="KI926" s="323">
        <f>FISC!AR1247</f>
        <v>0</v>
      </c>
      <c r="KL926" s="323">
        <f>FISC!AS1247</f>
        <v>0</v>
      </c>
      <c r="KO926" s="323">
        <f>FISC!AT1247</f>
        <v>0</v>
      </c>
      <c r="KU926" s="326"/>
      <c r="KV926" s="327"/>
    </row>
    <row r="927" spans="1:314">
      <c r="A927" s="279"/>
      <c r="D927" s="1499" t="s">
        <v>3153</v>
      </c>
      <c r="E927" s="323"/>
      <c r="F927" s="323"/>
      <c r="G927" s="323"/>
      <c r="H927" s="323"/>
      <c r="I927" s="323"/>
      <c r="J927" s="323"/>
      <c r="K927" s="323"/>
      <c r="L927" s="323"/>
      <c r="M927" s="323"/>
      <c r="N927" s="323"/>
      <c r="O927" s="323"/>
      <c r="P927" s="323"/>
      <c r="Q927" s="323"/>
      <c r="R927" s="323"/>
      <c r="S927" s="323"/>
      <c r="T927" s="323"/>
      <c r="U927" s="323"/>
      <c r="V927" s="323"/>
      <c r="W927" s="323"/>
      <c r="X927" s="323"/>
      <c r="Y927" s="323"/>
      <c r="Z927" s="323"/>
      <c r="AA927" s="323"/>
      <c r="AB927" s="323"/>
      <c r="AC927" s="323"/>
      <c r="AD927" s="323"/>
      <c r="AE927" s="323"/>
      <c r="AF927" s="323"/>
      <c r="AG927" s="323"/>
      <c r="AH927" s="323"/>
      <c r="AI927" s="323"/>
      <c r="AJ927" s="323"/>
      <c r="AK927" s="323"/>
      <c r="AL927" s="323"/>
      <c r="AM927" s="323"/>
      <c r="AN927" s="323"/>
      <c r="AO927" s="323"/>
      <c r="AP927" s="323"/>
      <c r="AQ927" s="323"/>
      <c r="AR927" s="323"/>
      <c r="AS927" s="323"/>
      <c r="AT927" s="323"/>
      <c r="AU927" s="323"/>
      <c r="AV927" s="323"/>
      <c r="AW927" s="323"/>
      <c r="AX927" s="323"/>
      <c r="AY927" s="323"/>
      <c r="AZ927" s="323"/>
      <c r="BA927" s="323"/>
      <c r="BB927" s="323"/>
      <c r="BC927" s="323"/>
      <c r="BD927" s="323"/>
      <c r="BE927" s="323"/>
      <c r="BF927" s="323"/>
      <c r="BG927" s="323"/>
      <c r="BH927" s="323"/>
      <c r="BI927" s="323"/>
      <c r="BJ927" s="323"/>
      <c r="BK927" s="323"/>
      <c r="BL927" s="323"/>
      <c r="BM927" s="323"/>
      <c r="BN927" s="323"/>
      <c r="BO927" s="323"/>
      <c r="BP927" s="323"/>
      <c r="BQ927" s="323"/>
      <c r="BR927" s="323"/>
      <c r="BS927" s="323"/>
      <c r="BT927" s="323"/>
      <c r="BU927" s="323"/>
      <c r="BV927" s="323"/>
      <c r="BW927" s="323"/>
      <c r="BX927" s="323"/>
      <c r="BY927" s="323"/>
      <c r="BZ927" s="323"/>
      <c r="CA927" s="323"/>
      <c r="CB927" s="323"/>
      <c r="CC927" s="323"/>
      <c r="CD927" s="329"/>
      <c r="CE927" s="323"/>
      <c r="CF927" s="323"/>
      <c r="CG927" s="323"/>
      <c r="CH927" s="323"/>
      <c r="CI927" s="323"/>
      <c r="CJ927" s="323"/>
      <c r="CK927" s="323"/>
      <c r="CL927" s="323"/>
      <c r="CM927" s="323"/>
      <c r="CN927" s="323"/>
      <c r="CO927" s="323"/>
      <c r="CP927" s="325"/>
      <c r="CQ927" s="323"/>
      <c r="CR927" s="323"/>
      <c r="CS927" s="323"/>
      <c r="CT927" s="323"/>
      <c r="CU927" s="323"/>
      <c r="CV927" s="323"/>
      <c r="CW927" s="323"/>
      <c r="CX927" s="323"/>
      <c r="CY927" s="323"/>
      <c r="CZ927" s="323"/>
      <c r="DA927" s="323"/>
      <c r="DB927" s="1269"/>
      <c r="DC927" s="323"/>
      <c r="DD927" s="323"/>
      <c r="DE927" s="323"/>
      <c r="DF927" s="323"/>
      <c r="DG927" s="323"/>
      <c r="DH927" s="323"/>
      <c r="DI927" s="323"/>
      <c r="DJ927" s="323"/>
      <c r="DK927" s="323"/>
      <c r="DL927" s="323"/>
      <c r="DM927" s="323"/>
      <c r="DN927" s="325"/>
      <c r="DO927" s="323"/>
      <c r="DP927" s="323"/>
      <c r="DQ927" s="323"/>
      <c r="DR927" s="323"/>
      <c r="DS927" s="323"/>
      <c r="DT927" s="323"/>
      <c r="DU927" s="323"/>
      <c r="DV927" s="323"/>
      <c r="DW927" s="323"/>
      <c r="DX927" s="323"/>
      <c r="DY927" s="323"/>
      <c r="DZ927" s="325"/>
      <c r="EA927" s="323"/>
      <c r="EB927" s="323"/>
      <c r="EC927" s="323"/>
      <c r="ED927" s="323"/>
      <c r="EE927" s="323"/>
      <c r="EF927" s="323"/>
      <c r="EG927" s="323"/>
      <c r="EH927" s="323"/>
      <c r="EI927" s="323"/>
      <c r="EJ927" s="323"/>
      <c r="EK927" s="323"/>
      <c r="EL927" s="325"/>
      <c r="EM927" s="323"/>
      <c r="EN927" s="323"/>
      <c r="EO927" s="323"/>
      <c r="EP927" s="323"/>
      <c r="EQ927" s="323"/>
      <c r="ER927" s="323"/>
      <c r="ES927" s="323"/>
      <c r="ET927" s="323"/>
      <c r="EU927" s="323"/>
      <c r="EV927" s="323"/>
      <c r="EW927" s="323"/>
      <c r="EX927" s="325"/>
      <c r="EY927" s="323"/>
      <c r="EZ927" s="323"/>
      <c r="FA927" s="323"/>
      <c r="FB927" s="323"/>
      <c r="FC927" s="323"/>
      <c r="FD927" s="323"/>
      <c r="FE927" s="323"/>
      <c r="FF927" s="323"/>
      <c r="FG927" s="323"/>
      <c r="FH927" s="323"/>
      <c r="FI927" s="323"/>
      <c r="FJ927" s="325"/>
      <c r="FK927" s="323"/>
      <c r="FL927" s="323"/>
      <c r="FM927" s="323"/>
      <c r="FN927" s="323"/>
      <c r="FO927" s="323"/>
      <c r="FP927" s="323"/>
      <c r="FQ927" s="323"/>
      <c r="FR927" s="323"/>
      <c r="FS927" s="323"/>
      <c r="FT927" s="323"/>
      <c r="FU927" s="323"/>
      <c r="FV927" s="323"/>
      <c r="FW927" s="323"/>
      <c r="FX927" s="323"/>
      <c r="FY927" s="323"/>
      <c r="FZ927" s="323"/>
      <c r="GA927" s="323"/>
      <c r="GB927" s="323"/>
      <c r="GI927" s="1654"/>
      <c r="HZ927" s="326"/>
      <c r="IA927" s="1499" t="s">
        <v>3153</v>
      </c>
      <c r="IB927" s="1063">
        <f>IB924-(IB840-IB860-IB871-IB968)</f>
        <v>-18.078450044245741</v>
      </c>
      <c r="IC927" s="1063">
        <f>IC924-(IC840-IC860-IC871-IC968)</f>
        <v>-189.57068138840336</v>
      </c>
      <c r="ID927" s="323"/>
      <c r="IE927" s="1063">
        <f>IE924-(IE840-IE860-IE871-IE968)</f>
        <v>-84.782599558342412</v>
      </c>
      <c r="IF927" s="1063">
        <f>IF924-(IF840-IF860-IF871-IF968)</f>
        <v>-119.8288616908857</v>
      </c>
      <c r="IG927" s="323"/>
      <c r="IH927" s="1063">
        <f>IH924-(IH840-IH860-IH871-IH968)</f>
        <v>-122.11699102457928</v>
      </c>
      <c r="II927" s="1063">
        <f>II924-(II840-II860-II871-II968)</f>
        <v>-100.59962633264807</v>
      </c>
      <c r="IJ927" s="323"/>
      <c r="IK927" s="1063">
        <f>IK924-(IK840-IK860-IK871-IK968)</f>
        <v>-213.3064845184249</v>
      </c>
      <c r="IL927" s="1063">
        <f>IL924-(IL840-IL860-IL871-IL968)</f>
        <v>-121.26609020651206</v>
      </c>
      <c r="IM927" s="323"/>
      <c r="IN927" s="1063">
        <f>IN924-(IN840-IN860-IN871-IN968)</f>
        <v>-159.20201226932733</v>
      </c>
      <c r="IO927" s="1063">
        <f>IO924-(IO840-IO860-IO871-IO968)</f>
        <v>-176.93820129529837</v>
      </c>
      <c r="IP927" s="323"/>
      <c r="IQ927" s="1063">
        <f>IQ924-(IQ840-IQ860-IQ871-IQ968)</f>
        <v>-89.861987017017611</v>
      </c>
      <c r="IR927" s="1063">
        <f>IR924-(IR840-IR860-IR871-IR968)</f>
        <v>-426.65220005362949</v>
      </c>
      <c r="IS927" s="323"/>
      <c r="IT927" s="1063">
        <f>IT924-(IT840-IT860-IT871-IT968)</f>
        <v>-281.86492678787619</v>
      </c>
      <c r="IU927" s="1063">
        <f>IU924-(IU840-IU860-IU871-IU968)</f>
        <v>-435.75532013525702</v>
      </c>
      <c r="IV927" s="323"/>
      <c r="IW927" s="1063">
        <f>IW924-(IW840-IW860-IW871-IW968)</f>
        <v>-487.63368870886472</v>
      </c>
      <c r="IX927" s="1063">
        <f>IX924-(IX840-IX860-IX871-IX968)</f>
        <v>-298.18364173156903</v>
      </c>
      <c r="IY927" s="323">
        <f t="shared" si="1621"/>
        <v>-785.81733044043381</v>
      </c>
      <c r="IZ927" s="327">
        <f t="shared" si="1878"/>
        <v>0</v>
      </c>
      <c r="JA927" s="327">
        <f t="shared" si="1879"/>
        <v>0</v>
      </c>
      <c r="JB927" s="323">
        <f t="shared" si="1823"/>
        <v>0</v>
      </c>
      <c r="JC927" s="327">
        <f t="shared" si="1910"/>
        <v>0</v>
      </c>
      <c r="JD927" s="327">
        <f>SUM(GO927:GT927)</f>
        <v>0</v>
      </c>
      <c r="JE927" s="323">
        <f t="shared" ref="JE927:JE948" si="1912">JC927+JD927</f>
        <v>0</v>
      </c>
      <c r="JF927" s="327">
        <f>JF924-(JF840-JF860-JF871-JF968)</f>
        <v>-354.35520815813402</v>
      </c>
      <c r="JG927" s="327">
        <f>JG924-(JG840-JG860-JG871-JG968)</f>
        <v>-727.33410803369827</v>
      </c>
      <c r="JH927" s="323">
        <f t="shared" si="1703"/>
        <v>-1081.6893161918324</v>
      </c>
      <c r="JI927" s="327">
        <f>JI924-(JI840-JI860-JI871-JI968)</f>
        <v>-479.44243743864149</v>
      </c>
      <c r="JJ927" s="327">
        <f t="shared" si="1871"/>
        <v>0</v>
      </c>
      <c r="JK927" s="323">
        <f t="shared" si="1683"/>
        <v>-479.44243743864149</v>
      </c>
      <c r="JL927" s="1063">
        <f>JL924-(JL840-JL860-JL871-JL968)</f>
        <v>-452.28364571212023</v>
      </c>
      <c r="JM927" s="1063">
        <f>JM924-(JM840-JM860-JM871-JM968)</f>
        <v>-345.04916072451545</v>
      </c>
      <c r="JN927" s="323">
        <f>FISC!AK1248</f>
        <v>-823.48637492612204</v>
      </c>
      <c r="JO927" s="1063">
        <f>JO924-(JO840-JO860-JO871-JO968)</f>
        <v>-836.75510585626898</v>
      </c>
      <c r="JP927" s="1063">
        <f>JP924-(JP840-JP860-JP871-JP968)</f>
        <v>-71.119192846369032</v>
      </c>
      <c r="JQ927" s="323">
        <f>FISC!AL1248</f>
        <v>-936.49340385971482</v>
      </c>
      <c r="JR927" s="1063">
        <f>JR924-(JR840-JR860-JR871-JR968)</f>
        <v>-871.06550724749741</v>
      </c>
      <c r="JS927" s="1063">
        <f>JS924-(JS840-JS860-JS871-JS968)</f>
        <v>-82.274830722941942</v>
      </c>
      <c r="JT927" s="323">
        <f>FISC!AM1248</f>
        <v>-1006.1737269009549</v>
      </c>
      <c r="JU927" s="1063">
        <f>JU924-(JU840-JU860-JU871-JU968)</f>
        <v>-798.19251212736879</v>
      </c>
      <c r="JV927" s="1063">
        <f>JV924-(JV840-JV860-JV871-JV968)</f>
        <v>-130.57113563011785</v>
      </c>
      <c r="JW927" s="323">
        <f>FISC!AN1248</f>
        <v>-988.30191433776133</v>
      </c>
      <c r="JX927" s="1063">
        <f>JX924-(JX840-JX860-JX871-JX968)</f>
        <v>-928.4940220637535</v>
      </c>
      <c r="JY927" s="1063">
        <f>JY924-(JY840-JY860-JY871-JY968)</f>
        <v>-155.21184037973299</v>
      </c>
      <c r="JZ927" s="323">
        <f>FISC!AO1248</f>
        <v>-1136.8311246334954</v>
      </c>
      <c r="KA927" s="1063">
        <f>KA924-(KA840-KA860-KA871-KA968)</f>
        <v>-1136.6245876140126</v>
      </c>
      <c r="KB927" s="1063">
        <f>KB924-(KB840-KB860-KB871-KB968)</f>
        <v>-154.49245994594224</v>
      </c>
      <c r="KC927" s="323">
        <f>FISC!AP1248</f>
        <v>-1341.5814493840999</v>
      </c>
      <c r="KD927" s="1063">
        <f>KD924-(KD840-KD860-KD871-KD968)</f>
        <v>-863.08411723661084</v>
      </c>
      <c r="KE927" s="1063">
        <f>KE924-(KE840-KE860-KE871-KE968)</f>
        <v>-705.89790581067371</v>
      </c>
      <c r="KF927" s="323">
        <f>FISC!AQ1248</f>
        <v>-1619.0690217920892</v>
      </c>
      <c r="KG927" s="1063">
        <f>KG924-(KG840-KG860-KG871-KG968)</f>
        <v>-1189.8140849861184</v>
      </c>
      <c r="KH927" s="1063">
        <f>KH924-(KH840-KH860-KH871-KH968)</f>
        <v>-34.818904080088032</v>
      </c>
      <c r="KI927" s="323">
        <f>FISC!AR1248</f>
        <v>-1560.5966718180744</v>
      </c>
      <c r="KJ927" s="1063">
        <f>KJ924-(KJ840-KJ860-KJ871-KJ968)</f>
        <v>-1615.9388791938909</v>
      </c>
      <c r="KK927" s="1063">
        <f>KK924-(KK840-KK860-KK871-KK968)</f>
        <v>-211.24580510959254</v>
      </c>
      <c r="KL927" s="323">
        <f>FISC!AS1248</f>
        <v>-2169.7047473853108</v>
      </c>
      <c r="KM927" s="1063">
        <f>KM924-(KM840-KM860-KM871-KM968)</f>
        <v>-1982.883505833775</v>
      </c>
      <c r="KN927" s="1063">
        <f>KN924-(KN840-KN860-KN871-KN968)</f>
        <v>-358.28402265959011</v>
      </c>
      <c r="KO927" s="323">
        <f>FISC!AT1248</f>
        <v>-2689.3573146536755</v>
      </c>
      <c r="KU927" s="326"/>
      <c r="KV927" s="327"/>
    </row>
    <row r="928" spans="1:314">
      <c r="A928" s="279"/>
      <c r="D928" s="1457" t="s">
        <v>3174</v>
      </c>
      <c r="E928" s="323"/>
      <c r="F928" s="323"/>
      <c r="G928" s="323"/>
      <c r="H928" s="323"/>
      <c r="I928" s="323"/>
      <c r="J928" s="323"/>
      <c r="K928" s="323"/>
      <c r="L928" s="323"/>
      <c r="M928" s="323"/>
      <c r="N928" s="323"/>
      <c r="O928" s="323"/>
      <c r="P928" s="323"/>
      <c r="Q928" s="323"/>
      <c r="R928" s="323"/>
      <c r="S928" s="323"/>
      <c r="T928" s="323"/>
      <c r="U928" s="323"/>
      <c r="V928" s="323"/>
      <c r="W928" s="323"/>
      <c r="X928" s="323"/>
      <c r="Y928" s="323"/>
      <c r="Z928" s="323"/>
      <c r="AA928" s="323"/>
      <c r="AB928" s="323"/>
      <c r="AC928" s="323"/>
      <c r="AD928" s="323"/>
      <c r="AE928" s="323"/>
      <c r="AF928" s="323"/>
      <c r="AG928" s="323"/>
      <c r="AH928" s="323"/>
      <c r="AI928" s="323"/>
      <c r="AJ928" s="323"/>
      <c r="AK928" s="323"/>
      <c r="AL928" s="323"/>
      <c r="AM928" s="323"/>
      <c r="AN928" s="323"/>
      <c r="AO928" s="323"/>
      <c r="AP928" s="323"/>
      <c r="AQ928" s="323"/>
      <c r="AR928" s="323"/>
      <c r="AS928" s="323"/>
      <c r="AT928" s="323"/>
      <c r="AU928" s="323"/>
      <c r="AV928" s="323"/>
      <c r="AW928" s="323"/>
      <c r="AX928" s="323"/>
      <c r="AY928" s="323"/>
      <c r="AZ928" s="323"/>
      <c r="BA928" s="323"/>
      <c r="BB928" s="323"/>
      <c r="BC928" s="323"/>
      <c r="BD928" s="323"/>
      <c r="BE928" s="323"/>
      <c r="BF928" s="323"/>
      <c r="BG928" s="323"/>
      <c r="BH928" s="323"/>
      <c r="BI928" s="323"/>
      <c r="BJ928" s="323"/>
      <c r="BK928" s="323"/>
      <c r="BL928" s="323"/>
      <c r="BM928" s="323"/>
      <c r="BN928" s="323"/>
      <c r="BO928" s="323"/>
      <c r="BP928" s="323"/>
      <c r="BQ928" s="323"/>
      <c r="BR928" s="323"/>
      <c r="BS928" s="323"/>
      <c r="BT928" s="323"/>
      <c r="BU928" s="323"/>
      <c r="BV928" s="323"/>
      <c r="BW928" s="323"/>
      <c r="BX928" s="323"/>
      <c r="BY928" s="323"/>
      <c r="BZ928" s="323"/>
      <c r="CA928" s="323"/>
      <c r="CB928" s="323"/>
      <c r="CC928" s="323"/>
      <c r="CD928" s="329"/>
      <c r="CE928" s="323"/>
      <c r="CF928" s="323"/>
      <c r="CG928" s="323"/>
      <c r="CH928" s="323"/>
      <c r="CI928" s="323"/>
      <c r="CJ928" s="323"/>
      <c r="CK928" s="323"/>
      <c r="CL928" s="323"/>
      <c r="CM928" s="323"/>
      <c r="CN928" s="323"/>
      <c r="CO928" s="323"/>
      <c r="CP928" s="325"/>
      <c r="CQ928" s="323"/>
      <c r="CR928" s="323"/>
      <c r="CS928" s="323"/>
      <c r="CT928" s="323"/>
      <c r="CU928" s="323"/>
      <c r="CV928" s="323"/>
      <c r="CW928" s="323"/>
      <c r="CX928" s="323"/>
      <c r="CY928" s="323"/>
      <c r="CZ928" s="323"/>
      <c r="DA928" s="323"/>
      <c r="DB928" s="1269"/>
      <c r="DC928" s="323"/>
      <c r="DD928" s="323"/>
      <c r="DE928" s="323"/>
      <c r="DF928" s="323"/>
      <c r="DG928" s="323"/>
      <c r="DH928" s="323"/>
      <c r="DI928" s="323"/>
      <c r="DJ928" s="323"/>
      <c r="DK928" s="323"/>
      <c r="DL928" s="323"/>
      <c r="DM928" s="323"/>
      <c r="DN928" s="325"/>
      <c r="DO928" s="323"/>
      <c r="DP928" s="323"/>
      <c r="DQ928" s="323"/>
      <c r="DR928" s="323"/>
      <c r="DS928" s="323"/>
      <c r="DT928" s="323"/>
      <c r="DU928" s="323"/>
      <c r="DV928" s="323"/>
      <c r="DW928" s="323"/>
      <c r="DX928" s="323"/>
      <c r="DY928" s="323"/>
      <c r="DZ928" s="325"/>
      <c r="EA928" s="323"/>
      <c r="EB928" s="323"/>
      <c r="EC928" s="323"/>
      <c r="ED928" s="323"/>
      <c r="EE928" s="323"/>
      <c r="EF928" s="323"/>
      <c r="EG928" s="323"/>
      <c r="EH928" s="323"/>
      <c r="EI928" s="323"/>
      <c r="EJ928" s="323"/>
      <c r="EK928" s="323"/>
      <c r="EL928" s="325"/>
      <c r="EM928" s="323"/>
      <c r="EN928" s="323"/>
      <c r="EO928" s="323"/>
      <c r="EP928" s="323"/>
      <c r="EQ928" s="323"/>
      <c r="ER928" s="323"/>
      <c r="ES928" s="323"/>
      <c r="ET928" s="323"/>
      <c r="EU928" s="323"/>
      <c r="EV928" s="323"/>
      <c r="EW928" s="323"/>
      <c r="EX928" s="325"/>
      <c r="EY928" s="323"/>
      <c r="EZ928" s="323"/>
      <c r="FA928" s="323"/>
      <c r="FB928" s="323"/>
      <c r="FC928" s="323"/>
      <c r="FD928" s="323"/>
      <c r="FE928" s="323"/>
      <c r="FF928" s="323"/>
      <c r="FG928" s="323"/>
      <c r="FH928" s="323"/>
      <c r="FI928" s="323"/>
      <c r="FJ928" s="325"/>
      <c r="FK928" s="323"/>
      <c r="FL928" s="323"/>
      <c r="FM928" s="323"/>
      <c r="FN928" s="323"/>
      <c r="FO928" s="323"/>
      <c r="FP928" s="323"/>
      <c r="FQ928" s="323"/>
      <c r="FR928" s="323"/>
      <c r="FS928" s="323"/>
      <c r="FT928" s="323"/>
      <c r="FU928" s="323"/>
      <c r="FV928" s="323"/>
      <c r="FW928" s="323"/>
      <c r="FX928" s="323"/>
      <c r="FY928" s="323"/>
      <c r="FZ928" s="323"/>
      <c r="GA928" s="323"/>
      <c r="GB928" s="323"/>
      <c r="GI928" s="1654"/>
      <c r="HZ928" s="326"/>
      <c r="IA928" s="1457" t="s">
        <v>3174</v>
      </c>
      <c r="IB928" s="1063">
        <f>IB924-(-IB852-IB856-IB883-IB882-IB895-IB902-IB909-IB914)</f>
        <v>-18.078450044245741</v>
      </c>
      <c r="IC928" s="1063">
        <f>IC924-(-IC852-IC856-IC883-IC882-IC895-IC902-IC909-IC914)</f>
        <v>-189.57068138840336</v>
      </c>
      <c r="ID928" s="323"/>
      <c r="IE928" s="1063">
        <f>IE924-(-IE852-IE856-IE883-IE882-IE895-IE902-IE909-IE914)</f>
        <v>-84.782599558342412</v>
      </c>
      <c r="IF928" s="1063">
        <f>IF924-(-IF852-IF856-IF883-IF882-IF895-IF902-IF909-IF914)</f>
        <v>-119.8288616908857</v>
      </c>
      <c r="IG928" s="323"/>
      <c r="IH928" s="1063">
        <f>IH924-(-IH852-IH856-IH883-IH882-IH895-IH902-IH909-IH914)</f>
        <v>-122.11699102457928</v>
      </c>
      <c r="II928" s="1063">
        <f>II924-(-II852-II856-II883-II882-II895-II902-II909-II914)</f>
        <v>-100.59962633264807</v>
      </c>
      <c r="IJ928" s="323"/>
      <c r="IK928" s="1063">
        <f>IK924-(-IK852-IK856-IK883-IK882-IK895-IK902-IK909-IK914)</f>
        <v>-213.3064845184249</v>
      </c>
      <c r="IL928" s="1063">
        <f>IL924-(-IL852-IL856-IL883-IL882-IL895-IL902-IL909-IL914)</f>
        <v>-121.26609020651206</v>
      </c>
      <c r="IM928" s="323"/>
      <c r="IN928" s="1063">
        <f>IN924-(-IN852-IN856-IN883-IN882-IN895-IN902-IN909-IN914)</f>
        <v>-159.20201226932733</v>
      </c>
      <c r="IO928" s="1063">
        <f>IO924-(-IO852-IO856-IO883-IO882-IO895-IO902-IO909-IO914)</f>
        <v>-176.93820129529837</v>
      </c>
      <c r="IP928" s="323"/>
      <c r="IQ928" s="1063">
        <f>IQ924-(-IQ852-IQ856-IQ883-IQ882-IQ895-IQ902-IQ909-IQ914)</f>
        <v>-89.861987017017611</v>
      </c>
      <c r="IR928" s="1063">
        <f>IR924-(-IR852-IR856-IR883-IR882-IR895-IR902-IR909-IR914)</f>
        <v>-426.65220005362949</v>
      </c>
      <c r="IS928" s="323"/>
      <c r="IT928" s="1063">
        <f>IT924-(-IT852-IT856-IT883-IT882-IT895-IT902-IT909-IT914)</f>
        <v>-290.74665163487617</v>
      </c>
      <c r="IU928" s="1063">
        <f>IU924-(-IU852-IU856-IU883-IU882-IU895-IU902-IU909-IU914)</f>
        <v>-450.521159220257</v>
      </c>
      <c r="IV928" s="323"/>
      <c r="IW928" s="1063">
        <f>IW924-(-IW852-IW856-IW883-IW882-IW895-IW902-IW909-IW914)</f>
        <v>-344.45134621088994</v>
      </c>
      <c r="IX928" s="1063">
        <f>IX924-(-IX852-IX856-IX883-IX882-IX895-IX902-IX909-IX914)</f>
        <v>-310.69588860656904</v>
      </c>
      <c r="IY928" s="323">
        <f t="shared" si="1621"/>
        <v>-655.14723481745898</v>
      </c>
      <c r="IZ928" s="327">
        <f t="shared" si="1878"/>
        <v>0</v>
      </c>
      <c r="JA928" s="327">
        <f t="shared" si="1879"/>
        <v>0</v>
      </c>
      <c r="JB928" s="323">
        <f t="shared" si="1823"/>
        <v>0</v>
      </c>
      <c r="JC928" s="327">
        <f t="shared" si="1910"/>
        <v>0</v>
      </c>
      <c r="JD928" s="327">
        <f>SUM(GO928:GT928)</f>
        <v>0</v>
      </c>
      <c r="JE928" s="323">
        <f t="shared" si="1912"/>
        <v>0</v>
      </c>
      <c r="JF928" s="327">
        <f>JF924-(-JF852-JF856-JF883-JF895-JF902-JF909-JF914)</f>
        <v>-370.88550709013401</v>
      </c>
      <c r="JG928" s="327">
        <f>JG924-(-JG852-JG856-JG883-JG895-JG902-JG909-JG914)</f>
        <v>-744.71961303669832</v>
      </c>
      <c r="JH928" s="323">
        <f t="shared" si="1703"/>
        <v>-1115.6051201268324</v>
      </c>
      <c r="JI928" s="327">
        <f>JI924-(-JI852-JI856-JI883-JI895-JI902-JI909-JI914)</f>
        <v>-496.73647340664149</v>
      </c>
      <c r="JJ928" s="327">
        <f t="shared" si="1871"/>
        <v>0</v>
      </c>
      <c r="JK928" s="323">
        <f t="shared" si="1683"/>
        <v>-496.73647340664149</v>
      </c>
      <c r="JL928" s="1063">
        <f>JL924-(-JL852-JL856-JL883-JL895-JL902-JL909-JL914)</f>
        <v>-453.13731171212027</v>
      </c>
      <c r="JM928" s="1063">
        <f>JM924-(-JM852-JM856-JM883-JM895-JM902-JM909-JM914)</f>
        <v>-337.79492988769027</v>
      </c>
      <c r="JN928" s="323">
        <f>FISC!AK1249</f>
        <v>-790.93224159981037</v>
      </c>
      <c r="JO928" s="1063">
        <f>JO924-(-JO852-JO856-JO883-JO895-JO902-JO909-JO914)</f>
        <v>-830.31604263171528</v>
      </c>
      <c r="JP928" s="1063">
        <f>JP924-(-JP852-JP856-JP883-JP895-JP902-JP909-JP914)</f>
        <v>-68.805763212211815</v>
      </c>
      <c r="JQ928" s="323">
        <f>FISC!AL1249</f>
        <v>-899.12180584392706</v>
      </c>
      <c r="JR928" s="1063">
        <f>JR924-(-JR852-JR856-JR883-JR895-JR902-JR909-JR914)</f>
        <v>-867.49352838544019</v>
      </c>
      <c r="JS928" s="1063">
        <f>JS924-(-JS852-JS856-JS883-JS895-JS902-JS909-JS914)</f>
        <v>-82.083237197622424</v>
      </c>
      <c r="JT928" s="323">
        <f>FISC!AM1249</f>
        <v>-949.57676558306252</v>
      </c>
      <c r="JU928" s="1063">
        <f>JU924-(-JU852-JU856-JU883-JU895-JU902-JU909-JU914)</f>
        <v>-791.72039896178967</v>
      </c>
      <c r="JV928" s="1063">
        <f>JV924-(-JV852-JV856-JV883-JV895-JV902-JV909-JV914)</f>
        <v>-129.09907880118951</v>
      </c>
      <c r="JW928" s="323">
        <f>FISC!AN1249</f>
        <v>-920.8194777629792</v>
      </c>
      <c r="JX928" s="1063">
        <f>JX924-(-JX852-JX856-JX883-JX895-JX902-JX909-JX914)</f>
        <v>-913.9270741380617</v>
      </c>
      <c r="JY928" s="1063">
        <f>JY924-(-JY852-JY856-JY883-JY895-JY902-JY909-JY914)</f>
        <v>-146.97052771965781</v>
      </c>
      <c r="JZ928" s="323">
        <f>FISC!AO1249</f>
        <v>-1060.8976018577191</v>
      </c>
      <c r="KA928" s="1063">
        <f>KA924-(-KA852-KA856-KA883-KA895-KA902-KA909-KA914)</f>
        <v>-1168.9795093364924</v>
      </c>
      <c r="KB928" s="1063">
        <f>KB924-(-KB852-KB856-KB883-KB895-KB902-KB909-KB914)</f>
        <v>-182.18423321260752</v>
      </c>
      <c r="KC928" s="323">
        <f>FISC!AP1249</f>
        <v>-1351.1637425490999</v>
      </c>
      <c r="KD928" s="1063">
        <f>KD924-(-KD852-KD856-KD883-KD895-KD902-KD909-KD914)</f>
        <v>-895.23146726545338</v>
      </c>
      <c r="KE928" s="1063">
        <f>KE924-(-KE852-KE856-KE883-KE895-KE902-KE909-KE914)</f>
        <v>-733.41984769163582</v>
      </c>
      <c r="KF928" s="323">
        <f>FISC!AQ1249</f>
        <v>-1628.6513149570892</v>
      </c>
      <c r="KG928" s="1063">
        <f>KG924-(-KG852-KG856-KG883-KG895-KG902-KG909-KG914)</f>
        <v>-1220.9183675439324</v>
      </c>
      <c r="KH928" s="1063">
        <f>KH924-(-KH852-KH856-KH883-KH895-KH902-KH909-KH914)</f>
        <v>-349.26059743914197</v>
      </c>
      <c r="KI928" s="323">
        <f>FISC!AR1249</f>
        <v>-1570.1789649830744</v>
      </c>
      <c r="KJ928" s="1063">
        <f>KJ924-(-KJ852-KJ856-KJ883-KJ895-KJ902-KJ909-KJ914)</f>
        <v>-1645.9009136229351</v>
      </c>
      <c r="KK928" s="1063">
        <f>KK924-(-KK852-KK856-KK883-KK895-KK902-KK909-KK914)</f>
        <v>-533.3861269273757</v>
      </c>
      <c r="KL928" s="323">
        <f>FISC!AS1249</f>
        <v>-2179.2870405503108</v>
      </c>
      <c r="KM928" s="1063">
        <f>KM924-(-KM852-KM856-KM883-KM895-KM902-KM909-KM914)</f>
        <v>-2011.07318292643</v>
      </c>
      <c r="KN928" s="1063">
        <f>KN924-(-KN852-KN856-KN883-KN895-KN902-KN909-KN914)</f>
        <v>-687.8664248922455</v>
      </c>
      <c r="KO928" s="323">
        <f>FISC!AT1249</f>
        <v>-2698.9396078186755</v>
      </c>
      <c r="KU928" s="326"/>
      <c r="KV928" s="327"/>
    </row>
    <row r="929" spans="1:308">
      <c r="A929" s="279"/>
      <c r="D929" s="1457" t="s">
        <v>3175</v>
      </c>
      <c r="E929" s="323"/>
      <c r="F929" s="323"/>
      <c r="G929" s="323"/>
      <c r="H929" s="323"/>
      <c r="I929" s="323"/>
      <c r="J929" s="323"/>
      <c r="K929" s="323"/>
      <c r="L929" s="323"/>
      <c r="M929" s="323"/>
      <c r="N929" s="323"/>
      <c r="O929" s="323"/>
      <c r="P929" s="323"/>
      <c r="Q929" s="323"/>
      <c r="R929" s="323"/>
      <c r="S929" s="323"/>
      <c r="T929" s="323"/>
      <c r="U929" s="323"/>
      <c r="V929" s="323"/>
      <c r="W929" s="323"/>
      <c r="X929" s="323"/>
      <c r="Y929" s="323"/>
      <c r="Z929" s="323"/>
      <c r="AA929" s="323"/>
      <c r="AB929" s="323"/>
      <c r="AC929" s="323"/>
      <c r="AD929" s="323"/>
      <c r="AE929" s="323"/>
      <c r="AF929" s="323"/>
      <c r="AG929" s="323"/>
      <c r="AH929" s="323"/>
      <c r="AI929" s="323"/>
      <c r="AJ929" s="323"/>
      <c r="AK929" s="323"/>
      <c r="AL929" s="323"/>
      <c r="AM929" s="323"/>
      <c r="AN929" s="323"/>
      <c r="AO929" s="323"/>
      <c r="AP929" s="323"/>
      <c r="AQ929" s="323"/>
      <c r="AR929" s="323"/>
      <c r="AS929" s="323"/>
      <c r="AT929" s="323"/>
      <c r="AU929" s="323"/>
      <c r="AV929" s="323"/>
      <c r="AW929" s="323"/>
      <c r="AX929" s="323"/>
      <c r="AY929" s="323"/>
      <c r="AZ929" s="323"/>
      <c r="BA929" s="323"/>
      <c r="BB929" s="323"/>
      <c r="BC929" s="323"/>
      <c r="BD929" s="323"/>
      <c r="BE929" s="323"/>
      <c r="BF929" s="323"/>
      <c r="BG929" s="323"/>
      <c r="BH929" s="323"/>
      <c r="BI929" s="323"/>
      <c r="BJ929" s="323"/>
      <c r="BK929" s="323"/>
      <c r="BL929" s="323"/>
      <c r="BM929" s="323"/>
      <c r="BN929" s="323"/>
      <c r="BO929" s="323"/>
      <c r="BP929" s="323"/>
      <c r="BQ929" s="323"/>
      <c r="BR929" s="323"/>
      <c r="BS929" s="323"/>
      <c r="BT929" s="323"/>
      <c r="BU929" s="323"/>
      <c r="BV929" s="323"/>
      <c r="BW929" s="323"/>
      <c r="BX929" s="323"/>
      <c r="BY929" s="323"/>
      <c r="BZ929" s="323"/>
      <c r="CA929" s="323"/>
      <c r="CB929" s="323"/>
      <c r="CC929" s="323"/>
      <c r="CD929" s="329"/>
      <c r="CE929" s="323"/>
      <c r="CF929" s="323"/>
      <c r="CG929" s="323"/>
      <c r="CH929" s="323"/>
      <c r="CI929" s="323"/>
      <c r="CJ929" s="323"/>
      <c r="CK929" s="323"/>
      <c r="CL929" s="323"/>
      <c r="CM929" s="323"/>
      <c r="CN929" s="323"/>
      <c r="CO929" s="323"/>
      <c r="CP929" s="325"/>
      <c r="CQ929" s="323"/>
      <c r="CR929" s="323"/>
      <c r="CS929" s="323"/>
      <c r="CT929" s="323"/>
      <c r="CU929" s="323"/>
      <c r="CV929" s="323"/>
      <c r="CW929" s="323"/>
      <c r="CX929" s="323"/>
      <c r="CY929" s="323"/>
      <c r="CZ929" s="323"/>
      <c r="DA929" s="323"/>
      <c r="DB929" s="1269"/>
      <c r="DC929" s="323"/>
      <c r="DD929" s="323"/>
      <c r="DE929" s="323"/>
      <c r="DF929" s="323"/>
      <c r="DG929" s="323"/>
      <c r="DH929" s="323"/>
      <c r="DI929" s="323"/>
      <c r="DJ929" s="323"/>
      <c r="DK929" s="323"/>
      <c r="DL929" s="323"/>
      <c r="DM929" s="323"/>
      <c r="DN929" s="325"/>
      <c r="DO929" s="323"/>
      <c r="DP929" s="323"/>
      <c r="DQ929" s="323"/>
      <c r="DR929" s="323"/>
      <c r="DS929" s="323"/>
      <c r="DT929" s="323"/>
      <c r="DU929" s="323"/>
      <c r="DV929" s="323"/>
      <c r="DW929" s="323"/>
      <c r="DX929" s="323"/>
      <c r="DY929" s="323"/>
      <c r="DZ929" s="325"/>
      <c r="EA929" s="323"/>
      <c r="EB929" s="323"/>
      <c r="EC929" s="323"/>
      <c r="ED929" s="323"/>
      <c r="EE929" s="323"/>
      <c r="EF929" s="323"/>
      <c r="EG929" s="323"/>
      <c r="EH929" s="323"/>
      <c r="EI929" s="323"/>
      <c r="EJ929" s="323"/>
      <c r="EK929" s="323"/>
      <c r="EL929" s="325"/>
      <c r="EM929" s="323"/>
      <c r="EN929" s="323"/>
      <c r="EO929" s="323"/>
      <c r="EP929" s="323"/>
      <c r="EQ929" s="323"/>
      <c r="ER929" s="323"/>
      <c r="ES929" s="323"/>
      <c r="ET929" s="323"/>
      <c r="EU929" s="323"/>
      <c r="EV929" s="323"/>
      <c r="EW929" s="323"/>
      <c r="EX929" s="325"/>
      <c r="EY929" s="323"/>
      <c r="EZ929" s="323"/>
      <c r="FA929" s="323"/>
      <c r="FB929" s="323"/>
      <c r="FC929" s="323"/>
      <c r="FD929" s="323"/>
      <c r="FE929" s="323"/>
      <c r="FF929" s="323"/>
      <c r="FG929" s="323"/>
      <c r="FH929" s="323"/>
      <c r="FI929" s="323"/>
      <c r="FJ929" s="325"/>
      <c r="FK929" s="323"/>
      <c r="FL929" s="323"/>
      <c r="FM929" s="323"/>
      <c r="FN929" s="323"/>
      <c r="FO929" s="323"/>
      <c r="FP929" s="323"/>
      <c r="FQ929" s="323"/>
      <c r="FR929" s="323"/>
      <c r="FS929" s="323"/>
      <c r="FT929" s="323"/>
      <c r="FU929" s="323"/>
      <c r="FV929" s="323"/>
      <c r="FW929" s="323"/>
      <c r="FX929" s="323"/>
      <c r="FY929" s="323"/>
      <c r="FZ929" s="323"/>
      <c r="GA929" s="323"/>
      <c r="GB929" s="323"/>
      <c r="GI929" s="1654"/>
      <c r="HZ929" s="326"/>
      <c r="IA929" s="1457" t="s">
        <v>3175</v>
      </c>
      <c r="IB929" s="1063">
        <f>IB924-(-IB857-IB973-IB883)</f>
        <v>-18.078450044245741</v>
      </c>
      <c r="IC929" s="1063">
        <f>IC924-(-IC857-IC973-IC883)</f>
        <v>-189.57068138840336</v>
      </c>
      <c r="ID929" s="323"/>
      <c r="IE929" s="1063">
        <f>IE924-(-IE857-IE973-IE883)</f>
        <v>-84.782599558342412</v>
      </c>
      <c r="IF929" s="1063">
        <f>IF924-(-IF857-IF973-IF883)</f>
        <v>-119.8288616908857</v>
      </c>
      <c r="IG929" s="323"/>
      <c r="IH929" s="1063">
        <f>IH924-(-IH857-IH973-IH883)</f>
        <v>-122.11699102457928</v>
      </c>
      <c r="II929" s="1063">
        <f>II924-(-II857-II973-II883)</f>
        <v>-100.59962633264807</v>
      </c>
      <c r="IJ929" s="323"/>
      <c r="IK929" s="1063">
        <f>IK924-(-IK857-IK973-IK883)</f>
        <v>-213.3064845184249</v>
      </c>
      <c r="IL929" s="1063">
        <f>IL924-(-IL857-IL973-IL883)</f>
        <v>-121.26609020651206</v>
      </c>
      <c r="IM929" s="323"/>
      <c r="IN929" s="1063">
        <f>IN924-(-IN857-IN973-IN883)</f>
        <v>-159.20201226932733</v>
      </c>
      <c r="IO929" s="1063">
        <f>IO924-(-IO857-IO973-IO883)</f>
        <v>-176.93820129529837</v>
      </c>
      <c r="IP929" s="323"/>
      <c r="IQ929" s="1063">
        <f>IQ924-(-IQ857-IQ973-IQ883)</f>
        <v>-89.861987017017611</v>
      </c>
      <c r="IR929" s="1063">
        <f>IR924-(-IR857-IR973-IR883)</f>
        <v>-426.65220005362949</v>
      </c>
      <c r="IS929" s="323"/>
      <c r="IT929" s="1063">
        <f>IT924-(-IT857-IT973-IT883)</f>
        <v>-290.74665163487617</v>
      </c>
      <c r="IU929" s="1063">
        <f>IU924-(-IU857-IU973-IU883)</f>
        <v>-450.521159220257</v>
      </c>
      <c r="IV929" s="323"/>
      <c r="IW929" s="1063">
        <f>IW924-(-IW857-IW973-IW883)</f>
        <v>-453.02670798795737</v>
      </c>
      <c r="IX929" s="1063">
        <f>IX924-(-IX857-IX973-IX883)</f>
        <v>-310.69588860656904</v>
      </c>
      <c r="IY929" s="323">
        <f t="shared" si="1621"/>
        <v>-763.72259659452641</v>
      </c>
      <c r="IZ929" s="327">
        <f t="shared" si="1878"/>
        <v>0</v>
      </c>
      <c r="JA929" s="327">
        <f t="shared" si="1879"/>
        <v>0</v>
      </c>
      <c r="JB929" s="323">
        <f t="shared" si="1823"/>
        <v>0</v>
      </c>
      <c r="JC929" s="327">
        <f t="shared" si="1910"/>
        <v>0</v>
      </c>
      <c r="JD929" s="327">
        <f>SUM(GO929:GT929)</f>
        <v>0</v>
      </c>
      <c r="JE929" s="323">
        <f t="shared" si="1912"/>
        <v>0</v>
      </c>
      <c r="JF929" s="327">
        <f>JF924-(-JF857-JF974-JF883)</f>
        <v>-351.88550709013401</v>
      </c>
      <c r="JG929" s="327">
        <f>JG924-(-JG857-JG974-JG883)</f>
        <v>-718.6196130366983</v>
      </c>
      <c r="JH929" s="323">
        <f t="shared" si="1703"/>
        <v>-1070.5051201268323</v>
      </c>
      <c r="JI929" s="327">
        <f>JI924-(-JI857-JI974-JI883)</f>
        <v>-458.6992111429845</v>
      </c>
      <c r="JJ929" s="327">
        <f t="shared" si="1871"/>
        <v>0</v>
      </c>
      <c r="JK929" s="323">
        <f t="shared" si="1683"/>
        <v>-458.6992111429845</v>
      </c>
      <c r="JL929" s="1063">
        <f>JL924-(-JL857-JL974-JL883)</f>
        <v>-446.24603534462926</v>
      </c>
      <c r="JM929" s="1063">
        <f>JM924-(-JM857-JM974-JM883)</f>
        <v>-319.89336549919096</v>
      </c>
      <c r="JN929" s="323">
        <f>FISC!AK1250</f>
        <v>-766.13940084382011</v>
      </c>
      <c r="JO929" s="1063">
        <f>JO924-(-JO857-JO974-JO883)</f>
        <v>-830.31604263171528</v>
      </c>
      <c r="JP929" s="1063">
        <f>JP924-(-JP857-JP974-JP883)</f>
        <v>-68.805763212211815</v>
      </c>
      <c r="JQ929" s="323">
        <f>FISC!AL1250</f>
        <v>-899.12180584392706</v>
      </c>
      <c r="JR929" s="1063">
        <f>JR924-(-JR857-JR974-JR883)</f>
        <v>-867.49352838544019</v>
      </c>
      <c r="JS929" s="1063">
        <f>JS924-(-JS857-JS974-JS883)</f>
        <v>-82.083237197622424</v>
      </c>
      <c r="JT929" s="323">
        <f>FISC!AM1250</f>
        <v>-949.57676558306252</v>
      </c>
      <c r="JU929" s="1063">
        <f>JU924-(-JU857-JU974-JU883)</f>
        <v>-791.72039896178967</v>
      </c>
      <c r="JV929" s="1063">
        <f>JV924-(-JV857-JV974-JV883)</f>
        <v>-129.09907880118951</v>
      </c>
      <c r="JW929" s="323">
        <f>FISC!AN1250</f>
        <v>-920.8194777629792</v>
      </c>
      <c r="JX929" s="1063">
        <f>JX924-(-JX857-JX974-JX883)</f>
        <v>-913.9270741380617</v>
      </c>
      <c r="JY929" s="1063">
        <f>JY924-(-JY857-JY974-JY883)</f>
        <v>-146.97052771965781</v>
      </c>
      <c r="JZ929" s="323">
        <f>FISC!AO1250</f>
        <v>-1060.8976018577191</v>
      </c>
      <c r="KA929" s="1063">
        <f>KA924-(-KA857-KA974-KA883)</f>
        <v>-1168.9795093364924</v>
      </c>
      <c r="KB929" s="1063">
        <f>KB924-(-KB857-KB974-KB883)</f>
        <v>-182.18423321260752</v>
      </c>
      <c r="KC929" s="323">
        <f>FISC!AP1250</f>
        <v>-1351.1637425490999</v>
      </c>
      <c r="KD929" s="1063">
        <f>KD924-(-KD857-KD974-KD883)</f>
        <v>-895.23146726545338</v>
      </c>
      <c r="KE929" s="1063">
        <f>KE924-(-KE857-KE974-KE883)</f>
        <v>-733.41984769163582</v>
      </c>
      <c r="KF929" s="323">
        <f>FISC!AQ1250</f>
        <v>-1628.6513149570892</v>
      </c>
      <c r="KG929" s="1063">
        <f>KG924-(-KG857-KG974-KG883)</f>
        <v>-1220.9183675439324</v>
      </c>
      <c r="KH929" s="1063">
        <f>KH924-(-KH857-KH974-KH883)</f>
        <v>-349.26059743914197</v>
      </c>
      <c r="KI929" s="323">
        <f>FISC!AR1250</f>
        <v>-1570.1789649830744</v>
      </c>
      <c r="KJ929" s="1063">
        <f>KJ924-(-KJ857-KJ974-KJ883)</f>
        <v>-1645.9009136229351</v>
      </c>
      <c r="KK929" s="1063">
        <f>KK924-(-KK857-KK974-KK883)</f>
        <v>-533.3861269273757</v>
      </c>
      <c r="KL929" s="323">
        <f>FISC!AS1250</f>
        <v>-2179.2870405503108</v>
      </c>
      <c r="KM929" s="1063">
        <f>KM924-(-KM857-KM974-KM883)</f>
        <v>-2011.07318292643</v>
      </c>
      <c r="KN929" s="1063">
        <f>KN924-(-KN857-KN974-KN883)</f>
        <v>-687.8664248922455</v>
      </c>
      <c r="KO929" s="323">
        <f>FISC!AT1250</f>
        <v>-2698.9396078186755</v>
      </c>
      <c r="KU929" s="326"/>
      <c r="KV929" s="327"/>
    </row>
    <row r="930" spans="1:308">
      <c r="A930" s="279"/>
      <c r="D930" s="1499" t="s">
        <v>3154</v>
      </c>
      <c r="E930" s="323"/>
      <c r="F930" s="323"/>
      <c r="G930" s="323"/>
      <c r="H930" s="323"/>
      <c r="I930" s="323"/>
      <c r="J930" s="323"/>
      <c r="K930" s="323"/>
      <c r="L930" s="323"/>
      <c r="M930" s="323"/>
      <c r="N930" s="323"/>
      <c r="O930" s="323"/>
      <c r="P930" s="323"/>
      <c r="Q930" s="323"/>
      <c r="R930" s="323"/>
      <c r="S930" s="323"/>
      <c r="T930" s="323"/>
      <c r="U930" s="323"/>
      <c r="V930" s="323"/>
      <c r="W930" s="323"/>
      <c r="X930" s="323"/>
      <c r="Y930" s="323"/>
      <c r="Z930" s="323"/>
      <c r="AA930" s="323"/>
      <c r="AB930" s="323"/>
      <c r="AC930" s="323"/>
      <c r="AD930" s="323"/>
      <c r="AE930" s="323"/>
      <c r="AF930" s="323"/>
      <c r="AG930" s="323"/>
      <c r="AH930" s="323"/>
      <c r="AI930" s="323"/>
      <c r="AJ930" s="323"/>
      <c r="AK930" s="323"/>
      <c r="AL930" s="323"/>
      <c r="AM930" s="323"/>
      <c r="AN930" s="323"/>
      <c r="AO930" s="323"/>
      <c r="AP930" s="323"/>
      <c r="AQ930" s="323"/>
      <c r="AR930" s="323"/>
      <c r="AS930" s="323"/>
      <c r="AT930" s="323"/>
      <c r="AU930" s="323"/>
      <c r="AV930" s="323"/>
      <c r="AW930" s="323"/>
      <c r="AX930" s="323"/>
      <c r="AY930" s="323"/>
      <c r="AZ930" s="323"/>
      <c r="BA930" s="323"/>
      <c r="BB930" s="323"/>
      <c r="BC930" s="323"/>
      <c r="BD930" s="323"/>
      <c r="BE930" s="323"/>
      <c r="BF930" s="323"/>
      <c r="BG930" s="323"/>
      <c r="BH930" s="323"/>
      <c r="BI930" s="323"/>
      <c r="BJ930" s="323"/>
      <c r="BK930" s="323"/>
      <c r="BL930" s="323"/>
      <c r="BM930" s="323"/>
      <c r="BN930" s="323"/>
      <c r="BO930" s="323"/>
      <c r="BP930" s="323"/>
      <c r="BQ930" s="323"/>
      <c r="BR930" s="323"/>
      <c r="BS930" s="323"/>
      <c r="BT930" s="323"/>
      <c r="BU930" s="323"/>
      <c r="BV930" s="323"/>
      <c r="BW930" s="323"/>
      <c r="BX930" s="323"/>
      <c r="BY930" s="323"/>
      <c r="BZ930" s="323"/>
      <c r="CA930" s="323"/>
      <c r="CB930" s="323"/>
      <c r="CC930" s="323"/>
      <c r="CD930" s="329"/>
      <c r="CE930" s="323"/>
      <c r="CF930" s="323"/>
      <c r="CG930" s="323"/>
      <c r="CH930" s="323"/>
      <c r="CI930" s="323"/>
      <c r="CJ930" s="323"/>
      <c r="CK930" s="323"/>
      <c r="CL930" s="323"/>
      <c r="CM930" s="323"/>
      <c r="CN930" s="323"/>
      <c r="CO930" s="323"/>
      <c r="CP930" s="325"/>
      <c r="CQ930" s="323"/>
      <c r="CR930" s="323"/>
      <c r="CS930" s="323"/>
      <c r="CT930" s="323"/>
      <c r="CU930" s="323"/>
      <c r="CV930" s="323"/>
      <c r="CW930" s="323"/>
      <c r="CX930" s="323"/>
      <c r="CY930" s="323"/>
      <c r="CZ930" s="323"/>
      <c r="DA930" s="323"/>
      <c r="DB930" s="1269"/>
      <c r="DC930" s="323"/>
      <c r="DD930" s="323"/>
      <c r="DE930" s="323"/>
      <c r="DF930" s="323"/>
      <c r="DG930" s="323"/>
      <c r="DH930" s="323"/>
      <c r="DI930" s="323"/>
      <c r="DJ930" s="323"/>
      <c r="DK930" s="323"/>
      <c r="DL930" s="323"/>
      <c r="DM930" s="323"/>
      <c r="DN930" s="325"/>
      <c r="DO930" s="323"/>
      <c r="DP930" s="323"/>
      <c r="DQ930" s="323"/>
      <c r="DR930" s="323"/>
      <c r="DS930" s="323"/>
      <c r="DT930" s="323"/>
      <c r="DU930" s="323"/>
      <c r="DV930" s="323"/>
      <c r="DW930" s="323"/>
      <c r="DX930" s="323"/>
      <c r="DY930" s="323"/>
      <c r="DZ930" s="325"/>
      <c r="EA930" s="323"/>
      <c r="EB930" s="323"/>
      <c r="EC930" s="323"/>
      <c r="ED930" s="323"/>
      <c r="EE930" s="323"/>
      <c r="EF930" s="323"/>
      <c r="EG930" s="323"/>
      <c r="EH930" s="323"/>
      <c r="EI930" s="323"/>
      <c r="EJ930" s="323"/>
      <c r="EK930" s="323"/>
      <c r="EL930" s="325"/>
      <c r="EM930" s="323"/>
      <c r="EN930" s="323"/>
      <c r="EO930" s="323"/>
      <c r="EP930" s="323"/>
      <c r="EQ930" s="323"/>
      <c r="ER930" s="323"/>
      <c r="ES930" s="323"/>
      <c r="ET930" s="323"/>
      <c r="EU930" s="323"/>
      <c r="EV930" s="323"/>
      <c r="EW930" s="323"/>
      <c r="EX930" s="325"/>
      <c r="EY930" s="323"/>
      <c r="EZ930" s="323"/>
      <c r="FA930" s="323"/>
      <c r="FB930" s="323"/>
      <c r="FC930" s="323"/>
      <c r="FD930" s="323"/>
      <c r="FE930" s="323"/>
      <c r="FF930" s="323"/>
      <c r="FG930" s="323"/>
      <c r="FH930" s="323"/>
      <c r="FI930" s="323"/>
      <c r="FJ930" s="325"/>
      <c r="FK930" s="323"/>
      <c r="FL930" s="323"/>
      <c r="FM930" s="323"/>
      <c r="FN930" s="323"/>
      <c r="FO930" s="323"/>
      <c r="FP930" s="323"/>
      <c r="FQ930" s="323"/>
      <c r="FR930" s="323"/>
      <c r="FS930" s="323"/>
      <c r="FT930" s="323"/>
      <c r="FU930" s="323"/>
      <c r="FV930" s="323"/>
      <c r="FW930" s="323"/>
      <c r="FX930" s="323"/>
      <c r="FY930" s="323"/>
      <c r="FZ930" s="323"/>
      <c r="GA930" s="323"/>
      <c r="GB930" s="323"/>
      <c r="GI930" s="1654"/>
      <c r="HZ930" s="326"/>
      <c r="IA930" s="1499" t="s">
        <v>3154</v>
      </c>
      <c r="IB930" s="1063">
        <f>IB924-(-IB840-IB860-IB968-IB971-IB852-IB856-IB883-IB895-IB902-IB909-IB914)</f>
        <v>-18.078450044245741</v>
      </c>
      <c r="IC930" s="1063">
        <f>IC924-(-IC840-IC860-IC968-IC971-IC852-IC856-IC883-IC895-IC902-IC909-IC914)</f>
        <v>-189.57068138840336</v>
      </c>
      <c r="ID930" s="323"/>
      <c r="IE930" s="1063">
        <f>IE924-(-IE840-IE860-IE968-IE971-IE852-IE856-IE883-IE895-IE902-IE909-IE914)</f>
        <v>-84.782599558342412</v>
      </c>
      <c r="IF930" s="1063">
        <f>IF924-(-IF840-IF860-IF968-IF971-IF852-IF856-IF883-IF895-IF902-IF909-IF914)</f>
        <v>-119.8288616908857</v>
      </c>
      <c r="IG930" s="323"/>
      <c r="IH930" s="1063">
        <f>IH924-(-IH840-IH860-IH968-IH971-IH852-IH856-IH883-IH895-IH902-IH909-IH914)</f>
        <v>-122.11699102457928</v>
      </c>
      <c r="II930" s="1063">
        <f>II924-(-II840-II860-II968-II971-II852-II856-II883-II895-II902-II909-II914)</f>
        <v>-100.59962633264807</v>
      </c>
      <c r="IJ930" s="323"/>
      <c r="IK930" s="1063">
        <f>IK924-(-IK840-IK860-IK968-IK971-IK852-IK856-IK883-IK895-IK902-IK909-IK914)</f>
        <v>-213.3064845184249</v>
      </c>
      <c r="IL930" s="1063">
        <f>IL924-(-IL840-IL860-IL968-IL971-IL852-IL856-IL883-IL895-IL902-IL909-IL914)</f>
        <v>-121.26609020651206</v>
      </c>
      <c r="IM930" s="323"/>
      <c r="IN930" s="1063">
        <f>IN924-(-IN840-IN860-IN968-IN971-IN852-IN856-IN883-IN895-IN902-IN909-IN914)</f>
        <v>-159.20201226932733</v>
      </c>
      <c r="IO930" s="1063">
        <f>IO924-(-IO840-IO860-IO968-IO971-IO852-IO856-IO883-IO895-IO902-IO909-IO914)</f>
        <v>-176.93820129529837</v>
      </c>
      <c r="IP930" s="323"/>
      <c r="IQ930" s="1063">
        <f>IQ924-(-IQ840-IQ860-IQ968-IQ971-IQ852-IQ856-IQ883-IQ895-IQ902-IQ909-IQ914)</f>
        <v>-89.861987017017611</v>
      </c>
      <c r="IR930" s="1063">
        <f>IR924-(-IR840-IR860-IR968-IR971-IR852-IR856-IR883-IR895-IR902-IR909-IR914)</f>
        <v>-426.65220005362949</v>
      </c>
      <c r="IS930" s="323"/>
      <c r="IT930" s="1063">
        <f>IT924-(-IT840-IT860-IT968-IT971-IT852-IT856-IT883-IT895-IT902-IT909-IT914)</f>
        <v>-281.86492678787619</v>
      </c>
      <c r="IU930" s="1063">
        <f>IU924-(-IU840-IU860-IU968-IU971-IU852-IU856-IU883-IU895-IU902-IU909-IU914)</f>
        <v>-435.75532013525702</v>
      </c>
      <c r="IV930" s="323"/>
      <c r="IW930" s="1063">
        <f>IW924-(-IW840-IW860-IW968-IW971-IW852-IW856-IW883-IW895-IW902-IW909-IW914)</f>
        <v>-191.21812992344496</v>
      </c>
      <c r="IX930" s="1063">
        <f>IX924-(-IX840-IX860-IX968-IX971-IX852-IX856-IX883-IX895-IX902-IX909-IX914)</f>
        <v>-298.18364173156903</v>
      </c>
      <c r="IY930" s="323">
        <f t="shared" si="1621"/>
        <v>-489.40177165501399</v>
      </c>
      <c r="IZ930" s="327">
        <f t="shared" si="1878"/>
        <v>0</v>
      </c>
      <c r="JA930" s="327">
        <f t="shared" si="1879"/>
        <v>0</v>
      </c>
      <c r="JB930" s="323">
        <f t="shared" si="1823"/>
        <v>0</v>
      </c>
      <c r="JC930" s="327">
        <f t="shared" si="1910"/>
        <v>0</v>
      </c>
      <c r="JD930" s="327">
        <f>SUM(GO930:GT930)</f>
        <v>0</v>
      </c>
      <c r="JE930" s="323">
        <f t="shared" si="1912"/>
        <v>0</v>
      </c>
      <c r="JF930" s="327">
        <f>JF924-(-JF840-JF860-JF968-JF971-JF852-JF856-JF883-JF895-JF902-JF909-JF914)</f>
        <v>-67.257388244983076</v>
      </c>
      <c r="JG930" s="327">
        <f>JG924-(-JG840-JG860-JG968-JG971-JG852-JG856-JG883-JG895-JG902-JG909-JG914)</f>
        <v>-594.10666642681474</v>
      </c>
      <c r="JH930" s="323">
        <f t="shared" si="1703"/>
        <v>-661.36405467179782</v>
      </c>
      <c r="JI930" s="327">
        <f>JI924-(-JI840-JI860-JI968-JI971-JI852-JI856-JI883-JI895-JI902-JI909-JI914)</f>
        <v>-205.63746455525774</v>
      </c>
      <c r="JJ930" s="327">
        <f t="shared" si="1871"/>
        <v>0</v>
      </c>
      <c r="JK930" s="323">
        <f t="shared" si="1683"/>
        <v>-205.63746455525774</v>
      </c>
      <c r="JL930" s="1063">
        <f>JL924-(-JL840-JL860-JL968-JL971-JL852-JL856-JL883-JL895-JL902-JL909-JL914)</f>
        <v>-296.03149615122862</v>
      </c>
      <c r="JM930" s="1063">
        <f>JM924-(-JM840-JM860-JM968-JM971-JM852-JM856-JM883-JM895-JM902-JM909-JM914)</f>
        <v>-102.7702399223391</v>
      </c>
      <c r="JN930" s="323">
        <f>FISC!AK1251</f>
        <v>-372.64816758408108</v>
      </c>
      <c r="JO930" s="1063">
        <f>JO924-(-JO840-JO860-JO968-JO971-JO852-JO856-JO883-JO895-JO902-JO909-JO914)</f>
        <v>-591.73996832545163</v>
      </c>
      <c r="JP930" s="1063">
        <f>JP924-(-JP840-JP860-JP968-JP971-JP852-JP856-JP883-JP895-JP902-JP909-JP914)</f>
        <v>169.77031109405186</v>
      </c>
      <c r="JQ930" s="323">
        <f>FISC!AL1251</f>
        <v>-421.96965723139976</v>
      </c>
      <c r="JR930" s="1063">
        <f>JR924-(-JR840-JR860-JR968-JR971-JR852-JR856-JR883-JR895-JR902-JR909-JR914)</f>
        <v>-619.52300509970667</v>
      </c>
      <c r="JS930" s="1063">
        <f>JS924-(-JS840-JS860-JS968-JS971-JS852-JS856-JS883-JS895-JS902-JS909-JS914)</f>
        <v>165.88728608811107</v>
      </c>
      <c r="JT930" s="323">
        <f>FISC!AM1251</f>
        <v>-453.6357190115956</v>
      </c>
      <c r="JU930" s="1063">
        <f>JU924-(-JU840-JU860-JU968-JU971-JU852-JU856-JU883-JU895-JU902-JU909-JU914)</f>
        <v>-533.31429314226398</v>
      </c>
      <c r="JV930" s="1063">
        <f>JV924-(-JV840-JV860-JV968-JV971-JV852-JV856-JV883-JV895-JV902-JV909-JV914)</f>
        <v>130.50863825753618</v>
      </c>
      <c r="JW930" s="323">
        <f>FISC!AN1251</f>
        <v>-402.8056548847278</v>
      </c>
      <c r="JX930" s="1063">
        <f>JX924-(-JX840-JX860-JX968-JX971-JX852-JX856-JX883-JX895-JX902-JX909-JX914)</f>
        <v>-646.36646178468925</v>
      </c>
      <c r="JY930" s="1063">
        <f>JY924-(-JY840-JY860-JY968-JY971-JY852-JY856-JY883-JY895-JY902-JY909-JY914)</f>
        <v>121.74574440715458</v>
      </c>
      <c r="JZ930" s="323">
        <f>FISC!AO1251</f>
        <v>-524.62071737753422</v>
      </c>
      <c r="KA930" s="1063">
        <f>KA924-(-KA840-KA860-KA968-KA971-KA852-KA856-KA883-KA895-KA902-KA909-KA914)</f>
        <v>-893.12619551707144</v>
      </c>
      <c r="KB930" s="1063">
        <f>KB924-(-KB840-KB860-KB968-KB971-KB852-KB856-KB883-KB895-KB902-KB909-KB914)</f>
        <v>94.052372333413359</v>
      </c>
      <c r="KC930" s="323">
        <f>FISC!AP1251</f>
        <v>-799.07382318365808</v>
      </c>
      <c r="KD930" s="1063">
        <f>KD924-(-KD840-KD860-KD968-KD971-KD852-KD856-KD883-KD895-KD902-KD909-KD914)</f>
        <v>-611.24053905302583</v>
      </c>
      <c r="KE930" s="1063">
        <f>KE924-(-KE840-KE860-KE968-KE971-KE852-KE856-KE883-KE895-KE902-KE909-KE914)</f>
        <v>-449.04562775260831</v>
      </c>
      <c r="KF930" s="323">
        <f>FISC!AQ1251</f>
        <v>-1060.2861668056341</v>
      </c>
      <c r="KG930" s="1063">
        <f>KG924-(-KG840-KG860-KG968-KG971-KG852-KG856-KG883-KG895-KG902-KG909-KG914)</f>
        <v>-1216.3188668247324</v>
      </c>
      <c r="KH930" s="1063">
        <f>KH924-(-KH840-KH860-KH968-KH971-KH852-KH856-KH883-KH895-KH902-KH909-KH914)</f>
        <v>-56.504634675317618</v>
      </c>
      <c r="KI930" s="323">
        <f>FISC!AR1251</f>
        <v>-985.05033118202562</v>
      </c>
      <c r="KJ930" s="1063">
        <f>KJ924-(-KJ840-KJ860-KJ968-KJ971-KJ852-KJ856-KJ883-KJ895-KJ902-KJ909-KJ914)</f>
        <v>-1641.3014129037351</v>
      </c>
      <c r="KK930" s="1063">
        <f>KK924-(-KK840-KK860-KK968-KK971-KK852-KK856-KK883-KK895-KK902-KK909-KK914)</f>
        <v>-231.99696905401061</v>
      </c>
      <c r="KL930" s="323">
        <f>FISC!AS1251</f>
        <v>-1576.8920165301806</v>
      </c>
      <c r="KM930" s="1063">
        <f>KM924-(-KM840-KM860-KM968-KM971-KM852-KM856-KM883-KM895-KM902-KM909-KM914)</f>
        <v>-2006.47368220723</v>
      </c>
      <c r="KN930" s="1063">
        <f>KN924-(-KN840-KN860-KN968-KN971-KN852-KN856-KN883-KN895-KN902-KN909-KN914)</f>
        <v>-377.58507605605342</v>
      </c>
      <c r="KO930" s="323">
        <f>FISC!AT1251</f>
        <v>-2078.7602018728912</v>
      </c>
      <c r="KU930" s="326"/>
      <c r="KV930" s="327"/>
    </row>
    <row r="931" spans="1:308">
      <c r="A931" s="279"/>
      <c r="D931" s="1500" t="s">
        <v>3172</v>
      </c>
      <c r="E931" s="323"/>
      <c r="F931" s="323"/>
      <c r="G931" s="323"/>
      <c r="H931" s="323"/>
      <c r="I931" s="323"/>
      <c r="J931" s="323"/>
      <c r="K931" s="323"/>
      <c r="L931" s="323"/>
      <c r="M931" s="323"/>
      <c r="N931" s="323"/>
      <c r="O931" s="323"/>
      <c r="P931" s="323"/>
      <c r="Q931" s="323"/>
      <c r="R931" s="323"/>
      <c r="S931" s="323"/>
      <c r="T931" s="323"/>
      <c r="U931" s="323"/>
      <c r="V931" s="323"/>
      <c r="W931" s="323"/>
      <c r="X931" s="323"/>
      <c r="Y931" s="323"/>
      <c r="Z931" s="323"/>
      <c r="AA931" s="323"/>
      <c r="AB931" s="323"/>
      <c r="AC931" s="323"/>
      <c r="AD931" s="323"/>
      <c r="AE931" s="323"/>
      <c r="AF931" s="323"/>
      <c r="AG931" s="323"/>
      <c r="AH931" s="323"/>
      <c r="AI931" s="323"/>
      <c r="AJ931" s="323"/>
      <c r="AK931" s="323"/>
      <c r="AL931" s="323"/>
      <c r="AM931" s="323"/>
      <c r="AN931" s="323"/>
      <c r="AO931" s="323"/>
      <c r="AP931" s="323"/>
      <c r="AQ931" s="323"/>
      <c r="AR931" s="323"/>
      <c r="AS931" s="323"/>
      <c r="AT931" s="323"/>
      <c r="AU931" s="323"/>
      <c r="AV931" s="323"/>
      <c r="AW931" s="323"/>
      <c r="AX931" s="323"/>
      <c r="AY931" s="323"/>
      <c r="AZ931" s="323"/>
      <c r="BA931" s="323"/>
      <c r="BB931" s="323"/>
      <c r="BC931" s="323"/>
      <c r="BD931" s="323"/>
      <c r="BE931" s="323"/>
      <c r="BF931" s="323"/>
      <c r="BG931" s="323"/>
      <c r="BH931" s="323"/>
      <c r="BI931" s="323"/>
      <c r="BJ931" s="323"/>
      <c r="BK931" s="323"/>
      <c r="BL931" s="323"/>
      <c r="BM931" s="323"/>
      <c r="BN931" s="323"/>
      <c r="BO931" s="323"/>
      <c r="BP931" s="323"/>
      <c r="BQ931" s="323"/>
      <c r="BR931" s="323"/>
      <c r="BS931" s="323"/>
      <c r="BT931" s="323"/>
      <c r="BU931" s="323"/>
      <c r="BV931" s="323"/>
      <c r="BW931" s="323"/>
      <c r="BX931" s="323"/>
      <c r="BY931" s="323"/>
      <c r="BZ931" s="323"/>
      <c r="CA931" s="323"/>
      <c r="CB931" s="323"/>
      <c r="CC931" s="323"/>
      <c r="CD931" s="329"/>
      <c r="CE931" s="323"/>
      <c r="CF931" s="323"/>
      <c r="CG931" s="323"/>
      <c r="CH931" s="323"/>
      <c r="CI931" s="323"/>
      <c r="CJ931" s="323"/>
      <c r="CK931" s="323"/>
      <c r="CL931" s="323"/>
      <c r="CM931" s="323"/>
      <c r="CN931" s="323"/>
      <c r="CO931" s="323"/>
      <c r="CP931" s="325"/>
      <c r="CQ931" s="323"/>
      <c r="CR931" s="323"/>
      <c r="CS931" s="323"/>
      <c r="CT931" s="323"/>
      <c r="CU931" s="323"/>
      <c r="CV931" s="323"/>
      <c r="CW931" s="323"/>
      <c r="CX931" s="323"/>
      <c r="CY931" s="323"/>
      <c r="CZ931" s="323"/>
      <c r="DA931" s="323"/>
      <c r="DB931" s="1269"/>
      <c r="DC931" s="323"/>
      <c r="DD931" s="323"/>
      <c r="DE931" s="323"/>
      <c r="DF931" s="323"/>
      <c r="DG931" s="323"/>
      <c r="DH931" s="323"/>
      <c r="DI931" s="323"/>
      <c r="DJ931" s="323"/>
      <c r="DK931" s="323"/>
      <c r="DL931" s="323"/>
      <c r="DM931" s="323"/>
      <c r="DN931" s="325"/>
      <c r="DO931" s="323"/>
      <c r="DP931" s="323"/>
      <c r="DQ931" s="323"/>
      <c r="DR931" s="323"/>
      <c r="DS931" s="323"/>
      <c r="DT931" s="323"/>
      <c r="DU931" s="323"/>
      <c r="DV931" s="323"/>
      <c r="DW931" s="323"/>
      <c r="DX931" s="323"/>
      <c r="DY931" s="323"/>
      <c r="DZ931" s="325"/>
      <c r="EA931" s="323"/>
      <c r="EB931" s="323"/>
      <c r="EC931" s="323"/>
      <c r="ED931" s="323"/>
      <c r="EE931" s="323"/>
      <c r="EF931" s="323"/>
      <c r="EG931" s="323"/>
      <c r="EH931" s="323"/>
      <c r="EI931" s="323"/>
      <c r="EJ931" s="323"/>
      <c r="EK931" s="323"/>
      <c r="EL931" s="325"/>
      <c r="EM931" s="323"/>
      <c r="EN931" s="323"/>
      <c r="EO931" s="323"/>
      <c r="EP931" s="323"/>
      <c r="EQ931" s="323"/>
      <c r="ER931" s="323"/>
      <c r="ES931" s="323"/>
      <c r="ET931" s="323"/>
      <c r="EU931" s="323"/>
      <c r="EV931" s="323"/>
      <c r="EW931" s="323"/>
      <c r="EX931" s="325"/>
      <c r="EY931" s="323"/>
      <c r="EZ931" s="323"/>
      <c r="FA931" s="323"/>
      <c r="FB931" s="323"/>
      <c r="FC931" s="323"/>
      <c r="FD931" s="323"/>
      <c r="FE931" s="323"/>
      <c r="FF931" s="323"/>
      <c r="FG931" s="323"/>
      <c r="FH931" s="323"/>
      <c r="FI931" s="323"/>
      <c r="FJ931" s="325"/>
      <c r="FK931" s="323"/>
      <c r="FL931" s="323"/>
      <c r="FM931" s="323"/>
      <c r="FN931" s="323"/>
      <c r="FO931" s="323"/>
      <c r="FP931" s="323"/>
      <c r="FQ931" s="323"/>
      <c r="FR931" s="323"/>
      <c r="FS931" s="323"/>
      <c r="FT931" s="323"/>
      <c r="FU931" s="323"/>
      <c r="FV931" s="323"/>
      <c r="FW931" s="323"/>
      <c r="FX931" s="323"/>
      <c r="FY931" s="323"/>
      <c r="FZ931" s="323"/>
      <c r="GA931" s="323"/>
      <c r="GB931" s="323"/>
      <c r="GI931" s="1654"/>
      <c r="HZ931" s="326"/>
      <c r="IA931" s="1500" t="s">
        <v>3172</v>
      </c>
      <c r="IB931" s="1437"/>
      <c r="IC931" s="1437"/>
      <c r="ID931" s="323"/>
      <c r="IE931" s="1437"/>
      <c r="IF931" s="1437"/>
      <c r="IG931" s="323"/>
      <c r="IH931" s="1437"/>
      <c r="II931" s="1437"/>
      <c r="IJ931" s="323"/>
      <c r="IK931" s="1437"/>
      <c r="IL931" s="1437"/>
      <c r="IM931" s="323"/>
      <c r="IN931" s="1437"/>
      <c r="IO931" s="1437"/>
      <c r="IP931" s="323"/>
      <c r="IQ931" s="1437"/>
      <c r="IR931" s="1437"/>
      <c r="IS931" s="323"/>
      <c r="IT931" s="1437"/>
      <c r="IU931" s="1437"/>
      <c r="IV931" s="323"/>
      <c r="IW931" s="1437"/>
      <c r="IX931" s="1437"/>
      <c r="IY931" s="323"/>
      <c r="IZ931" s="327">
        <f t="shared" si="1878"/>
        <v>0</v>
      </c>
      <c r="JA931" s="327">
        <f t="shared" si="1879"/>
        <v>0</v>
      </c>
      <c r="JB931" s="323">
        <f t="shared" si="1823"/>
        <v>0</v>
      </c>
      <c r="JC931" s="327">
        <f t="shared" si="1910"/>
        <v>0</v>
      </c>
      <c r="JD931" s="327">
        <f>SUM(GO931:GT931)</f>
        <v>0</v>
      </c>
      <c r="JE931" s="323">
        <f t="shared" si="1912"/>
        <v>0</v>
      </c>
      <c r="JF931" s="327"/>
      <c r="JG931" s="327"/>
      <c r="JH931" s="323"/>
      <c r="JI931" s="327">
        <f t="shared" si="1744"/>
        <v>0</v>
      </c>
      <c r="JJ931" s="327">
        <f t="shared" si="1871"/>
        <v>0</v>
      </c>
      <c r="JK931" s="323">
        <f t="shared" si="1683"/>
        <v>0</v>
      </c>
      <c r="JL931" s="1437">
        <f t="shared" si="1704"/>
        <v>0</v>
      </c>
      <c r="JM931" s="1437"/>
      <c r="JN931" s="323">
        <f>FISC!AK1252</f>
        <v>0</v>
      </c>
      <c r="JO931" s="1437"/>
      <c r="JP931" s="1437"/>
      <c r="JQ931" s="323">
        <f>FISC!AL1252</f>
        <v>0</v>
      </c>
      <c r="JR931" s="1437"/>
      <c r="JS931" s="1437"/>
      <c r="JT931" s="323">
        <f>FISC!AM1252</f>
        <v>0</v>
      </c>
      <c r="JU931" s="1437"/>
      <c r="JV931" s="1437"/>
      <c r="JW931" s="323">
        <f>FISC!AN1252</f>
        <v>0</v>
      </c>
      <c r="JX931" s="1437"/>
      <c r="JY931" s="1437"/>
      <c r="JZ931" s="323">
        <f>FISC!AO1252</f>
        <v>0</v>
      </c>
      <c r="KA931" s="1437"/>
      <c r="KB931" s="1437"/>
      <c r="KC931" s="323">
        <f>FISC!AP1252</f>
        <v>0</v>
      </c>
      <c r="KD931" s="1437"/>
      <c r="KE931" s="1437"/>
      <c r="KF931" s="323">
        <f>FISC!AQ1252</f>
        <v>0</v>
      </c>
      <c r="KG931" s="1437"/>
      <c r="KH931" s="1437"/>
      <c r="KI931" s="323">
        <f>FISC!AR1252</f>
        <v>0</v>
      </c>
      <c r="KJ931" s="1437"/>
      <c r="KK931" s="1437"/>
      <c r="KL931" s="323">
        <f>FISC!AS1252</f>
        <v>0</v>
      </c>
      <c r="KM931" s="1437"/>
      <c r="KN931" s="1437"/>
      <c r="KO931" s="323">
        <f>FISC!AT1252</f>
        <v>0</v>
      </c>
      <c r="KU931" s="326"/>
      <c r="KV931" s="327"/>
    </row>
    <row r="932" spans="1:308">
      <c r="A932" s="279"/>
      <c r="D932" s="1501" t="s">
        <v>559</v>
      </c>
      <c r="E932" s="323"/>
      <c r="F932" s="323"/>
      <c r="G932" s="323"/>
      <c r="H932" s="323"/>
      <c r="I932" s="323"/>
      <c r="J932" s="323"/>
      <c r="K932" s="323">
        <f t="shared" ref="K932:BV932" si="1913">K754-K850-K907-K967-K976</f>
        <v>0</v>
      </c>
      <c r="L932" s="323">
        <f t="shared" si="1913"/>
        <v>0</v>
      </c>
      <c r="M932" s="323">
        <f t="shared" si="1913"/>
        <v>0</v>
      </c>
      <c r="N932" s="323">
        <f t="shared" si="1913"/>
        <v>0</v>
      </c>
      <c r="O932" s="323">
        <f t="shared" si="1913"/>
        <v>0</v>
      </c>
      <c r="P932" s="323">
        <f t="shared" si="1913"/>
        <v>0</v>
      </c>
      <c r="Q932" s="323">
        <f t="shared" si="1913"/>
        <v>0</v>
      </c>
      <c r="R932" s="323">
        <f t="shared" si="1913"/>
        <v>0</v>
      </c>
      <c r="S932" s="323">
        <f t="shared" si="1913"/>
        <v>0</v>
      </c>
      <c r="T932" s="323">
        <f t="shared" si="1913"/>
        <v>0</v>
      </c>
      <c r="U932" s="323">
        <f t="shared" si="1913"/>
        <v>0</v>
      </c>
      <c r="V932" s="323">
        <f t="shared" si="1913"/>
        <v>0</v>
      </c>
      <c r="W932" s="323">
        <f t="shared" si="1913"/>
        <v>0</v>
      </c>
      <c r="X932" s="323">
        <f t="shared" si="1913"/>
        <v>0</v>
      </c>
      <c r="Y932" s="323">
        <f t="shared" si="1913"/>
        <v>0</v>
      </c>
      <c r="Z932" s="323">
        <f t="shared" si="1913"/>
        <v>0</v>
      </c>
      <c r="AA932" s="323">
        <f t="shared" si="1913"/>
        <v>0</v>
      </c>
      <c r="AB932" s="323">
        <f t="shared" si="1913"/>
        <v>0</v>
      </c>
      <c r="AC932" s="323">
        <f t="shared" si="1913"/>
        <v>0</v>
      </c>
      <c r="AD932" s="323">
        <f t="shared" si="1913"/>
        <v>0</v>
      </c>
      <c r="AE932" s="323">
        <f t="shared" si="1913"/>
        <v>0</v>
      </c>
      <c r="AF932" s="323">
        <f t="shared" si="1913"/>
        <v>0</v>
      </c>
      <c r="AG932" s="323">
        <f t="shared" si="1913"/>
        <v>0</v>
      </c>
      <c r="AH932" s="323">
        <f t="shared" si="1913"/>
        <v>0</v>
      </c>
      <c r="AI932" s="323">
        <f t="shared" si="1913"/>
        <v>0</v>
      </c>
      <c r="AJ932" s="323">
        <f t="shared" si="1913"/>
        <v>0</v>
      </c>
      <c r="AK932" s="323">
        <f t="shared" si="1913"/>
        <v>0</v>
      </c>
      <c r="AL932" s="323">
        <f t="shared" si="1913"/>
        <v>0</v>
      </c>
      <c r="AM932" s="323">
        <f t="shared" si="1913"/>
        <v>0</v>
      </c>
      <c r="AN932" s="323">
        <f t="shared" si="1913"/>
        <v>0</v>
      </c>
      <c r="AO932" s="323">
        <f t="shared" si="1913"/>
        <v>49.400217065693496</v>
      </c>
      <c r="AP932" s="323">
        <f t="shared" si="1913"/>
        <v>25.622571089368499</v>
      </c>
      <c r="AQ932" s="323">
        <f t="shared" si="1913"/>
        <v>49.377613606619597</v>
      </c>
      <c r="AR932" s="323">
        <f t="shared" si="1913"/>
        <v>47.635893483708863</v>
      </c>
      <c r="AS932" s="323">
        <f t="shared" si="1913"/>
        <v>35.294126524572633</v>
      </c>
      <c r="AT932" s="323">
        <f t="shared" si="1913"/>
        <v>142.50100410549555</v>
      </c>
      <c r="AU932" s="323">
        <f t="shared" si="1913"/>
        <v>35.926838502372902</v>
      </c>
      <c r="AV932" s="323">
        <f t="shared" si="1913"/>
        <v>37.058652320060034</v>
      </c>
      <c r="AW932" s="323">
        <f t="shared" si="1913"/>
        <v>97.305234257372689</v>
      </c>
      <c r="AX932" s="323">
        <f t="shared" si="1913"/>
        <v>64.11043239519249</v>
      </c>
      <c r="AY932" s="323">
        <f t="shared" si="1913"/>
        <v>39.182231080533917</v>
      </c>
      <c r="AZ932" s="323">
        <f t="shared" si="1913"/>
        <v>75.782830687742262</v>
      </c>
      <c r="BA932" s="323">
        <f t="shared" si="1913"/>
        <v>33.091572293166763</v>
      </c>
      <c r="BB932" s="323">
        <f t="shared" si="1913"/>
        <v>33.18907983741984</v>
      </c>
      <c r="BC932" s="323">
        <f t="shared" si="1913"/>
        <v>38.956923720701269</v>
      </c>
      <c r="BD932" s="323">
        <f t="shared" si="1913"/>
        <v>114.95957863109896</v>
      </c>
      <c r="BE932" s="323">
        <f t="shared" si="1913"/>
        <v>35.166646755218636</v>
      </c>
      <c r="BF932" s="323">
        <f t="shared" si="1913"/>
        <v>66.692662215191731</v>
      </c>
      <c r="BG932" s="323">
        <f t="shared" si="1913"/>
        <v>20.388145502762562</v>
      </c>
      <c r="BH932" s="323">
        <f t="shared" si="1913"/>
        <v>-9.2078320636189943</v>
      </c>
      <c r="BI932" s="323">
        <f t="shared" si="1913"/>
        <v>13.092948375074222</v>
      </c>
      <c r="BJ932" s="323">
        <f t="shared" si="1913"/>
        <v>-26.440108551884734</v>
      </c>
      <c r="BK932" s="323">
        <f t="shared" si="1913"/>
        <v>-29.224930722817902</v>
      </c>
      <c r="BL932" s="323">
        <f t="shared" si="1913"/>
        <v>84.410162341847666</v>
      </c>
      <c r="BM932" s="323">
        <f t="shared" si="1913"/>
        <v>-44.958651826957109</v>
      </c>
      <c r="BN932" s="323">
        <f t="shared" si="1913"/>
        <v>-18.908860436826735</v>
      </c>
      <c r="BO932" s="323">
        <f t="shared" si="1913"/>
        <v>19.037651689046292</v>
      </c>
      <c r="BP932" s="323">
        <f t="shared" si="1913"/>
        <v>-69.812806269244192</v>
      </c>
      <c r="BQ932" s="323">
        <f t="shared" si="1913"/>
        <v>-63.979123292294858</v>
      </c>
      <c r="BR932" s="323">
        <f t="shared" si="1913"/>
        <v>65.15532343998423</v>
      </c>
      <c r="BS932" s="323">
        <f t="shared" si="1913"/>
        <v>6.0694768288844614</v>
      </c>
      <c r="BT932" s="323">
        <f t="shared" si="1913"/>
        <v>-26.352133359487432</v>
      </c>
      <c r="BU932" s="323">
        <f t="shared" si="1913"/>
        <v>18.472697623059339</v>
      </c>
      <c r="BV932" s="323">
        <f t="shared" si="1913"/>
        <v>-16.695729181569973</v>
      </c>
      <c r="BW932" s="323">
        <f t="shared" ref="BW932:EH932" si="1914">BW754-BW850-BW907-BW967-BW976</f>
        <v>-29.343123673461093</v>
      </c>
      <c r="BX932" s="323">
        <f t="shared" si="1914"/>
        <v>26.670872886249363</v>
      </c>
      <c r="BY932" s="323">
        <f t="shared" si="1914"/>
        <v>-30.293054584938016</v>
      </c>
      <c r="BZ932" s="323">
        <f t="shared" si="1914"/>
        <v>-33.240856614792129</v>
      </c>
      <c r="CA932" s="323">
        <f t="shared" si="1914"/>
        <v>35.902338399363416</v>
      </c>
      <c r="CB932" s="323">
        <f t="shared" si="1914"/>
        <v>-48.338747381329469</v>
      </c>
      <c r="CC932" s="323">
        <f t="shared" si="1914"/>
        <v>-74.416872919694569</v>
      </c>
      <c r="CD932" s="323">
        <f t="shared" si="1914"/>
        <v>-34.433830394705687</v>
      </c>
      <c r="CE932" s="323">
        <f t="shared" si="1914"/>
        <v>5.7381478784246198</v>
      </c>
      <c r="CF932" s="323">
        <f t="shared" si="1914"/>
        <v>-19.44301460158373</v>
      </c>
      <c r="CG932" s="323">
        <f t="shared" si="1914"/>
        <v>34.294331719156915</v>
      </c>
      <c r="CH932" s="323">
        <f t="shared" si="1914"/>
        <v>-52.968378472524918</v>
      </c>
      <c r="CI932" s="323">
        <f t="shared" si="1914"/>
        <v>-17.980203433658978</v>
      </c>
      <c r="CJ932" s="323">
        <f t="shared" si="1914"/>
        <v>46.392679440940341</v>
      </c>
      <c r="CK932" s="323">
        <f t="shared" si="1914"/>
        <v>-72.41140958037046</v>
      </c>
      <c r="CL932" s="323">
        <f t="shared" si="1914"/>
        <v>-19.423014050475096</v>
      </c>
      <c r="CM932" s="323">
        <f t="shared" si="1914"/>
        <v>-11.785594821713877</v>
      </c>
      <c r="CN932" s="323">
        <f t="shared" si="1914"/>
        <v>-82.689248869119439</v>
      </c>
      <c r="CO932" s="323">
        <f t="shared" si="1914"/>
        <v>-60.281542911335883</v>
      </c>
      <c r="CP932" s="323">
        <f t="shared" si="1914"/>
        <v>16.886306829611406</v>
      </c>
      <c r="CQ932" s="323">
        <f t="shared" si="1914"/>
        <v>-38.705584496730843</v>
      </c>
      <c r="CR932" s="323">
        <f t="shared" si="1914"/>
        <v>-34.589978914185814</v>
      </c>
      <c r="CS932" s="323">
        <f t="shared" si="1914"/>
        <v>-13.827197637122165</v>
      </c>
      <c r="CT932" s="323">
        <f t="shared" si="1914"/>
        <v>-38.441723105696418</v>
      </c>
      <c r="CU932" s="323">
        <f t="shared" si="1914"/>
        <v>-31.444915362083144</v>
      </c>
      <c r="CV932" s="323">
        <f t="shared" si="1914"/>
        <v>62.080129396475961</v>
      </c>
      <c r="CW932" s="323">
        <f t="shared" si="1914"/>
        <v>-51.382335737674971</v>
      </c>
      <c r="CX932" s="323">
        <f t="shared" si="1914"/>
        <v>-34.762110556231058</v>
      </c>
      <c r="CY932" s="323">
        <f t="shared" si="1914"/>
        <v>6.3079266505531866</v>
      </c>
      <c r="CZ932" s="323">
        <f t="shared" si="1914"/>
        <v>-85.95130829845138</v>
      </c>
      <c r="DA932" s="323">
        <f t="shared" si="1914"/>
        <v>-21.048921342399552</v>
      </c>
      <c r="DB932" s="323">
        <f t="shared" si="1914"/>
        <v>13.473455564318062</v>
      </c>
      <c r="DC932" s="323">
        <f t="shared" si="1914"/>
        <v>-36.559898150377805</v>
      </c>
      <c r="DD932" s="323">
        <f t="shared" si="1914"/>
        <v>-42.105003515394436</v>
      </c>
      <c r="DE932" s="323">
        <f t="shared" si="1914"/>
        <v>-6.6880119348492491</v>
      </c>
      <c r="DF932" s="323">
        <f t="shared" si="1914"/>
        <v>-93.553393902972175</v>
      </c>
      <c r="DG932" s="323">
        <f t="shared" si="1914"/>
        <v>1.6378035256506345</v>
      </c>
      <c r="DH932" s="323">
        <f t="shared" si="1914"/>
        <v>36.171101518363777</v>
      </c>
      <c r="DI932" s="323">
        <f t="shared" si="1914"/>
        <v>-113.80333087624086</v>
      </c>
      <c r="DJ932" s="323">
        <f t="shared" si="1914"/>
        <v>-36.050249870944207</v>
      </c>
      <c r="DK932" s="323">
        <f t="shared" si="1914"/>
        <v>25.542743462478885</v>
      </c>
      <c r="DL932" s="323">
        <f t="shared" si="1914"/>
        <v>-41.195036395373947</v>
      </c>
      <c r="DM932" s="323">
        <f t="shared" si="1914"/>
        <v>-56.648422676147888</v>
      </c>
      <c r="DN932" s="323">
        <f t="shared" si="1914"/>
        <v>90.186359786579928</v>
      </c>
      <c r="DO932" s="323">
        <f t="shared" si="1914"/>
        <v>-68.588745811896658</v>
      </c>
      <c r="DP932" s="323">
        <f t="shared" si="1914"/>
        <v>-51.86559281878867</v>
      </c>
      <c r="DQ932" s="323">
        <f t="shared" si="1914"/>
        <v>15.64118833443554</v>
      </c>
      <c r="DR932" s="323">
        <f t="shared" si="1914"/>
        <v>-105.91203387241544</v>
      </c>
      <c r="DS932" s="323">
        <f t="shared" si="1914"/>
        <v>-46.451659220656566</v>
      </c>
      <c r="DT932" s="323">
        <f t="shared" si="1914"/>
        <v>41.306515771896905</v>
      </c>
      <c r="DU932" s="323">
        <f t="shared" si="1914"/>
        <v>-79.758026034028518</v>
      </c>
      <c r="DV932" s="323">
        <f t="shared" si="1914"/>
        <v>-45.023054028591375</v>
      </c>
      <c r="DW932" s="323">
        <f t="shared" si="1914"/>
        <v>57.066654138392153</v>
      </c>
      <c r="DX932" s="323">
        <f t="shared" si="1914"/>
        <v>-119.80437035484086</v>
      </c>
      <c r="DY932" s="323">
        <f t="shared" si="1914"/>
        <v>-72.355733465162146</v>
      </c>
      <c r="DZ932" s="323">
        <f t="shared" si="1914"/>
        <v>114.73414902671865</v>
      </c>
      <c r="EA932" s="323">
        <f t="shared" si="1914"/>
        <v>-57.313987345116736</v>
      </c>
      <c r="EB932" s="323">
        <f t="shared" si="1914"/>
        <v>-85.5000980613015</v>
      </c>
      <c r="EC932" s="323">
        <f t="shared" si="1914"/>
        <v>-44.775168268801536</v>
      </c>
      <c r="ED932" s="323">
        <f t="shared" si="1914"/>
        <v>-51.680393728066292</v>
      </c>
      <c r="EE932" s="323">
        <f t="shared" si="1914"/>
        <v>-30.101189195778204</v>
      </c>
      <c r="EF932" s="323">
        <f t="shared" si="1914"/>
        <v>83.940747227736935</v>
      </c>
      <c r="EG932" s="323">
        <f t="shared" si="1914"/>
        <v>-88.506891568393129</v>
      </c>
      <c r="EH932" s="323">
        <f t="shared" si="1914"/>
        <v>-29.291164763043028</v>
      </c>
      <c r="EI932" s="323">
        <f t="shared" ref="EI932:GT932" si="1915">EI754-EI850-EI907-EI967-EI976</f>
        <v>-9.8392153393689838</v>
      </c>
      <c r="EJ932" s="323">
        <f t="shared" si="1915"/>
        <v>-15.081343311280229</v>
      </c>
      <c r="EK932" s="323">
        <f t="shared" si="1915"/>
        <v>-99.176163670266362</v>
      </c>
      <c r="EL932" s="323">
        <f t="shared" si="1915"/>
        <v>34.174433736053345</v>
      </c>
      <c r="EM932" s="323">
        <f t="shared" si="1915"/>
        <v>-43.720032074740601</v>
      </c>
      <c r="EN932" s="323">
        <f t="shared" si="1915"/>
        <v>3.6205650441688739</v>
      </c>
      <c r="EO932" s="323">
        <f t="shared" si="1915"/>
        <v>11.645162155892567</v>
      </c>
      <c r="EP932" s="323">
        <f t="shared" si="1915"/>
        <v>-78.118257061342888</v>
      </c>
      <c r="EQ932" s="323">
        <f t="shared" si="1915"/>
        <v>-76.845800526046219</v>
      </c>
      <c r="ER932" s="323">
        <f t="shared" si="1915"/>
        <v>77.24113617905067</v>
      </c>
      <c r="ES932" s="323">
        <f t="shared" si="1915"/>
        <v>-63.152351290107987</v>
      </c>
      <c r="ET932" s="323">
        <f t="shared" si="1915"/>
        <v>-41.160456708597167</v>
      </c>
      <c r="EU932" s="323">
        <f t="shared" si="1915"/>
        <v>-23.620240895710261</v>
      </c>
      <c r="EV932" s="323">
        <f t="shared" si="1915"/>
        <v>-189.62377121176331</v>
      </c>
      <c r="EW932" s="323">
        <f t="shared" si="1915"/>
        <v>-146.11055731892336</v>
      </c>
      <c r="EX932" s="323">
        <f t="shared" si="1915"/>
        <v>23.36165890547263</v>
      </c>
      <c r="EY932" s="323">
        <f t="shared" si="1915"/>
        <v>-62.179110015956645</v>
      </c>
      <c r="EZ932" s="323">
        <f t="shared" si="1915"/>
        <v>-83.784364283727797</v>
      </c>
      <c r="FA932" s="323">
        <f t="shared" si="1915"/>
        <v>-18.098107669984017</v>
      </c>
      <c r="FB932" s="323">
        <f t="shared" si="1915"/>
        <v>-145.46323957550555</v>
      </c>
      <c r="FC932" s="323">
        <f t="shared" si="1915"/>
        <v>-107.61624859505292</v>
      </c>
      <c r="FD932" s="323">
        <f t="shared" si="1915"/>
        <v>37.51269365835077</v>
      </c>
      <c r="FE932" s="323">
        <f t="shared" si="1915"/>
        <v>-68.388202848854448</v>
      </c>
      <c r="FF932" s="323">
        <f t="shared" si="1915"/>
        <v>-87.32370202918078</v>
      </c>
      <c r="FG932" s="323">
        <f t="shared" si="1915"/>
        <v>-85.35842533724302</v>
      </c>
      <c r="FH932" s="323">
        <f t="shared" si="1915"/>
        <v>-58.35522396751179</v>
      </c>
      <c r="FI932" s="323">
        <f t="shared" si="1915"/>
        <v>-213.86257033313089</v>
      </c>
      <c r="FJ932" s="323">
        <f t="shared" si="1915"/>
        <v>48.001126210663905</v>
      </c>
      <c r="FK932" s="323">
        <f t="shared" si="1915"/>
        <v>-264.96794418352499</v>
      </c>
      <c r="FL932" s="323">
        <f t="shared" si="1915"/>
        <v>-114.95851901912394</v>
      </c>
      <c r="FM932" s="323">
        <f t="shared" si="1915"/>
        <v>30.686122019501298</v>
      </c>
      <c r="FN932" s="323">
        <f t="shared" si="1915"/>
        <v>-15.473275464505576</v>
      </c>
      <c r="FO932" s="323">
        <f t="shared" si="1915"/>
        <v>-132.77079301523608</v>
      </c>
      <c r="FP932" s="323">
        <f t="shared" si="1915"/>
        <v>-23.786158461068101</v>
      </c>
      <c r="FQ932" s="323">
        <f t="shared" si="1915"/>
        <v>-92.784969940396294</v>
      </c>
      <c r="FR932" s="323">
        <f t="shared" si="1915"/>
        <v>-98.426806764614639</v>
      </c>
      <c r="FS932" s="323">
        <f t="shared" si="1915"/>
        <v>9.136671248610817E-2</v>
      </c>
      <c r="FT932" s="323">
        <f t="shared" si="1915"/>
        <v>-22.67047286274757</v>
      </c>
      <c r="FU932" s="323">
        <f t="shared" si="1915"/>
        <v>-238.73610349118331</v>
      </c>
      <c r="FV932" s="323">
        <f t="shared" si="1915"/>
        <v>88.111536268886709</v>
      </c>
      <c r="FW932" s="323">
        <f t="shared" si="1915"/>
        <v>-89.085264847063996</v>
      </c>
      <c r="FX932" s="323">
        <f t="shared" si="1915"/>
        <v>-55.126535181717074</v>
      </c>
      <c r="FY932" s="323">
        <f t="shared" si="1915"/>
        <v>-164.45929569849656</v>
      </c>
      <c r="FZ932" s="323">
        <f t="shared" si="1915"/>
        <v>-155.46594304777176</v>
      </c>
      <c r="GA932" s="323">
        <f t="shared" si="1915"/>
        <v>-41.825322642998159</v>
      </c>
      <c r="GB932" s="323">
        <f t="shared" si="1915"/>
        <v>-94.671467221177849</v>
      </c>
      <c r="GC932" s="323">
        <f t="shared" si="1915"/>
        <v>-116.88226978757609</v>
      </c>
      <c r="GD932" s="323">
        <f t="shared" si="1915"/>
        <v>-160.80052477718104</v>
      </c>
      <c r="GE932" s="323">
        <f t="shared" si="1915"/>
        <v>23.753526931816427</v>
      </c>
      <c r="GF932" s="323">
        <f t="shared" si="1915"/>
        <v>-142.08434131716132</v>
      </c>
      <c r="GG932" s="323">
        <f t="shared" si="1915"/>
        <v>-33.239154797914395</v>
      </c>
      <c r="GH932" s="323">
        <f t="shared" si="1915"/>
        <v>-84.383967662272326</v>
      </c>
      <c r="GI932" s="323">
        <f t="shared" si="1915"/>
        <v>-125.92653406915608</v>
      </c>
      <c r="GJ932" s="323">
        <f t="shared" si="1915"/>
        <v>-207.57620679319362</v>
      </c>
      <c r="GK932" s="323">
        <f t="shared" si="1915"/>
        <v>-157.06245649620257</v>
      </c>
      <c r="GL932" s="323">
        <f t="shared" si="1915"/>
        <v>-90.287577173477715</v>
      </c>
      <c r="GM932" s="323">
        <f t="shared" si="1915"/>
        <v>-90.612024140738882</v>
      </c>
      <c r="GN932" s="323">
        <f t="shared" si="1915"/>
        <v>85.760247553898353</v>
      </c>
      <c r="GO932" s="323">
        <f t="shared" si="1915"/>
        <v>-138.75343609631906</v>
      </c>
      <c r="GP932" s="323">
        <f t="shared" si="1915"/>
        <v>-107.36518267174233</v>
      </c>
      <c r="GQ932" s="323">
        <f t="shared" si="1915"/>
        <v>-14.975718923976379</v>
      </c>
      <c r="GR932" s="323">
        <f t="shared" si="1915"/>
        <v>-96.374915785343617</v>
      </c>
      <c r="GS932" s="323">
        <f t="shared" si="1915"/>
        <v>-283.96324982293299</v>
      </c>
      <c r="GT932" s="323">
        <f t="shared" si="1915"/>
        <v>110.15022404569203</v>
      </c>
      <c r="GU932" s="323">
        <f t="shared" ref="GU932:HR932" si="1916">GU754-GU850-GU907-GU967-GU976</f>
        <v>-16.853140113553863</v>
      </c>
      <c r="GV932" s="323">
        <f t="shared" si="1916"/>
        <v>-146.94316148030055</v>
      </c>
      <c r="GW932" s="323">
        <f t="shared" si="1916"/>
        <v>-36.414516725072076</v>
      </c>
      <c r="GX932" s="323">
        <f t="shared" si="1916"/>
        <v>-75.122720127158587</v>
      </c>
      <c r="GY932" s="323">
        <f t="shared" si="1916"/>
        <v>-143.14742069211718</v>
      </c>
      <c r="GZ932" s="323">
        <f t="shared" si="1916"/>
        <v>-18.533882778932167</v>
      </c>
      <c r="HA932" s="323">
        <f t="shared" si="1916"/>
        <v>-158.10489600844716</v>
      </c>
      <c r="HB932" s="323">
        <f t="shared" si="1916"/>
        <v>-243.94085166501515</v>
      </c>
      <c r="HC932" s="323">
        <f t="shared" si="1916"/>
        <v>-104.85984357938374</v>
      </c>
      <c r="HD932" s="323">
        <f t="shared" si="1916"/>
        <v>-35.368026138168993</v>
      </c>
      <c r="HE932" s="323">
        <f t="shared" si="1916"/>
        <v>-132.82153403212808</v>
      </c>
      <c r="HF932" s="323">
        <f t="shared" si="1916"/>
        <v>-116.06744863042789</v>
      </c>
      <c r="HG932" s="323">
        <f t="shared" si="1916"/>
        <v>-109.24383080823056</v>
      </c>
      <c r="HH932" s="323">
        <f t="shared" si="1916"/>
        <v>-182.50948299443561</v>
      </c>
      <c r="HI932" s="323">
        <f t="shared" si="1916"/>
        <v>-29.881774034629366</v>
      </c>
      <c r="HJ932" s="323">
        <f t="shared" si="1916"/>
        <v>-143.37560984154851</v>
      </c>
      <c r="HK932" s="323">
        <f t="shared" si="1916"/>
        <v>-137.00849839662368</v>
      </c>
      <c r="HL932" s="323">
        <f t="shared" si="1916"/>
        <v>-6.0335775878308091</v>
      </c>
      <c r="HM932" s="323">
        <f t="shared" si="1916"/>
        <v>-109.9386322551222</v>
      </c>
      <c r="HN932" s="323">
        <f t="shared" si="1916"/>
        <v>-222.76038550902004</v>
      </c>
      <c r="HO932" s="323">
        <f t="shared" si="1916"/>
        <v>-107.18795462272696</v>
      </c>
      <c r="HP932" s="323">
        <f t="shared" si="1916"/>
        <v>-25.796390110817601</v>
      </c>
      <c r="HQ932" s="323">
        <f t="shared" si="1916"/>
        <v>-170.41583826790372</v>
      </c>
      <c r="HR932" s="323">
        <f t="shared" si="1916"/>
        <v>65.827277755921472</v>
      </c>
      <c r="HS932" s="323">
        <f t="shared" ref="HS932:HX932" si="1917">HS754-HS850-HS907-HS967-HS976</f>
        <v>-111.65758510317886</v>
      </c>
      <c r="HT932" s="323">
        <f t="shared" si="1917"/>
        <v>-242.67774489840954</v>
      </c>
      <c r="HU932" s="323">
        <f t="shared" si="1917"/>
        <v>-5.237164780604747</v>
      </c>
      <c r="HV932" s="323">
        <f t="shared" si="1917"/>
        <v>-64.305697801016436</v>
      </c>
      <c r="HW932" s="323">
        <f t="shared" si="1917"/>
        <v>-232.54805714189575</v>
      </c>
      <c r="HX932" s="323">
        <f t="shared" si="1917"/>
        <v>-52.019427250505913</v>
      </c>
      <c r="HY932" s="323"/>
      <c r="HZ932" s="326"/>
      <c r="IA932" s="1501" t="s">
        <v>559</v>
      </c>
      <c r="IB932" s="548">
        <f>+IB754-IB850-IB907-IB967-IB974</f>
        <v>-3.9664374692457542</v>
      </c>
      <c r="IC932" s="548">
        <f>+IC754-IC850-IC907-IC967-IC974</f>
        <v>-229.70450340340332</v>
      </c>
      <c r="ID932" s="323"/>
      <c r="IE932" s="548">
        <f>+IE754-IE850-IE907-IE967-IE974</f>
        <v>-94.929270119342448</v>
      </c>
      <c r="IF932" s="548">
        <f>+IF754-IF850-IF907-IF967-IF974</f>
        <v>-173.36329371988563</v>
      </c>
      <c r="IG932" s="323"/>
      <c r="IH932" s="548">
        <f>+IH754-IH850-IH907-IH967-IH974</f>
        <v>-141.09740245957931</v>
      </c>
      <c r="II932" s="548">
        <f>+II754-II850-II907-II967-II974</f>
        <v>-131.96793656964815</v>
      </c>
      <c r="IJ932" s="323"/>
      <c r="IK932" s="548">
        <f>+IK754-IK850-IK907-IK967-IK974</f>
        <v>-215.87032761742483</v>
      </c>
      <c r="IL932" s="548">
        <f>+IL754-IL850-IL907-IL967-IL974</f>
        <v>-145.14038071751204</v>
      </c>
      <c r="IM932" s="323"/>
      <c r="IN932" s="548">
        <f>+IN754-IN850-IN907-IN967-IN974</f>
        <v>-185.43008937132726</v>
      </c>
      <c r="IO932" s="548">
        <f>+IO754-IO850-IO907-IO967-IO974</f>
        <v>-207.72034491629853</v>
      </c>
      <c r="IP932" s="323"/>
      <c r="IQ932" s="548">
        <f>+IQ754-IQ850-IQ907-IQ967-IQ974</f>
        <v>-106.17722628301766</v>
      </c>
      <c r="IR932" s="548">
        <f>+IR754-IR850-IR907-IR967-IR974</f>
        <v>-440.30571851962924</v>
      </c>
      <c r="IS932" s="323"/>
      <c r="IT932" s="548">
        <f>+IT754-IT850-IT907-IT967-IT974</f>
        <v>-379.62837648187633</v>
      </c>
      <c r="IU932" s="548">
        <f>+IU754-IU850-IU907-IU967-IU974</f>
        <v>-465.28699830525687</v>
      </c>
      <c r="IV932" s="323"/>
      <c r="IW932" s="548">
        <f t="shared" ref="IW932:JG932" si="1918">+IW754-IW850-IW907-IW967-IW976</f>
        <v>-521.27056812395722</v>
      </c>
      <c r="IX932" s="548">
        <f t="shared" si="1918"/>
        <v>-364.41545007756912</v>
      </c>
      <c r="IY932" s="323">
        <f t="shared" si="1918"/>
        <v>-885.68601820152651</v>
      </c>
      <c r="IZ932" s="548">
        <f t="shared" si="1918"/>
        <v>-600.63382863922527</v>
      </c>
      <c r="JA932" s="548">
        <f t="shared" si="1918"/>
        <v>-513.6367314102888</v>
      </c>
      <c r="JB932" s="548">
        <f t="shared" si="1918"/>
        <v>-1114.270560049514</v>
      </c>
      <c r="JC932" s="548">
        <f t="shared" si="1918"/>
        <v>-585.70455111887065</v>
      </c>
      <c r="JD932" s="548">
        <f t="shared" si="1918"/>
        <v>-531.28227925462238</v>
      </c>
      <c r="JE932" s="548">
        <f t="shared" si="1918"/>
        <v>-1116.9868303734927</v>
      </c>
      <c r="JF932" s="548">
        <f t="shared" si="1918"/>
        <v>-429.04464152713399</v>
      </c>
      <c r="JG932" s="548">
        <f t="shared" si="1918"/>
        <v>-799.16632291869826</v>
      </c>
      <c r="JH932" s="548">
        <f t="shared" si="1703"/>
        <v>-1228.2109644458324</v>
      </c>
      <c r="JI932" s="548">
        <f t="shared" si="1744"/>
        <v>-608.05277366329858</v>
      </c>
      <c r="JJ932" s="548">
        <f t="shared" si="1871"/>
        <v>-570.27192300966897</v>
      </c>
      <c r="JK932" s="323">
        <f t="shared" si="1683"/>
        <v>-1178.3246966729675</v>
      </c>
      <c r="JL932" s="548">
        <f>JL754-JL850-JL907-JL967-JL976</f>
        <v>-708.44567697561115</v>
      </c>
      <c r="JM932" s="548">
        <f>+JM754-JM850-JM907-JM967-JM976</f>
        <v>-743.11832223988119</v>
      </c>
      <c r="JN932" s="323">
        <f>FISC!AK1253</f>
        <v>-1448.9645038884923</v>
      </c>
      <c r="JO932" s="548">
        <f>+JO754-JO850-JO907-JO967-JO976</f>
        <v>-1103.4182741270236</v>
      </c>
      <c r="JP932" s="548">
        <f>+JP754-JP850-JP907-JP967-JP976</f>
        <v>-368.83232877745814</v>
      </c>
      <c r="JQ932" s="323">
        <f>FISC!AL1253</f>
        <v>-1472.2506029044816</v>
      </c>
      <c r="JR932" s="548">
        <f>+JR754-JR850-JR907-JR967-JR976</f>
        <v>-1170.9607780135348</v>
      </c>
      <c r="JS932" s="548">
        <f>+JS754-JS850-JS907-JS967-JS976</f>
        <v>-273.44597845052294</v>
      </c>
      <c r="JT932" s="323">
        <f>FISC!AM1253</f>
        <v>-1444.4067564640577</v>
      </c>
      <c r="JU932" s="548">
        <f>+JU754-JU850-JU907-JU967-JU976</f>
        <v>-885.70554248421968</v>
      </c>
      <c r="JV932" s="548">
        <f>+JV754-JV850-JV907-JV967-JV976</f>
        <v>-213.48843757822704</v>
      </c>
      <c r="JW932" s="323">
        <f>FISC!AN1253</f>
        <v>-1099.1939800624468</v>
      </c>
      <c r="JX932" s="548">
        <f>+JX754-JX850-JX907-JX967-JX976</f>
        <v>-1015.6042973826743</v>
      </c>
      <c r="JY932" s="548">
        <f>+JY754-JY850-JY907-JY967-JY976</f>
        <v>-237.98845885399285</v>
      </c>
      <c r="JZ932" s="323">
        <f>FISC!AO1253</f>
        <v>-1253.5927562366667</v>
      </c>
      <c r="KA932" s="548">
        <f>+KA754-KA850-KA907-KA967-KA976</f>
        <v>-1191.5699320710123</v>
      </c>
      <c r="KB932" s="548">
        <f>+KB754-KB850-KB907-KB967-KB976</f>
        <v>-205.15794767372751</v>
      </c>
      <c r="KC932" s="323">
        <f>FISC!AP1253</f>
        <v>-1396.72787974474</v>
      </c>
      <c r="KD932" s="548">
        <f>+KD754-KD850-KD907-KD967-KD976</f>
        <v>-917.82188999997345</v>
      </c>
      <c r="KE932" s="548">
        <f>+KE754-KE850-KE907-KE967-KE976</f>
        <v>-756.39356215275586</v>
      </c>
      <c r="KF932" s="323">
        <f>FISC!AQ1253</f>
        <v>-1674.2154521527293</v>
      </c>
      <c r="KG932" s="548">
        <f>+KG754-KG850-KG907-KG967-KG976</f>
        <v>-1243.5087902784524</v>
      </c>
      <c r="KH932" s="548">
        <f>+KH754-KH850-KH907-KH967-KH976</f>
        <v>-372.23431190026196</v>
      </c>
      <c r="KI932" s="323">
        <f>FISC!AR1253</f>
        <v>-1615.7431021787145</v>
      </c>
      <c r="KJ932" s="548">
        <f>+KJ754-KJ850-KJ907-KJ967-KJ976</f>
        <v>-1668.4913363574551</v>
      </c>
      <c r="KK932" s="548">
        <f>+KK754-KK850-KK907-KK967-KK976</f>
        <v>-556.35984138849574</v>
      </c>
      <c r="KL932" s="323">
        <f>FISC!AS1253</f>
        <v>-2224.8511777459507</v>
      </c>
      <c r="KM932" s="548">
        <f>+KM754-KM850-KM907-KM967-KM976</f>
        <v>-2033.66360566095</v>
      </c>
      <c r="KN932" s="548">
        <f>+KN754-KN850-KN907-KN967-KN976</f>
        <v>-710.84013935336554</v>
      </c>
      <c r="KO932" s="323">
        <f>FISC!AT1253</f>
        <v>-2744.5037450143154</v>
      </c>
      <c r="KU932" s="326"/>
      <c r="KV932" s="327"/>
    </row>
    <row r="933" spans="1:308">
      <c r="A933" s="279"/>
      <c r="D933" s="1501" t="s">
        <v>560</v>
      </c>
      <c r="E933" s="323"/>
      <c r="F933" s="323"/>
      <c r="G933" s="323"/>
      <c r="H933" s="323"/>
      <c r="I933" s="323"/>
      <c r="J933" s="323"/>
      <c r="K933" s="323"/>
      <c r="L933" s="323"/>
      <c r="M933" s="323"/>
      <c r="N933" s="323"/>
      <c r="O933" s="323"/>
      <c r="P933" s="323"/>
      <c r="Q933" s="323"/>
      <c r="R933" s="323"/>
      <c r="S933" s="323"/>
      <c r="T933" s="323"/>
      <c r="U933" s="323"/>
      <c r="V933" s="323"/>
      <c r="W933" s="323"/>
      <c r="X933" s="323"/>
      <c r="Y933" s="323"/>
      <c r="Z933" s="323"/>
      <c r="AA933" s="323"/>
      <c r="AB933" s="323"/>
      <c r="AC933" s="323"/>
      <c r="AD933" s="323"/>
      <c r="AE933" s="323"/>
      <c r="AF933" s="323"/>
      <c r="AG933" s="323"/>
      <c r="AH933" s="323"/>
      <c r="AI933" s="323"/>
      <c r="AJ933" s="323"/>
      <c r="AK933" s="323"/>
      <c r="AL933" s="323"/>
      <c r="AM933" s="323"/>
      <c r="AN933" s="323"/>
      <c r="AO933" s="323"/>
      <c r="AP933" s="323"/>
      <c r="AQ933" s="323"/>
      <c r="AR933" s="323"/>
      <c r="AS933" s="323"/>
      <c r="AT933" s="323"/>
      <c r="AU933" s="323"/>
      <c r="AV933" s="323"/>
      <c r="AW933" s="323"/>
      <c r="AX933" s="323"/>
      <c r="AY933" s="323"/>
      <c r="AZ933" s="323"/>
      <c r="BA933" s="323"/>
      <c r="BB933" s="323"/>
      <c r="BC933" s="323"/>
      <c r="BD933" s="323"/>
      <c r="BE933" s="323"/>
      <c r="BF933" s="323"/>
      <c r="BG933" s="323"/>
      <c r="BH933" s="323"/>
      <c r="BI933" s="323"/>
      <c r="BJ933" s="323"/>
      <c r="BK933" s="323"/>
      <c r="BL933" s="323"/>
      <c r="BM933" s="323"/>
      <c r="BN933" s="323"/>
      <c r="BO933" s="323"/>
      <c r="BP933" s="323"/>
      <c r="BQ933" s="323"/>
      <c r="BR933" s="323"/>
      <c r="BS933" s="323"/>
      <c r="BT933" s="323"/>
      <c r="BU933" s="323"/>
      <c r="BV933" s="323"/>
      <c r="BW933" s="323"/>
      <c r="BX933" s="323"/>
      <c r="BY933" s="323"/>
      <c r="BZ933" s="323"/>
      <c r="CA933" s="323"/>
      <c r="CB933" s="323"/>
      <c r="CC933" s="323"/>
      <c r="CD933" s="329"/>
      <c r="CE933" s="323"/>
      <c r="CF933" s="323"/>
      <c r="CG933" s="323"/>
      <c r="CH933" s="323"/>
      <c r="CI933" s="323"/>
      <c r="CJ933" s="323"/>
      <c r="CK933" s="323"/>
      <c r="CL933" s="323"/>
      <c r="CM933" s="323"/>
      <c r="CN933" s="323"/>
      <c r="CO933" s="323"/>
      <c r="CP933" s="325"/>
      <c r="CQ933" s="323"/>
      <c r="CR933" s="323"/>
      <c r="CS933" s="323"/>
      <c r="CT933" s="323"/>
      <c r="CU933" s="323"/>
      <c r="CV933" s="323"/>
      <c r="CW933" s="323"/>
      <c r="CX933" s="323"/>
      <c r="CY933" s="323"/>
      <c r="CZ933" s="323"/>
      <c r="DA933" s="323"/>
      <c r="DB933" s="1269"/>
      <c r="DC933" s="323"/>
      <c r="DD933" s="323"/>
      <c r="DE933" s="323"/>
      <c r="DF933" s="323"/>
      <c r="DG933" s="323"/>
      <c r="DH933" s="323"/>
      <c r="DI933" s="323"/>
      <c r="DJ933" s="323"/>
      <c r="DK933" s="323"/>
      <c r="DL933" s="323"/>
      <c r="DM933" s="323"/>
      <c r="DN933" s="325"/>
      <c r="DO933" s="323"/>
      <c r="DP933" s="323"/>
      <c r="DQ933" s="323"/>
      <c r="DR933" s="323"/>
      <c r="DS933" s="323"/>
      <c r="DT933" s="323"/>
      <c r="DU933" s="323"/>
      <c r="DV933" s="323"/>
      <c r="DW933" s="323"/>
      <c r="DX933" s="323"/>
      <c r="DY933" s="323"/>
      <c r="DZ933" s="325"/>
      <c r="EA933" s="323"/>
      <c r="EB933" s="323"/>
      <c r="EC933" s="323"/>
      <c r="ED933" s="323"/>
      <c r="EE933" s="323"/>
      <c r="EF933" s="323"/>
      <c r="EG933" s="323"/>
      <c r="EH933" s="323"/>
      <c r="EI933" s="323"/>
      <c r="EJ933" s="323"/>
      <c r="EK933" s="323"/>
      <c r="EL933" s="325"/>
      <c r="EM933" s="323"/>
      <c r="EN933" s="323"/>
      <c r="EO933" s="323"/>
      <c r="EP933" s="323"/>
      <c r="EQ933" s="323"/>
      <c r="ER933" s="323"/>
      <c r="ES933" s="323"/>
      <c r="ET933" s="323"/>
      <c r="EU933" s="323"/>
      <c r="EV933" s="323"/>
      <c r="EW933" s="323"/>
      <c r="EX933" s="325"/>
      <c r="EY933" s="323"/>
      <c r="EZ933" s="323"/>
      <c r="FA933" s="323"/>
      <c r="FB933" s="323"/>
      <c r="FC933" s="323"/>
      <c r="FD933" s="323"/>
      <c r="FE933" s="323"/>
      <c r="FF933" s="323"/>
      <c r="FG933" s="323"/>
      <c r="FH933" s="323"/>
      <c r="FI933" s="323"/>
      <c r="FJ933" s="325"/>
      <c r="FK933" s="323"/>
      <c r="FL933" s="323"/>
      <c r="FM933" s="323"/>
      <c r="FN933" s="323"/>
      <c r="FO933" s="323"/>
      <c r="FP933" s="323"/>
      <c r="FQ933" s="323"/>
      <c r="FR933" s="323"/>
      <c r="FS933" s="323"/>
      <c r="FT933" s="323"/>
      <c r="FU933" s="323"/>
      <c r="FV933" s="323"/>
      <c r="FW933" s="323"/>
      <c r="FX933" s="323"/>
      <c r="FY933" s="323"/>
      <c r="FZ933" s="323"/>
      <c r="GA933" s="323"/>
      <c r="GB933" s="323"/>
      <c r="GI933" s="1654"/>
      <c r="HZ933" s="326"/>
      <c r="IA933" s="1501" t="s">
        <v>560</v>
      </c>
      <c r="IB933" s="548">
        <f>+(IB754-IB813)-IB850-IB907-IB967-IB974</f>
        <v>-297.38166732644675</v>
      </c>
      <c r="IC933" s="548">
        <f>+(IC754-IC813)-IC850-IC907-IC967-IC974</f>
        <v>-410.60593076882253</v>
      </c>
      <c r="ID933" s="323"/>
      <c r="IE933" s="548">
        <f>+(IE754-IE813)-IE850-IE907-IE967-IE974</f>
        <v>-335.84864990981384</v>
      </c>
      <c r="IF933" s="548">
        <f>+(IF754-IF813)-IF850-IF907-IF967-IF974</f>
        <v>-348.3713209247137</v>
      </c>
      <c r="IG933" s="323"/>
      <c r="IH933" s="548">
        <f>+(IH754-IH813)-IH850-IH907-IH967-IH974</f>
        <v>-340.69111176638188</v>
      </c>
      <c r="II933" s="548">
        <f>+(II754-II813)-II850-II907-II967-II974</f>
        <v>-306.08783305639497</v>
      </c>
      <c r="IJ933" s="323"/>
      <c r="IK933" s="548">
        <f>+(IK754-IK813)-IK850-IK907-IK967-IK974</f>
        <v>-381.08625178289805</v>
      </c>
      <c r="IL933" s="548">
        <f>+(IL754-IL813)-IL850-IL907-IL967-IL974</f>
        <v>-310.10654049855731</v>
      </c>
      <c r="IM933" s="323"/>
      <c r="IN933" s="548">
        <f>+(IN754-IN813)-IN850-IN907-IN967-IN974</f>
        <v>-380.20538105364238</v>
      </c>
      <c r="IO933" s="548">
        <f>+(IO754-IO813)-IO850-IO907-IO967-IO974</f>
        <v>-371.85373010269387</v>
      </c>
      <c r="IP933" s="323"/>
      <c r="IQ933" s="548">
        <f>+(IQ754-IQ813)-IQ850-IQ907-IQ967-IQ974</f>
        <v>-340.72941379930268</v>
      </c>
      <c r="IR933" s="548">
        <f>+(IR754-IR813)-IR850-IR907-IR967-IR974</f>
        <v>-600.50358885955995</v>
      </c>
      <c r="IS933" s="323"/>
      <c r="IT933" s="548">
        <f>+(IT754-IT813)-IT850-IT907-IT967-IT974</f>
        <v>-600.09814679179294</v>
      </c>
      <c r="IU933" s="548">
        <f>+(IU754-IU813)-IU850-IU907-IU967-IU974</f>
        <v>-682.37563263920777</v>
      </c>
      <c r="IV933" s="323"/>
      <c r="IW933" s="548">
        <f t="shared" ref="IW933:JG933" si="1919">+(IW754-IW813)-IW850-IW907-IW967-IW976</f>
        <v>-779.77606535357643</v>
      </c>
      <c r="IX933" s="548">
        <f t="shared" si="1919"/>
        <v>-666.99812064903222</v>
      </c>
      <c r="IY933" s="323">
        <f t="shared" si="1919"/>
        <v>-1446.7741860026088</v>
      </c>
      <c r="IZ933" s="548">
        <f t="shared" si="1919"/>
        <v>-899.34676509060193</v>
      </c>
      <c r="JA933" s="548">
        <f t="shared" si="1919"/>
        <v>-1039.1081543851935</v>
      </c>
      <c r="JB933" s="548">
        <f t="shared" si="1919"/>
        <v>-1938.4549194757954</v>
      </c>
      <c r="JC933" s="548">
        <f t="shared" si="1919"/>
        <v>-858.35313591342208</v>
      </c>
      <c r="JD933" s="548">
        <f t="shared" si="1919"/>
        <v>-969.94094021502303</v>
      </c>
      <c r="JE933" s="548">
        <f t="shared" si="1919"/>
        <v>-1828.2940761284447</v>
      </c>
      <c r="JF933" s="548">
        <f t="shared" si="1919"/>
        <v>-763.41091446163728</v>
      </c>
      <c r="JG933" s="548">
        <f t="shared" si="1919"/>
        <v>-1222.5914595158272</v>
      </c>
      <c r="JH933" s="548">
        <f t="shared" si="1703"/>
        <v>-1986.0023739774645</v>
      </c>
      <c r="JI933" s="548">
        <f>+(JI754-JI813)-JI850-JI907-JI967-JI976</f>
        <v>-971.02243570924077</v>
      </c>
      <c r="JJ933" s="548">
        <f>+(JJ754-JJ813)-JJ850-JJ907-JJ967-JJ976</f>
        <v>-821.89473267280573</v>
      </c>
      <c r="JK933" s="323">
        <f t="shared" si="1683"/>
        <v>-1792.9171683820464</v>
      </c>
      <c r="JL933" s="548">
        <f t="shared" si="1704"/>
        <v>0</v>
      </c>
      <c r="JM933" s="548">
        <f>+(JM754-JM813)-JM850-JM907-JM967-JM976</f>
        <v>-1091.3013565408128</v>
      </c>
      <c r="JN933" s="323">
        <f>FISC!AK1254</f>
        <v>-2117.2407341841545</v>
      </c>
      <c r="JO933" s="548">
        <f t="shared" ref="JO933:KN933" si="1920">+(JO754-JO813)-JO850-JO907-JO967-JO976</f>
        <v>-1373.7101001188855</v>
      </c>
      <c r="JP933" s="548">
        <f t="shared" si="1920"/>
        <v>-642.5216472359665</v>
      </c>
      <c r="JQ933" s="323">
        <f>FISC!AL1254</f>
        <v>-2016.2317473548519</v>
      </c>
      <c r="JR933" s="548">
        <f t="shared" si="1920"/>
        <v>-1464.7828140660104</v>
      </c>
      <c r="JS933" s="548">
        <f t="shared" si="1920"/>
        <v>-584.8063172716611</v>
      </c>
      <c r="JT933" s="323">
        <f>FISC!AM1254</f>
        <v>-2049.589131337671</v>
      </c>
      <c r="JU933" s="548">
        <f t="shared" si="1920"/>
        <v>-1193.447856318503</v>
      </c>
      <c r="JV933" s="548">
        <f t="shared" si="1920"/>
        <v>-522.90067934429487</v>
      </c>
      <c r="JW933" s="323">
        <f>FISC!AN1254</f>
        <v>-1716.348535662798</v>
      </c>
      <c r="JX933" s="548">
        <f t="shared" si="1920"/>
        <v>-1319.961537888599</v>
      </c>
      <c r="JY933" s="548">
        <f t="shared" si="1920"/>
        <v>-559.70928493230008</v>
      </c>
      <c r="JZ933" s="323">
        <f>FISC!AO1254</f>
        <v>-1879.6708228208988</v>
      </c>
      <c r="KA933" s="548">
        <f t="shared" si="1920"/>
        <v>-1464.0453709066855</v>
      </c>
      <c r="KB933" s="548">
        <f t="shared" si="1920"/>
        <v>-647.12186676690328</v>
      </c>
      <c r="KC933" s="323">
        <f>FISC!AP1254</f>
        <v>-2111.1672376735878</v>
      </c>
      <c r="KD933" s="548">
        <f t="shared" si="1920"/>
        <v>-1336.7119886642781</v>
      </c>
      <c r="KE933" s="548">
        <f t="shared" si="1920"/>
        <v>-1211.1383364765993</v>
      </c>
      <c r="KF933" s="323">
        <f>FISC!AQ1254</f>
        <v>-2547.8503251408774</v>
      </c>
      <c r="KG933" s="548">
        <f t="shared" si="1920"/>
        <v>-1674.965591902687</v>
      </c>
      <c r="KH933" s="548">
        <f t="shared" si="1920"/>
        <v>-839.51351997594099</v>
      </c>
      <c r="KI933" s="323">
        <f>FISC!AR1254</f>
        <v>-2514.479111878627</v>
      </c>
      <c r="KJ933" s="548">
        <f t="shared" si="1920"/>
        <v>-2112.8918420304162</v>
      </c>
      <c r="KK933" s="548">
        <f t="shared" si="1920"/>
        <v>-1037.7525212699629</v>
      </c>
      <c r="KL933" s="323">
        <f>FISC!AS1254</f>
        <v>-3150.6443633003792</v>
      </c>
      <c r="KM933" s="548">
        <f t="shared" si="1920"/>
        <v>-2491.3961265041003</v>
      </c>
      <c r="KN933" s="548">
        <f t="shared" si="1920"/>
        <v>-1207.3194267982321</v>
      </c>
      <c r="KO933" s="323">
        <f>FISC!AT1254</f>
        <v>-3698.7155533023324</v>
      </c>
      <c r="KU933" s="326"/>
      <c r="KV933" s="327"/>
    </row>
    <row r="934" spans="1:308">
      <c r="A934" s="279"/>
      <c r="D934" s="1472" t="s">
        <v>3381</v>
      </c>
      <c r="E934" s="323"/>
      <c r="F934" s="323"/>
      <c r="G934" s="323"/>
      <c r="H934" s="323"/>
      <c r="I934" s="323"/>
      <c r="J934" s="323"/>
      <c r="K934" s="323"/>
      <c r="L934" s="323"/>
      <c r="M934" s="323"/>
      <c r="N934" s="323"/>
      <c r="O934" s="323"/>
      <c r="P934" s="323"/>
      <c r="Q934" s="323"/>
      <c r="R934" s="323"/>
      <c r="S934" s="323"/>
      <c r="T934" s="323"/>
      <c r="U934" s="323"/>
      <c r="V934" s="323"/>
      <c r="W934" s="323"/>
      <c r="X934" s="323"/>
      <c r="Y934" s="323"/>
      <c r="Z934" s="323"/>
      <c r="AA934" s="323"/>
      <c r="AB934" s="323"/>
      <c r="AC934" s="323"/>
      <c r="AD934" s="323"/>
      <c r="AE934" s="323"/>
      <c r="AF934" s="323"/>
      <c r="AG934" s="323"/>
      <c r="AH934" s="323"/>
      <c r="AI934" s="323"/>
      <c r="AJ934" s="323"/>
      <c r="AK934" s="323"/>
      <c r="AL934" s="323"/>
      <c r="AM934" s="323"/>
      <c r="AN934" s="323"/>
      <c r="AO934" s="323"/>
      <c r="AP934" s="323"/>
      <c r="AQ934" s="323"/>
      <c r="AR934" s="323"/>
      <c r="AS934" s="323"/>
      <c r="AT934" s="323"/>
      <c r="AU934" s="323"/>
      <c r="AV934" s="323"/>
      <c r="AW934" s="323"/>
      <c r="AX934" s="323"/>
      <c r="AY934" s="323"/>
      <c r="AZ934" s="323"/>
      <c r="BA934" s="323"/>
      <c r="BB934" s="323"/>
      <c r="BC934" s="323"/>
      <c r="BD934" s="323"/>
      <c r="BE934" s="323"/>
      <c r="BF934" s="323"/>
      <c r="BG934" s="323"/>
      <c r="BH934" s="323"/>
      <c r="BI934" s="323"/>
      <c r="BJ934" s="323"/>
      <c r="BK934" s="323"/>
      <c r="BL934" s="323"/>
      <c r="BM934" s="323"/>
      <c r="BN934" s="323"/>
      <c r="BO934" s="323"/>
      <c r="BP934" s="323"/>
      <c r="BQ934" s="323"/>
      <c r="BR934" s="323"/>
      <c r="BS934" s="323"/>
      <c r="BT934" s="323"/>
      <c r="BU934" s="323"/>
      <c r="BV934" s="323"/>
      <c r="BW934" s="323"/>
      <c r="BX934" s="323"/>
      <c r="BY934" s="323"/>
      <c r="BZ934" s="323"/>
      <c r="CA934" s="323"/>
      <c r="CB934" s="323"/>
      <c r="CC934" s="323"/>
      <c r="CD934" s="329"/>
      <c r="CE934" s="323"/>
      <c r="CF934" s="323"/>
      <c r="CG934" s="323"/>
      <c r="CH934" s="323"/>
      <c r="CI934" s="323"/>
      <c r="CJ934" s="323"/>
      <c r="CK934" s="323"/>
      <c r="CL934" s="323"/>
      <c r="CM934" s="323"/>
      <c r="CN934" s="323"/>
      <c r="CO934" s="323"/>
      <c r="CP934" s="325"/>
      <c r="CQ934" s="323"/>
      <c r="CR934" s="323"/>
      <c r="CS934" s="323"/>
      <c r="CT934" s="323"/>
      <c r="CU934" s="323"/>
      <c r="CV934" s="323"/>
      <c r="CW934" s="323"/>
      <c r="CX934" s="323"/>
      <c r="CY934" s="323"/>
      <c r="CZ934" s="323"/>
      <c r="DA934" s="323"/>
      <c r="DB934" s="1269"/>
      <c r="DC934" s="323"/>
      <c r="DD934" s="323"/>
      <c r="DE934" s="323"/>
      <c r="DF934" s="323"/>
      <c r="DG934" s="323"/>
      <c r="DH934" s="323"/>
      <c r="DI934" s="323"/>
      <c r="DJ934" s="323"/>
      <c r="DK934" s="323"/>
      <c r="DL934" s="323"/>
      <c r="DM934" s="323"/>
      <c r="DN934" s="325"/>
      <c r="DO934" s="323"/>
      <c r="DP934" s="323"/>
      <c r="DQ934" s="323"/>
      <c r="DR934" s="323"/>
      <c r="DS934" s="323"/>
      <c r="DT934" s="323"/>
      <c r="DU934" s="323"/>
      <c r="DV934" s="323"/>
      <c r="DW934" s="323"/>
      <c r="DX934" s="323"/>
      <c r="DY934" s="323"/>
      <c r="DZ934" s="325"/>
      <c r="EA934" s="323"/>
      <c r="EB934" s="323"/>
      <c r="EC934" s="323"/>
      <c r="ED934" s="323"/>
      <c r="EE934" s="323"/>
      <c r="EF934" s="323"/>
      <c r="EG934" s="323"/>
      <c r="EH934" s="323"/>
      <c r="EI934" s="323"/>
      <c r="EJ934" s="323"/>
      <c r="EK934" s="323"/>
      <c r="EL934" s="325"/>
      <c r="EM934" s="323"/>
      <c r="EN934" s="323"/>
      <c r="EO934" s="323"/>
      <c r="EP934" s="323"/>
      <c r="EQ934" s="323"/>
      <c r="ER934" s="323"/>
      <c r="ES934" s="323"/>
      <c r="ET934" s="323"/>
      <c r="EU934" s="323"/>
      <c r="EV934" s="323"/>
      <c r="EW934" s="323"/>
      <c r="EX934" s="325"/>
      <c r="EY934" s="323"/>
      <c r="EZ934" s="323"/>
      <c r="FA934" s="323"/>
      <c r="FB934" s="323"/>
      <c r="FC934" s="323"/>
      <c r="FD934" s="323"/>
      <c r="FE934" s="323"/>
      <c r="FF934" s="323"/>
      <c r="FG934" s="323"/>
      <c r="FH934" s="323"/>
      <c r="FI934" s="323"/>
      <c r="FJ934" s="325"/>
      <c r="FK934" s="323"/>
      <c r="FL934" s="323"/>
      <c r="FM934" s="323"/>
      <c r="FN934" s="323"/>
      <c r="FO934" s="323"/>
      <c r="FP934" s="323"/>
      <c r="FQ934" s="323"/>
      <c r="FR934" s="323"/>
      <c r="FS934" s="323"/>
      <c r="FT934" s="323"/>
      <c r="FU934" s="323"/>
      <c r="FV934" s="323"/>
      <c r="FW934" s="323"/>
      <c r="FX934" s="323"/>
      <c r="FY934" s="323"/>
      <c r="FZ934" s="323"/>
      <c r="GA934" s="323"/>
      <c r="GB934" s="323"/>
      <c r="GI934" s="1654"/>
      <c r="HZ934" s="326"/>
      <c r="IA934" s="1472" t="s">
        <v>3381</v>
      </c>
      <c r="IB934" s="548"/>
      <c r="IC934" s="548"/>
      <c r="ID934" s="323"/>
      <c r="IE934" s="548"/>
      <c r="IF934" s="548"/>
      <c r="IG934" s="323"/>
      <c r="IH934" s="548"/>
      <c r="II934" s="548"/>
      <c r="IJ934" s="323"/>
      <c r="IK934" s="548"/>
      <c r="IL934" s="548"/>
      <c r="IM934" s="323"/>
      <c r="IN934" s="548"/>
      <c r="IO934" s="548"/>
      <c r="IP934" s="323"/>
      <c r="IQ934" s="548"/>
      <c r="IR934" s="548"/>
      <c r="IS934" s="323"/>
      <c r="IT934" s="548"/>
      <c r="IU934" s="548"/>
      <c r="IV934" s="323"/>
      <c r="IW934" s="548"/>
      <c r="IX934" s="548"/>
      <c r="IY934" s="323"/>
      <c r="IZ934" s="548"/>
      <c r="JA934" s="548"/>
      <c r="JB934" s="548"/>
      <c r="JC934" s="548"/>
      <c r="JD934" s="548"/>
      <c r="JE934" s="548"/>
      <c r="JF934" s="548">
        <f>JF932+JF866+JF884+JF902+JF911+JF916</f>
        <v>-411.35292044084059</v>
      </c>
      <c r="JG934" s="548">
        <f>JG932+JG866+JG884+JG902+JG911+JG916</f>
        <v>-767.37898950726037</v>
      </c>
      <c r="JH934" s="548">
        <f t="shared" si="1703"/>
        <v>-1178.731909948101</v>
      </c>
      <c r="JI934" s="548">
        <f>JI932+JI866+JI884+JI902+JI911+JI916</f>
        <v>-608.05277366329858</v>
      </c>
      <c r="JJ934" s="548">
        <f t="shared" si="1871"/>
        <v>0</v>
      </c>
      <c r="JK934" s="323">
        <f t="shared" si="1683"/>
        <v>-608.05277366329858</v>
      </c>
      <c r="JL934" s="548">
        <f t="shared" si="1704"/>
        <v>0</v>
      </c>
      <c r="JM934" s="548">
        <f>JM932+JM866+JM884+JM902+JM911+JM916</f>
        <v>-719.64326202698533</v>
      </c>
      <c r="JN934" s="323">
        <f>FISC!AK1255</f>
        <v>-1425.4894436755965</v>
      </c>
      <c r="JO934" s="548">
        <f>JO932+JO866+JO884+JO902+JO911+JO916</f>
        <v>-1101.9296461902284</v>
      </c>
      <c r="JP934" s="548">
        <f>JP932+JP866+JP884+JP902+JP911+JP916</f>
        <v>-367.2776334127534</v>
      </c>
      <c r="JQ934" s="323">
        <f>FISC!AL1255</f>
        <v>-1469.2072796029815</v>
      </c>
      <c r="JR934" s="548">
        <f>JR932+JR866+JR884+JR902+JR911+JR916</f>
        <v>-1170.9607780135348</v>
      </c>
      <c r="JS934" s="548">
        <f>JS932+JS866+JS884+JS902+JS911+JS916</f>
        <v>-273.44597845052294</v>
      </c>
      <c r="JT934" s="323">
        <f>FISC!AM1255</f>
        <v>-1441.2179741424827</v>
      </c>
      <c r="JU934" s="548">
        <f>JU932+JU866+JU884+JU902+JU911+JU916</f>
        <v>-885.70554248421968</v>
      </c>
      <c r="JV934" s="548">
        <f>JV932+JV866+JV884+JV902+JV911+JV916</f>
        <v>-213.48843757822704</v>
      </c>
      <c r="JW934" s="323">
        <f>FISC!AN1255</f>
        <v>-1099.1939800624468</v>
      </c>
      <c r="JX934" s="548">
        <f>JX932+JX866+JX884+JX902+JX911+JX916</f>
        <v>-1015.6042973826743</v>
      </c>
      <c r="JY934" s="548">
        <f>JY932+JY866+JY884+JY902+JY911+JY916</f>
        <v>-237.98845885399285</v>
      </c>
      <c r="JZ934" s="323">
        <f>FISC!AO1255</f>
        <v>-1253.5927562366667</v>
      </c>
      <c r="KA934" s="548">
        <f>KA932+KA866+KA884+KA902+KA911+KA916</f>
        <v>-1191.5699320710123</v>
      </c>
      <c r="KB934" s="548">
        <f>KB932+KB866+KB884+KB902+KB911+KB916</f>
        <v>-205.15794767372751</v>
      </c>
      <c r="KC934" s="323">
        <f>FISC!AP1255</f>
        <v>-1396.72787974474</v>
      </c>
      <c r="KD934" s="548">
        <f>KD932+KD866+KD884+KD902+KD911+KD916</f>
        <v>-917.82188999997345</v>
      </c>
      <c r="KE934" s="548">
        <f>KE932+KE866+KE884+KE902+KE911+KE916</f>
        <v>-756.39356215275586</v>
      </c>
      <c r="KF934" s="323">
        <f>FISC!AQ1255</f>
        <v>-1674.2154521527293</v>
      </c>
      <c r="KG934" s="548">
        <f>KG932+KG866+KG884+KG902+KG911+KG916</f>
        <v>-1243.5087902784524</v>
      </c>
      <c r="KH934" s="548">
        <f>KH932+KH866+KH884+KH902+KH911+KH916</f>
        <v>-372.23431190026196</v>
      </c>
      <c r="KI934" s="323">
        <f>FISC!AR1255</f>
        <v>-1615.7431021787145</v>
      </c>
      <c r="KJ934" s="548">
        <f>KJ932+KJ866+KJ884+KJ902+KJ911+KJ916</f>
        <v>-1668.4913363574551</v>
      </c>
      <c r="KK934" s="548">
        <f>KK932+KK866+KK884+KK902+KK911+KK916</f>
        <v>-556.35984138849574</v>
      </c>
      <c r="KL934" s="323">
        <f>FISC!AS1255</f>
        <v>-2224.8511777459507</v>
      </c>
      <c r="KM934" s="548">
        <f>KM932+KM866+KM884+KM902+KM911+KM916</f>
        <v>-2033.66360566095</v>
      </c>
      <c r="KN934" s="548">
        <f>KN932+KN866+KN884+KN902+KN911+KN916</f>
        <v>-710.84013935336554</v>
      </c>
      <c r="KO934" s="323">
        <f>FISC!AT1255</f>
        <v>-2744.5037450143154</v>
      </c>
      <c r="KU934" s="326"/>
      <c r="KV934" s="327"/>
    </row>
    <row r="935" spans="1:308">
      <c r="A935" s="279"/>
      <c r="D935" s="1472" t="s">
        <v>3382</v>
      </c>
      <c r="E935" s="323"/>
      <c r="F935" s="323"/>
      <c r="G935" s="323"/>
      <c r="H935" s="323"/>
      <c r="I935" s="323"/>
      <c r="J935" s="323"/>
      <c r="K935" s="323"/>
      <c r="L935" s="323"/>
      <c r="M935" s="323"/>
      <c r="N935" s="323"/>
      <c r="O935" s="323"/>
      <c r="P935" s="323"/>
      <c r="Q935" s="323"/>
      <c r="R935" s="323"/>
      <c r="S935" s="323"/>
      <c r="T935" s="323"/>
      <c r="U935" s="323"/>
      <c r="V935" s="323"/>
      <c r="W935" s="323"/>
      <c r="X935" s="323"/>
      <c r="Y935" s="323"/>
      <c r="Z935" s="323"/>
      <c r="AA935" s="323"/>
      <c r="AB935" s="323"/>
      <c r="AC935" s="323"/>
      <c r="AD935" s="323"/>
      <c r="AE935" s="323"/>
      <c r="AF935" s="323"/>
      <c r="AG935" s="323"/>
      <c r="AH935" s="323"/>
      <c r="AI935" s="323"/>
      <c r="AJ935" s="323"/>
      <c r="AK935" s="323"/>
      <c r="AL935" s="323"/>
      <c r="AM935" s="323"/>
      <c r="AN935" s="323"/>
      <c r="AO935" s="323"/>
      <c r="AP935" s="323"/>
      <c r="AQ935" s="323"/>
      <c r="AR935" s="323"/>
      <c r="AS935" s="323"/>
      <c r="AT935" s="323"/>
      <c r="AU935" s="323"/>
      <c r="AV935" s="323"/>
      <c r="AW935" s="323"/>
      <c r="AX935" s="323"/>
      <c r="AY935" s="323"/>
      <c r="AZ935" s="323"/>
      <c r="BA935" s="323"/>
      <c r="BB935" s="323"/>
      <c r="BC935" s="323"/>
      <c r="BD935" s="323"/>
      <c r="BE935" s="323"/>
      <c r="BF935" s="323"/>
      <c r="BG935" s="323"/>
      <c r="BH935" s="323"/>
      <c r="BI935" s="323"/>
      <c r="BJ935" s="323"/>
      <c r="BK935" s="323"/>
      <c r="BL935" s="323"/>
      <c r="BM935" s="323"/>
      <c r="BN935" s="323"/>
      <c r="BO935" s="323"/>
      <c r="BP935" s="323"/>
      <c r="BQ935" s="323"/>
      <c r="BR935" s="323"/>
      <c r="BS935" s="323"/>
      <c r="BT935" s="323"/>
      <c r="BU935" s="323"/>
      <c r="BV935" s="323"/>
      <c r="BW935" s="323"/>
      <c r="BX935" s="323"/>
      <c r="BY935" s="323"/>
      <c r="BZ935" s="323"/>
      <c r="CA935" s="323"/>
      <c r="CB935" s="323"/>
      <c r="CC935" s="323"/>
      <c r="CD935" s="329"/>
      <c r="CE935" s="323"/>
      <c r="CF935" s="323"/>
      <c r="CG935" s="323"/>
      <c r="CH935" s="323"/>
      <c r="CI935" s="323"/>
      <c r="CJ935" s="323"/>
      <c r="CK935" s="323"/>
      <c r="CL935" s="323"/>
      <c r="CM935" s="323"/>
      <c r="CN935" s="323"/>
      <c r="CO935" s="323"/>
      <c r="CP935" s="325"/>
      <c r="CQ935" s="323"/>
      <c r="CR935" s="323"/>
      <c r="CS935" s="323"/>
      <c r="CT935" s="323"/>
      <c r="CU935" s="323"/>
      <c r="CV935" s="323"/>
      <c r="CW935" s="323"/>
      <c r="CX935" s="323"/>
      <c r="CY935" s="323"/>
      <c r="CZ935" s="323"/>
      <c r="DA935" s="323"/>
      <c r="DB935" s="1269"/>
      <c r="DC935" s="323"/>
      <c r="DD935" s="323"/>
      <c r="DE935" s="323"/>
      <c r="DF935" s="323"/>
      <c r="DG935" s="323"/>
      <c r="DH935" s="323"/>
      <c r="DI935" s="323"/>
      <c r="DJ935" s="323"/>
      <c r="DK935" s="323"/>
      <c r="DL935" s="323"/>
      <c r="DM935" s="323"/>
      <c r="DN935" s="325"/>
      <c r="DO935" s="323"/>
      <c r="DP935" s="323"/>
      <c r="DQ935" s="323"/>
      <c r="DR935" s="323"/>
      <c r="DS935" s="323"/>
      <c r="DT935" s="323"/>
      <c r="DU935" s="323"/>
      <c r="DV935" s="323"/>
      <c r="DW935" s="323"/>
      <c r="DX935" s="323"/>
      <c r="DY935" s="323"/>
      <c r="DZ935" s="325"/>
      <c r="EA935" s="323"/>
      <c r="EB935" s="323"/>
      <c r="EC935" s="323"/>
      <c r="ED935" s="323"/>
      <c r="EE935" s="323"/>
      <c r="EF935" s="323"/>
      <c r="EG935" s="323"/>
      <c r="EH935" s="323"/>
      <c r="EI935" s="323"/>
      <c r="EJ935" s="323"/>
      <c r="EK935" s="323"/>
      <c r="EL935" s="325"/>
      <c r="EM935" s="323"/>
      <c r="EN935" s="323"/>
      <c r="EO935" s="323"/>
      <c r="EP935" s="323"/>
      <c r="EQ935" s="323"/>
      <c r="ER935" s="323"/>
      <c r="ES935" s="323"/>
      <c r="ET935" s="323"/>
      <c r="EU935" s="323"/>
      <c r="EV935" s="323"/>
      <c r="EW935" s="323"/>
      <c r="EX935" s="325"/>
      <c r="EY935" s="323"/>
      <c r="EZ935" s="323"/>
      <c r="FA935" s="323"/>
      <c r="FB935" s="323"/>
      <c r="FC935" s="323"/>
      <c r="FD935" s="323"/>
      <c r="FE935" s="323"/>
      <c r="FF935" s="323"/>
      <c r="FG935" s="323"/>
      <c r="FH935" s="323"/>
      <c r="FI935" s="323"/>
      <c r="FJ935" s="325"/>
      <c r="FK935" s="323"/>
      <c r="FL935" s="323"/>
      <c r="FM935" s="323"/>
      <c r="FN935" s="323"/>
      <c r="FO935" s="323"/>
      <c r="FP935" s="323"/>
      <c r="FQ935" s="323"/>
      <c r="FR935" s="323"/>
      <c r="FS935" s="323"/>
      <c r="FT935" s="323"/>
      <c r="FU935" s="323"/>
      <c r="FV935" s="323"/>
      <c r="FW935" s="323"/>
      <c r="FX935" s="323"/>
      <c r="FY935" s="323"/>
      <c r="FZ935" s="323"/>
      <c r="GA935" s="323"/>
      <c r="GB935" s="323"/>
      <c r="GI935" s="1654"/>
      <c r="HZ935" s="326"/>
      <c r="IA935" s="1472" t="s">
        <v>3382</v>
      </c>
      <c r="IB935" s="548"/>
      <c r="IC935" s="548"/>
      <c r="ID935" s="323"/>
      <c r="IE935" s="548"/>
      <c r="IF935" s="548"/>
      <c r="IG935" s="323"/>
      <c r="IH935" s="548"/>
      <c r="II935" s="548"/>
      <c r="IJ935" s="323"/>
      <c r="IK935" s="548"/>
      <c r="IL935" s="548"/>
      <c r="IM935" s="323"/>
      <c r="IN935" s="548"/>
      <c r="IO935" s="548"/>
      <c r="IP935" s="323"/>
      <c r="IQ935" s="548"/>
      <c r="IR935" s="548"/>
      <c r="IS935" s="323"/>
      <c r="IT935" s="548"/>
      <c r="IU935" s="548"/>
      <c r="IV935" s="323"/>
      <c r="IW935" s="548"/>
      <c r="IX935" s="548"/>
      <c r="IY935" s="323"/>
      <c r="IZ935" s="548"/>
      <c r="JA935" s="548"/>
      <c r="JB935" s="548"/>
      <c r="JC935" s="548"/>
      <c r="JD935" s="548"/>
      <c r="JE935" s="548"/>
      <c r="JF935" s="548">
        <f>JF932-JF825</f>
        <v>-429.04464152713399</v>
      </c>
      <c r="JG935" s="548">
        <f>JG932-JG825</f>
        <v>-799.16632291869826</v>
      </c>
      <c r="JH935" s="548">
        <f t="shared" si="1703"/>
        <v>-1228.2109644458324</v>
      </c>
      <c r="JI935" s="548">
        <f>JI932-JI825</f>
        <v>-608.05277366329858</v>
      </c>
      <c r="JJ935" s="548">
        <f t="shared" si="1871"/>
        <v>0</v>
      </c>
      <c r="JK935" s="323">
        <f t="shared" si="1683"/>
        <v>-608.05277366329858</v>
      </c>
      <c r="JL935" s="548">
        <f t="shared" si="1704"/>
        <v>0</v>
      </c>
      <c r="JM935" s="548">
        <f>JM932-JM825</f>
        <v>-743.11832223988119</v>
      </c>
      <c r="JN935" s="323">
        <f>FISC!AK1256</f>
        <v>-1448.9645038884923</v>
      </c>
      <c r="JO935" s="548">
        <f>JO932-JO825</f>
        <v>-1103.4182741270236</v>
      </c>
      <c r="JP935" s="548">
        <f>JP932-JP825</f>
        <v>-368.83232877745814</v>
      </c>
      <c r="JQ935" s="323">
        <f>FISC!AL1256</f>
        <v>-1472.2506029044816</v>
      </c>
      <c r="JR935" s="548">
        <f>JR932-JR825</f>
        <v>-1170.9607780135348</v>
      </c>
      <c r="JS935" s="548">
        <f>JS932-JS825</f>
        <v>-273.44597845052294</v>
      </c>
      <c r="JT935" s="323">
        <f>FISC!AM1256</f>
        <v>-1444.4067564640577</v>
      </c>
      <c r="JU935" s="548">
        <f>JU932-JU825</f>
        <v>-885.70554248421968</v>
      </c>
      <c r="JV935" s="548">
        <f>JV932-JV825</f>
        <v>-213.48843757822704</v>
      </c>
      <c r="JW935" s="323">
        <f>FISC!AN1256</f>
        <v>-1099.1939800624468</v>
      </c>
      <c r="JX935" s="548">
        <f>JX932-JX825</f>
        <v>-1015.6042973826743</v>
      </c>
      <c r="JY935" s="548">
        <f>JY932-JY825</f>
        <v>-237.98845885399285</v>
      </c>
      <c r="JZ935" s="323">
        <f>FISC!AO1256</f>
        <v>-1253.5927562366667</v>
      </c>
      <c r="KA935" s="548">
        <f>KA932-KA825</f>
        <v>-1191.5699320710123</v>
      </c>
      <c r="KB935" s="548">
        <f>KB932-KB825</f>
        <v>-205.15794767372751</v>
      </c>
      <c r="KC935" s="323">
        <f>FISC!AP1256</f>
        <v>-1396.72787974474</v>
      </c>
      <c r="KD935" s="548">
        <f>KD932-KD825</f>
        <v>-917.82188999997345</v>
      </c>
      <c r="KE935" s="548">
        <f>KE932-KE825</f>
        <v>-756.39356215275586</v>
      </c>
      <c r="KF935" s="323">
        <f>FISC!AQ1256</f>
        <v>-1674.2154521527293</v>
      </c>
      <c r="KG935" s="548">
        <f>KG932-KG825</f>
        <v>-1243.5087902784524</v>
      </c>
      <c r="KH935" s="548">
        <f>KH932-KH825</f>
        <v>-372.23431190026196</v>
      </c>
      <c r="KI935" s="323">
        <f>FISC!AR1256</f>
        <v>-1615.7431021787145</v>
      </c>
      <c r="KJ935" s="548">
        <f>KJ932-KJ825</f>
        <v>-1668.4913363574551</v>
      </c>
      <c r="KK935" s="548">
        <f>KK932-KK825</f>
        <v>-556.35984138849574</v>
      </c>
      <c r="KL935" s="323">
        <f>FISC!AS1256</f>
        <v>-2224.8511777459507</v>
      </c>
      <c r="KM935" s="548">
        <f>KM932-KM825</f>
        <v>-2033.66360566095</v>
      </c>
      <c r="KN935" s="548">
        <f>KN932-KN825</f>
        <v>-710.84013935336554</v>
      </c>
      <c r="KO935" s="323">
        <f>FISC!AT1256</f>
        <v>-2744.5037450143154</v>
      </c>
      <c r="KU935" s="326"/>
      <c r="KV935" s="327"/>
    </row>
    <row r="936" spans="1:308">
      <c r="A936" s="279"/>
      <c r="D936" s="1576" t="s">
        <v>3172</v>
      </c>
      <c r="E936" s="323"/>
      <c r="F936" s="323"/>
      <c r="G936" s="323"/>
      <c r="H936" s="323"/>
      <c r="I936" s="323"/>
      <c r="J936" s="323"/>
      <c r="K936" s="323"/>
      <c r="L936" s="323"/>
      <c r="M936" s="323"/>
      <c r="N936" s="323"/>
      <c r="O936" s="323"/>
      <c r="P936" s="323"/>
      <c r="Q936" s="323"/>
      <c r="R936" s="323"/>
      <c r="S936" s="323"/>
      <c r="T936" s="323"/>
      <c r="U936" s="323"/>
      <c r="V936" s="323"/>
      <c r="W936" s="323"/>
      <c r="X936" s="323"/>
      <c r="Y936" s="323"/>
      <c r="Z936" s="323"/>
      <c r="AA936" s="323"/>
      <c r="AB936" s="323"/>
      <c r="AC936" s="323"/>
      <c r="AD936" s="323"/>
      <c r="AE936" s="323"/>
      <c r="AF936" s="323"/>
      <c r="AG936" s="323"/>
      <c r="AH936" s="323"/>
      <c r="AI936" s="323"/>
      <c r="AJ936" s="323"/>
      <c r="AK936" s="323"/>
      <c r="AL936" s="323"/>
      <c r="AM936" s="323"/>
      <c r="AN936" s="323"/>
      <c r="AO936" s="323"/>
      <c r="AP936" s="323"/>
      <c r="AQ936" s="323"/>
      <c r="AR936" s="323"/>
      <c r="AS936" s="323"/>
      <c r="AT936" s="323"/>
      <c r="AU936" s="323"/>
      <c r="AV936" s="323"/>
      <c r="AW936" s="323"/>
      <c r="AX936" s="323"/>
      <c r="AY936" s="323"/>
      <c r="AZ936" s="323"/>
      <c r="BA936" s="323"/>
      <c r="BB936" s="323"/>
      <c r="BC936" s="323"/>
      <c r="BD936" s="323"/>
      <c r="BE936" s="323"/>
      <c r="BF936" s="323"/>
      <c r="BG936" s="323"/>
      <c r="BH936" s="323"/>
      <c r="BI936" s="323"/>
      <c r="BJ936" s="323"/>
      <c r="BK936" s="323"/>
      <c r="BL936" s="323"/>
      <c r="BM936" s="323"/>
      <c r="BN936" s="323"/>
      <c r="BO936" s="323"/>
      <c r="BP936" s="323"/>
      <c r="BQ936" s="323"/>
      <c r="BR936" s="323"/>
      <c r="BS936" s="323"/>
      <c r="BT936" s="323"/>
      <c r="BU936" s="323"/>
      <c r="BV936" s="323"/>
      <c r="BW936" s="323"/>
      <c r="BX936" s="323"/>
      <c r="BY936" s="323"/>
      <c r="BZ936" s="323"/>
      <c r="CA936" s="323"/>
      <c r="CB936" s="323"/>
      <c r="CC936" s="323"/>
      <c r="CD936" s="329"/>
      <c r="CE936" s="323"/>
      <c r="CF936" s="323"/>
      <c r="CG936" s="323"/>
      <c r="CH936" s="323"/>
      <c r="CI936" s="323"/>
      <c r="CJ936" s="323"/>
      <c r="CK936" s="323"/>
      <c r="CL936" s="323"/>
      <c r="CM936" s="323"/>
      <c r="CN936" s="323"/>
      <c r="CO936" s="323"/>
      <c r="CP936" s="325"/>
      <c r="CQ936" s="323"/>
      <c r="CR936" s="323"/>
      <c r="CS936" s="323"/>
      <c r="CT936" s="323"/>
      <c r="CU936" s="323"/>
      <c r="CV936" s="323"/>
      <c r="CW936" s="323"/>
      <c r="CX936" s="323"/>
      <c r="CY936" s="323"/>
      <c r="CZ936" s="323"/>
      <c r="DA936" s="323"/>
      <c r="DB936" s="1269"/>
      <c r="DC936" s="323"/>
      <c r="DD936" s="323"/>
      <c r="DE936" s="323"/>
      <c r="DF936" s="323"/>
      <c r="DG936" s="323"/>
      <c r="DH936" s="323"/>
      <c r="DI936" s="323"/>
      <c r="DJ936" s="323"/>
      <c r="DK936" s="323"/>
      <c r="DL936" s="323"/>
      <c r="DM936" s="323"/>
      <c r="DN936" s="325"/>
      <c r="DO936" s="323"/>
      <c r="DP936" s="323"/>
      <c r="DQ936" s="323"/>
      <c r="DR936" s="323"/>
      <c r="DS936" s="323"/>
      <c r="DT936" s="323"/>
      <c r="DU936" s="323"/>
      <c r="DV936" s="323"/>
      <c r="DW936" s="323"/>
      <c r="DX936" s="323"/>
      <c r="DY936" s="323"/>
      <c r="DZ936" s="325"/>
      <c r="EA936" s="323"/>
      <c r="EB936" s="323"/>
      <c r="EC936" s="323"/>
      <c r="ED936" s="323"/>
      <c r="EE936" s="323"/>
      <c r="EF936" s="323"/>
      <c r="EG936" s="323"/>
      <c r="EH936" s="323"/>
      <c r="EI936" s="323"/>
      <c r="EJ936" s="323"/>
      <c r="EK936" s="323"/>
      <c r="EL936" s="325"/>
      <c r="EM936" s="323"/>
      <c r="EN936" s="323"/>
      <c r="EO936" s="323"/>
      <c r="EP936" s="323"/>
      <c r="EQ936" s="323"/>
      <c r="ER936" s="323"/>
      <c r="ES936" s="323"/>
      <c r="ET936" s="323"/>
      <c r="EU936" s="323"/>
      <c r="EV936" s="323"/>
      <c r="EW936" s="323"/>
      <c r="EX936" s="325"/>
      <c r="EY936" s="323"/>
      <c r="EZ936" s="323"/>
      <c r="FA936" s="323"/>
      <c r="FB936" s="323"/>
      <c r="FC936" s="323"/>
      <c r="FD936" s="323"/>
      <c r="FE936" s="323"/>
      <c r="FF936" s="323"/>
      <c r="FG936" s="323"/>
      <c r="FH936" s="323"/>
      <c r="FI936" s="323"/>
      <c r="FJ936" s="325"/>
      <c r="FK936" s="323"/>
      <c r="FL936" s="323"/>
      <c r="FM936" s="323"/>
      <c r="FN936" s="323"/>
      <c r="FO936" s="323"/>
      <c r="FP936" s="323"/>
      <c r="FQ936" s="323"/>
      <c r="FR936" s="323"/>
      <c r="FS936" s="323"/>
      <c r="FT936" s="323"/>
      <c r="FU936" s="323"/>
      <c r="FV936" s="323"/>
      <c r="FW936" s="323"/>
      <c r="FX936" s="323"/>
      <c r="FY936" s="323"/>
      <c r="FZ936" s="323"/>
      <c r="GA936" s="323"/>
      <c r="GB936" s="323"/>
      <c r="GI936" s="1654"/>
      <c r="HZ936" s="326"/>
      <c r="IA936" s="1576" t="s">
        <v>3617</v>
      </c>
      <c r="IB936" s="548"/>
      <c r="IC936" s="548"/>
      <c r="ID936" s="323"/>
      <c r="IE936" s="548"/>
      <c r="IF936" s="548"/>
      <c r="IG936" s="323"/>
      <c r="IH936" s="548"/>
      <c r="II936" s="548"/>
      <c r="IJ936" s="323"/>
      <c r="IK936" s="548"/>
      <c r="IL936" s="548"/>
      <c r="IM936" s="323"/>
      <c r="IN936" s="548"/>
      <c r="IO936" s="548"/>
      <c r="IP936" s="323"/>
      <c r="IQ936" s="548"/>
      <c r="IR936" s="548"/>
      <c r="IS936" s="323"/>
      <c r="IT936" s="548"/>
      <c r="IU936" s="548"/>
      <c r="IV936" s="323"/>
      <c r="IW936" s="548"/>
      <c r="IX936" s="548"/>
      <c r="IY936" s="323"/>
      <c r="IZ936" s="327">
        <f t="shared" ref="IZ936:IZ968" si="1921">SUM(FW936:GB936)</f>
        <v>0</v>
      </c>
      <c r="JA936" s="327">
        <f t="shared" ref="JA936:JA968" si="1922">SUM(GC936:GH936)</f>
        <v>0</v>
      </c>
      <c r="JB936" s="323">
        <f t="shared" si="1823"/>
        <v>0</v>
      </c>
      <c r="JC936" s="327">
        <f t="shared" ref="JC936:JC968" si="1923">SUM(GI936:GN936)</f>
        <v>0</v>
      </c>
      <c r="JD936" s="327">
        <f t="shared" ref="JD936:JD968" si="1924">SUM(GO936:GT936)</f>
        <v>0</v>
      </c>
      <c r="JE936" s="323">
        <f t="shared" si="1912"/>
        <v>0</v>
      </c>
      <c r="JF936" s="327"/>
      <c r="JG936" s="327"/>
      <c r="JH936" s="323"/>
      <c r="JI936" s="327">
        <f t="shared" si="1744"/>
        <v>0</v>
      </c>
      <c r="JJ936" s="548">
        <f t="shared" si="1871"/>
        <v>0</v>
      </c>
      <c r="JK936" s="323">
        <f t="shared" si="1683"/>
        <v>0</v>
      </c>
      <c r="JL936" s="548">
        <f t="shared" si="1704"/>
        <v>0</v>
      </c>
      <c r="JM936" s="548"/>
      <c r="JN936" s="323">
        <f>FISC!AK1257</f>
        <v>0</v>
      </c>
      <c r="JO936" s="548"/>
      <c r="JP936" s="548"/>
      <c r="JQ936" s="323">
        <f>FISC!AL1257</f>
        <v>0</v>
      </c>
      <c r="JR936" s="548"/>
      <c r="JS936" s="548"/>
      <c r="JT936" s="323">
        <f>FISC!AM1257</f>
        <v>0</v>
      </c>
      <c r="JU936" s="548"/>
      <c r="JV936" s="548"/>
      <c r="JW936" s="323">
        <f>FISC!AN1257</f>
        <v>0</v>
      </c>
      <c r="JX936" s="548"/>
      <c r="JY936" s="548"/>
      <c r="JZ936" s="323">
        <f>FISC!AO1257</f>
        <v>0</v>
      </c>
      <c r="KA936" s="548"/>
      <c r="KB936" s="548"/>
      <c r="KC936" s="323">
        <f>FISC!AP1257</f>
        <v>0</v>
      </c>
      <c r="KD936" s="548"/>
      <c r="KE936" s="548"/>
      <c r="KF936" s="323">
        <f>FISC!AQ1257</f>
        <v>0</v>
      </c>
      <c r="KG936" s="548"/>
      <c r="KH936" s="548"/>
      <c r="KI936" s="323">
        <f>FISC!AR1257</f>
        <v>0</v>
      </c>
      <c r="KJ936" s="548"/>
      <c r="KK936" s="548"/>
      <c r="KL936" s="323">
        <f>FISC!AS1257</f>
        <v>0</v>
      </c>
      <c r="KM936" s="548"/>
      <c r="KN936" s="548"/>
      <c r="KO936" s="323">
        <f>FISC!AT1257</f>
        <v>0</v>
      </c>
      <c r="KU936" s="326"/>
      <c r="KV936" s="327"/>
    </row>
    <row r="937" spans="1:308" s="281" customFormat="1">
      <c r="B937" s="2410"/>
      <c r="C937" s="2410"/>
      <c r="D937" s="1576"/>
      <c r="E937" s="326"/>
      <c r="F937" s="326"/>
      <c r="G937" s="326"/>
      <c r="H937" s="326"/>
      <c r="I937" s="326"/>
      <c r="J937" s="326"/>
      <c r="K937" s="326"/>
      <c r="L937" s="326"/>
      <c r="M937" s="326"/>
      <c r="N937" s="326"/>
      <c r="O937" s="326"/>
      <c r="P937" s="326"/>
      <c r="Q937" s="326"/>
      <c r="R937" s="326"/>
      <c r="S937" s="326"/>
      <c r="T937" s="326"/>
      <c r="U937" s="326"/>
      <c r="V937" s="326"/>
      <c r="W937" s="326"/>
      <c r="X937" s="326"/>
      <c r="Y937" s="326"/>
      <c r="Z937" s="326"/>
      <c r="AA937" s="326"/>
      <c r="AB937" s="326"/>
      <c r="AC937" s="326"/>
      <c r="AD937" s="326"/>
      <c r="AE937" s="326"/>
      <c r="AF937" s="326"/>
      <c r="AG937" s="326"/>
      <c r="AH937" s="326"/>
      <c r="AI937" s="326"/>
      <c r="AJ937" s="326"/>
      <c r="AK937" s="326"/>
      <c r="AL937" s="326"/>
      <c r="AM937" s="326"/>
      <c r="AN937" s="326"/>
      <c r="AO937" s="326"/>
      <c r="AP937" s="326"/>
      <c r="AQ937" s="326"/>
      <c r="AR937" s="326"/>
      <c r="AS937" s="326"/>
      <c r="AT937" s="326"/>
      <c r="AU937" s="326"/>
      <c r="AV937" s="326"/>
      <c r="AW937" s="326"/>
      <c r="AX937" s="326"/>
      <c r="AY937" s="326"/>
      <c r="AZ937" s="326"/>
      <c r="BA937" s="326"/>
      <c r="BB937" s="326"/>
      <c r="BC937" s="326"/>
      <c r="BD937" s="326"/>
      <c r="BE937" s="326"/>
      <c r="BF937" s="326"/>
      <c r="BG937" s="326"/>
      <c r="BH937" s="326"/>
      <c r="BI937" s="326"/>
      <c r="BJ937" s="326"/>
      <c r="BK937" s="326"/>
      <c r="BL937" s="326"/>
      <c r="BM937" s="326"/>
      <c r="BN937" s="326"/>
      <c r="BO937" s="326"/>
      <c r="BP937" s="326"/>
      <c r="BQ937" s="326"/>
      <c r="BR937" s="326"/>
      <c r="BS937" s="326"/>
      <c r="BT937" s="326"/>
      <c r="BU937" s="326"/>
      <c r="BV937" s="326"/>
      <c r="BW937" s="326"/>
      <c r="BX937" s="326"/>
      <c r="BY937" s="326"/>
      <c r="BZ937" s="326"/>
      <c r="CA937" s="326"/>
      <c r="CB937" s="326"/>
      <c r="CC937" s="326"/>
      <c r="CD937" s="2411"/>
      <c r="CE937" s="326"/>
      <c r="CF937" s="326"/>
      <c r="CG937" s="326"/>
      <c r="CH937" s="326"/>
      <c r="CI937" s="326"/>
      <c r="CJ937" s="326"/>
      <c r="CK937" s="326"/>
      <c r="CL937" s="326"/>
      <c r="CM937" s="326"/>
      <c r="CN937" s="326"/>
      <c r="CO937" s="326"/>
      <c r="CP937" s="2412"/>
      <c r="CQ937" s="326"/>
      <c r="CR937" s="326"/>
      <c r="CS937" s="326"/>
      <c r="CT937" s="326"/>
      <c r="CU937" s="326"/>
      <c r="CV937" s="326"/>
      <c r="CW937" s="326"/>
      <c r="CX937" s="326"/>
      <c r="CY937" s="326"/>
      <c r="CZ937" s="326"/>
      <c r="DA937" s="326"/>
      <c r="DB937" s="2413"/>
      <c r="DC937" s="326"/>
      <c r="DD937" s="326"/>
      <c r="DE937" s="326"/>
      <c r="DF937" s="326"/>
      <c r="DG937" s="326"/>
      <c r="DH937" s="326"/>
      <c r="DI937" s="326"/>
      <c r="DJ937" s="326"/>
      <c r="DK937" s="326"/>
      <c r="DL937" s="326"/>
      <c r="DM937" s="326"/>
      <c r="DN937" s="2412"/>
      <c r="DO937" s="326"/>
      <c r="DP937" s="326"/>
      <c r="DQ937" s="326"/>
      <c r="DR937" s="326"/>
      <c r="DS937" s="326"/>
      <c r="DT937" s="326"/>
      <c r="DU937" s="326"/>
      <c r="DV937" s="326"/>
      <c r="DW937" s="326"/>
      <c r="DX937" s="326"/>
      <c r="DY937" s="326"/>
      <c r="DZ937" s="2412"/>
      <c r="EA937" s="326"/>
      <c r="EB937" s="326"/>
      <c r="EC937" s="326"/>
      <c r="ED937" s="326"/>
      <c r="EE937" s="326"/>
      <c r="EF937" s="326"/>
      <c r="EG937" s="326"/>
      <c r="EH937" s="326"/>
      <c r="EI937" s="326"/>
      <c r="EJ937" s="326"/>
      <c r="EK937" s="326"/>
      <c r="EL937" s="2412"/>
      <c r="EM937" s="326"/>
      <c r="EN937" s="326"/>
      <c r="EO937" s="326"/>
      <c r="EP937" s="326"/>
      <c r="EQ937" s="326"/>
      <c r="ER937" s="326"/>
      <c r="ES937" s="326"/>
      <c r="ET937" s="326"/>
      <c r="EU937" s="326"/>
      <c r="EV937" s="326"/>
      <c r="EW937" s="326"/>
      <c r="EX937" s="2412"/>
      <c r="EY937" s="326"/>
      <c r="EZ937" s="326"/>
      <c r="FA937" s="326"/>
      <c r="FB937" s="326"/>
      <c r="FC937" s="326"/>
      <c r="FD937" s="326"/>
      <c r="FE937" s="326"/>
      <c r="FF937" s="326"/>
      <c r="FG937" s="326"/>
      <c r="FH937" s="326"/>
      <c r="FI937" s="326"/>
      <c r="FJ937" s="2412"/>
      <c r="FK937" s="326"/>
      <c r="FL937" s="326"/>
      <c r="FM937" s="326"/>
      <c r="FN937" s="326"/>
      <c r="FO937" s="326"/>
      <c r="FP937" s="326"/>
      <c r="FQ937" s="326"/>
      <c r="FR937" s="326"/>
      <c r="FS937" s="326"/>
      <c r="FT937" s="326"/>
      <c r="FU937" s="326"/>
      <c r="FV937" s="326"/>
      <c r="FW937" s="326"/>
      <c r="FX937" s="326"/>
      <c r="FY937" s="326"/>
      <c r="FZ937" s="326"/>
      <c r="GA937" s="326"/>
      <c r="GB937" s="326"/>
      <c r="GC937" s="2414"/>
      <c r="GD937" s="2414"/>
      <c r="GE937" s="2414"/>
      <c r="GF937" s="2414"/>
      <c r="GG937" s="2414"/>
      <c r="GH937" s="2414"/>
      <c r="GI937" s="2415"/>
      <c r="GJ937" s="2414"/>
      <c r="GK937" s="2414"/>
      <c r="GL937" s="2414"/>
      <c r="GM937" s="2414"/>
      <c r="GN937" s="2414"/>
      <c r="GO937" s="2414"/>
      <c r="GP937" s="2414"/>
      <c r="GQ937" s="2414"/>
      <c r="GR937" s="2414"/>
      <c r="GS937" s="2414"/>
      <c r="GT937" s="2414"/>
      <c r="GU937" s="2414"/>
      <c r="GV937" s="2414"/>
      <c r="GW937" s="2414"/>
      <c r="GX937" s="2414"/>
      <c r="GY937" s="2414"/>
      <c r="GZ937" s="2414"/>
      <c r="HA937" s="2414"/>
      <c r="HB937" s="2414"/>
      <c r="HC937" s="2414"/>
      <c r="HD937" s="2414"/>
      <c r="HE937" s="2414"/>
      <c r="HF937" s="2414"/>
      <c r="HG937" s="2414"/>
      <c r="HH937" s="2414"/>
      <c r="HI937" s="2414"/>
      <c r="HJ937" s="2414"/>
      <c r="HK937" s="2414"/>
      <c r="HL937" s="2414"/>
      <c r="HM937" s="2414"/>
      <c r="HN937" s="2414"/>
      <c r="HO937" s="2414"/>
      <c r="HP937" s="2414"/>
      <c r="HQ937" s="2414"/>
      <c r="HR937" s="2414"/>
      <c r="HS937" s="2414"/>
      <c r="HT937" s="2414"/>
      <c r="HU937" s="2414"/>
      <c r="HV937" s="2414"/>
      <c r="HW937" s="2414"/>
      <c r="HX937" s="2414"/>
      <c r="HY937" s="2414"/>
      <c r="HZ937" s="326"/>
      <c r="IA937" s="1578" t="s">
        <v>559</v>
      </c>
      <c r="IB937" s="1577"/>
      <c r="IC937" s="1577"/>
      <c r="ID937" s="326"/>
      <c r="IE937" s="1577"/>
      <c r="IF937" s="1577"/>
      <c r="IG937" s="326"/>
      <c r="IH937" s="1577"/>
      <c r="II937" s="1577"/>
      <c r="IJ937" s="326"/>
      <c r="IK937" s="1577"/>
      <c r="IL937" s="1577"/>
      <c r="IM937" s="326"/>
      <c r="IN937" s="1577"/>
      <c r="IO937" s="1577"/>
      <c r="IP937" s="326"/>
      <c r="IQ937" s="1577"/>
      <c r="IR937" s="1577"/>
      <c r="IS937" s="326"/>
      <c r="IT937" s="1577"/>
      <c r="IU937" s="1577"/>
      <c r="IV937" s="326"/>
      <c r="IW937" s="1577"/>
      <c r="IX937" s="1577"/>
      <c r="IY937" s="326"/>
      <c r="IZ937" s="326"/>
      <c r="JA937" s="326"/>
      <c r="JB937" s="326"/>
      <c r="JC937" s="326"/>
      <c r="JD937" s="326"/>
      <c r="JE937" s="326"/>
      <c r="JF937" s="326"/>
      <c r="JG937" s="326"/>
      <c r="JH937" s="326"/>
      <c r="JI937" s="326"/>
      <c r="JJ937" s="1577">
        <f t="shared" si="1871"/>
        <v>0</v>
      </c>
      <c r="JK937" s="323">
        <f t="shared" si="1683"/>
        <v>0</v>
      </c>
      <c r="JL937" s="1577">
        <f t="shared" si="1704"/>
        <v>0</v>
      </c>
      <c r="JM937" s="1577"/>
      <c r="JN937" s="323">
        <f>FISC!AK1258</f>
        <v>-873.32610040397981</v>
      </c>
      <c r="JO937" s="1577"/>
      <c r="JP937" s="1577"/>
      <c r="JQ937" s="323">
        <f>FISC!AL1258</f>
        <v>-807.05855274319595</v>
      </c>
      <c r="JR937" s="1577"/>
      <c r="JS937" s="1577"/>
      <c r="JT937" s="323">
        <f>FISC!AM1258</f>
        <v>-737.0636723524417</v>
      </c>
      <c r="JU937" s="1577"/>
      <c r="JV937" s="1577"/>
      <c r="JW937" s="323">
        <f>FISC!AN1258</f>
        <v>-401.81364505066597</v>
      </c>
      <c r="JX937" s="1577"/>
      <c r="JY937" s="1577"/>
      <c r="JZ937" s="323">
        <f>FISC!AO1258</f>
        <v>-539.55531772851305</v>
      </c>
      <c r="KA937" s="1577"/>
      <c r="KB937" s="1577"/>
      <c r="KC937" s="323">
        <f>FISC!AP1258</f>
        <v>-1396.72787974474</v>
      </c>
      <c r="KD937" s="1577"/>
      <c r="KE937" s="1577"/>
      <c r="KF937" s="323">
        <f>FISC!AQ1258</f>
        <v>-1674.2154521527293</v>
      </c>
      <c r="KG937" s="1577"/>
      <c r="KH937" s="1577"/>
      <c r="KI937" s="323">
        <f>FISC!AR1258</f>
        <v>-1615.7431021787145</v>
      </c>
      <c r="KJ937" s="1577"/>
      <c r="KK937" s="1577"/>
      <c r="KL937" s="323">
        <f>FISC!AS1258</f>
        <v>-2224.8511777459507</v>
      </c>
      <c r="KM937" s="1577"/>
      <c r="KN937" s="1577"/>
      <c r="KO937" s="323">
        <f>FISC!AT1258</f>
        <v>-2744.5037450143154</v>
      </c>
      <c r="KU937" s="326"/>
      <c r="KV937" s="326"/>
    </row>
    <row r="938" spans="1:308" s="281" customFormat="1">
      <c r="B938" s="2410"/>
      <c r="C938" s="2410"/>
      <c r="D938" s="1578" t="s">
        <v>3252</v>
      </c>
      <c r="E938" s="326"/>
      <c r="F938" s="326"/>
      <c r="G938" s="326"/>
      <c r="H938" s="326"/>
      <c r="I938" s="326"/>
      <c r="J938" s="326"/>
      <c r="K938" s="326"/>
      <c r="L938" s="326"/>
      <c r="M938" s="326"/>
      <c r="N938" s="326"/>
      <c r="O938" s="326"/>
      <c r="P938" s="326"/>
      <c r="Q938" s="326"/>
      <c r="R938" s="326"/>
      <c r="S938" s="326"/>
      <c r="T938" s="326"/>
      <c r="U938" s="326"/>
      <c r="V938" s="326"/>
      <c r="W938" s="326"/>
      <c r="X938" s="326"/>
      <c r="Y938" s="326"/>
      <c r="Z938" s="326"/>
      <c r="AA938" s="326"/>
      <c r="AB938" s="326"/>
      <c r="AC938" s="326"/>
      <c r="AD938" s="326"/>
      <c r="AE938" s="326"/>
      <c r="AF938" s="326"/>
      <c r="AG938" s="326"/>
      <c r="AH938" s="326"/>
      <c r="AI938" s="326"/>
      <c r="AJ938" s="326"/>
      <c r="AK938" s="326"/>
      <c r="AL938" s="326"/>
      <c r="AM938" s="326"/>
      <c r="AN938" s="326"/>
      <c r="AO938" s="326"/>
      <c r="AP938" s="326"/>
      <c r="AQ938" s="326"/>
      <c r="AR938" s="326"/>
      <c r="AS938" s="326"/>
      <c r="AT938" s="326"/>
      <c r="AU938" s="326"/>
      <c r="AV938" s="326"/>
      <c r="AW938" s="326"/>
      <c r="AX938" s="326"/>
      <c r="AY938" s="326"/>
      <c r="AZ938" s="326"/>
      <c r="BA938" s="326"/>
      <c r="BB938" s="326"/>
      <c r="BC938" s="326"/>
      <c r="BD938" s="326"/>
      <c r="BE938" s="326"/>
      <c r="BF938" s="326"/>
      <c r="BG938" s="326"/>
      <c r="BH938" s="326"/>
      <c r="BI938" s="326"/>
      <c r="BJ938" s="326"/>
      <c r="BK938" s="326"/>
      <c r="BL938" s="326"/>
      <c r="BM938" s="326"/>
      <c r="BN938" s="326"/>
      <c r="BO938" s="326"/>
      <c r="BP938" s="326"/>
      <c r="BQ938" s="326"/>
      <c r="BR938" s="326"/>
      <c r="BS938" s="326"/>
      <c r="BT938" s="326"/>
      <c r="BU938" s="326"/>
      <c r="BV938" s="326"/>
      <c r="BW938" s="326"/>
      <c r="BX938" s="326"/>
      <c r="BY938" s="326"/>
      <c r="BZ938" s="326"/>
      <c r="CA938" s="326"/>
      <c r="CB938" s="326"/>
      <c r="CC938" s="326"/>
      <c r="CD938" s="2411"/>
      <c r="CE938" s="326"/>
      <c r="CF938" s="326"/>
      <c r="CG938" s="326"/>
      <c r="CH938" s="326"/>
      <c r="CI938" s="326"/>
      <c r="CJ938" s="326"/>
      <c r="CK938" s="326"/>
      <c r="CL938" s="326"/>
      <c r="CM938" s="326"/>
      <c r="CN938" s="326"/>
      <c r="CO938" s="326"/>
      <c r="CP938" s="2412"/>
      <c r="CQ938" s="326"/>
      <c r="CR938" s="326"/>
      <c r="CS938" s="326"/>
      <c r="CT938" s="326"/>
      <c r="CU938" s="326"/>
      <c r="CV938" s="326"/>
      <c r="CW938" s="326"/>
      <c r="CX938" s="326"/>
      <c r="CY938" s="326"/>
      <c r="CZ938" s="326"/>
      <c r="DA938" s="326"/>
      <c r="DB938" s="2413"/>
      <c r="DC938" s="326"/>
      <c r="DD938" s="326"/>
      <c r="DE938" s="326"/>
      <c r="DF938" s="326"/>
      <c r="DG938" s="326"/>
      <c r="DH938" s="326"/>
      <c r="DI938" s="326"/>
      <c r="DJ938" s="326"/>
      <c r="DK938" s="326"/>
      <c r="DL938" s="326"/>
      <c r="DM938" s="326"/>
      <c r="DN938" s="2412"/>
      <c r="DO938" s="326"/>
      <c r="DP938" s="326"/>
      <c r="DQ938" s="326"/>
      <c r="DR938" s="326"/>
      <c r="DS938" s="326"/>
      <c r="DT938" s="326"/>
      <c r="DU938" s="326"/>
      <c r="DV938" s="326"/>
      <c r="DW938" s="326"/>
      <c r="DX938" s="326"/>
      <c r="DY938" s="326"/>
      <c r="DZ938" s="2412"/>
      <c r="EA938" s="326"/>
      <c r="EB938" s="326"/>
      <c r="EC938" s="326"/>
      <c r="ED938" s="326"/>
      <c r="EE938" s="326"/>
      <c r="EF938" s="326"/>
      <c r="EG938" s="326"/>
      <c r="EH938" s="326"/>
      <c r="EI938" s="326"/>
      <c r="EJ938" s="326"/>
      <c r="EK938" s="326"/>
      <c r="EL938" s="2412"/>
      <c r="EM938" s="326"/>
      <c r="EN938" s="326"/>
      <c r="EO938" s="326"/>
      <c r="EP938" s="326"/>
      <c r="EQ938" s="326"/>
      <c r="ER938" s="326"/>
      <c r="ES938" s="326"/>
      <c r="ET938" s="326"/>
      <c r="EU938" s="326"/>
      <c r="EV938" s="326"/>
      <c r="EW938" s="326"/>
      <c r="EX938" s="2412"/>
      <c r="EY938" s="326"/>
      <c r="EZ938" s="326"/>
      <c r="FA938" s="326"/>
      <c r="FB938" s="326"/>
      <c r="FC938" s="326"/>
      <c r="FD938" s="326"/>
      <c r="FE938" s="326"/>
      <c r="FF938" s="326"/>
      <c r="FG938" s="326"/>
      <c r="FH938" s="326"/>
      <c r="FI938" s="326"/>
      <c r="FJ938" s="2412"/>
      <c r="FK938" s="326"/>
      <c r="FL938" s="326"/>
      <c r="FM938" s="326"/>
      <c r="FN938" s="326"/>
      <c r="FO938" s="326"/>
      <c r="FP938" s="326"/>
      <c r="FQ938" s="326"/>
      <c r="FR938" s="326"/>
      <c r="FS938" s="326"/>
      <c r="FT938" s="326"/>
      <c r="FU938" s="326"/>
      <c r="FV938" s="326"/>
      <c r="FW938" s="326"/>
      <c r="FX938" s="326"/>
      <c r="FY938" s="326"/>
      <c r="FZ938" s="326"/>
      <c r="GA938" s="326"/>
      <c r="GB938" s="326"/>
      <c r="GC938" s="2414"/>
      <c r="GD938" s="2414"/>
      <c r="GE938" s="2414"/>
      <c r="GF938" s="2414"/>
      <c r="GG938" s="2414"/>
      <c r="GH938" s="2414"/>
      <c r="GI938" s="2415"/>
      <c r="GJ938" s="2414"/>
      <c r="GK938" s="2414"/>
      <c r="GL938" s="2414"/>
      <c r="GM938" s="2414"/>
      <c r="GN938" s="2414"/>
      <c r="GO938" s="2414"/>
      <c r="GP938" s="2414"/>
      <c r="GQ938" s="2414"/>
      <c r="GR938" s="2414"/>
      <c r="GS938" s="2414"/>
      <c r="GT938" s="2414"/>
      <c r="GU938" s="2414"/>
      <c r="GV938" s="2414"/>
      <c r="GW938" s="2414"/>
      <c r="GX938" s="2414"/>
      <c r="GY938" s="2414"/>
      <c r="GZ938" s="2414"/>
      <c r="HA938" s="2414"/>
      <c r="HB938" s="2414"/>
      <c r="HC938" s="2414"/>
      <c r="HD938" s="2414"/>
      <c r="HE938" s="2414"/>
      <c r="HF938" s="2414"/>
      <c r="HG938" s="2414"/>
      <c r="HH938" s="2414"/>
      <c r="HI938" s="2414"/>
      <c r="HJ938" s="2414"/>
      <c r="HK938" s="2414"/>
      <c r="HL938" s="2414"/>
      <c r="HM938" s="2414"/>
      <c r="HN938" s="2414"/>
      <c r="HO938" s="2414"/>
      <c r="HP938" s="2414"/>
      <c r="HQ938" s="2414"/>
      <c r="HR938" s="2414"/>
      <c r="HS938" s="2414"/>
      <c r="HT938" s="2414"/>
      <c r="HU938" s="2414"/>
      <c r="HV938" s="2414"/>
      <c r="HW938" s="2414"/>
      <c r="HX938" s="2414"/>
      <c r="HY938" s="2414"/>
      <c r="HZ938" s="326"/>
      <c r="IA938" s="1579" t="s">
        <v>3625</v>
      </c>
      <c r="IB938" s="1577"/>
      <c r="IC938" s="1577"/>
      <c r="ID938" s="326"/>
      <c r="IE938" s="1577"/>
      <c r="IF938" s="1577"/>
      <c r="IG938" s="326"/>
      <c r="IH938" s="1577"/>
      <c r="II938" s="1577"/>
      <c r="IJ938" s="326"/>
      <c r="IK938" s="1577"/>
      <c r="IL938" s="1577"/>
      <c r="IM938" s="326"/>
      <c r="IN938" s="1577"/>
      <c r="IO938" s="1577"/>
      <c r="IP938" s="326"/>
      <c r="IQ938" s="1577"/>
      <c r="IR938" s="1577"/>
      <c r="IS938" s="326"/>
      <c r="IT938" s="1577"/>
      <c r="IU938" s="1577"/>
      <c r="IV938" s="326"/>
      <c r="IW938" s="1577"/>
      <c r="IX938" s="1577"/>
      <c r="IY938" s="326"/>
      <c r="IZ938" s="326">
        <f t="shared" si="1921"/>
        <v>0</v>
      </c>
      <c r="JA938" s="326">
        <f t="shared" si="1922"/>
        <v>0</v>
      </c>
      <c r="JB938" s="326">
        <f t="shared" si="1823"/>
        <v>0</v>
      </c>
      <c r="JC938" s="326">
        <f t="shared" si="1923"/>
        <v>0</v>
      </c>
      <c r="JD938" s="326">
        <f t="shared" si="1924"/>
        <v>0</v>
      </c>
      <c r="JE938" s="326">
        <f t="shared" si="1912"/>
        <v>0</v>
      </c>
      <c r="JF938" s="326"/>
      <c r="JG938" s="326"/>
      <c r="JH938" s="326"/>
      <c r="JI938" s="326">
        <f t="shared" si="1744"/>
        <v>0</v>
      </c>
      <c r="JJ938" s="1577">
        <f t="shared" si="1871"/>
        <v>0</v>
      </c>
      <c r="JK938" s="323">
        <f t="shared" si="1683"/>
        <v>0</v>
      </c>
      <c r="JL938" s="1577">
        <f t="shared" si="1704"/>
        <v>0</v>
      </c>
      <c r="JM938" s="2851"/>
      <c r="JN938" s="323">
        <f>FISC!AK1259</f>
        <v>-229.24658351546816</v>
      </c>
      <c r="JO938" s="1577"/>
      <c r="JP938" s="1577"/>
      <c r="JQ938" s="323">
        <f>FISC!AL1259</f>
        <v>-211.51168947554697</v>
      </c>
      <c r="JR938" s="1577"/>
      <c r="JS938" s="1577"/>
      <c r="JT938" s="323">
        <f>FISC!AM1259</f>
        <v>-162.57094725539383</v>
      </c>
      <c r="JU938" s="1577"/>
      <c r="JV938" s="1577"/>
      <c r="JW938" s="323">
        <f>FISC!AN1259</f>
        <v>-54.066893216155876</v>
      </c>
      <c r="JX938" s="1577"/>
      <c r="JY938" s="1577"/>
      <c r="JZ938" s="323">
        <f>FISC!AO1259</f>
        <v>-147.77511184087848</v>
      </c>
      <c r="KA938" s="1577"/>
      <c r="KB938" s="1577"/>
      <c r="KC938" s="323">
        <f>FISC!AP1259</f>
        <v>0</v>
      </c>
      <c r="KD938" s="1577"/>
      <c r="KE938" s="1577"/>
      <c r="KF938" s="323">
        <f>FISC!AQ1259</f>
        <v>0</v>
      </c>
      <c r="KG938" s="1577"/>
      <c r="KH938" s="1577"/>
      <c r="KI938" s="323">
        <f>FISC!AR1259</f>
        <v>0</v>
      </c>
      <c r="KJ938" s="1577"/>
      <c r="KK938" s="1577"/>
      <c r="KL938" s="323">
        <f>FISC!AS1259</f>
        <v>0</v>
      </c>
      <c r="KM938" s="1577"/>
      <c r="KN938" s="1577"/>
      <c r="KO938" s="323">
        <f>FISC!AT1259</f>
        <v>0</v>
      </c>
      <c r="KU938" s="326"/>
      <c r="KV938" s="326"/>
    </row>
    <row r="939" spans="1:308">
      <c r="A939" s="279"/>
      <c r="D939" s="1502" t="s">
        <v>3171</v>
      </c>
      <c r="E939" s="323"/>
      <c r="F939" s="323"/>
      <c r="G939" s="323"/>
      <c r="H939" s="323"/>
      <c r="I939" s="323"/>
      <c r="J939" s="323"/>
      <c r="K939" s="323"/>
      <c r="L939" s="323"/>
      <c r="M939" s="323"/>
      <c r="N939" s="323"/>
      <c r="O939" s="323"/>
      <c r="P939" s="323"/>
      <c r="Q939" s="323"/>
      <c r="R939" s="323"/>
      <c r="S939" s="323"/>
      <c r="T939" s="323"/>
      <c r="U939" s="323"/>
      <c r="V939" s="323"/>
      <c r="W939" s="323"/>
      <c r="X939" s="323"/>
      <c r="Y939" s="323"/>
      <c r="Z939" s="323"/>
      <c r="AA939" s="323"/>
      <c r="AB939" s="323"/>
      <c r="AC939" s="323"/>
      <c r="AD939" s="323"/>
      <c r="AE939" s="323"/>
      <c r="AF939" s="323"/>
      <c r="AG939" s="323"/>
      <c r="AH939" s="323"/>
      <c r="AI939" s="323"/>
      <c r="AJ939" s="323"/>
      <c r="AK939" s="323"/>
      <c r="AL939" s="323"/>
      <c r="AM939" s="323"/>
      <c r="AN939" s="323"/>
      <c r="AO939" s="323"/>
      <c r="AP939" s="323"/>
      <c r="AQ939" s="323"/>
      <c r="AR939" s="323"/>
      <c r="AS939" s="323"/>
      <c r="AT939" s="323"/>
      <c r="AU939" s="323"/>
      <c r="AV939" s="323"/>
      <c r="AW939" s="323"/>
      <c r="AX939" s="323"/>
      <c r="AY939" s="323"/>
      <c r="AZ939" s="323"/>
      <c r="BA939" s="323"/>
      <c r="BB939" s="323"/>
      <c r="BC939" s="323"/>
      <c r="BD939" s="323"/>
      <c r="BE939" s="323"/>
      <c r="BF939" s="323"/>
      <c r="BG939" s="323"/>
      <c r="BH939" s="323"/>
      <c r="BI939" s="323"/>
      <c r="BJ939" s="323"/>
      <c r="BK939" s="323"/>
      <c r="BL939" s="323"/>
      <c r="BM939" s="323"/>
      <c r="BN939" s="323"/>
      <c r="BO939" s="323"/>
      <c r="BP939" s="323"/>
      <c r="BQ939" s="323"/>
      <c r="BR939" s="323"/>
      <c r="BS939" s="323"/>
      <c r="BT939" s="323"/>
      <c r="BU939" s="323"/>
      <c r="BV939" s="323"/>
      <c r="BW939" s="323"/>
      <c r="BX939" s="323"/>
      <c r="BY939" s="323"/>
      <c r="BZ939" s="323"/>
      <c r="CA939" s="323"/>
      <c r="CB939" s="323"/>
      <c r="CC939" s="323"/>
      <c r="CD939" s="329"/>
      <c r="CE939" s="323"/>
      <c r="CF939" s="323"/>
      <c r="CG939" s="323"/>
      <c r="CH939" s="323"/>
      <c r="CI939" s="323"/>
      <c r="CJ939" s="323"/>
      <c r="CK939" s="323"/>
      <c r="CL939" s="323"/>
      <c r="CM939" s="323"/>
      <c r="CN939" s="323"/>
      <c r="CO939" s="323"/>
      <c r="CP939" s="325"/>
      <c r="CQ939" s="323"/>
      <c r="CR939" s="323"/>
      <c r="CS939" s="323"/>
      <c r="CT939" s="323"/>
      <c r="CU939" s="323"/>
      <c r="CV939" s="323"/>
      <c r="CW939" s="323"/>
      <c r="CX939" s="323"/>
      <c r="CY939" s="323"/>
      <c r="CZ939" s="323"/>
      <c r="DA939" s="323"/>
      <c r="DB939" s="1269"/>
      <c r="DC939" s="323"/>
      <c r="DD939" s="323"/>
      <c r="DE939" s="323"/>
      <c r="DF939" s="323"/>
      <c r="DG939" s="323"/>
      <c r="DH939" s="323"/>
      <c r="DI939" s="323"/>
      <c r="DJ939" s="323"/>
      <c r="DK939" s="323"/>
      <c r="DL939" s="323"/>
      <c r="DM939" s="323"/>
      <c r="DN939" s="325"/>
      <c r="DO939" s="323"/>
      <c r="DP939" s="323"/>
      <c r="DQ939" s="323"/>
      <c r="DR939" s="323"/>
      <c r="DS939" s="323"/>
      <c r="DT939" s="323"/>
      <c r="DU939" s="323"/>
      <c r="DV939" s="323"/>
      <c r="DW939" s="323"/>
      <c r="DX939" s="323"/>
      <c r="DY939" s="323"/>
      <c r="DZ939" s="325"/>
      <c r="EA939" s="323"/>
      <c r="EB939" s="323"/>
      <c r="EC939" s="323"/>
      <c r="ED939" s="323"/>
      <c r="EE939" s="323"/>
      <c r="EF939" s="323"/>
      <c r="EG939" s="323"/>
      <c r="EH939" s="323"/>
      <c r="EI939" s="323"/>
      <c r="EJ939" s="323"/>
      <c r="EK939" s="323"/>
      <c r="EL939" s="325"/>
      <c r="EM939" s="323"/>
      <c r="EN939" s="323"/>
      <c r="EO939" s="323"/>
      <c r="EP939" s="323"/>
      <c r="EQ939" s="323"/>
      <c r="ER939" s="323"/>
      <c r="ES939" s="323"/>
      <c r="ET939" s="323"/>
      <c r="EU939" s="323"/>
      <c r="EV939" s="323"/>
      <c r="EW939" s="323"/>
      <c r="EX939" s="325"/>
      <c r="EY939" s="323"/>
      <c r="EZ939" s="323"/>
      <c r="FA939" s="323"/>
      <c r="FB939" s="323"/>
      <c r="FC939" s="323"/>
      <c r="FD939" s="323"/>
      <c r="FE939" s="323"/>
      <c r="FF939" s="323"/>
      <c r="FG939" s="323"/>
      <c r="FH939" s="323"/>
      <c r="FI939" s="323"/>
      <c r="FJ939" s="325"/>
      <c r="FK939" s="323"/>
      <c r="FL939" s="323"/>
      <c r="FM939" s="323"/>
      <c r="FN939" s="323"/>
      <c r="FO939" s="323"/>
      <c r="FP939" s="323"/>
      <c r="FQ939" s="323"/>
      <c r="FR939" s="323"/>
      <c r="FS939" s="323"/>
      <c r="FT939" s="323"/>
      <c r="FU939" s="323"/>
      <c r="FV939" s="323"/>
      <c r="FW939" s="323"/>
      <c r="FX939" s="323"/>
      <c r="FY939" s="323"/>
      <c r="FZ939" s="323"/>
      <c r="GA939" s="323"/>
      <c r="GB939" s="323"/>
      <c r="GI939" s="1654"/>
      <c r="HZ939" s="326"/>
      <c r="IA939" s="1474" t="s">
        <v>3171</v>
      </c>
      <c r="IB939" s="1466"/>
      <c r="IC939" s="1466"/>
      <c r="ID939" s="323"/>
      <c r="IE939" s="1466"/>
      <c r="IF939" s="1466"/>
      <c r="IG939" s="323"/>
      <c r="IH939" s="1466"/>
      <c r="II939" s="1466"/>
      <c r="IJ939" s="323"/>
      <c r="IK939" s="1466"/>
      <c r="IL939" s="1466"/>
      <c r="IM939" s="323"/>
      <c r="IN939" s="1466"/>
      <c r="IO939" s="1466"/>
      <c r="IP939" s="323"/>
      <c r="IQ939" s="1466"/>
      <c r="IR939" s="1466"/>
      <c r="IS939" s="323"/>
      <c r="IT939" s="1466"/>
      <c r="IU939" s="1466"/>
      <c r="IV939" s="323"/>
      <c r="IW939" s="1466"/>
      <c r="IX939" s="1466"/>
      <c r="IY939" s="323"/>
      <c r="IZ939" s="327">
        <f t="shared" si="1921"/>
        <v>0</v>
      </c>
      <c r="JA939" s="327">
        <f t="shared" si="1922"/>
        <v>0</v>
      </c>
      <c r="JB939" s="323">
        <f t="shared" si="1823"/>
        <v>0</v>
      </c>
      <c r="JC939" s="327">
        <f t="shared" si="1923"/>
        <v>0</v>
      </c>
      <c r="JD939" s="327">
        <f t="shared" si="1924"/>
        <v>0</v>
      </c>
      <c r="JE939" s="323">
        <f t="shared" si="1912"/>
        <v>0</v>
      </c>
      <c r="JF939" s="327"/>
      <c r="JG939" s="327"/>
      <c r="JH939" s="323"/>
      <c r="JI939" s="327">
        <f t="shared" si="1744"/>
        <v>0</v>
      </c>
      <c r="JJ939" s="1466">
        <f t="shared" si="1871"/>
        <v>0</v>
      </c>
      <c r="JK939" s="323">
        <f t="shared" si="1683"/>
        <v>0</v>
      </c>
      <c r="JL939" s="1466">
        <f t="shared" si="1704"/>
        <v>0</v>
      </c>
      <c r="JM939" s="1466"/>
      <c r="JN939" s="323">
        <f>FISC!AK1260</f>
        <v>0</v>
      </c>
      <c r="JO939" s="1466"/>
      <c r="JP939" s="1466"/>
      <c r="JQ939" s="323">
        <f>FISC!AL1260</f>
        <v>0</v>
      </c>
      <c r="JR939" s="1466"/>
      <c r="JS939" s="1466"/>
      <c r="JT939" s="323">
        <f>FISC!AM1260</f>
        <v>0</v>
      </c>
      <c r="JU939" s="1466"/>
      <c r="JV939" s="1466"/>
      <c r="JW939" s="323">
        <f>FISC!AN1260</f>
        <v>0</v>
      </c>
      <c r="JX939" s="1466"/>
      <c r="JY939" s="1466"/>
      <c r="JZ939" s="323">
        <f>FISC!AO1260</f>
        <v>0</v>
      </c>
      <c r="KA939" s="1466"/>
      <c r="KB939" s="1466"/>
      <c r="KC939" s="323">
        <f>FISC!AP1260</f>
        <v>0</v>
      </c>
      <c r="KD939" s="1466"/>
      <c r="KE939" s="1466"/>
      <c r="KF939" s="323">
        <f>FISC!AQ1260</f>
        <v>0</v>
      </c>
      <c r="KG939" s="1466"/>
      <c r="KH939" s="1466"/>
      <c r="KI939" s="323">
        <f>FISC!AR1260</f>
        <v>0</v>
      </c>
      <c r="KJ939" s="1466"/>
      <c r="KK939" s="1466"/>
      <c r="KL939" s="323">
        <f>FISC!AS1260</f>
        <v>0</v>
      </c>
      <c r="KM939" s="1466"/>
      <c r="KN939" s="1466"/>
      <c r="KO939" s="323">
        <f>FISC!AT1260</f>
        <v>0</v>
      </c>
      <c r="KU939" s="326"/>
      <c r="KV939" s="327"/>
    </row>
    <row r="940" spans="1:308" s="2399" customFormat="1">
      <c r="B940" s="2400"/>
      <c r="C940" s="2400"/>
      <c r="D940" s="2401" t="s">
        <v>3153</v>
      </c>
      <c r="E940" s="2402"/>
      <c r="F940" s="2402"/>
      <c r="G940" s="2402"/>
      <c r="H940" s="2402"/>
      <c r="I940" s="2402"/>
      <c r="J940" s="2402"/>
      <c r="K940" s="2402"/>
      <c r="L940" s="2402"/>
      <c r="M940" s="2402"/>
      <c r="N940" s="2402"/>
      <c r="O940" s="2402"/>
      <c r="P940" s="2402"/>
      <c r="Q940" s="2402"/>
      <c r="R940" s="2402"/>
      <c r="S940" s="2402"/>
      <c r="T940" s="2402"/>
      <c r="U940" s="2402"/>
      <c r="V940" s="2402"/>
      <c r="W940" s="2402"/>
      <c r="X940" s="2402"/>
      <c r="Y940" s="2402"/>
      <c r="Z940" s="2402"/>
      <c r="AA940" s="2402"/>
      <c r="AB940" s="2402"/>
      <c r="AC940" s="2402"/>
      <c r="AD940" s="2402"/>
      <c r="AE940" s="2402"/>
      <c r="AF940" s="2402"/>
      <c r="AG940" s="2402"/>
      <c r="AH940" s="2402"/>
      <c r="AI940" s="2402"/>
      <c r="AJ940" s="2402"/>
      <c r="AK940" s="2402"/>
      <c r="AL940" s="2402"/>
      <c r="AM940" s="2402"/>
      <c r="AN940" s="2402"/>
      <c r="AO940" s="2402"/>
      <c r="AP940" s="2402"/>
      <c r="AQ940" s="2402"/>
      <c r="AR940" s="2402"/>
      <c r="AS940" s="2402"/>
      <c r="AT940" s="2402"/>
      <c r="AU940" s="2402"/>
      <c r="AV940" s="2402"/>
      <c r="AW940" s="2402"/>
      <c r="AX940" s="2402"/>
      <c r="AY940" s="2402"/>
      <c r="AZ940" s="2402"/>
      <c r="BA940" s="2402"/>
      <c r="BB940" s="2402"/>
      <c r="BC940" s="2402"/>
      <c r="BD940" s="2402"/>
      <c r="BE940" s="2402"/>
      <c r="BF940" s="2402"/>
      <c r="BG940" s="2402"/>
      <c r="BH940" s="2402"/>
      <c r="BI940" s="2402"/>
      <c r="BJ940" s="2402"/>
      <c r="BK940" s="2402"/>
      <c r="BL940" s="2402"/>
      <c r="BM940" s="2402"/>
      <c r="BN940" s="2402"/>
      <c r="BO940" s="2402"/>
      <c r="BP940" s="2402"/>
      <c r="BQ940" s="2402"/>
      <c r="BR940" s="2402"/>
      <c r="BS940" s="2402"/>
      <c r="BT940" s="2402"/>
      <c r="BU940" s="2402"/>
      <c r="BV940" s="2402"/>
      <c r="BW940" s="2402"/>
      <c r="BX940" s="2402"/>
      <c r="BY940" s="2402"/>
      <c r="BZ940" s="2402"/>
      <c r="CA940" s="2402"/>
      <c r="CB940" s="2402"/>
      <c r="CC940" s="2402"/>
      <c r="CD940" s="2403"/>
      <c r="CE940" s="2402"/>
      <c r="CF940" s="2402"/>
      <c r="CG940" s="2402"/>
      <c r="CH940" s="2402"/>
      <c r="CI940" s="2402"/>
      <c r="CJ940" s="2402"/>
      <c r="CK940" s="2402"/>
      <c r="CL940" s="2402"/>
      <c r="CM940" s="2402"/>
      <c r="CN940" s="2402"/>
      <c r="CO940" s="2402"/>
      <c r="CP940" s="2404"/>
      <c r="CQ940" s="2402"/>
      <c r="CR940" s="2402"/>
      <c r="CS940" s="2402"/>
      <c r="CT940" s="2402"/>
      <c r="CU940" s="2402"/>
      <c r="CV940" s="2402"/>
      <c r="CW940" s="2402"/>
      <c r="CX940" s="2402"/>
      <c r="CY940" s="2402"/>
      <c r="CZ940" s="2402"/>
      <c r="DA940" s="2402"/>
      <c r="DB940" s="2405"/>
      <c r="DC940" s="2402"/>
      <c r="DD940" s="2402"/>
      <c r="DE940" s="2402"/>
      <c r="DF940" s="2402"/>
      <c r="DG940" s="2402"/>
      <c r="DH940" s="2402"/>
      <c r="DI940" s="2402"/>
      <c r="DJ940" s="2402"/>
      <c r="DK940" s="2402"/>
      <c r="DL940" s="2402"/>
      <c r="DM940" s="2402"/>
      <c r="DN940" s="2404"/>
      <c r="DO940" s="2402"/>
      <c r="DP940" s="2402"/>
      <c r="DQ940" s="2402"/>
      <c r="DR940" s="2402"/>
      <c r="DS940" s="2402"/>
      <c r="DT940" s="2402"/>
      <c r="DU940" s="2402"/>
      <c r="DV940" s="2402"/>
      <c r="DW940" s="2402"/>
      <c r="DX940" s="2402"/>
      <c r="DY940" s="2402"/>
      <c r="DZ940" s="2404"/>
      <c r="EA940" s="2402"/>
      <c r="EB940" s="2402"/>
      <c r="EC940" s="2402"/>
      <c r="ED940" s="2402"/>
      <c r="EE940" s="2402"/>
      <c r="EF940" s="2402"/>
      <c r="EG940" s="2402"/>
      <c r="EH940" s="2402"/>
      <c r="EI940" s="2402"/>
      <c r="EJ940" s="2402"/>
      <c r="EK940" s="2402"/>
      <c r="EL940" s="2404"/>
      <c r="EM940" s="2402"/>
      <c r="EN940" s="2402"/>
      <c r="EO940" s="2402"/>
      <c r="EP940" s="2402"/>
      <c r="EQ940" s="2402"/>
      <c r="ER940" s="2402"/>
      <c r="ES940" s="2402"/>
      <c r="ET940" s="2402"/>
      <c r="EU940" s="2402"/>
      <c r="EV940" s="2402"/>
      <c r="EW940" s="2402"/>
      <c r="EX940" s="2404"/>
      <c r="EY940" s="2402"/>
      <c r="EZ940" s="2402"/>
      <c r="FA940" s="2402"/>
      <c r="FB940" s="2402"/>
      <c r="FC940" s="2402"/>
      <c r="FD940" s="2402"/>
      <c r="FE940" s="2402"/>
      <c r="FF940" s="2402"/>
      <c r="FG940" s="2402"/>
      <c r="FH940" s="2402"/>
      <c r="FI940" s="2402"/>
      <c r="FJ940" s="2404"/>
      <c r="FK940" s="2402"/>
      <c r="FL940" s="2402"/>
      <c r="FM940" s="2402"/>
      <c r="FN940" s="2402"/>
      <c r="FO940" s="2402"/>
      <c r="FP940" s="2402"/>
      <c r="FQ940" s="2402"/>
      <c r="FR940" s="2402"/>
      <c r="FS940" s="2402"/>
      <c r="FT940" s="2402"/>
      <c r="FU940" s="2402"/>
      <c r="FV940" s="2402"/>
      <c r="FW940" s="2402"/>
      <c r="FX940" s="2402"/>
      <c r="FY940" s="2402"/>
      <c r="FZ940" s="2402"/>
      <c r="GA940" s="2402"/>
      <c r="GB940" s="2402"/>
      <c r="GC940" s="2406"/>
      <c r="GD940" s="2406"/>
      <c r="GE940" s="2406"/>
      <c r="GF940" s="2406"/>
      <c r="GG940" s="2406"/>
      <c r="GH940" s="2406"/>
      <c r="GI940" s="2407"/>
      <c r="GJ940" s="2406"/>
      <c r="GK940" s="2406"/>
      <c r="GL940" s="2406"/>
      <c r="GM940" s="2406"/>
      <c r="GN940" s="2406"/>
      <c r="GO940" s="2406"/>
      <c r="GP940" s="2406"/>
      <c r="GQ940" s="2406"/>
      <c r="GR940" s="2406"/>
      <c r="GS940" s="2406"/>
      <c r="GT940" s="2406"/>
      <c r="GU940" s="2406"/>
      <c r="GV940" s="2406"/>
      <c r="GW940" s="2406"/>
      <c r="GX940" s="2406"/>
      <c r="GY940" s="2406"/>
      <c r="GZ940" s="2406"/>
      <c r="HA940" s="2406"/>
      <c r="HB940" s="2406"/>
      <c r="HC940" s="2406"/>
      <c r="HD940" s="2406"/>
      <c r="HE940" s="2406"/>
      <c r="HF940" s="2406"/>
      <c r="HG940" s="2406"/>
      <c r="HH940" s="2406"/>
      <c r="HI940" s="2406"/>
      <c r="HJ940" s="2406"/>
      <c r="HK940" s="2406"/>
      <c r="HL940" s="2406"/>
      <c r="HM940" s="2406"/>
      <c r="HN940" s="2406"/>
      <c r="HO940" s="2406"/>
      <c r="HP940" s="2406"/>
      <c r="HQ940" s="2406"/>
      <c r="HR940" s="2406"/>
      <c r="HS940" s="2406"/>
      <c r="HT940" s="2406"/>
      <c r="HU940" s="2406"/>
      <c r="HV940" s="2406"/>
      <c r="HW940" s="2406"/>
      <c r="HX940" s="2406"/>
      <c r="HY940" s="2406"/>
      <c r="HZ940" s="2402"/>
      <c r="IA940" s="2408" t="s">
        <v>3623</v>
      </c>
      <c r="IB940" s="2409">
        <f>IB932-IB840-(-IB860-IB968-IB971)</f>
        <v>-3.9664374692457542</v>
      </c>
      <c r="IC940" s="2409">
        <f>IC932-IC840-(-IC860-IC968-IC971)</f>
        <v>-229.70450340340332</v>
      </c>
      <c r="ID940" s="2402"/>
      <c r="IE940" s="2409">
        <f>IE932-IE840-(-IE860-IE968-IE971)</f>
        <v>-94.929270119342448</v>
      </c>
      <c r="IF940" s="2409">
        <f>IF932-IF840-(-IF860-IF968-IF971)</f>
        <v>-173.36329371988563</v>
      </c>
      <c r="IG940" s="2402"/>
      <c r="IH940" s="2409">
        <f>IH932-IH840-(-IH860-IH968-IH971)</f>
        <v>-141.09740245957931</v>
      </c>
      <c r="II940" s="2409">
        <f>II932-II840-(-II860-II968-II971)</f>
        <v>-131.96793656964815</v>
      </c>
      <c r="IJ940" s="2402"/>
      <c r="IK940" s="2409">
        <f>IK932-IK840-(-IK860-IK968-IK971)</f>
        <v>-215.87032761742483</v>
      </c>
      <c r="IL940" s="2409">
        <f>IL932-IL840-(-IL860-IL968-IL971)</f>
        <v>-145.14038071751204</v>
      </c>
      <c r="IM940" s="2402"/>
      <c r="IN940" s="2409">
        <f>IN932-IN840-(-IN860-IN968-IN971)</f>
        <v>-185.43008937132726</v>
      </c>
      <c r="IO940" s="2409">
        <f>IO932-IO840-(-IO860-IO968-IO971)</f>
        <v>-207.72034491629853</v>
      </c>
      <c r="IP940" s="2402"/>
      <c r="IQ940" s="2409">
        <f>IQ932-IQ840-(-IQ860-IQ968-IQ971)</f>
        <v>-106.17722628301766</v>
      </c>
      <c r="IR940" s="2409">
        <f>IR932-IR840-(-IR860-IR968-IR971)</f>
        <v>-440.30571851962924</v>
      </c>
      <c r="IS940" s="2402"/>
      <c r="IT940" s="2409">
        <f>IT932-IT840-(-IT860-IT968-IT971)</f>
        <v>-370.74665163487634</v>
      </c>
      <c r="IU940" s="2409">
        <f>IU932-IU840-(-IU860-IU968-IU971)</f>
        <v>-450.52115922025689</v>
      </c>
      <c r="IV940" s="2402"/>
      <c r="IW940" s="2409">
        <f>IW932-IW840-(-IW860-IW968-IW971)</f>
        <v>-545.82126297340221</v>
      </c>
      <c r="IX940" s="2409">
        <f>IX932-IX840-(-IX860-IX968-IX971)</f>
        <v>-351.9032032025691</v>
      </c>
      <c r="IY940" s="2402">
        <f t="shared" si="1621"/>
        <v>-897.72446617597132</v>
      </c>
      <c r="IZ940" s="2402">
        <f t="shared" si="1921"/>
        <v>0</v>
      </c>
      <c r="JA940" s="2402">
        <f t="shared" si="1922"/>
        <v>0</v>
      </c>
      <c r="JB940" s="2402">
        <f t="shared" si="1823"/>
        <v>0</v>
      </c>
      <c r="JC940" s="2402">
        <f t="shared" si="1923"/>
        <v>0</v>
      </c>
      <c r="JD940" s="2402">
        <f t="shared" si="1924"/>
        <v>0</v>
      </c>
      <c r="JE940" s="2402">
        <f t="shared" si="1912"/>
        <v>0</v>
      </c>
      <c r="JF940" s="2402">
        <f>JF932-JF840-(-JF860-JF968-JF971)</f>
        <v>-411.31434259513395</v>
      </c>
      <c r="JG940" s="2402">
        <f>JG932-JG840-(-JG860-JG968-JG971)</f>
        <v>-781.78081791569821</v>
      </c>
      <c r="JH940" s="2402">
        <f t="shared" si="1703"/>
        <v>-1193.0951605108321</v>
      </c>
      <c r="JI940" s="2402">
        <f>JI932-JI840-(-JI860-JI968-JI971)</f>
        <v>-590.75873769529858</v>
      </c>
      <c r="JJ940" s="2409">
        <f t="shared" si="1871"/>
        <v>0</v>
      </c>
      <c r="JK940" s="323">
        <f t="shared" si="1683"/>
        <v>-590.75873769529858</v>
      </c>
      <c r="JL940" s="2409">
        <f t="shared" si="1704"/>
        <v>0</v>
      </c>
      <c r="JM940" s="2409">
        <f>JM932-JM840-(-JM860-JM968-JM971)</f>
        <v>-700.25083068839467</v>
      </c>
      <c r="JN940" s="323">
        <f>FISC!AK1261</f>
        <v>-1335.2783437661087</v>
      </c>
      <c r="JO940" s="2409">
        <f>JO932-JO840-(-JO860-JO968-JO971)</f>
        <v>-1087.1663526043967</v>
      </c>
      <c r="JP940" s="2409">
        <f>JP932-JP840-(-JP860-JP968-JP971)</f>
        <v>-352.5804072548313</v>
      </c>
      <c r="JQ940" s="323">
        <f>FISC!AL1261</f>
        <v>-1347.453252591092</v>
      </c>
      <c r="JR940" s="2409">
        <f>JR932-JR840-(-JR860-JR968-JR971)</f>
        <v>-1155.9406375235346</v>
      </c>
      <c r="JS940" s="2409">
        <f>JS932-JS840-(-JS860-JS968-JS971)</f>
        <v>-258.42583796052293</v>
      </c>
      <c r="JT940" s="323">
        <f>FISC!AM1261</f>
        <v>-1236.9478449474466</v>
      </c>
      <c r="JU940" s="2409">
        <f>JU932-JU840-(-JU860-JU968-JU971)</f>
        <v>-871.28620761381967</v>
      </c>
      <c r="JV940" s="2409">
        <f>JV932-JV840-(-JV860-JV968-JV971)</f>
        <v>-197.86749146862701</v>
      </c>
      <c r="JW940" s="323">
        <f>FISC!AN1261</f>
        <v>-774.91337354688312</v>
      </c>
      <c r="JX940" s="2409">
        <f>JX932-JX840-(-JX860-JX968-JX971)</f>
        <v>-1001.7363801013942</v>
      </c>
      <c r="JY940" s="2409">
        <f>JY932-JY840-(-JY860-JY968-JY971)</f>
        <v>-222.96488179927283</v>
      </c>
      <c r="JZ940" s="323">
        <f>FISC!AO1261</f>
        <v>-882.20369412286595</v>
      </c>
      <c r="KA940" s="2409">
        <f>KA932-KA840-(-KA860-KA968-KA971)</f>
        <v>-1186.9704313518125</v>
      </c>
      <c r="KB940" s="2409">
        <f>KB932-KB840-(-KB860-KB968-KB971)</f>
        <v>-200.17515522792752</v>
      </c>
      <c r="KC940" s="323">
        <f>FISC!AP1261</f>
        <v>-1222.9346606814406</v>
      </c>
      <c r="KD940" s="2409">
        <f>KD932-KD840-(-KD860-KD968-KD971)</f>
        <v>-913.22238928077343</v>
      </c>
      <c r="KE940" s="2409">
        <f>KE932-KE840-(-KE860-KE968-KE971)</f>
        <v>-751.41076970695576</v>
      </c>
      <c r="KF940" s="323">
        <f>FISC!AQ1261</f>
        <v>-1508.3857669734168</v>
      </c>
      <c r="KG940" s="2409">
        <f>KG932-KG840-(-KG860-KG968-KG971)</f>
        <v>-1238.9092895592523</v>
      </c>
      <c r="KH940" s="2409">
        <f>KH932-KH840-(-KH860-KH968-KH971)</f>
        <v>-79.4783491364376</v>
      </c>
      <c r="KI940" s="323">
        <f>FISC!AR1261</f>
        <v>-1606.1608090137145</v>
      </c>
      <c r="KJ940" s="2409">
        <f>KJ932-KJ840-(-KJ860-KJ968-KJ971)</f>
        <v>-1663.8918356382551</v>
      </c>
      <c r="KK940" s="2409">
        <f>KK932-KK840-(-KK860-KK968-KK971)</f>
        <v>-254.97068351513064</v>
      </c>
      <c r="KL940" s="323">
        <f>FISC!AS1261</f>
        <v>-2215.2688845809507</v>
      </c>
      <c r="KM940" s="2409">
        <f>KM932-KM840-(-KM860-KM968-KM971)</f>
        <v>-2029.06410494175</v>
      </c>
      <c r="KN940" s="2409">
        <f>KN932-KN840-(-KN860-KN968-KN971)</f>
        <v>-400.55879051717346</v>
      </c>
      <c r="KO940" s="323">
        <f>FISC!AT1261</f>
        <v>-2734.9214518493154</v>
      </c>
      <c r="KU940" s="2402"/>
      <c r="KV940" s="2402"/>
    </row>
    <row r="941" spans="1:308" s="2399" customFormat="1">
      <c r="B941" s="2400"/>
      <c r="C941" s="2400"/>
      <c r="D941" s="2408" t="s">
        <v>3174</v>
      </c>
      <c r="E941" s="2402"/>
      <c r="F941" s="2402"/>
      <c r="G941" s="2402"/>
      <c r="H941" s="2402"/>
      <c r="I941" s="2402"/>
      <c r="J941" s="2402"/>
      <c r="K941" s="2402"/>
      <c r="L941" s="2402"/>
      <c r="M941" s="2402"/>
      <c r="N941" s="2402"/>
      <c r="O941" s="2402"/>
      <c r="P941" s="2402"/>
      <c r="Q941" s="2402"/>
      <c r="R941" s="2402"/>
      <c r="S941" s="2402"/>
      <c r="T941" s="2402"/>
      <c r="U941" s="2402"/>
      <c r="V941" s="2402"/>
      <c r="W941" s="2402"/>
      <c r="X941" s="2402"/>
      <c r="Y941" s="2402"/>
      <c r="Z941" s="2402"/>
      <c r="AA941" s="2402"/>
      <c r="AB941" s="2402"/>
      <c r="AC941" s="2402"/>
      <c r="AD941" s="2402"/>
      <c r="AE941" s="2402"/>
      <c r="AF941" s="2402"/>
      <c r="AG941" s="2402"/>
      <c r="AH941" s="2402"/>
      <c r="AI941" s="2402"/>
      <c r="AJ941" s="2402"/>
      <c r="AK941" s="2402"/>
      <c r="AL941" s="2402"/>
      <c r="AM941" s="2402"/>
      <c r="AN941" s="2402"/>
      <c r="AO941" s="2402"/>
      <c r="AP941" s="2402"/>
      <c r="AQ941" s="2402"/>
      <c r="AR941" s="2402"/>
      <c r="AS941" s="2402"/>
      <c r="AT941" s="2402"/>
      <c r="AU941" s="2402"/>
      <c r="AV941" s="2402"/>
      <c r="AW941" s="2402"/>
      <c r="AX941" s="2402"/>
      <c r="AY941" s="2402"/>
      <c r="AZ941" s="2402"/>
      <c r="BA941" s="2402"/>
      <c r="BB941" s="2402"/>
      <c r="BC941" s="2402"/>
      <c r="BD941" s="2402"/>
      <c r="BE941" s="2402"/>
      <c r="BF941" s="2402"/>
      <c r="BG941" s="2402"/>
      <c r="BH941" s="2402"/>
      <c r="BI941" s="2402"/>
      <c r="BJ941" s="2402"/>
      <c r="BK941" s="2402"/>
      <c r="BL941" s="2402"/>
      <c r="BM941" s="2402"/>
      <c r="BN941" s="2402"/>
      <c r="BO941" s="2402"/>
      <c r="BP941" s="2402"/>
      <c r="BQ941" s="2402"/>
      <c r="BR941" s="2402"/>
      <c r="BS941" s="2402"/>
      <c r="BT941" s="2402"/>
      <c r="BU941" s="2402"/>
      <c r="BV941" s="2402"/>
      <c r="BW941" s="2402"/>
      <c r="BX941" s="2402"/>
      <c r="BY941" s="2402"/>
      <c r="BZ941" s="2402"/>
      <c r="CA941" s="2402"/>
      <c r="CB941" s="2402"/>
      <c r="CC941" s="2402"/>
      <c r="CD941" s="2403"/>
      <c r="CE941" s="2402"/>
      <c r="CF941" s="2402"/>
      <c r="CG941" s="2402"/>
      <c r="CH941" s="2402"/>
      <c r="CI941" s="2402"/>
      <c r="CJ941" s="2402"/>
      <c r="CK941" s="2402"/>
      <c r="CL941" s="2402"/>
      <c r="CM941" s="2402"/>
      <c r="CN941" s="2402"/>
      <c r="CO941" s="2402"/>
      <c r="CP941" s="2404"/>
      <c r="CQ941" s="2402"/>
      <c r="CR941" s="2402"/>
      <c r="CS941" s="2402"/>
      <c r="CT941" s="2402"/>
      <c r="CU941" s="2402"/>
      <c r="CV941" s="2402"/>
      <c r="CW941" s="2402"/>
      <c r="CX941" s="2402"/>
      <c r="CY941" s="2402"/>
      <c r="CZ941" s="2402"/>
      <c r="DA941" s="2402"/>
      <c r="DB941" s="2405"/>
      <c r="DC941" s="2402"/>
      <c r="DD941" s="2402"/>
      <c r="DE941" s="2402"/>
      <c r="DF941" s="2402"/>
      <c r="DG941" s="2402"/>
      <c r="DH941" s="2402"/>
      <c r="DI941" s="2402"/>
      <c r="DJ941" s="2402"/>
      <c r="DK941" s="2402"/>
      <c r="DL941" s="2402"/>
      <c r="DM941" s="2402"/>
      <c r="DN941" s="2404"/>
      <c r="DO941" s="2402"/>
      <c r="DP941" s="2402"/>
      <c r="DQ941" s="2402"/>
      <c r="DR941" s="2402"/>
      <c r="DS941" s="2402"/>
      <c r="DT941" s="2402"/>
      <c r="DU941" s="2402"/>
      <c r="DV941" s="2402"/>
      <c r="DW941" s="2402"/>
      <c r="DX941" s="2402"/>
      <c r="DY941" s="2402"/>
      <c r="DZ941" s="2404"/>
      <c r="EA941" s="2402"/>
      <c r="EB941" s="2402"/>
      <c r="EC941" s="2402"/>
      <c r="ED941" s="2402"/>
      <c r="EE941" s="2402"/>
      <c r="EF941" s="2402"/>
      <c r="EG941" s="2402"/>
      <c r="EH941" s="2402"/>
      <c r="EI941" s="2402"/>
      <c r="EJ941" s="2402"/>
      <c r="EK941" s="2402"/>
      <c r="EL941" s="2404"/>
      <c r="EM941" s="2402"/>
      <c r="EN941" s="2402"/>
      <c r="EO941" s="2402"/>
      <c r="EP941" s="2402"/>
      <c r="EQ941" s="2402"/>
      <c r="ER941" s="2402"/>
      <c r="ES941" s="2402"/>
      <c r="ET941" s="2402"/>
      <c r="EU941" s="2402"/>
      <c r="EV941" s="2402"/>
      <c r="EW941" s="2402"/>
      <c r="EX941" s="2404"/>
      <c r="EY941" s="2402"/>
      <c r="EZ941" s="2402"/>
      <c r="FA941" s="2402"/>
      <c r="FB941" s="2402"/>
      <c r="FC941" s="2402"/>
      <c r="FD941" s="2402"/>
      <c r="FE941" s="2402"/>
      <c r="FF941" s="2402"/>
      <c r="FG941" s="2402"/>
      <c r="FH941" s="2402"/>
      <c r="FI941" s="2402"/>
      <c r="FJ941" s="2404"/>
      <c r="FK941" s="2402"/>
      <c r="FL941" s="2402"/>
      <c r="FM941" s="2402"/>
      <c r="FN941" s="2402"/>
      <c r="FO941" s="2402"/>
      <c r="FP941" s="2402"/>
      <c r="FQ941" s="2402"/>
      <c r="FR941" s="2402"/>
      <c r="FS941" s="2402"/>
      <c r="FT941" s="2402"/>
      <c r="FU941" s="2402"/>
      <c r="FV941" s="2402"/>
      <c r="FW941" s="2402"/>
      <c r="FX941" s="2402"/>
      <c r="FY941" s="2402"/>
      <c r="FZ941" s="2402"/>
      <c r="GA941" s="2402"/>
      <c r="GB941" s="2402"/>
      <c r="GC941" s="2406"/>
      <c r="GD941" s="2406"/>
      <c r="GE941" s="2406"/>
      <c r="GF941" s="2406"/>
      <c r="GG941" s="2406"/>
      <c r="GH941" s="2406"/>
      <c r="GI941" s="2407"/>
      <c r="GJ941" s="2406"/>
      <c r="GK941" s="2406"/>
      <c r="GL941" s="2406"/>
      <c r="GM941" s="2406"/>
      <c r="GN941" s="2406"/>
      <c r="GO941" s="2406"/>
      <c r="GP941" s="2406"/>
      <c r="GQ941" s="2406"/>
      <c r="GR941" s="2406"/>
      <c r="GS941" s="2406"/>
      <c r="GT941" s="2406"/>
      <c r="GU941" s="2406"/>
      <c r="GV941" s="2406"/>
      <c r="GW941" s="2406"/>
      <c r="GX941" s="2406"/>
      <c r="GY941" s="2406"/>
      <c r="GZ941" s="2406"/>
      <c r="HA941" s="2406"/>
      <c r="HB941" s="2406"/>
      <c r="HC941" s="2406"/>
      <c r="HD941" s="2406"/>
      <c r="HE941" s="2406"/>
      <c r="HF941" s="2406"/>
      <c r="HG941" s="2406"/>
      <c r="HH941" s="2406"/>
      <c r="HI941" s="2406"/>
      <c r="HJ941" s="2406"/>
      <c r="HK941" s="2406"/>
      <c r="HL941" s="2406"/>
      <c r="HM941" s="2406"/>
      <c r="HN941" s="2406"/>
      <c r="HO941" s="2406"/>
      <c r="HP941" s="2406"/>
      <c r="HQ941" s="2406"/>
      <c r="HR941" s="2406"/>
      <c r="HS941" s="2406"/>
      <c r="HT941" s="2406"/>
      <c r="HU941" s="2406"/>
      <c r="HV941" s="2406"/>
      <c r="HW941" s="2406"/>
      <c r="HX941" s="2406"/>
      <c r="HY941" s="2406"/>
      <c r="HZ941" s="2402"/>
      <c r="IA941" s="2408" t="s">
        <v>3618</v>
      </c>
      <c r="IB941" s="2409">
        <f>IB932-(-IB852-IB856-IB883-IB895-IB902-IB909-IB914)</f>
        <v>-3.9664374692457542</v>
      </c>
      <c r="IC941" s="2409">
        <f>IC932-(-IC852-IC856-IC883-IC895-IC902-IC909-IC914)</f>
        <v>-229.70450340340332</v>
      </c>
      <c r="ID941" s="2402"/>
      <c r="IE941" s="2409">
        <f>IE932-(-IE852-IE856-IE883-IE895-IE902-IE909-IE914)</f>
        <v>-94.929270119342448</v>
      </c>
      <c r="IF941" s="2409">
        <f>IF932-(-IF852-IF856-IF883-IF895-IF902-IF909-IF914)</f>
        <v>-173.36329371988563</v>
      </c>
      <c r="IG941" s="2402"/>
      <c r="IH941" s="2409">
        <f>IH932-(-IH852-IH856-IH883-IH895-IH902-IH909-IH914)</f>
        <v>-141.09740245957931</v>
      </c>
      <c r="II941" s="2409">
        <f>II932-(-II852-II856-II883-II895-II902-II909-II914)</f>
        <v>-131.96793656964815</v>
      </c>
      <c r="IJ941" s="2402"/>
      <c r="IK941" s="2409">
        <f>IK932-(-IK852-IK856-IK883-IK895-IK902-IK909-IK914)</f>
        <v>-215.87032761742483</v>
      </c>
      <c r="IL941" s="2409">
        <f>IL932-(-IL852-IL856-IL883-IL895-IL902-IL909-IL914)</f>
        <v>-145.14038071751204</v>
      </c>
      <c r="IM941" s="2402"/>
      <c r="IN941" s="2409">
        <f>IN932-(-IN852-IN856-IN883-IN895-IN902-IN909-IN914)</f>
        <v>-185.43008937132726</v>
      </c>
      <c r="IO941" s="2409">
        <f>IO932-(-IO852-IO856-IO883-IO895-IO902-IO909-IO914)</f>
        <v>-207.72034491629853</v>
      </c>
      <c r="IP941" s="2402"/>
      <c r="IQ941" s="2409">
        <f>IQ932-(-IQ852-IQ856-IQ883-IQ895-IQ902-IQ909-IQ914)</f>
        <v>-106.17722628301766</v>
      </c>
      <c r="IR941" s="2409">
        <f>IR932-(-IR852-IR856-IR883-IR895-IR902-IR909-IR914)</f>
        <v>-440.30571851962924</v>
      </c>
      <c r="IS941" s="2402"/>
      <c r="IT941" s="2409">
        <f>IT932-(-IT852-IT856-IT883-IT895-IT902-IT909-IT914)</f>
        <v>-379.62837648187633</v>
      </c>
      <c r="IU941" s="2409">
        <f>IU932-(-IU852-IU856-IU883-IU895-IU902-IU909-IU914)</f>
        <v>-465.28699830525687</v>
      </c>
      <c r="IV941" s="2402"/>
      <c r="IW941" s="2409">
        <f>IW932-(-IW852-IW856-IW883-IW895-IW902-IW909-IW914)</f>
        <v>-467.05108496888982</v>
      </c>
      <c r="IX941" s="2409">
        <f>IX932-(-IX852-IX856-IX883-IX895-IX902-IX909-IX914)</f>
        <v>-364.41545007756912</v>
      </c>
      <c r="IY941" s="2402">
        <f t="shared" si="1621"/>
        <v>-831.46653504645894</v>
      </c>
      <c r="IZ941" s="2402">
        <f t="shared" si="1921"/>
        <v>0</v>
      </c>
      <c r="JA941" s="2402">
        <f t="shared" si="1922"/>
        <v>0</v>
      </c>
      <c r="JB941" s="2402">
        <f t="shared" si="1823"/>
        <v>0</v>
      </c>
      <c r="JC941" s="2402">
        <f t="shared" si="1923"/>
        <v>0</v>
      </c>
      <c r="JD941" s="2402">
        <f t="shared" si="1924"/>
        <v>0</v>
      </c>
      <c r="JE941" s="2402">
        <f t="shared" si="1912"/>
        <v>0</v>
      </c>
      <c r="JF941" s="2402">
        <f>JF932-(-JF852-JF856-JF883-JF895-JF902-JF909-JF914)</f>
        <v>-427.844641527134</v>
      </c>
      <c r="JG941" s="2402">
        <f>JG932-(-JG852-JG856-JG883-JG895-JG902-JG909-JG914)</f>
        <v>-799.16632291869826</v>
      </c>
      <c r="JH941" s="2402">
        <f t="shared" si="1703"/>
        <v>-1227.0109644458323</v>
      </c>
      <c r="JI941" s="2402">
        <f>JI932-(-JI852-JI856-JI883-JI895-JI902-JI909-JI914)</f>
        <v>-608.05277366329858</v>
      </c>
      <c r="JJ941" s="2409">
        <f t="shared" si="1871"/>
        <v>0</v>
      </c>
      <c r="JK941" s="323">
        <f t="shared" si="1683"/>
        <v>-608.05277366329858</v>
      </c>
      <c r="JL941" s="2409">
        <f t="shared" si="1704"/>
        <v>0</v>
      </c>
      <c r="JM941" s="2409">
        <f>JM932-(-JM852-JM856-JM883-JM895-JM902-JM909-JM914)</f>
        <v>-692.9965998515695</v>
      </c>
      <c r="JN941" s="323">
        <f>FISC!AK1262</f>
        <v>-852.04733660805266</v>
      </c>
      <c r="JO941" s="2409">
        <f>JO932-(-JO852-JO856-JO883-JO895-JO902-JO909-JO914)</f>
        <v>-1064.9867815434507</v>
      </c>
      <c r="JP941" s="2409">
        <f>JP932-(-JP852-JP856-JP883-JP895-JP902-JP909-JP914)</f>
        <v>-337.38838029998954</v>
      </c>
      <c r="JQ941" s="323">
        <f>FISC!AL1262</f>
        <v>-931.62564888918087</v>
      </c>
      <c r="JR941" s="2409">
        <f>JR932-(-JR852-JR856-JR883-JR895-JR902-JR909-JR914)</f>
        <v>-1121.7490350372277</v>
      </c>
      <c r="JS941" s="2409">
        <f>JS932-(-JS852-JS856-JS883-JS895-JS902-JS909-JS914)</f>
        <v>-233.1818251062717</v>
      </c>
      <c r="JT941" s="323">
        <f>FISC!AM1262</f>
        <v>-979.61704656306256</v>
      </c>
      <c r="JU941" s="2409">
        <f>JU932-(-JU852-JU856-JU883-JU895-JU902-JU909-JU914)</f>
        <v>-826.06185068393302</v>
      </c>
      <c r="JV941" s="2409">
        <f>JV932-(-JV852-JV856-JV883-JV895-JV902-JV909-JV914)</f>
        <v>-164.68905337799251</v>
      </c>
      <c r="JW941" s="323">
        <f>FISC!AN1262</f>
        <v>-950.85975874297935</v>
      </c>
      <c r="JX941" s="2409">
        <f>JX932-(-JX852-JX856-JX883-JX895-JX902-JX909-JX914)</f>
        <v>-945.78591343466178</v>
      </c>
      <c r="JY941" s="2409">
        <f>JY932-(-JY852-JY856-JY883-JY895-JY902-JY909-JY914)</f>
        <v>-180.86432653289168</v>
      </c>
      <c r="JZ941" s="323">
        <f>FISC!AO1262</f>
        <v>-1089.7890961937192</v>
      </c>
      <c r="KA941" s="2409">
        <f>KA932-(-KA852-KA856-KA883-KA895-KA902-KA909-KA914)</f>
        <v>-1191.5699320710123</v>
      </c>
      <c r="KB941" s="2409">
        <f>KB932-(-KB852-KB856-KB883-KB895-KB902-KB909-KB914)</f>
        <v>-205.15794767372751</v>
      </c>
      <c r="KC941" s="323">
        <f>FISC!AP1262</f>
        <v>-1396.72787974474</v>
      </c>
      <c r="KD941" s="2409">
        <f>KD932-(-KD852-KD856-KD883-KD895-KD902-KD909-KD914)</f>
        <v>-917.82188999997345</v>
      </c>
      <c r="KE941" s="2409">
        <f>KE932-(-KE852-KE856-KE883-KE895-KE902-KE909-KE914)</f>
        <v>-756.39356215275586</v>
      </c>
      <c r="KF941" s="323">
        <f>FISC!AQ1262</f>
        <v>-1674.2154521527293</v>
      </c>
      <c r="KG941" s="2409">
        <f>KG932-(-KG852-KG856-KG883-KG895-KG902-KG909-KG914)</f>
        <v>-1243.5087902784524</v>
      </c>
      <c r="KH941" s="2409">
        <f>KH932-(-KH852-KH856-KH883-KH895-KH902-KH909-KH914)</f>
        <v>-372.23431190026196</v>
      </c>
      <c r="KI941" s="323">
        <f>FISC!AR1262</f>
        <v>-1615.7431021787145</v>
      </c>
      <c r="KJ941" s="2409">
        <f>KJ932-(-KJ852-KJ856-KJ883-KJ895-KJ902-KJ909-KJ914)</f>
        <v>-1668.4913363574551</v>
      </c>
      <c r="KK941" s="2409">
        <f>KK932-(-KK852-KK856-KK883-KK895-KK902-KK909-KK914)</f>
        <v>-556.35984138849574</v>
      </c>
      <c r="KL941" s="323">
        <f>FISC!AS1262</f>
        <v>-2224.8511777459507</v>
      </c>
      <c r="KM941" s="2409">
        <f>KM932-(-KM852-KM856-KM883-KM895-KM902-KM909-KM914)</f>
        <v>-2033.66360566095</v>
      </c>
      <c r="KN941" s="2409">
        <f>KN932-(-KN852-KN856-KN883-KN895-KN902-KN909-KN914)</f>
        <v>-710.84013935336554</v>
      </c>
      <c r="KO941" s="323">
        <f>FISC!AT1262</f>
        <v>-2744.5037450143154</v>
      </c>
      <c r="KU941" s="2402"/>
      <c r="KV941" s="2402"/>
    </row>
    <row r="942" spans="1:308" s="2399" customFormat="1">
      <c r="B942" s="2400"/>
      <c r="C942" s="2400"/>
      <c r="D942" s="2408" t="s">
        <v>3175</v>
      </c>
      <c r="E942" s="2402"/>
      <c r="F942" s="2402"/>
      <c r="G942" s="2402"/>
      <c r="H942" s="2402"/>
      <c r="I942" s="2402"/>
      <c r="J942" s="2402"/>
      <c r="K942" s="2402"/>
      <c r="L942" s="2402"/>
      <c r="M942" s="2402"/>
      <c r="N942" s="2402"/>
      <c r="O942" s="2402"/>
      <c r="P942" s="2402"/>
      <c r="Q942" s="2402"/>
      <c r="R942" s="2402"/>
      <c r="S942" s="2402"/>
      <c r="T942" s="2402"/>
      <c r="U942" s="2402"/>
      <c r="V942" s="2402"/>
      <c r="W942" s="2402"/>
      <c r="X942" s="2402"/>
      <c r="Y942" s="2402"/>
      <c r="Z942" s="2402"/>
      <c r="AA942" s="2402"/>
      <c r="AB942" s="2402"/>
      <c r="AC942" s="2402"/>
      <c r="AD942" s="2402"/>
      <c r="AE942" s="2402"/>
      <c r="AF942" s="2402"/>
      <c r="AG942" s="2402"/>
      <c r="AH942" s="2402"/>
      <c r="AI942" s="2402"/>
      <c r="AJ942" s="2402"/>
      <c r="AK942" s="2402"/>
      <c r="AL942" s="2402"/>
      <c r="AM942" s="2402"/>
      <c r="AN942" s="2402"/>
      <c r="AO942" s="2402"/>
      <c r="AP942" s="2402"/>
      <c r="AQ942" s="2402"/>
      <c r="AR942" s="2402"/>
      <c r="AS942" s="2402"/>
      <c r="AT942" s="2402"/>
      <c r="AU942" s="2402"/>
      <c r="AV942" s="2402"/>
      <c r="AW942" s="2402"/>
      <c r="AX942" s="2402"/>
      <c r="AY942" s="2402"/>
      <c r="AZ942" s="2402"/>
      <c r="BA942" s="2402"/>
      <c r="BB942" s="2402"/>
      <c r="BC942" s="2402"/>
      <c r="BD942" s="2402"/>
      <c r="BE942" s="2402"/>
      <c r="BF942" s="2402"/>
      <c r="BG942" s="2402"/>
      <c r="BH942" s="2402"/>
      <c r="BI942" s="2402"/>
      <c r="BJ942" s="2402"/>
      <c r="BK942" s="2402"/>
      <c r="BL942" s="2402"/>
      <c r="BM942" s="2402"/>
      <c r="BN942" s="2402"/>
      <c r="BO942" s="2402"/>
      <c r="BP942" s="2402"/>
      <c r="BQ942" s="2402"/>
      <c r="BR942" s="2402"/>
      <c r="BS942" s="2402"/>
      <c r="BT942" s="2402"/>
      <c r="BU942" s="2402"/>
      <c r="BV942" s="2402"/>
      <c r="BW942" s="2402"/>
      <c r="BX942" s="2402"/>
      <c r="BY942" s="2402"/>
      <c r="BZ942" s="2402"/>
      <c r="CA942" s="2402"/>
      <c r="CB942" s="2402"/>
      <c r="CC942" s="2402"/>
      <c r="CD942" s="2403"/>
      <c r="CE942" s="2402"/>
      <c r="CF942" s="2402"/>
      <c r="CG942" s="2402"/>
      <c r="CH942" s="2402"/>
      <c r="CI942" s="2402"/>
      <c r="CJ942" s="2402"/>
      <c r="CK942" s="2402"/>
      <c r="CL942" s="2402"/>
      <c r="CM942" s="2402"/>
      <c r="CN942" s="2402"/>
      <c r="CO942" s="2402"/>
      <c r="CP942" s="2404"/>
      <c r="CQ942" s="2402"/>
      <c r="CR942" s="2402"/>
      <c r="CS942" s="2402"/>
      <c r="CT942" s="2402"/>
      <c r="CU942" s="2402"/>
      <c r="CV942" s="2402"/>
      <c r="CW942" s="2402"/>
      <c r="CX942" s="2402"/>
      <c r="CY942" s="2402"/>
      <c r="CZ942" s="2402"/>
      <c r="DA942" s="2402"/>
      <c r="DB942" s="2405"/>
      <c r="DC942" s="2402"/>
      <c r="DD942" s="2402"/>
      <c r="DE942" s="2402"/>
      <c r="DF942" s="2402"/>
      <c r="DG942" s="2402"/>
      <c r="DH942" s="2402"/>
      <c r="DI942" s="2402"/>
      <c r="DJ942" s="2402"/>
      <c r="DK942" s="2402"/>
      <c r="DL942" s="2402"/>
      <c r="DM942" s="2402"/>
      <c r="DN942" s="2404"/>
      <c r="DO942" s="2402"/>
      <c r="DP942" s="2402"/>
      <c r="DQ942" s="2402"/>
      <c r="DR942" s="2402"/>
      <c r="DS942" s="2402"/>
      <c r="DT942" s="2402"/>
      <c r="DU942" s="2402"/>
      <c r="DV942" s="2402"/>
      <c r="DW942" s="2402"/>
      <c r="DX942" s="2402"/>
      <c r="DY942" s="2402"/>
      <c r="DZ942" s="2404"/>
      <c r="EA942" s="2402"/>
      <c r="EB942" s="2402"/>
      <c r="EC942" s="2402"/>
      <c r="ED942" s="2402"/>
      <c r="EE942" s="2402"/>
      <c r="EF942" s="2402"/>
      <c r="EG942" s="2402"/>
      <c r="EH942" s="2402"/>
      <c r="EI942" s="2402"/>
      <c r="EJ942" s="2402"/>
      <c r="EK942" s="2402"/>
      <c r="EL942" s="2404"/>
      <c r="EM942" s="2402"/>
      <c r="EN942" s="2402"/>
      <c r="EO942" s="2402"/>
      <c r="EP942" s="2402"/>
      <c r="EQ942" s="2402"/>
      <c r="ER942" s="2402"/>
      <c r="ES942" s="2402"/>
      <c r="ET942" s="2402"/>
      <c r="EU942" s="2402"/>
      <c r="EV942" s="2402"/>
      <c r="EW942" s="2402"/>
      <c r="EX942" s="2404"/>
      <c r="EY942" s="2402"/>
      <c r="EZ942" s="2402"/>
      <c r="FA942" s="2402"/>
      <c r="FB942" s="2402"/>
      <c r="FC942" s="2402"/>
      <c r="FD942" s="2402"/>
      <c r="FE942" s="2402"/>
      <c r="FF942" s="2402"/>
      <c r="FG942" s="2402"/>
      <c r="FH942" s="2402"/>
      <c r="FI942" s="2402"/>
      <c r="FJ942" s="2404"/>
      <c r="FK942" s="2402"/>
      <c r="FL942" s="2402"/>
      <c r="FM942" s="2402"/>
      <c r="FN942" s="2402"/>
      <c r="FO942" s="2402"/>
      <c r="FP942" s="2402"/>
      <c r="FQ942" s="2402"/>
      <c r="FR942" s="2402"/>
      <c r="FS942" s="2402"/>
      <c r="FT942" s="2402"/>
      <c r="FU942" s="2402"/>
      <c r="FV942" s="2402"/>
      <c r="FW942" s="2402"/>
      <c r="FX942" s="2402"/>
      <c r="FY942" s="2402"/>
      <c r="FZ942" s="2402"/>
      <c r="GA942" s="2402"/>
      <c r="GB942" s="2402"/>
      <c r="GC942" s="2406"/>
      <c r="GD942" s="2406"/>
      <c r="GE942" s="2406"/>
      <c r="GF942" s="2406"/>
      <c r="GG942" s="2406"/>
      <c r="GH942" s="2406"/>
      <c r="GI942" s="2407"/>
      <c r="GJ942" s="2406"/>
      <c r="GK942" s="2406"/>
      <c r="GL942" s="2406"/>
      <c r="GM942" s="2406"/>
      <c r="GN942" s="2406"/>
      <c r="GO942" s="2406"/>
      <c r="GP942" s="2406"/>
      <c r="GQ942" s="2406"/>
      <c r="GR942" s="2406"/>
      <c r="GS942" s="2406"/>
      <c r="GT942" s="2406"/>
      <c r="GU942" s="2406"/>
      <c r="GV942" s="2406"/>
      <c r="GW942" s="2406"/>
      <c r="GX942" s="2406"/>
      <c r="GY942" s="2406"/>
      <c r="GZ942" s="2406"/>
      <c r="HA942" s="2406"/>
      <c r="HB942" s="2406"/>
      <c r="HC942" s="2406"/>
      <c r="HD942" s="2406"/>
      <c r="HE942" s="2406"/>
      <c r="HF942" s="2406"/>
      <c r="HG942" s="2406"/>
      <c r="HH942" s="2406"/>
      <c r="HI942" s="2406"/>
      <c r="HJ942" s="2406"/>
      <c r="HK942" s="2406"/>
      <c r="HL942" s="2406"/>
      <c r="HM942" s="2406"/>
      <c r="HN942" s="2406"/>
      <c r="HO942" s="2406"/>
      <c r="HP942" s="2406"/>
      <c r="HQ942" s="2406"/>
      <c r="HR942" s="2406"/>
      <c r="HS942" s="2406"/>
      <c r="HT942" s="2406"/>
      <c r="HU942" s="2406"/>
      <c r="HV942" s="2406"/>
      <c r="HW942" s="2406"/>
      <c r="HX942" s="2406"/>
      <c r="HY942" s="2406"/>
      <c r="HZ942" s="2402"/>
      <c r="IA942" s="2408" t="s">
        <v>3621</v>
      </c>
      <c r="IB942" s="2409">
        <f>IB932-(-IB857-IB973)</f>
        <v>-3.9664374692457542</v>
      </c>
      <c r="IC942" s="2409">
        <f>IC932-(-IC857-IC973)</f>
        <v>-229.70450340340332</v>
      </c>
      <c r="ID942" s="2402"/>
      <c r="IE942" s="2409">
        <f>IE932-(-IE857-IE973)</f>
        <v>-94.929270119342448</v>
      </c>
      <c r="IF942" s="2409">
        <f>IF932-(-IF857-IF973)</f>
        <v>-173.36329371988563</v>
      </c>
      <c r="IG942" s="2402"/>
      <c r="IH942" s="2409">
        <f>IH932-(-IH857-IH973)</f>
        <v>-141.09740245957931</v>
      </c>
      <c r="II942" s="2409">
        <f>II932-(-II857-II973)</f>
        <v>-131.96793656964815</v>
      </c>
      <c r="IJ942" s="2402"/>
      <c r="IK942" s="2409">
        <f>IK932-(-IK857-IK973)</f>
        <v>-215.87032761742483</v>
      </c>
      <c r="IL942" s="2409">
        <f>IL932-(-IL857-IL973)</f>
        <v>-145.14038071751204</v>
      </c>
      <c r="IM942" s="2402"/>
      <c r="IN942" s="2409">
        <f>IN932-(-IN857-IN973)</f>
        <v>-185.43008937132726</v>
      </c>
      <c r="IO942" s="2409">
        <f>IO932-(-IO857-IO973)</f>
        <v>-207.72034491629853</v>
      </c>
      <c r="IP942" s="2402"/>
      <c r="IQ942" s="2409">
        <f>IQ932-(-IQ857-IQ973)</f>
        <v>-106.17722628301766</v>
      </c>
      <c r="IR942" s="2409">
        <f>IR932-(-IR857-IR973)</f>
        <v>-440.30571851962924</v>
      </c>
      <c r="IS942" s="2402"/>
      <c r="IT942" s="2409">
        <f>IT932-(-IT857-IT973)</f>
        <v>-379.62837648187633</v>
      </c>
      <c r="IU942" s="2409">
        <f>IU932-(-IU857-IU973)</f>
        <v>-465.28699830525687</v>
      </c>
      <c r="IV942" s="2402"/>
      <c r="IW942" s="2409">
        <f>IW932-(-IW857-IW973)</f>
        <v>-521.27056812395722</v>
      </c>
      <c r="IX942" s="2409">
        <f>IX932-(-IX857-IX973)</f>
        <v>-364.41545007756912</v>
      </c>
      <c r="IY942" s="2402">
        <f t="shared" si="1621"/>
        <v>-885.68601820152639</v>
      </c>
      <c r="IZ942" s="2402">
        <f t="shared" si="1921"/>
        <v>0</v>
      </c>
      <c r="JA942" s="2402">
        <f t="shared" si="1922"/>
        <v>0</v>
      </c>
      <c r="JB942" s="2402">
        <f t="shared" si="1823"/>
        <v>0</v>
      </c>
      <c r="JC942" s="2402">
        <f t="shared" si="1923"/>
        <v>0</v>
      </c>
      <c r="JD942" s="2402">
        <f t="shared" si="1924"/>
        <v>0</v>
      </c>
      <c r="JE942" s="2402">
        <f t="shared" si="1912"/>
        <v>0</v>
      </c>
      <c r="JF942" s="2402">
        <f>JF932-(-JF857-JF974)</f>
        <v>-408.844641527134</v>
      </c>
      <c r="JG942" s="2402">
        <f>JG932-(-JG857-JG974)</f>
        <v>-773.06632291869823</v>
      </c>
      <c r="JH942" s="2402">
        <f t="shared" si="1703"/>
        <v>-1181.9109644458322</v>
      </c>
      <c r="JI942" s="2402">
        <f>JI932-(-JI857-JI974)</f>
        <v>-570.01551139964158</v>
      </c>
      <c r="JJ942" s="2409">
        <f t="shared" si="1871"/>
        <v>0</v>
      </c>
      <c r="JK942" s="323">
        <f t="shared" si="1683"/>
        <v>-570.01551139964158</v>
      </c>
      <c r="JL942" s="2409">
        <f t="shared" si="1704"/>
        <v>0</v>
      </c>
      <c r="JM942" s="2409">
        <f>JM932-(-JM857-JM974)</f>
        <v>-725.21675785138189</v>
      </c>
      <c r="JN942" s="323">
        <f>FISC!AK1263</f>
        <v>-780.09214624399044</v>
      </c>
      <c r="JO942" s="2409">
        <f>JO932-(-JO857-JO974)</f>
        <v>-1103.4182741270236</v>
      </c>
      <c r="JP942" s="2409">
        <f>JP932-(-JP857-JP974)</f>
        <v>-368.83232877745814</v>
      </c>
      <c r="JQ942" s="323">
        <f>FISC!AL1263</f>
        <v>-876.70373963683255</v>
      </c>
      <c r="JR942" s="2409">
        <f>JR932-(-JR857-JR974)</f>
        <v>-1170.9607780135348</v>
      </c>
      <c r="JS942" s="2409">
        <f>JS932-(-JS857-JS974)</f>
        <v>-273.44597845052294</v>
      </c>
      <c r="JT942" s="323">
        <f>FISC!AM1263</f>
        <v>-861.63403136700981</v>
      </c>
      <c r="JU942" s="2409">
        <f>JU932-(-JU857-JU974)</f>
        <v>-885.70554248421968</v>
      </c>
      <c r="JV942" s="2409">
        <f>JV932-(-JV857-JV974)</f>
        <v>-213.48843757822704</v>
      </c>
      <c r="JW942" s="323">
        <f>FISC!AN1263</f>
        <v>-735.02222822793681</v>
      </c>
      <c r="JX942" s="2409">
        <f>JX932-(-JX857-JX974)</f>
        <v>-1015.6042973826743</v>
      </c>
      <c r="JY942" s="2409">
        <f>JY932-(-JY857-JY974)</f>
        <v>-237.98845885399285</v>
      </c>
      <c r="JZ942" s="323">
        <f>FISC!AO1263</f>
        <v>-845.34255034903208</v>
      </c>
      <c r="KA942" s="2409">
        <f>KA932-(-KA857-KA974)</f>
        <v>-1191.5699320710123</v>
      </c>
      <c r="KB942" s="2409">
        <f>KB932-(-KB857-KB974)</f>
        <v>-205.15794767372751</v>
      </c>
      <c r="KC942" s="323">
        <f>FISC!AP1263</f>
        <v>-1396.72787974474</v>
      </c>
      <c r="KD942" s="2409">
        <f>KD932-(-KD857-KD974)</f>
        <v>-917.82188999997345</v>
      </c>
      <c r="KE942" s="2409">
        <f>KE932-(-KE857-KE974)</f>
        <v>-756.39356215275586</v>
      </c>
      <c r="KF942" s="323">
        <f>FISC!AQ1263</f>
        <v>-1674.2154521527293</v>
      </c>
      <c r="KG942" s="2409">
        <f>KG932-(-KG857-KG974)</f>
        <v>-1243.5087902784524</v>
      </c>
      <c r="KH942" s="2409">
        <f>KH932-(-KH857-KH974)</f>
        <v>-372.23431190026196</v>
      </c>
      <c r="KI942" s="323">
        <f>FISC!AR1263</f>
        <v>-1615.7431021787145</v>
      </c>
      <c r="KJ942" s="2409">
        <f>KJ932-(-KJ857-KJ974)</f>
        <v>-1668.4913363574551</v>
      </c>
      <c r="KK942" s="2409">
        <f>KK932-(-KK857-KK974)</f>
        <v>-556.35984138849574</v>
      </c>
      <c r="KL942" s="323">
        <f>FISC!AS1263</f>
        <v>-2224.8511777459507</v>
      </c>
      <c r="KM942" s="2409">
        <f>KM932-(-KM857-KM974)</f>
        <v>-2033.66360566095</v>
      </c>
      <c r="KN942" s="2409">
        <f>KN932-(-KN857-KN974)</f>
        <v>-710.84013935336554</v>
      </c>
      <c r="KO942" s="323">
        <f>FISC!AT1263</f>
        <v>-2744.5037450143154</v>
      </c>
      <c r="KU942" s="2402"/>
      <c r="KV942" s="2402"/>
    </row>
    <row r="943" spans="1:308" ht="15.3" thickBot="1">
      <c r="A943" s="279"/>
      <c r="D943" s="1503" t="s">
        <v>3154</v>
      </c>
      <c r="E943" s="323"/>
      <c r="F943" s="323"/>
      <c r="G943" s="323"/>
      <c r="H943" s="323"/>
      <c r="I943" s="323"/>
      <c r="J943" s="323"/>
      <c r="K943" s="323"/>
      <c r="L943" s="323"/>
      <c r="M943" s="323"/>
      <c r="N943" s="323"/>
      <c r="O943" s="323"/>
      <c r="P943" s="323"/>
      <c r="Q943" s="323"/>
      <c r="R943" s="323"/>
      <c r="S943" s="323"/>
      <c r="T943" s="323"/>
      <c r="U943" s="323"/>
      <c r="V943" s="323"/>
      <c r="W943" s="323"/>
      <c r="X943" s="323"/>
      <c r="Y943" s="323"/>
      <c r="Z943" s="323"/>
      <c r="AA943" s="323"/>
      <c r="AB943" s="323"/>
      <c r="AC943" s="323"/>
      <c r="AD943" s="323"/>
      <c r="AE943" s="323"/>
      <c r="AF943" s="323"/>
      <c r="AG943" s="323"/>
      <c r="AH943" s="323"/>
      <c r="AI943" s="323"/>
      <c r="AJ943" s="323"/>
      <c r="AK943" s="323"/>
      <c r="AL943" s="323"/>
      <c r="AM943" s="323"/>
      <c r="AN943" s="323"/>
      <c r="AO943" s="323"/>
      <c r="AP943" s="323"/>
      <c r="AQ943" s="323"/>
      <c r="AR943" s="323"/>
      <c r="AS943" s="323"/>
      <c r="AT943" s="323"/>
      <c r="AU943" s="323"/>
      <c r="AV943" s="323"/>
      <c r="AW943" s="323"/>
      <c r="AX943" s="323"/>
      <c r="AY943" s="323"/>
      <c r="AZ943" s="323"/>
      <c r="BA943" s="323"/>
      <c r="BB943" s="323"/>
      <c r="BC943" s="323"/>
      <c r="BD943" s="323"/>
      <c r="BE943" s="323"/>
      <c r="BF943" s="323"/>
      <c r="BG943" s="323"/>
      <c r="BH943" s="323"/>
      <c r="BI943" s="323"/>
      <c r="BJ943" s="323"/>
      <c r="BK943" s="323"/>
      <c r="BL943" s="323"/>
      <c r="BM943" s="323"/>
      <c r="BN943" s="323"/>
      <c r="BO943" s="323"/>
      <c r="BP943" s="323"/>
      <c r="BQ943" s="323"/>
      <c r="BR943" s="323"/>
      <c r="BS943" s="323"/>
      <c r="BT943" s="323"/>
      <c r="BU943" s="323"/>
      <c r="BV943" s="323"/>
      <c r="BW943" s="323"/>
      <c r="BX943" s="323"/>
      <c r="BY943" s="323"/>
      <c r="BZ943" s="323"/>
      <c r="CA943" s="323"/>
      <c r="CB943" s="323"/>
      <c r="CC943" s="323"/>
      <c r="CD943" s="329"/>
      <c r="CE943" s="323"/>
      <c r="CF943" s="323"/>
      <c r="CG943" s="323"/>
      <c r="CH943" s="323"/>
      <c r="CI943" s="323"/>
      <c r="CJ943" s="323"/>
      <c r="CK943" s="323"/>
      <c r="CL943" s="323"/>
      <c r="CM943" s="323"/>
      <c r="CN943" s="323"/>
      <c r="CO943" s="323"/>
      <c r="CP943" s="325"/>
      <c r="CQ943" s="323"/>
      <c r="CR943" s="323"/>
      <c r="CS943" s="323"/>
      <c r="CT943" s="323"/>
      <c r="CU943" s="323"/>
      <c r="CV943" s="323"/>
      <c r="CW943" s="323"/>
      <c r="CX943" s="323"/>
      <c r="CY943" s="323"/>
      <c r="CZ943" s="323"/>
      <c r="DA943" s="323"/>
      <c r="DB943" s="1269"/>
      <c r="DC943" s="323"/>
      <c r="DD943" s="323"/>
      <c r="DE943" s="323"/>
      <c r="DF943" s="323"/>
      <c r="DG943" s="323"/>
      <c r="DH943" s="323"/>
      <c r="DI943" s="323"/>
      <c r="DJ943" s="323"/>
      <c r="DK943" s="323"/>
      <c r="DL943" s="323"/>
      <c r="DM943" s="323"/>
      <c r="DN943" s="325"/>
      <c r="DO943" s="323"/>
      <c r="DP943" s="323"/>
      <c r="DQ943" s="323"/>
      <c r="DR943" s="323"/>
      <c r="DS943" s="323"/>
      <c r="DT943" s="323"/>
      <c r="DU943" s="323"/>
      <c r="DV943" s="323"/>
      <c r="DW943" s="323"/>
      <c r="DX943" s="323"/>
      <c r="DY943" s="323"/>
      <c r="DZ943" s="325"/>
      <c r="EA943" s="323"/>
      <c r="EB943" s="323"/>
      <c r="EC943" s="323"/>
      <c r="ED943" s="323"/>
      <c r="EE943" s="323"/>
      <c r="EF943" s="323"/>
      <c r="EG943" s="323"/>
      <c r="EH943" s="323"/>
      <c r="EI943" s="323"/>
      <c r="EJ943" s="323"/>
      <c r="EK943" s="323"/>
      <c r="EL943" s="325"/>
      <c r="EM943" s="323"/>
      <c r="EN943" s="323"/>
      <c r="EO943" s="323"/>
      <c r="EP943" s="323"/>
      <c r="EQ943" s="323"/>
      <c r="ER943" s="323"/>
      <c r="ES943" s="323"/>
      <c r="ET943" s="323"/>
      <c r="EU943" s="323"/>
      <c r="EV943" s="323"/>
      <c r="EW943" s="323"/>
      <c r="EX943" s="325"/>
      <c r="EY943" s="323"/>
      <c r="EZ943" s="323"/>
      <c r="FA943" s="323"/>
      <c r="FB943" s="323"/>
      <c r="FC943" s="323"/>
      <c r="FD943" s="323"/>
      <c r="FE943" s="323"/>
      <c r="FF943" s="323"/>
      <c r="FG943" s="323"/>
      <c r="FH943" s="323"/>
      <c r="FI943" s="323"/>
      <c r="FJ943" s="325"/>
      <c r="FK943" s="323"/>
      <c r="FL943" s="323"/>
      <c r="FM943" s="323"/>
      <c r="FN943" s="323"/>
      <c r="FO943" s="323"/>
      <c r="FP943" s="323"/>
      <c r="FQ943" s="323"/>
      <c r="FR943" s="323"/>
      <c r="FS943" s="323"/>
      <c r="FT943" s="323"/>
      <c r="FU943" s="323"/>
      <c r="FV943" s="323"/>
      <c r="FW943" s="323"/>
      <c r="FX943" s="323"/>
      <c r="FY943" s="323"/>
      <c r="FZ943" s="323"/>
      <c r="GA943" s="323"/>
      <c r="GB943" s="323"/>
      <c r="GI943" s="1654"/>
      <c r="HZ943" s="326"/>
      <c r="IA943" s="1924" t="s">
        <v>3622</v>
      </c>
      <c r="IB943" s="1469">
        <f>IB932-IB840-(-IB860-IB968-IB971-IB852-IB856-IB883-IB895-IB902-IB909-IB914)</f>
        <v>-3.9664374692457542</v>
      </c>
      <c r="IC943" s="1469">
        <f>IC932-IC840-(-IC860-IC968-IC971-IC852-IC856-IC883-IC895-IC902-IC909-IC914)</f>
        <v>-229.70450340340332</v>
      </c>
      <c r="ID943" s="323"/>
      <c r="IE943" s="1469">
        <f>IE932-IE840-(-IE860-IE968-IE971-IE852-IE856-IE883-IE895-IE902-IE909-IE914)</f>
        <v>-94.929270119342448</v>
      </c>
      <c r="IF943" s="1469">
        <f>IF932-IF840-(-IF860-IF968-IF971-IF852-IF856-IF883-IF895-IF902-IF909-IF914)</f>
        <v>-173.36329371988563</v>
      </c>
      <c r="IG943" s="323"/>
      <c r="IH943" s="1469">
        <f>IH932-IH840-(-IH860-IH968-IH971-IH852-IH856-IH883-IH895-IH902-IH909-IH914)</f>
        <v>-141.09740245957931</v>
      </c>
      <c r="II943" s="1469">
        <f>II932-II840-(-II860-II968-II971-II852-II856-II883-II895-II902-II909-II914)</f>
        <v>-131.96793656964815</v>
      </c>
      <c r="IJ943" s="323"/>
      <c r="IK943" s="1469">
        <f>IK932-IK840-(-IK860-IK968-IK971-IK852-IK856-IK883-IK895-IK902-IK909-IK914)</f>
        <v>-215.87032761742483</v>
      </c>
      <c r="IL943" s="1469">
        <f>IL932-IL840-(-IL860-IL968-IL971-IL852-IL856-IL883-IL895-IL902-IL909-IL914)</f>
        <v>-145.14038071751204</v>
      </c>
      <c r="IM943" s="323"/>
      <c r="IN943" s="1469">
        <f>IN932-IN840-(-IN860-IN968-IN971-IN852-IN856-IN883-IN895-IN902-IN909-IN914)</f>
        <v>-185.43008937132726</v>
      </c>
      <c r="IO943" s="1469">
        <f>IO932-IO840-(-IO860-IO968-IO971-IO852-IO856-IO883-IO895-IO902-IO909-IO914)</f>
        <v>-207.72034491629853</v>
      </c>
      <c r="IP943" s="323"/>
      <c r="IQ943" s="1469">
        <f>IQ932-IQ840-(-IQ860-IQ968-IQ971-IQ852-IQ856-IQ883-IQ895-IQ902-IQ909-IQ914)</f>
        <v>-106.17722628301766</v>
      </c>
      <c r="IR943" s="1469">
        <f>IR932-IR840-(-IR860-IR968-IR971-IR852-IR856-IR883-IR895-IR902-IR909-IR914)</f>
        <v>-440.30571851962924</v>
      </c>
      <c r="IS943" s="323"/>
      <c r="IT943" s="1469">
        <f>IT932-IT840-(-IT860-IT968-IT971-IT852-IT856-IT883-IT895-IT902-IT909-IT914)</f>
        <v>-370.74665163487634</v>
      </c>
      <c r="IU943" s="1469">
        <f>IU932-IU840-(-IU860-IU968-IU971-IU852-IU856-IU883-IU895-IU902-IU909-IU914)</f>
        <v>-450.52115922025689</v>
      </c>
      <c r="IV943" s="323"/>
      <c r="IW943" s="1469">
        <f>IW932-IW840-(-IW860-IW968-IW971-IW852-IW856-IW883-IW895-IW902-IW909-IW914)</f>
        <v>-491.60177981833476</v>
      </c>
      <c r="IX943" s="1469">
        <f>IX932-IX840-(-IX860-IX968-IX971-IX852-IX856-IX883-IX895-IX902-IX909-IX914)</f>
        <v>-351.9032032025691</v>
      </c>
      <c r="IY943" s="323">
        <f t="shared" si="1621"/>
        <v>-843.50498302090386</v>
      </c>
      <c r="IZ943" s="327">
        <f t="shared" si="1921"/>
        <v>0</v>
      </c>
      <c r="JA943" s="327">
        <f t="shared" si="1922"/>
        <v>0</v>
      </c>
      <c r="JB943" s="323">
        <f t="shared" si="1823"/>
        <v>0</v>
      </c>
      <c r="JC943" s="327">
        <f t="shared" si="1923"/>
        <v>0</v>
      </c>
      <c r="JD943" s="327">
        <f t="shared" si="1924"/>
        <v>0</v>
      </c>
      <c r="JE943" s="323">
        <f t="shared" si="1912"/>
        <v>0</v>
      </c>
      <c r="JF943" s="327">
        <f>JF932-JF840-(-JF860-JF968-JF971-JF852-JF856-JF883-JF895-JF902-JF909-JF914)</f>
        <v>-410.11434259513396</v>
      </c>
      <c r="JG943" s="327">
        <f>JG932-JG840-(-JG860-JG968-JG971-JG852-JG856-JG883-JG895-JG902-JG909-JG914)</f>
        <v>-781.78081791569821</v>
      </c>
      <c r="JH943" s="323">
        <f t="shared" si="1703"/>
        <v>-1191.8951605108323</v>
      </c>
      <c r="JI943" s="327">
        <f>JI932-JI840-(-JI860-JI968-JI971-JI852-JI856-JI883-JI895-JI902-JI909-JI914)</f>
        <v>-590.75873769529858</v>
      </c>
      <c r="JJ943" s="1469">
        <f t="shared" si="1871"/>
        <v>0</v>
      </c>
      <c r="JK943" s="323">
        <f t="shared" si="1683"/>
        <v>-590.75873769529858</v>
      </c>
      <c r="JL943" s="1469">
        <f t="shared" si="1704"/>
        <v>0</v>
      </c>
      <c r="JM943" s="1469">
        <f>JM932-JM840-(-JM860-JM968-JM971-JM852-JM856-JM883-JM895-JM902-JM909-JM914)</f>
        <v>-650.12910830008309</v>
      </c>
      <c r="JN943" s="323">
        <f>FISC!AK1264</f>
        <v>-297.68769691946727</v>
      </c>
      <c r="JO943" s="1469">
        <f>JO932-JO840-(-JO860-JO968-JO971-JO852-JO856-JO883-JO895-JO902-JO909-JO914)</f>
        <v>-1048.7348600208238</v>
      </c>
      <c r="JP943" s="1469">
        <f>JP932-JP840-(-JP860-JP968-JP971-JP852-JP856-JP883-JP895-JP902-JP909-JP914)</f>
        <v>-321.13645877736269</v>
      </c>
      <c r="JQ943" s="323">
        <f>FISC!AL1264</f>
        <v>-141.86650258191025</v>
      </c>
      <c r="JR943" s="1469">
        <f>JR932-JR840-(-JR860-JR968-JR971-JR852-JR856-JR883-JR895-JR902-JR909-JR914)</f>
        <v>-1106.7288945472276</v>
      </c>
      <c r="JS943" s="1469">
        <f>JS932-JS840-(-JS860-JS968-JS971-JS852-JS856-JS883-JS895-JS902-JS909-JS914)</f>
        <v>-218.16168461627171</v>
      </c>
      <c r="JT943" s="323">
        <f>FISC!AM1264</f>
        <v>-29.720588240825691</v>
      </c>
      <c r="JU943" s="1469">
        <f>JU932-JU840-(-JU860-JU968-JU971-JU852-JU856-JU883-JU895-JU902-JU909-JU914)</f>
        <v>-811.64251581353301</v>
      </c>
      <c r="JV943" s="1469">
        <f>JV932-JV840-(-JV860-JV968-JV971-JV852-JV856-JV883-JV895-JV902-JV909-JV914)</f>
        <v>-149.06810726839248</v>
      </c>
      <c r="JW943" s="323">
        <f>FISC!AN1264</f>
        <v>295.56668996111489</v>
      </c>
      <c r="JX943" s="1469">
        <f>JX932-JX840-(-JX860-JX968-JX971-JX852-JX856-JX883-JX895-JX902-JX909-JX914)</f>
        <v>-931.91799615338164</v>
      </c>
      <c r="JY943" s="1469">
        <f>JY932-JY840-(-JY860-JY968-JY971-JY852-JY856-JY883-JY895-JY902-JY909-JY914)</f>
        <v>-165.84074947817166</v>
      </c>
      <c r="JZ943" s="323">
        <f>FISC!AO1264</f>
        <v>174.48212077964058</v>
      </c>
      <c r="KA943" s="1469">
        <f>KA932-KA840-(-KA860-KA968-KA971-KA852-KA856-KA883-KA895-KA902-KA909-KA914)</f>
        <v>-1186.9704313518125</v>
      </c>
      <c r="KB943" s="1469">
        <f>KB932-KB840-(-KB860-KB968-KB971-KB852-KB856-KB883-KB895-KB902-KB909-KB914)</f>
        <v>-200.17515522792752</v>
      </c>
      <c r="KC943" s="323">
        <f>FISC!AP1264</f>
        <v>-1387.14558657974</v>
      </c>
      <c r="KD943" s="1469">
        <f>KD932-KD840-(-KD860-KD968-KD971-KD852-KD856-KD883-KD895-KD902-KD909-KD914)</f>
        <v>-913.22238928077343</v>
      </c>
      <c r="KE943" s="1469">
        <f>KE932-KE840-(-KE860-KE968-KE971-KE852-KE856-KE883-KE895-KE902-KE909-KE914)</f>
        <v>-751.41076970695576</v>
      </c>
      <c r="KF943" s="323">
        <f>FISC!AQ1264</f>
        <v>-1664.6331589877291</v>
      </c>
      <c r="KG943" s="1469">
        <f>KG932-KG840-(-KG860-KG968-KG971-KG852-KG856-KG883-KG895-KG902-KG909-KG914)</f>
        <v>-1238.9092895592523</v>
      </c>
      <c r="KH943" s="1469">
        <f>KH932-KH840-(-KH860-KH968-KH971-KH852-KH856-KH883-KH895-KH902-KH909-KH914)</f>
        <v>-79.4783491364376</v>
      </c>
      <c r="KI943" s="323">
        <f>FISC!AR1264</f>
        <v>-1606.1608090137145</v>
      </c>
      <c r="KJ943" s="1469">
        <f>KJ932-KJ840-(-KJ860-KJ968-KJ971-KJ852-KJ856-KJ883-KJ895-KJ902-KJ909-KJ914)</f>
        <v>-1663.8918356382551</v>
      </c>
      <c r="KK943" s="1469">
        <f>KK932-KK840-(-KK860-KK968-KK971-KK852-KK856-KK883-KK895-KK902-KK909-KK914)</f>
        <v>-254.97068351513064</v>
      </c>
      <c r="KL943" s="323">
        <f>FISC!AS1264</f>
        <v>-2215.2688845809507</v>
      </c>
      <c r="KM943" s="1469">
        <f>KM932-KM840-(-KM860-KM968-KM971-KM852-KM856-KM883-KM895-KM902-KM909-KM914)</f>
        <v>-2029.06410494175</v>
      </c>
      <c r="KN943" s="1469">
        <f>KN932-KN840-(-KN860-KN968-KN971-KN852-KN856-KN883-KN895-KN902-KN909-KN914)</f>
        <v>-400.55879051717346</v>
      </c>
      <c r="KO943" s="323">
        <f>FISC!AT1264</f>
        <v>-2734.9214518493154</v>
      </c>
      <c r="KU943" s="326"/>
      <c r="KV943" s="327"/>
    </row>
    <row r="944" spans="1:308" ht="15.3" thickBot="1">
      <c r="A944" s="279"/>
      <c r="D944" s="1512" t="s">
        <v>3182</v>
      </c>
      <c r="E944" s="323"/>
      <c r="F944" s="323"/>
      <c r="G944" s="323"/>
      <c r="H944" s="323"/>
      <c r="I944" s="323"/>
      <c r="J944" s="323"/>
      <c r="K944" s="323"/>
      <c r="L944" s="323"/>
      <c r="M944" s="323"/>
      <c r="N944" s="323"/>
      <c r="O944" s="323"/>
      <c r="P944" s="323"/>
      <c r="Q944" s="323"/>
      <c r="R944" s="323"/>
      <c r="S944" s="323"/>
      <c r="T944" s="323"/>
      <c r="U944" s="323"/>
      <c r="V944" s="323"/>
      <c r="W944" s="323"/>
      <c r="X944" s="323"/>
      <c r="Y944" s="323"/>
      <c r="Z944" s="323"/>
      <c r="AA944" s="323"/>
      <c r="AB944" s="323"/>
      <c r="AC944" s="323"/>
      <c r="AD944" s="323"/>
      <c r="AE944" s="323"/>
      <c r="AF944" s="323"/>
      <c r="AG944" s="323"/>
      <c r="AH944" s="323"/>
      <c r="AI944" s="323"/>
      <c r="AJ944" s="323"/>
      <c r="AK944" s="323"/>
      <c r="AL944" s="323"/>
      <c r="AM944" s="323"/>
      <c r="AN944" s="323"/>
      <c r="AO944" s="323"/>
      <c r="AP944" s="323"/>
      <c r="AQ944" s="323"/>
      <c r="AR944" s="323"/>
      <c r="AS944" s="323"/>
      <c r="AT944" s="323"/>
      <c r="AU944" s="323"/>
      <c r="AV944" s="323"/>
      <c r="AW944" s="323"/>
      <c r="AX944" s="323"/>
      <c r="AY944" s="323"/>
      <c r="AZ944" s="323"/>
      <c r="BA944" s="323"/>
      <c r="BB944" s="323"/>
      <c r="BC944" s="323"/>
      <c r="BD944" s="323"/>
      <c r="BE944" s="323"/>
      <c r="BF944" s="323"/>
      <c r="BG944" s="323"/>
      <c r="BH944" s="323"/>
      <c r="BI944" s="323"/>
      <c r="BJ944" s="323"/>
      <c r="BK944" s="323"/>
      <c r="BL944" s="323"/>
      <c r="BM944" s="323"/>
      <c r="BN944" s="323"/>
      <c r="BO944" s="323"/>
      <c r="BP944" s="323"/>
      <c r="BQ944" s="323"/>
      <c r="BR944" s="323"/>
      <c r="BS944" s="323"/>
      <c r="BT944" s="323"/>
      <c r="BU944" s="323"/>
      <c r="BV944" s="323"/>
      <c r="BW944" s="323"/>
      <c r="BX944" s="323"/>
      <c r="BY944" s="323"/>
      <c r="BZ944" s="323"/>
      <c r="CA944" s="323"/>
      <c r="CB944" s="323"/>
      <c r="CC944" s="323"/>
      <c r="CD944" s="329"/>
      <c r="CE944" s="323"/>
      <c r="CF944" s="323"/>
      <c r="CG944" s="323"/>
      <c r="CH944" s="323"/>
      <c r="CI944" s="323"/>
      <c r="CJ944" s="323"/>
      <c r="CK944" s="323"/>
      <c r="CL944" s="323"/>
      <c r="CM944" s="323"/>
      <c r="CN944" s="323"/>
      <c r="CO944" s="323"/>
      <c r="CP944" s="325"/>
      <c r="CQ944" s="323"/>
      <c r="CR944" s="323"/>
      <c r="CS944" s="323"/>
      <c r="CT944" s="323"/>
      <c r="CU944" s="323"/>
      <c r="CV944" s="323"/>
      <c r="CW944" s="323"/>
      <c r="CX944" s="323"/>
      <c r="CY944" s="323"/>
      <c r="CZ944" s="323"/>
      <c r="DA944" s="323"/>
      <c r="DB944" s="1269"/>
      <c r="DC944" s="323"/>
      <c r="DD944" s="323"/>
      <c r="DE944" s="323"/>
      <c r="DF944" s="323"/>
      <c r="DG944" s="323"/>
      <c r="DH944" s="323"/>
      <c r="DI944" s="323"/>
      <c r="DJ944" s="323"/>
      <c r="DK944" s="323"/>
      <c r="DL944" s="323"/>
      <c r="DM944" s="323"/>
      <c r="DN944" s="325"/>
      <c r="DO944" s="323"/>
      <c r="DP944" s="323"/>
      <c r="DQ944" s="323"/>
      <c r="DR944" s="323"/>
      <c r="DS944" s="323"/>
      <c r="DT944" s="323"/>
      <c r="DU944" s="323"/>
      <c r="DV944" s="323"/>
      <c r="DW944" s="323"/>
      <c r="DX944" s="323"/>
      <c r="DY944" s="323"/>
      <c r="DZ944" s="325"/>
      <c r="EA944" s="323"/>
      <c r="EB944" s="323"/>
      <c r="EC944" s="323"/>
      <c r="ED944" s="323"/>
      <c r="EE944" s="323"/>
      <c r="EF944" s="323"/>
      <c r="EG944" s="323"/>
      <c r="EH944" s="323"/>
      <c r="EI944" s="323"/>
      <c r="EJ944" s="323"/>
      <c r="EK944" s="323"/>
      <c r="EL944" s="325"/>
      <c r="EM944" s="323"/>
      <c r="EN944" s="323"/>
      <c r="EO944" s="323"/>
      <c r="EP944" s="323"/>
      <c r="EQ944" s="323"/>
      <c r="ER944" s="323"/>
      <c r="ES944" s="323"/>
      <c r="ET944" s="323"/>
      <c r="EU944" s="323"/>
      <c r="EV944" s="323"/>
      <c r="EW944" s="323"/>
      <c r="EX944" s="325"/>
      <c r="EY944" s="323"/>
      <c r="EZ944" s="323"/>
      <c r="FA944" s="323"/>
      <c r="FB944" s="323"/>
      <c r="FC944" s="323"/>
      <c r="FD944" s="323"/>
      <c r="FE944" s="323"/>
      <c r="FF944" s="323"/>
      <c r="FG944" s="323"/>
      <c r="FH944" s="323"/>
      <c r="FI944" s="323"/>
      <c r="FJ944" s="325"/>
      <c r="FK944" s="323"/>
      <c r="FL944" s="323"/>
      <c r="FM944" s="323"/>
      <c r="FN944" s="323"/>
      <c r="FO944" s="323"/>
      <c r="FP944" s="323"/>
      <c r="FQ944" s="323"/>
      <c r="FR944" s="323"/>
      <c r="FS944" s="323"/>
      <c r="FT944" s="323"/>
      <c r="FU944" s="323"/>
      <c r="FV944" s="323"/>
      <c r="FW944" s="323"/>
      <c r="FX944" s="323"/>
      <c r="FY944" s="323"/>
      <c r="FZ944" s="323"/>
      <c r="GA944" s="323"/>
      <c r="GB944" s="323"/>
      <c r="GI944" s="1654"/>
      <c r="HZ944" s="326"/>
      <c r="IA944" s="1925" t="s">
        <v>3182</v>
      </c>
      <c r="IB944" s="284"/>
      <c r="ID944" s="323"/>
      <c r="IG944" s="323"/>
      <c r="IH944" s="284"/>
      <c r="IJ944" s="323"/>
      <c r="IK944" s="327"/>
      <c r="IM944" s="323"/>
      <c r="IN944" s="279">
        <f>+IN754-IN850-IN907-IN967-IN974</f>
        <v>-185.43008937132726</v>
      </c>
      <c r="IO944" s="279">
        <f>+IO754-IO850-IO907-IO967-IO974</f>
        <v>-207.72034491629853</v>
      </c>
      <c r="IP944" s="323"/>
      <c r="IQ944" s="279">
        <f>+IQ754-IQ850-IQ907-IQ967-IQ974</f>
        <v>-106.17722628301766</v>
      </c>
      <c r="IR944" s="279">
        <f>+IR754-IR850-IR907-IR967-IR974</f>
        <v>-440.30571851962924</v>
      </c>
      <c r="IS944" s="323"/>
      <c r="IT944" s="1514">
        <f>IT932-(-IT881-IT915-IT981)</f>
        <v>-379.62837648187633</v>
      </c>
      <c r="IU944" s="1514">
        <f>IU932-(-IU881-IU915-IU981)</f>
        <v>-465.28699830525687</v>
      </c>
      <c r="IV944" s="323"/>
      <c r="IW944" s="1514">
        <f>IW932-(-IW881-IW915-IW981)</f>
        <v>-521.27056812395722</v>
      </c>
      <c r="IX944" s="1514">
        <f>IX932-(-IX881-IX915-IX981)</f>
        <v>-364.41545007756912</v>
      </c>
      <c r="IY944" s="323">
        <f t="shared" si="1621"/>
        <v>-885.68601820152639</v>
      </c>
      <c r="IZ944" s="327">
        <f t="shared" si="1921"/>
        <v>0</v>
      </c>
      <c r="JA944" s="327">
        <f t="shared" si="1922"/>
        <v>0</v>
      </c>
      <c r="JB944" s="323">
        <f t="shared" si="1823"/>
        <v>0</v>
      </c>
      <c r="JC944" s="327">
        <f t="shared" si="1923"/>
        <v>0</v>
      </c>
      <c r="JD944" s="327">
        <f t="shared" si="1924"/>
        <v>0</v>
      </c>
      <c r="JE944" s="323">
        <f t="shared" si="1912"/>
        <v>0</v>
      </c>
      <c r="JF944" s="327">
        <f>JF932-(-JF881-JF915-JF981)</f>
        <v>-427.60583946013401</v>
      </c>
      <c r="JG944" s="327">
        <f>JG932-(-JG881-JG915-JG981)</f>
        <v>-798.76632291869828</v>
      </c>
      <c r="JH944" s="323">
        <f t="shared" si="1703"/>
        <v>-1226.3721623788324</v>
      </c>
      <c r="JI944" s="327">
        <f>JI932-(-JI881-JI915-JI981)</f>
        <v>-599.40174766329858</v>
      </c>
      <c r="JJ944" s="1514">
        <f t="shared" si="1871"/>
        <v>0</v>
      </c>
      <c r="JK944" s="323">
        <f t="shared" si="1683"/>
        <v>-599.40174766329858</v>
      </c>
      <c r="JL944" s="1514">
        <f t="shared" si="1704"/>
        <v>0</v>
      </c>
      <c r="JM944" s="1514">
        <f>JM932-(-JM881-JM915-JM981)</f>
        <v>-743.87096076488115</v>
      </c>
      <c r="JN944" s="323">
        <f>FISC!AK1265</f>
        <v>-1448.9645038884923</v>
      </c>
      <c r="JO944" s="1514">
        <f>JO932-(-JO881-JO915-JO981)</f>
        <v>-1098.4182741270236</v>
      </c>
      <c r="JP944" s="1514">
        <f>JP932-(-JP881-JP915-JP981)</f>
        <v>-368.83232877745814</v>
      </c>
      <c r="JQ944" s="323">
        <f>FISC!AL1265</f>
        <v>-1472.2506029044816</v>
      </c>
      <c r="JR944" s="1514">
        <f>JR932-(-JR881-JR915-JR981)</f>
        <v>-1166.4067780135347</v>
      </c>
      <c r="JS944" s="1514">
        <f>JS932-(-JS881-JS915-JS981)</f>
        <v>-269.71997845052294</v>
      </c>
      <c r="JT944" s="323">
        <f>FISC!AM1265</f>
        <v>-1436.1267564640577</v>
      </c>
      <c r="JU944" s="1514">
        <f>JU932-(-JU881-JU915-JU981)</f>
        <v>-876.67179248421962</v>
      </c>
      <c r="JV944" s="1514">
        <f>JV932-(-JV881-JV915-JV981)</f>
        <v>-206.09718757822702</v>
      </c>
      <c r="JW944" s="323">
        <f>FISC!AN1265</f>
        <v>-1082.7689800624469</v>
      </c>
      <c r="JX944" s="1514">
        <f>JX932-(-JX881-JX915-JX981)</f>
        <v>-1006.5457973826743</v>
      </c>
      <c r="JY944" s="1514">
        <f>JY932-(-JY881-JY915-JY981)</f>
        <v>-230.57695885399286</v>
      </c>
      <c r="JZ944" s="323">
        <f>FISC!AO1265</f>
        <v>-1237.1227562366666</v>
      </c>
      <c r="KA944" s="1514">
        <f>KA932-(-KA881-KA915-KA981)</f>
        <v>-1179.8301820710124</v>
      </c>
      <c r="KB944" s="1514">
        <f>KB932-(-KB881-KB915-KB981)</f>
        <v>-195.55269767372749</v>
      </c>
      <c r="KC944" s="323">
        <f>FISC!AP1265</f>
        <v>-1375.38287974474</v>
      </c>
      <c r="KD944" s="1514">
        <f>KD932-(-KD881-KD915-KD981)</f>
        <v>-903.42563999997344</v>
      </c>
      <c r="KE944" s="1514">
        <f>KE932-(-KE881-KE915-KE981)</f>
        <v>-744.61481215275592</v>
      </c>
      <c r="KF944" s="323">
        <f>FISC!AQ1265</f>
        <v>-1648.0404521527294</v>
      </c>
      <c r="KG944" s="1514">
        <f>KG932-(-KG881-KG915-KG981)</f>
        <v>-1243.5087902784524</v>
      </c>
      <c r="KH944" s="1514">
        <f>KH932-(-KH881-KH915-KH981)</f>
        <v>-372.23431190026196</v>
      </c>
      <c r="KI944" s="323">
        <f>FISC!AR1265</f>
        <v>-1615.7431021787145</v>
      </c>
      <c r="KJ944" s="1514">
        <f>KJ932-(-KJ881-KJ915-KJ981)</f>
        <v>-1668.4913363574551</v>
      </c>
      <c r="KK944" s="1514">
        <f>KK932-(-KK881-KK915-KK981)</f>
        <v>-556.35984138849574</v>
      </c>
      <c r="KL944" s="323">
        <f>FISC!AS1265</f>
        <v>-2224.8511777459507</v>
      </c>
      <c r="KM944" s="1514">
        <f>KM932-(-KM881-KM915-KM981)</f>
        <v>-2033.66360566095</v>
      </c>
      <c r="KN944" s="1514">
        <f>KN932-(-KN881-KN915-KN981)</f>
        <v>-710.84013935336554</v>
      </c>
      <c r="KO944" s="323">
        <f>FISC!AT1265</f>
        <v>-2744.5037450143154</v>
      </c>
      <c r="KU944" s="326"/>
      <c r="KV944" s="327"/>
    </row>
    <row r="945" spans="1:314">
      <c r="A945" s="279"/>
      <c r="D945" s="1504"/>
      <c r="E945" s="323"/>
      <c r="F945" s="323"/>
      <c r="G945" s="323"/>
      <c r="H945" s="323"/>
      <c r="I945" s="323"/>
      <c r="J945" s="323"/>
      <c r="K945" s="323"/>
      <c r="L945" s="323"/>
      <c r="M945" s="323"/>
      <c r="N945" s="323"/>
      <c r="O945" s="323"/>
      <c r="P945" s="323"/>
      <c r="Q945" s="323"/>
      <c r="R945" s="323"/>
      <c r="S945" s="323"/>
      <c r="T945" s="323"/>
      <c r="U945" s="323"/>
      <c r="V945" s="323"/>
      <c r="W945" s="323"/>
      <c r="X945" s="323"/>
      <c r="Y945" s="323"/>
      <c r="Z945" s="323"/>
      <c r="AA945" s="323"/>
      <c r="AB945" s="323"/>
      <c r="AC945" s="323"/>
      <c r="AD945" s="323"/>
      <c r="AE945" s="323"/>
      <c r="AF945" s="323"/>
      <c r="AG945" s="323"/>
      <c r="AH945" s="323"/>
      <c r="AI945" s="323"/>
      <c r="AJ945" s="323"/>
      <c r="AK945" s="323"/>
      <c r="AL945" s="323"/>
      <c r="AM945" s="323"/>
      <c r="AN945" s="323"/>
      <c r="AO945" s="323"/>
      <c r="AP945" s="323"/>
      <c r="AQ945" s="323"/>
      <c r="AR945" s="323"/>
      <c r="AS945" s="323"/>
      <c r="AT945" s="323"/>
      <c r="AU945" s="323"/>
      <c r="AV945" s="323"/>
      <c r="AW945" s="323"/>
      <c r="AX945" s="323"/>
      <c r="AY945" s="323"/>
      <c r="AZ945" s="323"/>
      <c r="BA945" s="323"/>
      <c r="BB945" s="323"/>
      <c r="BC945" s="323"/>
      <c r="BD945" s="323"/>
      <c r="BE945" s="323"/>
      <c r="BF945" s="323"/>
      <c r="BG945" s="323"/>
      <c r="BH945" s="323"/>
      <c r="BI945" s="323"/>
      <c r="BJ945" s="323"/>
      <c r="BK945" s="323"/>
      <c r="BL945" s="323"/>
      <c r="BM945" s="323"/>
      <c r="BN945" s="323"/>
      <c r="BO945" s="323"/>
      <c r="BP945" s="323"/>
      <c r="BQ945" s="323"/>
      <c r="BR945" s="323"/>
      <c r="BS945" s="323"/>
      <c r="BT945" s="323"/>
      <c r="BU945" s="323"/>
      <c r="BV945" s="323"/>
      <c r="BW945" s="323"/>
      <c r="BX945" s="323"/>
      <c r="BY945" s="323"/>
      <c r="BZ945" s="323"/>
      <c r="CA945" s="323"/>
      <c r="CB945" s="323"/>
      <c r="CC945" s="323"/>
      <c r="CD945" s="329"/>
      <c r="CE945" s="323"/>
      <c r="CF945" s="323"/>
      <c r="CG945" s="323"/>
      <c r="CH945" s="323"/>
      <c r="CI945" s="323"/>
      <c r="CJ945" s="323"/>
      <c r="CK945" s="323"/>
      <c r="CL945" s="323"/>
      <c r="CM945" s="323"/>
      <c r="CN945" s="323"/>
      <c r="CO945" s="323"/>
      <c r="CP945" s="325"/>
      <c r="CQ945" s="323"/>
      <c r="CR945" s="323"/>
      <c r="CS945" s="323"/>
      <c r="CT945" s="323"/>
      <c r="CU945" s="323"/>
      <c r="CV945" s="323"/>
      <c r="CW945" s="323"/>
      <c r="CX945" s="323"/>
      <c r="CY945" s="323"/>
      <c r="CZ945" s="323"/>
      <c r="DA945" s="323"/>
      <c r="DB945" s="1269"/>
      <c r="DC945" s="323"/>
      <c r="DD945" s="323"/>
      <c r="DE945" s="323"/>
      <c r="DF945" s="323"/>
      <c r="DG945" s="323"/>
      <c r="DH945" s="323"/>
      <c r="DI945" s="323"/>
      <c r="DJ945" s="323"/>
      <c r="DK945" s="323"/>
      <c r="DL945" s="323"/>
      <c r="DM945" s="323"/>
      <c r="DN945" s="325"/>
      <c r="DO945" s="323"/>
      <c r="DP945" s="323"/>
      <c r="DQ945" s="323"/>
      <c r="DR945" s="323"/>
      <c r="DS945" s="323"/>
      <c r="DT945" s="323"/>
      <c r="DU945" s="323"/>
      <c r="DV945" s="323"/>
      <c r="DW945" s="323"/>
      <c r="DX945" s="323"/>
      <c r="DY945" s="323"/>
      <c r="DZ945" s="325"/>
      <c r="EA945" s="323"/>
      <c r="EB945" s="323"/>
      <c r="EC945" s="323"/>
      <c r="ED945" s="323"/>
      <c r="EE945" s="323"/>
      <c r="EF945" s="323"/>
      <c r="EG945" s="323"/>
      <c r="EH945" s="323"/>
      <c r="EI945" s="323"/>
      <c r="EJ945" s="323"/>
      <c r="EK945" s="323"/>
      <c r="EL945" s="325"/>
      <c r="EM945" s="323"/>
      <c r="EN945" s="323"/>
      <c r="EO945" s="323"/>
      <c r="EP945" s="323"/>
      <c r="EQ945" s="323"/>
      <c r="ER945" s="323"/>
      <c r="ES945" s="323"/>
      <c r="ET945" s="323"/>
      <c r="EU945" s="323"/>
      <c r="EV945" s="323"/>
      <c r="EW945" s="323"/>
      <c r="EX945" s="325"/>
      <c r="EY945" s="323"/>
      <c r="EZ945" s="323"/>
      <c r="FA945" s="323"/>
      <c r="FB945" s="323"/>
      <c r="FC945" s="323"/>
      <c r="FD945" s="323"/>
      <c r="FE945" s="323"/>
      <c r="FF945" s="323"/>
      <c r="FG945" s="323"/>
      <c r="FH945" s="323"/>
      <c r="FI945" s="323"/>
      <c r="FJ945" s="325"/>
      <c r="FK945" s="323"/>
      <c r="FL945" s="323"/>
      <c r="FM945" s="323"/>
      <c r="FN945" s="323"/>
      <c r="FO945" s="323"/>
      <c r="FP945" s="323"/>
      <c r="FQ945" s="323"/>
      <c r="FR945" s="323"/>
      <c r="FS945" s="323"/>
      <c r="FT945" s="323"/>
      <c r="FU945" s="323"/>
      <c r="FV945" s="323"/>
      <c r="FW945" s="323"/>
      <c r="FX945" s="323"/>
      <c r="FY945" s="323"/>
      <c r="FZ945" s="323"/>
      <c r="GA945" s="323"/>
      <c r="GB945" s="323"/>
      <c r="GI945" s="1654"/>
      <c r="HZ945" s="326"/>
      <c r="IA945" s="1504"/>
      <c r="IB945" s="284"/>
      <c r="ID945" s="323"/>
      <c r="IG945" s="323"/>
      <c r="IH945" s="284"/>
      <c r="IJ945" s="323"/>
      <c r="IK945" s="327"/>
      <c r="IM945" s="323"/>
      <c r="IP945" s="323"/>
      <c r="IQ945" s="327"/>
      <c r="IR945" s="327"/>
      <c r="IS945" s="323"/>
      <c r="IT945" s="327"/>
      <c r="IU945" s="327"/>
      <c r="IV945" s="323"/>
      <c r="IW945" s="327"/>
      <c r="IX945" s="327"/>
      <c r="IY945" s="323"/>
      <c r="IZ945" s="327">
        <f t="shared" si="1921"/>
        <v>0</v>
      </c>
      <c r="JA945" s="327">
        <f t="shared" si="1922"/>
        <v>0</v>
      </c>
      <c r="JB945" s="323">
        <f t="shared" si="1823"/>
        <v>0</v>
      </c>
      <c r="JC945" s="327">
        <f t="shared" si="1923"/>
        <v>0</v>
      </c>
      <c r="JD945" s="327">
        <f t="shared" si="1924"/>
        <v>0</v>
      </c>
      <c r="JE945" s="323">
        <f t="shared" si="1912"/>
        <v>0</v>
      </c>
      <c r="JF945" s="327"/>
      <c r="JG945" s="327"/>
      <c r="JH945" s="323"/>
      <c r="JI945" s="327">
        <f t="shared" si="1744"/>
        <v>0</v>
      </c>
      <c r="JJ945" s="327">
        <f t="shared" si="1871"/>
        <v>0</v>
      </c>
      <c r="JK945" s="323">
        <f t="shared" si="1683"/>
        <v>0</v>
      </c>
      <c r="JL945" s="327">
        <f t="shared" si="1704"/>
        <v>0</v>
      </c>
      <c r="JN945" s="323">
        <f>FISC!AK1266</f>
        <v>0</v>
      </c>
      <c r="JO945" s="327"/>
      <c r="JQ945" s="323">
        <f>FISC!AL1266</f>
        <v>0</v>
      </c>
      <c r="JT945" s="323">
        <f>FISC!AM1266</f>
        <v>0</v>
      </c>
      <c r="JW945" s="323">
        <f>FISC!AN1266</f>
        <v>0</v>
      </c>
      <c r="JZ945" s="323">
        <f>FISC!AO1266</f>
        <v>0</v>
      </c>
      <c r="KC945" s="323">
        <f>FISC!AP1266</f>
        <v>0</v>
      </c>
      <c r="KF945" s="323">
        <f>FISC!AQ1266</f>
        <v>0</v>
      </c>
      <c r="KI945" s="323">
        <f>FISC!AR1266</f>
        <v>0</v>
      </c>
      <c r="KL945" s="323">
        <f>FISC!AS1266</f>
        <v>0</v>
      </c>
      <c r="KO945" s="323">
        <f>FISC!AT1266</f>
        <v>0</v>
      </c>
      <c r="KU945" s="326"/>
      <c r="KV945" s="327"/>
    </row>
    <row r="946" spans="1:314">
      <c r="A946" s="279"/>
      <c r="B946" s="96" t="s">
        <v>338</v>
      </c>
      <c r="D946" s="336" t="s">
        <v>95</v>
      </c>
      <c r="E946" s="323"/>
      <c r="F946" s="323"/>
      <c r="G946" s="323"/>
      <c r="H946" s="323"/>
      <c r="I946" s="323"/>
      <c r="J946" s="323"/>
      <c r="K946" s="323"/>
      <c r="L946" s="323"/>
      <c r="M946" s="323"/>
      <c r="N946" s="323"/>
      <c r="O946" s="323"/>
      <c r="P946" s="323"/>
      <c r="Q946" s="323"/>
      <c r="R946" s="323"/>
      <c r="S946" s="323"/>
      <c r="T946" s="323"/>
      <c r="U946" s="323"/>
      <c r="V946" s="323"/>
      <c r="W946" s="323"/>
      <c r="X946" s="323"/>
      <c r="Y946" s="323"/>
      <c r="Z946" s="323"/>
      <c r="AA946" s="323"/>
      <c r="AB946" s="323"/>
      <c r="AC946" s="323"/>
      <c r="AD946" s="323"/>
      <c r="AE946" s="323"/>
      <c r="AF946" s="323"/>
      <c r="AG946" s="323"/>
      <c r="AH946" s="323"/>
      <c r="AI946" s="323"/>
      <c r="AJ946" s="323"/>
      <c r="AK946" s="323"/>
      <c r="AL946" s="323"/>
      <c r="AM946" s="323"/>
      <c r="AN946" s="323"/>
      <c r="AO946" s="323"/>
      <c r="AP946" s="323"/>
      <c r="AQ946" s="323"/>
      <c r="AR946" s="323"/>
      <c r="AS946" s="323"/>
      <c r="AT946" s="323"/>
      <c r="AU946" s="323"/>
      <c r="AV946" s="323"/>
      <c r="AW946" s="323"/>
      <c r="AX946" s="323"/>
      <c r="AY946" s="323"/>
      <c r="AZ946" s="323"/>
      <c r="BA946" s="323"/>
      <c r="BB946" s="323"/>
      <c r="BC946" s="323"/>
      <c r="BD946" s="323"/>
      <c r="BE946" s="323"/>
      <c r="BF946" s="323"/>
      <c r="BG946" s="323"/>
      <c r="BH946" s="323"/>
      <c r="BI946" s="323"/>
      <c r="BJ946" s="323"/>
      <c r="BK946" s="323"/>
      <c r="BL946" s="323"/>
      <c r="BM946" s="323"/>
      <c r="BN946" s="323"/>
      <c r="BO946" s="323"/>
      <c r="BP946" s="323"/>
      <c r="BQ946" s="323"/>
      <c r="BR946" s="323"/>
      <c r="BS946" s="323"/>
      <c r="BT946" s="323"/>
      <c r="BU946" s="323"/>
      <c r="BV946" s="323"/>
      <c r="BW946" s="323"/>
      <c r="BX946" s="323"/>
      <c r="BY946" s="323"/>
      <c r="BZ946" s="323"/>
      <c r="CA946" s="323"/>
      <c r="CB946" s="323"/>
      <c r="CC946" s="323"/>
      <c r="CD946" s="329"/>
      <c r="CE946" s="323"/>
      <c r="CF946" s="323"/>
      <c r="CG946" s="323"/>
      <c r="CH946" s="323"/>
      <c r="CI946" s="323"/>
      <c r="CJ946" s="323"/>
      <c r="CK946" s="323"/>
      <c r="CL946" s="323"/>
      <c r="CM946" s="323"/>
      <c r="CN946" s="323"/>
      <c r="CO946" s="323"/>
      <c r="CP946" s="325"/>
      <c r="CQ946" s="323"/>
      <c r="CR946" s="323"/>
      <c r="CS946" s="323"/>
      <c r="CT946" s="323"/>
      <c r="CU946" s="323"/>
      <c r="CV946" s="323"/>
      <c r="CW946" s="323"/>
      <c r="CX946" s="323"/>
      <c r="CY946" s="323"/>
      <c r="CZ946" s="323"/>
      <c r="DA946" s="323"/>
      <c r="DB946" s="1269"/>
      <c r="DC946" s="323"/>
      <c r="DD946" s="323"/>
      <c r="DE946" s="323"/>
      <c r="DF946" s="323"/>
      <c r="DG946" s="323"/>
      <c r="DH946" s="323"/>
      <c r="DI946" s="323"/>
      <c r="DJ946" s="323"/>
      <c r="DK946" s="323"/>
      <c r="DL946" s="323"/>
      <c r="DM946" s="323"/>
      <c r="DN946" s="325"/>
      <c r="DO946" s="323"/>
      <c r="DP946" s="323"/>
      <c r="DQ946" s="323"/>
      <c r="DR946" s="323"/>
      <c r="DS946" s="323"/>
      <c r="DT946" s="323"/>
      <c r="DU946" s="323"/>
      <c r="DV946" s="323"/>
      <c r="DW946" s="323"/>
      <c r="DX946" s="323"/>
      <c r="DY946" s="323"/>
      <c r="DZ946" s="325"/>
      <c r="EA946" s="323"/>
      <c r="EB946" s="323"/>
      <c r="EC946" s="323"/>
      <c r="ED946" s="323"/>
      <c r="EE946" s="323"/>
      <c r="EF946" s="323"/>
      <c r="EG946" s="323"/>
      <c r="EH946" s="323"/>
      <c r="EI946" s="323"/>
      <c r="EJ946" s="323"/>
      <c r="EK946" s="323"/>
      <c r="EL946" s="325"/>
      <c r="EM946" s="323"/>
      <c r="EN946" s="323"/>
      <c r="EO946" s="323"/>
      <c r="EP946" s="323"/>
      <c r="EQ946" s="323"/>
      <c r="ER946" s="323"/>
      <c r="ES946" s="323"/>
      <c r="ET946" s="323"/>
      <c r="EU946" s="323"/>
      <c r="EV946" s="323"/>
      <c r="EW946" s="323"/>
      <c r="EX946" s="325"/>
      <c r="EY946" s="323"/>
      <c r="EZ946" s="323"/>
      <c r="FA946" s="323"/>
      <c r="FB946" s="323"/>
      <c r="FC946" s="323"/>
      <c r="FD946" s="323"/>
      <c r="FE946" s="323"/>
      <c r="FF946" s="323"/>
      <c r="FG946" s="323"/>
      <c r="FH946" s="323"/>
      <c r="FI946" s="323"/>
      <c r="FJ946" s="325"/>
      <c r="FK946" s="323"/>
      <c r="FL946" s="323"/>
      <c r="FM946" s="323"/>
      <c r="FN946" s="323"/>
      <c r="FO946" s="323"/>
      <c r="FP946" s="323"/>
      <c r="FQ946" s="323"/>
      <c r="FR946" s="323"/>
      <c r="FS946" s="323"/>
      <c r="FT946" s="323"/>
      <c r="FU946" s="323"/>
      <c r="FV946" s="323"/>
      <c r="FW946" s="323"/>
      <c r="FX946" s="323"/>
      <c r="FY946" s="323"/>
      <c r="FZ946" s="323"/>
      <c r="GA946" s="323"/>
      <c r="GB946" s="323"/>
      <c r="GI946" s="1654"/>
      <c r="HZ946" s="326"/>
      <c r="IA946" s="336" t="s">
        <v>95</v>
      </c>
      <c r="IB946" s="284"/>
      <c r="ID946" s="323"/>
      <c r="IG946" s="323"/>
      <c r="IH946" s="284"/>
      <c r="IJ946" s="323"/>
      <c r="IK946" s="327"/>
      <c r="IM946" s="323"/>
      <c r="IP946" s="323"/>
      <c r="IQ946" s="327"/>
      <c r="IR946" s="327"/>
      <c r="IS946" s="323"/>
      <c r="IT946" s="327"/>
      <c r="IU946" s="327"/>
      <c r="IV946" s="323"/>
      <c r="IW946" s="327"/>
      <c r="IX946" s="327"/>
      <c r="IY946" s="323"/>
      <c r="IZ946" s="327">
        <f t="shared" si="1921"/>
        <v>0</v>
      </c>
      <c r="JA946" s="327">
        <f t="shared" si="1922"/>
        <v>0</v>
      </c>
      <c r="JB946" s="323">
        <f t="shared" si="1823"/>
        <v>0</v>
      </c>
      <c r="JC946" s="327">
        <f t="shared" si="1923"/>
        <v>0</v>
      </c>
      <c r="JD946" s="327">
        <f t="shared" si="1924"/>
        <v>0</v>
      </c>
      <c r="JE946" s="323">
        <f t="shared" si="1912"/>
        <v>0</v>
      </c>
      <c r="JF946" s="327"/>
      <c r="JG946" s="327"/>
      <c r="JH946" s="323"/>
      <c r="JI946" s="327">
        <f t="shared" si="1744"/>
        <v>0</v>
      </c>
      <c r="JJ946" s="327">
        <f t="shared" si="1871"/>
        <v>0</v>
      </c>
      <c r="JK946" s="323">
        <f t="shared" si="1683"/>
        <v>0</v>
      </c>
      <c r="JL946" s="327">
        <f t="shared" si="1704"/>
        <v>0</v>
      </c>
      <c r="JN946" s="323">
        <f>FISC!AK1267</f>
        <v>0</v>
      </c>
      <c r="JO946" s="327"/>
      <c r="JQ946" s="323">
        <f>FISC!AL1267</f>
        <v>0</v>
      </c>
      <c r="JT946" s="323">
        <f>FISC!AM1267</f>
        <v>0</v>
      </c>
      <c r="JW946" s="323">
        <f>FISC!AN1267</f>
        <v>0</v>
      </c>
      <c r="JZ946" s="323">
        <f>FISC!AO1267</f>
        <v>0</v>
      </c>
      <c r="KC946" s="323">
        <f>FISC!AP1267</f>
        <v>0</v>
      </c>
      <c r="KF946" s="323">
        <f>FISC!AQ1267</f>
        <v>0</v>
      </c>
      <c r="KI946" s="323">
        <f>FISC!AR1267</f>
        <v>0</v>
      </c>
      <c r="KL946" s="323">
        <f>FISC!AS1267</f>
        <v>0</v>
      </c>
      <c r="KO946" s="323">
        <f>FISC!AT1267</f>
        <v>0</v>
      </c>
      <c r="KU946" s="326"/>
      <c r="KV946" s="327"/>
    </row>
    <row r="947" spans="1:314">
      <c r="A947" s="279"/>
      <c r="B947" s="96" t="s">
        <v>338</v>
      </c>
      <c r="D947" s="331" t="s">
        <v>563</v>
      </c>
      <c r="E947" s="323">
        <f t="shared" ref="E947:AJ947" si="1925">E948+E985</f>
        <v>0</v>
      </c>
      <c r="F947" s="323">
        <f t="shared" si="1925"/>
        <v>0</v>
      </c>
      <c r="G947" s="323">
        <f t="shared" si="1925"/>
        <v>0</v>
      </c>
      <c r="H947" s="323">
        <f t="shared" si="1925"/>
        <v>0</v>
      </c>
      <c r="I947" s="323">
        <f t="shared" si="1925"/>
        <v>0</v>
      </c>
      <c r="J947" s="323">
        <f t="shared" si="1925"/>
        <v>0</v>
      </c>
      <c r="K947" s="323">
        <f t="shared" si="1925"/>
        <v>0</v>
      </c>
      <c r="L947" s="323">
        <f t="shared" si="1925"/>
        <v>0</v>
      </c>
      <c r="M947" s="323">
        <f t="shared" si="1925"/>
        <v>0</v>
      </c>
      <c r="N947" s="323">
        <f t="shared" si="1925"/>
        <v>0</v>
      </c>
      <c r="O947" s="323">
        <f t="shared" si="1925"/>
        <v>0</v>
      </c>
      <c r="P947" s="323">
        <f t="shared" si="1925"/>
        <v>0</v>
      </c>
      <c r="Q947" s="323">
        <f t="shared" si="1925"/>
        <v>0</v>
      </c>
      <c r="R947" s="323">
        <f t="shared" si="1925"/>
        <v>0</v>
      </c>
      <c r="S947" s="323">
        <f t="shared" si="1925"/>
        <v>0</v>
      </c>
      <c r="T947" s="323">
        <f t="shared" si="1925"/>
        <v>0</v>
      </c>
      <c r="U947" s="323">
        <f t="shared" si="1925"/>
        <v>0</v>
      </c>
      <c r="V947" s="323">
        <f t="shared" si="1925"/>
        <v>0</v>
      </c>
      <c r="W947" s="323">
        <f t="shared" si="1925"/>
        <v>0</v>
      </c>
      <c r="X947" s="323">
        <f t="shared" si="1925"/>
        <v>0</v>
      </c>
      <c r="Y947" s="323">
        <f t="shared" si="1925"/>
        <v>0</v>
      </c>
      <c r="Z947" s="323">
        <f t="shared" si="1925"/>
        <v>0</v>
      </c>
      <c r="AA947" s="323">
        <f t="shared" si="1925"/>
        <v>0</v>
      </c>
      <c r="AB947" s="323">
        <f t="shared" si="1925"/>
        <v>0</v>
      </c>
      <c r="AC947" s="323">
        <f t="shared" si="1925"/>
        <v>0</v>
      </c>
      <c r="AD947" s="323">
        <f t="shared" si="1925"/>
        <v>0</v>
      </c>
      <c r="AE947" s="323">
        <f t="shared" si="1925"/>
        <v>0</v>
      </c>
      <c r="AF947" s="323">
        <f t="shared" si="1925"/>
        <v>0</v>
      </c>
      <c r="AG947" s="323">
        <f t="shared" si="1925"/>
        <v>0</v>
      </c>
      <c r="AH947" s="323">
        <f t="shared" si="1925"/>
        <v>0</v>
      </c>
      <c r="AI947" s="323">
        <f t="shared" si="1925"/>
        <v>0</v>
      </c>
      <c r="AJ947" s="323">
        <f t="shared" si="1925"/>
        <v>0</v>
      </c>
      <c r="AK947" s="323">
        <f t="shared" ref="AK947:BP947" si="1926">AK948+AK985</f>
        <v>0</v>
      </c>
      <c r="AL947" s="323">
        <f t="shared" si="1926"/>
        <v>0</v>
      </c>
      <c r="AM947" s="323">
        <f t="shared" si="1926"/>
        <v>0</v>
      </c>
      <c r="AN947" s="323">
        <f t="shared" si="1926"/>
        <v>0</v>
      </c>
      <c r="AO947" s="323">
        <f t="shared" si="1926"/>
        <v>0</v>
      </c>
      <c r="AP947" s="323">
        <f t="shared" si="1926"/>
        <v>0</v>
      </c>
      <c r="AQ947" s="323">
        <f t="shared" si="1926"/>
        <v>0</v>
      </c>
      <c r="AR947" s="323">
        <f t="shared" si="1926"/>
        <v>0</v>
      </c>
      <c r="AS947" s="323">
        <f t="shared" si="1926"/>
        <v>0</v>
      </c>
      <c r="AT947" s="323">
        <f t="shared" si="1926"/>
        <v>0</v>
      </c>
      <c r="AU947" s="323">
        <f t="shared" si="1926"/>
        <v>0</v>
      </c>
      <c r="AV947" s="323">
        <f t="shared" si="1926"/>
        <v>0</v>
      </c>
      <c r="AW947" s="323">
        <f t="shared" si="1926"/>
        <v>0</v>
      </c>
      <c r="AX947" s="323">
        <f t="shared" si="1926"/>
        <v>0</v>
      </c>
      <c r="AY947" s="323">
        <f t="shared" si="1926"/>
        <v>0</v>
      </c>
      <c r="AZ947" s="323">
        <f t="shared" si="1926"/>
        <v>0</v>
      </c>
      <c r="BA947" s="323">
        <f t="shared" si="1926"/>
        <v>0</v>
      </c>
      <c r="BB947" s="323">
        <f t="shared" si="1926"/>
        <v>0</v>
      </c>
      <c r="BC947" s="323">
        <f t="shared" si="1926"/>
        <v>0</v>
      </c>
      <c r="BD947" s="323">
        <f t="shared" si="1926"/>
        <v>0</v>
      </c>
      <c r="BE947" s="323">
        <f t="shared" si="1926"/>
        <v>0</v>
      </c>
      <c r="BF947" s="323">
        <f t="shared" si="1926"/>
        <v>0</v>
      </c>
      <c r="BG947" s="323">
        <f t="shared" si="1926"/>
        <v>0</v>
      </c>
      <c r="BH947" s="323">
        <f t="shared" si="1926"/>
        <v>0</v>
      </c>
      <c r="BI947" s="323">
        <f t="shared" si="1926"/>
        <v>0</v>
      </c>
      <c r="BJ947" s="323">
        <f t="shared" si="1926"/>
        <v>0</v>
      </c>
      <c r="BK947" s="323">
        <f t="shared" si="1926"/>
        <v>0</v>
      </c>
      <c r="BL947" s="323">
        <f t="shared" si="1926"/>
        <v>0</v>
      </c>
      <c r="BM947" s="323">
        <f t="shared" si="1926"/>
        <v>0</v>
      </c>
      <c r="BN947" s="323">
        <f t="shared" si="1926"/>
        <v>0</v>
      </c>
      <c r="BO947" s="323">
        <f t="shared" si="1926"/>
        <v>0</v>
      </c>
      <c r="BP947" s="323">
        <f t="shared" si="1926"/>
        <v>0</v>
      </c>
      <c r="BQ947" s="323">
        <f t="shared" ref="BQ947:CV947" si="1927">BQ948+BQ985</f>
        <v>0</v>
      </c>
      <c r="BR947" s="323">
        <f t="shared" si="1927"/>
        <v>0</v>
      </c>
      <c r="BS947" s="323">
        <f t="shared" si="1927"/>
        <v>0</v>
      </c>
      <c r="BT947" s="323">
        <f t="shared" si="1927"/>
        <v>0</v>
      </c>
      <c r="BU947" s="323">
        <f t="shared" si="1927"/>
        <v>0</v>
      </c>
      <c r="BV947" s="323">
        <f t="shared" si="1927"/>
        <v>0</v>
      </c>
      <c r="BW947" s="323">
        <f t="shared" si="1927"/>
        <v>0</v>
      </c>
      <c r="BX947" s="323">
        <f t="shared" si="1927"/>
        <v>0</v>
      </c>
      <c r="BY947" s="323">
        <f t="shared" si="1927"/>
        <v>0</v>
      </c>
      <c r="BZ947" s="323">
        <f t="shared" si="1927"/>
        <v>0</v>
      </c>
      <c r="CA947" s="323">
        <f t="shared" si="1927"/>
        <v>0</v>
      </c>
      <c r="CB947" s="323">
        <f t="shared" si="1927"/>
        <v>0</v>
      </c>
      <c r="CC947" s="323">
        <f t="shared" si="1927"/>
        <v>0</v>
      </c>
      <c r="CD947" s="329">
        <f t="shared" si="1927"/>
        <v>0</v>
      </c>
      <c r="CE947" s="323">
        <f t="shared" si="1927"/>
        <v>6.9172833290000426</v>
      </c>
      <c r="CF947" s="323">
        <f t="shared" si="1927"/>
        <v>0.83358785699993732</v>
      </c>
      <c r="CG947" s="323">
        <f t="shared" si="1927"/>
        <v>18.765479859000035</v>
      </c>
      <c r="CH947" s="323">
        <f t="shared" si="1927"/>
        <v>15.635324646000015</v>
      </c>
      <c r="CI947" s="323">
        <f t="shared" si="1927"/>
        <v>-8.3810874069999954</v>
      </c>
      <c r="CJ947" s="323">
        <f t="shared" si="1927"/>
        <v>18.858713064999961</v>
      </c>
      <c r="CK947" s="323">
        <f t="shared" si="1927"/>
        <v>-27.16729655594267</v>
      </c>
      <c r="CL947" s="323">
        <f t="shared" si="1927"/>
        <v>-28.512868685252101</v>
      </c>
      <c r="CM947" s="323">
        <f t="shared" si="1927"/>
        <v>-3.943191748377993</v>
      </c>
      <c r="CN947" s="323">
        <f t="shared" si="1927"/>
        <v>-15.598618122839355</v>
      </c>
      <c r="CO947" s="323">
        <f t="shared" si="1927"/>
        <v>8.2661012485531078</v>
      </c>
      <c r="CP947" s="325">
        <f t="shared" si="1927"/>
        <v>-50.985312666269827</v>
      </c>
      <c r="CQ947" s="323">
        <f t="shared" si="1927"/>
        <v>-36.71231483296112</v>
      </c>
      <c r="CR947" s="323">
        <f t="shared" si="1927"/>
        <v>6.0564876716809755</v>
      </c>
      <c r="CS947" s="323">
        <f t="shared" si="1927"/>
        <v>0.24889954428293093</v>
      </c>
      <c r="CT947" s="323">
        <f t="shared" si="1927"/>
        <v>-3.236720825950091</v>
      </c>
      <c r="CU947" s="323">
        <f t="shared" si="1927"/>
        <v>0.65324416649547723</v>
      </c>
      <c r="CV947" s="323">
        <f t="shared" si="1927"/>
        <v>86.75130560186048</v>
      </c>
      <c r="CW947" s="323">
        <f t="shared" ref="CW947:EB947" si="1928">CW948+CW985</f>
        <v>-9.2731324024067145</v>
      </c>
      <c r="CX947" s="323">
        <f t="shared" si="1928"/>
        <v>39.321639286877286</v>
      </c>
      <c r="CY947" s="323">
        <f t="shared" si="1928"/>
        <v>-15.458830137553322</v>
      </c>
      <c r="CZ947" s="323">
        <f t="shared" si="1928"/>
        <v>-20.78863218766784</v>
      </c>
      <c r="DA947" s="323">
        <f t="shared" si="1928"/>
        <v>-7.7543217702998817</v>
      </c>
      <c r="DB947" s="1269">
        <f t="shared" si="1928"/>
        <v>-21.513148332484011</v>
      </c>
      <c r="DC947" s="323">
        <f t="shared" si="1928"/>
        <v>14.867144568951886</v>
      </c>
      <c r="DD947" s="323">
        <f t="shared" si="1928"/>
        <v>25.855461323012996</v>
      </c>
      <c r="DE947" s="323">
        <f t="shared" si="1928"/>
        <v>38.636509055117735</v>
      </c>
      <c r="DF947" s="323">
        <f t="shared" si="1928"/>
        <v>-44.672619050308526</v>
      </c>
      <c r="DG947" s="323">
        <f t="shared" si="1928"/>
        <v>14.622591475292571</v>
      </c>
      <c r="DH947" s="323">
        <f t="shared" si="1928"/>
        <v>71.628752335952129</v>
      </c>
      <c r="DI947" s="323">
        <f t="shared" si="1928"/>
        <v>-31.95125230669165</v>
      </c>
      <c r="DJ947" s="323">
        <f t="shared" si="1928"/>
        <v>10.461122584734927</v>
      </c>
      <c r="DK947" s="323">
        <f t="shared" si="1928"/>
        <v>24.864842569092946</v>
      </c>
      <c r="DL947" s="323">
        <f t="shared" si="1928"/>
        <v>2.7282702357296826</v>
      </c>
      <c r="DM947" s="323">
        <f t="shared" si="1928"/>
        <v>-17.450047754154298</v>
      </c>
      <c r="DN947" s="325">
        <f t="shared" si="1928"/>
        <v>-30.085649516433456</v>
      </c>
      <c r="DO947" s="323">
        <f t="shared" si="1928"/>
        <v>24.280271245071976</v>
      </c>
      <c r="DP947" s="323">
        <f t="shared" si="1928"/>
        <v>18.341800723596283</v>
      </c>
      <c r="DQ947" s="323">
        <f t="shared" si="1928"/>
        <v>12.39083599307034</v>
      </c>
      <c r="DR947" s="323">
        <f t="shared" si="1928"/>
        <v>-6.1314919285556213</v>
      </c>
      <c r="DS947" s="323">
        <f t="shared" si="1928"/>
        <v>3.9001576734480921</v>
      </c>
      <c r="DT947" s="323">
        <f t="shared" si="1928"/>
        <v>18.150146397980365</v>
      </c>
      <c r="DU947" s="323">
        <f t="shared" si="1928"/>
        <v>17.014690429328425</v>
      </c>
      <c r="DV947" s="323">
        <f t="shared" si="1928"/>
        <v>-47.983298171799049</v>
      </c>
      <c r="DW947" s="323">
        <f t="shared" si="1928"/>
        <v>36.43424047194793</v>
      </c>
      <c r="DX947" s="323">
        <f t="shared" si="1928"/>
        <v>-5.5771981815898544</v>
      </c>
      <c r="DY947" s="323">
        <f t="shared" si="1928"/>
        <v>-33.710608219726048</v>
      </c>
      <c r="DZ947" s="325">
        <f t="shared" si="1928"/>
        <v>-7.8664596308689347</v>
      </c>
      <c r="EA947" s="323">
        <f t="shared" si="1928"/>
        <v>0.21931586527290392</v>
      </c>
      <c r="EB947" s="323">
        <f t="shared" si="1928"/>
        <v>16.572225853972824</v>
      </c>
      <c r="EC947" s="323">
        <f t="shared" ref="EC947:FH947" si="1929">EC948+EC985</f>
        <v>37.522925416834028</v>
      </c>
      <c r="ED947" s="323">
        <f t="shared" si="1929"/>
        <v>-4.2118037828783432</v>
      </c>
      <c r="EE947" s="323">
        <f t="shared" si="1929"/>
        <v>10.936461576093924</v>
      </c>
      <c r="EF947" s="323">
        <f t="shared" si="1929"/>
        <v>81.249670441416995</v>
      </c>
      <c r="EG947" s="323">
        <f t="shared" si="1929"/>
        <v>5.1779432167129436E-3</v>
      </c>
      <c r="EH947" s="323">
        <f t="shared" si="1929"/>
        <v>-15.302797650300407</v>
      </c>
      <c r="EI947" s="323">
        <f t="shared" si="1929"/>
        <v>8.548882778903014</v>
      </c>
      <c r="EJ947" s="323">
        <f t="shared" si="1929"/>
        <v>-11.145874326467542</v>
      </c>
      <c r="EK947" s="323">
        <f t="shared" si="1929"/>
        <v>-14.991042163788611</v>
      </c>
      <c r="EL947" s="325">
        <f t="shared" si="1929"/>
        <v>-4.2065886464884841</v>
      </c>
      <c r="EM947" s="323">
        <f t="shared" si="1929"/>
        <v>15.393488729066524</v>
      </c>
      <c r="EN947" s="323">
        <f t="shared" si="1929"/>
        <v>39.014138975798588</v>
      </c>
      <c r="EO947" s="323">
        <f t="shared" si="1929"/>
        <v>7.9711922221392904</v>
      </c>
      <c r="EP947" s="323">
        <f t="shared" si="1929"/>
        <v>-35.810316748697858</v>
      </c>
      <c r="EQ947" s="323">
        <f t="shared" si="1929"/>
        <v>-6.1247204068983763</v>
      </c>
      <c r="ER947" s="323">
        <f t="shared" si="1929"/>
        <v>137.00153291911872</v>
      </c>
      <c r="ES947" s="323">
        <f t="shared" si="1929"/>
        <v>-35.46871774235305</v>
      </c>
      <c r="ET947" s="323">
        <f t="shared" si="1929"/>
        <v>-20.123140095056328</v>
      </c>
      <c r="EU947" s="323">
        <f t="shared" si="1929"/>
        <v>-24.407681035509874</v>
      </c>
      <c r="EV947" s="323">
        <f t="shared" si="1929"/>
        <v>-12.07224302795575</v>
      </c>
      <c r="EW947" s="323">
        <f t="shared" si="1929"/>
        <v>-24.908431685148855</v>
      </c>
      <c r="EX947" s="325">
        <f t="shared" si="1929"/>
        <v>28.139495067358503</v>
      </c>
      <c r="EY947" s="323">
        <f t="shared" si="1929"/>
        <v>-5.867909491846139</v>
      </c>
      <c r="EZ947" s="323">
        <f t="shared" si="1929"/>
        <v>20.596399391363988</v>
      </c>
      <c r="FA947" s="323">
        <f t="shared" si="1929"/>
        <v>22.794672488586684</v>
      </c>
      <c r="FB947" s="323">
        <f t="shared" si="1929"/>
        <v>107.34179312054232</v>
      </c>
      <c r="FC947" s="323">
        <f t="shared" si="1929"/>
        <v>-12.715611256085412</v>
      </c>
      <c r="FD947" s="323">
        <f t="shared" si="1929"/>
        <v>129.67879185472623</v>
      </c>
      <c r="FE947" s="323">
        <f t="shared" si="1929"/>
        <v>25.999761652616257</v>
      </c>
      <c r="FF947" s="323">
        <f t="shared" si="1929"/>
        <v>-44.018381108958152</v>
      </c>
      <c r="FG947" s="323">
        <f t="shared" si="1929"/>
        <v>6.0005842049300195</v>
      </c>
      <c r="FH947" s="323">
        <f t="shared" si="1929"/>
        <v>83.770729693053681</v>
      </c>
      <c r="FI947" s="323">
        <f t="shared" ref="FI947:FV947" si="1930">FI948+FI985</f>
        <v>-68.821967424908053</v>
      </c>
      <c r="FJ947" s="325">
        <f t="shared" si="1930"/>
        <v>146.43115877961321</v>
      </c>
      <c r="FK947" s="323">
        <f t="shared" si="1930"/>
        <v>119.22756809292434</v>
      </c>
      <c r="FL947" s="323">
        <f t="shared" si="1930"/>
        <v>5.9306405441228662</v>
      </c>
      <c r="FM947" s="323">
        <f t="shared" si="1930"/>
        <v>146.41001174146845</v>
      </c>
      <c r="FN947" s="323">
        <f t="shared" si="1930"/>
        <v>-9.0578340629144805</v>
      </c>
      <c r="FO947" s="323">
        <f t="shared" si="1930"/>
        <v>-74.953970690193884</v>
      </c>
      <c r="FP947" s="323">
        <f t="shared" si="1930"/>
        <v>153.40550690645074</v>
      </c>
      <c r="FQ947" s="323">
        <f t="shared" si="1930"/>
        <v>-30.843539113094504</v>
      </c>
      <c r="FR947" s="323">
        <f t="shared" si="1930"/>
        <v>-85.072845498500726</v>
      </c>
      <c r="FS947" s="323">
        <f t="shared" si="1930"/>
        <v>40.718999412644692</v>
      </c>
      <c r="FT947" s="323">
        <f t="shared" si="1930"/>
        <v>39.224747785548615</v>
      </c>
      <c r="FU947" s="323">
        <f t="shared" si="1930"/>
        <v>-92.130388752293868</v>
      </c>
      <c r="FV947" s="323">
        <f t="shared" si="1930"/>
        <v>-60.031453756203597</v>
      </c>
      <c r="FW947" s="323">
        <v>80.849744616155718</v>
      </c>
      <c r="FX947" s="323">
        <v>150.77380136965814</v>
      </c>
      <c r="FY947" s="323">
        <v>-96.515595033519446</v>
      </c>
      <c r="FZ947" s="323">
        <v>-16.423616436418332</v>
      </c>
      <c r="GA947" s="323">
        <v>16.012185380023897</v>
      </c>
      <c r="GB947" s="323">
        <v>47.878443772225324</v>
      </c>
      <c r="GC947" s="323">
        <v>-107.48696695392698</v>
      </c>
      <c r="GD947" s="323">
        <v>-23.883908553679504</v>
      </c>
      <c r="GE947" s="323">
        <v>197.23083970071414</v>
      </c>
      <c r="GF947" s="323">
        <v>194.22094606485484</v>
      </c>
      <c r="GG947" s="323">
        <v>78.22748777429949</v>
      </c>
      <c r="GH947" s="323">
        <v>-1.3949119907684526</v>
      </c>
      <c r="GI947" s="1654">
        <f t="shared" ref="GI947:HR947" si="1931">GI948+GI985</f>
        <v>24.983264202359386</v>
      </c>
      <c r="GJ947" s="1654">
        <f t="shared" si="1931"/>
        <v>-150.03712934709645</v>
      </c>
      <c r="GK947" s="1654">
        <f t="shared" si="1931"/>
        <v>39.300457227806788</v>
      </c>
      <c r="GL947" s="1654">
        <f t="shared" si="1931"/>
        <v>-29.711152254646777</v>
      </c>
      <c r="GM947" s="1654">
        <f t="shared" si="1931"/>
        <v>-17.735487423972842</v>
      </c>
      <c r="GN947" s="1654">
        <f t="shared" si="1931"/>
        <v>95.966550113808069</v>
      </c>
      <c r="GO947" s="1654">
        <f t="shared" si="1931"/>
        <v>-142.87445492192867</v>
      </c>
      <c r="GP947" s="1654">
        <f t="shared" si="1931"/>
        <v>-63.499206614089871</v>
      </c>
      <c r="GQ947" s="1654">
        <f t="shared" si="1931"/>
        <v>228.25965383776924</v>
      </c>
      <c r="GR947" s="1654">
        <f t="shared" si="1931"/>
        <v>59.025641727363904</v>
      </c>
      <c r="GS947" s="1654">
        <f t="shared" si="1931"/>
        <v>-19.203985122261894</v>
      </c>
      <c r="GT947" s="1654">
        <f t="shared" si="1931"/>
        <v>-28.997288913487953</v>
      </c>
      <c r="GU947" s="1654">
        <f t="shared" si="1931"/>
        <v>-47.662691463975833</v>
      </c>
      <c r="GV947" s="1654">
        <f t="shared" si="1931"/>
        <v>-98.987453449816542</v>
      </c>
      <c r="GW947" s="1654">
        <f t="shared" si="1931"/>
        <v>19.174954712031905</v>
      </c>
      <c r="GX947" s="1654">
        <f t="shared" si="1931"/>
        <v>-65.166303498367355</v>
      </c>
      <c r="GY947" s="1654">
        <f t="shared" si="1931"/>
        <v>53.259604776867398</v>
      </c>
      <c r="GZ947" s="1654">
        <f t="shared" si="1931"/>
        <v>355.06901601653414</v>
      </c>
      <c r="HA947" s="1654">
        <f t="shared" si="1931"/>
        <v>-256.84020704311473</v>
      </c>
      <c r="HB947" s="1654">
        <f t="shared" si="1931"/>
        <v>-39.273015379897501</v>
      </c>
      <c r="HC947" s="1654">
        <f t="shared" si="1931"/>
        <v>89.565157689612974</v>
      </c>
      <c r="HD947" s="1654">
        <f t="shared" si="1931"/>
        <v>23.055579514621737</v>
      </c>
      <c r="HE947" s="1654">
        <f t="shared" si="1931"/>
        <v>-75.758480895684471</v>
      </c>
      <c r="HF947" s="1654">
        <f t="shared" si="1931"/>
        <v>142.37234105311384</v>
      </c>
      <c r="HG947" s="1654">
        <f t="shared" si="1931"/>
        <v>-33.978799655606913</v>
      </c>
      <c r="HH947" s="1654">
        <f t="shared" si="1931"/>
        <v>-40.132260417030842</v>
      </c>
      <c r="HI947" s="1654">
        <f t="shared" si="1931"/>
        <v>94.85410809080777</v>
      </c>
      <c r="HJ947" s="1654">
        <f t="shared" si="1931"/>
        <v>-70.520888409812741</v>
      </c>
      <c r="HK947" s="1654">
        <f t="shared" si="1931"/>
        <v>48.430559967651021</v>
      </c>
      <c r="HL947" s="1654">
        <f t="shared" si="1931"/>
        <v>792.56209673812691</v>
      </c>
      <c r="HM947" s="1654">
        <f t="shared" si="1931"/>
        <v>-154.20577812699068</v>
      </c>
      <c r="HN947" s="1654">
        <f t="shared" si="1931"/>
        <v>-254.06199190150886</v>
      </c>
      <c r="HO947" s="1654">
        <f t="shared" si="1931"/>
        <v>-89.284739788098946</v>
      </c>
      <c r="HP947" s="1654">
        <f t="shared" si="1931"/>
        <v>24.194064477594257</v>
      </c>
      <c r="HQ947" s="1654">
        <f t="shared" si="1931"/>
        <v>-69.253452362449295</v>
      </c>
      <c r="HR947" s="1654">
        <f t="shared" si="1931"/>
        <v>116.24728557023869</v>
      </c>
      <c r="HS947" s="1654">
        <f t="shared" ref="HS947:HX947" si="1932">HS948+HS985</f>
        <v>-29.799462908687673</v>
      </c>
      <c r="HT947" s="1654">
        <f t="shared" si="1932"/>
        <v>48.685636866335429</v>
      </c>
      <c r="HU947" s="1654">
        <f t="shared" si="1932"/>
        <v>304.68959095990658</v>
      </c>
      <c r="HV947" s="1654">
        <f t="shared" si="1932"/>
        <v>-48.070490199066029</v>
      </c>
      <c r="HW947" s="1654">
        <f t="shared" si="1932"/>
        <v>79.65502831134414</v>
      </c>
      <c r="HX947" s="1654">
        <f t="shared" si="1932"/>
        <v>56.527327501626957</v>
      </c>
      <c r="HY947" s="1654"/>
      <c r="HZ947" s="326"/>
      <c r="IA947" s="331" t="s">
        <v>563</v>
      </c>
      <c r="IB947" s="284">
        <f>SUM(CE947:CJ947)</f>
        <v>52.629301348999995</v>
      </c>
      <c r="IC947" s="279">
        <f>SUM(CK947:CP947)</f>
        <v>-117.94118653012882</v>
      </c>
      <c r="ID947" s="323">
        <f>IB947+IC947</f>
        <v>-65.311885181128815</v>
      </c>
      <c r="IE947" s="279">
        <f>SUM(CQ947:CV947)</f>
        <v>53.760901325408653</v>
      </c>
      <c r="IF947" s="279">
        <f>SUM(CW947:DB947)</f>
        <v>-35.466425543534484</v>
      </c>
      <c r="IG947" s="323">
        <f>IE947+IF947</f>
        <v>18.294475781874169</v>
      </c>
      <c r="IH947" s="284">
        <f>SUM(DC947:DH947)</f>
        <v>120.9378397080188</v>
      </c>
      <c r="II947" s="279">
        <f>SUM(DI947:DN947)</f>
        <v>-41.432714187721849</v>
      </c>
      <c r="IJ947" s="323">
        <f>IH947+II947</f>
        <v>79.505125520296957</v>
      </c>
      <c r="IK947" s="327">
        <f>SUM(DO947:DT947)</f>
        <v>70.931720104611429</v>
      </c>
      <c r="IL947" s="279">
        <f>SUM(DU947:DZ947)</f>
        <v>-41.68863330270753</v>
      </c>
      <c r="IM947" s="323">
        <f>IK947+IL947</f>
        <v>29.2430868019039</v>
      </c>
      <c r="IN947" s="279">
        <f>SUM(EA947:EF947)</f>
        <v>142.28879537071234</v>
      </c>
      <c r="IO947" s="279">
        <f>SUM(EG947:EL947)</f>
        <v>-37.092242064925316</v>
      </c>
      <c r="IP947" s="323">
        <f>IN947+IO947</f>
        <v>105.19655330578702</v>
      </c>
      <c r="IQ947" s="327">
        <f>SUM(EM947:ER947)</f>
        <v>157.44531569052688</v>
      </c>
      <c r="IR947" s="327">
        <f>SUM(ES947:EX947)</f>
        <v>-88.840718518665369</v>
      </c>
      <c r="IS947" s="323">
        <f>IQ947+IR947</f>
        <v>68.604597171861514</v>
      </c>
      <c r="IT947" s="1404">
        <f>+IT948+IT976</f>
        <v>261.82813610728766</v>
      </c>
      <c r="IU947" s="327">
        <f>SUM(FE947:FJ947)</f>
        <v>149.36188579634697</v>
      </c>
      <c r="IV947" s="323">
        <f>IT947+IU947</f>
        <v>411.1900219036346</v>
      </c>
      <c r="IW947" s="327">
        <f>SUM(FK947:FP947)</f>
        <v>340.96192253185802</v>
      </c>
      <c r="IX947" s="327">
        <f>SUM(FQ947:FV947)</f>
        <v>-188.13447992189938</v>
      </c>
      <c r="IY947" s="323">
        <f t="shared" si="1621"/>
        <v>152.82744260995864</v>
      </c>
      <c r="IZ947" s="327">
        <f t="shared" si="1921"/>
        <v>182.57496366812529</v>
      </c>
      <c r="JA947" s="327">
        <f t="shared" si="1922"/>
        <v>336.91348604149357</v>
      </c>
      <c r="JB947" s="323">
        <f t="shared" si="1823"/>
        <v>519.48844970961886</v>
      </c>
      <c r="JC947" s="327">
        <f t="shared" si="1923"/>
        <v>-37.233497481741836</v>
      </c>
      <c r="JD947" s="327">
        <f t="shared" si="1924"/>
        <v>32.710359993364747</v>
      </c>
      <c r="JE947" s="323">
        <f t="shared" si="1912"/>
        <v>-4.5231374883770883</v>
      </c>
      <c r="JF947" s="327">
        <f>+JF948+JF985</f>
        <v>215.68712709327374</v>
      </c>
      <c r="JG947" s="327">
        <f>+JG948+JG985</f>
        <v>-116.87862506134815</v>
      </c>
      <c r="JH947" s="323">
        <f>JF947+JG947</f>
        <v>98.808502031925599</v>
      </c>
      <c r="JI947" s="327">
        <f t="shared" si="1744"/>
        <v>791.21481631413519</v>
      </c>
      <c r="JJ947" s="1404">
        <f t="shared" si="1871"/>
        <v>-426.36461213121481</v>
      </c>
      <c r="JK947" s="323">
        <f t="shared" ref="JK947:JK1010" si="1933">JI947+JJ947</f>
        <v>364.85020418292038</v>
      </c>
      <c r="JL947" s="1404">
        <f t="shared" si="1704"/>
        <v>411.68763053145938</v>
      </c>
      <c r="JM947" s="1404">
        <f>+JM948+JM985</f>
        <v>421.28167401131424</v>
      </c>
      <c r="JN947" s="323">
        <f>FISC!AK1268</f>
        <v>723.66845986924022</v>
      </c>
      <c r="JO947" s="1404">
        <f>+JO948+JO985</f>
        <v>306.79416575811354</v>
      </c>
      <c r="JP947" s="1404">
        <f>+JP948+JP985</f>
        <v>340.70604393415584</v>
      </c>
      <c r="JQ947" s="323">
        <f>FISC!AL1268</f>
        <v>647.50020969226932</v>
      </c>
      <c r="JR947" s="1404">
        <f>+JR948+JR985</f>
        <v>319.24937319570597</v>
      </c>
      <c r="JS947" s="1404">
        <f>+JS948+JS985</f>
        <v>216.09245445256775</v>
      </c>
      <c r="JT947" s="323">
        <f>FISC!AM1268</f>
        <v>535.34182764827369</v>
      </c>
      <c r="JU947" s="1404">
        <f>+JU948+JU985</f>
        <v>98.504879862531254</v>
      </c>
      <c r="JV947" s="1404">
        <f>+JV948+JV985</f>
        <v>99.753402717190937</v>
      </c>
      <c r="JW947" s="323">
        <f>FISC!AN1268</f>
        <v>198.25828257972222</v>
      </c>
      <c r="JX947" s="1404">
        <f>+JX948+JX985</f>
        <v>93.720548068413507</v>
      </c>
      <c r="JY947" s="1404">
        <f>+JY948+JY985</f>
        <v>95.755507585047368</v>
      </c>
      <c r="JZ947" s="323">
        <f>FISC!AO1268</f>
        <v>189.47605565346089</v>
      </c>
      <c r="KA947" s="1404">
        <f>+KA948+KA985</f>
        <v>91.550616259446898</v>
      </c>
      <c r="KB947" s="1404">
        <f>+KB948+KB985</f>
        <v>91.933907986046904</v>
      </c>
      <c r="KC947" s="323">
        <f>FISC!AP1268</f>
        <v>183.48452424549382</v>
      </c>
      <c r="KD947" s="1404">
        <f>+KD948+KD985</f>
        <v>99.920303605938983</v>
      </c>
      <c r="KE947" s="1404">
        <f>+KE948+KE985</f>
        <v>100.30359533253899</v>
      </c>
      <c r="KF947" s="323">
        <f>FISC!AQ1268</f>
        <v>200.22389893847799</v>
      </c>
      <c r="KG947" s="1404">
        <f>+KG948+KG985</f>
        <v>108.72677060749312</v>
      </c>
      <c r="KH947" s="1404">
        <f>+KH948+KH985</f>
        <v>109.11006233409313</v>
      </c>
      <c r="KI947" s="323">
        <f>FISC!AR1268</f>
        <v>217.83683294158627</v>
      </c>
      <c r="KJ947" s="1404">
        <f>+KJ948+KJ985</f>
        <v>118.73189833455385</v>
      </c>
      <c r="KK947" s="1404">
        <f>+KK948+KK985</f>
        <v>119.11519006115385</v>
      </c>
      <c r="KL947" s="323">
        <f>FISC!AS1268</f>
        <v>237.84708839570771</v>
      </c>
      <c r="KM947" s="1404">
        <f>+KM948+KM985</f>
        <v>145.99543787205619</v>
      </c>
      <c r="KN947" s="1404">
        <f>+KN948+KN985</f>
        <v>146.37872959865618</v>
      </c>
      <c r="KO947" s="323">
        <f>FISC!AT1268</f>
        <v>292.37416747071239</v>
      </c>
      <c r="KU947" s="326"/>
      <c r="KV947" s="327"/>
      <c r="KY947" s="279">
        <f>KY948+KY985</f>
        <v>0</v>
      </c>
      <c r="KZ947" s="279">
        <f>KZ948+KZ985</f>
        <v>0</v>
      </c>
      <c r="LA947" s="279">
        <f>LA948+LA985</f>
        <v>0</v>
      </c>
      <c r="LB947" s="279">
        <f>LB948+LB985</f>
        <v>0</v>
      </c>
    </row>
    <row r="948" spans="1:314">
      <c r="A948" s="279"/>
      <c r="B948" s="96" t="s">
        <v>338</v>
      </c>
      <c r="D948" s="333" t="s">
        <v>564</v>
      </c>
      <c r="E948" s="323">
        <f t="shared" ref="E948:AJ948" si="1934">E950+E966+E967</f>
        <v>0</v>
      </c>
      <c r="F948" s="323">
        <f t="shared" si="1934"/>
        <v>0</v>
      </c>
      <c r="G948" s="323">
        <f t="shared" si="1934"/>
        <v>0</v>
      </c>
      <c r="H948" s="323">
        <f t="shared" si="1934"/>
        <v>0</v>
      </c>
      <c r="I948" s="323">
        <f t="shared" si="1934"/>
        <v>0</v>
      </c>
      <c r="J948" s="323">
        <f t="shared" si="1934"/>
        <v>0</v>
      </c>
      <c r="K948" s="323">
        <f t="shared" si="1934"/>
        <v>0</v>
      </c>
      <c r="L948" s="323">
        <f t="shared" si="1934"/>
        <v>0</v>
      </c>
      <c r="M948" s="323">
        <f t="shared" si="1934"/>
        <v>0</v>
      </c>
      <c r="N948" s="323">
        <f t="shared" si="1934"/>
        <v>0</v>
      </c>
      <c r="O948" s="323">
        <f t="shared" si="1934"/>
        <v>0</v>
      </c>
      <c r="P948" s="323">
        <f t="shared" si="1934"/>
        <v>0</v>
      </c>
      <c r="Q948" s="323">
        <f t="shared" si="1934"/>
        <v>0</v>
      </c>
      <c r="R948" s="323">
        <f t="shared" si="1934"/>
        <v>0</v>
      </c>
      <c r="S948" s="323">
        <f t="shared" si="1934"/>
        <v>0</v>
      </c>
      <c r="T948" s="323">
        <f t="shared" si="1934"/>
        <v>0</v>
      </c>
      <c r="U948" s="323">
        <f t="shared" si="1934"/>
        <v>0</v>
      </c>
      <c r="V948" s="323">
        <f t="shared" si="1934"/>
        <v>0</v>
      </c>
      <c r="W948" s="323">
        <f t="shared" si="1934"/>
        <v>0</v>
      </c>
      <c r="X948" s="323">
        <f t="shared" si="1934"/>
        <v>0</v>
      </c>
      <c r="Y948" s="323">
        <f t="shared" si="1934"/>
        <v>0</v>
      </c>
      <c r="Z948" s="323">
        <f t="shared" si="1934"/>
        <v>0</v>
      </c>
      <c r="AA948" s="323">
        <f t="shared" si="1934"/>
        <v>0</v>
      </c>
      <c r="AB948" s="323">
        <f t="shared" si="1934"/>
        <v>0</v>
      </c>
      <c r="AC948" s="323">
        <f t="shared" si="1934"/>
        <v>0</v>
      </c>
      <c r="AD948" s="323">
        <f t="shared" si="1934"/>
        <v>0</v>
      </c>
      <c r="AE948" s="323">
        <f t="shared" si="1934"/>
        <v>0</v>
      </c>
      <c r="AF948" s="323">
        <f t="shared" si="1934"/>
        <v>0</v>
      </c>
      <c r="AG948" s="323">
        <f t="shared" si="1934"/>
        <v>0</v>
      </c>
      <c r="AH948" s="323">
        <f t="shared" si="1934"/>
        <v>0</v>
      </c>
      <c r="AI948" s="323">
        <f t="shared" si="1934"/>
        <v>0</v>
      </c>
      <c r="AJ948" s="323">
        <f t="shared" si="1934"/>
        <v>0</v>
      </c>
      <c r="AK948" s="323">
        <f t="shared" ref="AK948:BP948" si="1935">AK950+AK966+AK967</f>
        <v>0</v>
      </c>
      <c r="AL948" s="323">
        <f t="shared" si="1935"/>
        <v>0</v>
      </c>
      <c r="AM948" s="323">
        <f t="shared" si="1935"/>
        <v>0</v>
      </c>
      <c r="AN948" s="323">
        <f t="shared" si="1935"/>
        <v>0</v>
      </c>
      <c r="AO948" s="323">
        <f t="shared" si="1935"/>
        <v>0</v>
      </c>
      <c r="AP948" s="323">
        <f t="shared" si="1935"/>
        <v>0</v>
      </c>
      <c r="AQ948" s="323">
        <f t="shared" si="1935"/>
        <v>0</v>
      </c>
      <c r="AR948" s="323">
        <f t="shared" si="1935"/>
        <v>0</v>
      </c>
      <c r="AS948" s="323">
        <f t="shared" si="1935"/>
        <v>0</v>
      </c>
      <c r="AT948" s="323">
        <f t="shared" si="1935"/>
        <v>0</v>
      </c>
      <c r="AU948" s="323">
        <f t="shared" si="1935"/>
        <v>0</v>
      </c>
      <c r="AV948" s="323">
        <f t="shared" si="1935"/>
        <v>0</v>
      </c>
      <c r="AW948" s="323">
        <f t="shared" si="1935"/>
        <v>0</v>
      </c>
      <c r="AX948" s="323">
        <f t="shared" si="1935"/>
        <v>0</v>
      </c>
      <c r="AY948" s="323">
        <f t="shared" si="1935"/>
        <v>0</v>
      </c>
      <c r="AZ948" s="323">
        <f t="shared" si="1935"/>
        <v>0</v>
      </c>
      <c r="BA948" s="323">
        <f t="shared" si="1935"/>
        <v>0</v>
      </c>
      <c r="BB948" s="323">
        <f t="shared" si="1935"/>
        <v>0</v>
      </c>
      <c r="BC948" s="323">
        <f t="shared" si="1935"/>
        <v>0</v>
      </c>
      <c r="BD948" s="323">
        <f t="shared" si="1935"/>
        <v>0</v>
      </c>
      <c r="BE948" s="323">
        <f t="shared" si="1935"/>
        <v>0</v>
      </c>
      <c r="BF948" s="323">
        <f t="shared" si="1935"/>
        <v>0</v>
      </c>
      <c r="BG948" s="323">
        <f t="shared" si="1935"/>
        <v>0</v>
      </c>
      <c r="BH948" s="323">
        <f t="shared" si="1935"/>
        <v>0</v>
      </c>
      <c r="BI948" s="323">
        <f t="shared" si="1935"/>
        <v>0</v>
      </c>
      <c r="BJ948" s="323">
        <f t="shared" si="1935"/>
        <v>0</v>
      </c>
      <c r="BK948" s="323">
        <f t="shared" si="1935"/>
        <v>0</v>
      </c>
      <c r="BL948" s="323">
        <f t="shared" si="1935"/>
        <v>0</v>
      </c>
      <c r="BM948" s="323">
        <f t="shared" si="1935"/>
        <v>0</v>
      </c>
      <c r="BN948" s="323">
        <f t="shared" si="1935"/>
        <v>0</v>
      </c>
      <c r="BO948" s="323">
        <f t="shared" si="1935"/>
        <v>0</v>
      </c>
      <c r="BP948" s="323">
        <f t="shared" si="1935"/>
        <v>0</v>
      </c>
      <c r="BQ948" s="323">
        <f t="shared" ref="BQ948:CV948" si="1936">BQ950+BQ966+BQ967</f>
        <v>0</v>
      </c>
      <c r="BR948" s="323">
        <f t="shared" si="1936"/>
        <v>0</v>
      </c>
      <c r="BS948" s="323">
        <f t="shared" si="1936"/>
        <v>0</v>
      </c>
      <c r="BT948" s="323">
        <f t="shared" si="1936"/>
        <v>0</v>
      </c>
      <c r="BU948" s="323">
        <f t="shared" si="1936"/>
        <v>0</v>
      </c>
      <c r="BV948" s="323">
        <f t="shared" si="1936"/>
        <v>0</v>
      </c>
      <c r="BW948" s="323">
        <f t="shared" si="1936"/>
        <v>0</v>
      </c>
      <c r="BX948" s="323">
        <f t="shared" si="1936"/>
        <v>0</v>
      </c>
      <c r="BY948" s="323">
        <f t="shared" si="1936"/>
        <v>0</v>
      </c>
      <c r="BZ948" s="323">
        <f t="shared" si="1936"/>
        <v>0</v>
      </c>
      <c r="CA948" s="323">
        <f t="shared" si="1936"/>
        <v>0</v>
      </c>
      <c r="CB948" s="323">
        <f t="shared" si="1936"/>
        <v>0</v>
      </c>
      <c r="CC948" s="323">
        <f t="shared" si="1936"/>
        <v>0</v>
      </c>
      <c r="CD948" s="329">
        <f t="shared" si="1936"/>
        <v>0</v>
      </c>
      <c r="CE948" s="323">
        <f t="shared" si="1936"/>
        <v>6.9172833290000426</v>
      </c>
      <c r="CF948" s="323">
        <f t="shared" si="1936"/>
        <v>0.83358785699993732</v>
      </c>
      <c r="CG948" s="323">
        <f t="shared" si="1936"/>
        <v>18.765479859000035</v>
      </c>
      <c r="CH948" s="323">
        <f t="shared" si="1936"/>
        <v>15.635324646000015</v>
      </c>
      <c r="CI948" s="323">
        <f t="shared" si="1936"/>
        <v>-8.3810874069999954</v>
      </c>
      <c r="CJ948" s="323">
        <f t="shared" si="1936"/>
        <v>18.858713064999961</v>
      </c>
      <c r="CK948" s="323">
        <f t="shared" si="1936"/>
        <v>-27.16729655594267</v>
      </c>
      <c r="CL948" s="323">
        <f t="shared" si="1936"/>
        <v>-28.512868685252101</v>
      </c>
      <c r="CM948" s="323">
        <f t="shared" si="1936"/>
        <v>-3.943191748377993</v>
      </c>
      <c r="CN948" s="323">
        <f t="shared" si="1936"/>
        <v>-15.598618122839355</v>
      </c>
      <c r="CO948" s="323">
        <f t="shared" si="1936"/>
        <v>8.2661012485531078</v>
      </c>
      <c r="CP948" s="325">
        <f t="shared" si="1936"/>
        <v>-50.985312666269827</v>
      </c>
      <c r="CQ948" s="323">
        <f t="shared" si="1936"/>
        <v>-36.71231483296112</v>
      </c>
      <c r="CR948" s="323">
        <f t="shared" si="1936"/>
        <v>6.0564876716809755</v>
      </c>
      <c r="CS948" s="323">
        <f t="shared" si="1936"/>
        <v>0.24889954428293093</v>
      </c>
      <c r="CT948" s="323">
        <f t="shared" si="1936"/>
        <v>-3.236720825950091</v>
      </c>
      <c r="CU948" s="323">
        <f t="shared" si="1936"/>
        <v>0.65324416649547723</v>
      </c>
      <c r="CV948" s="323">
        <f t="shared" si="1936"/>
        <v>86.75130560186048</v>
      </c>
      <c r="CW948" s="323">
        <f t="shared" ref="CW948:DW948" si="1937">CW950+CW966+CW967</f>
        <v>-9.2731324024067145</v>
      </c>
      <c r="CX948" s="323">
        <f t="shared" si="1937"/>
        <v>39.321639286877286</v>
      </c>
      <c r="CY948" s="323">
        <f t="shared" si="1937"/>
        <v>-15.458830137553322</v>
      </c>
      <c r="CZ948" s="323">
        <f t="shared" si="1937"/>
        <v>-20.78863218766784</v>
      </c>
      <c r="DA948" s="323">
        <f t="shared" si="1937"/>
        <v>-7.7543217702998817</v>
      </c>
      <c r="DB948" s="1269">
        <f t="shared" si="1937"/>
        <v>-21.513148332484011</v>
      </c>
      <c r="DC948" s="323">
        <f t="shared" si="1937"/>
        <v>14.867144568951886</v>
      </c>
      <c r="DD948" s="323">
        <f t="shared" si="1937"/>
        <v>25.855461323012996</v>
      </c>
      <c r="DE948" s="323">
        <f t="shared" si="1937"/>
        <v>38.636509055117735</v>
      </c>
      <c r="DF948" s="323">
        <f t="shared" si="1937"/>
        <v>-44.672619050308526</v>
      </c>
      <c r="DG948" s="323">
        <f t="shared" si="1937"/>
        <v>14.622591475292571</v>
      </c>
      <c r="DH948" s="323">
        <f t="shared" si="1937"/>
        <v>71.628752335952129</v>
      </c>
      <c r="DI948" s="323">
        <f t="shared" si="1937"/>
        <v>-31.95125230669165</v>
      </c>
      <c r="DJ948" s="323">
        <f t="shared" si="1937"/>
        <v>10.461122584734927</v>
      </c>
      <c r="DK948" s="323">
        <f t="shared" si="1937"/>
        <v>24.864842569092946</v>
      </c>
      <c r="DL948" s="323">
        <f t="shared" si="1937"/>
        <v>2.7282702357296826</v>
      </c>
      <c r="DM948" s="323">
        <f t="shared" si="1937"/>
        <v>-17.450047754154298</v>
      </c>
      <c r="DN948" s="325">
        <f t="shared" si="1937"/>
        <v>-30.085649516433456</v>
      </c>
      <c r="DO948" s="323">
        <f t="shared" si="1937"/>
        <v>24.280271245071976</v>
      </c>
      <c r="DP948" s="323">
        <f t="shared" si="1937"/>
        <v>18.341800723596283</v>
      </c>
      <c r="DQ948" s="323">
        <f t="shared" si="1937"/>
        <v>12.39083599307034</v>
      </c>
      <c r="DR948" s="323">
        <f t="shared" si="1937"/>
        <v>-6.1314919285556213</v>
      </c>
      <c r="DS948" s="323">
        <f t="shared" si="1937"/>
        <v>3.9001576734480921</v>
      </c>
      <c r="DT948" s="323">
        <f t="shared" si="1937"/>
        <v>18.150146397980365</v>
      </c>
      <c r="DU948" s="323">
        <f t="shared" si="1937"/>
        <v>17.014690429328425</v>
      </c>
      <c r="DV948" s="323">
        <f t="shared" si="1937"/>
        <v>-47.983298171799049</v>
      </c>
      <c r="DW948" s="323">
        <f t="shared" si="1937"/>
        <v>36.43424047194793</v>
      </c>
      <c r="DX948" s="323">
        <f>DX950+DX966+DX967+DX976</f>
        <v>-5.5771981815898544</v>
      </c>
      <c r="DY948" s="323">
        <f>DY950+DY966+DY967</f>
        <v>-33.710608219726048</v>
      </c>
      <c r="DZ948" s="325">
        <f>DZ950+DZ966+DZ967</f>
        <v>-7.8664596308689347</v>
      </c>
      <c r="EA948" s="323">
        <f t="shared" ref="EA948:EK948" si="1938">EA950+EA966+EA967+EA976</f>
        <v>0.21931586527290392</v>
      </c>
      <c r="EB948" s="323">
        <f t="shared" si="1938"/>
        <v>16.572225853972824</v>
      </c>
      <c r="EC948" s="323">
        <f t="shared" si="1938"/>
        <v>37.522925416834028</v>
      </c>
      <c r="ED948" s="323">
        <f t="shared" si="1938"/>
        <v>-4.2118037828783432</v>
      </c>
      <c r="EE948" s="323">
        <f t="shared" si="1938"/>
        <v>10.936461576093924</v>
      </c>
      <c r="EF948" s="323">
        <f t="shared" si="1938"/>
        <v>81.249670441416995</v>
      </c>
      <c r="EG948" s="323">
        <f t="shared" si="1938"/>
        <v>5.1779432167129436E-3</v>
      </c>
      <c r="EH948" s="323">
        <f t="shared" si="1938"/>
        <v>-15.302797650300407</v>
      </c>
      <c r="EI948" s="323">
        <f t="shared" si="1938"/>
        <v>8.548882778903014</v>
      </c>
      <c r="EJ948" s="323">
        <f t="shared" si="1938"/>
        <v>-11.145874326467542</v>
      </c>
      <c r="EK948" s="323">
        <f t="shared" si="1938"/>
        <v>-14.991042163788611</v>
      </c>
      <c r="EL948" s="325">
        <f t="shared" ref="EL948:FI948" si="1939">EL950+EL966+EL967</f>
        <v>-4.2065886464884841</v>
      </c>
      <c r="EM948" s="323">
        <f t="shared" si="1939"/>
        <v>15.393488729066524</v>
      </c>
      <c r="EN948" s="323">
        <f t="shared" si="1939"/>
        <v>39.014138975798588</v>
      </c>
      <c r="EO948" s="323">
        <f t="shared" si="1939"/>
        <v>7.9711922221392904</v>
      </c>
      <c r="EP948" s="323">
        <f t="shared" si="1939"/>
        <v>-35.810316748697858</v>
      </c>
      <c r="EQ948" s="323">
        <f t="shared" si="1939"/>
        <v>-6.1247204068983763</v>
      </c>
      <c r="ER948" s="323">
        <f t="shared" si="1939"/>
        <v>137.00153291911872</v>
      </c>
      <c r="ES948" s="323">
        <f t="shared" si="1939"/>
        <v>-35.46871774235305</v>
      </c>
      <c r="ET948" s="323">
        <f t="shared" si="1939"/>
        <v>-20.123140095056328</v>
      </c>
      <c r="EU948" s="323">
        <f t="shared" si="1939"/>
        <v>-24.407681035509874</v>
      </c>
      <c r="EV948" s="323">
        <f t="shared" si="1939"/>
        <v>-12.07224302795575</v>
      </c>
      <c r="EW948" s="323">
        <f t="shared" si="1939"/>
        <v>-24.908431685148855</v>
      </c>
      <c r="EX948" s="325">
        <f t="shared" si="1939"/>
        <v>28.139495067358503</v>
      </c>
      <c r="EY948" s="323">
        <f t="shared" si="1939"/>
        <v>-5.867909491846139</v>
      </c>
      <c r="EZ948" s="323">
        <f t="shared" si="1939"/>
        <v>20.596399391363988</v>
      </c>
      <c r="FA948" s="323">
        <f t="shared" si="1939"/>
        <v>22.794672488586684</v>
      </c>
      <c r="FB948" s="323">
        <f t="shared" si="1939"/>
        <v>107.34179312054232</v>
      </c>
      <c r="FC948" s="323">
        <f t="shared" si="1939"/>
        <v>-12.715611256085412</v>
      </c>
      <c r="FD948" s="323">
        <f t="shared" si="1939"/>
        <v>129.67879185472623</v>
      </c>
      <c r="FE948" s="323">
        <f t="shared" si="1939"/>
        <v>25.999761652616257</v>
      </c>
      <c r="FF948" s="323">
        <f t="shared" si="1939"/>
        <v>-44.018381108958152</v>
      </c>
      <c r="FG948" s="323">
        <f t="shared" si="1939"/>
        <v>6.0005842049300195</v>
      </c>
      <c r="FH948" s="323">
        <f t="shared" si="1939"/>
        <v>83.770729693053681</v>
      </c>
      <c r="FI948" s="323">
        <f t="shared" si="1939"/>
        <v>-68.821967424908053</v>
      </c>
      <c r="FJ948" s="325">
        <f t="shared" ref="FJ948:FP948" si="1940">FJ950+FJ966+FJ967+FJ976</f>
        <v>146.43115877961321</v>
      </c>
      <c r="FK948" s="323">
        <f t="shared" si="1940"/>
        <v>119.22756809292434</v>
      </c>
      <c r="FL948" s="323">
        <f t="shared" si="1940"/>
        <v>5.9306405441228662</v>
      </c>
      <c r="FM948" s="323">
        <f t="shared" si="1940"/>
        <v>146.41001174146845</v>
      </c>
      <c r="FN948" s="323">
        <f t="shared" si="1940"/>
        <v>-9.0578340629144805</v>
      </c>
      <c r="FO948" s="323">
        <f t="shared" si="1940"/>
        <v>-74.953970690193884</v>
      </c>
      <c r="FP948" s="323">
        <f t="shared" si="1940"/>
        <v>153.40550690645074</v>
      </c>
      <c r="FQ948" s="323">
        <f t="shared" ref="FQ948:FV948" si="1941">FQ950+FQ966+FQ967+FQ976</f>
        <v>-30.843539113094504</v>
      </c>
      <c r="FR948" s="323">
        <f t="shared" si="1941"/>
        <v>-85.072845498500726</v>
      </c>
      <c r="FS948" s="323">
        <f t="shared" si="1941"/>
        <v>40.718999412644692</v>
      </c>
      <c r="FT948" s="323">
        <f t="shared" si="1941"/>
        <v>39.224747785548615</v>
      </c>
      <c r="FU948" s="323">
        <f t="shared" si="1941"/>
        <v>-92.130388752293868</v>
      </c>
      <c r="FV948" s="323">
        <f t="shared" si="1941"/>
        <v>-60.031453756203597</v>
      </c>
      <c r="FW948" s="323">
        <v>80.849744616155718</v>
      </c>
      <c r="FX948" s="323">
        <v>150.77380136965814</v>
      </c>
      <c r="FY948" s="323">
        <v>-96.515595033519446</v>
      </c>
      <c r="FZ948" s="323">
        <v>-16.423616436418332</v>
      </c>
      <c r="GA948" s="323">
        <v>16.012185380023897</v>
      </c>
      <c r="GB948" s="323">
        <v>47.878443772225324</v>
      </c>
      <c r="GC948" s="323">
        <v>-107.48696695392698</v>
      </c>
      <c r="GD948" s="323">
        <v>-23.883908553679504</v>
      </c>
      <c r="GE948" s="323">
        <v>197.23083970071414</v>
      </c>
      <c r="GF948" s="323">
        <v>40.372582589854844</v>
      </c>
      <c r="GG948" s="323">
        <v>78.22748777429949</v>
      </c>
      <c r="GH948" s="323">
        <v>-1.3949119907684526</v>
      </c>
      <c r="GI948" s="1654">
        <f t="shared" ref="GI948:HR948" si="1942">GI950+GI967+GI976+GI982+GI983+GI984</f>
        <v>24.983264202359386</v>
      </c>
      <c r="GJ948" s="1654">
        <f t="shared" si="1942"/>
        <v>-150.03712934709645</v>
      </c>
      <c r="GK948" s="1654">
        <f t="shared" si="1942"/>
        <v>39.300457227806788</v>
      </c>
      <c r="GL948" s="1654">
        <f t="shared" si="1942"/>
        <v>-29.711152254646777</v>
      </c>
      <c r="GM948" s="1654">
        <f t="shared" si="1942"/>
        <v>-17.735487423972842</v>
      </c>
      <c r="GN948" s="1654">
        <f t="shared" si="1942"/>
        <v>95.966550113808069</v>
      </c>
      <c r="GO948" s="1654">
        <f t="shared" si="1942"/>
        <v>-142.87445492192867</v>
      </c>
      <c r="GP948" s="1654">
        <f t="shared" si="1942"/>
        <v>-63.499206614089871</v>
      </c>
      <c r="GQ948" s="1654">
        <f t="shared" si="1942"/>
        <v>228.25965383776924</v>
      </c>
      <c r="GR948" s="1654">
        <f t="shared" si="1942"/>
        <v>127.13996650138391</v>
      </c>
      <c r="GS948" s="1654">
        <f t="shared" si="1942"/>
        <v>-19.203985122261894</v>
      </c>
      <c r="GT948" s="1654">
        <f t="shared" si="1942"/>
        <v>-28.997288913487953</v>
      </c>
      <c r="GU948" s="1654">
        <f t="shared" si="1942"/>
        <v>-47.662691463975833</v>
      </c>
      <c r="GV948" s="1654">
        <f t="shared" si="1942"/>
        <v>-98.987453449816542</v>
      </c>
      <c r="GW948" s="1654">
        <f t="shared" si="1942"/>
        <v>19.174954712031905</v>
      </c>
      <c r="GX948" s="1654">
        <f t="shared" si="1942"/>
        <v>-65.166303498367355</v>
      </c>
      <c r="GY948" s="1654">
        <f t="shared" si="1942"/>
        <v>53.259604776867398</v>
      </c>
      <c r="GZ948" s="1654">
        <f t="shared" si="1942"/>
        <v>355.06901601653414</v>
      </c>
      <c r="HA948" s="1654">
        <f t="shared" si="1942"/>
        <v>-256.84020704311473</v>
      </c>
      <c r="HB948" s="1654">
        <f t="shared" si="1942"/>
        <v>-39.273015379897501</v>
      </c>
      <c r="HC948" s="1654">
        <f t="shared" si="1942"/>
        <v>89.565157689612974</v>
      </c>
      <c r="HD948" s="1654">
        <f t="shared" si="1942"/>
        <v>23.055579514621737</v>
      </c>
      <c r="HE948" s="1654">
        <f t="shared" si="1942"/>
        <v>-75.758480895684471</v>
      </c>
      <c r="HF948" s="1654">
        <f t="shared" si="1942"/>
        <v>142.37234105311384</v>
      </c>
      <c r="HG948" s="1654">
        <f t="shared" si="1942"/>
        <v>-33.978799655606913</v>
      </c>
      <c r="HH948" s="1654">
        <f t="shared" si="1942"/>
        <v>-40.132260417030842</v>
      </c>
      <c r="HI948" s="1654">
        <f t="shared" si="1942"/>
        <v>94.85410809080777</v>
      </c>
      <c r="HJ948" s="1654">
        <f t="shared" si="1942"/>
        <v>-70.520888409812741</v>
      </c>
      <c r="HK948" s="1654">
        <f t="shared" si="1942"/>
        <v>48.430559967651021</v>
      </c>
      <c r="HL948" s="1654">
        <f t="shared" si="1942"/>
        <v>792.56209673812691</v>
      </c>
      <c r="HM948" s="1654">
        <f t="shared" si="1942"/>
        <v>-154.20577812699068</v>
      </c>
      <c r="HN948" s="1654">
        <f t="shared" si="1942"/>
        <v>-254.06199190150886</v>
      </c>
      <c r="HO948" s="1654">
        <f t="shared" si="1942"/>
        <v>-89.284739788098946</v>
      </c>
      <c r="HP948" s="1654">
        <f t="shared" si="1942"/>
        <v>24.194064477594257</v>
      </c>
      <c r="HQ948" s="1654">
        <f t="shared" si="1942"/>
        <v>-69.253452362449295</v>
      </c>
      <c r="HR948" s="1654">
        <f t="shared" si="1942"/>
        <v>116.24728557023869</v>
      </c>
      <c r="HS948" s="1654">
        <f t="shared" ref="HS948:HX948" si="1943">HS950+HS967+HS976+HS982+HS983+HS984</f>
        <v>-29.799462908687673</v>
      </c>
      <c r="HT948" s="1654">
        <f t="shared" si="1943"/>
        <v>48.685636866335429</v>
      </c>
      <c r="HU948" s="1654">
        <f t="shared" si="1943"/>
        <v>304.68959095990658</v>
      </c>
      <c r="HV948" s="1654">
        <f t="shared" si="1943"/>
        <v>-48.070490199066029</v>
      </c>
      <c r="HW948" s="1654">
        <f t="shared" si="1943"/>
        <v>79.65502831134414</v>
      </c>
      <c r="HX948" s="1654">
        <f t="shared" si="1943"/>
        <v>56.527327501626957</v>
      </c>
      <c r="HY948" s="1654"/>
      <c r="HZ948" s="326"/>
      <c r="IA948" s="333" t="s">
        <v>564</v>
      </c>
      <c r="IB948" s="284">
        <f>SUM(CE948:CJ948)</f>
        <v>52.629301348999995</v>
      </c>
      <c r="IC948" s="279">
        <f>SUM(CK948:CP948)</f>
        <v>-117.94118653012882</v>
      </c>
      <c r="ID948" s="323">
        <f>IB948+IC948</f>
        <v>-65.311885181128815</v>
      </c>
      <c r="IE948" s="279">
        <f>SUM(CQ948:CV948)</f>
        <v>53.760901325408653</v>
      </c>
      <c r="IF948" s="279">
        <f>SUM(CW948:DB948)</f>
        <v>-35.466425543534484</v>
      </c>
      <c r="IG948" s="323">
        <f>IE948+IF948</f>
        <v>18.294475781874169</v>
      </c>
      <c r="IH948" s="284">
        <f>SUM(DC948:DH948)</f>
        <v>120.9378397080188</v>
      </c>
      <c r="II948" s="279">
        <f>SUM(DI948:DN948)</f>
        <v>-41.432714187721849</v>
      </c>
      <c r="IJ948" s="323">
        <f>IH948+II948</f>
        <v>79.505125520296957</v>
      </c>
      <c r="IK948" s="327">
        <f>SUM(DO948:DT948)</f>
        <v>70.931720104611429</v>
      </c>
      <c r="IL948" s="279">
        <f>SUM(DU948:DZ948)</f>
        <v>-41.68863330270753</v>
      </c>
      <c r="IM948" s="323">
        <f>IK948+IL948</f>
        <v>29.2430868019039</v>
      </c>
      <c r="IN948" s="279">
        <f>SUM(EA948:EF948)</f>
        <v>142.28879537071234</v>
      </c>
      <c r="IO948" s="279">
        <f>SUM(EG948:EL948)</f>
        <v>-37.092242064925316</v>
      </c>
      <c r="IP948" s="323">
        <f>IN948+IO948</f>
        <v>105.19655330578702</v>
      </c>
      <c r="IQ948" s="327">
        <f>SUM(EM948:ER948)</f>
        <v>157.44531569052688</v>
      </c>
      <c r="IR948" s="327">
        <f>SUM(ES948:EX948)</f>
        <v>-88.840718518665369</v>
      </c>
      <c r="IS948" s="323">
        <f>IQ948+IR948</f>
        <v>68.604597171861514</v>
      </c>
      <c r="IT948" s="1404">
        <f>+IT950+IT966+IT967</f>
        <v>261.82813610728766</v>
      </c>
      <c r="IU948" s="327">
        <f>SUM(FE948:FJ948)</f>
        <v>149.36188579634697</v>
      </c>
      <c r="IV948" s="323">
        <f>IT948+IU948</f>
        <v>411.1900219036346</v>
      </c>
      <c r="IW948" s="327">
        <f>SUM(FK948:FP948)</f>
        <v>340.96192253185802</v>
      </c>
      <c r="IX948" s="327">
        <f>SUM(FQ948:FV948)</f>
        <v>-188.13447992189938</v>
      </c>
      <c r="IY948" s="323">
        <f t="shared" si="1621"/>
        <v>152.82744260995864</v>
      </c>
      <c r="IZ948" s="327">
        <f t="shared" si="1921"/>
        <v>182.57496366812529</v>
      </c>
      <c r="JA948" s="327">
        <f t="shared" si="1922"/>
        <v>183.06512256649353</v>
      </c>
      <c r="JB948" s="323">
        <f t="shared" si="1823"/>
        <v>365.64008623461882</v>
      </c>
      <c r="JC948" s="327">
        <f t="shared" si="1923"/>
        <v>-37.233497481741836</v>
      </c>
      <c r="JD948" s="327">
        <f t="shared" si="1924"/>
        <v>100.82468476738475</v>
      </c>
      <c r="JE948" s="323">
        <f t="shared" si="1912"/>
        <v>63.591187285642917</v>
      </c>
      <c r="JF948" s="327">
        <f>+JF950+JF966+JF967+JF976+JF982+JF983+JF984</f>
        <v>215.68712709327374</v>
      </c>
      <c r="JG948" s="327">
        <f>+JG950+JG966+JG967+JG976+JG982+JG983+JG984</f>
        <v>-116.87862506134815</v>
      </c>
      <c r="JH948" s="323">
        <f t="shared" ref="JH948:JH1021" si="1944">JF948+JG948</f>
        <v>98.808502031925599</v>
      </c>
      <c r="JI948" s="327">
        <f t="shared" si="1744"/>
        <v>791.21481631413519</v>
      </c>
      <c r="JJ948" s="1404">
        <f t="shared" si="1871"/>
        <v>-426.36461213121481</v>
      </c>
      <c r="JK948" s="323">
        <f t="shared" si="1933"/>
        <v>364.85020418292038</v>
      </c>
      <c r="JL948" s="1404">
        <f t="shared" si="1704"/>
        <v>411.68763053145938</v>
      </c>
      <c r="JM948" s="1404">
        <f>+JM950+JM966+JM967+JM976+JM982+JM983+JM984</f>
        <v>421.28167401131424</v>
      </c>
      <c r="JN948" s="323">
        <f>FISC!AK1269</f>
        <v>723.66845986924022</v>
      </c>
      <c r="JO948" s="1404">
        <f>+JO950+JO966+JO967+JO976+JO982+JO983+JO984</f>
        <v>306.79416575811354</v>
      </c>
      <c r="JP948" s="1404">
        <f>+JP950+JP966+JP967+JP976+JP982+JP983+JP984</f>
        <v>340.70604393415584</v>
      </c>
      <c r="JQ948" s="323">
        <f>FISC!AL1269</f>
        <v>647.50020969226932</v>
      </c>
      <c r="JR948" s="1404">
        <f>+JR950+JR966+JR967+JR976+JR982+JR983+JR984</f>
        <v>319.24937319570597</v>
      </c>
      <c r="JS948" s="1404">
        <f>+JS950+JS966+JS967+JS976+JS982+JS983+JS984</f>
        <v>216.09245445256775</v>
      </c>
      <c r="JT948" s="323">
        <f>FISC!AM1269</f>
        <v>535.34182764827369</v>
      </c>
      <c r="JU948" s="1404">
        <f>+JU950+JU966+JU967+JU976+JU982+JU983+JU984</f>
        <v>98.504879862531254</v>
      </c>
      <c r="JV948" s="1404">
        <f>+JV950+JV966+JV967+JV976+JV982+JV983+JV984</f>
        <v>99.753402717190937</v>
      </c>
      <c r="JW948" s="323">
        <f>FISC!AN1269</f>
        <v>198.25828257972222</v>
      </c>
      <c r="JX948" s="1404">
        <f>+JX950+JX966+JX967+JX976+JX982+JX983+JX984</f>
        <v>93.720548068413507</v>
      </c>
      <c r="JY948" s="1404">
        <f>+JY950+JY966+JY967+JY976+JY982+JY983+JY984</f>
        <v>95.755507585047368</v>
      </c>
      <c r="JZ948" s="323">
        <f>FISC!AO1269</f>
        <v>189.47605565346089</v>
      </c>
      <c r="KA948" s="1404">
        <f>+KA950+KA966+KA967+KA976+KA982+KA983+KA984</f>
        <v>91.550616259446898</v>
      </c>
      <c r="KB948" s="1404">
        <f>+KB950+KB966+KB967+KB976+KB982+KB983+KB984</f>
        <v>91.933907986046904</v>
      </c>
      <c r="KC948" s="323">
        <f>FISC!AP1269</f>
        <v>183.48452424549382</v>
      </c>
      <c r="KD948" s="1404">
        <f>+KD950+KD966+KD967+KD976+KD982+KD983+KD984</f>
        <v>99.920303605938983</v>
      </c>
      <c r="KE948" s="1404">
        <f>+KE950+KE966+KE967+KE976+KE982+KE983+KE984</f>
        <v>100.30359533253899</v>
      </c>
      <c r="KF948" s="323">
        <f>FISC!AQ1269</f>
        <v>200.22389893847799</v>
      </c>
      <c r="KG948" s="1404">
        <f>+KG950+KG966+KG967+KG976+KG982+KG983+KG984</f>
        <v>108.72677060749312</v>
      </c>
      <c r="KH948" s="1404">
        <f>+KH950+KH966+KH967+KH976+KH982+KH983+KH984</f>
        <v>109.11006233409313</v>
      </c>
      <c r="KI948" s="323">
        <f>FISC!AR1269</f>
        <v>217.83683294158627</v>
      </c>
      <c r="KJ948" s="1404">
        <f>+KJ950+KJ966+KJ967+KJ976+KJ982+KJ983+KJ984</f>
        <v>118.73189833455385</v>
      </c>
      <c r="KK948" s="1404">
        <f>+KK950+KK966+KK967+KK976+KK982+KK983+KK984</f>
        <v>119.11519006115385</v>
      </c>
      <c r="KL948" s="323">
        <f>FISC!AS1269</f>
        <v>237.84708839570771</v>
      </c>
      <c r="KM948" s="1404">
        <f>+KM950+KM966+KM967+KM976+KM982+KM983+KM984</f>
        <v>145.99543787205619</v>
      </c>
      <c r="KN948" s="1404">
        <f>+KN950+KN966+KN967+KN976+KN982+KN983+KN984</f>
        <v>146.37872959865618</v>
      </c>
      <c r="KO948" s="323">
        <f>FISC!AT1269</f>
        <v>292.37416747071239</v>
      </c>
      <c r="KU948" s="326"/>
      <c r="KV948" s="327"/>
      <c r="KY948" s="279">
        <f>KY950+KY966+KY967</f>
        <v>0</v>
      </c>
      <c r="KZ948" s="279">
        <f>KZ950+KZ966+KZ967</f>
        <v>0</v>
      </c>
      <c r="LA948" s="279">
        <f>LA950+LA966+LA967</f>
        <v>0</v>
      </c>
      <c r="LB948" s="279">
        <f>LB950+LB966+LB967</f>
        <v>0</v>
      </c>
    </row>
    <row r="949" spans="1:314">
      <c r="A949" s="279"/>
      <c r="D949" s="1573" t="s">
        <v>3217</v>
      </c>
      <c r="E949" s="323"/>
      <c r="F949" s="323"/>
      <c r="G949" s="323"/>
      <c r="H949" s="323"/>
      <c r="I949" s="323"/>
      <c r="J949" s="323"/>
      <c r="K949" s="323"/>
      <c r="L949" s="323"/>
      <c r="M949" s="323"/>
      <c r="N949" s="323"/>
      <c r="O949" s="323"/>
      <c r="P949" s="323"/>
      <c r="Q949" s="323"/>
      <c r="R949" s="323"/>
      <c r="S949" s="323"/>
      <c r="T949" s="323"/>
      <c r="U949" s="323"/>
      <c r="V949" s="323"/>
      <c r="W949" s="323"/>
      <c r="X949" s="323"/>
      <c r="Y949" s="323"/>
      <c r="Z949" s="323"/>
      <c r="AA949" s="323"/>
      <c r="AB949" s="323"/>
      <c r="AC949" s="323"/>
      <c r="AD949" s="323"/>
      <c r="AE949" s="323"/>
      <c r="AF949" s="323"/>
      <c r="AG949" s="323"/>
      <c r="AH949" s="323"/>
      <c r="AI949" s="323"/>
      <c r="AJ949" s="323"/>
      <c r="AK949" s="323"/>
      <c r="AL949" s="323"/>
      <c r="AM949" s="323"/>
      <c r="AN949" s="323"/>
      <c r="AO949" s="323"/>
      <c r="AP949" s="323"/>
      <c r="AQ949" s="323"/>
      <c r="AR949" s="323"/>
      <c r="AS949" s="323"/>
      <c r="AT949" s="323"/>
      <c r="AU949" s="323"/>
      <c r="AV949" s="323"/>
      <c r="AW949" s="323"/>
      <c r="AX949" s="323"/>
      <c r="AY949" s="323"/>
      <c r="AZ949" s="323"/>
      <c r="BA949" s="323"/>
      <c r="BB949" s="323"/>
      <c r="BC949" s="323"/>
      <c r="BD949" s="323"/>
      <c r="BE949" s="323"/>
      <c r="BF949" s="323"/>
      <c r="BG949" s="323"/>
      <c r="BH949" s="323"/>
      <c r="BI949" s="323"/>
      <c r="BJ949" s="323"/>
      <c r="BK949" s="323"/>
      <c r="BL949" s="323"/>
      <c r="BM949" s="323"/>
      <c r="BN949" s="323"/>
      <c r="BO949" s="323"/>
      <c r="BP949" s="323"/>
      <c r="BQ949" s="323"/>
      <c r="BR949" s="323"/>
      <c r="BS949" s="323"/>
      <c r="BT949" s="323"/>
      <c r="BU949" s="323"/>
      <c r="BV949" s="323"/>
      <c r="BW949" s="323"/>
      <c r="BX949" s="323"/>
      <c r="BY949" s="323"/>
      <c r="BZ949" s="323"/>
      <c r="CA949" s="323"/>
      <c r="CB949" s="323"/>
      <c r="CC949" s="323"/>
      <c r="CD949" s="329"/>
      <c r="CE949" s="323"/>
      <c r="CF949" s="323"/>
      <c r="CG949" s="323"/>
      <c r="CH949" s="323"/>
      <c r="CI949" s="323"/>
      <c r="CJ949" s="323"/>
      <c r="CK949" s="323"/>
      <c r="CL949" s="323"/>
      <c r="CM949" s="323"/>
      <c r="CN949" s="323"/>
      <c r="CO949" s="323"/>
      <c r="CP949" s="325"/>
      <c r="CQ949" s="323"/>
      <c r="CR949" s="323"/>
      <c r="CS949" s="323"/>
      <c r="CT949" s="323"/>
      <c r="CU949" s="323"/>
      <c r="CV949" s="323"/>
      <c r="CW949" s="323"/>
      <c r="CX949" s="323"/>
      <c r="CY949" s="323"/>
      <c r="CZ949" s="323"/>
      <c r="DA949" s="323"/>
      <c r="DB949" s="1269"/>
      <c r="DC949" s="323"/>
      <c r="DD949" s="323"/>
      <c r="DE949" s="323"/>
      <c r="DF949" s="323"/>
      <c r="DG949" s="323"/>
      <c r="DH949" s="323"/>
      <c r="DI949" s="323"/>
      <c r="DJ949" s="323"/>
      <c r="DK949" s="323"/>
      <c r="DL949" s="323"/>
      <c r="DM949" s="323"/>
      <c r="DN949" s="325"/>
      <c r="DO949" s="323"/>
      <c r="DP949" s="323"/>
      <c r="DQ949" s="323"/>
      <c r="DR949" s="323"/>
      <c r="DS949" s="323"/>
      <c r="DT949" s="323"/>
      <c r="DU949" s="323"/>
      <c r="DV949" s="323"/>
      <c r="DW949" s="323"/>
      <c r="DX949" s="323"/>
      <c r="DY949" s="323"/>
      <c r="DZ949" s="325"/>
      <c r="EA949" s="323"/>
      <c r="EB949" s="323"/>
      <c r="EC949" s="323"/>
      <c r="ED949" s="323"/>
      <c r="EE949" s="323"/>
      <c r="EF949" s="323"/>
      <c r="EG949" s="323"/>
      <c r="EH949" s="323"/>
      <c r="EI949" s="323"/>
      <c r="EJ949" s="323"/>
      <c r="EK949" s="323"/>
      <c r="EL949" s="325"/>
      <c r="EM949" s="323"/>
      <c r="EN949" s="323"/>
      <c r="EO949" s="323"/>
      <c r="EP949" s="323"/>
      <c r="EQ949" s="323"/>
      <c r="ER949" s="323"/>
      <c r="ES949" s="323"/>
      <c r="ET949" s="323"/>
      <c r="EU949" s="323"/>
      <c r="EV949" s="323"/>
      <c r="EW949" s="323"/>
      <c r="EX949" s="325"/>
      <c r="EY949" s="323"/>
      <c r="EZ949" s="323"/>
      <c r="FA949" s="323"/>
      <c r="FB949" s="323"/>
      <c r="FC949" s="323"/>
      <c r="FD949" s="323"/>
      <c r="FE949" s="323"/>
      <c r="FF949" s="323"/>
      <c r="FG949" s="323"/>
      <c r="FH949" s="323"/>
      <c r="FI949" s="323"/>
      <c r="FJ949" s="325"/>
      <c r="FK949" s="323"/>
      <c r="FL949" s="323"/>
      <c r="FM949" s="323"/>
      <c r="FN949" s="323"/>
      <c r="FO949" s="323"/>
      <c r="FP949" s="323"/>
      <c r="FQ949" s="323"/>
      <c r="FR949" s="323"/>
      <c r="FS949" s="323"/>
      <c r="FT949" s="323"/>
      <c r="FU949" s="323"/>
      <c r="FV949" s="323"/>
      <c r="FW949" s="323"/>
      <c r="FX949" s="323"/>
      <c r="FY949" s="323"/>
      <c r="FZ949" s="323"/>
      <c r="GA949" s="323"/>
      <c r="GB949" s="323"/>
      <c r="GC949" s="323"/>
      <c r="GD949" s="323"/>
      <c r="GE949" s="323"/>
      <c r="GF949" s="323"/>
      <c r="GG949" s="323"/>
      <c r="GH949" s="323"/>
      <c r="GI949" s="1654"/>
      <c r="HZ949" s="326"/>
      <c r="IA949" s="1573" t="s">
        <v>3217</v>
      </c>
      <c r="IB949" s="284"/>
      <c r="ID949" s="323"/>
      <c r="IG949" s="323"/>
      <c r="IH949" s="284"/>
      <c r="IJ949" s="323"/>
      <c r="IK949" s="327"/>
      <c r="IM949" s="323"/>
      <c r="IP949" s="323"/>
      <c r="IQ949" s="327"/>
      <c r="IR949" s="327"/>
      <c r="IS949" s="323"/>
      <c r="IT949" s="1404"/>
      <c r="IU949" s="327"/>
      <c r="IV949" s="323"/>
      <c r="IW949" s="327"/>
      <c r="IX949" s="327"/>
      <c r="IY949" s="323"/>
      <c r="IZ949" s="327">
        <f t="shared" si="1921"/>
        <v>0</v>
      </c>
      <c r="JA949" s="327">
        <f t="shared" si="1922"/>
        <v>0</v>
      </c>
      <c r="JB949" s="323">
        <f t="shared" si="1823"/>
        <v>0</v>
      </c>
      <c r="JC949" s="327">
        <f t="shared" si="1923"/>
        <v>0</v>
      </c>
      <c r="JD949" s="327">
        <f t="shared" si="1924"/>
        <v>0</v>
      </c>
      <c r="JE949" s="323">
        <f t="shared" ref="JE949:JE1024" si="1945">JC949+JD949</f>
        <v>0</v>
      </c>
      <c r="JF949" s="327"/>
      <c r="JG949" s="327"/>
      <c r="JH949" s="323">
        <f t="shared" si="1944"/>
        <v>0</v>
      </c>
      <c r="JI949" s="327">
        <f t="shared" si="1744"/>
        <v>0</v>
      </c>
      <c r="JJ949" s="327">
        <f t="shared" si="1871"/>
        <v>0</v>
      </c>
      <c r="JK949" s="323">
        <f t="shared" si="1933"/>
        <v>0</v>
      </c>
      <c r="JL949" s="1404">
        <f t="shared" ref="JL949:JL1012" si="1946">SUM(HS949:HX949)</f>
        <v>0</v>
      </c>
      <c r="JN949" s="323">
        <f>FISC!AK1270</f>
        <v>0</v>
      </c>
      <c r="JO949" s="1404"/>
      <c r="JQ949" s="323">
        <f>FISC!AL1270</f>
        <v>0</v>
      </c>
      <c r="JT949" s="323">
        <f>FISC!AM1270</f>
        <v>0</v>
      </c>
      <c r="JW949" s="323">
        <f>FISC!AN1270</f>
        <v>0</v>
      </c>
      <c r="JZ949" s="323">
        <f>FISC!AO1270</f>
        <v>0</v>
      </c>
      <c r="KC949" s="323">
        <f>FISC!AP1270</f>
        <v>0</v>
      </c>
      <c r="KF949" s="323">
        <f>FISC!AQ1270</f>
        <v>0</v>
      </c>
      <c r="KI949" s="323">
        <f>FISC!AR1270</f>
        <v>0</v>
      </c>
      <c r="KL949" s="323">
        <f>FISC!AS1270</f>
        <v>0</v>
      </c>
      <c r="KO949" s="323">
        <f>FISC!AT1270</f>
        <v>0</v>
      </c>
      <c r="KU949" s="326"/>
      <c r="KV949" s="327"/>
    </row>
    <row r="950" spans="1:314">
      <c r="A950" s="279"/>
      <c r="B950" s="96" t="s">
        <v>338</v>
      </c>
      <c r="D950" s="335" t="s">
        <v>565</v>
      </c>
      <c r="E950" s="323"/>
      <c r="F950" s="323"/>
      <c r="G950" s="323"/>
      <c r="H950" s="323"/>
      <c r="I950" s="323"/>
      <c r="J950" s="323"/>
      <c r="K950" s="323"/>
      <c r="L950" s="323"/>
      <c r="M950" s="323"/>
      <c r="N950" s="323"/>
      <c r="O950" s="323"/>
      <c r="P950" s="323"/>
      <c r="Q950" s="323"/>
      <c r="R950" s="323"/>
      <c r="S950" s="323"/>
      <c r="T950" s="323"/>
      <c r="U950" s="323"/>
      <c r="V950" s="323"/>
      <c r="W950" s="323"/>
      <c r="X950" s="323"/>
      <c r="Y950" s="323"/>
      <c r="Z950" s="323"/>
      <c r="AA950" s="323"/>
      <c r="AB950" s="323"/>
      <c r="AC950" s="323"/>
      <c r="AD950" s="323"/>
      <c r="AE950" s="323"/>
      <c r="AF950" s="323"/>
      <c r="AG950" s="323"/>
      <c r="AH950" s="323"/>
      <c r="AI950" s="323"/>
      <c r="AJ950" s="323"/>
      <c r="AK950" s="323"/>
      <c r="AL950" s="323"/>
      <c r="AM950" s="323"/>
      <c r="AN950" s="323"/>
      <c r="AO950" s="323"/>
      <c r="AP950" s="323"/>
      <c r="AQ950" s="323"/>
      <c r="AR950" s="323"/>
      <c r="AS950" s="323"/>
      <c r="AT950" s="323"/>
      <c r="AU950" s="323"/>
      <c r="AV950" s="323"/>
      <c r="AW950" s="323"/>
      <c r="AX950" s="323"/>
      <c r="AY950" s="323"/>
      <c r="AZ950" s="323"/>
      <c r="BA950" s="323"/>
      <c r="BB950" s="323"/>
      <c r="BC950" s="323"/>
      <c r="BD950" s="323"/>
      <c r="BE950" s="323"/>
      <c r="BF950" s="323"/>
      <c r="BG950" s="323"/>
      <c r="BH950" s="323"/>
      <c r="BI950" s="323"/>
      <c r="BJ950" s="323"/>
      <c r="BK950" s="323"/>
      <c r="BL950" s="323"/>
      <c r="BM950" s="323"/>
      <c r="BN950" s="323"/>
      <c r="BO950" s="323"/>
      <c r="BP950" s="323"/>
      <c r="BQ950" s="323"/>
      <c r="BR950" s="323"/>
      <c r="BS950" s="323"/>
      <c r="BT950" s="323"/>
      <c r="BU950" s="323"/>
      <c r="BV950" s="323"/>
      <c r="BW950" s="323"/>
      <c r="BX950" s="323"/>
      <c r="BY950" s="323"/>
      <c r="BZ950" s="323"/>
      <c r="CA950" s="323"/>
      <c r="CB950" s="323"/>
      <c r="CC950" s="323"/>
      <c r="CD950" s="329"/>
      <c r="CE950" s="323">
        <v>39.417283329000043</v>
      </c>
      <c r="CF950" s="323">
        <v>-13.349798152000062</v>
      </c>
      <c r="CG950" s="323">
        <v>17.450474893000035</v>
      </c>
      <c r="CH950" s="323">
        <v>15.635324646000015</v>
      </c>
      <c r="CI950" s="323">
        <v>-8.3810874069999954</v>
      </c>
      <c r="CJ950" s="323">
        <v>15.969116614999962</v>
      </c>
      <c r="CK950" s="323">
        <v>-34.105394845942669</v>
      </c>
      <c r="CL950" s="323">
        <v>-28.512868685252101</v>
      </c>
      <c r="CM950" s="323">
        <v>-17.814439748377993</v>
      </c>
      <c r="CN950" s="323">
        <v>-16.598618122839355</v>
      </c>
      <c r="CO950" s="323">
        <v>3.916429723553108</v>
      </c>
      <c r="CP950" s="325">
        <v>-64.960116866269829</v>
      </c>
      <c r="CQ950" s="323">
        <v>-38.757003883961119</v>
      </c>
      <c r="CR950" s="323">
        <v>4.8799924786809754</v>
      </c>
      <c r="CS950" s="323">
        <v>-2.2803506627170691</v>
      </c>
      <c r="CT950" s="323">
        <v>-5.7392211599500911</v>
      </c>
      <c r="CU950" s="323">
        <v>0.20448658649547724</v>
      </c>
      <c r="CV950" s="323">
        <v>85.306327405860486</v>
      </c>
      <c r="CW950" s="323">
        <v>-11.574370754406715</v>
      </c>
      <c r="CX950" s="323">
        <v>23.948720246877286</v>
      </c>
      <c r="CY950" s="323">
        <v>-21.102997979553322</v>
      </c>
      <c r="CZ950" s="323">
        <v>-23.468815292667841</v>
      </c>
      <c r="DA950" s="323">
        <v>-9.5994544602998815</v>
      </c>
      <c r="DB950" s="1269">
        <v>-47.203939332484012</v>
      </c>
      <c r="DC950" s="323">
        <f t="shared" ref="DC950:EH950" si="1947">DC342-DB342</f>
        <v>12.867144568951886</v>
      </c>
      <c r="DD950" s="323">
        <f t="shared" si="1947"/>
        <v>15.807867490012995</v>
      </c>
      <c r="DE950" s="323">
        <f t="shared" si="1947"/>
        <v>32.312999412117733</v>
      </c>
      <c r="DF950" s="323">
        <f t="shared" si="1947"/>
        <v>-44.909305665308523</v>
      </c>
      <c r="DG950" s="323">
        <f t="shared" si="1947"/>
        <v>14.249970131292571</v>
      </c>
      <c r="DH950" s="323">
        <f t="shared" si="1947"/>
        <v>71.628752335952129</v>
      </c>
      <c r="DI950" s="323">
        <f t="shared" si="1947"/>
        <v>-49.80389577769165</v>
      </c>
      <c r="DJ950" s="323">
        <f t="shared" si="1947"/>
        <v>2.8906073437349278</v>
      </c>
      <c r="DK950" s="323">
        <f t="shared" si="1947"/>
        <v>24.653664665092947</v>
      </c>
      <c r="DL950" s="323">
        <f t="shared" si="1947"/>
        <v>2.3384086917296827</v>
      </c>
      <c r="DM950" s="323">
        <f t="shared" si="1947"/>
        <v>-17.450047754154298</v>
      </c>
      <c r="DN950" s="325">
        <f t="shared" si="1947"/>
        <v>-35.429761593433454</v>
      </c>
      <c r="DO950" s="323">
        <f t="shared" si="1947"/>
        <v>23.484700335071977</v>
      </c>
      <c r="DP950" s="323">
        <f t="shared" si="1947"/>
        <v>18.035161709596281</v>
      </c>
      <c r="DQ950" s="323">
        <f t="shared" si="1947"/>
        <v>12.39083599307034</v>
      </c>
      <c r="DR950" s="323">
        <f t="shared" si="1947"/>
        <v>-7.5931251035556215</v>
      </c>
      <c r="DS950" s="323">
        <f t="shared" si="1947"/>
        <v>3.9001576734480921</v>
      </c>
      <c r="DT950" s="323">
        <f t="shared" si="1947"/>
        <v>18.150146397980365</v>
      </c>
      <c r="DU950" s="323">
        <f t="shared" si="1947"/>
        <v>15.434015957328427</v>
      </c>
      <c r="DV950" s="323">
        <f t="shared" si="1947"/>
        <v>-47.983298171799049</v>
      </c>
      <c r="DW950" s="323">
        <f t="shared" si="1947"/>
        <v>36.43424047194793</v>
      </c>
      <c r="DX950" s="323">
        <f t="shared" si="1947"/>
        <v>-10.806608389589854</v>
      </c>
      <c r="DY950" s="323">
        <f t="shared" si="1947"/>
        <v>-40.494506703726046</v>
      </c>
      <c r="DZ950" s="325">
        <f t="shared" si="1947"/>
        <v>-18.146766977868936</v>
      </c>
      <c r="EA950" s="323">
        <f t="shared" si="1947"/>
        <v>0.21931586527290392</v>
      </c>
      <c r="EB950" s="323">
        <f t="shared" si="1947"/>
        <v>8.4156124019728225</v>
      </c>
      <c r="EC950" s="323">
        <f t="shared" si="1947"/>
        <v>30.268897354834024</v>
      </c>
      <c r="ED950" s="323">
        <f t="shared" si="1947"/>
        <v>-5.8118037828783429</v>
      </c>
      <c r="EE950" s="323">
        <f t="shared" si="1947"/>
        <v>7.5471806860939239</v>
      </c>
      <c r="EF950" s="323">
        <f t="shared" si="1947"/>
        <v>75.42151574341699</v>
      </c>
      <c r="EG950" s="323">
        <f t="shared" si="1947"/>
        <v>-3.7884801197832871</v>
      </c>
      <c r="EH950" s="323">
        <f t="shared" si="1947"/>
        <v>-16.948930207300407</v>
      </c>
      <c r="EI950" s="323">
        <f t="shared" ref="EI950:FN950" si="1948">EI342-EH342</f>
        <v>1.5915377659030128</v>
      </c>
      <c r="EJ950" s="323">
        <f t="shared" si="1948"/>
        <v>-22.722798350467542</v>
      </c>
      <c r="EK950" s="323">
        <f t="shared" si="1948"/>
        <v>-21.799126127788611</v>
      </c>
      <c r="EL950" s="325">
        <f t="shared" si="1948"/>
        <v>-4.2065886464884841</v>
      </c>
      <c r="EM950" s="323">
        <f t="shared" si="1948"/>
        <v>12.918488729066524</v>
      </c>
      <c r="EN950" s="323">
        <f t="shared" si="1948"/>
        <v>35.212684927798591</v>
      </c>
      <c r="EO950" s="323">
        <f t="shared" si="1948"/>
        <v>1.9089272241392905</v>
      </c>
      <c r="EP950" s="323">
        <f t="shared" si="1948"/>
        <v>-35.810316748697858</v>
      </c>
      <c r="EQ950" s="323">
        <f t="shared" si="1948"/>
        <v>-6.1247204068983763</v>
      </c>
      <c r="ER950" s="323">
        <f t="shared" si="1948"/>
        <v>133.02501269911872</v>
      </c>
      <c r="ES950" s="323">
        <f t="shared" si="1948"/>
        <v>-38.354691705353048</v>
      </c>
      <c r="ET950" s="323">
        <f t="shared" si="1948"/>
        <v>-20.123140095056328</v>
      </c>
      <c r="EU950" s="323">
        <f t="shared" si="1948"/>
        <v>-28.347085710509873</v>
      </c>
      <c r="EV950" s="323">
        <f t="shared" si="1948"/>
        <v>-14.960978180955749</v>
      </c>
      <c r="EW950" s="323">
        <f t="shared" si="1948"/>
        <v>-24.908431685148855</v>
      </c>
      <c r="EX950" s="325">
        <f t="shared" si="1948"/>
        <v>24.200090392358504</v>
      </c>
      <c r="EY950" s="323">
        <f t="shared" si="1948"/>
        <v>-8.8306522498461391</v>
      </c>
      <c r="EZ950" s="323">
        <f t="shared" si="1948"/>
        <v>19.131994715363987</v>
      </c>
      <c r="FA950" s="323">
        <f t="shared" si="1948"/>
        <v>22.794672488586684</v>
      </c>
      <c r="FB950" s="323">
        <f t="shared" si="1948"/>
        <v>24.439820383542326</v>
      </c>
      <c r="FC950" s="323">
        <f t="shared" si="1948"/>
        <v>-14.268215932085411</v>
      </c>
      <c r="FD950" s="323">
        <f t="shared" si="1948"/>
        <v>129.67879185472623</v>
      </c>
      <c r="FE950" s="323">
        <f t="shared" si="1948"/>
        <v>14.133880238616257</v>
      </c>
      <c r="FF950" s="323">
        <f t="shared" si="1948"/>
        <v>-45.826591748958151</v>
      </c>
      <c r="FG950" s="323">
        <f t="shared" si="1948"/>
        <v>5.9470562239300193</v>
      </c>
      <c r="FH950" s="323">
        <f t="shared" si="1948"/>
        <v>83.770729693053681</v>
      </c>
      <c r="FI950" s="323">
        <f t="shared" si="1948"/>
        <v>-68.821967424908053</v>
      </c>
      <c r="FJ950" s="325">
        <f t="shared" si="1948"/>
        <v>145.3929397296132</v>
      </c>
      <c r="FK950" s="323">
        <f t="shared" si="1948"/>
        <v>119.22756809292434</v>
      </c>
      <c r="FL950" s="323">
        <f t="shared" si="1948"/>
        <v>5.9306405441228662</v>
      </c>
      <c r="FM950" s="323">
        <f t="shared" si="1948"/>
        <v>98.694516976468435</v>
      </c>
      <c r="FN950" s="323">
        <f t="shared" si="1948"/>
        <v>-9.0578340629144805</v>
      </c>
      <c r="FO950" s="323">
        <f t="shared" ref="FO950:GT950" si="1949">FO342-FN342</f>
        <v>-76.022309625193884</v>
      </c>
      <c r="FP950" s="323">
        <f t="shared" si="1949"/>
        <v>146.24548047045073</v>
      </c>
      <c r="FQ950" s="323">
        <f t="shared" si="1949"/>
        <v>-36.124379113094506</v>
      </c>
      <c r="FR950" s="323">
        <f t="shared" si="1949"/>
        <v>-90.772845186500717</v>
      </c>
      <c r="FS950" s="323">
        <f t="shared" si="1949"/>
        <v>37.20937280164469</v>
      </c>
      <c r="FT950" s="323">
        <f t="shared" si="1949"/>
        <v>35.806373886548613</v>
      </c>
      <c r="FU950" s="323">
        <f t="shared" si="1949"/>
        <v>-97.295088708293861</v>
      </c>
      <c r="FV950" s="323">
        <f t="shared" si="1949"/>
        <v>-90.677475073203595</v>
      </c>
      <c r="FW950" s="323">
        <f t="shared" si="1949"/>
        <v>78.522244616155717</v>
      </c>
      <c r="FX950" s="323">
        <f t="shared" si="1949"/>
        <v>150.77380136965814</v>
      </c>
      <c r="FY950" s="323">
        <f t="shared" si="1949"/>
        <v>-109.44818969451944</v>
      </c>
      <c r="FZ950" s="323">
        <f t="shared" si="1949"/>
        <v>-17.128591436418333</v>
      </c>
      <c r="GA950" s="323">
        <f t="shared" si="1949"/>
        <v>4.2785840000238977</v>
      </c>
      <c r="GB950" s="323">
        <f t="shared" si="1949"/>
        <v>35.07372842622533</v>
      </c>
      <c r="GC950" s="323">
        <f t="shared" si="1949"/>
        <v>-108.48696695392698</v>
      </c>
      <c r="GD950" s="323">
        <f t="shared" si="1949"/>
        <v>-35.288567285679505</v>
      </c>
      <c r="GE950" s="323">
        <f t="shared" si="1949"/>
        <v>189.93827472271414</v>
      </c>
      <c r="GF950" s="323">
        <f t="shared" si="1949"/>
        <v>22.829456378854843</v>
      </c>
      <c r="GG950" s="323">
        <f t="shared" si="1949"/>
        <v>63.999985086299489</v>
      </c>
      <c r="GH950" s="323">
        <f t="shared" si="1949"/>
        <v>-66.354207961768452</v>
      </c>
      <c r="GI950" s="1654">
        <f t="shared" si="1949"/>
        <v>18.883942534729385</v>
      </c>
      <c r="GJ950" s="1654">
        <f t="shared" si="1949"/>
        <v>-150.80093141409645</v>
      </c>
      <c r="GK950" s="1654">
        <f t="shared" si="1949"/>
        <v>-32.643809034533206</v>
      </c>
      <c r="GL950" s="1654">
        <f t="shared" si="1949"/>
        <v>-29.711152254646777</v>
      </c>
      <c r="GM950" s="1654">
        <f t="shared" si="1949"/>
        <v>-18.307612423972841</v>
      </c>
      <c r="GN950" s="1654">
        <f t="shared" si="1949"/>
        <v>75.666283004808065</v>
      </c>
      <c r="GO950" s="1654">
        <f t="shared" si="1949"/>
        <v>-143.44657992192867</v>
      </c>
      <c r="GP950" s="1654">
        <f t="shared" si="1949"/>
        <v>-63.499206614089871</v>
      </c>
      <c r="GQ950" s="1654">
        <f t="shared" si="1949"/>
        <v>207.79942680876923</v>
      </c>
      <c r="GR950" s="1654">
        <f t="shared" si="1949"/>
        <v>126.6399665033839</v>
      </c>
      <c r="GS950" s="1654">
        <f t="shared" si="1949"/>
        <v>-19.768962422261893</v>
      </c>
      <c r="GT950" s="1654">
        <f t="shared" si="1949"/>
        <v>-48.655344108487952</v>
      </c>
      <c r="GU950" s="1654">
        <f t="shared" ref="GU950:HL950" si="1950">GU342-GT342</f>
        <v>-51.349528733975831</v>
      </c>
      <c r="GV950" s="1654">
        <f t="shared" si="1950"/>
        <v>-104.17500083081654</v>
      </c>
      <c r="GW950" s="1654">
        <f t="shared" si="1950"/>
        <v>8.2837068690319029</v>
      </c>
      <c r="GX950" s="1654">
        <f t="shared" si="1950"/>
        <v>-68.268952062367362</v>
      </c>
      <c r="GY950" s="1654">
        <f t="shared" si="1950"/>
        <v>44.056816113867399</v>
      </c>
      <c r="GZ950" s="1654">
        <f t="shared" si="1950"/>
        <v>330.18095130053416</v>
      </c>
      <c r="HA950" s="1654">
        <f t="shared" si="1950"/>
        <v>-260.89764294711472</v>
      </c>
      <c r="HB950" s="1654">
        <f t="shared" si="1950"/>
        <v>-52.984464780897497</v>
      </c>
      <c r="HC950" s="1654">
        <f t="shared" si="1950"/>
        <v>68.493846590612975</v>
      </c>
      <c r="HD950" s="1654">
        <f t="shared" si="1950"/>
        <v>22.002828896621736</v>
      </c>
      <c r="HE950" s="1654">
        <f t="shared" si="1950"/>
        <v>-77.486051796684478</v>
      </c>
      <c r="HF950" s="1654">
        <f t="shared" si="1950"/>
        <v>129.54614909411384</v>
      </c>
      <c r="HG950" s="1654">
        <f t="shared" si="1950"/>
        <v>-91.191100576606914</v>
      </c>
      <c r="HH950" s="1654">
        <f t="shared" si="1950"/>
        <v>-43.205823847030842</v>
      </c>
      <c r="HI950" s="1654">
        <f t="shared" si="1950"/>
        <v>46.953214273388767</v>
      </c>
      <c r="HJ950" s="1654">
        <f t="shared" si="1950"/>
        <v>-60.618738728050744</v>
      </c>
      <c r="HK950" s="1654">
        <f t="shared" si="1950"/>
        <v>42.591973430651024</v>
      </c>
      <c r="HL950" s="1654">
        <f t="shared" si="1950"/>
        <v>785.36899150512681</v>
      </c>
      <c r="HM950" s="1654">
        <f t="shared" ref="HM950" si="1951">HM342-HL342</f>
        <v>-158.94379157199069</v>
      </c>
      <c r="HN950" s="1654">
        <f t="shared" ref="HN950" si="1952">HN342-HM342</f>
        <v>-255.76398482350885</v>
      </c>
      <c r="HO950" s="1654">
        <f t="shared" ref="HO950" si="1953">HO342-HN342</f>
        <v>-104.07977639809894</v>
      </c>
      <c r="HP950" s="1654">
        <f t="shared" ref="HP950" si="1954">HP342-HO342</f>
        <v>16.462050332345257</v>
      </c>
      <c r="HQ950" s="1654">
        <f t="shared" ref="HQ950" si="1955">HQ342-HP342</f>
        <v>-74.233662589449295</v>
      </c>
      <c r="HR950" s="1654">
        <f t="shared" ref="HR950" si="1956">HR342-HQ342</f>
        <v>97.55417864823869</v>
      </c>
      <c r="HS950" s="1654">
        <f t="shared" ref="HS950" si="1957">HS342-HR342</f>
        <v>-114.99799285768768</v>
      </c>
      <c r="HT950" s="1654">
        <f t="shared" ref="HT950" si="1958">HT342-HS342</f>
        <v>21.564662790335433</v>
      </c>
      <c r="HU950" s="1654">
        <f t="shared" ref="HU950" si="1959">HU342-HT342</f>
        <v>263.41952940690658</v>
      </c>
      <c r="HV950" s="1654">
        <f t="shared" ref="HV950" si="1960">HV342-HU342</f>
        <v>-75.377285532066026</v>
      </c>
      <c r="HW950" s="1654">
        <f t="shared" ref="HW950" si="1961">HW342-HV342</f>
        <v>58.83905848534414</v>
      </c>
      <c r="HX950" s="1654">
        <f t="shared" ref="HX950" si="1962">HX342-HW342</f>
        <v>19.333381101135956</v>
      </c>
      <c r="HY950" s="1654"/>
      <c r="HZ950" s="326"/>
      <c r="IA950" s="335" t="s">
        <v>565</v>
      </c>
      <c r="IB950" s="284">
        <f>SUM(CE950:CJ950)</f>
        <v>66.741313923999996</v>
      </c>
      <c r="IC950" s="279">
        <f>SUM(CK950:CP950)</f>
        <v>-158.07500854512884</v>
      </c>
      <c r="ID950" s="323">
        <f>IB950+IC950</f>
        <v>-91.333694621128842</v>
      </c>
      <c r="IE950" s="279">
        <f>SUM(CQ950:CV950)</f>
        <v>43.61423076440866</v>
      </c>
      <c r="IF950" s="279">
        <f>SUM(CW950:DB950)</f>
        <v>-89.000857572534485</v>
      </c>
      <c r="IG950" s="323">
        <f>IE950+IF950</f>
        <v>-45.386626808125826</v>
      </c>
      <c r="IH950" s="284">
        <f>SUM(DC950:DH950)</f>
        <v>101.95742827301879</v>
      </c>
      <c r="II950" s="279">
        <f>SUM(DI950:DN950)</f>
        <v>-72.801024424721845</v>
      </c>
      <c r="IJ950" s="323">
        <f>IH950+II950</f>
        <v>29.156403848296947</v>
      </c>
      <c r="IK950" s="327">
        <f>SUM(DO950:DT950)</f>
        <v>68.367877005611433</v>
      </c>
      <c r="IL950" s="279">
        <f>SUM(DU950:DZ950)</f>
        <v>-65.562923813707528</v>
      </c>
      <c r="IM950" s="323">
        <f>IK950+IL950</f>
        <v>2.8049531919039055</v>
      </c>
      <c r="IN950" s="279">
        <f>SUM(EA950:EF950)</f>
        <v>116.06071826871232</v>
      </c>
      <c r="IO950" s="279">
        <f>SUM(EG950:EL950)</f>
        <v>-67.874385685925319</v>
      </c>
      <c r="IP950" s="323">
        <f>IN950+IO950</f>
        <v>48.186332582787003</v>
      </c>
      <c r="IQ950" s="327">
        <f>SUM(EM950:ER950)</f>
        <v>141.13007642452689</v>
      </c>
      <c r="IR950" s="327">
        <f>SUM(ES950:EX950)</f>
        <v>-102.49423698466535</v>
      </c>
      <c r="IS950" s="323">
        <f>IQ950+IR950</f>
        <v>38.635839439861542</v>
      </c>
      <c r="IT950" s="327">
        <f>SUM(EY950:FD950)</f>
        <v>172.94641126028768</v>
      </c>
      <c r="IU950" s="327">
        <f>SUM(FE950:FJ950)</f>
        <v>134.59604671134696</v>
      </c>
      <c r="IV950" s="323">
        <f>IT950+IU950</f>
        <v>307.54245797163463</v>
      </c>
      <c r="IW950" s="327">
        <f>SUM(FK950:FP950)</f>
        <v>285.01806239585801</v>
      </c>
      <c r="IX950" s="327">
        <f t="shared" ref="IX950:IX985" si="1963">SUM(FQ950:FV950)</f>
        <v>-241.85404139289938</v>
      </c>
      <c r="IY950" s="323">
        <f t="shared" si="1621"/>
        <v>43.164021002958634</v>
      </c>
      <c r="IZ950" s="327">
        <f t="shared" si="1921"/>
        <v>142.07157728112531</v>
      </c>
      <c r="JA950" s="327">
        <f t="shared" si="1922"/>
        <v>66.637973986493535</v>
      </c>
      <c r="JB950" s="323">
        <f t="shared" si="1823"/>
        <v>208.70955126761885</v>
      </c>
      <c r="JC950" s="327">
        <f t="shared" si="1923"/>
        <v>-136.91327958771183</v>
      </c>
      <c r="JD950" s="327">
        <f t="shared" si="1924"/>
        <v>59.069300245384738</v>
      </c>
      <c r="JE950" s="323">
        <f t="shared" si="1945"/>
        <v>-77.843979342327088</v>
      </c>
      <c r="JF950" s="327">
        <f t="shared" ref="JF950:JF984" si="1964">SUM(GU950:GZ950)</f>
        <v>158.72799265627373</v>
      </c>
      <c r="JG950" s="327">
        <f t="shared" ref="JG950:JG985" si="1965">SUM(HA950:HF950)</f>
        <v>-171.32533494334814</v>
      </c>
      <c r="JH950" s="323">
        <f t="shared" si="1944"/>
        <v>-12.597342287074412</v>
      </c>
      <c r="JI950" s="327">
        <f t="shared" si="1744"/>
        <v>679.8985160574781</v>
      </c>
      <c r="JJ950" s="327">
        <f t="shared" si="1871"/>
        <v>-479.00498640246383</v>
      </c>
      <c r="JK950" s="323">
        <f t="shared" si="1933"/>
        <v>200.89352965501428</v>
      </c>
      <c r="JL950" s="327">
        <f t="shared" si="1946"/>
        <v>172.7813533939684</v>
      </c>
      <c r="JM950" s="327">
        <f>JN950/2</f>
        <v>66.080004047435011</v>
      </c>
      <c r="JN950" s="323">
        <f>FISC!AK1271</f>
        <v>132.16000809487002</v>
      </c>
      <c r="JO950" s="327">
        <f>JQ950/2</f>
        <v>72.123426846378138</v>
      </c>
      <c r="JP950" s="327">
        <f>JQ950/2</f>
        <v>72.123426846378138</v>
      </c>
      <c r="JQ950" s="323">
        <f>FISC!AL1271</f>
        <v>144.24685369275628</v>
      </c>
      <c r="JR950" s="327">
        <f>JT950/2</f>
        <v>64.993866543918458</v>
      </c>
      <c r="JS950" s="327">
        <f>JT950/2</f>
        <v>64.993866543918458</v>
      </c>
      <c r="JT950" s="323">
        <f>FISC!AM1271</f>
        <v>129.98773308783692</v>
      </c>
      <c r="JU950" s="327">
        <f>JW950/2</f>
        <v>64.163428140387936</v>
      </c>
      <c r="JV950" s="327">
        <f>JW950/2</f>
        <v>64.163428140387936</v>
      </c>
      <c r="JW950" s="323">
        <f>FISC!AN1271</f>
        <v>128.32685628077587</v>
      </c>
      <c r="JX950" s="327">
        <f>JZ950/2</f>
        <v>61.861708771813504</v>
      </c>
      <c r="JY950" s="327">
        <f>JZ950/2</f>
        <v>61.861708771813504</v>
      </c>
      <c r="JZ950" s="323">
        <f>FISC!AO1271</f>
        <v>123.72341754362701</v>
      </c>
      <c r="KA950" s="327">
        <f>KC950/2</f>
        <v>68.960193524926908</v>
      </c>
      <c r="KB950" s="327">
        <f>KC950/2</f>
        <v>68.960193524926908</v>
      </c>
      <c r="KC950" s="323">
        <f>FISC!AP1271</f>
        <v>137.92038704985382</v>
      </c>
      <c r="KD950" s="327">
        <f>KF950/2</f>
        <v>77.329880871418993</v>
      </c>
      <c r="KE950" s="327">
        <f>KF950/2</f>
        <v>77.329880871418993</v>
      </c>
      <c r="KF950" s="323">
        <f>FISC!AQ1271</f>
        <v>154.65976174283799</v>
      </c>
      <c r="KG950" s="327">
        <f>KI950/2</f>
        <v>86.136347872973133</v>
      </c>
      <c r="KH950" s="327">
        <f>KI950/2</f>
        <v>86.136347872973133</v>
      </c>
      <c r="KI950" s="323">
        <f>FISC!AR1271</f>
        <v>172.27269574594627</v>
      </c>
      <c r="KJ950" s="327">
        <f>KL950/2</f>
        <v>96.141475600033857</v>
      </c>
      <c r="KK950" s="327">
        <f>KL950/2</f>
        <v>96.141475600033857</v>
      </c>
      <c r="KL950" s="323">
        <f>FISC!AS1271</f>
        <v>192.28295120006771</v>
      </c>
      <c r="KM950" s="327">
        <f>KO950/2</f>
        <v>123.4050151375362</v>
      </c>
      <c r="KN950" s="327">
        <f>KO950/2</f>
        <v>123.4050151375362</v>
      </c>
      <c r="KO950" s="323">
        <f>FISC!AT1271</f>
        <v>246.81003027507239</v>
      </c>
      <c r="KU950" s="326"/>
      <c r="KV950" s="327"/>
    </row>
    <row r="951" spans="1:314">
      <c r="A951" s="279"/>
      <c r="D951" s="1505" t="s">
        <v>3160</v>
      </c>
      <c r="E951" s="323"/>
      <c r="F951" s="323"/>
      <c r="G951" s="323"/>
      <c r="H951" s="323"/>
      <c r="I951" s="323"/>
      <c r="J951" s="323"/>
      <c r="K951" s="323"/>
      <c r="L951" s="323"/>
      <c r="M951" s="323"/>
      <c r="N951" s="323"/>
      <c r="O951" s="323"/>
      <c r="P951" s="323"/>
      <c r="Q951" s="323"/>
      <c r="R951" s="323"/>
      <c r="S951" s="323"/>
      <c r="T951" s="323"/>
      <c r="U951" s="323"/>
      <c r="V951" s="323"/>
      <c r="W951" s="323"/>
      <c r="X951" s="323"/>
      <c r="Y951" s="323"/>
      <c r="Z951" s="323"/>
      <c r="AA951" s="323"/>
      <c r="AB951" s="323"/>
      <c r="AC951" s="323"/>
      <c r="AD951" s="323"/>
      <c r="AE951" s="323"/>
      <c r="AF951" s="323"/>
      <c r="AG951" s="323"/>
      <c r="AH951" s="323"/>
      <c r="AI951" s="323"/>
      <c r="AJ951" s="323"/>
      <c r="AK951" s="323"/>
      <c r="AL951" s="323"/>
      <c r="AM951" s="323"/>
      <c r="AN951" s="323"/>
      <c r="AO951" s="323"/>
      <c r="AP951" s="323"/>
      <c r="AQ951" s="323"/>
      <c r="AR951" s="323"/>
      <c r="AS951" s="323"/>
      <c r="AT951" s="323"/>
      <c r="AU951" s="323"/>
      <c r="AV951" s="323"/>
      <c r="AW951" s="323"/>
      <c r="AX951" s="323"/>
      <c r="AY951" s="323"/>
      <c r="AZ951" s="323"/>
      <c r="BA951" s="323"/>
      <c r="BB951" s="323"/>
      <c r="BC951" s="323"/>
      <c r="BD951" s="323"/>
      <c r="BE951" s="323"/>
      <c r="BF951" s="323"/>
      <c r="BG951" s="323"/>
      <c r="BH951" s="323"/>
      <c r="BI951" s="323"/>
      <c r="BJ951" s="323"/>
      <c r="BK951" s="323"/>
      <c r="BL951" s="323"/>
      <c r="BM951" s="323"/>
      <c r="BN951" s="323"/>
      <c r="BO951" s="323"/>
      <c r="BP951" s="323"/>
      <c r="BQ951" s="323"/>
      <c r="BR951" s="323"/>
      <c r="BS951" s="323"/>
      <c r="BT951" s="323"/>
      <c r="BU951" s="323"/>
      <c r="BV951" s="323"/>
      <c r="BW951" s="323"/>
      <c r="BX951" s="323"/>
      <c r="BY951" s="323"/>
      <c r="BZ951" s="323"/>
      <c r="CA951" s="323"/>
      <c r="CB951" s="323"/>
      <c r="CC951" s="323"/>
      <c r="CD951" s="329"/>
      <c r="CE951" s="323"/>
      <c r="CF951" s="323"/>
      <c r="CG951" s="323"/>
      <c r="CH951" s="323"/>
      <c r="CI951" s="323"/>
      <c r="CJ951" s="323"/>
      <c r="CK951" s="323"/>
      <c r="CL951" s="323"/>
      <c r="CM951" s="323"/>
      <c r="CN951" s="323"/>
      <c r="CO951" s="323"/>
      <c r="CP951" s="325"/>
      <c r="CQ951" s="323"/>
      <c r="CR951" s="323"/>
      <c r="CS951" s="323"/>
      <c r="CT951" s="323"/>
      <c r="CU951" s="323"/>
      <c r="CV951" s="323"/>
      <c r="CW951" s="323"/>
      <c r="CX951" s="323"/>
      <c r="CY951" s="323"/>
      <c r="CZ951" s="323"/>
      <c r="DA951" s="323"/>
      <c r="DB951" s="1269"/>
      <c r="DC951" s="323"/>
      <c r="DD951" s="323"/>
      <c r="DE951" s="323"/>
      <c r="DF951" s="323"/>
      <c r="DG951" s="323"/>
      <c r="DH951" s="323"/>
      <c r="DI951" s="323"/>
      <c r="DJ951" s="323"/>
      <c r="DK951" s="323"/>
      <c r="DL951" s="323"/>
      <c r="DM951" s="323"/>
      <c r="DN951" s="325"/>
      <c r="DO951" s="323"/>
      <c r="DP951" s="323"/>
      <c r="DQ951" s="323"/>
      <c r="DR951" s="323"/>
      <c r="DS951" s="323"/>
      <c r="DT951" s="323"/>
      <c r="DU951" s="323"/>
      <c r="DV951" s="323"/>
      <c r="DW951" s="323"/>
      <c r="DX951" s="323"/>
      <c r="DY951" s="323"/>
      <c r="DZ951" s="325"/>
      <c r="EA951" s="323"/>
      <c r="EB951" s="323"/>
      <c r="EC951" s="323"/>
      <c r="ED951" s="323"/>
      <c r="EE951" s="323"/>
      <c r="EF951" s="323"/>
      <c r="EG951" s="323"/>
      <c r="EH951" s="323"/>
      <c r="EI951" s="323"/>
      <c r="EJ951" s="323"/>
      <c r="EK951" s="323"/>
      <c r="EL951" s="325"/>
      <c r="EM951" s="323"/>
      <c r="EN951" s="323"/>
      <c r="EO951" s="323"/>
      <c r="EP951" s="323"/>
      <c r="EQ951" s="323"/>
      <c r="ER951" s="323"/>
      <c r="ES951" s="323"/>
      <c r="ET951" s="323"/>
      <c r="EU951" s="323"/>
      <c r="EV951" s="323"/>
      <c r="EW951" s="323"/>
      <c r="EX951" s="325"/>
      <c r="EY951" s="323"/>
      <c r="EZ951" s="323"/>
      <c r="FA951" s="323"/>
      <c r="FB951" s="323"/>
      <c r="FC951" s="323"/>
      <c r="FD951" s="323"/>
      <c r="FE951" s="323"/>
      <c r="FF951" s="323"/>
      <c r="FG951" s="323"/>
      <c r="FH951" s="323"/>
      <c r="FI951" s="323"/>
      <c r="FJ951" s="325"/>
      <c r="FK951" s="323"/>
      <c r="FL951" s="323"/>
      <c r="FM951" s="323"/>
      <c r="FN951" s="323"/>
      <c r="FO951" s="323"/>
      <c r="FP951" s="323"/>
      <c r="FQ951" s="323"/>
      <c r="FR951" s="323"/>
      <c r="FS951" s="323"/>
      <c r="FT951" s="323"/>
      <c r="FU951" s="323"/>
      <c r="FV951" s="323"/>
      <c r="FW951" s="323"/>
      <c r="FX951" s="323"/>
      <c r="FY951" s="323"/>
      <c r="FZ951" s="323"/>
      <c r="GA951" s="323"/>
      <c r="GB951" s="323"/>
      <c r="GC951" s="323"/>
      <c r="GD951" s="323"/>
      <c r="GE951" s="323"/>
      <c r="GF951" s="323"/>
      <c r="GG951" s="323"/>
      <c r="GH951" s="323"/>
      <c r="GI951" s="1654"/>
      <c r="HZ951" s="326"/>
      <c r="IA951" s="1505" t="s">
        <v>3160</v>
      </c>
      <c r="IB951" s="284"/>
      <c r="ID951" s="323"/>
      <c r="IG951" s="323"/>
      <c r="IH951" s="284"/>
      <c r="IJ951" s="323"/>
      <c r="IK951" s="327"/>
      <c r="IM951" s="323"/>
      <c r="IP951" s="323"/>
      <c r="IQ951" s="327"/>
      <c r="IR951" s="327"/>
      <c r="IS951" s="323"/>
      <c r="IT951" s="327"/>
      <c r="IU951" s="327"/>
      <c r="IV951" s="323"/>
      <c r="IW951" s="327">
        <v>0</v>
      </c>
      <c r="IX951" s="327">
        <f t="shared" si="1963"/>
        <v>0</v>
      </c>
      <c r="IY951" s="323">
        <f t="shared" si="1621"/>
        <v>0</v>
      </c>
      <c r="IZ951" s="327">
        <f t="shared" si="1921"/>
        <v>0</v>
      </c>
      <c r="JA951" s="327">
        <f t="shared" si="1922"/>
        <v>0</v>
      </c>
      <c r="JB951" s="323">
        <f t="shared" si="1823"/>
        <v>0</v>
      </c>
      <c r="JC951" s="327">
        <f t="shared" si="1923"/>
        <v>0</v>
      </c>
      <c r="JD951" s="327">
        <f t="shared" si="1924"/>
        <v>0</v>
      </c>
      <c r="JE951" s="323">
        <f t="shared" si="1945"/>
        <v>0</v>
      </c>
      <c r="JF951" s="327">
        <f t="shared" si="1964"/>
        <v>0</v>
      </c>
      <c r="JG951" s="327">
        <f t="shared" si="1965"/>
        <v>0</v>
      </c>
      <c r="JH951" s="323">
        <f t="shared" si="1944"/>
        <v>0</v>
      </c>
      <c r="JI951" s="327">
        <f t="shared" si="1744"/>
        <v>0</v>
      </c>
      <c r="JJ951" s="327">
        <f t="shared" si="1871"/>
        <v>0</v>
      </c>
      <c r="JK951" s="323">
        <f t="shared" si="1933"/>
        <v>0</v>
      </c>
      <c r="JL951" s="327">
        <f t="shared" si="1946"/>
        <v>0</v>
      </c>
      <c r="JM951" s="327">
        <f>JN951-JL951</f>
        <v>0</v>
      </c>
      <c r="JN951" s="323">
        <f>FISC!AK1272</f>
        <v>0</v>
      </c>
      <c r="JO951" s="327">
        <f>JQ951/2</f>
        <v>0</v>
      </c>
      <c r="JP951" s="327">
        <f>JQ951-JO951</f>
        <v>0</v>
      </c>
      <c r="JQ951" s="323">
        <f>FISC!AL1272</f>
        <v>0</v>
      </c>
      <c r="JT951" s="323">
        <f>FISC!AM1272</f>
        <v>0</v>
      </c>
      <c r="JW951" s="323">
        <f>FISC!AN1272</f>
        <v>0</v>
      </c>
      <c r="JZ951" s="323">
        <f>FISC!AO1272</f>
        <v>0</v>
      </c>
      <c r="KC951" s="323">
        <f>FISC!AP1272</f>
        <v>0</v>
      </c>
      <c r="KF951" s="323">
        <f>FISC!AQ1272</f>
        <v>0</v>
      </c>
      <c r="KI951" s="323">
        <f>FISC!AR1272</f>
        <v>0</v>
      </c>
      <c r="KL951" s="323">
        <f>FISC!AS1272</f>
        <v>0</v>
      </c>
      <c r="KO951" s="323">
        <f>FISC!AT1272</f>
        <v>0</v>
      </c>
      <c r="KU951" s="326"/>
      <c r="KV951" s="327"/>
    </row>
    <row r="952" spans="1:314">
      <c r="A952" s="279"/>
      <c r="B952" s="96" t="s">
        <v>338</v>
      </c>
      <c r="D952" s="335" t="s">
        <v>3113</v>
      </c>
      <c r="E952" s="323"/>
      <c r="F952" s="323"/>
      <c r="G952" s="323"/>
      <c r="H952" s="323"/>
      <c r="I952" s="323"/>
      <c r="J952" s="323"/>
      <c r="K952" s="323"/>
      <c r="L952" s="323"/>
      <c r="M952" s="323"/>
      <c r="N952" s="323"/>
      <c r="O952" s="323"/>
      <c r="P952" s="323"/>
      <c r="Q952" s="323"/>
      <c r="R952" s="323"/>
      <c r="S952" s="323"/>
      <c r="T952" s="323"/>
      <c r="U952" s="323"/>
      <c r="V952" s="323"/>
      <c r="W952" s="323"/>
      <c r="X952" s="323"/>
      <c r="Y952" s="323"/>
      <c r="Z952" s="323"/>
      <c r="AA952" s="323"/>
      <c r="AB952" s="323"/>
      <c r="AC952" s="323"/>
      <c r="AD952" s="323"/>
      <c r="AE952" s="323"/>
      <c r="AF952" s="323"/>
      <c r="AG952" s="323"/>
      <c r="AH952" s="323"/>
      <c r="AI952" s="323"/>
      <c r="AJ952" s="323"/>
      <c r="AK952" s="323"/>
      <c r="AL952" s="323"/>
      <c r="AM952" s="323"/>
      <c r="AN952" s="323"/>
      <c r="AO952" s="323"/>
      <c r="AP952" s="323"/>
      <c r="AQ952" s="323"/>
      <c r="AR952" s="323"/>
      <c r="AS952" s="323"/>
      <c r="AT952" s="323"/>
      <c r="AU952" s="323"/>
      <c r="AV952" s="323"/>
      <c r="AW952" s="323"/>
      <c r="AX952" s="323"/>
      <c r="AY952" s="323"/>
      <c r="AZ952" s="323"/>
      <c r="BA952" s="323"/>
      <c r="BB952" s="323"/>
      <c r="BC952" s="323"/>
      <c r="BD952" s="323"/>
      <c r="BE952" s="323"/>
      <c r="BF952" s="323"/>
      <c r="BG952" s="323"/>
      <c r="BH952" s="323"/>
      <c r="BI952" s="323"/>
      <c r="BJ952" s="323"/>
      <c r="BK952" s="323"/>
      <c r="BL952" s="323"/>
      <c r="BM952" s="323"/>
      <c r="BN952" s="323"/>
      <c r="BO952" s="323"/>
      <c r="BP952" s="323"/>
      <c r="BQ952" s="323"/>
      <c r="BR952" s="323"/>
      <c r="BS952" s="323"/>
      <c r="BT952" s="323"/>
      <c r="BU952" s="323"/>
      <c r="BV952" s="323"/>
      <c r="BW952" s="323"/>
      <c r="BX952" s="323"/>
      <c r="BY952" s="323"/>
      <c r="BZ952" s="323"/>
      <c r="CA952" s="323"/>
      <c r="CB952" s="323"/>
      <c r="CC952" s="323"/>
      <c r="CD952" s="329"/>
      <c r="CE952" s="323">
        <v>0</v>
      </c>
      <c r="CF952" s="323">
        <v>0</v>
      </c>
      <c r="CG952" s="323">
        <v>0</v>
      </c>
      <c r="CH952" s="323">
        <v>0</v>
      </c>
      <c r="CI952" s="323">
        <v>0</v>
      </c>
      <c r="CJ952" s="323">
        <v>0</v>
      </c>
      <c r="CK952" s="323">
        <v>0</v>
      </c>
      <c r="CL952" s="323">
        <v>0</v>
      </c>
      <c r="CM952" s="323">
        <v>0</v>
      </c>
      <c r="CN952" s="323">
        <v>0</v>
      </c>
      <c r="CO952" s="323">
        <v>0</v>
      </c>
      <c r="CP952" s="325">
        <v>0</v>
      </c>
      <c r="CQ952" s="323">
        <v>0</v>
      </c>
      <c r="CR952" s="323">
        <v>0</v>
      </c>
      <c r="CS952" s="323">
        <v>0</v>
      </c>
      <c r="CT952" s="323">
        <v>0</v>
      </c>
      <c r="CU952" s="323">
        <v>0</v>
      </c>
      <c r="CV952" s="323">
        <v>0</v>
      </c>
      <c r="CW952" s="323">
        <v>0</v>
      </c>
      <c r="CX952" s="323">
        <v>0</v>
      </c>
      <c r="CY952" s="323">
        <v>0</v>
      </c>
      <c r="CZ952" s="323">
        <v>0</v>
      </c>
      <c r="DA952" s="323">
        <v>0</v>
      </c>
      <c r="DB952" s="1269">
        <v>0</v>
      </c>
      <c r="DC952" s="323">
        <v>0</v>
      </c>
      <c r="DD952" s="323">
        <v>0</v>
      </c>
      <c r="DE952" s="323">
        <v>0</v>
      </c>
      <c r="DF952" s="323">
        <v>0</v>
      </c>
      <c r="DG952" s="323">
        <v>0</v>
      </c>
      <c r="DH952" s="323">
        <v>0</v>
      </c>
      <c r="DI952" s="323">
        <v>0</v>
      </c>
      <c r="DJ952" s="323">
        <v>0</v>
      </c>
      <c r="DK952" s="323">
        <v>0</v>
      </c>
      <c r="DL952" s="323">
        <v>0</v>
      </c>
      <c r="DM952" s="323">
        <v>0</v>
      </c>
      <c r="DN952" s="325">
        <v>0</v>
      </c>
      <c r="DO952" s="323">
        <v>0</v>
      </c>
      <c r="DP952" s="323">
        <v>0</v>
      </c>
      <c r="DQ952" s="323">
        <v>0</v>
      </c>
      <c r="DR952" s="323">
        <v>0</v>
      </c>
      <c r="DS952" s="323">
        <v>0</v>
      </c>
      <c r="DT952" s="323">
        <v>0</v>
      </c>
      <c r="DU952" s="323">
        <v>0</v>
      </c>
      <c r="DV952" s="323">
        <v>0</v>
      </c>
      <c r="DW952" s="323">
        <v>0</v>
      </c>
      <c r="DX952" s="323">
        <v>0</v>
      </c>
      <c r="DY952" s="323">
        <v>0</v>
      </c>
      <c r="DZ952" s="325">
        <v>0</v>
      </c>
      <c r="EA952" s="323">
        <v>0</v>
      </c>
      <c r="EB952" s="323">
        <v>0</v>
      </c>
      <c r="EC952" s="323">
        <v>0</v>
      </c>
      <c r="ED952" s="323">
        <v>0</v>
      </c>
      <c r="EE952" s="323">
        <v>0</v>
      </c>
      <c r="EF952" s="323">
        <v>0</v>
      </c>
      <c r="EG952" s="323">
        <v>0</v>
      </c>
      <c r="EH952" s="323">
        <v>0</v>
      </c>
      <c r="EI952" s="323">
        <v>0</v>
      </c>
      <c r="EJ952" s="323">
        <v>0</v>
      </c>
      <c r="EK952" s="323">
        <v>0</v>
      </c>
      <c r="EL952" s="325">
        <v>0</v>
      </c>
      <c r="EM952" s="323">
        <v>0</v>
      </c>
      <c r="EN952" s="323">
        <v>0</v>
      </c>
      <c r="EO952" s="323">
        <v>0</v>
      </c>
      <c r="EP952" s="323">
        <v>0</v>
      </c>
      <c r="EQ952" s="323">
        <v>0</v>
      </c>
      <c r="ER952" s="323">
        <v>0</v>
      </c>
      <c r="ES952" s="323">
        <v>0</v>
      </c>
      <c r="ET952" s="323">
        <v>0</v>
      </c>
      <c r="EU952" s="323">
        <v>0</v>
      </c>
      <c r="EV952" s="323">
        <v>0</v>
      </c>
      <c r="EW952" s="323">
        <v>0</v>
      </c>
      <c r="EX952" s="325">
        <v>0</v>
      </c>
      <c r="EY952" s="323">
        <v>0</v>
      </c>
      <c r="EZ952" s="323">
        <v>0</v>
      </c>
      <c r="FA952" s="323">
        <v>0</v>
      </c>
      <c r="FB952" s="323">
        <v>0</v>
      </c>
      <c r="FC952" s="323">
        <v>0</v>
      </c>
      <c r="FD952" s="323">
        <v>0</v>
      </c>
      <c r="FE952" s="323">
        <v>0</v>
      </c>
      <c r="FF952" s="323">
        <v>0</v>
      </c>
      <c r="FG952" s="323">
        <v>0</v>
      </c>
      <c r="FH952" s="323">
        <v>0</v>
      </c>
      <c r="FI952" s="323">
        <v>0</v>
      </c>
      <c r="FJ952" s="325">
        <v>0</v>
      </c>
      <c r="FK952" s="323">
        <v>0</v>
      </c>
      <c r="FL952" s="323">
        <v>0</v>
      </c>
      <c r="FM952" s="323">
        <v>0</v>
      </c>
      <c r="FN952" s="323">
        <v>0</v>
      </c>
      <c r="FO952" s="323">
        <v>0</v>
      </c>
      <c r="FP952" s="323">
        <v>0</v>
      </c>
      <c r="FQ952" s="323">
        <v>0</v>
      </c>
      <c r="FR952" s="323">
        <v>0</v>
      </c>
      <c r="FS952" s="323">
        <v>0</v>
      </c>
      <c r="FT952" s="323">
        <v>0</v>
      </c>
      <c r="FU952" s="323">
        <v>0</v>
      </c>
      <c r="FV952" s="323">
        <v>0</v>
      </c>
      <c r="FW952" s="323">
        <v>0</v>
      </c>
      <c r="FX952" s="323">
        <v>0</v>
      </c>
      <c r="FY952" s="323">
        <v>0</v>
      </c>
      <c r="FZ952" s="323">
        <v>0</v>
      </c>
      <c r="GA952" s="323">
        <v>0</v>
      </c>
      <c r="GB952" s="323">
        <v>0</v>
      </c>
      <c r="GC952" s="323">
        <v>0</v>
      </c>
      <c r="GD952" s="323">
        <v>0</v>
      </c>
      <c r="GE952" s="323">
        <v>0</v>
      </c>
      <c r="GF952" s="323">
        <v>0</v>
      </c>
      <c r="GG952" s="323">
        <v>0</v>
      </c>
      <c r="GH952" s="323">
        <v>0</v>
      </c>
      <c r="GI952" s="1660">
        <f>GI953</f>
        <v>1.879521035</v>
      </c>
      <c r="GJ952" s="1660">
        <f t="shared" ref="GJ952:HX952" si="1966">GJ953</f>
        <v>2.1783190979999998</v>
      </c>
      <c r="GK952" s="1660">
        <f t="shared" si="1966"/>
        <v>2.1223117720000002</v>
      </c>
      <c r="GL952" s="1660">
        <f t="shared" si="1966"/>
        <v>1.8411083859999999</v>
      </c>
      <c r="GM952" s="1660">
        <f t="shared" si="1966"/>
        <v>2.0267621070000001</v>
      </c>
      <c r="GN952" s="1660">
        <f t="shared" si="1966"/>
        <v>2.1458013060000001</v>
      </c>
      <c r="GO952" s="1660">
        <f>GO953</f>
        <v>2.0240819110000001</v>
      </c>
      <c r="GP952" s="1660">
        <f t="shared" si="1966"/>
        <v>1.9149301700000001</v>
      </c>
      <c r="GQ952" s="1660">
        <f t="shared" si="1966"/>
        <v>2.1255325799999998</v>
      </c>
      <c r="GR952" s="1660">
        <f t="shared" si="1966"/>
        <v>1.6310646289999999</v>
      </c>
      <c r="GS952" s="1660">
        <f t="shared" si="1966"/>
        <v>2.2950203239999998</v>
      </c>
      <c r="GT952" s="1660">
        <f t="shared" si="1966"/>
        <v>2.2538759659999998</v>
      </c>
      <c r="GU952" s="1660">
        <f t="shared" si="1966"/>
        <v>2.12214714</v>
      </c>
      <c r="GV952" s="1660">
        <f t="shared" si="1966"/>
        <v>2.1670857479999999</v>
      </c>
      <c r="GW952" s="1660">
        <f t="shared" si="1966"/>
        <v>2.1718456270000002</v>
      </c>
      <c r="GX952" s="1660">
        <f t="shared" si="1966"/>
        <v>2.220623019</v>
      </c>
      <c r="GY952" s="1660">
        <f t="shared" si="1966"/>
        <v>2.204828091</v>
      </c>
      <c r="GZ952" s="1660">
        <f t="shared" si="1966"/>
        <v>2.442708648</v>
      </c>
      <c r="HA952" s="1660">
        <f t="shared" si="1966"/>
        <v>2.610357413</v>
      </c>
      <c r="HB952" s="1660">
        <f t="shared" si="1966"/>
        <v>2.18930932</v>
      </c>
      <c r="HC952" s="1660">
        <f t="shared" si="1966"/>
        <v>2.5189404280000001</v>
      </c>
      <c r="HD952" s="1660">
        <f t="shared" si="1966"/>
        <v>2.7636696440000001</v>
      </c>
      <c r="HE952" s="1660">
        <f t="shared" si="1966"/>
        <v>2.744250488</v>
      </c>
      <c r="HF952" s="1660">
        <f t="shared" si="1966"/>
        <v>3.0336654850000002</v>
      </c>
      <c r="HG952" s="1660">
        <f t="shared" si="1966"/>
        <v>2.7809004339999999</v>
      </c>
      <c r="HH952" s="1660">
        <f t="shared" si="1966"/>
        <v>2.9228121969999998</v>
      </c>
      <c r="HI952" s="1660">
        <f t="shared" si="1966"/>
        <v>2.6849386069999999</v>
      </c>
      <c r="HJ952" s="1660">
        <f t="shared" si="1966"/>
        <v>2.7153306050000001</v>
      </c>
      <c r="HK952" s="1660">
        <f t="shared" si="1966"/>
        <v>2.5944976670000002</v>
      </c>
      <c r="HL952" s="1660">
        <f t="shared" si="1966"/>
        <v>2.863231195</v>
      </c>
      <c r="HM952" s="1660">
        <f t="shared" si="1966"/>
        <v>2.6600246310000002</v>
      </c>
      <c r="HN952" s="1660">
        <f t="shared" si="1966"/>
        <v>2.2921553829999999</v>
      </c>
      <c r="HO952" s="1660">
        <f t="shared" si="1966"/>
        <v>2.7342626299999999</v>
      </c>
      <c r="HP952" s="1660">
        <f t="shared" si="1966"/>
        <v>2.5559861449999999</v>
      </c>
      <c r="HQ952" s="1660">
        <f t="shared" si="1966"/>
        <v>2.9015952359999999</v>
      </c>
      <c r="HR952" s="1660">
        <f t="shared" si="1966"/>
        <v>3.2460479759999998</v>
      </c>
      <c r="HS952" s="1660">
        <f t="shared" si="1966"/>
        <v>2.5621303630000001</v>
      </c>
      <c r="HT952" s="1660">
        <f t="shared" si="1966"/>
        <v>2.7840921089999999</v>
      </c>
      <c r="HU952" s="1660">
        <f t="shared" si="1966"/>
        <v>2.6396960489999999</v>
      </c>
      <c r="HV952" s="1660">
        <f t="shared" si="1966"/>
        <v>3.3091891900000001</v>
      </c>
      <c r="HW952" s="1660">
        <f t="shared" si="1966"/>
        <v>2.719871645</v>
      </c>
      <c r="HX952" s="1660">
        <f t="shared" si="1966"/>
        <v>3.3472108733299999</v>
      </c>
      <c r="HY952" s="1660"/>
      <c r="HZ952" s="326"/>
      <c r="IA952" s="335" t="s">
        <v>3113</v>
      </c>
      <c r="IB952" s="284">
        <f>SUM(CE952:CJ952)</f>
        <v>0</v>
      </c>
      <c r="IC952" s="279">
        <f>SUM(CK952:CP952)</f>
        <v>0</v>
      </c>
      <c r="ID952" s="323">
        <f>IB952+IC952</f>
        <v>0</v>
      </c>
      <c r="IE952" s="279">
        <f>SUM(CQ952:CV952)</f>
        <v>0</v>
      </c>
      <c r="IF952" s="279">
        <f>SUM(CW952:DB952)</f>
        <v>0</v>
      </c>
      <c r="IG952" s="323">
        <f>IE952+IF952</f>
        <v>0</v>
      </c>
      <c r="IH952" s="284">
        <f>SUM(DC952:DH952)</f>
        <v>0</v>
      </c>
      <c r="II952" s="279">
        <f>SUM(DI952:DN952)</f>
        <v>0</v>
      </c>
      <c r="IJ952" s="323">
        <f>IH952+II952</f>
        <v>0</v>
      </c>
      <c r="IK952" s="327">
        <f>SUM(DO952:DT952)</f>
        <v>0</v>
      </c>
      <c r="IL952" s="279">
        <f>SUM(DU952:DZ952)</f>
        <v>0</v>
      </c>
      <c r="IM952" s="323">
        <f>IK952+IL952</f>
        <v>0</v>
      </c>
      <c r="IN952" s="279">
        <f>SUM(EA952:EF952)</f>
        <v>0</v>
      </c>
      <c r="IO952" s="279">
        <f>SUM(EG952:EL952)</f>
        <v>0</v>
      </c>
      <c r="IP952" s="323">
        <f>IN952+IO952</f>
        <v>0</v>
      </c>
      <c r="IQ952" s="327">
        <f>SUM(EM952:ER952)</f>
        <v>0</v>
      </c>
      <c r="IR952" s="327">
        <f>SUM(ES952:EX952)</f>
        <v>0</v>
      </c>
      <c r="IS952" s="323">
        <f>IQ952+IR952</f>
        <v>0</v>
      </c>
      <c r="IT952" s="327">
        <f>SUM(EY952:FD952)</f>
        <v>0</v>
      </c>
      <c r="IU952" s="327">
        <f>SUM(FE952:FJ952)</f>
        <v>0</v>
      </c>
      <c r="IV952" s="323">
        <f>IT952+IU952</f>
        <v>0</v>
      </c>
      <c r="IW952" s="327">
        <f>SUM(FK952:FP952)*0+IW953+IW954</f>
        <v>7.2977012000000006</v>
      </c>
      <c r="IX952" s="327">
        <f t="shared" si="1963"/>
        <v>0</v>
      </c>
      <c r="IY952" s="323">
        <f t="shared" si="1621"/>
        <v>7.2977012000000006</v>
      </c>
      <c r="IZ952" s="327">
        <f t="shared" si="1921"/>
        <v>0</v>
      </c>
      <c r="JA952" s="327">
        <f t="shared" si="1922"/>
        <v>0</v>
      </c>
      <c r="JB952" s="323">
        <f t="shared" si="1823"/>
        <v>0</v>
      </c>
      <c r="JC952" s="327">
        <f t="shared" si="1923"/>
        <v>12.193823704</v>
      </c>
      <c r="JD952" s="327">
        <f t="shared" si="1924"/>
        <v>12.244505579999998</v>
      </c>
      <c r="JE952" s="323">
        <f t="shared" si="1945"/>
        <v>24.438329283999998</v>
      </c>
      <c r="JF952" s="327">
        <f t="shared" si="1964"/>
        <v>13.329238273</v>
      </c>
      <c r="JG952" s="327">
        <f t="shared" si="1965"/>
        <v>15.860192778000002</v>
      </c>
      <c r="JH952" s="323">
        <f t="shared" si="1944"/>
        <v>29.189431051</v>
      </c>
      <c r="JI952" s="327">
        <f t="shared" si="1744"/>
        <v>16.561710704999999</v>
      </c>
      <c r="JJ952" s="327">
        <f t="shared" si="1871"/>
        <v>16.390072001</v>
      </c>
      <c r="JK952" s="323">
        <f t="shared" si="1933"/>
        <v>32.951782706000003</v>
      </c>
      <c r="JL952" s="327">
        <f t="shared" si="1946"/>
        <v>17.36219022933</v>
      </c>
      <c r="JM952" s="327">
        <f t="shared" ref="JM952:JM964" si="1967">JN952-JL952</f>
        <v>15.715154372717048</v>
      </c>
      <c r="JN952" s="323">
        <f>FISC!AK1273</f>
        <v>33.077344602047049</v>
      </c>
      <c r="JO952" s="327">
        <f t="shared" ref="JO952:JO966" si="1968">JQ952/2</f>
        <v>19.815813661301803</v>
      </c>
      <c r="JP952" s="327">
        <f t="shared" ref="JP952:JP964" si="1969">JQ952-JO952</f>
        <v>19.815813661301803</v>
      </c>
      <c r="JQ952" s="323">
        <f>FISC!AL1273</f>
        <v>39.631627322603606</v>
      </c>
      <c r="JR952" s="327">
        <f t="shared" ref="JR952:JR966" si="1970">JT952/2</f>
        <v>23.565627370532606</v>
      </c>
      <c r="JS952" s="327">
        <f t="shared" ref="JS952:JS964" si="1971">JT952-JR952</f>
        <v>23.565627370532606</v>
      </c>
      <c r="JT952" s="323">
        <f>FISC!AM1273</f>
        <v>47.131254741065213</v>
      </c>
      <c r="JU952" s="327">
        <f t="shared" ref="JU952:JU966" si="1972">JW952/2</f>
        <v>22.440720515917207</v>
      </c>
      <c r="JV952" s="327">
        <f t="shared" ref="JV952:JV964" si="1973">JW952-JU952</f>
        <v>22.440720515917207</v>
      </c>
      <c r="JW952" s="323">
        <f>FISC!AN1273</f>
        <v>44.881441031834413</v>
      </c>
      <c r="JX952" s="327">
        <f t="shared" ref="JX952:JX966" si="1974">JZ952/2</f>
        <v>23.753173943224908</v>
      </c>
      <c r="JY952" s="327">
        <f t="shared" ref="JY952:JY964" si="1975">JZ952-JX952</f>
        <v>23.753173943224908</v>
      </c>
      <c r="JZ952" s="323">
        <f>FISC!AO1273</f>
        <v>47.506347886449817</v>
      </c>
      <c r="KA952" s="327">
        <f t="shared" ref="KA952:KA966" si="1976">KC952/2</f>
        <v>24.253173943224908</v>
      </c>
      <c r="KB952" s="327">
        <f t="shared" ref="KB952:KB964" si="1977">KC952-KA952</f>
        <v>24.253173943224908</v>
      </c>
      <c r="KC952" s="323">
        <f>FISC!AP1273</f>
        <v>48.506347886449817</v>
      </c>
      <c r="KD952" s="327">
        <f t="shared" ref="KD952:KD966" si="1978">KF952/2</f>
        <v>24.753173943224908</v>
      </c>
      <c r="KE952" s="327">
        <f t="shared" ref="KE952:KE964" si="1979">KF952-KD952</f>
        <v>24.753173943224908</v>
      </c>
      <c r="KF952" s="323">
        <f>FISC!AQ1273</f>
        <v>49.506347886449817</v>
      </c>
      <c r="KG952" s="327">
        <f t="shared" ref="KG952:KG966" si="1980">KI952/2</f>
        <v>25.253173943224908</v>
      </c>
      <c r="KH952" s="327">
        <f t="shared" ref="KH952:KH964" si="1981">KI952-KG952</f>
        <v>25.253173943224908</v>
      </c>
      <c r="KI952" s="323">
        <f>FISC!AR1273</f>
        <v>50.506347886449817</v>
      </c>
      <c r="KJ952" s="327">
        <f t="shared" ref="KJ952:KJ966" si="1982">KL952/2</f>
        <v>25.753173943224908</v>
      </c>
      <c r="KK952" s="327">
        <f t="shared" ref="KK952:KK964" si="1983">KL952-KJ952</f>
        <v>25.753173943224908</v>
      </c>
      <c r="KL952" s="323">
        <f>FISC!AS1273</f>
        <v>51.506347886449817</v>
      </c>
      <c r="KM952" s="327">
        <f t="shared" ref="KM952:KM966" si="1984">KO952/2</f>
        <v>26.253173943224908</v>
      </c>
      <c r="KN952" s="327">
        <f t="shared" ref="KN952:KN964" si="1985">KO952-KM952</f>
        <v>26.253173943224908</v>
      </c>
      <c r="KO952" s="323">
        <f>FISC!AT1273</f>
        <v>52.506347886449817</v>
      </c>
      <c r="KU952" s="326"/>
      <c r="KV952" s="327"/>
    </row>
    <row r="953" spans="1:314">
      <c r="A953" s="279"/>
      <c r="D953" s="1497" t="s">
        <v>3147</v>
      </c>
      <c r="E953" s="323"/>
      <c r="F953" s="323"/>
      <c r="G953" s="323"/>
      <c r="H953" s="323"/>
      <c r="I953" s="323"/>
      <c r="J953" s="323"/>
      <c r="K953" s="323"/>
      <c r="L953" s="323"/>
      <c r="M953" s="323"/>
      <c r="N953" s="323"/>
      <c r="O953" s="323"/>
      <c r="P953" s="323"/>
      <c r="Q953" s="323"/>
      <c r="R953" s="323"/>
      <c r="S953" s="323"/>
      <c r="T953" s="323"/>
      <c r="U953" s="323"/>
      <c r="V953" s="323"/>
      <c r="W953" s="323"/>
      <c r="X953" s="323"/>
      <c r="Y953" s="323"/>
      <c r="Z953" s="323"/>
      <c r="AA953" s="323"/>
      <c r="AB953" s="323"/>
      <c r="AC953" s="323"/>
      <c r="AD953" s="323"/>
      <c r="AE953" s="323"/>
      <c r="AF953" s="323"/>
      <c r="AG953" s="323"/>
      <c r="AH953" s="323"/>
      <c r="AI953" s="323"/>
      <c r="AJ953" s="323"/>
      <c r="AK953" s="323"/>
      <c r="AL953" s="323"/>
      <c r="AM953" s="323"/>
      <c r="AN953" s="323"/>
      <c r="AO953" s="323"/>
      <c r="AP953" s="323"/>
      <c r="AQ953" s="323"/>
      <c r="AR953" s="323"/>
      <c r="AS953" s="323"/>
      <c r="AT953" s="323"/>
      <c r="AU953" s="323"/>
      <c r="AV953" s="323"/>
      <c r="AW953" s="323"/>
      <c r="AX953" s="323"/>
      <c r="AY953" s="323"/>
      <c r="AZ953" s="323"/>
      <c r="BA953" s="323"/>
      <c r="BB953" s="323"/>
      <c r="BC953" s="323"/>
      <c r="BD953" s="323"/>
      <c r="BE953" s="323"/>
      <c r="BF953" s="323"/>
      <c r="BG953" s="323"/>
      <c r="BH953" s="323"/>
      <c r="BI953" s="323"/>
      <c r="BJ953" s="323"/>
      <c r="BK953" s="323"/>
      <c r="BL953" s="323"/>
      <c r="BM953" s="323"/>
      <c r="BN953" s="323"/>
      <c r="BO953" s="323"/>
      <c r="BP953" s="323"/>
      <c r="BQ953" s="323"/>
      <c r="BR953" s="323"/>
      <c r="BS953" s="323"/>
      <c r="BT953" s="323"/>
      <c r="BU953" s="323"/>
      <c r="BV953" s="323"/>
      <c r="BW953" s="323"/>
      <c r="BX953" s="323"/>
      <c r="BY953" s="323"/>
      <c r="BZ953" s="323"/>
      <c r="CA953" s="323"/>
      <c r="CB953" s="323"/>
      <c r="CC953" s="323"/>
      <c r="CD953" s="329"/>
      <c r="CE953" s="323"/>
      <c r="CF953" s="323"/>
      <c r="CG953" s="323"/>
      <c r="CH953" s="323"/>
      <c r="CI953" s="323"/>
      <c r="CJ953" s="323"/>
      <c r="CK953" s="323"/>
      <c r="CL953" s="323"/>
      <c r="CM953" s="323"/>
      <c r="CN953" s="323"/>
      <c r="CO953" s="323"/>
      <c r="CP953" s="325"/>
      <c r="CQ953" s="323"/>
      <c r="CR953" s="323"/>
      <c r="CS953" s="323"/>
      <c r="CT953" s="323"/>
      <c r="CU953" s="323"/>
      <c r="CV953" s="323"/>
      <c r="CW953" s="323"/>
      <c r="CX953" s="323"/>
      <c r="CY953" s="323"/>
      <c r="CZ953" s="323"/>
      <c r="DA953" s="323"/>
      <c r="DB953" s="1269"/>
      <c r="DC953" s="323">
        <f t="shared" ref="DC953:EH953" si="1986">DC795</f>
        <v>0</v>
      </c>
      <c r="DD953" s="323">
        <f t="shared" si="1986"/>
        <v>0</v>
      </c>
      <c r="DE953" s="323">
        <f t="shared" si="1986"/>
        <v>0</v>
      </c>
      <c r="DF953" s="323">
        <f t="shared" si="1986"/>
        <v>0</v>
      </c>
      <c r="DG953" s="323">
        <f t="shared" si="1986"/>
        <v>0</v>
      </c>
      <c r="DH953" s="323">
        <f t="shared" si="1986"/>
        <v>0</v>
      </c>
      <c r="DI953" s="323">
        <f t="shared" si="1986"/>
        <v>0</v>
      </c>
      <c r="DJ953" s="323">
        <f t="shared" si="1986"/>
        <v>0</v>
      </c>
      <c r="DK953" s="323">
        <f t="shared" si="1986"/>
        <v>0</v>
      </c>
      <c r="DL953" s="323">
        <f t="shared" si="1986"/>
        <v>0</v>
      </c>
      <c r="DM953" s="323">
        <f t="shared" si="1986"/>
        <v>0</v>
      </c>
      <c r="DN953" s="325">
        <f t="shared" si="1986"/>
        <v>0</v>
      </c>
      <c r="DO953" s="323">
        <f t="shared" si="1986"/>
        <v>0</v>
      </c>
      <c r="DP953" s="323">
        <f t="shared" si="1986"/>
        <v>0</v>
      </c>
      <c r="DQ953" s="323">
        <f t="shared" si="1986"/>
        <v>0</v>
      </c>
      <c r="DR953" s="323">
        <f t="shared" si="1986"/>
        <v>0</v>
      </c>
      <c r="DS953" s="323">
        <f t="shared" si="1986"/>
        <v>0</v>
      </c>
      <c r="DT953" s="323">
        <f t="shared" si="1986"/>
        <v>0</v>
      </c>
      <c r="DU953" s="323">
        <f t="shared" si="1986"/>
        <v>0</v>
      </c>
      <c r="DV953" s="323">
        <f t="shared" si="1986"/>
        <v>0</v>
      </c>
      <c r="DW953" s="323">
        <f t="shared" si="1986"/>
        <v>0</v>
      </c>
      <c r="DX953" s="323">
        <f t="shared" si="1986"/>
        <v>0</v>
      </c>
      <c r="DY953" s="323">
        <f t="shared" si="1986"/>
        <v>0</v>
      </c>
      <c r="DZ953" s="325">
        <f t="shared" si="1986"/>
        <v>0</v>
      </c>
      <c r="EA953" s="323">
        <f t="shared" si="1986"/>
        <v>0</v>
      </c>
      <c r="EB953" s="323">
        <f t="shared" si="1986"/>
        <v>0</v>
      </c>
      <c r="EC953" s="323">
        <f t="shared" si="1986"/>
        <v>0</v>
      </c>
      <c r="ED953" s="323">
        <f t="shared" si="1986"/>
        <v>0</v>
      </c>
      <c r="EE953" s="323">
        <f t="shared" si="1986"/>
        <v>0</v>
      </c>
      <c r="EF953" s="323">
        <f t="shared" si="1986"/>
        <v>0</v>
      </c>
      <c r="EG953" s="323">
        <f t="shared" si="1986"/>
        <v>0</v>
      </c>
      <c r="EH953" s="323">
        <f t="shared" si="1986"/>
        <v>0</v>
      </c>
      <c r="EI953" s="323">
        <f t="shared" ref="EI953:FN953" si="1987">EI795</f>
        <v>0</v>
      </c>
      <c r="EJ953" s="323">
        <f t="shared" si="1987"/>
        <v>0</v>
      </c>
      <c r="EK953" s="323">
        <f t="shared" si="1987"/>
        <v>0</v>
      </c>
      <c r="EL953" s="325">
        <f t="shared" si="1987"/>
        <v>0</v>
      </c>
      <c r="EM953" s="323">
        <f t="shared" si="1987"/>
        <v>0</v>
      </c>
      <c r="EN953" s="323">
        <f t="shared" si="1987"/>
        <v>0</v>
      </c>
      <c r="EO953" s="323">
        <f t="shared" si="1987"/>
        <v>0</v>
      </c>
      <c r="EP953" s="323">
        <f t="shared" si="1987"/>
        <v>0</v>
      </c>
      <c r="EQ953" s="323">
        <f t="shared" si="1987"/>
        <v>0</v>
      </c>
      <c r="ER953" s="323">
        <f t="shared" si="1987"/>
        <v>0</v>
      </c>
      <c r="ES953" s="323">
        <f t="shared" si="1987"/>
        <v>0</v>
      </c>
      <c r="ET953" s="323">
        <f t="shared" si="1987"/>
        <v>0</v>
      </c>
      <c r="EU953" s="323">
        <f t="shared" si="1987"/>
        <v>0</v>
      </c>
      <c r="EV953" s="323">
        <f t="shared" si="1987"/>
        <v>0</v>
      </c>
      <c r="EW953" s="323">
        <f t="shared" si="1987"/>
        <v>0</v>
      </c>
      <c r="EX953" s="325">
        <f t="shared" si="1987"/>
        <v>0</v>
      </c>
      <c r="EY953" s="323">
        <f t="shared" si="1987"/>
        <v>0</v>
      </c>
      <c r="EZ953" s="323">
        <f t="shared" si="1987"/>
        <v>0</v>
      </c>
      <c r="FA953" s="323">
        <f t="shared" si="1987"/>
        <v>0</v>
      </c>
      <c r="FB953" s="323">
        <f t="shared" si="1987"/>
        <v>0</v>
      </c>
      <c r="FC953" s="323">
        <f t="shared" si="1987"/>
        <v>0</v>
      </c>
      <c r="FD953" s="323">
        <f t="shared" si="1987"/>
        <v>0</v>
      </c>
      <c r="FE953" s="323">
        <f t="shared" si="1987"/>
        <v>0</v>
      </c>
      <c r="FF953" s="323">
        <f t="shared" si="1987"/>
        <v>0</v>
      </c>
      <c r="FG953" s="323">
        <f t="shared" si="1987"/>
        <v>0</v>
      </c>
      <c r="FH953" s="323">
        <f t="shared" si="1987"/>
        <v>0</v>
      </c>
      <c r="FI953" s="323">
        <f t="shared" si="1987"/>
        <v>0</v>
      </c>
      <c r="FJ953" s="325">
        <f t="shared" si="1987"/>
        <v>0</v>
      </c>
      <c r="FK953" s="323">
        <f t="shared" si="1987"/>
        <v>0</v>
      </c>
      <c r="FL953" s="323">
        <f t="shared" si="1987"/>
        <v>0</v>
      </c>
      <c r="FM953" s="323">
        <f t="shared" si="1987"/>
        <v>0</v>
      </c>
      <c r="FN953" s="323">
        <f t="shared" si="1987"/>
        <v>0</v>
      </c>
      <c r="FO953" s="323">
        <f t="shared" ref="FO953:GT953" si="1988">FO795</f>
        <v>0</v>
      </c>
      <c r="FP953" s="323">
        <f t="shared" si="1988"/>
        <v>0</v>
      </c>
      <c r="FQ953" s="323">
        <f t="shared" si="1988"/>
        <v>0</v>
      </c>
      <c r="FR953" s="323">
        <f t="shared" si="1988"/>
        <v>0</v>
      </c>
      <c r="FS953" s="323">
        <f t="shared" si="1988"/>
        <v>0</v>
      </c>
      <c r="FT953" s="323">
        <f t="shared" si="1988"/>
        <v>0</v>
      </c>
      <c r="FU953" s="323">
        <f t="shared" si="1988"/>
        <v>0</v>
      </c>
      <c r="FV953" s="323">
        <f t="shared" si="1988"/>
        <v>0</v>
      </c>
      <c r="FW953" s="323">
        <f t="shared" si="1988"/>
        <v>1.142374225</v>
      </c>
      <c r="FX953" s="323">
        <f t="shared" si="1988"/>
        <v>1.3714005600000001</v>
      </c>
      <c r="FY953" s="323">
        <f t="shared" si="1988"/>
        <v>1.3486233999999999</v>
      </c>
      <c r="FZ953" s="323">
        <f t="shared" si="1988"/>
        <v>1.3361463929999999</v>
      </c>
      <c r="GA953" s="323">
        <f t="shared" si="1988"/>
        <v>1.3245327259999999</v>
      </c>
      <c r="GB953" s="323">
        <f t="shared" si="1988"/>
        <v>1.570408018</v>
      </c>
      <c r="GC953" s="323">
        <f t="shared" si="1988"/>
        <v>1.426327613</v>
      </c>
      <c r="GD953" s="323">
        <f t="shared" si="1988"/>
        <v>1.3598600949999999</v>
      </c>
      <c r="GE953" s="323">
        <f t="shared" si="1988"/>
        <v>1.47652962</v>
      </c>
      <c r="GF953" s="323">
        <f t="shared" si="1988"/>
        <v>1.671819607</v>
      </c>
      <c r="GG953" s="323">
        <f t="shared" si="1988"/>
        <v>1.781849389</v>
      </c>
      <c r="GH953" s="323">
        <f t="shared" si="1988"/>
        <v>2.2344886580000001</v>
      </c>
      <c r="GI953" s="1654">
        <f t="shared" si="1988"/>
        <v>1.879521035</v>
      </c>
      <c r="GJ953" s="1654">
        <f t="shared" si="1988"/>
        <v>2.1783190979999998</v>
      </c>
      <c r="GK953" s="1654">
        <f t="shared" si="1988"/>
        <v>2.1223117720000002</v>
      </c>
      <c r="GL953" s="1654">
        <f t="shared" si="1988"/>
        <v>1.8411083859999999</v>
      </c>
      <c r="GM953" s="1654">
        <f t="shared" si="1988"/>
        <v>2.0267621070000001</v>
      </c>
      <c r="GN953" s="1654">
        <f t="shared" si="1988"/>
        <v>2.1458013060000001</v>
      </c>
      <c r="GO953" s="1654">
        <f t="shared" si="1988"/>
        <v>2.0240819110000001</v>
      </c>
      <c r="GP953" s="1654">
        <f t="shared" si="1988"/>
        <v>1.9149301700000001</v>
      </c>
      <c r="GQ953" s="1654">
        <f t="shared" si="1988"/>
        <v>2.1255325799999998</v>
      </c>
      <c r="GR953" s="1654">
        <f t="shared" si="1988"/>
        <v>1.6310646289999999</v>
      </c>
      <c r="GS953" s="1654">
        <f t="shared" si="1988"/>
        <v>2.2950203239999998</v>
      </c>
      <c r="GT953" s="1654">
        <f t="shared" si="1988"/>
        <v>2.2538759659999998</v>
      </c>
      <c r="GU953" s="1654">
        <f t="shared" ref="GU953:HR953" si="1989">GU795</f>
        <v>2.12214714</v>
      </c>
      <c r="GV953" s="1654">
        <f t="shared" si="1989"/>
        <v>2.1670857479999999</v>
      </c>
      <c r="GW953" s="1654">
        <f t="shared" si="1989"/>
        <v>2.1718456270000002</v>
      </c>
      <c r="GX953" s="1654">
        <f t="shared" si="1989"/>
        <v>2.220623019</v>
      </c>
      <c r="GY953" s="1654">
        <f t="shared" si="1989"/>
        <v>2.204828091</v>
      </c>
      <c r="GZ953" s="1654">
        <f t="shared" si="1989"/>
        <v>2.442708648</v>
      </c>
      <c r="HA953" s="1654">
        <f t="shared" si="1989"/>
        <v>2.610357413</v>
      </c>
      <c r="HB953" s="1654">
        <f t="shared" si="1989"/>
        <v>2.18930932</v>
      </c>
      <c r="HC953" s="1654">
        <f t="shared" si="1989"/>
        <v>2.5189404280000001</v>
      </c>
      <c r="HD953" s="1654">
        <f t="shared" si="1989"/>
        <v>2.7636696440000001</v>
      </c>
      <c r="HE953" s="1654">
        <f t="shared" si="1989"/>
        <v>2.744250488</v>
      </c>
      <c r="HF953" s="1654">
        <f t="shared" si="1989"/>
        <v>3.0336654850000002</v>
      </c>
      <c r="HG953" s="1654">
        <f t="shared" si="1989"/>
        <v>2.7809004339999999</v>
      </c>
      <c r="HH953" s="1654">
        <f t="shared" si="1989"/>
        <v>2.9228121969999998</v>
      </c>
      <c r="HI953" s="1654">
        <f t="shared" si="1989"/>
        <v>2.6849386069999999</v>
      </c>
      <c r="HJ953" s="1654">
        <f t="shared" si="1989"/>
        <v>2.7153306050000001</v>
      </c>
      <c r="HK953" s="1654">
        <f t="shared" si="1989"/>
        <v>2.5944976670000002</v>
      </c>
      <c r="HL953" s="1654">
        <f t="shared" si="1989"/>
        <v>2.863231195</v>
      </c>
      <c r="HM953" s="1654">
        <f t="shared" si="1989"/>
        <v>2.6600246310000002</v>
      </c>
      <c r="HN953" s="1654">
        <f t="shared" si="1989"/>
        <v>2.2921553829999999</v>
      </c>
      <c r="HO953" s="1654">
        <f t="shared" si="1989"/>
        <v>2.7342626299999999</v>
      </c>
      <c r="HP953" s="1654">
        <f t="shared" si="1989"/>
        <v>2.5559861449999999</v>
      </c>
      <c r="HQ953" s="1654">
        <f t="shared" si="1989"/>
        <v>2.9015952359999999</v>
      </c>
      <c r="HR953" s="1654">
        <f t="shared" si="1989"/>
        <v>3.2460479759999998</v>
      </c>
      <c r="HS953" s="1654">
        <f t="shared" ref="HS953:HX953" si="1990">HS795</f>
        <v>2.5621303630000001</v>
      </c>
      <c r="HT953" s="1654">
        <f t="shared" si="1990"/>
        <v>2.7840921089999999</v>
      </c>
      <c r="HU953" s="1654">
        <f t="shared" si="1990"/>
        <v>2.6396960489999999</v>
      </c>
      <c r="HV953" s="1654">
        <f t="shared" si="1990"/>
        <v>3.3091891900000001</v>
      </c>
      <c r="HW953" s="1654">
        <f t="shared" si="1990"/>
        <v>2.719871645</v>
      </c>
      <c r="HX953" s="1654">
        <f t="shared" si="1990"/>
        <v>3.3472108733299999</v>
      </c>
      <c r="HY953" s="1654"/>
      <c r="HZ953" s="326"/>
      <c r="IA953" s="1497" t="s">
        <v>3147</v>
      </c>
      <c r="IB953" s="284"/>
      <c r="ID953" s="323"/>
      <c r="IG953" s="323"/>
      <c r="IH953" s="284"/>
      <c r="IJ953" s="323"/>
      <c r="IK953" s="327"/>
      <c r="IM953" s="323"/>
      <c r="IP953" s="323"/>
      <c r="IQ953" s="327"/>
      <c r="IR953" s="327"/>
      <c r="IS953" s="323"/>
      <c r="IT953" s="327"/>
      <c r="IU953" s="327"/>
      <c r="IV953" s="323"/>
      <c r="IW953" s="327">
        <v>7.2977012000000006</v>
      </c>
      <c r="IX953" s="327">
        <f t="shared" si="1963"/>
        <v>0</v>
      </c>
      <c r="IY953" s="323">
        <f t="shared" si="1621"/>
        <v>7.2977012000000006</v>
      </c>
      <c r="IZ953" s="327">
        <f t="shared" si="1921"/>
        <v>8.0934853219999994</v>
      </c>
      <c r="JA953" s="327">
        <f t="shared" si="1922"/>
        <v>9.9508749820000002</v>
      </c>
      <c r="JB953" s="323">
        <f t="shared" si="1823"/>
        <v>18.044360304000001</v>
      </c>
      <c r="JC953" s="327">
        <f t="shared" si="1923"/>
        <v>12.193823704</v>
      </c>
      <c r="JD953" s="327">
        <f t="shared" si="1924"/>
        <v>12.244505579999998</v>
      </c>
      <c r="JE953" s="323">
        <f t="shared" si="1945"/>
        <v>24.438329283999998</v>
      </c>
      <c r="JF953" s="327">
        <f t="shared" si="1964"/>
        <v>13.329238273</v>
      </c>
      <c r="JG953" s="327">
        <f t="shared" si="1965"/>
        <v>15.860192778000002</v>
      </c>
      <c r="JH953" s="323">
        <f t="shared" si="1944"/>
        <v>29.189431051</v>
      </c>
      <c r="JI953" s="327">
        <f t="shared" si="1744"/>
        <v>16.561710704999999</v>
      </c>
      <c r="JJ953" s="327">
        <f t="shared" si="1871"/>
        <v>16.390072001</v>
      </c>
      <c r="JK953" s="323">
        <f t="shared" si="1933"/>
        <v>32.951782706000003</v>
      </c>
      <c r="JL953" s="327">
        <f t="shared" si="1946"/>
        <v>17.36219022933</v>
      </c>
      <c r="JM953" s="327">
        <f t="shared" si="1967"/>
        <v>15.715154372717048</v>
      </c>
      <c r="JN953" s="323">
        <f>FISC!AK1274</f>
        <v>33.077344602047049</v>
      </c>
      <c r="JO953" s="327">
        <f t="shared" si="1968"/>
        <v>19.315813661301803</v>
      </c>
      <c r="JP953" s="327">
        <f t="shared" si="1969"/>
        <v>19.315813661301803</v>
      </c>
      <c r="JQ953" s="323">
        <f>FISC!AL1274</f>
        <v>38.631627322603606</v>
      </c>
      <c r="JR953" s="327">
        <f t="shared" si="1970"/>
        <v>22.565627370532606</v>
      </c>
      <c r="JS953" s="327">
        <f t="shared" si="1971"/>
        <v>22.565627370532606</v>
      </c>
      <c r="JT953" s="323">
        <f>FISC!AM1274</f>
        <v>45.131254741065213</v>
      </c>
      <c r="JU953" s="327">
        <f t="shared" si="1972"/>
        <v>20.940720515917207</v>
      </c>
      <c r="JV953" s="327">
        <f t="shared" si="1973"/>
        <v>20.940720515917207</v>
      </c>
      <c r="JW953" s="323">
        <f>FISC!AN1274</f>
        <v>41.881441031834413</v>
      </c>
      <c r="JX953" s="327">
        <f t="shared" si="1974"/>
        <v>21.753173943224908</v>
      </c>
      <c r="JY953" s="327">
        <f t="shared" si="1975"/>
        <v>21.753173943224908</v>
      </c>
      <c r="JZ953" s="323">
        <f>FISC!AO1274</f>
        <v>43.506347886449817</v>
      </c>
      <c r="KA953" s="327">
        <f t="shared" si="1976"/>
        <v>21.753173943224908</v>
      </c>
      <c r="KB953" s="327">
        <f t="shared" si="1977"/>
        <v>21.753173943224908</v>
      </c>
      <c r="KC953" s="323">
        <f>FISC!AP1274</f>
        <v>43.506347886449817</v>
      </c>
      <c r="KD953" s="327">
        <f t="shared" si="1978"/>
        <v>21.753173943224908</v>
      </c>
      <c r="KE953" s="327">
        <f t="shared" si="1979"/>
        <v>21.753173943224908</v>
      </c>
      <c r="KF953" s="323">
        <f>FISC!AQ1274</f>
        <v>43.506347886449817</v>
      </c>
      <c r="KG953" s="327">
        <f t="shared" si="1980"/>
        <v>21.753173943224908</v>
      </c>
      <c r="KH953" s="327">
        <f t="shared" si="1981"/>
        <v>21.753173943224908</v>
      </c>
      <c r="KI953" s="323">
        <f>FISC!AR1274</f>
        <v>43.506347886449817</v>
      </c>
      <c r="KJ953" s="327">
        <f t="shared" si="1982"/>
        <v>21.753173943224908</v>
      </c>
      <c r="KK953" s="327">
        <f t="shared" si="1983"/>
        <v>21.753173943224908</v>
      </c>
      <c r="KL953" s="323">
        <f>FISC!AS1274</f>
        <v>43.506347886449817</v>
      </c>
      <c r="KM953" s="327">
        <f t="shared" si="1984"/>
        <v>21.753173943224908</v>
      </c>
      <c r="KN953" s="327">
        <f t="shared" si="1985"/>
        <v>21.753173943224908</v>
      </c>
      <c r="KO953" s="323">
        <f>FISC!AT1274</f>
        <v>43.506347886449817</v>
      </c>
      <c r="KU953" s="326"/>
      <c r="KV953" s="327"/>
    </row>
    <row r="954" spans="1:314">
      <c r="A954" s="279"/>
      <c r="D954" s="1497" t="s">
        <v>3148</v>
      </c>
      <c r="E954" s="323"/>
      <c r="F954" s="323"/>
      <c r="G954" s="323"/>
      <c r="H954" s="323"/>
      <c r="I954" s="323"/>
      <c r="J954" s="323"/>
      <c r="K954" s="323"/>
      <c r="L954" s="323"/>
      <c r="M954" s="323"/>
      <c r="N954" s="323"/>
      <c r="O954" s="323"/>
      <c r="P954" s="323"/>
      <c r="Q954" s="323"/>
      <c r="R954" s="323"/>
      <c r="S954" s="323"/>
      <c r="T954" s="323"/>
      <c r="U954" s="323"/>
      <c r="V954" s="323"/>
      <c r="W954" s="323"/>
      <c r="X954" s="323"/>
      <c r="Y954" s="323"/>
      <c r="Z954" s="323"/>
      <c r="AA954" s="323"/>
      <c r="AB954" s="323"/>
      <c r="AC954" s="323"/>
      <c r="AD954" s="323"/>
      <c r="AE954" s="323"/>
      <c r="AF954" s="323"/>
      <c r="AG954" s="323"/>
      <c r="AH954" s="323"/>
      <c r="AI954" s="323"/>
      <c r="AJ954" s="323"/>
      <c r="AK954" s="323"/>
      <c r="AL954" s="323"/>
      <c r="AM954" s="323"/>
      <c r="AN954" s="323"/>
      <c r="AO954" s="323"/>
      <c r="AP954" s="323"/>
      <c r="AQ954" s="323"/>
      <c r="AR954" s="323"/>
      <c r="AS954" s="323"/>
      <c r="AT954" s="323"/>
      <c r="AU954" s="323"/>
      <c r="AV954" s="323"/>
      <c r="AW954" s="323"/>
      <c r="AX954" s="323"/>
      <c r="AY954" s="323"/>
      <c r="AZ954" s="323"/>
      <c r="BA954" s="323"/>
      <c r="BB954" s="323"/>
      <c r="BC954" s="323"/>
      <c r="BD954" s="323"/>
      <c r="BE954" s="323"/>
      <c r="BF954" s="323"/>
      <c r="BG954" s="323"/>
      <c r="BH954" s="323"/>
      <c r="BI954" s="323"/>
      <c r="BJ954" s="323"/>
      <c r="BK954" s="323"/>
      <c r="BL954" s="323"/>
      <c r="BM954" s="323"/>
      <c r="BN954" s="323"/>
      <c r="BO954" s="323"/>
      <c r="BP954" s="323"/>
      <c r="BQ954" s="323"/>
      <c r="BR954" s="323"/>
      <c r="BS954" s="323"/>
      <c r="BT954" s="323"/>
      <c r="BU954" s="323"/>
      <c r="BV954" s="323"/>
      <c r="BW954" s="323"/>
      <c r="BX954" s="323"/>
      <c r="BY954" s="323"/>
      <c r="BZ954" s="323"/>
      <c r="CA954" s="323"/>
      <c r="CB954" s="323"/>
      <c r="CC954" s="323"/>
      <c r="CD954" s="329"/>
      <c r="CE954" s="323"/>
      <c r="CF954" s="323"/>
      <c r="CG954" s="323"/>
      <c r="CH954" s="323"/>
      <c r="CI954" s="323"/>
      <c r="CJ954" s="323"/>
      <c r="CK954" s="323"/>
      <c r="CL954" s="323"/>
      <c r="CM954" s="323"/>
      <c r="CN954" s="323"/>
      <c r="CO954" s="323"/>
      <c r="CP954" s="325"/>
      <c r="CQ954" s="323"/>
      <c r="CR954" s="323"/>
      <c r="CS954" s="323"/>
      <c r="CT954" s="323"/>
      <c r="CU954" s="323"/>
      <c r="CV954" s="323"/>
      <c r="CW954" s="323"/>
      <c r="CX954" s="323"/>
      <c r="CY954" s="323"/>
      <c r="CZ954" s="323"/>
      <c r="DA954" s="323"/>
      <c r="DB954" s="1269"/>
      <c r="DC954" s="323"/>
      <c r="DD954" s="323"/>
      <c r="DE954" s="323"/>
      <c r="DF954" s="323"/>
      <c r="DG954" s="323"/>
      <c r="DH954" s="323"/>
      <c r="DI954" s="323"/>
      <c r="DJ954" s="323"/>
      <c r="DK954" s="323"/>
      <c r="DL954" s="323"/>
      <c r="DM954" s="323"/>
      <c r="DN954" s="325"/>
      <c r="DO954" s="323"/>
      <c r="DP954" s="323"/>
      <c r="DQ954" s="323"/>
      <c r="DR954" s="323"/>
      <c r="DS954" s="323"/>
      <c r="DT954" s="323"/>
      <c r="DU954" s="323"/>
      <c r="DV954" s="323"/>
      <c r="DW954" s="323"/>
      <c r="DX954" s="323"/>
      <c r="DY954" s="323"/>
      <c r="DZ954" s="325"/>
      <c r="EA954" s="323"/>
      <c r="EB954" s="323"/>
      <c r="EC954" s="323"/>
      <c r="ED954" s="323"/>
      <c r="EE954" s="323"/>
      <c r="EF954" s="323"/>
      <c r="EG954" s="323"/>
      <c r="EH954" s="323"/>
      <c r="EI954" s="323"/>
      <c r="EJ954" s="323"/>
      <c r="EK954" s="323"/>
      <c r="EL954" s="325"/>
      <c r="EM954" s="323"/>
      <c r="EN954" s="323"/>
      <c r="EO954" s="323"/>
      <c r="EP954" s="323"/>
      <c r="EQ954" s="323"/>
      <c r="ER954" s="323"/>
      <c r="ES954" s="323"/>
      <c r="ET954" s="323"/>
      <c r="EU954" s="323"/>
      <c r="EV954" s="323"/>
      <c r="EW954" s="323"/>
      <c r="EX954" s="325"/>
      <c r="EY954" s="323"/>
      <c r="EZ954" s="323"/>
      <c r="FA954" s="323"/>
      <c r="FB954" s="323"/>
      <c r="FC954" s="323"/>
      <c r="FD954" s="323"/>
      <c r="FE954" s="323"/>
      <c r="FF954" s="323"/>
      <c r="FG954" s="323"/>
      <c r="FH954" s="323"/>
      <c r="FI954" s="323"/>
      <c r="FJ954" s="325"/>
      <c r="FK954" s="323"/>
      <c r="FL954" s="323"/>
      <c r="FM954" s="323"/>
      <c r="FN954" s="323"/>
      <c r="FO954" s="323"/>
      <c r="FP954" s="323"/>
      <c r="FQ954" s="323"/>
      <c r="FR954" s="323"/>
      <c r="FS954" s="323"/>
      <c r="FT954" s="323"/>
      <c r="FU954" s="323"/>
      <c r="FV954" s="323"/>
      <c r="FW954" s="323"/>
      <c r="FX954" s="323"/>
      <c r="FY954" s="323"/>
      <c r="FZ954" s="323"/>
      <c r="GA954" s="323"/>
      <c r="GB954" s="323"/>
      <c r="GC954" s="323"/>
      <c r="GD954" s="323"/>
      <c r="GE954" s="323"/>
      <c r="GF954" s="323"/>
      <c r="GG954" s="323"/>
      <c r="GH954" s="323"/>
      <c r="GI954" s="1654"/>
      <c r="HZ954" s="326"/>
      <c r="IA954" s="1497" t="s">
        <v>3148</v>
      </c>
      <c r="IB954" s="284"/>
      <c r="ID954" s="323"/>
      <c r="IG954" s="323"/>
      <c r="IH954" s="284"/>
      <c r="IJ954" s="323"/>
      <c r="IK954" s="327"/>
      <c r="IM954" s="323"/>
      <c r="IP954" s="323"/>
      <c r="IQ954" s="327"/>
      <c r="IR954" s="327"/>
      <c r="IS954" s="323"/>
      <c r="IT954" s="327"/>
      <c r="IU954" s="327"/>
      <c r="IV954" s="323"/>
      <c r="IW954" s="327">
        <v>0</v>
      </c>
      <c r="IX954" s="327">
        <f t="shared" si="1963"/>
        <v>0</v>
      </c>
      <c r="IY954" s="323">
        <f t="shared" ref="IY954:IY961" si="1991">IW954+IX954</f>
        <v>0</v>
      </c>
      <c r="IZ954" s="327">
        <f t="shared" si="1921"/>
        <v>0</v>
      </c>
      <c r="JA954" s="327">
        <f t="shared" si="1922"/>
        <v>0</v>
      </c>
      <c r="JB954" s="323">
        <f t="shared" si="1823"/>
        <v>0</v>
      </c>
      <c r="JC954" s="327">
        <f t="shared" si="1923"/>
        <v>0</v>
      </c>
      <c r="JD954" s="327">
        <f t="shared" si="1924"/>
        <v>0</v>
      </c>
      <c r="JE954" s="323">
        <f t="shared" si="1945"/>
        <v>0</v>
      </c>
      <c r="JF954" s="327">
        <f t="shared" si="1964"/>
        <v>0</v>
      </c>
      <c r="JG954" s="327">
        <f t="shared" si="1965"/>
        <v>0</v>
      </c>
      <c r="JH954" s="323">
        <f t="shared" si="1944"/>
        <v>0</v>
      </c>
      <c r="JI954" s="327">
        <f t="shared" si="1744"/>
        <v>0</v>
      </c>
      <c r="JJ954" s="327">
        <f t="shared" si="1871"/>
        <v>0</v>
      </c>
      <c r="JK954" s="323">
        <f t="shared" si="1933"/>
        <v>0</v>
      </c>
      <c r="JL954" s="327">
        <f t="shared" si="1946"/>
        <v>0</v>
      </c>
      <c r="JM954" s="327">
        <f t="shared" si="1967"/>
        <v>0</v>
      </c>
      <c r="JN954" s="323">
        <f>FISC!AK1275</f>
        <v>0</v>
      </c>
      <c r="JO954" s="327">
        <f t="shared" si="1968"/>
        <v>0.5</v>
      </c>
      <c r="JP954" s="327">
        <f t="shared" si="1969"/>
        <v>0.5</v>
      </c>
      <c r="JQ954" s="323">
        <f>FISC!AL1275</f>
        <v>1</v>
      </c>
      <c r="JR954" s="327">
        <f t="shared" si="1970"/>
        <v>1</v>
      </c>
      <c r="JS954" s="327">
        <f t="shared" si="1971"/>
        <v>1</v>
      </c>
      <c r="JT954" s="323">
        <f>FISC!AM1275</f>
        <v>2</v>
      </c>
      <c r="JU954" s="327">
        <f t="shared" si="1972"/>
        <v>1.5</v>
      </c>
      <c r="JV954" s="327">
        <f t="shared" si="1973"/>
        <v>1.5</v>
      </c>
      <c r="JW954" s="323">
        <f>FISC!AN1275</f>
        <v>3</v>
      </c>
      <c r="JX954" s="327">
        <f t="shared" si="1974"/>
        <v>2</v>
      </c>
      <c r="JY954" s="327">
        <f t="shared" si="1975"/>
        <v>2</v>
      </c>
      <c r="JZ954" s="323">
        <f>FISC!AO1275</f>
        <v>4</v>
      </c>
      <c r="KA954" s="327">
        <f t="shared" si="1976"/>
        <v>2.5</v>
      </c>
      <c r="KB954" s="327">
        <f t="shared" si="1977"/>
        <v>2.5</v>
      </c>
      <c r="KC954" s="323">
        <f>FISC!AP1275</f>
        <v>5</v>
      </c>
      <c r="KD954" s="327">
        <f t="shared" si="1978"/>
        <v>3</v>
      </c>
      <c r="KE954" s="327">
        <f t="shared" si="1979"/>
        <v>3</v>
      </c>
      <c r="KF954" s="323">
        <f>FISC!AQ1275</f>
        <v>6</v>
      </c>
      <c r="KG954" s="327">
        <f t="shared" si="1980"/>
        <v>3.5</v>
      </c>
      <c r="KH954" s="327">
        <f t="shared" si="1981"/>
        <v>3.5</v>
      </c>
      <c r="KI954" s="323">
        <f>FISC!AR1275</f>
        <v>7</v>
      </c>
      <c r="KJ954" s="327">
        <f t="shared" si="1982"/>
        <v>4</v>
      </c>
      <c r="KK954" s="327">
        <f t="shared" si="1983"/>
        <v>4</v>
      </c>
      <c r="KL954" s="323">
        <f>FISC!AS1275</f>
        <v>8</v>
      </c>
      <c r="KM954" s="327">
        <f t="shared" si="1984"/>
        <v>4.5</v>
      </c>
      <c r="KN954" s="327">
        <f t="shared" si="1985"/>
        <v>4.5</v>
      </c>
      <c r="KO954" s="323">
        <f>FISC!AT1275</f>
        <v>9</v>
      </c>
      <c r="KU954" s="326"/>
      <c r="KV954" s="327"/>
    </row>
    <row r="955" spans="1:314">
      <c r="A955" s="279"/>
      <c r="B955" s="96" t="s">
        <v>338</v>
      </c>
      <c r="D955" s="335" t="s">
        <v>3114</v>
      </c>
      <c r="E955" s="323"/>
      <c r="F955" s="323"/>
      <c r="G955" s="323"/>
      <c r="H955" s="323"/>
      <c r="I955" s="323"/>
      <c r="J955" s="323"/>
      <c r="K955" s="323"/>
      <c r="L955" s="323"/>
      <c r="M955" s="323"/>
      <c r="N955" s="323"/>
      <c r="O955" s="323"/>
      <c r="P955" s="323"/>
      <c r="Q955" s="323"/>
      <c r="R955" s="323"/>
      <c r="S955" s="323"/>
      <c r="T955" s="323"/>
      <c r="U955" s="323"/>
      <c r="V955" s="323"/>
      <c r="W955" s="323"/>
      <c r="X955" s="323"/>
      <c r="Y955" s="323"/>
      <c r="Z955" s="323"/>
      <c r="AA955" s="323"/>
      <c r="AB955" s="323"/>
      <c r="AC955" s="323"/>
      <c r="AD955" s="323"/>
      <c r="AE955" s="323"/>
      <c r="AF955" s="323"/>
      <c r="AG955" s="323"/>
      <c r="AH955" s="323"/>
      <c r="AI955" s="323"/>
      <c r="AJ955" s="323"/>
      <c r="AK955" s="323"/>
      <c r="AL955" s="323"/>
      <c r="AM955" s="323"/>
      <c r="AN955" s="323"/>
      <c r="AO955" s="323"/>
      <c r="AP955" s="323"/>
      <c r="AQ955" s="323"/>
      <c r="AR955" s="323"/>
      <c r="AS955" s="323"/>
      <c r="AT955" s="323"/>
      <c r="AU955" s="323"/>
      <c r="AV955" s="323"/>
      <c r="AW955" s="323"/>
      <c r="AX955" s="323"/>
      <c r="AY955" s="323"/>
      <c r="AZ955" s="323"/>
      <c r="BA955" s="323"/>
      <c r="BB955" s="323"/>
      <c r="BC955" s="323"/>
      <c r="BD955" s="323"/>
      <c r="BE955" s="323"/>
      <c r="BF955" s="323"/>
      <c r="BG955" s="323"/>
      <c r="BH955" s="323"/>
      <c r="BI955" s="323"/>
      <c r="BJ955" s="323"/>
      <c r="BK955" s="323"/>
      <c r="BL955" s="323"/>
      <c r="BM955" s="323"/>
      <c r="BN955" s="323"/>
      <c r="BO955" s="323"/>
      <c r="BP955" s="323"/>
      <c r="BQ955" s="323"/>
      <c r="BR955" s="323"/>
      <c r="BS955" s="323"/>
      <c r="BT955" s="323"/>
      <c r="BU955" s="323"/>
      <c r="BV955" s="323"/>
      <c r="BW955" s="323"/>
      <c r="BX955" s="323"/>
      <c r="BY955" s="323"/>
      <c r="BZ955" s="323"/>
      <c r="CA955" s="323"/>
      <c r="CB955" s="323"/>
      <c r="CC955" s="323"/>
      <c r="CD955" s="329"/>
      <c r="CE955" s="323">
        <v>0</v>
      </c>
      <c r="CF955" s="323">
        <v>0</v>
      </c>
      <c r="CG955" s="323">
        <v>0</v>
      </c>
      <c r="CH955" s="323">
        <v>0</v>
      </c>
      <c r="CI955" s="323">
        <v>0</v>
      </c>
      <c r="CJ955" s="323">
        <v>0</v>
      </c>
      <c r="CK955" s="323">
        <v>0</v>
      </c>
      <c r="CL955" s="323">
        <v>0</v>
      </c>
      <c r="CM955" s="323">
        <v>0</v>
      </c>
      <c r="CN955" s="323">
        <v>0</v>
      </c>
      <c r="CO955" s="323">
        <v>0</v>
      </c>
      <c r="CP955" s="325">
        <v>0</v>
      </c>
      <c r="CQ955" s="323">
        <v>0</v>
      </c>
      <c r="CR955" s="323">
        <v>0</v>
      </c>
      <c r="CS955" s="323">
        <v>0</v>
      </c>
      <c r="CT955" s="323">
        <v>0</v>
      </c>
      <c r="CU955" s="323">
        <v>0</v>
      </c>
      <c r="CV955" s="323">
        <v>0</v>
      </c>
      <c r="CW955" s="323">
        <v>0</v>
      </c>
      <c r="CX955" s="323">
        <v>0</v>
      </c>
      <c r="CY955" s="323">
        <v>0</v>
      </c>
      <c r="CZ955" s="323">
        <v>0</v>
      </c>
      <c r="DA955" s="323">
        <v>0</v>
      </c>
      <c r="DB955" s="1269">
        <v>0</v>
      </c>
      <c r="DC955" s="323">
        <v>0</v>
      </c>
      <c r="DD955" s="323">
        <v>0</v>
      </c>
      <c r="DE955" s="323">
        <v>0</v>
      </c>
      <c r="DF955" s="323">
        <v>0</v>
      </c>
      <c r="DG955" s="323">
        <v>0</v>
      </c>
      <c r="DH955" s="323">
        <v>0</v>
      </c>
      <c r="DI955" s="323">
        <v>0</v>
      </c>
      <c r="DJ955" s="323">
        <v>0</v>
      </c>
      <c r="DK955" s="323">
        <v>0</v>
      </c>
      <c r="DL955" s="323">
        <v>0</v>
      </c>
      <c r="DM955" s="323">
        <v>0</v>
      </c>
      <c r="DN955" s="325">
        <v>0</v>
      </c>
      <c r="DO955" s="323">
        <v>0</v>
      </c>
      <c r="DP955" s="323">
        <v>0</v>
      </c>
      <c r="DQ955" s="323">
        <v>0</v>
      </c>
      <c r="DR955" s="323">
        <v>0</v>
      </c>
      <c r="DS955" s="323">
        <v>0</v>
      </c>
      <c r="DT955" s="323">
        <v>0</v>
      </c>
      <c r="DU955" s="323">
        <v>0</v>
      </c>
      <c r="DV955" s="323">
        <v>0</v>
      </c>
      <c r="DW955" s="323">
        <v>0</v>
      </c>
      <c r="DX955" s="323">
        <v>0</v>
      </c>
      <c r="DY955" s="323">
        <v>0</v>
      </c>
      <c r="DZ955" s="325">
        <v>0</v>
      </c>
      <c r="EA955" s="323">
        <v>0</v>
      </c>
      <c r="EB955" s="323">
        <v>0</v>
      </c>
      <c r="EC955" s="323">
        <v>0</v>
      </c>
      <c r="ED955" s="323">
        <v>0</v>
      </c>
      <c r="EE955" s="323">
        <v>0</v>
      </c>
      <c r="EF955" s="323">
        <v>0</v>
      </c>
      <c r="EG955" s="323">
        <v>0</v>
      </c>
      <c r="EH955" s="323">
        <v>0</v>
      </c>
      <c r="EI955" s="323">
        <v>0</v>
      </c>
      <c r="EJ955" s="323">
        <v>0</v>
      </c>
      <c r="EK955" s="323">
        <v>0</v>
      </c>
      <c r="EL955" s="325">
        <v>0</v>
      </c>
      <c r="EM955" s="323">
        <v>0</v>
      </c>
      <c r="EN955" s="323">
        <v>0</v>
      </c>
      <c r="EO955" s="323">
        <v>0</v>
      </c>
      <c r="EP955" s="323">
        <v>0</v>
      </c>
      <c r="EQ955" s="323">
        <v>0</v>
      </c>
      <c r="ER955" s="323">
        <v>0</v>
      </c>
      <c r="ES955" s="323">
        <v>0</v>
      </c>
      <c r="ET955" s="323">
        <v>0</v>
      </c>
      <c r="EU955" s="323">
        <v>0</v>
      </c>
      <c r="EV955" s="323">
        <v>0</v>
      </c>
      <c r="EW955" s="323">
        <v>0</v>
      </c>
      <c r="EX955" s="325">
        <v>0</v>
      </c>
      <c r="EY955" s="323">
        <v>0</v>
      </c>
      <c r="EZ955" s="323">
        <v>0</v>
      </c>
      <c r="FA955" s="323">
        <v>0</v>
      </c>
      <c r="FB955" s="323">
        <v>0</v>
      </c>
      <c r="FC955" s="323">
        <v>0</v>
      </c>
      <c r="FD955" s="323">
        <v>0</v>
      </c>
      <c r="FE955" s="323">
        <v>0</v>
      </c>
      <c r="FF955" s="323">
        <v>0</v>
      </c>
      <c r="FG955" s="323">
        <v>0</v>
      </c>
      <c r="FH955" s="323">
        <v>0</v>
      </c>
      <c r="FI955" s="323">
        <v>0</v>
      </c>
      <c r="FJ955" s="325">
        <v>0</v>
      </c>
      <c r="FK955" s="323">
        <v>0</v>
      </c>
      <c r="FL955" s="323">
        <v>0</v>
      </c>
      <c r="FM955" s="323">
        <v>0</v>
      </c>
      <c r="FN955" s="323">
        <v>0</v>
      </c>
      <c r="FO955" s="323">
        <v>0</v>
      </c>
      <c r="FP955" s="323">
        <v>0</v>
      </c>
      <c r="FQ955" s="323">
        <v>0</v>
      </c>
      <c r="FR955" s="323">
        <v>0</v>
      </c>
      <c r="FS955" s="323">
        <v>0</v>
      </c>
      <c r="FT955" s="323">
        <v>0</v>
      </c>
      <c r="FU955" s="323">
        <v>0</v>
      </c>
      <c r="FV955" s="323">
        <v>0</v>
      </c>
      <c r="FW955" s="323">
        <v>0</v>
      </c>
      <c r="FX955" s="323">
        <v>0</v>
      </c>
      <c r="FY955" s="323">
        <v>0</v>
      </c>
      <c r="FZ955" s="323">
        <v>0</v>
      </c>
      <c r="GA955" s="323">
        <v>0</v>
      </c>
      <c r="GB955" s="323">
        <v>0</v>
      </c>
      <c r="GC955" s="323">
        <v>0</v>
      </c>
      <c r="GD955" s="323">
        <v>0</v>
      </c>
      <c r="GE955" s="323">
        <v>0</v>
      </c>
      <c r="GF955" s="323">
        <v>0</v>
      </c>
      <c r="GG955" s="323">
        <v>0</v>
      </c>
      <c r="GH955" s="323">
        <v>0</v>
      </c>
      <c r="GI955" s="1660">
        <f>GI956</f>
        <v>1.21073736</v>
      </c>
      <c r="GJ955" s="1660">
        <f t="shared" ref="GJ955:HX955" si="1992">GJ956</f>
        <v>1.3205667619999999</v>
      </c>
      <c r="GK955" s="1660">
        <f t="shared" si="1992"/>
        <v>1.411681636</v>
      </c>
      <c r="GL955" s="1660">
        <f t="shared" si="1992"/>
        <v>1.1410272400000001</v>
      </c>
      <c r="GM955" s="1660">
        <f t="shared" si="1992"/>
        <v>1.155290588</v>
      </c>
      <c r="GN955" s="1660">
        <f t="shared" si="1992"/>
        <v>1.29052203</v>
      </c>
      <c r="GO955" s="1660">
        <f t="shared" si="1992"/>
        <v>1.2083091020000001</v>
      </c>
      <c r="GP955" s="1660">
        <f t="shared" si="1992"/>
        <v>1.15882376</v>
      </c>
      <c r="GQ955" s="1660">
        <f t="shared" si="1992"/>
        <v>1.417136704</v>
      </c>
      <c r="GR955" s="1660">
        <f t="shared" si="1992"/>
        <v>1.130445774</v>
      </c>
      <c r="GS955" s="1660">
        <f t="shared" si="1992"/>
        <v>1.3095804870000001</v>
      </c>
      <c r="GT955" s="1660">
        <f t="shared" si="1992"/>
        <v>1.3766600499999999</v>
      </c>
      <c r="GU955" s="1660">
        <f t="shared" si="1992"/>
        <v>1.2532150660000001</v>
      </c>
      <c r="GV955" s="1660">
        <f t="shared" si="1992"/>
        <v>1.4214319870000001</v>
      </c>
      <c r="GW955" s="1660">
        <f t="shared" si="1992"/>
        <v>1.2920655080000001</v>
      </c>
      <c r="GX955" s="1660">
        <f t="shared" si="1992"/>
        <v>1.343284208</v>
      </c>
      <c r="GY955" s="1660">
        <f t="shared" si="1992"/>
        <v>1.313763872</v>
      </c>
      <c r="GZ955" s="1660">
        <f t="shared" si="1992"/>
        <v>1.25963402</v>
      </c>
      <c r="HA955" s="1660">
        <f t="shared" si="1992"/>
        <v>1.304045565</v>
      </c>
      <c r="HB955" s="1660">
        <f t="shared" si="1992"/>
        <v>1.211248026</v>
      </c>
      <c r="HC955" s="1660">
        <f t="shared" si="1992"/>
        <v>1.3897288139999999</v>
      </c>
      <c r="HD955" s="1660">
        <f t="shared" si="1992"/>
        <v>1.226373521</v>
      </c>
      <c r="HE955" s="1660">
        <f t="shared" si="1992"/>
        <v>1.3664009580000001</v>
      </c>
      <c r="HF955" s="1660">
        <f t="shared" si="1992"/>
        <v>1.3763920160000001</v>
      </c>
      <c r="HG955" s="1660">
        <f t="shared" si="1992"/>
        <v>1.4508406220000001</v>
      </c>
      <c r="HH955" s="1660">
        <f t="shared" si="1992"/>
        <v>1.5411530920000001</v>
      </c>
      <c r="HI955" s="1660">
        <f t="shared" si="1992"/>
        <v>1.4252575679999999</v>
      </c>
      <c r="HJ955" s="1660">
        <f t="shared" si="1992"/>
        <v>1.4603782380000001</v>
      </c>
      <c r="HK955" s="1660">
        <f t="shared" si="1992"/>
        <v>1.3586528920000001</v>
      </c>
      <c r="HL955" s="1660">
        <f t="shared" si="1992"/>
        <v>1.5133927810000001</v>
      </c>
      <c r="HM955" s="1660">
        <f t="shared" si="1992"/>
        <v>1.487774004</v>
      </c>
      <c r="HN955" s="1660">
        <f t="shared" si="1992"/>
        <v>1.4247102270000001</v>
      </c>
      <c r="HO955" s="1660">
        <f t="shared" si="1992"/>
        <v>1.479416692</v>
      </c>
      <c r="HP955" s="1660">
        <f t="shared" si="1992"/>
        <v>1.4584101650000001</v>
      </c>
      <c r="HQ955" s="1660">
        <f t="shared" si="1992"/>
        <v>1.483908215</v>
      </c>
      <c r="HR955" s="1660">
        <f t="shared" si="1992"/>
        <v>2.3340540490000001</v>
      </c>
      <c r="HS955" s="1660">
        <f t="shared" si="1992"/>
        <v>2.502546851</v>
      </c>
      <c r="HT955" s="1660">
        <f t="shared" si="1992"/>
        <v>2.4564866809999999</v>
      </c>
      <c r="HU955" s="1660">
        <f t="shared" si="1992"/>
        <v>2.5490056499999998</v>
      </c>
      <c r="HV955" s="1660">
        <f t="shared" si="1992"/>
        <v>2.5066022999999999</v>
      </c>
      <c r="HW955" s="1660">
        <f t="shared" si="1992"/>
        <v>2.2360938450000001</v>
      </c>
      <c r="HX955" s="1660">
        <f t="shared" si="1992"/>
        <v>2.6153892999999999</v>
      </c>
      <c r="HY955" s="1660"/>
      <c r="HZ955" s="326"/>
      <c r="IA955" s="335" t="s">
        <v>3114</v>
      </c>
      <c r="IB955" s="284">
        <f>SUM(CE955:CJ955)</f>
        <v>0</v>
      </c>
      <c r="IC955" s="279">
        <f>SUM(CK955:CP955)</f>
        <v>0</v>
      </c>
      <c r="ID955" s="323">
        <f>IB955+IC955</f>
        <v>0</v>
      </c>
      <c r="IE955" s="279">
        <f>SUM(CQ955:CV955)</f>
        <v>0</v>
      </c>
      <c r="IF955" s="279">
        <f>SUM(CW955:DB955)</f>
        <v>0</v>
      </c>
      <c r="IG955" s="323">
        <f>IE955+IF955</f>
        <v>0</v>
      </c>
      <c r="IH955" s="284">
        <f>SUM(DC955:DH955)</f>
        <v>0</v>
      </c>
      <c r="II955" s="279">
        <f>SUM(DI955:DN955)</f>
        <v>0</v>
      </c>
      <c r="IJ955" s="323">
        <f>IH955+II955</f>
        <v>0</v>
      </c>
      <c r="IK955" s="327">
        <f>SUM(DO955:DT955)</f>
        <v>0</v>
      </c>
      <c r="IL955" s="279">
        <f>SUM(DU955:DZ955)</f>
        <v>0</v>
      </c>
      <c r="IM955" s="323">
        <f>IK955+IL955</f>
        <v>0</v>
      </c>
      <c r="IN955" s="279">
        <f>SUM(EA955:EF955)</f>
        <v>0</v>
      </c>
      <c r="IO955" s="279">
        <f>SUM(EG955:EL955)</f>
        <v>0</v>
      </c>
      <c r="IP955" s="323">
        <f>IN955+IO955</f>
        <v>0</v>
      </c>
      <c r="IQ955" s="327">
        <f>SUM(EM955:ER955)</f>
        <v>0</v>
      </c>
      <c r="IR955" s="327">
        <f>SUM(ES955:EX955)</f>
        <v>0</v>
      </c>
      <c r="IS955" s="323">
        <f>IQ955+IR955</f>
        <v>0</v>
      </c>
      <c r="IT955" s="327">
        <f>SUM(EY955:FD955)</f>
        <v>0</v>
      </c>
      <c r="IU955" s="327">
        <f>SUM(FE955:FJ955)</f>
        <v>0</v>
      </c>
      <c r="IV955" s="323">
        <f>IT955+IU955</f>
        <v>0</v>
      </c>
      <c r="IW955" s="327">
        <f>SUM(FK955:FP955)*0+SUM(IW956:IW960)</f>
        <v>6.0835916900000004</v>
      </c>
      <c r="IX955" s="327">
        <f t="shared" si="1963"/>
        <v>0</v>
      </c>
      <c r="IY955" s="323">
        <f t="shared" si="1991"/>
        <v>6.0835916900000004</v>
      </c>
      <c r="IZ955" s="327">
        <f t="shared" si="1921"/>
        <v>0</v>
      </c>
      <c r="JA955" s="327">
        <f t="shared" si="1922"/>
        <v>0</v>
      </c>
      <c r="JB955" s="323">
        <f t="shared" si="1823"/>
        <v>0</v>
      </c>
      <c r="JC955" s="327">
        <f t="shared" si="1923"/>
        <v>7.5298256160000001</v>
      </c>
      <c r="JD955" s="327">
        <f t="shared" si="1924"/>
        <v>7.6009558769999996</v>
      </c>
      <c r="JE955" s="323">
        <f t="shared" si="1945"/>
        <v>15.130781493000001</v>
      </c>
      <c r="JF955" s="327">
        <f t="shared" si="1964"/>
        <v>7.8833946610000005</v>
      </c>
      <c r="JG955" s="327">
        <f t="shared" si="1965"/>
        <v>7.8741889</v>
      </c>
      <c r="JH955" s="323">
        <f t="shared" si="1944"/>
        <v>15.757583561000001</v>
      </c>
      <c r="JI955" s="327">
        <f t="shared" ref="JI955:JI1026" si="1993">SUM(HG955:HL955)</f>
        <v>8.7496751930000016</v>
      </c>
      <c r="JJ955" s="327">
        <f t="shared" si="1871"/>
        <v>9.6682733519999999</v>
      </c>
      <c r="JK955" s="323">
        <f t="shared" si="1933"/>
        <v>18.417948545000002</v>
      </c>
      <c r="JL955" s="327">
        <f t="shared" si="1946"/>
        <v>14.866124626999998</v>
      </c>
      <c r="JM955" s="327">
        <f t="shared" si="1967"/>
        <v>5.464119169216076</v>
      </c>
      <c r="JN955" s="323">
        <f>FISC!AK1276</f>
        <v>20.330243796216074</v>
      </c>
      <c r="JO955" s="327">
        <f t="shared" si="1968"/>
        <v>10.755126443174657</v>
      </c>
      <c r="JP955" s="327">
        <f t="shared" si="1969"/>
        <v>10.755126443174657</v>
      </c>
      <c r="JQ955" s="323">
        <f>FISC!AL1276</f>
        <v>21.510252886349313</v>
      </c>
      <c r="JR955" s="327">
        <f t="shared" si="1970"/>
        <v>12.830599509073622</v>
      </c>
      <c r="JS955" s="327">
        <f t="shared" si="1971"/>
        <v>12.830599509073622</v>
      </c>
      <c r="JT955" s="323">
        <f>FISC!AM1276</f>
        <v>25.661199018147244</v>
      </c>
      <c r="JU955" s="327">
        <f t="shared" si="1972"/>
        <v>14.357708108913897</v>
      </c>
      <c r="JV955" s="327">
        <f t="shared" si="1973"/>
        <v>14.357708108913897</v>
      </c>
      <c r="JW955" s="323">
        <f>FISC!AN1276</f>
        <v>28.715416217827794</v>
      </c>
      <c r="JX955" s="327">
        <f t="shared" si="1974"/>
        <v>13.594153808993759</v>
      </c>
      <c r="JY955" s="327">
        <f t="shared" si="1975"/>
        <v>13.594153808993759</v>
      </c>
      <c r="JZ955" s="323">
        <f>FISC!AO1276</f>
        <v>27.188307617987519</v>
      </c>
      <c r="KA955" s="327">
        <f t="shared" si="1976"/>
        <v>13.594153808993759</v>
      </c>
      <c r="KB955" s="327">
        <f t="shared" si="1977"/>
        <v>13.594153808993759</v>
      </c>
      <c r="KC955" s="323">
        <f>FISC!AP1276</f>
        <v>27.188307617987519</v>
      </c>
      <c r="KD955" s="327">
        <f t="shared" si="1978"/>
        <v>13.594153808993759</v>
      </c>
      <c r="KE955" s="327">
        <f t="shared" si="1979"/>
        <v>13.594153808993759</v>
      </c>
      <c r="KF955" s="323">
        <f>FISC!AQ1276</f>
        <v>27.188307617987519</v>
      </c>
      <c r="KG955" s="327">
        <f t="shared" si="1980"/>
        <v>13.594153808993759</v>
      </c>
      <c r="KH955" s="327">
        <f t="shared" si="1981"/>
        <v>13.594153808993759</v>
      </c>
      <c r="KI955" s="323">
        <f>FISC!AR1276</f>
        <v>27.188307617987519</v>
      </c>
      <c r="KJ955" s="327">
        <f t="shared" si="1982"/>
        <v>13.594153808993759</v>
      </c>
      <c r="KK955" s="327">
        <f t="shared" si="1983"/>
        <v>13.594153808993759</v>
      </c>
      <c r="KL955" s="323">
        <f>FISC!AS1276</f>
        <v>27.188307617987519</v>
      </c>
      <c r="KM955" s="327">
        <f t="shared" si="1984"/>
        <v>13.594153808993759</v>
      </c>
      <c r="KN955" s="327">
        <f t="shared" si="1985"/>
        <v>13.594153808993759</v>
      </c>
      <c r="KO955" s="323">
        <f>FISC!AT1276</f>
        <v>27.188307617987519</v>
      </c>
      <c r="KU955" s="326"/>
      <c r="KV955" s="327"/>
    </row>
    <row r="956" spans="1:314">
      <c r="A956" s="279"/>
      <c r="D956" s="1497" t="s">
        <v>1145</v>
      </c>
      <c r="E956" s="323"/>
      <c r="F956" s="323"/>
      <c r="G956" s="323"/>
      <c r="H956" s="323"/>
      <c r="I956" s="323"/>
      <c r="J956" s="323"/>
      <c r="K956" s="323"/>
      <c r="L956" s="323"/>
      <c r="M956" s="323"/>
      <c r="N956" s="323"/>
      <c r="O956" s="323"/>
      <c r="P956" s="323"/>
      <c r="Q956" s="323"/>
      <c r="R956" s="323"/>
      <c r="S956" s="323"/>
      <c r="T956" s="323"/>
      <c r="U956" s="323"/>
      <c r="V956" s="323"/>
      <c r="W956" s="323"/>
      <c r="X956" s="323"/>
      <c r="Y956" s="323"/>
      <c r="Z956" s="323"/>
      <c r="AA956" s="323"/>
      <c r="AB956" s="323"/>
      <c r="AC956" s="323"/>
      <c r="AD956" s="323"/>
      <c r="AE956" s="323"/>
      <c r="AF956" s="323"/>
      <c r="AG956" s="323"/>
      <c r="AH956" s="323"/>
      <c r="AI956" s="323"/>
      <c r="AJ956" s="323"/>
      <c r="AK956" s="323"/>
      <c r="AL956" s="323"/>
      <c r="AM956" s="323"/>
      <c r="AN956" s="323"/>
      <c r="AO956" s="323"/>
      <c r="AP956" s="323"/>
      <c r="AQ956" s="323"/>
      <c r="AR956" s="323"/>
      <c r="AS956" s="323"/>
      <c r="AT956" s="323"/>
      <c r="AU956" s="323"/>
      <c r="AV956" s="323"/>
      <c r="AW956" s="323"/>
      <c r="AX956" s="323"/>
      <c r="AY956" s="323"/>
      <c r="AZ956" s="323"/>
      <c r="BA956" s="323"/>
      <c r="BB956" s="323"/>
      <c r="BC956" s="323"/>
      <c r="BD956" s="323"/>
      <c r="BE956" s="323"/>
      <c r="BF956" s="323"/>
      <c r="BG956" s="323"/>
      <c r="BH956" s="323"/>
      <c r="BI956" s="323"/>
      <c r="BJ956" s="323"/>
      <c r="BK956" s="323"/>
      <c r="BL956" s="323"/>
      <c r="BM956" s="323"/>
      <c r="BN956" s="323"/>
      <c r="BO956" s="323"/>
      <c r="BP956" s="323"/>
      <c r="BQ956" s="323"/>
      <c r="BR956" s="323"/>
      <c r="BS956" s="323"/>
      <c r="BT956" s="323"/>
      <c r="BU956" s="323"/>
      <c r="BV956" s="323"/>
      <c r="BW956" s="323"/>
      <c r="BX956" s="323"/>
      <c r="BY956" s="323"/>
      <c r="BZ956" s="323"/>
      <c r="CA956" s="323"/>
      <c r="CB956" s="323"/>
      <c r="CC956" s="323"/>
      <c r="CD956" s="329"/>
      <c r="CE956" s="323"/>
      <c r="CF956" s="323"/>
      <c r="CG956" s="323"/>
      <c r="CH956" s="323"/>
      <c r="CI956" s="323"/>
      <c r="CJ956" s="323"/>
      <c r="CK956" s="323"/>
      <c r="CL956" s="323"/>
      <c r="CM956" s="323"/>
      <c r="CN956" s="323"/>
      <c r="CO956" s="323"/>
      <c r="CP956" s="325"/>
      <c r="CQ956" s="323"/>
      <c r="CR956" s="323"/>
      <c r="CS956" s="323"/>
      <c r="CT956" s="323"/>
      <c r="CU956" s="323"/>
      <c r="CV956" s="323"/>
      <c r="CW956" s="323"/>
      <c r="CX956" s="323"/>
      <c r="CY956" s="323"/>
      <c r="CZ956" s="323"/>
      <c r="DA956" s="323"/>
      <c r="DB956" s="1269"/>
      <c r="DC956" s="323">
        <f t="shared" ref="DC956:EH956" si="1994">DC782</f>
        <v>0</v>
      </c>
      <c r="DD956" s="323">
        <f t="shared" si="1994"/>
        <v>0</v>
      </c>
      <c r="DE956" s="323">
        <f t="shared" si="1994"/>
        <v>0</v>
      </c>
      <c r="DF956" s="323">
        <f t="shared" si="1994"/>
        <v>0</v>
      </c>
      <c r="DG956" s="323">
        <f t="shared" si="1994"/>
        <v>0</v>
      </c>
      <c r="DH956" s="323">
        <f t="shared" si="1994"/>
        <v>0</v>
      </c>
      <c r="DI956" s="323">
        <f t="shared" si="1994"/>
        <v>0</v>
      </c>
      <c r="DJ956" s="323">
        <f t="shared" si="1994"/>
        <v>0</v>
      </c>
      <c r="DK956" s="323">
        <f t="shared" si="1994"/>
        <v>0</v>
      </c>
      <c r="DL956" s="323">
        <f t="shared" si="1994"/>
        <v>0</v>
      </c>
      <c r="DM956" s="323">
        <f t="shared" si="1994"/>
        <v>0</v>
      </c>
      <c r="DN956" s="325">
        <f t="shared" si="1994"/>
        <v>0</v>
      </c>
      <c r="DO956" s="323">
        <f t="shared" si="1994"/>
        <v>0</v>
      </c>
      <c r="DP956" s="323">
        <f t="shared" si="1994"/>
        <v>0</v>
      </c>
      <c r="DQ956" s="323">
        <f t="shared" si="1994"/>
        <v>0</v>
      </c>
      <c r="DR956" s="323">
        <f t="shared" si="1994"/>
        <v>0</v>
      </c>
      <c r="DS956" s="323">
        <f t="shared" si="1994"/>
        <v>0</v>
      </c>
      <c r="DT956" s="323">
        <f t="shared" si="1994"/>
        <v>0</v>
      </c>
      <c r="DU956" s="323">
        <f t="shared" si="1994"/>
        <v>0</v>
      </c>
      <c r="DV956" s="323">
        <f t="shared" si="1994"/>
        <v>0</v>
      </c>
      <c r="DW956" s="323">
        <f t="shared" si="1994"/>
        <v>0</v>
      </c>
      <c r="DX956" s="323">
        <f t="shared" si="1994"/>
        <v>0</v>
      </c>
      <c r="DY956" s="323">
        <f t="shared" si="1994"/>
        <v>0</v>
      </c>
      <c r="DZ956" s="325">
        <f t="shared" si="1994"/>
        <v>0</v>
      </c>
      <c r="EA956" s="323">
        <f t="shared" si="1994"/>
        <v>0</v>
      </c>
      <c r="EB956" s="323">
        <f t="shared" si="1994"/>
        <v>0</v>
      </c>
      <c r="EC956" s="323">
        <f t="shared" si="1994"/>
        <v>0</v>
      </c>
      <c r="ED956" s="323">
        <f t="shared" si="1994"/>
        <v>0</v>
      </c>
      <c r="EE956" s="323">
        <f t="shared" si="1994"/>
        <v>0</v>
      </c>
      <c r="EF956" s="323">
        <f t="shared" si="1994"/>
        <v>0</v>
      </c>
      <c r="EG956" s="323">
        <f t="shared" si="1994"/>
        <v>0</v>
      </c>
      <c r="EH956" s="323">
        <f t="shared" si="1994"/>
        <v>0</v>
      </c>
      <c r="EI956" s="323">
        <f t="shared" ref="EI956:FN956" si="1995">EI782</f>
        <v>0</v>
      </c>
      <c r="EJ956" s="323">
        <f t="shared" si="1995"/>
        <v>0</v>
      </c>
      <c r="EK956" s="323">
        <f t="shared" si="1995"/>
        <v>0</v>
      </c>
      <c r="EL956" s="325">
        <f t="shared" si="1995"/>
        <v>0</v>
      </c>
      <c r="EM956" s="323">
        <f t="shared" si="1995"/>
        <v>0</v>
      </c>
      <c r="EN956" s="323">
        <f t="shared" si="1995"/>
        <v>0</v>
      </c>
      <c r="EO956" s="323">
        <f t="shared" si="1995"/>
        <v>0</v>
      </c>
      <c r="EP956" s="323">
        <f t="shared" si="1995"/>
        <v>0</v>
      </c>
      <c r="EQ956" s="323">
        <f t="shared" si="1995"/>
        <v>0</v>
      </c>
      <c r="ER956" s="323">
        <f t="shared" si="1995"/>
        <v>0</v>
      </c>
      <c r="ES956" s="323">
        <f t="shared" si="1995"/>
        <v>0</v>
      </c>
      <c r="ET956" s="323">
        <f t="shared" si="1995"/>
        <v>0</v>
      </c>
      <c r="EU956" s="323">
        <f t="shared" si="1995"/>
        <v>0</v>
      </c>
      <c r="EV956" s="323">
        <f t="shared" si="1995"/>
        <v>0</v>
      </c>
      <c r="EW956" s="323">
        <f t="shared" si="1995"/>
        <v>0</v>
      </c>
      <c r="EX956" s="325">
        <f t="shared" si="1995"/>
        <v>0</v>
      </c>
      <c r="EY956" s="323">
        <f t="shared" si="1995"/>
        <v>0</v>
      </c>
      <c r="EZ956" s="323">
        <f t="shared" si="1995"/>
        <v>0</v>
      </c>
      <c r="FA956" s="323">
        <f t="shared" si="1995"/>
        <v>0</v>
      </c>
      <c r="FB956" s="323">
        <f t="shared" si="1995"/>
        <v>0</v>
      </c>
      <c r="FC956" s="323">
        <f t="shared" si="1995"/>
        <v>0</v>
      </c>
      <c r="FD956" s="323">
        <f t="shared" si="1995"/>
        <v>0</v>
      </c>
      <c r="FE956" s="323">
        <f t="shared" si="1995"/>
        <v>0</v>
      </c>
      <c r="FF956" s="323">
        <f t="shared" si="1995"/>
        <v>0</v>
      </c>
      <c r="FG956" s="323">
        <f t="shared" si="1995"/>
        <v>0</v>
      </c>
      <c r="FH956" s="323">
        <f t="shared" si="1995"/>
        <v>0</v>
      </c>
      <c r="FI956" s="323">
        <f t="shared" si="1995"/>
        <v>0</v>
      </c>
      <c r="FJ956" s="325">
        <f t="shared" si="1995"/>
        <v>0</v>
      </c>
      <c r="FK956" s="323">
        <f t="shared" si="1995"/>
        <v>0</v>
      </c>
      <c r="FL956" s="323">
        <f t="shared" si="1995"/>
        <v>0</v>
      </c>
      <c r="FM956" s="323">
        <f t="shared" si="1995"/>
        <v>0</v>
      </c>
      <c r="FN956" s="323">
        <f t="shared" si="1995"/>
        <v>0</v>
      </c>
      <c r="FO956" s="323">
        <f t="shared" ref="FO956:GT956" si="1996">FO782</f>
        <v>0</v>
      </c>
      <c r="FP956" s="323">
        <f t="shared" si="1996"/>
        <v>0</v>
      </c>
      <c r="FQ956" s="323">
        <f t="shared" si="1996"/>
        <v>0</v>
      </c>
      <c r="FR956" s="323">
        <f t="shared" si="1996"/>
        <v>0</v>
      </c>
      <c r="FS956" s="323">
        <f t="shared" si="1996"/>
        <v>0</v>
      </c>
      <c r="FT956" s="323">
        <f t="shared" si="1996"/>
        <v>0</v>
      </c>
      <c r="FU956" s="323">
        <f t="shared" si="1996"/>
        <v>0</v>
      </c>
      <c r="FV956" s="323">
        <f t="shared" si="1996"/>
        <v>0</v>
      </c>
      <c r="FW956" s="323">
        <f t="shared" si="1996"/>
        <v>0.828245024</v>
      </c>
      <c r="FX956" s="323">
        <f t="shared" si="1996"/>
        <v>1.091022758</v>
      </c>
      <c r="FY956" s="323">
        <f t="shared" si="1996"/>
        <v>1.1813036130000001</v>
      </c>
      <c r="FZ956" s="323">
        <f t="shared" si="1996"/>
        <v>1.1446105390000001</v>
      </c>
      <c r="GA956" s="323">
        <f t="shared" si="1996"/>
        <v>1.1751307639999999</v>
      </c>
      <c r="GB956" s="323">
        <f t="shared" si="1996"/>
        <v>1.2494390500000001</v>
      </c>
      <c r="GC956" s="323">
        <f t="shared" si="1996"/>
        <v>1.1935265230000001</v>
      </c>
      <c r="GD956" s="323">
        <f t="shared" si="1996"/>
        <v>0.958497143</v>
      </c>
      <c r="GE956" s="323">
        <f t="shared" si="1996"/>
        <v>1.11445927</v>
      </c>
      <c r="GF956" s="323">
        <f t="shared" si="1996"/>
        <v>1.1999669719999999</v>
      </c>
      <c r="GG956" s="323">
        <f t="shared" si="1996"/>
        <v>1.1889153610000001</v>
      </c>
      <c r="GH956" s="323">
        <f t="shared" si="1996"/>
        <v>1.385564504</v>
      </c>
      <c r="GI956" s="1654">
        <f t="shared" si="1996"/>
        <v>1.21073736</v>
      </c>
      <c r="GJ956" s="1654">
        <f t="shared" si="1996"/>
        <v>1.3205667619999999</v>
      </c>
      <c r="GK956" s="1654">
        <f t="shared" si="1996"/>
        <v>1.411681636</v>
      </c>
      <c r="GL956" s="1654">
        <f t="shared" si="1996"/>
        <v>1.1410272400000001</v>
      </c>
      <c r="GM956" s="1654">
        <f t="shared" si="1996"/>
        <v>1.155290588</v>
      </c>
      <c r="GN956" s="1654">
        <f t="shared" si="1996"/>
        <v>1.29052203</v>
      </c>
      <c r="GO956" s="1654">
        <f t="shared" si="1996"/>
        <v>1.2083091020000001</v>
      </c>
      <c r="GP956" s="1654">
        <f t="shared" si="1996"/>
        <v>1.15882376</v>
      </c>
      <c r="GQ956" s="1654">
        <f t="shared" si="1996"/>
        <v>1.417136704</v>
      </c>
      <c r="GR956" s="1654">
        <f t="shared" si="1996"/>
        <v>1.130445774</v>
      </c>
      <c r="GS956" s="1654">
        <f t="shared" si="1996"/>
        <v>1.3095804870000001</v>
      </c>
      <c r="GT956" s="1654">
        <f t="shared" si="1996"/>
        <v>1.3766600499999999</v>
      </c>
      <c r="GU956" s="1654">
        <f t="shared" ref="GU956:HL956" si="1997">GU782</f>
        <v>1.2532150660000001</v>
      </c>
      <c r="GV956" s="1654">
        <f t="shared" si="1997"/>
        <v>1.4214319870000001</v>
      </c>
      <c r="GW956" s="1654">
        <f t="shared" si="1997"/>
        <v>1.2920655080000001</v>
      </c>
      <c r="GX956" s="1654">
        <f t="shared" si="1997"/>
        <v>1.343284208</v>
      </c>
      <c r="GY956" s="1654">
        <f t="shared" si="1997"/>
        <v>1.313763872</v>
      </c>
      <c r="GZ956" s="1654">
        <f t="shared" si="1997"/>
        <v>1.25963402</v>
      </c>
      <c r="HA956" s="1654">
        <f t="shared" si="1997"/>
        <v>1.304045565</v>
      </c>
      <c r="HB956" s="1654">
        <f t="shared" si="1997"/>
        <v>1.211248026</v>
      </c>
      <c r="HC956" s="1654">
        <f t="shared" si="1997"/>
        <v>1.3897288139999999</v>
      </c>
      <c r="HD956" s="1654">
        <f t="shared" si="1997"/>
        <v>1.226373521</v>
      </c>
      <c r="HE956" s="1654">
        <f t="shared" si="1997"/>
        <v>1.3664009580000001</v>
      </c>
      <c r="HF956" s="1654">
        <f t="shared" si="1997"/>
        <v>1.3763920160000001</v>
      </c>
      <c r="HG956" s="1654">
        <f t="shared" si="1997"/>
        <v>1.4508406220000001</v>
      </c>
      <c r="HH956" s="1654">
        <f t="shared" si="1997"/>
        <v>1.5411530920000001</v>
      </c>
      <c r="HI956" s="1654">
        <f t="shared" si="1997"/>
        <v>1.4252575679999999</v>
      </c>
      <c r="HJ956" s="1654">
        <f t="shared" si="1997"/>
        <v>1.4603782380000001</v>
      </c>
      <c r="HK956" s="1654">
        <f t="shared" si="1997"/>
        <v>1.3586528920000001</v>
      </c>
      <c r="HL956" s="1654">
        <f t="shared" si="1997"/>
        <v>1.5133927810000001</v>
      </c>
      <c r="HM956" s="1654">
        <f t="shared" ref="HM956:HR956" si="1998">HM782</f>
        <v>1.487774004</v>
      </c>
      <c r="HN956" s="1654">
        <f t="shared" si="1998"/>
        <v>1.4247102270000001</v>
      </c>
      <c r="HO956" s="1654">
        <f t="shared" si="1998"/>
        <v>1.479416692</v>
      </c>
      <c r="HP956" s="1654">
        <f t="shared" si="1998"/>
        <v>1.4584101650000001</v>
      </c>
      <c r="HQ956" s="1654">
        <f t="shared" si="1998"/>
        <v>1.483908215</v>
      </c>
      <c r="HR956" s="1654">
        <f t="shared" si="1998"/>
        <v>2.3340540490000001</v>
      </c>
      <c r="HS956" s="1654">
        <f t="shared" ref="HS956:HX956" si="1999">HS782</f>
        <v>2.502546851</v>
      </c>
      <c r="HT956" s="1654">
        <f t="shared" si="1999"/>
        <v>2.4564866809999999</v>
      </c>
      <c r="HU956" s="1654">
        <f t="shared" si="1999"/>
        <v>2.5490056499999998</v>
      </c>
      <c r="HV956" s="1654">
        <f t="shared" si="1999"/>
        <v>2.5066022999999999</v>
      </c>
      <c r="HW956" s="1654">
        <f t="shared" si="1999"/>
        <v>2.2360938450000001</v>
      </c>
      <c r="HX956" s="1654">
        <f t="shared" si="1999"/>
        <v>2.6153892999999999</v>
      </c>
      <c r="HY956" s="1654"/>
      <c r="HZ956" s="326"/>
      <c r="IA956" s="1497" t="s">
        <v>1145</v>
      </c>
      <c r="IB956" s="284"/>
      <c r="ID956" s="323"/>
      <c r="IG956" s="323"/>
      <c r="IH956" s="284"/>
      <c r="IJ956" s="323"/>
      <c r="IK956" s="327"/>
      <c r="IM956" s="323"/>
      <c r="IP956" s="323"/>
      <c r="IQ956" s="327"/>
      <c r="IR956" s="327"/>
      <c r="IS956" s="323"/>
      <c r="IT956" s="327"/>
      <c r="IU956" s="327"/>
      <c r="IV956" s="323"/>
      <c r="IW956" s="327">
        <v>6.0835916900000004</v>
      </c>
      <c r="IX956" s="327">
        <f t="shared" si="1963"/>
        <v>0</v>
      </c>
      <c r="IY956" s="323">
        <f t="shared" si="1991"/>
        <v>6.0835916900000004</v>
      </c>
      <c r="IZ956" s="327">
        <f t="shared" si="1921"/>
        <v>6.6697517480000004</v>
      </c>
      <c r="JA956" s="327">
        <f t="shared" si="1922"/>
        <v>7.0409297730000002</v>
      </c>
      <c r="JB956" s="323">
        <f t="shared" si="1823"/>
        <v>13.710681521000001</v>
      </c>
      <c r="JC956" s="327">
        <f t="shared" si="1923"/>
        <v>7.5298256160000001</v>
      </c>
      <c r="JD956" s="327">
        <f t="shared" si="1924"/>
        <v>7.6009558769999996</v>
      </c>
      <c r="JE956" s="323">
        <f t="shared" si="1945"/>
        <v>15.130781493000001</v>
      </c>
      <c r="JF956" s="327">
        <f t="shared" si="1964"/>
        <v>7.8833946610000005</v>
      </c>
      <c r="JG956" s="327">
        <f t="shared" si="1965"/>
        <v>7.8741889</v>
      </c>
      <c r="JH956" s="323">
        <f t="shared" si="1944"/>
        <v>15.757583561000001</v>
      </c>
      <c r="JI956" s="327">
        <f t="shared" si="1993"/>
        <v>8.7496751930000016</v>
      </c>
      <c r="JJ956" s="327">
        <f t="shared" si="1871"/>
        <v>9.6682733519999999</v>
      </c>
      <c r="JK956" s="323">
        <f t="shared" si="1933"/>
        <v>18.417948545000002</v>
      </c>
      <c r="JL956" s="327">
        <f t="shared" si="1946"/>
        <v>14.866124626999998</v>
      </c>
      <c r="JM956" s="327">
        <f t="shared" si="1967"/>
        <v>5.464119169216076</v>
      </c>
      <c r="JN956" s="323">
        <f>FISC!AK1277</f>
        <v>20.330243796216074</v>
      </c>
      <c r="JO956" s="327">
        <f t="shared" si="1968"/>
        <v>10.755126443174657</v>
      </c>
      <c r="JP956" s="327">
        <f t="shared" si="1969"/>
        <v>10.755126443174657</v>
      </c>
      <c r="JQ956" s="323">
        <f>FISC!AL1277</f>
        <v>21.510252886349313</v>
      </c>
      <c r="JR956" s="327">
        <f t="shared" si="1970"/>
        <v>12.830599509073622</v>
      </c>
      <c r="JS956" s="327">
        <f t="shared" si="1971"/>
        <v>12.830599509073622</v>
      </c>
      <c r="JT956" s="323">
        <f>FISC!AM1277</f>
        <v>25.661199018147244</v>
      </c>
      <c r="JU956" s="327">
        <f t="shared" si="1972"/>
        <v>14.357708108913897</v>
      </c>
      <c r="JV956" s="327">
        <f t="shared" si="1973"/>
        <v>14.357708108913897</v>
      </c>
      <c r="JW956" s="323">
        <f>FISC!AN1277</f>
        <v>28.715416217827794</v>
      </c>
      <c r="JX956" s="327">
        <f t="shared" si="1974"/>
        <v>13.594153808993759</v>
      </c>
      <c r="JY956" s="327">
        <f t="shared" si="1975"/>
        <v>13.594153808993759</v>
      </c>
      <c r="JZ956" s="323">
        <f>FISC!AO1277</f>
        <v>27.188307617987519</v>
      </c>
      <c r="KA956" s="327">
        <f t="shared" si="1976"/>
        <v>13.594153808993759</v>
      </c>
      <c r="KB956" s="327">
        <f t="shared" si="1977"/>
        <v>13.594153808993759</v>
      </c>
      <c r="KC956" s="323">
        <f>FISC!AP1277</f>
        <v>27.188307617987519</v>
      </c>
      <c r="KD956" s="327">
        <f t="shared" si="1978"/>
        <v>13.594153808993759</v>
      </c>
      <c r="KE956" s="327">
        <f t="shared" si="1979"/>
        <v>13.594153808993759</v>
      </c>
      <c r="KF956" s="323">
        <f>FISC!AQ1277</f>
        <v>27.188307617987519</v>
      </c>
      <c r="KG956" s="327">
        <f t="shared" si="1980"/>
        <v>13.594153808993759</v>
      </c>
      <c r="KH956" s="327">
        <f t="shared" si="1981"/>
        <v>13.594153808993759</v>
      </c>
      <c r="KI956" s="323">
        <f>FISC!AR1277</f>
        <v>27.188307617987519</v>
      </c>
      <c r="KJ956" s="327">
        <f t="shared" si="1982"/>
        <v>13.594153808993759</v>
      </c>
      <c r="KK956" s="327">
        <f t="shared" si="1983"/>
        <v>13.594153808993759</v>
      </c>
      <c r="KL956" s="323">
        <f>FISC!AS1277</f>
        <v>27.188307617987519</v>
      </c>
      <c r="KM956" s="327">
        <f t="shared" si="1984"/>
        <v>13.594153808993759</v>
      </c>
      <c r="KN956" s="327">
        <f t="shared" si="1985"/>
        <v>13.594153808993759</v>
      </c>
      <c r="KO956" s="323">
        <f>FISC!AT1277</f>
        <v>27.188307617987519</v>
      </c>
      <c r="KU956" s="326"/>
      <c r="KV956" s="327"/>
    </row>
    <row r="957" spans="1:314">
      <c r="A957" s="279"/>
      <c r="D957" s="1497" t="s">
        <v>1181</v>
      </c>
      <c r="E957" s="323"/>
      <c r="F957" s="323"/>
      <c r="G957" s="323"/>
      <c r="H957" s="323"/>
      <c r="I957" s="323"/>
      <c r="J957" s="323"/>
      <c r="K957" s="323"/>
      <c r="L957" s="323"/>
      <c r="M957" s="323"/>
      <c r="N957" s="323"/>
      <c r="O957" s="323"/>
      <c r="P957" s="323"/>
      <c r="Q957" s="323"/>
      <c r="R957" s="323"/>
      <c r="S957" s="323"/>
      <c r="T957" s="323"/>
      <c r="U957" s="323"/>
      <c r="V957" s="323"/>
      <c r="W957" s="323"/>
      <c r="X957" s="323"/>
      <c r="Y957" s="323"/>
      <c r="Z957" s="323"/>
      <c r="AA957" s="323"/>
      <c r="AB957" s="323"/>
      <c r="AC957" s="323"/>
      <c r="AD957" s="323"/>
      <c r="AE957" s="323"/>
      <c r="AF957" s="323"/>
      <c r="AG957" s="323"/>
      <c r="AH957" s="323"/>
      <c r="AI957" s="323"/>
      <c r="AJ957" s="323"/>
      <c r="AK957" s="323"/>
      <c r="AL957" s="323"/>
      <c r="AM957" s="323"/>
      <c r="AN957" s="323"/>
      <c r="AO957" s="323"/>
      <c r="AP957" s="323"/>
      <c r="AQ957" s="323"/>
      <c r="AR957" s="323"/>
      <c r="AS957" s="323"/>
      <c r="AT957" s="323"/>
      <c r="AU957" s="323"/>
      <c r="AV957" s="323"/>
      <c r="AW957" s="323"/>
      <c r="AX957" s="323"/>
      <c r="AY957" s="323"/>
      <c r="AZ957" s="323"/>
      <c r="BA957" s="323"/>
      <c r="BB957" s="323"/>
      <c r="BC957" s="323"/>
      <c r="BD957" s="323"/>
      <c r="BE957" s="323"/>
      <c r="BF957" s="323"/>
      <c r="BG957" s="323"/>
      <c r="BH957" s="323"/>
      <c r="BI957" s="323"/>
      <c r="BJ957" s="323"/>
      <c r="BK957" s="323"/>
      <c r="BL957" s="323"/>
      <c r="BM957" s="323"/>
      <c r="BN957" s="323"/>
      <c r="BO957" s="323"/>
      <c r="BP957" s="323"/>
      <c r="BQ957" s="323"/>
      <c r="BR957" s="323"/>
      <c r="BS957" s="323"/>
      <c r="BT957" s="323"/>
      <c r="BU957" s="323"/>
      <c r="BV957" s="323"/>
      <c r="BW957" s="323"/>
      <c r="BX957" s="323"/>
      <c r="BY957" s="323"/>
      <c r="BZ957" s="323"/>
      <c r="CA957" s="323"/>
      <c r="CB957" s="323"/>
      <c r="CC957" s="323"/>
      <c r="CD957" s="329"/>
      <c r="CE957" s="323"/>
      <c r="CF957" s="323"/>
      <c r="CG957" s="323"/>
      <c r="CH957" s="323"/>
      <c r="CI957" s="323"/>
      <c r="CJ957" s="323"/>
      <c r="CK957" s="323"/>
      <c r="CL957" s="323"/>
      <c r="CM957" s="323"/>
      <c r="CN957" s="323"/>
      <c r="CO957" s="323"/>
      <c r="CP957" s="325"/>
      <c r="CQ957" s="323"/>
      <c r="CR957" s="323"/>
      <c r="CS957" s="323"/>
      <c r="CT957" s="323"/>
      <c r="CU957" s="323"/>
      <c r="CV957" s="323"/>
      <c r="CW957" s="323"/>
      <c r="CX957" s="323"/>
      <c r="CY957" s="323"/>
      <c r="CZ957" s="323"/>
      <c r="DA957" s="323"/>
      <c r="DB957" s="1269"/>
      <c r="DC957" s="323"/>
      <c r="DD957" s="323"/>
      <c r="DE957" s="323"/>
      <c r="DF957" s="323"/>
      <c r="DG957" s="323"/>
      <c r="DH957" s="323"/>
      <c r="DI957" s="323"/>
      <c r="DJ957" s="323"/>
      <c r="DK957" s="323"/>
      <c r="DL957" s="323"/>
      <c r="DM957" s="323"/>
      <c r="DN957" s="325"/>
      <c r="DO957" s="323"/>
      <c r="DP957" s="323"/>
      <c r="DQ957" s="323"/>
      <c r="DR957" s="323"/>
      <c r="DS957" s="323"/>
      <c r="DT957" s="323"/>
      <c r="DU957" s="323"/>
      <c r="DV957" s="323"/>
      <c r="DW957" s="323"/>
      <c r="DX957" s="323"/>
      <c r="DY957" s="323"/>
      <c r="DZ957" s="325"/>
      <c r="EA957" s="323"/>
      <c r="EB957" s="323"/>
      <c r="EC957" s="323"/>
      <c r="ED957" s="323"/>
      <c r="EE957" s="323"/>
      <c r="EF957" s="323"/>
      <c r="EG957" s="323"/>
      <c r="EH957" s="323"/>
      <c r="EI957" s="323"/>
      <c r="EJ957" s="323"/>
      <c r="EK957" s="323"/>
      <c r="EL957" s="325"/>
      <c r="EM957" s="323"/>
      <c r="EN957" s="323"/>
      <c r="EO957" s="323"/>
      <c r="EP957" s="323"/>
      <c r="EQ957" s="323"/>
      <c r="ER957" s="323"/>
      <c r="ES957" s="323"/>
      <c r="ET957" s="323"/>
      <c r="EU957" s="323"/>
      <c r="EV957" s="323"/>
      <c r="EW957" s="323"/>
      <c r="EX957" s="325"/>
      <c r="EY957" s="323"/>
      <c r="EZ957" s="323"/>
      <c r="FA957" s="323"/>
      <c r="FB957" s="323"/>
      <c r="FC957" s="323"/>
      <c r="FD957" s="323"/>
      <c r="FE957" s="323"/>
      <c r="FF957" s="323"/>
      <c r="FG957" s="323"/>
      <c r="FH957" s="323"/>
      <c r="FI957" s="323"/>
      <c r="FJ957" s="325"/>
      <c r="FK957" s="323"/>
      <c r="FL957" s="323"/>
      <c r="FM957" s="323"/>
      <c r="FN957" s="323"/>
      <c r="FO957" s="323"/>
      <c r="FP957" s="323"/>
      <c r="FQ957" s="323"/>
      <c r="FR957" s="323"/>
      <c r="FS957" s="323"/>
      <c r="FT957" s="323"/>
      <c r="FU957" s="323"/>
      <c r="FV957" s="323"/>
      <c r="FW957" s="323"/>
      <c r="FX957" s="323"/>
      <c r="FY957" s="323"/>
      <c r="FZ957" s="323"/>
      <c r="GA957" s="323"/>
      <c r="GB957" s="323"/>
      <c r="GC957" s="323"/>
      <c r="GD957" s="323"/>
      <c r="GE957" s="323"/>
      <c r="GF957" s="323"/>
      <c r="GG957" s="323"/>
      <c r="GH957" s="323"/>
      <c r="GI957" s="1654"/>
      <c r="HZ957" s="326"/>
      <c r="IA957" s="1497" t="s">
        <v>1181</v>
      </c>
      <c r="IB957" s="284"/>
      <c r="ID957" s="323"/>
      <c r="IG957" s="323"/>
      <c r="IH957" s="284"/>
      <c r="IJ957" s="323"/>
      <c r="IK957" s="327"/>
      <c r="IM957" s="323"/>
      <c r="IP957" s="323"/>
      <c r="IQ957" s="327"/>
      <c r="IR957" s="327"/>
      <c r="IS957" s="323"/>
      <c r="IT957" s="327"/>
      <c r="IU957" s="327"/>
      <c r="IV957" s="323"/>
      <c r="IW957" s="327">
        <v>0</v>
      </c>
      <c r="IX957" s="327">
        <f t="shared" si="1963"/>
        <v>0</v>
      </c>
      <c r="IY957" s="323">
        <f t="shared" si="1991"/>
        <v>0</v>
      </c>
      <c r="IZ957" s="327">
        <f t="shared" si="1921"/>
        <v>0</v>
      </c>
      <c r="JA957" s="327">
        <f t="shared" si="1922"/>
        <v>0</v>
      </c>
      <c r="JB957" s="323">
        <f t="shared" si="1823"/>
        <v>0</v>
      </c>
      <c r="JC957" s="327">
        <f t="shared" si="1923"/>
        <v>0</v>
      </c>
      <c r="JD957" s="327">
        <f t="shared" si="1924"/>
        <v>0</v>
      </c>
      <c r="JE957" s="323">
        <f t="shared" si="1945"/>
        <v>0</v>
      </c>
      <c r="JF957" s="327">
        <f t="shared" si="1964"/>
        <v>0</v>
      </c>
      <c r="JG957" s="327">
        <f t="shared" si="1965"/>
        <v>0</v>
      </c>
      <c r="JH957" s="323">
        <f t="shared" si="1944"/>
        <v>0</v>
      </c>
      <c r="JI957" s="327">
        <f t="shared" si="1993"/>
        <v>0</v>
      </c>
      <c r="JJ957" s="327">
        <f t="shared" si="1871"/>
        <v>0</v>
      </c>
      <c r="JK957" s="323">
        <f t="shared" si="1933"/>
        <v>0</v>
      </c>
      <c r="JL957" s="327">
        <f t="shared" si="1946"/>
        <v>0</v>
      </c>
      <c r="JM957" s="327">
        <f t="shared" si="1967"/>
        <v>0</v>
      </c>
      <c r="JN957" s="323">
        <f>FISC!AK1278</f>
        <v>0</v>
      </c>
      <c r="JO957" s="327">
        <f t="shared" si="1968"/>
        <v>0</v>
      </c>
      <c r="JP957" s="327">
        <f t="shared" si="1969"/>
        <v>0</v>
      </c>
      <c r="JQ957" s="323">
        <f>FISC!AL1278</f>
        <v>0</v>
      </c>
      <c r="JR957" s="327">
        <f t="shared" si="1970"/>
        <v>0</v>
      </c>
      <c r="JS957" s="327">
        <f t="shared" si="1971"/>
        <v>0</v>
      </c>
      <c r="JT957" s="323">
        <f>FISC!AM1278</f>
        <v>0</v>
      </c>
      <c r="JU957" s="327">
        <f t="shared" si="1972"/>
        <v>0</v>
      </c>
      <c r="JV957" s="327">
        <f t="shared" si="1973"/>
        <v>0</v>
      </c>
      <c r="JW957" s="323">
        <f>FISC!AN1278</f>
        <v>0</v>
      </c>
      <c r="JX957" s="327">
        <f t="shared" si="1974"/>
        <v>0</v>
      </c>
      <c r="JY957" s="327">
        <f t="shared" si="1975"/>
        <v>0</v>
      </c>
      <c r="JZ957" s="323">
        <f>FISC!AO1278</f>
        <v>0</v>
      </c>
      <c r="KA957" s="327">
        <f t="shared" si="1976"/>
        <v>0</v>
      </c>
      <c r="KB957" s="327">
        <f t="shared" si="1977"/>
        <v>0</v>
      </c>
      <c r="KC957" s="323">
        <f>FISC!AP1278</f>
        <v>0</v>
      </c>
      <c r="KD957" s="327">
        <f t="shared" si="1978"/>
        <v>0</v>
      </c>
      <c r="KE957" s="327">
        <f t="shared" si="1979"/>
        <v>0</v>
      </c>
      <c r="KF957" s="323">
        <f>FISC!AQ1278</f>
        <v>0</v>
      </c>
      <c r="KG957" s="327">
        <f t="shared" si="1980"/>
        <v>0</v>
      </c>
      <c r="KH957" s="327">
        <f t="shared" si="1981"/>
        <v>0</v>
      </c>
      <c r="KI957" s="323">
        <f>FISC!AR1278</f>
        <v>0</v>
      </c>
      <c r="KJ957" s="327">
        <f t="shared" si="1982"/>
        <v>0</v>
      </c>
      <c r="KK957" s="327">
        <f t="shared" si="1983"/>
        <v>0</v>
      </c>
      <c r="KL957" s="323">
        <f>FISC!AS1278</f>
        <v>0</v>
      </c>
      <c r="KM957" s="327">
        <f t="shared" si="1984"/>
        <v>0</v>
      </c>
      <c r="KN957" s="327">
        <f t="shared" si="1985"/>
        <v>0</v>
      </c>
      <c r="KO957" s="323">
        <f>FISC!AT1278</f>
        <v>0</v>
      </c>
      <c r="KU957" s="326"/>
      <c r="KV957" s="327"/>
    </row>
    <row r="958" spans="1:314">
      <c r="A958" s="279"/>
      <c r="D958" s="1497" t="s">
        <v>3144</v>
      </c>
      <c r="E958" s="323"/>
      <c r="F958" s="323"/>
      <c r="G958" s="323"/>
      <c r="H958" s="323"/>
      <c r="I958" s="323"/>
      <c r="J958" s="323"/>
      <c r="K958" s="323"/>
      <c r="L958" s="323"/>
      <c r="M958" s="323"/>
      <c r="N958" s="323"/>
      <c r="O958" s="323"/>
      <c r="P958" s="323"/>
      <c r="Q958" s="323"/>
      <c r="R958" s="323"/>
      <c r="S958" s="323"/>
      <c r="T958" s="323"/>
      <c r="U958" s="323"/>
      <c r="V958" s="323"/>
      <c r="W958" s="323"/>
      <c r="X958" s="323"/>
      <c r="Y958" s="323"/>
      <c r="Z958" s="323"/>
      <c r="AA958" s="323"/>
      <c r="AB958" s="323"/>
      <c r="AC958" s="323"/>
      <c r="AD958" s="323"/>
      <c r="AE958" s="323"/>
      <c r="AF958" s="323"/>
      <c r="AG958" s="323"/>
      <c r="AH958" s="323"/>
      <c r="AI958" s="323"/>
      <c r="AJ958" s="323"/>
      <c r="AK958" s="323"/>
      <c r="AL958" s="323"/>
      <c r="AM958" s="323"/>
      <c r="AN958" s="323"/>
      <c r="AO958" s="323"/>
      <c r="AP958" s="323"/>
      <c r="AQ958" s="323"/>
      <c r="AR958" s="323"/>
      <c r="AS958" s="323"/>
      <c r="AT958" s="323"/>
      <c r="AU958" s="323"/>
      <c r="AV958" s="323"/>
      <c r="AW958" s="323"/>
      <c r="AX958" s="323"/>
      <c r="AY958" s="323"/>
      <c r="AZ958" s="323"/>
      <c r="BA958" s="323"/>
      <c r="BB958" s="323"/>
      <c r="BC958" s="323"/>
      <c r="BD958" s="323"/>
      <c r="BE958" s="323"/>
      <c r="BF958" s="323"/>
      <c r="BG958" s="323"/>
      <c r="BH958" s="323"/>
      <c r="BI958" s="323"/>
      <c r="BJ958" s="323"/>
      <c r="BK958" s="323"/>
      <c r="BL958" s="323"/>
      <c r="BM958" s="323"/>
      <c r="BN958" s="323"/>
      <c r="BO958" s="323"/>
      <c r="BP958" s="323"/>
      <c r="BQ958" s="323"/>
      <c r="BR958" s="323"/>
      <c r="BS958" s="323"/>
      <c r="BT958" s="323"/>
      <c r="BU958" s="323"/>
      <c r="BV958" s="323"/>
      <c r="BW958" s="323"/>
      <c r="BX958" s="323"/>
      <c r="BY958" s="323"/>
      <c r="BZ958" s="323"/>
      <c r="CA958" s="323"/>
      <c r="CB958" s="323"/>
      <c r="CC958" s="323"/>
      <c r="CD958" s="329"/>
      <c r="CE958" s="323"/>
      <c r="CF958" s="323"/>
      <c r="CG958" s="323"/>
      <c r="CH958" s="323"/>
      <c r="CI958" s="323"/>
      <c r="CJ958" s="323"/>
      <c r="CK958" s="323"/>
      <c r="CL958" s="323"/>
      <c r="CM958" s="323"/>
      <c r="CN958" s="323"/>
      <c r="CO958" s="323"/>
      <c r="CP958" s="325"/>
      <c r="CQ958" s="323"/>
      <c r="CR958" s="323"/>
      <c r="CS958" s="323"/>
      <c r="CT958" s="323"/>
      <c r="CU958" s="323"/>
      <c r="CV958" s="323"/>
      <c r="CW958" s="323"/>
      <c r="CX958" s="323"/>
      <c r="CY958" s="323"/>
      <c r="CZ958" s="323"/>
      <c r="DA958" s="323"/>
      <c r="DB958" s="1269"/>
      <c r="DC958" s="323"/>
      <c r="DD958" s="323"/>
      <c r="DE958" s="323"/>
      <c r="DF958" s="323"/>
      <c r="DG958" s="323"/>
      <c r="DH958" s="323"/>
      <c r="DI958" s="323"/>
      <c r="DJ958" s="323"/>
      <c r="DK958" s="323"/>
      <c r="DL958" s="323"/>
      <c r="DM958" s="323"/>
      <c r="DN958" s="325"/>
      <c r="DO958" s="323"/>
      <c r="DP958" s="323"/>
      <c r="DQ958" s="323"/>
      <c r="DR958" s="323"/>
      <c r="DS958" s="323"/>
      <c r="DT958" s="323"/>
      <c r="DU958" s="323"/>
      <c r="DV958" s="323"/>
      <c r="DW958" s="323"/>
      <c r="DX958" s="323"/>
      <c r="DY958" s="323"/>
      <c r="DZ958" s="325"/>
      <c r="EA958" s="323"/>
      <c r="EB958" s="323"/>
      <c r="EC958" s="323"/>
      <c r="ED958" s="323"/>
      <c r="EE958" s="323"/>
      <c r="EF958" s="323"/>
      <c r="EG958" s="323"/>
      <c r="EH958" s="323"/>
      <c r="EI958" s="323"/>
      <c r="EJ958" s="323"/>
      <c r="EK958" s="323"/>
      <c r="EL958" s="325"/>
      <c r="EM958" s="323"/>
      <c r="EN958" s="323"/>
      <c r="EO958" s="323"/>
      <c r="EP958" s="323"/>
      <c r="EQ958" s="323"/>
      <c r="ER958" s="323"/>
      <c r="ES958" s="323"/>
      <c r="ET958" s="323"/>
      <c r="EU958" s="323"/>
      <c r="EV958" s="323"/>
      <c r="EW958" s="323"/>
      <c r="EX958" s="325"/>
      <c r="EY958" s="323"/>
      <c r="EZ958" s="323"/>
      <c r="FA958" s="323"/>
      <c r="FB958" s="323"/>
      <c r="FC958" s="323"/>
      <c r="FD958" s="323"/>
      <c r="FE958" s="323"/>
      <c r="FF958" s="323"/>
      <c r="FG958" s="323"/>
      <c r="FH958" s="323"/>
      <c r="FI958" s="323"/>
      <c r="FJ958" s="325"/>
      <c r="FK958" s="323"/>
      <c r="FL958" s="323"/>
      <c r="FM958" s="323"/>
      <c r="FN958" s="323"/>
      <c r="FO958" s="323"/>
      <c r="FP958" s="323"/>
      <c r="FQ958" s="323"/>
      <c r="FR958" s="323"/>
      <c r="FS958" s="323"/>
      <c r="FT958" s="323"/>
      <c r="FU958" s="323"/>
      <c r="FV958" s="323"/>
      <c r="FW958" s="323"/>
      <c r="FX958" s="323"/>
      <c r="FY958" s="323"/>
      <c r="FZ958" s="323"/>
      <c r="GA958" s="323"/>
      <c r="GB958" s="323"/>
      <c r="GC958" s="323"/>
      <c r="GD958" s="323"/>
      <c r="GE958" s="323"/>
      <c r="GF958" s="323"/>
      <c r="GG958" s="323"/>
      <c r="GH958" s="323"/>
      <c r="GI958" s="1654"/>
      <c r="HZ958" s="326"/>
      <c r="IA958" s="1497" t="s">
        <v>3144</v>
      </c>
      <c r="IB958" s="284"/>
      <c r="ID958" s="323"/>
      <c r="IG958" s="323"/>
      <c r="IH958" s="284"/>
      <c r="IJ958" s="323"/>
      <c r="IK958" s="327"/>
      <c r="IM958" s="323"/>
      <c r="IP958" s="323"/>
      <c r="IQ958" s="327"/>
      <c r="IR958" s="327"/>
      <c r="IS958" s="323"/>
      <c r="IT958" s="327"/>
      <c r="IU958" s="327"/>
      <c r="IV958" s="323"/>
      <c r="IW958" s="327">
        <v>0</v>
      </c>
      <c r="IX958" s="327">
        <f t="shared" si="1963"/>
        <v>0</v>
      </c>
      <c r="IY958" s="323">
        <f t="shared" si="1991"/>
        <v>0</v>
      </c>
      <c r="IZ958" s="327">
        <f t="shared" si="1921"/>
        <v>0</v>
      </c>
      <c r="JA958" s="327">
        <f t="shared" si="1922"/>
        <v>0</v>
      </c>
      <c r="JB958" s="323">
        <f t="shared" si="1823"/>
        <v>0</v>
      </c>
      <c r="JC958" s="327">
        <f t="shared" si="1923"/>
        <v>0</v>
      </c>
      <c r="JD958" s="327">
        <f t="shared" si="1924"/>
        <v>0</v>
      </c>
      <c r="JE958" s="323">
        <f t="shared" si="1945"/>
        <v>0</v>
      </c>
      <c r="JF958" s="327">
        <f t="shared" si="1964"/>
        <v>0</v>
      </c>
      <c r="JG958" s="327">
        <f t="shared" si="1965"/>
        <v>0</v>
      </c>
      <c r="JH958" s="323">
        <f t="shared" si="1944"/>
        <v>0</v>
      </c>
      <c r="JI958" s="327">
        <f t="shared" si="1993"/>
        <v>0</v>
      </c>
      <c r="JJ958" s="327">
        <f t="shared" si="1871"/>
        <v>0</v>
      </c>
      <c r="JK958" s="323">
        <f t="shared" si="1933"/>
        <v>0</v>
      </c>
      <c r="JL958" s="327">
        <f t="shared" si="1946"/>
        <v>0</v>
      </c>
      <c r="JM958" s="327">
        <f t="shared" si="1967"/>
        <v>0</v>
      </c>
      <c r="JN958" s="323">
        <f>FISC!AK1279</f>
        <v>0</v>
      </c>
      <c r="JO958" s="327">
        <f t="shared" si="1968"/>
        <v>0</v>
      </c>
      <c r="JP958" s="327">
        <f t="shared" si="1969"/>
        <v>0</v>
      </c>
      <c r="JQ958" s="323">
        <f>FISC!AL1279</f>
        <v>0</v>
      </c>
      <c r="JR958" s="327">
        <f t="shared" si="1970"/>
        <v>0</v>
      </c>
      <c r="JS958" s="327">
        <f t="shared" si="1971"/>
        <v>0</v>
      </c>
      <c r="JT958" s="323">
        <f>FISC!AM1279</f>
        <v>0</v>
      </c>
      <c r="JU958" s="327">
        <f t="shared" si="1972"/>
        <v>0</v>
      </c>
      <c r="JV958" s="327">
        <f t="shared" si="1973"/>
        <v>0</v>
      </c>
      <c r="JW958" s="323">
        <f>FISC!AN1279</f>
        <v>0</v>
      </c>
      <c r="JX958" s="327">
        <f t="shared" si="1974"/>
        <v>0</v>
      </c>
      <c r="JY958" s="327">
        <f t="shared" si="1975"/>
        <v>0</v>
      </c>
      <c r="JZ958" s="323">
        <f>FISC!AO1279</f>
        <v>0</v>
      </c>
      <c r="KA958" s="327">
        <f t="shared" si="1976"/>
        <v>0</v>
      </c>
      <c r="KB958" s="327">
        <f t="shared" si="1977"/>
        <v>0</v>
      </c>
      <c r="KC958" s="323">
        <f>FISC!AP1279</f>
        <v>0</v>
      </c>
      <c r="KD958" s="327">
        <f t="shared" si="1978"/>
        <v>0</v>
      </c>
      <c r="KE958" s="327">
        <f t="shared" si="1979"/>
        <v>0</v>
      </c>
      <c r="KF958" s="323">
        <f>FISC!AQ1279</f>
        <v>0</v>
      </c>
      <c r="KG958" s="327">
        <f t="shared" si="1980"/>
        <v>0</v>
      </c>
      <c r="KH958" s="327">
        <f t="shared" si="1981"/>
        <v>0</v>
      </c>
      <c r="KI958" s="323">
        <f>FISC!AR1279</f>
        <v>0</v>
      </c>
      <c r="KJ958" s="327">
        <f t="shared" si="1982"/>
        <v>0</v>
      </c>
      <c r="KK958" s="327">
        <f t="shared" si="1983"/>
        <v>0</v>
      </c>
      <c r="KL958" s="323">
        <f>FISC!AS1279</f>
        <v>0</v>
      </c>
      <c r="KM958" s="327">
        <f t="shared" si="1984"/>
        <v>0</v>
      </c>
      <c r="KN958" s="327">
        <f t="shared" si="1985"/>
        <v>0</v>
      </c>
      <c r="KO958" s="323">
        <f>FISC!AT1279</f>
        <v>0</v>
      </c>
      <c r="KU958" s="326"/>
      <c r="KV958" s="327"/>
    </row>
    <row r="959" spans="1:314">
      <c r="A959" s="279"/>
      <c r="D959" s="1497" t="s">
        <v>3145</v>
      </c>
      <c r="E959" s="323"/>
      <c r="F959" s="323"/>
      <c r="G959" s="323"/>
      <c r="H959" s="323"/>
      <c r="I959" s="323"/>
      <c r="J959" s="323"/>
      <c r="K959" s="323"/>
      <c r="L959" s="323"/>
      <c r="M959" s="323"/>
      <c r="N959" s="323"/>
      <c r="O959" s="323"/>
      <c r="P959" s="323"/>
      <c r="Q959" s="323"/>
      <c r="R959" s="323"/>
      <c r="S959" s="323"/>
      <c r="T959" s="323"/>
      <c r="U959" s="323"/>
      <c r="V959" s="323"/>
      <c r="W959" s="323"/>
      <c r="X959" s="323"/>
      <c r="Y959" s="323"/>
      <c r="Z959" s="323"/>
      <c r="AA959" s="323"/>
      <c r="AB959" s="323"/>
      <c r="AC959" s="323"/>
      <c r="AD959" s="323"/>
      <c r="AE959" s="323"/>
      <c r="AF959" s="323"/>
      <c r="AG959" s="323"/>
      <c r="AH959" s="323"/>
      <c r="AI959" s="323"/>
      <c r="AJ959" s="323"/>
      <c r="AK959" s="323"/>
      <c r="AL959" s="323"/>
      <c r="AM959" s="323"/>
      <c r="AN959" s="323"/>
      <c r="AO959" s="323"/>
      <c r="AP959" s="323"/>
      <c r="AQ959" s="323"/>
      <c r="AR959" s="323"/>
      <c r="AS959" s="323"/>
      <c r="AT959" s="323"/>
      <c r="AU959" s="323"/>
      <c r="AV959" s="323"/>
      <c r="AW959" s="323"/>
      <c r="AX959" s="323"/>
      <c r="AY959" s="323"/>
      <c r="AZ959" s="323"/>
      <c r="BA959" s="323"/>
      <c r="BB959" s="323"/>
      <c r="BC959" s="323"/>
      <c r="BD959" s="323"/>
      <c r="BE959" s="323"/>
      <c r="BF959" s="323"/>
      <c r="BG959" s="323"/>
      <c r="BH959" s="323"/>
      <c r="BI959" s="323"/>
      <c r="BJ959" s="323"/>
      <c r="BK959" s="323"/>
      <c r="BL959" s="323"/>
      <c r="BM959" s="323"/>
      <c r="BN959" s="323"/>
      <c r="BO959" s="323"/>
      <c r="BP959" s="323"/>
      <c r="BQ959" s="323"/>
      <c r="BR959" s="323"/>
      <c r="BS959" s="323"/>
      <c r="BT959" s="323"/>
      <c r="BU959" s="323"/>
      <c r="BV959" s="323"/>
      <c r="BW959" s="323"/>
      <c r="BX959" s="323"/>
      <c r="BY959" s="323"/>
      <c r="BZ959" s="323"/>
      <c r="CA959" s="323"/>
      <c r="CB959" s="323"/>
      <c r="CC959" s="323"/>
      <c r="CD959" s="329"/>
      <c r="CE959" s="323"/>
      <c r="CF959" s="323"/>
      <c r="CG959" s="323"/>
      <c r="CH959" s="323"/>
      <c r="CI959" s="323"/>
      <c r="CJ959" s="323"/>
      <c r="CK959" s="323"/>
      <c r="CL959" s="323"/>
      <c r="CM959" s="323"/>
      <c r="CN959" s="323"/>
      <c r="CO959" s="323"/>
      <c r="CP959" s="325"/>
      <c r="CQ959" s="323"/>
      <c r="CR959" s="323"/>
      <c r="CS959" s="323"/>
      <c r="CT959" s="323"/>
      <c r="CU959" s="323"/>
      <c r="CV959" s="323"/>
      <c r="CW959" s="323"/>
      <c r="CX959" s="323"/>
      <c r="CY959" s="323"/>
      <c r="CZ959" s="323"/>
      <c r="DA959" s="323"/>
      <c r="DB959" s="1269"/>
      <c r="DC959" s="323"/>
      <c r="DD959" s="323"/>
      <c r="DE959" s="323"/>
      <c r="DF959" s="323"/>
      <c r="DG959" s="323"/>
      <c r="DH959" s="323"/>
      <c r="DI959" s="323"/>
      <c r="DJ959" s="323"/>
      <c r="DK959" s="323"/>
      <c r="DL959" s="323"/>
      <c r="DM959" s="323"/>
      <c r="DN959" s="325"/>
      <c r="DO959" s="323"/>
      <c r="DP959" s="323"/>
      <c r="DQ959" s="323"/>
      <c r="DR959" s="323"/>
      <c r="DS959" s="323"/>
      <c r="DT959" s="323"/>
      <c r="DU959" s="323"/>
      <c r="DV959" s="323"/>
      <c r="DW959" s="323"/>
      <c r="DX959" s="323"/>
      <c r="DY959" s="323"/>
      <c r="DZ959" s="325"/>
      <c r="EA959" s="323"/>
      <c r="EB959" s="323"/>
      <c r="EC959" s="323"/>
      <c r="ED959" s="323"/>
      <c r="EE959" s="323"/>
      <c r="EF959" s="323"/>
      <c r="EG959" s="323"/>
      <c r="EH959" s="323"/>
      <c r="EI959" s="323"/>
      <c r="EJ959" s="323"/>
      <c r="EK959" s="323"/>
      <c r="EL959" s="325"/>
      <c r="EM959" s="323"/>
      <c r="EN959" s="323"/>
      <c r="EO959" s="323"/>
      <c r="EP959" s="323"/>
      <c r="EQ959" s="323"/>
      <c r="ER959" s="323"/>
      <c r="ES959" s="323"/>
      <c r="ET959" s="323"/>
      <c r="EU959" s="323"/>
      <c r="EV959" s="323"/>
      <c r="EW959" s="323"/>
      <c r="EX959" s="325"/>
      <c r="EY959" s="323"/>
      <c r="EZ959" s="323"/>
      <c r="FA959" s="323"/>
      <c r="FB959" s="323"/>
      <c r="FC959" s="323"/>
      <c r="FD959" s="323"/>
      <c r="FE959" s="323"/>
      <c r="FF959" s="323"/>
      <c r="FG959" s="323"/>
      <c r="FH959" s="323"/>
      <c r="FI959" s="323"/>
      <c r="FJ959" s="325"/>
      <c r="FK959" s="323"/>
      <c r="FL959" s="323"/>
      <c r="FM959" s="323"/>
      <c r="FN959" s="323"/>
      <c r="FO959" s="323"/>
      <c r="FP959" s="323"/>
      <c r="FQ959" s="323"/>
      <c r="FR959" s="323"/>
      <c r="FS959" s="323"/>
      <c r="FT959" s="323"/>
      <c r="FU959" s="323"/>
      <c r="FV959" s="323"/>
      <c r="FW959" s="323"/>
      <c r="FX959" s="323"/>
      <c r="FY959" s="323"/>
      <c r="FZ959" s="323"/>
      <c r="GA959" s="323"/>
      <c r="GB959" s="323"/>
      <c r="GC959" s="323"/>
      <c r="GD959" s="323"/>
      <c r="GE959" s="323"/>
      <c r="GF959" s="323"/>
      <c r="GG959" s="323"/>
      <c r="GH959" s="323"/>
      <c r="GI959" s="1654"/>
      <c r="HZ959" s="326"/>
      <c r="IA959" s="1497" t="s">
        <v>3145</v>
      </c>
      <c r="IB959" s="284"/>
      <c r="ID959" s="323"/>
      <c r="IG959" s="323"/>
      <c r="IH959" s="284"/>
      <c r="IJ959" s="323"/>
      <c r="IK959" s="327"/>
      <c r="IM959" s="323"/>
      <c r="IP959" s="323"/>
      <c r="IQ959" s="327"/>
      <c r="IR959" s="327"/>
      <c r="IS959" s="323"/>
      <c r="IT959" s="327"/>
      <c r="IU959" s="327"/>
      <c r="IV959" s="323"/>
      <c r="IW959" s="327">
        <v>0</v>
      </c>
      <c r="IX959" s="327">
        <f t="shared" si="1963"/>
        <v>0</v>
      </c>
      <c r="IY959" s="323">
        <f t="shared" si="1991"/>
        <v>0</v>
      </c>
      <c r="IZ959" s="327">
        <f t="shared" si="1921"/>
        <v>0</v>
      </c>
      <c r="JA959" s="327">
        <f t="shared" si="1922"/>
        <v>0</v>
      </c>
      <c r="JB959" s="323">
        <f t="shared" si="1823"/>
        <v>0</v>
      </c>
      <c r="JC959" s="327">
        <f t="shared" si="1923"/>
        <v>0</v>
      </c>
      <c r="JD959" s="327">
        <f t="shared" si="1924"/>
        <v>0</v>
      </c>
      <c r="JE959" s="323">
        <f t="shared" si="1945"/>
        <v>0</v>
      </c>
      <c r="JF959" s="327">
        <f t="shared" si="1964"/>
        <v>0</v>
      </c>
      <c r="JG959" s="327">
        <f t="shared" si="1965"/>
        <v>0</v>
      </c>
      <c r="JH959" s="323">
        <f t="shared" si="1944"/>
        <v>0</v>
      </c>
      <c r="JI959" s="327">
        <f t="shared" si="1993"/>
        <v>0</v>
      </c>
      <c r="JJ959" s="327">
        <f t="shared" si="1871"/>
        <v>0</v>
      </c>
      <c r="JK959" s="323">
        <f t="shared" si="1933"/>
        <v>0</v>
      </c>
      <c r="JL959" s="327">
        <f t="shared" si="1946"/>
        <v>0</v>
      </c>
      <c r="JM959" s="327">
        <f t="shared" si="1967"/>
        <v>0</v>
      </c>
      <c r="JN959" s="323">
        <f>FISC!AK1280</f>
        <v>0</v>
      </c>
      <c r="JO959" s="327">
        <f t="shared" si="1968"/>
        <v>0</v>
      </c>
      <c r="JP959" s="327">
        <f t="shared" si="1969"/>
        <v>0</v>
      </c>
      <c r="JQ959" s="323">
        <f>FISC!AL1280</f>
        <v>0</v>
      </c>
      <c r="JR959" s="327">
        <f t="shared" si="1970"/>
        <v>0</v>
      </c>
      <c r="JS959" s="327">
        <f t="shared" si="1971"/>
        <v>0</v>
      </c>
      <c r="JT959" s="323">
        <f>FISC!AM1280</f>
        <v>0</v>
      </c>
      <c r="JU959" s="327">
        <f t="shared" si="1972"/>
        <v>0</v>
      </c>
      <c r="JV959" s="327">
        <f t="shared" si="1973"/>
        <v>0</v>
      </c>
      <c r="JW959" s="323">
        <f>FISC!AN1280</f>
        <v>0</v>
      </c>
      <c r="JX959" s="327">
        <f t="shared" si="1974"/>
        <v>0</v>
      </c>
      <c r="JY959" s="327">
        <f t="shared" si="1975"/>
        <v>0</v>
      </c>
      <c r="JZ959" s="323">
        <f>FISC!AO1280</f>
        <v>0</v>
      </c>
      <c r="KA959" s="327">
        <f t="shared" si="1976"/>
        <v>0</v>
      </c>
      <c r="KB959" s="327">
        <f t="shared" si="1977"/>
        <v>0</v>
      </c>
      <c r="KC959" s="323">
        <f>FISC!AP1280</f>
        <v>0</v>
      </c>
      <c r="KD959" s="327">
        <f t="shared" si="1978"/>
        <v>0</v>
      </c>
      <c r="KE959" s="327">
        <f t="shared" si="1979"/>
        <v>0</v>
      </c>
      <c r="KF959" s="323">
        <f>FISC!AQ1280</f>
        <v>0</v>
      </c>
      <c r="KG959" s="327">
        <f t="shared" si="1980"/>
        <v>0</v>
      </c>
      <c r="KH959" s="327">
        <f t="shared" si="1981"/>
        <v>0</v>
      </c>
      <c r="KI959" s="323">
        <f>FISC!AR1280</f>
        <v>0</v>
      </c>
      <c r="KJ959" s="327">
        <f t="shared" si="1982"/>
        <v>0</v>
      </c>
      <c r="KK959" s="327">
        <f t="shared" si="1983"/>
        <v>0</v>
      </c>
      <c r="KL959" s="323">
        <f>FISC!AS1280</f>
        <v>0</v>
      </c>
      <c r="KM959" s="327">
        <f t="shared" si="1984"/>
        <v>0</v>
      </c>
      <c r="KN959" s="327">
        <f t="shared" si="1985"/>
        <v>0</v>
      </c>
      <c r="KO959" s="323">
        <f>FISC!AT1280</f>
        <v>0</v>
      </c>
      <c r="KU959" s="326"/>
      <c r="KV959" s="327"/>
    </row>
    <row r="960" spans="1:314">
      <c r="A960" s="279"/>
      <c r="D960" s="1497" t="s">
        <v>3146</v>
      </c>
      <c r="E960" s="323"/>
      <c r="F960" s="323"/>
      <c r="G960" s="323"/>
      <c r="H960" s="323"/>
      <c r="I960" s="323"/>
      <c r="J960" s="323"/>
      <c r="K960" s="323"/>
      <c r="L960" s="323"/>
      <c r="M960" s="323"/>
      <c r="N960" s="323"/>
      <c r="O960" s="323"/>
      <c r="P960" s="323"/>
      <c r="Q960" s="323"/>
      <c r="R960" s="323"/>
      <c r="S960" s="323"/>
      <c r="T960" s="323"/>
      <c r="U960" s="323"/>
      <c r="V960" s="323"/>
      <c r="W960" s="323"/>
      <c r="X960" s="323"/>
      <c r="Y960" s="323"/>
      <c r="Z960" s="323"/>
      <c r="AA960" s="323"/>
      <c r="AB960" s="323"/>
      <c r="AC960" s="323"/>
      <c r="AD960" s="323"/>
      <c r="AE960" s="323"/>
      <c r="AF960" s="323"/>
      <c r="AG960" s="323"/>
      <c r="AH960" s="323"/>
      <c r="AI960" s="323"/>
      <c r="AJ960" s="323"/>
      <c r="AK960" s="323"/>
      <c r="AL960" s="323"/>
      <c r="AM960" s="323"/>
      <c r="AN960" s="323"/>
      <c r="AO960" s="323"/>
      <c r="AP960" s="323"/>
      <c r="AQ960" s="323"/>
      <c r="AR960" s="323"/>
      <c r="AS960" s="323"/>
      <c r="AT960" s="323"/>
      <c r="AU960" s="323"/>
      <c r="AV960" s="323"/>
      <c r="AW960" s="323"/>
      <c r="AX960" s="323"/>
      <c r="AY960" s="323"/>
      <c r="AZ960" s="323"/>
      <c r="BA960" s="323"/>
      <c r="BB960" s="323"/>
      <c r="BC960" s="323"/>
      <c r="BD960" s="323"/>
      <c r="BE960" s="323"/>
      <c r="BF960" s="323"/>
      <c r="BG960" s="323"/>
      <c r="BH960" s="323"/>
      <c r="BI960" s="323"/>
      <c r="BJ960" s="323"/>
      <c r="BK960" s="323"/>
      <c r="BL960" s="323"/>
      <c r="BM960" s="323"/>
      <c r="BN960" s="323"/>
      <c r="BO960" s="323"/>
      <c r="BP960" s="323"/>
      <c r="BQ960" s="323"/>
      <c r="BR960" s="323"/>
      <c r="BS960" s="323"/>
      <c r="BT960" s="323"/>
      <c r="BU960" s="323"/>
      <c r="BV960" s="323"/>
      <c r="BW960" s="323"/>
      <c r="BX960" s="323"/>
      <c r="BY960" s="323"/>
      <c r="BZ960" s="323"/>
      <c r="CA960" s="323"/>
      <c r="CB960" s="323"/>
      <c r="CC960" s="323"/>
      <c r="CD960" s="329"/>
      <c r="CE960" s="323"/>
      <c r="CF960" s="323"/>
      <c r="CG960" s="323"/>
      <c r="CH960" s="323"/>
      <c r="CI960" s="323"/>
      <c r="CJ960" s="323"/>
      <c r="CK960" s="323"/>
      <c r="CL960" s="323"/>
      <c r="CM960" s="323"/>
      <c r="CN960" s="323"/>
      <c r="CO960" s="323"/>
      <c r="CP960" s="325"/>
      <c r="CQ960" s="323"/>
      <c r="CR960" s="323"/>
      <c r="CS960" s="323"/>
      <c r="CT960" s="323"/>
      <c r="CU960" s="323"/>
      <c r="CV960" s="323"/>
      <c r="CW960" s="323"/>
      <c r="CX960" s="323"/>
      <c r="CY960" s="323"/>
      <c r="CZ960" s="323"/>
      <c r="DA960" s="323"/>
      <c r="DB960" s="1269"/>
      <c r="DC960" s="323"/>
      <c r="DD960" s="323"/>
      <c r="DE960" s="323"/>
      <c r="DF960" s="323"/>
      <c r="DG960" s="323"/>
      <c r="DH960" s="323"/>
      <c r="DI960" s="323"/>
      <c r="DJ960" s="323"/>
      <c r="DK960" s="323"/>
      <c r="DL960" s="323"/>
      <c r="DM960" s="323"/>
      <c r="DN960" s="325"/>
      <c r="DO960" s="323"/>
      <c r="DP960" s="323"/>
      <c r="DQ960" s="323"/>
      <c r="DR960" s="323"/>
      <c r="DS960" s="323"/>
      <c r="DT960" s="323"/>
      <c r="DU960" s="323"/>
      <c r="DV960" s="323"/>
      <c r="DW960" s="323"/>
      <c r="DX960" s="323"/>
      <c r="DY960" s="323"/>
      <c r="DZ960" s="325"/>
      <c r="EA960" s="323"/>
      <c r="EB960" s="323"/>
      <c r="EC960" s="323"/>
      <c r="ED960" s="323"/>
      <c r="EE960" s="323"/>
      <c r="EF960" s="323"/>
      <c r="EG960" s="323"/>
      <c r="EH960" s="323"/>
      <c r="EI960" s="323"/>
      <c r="EJ960" s="323"/>
      <c r="EK960" s="323"/>
      <c r="EL960" s="325"/>
      <c r="EM960" s="323"/>
      <c r="EN960" s="323"/>
      <c r="EO960" s="323"/>
      <c r="EP960" s="323"/>
      <c r="EQ960" s="323"/>
      <c r="ER960" s="323"/>
      <c r="ES960" s="323"/>
      <c r="ET960" s="323"/>
      <c r="EU960" s="323"/>
      <c r="EV960" s="323"/>
      <c r="EW960" s="323"/>
      <c r="EX960" s="325"/>
      <c r="EY960" s="323"/>
      <c r="EZ960" s="323"/>
      <c r="FA960" s="323"/>
      <c r="FB960" s="323"/>
      <c r="FC960" s="323"/>
      <c r="FD960" s="323"/>
      <c r="FE960" s="323"/>
      <c r="FF960" s="323"/>
      <c r="FG960" s="323"/>
      <c r="FH960" s="323"/>
      <c r="FI960" s="323"/>
      <c r="FJ960" s="325"/>
      <c r="FK960" s="323"/>
      <c r="FL960" s="323"/>
      <c r="FM960" s="323"/>
      <c r="FN960" s="323"/>
      <c r="FO960" s="323"/>
      <c r="FP960" s="323"/>
      <c r="FQ960" s="323"/>
      <c r="FR960" s="323"/>
      <c r="FS960" s="323"/>
      <c r="FT960" s="323"/>
      <c r="FU960" s="323"/>
      <c r="FV960" s="323"/>
      <c r="FW960" s="323"/>
      <c r="FX960" s="323"/>
      <c r="FY960" s="323"/>
      <c r="FZ960" s="323"/>
      <c r="GA960" s="323"/>
      <c r="GB960" s="323"/>
      <c r="GC960" s="323"/>
      <c r="GD960" s="323"/>
      <c r="GE960" s="323"/>
      <c r="GF960" s="323"/>
      <c r="GG960" s="323"/>
      <c r="GH960" s="323"/>
      <c r="GI960" s="1654"/>
      <c r="HZ960" s="326"/>
      <c r="IA960" s="1497" t="s">
        <v>3146</v>
      </c>
      <c r="IB960" s="284"/>
      <c r="ID960" s="323"/>
      <c r="IG960" s="323"/>
      <c r="IH960" s="284"/>
      <c r="IJ960" s="323"/>
      <c r="IK960" s="327"/>
      <c r="IM960" s="323"/>
      <c r="IP960" s="323"/>
      <c r="IQ960" s="327"/>
      <c r="IR960" s="327"/>
      <c r="IS960" s="323"/>
      <c r="IT960" s="327"/>
      <c r="IU960" s="327"/>
      <c r="IV960" s="323"/>
      <c r="IW960" s="327">
        <v>0</v>
      </c>
      <c r="IX960" s="327">
        <f t="shared" si="1963"/>
        <v>0</v>
      </c>
      <c r="IY960" s="323">
        <f t="shared" si="1991"/>
        <v>0</v>
      </c>
      <c r="IZ960" s="327">
        <f t="shared" si="1921"/>
        <v>0</v>
      </c>
      <c r="JA960" s="327">
        <f t="shared" si="1922"/>
        <v>0</v>
      </c>
      <c r="JB960" s="323">
        <f t="shared" si="1823"/>
        <v>0</v>
      </c>
      <c r="JC960" s="327">
        <f t="shared" si="1923"/>
        <v>0</v>
      </c>
      <c r="JD960" s="327">
        <f t="shared" si="1924"/>
        <v>0</v>
      </c>
      <c r="JE960" s="323">
        <f t="shared" si="1945"/>
        <v>0</v>
      </c>
      <c r="JF960" s="327">
        <f t="shared" si="1964"/>
        <v>0</v>
      </c>
      <c r="JG960" s="327">
        <f t="shared" si="1965"/>
        <v>0</v>
      </c>
      <c r="JH960" s="323">
        <f t="shared" si="1944"/>
        <v>0</v>
      </c>
      <c r="JI960" s="327">
        <f t="shared" si="1993"/>
        <v>0</v>
      </c>
      <c r="JJ960" s="327">
        <f t="shared" si="1871"/>
        <v>0</v>
      </c>
      <c r="JK960" s="323">
        <f t="shared" si="1933"/>
        <v>0</v>
      </c>
      <c r="JL960" s="327">
        <f t="shared" si="1946"/>
        <v>0</v>
      </c>
      <c r="JM960" s="327">
        <f t="shared" si="1967"/>
        <v>0</v>
      </c>
      <c r="JN960" s="323">
        <f>FISC!AK1281</f>
        <v>0</v>
      </c>
      <c r="JO960" s="327">
        <f t="shared" si="1968"/>
        <v>0</v>
      </c>
      <c r="JP960" s="327">
        <f t="shared" si="1969"/>
        <v>0</v>
      </c>
      <c r="JQ960" s="323">
        <f>FISC!AL1281</f>
        <v>0</v>
      </c>
      <c r="JR960" s="327">
        <f t="shared" si="1970"/>
        <v>0</v>
      </c>
      <c r="JS960" s="327">
        <f t="shared" si="1971"/>
        <v>0</v>
      </c>
      <c r="JT960" s="323">
        <f>FISC!AM1281</f>
        <v>0</v>
      </c>
      <c r="JU960" s="327">
        <f t="shared" si="1972"/>
        <v>0</v>
      </c>
      <c r="JV960" s="327">
        <f t="shared" si="1973"/>
        <v>0</v>
      </c>
      <c r="JW960" s="323">
        <f>FISC!AN1281</f>
        <v>0</v>
      </c>
      <c r="JX960" s="327">
        <f t="shared" si="1974"/>
        <v>0</v>
      </c>
      <c r="JY960" s="327">
        <f t="shared" si="1975"/>
        <v>0</v>
      </c>
      <c r="JZ960" s="323">
        <f>FISC!AO1281</f>
        <v>0</v>
      </c>
      <c r="KA960" s="327">
        <f t="shared" si="1976"/>
        <v>0</v>
      </c>
      <c r="KB960" s="327">
        <f t="shared" si="1977"/>
        <v>0</v>
      </c>
      <c r="KC960" s="323">
        <f>FISC!AP1281</f>
        <v>0</v>
      </c>
      <c r="KD960" s="327">
        <f t="shared" si="1978"/>
        <v>0</v>
      </c>
      <c r="KE960" s="327">
        <f t="shared" si="1979"/>
        <v>0</v>
      </c>
      <c r="KF960" s="323">
        <f>FISC!AQ1281</f>
        <v>0</v>
      </c>
      <c r="KG960" s="327">
        <f t="shared" si="1980"/>
        <v>0</v>
      </c>
      <c r="KH960" s="327">
        <f t="shared" si="1981"/>
        <v>0</v>
      </c>
      <c r="KI960" s="323">
        <f>FISC!AR1281</f>
        <v>0</v>
      </c>
      <c r="KJ960" s="327">
        <f t="shared" si="1982"/>
        <v>0</v>
      </c>
      <c r="KK960" s="327">
        <f t="shared" si="1983"/>
        <v>0</v>
      </c>
      <c r="KL960" s="323">
        <f>FISC!AS1281</f>
        <v>0</v>
      </c>
      <c r="KM960" s="327">
        <f t="shared" si="1984"/>
        <v>0</v>
      </c>
      <c r="KN960" s="327">
        <f t="shared" si="1985"/>
        <v>0</v>
      </c>
      <c r="KO960" s="323">
        <f>FISC!AT1281</f>
        <v>0</v>
      </c>
      <c r="KU960" s="326"/>
      <c r="KV960" s="327"/>
    </row>
    <row r="961" spans="1:308">
      <c r="A961" s="279"/>
      <c r="D961" s="335" t="s">
        <v>3115</v>
      </c>
      <c r="E961" s="323"/>
      <c r="F961" s="323"/>
      <c r="G961" s="323"/>
      <c r="H961" s="323"/>
      <c r="I961" s="323"/>
      <c r="J961" s="323"/>
      <c r="K961" s="323"/>
      <c r="L961" s="323"/>
      <c r="M961" s="323"/>
      <c r="N961" s="323"/>
      <c r="O961" s="323"/>
      <c r="P961" s="323"/>
      <c r="Q961" s="323"/>
      <c r="R961" s="323"/>
      <c r="S961" s="323"/>
      <c r="T961" s="323"/>
      <c r="U961" s="323"/>
      <c r="V961" s="323"/>
      <c r="W961" s="323"/>
      <c r="X961" s="323"/>
      <c r="Y961" s="323"/>
      <c r="Z961" s="323"/>
      <c r="AA961" s="323"/>
      <c r="AB961" s="323"/>
      <c r="AC961" s="323"/>
      <c r="AD961" s="323"/>
      <c r="AE961" s="323"/>
      <c r="AF961" s="323"/>
      <c r="AG961" s="323"/>
      <c r="AH961" s="323"/>
      <c r="AI961" s="323"/>
      <c r="AJ961" s="323"/>
      <c r="AK961" s="323"/>
      <c r="AL961" s="323"/>
      <c r="AM961" s="323"/>
      <c r="AN961" s="323"/>
      <c r="AO961" s="323"/>
      <c r="AP961" s="323"/>
      <c r="AQ961" s="323"/>
      <c r="AR961" s="323"/>
      <c r="AS961" s="323"/>
      <c r="AT961" s="323"/>
      <c r="AU961" s="323"/>
      <c r="AV961" s="323"/>
      <c r="AW961" s="323"/>
      <c r="AX961" s="323"/>
      <c r="AY961" s="323"/>
      <c r="AZ961" s="323"/>
      <c r="BA961" s="323"/>
      <c r="BB961" s="323"/>
      <c r="BC961" s="323"/>
      <c r="BD961" s="323"/>
      <c r="BE961" s="323"/>
      <c r="BF961" s="323"/>
      <c r="BG961" s="323"/>
      <c r="BH961" s="323"/>
      <c r="BI961" s="323"/>
      <c r="BJ961" s="323"/>
      <c r="BK961" s="323"/>
      <c r="BL961" s="323"/>
      <c r="BM961" s="323"/>
      <c r="BN961" s="323"/>
      <c r="BO961" s="323"/>
      <c r="BP961" s="323"/>
      <c r="BQ961" s="323"/>
      <c r="BR961" s="323"/>
      <c r="BS961" s="323"/>
      <c r="BT961" s="323"/>
      <c r="BU961" s="323"/>
      <c r="BV961" s="323"/>
      <c r="BW961" s="323"/>
      <c r="BX961" s="323"/>
      <c r="BY961" s="323"/>
      <c r="BZ961" s="323"/>
      <c r="CA961" s="323"/>
      <c r="CB961" s="323"/>
      <c r="CC961" s="323"/>
      <c r="CD961" s="329"/>
      <c r="CE961" s="323">
        <v>0</v>
      </c>
      <c r="CF961" s="323">
        <v>0</v>
      </c>
      <c r="CG961" s="323">
        <v>0</v>
      </c>
      <c r="CH961" s="323">
        <v>0</v>
      </c>
      <c r="CI961" s="323">
        <v>0</v>
      </c>
      <c r="CJ961" s="323">
        <v>0</v>
      </c>
      <c r="CK961" s="323">
        <v>0</v>
      </c>
      <c r="CL961" s="323">
        <v>0</v>
      </c>
      <c r="CM961" s="323">
        <v>0</v>
      </c>
      <c r="CN961" s="323">
        <v>0</v>
      </c>
      <c r="CO961" s="323">
        <v>0</v>
      </c>
      <c r="CP961" s="325">
        <v>0</v>
      </c>
      <c r="CQ961" s="323"/>
      <c r="CR961" s="323"/>
      <c r="CS961" s="323"/>
      <c r="CT961" s="323"/>
      <c r="CU961" s="323"/>
      <c r="CV961" s="323"/>
      <c r="CW961" s="323"/>
      <c r="CX961" s="323"/>
      <c r="CY961" s="323"/>
      <c r="CZ961" s="323"/>
      <c r="DA961" s="323"/>
      <c r="DB961" s="1269"/>
      <c r="DC961" s="323"/>
      <c r="DD961" s="323"/>
      <c r="DE961" s="323"/>
      <c r="DF961" s="323"/>
      <c r="DG961" s="323"/>
      <c r="DH961" s="323"/>
      <c r="DI961" s="323"/>
      <c r="DJ961" s="323"/>
      <c r="DK961" s="323"/>
      <c r="DL961" s="323"/>
      <c r="DM961" s="323"/>
      <c r="DN961" s="325"/>
      <c r="DO961" s="323"/>
      <c r="DP961" s="323"/>
      <c r="DQ961" s="323"/>
      <c r="DR961" s="323"/>
      <c r="DS961" s="323"/>
      <c r="DT961" s="323"/>
      <c r="DU961" s="323"/>
      <c r="DV961" s="323"/>
      <c r="DW961" s="323"/>
      <c r="DX961" s="323"/>
      <c r="DY961" s="323"/>
      <c r="DZ961" s="325"/>
      <c r="EA961" s="323"/>
      <c r="EB961" s="323"/>
      <c r="EC961" s="323"/>
      <c r="ED961" s="323"/>
      <c r="EE961" s="323"/>
      <c r="EF961" s="323"/>
      <c r="EG961" s="323"/>
      <c r="EH961" s="323"/>
      <c r="EI961" s="323"/>
      <c r="EJ961" s="323"/>
      <c r="EK961" s="323"/>
      <c r="EL961" s="325"/>
      <c r="EM961" s="323"/>
      <c r="EN961" s="323"/>
      <c r="EO961" s="323"/>
      <c r="EP961" s="323"/>
      <c r="EQ961" s="323"/>
      <c r="ER961" s="323"/>
      <c r="ES961" s="323"/>
      <c r="ET961" s="323"/>
      <c r="EU961" s="323"/>
      <c r="EV961" s="323"/>
      <c r="EW961" s="323"/>
      <c r="EX961" s="325"/>
      <c r="EY961" s="323"/>
      <c r="EZ961" s="323"/>
      <c r="FA961" s="323"/>
      <c r="FB961" s="323"/>
      <c r="FC961" s="323"/>
      <c r="FD961" s="323"/>
      <c r="FE961" s="323"/>
      <c r="FF961" s="323"/>
      <c r="FG961" s="323"/>
      <c r="FH961" s="323"/>
      <c r="FI961" s="323"/>
      <c r="FJ961" s="325"/>
      <c r="FK961" s="323">
        <v>0</v>
      </c>
      <c r="FL961" s="323">
        <v>0</v>
      </c>
      <c r="FM961" s="323">
        <v>0</v>
      </c>
      <c r="FN961" s="323">
        <v>0</v>
      </c>
      <c r="FO961" s="323">
        <v>0</v>
      </c>
      <c r="FP961" s="323">
        <v>0</v>
      </c>
      <c r="FQ961" s="323">
        <v>0</v>
      </c>
      <c r="FR961" s="323">
        <v>0</v>
      </c>
      <c r="FS961" s="323">
        <v>0</v>
      </c>
      <c r="FT961" s="323">
        <v>0</v>
      </c>
      <c r="FU961" s="323">
        <v>0</v>
      </c>
      <c r="FV961" s="323">
        <v>0</v>
      </c>
      <c r="FW961" s="323">
        <v>0</v>
      </c>
      <c r="FX961" s="323">
        <v>0</v>
      </c>
      <c r="FY961" s="323">
        <v>0</v>
      </c>
      <c r="FZ961" s="323">
        <v>0</v>
      </c>
      <c r="GA961" s="323">
        <v>0</v>
      </c>
      <c r="GB961" s="323">
        <v>0</v>
      </c>
      <c r="GC961" s="323">
        <v>0</v>
      </c>
      <c r="GD961" s="323">
        <v>0</v>
      </c>
      <c r="GE961" s="323">
        <v>0</v>
      </c>
      <c r="GF961" s="323">
        <v>0</v>
      </c>
      <c r="GG961" s="323">
        <v>0</v>
      </c>
      <c r="GH961" s="323">
        <v>0</v>
      </c>
      <c r="GI961" s="1660">
        <f>GI962</f>
        <v>0.239341902</v>
      </c>
      <c r="GJ961" s="1660">
        <f t="shared" ref="GJ961:HX961" si="2000">GJ962</f>
        <v>0.28002997600000001</v>
      </c>
      <c r="GK961" s="1660">
        <f t="shared" si="2000"/>
        <v>0.271350231</v>
      </c>
      <c r="GL961" s="1660">
        <f t="shared" si="2000"/>
        <v>0.236687542</v>
      </c>
      <c r="GM961" s="1660">
        <f t="shared" si="2000"/>
        <v>0.25746289900000002</v>
      </c>
      <c r="GN961" s="1660">
        <f t="shared" si="2000"/>
        <v>0.27490142899999997</v>
      </c>
      <c r="GO961" s="1660">
        <f t="shared" si="2000"/>
        <v>0.25368069700000001</v>
      </c>
      <c r="GP961" s="1660">
        <f t="shared" si="2000"/>
        <v>0.23767899100000001</v>
      </c>
      <c r="GQ961" s="1660">
        <f t="shared" si="2000"/>
        <v>0.26934907299999999</v>
      </c>
      <c r="GR961" s="1660">
        <f t="shared" si="2000"/>
        <v>0.181288001</v>
      </c>
      <c r="GS961" s="1660">
        <f t="shared" si="2000"/>
        <v>0.292236985</v>
      </c>
      <c r="GT961" s="1660">
        <f t="shared" si="2000"/>
        <v>0.284246844</v>
      </c>
      <c r="GU961" s="1660">
        <f t="shared" si="2000"/>
        <v>0.26954578499999998</v>
      </c>
      <c r="GV961" s="1660">
        <f t="shared" si="2000"/>
        <v>0.27515811400000001</v>
      </c>
      <c r="GW961" s="1660">
        <f t="shared" si="2000"/>
        <v>0.273028508</v>
      </c>
      <c r="GX961" s="1660">
        <f t="shared" si="2000"/>
        <v>0.281283269</v>
      </c>
      <c r="GY961" s="1660">
        <f t="shared" si="2000"/>
        <v>0.28033565500000002</v>
      </c>
      <c r="GZ961" s="1660">
        <f t="shared" si="2000"/>
        <v>0.313937097</v>
      </c>
      <c r="HA961" s="1660">
        <f t="shared" si="2000"/>
        <v>0.32739517299999998</v>
      </c>
      <c r="HB961" s="1660">
        <f t="shared" si="2000"/>
        <v>0.273230957</v>
      </c>
      <c r="HC961" s="1660">
        <f t="shared" si="2000"/>
        <v>0.31121012799999997</v>
      </c>
      <c r="HD961" s="1660">
        <f t="shared" si="2000"/>
        <v>0.34604845400000001</v>
      </c>
      <c r="HE961" s="1660">
        <f t="shared" si="2000"/>
        <v>0.34641095999999999</v>
      </c>
      <c r="HF961" s="1660">
        <f t="shared" si="2000"/>
        <v>0.39034159400000001</v>
      </c>
      <c r="HG961" s="1660">
        <f t="shared" si="2000"/>
        <v>0.35167994200000002</v>
      </c>
      <c r="HH961" s="1660">
        <f t="shared" si="2000"/>
        <v>0.37136045600000001</v>
      </c>
      <c r="HI961" s="1660">
        <f t="shared" si="2000"/>
        <v>0.34176325600000002</v>
      </c>
      <c r="HJ961" s="1660">
        <f t="shared" si="2000"/>
        <v>0.33996253399999998</v>
      </c>
      <c r="HK961" s="1660">
        <f t="shared" si="2000"/>
        <v>0.32839048399999998</v>
      </c>
      <c r="HL961" s="1660">
        <f t="shared" si="2000"/>
        <v>0.354267265</v>
      </c>
      <c r="HM961" s="1660">
        <f t="shared" si="2000"/>
        <v>0.333138343</v>
      </c>
      <c r="HN961" s="1660">
        <f t="shared" si="2000"/>
        <v>0.42217533499999998</v>
      </c>
      <c r="HO961" s="1660">
        <f t="shared" si="2000"/>
        <v>0.34271981800000001</v>
      </c>
      <c r="HP961" s="1660">
        <f t="shared" si="2000"/>
        <v>0.32193376499999998</v>
      </c>
      <c r="HQ961" s="1660">
        <f t="shared" si="2000"/>
        <v>0.360564249</v>
      </c>
      <c r="HR961" s="1660">
        <f t="shared" si="2000"/>
        <v>0.42768734800000002</v>
      </c>
      <c r="HS961" s="1660">
        <f t="shared" si="2000"/>
        <v>0.33597627000000002</v>
      </c>
      <c r="HT961" s="1660">
        <f t="shared" si="2000"/>
        <v>0.36545416600000002</v>
      </c>
      <c r="HU961" s="1660">
        <f t="shared" si="2000"/>
        <v>0.34723169300000001</v>
      </c>
      <c r="HV961" s="1660">
        <f t="shared" si="2000"/>
        <v>0.43619804000000001</v>
      </c>
      <c r="HW961" s="1660">
        <f t="shared" si="2000"/>
        <v>0.35899488699999998</v>
      </c>
      <c r="HX961" s="1660">
        <f t="shared" si="2000"/>
        <v>0.44006886504000003</v>
      </c>
      <c r="HY961" s="1660"/>
      <c r="HZ961" s="326"/>
      <c r="IA961" s="335" t="s">
        <v>3115</v>
      </c>
      <c r="IB961" s="284"/>
      <c r="ID961" s="323"/>
      <c r="IG961" s="323"/>
      <c r="IH961" s="284"/>
      <c r="IJ961" s="323"/>
      <c r="IK961" s="327"/>
      <c r="IM961" s="323"/>
      <c r="IP961" s="323"/>
      <c r="IQ961" s="327"/>
      <c r="IR961" s="327"/>
      <c r="IS961" s="323"/>
      <c r="IT961" s="327"/>
      <c r="IU961" s="327"/>
      <c r="IV961" s="323"/>
      <c r="IW961" s="327">
        <f>SUM(FK961:FP961)</f>
        <v>0</v>
      </c>
      <c r="IX961" s="327">
        <f t="shared" si="1963"/>
        <v>0</v>
      </c>
      <c r="IY961" s="323">
        <f t="shared" si="1991"/>
        <v>0</v>
      </c>
      <c r="IZ961" s="327">
        <f t="shared" si="1921"/>
        <v>0</v>
      </c>
      <c r="JA961" s="327">
        <f t="shared" si="1922"/>
        <v>0</v>
      </c>
      <c r="JB961" s="323">
        <f t="shared" si="1823"/>
        <v>0</v>
      </c>
      <c r="JC961" s="327">
        <f t="shared" si="1923"/>
        <v>1.5597739790000003</v>
      </c>
      <c r="JD961" s="327">
        <f t="shared" si="1924"/>
        <v>1.5184805909999999</v>
      </c>
      <c r="JE961" s="323">
        <f t="shared" si="1945"/>
        <v>3.0782545700000004</v>
      </c>
      <c r="JF961" s="327">
        <f t="shared" si="1964"/>
        <v>1.693288428</v>
      </c>
      <c r="JG961" s="327">
        <f t="shared" si="1965"/>
        <v>1.9946372659999998</v>
      </c>
      <c r="JH961" s="323">
        <f t="shared" si="1944"/>
        <v>3.6879256939999996</v>
      </c>
      <c r="JI961" s="327">
        <f t="shared" si="1993"/>
        <v>2.0874239370000001</v>
      </c>
      <c r="JJ961" s="327">
        <f t="shared" si="1871"/>
        <v>2.208218858</v>
      </c>
      <c r="JK961" s="323">
        <f t="shared" si="1933"/>
        <v>4.295642795</v>
      </c>
      <c r="JL961" s="327">
        <f t="shared" si="1946"/>
        <v>2.2839239210400004</v>
      </c>
      <c r="JM961" s="327">
        <f t="shared" si="1967"/>
        <v>2.4768531553759257</v>
      </c>
      <c r="JN961" s="323">
        <f>FISC!AK1282</f>
        <v>4.7607770764159261</v>
      </c>
      <c r="JO961" s="327">
        <f t="shared" si="1968"/>
        <v>2.4247574369945419</v>
      </c>
      <c r="JP961" s="327">
        <f t="shared" si="1969"/>
        <v>2.4247574369945419</v>
      </c>
      <c r="JQ961" s="323">
        <f>FISC!AL1282</f>
        <v>4.8495148739890839</v>
      </c>
      <c r="JR961" s="327">
        <f t="shared" si="1970"/>
        <v>2.8423468490179529</v>
      </c>
      <c r="JS961" s="327">
        <f t="shared" si="1971"/>
        <v>2.8423468490179529</v>
      </c>
      <c r="JT961" s="323">
        <f>FISC!AM1282</f>
        <v>5.6846936980359057</v>
      </c>
      <c r="JU961" s="327">
        <f t="shared" si="1972"/>
        <v>3.05</v>
      </c>
      <c r="JV961" s="327">
        <f t="shared" si="1973"/>
        <v>3.05</v>
      </c>
      <c r="JW961" s="323">
        <f>FISC!AN1282</f>
        <v>6.1</v>
      </c>
      <c r="JX961" s="327">
        <f t="shared" si="1974"/>
        <v>3.05</v>
      </c>
      <c r="JY961" s="327">
        <f t="shared" si="1975"/>
        <v>3.05</v>
      </c>
      <c r="JZ961" s="323">
        <f>FISC!AO1282</f>
        <v>6.1</v>
      </c>
      <c r="KA961" s="327">
        <f t="shared" si="1976"/>
        <v>3.05</v>
      </c>
      <c r="KB961" s="327">
        <f t="shared" si="1977"/>
        <v>3.05</v>
      </c>
      <c r="KC961" s="323">
        <f>FISC!AP1282</f>
        <v>6.1</v>
      </c>
      <c r="KD961" s="327">
        <f t="shared" si="1978"/>
        <v>3.05</v>
      </c>
      <c r="KE961" s="327">
        <f t="shared" si="1979"/>
        <v>3.05</v>
      </c>
      <c r="KF961" s="323">
        <f>FISC!AQ1282</f>
        <v>6.1</v>
      </c>
      <c r="KG961" s="327">
        <f t="shared" si="1980"/>
        <v>3.05</v>
      </c>
      <c r="KH961" s="327">
        <f t="shared" si="1981"/>
        <v>3.05</v>
      </c>
      <c r="KI961" s="323">
        <f>FISC!AR1282</f>
        <v>6.1</v>
      </c>
      <c r="KJ961" s="327">
        <f t="shared" si="1982"/>
        <v>3.05</v>
      </c>
      <c r="KK961" s="327">
        <f t="shared" si="1983"/>
        <v>3.05</v>
      </c>
      <c r="KL961" s="323">
        <f>FISC!AS1282</f>
        <v>6.1</v>
      </c>
      <c r="KM961" s="327">
        <f t="shared" si="1984"/>
        <v>3.05</v>
      </c>
      <c r="KN961" s="327">
        <f t="shared" si="1985"/>
        <v>3.05</v>
      </c>
      <c r="KO961" s="323">
        <f>FISC!AT1282</f>
        <v>6.1</v>
      </c>
      <c r="KU961" s="326"/>
      <c r="KV961" s="327"/>
    </row>
    <row r="962" spans="1:308">
      <c r="A962" s="279"/>
      <c r="D962" s="1497" t="s">
        <v>3149</v>
      </c>
      <c r="E962" s="323"/>
      <c r="F962" s="323"/>
      <c r="G962" s="323"/>
      <c r="H962" s="323"/>
      <c r="I962" s="323"/>
      <c r="J962" s="323"/>
      <c r="K962" s="323"/>
      <c r="L962" s="323"/>
      <c r="M962" s="323"/>
      <c r="N962" s="323"/>
      <c r="O962" s="323"/>
      <c r="P962" s="323"/>
      <c r="Q962" s="323"/>
      <c r="R962" s="323"/>
      <c r="S962" s="323"/>
      <c r="T962" s="323"/>
      <c r="U962" s="323"/>
      <c r="V962" s="323"/>
      <c r="W962" s="323"/>
      <c r="X962" s="323"/>
      <c r="Y962" s="323"/>
      <c r="Z962" s="323"/>
      <c r="AA962" s="323"/>
      <c r="AB962" s="323"/>
      <c r="AC962" s="323"/>
      <c r="AD962" s="323"/>
      <c r="AE962" s="323"/>
      <c r="AF962" s="323"/>
      <c r="AG962" s="323"/>
      <c r="AH962" s="323"/>
      <c r="AI962" s="323"/>
      <c r="AJ962" s="323"/>
      <c r="AK962" s="323"/>
      <c r="AL962" s="323"/>
      <c r="AM962" s="323"/>
      <c r="AN962" s="323"/>
      <c r="AO962" s="323"/>
      <c r="AP962" s="323"/>
      <c r="AQ962" s="323"/>
      <c r="AR962" s="323"/>
      <c r="AS962" s="323"/>
      <c r="AT962" s="323"/>
      <c r="AU962" s="323"/>
      <c r="AV962" s="323"/>
      <c r="AW962" s="323"/>
      <c r="AX962" s="323"/>
      <c r="AY962" s="323"/>
      <c r="AZ962" s="323"/>
      <c r="BA962" s="323"/>
      <c r="BB962" s="323"/>
      <c r="BC962" s="323"/>
      <c r="BD962" s="323"/>
      <c r="BE962" s="323"/>
      <c r="BF962" s="323"/>
      <c r="BG962" s="323"/>
      <c r="BH962" s="323"/>
      <c r="BI962" s="323"/>
      <c r="BJ962" s="323"/>
      <c r="BK962" s="323"/>
      <c r="BL962" s="323"/>
      <c r="BM962" s="323"/>
      <c r="BN962" s="323"/>
      <c r="BO962" s="323"/>
      <c r="BP962" s="323"/>
      <c r="BQ962" s="323"/>
      <c r="BR962" s="323"/>
      <c r="BS962" s="323"/>
      <c r="BT962" s="323"/>
      <c r="BU962" s="323"/>
      <c r="BV962" s="323"/>
      <c r="BW962" s="323"/>
      <c r="BX962" s="323"/>
      <c r="BY962" s="323"/>
      <c r="BZ962" s="323"/>
      <c r="CA962" s="323"/>
      <c r="CB962" s="323"/>
      <c r="CC962" s="323"/>
      <c r="CD962" s="329"/>
      <c r="CE962" s="323"/>
      <c r="CF962" s="323"/>
      <c r="CG962" s="323"/>
      <c r="CH962" s="323"/>
      <c r="CI962" s="323"/>
      <c r="CJ962" s="323"/>
      <c r="CK962" s="323"/>
      <c r="CL962" s="323"/>
      <c r="CM962" s="323"/>
      <c r="CN962" s="323"/>
      <c r="CO962" s="323"/>
      <c r="CP962" s="325"/>
      <c r="CQ962" s="323"/>
      <c r="CR962" s="323"/>
      <c r="CS962" s="323"/>
      <c r="CT962" s="323"/>
      <c r="CU962" s="323"/>
      <c r="CV962" s="323"/>
      <c r="CW962" s="323"/>
      <c r="CX962" s="323"/>
      <c r="CY962" s="323"/>
      <c r="CZ962" s="323"/>
      <c r="DA962" s="323"/>
      <c r="DB962" s="1269"/>
      <c r="DC962" s="323"/>
      <c r="DD962" s="323"/>
      <c r="DE962" s="323"/>
      <c r="DF962" s="323"/>
      <c r="DG962" s="323"/>
      <c r="DH962" s="323"/>
      <c r="DI962" s="323"/>
      <c r="DJ962" s="323"/>
      <c r="DK962" s="323"/>
      <c r="DL962" s="323"/>
      <c r="DM962" s="323"/>
      <c r="DN962" s="325"/>
      <c r="DO962" s="323"/>
      <c r="DP962" s="323"/>
      <c r="DQ962" s="323"/>
      <c r="DR962" s="323"/>
      <c r="DS962" s="323"/>
      <c r="DT962" s="323"/>
      <c r="DU962" s="323"/>
      <c r="DV962" s="323"/>
      <c r="DW962" s="323"/>
      <c r="DX962" s="323"/>
      <c r="DY962" s="323"/>
      <c r="DZ962" s="325"/>
      <c r="EA962" s="323"/>
      <c r="EB962" s="323"/>
      <c r="EC962" s="323"/>
      <c r="ED962" s="323"/>
      <c r="EE962" s="323"/>
      <c r="EF962" s="323"/>
      <c r="EG962" s="323"/>
      <c r="EH962" s="323"/>
      <c r="EI962" s="323"/>
      <c r="EJ962" s="323"/>
      <c r="EK962" s="323"/>
      <c r="EL962" s="325"/>
      <c r="EM962" s="323"/>
      <c r="EN962" s="323"/>
      <c r="EO962" s="323"/>
      <c r="EP962" s="323"/>
      <c r="EQ962" s="323"/>
      <c r="ER962" s="323"/>
      <c r="ES962" s="323"/>
      <c r="ET962" s="323"/>
      <c r="EU962" s="323"/>
      <c r="EV962" s="323"/>
      <c r="EW962" s="323"/>
      <c r="EX962" s="325"/>
      <c r="EY962" s="323">
        <f t="shared" ref="EY962:GD962" si="2001">EY796</f>
        <v>0</v>
      </c>
      <c r="EZ962" s="323">
        <f t="shared" si="2001"/>
        <v>0</v>
      </c>
      <c r="FA962" s="323">
        <f t="shared" si="2001"/>
        <v>0</v>
      </c>
      <c r="FB962" s="323">
        <f t="shared" si="2001"/>
        <v>0</v>
      </c>
      <c r="FC962" s="323">
        <f t="shared" si="2001"/>
        <v>0</v>
      </c>
      <c r="FD962" s="323">
        <f t="shared" si="2001"/>
        <v>0</v>
      </c>
      <c r="FE962" s="323">
        <f t="shared" si="2001"/>
        <v>0</v>
      </c>
      <c r="FF962" s="323">
        <f t="shared" si="2001"/>
        <v>0</v>
      </c>
      <c r="FG962" s="323">
        <f t="shared" si="2001"/>
        <v>0</v>
      </c>
      <c r="FH962" s="323">
        <f t="shared" si="2001"/>
        <v>0</v>
      </c>
      <c r="FI962" s="323">
        <f t="shared" si="2001"/>
        <v>0</v>
      </c>
      <c r="FJ962" s="325">
        <f t="shared" si="2001"/>
        <v>0</v>
      </c>
      <c r="FK962" s="323">
        <f t="shared" si="2001"/>
        <v>0</v>
      </c>
      <c r="FL962" s="323">
        <f t="shared" si="2001"/>
        <v>0</v>
      </c>
      <c r="FM962" s="323">
        <f t="shared" si="2001"/>
        <v>0</v>
      </c>
      <c r="FN962" s="323">
        <f t="shared" si="2001"/>
        <v>0</v>
      </c>
      <c r="FO962" s="323">
        <f t="shared" si="2001"/>
        <v>0</v>
      </c>
      <c r="FP962" s="323">
        <f t="shared" si="2001"/>
        <v>0</v>
      </c>
      <c r="FQ962" s="323">
        <f t="shared" si="2001"/>
        <v>0</v>
      </c>
      <c r="FR962" s="323">
        <f t="shared" si="2001"/>
        <v>0</v>
      </c>
      <c r="FS962" s="323">
        <f t="shared" si="2001"/>
        <v>0</v>
      </c>
      <c r="FT962" s="323">
        <f t="shared" si="2001"/>
        <v>0</v>
      </c>
      <c r="FU962" s="323">
        <f t="shared" si="2001"/>
        <v>0</v>
      </c>
      <c r="FV962" s="323">
        <f t="shared" si="2001"/>
        <v>0</v>
      </c>
      <c r="FW962" s="323">
        <f t="shared" si="2001"/>
        <v>0.151499141</v>
      </c>
      <c r="FX962" s="323">
        <f t="shared" si="2001"/>
        <v>0.17055729</v>
      </c>
      <c r="FY962" s="323">
        <f t="shared" si="2001"/>
        <v>0.17473365900000001</v>
      </c>
      <c r="FZ962" s="323">
        <f t="shared" si="2001"/>
        <v>0.174869108</v>
      </c>
      <c r="GA962" s="323">
        <f t="shared" si="2001"/>
        <v>0.168777448</v>
      </c>
      <c r="GB962" s="323">
        <f t="shared" si="2001"/>
        <v>0.18668902400000001</v>
      </c>
      <c r="GC962" s="323">
        <f t="shared" si="2001"/>
        <v>0.19409479399999999</v>
      </c>
      <c r="GD962" s="323">
        <f t="shared" si="2001"/>
        <v>0.17683579099999999</v>
      </c>
      <c r="GE962" s="323">
        <f t="shared" ref="GE962:HL962" si="2002">GE796</f>
        <v>0.19785641300000001</v>
      </c>
      <c r="GF962" s="323">
        <f t="shared" si="2002"/>
        <v>0.20060424399999999</v>
      </c>
      <c r="GG962" s="323">
        <f t="shared" si="2002"/>
        <v>0.227485671</v>
      </c>
      <c r="GH962" s="323">
        <f t="shared" si="2002"/>
        <v>0.28658639400000002</v>
      </c>
      <c r="GI962" s="1654">
        <f t="shared" si="2002"/>
        <v>0.239341902</v>
      </c>
      <c r="GJ962" s="1654">
        <f t="shared" si="2002"/>
        <v>0.28002997600000001</v>
      </c>
      <c r="GK962" s="1654">
        <f t="shared" si="2002"/>
        <v>0.271350231</v>
      </c>
      <c r="GL962" s="1654">
        <f t="shared" si="2002"/>
        <v>0.236687542</v>
      </c>
      <c r="GM962" s="1654">
        <f t="shared" si="2002"/>
        <v>0.25746289900000002</v>
      </c>
      <c r="GN962" s="1654">
        <f t="shared" si="2002"/>
        <v>0.27490142899999997</v>
      </c>
      <c r="GO962" s="1654">
        <f t="shared" si="2002"/>
        <v>0.25368069700000001</v>
      </c>
      <c r="GP962" s="1654">
        <f t="shared" si="2002"/>
        <v>0.23767899100000001</v>
      </c>
      <c r="GQ962" s="1654">
        <f t="shared" si="2002"/>
        <v>0.26934907299999999</v>
      </c>
      <c r="GR962" s="1654">
        <f t="shared" si="2002"/>
        <v>0.181288001</v>
      </c>
      <c r="GS962" s="1654">
        <f t="shared" si="2002"/>
        <v>0.292236985</v>
      </c>
      <c r="GT962" s="1654">
        <f t="shared" si="2002"/>
        <v>0.284246844</v>
      </c>
      <c r="GU962" s="1654">
        <f t="shared" si="2002"/>
        <v>0.26954578499999998</v>
      </c>
      <c r="GV962" s="1654">
        <f t="shared" si="2002"/>
        <v>0.27515811400000001</v>
      </c>
      <c r="GW962" s="1654">
        <f t="shared" si="2002"/>
        <v>0.273028508</v>
      </c>
      <c r="GX962" s="1654">
        <f t="shared" si="2002"/>
        <v>0.281283269</v>
      </c>
      <c r="GY962" s="1654">
        <f t="shared" si="2002"/>
        <v>0.28033565500000002</v>
      </c>
      <c r="GZ962" s="1654">
        <f t="shared" si="2002"/>
        <v>0.313937097</v>
      </c>
      <c r="HA962" s="1654">
        <f t="shared" si="2002"/>
        <v>0.32739517299999998</v>
      </c>
      <c r="HB962" s="1654">
        <f t="shared" si="2002"/>
        <v>0.273230957</v>
      </c>
      <c r="HC962" s="1654">
        <f t="shared" si="2002"/>
        <v>0.31121012799999997</v>
      </c>
      <c r="HD962" s="1654">
        <f t="shared" si="2002"/>
        <v>0.34604845400000001</v>
      </c>
      <c r="HE962" s="1654">
        <f t="shared" si="2002"/>
        <v>0.34641095999999999</v>
      </c>
      <c r="HF962" s="1654">
        <f t="shared" si="2002"/>
        <v>0.39034159400000001</v>
      </c>
      <c r="HG962" s="1654">
        <f t="shared" si="2002"/>
        <v>0.35167994200000002</v>
      </c>
      <c r="HH962" s="1654">
        <f t="shared" si="2002"/>
        <v>0.37136045600000001</v>
      </c>
      <c r="HI962" s="1654">
        <f t="shared" si="2002"/>
        <v>0.34176325600000002</v>
      </c>
      <c r="HJ962" s="1654">
        <f t="shared" si="2002"/>
        <v>0.33996253399999998</v>
      </c>
      <c r="HK962" s="1654">
        <f t="shared" si="2002"/>
        <v>0.32839048399999998</v>
      </c>
      <c r="HL962" s="1654">
        <f t="shared" si="2002"/>
        <v>0.354267265</v>
      </c>
      <c r="HM962" s="1654">
        <f t="shared" ref="HM962:HR962" si="2003">HM796</f>
        <v>0.333138343</v>
      </c>
      <c r="HN962" s="1654">
        <f t="shared" si="2003"/>
        <v>0.42217533499999998</v>
      </c>
      <c r="HO962" s="1654">
        <f t="shared" si="2003"/>
        <v>0.34271981800000001</v>
      </c>
      <c r="HP962" s="1654">
        <f t="shared" si="2003"/>
        <v>0.32193376499999998</v>
      </c>
      <c r="HQ962" s="1654">
        <f t="shared" si="2003"/>
        <v>0.360564249</v>
      </c>
      <c r="HR962" s="1654">
        <f t="shared" si="2003"/>
        <v>0.42768734800000002</v>
      </c>
      <c r="HS962" s="1654">
        <f t="shared" ref="HS962:HX962" si="2004">HS796</f>
        <v>0.33597627000000002</v>
      </c>
      <c r="HT962" s="1654">
        <f t="shared" si="2004"/>
        <v>0.36545416600000002</v>
      </c>
      <c r="HU962" s="1654">
        <f t="shared" si="2004"/>
        <v>0.34723169300000001</v>
      </c>
      <c r="HV962" s="1654">
        <f t="shared" si="2004"/>
        <v>0.43619804000000001</v>
      </c>
      <c r="HW962" s="1654">
        <f t="shared" si="2004"/>
        <v>0.35899488699999998</v>
      </c>
      <c r="HX962" s="1654">
        <f t="shared" si="2004"/>
        <v>0.44006886504000003</v>
      </c>
      <c r="HY962" s="1654"/>
      <c r="HZ962" s="326"/>
      <c r="IA962" s="1497" t="s">
        <v>3149</v>
      </c>
      <c r="IB962" s="284"/>
      <c r="ID962" s="323"/>
      <c r="IG962" s="323"/>
      <c r="IH962" s="284"/>
      <c r="IJ962" s="323"/>
      <c r="IK962" s="327"/>
      <c r="IM962" s="323"/>
      <c r="IP962" s="323"/>
      <c r="IQ962" s="327"/>
      <c r="IR962" s="327"/>
      <c r="IS962" s="323"/>
      <c r="IT962" s="327"/>
      <c r="IU962" s="327"/>
      <c r="IV962" s="323"/>
      <c r="IW962" s="327">
        <v>0</v>
      </c>
      <c r="IX962" s="327">
        <f t="shared" si="1963"/>
        <v>0</v>
      </c>
      <c r="IY962" s="323">
        <f>IW962+IX962</f>
        <v>0</v>
      </c>
      <c r="IZ962" s="327">
        <f t="shared" si="1921"/>
        <v>1.0271256700000002</v>
      </c>
      <c r="JA962" s="327">
        <f t="shared" si="1922"/>
        <v>1.2834633069999999</v>
      </c>
      <c r="JB962" s="323">
        <f t="shared" si="1823"/>
        <v>2.3105889770000001</v>
      </c>
      <c r="JC962" s="327">
        <f t="shared" si="1923"/>
        <v>1.5597739790000003</v>
      </c>
      <c r="JD962" s="327">
        <f t="shared" si="1924"/>
        <v>1.5184805909999999</v>
      </c>
      <c r="JE962" s="323">
        <f t="shared" si="1945"/>
        <v>3.0782545700000004</v>
      </c>
      <c r="JF962" s="327">
        <f t="shared" si="1964"/>
        <v>1.693288428</v>
      </c>
      <c r="JG962" s="327">
        <f t="shared" si="1965"/>
        <v>1.9946372659999998</v>
      </c>
      <c r="JH962" s="323">
        <f t="shared" si="1944"/>
        <v>3.6879256939999996</v>
      </c>
      <c r="JI962" s="327">
        <f t="shared" si="1993"/>
        <v>2.0874239370000001</v>
      </c>
      <c r="JJ962" s="327">
        <f t="shared" si="1871"/>
        <v>2.208218858</v>
      </c>
      <c r="JK962" s="323">
        <f t="shared" si="1933"/>
        <v>4.295642795</v>
      </c>
      <c r="JL962" s="327">
        <f t="shared" si="1946"/>
        <v>2.2839239210400004</v>
      </c>
      <c r="JM962" s="327">
        <f t="shared" si="1967"/>
        <v>2.4768531553759257</v>
      </c>
      <c r="JN962" s="323">
        <f>FISC!AK1283</f>
        <v>4.7607770764159261</v>
      </c>
      <c r="JO962" s="327">
        <f t="shared" si="1968"/>
        <v>2.4247574369945419</v>
      </c>
      <c r="JP962" s="327">
        <f t="shared" si="1969"/>
        <v>2.4247574369945419</v>
      </c>
      <c r="JQ962" s="323">
        <f>FISC!AL1283</f>
        <v>4.8495148739890839</v>
      </c>
      <c r="JR962" s="327">
        <f t="shared" si="1970"/>
        <v>2.8423468490179529</v>
      </c>
      <c r="JS962" s="327">
        <f t="shared" si="1971"/>
        <v>2.8423468490179529</v>
      </c>
      <c r="JT962" s="323">
        <f>FISC!AM1283</f>
        <v>5.6846936980359057</v>
      </c>
      <c r="JU962" s="327">
        <f t="shared" si="1972"/>
        <v>3.05</v>
      </c>
      <c r="JV962" s="327">
        <f t="shared" si="1973"/>
        <v>3.05</v>
      </c>
      <c r="JW962" s="323">
        <f>FISC!AN1283</f>
        <v>6.1</v>
      </c>
      <c r="JX962" s="327">
        <f t="shared" si="1974"/>
        <v>3.05</v>
      </c>
      <c r="JY962" s="327">
        <f t="shared" si="1975"/>
        <v>3.05</v>
      </c>
      <c r="JZ962" s="323">
        <f>FISC!AO1283</f>
        <v>6.1</v>
      </c>
      <c r="KA962" s="327">
        <f t="shared" si="1976"/>
        <v>3.05</v>
      </c>
      <c r="KB962" s="327">
        <f t="shared" si="1977"/>
        <v>3.05</v>
      </c>
      <c r="KC962" s="323">
        <f>FISC!AP1283</f>
        <v>6.1</v>
      </c>
      <c r="KD962" s="327">
        <f t="shared" si="1978"/>
        <v>3.05</v>
      </c>
      <c r="KE962" s="327">
        <f t="shared" si="1979"/>
        <v>3.05</v>
      </c>
      <c r="KF962" s="323">
        <f>FISC!AQ1283</f>
        <v>6.1</v>
      </c>
      <c r="KG962" s="327">
        <f t="shared" si="1980"/>
        <v>3.05</v>
      </c>
      <c r="KH962" s="327">
        <f t="shared" si="1981"/>
        <v>3.05</v>
      </c>
      <c r="KI962" s="323">
        <f>FISC!AR1283</f>
        <v>6.1</v>
      </c>
      <c r="KJ962" s="327">
        <f t="shared" si="1982"/>
        <v>3.05</v>
      </c>
      <c r="KK962" s="327">
        <f t="shared" si="1983"/>
        <v>3.05</v>
      </c>
      <c r="KL962" s="323">
        <f>FISC!AS1283</f>
        <v>6.1</v>
      </c>
      <c r="KM962" s="327">
        <f t="shared" si="1984"/>
        <v>3.05</v>
      </c>
      <c r="KN962" s="327">
        <f t="shared" si="1985"/>
        <v>3.05</v>
      </c>
      <c r="KO962" s="323">
        <f>FISC!AT1283</f>
        <v>6.1</v>
      </c>
      <c r="KU962" s="326"/>
      <c r="KV962" s="327"/>
    </row>
    <row r="963" spans="1:308">
      <c r="A963" s="279"/>
      <c r="D963" s="1497" t="s">
        <v>3150</v>
      </c>
      <c r="E963" s="323"/>
      <c r="F963" s="323"/>
      <c r="G963" s="323"/>
      <c r="H963" s="323"/>
      <c r="I963" s="323"/>
      <c r="J963" s="323"/>
      <c r="K963" s="323"/>
      <c r="L963" s="323"/>
      <c r="M963" s="323"/>
      <c r="N963" s="323"/>
      <c r="O963" s="323"/>
      <c r="P963" s="323"/>
      <c r="Q963" s="323"/>
      <c r="R963" s="323"/>
      <c r="S963" s="323"/>
      <c r="T963" s="323"/>
      <c r="U963" s="323"/>
      <c r="V963" s="323"/>
      <c r="W963" s="323"/>
      <c r="X963" s="323"/>
      <c r="Y963" s="323"/>
      <c r="Z963" s="323"/>
      <c r="AA963" s="323"/>
      <c r="AB963" s="323"/>
      <c r="AC963" s="323"/>
      <c r="AD963" s="323"/>
      <c r="AE963" s="323"/>
      <c r="AF963" s="323"/>
      <c r="AG963" s="323"/>
      <c r="AH963" s="323"/>
      <c r="AI963" s="323"/>
      <c r="AJ963" s="323"/>
      <c r="AK963" s="323"/>
      <c r="AL963" s="323"/>
      <c r="AM963" s="323"/>
      <c r="AN963" s="323"/>
      <c r="AO963" s="323"/>
      <c r="AP963" s="323"/>
      <c r="AQ963" s="323"/>
      <c r="AR963" s="323"/>
      <c r="AS963" s="323"/>
      <c r="AT963" s="323"/>
      <c r="AU963" s="323"/>
      <c r="AV963" s="323"/>
      <c r="AW963" s="323"/>
      <c r="AX963" s="323"/>
      <c r="AY963" s="323"/>
      <c r="AZ963" s="323"/>
      <c r="BA963" s="323"/>
      <c r="BB963" s="323"/>
      <c r="BC963" s="323"/>
      <c r="BD963" s="323"/>
      <c r="BE963" s="323"/>
      <c r="BF963" s="323"/>
      <c r="BG963" s="323"/>
      <c r="BH963" s="323"/>
      <c r="BI963" s="323"/>
      <c r="BJ963" s="323"/>
      <c r="BK963" s="323"/>
      <c r="BL963" s="323"/>
      <c r="BM963" s="323"/>
      <c r="BN963" s="323"/>
      <c r="BO963" s="323"/>
      <c r="BP963" s="323"/>
      <c r="BQ963" s="323"/>
      <c r="BR963" s="323"/>
      <c r="BS963" s="323"/>
      <c r="BT963" s="323"/>
      <c r="BU963" s="323"/>
      <c r="BV963" s="323"/>
      <c r="BW963" s="323"/>
      <c r="BX963" s="323"/>
      <c r="BY963" s="323"/>
      <c r="BZ963" s="323"/>
      <c r="CA963" s="323"/>
      <c r="CB963" s="323"/>
      <c r="CC963" s="323"/>
      <c r="CD963" s="329"/>
      <c r="CE963" s="323"/>
      <c r="CF963" s="323"/>
      <c r="CG963" s="323"/>
      <c r="CH963" s="323"/>
      <c r="CI963" s="323"/>
      <c r="CJ963" s="323"/>
      <c r="CK963" s="323"/>
      <c r="CL963" s="323"/>
      <c r="CM963" s="323"/>
      <c r="CN963" s="323"/>
      <c r="CO963" s="323"/>
      <c r="CP963" s="325"/>
      <c r="CQ963" s="323"/>
      <c r="CR963" s="323"/>
      <c r="CS963" s="323"/>
      <c r="CT963" s="323"/>
      <c r="CU963" s="323"/>
      <c r="CV963" s="323"/>
      <c r="CW963" s="323"/>
      <c r="CX963" s="323"/>
      <c r="CY963" s="323"/>
      <c r="CZ963" s="323"/>
      <c r="DA963" s="323"/>
      <c r="DB963" s="1269"/>
      <c r="DC963" s="323"/>
      <c r="DD963" s="323"/>
      <c r="DE963" s="323"/>
      <c r="DF963" s="323"/>
      <c r="DG963" s="323"/>
      <c r="DH963" s="323"/>
      <c r="DI963" s="323"/>
      <c r="DJ963" s="323"/>
      <c r="DK963" s="323"/>
      <c r="DL963" s="323"/>
      <c r="DM963" s="323"/>
      <c r="DN963" s="325"/>
      <c r="DO963" s="323"/>
      <c r="DP963" s="323"/>
      <c r="DQ963" s="323"/>
      <c r="DR963" s="323"/>
      <c r="DS963" s="323"/>
      <c r="DT963" s="323"/>
      <c r="DU963" s="323"/>
      <c r="DV963" s="323"/>
      <c r="DW963" s="323"/>
      <c r="DX963" s="323"/>
      <c r="DY963" s="323"/>
      <c r="DZ963" s="325"/>
      <c r="EA963" s="323"/>
      <c r="EB963" s="323"/>
      <c r="EC963" s="323"/>
      <c r="ED963" s="323"/>
      <c r="EE963" s="323"/>
      <c r="EF963" s="323"/>
      <c r="EG963" s="323"/>
      <c r="EH963" s="323"/>
      <c r="EI963" s="323"/>
      <c r="EJ963" s="323"/>
      <c r="EK963" s="323"/>
      <c r="EL963" s="325"/>
      <c r="EM963" s="323"/>
      <c r="EN963" s="323"/>
      <c r="EO963" s="323"/>
      <c r="EP963" s="323"/>
      <c r="EQ963" s="323"/>
      <c r="ER963" s="323"/>
      <c r="ES963" s="323"/>
      <c r="ET963" s="323"/>
      <c r="EU963" s="323"/>
      <c r="EV963" s="323"/>
      <c r="EW963" s="323"/>
      <c r="EX963" s="325"/>
      <c r="EY963" s="323"/>
      <c r="EZ963" s="323"/>
      <c r="FA963" s="323"/>
      <c r="FB963" s="323"/>
      <c r="FC963" s="323"/>
      <c r="FD963" s="323"/>
      <c r="FE963" s="323"/>
      <c r="FF963" s="323"/>
      <c r="FG963" s="323"/>
      <c r="FH963" s="323"/>
      <c r="FI963" s="323"/>
      <c r="FJ963" s="325"/>
      <c r="FK963" s="323"/>
      <c r="FL963" s="323"/>
      <c r="FM963" s="323"/>
      <c r="FN963" s="323"/>
      <c r="FO963" s="323"/>
      <c r="FP963" s="323"/>
      <c r="FQ963" s="323"/>
      <c r="FR963" s="323"/>
      <c r="FS963" s="323"/>
      <c r="FT963" s="323"/>
      <c r="FU963" s="323"/>
      <c r="FV963" s="323"/>
      <c r="FW963" s="323"/>
      <c r="FX963" s="323"/>
      <c r="FY963" s="323"/>
      <c r="FZ963" s="323"/>
      <c r="GA963" s="323"/>
      <c r="GB963" s="323"/>
      <c r="GC963" s="323"/>
      <c r="GD963" s="323"/>
      <c r="GE963" s="323"/>
      <c r="GF963" s="323"/>
      <c r="GG963" s="323"/>
      <c r="GH963" s="323"/>
      <c r="GI963" s="1654"/>
      <c r="HZ963" s="326"/>
      <c r="IA963" s="1497" t="s">
        <v>3150</v>
      </c>
      <c r="IB963" s="284"/>
      <c r="ID963" s="323"/>
      <c r="IG963" s="323"/>
      <c r="IH963" s="284"/>
      <c r="IJ963" s="323"/>
      <c r="IK963" s="327"/>
      <c r="IM963" s="323"/>
      <c r="IP963" s="323"/>
      <c r="IQ963" s="327"/>
      <c r="IR963" s="327"/>
      <c r="IS963" s="323"/>
      <c r="IT963" s="327"/>
      <c r="IU963" s="327"/>
      <c r="IV963" s="323"/>
      <c r="IW963" s="327">
        <v>0</v>
      </c>
      <c r="IX963" s="327">
        <f t="shared" si="1963"/>
        <v>0</v>
      </c>
      <c r="IY963" s="323">
        <f t="shared" ref="IY963:IY1041" si="2005">IW963+IX963</f>
        <v>0</v>
      </c>
      <c r="IZ963" s="327">
        <f t="shared" si="1921"/>
        <v>0</v>
      </c>
      <c r="JA963" s="327">
        <f t="shared" si="1922"/>
        <v>0</v>
      </c>
      <c r="JB963" s="323">
        <f t="shared" si="1823"/>
        <v>0</v>
      </c>
      <c r="JC963" s="327">
        <f t="shared" si="1923"/>
        <v>0</v>
      </c>
      <c r="JD963" s="327">
        <f t="shared" si="1924"/>
        <v>0</v>
      </c>
      <c r="JE963" s="323">
        <f t="shared" si="1945"/>
        <v>0</v>
      </c>
      <c r="JF963" s="327">
        <f t="shared" si="1964"/>
        <v>0</v>
      </c>
      <c r="JG963" s="327">
        <f t="shared" si="1965"/>
        <v>0</v>
      </c>
      <c r="JH963" s="323">
        <f t="shared" si="1944"/>
        <v>0</v>
      </c>
      <c r="JI963" s="327">
        <f t="shared" si="1993"/>
        <v>0</v>
      </c>
      <c r="JJ963" s="327">
        <f t="shared" si="1871"/>
        <v>0</v>
      </c>
      <c r="JK963" s="323">
        <f t="shared" si="1933"/>
        <v>0</v>
      </c>
      <c r="JL963" s="327">
        <f t="shared" si="1946"/>
        <v>0</v>
      </c>
      <c r="JM963" s="327">
        <f t="shared" si="1967"/>
        <v>0</v>
      </c>
      <c r="JN963" s="323">
        <f>FISC!AK1284</f>
        <v>0</v>
      </c>
      <c r="JO963" s="327">
        <f t="shared" si="1968"/>
        <v>0</v>
      </c>
      <c r="JP963" s="327">
        <f t="shared" si="1969"/>
        <v>0</v>
      </c>
      <c r="JQ963" s="323">
        <f>FISC!AL1284</f>
        <v>0</v>
      </c>
      <c r="JR963" s="327">
        <f t="shared" si="1970"/>
        <v>0</v>
      </c>
      <c r="JS963" s="327">
        <f t="shared" si="1971"/>
        <v>0</v>
      </c>
      <c r="JT963" s="323">
        <f>FISC!AM1284</f>
        <v>0</v>
      </c>
      <c r="JU963" s="327">
        <f t="shared" si="1972"/>
        <v>0</v>
      </c>
      <c r="JV963" s="327">
        <f t="shared" si="1973"/>
        <v>0</v>
      </c>
      <c r="JW963" s="323">
        <f>FISC!AN1284</f>
        <v>0</v>
      </c>
      <c r="JX963" s="327">
        <f t="shared" si="1974"/>
        <v>0</v>
      </c>
      <c r="JY963" s="327">
        <f t="shared" si="1975"/>
        <v>0</v>
      </c>
      <c r="JZ963" s="323">
        <f>FISC!AO1284</f>
        <v>0</v>
      </c>
      <c r="KA963" s="327">
        <f t="shared" si="1976"/>
        <v>0</v>
      </c>
      <c r="KB963" s="327">
        <f t="shared" si="1977"/>
        <v>0</v>
      </c>
      <c r="KC963" s="323">
        <f>FISC!AP1284</f>
        <v>0</v>
      </c>
      <c r="KD963" s="327">
        <f t="shared" si="1978"/>
        <v>0</v>
      </c>
      <c r="KE963" s="327">
        <f t="shared" si="1979"/>
        <v>0</v>
      </c>
      <c r="KF963" s="323">
        <f>FISC!AQ1284</f>
        <v>0</v>
      </c>
      <c r="KG963" s="327">
        <f t="shared" si="1980"/>
        <v>0</v>
      </c>
      <c r="KH963" s="327">
        <f t="shared" si="1981"/>
        <v>0</v>
      </c>
      <c r="KI963" s="323">
        <f>FISC!AR1284</f>
        <v>0</v>
      </c>
      <c r="KJ963" s="327">
        <f t="shared" si="1982"/>
        <v>0</v>
      </c>
      <c r="KK963" s="327">
        <f t="shared" si="1983"/>
        <v>0</v>
      </c>
      <c r="KL963" s="323">
        <f>FISC!AS1284</f>
        <v>0</v>
      </c>
      <c r="KM963" s="327">
        <f t="shared" si="1984"/>
        <v>0</v>
      </c>
      <c r="KN963" s="327">
        <f t="shared" si="1985"/>
        <v>0</v>
      </c>
      <c r="KO963" s="323">
        <f>FISC!AT1284</f>
        <v>0</v>
      </c>
      <c r="KU963" s="326"/>
      <c r="KV963" s="327"/>
    </row>
    <row r="964" spans="1:308">
      <c r="A964" s="279"/>
      <c r="D964" s="1492" t="s">
        <v>3161</v>
      </c>
      <c r="E964" s="323"/>
      <c r="F964" s="323"/>
      <c r="G964" s="323"/>
      <c r="H964" s="323"/>
      <c r="I964" s="323"/>
      <c r="J964" s="323"/>
      <c r="K964" s="323"/>
      <c r="L964" s="323"/>
      <c r="M964" s="323"/>
      <c r="N964" s="323"/>
      <c r="O964" s="323"/>
      <c r="P964" s="323"/>
      <c r="Q964" s="323"/>
      <c r="R964" s="323"/>
      <c r="S964" s="323"/>
      <c r="T964" s="323"/>
      <c r="U964" s="323"/>
      <c r="V964" s="323"/>
      <c r="W964" s="323"/>
      <c r="X964" s="323"/>
      <c r="Y964" s="323"/>
      <c r="Z964" s="323"/>
      <c r="AA964" s="323"/>
      <c r="AB964" s="323"/>
      <c r="AC964" s="323"/>
      <c r="AD964" s="323"/>
      <c r="AE964" s="323"/>
      <c r="AF964" s="323"/>
      <c r="AG964" s="323"/>
      <c r="AH964" s="323"/>
      <c r="AI964" s="323"/>
      <c r="AJ964" s="323"/>
      <c r="AK964" s="323"/>
      <c r="AL964" s="323"/>
      <c r="AM964" s="323"/>
      <c r="AN964" s="323"/>
      <c r="AO964" s="323"/>
      <c r="AP964" s="323"/>
      <c r="AQ964" s="323"/>
      <c r="AR964" s="323"/>
      <c r="AS964" s="323"/>
      <c r="AT964" s="323"/>
      <c r="AU964" s="323"/>
      <c r="AV964" s="323"/>
      <c r="AW964" s="323"/>
      <c r="AX964" s="323"/>
      <c r="AY964" s="323"/>
      <c r="AZ964" s="323"/>
      <c r="BA964" s="323"/>
      <c r="BB964" s="323"/>
      <c r="BC964" s="323"/>
      <c r="BD964" s="323"/>
      <c r="BE964" s="323"/>
      <c r="BF964" s="323"/>
      <c r="BG964" s="323"/>
      <c r="BH964" s="323"/>
      <c r="BI964" s="323"/>
      <c r="BJ964" s="323"/>
      <c r="BK964" s="323"/>
      <c r="BL964" s="323"/>
      <c r="BM964" s="323"/>
      <c r="BN964" s="323"/>
      <c r="BO964" s="323"/>
      <c r="BP964" s="323"/>
      <c r="BQ964" s="323"/>
      <c r="BR964" s="323"/>
      <c r="BS964" s="323"/>
      <c r="BT964" s="323"/>
      <c r="BU964" s="323"/>
      <c r="BV964" s="323"/>
      <c r="BW964" s="323"/>
      <c r="BX964" s="323"/>
      <c r="BY964" s="323"/>
      <c r="BZ964" s="323"/>
      <c r="CA964" s="323"/>
      <c r="CB964" s="323"/>
      <c r="CC964" s="323"/>
      <c r="CD964" s="329"/>
      <c r="CE964" s="323"/>
      <c r="CF964" s="323"/>
      <c r="CG964" s="323"/>
      <c r="CH964" s="323"/>
      <c r="CI964" s="323"/>
      <c r="CJ964" s="323"/>
      <c r="CK964" s="323"/>
      <c r="CL964" s="323"/>
      <c r="CM964" s="323"/>
      <c r="CN964" s="323"/>
      <c r="CO964" s="323"/>
      <c r="CP964" s="325"/>
      <c r="CQ964" s="323"/>
      <c r="CR964" s="323"/>
      <c r="CS964" s="323"/>
      <c r="CT964" s="323"/>
      <c r="CU964" s="323"/>
      <c r="CV964" s="323"/>
      <c r="CW964" s="323"/>
      <c r="CX964" s="323"/>
      <c r="CY964" s="323"/>
      <c r="CZ964" s="323"/>
      <c r="DA964" s="323"/>
      <c r="DB964" s="1269"/>
      <c r="DC964" s="323"/>
      <c r="DD964" s="323"/>
      <c r="DE964" s="323"/>
      <c r="DF964" s="323"/>
      <c r="DG964" s="323"/>
      <c r="DH964" s="323"/>
      <c r="DI964" s="323"/>
      <c r="DJ964" s="323"/>
      <c r="DK964" s="323"/>
      <c r="DL964" s="323"/>
      <c r="DM964" s="323"/>
      <c r="DN964" s="325"/>
      <c r="DO964" s="323"/>
      <c r="DP964" s="323"/>
      <c r="DQ964" s="323"/>
      <c r="DR964" s="323"/>
      <c r="DS964" s="323"/>
      <c r="DT964" s="323"/>
      <c r="DU964" s="323"/>
      <c r="DV964" s="323"/>
      <c r="DW964" s="323"/>
      <c r="DX964" s="323"/>
      <c r="DY964" s="323"/>
      <c r="DZ964" s="325"/>
      <c r="EA964" s="323"/>
      <c r="EB964" s="323"/>
      <c r="EC964" s="323"/>
      <c r="ED964" s="323"/>
      <c r="EE964" s="323"/>
      <c r="EF964" s="323"/>
      <c r="EG964" s="323"/>
      <c r="EH964" s="323"/>
      <c r="EI964" s="323"/>
      <c r="EJ964" s="323"/>
      <c r="EK964" s="323"/>
      <c r="EL964" s="325"/>
      <c r="EM964" s="323"/>
      <c r="EN964" s="323"/>
      <c r="EO964" s="323"/>
      <c r="EP964" s="323"/>
      <c r="EQ964" s="323"/>
      <c r="ER964" s="323"/>
      <c r="ES964" s="323"/>
      <c r="ET964" s="323"/>
      <c r="EU964" s="323"/>
      <c r="EV964" s="323"/>
      <c r="EW964" s="323"/>
      <c r="EX964" s="325"/>
      <c r="EY964" s="323"/>
      <c r="EZ964" s="323"/>
      <c r="FA964" s="323"/>
      <c r="FB964" s="323"/>
      <c r="FC964" s="323"/>
      <c r="FD964" s="323"/>
      <c r="FE964" s="323"/>
      <c r="FF964" s="323"/>
      <c r="FG964" s="323"/>
      <c r="FH964" s="323"/>
      <c r="FI964" s="323"/>
      <c r="FJ964" s="325"/>
      <c r="FK964" s="323"/>
      <c r="FL964" s="323"/>
      <c r="FM964" s="323"/>
      <c r="FN964" s="323"/>
      <c r="FO964" s="323"/>
      <c r="FP964" s="323"/>
      <c r="FQ964" s="323"/>
      <c r="FR964" s="323"/>
      <c r="FS964" s="323"/>
      <c r="FT964" s="323"/>
      <c r="FU964" s="323"/>
      <c r="FV964" s="323"/>
      <c r="FW964" s="323"/>
      <c r="FX964" s="323"/>
      <c r="FY964" s="323"/>
      <c r="FZ964" s="323"/>
      <c r="GA964" s="323"/>
      <c r="GB964" s="323"/>
      <c r="GC964" s="323"/>
      <c r="GD964" s="323"/>
      <c r="GE964" s="323"/>
      <c r="GF964" s="323"/>
      <c r="GG964" s="323"/>
      <c r="GH964" s="323"/>
      <c r="GI964" s="1654"/>
      <c r="HZ964" s="326"/>
      <c r="IA964" s="1492" t="s">
        <v>3161</v>
      </c>
      <c r="IB964" s="284"/>
      <c r="ID964" s="323"/>
      <c r="IG964" s="323"/>
      <c r="IH964" s="284"/>
      <c r="IJ964" s="323"/>
      <c r="IK964" s="327"/>
      <c r="IM964" s="323"/>
      <c r="IP964" s="323"/>
      <c r="IQ964" s="327"/>
      <c r="IR964" s="327"/>
      <c r="IS964" s="323"/>
      <c r="IT964" s="327"/>
      <c r="IU964" s="327"/>
      <c r="IV964" s="323"/>
      <c r="IW964" s="327">
        <v>0</v>
      </c>
      <c r="IX964" s="327">
        <f t="shared" si="1963"/>
        <v>0</v>
      </c>
      <c r="IY964" s="323">
        <f t="shared" si="2005"/>
        <v>0</v>
      </c>
      <c r="IZ964" s="327">
        <f t="shared" si="1921"/>
        <v>0</v>
      </c>
      <c r="JA964" s="327">
        <f t="shared" si="1922"/>
        <v>0</v>
      </c>
      <c r="JB964" s="323">
        <f t="shared" si="1823"/>
        <v>0</v>
      </c>
      <c r="JC964" s="327">
        <f t="shared" si="1923"/>
        <v>0</v>
      </c>
      <c r="JD964" s="327">
        <f t="shared" si="1924"/>
        <v>0</v>
      </c>
      <c r="JE964" s="323">
        <f t="shared" si="1945"/>
        <v>0</v>
      </c>
      <c r="JF964" s="327">
        <f t="shared" si="1964"/>
        <v>0</v>
      </c>
      <c r="JG964" s="327">
        <f t="shared" si="1965"/>
        <v>0</v>
      </c>
      <c r="JH964" s="323">
        <f t="shared" si="1944"/>
        <v>0</v>
      </c>
      <c r="JI964" s="327">
        <f t="shared" si="1993"/>
        <v>0</v>
      </c>
      <c r="JJ964" s="327">
        <f t="shared" si="1871"/>
        <v>0</v>
      </c>
      <c r="JK964" s="323">
        <f t="shared" si="1933"/>
        <v>0</v>
      </c>
      <c r="JL964" s="327">
        <f t="shared" si="1946"/>
        <v>0</v>
      </c>
      <c r="JM964" s="327">
        <f t="shared" si="1967"/>
        <v>0</v>
      </c>
      <c r="JN964" s="323">
        <f>FISC!AK1285</f>
        <v>0</v>
      </c>
      <c r="JO964" s="327">
        <f t="shared" si="1968"/>
        <v>0</v>
      </c>
      <c r="JP964" s="327">
        <f t="shared" si="1969"/>
        <v>0</v>
      </c>
      <c r="JQ964" s="323">
        <f>FISC!AL1285</f>
        <v>0</v>
      </c>
      <c r="JR964" s="327">
        <f t="shared" si="1970"/>
        <v>0</v>
      </c>
      <c r="JS964" s="327">
        <f t="shared" si="1971"/>
        <v>0</v>
      </c>
      <c r="JT964" s="323">
        <f>FISC!AM1285</f>
        <v>0</v>
      </c>
      <c r="JU964" s="327">
        <f t="shared" si="1972"/>
        <v>0</v>
      </c>
      <c r="JV964" s="327">
        <f t="shared" si="1973"/>
        <v>0</v>
      </c>
      <c r="JW964" s="323">
        <f>FISC!AN1285</f>
        <v>0</v>
      </c>
      <c r="JX964" s="327">
        <f t="shared" si="1974"/>
        <v>0</v>
      </c>
      <c r="JY964" s="327">
        <f t="shared" si="1975"/>
        <v>0</v>
      </c>
      <c r="JZ964" s="323">
        <f>FISC!AO1285</f>
        <v>0</v>
      </c>
      <c r="KA964" s="327">
        <f t="shared" si="1976"/>
        <v>0</v>
      </c>
      <c r="KB964" s="327">
        <f t="shared" si="1977"/>
        <v>0</v>
      </c>
      <c r="KC964" s="323">
        <f>FISC!AP1285</f>
        <v>0</v>
      </c>
      <c r="KD964" s="327">
        <f t="shared" si="1978"/>
        <v>0</v>
      </c>
      <c r="KE964" s="327">
        <f t="shared" si="1979"/>
        <v>0</v>
      </c>
      <c r="KF964" s="323">
        <f>FISC!AQ1285</f>
        <v>0</v>
      </c>
      <c r="KG964" s="327">
        <f t="shared" si="1980"/>
        <v>0</v>
      </c>
      <c r="KH964" s="327">
        <f t="shared" si="1981"/>
        <v>0</v>
      </c>
      <c r="KI964" s="323">
        <f>FISC!AR1285</f>
        <v>0</v>
      </c>
      <c r="KJ964" s="327">
        <f t="shared" si="1982"/>
        <v>0</v>
      </c>
      <c r="KK964" s="327">
        <f t="shared" si="1983"/>
        <v>0</v>
      </c>
      <c r="KL964" s="323">
        <f>FISC!AS1285</f>
        <v>0</v>
      </c>
      <c r="KM964" s="327">
        <f t="shared" si="1984"/>
        <v>0</v>
      </c>
      <c r="KN964" s="327">
        <f t="shared" si="1985"/>
        <v>0</v>
      </c>
      <c r="KO964" s="323">
        <f>FISC!AT1285</f>
        <v>0</v>
      </c>
      <c r="KU964" s="326"/>
      <c r="KV964" s="327"/>
    </row>
    <row r="965" spans="1:308">
      <c r="A965" s="279"/>
      <c r="B965" s="96" t="s">
        <v>338</v>
      </c>
      <c r="D965" s="335" t="s">
        <v>566</v>
      </c>
      <c r="E965" s="323"/>
      <c r="F965" s="323"/>
      <c r="G965" s="323"/>
      <c r="H965" s="323"/>
      <c r="I965" s="323"/>
      <c r="J965" s="323"/>
      <c r="K965" s="323"/>
      <c r="L965" s="323"/>
      <c r="M965" s="323"/>
      <c r="N965" s="323"/>
      <c r="O965" s="323"/>
      <c r="P965" s="323"/>
      <c r="Q965" s="323"/>
      <c r="R965" s="323"/>
      <c r="S965" s="323"/>
      <c r="T965" s="323"/>
      <c r="U965" s="323"/>
      <c r="V965" s="323"/>
      <c r="W965" s="323"/>
      <c r="X965" s="323"/>
      <c r="Y965" s="323"/>
      <c r="Z965" s="323"/>
      <c r="AA965" s="323"/>
      <c r="AB965" s="323"/>
      <c r="AC965" s="323"/>
      <c r="AD965" s="323"/>
      <c r="AE965" s="323"/>
      <c r="AF965" s="323"/>
      <c r="AG965" s="323"/>
      <c r="AH965" s="323"/>
      <c r="AI965" s="323"/>
      <c r="AJ965" s="323"/>
      <c r="AK965" s="323"/>
      <c r="AL965" s="323"/>
      <c r="AM965" s="323"/>
      <c r="AN965" s="323"/>
      <c r="AO965" s="323"/>
      <c r="AP965" s="323"/>
      <c r="AQ965" s="323"/>
      <c r="AR965" s="323"/>
      <c r="AS965" s="323"/>
      <c r="AT965" s="323"/>
      <c r="AU965" s="323"/>
      <c r="AV965" s="323"/>
      <c r="AW965" s="323"/>
      <c r="AX965" s="323"/>
      <c r="AY965" s="323"/>
      <c r="AZ965" s="323"/>
      <c r="BA965" s="323"/>
      <c r="BB965" s="323"/>
      <c r="BC965" s="323"/>
      <c r="BD965" s="323"/>
      <c r="BE965" s="323"/>
      <c r="BF965" s="323"/>
      <c r="BG965" s="323"/>
      <c r="BH965" s="323"/>
      <c r="BI965" s="323"/>
      <c r="BJ965" s="323"/>
      <c r="BK965" s="323"/>
      <c r="BL965" s="323"/>
      <c r="BM965" s="323"/>
      <c r="BN965" s="323"/>
      <c r="BO965" s="323"/>
      <c r="BP965" s="323"/>
      <c r="BQ965" s="323"/>
      <c r="BR965" s="323"/>
      <c r="BS965" s="323"/>
      <c r="BT965" s="323"/>
      <c r="BU965" s="323"/>
      <c r="BV965" s="323"/>
      <c r="BW965" s="323"/>
      <c r="BX965" s="323"/>
      <c r="BY965" s="323"/>
      <c r="BZ965" s="323"/>
      <c r="CA965" s="323"/>
      <c r="CB965" s="323"/>
      <c r="CC965" s="323"/>
      <c r="CD965" s="329"/>
      <c r="CE965" s="323">
        <v>0</v>
      </c>
      <c r="CF965" s="323">
        <v>0</v>
      </c>
      <c r="CG965" s="323">
        <v>0</v>
      </c>
      <c r="CH965" s="323">
        <v>0</v>
      </c>
      <c r="CI965" s="323">
        <v>0</v>
      </c>
      <c r="CJ965" s="323">
        <v>0</v>
      </c>
      <c r="CK965" s="323">
        <v>0</v>
      </c>
      <c r="CL965" s="323">
        <v>0</v>
      </c>
      <c r="CM965" s="323">
        <v>0</v>
      </c>
      <c r="CN965" s="323">
        <v>0</v>
      </c>
      <c r="CO965" s="323">
        <v>0</v>
      </c>
      <c r="CP965" s="325">
        <v>0</v>
      </c>
      <c r="CQ965" s="323">
        <v>0</v>
      </c>
      <c r="CR965" s="323">
        <v>0</v>
      </c>
      <c r="CS965" s="323">
        <v>0</v>
      </c>
      <c r="CT965" s="323">
        <v>0</v>
      </c>
      <c r="CU965" s="323">
        <v>0</v>
      </c>
      <c r="CV965" s="323">
        <v>0</v>
      </c>
      <c r="CW965" s="323">
        <v>0</v>
      </c>
      <c r="CX965" s="323">
        <v>0</v>
      </c>
      <c r="CY965" s="323">
        <v>0</v>
      </c>
      <c r="CZ965" s="323">
        <v>0</v>
      </c>
      <c r="DA965" s="323">
        <v>0</v>
      </c>
      <c r="DB965" s="1269">
        <v>0</v>
      </c>
      <c r="DC965" s="323">
        <v>0</v>
      </c>
      <c r="DD965" s="323">
        <v>0</v>
      </c>
      <c r="DE965" s="323">
        <v>0</v>
      </c>
      <c r="DF965" s="323">
        <v>0</v>
      </c>
      <c r="DG965" s="323">
        <v>0</v>
      </c>
      <c r="DH965" s="323">
        <v>0</v>
      </c>
      <c r="DI965" s="323">
        <v>0</v>
      </c>
      <c r="DJ965" s="323">
        <v>0</v>
      </c>
      <c r="DK965" s="323">
        <v>0</v>
      </c>
      <c r="DL965" s="323">
        <v>0</v>
      </c>
      <c r="DM965" s="323">
        <v>0</v>
      </c>
      <c r="DN965" s="325">
        <v>0</v>
      </c>
      <c r="DO965" s="323">
        <v>0</v>
      </c>
      <c r="DP965" s="323">
        <v>0</v>
      </c>
      <c r="DQ965" s="323">
        <v>0</v>
      </c>
      <c r="DR965" s="323">
        <v>0</v>
      </c>
      <c r="DS965" s="323">
        <v>0</v>
      </c>
      <c r="DT965" s="323">
        <v>0</v>
      </c>
      <c r="DU965" s="323">
        <v>0</v>
      </c>
      <c r="DV965" s="323">
        <v>0</v>
      </c>
      <c r="DW965" s="323">
        <v>0</v>
      </c>
      <c r="DX965" s="323">
        <v>0</v>
      </c>
      <c r="DY965" s="323">
        <v>0</v>
      </c>
      <c r="DZ965" s="325">
        <v>0</v>
      </c>
      <c r="EA965" s="323">
        <v>0</v>
      </c>
      <c r="EB965" s="323">
        <v>0</v>
      </c>
      <c r="EC965" s="323">
        <v>0</v>
      </c>
      <c r="ED965" s="323">
        <v>0</v>
      </c>
      <c r="EE965" s="323">
        <v>0</v>
      </c>
      <c r="EF965" s="323">
        <v>0</v>
      </c>
      <c r="EG965" s="323">
        <v>0</v>
      </c>
      <c r="EH965" s="323">
        <v>0</v>
      </c>
      <c r="EI965" s="323">
        <v>0</v>
      </c>
      <c r="EJ965" s="323">
        <v>0</v>
      </c>
      <c r="EK965" s="323">
        <v>0</v>
      </c>
      <c r="EL965" s="325">
        <v>0</v>
      </c>
      <c r="EM965" s="323">
        <v>0</v>
      </c>
      <c r="EN965" s="323">
        <v>0</v>
      </c>
      <c r="EO965" s="323">
        <v>0</v>
      </c>
      <c r="EP965" s="323">
        <v>0</v>
      </c>
      <c r="EQ965" s="323">
        <v>0</v>
      </c>
      <c r="ER965" s="323">
        <v>0</v>
      </c>
      <c r="ES965" s="323">
        <v>0</v>
      </c>
      <c r="ET965" s="323">
        <v>0</v>
      </c>
      <c r="EU965" s="323">
        <v>0</v>
      </c>
      <c r="EV965" s="323">
        <v>0</v>
      </c>
      <c r="EW965" s="323">
        <v>0</v>
      </c>
      <c r="EX965" s="325">
        <v>0</v>
      </c>
      <c r="EY965" s="323">
        <v>0</v>
      </c>
      <c r="EZ965" s="323">
        <v>0</v>
      </c>
      <c r="FA965" s="323">
        <v>0</v>
      </c>
      <c r="FB965" s="323">
        <v>0</v>
      </c>
      <c r="FC965" s="323">
        <v>0</v>
      </c>
      <c r="FD965" s="323">
        <v>0</v>
      </c>
      <c r="FE965" s="323">
        <v>0</v>
      </c>
      <c r="FF965" s="323">
        <v>0</v>
      </c>
      <c r="FG965" s="323">
        <v>0</v>
      </c>
      <c r="FH965" s="323">
        <v>0</v>
      </c>
      <c r="FI965" s="323">
        <v>0</v>
      </c>
      <c r="FJ965" s="325">
        <v>0</v>
      </c>
      <c r="FK965" s="323">
        <v>0</v>
      </c>
      <c r="FL965" s="323">
        <v>0</v>
      </c>
      <c r="FM965" s="323">
        <v>0</v>
      </c>
      <c r="FN965" s="323">
        <v>0</v>
      </c>
      <c r="FO965" s="323">
        <v>0</v>
      </c>
      <c r="FP965" s="323">
        <v>0</v>
      </c>
      <c r="FQ965" s="323">
        <v>0</v>
      </c>
      <c r="FR965" s="323">
        <v>0</v>
      </c>
      <c r="FS965" s="323">
        <v>0</v>
      </c>
      <c r="FT965" s="323">
        <v>0</v>
      </c>
      <c r="FU965" s="323">
        <v>0</v>
      </c>
      <c r="FV965" s="323">
        <v>0</v>
      </c>
      <c r="FW965" s="323">
        <v>0</v>
      </c>
      <c r="FX965" s="323">
        <v>0</v>
      </c>
      <c r="FY965" s="323">
        <v>0</v>
      </c>
      <c r="FZ965" s="323">
        <v>0</v>
      </c>
      <c r="GA965" s="323">
        <v>0</v>
      </c>
      <c r="GB965" s="323">
        <v>0</v>
      </c>
      <c r="GC965" s="323">
        <v>0</v>
      </c>
      <c r="GD965" s="323">
        <v>0</v>
      </c>
      <c r="GE965" s="323">
        <v>0</v>
      </c>
      <c r="GF965" s="323">
        <v>0</v>
      </c>
      <c r="GG965" s="323">
        <v>0</v>
      </c>
      <c r="GH965" s="323">
        <v>0</v>
      </c>
      <c r="GI965" s="1654"/>
      <c r="HZ965" s="326"/>
      <c r="IA965" s="335" t="s">
        <v>566</v>
      </c>
      <c r="IB965" s="284">
        <f>SUM(CE965:CJ965)</f>
        <v>0</v>
      </c>
      <c r="IC965" s="279">
        <f>SUM(CK965:CP965)</f>
        <v>0</v>
      </c>
      <c r="ID965" s="323">
        <f>IB965+IC965</f>
        <v>0</v>
      </c>
      <c r="IE965" s="279">
        <f>SUM(CQ965:CV965)</f>
        <v>0</v>
      </c>
      <c r="IF965" s="279">
        <f>SUM(CW965:DB965)</f>
        <v>0</v>
      </c>
      <c r="IG965" s="323">
        <f>IE965+IF965</f>
        <v>0</v>
      </c>
      <c r="IH965" s="284">
        <f>SUM(DC965:DH965)</f>
        <v>0</v>
      </c>
      <c r="II965" s="279">
        <f>SUM(DI965:DN965)</f>
        <v>0</v>
      </c>
      <c r="IJ965" s="323">
        <f>IH965+II965</f>
        <v>0</v>
      </c>
      <c r="IK965" s="327">
        <f>SUM(DO965:DT965)</f>
        <v>0</v>
      </c>
      <c r="IL965" s="279">
        <f>SUM(DU965:DZ965)</f>
        <v>0</v>
      </c>
      <c r="IM965" s="323">
        <f>IK965+IL965</f>
        <v>0</v>
      </c>
      <c r="IN965" s="279">
        <f>SUM(EA965:EF965)</f>
        <v>0</v>
      </c>
      <c r="IO965" s="279">
        <f>SUM(EG965:EL965)</f>
        <v>0</v>
      </c>
      <c r="IP965" s="323">
        <f>IN965+IO965</f>
        <v>0</v>
      </c>
      <c r="IQ965" s="327">
        <f>SUM(EM965:ER965)</f>
        <v>0</v>
      </c>
      <c r="IR965" s="327">
        <f>SUM(ES965:EX965)</f>
        <v>0</v>
      </c>
      <c r="IS965" s="323">
        <f>IQ965+IR965</f>
        <v>0</v>
      </c>
      <c r="IT965" s="327">
        <f>SUM(EY965:FD965)</f>
        <v>0</v>
      </c>
      <c r="IU965" s="327">
        <f>SUM(FE965:FJ965)</f>
        <v>0</v>
      </c>
      <c r="IV965" s="323">
        <f>IT965+IU965</f>
        <v>0</v>
      </c>
      <c r="IW965" s="327">
        <f>SUM(FK965:FP965)</f>
        <v>0</v>
      </c>
      <c r="IX965" s="327">
        <f t="shared" si="1963"/>
        <v>0</v>
      </c>
      <c r="IY965" s="323">
        <f t="shared" si="2005"/>
        <v>0</v>
      </c>
      <c r="IZ965" s="327">
        <f t="shared" si="1921"/>
        <v>0</v>
      </c>
      <c r="JA965" s="327">
        <f t="shared" si="1922"/>
        <v>0</v>
      </c>
      <c r="JB965" s="323">
        <f t="shared" si="1823"/>
        <v>0</v>
      </c>
      <c r="JC965" s="327">
        <f t="shared" si="1923"/>
        <v>0</v>
      </c>
      <c r="JD965" s="327">
        <f t="shared" si="1924"/>
        <v>0</v>
      </c>
      <c r="JE965" s="323">
        <f t="shared" si="1945"/>
        <v>0</v>
      </c>
      <c r="JF965" s="327">
        <f t="shared" si="1964"/>
        <v>0</v>
      </c>
      <c r="JG965" s="327">
        <f t="shared" si="1965"/>
        <v>0</v>
      </c>
      <c r="JH965" s="323">
        <f t="shared" si="1944"/>
        <v>0</v>
      </c>
      <c r="JI965" s="327">
        <f t="shared" si="1993"/>
        <v>0</v>
      </c>
      <c r="JJ965" s="327">
        <f t="shared" si="1871"/>
        <v>0</v>
      </c>
      <c r="JK965" s="323">
        <f t="shared" si="1933"/>
        <v>0</v>
      </c>
      <c r="JL965" s="327">
        <f t="shared" si="1946"/>
        <v>0</v>
      </c>
      <c r="JM965" s="327">
        <v>0</v>
      </c>
      <c r="JN965" s="323">
        <f>FISC!AK1286</f>
        <v>0</v>
      </c>
      <c r="JO965" s="327">
        <f t="shared" si="1968"/>
        <v>0</v>
      </c>
      <c r="JP965" s="327">
        <v>0</v>
      </c>
      <c r="JQ965" s="323">
        <f>FISC!AL1286</f>
        <v>0</v>
      </c>
      <c r="JR965" s="327">
        <f t="shared" si="1970"/>
        <v>0</v>
      </c>
      <c r="JS965" s="327">
        <v>0</v>
      </c>
      <c r="JT965" s="323">
        <f>FISC!AM1286</f>
        <v>0</v>
      </c>
      <c r="JU965" s="327">
        <f t="shared" si="1972"/>
        <v>0</v>
      </c>
      <c r="JV965" s="327">
        <v>0</v>
      </c>
      <c r="JW965" s="323">
        <f>FISC!AN1286</f>
        <v>0</v>
      </c>
      <c r="JX965" s="327">
        <f t="shared" si="1974"/>
        <v>0</v>
      </c>
      <c r="JY965" s="327">
        <v>0</v>
      </c>
      <c r="JZ965" s="323">
        <f>FISC!AO1286</f>
        <v>0</v>
      </c>
      <c r="KA965" s="327">
        <f t="shared" si="1976"/>
        <v>0</v>
      </c>
      <c r="KB965" s="327">
        <v>0</v>
      </c>
      <c r="KC965" s="323">
        <f>FISC!AP1286</f>
        <v>0</v>
      </c>
      <c r="KD965" s="327">
        <f t="shared" si="1978"/>
        <v>0</v>
      </c>
      <c r="KE965" s="327">
        <v>0</v>
      </c>
      <c r="KF965" s="323">
        <f>FISC!AQ1286</f>
        <v>0</v>
      </c>
      <c r="KG965" s="327">
        <f t="shared" si="1980"/>
        <v>0</v>
      </c>
      <c r="KH965" s="327">
        <v>0</v>
      </c>
      <c r="KI965" s="323">
        <f>FISC!AR1286</f>
        <v>0</v>
      </c>
      <c r="KJ965" s="327">
        <f t="shared" si="1982"/>
        <v>0</v>
      </c>
      <c r="KK965" s="327">
        <v>0</v>
      </c>
      <c r="KL965" s="323">
        <f>FISC!AS1286</f>
        <v>0</v>
      </c>
      <c r="KM965" s="327">
        <f t="shared" si="1984"/>
        <v>0</v>
      </c>
      <c r="KN965" s="327">
        <v>0</v>
      </c>
      <c r="KO965" s="323">
        <f>FISC!AT1286</f>
        <v>0</v>
      </c>
      <c r="KU965" s="326"/>
      <c r="KV965" s="327"/>
    </row>
    <row r="966" spans="1:308">
      <c r="A966" s="279"/>
      <c r="B966" s="96" t="s">
        <v>338</v>
      </c>
      <c r="D966" s="334" t="s">
        <v>567</v>
      </c>
      <c r="E966" s="323"/>
      <c r="F966" s="323"/>
      <c r="G966" s="323"/>
      <c r="H966" s="323"/>
      <c r="I966" s="323"/>
      <c r="J966" s="323"/>
      <c r="K966" s="323"/>
      <c r="L966" s="323"/>
      <c r="M966" s="323"/>
      <c r="N966" s="323"/>
      <c r="O966" s="323"/>
      <c r="P966" s="323"/>
      <c r="Q966" s="323"/>
      <c r="R966" s="323"/>
      <c r="S966" s="323"/>
      <c r="T966" s="323"/>
      <c r="U966" s="323"/>
      <c r="V966" s="323"/>
      <c r="W966" s="323"/>
      <c r="X966" s="323"/>
      <c r="Y966" s="323"/>
      <c r="Z966" s="323"/>
      <c r="AA966" s="323"/>
      <c r="AB966" s="323"/>
      <c r="AC966" s="323"/>
      <c r="AD966" s="323"/>
      <c r="AE966" s="323"/>
      <c r="AF966" s="323"/>
      <c r="AG966" s="323"/>
      <c r="AH966" s="323"/>
      <c r="AI966" s="323"/>
      <c r="AJ966" s="323"/>
      <c r="AK966" s="323"/>
      <c r="AL966" s="323"/>
      <c r="AM966" s="323"/>
      <c r="AN966" s="323"/>
      <c r="AO966" s="323"/>
      <c r="AP966" s="323"/>
      <c r="AQ966" s="323"/>
      <c r="AR966" s="323"/>
      <c r="AS966" s="323"/>
      <c r="AT966" s="323"/>
      <c r="AU966" s="323"/>
      <c r="AV966" s="323"/>
      <c r="AW966" s="323"/>
      <c r="AX966" s="323"/>
      <c r="AY966" s="323"/>
      <c r="AZ966" s="323"/>
      <c r="BA966" s="323"/>
      <c r="BB966" s="323"/>
      <c r="BC966" s="323"/>
      <c r="BD966" s="323"/>
      <c r="BE966" s="323"/>
      <c r="BF966" s="323"/>
      <c r="BG966" s="323"/>
      <c r="BH966" s="323"/>
      <c r="BI966" s="323"/>
      <c r="BJ966" s="323"/>
      <c r="BK966" s="323"/>
      <c r="BL966" s="323"/>
      <c r="BM966" s="323"/>
      <c r="BN966" s="323"/>
      <c r="BO966" s="323"/>
      <c r="BP966" s="323"/>
      <c r="BQ966" s="323"/>
      <c r="BR966" s="323"/>
      <c r="BS966" s="323"/>
      <c r="BT966" s="323"/>
      <c r="BU966" s="323"/>
      <c r="BV966" s="323"/>
      <c r="BW966" s="323"/>
      <c r="BX966" s="323"/>
      <c r="BY966" s="323"/>
      <c r="BZ966" s="323"/>
      <c r="CA966" s="323"/>
      <c r="CB966" s="323"/>
      <c r="CC966" s="323"/>
      <c r="CD966" s="329"/>
      <c r="CE966" s="323">
        <v>0</v>
      </c>
      <c r="CF966" s="323">
        <v>0</v>
      </c>
      <c r="CG966" s="323">
        <v>0</v>
      </c>
      <c r="CH966" s="323">
        <v>0</v>
      </c>
      <c r="CI966" s="323">
        <v>0</v>
      </c>
      <c r="CJ966" s="323">
        <v>0</v>
      </c>
      <c r="CK966" s="323">
        <v>0</v>
      </c>
      <c r="CL966" s="323">
        <v>0</v>
      </c>
      <c r="CM966" s="323">
        <v>0</v>
      </c>
      <c r="CN966" s="323">
        <v>0</v>
      </c>
      <c r="CO966" s="323">
        <v>0</v>
      </c>
      <c r="CP966" s="325">
        <v>0</v>
      </c>
      <c r="CQ966" s="323">
        <v>0</v>
      </c>
      <c r="CR966" s="323">
        <v>0</v>
      </c>
      <c r="CS966" s="323">
        <v>0</v>
      </c>
      <c r="CT966" s="323">
        <v>0</v>
      </c>
      <c r="CU966" s="323">
        <v>0</v>
      </c>
      <c r="CV966" s="323">
        <v>0</v>
      </c>
      <c r="CW966" s="323">
        <v>0</v>
      </c>
      <c r="CX966" s="323">
        <v>0</v>
      </c>
      <c r="CY966" s="323">
        <v>0</v>
      </c>
      <c r="CZ966" s="323">
        <v>0</v>
      </c>
      <c r="DA966" s="323">
        <v>0</v>
      </c>
      <c r="DB966" s="1269">
        <v>0</v>
      </c>
      <c r="DC966" s="323">
        <v>0</v>
      </c>
      <c r="DD966" s="323">
        <v>0</v>
      </c>
      <c r="DE966" s="323">
        <v>0</v>
      </c>
      <c r="DF966" s="323">
        <v>0</v>
      </c>
      <c r="DG966" s="323">
        <v>0</v>
      </c>
      <c r="DH966" s="323">
        <v>0</v>
      </c>
      <c r="DI966" s="323">
        <v>0</v>
      </c>
      <c r="DJ966" s="323">
        <v>0</v>
      </c>
      <c r="DK966" s="323">
        <v>0</v>
      </c>
      <c r="DL966" s="323">
        <v>0</v>
      </c>
      <c r="DM966" s="323">
        <v>0</v>
      </c>
      <c r="DN966" s="325">
        <v>0</v>
      </c>
      <c r="DO966" s="323">
        <v>0</v>
      </c>
      <c r="DP966" s="323">
        <v>0</v>
      </c>
      <c r="DQ966" s="323">
        <v>0</v>
      </c>
      <c r="DR966" s="323">
        <v>0</v>
      </c>
      <c r="DS966" s="323">
        <v>0</v>
      </c>
      <c r="DT966" s="323">
        <v>0</v>
      </c>
      <c r="DU966" s="323">
        <v>0</v>
      </c>
      <c r="DV966" s="323">
        <v>0</v>
      </c>
      <c r="DW966" s="323">
        <v>0</v>
      </c>
      <c r="DX966" s="323">
        <v>0</v>
      </c>
      <c r="DY966" s="323">
        <v>0</v>
      </c>
      <c r="DZ966" s="325">
        <v>0</v>
      </c>
      <c r="EA966" s="323">
        <v>0</v>
      </c>
      <c r="EB966" s="323">
        <v>0</v>
      </c>
      <c r="EC966" s="323">
        <v>0</v>
      </c>
      <c r="ED966" s="323">
        <v>0</v>
      </c>
      <c r="EE966" s="323">
        <v>0</v>
      </c>
      <c r="EF966" s="323">
        <v>0</v>
      </c>
      <c r="EG966" s="323">
        <v>0</v>
      </c>
      <c r="EH966" s="323">
        <v>0</v>
      </c>
      <c r="EI966" s="323">
        <v>0</v>
      </c>
      <c r="EJ966" s="323">
        <v>0</v>
      </c>
      <c r="EK966" s="323">
        <v>0</v>
      </c>
      <c r="EL966" s="325">
        <v>0</v>
      </c>
      <c r="EM966" s="323">
        <v>0</v>
      </c>
      <c r="EN966" s="323">
        <v>0</v>
      </c>
      <c r="EO966" s="323">
        <v>0</v>
      </c>
      <c r="EP966" s="323">
        <v>0</v>
      </c>
      <c r="EQ966" s="323">
        <v>0</v>
      </c>
      <c r="ER966" s="323">
        <v>0</v>
      </c>
      <c r="ES966" s="323">
        <v>0</v>
      </c>
      <c r="ET966" s="323">
        <v>0</v>
      </c>
      <c r="EU966" s="323">
        <v>0</v>
      </c>
      <c r="EV966" s="323">
        <v>0</v>
      </c>
      <c r="EW966" s="323">
        <v>0</v>
      </c>
      <c r="EX966" s="325">
        <v>0</v>
      </c>
      <c r="EY966" s="323">
        <v>0</v>
      </c>
      <c r="EZ966" s="323">
        <v>0</v>
      </c>
      <c r="FA966" s="323">
        <v>0</v>
      </c>
      <c r="FB966" s="323">
        <v>0</v>
      </c>
      <c r="FC966" s="323">
        <v>0</v>
      </c>
      <c r="FD966" s="323">
        <v>0</v>
      </c>
      <c r="FE966" s="323">
        <v>0</v>
      </c>
      <c r="FF966" s="323">
        <v>0</v>
      </c>
      <c r="FG966" s="323">
        <v>0</v>
      </c>
      <c r="FH966" s="323">
        <v>0</v>
      </c>
      <c r="FI966" s="323">
        <v>0</v>
      </c>
      <c r="FJ966" s="325">
        <v>0</v>
      </c>
      <c r="FK966" s="323">
        <v>0</v>
      </c>
      <c r="FL966" s="323">
        <v>0</v>
      </c>
      <c r="FM966" s="323">
        <v>0</v>
      </c>
      <c r="FN966" s="323">
        <v>0</v>
      </c>
      <c r="FO966" s="323">
        <v>0</v>
      </c>
      <c r="FP966" s="323">
        <v>0</v>
      </c>
      <c r="FQ966" s="323">
        <v>0</v>
      </c>
      <c r="FR966" s="323">
        <v>0</v>
      </c>
      <c r="FS966" s="323">
        <v>0</v>
      </c>
      <c r="FT966" s="323">
        <v>0</v>
      </c>
      <c r="FU966" s="323">
        <v>0</v>
      </c>
      <c r="FV966" s="323">
        <v>0</v>
      </c>
      <c r="FW966" s="323">
        <v>0</v>
      </c>
      <c r="FX966" s="323">
        <v>0</v>
      </c>
      <c r="FY966" s="323">
        <v>0</v>
      </c>
      <c r="FZ966" s="323">
        <v>0</v>
      </c>
      <c r="GA966" s="323">
        <v>0</v>
      </c>
      <c r="GB966" s="323">
        <v>0</v>
      </c>
      <c r="GC966" s="323">
        <v>0</v>
      </c>
      <c r="GD966" s="323">
        <v>0</v>
      </c>
      <c r="GE966" s="323">
        <v>0</v>
      </c>
      <c r="GF966" s="323">
        <v>0</v>
      </c>
      <c r="GG966" s="323">
        <v>0</v>
      </c>
      <c r="GH966" s="323">
        <v>0</v>
      </c>
      <c r="GI966" s="1654"/>
      <c r="HZ966" s="326"/>
      <c r="IA966" s="334" t="s">
        <v>567</v>
      </c>
      <c r="IB966" s="284">
        <f>SUM(CE966:CJ966)</f>
        <v>0</v>
      </c>
      <c r="IC966" s="279">
        <f>SUM(CK966:CP966)</f>
        <v>0</v>
      </c>
      <c r="ID966" s="323">
        <f>IB966+IC966</f>
        <v>0</v>
      </c>
      <c r="IE966" s="279">
        <f>SUM(CQ966:CV966)</f>
        <v>0</v>
      </c>
      <c r="IF966" s="279">
        <f>SUM(CW966:DB966)</f>
        <v>0</v>
      </c>
      <c r="IG966" s="323">
        <f>IE966+IF966</f>
        <v>0</v>
      </c>
      <c r="IH966" s="284">
        <f>SUM(DC966:DH966)</f>
        <v>0</v>
      </c>
      <c r="II966" s="279">
        <f>SUM(DI966:DN966)</f>
        <v>0</v>
      </c>
      <c r="IJ966" s="323">
        <f>IH966+II966</f>
        <v>0</v>
      </c>
      <c r="IK966" s="327">
        <f>SUM(DO966:DT966)</f>
        <v>0</v>
      </c>
      <c r="IL966" s="279">
        <f>SUM(DU966:DZ966)</f>
        <v>0</v>
      </c>
      <c r="IM966" s="323">
        <f>IK966+IL966</f>
        <v>0</v>
      </c>
      <c r="IN966" s="279">
        <f>SUM(EA966:EF966)</f>
        <v>0</v>
      </c>
      <c r="IO966" s="279">
        <f>SUM(EG966:EL966)</f>
        <v>0</v>
      </c>
      <c r="IP966" s="323">
        <f>IN966+IO966</f>
        <v>0</v>
      </c>
      <c r="IQ966" s="327">
        <f>SUM(EM966:ER966)</f>
        <v>0</v>
      </c>
      <c r="IR966" s="327">
        <f>SUM(ES966:EX966)</f>
        <v>0</v>
      </c>
      <c r="IS966" s="323">
        <f>IQ966+IR966</f>
        <v>0</v>
      </c>
      <c r="IT966" s="327">
        <f>SUM(EY966:FD966)</f>
        <v>0</v>
      </c>
      <c r="IU966" s="327">
        <f>SUM(FE966:FJ966)</f>
        <v>0</v>
      </c>
      <c r="IV966" s="323">
        <f>IT966+IU966</f>
        <v>0</v>
      </c>
      <c r="IW966" s="327">
        <f>SUM(FK966:FP966)</f>
        <v>0</v>
      </c>
      <c r="IX966" s="327">
        <f t="shared" si="1963"/>
        <v>0</v>
      </c>
      <c r="IY966" s="323">
        <f t="shared" si="2005"/>
        <v>0</v>
      </c>
      <c r="IZ966" s="327">
        <f t="shared" si="1921"/>
        <v>0</v>
      </c>
      <c r="JA966" s="327">
        <f t="shared" si="1922"/>
        <v>0</v>
      </c>
      <c r="JB966" s="323">
        <f t="shared" si="1823"/>
        <v>0</v>
      </c>
      <c r="JC966" s="327">
        <f t="shared" si="1923"/>
        <v>0</v>
      </c>
      <c r="JD966" s="327">
        <f t="shared" si="1924"/>
        <v>0</v>
      </c>
      <c r="JE966" s="323">
        <f t="shared" si="1945"/>
        <v>0</v>
      </c>
      <c r="JF966" s="327">
        <f t="shared" si="1964"/>
        <v>0</v>
      </c>
      <c r="JG966" s="327">
        <f t="shared" si="1965"/>
        <v>0</v>
      </c>
      <c r="JH966" s="323">
        <f t="shared" si="1944"/>
        <v>0</v>
      </c>
      <c r="JI966" s="327">
        <f t="shared" si="1993"/>
        <v>0</v>
      </c>
      <c r="JJ966" s="327">
        <f t="shared" si="1871"/>
        <v>0</v>
      </c>
      <c r="JK966" s="323">
        <f t="shared" si="1933"/>
        <v>0</v>
      </c>
      <c r="JL966" s="327">
        <f t="shared" si="1946"/>
        <v>0</v>
      </c>
      <c r="JM966" s="327">
        <v>0</v>
      </c>
      <c r="JN966" s="323">
        <f>FISC!AK1287</f>
        <v>0</v>
      </c>
      <c r="JO966" s="327">
        <f t="shared" si="1968"/>
        <v>0</v>
      </c>
      <c r="JP966" s="327">
        <v>0</v>
      </c>
      <c r="JQ966" s="323">
        <f>FISC!AL1287</f>
        <v>0</v>
      </c>
      <c r="JR966" s="327">
        <f t="shared" si="1970"/>
        <v>0</v>
      </c>
      <c r="JS966" s="327">
        <v>0</v>
      </c>
      <c r="JT966" s="323">
        <f>FISC!AM1287</f>
        <v>0</v>
      </c>
      <c r="JU966" s="327">
        <f t="shared" si="1972"/>
        <v>0</v>
      </c>
      <c r="JV966" s="327">
        <v>0</v>
      </c>
      <c r="JW966" s="323">
        <f>FISC!AN1287</f>
        <v>0</v>
      </c>
      <c r="JX966" s="327">
        <f t="shared" si="1974"/>
        <v>0</v>
      </c>
      <c r="JY966" s="327">
        <v>0</v>
      </c>
      <c r="JZ966" s="323">
        <f>FISC!AO1287</f>
        <v>0</v>
      </c>
      <c r="KA966" s="327">
        <f t="shared" si="1976"/>
        <v>0</v>
      </c>
      <c r="KB966" s="327">
        <v>0</v>
      </c>
      <c r="KC966" s="323">
        <f>FISC!AP1287</f>
        <v>0</v>
      </c>
      <c r="KD966" s="327">
        <f t="shared" si="1978"/>
        <v>0</v>
      </c>
      <c r="KE966" s="327">
        <v>0</v>
      </c>
      <c r="KF966" s="323">
        <f>FISC!AQ1287</f>
        <v>0</v>
      </c>
      <c r="KG966" s="327">
        <f t="shared" si="1980"/>
        <v>0</v>
      </c>
      <c r="KH966" s="327">
        <v>0</v>
      </c>
      <c r="KI966" s="323">
        <f>FISC!AR1287</f>
        <v>0</v>
      </c>
      <c r="KJ966" s="327">
        <f t="shared" si="1982"/>
        <v>0</v>
      </c>
      <c r="KK966" s="327">
        <v>0</v>
      </c>
      <c r="KL966" s="323">
        <f>FISC!AS1287</f>
        <v>0</v>
      </c>
      <c r="KM966" s="327">
        <f t="shared" si="1984"/>
        <v>0</v>
      </c>
      <c r="KN966" s="327">
        <v>0</v>
      </c>
      <c r="KO966" s="323">
        <f>FISC!AT1287</f>
        <v>0</v>
      </c>
      <c r="KU966" s="326"/>
      <c r="KV966" s="327"/>
    </row>
    <row r="967" spans="1:308">
      <c r="A967" s="279"/>
      <c r="B967" s="96" t="s">
        <v>338</v>
      </c>
      <c r="D967" s="334" t="s">
        <v>568</v>
      </c>
      <c r="E967" s="323"/>
      <c r="F967" s="323"/>
      <c r="G967" s="323"/>
      <c r="H967" s="323"/>
      <c r="I967" s="323"/>
      <c r="J967" s="323"/>
      <c r="K967" s="323"/>
      <c r="L967" s="323"/>
      <c r="M967" s="323"/>
      <c r="N967" s="323"/>
      <c r="O967" s="323"/>
      <c r="P967" s="323"/>
      <c r="Q967" s="323"/>
      <c r="R967" s="323"/>
      <c r="S967" s="323"/>
      <c r="T967" s="323"/>
      <c r="U967" s="323"/>
      <c r="V967" s="323"/>
      <c r="W967" s="323"/>
      <c r="X967" s="323"/>
      <c r="Y967" s="323"/>
      <c r="Z967" s="323"/>
      <c r="AA967" s="323"/>
      <c r="AB967" s="323"/>
      <c r="AC967" s="323"/>
      <c r="AD967" s="323"/>
      <c r="AE967" s="323"/>
      <c r="AF967" s="323"/>
      <c r="AG967" s="323"/>
      <c r="AH967" s="323"/>
      <c r="AI967" s="323"/>
      <c r="AJ967" s="323"/>
      <c r="AK967" s="323"/>
      <c r="AL967" s="323"/>
      <c r="AM967" s="323"/>
      <c r="AN967" s="323"/>
      <c r="AO967" s="323"/>
      <c r="AP967" s="323"/>
      <c r="AQ967" s="323"/>
      <c r="AR967" s="323"/>
      <c r="AS967" s="323"/>
      <c r="AT967" s="323"/>
      <c r="AU967" s="323"/>
      <c r="AV967" s="323"/>
      <c r="AW967" s="323"/>
      <c r="AX967" s="323"/>
      <c r="AY967" s="323"/>
      <c r="AZ967" s="323"/>
      <c r="BA967" s="323"/>
      <c r="BB967" s="323"/>
      <c r="BC967" s="323"/>
      <c r="BD967" s="323"/>
      <c r="BE967" s="323"/>
      <c r="BF967" s="323"/>
      <c r="BG967" s="323"/>
      <c r="BH967" s="323"/>
      <c r="BI967" s="323"/>
      <c r="BJ967" s="323"/>
      <c r="BK967" s="323"/>
      <c r="BL967" s="323"/>
      <c r="BM967" s="323"/>
      <c r="BN967" s="323"/>
      <c r="BO967" s="323"/>
      <c r="BP967" s="323"/>
      <c r="BQ967" s="323"/>
      <c r="BR967" s="323"/>
      <c r="BS967" s="323"/>
      <c r="BT967" s="323"/>
      <c r="BU967" s="323"/>
      <c r="BV967" s="323"/>
      <c r="BW967" s="323"/>
      <c r="BX967" s="323"/>
      <c r="BY967" s="323"/>
      <c r="BZ967" s="323"/>
      <c r="CA967" s="323"/>
      <c r="CB967" s="323"/>
      <c r="CC967" s="323"/>
      <c r="CD967" s="329"/>
      <c r="CE967" s="323">
        <v>-32.5</v>
      </c>
      <c r="CF967" s="323">
        <v>14.183386008999999</v>
      </c>
      <c r="CG967" s="323">
        <v>1.3150049660000001</v>
      </c>
      <c r="CH967" s="323">
        <v>0</v>
      </c>
      <c r="CI967" s="323">
        <v>0</v>
      </c>
      <c r="CJ967" s="323">
        <v>2.88959645</v>
      </c>
      <c r="CK967" s="323">
        <v>6.9380982900000001</v>
      </c>
      <c r="CL967" s="323">
        <v>0</v>
      </c>
      <c r="CM967" s="323">
        <v>13.871248</v>
      </c>
      <c r="CN967" s="323">
        <v>1</v>
      </c>
      <c r="CO967" s="323">
        <v>4.3496715249999998</v>
      </c>
      <c r="CP967" s="325">
        <v>13.974804199999999</v>
      </c>
      <c r="CQ967" s="323">
        <f t="shared" ref="CQ967:DB967" si="2006">CQ528</f>
        <v>2.0446890510000002</v>
      </c>
      <c r="CR967" s="323">
        <f t="shared" si="2006"/>
        <v>1.1764951930000001</v>
      </c>
      <c r="CS967" s="323">
        <f t="shared" si="2006"/>
        <v>2.529250207</v>
      </c>
      <c r="CT967" s="323">
        <f t="shared" si="2006"/>
        <v>2.502500334</v>
      </c>
      <c r="CU967" s="323">
        <f t="shared" si="2006"/>
        <v>0.44875757999999999</v>
      </c>
      <c r="CV967" s="323">
        <f t="shared" si="2006"/>
        <v>1.4449781960000001</v>
      </c>
      <c r="CW967" s="323">
        <f t="shared" si="2006"/>
        <v>2.3012383519999999</v>
      </c>
      <c r="CX967" s="323">
        <f t="shared" si="2006"/>
        <v>15.372919039999999</v>
      </c>
      <c r="CY967" s="323">
        <f t="shared" si="2006"/>
        <v>5.6441678419999999</v>
      </c>
      <c r="CZ967" s="323">
        <f t="shared" si="2006"/>
        <v>2.6801831049999998</v>
      </c>
      <c r="DA967" s="323">
        <f t="shared" si="2006"/>
        <v>1.84513269</v>
      </c>
      <c r="DB967" s="1269">
        <f t="shared" si="2006"/>
        <v>25.690791000000001</v>
      </c>
      <c r="DC967" s="323">
        <v>2</v>
      </c>
      <c r="DD967" s="323">
        <v>10.047593833000001</v>
      </c>
      <c r="DE967" s="323">
        <v>6.3235096430000004</v>
      </c>
      <c r="DF967" s="323">
        <v>0.23668661499999999</v>
      </c>
      <c r="DG967" s="323">
        <v>0.37262134400000002</v>
      </c>
      <c r="DH967" s="323">
        <v>0</v>
      </c>
      <c r="DI967" s="323">
        <v>17.852643471</v>
      </c>
      <c r="DJ967" s="323">
        <v>7.5705152409999998</v>
      </c>
      <c r="DK967" s="323">
        <v>0.211177904</v>
      </c>
      <c r="DL967" s="323">
        <v>0.389861544</v>
      </c>
      <c r="DM967" s="323">
        <v>0</v>
      </c>
      <c r="DN967" s="325">
        <v>5.3441120770000001</v>
      </c>
      <c r="DO967" s="323">
        <v>0.79557091000000002</v>
      </c>
      <c r="DP967" s="323">
        <v>0.30663901399999999</v>
      </c>
      <c r="DQ967" s="323">
        <v>0</v>
      </c>
      <c r="DR967" s="323">
        <v>1.461633175</v>
      </c>
      <c r="DS967" s="323">
        <v>0</v>
      </c>
      <c r="DT967" s="323">
        <v>0</v>
      </c>
      <c r="DU967" s="323">
        <v>1.5806744720000001</v>
      </c>
      <c r="DV967" s="323">
        <v>0</v>
      </c>
      <c r="DW967" s="323">
        <v>0</v>
      </c>
      <c r="DX967" s="323">
        <v>5.229410208</v>
      </c>
      <c r="DY967" s="323">
        <v>6.7838984839999998</v>
      </c>
      <c r="DZ967" s="325">
        <v>10.280307347000001</v>
      </c>
      <c r="EA967" s="323">
        <v>0</v>
      </c>
      <c r="EB967" s="323">
        <v>8.1566134520000002</v>
      </c>
      <c r="EC967" s="323">
        <v>7.2540280619999997</v>
      </c>
      <c r="ED967" s="323">
        <v>1.6</v>
      </c>
      <c r="EE967" s="323">
        <v>3.3892808900000002</v>
      </c>
      <c r="EF967" s="323">
        <v>5.8281546979999996</v>
      </c>
      <c r="EG967" s="323">
        <v>3.7936580630000001</v>
      </c>
      <c r="EH967" s="323">
        <v>1.6461325570000001</v>
      </c>
      <c r="EI967" s="323">
        <v>6.9573450130000003</v>
      </c>
      <c r="EJ967" s="323">
        <v>11.576924024</v>
      </c>
      <c r="EK967" s="323">
        <v>6.8080839639999997</v>
      </c>
      <c r="EL967" s="325">
        <v>0</v>
      </c>
      <c r="EM967" s="323">
        <v>2.4750000000000001</v>
      </c>
      <c r="EN967" s="323">
        <v>3.8014540480000001</v>
      </c>
      <c r="EO967" s="323">
        <v>6.0622649979999998</v>
      </c>
      <c r="EP967" s="323">
        <v>0</v>
      </c>
      <c r="EQ967" s="323">
        <v>0</v>
      </c>
      <c r="ER967" s="323">
        <v>3.9765202199999998</v>
      </c>
      <c r="ES967" s="323">
        <v>2.8859739630000001</v>
      </c>
      <c r="ET967" s="323">
        <v>0</v>
      </c>
      <c r="EU967" s="323">
        <v>3.939404675</v>
      </c>
      <c r="EV967" s="323">
        <v>2.8887351529999998</v>
      </c>
      <c r="EW967" s="323">
        <v>0</v>
      </c>
      <c r="EX967" s="325">
        <v>3.939404675</v>
      </c>
      <c r="EY967" s="323">
        <v>2.9627427580000001</v>
      </c>
      <c r="EZ967" s="323">
        <v>1.464404676</v>
      </c>
      <c r="FA967" s="323">
        <v>0</v>
      </c>
      <c r="FB967" s="323">
        <v>82.901972736999994</v>
      </c>
      <c r="FC967" s="323">
        <v>1.5526046760000001</v>
      </c>
      <c r="FD967" s="323">
        <v>0</v>
      </c>
      <c r="FE967" s="323">
        <v>11.865881414</v>
      </c>
      <c r="FF967" s="323">
        <v>1.80821064</v>
      </c>
      <c r="FG967" s="323">
        <v>5.3527981000000002E-2</v>
      </c>
      <c r="FH967" s="323">
        <v>0</v>
      </c>
      <c r="FI967" s="323">
        <v>0</v>
      </c>
      <c r="FJ967" s="325">
        <v>1.0382190499999999</v>
      </c>
      <c r="FK967" s="323">
        <v>0</v>
      </c>
      <c r="FL967" s="323">
        <v>0</v>
      </c>
      <c r="FM967" s="323">
        <v>47.715494765000003</v>
      </c>
      <c r="FN967" s="323">
        <v>0</v>
      </c>
      <c r="FO967" s="323">
        <v>1.0683389350000001</v>
      </c>
      <c r="FP967" s="323">
        <v>7.1600264359999999</v>
      </c>
      <c r="FQ967" s="323">
        <v>5.2808400000000004</v>
      </c>
      <c r="FR967" s="323">
        <v>3.6483330199999999</v>
      </c>
      <c r="FS967" s="323">
        <v>3.5096266109999998</v>
      </c>
      <c r="FT967" s="323">
        <v>3.4183738990000001</v>
      </c>
      <c r="FU967" s="323">
        <v>5.1646999559999998</v>
      </c>
      <c r="FV967" s="323">
        <v>30.646021316999999</v>
      </c>
      <c r="FW967" s="323">
        <v>0</v>
      </c>
      <c r="FX967" s="323">
        <v>0</v>
      </c>
      <c r="FY967" s="323">
        <v>6.5765835209999999</v>
      </c>
      <c r="FZ967" s="323">
        <v>0.70497500000000002</v>
      </c>
      <c r="GA967" s="323">
        <v>0</v>
      </c>
      <c r="GB967" s="323">
        <v>7.3348738139999998</v>
      </c>
      <c r="GC967" s="323">
        <v>1</v>
      </c>
      <c r="GD967" s="323">
        <v>3.6364257270000002</v>
      </c>
      <c r="GE967" s="323">
        <v>1.5363514569999999</v>
      </c>
      <c r="GF967" s="323">
        <v>17.543126211000001</v>
      </c>
      <c r="GG967" s="323">
        <v>8.5065721930000002</v>
      </c>
      <c r="GH967" s="323">
        <v>47.64361169</v>
      </c>
      <c r="GI967" s="1654">
        <f>GI968+GI974</f>
        <v>6.0993216676299999</v>
      </c>
      <c r="GJ967" s="1654">
        <f t="shared" ref="GJ967:GT967" si="2007">GJ968+GJ974</f>
        <v>0</v>
      </c>
      <c r="GK967" s="1654">
        <f t="shared" si="2007"/>
        <v>59.345309497339997</v>
      </c>
      <c r="GL967" s="1654">
        <f t="shared" si="2007"/>
        <v>0</v>
      </c>
      <c r="GM967" s="1654">
        <f t="shared" si="2007"/>
        <v>0</v>
      </c>
      <c r="GN967" s="1654">
        <f t="shared" si="2007"/>
        <v>8.8817867980000003</v>
      </c>
      <c r="GO967" s="1654">
        <f>GO968+GO974</f>
        <v>0</v>
      </c>
      <c r="GP967" s="1654">
        <f t="shared" si="2007"/>
        <v>0</v>
      </c>
      <c r="GQ967" s="1654">
        <f t="shared" si="2007"/>
        <v>8.8794150500000004</v>
      </c>
      <c r="GR967" s="1654">
        <f t="shared" si="2007"/>
        <v>0</v>
      </c>
      <c r="GS967" s="1654">
        <f t="shared" si="2007"/>
        <v>0</v>
      </c>
      <c r="GT967" s="1654">
        <f t="shared" si="2007"/>
        <v>8.8770027139999996</v>
      </c>
      <c r="GU967" s="1654">
        <v>3.6868372699999998</v>
      </c>
      <c r="GV967" s="1654">
        <v>1.6867821860000001</v>
      </c>
      <c r="GW967" s="1654">
        <v>3.4566794760000001</v>
      </c>
      <c r="GX967" s="1654">
        <v>3.1026485639999999</v>
      </c>
      <c r="GY967" s="1654">
        <v>8.5277886630000008</v>
      </c>
      <c r="GZ967" s="1654">
        <v>18.235560100000001</v>
      </c>
      <c r="HA967" s="1654">
        <v>4.0574359040000001</v>
      </c>
      <c r="HB967" s="1654">
        <v>13.711449400999999</v>
      </c>
      <c r="HC967" s="1654">
        <v>14.916460077</v>
      </c>
      <c r="HD967" s="1654">
        <v>1.0527506180000001</v>
      </c>
      <c r="HE967" s="1654">
        <v>1.290070901</v>
      </c>
      <c r="HF967" s="1654">
        <v>9.1668689589999985</v>
      </c>
      <c r="HG967" s="1654">
        <v>55.762300920999998</v>
      </c>
      <c r="HH967" s="1654">
        <v>0.39999999999999991</v>
      </c>
      <c r="HI967" s="1654">
        <v>41.387311371418996</v>
      </c>
      <c r="HJ967" s="1654">
        <v>-11.543402498761999</v>
      </c>
      <c r="HK967" s="1654">
        <v>4.4135865369999996</v>
      </c>
      <c r="HL967" s="1654">
        <v>0.60488439000000005</v>
      </c>
      <c r="HM967" s="1654">
        <v>2.3448937239999998</v>
      </c>
      <c r="HN967" s="1654">
        <v>0</v>
      </c>
      <c r="HO967" s="1654">
        <v>8.6439035999999998</v>
      </c>
      <c r="HP967" s="1654">
        <v>3.061138048249</v>
      </c>
      <c r="HQ967" s="1654">
        <v>-4.83388920000003E-2</v>
      </c>
      <c r="HR967" s="1654">
        <v>9.2628977619999997</v>
      </c>
      <c r="HS967" s="1654">
        <v>-4.3557596000000309E-2</v>
      </c>
      <c r="HT967" s="1654">
        <v>0</v>
      </c>
      <c r="HU967" s="1654">
        <v>10.181809325</v>
      </c>
      <c r="HV967" s="1654">
        <v>0.96720618899999988</v>
      </c>
      <c r="HW967" s="1654">
        <v>0</v>
      </c>
      <c r="HX967" s="1654">
        <v>15.641067902490999</v>
      </c>
      <c r="HY967" s="1654"/>
      <c r="HZ967" s="326"/>
      <c r="IA967" s="334" t="s">
        <v>568</v>
      </c>
      <c r="IB967" s="284">
        <f>SUM(CE967:CJ967)</f>
        <v>-14.112012575000001</v>
      </c>
      <c r="IC967" s="279">
        <f>SUM(CK967:CP967)</f>
        <v>40.133822015</v>
      </c>
      <c r="ID967" s="323">
        <f>IB967+IC967</f>
        <v>26.021809439999998</v>
      </c>
      <c r="IE967" s="279">
        <f>SUM(CQ967:CV967)</f>
        <v>10.146670561000001</v>
      </c>
      <c r="IF967" s="279">
        <f>SUM(CW967:DB967)</f>
        <v>53.534432029000001</v>
      </c>
      <c r="IG967" s="323">
        <f>IE967+IF967</f>
        <v>63.681102590000002</v>
      </c>
      <c r="IH967" s="284">
        <f>SUM(DC967:DH967)</f>
        <v>18.980411435000001</v>
      </c>
      <c r="II967" s="279">
        <f>SUM(DI967:DN967)</f>
        <v>31.368310236999996</v>
      </c>
      <c r="IJ967" s="323">
        <f>IH967+II967</f>
        <v>50.348721671999996</v>
      </c>
      <c r="IK967" s="327">
        <f>SUM(DO967:DT967)</f>
        <v>2.5638430990000001</v>
      </c>
      <c r="IL967" s="279">
        <f>SUM(DU967:DZ967)</f>
        <v>23.874290511000002</v>
      </c>
      <c r="IM967" s="323">
        <f>IK967+IL967</f>
        <v>26.438133610000001</v>
      </c>
      <c r="IN967" s="279">
        <f>SUM(EA967:EF967)</f>
        <v>26.228077102</v>
      </c>
      <c r="IO967" s="279">
        <f>SUM(EG967:EL967)</f>
        <v>30.782143621000003</v>
      </c>
      <c r="IP967" s="323">
        <f>IN967+IO967</f>
        <v>57.010220723000003</v>
      </c>
      <c r="IQ967" s="327">
        <f>SUM(EM967:ER967)</f>
        <v>16.315239265999999</v>
      </c>
      <c r="IR967" s="327">
        <f>SUM(ES967:EX967)</f>
        <v>13.653518466</v>
      </c>
      <c r="IS967" s="323">
        <f>IQ967+IR967</f>
        <v>29.968757732</v>
      </c>
      <c r="IT967" s="327">
        <f>SUM(EY967:FD967)</f>
        <v>88.881724847000001</v>
      </c>
      <c r="IU967" s="327">
        <f>SUM(FE967:FJ967)</f>
        <v>14.765839085000001</v>
      </c>
      <c r="IV967" s="323">
        <f>IT967+IU967</f>
        <v>103.647563932</v>
      </c>
      <c r="IW967" s="327">
        <f>SUM(FK967:FP967)</f>
        <v>55.943860136000005</v>
      </c>
      <c r="IX967" s="327">
        <f t="shared" si="1963"/>
        <v>51.667894802999996</v>
      </c>
      <c r="IY967" s="323">
        <f t="shared" si="2005"/>
        <v>107.61175493900001</v>
      </c>
      <c r="IZ967" s="327">
        <f t="shared" si="1921"/>
        <v>14.616432334999999</v>
      </c>
      <c r="JA967" s="327">
        <f t="shared" si="1922"/>
        <v>79.866087278000009</v>
      </c>
      <c r="JB967" s="323">
        <f t="shared" si="1823"/>
        <v>94.482519613000008</v>
      </c>
      <c r="JC967" s="327">
        <f t="shared" si="1923"/>
        <v>74.326417962969998</v>
      </c>
      <c r="JD967" s="327">
        <f t="shared" si="1924"/>
        <v>17.756417763999998</v>
      </c>
      <c r="JE967" s="323">
        <f t="shared" si="1945"/>
        <v>92.082835726969989</v>
      </c>
      <c r="JF967" s="327">
        <f t="shared" si="1964"/>
        <v>38.696296259</v>
      </c>
      <c r="JG967" s="327">
        <f t="shared" si="1965"/>
        <v>44.19503585999999</v>
      </c>
      <c r="JH967" s="323">
        <f t="shared" si="1944"/>
        <v>82.891332118999998</v>
      </c>
      <c r="JI967" s="327">
        <f t="shared" si="1993"/>
        <v>91.024680720657003</v>
      </c>
      <c r="JJ967" s="1407">
        <f t="shared" si="1871"/>
        <v>23.264494242249</v>
      </c>
      <c r="JK967" s="323">
        <f t="shared" si="1933"/>
        <v>114.289174962906</v>
      </c>
      <c r="JL967" s="1407">
        <f t="shared" si="1946"/>
        <v>26.746525820491001</v>
      </c>
      <c r="JM967" s="1407">
        <f>JM968+JM973+JM974+JM970+JM971+JM975</f>
        <v>34.615487450499309</v>
      </c>
      <c r="JN967" s="323">
        <f>FISC!AK1288</f>
        <v>58.762517943990304</v>
      </c>
      <c r="JO967" s="1407">
        <f>JO968+JO973+JO974</f>
        <v>16.251921522626819</v>
      </c>
      <c r="JP967" s="1407">
        <f>JP968+JP973+JP974</f>
        <v>16.251921522626819</v>
      </c>
      <c r="JQ967" s="323">
        <f>FISC!AL1288</f>
        <v>32.503843045253639</v>
      </c>
      <c r="JR967" s="1407">
        <f>JR968+JR973+JR974</f>
        <v>15.020140489999999</v>
      </c>
      <c r="JS967" s="1407">
        <f>JS968+JS973+JS974</f>
        <v>15.020140489999999</v>
      </c>
      <c r="JT967" s="323">
        <f>FISC!AM1288</f>
        <v>30.040280979999999</v>
      </c>
      <c r="JU967" s="1407">
        <f>JU968+JU973+JU974</f>
        <v>14.419334870399998</v>
      </c>
      <c r="JV967" s="1407">
        <f>JV968+JV973+JV974</f>
        <v>15.6209461096</v>
      </c>
      <c r="JW967" s="323">
        <f>FISC!AN1288</f>
        <v>30.040280979999999</v>
      </c>
      <c r="JX967" s="1407">
        <f>JX968+JX973+JX974</f>
        <v>13.86791728128</v>
      </c>
      <c r="JY967" s="1407">
        <f>JY968+JY973+JY974</f>
        <v>15.02357705472</v>
      </c>
      <c r="JZ967" s="323">
        <f>FISC!AO1288</f>
        <v>28.891494336000001</v>
      </c>
      <c r="KA967" s="1407">
        <f>KA968+KA973+KA974</f>
        <v>4.5995007191999999</v>
      </c>
      <c r="KB967" s="1407">
        <f>KB968+KB973+KB974</f>
        <v>4.9827924457999995</v>
      </c>
      <c r="KC967" s="323">
        <f>FISC!AP1288</f>
        <v>9.5822931649999994</v>
      </c>
      <c r="KD967" s="1407">
        <f>KD968+KD973+KD974</f>
        <v>4.5995007191999999</v>
      </c>
      <c r="KE967" s="1407">
        <f>KE968+KE973+KE974</f>
        <v>4.9827924457999995</v>
      </c>
      <c r="KF967" s="323">
        <f>FISC!AQ1288</f>
        <v>9.5822931649999994</v>
      </c>
      <c r="KG967" s="1407">
        <f>KG968+KG973+KG974</f>
        <v>4.5995007191999999</v>
      </c>
      <c r="KH967" s="1407">
        <f>KH968+KH973+KH974</f>
        <v>4.9827924457999995</v>
      </c>
      <c r="KI967" s="323">
        <f>FISC!AR1288</f>
        <v>9.5822931649999994</v>
      </c>
      <c r="KJ967" s="1407">
        <f>KJ968+KJ973+KJ974</f>
        <v>4.5995007191999999</v>
      </c>
      <c r="KK967" s="1407">
        <f>KK968+KK973+KK974</f>
        <v>4.9827924457999995</v>
      </c>
      <c r="KL967" s="323">
        <f>FISC!AS1288</f>
        <v>9.5822931649999994</v>
      </c>
      <c r="KM967" s="1407">
        <f>KM968+KM973+KM974</f>
        <v>4.5995007191999999</v>
      </c>
      <c r="KN967" s="1407">
        <f>KN968+KN973+KN974</f>
        <v>4.9827924457999995</v>
      </c>
      <c r="KO967" s="323">
        <f>FISC!AT1288</f>
        <v>9.5822931649999994</v>
      </c>
      <c r="KU967" s="326"/>
      <c r="KV967" s="327"/>
    </row>
    <row r="968" spans="1:308">
      <c r="A968" s="279"/>
      <c r="B968" s="96" t="s">
        <v>338</v>
      </c>
      <c r="D968" s="335" t="s">
        <v>3068</v>
      </c>
      <c r="E968" s="323"/>
      <c r="F968" s="323"/>
      <c r="G968" s="323"/>
      <c r="H968" s="323"/>
      <c r="I968" s="323"/>
      <c r="J968" s="323"/>
      <c r="K968" s="323"/>
      <c r="L968" s="323"/>
      <c r="M968" s="323"/>
      <c r="N968" s="323"/>
      <c r="O968" s="323"/>
      <c r="P968" s="323"/>
      <c r="Q968" s="323"/>
      <c r="R968" s="323"/>
      <c r="S968" s="323"/>
      <c r="T968" s="323"/>
      <c r="U968" s="323"/>
      <c r="V968" s="323"/>
      <c r="W968" s="323"/>
      <c r="X968" s="323"/>
      <c r="Y968" s="323"/>
      <c r="Z968" s="323"/>
      <c r="AA968" s="323"/>
      <c r="AB968" s="323"/>
      <c r="AC968" s="323"/>
      <c r="AD968" s="323"/>
      <c r="AE968" s="323"/>
      <c r="AF968" s="323"/>
      <c r="AG968" s="323"/>
      <c r="AH968" s="323"/>
      <c r="AI968" s="323"/>
      <c r="AJ968" s="323"/>
      <c r="AK968" s="323"/>
      <c r="AL968" s="323"/>
      <c r="AM968" s="323"/>
      <c r="AN968" s="323"/>
      <c r="AO968" s="323"/>
      <c r="AP968" s="323"/>
      <c r="AQ968" s="323"/>
      <c r="AR968" s="323"/>
      <c r="AS968" s="323"/>
      <c r="AT968" s="323"/>
      <c r="AU968" s="323"/>
      <c r="AV968" s="323"/>
      <c r="AW968" s="323"/>
      <c r="AX968" s="323"/>
      <c r="AY968" s="323"/>
      <c r="AZ968" s="323"/>
      <c r="BA968" s="323"/>
      <c r="BB968" s="323"/>
      <c r="BC968" s="323"/>
      <c r="BD968" s="323"/>
      <c r="BE968" s="323"/>
      <c r="BF968" s="323"/>
      <c r="BG968" s="323"/>
      <c r="BH968" s="323"/>
      <c r="BI968" s="323"/>
      <c r="BJ968" s="323"/>
      <c r="BK968" s="323"/>
      <c r="BL968" s="323"/>
      <c r="BM968" s="323"/>
      <c r="BN968" s="323"/>
      <c r="BO968" s="323"/>
      <c r="BP968" s="323"/>
      <c r="BQ968" s="323"/>
      <c r="BR968" s="323"/>
      <c r="BS968" s="323"/>
      <c r="BT968" s="323"/>
      <c r="BU968" s="323"/>
      <c r="BV968" s="323"/>
      <c r="BW968" s="323"/>
      <c r="BX968" s="323"/>
      <c r="BY968" s="323"/>
      <c r="BZ968" s="323"/>
      <c r="CA968" s="323"/>
      <c r="CB968" s="323"/>
      <c r="CC968" s="323"/>
      <c r="CD968" s="329"/>
      <c r="CE968" s="323">
        <v>0</v>
      </c>
      <c r="CF968" s="323">
        <v>0</v>
      </c>
      <c r="CG968" s="323">
        <v>0</v>
      </c>
      <c r="CH968" s="323">
        <v>0</v>
      </c>
      <c r="CI968" s="323">
        <v>0</v>
      </c>
      <c r="CJ968" s="323">
        <v>0</v>
      </c>
      <c r="CK968" s="323">
        <v>0</v>
      </c>
      <c r="CL968" s="323">
        <v>0</v>
      </c>
      <c r="CM968" s="323">
        <v>0</v>
      </c>
      <c r="CN968" s="323">
        <v>0</v>
      </c>
      <c r="CO968" s="323">
        <v>0</v>
      </c>
      <c r="CP968" s="325">
        <v>0</v>
      </c>
      <c r="CQ968" s="323"/>
      <c r="CR968" s="323"/>
      <c r="CS968" s="323"/>
      <c r="CT968" s="323"/>
      <c r="CU968" s="323"/>
      <c r="CV968" s="323"/>
      <c r="CW968" s="323"/>
      <c r="CX968" s="323"/>
      <c r="CY968" s="323"/>
      <c r="CZ968" s="323"/>
      <c r="DA968" s="323"/>
      <c r="DB968" s="1269"/>
      <c r="DC968" s="323"/>
      <c r="DD968" s="323"/>
      <c r="DE968" s="323"/>
      <c r="DF968" s="323"/>
      <c r="DG968" s="323"/>
      <c r="DH968" s="323"/>
      <c r="DI968" s="323"/>
      <c r="DJ968" s="323"/>
      <c r="DK968" s="323"/>
      <c r="DL968" s="323"/>
      <c r="DM968" s="323"/>
      <c r="DN968" s="325"/>
      <c r="DO968" s="323"/>
      <c r="DP968" s="323"/>
      <c r="DQ968" s="323"/>
      <c r="DR968" s="323"/>
      <c r="DS968" s="323"/>
      <c r="DT968" s="323"/>
      <c r="DU968" s="323"/>
      <c r="DV968" s="323"/>
      <c r="DW968" s="323"/>
      <c r="DX968" s="323"/>
      <c r="DY968" s="323"/>
      <c r="DZ968" s="325"/>
      <c r="EA968" s="323"/>
      <c r="EB968" s="323"/>
      <c r="EC968" s="323"/>
      <c r="ED968" s="323"/>
      <c r="EE968" s="323"/>
      <c r="EF968" s="323"/>
      <c r="EG968" s="323"/>
      <c r="EH968" s="323"/>
      <c r="EI968" s="323"/>
      <c r="EJ968" s="323"/>
      <c r="EK968" s="323"/>
      <c r="EL968" s="325"/>
      <c r="EM968" s="323"/>
      <c r="EN968" s="323"/>
      <c r="EO968" s="323"/>
      <c r="EP968" s="323"/>
      <c r="EQ968" s="323"/>
      <c r="ER968" s="323"/>
      <c r="ES968" s="323"/>
      <c r="ET968" s="323"/>
      <c r="EU968" s="323"/>
      <c r="EV968" s="323"/>
      <c r="EW968" s="323"/>
      <c r="EX968" s="325"/>
      <c r="EY968" s="323">
        <v>2.9627427580000001</v>
      </c>
      <c r="EZ968" s="323">
        <v>1.464404676</v>
      </c>
      <c r="FA968" s="323">
        <v>0</v>
      </c>
      <c r="FB968" s="323">
        <v>2.9019727369999999</v>
      </c>
      <c r="FC968" s="323">
        <v>1.5526046760000001</v>
      </c>
      <c r="FD968" s="323">
        <v>0</v>
      </c>
      <c r="FE968" s="323">
        <v>11.865881414</v>
      </c>
      <c r="FF968" s="323">
        <v>1.80821064</v>
      </c>
      <c r="FG968" s="323">
        <v>5.3527981000000002E-2</v>
      </c>
      <c r="FH968" s="323">
        <v>0</v>
      </c>
      <c r="FI968" s="323">
        <v>0</v>
      </c>
      <c r="FJ968" s="325">
        <v>1.0382190499999999</v>
      </c>
      <c r="FK968" s="323">
        <v>3.1917141450000002</v>
      </c>
      <c r="FL968" s="323">
        <v>0</v>
      </c>
      <c r="FM968" s="323">
        <v>1.0683389350000001</v>
      </c>
      <c r="FN968" s="323">
        <v>1.8640157180000001</v>
      </c>
      <c r="FO968" s="323">
        <v>0</v>
      </c>
      <c r="FP968" s="323">
        <v>0</v>
      </c>
      <c r="FQ968" s="323">
        <v>0.28083999999999998</v>
      </c>
      <c r="FR968" s="323">
        <v>3.6483330199999999</v>
      </c>
      <c r="FS968" s="323">
        <v>0</v>
      </c>
      <c r="FT968" s="323">
        <v>3.4183738990000001</v>
      </c>
      <c r="FU968" s="323">
        <v>5.1646999559999998</v>
      </c>
      <c r="FV968" s="323">
        <v>0</v>
      </c>
      <c r="FW968" s="323">
        <v>0</v>
      </c>
      <c r="FX968" s="323">
        <v>0</v>
      </c>
      <c r="FY968" s="323">
        <v>6.5765835209999999</v>
      </c>
      <c r="FZ968" s="323">
        <v>0.70497500000000002</v>
      </c>
      <c r="GA968" s="323">
        <v>0</v>
      </c>
      <c r="GB968" s="323">
        <v>7.3348738139999998</v>
      </c>
      <c r="GC968" s="323">
        <v>1</v>
      </c>
      <c r="GD968" s="323">
        <v>3.6364257270000002</v>
      </c>
      <c r="GE968" s="323">
        <v>0.41061130699999998</v>
      </c>
      <c r="GF968" s="323">
        <v>1.7091764869999999</v>
      </c>
      <c r="GG968" s="323">
        <v>8.5065721930000002</v>
      </c>
      <c r="GH968" s="323">
        <v>1.5</v>
      </c>
      <c r="GI968" s="1654">
        <v>0</v>
      </c>
      <c r="GJ968" s="1654">
        <v>0</v>
      </c>
      <c r="GK968" s="1654">
        <v>9.158647491</v>
      </c>
      <c r="GL968" s="1654">
        <v>0</v>
      </c>
      <c r="GM968" s="1654">
        <v>0</v>
      </c>
      <c r="GN968" s="1654">
        <v>8.8817867980000003</v>
      </c>
      <c r="GO968" s="1654">
        <v>0</v>
      </c>
      <c r="GP968" s="1654">
        <v>0</v>
      </c>
      <c r="GQ968" s="1654">
        <v>8.8794150500000004</v>
      </c>
      <c r="GR968" s="1654">
        <v>0</v>
      </c>
      <c r="GS968" s="1654">
        <v>0</v>
      </c>
      <c r="GT968" s="1654">
        <v>8.8770027139999996</v>
      </c>
      <c r="GU968" s="1654">
        <v>3.6868372699999998</v>
      </c>
      <c r="GV968" s="1654">
        <v>1.6867821860000001</v>
      </c>
      <c r="GW968" s="1654">
        <v>3.4566794760000001</v>
      </c>
      <c r="GX968" s="1654"/>
      <c r="GY968" s="1654"/>
      <c r="GZ968" s="1654">
        <v>8.9</v>
      </c>
      <c r="HA968" s="1654"/>
      <c r="HB968" s="1654"/>
      <c r="HC968" s="1654">
        <v>8.6530146479999992</v>
      </c>
      <c r="HD968" s="1654"/>
      <c r="HE968" s="1654"/>
      <c r="HF968" s="1654">
        <v>8.7324903549999995</v>
      </c>
      <c r="HG968" s="1654"/>
      <c r="HH968" s="1654"/>
      <c r="HI968" s="1654">
        <v>8.6470179839999997</v>
      </c>
      <c r="HJ968" s="1654"/>
      <c r="HK968" s="1654"/>
      <c r="HL968" s="1654">
        <v>8.6470179839999997</v>
      </c>
      <c r="HM968" s="1654"/>
      <c r="HN968" s="1654"/>
      <c r="HO968" s="1654">
        <v>8.6390609999999999</v>
      </c>
      <c r="HP968" s="1654"/>
      <c r="HQ968" s="1654"/>
      <c r="HR968" s="1654">
        <v>8.6390609999999999</v>
      </c>
      <c r="HS968" s="1654"/>
      <c r="HT968" s="1654"/>
      <c r="HU968" s="1654">
        <v>8.6278770629999997</v>
      </c>
      <c r="HV968" s="1654"/>
      <c r="HW968" s="1654"/>
      <c r="HX968" s="1654">
        <v>8.6278770629999997</v>
      </c>
      <c r="HY968" s="1654"/>
      <c r="HZ968" s="326"/>
      <c r="IA968" s="1392" t="s">
        <v>3068</v>
      </c>
      <c r="IB968" s="284">
        <f>SUM(CE968:CJ968)</f>
        <v>0</v>
      </c>
      <c r="IC968" s="279">
        <f>SUM(CK968:CP968)</f>
        <v>0</v>
      </c>
      <c r="ID968" s="323">
        <f>IB968+IC968</f>
        <v>0</v>
      </c>
      <c r="IE968" s="279">
        <f>SUM(CQ968:CV968)</f>
        <v>0</v>
      </c>
      <c r="IF968" s="279">
        <f>SUM(CW968:DB968)</f>
        <v>0</v>
      </c>
      <c r="IG968" s="323">
        <f>IE968+IF968</f>
        <v>0</v>
      </c>
      <c r="IH968" s="284">
        <f>SUM(DC968:DH968)</f>
        <v>0</v>
      </c>
      <c r="II968" s="279">
        <f>SUM(DI968:DN968)</f>
        <v>0</v>
      </c>
      <c r="IJ968" s="323">
        <f>IH968+II968</f>
        <v>0</v>
      </c>
      <c r="IK968" s="327">
        <f>SUM(DO968:DT968)</f>
        <v>0</v>
      </c>
      <c r="IL968" s="279">
        <f>SUM(DU968:DZ968)</f>
        <v>0</v>
      </c>
      <c r="IM968" s="323">
        <f>IK968+IL968</f>
        <v>0</v>
      </c>
      <c r="IN968" s="279">
        <f>SUM(EA968:EF968)</f>
        <v>0</v>
      </c>
      <c r="IO968" s="279">
        <f>SUM(EG968:EL968)</f>
        <v>0</v>
      </c>
      <c r="IP968" s="323">
        <f>IN968+IO968</f>
        <v>0</v>
      </c>
      <c r="IQ968" s="327">
        <f>SUM(EM968:ER968)</f>
        <v>0</v>
      </c>
      <c r="IR968" s="327">
        <f>SUM(ES968:EX968)</f>
        <v>0</v>
      </c>
      <c r="IS968" s="323">
        <f>IQ968+IR968</f>
        <v>0</v>
      </c>
      <c r="IT968" s="327">
        <f>SUM(EY968:FD968)</f>
        <v>8.8817248469999992</v>
      </c>
      <c r="IU968" s="327">
        <f>SUM(FE968:FJ968)</f>
        <v>14.765839085000001</v>
      </c>
      <c r="IV968" s="323">
        <f>IT968+IU968</f>
        <v>23.647563932000001</v>
      </c>
      <c r="IW968" s="327">
        <f>SUM(FK968:FP968)</f>
        <v>6.1240687980000006</v>
      </c>
      <c r="IX968" s="327">
        <f t="shared" si="1963"/>
        <v>12.512246874999999</v>
      </c>
      <c r="IY968" s="323">
        <f t="shared" si="2005"/>
        <v>18.636315672999999</v>
      </c>
      <c r="IZ968" s="327">
        <f t="shared" si="1921"/>
        <v>14.616432334999999</v>
      </c>
      <c r="JA968" s="327">
        <f t="shared" si="1922"/>
        <v>16.762785714</v>
      </c>
      <c r="JB968" s="323">
        <f t="shared" si="1823"/>
        <v>31.379218048999999</v>
      </c>
      <c r="JC968" s="327">
        <f t="shared" si="1923"/>
        <v>18.040434289</v>
      </c>
      <c r="JD968" s="327">
        <f t="shared" si="1924"/>
        <v>17.756417763999998</v>
      </c>
      <c r="JE968" s="323">
        <f t="shared" si="1945"/>
        <v>35.796852052999995</v>
      </c>
      <c r="JF968" s="327">
        <f t="shared" si="1964"/>
        <v>17.730298932</v>
      </c>
      <c r="JG968" s="327">
        <f t="shared" si="1965"/>
        <v>17.385505002999999</v>
      </c>
      <c r="JH968" s="323">
        <f t="shared" si="1944"/>
        <v>35.115803935000002</v>
      </c>
      <c r="JI968" s="327">
        <f t="shared" si="1993"/>
        <v>17.294035967999999</v>
      </c>
      <c r="JJ968" s="327">
        <f t="shared" si="1871"/>
        <v>17.278122</v>
      </c>
      <c r="JK968" s="323">
        <f t="shared" si="1933"/>
        <v>34.572157967999999</v>
      </c>
      <c r="JL968" s="327">
        <f t="shared" si="1946"/>
        <v>17.255754125999999</v>
      </c>
      <c r="JM968" s="279">
        <f t="shared" ref="JM968:JM984" si="2008">JN968-JL968</f>
        <v>16.713923061999999</v>
      </c>
      <c r="JN968" s="323">
        <f>FISC!AK1289</f>
        <v>33.969677187999999</v>
      </c>
      <c r="JO968" s="327">
        <f>JQ968*0.5</f>
        <v>16.251921522626819</v>
      </c>
      <c r="JP968" s="279">
        <f t="shared" ref="JP968:JP984" si="2009">JQ968-JO968</f>
        <v>16.251921522626819</v>
      </c>
      <c r="JQ968" s="323">
        <f>FISC!AL1289</f>
        <v>32.503843045253639</v>
      </c>
      <c r="JR968" s="327">
        <f>JT968*0.5</f>
        <v>15.020140489999999</v>
      </c>
      <c r="JS968" s="279">
        <f t="shared" ref="JS968:JS984" si="2010">JT968-JR968</f>
        <v>15.020140489999999</v>
      </c>
      <c r="JT968" s="323">
        <f>FISC!AM1289</f>
        <v>30.040280979999999</v>
      </c>
      <c r="JU968" s="327">
        <f>JW968*0.48</f>
        <v>14.419334870399998</v>
      </c>
      <c r="JV968" s="279">
        <f t="shared" ref="JV968:JV984" si="2011">JW968-JU968</f>
        <v>15.6209461096</v>
      </c>
      <c r="JW968" s="323">
        <f>FISC!AN1289</f>
        <v>30.040280979999999</v>
      </c>
      <c r="JX968" s="327">
        <f>JZ968*0.48</f>
        <v>13.86791728128</v>
      </c>
      <c r="JY968" s="279">
        <f t="shared" ref="JY968:JY984" si="2012">JZ968-JX968</f>
        <v>15.02357705472</v>
      </c>
      <c r="JZ968" s="323">
        <f>FISC!AO1289</f>
        <v>28.891494336000001</v>
      </c>
      <c r="KA968" s="327">
        <f>KC968*0.48</f>
        <v>4.5995007191999999</v>
      </c>
      <c r="KB968" s="279">
        <f t="shared" ref="KB968" si="2013">KC968-KA968</f>
        <v>4.9827924457999995</v>
      </c>
      <c r="KC968" s="323">
        <f>FISC!AP1289</f>
        <v>9.5822931649999994</v>
      </c>
      <c r="KD968" s="327">
        <f>KF968*0.48</f>
        <v>4.5995007191999999</v>
      </c>
      <c r="KE968" s="279">
        <f t="shared" ref="KE968" si="2014">KF968-KD968</f>
        <v>4.9827924457999995</v>
      </c>
      <c r="KF968" s="323">
        <f>FISC!AQ1289</f>
        <v>9.5822931649999994</v>
      </c>
      <c r="KG968" s="327">
        <f>KI968*0.48</f>
        <v>4.5995007191999999</v>
      </c>
      <c r="KH968" s="279">
        <f t="shared" ref="KH968" si="2015">KI968-KG968</f>
        <v>4.9827924457999995</v>
      </c>
      <c r="KI968" s="323">
        <f>FISC!AR1289</f>
        <v>9.5822931649999994</v>
      </c>
      <c r="KJ968" s="327">
        <f>KL968*0.48</f>
        <v>4.5995007191999999</v>
      </c>
      <c r="KK968" s="279">
        <f t="shared" ref="KK968" si="2016">KL968-KJ968</f>
        <v>4.9827924457999995</v>
      </c>
      <c r="KL968" s="323">
        <f>FISC!AS1289</f>
        <v>9.5822931649999994</v>
      </c>
      <c r="KM968" s="327">
        <f>KO968*0.48</f>
        <v>4.5995007191999999</v>
      </c>
      <c r="KN968" s="279">
        <f t="shared" ref="KN968" si="2017">KO968-KM968</f>
        <v>4.9827924457999995</v>
      </c>
      <c r="KO968" s="323">
        <f>FISC!AT1289</f>
        <v>9.5822931649999994</v>
      </c>
      <c r="KU968" s="326"/>
      <c r="KV968" s="327"/>
    </row>
    <row r="969" spans="1:308">
      <c r="A969" s="279"/>
      <c r="D969" s="335"/>
      <c r="E969" s="323"/>
      <c r="F969" s="323"/>
      <c r="G969" s="323"/>
      <c r="H969" s="323"/>
      <c r="I969" s="323"/>
      <c r="J969" s="323"/>
      <c r="K969" s="323"/>
      <c r="L969" s="323"/>
      <c r="M969" s="323"/>
      <c r="N969" s="323"/>
      <c r="O969" s="323"/>
      <c r="P969" s="323"/>
      <c r="Q969" s="323"/>
      <c r="R969" s="323"/>
      <c r="S969" s="323"/>
      <c r="T969" s="323"/>
      <c r="U969" s="323"/>
      <c r="V969" s="323"/>
      <c r="W969" s="323"/>
      <c r="X969" s="323"/>
      <c r="Y969" s="323"/>
      <c r="Z969" s="323"/>
      <c r="AA969" s="323"/>
      <c r="AB969" s="323"/>
      <c r="AC969" s="323"/>
      <c r="AD969" s="323"/>
      <c r="AE969" s="323"/>
      <c r="AF969" s="323"/>
      <c r="AG969" s="323"/>
      <c r="AH969" s="323"/>
      <c r="AI969" s="323"/>
      <c r="AJ969" s="323"/>
      <c r="AK969" s="323"/>
      <c r="AL969" s="323"/>
      <c r="AM969" s="323"/>
      <c r="AN969" s="323"/>
      <c r="AO969" s="323"/>
      <c r="AP969" s="323"/>
      <c r="AQ969" s="323"/>
      <c r="AR969" s="323"/>
      <c r="AS969" s="323"/>
      <c r="AT969" s="323"/>
      <c r="AU969" s="323"/>
      <c r="AV969" s="323"/>
      <c r="AW969" s="323"/>
      <c r="AX969" s="323"/>
      <c r="AY969" s="323"/>
      <c r="AZ969" s="323"/>
      <c r="BA969" s="323"/>
      <c r="BB969" s="323"/>
      <c r="BC969" s="323"/>
      <c r="BD969" s="323"/>
      <c r="BE969" s="323"/>
      <c r="BF969" s="323"/>
      <c r="BG969" s="323"/>
      <c r="BH969" s="323"/>
      <c r="BI969" s="323"/>
      <c r="BJ969" s="323"/>
      <c r="BK969" s="323"/>
      <c r="BL969" s="323"/>
      <c r="BM969" s="323"/>
      <c r="BN969" s="323"/>
      <c r="BO969" s="323"/>
      <c r="BP969" s="323"/>
      <c r="BQ969" s="323"/>
      <c r="BR969" s="323"/>
      <c r="BS969" s="323"/>
      <c r="BT969" s="323"/>
      <c r="BU969" s="323"/>
      <c r="BV969" s="323"/>
      <c r="BW969" s="323"/>
      <c r="BX969" s="323"/>
      <c r="BY969" s="323"/>
      <c r="BZ969" s="323"/>
      <c r="CA969" s="323"/>
      <c r="CB969" s="323"/>
      <c r="CC969" s="323"/>
      <c r="CD969" s="329"/>
      <c r="CE969" s="323"/>
      <c r="CF969" s="323"/>
      <c r="CG969" s="323"/>
      <c r="CH969" s="323"/>
      <c r="CI969" s="323"/>
      <c r="CJ969" s="323"/>
      <c r="CK969" s="323"/>
      <c r="CL969" s="323"/>
      <c r="CM969" s="323"/>
      <c r="CN969" s="323"/>
      <c r="CO969" s="323"/>
      <c r="CP969" s="325"/>
      <c r="CQ969" s="323"/>
      <c r="CR969" s="323"/>
      <c r="CS969" s="323"/>
      <c r="CT969" s="323"/>
      <c r="CU969" s="323"/>
      <c r="CV969" s="323"/>
      <c r="CW969" s="323"/>
      <c r="CX969" s="323"/>
      <c r="CY969" s="323"/>
      <c r="CZ969" s="323"/>
      <c r="DA969" s="323"/>
      <c r="DB969" s="1269"/>
      <c r="DC969" s="323"/>
      <c r="DD969" s="323"/>
      <c r="DE969" s="323"/>
      <c r="DF969" s="323"/>
      <c r="DG969" s="323"/>
      <c r="DH969" s="323"/>
      <c r="DI969" s="323"/>
      <c r="DJ969" s="323"/>
      <c r="DK969" s="323"/>
      <c r="DL969" s="323"/>
      <c r="DM969" s="323"/>
      <c r="DN969" s="325"/>
      <c r="DO969" s="323"/>
      <c r="DP969" s="323"/>
      <c r="DQ969" s="323"/>
      <c r="DR969" s="323"/>
      <c r="DS969" s="323"/>
      <c r="DT969" s="323"/>
      <c r="DU969" s="323"/>
      <c r="DV969" s="323"/>
      <c r="DW969" s="323"/>
      <c r="DX969" s="323"/>
      <c r="DY969" s="323"/>
      <c r="DZ969" s="325"/>
      <c r="EA969" s="323"/>
      <c r="EB969" s="323"/>
      <c r="EC969" s="323"/>
      <c r="ED969" s="323"/>
      <c r="EE969" s="323"/>
      <c r="EF969" s="323"/>
      <c r="EG969" s="323"/>
      <c r="EH969" s="323"/>
      <c r="EI969" s="323"/>
      <c r="EJ969" s="323"/>
      <c r="EK969" s="323"/>
      <c r="EL969" s="325"/>
      <c r="EM969" s="323"/>
      <c r="EN969" s="323"/>
      <c r="EO969" s="323"/>
      <c r="EP969" s="323"/>
      <c r="EQ969" s="323"/>
      <c r="ER969" s="323"/>
      <c r="ES969" s="323"/>
      <c r="ET969" s="323"/>
      <c r="EU969" s="323"/>
      <c r="EV969" s="323"/>
      <c r="EW969" s="323"/>
      <c r="EX969" s="325"/>
      <c r="EY969" s="323"/>
      <c r="EZ969" s="323"/>
      <c r="FA969" s="323"/>
      <c r="FB969" s="323"/>
      <c r="FC969" s="323"/>
      <c r="FD969" s="323"/>
      <c r="FE969" s="323"/>
      <c r="FF969" s="323"/>
      <c r="FG969" s="323"/>
      <c r="FH969" s="323"/>
      <c r="FI969" s="323"/>
      <c r="FJ969" s="325"/>
      <c r="FK969" s="323"/>
      <c r="FL969" s="323"/>
      <c r="FM969" s="323"/>
      <c r="FN969" s="323"/>
      <c r="FO969" s="323"/>
      <c r="FP969" s="323"/>
      <c r="FQ969" s="323"/>
      <c r="FR969" s="323"/>
      <c r="FS969" s="323"/>
      <c r="FT969" s="323"/>
      <c r="FU969" s="323"/>
      <c r="FV969" s="323"/>
      <c r="FW969" s="323"/>
      <c r="FX969" s="323"/>
      <c r="FY969" s="323"/>
      <c r="FZ969" s="323"/>
      <c r="GA969" s="323"/>
      <c r="GB969" s="323"/>
      <c r="GC969" s="323"/>
      <c r="GD969" s="323"/>
      <c r="GE969" s="323"/>
      <c r="GF969" s="323"/>
      <c r="GG969" s="323"/>
      <c r="GH969" s="323"/>
      <c r="GI969" s="1654"/>
      <c r="GJ969" s="1654"/>
      <c r="GK969" s="1654"/>
      <c r="GL969" s="1654"/>
      <c r="GM969" s="1654"/>
      <c r="GN969" s="1654"/>
      <c r="GO969" s="1654"/>
      <c r="GP969" s="1654"/>
      <c r="GQ969" s="1654"/>
      <c r="GR969" s="1654"/>
      <c r="GS969" s="1654"/>
      <c r="GT969" s="1654"/>
      <c r="GU969" s="1654"/>
      <c r="GV969" s="1654"/>
      <c r="GW969" s="1654"/>
      <c r="GX969" s="1654"/>
      <c r="GY969" s="1654"/>
      <c r="GZ969" s="1654"/>
      <c r="HA969" s="1654"/>
      <c r="HB969" s="1654"/>
      <c r="HC969" s="1654"/>
      <c r="HD969" s="1654"/>
      <c r="HE969" s="1654"/>
      <c r="HF969" s="1654"/>
      <c r="HG969" s="1654"/>
      <c r="HH969" s="1654"/>
      <c r="HI969" s="1654"/>
      <c r="HJ969" s="1654"/>
      <c r="HK969" s="1654"/>
      <c r="HL969" s="1654"/>
      <c r="HM969" s="1654"/>
      <c r="HN969" s="1654"/>
      <c r="HO969" s="1654"/>
      <c r="HP969" s="1654"/>
      <c r="HQ969" s="1654"/>
      <c r="HR969" s="1654"/>
      <c r="HS969" s="1654"/>
      <c r="HT969" s="1654"/>
      <c r="HU969" s="1654"/>
      <c r="HV969" s="1654"/>
      <c r="HW969" s="1654"/>
      <c r="HX969" s="1654"/>
      <c r="HY969" s="1654"/>
      <c r="HZ969" s="326"/>
      <c r="IA969" s="1392" t="s">
        <v>3575</v>
      </c>
      <c r="IB969" s="284"/>
      <c r="ID969" s="323"/>
      <c r="IG969" s="323"/>
      <c r="IH969" s="284"/>
      <c r="IJ969" s="323"/>
      <c r="IK969" s="327"/>
      <c r="IM969" s="323"/>
      <c r="IP969" s="323"/>
      <c r="IQ969" s="327"/>
      <c r="IR969" s="327"/>
      <c r="IS969" s="323"/>
      <c r="IT969" s="327"/>
      <c r="IU969" s="327"/>
      <c r="IV969" s="323"/>
      <c r="IW969" s="327"/>
      <c r="IX969" s="327"/>
      <c r="IY969" s="323"/>
      <c r="IZ969" s="327"/>
      <c r="JA969" s="327"/>
      <c r="JB969" s="323"/>
      <c r="JC969" s="327"/>
      <c r="JD969" s="327"/>
      <c r="JE969" s="323"/>
      <c r="JF969" s="327"/>
      <c r="JG969" s="327"/>
      <c r="JH969" s="323"/>
      <c r="JI969" s="327"/>
      <c r="JJ969" s="327">
        <f t="shared" si="1871"/>
        <v>0</v>
      </c>
      <c r="JK969" s="323">
        <f t="shared" si="1933"/>
        <v>0</v>
      </c>
      <c r="JL969" s="327">
        <f t="shared" si="1946"/>
        <v>0</v>
      </c>
      <c r="JN969" s="323">
        <f>FISC!AK1290</f>
        <v>0</v>
      </c>
      <c r="JO969" s="327"/>
      <c r="JQ969" s="323">
        <f>FISC!AL1290</f>
        <v>0</v>
      </c>
      <c r="JR969" s="327"/>
      <c r="JT969" s="323">
        <f>FISC!AM1290</f>
        <v>0</v>
      </c>
      <c r="JU969" s="327"/>
      <c r="JW969" s="323">
        <f>FISC!AN1290</f>
        <v>0</v>
      </c>
      <c r="JX969" s="327"/>
      <c r="JZ969" s="323">
        <f>FISC!AO1290</f>
        <v>0</v>
      </c>
      <c r="KA969" s="327"/>
      <c r="KC969" s="323">
        <f>FISC!AP1290</f>
        <v>0</v>
      </c>
      <c r="KD969" s="327"/>
      <c r="KF969" s="323">
        <f>FISC!AQ1290</f>
        <v>0</v>
      </c>
      <c r="KG969" s="327"/>
      <c r="KI969" s="323">
        <f>FISC!AR1290</f>
        <v>0</v>
      </c>
      <c r="KJ969" s="327"/>
      <c r="KL969" s="323">
        <f>FISC!AS1290</f>
        <v>0</v>
      </c>
      <c r="KM969" s="327"/>
      <c r="KO969" s="323">
        <f>FISC!AT1290</f>
        <v>0</v>
      </c>
      <c r="KU969" s="326"/>
      <c r="KV969" s="327"/>
    </row>
    <row r="970" spans="1:308">
      <c r="A970" s="279"/>
      <c r="D970" s="1415" t="s">
        <v>3575</v>
      </c>
      <c r="E970" s="323"/>
      <c r="F970" s="323"/>
      <c r="G970" s="323"/>
      <c r="H970" s="323"/>
      <c r="I970" s="323"/>
      <c r="J970" s="323"/>
      <c r="K970" s="323"/>
      <c r="L970" s="323"/>
      <c r="M970" s="323"/>
      <c r="N970" s="323"/>
      <c r="O970" s="323"/>
      <c r="P970" s="323"/>
      <c r="Q970" s="323"/>
      <c r="R970" s="323"/>
      <c r="S970" s="323"/>
      <c r="T970" s="323"/>
      <c r="U970" s="323"/>
      <c r="V970" s="323"/>
      <c r="W970" s="323"/>
      <c r="X970" s="323"/>
      <c r="Y970" s="323"/>
      <c r="Z970" s="323"/>
      <c r="AA970" s="323"/>
      <c r="AB970" s="323"/>
      <c r="AC970" s="323"/>
      <c r="AD970" s="323"/>
      <c r="AE970" s="323"/>
      <c r="AF970" s="323"/>
      <c r="AG970" s="323"/>
      <c r="AH970" s="323"/>
      <c r="AI970" s="323"/>
      <c r="AJ970" s="323"/>
      <c r="AK970" s="323"/>
      <c r="AL970" s="323"/>
      <c r="AM970" s="323"/>
      <c r="AN970" s="323"/>
      <c r="AO970" s="323"/>
      <c r="AP970" s="323"/>
      <c r="AQ970" s="323"/>
      <c r="AR970" s="323"/>
      <c r="AS970" s="323"/>
      <c r="AT970" s="323"/>
      <c r="AU970" s="323"/>
      <c r="AV970" s="323"/>
      <c r="AW970" s="323"/>
      <c r="AX970" s="323"/>
      <c r="AY970" s="323"/>
      <c r="AZ970" s="323"/>
      <c r="BA970" s="323"/>
      <c r="BB970" s="323"/>
      <c r="BC970" s="323"/>
      <c r="BD970" s="323"/>
      <c r="BE970" s="323"/>
      <c r="BF970" s="323"/>
      <c r="BG970" s="323"/>
      <c r="BH970" s="323"/>
      <c r="BI970" s="323"/>
      <c r="BJ970" s="323"/>
      <c r="BK970" s="323"/>
      <c r="BL970" s="323"/>
      <c r="BM970" s="323"/>
      <c r="BN970" s="323"/>
      <c r="BO970" s="323"/>
      <c r="BP970" s="323"/>
      <c r="BQ970" s="323"/>
      <c r="BR970" s="323"/>
      <c r="BS970" s="323"/>
      <c r="BT970" s="323"/>
      <c r="BU970" s="323"/>
      <c r="BV970" s="323"/>
      <c r="BW970" s="323"/>
      <c r="BX970" s="323"/>
      <c r="BY970" s="323"/>
      <c r="BZ970" s="323"/>
      <c r="CA970" s="323"/>
      <c r="CB970" s="323"/>
      <c r="CC970" s="323"/>
      <c r="CD970" s="329"/>
      <c r="CE970" s="323"/>
      <c r="CF970" s="323"/>
      <c r="CG970" s="323"/>
      <c r="CH970" s="323"/>
      <c r="CI970" s="323"/>
      <c r="CJ970" s="323"/>
      <c r="CK970" s="323"/>
      <c r="CL970" s="323"/>
      <c r="CM970" s="323"/>
      <c r="CN970" s="323"/>
      <c r="CO970" s="323"/>
      <c r="CP970" s="325"/>
      <c r="CQ970" s="323"/>
      <c r="CR970" s="323"/>
      <c r="CS970" s="323"/>
      <c r="CT970" s="323"/>
      <c r="CU970" s="323"/>
      <c r="CV970" s="323"/>
      <c r="CW970" s="323"/>
      <c r="CX970" s="323"/>
      <c r="CY970" s="323"/>
      <c r="CZ970" s="323"/>
      <c r="DA970" s="323"/>
      <c r="DB970" s="1269"/>
      <c r="DC970" s="323"/>
      <c r="DD970" s="323"/>
      <c r="DE970" s="323"/>
      <c r="DF970" s="323"/>
      <c r="DG970" s="323"/>
      <c r="DH970" s="323"/>
      <c r="DI970" s="323"/>
      <c r="DJ970" s="323"/>
      <c r="DK970" s="323"/>
      <c r="DL970" s="323"/>
      <c r="DM970" s="323"/>
      <c r="DN970" s="325"/>
      <c r="DO970" s="323"/>
      <c r="DP970" s="323"/>
      <c r="DQ970" s="323"/>
      <c r="DR970" s="323"/>
      <c r="DS970" s="323"/>
      <c r="DT970" s="323"/>
      <c r="DU970" s="323"/>
      <c r="DV970" s="323"/>
      <c r="DW970" s="323"/>
      <c r="DX970" s="323"/>
      <c r="DY970" s="323"/>
      <c r="DZ970" s="325"/>
      <c r="EA970" s="323"/>
      <c r="EB970" s="323"/>
      <c r="EC970" s="323"/>
      <c r="ED970" s="323"/>
      <c r="EE970" s="323"/>
      <c r="EF970" s="323"/>
      <c r="EG970" s="323"/>
      <c r="EH970" s="323"/>
      <c r="EI970" s="323"/>
      <c r="EJ970" s="323"/>
      <c r="EK970" s="323"/>
      <c r="EL970" s="325"/>
      <c r="EM970" s="323"/>
      <c r="EN970" s="323"/>
      <c r="EO970" s="323"/>
      <c r="EP970" s="323"/>
      <c r="EQ970" s="323"/>
      <c r="ER970" s="323"/>
      <c r="ES970" s="323"/>
      <c r="ET970" s="323"/>
      <c r="EU970" s="323"/>
      <c r="EV970" s="323"/>
      <c r="EW970" s="323"/>
      <c r="EX970" s="325"/>
      <c r="EY970" s="323"/>
      <c r="EZ970" s="323"/>
      <c r="FA970" s="323"/>
      <c r="FB970" s="323"/>
      <c r="FC970" s="323"/>
      <c r="FD970" s="323"/>
      <c r="FE970" s="323"/>
      <c r="FF970" s="323"/>
      <c r="FG970" s="323"/>
      <c r="FH970" s="323"/>
      <c r="FI970" s="323"/>
      <c r="FJ970" s="325"/>
      <c r="FK970" s="323"/>
      <c r="FL970" s="323"/>
      <c r="FM970" s="323"/>
      <c r="FN970" s="323"/>
      <c r="FO970" s="323"/>
      <c r="FP970" s="323"/>
      <c r="FQ970" s="323"/>
      <c r="FR970" s="323"/>
      <c r="FS970" s="323"/>
      <c r="FT970" s="323"/>
      <c r="FU970" s="323"/>
      <c r="FV970" s="323"/>
      <c r="FW970" s="323"/>
      <c r="FX970" s="323"/>
      <c r="FY970" s="323"/>
      <c r="FZ970" s="323"/>
      <c r="GA970" s="323"/>
      <c r="GB970" s="323"/>
      <c r="GC970" s="323"/>
      <c r="GD970" s="323"/>
      <c r="GE970" s="323"/>
      <c r="GF970" s="323"/>
      <c r="GG970" s="323"/>
      <c r="GH970" s="323"/>
      <c r="GI970" s="1654"/>
      <c r="GJ970" s="1654"/>
      <c r="GK970" s="1654"/>
      <c r="GL970" s="1654"/>
      <c r="GM970" s="1654"/>
      <c r="GN970" s="1654"/>
      <c r="GO970" s="1654"/>
      <c r="GP970" s="1654"/>
      <c r="GQ970" s="1654"/>
      <c r="GR970" s="1654"/>
      <c r="GS970" s="1654"/>
      <c r="GT970" s="1654"/>
      <c r="GU970" s="1654"/>
      <c r="GV970" s="1654"/>
      <c r="GW970" s="1654"/>
      <c r="GX970" s="1654"/>
      <c r="GY970" s="1654"/>
      <c r="GZ970" s="1654"/>
      <c r="HA970" s="1654"/>
      <c r="HB970" s="1654"/>
      <c r="HC970" s="1654"/>
      <c r="HD970" s="1654"/>
      <c r="HE970" s="1654"/>
      <c r="HF970" s="1654"/>
      <c r="HG970" s="1654">
        <v>55.139928963999999</v>
      </c>
      <c r="HH970" s="1654">
        <v>0</v>
      </c>
      <c r="HI970" s="1654">
        <v>0</v>
      </c>
      <c r="HJ970" s="1654">
        <v>0</v>
      </c>
      <c r="HK970" s="1654">
        <v>0</v>
      </c>
      <c r="HL970" s="1654">
        <v>0</v>
      </c>
      <c r="HM970" s="1654">
        <v>0</v>
      </c>
      <c r="HN970" s="1654">
        <v>0</v>
      </c>
      <c r="HO970" s="1654">
        <v>0</v>
      </c>
      <c r="HP970" s="1654">
        <v>0</v>
      </c>
      <c r="HQ970" s="1654">
        <v>0</v>
      </c>
      <c r="HR970" s="1654">
        <v>0</v>
      </c>
      <c r="HS970" s="1654">
        <v>0</v>
      </c>
      <c r="HT970" s="1654">
        <v>0</v>
      </c>
      <c r="HU970" s="1654">
        <v>0</v>
      </c>
      <c r="HV970" s="1654">
        <v>0</v>
      </c>
      <c r="HW970" s="1654">
        <v>0</v>
      </c>
      <c r="HX970" s="1654">
        <v>0</v>
      </c>
      <c r="HY970" s="1654"/>
      <c r="HZ970" s="326"/>
      <c r="IA970" s="1394" t="s">
        <v>3583</v>
      </c>
      <c r="IB970" s="284"/>
      <c r="ID970" s="323"/>
      <c r="IG970" s="323"/>
      <c r="IH970" s="284"/>
      <c r="IJ970" s="323"/>
      <c r="IK970" s="327"/>
      <c r="IM970" s="323"/>
      <c r="IP970" s="323"/>
      <c r="IQ970" s="327"/>
      <c r="IR970" s="327"/>
      <c r="IS970" s="323"/>
      <c r="IT970" s="327"/>
      <c r="IU970" s="327"/>
      <c r="IV970" s="323"/>
      <c r="IW970" s="327"/>
      <c r="IX970" s="327"/>
      <c r="IY970" s="323"/>
      <c r="IZ970" s="327"/>
      <c r="JA970" s="327"/>
      <c r="JB970" s="323"/>
      <c r="JC970" s="327"/>
      <c r="JD970" s="327"/>
      <c r="JE970" s="323"/>
      <c r="JF970" s="327"/>
      <c r="JG970" s="327"/>
      <c r="JH970" s="323"/>
      <c r="JI970" s="327">
        <f t="shared" si="1993"/>
        <v>55.139928963999999</v>
      </c>
      <c r="JJ970" s="327">
        <f t="shared" si="1871"/>
        <v>0</v>
      </c>
      <c r="JK970" s="323">
        <f t="shared" si="1933"/>
        <v>55.139928963999999</v>
      </c>
      <c r="JL970" s="327">
        <f t="shared" si="1946"/>
        <v>0</v>
      </c>
      <c r="JN970" s="323">
        <f>FISC!AK1291</f>
        <v>0</v>
      </c>
      <c r="JO970" s="327"/>
      <c r="JQ970" s="323">
        <f>FISC!AL1291</f>
        <v>0</v>
      </c>
      <c r="JR970" s="327"/>
      <c r="JT970" s="323">
        <f>FISC!AM1291</f>
        <v>0</v>
      </c>
      <c r="JU970" s="327"/>
      <c r="JW970" s="323">
        <f>FISC!AN1291</f>
        <v>0</v>
      </c>
      <c r="JX970" s="327"/>
      <c r="JZ970" s="323">
        <f>FISC!AO1291</f>
        <v>0</v>
      </c>
      <c r="KA970" s="327"/>
      <c r="KC970" s="323">
        <f>FISC!AP1291</f>
        <v>0</v>
      </c>
      <c r="KD970" s="327"/>
      <c r="KF970" s="323">
        <f>FISC!AQ1291</f>
        <v>0</v>
      </c>
      <c r="KG970" s="327"/>
      <c r="KI970" s="323">
        <f>FISC!AR1291</f>
        <v>0</v>
      </c>
      <c r="KJ970" s="327"/>
      <c r="KL970" s="323">
        <f>FISC!AS1291</f>
        <v>0</v>
      </c>
      <c r="KM970" s="327"/>
      <c r="KO970" s="323">
        <f>FISC!AT1291</f>
        <v>0</v>
      </c>
      <c r="KU970" s="326"/>
      <c r="KV970" s="327"/>
    </row>
    <row r="971" spans="1:308">
      <c r="A971" s="279"/>
      <c r="D971" s="1415" t="s">
        <v>3152</v>
      </c>
      <c r="E971" s="323"/>
      <c r="F971" s="323"/>
      <c r="G971" s="323"/>
      <c r="H971" s="323"/>
      <c r="I971" s="323"/>
      <c r="J971" s="323"/>
      <c r="K971" s="323"/>
      <c r="L971" s="323"/>
      <c r="M971" s="323"/>
      <c r="N971" s="323"/>
      <c r="O971" s="323"/>
      <c r="P971" s="323"/>
      <c r="Q971" s="323"/>
      <c r="R971" s="323"/>
      <c r="S971" s="323"/>
      <c r="T971" s="323"/>
      <c r="U971" s="323"/>
      <c r="V971" s="323"/>
      <c r="W971" s="323"/>
      <c r="X971" s="323"/>
      <c r="Y971" s="323"/>
      <c r="Z971" s="323"/>
      <c r="AA971" s="323"/>
      <c r="AB971" s="323"/>
      <c r="AC971" s="323"/>
      <c r="AD971" s="323"/>
      <c r="AE971" s="323"/>
      <c r="AF971" s="323"/>
      <c r="AG971" s="323"/>
      <c r="AH971" s="323"/>
      <c r="AI971" s="323"/>
      <c r="AJ971" s="323"/>
      <c r="AK971" s="323"/>
      <c r="AL971" s="323"/>
      <c r="AM971" s="323"/>
      <c r="AN971" s="323"/>
      <c r="AO971" s="323"/>
      <c r="AP971" s="323"/>
      <c r="AQ971" s="323"/>
      <c r="AR971" s="323"/>
      <c r="AS971" s="323"/>
      <c r="AT971" s="323"/>
      <c r="AU971" s="323"/>
      <c r="AV971" s="323"/>
      <c r="AW971" s="323"/>
      <c r="AX971" s="323"/>
      <c r="AY971" s="323"/>
      <c r="AZ971" s="323"/>
      <c r="BA971" s="323"/>
      <c r="BB971" s="323"/>
      <c r="BC971" s="323"/>
      <c r="BD971" s="323"/>
      <c r="BE971" s="323"/>
      <c r="BF971" s="323"/>
      <c r="BG971" s="323"/>
      <c r="BH971" s="323"/>
      <c r="BI971" s="323"/>
      <c r="BJ971" s="323"/>
      <c r="BK971" s="323"/>
      <c r="BL971" s="323"/>
      <c r="BM971" s="323"/>
      <c r="BN971" s="323"/>
      <c r="BO971" s="323"/>
      <c r="BP971" s="323"/>
      <c r="BQ971" s="323"/>
      <c r="BR971" s="323"/>
      <c r="BS971" s="323"/>
      <c r="BT971" s="323"/>
      <c r="BU971" s="323"/>
      <c r="BV971" s="323"/>
      <c r="BW971" s="323"/>
      <c r="BX971" s="323"/>
      <c r="BY971" s="323"/>
      <c r="BZ971" s="323"/>
      <c r="CA971" s="323"/>
      <c r="CB971" s="323"/>
      <c r="CC971" s="323"/>
      <c r="CD971" s="329"/>
      <c r="CE971" s="323"/>
      <c r="CF971" s="323"/>
      <c r="CG971" s="323"/>
      <c r="CH971" s="323"/>
      <c r="CI971" s="323"/>
      <c r="CJ971" s="323"/>
      <c r="CK971" s="323"/>
      <c r="CL971" s="323"/>
      <c r="CM971" s="323"/>
      <c r="CN971" s="323"/>
      <c r="CO971" s="323"/>
      <c r="CP971" s="325"/>
      <c r="CQ971" s="323"/>
      <c r="CR971" s="323"/>
      <c r="CS971" s="323"/>
      <c r="CT971" s="323"/>
      <c r="CU971" s="323"/>
      <c r="CV971" s="323"/>
      <c r="CW971" s="323"/>
      <c r="CX971" s="323"/>
      <c r="CY971" s="323"/>
      <c r="CZ971" s="323"/>
      <c r="DA971" s="323"/>
      <c r="DB971" s="1269"/>
      <c r="DC971" s="323"/>
      <c r="DD971" s="323"/>
      <c r="DE971" s="323"/>
      <c r="DF971" s="323"/>
      <c r="DG971" s="323"/>
      <c r="DH971" s="323"/>
      <c r="DI971" s="323"/>
      <c r="DJ971" s="323"/>
      <c r="DK971" s="323"/>
      <c r="DL971" s="323"/>
      <c r="DM971" s="323"/>
      <c r="DN971" s="325"/>
      <c r="DO971" s="323"/>
      <c r="DP971" s="323"/>
      <c r="DQ971" s="323"/>
      <c r="DR971" s="323"/>
      <c r="DS971" s="323"/>
      <c r="DT971" s="323"/>
      <c r="DU971" s="323"/>
      <c r="DV971" s="323"/>
      <c r="DW971" s="323"/>
      <c r="DX971" s="323"/>
      <c r="DY971" s="323"/>
      <c r="DZ971" s="325"/>
      <c r="EA971" s="323"/>
      <c r="EB971" s="323"/>
      <c r="EC971" s="323"/>
      <c r="ED971" s="323"/>
      <c r="EE971" s="323"/>
      <c r="EF971" s="323"/>
      <c r="EG971" s="323"/>
      <c r="EH971" s="323"/>
      <c r="EI971" s="323"/>
      <c r="EJ971" s="323"/>
      <c r="EK971" s="323"/>
      <c r="EL971" s="325"/>
      <c r="EM971" s="323"/>
      <c r="EN971" s="323"/>
      <c r="EO971" s="323"/>
      <c r="EP971" s="323"/>
      <c r="EQ971" s="323"/>
      <c r="ER971" s="323"/>
      <c r="ES971" s="323"/>
      <c r="ET971" s="323"/>
      <c r="EU971" s="323"/>
      <c r="EV971" s="323"/>
      <c r="EW971" s="323"/>
      <c r="EX971" s="325"/>
      <c r="EY971" s="323"/>
      <c r="EZ971" s="323"/>
      <c r="FA971" s="323"/>
      <c r="FB971" s="323"/>
      <c r="FC971" s="323"/>
      <c r="FD971" s="323"/>
      <c r="FE971" s="323"/>
      <c r="FF971" s="323"/>
      <c r="FG971" s="323"/>
      <c r="FH971" s="323"/>
      <c r="FI971" s="323"/>
      <c r="FJ971" s="325"/>
      <c r="FK971" s="323"/>
      <c r="FL971" s="323"/>
      <c r="FM971" s="323"/>
      <c r="FN971" s="323"/>
      <c r="FO971" s="323"/>
      <c r="FP971" s="323"/>
      <c r="FQ971" s="323">
        <v>0</v>
      </c>
      <c r="FR971" s="323">
        <v>0</v>
      </c>
      <c r="FS971" s="323">
        <v>0</v>
      </c>
      <c r="FT971" s="323">
        <v>0</v>
      </c>
      <c r="FU971" s="323">
        <v>0</v>
      </c>
      <c r="FV971" s="323">
        <v>0</v>
      </c>
      <c r="FW971" s="323">
        <v>0</v>
      </c>
      <c r="FX971" s="323">
        <v>0</v>
      </c>
      <c r="FY971" s="323">
        <v>0</v>
      </c>
      <c r="FZ971" s="323">
        <v>0</v>
      </c>
      <c r="GA971" s="323">
        <v>0</v>
      </c>
      <c r="GB971" s="323">
        <v>0</v>
      </c>
      <c r="GC971" s="323">
        <v>0</v>
      </c>
      <c r="GD971" s="323">
        <v>0</v>
      </c>
      <c r="GE971" s="323">
        <v>0</v>
      </c>
      <c r="GF971" s="323">
        <v>0</v>
      </c>
      <c r="GG971" s="323">
        <v>0</v>
      </c>
      <c r="GH971" s="323">
        <v>0</v>
      </c>
      <c r="GI971" s="1654"/>
      <c r="GJ971" s="1654"/>
      <c r="GK971" s="1654"/>
      <c r="GL971" s="1654"/>
      <c r="GM971" s="1654"/>
      <c r="GN971" s="1654"/>
      <c r="GO971" s="1654"/>
      <c r="GP971" s="1654"/>
      <c r="GQ971" s="1654"/>
      <c r="GR971" s="1654"/>
      <c r="GS971" s="1654"/>
      <c r="GT971" s="1654"/>
      <c r="GU971" s="1654"/>
      <c r="GV971" s="1654"/>
      <c r="GW971" s="1654"/>
      <c r="GX971" s="1654"/>
      <c r="GY971" s="1654"/>
      <c r="GZ971" s="1654"/>
      <c r="HA971" s="1654"/>
      <c r="HB971" s="1654"/>
      <c r="HC971" s="1654"/>
      <c r="HD971" s="1654"/>
      <c r="HE971" s="1654"/>
      <c r="HF971" s="1654"/>
      <c r="HG971" s="1654"/>
      <c r="HH971" s="1654"/>
      <c r="HI971" s="1654"/>
      <c r="HJ971" s="1654"/>
      <c r="HK971" s="1654"/>
      <c r="HL971" s="1654"/>
      <c r="HM971" s="1654"/>
      <c r="HN971" s="1654"/>
      <c r="HO971" s="1654"/>
      <c r="HP971" s="1654"/>
      <c r="HQ971" s="1654"/>
      <c r="HR971" s="1654"/>
      <c r="HS971" s="1654"/>
      <c r="HT971" s="1654"/>
      <c r="HU971" s="1654"/>
      <c r="HV971" s="1654"/>
      <c r="HW971" s="1654"/>
      <c r="HX971" s="1654"/>
      <c r="HY971" s="1654"/>
      <c r="HZ971" s="326"/>
      <c r="IA971" s="1394" t="s">
        <v>3584</v>
      </c>
      <c r="IB971" s="284"/>
      <c r="ID971" s="323"/>
      <c r="IG971" s="323"/>
      <c r="IH971" s="284"/>
      <c r="IJ971" s="323"/>
      <c r="IK971" s="327"/>
      <c r="IM971" s="323"/>
      <c r="IP971" s="323"/>
      <c r="IQ971" s="327"/>
      <c r="IR971" s="327"/>
      <c r="IS971" s="323"/>
      <c r="IT971" s="327"/>
      <c r="IU971" s="327"/>
      <c r="IV971" s="323"/>
      <c r="IW971" s="327"/>
      <c r="IX971" s="327">
        <f t="shared" si="1963"/>
        <v>0</v>
      </c>
      <c r="IY971" s="323">
        <f t="shared" si="2005"/>
        <v>0</v>
      </c>
      <c r="IZ971" s="327">
        <f t="shared" ref="IZ971:IZ1010" si="2018">SUM(FW971:GB971)</f>
        <v>0</v>
      </c>
      <c r="JA971" s="327">
        <f t="shared" ref="JA971:JA1010" si="2019">SUM(GC971:GH971)</f>
        <v>0</v>
      </c>
      <c r="JB971" s="323">
        <f t="shared" si="1823"/>
        <v>0</v>
      </c>
      <c r="JC971" s="327">
        <f t="shared" ref="JC971:JC1010" si="2020">SUM(GI971:GN971)</f>
        <v>0</v>
      </c>
      <c r="JD971" s="327">
        <f t="shared" ref="JD971:JD1010" si="2021">SUM(GO971:GT971)</f>
        <v>0</v>
      </c>
      <c r="JE971" s="323">
        <f t="shared" si="1945"/>
        <v>0</v>
      </c>
      <c r="JF971" s="327">
        <f t="shared" si="1964"/>
        <v>0</v>
      </c>
      <c r="JG971" s="327">
        <f t="shared" si="1965"/>
        <v>0</v>
      </c>
      <c r="JH971" s="323">
        <f t="shared" si="1944"/>
        <v>0</v>
      </c>
      <c r="JI971" s="327">
        <f t="shared" si="1993"/>
        <v>0</v>
      </c>
      <c r="JJ971" s="327">
        <f t="shared" si="1871"/>
        <v>0</v>
      </c>
      <c r="JK971" s="323">
        <f t="shared" si="1933"/>
        <v>0</v>
      </c>
      <c r="JL971" s="327">
        <f t="shared" si="1946"/>
        <v>0</v>
      </c>
      <c r="JM971" s="279">
        <f t="shared" si="2008"/>
        <v>0</v>
      </c>
      <c r="JN971" s="323">
        <f>FISC!AK1292</f>
        <v>0</v>
      </c>
      <c r="JO971" s="327">
        <f>JQ971*0.48</f>
        <v>0</v>
      </c>
      <c r="JP971" s="279">
        <f t="shared" si="2009"/>
        <v>0</v>
      </c>
      <c r="JQ971" s="323">
        <f>FISC!AL1292</f>
        <v>0</v>
      </c>
      <c r="JR971" s="327">
        <f>JT971*0.48</f>
        <v>0</v>
      </c>
      <c r="JS971" s="279">
        <f t="shared" si="2010"/>
        <v>0</v>
      </c>
      <c r="JT971" s="323">
        <f>FISC!AM1292</f>
        <v>0</v>
      </c>
      <c r="JU971" s="327">
        <f>JW971*0.48</f>
        <v>0</v>
      </c>
      <c r="JV971" s="279">
        <f t="shared" si="2011"/>
        <v>0</v>
      </c>
      <c r="JW971" s="323">
        <f>FISC!AN1292</f>
        <v>0</v>
      </c>
      <c r="JX971" s="327">
        <f>JZ971*0.48</f>
        <v>0</v>
      </c>
      <c r="JY971" s="279">
        <f t="shared" si="2012"/>
        <v>0</v>
      </c>
      <c r="JZ971" s="323">
        <f>FISC!AO1292</f>
        <v>0</v>
      </c>
      <c r="KA971" s="327">
        <f>KC971*0.48</f>
        <v>0</v>
      </c>
      <c r="KB971" s="279">
        <f t="shared" ref="KB971:KB974" si="2022">KC971-KA971</f>
        <v>0</v>
      </c>
      <c r="KC971" s="323">
        <f>FISC!AP1292</f>
        <v>0</v>
      </c>
      <c r="KD971" s="327">
        <f>KF971*0.48</f>
        <v>0</v>
      </c>
      <c r="KE971" s="279">
        <f t="shared" ref="KE971:KE974" si="2023">KF971-KD971</f>
        <v>0</v>
      </c>
      <c r="KF971" s="323">
        <f>FISC!AQ1292</f>
        <v>0</v>
      </c>
      <c r="KG971" s="327">
        <f>KI971*0.48</f>
        <v>0</v>
      </c>
      <c r="KH971" s="279">
        <f t="shared" ref="KH971:KH974" si="2024">KI971-KG971</f>
        <v>0</v>
      </c>
      <c r="KI971" s="323">
        <f>FISC!AR1292</f>
        <v>0</v>
      </c>
      <c r="KJ971" s="327">
        <f>KL971*0.48</f>
        <v>0</v>
      </c>
      <c r="KK971" s="279">
        <f t="shared" ref="KK971:KK974" si="2025">KL971-KJ971</f>
        <v>0</v>
      </c>
      <c r="KL971" s="323">
        <f>FISC!AS1292</f>
        <v>0</v>
      </c>
      <c r="KM971" s="327">
        <f>KO971*0.48</f>
        <v>0</v>
      </c>
      <c r="KN971" s="279">
        <f t="shared" ref="KN971:KN974" si="2026">KO971-KM971</f>
        <v>0</v>
      </c>
      <c r="KO971" s="323">
        <f>FISC!AT1292</f>
        <v>0</v>
      </c>
      <c r="KU971" s="326"/>
      <c r="KV971" s="327"/>
    </row>
    <row r="972" spans="1:308">
      <c r="A972" s="279"/>
      <c r="D972" s="1415"/>
      <c r="E972" s="323"/>
      <c r="F972" s="323"/>
      <c r="G972" s="323"/>
      <c r="H972" s="323"/>
      <c r="I972" s="323"/>
      <c r="J972" s="323"/>
      <c r="K972" s="323"/>
      <c r="L972" s="323"/>
      <c r="M972" s="323"/>
      <c r="N972" s="323"/>
      <c r="O972" s="323"/>
      <c r="P972" s="323"/>
      <c r="Q972" s="323"/>
      <c r="R972" s="323"/>
      <c r="S972" s="323"/>
      <c r="T972" s="323"/>
      <c r="U972" s="323"/>
      <c r="V972" s="323"/>
      <c r="W972" s="323"/>
      <c r="X972" s="323"/>
      <c r="Y972" s="323"/>
      <c r="Z972" s="323"/>
      <c r="AA972" s="323"/>
      <c r="AB972" s="323"/>
      <c r="AC972" s="323"/>
      <c r="AD972" s="323"/>
      <c r="AE972" s="323"/>
      <c r="AF972" s="323"/>
      <c r="AG972" s="323"/>
      <c r="AH972" s="323"/>
      <c r="AI972" s="323"/>
      <c r="AJ972" s="323"/>
      <c r="AK972" s="323"/>
      <c r="AL972" s="323"/>
      <c r="AM972" s="323"/>
      <c r="AN972" s="323"/>
      <c r="AO972" s="323"/>
      <c r="AP972" s="323"/>
      <c r="AQ972" s="323"/>
      <c r="AR972" s="323"/>
      <c r="AS972" s="323"/>
      <c r="AT972" s="323"/>
      <c r="AU972" s="323"/>
      <c r="AV972" s="323"/>
      <c r="AW972" s="323"/>
      <c r="AX972" s="323"/>
      <c r="AY972" s="323"/>
      <c r="AZ972" s="323"/>
      <c r="BA972" s="323"/>
      <c r="BB972" s="323"/>
      <c r="BC972" s="323"/>
      <c r="BD972" s="323"/>
      <c r="BE972" s="323"/>
      <c r="BF972" s="323"/>
      <c r="BG972" s="323"/>
      <c r="BH972" s="323"/>
      <c r="BI972" s="323"/>
      <c r="BJ972" s="323"/>
      <c r="BK972" s="323"/>
      <c r="BL972" s="323"/>
      <c r="BM972" s="323"/>
      <c r="BN972" s="323"/>
      <c r="BO972" s="323"/>
      <c r="BP972" s="323"/>
      <c r="BQ972" s="323"/>
      <c r="BR972" s="323"/>
      <c r="BS972" s="323"/>
      <c r="BT972" s="323"/>
      <c r="BU972" s="323"/>
      <c r="BV972" s="323"/>
      <c r="BW972" s="323"/>
      <c r="BX972" s="323"/>
      <c r="BY972" s="323"/>
      <c r="BZ972" s="323"/>
      <c r="CA972" s="323"/>
      <c r="CB972" s="323"/>
      <c r="CC972" s="323"/>
      <c r="CD972" s="329"/>
      <c r="CE972" s="323"/>
      <c r="CF972" s="323"/>
      <c r="CG972" s="323"/>
      <c r="CH972" s="323"/>
      <c r="CI972" s="323"/>
      <c r="CJ972" s="323"/>
      <c r="CK972" s="323"/>
      <c r="CL972" s="323"/>
      <c r="CM972" s="323"/>
      <c r="CN972" s="323"/>
      <c r="CO972" s="323"/>
      <c r="CP972" s="325"/>
      <c r="CQ972" s="323"/>
      <c r="CR972" s="323"/>
      <c r="CS972" s="323"/>
      <c r="CT972" s="323"/>
      <c r="CU972" s="323"/>
      <c r="CV972" s="323"/>
      <c r="CW972" s="323"/>
      <c r="CX972" s="323"/>
      <c r="CY972" s="323"/>
      <c r="CZ972" s="323"/>
      <c r="DA972" s="323"/>
      <c r="DB972" s="1269"/>
      <c r="DC972" s="323"/>
      <c r="DD972" s="323"/>
      <c r="DE972" s="323"/>
      <c r="DF972" s="323"/>
      <c r="DG972" s="323"/>
      <c r="DH972" s="323"/>
      <c r="DI972" s="323"/>
      <c r="DJ972" s="323"/>
      <c r="DK972" s="323"/>
      <c r="DL972" s="323"/>
      <c r="DM972" s="323"/>
      <c r="DN972" s="325"/>
      <c r="DO972" s="323"/>
      <c r="DP972" s="323"/>
      <c r="DQ972" s="323"/>
      <c r="DR972" s="323"/>
      <c r="DS972" s="323"/>
      <c r="DT972" s="323"/>
      <c r="DU972" s="323"/>
      <c r="DV972" s="323"/>
      <c r="DW972" s="323"/>
      <c r="DX972" s="323"/>
      <c r="DY972" s="323"/>
      <c r="DZ972" s="325"/>
      <c r="EA972" s="323"/>
      <c r="EB972" s="323"/>
      <c r="EC972" s="323"/>
      <c r="ED972" s="323"/>
      <c r="EE972" s="323"/>
      <c r="EF972" s="323"/>
      <c r="EG972" s="323"/>
      <c r="EH972" s="323"/>
      <c r="EI972" s="323"/>
      <c r="EJ972" s="323"/>
      <c r="EK972" s="323"/>
      <c r="EL972" s="325"/>
      <c r="EM972" s="323"/>
      <c r="EN972" s="323"/>
      <c r="EO972" s="323"/>
      <c r="EP972" s="323"/>
      <c r="EQ972" s="323"/>
      <c r="ER972" s="323"/>
      <c r="ES972" s="323"/>
      <c r="ET972" s="323"/>
      <c r="EU972" s="323"/>
      <c r="EV972" s="323"/>
      <c r="EW972" s="323"/>
      <c r="EX972" s="325"/>
      <c r="EY972" s="323"/>
      <c r="EZ972" s="323"/>
      <c r="FA972" s="323"/>
      <c r="FB972" s="323"/>
      <c r="FC972" s="323"/>
      <c r="FD972" s="323"/>
      <c r="FE972" s="323"/>
      <c r="FF972" s="323"/>
      <c r="FG972" s="323"/>
      <c r="FH972" s="323"/>
      <c r="FI972" s="323"/>
      <c r="FJ972" s="325"/>
      <c r="FK972" s="323"/>
      <c r="FL972" s="323"/>
      <c r="FM972" s="323"/>
      <c r="FN972" s="323"/>
      <c r="FO972" s="323"/>
      <c r="FP972" s="323"/>
      <c r="FQ972" s="323"/>
      <c r="FR972" s="323"/>
      <c r="FS972" s="323"/>
      <c r="FT972" s="323"/>
      <c r="FU972" s="323"/>
      <c r="FV972" s="323"/>
      <c r="FW972" s="323"/>
      <c r="FX972" s="323"/>
      <c r="FY972" s="323"/>
      <c r="FZ972" s="323"/>
      <c r="GA972" s="323"/>
      <c r="GB972" s="323"/>
      <c r="GC972" s="323"/>
      <c r="GD972" s="323"/>
      <c r="GE972" s="323"/>
      <c r="GF972" s="323"/>
      <c r="GG972" s="323"/>
      <c r="GH972" s="323"/>
      <c r="GI972" s="1654"/>
      <c r="GJ972" s="1654"/>
      <c r="GK972" s="1654"/>
      <c r="GL972" s="1654"/>
      <c r="GM972" s="1654"/>
      <c r="GN972" s="1654"/>
      <c r="GO972" s="1654"/>
      <c r="GP972" s="1654"/>
      <c r="GQ972" s="1654"/>
      <c r="GR972" s="1654"/>
      <c r="GS972" s="1654"/>
      <c r="GT972" s="1654"/>
      <c r="GU972" s="1654"/>
      <c r="GV972" s="1654"/>
      <c r="GW972" s="1654"/>
      <c r="GX972" s="1654"/>
      <c r="GY972" s="1654"/>
      <c r="GZ972" s="1654"/>
      <c r="HA972" s="1654"/>
      <c r="HB972" s="1654"/>
      <c r="HC972" s="1654"/>
      <c r="HD972" s="1654"/>
      <c r="HE972" s="1654"/>
      <c r="HF972" s="1654"/>
      <c r="HG972" s="1654"/>
      <c r="HH972" s="1654"/>
      <c r="HI972" s="1654"/>
      <c r="HJ972" s="1654"/>
      <c r="HK972" s="1654"/>
      <c r="HL972" s="1654"/>
      <c r="HM972" s="1654"/>
      <c r="HN972" s="1654"/>
      <c r="HO972" s="1654"/>
      <c r="HP972" s="1654"/>
      <c r="HQ972" s="1654"/>
      <c r="HR972" s="1654"/>
      <c r="HS972" s="1654"/>
      <c r="HT972" s="1654"/>
      <c r="HU972" s="1654"/>
      <c r="HV972" s="1654"/>
      <c r="HW972" s="1654"/>
      <c r="HX972" s="1654"/>
      <c r="HY972" s="1654"/>
      <c r="HZ972" s="326"/>
      <c r="IA972" s="1417" t="s">
        <v>3152</v>
      </c>
      <c r="IB972" s="284"/>
      <c r="ID972" s="323"/>
      <c r="IG972" s="323"/>
      <c r="IH972" s="284"/>
      <c r="IJ972" s="323"/>
      <c r="IK972" s="327"/>
      <c r="IM972" s="323"/>
      <c r="IP972" s="323"/>
      <c r="IQ972" s="327"/>
      <c r="IR972" s="327"/>
      <c r="IS972" s="323"/>
      <c r="IT972" s="327"/>
      <c r="IU972" s="327"/>
      <c r="IV972" s="323"/>
      <c r="IW972" s="327"/>
      <c r="IX972" s="327"/>
      <c r="IY972" s="323"/>
      <c r="IZ972" s="327"/>
      <c r="JA972" s="327"/>
      <c r="JB972" s="323"/>
      <c r="JC972" s="327"/>
      <c r="JD972" s="327"/>
      <c r="JE972" s="323"/>
      <c r="JF972" s="327"/>
      <c r="JG972" s="327"/>
      <c r="JH972" s="323"/>
      <c r="JI972" s="327"/>
      <c r="JJ972" s="327">
        <f t="shared" si="1871"/>
        <v>0</v>
      </c>
      <c r="JK972" s="323">
        <f t="shared" si="1933"/>
        <v>0</v>
      </c>
      <c r="JL972" s="327">
        <f t="shared" si="1946"/>
        <v>0</v>
      </c>
      <c r="JN972" s="323">
        <f>FISC!AK1293</f>
        <v>0</v>
      </c>
      <c r="JO972" s="327"/>
      <c r="JQ972" s="323">
        <f>FISC!AL1293</f>
        <v>0</v>
      </c>
      <c r="JR972" s="327"/>
      <c r="JT972" s="323">
        <f>FISC!AM1293</f>
        <v>0</v>
      </c>
      <c r="JU972" s="327"/>
      <c r="JW972" s="323">
        <f>FISC!AN1293</f>
        <v>0</v>
      </c>
      <c r="JX972" s="327"/>
      <c r="JZ972" s="323">
        <f>FISC!AO1293</f>
        <v>0</v>
      </c>
      <c r="KA972" s="327"/>
      <c r="KC972" s="323">
        <f>FISC!AP1293</f>
        <v>0</v>
      </c>
      <c r="KD972" s="327"/>
      <c r="KF972" s="323">
        <f>FISC!AQ1293</f>
        <v>0</v>
      </c>
      <c r="KG972" s="327"/>
      <c r="KI972" s="323">
        <f>FISC!AR1293</f>
        <v>0</v>
      </c>
      <c r="KJ972" s="327"/>
      <c r="KL972" s="323">
        <f>FISC!AS1293</f>
        <v>0</v>
      </c>
      <c r="KM972" s="327"/>
      <c r="KO972" s="323">
        <f>FISC!AT1293</f>
        <v>0</v>
      </c>
      <c r="KU972" s="326"/>
      <c r="KV972" s="327"/>
    </row>
    <row r="973" spans="1:308">
      <c r="A973" s="279"/>
      <c r="D973" s="1417" t="s">
        <v>3067</v>
      </c>
      <c r="E973" s="323"/>
      <c r="F973" s="323"/>
      <c r="G973" s="323"/>
      <c r="H973" s="323"/>
      <c r="I973" s="323"/>
      <c r="J973" s="323"/>
      <c r="K973" s="323"/>
      <c r="L973" s="323"/>
      <c r="M973" s="323"/>
      <c r="N973" s="323"/>
      <c r="O973" s="323"/>
      <c r="P973" s="323"/>
      <c r="Q973" s="323"/>
      <c r="R973" s="323"/>
      <c r="S973" s="323"/>
      <c r="T973" s="323"/>
      <c r="U973" s="323"/>
      <c r="V973" s="323"/>
      <c r="W973" s="323"/>
      <c r="X973" s="323"/>
      <c r="Y973" s="323"/>
      <c r="Z973" s="323"/>
      <c r="AA973" s="323"/>
      <c r="AB973" s="323"/>
      <c r="AC973" s="323"/>
      <c r="AD973" s="323"/>
      <c r="AE973" s="323"/>
      <c r="AF973" s="323"/>
      <c r="AG973" s="323"/>
      <c r="AH973" s="323"/>
      <c r="AI973" s="323"/>
      <c r="AJ973" s="323"/>
      <c r="AK973" s="323"/>
      <c r="AL973" s="323"/>
      <c r="AM973" s="323"/>
      <c r="AN973" s="323"/>
      <c r="AO973" s="323"/>
      <c r="AP973" s="323"/>
      <c r="AQ973" s="323"/>
      <c r="AR973" s="323"/>
      <c r="AS973" s="323"/>
      <c r="AT973" s="323"/>
      <c r="AU973" s="323"/>
      <c r="AV973" s="323"/>
      <c r="AW973" s="323"/>
      <c r="AX973" s="323"/>
      <c r="AY973" s="323"/>
      <c r="AZ973" s="323"/>
      <c r="BA973" s="323"/>
      <c r="BB973" s="323"/>
      <c r="BC973" s="323"/>
      <c r="BD973" s="323"/>
      <c r="BE973" s="323"/>
      <c r="BF973" s="323"/>
      <c r="BG973" s="323"/>
      <c r="BH973" s="323"/>
      <c r="BI973" s="323"/>
      <c r="BJ973" s="323"/>
      <c r="BK973" s="323"/>
      <c r="BL973" s="323"/>
      <c r="BM973" s="323"/>
      <c r="BN973" s="323"/>
      <c r="BO973" s="323"/>
      <c r="BP973" s="323"/>
      <c r="BQ973" s="323"/>
      <c r="BR973" s="323"/>
      <c r="BS973" s="323"/>
      <c r="BT973" s="323"/>
      <c r="BU973" s="323"/>
      <c r="BV973" s="323"/>
      <c r="BW973" s="323"/>
      <c r="BX973" s="323"/>
      <c r="BY973" s="323"/>
      <c r="BZ973" s="323"/>
      <c r="CA973" s="323"/>
      <c r="CB973" s="323"/>
      <c r="CC973" s="323"/>
      <c r="CD973" s="329"/>
      <c r="CE973" s="323"/>
      <c r="CF973" s="323"/>
      <c r="CG973" s="323"/>
      <c r="CH973" s="323"/>
      <c r="CI973" s="323"/>
      <c r="CJ973" s="323"/>
      <c r="CK973" s="323"/>
      <c r="CL973" s="323"/>
      <c r="CM973" s="323"/>
      <c r="CN973" s="323"/>
      <c r="CO973" s="323"/>
      <c r="CP973" s="325"/>
      <c r="CQ973" s="323"/>
      <c r="CR973" s="323"/>
      <c r="CS973" s="323"/>
      <c r="CT973" s="323"/>
      <c r="CU973" s="323"/>
      <c r="CV973" s="323"/>
      <c r="CW973" s="323"/>
      <c r="CX973" s="323"/>
      <c r="CY973" s="323"/>
      <c r="CZ973" s="323"/>
      <c r="DA973" s="323"/>
      <c r="DB973" s="1269"/>
      <c r="DC973" s="323"/>
      <c r="DD973" s="323"/>
      <c r="DE973" s="323"/>
      <c r="DF973" s="323"/>
      <c r="DG973" s="323"/>
      <c r="DH973" s="323"/>
      <c r="DI973" s="323"/>
      <c r="DJ973" s="323"/>
      <c r="DK973" s="323"/>
      <c r="DL973" s="323"/>
      <c r="DM973" s="323"/>
      <c r="DN973" s="325"/>
      <c r="DO973" s="323"/>
      <c r="DP973" s="323"/>
      <c r="DQ973" s="323"/>
      <c r="DR973" s="323"/>
      <c r="DS973" s="323"/>
      <c r="DT973" s="323"/>
      <c r="DU973" s="323"/>
      <c r="DV973" s="323"/>
      <c r="DW973" s="323"/>
      <c r="DX973" s="323"/>
      <c r="DY973" s="323"/>
      <c r="DZ973" s="325"/>
      <c r="EA973" s="323"/>
      <c r="EB973" s="323"/>
      <c r="EC973" s="323"/>
      <c r="ED973" s="323"/>
      <c r="EE973" s="323"/>
      <c r="EF973" s="323"/>
      <c r="EG973" s="323"/>
      <c r="EH973" s="323"/>
      <c r="EI973" s="323"/>
      <c r="EJ973" s="323"/>
      <c r="EK973" s="323"/>
      <c r="EL973" s="325"/>
      <c r="EM973" s="323"/>
      <c r="EN973" s="323"/>
      <c r="EO973" s="323"/>
      <c r="EP973" s="323"/>
      <c r="EQ973" s="323"/>
      <c r="ER973" s="323"/>
      <c r="ES973" s="323"/>
      <c r="ET973" s="323"/>
      <c r="EU973" s="323"/>
      <c r="EV973" s="323"/>
      <c r="EW973" s="323"/>
      <c r="EX973" s="325"/>
      <c r="EY973" s="323"/>
      <c r="EZ973" s="323"/>
      <c r="FA973" s="323"/>
      <c r="FB973" s="323"/>
      <c r="FC973" s="323"/>
      <c r="FD973" s="323"/>
      <c r="FE973" s="323"/>
      <c r="FF973" s="323"/>
      <c r="FG973" s="323"/>
      <c r="FH973" s="323"/>
      <c r="FI973" s="323"/>
      <c r="FJ973" s="325"/>
      <c r="FK973" s="323"/>
      <c r="FL973" s="323"/>
      <c r="FM973" s="323"/>
      <c r="FN973" s="323"/>
      <c r="FO973" s="323"/>
      <c r="FP973" s="323"/>
      <c r="FQ973" s="323">
        <v>0</v>
      </c>
      <c r="FR973" s="323">
        <v>0</v>
      </c>
      <c r="FS973" s="323">
        <v>0</v>
      </c>
      <c r="FT973" s="323">
        <v>0</v>
      </c>
      <c r="FU973" s="323">
        <v>0</v>
      </c>
      <c r="FV973" s="323">
        <v>0</v>
      </c>
      <c r="FW973" s="323">
        <v>0</v>
      </c>
      <c r="FX973" s="323">
        <v>0</v>
      </c>
      <c r="FY973" s="323">
        <v>0</v>
      </c>
      <c r="FZ973" s="323">
        <v>0</v>
      </c>
      <c r="GA973" s="323">
        <v>0</v>
      </c>
      <c r="GB973" s="323">
        <v>0</v>
      </c>
      <c r="GC973" s="323">
        <v>0</v>
      </c>
      <c r="GD973" s="323">
        <v>0</v>
      </c>
      <c r="GE973" s="323">
        <v>0</v>
      </c>
      <c r="GF973" s="323">
        <v>0</v>
      </c>
      <c r="GG973" s="323">
        <v>0</v>
      </c>
      <c r="GH973" s="323">
        <v>0</v>
      </c>
      <c r="GI973" s="1654"/>
      <c r="GJ973" s="1654"/>
      <c r="GK973" s="1654"/>
      <c r="GL973" s="1654"/>
      <c r="GM973" s="1654"/>
      <c r="GN973" s="1654"/>
      <c r="GO973" s="1654"/>
      <c r="GP973" s="1654"/>
      <c r="GQ973" s="1654"/>
      <c r="GR973" s="1654"/>
      <c r="GS973" s="1654"/>
      <c r="GT973" s="1654"/>
      <c r="GU973" s="1654"/>
      <c r="GV973" s="1654"/>
      <c r="GW973" s="1654"/>
      <c r="GX973" s="1654"/>
      <c r="GY973" s="1654"/>
      <c r="GZ973" s="1654"/>
      <c r="HA973" s="1654"/>
      <c r="HB973" s="1654"/>
      <c r="HC973" s="1654"/>
      <c r="HD973" s="1654"/>
      <c r="HE973" s="1654"/>
      <c r="HF973" s="1654"/>
      <c r="HG973" s="1654"/>
      <c r="HH973" s="1654"/>
      <c r="HI973" s="1654"/>
      <c r="HJ973" s="1654"/>
      <c r="HK973" s="1654"/>
      <c r="HL973" s="1654"/>
      <c r="HM973" s="1654"/>
      <c r="HN973" s="1654"/>
      <c r="HO973" s="1654"/>
      <c r="HP973" s="1654"/>
      <c r="HQ973" s="1654"/>
      <c r="HR973" s="1654"/>
      <c r="HS973" s="1654"/>
      <c r="HT973" s="1654"/>
      <c r="HU973" s="1654"/>
      <c r="HV973" s="1654"/>
      <c r="HW973" s="1654"/>
      <c r="HX973" s="1654"/>
      <c r="HY973" s="1654"/>
      <c r="HZ973" s="326"/>
      <c r="IA973" s="1417" t="s">
        <v>3067</v>
      </c>
      <c r="IB973" s="284"/>
      <c r="ID973" s="323"/>
      <c r="IG973" s="323"/>
      <c r="IH973" s="284"/>
      <c r="IJ973" s="323"/>
      <c r="IK973" s="327"/>
      <c r="IM973" s="323"/>
      <c r="IP973" s="323"/>
      <c r="IQ973" s="327"/>
      <c r="IR973" s="327"/>
      <c r="IS973" s="323"/>
      <c r="IT973" s="327"/>
      <c r="IU973" s="327"/>
      <c r="IV973" s="323"/>
      <c r="IW973" s="327"/>
      <c r="IX973" s="327">
        <f t="shared" si="1963"/>
        <v>0</v>
      </c>
      <c r="IY973" s="323">
        <f t="shared" si="2005"/>
        <v>0</v>
      </c>
      <c r="IZ973" s="327">
        <f t="shared" si="2018"/>
        <v>0</v>
      </c>
      <c r="JA973" s="327">
        <f t="shared" si="2019"/>
        <v>0</v>
      </c>
      <c r="JB973" s="323">
        <f t="shared" si="1823"/>
        <v>0</v>
      </c>
      <c r="JC973" s="327">
        <f t="shared" si="2020"/>
        <v>0</v>
      </c>
      <c r="JD973" s="327">
        <f t="shared" si="2021"/>
        <v>0</v>
      </c>
      <c r="JE973" s="323">
        <f t="shared" si="1945"/>
        <v>0</v>
      </c>
      <c r="JF973" s="327">
        <f t="shared" si="1964"/>
        <v>0</v>
      </c>
      <c r="JG973" s="327">
        <f t="shared" si="1965"/>
        <v>0</v>
      </c>
      <c r="JH973" s="323">
        <f t="shared" si="1944"/>
        <v>0</v>
      </c>
      <c r="JI973" s="327">
        <f t="shared" si="1993"/>
        <v>0</v>
      </c>
      <c r="JJ973" s="327">
        <f t="shared" si="1871"/>
        <v>0</v>
      </c>
      <c r="JK973" s="323">
        <f t="shared" si="1933"/>
        <v>0</v>
      </c>
      <c r="JL973" s="327">
        <f t="shared" si="1946"/>
        <v>0</v>
      </c>
      <c r="JM973" s="279">
        <f t="shared" si="2008"/>
        <v>0</v>
      </c>
      <c r="JN973" s="323">
        <f>FISC!AK1294</f>
        <v>0</v>
      </c>
      <c r="JO973" s="327">
        <f>JQ973*0.48</f>
        <v>0</v>
      </c>
      <c r="JP973" s="279">
        <f t="shared" si="2009"/>
        <v>0</v>
      </c>
      <c r="JQ973" s="323">
        <f>FISC!AL1294</f>
        <v>0</v>
      </c>
      <c r="JR973" s="327">
        <f>JT973*0.48</f>
        <v>0</v>
      </c>
      <c r="JS973" s="279">
        <f t="shared" si="2010"/>
        <v>0</v>
      </c>
      <c r="JT973" s="323">
        <f>FISC!AM1294</f>
        <v>0</v>
      </c>
      <c r="JU973" s="327">
        <f>JW973*0.48</f>
        <v>0</v>
      </c>
      <c r="JV973" s="279">
        <f t="shared" si="2011"/>
        <v>0</v>
      </c>
      <c r="JW973" s="323">
        <f>FISC!AN1294</f>
        <v>0</v>
      </c>
      <c r="JX973" s="327">
        <f>JZ973*0.48</f>
        <v>0</v>
      </c>
      <c r="JY973" s="279">
        <f t="shared" si="2012"/>
        <v>0</v>
      </c>
      <c r="JZ973" s="323">
        <f>FISC!AO1294</f>
        <v>0</v>
      </c>
      <c r="KA973" s="327">
        <f>KC973*0.48</f>
        <v>0</v>
      </c>
      <c r="KB973" s="279">
        <f t="shared" si="2022"/>
        <v>0</v>
      </c>
      <c r="KC973" s="323">
        <f>FISC!AP1294</f>
        <v>0</v>
      </c>
      <c r="KD973" s="327">
        <f>KF973*0.48</f>
        <v>0</v>
      </c>
      <c r="KE973" s="279">
        <f t="shared" si="2023"/>
        <v>0</v>
      </c>
      <c r="KF973" s="323">
        <f>FISC!AQ1294</f>
        <v>0</v>
      </c>
      <c r="KG973" s="327">
        <f>KI973*0.48</f>
        <v>0</v>
      </c>
      <c r="KH973" s="279">
        <f t="shared" si="2024"/>
        <v>0</v>
      </c>
      <c r="KI973" s="323">
        <f>FISC!AR1294</f>
        <v>0</v>
      </c>
      <c r="KJ973" s="327">
        <f>KL973*0.48</f>
        <v>0</v>
      </c>
      <c r="KK973" s="279">
        <f t="shared" si="2025"/>
        <v>0</v>
      </c>
      <c r="KL973" s="323">
        <f>FISC!AS1294</f>
        <v>0</v>
      </c>
      <c r="KM973" s="327">
        <f>KO973*0.48</f>
        <v>0</v>
      </c>
      <c r="KN973" s="279">
        <f t="shared" si="2026"/>
        <v>0</v>
      </c>
      <c r="KO973" s="323">
        <f>FISC!AT1294</f>
        <v>0</v>
      </c>
      <c r="KU973" s="326"/>
      <c r="KV973" s="327"/>
    </row>
    <row r="974" spans="1:308">
      <c r="A974" s="279"/>
      <c r="B974" s="96" t="s">
        <v>338</v>
      </c>
      <c r="D974" s="1417" t="s">
        <v>3066</v>
      </c>
      <c r="E974" s="323"/>
      <c r="F974" s="323"/>
      <c r="G974" s="323"/>
      <c r="H974" s="323"/>
      <c r="I974" s="323"/>
      <c r="J974" s="323"/>
      <c r="K974" s="323"/>
      <c r="L974" s="323"/>
      <c r="M974" s="323"/>
      <c r="N974" s="323"/>
      <c r="O974" s="323"/>
      <c r="P974" s="323"/>
      <c r="Q974" s="323"/>
      <c r="R974" s="323"/>
      <c r="S974" s="323"/>
      <c r="T974" s="323"/>
      <c r="U974" s="323"/>
      <c r="V974" s="323"/>
      <c r="W974" s="323"/>
      <c r="X974" s="323"/>
      <c r="Y974" s="323"/>
      <c r="Z974" s="323"/>
      <c r="AA974" s="323"/>
      <c r="AB974" s="323"/>
      <c r="AC974" s="323"/>
      <c r="AD974" s="323"/>
      <c r="AE974" s="323"/>
      <c r="AF974" s="323"/>
      <c r="AG974" s="323"/>
      <c r="AH974" s="323"/>
      <c r="AI974" s="323"/>
      <c r="AJ974" s="323"/>
      <c r="AK974" s="323"/>
      <c r="AL974" s="323"/>
      <c r="AM974" s="323"/>
      <c r="AN974" s="323"/>
      <c r="AO974" s="323"/>
      <c r="AP974" s="323"/>
      <c r="AQ974" s="323"/>
      <c r="AR974" s="323"/>
      <c r="AS974" s="323"/>
      <c r="AT974" s="323"/>
      <c r="AU974" s="323"/>
      <c r="AV974" s="323"/>
      <c r="AW974" s="323"/>
      <c r="AX974" s="323"/>
      <c r="AY974" s="323"/>
      <c r="AZ974" s="323"/>
      <c r="BA974" s="323"/>
      <c r="BB974" s="323"/>
      <c r="BC974" s="323"/>
      <c r="BD974" s="323"/>
      <c r="BE974" s="323"/>
      <c r="BF974" s="323"/>
      <c r="BG974" s="323"/>
      <c r="BH974" s="323"/>
      <c r="BI974" s="323"/>
      <c r="BJ974" s="323"/>
      <c r="BK974" s="323"/>
      <c r="BL974" s="323"/>
      <c r="BM974" s="323"/>
      <c r="BN974" s="323"/>
      <c r="BO974" s="323"/>
      <c r="BP974" s="323"/>
      <c r="BQ974" s="323"/>
      <c r="BR974" s="323"/>
      <c r="BS974" s="323"/>
      <c r="BT974" s="323"/>
      <c r="BU974" s="323"/>
      <c r="BV974" s="323"/>
      <c r="BW974" s="323"/>
      <c r="BX974" s="323"/>
      <c r="BY974" s="323"/>
      <c r="BZ974" s="323"/>
      <c r="CA974" s="323"/>
      <c r="CB974" s="323"/>
      <c r="CC974" s="323"/>
      <c r="CD974" s="329"/>
      <c r="CE974" s="323">
        <v>0</v>
      </c>
      <c r="CF974" s="323">
        <v>0</v>
      </c>
      <c r="CG974" s="323">
        <v>0</v>
      </c>
      <c r="CH974" s="323">
        <v>0</v>
      </c>
      <c r="CI974" s="323">
        <v>0</v>
      </c>
      <c r="CJ974" s="323">
        <v>0</v>
      </c>
      <c r="CK974" s="323">
        <v>0</v>
      </c>
      <c r="CL974" s="323">
        <v>0</v>
      </c>
      <c r="CM974" s="323">
        <v>0</v>
      </c>
      <c r="CN974" s="323">
        <v>0</v>
      </c>
      <c r="CO974" s="323">
        <v>0</v>
      </c>
      <c r="CP974" s="325">
        <v>0</v>
      </c>
      <c r="CQ974" s="323"/>
      <c r="CR974" s="323"/>
      <c r="CS974" s="323"/>
      <c r="CT974" s="323"/>
      <c r="CU974" s="323"/>
      <c r="CV974" s="323"/>
      <c r="CW974" s="323"/>
      <c r="CX974" s="323"/>
      <c r="CY974" s="323"/>
      <c r="CZ974" s="323"/>
      <c r="DA974" s="323"/>
      <c r="DB974" s="1269"/>
      <c r="DC974" s="323"/>
      <c r="DD974" s="323"/>
      <c r="DE974" s="323"/>
      <c r="DF974" s="323"/>
      <c r="DG974" s="323"/>
      <c r="DH974" s="323"/>
      <c r="DI974" s="323"/>
      <c r="DJ974" s="323"/>
      <c r="DK974" s="323"/>
      <c r="DL974" s="323"/>
      <c r="DM974" s="323"/>
      <c r="DN974" s="325"/>
      <c r="DO974" s="323"/>
      <c r="DP974" s="323"/>
      <c r="DQ974" s="323"/>
      <c r="DR974" s="323"/>
      <c r="DS974" s="323"/>
      <c r="DT974" s="323"/>
      <c r="DU974" s="323"/>
      <c r="DV974" s="323"/>
      <c r="DW974" s="323"/>
      <c r="DX974" s="323"/>
      <c r="DY974" s="323"/>
      <c r="DZ974" s="325"/>
      <c r="EA974" s="323"/>
      <c r="EB974" s="323"/>
      <c r="EC974" s="323"/>
      <c r="ED974" s="323"/>
      <c r="EE974" s="323"/>
      <c r="EF974" s="323"/>
      <c r="EG974" s="323"/>
      <c r="EH974" s="323"/>
      <c r="EI974" s="323"/>
      <c r="EJ974" s="323"/>
      <c r="EK974" s="323"/>
      <c r="EL974" s="325"/>
      <c r="EM974" s="323"/>
      <c r="EN974" s="323"/>
      <c r="EO974" s="323"/>
      <c r="EP974" s="323"/>
      <c r="EQ974" s="323"/>
      <c r="ER974" s="323"/>
      <c r="ES974" s="323"/>
      <c r="ET974" s="323"/>
      <c r="EU974" s="323"/>
      <c r="EV974" s="323"/>
      <c r="EW974" s="323"/>
      <c r="EX974" s="325"/>
      <c r="EY974" s="323">
        <v>0</v>
      </c>
      <c r="EZ974" s="323">
        <v>0</v>
      </c>
      <c r="FA974" s="323">
        <v>0</v>
      </c>
      <c r="FB974" s="323">
        <v>0</v>
      </c>
      <c r="FC974" s="323">
        <v>0</v>
      </c>
      <c r="FD974" s="323">
        <v>0</v>
      </c>
      <c r="FE974" s="323">
        <v>0</v>
      </c>
      <c r="FF974" s="323">
        <v>0</v>
      </c>
      <c r="FG974" s="323">
        <v>0</v>
      </c>
      <c r="FH974" s="323">
        <v>0</v>
      </c>
      <c r="FI974" s="323">
        <v>0</v>
      </c>
      <c r="FJ974" s="325">
        <v>0</v>
      </c>
      <c r="FK974" s="323">
        <v>0</v>
      </c>
      <c r="FL974" s="323">
        <v>0</v>
      </c>
      <c r="FM974" s="323">
        <v>44.523780619999997</v>
      </c>
      <c r="FN974" s="323">
        <v>0</v>
      </c>
      <c r="FO974" s="323">
        <v>0</v>
      </c>
      <c r="FP974" s="323">
        <v>5.2960107179999998</v>
      </c>
      <c r="FQ974" s="323">
        <v>5</v>
      </c>
      <c r="FR974" s="323">
        <v>0</v>
      </c>
      <c r="FS974" s="323">
        <v>3.5096266109999998</v>
      </c>
      <c r="FT974" s="323">
        <v>0</v>
      </c>
      <c r="FU974" s="323">
        <v>0</v>
      </c>
      <c r="FV974" s="323">
        <v>30.646021316999999</v>
      </c>
      <c r="FW974" s="323">
        <v>0</v>
      </c>
      <c r="FX974" s="323">
        <v>0</v>
      </c>
      <c r="FY974" s="323">
        <v>0</v>
      </c>
      <c r="FZ974" s="323">
        <v>0</v>
      </c>
      <c r="GA974" s="323">
        <v>0</v>
      </c>
      <c r="GB974" s="323">
        <v>0</v>
      </c>
      <c r="GC974" s="323">
        <v>0</v>
      </c>
      <c r="GD974" s="323">
        <v>0</v>
      </c>
      <c r="GE974" s="323">
        <v>1.1257401499999999</v>
      </c>
      <c r="GF974" s="323">
        <v>15.833949724</v>
      </c>
      <c r="GG974" s="323">
        <v>0</v>
      </c>
      <c r="GH974" s="323">
        <v>46.14361169</v>
      </c>
      <c r="GI974" s="1654">
        <v>6.0993216676299999</v>
      </c>
      <c r="GJ974" s="1654">
        <v>0</v>
      </c>
      <c r="GK974" s="1654">
        <v>50.186662006339994</v>
      </c>
      <c r="GL974" s="1654">
        <v>0</v>
      </c>
      <c r="GM974" s="1654">
        <v>0</v>
      </c>
      <c r="GN974" s="1654">
        <v>0</v>
      </c>
      <c r="GO974" s="1654">
        <v>0</v>
      </c>
      <c r="GP974" s="1654">
        <v>0</v>
      </c>
      <c r="GQ974" s="1654">
        <v>0</v>
      </c>
      <c r="GR974" s="1654">
        <v>0</v>
      </c>
      <c r="GS974" s="1654">
        <v>0</v>
      </c>
      <c r="GT974" s="1654">
        <v>0</v>
      </c>
      <c r="GU974" s="1654">
        <v>0</v>
      </c>
      <c r="GV974" s="1654">
        <v>0</v>
      </c>
      <c r="GW974" s="1654">
        <v>0</v>
      </c>
      <c r="GX974" s="1654">
        <v>3.1</v>
      </c>
      <c r="GY974" s="1654">
        <v>8.5</v>
      </c>
      <c r="GZ974" s="1654">
        <v>8.6</v>
      </c>
      <c r="HA974" s="1654">
        <v>4</v>
      </c>
      <c r="HB974" s="1654">
        <v>13.7</v>
      </c>
      <c r="HC974" s="1654">
        <v>6</v>
      </c>
      <c r="HD974" s="1654">
        <v>1</v>
      </c>
      <c r="HE974" s="1654">
        <v>1</v>
      </c>
      <c r="HF974" s="1654">
        <v>0.4</v>
      </c>
      <c r="HG974" s="1654">
        <v>0</v>
      </c>
      <c r="HH974" s="1654">
        <v>0</v>
      </c>
      <c r="HI974" s="1654">
        <v>33.791349979418996</v>
      </c>
      <c r="HJ974" s="1654">
        <v>4.2459122842379999</v>
      </c>
      <c r="HK974" s="1654">
        <v>0</v>
      </c>
      <c r="HL974" s="1654">
        <v>0</v>
      </c>
      <c r="HM974" s="1654">
        <v>0</v>
      </c>
      <c r="HN974" s="1654">
        <v>0</v>
      </c>
      <c r="HO974" s="1654">
        <v>0</v>
      </c>
      <c r="HP974" s="1654">
        <v>3.644920388249</v>
      </c>
      <c r="HQ974" s="1654">
        <v>0</v>
      </c>
      <c r="HR974" s="1654">
        <v>0</v>
      </c>
      <c r="HS974" s="1654">
        <v>0</v>
      </c>
      <c r="HT974" s="1654">
        <v>0</v>
      </c>
      <c r="HU974" s="1654">
        <v>0</v>
      </c>
      <c r="HV974" s="1654">
        <v>0</v>
      </c>
      <c r="HW974" s="1654">
        <v>0</v>
      </c>
      <c r="HX974" s="1654">
        <v>6.8912763674909998</v>
      </c>
      <c r="HY974" s="1654"/>
      <c r="HZ974" s="326"/>
      <c r="IA974" s="1417" t="s">
        <v>3066</v>
      </c>
      <c r="IB974" s="284">
        <f>SUM(CE974:CJ974)</f>
        <v>0</v>
      </c>
      <c r="IC974" s="279">
        <f>SUM(CK974:CP974)</f>
        <v>0</v>
      </c>
      <c r="ID974" s="323">
        <f>IB974+IC974</f>
        <v>0</v>
      </c>
      <c r="IE974" s="279">
        <f>SUM(CQ974:CV974)</f>
        <v>0</v>
      </c>
      <c r="IF974" s="279">
        <f>SUM(CW974:DB974)</f>
        <v>0</v>
      </c>
      <c r="IG974" s="323">
        <f>IE974+IF974</f>
        <v>0</v>
      </c>
      <c r="IH974" s="284">
        <f>SUM(DC974:DH974)</f>
        <v>0</v>
      </c>
      <c r="II974" s="279">
        <f>SUM(DI974:DN974)</f>
        <v>0</v>
      </c>
      <c r="IJ974" s="323">
        <f>IH974+II974</f>
        <v>0</v>
      </c>
      <c r="IK974" s="327">
        <f>SUM(DO974:DT974)</f>
        <v>0</v>
      </c>
      <c r="IL974" s="279">
        <f>SUM(DU974:DZ974)</f>
        <v>0</v>
      </c>
      <c r="IM974" s="323">
        <f>IK974+IL974</f>
        <v>0</v>
      </c>
      <c r="IN974" s="279">
        <f>SUM(EA974:EF974)</f>
        <v>0</v>
      </c>
      <c r="IO974" s="279">
        <f>SUM(EG974:EL974)</f>
        <v>0</v>
      </c>
      <c r="IP974" s="323">
        <f>IN974+IO974</f>
        <v>0</v>
      </c>
      <c r="IQ974" s="327">
        <f>SUM(EM974:ER974)</f>
        <v>0</v>
      </c>
      <c r="IR974" s="327">
        <f>SUM(ES974:EX974)</f>
        <v>0</v>
      </c>
      <c r="IS974" s="323">
        <f>IQ974+IR974</f>
        <v>0</v>
      </c>
      <c r="IT974" s="327">
        <f>SUM(EY974:FD974)</f>
        <v>0</v>
      </c>
      <c r="IU974" s="327">
        <f>SUM(FE974:FJ974)</f>
        <v>0</v>
      </c>
      <c r="IV974" s="323">
        <f>IT974+IU974</f>
        <v>0</v>
      </c>
      <c r="IW974" s="327">
        <f>SUM(FK974:FP974)</f>
        <v>49.819791337999995</v>
      </c>
      <c r="IX974" s="327">
        <f t="shared" si="1963"/>
        <v>39.155647928</v>
      </c>
      <c r="IY974" s="323">
        <f t="shared" si="2005"/>
        <v>88.975439265999995</v>
      </c>
      <c r="IZ974" s="327">
        <f t="shared" si="2018"/>
        <v>0</v>
      </c>
      <c r="JA974" s="327">
        <f t="shared" si="2019"/>
        <v>63.103301563999999</v>
      </c>
      <c r="JB974" s="323">
        <f t="shared" si="1823"/>
        <v>63.103301563999999</v>
      </c>
      <c r="JC974" s="327">
        <f t="shared" si="2020"/>
        <v>56.285983673969994</v>
      </c>
      <c r="JD974" s="327">
        <f t="shared" si="2021"/>
        <v>0</v>
      </c>
      <c r="JE974" s="323">
        <f t="shared" si="1945"/>
        <v>56.285983673969994</v>
      </c>
      <c r="JF974" s="327">
        <f t="shared" si="1964"/>
        <v>20.2</v>
      </c>
      <c r="JG974" s="327">
        <f t="shared" si="1965"/>
        <v>26.099999999999998</v>
      </c>
      <c r="JH974" s="323">
        <f t="shared" si="1944"/>
        <v>46.3</v>
      </c>
      <c r="JI974" s="327">
        <f t="shared" si="1993"/>
        <v>38.037262263656999</v>
      </c>
      <c r="JJ974" s="327">
        <f t="shared" si="1871"/>
        <v>3.644920388249</v>
      </c>
      <c r="JK974" s="323">
        <f t="shared" si="1933"/>
        <v>41.682182651905997</v>
      </c>
      <c r="JL974" s="327">
        <f t="shared" si="1946"/>
        <v>6.8912763674909998</v>
      </c>
      <c r="JM974" s="279">
        <f t="shared" si="2008"/>
        <v>17.90156438849931</v>
      </c>
      <c r="JN974" s="323">
        <f>FISC!AK1295</f>
        <v>24.792840755990309</v>
      </c>
      <c r="JO974" s="327">
        <f>JQ974*0.48</f>
        <v>0</v>
      </c>
      <c r="JP974" s="279">
        <f t="shared" si="2009"/>
        <v>0</v>
      </c>
      <c r="JQ974" s="323">
        <f>FISC!AL1295</f>
        <v>0</v>
      </c>
      <c r="JR974" s="327">
        <f>JT974*0.48</f>
        <v>0</v>
      </c>
      <c r="JS974" s="279">
        <f t="shared" si="2010"/>
        <v>0</v>
      </c>
      <c r="JT974" s="323">
        <f>FISC!AM1295</f>
        <v>0</v>
      </c>
      <c r="JU974" s="327">
        <f>JW974*0.48</f>
        <v>0</v>
      </c>
      <c r="JV974" s="279">
        <f t="shared" si="2011"/>
        <v>0</v>
      </c>
      <c r="JW974" s="323">
        <f>FISC!AN1295</f>
        <v>0</v>
      </c>
      <c r="JX974" s="327">
        <f>JZ974*0.48</f>
        <v>0</v>
      </c>
      <c r="JY974" s="279">
        <f t="shared" si="2012"/>
        <v>0</v>
      </c>
      <c r="JZ974" s="323">
        <f>FISC!AO1295</f>
        <v>0</v>
      </c>
      <c r="KA974" s="327">
        <f>KC974*0.48</f>
        <v>0</v>
      </c>
      <c r="KB974" s="279">
        <f t="shared" si="2022"/>
        <v>0</v>
      </c>
      <c r="KC974" s="323">
        <f>FISC!AP1295</f>
        <v>0</v>
      </c>
      <c r="KD974" s="327">
        <f>KF974*0.48</f>
        <v>0</v>
      </c>
      <c r="KE974" s="279">
        <f t="shared" si="2023"/>
        <v>0</v>
      </c>
      <c r="KF974" s="323">
        <f>FISC!AQ1295</f>
        <v>0</v>
      </c>
      <c r="KG974" s="327">
        <f>KI974*0.48</f>
        <v>0</v>
      </c>
      <c r="KH974" s="279">
        <f t="shared" si="2024"/>
        <v>0</v>
      </c>
      <c r="KI974" s="323">
        <f>FISC!AR1295</f>
        <v>0</v>
      </c>
      <c r="KJ974" s="327">
        <f>KL974*0.48</f>
        <v>0</v>
      </c>
      <c r="KK974" s="279">
        <f t="shared" si="2025"/>
        <v>0</v>
      </c>
      <c r="KL974" s="323">
        <f>FISC!AS1295</f>
        <v>0</v>
      </c>
      <c r="KM974" s="327">
        <f>KO974*0.48</f>
        <v>0</v>
      </c>
      <c r="KN974" s="279">
        <f t="shared" si="2026"/>
        <v>0</v>
      </c>
      <c r="KO974" s="323">
        <f>FISC!AT1295</f>
        <v>0</v>
      </c>
      <c r="KU974" s="326"/>
      <c r="KV974" s="327"/>
    </row>
    <row r="975" spans="1:308">
      <c r="A975" s="279"/>
      <c r="D975" s="1417" t="s">
        <v>3576</v>
      </c>
      <c r="E975" s="323"/>
      <c r="F975" s="323"/>
      <c r="G975" s="323"/>
      <c r="H975" s="323"/>
      <c r="I975" s="323"/>
      <c r="J975" s="323"/>
      <c r="K975" s="323"/>
      <c r="L975" s="323"/>
      <c r="M975" s="323"/>
      <c r="N975" s="323"/>
      <c r="O975" s="323"/>
      <c r="P975" s="323"/>
      <c r="Q975" s="323"/>
      <c r="R975" s="323"/>
      <c r="S975" s="323"/>
      <c r="T975" s="323"/>
      <c r="U975" s="323"/>
      <c r="V975" s="323"/>
      <c r="W975" s="323"/>
      <c r="X975" s="323"/>
      <c r="Y975" s="323"/>
      <c r="Z975" s="323"/>
      <c r="AA975" s="323"/>
      <c r="AB975" s="323"/>
      <c r="AC975" s="323"/>
      <c r="AD975" s="323"/>
      <c r="AE975" s="323"/>
      <c r="AF975" s="323"/>
      <c r="AG975" s="323"/>
      <c r="AH975" s="323"/>
      <c r="AI975" s="323"/>
      <c r="AJ975" s="323"/>
      <c r="AK975" s="323"/>
      <c r="AL975" s="323"/>
      <c r="AM975" s="323"/>
      <c r="AN975" s="323"/>
      <c r="AO975" s="323"/>
      <c r="AP975" s="323"/>
      <c r="AQ975" s="323"/>
      <c r="AR975" s="323"/>
      <c r="AS975" s="323"/>
      <c r="AT975" s="323"/>
      <c r="AU975" s="323"/>
      <c r="AV975" s="323"/>
      <c r="AW975" s="323"/>
      <c r="AX975" s="323"/>
      <c r="AY975" s="323"/>
      <c r="AZ975" s="323"/>
      <c r="BA975" s="323"/>
      <c r="BB975" s="323"/>
      <c r="BC975" s="323"/>
      <c r="BD975" s="323"/>
      <c r="BE975" s="323"/>
      <c r="BF975" s="323"/>
      <c r="BG975" s="323"/>
      <c r="BH975" s="323"/>
      <c r="BI975" s="323"/>
      <c r="BJ975" s="323"/>
      <c r="BK975" s="323"/>
      <c r="BL975" s="323"/>
      <c r="BM975" s="323"/>
      <c r="BN975" s="323"/>
      <c r="BO975" s="323"/>
      <c r="BP975" s="323"/>
      <c r="BQ975" s="323"/>
      <c r="BR975" s="323"/>
      <c r="BS975" s="323"/>
      <c r="BT975" s="323"/>
      <c r="BU975" s="323"/>
      <c r="BV975" s="323"/>
      <c r="BW975" s="323"/>
      <c r="BX975" s="323"/>
      <c r="BY975" s="323"/>
      <c r="BZ975" s="323"/>
      <c r="CA975" s="323"/>
      <c r="CB975" s="323"/>
      <c r="CC975" s="323"/>
      <c r="CD975" s="329"/>
      <c r="CE975" s="323"/>
      <c r="CF975" s="323"/>
      <c r="CG975" s="323"/>
      <c r="CH975" s="323"/>
      <c r="CI975" s="323"/>
      <c r="CJ975" s="323"/>
      <c r="CK975" s="323"/>
      <c r="CL975" s="323"/>
      <c r="CM975" s="323"/>
      <c r="CN975" s="323"/>
      <c r="CO975" s="323"/>
      <c r="CP975" s="325"/>
      <c r="CQ975" s="323"/>
      <c r="CR975" s="323"/>
      <c r="CS975" s="323"/>
      <c r="CT975" s="323"/>
      <c r="CU975" s="323"/>
      <c r="CV975" s="323"/>
      <c r="CW975" s="323"/>
      <c r="CX975" s="323"/>
      <c r="CY975" s="323"/>
      <c r="CZ975" s="323"/>
      <c r="DA975" s="323"/>
      <c r="DB975" s="1269"/>
      <c r="DC975" s="323"/>
      <c r="DD975" s="323"/>
      <c r="DE975" s="323"/>
      <c r="DF975" s="323"/>
      <c r="DG975" s="323"/>
      <c r="DH975" s="323"/>
      <c r="DI975" s="323"/>
      <c r="DJ975" s="323"/>
      <c r="DK975" s="323"/>
      <c r="DL975" s="323"/>
      <c r="DM975" s="323"/>
      <c r="DN975" s="325"/>
      <c r="DO975" s="323"/>
      <c r="DP975" s="323"/>
      <c r="DQ975" s="323"/>
      <c r="DR975" s="323"/>
      <c r="DS975" s="323"/>
      <c r="DT975" s="323"/>
      <c r="DU975" s="323"/>
      <c r="DV975" s="323"/>
      <c r="DW975" s="323"/>
      <c r="DX975" s="323"/>
      <c r="DY975" s="323"/>
      <c r="DZ975" s="325"/>
      <c r="EA975" s="323"/>
      <c r="EB975" s="323"/>
      <c r="EC975" s="323"/>
      <c r="ED975" s="323"/>
      <c r="EE975" s="323"/>
      <c r="EF975" s="323"/>
      <c r="EG975" s="323"/>
      <c r="EH975" s="323"/>
      <c r="EI975" s="323"/>
      <c r="EJ975" s="323"/>
      <c r="EK975" s="323"/>
      <c r="EL975" s="325"/>
      <c r="EM975" s="323"/>
      <c r="EN975" s="323"/>
      <c r="EO975" s="323"/>
      <c r="EP975" s="323"/>
      <c r="EQ975" s="323"/>
      <c r="ER975" s="323"/>
      <c r="ES975" s="323"/>
      <c r="ET975" s="323"/>
      <c r="EU975" s="323"/>
      <c r="EV975" s="323"/>
      <c r="EW975" s="323"/>
      <c r="EX975" s="325"/>
      <c r="EY975" s="323"/>
      <c r="EZ975" s="323"/>
      <c r="FA975" s="323"/>
      <c r="FB975" s="323"/>
      <c r="FC975" s="323"/>
      <c r="FD975" s="323"/>
      <c r="FE975" s="323"/>
      <c r="FF975" s="323"/>
      <c r="FG975" s="323"/>
      <c r="FH975" s="323"/>
      <c r="FI975" s="323"/>
      <c r="FJ975" s="325"/>
      <c r="FK975" s="323"/>
      <c r="FL975" s="323"/>
      <c r="FM975" s="323"/>
      <c r="FN975" s="323"/>
      <c r="FO975" s="323"/>
      <c r="FP975" s="323"/>
      <c r="FQ975" s="323"/>
      <c r="FR975" s="323"/>
      <c r="FS975" s="323"/>
      <c r="FT975" s="323"/>
      <c r="FU975" s="323"/>
      <c r="FV975" s="323"/>
      <c r="FW975" s="323"/>
      <c r="FX975" s="323"/>
      <c r="FY975" s="323"/>
      <c r="FZ975" s="323"/>
      <c r="GA975" s="323"/>
      <c r="GB975" s="323"/>
      <c r="GC975" s="323"/>
      <c r="GD975" s="323"/>
      <c r="GE975" s="323"/>
      <c r="GF975" s="323"/>
      <c r="GG975" s="323"/>
      <c r="GH975" s="323"/>
      <c r="GI975" s="1654"/>
      <c r="GJ975" s="1654"/>
      <c r="GK975" s="1654"/>
      <c r="GL975" s="1654"/>
      <c r="GM975" s="1654"/>
      <c r="GN975" s="1654"/>
      <c r="GO975" s="1654"/>
      <c r="GP975" s="1654"/>
      <c r="GQ975" s="1654"/>
      <c r="GR975" s="1654"/>
      <c r="GS975" s="1654"/>
      <c r="GT975" s="1654"/>
      <c r="GU975" s="1654"/>
      <c r="GV975" s="1654"/>
      <c r="GW975" s="1654"/>
      <c r="GX975" s="1654"/>
      <c r="GY975" s="1654"/>
      <c r="GZ975" s="1654"/>
      <c r="HA975" s="1654"/>
      <c r="HB975" s="1654"/>
      <c r="HC975" s="1654"/>
      <c r="HD975" s="1654"/>
      <c r="HE975" s="1654"/>
      <c r="HF975" s="1654"/>
      <c r="HG975" s="1654">
        <v>0</v>
      </c>
      <c r="HH975" s="1654">
        <v>0</v>
      </c>
      <c r="HI975" s="1654">
        <v>0</v>
      </c>
      <c r="HJ975" s="1654">
        <v>-19.7</v>
      </c>
      <c r="HK975" s="1654">
        <v>0</v>
      </c>
      <c r="HL975" s="1654">
        <v>0</v>
      </c>
      <c r="HM975" s="1654">
        <v>0</v>
      </c>
      <c r="HN975" s="1654">
        <v>0</v>
      </c>
      <c r="HO975" s="1654">
        <v>0</v>
      </c>
      <c r="HP975" s="1654">
        <v>0</v>
      </c>
      <c r="HQ975" s="1654">
        <v>0</v>
      </c>
      <c r="HR975" s="1654">
        <v>0</v>
      </c>
      <c r="HS975" s="1654">
        <v>0</v>
      </c>
      <c r="HT975" s="1654">
        <v>0</v>
      </c>
      <c r="HU975" s="1654">
        <v>0</v>
      </c>
      <c r="HV975" s="1654">
        <v>0</v>
      </c>
      <c r="HW975" s="1654">
        <v>0</v>
      </c>
      <c r="HX975" s="1654">
        <v>0</v>
      </c>
      <c r="HY975" s="1654"/>
      <c r="HZ975" s="326"/>
      <c r="IA975" s="1392" t="s">
        <v>3561</v>
      </c>
      <c r="IB975" s="284"/>
      <c r="ID975" s="323"/>
      <c r="IG975" s="323"/>
      <c r="IH975" s="284"/>
      <c r="IJ975" s="323"/>
      <c r="IK975" s="327"/>
      <c r="IM975" s="323"/>
      <c r="IP975" s="323"/>
      <c r="IQ975" s="327"/>
      <c r="IR975" s="327"/>
      <c r="IS975" s="323"/>
      <c r="IT975" s="327"/>
      <c r="IU975" s="327"/>
      <c r="IV975" s="323"/>
      <c r="IW975" s="327"/>
      <c r="IX975" s="327"/>
      <c r="IY975" s="323"/>
      <c r="IZ975" s="327"/>
      <c r="JA975" s="327"/>
      <c r="JB975" s="323"/>
      <c r="JC975" s="327"/>
      <c r="JD975" s="327"/>
      <c r="JE975" s="323"/>
      <c r="JF975" s="327"/>
      <c r="JG975" s="327"/>
      <c r="JH975" s="323"/>
      <c r="JI975" s="327">
        <f t="shared" si="1993"/>
        <v>-19.7</v>
      </c>
      <c r="JJ975" s="327">
        <f t="shared" si="1871"/>
        <v>0</v>
      </c>
      <c r="JK975" s="323">
        <f t="shared" si="1933"/>
        <v>-19.7</v>
      </c>
      <c r="JL975" s="327">
        <f t="shared" si="1946"/>
        <v>0</v>
      </c>
      <c r="JN975" s="323">
        <f>FISC!AK1299</f>
        <v>0</v>
      </c>
      <c r="JO975" s="327"/>
      <c r="JQ975" s="323">
        <f>FISC!AL1299</f>
        <v>0</v>
      </c>
      <c r="JR975" s="327"/>
      <c r="JT975" s="323">
        <f>FISC!AM1299</f>
        <v>0</v>
      </c>
      <c r="JU975" s="327"/>
      <c r="JW975" s="323">
        <f>FISC!AN1299</f>
        <v>0</v>
      </c>
      <c r="JX975" s="327"/>
      <c r="JZ975" s="323">
        <f>FISC!AO1299</f>
        <v>0</v>
      </c>
      <c r="KA975" s="327"/>
      <c r="KC975" s="323">
        <f>FISC!AP1299</f>
        <v>0</v>
      </c>
      <c r="KD975" s="327"/>
      <c r="KF975" s="323">
        <f>FISC!AQ1299</f>
        <v>0</v>
      </c>
      <c r="KG975" s="327"/>
      <c r="KI975" s="323">
        <f>FISC!AR1299</f>
        <v>0</v>
      </c>
      <c r="KJ975" s="327"/>
      <c r="KL975" s="323">
        <f>FISC!AS1299</f>
        <v>0</v>
      </c>
      <c r="KM975" s="327"/>
      <c r="KO975" s="323">
        <f>FISC!AT1299</f>
        <v>0</v>
      </c>
      <c r="KU975" s="326"/>
      <c r="KV975" s="327"/>
    </row>
    <row r="976" spans="1:308">
      <c r="A976" s="279"/>
      <c r="D976" s="1420" t="s">
        <v>3062</v>
      </c>
      <c r="E976" s="323"/>
      <c r="F976" s="323"/>
      <c r="G976" s="323"/>
      <c r="H976" s="323"/>
      <c r="I976" s="323"/>
      <c r="J976" s="323"/>
      <c r="K976" s="323"/>
      <c r="L976" s="323"/>
      <c r="M976" s="323"/>
      <c r="N976" s="323"/>
      <c r="O976" s="323"/>
      <c r="P976" s="323"/>
      <c r="Q976" s="323"/>
      <c r="R976" s="323"/>
      <c r="S976" s="323"/>
      <c r="T976" s="323"/>
      <c r="U976" s="323"/>
      <c r="V976" s="323"/>
      <c r="W976" s="323"/>
      <c r="X976" s="323"/>
      <c r="Y976" s="323"/>
      <c r="Z976" s="323"/>
      <c r="AA976" s="323"/>
      <c r="AB976" s="323"/>
      <c r="AC976" s="323"/>
      <c r="AD976" s="323"/>
      <c r="AE976" s="323"/>
      <c r="AF976" s="323"/>
      <c r="AG976" s="323"/>
      <c r="AH976" s="323"/>
      <c r="AI976" s="323"/>
      <c r="AJ976" s="323"/>
      <c r="AK976" s="323"/>
      <c r="AL976" s="323"/>
      <c r="AM976" s="323"/>
      <c r="AN976" s="323"/>
      <c r="AO976" s="323"/>
      <c r="AP976" s="323"/>
      <c r="AQ976" s="323"/>
      <c r="AR976" s="323"/>
      <c r="AS976" s="323"/>
      <c r="AT976" s="323"/>
      <c r="AU976" s="323"/>
      <c r="AV976" s="323"/>
      <c r="AW976" s="323"/>
      <c r="AX976" s="323"/>
      <c r="AY976" s="323"/>
      <c r="AZ976" s="323"/>
      <c r="BA976" s="323"/>
      <c r="BB976" s="323"/>
      <c r="BC976" s="323"/>
      <c r="BD976" s="323"/>
      <c r="BE976" s="323"/>
      <c r="BF976" s="323"/>
      <c r="BG976" s="323"/>
      <c r="BH976" s="323"/>
      <c r="BI976" s="323"/>
      <c r="BJ976" s="323"/>
      <c r="BK976" s="323"/>
      <c r="BL976" s="323"/>
      <c r="BM976" s="323"/>
      <c r="BN976" s="323"/>
      <c r="BO976" s="323"/>
      <c r="BP976" s="323"/>
      <c r="BQ976" s="323"/>
      <c r="BR976" s="323"/>
      <c r="BS976" s="323"/>
      <c r="BT976" s="323"/>
      <c r="BU976" s="323"/>
      <c r="BV976" s="323"/>
      <c r="BW976" s="323"/>
      <c r="BX976" s="323"/>
      <c r="BY976" s="323"/>
      <c r="BZ976" s="323"/>
      <c r="CA976" s="323"/>
      <c r="CB976" s="323"/>
      <c r="CC976" s="323"/>
      <c r="CD976" s="329"/>
      <c r="CE976" s="323">
        <v>0</v>
      </c>
      <c r="CF976" s="323">
        <v>0</v>
      </c>
      <c r="CG976" s="323">
        <v>0</v>
      </c>
      <c r="CH976" s="323">
        <v>0</v>
      </c>
      <c r="CI976" s="323">
        <v>0</v>
      </c>
      <c r="CJ976" s="323">
        <v>0</v>
      </c>
      <c r="CK976" s="323">
        <v>0</v>
      </c>
      <c r="CL976" s="323">
        <v>0</v>
      </c>
      <c r="CM976" s="323">
        <v>0</v>
      </c>
      <c r="CN976" s="323">
        <v>0</v>
      </c>
      <c r="CO976" s="323">
        <v>0</v>
      </c>
      <c r="CP976" s="325">
        <v>0</v>
      </c>
      <c r="CQ976" s="323"/>
      <c r="CR976" s="323"/>
      <c r="CS976" s="323"/>
      <c r="CT976" s="323"/>
      <c r="CU976" s="323"/>
      <c r="CV976" s="323"/>
      <c r="CW976" s="323"/>
      <c r="CX976" s="323"/>
      <c r="CY976" s="323"/>
      <c r="CZ976" s="323"/>
      <c r="DA976" s="323"/>
      <c r="DB976" s="1269"/>
      <c r="DC976" s="323">
        <f t="shared" ref="DC976:FN976" si="2027">DC977+DC978+DC981</f>
        <v>0</v>
      </c>
      <c r="DD976" s="323">
        <f t="shared" si="2027"/>
        <v>0</v>
      </c>
      <c r="DE976" s="323">
        <f t="shared" si="2027"/>
        <v>0</v>
      </c>
      <c r="DF976" s="323">
        <f t="shared" si="2027"/>
        <v>0</v>
      </c>
      <c r="DG976" s="323">
        <f t="shared" si="2027"/>
        <v>0</v>
      </c>
      <c r="DH976" s="323">
        <f t="shared" si="2027"/>
        <v>0</v>
      </c>
      <c r="DI976" s="323">
        <f t="shared" si="2027"/>
        <v>0</v>
      </c>
      <c r="DJ976" s="323">
        <f t="shared" si="2027"/>
        <v>0</v>
      </c>
      <c r="DK976" s="323">
        <f t="shared" si="2027"/>
        <v>0</v>
      </c>
      <c r="DL976" s="323">
        <f t="shared" si="2027"/>
        <v>0</v>
      </c>
      <c r="DM976" s="323">
        <f t="shared" si="2027"/>
        <v>0</v>
      </c>
      <c r="DN976" s="325">
        <f t="shared" si="2027"/>
        <v>0</v>
      </c>
      <c r="DO976" s="323">
        <f t="shared" si="2027"/>
        <v>0</v>
      </c>
      <c r="DP976" s="323">
        <f t="shared" si="2027"/>
        <v>0</v>
      </c>
      <c r="DQ976" s="323">
        <f t="shared" si="2027"/>
        <v>0</v>
      </c>
      <c r="DR976" s="323">
        <f t="shared" si="2027"/>
        <v>0</v>
      </c>
      <c r="DS976" s="323">
        <f t="shared" si="2027"/>
        <v>0</v>
      </c>
      <c r="DT976" s="323">
        <f t="shared" si="2027"/>
        <v>0</v>
      </c>
      <c r="DU976" s="323">
        <f t="shared" si="2027"/>
        <v>0</v>
      </c>
      <c r="DV976" s="323">
        <f t="shared" si="2027"/>
        <v>0</v>
      </c>
      <c r="DW976" s="323">
        <f t="shared" si="2027"/>
        <v>0</v>
      </c>
      <c r="DX976" s="323">
        <f t="shared" si="2027"/>
        <v>0</v>
      </c>
      <c r="DY976" s="323">
        <f t="shared" si="2027"/>
        <v>0</v>
      </c>
      <c r="DZ976" s="325">
        <f t="shared" si="2027"/>
        <v>0</v>
      </c>
      <c r="EA976" s="323">
        <f t="shared" si="2027"/>
        <v>0</v>
      </c>
      <c r="EB976" s="323">
        <f t="shared" si="2027"/>
        <v>0</v>
      </c>
      <c r="EC976" s="323">
        <f t="shared" si="2027"/>
        <v>0</v>
      </c>
      <c r="ED976" s="323">
        <f t="shared" si="2027"/>
        <v>0</v>
      </c>
      <c r="EE976" s="323">
        <f t="shared" si="2027"/>
        <v>0</v>
      </c>
      <c r="EF976" s="323">
        <f t="shared" si="2027"/>
        <v>0</v>
      </c>
      <c r="EG976" s="323">
        <f t="shared" si="2027"/>
        <v>0</v>
      </c>
      <c r="EH976" s="323">
        <f t="shared" si="2027"/>
        <v>0</v>
      </c>
      <c r="EI976" s="323">
        <f t="shared" si="2027"/>
        <v>0</v>
      </c>
      <c r="EJ976" s="323">
        <f t="shared" si="2027"/>
        <v>0</v>
      </c>
      <c r="EK976" s="323">
        <f t="shared" si="2027"/>
        <v>0</v>
      </c>
      <c r="EL976" s="325">
        <f t="shared" si="2027"/>
        <v>0</v>
      </c>
      <c r="EM976" s="323">
        <f t="shared" si="2027"/>
        <v>0</v>
      </c>
      <c r="EN976" s="323">
        <f t="shared" si="2027"/>
        <v>0</v>
      </c>
      <c r="EO976" s="323">
        <f t="shared" si="2027"/>
        <v>0</v>
      </c>
      <c r="EP976" s="323">
        <f t="shared" si="2027"/>
        <v>0</v>
      </c>
      <c r="EQ976" s="323">
        <f t="shared" si="2027"/>
        <v>0</v>
      </c>
      <c r="ER976" s="323">
        <f t="shared" si="2027"/>
        <v>0</v>
      </c>
      <c r="ES976" s="323">
        <f t="shared" si="2027"/>
        <v>0</v>
      </c>
      <c r="ET976" s="323">
        <f t="shared" si="2027"/>
        <v>0</v>
      </c>
      <c r="EU976" s="323">
        <f t="shared" si="2027"/>
        <v>0</v>
      </c>
      <c r="EV976" s="323">
        <f t="shared" si="2027"/>
        <v>0</v>
      </c>
      <c r="EW976" s="323">
        <f t="shared" si="2027"/>
        <v>0</v>
      </c>
      <c r="EX976" s="325">
        <f t="shared" si="2027"/>
        <v>0</v>
      </c>
      <c r="EY976" s="323">
        <f t="shared" si="2027"/>
        <v>0</v>
      </c>
      <c r="EZ976" s="323">
        <f t="shared" si="2027"/>
        <v>0</v>
      </c>
      <c r="FA976" s="323">
        <f t="shared" si="2027"/>
        <v>0</v>
      </c>
      <c r="FB976" s="323">
        <f t="shared" si="2027"/>
        <v>0</v>
      </c>
      <c r="FC976" s="323">
        <f t="shared" si="2027"/>
        <v>0</v>
      </c>
      <c r="FD976" s="323">
        <f t="shared" si="2027"/>
        <v>0</v>
      </c>
      <c r="FE976" s="323">
        <f t="shared" si="2027"/>
        <v>0</v>
      </c>
      <c r="FF976" s="323">
        <f t="shared" si="2027"/>
        <v>0</v>
      </c>
      <c r="FG976" s="323">
        <f t="shared" si="2027"/>
        <v>0</v>
      </c>
      <c r="FH976" s="323">
        <f t="shared" si="2027"/>
        <v>0</v>
      </c>
      <c r="FI976" s="323">
        <f t="shared" si="2027"/>
        <v>0</v>
      </c>
      <c r="FJ976" s="325">
        <f t="shared" si="2027"/>
        <v>0</v>
      </c>
      <c r="FK976" s="323">
        <f t="shared" si="2027"/>
        <v>0</v>
      </c>
      <c r="FL976" s="323">
        <f t="shared" si="2027"/>
        <v>0</v>
      </c>
      <c r="FM976" s="323">
        <f t="shared" si="2027"/>
        <v>0</v>
      </c>
      <c r="FN976" s="323">
        <f t="shared" si="2027"/>
        <v>0</v>
      </c>
      <c r="FO976" s="323">
        <f t="shared" ref="FO976:HQ976" si="2028">FO977+FO978+FO981</f>
        <v>0</v>
      </c>
      <c r="FP976" s="323">
        <f t="shared" si="2028"/>
        <v>0</v>
      </c>
      <c r="FQ976" s="323">
        <f t="shared" si="2028"/>
        <v>0</v>
      </c>
      <c r="FR976" s="323">
        <f t="shared" si="2028"/>
        <v>2.0516666680000002</v>
      </c>
      <c r="FS976" s="323">
        <f t="shared" si="2028"/>
        <v>0</v>
      </c>
      <c r="FT976" s="323">
        <f t="shared" si="2028"/>
        <v>0</v>
      </c>
      <c r="FU976" s="323">
        <f t="shared" si="2028"/>
        <v>0</v>
      </c>
      <c r="FV976" s="323">
        <f t="shared" si="2028"/>
        <v>0</v>
      </c>
      <c r="FW976" s="323">
        <f t="shared" si="2028"/>
        <v>2.3275000000000001</v>
      </c>
      <c r="FX976" s="323">
        <f t="shared" si="2028"/>
        <v>0</v>
      </c>
      <c r="FY976" s="323">
        <f t="shared" si="2028"/>
        <v>17.089612519999999</v>
      </c>
      <c r="FZ976" s="323">
        <f t="shared" si="2028"/>
        <v>0</v>
      </c>
      <c r="GA976" s="323">
        <f t="shared" si="2028"/>
        <v>0</v>
      </c>
      <c r="GB976" s="323">
        <f t="shared" si="2028"/>
        <v>6.4698415320000002</v>
      </c>
      <c r="GC976" s="323">
        <f t="shared" si="2028"/>
        <v>0</v>
      </c>
      <c r="GD976" s="323">
        <f t="shared" si="2028"/>
        <v>7.7682330050000008</v>
      </c>
      <c r="GE976" s="323">
        <f t="shared" si="2028"/>
        <v>5.7562135210000003</v>
      </c>
      <c r="GF976" s="323">
        <f t="shared" si="2028"/>
        <v>0</v>
      </c>
      <c r="GG976" s="323">
        <f t="shared" si="2028"/>
        <v>5.7209304950000002</v>
      </c>
      <c r="GH976" s="323">
        <f t="shared" si="2028"/>
        <v>17.315684280999999</v>
      </c>
      <c r="GI976" s="1654">
        <f t="shared" si="2028"/>
        <v>0</v>
      </c>
      <c r="GJ976" s="1654">
        <f t="shared" si="2028"/>
        <v>0.76380206699999997</v>
      </c>
      <c r="GK976" s="1654">
        <f t="shared" si="2028"/>
        <v>12.598956765000001</v>
      </c>
      <c r="GL976" s="1654">
        <f t="shared" si="2028"/>
        <v>0</v>
      </c>
      <c r="GM976" s="1654">
        <f t="shared" si="2028"/>
        <v>0.57212499999999999</v>
      </c>
      <c r="GN976" s="1654">
        <f t="shared" si="2028"/>
        <v>11.418480311</v>
      </c>
      <c r="GO976" s="1654">
        <f t="shared" si="2028"/>
        <v>0.57212499999999999</v>
      </c>
      <c r="GP976" s="1654">
        <f t="shared" si="2028"/>
        <v>0</v>
      </c>
      <c r="GQ976" s="1654">
        <f t="shared" si="2028"/>
        <v>11.580811979</v>
      </c>
      <c r="GR976" s="1654">
        <f t="shared" si="2028"/>
        <v>0.499999998</v>
      </c>
      <c r="GS976" s="1654">
        <f t="shared" si="2028"/>
        <v>0.56497730000000002</v>
      </c>
      <c r="GT976" s="1654">
        <f t="shared" si="2028"/>
        <v>10.781052481</v>
      </c>
      <c r="GU976" s="1654">
        <f t="shared" si="2028"/>
        <v>0</v>
      </c>
      <c r="GV976" s="1654">
        <f t="shared" si="2028"/>
        <v>3.5007651950000001</v>
      </c>
      <c r="GW976" s="1654">
        <f t="shared" si="2028"/>
        <v>7.4345683670000007</v>
      </c>
      <c r="GX976" s="1654">
        <f t="shared" si="2028"/>
        <v>0</v>
      </c>
      <c r="GY976" s="1654">
        <f t="shared" si="2028"/>
        <v>0.67500000000000004</v>
      </c>
      <c r="GZ976" s="1654">
        <f t="shared" si="2028"/>
        <v>6.6525046159999999</v>
      </c>
      <c r="HA976" s="1654">
        <f t="shared" si="2028"/>
        <v>0</v>
      </c>
      <c r="HB976" s="1654">
        <f t="shared" si="2028"/>
        <v>0</v>
      </c>
      <c r="HC976" s="1654">
        <f t="shared" si="2028"/>
        <v>6.1548510219999999</v>
      </c>
      <c r="HD976" s="1654">
        <f t="shared" si="2028"/>
        <v>0</v>
      </c>
      <c r="HE976" s="1654">
        <f t="shared" si="2028"/>
        <v>0.4375</v>
      </c>
      <c r="HF976" s="1654">
        <f t="shared" si="2028"/>
        <v>3.6593230000000001</v>
      </c>
      <c r="HG976" s="1654">
        <f t="shared" si="2028"/>
        <v>1.45</v>
      </c>
      <c r="HH976" s="1654">
        <f t="shared" si="2028"/>
        <v>2.6735634300000002</v>
      </c>
      <c r="HI976" s="1654">
        <f t="shared" si="2028"/>
        <v>6.5135824459999991</v>
      </c>
      <c r="HJ976" s="1654">
        <f t="shared" si="2028"/>
        <v>1.641252817</v>
      </c>
      <c r="HK976" s="1654">
        <f t="shared" si="2028"/>
        <v>1.425</v>
      </c>
      <c r="HL976" s="1654">
        <f t="shared" si="2028"/>
        <v>6.5882208430000002</v>
      </c>
      <c r="HM976" s="1654">
        <f t="shared" si="2028"/>
        <v>2.3931197209999997</v>
      </c>
      <c r="HN976" s="1654">
        <f t="shared" si="2028"/>
        <v>1.7019929219999996</v>
      </c>
      <c r="HO976" s="1654">
        <f t="shared" si="2028"/>
        <v>6.1511330099999997</v>
      </c>
      <c r="HP976" s="1654">
        <f t="shared" si="2028"/>
        <v>4.6708760969999998</v>
      </c>
      <c r="HQ976" s="1654">
        <f t="shared" si="2028"/>
        <v>5.0285491189999991</v>
      </c>
      <c r="HR976" s="1654">
        <f>HR977+HR978+HR981</f>
        <v>9.4302091600000004</v>
      </c>
      <c r="HS976" s="1654">
        <f t="shared" ref="HS976:HX976" si="2029">HS977+HS978+HS981</f>
        <v>85.242087545000004</v>
      </c>
      <c r="HT976" s="1654">
        <f t="shared" si="2029"/>
        <v>27.120974076</v>
      </c>
      <c r="HU976" s="1654">
        <f t="shared" si="2029"/>
        <v>31.088252227999995</v>
      </c>
      <c r="HV976" s="1654">
        <f t="shared" si="2029"/>
        <v>26.339589144000001</v>
      </c>
      <c r="HW976" s="1654">
        <f t="shared" si="2029"/>
        <v>20.815969826000003</v>
      </c>
      <c r="HX976" s="1654">
        <f t="shared" si="2029"/>
        <v>21.552878498000002</v>
      </c>
      <c r="HY976" s="1654"/>
      <c r="HZ976" s="326"/>
      <c r="IA976" s="1420" t="s">
        <v>3062</v>
      </c>
      <c r="IB976" s="284"/>
      <c r="ID976" s="323"/>
      <c r="IG976" s="323"/>
      <c r="IH976" s="284"/>
      <c r="IJ976" s="323"/>
      <c r="IK976" s="327"/>
      <c r="IM976" s="323"/>
      <c r="IP976" s="323"/>
      <c r="IQ976" s="327"/>
      <c r="IR976" s="327"/>
      <c r="IS976" s="323"/>
      <c r="IT976" s="327"/>
      <c r="IU976" s="327"/>
      <c r="IV976" s="323"/>
      <c r="IW976" s="327">
        <f>SUM(FK976:FP976)</f>
        <v>0</v>
      </c>
      <c r="IX976" s="327">
        <f t="shared" si="1963"/>
        <v>2.0516666680000002</v>
      </c>
      <c r="IY976" s="323">
        <f t="shared" si="2005"/>
        <v>2.0516666680000002</v>
      </c>
      <c r="IZ976" s="327">
        <f t="shared" si="2018"/>
        <v>25.886954052</v>
      </c>
      <c r="JA976" s="327">
        <f t="shared" si="2019"/>
        <v>36.561061301999999</v>
      </c>
      <c r="JB976" s="323">
        <f t="shared" si="1823"/>
        <v>62.448015353999999</v>
      </c>
      <c r="JC976" s="327">
        <f t="shared" si="2020"/>
        <v>25.353364143</v>
      </c>
      <c r="JD976" s="327">
        <f t="shared" si="2021"/>
        <v>23.998966758000002</v>
      </c>
      <c r="JE976" s="323">
        <f t="shared" si="1945"/>
        <v>49.352330901000002</v>
      </c>
      <c r="JF976" s="327">
        <f t="shared" si="1964"/>
        <v>18.262838178000003</v>
      </c>
      <c r="JG976" s="327">
        <f t="shared" si="1965"/>
        <v>10.251674022</v>
      </c>
      <c r="JH976" s="323">
        <f t="shared" si="1944"/>
        <v>28.514512200000002</v>
      </c>
      <c r="JI976" s="327">
        <f>SUM(HG976:HL976)</f>
        <v>20.291619535999999</v>
      </c>
      <c r="JJ976" s="327">
        <f t="shared" si="1871"/>
        <v>29.375880028999998</v>
      </c>
      <c r="JK976" s="323">
        <f t="shared" si="1933"/>
        <v>49.667499565</v>
      </c>
      <c r="JL976" s="327">
        <f t="shared" si="1946"/>
        <v>212.15975131700003</v>
      </c>
      <c r="JM976" s="279">
        <f t="shared" si="2008"/>
        <v>320.58618251337992</v>
      </c>
      <c r="JN976" s="323">
        <f>FISC!AK1300</f>
        <v>532.74593383037995</v>
      </c>
      <c r="JO976" s="327">
        <f>JO977+JO978+JO981</f>
        <v>218.41881738910857</v>
      </c>
      <c r="JP976" s="279">
        <f t="shared" si="2009"/>
        <v>252.33069556515088</v>
      </c>
      <c r="JQ976" s="323">
        <f>FISC!AL1300</f>
        <v>470.74951295425944</v>
      </c>
      <c r="JR976" s="327">
        <f>JR977+JR978+JR981</f>
        <v>239.23536616178754</v>
      </c>
      <c r="JS976" s="279">
        <f t="shared" si="2010"/>
        <v>136.07844741864929</v>
      </c>
      <c r="JT976" s="323">
        <f>FISC!AM1300</f>
        <v>375.31381358043683</v>
      </c>
      <c r="JU976" s="327">
        <f>JU977+JU978+JU981</f>
        <v>19.922116851743333</v>
      </c>
      <c r="JV976" s="279">
        <f t="shared" si="2011"/>
        <v>19.96902846720301</v>
      </c>
      <c r="JW976" s="323">
        <f>FISC!AN1300</f>
        <v>39.891145318946343</v>
      </c>
      <c r="JX976" s="327">
        <f>JX977+JX978+JX981</f>
        <v>17.990922015319999</v>
      </c>
      <c r="JY976" s="279">
        <f t="shared" si="2012"/>
        <v>18.870221758513868</v>
      </c>
      <c r="JZ976" s="323">
        <f>FISC!AO1300</f>
        <v>36.861143773833867</v>
      </c>
      <c r="KA976" s="327">
        <f>KA977+KA978+KA981</f>
        <v>17.990922015319999</v>
      </c>
      <c r="KB976" s="279">
        <f t="shared" ref="KB976:KB984" si="2030">KC976-KA976</f>
        <v>17.990922015319999</v>
      </c>
      <c r="KC976" s="323">
        <f>FISC!AP1300</f>
        <v>35.981844030639998</v>
      </c>
      <c r="KD976" s="327">
        <f>KD977+KD978+KD981</f>
        <v>17.990922015319999</v>
      </c>
      <c r="KE976" s="279">
        <f t="shared" ref="KE976:KE984" si="2031">KF976-KD976</f>
        <v>17.990922015319999</v>
      </c>
      <c r="KF976" s="323">
        <f>FISC!AQ1300</f>
        <v>35.981844030639998</v>
      </c>
      <c r="KG976" s="327">
        <f>KG977+KG978+KG981</f>
        <v>17.990922015319999</v>
      </c>
      <c r="KH976" s="279">
        <f t="shared" ref="KH976:KH984" si="2032">KI976-KG976</f>
        <v>17.990922015319999</v>
      </c>
      <c r="KI976" s="323">
        <f>FISC!AR1300</f>
        <v>35.981844030639998</v>
      </c>
      <c r="KJ976" s="327">
        <f>KJ977+KJ978+KJ981</f>
        <v>17.990922015319999</v>
      </c>
      <c r="KK976" s="279">
        <f t="shared" ref="KK976:KK984" si="2033">KL976-KJ976</f>
        <v>17.990922015319999</v>
      </c>
      <c r="KL976" s="323">
        <f>FISC!AS1300</f>
        <v>35.981844030639998</v>
      </c>
      <c r="KM976" s="327">
        <f>KM977+KM978+KM981</f>
        <v>17.990922015319999</v>
      </c>
      <c r="KN976" s="279">
        <f t="shared" ref="KN976:KN984" si="2034">KO976-KM976</f>
        <v>17.990922015319999</v>
      </c>
      <c r="KO976" s="323">
        <f>FISC!AT1300</f>
        <v>35.981844030639998</v>
      </c>
      <c r="KU976" s="326"/>
      <c r="KV976" s="327"/>
    </row>
    <row r="977" spans="1:314">
      <c r="A977" s="279"/>
      <c r="D977" s="1420" t="s">
        <v>3138</v>
      </c>
      <c r="E977" s="323"/>
      <c r="F977" s="323"/>
      <c r="G977" s="323"/>
      <c r="H977" s="323"/>
      <c r="I977" s="323"/>
      <c r="J977" s="323"/>
      <c r="K977" s="323"/>
      <c r="L977" s="323"/>
      <c r="M977" s="323"/>
      <c r="N977" s="323"/>
      <c r="O977" s="323"/>
      <c r="P977" s="323"/>
      <c r="Q977" s="323"/>
      <c r="R977" s="323"/>
      <c r="S977" s="323"/>
      <c r="T977" s="323"/>
      <c r="U977" s="323"/>
      <c r="V977" s="323"/>
      <c r="W977" s="323"/>
      <c r="X977" s="323"/>
      <c r="Y977" s="323"/>
      <c r="Z977" s="323"/>
      <c r="AA977" s="323"/>
      <c r="AB977" s="323"/>
      <c r="AC977" s="323"/>
      <c r="AD977" s="323"/>
      <c r="AE977" s="323"/>
      <c r="AF977" s="323"/>
      <c r="AG977" s="323"/>
      <c r="AH977" s="323"/>
      <c r="AI977" s="323"/>
      <c r="AJ977" s="323"/>
      <c r="AK977" s="323"/>
      <c r="AL977" s="323"/>
      <c r="AM977" s="323"/>
      <c r="AN977" s="323"/>
      <c r="AO977" s="323"/>
      <c r="AP977" s="323"/>
      <c r="AQ977" s="323"/>
      <c r="AR977" s="323"/>
      <c r="AS977" s="323"/>
      <c r="AT977" s="323"/>
      <c r="AU977" s="323"/>
      <c r="AV977" s="323"/>
      <c r="AW977" s="323"/>
      <c r="AX977" s="323"/>
      <c r="AY977" s="323"/>
      <c r="AZ977" s="323"/>
      <c r="BA977" s="323"/>
      <c r="BB977" s="323"/>
      <c r="BC977" s="323"/>
      <c r="BD977" s="323"/>
      <c r="BE977" s="323"/>
      <c r="BF977" s="323"/>
      <c r="BG977" s="323"/>
      <c r="BH977" s="323"/>
      <c r="BI977" s="323"/>
      <c r="BJ977" s="323"/>
      <c r="BK977" s="323"/>
      <c r="BL977" s="323"/>
      <c r="BM977" s="323"/>
      <c r="BN977" s="323"/>
      <c r="BO977" s="323"/>
      <c r="BP977" s="323"/>
      <c r="BQ977" s="323"/>
      <c r="BR977" s="323"/>
      <c r="BS977" s="323"/>
      <c r="BT977" s="323"/>
      <c r="BU977" s="323"/>
      <c r="BV977" s="323"/>
      <c r="BW977" s="323"/>
      <c r="BX977" s="323"/>
      <c r="BY977" s="323"/>
      <c r="BZ977" s="323"/>
      <c r="CA977" s="323"/>
      <c r="CB977" s="323"/>
      <c r="CC977" s="323"/>
      <c r="CD977" s="329"/>
      <c r="CE977" s="323"/>
      <c r="CF977" s="323"/>
      <c r="CG977" s="323"/>
      <c r="CH977" s="323"/>
      <c r="CI977" s="323"/>
      <c r="CJ977" s="323"/>
      <c r="CK977" s="323"/>
      <c r="CL977" s="323"/>
      <c r="CM977" s="323"/>
      <c r="CN977" s="323"/>
      <c r="CO977" s="323"/>
      <c r="CP977" s="325"/>
      <c r="CQ977" s="323"/>
      <c r="CR977" s="323"/>
      <c r="CS977" s="323"/>
      <c r="CT977" s="323"/>
      <c r="CU977" s="323"/>
      <c r="CV977" s="323"/>
      <c r="CW977" s="323"/>
      <c r="CX977" s="323"/>
      <c r="CY977" s="323"/>
      <c r="CZ977" s="323"/>
      <c r="DA977" s="323"/>
      <c r="DB977" s="1269"/>
      <c r="DC977" s="323"/>
      <c r="DD977" s="323"/>
      <c r="DE977" s="323"/>
      <c r="DF977" s="323"/>
      <c r="DG977" s="323"/>
      <c r="DH977" s="323"/>
      <c r="DI977" s="323"/>
      <c r="DJ977" s="323"/>
      <c r="DK977" s="323"/>
      <c r="DL977" s="323"/>
      <c r="DM977" s="323"/>
      <c r="DN977" s="325"/>
      <c r="DO977" s="323"/>
      <c r="DP977" s="323"/>
      <c r="DQ977" s="323"/>
      <c r="DR977" s="323"/>
      <c r="DS977" s="323"/>
      <c r="DT977" s="323"/>
      <c r="DU977" s="323"/>
      <c r="DV977" s="323"/>
      <c r="DW977" s="323"/>
      <c r="DX977" s="323"/>
      <c r="DY977" s="323"/>
      <c r="DZ977" s="325"/>
      <c r="EA977" s="323"/>
      <c r="EB977" s="323"/>
      <c r="EC977" s="323"/>
      <c r="ED977" s="323"/>
      <c r="EE977" s="323"/>
      <c r="EF977" s="323"/>
      <c r="EG977" s="323"/>
      <c r="EH977" s="323"/>
      <c r="EI977" s="323"/>
      <c r="EJ977" s="323"/>
      <c r="EK977" s="323"/>
      <c r="EL977" s="325"/>
      <c r="EM977" s="323"/>
      <c r="EN977" s="323"/>
      <c r="EO977" s="323"/>
      <c r="EP977" s="323"/>
      <c r="EQ977" s="323"/>
      <c r="ER977" s="323"/>
      <c r="ES977" s="323"/>
      <c r="ET977" s="323"/>
      <c r="EU977" s="323"/>
      <c r="EV977" s="323"/>
      <c r="EW977" s="323"/>
      <c r="EX977" s="325"/>
      <c r="EY977" s="323"/>
      <c r="EZ977" s="323"/>
      <c r="FA977" s="323"/>
      <c r="FB977" s="323"/>
      <c r="FC977" s="323"/>
      <c r="FD977" s="323"/>
      <c r="FE977" s="323"/>
      <c r="FF977" s="323"/>
      <c r="FG977" s="323"/>
      <c r="FH977" s="323"/>
      <c r="FI977" s="323"/>
      <c r="FJ977" s="325"/>
      <c r="FK977" s="323"/>
      <c r="FL977" s="323"/>
      <c r="FM977" s="323"/>
      <c r="FN977" s="323"/>
      <c r="FO977" s="323"/>
      <c r="FP977" s="323"/>
      <c r="FQ977" s="323">
        <v>0</v>
      </c>
      <c r="FR977" s="323">
        <v>2.0516666680000002</v>
      </c>
      <c r="FS977" s="323">
        <v>0</v>
      </c>
      <c r="FT977" s="323">
        <v>0</v>
      </c>
      <c r="FU977" s="323">
        <v>0</v>
      </c>
      <c r="FV977" s="323">
        <v>0</v>
      </c>
      <c r="FW977" s="323">
        <v>2.3275000000000001</v>
      </c>
      <c r="FX977" s="323">
        <v>0</v>
      </c>
      <c r="FY977" s="323">
        <v>0</v>
      </c>
      <c r="FZ977" s="323">
        <v>0</v>
      </c>
      <c r="GA977" s="323">
        <v>0</v>
      </c>
      <c r="GB977" s="323">
        <v>0</v>
      </c>
      <c r="GC977" s="323">
        <v>0</v>
      </c>
      <c r="GD977" s="323">
        <v>2.3275000000000001</v>
      </c>
      <c r="GE977" s="323">
        <v>0</v>
      </c>
      <c r="GF977" s="323">
        <v>0</v>
      </c>
      <c r="GG977" s="323">
        <v>0</v>
      </c>
      <c r="GH977" s="323">
        <v>0</v>
      </c>
      <c r="GI977" s="1654">
        <v>0</v>
      </c>
      <c r="GJ977" s="1654">
        <v>0</v>
      </c>
      <c r="GK977" s="1654">
        <v>1.163417817</v>
      </c>
      <c r="GL977" s="1654">
        <v>0</v>
      </c>
      <c r="GM977" s="1654">
        <v>0</v>
      </c>
      <c r="GN977" s="1654">
        <v>1.163417817</v>
      </c>
      <c r="GO977" s="1654">
        <v>0</v>
      </c>
      <c r="GP977" s="1654">
        <v>0</v>
      </c>
      <c r="GQ977" s="1654">
        <v>1.163417817</v>
      </c>
      <c r="GR977" s="1654">
        <v>0</v>
      </c>
      <c r="GS977" s="1654">
        <v>0</v>
      </c>
      <c r="GT977" s="1654">
        <v>1.1634178180000001</v>
      </c>
      <c r="GU977" s="1654">
        <v>0</v>
      </c>
      <c r="GV977" s="1654">
        <v>3.5007651950000001</v>
      </c>
      <c r="GW977" s="1654">
        <v>0.875</v>
      </c>
      <c r="GX977" s="1654">
        <v>0</v>
      </c>
      <c r="GY977" s="1654">
        <v>0</v>
      </c>
      <c r="GZ977" s="1654">
        <v>0.875</v>
      </c>
      <c r="HA977" s="1654">
        <v>0</v>
      </c>
      <c r="HB977" s="1654">
        <v>0</v>
      </c>
      <c r="HC977" s="1654">
        <v>0.4375</v>
      </c>
      <c r="HD977" s="1654">
        <v>0</v>
      </c>
      <c r="HE977" s="1654">
        <v>0.4375</v>
      </c>
      <c r="HF977" s="1654">
        <v>0.875</v>
      </c>
      <c r="HG977" s="1654">
        <v>0.7</v>
      </c>
      <c r="HH977" s="1654">
        <v>0</v>
      </c>
      <c r="HI977" s="1654">
        <v>1.695039907</v>
      </c>
      <c r="HJ977" s="1654">
        <v>0</v>
      </c>
      <c r="HK977" s="1654">
        <v>0</v>
      </c>
      <c r="HL977" s="1654">
        <v>0.29546100800000019</v>
      </c>
      <c r="HM977" s="1654">
        <v>0.3931197209999997</v>
      </c>
      <c r="HN977" s="1654">
        <v>-4.5389920000005191E-3</v>
      </c>
      <c r="HO977" s="1654">
        <v>0.5</v>
      </c>
      <c r="HP977" s="1654">
        <v>0</v>
      </c>
      <c r="HQ977" s="1654">
        <v>0.99068465699999919</v>
      </c>
      <c r="HR977" s="1654">
        <v>0</v>
      </c>
      <c r="HS977" s="1654">
        <v>0</v>
      </c>
      <c r="HT977" s="1654">
        <v>0</v>
      </c>
      <c r="HU977" s="1654">
        <v>0.76814927600000005</v>
      </c>
      <c r="HV977" s="1654">
        <v>0</v>
      </c>
      <c r="HW977" s="1654">
        <v>0</v>
      </c>
      <c r="HX977" s="1654">
        <v>0.58814426600000003</v>
      </c>
      <c r="HY977" s="1654"/>
      <c r="HZ977" s="326"/>
      <c r="IA977" s="1420" t="s">
        <v>3138</v>
      </c>
      <c r="IB977" s="284"/>
      <c r="ID977" s="323"/>
      <c r="IG977" s="323"/>
      <c r="IH977" s="284"/>
      <c r="IJ977" s="323"/>
      <c r="IK977" s="327"/>
      <c r="IM977" s="323"/>
      <c r="IP977" s="323"/>
      <c r="IQ977" s="327"/>
      <c r="IR977" s="327"/>
      <c r="IS977" s="323"/>
      <c r="IT977" s="327"/>
      <c r="IU977" s="327"/>
      <c r="IV977" s="323"/>
      <c r="IW977" s="1548">
        <v>3.5872104402249998</v>
      </c>
      <c r="IX977" s="327">
        <f t="shared" si="1963"/>
        <v>2.0516666680000002</v>
      </c>
      <c r="IY977" s="323">
        <f t="shared" si="2005"/>
        <v>5.6388771082249995</v>
      </c>
      <c r="IZ977" s="327">
        <f t="shared" si="2018"/>
        <v>2.3275000000000001</v>
      </c>
      <c r="JA977" s="327">
        <f t="shared" si="2019"/>
        <v>2.3275000000000001</v>
      </c>
      <c r="JB977" s="323">
        <f t="shared" si="1823"/>
        <v>4.6550000000000002</v>
      </c>
      <c r="JC977" s="327">
        <f t="shared" si="2020"/>
        <v>2.326835634</v>
      </c>
      <c r="JD977" s="327">
        <f t="shared" si="2021"/>
        <v>2.3268356350000001</v>
      </c>
      <c r="JE977" s="323">
        <f t="shared" si="1945"/>
        <v>4.6536712690000002</v>
      </c>
      <c r="JF977" s="327">
        <f t="shared" si="1964"/>
        <v>5.2507651949999996</v>
      </c>
      <c r="JG977" s="327">
        <f t="shared" si="1965"/>
        <v>1.75</v>
      </c>
      <c r="JH977" s="323">
        <f t="shared" si="1944"/>
        <v>7.0007651949999996</v>
      </c>
      <c r="JI977" s="327">
        <f t="shared" si="1993"/>
        <v>2.6905009150000003</v>
      </c>
      <c r="JJ977" s="327">
        <f t="shared" ref="JJ977:JJ1040" si="2035">SUM(HM977:HR977)</f>
        <v>1.8792653859999984</v>
      </c>
      <c r="JK977" s="323">
        <f t="shared" si="1933"/>
        <v>4.5697663009999987</v>
      </c>
      <c r="JL977" s="327">
        <f t="shared" si="1946"/>
        <v>1.356293542</v>
      </c>
      <c r="JM977" s="327">
        <f t="shared" si="2008"/>
        <v>0.99628352225189198</v>
      </c>
      <c r="JN977" s="323">
        <f>FISC!AK1301</f>
        <v>2.3525770642518919</v>
      </c>
      <c r="JO977" s="327">
        <f>JQ977/2</f>
        <v>0</v>
      </c>
      <c r="JP977" s="327">
        <f t="shared" si="2009"/>
        <v>0</v>
      </c>
      <c r="JQ977" s="323">
        <f>FISC!AL1301</f>
        <v>0</v>
      </c>
      <c r="JR977" s="327">
        <f>JT977/2</f>
        <v>0</v>
      </c>
      <c r="JS977" s="327">
        <f t="shared" si="2010"/>
        <v>0</v>
      </c>
      <c r="JT977" s="323">
        <f>FISC!AM1301</f>
        <v>0</v>
      </c>
      <c r="JU977" s="327">
        <f>JW977/2</f>
        <v>0</v>
      </c>
      <c r="JV977" s="327">
        <f t="shared" si="2011"/>
        <v>0</v>
      </c>
      <c r="JW977" s="323">
        <f>FISC!AN1301</f>
        <v>0</v>
      </c>
      <c r="JX977" s="327">
        <f>JZ977/2</f>
        <v>0</v>
      </c>
      <c r="JY977" s="327">
        <f t="shared" si="2012"/>
        <v>0</v>
      </c>
      <c r="JZ977" s="323">
        <f>FISC!AO1301</f>
        <v>0</v>
      </c>
      <c r="KA977" s="327">
        <f>KC977/2</f>
        <v>0</v>
      </c>
      <c r="KB977" s="327">
        <f t="shared" si="2030"/>
        <v>0</v>
      </c>
      <c r="KC977" s="323">
        <f>FISC!AP1301</f>
        <v>0</v>
      </c>
      <c r="KD977" s="327">
        <f>KF977/2</f>
        <v>0</v>
      </c>
      <c r="KE977" s="327">
        <f t="shared" si="2031"/>
        <v>0</v>
      </c>
      <c r="KF977" s="323">
        <f>FISC!AQ1301</f>
        <v>0</v>
      </c>
      <c r="KG977" s="327">
        <f>KI977/2</f>
        <v>0</v>
      </c>
      <c r="KH977" s="327">
        <f t="shared" si="2032"/>
        <v>0</v>
      </c>
      <c r="KI977" s="323">
        <f>FISC!AR1301</f>
        <v>0</v>
      </c>
      <c r="KJ977" s="327">
        <f>KL977/2</f>
        <v>0</v>
      </c>
      <c r="KK977" s="327">
        <f t="shared" si="2033"/>
        <v>0</v>
      </c>
      <c r="KL977" s="323">
        <f>FISC!AS1301</f>
        <v>0</v>
      </c>
      <c r="KM977" s="327">
        <f>KO977/2</f>
        <v>0</v>
      </c>
      <c r="KN977" s="327">
        <f t="shared" si="2034"/>
        <v>0</v>
      </c>
      <c r="KO977" s="323">
        <f>FISC!AT1301</f>
        <v>0</v>
      </c>
      <c r="KU977" s="326"/>
      <c r="KV977" s="327"/>
    </row>
    <row r="978" spans="1:314">
      <c r="A978" s="279"/>
      <c r="D978" s="1506" t="s">
        <v>3137</v>
      </c>
      <c r="E978" s="323"/>
      <c r="F978" s="323"/>
      <c r="G978" s="323"/>
      <c r="H978" s="323"/>
      <c r="I978" s="323"/>
      <c r="J978" s="323"/>
      <c r="K978" s="323"/>
      <c r="L978" s="323"/>
      <c r="M978" s="323"/>
      <c r="N978" s="323"/>
      <c r="O978" s="323"/>
      <c r="P978" s="323"/>
      <c r="Q978" s="323"/>
      <c r="R978" s="323"/>
      <c r="S978" s="323"/>
      <c r="T978" s="323"/>
      <c r="U978" s="323"/>
      <c r="V978" s="323"/>
      <c r="W978" s="323"/>
      <c r="X978" s="323"/>
      <c r="Y978" s="323"/>
      <c r="Z978" s="323"/>
      <c r="AA978" s="323"/>
      <c r="AB978" s="323"/>
      <c r="AC978" s="323"/>
      <c r="AD978" s="323"/>
      <c r="AE978" s="323"/>
      <c r="AF978" s="323"/>
      <c r="AG978" s="323"/>
      <c r="AH978" s="323"/>
      <c r="AI978" s="323"/>
      <c r="AJ978" s="323"/>
      <c r="AK978" s="323"/>
      <c r="AL978" s="323"/>
      <c r="AM978" s="323"/>
      <c r="AN978" s="323"/>
      <c r="AO978" s="323"/>
      <c r="AP978" s="323"/>
      <c r="AQ978" s="323"/>
      <c r="AR978" s="323"/>
      <c r="AS978" s="323"/>
      <c r="AT978" s="323"/>
      <c r="AU978" s="323"/>
      <c r="AV978" s="323"/>
      <c r="AW978" s="323"/>
      <c r="AX978" s="323"/>
      <c r="AY978" s="323"/>
      <c r="AZ978" s="323"/>
      <c r="BA978" s="323"/>
      <c r="BB978" s="323"/>
      <c r="BC978" s="323"/>
      <c r="BD978" s="323"/>
      <c r="BE978" s="323"/>
      <c r="BF978" s="323"/>
      <c r="BG978" s="323"/>
      <c r="BH978" s="323"/>
      <c r="BI978" s="323"/>
      <c r="BJ978" s="323"/>
      <c r="BK978" s="323"/>
      <c r="BL978" s="323"/>
      <c r="BM978" s="323"/>
      <c r="BN978" s="323"/>
      <c r="BO978" s="323"/>
      <c r="BP978" s="323"/>
      <c r="BQ978" s="323"/>
      <c r="BR978" s="323"/>
      <c r="BS978" s="323"/>
      <c r="BT978" s="323"/>
      <c r="BU978" s="323"/>
      <c r="BV978" s="323"/>
      <c r="BW978" s="323"/>
      <c r="BX978" s="323"/>
      <c r="BY978" s="323"/>
      <c r="BZ978" s="323"/>
      <c r="CA978" s="323"/>
      <c r="CB978" s="323"/>
      <c r="CC978" s="323"/>
      <c r="CD978" s="329"/>
      <c r="CE978" s="323"/>
      <c r="CF978" s="323"/>
      <c r="CG978" s="323"/>
      <c r="CH978" s="323"/>
      <c r="CI978" s="323"/>
      <c r="CJ978" s="323"/>
      <c r="CK978" s="323"/>
      <c r="CL978" s="323"/>
      <c r="CM978" s="323"/>
      <c r="CN978" s="323"/>
      <c r="CO978" s="323"/>
      <c r="CP978" s="325"/>
      <c r="CQ978" s="323"/>
      <c r="CR978" s="323"/>
      <c r="CS978" s="323"/>
      <c r="CT978" s="323"/>
      <c r="CU978" s="323"/>
      <c r="CV978" s="323"/>
      <c r="CW978" s="323"/>
      <c r="CX978" s="323"/>
      <c r="CY978" s="323"/>
      <c r="CZ978" s="323"/>
      <c r="DA978" s="323"/>
      <c r="DB978" s="1269"/>
      <c r="DC978" s="323"/>
      <c r="DD978" s="323"/>
      <c r="DE978" s="323"/>
      <c r="DF978" s="323"/>
      <c r="DG978" s="323"/>
      <c r="DH978" s="323"/>
      <c r="DI978" s="323"/>
      <c r="DJ978" s="323"/>
      <c r="DK978" s="323"/>
      <c r="DL978" s="323"/>
      <c r="DM978" s="323"/>
      <c r="DN978" s="325"/>
      <c r="DO978" s="323"/>
      <c r="DP978" s="323"/>
      <c r="DQ978" s="323"/>
      <c r="DR978" s="323"/>
      <c r="DS978" s="323"/>
      <c r="DT978" s="323"/>
      <c r="DU978" s="323"/>
      <c r="DV978" s="323"/>
      <c r="DW978" s="323"/>
      <c r="DX978" s="323"/>
      <c r="DY978" s="323"/>
      <c r="DZ978" s="325"/>
      <c r="EA978" s="323"/>
      <c r="EB978" s="323"/>
      <c r="EC978" s="323"/>
      <c r="ED978" s="323"/>
      <c r="EE978" s="323"/>
      <c r="EF978" s="323"/>
      <c r="EG978" s="323"/>
      <c r="EH978" s="323"/>
      <c r="EI978" s="323"/>
      <c r="EJ978" s="323"/>
      <c r="EK978" s="323"/>
      <c r="EL978" s="325"/>
      <c r="EM978" s="323"/>
      <c r="EN978" s="323"/>
      <c r="EO978" s="323"/>
      <c r="EP978" s="323"/>
      <c r="EQ978" s="323"/>
      <c r="ER978" s="323"/>
      <c r="ES978" s="323"/>
      <c r="ET978" s="323"/>
      <c r="EU978" s="323"/>
      <c r="EV978" s="323"/>
      <c r="EW978" s="323"/>
      <c r="EX978" s="325"/>
      <c r="EY978" s="323"/>
      <c r="EZ978" s="323"/>
      <c r="FA978" s="323"/>
      <c r="FB978" s="323"/>
      <c r="FC978" s="323"/>
      <c r="FD978" s="323"/>
      <c r="FE978" s="323"/>
      <c r="FF978" s="323"/>
      <c r="FG978" s="323"/>
      <c r="FH978" s="323"/>
      <c r="FI978" s="323"/>
      <c r="FJ978" s="325"/>
      <c r="FK978" s="323"/>
      <c r="FL978" s="323"/>
      <c r="FM978" s="323"/>
      <c r="FN978" s="323"/>
      <c r="FO978" s="323"/>
      <c r="FP978" s="323"/>
      <c r="FQ978" s="323">
        <v>0</v>
      </c>
      <c r="FR978" s="323">
        <v>0</v>
      </c>
      <c r="FS978" s="323">
        <v>0</v>
      </c>
      <c r="FT978" s="323">
        <v>0</v>
      </c>
      <c r="FU978" s="323">
        <v>0</v>
      </c>
      <c r="FV978" s="323">
        <v>0</v>
      </c>
      <c r="FW978" s="323">
        <v>0</v>
      </c>
      <c r="FX978" s="323">
        <v>0</v>
      </c>
      <c r="FY978" s="323">
        <v>6.3560111399999997</v>
      </c>
      <c r="FZ978" s="323">
        <v>0</v>
      </c>
      <c r="GA978" s="323">
        <v>0</v>
      </c>
      <c r="GB978" s="323">
        <v>5.4698415320000002</v>
      </c>
      <c r="GC978" s="323">
        <v>0</v>
      </c>
      <c r="GD978" s="323">
        <v>5.4407330050000002</v>
      </c>
      <c r="GE978" s="323">
        <v>0</v>
      </c>
      <c r="GF978" s="323">
        <v>0</v>
      </c>
      <c r="GG978" s="323">
        <v>5.7209304950000002</v>
      </c>
      <c r="GH978" s="323">
        <v>0</v>
      </c>
      <c r="GI978" s="1654">
        <v>0</v>
      </c>
      <c r="GJ978" s="1654">
        <v>0</v>
      </c>
      <c r="GK978" s="1654">
        <v>5.8165702210000001</v>
      </c>
      <c r="GL978" s="1654">
        <v>0</v>
      </c>
      <c r="GM978" s="1654">
        <v>0</v>
      </c>
      <c r="GN978" s="1654">
        <v>5.788575464</v>
      </c>
      <c r="GO978" s="1654">
        <v>0</v>
      </c>
      <c r="GP978" s="1654">
        <v>0</v>
      </c>
      <c r="GQ978" s="1654">
        <v>5.671366506</v>
      </c>
      <c r="GR978" s="1654">
        <v>0</v>
      </c>
      <c r="GS978" s="1654">
        <v>0</v>
      </c>
      <c r="GT978" s="1654">
        <v>5.7551368180000004</v>
      </c>
      <c r="GU978" s="1654">
        <v>0</v>
      </c>
      <c r="GV978" s="1654">
        <v>0</v>
      </c>
      <c r="GW978" s="1654">
        <v>5.7957663000000004</v>
      </c>
      <c r="GX978" s="1654">
        <v>0</v>
      </c>
      <c r="GY978" s="1654">
        <v>0</v>
      </c>
      <c r="GZ978" s="1654">
        <v>5.7775046159999999</v>
      </c>
      <c r="HA978" s="1654">
        <v>0</v>
      </c>
      <c r="HB978" s="1654">
        <v>0</v>
      </c>
      <c r="HC978" s="1654">
        <v>5.7173510219999999</v>
      </c>
      <c r="HD978" s="1654">
        <v>0</v>
      </c>
      <c r="HE978" s="1654">
        <v>0</v>
      </c>
      <c r="HF978" s="1654">
        <v>2.3843230000000002</v>
      </c>
      <c r="HG978" s="1654">
        <v>0</v>
      </c>
      <c r="HH978" s="1654">
        <v>0</v>
      </c>
      <c r="HI978" s="1654">
        <v>3.9191401799999999</v>
      </c>
      <c r="HJ978" s="1654">
        <v>0.57212499999999999</v>
      </c>
      <c r="HK978" s="1654">
        <v>0</v>
      </c>
      <c r="HL978" s="1654">
        <v>4.4588274410000004</v>
      </c>
      <c r="HM978" s="1654">
        <v>2</v>
      </c>
      <c r="HN978" s="1654">
        <v>1.6</v>
      </c>
      <c r="HO978" s="1654">
        <v>5.6</v>
      </c>
      <c r="HP978" s="1654">
        <v>4.5999999999999996</v>
      </c>
      <c r="HQ978" s="1654">
        <v>4</v>
      </c>
      <c r="HR978" s="1654">
        <v>9.4</v>
      </c>
      <c r="HS978" s="1654">
        <v>85.181939</v>
      </c>
      <c r="HT978" s="1654">
        <v>27.045825614999998</v>
      </c>
      <c r="HU978" s="1654">
        <v>30.248084493999997</v>
      </c>
      <c r="HV978" s="1654">
        <v>26.339589144000001</v>
      </c>
      <c r="HW978" s="1654">
        <v>20.815969826000003</v>
      </c>
      <c r="HX978" s="1654">
        <v>20.419411171</v>
      </c>
      <c r="HY978" s="1654"/>
      <c r="HZ978" s="326"/>
      <c r="IA978" s="1506" t="s">
        <v>3137</v>
      </c>
      <c r="IB978" s="284"/>
      <c r="ID978" s="323"/>
      <c r="IG978" s="323"/>
      <c r="IH978" s="284"/>
      <c r="IJ978" s="323"/>
      <c r="IK978" s="327"/>
      <c r="IM978" s="323"/>
      <c r="IP978" s="323"/>
      <c r="IQ978" s="327"/>
      <c r="IR978" s="327"/>
      <c r="IS978" s="323"/>
      <c r="IT978" s="327"/>
      <c r="IU978" s="327"/>
      <c r="IV978" s="323"/>
      <c r="IW978" s="1548">
        <v>0</v>
      </c>
      <c r="IX978" s="327">
        <f t="shared" si="1963"/>
        <v>0</v>
      </c>
      <c r="IY978" s="323">
        <f t="shared" si="2005"/>
        <v>0</v>
      </c>
      <c r="IZ978" s="327">
        <f t="shared" si="2018"/>
        <v>11.825852672</v>
      </c>
      <c r="JA978" s="327">
        <f t="shared" si="2019"/>
        <v>11.1616635</v>
      </c>
      <c r="JB978" s="323">
        <f t="shared" ref="JB978:JB1038" si="2036">IZ978+JA978</f>
        <v>22.987516171999999</v>
      </c>
      <c r="JC978" s="327">
        <f t="shared" si="2020"/>
        <v>11.605145685</v>
      </c>
      <c r="JD978" s="327">
        <f t="shared" si="2021"/>
        <v>11.426503324</v>
      </c>
      <c r="JE978" s="323">
        <f t="shared" si="1945"/>
        <v>23.031649008999999</v>
      </c>
      <c r="JF978" s="327">
        <f t="shared" si="1964"/>
        <v>11.573270916</v>
      </c>
      <c r="JG978" s="327">
        <f t="shared" si="1965"/>
        <v>8.101674022000001</v>
      </c>
      <c r="JH978" s="323">
        <f t="shared" si="1944"/>
        <v>19.674944938000003</v>
      </c>
      <c r="JI978" s="327">
        <f t="shared" si="1993"/>
        <v>8.9500926209999996</v>
      </c>
      <c r="JJ978" s="327">
        <f t="shared" si="2035"/>
        <v>27.199999999999996</v>
      </c>
      <c r="JK978" s="323">
        <f t="shared" si="1933"/>
        <v>36.150092620999999</v>
      </c>
      <c r="JL978" s="327">
        <f t="shared" si="1946"/>
        <v>210.05081925000002</v>
      </c>
      <c r="JM978" s="327">
        <f t="shared" si="2008"/>
        <v>320.342537516128</v>
      </c>
      <c r="JN978" s="323">
        <f>FISC!AK1303</f>
        <v>530.39335676612802</v>
      </c>
      <c r="JO978" s="327">
        <f>(FISC!AL1305*0.461)+FISC!AL1304/2</f>
        <v>218.41881738910857</v>
      </c>
      <c r="JP978" s="327">
        <f>JQ978-JO978</f>
        <v>252.33069556515088</v>
      </c>
      <c r="JQ978" s="323">
        <f>FISC!AL1303</f>
        <v>470.74951295425944</v>
      </c>
      <c r="JR978" s="327">
        <f>(FISC!AM1305*0.652)+FISC!AM1304/2</f>
        <v>239.23536616178754</v>
      </c>
      <c r="JS978" s="327">
        <f t="shared" si="2010"/>
        <v>136.07844741864929</v>
      </c>
      <c r="JT978" s="323">
        <f>FISC!AM1303</f>
        <v>375.31381358043683</v>
      </c>
      <c r="JU978" s="327">
        <f>(FISC!AN1305*0.494)+FISC!AN1304/2</f>
        <v>19.922116851743333</v>
      </c>
      <c r="JV978" s="327">
        <f t="shared" si="2011"/>
        <v>19.96902846720301</v>
      </c>
      <c r="JW978" s="323">
        <f>FISC!AN1303</f>
        <v>39.891145318946343</v>
      </c>
      <c r="JX978" s="327">
        <f>+FISC!AO1304/2</f>
        <v>17.990922015319999</v>
      </c>
      <c r="JY978" s="327">
        <f t="shared" si="2012"/>
        <v>18.870221758513868</v>
      </c>
      <c r="JZ978" s="323">
        <f>FISC!AO1303</f>
        <v>36.861143773833867</v>
      </c>
      <c r="KA978" s="327">
        <f>(FISC!AO76*FISC!AP259/1000)+KC978/2</f>
        <v>17.990922015319999</v>
      </c>
      <c r="KB978" s="327">
        <f t="shared" si="2030"/>
        <v>17.990922015319999</v>
      </c>
      <c r="KC978" s="323">
        <f>FISC!AP1303</f>
        <v>35.981844030639998</v>
      </c>
      <c r="KD978" s="327">
        <f>(FISC!AP76*FISC!AQ259/1000)+KF978/2</f>
        <v>17.990922015319999</v>
      </c>
      <c r="KE978" s="327">
        <f t="shared" si="2031"/>
        <v>17.990922015319999</v>
      </c>
      <c r="KF978" s="323">
        <f>FISC!AQ1303</f>
        <v>35.981844030639998</v>
      </c>
      <c r="KG978" s="327">
        <f>(FISC!AQ76*FISC!AR259/1000)+KI978/2</f>
        <v>17.990922015319999</v>
      </c>
      <c r="KH978" s="327">
        <f t="shared" si="2032"/>
        <v>17.990922015319999</v>
      </c>
      <c r="KI978" s="323">
        <f>FISC!AR1303</f>
        <v>35.981844030639998</v>
      </c>
      <c r="KJ978" s="327">
        <f>(FISC!AR76*FISC!AS259/1000)+KL978/2</f>
        <v>17.990922015319999</v>
      </c>
      <c r="KK978" s="327">
        <f t="shared" si="2033"/>
        <v>17.990922015319999</v>
      </c>
      <c r="KL978" s="323">
        <f>FISC!AS1303</f>
        <v>35.981844030639998</v>
      </c>
      <c r="KM978" s="327">
        <f>(FISC!BC76*FISC!BD259/1000)+KO978/2</f>
        <v>17.990922015319999</v>
      </c>
      <c r="KN978" s="327">
        <f t="shared" si="2034"/>
        <v>17.990922015319999</v>
      </c>
      <c r="KO978" s="323">
        <f>FISC!AT1303</f>
        <v>35.981844030639998</v>
      </c>
      <c r="KU978" s="326"/>
      <c r="KV978" s="327"/>
    </row>
    <row r="979" spans="1:314">
      <c r="A979" s="279"/>
      <c r="D979" s="1506"/>
      <c r="E979" s="323"/>
      <c r="F979" s="323"/>
      <c r="G979" s="323"/>
      <c r="H979" s="323"/>
      <c r="I979" s="323"/>
      <c r="J979" s="323"/>
      <c r="K979" s="323"/>
      <c r="L979" s="323"/>
      <c r="M979" s="323"/>
      <c r="N979" s="323"/>
      <c r="O979" s="323"/>
      <c r="P979" s="323"/>
      <c r="Q979" s="323"/>
      <c r="R979" s="323"/>
      <c r="S979" s="323"/>
      <c r="T979" s="323"/>
      <c r="U979" s="323"/>
      <c r="V979" s="323"/>
      <c r="W979" s="323"/>
      <c r="X979" s="323"/>
      <c r="Y979" s="323"/>
      <c r="Z979" s="323"/>
      <c r="AA979" s="323"/>
      <c r="AB979" s="323"/>
      <c r="AC979" s="323"/>
      <c r="AD979" s="323"/>
      <c r="AE979" s="323"/>
      <c r="AF979" s="323"/>
      <c r="AG979" s="323"/>
      <c r="AH979" s="323"/>
      <c r="AI979" s="323"/>
      <c r="AJ979" s="323"/>
      <c r="AK979" s="323"/>
      <c r="AL979" s="323"/>
      <c r="AM979" s="323"/>
      <c r="AN979" s="323"/>
      <c r="AO979" s="323"/>
      <c r="AP979" s="323"/>
      <c r="AQ979" s="323"/>
      <c r="AR979" s="323"/>
      <c r="AS979" s="323"/>
      <c r="AT979" s="323"/>
      <c r="AU979" s="323"/>
      <c r="AV979" s="323"/>
      <c r="AW979" s="323"/>
      <c r="AX979" s="323"/>
      <c r="AY979" s="323"/>
      <c r="AZ979" s="323"/>
      <c r="BA979" s="323"/>
      <c r="BB979" s="323"/>
      <c r="BC979" s="323"/>
      <c r="BD979" s="323"/>
      <c r="BE979" s="323"/>
      <c r="BF979" s="323"/>
      <c r="BG979" s="323"/>
      <c r="BH979" s="323"/>
      <c r="BI979" s="323"/>
      <c r="BJ979" s="323"/>
      <c r="BK979" s="323"/>
      <c r="BL979" s="323"/>
      <c r="BM979" s="323"/>
      <c r="BN979" s="323"/>
      <c r="BO979" s="323"/>
      <c r="BP979" s="323"/>
      <c r="BQ979" s="323"/>
      <c r="BR979" s="323"/>
      <c r="BS979" s="323"/>
      <c r="BT979" s="323"/>
      <c r="BU979" s="323"/>
      <c r="BV979" s="323"/>
      <c r="BW979" s="323"/>
      <c r="BX979" s="323"/>
      <c r="BY979" s="323"/>
      <c r="BZ979" s="323"/>
      <c r="CA979" s="323"/>
      <c r="CB979" s="323"/>
      <c r="CC979" s="323"/>
      <c r="CD979" s="329"/>
      <c r="CE979" s="323"/>
      <c r="CF979" s="323"/>
      <c r="CG979" s="323"/>
      <c r="CH979" s="323"/>
      <c r="CI979" s="323"/>
      <c r="CJ979" s="323"/>
      <c r="CK979" s="323"/>
      <c r="CL979" s="323"/>
      <c r="CM979" s="323"/>
      <c r="CN979" s="323"/>
      <c r="CO979" s="323"/>
      <c r="CP979" s="325"/>
      <c r="CQ979" s="323"/>
      <c r="CR979" s="323"/>
      <c r="CS979" s="323"/>
      <c r="CT979" s="323"/>
      <c r="CU979" s="323"/>
      <c r="CV979" s="323"/>
      <c r="CW979" s="323"/>
      <c r="CX979" s="323"/>
      <c r="CY979" s="323"/>
      <c r="CZ979" s="323"/>
      <c r="DA979" s="323"/>
      <c r="DB979" s="1269"/>
      <c r="DC979" s="323"/>
      <c r="DD979" s="323"/>
      <c r="DE979" s="323"/>
      <c r="DF979" s="323"/>
      <c r="DG979" s="323"/>
      <c r="DH979" s="323"/>
      <c r="DI979" s="323"/>
      <c r="DJ979" s="323"/>
      <c r="DK979" s="323"/>
      <c r="DL979" s="323"/>
      <c r="DM979" s="323"/>
      <c r="DN979" s="325"/>
      <c r="DO979" s="323"/>
      <c r="DP979" s="323"/>
      <c r="DQ979" s="323"/>
      <c r="DR979" s="323"/>
      <c r="DS979" s="323"/>
      <c r="DT979" s="323"/>
      <c r="DU979" s="323"/>
      <c r="DV979" s="323"/>
      <c r="DW979" s="323"/>
      <c r="DX979" s="323"/>
      <c r="DY979" s="323"/>
      <c r="DZ979" s="325"/>
      <c r="EA979" s="323"/>
      <c r="EB979" s="323"/>
      <c r="EC979" s="323"/>
      <c r="ED979" s="323"/>
      <c r="EE979" s="323"/>
      <c r="EF979" s="323"/>
      <c r="EG979" s="323"/>
      <c r="EH979" s="323"/>
      <c r="EI979" s="323"/>
      <c r="EJ979" s="323"/>
      <c r="EK979" s="323"/>
      <c r="EL979" s="325"/>
      <c r="EM979" s="323"/>
      <c r="EN979" s="323"/>
      <c r="EO979" s="323"/>
      <c r="EP979" s="323"/>
      <c r="EQ979" s="323"/>
      <c r="ER979" s="323"/>
      <c r="ES979" s="323"/>
      <c r="ET979" s="323"/>
      <c r="EU979" s="323"/>
      <c r="EV979" s="323"/>
      <c r="EW979" s="323"/>
      <c r="EX979" s="325"/>
      <c r="EY979" s="323"/>
      <c r="EZ979" s="323"/>
      <c r="FA979" s="323"/>
      <c r="FB979" s="323"/>
      <c r="FC979" s="323"/>
      <c r="FD979" s="323"/>
      <c r="FE979" s="323"/>
      <c r="FF979" s="323"/>
      <c r="FG979" s="323"/>
      <c r="FH979" s="323"/>
      <c r="FI979" s="323"/>
      <c r="FJ979" s="325"/>
      <c r="FK979" s="323"/>
      <c r="FL979" s="323"/>
      <c r="FM979" s="323"/>
      <c r="FN979" s="323"/>
      <c r="FO979" s="323"/>
      <c r="FP979" s="323"/>
      <c r="FQ979" s="323"/>
      <c r="FR979" s="323"/>
      <c r="FS979" s="323"/>
      <c r="FT979" s="323"/>
      <c r="FU979" s="323"/>
      <c r="FV979" s="323"/>
      <c r="FW979" s="323"/>
      <c r="FX979" s="323"/>
      <c r="FY979" s="323"/>
      <c r="FZ979" s="323"/>
      <c r="GA979" s="323"/>
      <c r="GB979" s="323"/>
      <c r="GC979" s="323"/>
      <c r="GD979" s="323"/>
      <c r="GE979" s="323"/>
      <c r="GF979" s="323"/>
      <c r="GG979" s="323"/>
      <c r="GH979" s="323"/>
      <c r="GI979" s="1654"/>
      <c r="GJ979" s="1654"/>
      <c r="GK979" s="1654"/>
      <c r="GL979" s="1654"/>
      <c r="GM979" s="1654"/>
      <c r="GN979" s="1654"/>
      <c r="GO979" s="1654"/>
      <c r="GP979" s="1654"/>
      <c r="GQ979" s="1654"/>
      <c r="GR979" s="1654"/>
      <c r="GS979" s="1654"/>
      <c r="GT979" s="1654"/>
      <c r="GU979" s="1654"/>
      <c r="GV979" s="1654"/>
      <c r="GW979" s="1654"/>
      <c r="GX979" s="1654"/>
      <c r="GY979" s="1654"/>
      <c r="GZ979" s="1654"/>
      <c r="HA979" s="1654"/>
      <c r="HB979" s="1654"/>
      <c r="HC979" s="1654"/>
      <c r="HD979" s="1654"/>
      <c r="HE979" s="1654"/>
      <c r="HF979" s="1654"/>
      <c r="HG979" s="1654"/>
      <c r="HH979" s="1654"/>
      <c r="HI979" s="1654"/>
      <c r="HJ979" s="1654"/>
      <c r="HK979" s="1654"/>
      <c r="HL979" s="1654"/>
      <c r="HM979" s="1654"/>
      <c r="HN979" s="1654"/>
      <c r="HO979" s="1654"/>
      <c r="HP979" s="1654"/>
      <c r="HQ979" s="1654"/>
      <c r="HR979" s="1654"/>
      <c r="HS979" s="1654"/>
      <c r="HT979" s="1654"/>
      <c r="HU979" s="1654"/>
      <c r="HV979" s="1654"/>
      <c r="HW979" s="1654"/>
      <c r="HX979" s="1654"/>
      <c r="HY979" s="1654"/>
      <c r="HZ979" s="326"/>
      <c r="IA979" s="1985" t="s">
        <v>3644</v>
      </c>
      <c r="IB979" s="284"/>
      <c r="ID979" s="323"/>
      <c r="IG979" s="323"/>
      <c r="IH979" s="284"/>
      <c r="IJ979" s="323"/>
      <c r="IK979" s="327"/>
      <c r="IM979" s="323"/>
      <c r="IP979" s="323"/>
      <c r="IQ979" s="327"/>
      <c r="IR979" s="327"/>
      <c r="IS979" s="323"/>
      <c r="IT979" s="327"/>
      <c r="IU979" s="327"/>
      <c r="IV979" s="323"/>
      <c r="IW979" s="1548"/>
      <c r="IX979" s="327"/>
      <c r="IY979" s="323"/>
      <c r="IZ979" s="327"/>
      <c r="JA979" s="327"/>
      <c r="JB979" s="323"/>
      <c r="JC979" s="327"/>
      <c r="JD979" s="327"/>
      <c r="JE979" s="323"/>
      <c r="JF979" s="327"/>
      <c r="JG979" s="327"/>
      <c r="JH979" s="323"/>
      <c r="JI979" s="327"/>
      <c r="JJ979" s="327">
        <f t="shared" si="2035"/>
        <v>0</v>
      </c>
      <c r="JK979" s="323">
        <f t="shared" si="1933"/>
        <v>0</v>
      </c>
      <c r="JL979" s="327">
        <f t="shared" si="1946"/>
        <v>0</v>
      </c>
      <c r="JM979" s="327">
        <f t="shared" si="2008"/>
        <v>35.981844030639998</v>
      </c>
      <c r="JN979" s="323">
        <f>FISC!AK1304</f>
        <v>35.981844030639998</v>
      </c>
      <c r="JO979" s="327">
        <f>FISC!AL1304/2</f>
        <v>17.990922015319999</v>
      </c>
      <c r="JP979" s="327">
        <f t="shared" ref="JP979:JP980" si="2037">JQ979-JO979</f>
        <v>17.990922015319999</v>
      </c>
      <c r="JQ979" s="323">
        <f>FISC!AL1304</f>
        <v>35.981844030639998</v>
      </c>
      <c r="JR979" s="327">
        <f>FISC!AM1304/2</f>
        <v>17.990922015319999</v>
      </c>
      <c r="JS979" s="327">
        <f t="shared" si="2010"/>
        <v>17.990922015319999</v>
      </c>
      <c r="JT979" s="323">
        <f>FISC!AM1304</f>
        <v>35.981844030639998</v>
      </c>
      <c r="JU979" s="327">
        <f>FISC!AN1304/2</f>
        <v>17.990922015319999</v>
      </c>
      <c r="JV979" s="327">
        <f t="shared" si="2011"/>
        <v>17.990922015319999</v>
      </c>
      <c r="JW979" s="323">
        <f>FISC!AN1304</f>
        <v>35.981844030639998</v>
      </c>
      <c r="JX979" s="327"/>
      <c r="JY979" s="327"/>
      <c r="JZ979" s="323">
        <f>FISC!AO1304</f>
        <v>35.981844030639998</v>
      </c>
      <c r="KA979" s="327"/>
      <c r="KB979" s="327"/>
      <c r="KC979" s="323">
        <f>FISC!AP1304</f>
        <v>35.981844030639998</v>
      </c>
      <c r="KD979" s="327"/>
      <c r="KE979" s="327"/>
      <c r="KF979" s="323">
        <f>FISC!AQ1304</f>
        <v>35.981844030639998</v>
      </c>
      <c r="KG979" s="327"/>
      <c r="KH979" s="327"/>
      <c r="KI979" s="323">
        <f>FISC!AR1304</f>
        <v>35.981844030639998</v>
      </c>
      <c r="KJ979" s="327"/>
      <c r="KK979" s="327"/>
      <c r="KL979" s="323">
        <f>FISC!AS1304</f>
        <v>35.981844030639998</v>
      </c>
      <c r="KM979" s="327"/>
      <c r="KN979" s="327"/>
      <c r="KO979" s="323">
        <f>FISC!AT1304</f>
        <v>35.981844030639998</v>
      </c>
      <c r="KU979" s="326"/>
      <c r="KV979" s="327"/>
    </row>
    <row r="980" spans="1:314">
      <c r="A980" s="279"/>
      <c r="D980" s="1506"/>
      <c r="E980" s="323"/>
      <c r="F980" s="323"/>
      <c r="G980" s="323"/>
      <c r="H980" s="323"/>
      <c r="I980" s="323"/>
      <c r="J980" s="323"/>
      <c r="K980" s="323"/>
      <c r="L980" s="323"/>
      <c r="M980" s="323"/>
      <c r="N980" s="323"/>
      <c r="O980" s="323"/>
      <c r="P980" s="323"/>
      <c r="Q980" s="323"/>
      <c r="R980" s="323"/>
      <c r="S980" s="323"/>
      <c r="T980" s="323"/>
      <c r="U980" s="323"/>
      <c r="V980" s="323"/>
      <c r="W980" s="323"/>
      <c r="X980" s="323"/>
      <c r="Y980" s="323"/>
      <c r="Z980" s="323"/>
      <c r="AA980" s="323"/>
      <c r="AB980" s="323"/>
      <c r="AC980" s="323"/>
      <c r="AD980" s="323"/>
      <c r="AE980" s="323"/>
      <c r="AF980" s="323"/>
      <c r="AG980" s="323"/>
      <c r="AH980" s="323"/>
      <c r="AI980" s="323"/>
      <c r="AJ980" s="323"/>
      <c r="AK980" s="323"/>
      <c r="AL980" s="323"/>
      <c r="AM980" s="323"/>
      <c r="AN980" s="323"/>
      <c r="AO980" s="323"/>
      <c r="AP980" s="323"/>
      <c r="AQ980" s="323"/>
      <c r="AR980" s="323"/>
      <c r="AS980" s="323"/>
      <c r="AT980" s="323"/>
      <c r="AU980" s="323"/>
      <c r="AV980" s="323"/>
      <c r="AW980" s="323"/>
      <c r="AX980" s="323"/>
      <c r="AY980" s="323"/>
      <c r="AZ980" s="323"/>
      <c r="BA980" s="323"/>
      <c r="BB980" s="323"/>
      <c r="BC980" s="323"/>
      <c r="BD980" s="323"/>
      <c r="BE980" s="323"/>
      <c r="BF980" s="323"/>
      <c r="BG980" s="323"/>
      <c r="BH980" s="323"/>
      <c r="BI980" s="323"/>
      <c r="BJ980" s="323"/>
      <c r="BK980" s="323"/>
      <c r="BL980" s="323"/>
      <c r="BM980" s="323"/>
      <c r="BN980" s="323"/>
      <c r="BO980" s="323"/>
      <c r="BP980" s="323"/>
      <c r="BQ980" s="323"/>
      <c r="BR980" s="323"/>
      <c r="BS980" s="323"/>
      <c r="BT980" s="323"/>
      <c r="BU980" s="323"/>
      <c r="BV980" s="323"/>
      <c r="BW980" s="323"/>
      <c r="BX980" s="323"/>
      <c r="BY980" s="323"/>
      <c r="BZ980" s="323"/>
      <c r="CA980" s="323"/>
      <c r="CB980" s="323"/>
      <c r="CC980" s="323"/>
      <c r="CD980" s="329"/>
      <c r="CE980" s="323"/>
      <c r="CF980" s="323"/>
      <c r="CG980" s="323"/>
      <c r="CH980" s="323"/>
      <c r="CI980" s="323"/>
      <c r="CJ980" s="323"/>
      <c r="CK980" s="323"/>
      <c r="CL980" s="323"/>
      <c r="CM980" s="323"/>
      <c r="CN980" s="323"/>
      <c r="CO980" s="323"/>
      <c r="CP980" s="325"/>
      <c r="CQ980" s="323"/>
      <c r="CR980" s="323"/>
      <c r="CS980" s="323"/>
      <c r="CT980" s="323"/>
      <c r="CU980" s="323"/>
      <c r="CV980" s="323"/>
      <c r="CW980" s="323"/>
      <c r="CX980" s="323"/>
      <c r="CY980" s="323"/>
      <c r="CZ980" s="323"/>
      <c r="DA980" s="323"/>
      <c r="DB980" s="1269"/>
      <c r="DC980" s="323"/>
      <c r="DD980" s="323"/>
      <c r="DE980" s="323"/>
      <c r="DF980" s="323"/>
      <c r="DG980" s="323"/>
      <c r="DH980" s="323"/>
      <c r="DI980" s="323"/>
      <c r="DJ980" s="323"/>
      <c r="DK980" s="323"/>
      <c r="DL980" s="323"/>
      <c r="DM980" s="323"/>
      <c r="DN980" s="325"/>
      <c r="DO980" s="323"/>
      <c r="DP980" s="323"/>
      <c r="DQ980" s="323"/>
      <c r="DR980" s="323"/>
      <c r="DS980" s="323"/>
      <c r="DT980" s="323"/>
      <c r="DU980" s="323"/>
      <c r="DV980" s="323"/>
      <c r="DW980" s="323"/>
      <c r="DX980" s="323"/>
      <c r="DY980" s="323"/>
      <c r="DZ980" s="325"/>
      <c r="EA980" s="323"/>
      <c r="EB980" s="323"/>
      <c r="EC980" s="323"/>
      <c r="ED980" s="323"/>
      <c r="EE980" s="323"/>
      <c r="EF980" s="323"/>
      <c r="EG980" s="323"/>
      <c r="EH980" s="323"/>
      <c r="EI980" s="323"/>
      <c r="EJ980" s="323"/>
      <c r="EK980" s="323"/>
      <c r="EL980" s="325"/>
      <c r="EM980" s="323"/>
      <c r="EN980" s="323"/>
      <c r="EO980" s="323"/>
      <c r="EP980" s="323"/>
      <c r="EQ980" s="323"/>
      <c r="ER980" s="323"/>
      <c r="ES980" s="323"/>
      <c r="ET980" s="323"/>
      <c r="EU980" s="323"/>
      <c r="EV980" s="323"/>
      <c r="EW980" s="323"/>
      <c r="EX980" s="325"/>
      <c r="EY980" s="323"/>
      <c r="EZ980" s="323"/>
      <c r="FA980" s="323"/>
      <c r="FB980" s="323"/>
      <c r="FC980" s="323"/>
      <c r="FD980" s="323"/>
      <c r="FE980" s="323"/>
      <c r="FF980" s="323"/>
      <c r="FG980" s="323"/>
      <c r="FH980" s="323"/>
      <c r="FI980" s="323"/>
      <c r="FJ980" s="325"/>
      <c r="FK980" s="323"/>
      <c r="FL980" s="323"/>
      <c r="FM980" s="323"/>
      <c r="FN980" s="323"/>
      <c r="FO980" s="323"/>
      <c r="FP980" s="323"/>
      <c r="FQ980" s="323"/>
      <c r="FR980" s="323"/>
      <c r="FS980" s="323"/>
      <c r="FT980" s="323"/>
      <c r="FU980" s="323"/>
      <c r="FV980" s="323"/>
      <c r="FW980" s="323"/>
      <c r="FX980" s="323"/>
      <c r="FY980" s="323"/>
      <c r="FZ980" s="323"/>
      <c r="GA980" s="323"/>
      <c r="GB980" s="323"/>
      <c r="GC980" s="323"/>
      <c r="GD980" s="323"/>
      <c r="GE980" s="323"/>
      <c r="GF980" s="323"/>
      <c r="GG980" s="323"/>
      <c r="GH980" s="323"/>
      <c r="GI980" s="1654"/>
      <c r="GJ980" s="1654"/>
      <c r="GK980" s="1654"/>
      <c r="GL980" s="1654"/>
      <c r="GM980" s="1654"/>
      <c r="GN980" s="1654"/>
      <c r="GO980" s="1654"/>
      <c r="GP980" s="1654"/>
      <c r="GQ980" s="1654"/>
      <c r="GR980" s="1654"/>
      <c r="GS980" s="1654"/>
      <c r="GT980" s="1654"/>
      <c r="GU980" s="1654"/>
      <c r="GV980" s="1654"/>
      <c r="GW980" s="1654"/>
      <c r="GX980" s="1654"/>
      <c r="GY980" s="1654"/>
      <c r="GZ980" s="1654"/>
      <c r="HA980" s="1654"/>
      <c r="HB980" s="1654"/>
      <c r="HC980" s="1654"/>
      <c r="HD980" s="1654"/>
      <c r="HE980" s="1654"/>
      <c r="HF980" s="1654"/>
      <c r="HG980" s="1654"/>
      <c r="HH980" s="1654"/>
      <c r="HI980" s="1654"/>
      <c r="HJ980" s="1654"/>
      <c r="HK980" s="1654"/>
      <c r="HL980" s="1654"/>
      <c r="HM980" s="1654"/>
      <c r="HN980" s="1654"/>
      <c r="HO980" s="1654"/>
      <c r="HP980" s="1654"/>
      <c r="HQ980" s="1654"/>
      <c r="HR980" s="1654"/>
      <c r="HS980" s="1654"/>
      <c r="HT980" s="1654"/>
      <c r="HU980" s="1654"/>
      <c r="HV980" s="1654"/>
      <c r="HW980" s="1654"/>
      <c r="HX980" s="1654"/>
      <c r="HY980" s="1654"/>
      <c r="HZ980" s="326"/>
      <c r="IA980" s="1985" t="s">
        <v>3643</v>
      </c>
      <c r="IB980" s="284"/>
      <c r="ID980" s="323"/>
      <c r="IG980" s="323"/>
      <c r="IH980" s="284"/>
      <c r="IJ980" s="323"/>
      <c r="IK980" s="327"/>
      <c r="IM980" s="323"/>
      <c r="IP980" s="323"/>
      <c r="IQ980" s="327"/>
      <c r="IR980" s="327"/>
      <c r="IS980" s="323"/>
      <c r="IT980" s="327"/>
      <c r="IU980" s="327"/>
      <c r="IV980" s="323"/>
      <c r="IW980" s="1548"/>
      <c r="IX980" s="327"/>
      <c r="IY980" s="323"/>
      <c r="IZ980" s="327"/>
      <c r="JA980" s="327"/>
      <c r="JB980" s="323"/>
      <c r="JC980" s="327"/>
      <c r="JD980" s="327"/>
      <c r="JE980" s="323"/>
      <c r="JF980" s="327"/>
      <c r="JG980" s="327"/>
      <c r="JH980" s="323"/>
      <c r="JI980" s="327"/>
      <c r="JJ980" s="327">
        <f t="shared" si="2035"/>
        <v>0</v>
      </c>
      <c r="JK980" s="323">
        <f t="shared" si="1933"/>
        <v>0</v>
      </c>
      <c r="JL980" s="327">
        <f t="shared" si="1946"/>
        <v>0</v>
      </c>
      <c r="JM980" s="327">
        <f t="shared" si="2008"/>
        <v>494.41151273548797</v>
      </c>
      <c r="JN980" s="323">
        <f>FISC!AK1305</f>
        <v>494.41151273548797</v>
      </c>
      <c r="JO980" s="327">
        <f>(FISC!AL1305*0.461)</f>
        <v>200.42789537378857</v>
      </c>
      <c r="JP980" s="327">
        <f t="shared" si="2037"/>
        <v>234.33977354983088</v>
      </c>
      <c r="JQ980" s="323">
        <f>FISC!AL1305</f>
        <v>434.76766892361945</v>
      </c>
      <c r="JR980" s="327">
        <f>(FISC!AM1305*0.652)</f>
        <v>221.24444414646754</v>
      </c>
      <c r="JS980" s="327">
        <f t="shared" si="2010"/>
        <v>118.08752540332929</v>
      </c>
      <c r="JT980" s="323">
        <f>FISC!AM1305</f>
        <v>339.33196954979684</v>
      </c>
      <c r="JU980" s="327">
        <f>(FISC!AN1305*0.494)</f>
        <v>1.9311948364233349</v>
      </c>
      <c r="JV980" s="327">
        <f t="shared" si="2011"/>
        <v>1.9781064518830112</v>
      </c>
      <c r="JW980" s="323">
        <f>FISC!AN1305</f>
        <v>3.909301288306346</v>
      </c>
      <c r="JX980" s="327"/>
      <c r="JY980" s="327"/>
      <c r="JZ980" s="323">
        <f>FISC!AO1305</f>
        <v>0.87929974319386628</v>
      </c>
      <c r="KA980" s="327"/>
      <c r="KB980" s="327"/>
      <c r="KC980" s="323">
        <f>FISC!AP1305</f>
        <v>0</v>
      </c>
      <c r="KD980" s="327"/>
      <c r="KE980" s="327"/>
      <c r="KF980" s="323">
        <f>FISC!AQ1305</f>
        <v>0</v>
      </c>
      <c r="KG980" s="327"/>
      <c r="KH980" s="327"/>
      <c r="KI980" s="323">
        <f>FISC!AR1305</f>
        <v>0</v>
      </c>
      <c r="KJ980" s="327"/>
      <c r="KK980" s="327"/>
      <c r="KL980" s="323">
        <f>FISC!AS1305</f>
        <v>0</v>
      </c>
      <c r="KM980" s="327"/>
      <c r="KN980" s="327"/>
      <c r="KO980" s="323">
        <f>FISC!AT1305</f>
        <v>0</v>
      </c>
      <c r="KU980" s="326"/>
      <c r="KV980" s="327"/>
    </row>
    <row r="981" spans="1:314">
      <c r="A981" s="279"/>
      <c r="D981" s="1506" t="s">
        <v>3168</v>
      </c>
      <c r="E981" s="323"/>
      <c r="F981" s="323"/>
      <c r="G981" s="323"/>
      <c r="H981" s="323"/>
      <c r="I981" s="323"/>
      <c r="J981" s="323"/>
      <c r="K981" s="323"/>
      <c r="L981" s="323"/>
      <c r="M981" s="323"/>
      <c r="N981" s="323"/>
      <c r="O981" s="323"/>
      <c r="P981" s="323"/>
      <c r="Q981" s="323"/>
      <c r="R981" s="323"/>
      <c r="S981" s="323"/>
      <c r="T981" s="323"/>
      <c r="U981" s="323"/>
      <c r="V981" s="323"/>
      <c r="W981" s="323"/>
      <c r="X981" s="323"/>
      <c r="Y981" s="323"/>
      <c r="Z981" s="323"/>
      <c r="AA981" s="323"/>
      <c r="AB981" s="323"/>
      <c r="AC981" s="323"/>
      <c r="AD981" s="323"/>
      <c r="AE981" s="323"/>
      <c r="AF981" s="323"/>
      <c r="AG981" s="323"/>
      <c r="AH981" s="323"/>
      <c r="AI981" s="323"/>
      <c r="AJ981" s="323"/>
      <c r="AK981" s="323"/>
      <c r="AL981" s="323"/>
      <c r="AM981" s="323"/>
      <c r="AN981" s="323"/>
      <c r="AO981" s="323"/>
      <c r="AP981" s="323"/>
      <c r="AQ981" s="323"/>
      <c r="AR981" s="323"/>
      <c r="AS981" s="323"/>
      <c r="AT981" s="323"/>
      <c r="AU981" s="323"/>
      <c r="AV981" s="323"/>
      <c r="AW981" s="323"/>
      <c r="AX981" s="323"/>
      <c r="AY981" s="323"/>
      <c r="AZ981" s="323"/>
      <c r="BA981" s="323"/>
      <c r="BB981" s="323"/>
      <c r="BC981" s="323"/>
      <c r="BD981" s="323"/>
      <c r="BE981" s="323"/>
      <c r="BF981" s="323"/>
      <c r="BG981" s="323"/>
      <c r="BH981" s="323"/>
      <c r="BI981" s="323"/>
      <c r="BJ981" s="323"/>
      <c r="BK981" s="323"/>
      <c r="BL981" s="323"/>
      <c r="BM981" s="323"/>
      <c r="BN981" s="323"/>
      <c r="BO981" s="323"/>
      <c r="BP981" s="323"/>
      <c r="BQ981" s="323"/>
      <c r="BR981" s="323"/>
      <c r="BS981" s="323"/>
      <c r="BT981" s="323"/>
      <c r="BU981" s="323"/>
      <c r="BV981" s="323"/>
      <c r="BW981" s="323"/>
      <c r="BX981" s="323"/>
      <c r="BY981" s="323"/>
      <c r="BZ981" s="323"/>
      <c r="CA981" s="323"/>
      <c r="CB981" s="323"/>
      <c r="CC981" s="323"/>
      <c r="CD981" s="329"/>
      <c r="CE981" s="323"/>
      <c r="CF981" s="323"/>
      <c r="CG981" s="323"/>
      <c r="CH981" s="323"/>
      <c r="CI981" s="323"/>
      <c r="CJ981" s="323"/>
      <c r="CK981" s="323"/>
      <c r="CL981" s="323"/>
      <c r="CM981" s="323"/>
      <c r="CN981" s="323"/>
      <c r="CO981" s="323"/>
      <c r="CP981" s="325"/>
      <c r="CQ981" s="323"/>
      <c r="CR981" s="323"/>
      <c r="CS981" s="323"/>
      <c r="CT981" s="323"/>
      <c r="CU981" s="323"/>
      <c r="CV981" s="323"/>
      <c r="CW981" s="323"/>
      <c r="CX981" s="323"/>
      <c r="CY981" s="323"/>
      <c r="CZ981" s="323"/>
      <c r="DA981" s="323"/>
      <c r="DB981" s="1269"/>
      <c r="DC981" s="323"/>
      <c r="DD981" s="323"/>
      <c r="DE981" s="323"/>
      <c r="DF981" s="323"/>
      <c r="DG981" s="323"/>
      <c r="DH981" s="323"/>
      <c r="DI981" s="323"/>
      <c r="DJ981" s="323"/>
      <c r="DK981" s="323"/>
      <c r="DL981" s="323"/>
      <c r="DM981" s="323"/>
      <c r="DN981" s="325"/>
      <c r="DO981" s="323"/>
      <c r="DP981" s="323"/>
      <c r="DQ981" s="323"/>
      <c r="DR981" s="323"/>
      <c r="DS981" s="323"/>
      <c r="DT981" s="323"/>
      <c r="DU981" s="323"/>
      <c r="DV981" s="323"/>
      <c r="DW981" s="323"/>
      <c r="DX981" s="323"/>
      <c r="DY981" s="323"/>
      <c r="DZ981" s="325"/>
      <c r="EA981" s="323"/>
      <c r="EB981" s="323"/>
      <c r="EC981" s="323"/>
      <c r="ED981" s="323"/>
      <c r="EE981" s="323"/>
      <c r="EF981" s="323"/>
      <c r="EG981" s="323"/>
      <c r="EH981" s="323"/>
      <c r="EI981" s="323"/>
      <c r="EJ981" s="323"/>
      <c r="EK981" s="323"/>
      <c r="EL981" s="325"/>
      <c r="EM981" s="323"/>
      <c r="EN981" s="323"/>
      <c r="EO981" s="323"/>
      <c r="EP981" s="323"/>
      <c r="EQ981" s="323"/>
      <c r="ER981" s="323"/>
      <c r="ES981" s="323"/>
      <c r="ET981" s="323"/>
      <c r="EU981" s="323"/>
      <c r="EV981" s="323"/>
      <c r="EW981" s="323"/>
      <c r="EX981" s="325"/>
      <c r="EY981" s="323"/>
      <c r="EZ981" s="323"/>
      <c r="FA981" s="323"/>
      <c r="FB981" s="323"/>
      <c r="FC981" s="323"/>
      <c r="FD981" s="323"/>
      <c r="FE981" s="323"/>
      <c r="FF981" s="323"/>
      <c r="FG981" s="323"/>
      <c r="FH981" s="323"/>
      <c r="FI981" s="323"/>
      <c r="FJ981" s="325"/>
      <c r="FK981" s="323"/>
      <c r="FL981" s="323"/>
      <c r="FM981" s="323"/>
      <c r="FN981" s="323"/>
      <c r="FO981" s="323"/>
      <c r="FP981" s="323"/>
      <c r="FQ981" s="323">
        <v>0</v>
      </c>
      <c r="FR981" s="323">
        <v>0</v>
      </c>
      <c r="FS981" s="323">
        <v>0</v>
      </c>
      <c r="FT981" s="323">
        <v>0</v>
      </c>
      <c r="FU981" s="323">
        <v>0</v>
      </c>
      <c r="FV981" s="323">
        <v>0</v>
      </c>
      <c r="FW981" s="323">
        <v>0</v>
      </c>
      <c r="FX981" s="323">
        <v>0</v>
      </c>
      <c r="FY981" s="323">
        <v>10.73360138</v>
      </c>
      <c r="FZ981" s="323">
        <v>0</v>
      </c>
      <c r="GA981" s="323">
        <v>0</v>
      </c>
      <c r="GB981" s="323">
        <v>1</v>
      </c>
      <c r="GC981" s="323">
        <v>0</v>
      </c>
      <c r="GD981" s="323">
        <v>0</v>
      </c>
      <c r="GE981" s="323">
        <v>5.7562135210000003</v>
      </c>
      <c r="GF981" s="323">
        <v>0</v>
      </c>
      <c r="GG981" s="323">
        <v>0</v>
      </c>
      <c r="GH981" s="323">
        <v>17.315684280999999</v>
      </c>
      <c r="GI981" s="1654">
        <v>0</v>
      </c>
      <c r="GJ981" s="1654">
        <v>0.76380206699999997</v>
      </c>
      <c r="GK981" s="1654">
        <v>5.6189687270000004</v>
      </c>
      <c r="GL981" s="1654">
        <v>0</v>
      </c>
      <c r="GM981" s="1654">
        <v>0.57212499999999999</v>
      </c>
      <c r="GN981" s="1654">
        <v>4.4664870299999997</v>
      </c>
      <c r="GO981" s="1654">
        <v>0.57212499999999999</v>
      </c>
      <c r="GP981" s="1654">
        <v>0</v>
      </c>
      <c r="GQ981" s="1654">
        <v>4.7460276559999999</v>
      </c>
      <c r="GR981" s="1654">
        <v>0.499999998</v>
      </c>
      <c r="GS981" s="1654">
        <v>0.56497730000000002</v>
      </c>
      <c r="GT981" s="1654">
        <v>3.862497845</v>
      </c>
      <c r="GU981" s="1654">
        <v>0</v>
      </c>
      <c r="GV981" s="1654">
        <v>0</v>
      </c>
      <c r="GW981" s="1654">
        <v>0.76380206699999997</v>
      </c>
      <c r="GX981" s="1654">
        <v>0</v>
      </c>
      <c r="GY981" s="1654">
        <v>0.67500000000000004</v>
      </c>
      <c r="GZ981" s="1654">
        <v>0</v>
      </c>
      <c r="HA981" s="1654">
        <v>0</v>
      </c>
      <c r="HB981" s="1654">
        <v>0</v>
      </c>
      <c r="HC981" s="1654">
        <v>0</v>
      </c>
      <c r="HD981" s="1654">
        <v>0</v>
      </c>
      <c r="HE981" s="1654">
        <v>0</v>
      </c>
      <c r="HF981" s="1654">
        <v>0.4</v>
      </c>
      <c r="HG981" s="1654">
        <v>0.75</v>
      </c>
      <c r="HH981" s="1654">
        <v>2.6735634300000002</v>
      </c>
      <c r="HI981" s="1654">
        <v>0.89940235899999998</v>
      </c>
      <c r="HJ981" s="1654">
        <v>1.069127817</v>
      </c>
      <c r="HK981" s="1654">
        <v>1.425</v>
      </c>
      <c r="HL981" s="1654">
        <v>1.8339323940000001</v>
      </c>
      <c r="HM981" s="1654">
        <v>0</v>
      </c>
      <c r="HN981" s="1654">
        <v>0.10653191400000006</v>
      </c>
      <c r="HO981" s="1654">
        <v>5.1133010000000034E-2</v>
      </c>
      <c r="HP981" s="1654">
        <v>7.0876097000000193E-2</v>
      </c>
      <c r="HQ981" s="1654">
        <v>3.7864461999999932E-2</v>
      </c>
      <c r="HR981" s="1654">
        <v>3.0209159999999624E-2</v>
      </c>
      <c r="HS981" s="1654">
        <v>6.0148545000000109E-2</v>
      </c>
      <c r="HT981" s="1654">
        <v>7.5148461000000388E-2</v>
      </c>
      <c r="HU981" s="1654">
        <v>7.2018458000000063E-2</v>
      </c>
      <c r="HV981" s="1654">
        <v>0</v>
      </c>
      <c r="HW981" s="1654">
        <v>0</v>
      </c>
      <c r="HX981" s="1654">
        <v>0.54532306100000127</v>
      </c>
      <c r="HY981" s="1654"/>
      <c r="HZ981" s="326"/>
      <c r="IA981" s="1506" t="s">
        <v>3168</v>
      </c>
      <c r="IB981" s="284"/>
      <c r="ID981" s="323"/>
      <c r="IG981" s="323"/>
      <c r="IH981" s="284"/>
      <c r="IJ981" s="323"/>
      <c r="IK981" s="327"/>
      <c r="IM981" s="323"/>
      <c r="IP981" s="323"/>
      <c r="IQ981" s="327"/>
      <c r="IR981" s="327"/>
      <c r="IS981" s="323"/>
      <c r="IT981" s="327"/>
      <c r="IU981" s="327"/>
      <c r="IV981" s="323"/>
      <c r="IW981" s="1548">
        <v>0</v>
      </c>
      <c r="IX981" s="327">
        <f t="shared" si="1963"/>
        <v>0</v>
      </c>
      <c r="IY981" s="323">
        <f t="shared" si="2005"/>
        <v>0</v>
      </c>
      <c r="IZ981" s="327">
        <f t="shared" si="2018"/>
        <v>11.73360138</v>
      </c>
      <c r="JA981" s="327">
        <f t="shared" si="2019"/>
        <v>23.071897801999999</v>
      </c>
      <c r="JB981" s="323">
        <f t="shared" si="2036"/>
        <v>34.805499181999998</v>
      </c>
      <c r="JC981" s="327">
        <f t="shared" si="2020"/>
        <v>11.421382824</v>
      </c>
      <c r="JD981" s="327">
        <f t="shared" si="2021"/>
        <v>10.245627798999999</v>
      </c>
      <c r="JE981" s="323">
        <f t="shared" si="1945"/>
        <v>21.667010622999999</v>
      </c>
      <c r="JF981" s="327">
        <f t="shared" si="1964"/>
        <v>1.4388020670000001</v>
      </c>
      <c r="JG981" s="327">
        <f t="shared" si="1965"/>
        <v>0.4</v>
      </c>
      <c r="JH981" s="323">
        <f t="shared" si="1944"/>
        <v>1.838802067</v>
      </c>
      <c r="JI981" s="327">
        <f t="shared" si="1993"/>
        <v>8.6510259999999999</v>
      </c>
      <c r="JJ981" s="327">
        <f t="shared" si="2035"/>
        <v>0.29661464299999984</v>
      </c>
      <c r="JK981" s="323">
        <f t="shared" si="1933"/>
        <v>8.9476406429999997</v>
      </c>
      <c r="JL981" s="327">
        <f t="shared" si="1946"/>
        <v>0.75263852500000183</v>
      </c>
      <c r="JM981" s="327">
        <f t="shared" si="2008"/>
        <v>-0.75263852500000183</v>
      </c>
      <c r="JN981" s="323">
        <f>FISC!AK1307</f>
        <v>0</v>
      </c>
      <c r="JO981" s="327">
        <f>JQ981/2</f>
        <v>0</v>
      </c>
      <c r="JP981" s="327">
        <f t="shared" si="2009"/>
        <v>0</v>
      </c>
      <c r="JQ981" s="323">
        <f>FISC!AL1307</f>
        <v>0</v>
      </c>
      <c r="JR981" s="327">
        <f>JT981/2</f>
        <v>0</v>
      </c>
      <c r="JS981" s="327">
        <f t="shared" si="2010"/>
        <v>0</v>
      </c>
      <c r="JT981" s="323">
        <f>FISC!AM1307</f>
        <v>0</v>
      </c>
      <c r="JU981" s="327">
        <f>JW981/2</f>
        <v>0</v>
      </c>
      <c r="JV981" s="327">
        <f t="shared" si="2011"/>
        <v>0</v>
      </c>
      <c r="JW981" s="323">
        <f>FISC!AN1307</f>
        <v>0</v>
      </c>
      <c r="JX981" s="327">
        <f>JZ981/2</f>
        <v>0</v>
      </c>
      <c r="JY981" s="327">
        <f t="shared" si="2012"/>
        <v>0</v>
      </c>
      <c r="JZ981" s="323">
        <f>FISC!AO1307</f>
        <v>0</v>
      </c>
      <c r="KA981" s="327">
        <f>KC981/2</f>
        <v>0</v>
      </c>
      <c r="KB981" s="327">
        <f t="shared" si="2030"/>
        <v>0</v>
      </c>
      <c r="KC981" s="323">
        <f>FISC!AP1307</f>
        <v>0</v>
      </c>
      <c r="KD981" s="327">
        <f>KF981/2</f>
        <v>0</v>
      </c>
      <c r="KE981" s="327">
        <f t="shared" si="2031"/>
        <v>0</v>
      </c>
      <c r="KF981" s="323">
        <f>FISC!AQ1307</f>
        <v>0</v>
      </c>
      <c r="KG981" s="327">
        <f>KI981/2</f>
        <v>0</v>
      </c>
      <c r="KH981" s="327">
        <f t="shared" si="2032"/>
        <v>0</v>
      </c>
      <c r="KI981" s="323">
        <f>FISC!AR1307</f>
        <v>0</v>
      </c>
      <c r="KJ981" s="327">
        <f>KL981/2</f>
        <v>0</v>
      </c>
      <c r="KK981" s="327">
        <f t="shared" si="2033"/>
        <v>0</v>
      </c>
      <c r="KL981" s="323">
        <f>FISC!AS1307</f>
        <v>0</v>
      </c>
      <c r="KM981" s="327">
        <f>KO981/2</f>
        <v>0</v>
      </c>
      <c r="KN981" s="327">
        <f t="shared" si="2034"/>
        <v>0</v>
      </c>
      <c r="KO981" s="323">
        <f>FISC!AT1307</f>
        <v>0</v>
      </c>
      <c r="KU981" s="326"/>
      <c r="KV981" s="327"/>
    </row>
    <row r="982" spans="1:314">
      <c r="A982" s="279"/>
      <c r="D982" s="1420" t="s">
        <v>3063</v>
      </c>
      <c r="E982" s="323"/>
      <c r="F982" s="323"/>
      <c r="G982" s="323"/>
      <c r="H982" s="323"/>
      <c r="I982" s="323"/>
      <c r="J982" s="323"/>
      <c r="K982" s="323"/>
      <c r="L982" s="323"/>
      <c r="M982" s="323"/>
      <c r="N982" s="323"/>
      <c r="O982" s="323"/>
      <c r="P982" s="323"/>
      <c r="Q982" s="323"/>
      <c r="R982" s="323"/>
      <c r="S982" s="323"/>
      <c r="T982" s="323"/>
      <c r="U982" s="323"/>
      <c r="V982" s="323"/>
      <c r="W982" s="323"/>
      <c r="X982" s="323"/>
      <c r="Y982" s="323"/>
      <c r="Z982" s="323"/>
      <c r="AA982" s="323"/>
      <c r="AB982" s="323"/>
      <c r="AC982" s="323"/>
      <c r="AD982" s="323"/>
      <c r="AE982" s="323"/>
      <c r="AF982" s="323"/>
      <c r="AG982" s="323"/>
      <c r="AH982" s="323"/>
      <c r="AI982" s="323"/>
      <c r="AJ982" s="323"/>
      <c r="AK982" s="323"/>
      <c r="AL982" s="323"/>
      <c r="AM982" s="323"/>
      <c r="AN982" s="323"/>
      <c r="AO982" s="323"/>
      <c r="AP982" s="323"/>
      <c r="AQ982" s="323"/>
      <c r="AR982" s="323"/>
      <c r="AS982" s="323"/>
      <c r="AT982" s="323"/>
      <c r="AU982" s="323"/>
      <c r="AV982" s="323"/>
      <c r="AW982" s="323"/>
      <c r="AX982" s="323"/>
      <c r="AY982" s="323"/>
      <c r="AZ982" s="323"/>
      <c r="BA982" s="323"/>
      <c r="BB982" s="323"/>
      <c r="BC982" s="323"/>
      <c r="BD982" s="323"/>
      <c r="BE982" s="323"/>
      <c r="BF982" s="323"/>
      <c r="BG982" s="323"/>
      <c r="BH982" s="323"/>
      <c r="BI982" s="323"/>
      <c r="BJ982" s="323"/>
      <c r="BK982" s="323"/>
      <c r="BL982" s="323"/>
      <c r="BM982" s="323"/>
      <c r="BN982" s="323"/>
      <c r="BO982" s="323"/>
      <c r="BP982" s="323"/>
      <c r="BQ982" s="323"/>
      <c r="BR982" s="323"/>
      <c r="BS982" s="323"/>
      <c r="BT982" s="323"/>
      <c r="BU982" s="323"/>
      <c r="BV982" s="323"/>
      <c r="BW982" s="323"/>
      <c r="BX982" s="323"/>
      <c r="BY982" s="323"/>
      <c r="BZ982" s="323"/>
      <c r="CA982" s="323"/>
      <c r="CB982" s="323"/>
      <c r="CC982" s="323"/>
      <c r="CD982" s="329"/>
      <c r="CE982" s="323">
        <v>0</v>
      </c>
      <c r="CF982" s="323">
        <v>0</v>
      </c>
      <c r="CG982" s="323">
        <v>0</v>
      </c>
      <c r="CH982" s="323">
        <v>0</v>
      </c>
      <c r="CI982" s="323">
        <v>0</v>
      </c>
      <c r="CJ982" s="323">
        <v>0</v>
      </c>
      <c r="CK982" s="323">
        <v>0</v>
      </c>
      <c r="CL982" s="323">
        <v>0</v>
      </c>
      <c r="CM982" s="323">
        <v>0</v>
      </c>
      <c r="CN982" s="323">
        <v>0</v>
      </c>
      <c r="CO982" s="323">
        <v>0</v>
      </c>
      <c r="CP982" s="325">
        <v>0</v>
      </c>
      <c r="CQ982" s="323"/>
      <c r="CR982" s="323"/>
      <c r="CS982" s="323"/>
      <c r="CT982" s="323"/>
      <c r="CU982" s="323"/>
      <c r="CV982" s="323"/>
      <c r="CW982" s="323"/>
      <c r="CX982" s="323"/>
      <c r="CY982" s="323"/>
      <c r="CZ982" s="323"/>
      <c r="DA982" s="323"/>
      <c r="DB982" s="1269"/>
      <c r="DC982" s="323"/>
      <c r="DD982" s="323"/>
      <c r="DE982" s="323"/>
      <c r="DF982" s="323"/>
      <c r="DG982" s="323"/>
      <c r="DH982" s="323"/>
      <c r="DI982" s="323"/>
      <c r="DJ982" s="323"/>
      <c r="DK982" s="323"/>
      <c r="DL982" s="323"/>
      <c r="DM982" s="323"/>
      <c r="DN982" s="325"/>
      <c r="DO982" s="323"/>
      <c r="DP982" s="323"/>
      <c r="DQ982" s="323"/>
      <c r="DR982" s="323"/>
      <c r="DS982" s="323"/>
      <c r="DT982" s="323"/>
      <c r="DU982" s="323"/>
      <c r="DV982" s="323"/>
      <c r="DW982" s="323"/>
      <c r="DX982" s="323">
        <v>0</v>
      </c>
      <c r="DY982" s="323">
        <v>0</v>
      </c>
      <c r="DZ982" s="325">
        <v>0</v>
      </c>
      <c r="EA982" s="323">
        <v>0</v>
      </c>
      <c r="EB982" s="323">
        <v>0</v>
      </c>
      <c r="EC982" s="323">
        <v>0</v>
      </c>
      <c r="ED982" s="323">
        <v>0</v>
      </c>
      <c r="EE982" s="323">
        <v>0</v>
      </c>
      <c r="EF982" s="323">
        <v>0</v>
      </c>
      <c r="EG982" s="323">
        <v>0</v>
      </c>
      <c r="EH982" s="323">
        <v>0</v>
      </c>
      <c r="EI982" s="323">
        <v>0</v>
      </c>
      <c r="EJ982" s="323">
        <v>0</v>
      </c>
      <c r="EK982" s="323">
        <v>0</v>
      </c>
      <c r="EL982" s="325">
        <v>0</v>
      </c>
      <c r="EM982" s="323">
        <v>0</v>
      </c>
      <c r="EN982" s="323">
        <v>0</v>
      </c>
      <c r="EO982" s="323">
        <v>0</v>
      </c>
      <c r="EP982" s="323">
        <v>0</v>
      </c>
      <c r="EQ982" s="323">
        <v>0</v>
      </c>
      <c r="ER982" s="323">
        <v>0</v>
      </c>
      <c r="ES982" s="323">
        <v>0</v>
      </c>
      <c r="ET982" s="323">
        <v>0</v>
      </c>
      <c r="EU982" s="323">
        <v>0</v>
      </c>
      <c r="EV982" s="323">
        <v>0</v>
      </c>
      <c r="EW982" s="323">
        <v>0</v>
      </c>
      <c r="EX982" s="325">
        <v>0</v>
      </c>
      <c r="EY982" s="323">
        <v>0</v>
      </c>
      <c r="EZ982" s="323">
        <v>0</v>
      </c>
      <c r="FA982" s="323">
        <v>0</v>
      </c>
      <c r="FB982" s="323">
        <v>0</v>
      </c>
      <c r="FC982" s="323">
        <v>0</v>
      </c>
      <c r="FD982" s="323"/>
      <c r="FE982" s="323"/>
      <c r="FF982" s="323"/>
      <c r="FG982" s="323"/>
      <c r="FH982" s="323"/>
      <c r="FI982" s="323"/>
      <c r="FJ982" s="325"/>
      <c r="FK982" s="323">
        <v>0</v>
      </c>
      <c r="FL982" s="323">
        <v>0</v>
      </c>
      <c r="FM982" s="323">
        <v>0</v>
      </c>
      <c r="FN982" s="323">
        <v>0</v>
      </c>
      <c r="FO982" s="323">
        <v>0</v>
      </c>
      <c r="FP982" s="323">
        <v>0</v>
      </c>
      <c r="FQ982" s="323">
        <v>0</v>
      </c>
      <c r="FR982" s="323">
        <v>0</v>
      </c>
      <c r="FS982" s="323">
        <v>0</v>
      </c>
      <c r="FT982" s="323">
        <v>0</v>
      </c>
      <c r="FU982" s="323">
        <v>0</v>
      </c>
      <c r="FV982" s="323">
        <v>0</v>
      </c>
      <c r="FW982" s="323">
        <v>0</v>
      </c>
      <c r="FX982" s="323">
        <v>0</v>
      </c>
      <c r="FY982" s="323">
        <v>0</v>
      </c>
      <c r="FZ982" s="323">
        <v>0</v>
      </c>
      <c r="GA982" s="323">
        <v>0</v>
      </c>
      <c r="GB982" s="323">
        <v>0</v>
      </c>
      <c r="GC982" s="323">
        <v>0</v>
      </c>
      <c r="GD982" s="323">
        <v>0</v>
      </c>
      <c r="GE982" s="323">
        <v>0</v>
      </c>
      <c r="GF982" s="323">
        <v>0</v>
      </c>
      <c r="GG982" s="323">
        <v>0</v>
      </c>
      <c r="GH982" s="323">
        <v>0</v>
      </c>
      <c r="GI982" s="1654"/>
      <c r="GJ982" s="1654"/>
      <c r="HZ982" s="326"/>
      <c r="IA982" s="1420" t="s">
        <v>3063</v>
      </c>
      <c r="IB982" s="284"/>
      <c r="ID982" s="323"/>
      <c r="IG982" s="323"/>
      <c r="IH982" s="284"/>
      <c r="IJ982" s="323"/>
      <c r="IK982" s="327"/>
      <c r="IM982" s="323"/>
      <c r="IP982" s="323"/>
      <c r="IQ982" s="327"/>
      <c r="IR982" s="327"/>
      <c r="IS982" s="323"/>
      <c r="IT982" s="327"/>
      <c r="IU982" s="327"/>
      <c r="IV982" s="323"/>
      <c r="IW982" s="327">
        <f>SUM(FK982:FP982)</f>
        <v>0</v>
      </c>
      <c r="IX982" s="327">
        <f t="shared" si="1963"/>
        <v>0</v>
      </c>
      <c r="IY982" s="323">
        <f t="shared" si="2005"/>
        <v>0</v>
      </c>
      <c r="IZ982" s="327">
        <f t="shared" si="2018"/>
        <v>0</v>
      </c>
      <c r="JA982" s="327">
        <f t="shared" si="2019"/>
        <v>0</v>
      </c>
      <c r="JB982" s="323">
        <f t="shared" si="2036"/>
        <v>0</v>
      </c>
      <c r="JC982" s="327">
        <f t="shared" si="2020"/>
        <v>0</v>
      </c>
      <c r="JD982" s="327">
        <f t="shared" si="2021"/>
        <v>0</v>
      </c>
      <c r="JE982" s="323">
        <f t="shared" si="1945"/>
        <v>0</v>
      </c>
      <c r="JF982" s="327">
        <f t="shared" si="1964"/>
        <v>0</v>
      </c>
      <c r="JG982" s="327">
        <f t="shared" si="1965"/>
        <v>0</v>
      </c>
      <c r="JH982" s="323">
        <f t="shared" si="1944"/>
        <v>0</v>
      </c>
      <c r="JI982" s="327">
        <f t="shared" si="1993"/>
        <v>0</v>
      </c>
      <c r="JJ982" s="327">
        <f t="shared" si="2035"/>
        <v>0</v>
      </c>
      <c r="JK982" s="323">
        <f t="shared" si="1933"/>
        <v>0</v>
      </c>
      <c r="JL982" s="327">
        <f t="shared" si="1946"/>
        <v>0</v>
      </c>
      <c r="JM982" s="279">
        <f t="shared" si="2008"/>
        <v>0</v>
      </c>
      <c r="JN982" s="323">
        <f>FISC!AK1308</f>
        <v>0</v>
      </c>
      <c r="JO982" s="327">
        <f>JQ982*0.48</f>
        <v>0</v>
      </c>
      <c r="JP982" s="279">
        <f t="shared" si="2009"/>
        <v>0</v>
      </c>
      <c r="JQ982" s="323">
        <f>FISC!AL1308</f>
        <v>0</v>
      </c>
      <c r="JR982" s="327">
        <f>JT982*0.48</f>
        <v>0</v>
      </c>
      <c r="JS982" s="279">
        <f t="shared" si="2010"/>
        <v>0</v>
      </c>
      <c r="JT982" s="323">
        <f>FISC!AM1308</f>
        <v>0</v>
      </c>
      <c r="JU982" s="327">
        <f>JW982*0.48</f>
        <v>0</v>
      </c>
      <c r="JV982" s="279">
        <f t="shared" si="2011"/>
        <v>0</v>
      </c>
      <c r="JW982" s="323">
        <f>FISC!AN1308</f>
        <v>0</v>
      </c>
      <c r="JX982" s="327">
        <f>JZ982*0.48</f>
        <v>0</v>
      </c>
      <c r="JY982" s="279">
        <f t="shared" si="2012"/>
        <v>0</v>
      </c>
      <c r="JZ982" s="323">
        <f>FISC!AO1308</f>
        <v>0</v>
      </c>
      <c r="KA982" s="327">
        <f>KC982*0.48</f>
        <v>0</v>
      </c>
      <c r="KB982" s="279">
        <f t="shared" si="2030"/>
        <v>0</v>
      </c>
      <c r="KC982" s="323">
        <f>FISC!AP1308</f>
        <v>0</v>
      </c>
      <c r="KD982" s="327">
        <f>KF982*0.48</f>
        <v>0</v>
      </c>
      <c r="KE982" s="279">
        <f t="shared" si="2031"/>
        <v>0</v>
      </c>
      <c r="KF982" s="323">
        <f>FISC!AQ1308</f>
        <v>0</v>
      </c>
      <c r="KG982" s="327">
        <f>KI982*0.48</f>
        <v>0</v>
      </c>
      <c r="KH982" s="279">
        <f t="shared" si="2032"/>
        <v>0</v>
      </c>
      <c r="KI982" s="323">
        <f>FISC!AR1308</f>
        <v>0</v>
      </c>
      <c r="KJ982" s="327">
        <f>KL982*0.48</f>
        <v>0</v>
      </c>
      <c r="KK982" s="279">
        <f t="shared" si="2033"/>
        <v>0</v>
      </c>
      <c r="KL982" s="323">
        <f>FISC!AS1308</f>
        <v>0</v>
      </c>
      <c r="KM982" s="327">
        <f>KO982*0.48</f>
        <v>0</v>
      </c>
      <c r="KN982" s="279">
        <f t="shared" si="2034"/>
        <v>0</v>
      </c>
      <c r="KO982" s="323">
        <f>FISC!AT1308</f>
        <v>0</v>
      </c>
      <c r="KU982" s="326"/>
      <c r="KV982" s="327"/>
    </row>
    <row r="983" spans="1:314">
      <c r="A983" s="279"/>
      <c r="D983" s="1420" t="s">
        <v>3064</v>
      </c>
      <c r="E983" s="323"/>
      <c r="F983" s="323"/>
      <c r="G983" s="323"/>
      <c r="H983" s="323"/>
      <c r="I983" s="323"/>
      <c r="J983" s="323"/>
      <c r="K983" s="323"/>
      <c r="L983" s="323"/>
      <c r="M983" s="323"/>
      <c r="N983" s="323"/>
      <c r="O983" s="323"/>
      <c r="P983" s="323"/>
      <c r="Q983" s="323"/>
      <c r="R983" s="323"/>
      <c r="S983" s="323"/>
      <c r="T983" s="323"/>
      <c r="U983" s="323"/>
      <c r="V983" s="323"/>
      <c r="W983" s="323"/>
      <c r="X983" s="323"/>
      <c r="Y983" s="323"/>
      <c r="Z983" s="323"/>
      <c r="AA983" s="323"/>
      <c r="AB983" s="323"/>
      <c r="AC983" s="323"/>
      <c r="AD983" s="323"/>
      <c r="AE983" s="323"/>
      <c r="AF983" s="323"/>
      <c r="AG983" s="323"/>
      <c r="AH983" s="323"/>
      <c r="AI983" s="323"/>
      <c r="AJ983" s="323"/>
      <c r="AK983" s="323"/>
      <c r="AL983" s="323"/>
      <c r="AM983" s="323"/>
      <c r="AN983" s="323"/>
      <c r="AO983" s="323"/>
      <c r="AP983" s="323"/>
      <c r="AQ983" s="323"/>
      <c r="AR983" s="323"/>
      <c r="AS983" s="323"/>
      <c r="AT983" s="323"/>
      <c r="AU983" s="323"/>
      <c r="AV983" s="323"/>
      <c r="AW983" s="323"/>
      <c r="AX983" s="323"/>
      <c r="AY983" s="323"/>
      <c r="AZ983" s="323"/>
      <c r="BA983" s="323"/>
      <c r="BB983" s="323"/>
      <c r="BC983" s="323"/>
      <c r="BD983" s="323"/>
      <c r="BE983" s="323"/>
      <c r="BF983" s="323"/>
      <c r="BG983" s="323"/>
      <c r="BH983" s="323"/>
      <c r="BI983" s="323"/>
      <c r="BJ983" s="323"/>
      <c r="BK983" s="323"/>
      <c r="BL983" s="323"/>
      <c r="BM983" s="323"/>
      <c r="BN983" s="323"/>
      <c r="BO983" s="323"/>
      <c r="BP983" s="323"/>
      <c r="BQ983" s="323"/>
      <c r="BR983" s="323"/>
      <c r="BS983" s="323"/>
      <c r="BT983" s="323"/>
      <c r="BU983" s="323"/>
      <c r="BV983" s="323"/>
      <c r="BW983" s="323"/>
      <c r="BX983" s="323"/>
      <c r="BY983" s="323"/>
      <c r="BZ983" s="323"/>
      <c r="CA983" s="323"/>
      <c r="CB983" s="323"/>
      <c r="CC983" s="323"/>
      <c r="CD983" s="329"/>
      <c r="CE983" s="323">
        <v>0</v>
      </c>
      <c r="CF983" s="323">
        <v>0</v>
      </c>
      <c r="CG983" s="323">
        <v>0</v>
      </c>
      <c r="CH983" s="323">
        <v>0</v>
      </c>
      <c r="CI983" s="323">
        <v>0</v>
      </c>
      <c r="CJ983" s="323">
        <v>0</v>
      </c>
      <c r="CK983" s="323">
        <v>0</v>
      </c>
      <c r="CL983" s="323">
        <v>0</v>
      </c>
      <c r="CM983" s="323">
        <v>0</v>
      </c>
      <c r="CN983" s="323">
        <v>0</v>
      </c>
      <c r="CO983" s="323">
        <v>0</v>
      </c>
      <c r="CP983" s="325">
        <v>0</v>
      </c>
      <c r="CQ983" s="323"/>
      <c r="CR983" s="323"/>
      <c r="CS983" s="323"/>
      <c r="CT983" s="323"/>
      <c r="CU983" s="323"/>
      <c r="CV983" s="323"/>
      <c r="CW983" s="323"/>
      <c r="CX983" s="323"/>
      <c r="CY983" s="323"/>
      <c r="CZ983" s="323"/>
      <c r="DA983" s="323"/>
      <c r="DB983" s="1269"/>
      <c r="DC983" s="323"/>
      <c r="DD983" s="323"/>
      <c r="DE983" s="323"/>
      <c r="DF983" s="323"/>
      <c r="DG983" s="323"/>
      <c r="DH983" s="323"/>
      <c r="DI983" s="323"/>
      <c r="DJ983" s="323"/>
      <c r="DK983" s="323"/>
      <c r="DL983" s="323"/>
      <c r="DM983" s="323"/>
      <c r="DN983" s="325"/>
      <c r="DO983" s="323"/>
      <c r="DP983" s="323"/>
      <c r="DQ983" s="323"/>
      <c r="DR983" s="323"/>
      <c r="DS983" s="323"/>
      <c r="DT983" s="323"/>
      <c r="DU983" s="323"/>
      <c r="DV983" s="323"/>
      <c r="DW983" s="323"/>
      <c r="DX983" s="323">
        <v>0</v>
      </c>
      <c r="DY983" s="323">
        <v>0</v>
      </c>
      <c r="DZ983" s="325">
        <v>0</v>
      </c>
      <c r="EA983" s="323">
        <v>0</v>
      </c>
      <c r="EB983" s="323">
        <v>0</v>
      </c>
      <c r="EC983" s="323">
        <v>0</v>
      </c>
      <c r="ED983" s="323">
        <v>0</v>
      </c>
      <c r="EE983" s="323">
        <v>0</v>
      </c>
      <c r="EF983" s="323">
        <v>0</v>
      </c>
      <c r="EG983" s="323">
        <v>0</v>
      </c>
      <c r="EH983" s="323">
        <v>0</v>
      </c>
      <c r="EI983" s="323">
        <v>0</v>
      </c>
      <c r="EJ983" s="323">
        <v>0</v>
      </c>
      <c r="EK983" s="323">
        <v>0</v>
      </c>
      <c r="EL983" s="325">
        <v>0</v>
      </c>
      <c r="EM983" s="323">
        <v>0</v>
      </c>
      <c r="EN983" s="323">
        <v>0</v>
      </c>
      <c r="EO983" s="323">
        <v>0</v>
      </c>
      <c r="EP983" s="323">
        <v>0</v>
      </c>
      <c r="EQ983" s="323">
        <v>0</v>
      </c>
      <c r="ER983" s="323">
        <v>0</v>
      </c>
      <c r="ES983" s="323">
        <v>0</v>
      </c>
      <c r="ET983" s="323">
        <v>0</v>
      </c>
      <c r="EU983" s="323">
        <v>0</v>
      </c>
      <c r="EV983" s="323">
        <v>0</v>
      </c>
      <c r="EW983" s="323">
        <v>0</v>
      </c>
      <c r="EX983" s="325">
        <v>0</v>
      </c>
      <c r="EY983" s="323">
        <v>0</v>
      </c>
      <c r="EZ983" s="323">
        <v>0</v>
      </c>
      <c r="FA983" s="323">
        <v>0</v>
      </c>
      <c r="FB983" s="323">
        <v>0</v>
      </c>
      <c r="FC983" s="323">
        <v>0</v>
      </c>
      <c r="FD983" s="323"/>
      <c r="FE983" s="323"/>
      <c r="FF983" s="323"/>
      <c r="FG983" s="323"/>
      <c r="FH983" s="323"/>
      <c r="FI983" s="323"/>
      <c r="FJ983" s="325"/>
      <c r="FK983" s="323">
        <v>0</v>
      </c>
      <c r="FL983" s="323">
        <v>0</v>
      </c>
      <c r="FM983" s="323">
        <v>0</v>
      </c>
      <c r="FN983" s="323">
        <v>0</v>
      </c>
      <c r="FO983" s="323">
        <v>0</v>
      </c>
      <c r="FP983" s="323">
        <v>0</v>
      </c>
      <c r="FQ983" s="323">
        <v>0</v>
      </c>
      <c r="FR983" s="323">
        <v>0</v>
      </c>
      <c r="FS983" s="323">
        <v>0</v>
      </c>
      <c r="FT983" s="323">
        <v>0</v>
      </c>
      <c r="FU983" s="323">
        <v>0</v>
      </c>
      <c r="FV983" s="323">
        <v>0</v>
      </c>
      <c r="FW983" s="323">
        <v>0</v>
      </c>
      <c r="FX983" s="323">
        <v>0</v>
      </c>
      <c r="FY983" s="323">
        <v>0</v>
      </c>
      <c r="FZ983" s="323">
        <v>0</v>
      </c>
      <c r="GA983" s="323">
        <v>0</v>
      </c>
      <c r="GB983" s="323">
        <v>0</v>
      </c>
      <c r="GC983" s="323">
        <v>0</v>
      </c>
      <c r="GD983" s="323">
        <v>0</v>
      </c>
      <c r="GE983" s="323">
        <v>0</v>
      </c>
      <c r="GF983" s="323">
        <v>0</v>
      </c>
      <c r="GG983" s="323">
        <v>0</v>
      </c>
      <c r="GH983" s="323">
        <v>0</v>
      </c>
      <c r="GI983" s="1654"/>
      <c r="HZ983" s="326"/>
      <c r="IA983" s="1420" t="s">
        <v>3064</v>
      </c>
      <c r="IB983" s="284"/>
      <c r="ID983" s="323"/>
      <c r="IG983" s="323"/>
      <c r="IH983" s="284"/>
      <c r="IJ983" s="323"/>
      <c r="IK983" s="327"/>
      <c r="IM983" s="323"/>
      <c r="IP983" s="323"/>
      <c r="IQ983" s="327"/>
      <c r="IR983" s="327"/>
      <c r="IS983" s="323"/>
      <c r="IT983" s="327"/>
      <c r="IU983" s="327"/>
      <c r="IV983" s="323"/>
      <c r="IW983" s="327">
        <f>SUM(FK983:FP983)</f>
        <v>0</v>
      </c>
      <c r="IX983" s="327">
        <f t="shared" si="1963"/>
        <v>0</v>
      </c>
      <c r="IY983" s="323">
        <f t="shared" si="2005"/>
        <v>0</v>
      </c>
      <c r="IZ983" s="327">
        <f t="shared" si="2018"/>
        <v>0</v>
      </c>
      <c r="JA983" s="327">
        <f t="shared" si="2019"/>
        <v>0</v>
      </c>
      <c r="JB983" s="323">
        <f t="shared" si="2036"/>
        <v>0</v>
      </c>
      <c r="JC983" s="327">
        <f t="shared" si="2020"/>
        <v>0</v>
      </c>
      <c r="JD983" s="327">
        <f t="shared" si="2021"/>
        <v>0</v>
      </c>
      <c r="JE983" s="323">
        <f t="shared" si="1945"/>
        <v>0</v>
      </c>
      <c r="JF983" s="327">
        <f t="shared" si="1964"/>
        <v>0</v>
      </c>
      <c r="JG983" s="327">
        <f t="shared" si="1965"/>
        <v>0</v>
      </c>
      <c r="JH983" s="323">
        <f t="shared" si="1944"/>
        <v>0</v>
      </c>
      <c r="JI983" s="327">
        <f t="shared" si="1993"/>
        <v>0</v>
      </c>
      <c r="JJ983" s="327">
        <f t="shared" si="2035"/>
        <v>0</v>
      </c>
      <c r="JK983" s="323">
        <f t="shared" si="1933"/>
        <v>0</v>
      </c>
      <c r="JL983" s="327">
        <f t="shared" si="1946"/>
        <v>0</v>
      </c>
      <c r="JM983" s="279">
        <f t="shared" si="2008"/>
        <v>0</v>
      </c>
      <c r="JN983" s="323">
        <f>FISC!AK1309</f>
        <v>0</v>
      </c>
      <c r="JO983" s="327">
        <f>JQ983*0.48</f>
        <v>0</v>
      </c>
      <c r="JP983" s="279">
        <f t="shared" si="2009"/>
        <v>0</v>
      </c>
      <c r="JQ983" s="323">
        <f>FISC!AL1309</f>
        <v>0</v>
      </c>
      <c r="JR983" s="327">
        <f>JT983*0.48</f>
        <v>0</v>
      </c>
      <c r="JS983" s="279">
        <f t="shared" si="2010"/>
        <v>0</v>
      </c>
      <c r="JT983" s="323">
        <f>FISC!AM1309</f>
        <v>0</v>
      </c>
      <c r="JU983" s="327">
        <f>JW983*0.48</f>
        <v>0</v>
      </c>
      <c r="JV983" s="279">
        <f t="shared" si="2011"/>
        <v>0</v>
      </c>
      <c r="JW983" s="323">
        <f>FISC!AN1309</f>
        <v>0</v>
      </c>
      <c r="JX983" s="327">
        <f>JZ983*0.48</f>
        <v>0</v>
      </c>
      <c r="JY983" s="279">
        <f t="shared" si="2012"/>
        <v>0</v>
      </c>
      <c r="JZ983" s="323">
        <f>FISC!AO1309</f>
        <v>0</v>
      </c>
      <c r="KA983" s="327">
        <f>KC983*0.48</f>
        <v>0</v>
      </c>
      <c r="KB983" s="279">
        <f t="shared" si="2030"/>
        <v>0</v>
      </c>
      <c r="KC983" s="323">
        <f>FISC!AP1309</f>
        <v>0</v>
      </c>
      <c r="KD983" s="327">
        <f>KF983*0.48</f>
        <v>0</v>
      </c>
      <c r="KE983" s="279">
        <f t="shared" si="2031"/>
        <v>0</v>
      </c>
      <c r="KF983" s="323">
        <f>FISC!AQ1309</f>
        <v>0</v>
      </c>
      <c r="KG983" s="327">
        <f>KI983*0.48</f>
        <v>0</v>
      </c>
      <c r="KH983" s="279">
        <f t="shared" si="2032"/>
        <v>0</v>
      </c>
      <c r="KI983" s="323">
        <f>FISC!AR1309</f>
        <v>0</v>
      </c>
      <c r="KJ983" s="327">
        <f>KL983*0.48</f>
        <v>0</v>
      </c>
      <c r="KK983" s="279">
        <f t="shared" si="2033"/>
        <v>0</v>
      </c>
      <c r="KL983" s="323">
        <f>FISC!AS1309</f>
        <v>0</v>
      </c>
      <c r="KM983" s="327">
        <f>KO983*0.48</f>
        <v>0</v>
      </c>
      <c r="KN983" s="279">
        <f t="shared" si="2034"/>
        <v>0</v>
      </c>
      <c r="KO983" s="323">
        <f>FISC!AT1309</f>
        <v>0</v>
      </c>
      <c r="KU983" s="326"/>
      <c r="KV983" s="327"/>
    </row>
    <row r="984" spans="1:314">
      <c r="A984" s="279"/>
      <c r="D984" s="1420" t="s">
        <v>3065</v>
      </c>
      <c r="E984" s="323"/>
      <c r="F984" s="323"/>
      <c r="G984" s="323"/>
      <c r="H984" s="323"/>
      <c r="I984" s="323"/>
      <c r="J984" s="323"/>
      <c r="K984" s="323"/>
      <c r="L984" s="323"/>
      <c r="M984" s="323"/>
      <c r="N984" s="323"/>
      <c r="O984" s="323"/>
      <c r="P984" s="323"/>
      <c r="Q984" s="323"/>
      <c r="R984" s="323"/>
      <c r="S984" s="323"/>
      <c r="T984" s="323"/>
      <c r="U984" s="323"/>
      <c r="V984" s="323"/>
      <c r="W984" s="323"/>
      <c r="X984" s="323"/>
      <c r="Y984" s="323"/>
      <c r="Z984" s="323"/>
      <c r="AA984" s="323"/>
      <c r="AB984" s="323"/>
      <c r="AC984" s="323"/>
      <c r="AD984" s="323"/>
      <c r="AE984" s="323"/>
      <c r="AF984" s="323"/>
      <c r="AG984" s="323"/>
      <c r="AH984" s="323"/>
      <c r="AI984" s="323"/>
      <c r="AJ984" s="323"/>
      <c r="AK984" s="323"/>
      <c r="AL984" s="323"/>
      <c r="AM984" s="323"/>
      <c r="AN984" s="323"/>
      <c r="AO984" s="323"/>
      <c r="AP984" s="323"/>
      <c r="AQ984" s="323"/>
      <c r="AR984" s="323"/>
      <c r="AS984" s="323"/>
      <c r="AT984" s="323"/>
      <c r="AU984" s="323"/>
      <c r="AV984" s="323"/>
      <c r="AW984" s="323"/>
      <c r="AX984" s="323"/>
      <c r="AY984" s="323"/>
      <c r="AZ984" s="323"/>
      <c r="BA984" s="323"/>
      <c r="BB984" s="323"/>
      <c r="BC984" s="323"/>
      <c r="BD984" s="323"/>
      <c r="BE984" s="323"/>
      <c r="BF984" s="323"/>
      <c r="BG984" s="323"/>
      <c r="BH984" s="323"/>
      <c r="BI984" s="323"/>
      <c r="BJ984" s="323"/>
      <c r="BK984" s="323"/>
      <c r="BL984" s="323"/>
      <c r="BM984" s="323"/>
      <c r="BN984" s="323"/>
      <c r="BO984" s="323"/>
      <c r="BP984" s="323"/>
      <c r="BQ984" s="323"/>
      <c r="BR984" s="323"/>
      <c r="BS984" s="323"/>
      <c r="BT984" s="323"/>
      <c r="BU984" s="323"/>
      <c r="BV984" s="323"/>
      <c r="BW984" s="323"/>
      <c r="BX984" s="323"/>
      <c r="BY984" s="323"/>
      <c r="BZ984" s="323"/>
      <c r="CA984" s="323"/>
      <c r="CB984" s="323"/>
      <c r="CC984" s="323"/>
      <c r="CD984" s="329"/>
      <c r="CE984" s="323">
        <v>0</v>
      </c>
      <c r="CF984" s="323">
        <v>0</v>
      </c>
      <c r="CG984" s="323">
        <v>0</v>
      </c>
      <c r="CH984" s="323">
        <v>0</v>
      </c>
      <c r="CI984" s="323">
        <v>0</v>
      </c>
      <c r="CJ984" s="323">
        <v>0</v>
      </c>
      <c r="CK984" s="323">
        <v>0</v>
      </c>
      <c r="CL984" s="323">
        <v>0</v>
      </c>
      <c r="CM984" s="323">
        <v>0</v>
      </c>
      <c r="CN984" s="323">
        <v>0</v>
      </c>
      <c r="CO984" s="323">
        <v>0</v>
      </c>
      <c r="CP984" s="325">
        <v>0</v>
      </c>
      <c r="CQ984" s="323"/>
      <c r="CR984" s="323"/>
      <c r="CS984" s="323"/>
      <c r="CT984" s="323"/>
      <c r="CU984" s="323"/>
      <c r="CV984" s="323"/>
      <c r="CW984" s="323"/>
      <c r="CX984" s="323"/>
      <c r="CY984" s="323"/>
      <c r="CZ984" s="323"/>
      <c r="DA984" s="323"/>
      <c r="DB984" s="1269"/>
      <c r="DC984" s="323"/>
      <c r="DD984" s="323"/>
      <c r="DE984" s="323"/>
      <c r="DF984" s="323"/>
      <c r="DG984" s="323"/>
      <c r="DH984" s="323"/>
      <c r="DI984" s="323"/>
      <c r="DJ984" s="323"/>
      <c r="DK984" s="323"/>
      <c r="DL984" s="323"/>
      <c r="DM984" s="323"/>
      <c r="DN984" s="325"/>
      <c r="DO984" s="323"/>
      <c r="DP984" s="323"/>
      <c r="DQ984" s="323"/>
      <c r="DR984" s="323"/>
      <c r="DS984" s="323"/>
      <c r="DT984" s="323"/>
      <c r="DU984" s="323"/>
      <c r="DV984" s="323"/>
      <c r="DW984" s="323"/>
      <c r="DX984" s="323">
        <v>0</v>
      </c>
      <c r="DY984" s="323">
        <v>0</v>
      </c>
      <c r="DZ984" s="325">
        <v>0</v>
      </c>
      <c r="EA984" s="323">
        <v>0</v>
      </c>
      <c r="EB984" s="323">
        <v>0</v>
      </c>
      <c r="EC984" s="323">
        <v>0</v>
      </c>
      <c r="ED984" s="323">
        <v>0</v>
      </c>
      <c r="EE984" s="323">
        <v>0</v>
      </c>
      <c r="EF984" s="323">
        <v>0</v>
      </c>
      <c r="EG984" s="323">
        <v>0</v>
      </c>
      <c r="EH984" s="323">
        <v>0</v>
      </c>
      <c r="EI984" s="323">
        <v>0</v>
      </c>
      <c r="EJ984" s="323">
        <v>0</v>
      </c>
      <c r="EK984" s="323">
        <v>0</v>
      </c>
      <c r="EL984" s="325">
        <v>0</v>
      </c>
      <c r="EM984" s="323">
        <v>0</v>
      </c>
      <c r="EN984" s="323">
        <v>0</v>
      </c>
      <c r="EO984" s="323">
        <v>0</v>
      </c>
      <c r="EP984" s="323">
        <v>0</v>
      </c>
      <c r="EQ984" s="323">
        <v>0</v>
      </c>
      <c r="ER984" s="323">
        <v>0</v>
      </c>
      <c r="ES984" s="323">
        <v>0</v>
      </c>
      <c r="ET984" s="323">
        <v>0</v>
      </c>
      <c r="EU984" s="323">
        <v>0</v>
      </c>
      <c r="EV984" s="323">
        <v>0</v>
      </c>
      <c r="EW984" s="323">
        <v>0</v>
      </c>
      <c r="EX984" s="325">
        <v>0</v>
      </c>
      <c r="EY984" s="323">
        <v>0</v>
      </c>
      <c r="EZ984" s="323">
        <v>0</v>
      </c>
      <c r="FA984" s="323">
        <v>0</v>
      </c>
      <c r="FB984" s="323">
        <v>0</v>
      </c>
      <c r="FC984" s="323">
        <v>0</v>
      </c>
      <c r="FD984" s="323"/>
      <c r="FE984" s="323"/>
      <c r="FF984" s="323"/>
      <c r="FG984" s="323"/>
      <c r="FH984" s="323"/>
      <c r="FI984" s="323"/>
      <c r="FJ984" s="325"/>
      <c r="FK984" s="323">
        <v>0</v>
      </c>
      <c r="FL984" s="323">
        <v>0</v>
      </c>
      <c r="FM984" s="323">
        <v>0</v>
      </c>
      <c r="FN984" s="323">
        <v>0</v>
      </c>
      <c r="FO984" s="323">
        <v>0</v>
      </c>
      <c r="FP984" s="323">
        <v>0</v>
      </c>
      <c r="FQ984" s="323">
        <v>0</v>
      </c>
      <c r="FR984" s="323">
        <v>0</v>
      </c>
      <c r="FS984" s="323">
        <v>0</v>
      </c>
      <c r="FT984" s="323">
        <v>0</v>
      </c>
      <c r="FU984" s="323">
        <v>0</v>
      </c>
      <c r="FV984" s="323">
        <v>0</v>
      </c>
      <c r="FW984" s="323">
        <v>0</v>
      </c>
      <c r="FX984" s="323">
        <v>0</v>
      </c>
      <c r="FY984" s="323">
        <v>0</v>
      </c>
      <c r="FZ984" s="323">
        <v>0</v>
      </c>
      <c r="GA984" s="323">
        <v>0</v>
      </c>
      <c r="GB984" s="323">
        <v>0</v>
      </c>
      <c r="GC984" s="323">
        <v>0</v>
      </c>
      <c r="GD984" s="323">
        <v>0</v>
      </c>
      <c r="GE984" s="323">
        <v>0</v>
      </c>
      <c r="GF984" s="323">
        <v>0</v>
      </c>
      <c r="GG984" s="323">
        <v>0</v>
      </c>
      <c r="GH984" s="323">
        <v>0</v>
      </c>
      <c r="GI984" s="1654"/>
      <c r="HZ984" s="326"/>
      <c r="IA984" s="1420" t="s">
        <v>3065</v>
      </c>
      <c r="IB984" s="284"/>
      <c r="ID984" s="323"/>
      <c r="IG984" s="323"/>
      <c r="IH984" s="284"/>
      <c r="IJ984" s="323"/>
      <c r="IK984" s="327"/>
      <c r="IM984" s="323"/>
      <c r="IP984" s="323"/>
      <c r="IQ984" s="327"/>
      <c r="IR984" s="327"/>
      <c r="IS984" s="323"/>
      <c r="IT984" s="327"/>
      <c r="IU984" s="327"/>
      <c r="IV984" s="323"/>
      <c r="IW984" s="327">
        <f>SUM(FK984:FP984)</f>
        <v>0</v>
      </c>
      <c r="IX984" s="327">
        <f t="shared" si="1963"/>
        <v>0</v>
      </c>
      <c r="IY984" s="323">
        <f t="shared" si="2005"/>
        <v>0</v>
      </c>
      <c r="IZ984" s="327">
        <f t="shared" si="2018"/>
        <v>0</v>
      </c>
      <c r="JA984" s="327">
        <f t="shared" si="2019"/>
        <v>0</v>
      </c>
      <c r="JB984" s="323">
        <f t="shared" si="2036"/>
        <v>0</v>
      </c>
      <c r="JC984" s="327">
        <f t="shared" si="2020"/>
        <v>0</v>
      </c>
      <c r="JD984" s="327">
        <f t="shared" si="2021"/>
        <v>0</v>
      </c>
      <c r="JE984" s="323">
        <f t="shared" si="1945"/>
        <v>0</v>
      </c>
      <c r="JF984" s="327">
        <f t="shared" si="1964"/>
        <v>0</v>
      </c>
      <c r="JG984" s="327">
        <f t="shared" si="1965"/>
        <v>0</v>
      </c>
      <c r="JH984" s="323">
        <f t="shared" si="1944"/>
        <v>0</v>
      </c>
      <c r="JI984" s="327">
        <f t="shared" si="1993"/>
        <v>0</v>
      </c>
      <c r="JJ984" s="327">
        <f t="shared" si="2035"/>
        <v>0</v>
      </c>
      <c r="JK984" s="323">
        <f t="shared" si="1933"/>
        <v>0</v>
      </c>
      <c r="JL984" s="327">
        <f t="shared" si="1946"/>
        <v>0</v>
      </c>
      <c r="JM984" s="279">
        <f t="shared" si="2008"/>
        <v>0</v>
      </c>
      <c r="JN984" s="323">
        <f>FISC!AK1310</f>
        <v>0</v>
      </c>
      <c r="JO984" s="327">
        <f>JQ984*0.48</f>
        <v>0</v>
      </c>
      <c r="JP984" s="279">
        <f t="shared" si="2009"/>
        <v>0</v>
      </c>
      <c r="JQ984" s="323">
        <f>FISC!AL1310</f>
        <v>0</v>
      </c>
      <c r="JR984" s="327">
        <f>JT984*0.48</f>
        <v>0</v>
      </c>
      <c r="JS984" s="279">
        <f t="shared" si="2010"/>
        <v>0</v>
      </c>
      <c r="JT984" s="323">
        <f>FISC!AM1310</f>
        <v>0</v>
      </c>
      <c r="JU984" s="327">
        <f>JW984*0.48</f>
        <v>0</v>
      </c>
      <c r="JV984" s="279">
        <f t="shared" si="2011"/>
        <v>0</v>
      </c>
      <c r="JW984" s="323">
        <f>FISC!AN1310</f>
        <v>0</v>
      </c>
      <c r="JX984" s="327">
        <f>JZ984*0.48</f>
        <v>0</v>
      </c>
      <c r="JY984" s="279">
        <f t="shared" si="2012"/>
        <v>0</v>
      </c>
      <c r="JZ984" s="323">
        <f>FISC!AO1310</f>
        <v>0</v>
      </c>
      <c r="KA984" s="327">
        <f>KC984*0.48</f>
        <v>0</v>
      </c>
      <c r="KB984" s="279">
        <f t="shared" si="2030"/>
        <v>0</v>
      </c>
      <c r="KC984" s="323">
        <f>FISC!AP1310</f>
        <v>0</v>
      </c>
      <c r="KD984" s="327">
        <f>KF984*0.48</f>
        <v>0</v>
      </c>
      <c r="KE984" s="279">
        <f t="shared" si="2031"/>
        <v>0</v>
      </c>
      <c r="KF984" s="323">
        <f>FISC!AQ1310</f>
        <v>0</v>
      </c>
      <c r="KG984" s="327">
        <f>KI984*0.48</f>
        <v>0</v>
      </c>
      <c r="KH984" s="279">
        <f t="shared" si="2032"/>
        <v>0</v>
      </c>
      <c r="KI984" s="323">
        <f>FISC!AR1310</f>
        <v>0</v>
      </c>
      <c r="KJ984" s="327">
        <f>KL984*0.48</f>
        <v>0</v>
      </c>
      <c r="KK984" s="279">
        <f t="shared" si="2033"/>
        <v>0</v>
      </c>
      <c r="KL984" s="323">
        <f>FISC!AS1310</f>
        <v>0</v>
      </c>
      <c r="KM984" s="327">
        <f>KO984*0.48</f>
        <v>0</v>
      </c>
      <c r="KN984" s="279">
        <f t="shared" si="2034"/>
        <v>0</v>
      </c>
      <c r="KO984" s="323">
        <f>FISC!AT1310</f>
        <v>0</v>
      </c>
      <c r="KU984" s="326"/>
      <c r="KV984" s="327"/>
    </row>
    <row r="985" spans="1:314">
      <c r="A985" s="279"/>
      <c r="B985" s="96" t="s">
        <v>338</v>
      </c>
      <c r="D985" s="333" t="s">
        <v>569</v>
      </c>
      <c r="E985" s="323"/>
      <c r="F985" s="323"/>
      <c r="G985" s="323"/>
      <c r="H985" s="323"/>
      <c r="I985" s="323"/>
      <c r="J985" s="323"/>
      <c r="K985" s="323"/>
      <c r="L985" s="323"/>
      <c r="M985" s="323"/>
      <c r="N985" s="323"/>
      <c r="O985" s="323"/>
      <c r="P985" s="323"/>
      <c r="Q985" s="323"/>
      <c r="R985" s="323"/>
      <c r="S985" s="323"/>
      <c r="T985" s="323"/>
      <c r="U985" s="323"/>
      <c r="V985" s="323"/>
      <c r="W985" s="323"/>
      <c r="X985" s="323"/>
      <c r="Y985" s="323"/>
      <c r="Z985" s="323"/>
      <c r="AA985" s="323"/>
      <c r="AB985" s="323"/>
      <c r="AC985" s="323"/>
      <c r="AD985" s="323"/>
      <c r="AE985" s="323"/>
      <c r="AF985" s="323"/>
      <c r="AG985" s="323"/>
      <c r="AH985" s="323"/>
      <c r="AI985" s="323"/>
      <c r="AJ985" s="323"/>
      <c r="AK985" s="323"/>
      <c r="AL985" s="323"/>
      <c r="AM985" s="323"/>
      <c r="AN985" s="323"/>
      <c r="AO985" s="323"/>
      <c r="AP985" s="323"/>
      <c r="AQ985" s="323"/>
      <c r="AR985" s="323"/>
      <c r="AS985" s="323"/>
      <c r="AT985" s="323"/>
      <c r="AU985" s="323"/>
      <c r="AV985" s="323"/>
      <c r="AW985" s="323"/>
      <c r="AX985" s="323"/>
      <c r="AY985" s="323"/>
      <c r="AZ985" s="323"/>
      <c r="BA985" s="323"/>
      <c r="BB985" s="323"/>
      <c r="BC985" s="323"/>
      <c r="BD985" s="323"/>
      <c r="BE985" s="323"/>
      <c r="BF985" s="323"/>
      <c r="BG985" s="323"/>
      <c r="BH985" s="323"/>
      <c r="BI985" s="323"/>
      <c r="BJ985" s="323"/>
      <c r="BK985" s="323"/>
      <c r="BL985" s="323"/>
      <c r="BM985" s="323"/>
      <c r="BN985" s="323"/>
      <c r="BO985" s="323"/>
      <c r="BP985" s="323"/>
      <c r="BQ985" s="323"/>
      <c r="BR985" s="323"/>
      <c r="BS985" s="323"/>
      <c r="BT985" s="323"/>
      <c r="BU985" s="323"/>
      <c r="BV985" s="323"/>
      <c r="BW985" s="323"/>
      <c r="BX985" s="323"/>
      <c r="BY985" s="323"/>
      <c r="BZ985" s="323"/>
      <c r="CA985" s="323"/>
      <c r="CB985" s="323"/>
      <c r="CC985" s="323"/>
      <c r="CD985" s="329"/>
      <c r="CE985" s="323">
        <v>0</v>
      </c>
      <c r="CF985" s="323">
        <v>0</v>
      </c>
      <c r="CG985" s="323">
        <v>0</v>
      </c>
      <c r="CH985" s="323">
        <v>0</v>
      </c>
      <c r="CI985" s="323">
        <v>0</v>
      </c>
      <c r="CJ985" s="323">
        <v>0</v>
      </c>
      <c r="CK985" s="323">
        <v>0</v>
      </c>
      <c r="CL985" s="323">
        <v>0</v>
      </c>
      <c r="CM985" s="323">
        <v>0</v>
      </c>
      <c r="CN985" s="323">
        <v>0</v>
      </c>
      <c r="CO985" s="323">
        <v>0</v>
      </c>
      <c r="CP985" s="325">
        <v>0</v>
      </c>
      <c r="CQ985" s="323">
        <v>0</v>
      </c>
      <c r="CR985" s="323">
        <v>0</v>
      </c>
      <c r="CS985" s="323">
        <v>0</v>
      </c>
      <c r="CT985" s="323">
        <v>0</v>
      </c>
      <c r="CU985" s="323">
        <v>0</v>
      </c>
      <c r="CV985" s="323">
        <v>0</v>
      </c>
      <c r="CW985" s="323">
        <v>0</v>
      </c>
      <c r="CX985" s="323">
        <v>0</v>
      </c>
      <c r="CY985" s="323">
        <v>0</v>
      </c>
      <c r="CZ985" s="323">
        <v>0</v>
      </c>
      <c r="DA985" s="323">
        <v>0</v>
      </c>
      <c r="DB985" s="1269">
        <v>0</v>
      </c>
      <c r="DC985" s="323">
        <v>0</v>
      </c>
      <c r="DD985" s="323">
        <v>0</v>
      </c>
      <c r="DE985" s="323">
        <v>0</v>
      </c>
      <c r="DF985" s="323">
        <v>0</v>
      </c>
      <c r="DG985" s="323">
        <v>0</v>
      </c>
      <c r="DH985" s="323">
        <v>0</v>
      </c>
      <c r="DI985" s="323">
        <v>0</v>
      </c>
      <c r="DJ985" s="323">
        <v>0</v>
      </c>
      <c r="DK985" s="323">
        <v>0</v>
      </c>
      <c r="DL985" s="323">
        <v>0</v>
      </c>
      <c r="DM985" s="323">
        <v>0</v>
      </c>
      <c r="DN985" s="325">
        <v>0</v>
      </c>
      <c r="DO985" s="323">
        <v>0</v>
      </c>
      <c r="DP985" s="323">
        <v>0</v>
      </c>
      <c r="DQ985" s="323">
        <v>0</v>
      </c>
      <c r="DR985" s="323">
        <v>0</v>
      </c>
      <c r="DS985" s="323">
        <v>0</v>
      </c>
      <c r="DT985" s="323">
        <v>0</v>
      </c>
      <c r="DU985" s="323">
        <v>0</v>
      </c>
      <c r="DV985" s="323">
        <v>0</v>
      </c>
      <c r="DW985" s="323">
        <v>0</v>
      </c>
      <c r="DX985" s="323">
        <v>0</v>
      </c>
      <c r="DY985" s="323">
        <v>0</v>
      </c>
      <c r="DZ985" s="325">
        <v>0</v>
      </c>
      <c r="EA985" s="323">
        <v>0</v>
      </c>
      <c r="EB985" s="323">
        <v>0</v>
      </c>
      <c r="EC985" s="323">
        <v>0</v>
      </c>
      <c r="ED985" s="323">
        <v>0</v>
      </c>
      <c r="EE985" s="323">
        <v>0</v>
      </c>
      <c r="EF985" s="323">
        <v>0</v>
      </c>
      <c r="EG985" s="323">
        <v>0</v>
      </c>
      <c r="EH985" s="323">
        <v>0</v>
      </c>
      <c r="EI985" s="323">
        <v>0</v>
      </c>
      <c r="EJ985" s="323">
        <v>0</v>
      </c>
      <c r="EK985" s="323">
        <v>0</v>
      </c>
      <c r="EL985" s="325">
        <v>0</v>
      </c>
      <c r="EM985" s="323">
        <v>0</v>
      </c>
      <c r="EN985" s="323">
        <v>0</v>
      </c>
      <c r="EO985" s="323">
        <v>0</v>
      </c>
      <c r="EP985" s="323">
        <v>0</v>
      </c>
      <c r="EQ985" s="323">
        <v>0</v>
      </c>
      <c r="ER985" s="323">
        <v>0</v>
      </c>
      <c r="ES985" s="323">
        <v>0</v>
      </c>
      <c r="ET985" s="323">
        <v>0</v>
      </c>
      <c r="EU985" s="323">
        <v>0</v>
      </c>
      <c r="EV985" s="323">
        <v>0</v>
      </c>
      <c r="EW985" s="323">
        <v>0</v>
      </c>
      <c r="EX985" s="325">
        <v>0</v>
      </c>
      <c r="EY985" s="323">
        <v>0</v>
      </c>
      <c r="EZ985" s="323">
        <v>0</v>
      </c>
      <c r="FA985" s="323">
        <v>0</v>
      </c>
      <c r="FB985" s="323">
        <v>0</v>
      </c>
      <c r="FC985" s="323">
        <v>0</v>
      </c>
      <c r="FD985" s="323">
        <v>0</v>
      </c>
      <c r="FE985" s="323">
        <v>0</v>
      </c>
      <c r="FF985" s="323">
        <v>0</v>
      </c>
      <c r="FG985" s="323">
        <v>0</v>
      </c>
      <c r="FH985" s="323">
        <v>0</v>
      </c>
      <c r="FI985" s="323">
        <v>0</v>
      </c>
      <c r="FJ985" s="325">
        <v>0</v>
      </c>
      <c r="FK985" s="323">
        <v>0</v>
      </c>
      <c r="FL985" s="323">
        <v>0</v>
      </c>
      <c r="FM985" s="323">
        <v>0</v>
      </c>
      <c r="FN985" s="323">
        <v>0</v>
      </c>
      <c r="FO985" s="323">
        <v>0</v>
      </c>
      <c r="FP985" s="323">
        <v>0</v>
      </c>
      <c r="FQ985" s="323">
        <v>0</v>
      </c>
      <c r="FR985" s="323">
        <v>0</v>
      </c>
      <c r="FS985" s="323">
        <v>0</v>
      </c>
      <c r="FT985" s="323">
        <v>0</v>
      </c>
      <c r="FU985" s="323">
        <v>0</v>
      </c>
      <c r="FV985" s="323">
        <v>0</v>
      </c>
      <c r="FW985" s="323">
        <v>0</v>
      </c>
      <c r="FX985" s="323">
        <v>0</v>
      </c>
      <c r="FY985" s="323">
        <v>0</v>
      </c>
      <c r="FZ985" s="323">
        <v>0</v>
      </c>
      <c r="GA985" s="323">
        <v>0</v>
      </c>
      <c r="GB985" s="323">
        <v>0</v>
      </c>
      <c r="GC985" s="323">
        <v>0</v>
      </c>
      <c r="GD985" s="323">
        <v>0</v>
      </c>
      <c r="GE985" s="323">
        <v>0</v>
      </c>
      <c r="GF985" s="323">
        <v>153.84836347500001</v>
      </c>
      <c r="GG985" s="323">
        <v>0</v>
      </c>
      <c r="GH985" s="323">
        <v>0</v>
      </c>
      <c r="GI985" s="1654">
        <f t="shared" ref="GI985:HX985" si="2038">GI986</f>
        <v>0</v>
      </c>
      <c r="GJ985" s="1654">
        <f t="shared" si="2038"/>
        <v>0</v>
      </c>
      <c r="GK985" s="1654">
        <f t="shared" si="2038"/>
        <v>0</v>
      </c>
      <c r="GL985" s="1654">
        <f t="shared" si="2038"/>
        <v>0</v>
      </c>
      <c r="GM985" s="1654">
        <f t="shared" si="2038"/>
        <v>0</v>
      </c>
      <c r="GN985" s="1654">
        <f t="shared" si="2038"/>
        <v>0</v>
      </c>
      <c r="GO985" s="1654">
        <f t="shared" si="2038"/>
        <v>0</v>
      </c>
      <c r="GP985" s="1654">
        <f t="shared" si="2038"/>
        <v>0</v>
      </c>
      <c r="GQ985" s="1654">
        <f t="shared" si="2038"/>
        <v>0</v>
      </c>
      <c r="GR985" s="1654">
        <f>GR986</f>
        <v>-68.114324774020005</v>
      </c>
      <c r="GS985" s="1654">
        <f t="shared" si="2038"/>
        <v>0</v>
      </c>
      <c r="GT985" s="1654">
        <f t="shared" si="2038"/>
        <v>0</v>
      </c>
      <c r="GU985" s="1654">
        <f t="shared" si="2038"/>
        <v>0</v>
      </c>
      <c r="GV985" s="1654">
        <f t="shared" si="2038"/>
        <v>0</v>
      </c>
      <c r="GW985" s="1654">
        <f t="shared" si="2038"/>
        <v>0</v>
      </c>
      <c r="GX985" s="1654">
        <f t="shared" si="2038"/>
        <v>0</v>
      </c>
      <c r="GY985" s="1654">
        <f t="shared" si="2038"/>
        <v>0</v>
      </c>
      <c r="GZ985" s="1654">
        <f t="shared" si="2038"/>
        <v>0</v>
      </c>
      <c r="HA985" s="1654">
        <f t="shared" si="2038"/>
        <v>0</v>
      </c>
      <c r="HB985" s="1654">
        <f t="shared" si="2038"/>
        <v>0</v>
      </c>
      <c r="HC985" s="1654">
        <f t="shared" si="2038"/>
        <v>0</v>
      </c>
      <c r="HD985" s="1654">
        <f t="shared" si="2038"/>
        <v>0</v>
      </c>
      <c r="HE985" s="1654">
        <f t="shared" si="2038"/>
        <v>0</v>
      </c>
      <c r="HF985" s="1654">
        <f t="shared" si="2038"/>
        <v>0</v>
      </c>
      <c r="HG985" s="1654">
        <f t="shared" si="2038"/>
        <v>0</v>
      </c>
      <c r="HH985" s="1654">
        <f t="shared" si="2038"/>
        <v>0</v>
      </c>
      <c r="HI985" s="1654">
        <f t="shared" si="2038"/>
        <v>0</v>
      </c>
      <c r="HJ985" s="1654">
        <f t="shared" si="2038"/>
        <v>0</v>
      </c>
      <c r="HK985" s="1654">
        <f t="shared" si="2038"/>
        <v>0</v>
      </c>
      <c r="HL985" s="1654">
        <f t="shared" si="2038"/>
        <v>0</v>
      </c>
      <c r="HM985" s="1654">
        <f t="shared" si="2038"/>
        <v>0</v>
      </c>
      <c r="HN985" s="1654">
        <f t="shared" si="2038"/>
        <v>0</v>
      </c>
      <c r="HO985" s="1654">
        <f t="shared" si="2038"/>
        <v>0</v>
      </c>
      <c r="HP985" s="1654">
        <f t="shared" si="2038"/>
        <v>0</v>
      </c>
      <c r="HQ985" s="1654">
        <f t="shared" si="2038"/>
        <v>0</v>
      </c>
      <c r="HR985" s="1654">
        <f t="shared" si="2038"/>
        <v>0</v>
      </c>
      <c r="HS985" s="1654">
        <f t="shared" si="2038"/>
        <v>0</v>
      </c>
      <c r="HT985" s="1654">
        <f t="shared" si="2038"/>
        <v>0</v>
      </c>
      <c r="HU985" s="1654">
        <f t="shared" si="2038"/>
        <v>0</v>
      </c>
      <c r="HV985" s="1654">
        <f t="shared" si="2038"/>
        <v>0</v>
      </c>
      <c r="HW985" s="1654">
        <f t="shared" si="2038"/>
        <v>0</v>
      </c>
      <c r="HX985" s="1654">
        <f t="shared" si="2038"/>
        <v>0</v>
      </c>
      <c r="HY985" s="1654"/>
      <c r="HZ985" s="326"/>
      <c r="IA985" s="333" t="s">
        <v>569</v>
      </c>
      <c r="IB985" s="284">
        <f>SUM(CE985:CJ985)</f>
        <v>0</v>
      </c>
      <c r="IC985" s="279">
        <f>SUM(CK985:CP985)</f>
        <v>0</v>
      </c>
      <c r="ID985" s="323">
        <f>IB985+IC985</f>
        <v>0</v>
      </c>
      <c r="IE985" s="279">
        <f>SUM(CQ985:CV985)</f>
        <v>0</v>
      </c>
      <c r="IF985" s="279">
        <f>SUM(CW985:DB985)</f>
        <v>0</v>
      </c>
      <c r="IG985" s="323">
        <f>IE985+IF985</f>
        <v>0</v>
      </c>
      <c r="IH985" s="284">
        <f>SUM(DC985:DH985)</f>
        <v>0</v>
      </c>
      <c r="II985" s="279">
        <f>SUM(DI985:DN985)</f>
        <v>0</v>
      </c>
      <c r="IJ985" s="323">
        <f>IH985+II985</f>
        <v>0</v>
      </c>
      <c r="IK985" s="327">
        <f>SUM(DO985:DT985)</f>
        <v>0</v>
      </c>
      <c r="IL985" s="279">
        <f>SUM(DU985:DZ985)</f>
        <v>0</v>
      </c>
      <c r="IM985" s="323">
        <f>IK985+IL985</f>
        <v>0</v>
      </c>
      <c r="IN985" s="279">
        <f>SUM(EA985:EF985)</f>
        <v>0</v>
      </c>
      <c r="IO985" s="279">
        <f>SUM(EG985:EL985)</f>
        <v>0</v>
      </c>
      <c r="IP985" s="323">
        <f>IN985+IO985</f>
        <v>0</v>
      </c>
      <c r="IQ985" s="327">
        <f>SUM(EM985:ER985)</f>
        <v>0</v>
      </c>
      <c r="IR985" s="327">
        <f>SUM(ES985:EX985)</f>
        <v>0</v>
      </c>
      <c r="IS985" s="323">
        <f>IQ985+IR985</f>
        <v>0</v>
      </c>
      <c r="IT985" s="327">
        <f>SUM(EY985:FD985)</f>
        <v>0</v>
      </c>
      <c r="IU985" s="327">
        <f>SUM(FE985:FJ985)</f>
        <v>0</v>
      </c>
      <c r="IV985" s="323">
        <f>IT985+IU985</f>
        <v>0</v>
      </c>
      <c r="IW985" s="327">
        <f>SUM(FK985:FP985)</f>
        <v>0</v>
      </c>
      <c r="IX985" s="327">
        <f t="shared" si="1963"/>
        <v>0</v>
      </c>
      <c r="IY985" s="323">
        <f t="shared" si="2005"/>
        <v>0</v>
      </c>
      <c r="IZ985" s="327">
        <f t="shared" si="2018"/>
        <v>0</v>
      </c>
      <c r="JA985" s="327">
        <f t="shared" si="2019"/>
        <v>153.84836347500001</v>
      </c>
      <c r="JB985" s="323">
        <f t="shared" si="2036"/>
        <v>153.84836347500001</v>
      </c>
      <c r="JC985" s="327">
        <f t="shared" si="2020"/>
        <v>0</v>
      </c>
      <c r="JD985" s="327">
        <f t="shared" si="2021"/>
        <v>-68.114324774020005</v>
      </c>
      <c r="JE985" s="323">
        <f t="shared" si="1945"/>
        <v>-68.114324774020005</v>
      </c>
      <c r="JF985" s="327">
        <v>0</v>
      </c>
      <c r="JG985" s="327">
        <f t="shared" si="1965"/>
        <v>0</v>
      </c>
      <c r="JH985" s="323">
        <f t="shared" si="1944"/>
        <v>0</v>
      </c>
      <c r="JI985" s="327">
        <f t="shared" si="1993"/>
        <v>0</v>
      </c>
      <c r="JJ985" s="1404">
        <f t="shared" si="2035"/>
        <v>0</v>
      </c>
      <c r="JK985" s="323">
        <f t="shared" si="1933"/>
        <v>0</v>
      </c>
      <c r="JL985" s="1404">
        <f t="shared" si="1946"/>
        <v>0</v>
      </c>
      <c r="JM985" s="1404">
        <v>0</v>
      </c>
      <c r="JN985" s="323">
        <f>FISC!AK1311</f>
        <v>0</v>
      </c>
      <c r="JO985" s="1404">
        <v>0</v>
      </c>
      <c r="JP985" s="1404">
        <v>0</v>
      </c>
      <c r="JQ985" s="323">
        <f>FISC!AL1311</f>
        <v>0</v>
      </c>
      <c r="JR985" s="1404">
        <v>0</v>
      </c>
      <c r="JS985" s="1404">
        <v>0</v>
      </c>
      <c r="JT985" s="323">
        <f>FISC!AM1311</f>
        <v>0</v>
      </c>
      <c r="JU985" s="1404">
        <v>0</v>
      </c>
      <c r="JV985" s="1404">
        <v>0</v>
      </c>
      <c r="JW985" s="323">
        <f>FISC!AN1311</f>
        <v>0</v>
      </c>
      <c r="JX985" s="1404">
        <v>0</v>
      </c>
      <c r="JY985" s="1404">
        <v>0</v>
      </c>
      <c r="JZ985" s="323">
        <f>FISC!AO1311</f>
        <v>0</v>
      </c>
      <c r="KA985" s="1404">
        <v>0</v>
      </c>
      <c r="KB985" s="1404">
        <v>0</v>
      </c>
      <c r="KC985" s="323">
        <f>FISC!AP1311</f>
        <v>0</v>
      </c>
      <c r="KD985" s="1404">
        <v>0</v>
      </c>
      <c r="KE985" s="1404">
        <v>0</v>
      </c>
      <c r="KF985" s="323">
        <f>FISC!AQ1311</f>
        <v>0</v>
      </c>
      <c r="KG985" s="1404">
        <v>0</v>
      </c>
      <c r="KH985" s="1404">
        <v>0</v>
      </c>
      <c r="KI985" s="323">
        <f>FISC!AR1311</f>
        <v>0</v>
      </c>
      <c r="KJ985" s="1404">
        <v>0</v>
      </c>
      <c r="KK985" s="1404">
        <v>0</v>
      </c>
      <c r="KL985" s="323">
        <f>FISC!AS1311</f>
        <v>0</v>
      </c>
      <c r="KM985" s="1404">
        <v>0</v>
      </c>
      <c r="KN985" s="1404">
        <v>0</v>
      </c>
      <c r="KO985" s="323">
        <f>FISC!AT1311</f>
        <v>0</v>
      </c>
      <c r="KU985" s="326"/>
      <c r="KV985" s="327"/>
    </row>
    <row r="986" spans="1:314">
      <c r="A986" s="279"/>
      <c r="D986" s="1573" t="s">
        <v>3217</v>
      </c>
      <c r="E986" s="323"/>
      <c r="F986" s="323"/>
      <c r="G986" s="323"/>
      <c r="H986" s="323"/>
      <c r="I986" s="323"/>
      <c r="J986" s="323"/>
      <c r="K986" s="323"/>
      <c r="L986" s="323"/>
      <c r="M986" s="323"/>
      <c r="N986" s="323"/>
      <c r="O986" s="323"/>
      <c r="P986" s="323"/>
      <c r="Q986" s="323"/>
      <c r="R986" s="323"/>
      <c r="S986" s="323"/>
      <c r="T986" s="323"/>
      <c r="U986" s="323"/>
      <c r="V986" s="323"/>
      <c r="W986" s="323"/>
      <c r="X986" s="323"/>
      <c r="Y986" s="323"/>
      <c r="Z986" s="323"/>
      <c r="AA986" s="323"/>
      <c r="AB986" s="323"/>
      <c r="AC986" s="323"/>
      <c r="AD986" s="323"/>
      <c r="AE986" s="323"/>
      <c r="AF986" s="323"/>
      <c r="AG986" s="323"/>
      <c r="AH986" s="323"/>
      <c r="AI986" s="323"/>
      <c r="AJ986" s="323"/>
      <c r="AK986" s="323"/>
      <c r="AL986" s="323"/>
      <c r="AM986" s="323"/>
      <c r="AN986" s="323"/>
      <c r="AO986" s="323"/>
      <c r="AP986" s="323"/>
      <c r="AQ986" s="323"/>
      <c r="AR986" s="323"/>
      <c r="AS986" s="323"/>
      <c r="AT986" s="323"/>
      <c r="AU986" s="323"/>
      <c r="AV986" s="323"/>
      <c r="AW986" s="323"/>
      <c r="AX986" s="323"/>
      <c r="AY986" s="323"/>
      <c r="AZ986" s="323"/>
      <c r="BA986" s="323"/>
      <c r="BB986" s="323"/>
      <c r="BC986" s="323"/>
      <c r="BD986" s="323"/>
      <c r="BE986" s="323"/>
      <c r="BF986" s="323"/>
      <c r="BG986" s="323"/>
      <c r="BH986" s="323"/>
      <c r="BI986" s="323"/>
      <c r="BJ986" s="323"/>
      <c r="BK986" s="323"/>
      <c r="BL986" s="323"/>
      <c r="BM986" s="323"/>
      <c r="BN986" s="323"/>
      <c r="BO986" s="323"/>
      <c r="BP986" s="323"/>
      <c r="BQ986" s="323"/>
      <c r="BR986" s="323"/>
      <c r="BS986" s="323"/>
      <c r="BT986" s="323"/>
      <c r="BU986" s="323"/>
      <c r="BV986" s="323"/>
      <c r="BW986" s="323"/>
      <c r="BX986" s="323"/>
      <c r="BY986" s="323"/>
      <c r="BZ986" s="323"/>
      <c r="CA986" s="323"/>
      <c r="CB986" s="323"/>
      <c r="CC986" s="323"/>
      <c r="CD986" s="329"/>
      <c r="CE986" s="323"/>
      <c r="CF986" s="323"/>
      <c r="CG986" s="323"/>
      <c r="CH986" s="323"/>
      <c r="CI986" s="323"/>
      <c r="CJ986" s="323"/>
      <c r="CK986" s="323"/>
      <c r="CL986" s="323"/>
      <c r="CM986" s="323"/>
      <c r="CN986" s="323"/>
      <c r="CO986" s="323"/>
      <c r="CP986" s="325"/>
      <c r="CQ986" s="323"/>
      <c r="CR986" s="323"/>
      <c r="CS986" s="323"/>
      <c r="CT986" s="323"/>
      <c r="CU986" s="323"/>
      <c r="CV986" s="323"/>
      <c r="CW986" s="323"/>
      <c r="CX986" s="323"/>
      <c r="CY986" s="323"/>
      <c r="CZ986" s="323"/>
      <c r="DA986" s="323"/>
      <c r="DB986" s="1269"/>
      <c r="DC986" s="323"/>
      <c r="DD986" s="323"/>
      <c r="DE986" s="323"/>
      <c r="DF986" s="323"/>
      <c r="DG986" s="323"/>
      <c r="DH986" s="323"/>
      <c r="DI986" s="323"/>
      <c r="DJ986" s="323"/>
      <c r="DK986" s="323"/>
      <c r="DL986" s="323"/>
      <c r="DM986" s="323"/>
      <c r="DN986" s="325"/>
      <c r="DO986" s="323"/>
      <c r="DP986" s="323"/>
      <c r="DQ986" s="323"/>
      <c r="DR986" s="323"/>
      <c r="DS986" s="323"/>
      <c r="DT986" s="323"/>
      <c r="DU986" s="323"/>
      <c r="DV986" s="323"/>
      <c r="DW986" s="323"/>
      <c r="DX986" s="323"/>
      <c r="DY986" s="323"/>
      <c r="DZ986" s="325"/>
      <c r="EA986" s="323"/>
      <c r="EB986" s="323"/>
      <c r="EC986" s="323"/>
      <c r="ED986" s="323"/>
      <c r="EE986" s="323"/>
      <c r="EF986" s="323"/>
      <c r="EG986" s="323"/>
      <c r="EH986" s="323"/>
      <c r="EI986" s="323"/>
      <c r="EJ986" s="323"/>
      <c r="EK986" s="323"/>
      <c r="EL986" s="325"/>
      <c r="EM986" s="323"/>
      <c r="EN986" s="323"/>
      <c r="EO986" s="323"/>
      <c r="EP986" s="323"/>
      <c r="EQ986" s="323"/>
      <c r="ER986" s="323"/>
      <c r="ES986" s="323"/>
      <c r="ET986" s="323"/>
      <c r="EU986" s="323"/>
      <c r="EV986" s="323"/>
      <c r="EW986" s="323"/>
      <c r="EX986" s="325"/>
      <c r="EY986" s="323"/>
      <c r="EZ986" s="323"/>
      <c r="FA986" s="323"/>
      <c r="FB986" s="323"/>
      <c r="FC986" s="323"/>
      <c r="FD986" s="323"/>
      <c r="FE986" s="323"/>
      <c r="FF986" s="323"/>
      <c r="FG986" s="323"/>
      <c r="FH986" s="323"/>
      <c r="FI986" s="323"/>
      <c r="FJ986" s="325"/>
      <c r="FK986" s="323"/>
      <c r="FL986" s="323"/>
      <c r="FM986" s="323"/>
      <c r="FN986" s="323"/>
      <c r="FO986" s="323"/>
      <c r="FP986" s="323"/>
      <c r="FQ986" s="323"/>
      <c r="FR986" s="323"/>
      <c r="FS986" s="323"/>
      <c r="FT986" s="323"/>
      <c r="FU986" s="323"/>
      <c r="FV986" s="323"/>
      <c r="FW986" s="323"/>
      <c r="FX986" s="323"/>
      <c r="FY986" s="323"/>
      <c r="FZ986" s="323"/>
      <c r="GA986" s="323"/>
      <c r="GB986" s="323"/>
      <c r="GC986" s="323"/>
      <c r="GD986" s="323"/>
      <c r="GE986" s="323"/>
      <c r="GF986" s="323"/>
      <c r="GG986" s="323"/>
      <c r="GH986" s="323"/>
      <c r="GI986" s="1654">
        <v>0</v>
      </c>
      <c r="GJ986" s="1654">
        <v>0</v>
      </c>
      <c r="GK986" s="1654">
        <v>0</v>
      </c>
      <c r="GL986" s="1654">
        <v>0</v>
      </c>
      <c r="GM986" s="1654">
        <v>0</v>
      </c>
      <c r="GN986" s="1654">
        <v>0</v>
      </c>
      <c r="GO986" s="1654">
        <v>0</v>
      </c>
      <c r="GP986" s="1654">
        <v>0</v>
      </c>
      <c r="GQ986" s="1654">
        <v>0</v>
      </c>
      <c r="GR986" s="1654">
        <f>-GR1026</f>
        <v>-68.114324774020005</v>
      </c>
      <c r="GS986" s="1654">
        <v>0</v>
      </c>
      <c r="GT986" s="355">
        <v>0</v>
      </c>
      <c r="GU986" s="355">
        <v>0</v>
      </c>
      <c r="GV986" s="355">
        <v>0</v>
      </c>
      <c r="GW986" s="355">
        <v>0</v>
      </c>
      <c r="GX986" s="355">
        <v>0</v>
      </c>
      <c r="GY986" s="355">
        <v>0</v>
      </c>
      <c r="GZ986" s="355">
        <v>0</v>
      </c>
      <c r="HA986" s="355">
        <v>0</v>
      </c>
      <c r="HB986" s="355">
        <v>0</v>
      </c>
      <c r="HC986" s="355">
        <v>0</v>
      </c>
      <c r="HD986" s="355">
        <v>0</v>
      </c>
      <c r="HE986" s="355">
        <v>0</v>
      </c>
      <c r="HF986" s="355">
        <v>0</v>
      </c>
      <c r="HG986" s="355">
        <v>0</v>
      </c>
      <c r="HH986" s="355">
        <v>0</v>
      </c>
      <c r="HI986" s="355">
        <v>0</v>
      </c>
      <c r="HJ986" s="355">
        <v>0</v>
      </c>
      <c r="HK986" s="355">
        <v>0</v>
      </c>
      <c r="HL986" s="355">
        <v>0</v>
      </c>
      <c r="HM986" s="355">
        <v>0</v>
      </c>
      <c r="HN986" s="355">
        <v>0</v>
      </c>
      <c r="HO986" s="355">
        <v>0</v>
      </c>
      <c r="HP986" s="355">
        <v>0</v>
      </c>
      <c r="HQ986" s="355">
        <v>0</v>
      </c>
      <c r="HR986" s="355">
        <v>0</v>
      </c>
      <c r="HS986" s="355">
        <v>0</v>
      </c>
      <c r="HT986" s="355">
        <v>0</v>
      </c>
      <c r="HU986" s="355">
        <v>0</v>
      </c>
      <c r="HV986" s="355">
        <v>0</v>
      </c>
      <c r="HW986" s="355">
        <v>0</v>
      </c>
      <c r="HX986" s="355">
        <v>0</v>
      </c>
      <c r="HZ986" s="326"/>
      <c r="IA986" s="1560" t="s">
        <v>3217</v>
      </c>
      <c r="IB986" s="284"/>
      <c r="ID986" s="323"/>
      <c r="IG986" s="323"/>
      <c r="IH986" s="284"/>
      <c r="IJ986" s="323"/>
      <c r="IK986" s="327"/>
      <c r="IM986" s="323"/>
      <c r="IP986" s="323"/>
      <c r="IQ986" s="327"/>
      <c r="IR986" s="327"/>
      <c r="IS986" s="323"/>
      <c r="IT986" s="327"/>
      <c r="IU986" s="327"/>
      <c r="IV986" s="323"/>
      <c r="IW986" s="327"/>
      <c r="IX986" s="327"/>
      <c r="IY986" s="323"/>
      <c r="IZ986" s="327">
        <f t="shared" si="2018"/>
        <v>0</v>
      </c>
      <c r="JA986" s="327">
        <f t="shared" si="2019"/>
        <v>0</v>
      </c>
      <c r="JB986" s="323">
        <f t="shared" si="2036"/>
        <v>0</v>
      </c>
      <c r="JC986" s="327">
        <f t="shared" si="2020"/>
        <v>0</v>
      </c>
      <c r="JD986" s="327">
        <f t="shared" si="2021"/>
        <v>-68.114324774020005</v>
      </c>
      <c r="JE986" s="323">
        <f t="shared" si="1945"/>
        <v>-68.114324774020005</v>
      </c>
      <c r="JF986" s="327"/>
      <c r="JG986" s="327">
        <f>SUM(HA986:HF986)</f>
        <v>0</v>
      </c>
      <c r="JH986" s="323">
        <f t="shared" si="1944"/>
        <v>0</v>
      </c>
      <c r="JI986" s="327">
        <f t="shared" si="1993"/>
        <v>0</v>
      </c>
      <c r="JJ986" s="1404">
        <f t="shared" si="2035"/>
        <v>0</v>
      </c>
      <c r="JK986" s="323">
        <f t="shared" si="1933"/>
        <v>0</v>
      </c>
      <c r="JL986" s="1404">
        <f t="shared" si="1946"/>
        <v>0</v>
      </c>
      <c r="JM986" s="1404"/>
      <c r="JN986" s="323">
        <f>FISC!AK1312</f>
        <v>0</v>
      </c>
      <c r="JO986" s="1404"/>
      <c r="JP986" s="1404"/>
      <c r="JQ986" s="323">
        <f>FISC!AL1312</f>
        <v>0</v>
      </c>
      <c r="JR986" s="1404"/>
      <c r="JS986" s="1404"/>
      <c r="JT986" s="323">
        <f>FISC!AM1312</f>
        <v>0</v>
      </c>
      <c r="JU986" s="1404"/>
      <c r="JV986" s="1404"/>
      <c r="JW986" s="323">
        <f>FISC!AN1312</f>
        <v>0</v>
      </c>
      <c r="JX986" s="1404"/>
      <c r="JY986" s="1404"/>
      <c r="JZ986" s="323">
        <f>FISC!AO1312</f>
        <v>0</v>
      </c>
      <c r="KA986" s="1404"/>
      <c r="KB986" s="1404"/>
      <c r="KC986" s="323">
        <f>FISC!AP1312</f>
        <v>0</v>
      </c>
      <c r="KD986" s="1404"/>
      <c r="KE986" s="1404"/>
      <c r="KF986" s="323">
        <f>FISC!AQ1312</f>
        <v>0</v>
      </c>
      <c r="KG986" s="1404"/>
      <c r="KH986" s="1404"/>
      <c r="KI986" s="323">
        <f>FISC!AR1312</f>
        <v>0</v>
      </c>
      <c r="KJ986" s="1404"/>
      <c r="KK986" s="1404"/>
      <c r="KL986" s="323">
        <f>FISC!AS1312</f>
        <v>0</v>
      </c>
      <c r="KM986" s="1404"/>
      <c r="KN986" s="1404"/>
      <c r="KO986" s="323">
        <f>FISC!AT1312</f>
        <v>0</v>
      </c>
      <c r="KU986" s="326"/>
      <c r="KV986" s="327"/>
    </row>
    <row r="987" spans="1:314">
      <c r="A987" s="279"/>
      <c r="B987" s="96" t="s">
        <v>338</v>
      </c>
      <c r="D987" s="331" t="s">
        <v>570</v>
      </c>
      <c r="E987" s="323">
        <f t="shared" ref="E987:AK987" si="2039">E988+E1019</f>
        <v>0</v>
      </c>
      <c r="F987" s="323">
        <f t="shared" si="2039"/>
        <v>0</v>
      </c>
      <c r="G987" s="323">
        <f t="shared" si="2039"/>
        <v>0</v>
      </c>
      <c r="H987" s="323">
        <f t="shared" si="2039"/>
        <v>0</v>
      </c>
      <c r="I987" s="323">
        <f t="shared" si="2039"/>
        <v>0</v>
      </c>
      <c r="J987" s="323">
        <f t="shared" si="2039"/>
        <v>0</v>
      </c>
      <c r="K987" s="323">
        <f t="shared" si="2039"/>
        <v>0</v>
      </c>
      <c r="L987" s="323">
        <f t="shared" si="2039"/>
        <v>0</v>
      </c>
      <c r="M987" s="323">
        <f t="shared" si="2039"/>
        <v>0</v>
      </c>
      <c r="N987" s="323">
        <f t="shared" si="2039"/>
        <v>0</v>
      </c>
      <c r="O987" s="323">
        <f t="shared" si="2039"/>
        <v>0</v>
      </c>
      <c r="P987" s="323">
        <f t="shared" si="2039"/>
        <v>0</v>
      </c>
      <c r="Q987" s="323">
        <f t="shared" si="2039"/>
        <v>0</v>
      </c>
      <c r="R987" s="323">
        <f t="shared" si="2039"/>
        <v>0</v>
      </c>
      <c r="S987" s="323">
        <f t="shared" si="2039"/>
        <v>0</v>
      </c>
      <c r="T987" s="323">
        <f t="shared" si="2039"/>
        <v>0</v>
      </c>
      <c r="U987" s="323">
        <f t="shared" si="2039"/>
        <v>0</v>
      </c>
      <c r="V987" s="323">
        <f t="shared" si="2039"/>
        <v>0</v>
      </c>
      <c r="W987" s="323">
        <f t="shared" si="2039"/>
        <v>0</v>
      </c>
      <c r="X987" s="323">
        <f t="shared" si="2039"/>
        <v>0</v>
      </c>
      <c r="Y987" s="323">
        <f t="shared" si="2039"/>
        <v>0</v>
      </c>
      <c r="Z987" s="323">
        <f t="shared" si="2039"/>
        <v>0</v>
      </c>
      <c r="AA987" s="323">
        <f t="shared" si="2039"/>
        <v>0</v>
      </c>
      <c r="AB987" s="323">
        <f t="shared" si="2039"/>
        <v>0</v>
      </c>
      <c r="AC987" s="323">
        <f t="shared" si="2039"/>
        <v>0</v>
      </c>
      <c r="AD987" s="323">
        <f t="shared" si="2039"/>
        <v>0</v>
      </c>
      <c r="AE987" s="323">
        <f t="shared" si="2039"/>
        <v>0</v>
      </c>
      <c r="AF987" s="323">
        <f t="shared" si="2039"/>
        <v>0</v>
      </c>
      <c r="AG987" s="323">
        <f t="shared" si="2039"/>
        <v>0</v>
      </c>
      <c r="AH987" s="323">
        <f t="shared" si="2039"/>
        <v>0</v>
      </c>
      <c r="AI987" s="323">
        <f t="shared" si="2039"/>
        <v>0</v>
      </c>
      <c r="AJ987" s="323">
        <f t="shared" si="2039"/>
        <v>0</v>
      </c>
      <c r="AK987" s="323">
        <f t="shared" si="2039"/>
        <v>0</v>
      </c>
      <c r="AL987" s="323" t="s">
        <v>768</v>
      </c>
      <c r="AM987" s="323">
        <f t="shared" ref="AM987:BR987" si="2040">AM988+AM1019</f>
        <v>0</v>
      </c>
      <c r="AN987" s="323">
        <f t="shared" si="2040"/>
        <v>0</v>
      </c>
      <c r="AO987" s="323">
        <f t="shared" si="2040"/>
        <v>0</v>
      </c>
      <c r="AP987" s="323">
        <f t="shared" si="2040"/>
        <v>0</v>
      </c>
      <c r="AQ987" s="323">
        <f t="shared" si="2040"/>
        <v>0</v>
      </c>
      <c r="AR987" s="323">
        <f t="shared" si="2040"/>
        <v>0</v>
      </c>
      <c r="AS987" s="323">
        <f t="shared" si="2040"/>
        <v>0</v>
      </c>
      <c r="AT987" s="323">
        <f t="shared" si="2040"/>
        <v>0</v>
      </c>
      <c r="AU987" s="323">
        <f t="shared" si="2040"/>
        <v>0</v>
      </c>
      <c r="AV987" s="323">
        <f t="shared" si="2040"/>
        <v>0</v>
      </c>
      <c r="AW987" s="323">
        <f t="shared" si="2040"/>
        <v>0</v>
      </c>
      <c r="AX987" s="323">
        <f t="shared" si="2040"/>
        <v>0</v>
      </c>
      <c r="AY987" s="323">
        <f t="shared" si="2040"/>
        <v>0</v>
      </c>
      <c r="AZ987" s="323">
        <f t="shared" si="2040"/>
        <v>0</v>
      </c>
      <c r="BA987" s="323">
        <f t="shared" si="2040"/>
        <v>0</v>
      </c>
      <c r="BB987" s="323">
        <f t="shared" si="2040"/>
        <v>0</v>
      </c>
      <c r="BC987" s="323">
        <f t="shared" si="2040"/>
        <v>0</v>
      </c>
      <c r="BD987" s="323">
        <f t="shared" si="2040"/>
        <v>0</v>
      </c>
      <c r="BE987" s="323">
        <f t="shared" si="2040"/>
        <v>0</v>
      </c>
      <c r="BF987" s="323">
        <f t="shared" si="2040"/>
        <v>0</v>
      </c>
      <c r="BG987" s="323">
        <f t="shared" si="2040"/>
        <v>0</v>
      </c>
      <c r="BH987" s="323">
        <f t="shared" si="2040"/>
        <v>0</v>
      </c>
      <c r="BI987" s="323">
        <f t="shared" si="2040"/>
        <v>0</v>
      </c>
      <c r="BJ987" s="323">
        <f t="shared" si="2040"/>
        <v>0</v>
      </c>
      <c r="BK987" s="323">
        <f t="shared" si="2040"/>
        <v>0</v>
      </c>
      <c r="BL987" s="323">
        <f t="shared" si="2040"/>
        <v>0</v>
      </c>
      <c r="BM987" s="323">
        <f t="shared" si="2040"/>
        <v>0</v>
      </c>
      <c r="BN987" s="323">
        <f t="shared" si="2040"/>
        <v>0</v>
      </c>
      <c r="BO987" s="323">
        <f t="shared" si="2040"/>
        <v>0</v>
      </c>
      <c r="BP987" s="323">
        <f t="shared" si="2040"/>
        <v>0</v>
      </c>
      <c r="BQ987" s="323">
        <f t="shared" si="2040"/>
        <v>0</v>
      </c>
      <c r="BR987" s="323">
        <f t="shared" si="2040"/>
        <v>0</v>
      </c>
      <c r="BS987" s="323">
        <f t="shared" ref="BS987:CX987" si="2041">BS988+BS1019</f>
        <v>0</v>
      </c>
      <c r="BT987" s="323">
        <f t="shared" si="2041"/>
        <v>0</v>
      </c>
      <c r="BU987" s="323">
        <f t="shared" si="2041"/>
        <v>0</v>
      </c>
      <c r="BV987" s="323">
        <f t="shared" si="2041"/>
        <v>0</v>
      </c>
      <c r="BW987" s="323">
        <f t="shared" si="2041"/>
        <v>0</v>
      </c>
      <c r="BX987" s="323">
        <f t="shared" si="2041"/>
        <v>0</v>
      </c>
      <c r="BY987" s="323">
        <f t="shared" si="2041"/>
        <v>0</v>
      </c>
      <c r="BZ987" s="323">
        <f t="shared" si="2041"/>
        <v>0</v>
      </c>
      <c r="CA987" s="323">
        <f t="shared" si="2041"/>
        <v>0</v>
      </c>
      <c r="CB987" s="323">
        <f t="shared" si="2041"/>
        <v>0</v>
      </c>
      <c r="CC987" s="323">
        <f t="shared" si="2041"/>
        <v>0</v>
      </c>
      <c r="CD987" s="329">
        <f t="shared" si="2041"/>
        <v>0</v>
      </c>
      <c r="CE987" s="323">
        <f t="shared" si="2041"/>
        <v>34.103751978889996</v>
      </c>
      <c r="CF987" s="323">
        <f t="shared" si="2041"/>
        <v>-4.3701596728948982</v>
      </c>
      <c r="CG987" s="323">
        <f t="shared" si="2041"/>
        <v>14.490385606584244</v>
      </c>
      <c r="CH987" s="323">
        <f t="shared" si="2041"/>
        <v>24.101949228732032</v>
      </c>
      <c r="CI987" s="323">
        <f t="shared" si="2041"/>
        <v>4.8666904338658554</v>
      </c>
      <c r="CJ987" s="323">
        <f t="shared" si="2041"/>
        <v>-35.949684892479723</v>
      </c>
      <c r="CK987" s="323">
        <f t="shared" si="2041"/>
        <v>45.537509746088695</v>
      </c>
      <c r="CL987" s="323">
        <f t="shared" si="2041"/>
        <v>9.1364415919191622</v>
      </c>
      <c r="CM987" s="323">
        <f t="shared" si="2041"/>
        <v>-2.0750334709891241</v>
      </c>
      <c r="CN987" s="323">
        <f t="shared" si="2041"/>
        <v>26.454445592113782</v>
      </c>
      <c r="CO987" s="323">
        <f t="shared" si="2041"/>
        <v>75.138003526653051</v>
      </c>
      <c r="CP987" s="325">
        <f t="shared" si="2041"/>
        <v>-61.621601549825932</v>
      </c>
      <c r="CQ987" s="323">
        <f t="shared" si="2041"/>
        <v>16.934996040376724</v>
      </c>
      <c r="CR987" s="323">
        <f t="shared" si="2041"/>
        <v>33.982254861906007</v>
      </c>
      <c r="CS987" s="323">
        <f t="shared" si="2041"/>
        <v>15.168543510669569</v>
      </c>
      <c r="CT987" s="323">
        <f t="shared" si="2041"/>
        <v>38.84792323146057</v>
      </c>
      <c r="CU987" s="323">
        <f t="shared" si="2041"/>
        <v>16.575555648495261</v>
      </c>
      <c r="CV987" s="323">
        <f t="shared" si="2041"/>
        <v>49.335538480133465</v>
      </c>
      <c r="CW987" s="323">
        <f t="shared" si="2041"/>
        <v>15.914124403208575</v>
      </c>
      <c r="CX987" s="323">
        <f t="shared" si="2041"/>
        <v>34.245728906493071</v>
      </c>
      <c r="CY987" s="323">
        <f t="shared" ref="CY987:DB987" si="2042">CY988+CY1019</f>
        <v>-7.9265189419644795</v>
      </c>
      <c r="CZ987" s="323">
        <f t="shared" si="2042"/>
        <v>61.445411045948624</v>
      </c>
      <c r="DA987" s="323">
        <f t="shared" si="2042"/>
        <v>58.642283989785348</v>
      </c>
      <c r="DB987" s="1269">
        <f t="shared" si="2042"/>
        <v>-52.706826344141298</v>
      </c>
      <c r="DC987" s="323">
        <f>DC988+DC1019</f>
        <v>41.192277089001109</v>
      </c>
      <c r="DD987" s="323">
        <f t="shared" ref="DD987:FO987" si="2043">DD988+DD1019</f>
        <v>14.780197209644435</v>
      </c>
      <c r="DE987" s="323">
        <f t="shared" si="2043"/>
        <v>53.478583270825894</v>
      </c>
      <c r="DF987" s="323">
        <f t="shared" si="2043"/>
        <v>41.239771737729242</v>
      </c>
      <c r="DG987" s="323">
        <f t="shared" si="2043"/>
        <v>9.1475604358185016</v>
      </c>
      <c r="DH987" s="323">
        <f t="shared" si="2043"/>
        <v>60.176420301537433</v>
      </c>
      <c r="DI987" s="323">
        <f t="shared" si="2043"/>
        <v>36.722126290948985</v>
      </c>
      <c r="DJ987" s="323">
        <f t="shared" si="2043"/>
        <v>31.496710307958718</v>
      </c>
      <c r="DK987" s="323">
        <f t="shared" si="2043"/>
        <v>37.865241974314145</v>
      </c>
      <c r="DL987" s="323">
        <f t="shared" si="2043"/>
        <v>-11.89997137852373</v>
      </c>
      <c r="DM987" s="323">
        <f t="shared" si="2043"/>
        <v>61.689458128759398</v>
      </c>
      <c r="DN987" s="325">
        <f t="shared" si="2043"/>
        <v>-56.64619658132473</v>
      </c>
      <c r="DO987" s="323">
        <f t="shared" si="2043"/>
        <v>11.186062182919162</v>
      </c>
      <c r="DP987" s="323">
        <f t="shared" si="2043"/>
        <v>70.864449492012213</v>
      </c>
      <c r="DQ987" s="323">
        <f t="shared" si="2043"/>
        <v>24.21060372043647</v>
      </c>
      <c r="DR987" s="323">
        <f t="shared" si="2043"/>
        <v>70.622034715118076</v>
      </c>
      <c r="DS987" s="323">
        <f t="shared" si="2043"/>
        <v>32.178582584032128</v>
      </c>
      <c r="DT987" s="323">
        <f t="shared" si="2043"/>
        <v>23.875939390791459</v>
      </c>
      <c r="DU987" s="323">
        <f t="shared" si="2043"/>
        <v>50.011829034546295</v>
      </c>
      <c r="DV987" s="323">
        <f t="shared" si="2043"/>
        <v>-0.54345707746229444</v>
      </c>
      <c r="DW987" s="323">
        <f t="shared" si="2043"/>
        <v>-1.1852207203239686</v>
      </c>
      <c r="DX987" s="323">
        <f t="shared" si="2043"/>
        <v>76.337304917965213</v>
      </c>
      <c r="DY987" s="323">
        <f t="shared" si="2043"/>
        <v>69.064156189306061</v>
      </c>
      <c r="DZ987" s="325">
        <f t="shared" si="2043"/>
        <v>-64.331800955969527</v>
      </c>
      <c r="EA987" s="323">
        <f t="shared" si="2043"/>
        <v>70.456011425807461</v>
      </c>
      <c r="EB987" s="323">
        <f t="shared" si="2043"/>
        <v>59.088075755302896</v>
      </c>
      <c r="EC987" s="323">
        <f t="shared" si="2043"/>
        <v>49.853341688662525</v>
      </c>
      <c r="ED987" s="323">
        <f t="shared" si="2043"/>
        <v>26.966958964856182</v>
      </c>
      <c r="EE987" s="323">
        <f t="shared" si="2043"/>
        <v>140.39644100711362</v>
      </c>
      <c r="EF987" s="323">
        <f t="shared" si="2043"/>
        <v>-63.355729292680948</v>
      </c>
      <c r="EG987" s="323">
        <f t="shared" si="2043"/>
        <v>40.939862115873339</v>
      </c>
      <c r="EH987" s="323">
        <f t="shared" si="2043"/>
        <v>1.8356171261168992</v>
      </c>
      <c r="EI987" s="323">
        <f t="shared" si="2043"/>
        <v>30.546434760231801</v>
      </c>
      <c r="EJ987" s="323">
        <f t="shared" si="2043"/>
        <v>23.670361248324099</v>
      </c>
      <c r="EK987" s="323">
        <f t="shared" si="2043"/>
        <v>113.07304808355462</v>
      </c>
      <c r="EL987" s="325">
        <f t="shared" si="2043"/>
        <v>-45.175053460513922</v>
      </c>
      <c r="EM987" s="323">
        <f t="shared" si="2043"/>
        <v>61.720814974477165</v>
      </c>
      <c r="EN987" s="323">
        <f t="shared" si="2043"/>
        <v>54.593757407764237</v>
      </c>
      <c r="EO987" s="323">
        <f t="shared" si="2043"/>
        <v>11.281725291166037</v>
      </c>
      <c r="EP987" s="323">
        <f t="shared" si="2043"/>
        <v>48.833296537657823</v>
      </c>
      <c r="EQ987" s="323">
        <f t="shared" si="2043"/>
        <v>61.408771942117866</v>
      </c>
      <c r="ER987" s="323">
        <f t="shared" si="2043"/>
        <v>35.852359842208017</v>
      </c>
      <c r="ES987" s="323">
        <f t="shared" si="2043"/>
        <v>3.3300935262533926</v>
      </c>
      <c r="ET987" s="323">
        <f t="shared" si="2043"/>
        <v>26.039169528038485</v>
      </c>
      <c r="EU987" s="323">
        <f t="shared" si="2043"/>
        <v>36.366576262926174</v>
      </c>
      <c r="EV987" s="323">
        <f t="shared" si="2043"/>
        <v>194.69246042972006</v>
      </c>
      <c r="EW987" s="323">
        <f t="shared" si="2043"/>
        <v>84.095637754151028</v>
      </c>
      <c r="EX987" s="325">
        <f t="shared" si="2043"/>
        <v>-61.961748140226035</v>
      </c>
      <c r="EY987" s="323">
        <f t="shared" si="2043"/>
        <v>27.516350839928734</v>
      </c>
      <c r="EZ987" s="323">
        <f t="shared" si="2043"/>
        <v>60.071343762704274</v>
      </c>
      <c r="FA987" s="323">
        <f t="shared" si="2043"/>
        <v>80.959750160640269</v>
      </c>
      <c r="FB987" s="323">
        <f t="shared" si="2043"/>
        <v>154.79132916041971</v>
      </c>
      <c r="FC987" s="323">
        <f t="shared" si="2043"/>
        <v>106.13331155283268</v>
      </c>
      <c r="FD987" s="323">
        <f t="shared" si="2043"/>
        <v>106.15415721997124</v>
      </c>
      <c r="FE987" s="323">
        <f t="shared" si="2043"/>
        <v>81.236622079908159</v>
      </c>
      <c r="FF987" s="323">
        <f t="shared" si="2043"/>
        <v>38.502700305016397</v>
      </c>
      <c r="FG987" s="323">
        <f t="shared" si="2043"/>
        <v>65.70443077627057</v>
      </c>
      <c r="FH987" s="323">
        <f t="shared" si="2043"/>
        <v>133.88720392724824</v>
      </c>
      <c r="FI987" s="323">
        <f t="shared" si="2043"/>
        <v>113.4760928221684</v>
      </c>
      <c r="FJ987" s="325">
        <f t="shared" si="2043"/>
        <v>191.55778302299052</v>
      </c>
      <c r="FK987" s="323">
        <f t="shared" si="2043"/>
        <v>272.29667624293302</v>
      </c>
      <c r="FL987" s="323">
        <f t="shared" si="2043"/>
        <v>85.757028899936358</v>
      </c>
      <c r="FM987" s="323">
        <f t="shared" si="2043"/>
        <v>79.705131816396801</v>
      </c>
      <c r="FN987" s="323">
        <f t="shared" si="2043"/>
        <v>44.085675965280153</v>
      </c>
      <c r="FO987" s="323">
        <f t="shared" si="2043"/>
        <v>62.000428352211486</v>
      </c>
      <c r="FP987" s="323">
        <f t="shared" ref="FP987:HR987" si="2044">FP988+FP1019</f>
        <v>220.30429730195885</v>
      </c>
      <c r="FQ987" s="323">
        <f t="shared" si="2044"/>
        <v>64.671681971204961</v>
      </c>
      <c r="FR987" s="323">
        <f t="shared" si="2044"/>
        <v>45.142167082393954</v>
      </c>
      <c r="FS987" s="323">
        <f t="shared" si="2044"/>
        <v>28.746229178840011</v>
      </c>
      <c r="FT987" s="323">
        <f t="shared" si="2044"/>
        <v>-2.9779947346402125</v>
      </c>
      <c r="FU987" s="323">
        <f t="shared" si="2044"/>
        <v>111.78413198000437</v>
      </c>
      <c r="FV987" s="323">
        <f t="shared" si="2044"/>
        <v>-100.7771087220332</v>
      </c>
      <c r="FW987" s="323">
        <f t="shared" si="2044"/>
        <v>34.068269033979405</v>
      </c>
      <c r="FX987" s="323">
        <f t="shared" si="2044"/>
        <v>179.3542219223047</v>
      </c>
      <c r="FY987" s="323">
        <f t="shared" si="2044"/>
        <v>94.358514982011172</v>
      </c>
      <c r="FZ987" s="323">
        <f t="shared" si="2044"/>
        <v>161.23962602570217</v>
      </c>
      <c r="GA987" s="323">
        <f t="shared" si="2044"/>
        <v>108.39809335973445</v>
      </c>
      <c r="GB987" s="323">
        <f t="shared" si="2044"/>
        <v>319.09213118077048</v>
      </c>
      <c r="GC987" s="323">
        <f t="shared" si="2044"/>
        <v>45.817001772149879</v>
      </c>
      <c r="GD987" s="323">
        <f t="shared" si="2044"/>
        <v>87.24447782106057</v>
      </c>
      <c r="GE987" s="323">
        <f t="shared" si="2044"/>
        <v>23.572605436580936</v>
      </c>
      <c r="GF987" s="323">
        <f t="shared" si="2044"/>
        <v>65.775641993713919</v>
      </c>
      <c r="GG987" s="323">
        <f t="shared" si="2044"/>
        <v>54.55927970491156</v>
      </c>
      <c r="GH987" s="323">
        <f t="shared" si="2044"/>
        <v>78.759328071046795</v>
      </c>
      <c r="GI987" s="1654">
        <f t="shared" si="2044"/>
        <v>47.008083506541134</v>
      </c>
      <c r="GJ987" s="1654">
        <f t="shared" si="2044"/>
        <v>36.138981167916185</v>
      </c>
      <c r="GK987" s="1654">
        <f t="shared" si="2044"/>
        <v>193.59395773739587</v>
      </c>
      <c r="GL987" s="1654">
        <f t="shared" si="2044"/>
        <v>66.886968542128642</v>
      </c>
      <c r="GM987" s="1654">
        <f t="shared" si="2044"/>
        <v>63.611965927783153</v>
      </c>
      <c r="GN987" s="1654">
        <f t="shared" si="2044"/>
        <v>86.861553257376698</v>
      </c>
      <c r="GO987" s="1654">
        <f t="shared" si="2044"/>
        <v>-111.49669017090041</v>
      </c>
      <c r="GP987" s="1654">
        <f t="shared" si="2044"/>
        <v>25.240708425351404</v>
      </c>
      <c r="GQ987" s="1654">
        <f t="shared" si="2044"/>
        <v>341.99286998928409</v>
      </c>
      <c r="GR987" s="1654">
        <f t="shared" si="2044"/>
        <v>-34.686605848372899</v>
      </c>
      <c r="GS987" s="1654">
        <f t="shared" si="2044"/>
        <v>44.694975890420153</v>
      </c>
      <c r="GT987" s="1654">
        <f t="shared" si="2044"/>
        <v>190.98914344565048</v>
      </c>
      <c r="GU987" s="1654">
        <f t="shared" si="2044"/>
        <v>50.473816249851808</v>
      </c>
      <c r="GV987" s="1654">
        <f t="shared" si="2044"/>
        <v>52.546104788598484</v>
      </c>
      <c r="GW987" s="1654">
        <f t="shared" si="2044"/>
        <v>47.136292952079401</v>
      </c>
      <c r="GX987" s="1654">
        <f t="shared" si="2044"/>
        <v>44.596431173943365</v>
      </c>
      <c r="GY987" s="1654">
        <f t="shared" si="2044"/>
        <v>91.291133336506078</v>
      </c>
      <c r="GZ987" s="1654">
        <f t="shared" si="2044"/>
        <v>369.47353128275324</v>
      </c>
      <c r="HA987" s="1654">
        <f t="shared" si="2044"/>
        <v>26.654892673905728</v>
      </c>
      <c r="HB987" s="1654">
        <f t="shared" si="2044"/>
        <v>47.081668501515011</v>
      </c>
      <c r="HC987" s="1654">
        <f t="shared" si="2044"/>
        <v>127.34464212421902</v>
      </c>
      <c r="HD987" s="1654">
        <f t="shared" si="2044"/>
        <v>101.2419703689493</v>
      </c>
      <c r="HE987" s="1654">
        <f t="shared" si="2044"/>
        <v>-7.9973915655709504</v>
      </c>
      <c r="HF987" s="1654">
        <f t="shared" si="2044"/>
        <v>331.68515146219693</v>
      </c>
      <c r="HG987" s="1654">
        <f t="shared" si="2044"/>
        <v>53.243288791956374</v>
      </c>
      <c r="HH987" s="1654">
        <f t="shared" si="2044"/>
        <v>116.9548761962084</v>
      </c>
      <c r="HI987" s="1654">
        <f t="shared" si="2044"/>
        <v>96.141146163190143</v>
      </c>
      <c r="HJ987" s="1654">
        <f t="shared" si="2044"/>
        <v>85.107435634450312</v>
      </c>
      <c r="HK987" s="1654">
        <f t="shared" si="2044"/>
        <v>93.353855799423457</v>
      </c>
      <c r="HL987" s="1654">
        <f t="shared" si="2044"/>
        <v>858.75644294011011</v>
      </c>
      <c r="HM987" s="1654">
        <f t="shared" si="2044"/>
        <v>-0.54396457520890351</v>
      </c>
      <c r="HN987" s="1654">
        <f t="shared" si="2044"/>
        <v>-51.994668946937438</v>
      </c>
      <c r="HO987" s="1654">
        <f t="shared" si="2044"/>
        <v>-19.278428676152018</v>
      </c>
      <c r="HP987" s="1654">
        <f t="shared" si="2044"/>
        <v>15.759871093008719</v>
      </c>
      <c r="HQ987" s="1654">
        <f t="shared" si="2044"/>
        <v>60.43482860675816</v>
      </c>
      <c r="HR987" s="1654">
        <f t="shared" si="2044"/>
        <v>81.584420567257013</v>
      </c>
      <c r="HS987" s="1654">
        <f t="shared" ref="HS987" si="2045">HS988+HS1019</f>
        <v>84.13996031935396</v>
      </c>
      <c r="HT987" s="1654">
        <f t="shared" ref="HT987" si="2046">HT988+HT1019</f>
        <v>76.143815954343935</v>
      </c>
      <c r="HU987" s="1654">
        <f t="shared" ref="HU987" si="2047">HU988+HU1019</f>
        <v>310.87068816468934</v>
      </c>
      <c r="HV987" s="1654">
        <f t="shared" ref="HV987" si="2048">HV988+HV1019</f>
        <v>111.10032099244526</v>
      </c>
      <c r="HW987" s="1654">
        <f t="shared" ref="HW987" si="2049">HW988+HW1019</f>
        <v>213.39331448602337</v>
      </c>
      <c r="HX987" s="1654">
        <f t="shared" ref="HX987" si="2050">HX988+HX1019</f>
        <v>55.684292810002646</v>
      </c>
      <c r="HY987" s="1654"/>
      <c r="HZ987" s="326"/>
      <c r="IA987" s="331" t="s">
        <v>570</v>
      </c>
      <c r="IB987" s="284">
        <f>SUM(CE987:CJ987)</f>
        <v>37.242932682697514</v>
      </c>
      <c r="IC987" s="279">
        <f>SUM(CK987:CP987)</f>
        <v>92.569765435959653</v>
      </c>
      <c r="ID987" s="323">
        <f>IB987+IC987</f>
        <v>129.81269811865718</v>
      </c>
      <c r="IE987" s="279">
        <f>SUM(CQ987:CV987)</f>
        <v>170.84481177304158</v>
      </c>
      <c r="IF987" s="279">
        <f>SUM(CW987:DB987)</f>
        <v>109.61420305932984</v>
      </c>
      <c r="IG987" s="323">
        <f>IE987+IF987</f>
        <v>280.45901483237139</v>
      </c>
      <c r="IH987" s="284">
        <f>SUM(DC987:DH987)</f>
        <v>220.01481004455658</v>
      </c>
      <c r="II987" s="279">
        <f>SUM(DI987:DN987)</f>
        <v>99.227368742132782</v>
      </c>
      <c r="IJ987" s="323">
        <f>IH987+II987</f>
        <v>319.24217878668935</v>
      </c>
      <c r="IK987" s="327">
        <f>SUM(DO987:DT987)</f>
        <v>232.93767208530954</v>
      </c>
      <c r="IL987" s="279">
        <f>SUM(DU987:DZ987)</f>
        <v>129.35281138806178</v>
      </c>
      <c r="IM987" s="323">
        <f>IK987+IL987</f>
        <v>362.2904834733713</v>
      </c>
      <c r="IN987" s="279">
        <f>SUM(EA987:EF987)</f>
        <v>283.40509954906167</v>
      </c>
      <c r="IO987" s="279">
        <f>SUM(EG987:EL987)</f>
        <v>164.89026987358682</v>
      </c>
      <c r="IP987" s="323">
        <f>IN987+IO987</f>
        <v>448.29536942264849</v>
      </c>
      <c r="IQ987" s="327">
        <f>SUM(EM987:ER987)</f>
        <v>273.69072599539118</v>
      </c>
      <c r="IR987" s="327">
        <f>SUM(ES987:EX987)</f>
        <v>282.56218936086316</v>
      </c>
      <c r="IS987" s="323">
        <f>IQ987+IR987</f>
        <v>556.25291535625433</v>
      </c>
      <c r="IT987" s="327">
        <f>SUM(EY987:FD987)</f>
        <v>535.62624269649689</v>
      </c>
      <c r="IU987" s="327">
        <f>SUM(FE987:FJ987)</f>
        <v>624.36483293360232</v>
      </c>
      <c r="IV987" s="323">
        <f>IT987+IU987</f>
        <v>1159.9910756300992</v>
      </c>
      <c r="IW987" s="327">
        <f>SUM(FK987:FP987)</f>
        <v>764.14923857871668</v>
      </c>
      <c r="IX987" s="327">
        <f>SUM(FQ987:FV987)</f>
        <v>146.58910675576985</v>
      </c>
      <c r="IY987" s="323">
        <f t="shared" si="2005"/>
        <v>910.73834533448655</v>
      </c>
      <c r="IZ987" s="327">
        <f t="shared" si="2018"/>
        <v>896.51085650450239</v>
      </c>
      <c r="JA987" s="327">
        <f t="shared" si="2019"/>
        <v>355.72833479946365</v>
      </c>
      <c r="JB987" s="323">
        <f t="shared" si="2036"/>
        <v>1252.239191303966</v>
      </c>
      <c r="JC987" s="327">
        <f t="shared" si="2020"/>
        <v>494.10151013914162</v>
      </c>
      <c r="JD987" s="327">
        <f t="shared" si="2021"/>
        <v>456.73440173143285</v>
      </c>
      <c r="JE987" s="323">
        <f t="shared" si="1945"/>
        <v>950.83591187057448</v>
      </c>
      <c r="JF987" s="327">
        <f>JF988+JF1019</f>
        <v>655.51730978373246</v>
      </c>
      <c r="JG987" s="327">
        <f>JG988+JG1019</f>
        <v>626.01093356521505</v>
      </c>
      <c r="JH987" s="323">
        <f t="shared" si="1944"/>
        <v>1281.5282433489474</v>
      </c>
      <c r="JI987" s="327">
        <f t="shared" si="1993"/>
        <v>1303.5570455253387</v>
      </c>
      <c r="JJ987" s="1404">
        <f t="shared" si="2035"/>
        <v>85.962058068725526</v>
      </c>
      <c r="JK987" s="323">
        <f t="shared" si="1933"/>
        <v>1389.5191035940643</v>
      </c>
      <c r="JL987" s="1404">
        <f t="shared" si="1946"/>
        <v>851.33239272685853</v>
      </c>
      <c r="JM987" s="1404">
        <f>-JM924+JM947</f>
        <v>809.19832628731615</v>
      </c>
      <c r="JN987" s="323">
        <f>FISC!AK1313</f>
        <v>1581.1245119833623</v>
      </c>
      <c r="JO987" s="1404">
        <f>-JO924+JO947</f>
        <v>1175.5417009734015</v>
      </c>
      <c r="JP987" s="1404">
        <f>-JP924+JP947</f>
        <v>440.9557556238363</v>
      </c>
      <c r="JQ987" s="323">
        <f>FISC!AL1313</f>
        <v>1616.4974565972379</v>
      </c>
      <c r="JR987" s="1404">
        <f>-JR924+JR947</f>
        <v>1235.9546445574533</v>
      </c>
      <c r="JS987" s="1404">
        <f>-JS924+JS947</f>
        <v>338.43984499444139</v>
      </c>
      <c r="JT987" s="323">
        <f>FISC!AM1313</f>
        <v>1574.3944895518946</v>
      </c>
      <c r="JU987" s="1404">
        <f>-JU924+JU947</f>
        <v>949.86897062460753</v>
      </c>
      <c r="JV987" s="1404">
        <f>-JV924+JV947</f>
        <v>277.651865718615</v>
      </c>
      <c r="JW987" s="323">
        <f>FISC!AN1313</f>
        <v>1227.5208363432225</v>
      </c>
      <c r="JX987" s="1404">
        <f>-JX924+JX947</f>
        <v>1077.4660061544878</v>
      </c>
      <c r="JY987" s="1404">
        <f>-JY924+JY947</f>
        <v>299.85016762580636</v>
      </c>
      <c r="JZ987" s="323">
        <f>FISC!AO1313</f>
        <v>1377.3161737802936</v>
      </c>
      <c r="KA987" s="1404">
        <f>-KA924+KA947</f>
        <v>1260.5301255959394</v>
      </c>
      <c r="KB987" s="1404">
        <f>-KB924+KB947</f>
        <v>274.11814119865443</v>
      </c>
      <c r="KC987" s="323">
        <f>FISC!AP1313</f>
        <v>1534.6482667945936</v>
      </c>
      <c r="KD987" s="1404">
        <f>-KD924+KD947</f>
        <v>995.15177087139239</v>
      </c>
      <c r="KE987" s="1404">
        <f>-KE924+KE947</f>
        <v>833.7234430241748</v>
      </c>
      <c r="KF987" s="323">
        <f>FISC!AQ1313</f>
        <v>1828.8752138955672</v>
      </c>
      <c r="KG987" s="1404">
        <f>-KG924+KG947</f>
        <v>1329.6451381514255</v>
      </c>
      <c r="KH987" s="1404">
        <f>-KH924+KH947</f>
        <v>458.3706597732351</v>
      </c>
      <c r="KI987" s="323">
        <f>FISC!AR1313</f>
        <v>1788.0157979246605</v>
      </c>
      <c r="KJ987" s="1404">
        <f>-KJ924+KJ947</f>
        <v>1764.6328119574889</v>
      </c>
      <c r="KK987" s="1404">
        <f>-KK924+KK947</f>
        <v>652.50131698852954</v>
      </c>
      <c r="KL987" s="323">
        <f>FISC!AS1313</f>
        <v>2417.1341289460188</v>
      </c>
      <c r="KM987" s="1404">
        <f>-KM924+KM947</f>
        <v>2157.0686207984863</v>
      </c>
      <c r="KN987" s="1404">
        <f>-KN924+KN947</f>
        <v>834.24515449090165</v>
      </c>
      <c r="KO987" s="323">
        <f>FISC!AT1313</f>
        <v>2991.3137752893881</v>
      </c>
      <c r="KU987" s="326"/>
      <c r="KV987" s="327"/>
      <c r="KY987" s="279">
        <f>KY988+KY1019</f>
        <v>0</v>
      </c>
      <c r="KZ987" s="279">
        <f>KZ988+KZ1019</f>
        <v>0</v>
      </c>
      <c r="LA987" s="279">
        <f>LA988+LA1019</f>
        <v>0</v>
      </c>
      <c r="LB987" s="279">
        <f>LB988+LB1019</f>
        <v>0</v>
      </c>
    </row>
    <row r="988" spans="1:314">
      <c r="A988" s="279"/>
      <c r="B988" s="96" t="s">
        <v>338</v>
      </c>
      <c r="D988" s="333" t="s">
        <v>564</v>
      </c>
      <c r="E988" s="323">
        <f t="shared" ref="E988:AJ988" si="2051">E990+E993+E1008+E1018</f>
        <v>0</v>
      </c>
      <c r="F988" s="323">
        <f t="shared" si="2051"/>
        <v>0</v>
      </c>
      <c r="G988" s="323">
        <f t="shared" si="2051"/>
        <v>0</v>
      </c>
      <c r="H988" s="323">
        <f t="shared" si="2051"/>
        <v>0</v>
      </c>
      <c r="I988" s="323">
        <f t="shared" si="2051"/>
        <v>0</v>
      </c>
      <c r="J988" s="323">
        <f t="shared" si="2051"/>
        <v>0</v>
      </c>
      <c r="K988" s="323">
        <f t="shared" si="2051"/>
        <v>0</v>
      </c>
      <c r="L988" s="323">
        <f t="shared" si="2051"/>
        <v>0</v>
      </c>
      <c r="M988" s="323">
        <f t="shared" si="2051"/>
        <v>0</v>
      </c>
      <c r="N988" s="323">
        <f t="shared" si="2051"/>
        <v>0</v>
      </c>
      <c r="O988" s="323">
        <f t="shared" si="2051"/>
        <v>0</v>
      </c>
      <c r="P988" s="323">
        <f t="shared" si="2051"/>
        <v>0</v>
      </c>
      <c r="Q988" s="323">
        <f t="shared" si="2051"/>
        <v>0</v>
      </c>
      <c r="R988" s="323">
        <f t="shared" si="2051"/>
        <v>0</v>
      </c>
      <c r="S988" s="323">
        <f t="shared" si="2051"/>
        <v>0</v>
      </c>
      <c r="T988" s="323">
        <f t="shared" si="2051"/>
        <v>0</v>
      </c>
      <c r="U988" s="323">
        <f t="shared" si="2051"/>
        <v>0</v>
      </c>
      <c r="V988" s="323">
        <f t="shared" si="2051"/>
        <v>0</v>
      </c>
      <c r="W988" s="323">
        <f t="shared" si="2051"/>
        <v>0</v>
      </c>
      <c r="X988" s="323">
        <f t="shared" si="2051"/>
        <v>0</v>
      </c>
      <c r="Y988" s="323">
        <f t="shared" si="2051"/>
        <v>0</v>
      </c>
      <c r="Z988" s="323">
        <f t="shared" si="2051"/>
        <v>0</v>
      </c>
      <c r="AA988" s="323">
        <f t="shared" si="2051"/>
        <v>0</v>
      </c>
      <c r="AB988" s="323">
        <f t="shared" si="2051"/>
        <v>0</v>
      </c>
      <c r="AC988" s="323">
        <f t="shared" si="2051"/>
        <v>0</v>
      </c>
      <c r="AD988" s="323">
        <f t="shared" si="2051"/>
        <v>0</v>
      </c>
      <c r="AE988" s="323">
        <f t="shared" si="2051"/>
        <v>0</v>
      </c>
      <c r="AF988" s="323">
        <f t="shared" si="2051"/>
        <v>0</v>
      </c>
      <c r="AG988" s="323">
        <f t="shared" si="2051"/>
        <v>0</v>
      </c>
      <c r="AH988" s="323">
        <f t="shared" si="2051"/>
        <v>0</v>
      </c>
      <c r="AI988" s="323">
        <f t="shared" si="2051"/>
        <v>0</v>
      </c>
      <c r="AJ988" s="323">
        <f t="shared" si="2051"/>
        <v>0</v>
      </c>
      <c r="AK988" s="323">
        <f t="shared" ref="AK988:BP988" si="2052">AK990+AK993+AK1008+AK1018</f>
        <v>0</v>
      </c>
      <c r="AL988" s="323">
        <f t="shared" si="2052"/>
        <v>0</v>
      </c>
      <c r="AM988" s="323">
        <f t="shared" si="2052"/>
        <v>0</v>
      </c>
      <c r="AN988" s="323">
        <f t="shared" si="2052"/>
        <v>0</v>
      </c>
      <c r="AO988" s="323">
        <f t="shared" si="2052"/>
        <v>0</v>
      </c>
      <c r="AP988" s="323">
        <f t="shared" si="2052"/>
        <v>0</v>
      </c>
      <c r="AQ988" s="323">
        <f t="shared" si="2052"/>
        <v>0</v>
      </c>
      <c r="AR988" s="323">
        <f t="shared" si="2052"/>
        <v>0</v>
      </c>
      <c r="AS988" s="323">
        <f t="shared" si="2052"/>
        <v>0</v>
      </c>
      <c r="AT988" s="323">
        <f t="shared" si="2052"/>
        <v>0</v>
      </c>
      <c r="AU988" s="323">
        <f t="shared" si="2052"/>
        <v>0</v>
      </c>
      <c r="AV988" s="323">
        <f t="shared" si="2052"/>
        <v>0</v>
      </c>
      <c r="AW988" s="323">
        <f t="shared" si="2052"/>
        <v>0</v>
      </c>
      <c r="AX988" s="323">
        <f t="shared" si="2052"/>
        <v>0</v>
      </c>
      <c r="AY988" s="323">
        <f t="shared" si="2052"/>
        <v>0</v>
      </c>
      <c r="AZ988" s="323">
        <f t="shared" si="2052"/>
        <v>0</v>
      </c>
      <c r="BA988" s="323">
        <f t="shared" si="2052"/>
        <v>0</v>
      </c>
      <c r="BB988" s="323">
        <f t="shared" si="2052"/>
        <v>0</v>
      </c>
      <c r="BC988" s="323">
        <f t="shared" si="2052"/>
        <v>0</v>
      </c>
      <c r="BD988" s="323">
        <f t="shared" si="2052"/>
        <v>0</v>
      </c>
      <c r="BE988" s="323">
        <f t="shared" si="2052"/>
        <v>0</v>
      </c>
      <c r="BF988" s="323">
        <f t="shared" si="2052"/>
        <v>0</v>
      </c>
      <c r="BG988" s="323">
        <f t="shared" si="2052"/>
        <v>0</v>
      </c>
      <c r="BH988" s="323">
        <f t="shared" si="2052"/>
        <v>0</v>
      </c>
      <c r="BI988" s="323">
        <f t="shared" si="2052"/>
        <v>0</v>
      </c>
      <c r="BJ988" s="323">
        <f t="shared" si="2052"/>
        <v>0</v>
      </c>
      <c r="BK988" s="323">
        <f t="shared" si="2052"/>
        <v>0</v>
      </c>
      <c r="BL988" s="323">
        <f t="shared" si="2052"/>
        <v>0</v>
      </c>
      <c r="BM988" s="323">
        <f t="shared" si="2052"/>
        <v>0</v>
      </c>
      <c r="BN988" s="323">
        <f t="shared" si="2052"/>
        <v>0</v>
      </c>
      <c r="BO988" s="323">
        <f t="shared" si="2052"/>
        <v>0</v>
      </c>
      <c r="BP988" s="323">
        <f t="shared" si="2052"/>
        <v>0</v>
      </c>
      <c r="BQ988" s="323">
        <f t="shared" ref="BQ988:CV988" si="2053">BQ990+BQ993+BQ1008+BQ1018</f>
        <v>0</v>
      </c>
      <c r="BR988" s="323">
        <f t="shared" si="2053"/>
        <v>0</v>
      </c>
      <c r="BS988" s="323">
        <f t="shared" si="2053"/>
        <v>0</v>
      </c>
      <c r="BT988" s="323">
        <f t="shared" si="2053"/>
        <v>0</v>
      </c>
      <c r="BU988" s="323">
        <f t="shared" si="2053"/>
        <v>0</v>
      </c>
      <c r="BV988" s="323">
        <f t="shared" si="2053"/>
        <v>0</v>
      </c>
      <c r="BW988" s="323">
        <f t="shared" si="2053"/>
        <v>0</v>
      </c>
      <c r="BX988" s="323">
        <f t="shared" si="2053"/>
        <v>0</v>
      </c>
      <c r="BY988" s="323">
        <f t="shared" si="2053"/>
        <v>0</v>
      </c>
      <c r="BZ988" s="323">
        <f t="shared" si="2053"/>
        <v>0</v>
      </c>
      <c r="CA988" s="323">
        <f t="shared" si="2053"/>
        <v>0</v>
      </c>
      <c r="CB988" s="323">
        <f t="shared" si="2053"/>
        <v>0</v>
      </c>
      <c r="CC988" s="323">
        <f t="shared" si="2053"/>
        <v>0</v>
      </c>
      <c r="CD988" s="329">
        <f t="shared" si="2053"/>
        <v>0</v>
      </c>
      <c r="CE988" s="323">
        <f t="shared" si="2053"/>
        <v>28.038884640999981</v>
      </c>
      <c r="CF988" s="323">
        <f t="shared" si="2053"/>
        <v>-8.1644795279999887</v>
      </c>
      <c r="CG988" s="323">
        <f t="shared" si="2053"/>
        <v>11.07604008700001</v>
      </c>
      <c r="CH988" s="323">
        <f t="shared" si="2053"/>
        <v>19.295499916000018</v>
      </c>
      <c r="CI988" s="323">
        <f t="shared" si="2053"/>
        <v>1.9333040049999823</v>
      </c>
      <c r="CJ988" s="323">
        <f t="shared" si="2053"/>
        <v>-42.016117240000042</v>
      </c>
      <c r="CK988" s="323">
        <f t="shared" si="2053"/>
        <v>34.987766365359711</v>
      </c>
      <c r="CL988" s="323">
        <f t="shared" si="2053"/>
        <v>7.5270274272589974</v>
      </c>
      <c r="CM988" s="323">
        <f t="shared" si="2053"/>
        <v>-4.0838809607345805</v>
      </c>
      <c r="CN988" s="323">
        <f t="shared" si="2053"/>
        <v>25.18260403608971</v>
      </c>
      <c r="CO988" s="323">
        <f t="shared" si="2053"/>
        <v>37.032649776026204</v>
      </c>
      <c r="CP988" s="325">
        <f t="shared" si="2053"/>
        <v>-86.153515779081246</v>
      </c>
      <c r="CQ988" s="323">
        <f t="shared" si="2053"/>
        <v>11.992976739534837</v>
      </c>
      <c r="CR988" s="323">
        <f t="shared" si="2053"/>
        <v>30.15136091674934</v>
      </c>
      <c r="CS988" s="323">
        <f t="shared" si="2053"/>
        <v>3.1656762680855084</v>
      </c>
      <c r="CT988" s="323">
        <f t="shared" si="2053"/>
        <v>33.658589305300481</v>
      </c>
      <c r="CU988" s="323">
        <f t="shared" si="2053"/>
        <v>6.1096968111579226</v>
      </c>
      <c r="CV988" s="323">
        <f t="shared" si="2053"/>
        <v>-17.685539985750676</v>
      </c>
      <c r="CW988" s="323">
        <f t="shared" ref="CW988:DB988" si="2054">CW990+CW993+CW1008+CW1018</f>
        <v>8.0378884380826499</v>
      </c>
      <c r="CX988" s="323">
        <f t="shared" si="2054"/>
        <v>30.697138003218029</v>
      </c>
      <c r="CY988" s="323">
        <f t="shared" si="2054"/>
        <v>-16.582285944247218</v>
      </c>
      <c r="CZ988" s="323">
        <f t="shared" si="2054"/>
        <v>13.232324986498604</v>
      </c>
      <c r="DA988" s="323">
        <f t="shared" si="2054"/>
        <v>53.746502489444033</v>
      </c>
      <c r="DB988" s="1269">
        <f t="shared" si="2054"/>
        <v>-64.251892001934266</v>
      </c>
      <c r="DC988" s="323">
        <f>DC993+DC1008+DC1015+DC1016+DC1017+DC1018</f>
        <v>41.519739782999977</v>
      </c>
      <c r="DD988" s="323">
        <f t="shared" ref="DD988:FO988" si="2055">DD993+DD1008+DD1015+DD1016+DD1017+DD1018</f>
        <v>11.249668732000004</v>
      </c>
      <c r="DE988" s="323">
        <f t="shared" si="2055"/>
        <v>-1.9254449259999777</v>
      </c>
      <c r="DF988" s="323">
        <f t="shared" si="2055"/>
        <v>27.401834188999988</v>
      </c>
      <c r="DG988" s="323">
        <f t="shared" si="2055"/>
        <v>5.0958376069999893</v>
      </c>
      <c r="DH988" s="323">
        <f t="shared" si="2055"/>
        <v>-29.841724190999987</v>
      </c>
      <c r="DI988" s="323">
        <f t="shared" si="2055"/>
        <v>30.846356862000011</v>
      </c>
      <c r="DJ988" s="323">
        <f t="shared" si="2055"/>
        <v>10.024365934999985</v>
      </c>
      <c r="DK988" s="323">
        <f t="shared" si="2055"/>
        <v>26.437295029999994</v>
      </c>
      <c r="DL988" s="323">
        <f t="shared" si="2055"/>
        <v>-22.394422949999999</v>
      </c>
      <c r="DM988" s="323">
        <f t="shared" si="2055"/>
        <v>56.757906068000004</v>
      </c>
      <c r="DN988" s="325">
        <f t="shared" si="2055"/>
        <v>-60.337361012000002</v>
      </c>
      <c r="DO988" s="323">
        <f t="shared" si="2055"/>
        <v>8.7031645269964599</v>
      </c>
      <c r="DP988" s="323">
        <f t="shared" si="2055"/>
        <v>62.616519898000007</v>
      </c>
      <c r="DQ988" s="323">
        <f t="shared" si="2055"/>
        <v>-10.592296672999989</v>
      </c>
      <c r="DR988" s="323">
        <f t="shared" si="2055"/>
        <v>2.3871431940000054</v>
      </c>
      <c r="DS988" s="323">
        <f t="shared" si="2055"/>
        <v>22.441761348999979</v>
      </c>
      <c r="DT988" s="323">
        <f t="shared" si="2055"/>
        <v>-69.430817590999993</v>
      </c>
      <c r="DU988" s="323">
        <f t="shared" si="2055"/>
        <v>39.488747646003546</v>
      </c>
      <c r="DV988" s="323">
        <f t="shared" si="2055"/>
        <v>-3.5187946419999889</v>
      </c>
      <c r="DW988" s="323">
        <f t="shared" si="2055"/>
        <v>-17.47074480900001</v>
      </c>
      <c r="DX988" s="323">
        <f t="shared" si="2055"/>
        <v>56.407051640000006</v>
      </c>
      <c r="DY988" s="323">
        <f t="shared" si="2055"/>
        <v>32.484485099000011</v>
      </c>
      <c r="DZ988" s="325">
        <f t="shared" si="2055"/>
        <v>-84.214670556000002</v>
      </c>
      <c r="EA988" s="323">
        <f t="shared" si="2055"/>
        <v>62.032836149418991</v>
      </c>
      <c r="EB988" s="323">
        <f t="shared" si="2055"/>
        <v>27.404475149000003</v>
      </c>
      <c r="EC988" s="323">
        <f t="shared" si="2055"/>
        <v>25.194526919003167</v>
      </c>
      <c r="ED988" s="323">
        <f t="shared" si="2055"/>
        <v>8.2831225220000402</v>
      </c>
      <c r="EE988" s="323">
        <f t="shared" si="2055"/>
        <v>29.430356048000032</v>
      </c>
      <c r="EF988" s="323">
        <f t="shared" si="2055"/>
        <v>-77.869789291000032</v>
      </c>
      <c r="EG988" s="323">
        <f t="shared" si="2055"/>
        <v>-14.483484360000194</v>
      </c>
      <c r="EH988" s="323">
        <f t="shared" si="2055"/>
        <v>-2.0603527559999453</v>
      </c>
      <c r="EI988" s="323">
        <f t="shared" si="2055"/>
        <v>15.966370475999989</v>
      </c>
      <c r="EJ988" s="323">
        <f t="shared" si="2055"/>
        <v>14.816504093000027</v>
      </c>
      <c r="EK988" s="323">
        <f t="shared" si="2055"/>
        <v>74.683573704999972</v>
      </c>
      <c r="EL988" s="325">
        <f t="shared" si="2055"/>
        <v>-71.131900108999972</v>
      </c>
      <c r="EM988" s="323">
        <f t="shared" si="2055"/>
        <v>52.59020585661068</v>
      </c>
      <c r="EN988" s="323">
        <f t="shared" si="2055"/>
        <v>52.958335955827494</v>
      </c>
      <c r="EO988" s="323">
        <f t="shared" si="2055"/>
        <v>0.29455539703401884</v>
      </c>
      <c r="EP988" s="323">
        <f t="shared" si="2055"/>
        <v>44.271199766139759</v>
      </c>
      <c r="EQ988" s="323">
        <f t="shared" si="2055"/>
        <v>48.232240130666895</v>
      </c>
      <c r="ER988" s="323">
        <f t="shared" si="2055"/>
        <v>-183.42444285786468</v>
      </c>
      <c r="ES988" s="323">
        <f t="shared" si="2055"/>
        <v>-19.049656460004748</v>
      </c>
      <c r="ET988" s="323">
        <f t="shared" si="2055"/>
        <v>10.879885786645026</v>
      </c>
      <c r="EU988" s="323">
        <f t="shared" si="2055"/>
        <v>24.972277946898849</v>
      </c>
      <c r="EV988" s="323">
        <f t="shared" si="2055"/>
        <v>176.24239976555975</v>
      </c>
      <c r="EW988" s="323">
        <f t="shared" si="2055"/>
        <v>67.955899553498682</v>
      </c>
      <c r="EX988" s="325">
        <f t="shared" si="2055"/>
        <v>-167.98195212850095</v>
      </c>
      <c r="EY988" s="323">
        <f t="shared" si="2055"/>
        <v>8.8060266991667326</v>
      </c>
      <c r="EZ988" s="323">
        <f t="shared" si="2055"/>
        <v>33.713068134166669</v>
      </c>
      <c r="FA988" s="323">
        <f t="shared" si="2055"/>
        <v>55.297794945166679</v>
      </c>
      <c r="FB988" s="323">
        <f t="shared" si="2055"/>
        <v>-25.549531193833424</v>
      </c>
      <c r="FC988" s="323">
        <f t="shared" si="2055"/>
        <v>70.672763521166786</v>
      </c>
      <c r="FD988" s="323">
        <f t="shared" si="2055"/>
        <v>-40.165605226833272</v>
      </c>
      <c r="FE988" s="323">
        <f t="shared" si="2055"/>
        <v>21.010600483000054</v>
      </c>
      <c r="FF988" s="323">
        <f t="shared" si="2055"/>
        <v>11.861338452999956</v>
      </c>
      <c r="FG988" s="323">
        <f t="shared" si="2055"/>
        <v>53.998815137999934</v>
      </c>
      <c r="FH988" s="323">
        <f t="shared" si="2055"/>
        <v>9.7694358920000859</v>
      </c>
      <c r="FI988" s="323">
        <f t="shared" si="2055"/>
        <v>80.540081259999965</v>
      </c>
      <c r="FJ988" s="325">
        <f t="shared" si="2055"/>
        <v>-73.983404052999902</v>
      </c>
      <c r="FK988" s="323">
        <f t="shared" si="2055"/>
        <v>106.92951367999991</v>
      </c>
      <c r="FL988" s="323">
        <f t="shared" si="2055"/>
        <v>43.080289407000016</v>
      </c>
      <c r="FM988" s="323">
        <f t="shared" si="2055"/>
        <v>32.33142749500005</v>
      </c>
      <c r="FN988" s="323">
        <f t="shared" si="2055"/>
        <v>14.280033375999963</v>
      </c>
      <c r="FO988" s="323">
        <f t="shared" si="2055"/>
        <v>37.867330151000004</v>
      </c>
      <c r="FP988" s="323">
        <f t="shared" ref="FP988:HR988" si="2056">FP993+FP1008+FP1015+FP1016+FP1017+FP1018</f>
        <v>78.268904388999985</v>
      </c>
      <c r="FQ988" s="323">
        <f t="shared" si="2056"/>
        <v>56.513310707999956</v>
      </c>
      <c r="FR988" s="323">
        <f t="shared" si="2056"/>
        <v>14.445478063999953</v>
      </c>
      <c r="FS988" s="323">
        <f t="shared" si="2056"/>
        <v>-67.302425472499962</v>
      </c>
      <c r="FT988" s="323">
        <f t="shared" si="2056"/>
        <v>-27.207053727999934</v>
      </c>
      <c r="FU988" s="323">
        <f t="shared" si="2056"/>
        <v>104.2357967584999</v>
      </c>
      <c r="FV988" s="323">
        <f t="shared" si="2056"/>
        <v>-139.97669962299994</v>
      </c>
      <c r="FW988" s="323">
        <f t="shared" si="2056"/>
        <v>6.4440742439999426</v>
      </c>
      <c r="FX988" s="323">
        <f t="shared" si="2056"/>
        <v>-110.25656577199993</v>
      </c>
      <c r="FY988" s="323">
        <f t="shared" si="2056"/>
        <v>76.946068955000015</v>
      </c>
      <c r="FZ988" s="323">
        <f t="shared" si="2056"/>
        <v>73.548558105000026</v>
      </c>
      <c r="GA988" s="323">
        <f t="shared" si="2056"/>
        <v>34.178356372999986</v>
      </c>
      <c r="GB988" s="323">
        <f t="shared" si="2056"/>
        <v>60.037688816000028</v>
      </c>
      <c r="GC988" s="323">
        <f t="shared" si="2056"/>
        <v>42.528415184999993</v>
      </c>
      <c r="GD988" s="323">
        <f t="shared" si="2056"/>
        <v>73.302084485999927</v>
      </c>
      <c r="GE988" s="323">
        <f t="shared" si="2056"/>
        <v>-59.085697237999931</v>
      </c>
      <c r="GF988" s="323">
        <f t="shared" si="2056"/>
        <v>26.187483576333296</v>
      </c>
      <c r="GG988" s="323">
        <f t="shared" si="2056"/>
        <v>10.009192227333415</v>
      </c>
      <c r="GH988" s="323">
        <f t="shared" si="2056"/>
        <v>-13.253211343094232</v>
      </c>
      <c r="GI988" s="1654">
        <f t="shared" si="2056"/>
        <v>29.002000000000066</v>
      </c>
      <c r="GJ988" s="1654">
        <f t="shared" si="2056"/>
        <v>31.330000000000013</v>
      </c>
      <c r="GK988" s="1654">
        <f t="shared" si="2056"/>
        <v>123.02474948299998</v>
      </c>
      <c r="GL988" s="1654">
        <f t="shared" si="2056"/>
        <v>39.326319999999946</v>
      </c>
      <c r="GM988" s="1654">
        <f t="shared" si="2056"/>
        <v>54.208000000000055</v>
      </c>
      <c r="GN988" s="1654">
        <f t="shared" si="2056"/>
        <v>42.623964668999889</v>
      </c>
      <c r="GO988" s="1654">
        <f t="shared" si="2056"/>
        <v>-138.78486187299995</v>
      </c>
      <c r="GP988" s="1654">
        <f t="shared" si="2056"/>
        <v>2.2559000000000111</v>
      </c>
      <c r="GQ988" s="1654">
        <f t="shared" si="2056"/>
        <v>-108.24252152400005</v>
      </c>
      <c r="GR988" s="1654">
        <f t="shared" si="2056"/>
        <v>23.052400000000105</v>
      </c>
      <c r="GS988" s="1654">
        <f t="shared" si="2056"/>
        <v>24.405439345000051</v>
      </c>
      <c r="GT988" s="1654">
        <f t="shared" si="2056"/>
        <v>20.125898810000002</v>
      </c>
      <c r="GU988" s="1654">
        <f t="shared" si="2056"/>
        <v>25.572198571232732</v>
      </c>
      <c r="GV988" s="1654">
        <f t="shared" si="2056"/>
        <v>23.149120000000089</v>
      </c>
      <c r="GW988" s="1654">
        <f t="shared" si="2056"/>
        <v>12.857640094999926</v>
      </c>
      <c r="GX988" s="1654">
        <f t="shared" si="2056"/>
        <v>10.027135000000044</v>
      </c>
      <c r="GY988" s="1654">
        <f t="shared" si="2056"/>
        <v>29.996341205999968</v>
      </c>
      <c r="GZ988" s="1654">
        <f t="shared" si="2056"/>
        <v>-19.64346499799996</v>
      </c>
      <c r="HA988" s="1654">
        <f t="shared" si="2056"/>
        <v>3.0677000000000305</v>
      </c>
      <c r="HB988" s="1654">
        <f t="shared" si="2056"/>
        <v>41.255300000000005</v>
      </c>
      <c r="HC988" s="1654">
        <f t="shared" si="2056"/>
        <v>56.250939816999974</v>
      </c>
      <c r="HD988" s="1654">
        <f t="shared" si="2056"/>
        <v>10.04849999999999</v>
      </c>
      <c r="HE988" s="1654">
        <f t="shared" si="2056"/>
        <v>-140.09259999999998</v>
      </c>
      <c r="HF988" s="1654">
        <f t="shared" si="2056"/>
        <v>-78.174719727681492</v>
      </c>
      <c r="HG988" s="1654">
        <f t="shared" si="2056"/>
        <v>10.083333736999972</v>
      </c>
      <c r="HH988" s="1654">
        <f t="shared" si="2056"/>
        <v>115.96549999999989</v>
      </c>
      <c r="HI988" s="1654">
        <f t="shared" si="2056"/>
        <v>60.069636948999985</v>
      </c>
      <c r="HJ988" s="1654">
        <f t="shared" si="2056"/>
        <v>17.461999999999989</v>
      </c>
      <c r="HK988" s="1654">
        <f t="shared" si="2056"/>
        <v>12.471000000000018</v>
      </c>
      <c r="HL988" s="1654">
        <f t="shared" si="2056"/>
        <v>33.407385604000019</v>
      </c>
      <c r="HM988" s="1654">
        <f t="shared" si="2056"/>
        <v>-42.71469999999988</v>
      </c>
      <c r="HN988" s="1654">
        <f t="shared" si="2056"/>
        <v>-54.732760381000013</v>
      </c>
      <c r="HO988" s="1654">
        <f t="shared" si="2056"/>
        <v>-66.586836323000114</v>
      </c>
      <c r="HP988" s="1654">
        <f t="shared" si="2056"/>
        <v>-35.017200000000031</v>
      </c>
      <c r="HQ988" s="1654">
        <f t="shared" si="2056"/>
        <v>-1.5510625559998665</v>
      </c>
      <c r="HR988" s="1654">
        <f t="shared" si="2056"/>
        <v>-14.517057829000002</v>
      </c>
      <c r="HS988" s="1654">
        <f t="shared" ref="HS988:HX988" si="2057">HS993+HS1008+HS1015+HS1016+HS1017+HS1018</f>
        <v>77.062819249999905</v>
      </c>
      <c r="HT988" s="1654">
        <f t="shared" si="2057"/>
        <v>65.029400000000123</v>
      </c>
      <c r="HU988" s="1654">
        <f t="shared" si="2057"/>
        <v>184.344451456</v>
      </c>
      <c r="HV988" s="1654">
        <f t="shared" si="2057"/>
        <v>69.552999999999827</v>
      </c>
      <c r="HW988" s="1654">
        <f t="shared" si="2057"/>
        <v>34.357300000000144</v>
      </c>
      <c r="HX988" s="1654">
        <f t="shared" si="2057"/>
        <v>-80.649848544000079</v>
      </c>
      <c r="HY988" s="1654"/>
      <c r="HZ988" s="326"/>
      <c r="IA988" s="333" t="s">
        <v>564</v>
      </c>
      <c r="IB988" s="284">
        <f>SUM(CE988:CJ988)</f>
        <v>10.163131880999963</v>
      </c>
      <c r="IC988" s="279">
        <f>SUM(CK988:CP988)</f>
        <v>14.492650864918801</v>
      </c>
      <c r="ID988" s="323">
        <f>IB988+IC988</f>
        <v>24.655782745918764</v>
      </c>
      <c r="IE988" s="279">
        <f>SUM(CQ988:CV988)</f>
        <v>67.392760055077403</v>
      </c>
      <c r="IF988" s="279">
        <f>SUM(CW988:DB988)</f>
        <v>24.879675971061829</v>
      </c>
      <c r="IG988" s="323">
        <f>IE988+IF988</f>
        <v>92.272436026139232</v>
      </c>
      <c r="IH988" s="284">
        <f>SUM(DC988:DH988)</f>
        <v>53.499911194000006</v>
      </c>
      <c r="II988" s="279">
        <f>SUM(DI988:DN988)</f>
        <v>41.334139932999989</v>
      </c>
      <c r="IJ988" s="323">
        <f>IH988+II988</f>
        <v>94.834051126999995</v>
      </c>
      <c r="IK988" s="327">
        <f>SUM(DO988:DT988)</f>
        <v>16.12547470399646</v>
      </c>
      <c r="IL988" s="279">
        <f>SUM(DU988:DZ988)</f>
        <v>23.176074378003563</v>
      </c>
      <c r="IM988" s="323">
        <f>IK988+IL988</f>
        <v>39.301549082000022</v>
      </c>
      <c r="IN988" s="279">
        <f>SUM(EA988:EF988)</f>
        <v>74.475527496422202</v>
      </c>
      <c r="IO988" s="279">
        <f>SUM(EG988:EL988)</f>
        <v>17.790711048999881</v>
      </c>
      <c r="IP988" s="323">
        <f>IN988+IO988</f>
        <v>92.266238545422084</v>
      </c>
      <c r="IQ988" s="327">
        <f>SUM(EM988:ER988)</f>
        <v>14.922094248414169</v>
      </c>
      <c r="IR988" s="327">
        <f>SUM(ES988:EX988)</f>
        <v>93.018854464096592</v>
      </c>
      <c r="IS988" s="323">
        <f>IQ988+IR988</f>
        <v>107.94094871251076</v>
      </c>
      <c r="IT988" s="327">
        <f>SUM(EY988:FD988)</f>
        <v>102.77451687900017</v>
      </c>
      <c r="IU988" s="327">
        <f>SUM(FE988:FJ988)</f>
        <v>103.1968671730001</v>
      </c>
      <c r="IV988" s="323">
        <f>IT988+IU988</f>
        <v>205.97138405200027</v>
      </c>
      <c r="IW988" s="327">
        <f>SUM(FK988:FP988)</f>
        <v>312.7574984979999</v>
      </c>
      <c r="IX988" s="327">
        <f>SUM(FQ988:FV988)</f>
        <v>-59.291593293000034</v>
      </c>
      <c r="IY988" s="323">
        <f t="shared" si="2005"/>
        <v>253.46590520499987</v>
      </c>
      <c r="IZ988" s="327">
        <f t="shared" si="2018"/>
        <v>140.89818072100007</v>
      </c>
      <c r="JA988" s="327">
        <f t="shared" si="2019"/>
        <v>79.688266893572475</v>
      </c>
      <c r="JB988" s="323">
        <f t="shared" si="2036"/>
        <v>220.58644761457253</v>
      </c>
      <c r="JC988" s="327">
        <f t="shared" si="2020"/>
        <v>319.51503415199988</v>
      </c>
      <c r="JD988" s="327">
        <f t="shared" si="2021"/>
        <v>-177.18774524199986</v>
      </c>
      <c r="JE988" s="323">
        <f t="shared" si="1945"/>
        <v>142.32728891000002</v>
      </c>
      <c r="JF988" s="327">
        <f>JF993+JF1008+JF1015+JF1016+JF1017+JF1018</f>
        <v>81.958969874232793</v>
      </c>
      <c r="JG988" s="327">
        <f>JG993+JG1008+JG1015+JG1016+JG1017+JG1018</f>
        <v>-107.64487991068145</v>
      </c>
      <c r="JH988" s="323">
        <f t="shared" si="1944"/>
        <v>-25.685910036448661</v>
      </c>
      <c r="JI988" s="327">
        <f t="shared" si="1993"/>
        <v>249.45885628999986</v>
      </c>
      <c r="JJ988" s="1409">
        <f t="shared" si="2035"/>
        <v>-215.11961708899992</v>
      </c>
      <c r="JK988" s="323">
        <f t="shared" si="1933"/>
        <v>34.339239200999941</v>
      </c>
      <c r="JL988" s="1409">
        <f t="shared" si="1946"/>
        <v>349.69712216199991</v>
      </c>
      <c r="JM988" s="1409">
        <f>JM987-JM1019</f>
        <v>-108.41682399283673</v>
      </c>
      <c r="JN988" s="323">
        <f>FISC!AK1314</f>
        <v>162.43460389297024</v>
      </c>
      <c r="JO988" s="1409">
        <f>JO987-JO1019</f>
        <v>482.10501094896745</v>
      </c>
      <c r="JP988" s="1409">
        <f>JP987-JP1019</f>
        <v>-211.62817134195274</v>
      </c>
      <c r="JQ988" s="323">
        <f>FISC!AL1314</f>
        <v>270.47683960701488</v>
      </c>
      <c r="JR988" s="1409">
        <f>JR987-JR1019</f>
        <v>456.02069727198318</v>
      </c>
      <c r="JS988" s="1409">
        <f>JS987-JS1019</f>
        <v>-15.193520285460977</v>
      </c>
      <c r="JT988" s="323">
        <f>FISC!AM1314</f>
        <v>440.82717698652209</v>
      </c>
      <c r="JU988" s="1409">
        <f>JU987-JU1019</f>
        <v>192.32822910974892</v>
      </c>
      <c r="JV988" s="1409">
        <f>JV987-JV1019</f>
        <v>66.742011153778492</v>
      </c>
      <c r="JW988" s="323">
        <f>FISC!AN1314</f>
        <v>259.07024026352747</v>
      </c>
      <c r="JX988" s="1409">
        <f>JX987-JX1019</f>
        <v>489.75808543939274</v>
      </c>
      <c r="JY988" s="1409">
        <f>JY987-JY1019</f>
        <v>92.453198166355492</v>
      </c>
      <c r="JZ988" s="323">
        <f>FISC!AO1314</f>
        <v>582.21128360574767</v>
      </c>
      <c r="KA988" s="1409">
        <f>KA987-KA1019</f>
        <v>569.88405903185105</v>
      </c>
      <c r="KB988" s="1409">
        <f>KB987-KB1019</f>
        <v>299.40688415811036</v>
      </c>
      <c r="KC988" s="323">
        <f>FISC!AP1314</f>
        <v>546.33957167213407</v>
      </c>
      <c r="KD988" s="1409">
        <f>KD987-KD1019</f>
        <v>995.15177087139239</v>
      </c>
      <c r="KE988" s="1409">
        <f>KE987-KE1019</f>
        <v>833.7234430241748</v>
      </c>
      <c r="KF988" s="323">
        <f>FISC!AQ1314</f>
        <v>2215.9008250071884</v>
      </c>
      <c r="KG988" s="1409">
        <f>KG987-KG1019</f>
        <v>1329.6451381514255</v>
      </c>
      <c r="KH988" s="1409">
        <f>KH987-KH1019</f>
        <v>458.3706597732351</v>
      </c>
      <c r="KI988" s="323">
        <f>FISC!AR1314</f>
        <v>1569.1853077789997</v>
      </c>
      <c r="KJ988" s="1409">
        <f>KJ987-KJ1019</f>
        <v>1764.6328119574889</v>
      </c>
      <c r="KK988" s="1409">
        <f>KK987-KK1019</f>
        <v>652.50131698852954</v>
      </c>
      <c r="KL988" s="323">
        <f>FISC!AS1314</f>
        <v>2286.1238149392721</v>
      </c>
      <c r="KM988" s="1409">
        <f>KM987-KM1019</f>
        <v>2157.0686207984863</v>
      </c>
      <c r="KN988" s="1409">
        <f>KN987-KN1019</f>
        <v>834.24515449090165</v>
      </c>
      <c r="KO988" s="323">
        <f>FISC!AT1314</f>
        <v>2990.3534054186339</v>
      </c>
      <c r="KU988" s="326"/>
      <c r="KV988" s="327"/>
      <c r="KY988" s="279">
        <f>KY990+KY993+KY1008+KY1018</f>
        <v>0</v>
      </c>
      <c r="KZ988" s="279">
        <f>KZ990+KZ993+KZ1008+KZ1018</f>
        <v>0</v>
      </c>
      <c r="LA988" s="279">
        <f>LA990+LA993+LA1008+LA1018</f>
        <v>0</v>
      </c>
      <c r="LB988" s="279">
        <f>LB990+LB993+LB1008+LB1018</f>
        <v>0</v>
      </c>
    </row>
    <row r="989" spans="1:314">
      <c r="A989" s="279"/>
      <c r="D989" s="1573" t="s">
        <v>3217</v>
      </c>
      <c r="E989" s="323"/>
      <c r="F989" s="323"/>
      <c r="G989" s="323"/>
      <c r="H989" s="323"/>
      <c r="I989" s="323"/>
      <c r="J989" s="323"/>
      <c r="K989" s="323"/>
      <c r="L989" s="323"/>
      <c r="M989" s="323"/>
      <c r="N989" s="323"/>
      <c r="O989" s="323"/>
      <c r="P989" s="323"/>
      <c r="Q989" s="323"/>
      <c r="R989" s="323"/>
      <c r="S989" s="323"/>
      <c r="T989" s="323"/>
      <c r="U989" s="323"/>
      <c r="V989" s="323"/>
      <c r="W989" s="323"/>
      <c r="X989" s="323"/>
      <c r="Y989" s="323"/>
      <c r="Z989" s="323"/>
      <c r="AA989" s="323"/>
      <c r="AB989" s="323"/>
      <c r="AC989" s="323"/>
      <c r="AD989" s="323"/>
      <c r="AE989" s="323"/>
      <c r="AF989" s="323"/>
      <c r="AG989" s="323"/>
      <c r="AH989" s="323"/>
      <c r="AI989" s="323"/>
      <c r="AJ989" s="323"/>
      <c r="AK989" s="323"/>
      <c r="AL989" s="323"/>
      <c r="AM989" s="323"/>
      <c r="AN989" s="323"/>
      <c r="AO989" s="323"/>
      <c r="AP989" s="323"/>
      <c r="AQ989" s="323"/>
      <c r="AR989" s="323"/>
      <c r="AS989" s="323"/>
      <c r="AT989" s="323"/>
      <c r="AU989" s="323"/>
      <c r="AV989" s="323"/>
      <c r="AW989" s="323"/>
      <c r="AX989" s="323"/>
      <c r="AY989" s="323"/>
      <c r="AZ989" s="323"/>
      <c r="BA989" s="323"/>
      <c r="BB989" s="323"/>
      <c r="BC989" s="323"/>
      <c r="BD989" s="323"/>
      <c r="BE989" s="323"/>
      <c r="BF989" s="323"/>
      <c r="BG989" s="323"/>
      <c r="BH989" s="323"/>
      <c r="BI989" s="323"/>
      <c r="BJ989" s="323"/>
      <c r="BK989" s="323"/>
      <c r="BL989" s="323"/>
      <c r="BM989" s="323"/>
      <c r="BN989" s="323"/>
      <c r="BO989" s="323"/>
      <c r="BP989" s="323"/>
      <c r="BQ989" s="323"/>
      <c r="BR989" s="323"/>
      <c r="BS989" s="323"/>
      <c r="BT989" s="323"/>
      <c r="BU989" s="323"/>
      <c r="BV989" s="323"/>
      <c r="BW989" s="323"/>
      <c r="BX989" s="323"/>
      <c r="BY989" s="323"/>
      <c r="BZ989" s="323"/>
      <c r="CA989" s="323"/>
      <c r="CB989" s="323"/>
      <c r="CC989" s="323"/>
      <c r="CD989" s="329"/>
      <c r="CE989" s="323"/>
      <c r="CF989" s="323"/>
      <c r="CG989" s="323"/>
      <c r="CH989" s="323"/>
      <c r="CI989" s="323"/>
      <c r="CJ989" s="323"/>
      <c r="CK989" s="323"/>
      <c r="CL989" s="323"/>
      <c r="CM989" s="323"/>
      <c r="CN989" s="323"/>
      <c r="CO989" s="323"/>
      <c r="CP989" s="325"/>
      <c r="CQ989" s="323"/>
      <c r="CR989" s="323"/>
      <c r="CS989" s="323"/>
      <c r="CT989" s="323"/>
      <c r="CU989" s="323"/>
      <c r="CV989" s="323"/>
      <c r="CW989" s="323"/>
      <c r="CX989" s="323"/>
      <c r="CY989" s="323"/>
      <c r="CZ989" s="323"/>
      <c r="DA989" s="323"/>
      <c r="DB989" s="1269"/>
      <c r="DC989" s="323"/>
      <c r="DD989" s="323"/>
      <c r="DE989" s="323"/>
      <c r="DF989" s="323"/>
      <c r="DG989" s="323"/>
      <c r="DH989" s="323"/>
      <c r="DI989" s="323"/>
      <c r="DJ989" s="323"/>
      <c r="DK989" s="323"/>
      <c r="DL989" s="323"/>
      <c r="DM989" s="323"/>
      <c r="DN989" s="325"/>
      <c r="DO989" s="323"/>
      <c r="DP989" s="323"/>
      <c r="DQ989" s="323"/>
      <c r="DR989" s="323"/>
      <c r="DS989" s="323"/>
      <c r="DT989" s="323"/>
      <c r="DU989" s="323"/>
      <c r="DV989" s="323"/>
      <c r="DW989" s="323"/>
      <c r="DX989" s="323"/>
      <c r="DY989" s="323"/>
      <c r="DZ989" s="325"/>
      <c r="EA989" s="323"/>
      <c r="EB989" s="323"/>
      <c r="EC989" s="323"/>
      <c r="ED989" s="323"/>
      <c r="EE989" s="323"/>
      <c r="EF989" s="323"/>
      <c r="EG989" s="323"/>
      <c r="EH989" s="323"/>
      <c r="EI989" s="323"/>
      <c r="EJ989" s="323"/>
      <c r="EK989" s="323"/>
      <c r="EL989" s="325"/>
      <c r="EM989" s="323"/>
      <c r="EN989" s="323"/>
      <c r="EO989" s="323"/>
      <c r="EP989" s="323"/>
      <c r="EQ989" s="323"/>
      <c r="ER989" s="323"/>
      <c r="ES989" s="323"/>
      <c r="ET989" s="323"/>
      <c r="EU989" s="323"/>
      <c r="EV989" s="323"/>
      <c r="EW989" s="323"/>
      <c r="EX989" s="325"/>
      <c r="EY989" s="323"/>
      <c r="EZ989" s="323"/>
      <c r="FA989" s="323"/>
      <c r="FB989" s="323"/>
      <c r="FC989" s="323"/>
      <c r="FD989" s="323"/>
      <c r="FE989" s="323"/>
      <c r="FF989" s="323"/>
      <c r="FG989" s="323"/>
      <c r="FH989" s="323"/>
      <c r="FI989" s="323"/>
      <c r="FJ989" s="325"/>
      <c r="FK989" s="323"/>
      <c r="FL989" s="323"/>
      <c r="FM989" s="323"/>
      <c r="FN989" s="323"/>
      <c r="FO989" s="323"/>
      <c r="FP989" s="323"/>
      <c r="FQ989" s="323"/>
      <c r="FR989" s="323"/>
      <c r="FS989" s="323"/>
      <c r="FT989" s="323"/>
      <c r="FU989" s="323"/>
      <c r="FV989" s="323"/>
      <c r="FW989" s="323"/>
      <c r="FX989" s="323"/>
      <c r="FY989" s="323"/>
      <c r="FZ989" s="323"/>
      <c r="GA989" s="323"/>
      <c r="GB989" s="323"/>
      <c r="GC989" s="323"/>
      <c r="GD989" s="323"/>
      <c r="GE989" s="323"/>
      <c r="GF989" s="323"/>
      <c r="GG989" s="323"/>
      <c r="GH989" s="323"/>
      <c r="GI989" s="1654"/>
      <c r="HZ989" s="326"/>
      <c r="IA989" s="1573" t="s">
        <v>3217</v>
      </c>
      <c r="IB989" s="284"/>
      <c r="ID989" s="323"/>
      <c r="IG989" s="323"/>
      <c r="IH989" s="284"/>
      <c r="IJ989" s="323"/>
      <c r="IK989" s="327"/>
      <c r="IM989" s="323"/>
      <c r="IP989" s="323"/>
      <c r="IQ989" s="327"/>
      <c r="IR989" s="327"/>
      <c r="IS989" s="323"/>
      <c r="IT989" s="327"/>
      <c r="IU989" s="327"/>
      <c r="IV989" s="323"/>
      <c r="IW989" s="327"/>
      <c r="IX989" s="327"/>
      <c r="IY989" s="323"/>
      <c r="IZ989" s="327">
        <f t="shared" si="2018"/>
        <v>0</v>
      </c>
      <c r="JA989" s="327">
        <f t="shared" si="2019"/>
        <v>0</v>
      </c>
      <c r="JB989" s="323">
        <f t="shared" si="2036"/>
        <v>0</v>
      </c>
      <c r="JC989" s="327">
        <f t="shared" si="2020"/>
        <v>0</v>
      </c>
      <c r="JD989" s="327">
        <f t="shared" si="2021"/>
        <v>0</v>
      </c>
      <c r="JE989" s="323">
        <f t="shared" si="1945"/>
        <v>0</v>
      </c>
      <c r="JF989" s="327">
        <f>SUM(GU989:GZ989)</f>
        <v>0</v>
      </c>
      <c r="JG989" s="327">
        <f t="shared" ref="JG989:JG992" si="2058">SUM(HA989:HF989)</f>
        <v>0</v>
      </c>
      <c r="JH989" s="323">
        <f t="shared" si="1944"/>
        <v>0</v>
      </c>
      <c r="JI989" s="327">
        <f t="shared" si="1993"/>
        <v>0</v>
      </c>
      <c r="JJ989" s="279">
        <f t="shared" si="2035"/>
        <v>0</v>
      </c>
      <c r="JK989" s="323">
        <f t="shared" si="1933"/>
        <v>0</v>
      </c>
      <c r="JL989" s="1409">
        <f t="shared" si="1946"/>
        <v>0</v>
      </c>
      <c r="JN989" s="323">
        <f>FISC!AK1315</f>
        <v>0</v>
      </c>
      <c r="JO989" s="1409"/>
      <c r="JQ989" s="323">
        <f>FISC!AL1315</f>
        <v>0</v>
      </c>
      <c r="JT989" s="323">
        <f>FISC!AM1315</f>
        <v>0</v>
      </c>
      <c r="JW989" s="323">
        <f>FISC!AN1315</f>
        <v>0</v>
      </c>
      <c r="JZ989" s="323">
        <f>FISC!AO1315</f>
        <v>0</v>
      </c>
      <c r="KC989" s="323">
        <f>FISC!AP1315</f>
        <v>0</v>
      </c>
      <c r="KF989" s="323">
        <f>FISC!AQ1315</f>
        <v>0</v>
      </c>
      <c r="KI989" s="323">
        <f>FISC!AR1315</f>
        <v>0</v>
      </c>
      <c r="KL989" s="323">
        <f>FISC!AS1315</f>
        <v>0</v>
      </c>
      <c r="KO989" s="323">
        <f>FISC!AT1315</f>
        <v>0</v>
      </c>
      <c r="KU989" s="326"/>
      <c r="KV989" s="327"/>
    </row>
    <row r="990" spans="1:314">
      <c r="A990" s="279"/>
      <c r="B990" s="96" t="s">
        <v>338</v>
      </c>
      <c r="D990" s="334" t="s">
        <v>565</v>
      </c>
      <c r="E990" s="323"/>
      <c r="F990" s="323"/>
      <c r="G990" s="323"/>
      <c r="H990" s="323"/>
      <c r="I990" s="323"/>
      <c r="J990" s="323"/>
      <c r="K990" s="323"/>
      <c r="L990" s="323"/>
      <c r="M990" s="323"/>
      <c r="N990" s="323"/>
      <c r="O990" s="323"/>
      <c r="P990" s="323"/>
      <c r="Q990" s="323"/>
      <c r="R990" s="323"/>
      <c r="S990" s="323"/>
      <c r="T990" s="323"/>
      <c r="U990" s="323"/>
      <c r="V990" s="323"/>
      <c r="W990" s="323"/>
      <c r="X990" s="323"/>
      <c r="Y990" s="323"/>
      <c r="Z990" s="323"/>
      <c r="AA990" s="323"/>
      <c r="AB990" s="323"/>
      <c r="AC990" s="323"/>
      <c r="AD990" s="323"/>
      <c r="AE990" s="323"/>
      <c r="AF990" s="323"/>
      <c r="AG990" s="323"/>
      <c r="AH990" s="323"/>
      <c r="AI990" s="323"/>
      <c r="AJ990" s="323"/>
      <c r="AK990" s="323"/>
      <c r="AL990" s="323"/>
      <c r="AM990" s="323"/>
      <c r="AN990" s="323"/>
      <c r="AO990" s="323"/>
      <c r="AP990" s="323"/>
      <c r="AQ990" s="323"/>
      <c r="AR990" s="323"/>
      <c r="AS990" s="323"/>
      <c r="AT990" s="323"/>
      <c r="AU990" s="323"/>
      <c r="AV990" s="323"/>
      <c r="AW990" s="323"/>
      <c r="AX990" s="323"/>
      <c r="AY990" s="323"/>
      <c r="AZ990" s="323"/>
      <c r="BA990" s="323"/>
      <c r="BB990" s="323"/>
      <c r="BC990" s="323"/>
      <c r="BD990" s="323"/>
      <c r="BE990" s="323"/>
      <c r="BF990" s="323"/>
      <c r="BG990" s="323"/>
      <c r="BH990" s="323"/>
      <c r="BI990" s="323"/>
      <c r="BJ990" s="323"/>
      <c r="BK990" s="323"/>
      <c r="BL990" s="323"/>
      <c r="BM990" s="323"/>
      <c r="BN990" s="323"/>
      <c r="BO990" s="323"/>
      <c r="BP990" s="323"/>
      <c r="BQ990" s="323"/>
      <c r="BR990" s="323"/>
      <c r="BS990" s="323"/>
      <c r="BT990" s="323"/>
      <c r="BU990" s="323"/>
      <c r="BV990" s="323"/>
      <c r="BW990" s="323"/>
      <c r="BX990" s="323"/>
      <c r="BY990" s="323"/>
      <c r="BZ990" s="323"/>
      <c r="CA990" s="323"/>
      <c r="CB990" s="323"/>
      <c r="CC990" s="323"/>
      <c r="CD990" s="329"/>
      <c r="CE990" s="323">
        <v>0</v>
      </c>
      <c r="CF990" s="323">
        <v>0</v>
      </c>
      <c r="CG990" s="323">
        <v>0</v>
      </c>
      <c r="CH990" s="323">
        <v>0</v>
      </c>
      <c r="CI990" s="323">
        <v>0</v>
      </c>
      <c r="CJ990" s="323">
        <v>0</v>
      </c>
      <c r="CK990" s="323">
        <v>0</v>
      </c>
      <c r="CL990" s="323">
        <v>0</v>
      </c>
      <c r="CM990" s="323">
        <v>0</v>
      </c>
      <c r="CN990" s="323">
        <v>0</v>
      </c>
      <c r="CO990" s="323">
        <v>0</v>
      </c>
      <c r="CP990" s="325">
        <v>0</v>
      </c>
      <c r="CQ990" s="323"/>
      <c r="CR990" s="323"/>
      <c r="CS990" s="323"/>
      <c r="CT990" s="323"/>
      <c r="CU990" s="323"/>
      <c r="CV990" s="323"/>
      <c r="CW990" s="323"/>
      <c r="CX990" s="323"/>
      <c r="CY990" s="323"/>
      <c r="CZ990" s="323"/>
      <c r="DA990" s="323"/>
      <c r="DB990" s="1269"/>
      <c r="DC990" s="323"/>
      <c r="DD990" s="323"/>
      <c r="DE990" s="323"/>
      <c r="DF990" s="323"/>
      <c r="DG990" s="323"/>
      <c r="DH990" s="323"/>
      <c r="DI990" s="323"/>
      <c r="DJ990" s="323"/>
      <c r="DK990" s="323"/>
      <c r="DL990" s="323"/>
      <c r="DM990" s="323"/>
      <c r="DN990" s="325"/>
      <c r="DO990" s="323"/>
      <c r="DP990" s="323"/>
      <c r="DQ990" s="323"/>
      <c r="DR990" s="323"/>
      <c r="DS990" s="323"/>
      <c r="DT990" s="323"/>
      <c r="DU990" s="323"/>
      <c r="DV990" s="323"/>
      <c r="DW990" s="323"/>
      <c r="DX990" s="323"/>
      <c r="DY990" s="323"/>
      <c r="DZ990" s="325"/>
      <c r="EA990" s="323"/>
      <c r="EB990" s="323"/>
      <c r="EC990" s="323"/>
      <c r="ED990" s="323"/>
      <c r="EE990" s="323"/>
      <c r="EF990" s="323"/>
      <c r="EG990" s="323"/>
      <c r="EH990" s="323"/>
      <c r="EI990" s="323"/>
      <c r="EJ990" s="323"/>
      <c r="EK990" s="323"/>
      <c r="EL990" s="325"/>
      <c r="EM990" s="323"/>
      <c r="EN990" s="323"/>
      <c r="EO990" s="323"/>
      <c r="EP990" s="323"/>
      <c r="EQ990" s="323"/>
      <c r="ER990" s="323"/>
      <c r="ES990" s="323"/>
      <c r="ET990" s="323"/>
      <c r="EU990" s="323"/>
      <c r="EV990" s="323"/>
      <c r="EW990" s="323"/>
      <c r="EX990" s="325"/>
      <c r="EY990" s="323"/>
      <c r="EZ990" s="323"/>
      <c r="FA990" s="323"/>
      <c r="FB990" s="323"/>
      <c r="FC990" s="323"/>
      <c r="FD990" s="323"/>
      <c r="FE990" s="323"/>
      <c r="FF990" s="323"/>
      <c r="FG990" s="323"/>
      <c r="FH990" s="323"/>
      <c r="FI990" s="323"/>
      <c r="FJ990" s="325"/>
      <c r="FK990" s="323">
        <v>0</v>
      </c>
      <c r="FL990" s="323">
        <v>0</v>
      </c>
      <c r="FM990" s="323">
        <v>0</v>
      </c>
      <c r="FN990" s="323">
        <v>0</v>
      </c>
      <c r="FO990" s="323">
        <v>0</v>
      </c>
      <c r="FP990" s="323">
        <v>0</v>
      </c>
      <c r="FQ990" s="323">
        <v>0</v>
      </c>
      <c r="FR990" s="323">
        <v>0</v>
      </c>
      <c r="FS990" s="323">
        <v>0</v>
      </c>
      <c r="FT990" s="323">
        <v>0</v>
      </c>
      <c r="FU990" s="323">
        <v>0</v>
      </c>
      <c r="FV990" s="323">
        <v>0</v>
      </c>
      <c r="FW990" s="323">
        <v>0</v>
      </c>
      <c r="FX990" s="323">
        <v>0</v>
      </c>
      <c r="FY990" s="323">
        <v>0</v>
      </c>
      <c r="FZ990" s="323">
        <v>0</v>
      </c>
      <c r="GA990" s="323">
        <v>0</v>
      </c>
      <c r="GB990" s="323">
        <v>0</v>
      </c>
      <c r="GC990" s="323">
        <v>0</v>
      </c>
      <c r="GD990" s="323">
        <v>0</v>
      </c>
      <c r="GE990" s="323">
        <v>0</v>
      </c>
      <c r="GF990" s="323">
        <v>0</v>
      </c>
      <c r="GG990" s="323">
        <v>0</v>
      </c>
      <c r="GH990" s="323">
        <v>0</v>
      </c>
      <c r="GI990" s="1654"/>
      <c r="GS990" s="1654"/>
      <c r="HZ990" s="326"/>
      <c r="IA990" s="334" t="s">
        <v>565</v>
      </c>
      <c r="IB990" s="284">
        <f>SUM(CE990:CJ990)</f>
        <v>0</v>
      </c>
      <c r="IC990" s="279">
        <f>SUM(CK990:CP990)</f>
        <v>0</v>
      </c>
      <c r="ID990" s="323">
        <f>IB990+IC990</f>
        <v>0</v>
      </c>
      <c r="IE990" s="279">
        <f>SUM(CQ990:CV990)</f>
        <v>0</v>
      </c>
      <c r="IF990" s="279">
        <f>SUM(CW990:DB990)</f>
        <v>0</v>
      </c>
      <c r="IG990" s="323">
        <f>IE990+IF990</f>
        <v>0</v>
      </c>
      <c r="IH990" s="284">
        <f>SUM(DC990:DH990)</f>
        <v>0</v>
      </c>
      <c r="II990" s="279">
        <f>SUM(DI990:DN990)</f>
        <v>0</v>
      </c>
      <c r="IJ990" s="323">
        <f>IH990+II990</f>
        <v>0</v>
      </c>
      <c r="IK990" s="327">
        <f>SUM(DO990:DT990)</f>
        <v>0</v>
      </c>
      <c r="IL990" s="279">
        <f>SUM(DU990:DZ990)</f>
        <v>0</v>
      </c>
      <c r="IM990" s="323">
        <f>IK990+IL990</f>
        <v>0</v>
      </c>
      <c r="IN990" s="279">
        <f>SUM(EA990:EF990)</f>
        <v>0</v>
      </c>
      <c r="IO990" s="279">
        <f>SUM(EG990:EL990)</f>
        <v>0</v>
      </c>
      <c r="IP990" s="323">
        <f>IN990+IO990</f>
        <v>0</v>
      </c>
      <c r="IQ990" s="327">
        <f>SUM(EM990:ER990)</f>
        <v>0</v>
      </c>
      <c r="IR990" s="327">
        <f>SUM(ES990:EX990)</f>
        <v>0</v>
      </c>
      <c r="IS990" s="323">
        <f>IQ990+IR990</f>
        <v>0</v>
      </c>
      <c r="IT990" s="327">
        <f>SUM(EY990:FD990)</f>
        <v>0</v>
      </c>
      <c r="IU990" s="327">
        <f>SUM(FE990:FJ990)</f>
        <v>0</v>
      </c>
      <c r="IV990" s="323">
        <f t="shared" ref="IV990:IV1008" si="2059">IT990+IU990</f>
        <v>0</v>
      </c>
      <c r="IW990" s="327">
        <f t="shared" ref="IW990:IW995" si="2060">SUM(FK990:FP990)</f>
        <v>0</v>
      </c>
      <c r="IX990" s="327">
        <f t="shared" ref="IX990:IX995" si="2061">SUM(FQ990:FV990)</f>
        <v>0</v>
      </c>
      <c r="IY990" s="323">
        <f t="shared" si="2005"/>
        <v>0</v>
      </c>
      <c r="IZ990" s="327">
        <f t="shared" si="2018"/>
        <v>0</v>
      </c>
      <c r="JA990" s="327">
        <f t="shared" si="2019"/>
        <v>0</v>
      </c>
      <c r="JB990" s="323">
        <f t="shared" si="2036"/>
        <v>0</v>
      </c>
      <c r="JC990" s="327">
        <f t="shared" si="2020"/>
        <v>0</v>
      </c>
      <c r="JD990" s="327">
        <f t="shared" si="2021"/>
        <v>0</v>
      </c>
      <c r="JE990" s="323">
        <f t="shared" si="1945"/>
        <v>0</v>
      </c>
      <c r="JF990" s="327">
        <f>SUM(GU990:GZ990)</f>
        <v>0</v>
      </c>
      <c r="JG990" s="327">
        <f t="shared" si="2058"/>
        <v>0</v>
      </c>
      <c r="JH990" s="323">
        <f t="shared" si="1944"/>
        <v>0</v>
      </c>
      <c r="JI990" s="327">
        <f t="shared" si="1993"/>
        <v>0</v>
      </c>
      <c r="JJ990" s="327">
        <f t="shared" si="2035"/>
        <v>0</v>
      </c>
      <c r="JK990" s="323">
        <f t="shared" si="1933"/>
        <v>0</v>
      </c>
      <c r="JL990" s="327">
        <f t="shared" si="1946"/>
        <v>0</v>
      </c>
      <c r="JM990" s="327">
        <f>JN990-JL990</f>
        <v>0</v>
      </c>
      <c r="JN990" s="323">
        <f>FISC!AK1316</f>
        <v>0</v>
      </c>
      <c r="JO990" s="327">
        <f>JO991+JO992</f>
        <v>0</v>
      </c>
      <c r="JP990" s="327">
        <f>JQ990-JO990</f>
        <v>0</v>
      </c>
      <c r="JQ990" s="323">
        <f>FISC!AL1316</f>
        <v>0</v>
      </c>
      <c r="JR990" s="327">
        <f>JR991+JR992</f>
        <v>0</v>
      </c>
      <c r="JS990" s="327">
        <f>JT990-JR990</f>
        <v>0</v>
      </c>
      <c r="JT990" s="323">
        <f>FISC!AM1316</f>
        <v>0</v>
      </c>
      <c r="JU990" s="327">
        <f>JU991+JU992</f>
        <v>0</v>
      </c>
      <c r="JV990" s="327">
        <f>JW990-JU990</f>
        <v>0</v>
      </c>
      <c r="JW990" s="323">
        <f>FISC!AN1316</f>
        <v>0</v>
      </c>
      <c r="JX990" s="327">
        <f>JX991+JX992</f>
        <v>0</v>
      </c>
      <c r="JY990" s="327">
        <f>JZ990-JX990</f>
        <v>0</v>
      </c>
      <c r="JZ990" s="323">
        <f>FISC!AO1316</f>
        <v>0</v>
      </c>
      <c r="KA990" s="327">
        <f>KA991+KA992</f>
        <v>0</v>
      </c>
      <c r="KB990" s="327">
        <f>KC990-KA990</f>
        <v>0</v>
      </c>
      <c r="KC990" s="323">
        <f>FISC!AP1316</f>
        <v>0</v>
      </c>
      <c r="KD990" s="327">
        <f>KD991+KD992</f>
        <v>0</v>
      </c>
      <c r="KE990" s="327">
        <f>KF990-KD990</f>
        <v>0</v>
      </c>
      <c r="KF990" s="323">
        <f>FISC!AQ1316</f>
        <v>0</v>
      </c>
      <c r="KG990" s="327">
        <f>KG991+KG992</f>
        <v>0</v>
      </c>
      <c r="KH990" s="327">
        <f>KI990-KG990</f>
        <v>0</v>
      </c>
      <c r="KI990" s="323">
        <f>FISC!AR1316</f>
        <v>0</v>
      </c>
      <c r="KJ990" s="327">
        <f>KJ991+KJ992</f>
        <v>0</v>
      </c>
      <c r="KK990" s="327">
        <f>KL990-KJ990</f>
        <v>0</v>
      </c>
      <c r="KL990" s="323">
        <f>FISC!AS1316</f>
        <v>0</v>
      </c>
      <c r="KM990" s="327">
        <f>KM991+KM992</f>
        <v>0</v>
      </c>
      <c r="KN990" s="327">
        <f>KO990-KM990</f>
        <v>0</v>
      </c>
      <c r="KO990" s="323">
        <f>FISC!AT1316</f>
        <v>0</v>
      </c>
      <c r="KU990" s="326"/>
      <c r="KV990" s="327"/>
    </row>
    <row r="991" spans="1:314">
      <c r="A991" s="279"/>
      <c r="D991" s="1505" t="s">
        <v>3160</v>
      </c>
      <c r="E991" s="323"/>
      <c r="F991" s="323"/>
      <c r="G991" s="323"/>
      <c r="H991" s="323"/>
      <c r="I991" s="323"/>
      <c r="J991" s="323"/>
      <c r="K991" s="323"/>
      <c r="L991" s="323"/>
      <c r="M991" s="323"/>
      <c r="N991" s="323"/>
      <c r="O991" s="323"/>
      <c r="P991" s="323"/>
      <c r="Q991" s="323"/>
      <c r="R991" s="323"/>
      <c r="S991" s="323"/>
      <c r="T991" s="323"/>
      <c r="U991" s="323"/>
      <c r="V991" s="323"/>
      <c r="W991" s="323"/>
      <c r="X991" s="323"/>
      <c r="Y991" s="323"/>
      <c r="Z991" s="323"/>
      <c r="AA991" s="323"/>
      <c r="AB991" s="323"/>
      <c r="AC991" s="323"/>
      <c r="AD991" s="323"/>
      <c r="AE991" s="323"/>
      <c r="AF991" s="323"/>
      <c r="AG991" s="323"/>
      <c r="AH991" s="323"/>
      <c r="AI991" s="323"/>
      <c r="AJ991" s="323"/>
      <c r="AK991" s="323"/>
      <c r="AL991" s="323"/>
      <c r="AM991" s="323"/>
      <c r="AN991" s="323"/>
      <c r="AO991" s="323"/>
      <c r="AP991" s="323"/>
      <c r="AQ991" s="323"/>
      <c r="AR991" s="323"/>
      <c r="AS991" s="323"/>
      <c r="AT991" s="323"/>
      <c r="AU991" s="323"/>
      <c r="AV991" s="323"/>
      <c r="AW991" s="323"/>
      <c r="AX991" s="323"/>
      <c r="AY991" s="323"/>
      <c r="AZ991" s="323"/>
      <c r="BA991" s="323"/>
      <c r="BB991" s="323"/>
      <c r="BC991" s="323"/>
      <c r="BD991" s="323"/>
      <c r="BE991" s="323"/>
      <c r="BF991" s="323"/>
      <c r="BG991" s="323"/>
      <c r="BH991" s="323"/>
      <c r="BI991" s="323"/>
      <c r="BJ991" s="323"/>
      <c r="BK991" s="323"/>
      <c r="BL991" s="323"/>
      <c r="BM991" s="323"/>
      <c r="BN991" s="323"/>
      <c r="BO991" s="323"/>
      <c r="BP991" s="323"/>
      <c r="BQ991" s="323"/>
      <c r="BR991" s="323"/>
      <c r="BS991" s="323"/>
      <c r="BT991" s="323"/>
      <c r="BU991" s="323"/>
      <c r="BV991" s="323"/>
      <c r="BW991" s="323"/>
      <c r="BX991" s="323"/>
      <c r="BY991" s="323"/>
      <c r="BZ991" s="323"/>
      <c r="CA991" s="323"/>
      <c r="CB991" s="323"/>
      <c r="CC991" s="323"/>
      <c r="CD991" s="329"/>
      <c r="CE991" s="323"/>
      <c r="CF991" s="323"/>
      <c r="CG991" s="323"/>
      <c r="CH991" s="323"/>
      <c r="CI991" s="323"/>
      <c r="CJ991" s="323"/>
      <c r="CK991" s="323"/>
      <c r="CL991" s="323"/>
      <c r="CM991" s="323"/>
      <c r="CN991" s="323"/>
      <c r="CO991" s="323"/>
      <c r="CP991" s="325"/>
      <c r="CQ991" s="323"/>
      <c r="CR991" s="323"/>
      <c r="CS991" s="323"/>
      <c r="CT991" s="323"/>
      <c r="CU991" s="323"/>
      <c r="CV991" s="323"/>
      <c r="CW991" s="323"/>
      <c r="CX991" s="323"/>
      <c r="CY991" s="323"/>
      <c r="CZ991" s="323"/>
      <c r="DA991" s="323"/>
      <c r="DB991" s="1269"/>
      <c r="DC991" s="323"/>
      <c r="DD991" s="323"/>
      <c r="DE991" s="323"/>
      <c r="DF991" s="323"/>
      <c r="DG991" s="323"/>
      <c r="DH991" s="323"/>
      <c r="DI991" s="323"/>
      <c r="DJ991" s="323"/>
      <c r="DK991" s="323"/>
      <c r="DL991" s="323"/>
      <c r="DM991" s="323"/>
      <c r="DN991" s="325"/>
      <c r="DO991" s="323"/>
      <c r="DP991" s="323"/>
      <c r="DQ991" s="323"/>
      <c r="DR991" s="323"/>
      <c r="DS991" s="323"/>
      <c r="DT991" s="323"/>
      <c r="DU991" s="323"/>
      <c r="DV991" s="323"/>
      <c r="DW991" s="323"/>
      <c r="DX991" s="323"/>
      <c r="DY991" s="323"/>
      <c r="DZ991" s="325"/>
      <c r="EA991" s="323"/>
      <c r="EB991" s="323"/>
      <c r="EC991" s="323"/>
      <c r="ED991" s="323"/>
      <c r="EE991" s="323"/>
      <c r="EF991" s="323"/>
      <c r="EG991" s="323"/>
      <c r="EH991" s="323"/>
      <c r="EI991" s="323"/>
      <c r="EJ991" s="323"/>
      <c r="EK991" s="323"/>
      <c r="EL991" s="325"/>
      <c r="EM991" s="323"/>
      <c r="EN991" s="323"/>
      <c r="EO991" s="323"/>
      <c r="EP991" s="323"/>
      <c r="EQ991" s="323"/>
      <c r="ER991" s="323"/>
      <c r="ES991" s="323"/>
      <c r="ET991" s="323"/>
      <c r="EU991" s="323"/>
      <c r="EV991" s="323"/>
      <c r="EW991" s="323"/>
      <c r="EX991" s="325"/>
      <c r="EY991" s="323"/>
      <c r="EZ991" s="323"/>
      <c r="FA991" s="323"/>
      <c r="FB991" s="323"/>
      <c r="FC991" s="323"/>
      <c r="FD991" s="323"/>
      <c r="FE991" s="323"/>
      <c r="FF991" s="323"/>
      <c r="FG991" s="323"/>
      <c r="FH991" s="323"/>
      <c r="FI991" s="323"/>
      <c r="FJ991" s="325"/>
      <c r="FK991" s="323"/>
      <c r="FL991" s="323"/>
      <c r="FM991" s="323"/>
      <c r="FN991" s="323"/>
      <c r="FO991" s="323"/>
      <c r="FP991" s="323"/>
      <c r="FQ991" s="323"/>
      <c r="FR991" s="323"/>
      <c r="FS991" s="323"/>
      <c r="FT991" s="323"/>
      <c r="FU991" s="323"/>
      <c r="FV991" s="323"/>
      <c r="FW991" s="323"/>
      <c r="FX991" s="323"/>
      <c r="FY991" s="323"/>
      <c r="FZ991" s="323"/>
      <c r="GA991" s="323"/>
      <c r="GB991" s="323"/>
      <c r="GC991" s="323"/>
      <c r="GD991" s="323"/>
      <c r="GE991" s="323"/>
      <c r="GF991" s="323"/>
      <c r="GG991" s="323"/>
      <c r="GH991" s="323"/>
      <c r="GI991" s="1654"/>
      <c r="HZ991" s="326"/>
      <c r="IA991" s="1505" t="s">
        <v>3160</v>
      </c>
      <c r="IB991" s="284"/>
      <c r="ID991" s="323"/>
      <c r="IG991" s="323"/>
      <c r="IH991" s="284"/>
      <c r="IJ991" s="323"/>
      <c r="IK991" s="327"/>
      <c r="IM991" s="323"/>
      <c r="IP991" s="323"/>
      <c r="IQ991" s="327"/>
      <c r="IR991" s="327"/>
      <c r="IS991" s="323"/>
      <c r="IT991" s="327"/>
      <c r="IU991" s="327"/>
      <c r="IV991" s="323">
        <f t="shared" si="2059"/>
        <v>0</v>
      </c>
      <c r="IW991" s="327">
        <f t="shared" si="2060"/>
        <v>0</v>
      </c>
      <c r="IX991" s="327">
        <f t="shared" si="2061"/>
        <v>0</v>
      </c>
      <c r="IY991" s="323">
        <f t="shared" si="2005"/>
        <v>0</v>
      </c>
      <c r="IZ991" s="327">
        <f t="shared" si="2018"/>
        <v>0</v>
      </c>
      <c r="JA991" s="327">
        <f t="shared" si="2019"/>
        <v>0</v>
      </c>
      <c r="JB991" s="323">
        <f t="shared" si="2036"/>
        <v>0</v>
      </c>
      <c r="JC991" s="327">
        <f t="shared" si="2020"/>
        <v>0</v>
      </c>
      <c r="JD991" s="327">
        <f t="shared" si="2021"/>
        <v>0</v>
      </c>
      <c r="JE991" s="323">
        <f t="shared" si="1945"/>
        <v>0</v>
      </c>
      <c r="JF991" s="327">
        <f>SUM(GU991:GZ991)</f>
        <v>0</v>
      </c>
      <c r="JG991" s="327">
        <f t="shared" si="2058"/>
        <v>0</v>
      </c>
      <c r="JH991" s="323">
        <f t="shared" si="1944"/>
        <v>0</v>
      </c>
      <c r="JI991" s="327">
        <f t="shared" si="1993"/>
        <v>0</v>
      </c>
      <c r="JJ991" s="279">
        <f t="shared" si="2035"/>
        <v>0</v>
      </c>
      <c r="JK991" s="323">
        <f t="shared" si="1933"/>
        <v>0</v>
      </c>
      <c r="JL991" s="327">
        <f t="shared" si="1946"/>
        <v>0</v>
      </c>
      <c r="JM991" s="279">
        <f t="shared" ref="JM991:JM1017" si="2062">JN991-JL991</f>
        <v>0</v>
      </c>
      <c r="JN991" s="323">
        <f>FISC!AK1317</f>
        <v>0</v>
      </c>
      <c r="JO991" s="327">
        <f>JQ991/2</f>
        <v>0</v>
      </c>
      <c r="JP991" s="279">
        <f>JQ991-JO991</f>
        <v>0</v>
      </c>
      <c r="JQ991" s="323">
        <f>FISC!AL1317</f>
        <v>0</v>
      </c>
      <c r="JR991" s="327">
        <f>JT991/2</f>
        <v>0</v>
      </c>
      <c r="JS991" s="279">
        <f>JT991-JR991</f>
        <v>0</v>
      </c>
      <c r="JT991" s="323">
        <f>FISC!AM1317</f>
        <v>0</v>
      </c>
      <c r="JU991" s="327">
        <f>JW991/2</f>
        <v>0</v>
      </c>
      <c r="JV991" s="279">
        <f>JW991-JU991</f>
        <v>0</v>
      </c>
      <c r="JW991" s="323">
        <f>FISC!AN1317</f>
        <v>0</v>
      </c>
      <c r="JX991" s="327">
        <f>JZ991/2</f>
        <v>0</v>
      </c>
      <c r="JY991" s="279">
        <f>JZ991-JX991</f>
        <v>0</v>
      </c>
      <c r="JZ991" s="323">
        <f>FISC!AO1317</f>
        <v>0</v>
      </c>
      <c r="KA991" s="327">
        <f>KC991/2</f>
        <v>0</v>
      </c>
      <c r="KB991" s="279">
        <f>KC991-KA991</f>
        <v>0</v>
      </c>
      <c r="KC991" s="323">
        <f>FISC!AP1317</f>
        <v>0</v>
      </c>
      <c r="KD991" s="327">
        <f>KF991/2</f>
        <v>0</v>
      </c>
      <c r="KE991" s="279">
        <f>KF991-KD991</f>
        <v>0</v>
      </c>
      <c r="KF991" s="323">
        <f>FISC!AQ1317</f>
        <v>0</v>
      </c>
      <c r="KG991" s="327">
        <f>KI991/2</f>
        <v>0</v>
      </c>
      <c r="KH991" s="279">
        <f>KI991-KG991</f>
        <v>0</v>
      </c>
      <c r="KI991" s="323">
        <f>FISC!AR1317</f>
        <v>0</v>
      </c>
      <c r="KJ991" s="327">
        <f>KL991/2</f>
        <v>0</v>
      </c>
      <c r="KK991" s="279">
        <f>KL991-KJ991</f>
        <v>0</v>
      </c>
      <c r="KL991" s="323">
        <f>FISC!AS1317</f>
        <v>0</v>
      </c>
      <c r="KM991" s="327">
        <f>KO991/2</f>
        <v>0</v>
      </c>
      <c r="KN991" s="279">
        <f>KO991-KM991</f>
        <v>0</v>
      </c>
      <c r="KO991" s="323">
        <f>FISC!AT1317</f>
        <v>0</v>
      </c>
      <c r="KU991" s="326"/>
      <c r="KV991" s="327"/>
    </row>
    <row r="992" spans="1:314">
      <c r="A992" s="279"/>
      <c r="D992" s="1505" t="s">
        <v>3161</v>
      </c>
      <c r="E992" s="323"/>
      <c r="F992" s="323"/>
      <c r="G992" s="323"/>
      <c r="H992" s="323"/>
      <c r="I992" s="323"/>
      <c r="J992" s="323"/>
      <c r="K992" s="323"/>
      <c r="L992" s="323"/>
      <c r="M992" s="323"/>
      <c r="N992" s="323"/>
      <c r="O992" s="323"/>
      <c r="P992" s="323"/>
      <c r="Q992" s="323"/>
      <c r="R992" s="323"/>
      <c r="S992" s="323"/>
      <c r="T992" s="323"/>
      <c r="U992" s="323"/>
      <c r="V992" s="323"/>
      <c r="W992" s="323"/>
      <c r="X992" s="323"/>
      <c r="Y992" s="323"/>
      <c r="Z992" s="323"/>
      <c r="AA992" s="323"/>
      <c r="AB992" s="323"/>
      <c r="AC992" s="323"/>
      <c r="AD992" s="323"/>
      <c r="AE992" s="323"/>
      <c r="AF992" s="323"/>
      <c r="AG992" s="323"/>
      <c r="AH992" s="323"/>
      <c r="AI992" s="323"/>
      <c r="AJ992" s="323"/>
      <c r="AK992" s="323"/>
      <c r="AL992" s="323"/>
      <c r="AM992" s="323"/>
      <c r="AN992" s="323"/>
      <c r="AO992" s="323"/>
      <c r="AP992" s="323"/>
      <c r="AQ992" s="323"/>
      <c r="AR992" s="323"/>
      <c r="AS992" s="323"/>
      <c r="AT992" s="323"/>
      <c r="AU992" s="323"/>
      <c r="AV992" s="323"/>
      <c r="AW992" s="323"/>
      <c r="AX992" s="323"/>
      <c r="AY992" s="323"/>
      <c r="AZ992" s="323"/>
      <c r="BA992" s="323"/>
      <c r="BB992" s="323"/>
      <c r="BC992" s="323"/>
      <c r="BD992" s="323"/>
      <c r="BE992" s="323"/>
      <c r="BF992" s="323"/>
      <c r="BG992" s="323"/>
      <c r="BH992" s="323"/>
      <c r="BI992" s="323"/>
      <c r="BJ992" s="323"/>
      <c r="BK992" s="323"/>
      <c r="BL992" s="323"/>
      <c r="BM992" s="323"/>
      <c r="BN992" s="323"/>
      <c r="BO992" s="323"/>
      <c r="BP992" s="323"/>
      <c r="BQ992" s="323"/>
      <c r="BR992" s="323"/>
      <c r="BS992" s="323"/>
      <c r="BT992" s="323"/>
      <c r="BU992" s="323"/>
      <c r="BV992" s="323"/>
      <c r="BW992" s="323"/>
      <c r="BX992" s="323"/>
      <c r="BY992" s="323"/>
      <c r="BZ992" s="323"/>
      <c r="CA992" s="323"/>
      <c r="CB992" s="323"/>
      <c r="CC992" s="323"/>
      <c r="CD992" s="329"/>
      <c r="CE992" s="323"/>
      <c r="CF992" s="323"/>
      <c r="CG992" s="323"/>
      <c r="CH992" s="323"/>
      <c r="CI992" s="323"/>
      <c r="CJ992" s="323"/>
      <c r="CK992" s="323"/>
      <c r="CL992" s="323"/>
      <c r="CM992" s="323"/>
      <c r="CN992" s="323"/>
      <c r="CO992" s="323"/>
      <c r="CP992" s="325"/>
      <c r="CQ992" s="323"/>
      <c r="CR992" s="323"/>
      <c r="CS992" s="323"/>
      <c r="CT992" s="323"/>
      <c r="CU992" s="323"/>
      <c r="CV992" s="323"/>
      <c r="CW992" s="323"/>
      <c r="CX992" s="323"/>
      <c r="CY992" s="323"/>
      <c r="CZ992" s="323"/>
      <c r="DA992" s="323"/>
      <c r="DB992" s="1269"/>
      <c r="DC992" s="323"/>
      <c r="DD992" s="323"/>
      <c r="DE992" s="323"/>
      <c r="DF992" s="323"/>
      <c r="DG992" s="323"/>
      <c r="DH992" s="323"/>
      <c r="DI992" s="323"/>
      <c r="DJ992" s="323"/>
      <c r="DK992" s="323"/>
      <c r="DL992" s="323"/>
      <c r="DM992" s="323"/>
      <c r="DN992" s="325"/>
      <c r="DO992" s="323"/>
      <c r="DP992" s="323"/>
      <c r="DQ992" s="323"/>
      <c r="DR992" s="323"/>
      <c r="DS992" s="323"/>
      <c r="DT992" s="323"/>
      <c r="DU992" s="323"/>
      <c r="DV992" s="323"/>
      <c r="DW992" s="323"/>
      <c r="DX992" s="323"/>
      <c r="DY992" s="323"/>
      <c r="DZ992" s="325"/>
      <c r="EA992" s="323"/>
      <c r="EB992" s="323"/>
      <c r="EC992" s="323"/>
      <c r="ED992" s="323"/>
      <c r="EE992" s="323"/>
      <c r="EF992" s="323"/>
      <c r="EG992" s="323"/>
      <c r="EH992" s="323"/>
      <c r="EI992" s="323"/>
      <c r="EJ992" s="323"/>
      <c r="EK992" s="323"/>
      <c r="EL992" s="325"/>
      <c r="EM992" s="323"/>
      <c r="EN992" s="323"/>
      <c r="EO992" s="323"/>
      <c r="EP992" s="323"/>
      <c r="EQ992" s="323"/>
      <c r="ER992" s="323"/>
      <c r="ES992" s="323"/>
      <c r="ET992" s="323"/>
      <c r="EU992" s="323"/>
      <c r="EV992" s="323"/>
      <c r="EW992" s="323"/>
      <c r="EX992" s="325"/>
      <c r="EY992" s="323"/>
      <c r="EZ992" s="323"/>
      <c r="FA992" s="323"/>
      <c r="FB992" s="323"/>
      <c r="FC992" s="323"/>
      <c r="FD992" s="323"/>
      <c r="FE992" s="323"/>
      <c r="FF992" s="323"/>
      <c r="FG992" s="323"/>
      <c r="FH992" s="323"/>
      <c r="FI992" s="323"/>
      <c r="FJ992" s="325"/>
      <c r="FK992" s="323"/>
      <c r="FL992" s="323"/>
      <c r="FM992" s="323"/>
      <c r="FN992" s="323"/>
      <c r="FO992" s="323"/>
      <c r="FP992" s="323"/>
      <c r="FQ992" s="323"/>
      <c r="FR992" s="323"/>
      <c r="FS992" s="323"/>
      <c r="FT992" s="323"/>
      <c r="FU992" s="323"/>
      <c r="FV992" s="323"/>
      <c r="FW992" s="323"/>
      <c r="FX992" s="323"/>
      <c r="FY992" s="323"/>
      <c r="FZ992" s="323"/>
      <c r="GA992" s="323"/>
      <c r="GB992" s="323"/>
      <c r="GC992" s="323"/>
      <c r="GD992" s="323"/>
      <c r="GE992" s="323"/>
      <c r="GF992" s="323"/>
      <c r="GG992" s="323"/>
      <c r="GH992" s="323"/>
      <c r="GI992" s="1654"/>
      <c r="HZ992" s="326"/>
      <c r="IA992" s="1505" t="s">
        <v>3161</v>
      </c>
      <c r="IB992" s="284"/>
      <c r="ID992" s="323"/>
      <c r="IG992" s="323"/>
      <c r="IH992" s="284"/>
      <c r="IJ992" s="323"/>
      <c r="IK992" s="327"/>
      <c r="IM992" s="323"/>
      <c r="IP992" s="323"/>
      <c r="IQ992" s="327"/>
      <c r="IR992" s="327"/>
      <c r="IS992" s="323"/>
      <c r="IT992" s="327"/>
      <c r="IU992" s="327"/>
      <c r="IV992" s="323">
        <f t="shared" si="2059"/>
        <v>0</v>
      </c>
      <c r="IW992" s="327">
        <f t="shared" si="2060"/>
        <v>0</v>
      </c>
      <c r="IX992" s="327">
        <f t="shared" si="2061"/>
        <v>0</v>
      </c>
      <c r="IY992" s="323">
        <f t="shared" si="2005"/>
        <v>0</v>
      </c>
      <c r="IZ992" s="327">
        <f t="shared" si="2018"/>
        <v>0</v>
      </c>
      <c r="JA992" s="327">
        <f t="shared" si="2019"/>
        <v>0</v>
      </c>
      <c r="JB992" s="323">
        <f t="shared" si="2036"/>
        <v>0</v>
      </c>
      <c r="JC992" s="327">
        <f t="shared" si="2020"/>
        <v>0</v>
      </c>
      <c r="JD992" s="327">
        <f t="shared" si="2021"/>
        <v>0</v>
      </c>
      <c r="JE992" s="323">
        <f t="shared" si="1945"/>
        <v>0</v>
      </c>
      <c r="JF992" s="327">
        <f>SUM(GU992:GZ992)</f>
        <v>0</v>
      </c>
      <c r="JG992" s="327">
        <f t="shared" si="2058"/>
        <v>0</v>
      </c>
      <c r="JH992" s="323">
        <f t="shared" si="1944"/>
        <v>0</v>
      </c>
      <c r="JI992" s="327">
        <f t="shared" si="1993"/>
        <v>0</v>
      </c>
      <c r="JJ992" s="279">
        <f t="shared" si="2035"/>
        <v>0</v>
      </c>
      <c r="JK992" s="323">
        <f t="shared" si="1933"/>
        <v>0</v>
      </c>
      <c r="JL992" s="327">
        <f t="shared" si="1946"/>
        <v>0</v>
      </c>
      <c r="JM992" s="279">
        <f t="shared" si="2062"/>
        <v>0</v>
      </c>
      <c r="JN992" s="323">
        <f>FISC!AK1318</f>
        <v>0</v>
      </c>
      <c r="JO992" s="327">
        <f>JQ992/2</f>
        <v>0</v>
      </c>
      <c r="JP992" s="279">
        <f>JQ992-JO992</f>
        <v>0</v>
      </c>
      <c r="JQ992" s="323">
        <f>FISC!AL1318</f>
        <v>0</v>
      </c>
      <c r="JR992" s="327">
        <f>JT992/2</f>
        <v>0</v>
      </c>
      <c r="JS992" s="279">
        <f>JT992-JR992</f>
        <v>0</v>
      </c>
      <c r="JT992" s="323">
        <f>FISC!AM1318</f>
        <v>0</v>
      </c>
      <c r="JU992" s="327">
        <f>JW992/2</f>
        <v>0</v>
      </c>
      <c r="JV992" s="279">
        <f>JW992-JU992</f>
        <v>0</v>
      </c>
      <c r="JW992" s="323">
        <f>FISC!AN1318</f>
        <v>0</v>
      </c>
      <c r="JX992" s="327">
        <f>JZ992/2</f>
        <v>0</v>
      </c>
      <c r="JY992" s="279">
        <f>JZ992-JX992</f>
        <v>0</v>
      </c>
      <c r="JZ992" s="323">
        <f>FISC!AO1318</f>
        <v>0</v>
      </c>
      <c r="KA992" s="327">
        <f>KC992/2</f>
        <v>0</v>
      </c>
      <c r="KB992" s="279">
        <f>KC992-KA992</f>
        <v>0</v>
      </c>
      <c r="KC992" s="323">
        <f>FISC!AP1318</f>
        <v>0</v>
      </c>
      <c r="KD992" s="327">
        <f>KF992/2</f>
        <v>0</v>
      </c>
      <c r="KE992" s="279">
        <f>KF992-KD992</f>
        <v>0</v>
      </c>
      <c r="KF992" s="323">
        <f>FISC!AQ1318</f>
        <v>0</v>
      </c>
      <c r="KG992" s="327">
        <f>KI992/2</f>
        <v>0</v>
      </c>
      <c r="KH992" s="279">
        <f>KI992-KG992</f>
        <v>0</v>
      </c>
      <c r="KI992" s="323">
        <f>FISC!AR1318</f>
        <v>0</v>
      </c>
      <c r="KJ992" s="327">
        <f>KL992/2</f>
        <v>0</v>
      </c>
      <c r="KK992" s="279">
        <f>KL992-KJ992</f>
        <v>0</v>
      </c>
      <c r="KL992" s="323">
        <f>FISC!AS1318</f>
        <v>0</v>
      </c>
      <c r="KM992" s="327">
        <f>KO992/2</f>
        <v>0</v>
      </c>
      <c r="KN992" s="279">
        <f>KO992-KM992</f>
        <v>0</v>
      </c>
      <c r="KO992" s="323">
        <f>FISC!AT1318</f>
        <v>0</v>
      </c>
      <c r="KU992" s="326"/>
      <c r="KV992" s="327"/>
    </row>
    <row r="993" spans="1:314">
      <c r="A993" s="279"/>
      <c r="B993" s="96" t="s">
        <v>338</v>
      </c>
      <c r="D993" s="1455" t="s">
        <v>3162</v>
      </c>
      <c r="E993" s="323">
        <f t="shared" ref="E993:BP993" si="2063">+E994+E1003</f>
        <v>0</v>
      </c>
      <c r="F993" s="323">
        <f t="shared" si="2063"/>
        <v>0</v>
      </c>
      <c r="G993" s="323">
        <f t="shared" si="2063"/>
        <v>0</v>
      </c>
      <c r="H993" s="323">
        <f t="shared" si="2063"/>
        <v>0</v>
      </c>
      <c r="I993" s="323">
        <f t="shared" si="2063"/>
        <v>0</v>
      </c>
      <c r="J993" s="323">
        <f t="shared" si="2063"/>
        <v>0</v>
      </c>
      <c r="K993" s="323">
        <f t="shared" si="2063"/>
        <v>0</v>
      </c>
      <c r="L993" s="323">
        <f t="shared" si="2063"/>
        <v>0</v>
      </c>
      <c r="M993" s="323">
        <f t="shared" si="2063"/>
        <v>0</v>
      </c>
      <c r="N993" s="323">
        <f t="shared" si="2063"/>
        <v>0</v>
      </c>
      <c r="O993" s="323">
        <f t="shared" si="2063"/>
        <v>0</v>
      </c>
      <c r="P993" s="323">
        <f t="shared" si="2063"/>
        <v>0</v>
      </c>
      <c r="Q993" s="323">
        <f t="shared" si="2063"/>
        <v>0</v>
      </c>
      <c r="R993" s="323">
        <f t="shared" si="2063"/>
        <v>0</v>
      </c>
      <c r="S993" s="323">
        <f t="shared" si="2063"/>
        <v>0</v>
      </c>
      <c r="T993" s="323">
        <f t="shared" si="2063"/>
        <v>0</v>
      </c>
      <c r="U993" s="323">
        <f t="shared" si="2063"/>
        <v>0</v>
      </c>
      <c r="V993" s="323">
        <f t="shared" si="2063"/>
        <v>0</v>
      </c>
      <c r="W993" s="323">
        <f t="shared" si="2063"/>
        <v>0</v>
      </c>
      <c r="X993" s="323">
        <f t="shared" si="2063"/>
        <v>0</v>
      </c>
      <c r="Y993" s="323">
        <f t="shared" si="2063"/>
        <v>0</v>
      </c>
      <c r="Z993" s="323">
        <f t="shared" si="2063"/>
        <v>0</v>
      </c>
      <c r="AA993" s="323">
        <f t="shared" si="2063"/>
        <v>0</v>
      </c>
      <c r="AB993" s="323">
        <f t="shared" si="2063"/>
        <v>0</v>
      </c>
      <c r="AC993" s="323">
        <f t="shared" si="2063"/>
        <v>0</v>
      </c>
      <c r="AD993" s="323">
        <f t="shared" si="2063"/>
        <v>0</v>
      </c>
      <c r="AE993" s="323">
        <f t="shared" si="2063"/>
        <v>0</v>
      </c>
      <c r="AF993" s="323">
        <f t="shared" si="2063"/>
        <v>0</v>
      </c>
      <c r="AG993" s="323">
        <f t="shared" si="2063"/>
        <v>0</v>
      </c>
      <c r="AH993" s="323">
        <f t="shared" si="2063"/>
        <v>0</v>
      </c>
      <c r="AI993" s="323">
        <f t="shared" si="2063"/>
        <v>0</v>
      </c>
      <c r="AJ993" s="323">
        <f t="shared" si="2063"/>
        <v>0</v>
      </c>
      <c r="AK993" s="323">
        <f t="shared" si="2063"/>
        <v>0</v>
      </c>
      <c r="AL993" s="323">
        <f t="shared" si="2063"/>
        <v>0</v>
      </c>
      <c r="AM993" s="323">
        <f t="shared" si="2063"/>
        <v>0</v>
      </c>
      <c r="AN993" s="323">
        <f t="shared" si="2063"/>
        <v>0</v>
      </c>
      <c r="AO993" s="323">
        <f t="shared" si="2063"/>
        <v>0</v>
      </c>
      <c r="AP993" s="323">
        <f t="shared" si="2063"/>
        <v>0</v>
      </c>
      <c r="AQ993" s="323">
        <f t="shared" si="2063"/>
        <v>0</v>
      </c>
      <c r="AR993" s="323">
        <f t="shared" si="2063"/>
        <v>0</v>
      </c>
      <c r="AS993" s="323">
        <f t="shared" si="2063"/>
        <v>0</v>
      </c>
      <c r="AT993" s="323">
        <f t="shared" si="2063"/>
        <v>0</v>
      </c>
      <c r="AU993" s="323">
        <f t="shared" si="2063"/>
        <v>0</v>
      </c>
      <c r="AV993" s="323">
        <f t="shared" si="2063"/>
        <v>0</v>
      </c>
      <c r="AW993" s="323">
        <f t="shared" si="2063"/>
        <v>0</v>
      </c>
      <c r="AX993" s="323">
        <f t="shared" si="2063"/>
        <v>0</v>
      </c>
      <c r="AY993" s="323">
        <f t="shared" si="2063"/>
        <v>0</v>
      </c>
      <c r="AZ993" s="323">
        <f t="shared" si="2063"/>
        <v>0</v>
      </c>
      <c r="BA993" s="323">
        <f t="shared" si="2063"/>
        <v>0</v>
      </c>
      <c r="BB993" s="323">
        <f t="shared" si="2063"/>
        <v>0</v>
      </c>
      <c r="BC993" s="323">
        <f t="shared" si="2063"/>
        <v>0</v>
      </c>
      <c r="BD993" s="323">
        <f t="shared" si="2063"/>
        <v>0</v>
      </c>
      <c r="BE993" s="323">
        <f t="shared" si="2063"/>
        <v>0</v>
      </c>
      <c r="BF993" s="323">
        <f t="shared" si="2063"/>
        <v>0</v>
      </c>
      <c r="BG993" s="323">
        <f t="shared" si="2063"/>
        <v>0</v>
      </c>
      <c r="BH993" s="323">
        <f t="shared" si="2063"/>
        <v>0</v>
      </c>
      <c r="BI993" s="323">
        <f t="shared" si="2063"/>
        <v>0</v>
      </c>
      <c r="BJ993" s="323">
        <f t="shared" si="2063"/>
        <v>0</v>
      </c>
      <c r="BK993" s="323">
        <f t="shared" si="2063"/>
        <v>0</v>
      </c>
      <c r="BL993" s="323">
        <f t="shared" si="2063"/>
        <v>0</v>
      </c>
      <c r="BM993" s="323">
        <f t="shared" si="2063"/>
        <v>0</v>
      </c>
      <c r="BN993" s="323">
        <f t="shared" si="2063"/>
        <v>0</v>
      </c>
      <c r="BO993" s="323">
        <f t="shared" si="2063"/>
        <v>0</v>
      </c>
      <c r="BP993" s="323">
        <f t="shared" si="2063"/>
        <v>0</v>
      </c>
      <c r="BQ993" s="323">
        <f t="shared" ref="BQ993:EB993" si="2064">+BQ994+BQ1003</f>
        <v>0</v>
      </c>
      <c r="BR993" s="323">
        <f t="shared" si="2064"/>
        <v>0</v>
      </c>
      <c r="BS993" s="323">
        <f t="shared" si="2064"/>
        <v>0</v>
      </c>
      <c r="BT993" s="323">
        <f t="shared" si="2064"/>
        <v>0</v>
      </c>
      <c r="BU993" s="323">
        <f t="shared" si="2064"/>
        <v>0</v>
      </c>
      <c r="BV993" s="323">
        <f t="shared" si="2064"/>
        <v>0</v>
      </c>
      <c r="BW993" s="323">
        <f t="shared" si="2064"/>
        <v>0</v>
      </c>
      <c r="BX993" s="323">
        <f t="shared" si="2064"/>
        <v>0</v>
      </c>
      <c r="BY993" s="323">
        <f t="shared" si="2064"/>
        <v>0</v>
      </c>
      <c r="BZ993" s="323">
        <f t="shared" si="2064"/>
        <v>0</v>
      </c>
      <c r="CA993" s="323">
        <f t="shared" si="2064"/>
        <v>0</v>
      </c>
      <c r="CB993" s="323">
        <f t="shared" si="2064"/>
        <v>0</v>
      </c>
      <c r="CC993" s="323">
        <f t="shared" si="2064"/>
        <v>0</v>
      </c>
      <c r="CD993" s="329">
        <f t="shared" si="2064"/>
        <v>0</v>
      </c>
      <c r="CE993" s="323">
        <f t="shared" si="2064"/>
        <v>-2.6325000000000216</v>
      </c>
      <c r="CF993" s="323">
        <f t="shared" si="2064"/>
        <v>2.8988999999999976</v>
      </c>
      <c r="CG993" s="323">
        <f t="shared" si="2064"/>
        <v>-0.19500000000001094</v>
      </c>
      <c r="CH993" s="323">
        <f t="shared" si="2064"/>
        <v>-0.20599999999999241</v>
      </c>
      <c r="CI993" s="323">
        <f t="shared" si="2064"/>
        <v>10.509999999999998</v>
      </c>
      <c r="CJ993" s="323">
        <f t="shared" si="2064"/>
        <v>3.5527136788005009E-15</v>
      </c>
      <c r="CK993" s="323">
        <f t="shared" si="2064"/>
        <v>1.5987211554602254E-14</v>
      </c>
      <c r="CL993" s="323">
        <f t="shared" si="2064"/>
        <v>9.9999999999999645</v>
      </c>
      <c r="CM993" s="323">
        <f t="shared" si="2064"/>
        <v>-4.9999999999974065E-2</v>
      </c>
      <c r="CN993" s="323">
        <f t="shared" si="2064"/>
        <v>0</v>
      </c>
      <c r="CO993" s="323">
        <f t="shared" si="2064"/>
        <v>15.060999999999984</v>
      </c>
      <c r="CP993" s="325">
        <f t="shared" si="2064"/>
        <v>-1.9999999999994245E-2</v>
      </c>
      <c r="CQ993" s="323">
        <f t="shared" si="2064"/>
        <v>-1.0499999999995069E-2</v>
      </c>
      <c r="CR993" s="323">
        <f t="shared" si="2064"/>
        <v>16.981000000000009</v>
      </c>
      <c r="CS993" s="323">
        <f t="shared" si="2064"/>
        <v>5.0209999999999795</v>
      </c>
      <c r="CT993" s="323">
        <f t="shared" si="2064"/>
        <v>0.23600000000001842</v>
      </c>
      <c r="CU993" s="323">
        <f t="shared" si="2064"/>
        <v>15.19199999999999</v>
      </c>
      <c r="CV993" s="323">
        <f t="shared" si="2064"/>
        <v>6.9000000000141171E-3</v>
      </c>
      <c r="CW993" s="323">
        <f t="shared" si="2064"/>
        <v>1.3499999999995183E-2</v>
      </c>
      <c r="CX993" s="323">
        <f t="shared" si="2064"/>
        <v>15.015100000000004</v>
      </c>
      <c r="CY993" s="323">
        <f t="shared" si="2064"/>
        <v>4.99999999999865E-2</v>
      </c>
      <c r="CZ993" s="323">
        <f t="shared" si="2064"/>
        <v>4</v>
      </c>
      <c r="DA993" s="323">
        <f t="shared" si="2064"/>
        <v>38.750000000000014</v>
      </c>
      <c r="DB993" s="1269">
        <f t="shared" si="2064"/>
        <v>15.749999999999998</v>
      </c>
      <c r="DC993" s="323">
        <f>+DC994+DC1003</f>
        <v>4.8999999999999728</v>
      </c>
      <c r="DD993" s="323">
        <f>+DD994+DD1003</f>
        <v>15.000000000000004</v>
      </c>
      <c r="DE993" s="323">
        <f t="shared" si="2064"/>
        <v>-10.248999999999977</v>
      </c>
      <c r="DF993" s="323">
        <f t="shared" si="2064"/>
        <v>6.9019999999999886</v>
      </c>
      <c r="DG993" s="323">
        <f t="shared" si="2064"/>
        <v>14.833999999999989</v>
      </c>
      <c r="DH993" s="323">
        <f t="shared" si="2064"/>
        <v>5.1542000000000154</v>
      </c>
      <c r="DI993" s="323">
        <f t="shared" si="2064"/>
        <v>2.56050000000001</v>
      </c>
      <c r="DJ993" s="323">
        <f t="shared" si="2064"/>
        <v>15.507699999999986</v>
      </c>
      <c r="DK993" s="323">
        <f t="shared" si="2064"/>
        <v>11.498999999999995</v>
      </c>
      <c r="DL993" s="323">
        <f t="shared" si="2064"/>
        <v>-18.600000000000001</v>
      </c>
      <c r="DM993" s="323">
        <f t="shared" si="2064"/>
        <v>23.760300000000001</v>
      </c>
      <c r="DN993" s="325">
        <f t="shared" si="2064"/>
        <v>20.399999999999988</v>
      </c>
      <c r="DO993" s="323">
        <f t="shared" si="2064"/>
        <v>0.15870875099646042</v>
      </c>
      <c r="DP993" s="323">
        <f t="shared" si="2064"/>
        <v>12.118000000000009</v>
      </c>
      <c r="DQ993" s="323">
        <f t="shared" si="2064"/>
        <v>-11.939299999999989</v>
      </c>
      <c r="DR993" s="323">
        <f t="shared" si="2064"/>
        <v>-1.567699999999995</v>
      </c>
      <c r="DS993" s="323">
        <f t="shared" si="2064"/>
        <v>12.76163361499998</v>
      </c>
      <c r="DT993" s="323">
        <f t="shared" si="2064"/>
        <v>2.1839000000000155</v>
      </c>
      <c r="DU993" s="323">
        <f t="shared" si="2064"/>
        <v>-3.7942365996457283E-2</v>
      </c>
      <c r="DV993" s="323">
        <f t="shared" si="2064"/>
        <v>5.4068000000000112</v>
      </c>
      <c r="DW993" s="323">
        <f t="shared" si="2064"/>
        <v>11.982199999999992</v>
      </c>
      <c r="DX993" s="323">
        <f t="shared" si="2064"/>
        <v>4.7700000000006071E-2</v>
      </c>
      <c r="DY993" s="323">
        <f t="shared" si="2064"/>
        <v>14.966000000000008</v>
      </c>
      <c r="DZ993" s="325">
        <f t="shared" si="2064"/>
        <v>9.9899999999999949</v>
      </c>
      <c r="EA993" s="323">
        <f t="shared" si="2064"/>
        <v>15.940498444418992</v>
      </c>
      <c r="EB993" s="323">
        <f t="shared" si="2064"/>
        <v>10.002300000000005</v>
      </c>
      <c r="EC993" s="323">
        <f t="shared" ref="EC993:FP993" si="2065">+EC994+EC1003</f>
        <v>8.6124576340031638</v>
      </c>
      <c r="ED993" s="323">
        <f t="shared" si="2065"/>
        <v>10.197800000000043</v>
      </c>
      <c r="EE993" s="323">
        <f t="shared" si="2065"/>
        <v>21.738154612000031</v>
      </c>
      <c r="EF993" s="323">
        <f t="shared" si="2065"/>
        <v>9.989999999996968E-2</v>
      </c>
      <c r="EG993" s="323">
        <f t="shared" si="2065"/>
        <v>-19.449154612000193</v>
      </c>
      <c r="EH993" s="323">
        <f t="shared" si="2065"/>
        <v>4.0000000000546265E-3</v>
      </c>
      <c r="EI993" s="323">
        <f t="shared" si="2065"/>
        <v>7.0299999999988927E-2</v>
      </c>
      <c r="EJ993" s="323">
        <f t="shared" si="2065"/>
        <v>-2.6999999999972601E-2</v>
      </c>
      <c r="EK993" s="323">
        <f t="shared" si="2065"/>
        <v>28.294499999999971</v>
      </c>
      <c r="EL993" s="325">
        <f t="shared" si="2065"/>
        <v>11.034500000000023</v>
      </c>
      <c r="EM993" s="323">
        <f t="shared" si="2065"/>
        <v>-1.6100000000022874E-2</v>
      </c>
      <c r="EN993" s="323">
        <f t="shared" si="2065"/>
        <v>14.989299999999965</v>
      </c>
      <c r="EO993" s="323">
        <f t="shared" si="2065"/>
        <v>14.999999999999993</v>
      </c>
      <c r="EP993" s="323">
        <f t="shared" si="2065"/>
        <v>2.0199999999988449E-2</v>
      </c>
      <c r="EQ993" s="323">
        <f t="shared" si="2065"/>
        <v>10.125800000000041</v>
      </c>
      <c r="ER993" s="323">
        <f t="shared" si="2065"/>
        <v>10.038300000000007</v>
      </c>
      <c r="ES993" s="323">
        <f t="shared" si="2065"/>
        <v>-3.5495000000000232</v>
      </c>
      <c r="ET993" s="323">
        <f t="shared" si="2065"/>
        <v>33.565699999999978</v>
      </c>
      <c r="EU993" s="323">
        <f t="shared" si="2065"/>
        <v>13.031400000000019</v>
      </c>
      <c r="EV993" s="323">
        <f t="shared" si="2065"/>
        <v>25.000000000000014</v>
      </c>
      <c r="EW993" s="323">
        <f t="shared" si="2065"/>
        <v>17.010999999999967</v>
      </c>
      <c r="EX993" s="325">
        <f t="shared" si="2065"/>
        <v>70.278500000000022</v>
      </c>
      <c r="EY993" s="323">
        <f t="shared" si="2065"/>
        <v>-17.826099999999968</v>
      </c>
      <c r="EZ993" s="323">
        <f t="shared" si="2065"/>
        <v>4.4133999999999673</v>
      </c>
      <c r="FA993" s="323">
        <f t="shared" si="2065"/>
        <v>14.994099999999975</v>
      </c>
      <c r="FB993" s="323">
        <f t="shared" si="2065"/>
        <v>14.979899999999972</v>
      </c>
      <c r="FC993" s="323">
        <f t="shared" si="2065"/>
        <v>15.016799999999989</v>
      </c>
      <c r="FD993" s="323">
        <f t="shared" si="2065"/>
        <v>14.964500000000029</v>
      </c>
      <c r="FE993" s="323">
        <f t="shared" si="2065"/>
        <v>59.932000000000052</v>
      </c>
      <c r="FF993" s="323">
        <f t="shared" si="2065"/>
        <v>17.991199999999957</v>
      </c>
      <c r="FG993" s="323">
        <f t="shared" si="2065"/>
        <v>66.017699999999934</v>
      </c>
      <c r="FH993" s="323">
        <f t="shared" si="2065"/>
        <v>19.580900000000085</v>
      </c>
      <c r="FI993" s="323">
        <f t="shared" si="2065"/>
        <v>21.291199999999968</v>
      </c>
      <c r="FJ993" s="325">
        <f t="shared" si="2065"/>
        <v>40.032600000000095</v>
      </c>
      <c r="FK993" s="323">
        <f t="shared" si="2065"/>
        <v>20.49729999999991</v>
      </c>
      <c r="FL993" s="323">
        <f t="shared" si="2065"/>
        <v>29.501000000000019</v>
      </c>
      <c r="FM993" s="323">
        <f t="shared" si="2065"/>
        <v>29.982600000000048</v>
      </c>
      <c r="FN993" s="323">
        <f t="shared" si="2065"/>
        <v>24.983499999999964</v>
      </c>
      <c r="FO993" s="323">
        <f t="shared" si="2065"/>
        <v>25.015900000000002</v>
      </c>
      <c r="FP993" s="323">
        <f t="shared" si="2065"/>
        <v>24.995599999999982</v>
      </c>
      <c r="FQ993" s="323">
        <f t="shared" ref="FQ993:FV993" si="2066">+FQ994+FQ1003</f>
        <v>25.038499999999956</v>
      </c>
      <c r="FR993" s="323">
        <f t="shared" si="2066"/>
        <v>19.984319999999954</v>
      </c>
      <c r="FS993" s="323">
        <f t="shared" si="2066"/>
        <v>13.502100000000041</v>
      </c>
      <c r="FT993" s="323">
        <f t="shared" si="2066"/>
        <v>-8.6474999999999369</v>
      </c>
      <c r="FU993" s="323">
        <f t="shared" si="2066"/>
        <v>8.2812049999999005</v>
      </c>
      <c r="FV993" s="323">
        <f t="shared" si="2066"/>
        <v>64.128105000000048</v>
      </c>
      <c r="FW993" s="323">
        <v>10.445289999999943</v>
      </c>
      <c r="FX993" s="323">
        <v>-39.422234999999944</v>
      </c>
      <c r="FY993" s="323">
        <v>29.313000000000017</v>
      </c>
      <c r="FZ993" s="323">
        <v>20.331900000000033</v>
      </c>
      <c r="GA993" s="323">
        <v>29.990999999999985</v>
      </c>
      <c r="GB993" s="323">
        <v>26.19310000000003</v>
      </c>
      <c r="GC993" s="323">
        <v>24.509199999999993</v>
      </c>
      <c r="GD993" s="323">
        <v>45.506999999999934</v>
      </c>
      <c r="GE993" s="323">
        <v>6.0012000000000683</v>
      </c>
      <c r="GF993" s="323">
        <v>8.9274149999999679</v>
      </c>
      <c r="GG993" s="323">
        <v>31.000000000000071</v>
      </c>
      <c r="GH993" s="323">
        <v>31.007999999999939</v>
      </c>
      <c r="GI993" s="1654">
        <f>GI994+GI1003</f>
        <v>29.002000000000066</v>
      </c>
      <c r="GJ993" s="1654">
        <f t="shared" ref="GJ993:HR993" si="2067">GJ994+GJ1003</f>
        <v>41.330000000000013</v>
      </c>
      <c r="GK993" s="1654">
        <f t="shared" si="2067"/>
        <v>30.909999999999972</v>
      </c>
      <c r="GL993" s="1654">
        <f t="shared" si="2067"/>
        <v>39.326319999999946</v>
      </c>
      <c r="GM993" s="1654">
        <f t="shared" si="2067"/>
        <v>84.208000000000055</v>
      </c>
      <c r="GN993" s="1654">
        <f t="shared" si="2067"/>
        <v>21.219999999999885</v>
      </c>
      <c r="GO993" s="1654">
        <f t="shared" si="2067"/>
        <v>-24.734699999999961</v>
      </c>
      <c r="GP993" s="1654">
        <f t="shared" si="2067"/>
        <v>17.255900000000011</v>
      </c>
      <c r="GQ993" s="1654">
        <f t="shared" si="2067"/>
        <v>-20.057800000000057</v>
      </c>
      <c r="GR993" s="1654">
        <f t="shared" si="2067"/>
        <v>23.052400000000105</v>
      </c>
      <c r="GS993" s="1654">
        <f t="shared" si="2067"/>
        <v>33.604700000000051</v>
      </c>
      <c r="GT993" s="1654">
        <f t="shared" si="2067"/>
        <v>19.512500000000003</v>
      </c>
      <c r="GU993" s="1654">
        <f t="shared" si="2067"/>
        <v>85.435479999999927</v>
      </c>
      <c r="GV993" s="1654">
        <f t="shared" si="2067"/>
        <v>23.149120000000089</v>
      </c>
      <c r="GW993" s="1654">
        <f t="shared" si="2067"/>
        <v>13.849964999999926</v>
      </c>
      <c r="GX993" s="1654">
        <f t="shared" si="2067"/>
        <v>10.027135000000044</v>
      </c>
      <c r="GY993" s="1654">
        <f t="shared" si="2067"/>
        <v>39.986999999999966</v>
      </c>
      <c r="GZ993" s="1654">
        <f t="shared" si="2067"/>
        <v>22.96140000000004</v>
      </c>
      <c r="HA993" s="1654">
        <f t="shared" si="2067"/>
        <v>3.0677000000000305</v>
      </c>
      <c r="HB993" s="1654">
        <f t="shared" si="2067"/>
        <v>41.255300000000005</v>
      </c>
      <c r="HC993" s="1654">
        <f t="shared" si="2067"/>
        <v>11.012499999999974</v>
      </c>
      <c r="HD993" s="1654">
        <f t="shared" si="2067"/>
        <v>10.04849999999999</v>
      </c>
      <c r="HE993" s="1654">
        <f t="shared" si="2067"/>
        <v>-75.092599999999976</v>
      </c>
      <c r="HF993" s="1654">
        <f t="shared" si="2067"/>
        <v>-31.213999999999984</v>
      </c>
      <c r="HG993" s="1654">
        <f t="shared" si="2067"/>
        <v>17.571499999999972</v>
      </c>
      <c r="HH993" s="1654">
        <f t="shared" si="2067"/>
        <v>115.96549999999989</v>
      </c>
      <c r="HI993" s="1654">
        <f t="shared" si="2067"/>
        <v>76.532999999999987</v>
      </c>
      <c r="HJ993" s="1654">
        <f t="shared" si="2067"/>
        <v>17.461999999999989</v>
      </c>
      <c r="HK993" s="1654">
        <f t="shared" si="2067"/>
        <v>67.471000000000018</v>
      </c>
      <c r="HL993" s="1654">
        <f t="shared" si="2067"/>
        <v>56.16370000000002</v>
      </c>
      <c r="HM993" s="1654">
        <f t="shared" si="2067"/>
        <v>-42.71469999999988</v>
      </c>
      <c r="HN993" s="1654">
        <f t="shared" si="2067"/>
        <v>-54.226500000000016</v>
      </c>
      <c r="HO993" s="1654">
        <f t="shared" si="2067"/>
        <v>-45.062000000000111</v>
      </c>
      <c r="HP993" s="1654">
        <f t="shared" si="2067"/>
        <v>-35.017200000000031</v>
      </c>
      <c r="HQ993" s="1654">
        <f t="shared" si="2067"/>
        <v>8.9700000000001339</v>
      </c>
      <c r="HR993" s="1654">
        <f t="shared" si="2067"/>
        <v>21.965499999999999</v>
      </c>
      <c r="HS993" s="1654">
        <f t="shared" ref="HS993:HX993" si="2068">HS994+HS1003</f>
        <v>30.011999999999897</v>
      </c>
      <c r="HT993" s="1654">
        <f t="shared" si="2068"/>
        <v>100.02940000000012</v>
      </c>
      <c r="HU993" s="1654">
        <f t="shared" si="2068"/>
        <v>35.005100000000013</v>
      </c>
      <c r="HV993" s="1654">
        <f t="shared" si="2068"/>
        <v>69.552999999999827</v>
      </c>
      <c r="HW993" s="1654">
        <f t="shared" si="2068"/>
        <v>34.357300000000144</v>
      </c>
      <c r="HX993" s="1654">
        <f t="shared" si="2068"/>
        <v>50.010799999999918</v>
      </c>
      <c r="HY993" s="1654"/>
      <c r="HZ993" s="326"/>
      <c r="IA993" s="1455" t="s">
        <v>3162</v>
      </c>
      <c r="IB993" s="284">
        <f>SUM(CE993:CJ993)</f>
        <v>10.375399999999974</v>
      </c>
      <c r="IC993" s="279">
        <f>SUM(CK993:CP993)</f>
        <v>24.990999999999993</v>
      </c>
      <c r="ID993" s="323">
        <f>IB993+IC993</f>
        <v>35.36639999999997</v>
      </c>
      <c r="IE993" s="279">
        <f>SUM(CQ993:CV993)</f>
        <v>37.426400000000015</v>
      </c>
      <c r="IF993" s="279">
        <f>SUM(CW993:DB993)</f>
        <v>73.578599999999994</v>
      </c>
      <c r="IG993" s="323">
        <f>IE993+IF993</f>
        <v>111.00500000000001</v>
      </c>
      <c r="IH993" s="284">
        <f>SUM(DC993:DH993)</f>
        <v>36.541199999999996</v>
      </c>
      <c r="II993" s="279">
        <f>SUM(DI993:DN993)</f>
        <v>55.127499999999984</v>
      </c>
      <c r="IJ993" s="323">
        <f>IH993+II993</f>
        <v>91.668699999999973</v>
      </c>
      <c r="IK993" s="327">
        <f>SUM(DO993:DT993)</f>
        <v>13.715242365996481</v>
      </c>
      <c r="IL993" s="279">
        <f>SUM(DU993:DZ993)</f>
        <v>42.354757634003555</v>
      </c>
      <c r="IM993" s="323">
        <f>IK993+IL993</f>
        <v>56.070000000000036</v>
      </c>
      <c r="IN993" s="279">
        <f>SUM(EA993:EF993)</f>
        <v>66.591110690422198</v>
      </c>
      <c r="IO993" s="279">
        <f>SUM(EG993:EL993)</f>
        <v>19.927145387999872</v>
      </c>
      <c r="IP993" s="323">
        <f>IN993+IO993</f>
        <v>86.51825607842207</v>
      </c>
      <c r="IQ993" s="327">
        <f>SUM(EM993:ER993)</f>
        <v>50.15749999999997</v>
      </c>
      <c r="IR993" s="327">
        <f>SUM(ES993:EX993)</f>
        <v>155.33709999999996</v>
      </c>
      <c r="IS993" s="323">
        <f>IQ993+IR993</f>
        <v>205.49459999999993</v>
      </c>
      <c r="IT993" s="327">
        <f>SUM(EY993:FD993)</f>
        <v>46.542599999999965</v>
      </c>
      <c r="IU993" s="327">
        <f>SUM(FE993:FJ993)</f>
        <v>224.8456000000001</v>
      </c>
      <c r="IV993" s="323">
        <f t="shared" si="2059"/>
        <v>271.3882000000001</v>
      </c>
      <c r="IW993" s="327">
        <f t="shared" si="2060"/>
        <v>154.97589999999991</v>
      </c>
      <c r="IX993" s="327">
        <f t="shared" si="2061"/>
        <v>122.28672999999996</v>
      </c>
      <c r="IY993" s="323">
        <f t="shared" si="2005"/>
        <v>277.26262999999989</v>
      </c>
      <c r="IZ993" s="327">
        <f t="shared" si="2018"/>
        <v>76.852055000000064</v>
      </c>
      <c r="JA993" s="327">
        <f t="shared" si="2019"/>
        <v>146.95281499999999</v>
      </c>
      <c r="JB993" s="323">
        <f t="shared" si="2036"/>
        <v>223.80487000000005</v>
      </c>
      <c r="JC993" s="327">
        <f t="shared" si="2020"/>
        <v>245.99631999999994</v>
      </c>
      <c r="JD993" s="327">
        <f t="shared" si="2021"/>
        <v>48.633000000000152</v>
      </c>
      <c r="JE993" s="323">
        <f t="shared" si="1945"/>
        <v>294.62932000000012</v>
      </c>
      <c r="JF993" s="327">
        <f>JF994+JF1003</f>
        <v>195.4101</v>
      </c>
      <c r="JG993" s="327">
        <f>JG994+JG1003</f>
        <v>-40.92259999999996</v>
      </c>
      <c r="JH993" s="323">
        <f t="shared" si="1944"/>
        <v>154.48750000000004</v>
      </c>
      <c r="JI993" s="327">
        <f t="shared" si="1993"/>
        <v>351.16669999999988</v>
      </c>
      <c r="JJ993" s="1407">
        <f t="shared" si="2035"/>
        <v>-146.08489999999989</v>
      </c>
      <c r="JK993" s="323">
        <f t="shared" si="1933"/>
        <v>205.08179999999999</v>
      </c>
      <c r="JL993" s="1407">
        <f t="shared" si="1946"/>
        <v>318.96759999999989</v>
      </c>
      <c r="JM993" s="1407">
        <f>JM994+JM1003</f>
        <v>89.831462208982217</v>
      </c>
      <c r="JN993" s="323">
        <f>FISC!AK1319</f>
        <v>329.95336793278915</v>
      </c>
      <c r="JO993" s="1407">
        <f>JO994+JO1003</f>
        <v>566.98361062564743</v>
      </c>
      <c r="JP993" s="1407">
        <f>JP994+JP1003</f>
        <v>-167.56080498627273</v>
      </c>
      <c r="JQ993" s="323">
        <f>FISC!AL1319</f>
        <v>399.42280563937487</v>
      </c>
      <c r="JR993" s="1407">
        <f>JR994+JR1003</f>
        <v>533.69627525866315</v>
      </c>
      <c r="JS993" s="1407">
        <f>JS994+JS1003</f>
        <v>30.868866114219045</v>
      </c>
      <c r="JT993" s="323">
        <f>FISC!AM1319</f>
        <v>564.56514137288207</v>
      </c>
      <c r="JU993" s="1407">
        <f>JU994+JU1003</f>
        <v>245.20997182742889</v>
      </c>
      <c r="JV993" s="1407">
        <f>JV994+JV1003</f>
        <v>119.74190572945849</v>
      </c>
      <c r="JW993" s="323">
        <f>FISC!AN1319</f>
        <v>364.95187755688744</v>
      </c>
      <c r="JX993" s="1407">
        <f>JX994+JX1003</f>
        <v>575.84395491707278</v>
      </c>
      <c r="JY993" s="1407">
        <f>JY994+JY1003</f>
        <v>141.6983033180355</v>
      </c>
      <c r="JZ993" s="323">
        <f>FISC!AO1319</f>
        <v>717.54225823510774</v>
      </c>
      <c r="KA993" s="1407">
        <f>KA994+KA1003</f>
        <v>593.25672245453097</v>
      </c>
      <c r="KB993" s="1407">
        <f>KB994+KB1003</f>
        <v>391.4648315127904</v>
      </c>
      <c r="KC993" s="323">
        <f>FISC!AP1319</f>
        <v>661.77018244949409</v>
      </c>
      <c r="KD993" s="1407">
        <f>KD994+KD1003</f>
        <v>1008.8285208850723</v>
      </c>
      <c r="KE993" s="1407">
        <f>KE994+KE1003</f>
        <v>936.76403249185478</v>
      </c>
      <c r="KF993" s="323">
        <f>FISC!AQ1319</f>
        <v>2332.6181644885482</v>
      </c>
      <c r="KG993" s="1407">
        <f>KG994+KG1003</f>
        <v>1313.6728040251055</v>
      </c>
      <c r="KH993" s="1407">
        <f>KH994+KH1003</f>
        <v>592.22029345291503</v>
      </c>
      <c r="KI993" s="323">
        <f>FISC!AR1319</f>
        <v>1687.0626073323597</v>
      </c>
      <c r="KJ993" s="1407">
        <f>KJ994+KJ1003</f>
        <v>1789.0588334561689</v>
      </c>
      <c r="KK993" s="1407">
        <f>KK994+KK1003</f>
        <v>667.15108220120953</v>
      </c>
      <c r="KL993" s="323">
        <f>FISC!AS1319</f>
        <v>2325.1996016506318</v>
      </c>
      <c r="KM993" s="1407">
        <f>KM994+KM1003</f>
        <v>2188.3899178871661</v>
      </c>
      <c r="KN993" s="1407">
        <f>KN994+KN1003</f>
        <v>900.56645157958178</v>
      </c>
      <c r="KO993" s="323">
        <f>FISC!AT1319</f>
        <v>3087.9959995959939</v>
      </c>
      <c r="KU993" s="326"/>
      <c r="KV993" s="327"/>
      <c r="KY993" s="279">
        <f>+KY994+KY1003</f>
        <v>0</v>
      </c>
      <c r="KZ993" s="279">
        <f>+KZ994+KZ1003</f>
        <v>0</v>
      </c>
      <c r="LA993" s="279">
        <f>+LA994+LA1003</f>
        <v>0</v>
      </c>
      <c r="LB993" s="279">
        <f>+LB994+LB1003</f>
        <v>0</v>
      </c>
    </row>
    <row r="994" spans="1:314">
      <c r="A994" s="279"/>
      <c r="B994" s="96" t="s">
        <v>338</v>
      </c>
      <c r="D994" s="335" t="s">
        <v>571</v>
      </c>
      <c r="E994" s="323"/>
      <c r="F994" s="323"/>
      <c r="G994" s="323"/>
      <c r="H994" s="323"/>
      <c r="I994" s="323"/>
      <c r="J994" s="323"/>
      <c r="K994" s="323"/>
      <c r="L994" s="323"/>
      <c r="M994" s="323"/>
      <c r="N994" s="323"/>
      <c r="O994" s="323"/>
      <c r="P994" s="323"/>
      <c r="Q994" s="323"/>
      <c r="R994" s="323"/>
      <c r="S994" s="323"/>
      <c r="T994" s="323"/>
      <c r="U994" s="323"/>
      <c r="V994" s="323"/>
      <c r="W994" s="323"/>
      <c r="X994" s="323"/>
      <c r="Y994" s="323"/>
      <c r="Z994" s="323"/>
      <c r="AA994" s="323"/>
      <c r="AB994" s="323"/>
      <c r="AC994" s="323"/>
      <c r="AD994" s="323"/>
      <c r="AE994" s="323"/>
      <c r="AF994" s="323"/>
      <c r="AG994" s="323"/>
      <c r="AH994" s="323"/>
      <c r="AI994" s="323"/>
      <c r="AJ994" s="323"/>
      <c r="AK994" s="323"/>
      <c r="AL994" s="323"/>
      <c r="AM994" s="323"/>
      <c r="AN994" s="323"/>
      <c r="AO994" s="323"/>
      <c r="AP994" s="323"/>
      <c r="AQ994" s="323"/>
      <c r="AR994" s="323"/>
      <c r="AS994" s="323"/>
      <c r="AT994" s="323"/>
      <c r="AU994" s="323"/>
      <c r="AV994" s="323"/>
      <c r="AW994" s="323"/>
      <c r="AX994" s="323"/>
      <c r="AY994" s="323"/>
      <c r="AZ994" s="323"/>
      <c r="BA994" s="323"/>
      <c r="BB994" s="323"/>
      <c r="BC994" s="323"/>
      <c r="BD994" s="323"/>
      <c r="BE994" s="323"/>
      <c r="BF994" s="323"/>
      <c r="BG994" s="323"/>
      <c r="BH994" s="323"/>
      <c r="BI994" s="323"/>
      <c r="BJ994" s="323"/>
      <c r="BK994" s="323"/>
      <c r="BL994" s="323"/>
      <c r="BM994" s="323"/>
      <c r="BN994" s="323"/>
      <c r="BO994" s="323"/>
      <c r="BP994" s="323"/>
      <c r="BQ994" s="323"/>
      <c r="BR994" s="323"/>
      <c r="BS994" s="323"/>
      <c r="BT994" s="323"/>
      <c r="BU994" s="323"/>
      <c r="BV994" s="323"/>
      <c r="BW994" s="323"/>
      <c r="BX994" s="323"/>
      <c r="BY994" s="323"/>
      <c r="BZ994" s="323"/>
      <c r="CA994" s="323"/>
      <c r="CB994" s="323"/>
      <c r="CC994" s="323"/>
      <c r="CD994" s="329">
        <f>SUM(CD995:CD998)</f>
        <v>0</v>
      </c>
      <c r="CE994" s="323">
        <f t="shared" ref="CE994:DB994" si="2069">SUM(CE995:CE998)</f>
        <v>4.9950000000000045</v>
      </c>
      <c r="CF994" s="323">
        <f t="shared" si="2069"/>
        <v>14.0749</v>
      </c>
      <c r="CG994" s="323">
        <f t="shared" si="2069"/>
        <v>-6.366800000000012</v>
      </c>
      <c r="CH994" s="323">
        <f t="shared" si="2069"/>
        <v>11.996800000000007</v>
      </c>
      <c r="CI994" s="323">
        <f t="shared" si="2069"/>
        <v>14.2453</v>
      </c>
      <c r="CJ994" s="323">
        <f t="shared" si="2069"/>
        <v>3.6593000000000018</v>
      </c>
      <c r="CK994" s="323">
        <f t="shared" si="2069"/>
        <v>-1.0833999999999833</v>
      </c>
      <c r="CL994" s="323">
        <f t="shared" si="2069"/>
        <v>3.4935999999999634</v>
      </c>
      <c r="CM994" s="323">
        <f t="shared" si="2069"/>
        <v>3.5136000000000251</v>
      </c>
      <c r="CN994" s="323">
        <f t="shared" si="2069"/>
        <v>0</v>
      </c>
      <c r="CO994" s="323">
        <f t="shared" si="2069"/>
        <v>-0.1734000000000151</v>
      </c>
      <c r="CP994" s="325">
        <f t="shared" si="2069"/>
        <v>-1.3345999999999947</v>
      </c>
      <c r="CQ994" s="323">
        <f t="shared" si="2069"/>
        <v>-0.68989999999999441</v>
      </c>
      <c r="CR994" s="323">
        <f t="shared" si="2069"/>
        <v>8.7515000000000072</v>
      </c>
      <c r="CS994" s="323">
        <f t="shared" si="2069"/>
        <v>6.2998999999999796</v>
      </c>
      <c r="CT994" s="323">
        <f t="shared" si="2069"/>
        <v>-4.0430999999999813</v>
      </c>
      <c r="CU994" s="323">
        <f t="shared" si="2069"/>
        <v>8.1078999999999866</v>
      </c>
      <c r="CV994" s="323">
        <f t="shared" si="2069"/>
        <v>0.97300000000001319</v>
      </c>
      <c r="CW994" s="323">
        <f t="shared" si="2069"/>
        <v>1.9724999999999966</v>
      </c>
      <c r="CX994" s="323">
        <f t="shared" si="2069"/>
        <v>7.3089000000000048</v>
      </c>
      <c r="CY994" s="323">
        <f t="shared" si="2069"/>
        <v>2.6999999999986812E-2</v>
      </c>
      <c r="CZ994" s="323">
        <f t="shared" si="2069"/>
        <v>4</v>
      </c>
      <c r="DA994" s="323">
        <f t="shared" si="2069"/>
        <v>30.937600000000018</v>
      </c>
      <c r="DB994" s="1269">
        <f t="shared" si="2069"/>
        <v>16.451999999999998</v>
      </c>
      <c r="DC994" s="323">
        <v>8.4154999999999731</v>
      </c>
      <c r="DD994" s="323">
        <v>9.5971000000000046</v>
      </c>
      <c r="DE994" s="323">
        <v>-9.4684999999999775</v>
      </c>
      <c r="DF994" s="323">
        <v>7.0509999999999877</v>
      </c>
      <c r="DG994" s="323">
        <v>3.4836999999999847</v>
      </c>
      <c r="DH994" s="323">
        <v>0.65970000000001505</v>
      </c>
      <c r="DI994" s="323">
        <v>-3.6674999999999898</v>
      </c>
      <c r="DJ994" s="323">
        <v>6.7764000000000024</v>
      </c>
      <c r="DK994" s="323">
        <v>11.218999999999994</v>
      </c>
      <c r="DL994" s="323">
        <v>-30.878500000000003</v>
      </c>
      <c r="DM994" s="323">
        <v>15.697000000000003</v>
      </c>
      <c r="DN994" s="325">
        <v>13.526999999999987</v>
      </c>
      <c r="DO994" s="323">
        <f t="shared" ref="DO994:FP994" si="2070">SUM(DO995:DO998)</f>
        <v>-3.5030015555814487</v>
      </c>
      <c r="DP994" s="323">
        <f t="shared" si="2070"/>
        <v>-9.7527000000000044</v>
      </c>
      <c r="DQ994" s="323">
        <f t="shared" si="2070"/>
        <v>-18.623299999999986</v>
      </c>
      <c r="DR994" s="323">
        <f t="shared" si="2070"/>
        <v>-9.5093999999999994</v>
      </c>
      <c r="DS994" s="323">
        <f t="shared" si="2070"/>
        <v>3.4126999999999867</v>
      </c>
      <c r="DT994" s="323">
        <f t="shared" si="2070"/>
        <v>7.1467000000000098</v>
      </c>
      <c r="DU994" s="323">
        <f t="shared" si="2070"/>
        <v>-7.5421984444185526</v>
      </c>
      <c r="DV994" s="323">
        <f t="shared" si="2070"/>
        <v>-1.1103999999999914</v>
      </c>
      <c r="DW994" s="323">
        <f t="shared" si="2070"/>
        <v>15.191499999999991</v>
      </c>
      <c r="DX994" s="323">
        <f t="shared" si="2070"/>
        <v>-2.0269999999999868</v>
      </c>
      <c r="DY994" s="323">
        <f t="shared" si="2070"/>
        <v>8.0301000000000045</v>
      </c>
      <c r="DZ994" s="325">
        <f t="shared" si="2070"/>
        <v>15.620499999999993</v>
      </c>
      <c r="EA994" s="323">
        <f t="shared" si="2070"/>
        <v>28.768298444419003</v>
      </c>
      <c r="EB994" s="323">
        <f t="shared" si="2070"/>
        <v>8.3701000000000008</v>
      </c>
      <c r="EC994" s="323">
        <f t="shared" si="2070"/>
        <v>13.280301555580991</v>
      </c>
      <c r="ED994" s="323">
        <f t="shared" si="2070"/>
        <v>13.703500000000048</v>
      </c>
      <c r="EE994" s="323">
        <f t="shared" si="2070"/>
        <v>18.861754612000013</v>
      </c>
      <c r="EF994" s="323">
        <f t="shared" si="2070"/>
        <v>-3.7397000000000276</v>
      </c>
      <c r="EG994" s="323">
        <f t="shared" si="2070"/>
        <v>-30.484454612000064</v>
      </c>
      <c r="EH994" s="323">
        <f t="shared" si="2070"/>
        <v>13.461300000000037</v>
      </c>
      <c r="EI994" s="323">
        <f t="shared" si="2070"/>
        <v>-0.4591000000000065</v>
      </c>
      <c r="EJ994" s="323">
        <f t="shared" si="2070"/>
        <v>-21.645199999999988</v>
      </c>
      <c r="EK994" s="323">
        <f t="shared" si="2070"/>
        <v>28.643399999999986</v>
      </c>
      <c r="EL994" s="325">
        <f t="shared" si="2070"/>
        <v>-5.4942999999999813</v>
      </c>
      <c r="EM994" s="323">
        <f t="shared" si="2070"/>
        <v>-1.6954000000000065</v>
      </c>
      <c r="EN994" s="323">
        <f t="shared" si="2070"/>
        <v>15.317299999999975</v>
      </c>
      <c r="EO994" s="323">
        <f t="shared" si="2070"/>
        <v>2.0551000000000386</v>
      </c>
      <c r="EP994" s="323">
        <f t="shared" si="2070"/>
        <v>-17.357000000000028</v>
      </c>
      <c r="EQ994" s="323">
        <f t="shared" si="2070"/>
        <v>-1.8499999999999943</v>
      </c>
      <c r="ER994" s="323">
        <f t="shared" si="2070"/>
        <v>-9.997099999999989</v>
      </c>
      <c r="ES994" s="323">
        <f t="shared" si="2070"/>
        <v>0.1051999999999822</v>
      </c>
      <c r="ET994" s="323">
        <f t="shared" si="2070"/>
        <v>13.878899999999987</v>
      </c>
      <c r="EU994" s="323">
        <f t="shared" si="2070"/>
        <v>14.73690000000002</v>
      </c>
      <c r="EV994" s="323">
        <f t="shared" si="2070"/>
        <v>28.300700000000006</v>
      </c>
      <c r="EW994" s="323">
        <f t="shared" si="2070"/>
        <v>4.2403999999999513</v>
      </c>
      <c r="EX994" s="325">
        <f t="shared" si="2070"/>
        <v>42.34210000000003</v>
      </c>
      <c r="EY994" s="323">
        <f t="shared" si="2070"/>
        <v>-31.70529999999998</v>
      </c>
      <c r="EZ994" s="323">
        <f t="shared" si="2070"/>
        <v>10.027799999999985</v>
      </c>
      <c r="FA994" s="323">
        <f t="shared" si="2070"/>
        <v>5.0846999999999838</v>
      </c>
      <c r="FB994" s="323">
        <f t="shared" si="2070"/>
        <v>14.287399999999991</v>
      </c>
      <c r="FC994" s="323">
        <f t="shared" si="2070"/>
        <v>24.723800000000011</v>
      </c>
      <c r="FD994" s="323">
        <f t="shared" si="2070"/>
        <v>18.897100000000023</v>
      </c>
      <c r="FE994" s="323">
        <f t="shared" si="2070"/>
        <v>20.771800000000042</v>
      </c>
      <c r="FF994" s="323">
        <f t="shared" si="2070"/>
        <v>21.090499999999963</v>
      </c>
      <c r="FG994" s="323">
        <f t="shared" si="2070"/>
        <v>47.543199999999899</v>
      </c>
      <c r="FH994" s="323">
        <f t="shared" si="2070"/>
        <v>10.992900000000105</v>
      </c>
      <c r="FI994" s="323">
        <f t="shared" si="2070"/>
        <v>18.881899999999973</v>
      </c>
      <c r="FJ994" s="325">
        <f t="shared" si="2070"/>
        <v>20.681700000000063</v>
      </c>
      <c r="FK994" s="323">
        <f t="shared" si="2070"/>
        <v>-2.3120000000000687</v>
      </c>
      <c r="FL994" s="323">
        <f t="shared" si="2070"/>
        <v>15.045200000000023</v>
      </c>
      <c r="FM994" s="323">
        <f t="shared" si="2070"/>
        <v>4.1857000000000539</v>
      </c>
      <c r="FN994" s="323">
        <f t="shared" si="2070"/>
        <v>6.1647999999999854</v>
      </c>
      <c r="FO994" s="323">
        <f t="shared" si="2070"/>
        <v>10.26400000000001</v>
      </c>
      <c r="FP994" s="323">
        <f t="shared" si="2070"/>
        <v>24.048999999999978</v>
      </c>
      <c r="FQ994" s="323">
        <f t="shared" ref="FQ994:FV994" si="2071">SUM(FQ995:FQ998)</f>
        <v>12.373999999999967</v>
      </c>
      <c r="FR994" s="323">
        <f t="shared" si="2071"/>
        <v>6.1676199999999994</v>
      </c>
      <c r="FS994" s="323">
        <f t="shared" si="2071"/>
        <v>-6.1843999999999824</v>
      </c>
      <c r="FT994" s="323">
        <f t="shared" si="2071"/>
        <v>-12.320499999999925</v>
      </c>
      <c r="FU994" s="323">
        <f t="shared" si="2071"/>
        <v>-4.6036000000000854</v>
      </c>
      <c r="FV994" s="323">
        <f t="shared" si="2071"/>
        <v>70.157900000000041</v>
      </c>
      <c r="FW994" s="323">
        <v>-11.615500000000054</v>
      </c>
      <c r="FX994" s="323">
        <v>-25.963734999999929</v>
      </c>
      <c r="FY994" s="323">
        <v>19.295200000000023</v>
      </c>
      <c r="FZ994" s="323">
        <v>7.2210000000000036</v>
      </c>
      <c r="GA994" s="323">
        <v>45.064599999999984</v>
      </c>
      <c r="GB994" s="323">
        <v>10.862400000000036</v>
      </c>
      <c r="GC994" s="323">
        <v>20.000000000000057</v>
      </c>
      <c r="GD994" s="323">
        <v>39.999999999999943</v>
      </c>
      <c r="GE994" s="323">
        <v>20.000000000000057</v>
      </c>
      <c r="GF994" s="323">
        <v>21.535914999999989</v>
      </c>
      <c r="GG994" s="323">
        <v>25.000000000000057</v>
      </c>
      <c r="GH994" s="323">
        <v>24.997999999999934</v>
      </c>
      <c r="GI994" s="1654">
        <f>GI995+GI998</f>
        <v>23.090000000000032</v>
      </c>
      <c r="GJ994" s="1654">
        <f t="shared" ref="GJ994:HR994" si="2072">GJ995+GJ998</f>
        <v>23.75</v>
      </c>
      <c r="GK994" s="1654">
        <f t="shared" si="2072"/>
        <v>29.879999999999995</v>
      </c>
      <c r="GL994" s="1654">
        <f t="shared" si="2072"/>
        <v>15.194584999999961</v>
      </c>
      <c r="GM994" s="1654">
        <f t="shared" si="2072"/>
        <v>29.244700000000023</v>
      </c>
      <c r="GN994" s="1654">
        <f t="shared" si="2072"/>
        <v>-42.5</v>
      </c>
      <c r="GO994" s="1654">
        <f t="shared" si="2072"/>
        <v>-10.245800000000031</v>
      </c>
      <c r="GP994" s="1654">
        <f t="shared" si="2072"/>
        <v>-9.3762999999999579</v>
      </c>
      <c r="GQ994" s="1654">
        <f t="shared" si="2072"/>
        <v>-19.933499999999981</v>
      </c>
      <c r="GR994" s="1654">
        <f t="shared" si="2072"/>
        <v>-1.6260000000000332</v>
      </c>
      <c r="GS994" s="1654">
        <f t="shared" si="2072"/>
        <v>16</v>
      </c>
      <c r="GT994" s="1654">
        <f t="shared" si="2072"/>
        <v>-11.274999999999977</v>
      </c>
      <c r="GU994" s="1654">
        <f t="shared" si="2072"/>
        <v>73.191914999999995</v>
      </c>
      <c r="GV994" s="1654">
        <f t="shared" si="2072"/>
        <v>-0.62531500000000051</v>
      </c>
      <c r="GW994" s="1654">
        <f t="shared" si="2072"/>
        <v>10.388999999999953</v>
      </c>
      <c r="GX994" s="1654">
        <f t="shared" si="2072"/>
        <v>-12.464799999999968</v>
      </c>
      <c r="GY994" s="1654">
        <f t="shared" si="2072"/>
        <v>6.3748000000000502</v>
      </c>
      <c r="GZ994" s="1654">
        <f t="shared" si="2072"/>
        <v>9.5664999999999623</v>
      </c>
      <c r="HA994" s="1654">
        <f t="shared" si="2072"/>
        <v>-23.575499999999977</v>
      </c>
      <c r="HB994" s="1654">
        <f t="shared" si="2072"/>
        <v>4.4875000000000114</v>
      </c>
      <c r="HC994" s="1654">
        <f t="shared" si="2072"/>
        <v>13.731999999999971</v>
      </c>
      <c r="HD994" s="1654">
        <f t="shared" si="2072"/>
        <v>1.8602999999999952</v>
      </c>
      <c r="HE994" s="1654">
        <f t="shared" si="2072"/>
        <v>-16.097899999999981</v>
      </c>
      <c r="HF994" s="1654">
        <f t="shared" si="2072"/>
        <v>-31.100999999999999</v>
      </c>
      <c r="HG994" s="1654">
        <f t="shared" si="2072"/>
        <v>16.737099999999998</v>
      </c>
      <c r="HH994" s="1654">
        <f t="shared" si="2072"/>
        <v>101.17749999999995</v>
      </c>
      <c r="HI994" s="1654">
        <f t="shared" si="2072"/>
        <v>53.319699999999955</v>
      </c>
      <c r="HJ994" s="1654">
        <f t="shared" si="2072"/>
        <v>-9.51400000000001</v>
      </c>
      <c r="HK994" s="1654">
        <f t="shared" si="2072"/>
        <v>78.516100000000108</v>
      </c>
      <c r="HL994" s="1654">
        <f t="shared" si="2072"/>
        <v>-0.19780000000002929</v>
      </c>
      <c r="HM994" s="1654">
        <f t="shared" si="2072"/>
        <v>-29.730699999999956</v>
      </c>
      <c r="HN994" s="1654">
        <f t="shared" si="2072"/>
        <v>-19.31310000000002</v>
      </c>
      <c r="HO994" s="1654">
        <f t="shared" si="2072"/>
        <v>-47.075300000000027</v>
      </c>
      <c r="HP994" s="1654">
        <f t="shared" si="2072"/>
        <v>-33.532500000000027</v>
      </c>
      <c r="HQ994" s="1654">
        <f t="shared" si="2072"/>
        <v>5.8614000000000601</v>
      </c>
      <c r="HR994" s="1654">
        <f t="shared" si="2072"/>
        <v>4.5001000000000317</v>
      </c>
      <c r="HS994" s="1654">
        <f t="shared" ref="HS994:HX994" si="2073">HS995+HS998</f>
        <v>25.941499999999962</v>
      </c>
      <c r="HT994" s="1654">
        <f t="shared" si="2073"/>
        <v>73.507699999999943</v>
      </c>
      <c r="HU994" s="1654">
        <f t="shared" si="2073"/>
        <v>15.989100000000008</v>
      </c>
      <c r="HV994" s="1654">
        <f t="shared" si="2073"/>
        <v>27.805699999999945</v>
      </c>
      <c r="HW994" s="1654">
        <f t="shared" si="2073"/>
        <v>25.181800000000123</v>
      </c>
      <c r="HX994" s="1654">
        <f t="shared" si="2073"/>
        <v>0.83890000000002374</v>
      </c>
      <c r="HY994" s="1654"/>
      <c r="HZ994" s="326"/>
      <c r="IA994" s="335" t="s">
        <v>571</v>
      </c>
      <c r="IB994" s="284">
        <f>SUM(CE994:CJ994)</f>
        <v>42.604500000000002</v>
      </c>
      <c r="IC994" s="279">
        <f>SUM(CK994:CP994)</f>
        <v>4.4157999999999955</v>
      </c>
      <c r="ID994" s="323">
        <f>IB994+IC994</f>
        <v>47.020299999999999</v>
      </c>
      <c r="IE994" s="279">
        <f>SUM(CQ994:CV994)</f>
        <v>19.399300000000011</v>
      </c>
      <c r="IF994" s="279">
        <f>SUM(CW994:DB994)</f>
        <v>60.698000000000008</v>
      </c>
      <c r="IG994" s="323">
        <f>IE994+IF994</f>
        <v>80.097300000000018</v>
      </c>
      <c r="IH994" s="284">
        <f>SUM(DC994:DH994)</f>
        <v>19.738499999999988</v>
      </c>
      <c r="II994" s="279">
        <f>SUM(DI994:DN994)</f>
        <v>12.673399999999994</v>
      </c>
      <c r="IJ994" s="323">
        <f>IH994+II994</f>
        <v>32.411899999999982</v>
      </c>
      <c r="IK994" s="327">
        <f>SUM(DO994:DT994)</f>
        <v>-30.829001555581442</v>
      </c>
      <c r="IL994" s="279">
        <f>SUM(DU994:DZ994)</f>
        <v>28.162501555581457</v>
      </c>
      <c r="IM994" s="323">
        <f>IK994+IL994</f>
        <v>-2.666499999999985</v>
      </c>
      <c r="IN994" s="279">
        <f>SUM(EA994:EF994)</f>
        <v>79.244254612000034</v>
      </c>
      <c r="IO994" s="279">
        <f>SUM(EG994:EL994)</f>
        <v>-15.978354612000018</v>
      </c>
      <c r="IP994" s="323">
        <f>IN994+IO994</f>
        <v>63.265900000000016</v>
      </c>
      <c r="IQ994" s="327">
        <f>SUM(EM994:ER994)</f>
        <v>-13.527100000000004</v>
      </c>
      <c r="IR994" s="327">
        <f>SUM(ES994:EX994)</f>
        <v>103.60419999999998</v>
      </c>
      <c r="IS994" s="323">
        <f>IQ994+IR994</f>
        <v>90.077099999999973</v>
      </c>
      <c r="IT994" s="327">
        <f>SUM(EY994:FD994)</f>
        <v>41.315500000000014</v>
      </c>
      <c r="IU994" s="327">
        <f>SUM(FE994:FJ994)</f>
        <v>139.96200000000005</v>
      </c>
      <c r="IV994" s="323">
        <f t="shared" si="2059"/>
        <v>181.27750000000006</v>
      </c>
      <c r="IW994" s="327">
        <f t="shared" si="2060"/>
        <v>57.396699999999981</v>
      </c>
      <c r="IX994" s="327">
        <f t="shared" si="2061"/>
        <v>65.591020000000015</v>
      </c>
      <c r="IY994" s="323">
        <f t="shared" si="2005"/>
        <v>122.98772</v>
      </c>
      <c r="IZ994" s="327">
        <f t="shared" si="2018"/>
        <v>44.863965000000064</v>
      </c>
      <c r="JA994" s="327">
        <f t="shared" si="2019"/>
        <v>151.53391500000004</v>
      </c>
      <c r="JB994" s="323">
        <f t="shared" si="2036"/>
        <v>196.3978800000001</v>
      </c>
      <c r="JC994" s="327">
        <f t="shared" si="2020"/>
        <v>78.659285000000011</v>
      </c>
      <c r="JD994" s="327">
        <f t="shared" si="2021"/>
        <v>-36.45659999999998</v>
      </c>
      <c r="JE994" s="323">
        <f t="shared" si="1945"/>
        <v>42.202685000000031</v>
      </c>
      <c r="JF994" s="327">
        <f>JF995+JF998</f>
        <v>86.432099999999991</v>
      </c>
      <c r="JG994" s="327">
        <f>JG995+JG998</f>
        <v>-50.69459999999998</v>
      </c>
      <c r="JH994" s="323">
        <f t="shared" si="1944"/>
        <v>35.737500000000011</v>
      </c>
      <c r="JI994" s="327">
        <f t="shared" si="1993"/>
        <v>240.03859999999997</v>
      </c>
      <c r="JJ994" s="327">
        <f t="shared" si="2035"/>
        <v>-119.29009999999994</v>
      </c>
      <c r="JK994" s="323">
        <f t="shared" si="1933"/>
        <v>120.74850000000004</v>
      </c>
      <c r="JL994" s="327">
        <f t="shared" si="1946"/>
        <v>169.2647</v>
      </c>
      <c r="JM994" s="327">
        <f>JM995+JM998</f>
        <v>54.621261214597908</v>
      </c>
      <c r="JN994" s="323">
        <f>FISC!AK1320</f>
        <v>145.04026693840493</v>
      </c>
      <c r="JO994" s="327">
        <f>JO995+JO998</f>
        <v>455.06096218991621</v>
      </c>
      <c r="JP994" s="327">
        <f>JP995+JP998</f>
        <v>-279.48345342200389</v>
      </c>
      <c r="JQ994" s="323">
        <f>FISC!AL1320</f>
        <v>175.57750876791252</v>
      </c>
      <c r="JR994" s="327">
        <f>JR995+JR998</f>
        <v>375.49893413338981</v>
      </c>
      <c r="JS994" s="327">
        <f>JS995+JS998</f>
        <v>-127.32847501105432</v>
      </c>
      <c r="JT994" s="323">
        <f>FISC!AM1320</f>
        <v>248.17045912233536</v>
      </c>
      <c r="JU994" s="327">
        <f>JU995+JU998</f>
        <v>142.94645529543016</v>
      </c>
      <c r="JV994" s="327">
        <f>JV995+JV998</f>
        <v>17.478389197459769</v>
      </c>
      <c r="JW994" s="323">
        <f>FISC!AN1320</f>
        <v>160.42484449289</v>
      </c>
      <c r="JX994" s="327">
        <f>JX995+JX998</f>
        <v>374.78074877972199</v>
      </c>
      <c r="JY994" s="327">
        <f>JY995+JY998</f>
        <v>-59.364902819315233</v>
      </c>
      <c r="JZ994" s="323">
        <f>FISC!AO1320</f>
        <v>315.41584596040633</v>
      </c>
      <c r="KA994" s="327">
        <f>KA995+KA998</f>
        <v>407.82146330105888</v>
      </c>
      <c r="KB994" s="327">
        <f>KB995+KB998</f>
        <v>206.02957235931825</v>
      </c>
      <c r="KC994" s="323">
        <f>FISC!AP1320</f>
        <v>290.89966414254985</v>
      </c>
      <c r="KD994" s="327">
        <f>KD995+KD998</f>
        <v>355.20334207000479</v>
      </c>
      <c r="KE994" s="327">
        <f>KE995+KE998</f>
        <v>283.13885367678722</v>
      </c>
      <c r="KF994" s="323">
        <f>FISC!AQ1320</f>
        <v>1025.3678068584134</v>
      </c>
      <c r="KG994" s="327">
        <f>KG995+KG998</f>
        <v>840.93936861879763</v>
      </c>
      <c r="KH994" s="327">
        <f>KH995+KH998</f>
        <v>119.48685804660721</v>
      </c>
      <c r="KI994" s="323">
        <f>FISC!AR1320</f>
        <v>741.59573651974392</v>
      </c>
      <c r="KJ994" s="327">
        <f>KJ995+KJ998</f>
        <v>1137.5124172672799</v>
      </c>
      <c r="KK994" s="327">
        <f>KK995+KK998</f>
        <v>15.604666012320536</v>
      </c>
      <c r="KL994" s="323">
        <f>FISC!AS1320</f>
        <v>1022.106769272854</v>
      </c>
      <c r="KM994" s="327">
        <f>KM995+KM998</f>
        <v>1323.0995895583123</v>
      </c>
      <c r="KN994" s="327">
        <f>KN995+KN998</f>
        <v>35.276123250727721</v>
      </c>
      <c r="KO994" s="323">
        <f>FISC!AT1320</f>
        <v>1357.4153429382861</v>
      </c>
      <c r="KU994" s="326"/>
      <c r="KV994" s="327"/>
      <c r="KY994" s="279">
        <f>SUM(KY995:KY998)</f>
        <v>0</v>
      </c>
      <c r="KZ994" s="279">
        <f>SUM(KZ995:KZ998)</f>
        <v>0</v>
      </c>
      <c r="LA994" s="279">
        <f>SUM(LA995:LA998)</f>
        <v>0</v>
      </c>
      <c r="LB994" s="279">
        <f>SUM(LB995:LB998)</f>
        <v>0</v>
      </c>
    </row>
    <row r="995" spans="1:314">
      <c r="A995" s="279"/>
      <c r="B995" s="96" t="s">
        <v>338</v>
      </c>
      <c r="D995" s="337" t="s">
        <v>572</v>
      </c>
      <c r="E995" s="323"/>
      <c r="F995" s="323"/>
      <c r="G995" s="323"/>
      <c r="H995" s="323"/>
      <c r="I995" s="323"/>
      <c r="J995" s="323"/>
      <c r="K995" s="323"/>
      <c r="L995" s="323"/>
      <c r="M995" s="323"/>
      <c r="N995" s="323"/>
      <c r="O995" s="323"/>
      <c r="P995" s="323"/>
      <c r="Q995" s="323"/>
      <c r="R995" s="323"/>
      <c r="S995" s="323"/>
      <c r="T995" s="323"/>
      <c r="U995" s="323"/>
      <c r="V995" s="323"/>
      <c r="W995" s="323"/>
      <c r="X995" s="323"/>
      <c r="Y995" s="323"/>
      <c r="Z995" s="323"/>
      <c r="AA995" s="323"/>
      <c r="AB995" s="323"/>
      <c r="AC995" s="323"/>
      <c r="AD995" s="323"/>
      <c r="AE995" s="323"/>
      <c r="AF995" s="323"/>
      <c r="AG995" s="323"/>
      <c r="AH995" s="323"/>
      <c r="AI995" s="323"/>
      <c r="AJ995" s="323"/>
      <c r="AK995" s="323"/>
      <c r="AL995" s="323"/>
      <c r="AM995" s="323"/>
      <c r="AN995" s="323"/>
      <c r="AO995" s="323"/>
      <c r="AP995" s="323"/>
      <c r="AQ995" s="323"/>
      <c r="AR995" s="323"/>
      <c r="AS995" s="323"/>
      <c r="AT995" s="323"/>
      <c r="AU995" s="323"/>
      <c r="AV995" s="323"/>
      <c r="AW995" s="323"/>
      <c r="AX995" s="323"/>
      <c r="AY995" s="323"/>
      <c r="AZ995" s="323"/>
      <c r="BA995" s="323"/>
      <c r="BB995" s="323"/>
      <c r="BC995" s="323"/>
      <c r="BD995" s="323"/>
      <c r="BE995" s="323"/>
      <c r="BF995" s="323"/>
      <c r="BG995" s="323"/>
      <c r="BH995" s="323"/>
      <c r="BI995" s="323"/>
      <c r="BJ995" s="323"/>
      <c r="BK995" s="323"/>
      <c r="BL995" s="323"/>
      <c r="BM995" s="323"/>
      <c r="BN995" s="323"/>
      <c r="BO995" s="323"/>
      <c r="BP995" s="323"/>
      <c r="BQ995" s="323"/>
      <c r="BR995" s="323"/>
      <c r="BS995" s="323"/>
      <c r="BT995" s="323"/>
      <c r="BU995" s="323"/>
      <c r="BV995" s="323"/>
      <c r="BW995" s="323"/>
      <c r="BX995" s="323"/>
      <c r="BY995" s="323"/>
      <c r="BZ995" s="323"/>
      <c r="CA995" s="323"/>
      <c r="CB995" s="323"/>
      <c r="CC995" s="323"/>
      <c r="CD995" s="329"/>
      <c r="CE995" s="323">
        <v>4.9950000000000045</v>
      </c>
      <c r="CF995" s="323">
        <v>14.0749</v>
      </c>
      <c r="CG995" s="323">
        <v>-6.366800000000012</v>
      </c>
      <c r="CH995" s="323">
        <v>11.996800000000007</v>
      </c>
      <c r="CI995" s="323">
        <v>14.2453</v>
      </c>
      <c r="CJ995" s="323">
        <v>3.6593000000000018</v>
      </c>
      <c r="CK995" s="323">
        <v>-1.0833999999999833</v>
      </c>
      <c r="CL995" s="323">
        <v>-0.61240000000003647</v>
      </c>
      <c r="CM995" s="323">
        <v>3.5136000000000251</v>
      </c>
      <c r="CN995" s="323">
        <v>0</v>
      </c>
      <c r="CO995" s="323">
        <v>-0.1734000000000151</v>
      </c>
      <c r="CP995" s="325">
        <v>-1.3345999999999947</v>
      </c>
      <c r="CQ995" s="323">
        <v>-0.68989999999999441</v>
      </c>
      <c r="CR995" s="323">
        <v>2.822100000000006</v>
      </c>
      <c r="CS995" s="323">
        <v>6.2998999999999796</v>
      </c>
      <c r="CT995" s="323">
        <v>-4.0430999999999813</v>
      </c>
      <c r="CU995" s="323">
        <v>0.76499999999998636</v>
      </c>
      <c r="CV995" s="323">
        <v>0.97300000000001319</v>
      </c>
      <c r="CW995" s="323">
        <v>1.9724999999999966</v>
      </c>
      <c r="CX995" s="323">
        <v>9.6100000000006958E-2</v>
      </c>
      <c r="CY995" s="323">
        <v>2.6999999999986812E-2</v>
      </c>
      <c r="CZ995" s="323">
        <v>4</v>
      </c>
      <c r="DA995" s="323">
        <v>28.845500000000015</v>
      </c>
      <c r="DB995" s="1269">
        <v>16.451999999999998</v>
      </c>
      <c r="DC995" s="323">
        <v>8.4154999999999802</v>
      </c>
      <c r="DD995" s="323">
        <v>2.046999999999997</v>
      </c>
      <c r="DE995" s="323">
        <v>-9.4684999999999775</v>
      </c>
      <c r="DF995" s="323">
        <v>7.0509999999999877</v>
      </c>
      <c r="DG995" s="323">
        <v>-1.5577000000000112</v>
      </c>
      <c r="DH995" s="323">
        <v>0.65970000000001505</v>
      </c>
      <c r="DI995" s="323">
        <v>-3.6674999999999898</v>
      </c>
      <c r="DJ995" s="323">
        <v>0.99420000000000641</v>
      </c>
      <c r="DK995" s="323">
        <v>11.218999999999994</v>
      </c>
      <c r="DL995" s="323">
        <v>-30.878500000000003</v>
      </c>
      <c r="DM995" s="323">
        <v>12.197000000000003</v>
      </c>
      <c r="DN995" s="325">
        <v>13.526999999999987</v>
      </c>
      <c r="DO995" s="323">
        <v>-3.5030015555814487</v>
      </c>
      <c r="DP995" s="323">
        <v>-13.466800000000006</v>
      </c>
      <c r="DQ995" s="323">
        <v>-16.700199999999995</v>
      </c>
      <c r="DR995" s="323">
        <v>-9.5093999999999994</v>
      </c>
      <c r="DS995" s="323">
        <v>-0.22730000000001382</v>
      </c>
      <c r="DT995" s="323">
        <v>7.1467000000000098</v>
      </c>
      <c r="DU995" s="323">
        <v>-7.5421984444185455</v>
      </c>
      <c r="DV995" s="323">
        <v>1.9017000000000053</v>
      </c>
      <c r="DW995" s="323">
        <v>15.191499999999991</v>
      </c>
      <c r="DX995" s="323">
        <v>-2.0269999999999868</v>
      </c>
      <c r="DY995" s="323">
        <v>7.0301000000000045</v>
      </c>
      <c r="DZ995" s="325">
        <v>15.620499999999993</v>
      </c>
      <c r="EA995" s="323">
        <v>28.708298444419</v>
      </c>
      <c r="EB995" s="323">
        <v>4.0728000000000009</v>
      </c>
      <c r="EC995" s="323">
        <v>13.280301555580991</v>
      </c>
      <c r="ED995" s="323">
        <v>13.703500000000048</v>
      </c>
      <c r="EE995" s="323">
        <v>16.311754612000016</v>
      </c>
      <c r="EF995" s="323">
        <v>-3.7397000000000276</v>
      </c>
      <c r="EG995" s="323">
        <v>-30.484454612000064</v>
      </c>
      <c r="EH995" s="323">
        <v>5.3641000000000361</v>
      </c>
      <c r="EI995" s="323">
        <v>-0.4591000000000065</v>
      </c>
      <c r="EJ995" s="323">
        <v>-21.645199999999988</v>
      </c>
      <c r="EK995" s="323">
        <v>26.103199999999987</v>
      </c>
      <c r="EL995" s="325">
        <v>-9.6057999999999879</v>
      </c>
      <c r="EM995" s="323">
        <v>-1.6954000000000065</v>
      </c>
      <c r="EN995" s="323">
        <v>11.626199999999983</v>
      </c>
      <c r="EO995" s="323">
        <v>-2.6246999999999616</v>
      </c>
      <c r="EP995" s="323">
        <v>-17.357000000000028</v>
      </c>
      <c r="EQ995" s="323">
        <v>2.6414000000000044</v>
      </c>
      <c r="ER995" s="323">
        <v>-9.997099999999989</v>
      </c>
      <c r="ES995" s="323">
        <v>-5.7658000000000129</v>
      </c>
      <c r="ET995" s="323">
        <v>8.8652999999999906</v>
      </c>
      <c r="EU995" s="323">
        <v>11.73690000000002</v>
      </c>
      <c r="EV995" s="323">
        <v>28.300700000000006</v>
      </c>
      <c r="EW995" s="323">
        <v>-2.9525000000000432</v>
      </c>
      <c r="EX995" s="325">
        <v>24.642100000000028</v>
      </c>
      <c r="EY995" s="323">
        <v>-36.897699999999986</v>
      </c>
      <c r="EZ995" s="323">
        <v>10.371399999999994</v>
      </c>
      <c r="FA995" s="323">
        <v>3.1501999999999839</v>
      </c>
      <c r="FB995" s="323">
        <v>9.8188999999999851</v>
      </c>
      <c r="FC995" s="323">
        <v>20.366100000000017</v>
      </c>
      <c r="FD995" s="323">
        <v>14.897100000000023</v>
      </c>
      <c r="FE995" s="323">
        <v>14.866200000000049</v>
      </c>
      <c r="FF995" s="323">
        <v>11.141699999999958</v>
      </c>
      <c r="FG995" s="323">
        <v>13.843199999999911</v>
      </c>
      <c r="FH995" s="323">
        <v>1.5052000000001158</v>
      </c>
      <c r="FI995" s="323">
        <v>10.058299999999974</v>
      </c>
      <c r="FJ995" s="325">
        <v>10.839900000000057</v>
      </c>
      <c r="FK995" s="323">
        <v>-9.8566000000000713</v>
      </c>
      <c r="FL995" s="323">
        <v>-3.6807000000000016</v>
      </c>
      <c r="FM995" s="323">
        <v>-6.6099999999948977E-2</v>
      </c>
      <c r="FN995" s="323">
        <v>4.7999999999888132E-3</v>
      </c>
      <c r="FO995" s="323">
        <v>0.87220000000002074</v>
      </c>
      <c r="FP995" s="323">
        <v>10.106799999999964</v>
      </c>
      <c r="FQ995" s="323">
        <v>0.65099999999995362</v>
      </c>
      <c r="FR995" s="323">
        <v>-2.3725000000000023</v>
      </c>
      <c r="FS995" s="323">
        <v>-14.466799999999978</v>
      </c>
      <c r="FT995" s="323">
        <v>-21.272699999999929</v>
      </c>
      <c r="FU995" s="323">
        <v>-12.448000000000093</v>
      </c>
      <c r="FV995" s="323">
        <v>54.059000000000026</v>
      </c>
      <c r="FW995" s="323">
        <v>-19.359000000000037</v>
      </c>
      <c r="FX995" s="323">
        <v>-34.765999999999963</v>
      </c>
      <c r="FY995" s="323">
        <v>15.284400000000005</v>
      </c>
      <c r="FZ995" s="323">
        <v>1.2635000000000218</v>
      </c>
      <c r="GA995" s="323">
        <v>13.572200000000009</v>
      </c>
      <c r="GB995" s="323">
        <v>1.5477000000000203</v>
      </c>
      <c r="GC995" s="323">
        <v>8.967200000000048</v>
      </c>
      <c r="GD995" s="323">
        <v>15.726199999999949</v>
      </c>
      <c r="GE995" s="323">
        <v>13.689200000000028</v>
      </c>
      <c r="GF995" s="323">
        <v>48.11080000000004</v>
      </c>
      <c r="GG995" s="323">
        <v>14.930000000000064</v>
      </c>
      <c r="GH995" s="323">
        <v>19.347999999999956</v>
      </c>
      <c r="GI995" s="1654">
        <f>GI997</f>
        <v>12.620000000000005</v>
      </c>
      <c r="GJ995" s="1654">
        <f t="shared" ref="GJ995:HR995" si="2074">GJ997</f>
        <v>17.860000000000014</v>
      </c>
      <c r="GK995" s="1654">
        <f t="shared" si="2074"/>
        <v>17.029999999999973</v>
      </c>
      <c r="GL995" s="1654">
        <f t="shared" si="2074"/>
        <v>8.8899999999999864</v>
      </c>
      <c r="GM995" s="1654">
        <f t="shared" si="2074"/>
        <v>22.090000000000032</v>
      </c>
      <c r="GN995" s="1654">
        <f t="shared" si="2074"/>
        <v>-42.5</v>
      </c>
      <c r="GO995" s="1654">
        <f>GO997</f>
        <v>-12.340200000000038</v>
      </c>
      <c r="GP995" s="1654">
        <f t="shared" si="2074"/>
        <v>-20.376299999999958</v>
      </c>
      <c r="GQ995" s="1654">
        <f t="shared" si="2074"/>
        <v>-14.233499999999992</v>
      </c>
      <c r="GR995" s="1654">
        <f t="shared" si="2074"/>
        <v>-1.6260000000000332</v>
      </c>
      <c r="GS995" s="1654">
        <f t="shared" si="2074"/>
        <v>11.300000000000011</v>
      </c>
      <c r="GT995" s="1654">
        <f t="shared" si="2074"/>
        <v>-17.274999999999977</v>
      </c>
      <c r="GU995" s="1654">
        <f t="shared" si="2074"/>
        <v>69.192000000000007</v>
      </c>
      <c r="GV995" s="1654">
        <f t="shared" si="2074"/>
        <v>-3.632000000000005</v>
      </c>
      <c r="GW995" s="1654">
        <f t="shared" si="2074"/>
        <v>9.8889999999999532</v>
      </c>
      <c r="GX995" s="1654">
        <f t="shared" si="2074"/>
        <v>-16.060299999999984</v>
      </c>
      <c r="GY995" s="1654">
        <f t="shared" si="2074"/>
        <v>-17.15749999999997</v>
      </c>
      <c r="GZ995" s="1654">
        <f t="shared" si="2074"/>
        <v>9.5664999999999623</v>
      </c>
      <c r="HA995" s="1654">
        <f t="shared" si="2074"/>
        <v>-24.575499999999977</v>
      </c>
      <c r="HB995" s="1654">
        <f t="shared" si="2074"/>
        <v>2.4875000000000114</v>
      </c>
      <c r="HC995" s="1654">
        <f t="shared" si="2074"/>
        <v>9.65949999999998</v>
      </c>
      <c r="HD995" s="1654">
        <f t="shared" si="2074"/>
        <v>-1.146000000000015</v>
      </c>
      <c r="HE995" s="1654">
        <f t="shared" si="2074"/>
        <v>-2.8297999999999774</v>
      </c>
      <c r="HF995" s="1654">
        <f t="shared" si="2074"/>
        <v>-34.384999999999991</v>
      </c>
      <c r="HG995" s="1654">
        <f t="shared" si="2074"/>
        <v>14.500299999999982</v>
      </c>
      <c r="HH995" s="1654">
        <f t="shared" si="2074"/>
        <v>84.18950000000001</v>
      </c>
      <c r="HI995" s="1654">
        <f t="shared" si="2074"/>
        <v>51.461799999999982</v>
      </c>
      <c r="HJ995" s="1654">
        <f t="shared" si="2074"/>
        <v>-9.51400000000001</v>
      </c>
      <c r="HK995" s="1654">
        <f t="shared" si="2074"/>
        <v>68.011000000000024</v>
      </c>
      <c r="HL995" s="1654">
        <f t="shared" si="2074"/>
        <v>-1.1209999999999809</v>
      </c>
      <c r="HM995" s="1654">
        <f t="shared" si="2074"/>
        <v>-30.964699999999993</v>
      </c>
      <c r="HN995" s="1654">
        <f t="shared" si="2074"/>
        <v>-20.31310000000002</v>
      </c>
      <c r="HO995" s="1654">
        <f t="shared" si="2074"/>
        <v>-52.190899999999999</v>
      </c>
      <c r="HP995" s="1654">
        <f t="shared" si="2074"/>
        <v>-36.532500000000027</v>
      </c>
      <c r="HQ995" s="1654">
        <f t="shared" si="2074"/>
        <v>4.9535000000000196</v>
      </c>
      <c r="HR995" s="1654">
        <f t="shared" si="2074"/>
        <v>-3.3494000000000028</v>
      </c>
      <c r="HS995" s="1654">
        <f t="shared" ref="HS995:HX995" si="2075">HS997</f>
        <v>6.0269000000000119</v>
      </c>
      <c r="HT995" s="1654">
        <f t="shared" si="2075"/>
        <v>67.511500000000012</v>
      </c>
      <c r="HU995" s="1654">
        <f t="shared" si="2075"/>
        <v>12.989100000000008</v>
      </c>
      <c r="HV995" s="1654">
        <f t="shared" si="2075"/>
        <v>8.5588999999999373</v>
      </c>
      <c r="HW995" s="1654">
        <f t="shared" si="2075"/>
        <v>22.181700000000035</v>
      </c>
      <c r="HX995" s="1654">
        <f t="shared" si="2075"/>
        <v>-20.027499999999975</v>
      </c>
      <c r="HY995" s="1654"/>
      <c r="HZ995" s="326"/>
      <c r="IA995" s="337" t="s">
        <v>572</v>
      </c>
      <c r="IB995" s="284">
        <f>SUM(CE995:CJ995)</f>
        <v>42.604500000000002</v>
      </c>
      <c r="IC995" s="279">
        <f>SUM(CK995:CP995)</f>
        <v>0.30979999999999563</v>
      </c>
      <c r="ID995" s="323">
        <f>IB995+IC995</f>
        <v>42.914299999999997</v>
      </c>
      <c r="IE995" s="279">
        <f>SUM(CQ995:CV995)</f>
        <v>6.1270000000000095</v>
      </c>
      <c r="IF995" s="279">
        <f>SUM(CW995:DB995)</f>
        <v>51.393100000000004</v>
      </c>
      <c r="IG995" s="323">
        <f>IE995+IF995</f>
        <v>57.520100000000014</v>
      </c>
      <c r="IH995" s="284">
        <f>SUM(DC995:DH995)</f>
        <v>7.1469999999999914</v>
      </c>
      <c r="II995" s="279">
        <f>SUM(DI995:DN995)</f>
        <v>3.3911999999999978</v>
      </c>
      <c r="IJ995" s="323">
        <f>IH995+II995</f>
        <v>10.538199999999989</v>
      </c>
      <c r="IK995" s="327">
        <f>SUM(DO995:DT995)</f>
        <v>-36.260001555581454</v>
      </c>
      <c r="IL995" s="279">
        <f>SUM(DU995:DZ995)</f>
        <v>30.174601555581461</v>
      </c>
      <c r="IM995" s="323">
        <f>IK995+IL995</f>
        <v>-6.0853999999999928</v>
      </c>
      <c r="IN995" s="279">
        <f>SUM(EA995:EF995)</f>
        <v>72.336954612000028</v>
      </c>
      <c r="IO995" s="279">
        <f>SUM(EG995:EL995)</f>
        <v>-30.727254612000024</v>
      </c>
      <c r="IP995" s="323">
        <f>IN995+IO995</f>
        <v>41.609700000000004</v>
      </c>
      <c r="IQ995" s="327">
        <f>SUM(EM995:ER995)</f>
        <v>-17.406599999999997</v>
      </c>
      <c r="IR995" s="327">
        <f>SUM(ES995:EX995)</f>
        <v>64.826699999999988</v>
      </c>
      <c r="IS995" s="323">
        <f>IQ995+IR995</f>
        <v>47.420099999999991</v>
      </c>
      <c r="IT995" s="327">
        <f>SUM(EY995:FD995)</f>
        <v>21.706000000000017</v>
      </c>
      <c r="IU995" s="327">
        <f>SUM(FE995:FJ995)</f>
        <v>62.254500000000064</v>
      </c>
      <c r="IV995" s="323">
        <f t="shared" si="2059"/>
        <v>83.960500000000081</v>
      </c>
      <c r="IW995" s="327">
        <f t="shared" si="2060"/>
        <v>-2.6196000000000481</v>
      </c>
      <c r="IX995" s="327">
        <f t="shared" si="2061"/>
        <v>4.1499999999999773</v>
      </c>
      <c r="IY995" s="323">
        <f t="shared" si="2005"/>
        <v>1.5303999999999292</v>
      </c>
      <c r="IZ995" s="327">
        <f t="shared" si="2018"/>
        <v>-22.457199999999943</v>
      </c>
      <c r="JA995" s="327">
        <f t="shared" si="2019"/>
        <v>120.77140000000009</v>
      </c>
      <c r="JB995" s="323">
        <f t="shared" si="2036"/>
        <v>98.314200000000142</v>
      </c>
      <c r="JC995" s="327">
        <f t="shared" si="2020"/>
        <v>35.990000000000009</v>
      </c>
      <c r="JD995" s="327">
        <f t="shared" si="2021"/>
        <v>-54.550999999999988</v>
      </c>
      <c r="JE995" s="323">
        <f t="shared" si="1945"/>
        <v>-18.560999999999979</v>
      </c>
      <c r="JF995" s="327">
        <f>JF996+JF997</f>
        <v>51.797699999999963</v>
      </c>
      <c r="JG995" s="327">
        <f>JG996+JG997</f>
        <v>-50.789299999999969</v>
      </c>
      <c r="JH995" s="323">
        <f t="shared" si="1944"/>
        <v>1.0083999999999946</v>
      </c>
      <c r="JI995" s="327">
        <f t="shared" si="1993"/>
        <v>207.52760000000001</v>
      </c>
      <c r="JJ995" s="327">
        <f t="shared" si="2035"/>
        <v>-138.39710000000002</v>
      </c>
      <c r="JK995" s="323">
        <f t="shared" si="1933"/>
        <v>69.130499999999984</v>
      </c>
      <c r="JL995" s="327">
        <f t="shared" si="1946"/>
        <v>97.240600000000029</v>
      </c>
      <c r="JM995" s="327">
        <f>JM996+JM997</f>
        <v>21.427775062804699</v>
      </c>
      <c r="JN995" s="323">
        <f>FISC!AK1321</f>
        <v>78.653294634818508</v>
      </c>
      <c r="JO995" s="327">
        <f>JO996+JO997</f>
        <v>414.87881326758225</v>
      </c>
      <c r="JP995" s="327">
        <f>JP996+JP997</f>
        <v>-319.66560234433786</v>
      </c>
      <c r="JQ995" s="323">
        <f>FISC!AL1321</f>
        <v>95.213210923244631</v>
      </c>
      <c r="JR995" s="327">
        <f>JR996+JR997</f>
        <v>318.703377478356</v>
      </c>
      <c r="JS995" s="327">
        <f>JS996+JS997</f>
        <v>-184.12403166608811</v>
      </c>
      <c r="JT995" s="323">
        <f>FISC!AM1321</f>
        <v>134.57934581226777</v>
      </c>
      <c r="JU995" s="327">
        <f>JU996+JU997</f>
        <v>106.23210026504576</v>
      </c>
      <c r="JV995" s="327">
        <f>JV996+JV997</f>
        <v>-19.235965832924634</v>
      </c>
      <c r="JW995" s="323">
        <f>FISC!AN1321</f>
        <v>86.996134432121195</v>
      </c>
      <c r="JX995" s="327">
        <f>JX996+JX997</f>
        <v>302.59561194879529</v>
      </c>
      <c r="JY995" s="327">
        <f>JY996+JY997</f>
        <v>-131.5500396502419</v>
      </c>
      <c r="JZ995" s="323">
        <f>FISC!AO1321</f>
        <v>171.045572298553</v>
      </c>
      <c r="KA995" s="327">
        <f>KA996+KA997</f>
        <v>341.2470272695968</v>
      </c>
      <c r="KB995" s="327">
        <f>KB996+KB997</f>
        <v>139.45513632785617</v>
      </c>
      <c r="KC995" s="323">
        <f>FISC!AP1321</f>
        <v>157.75079207962568</v>
      </c>
      <c r="KD995" s="327">
        <f>KD996+KD997</f>
        <v>120.54070102630496</v>
      </c>
      <c r="KE995" s="327">
        <f>KE996+KE997</f>
        <v>48.476212633087371</v>
      </c>
      <c r="KF995" s="323">
        <f>FISC!AQ1321</f>
        <v>556.04252477101375</v>
      </c>
      <c r="KG995" s="327">
        <f>KG996+KG997</f>
        <v>671.21996358729086</v>
      </c>
      <c r="KH995" s="327">
        <f>KH996+KH997</f>
        <v>-50.232546984899557</v>
      </c>
      <c r="KI995" s="323">
        <f>FISC!AR1321</f>
        <v>402.15692645673039</v>
      </c>
      <c r="KJ995" s="327">
        <f>KJ996+KJ997</f>
        <v>903.59608763227811</v>
      </c>
      <c r="KK995" s="327">
        <f>KK996+KK997</f>
        <v>-218.31166362268124</v>
      </c>
      <c r="KL995" s="323">
        <f>FISC!AS1321</f>
        <v>554.27411000285042</v>
      </c>
      <c r="KM995" s="327">
        <f>KM996+KM997</f>
        <v>1012.4455323151028</v>
      </c>
      <c r="KN995" s="327">
        <f>KN996+KN997</f>
        <v>-275.37793399248176</v>
      </c>
      <c r="KO995" s="323">
        <f>FISC!AT1321</f>
        <v>736.10722845186717</v>
      </c>
      <c r="KU995" s="326"/>
      <c r="KV995" s="327"/>
    </row>
    <row r="996" spans="1:314">
      <c r="A996" s="279"/>
      <c r="D996" s="1464" t="s">
        <v>3160</v>
      </c>
      <c r="E996" s="323"/>
      <c r="F996" s="323"/>
      <c r="G996" s="323"/>
      <c r="H996" s="323"/>
      <c r="I996" s="323"/>
      <c r="J996" s="323"/>
      <c r="K996" s="323"/>
      <c r="L996" s="323"/>
      <c r="M996" s="323"/>
      <c r="N996" s="323"/>
      <c r="O996" s="323"/>
      <c r="P996" s="323"/>
      <c r="Q996" s="323"/>
      <c r="R996" s="323"/>
      <c r="S996" s="323"/>
      <c r="T996" s="323"/>
      <c r="U996" s="323"/>
      <c r="V996" s="323"/>
      <c r="W996" s="323"/>
      <c r="X996" s="323"/>
      <c r="Y996" s="323"/>
      <c r="Z996" s="323"/>
      <c r="AA996" s="323"/>
      <c r="AB996" s="323"/>
      <c r="AC996" s="323"/>
      <c r="AD996" s="323"/>
      <c r="AE996" s="323"/>
      <c r="AF996" s="323"/>
      <c r="AG996" s="323"/>
      <c r="AH996" s="323"/>
      <c r="AI996" s="323"/>
      <c r="AJ996" s="323"/>
      <c r="AK996" s="323"/>
      <c r="AL996" s="323"/>
      <c r="AM996" s="323"/>
      <c r="AN996" s="323"/>
      <c r="AO996" s="323"/>
      <c r="AP996" s="323"/>
      <c r="AQ996" s="323"/>
      <c r="AR996" s="323"/>
      <c r="AS996" s="323"/>
      <c r="AT996" s="323"/>
      <c r="AU996" s="323"/>
      <c r="AV996" s="323"/>
      <c r="AW996" s="323"/>
      <c r="AX996" s="323"/>
      <c r="AY996" s="323"/>
      <c r="AZ996" s="323"/>
      <c r="BA996" s="323"/>
      <c r="BB996" s="323"/>
      <c r="BC996" s="323"/>
      <c r="BD996" s="323"/>
      <c r="BE996" s="323"/>
      <c r="BF996" s="323"/>
      <c r="BG996" s="323"/>
      <c r="BH996" s="323"/>
      <c r="BI996" s="323"/>
      <c r="BJ996" s="323"/>
      <c r="BK996" s="323"/>
      <c r="BL996" s="323"/>
      <c r="BM996" s="323"/>
      <c r="BN996" s="323"/>
      <c r="BO996" s="323"/>
      <c r="BP996" s="323"/>
      <c r="BQ996" s="323"/>
      <c r="BR996" s="323"/>
      <c r="BS996" s="323"/>
      <c r="BT996" s="323"/>
      <c r="BU996" s="323"/>
      <c r="BV996" s="323"/>
      <c r="BW996" s="323"/>
      <c r="BX996" s="323"/>
      <c r="BY996" s="323"/>
      <c r="BZ996" s="323"/>
      <c r="CA996" s="323"/>
      <c r="CB996" s="323"/>
      <c r="CC996" s="323"/>
      <c r="CD996" s="329"/>
      <c r="CE996" s="323"/>
      <c r="CF996" s="323"/>
      <c r="CG996" s="323"/>
      <c r="CH996" s="323"/>
      <c r="CI996" s="323"/>
      <c r="CJ996" s="323"/>
      <c r="CK996" s="323"/>
      <c r="CL996" s="323"/>
      <c r="CM996" s="323"/>
      <c r="CN996" s="323"/>
      <c r="CO996" s="323"/>
      <c r="CP996" s="325"/>
      <c r="CQ996" s="323"/>
      <c r="CR996" s="323"/>
      <c r="CS996" s="323"/>
      <c r="CT996" s="323"/>
      <c r="CU996" s="323"/>
      <c r="CV996" s="323"/>
      <c r="CW996" s="323"/>
      <c r="CX996" s="323"/>
      <c r="CY996" s="323"/>
      <c r="CZ996" s="323"/>
      <c r="DA996" s="323"/>
      <c r="DB996" s="1269"/>
      <c r="DC996" s="323"/>
      <c r="DD996" s="323"/>
      <c r="DE996" s="323"/>
      <c r="DF996" s="323"/>
      <c r="DG996" s="323"/>
      <c r="DH996" s="323"/>
      <c r="DI996" s="323"/>
      <c r="DJ996" s="323"/>
      <c r="DK996" s="323"/>
      <c r="DL996" s="323"/>
      <c r="DM996" s="323"/>
      <c r="DN996" s="325"/>
      <c r="DO996" s="323"/>
      <c r="DP996" s="323"/>
      <c r="DQ996" s="323"/>
      <c r="DR996" s="323"/>
      <c r="DS996" s="323"/>
      <c r="DT996" s="323"/>
      <c r="DU996" s="323"/>
      <c r="DV996" s="323"/>
      <c r="DW996" s="323"/>
      <c r="DX996" s="323"/>
      <c r="DY996" s="323"/>
      <c r="DZ996" s="325"/>
      <c r="EA996" s="323"/>
      <c r="EB996" s="323"/>
      <c r="EC996" s="323"/>
      <c r="ED996" s="323"/>
      <c r="EE996" s="323"/>
      <c r="EF996" s="323"/>
      <c r="EG996" s="323"/>
      <c r="EH996" s="323"/>
      <c r="EI996" s="323"/>
      <c r="EJ996" s="323"/>
      <c r="EK996" s="323"/>
      <c r="EL996" s="325"/>
      <c r="EM996" s="323"/>
      <c r="EN996" s="323"/>
      <c r="EO996" s="323"/>
      <c r="EP996" s="323"/>
      <c r="EQ996" s="323"/>
      <c r="ER996" s="323"/>
      <c r="ES996" s="323"/>
      <c r="ET996" s="323"/>
      <c r="EU996" s="323"/>
      <c r="EV996" s="323"/>
      <c r="EW996" s="323"/>
      <c r="EX996" s="325"/>
      <c r="EY996" s="323"/>
      <c r="EZ996" s="323"/>
      <c r="FA996" s="323"/>
      <c r="FB996" s="323"/>
      <c r="FC996" s="323"/>
      <c r="FD996" s="323"/>
      <c r="FE996" s="323"/>
      <c r="FF996" s="323"/>
      <c r="FG996" s="323"/>
      <c r="FH996" s="323"/>
      <c r="FI996" s="323"/>
      <c r="FJ996" s="325"/>
      <c r="FK996" s="323"/>
      <c r="FL996" s="323"/>
      <c r="FM996" s="323"/>
      <c r="FN996" s="323"/>
      <c r="FO996" s="323"/>
      <c r="FP996" s="323"/>
      <c r="FQ996" s="323"/>
      <c r="FR996" s="323"/>
      <c r="FS996" s="323"/>
      <c r="FT996" s="323"/>
      <c r="FU996" s="323"/>
      <c r="FV996" s="323"/>
      <c r="FW996" s="323">
        <v>0</v>
      </c>
      <c r="FX996" s="323">
        <v>0</v>
      </c>
      <c r="FY996" s="323">
        <v>0</v>
      </c>
      <c r="FZ996" s="323">
        <v>0</v>
      </c>
      <c r="GA996" s="323">
        <v>0</v>
      </c>
      <c r="GB996" s="323">
        <v>0</v>
      </c>
      <c r="GC996" s="323">
        <v>0</v>
      </c>
      <c r="GD996" s="323">
        <v>0</v>
      </c>
      <c r="GE996" s="323">
        <v>0</v>
      </c>
      <c r="GF996" s="323">
        <v>0</v>
      </c>
      <c r="GG996" s="323">
        <v>0</v>
      </c>
      <c r="GH996" s="323">
        <v>0</v>
      </c>
      <c r="GI996" s="1654"/>
      <c r="HZ996" s="326"/>
      <c r="IA996" s="1464" t="s">
        <v>3160</v>
      </c>
      <c r="IB996" s="284"/>
      <c r="ID996" s="323"/>
      <c r="IG996" s="323"/>
      <c r="IH996" s="284"/>
      <c r="IJ996" s="323"/>
      <c r="IK996" s="327"/>
      <c r="IM996" s="323"/>
      <c r="IP996" s="323"/>
      <c r="IQ996" s="327"/>
      <c r="IR996" s="327"/>
      <c r="IS996" s="323"/>
      <c r="IT996" s="327"/>
      <c r="IU996" s="327"/>
      <c r="IV996" s="323">
        <f t="shared" si="2059"/>
        <v>0</v>
      </c>
      <c r="IW996" s="327"/>
      <c r="IX996" s="327">
        <f>SUM(FQ996:FV996)</f>
        <v>0</v>
      </c>
      <c r="IY996" s="323">
        <f t="shared" si="2005"/>
        <v>0</v>
      </c>
      <c r="IZ996" s="327">
        <f t="shared" si="2018"/>
        <v>0</v>
      </c>
      <c r="JA996" s="327">
        <f t="shared" si="2019"/>
        <v>0</v>
      </c>
      <c r="JB996" s="323">
        <f t="shared" si="2036"/>
        <v>0</v>
      </c>
      <c r="JC996" s="327">
        <f t="shared" si="2020"/>
        <v>0</v>
      </c>
      <c r="JD996" s="327">
        <f t="shared" si="2021"/>
        <v>0</v>
      </c>
      <c r="JE996" s="323">
        <f t="shared" si="1945"/>
        <v>0</v>
      </c>
      <c r="JF996" s="327">
        <v>0</v>
      </c>
      <c r="JG996" s="327">
        <v>0</v>
      </c>
      <c r="JH996" s="323">
        <f t="shared" si="1944"/>
        <v>0</v>
      </c>
      <c r="JI996" s="327">
        <f t="shared" si="1993"/>
        <v>0</v>
      </c>
      <c r="JJ996" s="327">
        <f t="shared" si="2035"/>
        <v>0</v>
      </c>
      <c r="JK996" s="323">
        <f t="shared" si="1933"/>
        <v>0</v>
      </c>
      <c r="JL996" s="327">
        <f t="shared" si="1946"/>
        <v>0</v>
      </c>
      <c r="JM996" s="327">
        <f>JN996/2</f>
        <v>0</v>
      </c>
      <c r="JN996" s="323">
        <f>FISC!AK1322</f>
        <v>0</v>
      </c>
      <c r="JO996" s="327">
        <f>JQ996/2</f>
        <v>0</v>
      </c>
      <c r="JP996" s="327">
        <f>JQ996/2</f>
        <v>0</v>
      </c>
      <c r="JQ996" s="323">
        <f>FISC!AL1322</f>
        <v>0</v>
      </c>
      <c r="JR996" s="327">
        <f>JT996/2</f>
        <v>0</v>
      </c>
      <c r="JS996" s="327">
        <f>JT996/2</f>
        <v>0</v>
      </c>
      <c r="JT996" s="323">
        <f>FISC!AM1322</f>
        <v>0</v>
      </c>
      <c r="JU996" s="327">
        <f>JW996/2</f>
        <v>0</v>
      </c>
      <c r="JV996" s="327">
        <f>JW996/2</f>
        <v>0</v>
      </c>
      <c r="JW996" s="323">
        <f>FISC!AN1322</f>
        <v>0</v>
      </c>
      <c r="JX996" s="327">
        <f>JZ996/2</f>
        <v>0</v>
      </c>
      <c r="JY996" s="327">
        <f>JZ996/2</f>
        <v>0</v>
      </c>
      <c r="JZ996" s="323">
        <f>FISC!AO1322</f>
        <v>0</v>
      </c>
      <c r="KA996" s="327">
        <f>KC996/2</f>
        <v>0</v>
      </c>
      <c r="KB996" s="327">
        <f>KC996/2</f>
        <v>0</v>
      </c>
      <c r="KC996" s="323">
        <f>FISC!AP1322</f>
        <v>0</v>
      </c>
      <c r="KD996" s="327">
        <f>KF996/2</f>
        <v>0</v>
      </c>
      <c r="KE996" s="327">
        <f>KF996/2</f>
        <v>0</v>
      </c>
      <c r="KF996" s="323">
        <f>FISC!AQ1322</f>
        <v>0</v>
      </c>
      <c r="KG996" s="327">
        <f>KI996/2</f>
        <v>0</v>
      </c>
      <c r="KH996" s="327">
        <f>KI996/2</f>
        <v>0</v>
      </c>
      <c r="KI996" s="323">
        <f>FISC!AR1322</f>
        <v>0</v>
      </c>
      <c r="KJ996" s="327">
        <f>KL996/2</f>
        <v>0</v>
      </c>
      <c r="KK996" s="327">
        <f>KL996/2</f>
        <v>0</v>
      </c>
      <c r="KL996" s="323">
        <f>FISC!AS1322</f>
        <v>0</v>
      </c>
      <c r="KM996" s="327">
        <f>KO996/2</f>
        <v>0</v>
      </c>
      <c r="KN996" s="327">
        <f>KO996/2</f>
        <v>0</v>
      </c>
      <c r="KO996" s="323">
        <f>FISC!AT1322</f>
        <v>0</v>
      </c>
      <c r="KU996" s="326"/>
      <c r="KV996" s="327"/>
    </row>
    <row r="997" spans="1:314">
      <c r="A997" s="279"/>
      <c r="D997" s="1464" t="s">
        <v>3161</v>
      </c>
      <c r="E997" s="323"/>
      <c r="F997" s="323"/>
      <c r="G997" s="323"/>
      <c r="H997" s="323"/>
      <c r="I997" s="323"/>
      <c r="J997" s="323"/>
      <c r="K997" s="323"/>
      <c r="L997" s="323"/>
      <c r="M997" s="323"/>
      <c r="N997" s="323"/>
      <c r="O997" s="323"/>
      <c r="P997" s="323"/>
      <c r="Q997" s="323"/>
      <c r="R997" s="323"/>
      <c r="S997" s="323"/>
      <c r="T997" s="323"/>
      <c r="U997" s="323"/>
      <c r="V997" s="323"/>
      <c r="W997" s="323"/>
      <c r="X997" s="323"/>
      <c r="Y997" s="323"/>
      <c r="Z997" s="323"/>
      <c r="AA997" s="323"/>
      <c r="AB997" s="323"/>
      <c r="AC997" s="323"/>
      <c r="AD997" s="323"/>
      <c r="AE997" s="323"/>
      <c r="AF997" s="323"/>
      <c r="AG997" s="323"/>
      <c r="AH997" s="323"/>
      <c r="AI997" s="323"/>
      <c r="AJ997" s="323"/>
      <c r="AK997" s="323"/>
      <c r="AL997" s="323"/>
      <c r="AM997" s="323"/>
      <c r="AN997" s="323"/>
      <c r="AO997" s="323"/>
      <c r="AP997" s="323"/>
      <c r="AQ997" s="323"/>
      <c r="AR997" s="323"/>
      <c r="AS997" s="323"/>
      <c r="AT997" s="323"/>
      <c r="AU997" s="323"/>
      <c r="AV997" s="323"/>
      <c r="AW997" s="323"/>
      <c r="AX997" s="323"/>
      <c r="AY997" s="323"/>
      <c r="AZ997" s="323"/>
      <c r="BA997" s="323"/>
      <c r="BB997" s="323"/>
      <c r="BC997" s="323"/>
      <c r="BD997" s="323"/>
      <c r="BE997" s="323"/>
      <c r="BF997" s="323"/>
      <c r="BG997" s="323"/>
      <c r="BH997" s="323"/>
      <c r="BI997" s="323"/>
      <c r="BJ997" s="323"/>
      <c r="BK997" s="323"/>
      <c r="BL997" s="323"/>
      <c r="BM997" s="323"/>
      <c r="BN997" s="323"/>
      <c r="BO997" s="323"/>
      <c r="BP997" s="323"/>
      <c r="BQ997" s="323"/>
      <c r="BR997" s="323"/>
      <c r="BS997" s="323"/>
      <c r="BT997" s="323"/>
      <c r="BU997" s="323"/>
      <c r="BV997" s="323"/>
      <c r="BW997" s="323"/>
      <c r="BX997" s="323"/>
      <c r="BY997" s="323"/>
      <c r="BZ997" s="323"/>
      <c r="CA997" s="323"/>
      <c r="CB997" s="323"/>
      <c r="CC997" s="323"/>
      <c r="CD997" s="329"/>
      <c r="CE997" s="323"/>
      <c r="CF997" s="323"/>
      <c r="CG997" s="323"/>
      <c r="CH997" s="323"/>
      <c r="CI997" s="323"/>
      <c r="CJ997" s="323"/>
      <c r="CK997" s="323"/>
      <c r="CL997" s="323"/>
      <c r="CM997" s="323"/>
      <c r="CN997" s="323"/>
      <c r="CO997" s="323"/>
      <c r="CP997" s="325"/>
      <c r="CQ997" s="323"/>
      <c r="CR997" s="323"/>
      <c r="CS997" s="323"/>
      <c r="CT997" s="323"/>
      <c r="CU997" s="323"/>
      <c r="CV997" s="323"/>
      <c r="CW997" s="323"/>
      <c r="CX997" s="323"/>
      <c r="CY997" s="323"/>
      <c r="CZ997" s="323"/>
      <c r="DA997" s="323"/>
      <c r="DB997" s="1269"/>
      <c r="DC997" s="323"/>
      <c r="DD997" s="323"/>
      <c r="DE997" s="323"/>
      <c r="DF997" s="323"/>
      <c r="DG997" s="323"/>
      <c r="DH997" s="323"/>
      <c r="DI997" s="323"/>
      <c r="DJ997" s="323"/>
      <c r="DK997" s="323"/>
      <c r="DL997" s="323"/>
      <c r="DM997" s="323"/>
      <c r="DN997" s="325"/>
      <c r="DO997" s="323"/>
      <c r="DP997" s="323"/>
      <c r="DQ997" s="323"/>
      <c r="DR997" s="323"/>
      <c r="DS997" s="323"/>
      <c r="DT997" s="323"/>
      <c r="DU997" s="323"/>
      <c r="DV997" s="323"/>
      <c r="DW997" s="323"/>
      <c r="DX997" s="323"/>
      <c r="DY997" s="323"/>
      <c r="DZ997" s="325"/>
      <c r="EA997" s="323"/>
      <c r="EB997" s="323"/>
      <c r="EC997" s="323"/>
      <c r="ED997" s="323"/>
      <c r="EE997" s="323"/>
      <c r="EF997" s="323"/>
      <c r="EG997" s="323"/>
      <c r="EH997" s="323"/>
      <c r="EI997" s="323"/>
      <c r="EJ997" s="323"/>
      <c r="EK997" s="323"/>
      <c r="EL997" s="325"/>
      <c r="EM997" s="323"/>
      <c r="EN997" s="323"/>
      <c r="EO997" s="323"/>
      <c r="EP997" s="323"/>
      <c r="EQ997" s="323"/>
      <c r="ER997" s="323"/>
      <c r="ES997" s="323"/>
      <c r="ET997" s="323"/>
      <c r="EU997" s="323"/>
      <c r="EV997" s="323"/>
      <c r="EW997" s="323"/>
      <c r="EX997" s="325"/>
      <c r="EY997" s="323"/>
      <c r="EZ997" s="323"/>
      <c r="FA997" s="323"/>
      <c r="FB997" s="323"/>
      <c r="FC997" s="323"/>
      <c r="FD997" s="323"/>
      <c r="FE997" s="323"/>
      <c r="FF997" s="323"/>
      <c r="FG997" s="323"/>
      <c r="FH997" s="323"/>
      <c r="FI997" s="323"/>
      <c r="FJ997" s="325"/>
      <c r="FK997" s="323"/>
      <c r="FL997" s="323"/>
      <c r="FM997" s="323"/>
      <c r="FN997" s="323"/>
      <c r="FO997" s="323"/>
      <c r="FP997" s="323"/>
      <c r="FQ997" s="323"/>
      <c r="FR997" s="323"/>
      <c r="FS997" s="323"/>
      <c r="FT997" s="323"/>
      <c r="FU997" s="323"/>
      <c r="FV997" s="323"/>
      <c r="FW997" s="323">
        <v>-19.359000000000037</v>
      </c>
      <c r="FX997" s="323">
        <v>-34.765999999999963</v>
      </c>
      <c r="FY997" s="323">
        <v>15.284400000000005</v>
      </c>
      <c r="FZ997" s="323">
        <v>1.2635000000000218</v>
      </c>
      <c r="GA997" s="323">
        <v>13.572200000000009</v>
      </c>
      <c r="GB997" s="323">
        <v>1.5477000000000203</v>
      </c>
      <c r="GC997" s="323">
        <v>8.967200000000048</v>
      </c>
      <c r="GD997" s="323">
        <v>15.726199999999949</v>
      </c>
      <c r="GE997" s="323">
        <v>13.689200000000028</v>
      </c>
      <c r="GF997" s="323">
        <v>48.11080000000004</v>
      </c>
      <c r="GG997" s="323">
        <v>14.930000000000064</v>
      </c>
      <c r="GH997" s="323">
        <v>19.347999999999956</v>
      </c>
      <c r="GI997" s="1654">
        <v>12.620000000000005</v>
      </c>
      <c r="GJ997" s="1654">
        <v>17.860000000000014</v>
      </c>
      <c r="GK997" s="1654">
        <v>17.029999999999973</v>
      </c>
      <c r="GL997" s="1654">
        <v>8.8899999999999864</v>
      </c>
      <c r="GM997" s="1654">
        <v>22.090000000000032</v>
      </c>
      <c r="GN997" s="1654">
        <v>-42.5</v>
      </c>
      <c r="GO997" s="1654">
        <v>-12.340200000000038</v>
      </c>
      <c r="GP997" s="1654">
        <v>-20.376299999999958</v>
      </c>
      <c r="GQ997" s="1654">
        <v>-14.233499999999992</v>
      </c>
      <c r="GR997" s="1654">
        <v>-1.6260000000000332</v>
      </c>
      <c r="GS997" s="1654">
        <v>11.300000000000011</v>
      </c>
      <c r="GT997" s="1654">
        <v>-17.274999999999977</v>
      </c>
      <c r="GU997" s="1654">
        <v>69.192000000000007</v>
      </c>
      <c r="GV997" s="1654">
        <v>-3.632000000000005</v>
      </c>
      <c r="GW997" s="1654">
        <v>9.8889999999999532</v>
      </c>
      <c r="GX997" s="1654">
        <v>-16.060299999999984</v>
      </c>
      <c r="GY997" s="1654">
        <v>-17.15749999999997</v>
      </c>
      <c r="GZ997" s="1654">
        <v>9.5664999999999623</v>
      </c>
      <c r="HA997" s="1654">
        <v>-24.575499999999977</v>
      </c>
      <c r="HB997" s="1654">
        <v>2.4875000000000114</v>
      </c>
      <c r="HC997" s="1654">
        <v>9.65949999999998</v>
      </c>
      <c r="HD997" s="1654">
        <v>-1.146000000000015</v>
      </c>
      <c r="HE997" s="1654">
        <v>-2.8297999999999774</v>
      </c>
      <c r="HF997" s="1654">
        <v>-34.384999999999991</v>
      </c>
      <c r="HG997" s="1654">
        <v>14.500299999999982</v>
      </c>
      <c r="HH997" s="1654">
        <v>84.18950000000001</v>
      </c>
      <c r="HI997" s="1654">
        <v>51.461799999999982</v>
      </c>
      <c r="HJ997" s="1654">
        <v>-9.51400000000001</v>
      </c>
      <c r="HK997" s="1654">
        <v>68.011000000000024</v>
      </c>
      <c r="HL997" s="1654">
        <v>-1.1209999999999809</v>
      </c>
      <c r="HM997" s="1654">
        <v>-30.964699999999993</v>
      </c>
      <c r="HN997" s="1654">
        <v>-20.31310000000002</v>
      </c>
      <c r="HO997" s="1654">
        <v>-52.190899999999999</v>
      </c>
      <c r="HP997" s="1654">
        <v>-36.532500000000027</v>
      </c>
      <c r="HQ997" s="1654">
        <v>4.9535000000000196</v>
      </c>
      <c r="HR997" s="1654">
        <v>-3.3494000000000028</v>
      </c>
      <c r="HS997" s="1654">
        <v>6.0269000000000119</v>
      </c>
      <c r="HT997" s="1654">
        <v>67.511500000000012</v>
      </c>
      <c r="HU997" s="1654">
        <v>12.989100000000008</v>
      </c>
      <c r="HV997" s="1654">
        <v>8.5588999999999373</v>
      </c>
      <c r="HW997" s="1654">
        <v>22.181700000000035</v>
      </c>
      <c r="HX997" s="1654">
        <v>-20.027499999999975</v>
      </c>
      <c r="HY997" s="1654"/>
      <c r="HZ997" s="326"/>
      <c r="IA997" s="1464" t="s">
        <v>3161</v>
      </c>
      <c r="IB997" s="284"/>
      <c r="ID997" s="323"/>
      <c r="IE997" s="279">
        <f t="shared" ref="IE997:II997" si="2076">IE995</f>
        <v>6.1270000000000095</v>
      </c>
      <c r="IF997" s="279">
        <f t="shared" si="2076"/>
        <v>51.393100000000004</v>
      </c>
      <c r="IG997" s="323">
        <f t="shared" ref="IG997" si="2077">IE997+IF997</f>
        <v>57.520100000000014</v>
      </c>
      <c r="IH997" s="284">
        <f t="shared" si="2076"/>
        <v>7.1469999999999914</v>
      </c>
      <c r="II997" s="279">
        <f t="shared" si="2076"/>
        <v>3.3911999999999978</v>
      </c>
      <c r="IJ997" s="323">
        <f t="shared" ref="IJ997" si="2078">IH997+II997</f>
        <v>10.538199999999989</v>
      </c>
      <c r="IK997" s="327">
        <f t="shared" ref="IK997:IL997" si="2079">IK995</f>
        <v>-36.260001555581454</v>
      </c>
      <c r="IL997" s="279">
        <f t="shared" si="2079"/>
        <v>30.174601555581461</v>
      </c>
      <c r="IM997" s="323">
        <f>IK997+IL997</f>
        <v>-6.0853999999999928</v>
      </c>
      <c r="IN997" s="279">
        <f t="shared" ref="IN997:IO997" si="2080">IN995</f>
        <v>72.336954612000028</v>
      </c>
      <c r="IO997" s="279">
        <f t="shared" si="2080"/>
        <v>-30.727254612000024</v>
      </c>
      <c r="IP997" s="323">
        <f>IN997+IO997</f>
        <v>41.609700000000004</v>
      </c>
      <c r="IQ997" s="327">
        <f t="shared" ref="IQ997:IR997" si="2081">IQ995</f>
        <v>-17.406599999999997</v>
      </c>
      <c r="IR997" s="327">
        <f t="shared" si="2081"/>
        <v>64.826699999999988</v>
      </c>
      <c r="IS997" s="323">
        <f>IQ997+IR997</f>
        <v>47.420099999999991</v>
      </c>
      <c r="IT997" s="327">
        <f t="shared" ref="IT997:IU997" si="2082">IT995</f>
        <v>21.706000000000017</v>
      </c>
      <c r="IU997" s="327">
        <f t="shared" si="2082"/>
        <v>62.254500000000064</v>
      </c>
      <c r="IV997" s="323">
        <f>IT997+IU997</f>
        <v>83.960500000000081</v>
      </c>
      <c r="IW997" s="1598">
        <f>IW995</f>
        <v>-2.6196000000000481</v>
      </c>
      <c r="IX997" s="327">
        <f>IX995</f>
        <v>4.1499999999999773</v>
      </c>
      <c r="IY997" s="323">
        <f t="shared" si="2005"/>
        <v>1.5303999999999292</v>
      </c>
      <c r="IZ997" s="327">
        <f t="shared" si="2018"/>
        <v>-22.457199999999943</v>
      </c>
      <c r="JA997" s="327">
        <f t="shared" si="2019"/>
        <v>120.77140000000009</v>
      </c>
      <c r="JB997" s="323">
        <f t="shared" si="2036"/>
        <v>98.314200000000142</v>
      </c>
      <c r="JC997" s="327">
        <f t="shared" si="2020"/>
        <v>35.990000000000009</v>
      </c>
      <c r="JD997" s="327">
        <f t="shared" si="2021"/>
        <v>-54.550999999999988</v>
      </c>
      <c r="JE997" s="323">
        <f t="shared" si="1945"/>
        <v>-18.560999999999979</v>
      </c>
      <c r="JF997" s="327">
        <f>SUM(GU997:GZ997)</f>
        <v>51.797699999999963</v>
      </c>
      <c r="JG997" s="327">
        <f t="shared" ref="JG997" si="2083">SUM(HA997:HF997)</f>
        <v>-50.789299999999969</v>
      </c>
      <c r="JH997" s="323">
        <f t="shared" si="1944"/>
        <v>1.0083999999999946</v>
      </c>
      <c r="JI997" s="327">
        <f t="shared" si="1993"/>
        <v>207.52760000000001</v>
      </c>
      <c r="JJ997" s="1598">
        <f t="shared" si="2035"/>
        <v>-138.39710000000002</v>
      </c>
      <c r="JK997" s="323">
        <f t="shared" si="1933"/>
        <v>69.130499999999984</v>
      </c>
      <c r="JL997" s="1598">
        <f t="shared" si="1946"/>
        <v>97.240600000000029</v>
      </c>
      <c r="JM997" s="1598">
        <f>JM988-JM998-JM1003-JM1008-JM1018</f>
        <v>21.427775062804699</v>
      </c>
      <c r="JN997" s="323">
        <f>FISC!AK1323</f>
        <v>78.653294634818508</v>
      </c>
      <c r="JO997" s="1598">
        <f>JO988-JO998-JO1003-JO1008-JO1018</f>
        <v>414.87881326758225</v>
      </c>
      <c r="JP997" s="1598">
        <f>JP988-JP998-JP1003-JP1008-JP1018</f>
        <v>-319.66560234433786</v>
      </c>
      <c r="JQ997" s="323">
        <f>FISC!AL1323</f>
        <v>95.213210923244631</v>
      </c>
      <c r="JR997" s="1598">
        <f>JR988-JR998-JR1003-JR1008-JR1018</f>
        <v>318.703377478356</v>
      </c>
      <c r="JS997" s="1598">
        <f>JS988-JS998-JS1003-JS1008-JS1018</f>
        <v>-184.12403166608811</v>
      </c>
      <c r="JT997" s="323">
        <f>FISC!AM1323</f>
        <v>134.57934581226777</v>
      </c>
      <c r="JU997" s="1598">
        <f>JU988-JU998-JU1003-JU1008-JU1018</f>
        <v>106.23210026504576</v>
      </c>
      <c r="JV997" s="1598">
        <f>JV988-JV998-JV1003-JV1008-JV1018</f>
        <v>-19.235965832924634</v>
      </c>
      <c r="JW997" s="323">
        <f>FISC!AN1323</f>
        <v>86.996134432121195</v>
      </c>
      <c r="JX997" s="1598">
        <f>JX988-JX998-JX1003-JX1008-JX1018</f>
        <v>302.59561194879529</v>
      </c>
      <c r="JY997" s="1598">
        <f>JY988-JY998-JY1003-JY1008-JY1018</f>
        <v>-131.5500396502419</v>
      </c>
      <c r="JZ997" s="323">
        <f>FISC!AO1323</f>
        <v>171.045572298553</v>
      </c>
      <c r="KA997" s="1598">
        <f>KA988-KA998-KA1003-KA1008-KA1018</f>
        <v>341.2470272695968</v>
      </c>
      <c r="KB997" s="1598">
        <f>KB988-KB998-KB1003-KB1008-KB1018</f>
        <v>139.45513632785617</v>
      </c>
      <c r="KC997" s="323">
        <f>FISC!AP1323</f>
        <v>157.75079207962568</v>
      </c>
      <c r="KD997" s="1598">
        <f>KD988-KD998-KD1003-KD1008-KD1018</f>
        <v>120.54070102630496</v>
      </c>
      <c r="KE997" s="1598">
        <f>KE988-KE998-KE1003-KE1008-KE1018</f>
        <v>48.476212633087371</v>
      </c>
      <c r="KF997" s="323">
        <f>FISC!AQ1323</f>
        <v>556.04252477101375</v>
      </c>
      <c r="KG997" s="1598">
        <f>KG988-KG998-KG1003-KG1008-KG1018</f>
        <v>671.21996358729086</v>
      </c>
      <c r="KH997" s="1598">
        <f>KH988-KH998-KH1003-KH1008-KH1018</f>
        <v>-50.232546984899557</v>
      </c>
      <c r="KI997" s="323">
        <f>FISC!AR1323</f>
        <v>402.15692645673039</v>
      </c>
      <c r="KJ997" s="1598">
        <f>KJ988-KJ998-KJ1003-KJ1008-KJ1018</f>
        <v>903.59608763227811</v>
      </c>
      <c r="KK997" s="1598">
        <f>KK988-KK998-KK1003-KK1008-KK1018</f>
        <v>-218.31166362268124</v>
      </c>
      <c r="KL997" s="323">
        <f>FISC!AS1323</f>
        <v>554.27411000285042</v>
      </c>
      <c r="KM997" s="1598">
        <f>KM988-KM998-KM1003-KM1008-KM1018</f>
        <v>1012.4455323151028</v>
      </c>
      <c r="KN997" s="1598">
        <f>KN988-KN998-KN1003-KN1008-KN1018</f>
        <v>-275.37793399248176</v>
      </c>
      <c r="KO997" s="323">
        <f>FISC!AT1323</f>
        <v>736.10722845186717</v>
      </c>
      <c r="KU997" s="326"/>
      <c r="KV997" s="327"/>
    </row>
    <row r="998" spans="1:314">
      <c r="A998" s="279"/>
      <c r="B998" s="96" t="s">
        <v>338</v>
      </c>
      <c r="D998" s="337" t="s">
        <v>573</v>
      </c>
      <c r="E998" s="323"/>
      <c r="F998" s="323"/>
      <c r="G998" s="323"/>
      <c r="H998" s="323"/>
      <c r="I998" s="323"/>
      <c r="J998" s="323"/>
      <c r="K998" s="323"/>
      <c r="L998" s="323"/>
      <c r="M998" s="323"/>
      <c r="N998" s="323"/>
      <c r="O998" s="323"/>
      <c r="P998" s="323"/>
      <c r="Q998" s="323"/>
      <c r="R998" s="323"/>
      <c r="S998" s="323"/>
      <c r="T998" s="323"/>
      <c r="U998" s="323"/>
      <c r="V998" s="323"/>
      <c r="W998" s="323"/>
      <c r="X998" s="323"/>
      <c r="Y998" s="323"/>
      <c r="Z998" s="323"/>
      <c r="AA998" s="323"/>
      <c r="AB998" s="323"/>
      <c r="AC998" s="323"/>
      <c r="AD998" s="323"/>
      <c r="AE998" s="323"/>
      <c r="AF998" s="323"/>
      <c r="AG998" s="323"/>
      <c r="AH998" s="323"/>
      <c r="AI998" s="323"/>
      <c r="AJ998" s="323"/>
      <c r="AK998" s="323"/>
      <c r="AL998" s="323"/>
      <c r="AM998" s="323"/>
      <c r="AN998" s="323"/>
      <c r="AO998" s="323"/>
      <c r="AP998" s="323"/>
      <c r="AQ998" s="323"/>
      <c r="AR998" s="323"/>
      <c r="AS998" s="323"/>
      <c r="AT998" s="323"/>
      <c r="AU998" s="323"/>
      <c r="AV998" s="323"/>
      <c r="AW998" s="323"/>
      <c r="AX998" s="323"/>
      <c r="AY998" s="323"/>
      <c r="AZ998" s="323"/>
      <c r="BA998" s="323"/>
      <c r="BB998" s="323"/>
      <c r="BC998" s="323"/>
      <c r="BD998" s="323"/>
      <c r="BE998" s="323"/>
      <c r="BF998" s="323"/>
      <c r="BG998" s="323"/>
      <c r="BH998" s="323"/>
      <c r="BI998" s="323"/>
      <c r="BJ998" s="323"/>
      <c r="BK998" s="323"/>
      <c r="BL998" s="323"/>
      <c r="BM998" s="323"/>
      <c r="BN998" s="323"/>
      <c r="BO998" s="323"/>
      <c r="BP998" s="323"/>
      <c r="BQ998" s="323"/>
      <c r="BR998" s="323"/>
      <c r="BS998" s="323"/>
      <c r="BT998" s="323"/>
      <c r="BU998" s="323"/>
      <c r="BV998" s="323"/>
      <c r="BW998" s="323"/>
      <c r="BX998" s="323"/>
      <c r="BY998" s="323"/>
      <c r="BZ998" s="323"/>
      <c r="CA998" s="323"/>
      <c r="CB998" s="323"/>
      <c r="CC998" s="323"/>
      <c r="CD998" s="329"/>
      <c r="CE998" s="323">
        <v>0</v>
      </c>
      <c r="CF998" s="323">
        <v>0</v>
      </c>
      <c r="CG998" s="323">
        <v>0</v>
      </c>
      <c r="CH998" s="323">
        <v>0</v>
      </c>
      <c r="CI998" s="323">
        <v>0</v>
      </c>
      <c r="CJ998" s="323">
        <v>0</v>
      </c>
      <c r="CK998" s="323">
        <v>0</v>
      </c>
      <c r="CL998" s="323">
        <v>4.1059999999999999</v>
      </c>
      <c r="CM998" s="323">
        <v>0</v>
      </c>
      <c r="CN998" s="323">
        <v>0</v>
      </c>
      <c r="CO998" s="323">
        <v>0</v>
      </c>
      <c r="CP998" s="325">
        <v>0</v>
      </c>
      <c r="CQ998" s="323">
        <v>0</v>
      </c>
      <c r="CR998" s="323">
        <v>5.9294000000000011</v>
      </c>
      <c r="CS998" s="323">
        <v>0</v>
      </c>
      <c r="CT998" s="323">
        <v>0</v>
      </c>
      <c r="CU998" s="323">
        <v>7.3429000000000002</v>
      </c>
      <c r="CV998" s="323">
        <v>0</v>
      </c>
      <c r="CW998" s="323">
        <v>0</v>
      </c>
      <c r="CX998" s="323">
        <v>7.2127999999999979</v>
      </c>
      <c r="CY998" s="323">
        <v>0</v>
      </c>
      <c r="CZ998" s="323">
        <v>0</v>
      </c>
      <c r="DA998" s="323">
        <v>2.0921000000000021</v>
      </c>
      <c r="DB998" s="1269">
        <v>0</v>
      </c>
      <c r="DC998" s="323">
        <v>0</v>
      </c>
      <c r="DD998" s="323">
        <v>5.9294000000000011</v>
      </c>
      <c r="DE998" s="323">
        <v>0</v>
      </c>
      <c r="DF998" s="323">
        <v>0</v>
      </c>
      <c r="DG998" s="323">
        <v>5.0413999999999959</v>
      </c>
      <c r="DH998" s="323">
        <v>0</v>
      </c>
      <c r="DI998" s="323">
        <v>0</v>
      </c>
      <c r="DJ998" s="323">
        <v>5.7821999999999996</v>
      </c>
      <c r="DK998" s="323">
        <v>0</v>
      </c>
      <c r="DL998" s="323">
        <v>0</v>
      </c>
      <c r="DM998" s="323">
        <v>3.4999999999999978</v>
      </c>
      <c r="DN998" s="325">
        <v>0</v>
      </c>
      <c r="DO998" s="323">
        <v>0</v>
      </c>
      <c r="DP998" s="323">
        <v>3.714100000000002</v>
      </c>
      <c r="DQ998" s="323">
        <v>-1.9230999999999909</v>
      </c>
      <c r="DR998" s="323">
        <v>0</v>
      </c>
      <c r="DS998" s="323">
        <v>3.6400000000000006</v>
      </c>
      <c r="DT998" s="323">
        <v>0</v>
      </c>
      <c r="DU998" s="323">
        <v>-7.1054273576010019E-15</v>
      </c>
      <c r="DV998" s="323">
        <v>-3.0120999999999967</v>
      </c>
      <c r="DW998" s="323">
        <v>0</v>
      </c>
      <c r="DX998" s="323">
        <v>0</v>
      </c>
      <c r="DY998" s="323">
        <v>1</v>
      </c>
      <c r="DZ998" s="325">
        <v>0</v>
      </c>
      <c r="EA998" s="323">
        <v>6.0000000000002274E-2</v>
      </c>
      <c r="EB998" s="323">
        <v>4.2972999999999999</v>
      </c>
      <c r="EC998" s="323">
        <v>0</v>
      </c>
      <c r="ED998" s="323">
        <v>0</v>
      </c>
      <c r="EE998" s="323">
        <v>2.5499999999999972</v>
      </c>
      <c r="EF998" s="323">
        <v>0</v>
      </c>
      <c r="EG998" s="323">
        <v>0</v>
      </c>
      <c r="EH998" s="323">
        <v>8.0972000000000008</v>
      </c>
      <c r="EI998" s="323">
        <v>0</v>
      </c>
      <c r="EJ998" s="323">
        <v>0</v>
      </c>
      <c r="EK998" s="323">
        <v>2.5401999999999987</v>
      </c>
      <c r="EL998" s="325">
        <v>4.1115000000000066</v>
      </c>
      <c r="EM998" s="323">
        <v>0</v>
      </c>
      <c r="EN998" s="323">
        <v>3.6910999999999916</v>
      </c>
      <c r="EO998" s="323">
        <v>4.6798000000000002</v>
      </c>
      <c r="EP998" s="323">
        <v>0</v>
      </c>
      <c r="EQ998" s="323">
        <v>-4.4913999999999987</v>
      </c>
      <c r="ER998" s="323">
        <v>0</v>
      </c>
      <c r="ES998" s="323">
        <v>5.8709999999999951</v>
      </c>
      <c r="ET998" s="323">
        <v>5.0135999999999967</v>
      </c>
      <c r="EU998" s="323">
        <v>3</v>
      </c>
      <c r="EV998" s="323">
        <v>0</v>
      </c>
      <c r="EW998" s="323">
        <v>7.1928999999999945</v>
      </c>
      <c r="EX998" s="325">
        <v>17.700000000000003</v>
      </c>
      <c r="EY998" s="323">
        <v>5.1924000000000063</v>
      </c>
      <c r="EZ998" s="323">
        <v>-0.34360000000000923</v>
      </c>
      <c r="FA998" s="323">
        <v>1.9344999999999999</v>
      </c>
      <c r="FB998" s="323">
        <v>4.4685000000000059</v>
      </c>
      <c r="FC998" s="323">
        <v>4.3576999999999941</v>
      </c>
      <c r="FD998" s="323">
        <v>4</v>
      </c>
      <c r="FE998" s="323">
        <v>5.9055999999999926</v>
      </c>
      <c r="FF998" s="323">
        <v>9.9488000000000056</v>
      </c>
      <c r="FG998" s="323">
        <v>33.699999999999989</v>
      </c>
      <c r="FH998" s="323">
        <v>9.4876999999999896</v>
      </c>
      <c r="FI998" s="323">
        <v>8.823599999999999</v>
      </c>
      <c r="FJ998" s="325">
        <v>9.8418000000000063</v>
      </c>
      <c r="FK998" s="323">
        <v>7.5446000000000026</v>
      </c>
      <c r="FL998" s="323">
        <v>18.725900000000024</v>
      </c>
      <c r="FM998" s="323">
        <v>4.2518000000000029</v>
      </c>
      <c r="FN998" s="323">
        <v>6.1599999999999966</v>
      </c>
      <c r="FO998" s="323">
        <v>9.3917999999999893</v>
      </c>
      <c r="FP998" s="323">
        <v>13.942200000000014</v>
      </c>
      <c r="FQ998" s="323">
        <v>11.723000000000013</v>
      </c>
      <c r="FR998" s="323">
        <v>8.5401200000000017</v>
      </c>
      <c r="FS998" s="323">
        <v>8.2823999999999955</v>
      </c>
      <c r="FT998" s="323">
        <v>8.9522000000000048</v>
      </c>
      <c r="FU998" s="323">
        <v>7.8444000000000074</v>
      </c>
      <c r="FV998" s="323">
        <v>16.098900000000015</v>
      </c>
      <c r="FW998" s="323">
        <v>7.7434999999999832</v>
      </c>
      <c r="FX998" s="323">
        <v>8.802265000000034</v>
      </c>
      <c r="FY998" s="323">
        <v>4.0108000000000175</v>
      </c>
      <c r="FZ998" s="323">
        <v>5.9574999999999818</v>
      </c>
      <c r="GA998" s="323">
        <v>31.492399999999975</v>
      </c>
      <c r="GB998" s="323">
        <v>9.3147000000000162</v>
      </c>
      <c r="GC998" s="323">
        <v>11.032800000000009</v>
      </c>
      <c r="GD998" s="323">
        <v>24.273799999999994</v>
      </c>
      <c r="GE998" s="323">
        <v>6.3108000000000288</v>
      </c>
      <c r="GF998" s="323">
        <v>-26.574885000000052</v>
      </c>
      <c r="GG998" s="323">
        <v>10.069999999999993</v>
      </c>
      <c r="GH998" s="323">
        <v>5.6499999999999773</v>
      </c>
      <c r="GI998" s="1654">
        <f>GI1000</f>
        <v>10.470000000000027</v>
      </c>
      <c r="GJ998" s="1654">
        <f t="shared" ref="GJ998:HR998" si="2084">GJ1000</f>
        <v>5.8899999999999864</v>
      </c>
      <c r="GK998" s="1654">
        <f t="shared" si="2084"/>
        <v>12.850000000000023</v>
      </c>
      <c r="GL998" s="1654">
        <f t="shared" si="2084"/>
        <v>6.3045849999999746</v>
      </c>
      <c r="GM998" s="1654">
        <f t="shared" si="2084"/>
        <v>7.1546999999999912</v>
      </c>
      <c r="GN998" s="1654">
        <f t="shared" si="2084"/>
        <v>0</v>
      </c>
      <c r="GO998" s="1654">
        <f t="shared" si="2084"/>
        <v>2.0944000000000074</v>
      </c>
      <c r="GP998" s="1654">
        <f t="shared" si="2084"/>
        <v>11</v>
      </c>
      <c r="GQ998" s="1654">
        <f t="shared" si="2084"/>
        <v>-5.6999999999999886</v>
      </c>
      <c r="GR998" s="1654">
        <f t="shared" si="2084"/>
        <v>0</v>
      </c>
      <c r="GS998" s="1654">
        <f t="shared" si="2084"/>
        <v>4.6999999999999886</v>
      </c>
      <c r="GT998" s="1654">
        <f t="shared" si="2084"/>
        <v>6</v>
      </c>
      <c r="GU998" s="1654">
        <f t="shared" si="2084"/>
        <v>3.9999149999999872</v>
      </c>
      <c r="GV998" s="1654">
        <f t="shared" si="2084"/>
        <v>3.0066850000000045</v>
      </c>
      <c r="GW998" s="1654">
        <f t="shared" si="2084"/>
        <v>0.5</v>
      </c>
      <c r="GX998" s="1654">
        <f t="shared" si="2084"/>
        <v>3.5955000000000155</v>
      </c>
      <c r="GY998" s="1654">
        <f t="shared" si="2084"/>
        <v>23.532300000000021</v>
      </c>
      <c r="GZ998" s="1654">
        <f t="shared" si="2084"/>
        <v>0</v>
      </c>
      <c r="HA998" s="1654">
        <f t="shared" si="2084"/>
        <v>1</v>
      </c>
      <c r="HB998" s="1654">
        <f t="shared" si="2084"/>
        <v>2</v>
      </c>
      <c r="HC998" s="1654">
        <f t="shared" si="2084"/>
        <v>4.0724999999999909</v>
      </c>
      <c r="HD998" s="1654">
        <f t="shared" si="2084"/>
        <v>3.0063000000000102</v>
      </c>
      <c r="HE998" s="1654">
        <f t="shared" si="2084"/>
        <v>-13.268100000000004</v>
      </c>
      <c r="HF998" s="1654">
        <f t="shared" si="2084"/>
        <v>3.2839999999999918</v>
      </c>
      <c r="HG998" s="1654">
        <f t="shared" si="2084"/>
        <v>2.2368000000000166</v>
      </c>
      <c r="HH998" s="1654">
        <f t="shared" si="2084"/>
        <v>16.987999999999943</v>
      </c>
      <c r="HI998" s="1654">
        <f t="shared" si="2084"/>
        <v>1.8578999999999724</v>
      </c>
      <c r="HJ998" s="1654">
        <f t="shared" si="2084"/>
        <v>0</v>
      </c>
      <c r="HK998" s="1654">
        <f t="shared" si="2084"/>
        <v>10.505100000000084</v>
      </c>
      <c r="HL998" s="1654">
        <f t="shared" si="2084"/>
        <v>0.92319999999995161</v>
      </c>
      <c r="HM998" s="1654">
        <f t="shared" si="2084"/>
        <v>1.2340000000000373</v>
      </c>
      <c r="HN998" s="1654">
        <f t="shared" si="2084"/>
        <v>1</v>
      </c>
      <c r="HO998" s="1654">
        <f t="shared" si="2084"/>
        <v>5.1155999999999722</v>
      </c>
      <c r="HP998" s="1654">
        <f t="shared" si="2084"/>
        <v>3</v>
      </c>
      <c r="HQ998" s="1654">
        <f t="shared" si="2084"/>
        <v>0.90790000000004056</v>
      </c>
      <c r="HR998" s="1654">
        <f t="shared" si="2084"/>
        <v>7.8495000000000346</v>
      </c>
      <c r="HS998" s="1654">
        <f t="shared" ref="HS998:HX998" si="2085">HS1000</f>
        <v>19.91459999999995</v>
      </c>
      <c r="HT998" s="1654">
        <f t="shared" si="2085"/>
        <v>5.9961999999999307</v>
      </c>
      <c r="HU998" s="1654">
        <f t="shared" si="2085"/>
        <v>3</v>
      </c>
      <c r="HV998" s="1654">
        <f t="shared" si="2085"/>
        <v>19.246800000000007</v>
      </c>
      <c r="HW998" s="1654">
        <f t="shared" si="2085"/>
        <v>3.0001000000000886</v>
      </c>
      <c r="HX998" s="1654">
        <f t="shared" si="2085"/>
        <v>20.866399999999999</v>
      </c>
      <c r="HY998" s="1654"/>
      <c r="HZ998" s="326"/>
      <c r="IA998" s="337" t="s">
        <v>573</v>
      </c>
      <c r="IB998" s="284">
        <f>SUM(CE998:CJ998)</f>
        <v>0</v>
      </c>
      <c r="IC998" s="279">
        <f>SUM(CK998:CP998)</f>
        <v>4.1059999999999999</v>
      </c>
      <c r="ID998" s="323">
        <f>IB998+IC998</f>
        <v>4.1059999999999999</v>
      </c>
      <c r="IE998" s="279">
        <f>SUM(CQ998:CV998)</f>
        <v>13.272300000000001</v>
      </c>
      <c r="IF998" s="279">
        <f>SUM(CW998:DB998)</f>
        <v>9.3048999999999999</v>
      </c>
      <c r="IG998" s="323">
        <f>IE998+IF998</f>
        <v>22.577200000000001</v>
      </c>
      <c r="IH998" s="284">
        <f>SUM(DC998:DH998)</f>
        <v>10.970799999999997</v>
      </c>
      <c r="II998" s="279">
        <f>SUM(DI998:DN998)</f>
        <v>9.2821999999999978</v>
      </c>
      <c r="IJ998" s="323">
        <f>IH998+II998</f>
        <v>20.252999999999993</v>
      </c>
      <c r="IK998" s="327">
        <f>SUM(DO998:DT998)</f>
        <v>5.4310000000000116</v>
      </c>
      <c r="IL998" s="279">
        <f>SUM(DU998:DZ998)</f>
        <v>-2.0121000000000038</v>
      </c>
      <c r="IM998" s="323">
        <f>IK998+IL998</f>
        <v>3.4189000000000078</v>
      </c>
      <c r="IN998" s="279">
        <f>SUM(EA998:EF998)</f>
        <v>6.9072999999999993</v>
      </c>
      <c r="IO998" s="279">
        <f>SUM(EG998:EL998)</f>
        <v>14.748900000000006</v>
      </c>
      <c r="IP998" s="323">
        <f>IN998+IO998</f>
        <v>21.656200000000005</v>
      </c>
      <c r="IQ998" s="327">
        <f>SUM(EM998:ER998)</f>
        <v>3.8794999999999931</v>
      </c>
      <c r="IR998" s="327">
        <f>SUM(ES998:EX998)</f>
        <v>38.777499999999989</v>
      </c>
      <c r="IS998" s="323">
        <f>IQ998+IR998</f>
        <v>42.656999999999982</v>
      </c>
      <c r="IT998" s="327">
        <f>SUM(EY998:FD998)</f>
        <v>19.609499999999997</v>
      </c>
      <c r="IU998" s="327">
        <f>SUM(FE998:FJ998)</f>
        <v>77.707499999999982</v>
      </c>
      <c r="IV998" s="323">
        <f t="shared" si="2059"/>
        <v>97.316999999999979</v>
      </c>
      <c r="IW998" s="327">
        <v>0</v>
      </c>
      <c r="IX998" s="327">
        <f>SUM(FQ998:FV998)</f>
        <v>61.441020000000037</v>
      </c>
      <c r="IY998" s="323">
        <f>IW998+IX998</f>
        <v>61.441020000000037</v>
      </c>
      <c r="IZ998" s="327">
        <f t="shared" si="2018"/>
        <v>67.321165000000008</v>
      </c>
      <c r="JA998" s="327">
        <f t="shared" si="2019"/>
        <v>30.762514999999951</v>
      </c>
      <c r="JB998" s="323">
        <f t="shared" si="2036"/>
        <v>98.083679999999958</v>
      </c>
      <c r="JC998" s="327">
        <f t="shared" si="2020"/>
        <v>42.669285000000002</v>
      </c>
      <c r="JD998" s="327">
        <f t="shared" si="2021"/>
        <v>18.094400000000007</v>
      </c>
      <c r="JE998" s="323">
        <f t="shared" si="1945"/>
        <v>60.763685000000009</v>
      </c>
      <c r="JF998" s="327">
        <f>JF999+JF1000</f>
        <v>34.634400000000028</v>
      </c>
      <c r="JG998" s="327">
        <f>JG999+JG1000</f>
        <v>9.4699999999988904E-2</v>
      </c>
      <c r="JH998" s="323">
        <f t="shared" si="1944"/>
        <v>34.729100000000017</v>
      </c>
      <c r="JI998" s="327">
        <f t="shared" si="1993"/>
        <v>32.510999999999967</v>
      </c>
      <c r="JJ998" s="327">
        <f t="shared" si="2035"/>
        <v>19.107000000000085</v>
      </c>
      <c r="JK998" s="323">
        <f t="shared" si="1933"/>
        <v>51.618000000000052</v>
      </c>
      <c r="JL998" s="327">
        <f t="shared" si="1946"/>
        <v>72.024099999999976</v>
      </c>
      <c r="JM998" s="327">
        <f>JM999+JM1000</f>
        <v>33.193486151793209</v>
      </c>
      <c r="JN998" s="323">
        <f>FISC!AK1324</f>
        <v>66.386972303586418</v>
      </c>
      <c r="JO998" s="327">
        <f>JO999+JO1000</f>
        <v>40.182148922333944</v>
      </c>
      <c r="JP998" s="327">
        <f>JP999+JP1000</f>
        <v>40.182148922333944</v>
      </c>
      <c r="JQ998" s="323">
        <f>FISC!AL1324</f>
        <v>80.364297844667888</v>
      </c>
      <c r="JR998" s="327">
        <f>JR999+JR1000</f>
        <v>56.795556655033792</v>
      </c>
      <c r="JS998" s="327">
        <f>JS999+JS1000</f>
        <v>56.795556655033792</v>
      </c>
      <c r="JT998" s="323">
        <f>FISC!AM1324</f>
        <v>113.59111331006758</v>
      </c>
      <c r="JU998" s="327">
        <f>JU999+JU1000</f>
        <v>36.714355030384404</v>
      </c>
      <c r="JV998" s="327">
        <f>JV999+JV1000</f>
        <v>36.714355030384404</v>
      </c>
      <c r="JW998" s="323">
        <f>FISC!AN1324</f>
        <v>73.428710060768807</v>
      </c>
      <c r="JX998" s="327">
        <f>JX999+JX1000</f>
        <v>72.185136830926666</v>
      </c>
      <c r="JY998" s="327">
        <f>JY999+JY1000</f>
        <v>72.185136830926666</v>
      </c>
      <c r="JZ998" s="323">
        <f>FISC!AO1324</f>
        <v>144.37027366185333</v>
      </c>
      <c r="KA998" s="327">
        <f>KA999+KA1000</f>
        <v>66.574436031462085</v>
      </c>
      <c r="KB998" s="327">
        <f>KB999+KB1000</f>
        <v>66.574436031462085</v>
      </c>
      <c r="KC998" s="323">
        <f>FISC!AP1324</f>
        <v>133.14887206292417</v>
      </c>
      <c r="KD998" s="327">
        <f>KD999+KD1000</f>
        <v>234.66264104369984</v>
      </c>
      <c r="KE998" s="327">
        <f>KE999+KE1000</f>
        <v>234.66264104369984</v>
      </c>
      <c r="KF998" s="323">
        <f>FISC!AQ1324</f>
        <v>469.32528208739967</v>
      </c>
      <c r="KG998" s="327">
        <f>KG999+KG1000</f>
        <v>169.71940503150677</v>
      </c>
      <c r="KH998" s="327">
        <f>KH999+KH1000</f>
        <v>169.71940503150677</v>
      </c>
      <c r="KI998" s="323">
        <f>FISC!AR1324</f>
        <v>339.43881006301353</v>
      </c>
      <c r="KJ998" s="327">
        <f>KJ999+KJ1000</f>
        <v>233.91632963500177</v>
      </c>
      <c r="KK998" s="327">
        <f>KK999+KK1000</f>
        <v>233.91632963500177</v>
      </c>
      <c r="KL998" s="323">
        <f>FISC!AS1324</f>
        <v>467.83265927000355</v>
      </c>
      <c r="KM998" s="327">
        <f>KM999+KM1000</f>
        <v>310.65405724320948</v>
      </c>
      <c r="KN998" s="327">
        <f>KN999+KN1000</f>
        <v>310.65405724320948</v>
      </c>
      <c r="KO998" s="323">
        <f>FISC!AT1324</f>
        <v>621.30811448641896</v>
      </c>
      <c r="KU998" s="326"/>
      <c r="KV998" s="327"/>
    </row>
    <row r="999" spans="1:314">
      <c r="A999" s="279"/>
      <c r="D999" s="1464" t="s">
        <v>3160</v>
      </c>
      <c r="E999" s="323"/>
      <c r="F999" s="323"/>
      <c r="G999" s="323"/>
      <c r="H999" s="323"/>
      <c r="I999" s="323"/>
      <c r="J999" s="323"/>
      <c r="K999" s="323"/>
      <c r="L999" s="323"/>
      <c r="M999" s="323"/>
      <c r="N999" s="323"/>
      <c r="O999" s="323"/>
      <c r="P999" s="323"/>
      <c r="Q999" s="323"/>
      <c r="R999" s="323"/>
      <c r="S999" s="323"/>
      <c r="T999" s="323"/>
      <c r="U999" s="323"/>
      <c r="V999" s="323"/>
      <c r="W999" s="323"/>
      <c r="X999" s="323"/>
      <c r="Y999" s="323"/>
      <c r="Z999" s="323"/>
      <c r="AA999" s="323"/>
      <c r="AB999" s="323"/>
      <c r="AC999" s="323"/>
      <c r="AD999" s="323"/>
      <c r="AE999" s="323"/>
      <c r="AF999" s="323"/>
      <c r="AG999" s="323"/>
      <c r="AH999" s="323"/>
      <c r="AI999" s="323"/>
      <c r="AJ999" s="323"/>
      <c r="AK999" s="323"/>
      <c r="AL999" s="323"/>
      <c r="AM999" s="323"/>
      <c r="AN999" s="323"/>
      <c r="AO999" s="323"/>
      <c r="AP999" s="323"/>
      <c r="AQ999" s="323"/>
      <c r="AR999" s="323"/>
      <c r="AS999" s="323"/>
      <c r="AT999" s="323"/>
      <c r="AU999" s="323"/>
      <c r="AV999" s="323"/>
      <c r="AW999" s="323"/>
      <c r="AX999" s="323"/>
      <c r="AY999" s="323"/>
      <c r="AZ999" s="323"/>
      <c r="BA999" s="323"/>
      <c r="BB999" s="323"/>
      <c r="BC999" s="323"/>
      <c r="BD999" s="323"/>
      <c r="BE999" s="323"/>
      <c r="BF999" s="323"/>
      <c r="BG999" s="323"/>
      <c r="BH999" s="323"/>
      <c r="BI999" s="323"/>
      <c r="BJ999" s="323"/>
      <c r="BK999" s="323"/>
      <c r="BL999" s="323"/>
      <c r="BM999" s="323"/>
      <c r="BN999" s="323"/>
      <c r="BO999" s="323"/>
      <c r="BP999" s="323"/>
      <c r="BQ999" s="323"/>
      <c r="BR999" s="323"/>
      <c r="BS999" s="323"/>
      <c r="BT999" s="323"/>
      <c r="BU999" s="323"/>
      <c r="BV999" s="323"/>
      <c r="BW999" s="323"/>
      <c r="BX999" s="323"/>
      <c r="BY999" s="323"/>
      <c r="BZ999" s="323"/>
      <c r="CA999" s="323"/>
      <c r="CB999" s="323"/>
      <c r="CC999" s="323"/>
      <c r="CD999" s="329"/>
      <c r="CE999" s="323"/>
      <c r="CF999" s="323"/>
      <c r="CG999" s="323"/>
      <c r="CH999" s="323"/>
      <c r="CI999" s="323"/>
      <c r="CJ999" s="323"/>
      <c r="CK999" s="323"/>
      <c r="CL999" s="323"/>
      <c r="CM999" s="323"/>
      <c r="CN999" s="323"/>
      <c r="CO999" s="323"/>
      <c r="CP999" s="325"/>
      <c r="CQ999" s="323"/>
      <c r="CR999" s="323"/>
      <c r="CS999" s="323"/>
      <c r="CT999" s="323"/>
      <c r="CU999" s="323"/>
      <c r="CV999" s="323"/>
      <c r="CW999" s="323"/>
      <c r="CX999" s="323"/>
      <c r="CY999" s="323"/>
      <c r="CZ999" s="323"/>
      <c r="DA999" s="323"/>
      <c r="DB999" s="1269"/>
      <c r="DC999" s="323"/>
      <c r="DD999" s="323"/>
      <c r="DE999" s="323"/>
      <c r="DF999" s="323"/>
      <c r="DG999" s="323"/>
      <c r="DH999" s="323"/>
      <c r="DI999" s="323"/>
      <c r="DJ999" s="323"/>
      <c r="DK999" s="323"/>
      <c r="DL999" s="323"/>
      <c r="DM999" s="323"/>
      <c r="DN999" s="325"/>
      <c r="DO999" s="323"/>
      <c r="DP999" s="323"/>
      <c r="DQ999" s="323"/>
      <c r="DR999" s="323"/>
      <c r="DS999" s="323"/>
      <c r="DT999" s="323"/>
      <c r="DU999" s="323"/>
      <c r="DV999" s="323"/>
      <c r="DW999" s="323"/>
      <c r="DX999" s="323"/>
      <c r="DY999" s="323"/>
      <c r="DZ999" s="325"/>
      <c r="EA999" s="323"/>
      <c r="EB999" s="323"/>
      <c r="EC999" s="323"/>
      <c r="ED999" s="323"/>
      <c r="EE999" s="323"/>
      <c r="EF999" s="323"/>
      <c r="EG999" s="323"/>
      <c r="EH999" s="323"/>
      <c r="EI999" s="323"/>
      <c r="EJ999" s="323"/>
      <c r="EK999" s="323"/>
      <c r="EL999" s="325"/>
      <c r="EM999" s="323"/>
      <c r="EN999" s="323"/>
      <c r="EO999" s="323"/>
      <c r="EP999" s="323"/>
      <c r="EQ999" s="323"/>
      <c r="ER999" s="323"/>
      <c r="ES999" s="323"/>
      <c r="ET999" s="323"/>
      <c r="EU999" s="323"/>
      <c r="EV999" s="323"/>
      <c r="EW999" s="323"/>
      <c r="EX999" s="325"/>
      <c r="EY999" s="323"/>
      <c r="EZ999" s="323"/>
      <c r="FA999" s="323"/>
      <c r="FB999" s="323"/>
      <c r="FC999" s="323"/>
      <c r="FD999" s="323"/>
      <c r="FE999" s="323"/>
      <c r="FF999" s="323"/>
      <c r="FG999" s="323"/>
      <c r="FH999" s="323"/>
      <c r="FI999" s="323"/>
      <c r="FJ999" s="325"/>
      <c r="FK999" s="323"/>
      <c r="FL999" s="323"/>
      <c r="FM999" s="323"/>
      <c r="FN999" s="323"/>
      <c r="FO999" s="323"/>
      <c r="FP999" s="323"/>
      <c r="FQ999" s="323"/>
      <c r="FR999" s="323"/>
      <c r="FS999" s="323"/>
      <c r="FT999" s="323"/>
      <c r="FU999" s="323"/>
      <c r="FV999" s="323"/>
      <c r="FW999" s="323">
        <v>0</v>
      </c>
      <c r="FX999" s="323">
        <v>0</v>
      </c>
      <c r="FY999" s="323">
        <v>0</v>
      </c>
      <c r="FZ999" s="323">
        <v>0</v>
      </c>
      <c r="GA999" s="323">
        <v>0</v>
      </c>
      <c r="GB999" s="323">
        <v>0</v>
      </c>
      <c r="GC999" s="323">
        <v>0</v>
      </c>
      <c r="GD999" s="323">
        <v>0</v>
      </c>
      <c r="GE999" s="323">
        <v>0</v>
      </c>
      <c r="GF999" s="323">
        <v>0</v>
      </c>
      <c r="GG999" s="323">
        <v>0</v>
      </c>
      <c r="GH999" s="323">
        <v>0</v>
      </c>
      <c r="GI999" s="1654"/>
      <c r="GJ999" s="1654"/>
      <c r="GK999" s="1654"/>
      <c r="GL999" s="1654"/>
      <c r="GM999" s="1654"/>
      <c r="GN999" s="1654"/>
      <c r="HZ999" s="326"/>
      <c r="IA999" s="1464" t="s">
        <v>3160</v>
      </c>
      <c r="IB999" s="284"/>
      <c r="ID999" s="323"/>
      <c r="IG999" s="323"/>
      <c r="IH999" s="284"/>
      <c r="IJ999" s="323"/>
      <c r="IK999" s="327"/>
      <c r="IM999" s="323"/>
      <c r="IP999" s="323"/>
      <c r="IQ999" s="327"/>
      <c r="IR999" s="327"/>
      <c r="IS999" s="323"/>
      <c r="IT999" s="327"/>
      <c r="IU999" s="327"/>
      <c r="IV999" s="323">
        <f t="shared" si="2059"/>
        <v>0</v>
      </c>
      <c r="IW999" s="327"/>
      <c r="IX999" s="327">
        <f>SUM(FQ999:FV999)</f>
        <v>0</v>
      </c>
      <c r="IY999" s="323">
        <f t="shared" si="2005"/>
        <v>0</v>
      </c>
      <c r="IZ999" s="327">
        <f t="shared" si="2018"/>
        <v>0</v>
      </c>
      <c r="JA999" s="327">
        <f t="shared" si="2019"/>
        <v>0</v>
      </c>
      <c r="JB999" s="323">
        <f t="shared" si="2036"/>
        <v>0</v>
      </c>
      <c r="JC999" s="327">
        <f t="shared" si="2020"/>
        <v>0</v>
      </c>
      <c r="JD999" s="327">
        <f t="shared" si="2021"/>
        <v>0</v>
      </c>
      <c r="JE999" s="323">
        <f t="shared" si="1945"/>
        <v>0</v>
      </c>
      <c r="JF999" s="327">
        <v>0</v>
      </c>
      <c r="JG999" s="327">
        <v>0</v>
      </c>
      <c r="JH999" s="323">
        <f t="shared" si="1944"/>
        <v>0</v>
      </c>
      <c r="JI999" s="327">
        <f t="shared" si="1993"/>
        <v>0</v>
      </c>
      <c r="JJ999" s="327">
        <f t="shared" si="2035"/>
        <v>0</v>
      </c>
      <c r="JK999" s="323">
        <f t="shared" si="1933"/>
        <v>0</v>
      </c>
      <c r="JL999" s="327">
        <f t="shared" si="1946"/>
        <v>0</v>
      </c>
      <c r="JM999" s="327">
        <f>JN999/2</f>
        <v>0</v>
      </c>
      <c r="JN999" s="323">
        <f>FISC!AK1325</f>
        <v>0</v>
      </c>
      <c r="JO999" s="327">
        <f>JQ999/2</f>
        <v>0</v>
      </c>
      <c r="JP999" s="327">
        <f>JQ999/2</f>
        <v>0</v>
      </c>
      <c r="JQ999" s="323">
        <f>FISC!AL1325</f>
        <v>0</v>
      </c>
      <c r="JR999" s="327">
        <f>JT999/2</f>
        <v>0</v>
      </c>
      <c r="JS999" s="327">
        <f>JT999/2</f>
        <v>0</v>
      </c>
      <c r="JT999" s="323">
        <f>FISC!AM1325</f>
        <v>0</v>
      </c>
      <c r="JU999" s="327">
        <f>JW999/2</f>
        <v>0</v>
      </c>
      <c r="JV999" s="327">
        <f>JW999/2</f>
        <v>0</v>
      </c>
      <c r="JW999" s="323">
        <f>FISC!AN1325</f>
        <v>0</v>
      </c>
      <c r="JX999" s="327">
        <f>JZ999/2</f>
        <v>0</v>
      </c>
      <c r="JY999" s="327">
        <f>JZ999/2</f>
        <v>0</v>
      </c>
      <c r="JZ999" s="323">
        <f>FISC!AO1325</f>
        <v>0</v>
      </c>
      <c r="KA999" s="327">
        <f>KC999/2</f>
        <v>0</v>
      </c>
      <c r="KB999" s="327">
        <f>KC999/2</f>
        <v>0</v>
      </c>
      <c r="KC999" s="323">
        <f>FISC!AP1325</f>
        <v>0</v>
      </c>
      <c r="KD999" s="327">
        <f>KF999/2</f>
        <v>0</v>
      </c>
      <c r="KE999" s="327">
        <f>KF999/2</f>
        <v>0</v>
      </c>
      <c r="KF999" s="323">
        <f>FISC!AQ1325</f>
        <v>0</v>
      </c>
      <c r="KG999" s="327">
        <f>KI999/2</f>
        <v>0</v>
      </c>
      <c r="KH999" s="327">
        <f>KI999/2</f>
        <v>0</v>
      </c>
      <c r="KI999" s="323">
        <f>FISC!AR1325</f>
        <v>0</v>
      </c>
      <c r="KJ999" s="327">
        <f>KL999/2</f>
        <v>0</v>
      </c>
      <c r="KK999" s="327">
        <f>KL999/2</f>
        <v>0</v>
      </c>
      <c r="KL999" s="323">
        <f>FISC!AS1325</f>
        <v>0</v>
      </c>
      <c r="KM999" s="327">
        <f>KO999/2</f>
        <v>0</v>
      </c>
      <c r="KN999" s="327">
        <f>KO999/2</f>
        <v>0</v>
      </c>
      <c r="KO999" s="323">
        <f>FISC!AT1325</f>
        <v>0</v>
      </c>
      <c r="KU999" s="326"/>
      <c r="KV999" s="327"/>
    </row>
    <row r="1000" spans="1:314">
      <c r="A1000" s="279"/>
      <c r="D1000" s="1464" t="s">
        <v>3161</v>
      </c>
      <c r="E1000" s="323"/>
      <c r="F1000" s="323"/>
      <c r="G1000" s="323"/>
      <c r="H1000" s="323"/>
      <c r="I1000" s="323"/>
      <c r="J1000" s="323"/>
      <c r="K1000" s="323"/>
      <c r="L1000" s="323"/>
      <c r="M1000" s="323"/>
      <c r="N1000" s="323"/>
      <c r="O1000" s="323"/>
      <c r="P1000" s="323"/>
      <c r="Q1000" s="323"/>
      <c r="R1000" s="323"/>
      <c r="S1000" s="323"/>
      <c r="T1000" s="323"/>
      <c r="U1000" s="323"/>
      <c r="V1000" s="323"/>
      <c r="W1000" s="323"/>
      <c r="X1000" s="323"/>
      <c r="Y1000" s="323"/>
      <c r="Z1000" s="323"/>
      <c r="AA1000" s="323"/>
      <c r="AB1000" s="323"/>
      <c r="AC1000" s="323"/>
      <c r="AD1000" s="323"/>
      <c r="AE1000" s="323"/>
      <c r="AF1000" s="323"/>
      <c r="AG1000" s="323"/>
      <c r="AH1000" s="323"/>
      <c r="AI1000" s="323"/>
      <c r="AJ1000" s="323"/>
      <c r="AK1000" s="323"/>
      <c r="AL1000" s="323"/>
      <c r="AM1000" s="323"/>
      <c r="AN1000" s="323"/>
      <c r="AO1000" s="323"/>
      <c r="AP1000" s="323"/>
      <c r="AQ1000" s="323"/>
      <c r="AR1000" s="323"/>
      <c r="AS1000" s="323"/>
      <c r="AT1000" s="323"/>
      <c r="AU1000" s="323"/>
      <c r="AV1000" s="323"/>
      <c r="AW1000" s="323"/>
      <c r="AX1000" s="323"/>
      <c r="AY1000" s="323"/>
      <c r="AZ1000" s="323"/>
      <c r="BA1000" s="323"/>
      <c r="BB1000" s="323"/>
      <c r="BC1000" s="323"/>
      <c r="BD1000" s="323"/>
      <c r="BE1000" s="323"/>
      <c r="BF1000" s="323"/>
      <c r="BG1000" s="323"/>
      <c r="BH1000" s="323"/>
      <c r="BI1000" s="323"/>
      <c r="BJ1000" s="323"/>
      <c r="BK1000" s="323"/>
      <c r="BL1000" s="323"/>
      <c r="BM1000" s="323"/>
      <c r="BN1000" s="323"/>
      <c r="BO1000" s="323"/>
      <c r="BP1000" s="323"/>
      <c r="BQ1000" s="323"/>
      <c r="BR1000" s="323"/>
      <c r="BS1000" s="323"/>
      <c r="BT1000" s="323"/>
      <c r="BU1000" s="323"/>
      <c r="BV1000" s="323"/>
      <c r="BW1000" s="323"/>
      <c r="BX1000" s="323"/>
      <c r="BY1000" s="323"/>
      <c r="BZ1000" s="323"/>
      <c r="CA1000" s="323"/>
      <c r="CB1000" s="323"/>
      <c r="CC1000" s="323"/>
      <c r="CD1000" s="329"/>
      <c r="CE1000" s="323"/>
      <c r="CF1000" s="323"/>
      <c r="CG1000" s="323"/>
      <c r="CH1000" s="323"/>
      <c r="CI1000" s="323"/>
      <c r="CJ1000" s="323"/>
      <c r="CK1000" s="323"/>
      <c r="CL1000" s="323"/>
      <c r="CM1000" s="323"/>
      <c r="CN1000" s="323"/>
      <c r="CO1000" s="323"/>
      <c r="CP1000" s="325"/>
      <c r="CQ1000" s="323"/>
      <c r="CR1000" s="323"/>
      <c r="CS1000" s="323"/>
      <c r="CT1000" s="323"/>
      <c r="CU1000" s="323"/>
      <c r="CV1000" s="323"/>
      <c r="CW1000" s="323"/>
      <c r="CX1000" s="323"/>
      <c r="CY1000" s="323"/>
      <c r="CZ1000" s="323"/>
      <c r="DA1000" s="323"/>
      <c r="DB1000" s="1269"/>
      <c r="DC1000" s="323"/>
      <c r="DD1000" s="323"/>
      <c r="DE1000" s="323"/>
      <c r="DF1000" s="323"/>
      <c r="DG1000" s="323"/>
      <c r="DH1000" s="323"/>
      <c r="DI1000" s="323"/>
      <c r="DJ1000" s="323"/>
      <c r="DK1000" s="323"/>
      <c r="DL1000" s="323"/>
      <c r="DM1000" s="323"/>
      <c r="DN1000" s="325"/>
      <c r="DO1000" s="323"/>
      <c r="DP1000" s="323"/>
      <c r="DQ1000" s="323"/>
      <c r="DR1000" s="323"/>
      <c r="DS1000" s="323"/>
      <c r="DT1000" s="323"/>
      <c r="DU1000" s="323"/>
      <c r="DV1000" s="323"/>
      <c r="DW1000" s="323"/>
      <c r="DX1000" s="323"/>
      <c r="DY1000" s="323"/>
      <c r="DZ1000" s="325"/>
      <c r="EA1000" s="323"/>
      <c r="EB1000" s="323"/>
      <c r="EC1000" s="323"/>
      <c r="ED1000" s="323"/>
      <c r="EE1000" s="323"/>
      <c r="EF1000" s="323"/>
      <c r="EG1000" s="323"/>
      <c r="EH1000" s="323"/>
      <c r="EI1000" s="323"/>
      <c r="EJ1000" s="323"/>
      <c r="EK1000" s="323"/>
      <c r="EL1000" s="325"/>
      <c r="EM1000" s="323"/>
      <c r="EN1000" s="323"/>
      <c r="EO1000" s="323"/>
      <c r="EP1000" s="323"/>
      <c r="EQ1000" s="323"/>
      <c r="ER1000" s="323"/>
      <c r="ES1000" s="323"/>
      <c r="ET1000" s="323"/>
      <c r="EU1000" s="323"/>
      <c r="EV1000" s="323"/>
      <c r="EW1000" s="323"/>
      <c r="EX1000" s="325"/>
      <c r="EY1000" s="323"/>
      <c r="EZ1000" s="323"/>
      <c r="FA1000" s="323"/>
      <c r="FB1000" s="323"/>
      <c r="FC1000" s="323"/>
      <c r="FD1000" s="323"/>
      <c r="FE1000" s="323"/>
      <c r="FF1000" s="323"/>
      <c r="FG1000" s="323"/>
      <c r="FH1000" s="323"/>
      <c r="FI1000" s="323"/>
      <c r="FJ1000" s="325"/>
      <c r="FK1000" s="323"/>
      <c r="FL1000" s="323"/>
      <c r="FM1000" s="323"/>
      <c r="FN1000" s="323"/>
      <c r="FO1000" s="323"/>
      <c r="FP1000" s="323"/>
      <c r="FQ1000" s="323"/>
      <c r="FR1000" s="323"/>
      <c r="FS1000" s="323"/>
      <c r="FT1000" s="323"/>
      <c r="FU1000" s="323"/>
      <c r="FV1000" s="323"/>
      <c r="FW1000" s="323">
        <v>7.7434999999999832</v>
      </c>
      <c r="FX1000" s="323">
        <v>8.802265000000034</v>
      </c>
      <c r="FY1000" s="323">
        <v>4.0108000000000175</v>
      </c>
      <c r="FZ1000" s="323">
        <v>5.9574999999999818</v>
      </c>
      <c r="GA1000" s="323">
        <v>31.492399999999975</v>
      </c>
      <c r="GB1000" s="323">
        <v>9.3147000000000162</v>
      </c>
      <c r="GC1000" s="323">
        <v>11.032800000000009</v>
      </c>
      <c r="GD1000" s="323">
        <v>24.273799999999994</v>
      </c>
      <c r="GE1000" s="323">
        <v>6.3108000000000288</v>
      </c>
      <c r="GF1000" s="323">
        <v>-26.574885000000052</v>
      </c>
      <c r="GG1000" s="323">
        <v>10.069999999999993</v>
      </c>
      <c r="GH1000" s="323">
        <v>5.6499999999999773</v>
      </c>
      <c r="GI1000" s="1654">
        <v>10.470000000000027</v>
      </c>
      <c r="GJ1000" s="1654">
        <v>5.8899999999999864</v>
      </c>
      <c r="GK1000" s="1654">
        <v>12.850000000000023</v>
      </c>
      <c r="GL1000" s="1654">
        <v>6.3045849999999746</v>
      </c>
      <c r="GM1000" s="1654">
        <v>7.1546999999999912</v>
      </c>
      <c r="GN1000" s="1654">
        <v>0</v>
      </c>
      <c r="GO1000" s="1654">
        <v>2.0944000000000074</v>
      </c>
      <c r="GP1000" s="355">
        <v>11</v>
      </c>
      <c r="GQ1000" s="355">
        <v>-5.6999999999999886</v>
      </c>
      <c r="GR1000" s="355">
        <v>0</v>
      </c>
      <c r="GS1000" s="355">
        <v>4.6999999999999886</v>
      </c>
      <c r="GT1000" s="355">
        <v>6</v>
      </c>
      <c r="GU1000" s="1658">
        <v>3.9999149999999872</v>
      </c>
      <c r="GV1000" s="1658">
        <v>3.0066850000000045</v>
      </c>
      <c r="GW1000" s="1658">
        <v>0.5</v>
      </c>
      <c r="GX1000" s="1658">
        <v>3.5955000000000155</v>
      </c>
      <c r="GY1000" s="1658">
        <v>23.532300000000021</v>
      </c>
      <c r="GZ1000" s="1658">
        <v>0</v>
      </c>
      <c r="HA1000" s="1658">
        <v>1</v>
      </c>
      <c r="HB1000" s="1658">
        <v>2</v>
      </c>
      <c r="HC1000" s="1658">
        <v>4.0724999999999909</v>
      </c>
      <c r="HD1000" s="1658">
        <v>3.0063000000000102</v>
      </c>
      <c r="HE1000" s="1658">
        <v>-13.268100000000004</v>
      </c>
      <c r="HF1000" s="1658">
        <v>3.2839999999999918</v>
      </c>
      <c r="HG1000" s="1658">
        <v>2.2368000000000166</v>
      </c>
      <c r="HH1000" s="1658">
        <v>16.987999999999943</v>
      </c>
      <c r="HI1000" s="1658">
        <v>1.8578999999999724</v>
      </c>
      <c r="HJ1000" s="1658">
        <v>0</v>
      </c>
      <c r="HK1000" s="1658">
        <v>10.505100000000084</v>
      </c>
      <c r="HL1000" s="1658">
        <v>0.92319999999995161</v>
      </c>
      <c r="HM1000" s="1658">
        <v>1.2340000000000373</v>
      </c>
      <c r="HN1000" s="1658">
        <v>1</v>
      </c>
      <c r="HO1000" s="1658">
        <v>5.1155999999999722</v>
      </c>
      <c r="HP1000" s="1658">
        <v>3</v>
      </c>
      <c r="HQ1000" s="1658">
        <v>0.90790000000004056</v>
      </c>
      <c r="HR1000" s="1658">
        <v>7.8495000000000346</v>
      </c>
      <c r="HS1000" s="1658">
        <v>19.91459999999995</v>
      </c>
      <c r="HT1000" s="1658">
        <v>5.9961999999999307</v>
      </c>
      <c r="HU1000" s="1658">
        <v>3</v>
      </c>
      <c r="HV1000" s="1658">
        <v>19.246800000000007</v>
      </c>
      <c r="HW1000" s="1658">
        <v>3.0001000000000886</v>
      </c>
      <c r="HX1000" s="1658">
        <v>20.866399999999999</v>
      </c>
      <c r="HY1000" s="1658"/>
      <c r="HZ1000" s="326"/>
      <c r="IA1000" s="1464" t="s">
        <v>3161</v>
      </c>
      <c r="IB1000" s="284"/>
      <c r="ID1000" s="323"/>
      <c r="IG1000" s="323"/>
      <c r="IH1000" s="284"/>
      <c r="IJ1000" s="323"/>
      <c r="IK1000" s="327"/>
      <c r="IM1000" s="323"/>
      <c r="IP1000" s="323"/>
      <c r="IQ1000" s="327"/>
      <c r="IR1000" s="327"/>
      <c r="IS1000" s="323"/>
      <c r="IT1000" s="327"/>
      <c r="IU1000" s="327"/>
      <c r="IV1000" s="323">
        <f t="shared" si="2059"/>
        <v>0</v>
      </c>
      <c r="IW1000" s="327"/>
      <c r="IX1000" s="327">
        <f>IX998</f>
        <v>61.441020000000037</v>
      </c>
      <c r="IY1000" s="323">
        <f t="shared" si="2005"/>
        <v>61.441020000000037</v>
      </c>
      <c r="IZ1000" s="327">
        <f t="shared" si="2018"/>
        <v>67.321165000000008</v>
      </c>
      <c r="JA1000" s="327">
        <f t="shared" si="2019"/>
        <v>30.762514999999951</v>
      </c>
      <c r="JB1000" s="323">
        <f t="shared" si="2036"/>
        <v>98.083679999999958</v>
      </c>
      <c r="JC1000" s="327">
        <f t="shared" si="2020"/>
        <v>42.669285000000002</v>
      </c>
      <c r="JD1000" s="327">
        <f t="shared" si="2021"/>
        <v>18.094400000000007</v>
      </c>
      <c r="JE1000" s="323">
        <f t="shared" si="1945"/>
        <v>60.763685000000009</v>
      </c>
      <c r="JF1000" s="327">
        <f>SUM(GU1000:GZ1000)</f>
        <v>34.634400000000028</v>
      </c>
      <c r="JG1000" s="327">
        <f t="shared" ref="JG1000:JG1005" si="2086">SUM(HA1000:HF1000)</f>
        <v>9.4699999999988904E-2</v>
      </c>
      <c r="JH1000" s="323">
        <f t="shared" si="1944"/>
        <v>34.729100000000017</v>
      </c>
      <c r="JI1000" s="327">
        <f t="shared" si="1993"/>
        <v>32.510999999999967</v>
      </c>
      <c r="JJ1000" s="327">
        <f t="shared" si="2035"/>
        <v>19.107000000000085</v>
      </c>
      <c r="JK1000" s="323">
        <f t="shared" si="1933"/>
        <v>51.618000000000052</v>
      </c>
      <c r="JL1000" s="327">
        <f t="shared" si="1946"/>
        <v>72.024099999999976</v>
      </c>
      <c r="JM1000" s="327">
        <f>JN1000/2</f>
        <v>33.193486151793209</v>
      </c>
      <c r="JN1000" s="323">
        <f>FISC!AK1326</f>
        <v>66.386972303586418</v>
      </c>
      <c r="JO1000" s="327">
        <f>JQ1000/2</f>
        <v>40.182148922333944</v>
      </c>
      <c r="JP1000" s="327">
        <f>JQ1000/2</f>
        <v>40.182148922333944</v>
      </c>
      <c r="JQ1000" s="323">
        <f>FISC!AL1326</f>
        <v>80.364297844667888</v>
      </c>
      <c r="JR1000" s="327">
        <f>JT1000/2</f>
        <v>56.795556655033792</v>
      </c>
      <c r="JS1000" s="327">
        <f>JT1000/2</f>
        <v>56.795556655033792</v>
      </c>
      <c r="JT1000" s="323">
        <f>FISC!AM1326</f>
        <v>113.59111331006758</v>
      </c>
      <c r="JU1000" s="327">
        <f>JW1000/2</f>
        <v>36.714355030384404</v>
      </c>
      <c r="JV1000" s="327">
        <f>JW1000/2</f>
        <v>36.714355030384404</v>
      </c>
      <c r="JW1000" s="323">
        <f>FISC!AN1326</f>
        <v>73.428710060768807</v>
      </c>
      <c r="JX1000" s="327">
        <f>JZ1000/2</f>
        <v>72.185136830926666</v>
      </c>
      <c r="JY1000" s="327">
        <f>JZ1000/2</f>
        <v>72.185136830926666</v>
      </c>
      <c r="JZ1000" s="323">
        <f>FISC!AO1326</f>
        <v>144.37027366185333</v>
      </c>
      <c r="KA1000" s="327">
        <f>KC1000/2</f>
        <v>66.574436031462085</v>
      </c>
      <c r="KB1000" s="327">
        <f>KC1000/2</f>
        <v>66.574436031462085</v>
      </c>
      <c r="KC1000" s="323">
        <f>FISC!AP1326</f>
        <v>133.14887206292417</v>
      </c>
      <c r="KD1000" s="327">
        <f>KF1000/2</f>
        <v>234.66264104369984</v>
      </c>
      <c r="KE1000" s="327">
        <f>KF1000/2</f>
        <v>234.66264104369984</v>
      </c>
      <c r="KF1000" s="323">
        <f>FISC!AQ1326</f>
        <v>469.32528208739967</v>
      </c>
      <c r="KG1000" s="327">
        <f>KI1000/2</f>
        <v>169.71940503150677</v>
      </c>
      <c r="KH1000" s="327">
        <f>KI1000/2</f>
        <v>169.71940503150677</v>
      </c>
      <c r="KI1000" s="323">
        <f>FISC!AR1326</f>
        <v>339.43881006301353</v>
      </c>
      <c r="KJ1000" s="327">
        <f>KL1000/2</f>
        <v>233.91632963500177</v>
      </c>
      <c r="KK1000" s="327">
        <f>KL1000/2</f>
        <v>233.91632963500177</v>
      </c>
      <c r="KL1000" s="323">
        <f>FISC!AS1326</f>
        <v>467.83265927000355</v>
      </c>
      <c r="KM1000" s="327">
        <f>KO1000/2</f>
        <v>310.65405724320948</v>
      </c>
      <c r="KN1000" s="327">
        <f>KO1000/2</f>
        <v>310.65405724320948</v>
      </c>
      <c r="KO1000" s="323">
        <f>FISC!AT1326</f>
        <v>621.30811448641896</v>
      </c>
      <c r="KU1000" s="326"/>
      <c r="KV1000" s="327"/>
    </row>
    <row r="1001" spans="1:314">
      <c r="A1001" s="279"/>
      <c r="D1001" s="1464"/>
      <c r="E1001" s="323"/>
      <c r="F1001" s="323"/>
      <c r="G1001" s="323"/>
      <c r="H1001" s="323"/>
      <c r="I1001" s="323"/>
      <c r="J1001" s="323"/>
      <c r="K1001" s="323"/>
      <c r="L1001" s="323"/>
      <c r="M1001" s="323"/>
      <c r="N1001" s="323"/>
      <c r="O1001" s="323"/>
      <c r="P1001" s="323"/>
      <c r="Q1001" s="323"/>
      <c r="R1001" s="323"/>
      <c r="S1001" s="323"/>
      <c r="T1001" s="323"/>
      <c r="U1001" s="323"/>
      <c r="V1001" s="323"/>
      <c r="W1001" s="323"/>
      <c r="X1001" s="323"/>
      <c r="Y1001" s="323"/>
      <c r="Z1001" s="323"/>
      <c r="AA1001" s="323"/>
      <c r="AB1001" s="323"/>
      <c r="AC1001" s="323"/>
      <c r="AD1001" s="323"/>
      <c r="AE1001" s="323"/>
      <c r="AF1001" s="323"/>
      <c r="AG1001" s="323"/>
      <c r="AH1001" s="323"/>
      <c r="AI1001" s="323"/>
      <c r="AJ1001" s="323"/>
      <c r="AK1001" s="323"/>
      <c r="AL1001" s="323"/>
      <c r="AM1001" s="323"/>
      <c r="AN1001" s="323"/>
      <c r="AO1001" s="323"/>
      <c r="AP1001" s="323"/>
      <c r="AQ1001" s="323"/>
      <c r="AR1001" s="323"/>
      <c r="AS1001" s="323"/>
      <c r="AT1001" s="323"/>
      <c r="AU1001" s="323"/>
      <c r="AV1001" s="323"/>
      <c r="AW1001" s="323"/>
      <c r="AX1001" s="323"/>
      <c r="AY1001" s="323"/>
      <c r="AZ1001" s="323"/>
      <c r="BA1001" s="323"/>
      <c r="BB1001" s="323"/>
      <c r="BC1001" s="323"/>
      <c r="BD1001" s="323"/>
      <c r="BE1001" s="323"/>
      <c r="BF1001" s="323"/>
      <c r="BG1001" s="323"/>
      <c r="BH1001" s="323"/>
      <c r="BI1001" s="323"/>
      <c r="BJ1001" s="323"/>
      <c r="BK1001" s="323"/>
      <c r="BL1001" s="323"/>
      <c r="BM1001" s="323"/>
      <c r="BN1001" s="323"/>
      <c r="BO1001" s="323"/>
      <c r="BP1001" s="323"/>
      <c r="BQ1001" s="323"/>
      <c r="BR1001" s="323"/>
      <c r="BS1001" s="323"/>
      <c r="BT1001" s="323"/>
      <c r="BU1001" s="323"/>
      <c r="BV1001" s="323"/>
      <c r="BW1001" s="323"/>
      <c r="BX1001" s="323"/>
      <c r="BY1001" s="323"/>
      <c r="BZ1001" s="323"/>
      <c r="CA1001" s="323"/>
      <c r="CB1001" s="323"/>
      <c r="CC1001" s="323"/>
      <c r="CD1001" s="329"/>
      <c r="CE1001" s="323"/>
      <c r="CF1001" s="323"/>
      <c r="CG1001" s="323"/>
      <c r="CH1001" s="323"/>
      <c r="CI1001" s="323"/>
      <c r="CJ1001" s="323"/>
      <c r="CK1001" s="323"/>
      <c r="CL1001" s="323"/>
      <c r="CM1001" s="323"/>
      <c r="CN1001" s="323"/>
      <c r="CO1001" s="323"/>
      <c r="CP1001" s="325"/>
      <c r="CQ1001" s="323"/>
      <c r="CR1001" s="323"/>
      <c r="CS1001" s="323"/>
      <c r="CT1001" s="323"/>
      <c r="CU1001" s="323"/>
      <c r="CV1001" s="323"/>
      <c r="CW1001" s="323"/>
      <c r="CX1001" s="323"/>
      <c r="CY1001" s="323"/>
      <c r="CZ1001" s="323"/>
      <c r="DA1001" s="323"/>
      <c r="DB1001" s="1269"/>
      <c r="DC1001" s="323"/>
      <c r="DD1001" s="323"/>
      <c r="DE1001" s="323"/>
      <c r="DF1001" s="323"/>
      <c r="DG1001" s="323"/>
      <c r="DH1001" s="323"/>
      <c r="DI1001" s="323"/>
      <c r="DJ1001" s="323"/>
      <c r="DK1001" s="323"/>
      <c r="DL1001" s="323"/>
      <c r="DM1001" s="323"/>
      <c r="DN1001" s="325"/>
      <c r="DO1001" s="323"/>
      <c r="DP1001" s="323"/>
      <c r="DQ1001" s="323"/>
      <c r="DR1001" s="323"/>
      <c r="DS1001" s="323"/>
      <c r="DT1001" s="323"/>
      <c r="DU1001" s="323"/>
      <c r="DV1001" s="323"/>
      <c r="DW1001" s="323"/>
      <c r="DX1001" s="323"/>
      <c r="DY1001" s="323"/>
      <c r="DZ1001" s="325"/>
      <c r="EA1001" s="323"/>
      <c r="EB1001" s="323"/>
      <c r="EC1001" s="323"/>
      <c r="ED1001" s="323"/>
      <c r="EE1001" s="323"/>
      <c r="EF1001" s="323"/>
      <c r="EG1001" s="323"/>
      <c r="EH1001" s="323"/>
      <c r="EI1001" s="323"/>
      <c r="EJ1001" s="323"/>
      <c r="EK1001" s="323"/>
      <c r="EL1001" s="325"/>
      <c r="EM1001" s="323"/>
      <c r="EN1001" s="323"/>
      <c r="EO1001" s="323"/>
      <c r="EP1001" s="323"/>
      <c r="EQ1001" s="323"/>
      <c r="ER1001" s="323"/>
      <c r="ES1001" s="323"/>
      <c r="ET1001" s="323"/>
      <c r="EU1001" s="323"/>
      <c r="EV1001" s="323"/>
      <c r="EW1001" s="323"/>
      <c r="EX1001" s="325"/>
      <c r="EY1001" s="323"/>
      <c r="EZ1001" s="323"/>
      <c r="FA1001" s="323"/>
      <c r="FB1001" s="323"/>
      <c r="FC1001" s="323"/>
      <c r="FD1001" s="323"/>
      <c r="FE1001" s="323"/>
      <c r="FF1001" s="323"/>
      <c r="FG1001" s="323"/>
      <c r="FH1001" s="323"/>
      <c r="FI1001" s="323"/>
      <c r="FJ1001" s="325"/>
      <c r="FK1001" s="323"/>
      <c r="FL1001" s="323"/>
      <c r="FM1001" s="323"/>
      <c r="FN1001" s="323"/>
      <c r="FO1001" s="323"/>
      <c r="FP1001" s="323"/>
      <c r="FQ1001" s="323"/>
      <c r="FR1001" s="323"/>
      <c r="FS1001" s="323"/>
      <c r="FT1001" s="323"/>
      <c r="FU1001" s="323"/>
      <c r="FV1001" s="323"/>
      <c r="FW1001" s="323"/>
      <c r="FX1001" s="323"/>
      <c r="FY1001" s="323"/>
      <c r="FZ1001" s="323"/>
      <c r="GA1001" s="323"/>
      <c r="GB1001" s="323"/>
      <c r="GC1001" s="323"/>
      <c r="GD1001" s="323"/>
      <c r="GE1001" s="323"/>
      <c r="GF1001" s="323"/>
      <c r="GG1001" s="323"/>
      <c r="GH1001" s="323"/>
      <c r="GI1001" s="1654"/>
      <c r="GJ1001" s="1654"/>
      <c r="GK1001" s="1654"/>
      <c r="GL1001" s="1654"/>
      <c r="GM1001" s="1654"/>
      <c r="GN1001" s="1654"/>
      <c r="GO1001" s="1654"/>
      <c r="GU1001" s="1658"/>
      <c r="GV1001" s="1658"/>
      <c r="GW1001" s="1658"/>
      <c r="GX1001" s="1658"/>
      <c r="GY1001" s="1658"/>
      <c r="GZ1001" s="1658"/>
      <c r="HA1001" s="1658"/>
      <c r="HB1001" s="1658"/>
      <c r="HC1001" s="1658"/>
      <c r="HD1001" s="1658"/>
      <c r="HE1001" s="1658"/>
      <c r="HF1001" s="1658"/>
      <c r="HG1001" s="1658"/>
      <c r="HH1001" s="1658"/>
      <c r="HI1001" s="1658"/>
      <c r="HJ1001" s="1658"/>
      <c r="HK1001" s="1658"/>
      <c r="HL1001" s="1658"/>
      <c r="HM1001" s="1658"/>
      <c r="HN1001" s="1658"/>
      <c r="HO1001" s="1658"/>
      <c r="HP1001" s="1658"/>
      <c r="HQ1001" s="1658"/>
      <c r="HR1001" s="1658"/>
      <c r="HS1001" s="1658"/>
      <c r="HT1001" s="1658"/>
      <c r="HU1001" s="1658"/>
      <c r="HV1001" s="1658"/>
      <c r="HW1001" s="1658"/>
      <c r="HX1001" s="1658"/>
      <c r="HY1001" s="1658"/>
      <c r="HZ1001" s="326"/>
      <c r="IA1001" s="2386" t="s">
        <v>3856</v>
      </c>
      <c r="IB1001" s="284"/>
      <c r="ID1001" s="323"/>
      <c r="IG1001" s="323"/>
      <c r="IH1001" s="284"/>
      <c r="IJ1001" s="323"/>
      <c r="IK1001" s="327"/>
      <c r="IM1001" s="323"/>
      <c r="IP1001" s="323"/>
      <c r="IQ1001" s="327"/>
      <c r="IR1001" s="327"/>
      <c r="IS1001" s="323"/>
      <c r="IT1001" s="327"/>
      <c r="IU1001" s="327"/>
      <c r="IV1001" s="323"/>
      <c r="IW1001" s="327"/>
      <c r="IX1001" s="327"/>
      <c r="IY1001" s="323"/>
      <c r="IZ1001" s="327"/>
      <c r="JA1001" s="327"/>
      <c r="JB1001" s="323"/>
      <c r="JC1001" s="327"/>
      <c r="JD1001" s="327"/>
      <c r="JE1001" s="323"/>
      <c r="JF1001" s="327"/>
      <c r="JG1001" s="327"/>
      <c r="JH1001" s="323"/>
      <c r="JI1001" s="327"/>
      <c r="JJ1001" s="327">
        <f t="shared" si="2035"/>
        <v>0</v>
      </c>
      <c r="JK1001" s="323">
        <f t="shared" si="1933"/>
        <v>0</v>
      </c>
      <c r="JL1001" s="327">
        <f t="shared" si="1946"/>
        <v>0</v>
      </c>
      <c r="JM1001" s="327"/>
      <c r="JN1001" s="323">
        <f>FISC!AK1327</f>
        <v>66.386972303586418</v>
      </c>
      <c r="JO1001" s="327"/>
      <c r="JP1001" s="327"/>
      <c r="JQ1001" s="323">
        <f>FISC!AL1327</f>
        <v>80.364297844667888</v>
      </c>
      <c r="JR1001" s="327"/>
      <c r="JS1001" s="327"/>
      <c r="JT1001" s="323">
        <f>FISC!AM1327</f>
        <v>113.59111331006758</v>
      </c>
      <c r="JU1001" s="327"/>
      <c r="JV1001" s="327"/>
      <c r="JW1001" s="323">
        <f>FISC!AN1327</f>
        <v>73.428710060768807</v>
      </c>
      <c r="JX1001" s="327"/>
      <c r="JY1001" s="327"/>
      <c r="JZ1001" s="323">
        <f>FISC!AO1327</f>
        <v>144.37027366185333</v>
      </c>
      <c r="KA1001" s="327"/>
      <c r="KB1001" s="327"/>
      <c r="KC1001" s="323">
        <f>FISC!AP1327</f>
        <v>133.14887206292417</v>
      </c>
      <c r="KD1001" s="327"/>
      <c r="KE1001" s="327"/>
      <c r="KF1001" s="323">
        <f>FISC!AQ1327</f>
        <v>469.32528208739967</v>
      </c>
      <c r="KG1001" s="327"/>
      <c r="KH1001" s="327"/>
      <c r="KI1001" s="323">
        <f>FISC!AR1327</f>
        <v>339.43881006301353</v>
      </c>
      <c r="KJ1001" s="327"/>
      <c r="KK1001" s="327"/>
      <c r="KL1001" s="323">
        <f>FISC!AS1327</f>
        <v>467.83265927000355</v>
      </c>
      <c r="KM1001" s="327"/>
      <c r="KN1001" s="327"/>
      <c r="KO1001" s="323">
        <f>FISC!AT1327</f>
        <v>621.30811448641896</v>
      </c>
      <c r="KU1001" s="326"/>
      <c r="KV1001" s="327"/>
    </row>
    <row r="1002" spans="1:314">
      <c r="A1002" s="279"/>
      <c r="D1002" s="1464"/>
      <c r="E1002" s="323"/>
      <c r="F1002" s="323"/>
      <c r="G1002" s="323"/>
      <c r="H1002" s="323"/>
      <c r="I1002" s="323"/>
      <c r="J1002" s="323"/>
      <c r="K1002" s="323"/>
      <c r="L1002" s="323"/>
      <c r="M1002" s="323"/>
      <c r="N1002" s="323"/>
      <c r="O1002" s="323"/>
      <c r="P1002" s="323"/>
      <c r="Q1002" s="323"/>
      <c r="R1002" s="323"/>
      <c r="S1002" s="323"/>
      <c r="T1002" s="323"/>
      <c r="U1002" s="323"/>
      <c r="V1002" s="323"/>
      <c r="W1002" s="323"/>
      <c r="X1002" s="323"/>
      <c r="Y1002" s="323"/>
      <c r="Z1002" s="323"/>
      <c r="AA1002" s="323"/>
      <c r="AB1002" s="323"/>
      <c r="AC1002" s="323"/>
      <c r="AD1002" s="323"/>
      <c r="AE1002" s="323"/>
      <c r="AF1002" s="323"/>
      <c r="AG1002" s="323"/>
      <c r="AH1002" s="323"/>
      <c r="AI1002" s="323"/>
      <c r="AJ1002" s="323"/>
      <c r="AK1002" s="323"/>
      <c r="AL1002" s="323"/>
      <c r="AM1002" s="323"/>
      <c r="AN1002" s="323"/>
      <c r="AO1002" s="323"/>
      <c r="AP1002" s="323"/>
      <c r="AQ1002" s="323"/>
      <c r="AR1002" s="323"/>
      <c r="AS1002" s="323"/>
      <c r="AT1002" s="323"/>
      <c r="AU1002" s="323"/>
      <c r="AV1002" s="323"/>
      <c r="AW1002" s="323"/>
      <c r="AX1002" s="323"/>
      <c r="AY1002" s="323"/>
      <c r="AZ1002" s="323"/>
      <c r="BA1002" s="323"/>
      <c r="BB1002" s="323"/>
      <c r="BC1002" s="323"/>
      <c r="BD1002" s="323"/>
      <c r="BE1002" s="323"/>
      <c r="BF1002" s="323"/>
      <c r="BG1002" s="323"/>
      <c r="BH1002" s="323"/>
      <c r="BI1002" s="323"/>
      <c r="BJ1002" s="323"/>
      <c r="BK1002" s="323"/>
      <c r="BL1002" s="323"/>
      <c r="BM1002" s="323"/>
      <c r="BN1002" s="323"/>
      <c r="BO1002" s="323"/>
      <c r="BP1002" s="323"/>
      <c r="BQ1002" s="323"/>
      <c r="BR1002" s="323"/>
      <c r="BS1002" s="323"/>
      <c r="BT1002" s="323"/>
      <c r="BU1002" s="323"/>
      <c r="BV1002" s="323"/>
      <c r="BW1002" s="323"/>
      <c r="BX1002" s="323"/>
      <c r="BY1002" s="323"/>
      <c r="BZ1002" s="323"/>
      <c r="CA1002" s="323"/>
      <c r="CB1002" s="323"/>
      <c r="CC1002" s="323"/>
      <c r="CD1002" s="329"/>
      <c r="CE1002" s="323"/>
      <c r="CF1002" s="323"/>
      <c r="CG1002" s="323"/>
      <c r="CH1002" s="323"/>
      <c r="CI1002" s="323"/>
      <c r="CJ1002" s="323"/>
      <c r="CK1002" s="323"/>
      <c r="CL1002" s="323"/>
      <c r="CM1002" s="323"/>
      <c r="CN1002" s="323"/>
      <c r="CO1002" s="323"/>
      <c r="CP1002" s="325"/>
      <c r="CQ1002" s="323"/>
      <c r="CR1002" s="323"/>
      <c r="CS1002" s="323"/>
      <c r="CT1002" s="323"/>
      <c r="CU1002" s="323"/>
      <c r="CV1002" s="323"/>
      <c r="CW1002" s="323"/>
      <c r="CX1002" s="323"/>
      <c r="CY1002" s="323"/>
      <c r="CZ1002" s="323"/>
      <c r="DA1002" s="323"/>
      <c r="DB1002" s="1269"/>
      <c r="DC1002" s="323"/>
      <c r="DD1002" s="323"/>
      <c r="DE1002" s="323"/>
      <c r="DF1002" s="323"/>
      <c r="DG1002" s="323"/>
      <c r="DH1002" s="323"/>
      <c r="DI1002" s="323"/>
      <c r="DJ1002" s="323"/>
      <c r="DK1002" s="323"/>
      <c r="DL1002" s="323"/>
      <c r="DM1002" s="323"/>
      <c r="DN1002" s="325"/>
      <c r="DO1002" s="323"/>
      <c r="DP1002" s="323"/>
      <c r="DQ1002" s="323"/>
      <c r="DR1002" s="323"/>
      <c r="DS1002" s="323"/>
      <c r="DT1002" s="323"/>
      <c r="DU1002" s="323"/>
      <c r="DV1002" s="323"/>
      <c r="DW1002" s="323"/>
      <c r="DX1002" s="323"/>
      <c r="DY1002" s="323"/>
      <c r="DZ1002" s="325"/>
      <c r="EA1002" s="323"/>
      <c r="EB1002" s="323"/>
      <c r="EC1002" s="323"/>
      <c r="ED1002" s="323"/>
      <c r="EE1002" s="323"/>
      <c r="EF1002" s="323"/>
      <c r="EG1002" s="323"/>
      <c r="EH1002" s="323"/>
      <c r="EI1002" s="323"/>
      <c r="EJ1002" s="323"/>
      <c r="EK1002" s="323"/>
      <c r="EL1002" s="325"/>
      <c r="EM1002" s="323"/>
      <c r="EN1002" s="323"/>
      <c r="EO1002" s="323"/>
      <c r="EP1002" s="323"/>
      <c r="EQ1002" s="323"/>
      <c r="ER1002" s="323"/>
      <c r="ES1002" s="323"/>
      <c r="ET1002" s="323"/>
      <c r="EU1002" s="323"/>
      <c r="EV1002" s="323"/>
      <c r="EW1002" s="323"/>
      <c r="EX1002" s="325"/>
      <c r="EY1002" s="323"/>
      <c r="EZ1002" s="323"/>
      <c r="FA1002" s="323"/>
      <c r="FB1002" s="323"/>
      <c r="FC1002" s="323"/>
      <c r="FD1002" s="323"/>
      <c r="FE1002" s="323"/>
      <c r="FF1002" s="323"/>
      <c r="FG1002" s="323"/>
      <c r="FH1002" s="323"/>
      <c r="FI1002" s="323"/>
      <c r="FJ1002" s="325"/>
      <c r="FK1002" s="323"/>
      <c r="FL1002" s="323"/>
      <c r="FM1002" s="323"/>
      <c r="FN1002" s="323"/>
      <c r="FO1002" s="323"/>
      <c r="FP1002" s="323"/>
      <c r="FQ1002" s="323"/>
      <c r="FR1002" s="323"/>
      <c r="FS1002" s="323"/>
      <c r="FT1002" s="323"/>
      <c r="FU1002" s="323"/>
      <c r="FV1002" s="323"/>
      <c r="FW1002" s="323"/>
      <c r="FX1002" s="323"/>
      <c r="FY1002" s="323"/>
      <c r="FZ1002" s="323"/>
      <c r="GA1002" s="323"/>
      <c r="GB1002" s="323"/>
      <c r="GC1002" s="323"/>
      <c r="GD1002" s="323"/>
      <c r="GE1002" s="323"/>
      <c r="GF1002" s="323"/>
      <c r="GG1002" s="323"/>
      <c r="GH1002" s="323"/>
      <c r="GI1002" s="1654"/>
      <c r="GJ1002" s="1654"/>
      <c r="GK1002" s="1654"/>
      <c r="GL1002" s="1654"/>
      <c r="GM1002" s="1654"/>
      <c r="GN1002" s="1654"/>
      <c r="GO1002" s="1654"/>
      <c r="GU1002" s="1658"/>
      <c r="GV1002" s="1658"/>
      <c r="GW1002" s="1658"/>
      <c r="GX1002" s="1658"/>
      <c r="GY1002" s="1658"/>
      <c r="GZ1002" s="1658"/>
      <c r="HA1002" s="1658"/>
      <c r="HB1002" s="1658"/>
      <c r="HC1002" s="1658"/>
      <c r="HD1002" s="1658"/>
      <c r="HE1002" s="1658"/>
      <c r="HF1002" s="1658"/>
      <c r="HG1002" s="1658"/>
      <c r="HH1002" s="1658"/>
      <c r="HI1002" s="1658"/>
      <c r="HJ1002" s="1658"/>
      <c r="HK1002" s="1658"/>
      <c r="HL1002" s="1658"/>
      <c r="HM1002" s="1658"/>
      <c r="HN1002" s="1658"/>
      <c r="HO1002" s="1658"/>
      <c r="HP1002" s="1658"/>
      <c r="HQ1002" s="1658"/>
      <c r="HR1002" s="1658"/>
      <c r="HS1002" s="1658"/>
      <c r="HT1002" s="1658"/>
      <c r="HU1002" s="1658"/>
      <c r="HV1002" s="1658"/>
      <c r="HW1002" s="1658"/>
      <c r="HX1002" s="1658"/>
      <c r="HY1002" s="1658"/>
      <c r="HZ1002" s="326"/>
      <c r="IA1002" s="2386" t="s">
        <v>3855</v>
      </c>
      <c r="IB1002" s="284"/>
      <c r="ID1002" s="323"/>
      <c r="IG1002" s="323"/>
      <c r="IH1002" s="284"/>
      <c r="IJ1002" s="323"/>
      <c r="IK1002" s="327"/>
      <c r="IM1002" s="323"/>
      <c r="IP1002" s="323"/>
      <c r="IQ1002" s="327"/>
      <c r="IR1002" s="327"/>
      <c r="IS1002" s="323"/>
      <c r="IT1002" s="327"/>
      <c r="IU1002" s="327"/>
      <c r="IV1002" s="323"/>
      <c r="IW1002" s="327"/>
      <c r="IX1002" s="327"/>
      <c r="IY1002" s="323"/>
      <c r="IZ1002" s="327"/>
      <c r="JA1002" s="327"/>
      <c r="JB1002" s="323"/>
      <c r="JC1002" s="327"/>
      <c r="JD1002" s="327"/>
      <c r="JE1002" s="323"/>
      <c r="JF1002" s="327"/>
      <c r="JG1002" s="327"/>
      <c r="JH1002" s="323"/>
      <c r="JI1002" s="327"/>
      <c r="JJ1002" s="327">
        <f t="shared" si="2035"/>
        <v>0</v>
      </c>
      <c r="JK1002" s="323">
        <f t="shared" si="1933"/>
        <v>0</v>
      </c>
      <c r="JL1002" s="327">
        <f t="shared" si="1946"/>
        <v>0</v>
      </c>
      <c r="JM1002" s="327"/>
      <c r="JN1002" s="323">
        <f>FISC!AK1328</f>
        <v>0</v>
      </c>
      <c r="JO1002" s="327"/>
      <c r="JP1002" s="327"/>
      <c r="JQ1002" s="323">
        <f>FISC!AL1328</f>
        <v>0</v>
      </c>
      <c r="JR1002" s="327"/>
      <c r="JS1002" s="327"/>
      <c r="JT1002" s="323">
        <f>FISC!AM1328</f>
        <v>0</v>
      </c>
      <c r="JU1002" s="327"/>
      <c r="JV1002" s="327"/>
      <c r="JW1002" s="323">
        <f>FISC!AN1328</f>
        <v>0</v>
      </c>
      <c r="JX1002" s="327"/>
      <c r="JY1002" s="327"/>
      <c r="JZ1002" s="323">
        <f>FISC!AO1328</f>
        <v>0</v>
      </c>
      <c r="KA1002" s="327"/>
      <c r="KB1002" s="327"/>
      <c r="KC1002" s="323">
        <f>FISC!AP1328</f>
        <v>0</v>
      </c>
      <c r="KD1002" s="327"/>
      <c r="KE1002" s="327"/>
      <c r="KF1002" s="323">
        <f>FISC!AQ1328</f>
        <v>0</v>
      </c>
      <c r="KG1002" s="327"/>
      <c r="KH1002" s="327"/>
      <c r="KI1002" s="323">
        <f>FISC!AR1328</f>
        <v>0</v>
      </c>
      <c r="KJ1002" s="327"/>
      <c r="KK1002" s="327"/>
      <c r="KL1002" s="323">
        <f>FISC!AS1328</f>
        <v>0</v>
      </c>
      <c r="KM1002" s="327"/>
      <c r="KN1002" s="327"/>
      <c r="KO1002" s="323">
        <f>FISC!AT1328</f>
        <v>0</v>
      </c>
      <c r="KU1002" s="326"/>
      <c r="KV1002" s="327"/>
    </row>
    <row r="1003" spans="1:314">
      <c r="A1003" s="279"/>
      <c r="B1003" s="96" t="s">
        <v>338</v>
      </c>
      <c r="D1003" s="335" t="s">
        <v>574</v>
      </c>
      <c r="E1003" s="323"/>
      <c r="F1003" s="323"/>
      <c r="G1003" s="323"/>
      <c r="H1003" s="323"/>
      <c r="I1003" s="323"/>
      <c r="J1003" s="323"/>
      <c r="K1003" s="323"/>
      <c r="L1003" s="323"/>
      <c r="M1003" s="323"/>
      <c r="N1003" s="323"/>
      <c r="O1003" s="323"/>
      <c r="P1003" s="323"/>
      <c r="Q1003" s="323"/>
      <c r="R1003" s="323"/>
      <c r="S1003" s="323"/>
      <c r="T1003" s="323"/>
      <c r="U1003" s="323"/>
      <c r="V1003" s="323"/>
      <c r="W1003" s="323"/>
      <c r="X1003" s="323"/>
      <c r="Y1003" s="323"/>
      <c r="Z1003" s="323"/>
      <c r="AA1003" s="323"/>
      <c r="AB1003" s="323"/>
      <c r="AC1003" s="323"/>
      <c r="AD1003" s="323"/>
      <c r="AE1003" s="323"/>
      <c r="AF1003" s="323"/>
      <c r="AG1003" s="323"/>
      <c r="AH1003" s="323"/>
      <c r="AI1003" s="323"/>
      <c r="AJ1003" s="323"/>
      <c r="AK1003" s="323"/>
      <c r="AL1003" s="323"/>
      <c r="AM1003" s="323"/>
      <c r="AN1003" s="323"/>
      <c r="AO1003" s="323"/>
      <c r="AP1003" s="323"/>
      <c r="AQ1003" s="323"/>
      <c r="AR1003" s="323"/>
      <c r="AS1003" s="323"/>
      <c r="AT1003" s="323"/>
      <c r="AU1003" s="323"/>
      <c r="AV1003" s="323"/>
      <c r="AW1003" s="323"/>
      <c r="AX1003" s="323"/>
      <c r="AY1003" s="323"/>
      <c r="AZ1003" s="323"/>
      <c r="BA1003" s="323"/>
      <c r="BB1003" s="323"/>
      <c r="BC1003" s="323"/>
      <c r="BD1003" s="323"/>
      <c r="BE1003" s="323"/>
      <c r="BF1003" s="323"/>
      <c r="BG1003" s="323"/>
      <c r="BH1003" s="323"/>
      <c r="BI1003" s="323"/>
      <c r="BJ1003" s="323"/>
      <c r="BK1003" s="323"/>
      <c r="BL1003" s="323"/>
      <c r="BM1003" s="323"/>
      <c r="BN1003" s="323"/>
      <c r="BO1003" s="323"/>
      <c r="BP1003" s="323"/>
      <c r="BQ1003" s="323"/>
      <c r="BR1003" s="323"/>
      <c r="BS1003" s="323"/>
      <c r="BT1003" s="323"/>
      <c r="BU1003" s="323"/>
      <c r="BV1003" s="323"/>
      <c r="BW1003" s="323"/>
      <c r="BX1003" s="323"/>
      <c r="BY1003" s="323"/>
      <c r="BZ1003" s="323"/>
      <c r="CA1003" s="323"/>
      <c r="CB1003" s="323"/>
      <c r="CC1003" s="323"/>
      <c r="CD1003" s="329">
        <f>SUM(CD1004:CD1005)</f>
        <v>0</v>
      </c>
      <c r="CE1003" s="323">
        <f t="shared" ref="CE1003:EP1003" si="2087">SUM(CE1004:CE1005)</f>
        <v>-7.6275000000000261</v>
      </c>
      <c r="CF1003" s="323">
        <f t="shared" si="2087"/>
        <v>-11.176000000000002</v>
      </c>
      <c r="CG1003" s="323">
        <f t="shared" si="2087"/>
        <v>6.1718000000000011</v>
      </c>
      <c r="CH1003" s="323">
        <f t="shared" si="2087"/>
        <v>-12.2028</v>
      </c>
      <c r="CI1003" s="323">
        <f t="shared" si="2087"/>
        <v>-3.7353000000000023</v>
      </c>
      <c r="CJ1003" s="323">
        <f t="shared" si="2087"/>
        <v>-3.6592999999999982</v>
      </c>
      <c r="CK1003" s="323">
        <f t="shared" si="2087"/>
        <v>1.0833999999999993</v>
      </c>
      <c r="CL1003" s="323">
        <f t="shared" si="2087"/>
        <v>6.5064000000000011</v>
      </c>
      <c r="CM1003" s="323">
        <f t="shared" si="2087"/>
        <v>-3.5635999999999992</v>
      </c>
      <c r="CN1003" s="323">
        <f t="shared" si="2087"/>
        <v>0</v>
      </c>
      <c r="CO1003" s="323">
        <f t="shared" si="2087"/>
        <v>15.234399999999999</v>
      </c>
      <c r="CP1003" s="325">
        <f t="shared" si="2087"/>
        <v>1.3146000000000004</v>
      </c>
      <c r="CQ1003" s="323">
        <f t="shared" si="2087"/>
        <v>0.67939999999999934</v>
      </c>
      <c r="CR1003" s="323">
        <f t="shared" si="2087"/>
        <v>8.2294999999999998</v>
      </c>
      <c r="CS1003" s="323">
        <f t="shared" si="2087"/>
        <v>-1.2789000000000001</v>
      </c>
      <c r="CT1003" s="323">
        <f t="shared" si="2087"/>
        <v>4.2790999999999997</v>
      </c>
      <c r="CU1003" s="323">
        <f t="shared" si="2087"/>
        <v>7.084100000000003</v>
      </c>
      <c r="CV1003" s="323">
        <f t="shared" si="2087"/>
        <v>-0.96609999999999907</v>
      </c>
      <c r="CW1003" s="323">
        <f t="shared" si="2087"/>
        <v>-1.9590000000000014</v>
      </c>
      <c r="CX1003" s="323">
        <f t="shared" si="2087"/>
        <v>7.7061999999999991</v>
      </c>
      <c r="CY1003" s="323">
        <f t="shared" si="2087"/>
        <v>2.2999999999999687E-2</v>
      </c>
      <c r="CZ1003" s="323">
        <f t="shared" si="2087"/>
        <v>0</v>
      </c>
      <c r="DA1003" s="323">
        <f t="shared" si="2087"/>
        <v>7.8123999999999985</v>
      </c>
      <c r="DB1003" s="1269">
        <f t="shared" si="2087"/>
        <v>-0.70199999999999996</v>
      </c>
      <c r="DC1003" s="323">
        <f t="shared" si="2087"/>
        <v>-3.5155000000000003</v>
      </c>
      <c r="DD1003" s="323">
        <f t="shared" si="2087"/>
        <v>5.4028999999999998</v>
      </c>
      <c r="DE1003" s="323">
        <f t="shared" si="2087"/>
        <v>-0.78050000000000042</v>
      </c>
      <c r="DF1003" s="323">
        <f t="shared" si="2087"/>
        <v>-0.14899999999999958</v>
      </c>
      <c r="DG1003" s="323">
        <f t="shared" si="2087"/>
        <v>11.350300000000004</v>
      </c>
      <c r="DH1003" s="323">
        <f t="shared" si="2087"/>
        <v>4.4945000000000004</v>
      </c>
      <c r="DI1003" s="323">
        <f t="shared" si="2087"/>
        <v>6.2279999999999998</v>
      </c>
      <c r="DJ1003" s="323">
        <f t="shared" si="2087"/>
        <v>8.7312999999999832</v>
      </c>
      <c r="DK1003" s="323">
        <f t="shared" si="2087"/>
        <v>0.28000000000000114</v>
      </c>
      <c r="DL1003" s="323">
        <f t="shared" si="2087"/>
        <v>12.278500000000001</v>
      </c>
      <c r="DM1003" s="323">
        <f t="shared" si="2087"/>
        <v>8.0632999999999981</v>
      </c>
      <c r="DN1003" s="325">
        <f t="shared" si="2087"/>
        <v>6.8730000000000011</v>
      </c>
      <c r="DO1003" s="323">
        <f t="shared" si="2087"/>
        <v>3.6617103065779091</v>
      </c>
      <c r="DP1003" s="323">
        <f t="shared" si="2087"/>
        <v>21.870700000000014</v>
      </c>
      <c r="DQ1003" s="323">
        <f t="shared" si="2087"/>
        <v>6.6839999999999975</v>
      </c>
      <c r="DR1003" s="323">
        <f t="shared" si="2087"/>
        <v>7.9417000000000044</v>
      </c>
      <c r="DS1003" s="323">
        <f t="shared" si="2087"/>
        <v>9.3489336149999929</v>
      </c>
      <c r="DT1003" s="323">
        <f t="shared" si="2087"/>
        <v>-4.9627999999999943</v>
      </c>
      <c r="DU1003" s="323">
        <f t="shared" si="2087"/>
        <v>7.5042560784220953</v>
      </c>
      <c r="DV1003" s="323">
        <f t="shared" si="2087"/>
        <v>6.5172000000000025</v>
      </c>
      <c r="DW1003" s="323">
        <f t="shared" si="2087"/>
        <v>-3.2092999999999989</v>
      </c>
      <c r="DX1003" s="323">
        <f t="shared" si="2087"/>
        <v>2.0746999999999929</v>
      </c>
      <c r="DY1003" s="323">
        <f t="shared" si="2087"/>
        <v>6.9359000000000037</v>
      </c>
      <c r="DZ1003" s="325">
        <f t="shared" si="2087"/>
        <v>-5.6304999999999978</v>
      </c>
      <c r="EA1003" s="323">
        <f t="shared" si="2087"/>
        <v>-12.827800000000011</v>
      </c>
      <c r="EB1003" s="323">
        <f t="shared" si="2087"/>
        <v>1.6322000000000045</v>
      </c>
      <c r="EC1003" s="323">
        <f t="shared" si="2087"/>
        <v>-4.6678439215778269</v>
      </c>
      <c r="ED1003" s="323">
        <f t="shared" si="2087"/>
        <v>-3.5057000000000045</v>
      </c>
      <c r="EE1003" s="323">
        <f t="shared" si="2087"/>
        <v>2.8764000000000181</v>
      </c>
      <c r="EF1003" s="323">
        <f t="shared" si="2087"/>
        <v>3.8395999999999972</v>
      </c>
      <c r="EG1003" s="323">
        <f t="shared" si="2087"/>
        <v>11.035299999999873</v>
      </c>
      <c r="EH1003" s="323">
        <f t="shared" si="2087"/>
        <v>-13.457299999999982</v>
      </c>
      <c r="EI1003" s="323">
        <f t="shared" si="2087"/>
        <v>0.52939999999999543</v>
      </c>
      <c r="EJ1003" s="323">
        <f t="shared" si="2087"/>
        <v>21.618200000000016</v>
      </c>
      <c r="EK1003" s="323">
        <f t="shared" si="2087"/>
        <v>-0.34890000000001464</v>
      </c>
      <c r="EL1003" s="325">
        <f t="shared" si="2087"/>
        <v>16.528800000000004</v>
      </c>
      <c r="EM1003" s="323">
        <f t="shared" si="2087"/>
        <v>1.6792999999999836</v>
      </c>
      <c r="EN1003" s="323">
        <f t="shared" si="2087"/>
        <v>-0.32800000000001006</v>
      </c>
      <c r="EO1003" s="323">
        <f t="shared" si="2087"/>
        <v>12.944899999999954</v>
      </c>
      <c r="EP1003" s="323">
        <f t="shared" si="2087"/>
        <v>17.377200000000016</v>
      </c>
      <c r="EQ1003" s="323">
        <f t="shared" ref="EQ1003:FV1003" si="2088">SUM(EQ1004:EQ1005)</f>
        <v>11.975800000000035</v>
      </c>
      <c r="ER1003" s="323">
        <f t="shared" si="2088"/>
        <v>20.035399999999996</v>
      </c>
      <c r="ES1003" s="323">
        <f t="shared" si="2088"/>
        <v>-3.6547000000000054</v>
      </c>
      <c r="ET1003" s="323">
        <f t="shared" si="2088"/>
        <v>19.686799999999991</v>
      </c>
      <c r="EU1003" s="323">
        <f t="shared" si="2088"/>
        <v>-1.7055000000000007</v>
      </c>
      <c r="EV1003" s="323">
        <f t="shared" si="2088"/>
        <v>-3.300699999999992</v>
      </c>
      <c r="EW1003" s="323">
        <f t="shared" si="2088"/>
        <v>12.770600000000016</v>
      </c>
      <c r="EX1003" s="325">
        <f t="shared" si="2088"/>
        <v>27.936399999999992</v>
      </c>
      <c r="EY1003" s="323">
        <f t="shared" si="2088"/>
        <v>13.879200000000012</v>
      </c>
      <c r="EZ1003" s="323">
        <f t="shared" si="2088"/>
        <v>-5.6144000000000176</v>
      </c>
      <c r="FA1003" s="323">
        <f t="shared" si="2088"/>
        <v>9.9093999999999909</v>
      </c>
      <c r="FB1003" s="323">
        <f t="shared" si="2088"/>
        <v>0.69249999999998124</v>
      </c>
      <c r="FC1003" s="323">
        <f t="shared" si="2088"/>
        <v>-9.7070000000000221</v>
      </c>
      <c r="FD1003" s="323">
        <f t="shared" si="2088"/>
        <v>-3.9325999999999937</v>
      </c>
      <c r="FE1003" s="323">
        <f t="shared" si="2088"/>
        <v>39.16020000000001</v>
      </c>
      <c r="FF1003" s="323">
        <f t="shared" si="2088"/>
        <v>-3.0993000000000066</v>
      </c>
      <c r="FG1003" s="323">
        <f t="shared" si="2088"/>
        <v>18.474500000000035</v>
      </c>
      <c r="FH1003" s="323">
        <f t="shared" si="2088"/>
        <v>8.5879999999999797</v>
      </c>
      <c r="FI1003" s="323">
        <f t="shared" si="2088"/>
        <v>2.4092999999999947</v>
      </c>
      <c r="FJ1003" s="325">
        <f t="shared" si="2088"/>
        <v>19.350900000000031</v>
      </c>
      <c r="FK1003" s="323">
        <f t="shared" si="2088"/>
        <v>22.809299999999979</v>
      </c>
      <c r="FL1003" s="323">
        <f t="shared" si="2088"/>
        <v>14.455799999999996</v>
      </c>
      <c r="FM1003" s="323">
        <f t="shared" si="2088"/>
        <v>25.796899999999994</v>
      </c>
      <c r="FN1003" s="323">
        <f t="shared" si="2088"/>
        <v>18.818699999999978</v>
      </c>
      <c r="FO1003" s="323">
        <f>SUM(FO1004:FO1005)</f>
        <v>14.751899999999992</v>
      </c>
      <c r="FP1003" s="323">
        <f t="shared" si="2088"/>
        <v>0.94660000000000366</v>
      </c>
      <c r="FQ1003" s="323">
        <f t="shared" si="2088"/>
        <v>12.66449999999999</v>
      </c>
      <c r="FR1003" s="323">
        <f t="shared" si="2088"/>
        <v>13.816699999999955</v>
      </c>
      <c r="FS1003" s="323">
        <f t="shared" si="2088"/>
        <v>19.686500000000024</v>
      </c>
      <c r="FT1003" s="323">
        <f t="shared" si="2088"/>
        <v>3.6729999999999876</v>
      </c>
      <c r="FU1003" s="323">
        <f t="shared" si="2088"/>
        <v>12.884804999999986</v>
      </c>
      <c r="FV1003" s="323">
        <f t="shared" si="2088"/>
        <v>-6.0297949999999929</v>
      </c>
      <c r="FW1003" s="323">
        <v>22.060789999999997</v>
      </c>
      <c r="FX1003" s="323">
        <v>-13.458500000000015</v>
      </c>
      <c r="FY1003" s="323">
        <v>10.017799999999994</v>
      </c>
      <c r="FZ1003" s="323">
        <v>13.110900000000029</v>
      </c>
      <c r="GA1003" s="323">
        <v>-15.073599999999999</v>
      </c>
      <c r="GB1003" s="323">
        <v>15.330699999999993</v>
      </c>
      <c r="GC1003" s="323">
        <v>4.5091999999999359</v>
      </c>
      <c r="GD1003" s="323">
        <v>5.5069999999999908</v>
      </c>
      <c r="GE1003" s="323">
        <v>-13.998799999999989</v>
      </c>
      <c r="GF1003" s="323">
        <v>-12.608500000000021</v>
      </c>
      <c r="GG1003" s="323">
        <v>6.0000000000000142</v>
      </c>
      <c r="GH1003" s="323">
        <v>6.0100000000000051</v>
      </c>
      <c r="GI1003" s="1654">
        <f>GI1004+GI1005</f>
        <v>5.9120000000000363</v>
      </c>
      <c r="GJ1003" s="1654">
        <f t="shared" ref="GJ1003:HR1003" si="2089">GJ1004+GJ1005</f>
        <v>17.580000000000013</v>
      </c>
      <c r="GK1003" s="1654">
        <f t="shared" si="2089"/>
        <v>1.0299999999999763</v>
      </c>
      <c r="GL1003" s="1654">
        <f t="shared" si="2089"/>
        <v>24.131734999999985</v>
      </c>
      <c r="GM1003" s="1654">
        <f t="shared" si="2089"/>
        <v>54.963300000000032</v>
      </c>
      <c r="GN1003" s="1654">
        <f t="shared" si="2089"/>
        <v>63.719999999999885</v>
      </c>
      <c r="GO1003" s="1654">
        <f t="shared" si="2089"/>
        <v>-14.48889999999993</v>
      </c>
      <c r="GP1003" s="1654">
        <f t="shared" si="2089"/>
        <v>26.632199999999969</v>
      </c>
      <c r="GQ1003" s="1654">
        <f t="shared" si="2089"/>
        <v>-0.12430000000007624</v>
      </c>
      <c r="GR1003" s="1654">
        <f t="shared" si="2089"/>
        <v>24.678400000000138</v>
      </c>
      <c r="GS1003" s="1654">
        <f t="shared" si="2089"/>
        <v>17.604700000000051</v>
      </c>
      <c r="GT1003" s="1654">
        <f t="shared" si="2089"/>
        <v>30.78749999999998</v>
      </c>
      <c r="GU1003" s="1654">
        <f t="shared" si="2089"/>
        <v>12.243564999999926</v>
      </c>
      <c r="GV1003" s="1654">
        <f t="shared" si="2089"/>
        <v>23.774435000000089</v>
      </c>
      <c r="GW1003" s="1654">
        <f t="shared" si="2089"/>
        <v>3.4609649999999732</v>
      </c>
      <c r="GX1003" s="1654">
        <f t="shared" si="2089"/>
        <v>22.491935000000012</v>
      </c>
      <c r="GY1003" s="1654">
        <f t="shared" si="2089"/>
        <v>33.612199999999916</v>
      </c>
      <c r="GZ1003" s="1654">
        <f t="shared" si="2089"/>
        <v>13.394900000000078</v>
      </c>
      <c r="HA1003" s="1654">
        <f t="shared" si="2089"/>
        <v>26.643200000000007</v>
      </c>
      <c r="HB1003" s="1654">
        <f t="shared" si="2089"/>
        <v>36.767799999999994</v>
      </c>
      <c r="HC1003" s="1654">
        <f t="shared" si="2089"/>
        <v>-2.7194999999999965</v>
      </c>
      <c r="HD1003" s="1654">
        <f t="shared" si="2089"/>
        <v>8.1881999999999948</v>
      </c>
      <c r="HE1003" s="1654">
        <f t="shared" si="2089"/>
        <v>-58.994699999999995</v>
      </c>
      <c r="HF1003" s="1654">
        <f t="shared" si="2089"/>
        <v>-0.11299999999998533</v>
      </c>
      <c r="HG1003" s="1654">
        <f t="shared" si="2089"/>
        <v>0.83439999999997383</v>
      </c>
      <c r="HH1003" s="1654">
        <f t="shared" si="2089"/>
        <v>14.78799999999994</v>
      </c>
      <c r="HI1003" s="1654">
        <f t="shared" si="2089"/>
        <v>23.213300000000032</v>
      </c>
      <c r="HJ1003" s="1654">
        <f t="shared" si="2089"/>
        <v>26.975999999999999</v>
      </c>
      <c r="HK1003" s="1654">
        <f t="shared" si="2089"/>
        <v>-11.04510000000009</v>
      </c>
      <c r="HL1003" s="1654">
        <f t="shared" si="2089"/>
        <v>56.361500000000049</v>
      </c>
      <c r="HM1003" s="1654">
        <f t="shared" si="2089"/>
        <v>-12.983999999999924</v>
      </c>
      <c r="HN1003" s="1654">
        <f t="shared" si="2089"/>
        <v>-34.913399999999996</v>
      </c>
      <c r="HO1003" s="1654">
        <f t="shared" si="2089"/>
        <v>2.0132999999999157</v>
      </c>
      <c r="HP1003" s="1654">
        <f t="shared" si="2089"/>
        <v>-1.4847000000000001</v>
      </c>
      <c r="HQ1003" s="1654">
        <f t="shared" si="2089"/>
        <v>3.1086000000000729</v>
      </c>
      <c r="HR1003" s="1654">
        <f t="shared" si="2089"/>
        <v>17.465399999999967</v>
      </c>
      <c r="HS1003" s="1654">
        <f t="shared" ref="HS1003:HX1003" si="2090">HS1004+HS1005</f>
        <v>4.0704999999999352</v>
      </c>
      <c r="HT1003" s="1654">
        <f t="shared" si="2090"/>
        <v>26.521700000000184</v>
      </c>
      <c r="HU1003" s="1654">
        <f t="shared" si="2090"/>
        <v>19.016000000000002</v>
      </c>
      <c r="HV1003" s="1654">
        <f t="shared" si="2090"/>
        <v>41.747299999999882</v>
      </c>
      <c r="HW1003" s="1654">
        <f t="shared" si="2090"/>
        <v>9.1755000000000209</v>
      </c>
      <c r="HX1003" s="1654">
        <f t="shared" si="2090"/>
        <v>49.171899999999894</v>
      </c>
      <c r="HY1003" s="1654"/>
      <c r="HZ1003" s="326"/>
      <c r="IA1003" s="335" t="s">
        <v>574</v>
      </c>
      <c r="IB1003" s="284">
        <f>SUM(CE1003:CJ1003)</f>
        <v>-32.229100000000031</v>
      </c>
      <c r="IC1003" s="279">
        <f>SUM(CK1003:CP1003)</f>
        <v>20.575200000000002</v>
      </c>
      <c r="ID1003" s="323">
        <f>IB1003+IC1003</f>
        <v>-11.653900000000029</v>
      </c>
      <c r="IE1003" s="279">
        <f>SUM(CQ1003:CV1003)</f>
        <v>18.027100000000004</v>
      </c>
      <c r="IF1003" s="279">
        <f>SUM(CW1003:DB1003)</f>
        <v>12.880599999999996</v>
      </c>
      <c r="IG1003" s="323">
        <f>IE1003+IF1003</f>
        <v>30.907699999999998</v>
      </c>
      <c r="IH1003" s="284">
        <f>SUM(DC1003:DH1003)</f>
        <v>16.802700000000002</v>
      </c>
      <c r="II1003" s="279">
        <f>SUM(DI1003:DN1003)</f>
        <v>42.454099999999983</v>
      </c>
      <c r="IJ1003" s="323">
        <f>IH1003+II1003</f>
        <v>59.256799999999984</v>
      </c>
      <c r="IK1003" s="327">
        <f>SUM(DO1003:DT1003)</f>
        <v>44.544243921577923</v>
      </c>
      <c r="IL1003" s="279">
        <f>SUM(DU1003:DZ1003)</f>
        <v>14.192256078422098</v>
      </c>
      <c r="IM1003" s="323">
        <f>IK1003+IL1003</f>
        <v>58.736500000000021</v>
      </c>
      <c r="IN1003" s="279">
        <f>SUM(EA1003:EF1003)</f>
        <v>-12.653143921577822</v>
      </c>
      <c r="IO1003" s="279">
        <f>SUM(EG1003:EL1003)</f>
        <v>35.90549999999989</v>
      </c>
      <c r="IP1003" s="323">
        <f>IN1003+IO1003</f>
        <v>23.252356078422068</v>
      </c>
      <c r="IQ1003" s="327">
        <f>SUM(EM1003:ER1003)</f>
        <v>63.684599999999975</v>
      </c>
      <c r="IR1003" s="327">
        <f>SUM(ES1003:EX1003)</f>
        <v>51.732900000000001</v>
      </c>
      <c r="IS1003" s="323">
        <f>IQ1003+IR1003</f>
        <v>115.41749999999998</v>
      </c>
      <c r="IT1003" s="327">
        <f>SUM(EY1003:FD1003)</f>
        <v>5.2270999999999503</v>
      </c>
      <c r="IU1003" s="327">
        <f>SUM(FE1003:FJ1003)</f>
        <v>84.88360000000003</v>
      </c>
      <c r="IV1003" s="323">
        <f t="shared" si="2059"/>
        <v>90.11069999999998</v>
      </c>
      <c r="IW1003" s="327">
        <f t="shared" ref="IW1003:IW1019" si="2091">SUM(FK1003:FP1003)</f>
        <v>97.579199999999943</v>
      </c>
      <c r="IX1003" s="327">
        <f t="shared" ref="IX1003:IX1018" si="2092">SUM(FQ1003:FV1003)</f>
        <v>56.695709999999949</v>
      </c>
      <c r="IY1003" s="323">
        <f t="shared" si="2005"/>
        <v>154.27490999999989</v>
      </c>
      <c r="IZ1003" s="327">
        <f t="shared" si="2018"/>
        <v>31.98809</v>
      </c>
      <c r="JA1003" s="327">
        <f t="shared" si="2019"/>
        <v>-4.5811000000000632</v>
      </c>
      <c r="JB1003" s="323">
        <f t="shared" si="2036"/>
        <v>27.406989999999936</v>
      </c>
      <c r="JC1003" s="327">
        <f t="shared" si="2020"/>
        <v>167.33703499999993</v>
      </c>
      <c r="JD1003" s="327">
        <f t="shared" si="2021"/>
        <v>85.089600000000132</v>
      </c>
      <c r="JE1003" s="323">
        <f t="shared" si="1945"/>
        <v>252.42663500000006</v>
      </c>
      <c r="JF1003" s="327">
        <f>(JF1004+JF1005)</f>
        <v>108.97799999999999</v>
      </c>
      <c r="JG1003" s="327">
        <f>(JG1004+JG1005)</f>
        <v>9.7720000000000198</v>
      </c>
      <c r="JH1003" s="323">
        <f t="shared" si="1944"/>
        <v>118.75000000000001</v>
      </c>
      <c r="JI1003" s="327">
        <f t="shared" si="1993"/>
        <v>111.1280999999999</v>
      </c>
      <c r="JJ1003" s="279">
        <f t="shared" si="2035"/>
        <v>-26.794799999999967</v>
      </c>
      <c r="JK1003" s="323">
        <f t="shared" si="1933"/>
        <v>84.333299999999937</v>
      </c>
      <c r="JL1003" s="1407">
        <f t="shared" si="1946"/>
        <v>149.70289999999994</v>
      </c>
      <c r="JM1003" s="279">
        <f t="shared" si="2062"/>
        <v>35.210200994384309</v>
      </c>
      <c r="JN1003" s="323">
        <f>FISC!AK1329</f>
        <v>184.91310099438425</v>
      </c>
      <c r="JO1003" s="1407">
        <f>(JO1004+JO1005)</f>
        <v>111.92264843573119</v>
      </c>
      <c r="JP1003" s="279">
        <f>JQ1003-JO1003</f>
        <v>111.92264843573116</v>
      </c>
      <c r="JQ1003" s="323">
        <f>FISC!AL1329</f>
        <v>223.84529687146235</v>
      </c>
      <c r="JR1003" s="1407">
        <f>(JR1004+JR1005)</f>
        <v>158.19734112527337</v>
      </c>
      <c r="JS1003" s="279">
        <f>JT1003-JR1003</f>
        <v>158.19734112527337</v>
      </c>
      <c r="JT1003" s="323">
        <f>FISC!AM1329</f>
        <v>316.39468225054674</v>
      </c>
      <c r="JU1003" s="1407">
        <f>(JU1004+JU1005)</f>
        <v>102.26351653199875</v>
      </c>
      <c r="JV1003" s="279">
        <f>JW1003-JU1003</f>
        <v>102.26351653199872</v>
      </c>
      <c r="JW1003" s="323">
        <f>FISC!AN1329</f>
        <v>204.52703306399746</v>
      </c>
      <c r="JX1003" s="1407">
        <f>(JX1004+JX1005)</f>
        <v>201.06320613735073</v>
      </c>
      <c r="JY1003" s="279">
        <f>JZ1003-JX1003</f>
        <v>201.06320613735073</v>
      </c>
      <c r="JZ1003" s="323">
        <f>FISC!AO1329</f>
        <v>402.12641227470147</v>
      </c>
      <c r="KA1003" s="1407">
        <f>(KA1004+KA1005)</f>
        <v>185.43525915347212</v>
      </c>
      <c r="KB1003" s="279">
        <f>KC1003-KA1003</f>
        <v>185.43525915347212</v>
      </c>
      <c r="KC1003" s="323">
        <f>FISC!AP1329</f>
        <v>370.87051830694423</v>
      </c>
      <c r="KD1003" s="1407">
        <f>(KD1004+KD1005)</f>
        <v>653.62517881506756</v>
      </c>
      <c r="KE1003" s="279">
        <f>KF1003-KD1003</f>
        <v>653.62517881506756</v>
      </c>
      <c r="KF1003" s="323">
        <f>FISC!AQ1329</f>
        <v>1307.2503576301351</v>
      </c>
      <c r="KG1003" s="1407">
        <f>(KG1004+KG1005)</f>
        <v>472.73343540630788</v>
      </c>
      <c r="KH1003" s="279">
        <f>KI1003-KG1003</f>
        <v>472.73343540630788</v>
      </c>
      <c r="KI1003" s="323">
        <f>FISC!AR1329</f>
        <v>945.46687081261575</v>
      </c>
      <c r="KJ1003" s="1407">
        <f>(KJ1004+KJ1005)</f>
        <v>651.546416188889</v>
      </c>
      <c r="KK1003" s="279">
        <f>KL1003-KJ1003</f>
        <v>651.546416188889</v>
      </c>
      <c r="KL1003" s="323">
        <f>FISC!AS1329</f>
        <v>1303.092832377778</v>
      </c>
      <c r="KM1003" s="1407">
        <f>(KM1004+KM1005)</f>
        <v>865.290328328854</v>
      </c>
      <c r="KN1003" s="279">
        <f>KO1003-KM1003</f>
        <v>865.290328328854</v>
      </c>
      <c r="KO1003" s="323">
        <f>FISC!AT1329</f>
        <v>1730.580656657708</v>
      </c>
      <c r="KU1003" s="326"/>
      <c r="KV1003" s="327"/>
      <c r="KY1003" s="279">
        <f>SUM(KY1004:KY1005)</f>
        <v>0</v>
      </c>
      <c r="KZ1003" s="279">
        <f>SUM(KZ1004:KZ1005)</f>
        <v>0</v>
      </c>
      <c r="LA1003" s="279">
        <f>SUM(LA1004:LA1005)</f>
        <v>0</v>
      </c>
      <c r="LB1003" s="279">
        <f>SUM(LB1004:LB1005)</f>
        <v>0</v>
      </c>
    </row>
    <row r="1004" spans="1:314">
      <c r="A1004" s="279"/>
      <c r="B1004" s="96" t="s">
        <v>338</v>
      </c>
      <c r="D1004" s="337" t="s">
        <v>572</v>
      </c>
      <c r="E1004" s="323"/>
      <c r="F1004" s="323"/>
      <c r="G1004" s="323"/>
      <c r="H1004" s="323"/>
      <c r="I1004" s="323"/>
      <c r="J1004" s="323"/>
      <c r="K1004" s="323"/>
      <c r="L1004" s="323"/>
      <c r="M1004" s="323"/>
      <c r="N1004" s="323"/>
      <c r="O1004" s="323"/>
      <c r="P1004" s="323"/>
      <c r="Q1004" s="323"/>
      <c r="R1004" s="323"/>
      <c r="S1004" s="323"/>
      <c r="T1004" s="323"/>
      <c r="U1004" s="323"/>
      <c r="V1004" s="323"/>
      <c r="W1004" s="323"/>
      <c r="X1004" s="323"/>
      <c r="Y1004" s="323"/>
      <c r="Z1004" s="323"/>
      <c r="AA1004" s="323"/>
      <c r="AB1004" s="323"/>
      <c r="AC1004" s="323"/>
      <c r="AD1004" s="323"/>
      <c r="AE1004" s="323"/>
      <c r="AF1004" s="323"/>
      <c r="AG1004" s="323"/>
      <c r="AH1004" s="323"/>
      <c r="AI1004" s="323"/>
      <c r="AJ1004" s="323"/>
      <c r="AK1004" s="323"/>
      <c r="AL1004" s="323"/>
      <c r="AM1004" s="323"/>
      <c r="AN1004" s="323"/>
      <c r="AO1004" s="323"/>
      <c r="AP1004" s="323"/>
      <c r="AQ1004" s="323"/>
      <c r="AR1004" s="323"/>
      <c r="AS1004" s="323"/>
      <c r="AT1004" s="323"/>
      <c r="AU1004" s="323"/>
      <c r="AV1004" s="323"/>
      <c r="AW1004" s="323"/>
      <c r="AX1004" s="323"/>
      <c r="AY1004" s="323"/>
      <c r="AZ1004" s="323"/>
      <c r="BA1004" s="323"/>
      <c r="BB1004" s="323"/>
      <c r="BC1004" s="323"/>
      <c r="BD1004" s="323"/>
      <c r="BE1004" s="323"/>
      <c r="BF1004" s="323"/>
      <c r="BG1004" s="323"/>
      <c r="BH1004" s="323"/>
      <c r="BI1004" s="323"/>
      <c r="BJ1004" s="323"/>
      <c r="BK1004" s="323"/>
      <c r="BL1004" s="323"/>
      <c r="BM1004" s="323"/>
      <c r="BN1004" s="323"/>
      <c r="BO1004" s="323"/>
      <c r="BP1004" s="323"/>
      <c r="BQ1004" s="323"/>
      <c r="BR1004" s="323"/>
      <c r="BS1004" s="323"/>
      <c r="BT1004" s="323"/>
      <c r="BU1004" s="323"/>
      <c r="BV1004" s="323"/>
      <c r="BW1004" s="323"/>
      <c r="BX1004" s="323"/>
      <c r="BY1004" s="323"/>
      <c r="BZ1004" s="323"/>
      <c r="CA1004" s="323"/>
      <c r="CB1004" s="323"/>
      <c r="CC1004" s="323"/>
      <c r="CD1004" s="329"/>
      <c r="CE1004" s="323">
        <v>-7.6275000000000261</v>
      </c>
      <c r="CF1004" s="323">
        <v>-11.176000000000002</v>
      </c>
      <c r="CG1004" s="323">
        <v>6.1718000000000011</v>
      </c>
      <c r="CH1004" s="323">
        <v>-12.2028</v>
      </c>
      <c r="CI1004" s="323">
        <v>-3.7353000000000023</v>
      </c>
      <c r="CJ1004" s="323">
        <v>-3.6592999999999982</v>
      </c>
      <c r="CK1004" s="323">
        <v>1.0833999999999993</v>
      </c>
      <c r="CL1004" s="323">
        <v>0.61240000000000094</v>
      </c>
      <c r="CM1004" s="323">
        <v>-3.5635999999999992</v>
      </c>
      <c r="CN1004" s="323">
        <v>0</v>
      </c>
      <c r="CO1004" s="323">
        <v>0.23439999999999905</v>
      </c>
      <c r="CP1004" s="325">
        <v>1.3146000000000004</v>
      </c>
      <c r="CQ1004" s="323">
        <v>0.67939999999999934</v>
      </c>
      <c r="CR1004" s="323">
        <v>-0.84109999999999907</v>
      </c>
      <c r="CS1004" s="323">
        <v>-1.2789000000000001</v>
      </c>
      <c r="CT1004" s="323">
        <v>4.2790999999999997</v>
      </c>
      <c r="CU1004" s="323">
        <v>-0.5730000000000004</v>
      </c>
      <c r="CV1004" s="323">
        <v>-0.96609999999999907</v>
      </c>
      <c r="CW1004" s="323">
        <v>-1.9590000000000014</v>
      </c>
      <c r="CX1004" s="323">
        <v>-8.0999999999999517E-2</v>
      </c>
      <c r="CY1004" s="323">
        <v>2.2999999999999687E-2</v>
      </c>
      <c r="CZ1004" s="323">
        <v>0</v>
      </c>
      <c r="DA1004" s="323">
        <v>-9.5499999999999474E-2</v>
      </c>
      <c r="DB1004" s="1269">
        <v>-0.70199999999999996</v>
      </c>
      <c r="DC1004" s="323">
        <v>-3.5155000000000003</v>
      </c>
      <c r="DD1004" s="323">
        <v>-2.0469999999999997</v>
      </c>
      <c r="DE1004" s="323">
        <v>-0.78050000000000042</v>
      </c>
      <c r="DF1004" s="323">
        <v>-0.14899999999999958</v>
      </c>
      <c r="DG1004" s="323">
        <v>4.8916999999999993</v>
      </c>
      <c r="DH1004" s="323">
        <v>4.4945000000000004</v>
      </c>
      <c r="DI1004" s="323">
        <v>6.2279999999999998</v>
      </c>
      <c r="DJ1004" s="323">
        <v>-0.48649999999999949</v>
      </c>
      <c r="DK1004" s="323">
        <v>0.28000000000000114</v>
      </c>
      <c r="DL1004" s="323">
        <v>12.278500000000001</v>
      </c>
      <c r="DM1004" s="323">
        <v>1.5632999999999981</v>
      </c>
      <c r="DN1004" s="325">
        <v>6.8730000000000011</v>
      </c>
      <c r="DO1004" s="323">
        <v>3.6617103065779091</v>
      </c>
      <c r="DP1004" s="323">
        <v>10.584800000000001</v>
      </c>
      <c r="DQ1004" s="323">
        <v>7.2609000000000066</v>
      </c>
      <c r="DR1004" s="323">
        <v>7.9417000000000044</v>
      </c>
      <c r="DS1004" s="323">
        <v>-2.0110663850000066</v>
      </c>
      <c r="DT1004" s="323">
        <v>-4.9627999999999943</v>
      </c>
      <c r="DU1004" s="323">
        <v>7.5042560784220811</v>
      </c>
      <c r="DV1004" s="323">
        <v>6.0050999999999988</v>
      </c>
      <c r="DW1004" s="323">
        <v>-3.2092999999999989</v>
      </c>
      <c r="DX1004" s="323">
        <v>2.0746999999999929</v>
      </c>
      <c r="DY1004" s="323">
        <v>-2.0640999999999963</v>
      </c>
      <c r="DZ1004" s="325">
        <v>-5.6304999999999978</v>
      </c>
      <c r="EA1004" s="323">
        <v>-12.827799999999996</v>
      </c>
      <c r="EB1004" s="323">
        <v>-4.0705000000000027</v>
      </c>
      <c r="EC1004" s="323">
        <v>-4.6078439215778246</v>
      </c>
      <c r="ED1004" s="323">
        <v>-3.5057000000000045</v>
      </c>
      <c r="EE1004" s="323">
        <v>-4.573599999999999</v>
      </c>
      <c r="EF1004" s="323">
        <v>3.8395999999999972</v>
      </c>
      <c r="EG1004" s="323">
        <v>11.035299999999902</v>
      </c>
      <c r="EH1004" s="323">
        <v>-5.3600999999999956</v>
      </c>
      <c r="EI1004" s="323">
        <v>0.52939999999999543</v>
      </c>
      <c r="EJ1004" s="323">
        <v>21.618200000000016</v>
      </c>
      <c r="EK1004" s="323">
        <v>-7.808700000000016</v>
      </c>
      <c r="EL1004" s="325">
        <v>10.640300000000011</v>
      </c>
      <c r="EM1004" s="323">
        <v>1.6792999999999836</v>
      </c>
      <c r="EN1004" s="323">
        <v>-11.636900000000004</v>
      </c>
      <c r="EO1004" s="323">
        <v>2.6246999999999829</v>
      </c>
      <c r="EP1004" s="323">
        <v>17.377200000000016</v>
      </c>
      <c r="EQ1004" s="323">
        <v>7.4844000000000079</v>
      </c>
      <c r="ER1004" s="323">
        <v>20.035399999999996</v>
      </c>
      <c r="ES1004" s="323">
        <v>-7.7836999999999961</v>
      </c>
      <c r="ET1004" s="323">
        <v>9.7003999999999877</v>
      </c>
      <c r="EU1004" s="323">
        <v>-8.7055000000000007</v>
      </c>
      <c r="EV1004" s="323">
        <v>-3.300699999999992</v>
      </c>
      <c r="EW1004" s="323">
        <v>14.963499999999996</v>
      </c>
      <c r="EX1004" s="325">
        <v>11.352699999999999</v>
      </c>
      <c r="EY1004" s="323">
        <v>-0.92839999999999634</v>
      </c>
      <c r="EZ1004" s="323">
        <v>-5.9579999999999984</v>
      </c>
      <c r="FA1004" s="323">
        <v>-3.156099999999995</v>
      </c>
      <c r="FB1004" s="323">
        <v>-9.8390000000000128</v>
      </c>
      <c r="FC1004" s="323">
        <v>-20.349299999999999</v>
      </c>
      <c r="FD1004" s="323">
        <v>-14.932599999999994</v>
      </c>
      <c r="FE1004" s="323">
        <v>-14.934199999999997</v>
      </c>
      <c r="FF1004" s="323">
        <v>-8.150500000000001</v>
      </c>
      <c r="FG1004" s="323">
        <v>2.1437999999999988</v>
      </c>
      <c r="FH1004" s="323">
        <v>3.0756999999999977</v>
      </c>
      <c r="FI1004" s="323">
        <v>-3.7671000000000063</v>
      </c>
      <c r="FJ1004" s="325">
        <v>9.1927000000000092</v>
      </c>
      <c r="FK1004" s="323">
        <v>15.353899999999982</v>
      </c>
      <c r="FL1004" s="323">
        <v>13.181700000000021</v>
      </c>
      <c r="FM1004" s="323">
        <v>10.048699999999997</v>
      </c>
      <c r="FN1004" s="323">
        <v>4.9787000000000035</v>
      </c>
      <c r="FO1004" s="323">
        <v>4.1436999999999813</v>
      </c>
      <c r="FP1004" s="323">
        <v>-5.1111999999999824</v>
      </c>
      <c r="FQ1004" s="323">
        <v>4.3875000000000028</v>
      </c>
      <c r="FR1004" s="323">
        <v>2.3568999999999818</v>
      </c>
      <c r="FS1004" s="323">
        <v>7.9689000000000192</v>
      </c>
      <c r="FT1004" s="323">
        <v>-7.3748000000000076</v>
      </c>
      <c r="FU1004" s="323">
        <v>0.72920499999999322</v>
      </c>
      <c r="FV1004" s="323">
        <v>-14.930894999999978</v>
      </c>
      <c r="FW1004" s="323">
        <v>9.8042899999999804</v>
      </c>
      <c r="FX1004" s="323">
        <v>-14.656000000000006</v>
      </c>
      <c r="FY1004" s="323">
        <v>-10.971399999999988</v>
      </c>
      <c r="FZ1004" s="323">
        <v>-0.93159999999998888</v>
      </c>
      <c r="GA1004" s="323">
        <v>-13.581200000000024</v>
      </c>
      <c r="GB1004" s="323">
        <v>-0.3545999999999907</v>
      </c>
      <c r="GC1004" s="323">
        <v>0.60159999999999059</v>
      </c>
      <c r="GD1004" s="323">
        <v>-0.47269999999998902</v>
      </c>
      <c r="GE1004" s="323">
        <v>5.9840999999999838</v>
      </c>
      <c r="GF1004" s="323">
        <v>0.38570000000001414</v>
      </c>
      <c r="GG1004" s="323">
        <v>7.000000000000739E-2</v>
      </c>
      <c r="GH1004" s="323">
        <v>-5.2999999999999972</v>
      </c>
      <c r="GI1004" s="1654">
        <v>-8.6200000000000045</v>
      </c>
      <c r="GJ1004" s="1654">
        <v>-16.53</v>
      </c>
      <c r="GK1004" s="1654">
        <v>-16.12</v>
      </c>
      <c r="GL1004" s="1654">
        <v>-4.57</v>
      </c>
      <c r="GM1004" s="1654">
        <v>11.91</v>
      </c>
      <c r="GN1004" s="1654">
        <v>33.72</v>
      </c>
      <c r="GO1004" s="1654">
        <v>-0.95780000000000598</v>
      </c>
      <c r="GP1004" s="1654">
        <v>11.547800000000009</v>
      </c>
      <c r="GQ1004" s="1654">
        <v>-1.4620000000000033</v>
      </c>
      <c r="GR1004" s="1654">
        <v>-0.69650000000000034</v>
      </c>
      <c r="GS1004" s="1654">
        <v>-5.347999999999999</v>
      </c>
      <c r="GT1004" s="1654">
        <v>5.9395999999999987</v>
      </c>
      <c r="GU1004" s="1654">
        <v>-14.348099999999995</v>
      </c>
      <c r="GV1004" s="1654">
        <v>6.7809999999999988</v>
      </c>
      <c r="GW1004" s="1654">
        <v>-6.0390000000000015</v>
      </c>
      <c r="GX1004" s="1654">
        <v>16.087400000000002</v>
      </c>
      <c r="GY1004" s="1654">
        <v>17.144499999999994</v>
      </c>
      <c r="GZ1004" s="1654">
        <v>-9.5404999999999944</v>
      </c>
      <c r="HA1004" s="1654">
        <v>17.643200000000007</v>
      </c>
      <c r="HB1004" s="1654">
        <v>28.767799999999994</v>
      </c>
      <c r="HC1004" s="1654">
        <v>-8.6470000000000056</v>
      </c>
      <c r="HD1004" s="1654">
        <v>1.194500000000005</v>
      </c>
      <c r="HE1004" s="1654">
        <v>-17.262799999999999</v>
      </c>
      <c r="HF1004" s="1654">
        <v>-6.8289999999999935</v>
      </c>
      <c r="HG1004" s="1654">
        <v>-16.92880000000001</v>
      </c>
      <c r="HH1004" s="1654">
        <v>-8.2240000000000038</v>
      </c>
      <c r="HI1004" s="1654">
        <v>5.0712000000000046</v>
      </c>
      <c r="HJ1004" s="1654">
        <v>6.9759999999999991</v>
      </c>
      <c r="HK1004" s="1654">
        <v>-0.54000000000000625</v>
      </c>
      <c r="HL1004" s="1654">
        <v>-2.7152999999999992</v>
      </c>
      <c r="HM1004" s="1654">
        <v>-21.75</v>
      </c>
      <c r="HN1004" s="1654">
        <v>-43.913399999999996</v>
      </c>
      <c r="HO1004" s="1654">
        <v>-2.8710999999999984</v>
      </c>
      <c r="HP1004" s="1654">
        <v>-8.4847000000000001</v>
      </c>
      <c r="HQ1004" s="1654">
        <v>-0.98350000000000026</v>
      </c>
      <c r="HR1004" s="1654">
        <v>-0.68509999999999938</v>
      </c>
      <c r="HS1004" s="1654">
        <v>-1.0149000000000004</v>
      </c>
      <c r="HT1004" s="1654">
        <v>17.517900000000001</v>
      </c>
      <c r="HU1004" s="1654">
        <v>2.0160000000000018</v>
      </c>
      <c r="HV1004" s="1654">
        <v>10.9941</v>
      </c>
      <c r="HW1004" s="1654">
        <v>2.1755999999999958</v>
      </c>
      <c r="HX1004" s="1654">
        <v>5.0383000000000067</v>
      </c>
      <c r="HY1004" s="1654"/>
      <c r="HZ1004" s="326"/>
      <c r="IA1004" s="337" t="s">
        <v>572</v>
      </c>
      <c r="IB1004" s="284">
        <f>SUM(CE1004:CJ1004)</f>
        <v>-32.229100000000031</v>
      </c>
      <c r="IC1004" s="279">
        <f>SUM(CK1004:CP1004)</f>
        <v>-0.31879999999999953</v>
      </c>
      <c r="ID1004" s="323">
        <f>IB1004+IC1004</f>
        <v>-32.547900000000027</v>
      </c>
      <c r="IE1004" s="279">
        <f>SUM(CQ1004:CV1004)</f>
        <v>1.2994000000000003</v>
      </c>
      <c r="IF1004" s="279">
        <f>SUM(CW1004:DB1004)</f>
        <v>-2.8145000000000007</v>
      </c>
      <c r="IG1004" s="323">
        <f>IE1004+IF1004</f>
        <v>-1.5151000000000003</v>
      </c>
      <c r="IH1004" s="284">
        <f>SUM(DC1004:DH1004)</f>
        <v>2.8942000000000005</v>
      </c>
      <c r="II1004" s="279">
        <f>SUM(DI1004:DN1004)</f>
        <v>26.736300000000004</v>
      </c>
      <c r="IJ1004" s="323">
        <f>IH1004+II1004</f>
        <v>29.630500000000005</v>
      </c>
      <c r="IK1004" s="327">
        <f>SUM(DO1004:DT1004)</f>
        <v>22.475243921577921</v>
      </c>
      <c r="IL1004" s="279">
        <f>SUM(DU1004:DZ1004)</f>
        <v>4.6801560784220797</v>
      </c>
      <c r="IM1004" s="323">
        <f>IK1004+IL1004</f>
        <v>27.1554</v>
      </c>
      <c r="IN1004" s="279">
        <f>SUM(EA1004:EF1004)</f>
        <v>-25.74584392157783</v>
      </c>
      <c r="IO1004" s="279">
        <f>SUM(EG1004:EL1004)</f>
        <v>30.65439999999991</v>
      </c>
      <c r="IP1004" s="323">
        <f>IN1004+IO1004</f>
        <v>4.9085560784220803</v>
      </c>
      <c r="IQ1004" s="327">
        <f>SUM(EM1004:ER1004)</f>
        <v>37.564099999999982</v>
      </c>
      <c r="IR1004" s="327">
        <f>SUM(ES1004:EX1004)</f>
        <v>16.226699999999994</v>
      </c>
      <c r="IS1004" s="323">
        <f>IQ1004+IR1004</f>
        <v>53.790799999999976</v>
      </c>
      <c r="IT1004" s="327">
        <f>SUM(EY1004:FD1004)</f>
        <v>-55.163399999999996</v>
      </c>
      <c r="IU1004" s="327">
        <f>SUM(FE1004:FJ1004)</f>
        <v>-12.439599999999999</v>
      </c>
      <c r="IV1004" s="323">
        <f t="shared" si="2059"/>
        <v>-67.602999999999994</v>
      </c>
      <c r="IW1004" s="327">
        <f t="shared" si="2091"/>
        <v>42.595500000000001</v>
      </c>
      <c r="IX1004" s="327">
        <f t="shared" si="2092"/>
        <v>-6.8631899999999888</v>
      </c>
      <c r="IY1004" s="323">
        <f t="shared" si="2005"/>
        <v>35.732310000000012</v>
      </c>
      <c r="IZ1004" s="327">
        <f t="shared" si="2018"/>
        <v>-30.690510000000017</v>
      </c>
      <c r="JA1004" s="327">
        <f t="shared" si="2019"/>
        <v>1.2687000000000097</v>
      </c>
      <c r="JB1004" s="323">
        <f t="shared" si="2036"/>
        <v>-29.421810000000008</v>
      </c>
      <c r="JC1004" s="327">
        <f t="shared" si="2020"/>
        <v>-0.21000000000000796</v>
      </c>
      <c r="JD1004" s="327">
        <f t="shared" si="2021"/>
        <v>9.0230999999999995</v>
      </c>
      <c r="JE1004" s="323">
        <f t="shared" si="1945"/>
        <v>8.8130999999999915</v>
      </c>
      <c r="JF1004" s="327">
        <f>SUM(GU1004:GZ1004)</f>
        <v>10.085300000000004</v>
      </c>
      <c r="JG1004" s="327">
        <f t="shared" si="2086"/>
        <v>14.866700000000009</v>
      </c>
      <c r="JH1004" s="323">
        <f t="shared" si="1944"/>
        <v>24.952000000000012</v>
      </c>
      <c r="JI1004" s="327">
        <f t="shared" si="1993"/>
        <v>-16.360900000000015</v>
      </c>
      <c r="JJ1004" s="279">
        <f t="shared" si="2035"/>
        <v>-78.68780000000001</v>
      </c>
      <c r="JK1004" s="323">
        <f t="shared" si="1933"/>
        <v>-95.048700000000025</v>
      </c>
      <c r="JL1004" s="327">
        <f t="shared" si="1946"/>
        <v>36.727000000000004</v>
      </c>
      <c r="JM1004" s="279">
        <f t="shared" si="2062"/>
        <v>-20.870304375892548</v>
      </c>
      <c r="JN1004" s="323">
        <f>FISC!AK1330</f>
        <v>15.856695624107456</v>
      </c>
      <c r="JO1004" s="327">
        <f>JQ1004/2</f>
        <v>9.5976075256196882</v>
      </c>
      <c r="JP1004" s="279">
        <f>JQ1004-JO1004</f>
        <v>9.5976075256196882</v>
      </c>
      <c r="JQ1004" s="323">
        <f>FISC!AL1330</f>
        <v>19.195215051239376</v>
      </c>
      <c r="JR1004" s="327">
        <f>JT1004/2</f>
        <v>13.565761826917491</v>
      </c>
      <c r="JS1004" s="279">
        <f>JT1004-JR1004</f>
        <v>13.565761826917491</v>
      </c>
      <c r="JT1004" s="323">
        <f>FISC!AM1330</f>
        <v>27.131523653834982</v>
      </c>
      <c r="JU1004" s="327">
        <f>JW1004/2</f>
        <v>8.7693162159885638</v>
      </c>
      <c r="JV1004" s="279">
        <f>JW1004-JU1004</f>
        <v>8.7693162159885638</v>
      </c>
      <c r="JW1004" s="323">
        <f>FISC!AN1330</f>
        <v>17.538632431977128</v>
      </c>
      <c r="JX1004" s="327">
        <f>JZ1004/2</f>
        <v>17.241601832332957</v>
      </c>
      <c r="JY1004" s="279">
        <f>JZ1004-JX1004</f>
        <v>17.241601832332957</v>
      </c>
      <c r="JZ1004" s="323">
        <f>FISC!AO1330</f>
        <v>34.483203664665915</v>
      </c>
      <c r="KA1004" s="327">
        <f>KC1004/2</f>
        <v>15.901471807902849</v>
      </c>
      <c r="KB1004" s="279">
        <f>KC1004-KA1004</f>
        <v>15.901471807902849</v>
      </c>
      <c r="KC1004" s="323">
        <f>FISC!AP1330</f>
        <v>31.802943615805699</v>
      </c>
      <c r="KD1004" s="327">
        <f>KF1004/2</f>
        <v>56.04976314273209</v>
      </c>
      <c r="KE1004" s="279">
        <f>KF1004-KD1004</f>
        <v>56.04976314273209</v>
      </c>
      <c r="KF1004" s="323">
        <f>FISC!AQ1330</f>
        <v>112.09952628546418</v>
      </c>
      <c r="KG1004" s="327">
        <f>KI1004/2</f>
        <v>40.537907569913813</v>
      </c>
      <c r="KH1004" s="279">
        <f>KI1004-KG1004</f>
        <v>40.537907569913813</v>
      </c>
      <c r="KI1004" s="323">
        <f>FISC!AR1330</f>
        <v>81.075815139827625</v>
      </c>
      <c r="KJ1004" s="327">
        <f>KL1004/2</f>
        <v>55.871504782124724</v>
      </c>
      <c r="KK1004" s="279">
        <f>KL1004-KJ1004</f>
        <v>55.871504782124724</v>
      </c>
      <c r="KL1004" s="323">
        <f>FISC!AS1330</f>
        <v>111.74300956424945</v>
      </c>
      <c r="KM1004" s="327">
        <f>KO1004/2</f>
        <v>74.20050439374404</v>
      </c>
      <c r="KN1004" s="279">
        <f>KO1004-KM1004</f>
        <v>74.20050439374404</v>
      </c>
      <c r="KO1004" s="323">
        <f>FISC!AT1330</f>
        <v>148.40100878748808</v>
      </c>
      <c r="KU1004" s="326"/>
      <c r="KV1004" s="327"/>
    </row>
    <row r="1005" spans="1:314">
      <c r="A1005" s="279"/>
      <c r="B1005" s="96" t="s">
        <v>338</v>
      </c>
      <c r="D1005" s="337" t="s">
        <v>573</v>
      </c>
      <c r="E1005" s="323"/>
      <c r="F1005" s="323"/>
      <c r="G1005" s="323"/>
      <c r="H1005" s="323"/>
      <c r="I1005" s="323"/>
      <c r="J1005" s="323"/>
      <c r="K1005" s="323"/>
      <c r="L1005" s="323"/>
      <c r="M1005" s="323"/>
      <c r="N1005" s="323"/>
      <c r="O1005" s="323"/>
      <c r="P1005" s="323"/>
      <c r="Q1005" s="323"/>
      <c r="R1005" s="323"/>
      <c r="S1005" s="323"/>
      <c r="T1005" s="323"/>
      <c r="U1005" s="323"/>
      <c r="V1005" s="323"/>
      <c r="W1005" s="323"/>
      <c r="X1005" s="323"/>
      <c r="Y1005" s="323"/>
      <c r="Z1005" s="323"/>
      <c r="AA1005" s="323"/>
      <c r="AB1005" s="323"/>
      <c r="AC1005" s="323"/>
      <c r="AD1005" s="323"/>
      <c r="AE1005" s="323"/>
      <c r="AF1005" s="323"/>
      <c r="AG1005" s="323"/>
      <c r="AH1005" s="323"/>
      <c r="AI1005" s="323"/>
      <c r="AJ1005" s="323"/>
      <c r="AK1005" s="323"/>
      <c r="AL1005" s="323"/>
      <c r="AM1005" s="323"/>
      <c r="AN1005" s="323"/>
      <c r="AO1005" s="323"/>
      <c r="AP1005" s="323"/>
      <c r="AQ1005" s="323"/>
      <c r="AR1005" s="323"/>
      <c r="AS1005" s="323"/>
      <c r="AT1005" s="323"/>
      <c r="AU1005" s="323"/>
      <c r="AV1005" s="323"/>
      <c r="AW1005" s="323"/>
      <c r="AX1005" s="323"/>
      <c r="AY1005" s="323"/>
      <c r="AZ1005" s="323"/>
      <c r="BA1005" s="323"/>
      <c r="BB1005" s="323"/>
      <c r="BC1005" s="323"/>
      <c r="BD1005" s="323"/>
      <c r="BE1005" s="323"/>
      <c r="BF1005" s="323"/>
      <c r="BG1005" s="323"/>
      <c r="BH1005" s="323"/>
      <c r="BI1005" s="323"/>
      <c r="BJ1005" s="323"/>
      <c r="BK1005" s="323"/>
      <c r="BL1005" s="323"/>
      <c r="BM1005" s="323"/>
      <c r="BN1005" s="323"/>
      <c r="BO1005" s="323"/>
      <c r="BP1005" s="323"/>
      <c r="BQ1005" s="323"/>
      <c r="BR1005" s="323"/>
      <c r="BS1005" s="323"/>
      <c r="BT1005" s="323"/>
      <c r="BU1005" s="323"/>
      <c r="BV1005" s="323"/>
      <c r="BW1005" s="323"/>
      <c r="BX1005" s="323"/>
      <c r="BY1005" s="323"/>
      <c r="BZ1005" s="323"/>
      <c r="CA1005" s="323"/>
      <c r="CB1005" s="323"/>
      <c r="CC1005" s="323"/>
      <c r="CD1005" s="329"/>
      <c r="CE1005" s="323">
        <v>0</v>
      </c>
      <c r="CF1005" s="323">
        <v>0</v>
      </c>
      <c r="CG1005" s="323">
        <v>0</v>
      </c>
      <c r="CH1005" s="323">
        <v>0</v>
      </c>
      <c r="CI1005" s="323">
        <v>0</v>
      </c>
      <c r="CJ1005" s="323">
        <v>0</v>
      </c>
      <c r="CK1005" s="323">
        <v>0</v>
      </c>
      <c r="CL1005" s="323">
        <v>5.8940000000000001</v>
      </c>
      <c r="CM1005" s="323">
        <v>0</v>
      </c>
      <c r="CN1005" s="323">
        <v>0</v>
      </c>
      <c r="CO1005" s="323">
        <v>15</v>
      </c>
      <c r="CP1005" s="325">
        <v>0</v>
      </c>
      <c r="CQ1005" s="323">
        <v>0</v>
      </c>
      <c r="CR1005" s="323">
        <v>9.0705999999999989</v>
      </c>
      <c r="CS1005" s="323">
        <v>0</v>
      </c>
      <c r="CT1005" s="323">
        <v>0</v>
      </c>
      <c r="CU1005" s="323">
        <v>7.6571000000000033</v>
      </c>
      <c r="CV1005" s="323">
        <v>0</v>
      </c>
      <c r="CW1005" s="323">
        <v>0</v>
      </c>
      <c r="CX1005" s="323">
        <v>7.7871999999999986</v>
      </c>
      <c r="CY1005" s="323">
        <v>0</v>
      </c>
      <c r="CZ1005" s="323">
        <v>0</v>
      </c>
      <c r="DA1005" s="323">
        <v>7.9078999999999979</v>
      </c>
      <c r="DB1005" s="1269">
        <v>0</v>
      </c>
      <c r="DC1005" s="323">
        <v>0</v>
      </c>
      <c r="DD1005" s="323">
        <v>7.4498999999999995</v>
      </c>
      <c r="DE1005" s="323">
        <v>0</v>
      </c>
      <c r="DF1005" s="323">
        <v>0</v>
      </c>
      <c r="DG1005" s="323">
        <v>6.4586000000000041</v>
      </c>
      <c r="DH1005" s="323">
        <v>0</v>
      </c>
      <c r="DI1005" s="323">
        <v>0</v>
      </c>
      <c r="DJ1005" s="323">
        <v>9.2177999999999827</v>
      </c>
      <c r="DK1005" s="323">
        <v>0</v>
      </c>
      <c r="DL1005" s="323">
        <v>0</v>
      </c>
      <c r="DM1005" s="323">
        <v>6.5</v>
      </c>
      <c r="DN1005" s="325">
        <v>0</v>
      </c>
      <c r="DO1005" s="323">
        <v>0</v>
      </c>
      <c r="DP1005" s="323">
        <v>11.285900000000012</v>
      </c>
      <c r="DQ1005" s="323">
        <v>-0.57690000000000907</v>
      </c>
      <c r="DR1005" s="323">
        <v>0</v>
      </c>
      <c r="DS1005" s="323">
        <v>11.36</v>
      </c>
      <c r="DT1005" s="323">
        <v>0</v>
      </c>
      <c r="DU1005" s="323">
        <v>1.4210854715202004E-14</v>
      </c>
      <c r="DV1005" s="323">
        <v>0.51210000000000377</v>
      </c>
      <c r="DW1005" s="323">
        <v>0</v>
      </c>
      <c r="DX1005" s="323">
        <v>0</v>
      </c>
      <c r="DY1005" s="323">
        <v>9</v>
      </c>
      <c r="DZ1005" s="325">
        <v>0</v>
      </c>
      <c r="EA1005" s="323">
        <v>-1.4210854715202004E-14</v>
      </c>
      <c r="EB1005" s="323">
        <v>5.7027000000000072</v>
      </c>
      <c r="EC1005" s="323">
        <v>-6.0000000000002274E-2</v>
      </c>
      <c r="ED1005" s="323">
        <v>0</v>
      </c>
      <c r="EE1005" s="323">
        <v>7.4500000000000171</v>
      </c>
      <c r="EF1005" s="323">
        <v>0</v>
      </c>
      <c r="EG1005" s="323">
        <v>-2.8421709430404007E-14</v>
      </c>
      <c r="EH1005" s="323">
        <v>-8.0971999999999866</v>
      </c>
      <c r="EI1005" s="323">
        <v>0</v>
      </c>
      <c r="EJ1005" s="323">
        <v>0</v>
      </c>
      <c r="EK1005" s="323">
        <v>7.4598000000000013</v>
      </c>
      <c r="EL1005" s="325">
        <v>5.8884999999999934</v>
      </c>
      <c r="EM1005" s="323">
        <v>0</v>
      </c>
      <c r="EN1005" s="323">
        <v>11.308899999999994</v>
      </c>
      <c r="EO1005" s="323">
        <v>10.320199999999971</v>
      </c>
      <c r="EP1005" s="323">
        <v>0</v>
      </c>
      <c r="EQ1005" s="323">
        <v>4.4914000000000271</v>
      </c>
      <c r="ER1005" s="323">
        <v>0</v>
      </c>
      <c r="ES1005" s="323">
        <v>4.1289999999999907</v>
      </c>
      <c r="ET1005" s="323">
        <v>9.9864000000000033</v>
      </c>
      <c r="EU1005" s="323">
        <v>7</v>
      </c>
      <c r="EV1005" s="323">
        <v>0</v>
      </c>
      <c r="EW1005" s="323">
        <v>-2.1928999999999803</v>
      </c>
      <c r="EX1005" s="325">
        <v>16.583699999999993</v>
      </c>
      <c r="EY1005" s="323">
        <v>14.807600000000008</v>
      </c>
      <c r="EZ1005" s="323">
        <v>0.34359999999998081</v>
      </c>
      <c r="FA1005" s="323">
        <v>13.065499999999986</v>
      </c>
      <c r="FB1005" s="323">
        <v>10.531499999999994</v>
      </c>
      <c r="FC1005" s="323">
        <v>10.642299999999977</v>
      </c>
      <c r="FD1005" s="323">
        <v>11</v>
      </c>
      <c r="FE1005" s="323">
        <v>54.094400000000007</v>
      </c>
      <c r="FF1005" s="323">
        <v>5.0511999999999944</v>
      </c>
      <c r="FG1005" s="323">
        <v>16.330700000000036</v>
      </c>
      <c r="FH1005" s="323">
        <v>5.512299999999982</v>
      </c>
      <c r="FI1005" s="323">
        <v>6.176400000000001</v>
      </c>
      <c r="FJ1005" s="325">
        <v>10.158200000000022</v>
      </c>
      <c r="FK1005" s="323">
        <v>7.4553999999999974</v>
      </c>
      <c r="FL1005" s="323">
        <v>1.2740999999999758</v>
      </c>
      <c r="FM1005" s="323">
        <v>15.748199999999997</v>
      </c>
      <c r="FN1005" s="323">
        <v>13.839999999999975</v>
      </c>
      <c r="FO1005" s="323">
        <v>10.608200000000011</v>
      </c>
      <c r="FP1005" s="323">
        <v>6.0577999999999861</v>
      </c>
      <c r="FQ1005" s="323">
        <v>8.2769999999999868</v>
      </c>
      <c r="FR1005" s="323">
        <v>11.459799999999973</v>
      </c>
      <c r="FS1005" s="323">
        <v>11.717600000000004</v>
      </c>
      <c r="FT1005" s="323">
        <v>11.047799999999995</v>
      </c>
      <c r="FU1005" s="323">
        <v>12.155599999999993</v>
      </c>
      <c r="FV1005" s="323">
        <v>8.9010999999999854</v>
      </c>
      <c r="FW1005" s="323">
        <v>12.256500000000017</v>
      </c>
      <c r="FX1005" s="323">
        <v>1.1974999999999909</v>
      </c>
      <c r="FY1005" s="323">
        <v>20.989199999999983</v>
      </c>
      <c r="FZ1005" s="323">
        <v>14.042500000000018</v>
      </c>
      <c r="GA1005" s="323">
        <v>-1.4923999999999751</v>
      </c>
      <c r="GB1005" s="323">
        <v>15.685299999999984</v>
      </c>
      <c r="GC1005" s="323">
        <v>3.9075999999999453</v>
      </c>
      <c r="GD1005" s="323">
        <v>5.9796999999999798</v>
      </c>
      <c r="GE1005" s="323">
        <v>-19.982899999999972</v>
      </c>
      <c r="GF1005" s="323">
        <v>-12.994200000000035</v>
      </c>
      <c r="GG1005" s="323">
        <v>5.9300000000000068</v>
      </c>
      <c r="GH1005" s="323">
        <v>11.310000000000002</v>
      </c>
      <c r="GI1005" s="1654">
        <v>14.532000000000041</v>
      </c>
      <c r="GJ1005" s="1654">
        <v>34.110000000000014</v>
      </c>
      <c r="GK1005" s="1654">
        <v>17.149999999999977</v>
      </c>
      <c r="GL1005" s="1654">
        <v>28.701734999999985</v>
      </c>
      <c r="GM1005" s="1654">
        <v>43.053300000000036</v>
      </c>
      <c r="GN1005" s="1654">
        <v>29.999999999999886</v>
      </c>
      <c r="GO1005" s="1654">
        <v>-13.531099999999924</v>
      </c>
      <c r="GP1005" s="1654">
        <v>15.08439999999996</v>
      </c>
      <c r="GQ1005" s="1654">
        <v>1.3376999999999271</v>
      </c>
      <c r="GR1005" s="1654">
        <v>25.374900000000139</v>
      </c>
      <c r="GS1005" s="1654">
        <v>22.95270000000005</v>
      </c>
      <c r="GT1005" s="1654">
        <v>24.847899999999981</v>
      </c>
      <c r="GU1005" s="1654">
        <v>26.591664999999921</v>
      </c>
      <c r="GV1005" s="1654">
        <v>16.99343500000009</v>
      </c>
      <c r="GW1005" s="1654">
        <v>9.4999649999999747</v>
      </c>
      <c r="GX1005" s="1654">
        <v>6.4045350000000099</v>
      </c>
      <c r="GY1005" s="1654">
        <v>16.467699999999923</v>
      </c>
      <c r="GZ1005" s="1654">
        <v>22.935400000000072</v>
      </c>
      <c r="HA1005" s="1654">
        <v>9</v>
      </c>
      <c r="HB1005" s="1654">
        <v>8</v>
      </c>
      <c r="HC1005" s="1654">
        <v>5.9275000000000091</v>
      </c>
      <c r="HD1005" s="1654">
        <v>6.9936999999999898</v>
      </c>
      <c r="HE1005" s="1654">
        <v>-41.731899999999996</v>
      </c>
      <c r="HF1005" s="1654">
        <v>6.7160000000000082</v>
      </c>
      <c r="HG1005" s="1654">
        <v>17.763199999999983</v>
      </c>
      <c r="HH1005" s="1654">
        <v>23.011999999999944</v>
      </c>
      <c r="HI1005" s="1654">
        <v>18.142100000000028</v>
      </c>
      <c r="HJ1005" s="1654">
        <v>20</v>
      </c>
      <c r="HK1005" s="1654">
        <v>-10.505100000000084</v>
      </c>
      <c r="HL1005" s="1654">
        <v>59.076800000000048</v>
      </c>
      <c r="HM1005" s="1654">
        <v>8.7660000000000764</v>
      </c>
      <c r="HN1005" s="1654">
        <v>9</v>
      </c>
      <c r="HO1005" s="1654">
        <v>4.8843999999999141</v>
      </c>
      <c r="HP1005" s="1654">
        <v>7</v>
      </c>
      <c r="HQ1005" s="1654">
        <v>4.0921000000000731</v>
      </c>
      <c r="HR1005" s="1654">
        <v>18.150499999999965</v>
      </c>
      <c r="HS1005" s="1654">
        <v>5.085399999999936</v>
      </c>
      <c r="HT1005" s="1654">
        <v>9.003800000000183</v>
      </c>
      <c r="HU1005" s="1654">
        <v>17</v>
      </c>
      <c r="HV1005" s="1654">
        <v>30.753199999999879</v>
      </c>
      <c r="HW1005" s="1654">
        <v>6.9999000000000251</v>
      </c>
      <c r="HX1005" s="1654">
        <v>44.133599999999888</v>
      </c>
      <c r="HY1005" s="1654"/>
      <c r="HZ1005" s="326"/>
      <c r="IA1005" s="337" t="s">
        <v>573</v>
      </c>
      <c r="IB1005" s="284">
        <f>SUM(CE1005:CJ1005)</f>
        <v>0</v>
      </c>
      <c r="IC1005" s="279">
        <f>SUM(CK1005:CP1005)</f>
        <v>20.893999999999998</v>
      </c>
      <c r="ID1005" s="323">
        <f>IB1005+IC1005</f>
        <v>20.893999999999998</v>
      </c>
      <c r="IE1005" s="279">
        <f>SUM(CQ1005:CV1005)</f>
        <v>16.727700000000002</v>
      </c>
      <c r="IF1005" s="279">
        <f>SUM(CW1005:DB1005)</f>
        <v>15.695099999999996</v>
      </c>
      <c r="IG1005" s="323">
        <f>IE1005+IF1005</f>
        <v>32.422799999999995</v>
      </c>
      <c r="IH1005" s="284">
        <f>SUM(DC1005:DH1005)</f>
        <v>13.908500000000004</v>
      </c>
      <c r="II1005" s="279">
        <f>SUM(DI1005:DN1005)</f>
        <v>15.717799999999983</v>
      </c>
      <c r="IJ1005" s="323">
        <f>IH1005+II1005</f>
        <v>29.626299999999986</v>
      </c>
      <c r="IK1005" s="327">
        <f>SUM(DO1005:DT1005)</f>
        <v>22.069000000000003</v>
      </c>
      <c r="IL1005" s="279">
        <f>SUM(DU1005:DZ1005)</f>
        <v>9.512100000000018</v>
      </c>
      <c r="IM1005" s="323">
        <f>IK1005+IL1005</f>
        <v>31.581100000000021</v>
      </c>
      <c r="IN1005" s="279">
        <f>SUM(EA1005:EF1005)</f>
        <v>13.092700000000008</v>
      </c>
      <c r="IO1005" s="279">
        <f>SUM(EG1005:EL1005)</f>
        <v>5.2510999999999797</v>
      </c>
      <c r="IP1005" s="323">
        <f>IN1005+IO1005</f>
        <v>18.343799999999987</v>
      </c>
      <c r="IQ1005" s="327">
        <f>SUM(EM1005:ER1005)</f>
        <v>26.120499999999993</v>
      </c>
      <c r="IR1005" s="327">
        <f>SUM(ES1005:EX1005)</f>
        <v>35.506200000000007</v>
      </c>
      <c r="IS1005" s="323">
        <f>IQ1005+IR1005</f>
        <v>61.6267</v>
      </c>
      <c r="IT1005" s="327">
        <f>SUM(EY1005:FD1005)</f>
        <v>60.390499999999946</v>
      </c>
      <c r="IU1005" s="327">
        <f>SUM(FE1005:FJ1005)</f>
        <v>97.323200000000043</v>
      </c>
      <c r="IV1005" s="323">
        <f t="shared" si="2059"/>
        <v>157.71369999999999</v>
      </c>
      <c r="IW1005" s="327">
        <f t="shared" si="2091"/>
        <v>54.983699999999942</v>
      </c>
      <c r="IX1005" s="327">
        <f t="shared" si="2092"/>
        <v>63.558899999999937</v>
      </c>
      <c r="IY1005" s="323">
        <f t="shared" si="2005"/>
        <v>118.54259999999988</v>
      </c>
      <c r="IZ1005" s="327">
        <f t="shared" si="2018"/>
        <v>62.678600000000017</v>
      </c>
      <c r="JA1005" s="327">
        <f t="shared" si="2019"/>
        <v>-5.8498000000000729</v>
      </c>
      <c r="JB1005" s="323">
        <f t="shared" si="2036"/>
        <v>56.828799999999944</v>
      </c>
      <c r="JC1005" s="327">
        <f t="shared" si="2020"/>
        <v>167.54703499999994</v>
      </c>
      <c r="JD1005" s="327">
        <f t="shared" si="2021"/>
        <v>76.066500000000133</v>
      </c>
      <c r="JE1005" s="323">
        <f t="shared" si="1945"/>
        <v>243.61353500000007</v>
      </c>
      <c r="JF1005" s="327">
        <f>SUM(GU1005:GZ1005)</f>
        <v>98.892699999999991</v>
      </c>
      <c r="JG1005" s="327">
        <f t="shared" si="2086"/>
        <v>-5.0946999999999889</v>
      </c>
      <c r="JH1005" s="323">
        <f t="shared" si="1944"/>
        <v>93.798000000000002</v>
      </c>
      <c r="JI1005" s="327">
        <f t="shared" si="1993"/>
        <v>127.48899999999992</v>
      </c>
      <c r="JJ1005" s="279">
        <f t="shared" si="2035"/>
        <v>51.893000000000029</v>
      </c>
      <c r="JK1005" s="323">
        <f t="shared" si="1933"/>
        <v>179.38199999999995</v>
      </c>
      <c r="JL1005" s="327">
        <f t="shared" si="1946"/>
        <v>112.97589999999991</v>
      </c>
      <c r="JM1005" s="279">
        <f t="shared" si="2062"/>
        <v>56.080505370276882</v>
      </c>
      <c r="JN1005" s="323">
        <f>FISC!AK1331</f>
        <v>169.05640537027679</v>
      </c>
      <c r="JO1005" s="327">
        <f>JQ1005/2</f>
        <v>102.3250409101115</v>
      </c>
      <c r="JP1005" s="279">
        <f>JQ1005-JO1005</f>
        <v>102.3250409101115</v>
      </c>
      <c r="JQ1005" s="323">
        <f>FISC!AL1331</f>
        <v>204.65008182022299</v>
      </c>
      <c r="JR1005" s="327">
        <f>JT1005/2</f>
        <v>144.63157929835589</v>
      </c>
      <c r="JS1005" s="279">
        <f>JT1005-JR1005</f>
        <v>144.63157929835589</v>
      </c>
      <c r="JT1005" s="323">
        <f>FISC!AM1331</f>
        <v>289.26315859671178</v>
      </c>
      <c r="JU1005" s="327">
        <f>JW1005/2</f>
        <v>93.494200316010179</v>
      </c>
      <c r="JV1005" s="279">
        <f>JW1005-JU1005</f>
        <v>93.494200316010179</v>
      </c>
      <c r="JW1005" s="323">
        <f>FISC!AN1331</f>
        <v>186.98840063202036</v>
      </c>
      <c r="JX1005" s="327">
        <f>JZ1005/2</f>
        <v>183.82160430501779</v>
      </c>
      <c r="JY1005" s="279">
        <f>JZ1005-JX1005</f>
        <v>183.82160430501779</v>
      </c>
      <c r="JZ1005" s="323">
        <f>FISC!AO1331</f>
        <v>367.64320861003557</v>
      </c>
      <c r="KA1005" s="327">
        <f>KC1005/2</f>
        <v>169.53378734556927</v>
      </c>
      <c r="KB1005" s="279">
        <f>KC1005-KA1005</f>
        <v>169.53378734556927</v>
      </c>
      <c r="KC1005" s="323">
        <f>FISC!AP1331</f>
        <v>339.06757469113853</v>
      </c>
      <c r="KD1005" s="327">
        <f>KF1005/2</f>
        <v>597.57541567233545</v>
      </c>
      <c r="KE1005" s="279">
        <f>KF1005-KD1005</f>
        <v>597.57541567233545</v>
      </c>
      <c r="KF1005" s="323">
        <f>FISC!AQ1331</f>
        <v>1195.1508313446709</v>
      </c>
      <c r="KG1005" s="327">
        <f>KI1005/2</f>
        <v>432.19552783639409</v>
      </c>
      <c r="KH1005" s="279">
        <f>KI1005-KG1005</f>
        <v>432.19552783639409</v>
      </c>
      <c r="KI1005" s="323">
        <f>FISC!AR1331</f>
        <v>864.39105567278818</v>
      </c>
      <c r="KJ1005" s="327">
        <f>KL1005/2</f>
        <v>595.67491140676429</v>
      </c>
      <c r="KK1005" s="279">
        <f>KL1005-KJ1005</f>
        <v>595.67491140676429</v>
      </c>
      <c r="KL1005" s="323">
        <f>FISC!AS1331</f>
        <v>1191.3498228135286</v>
      </c>
      <c r="KM1005" s="327">
        <f>KO1005/2</f>
        <v>791.08982393510996</v>
      </c>
      <c r="KN1005" s="279">
        <f>KO1005-KM1005</f>
        <v>791.08982393510996</v>
      </c>
      <c r="KO1005" s="323">
        <f>FISC!AT1331</f>
        <v>1582.1796478702199</v>
      </c>
      <c r="KU1005" s="326"/>
      <c r="KV1005" s="327"/>
    </row>
    <row r="1006" spans="1:314">
      <c r="A1006" s="279"/>
      <c r="D1006" s="337"/>
      <c r="E1006" s="323"/>
      <c r="F1006" s="323"/>
      <c r="G1006" s="323"/>
      <c r="H1006" s="323"/>
      <c r="I1006" s="323"/>
      <c r="J1006" s="323"/>
      <c r="K1006" s="323"/>
      <c r="L1006" s="323"/>
      <c r="M1006" s="323"/>
      <c r="N1006" s="323"/>
      <c r="O1006" s="323"/>
      <c r="P1006" s="323"/>
      <c r="Q1006" s="323"/>
      <c r="R1006" s="323"/>
      <c r="S1006" s="323"/>
      <c r="T1006" s="323"/>
      <c r="U1006" s="323"/>
      <c r="V1006" s="323"/>
      <c r="W1006" s="323"/>
      <c r="X1006" s="323"/>
      <c r="Y1006" s="323"/>
      <c r="Z1006" s="323"/>
      <c r="AA1006" s="323"/>
      <c r="AB1006" s="323"/>
      <c r="AC1006" s="323"/>
      <c r="AD1006" s="323"/>
      <c r="AE1006" s="323"/>
      <c r="AF1006" s="323"/>
      <c r="AG1006" s="323"/>
      <c r="AH1006" s="323"/>
      <c r="AI1006" s="323"/>
      <c r="AJ1006" s="323"/>
      <c r="AK1006" s="323"/>
      <c r="AL1006" s="323"/>
      <c r="AM1006" s="323"/>
      <c r="AN1006" s="323"/>
      <c r="AO1006" s="323"/>
      <c r="AP1006" s="323"/>
      <c r="AQ1006" s="323"/>
      <c r="AR1006" s="323"/>
      <c r="AS1006" s="323"/>
      <c r="AT1006" s="323"/>
      <c r="AU1006" s="323"/>
      <c r="AV1006" s="323"/>
      <c r="AW1006" s="323"/>
      <c r="AX1006" s="323"/>
      <c r="AY1006" s="323"/>
      <c r="AZ1006" s="323"/>
      <c r="BA1006" s="323"/>
      <c r="BB1006" s="323"/>
      <c r="BC1006" s="323"/>
      <c r="BD1006" s="323"/>
      <c r="BE1006" s="323"/>
      <c r="BF1006" s="323"/>
      <c r="BG1006" s="323"/>
      <c r="BH1006" s="323"/>
      <c r="BI1006" s="323"/>
      <c r="BJ1006" s="323"/>
      <c r="BK1006" s="323"/>
      <c r="BL1006" s="323"/>
      <c r="BM1006" s="323"/>
      <c r="BN1006" s="323"/>
      <c r="BO1006" s="323"/>
      <c r="BP1006" s="323"/>
      <c r="BQ1006" s="323"/>
      <c r="BR1006" s="323"/>
      <c r="BS1006" s="323"/>
      <c r="BT1006" s="323"/>
      <c r="BU1006" s="323"/>
      <c r="BV1006" s="323"/>
      <c r="BW1006" s="323"/>
      <c r="BX1006" s="323"/>
      <c r="BY1006" s="323"/>
      <c r="BZ1006" s="323"/>
      <c r="CA1006" s="323"/>
      <c r="CB1006" s="323"/>
      <c r="CC1006" s="323"/>
      <c r="CD1006" s="329"/>
      <c r="CE1006" s="323"/>
      <c r="CF1006" s="323"/>
      <c r="CG1006" s="323"/>
      <c r="CH1006" s="323"/>
      <c r="CI1006" s="323"/>
      <c r="CJ1006" s="323"/>
      <c r="CK1006" s="323"/>
      <c r="CL1006" s="323"/>
      <c r="CM1006" s="323"/>
      <c r="CN1006" s="323"/>
      <c r="CO1006" s="323"/>
      <c r="CP1006" s="325"/>
      <c r="CQ1006" s="323"/>
      <c r="CR1006" s="323"/>
      <c r="CS1006" s="323"/>
      <c r="CT1006" s="323"/>
      <c r="CU1006" s="323"/>
      <c r="CV1006" s="323"/>
      <c r="CW1006" s="323"/>
      <c r="CX1006" s="323"/>
      <c r="CY1006" s="323"/>
      <c r="CZ1006" s="323"/>
      <c r="DA1006" s="323"/>
      <c r="DB1006" s="1269"/>
      <c r="DC1006" s="323"/>
      <c r="DD1006" s="323"/>
      <c r="DE1006" s="323"/>
      <c r="DF1006" s="323"/>
      <c r="DG1006" s="323"/>
      <c r="DH1006" s="323"/>
      <c r="DI1006" s="323"/>
      <c r="DJ1006" s="323"/>
      <c r="DK1006" s="323"/>
      <c r="DL1006" s="323"/>
      <c r="DM1006" s="323"/>
      <c r="DN1006" s="325"/>
      <c r="DO1006" s="323"/>
      <c r="DP1006" s="323"/>
      <c r="DQ1006" s="323"/>
      <c r="DR1006" s="323"/>
      <c r="DS1006" s="323"/>
      <c r="DT1006" s="323"/>
      <c r="DU1006" s="323"/>
      <c r="DV1006" s="323"/>
      <c r="DW1006" s="323"/>
      <c r="DX1006" s="323"/>
      <c r="DY1006" s="323"/>
      <c r="DZ1006" s="325"/>
      <c r="EA1006" s="323"/>
      <c r="EB1006" s="323"/>
      <c r="EC1006" s="323"/>
      <c r="ED1006" s="323"/>
      <c r="EE1006" s="323"/>
      <c r="EF1006" s="323"/>
      <c r="EG1006" s="323"/>
      <c r="EH1006" s="323"/>
      <c r="EI1006" s="323"/>
      <c r="EJ1006" s="323"/>
      <c r="EK1006" s="323"/>
      <c r="EL1006" s="325"/>
      <c r="EM1006" s="323"/>
      <c r="EN1006" s="323"/>
      <c r="EO1006" s="323"/>
      <c r="EP1006" s="323"/>
      <c r="EQ1006" s="323"/>
      <c r="ER1006" s="323"/>
      <c r="ES1006" s="323"/>
      <c r="ET1006" s="323"/>
      <c r="EU1006" s="323"/>
      <c r="EV1006" s="323"/>
      <c r="EW1006" s="323"/>
      <c r="EX1006" s="325"/>
      <c r="EY1006" s="323"/>
      <c r="EZ1006" s="323"/>
      <c r="FA1006" s="323"/>
      <c r="FB1006" s="323"/>
      <c r="FC1006" s="323"/>
      <c r="FD1006" s="323"/>
      <c r="FE1006" s="323"/>
      <c r="FF1006" s="323"/>
      <c r="FG1006" s="323"/>
      <c r="FH1006" s="323"/>
      <c r="FI1006" s="323"/>
      <c r="FJ1006" s="325"/>
      <c r="FK1006" s="323"/>
      <c r="FL1006" s="323"/>
      <c r="FM1006" s="323"/>
      <c r="FN1006" s="323"/>
      <c r="FO1006" s="323"/>
      <c r="FP1006" s="323"/>
      <c r="FQ1006" s="323"/>
      <c r="FR1006" s="323"/>
      <c r="FS1006" s="323"/>
      <c r="FT1006" s="323"/>
      <c r="FU1006" s="323"/>
      <c r="FV1006" s="323"/>
      <c r="FW1006" s="323"/>
      <c r="FX1006" s="323"/>
      <c r="FY1006" s="323"/>
      <c r="FZ1006" s="323"/>
      <c r="GA1006" s="323"/>
      <c r="GB1006" s="323"/>
      <c r="GC1006" s="323"/>
      <c r="GD1006" s="323"/>
      <c r="GE1006" s="323"/>
      <c r="GF1006" s="323"/>
      <c r="GG1006" s="323"/>
      <c r="GH1006" s="323"/>
      <c r="GI1006" s="1654"/>
      <c r="GJ1006" s="1654"/>
      <c r="GK1006" s="1654"/>
      <c r="GL1006" s="1654"/>
      <c r="GM1006" s="1654"/>
      <c r="GN1006" s="1654"/>
      <c r="GO1006" s="1654"/>
      <c r="GP1006" s="1654"/>
      <c r="GQ1006" s="1654"/>
      <c r="GR1006" s="1654"/>
      <c r="GS1006" s="1654"/>
      <c r="GT1006" s="1654"/>
      <c r="GU1006" s="1654"/>
      <c r="GV1006" s="1654"/>
      <c r="GW1006" s="1654"/>
      <c r="GX1006" s="1654"/>
      <c r="GY1006" s="1654"/>
      <c r="GZ1006" s="1654"/>
      <c r="HA1006" s="1654"/>
      <c r="HB1006" s="1654"/>
      <c r="HC1006" s="1654"/>
      <c r="HD1006" s="1654"/>
      <c r="HE1006" s="1654"/>
      <c r="HF1006" s="1654"/>
      <c r="HG1006" s="1654"/>
      <c r="HH1006" s="1654"/>
      <c r="HI1006" s="1654"/>
      <c r="HJ1006" s="1654"/>
      <c r="HK1006" s="1654"/>
      <c r="HL1006" s="1654"/>
      <c r="HM1006" s="1654"/>
      <c r="HN1006" s="1654"/>
      <c r="HO1006" s="1654"/>
      <c r="HP1006" s="1654"/>
      <c r="HQ1006" s="1654"/>
      <c r="HR1006" s="1654"/>
      <c r="HS1006" s="1654"/>
      <c r="HT1006" s="1654"/>
      <c r="HU1006" s="1654"/>
      <c r="HV1006" s="1654"/>
      <c r="HW1006" s="1654"/>
      <c r="HX1006" s="1654"/>
      <c r="HY1006" s="1654"/>
      <c r="HZ1006" s="326"/>
      <c r="IA1006" s="2386" t="s">
        <v>3856</v>
      </c>
      <c r="IB1006" s="284"/>
      <c r="ID1006" s="323"/>
      <c r="IG1006" s="323"/>
      <c r="IH1006" s="284"/>
      <c r="IJ1006" s="323"/>
      <c r="IK1006" s="327"/>
      <c r="IM1006" s="323"/>
      <c r="IP1006" s="323"/>
      <c r="IQ1006" s="327"/>
      <c r="IR1006" s="327"/>
      <c r="IS1006" s="323"/>
      <c r="IT1006" s="327"/>
      <c r="IU1006" s="327"/>
      <c r="IV1006" s="323"/>
      <c r="IW1006" s="327"/>
      <c r="IX1006" s="327"/>
      <c r="IY1006" s="323"/>
      <c r="IZ1006" s="327"/>
      <c r="JA1006" s="327"/>
      <c r="JB1006" s="323"/>
      <c r="JC1006" s="327"/>
      <c r="JD1006" s="327"/>
      <c r="JE1006" s="323"/>
      <c r="JF1006" s="327"/>
      <c r="JG1006" s="327"/>
      <c r="JH1006" s="323"/>
      <c r="JI1006" s="327"/>
      <c r="JJ1006" s="279">
        <f t="shared" si="2035"/>
        <v>0</v>
      </c>
      <c r="JK1006" s="323">
        <f t="shared" si="1933"/>
        <v>0</v>
      </c>
      <c r="JL1006" s="327">
        <f t="shared" si="1946"/>
        <v>0</v>
      </c>
      <c r="JN1006" s="323">
        <f>FISC!AK1332</f>
        <v>169.05640537027679</v>
      </c>
      <c r="JO1006" s="327"/>
      <c r="JQ1006" s="323">
        <f>FISC!AL1332</f>
        <v>204.65008182022299</v>
      </c>
      <c r="JR1006" s="327"/>
      <c r="JT1006" s="323">
        <f>FISC!AM1332</f>
        <v>289.26315859671178</v>
      </c>
      <c r="JU1006" s="327"/>
      <c r="JW1006" s="323">
        <f>FISC!AN1332</f>
        <v>186.98840063202036</v>
      </c>
      <c r="JX1006" s="327"/>
      <c r="JZ1006" s="323">
        <f>FISC!AO1332</f>
        <v>367.64320861003557</v>
      </c>
      <c r="KA1006" s="327"/>
      <c r="KC1006" s="323">
        <f>FISC!AP1332</f>
        <v>339.06757469113853</v>
      </c>
      <c r="KD1006" s="327"/>
      <c r="KF1006" s="323">
        <f>FISC!AQ1332</f>
        <v>1195.1508313446709</v>
      </c>
      <c r="KG1006" s="327"/>
      <c r="KI1006" s="323">
        <f>FISC!AR1332</f>
        <v>864.39105567278818</v>
      </c>
      <c r="KJ1006" s="327"/>
      <c r="KL1006" s="323">
        <f>FISC!AS1332</f>
        <v>1191.3498228135286</v>
      </c>
      <c r="KM1006" s="327"/>
      <c r="KO1006" s="323">
        <f>FISC!AT1332</f>
        <v>1582.1796478702199</v>
      </c>
      <c r="KU1006" s="326"/>
      <c r="KV1006" s="327"/>
    </row>
    <row r="1007" spans="1:314">
      <c r="A1007" s="279"/>
      <c r="D1007" s="337"/>
      <c r="E1007" s="323"/>
      <c r="F1007" s="323"/>
      <c r="G1007" s="323"/>
      <c r="H1007" s="323"/>
      <c r="I1007" s="323"/>
      <c r="J1007" s="323"/>
      <c r="K1007" s="323"/>
      <c r="L1007" s="323"/>
      <c r="M1007" s="323"/>
      <c r="N1007" s="323"/>
      <c r="O1007" s="323"/>
      <c r="P1007" s="323"/>
      <c r="Q1007" s="323"/>
      <c r="R1007" s="323"/>
      <c r="S1007" s="323"/>
      <c r="T1007" s="323"/>
      <c r="U1007" s="323"/>
      <c r="V1007" s="323"/>
      <c r="W1007" s="323"/>
      <c r="X1007" s="323"/>
      <c r="Y1007" s="323"/>
      <c r="Z1007" s="323"/>
      <c r="AA1007" s="323"/>
      <c r="AB1007" s="323"/>
      <c r="AC1007" s="323"/>
      <c r="AD1007" s="323"/>
      <c r="AE1007" s="323"/>
      <c r="AF1007" s="323"/>
      <c r="AG1007" s="323"/>
      <c r="AH1007" s="323"/>
      <c r="AI1007" s="323"/>
      <c r="AJ1007" s="323"/>
      <c r="AK1007" s="323"/>
      <c r="AL1007" s="323"/>
      <c r="AM1007" s="323"/>
      <c r="AN1007" s="323"/>
      <c r="AO1007" s="323"/>
      <c r="AP1007" s="323"/>
      <c r="AQ1007" s="323"/>
      <c r="AR1007" s="323"/>
      <c r="AS1007" s="323"/>
      <c r="AT1007" s="323"/>
      <c r="AU1007" s="323"/>
      <c r="AV1007" s="323"/>
      <c r="AW1007" s="323"/>
      <c r="AX1007" s="323"/>
      <c r="AY1007" s="323"/>
      <c r="AZ1007" s="323"/>
      <c r="BA1007" s="323"/>
      <c r="BB1007" s="323"/>
      <c r="BC1007" s="323"/>
      <c r="BD1007" s="323"/>
      <c r="BE1007" s="323"/>
      <c r="BF1007" s="323"/>
      <c r="BG1007" s="323"/>
      <c r="BH1007" s="323"/>
      <c r="BI1007" s="323"/>
      <c r="BJ1007" s="323"/>
      <c r="BK1007" s="323"/>
      <c r="BL1007" s="323"/>
      <c r="BM1007" s="323"/>
      <c r="BN1007" s="323"/>
      <c r="BO1007" s="323"/>
      <c r="BP1007" s="323"/>
      <c r="BQ1007" s="323"/>
      <c r="BR1007" s="323"/>
      <c r="BS1007" s="323"/>
      <c r="BT1007" s="323"/>
      <c r="BU1007" s="323"/>
      <c r="BV1007" s="323"/>
      <c r="BW1007" s="323"/>
      <c r="BX1007" s="323"/>
      <c r="BY1007" s="323"/>
      <c r="BZ1007" s="323"/>
      <c r="CA1007" s="323"/>
      <c r="CB1007" s="323"/>
      <c r="CC1007" s="323"/>
      <c r="CD1007" s="329"/>
      <c r="CE1007" s="323"/>
      <c r="CF1007" s="323"/>
      <c r="CG1007" s="323"/>
      <c r="CH1007" s="323"/>
      <c r="CI1007" s="323"/>
      <c r="CJ1007" s="323"/>
      <c r="CK1007" s="323"/>
      <c r="CL1007" s="323"/>
      <c r="CM1007" s="323"/>
      <c r="CN1007" s="323"/>
      <c r="CO1007" s="323"/>
      <c r="CP1007" s="325"/>
      <c r="CQ1007" s="323"/>
      <c r="CR1007" s="323"/>
      <c r="CS1007" s="323"/>
      <c r="CT1007" s="323"/>
      <c r="CU1007" s="323"/>
      <c r="CV1007" s="323"/>
      <c r="CW1007" s="323"/>
      <c r="CX1007" s="323"/>
      <c r="CY1007" s="323"/>
      <c r="CZ1007" s="323"/>
      <c r="DA1007" s="323"/>
      <c r="DB1007" s="1269"/>
      <c r="DC1007" s="323"/>
      <c r="DD1007" s="323"/>
      <c r="DE1007" s="323"/>
      <c r="DF1007" s="323"/>
      <c r="DG1007" s="323"/>
      <c r="DH1007" s="323"/>
      <c r="DI1007" s="323"/>
      <c r="DJ1007" s="323"/>
      <c r="DK1007" s="323"/>
      <c r="DL1007" s="323"/>
      <c r="DM1007" s="323"/>
      <c r="DN1007" s="325"/>
      <c r="DO1007" s="323"/>
      <c r="DP1007" s="323"/>
      <c r="DQ1007" s="323"/>
      <c r="DR1007" s="323"/>
      <c r="DS1007" s="323"/>
      <c r="DT1007" s="323"/>
      <c r="DU1007" s="323"/>
      <c r="DV1007" s="323"/>
      <c r="DW1007" s="323"/>
      <c r="DX1007" s="323"/>
      <c r="DY1007" s="323"/>
      <c r="DZ1007" s="325"/>
      <c r="EA1007" s="323"/>
      <c r="EB1007" s="323"/>
      <c r="EC1007" s="323"/>
      <c r="ED1007" s="323"/>
      <c r="EE1007" s="323"/>
      <c r="EF1007" s="323"/>
      <c r="EG1007" s="323"/>
      <c r="EH1007" s="323"/>
      <c r="EI1007" s="323"/>
      <c r="EJ1007" s="323"/>
      <c r="EK1007" s="323"/>
      <c r="EL1007" s="325"/>
      <c r="EM1007" s="323"/>
      <c r="EN1007" s="323"/>
      <c r="EO1007" s="323"/>
      <c r="EP1007" s="323"/>
      <c r="EQ1007" s="323"/>
      <c r="ER1007" s="323"/>
      <c r="ES1007" s="323"/>
      <c r="ET1007" s="323"/>
      <c r="EU1007" s="323"/>
      <c r="EV1007" s="323"/>
      <c r="EW1007" s="323"/>
      <c r="EX1007" s="325"/>
      <c r="EY1007" s="323"/>
      <c r="EZ1007" s="323"/>
      <c r="FA1007" s="323"/>
      <c r="FB1007" s="323"/>
      <c r="FC1007" s="323"/>
      <c r="FD1007" s="323"/>
      <c r="FE1007" s="323"/>
      <c r="FF1007" s="323"/>
      <c r="FG1007" s="323"/>
      <c r="FH1007" s="323"/>
      <c r="FI1007" s="323"/>
      <c r="FJ1007" s="325"/>
      <c r="FK1007" s="323"/>
      <c r="FL1007" s="323"/>
      <c r="FM1007" s="323"/>
      <c r="FN1007" s="323"/>
      <c r="FO1007" s="323"/>
      <c r="FP1007" s="323"/>
      <c r="FQ1007" s="323"/>
      <c r="FR1007" s="323"/>
      <c r="FS1007" s="323"/>
      <c r="FT1007" s="323"/>
      <c r="FU1007" s="323"/>
      <c r="FV1007" s="323"/>
      <c r="FW1007" s="323"/>
      <c r="FX1007" s="323"/>
      <c r="FY1007" s="323"/>
      <c r="FZ1007" s="323"/>
      <c r="GA1007" s="323"/>
      <c r="GB1007" s="323"/>
      <c r="GC1007" s="323"/>
      <c r="GD1007" s="323"/>
      <c r="GE1007" s="323"/>
      <c r="GF1007" s="323"/>
      <c r="GG1007" s="323"/>
      <c r="GH1007" s="323"/>
      <c r="GI1007" s="1654"/>
      <c r="GJ1007" s="1654"/>
      <c r="GK1007" s="1654"/>
      <c r="GL1007" s="1654"/>
      <c r="GM1007" s="1654"/>
      <c r="GN1007" s="1654"/>
      <c r="GO1007" s="1654"/>
      <c r="GP1007" s="1654"/>
      <c r="GQ1007" s="1654"/>
      <c r="GR1007" s="1654"/>
      <c r="GS1007" s="1654"/>
      <c r="GT1007" s="1654"/>
      <c r="GU1007" s="1654"/>
      <c r="GV1007" s="1654"/>
      <c r="GW1007" s="1654"/>
      <c r="GX1007" s="1654"/>
      <c r="GY1007" s="1654"/>
      <c r="GZ1007" s="1654"/>
      <c r="HA1007" s="1654"/>
      <c r="HB1007" s="1654"/>
      <c r="HC1007" s="1654"/>
      <c r="HD1007" s="1654"/>
      <c r="HE1007" s="1654"/>
      <c r="HF1007" s="1654"/>
      <c r="HG1007" s="1654"/>
      <c r="HH1007" s="1654"/>
      <c r="HI1007" s="1654"/>
      <c r="HJ1007" s="1654"/>
      <c r="HK1007" s="1654"/>
      <c r="HL1007" s="1654"/>
      <c r="HM1007" s="1654"/>
      <c r="HN1007" s="1654"/>
      <c r="HO1007" s="1654"/>
      <c r="HP1007" s="1654"/>
      <c r="HQ1007" s="1654"/>
      <c r="HR1007" s="1654"/>
      <c r="HS1007" s="1654"/>
      <c r="HT1007" s="1654"/>
      <c r="HU1007" s="1654"/>
      <c r="HV1007" s="1654"/>
      <c r="HW1007" s="1654"/>
      <c r="HX1007" s="1654"/>
      <c r="HY1007" s="1654"/>
      <c r="HZ1007" s="326"/>
      <c r="IA1007" s="2386" t="s">
        <v>3855</v>
      </c>
      <c r="IB1007" s="284"/>
      <c r="ID1007" s="323"/>
      <c r="IG1007" s="323"/>
      <c r="IH1007" s="284"/>
      <c r="IJ1007" s="323"/>
      <c r="IK1007" s="327"/>
      <c r="IM1007" s="323"/>
      <c r="IP1007" s="323"/>
      <c r="IQ1007" s="327"/>
      <c r="IR1007" s="327"/>
      <c r="IS1007" s="323"/>
      <c r="IT1007" s="327"/>
      <c r="IU1007" s="327"/>
      <c r="IV1007" s="323"/>
      <c r="IW1007" s="327"/>
      <c r="IX1007" s="327"/>
      <c r="IY1007" s="323"/>
      <c r="IZ1007" s="327"/>
      <c r="JA1007" s="327"/>
      <c r="JB1007" s="323"/>
      <c r="JC1007" s="327"/>
      <c r="JD1007" s="327"/>
      <c r="JE1007" s="323"/>
      <c r="JF1007" s="327"/>
      <c r="JG1007" s="327"/>
      <c r="JH1007" s="323"/>
      <c r="JI1007" s="327"/>
      <c r="JJ1007" s="279">
        <f t="shared" si="2035"/>
        <v>0</v>
      </c>
      <c r="JK1007" s="323">
        <f t="shared" si="1933"/>
        <v>0</v>
      </c>
      <c r="JL1007" s="327">
        <f t="shared" si="1946"/>
        <v>0</v>
      </c>
      <c r="JN1007" s="323">
        <f>FISC!AK1333</f>
        <v>0</v>
      </c>
      <c r="JO1007" s="327"/>
      <c r="JQ1007" s="323">
        <f>FISC!AL1333</f>
        <v>0</v>
      </c>
      <c r="JR1007" s="327"/>
      <c r="JT1007" s="323">
        <f>FISC!AM1333</f>
        <v>0</v>
      </c>
      <c r="JU1007" s="327"/>
      <c r="JW1007" s="323">
        <f>FISC!AN1333</f>
        <v>0</v>
      </c>
      <c r="JX1007" s="327"/>
      <c r="JZ1007" s="323">
        <f>FISC!AO1333</f>
        <v>0</v>
      </c>
      <c r="KA1007" s="327"/>
      <c r="KC1007" s="323">
        <f>FISC!AP1333</f>
        <v>0</v>
      </c>
      <c r="KD1007" s="327"/>
      <c r="KF1007" s="323">
        <f>FISC!AQ1333</f>
        <v>0</v>
      </c>
      <c r="KG1007" s="327"/>
      <c r="KI1007" s="323">
        <f>FISC!AR1333</f>
        <v>0</v>
      </c>
      <c r="KJ1007" s="327"/>
      <c r="KL1007" s="323">
        <f>FISC!AS1333</f>
        <v>0</v>
      </c>
      <c r="KM1007" s="327"/>
      <c r="KO1007" s="323">
        <f>FISC!AT1333</f>
        <v>0</v>
      </c>
      <c r="KU1007" s="326"/>
      <c r="KV1007" s="327"/>
    </row>
    <row r="1008" spans="1:314">
      <c r="A1008" s="279"/>
      <c r="B1008" s="96" t="s">
        <v>338</v>
      </c>
      <c r="D1008" s="334" t="s">
        <v>575</v>
      </c>
      <c r="E1008" s="323"/>
      <c r="F1008" s="323"/>
      <c r="G1008" s="323"/>
      <c r="H1008" s="323"/>
      <c r="I1008" s="323"/>
      <c r="J1008" s="323"/>
      <c r="K1008" s="323"/>
      <c r="L1008" s="323"/>
      <c r="M1008" s="323"/>
      <c r="N1008" s="323"/>
      <c r="O1008" s="323"/>
      <c r="P1008" s="323"/>
      <c r="Q1008" s="323"/>
      <c r="R1008" s="323"/>
      <c r="S1008" s="323"/>
      <c r="T1008" s="323"/>
      <c r="U1008" s="323"/>
      <c r="V1008" s="323"/>
      <c r="W1008" s="323"/>
      <c r="X1008" s="323"/>
      <c r="Y1008" s="323"/>
      <c r="Z1008" s="323"/>
      <c r="AA1008" s="323"/>
      <c r="AB1008" s="323"/>
      <c r="AC1008" s="323"/>
      <c r="AD1008" s="323"/>
      <c r="AE1008" s="323"/>
      <c r="AF1008" s="323"/>
      <c r="AG1008" s="323"/>
      <c r="AH1008" s="323"/>
      <c r="AI1008" s="323"/>
      <c r="AJ1008" s="323"/>
      <c r="AK1008" s="323"/>
      <c r="AL1008" s="323"/>
      <c r="AM1008" s="323"/>
      <c r="AN1008" s="323"/>
      <c r="AO1008" s="323"/>
      <c r="AP1008" s="323"/>
      <c r="AQ1008" s="323"/>
      <c r="AR1008" s="323"/>
      <c r="AS1008" s="323"/>
      <c r="AT1008" s="323"/>
      <c r="AU1008" s="323"/>
      <c r="AV1008" s="323"/>
      <c r="AW1008" s="323"/>
      <c r="AX1008" s="323"/>
      <c r="AY1008" s="323"/>
      <c r="AZ1008" s="323"/>
      <c r="BA1008" s="323"/>
      <c r="BB1008" s="323"/>
      <c r="BC1008" s="323"/>
      <c r="BD1008" s="323"/>
      <c r="BE1008" s="323"/>
      <c r="BF1008" s="323"/>
      <c r="BG1008" s="323"/>
      <c r="BH1008" s="323"/>
      <c r="BI1008" s="323"/>
      <c r="BJ1008" s="323"/>
      <c r="BK1008" s="323"/>
      <c r="BL1008" s="323"/>
      <c r="BM1008" s="323"/>
      <c r="BN1008" s="323"/>
      <c r="BO1008" s="323"/>
      <c r="BP1008" s="323"/>
      <c r="BQ1008" s="323"/>
      <c r="BR1008" s="323"/>
      <c r="BS1008" s="323"/>
      <c r="BT1008" s="323"/>
      <c r="BU1008" s="323"/>
      <c r="BV1008" s="323"/>
      <c r="BW1008" s="323"/>
      <c r="BX1008" s="323"/>
      <c r="BY1008" s="323"/>
      <c r="BZ1008" s="323"/>
      <c r="CA1008" s="323"/>
      <c r="CB1008" s="323"/>
      <c r="CC1008" s="323"/>
      <c r="CD1008" s="329"/>
      <c r="CE1008" s="323">
        <v>-1.1372549589999954</v>
      </c>
      <c r="CF1008" s="323">
        <v>-2.9363888169999868</v>
      </c>
      <c r="CG1008" s="323">
        <v>4.5850630180000209</v>
      </c>
      <c r="CH1008" s="323">
        <v>-2.3230510569999918</v>
      </c>
      <c r="CI1008" s="323">
        <v>-0.83846137100001528</v>
      </c>
      <c r="CJ1008" s="323">
        <v>-0.84152325700004793</v>
      </c>
      <c r="CK1008" s="323">
        <v>-0.37709123464030725</v>
      </c>
      <c r="CL1008" s="323">
        <v>-4.6090576967409671</v>
      </c>
      <c r="CM1008" s="323">
        <v>-1.9720146057346069</v>
      </c>
      <c r="CN1008" s="323">
        <v>-0.24386713191028875</v>
      </c>
      <c r="CO1008" s="323">
        <v>5.223846604026221</v>
      </c>
      <c r="CP1008" s="325">
        <v>-6.2515982240812562</v>
      </c>
      <c r="CQ1008" s="323">
        <v>-9.2814034044651663</v>
      </c>
      <c r="CR1008" s="323">
        <v>-1.8359319072506679</v>
      </c>
      <c r="CS1008" s="323">
        <v>0.30635183508552899</v>
      </c>
      <c r="CT1008" s="323">
        <v>25.132314571300466</v>
      </c>
      <c r="CU1008" s="323">
        <v>-23.149941404842068</v>
      </c>
      <c r="CV1008" s="323">
        <v>-3.7527277347506915</v>
      </c>
      <c r="CW1008" s="323">
        <v>0.74284863208265506</v>
      </c>
      <c r="CX1008" s="323">
        <v>-2.0720232067819753</v>
      </c>
      <c r="CY1008" s="323">
        <v>-7.7686040732472028</v>
      </c>
      <c r="CZ1008" s="323">
        <v>-2.9088224455013965</v>
      </c>
      <c r="DA1008" s="323">
        <v>-0.72065458055597986</v>
      </c>
      <c r="DB1008" s="1269">
        <v>-3.5475250929342641</v>
      </c>
      <c r="DC1008" s="323">
        <v>-1.016963142</v>
      </c>
      <c r="DD1008" s="323">
        <v>0</v>
      </c>
      <c r="DE1008" s="323">
        <v>-0.107257982</v>
      </c>
      <c r="DF1008" s="323">
        <v>-1.0296751799999999</v>
      </c>
      <c r="DG1008" s="323">
        <v>-10.5</v>
      </c>
      <c r="DH1008" s="323">
        <v>-0.28742022900000003</v>
      </c>
      <c r="DI1008" s="323">
        <v>-1.0425461199999999</v>
      </c>
      <c r="DJ1008" s="323">
        <v>0</v>
      </c>
      <c r="DK1008" s="323">
        <v>0</v>
      </c>
      <c r="DL1008" s="323">
        <v>-1.055577947</v>
      </c>
      <c r="DM1008" s="323">
        <v>0</v>
      </c>
      <c r="DN1008" s="325">
        <v>0</v>
      </c>
      <c r="DO1008" s="323">
        <v>-1.0687726710000001</v>
      </c>
      <c r="DP1008" s="323">
        <v>-0.85545203299999995</v>
      </c>
      <c r="DQ1008" s="323">
        <v>-0.86362635300000001</v>
      </c>
      <c r="DR1008" s="323">
        <v>-1.9540111120000001</v>
      </c>
      <c r="DS1008" s="323">
        <v>0</v>
      </c>
      <c r="DT1008" s="323">
        <v>-0.88021006800000001</v>
      </c>
      <c r="DU1008" s="323">
        <v>-11.413168518999999</v>
      </c>
      <c r="DV1008" s="323">
        <v>-3.6473710920000002</v>
      </c>
      <c r="DW1008" s="323">
        <v>-1.8781187340000001</v>
      </c>
      <c r="DX1008" s="323">
        <v>-2.9293783150000001</v>
      </c>
      <c r="DY1008" s="323">
        <v>0</v>
      </c>
      <c r="DZ1008" s="325">
        <v>-0.92307597399999997</v>
      </c>
      <c r="EA1008" s="323">
        <v>-1.123221655</v>
      </c>
      <c r="EB1008" s="323">
        <v>-3.8</v>
      </c>
      <c r="EC1008" s="323">
        <v>-1.9</v>
      </c>
      <c r="ED1008" s="323">
        <v>-3.0372619259999998</v>
      </c>
      <c r="EE1008" s="323">
        <v>0</v>
      </c>
      <c r="EF1008" s="323">
        <v>-2.1082000059999997</v>
      </c>
      <c r="EG1008" s="323">
        <v>0</v>
      </c>
      <c r="EH1008" s="323">
        <v>-1.9</v>
      </c>
      <c r="EI1008" s="323">
        <v>-2.0874999999999999</v>
      </c>
      <c r="EJ1008" s="323">
        <v>-6.406892944</v>
      </c>
      <c r="EK1008" s="323">
        <v>0</v>
      </c>
      <c r="EL1008" s="325">
        <v>-6.7624064999999991</v>
      </c>
      <c r="EM1008" s="323">
        <v>26.768425806610708</v>
      </c>
      <c r="EN1008" s="323">
        <v>1.720469081827531</v>
      </c>
      <c r="EO1008" s="323">
        <v>-15.146247700965972</v>
      </c>
      <c r="EP1008" s="323">
        <v>10.680448875139689</v>
      </c>
      <c r="EQ1008" s="323">
        <v>-10.468546050333202</v>
      </c>
      <c r="ER1008" s="323">
        <v>-101.04947002286468</v>
      </c>
      <c r="ES1008" s="323">
        <v>15.282694472995274</v>
      </c>
      <c r="ET1008" s="323">
        <v>-32.425887677354979</v>
      </c>
      <c r="EU1008" s="323">
        <v>-4.5866968101165639E-2</v>
      </c>
      <c r="EV1008" s="323">
        <v>3.9660478675597233</v>
      </c>
      <c r="EW1008" s="323">
        <v>-11.286667326501288</v>
      </c>
      <c r="EX1008" s="325">
        <v>-40.671671837500924</v>
      </c>
      <c r="EY1008" s="323">
        <v>0</v>
      </c>
      <c r="EZ1008" s="323">
        <v>0</v>
      </c>
      <c r="FA1008" s="323">
        <v>0</v>
      </c>
      <c r="FB1008" s="323">
        <v>-10</v>
      </c>
      <c r="FC1008" s="323">
        <v>0</v>
      </c>
      <c r="FD1008" s="323">
        <v>0</v>
      </c>
      <c r="FE1008" s="323">
        <v>-6.8958996150000003</v>
      </c>
      <c r="FF1008" s="323">
        <v>-3.168919152</v>
      </c>
      <c r="FG1008" s="323">
        <v>-3.1144872079999999</v>
      </c>
      <c r="FH1008" s="323">
        <v>-11.918621296</v>
      </c>
      <c r="FI1008" s="323">
        <v>0</v>
      </c>
      <c r="FJ1008" s="325">
        <v>-3.4561392389999996</v>
      </c>
      <c r="FK1008" s="323">
        <v>0</v>
      </c>
      <c r="FL1008" s="323">
        <v>0</v>
      </c>
      <c r="FM1008" s="323">
        <v>0</v>
      </c>
      <c r="FN1008" s="323">
        <v>0</v>
      </c>
      <c r="FO1008" s="323">
        <v>0</v>
      </c>
      <c r="FP1008" s="323">
        <v>0</v>
      </c>
      <c r="FQ1008" s="323">
        <v>0</v>
      </c>
      <c r="FR1008" s="323">
        <v>0</v>
      </c>
      <c r="FS1008" s="323">
        <v>-6.5</v>
      </c>
      <c r="FT1008" s="323">
        <v>-28.5</v>
      </c>
      <c r="FU1008" s="323">
        <v>-11.7</v>
      </c>
      <c r="FV1008" s="323">
        <v>0</v>
      </c>
      <c r="FW1008" s="323">
        <v>-26.091799999999999</v>
      </c>
      <c r="FX1008" s="323">
        <v>-49.392000000000003</v>
      </c>
      <c r="FY1008" s="323">
        <v>-0.123000000000001</v>
      </c>
      <c r="FZ1008" s="323">
        <v>-0.33189999999999997</v>
      </c>
      <c r="GA1008" s="323">
        <v>-8.9999999999999993E-3</v>
      </c>
      <c r="GB1008" s="323">
        <v>0</v>
      </c>
      <c r="GC1008" s="323">
        <v>0</v>
      </c>
      <c r="GD1008" s="323">
        <v>0</v>
      </c>
      <c r="GE1008" s="323">
        <v>-2.7047121669999998</v>
      </c>
      <c r="GF1008" s="323">
        <v>0</v>
      </c>
      <c r="GG1008" s="323">
        <v>0</v>
      </c>
      <c r="GH1008" s="323">
        <v>-2.7829719050000001</v>
      </c>
      <c r="GI1008" s="1654">
        <f t="shared" ref="GI1008:HR1008" si="2093">GI1009+GI1014</f>
        <v>0</v>
      </c>
      <c r="GJ1008" s="1654">
        <f t="shared" si="2093"/>
        <v>-10</v>
      </c>
      <c r="GK1008" s="1654">
        <f t="shared" si="2093"/>
        <v>-0.28525051699999998</v>
      </c>
      <c r="GL1008" s="1654">
        <f t="shared" si="2093"/>
        <v>0</v>
      </c>
      <c r="GM1008" s="1654">
        <f t="shared" si="2093"/>
        <v>-30</v>
      </c>
      <c r="GN1008" s="1654">
        <f t="shared" si="2093"/>
        <v>-0.29603533100000001</v>
      </c>
      <c r="GO1008" s="1654">
        <f t="shared" si="2093"/>
        <v>-114.05016187299999</v>
      </c>
      <c r="GP1008" s="1654">
        <f t="shared" si="2093"/>
        <v>-15</v>
      </c>
      <c r="GQ1008" s="1654">
        <f t="shared" si="2093"/>
        <v>-42.284721523999998</v>
      </c>
      <c r="GR1008" s="1654">
        <f t="shared" si="2093"/>
        <v>0</v>
      </c>
      <c r="GS1008" s="1654">
        <f t="shared" si="2093"/>
        <v>-9.1992606549999998</v>
      </c>
      <c r="GT1008" s="1654">
        <f t="shared" si="2093"/>
        <v>-0.98660119000000002</v>
      </c>
      <c r="GU1008" s="1654">
        <f t="shared" si="2093"/>
        <v>0</v>
      </c>
      <c r="GV1008" s="1654">
        <f t="shared" si="2093"/>
        <v>0</v>
      </c>
      <c r="GW1008" s="1654">
        <f t="shared" si="2093"/>
        <v>-0.99232490500000003</v>
      </c>
      <c r="GX1008" s="1654">
        <f t="shared" si="2093"/>
        <v>0</v>
      </c>
      <c r="GY1008" s="1654">
        <f t="shared" si="2093"/>
        <v>-9.9906587939999998</v>
      </c>
      <c r="GZ1008" s="1654">
        <f t="shared" si="2093"/>
        <v>-23.004864997999999</v>
      </c>
      <c r="HA1008" s="1654">
        <f t="shared" si="2093"/>
        <v>0</v>
      </c>
      <c r="HB1008" s="1654">
        <f t="shared" si="2093"/>
        <v>0</v>
      </c>
      <c r="HC1008" s="1654">
        <f t="shared" si="2093"/>
        <v>15.238439816999998</v>
      </c>
      <c r="HD1008" s="1654">
        <f t="shared" si="2093"/>
        <v>0</v>
      </c>
      <c r="HE1008" s="1654">
        <f t="shared" si="2093"/>
        <v>-65</v>
      </c>
      <c r="HF1008" s="1654">
        <f t="shared" si="2093"/>
        <v>-12.039217196999999</v>
      </c>
      <c r="HG1008" s="1654">
        <f t="shared" si="2093"/>
        <v>-7.4881662630000001</v>
      </c>
      <c r="HH1008" s="1654">
        <f t="shared" si="2093"/>
        <v>0</v>
      </c>
      <c r="HI1008" s="1654">
        <f t="shared" si="2093"/>
        <v>-1.463363051</v>
      </c>
      <c r="HJ1008" s="1654">
        <f t="shared" si="2093"/>
        <v>0</v>
      </c>
      <c r="HK1008" s="1654">
        <f t="shared" si="2093"/>
        <v>-55</v>
      </c>
      <c r="HL1008" s="1654">
        <f t="shared" si="2093"/>
        <v>-17.756314396</v>
      </c>
      <c r="HM1008" s="1654">
        <f t="shared" si="2093"/>
        <v>0</v>
      </c>
      <c r="HN1008" s="1654">
        <f t="shared" si="2093"/>
        <v>-0.50626038100000004</v>
      </c>
      <c r="HO1008" s="1654">
        <f t="shared" si="2093"/>
        <v>-1.5248363229999999</v>
      </c>
      <c r="HP1008" s="1654">
        <f t="shared" si="2093"/>
        <v>0</v>
      </c>
      <c r="HQ1008" s="1654">
        <f t="shared" si="2093"/>
        <v>-10.521062556</v>
      </c>
      <c r="HR1008" s="1654">
        <f t="shared" si="2093"/>
        <v>-1.4825578290000001</v>
      </c>
      <c r="HS1008" s="1654">
        <f t="shared" ref="HS1008:HX1008" si="2094">HS1009+HS1014</f>
        <v>47.050819250000004</v>
      </c>
      <c r="HT1008" s="1654">
        <f t="shared" si="2094"/>
        <v>-35</v>
      </c>
      <c r="HU1008" s="1654">
        <f t="shared" si="2094"/>
        <v>-0.66064854399999995</v>
      </c>
      <c r="HV1008" s="1654">
        <f t="shared" si="2094"/>
        <v>0</v>
      </c>
      <c r="HW1008" s="1654">
        <f t="shared" si="2094"/>
        <v>0</v>
      </c>
      <c r="HX1008" s="1654">
        <f t="shared" si="2094"/>
        <v>-0.66064854399999995</v>
      </c>
      <c r="HY1008" s="1654"/>
      <c r="HZ1008" s="326"/>
      <c r="IA1008" s="334" t="s">
        <v>575</v>
      </c>
      <c r="IB1008" s="284">
        <f>SUM(CE1008:CJ1008)</f>
        <v>-3.4916164430000163</v>
      </c>
      <c r="IC1008" s="279">
        <f>SUM(CK1008:CP1008)</f>
        <v>-8.2297822890812053</v>
      </c>
      <c r="ID1008" s="323">
        <f>IB1008+IC1008</f>
        <v>-11.721398732081221</v>
      </c>
      <c r="IE1008" s="279">
        <f>SUM(CQ1008:CV1008)</f>
        <v>-12.5813380449226</v>
      </c>
      <c r="IF1008" s="279">
        <f>SUM(CW1008:DB1008)</f>
        <v>-16.274780766938164</v>
      </c>
      <c r="IG1008" s="323">
        <f>IE1008+IF1008</f>
        <v>-28.856118811860764</v>
      </c>
      <c r="IH1008" s="284">
        <f>SUM(DC1008:DH1008)</f>
        <v>-12.941316533</v>
      </c>
      <c r="II1008" s="279">
        <f>SUM(DI1008:DN1008)</f>
        <v>-2.0981240669999996</v>
      </c>
      <c r="IJ1008" s="323">
        <f>IH1008+II1008</f>
        <v>-15.039440599999999</v>
      </c>
      <c r="IK1008" s="327">
        <f>SUM(DO1008:DT1008)</f>
        <v>-5.6220722370000002</v>
      </c>
      <c r="IL1008" s="279">
        <f>SUM(DU1008:DZ1008)</f>
        <v>-20.791112634000001</v>
      </c>
      <c r="IM1008" s="323">
        <f>IK1008+IL1008</f>
        <v>-26.413184871000002</v>
      </c>
      <c r="IN1008" s="279">
        <f>SUM(EA1008:EF1008)</f>
        <v>-11.968683586999997</v>
      </c>
      <c r="IO1008" s="279">
        <f>SUM(EG1008:EL1008)</f>
        <v>-17.156799444000001</v>
      </c>
      <c r="IP1008" s="323">
        <f>IN1008+IO1008</f>
        <v>-29.125483030999998</v>
      </c>
      <c r="IQ1008" s="327">
        <f>SUM(EM1008:ER1008)</f>
        <v>-87.494920010585929</v>
      </c>
      <c r="IR1008" s="327">
        <f>SUM(ES1008:EX1008)</f>
        <v>-65.181351468903358</v>
      </c>
      <c r="IS1008" s="323">
        <f>IQ1008+IR1008</f>
        <v>-152.67627147948929</v>
      </c>
      <c r="IT1008" s="327">
        <f>SUM(EY1008:FD1008)</f>
        <v>-10</v>
      </c>
      <c r="IU1008" s="327">
        <f>SUM(FE1008:FJ1008)</f>
        <v>-28.554066509999998</v>
      </c>
      <c r="IV1008" s="323">
        <f t="shared" si="2059"/>
        <v>-38.554066509999998</v>
      </c>
      <c r="IW1008" s="327">
        <f t="shared" si="2091"/>
        <v>0</v>
      </c>
      <c r="IX1008" s="327">
        <f t="shared" si="2092"/>
        <v>-46.7</v>
      </c>
      <c r="IY1008" s="323">
        <f t="shared" si="2005"/>
        <v>-46.7</v>
      </c>
      <c r="IZ1008" s="327">
        <f t="shared" si="2018"/>
        <v>-75.947700000000012</v>
      </c>
      <c r="JA1008" s="327">
        <f t="shared" si="2019"/>
        <v>-5.4876840720000004</v>
      </c>
      <c r="JB1008" s="323">
        <f t="shared" si="2036"/>
        <v>-81.435384072000005</v>
      </c>
      <c r="JC1008" s="327">
        <f t="shared" si="2020"/>
        <v>-40.581285848</v>
      </c>
      <c r="JD1008" s="327">
        <f t="shared" si="2021"/>
        <v>-181.52074524199995</v>
      </c>
      <c r="JE1008" s="323">
        <f t="shared" si="1945"/>
        <v>-222.10203108999994</v>
      </c>
      <c r="JF1008" s="327">
        <f>JF1009+JF1014</f>
        <v>-33.987848696999997</v>
      </c>
      <c r="JG1008" s="327">
        <f>JG1009+JG1014</f>
        <v>-61.80077738</v>
      </c>
      <c r="JH1008" s="323">
        <f t="shared" si="1944"/>
        <v>-95.788626077000004</v>
      </c>
      <c r="JI1008" s="327">
        <f t="shared" si="1993"/>
        <v>-81.707843709999992</v>
      </c>
      <c r="JJ1008" s="548">
        <f t="shared" si="2035"/>
        <v>-14.034717089000001</v>
      </c>
      <c r="JK1008" s="323">
        <f t="shared" si="1933"/>
        <v>-95.742560798999989</v>
      </c>
      <c r="JL1008" s="548">
        <f t="shared" si="1946"/>
        <v>10.729522162000002</v>
      </c>
      <c r="JM1008" s="548">
        <f>JM1009+JM1014</f>
        <v>-138.24828620181893</v>
      </c>
      <c r="JN1008" s="323">
        <f>FISC!AK1334</f>
        <v>-127.51876403981892</v>
      </c>
      <c r="JO1008" s="548">
        <f>JO1009+JO1014</f>
        <v>-64.878599676679997</v>
      </c>
      <c r="JP1008" s="548">
        <f>JP1009+JP1014</f>
        <v>-24.067366355680008</v>
      </c>
      <c r="JQ1008" s="323">
        <f>FISC!AL1334</f>
        <v>-88.945966032360005</v>
      </c>
      <c r="JR1008" s="548">
        <f>JR1009+JR1014</f>
        <v>-97.675577986679997</v>
      </c>
      <c r="JS1008" s="548">
        <f>JS1009+JS1014</f>
        <v>-66.062386399680008</v>
      </c>
      <c r="JT1008" s="323">
        <f>FISC!AM1334</f>
        <v>-163.73796438636001</v>
      </c>
      <c r="JU1008" s="548">
        <f>JU1009+JU1014</f>
        <v>-72.881742717679998</v>
      </c>
      <c r="JV1008" s="548">
        <f>JV1009+JV1014</f>
        <v>-72.999894575679988</v>
      </c>
      <c r="JW1008" s="323">
        <f>FISC!AN1334</f>
        <v>-145.88163729335997</v>
      </c>
      <c r="JX1008" s="548">
        <f>JX1009+JX1014</f>
        <v>-106.08586947768001</v>
      </c>
      <c r="JY1008" s="548">
        <f>JY1009+JY1014</f>
        <v>-69.245105151679994</v>
      </c>
      <c r="JZ1008" s="323">
        <f>FISC!AO1334</f>
        <v>-175.33097462936001</v>
      </c>
      <c r="KA1008" s="548">
        <f>KA1009+KA1014</f>
        <v>-43.372663422679999</v>
      </c>
      <c r="KB1008" s="548">
        <f>KB1009+KB1014</f>
        <v>-112.05794735468</v>
      </c>
      <c r="KC1008" s="323">
        <f>FISC!AP1334</f>
        <v>-155.43061077736002</v>
      </c>
      <c r="KD1008" s="548">
        <f>KD1009+KD1014</f>
        <v>-33.67675001368</v>
      </c>
      <c r="KE1008" s="548">
        <f>KE1009+KE1014</f>
        <v>-123.04058946767999</v>
      </c>
      <c r="KF1008" s="323">
        <f>FISC!AQ1334</f>
        <v>-156.71733948136</v>
      </c>
      <c r="KG1008" s="548">
        <f>KG1009+KG1014</f>
        <v>-4.0276658736800002</v>
      </c>
      <c r="KH1008" s="548">
        <f>KH1009+KH1014</f>
        <v>-153.84963367967998</v>
      </c>
      <c r="KI1008" s="323">
        <f>FISC!AR1334</f>
        <v>-157.87729955335999</v>
      </c>
      <c r="KJ1008" s="548">
        <f>KJ1009+KJ1014</f>
        <v>-44.426021498680001</v>
      </c>
      <c r="KK1008" s="548">
        <f>KK1009+KK1014</f>
        <v>-34.649765212679995</v>
      </c>
      <c r="KL1008" s="323">
        <f>FISC!AS1334</f>
        <v>-79.075786711359996</v>
      </c>
      <c r="KM1008" s="548">
        <f>KM1009+KM1014</f>
        <v>-51.321297088679998</v>
      </c>
      <c r="KN1008" s="548">
        <f>KN1009+KN1014</f>
        <v>-86.321297088680012</v>
      </c>
      <c r="KO1008" s="323">
        <f>FISC!AT1334</f>
        <v>-137.64259417736</v>
      </c>
      <c r="KU1008" s="326"/>
      <c r="KV1008" s="327"/>
    </row>
    <row r="1009" spans="1:314">
      <c r="A1009" s="279"/>
      <c r="D1009" s="1455" t="s">
        <v>3163</v>
      </c>
      <c r="E1009" s="323"/>
      <c r="F1009" s="323"/>
      <c r="G1009" s="323"/>
      <c r="H1009" s="323"/>
      <c r="I1009" s="323"/>
      <c r="J1009" s="323"/>
      <c r="K1009" s="323"/>
      <c r="L1009" s="323"/>
      <c r="M1009" s="323"/>
      <c r="N1009" s="323"/>
      <c r="O1009" s="323"/>
      <c r="P1009" s="323"/>
      <c r="Q1009" s="323"/>
      <c r="R1009" s="323"/>
      <c r="S1009" s="323"/>
      <c r="T1009" s="323"/>
      <c r="U1009" s="323"/>
      <c r="V1009" s="323"/>
      <c r="W1009" s="323"/>
      <c r="X1009" s="323"/>
      <c r="Y1009" s="323"/>
      <c r="Z1009" s="323"/>
      <c r="AA1009" s="323"/>
      <c r="AB1009" s="323"/>
      <c r="AC1009" s="323"/>
      <c r="AD1009" s="323"/>
      <c r="AE1009" s="323"/>
      <c r="AF1009" s="323"/>
      <c r="AG1009" s="323"/>
      <c r="AH1009" s="323"/>
      <c r="AI1009" s="323"/>
      <c r="AJ1009" s="323"/>
      <c r="AK1009" s="323"/>
      <c r="AL1009" s="323"/>
      <c r="AM1009" s="323"/>
      <c r="AN1009" s="323"/>
      <c r="AO1009" s="323"/>
      <c r="AP1009" s="323"/>
      <c r="AQ1009" s="323"/>
      <c r="AR1009" s="323"/>
      <c r="AS1009" s="323"/>
      <c r="AT1009" s="323"/>
      <c r="AU1009" s="323"/>
      <c r="AV1009" s="323"/>
      <c r="AW1009" s="323"/>
      <c r="AX1009" s="323"/>
      <c r="AY1009" s="323"/>
      <c r="AZ1009" s="323"/>
      <c r="BA1009" s="323"/>
      <c r="BB1009" s="323"/>
      <c r="BC1009" s="323"/>
      <c r="BD1009" s="323"/>
      <c r="BE1009" s="323"/>
      <c r="BF1009" s="323"/>
      <c r="BG1009" s="323"/>
      <c r="BH1009" s="323"/>
      <c r="BI1009" s="323"/>
      <c r="BJ1009" s="323"/>
      <c r="BK1009" s="323"/>
      <c r="BL1009" s="323"/>
      <c r="BM1009" s="323"/>
      <c r="BN1009" s="323"/>
      <c r="BO1009" s="323"/>
      <c r="BP1009" s="323"/>
      <c r="BQ1009" s="323"/>
      <c r="BR1009" s="323"/>
      <c r="BS1009" s="323"/>
      <c r="BT1009" s="323"/>
      <c r="BU1009" s="323"/>
      <c r="BV1009" s="323"/>
      <c r="BW1009" s="323"/>
      <c r="BX1009" s="323"/>
      <c r="BY1009" s="323"/>
      <c r="BZ1009" s="323"/>
      <c r="CA1009" s="323"/>
      <c r="CB1009" s="323"/>
      <c r="CC1009" s="323"/>
      <c r="CD1009" s="329"/>
      <c r="CE1009" s="323"/>
      <c r="CF1009" s="323"/>
      <c r="CG1009" s="323"/>
      <c r="CH1009" s="323"/>
      <c r="CI1009" s="323"/>
      <c r="CJ1009" s="323"/>
      <c r="CK1009" s="323"/>
      <c r="CL1009" s="323"/>
      <c r="CM1009" s="323"/>
      <c r="CN1009" s="323"/>
      <c r="CO1009" s="323"/>
      <c r="CP1009" s="325"/>
      <c r="CQ1009" s="323"/>
      <c r="CR1009" s="323"/>
      <c r="CS1009" s="323"/>
      <c r="CT1009" s="323"/>
      <c r="CU1009" s="323"/>
      <c r="CV1009" s="323"/>
      <c r="CW1009" s="323"/>
      <c r="CX1009" s="323"/>
      <c r="CY1009" s="323"/>
      <c r="CZ1009" s="323"/>
      <c r="DA1009" s="323"/>
      <c r="DB1009" s="1269"/>
      <c r="DC1009" s="323"/>
      <c r="DD1009" s="323"/>
      <c r="DE1009" s="323"/>
      <c r="DF1009" s="323"/>
      <c r="DG1009" s="323"/>
      <c r="DH1009" s="323"/>
      <c r="DI1009" s="323"/>
      <c r="DJ1009" s="323"/>
      <c r="DK1009" s="323"/>
      <c r="DL1009" s="323"/>
      <c r="DM1009" s="323"/>
      <c r="DN1009" s="325"/>
      <c r="DO1009" s="323"/>
      <c r="DP1009" s="323"/>
      <c r="DQ1009" s="323"/>
      <c r="DR1009" s="323"/>
      <c r="DS1009" s="323"/>
      <c r="DT1009" s="323"/>
      <c r="DU1009" s="323"/>
      <c r="DV1009" s="323"/>
      <c r="DW1009" s="323"/>
      <c r="DX1009" s="323"/>
      <c r="DY1009" s="323"/>
      <c r="DZ1009" s="325"/>
      <c r="EA1009" s="323"/>
      <c r="EB1009" s="323"/>
      <c r="EC1009" s="323"/>
      <c r="ED1009" s="323"/>
      <c r="EE1009" s="323"/>
      <c r="EF1009" s="323"/>
      <c r="EG1009" s="323"/>
      <c r="EH1009" s="323"/>
      <c r="EI1009" s="323"/>
      <c r="EJ1009" s="323"/>
      <c r="EK1009" s="323"/>
      <c r="EL1009" s="325"/>
      <c r="EM1009" s="323"/>
      <c r="EN1009" s="323"/>
      <c r="EO1009" s="323"/>
      <c r="EP1009" s="323"/>
      <c r="EQ1009" s="323"/>
      <c r="ER1009" s="323"/>
      <c r="ES1009" s="323"/>
      <c r="ET1009" s="323"/>
      <c r="EU1009" s="323"/>
      <c r="EV1009" s="323"/>
      <c r="EW1009" s="323"/>
      <c r="EX1009" s="325"/>
      <c r="EY1009" s="323"/>
      <c r="EZ1009" s="323"/>
      <c r="FA1009" s="323"/>
      <c r="FB1009" s="323"/>
      <c r="FC1009" s="323"/>
      <c r="FD1009" s="323"/>
      <c r="FE1009" s="323"/>
      <c r="FF1009" s="323"/>
      <c r="FG1009" s="323"/>
      <c r="FH1009" s="323"/>
      <c r="FI1009" s="323"/>
      <c r="FJ1009" s="325"/>
      <c r="FK1009" s="323"/>
      <c r="FL1009" s="323"/>
      <c r="FM1009" s="323"/>
      <c r="FN1009" s="323"/>
      <c r="FO1009" s="323"/>
      <c r="FP1009" s="323"/>
      <c r="FQ1009" s="323"/>
      <c r="FR1009" s="323"/>
      <c r="FS1009" s="323"/>
      <c r="FT1009" s="323"/>
      <c r="FU1009" s="323"/>
      <c r="FV1009" s="323"/>
      <c r="FW1009" s="323"/>
      <c r="FX1009" s="323"/>
      <c r="FY1009" s="323"/>
      <c r="FZ1009" s="323"/>
      <c r="GA1009" s="323"/>
      <c r="GB1009" s="323"/>
      <c r="GC1009" s="323"/>
      <c r="GD1009" s="323"/>
      <c r="GE1009" s="323"/>
      <c r="GF1009" s="323"/>
      <c r="GG1009" s="323"/>
      <c r="GH1009" s="323"/>
      <c r="GI1009" s="1654">
        <v>0</v>
      </c>
      <c r="GJ1009" s="1654">
        <v>0</v>
      </c>
      <c r="GK1009" s="1654">
        <v>-0.28525051699999998</v>
      </c>
      <c r="GL1009" s="1654">
        <v>0</v>
      </c>
      <c r="GM1009" s="1654">
        <v>0</v>
      </c>
      <c r="GN1009" s="1654">
        <v>-0.29603533100000001</v>
      </c>
      <c r="GO1009" s="1654">
        <v>-69.050161872999993</v>
      </c>
      <c r="GP1009" s="1654">
        <v>0</v>
      </c>
      <c r="GQ1009" s="1654">
        <v>-8.7297215240000003</v>
      </c>
      <c r="GR1009" s="1654">
        <v>0</v>
      </c>
      <c r="GS1009" s="1654">
        <v>-9.1992606549999998</v>
      </c>
      <c r="GT1009" s="1654">
        <v>-0.98660119000000002</v>
      </c>
      <c r="GU1009" s="1654">
        <f>GU1011</f>
        <v>0</v>
      </c>
      <c r="GV1009" s="1654">
        <f t="shared" ref="GV1009:HR1009" si="2095">GV1011</f>
        <v>0</v>
      </c>
      <c r="GW1009" s="1654">
        <f t="shared" si="2095"/>
        <v>-0.99232490500000003</v>
      </c>
      <c r="GX1009" s="1654">
        <f t="shared" si="2095"/>
        <v>0</v>
      </c>
      <c r="GY1009" s="1654">
        <f t="shared" si="2095"/>
        <v>-9.9906587939999998</v>
      </c>
      <c r="GZ1009" s="1654">
        <f t="shared" si="2095"/>
        <v>-23.004864997999999</v>
      </c>
      <c r="HA1009" s="1654">
        <f t="shared" si="2095"/>
        <v>0</v>
      </c>
      <c r="HB1009" s="1654">
        <f t="shared" si="2095"/>
        <v>0</v>
      </c>
      <c r="HC1009" s="1654">
        <f t="shared" si="2095"/>
        <v>15.238439816999998</v>
      </c>
      <c r="HD1009" s="1654">
        <f t="shared" si="2095"/>
        <v>0</v>
      </c>
      <c r="HE1009" s="1654">
        <f t="shared" si="2095"/>
        <v>0</v>
      </c>
      <c r="HF1009" s="1654">
        <f t="shared" si="2095"/>
        <v>-12.039217196999999</v>
      </c>
      <c r="HG1009" s="1654">
        <f t="shared" si="2095"/>
        <v>-7.4881662630000001</v>
      </c>
      <c r="HH1009" s="1654">
        <f t="shared" si="2095"/>
        <v>0</v>
      </c>
      <c r="HI1009" s="1654">
        <f t="shared" si="2095"/>
        <v>-1.463363051</v>
      </c>
      <c r="HJ1009" s="1654">
        <f t="shared" si="2095"/>
        <v>0</v>
      </c>
      <c r="HK1009" s="1654">
        <f t="shared" si="2095"/>
        <v>0</v>
      </c>
      <c r="HL1009" s="1654">
        <f t="shared" si="2095"/>
        <v>-17.756314396</v>
      </c>
      <c r="HM1009" s="1654">
        <f t="shared" si="2095"/>
        <v>0</v>
      </c>
      <c r="HN1009" s="1654">
        <f t="shared" si="2095"/>
        <v>-0.50626038100000004</v>
      </c>
      <c r="HO1009" s="1654">
        <f t="shared" si="2095"/>
        <v>-1.5248363229999999</v>
      </c>
      <c r="HP1009" s="1654">
        <f t="shared" si="2095"/>
        <v>0</v>
      </c>
      <c r="HQ1009" s="1654">
        <f t="shared" si="2095"/>
        <v>-0.52106255599999995</v>
      </c>
      <c r="HR1009" s="1654">
        <f t="shared" si="2095"/>
        <v>-1.4825578290000001</v>
      </c>
      <c r="HS1009" s="1654">
        <f t="shared" ref="HS1009:HX1009" si="2096">HS1011</f>
        <v>72.050819250000004</v>
      </c>
      <c r="HT1009" s="1654">
        <f t="shared" si="2096"/>
        <v>0</v>
      </c>
      <c r="HU1009" s="1654">
        <f t="shared" si="2096"/>
        <v>-0.66064854399999995</v>
      </c>
      <c r="HV1009" s="1654">
        <f t="shared" si="2096"/>
        <v>0</v>
      </c>
      <c r="HW1009" s="1654">
        <f t="shared" si="2096"/>
        <v>0</v>
      </c>
      <c r="HX1009" s="1654">
        <f t="shared" si="2096"/>
        <v>-0.66064854399999995</v>
      </c>
      <c r="HY1009" s="1654"/>
      <c r="HZ1009" s="326"/>
      <c r="IA1009" s="1455" t="s">
        <v>3163</v>
      </c>
      <c r="IB1009" s="284"/>
      <c r="ID1009" s="323"/>
      <c r="IG1009" s="323"/>
      <c r="IH1009" s="284"/>
      <c r="IJ1009" s="323"/>
      <c r="IK1009" s="327"/>
      <c r="IM1009" s="323"/>
      <c r="IP1009" s="323"/>
      <c r="IQ1009" s="327"/>
      <c r="IR1009" s="327"/>
      <c r="IS1009" s="323"/>
      <c r="IT1009" s="327"/>
      <c r="IU1009" s="327"/>
      <c r="IV1009" s="323"/>
      <c r="IW1009" s="327">
        <f t="shared" si="2091"/>
        <v>0</v>
      </c>
      <c r="IX1009" s="327">
        <f t="shared" si="2092"/>
        <v>0</v>
      </c>
      <c r="IY1009" s="323">
        <f t="shared" si="2005"/>
        <v>0</v>
      </c>
      <c r="IZ1009" s="327">
        <f t="shared" si="2018"/>
        <v>0</v>
      </c>
      <c r="JA1009" s="327">
        <f t="shared" si="2019"/>
        <v>0</v>
      </c>
      <c r="JB1009" s="323">
        <f t="shared" si="2036"/>
        <v>0</v>
      </c>
      <c r="JC1009" s="327">
        <f t="shared" si="2020"/>
        <v>-0.58128584800000005</v>
      </c>
      <c r="JD1009" s="327">
        <f t="shared" si="2021"/>
        <v>-87.965745241999997</v>
      </c>
      <c r="JE1009" s="323">
        <f t="shared" si="1945"/>
        <v>-88.54703108999999</v>
      </c>
      <c r="JF1009" s="327">
        <f>JF1010+JF1011</f>
        <v>-33.987848696999997</v>
      </c>
      <c r="JG1009" s="327">
        <f>JG1010+JG1011</f>
        <v>3.1992226199999987</v>
      </c>
      <c r="JH1009" s="323">
        <f t="shared" si="1944"/>
        <v>-30.788626076999996</v>
      </c>
      <c r="JI1009" s="327">
        <f t="shared" si="1993"/>
        <v>-26.707843709999999</v>
      </c>
      <c r="JJ1009" s="327">
        <f t="shared" si="2035"/>
        <v>-4.0347170889999999</v>
      </c>
      <c r="JK1009" s="323">
        <f t="shared" si="1933"/>
        <v>-30.742560799</v>
      </c>
      <c r="JL1009" s="327">
        <f t="shared" si="1946"/>
        <v>70.729522162000009</v>
      </c>
      <c r="JM1009" s="327">
        <f>JM1010+JM1011</f>
        <v>-135.17088620181892</v>
      </c>
      <c r="JN1009" s="323">
        <f>FISC!AK1335</f>
        <v>-64.441364039818922</v>
      </c>
      <c r="JO1009" s="327">
        <f>JO1010+JO1011</f>
        <v>-2.5001996766800003</v>
      </c>
      <c r="JP1009" s="327">
        <f>JP1010+JP1011</f>
        <v>-33.240666355680005</v>
      </c>
      <c r="JQ1009" s="323">
        <f>FISC!AL1335</f>
        <v>-35.740866032360003</v>
      </c>
      <c r="JR1009" s="327">
        <f>JR1010+JR1011</f>
        <v>-2.6755779866800005</v>
      </c>
      <c r="JS1009" s="327">
        <f>JS1010+JS1011</f>
        <v>-75.846086399680004</v>
      </c>
      <c r="JT1009" s="323">
        <f>FISC!AM1335</f>
        <v>-78.521664386360001</v>
      </c>
      <c r="JU1009" s="327">
        <f>JU1010+JU1011</f>
        <v>-2.8817427176800003</v>
      </c>
      <c r="JV1009" s="327">
        <f>JV1010+JV1011</f>
        <v>-65.517994575679992</v>
      </c>
      <c r="JW1009" s="323">
        <f>FISC!AN1335</f>
        <v>-68.399737293359991</v>
      </c>
      <c r="JX1009" s="327">
        <f>JX1010+JX1011</f>
        <v>-3.1076694776800005</v>
      </c>
      <c r="JY1009" s="327">
        <f>JY1010+JY1011</f>
        <v>-77.95090515167999</v>
      </c>
      <c r="JZ1009" s="323">
        <f>FISC!AO1335</f>
        <v>-81.058574629359995</v>
      </c>
      <c r="KA1009" s="327">
        <f>KA1010+KA1011</f>
        <v>-3.3726634226800005</v>
      </c>
      <c r="KB1009" s="327">
        <f>KB1010+KB1011</f>
        <v>-72.179747354679989</v>
      </c>
      <c r="KC1009" s="323">
        <f>FISC!AP1335</f>
        <v>-75.552410777359995</v>
      </c>
      <c r="KD1009" s="327">
        <f>KD1010+KD1011</f>
        <v>-3.6767500136800004</v>
      </c>
      <c r="KE1009" s="327">
        <f>KE1010+KE1011</f>
        <v>-24.947389467680001</v>
      </c>
      <c r="KF1009" s="323">
        <f>FISC!AQ1335</f>
        <v>-28.62413948136</v>
      </c>
      <c r="KG1009" s="327">
        <f>KG1010+KG1011</f>
        <v>-4.0276658736800002</v>
      </c>
      <c r="KH1009" s="327">
        <f>KH1010+KH1011</f>
        <v>-65.063933679679991</v>
      </c>
      <c r="KI1009" s="323">
        <f>FISC!AR1335</f>
        <v>-69.091599553359998</v>
      </c>
      <c r="KJ1009" s="327">
        <f>KJ1010+KJ1011</f>
        <v>-4.4260214986799999</v>
      </c>
      <c r="KK1009" s="327">
        <f>KK1010+KK1011</f>
        <v>-19.718965212679997</v>
      </c>
      <c r="KL1009" s="323">
        <f>FISC!AS1335</f>
        <v>-24.144986711359998</v>
      </c>
      <c r="KM1009" s="327">
        <f>KM1010+KM1011</f>
        <v>-1.3212970886800002</v>
      </c>
      <c r="KN1009" s="327">
        <f>KN1010+KN1011</f>
        <v>-40.086697088680005</v>
      </c>
      <c r="KO1009" s="323">
        <f>FISC!AT1335</f>
        <v>-41.407994177360003</v>
      </c>
      <c r="KU1009" s="326"/>
      <c r="KV1009" s="327"/>
    </row>
    <row r="1010" spans="1:314">
      <c r="A1010" s="279"/>
      <c r="D1010" s="1464" t="s">
        <v>3160</v>
      </c>
      <c r="E1010" s="323"/>
      <c r="F1010" s="323"/>
      <c r="G1010" s="323"/>
      <c r="H1010" s="323"/>
      <c r="I1010" s="323"/>
      <c r="J1010" s="323"/>
      <c r="K1010" s="323"/>
      <c r="L1010" s="323"/>
      <c r="M1010" s="323"/>
      <c r="N1010" s="323"/>
      <c r="O1010" s="323"/>
      <c r="P1010" s="323"/>
      <c r="Q1010" s="323"/>
      <c r="R1010" s="323"/>
      <c r="S1010" s="323"/>
      <c r="T1010" s="323"/>
      <c r="U1010" s="323"/>
      <c r="V1010" s="323"/>
      <c r="W1010" s="323"/>
      <c r="X1010" s="323"/>
      <c r="Y1010" s="323"/>
      <c r="Z1010" s="323"/>
      <c r="AA1010" s="323"/>
      <c r="AB1010" s="323"/>
      <c r="AC1010" s="323"/>
      <c r="AD1010" s="323"/>
      <c r="AE1010" s="323"/>
      <c r="AF1010" s="323"/>
      <c r="AG1010" s="323"/>
      <c r="AH1010" s="323"/>
      <c r="AI1010" s="323"/>
      <c r="AJ1010" s="323"/>
      <c r="AK1010" s="323"/>
      <c r="AL1010" s="323"/>
      <c r="AM1010" s="323"/>
      <c r="AN1010" s="323"/>
      <c r="AO1010" s="323"/>
      <c r="AP1010" s="323"/>
      <c r="AQ1010" s="323"/>
      <c r="AR1010" s="323"/>
      <c r="AS1010" s="323"/>
      <c r="AT1010" s="323"/>
      <c r="AU1010" s="323"/>
      <c r="AV1010" s="323"/>
      <c r="AW1010" s="323"/>
      <c r="AX1010" s="323"/>
      <c r="AY1010" s="323"/>
      <c r="AZ1010" s="323"/>
      <c r="BA1010" s="323"/>
      <c r="BB1010" s="323"/>
      <c r="BC1010" s="323"/>
      <c r="BD1010" s="323"/>
      <c r="BE1010" s="323"/>
      <c r="BF1010" s="323"/>
      <c r="BG1010" s="323"/>
      <c r="BH1010" s="323"/>
      <c r="BI1010" s="323"/>
      <c r="BJ1010" s="323"/>
      <c r="BK1010" s="323"/>
      <c r="BL1010" s="323"/>
      <c r="BM1010" s="323"/>
      <c r="BN1010" s="323"/>
      <c r="BO1010" s="323"/>
      <c r="BP1010" s="323"/>
      <c r="BQ1010" s="323"/>
      <c r="BR1010" s="323"/>
      <c r="BS1010" s="323"/>
      <c r="BT1010" s="323"/>
      <c r="BU1010" s="323"/>
      <c r="BV1010" s="323"/>
      <c r="BW1010" s="323"/>
      <c r="BX1010" s="323"/>
      <c r="BY1010" s="323"/>
      <c r="BZ1010" s="323"/>
      <c r="CA1010" s="323"/>
      <c r="CB1010" s="323"/>
      <c r="CC1010" s="323"/>
      <c r="CD1010" s="329"/>
      <c r="CE1010" s="323"/>
      <c r="CF1010" s="323"/>
      <c r="CG1010" s="323"/>
      <c r="CH1010" s="323"/>
      <c r="CI1010" s="323"/>
      <c r="CJ1010" s="323"/>
      <c r="CK1010" s="323"/>
      <c r="CL1010" s="323"/>
      <c r="CM1010" s="323"/>
      <c r="CN1010" s="323"/>
      <c r="CO1010" s="323"/>
      <c r="CP1010" s="325"/>
      <c r="CQ1010" s="323"/>
      <c r="CR1010" s="323"/>
      <c r="CS1010" s="323"/>
      <c r="CT1010" s="323"/>
      <c r="CU1010" s="323"/>
      <c r="CV1010" s="323"/>
      <c r="CW1010" s="323"/>
      <c r="CX1010" s="323"/>
      <c r="CY1010" s="323"/>
      <c r="CZ1010" s="323"/>
      <c r="DA1010" s="323"/>
      <c r="DB1010" s="1269"/>
      <c r="DC1010" s="323"/>
      <c r="DD1010" s="323"/>
      <c r="DE1010" s="323"/>
      <c r="DF1010" s="323"/>
      <c r="DG1010" s="323"/>
      <c r="DH1010" s="323"/>
      <c r="DI1010" s="323"/>
      <c r="DJ1010" s="323"/>
      <c r="DK1010" s="323"/>
      <c r="DL1010" s="323"/>
      <c r="DM1010" s="323"/>
      <c r="DN1010" s="325"/>
      <c r="DO1010" s="323"/>
      <c r="DP1010" s="323"/>
      <c r="DQ1010" s="323"/>
      <c r="DR1010" s="323"/>
      <c r="DS1010" s="323"/>
      <c r="DT1010" s="323"/>
      <c r="DU1010" s="323"/>
      <c r="DV1010" s="323"/>
      <c r="DW1010" s="323"/>
      <c r="DX1010" s="323"/>
      <c r="DY1010" s="323"/>
      <c r="DZ1010" s="325"/>
      <c r="EA1010" s="323"/>
      <c r="EB1010" s="323"/>
      <c r="EC1010" s="323"/>
      <c r="ED1010" s="323"/>
      <c r="EE1010" s="323"/>
      <c r="EF1010" s="323"/>
      <c r="EG1010" s="323"/>
      <c r="EH1010" s="323"/>
      <c r="EI1010" s="323"/>
      <c r="EJ1010" s="323"/>
      <c r="EK1010" s="323"/>
      <c r="EL1010" s="325"/>
      <c r="EM1010" s="323"/>
      <c r="EN1010" s="323"/>
      <c r="EO1010" s="323"/>
      <c r="EP1010" s="323"/>
      <c r="EQ1010" s="323"/>
      <c r="ER1010" s="323"/>
      <c r="ES1010" s="323"/>
      <c r="ET1010" s="323"/>
      <c r="EU1010" s="323"/>
      <c r="EV1010" s="323"/>
      <c r="EW1010" s="323"/>
      <c r="EX1010" s="325"/>
      <c r="EY1010" s="323"/>
      <c r="EZ1010" s="323"/>
      <c r="FA1010" s="323"/>
      <c r="FB1010" s="323"/>
      <c r="FC1010" s="323"/>
      <c r="FD1010" s="323"/>
      <c r="FE1010" s="323"/>
      <c r="FF1010" s="323"/>
      <c r="FG1010" s="323"/>
      <c r="FH1010" s="323"/>
      <c r="FI1010" s="323"/>
      <c r="FJ1010" s="325"/>
      <c r="FK1010" s="323"/>
      <c r="FL1010" s="323"/>
      <c r="FM1010" s="323"/>
      <c r="FN1010" s="323"/>
      <c r="FO1010" s="323"/>
      <c r="FP1010" s="323"/>
      <c r="FQ1010" s="323"/>
      <c r="FR1010" s="323"/>
      <c r="FS1010" s="323"/>
      <c r="FT1010" s="323"/>
      <c r="FU1010" s="323"/>
      <c r="FV1010" s="323"/>
      <c r="FW1010" s="323"/>
      <c r="FX1010" s="323"/>
      <c r="FY1010" s="323"/>
      <c r="FZ1010" s="323"/>
      <c r="GA1010" s="323"/>
      <c r="GB1010" s="323"/>
      <c r="GC1010" s="323"/>
      <c r="GD1010" s="323"/>
      <c r="GE1010" s="323"/>
      <c r="GF1010" s="323"/>
      <c r="GG1010" s="323"/>
      <c r="GH1010" s="323"/>
      <c r="GI1010" s="1654"/>
      <c r="GJ1010" s="1654"/>
      <c r="GK1010" s="1654"/>
      <c r="GL1010" s="1654"/>
      <c r="GM1010" s="1654"/>
      <c r="GN1010" s="1654"/>
      <c r="HZ1010" s="326"/>
      <c r="IA1010" s="1455" t="s">
        <v>3160</v>
      </c>
      <c r="IB1010" s="284"/>
      <c r="ID1010" s="323"/>
      <c r="IG1010" s="323"/>
      <c r="IH1010" s="284"/>
      <c r="IJ1010" s="323"/>
      <c r="IK1010" s="327"/>
      <c r="IM1010" s="323"/>
      <c r="IP1010" s="323"/>
      <c r="IQ1010" s="327"/>
      <c r="IR1010" s="327"/>
      <c r="IS1010" s="323"/>
      <c r="IT1010" s="327"/>
      <c r="IU1010" s="327"/>
      <c r="IV1010" s="323"/>
      <c r="IW1010" s="327">
        <f t="shared" si="2091"/>
        <v>0</v>
      </c>
      <c r="IX1010" s="327">
        <f t="shared" si="2092"/>
        <v>0</v>
      </c>
      <c r="IY1010" s="323">
        <f t="shared" si="2005"/>
        <v>0</v>
      </c>
      <c r="IZ1010" s="327">
        <f t="shared" si="2018"/>
        <v>0</v>
      </c>
      <c r="JA1010" s="327">
        <f t="shared" si="2019"/>
        <v>0</v>
      </c>
      <c r="JB1010" s="323">
        <f t="shared" si="2036"/>
        <v>0</v>
      </c>
      <c r="JC1010" s="327">
        <f t="shared" si="2020"/>
        <v>0</v>
      </c>
      <c r="JD1010" s="327">
        <f t="shared" si="2021"/>
        <v>0</v>
      </c>
      <c r="JE1010" s="323">
        <f t="shared" si="1945"/>
        <v>0</v>
      </c>
      <c r="JF1010" s="327">
        <f t="shared" ref="JF1010:JF1018" si="2097">SUM(GU1010:GZ1010)</f>
        <v>0</v>
      </c>
      <c r="JG1010" s="327">
        <f t="shared" ref="JG1010:JG1011" si="2098">SUM(HA1010:HF1010)</f>
        <v>0</v>
      </c>
      <c r="JH1010" s="323">
        <f t="shared" si="1944"/>
        <v>0</v>
      </c>
      <c r="JI1010" s="327">
        <f t="shared" si="1993"/>
        <v>0</v>
      </c>
      <c r="JJ1010" s="279">
        <f t="shared" si="2035"/>
        <v>0</v>
      </c>
      <c r="JK1010" s="323">
        <f t="shared" si="1933"/>
        <v>0</v>
      </c>
      <c r="JL1010" s="327">
        <f t="shared" si="1946"/>
        <v>0</v>
      </c>
      <c r="JM1010" s="279">
        <f t="shared" si="2062"/>
        <v>0</v>
      </c>
      <c r="JN1010" s="323">
        <f>FISC!AK1336</f>
        <v>0</v>
      </c>
      <c r="JO1010" s="327">
        <f t="shared" ref="JO1010:JO1018" si="2099">JQ1010/2</f>
        <v>0</v>
      </c>
      <c r="JP1010" s="279">
        <f>JQ1010-JO1010</f>
        <v>0</v>
      </c>
      <c r="JQ1010" s="323">
        <f>FISC!AL1336</f>
        <v>0</v>
      </c>
      <c r="JR1010" s="327">
        <f t="shared" ref="JR1010:JR1018" si="2100">JT1010/2</f>
        <v>0</v>
      </c>
      <c r="JS1010" s="279">
        <f>JT1010-JR1010</f>
        <v>0</v>
      </c>
      <c r="JT1010" s="323">
        <f>FISC!AM1336</f>
        <v>0</v>
      </c>
      <c r="JU1010" s="327">
        <f t="shared" ref="JU1010" si="2101">JW1010/2</f>
        <v>0</v>
      </c>
      <c r="JV1010" s="279">
        <f>JW1010-JU1010</f>
        <v>0</v>
      </c>
      <c r="JW1010" s="323">
        <f>FISC!AN1336</f>
        <v>0</v>
      </c>
      <c r="JX1010" s="327">
        <f t="shared" ref="JX1010" si="2102">JZ1010/2</f>
        <v>0</v>
      </c>
      <c r="JY1010" s="279">
        <f>JZ1010-JX1010</f>
        <v>0</v>
      </c>
      <c r="JZ1010" s="323">
        <f>FISC!AO1336</f>
        <v>0</v>
      </c>
      <c r="KA1010" s="327">
        <f t="shared" ref="KA1010" si="2103">KC1010/2</f>
        <v>0</v>
      </c>
      <c r="KB1010" s="279">
        <f>KC1010-KA1010</f>
        <v>0</v>
      </c>
      <c r="KC1010" s="323">
        <f>FISC!AP1336</f>
        <v>0</v>
      </c>
      <c r="KD1010" s="327">
        <f t="shared" ref="KD1010" si="2104">KF1010/2</f>
        <v>0</v>
      </c>
      <c r="KE1010" s="279">
        <f>KF1010-KD1010</f>
        <v>0</v>
      </c>
      <c r="KF1010" s="323">
        <f>FISC!AQ1336</f>
        <v>0</v>
      </c>
      <c r="KG1010" s="327">
        <f t="shared" ref="KG1010" si="2105">KI1010/2</f>
        <v>0</v>
      </c>
      <c r="KH1010" s="279">
        <f>KI1010-KG1010</f>
        <v>0</v>
      </c>
      <c r="KI1010" s="323">
        <f>FISC!AR1336</f>
        <v>0</v>
      </c>
      <c r="KJ1010" s="327">
        <f t="shared" ref="KJ1010" si="2106">KL1010/2</f>
        <v>0</v>
      </c>
      <c r="KK1010" s="279">
        <f>KL1010-KJ1010</f>
        <v>0</v>
      </c>
      <c r="KL1010" s="323">
        <f>FISC!AS1336</f>
        <v>0</v>
      </c>
      <c r="KM1010" s="327">
        <f t="shared" ref="KM1010" si="2107">KO1010/2</f>
        <v>0</v>
      </c>
      <c r="KN1010" s="279">
        <f>KO1010-KM1010</f>
        <v>0</v>
      </c>
      <c r="KO1010" s="323">
        <f>FISC!AT1336</f>
        <v>0</v>
      </c>
      <c r="KU1010" s="326"/>
      <c r="KV1010" s="327"/>
    </row>
    <row r="1011" spans="1:314">
      <c r="A1011" s="279"/>
      <c r="D1011" s="1464" t="s">
        <v>3161</v>
      </c>
      <c r="E1011" s="323"/>
      <c r="F1011" s="323"/>
      <c r="G1011" s="323"/>
      <c r="H1011" s="323"/>
      <c r="I1011" s="323"/>
      <c r="J1011" s="323"/>
      <c r="K1011" s="323"/>
      <c r="L1011" s="323"/>
      <c r="M1011" s="323"/>
      <c r="N1011" s="323"/>
      <c r="O1011" s="323"/>
      <c r="P1011" s="323"/>
      <c r="Q1011" s="323"/>
      <c r="R1011" s="323"/>
      <c r="S1011" s="323"/>
      <c r="T1011" s="323"/>
      <c r="U1011" s="323"/>
      <c r="V1011" s="323"/>
      <c r="W1011" s="323"/>
      <c r="X1011" s="323"/>
      <c r="Y1011" s="323"/>
      <c r="Z1011" s="323"/>
      <c r="AA1011" s="323"/>
      <c r="AB1011" s="323"/>
      <c r="AC1011" s="323"/>
      <c r="AD1011" s="323"/>
      <c r="AE1011" s="323"/>
      <c r="AF1011" s="323"/>
      <c r="AG1011" s="323"/>
      <c r="AH1011" s="323"/>
      <c r="AI1011" s="323"/>
      <c r="AJ1011" s="323"/>
      <c r="AK1011" s="323"/>
      <c r="AL1011" s="323"/>
      <c r="AM1011" s="323"/>
      <c r="AN1011" s="323"/>
      <c r="AO1011" s="323"/>
      <c r="AP1011" s="323"/>
      <c r="AQ1011" s="323"/>
      <c r="AR1011" s="323"/>
      <c r="AS1011" s="323"/>
      <c r="AT1011" s="323"/>
      <c r="AU1011" s="323"/>
      <c r="AV1011" s="323"/>
      <c r="AW1011" s="323"/>
      <c r="AX1011" s="323"/>
      <c r="AY1011" s="323"/>
      <c r="AZ1011" s="323"/>
      <c r="BA1011" s="323"/>
      <c r="BB1011" s="323"/>
      <c r="BC1011" s="323"/>
      <c r="BD1011" s="323"/>
      <c r="BE1011" s="323"/>
      <c r="BF1011" s="323"/>
      <c r="BG1011" s="323"/>
      <c r="BH1011" s="323"/>
      <c r="BI1011" s="323"/>
      <c r="BJ1011" s="323"/>
      <c r="BK1011" s="323"/>
      <c r="BL1011" s="323"/>
      <c r="BM1011" s="323"/>
      <c r="BN1011" s="323"/>
      <c r="BO1011" s="323"/>
      <c r="BP1011" s="323"/>
      <c r="BQ1011" s="323"/>
      <c r="BR1011" s="323"/>
      <c r="BS1011" s="323"/>
      <c r="BT1011" s="323"/>
      <c r="BU1011" s="323"/>
      <c r="BV1011" s="323"/>
      <c r="BW1011" s="323"/>
      <c r="BX1011" s="323"/>
      <c r="BY1011" s="323"/>
      <c r="BZ1011" s="323"/>
      <c r="CA1011" s="323"/>
      <c r="CB1011" s="323"/>
      <c r="CC1011" s="323"/>
      <c r="CD1011" s="329"/>
      <c r="CE1011" s="323"/>
      <c r="CF1011" s="323"/>
      <c r="CG1011" s="323"/>
      <c r="CH1011" s="323"/>
      <c r="CI1011" s="323"/>
      <c r="CJ1011" s="323"/>
      <c r="CK1011" s="323"/>
      <c r="CL1011" s="323"/>
      <c r="CM1011" s="323"/>
      <c r="CN1011" s="323"/>
      <c r="CO1011" s="323"/>
      <c r="CP1011" s="325"/>
      <c r="CQ1011" s="323"/>
      <c r="CR1011" s="323"/>
      <c r="CS1011" s="323"/>
      <c r="CT1011" s="323"/>
      <c r="CU1011" s="323"/>
      <c r="CV1011" s="323"/>
      <c r="CW1011" s="323"/>
      <c r="CX1011" s="323"/>
      <c r="CY1011" s="323"/>
      <c r="CZ1011" s="323"/>
      <c r="DA1011" s="323"/>
      <c r="DB1011" s="1269"/>
      <c r="DC1011" s="323"/>
      <c r="DD1011" s="323"/>
      <c r="DE1011" s="323"/>
      <c r="DF1011" s="323"/>
      <c r="DG1011" s="323"/>
      <c r="DH1011" s="323"/>
      <c r="DI1011" s="323"/>
      <c r="DJ1011" s="323"/>
      <c r="DK1011" s="323"/>
      <c r="DL1011" s="323"/>
      <c r="DM1011" s="323"/>
      <c r="DN1011" s="325"/>
      <c r="DO1011" s="323"/>
      <c r="DP1011" s="323"/>
      <c r="DQ1011" s="323"/>
      <c r="DR1011" s="323"/>
      <c r="DS1011" s="323"/>
      <c r="DT1011" s="323"/>
      <c r="DU1011" s="323"/>
      <c r="DV1011" s="323"/>
      <c r="DW1011" s="323"/>
      <c r="DX1011" s="323"/>
      <c r="DY1011" s="323"/>
      <c r="DZ1011" s="325"/>
      <c r="EA1011" s="323"/>
      <c r="EB1011" s="323"/>
      <c r="EC1011" s="323"/>
      <c r="ED1011" s="323"/>
      <c r="EE1011" s="323"/>
      <c r="EF1011" s="323"/>
      <c r="EG1011" s="323"/>
      <c r="EH1011" s="323"/>
      <c r="EI1011" s="323"/>
      <c r="EJ1011" s="323"/>
      <c r="EK1011" s="323"/>
      <c r="EL1011" s="325"/>
      <c r="EM1011" s="323"/>
      <c r="EN1011" s="323"/>
      <c r="EO1011" s="323"/>
      <c r="EP1011" s="323"/>
      <c r="EQ1011" s="323"/>
      <c r="ER1011" s="323"/>
      <c r="ES1011" s="323"/>
      <c r="ET1011" s="323"/>
      <c r="EU1011" s="323"/>
      <c r="EV1011" s="323"/>
      <c r="EW1011" s="323"/>
      <c r="EX1011" s="325"/>
      <c r="EY1011" s="323"/>
      <c r="EZ1011" s="323"/>
      <c r="FA1011" s="323"/>
      <c r="FB1011" s="323"/>
      <c r="FC1011" s="323"/>
      <c r="FD1011" s="323"/>
      <c r="FE1011" s="323"/>
      <c r="FF1011" s="323"/>
      <c r="FG1011" s="323"/>
      <c r="FH1011" s="323"/>
      <c r="FI1011" s="323"/>
      <c r="FJ1011" s="325"/>
      <c r="FK1011" s="323"/>
      <c r="FL1011" s="323"/>
      <c r="FM1011" s="323"/>
      <c r="FN1011" s="323"/>
      <c r="FO1011" s="323"/>
      <c r="FP1011" s="323"/>
      <c r="FQ1011" s="323"/>
      <c r="FR1011" s="323"/>
      <c r="FS1011" s="323"/>
      <c r="FT1011" s="323"/>
      <c r="FU1011" s="323"/>
      <c r="FV1011" s="323"/>
      <c r="FW1011" s="323"/>
      <c r="FX1011" s="323"/>
      <c r="FY1011" s="323"/>
      <c r="FZ1011" s="323"/>
      <c r="GA1011" s="323"/>
      <c r="GB1011" s="323"/>
      <c r="GC1011" s="323"/>
      <c r="GD1011" s="323"/>
      <c r="GE1011" s="323"/>
      <c r="GF1011" s="323"/>
      <c r="GG1011" s="323"/>
      <c r="GH1011" s="323"/>
      <c r="GI1011" s="1654">
        <v>0</v>
      </c>
      <c r="GJ1011" s="1654">
        <v>0</v>
      </c>
      <c r="GK1011" s="1654">
        <v>-0.28525051699999998</v>
      </c>
      <c r="GL1011" s="1654">
        <v>0</v>
      </c>
      <c r="GM1011" s="1654">
        <v>0</v>
      </c>
      <c r="GN1011" s="1654">
        <v>-0.29603533100000001</v>
      </c>
      <c r="GO1011" s="1654">
        <v>-69.050161872999993</v>
      </c>
      <c r="GP1011" s="1654">
        <v>0</v>
      </c>
      <c r="GQ1011" s="1654">
        <v>-8.7297215240000003</v>
      </c>
      <c r="GR1011" s="1654">
        <v>0</v>
      </c>
      <c r="GS1011" s="1654">
        <v>-9.1992606549999998</v>
      </c>
      <c r="GT1011" s="1654">
        <v>-0.98660119000000002</v>
      </c>
      <c r="GU1011" s="1654">
        <f>GU1012+GU1013</f>
        <v>0</v>
      </c>
      <c r="GV1011" s="1654">
        <f t="shared" ref="GV1011:HR1011" si="2108">GV1012+GV1013</f>
        <v>0</v>
      </c>
      <c r="GW1011" s="1654">
        <f t="shared" si="2108"/>
        <v>-0.99232490500000003</v>
      </c>
      <c r="GX1011" s="1654">
        <f t="shared" si="2108"/>
        <v>0</v>
      </c>
      <c r="GY1011" s="1654">
        <f>GY1012+GY1013</f>
        <v>-9.9906587939999998</v>
      </c>
      <c r="GZ1011" s="1654">
        <f t="shared" si="2108"/>
        <v>-23.004864997999999</v>
      </c>
      <c r="HA1011" s="1654">
        <f t="shared" si="2108"/>
        <v>0</v>
      </c>
      <c r="HB1011" s="1654">
        <f t="shared" si="2108"/>
        <v>0</v>
      </c>
      <c r="HC1011" s="1654">
        <f t="shared" si="2108"/>
        <v>15.238439816999998</v>
      </c>
      <c r="HD1011" s="1654">
        <f t="shared" si="2108"/>
        <v>0</v>
      </c>
      <c r="HE1011" s="1654">
        <f t="shared" si="2108"/>
        <v>0</v>
      </c>
      <c r="HF1011" s="1654">
        <f t="shared" si="2108"/>
        <v>-12.039217196999999</v>
      </c>
      <c r="HG1011" s="1654">
        <f t="shared" si="2108"/>
        <v>-7.4881662630000001</v>
      </c>
      <c r="HH1011" s="1654">
        <f t="shared" si="2108"/>
        <v>0</v>
      </c>
      <c r="HI1011" s="1654">
        <f t="shared" si="2108"/>
        <v>-1.463363051</v>
      </c>
      <c r="HJ1011" s="1654">
        <f t="shared" si="2108"/>
        <v>0</v>
      </c>
      <c r="HK1011" s="1654">
        <f t="shared" si="2108"/>
        <v>0</v>
      </c>
      <c r="HL1011" s="1654">
        <f t="shared" si="2108"/>
        <v>-17.756314396</v>
      </c>
      <c r="HM1011" s="1654">
        <f t="shared" si="2108"/>
        <v>0</v>
      </c>
      <c r="HN1011" s="1654">
        <f t="shared" si="2108"/>
        <v>-0.50626038100000004</v>
      </c>
      <c r="HO1011" s="1654">
        <f t="shared" si="2108"/>
        <v>-1.5248363229999999</v>
      </c>
      <c r="HP1011" s="1654">
        <f t="shared" si="2108"/>
        <v>0</v>
      </c>
      <c r="HQ1011" s="1654">
        <f t="shared" si="2108"/>
        <v>-0.52106255599999995</v>
      </c>
      <c r="HR1011" s="1654">
        <f t="shared" si="2108"/>
        <v>-1.4825578290000001</v>
      </c>
      <c r="HS1011" s="1654">
        <f t="shared" ref="HS1011:HX1011" si="2109">HS1012+HS1013</f>
        <v>72.050819250000004</v>
      </c>
      <c r="HT1011" s="1654">
        <f t="shared" si="2109"/>
        <v>0</v>
      </c>
      <c r="HU1011" s="1654">
        <f t="shared" si="2109"/>
        <v>-0.66064854399999995</v>
      </c>
      <c r="HV1011" s="1654">
        <f t="shared" si="2109"/>
        <v>0</v>
      </c>
      <c r="HW1011" s="1654">
        <f t="shared" si="2109"/>
        <v>0</v>
      </c>
      <c r="HX1011" s="1654">
        <f t="shared" si="2109"/>
        <v>-0.66064854399999995</v>
      </c>
      <c r="HY1011" s="1654"/>
      <c r="HZ1011" s="326"/>
      <c r="IA1011" s="1455" t="s">
        <v>3161</v>
      </c>
      <c r="IB1011" s="284"/>
      <c r="ID1011" s="323"/>
      <c r="IG1011" s="323"/>
      <c r="IH1011" s="284"/>
      <c r="IJ1011" s="323"/>
      <c r="IK1011" s="327"/>
      <c r="IM1011" s="323"/>
      <c r="IP1011" s="323"/>
      <c r="IQ1011" s="327"/>
      <c r="IR1011" s="327"/>
      <c r="IS1011" s="323"/>
      <c r="IT1011" s="327"/>
      <c r="IU1011" s="327"/>
      <c r="IV1011" s="323"/>
      <c r="IW1011" s="327">
        <f t="shared" si="2091"/>
        <v>0</v>
      </c>
      <c r="IX1011" s="327">
        <f t="shared" si="2092"/>
        <v>0</v>
      </c>
      <c r="IY1011" s="323">
        <f t="shared" si="2005"/>
        <v>0</v>
      </c>
      <c r="IZ1011" s="327">
        <f t="shared" ref="IZ1011:IZ1032" si="2110">SUM(FW1011:GB1011)</f>
        <v>0</v>
      </c>
      <c r="JA1011" s="327">
        <f t="shared" ref="JA1011:JA1032" si="2111">SUM(GC1011:GH1011)</f>
        <v>0</v>
      </c>
      <c r="JB1011" s="323">
        <f t="shared" si="2036"/>
        <v>0</v>
      </c>
      <c r="JC1011" s="327">
        <f t="shared" ref="JC1011:JC1038" si="2112">SUM(GI1011:GN1011)</f>
        <v>-0.58128584800000005</v>
      </c>
      <c r="JD1011" s="327">
        <f t="shared" ref="JD1011:JD1038" si="2113">SUM(GO1011:GT1011)</f>
        <v>-87.965745241999997</v>
      </c>
      <c r="JE1011" s="323">
        <f t="shared" si="1945"/>
        <v>-88.54703108999999</v>
      </c>
      <c r="JF1011" s="327">
        <f t="shared" si="2097"/>
        <v>-33.987848696999997</v>
      </c>
      <c r="JG1011" s="327">
        <f t="shared" si="2098"/>
        <v>3.1992226199999987</v>
      </c>
      <c r="JH1011" s="323">
        <f t="shared" si="1944"/>
        <v>-30.788626076999996</v>
      </c>
      <c r="JI1011" s="327">
        <f t="shared" si="1993"/>
        <v>-26.707843709999999</v>
      </c>
      <c r="JJ1011" s="279">
        <f t="shared" si="2035"/>
        <v>-4.0347170889999999</v>
      </c>
      <c r="JK1011" s="323">
        <f t="shared" ref="JK1011" si="2114">JI1011+JJ1011</f>
        <v>-30.742560799</v>
      </c>
      <c r="JL1011" s="327">
        <f t="shared" si="1946"/>
        <v>70.729522162000009</v>
      </c>
      <c r="JM1011" s="279">
        <f>JN1011-JL1011</f>
        <v>-135.17088620181892</v>
      </c>
      <c r="JN1011" s="323">
        <f>FISC!AK1337</f>
        <v>-64.441364039818922</v>
      </c>
      <c r="JO1011" s="327">
        <f>-SUM('PRINCIPAL DOMDEBT'!O4:O10)/1000000000</f>
        <v>-2.5001996766800003</v>
      </c>
      <c r="JP1011" s="279">
        <f>JQ1011-JO1011</f>
        <v>-33.240666355680005</v>
      </c>
      <c r="JQ1011" s="323">
        <f>FISC!AL1337</f>
        <v>-35.740866032360003</v>
      </c>
      <c r="JR1011" s="327">
        <f>-SUM('PRINCIPAL DOMDEBT'!R4:R10)/1000000000</f>
        <v>-2.6755779866800005</v>
      </c>
      <c r="JS1011" s="279">
        <f>JT1011-JR1011</f>
        <v>-75.846086399680004</v>
      </c>
      <c r="JT1011" s="323">
        <f>FISC!AM1337</f>
        <v>-78.521664386360001</v>
      </c>
      <c r="JU1011" s="327">
        <f>-SUM('PRINCIPAL DOMDEBT'!U4:U10)/1000000000</f>
        <v>-2.8817427176800003</v>
      </c>
      <c r="JV1011" s="279">
        <f>JW1011-JU1011</f>
        <v>-65.517994575679992</v>
      </c>
      <c r="JW1011" s="323">
        <f>FISC!AN1337</f>
        <v>-68.399737293359991</v>
      </c>
      <c r="JX1011" s="327">
        <f>-SUM('PRINCIPAL DOMDEBT'!X4:X10)/1000000000</f>
        <v>-3.1076694776800005</v>
      </c>
      <c r="JY1011" s="279">
        <f>JZ1011-JX1011</f>
        <v>-77.95090515167999</v>
      </c>
      <c r="JZ1011" s="323">
        <f>FISC!AO1337</f>
        <v>-81.058574629359995</v>
      </c>
      <c r="KA1011" s="327">
        <f>-SUM('PRINCIPAL DOMDEBT'!AA4:AA10)/1000000000</f>
        <v>-3.3726634226800005</v>
      </c>
      <c r="KB1011" s="279">
        <f>KC1011-KA1011</f>
        <v>-72.179747354679989</v>
      </c>
      <c r="KC1011" s="323">
        <f>FISC!AP1337</f>
        <v>-75.552410777359995</v>
      </c>
      <c r="KD1011" s="327">
        <f>-SUM('PRINCIPAL DOMDEBT'!AD4:AD10)/1000000000</f>
        <v>-3.6767500136800004</v>
      </c>
      <c r="KE1011" s="279">
        <f>KF1011-KD1011</f>
        <v>-24.947389467680001</v>
      </c>
      <c r="KF1011" s="323">
        <f>FISC!AQ1337</f>
        <v>-28.62413948136</v>
      </c>
      <c r="KG1011" s="327">
        <f>-SUM('PRINCIPAL DOMDEBT'!AG4:AG10)/1000000000</f>
        <v>-4.0276658736800002</v>
      </c>
      <c r="KH1011" s="279">
        <f>KI1011-KG1011</f>
        <v>-65.063933679679991</v>
      </c>
      <c r="KI1011" s="323">
        <f>FISC!AR1337</f>
        <v>-69.091599553359998</v>
      </c>
      <c r="KJ1011" s="327">
        <f>-SUM('PRINCIPAL DOMDEBT'!AJ4:AJ10)/1000000000</f>
        <v>-4.4260214986799999</v>
      </c>
      <c r="KK1011" s="279">
        <f>KL1011-KJ1011</f>
        <v>-19.718965212679997</v>
      </c>
      <c r="KL1011" s="323">
        <f>FISC!AS1337</f>
        <v>-24.144986711359998</v>
      </c>
      <c r="KM1011" s="327">
        <f>-SUM('PRINCIPAL DOMDEBT'!AM4:AM10)/1000000000</f>
        <v>-1.3212970886800002</v>
      </c>
      <c r="KN1011" s="279">
        <f>KO1011-KM1011</f>
        <v>-40.086697088680005</v>
      </c>
      <c r="KO1011" s="323">
        <f>FISC!AT1337</f>
        <v>-41.407994177360003</v>
      </c>
      <c r="KU1011" s="326"/>
      <c r="KV1011" s="327"/>
    </row>
    <row r="1012" spans="1:314" s="882" customFormat="1">
      <c r="B1012" s="1759"/>
      <c r="C1012" s="1759"/>
      <c r="D1012" s="1760" t="s">
        <v>3543</v>
      </c>
      <c r="E1012" s="881"/>
      <c r="F1012" s="881"/>
      <c r="G1012" s="881"/>
      <c r="H1012" s="881"/>
      <c r="I1012" s="881"/>
      <c r="J1012" s="881"/>
      <c r="K1012" s="881"/>
      <c r="L1012" s="881"/>
      <c r="M1012" s="881"/>
      <c r="N1012" s="881"/>
      <c r="O1012" s="881"/>
      <c r="P1012" s="881"/>
      <c r="Q1012" s="881"/>
      <c r="R1012" s="881"/>
      <c r="S1012" s="881"/>
      <c r="T1012" s="881"/>
      <c r="U1012" s="881"/>
      <c r="V1012" s="881"/>
      <c r="W1012" s="881"/>
      <c r="X1012" s="881"/>
      <c r="Y1012" s="881"/>
      <c r="Z1012" s="881"/>
      <c r="AA1012" s="881"/>
      <c r="AB1012" s="881"/>
      <c r="AC1012" s="881"/>
      <c r="AD1012" s="881"/>
      <c r="AE1012" s="881"/>
      <c r="AF1012" s="881"/>
      <c r="AG1012" s="881"/>
      <c r="AH1012" s="881"/>
      <c r="AI1012" s="881"/>
      <c r="AJ1012" s="881"/>
      <c r="AK1012" s="881"/>
      <c r="AL1012" s="881"/>
      <c r="AM1012" s="881"/>
      <c r="AN1012" s="881"/>
      <c r="AO1012" s="881"/>
      <c r="AP1012" s="881"/>
      <c r="AQ1012" s="881"/>
      <c r="AR1012" s="881"/>
      <c r="AS1012" s="881"/>
      <c r="AT1012" s="881"/>
      <c r="AU1012" s="881"/>
      <c r="AV1012" s="881"/>
      <c r="AW1012" s="881"/>
      <c r="AX1012" s="881"/>
      <c r="AY1012" s="881"/>
      <c r="AZ1012" s="881"/>
      <c r="BA1012" s="881"/>
      <c r="BB1012" s="881"/>
      <c r="BC1012" s="881"/>
      <c r="BD1012" s="881"/>
      <c r="BE1012" s="881"/>
      <c r="BF1012" s="881"/>
      <c r="BG1012" s="881"/>
      <c r="BH1012" s="881"/>
      <c r="BI1012" s="881"/>
      <c r="BJ1012" s="881"/>
      <c r="BK1012" s="881"/>
      <c r="BL1012" s="881"/>
      <c r="BM1012" s="881"/>
      <c r="BN1012" s="881"/>
      <c r="BO1012" s="881"/>
      <c r="BP1012" s="881"/>
      <c r="BQ1012" s="881"/>
      <c r="BR1012" s="881"/>
      <c r="BS1012" s="881"/>
      <c r="BT1012" s="881"/>
      <c r="BU1012" s="881"/>
      <c r="BV1012" s="881"/>
      <c r="BW1012" s="881"/>
      <c r="BX1012" s="881"/>
      <c r="BY1012" s="881"/>
      <c r="BZ1012" s="881"/>
      <c r="CA1012" s="881"/>
      <c r="CB1012" s="881"/>
      <c r="CC1012" s="881"/>
      <c r="CD1012" s="1761"/>
      <c r="CE1012" s="881"/>
      <c r="CF1012" s="881"/>
      <c r="CG1012" s="881"/>
      <c r="CH1012" s="881"/>
      <c r="CI1012" s="881"/>
      <c r="CJ1012" s="881"/>
      <c r="CK1012" s="881"/>
      <c r="CL1012" s="881"/>
      <c r="CM1012" s="881"/>
      <c r="CN1012" s="881"/>
      <c r="CO1012" s="881"/>
      <c r="CP1012" s="1762"/>
      <c r="CQ1012" s="881"/>
      <c r="CR1012" s="881"/>
      <c r="CS1012" s="881"/>
      <c r="CT1012" s="881"/>
      <c r="CU1012" s="881"/>
      <c r="CV1012" s="881"/>
      <c r="CW1012" s="881"/>
      <c r="CX1012" s="881"/>
      <c r="CY1012" s="881"/>
      <c r="CZ1012" s="881"/>
      <c r="DA1012" s="881"/>
      <c r="DB1012" s="1763"/>
      <c r="DC1012" s="881"/>
      <c r="DD1012" s="881"/>
      <c r="DE1012" s="881"/>
      <c r="DF1012" s="881"/>
      <c r="DG1012" s="881"/>
      <c r="DH1012" s="881"/>
      <c r="DI1012" s="881"/>
      <c r="DJ1012" s="881"/>
      <c r="DK1012" s="881"/>
      <c r="DL1012" s="881"/>
      <c r="DM1012" s="881"/>
      <c r="DN1012" s="1762"/>
      <c r="DO1012" s="881"/>
      <c r="DP1012" s="881"/>
      <c r="DQ1012" s="881"/>
      <c r="DR1012" s="881"/>
      <c r="DS1012" s="881"/>
      <c r="DT1012" s="881"/>
      <c r="DU1012" s="881"/>
      <c r="DV1012" s="881"/>
      <c r="DW1012" s="881"/>
      <c r="DX1012" s="881"/>
      <c r="DY1012" s="881"/>
      <c r="DZ1012" s="1762"/>
      <c r="EA1012" s="881"/>
      <c r="EB1012" s="881"/>
      <c r="EC1012" s="881"/>
      <c r="ED1012" s="881"/>
      <c r="EE1012" s="881"/>
      <c r="EF1012" s="881"/>
      <c r="EG1012" s="881"/>
      <c r="EH1012" s="881"/>
      <c r="EI1012" s="881"/>
      <c r="EJ1012" s="881"/>
      <c r="EK1012" s="881"/>
      <c r="EL1012" s="1762"/>
      <c r="EM1012" s="881"/>
      <c r="EN1012" s="881"/>
      <c r="EO1012" s="881"/>
      <c r="EP1012" s="881"/>
      <c r="EQ1012" s="881"/>
      <c r="ER1012" s="881"/>
      <c r="ES1012" s="881"/>
      <c r="ET1012" s="881"/>
      <c r="EU1012" s="881"/>
      <c r="EV1012" s="881"/>
      <c r="EW1012" s="881"/>
      <c r="EX1012" s="1762"/>
      <c r="EY1012" s="881"/>
      <c r="EZ1012" s="881"/>
      <c r="FA1012" s="881"/>
      <c r="FB1012" s="881"/>
      <c r="FC1012" s="881"/>
      <c r="FD1012" s="881"/>
      <c r="FE1012" s="881"/>
      <c r="FF1012" s="881"/>
      <c r="FG1012" s="881"/>
      <c r="FH1012" s="881"/>
      <c r="FI1012" s="881"/>
      <c r="FJ1012" s="1762"/>
      <c r="FK1012" s="881"/>
      <c r="FL1012" s="881"/>
      <c r="FM1012" s="881"/>
      <c r="FN1012" s="881"/>
      <c r="FO1012" s="881"/>
      <c r="FP1012" s="881"/>
      <c r="FQ1012" s="881"/>
      <c r="FR1012" s="881"/>
      <c r="FS1012" s="881"/>
      <c r="FT1012" s="881"/>
      <c r="FU1012" s="881"/>
      <c r="FV1012" s="881"/>
      <c r="FW1012" s="881"/>
      <c r="FX1012" s="881"/>
      <c r="FY1012" s="881"/>
      <c r="FZ1012" s="881"/>
      <c r="GA1012" s="881"/>
      <c r="GB1012" s="881"/>
      <c r="GC1012" s="881"/>
      <c r="GD1012" s="881"/>
      <c r="GE1012" s="881"/>
      <c r="GF1012" s="881"/>
      <c r="GG1012" s="881"/>
      <c r="GH1012" s="881"/>
      <c r="GI1012" s="1764"/>
      <c r="GJ1012" s="1764"/>
      <c r="GK1012" s="1764"/>
      <c r="GL1012" s="1764"/>
      <c r="GM1012" s="1764"/>
      <c r="GN1012" s="1764"/>
      <c r="GO1012" s="1764"/>
      <c r="GP1012" s="1764"/>
      <c r="GQ1012" s="1764"/>
      <c r="GR1012" s="1764"/>
      <c r="GS1012" s="1764"/>
      <c r="GT1012" s="1764"/>
      <c r="GU1012" s="1764"/>
      <c r="GV1012" s="1764"/>
      <c r="GW1012" s="1764"/>
      <c r="GX1012" s="1764"/>
      <c r="GY1012" s="1764"/>
      <c r="GZ1012" s="1764"/>
      <c r="HA1012" s="1764"/>
      <c r="HB1012" s="1764"/>
      <c r="HC1012" s="1764">
        <v>16.264045892999999</v>
      </c>
      <c r="HD1012" s="1764"/>
      <c r="HE1012" s="1764"/>
      <c r="HF1012" s="1764"/>
      <c r="HG1012" s="1764"/>
      <c r="HH1012" s="1764"/>
      <c r="HI1012" s="1764"/>
      <c r="HJ1012" s="1764"/>
      <c r="HK1012" s="1764"/>
      <c r="HL1012" s="1764"/>
      <c r="HM1012" s="1764"/>
      <c r="HN1012" s="1764"/>
      <c r="HO1012" s="1764"/>
      <c r="HP1012" s="1764"/>
      <c r="HQ1012" s="1764"/>
      <c r="HR1012" s="1764"/>
      <c r="HS1012" s="1764">
        <v>72.050819250000004</v>
      </c>
      <c r="HT1012" s="1764"/>
      <c r="HU1012" s="1764"/>
      <c r="HV1012" s="1764"/>
      <c r="HW1012" s="1764"/>
      <c r="HX1012" s="1764"/>
      <c r="HY1012" s="1764"/>
      <c r="HZ1012" s="881"/>
      <c r="IA1012" s="1765" t="str">
        <f>D1012</f>
        <v>Disbursement</v>
      </c>
      <c r="IB1012" s="1766"/>
      <c r="ID1012" s="881"/>
      <c r="IG1012" s="881"/>
      <c r="IH1012" s="1766"/>
      <c r="IJ1012" s="881"/>
      <c r="IK1012" s="881"/>
      <c r="IM1012" s="881"/>
      <c r="IP1012" s="881"/>
      <c r="IQ1012" s="881"/>
      <c r="IR1012" s="881"/>
      <c r="IS1012" s="881"/>
      <c r="IT1012" s="881"/>
      <c r="IU1012" s="881"/>
      <c r="IV1012" s="881"/>
      <c r="IW1012" s="881"/>
      <c r="IX1012" s="881"/>
      <c r="IY1012" s="881"/>
      <c r="IZ1012" s="881"/>
      <c r="JA1012" s="881"/>
      <c r="JB1012" s="881"/>
      <c r="JC1012" s="881"/>
      <c r="JD1012" s="881"/>
      <c r="JE1012" s="881"/>
      <c r="JF1012" s="881">
        <f t="shared" ref="JF1012:JF1013" si="2115">SUM(GU1012:GZ1012)</f>
        <v>0</v>
      </c>
      <c r="JG1012" s="881">
        <f t="shared" ref="JG1012:JG1018" si="2116">SUM(HA1012:HF1012)</f>
        <v>16.264045892999999</v>
      </c>
      <c r="JH1012" s="881">
        <f t="shared" si="1944"/>
        <v>16.264045892999999</v>
      </c>
      <c r="JI1012" s="881">
        <f t="shared" si="1993"/>
        <v>0</v>
      </c>
      <c r="JJ1012" s="882">
        <f t="shared" si="2035"/>
        <v>0</v>
      </c>
      <c r="JK1012" s="323">
        <f>JI1012+JJ1012</f>
        <v>0</v>
      </c>
      <c r="JL1012" s="881">
        <f t="shared" si="1946"/>
        <v>72.050819250000004</v>
      </c>
      <c r="JN1012" s="881"/>
      <c r="JO1012" s="881"/>
      <c r="JQ1012" s="881"/>
      <c r="JR1012" s="881"/>
      <c r="JT1012" s="881"/>
      <c r="JU1012" s="881"/>
      <c r="JW1012" s="881"/>
      <c r="JX1012" s="881"/>
      <c r="JZ1012" s="881"/>
      <c r="KA1012" s="881"/>
      <c r="KC1012" s="881"/>
      <c r="KD1012" s="881"/>
      <c r="KF1012" s="881"/>
      <c r="KG1012" s="881"/>
      <c r="KI1012" s="881"/>
      <c r="KJ1012" s="881"/>
      <c r="KL1012" s="881"/>
      <c r="KM1012" s="881"/>
      <c r="KO1012" s="881"/>
      <c r="KU1012" s="881"/>
      <c r="KV1012" s="881"/>
    </row>
    <row r="1013" spans="1:314" s="882" customFormat="1">
      <c r="B1013" s="1759"/>
      <c r="C1013" s="1759"/>
      <c r="D1013" s="1760" t="s">
        <v>578</v>
      </c>
      <c r="E1013" s="881"/>
      <c r="F1013" s="881"/>
      <c r="G1013" s="881"/>
      <c r="H1013" s="881"/>
      <c r="I1013" s="881"/>
      <c r="J1013" s="881"/>
      <c r="K1013" s="881"/>
      <c r="L1013" s="881"/>
      <c r="M1013" s="881"/>
      <c r="N1013" s="881"/>
      <c r="O1013" s="881"/>
      <c r="P1013" s="881"/>
      <c r="Q1013" s="881"/>
      <c r="R1013" s="881"/>
      <c r="S1013" s="881"/>
      <c r="T1013" s="881"/>
      <c r="U1013" s="881"/>
      <c r="V1013" s="881"/>
      <c r="W1013" s="881"/>
      <c r="X1013" s="881"/>
      <c r="Y1013" s="881"/>
      <c r="Z1013" s="881"/>
      <c r="AA1013" s="881"/>
      <c r="AB1013" s="881"/>
      <c r="AC1013" s="881"/>
      <c r="AD1013" s="881"/>
      <c r="AE1013" s="881"/>
      <c r="AF1013" s="881"/>
      <c r="AG1013" s="881"/>
      <c r="AH1013" s="881"/>
      <c r="AI1013" s="881"/>
      <c r="AJ1013" s="881"/>
      <c r="AK1013" s="881"/>
      <c r="AL1013" s="881"/>
      <c r="AM1013" s="881"/>
      <c r="AN1013" s="881"/>
      <c r="AO1013" s="881"/>
      <c r="AP1013" s="881"/>
      <c r="AQ1013" s="881"/>
      <c r="AR1013" s="881"/>
      <c r="AS1013" s="881"/>
      <c r="AT1013" s="881"/>
      <c r="AU1013" s="881"/>
      <c r="AV1013" s="881"/>
      <c r="AW1013" s="881"/>
      <c r="AX1013" s="881"/>
      <c r="AY1013" s="881"/>
      <c r="AZ1013" s="881"/>
      <c r="BA1013" s="881"/>
      <c r="BB1013" s="881"/>
      <c r="BC1013" s="881"/>
      <c r="BD1013" s="881"/>
      <c r="BE1013" s="881"/>
      <c r="BF1013" s="881"/>
      <c r="BG1013" s="881"/>
      <c r="BH1013" s="881"/>
      <c r="BI1013" s="881"/>
      <c r="BJ1013" s="881"/>
      <c r="BK1013" s="881"/>
      <c r="BL1013" s="881"/>
      <c r="BM1013" s="881"/>
      <c r="BN1013" s="881"/>
      <c r="BO1013" s="881"/>
      <c r="BP1013" s="881"/>
      <c r="BQ1013" s="881"/>
      <c r="BR1013" s="881"/>
      <c r="BS1013" s="881"/>
      <c r="BT1013" s="881"/>
      <c r="BU1013" s="881"/>
      <c r="BV1013" s="881"/>
      <c r="BW1013" s="881"/>
      <c r="BX1013" s="881"/>
      <c r="BY1013" s="881"/>
      <c r="BZ1013" s="881"/>
      <c r="CA1013" s="881"/>
      <c r="CB1013" s="881"/>
      <c r="CC1013" s="881"/>
      <c r="CD1013" s="1761"/>
      <c r="CE1013" s="881"/>
      <c r="CF1013" s="881"/>
      <c r="CG1013" s="881"/>
      <c r="CH1013" s="881"/>
      <c r="CI1013" s="881"/>
      <c r="CJ1013" s="881"/>
      <c r="CK1013" s="881"/>
      <c r="CL1013" s="881"/>
      <c r="CM1013" s="881"/>
      <c r="CN1013" s="881"/>
      <c r="CO1013" s="881"/>
      <c r="CP1013" s="1762"/>
      <c r="CQ1013" s="881"/>
      <c r="CR1013" s="881"/>
      <c r="CS1013" s="881"/>
      <c r="CT1013" s="881"/>
      <c r="CU1013" s="881"/>
      <c r="CV1013" s="881"/>
      <c r="CW1013" s="881"/>
      <c r="CX1013" s="881"/>
      <c r="CY1013" s="881"/>
      <c r="CZ1013" s="881"/>
      <c r="DA1013" s="881"/>
      <c r="DB1013" s="1763"/>
      <c r="DC1013" s="881"/>
      <c r="DD1013" s="881"/>
      <c r="DE1013" s="881"/>
      <c r="DF1013" s="881"/>
      <c r="DG1013" s="881"/>
      <c r="DH1013" s="881"/>
      <c r="DI1013" s="881"/>
      <c r="DJ1013" s="881"/>
      <c r="DK1013" s="881"/>
      <c r="DL1013" s="881"/>
      <c r="DM1013" s="881"/>
      <c r="DN1013" s="1762"/>
      <c r="DO1013" s="881"/>
      <c r="DP1013" s="881"/>
      <c r="DQ1013" s="881"/>
      <c r="DR1013" s="881"/>
      <c r="DS1013" s="881"/>
      <c r="DT1013" s="881"/>
      <c r="DU1013" s="881"/>
      <c r="DV1013" s="881"/>
      <c r="DW1013" s="881"/>
      <c r="DX1013" s="881"/>
      <c r="DY1013" s="881"/>
      <c r="DZ1013" s="1762"/>
      <c r="EA1013" s="881"/>
      <c r="EB1013" s="881"/>
      <c r="EC1013" s="881"/>
      <c r="ED1013" s="881"/>
      <c r="EE1013" s="881"/>
      <c r="EF1013" s="881"/>
      <c r="EG1013" s="881"/>
      <c r="EH1013" s="881"/>
      <c r="EI1013" s="881"/>
      <c r="EJ1013" s="881"/>
      <c r="EK1013" s="881"/>
      <c r="EL1013" s="1762"/>
      <c r="EM1013" s="881"/>
      <c r="EN1013" s="881"/>
      <c r="EO1013" s="881"/>
      <c r="EP1013" s="881"/>
      <c r="EQ1013" s="881"/>
      <c r="ER1013" s="881"/>
      <c r="ES1013" s="881"/>
      <c r="ET1013" s="881"/>
      <c r="EU1013" s="881"/>
      <c r="EV1013" s="881"/>
      <c r="EW1013" s="881"/>
      <c r="EX1013" s="1762"/>
      <c r="EY1013" s="881"/>
      <c r="EZ1013" s="881"/>
      <c r="FA1013" s="881"/>
      <c r="FB1013" s="881"/>
      <c r="FC1013" s="881"/>
      <c r="FD1013" s="881"/>
      <c r="FE1013" s="881"/>
      <c r="FF1013" s="881"/>
      <c r="FG1013" s="881"/>
      <c r="FH1013" s="881"/>
      <c r="FI1013" s="881"/>
      <c r="FJ1013" s="1762"/>
      <c r="FK1013" s="881"/>
      <c r="FL1013" s="881"/>
      <c r="FM1013" s="881"/>
      <c r="FN1013" s="881"/>
      <c r="FO1013" s="881"/>
      <c r="FP1013" s="881"/>
      <c r="FQ1013" s="881"/>
      <c r="FR1013" s="881"/>
      <c r="FS1013" s="881"/>
      <c r="FT1013" s="881"/>
      <c r="FU1013" s="881"/>
      <c r="FV1013" s="881"/>
      <c r="FW1013" s="881"/>
      <c r="FX1013" s="881"/>
      <c r="FY1013" s="881"/>
      <c r="FZ1013" s="881"/>
      <c r="GA1013" s="881"/>
      <c r="GB1013" s="881"/>
      <c r="GC1013" s="881"/>
      <c r="GD1013" s="881"/>
      <c r="GE1013" s="881"/>
      <c r="GF1013" s="881"/>
      <c r="GG1013" s="881"/>
      <c r="GH1013" s="881"/>
      <c r="GI1013" s="1764"/>
      <c r="GJ1013" s="1764"/>
      <c r="GK1013" s="1764"/>
      <c r="GL1013" s="1764"/>
      <c r="GM1013" s="1764"/>
      <c r="GN1013" s="1764"/>
      <c r="GO1013" s="1764"/>
      <c r="GP1013" s="1764"/>
      <c r="GQ1013" s="1764"/>
      <c r="GR1013" s="1764"/>
      <c r="GS1013" s="1764"/>
      <c r="GT1013" s="1764"/>
      <c r="GU1013" s="1764">
        <v>0</v>
      </c>
      <c r="GV1013" s="1764">
        <v>0</v>
      </c>
      <c r="GW1013" s="1764">
        <v>-0.99232490500000003</v>
      </c>
      <c r="GX1013" s="1764">
        <v>0</v>
      </c>
      <c r="GY1013" s="1764">
        <v>-9.9906587939999998</v>
      </c>
      <c r="GZ1013" s="1764">
        <v>-23.004864997999999</v>
      </c>
      <c r="HA1013" s="1764">
        <v>0</v>
      </c>
      <c r="HB1013" s="1764">
        <v>0</v>
      </c>
      <c r="HC1013" s="1764">
        <v>-1.0256060760000001</v>
      </c>
      <c r="HD1013" s="1764">
        <v>0</v>
      </c>
      <c r="HE1013" s="1764">
        <v>0</v>
      </c>
      <c r="HF1013" s="1764">
        <v>-12.039217196999999</v>
      </c>
      <c r="HG1013" s="1764">
        <v>-7.4881662630000001</v>
      </c>
      <c r="HH1013" s="1764">
        <v>0</v>
      </c>
      <c r="HI1013" s="1764">
        <v>-1.463363051</v>
      </c>
      <c r="HJ1013" s="1764">
        <v>0</v>
      </c>
      <c r="HK1013" s="1764">
        <v>0</v>
      </c>
      <c r="HL1013" s="1764">
        <v>-17.756314396</v>
      </c>
      <c r="HM1013" s="1764">
        <v>0</v>
      </c>
      <c r="HN1013" s="1764">
        <v>-0.50626038100000004</v>
      </c>
      <c r="HO1013" s="1764">
        <v>-1.5248363229999999</v>
      </c>
      <c r="HP1013" s="1764">
        <v>0</v>
      </c>
      <c r="HQ1013" s="1764">
        <v>-0.52106255599999995</v>
      </c>
      <c r="HR1013" s="1764">
        <v>-1.4825578290000001</v>
      </c>
      <c r="HS1013" s="1764">
        <v>0</v>
      </c>
      <c r="HT1013" s="1764">
        <v>0</v>
      </c>
      <c r="HU1013" s="1764">
        <v>-0.66064854399999995</v>
      </c>
      <c r="HV1013" s="1764">
        <v>0</v>
      </c>
      <c r="HW1013" s="1764">
        <v>0</v>
      </c>
      <c r="HX1013" s="1764">
        <v>-0.66064854399999995</v>
      </c>
      <c r="HY1013" s="1764"/>
      <c r="HZ1013" s="881"/>
      <c r="IA1013" s="1765" t="str">
        <f>D1013</f>
        <v>Reimbursements</v>
      </c>
      <c r="IB1013" s="1766"/>
      <c r="ID1013" s="881"/>
      <c r="IG1013" s="881"/>
      <c r="IH1013" s="1766"/>
      <c r="IJ1013" s="881"/>
      <c r="IK1013" s="881"/>
      <c r="IM1013" s="881"/>
      <c r="IP1013" s="881"/>
      <c r="IQ1013" s="881"/>
      <c r="IR1013" s="881"/>
      <c r="IS1013" s="881"/>
      <c r="IT1013" s="881"/>
      <c r="IU1013" s="881"/>
      <c r="IV1013" s="881"/>
      <c r="IW1013" s="881"/>
      <c r="IX1013" s="881"/>
      <c r="IY1013" s="881"/>
      <c r="IZ1013" s="881"/>
      <c r="JA1013" s="881"/>
      <c r="JB1013" s="881"/>
      <c r="JC1013" s="881"/>
      <c r="JD1013" s="881"/>
      <c r="JE1013" s="881"/>
      <c r="JF1013" s="881">
        <f t="shared" si="2115"/>
        <v>-33.987848696999997</v>
      </c>
      <c r="JG1013" s="881">
        <f t="shared" si="2116"/>
        <v>-13.064823273</v>
      </c>
      <c r="JH1013" s="881">
        <f t="shared" si="1944"/>
        <v>-47.052671969999999</v>
      </c>
      <c r="JI1013" s="881">
        <f t="shared" si="1993"/>
        <v>-26.707843709999999</v>
      </c>
      <c r="JJ1013" s="882">
        <f t="shared" si="2035"/>
        <v>-4.0347170889999999</v>
      </c>
      <c r="JK1013" s="323">
        <f t="shared" ref="JK1013:JK1041" si="2117">JI1013+JJ1013</f>
        <v>-30.742560799</v>
      </c>
      <c r="JL1013" s="881">
        <f t="shared" ref="JL1013:JL1040" si="2118">SUM(HS1013:HX1013)</f>
        <v>-1.3212970879999999</v>
      </c>
      <c r="JN1013" s="881"/>
      <c r="JO1013" s="881"/>
      <c r="JQ1013" s="881"/>
      <c r="JR1013" s="881"/>
      <c r="JT1013" s="881"/>
      <c r="JU1013" s="881"/>
      <c r="JW1013" s="881"/>
      <c r="JX1013" s="881"/>
      <c r="JZ1013" s="881"/>
      <c r="KA1013" s="881"/>
      <c r="KC1013" s="881"/>
      <c r="KD1013" s="881"/>
      <c r="KF1013" s="881"/>
      <c r="KG1013" s="881"/>
      <c r="KI1013" s="881"/>
      <c r="KJ1013" s="881"/>
      <c r="KL1013" s="881"/>
      <c r="KM1013" s="881"/>
      <c r="KO1013" s="881"/>
      <c r="KU1013" s="881"/>
      <c r="KV1013" s="881"/>
    </row>
    <row r="1014" spans="1:314">
      <c r="A1014" s="279"/>
      <c r="D1014" s="1455" t="s">
        <v>3164</v>
      </c>
      <c r="E1014" s="323"/>
      <c r="F1014" s="323"/>
      <c r="G1014" s="323"/>
      <c r="H1014" s="323"/>
      <c r="I1014" s="323"/>
      <c r="J1014" s="323"/>
      <c r="K1014" s="323"/>
      <c r="L1014" s="323"/>
      <c r="M1014" s="323"/>
      <c r="N1014" s="323"/>
      <c r="O1014" s="323"/>
      <c r="P1014" s="323"/>
      <c r="Q1014" s="323"/>
      <c r="R1014" s="323"/>
      <c r="S1014" s="323"/>
      <c r="T1014" s="323"/>
      <c r="U1014" s="323"/>
      <c r="V1014" s="323"/>
      <c r="W1014" s="323"/>
      <c r="X1014" s="323"/>
      <c r="Y1014" s="323"/>
      <c r="Z1014" s="323"/>
      <c r="AA1014" s="323"/>
      <c r="AB1014" s="323"/>
      <c r="AC1014" s="323"/>
      <c r="AD1014" s="323"/>
      <c r="AE1014" s="323"/>
      <c r="AF1014" s="323"/>
      <c r="AG1014" s="323"/>
      <c r="AH1014" s="323"/>
      <c r="AI1014" s="323"/>
      <c r="AJ1014" s="323"/>
      <c r="AK1014" s="323"/>
      <c r="AL1014" s="323"/>
      <c r="AM1014" s="323"/>
      <c r="AN1014" s="323"/>
      <c r="AO1014" s="323"/>
      <c r="AP1014" s="323"/>
      <c r="AQ1014" s="323"/>
      <c r="AR1014" s="323"/>
      <c r="AS1014" s="323"/>
      <c r="AT1014" s="323"/>
      <c r="AU1014" s="323"/>
      <c r="AV1014" s="323"/>
      <c r="AW1014" s="323"/>
      <c r="AX1014" s="323"/>
      <c r="AY1014" s="323"/>
      <c r="AZ1014" s="323"/>
      <c r="BA1014" s="323"/>
      <c r="BB1014" s="323"/>
      <c r="BC1014" s="323"/>
      <c r="BD1014" s="323"/>
      <c r="BE1014" s="323"/>
      <c r="BF1014" s="323"/>
      <c r="BG1014" s="323"/>
      <c r="BH1014" s="323"/>
      <c r="BI1014" s="323"/>
      <c r="BJ1014" s="323"/>
      <c r="BK1014" s="323"/>
      <c r="BL1014" s="323"/>
      <c r="BM1014" s="323"/>
      <c r="BN1014" s="323"/>
      <c r="BO1014" s="323"/>
      <c r="BP1014" s="323"/>
      <c r="BQ1014" s="323"/>
      <c r="BR1014" s="323"/>
      <c r="BS1014" s="323"/>
      <c r="BT1014" s="323"/>
      <c r="BU1014" s="323"/>
      <c r="BV1014" s="323"/>
      <c r="BW1014" s="323"/>
      <c r="BX1014" s="323"/>
      <c r="BY1014" s="323"/>
      <c r="BZ1014" s="323"/>
      <c r="CA1014" s="323"/>
      <c r="CB1014" s="323"/>
      <c r="CC1014" s="323"/>
      <c r="CD1014" s="329"/>
      <c r="CE1014" s="323"/>
      <c r="CF1014" s="323"/>
      <c r="CG1014" s="323"/>
      <c r="CH1014" s="323"/>
      <c r="CI1014" s="323"/>
      <c r="CJ1014" s="323"/>
      <c r="CK1014" s="323"/>
      <c r="CL1014" s="323"/>
      <c r="CM1014" s="323"/>
      <c r="CN1014" s="323"/>
      <c r="CO1014" s="323"/>
      <c r="CP1014" s="325"/>
      <c r="CQ1014" s="323"/>
      <c r="CR1014" s="323"/>
      <c r="CS1014" s="323"/>
      <c r="CT1014" s="323"/>
      <c r="CU1014" s="323"/>
      <c r="CV1014" s="323"/>
      <c r="CW1014" s="323"/>
      <c r="CX1014" s="323"/>
      <c r="CY1014" s="323"/>
      <c r="CZ1014" s="323"/>
      <c r="DA1014" s="323"/>
      <c r="DB1014" s="1269"/>
      <c r="DC1014" s="323"/>
      <c r="DD1014" s="323"/>
      <c r="DE1014" s="323"/>
      <c r="DF1014" s="323"/>
      <c r="DG1014" s="323"/>
      <c r="DH1014" s="323"/>
      <c r="DI1014" s="323"/>
      <c r="DJ1014" s="323"/>
      <c r="DK1014" s="323"/>
      <c r="DL1014" s="323"/>
      <c r="DM1014" s="323"/>
      <c r="DN1014" s="325"/>
      <c r="DO1014" s="323"/>
      <c r="DP1014" s="323"/>
      <c r="DQ1014" s="323"/>
      <c r="DR1014" s="323"/>
      <c r="DS1014" s="323"/>
      <c r="DT1014" s="323"/>
      <c r="DU1014" s="323"/>
      <c r="DV1014" s="323"/>
      <c r="DW1014" s="323"/>
      <c r="DX1014" s="323"/>
      <c r="DY1014" s="323"/>
      <c r="DZ1014" s="325"/>
      <c r="EA1014" s="323"/>
      <c r="EB1014" s="323"/>
      <c r="EC1014" s="323"/>
      <c r="ED1014" s="323"/>
      <c r="EE1014" s="323"/>
      <c r="EF1014" s="323"/>
      <c r="EG1014" s="323"/>
      <c r="EH1014" s="323"/>
      <c r="EI1014" s="323"/>
      <c r="EJ1014" s="323"/>
      <c r="EK1014" s="323"/>
      <c r="EL1014" s="325"/>
      <c r="EM1014" s="323"/>
      <c r="EN1014" s="323"/>
      <c r="EO1014" s="323"/>
      <c r="EP1014" s="323"/>
      <c r="EQ1014" s="323"/>
      <c r="ER1014" s="323"/>
      <c r="ES1014" s="323"/>
      <c r="ET1014" s="323"/>
      <c r="EU1014" s="323"/>
      <c r="EV1014" s="323"/>
      <c r="EW1014" s="323"/>
      <c r="EX1014" s="325"/>
      <c r="EY1014" s="323"/>
      <c r="EZ1014" s="323"/>
      <c r="FA1014" s="323"/>
      <c r="FB1014" s="323"/>
      <c r="FC1014" s="323"/>
      <c r="FD1014" s="323"/>
      <c r="FE1014" s="323"/>
      <c r="FF1014" s="323"/>
      <c r="FG1014" s="323"/>
      <c r="FH1014" s="323"/>
      <c r="FI1014" s="323"/>
      <c r="FJ1014" s="325"/>
      <c r="FK1014" s="323"/>
      <c r="FL1014" s="323"/>
      <c r="FM1014" s="323"/>
      <c r="FN1014" s="323"/>
      <c r="FO1014" s="323"/>
      <c r="FP1014" s="323"/>
      <c r="FQ1014" s="323"/>
      <c r="FR1014" s="323"/>
      <c r="FS1014" s="323"/>
      <c r="FT1014" s="323"/>
      <c r="FU1014" s="323"/>
      <c r="FV1014" s="323"/>
      <c r="FW1014" s="323"/>
      <c r="FX1014" s="323"/>
      <c r="FY1014" s="323"/>
      <c r="FZ1014" s="323"/>
      <c r="GA1014" s="323"/>
      <c r="GB1014" s="323"/>
      <c r="GC1014" s="323"/>
      <c r="GD1014" s="323"/>
      <c r="GE1014" s="323"/>
      <c r="GF1014" s="323"/>
      <c r="GG1014" s="323"/>
      <c r="GH1014" s="323"/>
      <c r="GI1014" s="1654">
        <v>0</v>
      </c>
      <c r="GJ1014" s="1654">
        <v>-10</v>
      </c>
      <c r="GK1014" s="1654">
        <v>0</v>
      </c>
      <c r="GL1014" s="1654">
        <v>0</v>
      </c>
      <c r="GM1014" s="1654">
        <v>-30</v>
      </c>
      <c r="GN1014" s="1654">
        <v>0</v>
      </c>
      <c r="GO1014" s="1654">
        <v>-45</v>
      </c>
      <c r="GP1014" s="1654">
        <v>-15</v>
      </c>
      <c r="GQ1014" s="1654">
        <v>-33.555</v>
      </c>
      <c r="GR1014" s="1654">
        <v>0</v>
      </c>
      <c r="GS1014" s="1654">
        <v>0</v>
      </c>
      <c r="GT1014" s="1654">
        <v>0</v>
      </c>
      <c r="GU1014" s="1654">
        <v>0</v>
      </c>
      <c r="GV1014" s="1654">
        <v>0</v>
      </c>
      <c r="GW1014" s="1654">
        <v>0</v>
      </c>
      <c r="GX1014" s="1654">
        <v>0</v>
      </c>
      <c r="GY1014" s="1654">
        <v>0</v>
      </c>
      <c r="GZ1014" s="1654">
        <v>0</v>
      </c>
      <c r="HA1014" s="1654">
        <v>0</v>
      </c>
      <c r="HB1014" s="1654">
        <v>0</v>
      </c>
      <c r="HC1014" s="1654">
        <v>0</v>
      </c>
      <c r="HD1014" s="1654">
        <v>0</v>
      </c>
      <c r="HE1014" s="1654">
        <v>-65</v>
      </c>
      <c r="HF1014" s="1654">
        <v>0</v>
      </c>
      <c r="HG1014" s="1654">
        <v>0</v>
      </c>
      <c r="HH1014" s="1654">
        <v>0</v>
      </c>
      <c r="HI1014" s="1654">
        <v>0</v>
      </c>
      <c r="HJ1014" s="1654">
        <v>0</v>
      </c>
      <c r="HK1014" s="1654">
        <v>-55</v>
      </c>
      <c r="HL1014" s="1654">
        <v>0</v>
      </c>
      <c r="HM1014" s="1654">
        <v>0</v>
      </c>
      <c r="HN1014" s="1654">
        <v>0</v>
      </c>
      <c r="HO1014" s="1654">
        <v>0</v>
      </c>
      <c r="HP1014" s="1654">
        <v>0</v>
      </c>
      <c r="HQ1014" s="1654">
        <v>-10</v>
      </c>
      <c r="HR1014" s="1654">
        <v>0</v>
      </c>
      <c r="HS1014" s="1654">
        <v>-25</v>
      </c>
      <c r="HT1014" s="1654">
        <v>-35</v>
      </c>
      <c r="HU1014" s="1654">
        <v>0</v>
      </c>
      <c r="HV1014" s="1654">
        <v>0</v>
      </c>
      <c r="HW1014" s="1654">
        <v>0</v>
      </c>
      <c r="HX1014" s="1654">
        <v>0</v>
      </c>
      <c r="HY1014" s="1654"/>
      <c r="HZ1014" s="326"/>
      <c r="IA1014" s="1455" t="s">
        <v>3164</v>
      </c>
      <c r="IB1014" s="284"/>
      <c r="ID1014" s="323"/>
      <c r="IG1014" s="323"/>
      <c r="IH1014" s="284"/>
      <c r="IJ1014" s="323"/>
      <c r="IK1014" s="327"/>
      <c r="IM1014" s="323"/>
      <c r="IP1014" s="323"/>
      <c r="IQ1014" s="327"/>
      <c r="IR1014" s="327"/>
      <c r="IS1014" s="323"/>
      <c r="IT1014" s="327"/>
      <c r="IU1014" s="327"/>
      <c r="IV1014" s="323"/>
      <c r="IW1014" s="327">
        <f t="shared" si="2091"/>
        <v>0</v>
      </c>
      <c r="IX1014" s="327">
        <f t="shared" si="2092"/>
        <v>0</v>
      </c>
      <c r="IY1014" s="323">
        <f t="shared" si="2005"/>
        <v>0</v>
      </c>
      <c r="IZ1014" s="327">
        <f t="shared" si="2110"/>
        <v>0</v>
      </c>
      <c r="JA1014" s="327">
        <f t="shared" si="2111"/>
        <v>0</v>
      </c>
      <c r="JB1014" s="323">
        <f t="shared" si="2036"/>
        <v>0</v>
      </c>
      <c r="JC1014" s="327">
        <f t="shared" si="2112"/>
        <v>-40</v>
      </c>
      <c r="JD1014" s="327">
        <f t="shared" si="2113"/>
        <v>-93.555000000000007</v>
      </c>
      <c r="JE1014" s="323">
        <f t="shared" si="1945"/>
        <v>-133.55500000000001</v>
      </c>
      <c r="JF1014" s="327">
        <f t="shared" si="2097"/>
        <v>0</v>
      </c>
      <c r="JG1014" s="327">
        <f>SUM(HA1014:HF1014)</f>
        <v>-65</v>
      </c>
      <c r="JH1014" s="323">
        <f t="shared" si="1944"/>
        <v>-65</v>
      </c>
      <c r="JI1014" s="327">
        <f>SUM(HG1014:HL1014)</f>
        <v>-55</v>
      </c>
      <c r="JJ1014" s="327">
        <f t="shared" si="2035"/>
        <v>-10</v>
      </c>
      <c r="JK1014" s="323">
        <f t="shared" si="2117"/>
        <v>-65</v>
      </c>
      <c r="JL1014" s="327">
        <f t="shared" si="2118"/>
        <v>-60</v>
      </c>
      <c r="JM1014" s="327">
        <f>JN1014-JL1014</f>
        <v>-3.0773999999999972</v>
      </c>
      <c r="JN1014" s="323">
        <f>FISC!AK1339</f>
        <v>-63.077399999999997</v>
      </c>
      <c r="JO1014" s="327">
        <f>-(SUM('PRINCIPAL DOMDEBT'!O11:O58)/1000000000)</f>
        <v>-62.378399999999999</v>
      </c>
      <c r="JP1014" s="327">
        <f>JQ1014-JO1014</f>
        <v>9.1732999999999976</v>
      </c>
      <c r="JQ1014" s="323">
        <f>FISC!AL1339</f>
        <v>-53.205100000000002</v>
      </c>
      <c r="JR1014" s="327">
        <f>-(SUM('PRINCIPAL DOMDEBT'!R11:R58)/1000000000)</f>
        <v>-95</v>
      </c>
      <c r="JS1014" s="327">
        <f>JT1014-JR1014</f>
        <v>9.7836999999999961</v>
      </c>
      <c r="JT1014" s="323">
        <f>FISC!AM1339</f>
        <v>-85.216300000000004</v>
      </c>
      <c r="JU1014" s="327">
        <f>-(SUM('PRINCIPAL DOMDEBT'!U11:U58)/1000000000)</f>
        <v>-70</v>
      </c>
      <c r="JV1014" s="327">
        <f>JW1014-JU1014</f>
        <v>-7.481899999999996</v>
      </c>
      <c r="JW1014" s="323">
        <f>FISC!AN1339</f>
        <v>-77.481899999999996</v>
      </c>
      <c r="JX1014" s="327">
        <f>-(SUM('PRINCIPAL DOMDEBT'!X11:X58)/1000000000)</f>
        <v>-102.9782</v>
      </c>
      <c r="JY1014" s="327">
        <f>JZ1014-JX1014</f>
        <v>8.7057999999999964</v>
      </c>
      <c r="JZ1014" s="323">
        <f>FISC!AO1339</f>
        <v>-94.272400000000005</v>
      </c>
      <c r="KA1014" s="327">
        <f>-(SUM('PRINCIPAL DOMDEBT'!AA11:AA58)/1000000000)</f>
        <v>-40</v>
      </c>
      <c r="KB1014" s="327">
        <f>KC1014-KA1014</f>
        <v>-39.878200000000007</v>
      </c>
      <c r="KC1014" s="323">
        <f>FISC!AP1339</f>
        <v>-79.878200000000007</v>
      </c>
      <c r="KD1014" s="327">
        <f>-(SUM('PRINCIPAL DOMDEBT'!AD11:AD58)/1000000000)</f>
        <v>-30</v>
      </c>
      <c r="KE1014" s="327">
        <f>KF1014-KD1014</f>
        <v>-98.093199999999996</v>
      </c>
      <c r="KF1014" s="323">
        <f>FISC!AQ1339</f>
        <v>-128.0932</v>
      </c>
      <c r="KG1014" s="327">
        <f>-(SUM('PRINCIPAL DOMDEBT'!AG11:AG58)/1000000000)</f>
        <v>0</v>
      </c>
      <c r="KH1014" s="327">
        <f>KI1014-KG1014</f>
        <v>-88.785700000000006</v>
      </c>
      <c r="KI1014" s="323">
        <f>FISC!AR1339</f>
        <v>-88.785700000000006</v>
      </c>
      <c r="KJ1014" s="327">
        <f>-(SUM('PRINCIPAL DOMDEBT'!AJ11:AJ58)/1000000000)</f>
        <v>-40</v>
      </c>
      <c r="KK1014" s="327">
        <f>KL1014-KJ1014</f>
        <v>-14.930799999999998</v>
      </c>
      <c r="KL1014" s="323">
        <f>FISC!AS1339</f>
        <v>-54.930799999999998</v>
      </c>
      <c r="KM1014" s="327">
        <f>-(SUM('PRINCIPAL DOMDEBT'!AM11:AM58)/1000000000)</f>
        <v>-50</v>
      </c>
      <c r="KN1014" s="327">
        <f>KO1014-KM1014</f>
        <v>-46.2346</v>
      </c>
      <c r="KO1014" s="323">
        <f>FISC!AT1339</f>
        <v>-96.2346</v>
      </c>
      <c r="KU1014" s="326"/>
      <c r="KV1014" s="327"/>
    </row>
    <row r="1015" spans="1:314">
      <c r="A1015" s="279"/>
      <c r="D1015" s="1419" t="s">
        <v>3062</v>
      </c>
      <c r="E1015" s="323"/>
      <c r="F1015" s="323"/>
      <c r="G1015" s="323"/>
      <c r="H1015" s="323"/>
      <c r="I1015" s="323"/>
      <c r="J1015" s="323"/>
      <c r="K1015" s="323"/>
      <c r="L1015" s="323"/>
      <c r="M1015" s="323"/>
      <c r="N1015" s="323"/>
      <c r="O1015" s="323"/>
      <c r="P1015" s="323"/>
      <c r="Q1015" s="323"/>
      <c r="R1015" s="323"/>
      <c r="S1015" s="323"/>
      <c r="T1015" s="323"/>
      <c r="U1015" s="323"/>
      <c r="V1015" s="323"/>
      <c r="W1015" s="323"/>
      <c r="X1015" s="323"/>
      <c r="Y1015" s="323"/>
      <c r="Z1015" s="323"/>
      <c r="AA1015" s="323"/>
      <c r="AB1015" s="323"/>
      <c r="AC1015" s="323"/>
      <c r="AD1015" s="323"/>
      <c r="AE1015" s="323"/>
      <c r="AF1015" s="323"/>
      <c r="AG1015" s="323"/>
      <c r="AH1015" s="323"/>
      <c r="AI1015" s="323"/>
      <c r="AJ1015" s="323"/>
      <c r="AK1015" s="323"/>
      <c r="AL1015" s="323"/>
      <c r="AM1015" s="323"/>
      <c r="AN1015" s="323"/>
      <c r="AO1015" s="323"/>
      <c r="AP1015" s="323"/>
      <c r="AQ1015" s="323"/>
      <c r="AR1015" s="323"/>
      <c r="AS1015" s="323"/>
      <c r="AT1015" s="323"/>
      <c r="AU1015" s="323"/>
      <c r="AV1015" s="323"/>
      <c r="AW1015" s="323"/>
      <c r="AX1015" s="323"/>
      <c r="AY1015" s="323"/>
      <c r="AZ1015" s="323"/>
      <c r="BA1015" s="323"/>
      <c r="BB1015" s="323"/>
      <c r="BC1015" s="323"/>
      <c r="BD1015" s="323"/>
      <c r="BE1015" s="323"/>
      <c r="BF1015" s="323"/>
      <c r="BG1015" s="323"/>
      <c r="BH1015" s="323"/>
      <c r="BI1015" s="323"/>
      <c r="BJ1015" s="323"/>
      <c r="BK1015" s="323"/>
      <c r="BL1015" s="323"/>
      <c r="BM1015" s="323"/>
      <c r="BN1015" s="323"/>
      <c r="BO1015" s="323"/>
      <c r="BP1015" s="323"/>
      <c r="BQ1015" s="323"/>
      <c r="BR1015" s="323"/>
      <c r="BS1015" s="323"/>
      <c r="BT1015" s="323"/>
      <c r="BU1015" s="323"/>
      <c r="BV1015" s="323"/>
      <c r="BW1015" s="323"/>
      <c r="BX1015" s="323"/>
      <c r="BY1015" s="323"/>
      <c r="BZ1015" s="323"/>
      <c r="CA1015" s="323"/>
      <c r="CB1015" s="323"/>
      <c r="CC1015" s="323"/>
      <c r="CD1015" s="329"/>
      <c r="CE1015" s="323">
        <v>0</v>
      </c>
      <c r="CF1015" s="323">
        <v>0</v>
      </c>
      <c r="CG1015" s="323">
        <v>0</v>
      </c>
      <c r="CH1015" s="323">
        <v>0</v>
      </c>
      <c r="CI1015" s="323">
        <v>0</v>
      </c>
      <c r="CJ1015" s="323">
        <v>0</v>
      </c>
      <c r="CK1015" s="323">
        <v>0</v>
      </c>
      <c r="CL1015" s="323">
        <v>0</v>
      </c>
      <c r="CM1015" s="323">
        <v>0</v>
      </c>
      <c r="CN1015" s="323">
        <v>0</v>
      </c>
      <c r="CO1015" s="323">
        <v>0</v>
      </c>
      <c r="CP1015" s="325">
        <v>0</v>
      </c>
      <c r="CQ1015" s="323"/>
      <c r="CR1015" s="323"/>
      <c r="CS1015" s="323"/>
      <c r="CT1015" s="323"/>
      <c r="CU1015" s="323"/>
      <c r="CV1015" s="323"/>
      <c r="CW1015" s="323"/>
      <c r="CX1015" s="323"/>
      <c r="CY1015" s="323"/>
      <c r="CZ1015" s="323"/>
      <c r="DA1015" s="323"/>
      <c r="DB1015" s="1269"/>
      <c r="DC1015" s="323"/>
      <c r="DD1015" s="323"/>
      <c r="DE1015" s="323"/>
      <c r="DF1015" s="323"/>
      <c r="DG1015" s="323"/>
      <c r="DH1015" s="323"/>
      <c r="DI1015" s="323"/>
      <c r="DJ1015" s="323"/>
      <c r="DK1015" s="323"/>
      <c r="DL1015" s="323"/>
      <c r="DM1015" s="323"/>
      <c r="DN1015" s="325"/>
      <c r="DO1015" s="323"/>
      <c r="DP1015" s="323"/>
      <c r="DQ1015" s="323"/>
      <c r="DR1015" s="323"/>
      <c r="DS1015" s="323"/>
      <c r="DT1015" s="323"/>
      <c r="DU1015" s="323"/>
      <c r="DV1015" s="323"/>
      <c r="DW1015" s="323"/>
      <c r="DX1015" s="323"/>
      <c r="DY1015" s="323"/>
      <c r="DZ1015" s="325"/>
      <c r="EA1015" s="323"/>
      <c r="EB1015" s="323"/>
      <c r="EC1015" s="323"/>
      <c r="ED1015" s="323"/>
      <c r="EE1015" s="323"/>
      <c r="EF1015" s="323"/>
      <c r="EG1015" s="323"/>
      <c r="EH1015" s="323"/>
      <c r="EI1015" s="323"/>
      <c r="EJ1015" s="323"/>
      <c r="EK1015" s="323"/>
      <c r="EL1015" s="325"/>
      <c r="EM1015" s="323"/>
      <c r="EN1015" s="323"/>
      <c r="EO1015" s="323"/>
      <c r="EP1015" s="323"/>
      <c r="EQ1015" s="323"/>
      <c r="ER1015" s="323"/>
      <c r="ES1015" s="323"/>
      <c r="ET1015" s="323"/>
      <c r="EU1015" s="323"/>
      <c r="EV1015" s="323"/>
      <c r="EW1015" s="323"/>
      <c r="EX1015" s="325"/>
      <c r="EY1015" s="323"/>
      <c r="EZ1015" s="323"/>
      <c r="FA1015" s="323"/>
      <c r="FB1015" s="323"/>
      <c r="FC1015" s="323"/>
      <c r="FD1015" s="323"/>
      <c r="FE1015" s="323"/>
      <c r="FF1015" s="323"/>
      <c r="FG1015" s="323"/>
      <c r="FH1015" s="323"/>
      <c r="FI1015" s="323"/>
      <c r="FJ1015" s="325"/>
      <c r="FK1015" s="323">
        <v>0</v>
      </c>
      <c r="FL1015" s="323">
        <v>0</v>
      </c>
      <c r="FM1015" s="323">
        <v>0</v>
      </c>
      <c r="FN1015" s="323">
        <v>0</v>
      </c>
      <c r="FO1015" s="323">
        <v>0</v>
      </c>
      <c r="FP1015" s="323">
        <v>0</v>
      </c>
      <c r="FQ1015" s="323">
        <v>0</v>
      </c>
      <c r="FR1015" s="323">
        <v>0</v>
      </c>
      <c r="FS1015" s="323">
        <v>0</v>
      </c>
      <c r="FT1015" s="323">
        <v>0</v>
      </c>
      <c r="FU1015" s="323">
        <v>0</v>
      </c>
      <c r="FV1015" s="323">
        <v>0</v>
      </c>
      <c r="FW1015" s="323">
        <v>0</v>
      </c>
      <c r="FX1015" s="323">
        <v>0</v>
      </c>
      <c r="FY1015" s="323">
        <v>0</v>
      </c>
      <c r="FZ1015" s="323">
        <v>0</v>
      </c>
      <c r="GA1015" s="323">
        <v>0</v>
      </c>
      <c r="GB1015" s="323">
        <v>0</v>
      </c>
      <c r="GC1015" s="323">
        <v>0</v>
      </c>
      <c r="GD1015" s="323">
        <v>0</v>
      </c>
      <c r="GE1015" s="323">
        <v>0</v>
      </c>
      <c r="GF1015" s="323">
        <v>0</v>
      </c>
      <c r="GG1015" s="323">
        <v>0</v>
      </c>
      <c r="GH1015" s="323">
        <v>0</v>
      </c>
      <c r="GI1015" s="1654">
        <v>0</v>
      </c>
      <c r="GJ1015" s="1654">
        <v>0</v>
      </c>
      <c r="GK1015" s="1654">
        <v>0</v>
      </c>
      <c r="GL1015" s="1654">
        <v>0</v>
      </c>
      <c r="GM1015" s="1654">
        <v>0</v>
      </c>
      <c r="GN1015" s="1654">
        <v>0</v>
      </c>
      <c r="GO1015" s="1654">
        <v>0</v>
      </c>
      <c r="GP1015" s="1654">
        <v>0</v>
      </c>
      <c r="GQ1015" s="1654">
        <v>0</v>
      </c>
      <c r="GR1015" s="1654">
        <v>0</v>
      </c>
      <c r="GS1015" s="1654">
        <v>0</v>
      </c>
      <c r="GT1015" s="1654">
        <v>0</v>
      </c>
      <c r="GU1015" s="1654">
        <v>0</v>
      </c>
      <c r="GV1015" s="1654">
        <v>0</v>
      </c>
      <c r="GW1015" s="1654">
        <v>0</v>
      </c>
      <c r="GX1015" s="1654">
        <v>0</v>
      </c>
      <c r="GY1015" s="1654">
        <v>0</v>
      </c>
      <c r="GZ1015" s="1654">
        <v>0</v>
      </c>
      <c r="HA1015" s="1654">
        <v>0</v>
      </c>
      <c r="HB1015" s="1654">
        <v>0</v>
      </c>
      <c r="HC1015" s="1654">
        <v>0</v>
      </c>
      <c r="HD1015" s="1654">
        <v>0</v>
      </c>
      <c r="HE1015" s="1654">
        <v>0</v>
      </c>
      <c r="HF1015" s="1654">
        <v>0</v>
      </c>
      <c r="HG1015" s="1654">
        <v>0</v>
      </c>
      <c r="HH1015" s="1654">
        <v>0</v>
      </c>
      <c r="HI1015" s="1654">
        <v>0</v>
      </c>
      <c r="HJ1015" s="1654">
        <v>0</v>
      </c>
      <c r="HK1015" s="1654">
        <v>0</v>
      </c>
      <c r="HL1015" s="1654">
        <v>0</v>
      </c>
      <c r="HM1015" s="1654">
        <v>0</v>
      </c>
      <c r="HN1015" s="1654">
        <v>0</v>
      </c>
      <c r="HO1015" s="1654">
        <v>0</v>
      </c>
      <c r="HP1015" s="1654">
        <v>0</v>
      </c>
      <c r="HQ1015" s="1654">
        <v>0</v>
      </c>
      <c r="HR1015" s="1654">
        <v>0</v>
      </c>
      <c r="HS1015" s="1654">
        <v>0</v>
      </c>
      <c r="HT1015" s="1654">
        <v>0</v>
      </c>
      <c r="HU1015" s="1654">
        <v>0</v>
      </c>
      <c r="HV1015" s="1654">
        <v>0</v>
      </c>
      <c r="HW1015" s="1654">
        <v>0</v>
      </c>
      <c r="HX1015" s="1654">
        <v>0</v>
      </c>
      <c r="HY1015" s="1654"/>
      <c r="HZ1015" s="326"/>
      <c r="IA1015" s="1419" t="s">
        <v>3062</v>
      </c>
      <c r="IB1015" s="284"/>
      <c r="ID1015" s="323"/>
      <c r="IG1015" s="323"/>
      <c r="IH1015" s="284"/>
      <c r="IJ1015" s="323"/>
      <c r="IK1015" s="327"/>
      <c r="IM1015" s="323"/>
      <c r="IP1015" s="323"/>
      <c r="IQ1015" s="327"/>
      <c r="IR1015" s="327"/>
      <c r="IS1015" s="323"/>
      <c r="IT1015" s="327"/>
      <c r="IU1015" s="327"/>
      <c r="IV1015" s="323"/>
      <c r="IW1015" s="327">
        <f t="shared" si="2091"/>
        <v>0</v>
      </c>
      <c r="IX1015" s="327">
        <f t="shared" si="2092"/>
        <v>0</v>
      </c>
      <c r="IY1015" s="323">
        <f t="shared" si="2005"/>
        <v>0</v>
      </c>
      <c r="IZ1015" s="327">
        <f t="shared" si="2110"/>
        <v>0</v>
      </c>
      <c r="JA1015" s="327">
        <f>SUM(GC1015:GH1015)</f>
        <v>0</v>
      </c>
      <c r="JB1015" s="323">
        <f t="shared" si="2036"/>
        <v>0</v>
      </c>
      <c r="JC1015" s="327">
        <f t="shared" si="2112"/>
        <v>0</v>
      </c>
      <c r="JD1015" s="327">
        <f t="shared" si="2113"/>
        <v>0</v>
      </c>
      <c r="JE1015" s="323">
        <f t="shared" si="1945"/>
        <v>0</v>
      </c>
      <c r="JF1015" s="327">
        <f t="shared" si="2097"/>
        <v>0</v>
      </c>
      <c r="JG1015" s="327">
        <f t="shared" si="2116"/>
        <v>0</v>
      </c>
      <c r="JH1015" s="323">
        <f t="shared" si="1944"/>
        <v>0</v>
      </c>
      <c r="JI1015" s="327">
        <f t="shared" si="1993"/>
        <v>0</v>
      </c>
      <c r="JJ1015" s="279">
        <f t="shared" si="2035"/>
        <v>0</v>
      </c>
      <c r="JK1015" s="323">
        <f t="shared" si="2117"/>
        <v>0</v>
      </c>
      <c r="JL1015" s="327">
        <f t="shared" si="2118"/>
        <v>0</v>
      </c>
      <c r="JM1015" s="279">
        <f t="shared" si="2062"/>
        <v>0</v>
      </c>
      <c r="JN1015" s="323">
        <f>FISC!AK1340</f>
        <v>0</v>
      </c>
      <c r="JO1015" s="327">
        <f t="shared" si="2099"/>
        <v>0</v>
      </c>
      <c r="JP1015" s="279">
        <f>JQ1015-JO1015</f>
        <v>0</v>
      </c>
      <c r="JQ1015" s="323">
        <f>FISC!AL1340</f>
        <v>0</v>
      </c>
      <c r="JR1015" s="327">
        <f t="shared" si="2100"/>
        <v>0</v>
      </c>
      <c r="JS1015" s="279">
        <f>JT1015-JR1015</f>
        <v>0</v>
      </c>
      <c r="JT1015" s="323">
        <f>FISC!AM1340</f>
        <v>0</v>
      </c>
      <c r="JU1015" s="327">
        <f t="shared" ref="JU1015:JU1018" si="2119">JW1015/2</f>
        <v>0</v>
      </c>
      <c r="JV1015" s="279">
        <f>JW1015-JU1015</f>
        <v>0</v>
      </c>
      <c r="JW1015" s="323">
        <f>FISC!AN1340</f>
        <v>0</v>
      </c>
      <c r="JX1015" s="327">
        <f t="shared" ref="JX1015:JX1018" si="2120">JZ1015/2</f>
        <v>0</v>
      </c>
      <c r="JY1015" s="279">
        <f>JZ1015-JX1015</f>
        <v>0</v>
      </c>
      <c r="JZ1015" s="323">
        <f>FISC!AO1340</f>
        <v>0</v>
      </c>
      <c r="KA1015" s="327">
        <f t="shared" ref="KA1015:KA1018" si="2121">KC1015/2</f>
        <v>0</v>
      </c>
      <c r="KB1015" s="279">
        <f>KC1015-KA1015</f>
        <v>0</v>
      </c>
      <c r="KC1015" s="323">
        <f>FISC!AP1340</f>
        <v>0</v>
      </c>
      <c r="KD1015" s="327">
        <f t="shared" ref="KD1015:KD1018" si="2122">KF1015/2</f>
        <v>0</v>
      </c>
      <c r="KE1015" s="279">
        <f>KF1015-KD1015</f>
        <v>0</v>
      </c>
      <c r="KF1015" s="323">
        <f>FISC!AQ1340</f>
        <v>0</v>
      </c>
      <c r="KG1015" s="327">
        <f t="shared" ref="KG1015:KG1018" si="2123">KI1015/2</f>
        <v>0</v>
      </c>
      <c r="KH1015" s="279">
        <f>KI1015-KG1015</f>
        <v>0</v>
      </c>
      <c r="KI1015" s="323">
        <f>FISC!AR1340</f>
        <v>0</v>
      </c>
      <c r="KJ1015" s="327">
        <f t="shared" ref="KJ1015:KJ1018" si="2124">KL1015/2</f>
        <v>0</v>
      </c>
      <c r="KK1015" s="279">
        <f>KL1015-KJ1015</f>
        <v>0</v>
      </c>
      <c r="KL1015" s="323">
        <f>FISC!AS1340</f>
        <v>0</v>
      </c>
      <c r="KM1015" s="327">
        <f t="shared" ref="KM1015:KM1018" si="2125">KO1015/2</f>
        <v>0</v>
      </c>
      <c r="KN1015" s="279">
        <f>KO1015-KM1015</f>
        <v>0</v>
      </c>
      <c r="KO1015" s="323">
        <f>FISC!AT1340</f>
        <v>0</v>
      </c>
      <c r="KU1015" s="326"/>
      <c r="KV1015" s="327"/>
    </row>
    <row r="1016" spans="1:314">
      <c r="A1016" s="279"/>
      <c r="D1016" s="1420" t="s">
        <v>3063</v>
      </c>
      <c r="E1016" s="323"/>
      <c r="F1016" s="323"/>
      <c r="G1016" s="323"/>
      <c r="H1016" s="323"/>
      <c r="I1016" s="323"/>
      <c r="J1016" s="323"/>
      <c r="K1016" s="323"/>
      <c r="L1016" s="323"/>
      <c r="M1016" s="323"/>
      <c r="N1016" s="323"/>
      <c r="O1016" s="323"/>
      <c r="P1016" s="323"/>
      <c r="Q1016" s="323"/>
      <c r="R1016" s="323"/>
      <c r="S1016" s="323"/>
      <c r="T1016" s="323"/>
      <c r="U1016" s="323"/>
      <c r="V1016" s="323"/>
      <c r="W1016" s="323"/>
      <c r="X1016" s="323"/>
      <c r="Y1016" s="323"/>
      <c r="Z1016" s="323"/>
      <c r="AA1016" s="323"/>
      <c r="AB1016" s="323"/>
      <c r="AC1016" s="323"/>
      <c r="AD1016" s="323"/>
      <c r="AE1016" s="323"/>
      <c r="AF1016" s="323"/>
      <c r="AG1016" s="323"/>
      <c r="AH1016" s="323"/>
      <c r="AI1016" s="323"/>
      <c r="AJ1016" s="323"/>
      <c r="AK1016" s="323"/>
      <c r="AL1016" s="323"/>
      <c r="AM1016" s="323"/>
      <c r="AN1016" s="323"/>
      <c r="AO1016" s="323"/>
      <c r="AP1016" s="323"/>
      <c r="AQ1016" s="323"/>
      <c r="AR1016" s="323"/>
      <c r="AS1016" s="323"/>
      <c r="AT1016" s="323"/>
      <c r="AU1016" s="323"/>
      <c r="AV1016" s="323"/>
      <c r="AW1016" s="323"/>
      <c r="AX1016" s="323"/>
      <c r="AY1016" s="323"/>
      <c r="AZ1016" s="323"/>
      <c r="BA1016" s="323"/>
      <c r="BB1016" s="323"/>
      <c r="BC1016" s="323"/>
      <c r="BD1016" s="323"/>
      <c r="BE1016" s="323"/>
      <c r="BF1016" s="323"/>
      <c r="BG1016" s="323"/>
      <c r="BH1016" s="323"/>
      <c r="BI1016" s="323"/>
      <c r="BJ1016" s="323"/>
      <c r="BK1016" s="323"/>
      <c r="BL1016" s="323"/>
      <c r="BM1016" s="323"/>
      <c r="BN1016" s="323"/>
      <c r="BO1016" s="323"/>
      <c r="BP1016" s="323"/>
      <c r="BQ1016" s="323"/>
      <c r="BR1016" s="323"/>
      <c r="BS1016" s="323"/>
      <c r="BT1016" s="323"/>
      <c r="BU1016" s="323"/>
      <c r="BV1016" s="323"/>
      <c r="BW1016" s="323"/>
      <c r="BX1016" s="323"/>
      <c r="BY1016" s="323"/>
      <c r="BZ1016" s="323"/>
      <c r="CA1016" s="323"/>
      <c r="CB1016" s="323"/>
      <c r="CC1016" s="323"/>
      <c r="CD1016" s="329"/>
      <c r="CE1016" s="323">
        <v>0</v>
      </c>
      <c r="CF1016" s="323">
        <v>0</v>
      </c>
      <c r="CG1016" s="323">
        <v>0</v>
      </c>
      <c r="CH1016" s="323">
        <v>0</v>
      </c>
      <c r="CI1016" s="323">
        <v>0</v>
      </c>
      <c r="CJ1016" s="323">
        <v>0</v>
      </c>
      <c r="CK1016" s="323">
        <v>0</v>
      </c>
      <c r="CL1016" s="323">
        <v>0</v>
      </c>
      <c r="CM1016" s="323">
        <v>0</v>
      </c>
      <c r="CN1016" s="323">
        <v>0</v>
      </c>
      <c r="CO1016" s="323">
        <v>0</v>
      </c>
      <c r="CP1016" s="325">
        <v>0</v>
      </c>
      <c r="CQ1016" s="323"/>
      <c r="CR1016" s="323"/>
      <c r="CS1016" s="323"/>
      <c r="CT1016" s="323"/>
      <c r="CU1016" s="323"/>
      <c r="CV1016" s="323"/>
      <c r="CW1016" s="323"/>
      <c r="CX1016" s="323"/>
      <c r="CY1016" s="323"/>
      <c r="CZ1016" s="323"/>
      <c r="DA1016" s="323"/>
      <c r="DB1016" s="1269"/>
      <c r="DC1016" s="323"/>
      <c r="DD1016" s="323"/>
      <c r="DE1016" s="323"/>
      <c r="DF1016" s="323"/>
      <c r="DG1016" s="323"/>
      <c r="DH1016" s="323"/>
      <c r="DI1016" s="323"/>
      <c r="DJ1016" s="323"/>
      <c r="DK1016" s="323"/>
      <c r="DL1016" s="323"/>
      <c r="DM1016" s="323"/>
      <c r="DN1016" s="325"/>
      <c r="DO1016" s="323"/>
      <c r="DP1016" s="323"/>
      <c r="DQ1016" s="323"/>
      <c r="DR1016" s="323"/>
      <c r="DS1016" s="323"/>
      <c r="DT1016" s="323"/>
      <c r="DU1016" s="323"/>
      <c r="DV1016" s="323"/>
      <c r="DW1016" s="323"/>
      <c r="DX1016" s="323"/>
      <c r="DY1016" s="323"/>
      <c r="DZ1016" s="325"/>
      <c r="EA1016" s="323"/>
      <c r="EB1016" s="323"/>
      <c r="EC1016" s="323"/>
      <c r="ED1016" s="323"/>
      <c r="EE1016" s="323"/>
      <c r="EF1016" s="323"/>
      <c r="EG1016" s="323"/>
      <c r="EH1016" s="323"/>
      <c r="EI1016" s="323"/>
      <c r="EJ1016" s="323"/>
      <c r="EK1016" s="323"/>
      <c r="EL1016" s="325"/>
      <c r="EM1016" s="323"/>
      <c r="EN1016" s="323"/>
      <c r="EO1016" s="323"/>
      <c r="EP1016" s="323"/>
      <c r="EQ1016" s="323"/>
      <c r="ER1016" s="323"/>
      <c r="ES1016" s="323"/>
      <c r="ET1016" s="323"/>
      <c r="EU1016" s="323"/>
      <c r="EV1016" s="323"/>
      <c r="EW1016" s="323"/>
      <c r="EX1016" s="325"/>
      <c r="EY1016" s="323"/>
      <c r="EZ1016" s="323"/>
      <c r="FA1016" s="323"/>
      <c r="FB1016" s="323"/>
      <c r="FC1016" s="323"/>
      <c r="FD1016" s="323"/>
      <c r="FE1016" s="323"/>
      <c r="FF1016" s="323"/>
      <c r="FG1016" s="323"/>
      <c r="FH1016" s="323"/>
      <c r="FI1016" s="323"/>
      <c r="FJ1016" s="325"/>
      <c r="FK1016" s="323">
        <v>0</v>
      </c>
      <c r="FL1016" s="323">
        <v>0</v>
      </c>
      <c r="FM1016" s="323">
        <v>0</v>
      </c>
      <c r="FN1016" s="323">
        <v>0</v>
      </c>
      <c r="FO1016" s="323">
        <v>0</v>
      </c>
      <c r="FP1016" s="323">
        <v>0</v>
      </c>
      <c r="FQ1016" s="323">
        <v>0</v>
      </c>
      <c r="FR1016" s="323">
        <v>0</v>
      </c>
      <c r="FS1016" s="323">
        <v>0</v>
      </c>
      <c r="FT1016" s="323">
        <v>0</v>
      </c>
      <c r="FU1016" s="323">
        <v>0</v>
      </c>
      <c r="FV1016" s="323">
        <v>0</v>
      </c>
      <c r="FW1016" s="323">
        <v>0</v>
      </c>
      <c r="FX1016" s="323">
        <v>0</v>
      </c>
      <c r="FY1016" s="323">
        <v>0</v>
      </c>
      <c r="FZ1016" s="323">
        <v>0</v>
      </c>
      <c r="GA1016" s="323">
        <v>0</v>
      </c>
      <c r="GB1016" s="323">
        <v>0</v>
      </c>
      <c r="GC1016" s="323">
        <v>0</v>
      </c>
      <c r="GD1016" s="323">
        <v>0</v>
      </c>
      <c r="GE1016" s="323">
        <v>0</v>
      </c>
      <c r="GF1016" s="323">
        <v>0</v>
      </c>
      <c r="GG1016" s="323">
        <v>0</v>
      </c>
      <c r="GH1016" s="323">
        <v>0</v>
      </c>
      <c r="GI1016" s="1654">
        <v>0</v>
      </c>
      <c r="GJ1016" s="1654">
        <v>0</v>
      </c>
      <c r="GK1016" s="1654">
        <v>0</v>
      </c>
      <c r="GL1016" s="1654">
        <v>0</v>
      </c>
      <c r="GM1016" s="1654">
        <v>0</v>
      </c>
      <c r="GN1016" s="1654">
        <v>0</v>
      </c>
      <c r="GO1016" s="1654">
        <v>0</v>
      </c>
      <c r="GP1016" s="1654">
        <v>0</v>
      </c>
      <c r="GQ1016" s="1654">
        <v>0</v>
      </c>
      <c r="GR1016" s="1654">
        <v>0</v>
      </c>
      <c r="GS1016" s="1654">
        <v>0</v>
      </c>
      <c r="GT1016" s="1654">
        <v>0</v>
      </c>
      <c r="GU1016" s="1654">
        <v>0</v>
      </c>
      <c r="GV1016" s="1654">
        <v>0</v>
      </c>
      <c r="GW1016" s="1654">
        <v>0</v>
      </c>
      <c r="GX1016" s="1654">
        <v>0</v>
      </c>
      <c r="GY1016" s="1654">
        <v>0</v>
      </c>
      <c r="GZ1016" s="1654">
        <v>0</v>
      </c>
      <c r="HA1016" s="1654">
        <v>0</v>
      </c>
      <c r="HB1016" s="1654">
        <v>0</v>
      </c>
      <c r="HC1016" s="1654">
        <v>0</v>
      </c>
      <c r="HD1016" s="1654">
        <v>0</v>
      </c>
      <c r="HE1016" s="1654">
        <v>0</v>
      </c>
      <c r="HF1016" s="1654">
        <v>0</v>
      </c>
      <c r="HG1016" s="1654">
        <v>0</v>
      </c>
      <c r="HH1016" s="1654">
        <v>0</v>
      </c>
      <c r="HI1016" s="1654">
        <v>0</v>
      </c>
      <c r="HJ1016" s="1654">
        <v>0</v>
      </c>
      <c r="HK1016" s="1654">
        <v>0</v>
      </c>
      <c r="HL1016" s="1654">
        <v>0</v>
      </c>
      <c r="HM1016" s="1654">
        <v>0</v>
      </c>
      <c r="HN1016" s="1654">
        <v>0</v>
      </c>
      <c r="HO1016" s="1654">
        <v>0</v>
      </c>
      <c r="HP1016" s="1654">
        <v>0</v>
      </c>
      <c r="HQ1016" s="1654">
        <v>0</v>
      </c>
      <c r="HR1016" s="1654">
        <v>0</v>
      </c>
      <c r="HS1016" s="1654">
        <v>0</v>
      </c>
      <c r="HT1016" s="1654">
        <v>0</v>
      </c>
      <c r="HU1016" s="1654">
        <v>0</v>
      </c>
      <c r="HV1016" s="1654">
        <v>0</v>
      </c>
      <c r="HW1016" s="1654">
        <v>0</v>
      </c>
      <c r="HX1016" s="1654">
        <v>0</v>
      </c>
      <c r="HY1016" s="1654"/>
      <c r="HZ1016" s="326"/>
      <c r="IA1016" s="1420" t="s">
        <v>3063</v>
      </c>
      <c r="IB1016" s="284"/>
      <c r="ID1016" s="323"/>
      <c r="IG1016" s="323"/>
      <c r="IH1016" s="284"/>
      <c r="IJ1016" s="323"/>
      <c r="IK1016" s="327"/>
      <c r="IM1016" s="323"/>
      <c r="IP1016" s="323"/>
      <c r="IQ1016" s="327"/>
      <c r="IR1016" s="327"/>
      <c r="IS1016" s="323"/>
      <c r="IT1016" s="327"/>
      <c r="IU1016" s="327"/>
      <c r="IV1016" s="323"/>
      <c r="IW1016" s="327">
        <f t="shared" si="2091"/>
        <v>0</v>
      </c>
      <c r="IX1016" s="327">
        <f t="shared" si="2092"/>
        <v>0</v>
      </c>
      <c r="IY1016" s="323">
        <f t="shared" si="2005"/>
        <v>0</v>
      </c>
      <c r="IZ1016" s="327">
        <f t="shared" si="2110"/>
        <v>0</v>
      </c>
      <c r="JA1016" s="327">
        <f t="shared" si="2111"/>
        <v>0</v>
      </c>
      <c r="JB1016" s="323">
        <f t="shared" si="2036"/>
        <v>0</v>
      </c>
      <c r="JC1016" s="327">
        <f t="shared" si="2112"/>
        <v>0</v>
      </c>
      <c r="JD1016" s="327">
        <f t="shared" si="2113"/>
        <v>0</v>
      </c>
      <c r="JE1016" s="323">
        <f t="shared" si="1945"/>
        <v>0</v>
      </c>
      <c r="JF1016" s="327">
        <f t="shared" si="2097"/>
        <v>0</v>
      </c>
      <c r="JG1016" s="327">
        <f t="shared" si="2116"/>
        <v>0</v>
      </c>
      <c r="JH1016" s="323">
        <f t="shared" si="1944"/>
        <v>0</v>
      </c>
      <c r="JI1016" s="327">
        <f t="shared" si="1993"/>
        <v>0</v>
      </c>
      <c r="JJ1016" s="279">
        <f t="shared" si="2035"/>
        <v>0</v>
      </c>
      <c r="JK1016" s="323">
        <f t="shared" si="2117"/>
        <v>0</v>
      </c>
      <c r="JL1016" s="327">
        <f t="shared" si="2118"/>
        <v>0</v>
      </c>
      <c r="JM1016" s="279">
        <f t="shared" si="2062"/>
        <v>0</v>
      </c>
      <c r="JN1016" s="323">
        <f>FISC!AK1341</f>
        <v>0</v>
      </c>
      <c r="JO1016" s="327">
        <f t="shared" si="2099"/>
        <v>0</v>
      </c>
      <c r="JP1016" s="279">
        <f>JQ1016-JO1016</f>
        <v>0</v>
      </c>
      <c r="JQ1016" s="323">
        <f>FISC!AL1341</f>
        <v>0</v>
      </c>
      <c r="JR1016" s="327">
        <f t="shared" si="2100"/>
        <v>0</v>
      </c>
      <c r="JS1016" s="279">
        <f>JT1016-JR1016</f>
        <v>0</v>
      </c>
      <c r="JT1016" s="323">
        <f>FISC!AM1341</f>
        <v>0</v>
      </c>
      <c r="JU1016" s="327">
        <f t="shared" si="2119"/>
        <v>0</v>
      </c>
      <c r="JV1016" s="279">
        <f>JW1016-JU1016</f>
        <v>0</v>
      </c>
      <c r="JW1016" s="323">
        <f>FISC!AN1341</f>
        <v>0</v>
      </c>
      <c r="JX1016" s="327">
        <f t="shared" si="2120"/>
        <v>0</v>
      </c>
      <c r="JY1016" s="279">
        <f>JZ1016-JX1016</f>
        <v>0</v>
      </c>
      <c r="JZ1016" s="323">
        <f>FISC!AO1341</f>
        <v>0</v>
      </c>
      <c r="KA1016" s="327">
        <f t="shared" si="2121"/>
        <v>0</v>
      </c>
      <c r="KB1016" s="279">
        <f>KC1016-KA1016</f>
        <v>0</v>
      </c>
      <c r="KC1016" s="323">
        <f>FISC!AP1341</f>
        <v>0</v>
      </c>
      <c r="KD1016" s="327">
        <f t="shared" si="2122"/>
        <v>0</v>
      </c>
      <c r="KE1016" s="279">
        <f>KF1016-KD1016</f>
        <v>0</v>
      </c>
      <c r="KF1016" s="323">
        <f>FISC!AQ1341</f>
        <v>0</v>
      </c>
      <c r="KG1016" s="327">
        <f t="shared" si="2123"/>
        <v>0</v>
      </c>
      <c r="KH1016" s="279">
        <f>KI1016-KG1016</f>
        <v>0</v>
      </c>
      <c r="KI1016" s="323">
        <f>FISC!AR1341</f>
        <v>0</v>
      </c>
      <c r="KJ1016" s="327">
        <f t="shared" si="2124"/>
        <v>0</v>
      </c>
      <c r="KK1016" s="279">
        <f>KL1016-KJ1016</f>
        <v>0</v>
      </c>
      <c r="KL1016" s="323">
        <f>FISC!AS1341</f>
        <v>0</v>
      </c>
      <c r="KM1016" s="327">
        <f t="shared" si="2125"/>
        <v>0</v>
      </c>
      <c r="KN1016" s="279">
        <f>KO1016-KM1016</f>
        <v>0</v>
      </c>
      <c r="KO1016" s="323">
        <f>FISC!AT1341</f>
        <v>0</v>
      </c>
      <c r="KU1016" s="326"/>
      <c r="KV1016" s="327"/>
    </row>
    <row r="1017" spans="1:314">
      <c r="A1017" s="279"/>
      <c r="D1017" s="1420" t="s">
        <v>3064</v>
      </c>
      <c r="E1017" s="323"/>
      <c r="F1017" s="323"/>
      <c r="G1017" s="323"/>
      <c r="H1017" s="323"/>
      <c r="I1017" s="323"/>
      <c r="J1017" s="323"/>
      <c r="K1017" s="323"/>
      <c r="L1017" s="323"/>
      <c r="M1017" s="323"/>
      <c r="N1017" s="323"/>
      <c r="O1017" s="323"/>
      <c r="P1017" s="323"/>
      <c r="Q1017" s="323"/>
      <c r="R1017" s="323"/>
      <c r="S1017" s="323"/>
      <c r="T1017" s="323"/>
      <c r="U1017" s="323"/>
      <c r="V1017" s="323"/>
      <c r="W1017" s="323"/>
      <c r="X1017" s="323"/>
      <c r="Y1017" s="323"/>
      <c r="Z1017" s="323"/>
      <c r="AA1017" s="323"/>
      <c r="AB1017" s="323"/>
      <c r="AC1017" s="323"/>
      <c r="AD1017" s="323"/>
      <c r="AE1017" s="323"/>
      <c r="AF1017" s="323"/>
      <c r="AG1017" s="323"/>
      <c r="AH1017" s="323"/>
      <c r="AI1017" s="323"/>
      <c r="AJ1017" s="323"/>
      <c r="AK1017" s="323"/>
      <c r="AL1017" s="323"/>
      <c r="AM1017" s="323"/>
      <c r="AN1017" s="323"/>
      <c r="AO1017" s="323"/>
      <c r="AP1017" s="323"/>
      <c r="AQ1017" s="323"/>
      <c r="AR1017" s="323"/>
      <c r="AS1017" s="323"/>
      <c r="AT1017" s="323"/>
      <c r="AU1017" s="323"/>
      <c r="AV1017" s="323"/>
      <c r="AW1017" s="323"/>
      <c r="AX1017" s="323"/>
      <c r="AY1017" s="323"/>
      <c r="AZ1017" s="323"/>
      <c r="BA1017" s="323"/>
      <c r="BB1017" s="323"/>
      <c r="BC1017" s="323"/>
      <c r="BD1017" s="323"/>
      <c r="BE1017" s="323"/>
      <c r="BF1017" s="323"/>
      <c r="BG1017" s="323"/>
      <c r="BH1017" s="323"/>
      <c r="BI1017" s="323"/>
      <c r="BJ1017" s="323"/>
      <c r="BK1017" s="323"/>
      <c r="BL1017" s="323"/>
      <c r="BM1017" s="323"/>
      <c r="BN1017" s="323"/>
      <c r="BO1017" s="323"/>
      <c r="BP1017" s="323"/>
      <c r="BQ1017" s="323"/>
      <c r="BR1017" s="323"/>
      <c r="BS1017" s="323"/>
      <c r="BT1017" s="323"/>
      <c r="BU1017" s="323"/>
      <c r="BV1017" s="323"/>
      <c r="BW1017" s="323"/>
      <c r="BX1017" s="323"/>
      <c r="BY1017" s="323"/>
      <c r="BZ1017" s="323"/>
      <c r="CA1017" s="323"/>
      <c r="CB1017" s="323"/>
      <c r="CC1017" s="323"/>
      <c r="CD1017" s="329"/>
      <c r="CE1017" s="323">
        <v>0</v>
      </c>
      <c r="CF1017" s="323">
        <v>0</v>
      </c>
      <c r="CG1017" s="323">
        <v>0</v>
      </c>
      <c r="CH1017" s="323">
        <v>0</v>
      </c>
      <c r="CI1017" s="323">
        <v>0</v>
      </c>
      <c r="CJ1017" s="323">
        <v>0</v>
      </c>
      <c r="CK1017" s="323">
        <v>0</v>
      </c>
      <c r="CL1017" s="323">
        <v>0</v>
      </c>
      <c r="CM1017" s="323">
        <v>0</v>
      </c>
      <c r="CN1017" s="323">
        <v>0</v>
      </c>
      <c r="CO1017" s="323">
        <v>0</v>
      </c>
      <c r="CP1017" s="325">
        <v>0</v>
      </c>
      <c r="CQ1017" s="323"/>
      <c r="CR1017" s="323"/>
      <c r="CS1017" s="323"/>
      <c r="CT1017" s="323"/>
      <c r="CU1017" s="323"/>
      <c r="CV1017" s="323"/>
      <c r="CW1017" s="323"/>
      <c r="CX1017" s="323"/>
      <c r="CY1017" s="323"/>
      <c r="CZ1017" s="323"/>
      <c r="DA1017" s="323"/>
      <c r="DB1017" s="1269"/>
      <c r="DC1017" s="323"/>
      <c r="DD1017" s="323"/>
      <c r="DE1017" s="323"/>
      <c r="DF1017" s="323"/>
      <c r="DG1017" s="323"/>
      <c r="DH1017" s="323"/>
      <c r="DI1017" s="323"/>
      <c r="DJ1017" s="323"/>
      <c r="DK1017" s="323"/>
      <c r="DL1017" s="323"/>
      <c r="DM1017" s="323"/>
      <c r="DN1017" s="325"/>
      <c r="DO1017" s="323"/>
      <c r="DP1017" s="323"/>
      <c r="DQ1017" s="323"/>
      <c r="DR1017" s="323"/>
      <c r="DS1017" s="323"/>
      <c r="DT1017" s="323"/>
      <c r="DU1017" s="323"/>
      <c r="DV1017" s="323"/>
      <c r="DW1017" s="323"/>
      <c r="DX1017" s="323"/>
      <c r="DY1017" s="323"/>
      <c r="DZ1017" s="325"/>
      <c r="EA1017" s="323"/>
      <c r="EB1017" s="323"/>
      <c r="EC1017" s="323"/>
      <c r="ED1017" s="323"/>
      <c r="EE1017" s="323"/>
      <c r="EF1017" s="323"/>
      <c r="EG1017" s="323"/>
      <c r="EH1017" s="323"/>
      <c r="EI1017" s="323"/>
      <c r="EJ1017" s="323"/>
      <c r="EK1017" s="323"/>
      <c r="EL1017" s="325"/>
      <c r="EM1017" s="323"/>
      <c r="EN1017" s="323"/>
      <c r="EO1017" s="323"/>
      <c r="EP1017" s="323"/>
      <c r="EQ1017" s="323"/>
      <c r="ER1017" s="323"/>
      <c r="ES1017" s="323"/>
      <c r="ET1017" s="323"/>
      <c r="EU1017" s="323"/>
      <c r="EV1017" s="323"/>
      <c r="EW1017" s="323"/>
      <c r="EX1017" s="325"/>
      <c r="EY1017" s="323"/>
      <c r="EZ1017" s="323"/>
      <c r="FA1017" s="323"/>
      <c r="FB1017" s="323"/>
      <c r="FC1017" s="323"/>
      <c r="FD1017" s="323"/>
      <c r="FE1017" s="323"/>
      <c r="FF1017" s="323"/>
      <c r="FG1017" s="323"/>
      <c r="FH1017" s="323"/>
      <c r="FI1017" s="323"/>
      <c r="FJ1017" s="325"/>
      <c r="FK1017" s="323">
        <v>0</v>
      </c>
      <c r="FL1017" s="323">
        <v>0</v>
      </c>
      <c r="FM1017" s="323">
        <v>0</v>
      </c>
      <c r="FN1017" s="323">
        <v>0</v>
      </c>
      <c r="FO1017" s="323">
        <v>0</v>
      </c>
      <c r="FP1017" s="323">
        <v>0</v>
      </c>
      <c r="FQ1017" s="323">
        <v>0</v>
      </c>
      <c r="FR1017" s="323">
        <v>0</v>
      </c>
      <c r="FS1017" s="323">
        <v>0</v>
      </c>
      <c r="FT1017" s="323">
        <v>0</v>
      </c>
      <c r="FU1017" s="323">
        <v>0</v>
      </c>
      <c r="FV1017" s="323">
        <v>0</v>
      </c>
      <c r="FW1017" s="323">
        <v>0</v>
      </c>
      <c r="FX1017" s="323">
        <v>0</v>
      </c>
      <c r="FY1017" s="323">
        <v>0</v>
      </c>
      <c r="FZ1017" s="323">
        <v>0</v>
      </c>
      <c r="GA1017" s="323">
        <v>0</v>
      </c>
      <c r="GB1017" s="323">
        <v>0</v>
      </c>
      <c r="GC1017" s="323">
        <v>0</v>
      </c>
      <c r="GD1017" s="323">
        <v>0</v>
      </c>
      <c r="GE1017" s="323">
        <v>0</v>
      </c>
      <c r="GF1017" s="323">
        <v>0</v>
      </c>
      <c r="GG1017" s="323">
        <v>0</v>
      </c>
      <c r="GH1017" s="323">
        <v>0</v>
      </c>
      <c r="GI1017" s="1654">
        <v>0</v>
      </c>
      <c r="GJ1017" s="1654">
        <v>0</v>
      </c>
      <c r="GK1017" s="1654">
        <v>0</v>
      </c>
      <c r="GL1017" s="1654">
        <v>0</v>
      </c>
      <c r="GM1017" s="1654">
        <v>0</v>
      </c>
      <c r="GN1017" s="1654">
        <v>0</v>
      </c>
      <c r="GO1017" s="1654">
        <v>0</v>
      </c>
      <c r="GP1017" s="1654">
        <v>0</v>
      </c>
      <c r="GQ1017" s="1654">
        <v>0</v>
      </c>
      <c r="GR1017" s="1654">
        <v>0</v>
      </c>
      <c r="GS1017" s="1654">
        <v>0</v>
      </c>
      <c r="GT1017" s="1654">
        <v>0</v>
      </c>
      <c r="GU1017" s="1654">
        <v>0</v>
      </c>
      <c r="GV1017" s="1654">
        <v>0</v>
      </c>
      <c r="GW1017" s="1654">
        <v>0</v>
      </c>
      <c r="GX1017" s="1654">
        <v>0</v>
      </c>
      <c r="GY1017" s="1654">
        <v>0</v>
      </c>
      <c r="GZ1017" s="1654">
        <v>0</v>
      </c>
      <c r="HA1017" s="1654">
        <v>0</v>
      </c>
      <c r="HB1017" s="1654">
        <v>0</v>
      </c>
      <c r="HC1017" s="1654">
        <v>0</v>
      </c>
      <c r="HD1017" s="1654">
        <v>0</v>
      </c>
      <c r="HE1017" s="1654">
        <v>0</v>
      </c>
      <c r="HF1017" s="1654">
        <v>0</v>
      </c>
      <c r="HG1017" s="1654">
        <v>0</v>
      </c>
      <c r="HH1017" s="1654">
        <v>0</v>
      </c>
      <c r="HI1017" s="1654">
        <v>0</v>
      </c>
      <c r="HJ1017" s="1654">
        <v>0</v>
      </c>
      <c r="HK1017" s="1654">
        <v>0</v>
      </c>
      <c r="HL1017" s="1654">
        <v>0</v>
      </c>
      <c r="HM1017" s="1654">
        <v>0</v>
      </c>
      <c r="HN1017" s="1654">
        <v>0</v>
      </c>
      <c r="HO1017" s="1654">
        <v>0</v>
      </c>
      <c r="HP1017" s="1654">
        <v>0</v>
      </c>
      <c r="HQ1017" s="1654">
        <v>0</v>
      </c>
      <c r="HR1017" s="1654">
        <v>0</v>
      </c>
      <c r="HS1017" s="1654">
        <v>0</v>
      </c>
      <c r="HT1017" s="1654">
        <v>0</v>
      </c>
      <c r="HU1017" s="1654">
        <v>0</v>
      </c>
      <c r="HV1017" s="1654">
        <v>0</v>
      </c>
      <c r="HW1017" s="1654">
        <v>0</v>
      </c>
      <c r="HX1017" s="1654">
        <v>0</v>
      </c>
      <c r="HY1017" s="1654"/>
      <c r="HZ1017" s="326"/>
      <c r="IA1017" s="1420" t="s">
        <v>3064</v>
      </c>
      <c r="IB1017" s="284"/>
      <c r="ID1017" s="323"/>
      <c r="IG1017" s="323"/>
      <c r="IH1017" s="284"/>
      <c r="IJ1017" s="323"/>
      <c r="IK1017" s="327"/>
      <c r="IM1017" s="323"/>
      <c r="IP1017" s="323"/>
      <c r="IQ1017" s="327"/>
      <c r="IR1017" s="327"/>
      <c r="IS1017" s="323"/>
      <c r="IT1017" s="327"/>
      <c r="IU1017" s="327"/>
      <c r="IV1017" s="323"/>
      <c r="IW1017" s="327">
        <f t="shared" si="2091"/>
        <v>0</v>
      </c>
      <c r="IX1017" s="327">
        <f t="shared" si="2092"/>
        <v>0</v>
      </c>
      <c r="IY1017" s="323">
        <f t="shared" si="2005"/>
        <v>0</v>
      </c>
      <c r="IZ1017" s="327">
        <f t="shared" si="2110"/>
        <v>0</v>
      </c>
      <c r="JA1017" s="327">
        <f t="shared" si="2111"/>
        <v>0</v>
      </c>
      <c r="JB1017" s="323">
        <f t="shared" si="2036"/>
        <v>0</v>
      </c>
      <c r="JC1017" s="327">
        <f t="shared" si="2112"/>
        <v>0</v>
      </c>
      <c r="JD1017" s="327">
        <f t="shared" si="2113"/>
        <v>0</v>
      </c>
      <c r="JE1017" s="323">
        <f t="shared" si="1945"/>
        <v>0</v>
      </c>
      <c r="JF1017" s="327">
        <f t="shared" si="2097"/>
        <v>0</v>
      </c>
      <c r="JG1017" s="327">
        <f t="shared" si="2116"/>
        <v>0</v>
      </c>
      <c r="JH1017" s="323">
        <f t="shared" si="1944"/>
        <v>0</v>
      </c>
      <c r="JI1017" s="327">
        <f t="shared" si="1993"/>
        <v>0</v>
      </c>
      <c r="JJ1017" s="279">
        <f t="shared" si="2035"/>
        <v>0</v>
      </c>
      <c r="JK1017" s="323">
        <f t="shared" si="2117"/>
        <v>0</v>
      </c>
      <c r="JL1017" s="327">
        <f t="shared" si="2118"/>
        <v>0</v>
      </c>
      <c r="JM1017" s="279">
        <f t="shared" si="2062"/>
        <v>0</v>
      </c>
      <c r="JN1017" s="323">
        <f>FISC!AK1342</f>
        <v>0</v>
      </c>
      <c r="JO1017" s="327">
        <f t="shared" si="2099"/>
        <v>0</v>
      </c>
      <c r="JP1017" s="279">
        <f>JQ1017-JO1017</f>
        <v>0</v>
      </c>
      <c r="JQ1017" s="323">
        <f>FISC!AL1342</f>
        <v>0</v>
      </c>
      <c r="JR1017" s="327">
        <f t="shared" si="2100"/>
        <v>0</v>
      </c>
      <c r="JS1017" s="279">
        <f>JT1017-JR1017</f>
        <v>0</v>
      </c>
      <c r="JT1017" s="323">
        <f>FISC!AM1342</f>
        <v>0</v>
      </c>
      <c r="JU1017" s="327">
        <f t="shared" si="2119"/>
        <v>0</v>
      </c>
      <c r="JV1017" s="279">
        <f>JW1017-JU1017</f>
        <v>0</v>
      </c>
      <c r="JW1017" s="323">
        <f>FISC!AN1342</f>
        <v>0</v>
      </c>
      <c r="JX1017" s="327">
        <f t="shared" si="2120"/>
        <v>0</v>
      </c>
      <c r="JY1017" s="279">
        <f>JZ1017-JX1017</f>
        <v>0</v>
      </c>
      <c r="JZ1017" s="323">
        <f>FISC!AO1342</f>
        <v>0</v>
      </c>
      <c r="KA1017" s="327">
        <f t="shared" si="2121"/>
        <v>0</v>
      </c>
      <c r="KB1017" s="279">
        <f>KC1017-KA1017</f>
        <v>0</v>
      </c>
      <c r="KC1017" s="323">
        <f>FISC!AP1342</f>
        <v>0</v>
      </c>
      <c r="KD1017" s="327">
        <f t="shared" si="2122"/>
        <v>0</v>
      </c>
      <c r="KE1017" s="279">
        <f>KF1017-KD1017</f>
        <v>0</v>
      </c>
      <c r="KF1017" s="323">
        <f>FISC!AQ1342</f>
        <v>0</v>
      </c>
      <c r="KG1017" s="327">
        <f t="shared" si="2123"/>
        <v>0</v>
      </c>
      <c r="KH1017" s="279">
        <f>KI1017-KG1017</f>
        <v>0</v>
      </c>
      <c r="KI1017" s="323">
        <f>FISC!AR1342</f>
        <v>0</v>
      </c>
      <c r="KJ1017" s="327">
        <f t="shared" si="2124"/>
        <v>0</v>
      </c>
      <c r="KK1017" s="279">
        <f>KL1017-KJ1017</f>
        <v>0</v>
      </c>
      <c r="KL1017" s="323">
        <f>FISC!AS1342</f>
        <v>0</v>
      </c>
      <c r="KM1017" s="327">
        <f t="shared" si="2125"/>
        <v>0</v>
      </c>
      <c r="KN1017" s="279">
        <f>KO1017-KM1017</f>
        <v>0</v>
      </c>
      <c r="KO1017" s="323">
        <f>FISC!AT1342</f>
        <v>0</v>
      </c>
      <c r="KU1017" s="326"/>
      <c r="KV1017" s="327"/>
    </row>
    <row r="1018" spans="1:314">
      <c r="A1018" s="279"/>
      <c r="B1018" s="96" t="s">
        <v>338</v>
      </c>
      <c r="D1018" s="334" t="s">
        <v>576</v>
      </c>
      <c r="E1018" s="323"/>
      <c r="F1018" s="323"/>
      <c r="G1018" s="323"/>
      <c r="H1018" s="323"/>
      <c r="I1018" s="323"/>
      <c r="J1018" s="323"/>
      <c r="K1018" s="323"/>
      <c r="L1018" s="323"/>
      <c r="M1018" s="323"/>
      <c r="N1018" s="323"/>
      <c r="O1018" s="323"/>
      <c r="P1018" s="323"/>
      <c r="Q1018" s="323"/>
      <c r="R1018" s="323"/>
      <c r="S1018" s="323"/>
      <c r="T1018" s="323"/>
      <c r="U1018" s="323"/>
      <c r="V1018" s="323"/>
      <c r="W1018" s="323"/>
      <c r="X1018" s="323"/>
      <c r="Y1018" s="323"/>
      <c r="Z1018" s="323"/>
      <c r="AA1018" s="323"/>
      <c r="AB1018" s="323"/>
      <c r="AC1018" s="323"/>
      <c r="AD1018" s="323"/>
      <c r="AE1018" s="323"/>
      <c r="AF1018" s="323"/>
      <c r="AG1018" s="323"/>
      <c r="AH1018" s="323"/>
      <c r="AI1018" s="323"/>
      <c r="AJ1018" s="323"/>
      <c r="AK1018" s="323"/>
      <c r="AL1018" s="323"/>
      <c r="AM1018" s="323"/>
      <c r="AN1018" s="323"/>
      <c r="AO1018" s="323"/>
      <c r="AP1018" s="323"/>
      <c r="AQ1018" s="323"/>
      <c r="AR1018" s="323"/>
      <c r="AS1018" s="323"/>
      <c r="AT1018" s="323"/>
      <c r="AU1018" s="323"/>
      <c r="AV1018" s="323"/>
      <c r="AW1018" s="323"/>
      <c r="AX1018" s="323"/>
      <c r="AY1018" s="323"/>
      <c r="AZ1018" s="323"/>
      <c r="BA1018" s="323"/>
      <c r="BB1018" s="323"/>
      <c r="BC1018" s="323"/>
      <c r="BD1018" s="323"/>
      <c r="BE1018" s="323"/>
      <c r="BF1018" s="323"/>
      <c r="BG1018" s="323"/>
      <c r="BH1018" s="323"/>
      <c r="BI1018" s="323"/>
      <c r="BJ1018" s="323"/>
      <c r="BK1018" s="323"/>
      <c r="BL1018" s="323"/>
      <c r="BM1018" s="323"/>
      <c r="BN1018" s="323"/>
      <c r="BO1018" s="323"/>
      <c r="BP1018" s="323"/>
      <c r="BQ1018" s="323"/>
      <c r="BR1018" s="323"/>
      <c r="BS1018" s="323"/>
      <c r="BT1018" s="323"/>
      <c r="BU1018" s="323"/>
      <c r="BV1018" s="323"/>
      <c r="BW1018" s="323"/>
      <c r="BX1018" s="323"/>
      <c r="BY1018" s="323"/>
      <c r="BZ1018" s="323"/>
      <c r="CA1018" s="323"/>
      <c r="CB1018" s="323"/>
      <c r="CC1018" s="323"/>
      <c r="CD1018" s="329"/>
      <c r="CE1018" s="323">
        <v>31.808639599999999</v>
      </c>
      <c r="CF1018" s="323">
        <v>-8.1269907109999995</v>
      </c>
      <c r="CG1018" s="323">
        <v>6.6859770689999998</v>
      </c>
      <c r="CH1018" s="323">
        <v>21.824550973000001</v>
      </c>
      <c r="CI1018" s="323">
        <v>-7.7382346240000004</v>
      </c>
      <c r="CJ1018" s="323">
        <v>-41.174593983000001</v>
      </c>
      <c r="CK1018" s="323">
        <v>35.364857600000001</v>
      </c>
      <c r="CL1018" s="323">
        <v>2.1360851240000001</v>
      </c>
      <c r="CM1018" s="323">
        <v>-2.0618663549999998</v>
      </c>
      <c r="CN1018" s="323">
        <v>25.426471167999999</v>
      </c>
      <c r="CO1018" s="323">
        <v>16.747803172000001</v>
      </c>
      <c r="CP1018" s="325">
        <v>-79.881917555000001</v>
      </c>
      <c r="CQ1018" s="323">
        <f t="shared" ref="CQ1018:DZ1018" si="2126">CQ498</f>
        <v>21.284880143999999</v>
      </c>
      <c r="CR1018" s="323">
        <f t="shared" si="2126"/>
        <v>15.006292824000001</v>
      </c>
      <c r="CS1018" s="323">
        <f t="shared" si="2126"/>
        <v>-2.1616755670000001</v>
      </c>
      <c r="CT1018" s="323">
        <f t="shared" si="2126"/>
        <v>8.2902747340000005</v>
      </c>
      <c r="CU1018" s="323">
        <f t="shared" si="2126"/>
        <v>14.067638216000001</v>
      </c>
      <c r="CV1018" s="323">
        <f t="shared" si="2126"/>
        <v>-13.939712251</v>
      </c>
      <c r="CW1018" s="323">
        <f t="shared" si="2126"/>
        <v>7.2815398059999996</v>
      </c>
      <c r="CX1018" s="323">
        <f t="shared" si="2126"/>
        <v>17.75406121</v>
      </c>
      <c r="CY1018" s="323">
        <f t="shared" si="2126"/>
        <v>-8.8636818710000007</v>
      </c>
      <c r="CZ1018" s="323">
        <f t="shared" si="2126"/>
        <v>12.141147432</v>
      </c>
      <c r="DA1018" s="323">
        <f t="shared" si="2126"/>
        <v>15.717157070000001</v>
      </c>
      <c r="DB1018" s="1269">
        <f t="shared" si="2126"/>
        <v>-76.454366909000001</v>
      </c>
      <c r="DC1018" s="323">
        <f t="shared" si="2126"/>
        <v>37.636702925000002</v>
      </c>
      <c r="DD1018" s="323">
        <f t="shared" si="2126"/>
        <v>-3.7503312680000001</v>
      </c>
      <c r="DE1018" s="323">
        <f t="shared" si="2126"/>
        <v>8.4308130559999999</v>
      </c>
      <c r="DF1018" s="323">
        <f t="shared" si="2126"/>
        <v>21.529509368999999</v>
      </c>
      <c r="DG1018" s="323">
        <f t="shared" si="2126"/>
        <v>0.76183760700000003</v>
      </c>
      <c r="DH1018" s="323">
        <f t="shared" si="2126"/>
        <v>-34.708503962000002</v>
      </c>
      <c r="DI1018" s="323">
        <f t="shared" si="2126"/>
        <v>29.328402982</v>
      </c>
      <c r="DJ1018" s="323">
        <f t="shared" si="2126"/>
        <v>-5.4833340650000002</v>
      </c>
      <c r="DK1018" s="323">
        <f t="shared" si="2126"/>
        <v>14.938295030000001</v>
      </c>
      <c r="DL1018" s="323">
        <f t="shared" si="2126"/>
        <v>-2.7388450029999998</v>
      </c>
      <c r="DM1018" s="323">
        <f t="shared" si="2126"/>
        <v>32.997606068000003</v>
      </c>
      <c r="DN1018" s="325">
        <f t="shared" si="2126"/>
        <v>-80.737361011999994</v>
      </c>
      <c r="DO1018" s="323">
        <f t="shared" si="2126"/>
        <v>9.6132284469999991</v>
      </c>
      <c r="DP1018" s="323">
        <f t="shared" si="2126"/>
        <v>51.353971930999997</v>
      </c>
      <c r="DQ1018" s="323">
        <f t="shared" si="2126"/>
        <v>2.2106296799999998</v>
      </c>
      <c r="DR1018" s="323">
        <f t="shared" si="2126"/>
        <v>5.9088543060000003</v>
      </c>
      <c r="DS1018" s="323">
        <f t="shared" si="2126"/>
        <v>9.6801277339999992</v>
      </c>
      <c r="DT1018" s="323">
        <f t="shared" si="2126"/>
        <v>-70.734507523000005</v>
      </c>
      <c r="DU1018" s="323">
        <f t="shared" si="2126"/>
        <v>50.939858530999999</v>
      </c>
      <c r="DV1018" s="323">
        <f t="shared" si="2126"/>
        <v>-5.2782235499999999</v>
      </c>
      <c r="DW1018" s="323">
        <f t="shared" si="2126"/>
        <v>-27.574826075000001</v>
      </c>
      <c r="DX1018" s="323">
        <f t="shared" si="2126"/>
        <v>59.288729955000001</v>
      </c>
      <c r="DY1018" s="323">
        <f t="shared" si="2126"/>
        <v>17.518485098999999</v>
      </c>
      <c r="DZ1018" s="325">
        <f t="shared" si="2126"/>
        <v>-93.281594581999997</v>
      </c>
      <c r="EA1018" s="323">
        <v>47.21555936</v>
      </c>
      <c r="EB1018" s="323">
        <v>21.202175148999999</v>
      </c>
      <c r="EC1018" s="323">
        <v>18.482069285000001</v>
      </c>
      <c r="ED1018" s="323">
        <v>1.1225844479999962</v>
      </c>
      <c r="EE1018" s="323">
        <v>7.6922014360000004</v>
      </c>
      <c r="EF1018" s="323">
        <v>-75.861489285000005</v>
      </c>
      <c r="EG1018" s="323">
        <v>4.9656702519999998</v>
      </c>
      <c r="EH1018" s="323">
        <v>-0.16435275599999999</v>
      </c>
      <c r="EI1018" s="323">
        <v>17.983570476000001</v>
      </c>
      <c r="EJ1018" s="323">
        <v>21.250397036999999</v>
      </c>
      <c r="EK1018" s="323">
        <v>46.389073705000001</v>
      </c>
      <c r="EL1018" s="325">
        <v>-75.403993608999997</v>
      </c>
      <c r="EM1018" s="323">
        <v>25.837880049999995</v>
      </c>
      <c r="EN1018" s="323">
        <v>36.248566873999998</v>
      </c>
      <c r="EO1018" s="323">
        <v>0.44080309799999812</v>
      </c>
      <c r="EP1018" s="323">
        <v>33.570550891000082</v>
      </c>
      <c r="EQ1018" s="323">
        <v>48.574986181000057</v>
      </c>
      <c r="ER1018" s="323">
        <v>-92.413272835000001</v>
      </c>
      <c r="ES1018" s="323">
        <v>-30.782850932999999</v>
      </c>
      <c r="ET1018" s="323">
        <v>9.7400734640000266</v>
      </c>
      <c r="EU1018" s="323">
        <v>11.986744914999997</v>
      </c>
      <c r="EV1018" s="323">
        <v>147.276351898</v>
      </c>
      <c r="EW1018" s="323">
        <v>62.231566880000003</v>
      </c>
      <c r="EX1018" s="325">
        <v>-197.58878029100003</v>
      </c>
      <c r="EY1018" s="323">
        <v>26.632126699166701</v>
      </c>
      <c r="EZ1018" s="323">
        <v>29.299668134166701</v>
      </c>
      <c r="FA1018" s="323">
        <v>40.303694945166704</v>
      </c>
      <c r="FB1018" s="323">
        <v>-30.529431193833396</v>
      </c>
      <c r="FC1018" s="323">
        <v>55.655963521166804</v>
      </c>
      <c r="FD1018" s="323">
        <v>-55.130105226833301</v>
      </c>
      <c r="FE1018" s="323">
        <v>-32.025499902</v>
      </c>
      <c r="FF1018" s="323">
        <v>-2.960942395</v>
      </c>
      <c r="FG1018" s="323">
        <v>-8.9043976540000003</v>
      </c>
      <c r="FH1018" s="323">
        <v>2.107157188</v>
      </c>
      <c r="FI1018" s="323">
        <v>59.248881259999997</v>
      </c>
      <c r="FJ1018" s="325">
        <v>-110.55986481399999</v>
      </c>
      <c r="FK1018" s="323">
        <v>86.432213680000004</v>
      </c>
      <c r="FL1018" s="323">
        <v>13.579289406999999</v>
      </c>
      <c r="FM1018" s="323">
        <v>2.3488274950000001</v>
      </c>
      <c r="FN1018" s="323">
        <v>-10.703466624000001</v>
      </c>
      <c r="FO1018" s="323">
        <v>12.851430151000001</v>
      </c>
      <c r="FP1018" s="323">
        <v>53.273304389000003</v>
      </c>
      <c r="FQ1018" s="323">
        <v>31.474810708</v>
      </c>
      <c r="FR1018" s="323">
        <v>-5.5388419359999999</v>
      </c>
      <c r="FS1018" s="323">
        <v>-74.304525472500004</v>
      </c>
      <c r="FT1018" s="323">
        <v>9.9404462720000009</v>
      </c>
      <c r="FU1018" s="323">
        <v>107.6545917585</v>
      </c>
      <c r="FV1018" s="323">
        <v>-204.10480462300001</v>
      </c>
      <c r="FW1018" s="323">
        <v>22.090584243999999</v>
      </c>
      <c r="FX1018" s="323">
        <v>-21.442330771999998</v>
      </c>
      <c r="FY1018" s="323">
        <v>47.756068955000003</v>
      </c>
      <c r="FZ1018" s="323">
        <v>53.548558104999998</v>
      </c>
      <c r="GA1018" s="323">
        <v>4.1963563730000004</v>
      </c>
      <c r="GB1018" s="323">
        <v>33.844588815999998</v>
      </c>
      <c r="GC1018" s="323">
        <v>18.019215185</v>
      </c>
      <c r="GD1018" s="323">
        <v>27.795084486</v>
      </c>
      <c r="GE1018" s="323">
        <v>-62.382185071000002</v>
      </c>
      <c r="GF1018" s="323">
        <v>17.260068576333328</v>
      </c>
      <c r="GG1018" s="323">
        <v>-20.990807772666656</v>
      </c>
      <c r="GH1018" s="323">
        <v>-41.478239438094171</v>
      </c>
      <c r="GI1018" s="1676">
        <v>0</v>
      </c>
      <c r="GJ1018" s="1676">
        <v>0</v>
      </c>
      <c r="GK1018" s="1677">
        <v>92.4</v>
      </c>
      <c r="GL1018" s="1676">
        <v>0</v>
      </c>
      <c r="GM1018" s="1676">
        <v>0</v>
      </c>
      <c r="GN1018" s="1677">
        <v>21.7</v>
      </c>
      <c r="GO1018" s="355">
        <v>0</v>
      </c>
      <c r="GP1018" s="355">
        <v>0</v>
      </c>
      <c r="GQ1018" s="355">
        <v>-45.9</v>
      </c>
      <c r="GR1018" s="355">
        <v>0</v>
      </c>
      <c r="GS1018" s="355">
        <v>0</v>
      </c>
      <c r="GT1018" s="1654">
        <v>1.6</v>
      </c>
      <c r="GU1018" s="1654">
        <v>-59.863281428767195</v>
      </c>
      <c r="GV1018" s="1654">
        <v>0</v>
      </c>
      <c r="GW1018" s="1654">
        <v>0</v>
      </c>
      <c r="GX1018" s="1654">
        <v>0</v>
      </c>
      <c r="GY1018" s="1654">
        <v>0</v>
      </c>
      <c r="GZ1018" s="1654">
        <v>-19.600000000000001</v>
      </c>
      <c r="HA1018" s="1654">
        <v>0</v>
      </c>
      <c r="HB1018" s="1654">
        <v>0</v>
      </c>
      <c r="HC1018" s="1654">
        <v>30</v>
      </c>
      <c r="HD1018" s="1654">
        <v>0</v>
      </c>
      <c r="HE1018" s="1654">
        <v>0</v>
      </c>
      <c r="HF1018" s="1654">
        <v>-34.921502530681501</v>
      </c>
      <c r="HG1018" s="1654">
        <v>0</v>
      </c>
      <c r="HH1018" s="1654">
        <v>0</v>
      </c>
      <c r="HI1018" s="1654">
        <v>-15</v>
      </c>
      <c r="HJ1018" s="1654">
        <v>0</v>
      </c>
      <c r="HK1018" s="1654">
        <v>0</v>
      </c>
      <c r="HL1018" s="1654">
        <v>-5</v>
      </c>
      <c r="HM1018" s="1654">
        <v>0</v>
      </c>
      <c r="HN1018" s="1654">
        <v>0</v>
      </c>
      <c r="HO1018" s="1654">
        <v>-20</v>
      </c>
      <c r="HP1018" s="1654">
        <v>0</v>
      </c>
      <c r="HQ1018" s="1654">
        <v>0</v>
      </c>
      <c r="HR1018" s="1654">
        <v>-35</v>
      </c>
      <c r="HS1018" s="1654">
        <v>0</v>
      </c>
      <c r="HT1018" s="1654">
        <v>0</v>
      </c>
      <c r="HU1018" s="1654">
        <v>150</v>
      </c>
      <c r="HV1018" s="1654">
        <v>0</v>
      </c>
      <c r="HW1018" s="1654">
        <v>0</v>
      </c>
      <c r="HX1018" s="1654">
        <v>-130</v>
      </c>
      <c r="HY1018" s="1654"/>
      <c r="HZ1018" s="326"/>
      <c r="IA1018" s="334" t="s">
        <v>576</v>
      </c>
      <c r="IB1018" s="284">
        <f>SUM(CE1018:CJ1018)</f>
        <v>3.2793483240000043</v>
      </c>
      <c r="IC1018" s="279">
        <f>SUM(CK1018:CP1018)</f>
        <v>-2.2685668459999988</v>
      </c>
      <c r="ID1018" s="323">
        <f>IB1018+IC1018</f>
        <v>1.0107814780000055</v>
      </c>
      <c r="IE1018" s="279">
        <f>SUM(CQ1018:CV1018)</f>
        <v>42.547698099999991</v>
      </c>
      <c r="IF1018" s="279">
        <f>SUM(CW1018:DB1018)</f>
        <v>-32.424143262000001</v>
      </c>
      <c r="IG1018" s="323">
        <f>IE1018+IF1018</f>
        <v>10.12355483799999</v>
      </c>
      <c r="IH1018" s="284">
        <f>SUM(DC1018:DH1018)</f>
        <v>29.900027727000001</v>
      </c>
      <c r="II1018" s="279">
        <f>SUM(DI1018:DN1018)</f>
        <v>-11.695235999999994</v>
      </c>
      <c r="IJ1018" s="323">
        <f>IH1018+II1018</f>
        <v>18.204791727000007</v>
      </c>
      <c r="IK1018" s="327">
        <f>SUM(DO1018:DT1018)</f>
        <v>8.0323045749999835</v>
      </c>
      <c r="IL1018" s="279">
        <f>SUM(DU1018:DZ1018)</f>
        <v>1.6124293780000016</v>
      </c>
      <c r="IM1018" s="323">
        <f>IK1018+IL1018</f>
        <v>9.6447339529999851</v>
      </c>
      <c r="IN1018" s="279">
        <f>SUM(EA1018:EF1018)</f>
        <v>19.853100393000005</v>
      </c>
      <c r="IO1018" s="279">
        <f>SUM(EG1018:EL1018)</f>
        <v>15.020365104999996</v>
      </c>
      <c r="IP1018" s="323">
        <f>IN1018+IO1018</f>
        <v>34.873465498000002</v>
      </c>
      <c r="IQ1018" s="327">
        <f>SUM(EM1018:ER1018)</f>
        <v>52.259514259000113</v>
      </c>
      <c r="IR1018" s="327">
        <f>SUM(ES1018:EX1018)</f>
        <v>2.8631059329999857</v>
      </c>
      <c r="IS1018" s="323">
        <f>IQ1018+IR1018</f>
        <v>55.122620192000099</v>
      </c>
      <c r="IT1018" s="327">
        <f>SUM(EY1018:FD1018)</f>
        <v>66.231916879000181</v>
      </c>
      <c r="IU1018" s="327">
        <f>SUM(FE1018:FJ1018)</f>
        <v>-93.094666316999991</v>
      </c>
      <c r="IV1018" s="323">
        <f t="shared" ref="IV1018:IV1023" si="2127">IT1018+IU1018</f>
        <v>-26.86274943799981</v>
      </c>
      <c r="IW1018" s="327">
        <f t="shared" si="2091"/>
        <v>157.78159849799999</v>
      </c>
      <c r="IX1018" s="327">
        <f t="shared" si="2092"/>
        <v>-134.87832329299999</v>
      </c>
      <c r="IY1018" s="323">
        <f t="shared" si="2005"/>
        <v>22.903275205</v>
      </c>
      <c r="IZ1018" s="327">
        <f t="shared" si="2110"/>
        <v>139.99382572100001</v>
      </c>
      <c r="JA1018" s="327">
        <f t="shared" si="2111"/>
        <v>-61.776864034427504</v>
      </c>
      <c r="JB1018" s="323">
        <f t="shared" si="2036"/>
        <v>78.216961686572503</v>
      </c>
      <c r="JC1018" s="327">
        <f t="shared" si="2112"/>
        <v>114.10000000000001</v>
      </c>
      <c r="JD1018" s="327">
        <f t="shared" si="2113"/>
        <v>-44.3</v>
      </c>
      <c r="JE1018" s="323">
        <f t="shared" si="1945"/>
        <v>69.800000000000011</v>
      </c>
      <c r="JF1018" s="327">
        <f t="shared" si="2097"/>
        <v>-79.463281428767203</v>
      </c>
      <c r="JG1018" s="327">
        <f t="shared" si="2116"/>
        <v>-4.9215025306815008</v>
      </c>
      <c r="JH1018" s="323">
        <f t="shared" si="1944"/>
        <v>-84.384783959448697</v>
      </c>
      <c r="JI1018" s="327">
        <f t="shared" si="1993"/>
        <v>-20</v>
      </c>
      <c r="JJ1018" s="279">
        <f t="shared" si="2035"/>
        <v>-55</v>
      </c>
      <c r="JK1018" s="323">
        <f t="shared" si="2117"/>
        <v>-75</v>
      </c>
      <c r="JL1018" s="327">
        <f t="shared" si="2118"/>
        <v>20</v>
      </c>
      <c r="JM1018" s="279">
        <f>JN1018-JL1018</f>
        <v>-60</v>
      </c>
      <c r="JN1018" s="323">
        <f>FISC!AK1343</f>
        <v>-40</v>
      </c>
      <c r="JO1018" s="327">
        <f t="shared" si="2099"/>
        <v>-20</v>
      </c>
      <c r="JP1018" s="279">
        <f>JQ1018-JO1018</f>
        <v>-20</v>
      </c>
      <c r="JQ1018" s="323">
        <f>FISC!AL1343</f>
        <v>-40</v>
      </c>
      <c r="JR1018" s="327">
        <f t="shared" si="2100"/>
        <v>20</v>
      </c>
      <c r="JS1018" s="279">
        <f>JT1018-JR1018</f>
        <v>20</v>
      </c>
      <c r="JT1018" s="323">
        <f>FISC!AM1343</f>
        <v>40</v>
      </c>
      <c r="JU1018" s="327">
        <f t="shared" si="2119"/>
        <v>20</v>
      </c>
      <c r="JV1018" s="279">
        <f>JW1018-JU1018</f>
        <v>20</v>
      </c>
      <c r="JW1018" s="323">
        <f>FISC!AN1343</f>
        <v>40</v>
      </c>
      <c r="JX1018" s="327">
        <f t="shared" si="2120"/>
        <v>20</v>
      </c>
      <c r="JY1018" s="279">
        <f>JZ1018-JX1018</f>
        <v>20</v>
      </c>
      <c r="JZ1018" s="323">
        <f>FISC!AO1343</f>
        <v>40</v>
      </c>
      <c r="KA1018" s="327">
        <f t="shared" si="2121"/>
        <v>20</v>
      </c>
      <c r="KB1018" s="279">
        <f>KC1018-KA1018</f>
        <v>20</v>
      </c>
      <c r="KC1018" s="323">
        <f>FISC!AP1343</f>
        <v>40</v>
      </c>
      <c r="KD1018" s="327">
        <f t="shared" si="2122"/>
        <v>20</v>
      </c>
      <c r="KE1018" s="279">
        <f>KF1018-KD1018</f>
        <v>20</v>
      </c>
      <c r="KF1018" s="323">
        <f>FISC!AQ1343</f>
        <v>40</v>
      </c>
      <c r="KG1018" s="327">
        <f t="shared" si="2123"/>
        <v>20</v>
      </c>
      <c r="KH1018" s="279">
        <f>KI1018-KG1018</f>
        <v>20</v>
      </c>
      <c r="KI1018" s="323">
        <f>FISC!AR1343</f>
        <v>40</v>
      </c>
      <c r="KJ1018" s="327">
        <f t="shared" si="2124"/>
        <v>20</v>
      </c>
      <c r="KK1018" s="279">
        <f>KL1018-KJ1018</f>
        <v>20</v>
      </c>
      <c r="KL1018" s="323">
        <f>FISC!AS1343</f>
        <v>40</v>
      </c>
      <c r="KM1018" s="327">
        <f t="shared" si="2125"/>
        <v>20</v>
      </c>
      <c r="KN1018" s="279">
        <f>KO1018-KM1018</f>
        <v>20</v>
      </c>
      <c r="KO1018" s="323">
        <f>FISC!AT1343</f>
        <v>40</v>
      </c>
      <c r="KU1018" s="326"/>
      <c r="KV1018" s="327"/>
    </row>
    <row r="1019" spans="1:314">
      <c r="A1019" s="279"/>
      <c r="B1019" s="96" t="s">
        <v>338</v>
      </c>
      <c r="D1019" s="333" t="s">
        <v>569</v>
      </c>
      <c r="E1019" s="323">
        <f t="shared" ref="E1019:BP1019" si="2128">E1027</f>
        <v>0</v>
      </c>
      <c r="F1019" s="323">
        <f t="shared" si="2128"/>
        <v>0</v>
      </c>
      <c r="G1019" s="323">
        <f t="shared" si="2128"/>
        <v>0</v>
      </c>
      <c r="H1019" s="323">
        <f t="shared" si="2128"/>
        <v>0</v>
      </c>
      <c r="I1019" s="323">
        <f t="shared" si="2128"/>
        <v>0</v>
      </c>
      <c r="J1019" s="323">
        <f t="shared" si="2128"/>
        <v>0</v>
      </c>
      <c r="K1019" s="323">
        <f t="shared" si="2128"/>
        <v>0</v>
      </c>
      <c r="L1019" s="323">
        <f t="shared" si="2128"/>
        <v>0</v>
      </c>
      <c r="M1019" s="323">
        <f t="shared" si="2128"/>
        <v>0</v>
      </c>
      <c r="N1019" s="323">
        <f t="shared" si="2128"/>
        <v>0</v>
      </c>
      <c r="O1019" s="323">
        <f t="shared" si="2128"/>
        <v>0</v>
      </c>
      <c r="P1019" s="323">
        <f t="shared" si="2128"/>
        <v>0</v>
      </c>
      <c r="Q1019" s="323">
        <f t="shared" si="2128"/>
        <v>0</v>
      </c>
      <c r="R1019" s="323">
        <f t="shared" si="2128"/>
        <v>0</v>
      </c>
      <c r="S1019" s="323">
        <f t="shared" si="2128"/>
        <v>0</v>
      </c>
      <c r="T1019" s="323">
        <f t="shared" si="2128"/>
        <v>0</v>
      </c>
      <c r="U1019" s="323">
        <f t="shared" si="2128"/>
        <v>0</v>
      </c>
      <c r="V1019" s="323">
        <f t="shared" si="2128"/>
        <v>0</v>
      </c>
      <c r="W1019" s="323">
        <f t="shared" si="2128"/>
        <v>0</v>
      </c>
      <c r="X1019" s="323">
        <f t="shared" si="2128"/>
        <v>0</v>
      </c>
      <c r="Y1019" s="323">
        <f t="shared" si="2128"/>
        <v>0</v>
      </c>
      <c r="Z1019" s="323">
        <f t="shared" si="2128"/>
        <v>0</v>
      </c>
      <c r="AA1019" s="323">
        <f t="shared" si="2128"/>
        <v>0</v>
      </c>
      <c r="AB1019" s="323">
        <f t="shared" si="2128"/>
        <v>0</v>
      </c>
      <c r="AC1019" s="323">
        <f t="shared" si="2128"/>
        <v>0</v>
      </c>
      <c r="AD1019" s="323">
        <f t="shared" si="2128"/>
        <v>0</v>
      </c>
      <c r="AE1019" s="323">
        <f t="shared" si="2128"/>
        <v>0</v>
      </c>
      <c r="AF1019" s="323">
        <f t="shared" si="2128"/>
        <v>0</v>
      </c>
      <c r="AG1019" s="323">
        <f t="shared" si="2128"/>
        <v>0</v>
      </c>
      <c r="AH1019" s="323">
        <f t="shared" si="2128"/>
        <v>0</v>
      </c>
      <c r="AI1019" s="323">
        <f t="shared" si="2128"/>
        <v>0</v>
      </c>
      <c r="AJ1019" s="323">
        <f t="shared" si="2128"/>
        <v>0</v>
      </c>
      <c r="AK1019" s="323">
        <f t="shared" si="2128"/>
        <v>0</v>
      </c>
      <c r="AL1019" s="323">
        <f t="shared" si="2128"/>
        <v>0</v>
      </c>
      <c r="AM1019" s="323">
        <f t="shared" si="2128"/>
        <v>0</v>
      </c>
      <c r="AN1019" s="323">
        <f t="shared" si="2128"/>
        <v>0</v>
      </c>
      <c r="AO1019" s="323">
        <f t="shared" si="2128"/>
        <v>0</v>
      </c>
      <c r="AP1019" s="323">
        <f t="shared" si="2128"/>
        <v>0</v>
      </c>
      <c r="AQ1019" s="323">
        <f t="shared" si="2128"/>
        <v>0</v>
      </c>
      <c r="AR1019" s="323">
        <f t="shared" si="2128"/>
        <v>0</v>
      </c>
      <c r="AS1019" s="323">
        <f t="shared" si="2128"/>
        <v>0</v>
      </c>
      <c r="AT1019" s="323">
        <f t="shared" si="2128"/>
        <v>0</v>
      </c>
      <c r="AU1019" s="323">
        <f t="shared" si="2128"/>
        <v>0</v>
      </c>
      <c r="AV1019" s="323">
        <f t="shared" si="2128"/>
        <v>0</v>
      </c>
      <c r="AW1019" s="323">
        <f t="shared" si="2128"/>
        <v>0</v>
      </c>
      <c r="AX1019" s="323">
        <f t="shared" si="2128"/>
        <v>0</v>
      </c>
      <c r="AY1019" s="323">
        <f t="shared" si="2128"/>
        <v>0</v>
      </c>
      <c r="AZ1019" s="323">
        <f t="shared" si="2128"/>
        <v>0</v>
      </c>
      <c r="BA1019" s="323">
        <f t="shared" si="2128"/>
        <v>0</v>
      </c>
      <c r="BB1019" s="323">
        <f t="shared" si="2128"/>
        <v>0</v>
      </c>
      <c r="BC1019" s="323">
        <f t="shared" si="2128"/>
        <v>0</v>
      </c>
      <c r="BD1019" s="323">
        <f t="shared" si="2128"/>
        <v>0</v>
      </c>
      <c r="BE1019" s="323">
        <f t="shared" si="2128"/>
        <v>0</v>
      </c>
      <c r="BF1019" s="323">
        <f t="shared" si="2128"/>
        <v>0</v>
      </c>
      <c r="BG1019" s="323">
        <f t="shared" si="2128"/>
        <v>0</v>
      </c>
      <c r="BH1019" s="323">
        <f t="shared" si="2128"/>
        <v>0</v>
      </c>
      <c r="BI1019" s="323">
        <f t="shared" si="2128"/>
        <v>0</v>
      </c>
      <c r="BJ1019" s="323">
        <f t="shared" si="2128"/>
        <v>0</v>
      </c>
      <c r="BK1019" s="323">
        <f t="shared" si="2128"/>
        <v>0</v>
      </c>
      <c r="BL1019" s="323">
        <f t="shared" si="2128"/>
        <v>0</v>
      </c>
      <c r="BM1019" s="323">
        <f t="shared" si="2128"/>
        <v>0</v>
      </c>
      <c r="BN1019" s="323">
        <f t="shared" si="2128"/>
        <v>0</v>
      </c>
      <c r="BO1019" s="323">
        <f t="shared" si="2128"/>
        <v>0</v>
      </c>
      <c r="BP1019" s="323">
        <f t="shared" si="2128"/>
        <v>0</v>
      </c>
      <c r="BQ1019" s="323">
        <f t="shared" ref="BQ1019:EB1019" si="2129">BQ1027</f>
        <v>0</v>
      </c>
      <c r="BR1019" s="323">
        <f t="shared" si="2129"/>
        <v>0</v>
      </c>
      <c r="BS1019" s="323">
        <f t="shared" si="2129"/>
        <v>0</v>
      </c>
      <c r="BT1019" s="323">
        <f t="shared" si="2129"/>
        <v>0</v>
      </c>
      <c r="BU1019" s="323">
        <f t="shared" si="2129"/>
        <v>0</v>
      </c>
      <c r="BV1019" s="323">
        <f t="shared" si="2129"/>
        <v>0</v>
      </c>
      <c r="BW1019" s="323">
        <f t="shared" si="2129"/>
        <v>0</v>
      </c>
      <c r="BX1019" s="323">
        <f t="shared" si="2129"/>
        <v>0</v>
      </c>
      <c r="BY1019" s="323">
        <f t="shared" si="2129"/>
        <v>0</v>
      </c>
      <c r="BZ1019" s="323">
        <f t="shared" si="2129"/>
        <v>0</v>
      </c>
      <c r="CA1019" s="323">
        <f t="shared" si="2129"/>
        <v>0</v>
      </c>
      <c r="CB1019" s="323">
        <f t="shared" si="2129"/>
        <v>0</v>
      </c>
      <c r="CC1019" s="323">
        <f t="shared" si="2129"/>
        <v>0</v>
      </c>
      <c r="CD1019" s="329">
        <f t="shared" si="2129"/>
        <v>0</v>
      </c>
      <c r="CE1019" s="323">
        <f t="shared" si="2129"/>
        <v>6.0648673378900142</v>
      </c>
      <c r="CF1019" s="323">
        <f t="shared" si="2129"/>
        <v>3.794319855105091</v>
      </c>
      <c r="CG1019" s="323">
        <f t="shared" si="2129"/>
        <v>3.4143455195842343</v>
      </c>
      <c r="CH1019" s="323">
        <f t="shared" si="2129"/>
        <v>4.8064493127320151</v>
      </c>
      <c r="CI1019" s="323">
        <f t="shared" si="2129"/>
        <v>2.9333864288658735</v>
      </c>
      <c r="CJ1019" s="323">
        <f t="shared" si="2129"/>
        <v>6.0664323475203199</v>
      </c>
      <c r="CK1019" s="323">
        <f t="shared" si="2129"/>
        <v>10.549743380728982</v>
      </c>
      <c r="CL1019" s="323">
        <f t="shared" si="2129"/>
        <v>1.6094141646601652</v>
      </c>
      <c r="CM1019" s="323">
        <f t="shared" si="2129"/>
        <v>2.0088474897454565</v>
      </c>
      <c r="CN1019" s="323">
        <f t="shared" si="2129"/>
        <v>1.2718415560240699</v>
      </c>
      <c r="CO1019" s="323">
        <f t="shared" si="2129"/>
        <v>38.105353750626847</v>
      </c>
      <c r="CP1019" s="325">
        <f t="shared" si="2129"/>
        <v>24.531914229255314</v>
      </c>
      <c r="CQ1019" s="323">
        <f t="shared" si="2129"/>
        <v>4.9420193008418858</v>
      </c>
      <c r="CR1019" s="323">
        <f t="shared" si="2129"/>
        <v>3.8308939451566677</v>
      </c>
      <c r="CS1019" s="323">
        <f t="shared" si="2129"/>
        <v>12.00286724258406</v>
      </c>
      <c r="CT1019" s="323">
        <f t="shared" si="2129"/>
        <v>5.1893339261600904</v>
      </c>
      <c r="CU1019" s="323">
        <f t="shared" si="2129"/>
        <v>10.46585883733734</v>
      </c>
      <c r="CV1019" s="323">
        <f t="shared" si="2129"/>
        <v>67.021078465884145</v>
      </c>
      <c r="CW1019" s="323">
        <f t="shared" si="2129"/>
        <v>7.8762359651259253</v>
      </c>
      <c r="CX1019" s="323">
        <f t="shared" si="2129"/>
        <v>3.5485909032750431</v>
      </c>
      <c r="CY1019" s="323">
        <f t="shared" si="2129"/>
        <v>8.6557670022827384</v>
      </c>
      <c r="CZ1019" s="323">
        <f t="shared" si="2129"/>
        <v>48.213086059450021</v>
      </c>
      <c r="DA1019" s="323">
        <f t="shared" si="2129"/>
        <v>4.8957815003413128</v>
      </c>
      <c r="DB1019" s="1269">
        <f t="shared" si="2129"/>
        <v>11.545065657792968</v>
      </c>
      <c r="DC1019" s="323">
        <f t="shared" si="2129"/>
        <v>-0.32746269399886818</v>
      </c>
      <c r="DD1019" s="323">
        <f t="shared" si="2129"/>
        <v>3.5305284776444301</v>
      </c>
      <c r="DE1019" s="323">
        <f t="shared" si="2129"/>
        <v>55.40402819682587</v>
      </c>
      <c r="DF1019" s="323">
        <f t="shared" si="2129"/>
        <v>13.837937548729254</v>
      </c>
      <c r="DG1019" s="323">
        <f t="shared" si="2129"/>
        <v>4.0517228288185114</v>
      </c>
      <c r="DH1019" s="323">
        <f t="shared" si="2129"/>
        <v>90.018144492537417</v>
      </c>
      <c r="DI1019" s="323">
        <f t="shared" si="2129"/>
        <v>5.8757694289489741</v>
      </c>
      <c r="DJ1019" s="323">
        <f t="shared" si="2129"/>
        <v>21.472344372958734</v>
      </c>
      <c r="DK1019" s="323">
        <f t="shared" si="2129"/>
        <v>11.427946944314153</v>
      </c>
      <c r="DL1019" s="323">
        <f t="shared" si="2129"/>
        <v>10.494451571476269</v>
      </c>
      <c r="DM1019" s="323">
        <f t="shared" si="2129"/>
        <v>4.9315520607593966</v>
      </c>
      <c r="DN1019" s="325">
        <f t="shared" si="2129"/>
        <v>3.691164430675272</v>
      </c>
      <c r="DO1019" s="323">
        <f t="shared" si="2129"/>
        <v>2.4828976559227027</v>
      </c>
      <c r="DP1019" s="323">
        <f t="shared" si="2129"/>
        <v>8.2479295940122039</v>
      </c>
      <c r="DQ1019" s="323">
        <f t="shared" si="2129"/>
        <v>34.80290039343646</v>
      </c>
      <c r="DR1019" s="323">
        <f t="shared" si="2129"/>
        <v>68.234891521118072</v>
      </c>
      <c r="DS1019" s="323">
        <f t="shared" si="2129"/>
        <v>9.7368212350321457</v>
      </c>
      <c r="DT1019" s="323">
        <f t="shared" si="2129"/>
        <v>93.306756981791452</v>
      </c>
      <c r="DU1019" s="323">
        <f t="shared" si="2129"/>
        <v>10.523081388542748</v>
      </c>
      <c r="DV1019" s="323">
        <f t="shared" si="2129"/>
        <v>2.9753375645376945</v>
      </c>
      <c r="DW1019" s="323">
        <f t="shared" si="2129"/>
        <v>16.285524088676041</v>
      </c>
      <c r="DX1019" s="323">
        <f t="shared" si="2129"/>
        <v>19.930253277965207</v>
      </c>
      <c r="DY1019" s="323">
        <f t="shared" si="2129"/>
        <v>36.579671090306043</v>
      </c>
      <c r="DZ1019" s="325">
        <f t="shared" si="2129"/>
        <v>19.882869600030467</v>
      </c>
      <c r="EA1019" s="323">
        <f t="shared" si="2129"/>
        <v>8.4231752763884664</v>
      </c>
      <c r="EB1019" s="323">
        <f t="shared" si="2129"/>
        <v>31.683600606302893</v>
      </c>
      <c r="EC1019" s="323">
        <f t="shared" ref="EC1019:FV1019" si="2130">EC1027</f>
        <v>24.658814769659362</v>
      </c>
      <c r="ED1019" s="323">
        <f t="shared" si="2130"/>
        <v>18.683836442856141</v>
      </c>
      <c r="EE1019" s="323">
        <f t="shared" si="2130"/>
        <v>110.96608495911359</v>
      </c>
      <c r="EF1019" s="323">
        <f t="shared" si="2130"/>
        <v>14.51405999831908</v>
      </c>
      <c r="EG1019" s="323">
        <f t="shared" si="2130"/>
        <v>55.423346475873529</v>
      </c>
      <c r="EH1019" s="323">
        <f t="shared" si="2130"/>
        <v>3.8959698821168445</v>
      </c>
      <c r="EI1019" s="323">
        <f t="shared" si="2130"/>
        <v>14.580064284231812</v>
      </c>
      <c r="EJ1019" s="323">
        <f t="shared" si="2130"/>
        <v>8.8538571553240697</v>
      </c>
      <c r="EK1019" s="323">
        <f t="shared" si="2130"/>
        <v>38.389474378554652</v>
      </c>
      <c r="EL1019" s="325">
        <f t="shared" si="2130"/>
        <v>25.956846648486049</v>
      </c>
      <c r="EM1019" s="323">
        <f t="shared" si="2130"/>
        <v>9.1306091178664825</v>
      </c>
      <c r="EN1019" s="323">
        <f t="shared" si="2130"/>
        <v>1.63542145193674</v>
      </c>
      <c r="EO1019" s="323">
        <f t="shared" si="2130"/>
        <v>10.987169894132018</v>
      </c>
      <c r="EP1019" s="323">
        <f t="shared" si="2130"/>
        <v>4.562096771518064</v>
      </c>
      <c r="EQ1019" s="323">
        <f t="shared" si="2130"/>
        <v>13.176531811450971</v>
      </c>
      <c r="ER1019" s="323">
        <f t="shared" si="2130"/>
        <v>219.27680270007269</v>
      </c>
      <c r="ES1019" s="323">
        <f t="shared" si="2130"/>
        <v>22.37974998625814</v>
      </c>
      <c r="ET1019" s="323">
        <f t="shared" si="2130"/>
        <v>15.159283741393457</v>
      </c>
      <c r="EU1019" s="323">
        <f t="shared" si="2130"/>
        <v>11.394298316027328</v>
      </c>
      <c r="EV1019" s="323">
        <f t="shared" si="2130"/>
        <v>18.450060664160304</v>
      </c>
      <c r="EW1019" s="323">
        <f t="shared" si="2130"/>
        <v>16.139738200652342</v>
      </c>
      <c r="EX1019" s="325">
        <f t="shared" si="2130"/>
        <v>106.02020398827491</v>
      </c>
      <c r="EY1019" s="323">
        <f t="shared" si="2130"/>
        <v>18.710324140762001</v>
      </c>
      <c r="EZ1019" s="323">
        <f t="shared" si="2130"/>
        <v>26.358275628537605</v>
      </c>
      <c r="FA1019" s="323">
        <f t="shared" si="2130"/>
        <v>25.66195521547359</v>
      </c>
      <c r="FB1019" s="323">
        <f t="shared" si="2130"/>
        <v>180.34086035425312</v>
      </c>
      <c r="FC1019" s="323">
        <f t="shared" si="2130"/>
        <v>35.460548031665894</v>
      </c>
      <c r="FD1019" s="323">
        <f t="shared" si="2130"/>
        <v>146.3197624468045</v>
      </c>
      <c r="FE1019" s="323">
        <f t="shared" si="2130"/>
        <v>60.226021596908097</v>
      </c>
      <c r="FF1019" s="323">
        <f t="shared" si="2130"/>
        <v>26.641361852016441</v>
      </c>
      <c r="FG1019" s="323">
        <f t="shared" si="2130"/>
        <v>11.705615638270633</v>
      </c>
      <c r="FH1019" s="323">
        <f t="shared" si="2130"/>
        <v>124.11776803524816</v>
      </c>
      <c r="FI1019" s="323">
        <f t="shared" si="2130"/>
        <v>32.936011562168424</v>
      </c>
      <c r="FJ1019" s="325">
        <f t="shared" si="2130"/>
        <v>265.54118707599042</v>
      </c>
      <c r="FK1019" s="323">
        <f t="shared" si="2130"/>
        <v>165.36716256293312</v>
      </c>
      <c r="FL1019" s="323">
        <f t="shared" si="2130"/>
        <v>42.676739492936349</v>
      </c>
      <c r="FM1019" s="323">
        <f t="shared" si="2130"/>
        <v>47.373704321396758</v>
      </c>
      <c r="FN1019" s="323">
        <f t="shared" si="2130"/>
        <v>29.80564258928019</v>
      </c>
      <c r="FO1019" s="323">
        <f t="shared" si="2130"/>
        <v>24.133098201211482</v>
      </c>
      <c r="FP1019" s="323">
        <f t="shared" si="2130"/>
        <v>142.03539291295886</v>
      </c>
      <c r="FQ1019" s="323">
        <f t="shared" si="2130"/>
        <v>8.1583712632049998</v>
      </c>
      <c r="FR1019" s="323">
        <f t="shared" si="2130"/>
        <v>30.696689018393997</v>
      </c>
      <c r="FS1019" s="323">
        <f t="shared" si="2130"/>
        <v>96.048654651339973</v>
      </c>
      <c r="FT1019" s="323">
        <f t="shared" si="2130"/>
        <v>24.229058993359722</v>
      </c>
      <c r="FU1019" s="323">
        <f t="shared" si="2130"/>
        <v>7.5483352215044688</v>
      </c>
      <c r="FV1019" s="323">
        <f t="shared" si="2130"/>
        <v>39.199590900966733</v>
      </c>
      <c r="FW1019" s="323">
        <v>27.624194789979462</v>
      </c>
      <c r="FX1019" s="323">
        <v>289.61078769430463</v>
      </c>
      <c r="FY1019" s="323">
        <v>17.41244602701115</v>
      </c>
      <c r="FZ1019" s="323">
        <v>87.691067920702139</v>
      </c>
      <c r="GA1019" s="323">
        <v>74.219736986734461</v>
      </c>
      <c r="GB1019" s="323">
        <v>259.05444236477047</v>
      </c>
      <c r="GC1019" s="323">
        <v>3.2885865871498829</v>
      </c>
      <c r="GD1019" s="323">
        <v>13.94239333506065</v>
      </c>
      <c r="GE1019" s="323">
        <v>82.658302674580867</v>
      </c>
      <c r="GF1019" s="323">
        <v>39.588158417380626</v>
      </c>
      <c r="GG1019" s="323">
        <v>44.550087477578145</v>
      </c>
      <c r="GH1019" s="323">
        <v>92.012539414141031</v>
      </c>
      <c r="GI1019" s="1654">
        <f>GI1021+GI1027</f>
        <v>18.006083506541067</v>
      </c>
      <c r="GJ1019" s="1654">
        <f t="shared" ref="GJ1019:HR1019" si="2131">GJ1021+GJ1027</f>
        <v>4.8089811679161691</v>
      </c>
      <c r="GK1019" s="1654">
        <f t="shared" si="2131"/>
        <v>70.569208254395889</v>
      </c>
      <c r="GL1019" s="1654">
        <f t="shared" si="2131"/>
        <v>27.560648542128696</v>
      </c>
      <c r="GM1019" s="1654">
        <f t="shared" si="2131"/>
        <v>9.4039659277830996</v>
      </c>
      <c r="GN1019" s="1654">
        <f t="shared" si="2131"/>
        <v>44.237588588376816</v>
      </c>
      <c r="GO1019" s="1654">
        <f t="shared" si="2131"/>
        <v>27.288171702099547</v>
      </c>
      <c r="GP1019" s="1654">
        <f t="shared" si="2131"/>
        <v>22.984808425351392</v>
      </c>
      <c r="GQ1019" s="1654">
        <f t="shared" si="2131"/>
        <v>450.23539151328413</v>
      </c>
      <c r="GR1019" s="1654">
        <f t="shared" si="2131"/>
        <v>-57.739005848373004</v>
      </c>
      <c r="GS1019" s="1654">
        <f t="shared" si="2131"/>
        <v>20.289536545420098</v>
      </c>
      <c r="GT1019" s="1654">
        <f t="shared" si="2131"/>
        <v>170.86324463565049</v>
      </c>
      <c r="GU1019" s="1654">
        <f t="shared" si="2131"/>
        <v>24.901617678619075</v>
      </c>
      <c r="GV1019" s="1654">
        <f t="shared" si="2131"/>
        <v>29.396984788598399</v>
      </c>
      <c r="GW1019" s="1654">
        <f t="shared" si="2131"/>
        <v>34.278652857079472</v>
      </c>
      <c r="GX1019" s="1654">
        <f t="shared" si="2131"/>
        <v>34.569296173943322</v>
      </c>
      <c r="GY1019" s="1654">
        <f t="shared" si="2131"/>
        <v>61.294792130506103</v>
      </c>
      <c r="GZ1019" s="1654">
        <f t="shared" si="2131"/>
        <v>389.1169962807532</v>
      </c>
      <c r="HA1019" s="1654">
        <f t="shared" si="2131"/>
        <v>23.587192673905697</v>
      </c>
      <c r="HB1019" s="1654">
        <f t="shared" si="2131"/>
        <v>5.8263685015150024</v>
      </c>
      <c r="HC1019" s="1654">
        <f t="shared" si="2131"/>
        <v>71.093702307219047</v>
      </c>
      <c r="HD1019" s="1654">
        <f t="shared" si="2131"/>
        <v>91.193470368949306</v>
      </c>
      <c r="HE1019" s="1654">
        <f t="shared" si="2131"/>
        <v>132.09520843442903</v>
      </c>
      <c r="HF1019" s="1654">
        <f t="shared" si="2131"/>
        <v>409.85987118987839</v>
      </c>
      <c r="HG1019" s="1654">
        <f t="shared" si="2131"/>
        <v>43.159955054956399</v>
      </c>
      <c r="HH1019" s="1654">
        <f t="shared" si="2131"/>
        <v>0.98937619620851436</v>
      </c>
      <c r="HI1019" s="1654">
        <f t="shared" si="2131"/>
        <v>36.071509214190151</v>
      </c>
      <c r="HJ1019" s="1654">
        <f t="shared" si="2131"/>
        <v>67.645435634450322</v>
      </c>
      <c r="HK1019" s="1654">
        <f t="shared" si="2131"/>
        <v>80.882855799423439</v>
      </c>
      <c r="HL1019" s="1654">
        <f t="shared" si="2131"/>
        <v>825.34905733611004</v>
      </c>
      <c r="HM1019" s="1654">
        <f t="shared" si="2131"/>
        <v>42.170735424790976</v>
      </c>
      <c r="HN1019" s="1654">
        <f t="shared" si="2131"/>
        <v>2.7380914340625786</v>
      </c>
      <c r="HO1019" s="1654">
        <f t="shared" si="2131"/>
        <v>47.308407646848096</v>
      </c>
      <c r="HP1019" s="1654">
        <f t="shared" si="2131"/>
        <v>50.77707109300875</v>
      </c>
      <c r="HQ1019" s="1654">
        <f t="shared" si="2131"/>
        <v>61.98589116275803</v>
      </c>
      <c r="HR1019" s="1654">
        <f t="shared" si="2131"/>
        <v>96.101478396257008</v>
      </c>
      <c r="HS1019" s="1654">
        <f t="shared" ref="HS1019:HX1019" si="2132">HS1021+HS1027</f>
        <v>7.0771410693540542</v>
      </c>
      <c r="HT1019" s="1654">
        <f t="shared" si="2132"/>
        <v>11.114415954343816</v>
      </c>
      <c r="HU1019" s="1654">
        <f t="shared" si="2132"/>
        <v>126.52623670868934</v>
      </c>
      <c r="HV1019" s="1654">
        <f t="shared" si="2132"/>
        <v>41.547320992445435</v>
      </c>
      <c r="HW1019" s="1654">
        <f t="shared" si="2132"/>
        <v>179.03601448602322</v>
      </c>
      <c r="HX1019" s="1654">
        <f t="shared" si="2132"/>
        <v>136.33414135400272</v>
      </c>
      <c r="HY1019" s="1654"/>
      <c r="HZ1019" s="326"/>
      <c r="IA1019" s="333" t="s">
        <v>569</v>
      </c>
      <c r="IB1019" s="284">
        <f>SUM(CE1019:CJ1019)</f>
        <v>27.079800801697544</v>
      </c>
      <c r="IC1019" s="279">
        <f>SUM(CK1019:CP1019)</f>
        <v>78.077114571040823</v>
      </c>
      <c r="ID1019" s="323">
        <f>IB1019+IC1019</f>
        <v>105.15691537273837</v>
      </c>
      <c r="IE1019" s="279">
        <f>SUM(CQ1019:CV1019)</f>
        <v>103.45205171796418</v>
      </c>
      <c r="IF1019" s="279">
        <f>SUM(CW1019:DB1019)</f>
        <v>84.73452708826801</v>
      </c>
      <c r="IG1019" s="323">
        <f>IE1019+IF1019</f>
        <v>188.18657880623221</v>
      </c>
      <c r="IH1019" s="284">
        <f>SUM(DC1019:DH1019)</f>
        <v>166.51489885055662</v>
      </c>
      <c r="II1019" s="279">
        <f>SUM(DI1019:DN1019)</f>
        <v>57.893228809132793</v>
      </c>
      <c r="IJ1019" s="323">
        <f>IH1019+II1019</f>
        <v>224.4081276596894</v>
      </c>
      <c r="IK1019" s="327">
        <f>SUM(DO1019:DT1019)</f>
        <v>216.81219738131301</v>
      </c>
      <c r="IL1019" s="279">
        <f>SUM(DU1019:DZ1019)</f>
        <v>106.17673701005819</v>
      </c>
      <c r="IM1019" s="323">
        <f>IK1019+IL1019</f>
        <v>322.98893439137123</v>
      </c>
      <c r="IN1019" s="279">
        <f>SUM(EA1019:EF1019)</f>
        <v>208.92957205263954</v>
      </c>
      <c r="IO1019" s="279">
        <f>SUM(EG1019:EL1019)</f>
        <v>147.09955882458695</v>
      </c>
      <c r="IP1019" s="323">
        <f>IN1019+IO1019</f>
        <v>356.02913087722652</v>
      </c>
      <c r="IQ1019" s="327">
        <f>SUM(EM1019:ER1019)</f>
        <v>258.76863174697695</v>
      </c>
      <c r="IR1019" s="327">
        <f>SUM(ES1019:EX1019)</f>
        <v>189.54333489676651</v>
      </c>
      <c r="IS1019" s="323">
        <f>IQ1019+IR1019</f>
        <v>448.31196664374346</v>
      </c>
      <c r="IT1019" s="1405">
        <f>+IT1027</f>
        <v>432.85172581749669</v>
      </c>
      <c r="IU1019" s="327">
        <f>SUM(FE1019:FJ1019)</f>
        <v>521.16796576060221</v>
      </c>
      <c r="IV1019" s="323">
        <f t="shared" si="2127"/>
        <v>954.0196915780989</v>
      </c>
      <c r="IW1019" s="327">
        <f t="shared" si="2091"/>
        <v>451.39174008071677</v>
      </c>
      <c r="IX1019" s="327">
        <f>SUM(FQ1019:FV1019)</f>
        <v>205.88070004876988</v>
      </c>
      <c r="IY1019" s="323">
        <f t="shared" si="2005"/>
        <v>657.27244012948665</v>
      </c>
      <c r="IZ1019" s="327">
        <f t="shared" si="2110"/>
        <v>755.61267578350225</v>
      </c>
      <c r="JA1019" s="327">
        <f t="shared" si="2111"/>
        <v>276.04006790589119</v>
      </c>
      <c r="JB1019" s="323">
        <f t="shared" si="2036"/>
        <v>1031.6527436893934</v>
      </c>
      <c r="JC1019" s="327">
        <f t="shared" si="2112"/>
        <v>174.58647598714174</v>
      </c>
      <c r="JD1019" s="327">
        <f t="shared" si="2113"/>
        <v>633.92214697343263</v>
      </c>
      <c r="JE1019" s="323">
        <f t="shared" si="1945"/>
        <v>808.50862296057437</v>
      </c>
      <c r="JF1019" s="327">
        <f>+JF1027+JF1021+JF1020</f>
        <v>573.55833990949964</v>
      </c>
      <c r="JG1019" s="327">
        <f>+JG1027+JG1021+JG1020</f>
        <v>733.65581347589648</v>
      </c>
      <c r="JH1019" s="323">
        <f t="shared" si="1944"/>
        <v>1307.214153385396</v>
      </c>
      <c r="JI1019" s="327">
        <f t="shared" si="1993"/>
        <v>1054.0981892353389</v>
      </c>
      <c r="JJ1019" s="1404">
        <f t="shared" si="2035"/>
        <v>301.08167515772544</v>
      </c>
      <c r="JK1019" s="323">
        <f t="shared" si="2117"/>
        <v>1355.1798643930642</v>
      </c>
      <c r="JL1019" s="1404">
        <f t="shared" si="2118"/>
        <v>501.63527056485856</v>
      </c>
      <c r="JM1019" s="1404">
        <f>+JM1027+JM1021+JM1020</f>
        <v>917.61515028015287</v>
      </c>
      <c r="JN1019" s="323">
        <f>FISC!AK1344</f>
        <v>1418.689908090392</v>
      </c>
      <c r="JO1019" s="1404">
        <f>+JO1027+JO1021+JO1020</f>
        <v>693.43669002443403</v>
      </c>
      <c r="JP1019" s="1404">
        <f>+JP1027+JP1021+JP1020</f>
        <v>652.58392696578903</v>
      </c>
      <c r="JQ1019" s="323">
        <f>FISC!AL1344</f>
        <v>1346.0206169902231</v>
      </c>
      <c r="JR1019" s="1404">
        <f>+JR1027+JR1021+JR1020</f>
        <v>779.93394728547014</v>
      </c>
      <c r="JS1019" s="1404">
        <f>+JS1027+JS1021+JS1020</f>
        <v>353.63336527990236</v>
      </c>
      <c r="JT1019" s="323">
        <f>FISC!AM1344</f>
        <v>1133.5673125653725</v>
      </c>
      <c r="JU1019" s="1404">
        <f>+JU1027+JU1021+JU1020</f>
        <v>757.54074151485861</v>
      </c>
      <c r="JV1019" s="1404">
        <f>+JV1027+JV1021+JV1020</f>
        <v>210.90985456483651</v>
      </c>
      <c r="JW1019" s="323">
        <f>FISC!AN1344</f>
        <v>968.45059607969506</v>
      </c>
      <c r="JX1019" s="1404">
        <f>+JX1027+JX1021+JX1020</f>
        <v>587.70792071509504</v>
      </c>
      <c r="JY1019" s="1404">
        <f>+JY1027+JY1021+JY1020</f>
        <v>207.39696945945087</v>
      </c>
      <c r="JZ1019" s="323">
        <f>FISC!AO1344</f>
        <v>795.10489017454597</v>
      </c>
      <c r="KA1019" s="1404">
        <f>+KA1027+KA1021+KA1020</f>
        <v>690.6460665640883</v>
      </c>
      <c r="KB1019" s="1404">
        <f>+KB1027+KB1021+KB1020</f>
        <v>-25.288742959455931</v>
      </c>
      <c r="KC1019" s="323">
        <f>FISC!AP1344</f>
        <v>988.30869512245954</v>
      </c>
      <c r="KD1019" s="1404">
        <f>+KD1027+KD1021+KD1020</f>
        <v>0</v>
      </c>
      <c r="KE1019" s="1404">
        <f>+KE1027+KE1021+KE1020</f>
        <v>0</v>
      </c>
      <c r="KF1019" s="323">
        <f>FISC!AQ1344</f>
        <v>-387.0256111116214</v>
      </c>
      <c r="KG1019" s="1404">
        <f>+KG1027+KG1021+KG1020</f>
        <v>0</v>
      </c>
      <c r="KH1019" s="1404">
        <f>+KH1027+KH1021+KH1020</f>
        <v>0</v>
      </c>
      <c r="KI1019" s="323">
        <f>FISC!AR1344</f>
        <v>218.83049014566086</v>
      </c>
      <c r="KJ1019" s="1404">
        <f>+KJ1027+KJ1021+KJ1020</f>
        <v>0</v>
      </c>
      <c r="KK1019" s="1404">
        <f>+KK1027+KK1021+KK1020</f>
        <v>0</v>
      </c>
      <c r="KL1019" s="323">
        <f>FISC!AS1344</f>
        <v>131.01031400674674</v>
      </c>
      <c r="KM1019" s="1404">
        <f>+KM1027+KM1021+KM1020</f>
        <v>0</v>
      </c>
      <c r="KN1019" s="1404">
        <f>+KN1027+KN1021+KN1020</f>
        <v>0</v>
      </c>
      <c r="KO1019" s="323">
        <f>FISC!AT1344</f>
        <v>0.96036987075399338</v>
      </c>
      <c r="KU1019" s="326"/>
      <c r="KV1019" s="327"/>
      <c r="KY1019" s="279">
        <f>KY1027</f>
        <v>0</v>
      </c>
      <c r="KZ1019" s="279">
        <f>KZ1027</f>
        <v>0</v>
      </c>
      <c r="LA1019" s="279">
        <f>LA1027</f>
        <v>0</v>
      </c>
      <c r="LB1019" s="279">
        <f>LB1027</f>
        <v>0</v>
      </c>
    </row>
    <row r="1020" spans="1:314">
      <c r="A1020" s="279"/>
      <c r="D1020" s="1573" t="s">
        <v>3217</v>
      </c>
      <c r="E1020" s="323"/>
      <c r="F1020" s="323"/>
      <c r="G1020" s="323"/>
      <c r="H1020" s="323"/>
      <c r="I1020" s="323"/>
      <c r="J1020" s="323"/>
      <c r="K1020" s="323"/>
      <c r="L1020" s="323"/>
      <c r="M1020" s="323"/>
      <c r="N1020" s="323"/>
      <c r="O1020" s="323"/>
      <c r="P1020" s="323"/>
      <c r="Q1020" s="323"/>
      <c r="R1020" s="323"/>
      <c r="S1020" s="323"/>
      <c r="T1020" s="323"/>
      <c r="U1020" s="323"/>
      <c r="V1020" s="323"/>
      <c r="W1020" s="323"/>
      <c r="X1020" s="323"/>
      <c r="Y1020" s="323"/>
      <c r="Z1020" s="323"/>
      <c r="AA1020" s="323"/>
      <c r="AB1020" s="323"/>
      <c r="AC1020" s="323"/>
      <c r="AD1020" s="323"/>
      <c r="AE1020" s="323"/>
      <c r="AF1020" s="323"/>
      <c r="AG1020" s="323"/>
      <c r="AH1020" s="323"/>
      <c r="AI1020" s="323"/>
      <c r="AJ1020" s="323"/>
      <c r="AK1020" s="323"/>
      <c r="AL1020" s="323"/>
      <c r="AM1020" s="323"/>
      <c r="AN1020" s="323"/>
      <c r="AO1020" s="323"/>
      <c r="AP1020" s="323"/>
      <c r="AQ1020" s="323"/>
      <c r="AR1020" s="323"/>
      <c r="AS1020" s="323"/>
      <c r="AT1020" s="323"/>
      <c r="AU1020" s="323"/>
      <c r="AV1020" s="323"/>
      <c r="AW1020" s="323"/>
      <c r="AX1020" s="323"/>
      <c r="AY1020" s="323"/>
      <c r="AZ1020" s="323"/>
      <c r="BA1020" s="323"/>
      <c r="BB1020" s="323"/>
      <c r="BC1020" s="323"/>
      <c r="BD1020" s="323"/>
      <c r="BE1020" s="323"/>
      <c r="BF1020" s="323"/>
      <c r="BG1020" s="323"/>
      <c r="BH1020" s="323"/>
      <c r="BI1020" s="323"/>
      <c r="BJ1020" s="323"/>
      <c r="BK1020" s="323"/>
      <c r="BL1020" s="323"/>
      <c r="BM1020" s="323"/>
      <c r="BN1020" s="323"/>
      <c r="BO1020" s="323"/>
      <c r="BP1020" s="323"/>
      <c r="BQ1020" s="323"/>
      <c r="BR1020" s="323"/>
      <c r="BS1020" s="323"/>
      <c r="BT1020" s="323"/>
      <c r="BU1020" s="323"/>
      <c r="BV1020" s="323"/>
      <c r="BW1020" s="323"/>
      <c r="BX1020" s="323"/>
      <c r="BY1020" s="323"/>
      <c r="BZ1020" s="323"/>
      <c r="CA1020" s="323"/>
      <c r="CB1020" s="323"/>
      <c r="CC1020" s="323"/>
      <c r="CD1020" s="329"/>
      <c r="CE1020" s="323"/>
      <c r="CF1020" s="323"/>
      <c r="CG1020" s="323"/>
      <c r="CH1020" s="323"/>
      <c r="CI1020" s="323"/>
      <c r="CJ1020" s="323"/>
      <c r="CK1020" s="323"/>
      <c r="CL1020" s="323"/>
      <c r="CM1020" s="323"/>
      <c r="CN1020" s="323"/>
      <c r="CO1020" s="323"/>
      <c r="CP1020" s="325"/>
      <c r="CQ1020" s="323"/>
      <c r="CR1020" s="323"/>
      <c r="CS1020" s="323"/>
      <c r="CT1020" s="323"/>
      <c r="CU1020" s="323"/>
      <c r="CV1020" s="323"/>
      <c r="CW1020" s="323"/>
      <c r="CX1020" s="323"/>
      <c r="CY1020" s="323"/>
      <c r="CZ1020" s="323"/>
      <c r="DA1020" s="323"/>
      <c r="DB1020" s="1269"/>
      <c r="DC1020" s="323"/>
      <c r="DD1020" s="323"/>
      <c r="DE1020" s="323"/>
      <c r="DF1020" s="323"/>
      <c r="DG1020" s="323"/>
      <c r="DH1020" s="323"/>
      <c r="DI1020" s="323"/>
      <c r="DJ1020" s="323"/>
      <c r="DK1020" s="323"/>
      <c r="DL1020" s="323"/>
      <c r="DM1020" s="323"/>
      <c r="DN1020" s="325"/>
      <c r="DO1020" s="323"/>
      <c r="DP1020" s="323"/>
      <c r="DQ1020" s="323"/>
      <c r="DR1020" s="323"/>
      <c r="DS1020" s="323"/>
      <c r="DT1020" s="323"/>
      <c r="DU1020" s="323"/>
      <c r="DV1020" s="323"/>
      <c r="DW1020" s="323"/>
      <c r="DX1020" s="323"/>
      <c r="DY1020" s="323"/>
      <c r="DZ1020" s="325"/>
      <c r="EA1020" s="323"/>
      <c r="EB1020" s="323"/>
      <c r="EC1020" s="323"/>
      <c r="ED1020" s="323"/>
      <c r="EE1020" s="323"/>
      <c r="EF1020" s="323"/>
      <c r="EG1020" s="323"/>
      <c r="EH1020" s="323"/>
      <c r="EI1020" s="323"/>
      <c r="EJ1020" s="323"/>
      <c r="EK1020" s="323"/>
      <c r="EL1020" s="325"/>
      <c r="EM1020" s="323"/>
      <c r="EN1020" s="323"/>
      <c r="EO1020" s="323"/>
      <c r="EP1020" s="323"/>
      <c r="EQ1020" s="323"/>
      <c r="ER1020" s="323"/>
      <c r="ES1020" s="323"/>
      <c r="ET1020" s="323"/>
      <c r="EU1020" s="323"/>
      <c r="EV1020" s="323"/>
      <c r="EW1020" s="323"/>
      <c r="EX1020" s="325"/>
      <c r="EY1020" s="323"/>
      <c r="EZ1020" s="323"/>
      <c r="FA1020" s="323"/>
      <c r="FB1020" s="323"/>
      <c r="FC1020" s="323"/>
      <c r="FD1020" s="323"/>
      <c r="FE1020" s="323"/>
      <c r="FF1020" s="323"/>
      <c r="FG1020" s="323"/>
      <c r="FH1020" s="323"/>
      <c r="FI1020" s="323"/>
      <c r="FJ1020" s="325"/>
      <c r="FK1020" s="323"/>
      <c r="FL1020" s="323"/>
      <c r="FM1020" s="323"/>
      <c r="FN1020" s="323"/>
      <c r="FO1020" s="323"/>
      <c r="FP1020" s="323"/>
      <c r="FQ1020" s="323"/>
      <c r="FR1020" s="323"/>
      <c r="FS1020" s="323"/>
      <c r="FT1020" s="323"/>
      <c r="FU1020" s="323"/>
      <c r="FV1020" s="323"/>
      <c r="FW1020" s="323"/>
      <c r="FX1020" s="323"/>
      <c r="FY1020" s="323">
        <v>0</v>
      </c>
      <c r="FZ1020" s="323"/>
      <c r="GA1020" s="323"/>
      <c r="GB1020" s="323">
        <v>222.42967109467429</v>
      </c>
      <c r="GC1020" s="323">
        <v>0</v>
      </c>
      <c r="GD1020" s="323">
        <v>0</v>
      </c>
      <c r="GE1020" s="323">
        <v>0</v>
      </c>
      <c r="GF1020" s="323">
        <v>0</v>
      </c>
      <c r="GG1020" s="323">
        <v>0</v>
      </c>
      <c r="GH1020" s="323">
        <v>0</v>
      </c>
      <c r="GI1020" s="1654">
        <v>0</v>
      </c>
      <c r="GJ1020" s="1654">
        <v>0</v>
      </c>
      <c r="GK1020" s="1654">
        <v>0</v>
      </c>
      <c r="GL1020" s="1654">
        <v>0</v>
      </c>
      <c r="GM1020" s="1654">
        <v>0</v>
      </c>
      <c r="GN1020" s="1654">
        <v>0</v>
      </c>
      <c r="GO1020" s="355">
        <v>0</v>
      </c>
      <c r="GP1020" s="355">
        <v>0</v>
      </c>
      <c r="GQ1020" s="355">
        <v>0</v>
      </c>
      <c r="GR1020" s="355">
        <v>0</v>
      </c>
      <c r="GS1020" s="355">
        <v>0</v>
      </c>
      <c r="GT1020" s="355">
        <v>0</v>
      </c>
      <c r="GU1020" s="355">
        <v>0</v>
      </c>
      <c r="GV1020" s="355">
        <v>0</v>
      </c>
      <c r="GW1020" s="355">
        <v>0</v>
      </c>
      <c r="GX1020" s="355">
        <v>0</v>
      </c>
      <c r="GY1020" s="355">
        <v>0</v>
      </c>
      <c r="GZ1020" s="355">
        <v>0</v>
      </c>
      <c r="HA1020" s="355">
        <v>0</v>
      </c>
      <c r="HB1020" s="355">
        <v>0</v>
      </c>
      <c r="HC1020" s="355">
        <v>0</v>
      </c>
      <c r="HD1020" s="355">
        <v>0</v>
      </c>
      <c r="HE1020" s="355">
        <v>0</v>
      </c>
      <c r="HF1020" s="355">
        <v>0</v>
      </c>
      <c r="HG1020" s="355">
        <v>0</v>
      </c>
      <c r="HH1020" s="355">
        <v>0</v>
      </c>
      <c r="HI1020" s="355">
        <v>0</v>
      </c>
      <c r="HJ1020" s="355">
        <v>0</v>
      </c>
      <c r="HK1020" s="355">
        <v>0</v>
      </c>
      <c r="HL1020" s="355">
        <v>0</v>
      </c>
      <c r="HM1020" s="355">
        <v>0</v>
      </c>
      <c r="HN1020" s="355">
        <v>0</v>
      </c>
      <c r="HO1020" s="355">
        <v>0</v>
      </c>
      <c r="HP1020" s="355">
        <v>0</v>
      </c>
      <c r="HQ1020" s="355">
        <v>0</v>
      </c>
      <c r="HR1020" s="355">
        <v>0</v>
      </c>
      <c r="HS1020" s="355">
        <v>0</v>
      </c>
      <c r="HT1020" s="355">
        <v>0</v>
      </c>
      <c r="HU1020" s="355">
        <v>0</v>
      </c>
      <c r="HV1020" s="355">
        <v>0</v>
      </c>
      <c r="HW1020" s="355">
        <v>0</v>
      </c>
      <c r="HX1020" s="355">
        <v>0</v>
      </c>
      <c r="HZ1020" s="326"/>
      <c r="IA1020" s="1573" t="s">
        <v>3217</v>
      </c>
      <c r="IB1020" s="284"/>
      <c r="ID1020" s="323"/>
      <c r="IG1020" s="323"/>
      <c r="IH1020" s="284"/>
      <c r="IJ1020" s="323"/>
      <c r="IK1020" s="327"/>
      <c r="IM1020" s="323"/>
      <c r="IP1020" s="323"/>
      <c r="IQ1020" s="327"/>
      <c r="IR1020" s="327"/>
      <c r="IS1020" s="323"/>
      <c r="IT1020" s="1405"/>
      <c r="IU1020" s="327"/>
      <c r="IV1020" s="323">
        <f t="shared" si="2127"/>
        <v>0</v>
      </c>
      <c r="IW1020" s="327"/>
      <c r="IX1020" s="327"/>
      <c r="IY1020" s="323"/>
      <c r="IZ1020" s="327">
        <f>SUM(FW1020:GB1020)</f>
        <v>222.42967109467429</v>
      </c>
      <c r="JA1020" s="327">
        <f t="shared" si="2111"/>
        <v>0</v>
      </c>
      <c r="JB1020" s="323">
        <f t="shared" si="2036"/>
        <v>222.42967109467429</v>
      </c>
      <c r="JC1020" s="327">
        <f t="shared" si="2112"/>
        <v>0</v>
      </c>
      <c r="JD1020" s="327">
        <f t="shared" si="2113"/>
        <v>0</v>
      </c>
      <c r="JE1020" s="323">
        <f t="shared" si="1945"/>
        <v>0</v>
      </c>
      <c r="JF1020" s="327"/>
      <c r="JG1020" s="327"/>
      <c r="JH1020" s="323">
        <f t="shared" si="1944"/>
        <v>0</v>
      </c>
      <c r="JI1020" s="327">
        <f t="shared" si="1993"/>
        <v>0</v>
      </c>
      <c r="JJ1020" s="327">
        <f t="shared" si="2035"/>
        <v>0</v>
      </c>
      <c r="JK1020" s="323">
        <f t="shared" si="2117"/>
        <v>0</v>
      </c>
      <c r="JL1020" s="1404">
        <f t="shared" si="2118"/>
        <v>0</v>
      </c>
      <c r="JN1020" s="323">
        <f>FISC!AK1345</f>
        <v>0</v>
      </c>
      <c r="JO1020" s="1404"/>
      <c r="JQ1020" s="323">
        <f>FISC!AL1345</f>
        <v>0</v>
      </c>
      <c r="JT1020" s="323">
        <f>FISC!AM1345</f>
        <v>0</v>
      </c>
      <c r="JW1020" s="323">
        <f>FISC!AN1345</f>
        <v>0</v>
      </c>
      <c r="JZ1020" s="323">
        <f>FISC!AO1345</f>
        <v>0</v>
      </c>
      <c r="KC1020" s="323">
        <f>FISC!AP1345</f>
        <v>0</v>
      </c>
      <c r="KF1020" s="323">
        <f>FISC!AQ1345</f>
        <v>0</v>
      </c>
      <c r="KI1020" s="323">
        <f>FISC!AR1345</f>
        <v>0</v>
      </c>
      <c r="KL1020" s="323">
        <f>FISC!AS1345</f>
        <v>0</v>
      </c>
      <c r="KO1020" s="323">
        <f>FISC!AT1345</f>
        <v>0</v>
      </c>
      <c r="KU1020" s="326"/>
      <c r="KV1020" s="327"/>
    </row>
    <row r="1021" spans="1:314">
      <c r="A1021" s="279"/>
      <c r="D1021" s="1454" t="s">
        <v>3165</v>
      </c>
      <c r="E1021" s="323"/>
      <c r="F1021" s="323"/>
      <c r="G1021" s="323"/>
      <c r="H1021" s="323"/>
      <c r="I1021" s="323"/>
      <c r="J1021" s="323"/>
      <c r="K1021" s="323"/>
      <c r="L1021" s="323"/>
      <c r="M1021" s="323"/>
      <c r="N1021" s="323"/>
      <c r="O1021" s="323"/>
      <c r="P1021" s="323"/>
      <c r="Q1021" s="323"/>
      <c r="R1021" s="323"/>
      <c r="S1021" s="323"/>
      <c r="T1021" s="323"/>
      <c r="U1021" s="323"/>
      <c r="V1021" s="323"/>
      <c r="W1021" s="323"/>
      <c r="X1021" s="323"/>
      <c r="Y1021" s="323"/>
      <c r="Z1021" s="323"/>
      <c r="AA1021" s="323"/>
      <c r="AB1021" s="323"/>
      <c r="AC1021" s="323"/>
      <c r="AD1021" s="323"/>
      <c r="AE1021" s="323"/>
      <c r="AF1021" s="323"/>
      <c r="AG1021" s="323"/>
      <c r="AH1021" s="323"/>
      <c r="AI1021" s="323"/>
      <c r="AJ1021" s="323"/>
      <c r="AK1021" s="323"/>
      <c r="AL1021" s="323"/>
      <c r="AM1021" s="323"/>
      <c r="AN1021" s="323"/>
      <c r="AO1021" s="323"/>
      <c r="AP1021" s="323"/>
      <c r="AQ1021" s="323"/>
      <c r="AR1021" s="323"/>
      <c r="AS1021" s="323"/>
      <c r="AT1021" s="323"/>
      <c r="AU1021" s="323"/>
      <c r="AV1021" s="323"/>
      <c r="AW1021" s="323"/>
      <c r="AX1021" s="323"/>
      <c r="AY1021" s="323"/>
      <c r="AZ1021" s="323"/>
      <c r="BA1021" s="323"/>
      <c r="BB1021" s="323"/>
      <c r="BC1021" s="323"/>
      <c r="BD1021" s="323"/>
      <c r="BE1021" s="323"/>
      <c r="BF1021" s="323"/>
      <c r="BG1021" s="323"/>
      <c r="BH1021" s="323"/>
      <c r="BI1021" s="323"/>
      <c r="BJ1021" s="323"/>
      <c r="BK1021" s="323"/>
      <c r="BL1021" s="323"/>
      <c r="BM1021" s="323"/>
      <c r="BN1021" s="323"/>
      <c r="BO1021" s="323"/>
      <c r="BP1021" s="323"/>
      <c r="BQ1021" s="323"/>
      <c r="BR1021" s="323"/>
      <c r="BS1021" s="323"/>
      <c r="BT1021" s="323"/>
      <c r="BU1021" s="323"/>
      <c r="BV1021" s="323"/>
      <c r="BW1021" s="323"/>
      <c r="BX1021" s="323"/>
      <c r="BY1021" s="323"/>
      <c r="BZ1021" s="323"/>
      <c r="CA1021" s="323"/>
      <c r="CB1021" s="323"/>
      <c r="CC1021" s="323"/>
      <c r="CD1021" s="329"/>
      <c r="CE1021" s="323"/>
      <c r="CF1021" s="323"/>
      <c r="CG1021" s="323"/>
      <c r="CH1021" s="323"/>
      <c r="CI1021" s="323"/>
      <c r="CJ1021" s="323"/>
      <c r="CK1021" s="323"/>
      <c r="CL1021" s="323"/>
      <c r="CM1021" s="323"/>
      <c r="CN1021" s="323"/>
      <c r="CO1021" s="323"/>
      <c r="CP1021" s="325"/>
      <c r="CQ1021" s="323"/>
      <c r="CR1021" s="323"/>
      <c r="CS1021" s="323"/>
      <c r="CT1021" s="323"/>
      <c r="CU1021" s="323"/>
      <c r="CV1021" s="323"/>
      <c r="CW1021" s="323"/>
      <c r="CX1021" s="323"/>
      <c r="CY1021" s="323"/>
      <c r="CZ1021" s="323"/>
      <c r="DA1021" s="323"/>
      <c r="DB1021" s="1269"/>
      <c r="DC1021" s="323"/>
      <c r="DD1021" s="323"/>
      <c r="DE1021" s="323"/>
      <c r="DF1021" s="323"/>
      <c r="DG1021" s="323"/>
      <c r="DH1021" s="323"/>
      <c r="DI1021" s="323"/>
      <c r="DJ1021" s="323"/>
      <c r="DK1021" s="323"/>
      <c r="DL1021" s="323"/>
      <c r="DM1021" s="323"/>
      <c r="DN1021" s="325"/>
      <c r="DO1021" s="323"/>
      <c r="DP1021" s="323"/>
      <c r="DQ1021" s="323"/>
      <c r="DR1021" s="323"/>
      <c r="DS1021" s="323"/>
      <c r="DT1021" s="323"/>
      <c r="DU1021" s="323"/>
      <c r="DV1021" s="323"/>
      <c r="DW1021" s="323"/>
      <c r="DX1021" s="323"/>
      <c r="DY1021" s="323"/>
      <c r="DZ1021" s="325"/>
      <c r="EA1021" s="323"/>
      <c r="EB1021" s="323"/>
      <c r="EC1021" s="323"/>
      <c r="ED1021" s="323"/>
      <c r="EE1021" s="323"/>
      <c r="EF1021" s="323"/>
      <c r="EG1021" s="323"/>
      <c r="EH1021" s="323"/>
      <c r="EI1021" s="323"/>
      <c r="EJ1021" s="323"/>
      <c r="EK1021" s="323"/>
      <c r="EL1021" s="325"/>
      <c r="EM1021" s="323"/>
      <c r="EN1021" s="323"/>
      <c r="EO1021" s="323"/>
      <c r="EP1021" s="323"/>
      <c r="EQ1021" s="323"/>
      <c r="ER1021" s="323"/>
      <c r="ES1021" s="323"/>
      <c r="ET1021" s="323"/>
      <c r="EU1021" s="323"/>
      <c r="EV1021" s="323"/>
      <c r="EW1021" s="323"/>
      <c r="EX1021" s="325"/>
      <c r="EY1021" s="323"/>
      <c r="EZ1021" s="323"/>
      <c r="FA1021" s="323"/>
      <c r="FB1021" s="323"/>
      <c r="FC1021" s="323"/>
      <c r="FD1021" s="323"/>
      <c r="FE1021" s="323"/>
      <c r="FF1021" s="323"/>
      <c r="FG1021" s="323"/>
      <c r="FH1021" s="323"/>
      <c r="FI1021" s="323"/>
      <c r="FJ1021" s="325"/>
      <c r="FK1021" s="323"/>
      <c r="FL1021" s="323"/>
      <c r="FM1021" s="323"/>
      <c r="FN1021" s="323"/>
      <c r="FO1021" s="323"/>
      <c r="FP1021" s="323"/>
      <c r="FQ1021" s="323"/>
      <c r="FR1021" s="323"/>
      <c r="FS1021" s="323"/>
      <c r="FT1021" s="323"/>
      <c r="FU1021" s="323"/>
      <c r="FV1021" s="323"/>
      <c r="FW1021" s="323"/>
      <c r="FX1021" s="323">
        <v>274.62635669999997</v>
      </c>
      <c r="FY1021" s="323">
        <v>0</v>
      </c>
      <c r="FZ1021" s="323">
        <v>0</v>
      </c>
      <c r="GA1021" s="323">
        <v>0</v>
      </c>
      <c r="GB1021" s="323">
        <v>0</v>
      </c>
      <c r="GC1021" s="323">
        <v>0</v>
      </c>
      <c r="GD1021" s="323">
        <v>0</v>
      </c>
      <c r="GE1021" s="323">
        <v>0</v>
      </c>
      <c r="GF1021" s="323">
        <v>0</v>
      </c>
      <c r="GG1021" s="323">
        <v>0</v>
      </c>
      <c r="GH1021" s="323">
        <v>0</v>
      </c>
      <c r="GI1021" s="1654">
        <f>GI1022-GI1025</f>
        <v>0</v>
      </c>
      <c r="GJ1021" s="1654">
        <f t="shared" ref="GJ1021:GT1021" si="2133">GJ1022-GJ1025</f>
        <v>0</v>
      </c>
      <c r="GK1021" s="1654">
        <f t="shared" si="2133"/>
        <v>0</v>
      </c>
      <c r="GL1021" s="1654">
        <f t="shared" si="2133"/>
        <v>0</v>
      </c>
      <c r="GM1021" s="1654">
        <f t="shared" si="2133"/>
        <v>0</v>
      </c>
      <c r="GN1021" s="1654">
        <f t="shared" si="2133"/>
        <v>0</v>
      </c>
      <c r="GO1021" s="1654">
        <f t="shared" si="2133"/>
        <v>0</v>
      </c>
      <c r="GP1021" s="1654">
        <f t="shared" si="2133"/>
        <v>0</v>
      </c>
      <c r="GQ1021" s="1654">
        <f t="shared" si="2133"/>
        <v>0</v>
      </c>
      <c r="GR1021" s="1654">
        <f t="shared" si="2133"/>
        <v>-68.114324774020005</v>
      </c>
      <c r="GS1021" s="1654">
        <f t="shared" si="2133"/>
        <v>0</v>
      </c>
      <c r="GT1021" s="1654">
        <f t="shared" si="2133"/>
        <v>0</v>
      </c>
      <c r="GU1021" s="1654">
        <v>0</v>
      </c>
      <c r="GV1021" s="1654">
        <v>0</v>
      </c>
      <c r="GW1021" s="1654">
        <v>0</v>
      </c>
      <c r="GX1021" s="1654">
        <v>0</v>
      </c>
      <c r="GY1021" s="1654">
        <v>0</v>
      </c>
      <c r="GZ1021" s="1654">
        <v>0</v>
      </c>
      <c r="HA1021" s="1654">
        <v>0</v>
      </c>
      <c r="HB1021" s="1654">
        <v>0</v>
      </c>
      <c r="HC1021" s="1654">
        <v>0</v>
      </c>
      <c r="HD1021" s="1654">
        <v>0</v>
      </c>
      <c r="HE1021" s="1654">
        <v>0</v>
      </c>
      <c r="HF1021" s="1654">
        <v>0</v>
      </c>
      <c r="HG1021" s="1654">
        <v>0</v>
      </c>
      <c r="HH1021" s="1654">
        <v>0</v>
      </c>
      <c r="HI1021" s="1654">
        <v>0</v>
      </c>
      <c r="HJ1021" s="1654">
        <v>0</v>
      </c>
      <c r="HK1021" s="1654">
        <v>0</v>
      </c>
      <c r="HL1021" s="1654">
        <v>0</v>
      </c>
      <c r="HM1021" s="1654">
        <v>0</v>
      </c>
      <c r="HN1021" s="1654">
        <v>0</v>
      </c>
      <c r="HO1021" s="1654">
        <v>0</v>
      </c>
      <c r="HP1021" s="1654">
        <v>0</v>
      </c>
      <c r="HQ1021" s="1654">
        <v>0</v>
      </c>
      <c r="HR1021" s="1654">
        <v>0</v>
      </c>
      <c r="HS1021" s="1654">
        <v>0</v>
      </c>
      <c r="HT1021" s="1654">
        <v>0</v>
      </c>
      <c r="HU1021" s="1654">
        <v>0</v>
      </c>
      <c r="HV1021" s="1654">
        <v>0</v>
      </c>
      <c r="HW1021" s="1654">
        <v>0</v>
      </c>
      <c r="HX1021" s="1654">
        <v>0</v>
      </c>
      <c r="HY1021" s="1654"/>
      <c r="HZ1021" s="326"/>
      <c r="IA1021" s="1454" t="s">
        <v>3165</v>
      </c>
      <c r="IB1021" s="284"/>
      <c r="ID1021" s="323"/>
      <c r="IG1021" s="323"/>
      <c r="IH1021" s="284"/>
      <c r="IJ1021" s="323"/>
      <c r="IK1021" s="327"/>
      <c r="IM1021" s="323"/>
      <c r="IP1021" s="323"/>
      <c r="IQ1021" s="327"/>
      <c r="IR1021" s="327"/>
      <c r="IS1021" s="323"/>
      <c r="IT1021" s="1405"/>
      <c r="IU1021" s="327"/>
      <c r="IV1021" s="323">
        <f t="shared" si="2127"/>
        <v>0</v>
      </c>
      <c r="IW1021" s="327">
        <f>SUM(FK1021:FP1021)</f>
        <v>0</v>
      </c>
      <c r="IX1021" s="327">
        <f>SUM(FQ1021:FV1021)</f>
        <v>0</v>
      </c>
      <c r="IY1021" s="323">
        <f t="shared" si="2005"/>
        <v>0</v>
      </c>
      <c r="IZ1021" s="327">
        <f t="shared" si="2110"/>
        <v>274.62635669999997</v>
      </c>
      <c r="JA1021" s="327">
        <f t="shared" si="2111"/>
        <v>0</v>
      </c>
      <c r="JB1021" s="323">
        <f t="shared" si="2036"/>
        <v>274.62635669999997</v>
      </c>
      <c r="JC1021" s="327">
        <f t="shared" si="2112"/>
        <v>0</v>
      </c>
      <c r="JD1021" s="327">
        <f t="shared" si="2113"/>
        <v>-68.114324774020005</v>
      </c>
      <c r="JE1021" s="323">
        <f t="shared" si="1945"/>
        <v>-68.114324774020005</v>
      </c>
      <c r="JF1021" s="327">
        <v>0</v>
      </c>
      <c r="JG1021" s="327">
        <f t="shared" ref="JG1021:JG1026" si="2134">SUM(HA1021:HF1021)</f>
        <v>0</v>
      </c>
      <c r="JH1021" s="323">
        <f t="shared" si="1944"/>
        <v>0</v>
      </c>
      <c r="JI1021" s="327">
        <f t="shared" si="1993"/>
        <v>0</v>
      </c>
      <c r="JJ1021" s="327">
        <f t="shared" si="2035"/>
        <v>0</v>
      </c>
      <c r="JK1021" s="323">
        <f t="shared" si="2117"/>
        <v>0</v>
      </c>
      <c r="JL1021" s="327">
        <f t="shared" si="2118"/>
        <v>0</v>
      </c>
      <c r="JM1021" s="327">
        <v>0</v>
      </c>
      <c r="JN1021" s="323">
        <f>FISC!AK1346</f>
        <v>0</v>
      </c>
      <c r="JO1021" s="327">
        <v>0</v>
      </c>
      <c r="JP1021" s="327">
        <v>0</v>
      </c>
      <c r="JQ1021" s="323">
        <f>FISC!AL1346</f>
        <v>0</v>
      </c>
      <c r="JR1021" s="327">
        <v>0</v>
      </c>
      <c r="JS1021" s="327">
        <v>0</v>
      </c>
      <c r="JT1021" s="323">
        <f>FISC!AM1346</f>
        <v>0</v>
      </c>
      <c r="JU1021" s="327">
        <v>0</v>
      </c>
      <c r="JV1021" s="327">
        <v>0</v>
      </c>
      <c r="JW1021" s="323">
        <f>FISC!AN1346</f>
        <v>0</v>
      </c>
      <c r="JX1021" s="327">
        <v>0</v>
      </c>
      <c r="JY1021" s="327">
        <v>0</v>
      </c>
      <c r="JZ1021" s="323">
        <f>FISC!AO1346</f>
        <v>0</v>
      </c>
      <c r="KA1021" s="327">
        <v>0</v>
      </c>
      <c r="KB1021" s="327">
        <v>0</v>
      </c>
      <c r="KC1021" s="323">
        <f>FISC!AP1346</f>
        <v>0</v>
      </c>
      <c r="KD1021" s="327">
        <v>0</v>
      </c>
      <c r="KE1021" s="327">
        <v>0</v>
      </c>
      <c r="KF1021" s="323">
        <f>FISC!AQ1346</f>
        <v>0</v>
      </c>
      <c r="KG1021" s="327">
        <v>0</v>
      </c>
      <c r="KH1021" s="327">
        <v>0</v>
      </c>
      <c r="KI1021" s="323">
        <f>FISC!AR1346</f>
        <v>0</v>
      </c>
      <c r="KJ1021" s="327">
        <v>0</v>
      </c>
      <c r="KK1021" s="327">
        <v>0</v>
      </c>
      <c r="KL1021" s="323">
        <f>FISC!AS1346</f>
        <v>0</v>
      </c>
      <c r="KM1021" s="327">
        <v>0</v>
      </c>
      <c r="KN1021" s="327">
        <v>0</v>
      </c>
      <c r="KO1021" s="323">
        <f>FISC!AT1346</f>
        <v>0</v>
      </c>
      <c r="KU1021" s="326"/>
      <c r="KV1021" s="327"/>
    </row>
    <row r="1022" spans="1:314">
      <c r="A1022" s="279"/>
      <c r="D1022" s="1454" t="s">
        <v>3166</v>
      </c>
      <c r="E1022" s="323"/>
      <c r="F1022" s="323"/>
      <c r="G1022" s="323"/>
      <c r="H1022" s="323"/>
      <c r="I1022" s="323"/>
      <c r="J1022" s="323"/>
      <c r="K1022" s="323"/>
      <c r="L1022" s="323"/>
      <c r="M1022" s="323"/>
      <c r="N1022" s="323"/>
      <c r="O1022" s="323"/>
      <c r="P1022" s="323"/>
      <c r="Q1022" s="323"/>
      <c r="R1022" s="323"/>
      <c r="S1022" s="323"/>
      <c r="T1022" s="323"/>
      <c r="U1022" s="323"/>
      <c r="V1022" s="323"/>
      <c r="W1022" s="323"/>
      <c r="X1022" s="323"/>
      <c r="Y1022" s="323"/>
      <c r="Z1022" s="323"/>
      <c r="AA1022" s="323"/>
      <c r="AB1022" s="323"/>
      <c r="AC1022" s="323"/>
      <c r="AD1022" s="323"/>
      <c r="AE1022" s="323"/>
      <c r="AF1022" s="323"/>
      <c r="AG1022" s="323"/>
      <c r="AH1022" s="323"/>
      <c r="AI1022" s="323"/>
      <c r="AJ1022" s="323"/>
      <c r="AK1022" s="323"/>
      <c r="AL1022" s="323"/>
      <c r="AM1022" s="323"/>
      <c r="AN1022" s="323"/>
      <c r="AO1022" s="323"/>
      <c r="AP1022" s="323"/>
      <c r="AQ1022" s="323"/>
      <c r="AR1022" s="323"/>
      <c r="AS1022" s="323"/>
      <c r="AT1022" s="323"/>
      <c r="AU1022" s="323"/>
      <c r="AV1022" s="323"/>
      <c r="AW1022" s="323"/>
      <c r="AX1022" s="323"/>
      <c r="AY1022" s="323"/>
      <c r="AZ1022" s="323"/>
      <c r="BA1022" s="323"/>
      <c r="BB1022" s="323"/>
      <c r="BC1022" s="323"/>
      <c r="BD1022" s="323"/>
      <c r="BE1022" s="323"/>
      <c r="BF1022" s="323"/>
      <c r="BG1022" s="323"/>
      <c r="BH1022" s="323"/>
      <c r="BI1022" s="323"/>
      <c r="BJ1022" s="323"/>
      <c r="BK1022" s="323"/>
      <c r="BL1022" s="323"/>
      <c r="BM1022" s="323"/>
      <c r="BN1022" s="323"/>
      <c r="BO1022" s="323"/>
      <c r="BP1022" s="323"/>
      <c r="BQ1022" s="323"/>
      <c r="BR1022" s="323"/>
      <c r="BS1022" s="323"/>
      <c r="BT1022" s="323"/>
      <c r="BU1022" s="323"/>
      <c r="BV1022" s="323"/>
      <c r="BW1022" s="323"/>
      <c r="BX1022" s="323"/>
      <c r="BY1022" s="323"/>
      <c r="BZ1022" s="323"/>
      <c r="CA1022" s="323"/>
      <c r="CB1022" s="323"/>
      <c r="CC1022" s="323"/>
      <c r="CD1022" s="329"/>
      <c r="CE1022" s="323"/>
      <c r="CF1022" s="323"/>
      <c r="CG1022" s="323"/>
      <c r="CH1022" s="323"/>
      <c r="CI1022" s="323"/>
      <c r="CJ1022" s="323"/>
      <c r="CK1022" s="323"/>
      <c r="CL1022" s="323"/>
      <c r="CM1022" s="323"/>
      <c r="CN1022" s="323"/>
      <c r="CO1022" s="323"/>
      <c r="CP1022" s="325"/>
      <c r="CQ1022" s="323"/>
      <c r="CR1022" s="323"/>
      <c r="CS1022" s="323"/>
      <c r="CT1022" s="323"/>
      <c r="CU1022" s="323"/>
      <c r="CV1022" s="323"/>
      <c r="CW1022" s="323"/>
      <c r="CX1022" s="323"/>
      <c r="CY1022" s="323"/>
      <c r="CZ1022" s="323"/>
      <c r="DA1022" s="323"/>
      <c r="DB1022" s="1269"/>
      <c r="DC1022" s="323"/>
      <c r="DD1022" s="323"/>
      <c r="DE1022" s="323"/>
      <c r="DF1022" s="323"/>
      <c r="DG1022" s="323"/>
      <c r="DH1022" s="323"/>
      <c r="DI1022" s="323"/>
      <c r="DJ1022" s="323"/>
      <c r="DK1022" s="323"/>
      <c r="DL1022" s="323"/>
      <c r="DM1022" s="323"/>
      <c r="DN1022" s="325"/>
      <c r="DO1022" s="323"/>
      <c r="DP1022" s="323"/>
      <c r="DQ1022" s="323"/>
      <c r="DR1022" s="323"/>
      <c r="DS1022" s="323"/>
      <c r="DT1022" s="323"/>
      <c r="DU1022" s="323"/>
      <c r="DV1022" s="323"/>
      <c r="DW1022" s="323"/>
      <c r="DX1022" s="323"/>
      <c r="DY1022" s="323"/>
      <c r="DZ1022" s="325"/>
      <c r="EA1022" s="323"/>
      <c r="EB1022" s="323"/>
      <c r="EC1022" s="323"/>
      <c r="ED1022" s="323"/>
      <c r="EE1022" s="323"/>
      <c r="EF1022" s="323"/>
      <c r="EG1022" s="323"/>
      <c r="EH1022" s="323"/>
      <c r="EI1022" s="323"/>
      <c r="EJ1022" s="323"/>
      <c r="EK1022" s="323"/>
      <c r="EL1022" s="325"/>
      <c r="EM1022" s="323"/>
      <c r="EN1022" s="323"/>
      <c r="EO1022" s="323"/>
      <c r="EP1022" s="323"/>
      <c r="EQ1022" s="323"/>
      <c r="ER1022" s="323"/>
      <c r="ES1022" s="323"/>
      <c r="ET1022" s="323"/>
      <c r="EU1022" s="323"/>
      <c r="EV1022" s="323"/>
      <c r="EW1022" s="323"/>
      <c r="EX1022" s="325"/>
      <c r="EY1022" s="323"/>
      <c r="EZ1022" s="323"/>
      <c r="FA1022" s="323"/>
      <c r="FB1022" s="323"/>
      <c r="FC1022" s="323"/>
      <c r="FD1022" s="323"/>
      <c r="FE1022" s="323"/>
      <c r="FF1022" s="323"/>
      <c r="FG1022" s="323"/>
      <c r="FH1022" s="323"/>
      <c r="FI1022" s="323"/>
      <c r="FJ1022" s="325"/>
      <c r="FK1022" s="323"/>
      <c r="FL1022" s="323"/>
      <c r="FM1022" s="323"/>
      <c r="FN1022" s="323"/>
      <c r="FO1022" s="323"/>
      <c r="FP1022" s="323"/>
      <c r="FQ1022" s="323"/>
      <c r="FR1022" s="323"/>
      <c r="FS1022" s="323"/>
      <c r="FT1022" s="323"/>
      <c r="FU1022" s="323"/>
      <c r="FV1022" s="323"/>
      <c r="FW1022" s="323"/>
      <c r="FX1022" s="323">
        <v>614.23347672</v>
      </c>
      <c r="FY1022" s="323">
        <v>0</v>
      </c>
      <c r="FZ1022" s="323">
        <v>0</v>
      </c>
      <c r="GA1022" s="323">
        <v>0</v>
      </c>
      <c r="GB1022" s="323">
        <v>0</v>
      </c>
      <c r="GC1022" s="323">
        <v>0</v>
      </c>
      <c r="GD1022" s="323">
        <v>0</v>
      </c>
      <c r="GE1022" s="323">
        <v>0</v>
      </c>
      <c r="GF1022" s="323">
        <v>0</v>
      </c>
      <c r="GG1022" s="323">
        <v>0</v>
      </c>
      <c r="GH1022" s="323">
        <v>0</v>
      </c>
      <c r="GI1022" s="1654">
        <v>0</v>
      </c>
      <c r="GJ1022" s="1654">
        <v>0</v>
      </c>
      <c r="GK1022" s="1654">
        <v>0</v>
      </c>
      <c r="GL1022" s="1654">
        <v>0</v>
      </c>
      <c r="GM1022" s="1654">
        <v>0</v>
      </c>
      <c r="GN1022" s="1654">
        <v>0</v>
      </c>
      <c r="GO1022" s="355">
        <v>0</v>
      </c>
      <c r="GP1022" s="355">
        <v>0</v>
      </c>
      <c r="GQ1022" s="355">
        <v>0</v>
      </c>
      <c r="GR1022" s="355">
        <v>0</v>
      </c>
      <c r="GS1022" s="355">
        <v>0</v>
      </c>
      <c r="GT1022" s="355">
        <v>0</v>
      </c>
      <c r="GU1022" s="355">
        <v>0</v>
      </c>
      <c r="GV1022" s="355">
        <v>0</v>
      </c>
      <c r="GW1022" s="355">
        <v>0</v>
      </c>
      <c r="GX1022" s="355">
        <v>0</v>
      </c>
      <c r="GY1022" s="355">
        <v>0</v>
      </c>
      <c r="GZ1022" s="355">
        <v>0</v>
      </c>
      <c r="HA1022" s="355">
        <v>0</v>
      </c>
      <c r="HB1022" s="355">
        <v>0</v>
      </c>
      <c r="HC1022" s="355">
        <v>0</v>
      </c>
      <c r="HD1022" s="355">
        <v>0</v>
      </c>
      <c r="HE1022" s="355">
        <v>0</v>
      </c>
      <c r="HF1022" s="355">
        <v>0</v>
      </c>
      <c r="HG1022" s="355">
        <v>0</v>
      </c>
      <c r="HH1022" s="355">
        <v>0</v>
      </c>
      <c r="HI1022" s="355">
        <v>0</v>
      </c>
      <c r="HJ1022" s="355">
        <v>0</v>
      </c>
      <c r="HK1022" s="355">
        <v>0</v>
      </c>
      <c r="HL1022" s="355">
        <v>0</v>
      </c>
      <c r="HM1022" s="355">
        <v>0</v>
      </c>
      <c r="HN1022" s="355">
        <v>0</v>
      </c>
      <c r="HO1022" s="355">
        <v>0</v>
      </c>
      <c r="HP1022" s="355">
        <v>0</v>
      </c>
      <c r="HQ1022" s="355">
        <v>0</v>
      </c>
      <c r="HR1022" s="355">
        <v>0</v>
      </c>
      <c r="HS1022" s="355">
        <v>0</v>
      </c>
      <c r="HT1022" s="355">
        <v>0</v>
      </c>
      <c r="HU1022" s="355">
        <v>0</v>
      </c>
      <c r="HV1022" s="355">
        <v>0</v>
      </c>
      <c r="HW1022" s="355">
        <v>0</v>
      </c>
      <c r="HX1022" s="355">
        <v>0</v>
      </c>
      <c r="HZ1022" s="326"/>
      <c r="IA1022" s="1454" t="s">
        <v>3166</v>
      </c>
      <c r="IB1022" s="284"/>
      <c r="ID1022" s="323"/>
      <c r="IG1022" s="323"/>
      <c r="IH1022" s="284"/>
      <c r="IJ1022" s="323"/>
      <c r="IK1022" s="327"/>
      <c r="IM1022" s="323"/>
      <c r="IP1022" s="323"/>
      <c r="IQ1022" s="327"/>
      <c r="IR1022" s="327"/>
      <c r="IS1022" s="323"/>
      <c r="IT1022" s="1405"/>
      <c r="IU1022" s="327"/>
      <c r="IV1022" s="323">
        <f t="shared" si="2127"/>
        <v>0</v>
      </c>
      <c r="IW1022" s="327">
        <f>SUM(FK1022:FP1022)</f>
        <v>0</v>
      </c>
      <c r="IX1022" s="327">
        <f>SUM(FQ1022:FV1022)</f>
        <v>0</v>
      </c>
      <c r="IY1022" s="323">
        <f t="shared" si="2005"/>
        <v>0</v>
      </c>
      <c r="IZ1022" s="327">
        <f t="shared" si="2110"/>
        <v>614.23347672</v>
      </c>
      <c r="JA1022" s="327">
        <f t="shared" si="2111"/>
        <v>0</v>
      </c>
      <c r="JB1022" s="323">
        <f t="shared" si="2036"/>
        <v>614.23347672</v>
      </c>
      <c r="JC1022" s="327">
        <f t="shared" si="2112"/>
        <v>0</v>
      </c>
      <c r="JD1022" s="327">
        <f t="shared" si="2113"/>
        <v>0</v>
      </c>
      <c r="JE1022" s="323">
        <f t="shared" si="1945"/>
        <v>0</v>
      </c>
      <c r="JF1022" s="327">
        <v>0</v>
      </c>
      <c r="JG1022" s="327">
        <f t="shared" si="2134"/>
        <v>0</v>
      </c>
      <c r="JH1022" s="323">
        <f t="shared" ref="JH1022:JH1038" si="2135">JF1022+JG1022</f>
        <v>0</v>
      </c>
      <c r="JI1022" s="327">
        <f t="shared" si="1993"/>
        <v>0</v>
      </c>
      <c r="JJ1022" s="327">
        <f t="shared" si="2035"/>
        <v>0</v>
      </c>
      <c r="JK1022" s="323">
        <f t="shared" si="2117"/>
        <v>0</v>
      </c>
      <c r="JL1022" s="327">
        <f t="shared" si="2118"/>
        <v>0</v>
      </c>
      <c r="JM1022" s="327">
        <v>0</v>
      </c>
      <c r="JN1022" s="323">
        <f>FISC!AK1347</f>
        <v>0</v>
      </c>
      <c r="JO1022" s="327">
        <v>0</v>
      </c>
      <c r="JP1022" s="327">
        <v>0</v>
      </c>
      <c r="JQ1022" s="323">
        <f>FISC!AL1347</f>
        <v>0</v>
      </c>
      <c r="JR1022" s="327">
        <v>0</v>
      </c>
      <c r="JS1022" s="327">
        <v>0</v>
      </c>
      <c r="JT1022" s="323">
        <f>FISC!AM1347</f>
        <v>0</v>
      </c>
      <c r="JU1022" s="327">
        <v>0</v>
      </c>
      <c r="JV1022" s="327">
        <v>0</v>
      </c>
      <c r="JW1022" s="323">
        <f>FISC!AN1347</f>
        <v>0</v>
      </c>
      <c r="JX1022" s="327">
        <v>0</v>
      </c>
      <c r="JY1022" s="327">
        <v>0</v>
      </c>
      <c r="JZ1022" s="323">
        <f>FISC!AO1347</f>
        <v>0</v>
      </c>
      <c r="KA1022" s="327">
        <v>0</v>
      </c>
      <c r="KB1022" s="327">
        <v>0</v>
      </c>
      <c r="KC1022" s="323">
        <f>FISC!AP1347</f>
        <v>0</v>
      </c>
      <c r="KD1022" s="327">
        <v>0</v>
      </c>
      <c r="KE1022" s="327">
        <v>0</v>
      </c>
      <c r="KF1022" s="323">
        <f>FISC!AQ1347</f>
        <v>0</v>
      </c>
      <c r="KG1022" s="327">
        <v>0</v>
      </c>
      <c r="KH1022" s="327">
        <v>0</v>
      </c>
      <c r="KI1022" s="323">
        <f>FISC!AR1347</f>
        <v>0</v>
      </c>
      <c r="KJ1022" s="327">
        <v>0</v>
      </c>
      <c r="KK1022" s="327">
        <v>0</v>
      </c>
      <c r="KL1022" s="323">
        <f>FISC!AS1347</f>
        <v>0</v>
      </c>
      <c r="KM1022" s="327">
        <v>0</v>
      </c>
      <c r="KN1022" s="327">
        <v>0</v>
      </c>
      <c r="KO1022" s="323">
        <f>FISC!AT1347</f>
        <v>0</v>
      </c>
      <c r="KU1022" s="326"/>
      <c r="KV1022" s="327"/>
    </row>
    <row r="1023" spans="1:314">
      <c r="A1023" s="279"/>
      <c r="D1023" s="1456" t="s">
        <v>3169</v>
      </c>
      <c r="E1023" s="323"/>
      <c r="F1023" s="323"/>
      <c r="G1023" s="323"/>
      <c r="H1023" s="323"/>
      <c r="I1023" s="323"/>
      <c r="J1023" s="323"/>
      <c r="K1023" s="323"/>
      <c r="L1023" s="323"/>
      <c r="M1023" s="323"/>
      <c r="N1023" s="323"/>
      <c r="O1023" s="323"/>
      <c r="P1023" s="323"/>
      <c r="Q1023" s="323"/>
      <c r="R1023" s="323"/>
      <c r="S1023" s="323"/>
      <c r="T1023" s="323"/>
      <c r="U1023" s="323"/>
      <c r="V1023" s="323"/>
      <c r="W1023" s="323"/>
      <c r="X1023" s="323"/>
      <c r="Y1023" s="323"/>
      <c r="Z1023" s="323"/>
      <c r="AA1023" s="323"/>
      <c r="AB1023" s="323"/>
      <c r="AC1023" s="323"/>
      <c r="AD1023" s="323"/>
      <c r="AE1023" s="323"/>
      <c r="AF1023" s="323"/>
      <c r="AG1023" s="323"/>
      <c r="AH1023" s="323"/>
      <c r="AI1023" s="323"/>
      <c r="AJ1023" s="323"/>
      <c r="AK1023" s="323"/>
      <c r="AL1023" s="323"/>
      <c r="AM1023" s="323"/>
      <c r="AN1023" s="323"/>
      <c r="AO1023" s="323"/>
      <c r="AP1023" s="323"/>
      <c r="AQ1023" s="323"/>
      <c r="AR1023" s="323"/>
      <c r="AS1023" s="323"/>
      <c r="AT1023" s="323"/>
      <c r="AU1023" s="323"/>
      <c r="AV1023" s="323"/>
      <c r="AW1023" s="323"/>
      <c r="AX1023" s="323"/>
      <c r="AY1023" s="323"/>
      <c r="AZ1023" s="323"/>
      <c r="BA1023" s="323"/>
      <c r="BB1023" s="323"/>
      <c r="BC1023" s="323"/>
      <c r="BD1023" s="323"/>
      <c r="BE1023" s="323"/>
      <c r="BF1023" s="323"/>
      <c r="BG1023" s="323"/>
      <c r="BH1023" s="323"/>
      <c r="BI1023" s="323"/>
      <c r="BJ1023" s="323"/>
      <c r="BK1023" s="323"/>
      <c r="BL1023" s="323"/>
      <c r="BM1023" s="323"/>
      <c r="BN1023" s="323"/>
      <c r="BO1023" s="323"/>
      <c r="BP1023" s="323"/>
      <c r="BQ1023" s="323"/>
      <c r="BR1023" s="323"/>
      <c r="BS1023" s="323"/>
      <c r="BT1023" s="323"/>
      <c r="BU1023" s="323"/>
      <c r="BV1023" s="323"/>
      <c r="BW1023" s="323"/>
      <c r="BX1023" s="323"/>
      <c r="BY1023" s="323"/>
      <c r="BZ1023" s="323"/>
      <c r="CA1023" s="323"/>
      <c r="CB1023" s="323"/>
      <c r="CC1023" s="323"/>
      <c r="CD1023" s="329"/>
      <c r="CE1023" s="323"/>
      <c r="CF1023" s="323"/>
      <c r="CG1023" s="323"/>
      <c r="CH1023" s="323"/>
      <c r="CI1023" s="323"/>
      <c r="CJ1023" s="323"/>
      <c r="CK1023" s="323"/>
      <c r="CL1023" s="323"/>
      <c r="CM1023" s="323"/>
      <c r="CN1023" s="323"/>
      <c r="CO1023" s="323"/>
      <c r="CP1023" s="325"/>
      <c r="CQ1023" s="323"/>
      <c r="CR1023" s="323"/>
      <c r="CS1023" s="323"/>
      <c r="CT1023" s="323"/>
      <c r="CU1023" s="323"/>
      <c r="CV1023" s="323"/>
      <c r="CW1023" s="323"/>
      <c r="CX1023" s="323"/>
      <c r="CY1023" s="323"/>
      <c r="CZ1023" s="323"/>
      <c r="DA1023" s="323"/>
      <c r="DB1023" s="1269"/>
      <c r="DC1023" s="323"/>
      <c r="DD1023" s="323"/>
      <c r="DE1023" s="323"/>
      <c r="DF1023" s="323"/>
      <c r="DG1023" s="323"/>
      <c r="DH1023" s="323"/>
      <c r="DI1023" s="323"/>
      <c r="DJ1023" s="323"/>
      <c r="DK1023" s="323"/>
      <c r="DL1023" s="323"/>
      <c r="DM1023" s="323"/>
      <c r="DN1023" s="325"/>
      <c r="DO1023" s="323"/>
      <c r="DP1023" s="323"/>
      <c r="DQ1023" s="323"/>
      <c r="DR1023" s="323"/>
      <c r="DS1023" s="323"/>
      <c r="DT1023" s="323"/>
      <c r="DU1023" s="323"/>
      <c r="DV1023" s="323"/>
      <c r="DW1023" s="323"/>
      <c r="DX1023" s="323"/>
      <c r="DY1023" s="323"/>
      <c r="DZ1023" s="325"/>
      <c r="EA1023" s="323"/>
      <c r="EB1023" s="323"/>
      <c r="EC1023" s="323"/>
      <c r="ED1023" s="323"/>
      <c r="EE1023" s="323"/>
      <c r="EF1023" s="323"/>
      <c r="EG1023" s="323"/>
      <c r="EH1023" s="323"/>
      <c r="EI1023" s="323"/>
      <c r="EJ1023" s="323"/>
      <c r="EK1023" s="323"/>
      <c r="EL1023" s="325"/>
      <c r="EM1023" s="323"/>
      <c r="EN1023" s="323"/>
      <c r="EO1023" s="323"/>
      <c r="EP1023" s="323"/>
      <c r="EQ1023" s="323"/>
      <c r="ER1023" s="323"/>
      <c r="ES1023" s="323"/>
      <c r="ET1023" s="323"/>
      <c r="EU1023" s="323"/>
      <c r="EV1023" s="323"/>
      <c r="EW1023" s="323"/>
      <c r="EX1023" s="325"/>
      <c r="EY1023" s="323"/>
      <c r="EZ1023" s="323"/>
      <c r="FA1023" s="323"/>
      <c r="FB1023" s="323"/>
      <c r="FC1023" s="323"/>
      <c r="FD1023" s="323"/>
      <c r="FE1023" s="323"/>
      <c r="FF1023" s="323"/>
      <c r="FG1023" s="323"/>
      <c r="FH1023" s="323"/>
      <c r="FI1023" s="323"/>
      <c r="FJ1023" s="325"/>
      <c r="FK1023" s="323"/>
      <c r="FL1023" s="323"/>
      <c r="FM1023" s="323"/>
      <c r="FN1023" s="323"/>
      <c r="FO1023" s="323"/>
      <c r="FP1023" s="323"/>
      <c r="FQ1023" s="323"/>
      <c r="FR1023" s="323"/>
      <c r="FS1023" s="323"/>
      <c r="FT1023" s="323"/>
      <c r="FU1023" s="323"/>
      <c r="FV1023" s="323"/>
      <c r="FW1023" s="323"/>
      <c r="FX1023" s="323">
        <v>0</v>
      </c>
      <c r="FY1023" s="323">
        <v>0</v>
      </c>
      <c r="FZ1023" s="323">
        <v>0</v>
      </c>
      <c r="GA1023" s="323">
        <v>0</v>
      </c>
      <c r="GB1023" s="323">
        <v>0</v>
      </c>
      <c r="GC1023" s="323">
        <v>0</v>
      </c>
      <c r="GD1023" s="323">
        <v>0</v>
      </c>
      <c r="GE1023" s="323">
        <v>0</v>
      </c>
      <c r="GF1023" s="323">
        <v>0</v>
      </c>
      <c r="GG1023" s="323">
        <v>0</v>
      </c>
      <c r="GH1023" s="323">
        <v>0</v>
      </c>
      <c r="GI1023" s="1654">
        <v>0</v>
      </c>
      <c r="GJ1023" s="1654">
        <v>0</v>
      </c>
      <c r="GK1023" s="1654">
        <v>0</v>
      </c>
      <c r="GL1023" s="1654">
        <v>0</v>
      </c>
      <c r="GM1023" s="1654">
        <v>0</v>
      </c>
      <c r="GN1023" s="1654">
        <v>0</v>
      </c>
      <c r="GO1023" s="355">
        <v>0</v>
      </c>
      <c r="GP1023" s="355">
        <v>0</v>
      </c>
      <c r="GQ1023" s="355">
        <v>0</v>
      </c>
      <c r="GR1023" s="355">
        <v>0</v>
      </c>
      <c r="GS1023" s="355">
        <v>0</v>
      </c>
      <c r="GT1023" s="355">
        <v>0</v>
      </c>
      <c r="GU1023" s="355">
        <v>0</v>
      </c>
      <c r="GV1023" s="355">
        <v>0</v>
      </c>
      <c r="GW1023" s="355">
        <v>0</v>
      </c>
      <c r="GX1023" s="355">
        <v>0</v>
      </c>
      <c r="GY1023" s="355">
        <v>0</v>
      </c>
      <c r="GZ1023" s="355">
        <v>0</v>
      </c>
      <c r="HA1023" s="355">
        <v>0</v>
      </c>
      <c r="HB1023" s="355">
        <v>0</v>
      </c>
      <c r="HC1023" s="355">
        <v>0</v>
      </c>
      <c r="HD1023" s="355">
        <v>0</v>
      </c>
      <c r="HE1023" s="355">
        <v>0</v>
      </c>
      <c r="HF1023" s="355">
        <v>0</v>
      </c>
      <c r="HG1023" s="355">
        <v>0</v>
      </c>
      <c r="HH1023" s="355">
        <v>0</v>
      </c>
      <c r="HI1023" s="355">
        <v>0</v>
      </c>
      <c r="HJ1023" s="355">
        <v>0</v>
      </c>
      <c r="HK1023" s="355">
        <v>0</v>
      </c>
      <c r="HL1023" s="355">
        <v>0</v>
      </c>
      <c r="HM1023" s="355">
        <v>0</v>
      </c>
      <c r="HN1023" s="355">
        <v>0</v>
      </c>
      <c r="HO1023" s="355">
        <v>0</v>
      </c>
      <c r="HP1023" s="355">
        <v>0</v>
      </c>
      <c r="HQ1023" s="355">
        <v>0</v>
      </c>
      <c r="HR1023" s="355">
        <v>0</v>
      </c>
      <c r="HS1023" s="355">
        <v>0</v>
      </c>
      <c r="HT1023" s="355">
        <v>0</v>
      </c>
      <c r="HU1023" s="355">
        <v>0</v>
      </c>
      <c r="HV1023" s="355">
        <v>0</v>
      </c>
      <c r="HW1023" s="355">
        <v>0</v>
      </c>
      <c r="HX1023" s="355">
        <v>0</v>
      </c>
      <c r="HZ1023" s="326"/>
      <c r="IA1023" s="1456" t="s">
        <v>3169</v>
      </c>
      <c r="IB1023" s="284"/>
      <c r="ID1023" s="323"/>
      <c r="IG1023" s="323"/>
      <c r="IH1023" s="284"/>
      <c r="IJ1023" s="323"/>
      <c r="IK1023" s="327"/>
      <c r="IM1023" s="323"/>
      <c r="IP1023" s="323"/>
      <c r="IQ1023" s="327"/>
      <c r="IR1023" s="327"/>
      <c r="IS1023" s="323"/>
      <c r="IT1023" s="1405"/>
      <c r="IU1023" s="327"/>
      <c r="IV1023" s="323">
        <f t="shared" si="2127"/>
        <v>0</v>
      </c>
      <c r="IW1023" s="327">
        <f>SUM(FK1023:FP1023)</f>
        <v>0</v>
      </c>
      <c r="IX1023" s="327">
        <f>SUM(FQ1023:FV1023)</f>
        <v>0</v>
      </c>
      <c r="IY1023" s="323">
        <f t="shared" si="2005"/>
        <v>0</v>
      </c>
      <c r="IZ1023" s="327">
        <f t="shared" si="2110"/>
        <v>0</v>
      </c>
      <c r="JA1023" s="327">
        <f t="shared" si="2111"/>
        <v>0</v>
      </c>
      <c r="JB1023" s="323">
        <f t="shared" si="2036"/>
        <v>0</v>
      </c>
      <c r="JC1023" s="327">
        <f t="shared" si="2112"/>
        <v>0</v>
      </c>
      <c r="JD1023" s="327">
        <f t="shared" si="2113"/>
        <v>0</v>
      </c>
      <c r="JE1023" s="323">
        <f t="shared" si="1945"/>
        <v>0</v>
      </c>
      <c r="JF1023" s="327">
        <v>0</v>
      </c>
      <c r="JG1023" s="327">
        <f t="shared" si="2134"/>
        <v>0</v>
      </c>
      <c r="JH1023" s="323">
        <f t="shared" si="2135"/>
        <v>0</v>
      </c>
      <c r="JI1023" s="327">
        <f t="shared" si="1993"/>
        <v>0</v>
      </c>
      <c r="JJ1023" s="327">
        <f t="shared" si="2035"/>
        <v>0</v>
      </c>
      <c r="JK1023" s="323">
        <f t="shared" si="2117"/>
        <v>0</v>
      </c>
      <c r="JL1023" s="327">
        <f t="shared" si="2118"/>
        <v>0</v>
      </c>
      <c r="JM1023" s="327">
        <v>0</v>
      </c>
      <c r="JN1023" s="323">
        <f>FISC!AK1348</f>
        <v>0</v>
      </c>
      <c r="JO1023" s="327">
        <v>0</v>
      </c>
      <c r="JP1023" s="327">
        <v>0</v>
      </c>
      <c r="JQ1023" s="323">
        <f>FISC!AL1348</f>
        <v>0</v>
      </c>
      <c r="JR1023" s="327">
        <v>0</v>
      </c>
      <c r="JS1023" s="327">
        <v>0</v>
      </c>
      <c r="JT1023" s="323">
        <f>FISC!AM1348</f>
        <v>0</v>
      </c>
      <c r="JU1023" s="327">
        <v>0</v>
      </c>
      <c r="JV1023" s="327">
        <v>0</v>
      </c>
      <c r="JW1023" s="323">
        <f>FISC!AN1348</f>
        <v>0</v>
      </c>
      <c r="JX1023" s="327">
        <v>0</v>
      </c>
      <c r="JY1023" s="327">
        <v>0</v>
      </c>
      <c r="JZ1023" s="323">
        <f>FISC!AO1348</f>
        <v>0</v>
      </c>
      <c r="KA1023" s="327">
        <v>0</v>
      </c>
      <c r="KB1023" s="327">
        <v>0</v>
      </c>
      <c r="KC1023" s="323">
        <f>FISC!AP1348</f>
        <v>0</v>
      </c>
      <c r="KD1023" s="327">
        <v>0</v>
      </c>
      <c r="KE1023" s="327">
        <v>0</v>
      </c>
      <c r="KF1023" s="323">
        <f>FISC!AQ1348</f>
        <v>0</v>
      </c>
      <c r="KG1023" s="327">
        <v>0</v>
      </c>
      <c r="KH1023" s="327">
        <v>0</v>
      </c>
      <c r="KI1023" s="323">
        <f>FISC!AR1348</f>
        <v>0</v>
      </c>
      <c r="KJ1023" s="327">
        <v>0</v>
      </c>
      <c r="KK1023" s="327">
        <v>0</v>
      </c>
      <c r="KL1023" s="323">
        <f>FISC!AS1348</f>
        <v>0</v>
      </c>
      <c r="KM1023" s="327">
        <v>0</v>
      </c>
      <c r="KN1023" s="327">
        <v>0</v>
      </c>
      <c r="KO1023" s="323">
        <f>FISC!AT1348</f>
        <v>0</v>
      </c>
      <c r="KU1023" s="326"/>
      <c r="KV1023" s="327"/>
    </row>
    <row r="1024" spans="1:314">
      <c r="A1024" s="279"/>
      <c r="D1024" s="1456" t="s">
        <v>3274</v>
      </c>
      <c r="E1024" s="323"/>
      <c r="F1024" s="323"/>
      <c r="G1024" s="323"/>
      <c r="H1024" s="323"/>
      <c r="I1024" s="323"/>
      <c r="J1024" s="323"/>
      <c r="K1024" s="323"/>
      <c r="L1024" s="323"/>
      <c r="M1024" s="323"/>
      <c r="N1024" s="323"/>
      <c r="O1024" s="323"/>
      <c r="P1024" s="323"/>
      <c r="Q1024" s="323"/>
      <c r="R1024" s="323"/>
      <c r="S1024" s="323"/>
      <c r="T1024" s="323"/>
      <c r="U1024" s="323"/>
      <c r="V1024" s="323"/>
      <c r="W1024" s="323"/>
      <c r="X1024" s="323"/>
      <c r="Y1024" s="323"/>
      <c r="Z1024" s="323"/>
      <c r="AA1024" s="323"/>
      <c r="AB1024" s="323"/>
      <c r="AC1024" s="323"/>
      <c r="AD1024" s="323"/>
      <c r="AE1024" s="323"/>
      <c r="AF1024" s="323"/>
      <c r="AG1024" s="323"/>
      <c r="AH1024" s="323"/>
      <c r="AI1024" s="323"/>
      <c r="AJ1024" s="323"/>
      <c r="AK1024" s="323"/>
      <c r="AL1024" s="323"/>
      <c r="AM1024" s="323"/>
      <c r="AN1024" s="323"/>
      <c r="AO1024" s="323"/>
      <c r="AP1024" s="323"/>
      <c r="AQ1024" s="323"/>
      <c r="AR1024" s="323"/>
      <c r="AS1024" s="323"/>
      <c r="AT1024" s="323"/>
      <c r="AU1024" s="323"/>
      <c r="AV1024" s="323"/>
      <c r="AW1024" s="323"/>
      <c r="AX1024" s="323"/>
      <c r="AY1024" s="323"/>
      <c r="AZ1024" s="323"/>
      <c r="BA1024" s="323"/>
      <c r="BB1024" s="323"/>
      <c r="BC1024" s="323"/>
      <c r="BD1024" s="323"/>
      <c r="BE1024" s="323"/>
      <c r="BF1024" s="323"/>
      <c r="BG1024" s="323"/>
      <c r="BH1024" s="323"/>
      <c r="BI1024" s="323"/>
      <c r="BJ1024" s="323"/>
      <c r="BK1024" s="323"/>
      <c r="BL1024" s="323"/>
      <c r="BM1024" s="323"/>
      <c r="BN1024" s="323"/>
      <c r="BO1024" s="323"/>
      <c r="BP1024" s="323"/>
      <c r="BQ1024" s="323"/>
      <c r="BR1024" s="323"/>
      <c r="BS1024" s="323"/>
      <c r="BT1024" s="323"/>
      <c r="BU1024" s="323"/>
      <c r="BV1024" s="323"/>
      <c r="BW1024" s="323"/>
      <c r="BX1024" s="323"/>
      <c r="BY1024" s="323"/>
      <c r="BZ1024" s="323"/>
      <c r="CA1024" s="323"/>
      <c r="CB1024" s="323"/>
      <c r="CC1024" s="323"/>
      <c r="CD1024" s="329"/>
      <c r="CE1024" s="323"/>
      <c r="CF1024" s="323"/>
      <c r="CG1024" s="323"/>
      <c r="CH1024" s="323"/>
      <c r="CI1024" s="323"/>
      <c r="CJ1024" s="323"/>
      <c r="CK1024" s="323"/>
      <c r="CL1024" s="323"/>
      <c r="CM1024" s="323"/>
      <c r="CN1024" s="323"/>
      <c r="CO1024" s="323"/>
      <c r="CP1024" s="325"/>
      <c r="CQ1024" s="323"/>
      <c r="CR1024" s="323"/>
      <c r="CS1024" s="323"/>
      <c r="CT1024" s="323"/>
      <c r="CU1024" s="323"/>
      <c r="CV1024" s="323"/>
      <c r="CW1024" s="323"/>
      <c r="CX1024" s="323"/>
      <c r="CY1024" s="323"/>
      <c r="CZ1024" s="323"/>
      <c r="DA1024" s="323"/>
      <c r="DB1024" s="1269"/>
      <c r="DC1024" s="323"/>
      <c r="DD1024" s="323"/>
      <c r="DE1024" s="323"/>
      <c r="DF1024" s="323"/>
      <c r="DG1024" s="323"/>
      <c r="DH1024" s="323"/>
      <c r="DI1024" s="323"/>
      <c r="DJ1024" s="323"/>
      <c r="DK1024" s="323"/>
      <c r="DL1024" s="323"/>
      <c r="DM1024" s="323"/>
      <c r="DN1024" s="325"/>
      <c r="DO1024" s="323"/>
      <c r="DP1024" s="323"/>
      <c r="DQ1024" s="323"/>
      <c r="DR1024" s="323"/>
      <c r="DS1024" s="323"/>
      <c r="DT1024" s="323"/>
      <c r="DU1024" s="323"/>
      <c r="DV1024" s="323"/>
      <c r="DW1024" s="323"/>
      <c r="DX1024" s="323"/>
      <c r="DY1024" s="323"/>
      <c r="DZ1024" s="325"/>
      <c r="EA1024" s="323"/>
      <c r="EB1024" s="323"/>
      <c r="EC1024" s="323"/>
      <c r="ED1024" s="323"/>
      <c r="EE1024" s="323"/>
      <c r="EF1024" s="323"/>
      <c r="EG1024" s="323"/>
      <c r="EH1024" s="323"/>
      <c r="EI1024" s="323"/>
      <c r="EJ1024" s="323"/>
      <c r="EK1024" s="323"/>
      <c r="EL1024" s="325"/>
      <c r="EM1024" s="323"/>
      <c r="EN1024" s="323"/>
      <c r="EO1024" s="323"/>
      <c r="EP1024" s="323"/>
      <c r="EQ1024" s="323"/>
      <c r="ER1024" s="323"/>
      <c r="ES1024" s="323"/>
      <c r="ET1024" s="323"/>
      <c r="EU1024" s="323"/>
      <c r="EV1024" s="323"/>
      <c r="EW1024" s="323"/>
      <c r="EX1024" s="325"/>
      <c r="EY1024" s="323"/>
      <c r="EZ1024" s="323"/>
      <c r="FA1024" s="323"/>
      <c r="FB1024" s="323"/>
      <c r="FC1024" s="323"/>
      <c r="FD1024" s="323"/>
      <c r="FE1024" s="323"/>
      <c r="FF1024" s="323"/>
      <c r="FG1024" s="323"/>
      <c r="FH1024" s="323"/>
      <c r="FI1024" s="323"/>
      <c r="FJ1024" s="325"/>
      <c r="FK1024" s="323"/>
      <c r="FL1024" s="323"/>
      <c r="FM1024" s="323"/>
      <c r="FN1024" s="323"/>
      <c r="FO1024" s="323"/>
      <c r="FP1024" s="323"/>
      <c r="FQ1024" s="323"/>
      <c r="FR1024" s="323"/>
      <c r="FS1024" s="323"/>
      <c r="FT1024" s="323"/>
      <c r="FU1024" s="323"/>
      <c r="FV1024" s="323"/>
      <c r="FW1024" s="323"/>
      <c r="FX1024" s="323"/>
      <c r="FY1024" s="323">
        <v>0</v>
      </c>
      <c r="FZ1024" s="323">
        <v>0</v>
      </c>
      <c r="GA1024" s="323">
        <v>0</v>
      </c>
      <c r="GB1024" s="323">
        <v>0</v>
      </c>
      <c r="GC1024" s="323">
        <v>0</v>
      </c>
      <c r="GD1024" s="323">
        <v>0</v>
      </c>
      <c r="GE1024" s="323">
        <v>0</v>
      </c>
      <c r="GF1024" s="323">
        <v>0</v>
      </c>
      <c r="GG1024" s="323">
        <v>0</v>
      </c>
      <c r="GH1024" s="323">
        <v>0</v>
      </c>
      <c r="GI1024" s="1654">
        <v>0</v>
      </c>
      <c r="GJ1024" s="1654">
        <v>0</v>
      </c>
      <c r="GK1024" s="1654">
        <v>0</v>
      </c>
      <c r="GL1024" s="1654">
        <v>0</v>
      </c>
      <c r="GM1024" s="1654">
        <v>0</v>
      </c>
      <c r="GN1024" s="1654">
        <v>0</v>
      </c>
      <c r="GO1024" s="355">
        <v>0</v>
      </c>
      <c r="GP1024" s="355">
        <v>0</v>
      </c>
      <c r="GQ1024" s="355">
        <v>0</v>
      </c>
      <c r="GR1024" s="355">
        <v>0</v>
      </c>
      <c r="GS1024" s="355">
        <v>0</v>
      </c>
      <c r="GT1024" s="355">
        <v>0</v>
      </c>
      <c r="GU1024" s="355">
        <v>0</v>
      </c>
      <c r="GV1024" s="355">
        <v>0</v>
      </c>
      <c r="GW1024" s="355">
        <v>0</v>
      </c>
      <c r="GX1024" s="355">
        <v>0</v>
      </c>
      <c r="GY1024" s="355">
        <v>0</v>
      </c>
      <c r="GZ1024" s="355">
        <v>0</v>
      </c>
      <c r="HA1024" s="355">
        <v>0</v>
      </c>
      <c r="HB1024" s="355">
        <v>0</v>
      </c>
      <c r="HC1024" s="355">
        <v>0</v>
      </c>
      <c r="HD1024" s="355">
        <v>0</v>
      </c>
      <c r="HE1024" s="355">
        <v>0</v>
      </c>
      <c r="HF1024" s="355">
        <v>0</v>
      </c>
      <c r="HG1024" s="355">
        <v>0</v>
      </c>
      <c r="HH1024" s="355">
        <v>0</v>
      </c>
      <c r="HI1024" s="355">
        <v>0</v>
      </c>
      <c r="HJ1024" s="355">
        <v>0</v>
      </c>
      <c r="HK1024" s="355">
        <v>0</v>
      </c>
      <c r="HL1024" s="355">
        <v>0</v>
      </c>
      <c r="HM1024" s="355">
        <v>0</v>
      </c>
      <c r="HN1024" s="355">
        <v>0</v>
      </c>
      <c r="HO1024" s="355">
        <v>0</v>
      </c>
      <c r="HP1024" s="355">
        <v>0</v>
      </c>
      <c r="HQ1024" s="355">
        <v>0</v>
      </c>
      <c r="HR1024" s="355">
        <v>0</v>
      </c>
      <c r="HS1024" s="355">
        <v>0</v>
      </c>
      <c r="HT1024" s="355">
        <v>0</v>
      </c>
      <c r="HU1024" s="355">
        <v>0</v>
      </c>
      <c r="HV1024" s="355">
        <v>0</v>
      </c>
      <c r="HW1024" s="355">
        <v>0</v>
      </c>
      <c r="HX1024" s="355">
        <v>0</v>
      </c>
      <c r="HZ1024" s="326"/>
      <c r="IA1024" s="1456" t="s">
        <v>3274</v>
      </c>
      <c r="IB1024" s="284"/>
      <c r="ID1024" s="323"/>
      <c r="IG1024" s="323"/>
      <c r="IH1024" s="284"/>
      <c r="IJ1024" s="323"/>
      <c r="IK1024" s="327"/>
      <c r="IM1024" s="323"/>
      <c r="IP1024" s="323"/>
      <c r="IQ1024" s="327"/>
      <c r="IR1024" s="327"/>
      <c r="IS1024" s="323"/>
      <c r="IT1024" s="1405"/>
      <c r="IU1024" s="327"/>
      <c r="IV1024" s="323"/>
      <c r="IW1024" s="327"/>
      <c r="IX1024" s="327"/>
      <c r="IY1024" s="323"/>
      <c r="IZ1024" s="327">
        <f t="shared" si="2110"/>
        <v>0</v>
      </c>
      <c r="JA1024" s="327">
        <f t="shared" si="2111"/>
        <v>0</v>
      </c>
      <c r="JB1024" s="323">
        <f t="shared" si="2036"/>
        <v>0</v>
      </c>
      <c r="JC1024" s="327">
        <f t="shared" si="2112"/>
        <v>0</v>
      </c>
      <c r="JD1024" s="327">
        <f t="shared" si="2113"/>
        <v>0</v>
      </c>
      <c r="JE1024" s="323">
        <f t="shared" si="1945"/>
        <v>0</v>
      </c>
      <c r="JF1024" s="327"/>
      <c r="JG1024" s="327">
        <f t="shared" si="2134"/>
        <v>0</v>
      </c>
      <c r="JH1024" s="323">
        <f t="shared" si="2135"/>
        <v>0</v>
      </c>
      <c r="JI1024" s="327">
        <f t="shared" si="1993"/>
        <v>0</v>
      </c>
      <c r="JJ1024" s="327">
        <f t="shared" si="2035"/>
        <v>0</v>
      </c>
      <c r="JK1024" s="323">
        <f t="shared" si="2117"/>
        <v>0</v>
      </c>
      <c r="JL1024" s="327">
        <f t="shared" si="2118"/>
        <v>0</v>
      </c>
      <c r="JM1024" s="327"/>
      <c r="JN1024" s="323">
        <f>FISC!AK1349</f>
        <v>0</v>
      </c>
      <c r="JO1024" s="327"/>
      <c r="JP1024" s="327"/>
      <c r="JQ1024" s="323">
        <f>FISC!AL1349</f>
        <v>0</v>
      </c>
      <c r="JR1024" s="327"/>
      <c r="JS1024" s="327"/>
      <c r="JT1024" s="323">
        <f>FISC!AM1349</f>
        <v>0</v>
      </c>
      <c r="JU1024" s="327"/>
      <c r="JV1024" s="327"/>
      <c r="JW1024" s="323">
        <f>FISC!AN1349</f>
        <v>0</v>
      </c>
      <c r="JX1024" s="327"/>
      <c r="JY1024" s="327"/>
      <c r="JZ1024" s="323">
        <f>FISC!AO1349</f>
        <v>0</v>
      </c>
      <c r="KA1024" s="327"/>
      <c r="KB1024" s="327"/>
      <c r="KC1024" s="323">
        <f>FISC!AP1349</f>
        <v>0</v>
      </c>
      <c r="KD1024" s="327"/>
      <c r="KE1024" s="327"/>
      <c r="KF1024" s="323">
        <f>FISC!AQ1349</f>
        <v>0</v>
      </c>
      <c r="KG1024" s="327"/>
      <c r="KH1024" s="327"/>
      <c r="KI1024" s="323">
        <f>FISC!AR1349</f>
        <v>0</v>
      </c>
      <c r="KJ1024" s="327"/>
      <c r="KK1024" s="327"/>
      <c r="KL1024" s="323">
        <f>FISC!AS1349</f>
        <v>0</v>
      </c>
      <c r="KM1024" s="327"/>
      <c r="KN1024" s="327"/>
      <c r="KO1024" s="323">
        <f>FISC!AT1349</f>
        <v>0</v>
      </c>
      <c r="KU1024" s="326"/>
      <c r="KV1024" s="327"/>
    </row>
    <row r="1025" spans="1:314">
      <c r="A1025" s="279"/>
      <c r="D1025" s="1454" t="s">
        <v>3167</v>
      </c>
      <c r="E1025" s="323"/>
      <c r="F1025" s="323"/>
      <c r="G1025" s="323"/>
      <c r="H1025" s="323"/>
      <c r="I1025" s="323"/>
      <c r="J1025" s="323"/>
      <c r="K1025" s="323"/>
      <c r="L1025" s="323"/>
      <c r="M1025" s="323"/>
      <c r="N1025" s="323"/>
      <c r="O1025" s="323"/>
      <c r="P1025" s="323"/>
      <c r="Q1025" s="323"/>
      <c r="R1025" s="323"/>
      <c r="S1025" s="323"/>
      <c r="T1025" s="323"/>
      <c r="U1025" s="323"/>
      <c r="V1025" s="323"/>
      <c r="W1025" s="323"/>
      <c r="X1025" s="323"/>
      <c r="Y1025" s="323"/>
      <c r="Z1025" s="323"/>
      <c r="AA1025" s="323"/>
      <c r="AB1025" s="323"/>
      <c r="AC1025" s="323"/>
      <c r="AD1025" s="323"/>
      <c r="AE1025" s="323"/>
      <c r="AF1025" s="323"/>
      <c r="AG1025" s="323"/>
      <c r="AH1025" s="323"/>
      <c r="AI1025" s="323"/>
      <c r="AJ1025" s="323"/>
      <c r="AK1025" s="323"/>
      <c r="AL1025" s="323"/>
      <c r="AM1025" s="323"/>
      <c r="AN1025" s="323"/>
      <c r="AO1025" s="323"/>
      <c r="AP1025" s="323"/>
      <c r="AQ1025" s="323"/>
      <c r="AR1025" s="323"/>
      <c r="AS1025" s="323"/>
      <c r="AT1025" s="323"/>
      <c r="AU1025" s="323"/>
      <c r="AV1025" s="323"/>
      <c r="AW1025" s="323"/>
      <c r="AX1025" s="323"/>
      <c r="AY1025" s="323"/>
      <c r="AZ1025" s="323"/>
      <c r="BA1025" s="323"/>
      <c r="BB1025" s="323"/>
      <c r="BC1025" s="323"/>
      <c r="BD1025" s="323"/>
      <c r="BE1025" s="323"/>
      <c r="BF1025" s="323"/>
      <c r="BG1025" s="323"/>
      <c r="BH1025" s="323"/>
      <c r="BI1025" s="323"/>
      <c r="BJ1025" s="323"/>
      <c r="BK1025" s="323"/>
      <c r="BL1025" s="323"/>
      <c r="BM1025" s="323"/>
      <c r="BN1025" s="323"/>
      <c r="BO1025" s="323"/>
      <c r="BP1025" s="323"/>
      <c r="BQ1025" s="323"/>
      <c r="BR1025" s="323"/>
      <c r="BS1025" s="323"/>
      <c r="BT1025" s="323"/>
      <c r="BU1025" s="323"/>
      <c r="BV1025" s="323"/>
      <c r="BW1025" s="323"/>
      <c r="BX1025" s="323"/>
      <c r="BY1025" s="323"/>
      <c r="BZ1025" s="323"/>
      <c r="CA1025" s="323"/>
      <c r="CB1025" s="323"/>
      <c r="CC1025" s="323"/>
      <c r="CD1025" s="329"/>
      <c r="CE1025" s="323"/>
      <c r="CF1025" s="323"/>
      <c r="CG1025" s="323"/>
      <c r="CH1025" s="323"/>
      <c r="CI1025" s="323"/>
      <c r="CJ1025" s="323"/>
      <c r="CK1025" s="323"/>
      <c r="CL1025" s="323"/>
      <c r="CM1025" s="323"/>
      <c r="CN1025" s="323"/>
      <c r="CO1025" s="323"/>
      <c r="CP1025" s="325"/>
      <c r="CQ1025" s="323"/>
      <c r="CR1025" s="323"/>
      <c r="CS1025" s="323"/>
      <c r="CT1025" s="323"/>
      <c r="CU1025" s="323"/>
      <c r="CV1025" s="323"/>
      <c r="CW1025" s="323"/>
      <c r="CX1025" s="323"/>
      <c r="CY1025" s="323"/>
      <c r="CZ1025" s="323"/>
      <c r="DA1025" s="323"/>
      <c r="DB1025" s="1269"/>
      <c r="DC1025" s="323"/>
      <c r="DD1025" s="323"/>
      <c r="DE1025" s="323"/>
      <c r="DF1025" s="323"/>
      <c r="DG1025" s="323"/>
      <c r="DH1025" s="323"/>
      <c r="DI1025" s="323"/>
      <c r="DJ1025" s="323"/>
      <c r="DK1025" s="323"/>
      <c r="DL1025" s="323"/>
      <c r="DM1025" s="323"/>
      <c r="DN1025" s="325"/>
      <c r="DO1025" s="323"/>
      <c r="DP1025" s="323"/>
      <c r="DQ1025" s="323"/>
      <c r="DR1025" s="323"/>
      <c r="DS1025" s="323"/>
      <c r="DT1025" s="323"/>
      <c r="DU1025" s="323"/>
      <c r="DV1025" s="323"/>
      <c r="DW1025" s="323"/>
      <c r="DX1025" s="323"/>
      <c r="DY1025" s="323"/>
      <c r="DZ1025" s="325"/>
      <c r="EA1025" s="323"/>
      <c r="EB1025" s="323"/>
      <c r="EC1025" s="323"/>
      <c r="ED1025" s="323"/>
      <c r="EE1025" s="323"/>
      <c r="EF1025" s="323"/>
      <c r="EG1025" s="323"/>
      <c r="EH1025" s="323"/>
      <c r="EI1025" s="323"/>
      <c r="EJ1025" s="323"/>
      <c r="EK1025" s="323"/>
      <c r="EL1025" s="325"/>
      <c r="EM1025" s="323"/>
      <c r="EN1025" s="323"/>
      <c r="EO1025" s="323"/>
      <c r="EP1025" s="323"/>
      <c r="EQ1025" s="323"/>
      <c r="ER1025" s="323"/>
      <c r="ES1025" s="323"/>
      <c r="ET1025" s="323"/>
      <c r="EU1025" s="323"/>
      <c r="EV1025" s="323"/>
      <c r="EW1025" s="323"/>
      <c r="EX1025" s="325"/>
      <c r="EY1025" s="323"/>
      <c r="EZ1025" s="323"/>
      <c r="FA1025" s="323"/>
      <c r="FB1025" s="323"/>
      <c r="FC1025" s="323"/>
      <c r="FD1025" s="323"/>
      <c r="FE1025" s="323"/>
      <c r="FF1025" s="323"/>
      <c r="FG1025" s="323"/>
      <c r="FH1025" s="323"/>
      <c r="FI1025" s="323"/>
      <c r="FJ1025" s="325"/>
      <c r="FK1025" s="323"/>
      <c r="FL1025" s="323"/>
      <c r="FM1025" s="323"/>
      <c r="FN1025" s="323"/>
      <c r="FO1025" s="323"/>
      <c r="FP1025" s="323"/>
      <c r="FQ1025" s="323"/>
      <c r="FR1025" s="323"/>
      <c r="FS1025" s="323"/>
      <c r="FT1025" s="323"/>
      <c r="FU1025" s="323"/>
      <c r="FV1025" s="323"/>
      <c r="FW1025" s="323"/>
      <c r="FX1025" s="323">
        <v>339.60712002000002</v>
      </c>
      <c r="FY1025" s="323">
        <v>0</v>
      </c>
      <c r="FZ1025" s="323">
        <v>0</v>
      </c>
      <c r="GA1025" s="323">
        <v>0</v>
      </c>
      <c r="GB1025" s="323">
        <v>0</v>
      </c>
      <c r="GC1025" s="323">
        <v>0</v>
      </c>
      <c r="GD1025" s="323">
        <v>0</v>
      </c>
      <c r="GE1025" s="323">
        <v>0</v>
      </c>
      <c r="GF1025" s="323">
        <v>0</v>
      </c>
      <c r="GG1025" s="323">
        <v>0</v>
      </c>
      <c r="GH1025" s="323">
        <v>0</v>
      </c>
      <c r="GI1025" s="1654">
        <v>0</v>
      </c>
      <c r="GJ1025" s="1654">
        <v>0</v>
      </c>
      <c r="GK1025" s="1654">
        <v>0</v>
      </c>
      <c r="GL1025" s="1654">
        <v>0</v>
      </c>
      <c r="GM1025" s="1654">
        <v>0</v>
      </c>
      <c r="GN1025" s="1654">
        <v>0</v>
      </c>
      <c r="GO1025" s="1654">
        <v>0</v>
      </c>
      <c r="GP1025" s="1654">
        <v>0</v>
      </c>
      <c r="GQ1025" s="1654">
        <v>0</v>
      </c>
      <c r="GR1025" s="1654">
        <v>68.114324774020005</v>
      </c>
      <c r="GS1025" s="1654">
        <v>0</v>
      </c>
      <c r="GT1025" s="1654">
        <v>0</v>
      </c>
      <c r="GU1025" s="1654">
        <v>0</v>
      </c>
      <c r="GV1025" s="1654">
        <v>0</v>
      </c>
      <c r="GW1025" s="1654">
        <v>0</v>
      </c>
      <c r="GX1025" s="1654">
        <v>0</v>
      </c>
      <c r="GY1025" s="1654">
        <v>0</v>
      </c>
      <c r="GZ1025" s="1654">
        <v>0</v>
      </c>
      <c r="HA1025" s="1654">
        <v>0</v>
      </c>
      <c r="HB1025" s="1654">
        <v>0</v>
      </c>
      <c r="HC1025" s="1654">
        <v>0</v>
      </c>
      <c r="HD1025" s="1654">
        <v>0</v>
      </c>
      <c r="HE1025" s="1654">
        <v>0</v>
      </c>
      <c r="HF1025" s="1654">
        <v>0</v>
      </c>
      <c r="HG1025" s="1654">
        <v>0</v>
      </c>
      <c r="HH1025" s="1654">
        <v>0</v>
      </c>
      <c r="HI1025" s="1654">
        <v>0</v>
      </c>
      <c r="HJ1025" s="1654">
        <v>0</v>
      </c>
      <c r="HK1025" s="1654">
        <v>0</v>
      </c>
      <c r="HL1025" s="1654">
        <v>0</v>
      </c>
      <c r="HM1025" s="1654">
        <v>0</v>
      </c>
      <c r="HN1025" s="1654">
        <v>0</v>
      </c>
      <c r="HO1025" s="1654">
        <v>0</v>
      </c>
      <c r="HP1025" s="1654">
        <v>0</v>
      </c>
      <c r="HQ1025" s="1654">
        <v>0</v>
      </c>
      <c r="HR1025" s="1654">
        <v>0</v>
      </c>
      <c r="HS1025" s="1654">
        <v>0</v>
      </c>
      <c r="HT1025" s="1654">
        <v>0</v>
      </c>
      <c r="HU1025" s="1654">
        <v>0</v>
      </c>
      <c r="HV1025" s="1654">
        <v>0</v>
      </c>
      <c r="HW1025" s="1654">
        <v>0</v>
      </c>
      <c r="HX1025" s="1654">
        <v>0</v>
      </c>
      <c r="HY1025" s="1654"/>
      <c r="HZ1025" s="326"/>
      <c r="IA1025" s="1454" t="s">
        <v>3167</v>
      </c>
      <c r="IB1025" s="284"/>
      <c r="ID1025" s="323"/>
      <c r="IG1025" s="323"/>
      <c r="IH1025" s="284"/>
      <c r="IJ1025" s="323"/>
      <c r="IK1025" s="327"/>
      <c r="IM1025" s="323"/>
      <c r="IP1025" s="323"/>
      <c r="IQ1025" s="327"/>
      <c r="IR1025" s="327"/>
      <c r="IS1025" s="323"/>
      <c r="IT1025" s="1405"/>
      <c r="IU1025" s="327"/>
      <c r="IV1025" s="323">
        <f>IT1025+IU1025</f>
        <v>0</v>
      </c>
      <c r="IW1025" s="327">
        <f>SUM(FK1025:FP1025)</f>
        <v>0</v>
      </c>
      <c r="IX1025" s="327">
        <f t="shared" ref="IX1025:IX1032" si="2136">SUM(FQ1025:FV1025)</f>
        <v>0</v>
      </c>
      <c r="IY1025" s="323">
        <f t="shared" si="2005"/>
        <v>0</v>
      </c>
      <c r="IZ1025" s="327">
        <f t="shared" si="2110"/>
        <v>339.60712002000002</v>
      </c>
      <c r="JA1025" s="327">
        <f t="shared" si="2111"/>
        <v>0</v>
      </c>
      <c r="JB1025" s="323">
        <f t="shared" si="2036"/>
        <v>339.60712002000002</v>
      </c>
      <c r="JC1025" s="327">
        <f t="shared" si="2112"/>
        <v>0</v>
      </c>
      <c r="JD1025" s="327">
        <f t="shared" si="2113"/>
        <v>68.114324774020005</v>
      </c>
      <c r="JE1025" s="323">
        <f t="shared" ref="JE1025:JE1038" si="2137">JC1025+JD1025</f>
        <v>68.114324774020005</v>
      </c>
      <c r="JF1025" s="327">
        <v>0</v>
      </c>
      <c r="JG1025" s="327">
        <f t="shared" si="2134"/>
        <v>0</v>
      </c>
      <c r="JH1025" s="323">
        <f t="shared" si="2135"/>
        <v>0</v>
      </c>
      <c r="JI1025" s="327">
        <f t="shared" si="1993"/>
        <v>0</v>
      </c>
      <c r="JJ1025" s="327">
        <f t="shared" si="2035"/>
        <v>0</v>
      </c>
      <c r="JK1025" s="323">
        <f t="shared" si="2117"/>
        <v>0</v>
      </c>
      <c r="JL1025" s="327">
        <f t="shared" si="2118"/>
        <v>0</v>
      </c>
      <c r="JM1025" s="327">
        <v>0</v>
      </c>
      <c r="JN1025" s="323">
        <f>FISC!AK1350</f>
        <v>0</v>
      </c>
      <c r="JO1025" s="327">
        <v>0</v>
      </c>
      <c r="JP1025" s="327">
        <v>0</v>
      </c>
      <c r="JQ1025" s="323">
        <f>FISC!AL1350</f>
        <v>0</v>
      </c>
      <c r="JR1025" s="327">
        <v>0</v>
      </c>
      <c r="JS1025" s="327">
        <v>0</v>
      </c>
      <c r="JT1025" s="323">
        <f>FISC!AM1350</f>
        <v>0</v>
      </c>
      <c r="JU1025" s="327">
        <v>0</v>
      </c>
      <c r="JV1025" s="327">
        <v>0</v>
      </c>
      <c r="JW1025" s="323">
        <f>FISC!AN1350</f>
        <v>0</v>
      </c>
      <c r="JX1025" s="327">
        <v>0</v>
      </c>
      <c r="JY1025" s="327">
        <v>0</v>
      </c>
      <c r="JZ1025" s="323">
        <f>FISC!AO1350</f>
        <v>0</v>
      </c>
      <c r="KA1025" s="327">
        <v>0</v>
      </c>
      <c r="KB1025" s="327">
        <v>0</v>
      </c>
      <c r="KC1025" s="323">
        <f>FISC!AP1350</f>
        <v>0</v>
      </c>
      <c r="KD1025" s="327">
        <v>0</v>
      </c>
      <c r="KE1025" s="327">
        <v>0</v>
      </c>
      <c r="KF1025" s="323">
        <f>FISC!AQ1350</f>
        <v>0</v>
      </c>
      <c r="KG1025" s="327">
        <v>0</v>
      </c>
      <c r="KH1025" s="327">
        <v>0</v>
      </c>
      <c r="KI1025" s="323">
        <f>FISC!AR1350</f>
        <v>0</v>
      </c>
      <c r="KJ1025" s="327">
        <v>0</v>
      </c>
      <c r="KK1025" s="327">
        <v>0</v>
      </c>
      <c r="KL1025" s="323">
        <f>FISC!AS1350</f>
        <v>0</v>
      </c>
      <c r="KM1025" s="327">
        <v>0</v>
      </c>
      <c r="KN1025" s="327">
        <v>0</v>
      </c>
      <c r="KO1025" s="323">
        <f>FISC!AT1350</f>
        <v>0</v>
      </c>
      <c r="KU1025" s="326"/>
      <c r="KV1025" s="327"/>
    </row>
    <row r="1026" spans="1:314">
      <c r="A1026" s="279"/>
      <c r="D1026" s="1456" t="s">
        <v>3170</v>
      </c>
      <c r="E1026" s="323"/>
      <c r="F1026" s="323"/>
      <c r="G1026" s="323"/>
      <c r="H1026" s="323"/>
      <c r="I1026" s="323"/>
      <c r="J1026" s="323"/>
      <c r="K1026" s="323"/>
      <c r="L1026" s="323"/>
      <c r="M1026" s="323"/>
      <c r="N1026" s="323"/>
      <c r="O1026" s="323"/>
      <c r="P1026" s="323"/>
      <c r="Q1026" s="323"/>
      <c r="R1026" s="323"/>
      <c r="S1026" s="323"/>
      <c r="T1026" s="323"/>
      <c r="U1026" s="323"/>
      <c r="V1026" s="323"/>
      <c r="W1026" s="323"/>
      <c r="X1026" s="323"/>
      <c r="Y1026" s="323"/>
      <c r="Z1026" s="323"/>
      <c r="AA1026" s="323"/>
      <c r="AB1026" s="323"/>
      <c r="AC1026" s="323"/>
      <c r="AD1026" s="323"/>
      <c r="AE1026" s="323"/>
      <c r="AF1026" s="323"/>
      <c r="AG1026" s="323"/>
      <c r="AH1026" s="323"/>
      <c r="AI1026" s="323"/>
      <c r="AJ1026" s="323"/>
      <c r="AK1026" s="323"/>
      <c r="AL1026" s="323"/>
      <c r="AM1026" s="323"/>
      <c r="AN1026" s="323"/>
      <c r="AO1026" s="323"/>
      <c r="AP1026" s="323"/>
      <c r="AQ1026" s="323"/>
      <c r="AR1026" s="323"/>
      <c r="AS1026" s="323"/>
      <c r="AT1026" s="323"/>
      <c r="AU1026" s="323"/>
      <c r="AV1026" s="323"/>
      <c r="AW1026" s="323"/>
      <c r="AX1026" s="323"/>
      <c r="AY1026" s="323"/>
      <c r="AZ1026" s="323"/>
      <c r="BA1026" s="323"/>
      <c r="BB1026" s="323"/>
      <c r="BC1026" s="323"/>
      <c r="BD1026" s="323"/>
      <c r="BE1026" s="323"/>
      <c r="BF1026" s="323"/>
      <c r="BG1026" s="323"/>
      <c r="BH1026" s="323"/>
      <c r="BI1026" s="323"/>
      <c r="BJ1026" s="323"/>
      <c r="BK1026" s="323"/>
      <c r="BL1026" s="323"/>
      <c r="BM1026" s="323"/>
      <c r="BN1026" s="323"/>
      <c r="BO1026" s="323"/>
      <c r="BP1026" s="323"/>
      <c r="BQ1026" s="323"/>
      <c r="BR1026" s="323"/>
      <c r="BS1026" s="323"/>
      <c r="BT1026" s="323"/>
      <c r="BU1026" s="323"/>
      <c r="BV1026" s="323"/>
      <c r="BW1026" s="323"/>
      <c r="BX1026" s="323"/>
      <c r="BY1026" s="323"/>
      <c r="BZ1026" s="323"/>
      <c r="CA1026" s="323"/>
      <c r="CB1026" s="323"/>
      <c r="CC1026" s="323"/>
      <c r="CD1026" s="329"/>
      <c r="CE1026" s="323"/>
      <c r="CF1026" s="323"/>
      <c r="CG1026" s="323"/>
      <c r="CH1026" s="323"/>
      <c r="CI1026" s="323"/>
      <c r="CJ1026" s="323"/>
      <c r="CK1026" s="323"/>
      <c r="CL1026" s="323"/>
      <c r="CM1026" s="323"/>
      <c r="CN1026" s="323"/>
      <c r="CO1026" s="323"/>
      <c r="CP1026" s="325"/>
      <c r="CQ1026" s="323"/>
      <c r="CR1026" s="323"/>
      <c r="CS1026" s="323"/>
      <c r="CT1026" s="323"/>
      <c r="CU1026" s="323"/>
      <c r="CV1026" s="323"/>
      <c r="CW1026" s="323"/>
      <c r="CX1026" s="323"/>
      <c r="CY1026" s="323"/>
      <c r="CZ1026" s="323"/>
      <c r="DA1026" s="323"/>
      <c r="DB1026" s="1269"/>
      <c r="DC1026" s="323"/>
      <c r="DD1026" s="323"/>
      <c r="DE1026" s="323"/>
      <c r="DF1026" s="323"/>
      <c r="DG1026" s="323"/>
      <c r="DH1026" s="323"/>
      <c r="DI1026" s="323"/>
      <c r="DJ1026" s="323"/>
      <c r="DK1026" s="323"/>
      <c r="DL1026" s="323"/>
      <c r="DM1026" s="323"/>
      <c r="DN1026" s="325"/>
      <c r="DO1026" s="323"/>
      <c r="DP1026" s="323"/>
      <c r="DQ1026" s="323"/>
      <c r="DR1026" s="323"/>
      <c r="DS1026" s="323"/>
      <c r="DT1026" s="323"/>
      <c r="DU1026" s="323"/>
      <c r="DV1026" s="323"/>
      <c r="DW1026" s="323"/>
      <c r="DX1026" s="323"/>
      <c r="DY1026" s="323"/>
      <c r="DZ1026" s="325"/>
      <c r="EA1026" s="323"/>
      <c r="EB1026" s="323"/>
      <c r="EC1026" s="323"/>
      <c r="ED1026" s="323"/>
      <c r="EE1026" s="323"/>
      <c r="EF1026" s="323"/>
      <c r="EG1026" s="323"/>
      <c r="EH1026" s="323"/>
      <c r="EI1026" s="323"/>
      <c r="EJ1026" s="323"/>
      <c r="EK1026" s="323"/>
      <c r="EL1026" s="325"/>
      <c r="EM1026" s="323"/>
      <c r="EN1026" s="323"/>
      <c r="EO1026" s="323"/>
      <c r="EP1026" s="323"/>
      <c r="EQ1026" s="323"/>
      <c r="ER1026" s="323"/>
      <c r="ES1026" s="323"/>
      <c r="ET1026" s="323"/>
      <c r="EU1026" s="323"/>
      <c r="EV1026" s="323"/>
      <c r="EW1026" s="323"/>
      <c r="EX1026" s="325"/>
      <c r="EY1026" s="323"/>
      <c r="EZ1026" s="323"/>
      <c r="FA1026" s="323"/>
      <c r="FB1026" s="323"/>
      <c r="FC1026" s="323"/>
      <c r="FD1026" s="323"/>
      <c r="FE1026" s="323"/>
      <c r="FF1026" s="323"/>
      <c r="FG1026" s="323"/>
      <c r="FH1026" s="323"/>
      <c r="FI1026" s="323"/>
      <c r="FJ1026" s="325"/>
      <c r="FK1026" s="323"/>
      <c r="FL1026" s="323"/>
      <c r="FM1026" s="323"/>
      <c r="FN1026" s="323"/>
      <c r="FO1026" s="323"/>
      <c r="FP1026" s="323"/>
      <c r="FQ1026" s="323"/>
      <c r="FR1026" s="323"/>
      <c r="FS1026" s="323"/>
      <c r="FT1026" s="323"/>
      <c r="FU1026" s="323"/>
      <c r="FV1026" s="323"/>
      <c r="FW1026" s="323"/>
      <c r="FX1026" s="323">
        <v>339.60712002000002</v>
      </c>
      <c r="FY1026" s="323">
        <v>0</v>
      </c>
      <c r="FZ1026" s="323">
        <v>0</v>
      </c>
      <c r="GA1026" s="323">
        <v>0</v>
      </c>
      <c r="GB1026" s="323">
        <v>0</v>
      </c>
      <c r="GC1026" s="323">
        <v>0</v>
      </c>
      <c r="GD1026" s="323">
        <v>0</v>
      </c>
      <c r="GE1026" s="323">
        <v>0</v>
      </c>
      <c r="GF1026" s="323">
        <v>0</v>
      </c>
      <c r="GG1026" s="323">
        <v>0</v>
      </c>
      <c r="GH1026" s="323">
        <v>0</v>
      </c>
      <c r="GI1026" s="1654">
        <v>0</v>
      </c>
      <c r="GJ1026" s="1654">
        <v>0</v>
      </c>
      <c r="GK1026" s="1654">
        <v>0</v>
      </c>
      <c r="GL1026" s="1654">
        <v>0</v>
      </c>
      <c r="GM1026" s="1654">
        <v>0</v>
      </c>
      <c r="GN1026" s="1654">
        <v>0</v>
      </c>
      <c r="GO1026" s="1654">
        <v>0</v>
      </c>
      <c r="GP1026" s="1654">
        <v>0</v>
      </c>
      <c r="GQ1026" s="1654">
        <v>0</v>
      </c>
      <c r="GR1026" s="1654">
        <v>68.114324774020005</v>
      </c>
      <c r="GS1026" s="1654">
        <v>0</v>
      </c>
      <c r="GT1026" s="1654">
        <v>0</v>
      </c>
      <c r="GU1026" s="1654">
        <v>0</v>
      </c>
      <c r="GV1026" s="1654">
        <v>0</v>
      </c>
      <c r="GW1026" s="1654">
        <v>0</v>
      </c>
      <c r="GX1026" s="1654">
        <v>0</v>
      </c>
      <c r="GY1026" s="1654">
        <v>0</v>
      </c>
      <c r="GZ1026" s="1654">
        <v>0</v>
      </c>
      <c r="HA1026" s="1654">
        <v>0</v>
      </c>
      <c r="HB1026" s="1654">
        <v>0</v>
      </c>
      <c r="HC1026" s="1654">
        <v>0</v>
      </c>
      <c r="HD1026" s="1654">
        <v>0</v>
      </c>
      <c r="HE1026" s="1654">
        <v>0</v>
      </c>
      <c r="HF1026" s="1654">
        <v>0</v>
      </c>
      <c r="HG1026" s="1654">
        <v>0</v>
      </c>
      <c r="HH1026" s="1654">
        <v>0</v>
      </c>
      <c r="HI1026" s="1654">
        <v>0</v>
      </c>
      <c r="HJ1026" s="1654">
        <v>0</v>
      </c>
      <c r="HK1026" s="1654">
        <v>0</v>
      </c>
      <c r="HL1026" s="1654">
        <v>0</v>
      </c>
      <c r="HM1026" s="1654">
        <v>0</v>
      </c>
      <c r="HN1026" s="1654">
        <v>0</v>
      </c>
      <c r="HO1026" s="1654">
        <v>0</v>
      </c>
      <c r="HP1026" s="1654">
        <v>0</v>
      </c>
      <c r="HQ1026" s="1654">
        <v>0</v>
      </c>
      <c r="HR1026" s="1654">
        <v>0</v>
      </c>
      <c r="HS1026" s="1654">
        <v>0</v>
      </c>
      <c r="HT1026" s="1654">
        <v>0</v>
      </c>
      <c r="HU1026" s="1654">
        <v>0</v>
      </c>
      <c r="HV1026" s="1654">
        <v>0</v>
      </c>
      <c r="HW1026" s="1654">
        <v>0</v>
      </c>
      <c r="HX1026" s="1654">
        <v>0</v>
      </c>
      <c r="HY1026" s="1654"/>
      <c r="HZ1026" s="326"/>
      <c r="IA1026" s="1456" t="s">
        <v>3170</v>
      </c>
      <c r="IB1026" s="284"/>
      <c r="ID1026" s="323"/>
      <c r="IG1026" s="323"/>
      <c r="IH1026" s="284"/>
      <c r="IJ1026" s="323"/>
      <c r="IK1026" s="327"/>
      <c r="IM1026" s="323"/>
      <c r="IP1026" s="323"/>
      <c r="IQ1026" s="327"/>
      <c r="IR1026" s="327"/>
      <c r="IS1026" s="323"/>
      <c r="IT1026" s="1405"/>
      <c r="IU1026" s="327"/>
      <c r="IV1026" s="323">
        <f>IT1026+IU1026</f>
        <v>0</v>
      </c>
      <c r="IW1026" s="327">
        <f>SUM(FK1026:FP1026)</f>
        <v>0</v>
      </c>
      <c r="IX1026" s="327">
        <f t="shared" si="2136"/>
        <v>0</v>
      </c>
      <c r="IY1026" s="323">
        <f t="shared" si="2005"/>
        <v>0</v>
      </c>
      <c r="IZ1026" s="327">
        <f t="shared" si="2110"/>
        <v>339.60712002000002</v>
      </c>
      <c r="JA1026" s="327">
        <f t="shared" si="2111"/>
        <v>0</v>
      </c>
      <c r="JB1026" s="323">
        <f t="shared" si="2036"/>
        <v>339.60712002000002</v>
      </c>
      <c r="JC1026" s="327">
        <f t="shared" si="2112"/>
        <v>0</v>
      </c>
      <c r="JD1026" s="327">
        <f t="shared" si="2113"/>
        <v>68.114324774020005</v>
      </c>
      <c r="JE1026" s="323">
        <f t="shared" si="2137"/>
        <v>68.114324774020005</v>
      </c>
      <c r="JF1026" s="327">
        <v>0</v>
      </c>
      <c r="JG1026" s="327">
        <f t="shared" si="2134"/>
        <v>0</v>
      </c>
      <c r="JH1026" s="323">
        <f t="shared" si="2135"/>
        <v>0</v>
      </c>
      <c r="JI1026" s="327">
        <f t="shared" si="1993"/>
        <v>0</v>
      </c>
      <c r="JJ1026" s="327">
        <f t="shared" si="2035"/>
        <v>0</v>
      </c>
      <c r="JK1026" s="323">
        <f t="shared" si="2117"/>
        <v>0</v>
      </c>
      <c r="JL1026" s="327">
        <f t="shared" si="2118"/>
        <v>0</v>
      </c>
      <c r="JM1026" s="327">
        <v>0</v>
      </c>
      <c r="JN1026" s="323">
        <f>FISC!AK1351</f>
        <v>0</v>
      </c>
      <c r="JO1026" s="327">
        <v>0</v>
      </c>
      <c r="JP1026" s="327">
        <v>0</v>
      </c>
      <c r="JQ1026" s="323">
        <f>FISC!AL1351</f>
        <v>0</v>
      </c>
      <c r="JR1026" s="327">
        <v>0</v>
      </c>
      <c r="JS1026" s="327">
        <v>0</v>
      </c>
      <c r="JT1026" s="323">
        <f>FISC!AM1351</f>
        <v>0</v>
      </c>
      <c r="JU1026" s="327">
        <v>0</v>
      </c>
      <c r="JV1026" s="327">
        <v>0</v>
      </c>
      <c r="JW1026" s="323">
        <f>FISC!AN1351</f>
        <v>0</v>
      </c>
      <c r="JX1026" s="327">
        <v>0</v>
      </c>
      <c r="JY1026" s="327">
        <v>0</v>
      </c>
      <c r="JZ1026" s="323">
        <f>FISC!AO1351</f>
        <v>0</v>
      </c>
      <c r="KA1026" s="327">
        <v>0</v>
      </c>
      <c r="KB1026" s="327">
        <v>0</v>
      </c>
      <c r="KC1026" s="323">
        <f>FISC!AP1351</f>
        <v>0</v>
      </c>
      <c r="KD1026" s="327">
        <v>0</v>
      </c>
      <c r="KE1026" s="327">
        <v>0</v>
      </c>
      <c r="KF1026" s="323">
        <f>FISC!AQ1351</f>
        <v>0</v>
      </c>
      <c r="KG1026" s="327">
        <v>0</v>
      </c>
      <c r="KH1026" s="327">
        <v>0</v>
      </c>
      <c r="KI1026" s="323">
        <f>FISC!AR1351</f>
        <v>0</v>
      </c>
      <c r="KJ1026" s="327">
        <v>0</v>
      </c>
      <c r="KK1026" s="327">
        <v>0</v>
      </c>
      <c r="KL1026" s="323">
        <f>FISC!AS1351</f>
        <v>0</v>
      </c>
      <c r="KM1026" s="327">
        <v>0</v>
      </c>
      <c r="KN1026" s="327">
        <v>0</v>
      </c>
      <c r="KO1026" s="323">
        <f>FISC!AT1351</f>
        <v>0</v>
      </c>
      <c r="KU1026" s="326"/>
      <c r="KV1026" s="327"/>
    </row>
    <row r="1027" spans="1:314">
      <c r="A1027" s="279"/>
      <c r="B1027" s="96" t="s">
        <v>338</v>
      </c>
      <c r="D1027" s="334" t="s">
        <v>568</v>
      </c>
      <c r="E1027" s="323">
        <f t="shared" ref="E1027:BP1027" si="2138">+E1028-E1038</f>
        <v>0</v>
      </c>
      <c r="F1027" s="323">
        <f t="shared" si="2138"/>
        <v>0</v>
      </c>
      <c r="G1027" s="323">
        <f t="shared" si="2138"/>
        <v>0</v>
      </c>
      <c r="H1027" s="323">
        <f t="shared" si="2138"/>
        <v>0</v>
      </c>
      <c r="I1027" s="323">
        <f t="shared" si="2138"/>
        <v>0</v>
      </c>
      <c r="J1027" s="323">
        <f t="shared" si="2138"/>
        <v>0</v>
      </c>
      <c r="K1027" s="323">
        <f t="shared" si="2138"/>
        <v>0</v>
      </c>
      <c r="L1027" s="323">
        <f t="shared" si="2138"/>
        <v>0</v>
      </c>
      <c r="M1027" s="323">
        <f t="shared" si="2138"/>
        <v>0</v>
      </c>
      <c r="N1027" s="323">
        <f t="shared" si="2138"/>
        <v>0</v>
      </c>
      <c r="O1027" s="323">
        <f t="shared" si="2138"/>
        <v>0</v>
      </c>
      <c r="P1027" s="323">
        <f t="shared" si="2138"/>
        <v>0</v>
      </c>
      <c r="Q1027" s="323">
        <f t="shared" si="2138"/>
        <v>0</v>
      </c>
      <c r="R1027" s="323">
        <f t="shared" si="2138"/>
        <v>0</v>
      </c>
      <c r="S1027" s="323">
        <f t="shared" si="2138"/>
        <v>0</v>
      </c>
      <c r="T1027" s="323">
        <f t="shared" si="2138"/>
        <v>0</v>
      </c>
      <c r="U1027" s="323">
        <f t="shared" si="2138"/>
        <v>0</v>
      </c>
      <c r="V1027" s="323">
        <f t="shared" si="2138"/>
        <v>0</v>
      </c>
      <c r="W1027" s="323">
        <f t="shared" si="2138"/>
        <v>0</v>
      </c>
      <c r="X1027" s="323">
        <f t="shared" si="2138"/>
        <v>0</v>
      </c>
      <c r="Y1027" s="323">
        <f t="shared" si="2138"/>
        <v>0</v>
      </c>
      <c r="Z1027" s="323">
        <f t="shared" si="2138"/>
        <v>0</v>
      </c>
      <c r="AA1027" s="323">
        <f t="shared" si="2138"/>
        <v>0</v>
      </c>
      <c r="AB1027" s="323">
        <f t="shared" si="2138"/>
        <v>0</v>
      </c>
      <c r="AC1027" s="323">
        <f t="shared" si="2138"/>
        <v>0</v>
      </c>
      <c r="AD1027" s="323">
        <f t="shared" si="2138"/>
        <v>0</v>
      </c>
      <c r="AE1027" s="323">
        <f t="shared" si="2138"/>
        <v>0</v>
      </c>
      <c r="AF1027" s="323">
        <f t="shared" si="2138"/>
        <v>0</v>
      </c>
      <c r="AG1027" s="323">
        <f t="shared" si="2138"/>
        <v>0</v>
      </c>
      <c r="AH1027" s="323">
        <f t="shared" si="2138"/>
        <v>0</v>
      </c>
      <c r="AI1027" s="323">
        <f t="shared" si="2138"/>
        <v>0</v>
      </c>
      <c r="AJ1027" s="323">
        <f t="shared" si="2138"/>
        <v>0</v>
      </c>
      <c r="AK1027" s="323">
        <f t="shared" si="2138"/>
        <v>0</v>
      </c>
      <c r="AL1027" s="323">
        <f t="shared" si="2138"/>
        <v>0</v>
      </c>
      <c r="AM1027" s="323">
        <f t="shared" si="2138"/>
        <v>0</v>
      </c>
      <c r="AN1027" s="323">
        <f t="shared" si="2138"/>
        <v>0</v>
      </c>
      <c r="AO1027" s="323">
        <f t="shared" si="2138"/>
        <v>0</v>
      </c>
      <c r="AP1027" s="323">
        <f t="shared" si="2138"/>
        <v>0</v>
      </c>
      <c r="AQ1027" s="323">
        <f t="shared" si="2138"/>
        <v>0</v>
      </c>
      <c r="AR1027" s="323">
        <f t="shared" si="2138"/>
        <v>0</v>
      </c>
      <c r="AS1027" s="323">
        <f t="shared" si="2138"/>
        <v>0</v>
      </c>
      <c r="AT1027" s="323">
        <f t="shared" si="2138"/>
        <v>0</v>
      </c>
      <c r="AU1027" s="323">
        <f t="shared" si="2138"/>
        <v>0</v>
      </c>
      <c r="AV1027" s="323">
        <f t="shared" si="2138"/>
        <v>0</v>
      </c>
      <c r="AW1027" s="323">
        <f t="shared" si="2138"/>
        <v>0</v>
      </c>
      <c r="AX1027" s="323">
        <f t="shared" si="2138"/>
        <v>0</v>
      </c>
      <c r="AY1027" s="323">
        <f t="shared" si="2138"/>
        <v>0</v>
      </c>
      <c r="AZ1027" s="323">
        <f t="shared" si="2138"/>
        <v>0</v>
      </c>
      <c r="BA1027" s="323">
        <f t="shared" si="2138"/>
        <v>0</v>
      </c>
      <c r="BB1027" s="323">
        <f t="shared" si="2138"/>
        <v>0</v>
      </c>
      <c r="BC1027" s="323">
        <f t="shared" si="2138"/>
        <v>0</v>
      </c>
      <c r="BD1027" s="323">
        <f t="shared" si="2138"/>
        <v>0</v>
      </c>
      <c r="BE1027" s="323">
        <f t="shared" si="2138"/>
        <v>0</v>
      </c>
      <c r="BF1027" s="323">
        <f t="shared" si="2138"/>
        <v>0</v>
      </c>
      <c r="BG1027" s="323">
        <f t="shared" si="2138"/>
        <v>0</v>
      </c>
      <c r="BH1027" s="323">
        <f t="shared" si="2138"/>
        <v>0</v>
      </c>
      <c r="BI1027" s="323">
        <f t="shared" si="2138"/>
        <v>0</v>
      </c>
      <c r="BJ1027" s="323">
        <f t="shared" si="2138"/>
        <v>0</v>
      </c>
      <c r="BK1027" s="323">
        <f t="shared" si="2138"/>
        <v>0</v>
      </c>
      <c r="BL1027" s="323">
        <f t="shared" si="2138"/>
        <v>0</v>
      </c>
      <c r="BM1027" s="323">
        <f t="shared" si="2138"/>
        <v>0</v>
      </c>
      <c r="BN1027" s="323">
        <f t="shared" si="2138"/>
        <v>0</v>
      </c>
      <c r="BO1027" s="323">
        <f t="shared" si="2138"/>
        <v>0</v>
      </c>
      <c r="BP1027" s="323">
        <f t="shared" si="2138"/>
        <v>0</v>
      </c>
      <c r="BQ1027" s="323">
        <f t="shared" ref="BQ1027:EB1027" si="2139">+BQ1028-BQ1038</f>
        <v>0</v>
      </c>
      <c r="BR1027" s="323">
        <f t="shared" si="2139"/>
        <v>0</v>
      </c>
      <c r="BS1027" s="323">
        <f t="shared" si="2139"/>
        <v>0</v>
      </c>
      <c r="BT1027" s="323">
        <f t="shared" si="2139"/>
        <v>0</v>
      </c>
      <c r="BU1027" s="323">
        <f t="shared" si="2139"/>
        <v>0</v>
      </c>
      <c r="BV1027" s="323">
        <f t="shared" si="2139"/>
        <v>0</v>
      </c>
      <c r="BW1027" s="323">
        <f t="shared" si="2139"/>
        <v>0</v>
      </c>
      <c r="BX1027" s="323">
        <f t="shared" si="2139"/>
        <v>0</v>
      </c>
      <c r="BY1027" s="323">
        <f t="shared" si="2139"/>
        <v>0</v>
      </c>
      <c r="BZ1027" s="323">
        <f t="shared" si="2139"/>
        <v>0</v>
      </c>
      <c r="CA1027" s="323">
        <f t="shared" si="2139"/>
        <v>0</v>
      </c>
      <c r="CB1027" s="323">
        <f t="shared" si="2139"/>
        <v>0</v>
      </c>
      <c r="CC1027" s="323">
        <f t="shared" si="2139"/>
        <v>0</v>
      </c>
      <c r="CD1027" s="329">
        <f t="shared" si="2139"/>
        <v>0</v>
      </c>
      <c r="CE1027" s="323">
        <f t="shared" si="2139"/>
        <v>6.0648673378900142</v>
      </c>
      <c r="CF1027" s="323">
        <f t="shared" si="2139"/>
        <v>3.794319855105091</v>
      </c>
      <c r="CG1027" s="323">
        <f t="shared" si="2139"/>
        <v>3.4143455195842343</v>
      </c>
      <c r="CH1027" s="323">
        <f t="shared" si="2139"/>
        <v>4.8064493127320151</v>
      </c>
      <c r="CI1027" s="323">
        <f t="shared" si="2139"/>
        <v>2.9333864288658735</v>
      </c>
      <c r="CJ1027" s="323">
        <f t="shared" si="2139"/>
        <v>6.0664323475203199</v>
      </c>
      <c r="CK1027" s="323">
        <f t="shared" si="2139"/>
        <v>10.549743380728982</v>
      </c>
      <c r="CL1027" s="323">
        <f t="shared" si="2139"/>
        <v>1.6094141646601652</v>
      </c>
      <c r="CM1027" s="323">
        <f t="shared" si="2139"/>
        <v>2.0088474897454565</v>
      </c>
      <c r="CN1027" s="323">
        <f t="shared" si="2139"/>
        <v>1.2718415560240699</v>
      </c>
      <c r="CO1027" s="323">
        <f t="shared" si="2139"/>
        <v>38.105353750626847</v>
      </c>
      <c r="CP1027" s="325">
        <f t="shared" si="2139"/>
        <v>24.531914229255314</v>
      </c>
      <c r="CQ1027" s="323">
        <f t="shared" si="2139"/>
        <v>4.9420193008418858</v>
      </c>
      <c r="CR1027" s="323">
        <f t="shared" si="2139"/>
        <v>3.8308939451566677</v>
      </c>
      <c r="CS1027" s="323">
        <f t="shared" si="2139"/>
        <v>12.00286724258406</v>
      </c>
      <c r="CT1027" s="323">
        <f t="shared" si="2139"/>
        <v>5.1893339261600904</v>
      </c>
      <c r="CU1027" s="323">
        <f t="shared" si="2139"/>
        <v>10.46585883733734</v>
      </c>
      <c r="CV1027" s="323">
        <f t="shared" si="2139"/>
        <v>67.021078465884145</v>
      </c>
      <c r="CW1027" s="323">
        <f t="shared" si="2139"/>
        <v>7.8762359651259253</v>
      </c>
      <c r="CX1027" s="323">
        <f t="shared" si="2139"/>
        <v>3.5485909032750431</v>
      </c>
      <c r="CY1027" s="323">
        <f t="shared" si="2139"/>
        <v>8.6557670022827384</v>
      </c>
      <c r="CZ1027" s="323">
        <f t="shared" si="2139"/>
        <v>48.213086059450021</v>
      </c>
      <c r="DA1027" s="323">
        <f t="shared" si="2139"/>
        <v>4.8957815003413128</v>
      </c>
      <c r="DB1027" s="1269">
        <f t="shared" si="2139"/>
        <v>11.545065657792968</v>
      </c>
      <c r="DC1027" s="323">
        <f t="shared" si="2139"/>
        <v>-0.32746269399886818</v>
      </c>
      <c r="DD1027" s="323">
        <f t="shared" si="2139"/>
        <v>3.5305284776444301</v>
      </c>
      <c r="DE1027" s="323">
        <f t="shared" si="2139"/>
        <v>55.40402819682587</v>
      </c>
      <c r="DF1027" s="323">
        <f t="shared" si="2139"/>
        <v>13.837937548729254</v>
      </c>
      <c r="DG1027" s="323">
        <f t="shared" si="2139"/>
        <v>4.0517228288185114</v>
      </c>
      <c r="DH1027" s="323">
        <f t="shared" si="2139"/>
        <v>90.018144492537417</v>
      </c>
      <c r="DI1027" s="323">
        <f t="shared" si="2139"/>
        <v>5.8757694289489741</v>
      </c>
      <c r="DJ1027" s="323">
        <f t="shared" si="2139"/>
        <v>21.472344372958734</v>
      </c>
      <c r="DK1027" s="323">
        <f t="shared" si="2139"/>
        <v>11.427946944314153</v>
      </c>
      <c r="DL1027" s="323">
        <f t="shared" si="2139"/>
        <v>10.494451571476269</v>
      </c>
      <c r="DM1027" s="323">
        <f t="shared" si="2139"/>
        <v>4.9315520607593966</v>
      </c>
      <c r="DN1027" s="325">
        <f t="shared" si="2139"/>
        <v>3.691164430675272</v>
      </c>
      <c r="DO1027" s="323">
        <f t="shared" si="2139"/>
        <v>2.4828976559227027</v>
      </c>
      <c r="DP1027" s="323">
        <f t="shared" si="2139"/>
        <v>8.2479295940122039</v>
      </c>
      <c r="DQ1027" s="323">
        <f t="shared" si="2139"/>
        <v>34.80290039343646</v>
      </c>
      <c r="DR1027" s="323">
        <f t="shared" si="2139"/>
        <v>68.234891521118072</v>
      </c>
      <c r="DS1027" s="323">
        <f t="shared" si="2139"/>
        <v>9.7368212350321457</v>
      </c>
      <c r="DT1027" s="323">
        <f t="shared" si="2139"/>
        <v>93.306756981791452</v>
      </c>
      <c r="DU1027" s="323">
        <f t="shared" si="2139"/>
        <v>10.523081388542748</v>
      </c>
      <c r="DV1027" s="323">
        <f t="shared" si="2139"/>
        <v>2.9753375645376945</v>
      </c>
      <c r="DW1027" s="323">
        <f t="shared" si="2139"/>
        <v>16.285524088676041</v>
      </c>
      <c r="DX1027" s="323">
        <f t="shared" si="2139"/>
        <v>19.930253277965207</v>
      </c>
      <c r="DY1027" s="323">
        <f t="shared" si="2139"/>
        <v>36.579671090306043</v>
      </c>
      <c r="DZ1027" s="325">
        <f t="shared" si="2139"/>
        <v>19.882869600030467</v>
      </c>
      <c r="EA1027" s="323">
        <f t="shared" si="2139"/>
        <v>8.4231752763884664</v>
      </c>
      <c r="EB1027" s="323">
        <f t="shared" si="2139"/>
        <v>31.683600606302893</v>
      </c>
      <c r="EC1027" s="323">
        <f t="shared" ref="EC1027:FP1027" si="2140">+EC1028-EC1038</f>
        <v>24.658814769659362</v>
      </c>
      <c r="ED1027" s="323">
        <f t="shared" si="2140"/>
        <v>18.683836442856141</v>
      </c>
      <c r="EE1027" s="323">
        <f t="shared" si="2140"/>
        <v>110.96608495911359</v>
      </c>
      <c r="EF1027" s="323">
        <f t="shared" si="2140"/>
        <v>14.51405999831908</v>
      </c>
      <c r="EG1027" s="323">
        <f t="shared" si="2140"/>
        <v>55.423346475873529</v>
      </c>
      <c r="EH1027" s="323">
        <f t="shared" si="2140"/>
        <v>3.8959698821168445</v>
      </c>
      <c r="EI1027" s="323">
        <f t="shared" si="2140"/>
        <v>14.580064284231812</v>
      </c>
      <c r="EJ1027" s="323">
        <f t="shared" si="2140"/>
        <v>8.8538571553240697</v>
      </c>
      <c r="EK1027" s="323">
        <f t="shared" si="2140"/>
        <v>38.389474378554652</v>
      </c>
      <c r="EL1027" s="325">
        <f t="shared" si="2140"/>
        <v>25.956846648486049</v>
      </c>
      <c r="EM1027" s="323">
        <f t="shared" si="2140"/>
        <v>9.1306091178664825</v>
      </c>
      <c r="EN1027" s="323">
        <f t="shared" si="2140"/>
        <v>1.63542145193674</v>
      </c>
      <c r="EO1027" s="323">
        <f t="shared" si="2140"/>
        <v>10.987169894132018</v>
      </c>
      <c r="EP1027" s="323">
        <f t="shared" si="2140"/>
        <v>4.562096771518064</v>
      </c>
      <c r="EQ1027" s="323">
        <f t="shared" si="2140"/>
        <v>13.176531811450971</v>
      </c>
      <c r="ER1027" s="323">
        <f t="shared" si="2140"/>
        <v>219.27680270007269</v>
      </c>
      <c r="ES1027" s="323">
        <f t="shared" si="2140"/>
        <v>22.37974998625814</v>
      </c>
      <c r="ET1027" s="323">
        <f t="shared" si="2140"/>
        <v>15.159283741393457</v>
      </c>
      <c r="EU1027" s="323">
        <f t="shared" si="2140"/>
        <v>11.394298316027328</v>
      </c>
      <c r="EV1027" s="323">
        <f t="shared" si="2140"/>
        <v>18.450060664160304</v>
      </c>
      <c r="EW1027" s="323">
        <f t="shared" si="2140"/>
        <v>16.139738200652342</v>
      </c>
      <c r="EX1027" s="325">
        <f t="shared" si="2140"/>
        <v>106.02020398827491</v>
      </c>
      <c r="EY1027" s="323">
        <f t="shared" si="2140"/>
        <v>18.710324140762001</v>
      </c>
      <c r="EZ1027" s="323">
        <f t="shared" si="2140"/>
        <v>26.358275628537605</v>
      </c>
      <c r="FA1027" s="323">
        <f t="shared" si="2140"/>
        <v>25.66195521547359</v>
      </c>
      <c r="FB1027" s="323">
        <f t="shared" si="2140"/>
        <v>180.34086035425312</v>
      </c>
      <c r="FC1027" s="323">
        <f t="shared" si="2140"/>
        <v>35.460548031665894</v>
      </c>
      <c r="FD1027" s="323">
        <f t="shared" si="2140"/>
        <v>146.3197624468045</v>
      </c>
      <c r="FE1027" s="323">
        <f t="shared" si="2140"/>
        <v>60.226021596908097</v>
      </c>
      <c r="FF1027" s="323">
        <f t="shared" si="2140"/>
        <v>26.641361852016441</v>
      </c>
      <c r="FG1027" s="323">
        <f t="shared" si="2140"/>
        <v>11.705615638270633</v>
      </c>
      <c r="FH1027" s="323">
        <f t="shared" si="2140"/>
        <v>124.11776803524816</v>
      </c>
      <c r="FI1027" s="323">
        <f t="shared" si="2140"/>
        <v>32.936011562168424</v>
      </c>
      <c r="FJ1027" s="325">
        <f t="shared" si="2140"/>
        <v>265.54118707599042</v>
      </c>
      <c r="FK1027" s="323">
        <f t="shared" si="2140"/>
        <v>165.36716256293312</v>
      </c>
      <c r="FL1027" s="323">
        <f t="shared" si="2140"/>
        <v>42.676739492936349</v>
      </c>
      <c r="FM1027" s="323">
        <f t="shared" si="2140"/>
        <v>47.373704321396758</v>
      </c>
      <c r="FN1027" s="323">
        <f t="shared" si="2140"/>
        <v>29.80564258928019</v>
      </c>
      <c r="FO1027" s="323">
        <f t="shared" si="2140"/>
        <v>24.133098201211482</v>
      </c>
      <c r="FP1027" s="323">
        <f t="shared" si="2140"/>
        <v>142.03539291295886</v>
      </c>
      <c r="FQ1027" s="323">
        <f t="shared" ref="FQ1027:FV1027" si="2141">+FQ1028-FQ1038</f>
        <v>8.1583712632049998</v>
      </c>
      <c r="FR1027" s="323">
        <f t="shared" si="2141"/>
        <v>30.696689018393997</v>
      </c>
      <c r="FS1027" s="323">
        <f t="shared" si="2141"/>
        <v>96.048654651339973</v>
      </c>
      <c r="FT1027" s="323">
        <f t="shared" si="2141"/>
        <v>24.229058993359722</v>
      </c>
      <c r="FU1027" s="323">
        <f t="shared" si="2141"/>
        <v>7.5483352215044688</v>
      </c>
      <c r="FV1027" s="323">
        <f t="shared" si="2141"/>
        <v>39.199590900966733</v>
      </c>
      <c r="FW1027" s="323">
        <v>27.624194789979462</v>
      </c>
      <c r="FX1027" s="323">
        <v>14.984430994304654</v>
      </c>
      <c r="FY1027" s="323">
        <v>17.41244602701115</v>
      </c>
      <c r="FZ1027" s="323">
        <v>87.691067920702139</v>
      </c>
      <c r="GA1027" s="323">
        <v>74.219736986734461</v>
      </c>
      <c r="GB1027" s="323">
        <v>36.624771270096232</v>
      </c>
      <c r="GC1027" s="323">
        <v>3.2885865871498829</v>
      </c>
      <c r="GD1027" s="323">
        <v>13.94239333506065</v>
      </c>
      <c r="GE1027" s="323">
        <v>82.658302674580867</v>
      </c>
      <c r="GF1027" s="323">
        <v>39.588158417380626</v>
      </c>
      <c r="GG1027" s="323">
        <v>44.550087477578145</v>
      </c>
      <c r="GH1027" s="323">
        <v>92.012539414141031</v>
      </c>
      <c r="GI1027" s="1654">
        <f>GI1028-GI1038</f>
        <v>18.006083506541067</v>
      </c>
      <c r="GJ1027" s="1654">
        <f t="shared" ref="GJ1027:HR1027" si="2142">GJ1028-GJ1038</f>
        <v>4.8089811679161691</v>
      </c>
      <c r="GK1027" s="1654">
        <f t="shared" si="2142"/>
        <v>70.569208254395889</v>
      </c>
      <c r="GL1027" s="1654">
        <f t="shared" si="2142"/>
        <v>27.560648542128696</v>
      </c>
      <c r="GM1027" s="1654">
        <f t="shared" si="2142"/>
        <v>9.4039659277830996</v>
      </c>
      <c r="GN1027" s="1654">
        <f t="shared" si="2142"/>
        <v>44.237588588376816</v>
      </c>
      <c r="GO1027" s="1654">
        <f t="shared" si="2142"/>
        <v>27.288171702099547</v>
      </c>
      <c r="GP1027" s="1654">
        <f t="shared" si="2142"/>
        <v>22.984808425351392</v>
      </c>
      <c r="GQ1027" s="1654">
        <f t="shared" si="2142"/>
        <v>450.23539151328413</v>
      </c>
      <c r="GR1027" s="1654">
        <f t="shared" si="2142"/>
        <v>10.375318925647001</v>
      </c>
      <c r="GS1027" s="1654">
        <f t="shared" si="2142"/>
        <v>20.289536545420098</v>
      </c>
      <c r="GT1027" s="1654">
        <f t="shared" si="2142"/>
        <v>170.86324463565049</v>
      </c>
      <c r="GU1027" s="1654">
        <f t="shared" si="2142"/>
        <v>24.901617678619075</v>
      </c>
      <c r="GV1027" s="1654">
        <f>GV1028-GV1038</f>
        <v>29.396984788598399</v>
      </c>
      <c r="GW1027" s="1654">
        <f t="shared" si="2142"/>
        <v>34.278652857079472</v>
      </c>
      <c r="GX1027" s="1654">
        <f t="shared" si="2142"/>
        <v>34.569296173943322</v>
      </c>
      <c r="GY1027" s="1654">
        <f t="shared" si="2142"/>
        <v>61.294792130506103</v>
      </c>
      <c r="GZ1027" s="1654">
        <f t="shared" si="2142"/>
        <v>389.1169962807532</v>
      </c>
      <c r="HA1027" s="1654">
        <f t="shared" si="2142"/>
        <v>23.587192673905697</v>
      </c>
      <c r="HB1027" s="1654">
        <f t="shared" si="2142"/>
        <v>5.8263685015150024</v>
      </c>
      <c r="HC1027" s="1654">
        <f t="shared" si="2142"/>
        <v>71.093702307219047</v>
      </c>
      <c r="HD1027" s="1654">
        <f t="shared" si="2142"/>
        <v>91.193470368949306</v>
      </c>
      <c r="HE1027" s="1654">
        <f t="shared" si="2142"/>
        <v>132.09520843442903</v>
      </c>
      <c r="HF1027" s="1654">
        <f t="shared" si="2142"/>
        <v>409.85987118987839</v>
      </c>
      <c r="HG1027" s="1654">
        <f t="shared" si="2142"/>
        <v>43.159955054956399</v>
      </c>
      <c r="HH1027" s="1654">
        <f t="shared" si="2142"/>
        <v>0.98937619620851436</v>
      </c>
      <c r="HI1027" s="1654">
        <f t="shared" si="2142"/>
        <v>36.071509214190151</v>
      </c>
      <c r="HJ1027" s="1654">
        <f t="shared" si="2142"/>
        <v>67.645435634450322</v>
      </c>
      <c r="HK1027" s="1654">
        <f t="shared" si="2142"/>
        <v>80.882855799423439</v>
      </c>
      <c r="HL1027" s="1654">
        <f t="shared" si="2142"/>
        <v>825.34905733611004</v>
      </c>
      <c r="HM1027" s="1654">
        <f t="shared" si="2142"/>
        <v>42.170735424790976</v>
      </c>
      <c r="HN1027" s="1654">
        <f t="shared" si="2142"/>
        <v>2.7380914340625786</v>
      </c>
      <c r="HO1027" s="1654">
        <f t="shared" si="2142"/>
        <v>47.308407646848096</v>
      </c>
      <c r="HP1027" s="1654">
        <f t="shared" si="2142"/>
        <v>50.77707109300875</v>
      </c>
      <c r="HQ1027" s="1654">
        <f t="shared" si="2142"/>
        <v>61.98589116275803</v>
      </c>
      <c r="HR1027" s="1654">
        <f t="shared" si="2142"/>
        <v>96.101478396257008</v>
      </c>
      <c r="HS1027" s="1654">
        <f t="shared" ref="HS1027:HX1027" si="2143">HS1028-HS1038</f>
        <v>7.0771410693540542</v>
      </c>
      <c r="HT1027" s="1654">
        <f t="shared" si="2143"/>
        <v>11.114415954343816</v>
      </c>
      <c r="HU1027" s="1654">
        <f t="shared" si="2143"/>
        <v>126.52623670868934</v>
      </c>
      <c r="HV1027" s="1654">
        <f t="shared" si="2143"/>
        <v>41.547320992445435</v>
      </c>
      <c r="HW1027" s="1654">
        <f t="shared" si="2143"/>
        <v>179.03601448602322</v>
      </c>
      <c r="HX1027" s="1654">
        <f t="shared" si="2143"/>
        <v>136.33414135400272</v>
      </c>
      <c r="HY1027" s="1654"/>
      <c r="HZ1027" s="326"/>
      <c r="IA1027" s="334" t="s">
        <v>568</v>
      </c>
      <c r="IB1027" s="284">
        <f>SUM(CE1027:CJ1027)</f>
        <v>27.079800801697544</v>
      </c>
      <c r="IC1027" s="279">
        <f>SUM(CK1027:CP1027)</f>
        <v>78.077114571040823</v>
      </c>
      <c r="ID1027" s="323">
        <f>IB1027+IC1027</f>
        <v>105.15691537273837</v>
      </c>
      <c r="IE1027" s="279">
        <f>SUM(CQ1027:CV1027)</f>
        <v>103.45205171796418</v>
      </c>
      <c r="IF1027" s="279">
        <f>SUM(CW1027:DB1027)</f>
        <v>84.73452708826801</v>
      </c>
      <c r="IG1027" s="323">
        <f>IE1027+IF1027</f>
        <v>188.18657880623221</v>
      </c>
      <c r="IH1027" s="284">
        <f>SUM(DC1027:DH1027)</f>
        <v>166.51489885055662</v>
      </c>
      <c r="II1027" s="279">
        <f>SUM(DI1027:DN1027)</f>
        <v>57.893228809132793</v>
      </c>
      <c r="IJ1027" s="323">
        <f>IH1027+II1027</f>
        <v>224.4081276596894</v>
      </c>
      <c r="IK1027" s="327">
        <f>SUM(DO1027:DT1027)</f>
        <v>216.81219738131301</v>
      </c>
      <c r="IL1027" s="279">
        <f>SUM(DU1027:DZ1027)</f>
        <v>106.17673701005819</v>
      </c>
      <c r="IM1027" s="323">
        <f>IK1027+IL1027</f>
        <v>322.98893439137123</v>
      </c>
      <c r="IN1027" s="279">
        <f>SUM(EA1027:EF1027)</f>
        <v>208.92957205263954</v>
      </c>
      <c r="IO1027" s="279">
        <f>SUM(EG1027:EL1027)</f>
        <v>147.09955882458695</v>
      </c>
      <c r="IP1027" s="323">
        <f>IN1027+IO1027</f>
        <v>356.02913087722652</v>
      </c>
      <c r="IQ1027" s="327">
        <f>SUM(EM1027:ER1027)</f>
        <v>258.76863174697695</v>
      </c>
      <c r="IR1027" s="327">
        <f>SUM(ES1027:EX1027)</f>
        <v>189.54333489676651</v>
      </c>
      <c r="IS1027" s="323">
        <f>IQ1027+IR1027</f>
        <v>448.31196664374346</v>
      </c>
      <c r="IT1027" s="327">
        <f>SUM(EY1027:FD1027)</f>
        <v>432.85172581749669</v>
      </c>
      <c r="IU1027" s="327">
        <f>SUM(FE1027:FJ1027)</f>
        <v>521.16796576060221</v>
      </c>
      <c r="IV1027" s="323">
        <f>IT1027+IU1027</f>
        <v>954.0196915780989</v>
      </c>
      <c r="IW1027" s="327">
        <f>SUM(FK1027:FP1027)</f>
        <v>451.39174008071677</v>
      </c>
      <c r="IX1027" s="327">
        <f t="shared" si="2136"/>
        <v>205.88070004876988</v>
      </c>
      <c r="IY1027" s="323">
        <f t="shared" si="2005"/>
        <v>657.27244012948665</v>
      </c>
      <c r="IZ1027" s="327">
        <f t="shared" si="2110"/>
        <v>258.5566479888281</v>
      </c>
      <c r="JA1027" s="327">
        <f t="shared" si="2111"/>
        <v>276.04006790589119</v>
      </c>
      <c r="JB1027" s="323">
        <f t="shared" si="2036"/>
        <v>534.5967158947193</v>
      </c>
      <c r="JC1027" s="327">
        <f t="shared" si="2112"/>
        <v>174.58647598714174</v>
      </c>
      <c r="JD1027" s="327">
        <f t="shared" si="2113"/>
        <v>702.03647174745265</v>
      </c>
      <c r="JE1027" s="323">
        <f t="shared" si="2137"/>
        <v>876.62294773459439</v>
      </c>
      <c r="JF1027" s="327">
        <f>JF1028-JF1038</f>
        <v>573.55833990949964</v>
      </c>
      <c r="JG1027" s="327">
        <f>JG1028-JG1038</f>
        <v>733.65581347589648</v>
      </c>
      <c r="JH1027" s="323">
        <f t="shared" si="2135"/>
        <v>1307.214153385396</v>
      </c>
      <c r="JI1027" s="327">
        <f t="shared" ref="JI1027:JI1041" si="2144">SUM(HG1027:HL1027)</f>
        <v>1054.0981892353389</v>
      </c>
      <c r="JJ1027" s="1408">
        <f t="shared" si="2035"/>
        <v>301.08167515772544</v>
      </c>
      <c r="JK1027" s="323">
        <f t="shared" si="2117"/>
        <v>1355.1798643930642</v>
      </c>
      <c r="JL1027" s="1408">
        <f t="shared" si="2118"/>
        <v>501.63527056485856</v>
      </c>
      <c r="JM1027" s="1408">
        <f>JM1028-JM1038</f>
        <v>917.61515028015287</v>
      </c>
      <c r="JN1027" s="323">
        <f>FISC!AK1352</f>
        <v>1418.689908090392</v>
      </c>
      <c r="JO1027" s="1408">
        <f>JO1028-JO1038</f>
        <v>693.43669002443403</v>
      </c>
      <c r="JP1027" s="1408">
        <f>JP1028-JP1038</f>
        <v>652.58392696578903</v>
      </c>
      <c r="JQ1027" s="323">
        <f>FISC!AL1352</f>
        <v>1346.0206169902231</v>
      </c>
      <c r="JR1027" s="1408">
        <f>JR1028-JR1038</f>
        <v>779.93394728547014</v>
      </c>
      <c r="JS1027" s="1408">
        <f>JS1028-JS1038</f>
        <v>353.63336527990236</v>
      </c>
      <c r="JT1027" s="323">
        <f>FISC!AM1352</f>
        <v>1133.5673125653725</v>
      </c>
      <c r="JU1027" s="1408">
        <f>JU1028-JU1038</f>
        <v>757.54074151485861</v>
      </c>
      <c r="JV1027" s="1408">
        <f>JV1028-JV1038</f>
        <v>210.90985456483651</v>
      </c>
      <c r="JW1027" s="323">
        <f>FISC!AN1352</f>
        <v>968.45059607969506</v>
      </c>
      <c r="JX1027" s="1408">
        <f>JX1028-JX1038</f>
        <v>587.70792071509504</v>
      </c>
      <c r="JY1027" s="1408">
        <f>JY1028-JY1038</f>
        <v>207.39696945945087</v>
      </c>
      <c r="JZ1027" s="323">
        <f>FISC!AO1352</f>
        <v>795.10489017454597</v>
      </c>
      <c r="KA1027" s="1408">
        <f>KA1028-KA1038</f>
        <v>690.6460665640883</v>
      </c>
      <c r="KB1027" s="1408">
        <f>KB1028-KB1038</f>
        <v>-25.288742959455931</v>
      </c>
      <c r="KC1027" s="323">
        <f>FISC!AP1352</f>
        <v>988.30869512245954</v>
      </c>
      <c r="KD1027" s="1408">
        <f>KD1028-KD1038</f>
        <v>0</v>
      </c>
      <c r="KE1027" s="1408">
        <f>KE1028-KE1038</f>
        <v>0</v>
      </c>
      <c r="KF1027" s="323">
        <f>FISC!AQ1352</f>
        <v>-387.0256111116214</v>
      </c>
      <c r="KG1027" s="1408">
        <f>KG1028-KG1038</f>
        <v>0</v>
      </c>
      <c r="KH1027" s="1408">
        <f>KH1028-KH1038</f>
        <v>0</v>
      </c>
      <c r="KI1027" s="323">
        <f>FISC!AR1352</f>
        <v>218.83049014566086</v>
      </c>
      <c r="KJ1027" s="1408">
        <f>KJ1028-KJ1038</f>
        <v>0</v>
      </c>
      <c r="KK1027" s="1408">
        <f>KK1028-KK1038</f>
        <v>0</v>
      </c>
      <c r="KL1027" s="323">
        <f>FISC!AS1352</f>
        <v>131.01031400674674</v>
      </c>
      <c r="KM1027" s="1408">
        <f>KM1028-KM1038</f>
        <v>0</v>
      </c>
      <c r="KN1027" s="1408">
        <f>KN1028-KN1038</f>
        <v>0</v>
      </c>
      <c r="KO1027" s="323">
        <f>FISC!AT1352</f>
        <v>0.96036987075399338</v>
      </c>
      <c r="KU1027" s="326"/>
      <c r="KV1027" s="327"/>
      <c r="KY1027" s="279">
        <f>+KY1028-KY1038</f>
        <v>0</v>
      </c>
      <c r="KZ1027" s="279">
        <f>+KZ1028-KZ1038</f>
        <v>0</v>
      </c>
      <c r="LA1027" s="279">
        <f>+LA1028-LA1038</f>
        <v>0</v>
      </c>
      <c r="LB1027" s="279">
        <f>+LB1028-LB1038</f>
        <v>0</v>
      </c>
    </row>
    <row r="1028" spans="1:314">
      <c r="A1028" s="279"/>
      <c r="B1028" s="96" t="s">
        <v>338</v>
      </c>
      <c r="D1028" s="335" t="s">
        <v>577</v>
      </c>
      <c r="E1028" s="323">
        <f t="shared" ref="E1028:BP1028" si="2145">SUM(E1029:E1035)</f>
        <v>0</v>
      </c>
      <c r="F1028" s="323">
        <f t="shared" si="2145"/>
        <v>0</v>
      </c>
      <c r="G1028" s="323">
        <f t="shared" si="2145"/>
        <v>0</v>
      </c>
      <c r="H1028" s="323">
        <f t="shared" si="2145"/>
        <v>0</v>
      </c>
      <c r="I1028" s="323">
        <f t="shared" si="2145"/>
        <v>0</v>
      </c>
      <c r="J1028" s="323">
        <f t="shared" si="2145"/>
        <v>0</v>
      </c>
      <c r="K1028" s="323">
        <f t="shared" si="2145"/>
        <v>0</v>
      </c>
      <c r="L1028" s="323">
        <f t="shared" si="2145"/>
        <v>0</v>
      </c>
      <c r="M1028" s="323">
        <f t="shared" si="2145"/>
        <v>0</v>
      </c>
      <c r="N1028" s="323">
        <f t="shared" si="2145"/>
        <v>0</v>
      </c>
      <c r="O1028" s="323">
        <f t="shared" si="2145"/>
        <v>0</v>
      </c>
      <c r="P1028" s="323">
        <f t="shared" si="2145"/>
        <v>0</v>
      </c>
      <c r="Q1028" s="323">
        <f t="shared" si="2145"/>
        <v>0</v>
      </c>
      <c r="R1028" s="323">
        <f t="shared" si="2145"/>
        <v>0</v>
      </c>
      <c r="S1028" s="323">
        <f t="shared" si="2145"/>
        <v>0</v>
      </c>
      <c r="T1028" s="323">
        <f t="shared" si="2145"/>
        <v>0</v>
      </c>
      <c r="U1028" s="323">
        <f t="shared" si="2145"/>
        <v>0</v>
      </c>
      <c r="V1028" s="323">
        <f t="shared" si="2145"/>
        <v>0</v>
      </c>
      <c r="W1028" s="323">
        <f t="shared" si="2145"/>
        <v>0</v>
      </c>
      <c r="X1028" s="323">
        <f t="shared" si="2145"/>
        <v>0</v>
      </c>
      <c r="Y1028" s="323">
        <f t="shared" si="2145"/>
        <v>0</v>
      </c>
      <c r="Z1028" s="323">
        <f t="shared" si="2145"/>
        <v>0</v>
      </c>
      <c r="AA1028" s="323">
        <f t="shared" si="2145"/>
        <v>0</v>
      </c>
      <c r="AB1028" s="323">
        <f t="shared" si="2145"/>
        <v>0</v>
      </c>
      <c r="AC1028" s="323">
        <f t="shared" si="2145"/>
        <v>0</v>
      </c>
      <c r="AD1028" s="323">
        <f t="shared" si="2145"/>
        <v>0</v>
      </c>
      <c r="AE1028" s="323">
        <f t="shared" si="2145"/>
        <v>0</v>
      </c>
      <c r="AF1028" s="323">
        <f t="shared" si="2145"/>
        <v>0</v>
      </c>
      <c r="AG1028" s="323">
        <f t="shared" si="2145"/>
        <v>0</v>
      </c>
      <c r="AH1028" s="323">
        <f t="shared" si="2145"/>
        <v>0</v>
      </c>
      <c r="AI1028" s="323">
        <f t="shared" si="2145"/>
        <v>0</v>
      </c>
      <c r="AJ1028" s="323">
        <f t="shared" si="2145"/>
        <v>0</v>
      </c>
      <c r="AK1028" s="323">
        <f t="shared" si="2145"/>
        <v>0</v>
      </c>
      <c r="AL1028" s="323">
        <f t="shared" si="2145"/>
        <v>0</v>
      </c>
      <c r="AM1028" s="323">
        <f t="shared" si="2145"/>
        <v>0</v>
      </c>
      <c r="AN1028" s="323">
        <f t="shared" si="2145"/>
        <v>0</v>
      </c>
      <c r="AO1028" s="323">
        <f t="shared" si="2145"/>
        <v>0</v>
      </c>
      <c r="AP1028" s="323">
        <f t="shared" si="2145"/>
        <v>0</v>
      </c>
      <c r="AQ1028" s="323">
        <f t="shared" si="2145"/>
        <v>0</v>
      </c>
      <c r="AR1028" s="323">
        <f t="shared" si="2145"/>
        <v>0</v>
      </c>
      <c r="AS1028" s="323">
        <f t="shared" si="2145"/>
        <v>0</v>
      </c>
      <c r="AT1028" s="323">
        <f t="shared" si="2145"/>
        <v>0</v>
      </c>
      <c r="AU1028" s="323">
        <f t="shared" si="2145"/>
        <v>0</v>
      </c>
      <c r="AV1028" s="323">
        <f t="shared" si="2145"/>
        <v>0</v>
      </c>
      <c r="AW1028" s="323">
        <f t="shared" si="2145"/>
        <v>0</v>
      </c>
      <c r="AX1028" s="323">
        <f t="shared" si="2145"/>
        <v>0</v>
      </c>
      <c r="AY1028" s="323">
        <f t="shared" si="2145"/>
        <v>0</v>
      </c>
      <c r="AZ1028" s="323">
        <f t="shared" si="2145"/>
        <v>0</v>
      </c>
      <c r="BA1028" s="323">
        <f t="shared" si="2145"/>
        <v>0</v>
      </c>
      <c r="BB1028" s="323">
        <f t="shared" si="2145"/>
        <v>0</v>
      </c>
      <c r="BC1028" s="323">
        <f t="shared" si="2145"/>
        <v>0</v>
      </c>
      <c r="BD1028" s="323">
        <f t="shared" si="2145"/>
        <v>0</v>
      </c>
      <c r="BE1028" s="323">
        <f t="shared" si="2145"/>
        <v>0</v>
      </c>
      <c r="BF1028" s="323">
        <f t="shared" si="2145"/>
        <v>0</v>
      </c>
      <c r="BG1028" s="323">
        <f t="shared" si="2145"/>
        <v>0</v>
      </c>
      <c r="BH1028" s="323">
        <f t="shared" si="2145"/>
        <v>0</v>
      </c>
      <c r="BI1028" s="323">
        <f t="shared" si="2145"/>
        <v>0</v>
      </c>
      <c r="BJ1028" s="323">
        <f t="shared" si="2145"/>
        <v>0</v>
      </c>
      <c r="BK1028" s="323">
        <f t="shared" si="2145"/>
        <v>0</v>
      </c>
      <c r="BL1028" s="323">
        <f t="shared" si="2145"/>
        <v>0</v>
      </c>
      <c r="BM1028" s="323">
        <f t="shared" si="2145"/>
        <v>0</v>
      </c>
      <c r="BN1028" s="323">
        <f t="shared" si="2145"/>
        <v>0</v>
      </c>
      <c r="BO1028" s="323">
        <f t="shared" si="2145"/>
        <v>0</v>
      </c>
      <c r="BP1028" s="323">
        <f t="shared" si="2145"/>
        <v>0</v>
      </c>
      <c r="BQ1028" s="323">
        <f t="shared" ref="BQ1028:EB1028" si="2146">SUM(BQ1029:BQ1035)</f>
        <v>0</v>
      </c>
      <c r="BR1028" s="323">
        <f t="shared" si="2146"/>
        <v>0</v>
      </c>
      <c r="BS1028" s="323">
        <f t="shared" si="2146"/>
        <v>0</v>
      </c>
      <c r="BT1028" s="323">
        <f t="shared" si="2146"/>
        <v>0</v>
      </c>
      <c r="BU1028" s="323">
        <f t="shared" si="2146"/>
        <v>0</v>
      </c>
      <c r="BV1028" s="323">
        <f t="shared" si="2146"/>
        <v>0</v>
      </c>
      <c r="BW1028" s="323">
        <f t="shared" si="2146"/>
        <v>0</v>
      </c>
      <c r="BX1028" s="323">
        <f t="shared" si="2146"/>
        <v>0</v>
      </c>
      <c r="BY1028" s="323">
        <f t="shared" si="2146"/>
        <v>0</v>
      </c>
      <c r="BZ1028" s="323">
        <f t="shared" si="2146"/>
        <v>0</v>
      </c>
      <c r="CA1028" s="323">
        <f t="shared" si="2146"/>
        <v>0</v>
      </c>
      <c r="CB1028" s="323">
        <f t="shared" si="2146"/>
        <v>0</v>
      </c>
      <c r="CC1028" s="323">
        <f t="shared" si="2146"/>
        <v>0</v>
      </c>
      <c r="CD1028" s="329">
        <f t="shared" si="2146"/>
        <v>0</v>
      </c>
      <c r="CE1028" s="323">
        <f t="shared" si="2146"/>
        <v>6.8171795700000004</v>
      </c>
      <c r="CF1028" s="323">
        <f t="shared" si="2146"/>
        <v>3.9039883390000001</v>
      </c>
      <c r="CG1028" s="323">
        <f t="shared" si="2146"/>
        <v>3.8882203720000001</v>
      </c>
      <c r="CH1028" s="323">
        <f t="shared" si="2146"/>
        <v>6.2578329159999999</v>
      </c>
      <c r="CI1028" s="323">
        <f t="shared" si="2146"/>
        <v>3.5211649989999998</v>
      </c>
      <c r="CJ1028" s="323">
        <f t="shared" si="2146"/>
        <v>6.7397221739999997</v>
      </c>
      <c r="CK1028" s="323">
        <f t="shared" si="2146"/>
        <v>11.206712712287</v>
      </c>
      <c r="CL1028" s="323">
        <f t="shared" si="2146"/>
        <v>1.744920303962</v>
      </c>
      <c r="CM1028" s="323">
        <f t="shared" si="2146"/>
        <v>2.9498687050729999</v>
      </c>
      <c r="CN1028" s="323">
        <f t="shared" si="2146"/>
        <v>2.9364516164650003</v>
      </c>
      <c r="CO1028" s="323">
        <f t="shared" si="2146"/>
        <v>39.605139809474004</v>
      </c>
      <c r="CP1028" s="325">
        <f t="shared" si="2146"/>
        <v>26.624339026651</v>
      </c>
      <c r="CQ1028" s="323">
        <f t="shared" si="2146"/>
        <v>5.7607435347770011</v>
      </c>
      <c r="CR1028" s="323">
        <f t="shared" si="2146"/>
        <v>3.9472671107080002</v>
      </c>
      <c r="CS1028" s="323">
        <f t="shared" si="2146"/>
        <v>12.991094179872</v>
      </c>
      <c r="CT1028" s="323">
        <f t="shared" si="2146"/>
        <v>7.097023092573</v>
      </c>
      <c r="CU1028" s="323">
        <f t="shared" si="2146"/>
        <v>12.102969035651</v>
      </c>
      <c r="CV1028" s="323">
        <f t="shared" si="2146"/>
        <v>68.303412766199003</v>
      </c>
      <c r="CW1028" s="323">
        <f t="shared" si="2146"/>
        <v>8.4188352186079989</v>
      </c>
      <c r="CX1028" s="323">
        <f t="shared" si="2146"/>
        <v>3.7151717103489998</v>
      </c>
      <c r="CY1028" s="323">
        <f t="shared" si="2146"/>
        <v>9.2964163726490003</v>
      </c>
      <c r="CZ1028" s="323">
        <f t="shared" si="2146"/>
        <v>50.874632982232669</v>
      </c>
      <c r="DA1028" s="323">
        <f t="shared" si="2146"/>
        <v>6.3830912553159997</v>
      </c>
      <c r="DB1028" s="1269">
        <f t="shared" si="2146"/>
        <v>13.932984784080002</v>
      </c>
      <c r="DC1028" s="323">
        <f t="shared" si="2146"/>
        <v>0.42216898336300002</v>
      </c>
      <c r="DD1028" s="323">
        <f t="shared" si="2146"/>
        <v>3.7189687297299998</v>
      </c>
      <c r="DE1028" s="323">
        <f t="shared" si="2146"/>
        <v>56.569147230663937</v>
      </c>
      <c r="DF1028" s="323">
        <f t="shared" si="2146"/>
        <v>16.191702111213541</v>
      </c>
      <c r="DG1028" s="323">
        <f t="shared" si="2146"/>
        <v>4.8652677647420006</v>
      </c>
      <c r="DH1028" s="323">
        <f t="shared" si="2146"/>
        <v>92.409478866284672</v>
      </c>
      <c r="DI1028" s="323">
        <f t="shared" si="2146"/>
        <v>6.7047741122170006</v>
      </c>
      <c r="DJ1028" s="323">
        <f t="shared" si="2146"/>
        <v>21.592177564827999</v>
      </c>
      <c r="DK1028" s="323">
        <f t="shared" si="2146"/>
        <v>13.796249482406001</v>
      </c>
      <c r="DL1028" s="323">
        <f t="shared" si="2146"/>
        <v>13.128120131547998</v>
      </c>
      <c r="DM1028" s="323">
        <f t="shared" si="2146"/>
        <v>6.8738819535209998</v>
      </c>
      <c r="DN1028" s="325">
        <f t="shared" si="2146"/>
        <v>5.2576456738859996</v>
      </c>
      <c r="DO1028" s="323">
        <f t="shared" si="2146"/>
        <v>3.2977253905239996</v>
      </c>
      <c r="DP1028" s="323">
        <f t="shared" si="2146"/>
        <v>8.4289872174100005</v>
      </c>
      <c r="DQ1028" s="323">
        <f t="shared" si="2146"/>
        <v>38.947821298748593</v>
      </c>
      <c r="DR1028" s="323">
        <f t="shared" si="2146"/>
        <v>69.911567446748407</v>
      </c>
      <c r="DS1028" s="323">
        <f t="shared" si="2146"/>
        <v>11.369225287213002</v>
      </c>
      <c r="DT1028" s="323">
        <f t="shared" si="2146"/>
        <v>95.228024634377917</v>
      </c>
      <c r="DU1028" s="323">
        <f t="shared" si="2146"/>
        <v>11.223212818042001</v>
      </c>
      <c r="DV1028" s="323">
        <f t="shared" si="2146"/>
        <v>3.1183098931750002</v>
      </c>
      <c r="DW1028" s="323">
        <f t="shared" si="2146"/>
        <v>21.614232810366996</v>
      </c>
      <c r="DX1028" s="323">
        <f t="shared" si="2146"/>
        <v>21.526583004928</v>
      </c>
      <c r="DY1028" s="323">
        <f t="shared" si="2146"/>
        <v>38.739548051481563</v>
      </c>
      <c r="DZ1028" s="325">
        <f t="shared" si="2146"/>
        <v>21.164277456465001</v>
      </c>
      <c r="EA1028" s="323">
        <f t="shared" si="2146"/>
        <v>9.7045831328230001</v>
      </c>
      <c r="EB1028" s="323">
        <f t="shared" si="2146"/>
        <v>31.83445564578</v>
      </c>
      <c r="EC1028" s="323">
        <f t="shared" ref="EC1028:FP1028" si="2147">SUM(EC1029:EC1035)</f>
        <v>29.649617502337996</v>
      </c>
      <c r="ED1028" s="323">
        <f t="shared" si="2147"/>
        <v>20.755101479647003</v>
      </c>
      <c r="EE1028" s="323">
        <f t="shared" si="2147"/>
        <v>112.84523325464001</v>
      </c>
      <c r="EF1028" s="323">
        <f t="shared" si="2147"/>
        <v>16.683415901944997</v>
      </c>
      <c r="EG1028" s="323">
        <f t="shared" si="2147"/>
        <v>56.585149008911998</v>
      </c>
      <c r="EH1028" s="323">
        <f t="shared" si="2147"/>
        <v>4.4105177353120002</v>
      </c>
      <c r="EI1028" s="323">
        <f t="shared" si="2147"/>
        <v>18.571578294357</v>
      </c>
      <c r="EJ1028" s="323">
        <f t="shared" si="2147"/>
        <v>12.140062738398001</v>
      </c>
      <c r="EK1028" s="323">
        <f t="shared" si="2147"/>
        <v>39.979994321071999</v>
      </c>
      <c r="EL1028" s="325">
        <f t="shared" si="2147"/>
        <v>28.687180347918996</v>
      </c>
      <c r="EM1028" s="323">
        <f t="shared" si="2147"/>
        <v>10.477656590839999</v>
      </c>
      <c r="EN1028" s="323">
        <f t="shared" si="2147"/>
        <v>2.1647688006760002</v>
      </c>
      <c r="EO1028" s="323">
        <f t="shared" si="2147"/>
        <v>15.058106803279999</v>
      </c>
      <c r="EP1028" s="323">
        <f t="shared" si="2147"/>
        <v>7.9470246404072729</v>
      </c>
      <c r="EQ1028" s="323">
        <f t="shared" si="2147"/>
        <v>15.281142754074001</v>
      </c>
      <c r="ER1028" s="323">
        <f t="shared" si="2147"/>
        <v>221.13910890712106</v>
      </c>
      <c r="ES1028" s="323">
        <f t="shared" si="2147"/>
        <v>23.575918671628003</v>
      </c>
      <c r="ET1028" s="323">
        <f t="shared" si="2147"/>
        <v>16.006098219428999</v>
      </c>
      <c r="EU1028" s="323">
        <f t="shared" si="2147"/>
        <v>17.722634921015</v>
      </c>
      <c r="EV1028" s="323">
        <f t="shared" si="2147"/>
        <v>20.243834101887</v>
      </c>
      <c r="EW1028" s="323">
        <f t="shared" si="2147"/>
        <v>19.614621516160998</v>
      </c>
      <c r="EX1028" s="325">
        <f t="shared" si="2147"/>
        <v>107.7460570152754</v>
      </c>
      <c r="EY1028" s="323">
        <f t="shared" si="2147"/>
        <v>19.924202328219</v>
      </c>
      <c r="EZ1028" s="323">
        <f t="shared" si="2147"/>
        <v>27.841981081697003</v>
      </c>
      <c r="FA1028" s="323">
        <f t="shared" si="2147"/>
        <v>31.800043157027002</v>
      </c>
      <c r="FB1028" s="323">
        <f t="shared" si="2147"/>
        <v>186.01898445761501</v>
      </c>
      <c r="FC1028" s="323">
        <f t="shared" si="2147"/>
        <v>37.658256070921006</v>
      </c>
      <c r="FD1028" s="323">
        <f t="shared" si="2147"/>
        <v>148.26050493578799</v>
      </c>
      <c r="FE1028" s="323">
        <f t="shared" si="2147"/>
        <v>70.013794180874157</v>
      </c>
      <c r="FF1028" s="323">
        <f t="shared" si="2147"/>
        <v>27.553652486590835</v>
      </c>
      <c r="FG1028" s="323">
        <f t="shared" si="2147"/>
        <v>23.042271596590833</v>
      </c>
      <c r="FH1028" s="323">
        <f t="shared" si="2147"/>
        <v>129.80800154099251</v>
      </c>
      <c r="FI1028" s="323">
        <f t="shared" si="2147"/>
        <v>34.267539715367647</v>
      </c>
      <c r="FJ1028" s="325">
        <f t="shared" si="2147"/>
        <v>272.73316953238822</v>
      </c>
      <c r="FK1028" s="323">
        <f t="shared" si="2147"/>
        <v>171.48715068064644</v>
      </c>
      <c r="FL1028" s="323">
        <f t="shared" si="2147"/>
        <v>44.259788753746001</v>
      </c>
      <c r="FM1028" s="323">
        <f t="shared" si="2147"/>
        <v>63.437556197943998</v>
      </c>
      <c r="FN1028" s="323">
        <f t="shared" si="2147"/>
        <v>32.392566531343526</v>
      </c>
      <c r="FO1028" s="323">
        <f t="shared" si="2147"/>
        <v>26.446524668434424</v>
      </c>
      <c r="FP1028" s="323">
        <f t="shared" si="2147"/>
        <v>148.57245929395665</v>
      </c>
      <c r="FQ1028" s="323">
        <f t="shared" ref="FQ1028:FV1028" si="2148">SUM(FQ1029:FQ1035)</f>
        <v>16.024197946205</v>
      </c>
      <c r="FR1028" s="323">
        <f t="shared" si="2148"/>
        <v>34.960991666393994</v>
      </c>
      <c r="FS1028" s="323">
        <f t="shared" si="2148"/>
        <v>113.14308141233998</v>
      </c>
      <c r="FT1028" s="323">
        <f>SUM(FT1029:FT1035)</f>
        <v>26.793431561212856</v>
      </c>
      <c r="FU1028" s="323">
        <f t="shared" si="2148"/>
        <v>8.9790092985810013</v>
      </c>
      <c r="FV1028" s="323">
        <f t="shared" si="2148"/>
        <v>47.144922433282922</v>
      </c>
      <c r="FW1028" s="323">
        <v>35.901589737339641</v>
      </c>
      <c r="FX1028" s="323">
        <v>21.442936379576999</v>
      </c>
      <c r="FY1028" s="323">
        <v>33.697982377468996</v>
      </c>
      <c r="FZ1028" s="323">
        <v>91.252493335165411</v>
      </c>
      <c r="GA1028" s="323">
        <v>76.841729057338796</v>
      </c>
      <c r="GB1028" s="323">
        <v>44.204778484999999</v>
      </c>
      <c r="GC1028" s="323">
        <v>11.7286206214735</v>
      </c>
      <c r="GD1028" s="323">
        <v>20.862679986603997</v>
      </c>
      <c r="GE1028" s="323">
        <v>102.84079293456421</v>
      </c>
      <c r="GF1028" s="323">
        <v>41.973330862397603</v>
      </c>
      <c r="GG1028" s="323">
        <v>48.2487896959002</v>
      </c>
      <c r="GH1028" s="323">
        <v>100.75207144440628</v>
      </c>
      <c r="GI1028" s="1654">
        <f>GI1029+GI1035</f>
        <v>23.972964942614066</v>
      </c>
      <c r="GJ1028" s="1654">
        <f t="shared" ref="GJ1028:HR1028" si="2149">GJ1029+GJ1035</f>
        <v>14.888660368232877</v>
      </c>
      <c r="GK1028" s="1654">
        <f t="shared" si="2149"/>
        <v>82.647879174370004</v>
      </c>
      <c r="GL1028" s="1654">
        <f t="shared" si="2149"/>
        <v>31.204653108157924</v>
      </c>
      <c r="GM1028" s="1654">
        <f t="shared" si="2149"/>
        <v>13.105693843020003</v>
      </c>
      <c r="GN1028" s="1654">
        <f t="shared" si="2149"/>
        <v>48.32014107926291</v>
      </c>
      <c r="GO1028" s="1654">
        <f t="shared" si="2149"/>
        <v>33.585667412775003</v>
      </c>
      <c r="GP1028" s="1654">
        <f t="shared" si="2149"/>
        <v>32.288064439738001</v>
      </c>
      <c r="GQ1028" s="1654">
        <f t="shared" si="2149"/>
        <v>464.52156085378681</v>
      </c>
      <c r="GR1028" s="1654">
        <f t="shared" si="2149"/>
        <v>18.009931112640992</v>
      </c>
      <c r="GS1028" s="1654">
        <f t="shared" si="2149"/>
        <v>23.205993021143005</v>
      </c>
      <c r="GT1028" s="1654">
        <f t="shared" si="2149"/>
        <v>176.08743218756325</v>
      </c>
      <c r="GU1028" s="1654">
        <f t="shared" si="2149"/>
        <v>31.910406423130212</v>
      </c>
      <c r="GV1028" s="1654">
        <f t="shared" si="2149"/>
        <v>45.760312841547105</v>
      </c>
      <c r="GW1028" s="1654">
        <f t="shared" si="2149"/>
        <v>49.829994886929001</v>
      </c>
      <c r="GX1028" s="1654">
        <f t="shared" si="2149"/>
        <v>39.515026511001999</v>
      </c>
      <c r="GY1028" s="1654">
        <f t="shared" si="2149"/>
        <v>66.984583489333005</v>
      </c>
      <c r="GZ1028" s="1654">
        <f t="shared" si="2149"/>
        <v>393.72024007306715</v>
      </c>
      <c r="HA1028" s="1654">
        <f t="shared" si="2149"/>
        <v>31.435793520262003</v>
      </c>
      <c r="HB1028" s="1654">
        <f t="shared" si="2149"/>
        <v>21.236010936550997</v>
      </c>
      <c r="HC1028" s="1654">
        <f t="shared" si="2149"/>
        <v>97.194849606942</v>
      </c>
      <c r="HD1028" s="1654">
        <f t="shared" si="2149"/>
        <v>97.880741221386671</v>
      </c>
      <c r="HE1028" s="1654">
        <f t="shared" si="2149"/>
        <v>140.28481973634678</v>
      </c>
      <c r="HF1028" s="1654">
        <f t="shared" si="2149"/>
        <v>416.20358796714766</v>
      </c>
      <c r="HG1028" s="1654">
        <f t="shared" si="2149"/>
        <v>49.879732205343004</v>
      </c>
      <c r="HH1028" s="1654">
        <f t="shared" si="2149"/>
        <v>18.934514546271</v>
      </c>
      <c r="HI1028" s="1654">
        <f t="shared" si="2149"/>
        <v>66.736240651427991</v>
      </c>
      <c r="HJ1028" s="1654">
        <f t="shared" si="2149"/>
        <v>74.895360717955</v>
      </c>
      <c r="HK1028" s="1654">
        <f t="shared" si="2149"/>
        <v>90.453145825297042</v>
      </c>
      <c r="HL1028" s="1654">
        <f t="shared" si="2149"/>
        <v>833.01275427872554</v>
      </c>
      <c r="HM1028" s="1654">
        <f t="shared" si="2149"/>
        <v>54.966984160314993</v>
      </c>
      <c r="HN1028" s="1654">
        <f t="shared" si="2149"/>
        <v>23.751190503989001</v>
      </c>
      <c r="HO1028" s="1654">
        <f t="shared" si="2149"/>
        <v>80.002424708043151</v>
      </c>
      <c r="HP1028" s="1654">
        <f t="shared" si="2149"/>
        <v>58.819329938526721</v>
      </c>
      <c r="HQ1028" s="1654">
        <f t="shared" si="2149"/>
        <v>72.235398328367992</v>
      </c>
      <c r="HR1028" s="1654">
        <f t="shared" si="2149"/>
        <v>103.60197461220007</v>
      </c>
      <c r="HS1028" s="1654">
        <f t="shared" ref="HS1028:HX1028" si="2150">HS1029+HS1035</f>
        <v>22.134883638801</v>
      </c>
      <c r="HT1028" s="1654">
        <f t="shared" si="2150"/>
        <v>32.594135835703</v>
      </c>
      <c r="HU1028" s="1654">
        <f t="shared" si="2150"/>
        <v>162.03361129500502</v>
      </c>
      <c r="HV1028" s="1654">
        <f t="shared" si="2150"/>
        <v>66.007727705753993</v>
      </c>
      <c r="HW1028" s="1654">
        <f t="shared" si="2150"/>
        <v>198.419186243534</v>
      </c>
      <c r="HX1028" s="1654">
        <f t="shared" si="2150"/>
        <v>159.804363707253</v>
      </c>
      <c r="HY1028" s="1654"/>
      <c r="HZ1028" s="326"/>
      <c r="IA1028" s="335" t="s">
        <v>577</v>
      </c>
      <c r="IB1028" s="284">
        <f>SUM(CE1028:CJ1028)</f>
        <v>31.12810837</v>
      </c>
      <c r="IC1028" s="279">
        <f>SUM(CK1028:CP1028)</f>
        <v>85.06743217391201</v>
      </c>
      <c r="ID1028" s="323">
        <f>IB1028+IC1028</f>
        <v>116.19554054391202</v>
      </c>
      <c r="IE1028" s="279">
        <f>SUM(CQ1028:CV1028)</f>
        <v>110.20250971978001</v>
      </c>
      <c r="IF1028" s="279">
        <f>SUM(CW1028:DB1028)</f>
        <v>92.621132323234676</v>
      </c>
      <c r="IG1028" s="323">
        <f>IE1028+IF1028</f>
        <v>202.82364204301467</v>
      </c>
      <c r="IH1028" s="284">
        <f>SUM(DC1028:DH1028)</f>
        <v>174.17673368599714</v>
      </c>
      <c r="II1028" s="279">
        <f>SUM(DI1028:DN1028)</f>
        <v>67.352848918405996</v>
      </c>
      <c r="IJ1028" s="323">
        <f>IH1028+II1028</f>
        <v>241.52958260440312</v>
      </c>
      <c r="IK1028" s="327">
        <f>SUM(DO1028:DT1028)</f>
        <v>227.18335127502195</v>
      </c>
      <c r="IL1028" s="279">
        <f>SUM(DU1028:DZ1028)</f>
        <v>117.38616403445856</v>
      </c>
      <c r="IM1028" s="323">
        <f>IK1028+IL1028</f>
        <v>344.56951530948049</v>
      </c>
      <c r="IN1028" s="279">
        <f>SUM(EA1028:EF1028)</f>
        <v>221.47240691717303</v>
      </c>
      <c r="IO1028" s="279">
        <f>SUM(EG1028:EL1028)</f>
        <v>160.37448244596999</v>
      </c>
      <c r="IP1028" s="323">
        <f>IN1028+IO1028</f>
        <v>381.84688936314302</v>
      </c>
      <c r="IQ1028" s="327">
        <f>SUM(EM1028:ER1028)</f>
        <v>272.06780849639836</v>
      </c>
      <c r="IR1028" s="327">
        <f>SUM(ES1028:EX1028)</f>
        <v>204.90916444539539</v>
      </c>
      <c r="IS1028" s="323">
        <f>IQ1028+IR1028</f>
        <v>476.97697294179375</v>
      </c>
      <c r="IT1028" s="327">
        <f>SUM(EY1028:FD1028)</f>
        <v>451.50397203126704</v>
      </c>
      <c r="IU1028" s="327">
        <f>SUM(FE1028:FJ1028)</f>
        <v>557.41842905280419</v>
      </c>
      <c r="IV1028" s="323">
        <f>IT1028+IU1028</f>
        <v>1008.9224010840712</v>
      </c>
      <c r="IW1028" s="327">
        <f>SUM(FK1028:FP1028)</f>
        <v>486.59604612607109</v>
      </c>
      <c r="IX1028" s="327">
        <f t="shared" si="2136"/>
        <v>247.04563431801574</v>
      </c>
      <c r="IY1028" s="323">
        <f t="shared" si="2005"/>
        <v>733.64168044408689</v>
      </c>
      <c r="IZ1028" s="327">
        <f t="shared" si="2110"/>
        <v>303.34150937188986</v>
      </c>
      <c r="JA1028" s="327">
        <f t="shared" si="2111"/>
        <v>326.40628554534578</v>
      </c>
      <c r="JB1028" s="323">
        <f t="shared" si="2036"/>
        <v>629.74779491723564</v>
      </c>
      <c r="JC1028" s="327">
        <f t="shared" si="2112"/>
        <v>214.13999251565775</v>
      </c>
      <c r="JD1028" s="327">
        <f t="shared" si="2113"/>
        <v>747.69864902764721</v>
      </c>
      <c r="JE1028" s="323">
        <f t="shared" si="2137"/>
        <v>961.8386415433049</v>
      </c>
      <c r="JF1028" s="327">
        <f>JF1029+JF1035</f>
        <v>627.7205642250085</v>
      </c>
      <c r="JG1028" s="327">
        <f>JG1029+JG1035</f>
        <v>804.23580298863612</v>
      </c>
      <c r="JH1028" s="323">
        <f t="shared" si="2135"/>
        <v>1431.9563672136446</v>
      </c>
      <c r="JI1028" s="327">
        <f t="shared" si="2144"/>
        <v>1133.9117482250194</v>
      </c>
      <c r="JJ1028" s="327">
        <f t="shared" si="2035"/>
        <v>393.37730225144196</v>
      </c>
      <c r="JK1028" s="323">
        <f t="shared" si="2117"/>
        <v>1527.2890504764614</v>
      </c>
      <c r="JL1028" s="1407">
        <f t="shared" si="2118"/>
        <v>640.99390842604998</v>
      </c>
      <c r="JM1028" s="327">
        <f>JN1028-JL1028</f>
        <v>1096.1311402900076</v>
      </c>
      <c r="JN1028" s="323">
        <f>FISC!AK1353</f>
        <v>1737.1250487160576</v>
      </c>
      <c r="JO1028" s="1407">
        <f>JO1029+JO1035</f>
        <v>911.15456863817758</v>
      </c>
      <c r="JP1028" s="327">
        <f>JQ1028-JO1028</f>
        <v>889.57482441215461</v>
      </c>
      <c r="JQ1028" s="323">
        <f>FISC!AL1353</f>
        <v>1800.7293930503322</v>
      </c>
      <c r="JR1028" s="1407">
        <f>JR1029+JR1035</f>
        <v>1038.8346611038196</v>
      </c>
      <c r="JS1028" s="327">
        <f>JT1028-JR1028</f>
        <v>632.33106747556189</v>
      </c>
      <c r="JT1028" s="323">
        <f>FISC!AM1353</f>
        <v>1671.1657285793815</v>
      </c>
      <c r="JU1028" s="1407">
        <f>JU1029+JU1035</f>
        <v>1060.491779293603</v>
      </c>
      <c r="JV1028" s="327">
        <f>JW1028-JU1028</f>
        <v>542.26292429428077</v>
      </c>
      <c r="JW1028" s="323">
        <f>FISC!AN1353</f>
        <v>1602.7547035878838</v>
      </c>
      <c r="JX1028" s="1407">
        <f>JX1029+JX1035</f>
        <v>962.35016317340205</v>
      </c>
      <c r="JY1028" s="1407">
        <f>JY1029+JY1035</f>
        <v>625.09949229912263</v>
      </c>
      <c r="JZ1028" s="323">
        <f>FISC!AO1353</f>
        <v>1587.4496554725247</v>
      </c>
      <c r="KA1028" s="1407">
        <f>KA1029+KA1035</f>
        <v>1123.1685062412414</v>
      </c>
      <c r="KB1028" s="1407">
        <f>KB1029+KB1035</f>
        <v>507.2891472685435</v>
      </c>
      <c r="KC1028" s="323">
        <f>FISC!AP1353</f>
        <v>1853.8779148555454</v>
      </c>
      <c r="KD1028" s="1407">
        <f>KD1029+KD1035</f>
        <v>0</v>
      </c>
      <c r="KE1028" s="1407">
        <f>KE1029+KE1035</f>
        <v>0</v>
      </c>
      <c r="KF1028" s="323">
        <f>FISC!AQ1353</f>
        <v>1786.9926695658246</v>
      </c>
      <c r="KG1028" s="1407">
        <f>KG1029+KG1035</f>
        <v>0</v>
      </c>
      <c r="KH1028" s="1407">
        <f>KH1029+KH1035</f>
        <v>0</v>
      </c>
      <c r="KI1028" s="323">
        <f>FISC!AR1353</f>
        <v>1290.3687312396667</v>
      </c>
      <c r="KJ1028" s="1407">
        <f>KJ1029+KJ1035</f>
        <v>0</v>
      </c>
      <c r="KK1028" s="1407">
        <f>KK1029+KK1035</f>
        <v>0</v>
      </c>
      <c r="KL1028" s="323">
        <f>FISC!AS1353</f>
        <v>1329.0797931768568</v>
      </c>
      <c r="KM1028" s="1407">
        <f>KM1029+KM1035</f>
        <v>0</v>
      </c>
      <c r="KN1028" s="1407">
        <f>KN1029+KN1035</f>
        <v>0</v>
      </c>
      <c r="KO1028" s="323">
        <f>FISC!AT1353</f>
        <v>1368.9521869721627</v>
      </c>
      <c r="KU1028" s="326"/>
      <c r="KV1028" s="327"/>
      <c r="KY1028" s="279">
        <f>SUM(KY1029:KY1035)</f>
        <v>0</v>
      </c>
      <c r="KZ1028" s="279">
        <f>SUM(KZ1029:KZ1035)</f>
        <v>0</v>
      </c>
      <c r="LA1028" s="279">
        <f>SUM(LA1029:LA1035)</f>
        <v>0</v>
      </c>
      <c r="LB1028" s="279">
        <f>SUM(LB1029:LB1035)</f>
        <v>0</v>
      </c>
    </row>
    <row r="1029" spans="1:314">
      <c r="A1029" s="279"/>
      <c r="B1029" s="96" t="s">
        <v>338</v>
      </c>
      <c r="D1029" s="337" t="s">
        <v>506</v>
      </c>
      <c r="E1029" s="323"/>
      <c r="F1029" s="323"/>
      <c r="G1029" s="323"/>
      <c r="H1029" s="323"/>
      <c r="I1029" s="323"/>
      <c r="J1029" s="323"/>
      <c r="K1029" s="323"/>
      <c r="L1029" s="323"/>
      <c r="M1029" s="323"/>
      <c r="N1029" s="323"/>
      <c r="O1029" s="323"/>
      <c r="P1029" s="323"/>
      <c r="Q1029" s="323"/>
      <c r="R1029" s="323"/>
      <c r="S1029" s="323"/>
      <c r="T1029" s="323"/>
      <c r="U1029" s="323"/>
      <c r="V1029" s="323"/>
      <c r="W1029" s="323"/>
      <c r="X1029" s="323"/>
      <c r="Y1029" s="323"/>
      <c r="Z1029" s="323"/>
      <c r="AA1029" s="323"/>
      <c r="AB1029" s="323"/>
      <c r="AC1029" s="323"/>
      <c r="AD1029" s="323"/>
      <c r="AE1029" s="323"/>
      <c r="AF1029" s="323"/>
      <c r="AG1029" s="323"/>
      <c r="AH1029" s="323"/>
      <c r="AI1029" s="323"/>
      <c r="AJ1029" s="323"/>
      <c r="AK1029" s="323"/>
      <c r="AL1029" s="323"/>
      <c r="AM1029" s="323"/>
      <c r="AN1029" s="323"/>
      <c r="AO1029" s="323"/>
      <c r="AP1029" s="323"/>
      <c r="AQ1029" s="323"/>
      <c r="AR1029" s="323"/>
      <c r="AS1029" s="323"/>
      <c r="AT1029" s="323"/>
      <c r="AU1029" s="323"/>
      <c r="AV1029" s="323"/>
      <c r="AW1029" s="323"/>
      <c r="AX1029" s="323"/>
      <c r="AY1029" s="323"/>
      <c r="AZ1029" s="323"/>
      <c r="BA1029" s="323"/>
      <c r="BB1029" s="323"/>
      <c r="BC1029" s="323"/>
      <c r="BD1029" s="323"/>
      <c r="BE1029" s="323"/>
      <c r="BF1029" s="323"/>
      <c r="BG1029" s="323"/>
      <c r="BH1029" s="323"/>
      <c r="BI1029" s="323"/>
      <c r="BJ1029" s="323"/>
      <c r="BK1029" s="323"/>
      <c r="BL1029" s="323"/>
      <c r="BM1029" s="323"/>
      <c r="BN1029" s="323"/>
      <c r="BO1029" s="323"/>
      <c r="BP1029" s="323"/>
      <c r="BQ1029" s="323"/>
      <c r="BR1029" s="323"/>
      <c r="BS1029" s="323"/>
      <c r="BT1029" s="323"/>
      <c r="BU1029" s="323"/>
      <c r="BV1029" s="323"/>
      <c r="BW1029" s="323"/>
      <c r="BX1029" s="323"/>
      <c r="BY1029" s="323"/>
      <c r="BZ1029" s="323"/>
      <c r="CA1029" s="323"/>
      <c r="CB1029" s="323"/>
      <c r="CC1029" s="323"/>
      <c r="CD1029" s="329"/>
      <c r="CE1029" s="323">
        <v>0</v>
      </c>
      <c r="CF1029" s="323">
        <v>0</v>
      </c>
      <c r="CG1029" s="323">
        <v>0</v>
      </c>
      <c r="CH1029" s="323">
        <v>0</v>
      </c>
      <c r="CI1029" s="323">
        <v>0</v>
      </c>
      <c r="CJ1029" s="323">
        <v>0</v>
      </c>
      <c r="CK1029" s="323">
        <v>0</v>
      </c>
      <c r="CL1029" s="323">
        <v>0</v>
      </c>
      <c r="CM1029" s="323">
        <v>0</v>
      </c>
      <c r="CN1029" s="323">
        <v>0</v>
      </c>
      <c r="CO1029" s="323">
        <v>31.631566856500001</v>
      </c>
      <c r="CP1029" s="325">
        <v>17.854694282301999</v>
      </c>
      <c r="CQ1029" s="323">
        <f t="shared" ref="CQ1029:DV1029" si="2151">CQ33</f>
        <v>0</v>
      </c>
      <c r="CR1029" s="323">
        <f t="shared" si="2151"/>
        <v>0</v>
      </c>
      <c r="CS1029" s="323">
        <f t="shared" si="2151"/>
        <v>0</v>
      </c>
      <c r="CT1029" s="323">
        <f t="shared" si="2151"/>
        <v>0</v>
      </c>
      <c r="CU1029" s="323">
        <f t="shared" si="2151"/>
        <v>0</v>
      </c>
      <c r="CV1029" s="323">
        <f t="shared" si="2151"/>
        <v>56.682335553289001</v>
      </c>
      <c r="CW1029" s="323">
        <f t="shared" si="2151"/>
        <v>0</v>
      </c>
      <c r="CX1029" s="323">
        <f t="shared" si="2151"/>
        <v>0</v>
      </c>
      <c r="CY1029" s="323">
        <f t="shared" si="2151"/>
        <v>0</v>
      </c>
      <c r="CZ1029" s="323">
        <f t="shared" si="2151"/>
        <v>46.908105421953671</v>
      </c>
      <c r="DA1029" s="323">
        <f t="shared" si="2151"/>
        <v>0</v>
      </c>
      <c r="DB1029" s="1269">
        <f t="shared" si="2151"/>
        <v>0</v>
      </c>
      <c r="DC1029" s="323">
        <f t="shared" si="2151"/>
        <v>0</v>
      </c>
      <c r="DD1029" s="323">
        <f t="shared" si="2151"/>
        <v>0</v>
      </c>
      <c r="DE1029" s="323">
        <f t="shared" si="2151"/>
        <v>44.87491947503694</v>
      </c>
      <c r="DF1029" s="323">
        <f t="shared" si="2151"/>
        <v>7.6787741383385413</v>
      </c>
      <c r="DG1029" s="323">
        <f t="shared" si="2151"/>
        <v>0</v>
      </c>
      <c r="DH1029" s="323">
        <f t="shared" si="2151"/>
        <v>70.05920556739467</v>
      </c>
      <c r="DI1029" s="323">
        <f t="shared" si="2151"/>
        <v>0</v>
      </c>
      <c r="DJ1029" s="323">
        <f t="shared" si="2151"/>
        <v>16.048668081999999</v>
      </c>
      <c r="DK1029" s="323">
        <f t="shared" si="2151"/>
        <v>0</v>
      </c>
      <c r="DL1029" s="323">
        <f t="shared" si="2151"/>
        <v>0</v>
      </c>
      <c r="DM1029" s="323">
        <f t="shared" si="2151"/>
        <v>0</v>
      </c>
      <c r="DN1029" s="325">
        <f t="shared" si="2151"/>
        <v>0</v>
      </c>
      <c r="DO1029" s="323">
        <f t="shared" si="2151"/>
        <v>0</v>
      </c>
      <c r="DP1029" s="323">
        <f t="shared" si="2151"/>
        <v>0</v>
      </c>
      <c r="DQ1029" s="323">
        <f t="shared" si="2151"/>
        <v>19.271476517449592</v>
      </c>
      <c r="DR1029" s="323">
        <f t="shared" si="2151"/>
        <v>63.686505457646405</v>
      </c>
      <c r="DS1029" s="323">
        <f t="shared" si="2151"/>
        <v>0</v>
      </c>
      <c r="DT1029" s="323">
        <f t="shared" si="2151"/>
        <v>74.902879725146917</v>
      </c>
      <c r="DU1029" s="323">
        <f t="shared" si="2151"/>
        <v>0</v>
      </c>
      <c r="DV1029" s="323">
        <f t="shared" si="2151"/>
        <v>0</v>
      </c>
      <c r="DW1029" s="323">
        <f t="shared" ref="DW1029:FB1029" si="2152">DW33</f>
        <v>0</v>
      </c>
      <c r="DX1029" s="323">
        <f t="shared" si="2152"/>
        <v>0</v>
      </c>
      <c r="DY1029" s="323">
        <f t="shared" si="2152"/>
        <v>25.959476439408562</v>
      </c>
      <c r="DZ1029" s="325">
        <f t="shared" si="2152"/>
        <v>0</v>
      </c>
      <c r="EA1029" s="323">
        <f t="shared" si="2152"/>
        <v>0</v>
      </c>
      <c r="EB1029" s="323">
        <f t="shared" si="2152"/>
        <v>17.655663775983001</v>
      </c>
      <c r="EC1029" s="323">
        <f t="shared" si="2152"/>
        <v>25.542790115999999</v>
      </c>
      <c r="ED1029" s="323">
        <f t="shared" si="2152"/>
        <v>6.2556475300000001</v>
      </c>
      <c r="EE1029" s="323">
        <f t="shared" si="2152"/>
        <v>104.77629606000001</v>
      </c>
      <c r="EF1029" s="323">
        <f t="shared" si="2152"/>
        <v>0</v>
      </c>
      <c r="EG1029" s="323">
        <f t="shared" si="2152"/>
        <v>36.409625616</v>
      </c>
      <c r="EH1029" s="323">
        <f t="shared" si="2152"/>
        <v>0</v>
      </c>
      <c r="EI1029" s="323">
        <f t="shared" si="2152"/>
        <v>0</v>
      </c>
      <c r="EJ1029" s="323">
        <f t="shared" si="2152"/>
        <v>0</v>
      </c>
      <c r="EK1029" s="323">
        <f t="shared" si="2152"/>
        <v>20.856450759000001</v>
      </c>
      <c r="EL1029" s="325">
        <f t="shared" si="2152"/>
        <v>0</v>
      </c>
      <c r="EM1029" s="323">
        <f t="shared" si="2152"/>
        <v>0</v>
      </c>
      <c r="EN1029" s="323">
        <f t="shared" si="2152"/>
        <v>0</v>
      </c>
      <c r="EO1029" s="323">
        <f t="shared" si="2152"/>
        <v>0</v>
      </c>
      <c r="EP1029" s="323">
        <f t="shared" si="2152"/>
        <v>4.4390382572712728</v>
      </c>
      <c r="EQ1029" s="323">
        <f t="shared" si="2152"/>
        <v>0</v>
      </c>
      <c r="ER1029" s="323">
        <f t="shared" si="2152"/>
        <v>194.16733567142407</v>
      </c>
      <c r="ES1029" s="323">
        <f t="shared" si="2152"/>
        <v>0</v>
      </c>
      <c r="ET1029" s="323">
        <f t="shared" si="2152"/>
        <v>0</v>
      </c>
      <c r="EU1029" s="323">
        <f t="shared" si="2152"/>
        <v>0</v>
      </c>
      <c r="EV1029" s="323">
        <f t="shared" si="2152"/>
        <v>5.3858014281060003</v>
      </c>
      <c r="EW1029" s="323">
        <f t="shared" si="2152"/>
        <v>0</v>
      </c>
      <c r="EX1029" s="325">
        <f t="shared" si="2152"/>
        <v>58.056333345380395</v>
      </c>
      <c r="EY1029" s="323">
        <f t="shared" si="2152"/>
        <v>0</v>
      </c>
      <c r="EZ1029" s="323">
        <f t="shared" si="2152"/>
        <v>0</v>
      </c>
      <c r="FA1029" s="323">
        <f t="shared" si="2152"/>
        <v>21.862293567408003</v>
      </c>
      <c r="FB1029" s="323">
        <f t="shared" si="2152"/>
        <v>168.37595167678001</v>
      </c>
      <c r="FC1029" s="323">
        <f t="shared" ref="FC1029:FV1029" si="2153">FC33</f>
        <v>12.978702141386998</v>
      </c>
      <c r="FD1029" s="323">
        <f t="shared" si="2153"/>
        <v>111.34618143695599</v>
      </c>
      <c r="FE1029" s="323">
        <f t="shared" si="2153"/>
        <v>46.971522584283328</v>
      </c>
      <c r="FF1029" s="323">
        <f t="shared" si="2153"/>
        <v>4.5113808899999999</v>
      </c>
      <c r="FG1029" s="323">
        <f t="shared" si="2153"/>
        <v>0</v>
      </c>
      <c r="FH1029" s="323">
        <f t="shared" si="2153"/>
        <v>102.50687064179</v>
      </c>
      <c r="FI1029" s="323">
        <f t="shared" si="2153"/>
        <v>6.9664088161651447</v>
      </c>
      <c r="FJ1029" s="325">
        <f t="shared" si="2153"/>
        <v>245.4320386331857</v>
      </c>
      <c r="FK1029" s="323">
        <f t="shared" si="2153"/>
        <v>53.911287541610434</v>
      </c>
      <c r="FL1029" s="323">
        <f t="shared" si="2153"/>
        <v>0</v>
      </c>
      <c r="FM1029" s="323">
        <f t="shared" si="2153"/>
        <v>44.669390200000002</v>
      </c>
      <c r="FN1029" s="323">
        <f t="shared" si="2153"/>
        <v>19.46088985149353</v>
      </c>
      <c r="FO1029" s="323">
        <f t="shared" si="2153"/>
        <v>0.94926956868242574</v>
      </c>
      <c r="FP1029" s="323">
        <f t="shared" si="2153"/>
        <v>120.85648703055867</v>
      </c>
      <c r="FQ1029" s="323">
        <f t="shared" si="2153"/>
        <v>0</v>
      </c>
      <c r="FR1029" s="323">
        <f t="shared" si="2153"/>
        <v>21.210518928999999</v>
      </c>
      <c r="FS1029" s="323">
        <f t="shared" si="2153"/>
        <v>77.391814847999996</v>
      </c>
      <c r="FT1029" s="323">
        <f t="shared" si="2153"/>
        <v>0.7073382329598551</v>
      </c>
      <c r="FU1029" s="323">
        <f t="shared" si="2153"/>
        <v>0</v>
      </c>
      <c r="FV1029" s="323">
        <f t="shared" si="2153"/>
        <v>3.9146463928729198</v>
      </c>
      <c r="FW1029" s="323">
        <v>3.9260314720886353</v>
      </c>
      <c r="FX1029" s="323">
        <v>0</v>
      </c>
      <c r="FY1029" s="323">
        <v>0</v>
      </c>
      <c r="FZ1029" s="323">
        <v>26.227729108165409</v>
      </c>
      <c r="GA1029" s="323">
        <v>45.826820963338797</v>
      </c>
      <c r="GB1029" s="323">
        <v>0</v>
      </c>
      <c r="GC1029" s="323">
        <v>8.2987895138364998</v>
      </c>
      <c r="GD1029" s="323">
        <v>0</v>
      </c>
      <c r="GE1029" s="323">
        <v>84.835333233058208</v>
      </c>
      <c r="GF1029" s="323">
        <v>20.432612662744599</v>
      </c>
      <c r="GG1029" s="323">
        <v>21.985868334907199</v>
      </c>
      <c r="GH1029" s="323">
        <v>6.559023474406283</v>
      </c>
      <c r="GI1029" s="1654">
        <v>2.8832750126240643</v>
      </c>
      <c r="GJ1029" s="1654">
        <v>2.8412265226028754</v>
      </c>
      <c r="GK1029" s="1654">
        <v>0</v>
      </c>
      <c r="GL1029" s="1658">
        <v>2.5117047327779196</v>
      </c>
      <c r="GM1029" s="1658">
        <v>0</v>
      </c>
      <c r="GN1029" s="1654">
        <v>0.78372078753291408</v>
      </c>
      <c r="GO1029" s="1654">
        <v>0.9753833970000001</v>
      </c>
      <c r="GP1029" s="1654">
        <v>0</v>
      </c>
      <c r="GQ1029" s="1654">
        <v>396.95168831449183</v>
      </c>
      <c r="GR1029" s="1654">
        <v>0</v>
      </c>
      <c r="GS1029" s="1654">
        <v>0</v>
      </c>
      <c r="GT1029" s="1654">
        <v>128.41990886301025</v>
      </c>
      <c r="GU1029" s="1654">
        <v>9.9998771468992107</v>
      </c>
      <c r="GV1029" s="1654">
        <v>3.5625632239400997</v>
      </c>
      <c r="GW1029" s="1654">
        <v>0</v>
      </c>
      <c r="GX1029" s="1654">
        <v>0</v>
      </c>
      <c r="GY1029" s="1654">
        <v>0</v>
      </c>
      <c r="GZ1029" s="1654">
        <v>293.46829974723317</v>
      </c>
      <c r="HA1029" s="1654">
        <v>0</v>
      </c>
      <c r="HB1029" s="1654">
        <v>0</v>
      </c>
      <c r="HC1029" s="1654">
        <v>17.561267907005</v>
      </c>
      <c r="HD1029" s="1654">
        <v>57.371491955052676</v>
      </c>
      <c r="HE1029" s="1654">
        <v>122.01017142208079</v>
      </c>
      <c r="HF1029" s="1654">
        <v>287.97091081508466</v>
      </c>
      <c r="HG1029" s="1654">
        <v>0</v>
      </c>
      <c r="HH1029" s="1654">
        <v>0</v>
      </c>
      <c r="HI1029" s="1654">
        <v>0</v>
      </c>
      <c r="HJ1029" s="1654">
        <v>0</v>
      </c>
      <c r="HK1029" s="1654">
        <v>48.329770787971036</v>
      </c>
      <c r="HL1029" s="1654">
        <v>705.1206443458633</v>
      </c>
      <c r="HM1029" s="1654">
        <v>0</v>
      </c>
      <c r="HN1029" s="1654">
        <v>0</v>
      </c>
      <c r="HO1029" s="1654">
        <v>2.2709806791681455</v>
      </c>
      <c r="HP1029" s="1654">
        <v>8.0324517557107207</v>
      </c>
      <c r="HQ1029" s="1654">
        <v>0</v>
      </c>
      <c r="HR1029" s="1654">
        <v>24.573739312321063</v>
      </c>
      <c r="HS1029" s="1654">
        <v>0</v>
      </c>
      <c r="HT1029" s="1654">
        <v>4.0274746135200008</v>
      </c>
      <c r="HU1029" s="1654">
        <v>77.358854412309995</v>
      </c>
      <c r="HV1029" s="1654">
        <v>0</v>
      </c>
      <c r="HW1029" s="1654">
        <v>112.11676293282001</v>
      </c>
      <c r="HX1029" s="1654">
        <v>39.437384008317991</v>
      </c>
      <c r="HY1029" s="1654"/>
      <c r="HZ1029" s="326"/>
      <c r="IA1029" s="337" t="s">
        <v>506</v>
      </c>
      <c r="IB1029" s="284">
        <f>SUM(CE1029:CJ1029)</f>
        <v>0</v>
      </c>
      <c r="IC1029" s="279">
        <f>SUM(CK1029:CP1029)</f>
        <v>49.486261138802</v>
      </c>
      <c r="ID1029" s="323">
        <f>IB1029+IC1029</f>
        <v>49.486261138802</v>
      </c>
      <c r="IE1029" s="279">
        <f>SUM(CQ1029:CV1029)</f>
        <v>56.682335553289001</v>
      </c>
      <c r="IF1029" s="279">
        <f>SUM(CW1029:DB1029)</f>
        <v>46.908105421953671</v>
      </c>
      <c r="IG1029" s="323">
        <f>IE1029+IF1029</f>
        <v>103.59044097524267</v>
      </c>
      <c r="IH1029" s="284">
        <f>SUM(DC1029:DH1029)</f>
        <v>122.61289918077014</v>
      </c>
      <c r="II1029" s="279">
        <f>SUM(DI1029:DN1029)</f>
        <v>16.048668081999999</v>
      </c>
      <c r="IJ1029" s="323">
        <f>IH1029+II1029</f>
        <v>138.66156726277015</v>
      </c>
      <c r="IK1029" s="327">
        <f>SUM(DO1029:DT1029)</f>
        <v>157.86086170024294</v>
      </c>
      <c r="IL1029" s="279">
        <f>SUM(DU1029:DZ1029)</f>
        <v>25.959476439408562</v>
      </c>
      <c r="IM1029" s="323">
        <f>IK1029+IL1029</f>
        <v>183.82033813965148</v>
      </c>
      <c r="IN1029" s="279">
        <f>SUM(EA1029:EF1029)</f>
        <v>154.230397481983</v>
      </c>
      <c r="IO1029" s="279">
        <f>SUM(EG1029:EL1029)</f>
        <v>57.266076374999997</v>
      </c>
      <c r="IP1029" s="323">
        <f>IN1029+IO1029</f>
        <v>211.49647385698302</v>
      </c>
      <c r="IQ1029" s="327">
        <f>SUM(EM1029:ER1029)</f>
        <v>198.60637392869535</v>
      </c>
      <c r="IR1029" s="327">
        <f>SUM(ES1029:EX1029)</f>
        <v>63.442134773486394</v>
      </c>
      <c r="IS1029" s="323">
        <f>IQ1029+IR1029</f>
        <v>262.04850870218172</v>
      </c>
      <c r="IT1029" s="327">
        <f>SUM(EY1029:FD1029)</f>
        <v>314.56312882253098</v>
      </c>
      <c r="IU1029" s="327">
        <f>SUM(FE1029:FJ1029)</f>
        <v>406.38822156542415</v>
      </c>
      <c r="IV1029" s="323">
        <f>IT1029+IU1029</f>
        <v>720.95135038795513</v>
      </c>
      <c r="IW1029" s="327">
        <f>SUM(FK1029:FP1029)</f>
        <v>239.84732419234507</v>
      </c>
      <c r="IX1029" s="327">
        <f t="shared" si="2136"/>
        <v>103.22431840283278</v>
      </c>
      <c r="IY1029" s="323">
        <f t="shared" si="2005"/>
        <v>343.07164259517788</v>
      </c>
      <c r="IZ1029" s="327">
        <f t="shared" si="2110"/>
        <v>75.980581543592848</v>
      </c>
      <c r="JA1029" s="327">
        <f t="shared" si="2111"/>
        <v>142.11162721895278</v>
      </c>
      <c r="JB1029" s="323">
        <f t="shared" si="2036"/>
        <v>218.09220876254562</v>
      </c>
      <c r="JC1029" s="327">
        <f t="shared" si="2112"/>
        <v>9.0199270555377744</v>
      </c>
      <c r="JD1029" s="327">
        <f t="shared" si="2113"/>
        <v>526.34698057450203</v>
      </c>
      <c r="JE1029" s="323">
        <f t="shared" si="2137"/>
        <v>535.3669076300398</v>
      </c>
      <c r="JF1029" s="327">
        <f>SUM(GU1029:GZ1029)</f>
        <v>307.03074011807246</v>
      </c>
      <c r="JG1029" s="327">
        <f t="shared" ref="JG1029:JG1032" si="2154">SUM(HA1029:HF1029)</f>
        <v>484.91384209922313</v>
      </c>
      <c r="JH1029" s="323">
        <f t="shared" si="2135"/>
        <v>791.94458221729565</v>
      </c>
      <c r="JI1029" s="327">
        <f t="shared" si="2144"/>
        <v>753.45041513383433</v>
      </c>
      <c r="JJ1029" s="327">
        <f t="shared" si="2035"/>
        <v>34.877171747199931</v>
      </c>
      <c r="JK1029" s="323">
        <f t="shared" si="2117"/>
        <v>788.32758688103422</v>
      </c>
      <c r="JL1029" s="327">
        <f t="shared" si="2118"/>
        <v>232.94047596696799</v>
      </c>
      <c r="JM1029" s="327">
        <f>FISC!AK66*FISC!AK259/1000+JM1032</f>
        <v>715.57905460272048</v>
      </c>
      <c r="JN1029" s="323">
        <f>FISC!AK1354</f>
        <v>949.34480177277817</v>
      </c>
      <c r="JO1029" s="327">
        <f>FISC!AK73*FISC!AL259/1000+JO1032</f>
        <v>503.55253080579968</v>
      </c>
      <c r="JP1029" s="327">
        <f>FISC!AL66*FISC!AL259/1000+JP1032</f>
        <v>476.64162861292345</v>
      </c>
      <c r="JQ1029" s="323">
        <f>FISC!AL1354</f>
        <v>980.19415941872319</v>
      </c>
      <c r="JR1029" s="279">
        <f>FISC!AL73*FISC!AM259/1000+JR1032</f>
        <v>608.93823902354336</v>
      </c>
      <c r="JS1029" s="279">
        <f>FISC!AM66*FISC!AM259/1000+JS1032</f>
        <v>201.50587760077906</v>
      </c>
      <c r="JT1029" s="323">
        <f>FISC!AM1354</f>
        <v>810.44411662432253</v>
      </c>
      <c r="JU1029" s="279">
        <f>FISC!AM73*FISC!AN259/1000+JU1032</f>
        <v>599.04311349188538</v>
      </c>
      <c r="JV1029" s="279">
        <f>FISC!AN66*FISC!AN259/1000+JV1032</f>
        <v>58.793820665492021</v>
      </c>
      <c r="JW1029" s="323">
        <f>FISC!AN1354</f>
        <v>657.8369341573773</v>
      </c>
      <c r="JX1029" s="279">
        <f>FISC!AN73*FISC!AO259/1000+JX1032</f>
        <v>510.67783344460497</v>
      </c>
      <c r="JY1029" s="279">
        <f>FISC!AO66*FISC!AO259/1000+JY1032</f>
        <v>76.373036596702434</v>
      </c>
      <c r="JZ1029" s="323">
        <f>FISC!AO1354</f>
        <v>587.05087004130746</v>
      </c>
      <c r="KA1029" s="279">
        <f>FISC!AO73*FISC!AQ259/1000</f>
        <v>549.69540398123456</v>
      </c>
      <c r="KB1029" s="279">
        <f>FISC!AR66*FISC!AR259/1000+KB1032</f>
        <v>204.87978907886134</v>
      </c>
      <c r="KC1029" s="323">
        <f>FISC!AP1354</f>
        <v>772.97506311441145</v>
      </c>
      <c r="KD1029" s="279">
        <f>FISC!AT73*FISC!AU259/1000+KD1032</f>
        <v>0</v>
      </c>
      <c r="KE1029" s="279">
        <f>FISC!AU66*FISC!AU259/1000+KE1032</f>
        <v>0</v>
      </c>
      <c r="KF1029" s="323">
        <f>FISC!AQ1354</f>
        <v>784.92411321974964</v>
      </c>
      <c r="KG1029" s="279">
        <f>FISC!AW73*FISC!AX259/1000+KG1032</f>
        <v>0</v>
      </c>
      <c r="KH1029" s="279">
        <f>FISC!AX66*FISC!AX259/1000+KH1032</f>
        <v>0</v>
      </c>
      <c r="KI1029" s="323">
        <f>FISC!AR1354</f>
        <v>738.41059566050205</v>
      </c>
      <c r="KJ1029" s="279">
        <f>FISC!AZ73*FISC!BA259/1000+KJ1032</f>
        <v>0</v>
      </c>
      <c r="KK1029" s="279">
        <f>FISC!BA66*FISC!BA259/1000+KK1032</f>
        <v>0</v>
      </c>
      <c r="KL1029" s="323">
        <f>FISC!AS1354</f>
        <v>760.56291353031725</v>
      </c>
      <c r="KM1029" s="279">
        <f>FISC!BC73*FISC!BD259/1000+KM1032</f>
        <v>0</v>
      </c>
      <c r="KN1029" s="279">
        <f>FISC!BD66*FISC!BD259/1000+KN1032</f>
        <v>0</v>
      </c>
      <c r="KO1029" s="323">
        <f>FISC!AT1354</f>
        <v>783.37980093622684</v>
      </c>
      <c r="KU1029" s="326"/>
      <c r="KV1029" s="327"/>
    </row>
    <row r="1030" spans="1:314">
      <c r="A1030" s="279"/>
      <c r="D1030" s="1395" t="s">
        <v>3680</v>
      </c>
      <c r="E1030" s="323"/>
      <c r="F1030" s="323"/>
      <c r="G1030" s="323"/>
      <c r="H1030" s="323"/>
      <c r="I1030" s="323"/>
      <c r="J1030" s="323"/>
      <c r="K1030" s="323"/>
      <c r="L1030" s="323"/>
      <c r="M1030" s="323"/>
      <c r="N1030" s="323"/>
      <c r="O1030" s="323"/>
      <c r="P1030" s="323"/>
      <c r="Q1030" s="323"/>
      <c r="R1030" s="323"/>
      <c r="S1030" s="323"/>
      <c r="T1030" s="323"/>
      <c r="U1030" s="323"/>
      <c r="V1030" s="323"/>
      <c r="W1030" s="323"/>
      <c r="X1030" s="323"/>
      <c r="Y1030" s="323"/>
      <c r="Z1030" s="323"/>
      <c r="AA1030" s="323"/>
      <c r="AB1030" s="323"/>
      <c r="AC1030" s="323"/>
      <c r="AD1030" s="323"/>
      <c r="AE1030" s="323"/>
      <c r="AF1030" s="323"/>
      <c r="AG1030" s="323"/>
      <c r="AH1030" s="323"/>
      <c r="AI1030" s="323"/>
      <c r="AJ1030" s="323"/>
      <c r="AK1030" s="323"/>
      <c r="AL1030" s="323"/>
      <c r="AM1030" s="323"/>
      <c r="AN1030" s="323"/>
      <c r="AO1030" s="323"/>
      <c r="AP1030" s="323"/>
      <c r="AQ1030" s="323"/>
      <c r="AR1030" s="323"/>
      <c r="AS1030" s="323"/>
      <c r="AT1030" s="323"/>
      <c r="AU1030" s="323"/>
      <c r="AV1030" s="323"/>
      <c r="AW1030" s="323"/>
      <c r="AX1030" s="323"/>
      <c r="AY1030" s="323"/>
      <c r="AZ1030" s="323"/>
      <c r="BA1030" s="323"/>
      <c r="BB1030" s="323"/>
      <c r="BC1030" s="323"/>
      <c r="BD1030" s="323"/>
      <c r="BE1030" s="323"/>
      <c r="BF1030" s="323"/>
      <c r="BG1030" s="323"/>
      <c r="BH1030" s="323"/>
      <c r="BI1030" s="323"/>
      <c r="BJ1030" s="323"/>
      <c r="BK1030" s="323"/>
      <c r="BL1030" s="323"/>
      <c r="BM1030" s="323"/>
      <c r="BN1030" s="323"/>
      <c r="BO1030" s="323"/>
      <c r="BP1030" s="323"/>
      <c r="BQ1030" s="323"/>
      <c r="BR1030" s="323"/>
      <c r="BS1030" s="323"/>
      <c r="BT1030" s="323"/>
      <c r="BU1030" s="323"/>
      <c r="BV1030" s="323"/>
      <c r="BW1030" s="323"/>
      <c r="BX1030" s="323"/>
      <c r="BY1030" s="323"/>
      <c r="BZ1030" s="323"/>
      <c r="CA1030" s="323"/>
      <c r="CB1030" s="323"/>
      <c r="CC1030" s="323"/>
      <c r="CD1030" s="329"/>
      <c r="CE1030" s="323"/>
      <c r="CF1030" s="323"/>
      <c r="CG1030" s="323"/>
      <c r="CH1030" s="323"/>
      <c r="CI1030" s="323"/>
      <c r="CJ1030" s="323"/>
      <c r="CK1030" s="323"/>
      <c r="CL1030" s="323"/>
      <c r="CM1030" s="323"/>
      <c r="CN1030" s="323"/>
      <c r="CO1030" s="323"/>
      <c r="CP1030" s="325"/>
      <c r="CQ1030" s="323"/>
      <c r="CR1030" s="323"/>
      <c r="CS1030" s="323"/>
      <c r="CT1030" s="323"/>
      <c r="CU1030" s="323"/>
      <c r="CV1030" s="323"/>
      <c r="CW1030" s="323"/>
      <c r="CX1030" s="323"/>
      <c r="CY1030" s="323"/>
      <c r="CZ1030" s="323"/>
      <c r="DA1030" s="323"/>
      <c r="DB1030" s="1269"/>
      <c r="DC1030" s="323"/>
      <c r="DD1030" s="323"/>
      <c r="DE1030" s="323"/>
      <c r="DF1030" s="323"/>
      <c r="DG1030" s="323"/>
      <c r="DH1030" s="323"/>
      <c r="DI1030" s="323"/>
      <c r="DJ1030" s="323"/>
      <c r="DK1030" s="323"/>
      <c r="DL1030" s="323"/>
      <c r="DM1030" s="323"/>
      <c r="DN1030" s="325"/>
      <c r="DO1030" s="323"/>
      <c r="DP1030" s="323"/>
      <c r="DQ1030" s="323"/>
      <c r="DR1030" s="323"/>
      <c r="DS1030" s="323"/>
      <c r="DT1030" s="323"/>
      <c r="DU1030" s="323"/>
      <c r="DV1030" s="323"/>
      <c r="DW1030" s="323"/>
      <c r="DX1030" s="323"/>
      <c r="DY1030" s="323"/>
      <c r="DZ1030" s="325"/>
      <c r="EA1030" s="323"/>
      <c r="EB1030" s="323"/>
      <c r="EC1030" s="323"/>
      <c r="ED1030" s="323"/>
      <c r="EE1030" s="323"/>
      <c r="EF1030" s="323"/>
      <c r="EG1030" s="323"/>
      <c r="EH1030" s="323"/>
      <c r="EI1030" s="323"/>
      <c r="EJ1030" s="323"/>
      <c r="EK1030" s="323"/>
      <c r="EL1030" s="325"/>
      <c r="EM1030" s="323"/>
      <c r="EN1030" s="323"/>
      <c r="EO1030" s="323"/>
      <c r="EP1030" s="323"/>
      <c r="EQ1030" s="323"/>
      <c r="ER1030" s="323"/>
      <c r="ES1030" s="323"/>
      <c r="ET1030" s="323"/>
      <c r="EU1030" s="323"/>
      <c r="EV1030" s="323"/>
      <c r="EW1030" s="323"/>
      <c r="EX1030" s="325"/>
      <c r="EY1030" s="323"/>
      <c r="EZ1030" s="323"/>
      <c r="FA1030" s="323"/>
      <c r="FB1030" s="323"/>
      <c r="FC1030" s="323"/>
      <c r="FD1030" s="323"/>
      <c r="FE1030" s="323"/>
      <c r="FF1030" s="323"/>
      <c r="FG1030" s="323"/>
      <c r="FH1030" s="323"/>
      <c r="FI1030" s="323"/>
      <c r="FJ1030" s="325"/>
      <c r="FK1030" s="323"/>
      <c r="FL1030" s="323"/>
      <c r="FM1030" s="323"/>
      <c r="FN1030" s="323"/>
      <c r="FO1030" s="323"/>
      <c r="FP1030" s="323"/>
      <c r="FQ1030" s="323"/>
      <c r="FR1030" s="323"/>
      <c r="FS1030" s="323"/>
      <c r="FT1030" s="323"/>
      <c r="FU1030" s="323"/>
      <c r="FV1030" s="323"/>
      <c r="FW1030" s="323"/>
      <c r="FX1030" s="323"/>
      <c r="FY1030" s="323"/>
      <c r="FZ1030" s="323"/>
      <c r="GA1030" s="323"/>
      <c r="GB1030" s="323"/>
      <c r="GC1030" s="323"/>
      <c r="GD1030" s="323"/>
      <c r="GE1030" s="323"/>
      <c r="GF1030" s="323"/>
      <c r="GG1030" s="323"/>
      <c r="GH1030" s="323"/>
      <c r="GI1030" s="1654"/>
      <c r="HZ1030" s="326"/>
      <c r="IA1030" s="1395" t="s">
        <v>3795</v>
      </c>
      <c r="IB1030" s="284"/>
      <c r="ID1030" s="323"/>
      <c r="IG1030" s="323"/>
      <c r="IH1030" s="284"/>
      <c r="IJ1030" s="323"/>
      <c r="IK1030" s="327"/>
      <c r="IM1030" s="323"/>
      <c r="IP1030" s="323"/>
      <c r="IQ1030" s="327"/>
      <c r="IR1030" s="327"/>
      <c r="IS1030" s="323"/>
      <c r="IT1030" s="327"/>
      <c r="IU1030" s="327"/>
      <c r="IV1030" s="323"/>
      <c r="IW1030" s="327">
        <v>0</v>
      </c>
      <c r="IX1030" s="327">
        <f t="shared" si="2136"/>
        <v>0</v>
      </c>
      <c r="IY1030" s="323">
        <f t="shared" si="2005"/>
        <v>0</v>
      </c>
      <c r="IZ1030" s="327">
        <f t="shared" si="2110"/>
        <v>0</v>
      </c>
      <c r="JA1030" s="327">
        <f t="shared" si="2111"/>
        <v>0</v>
      </c>
      <c r="JB1030" s="323">
        <f t="shared" si="2036"/>
        <v>0</v>
      </c>
      <c r="JC1030" s="327">
        <f t="shared" si="2112"/>
        <v>0</v>
      </c>
      <c r="JD1030" s="327">
        <f t="shared" si="2113"/>
        <v>0</v>
      </c>
      <c r="JE1030" s="323">
        <f t="shared" si="2137"/>
        <v>0</v>
      </c>
      <c r="JF1030" s="327"/>
      <c r="JG1030" s="327">
        <f t="shared" si="2154"/>
        <v>0</v>
      </c>
      <c r="JH1030" s="323">
        <f t="shared" si="2135"/>
        <v>0</v>
      </c>
      <c r="JI1030" s="327">
        <f t="shared" si="2144"/>
        <v>0</v>
      </c>
      <c r="JJ1030" s="327">
        <f t="shared" si="2035"/>
        <v>0</v>
      </c>
      <c r="JK1030" s="323">
        <f t="shared" si="2117"/>
        <v>0</v>
      </c>
      <c r="JL1030" s="327">
        <f t="shared" si="2118"/>
        <v>0</v>
      </c>
      <c r="JM1030" s="327">
        <f>(FISC!AK69)*FISC!AK259/1000</f>
        <v>357.91988568105711</v>
      </c>
      <c r="JN1030" s="323">
        <f>FISC!AK1355</f>
        <v>591.424916091721</v>
      </c>
      <c r="JO1030" s="327">
        <f>(FISC!AK76)*FISC!AL259/1000</f>
        <v>145.96204287954967</v>
      </c>
      <c r="JP1030" s="327">
        <f>(FISC!AL69)*FISC!AL259/1000</f>
        <v>164.34688919940356</v>
      </c>
      <c r="JQ1030" s="323">
        <f>FISC!AL1355</f>
        <v>669.88522733976993</v>
      </c>
      <c r="JR1030" s="279">
        <f>(FISC!AL76)*FISC!AM259/1000</f>
        <v>118.64701316977916</v>
      </c>
      <c r="JS1030" s="279">
        <f>(FISC!AM69)*FISC!AM259/1000</f>
        <v>59.007313109907408</v>
      </c>
      <c r="JT1030" s="323">
        <f>FISC!AM1355</f>
        <v>474.46674807843704</v>
      </c>
      <c r="JU1030" s="279">
        <f>(FISC!AM76)*FISC!AN259/1000</f>
        <v>2.4337914563980978</v>
      </c>
      <c r="JV1030" s="279">
        <f>(FISC!AN69)*FISC!AN259/1000</f>
        <v>1.9788645991640408</v>
      </c>
      <c r="JW1030" s="323">
        <f>FISC!AN1355</f>
        <v>558.73268465793512</v>
      </c>
      <c r="JX1030" s="279">
        <f>(FISC!AN76)*FISC!AO258/1000</f>
        <v>0.66566892832903835</v>
      </c>
      <c r="JY1030" s="279">
        <f>(FISC!AO69)*FISC!AO259/1000</f>
        <v>0</v>
      </c>
      <c r="JZ1030" s="323">
        <f>FISC!AO1355</f>
        <v>487.70926816712324</v>
      </c>
      <c r="KA1030" s="279">
        <f>(FISC!AO76)*FISC!AQ258/1000</f>
        <v>0</v>
      </c>
      <c r="KB1030" s="279">
        <f>(FISC!AR69)*FISC!AR259/1000</f>
        <v>0</v>
      </c>
      <c r="KC1030" s="323">
        <f>FISC!AP1355</f>
        <v>696.02280673060795</v>
      </c>
      <c r="KD1030" s="279">
        <f>(FISC!AT76)*FISC!AU258/1000</f>
        <v>0</v>
      </c>
      <c r="KE1030" s="279">
        <f>(FISC!AU69)*FISC!AU259/1000</f>
        <v>0</v>
      </c>
      <c r="KF1030" s="323">
        <f>FISC!AQ1355</f>
        <v>716.90349093252632</v>
      </c>
      <c r="KG1030" s="279">
        <f>(FISC!AW76)*FISC!AX258/1000</f>
        <v>0</v>
      </c>
      <c r="KH1030" s="279">
        <f>(FISC!AX69)*FISC!AX259/1000</f>
        <v>0</v>
      </c>
      <c r="KI1030" s="323">
        <f>FISC!AR1355</f>
        <v>738.41059566050205</v>
      </c>
      <c r="KJ1030" s="279">
        <f>(FISC!AZ76)*FISC!BA258/1000</f>
        <v>0</v>
      </c>
      <c r="KK1030" s="279">
        <f>(FISC!BA69)*FISC!BA259/1000</f>
        <v>0</v>
      </c>
      <c r="KL1030" s="323">
        <f>FISC!AS1355</f>
        <v>760.56291353031725</v>
      </c>
      <c r="KM1030" s="279">
        <f>(FISC!BC76)*FISC!BD258/1000</f>
        <v>0</v>
      </c>
      <c r="KN1030" s="279">
        <f>(FISC!BD69)*FISC!BD259/1000</f>
        <v>0</v>
      </c>
      <c r="KO1030" s="323">
        <f>FISC!AT1355</f>
        <v>783.37980093622684</v>
      </c>
      <c r="KU1030" s="326"/>
      <c r="KV1030" s="327"/>
    </row>
    <row r="1031" spans="1:314">
      <c r="A1031" s="279"/>
      <c r="D1031" s="1395" t="s">
        <v>3681</v>
      </c>
      <c r="E1031" s="323"/>
      <c r="F1031" s="323"/>
      <c r="G1031" s="323"/>
      <c r="H1031" s="323"/>
      <c r="I1031" s="323"/>
      <c r="J1031" s="323"/>
      <c r="K1031" s="323"/>
      <c r="L1031" s="323"/>
      <c r="M1031" s="323"/>
      <c r="N1031" s="323"/>
      <c r="O1031" s="323"/>
      <c r="P1031" s="323"/>
      <c r="Q1031" s="323"/>
      <c r="R1031" s="323"/>
      <c r="S1031" s="323"/>
      <c r="T1031" s="323"/>
      <c r="U1031" s="323"/>
      <c r="V1031" s="323"/>
      <c r="W1031" s="323"/>
      <c r="X1031" s="323"/>
      <c r="Y1031" s="323"/>
      <c r="Z1031" s="323"/>
      <c r="AA1031" s="323"/>
      <c r="AB1031" s="323"/>
      <c r="AC1031" s="323"/>
      <c r="AD1031" s="323"/>
      <c r="AE1031" s="323"/>
      <c r="AF1031" s="323"/>
      <c r="AG1031" s="323"/>
      <c r="AH1031" s="323"/>
      <c r="AI1031" s="323"/>
      <c r="AJ1031" s="323"/>
      <c r="AK1031" s="323"/>
      <c r="AL1031" s="323"/>
      <c r="AM1031" s="323"/>
      <c r="AN1031" s="323"/>
      <c r="AO1031" s="323"/>
      <c r="AP1031" s="323"/>
      <c r="AQ1031" s="323"/>
      <c r="AR1031" s="323"/>
      <c r="AS1031" s="323"/>
      <c r="AT1031" s="323"/>
      <c r="AU1031" s="323"/>
      <c r="AV1031" s="323"/>
      <c r="AW1031" s="323"/>
      <c r="AX1031" s="323"/>
      <c r="AY1031" s="323"/>
      <c r="AZ1031" s="323"/>
      <c r="BA1031" s="323"/>
      <c r="BB1031" s="323"/>
      <c r="BC1031" s="323"/>
      <c r="BD1031" s="323"/>
      <c r="BE1031" s="323"/>
      <c r="BF1031" s="323"/>
      <c r="BG1031" s="323"/>
      <c r="BH1031" s="323"/>
      <c r="BI1031" s="323"/>
      <c r="BJ1031" s="323"/>
      <c r="BK1031" s="323"/>
      <c r="BL1031" s="323"/>
      <c r="BM1031" s="323"/>
      <c r="BN1031" s="323"/>
      <c r="BO1031" s="323"/>
      <c r="BP1031" s="323"/>
      <c r="BQ1031" s="323"/>
      <c r="BR1031" s="323"/>
      <c r="BS1031" s="323"/>
      <c r="BT1031" s="323"/>
      <c r="BU1031" s="323"/>
      <c r="BV1031" s="323"/>
      <c r="BW1031" s="323"/>
      <c r="BX1031" s="323"/>
      <c r="BY1031" s="323"/>
      <c r="BZ1031" s="323"/>
      <c r="CA1031" s="323"/>
      <c r="CB1031" s="323"/>
      <c r="CC1031" s="323"/>
      <c r="CD1031" s="329"/>
      <c r="CE1031" s="323"/>
      <c r="CF1031" s="323"/>
      <c r="CG1031" s="323"/>
      <c r="CH1031" s="323"/>
      <c r="CI1031" s="323"/>
      <c r="CJ1031" s="323"/>
      <c r="CK1031" s="323"/>
      <c r="CL1031" s="323"/>
      <c r="CM1031" s="323"/>
      <c r="CN1031" s="323"/>
      <c r="CO1031" s="323"/>
      <c r="CP1031" s="325"/>
      <c r="CQ1031" s="323"/>
      <c r="CR1031" s="323"/>
      <c r="CS1031" s="323"/>
      <c r="CT1031" s="323"/>
      <c r="CU1031" s="323"/>
      <c r="CV1031" s="323"/>
      <c r="CW1031" s="323"/>
      <c r="CX1031" s="323"/>
      <c r="CY1031" s="323"/>
      <c r="CZ1031" s="323"/>
      <c r="DA1031" s="323"/>
      <c r="DB1031" s="1269"/>
      <c r="DC1031" s="323"/>
      <c r="DD1031" s="323"/>
      <c r="DE1031" s="323"/>
      <c r="DF1031" s="323"/>
      <c r="DG1031" s="323"/>
      <c r="DH1031" s="323"/>
      <c r="DI1031" s="323"/>
      <c r="DJ1031" s="323"/>
      <c r="DK1031" s="323"/>
      <c r="DL1031" s="323"/>
      <c r="DM1031" s="323"/>
      <c r="DN1031" s="325"/>
      <c r="DO1031" s="323"/>
      <c r="DP1031" s="323"/>
      <c r="DQ1031" s="323"/>
      <c r="DR1031" s="323"/>
      <c r="DS1031" s="323"/>
      <c r="DT1031" s="323"/>
      <c r="DU1031" s="323"/>
      <c r="DV1031" s="323"/>
      <c r="DW1031" s="323"/>
      <c r="DX1031" s="323"/>
      <c r="DY1031" s="323"/>
      <c r="DZ1031" s="325"/>
      <c r="EA1031" s="323"/>
      <c r="EB1031" s="323"/>
      <c r="EC1031" s="323"/>
      <c r="ED1031" s="323"/>
      <c r="EE1031" s="323"/>
      <c r="EF1031" s="323"/>
      <c r="EG1031" s="323"/>
      <c r="EH1031" s="323"/>
      <c r="EI1031" s="323"/>
      <c r="EJ1031" s="323"/>
      <c r="EK1031" s="323"/>
      <c r="EL1031" s="325"/>
      <c r="EM1031" s="323"/>
      <c r="EN1031" s="323"/>
      <c r="EO1031" s="323"/>
      <c r="EP1031" s="323"/>
      <c r="EQ1031" s="323"/>
      <c r="ER1031" s="323"/>
      <c r="ES1031" s="323"/>
      <c r="ET1031" s="323"/>
      <c r="EU1031" s="323"/>
      <c r="EV1031" s="323"/>
      <c r="EW1031" s="323"/>
      <c r="EX1031" s="325"/>
      <c r="EY1031" s="323"/>
      <c r="EZ1031" s="323"/>
      <c r="FA1031" s="323"/>
      <c r="FB1031" s="323"/>
      <c r="FC1031" s="323"/>
      <c r="FD1031" s="323"/>
      <c r="FE1031" s="323"/>
      <c r="FF1031" s="323"/>
      <c r="FG1031" s="323"/>
      <c r="FH1031" s="323"/>
      <c r="FI1031" s="323"/>
      <c r="FJ1031" s="325"/>
      <c r="FK1031" s="323"/>
      <c r="FL1031" s="323"/>
      <c r="FM1031" s="323"/>
      <c r="FN1031" s="323"/>
      <c r="FO1031" s="323"/>
      <c r="FP1031" s="323"/>
      <c r="FQ1031" s="323"/>
      <c r="FR1031" s="323"/>
      <c r="FS1031" s="323"/>
      <c r="FT1031" s="323"/>
      <c r="FU1031" s="323"/>
      <c r="FV1031" s="323"/>
      <c r="FW1031" s="323"/>
      <c r="FX1031" s="323"/>
      <c r="FY1031" s="323"/>
      <c r="FZ1031" s="323"/>
      <c r="GA1031" s="323"/>
      <c r="GB1031" s="323"/>
      <c r="GC1031" s="323"/>
      <c r="GD1031" s="323"/>
      <c r="GE1031" s="323"/>
      <c r="GF1031" s="323"/>
      <c r="GG1031" s="323"/>
      <c r="GH1031" s="323"/>
      <c r="GI1031" s="1654"/>
      <c r="HZ1031" s="326"/>
      <c r="IA1031" s="1395" t="s">
        <v>3598</v>
      </c>
      <c r="IB1031" s="284"/>
      <c r="ID1031" s="323"/>
      <c r="IG1031" s="323"/>
      <c r="IH1031" s="284"/>
      <c r="IJ1031" s="323"/>
      <c r="IK1031" s="327"/>
      <c r="IM1031" s="323"/>
      <c r="IP1031" s="323"/>
      <c r="IQ1031" s="327"/>
      <c r="IR1031" s="327"/>
      <c r="IS1031" s="323"/>
      <c r="IT1031" s="327"/>
      <c r="IU1031" s="327"/>
      <c r="IV1031" s="323"/>
      <c r="IW1031" s="327"/>
      <c r="IX1031" s="327"/>
      <c r="IY1031" s="323"/>
      <c r="IZ1031" s="327"/>
      <c r="JA1031" s="327"/>
      <c r="JB1031" s="323"/>
      <c r="JC1031" s="327"/>
      <c r="JD1031" s="327"/>
      <c r="JE1031" s="323"/>
      <c r="JF1031" s="327"/>
      <c r="JG1031" s="327"/>
      <c r="JH1031" s="323"/>
      <c r="JI1031" s="327"/>
      <c r="JJ1031" s="327">
        <f t="shared" si="2035"/>
        <v>0</v>
      </c>
      <c r="JK1031" s="323">
        <f t="shared" si="2117"/>
        <v>0</v>
      </c>
      <c r="JL1031" s="327">
        <f t="shared" si="2118"/>
        <v>0</v>
      </c>
      <c r="JM1031" s="327">
        <f>(FISC!AK70)*FISC!AK259/1000</f>
        <v>0</v>
      </c>
      <c r="JN1031" s="323">
        <f>FISC!AK1356</f>
        <v>357.91988568105711</v>
      </c>
      <c r="JO1031" s="327">
        <f>(FISC!AK77)*FISC!AL259/1000</f>
        <v>0</v>
      </c>
      <c r="JP1031" s="327">
        <f>(FISC!AL70)*FISC!AL259/1000</f>
        <v>0</v>
      </c>
      <c r="JQ1031" s="323">
        <f>FISC!AL1356</f>
        <v>310.30893207895321</v>
      </c>
      <c r="JR1031" s="279">
        <f>(FISC!AL77)*FISC!AM259/1000</f>
        <v>110.82612958633912</v>
      </c>
      <c r="JS1031" s="279">
        <f>(FISC!AM70)*FISC!AM259/1000</f>
        <v>47.496912679859641</v>
      </c>
      <c r="JT1031" s="323">
        <f>FISC!AM1356</f>
        <v>177.65432627968656</v>
      </c>
      <c r="JU1031" s="279">
        <f>(FISC!AM77)*FISC!AN259/1000</f>
        <v>37.876637377551987</v>
      </c>
      <c r="JV1031" s="279">
        <f>(FISC!AN70)*FISC!AN259/1000</f>
        <v>56.81495606632798</v>
      </c>
      <c r="JW1031" s="323">
        <f>FISC!AN1356</f>
        <v>4.412656055562139</v>
      </c>
      <c r="JX1031" s="279">
        <f>(FISC!AN77)*FISC!AO259/1000</f>
        <v>39.339634016213154</v>
      </c>
      <c r="JY1031" s="279">
        <f>(FISC!AO70)*FISC!AO259/1000</f>
        <v>59.009451024319731</v>
      </c>
      <c r="JZ1031" s="323">
        <f>FISC!AO1356</f>
        <v>0.99251683365127075</v>
      </c>
      <c r="KA1031" s="279">
        <f>(FISC!AO77)*FISC!AQ259/1000</f>
        <v>31.70432963012701</v>
      </c>
      <c r="KB1031" s="279">
        <f>(FISC!AR70)*FISC!AR259/1000</f>
        <v>0</v>
      </c>
      <c r="KC1031" s="323">
        <f>FISC!AP1356</f>
        <v>0</v>
      </c>
      <c r="KD1031" s="279">
        <f>(FISC!AT77)*FISC!AU259/1000</f>
        <v>0</v>
      </c>
      <c r="KE1031" s="279">
        <f>(FISC!AU70)*FISC!AU259/1000</f>
        <v>0</v>
      </c>
      <c r="KF1031" s="323">
        <f>FISC!AQ1356</f>
        <v>0</v>
      </c>
      <c r="KG1031" s="279">
        <f>(FISC!AW77)*FISC!AX259/1000</f>
        <v>0</v>
      </c>
      <c r="KH1031" s="279">
        <f>(FISC!AX70)*FISC!AX259/1000</f>
        <v>0</v>
      </c>
      <c r="KI1031" s="323">
        <f>FISC!AR1356</f>
        <v>0</v>
      </c>
      <c r="KJ1031" s="279">
        <f>(FISC!AZ77)*FISC!BA259/1000</f>
        <v>0</v>
      </c>
      <c r="KK1031" s="279">
        <f>(FISC!BA70)*FISC!BA259/1000</f>
        <v>0</v>
      </c>
      <c r="KL1031" s="323">
        <f>FISC!AS1356</f>
        <v>0</v>
      </c>
      <c r="KM1031" s="279">
        <f>(FISC!BC77)*FISC!BD259/1000</f>
        <v>0</v>
      </c>
      <c r="KN1031" s="279">
        <f>(FISC!BD70)*FISC!BD259/1000</f>
        <v>0</v>
      </c>
      <c r="KO1031" s="323">
        <f>FISC!AT1356</f>
        <v>0</v>
      </c>
      <c r="KU1031" s="326"/>
      <c r="KV1031" s="327"/>
    </row>
    <row r="1032" spans="1:314">
      <c r="A1032" s="279"/>
      <c r="D1032" s="1416" t="s">
        <v>3101</v>
      </c>
      <c r="E1032" s="323"/>
      <c r="F1032" s="323"/>
      <c r="G1032" s="323"/>
      <c r="H1032" s="323"/>
      <c r="I1032" s="323"/>
      <c r="J1032" s="323"/>
      <c r="K1032" s="323"/>
      <c r="L1032" s="323"/>
      <c r="M1032" s="323"/>
      <c r="N1032" s="323"/>
      <c r="O1032" s="323"/>
      <c r="P1032" s="323"/>
      <c r="Q1032" s="323"/>
      <c r="R1032" s="323"/>
      <c r="S1032" s="323"/>
      <c r="T1032" s="323"/>
      <c r="U1032" s="323"/>
      <c r="V1032" s="323"/>
      <c r="W1032" s="323"/>
      <c r="X1032" s="323"/>
      <c r="Y1032" s="323"/>
      <c r="Z1032" s="323"/>
      <c r="AA1032" s="323"/>
      <c r="AB1032" s="323"/>
      <c r="AC1032" s="323"/>
      <c r="AD1032" s="323"/>
      <c r="AE1032" s="323"/>
      <c r="AF1032" s="323"/>
      <c r="AG1032" s="323"/>
      <c r="AH1032" s="323"/>
      <c r="AI1032" s="323"/>
      <c r="AJ1032" s="323"/>
      <c r="AK1032" s="323"/>
      <c r="AL1032" s="323"/>
      <c r="AM1032" s="323"/>
      <c r="AN1032" s="323"/>
      <c r="AO1032" s="323"/>
      <c r="AP1032" s="323"/>
      <c r="AQ1032" s="323"/>
      <c r="AR1032" s="323"/>
      <c r="AS1032" s="323"/>
      <c r="AT1032" s="323"/>
      <c r="AU1032" s="323"/>
      <c r="AV1032" s="323"/>
      <c r="AW1032" s="323"/>
      <c r="AX1032" s="323"/>
      <c r="AY1032" s="323"/>
      <c r="AZ1032" s="323"/>
      <c r="BA1032" s="323"/>
      <c r="BB1032" s="323"/>
      <c r="BC1032" s="323"/>
      <c r="BD1032" s="323"/>
      <c r="BE1032" s="323"/>
      <c r="BF1032" s="323"/>
      <c r="BG1032" s="323"/>
      <c r="BH1032" s="323"/>
      <c r="BI1032" s="323"/>
      <c r="BJ1032" s="323"/>
      <c r="BK1032" s="323"/>
      <c r="BL1032" s="323"/>
      <c r="BM1032" s="323"/>
      <c r="BN1032" s="323"/>
      <c r="BO1032" s="323"/>
      <c r="BP1032" s="323"/>
      <c r="BQ1032" s="323"/>
      <c r="BR1032" s="323"/>
      <c r="BS1032" s="323"/>
      <c r="BT1032" s="323"/>
      <c r="BU1032" s="323"/>
      <c r="BV1032" s="323"/>
      <c r="BW1032" s="323"/>
      <c r="BX1032" s="323"/>
      <c r="BY1032" s="323"/>
      <c r="BZ1032" s="323"/>
      <c r="CA1032" s="323"/>
      <c r="CB1032" s="323"/>
      <c r="CC1032" s="323"/>
      <c r="CD1032" s="329"/>
      <c r="CE1032" s="323">
        <v>0</v>
      </c>
      <c r="CF1032" s="323">
        <v>0</v>
      </c>
      <c r="CG1032" s="323">
        <v>0</v>
      </c>
      <c r="CH1032" s="323">
        <v>0</v>
      </c>
      <c r="CI1032" s="323">
        <v>0</v>
      </c>
      <c r="CJ1032" s="323">
        <v>0</v>
      </c>
      <c r="CK1032" s="323">
        <v>0</v>
      </c>
      <c r="CL1032" s="323">
        <v>0</v>
      </c>
      <c r="CM1032" s="323">
        <v>0</v>
      </c>
      <c r="CN1032" s="323">
        <v>0</v>
      </c>
      <c r="CO1032" s="323">
        <v>0</v>
      </c>
      <c r="CP1032" s="325">
        <v>0</v>
      </c>
      <c r="CQ1032" s="323"/>
      <c r="CR1032" s="323"/>
      <c r="CS1032" s="323"/>
      <c r="CT1032" s="323"/>
      <c r="CU1032" s="323"/>
      <c r="CV1032" s="323"/>
      <c r="CW1032" s="323"/>
      <c r="CX1032" s="323"/>
      <c r="CY1032" s="323"/>
      <c r="CZ1032" s="323"/>
      <c r="DA1032" s="323"/>
      <c r="DB1032" s="1269"/>
      <c r="DC1032" s="323"/>
      <c r="DD1032" s="323"/>
      <c r="DE1032" s="323"/>
      <c r="DF1032" s="323"/>
      <c r="DG1032" s="323"/>
      <c r="DH1032" s="323"/>
      <c r="DI1032" s="323"/>
      <c r="DJ1032" s="323"/>
      <c r="DK1032" s="323"/>
      <c r="DL1032" s="323"/>
      <c r="DM1032" s="323"/>
      <c r="DN1032" s="325"/>
      <c r="DO1032" s="323"/>
      <c r="DP1032" s="323"/>
      <c r="DQ1032" s="323"/>
      <c r="DR1032" s="323"/>
      <c r="DS1032" s="323"/>
      <c r="DT1032" s="323"/>
      <c r="DU1032" s="323"/>
      <c r="DV1032" s="323"/>
      <c r="DW1032" s="323"/>
      <c r="DX1032" s="323"/>
      <c r="DY1032" s="323"/>
      <c r="DZ1032" s="325"/>
      <c r="EA1032" s="323"/>
      <c r="EB1032" s="323"/>
      <c r="EC1032" s="323"/>
      <c r="ED1032" s="323"/>
      <c r="EE1032" s="323"/>
      <c r="EF1032" s="323"/>
      <c r="EG1032" s="323"/>
      <c r="EH1032" s="323"/>
      <c r="EI1032" s="323"/>
      <c r="EJ1032" s="323"/>
      <c r="EK1032" s="323"/>
      <c r="EL1032" s="325"/>
      <c r="EM1032" s="323"/>
      <c r="EN1032" s="323"/>
      <c r="EO1032" s="323"/>
      <c r="EP1032" s="323"/>
      <c r="EQ1032" s="323"/>
      <c r="ER1032" s="323"/>
      <c r="ES1032" s="323"/>
      <c r="ET1032" s="323"/>
      <c r="EU1032" s="323"/>
      <c r="EV1032" s="323"/>
      <c r="EW1032" s="323"/>
      <c r="EX1032" s="325"/>
      <c r="EY1032" s="323"/>
      <c r="EZ1032" s="323"/>
      <c r="FA1032" s="323"/>
      <c r="FB1032" s="323"/>
      <c r="FC1032" s="323"/>
      <c r="FD1032" s="323"/>
      <c r="FE1032" s="323"/>
      <c r="FF1032" s="323"/>
      <c r="FG1032" s="323"/>
      <c r="FH1032" s="323"/>
      <c r="FI1032" s="323"/>
      <c r="FJ1032" s="325"/>
      <c r="FK1032" s="323">
        <v>0</v>
      </c>
      <c r="FL1032" s="323">
        <v>0</v>
      </c>
      <c r="FM1032" s="323">
        <v>0</v>
      </c>
      <c r="FN1032" s="323">
        <v>0</v>
      </c>
      <c r="FO1032" s="323">
        <v>0</v>
      </c>
      <c r="FP1032" s="323">
        <v>0</v>
      </c>
      <c r="FQ1032" s="323">
        <v>0</v>
      </c>
      <c r="FR1032" s="323">
        <v>0</v>
      </c>
      <c r="FS1032" s="323">
        <v>0</v>
      </c>
      <c r="FT1032" s="323">
        <v>0</v>
      </c>
      <c r="FU1032" s="323">
        <v>0</v>
      </c>
      <c r="FV1032" s="323">
        <v>0</v>
      </c>
      <c r="FW1032" s="323">
        <v>0</v>
      </c>
      <c r="FX1032" s="323">
        <v>0</v>
      </c>
      <c r="FY1032" s="323">
        <v>0</v>
      </c>
      <c r="FZ1032" s="323">
        <v>0</v>
      </c>
      <c r="GA1032" s="323">
        <v>0</v>
      </c>
      <c r="GB1032" s="323">
        <v>0</v>
      </c>
      <c r="GC1032" s="323">
        <v>0</v>
      </c>
      <c r="GD1032" s="323">
        <v>0</v>
      </c>
      <c r="GE1032" s="323">
        <v>0</v>
      </c>
      <c r="GF1032" s="323">
        <v>0</v>
      </c>
      <c r="GG1032" s="323">
        <v>0</v>
      </c>
      <c r="GH1032" s="323">
        <v>0</v>
      </c>
      <c r="GI1032" s="1654">
        <v>0</v>
      </c>
      <c r="GJ1032" s="1654">
        <v>0</v>
      </c>
      <c r="GK1032" s="1654">
        <v>0</v>
      </c>
      <c r="GL1032" s="1654">
        <v>0</v>
      </c>
      <c r="GM1032" s="1654">
        <v>0</v>
      </c>
      <c r="GN1032" s="1654">
        <v>0</v>
      </c>
      <c r="GO1032" s="1654">
        <v>0</v>
      </c>
      <c r="GP1032" s="1654">
        <v>0</v>
      </c>
      <c r="GQ1032" s="1654">
        <v>0</v>
      </c>
      <c r="GR1032" s="1654">
        <v>0</v>
      </c>
      <c r="GS1032" s="1654">
        <v>0</v>
      </c>
      <c r="GT1032" s="1654">
        <v>0</v>
      </c>
      <c r="GU1032" s="1654"/>
      <c r="GV1032" s="1654"/>
      <c r="GW1032" s="1654"/>
      <c r="GX1032" s="1654"/>
      <c r="GY1032" s="1654"/>
      <c r="GZ1032" s="1654"/>
      <c r="HA1032" s="1654"/>
      <c r="HB1032" s="1654"/>
      <c r="HC1032" s="1654"/>
      <c r="HD1032" s="1654"/>
      <c r="HE1032" s="1654"/>
      <c r="HF1032" s="1654"/>
      <c r="HG1032" s="1654"/>
      <c r="HH1032" s="1654"/>
      <c r="HI1032" s="1654"/>
      <c r="HJ1032" s="1654"/>
      <c r="HK1032" s="1654"/>
      <c r="HL1032" s="1654"/>
      <c r="HM1032" s="1654"/>
      <c r="HN1032" s="1654"/>
      <c r="HO1032" s="1654"/>
      <c r="HP1032" s="1654"/>
      <c r="HQ1032" s="1654"/>
      <c r="HR1032" s="1654"/>
      <c r="HS1032" s="1654"/>
      <c r="HT1032" s="1654"/>
      <c r="HU1032" s="1654"/>
      <c r="HV1032" s="1654"/>
      <c r="HW1032" s="1654"/>
      <c r="HX1032" s="1654"/>
      <c r="HY1032" s="1654"/>
      <c r="HZ1032" s="326"/>
      <c r="IA1032" s="1395" t="s">
        <v>3597</v>
      </c>
      <c r="IB1032" s="284"/>
      <c r="ID1032" s="323"/>
      <c r="IG1032" s="323"/>
      <c r="IH1032" s="284"/>
      <c r="IJ1032" s="323"/>
      <c r="IK1032" s="327"/>
      <c r="IM1032" s="323"/>
      <c r="IP1032" s="323"/>
      <c r="IQ1032" s="327"/>
      <c r="IR1032" s="327"/>
      <c r="IS1032" s="323"/>
      <c r="IT1032" s="327"/>
      <c r="IU1032" s="327"/>
      <c r="IV1032" s="323"/>
      <c r="IW1032" s="327">
        <f>SUM(FK1032:FP1032)</f>
        <v>0</v>
      </c>
      <c r="IX1032" s="327">
        <f t="shared" si="2136"/>
        <v>0</v>
      </c>
      <c r="IY1032" s="323">
        <f t="shared" si="2005"/>
        <v>0</v>
      </c>
      <c r="IZ1032" s="327">
        <f t="shared" si="2110"/>
        <v>0</v>
      </c>
      <c r="JA1032" s="327">
        <f t="shared" si="2111"/>
        <v>0</v>
      </c>
      <c r="JB1032" s="323">
        <f t="shared" si="2036"/>
        <v>0</v>
      </c>
      <c r="JC1032" s="327">
        <f t="shared" si="2112"/>
        <v>0</v>
      </c>
      <c r="JD1032" s="327">
        <f t="shared" si="2113"/>
        <v>0</v>
      </c>
      <c r="JE1032" s="323">
        <f t="shared" si="2137"/>
        <v>0</v>
      </c>
      <c r="JF1032" s="327">
        <f>FISC!AH78*FISC!AI259/1000</f>
        <v>0</v>
      </c>
      <c r="JG1032" s="327">
        <f t="shared" si="2154"/>
        <v>0</v>
      </c>
      <c r="JH1032" s="323">
        <f t="shared" si="2135"/>
        <v>0</v>
      </c>
      <c r="JI1032" s="327">
        <f t="shared" si="2144"/>
        <v>0</v>
      </c>
      <c r="JJ1032" s="327">
        <f t="shared" si="2035"/>
        <v>0</v>
      </c>
      <c r="JK1032" s="323">
        <f t="shared" si="2117"/>
        <v>0</v>
      </c>
      <c r="JL1032" s="327">
        <f t="shared" si="2118"/>
        <v>0</v>
      </c>
      <c r="JM1032" s="327">
        <f>FISC!AK71*FISC!AK259/1000</f>
        <v>0</v>
      </c>
      <c r="JN1032" s="323">
        <f>FISC!AK1357</f>
        <v>0</v>
      </c>
      <c r="JO1032" s="327">
        <f>FISC!AK78*FISC!AL259/1000</f>
        <v>0</v>
      </c>
      <c r="JP1032" s="327">
        <f>(FISC!AL71)*FISC!AL259/1000</f>
        <v>0</v>
      </c>
      <c r="JQ1032" s="323">
        <f>FISC!AL1357</f>
        <v>0</v>
      </c>
      <c r="JR1032" s="279">
        <f>FISC!AL78*FISC!AM259/1000</f>
        <v>0</v>
      </c>
      <c r="JS1032" s="279">
        <f>FISC!AM71*FISC!AM259/1000</f>
        <v>0</v>
      </c>
      <c r="JT1032" s="323">
        <f>FISC!AM1357</f>
        <v>158.32304226619874</v>
      </c>
      <c r="JU1032" s="279">
        <f>FISC!AM78*FISC!AN259/1000</f>
        <v>0</v>
      </c>
      <c r="JV1032" s="279">
        <f>FISC!AN71*FISC!AN259/1000</f>
        <v>0</v>
      </c>
      <c r="JW1032" s="323">
        <f>FISC!AN1357</f>
        <v>94.691593443879952</v>
      </c>
      <c r="JX1032" s="279">
        <f>FISC!AN78*FISC!AO259/1000</f>
        <v>0</v>
      </c>
      <c r="JY1032" s="279">
        <f>FISC!AO71*FISC!AO259/1000</f>
        <v>0</v>
      </c>
      <c r="JZ1032" s="323">
        <f>FISC!AO1357</f>
        <v>98.349085040532898</v>
      </c>
      <c r="KA1032" s="279">
        <f>FISC!AO78*FISC!AQ259/1000</f>
        <v>0</v>
      </c>
      <c r="KB1032" s="279">
        <f>FISC!AR71*FISC!AR259/1000</f>
        <v>0</v>
      </c>
      <c r="KC1032" s="323">
        <f>FISC!AP1357</f>
        <v>76.952256383803416</v>
      </c>
      <c r="KD1032" s="279">
        <f>FISC!AT78*FISC!AU259/1000</f>
        <v>0</v>
      </c>
      <c r="KE1032" s="279">
        <f>FISC!AU71*FISC!AU259/1000</f>
        <v>0</v>
      </c>
      <c r="KF1032" s="323">
        <f>FISC!AQ1357</f>
        <v>68.020622287223318</v>
      </c>
      <c r="KG1032" s="279">
        <f>FISC!AW78*FISC!AX259/1000</f>
        <v>0</v>
      </c>
      <c r="KH1032" s="279">
        <f>FISC!AX71*FISC!AX259/1000</f>
        <v>0</v>
      </c>
      <c r="KI1032" s="323">
        <f>FISC!AR1357</f>
        <v>0</v>
      </c>
      <c r="KJ1032" s="279">
        <f>FISC!AZ78*FISC!BA259/1000</f>
        <v>0</v>
      </c>
      <c r="KK1032" s="279">
        <f>FISC!BA71*FISC!BA259/1000</f>
        <v>0</v>
      </c>
      <c r="KL1032" s="323">
        <f>FISC!AS1357</f>
        <v>0</v>
      </c>
      <c r="KM1032" s="279">
        <f>FISC!BC78*FISC!BD259/1000</f>
        <v>0</v>
      </c>
      <c r="KN1032" s="279">
        <f>FISC!BD71*FISC!BD259/1000</f>
        <v>0</v>
      </c>
      <c r="KO1032" s="323">
        <f>FISC!AT1357</f>
        <v>0</v>
      </c>
      <c r="KU1032" s="326"/>
      <c r="KV1032" s="327"/>
    </row>
    <row r="1033" spans="1:314">
      <c r="A1033" s="279"/>
      <c r="D1033" s="1395" t="s">
        <v>3303</v>
      </c>
      <c r="E1033" s="323"/>
      <c r="F1033" s="323"/>
      <c r="G1033" s="323"/>
      <c r="H1033" s="323"/>
      <c r="I1033" s="323"/>
      <c r="J1033" s="323"/>
      <c r="K1033" s="323"/>
      <c r="L1033" s="323"/>
      <c r="M1033" s="323"/>
      <c r="N1033" s="323"/>
      <c r="O1033" s="323"/>
      <c r="P1033" s="323"/>
      <c r="Q1033" s="323"/>
      <c r="R1033" s="323"/>
      <c r="S1033" s="323"/>
      <c r="T1033" s="323"/>
      <c r="U1033" s="323"/>
      <c r="V1033" s="323"/>
      <c r="W1033" s="323"/>
      <c r="X1033" s="323"/>
      <c r="Y1033" s="323"/>
      <c r="Z1033" s="323"/>
      <c r="AA1033" s="323"/>
      <c r="AB1033" s="323"/>
      <c r="AC1033" s="323"/>
      <c r="AD1033" s="323"/>
      <c r="AE1033" s="323"/>
      <c r="AF1033" s="323"/>
      <c r="AG1033" s="323"/>
      <c r="AH1033" s="323"/>
      <c r="AI1033" s="323"/>
      <c r="AJ1033" s="323"/>
      <c r="AK1033" s="323"/>
      <c r="AL1033" s="323"/>
      <c r="AM1033" s="323"/>
      <c r="AN1033" s="323"/>
      <c r="AO1033" s="323"/>
      <c r="AP1033" s="323"/>
      <c r="AQ1033" s="323"/>
      <c r="AR1033" s="323"/>
      <c r="AS1033" s="323"/>
      <c r="AT1033" s="323"/>
      <c r="AU1033" s="323"/>
      <c r="AV1033" s="323"/>
      <c r="AW1033" s="323"/>
      <c r="AX1033" s="323"/>
      <c r="AY1033" s="323"/>
      <c r="AZ1033" s="323"/>
      <c r="BA1033" s="323"/>
      <c r="BB1033" s="323"/>
      <c r="BC1033" s="323"/>
      <c r="BD1033" s="323"/>
      <c r="BE1033" s="323"/>
      <c r="BF1033" s="323"/>
      <c r="BG1033" s="323"/>
      <c r="BH1033" s="323"/>
      <c r="BI1033" s="323"/>
      <c r="BJ1033" s="323"/>
      <c r="BK1033" s="323"/>
      <c r="BL1033" s="323"/>
      <c r="BM1033" s="323"/>
      <c r="BN1033" s="323"/>
      <c r="BO1033" s="323"/>
      <c r="BP1033" s="323"/>
      <c r="BQ1033" s="323"/>
      <c r="BR1033" s="323"/>
      <c r="BS1033" s="323"/>
      <c r="BT1033" s="323"/>
      <c r="BU1033" s="323"/>
      <c r="BV1033" s="323"/>
      <c r="BW1033" s="323"/>
      <c r="BX1033" s="323"/>
      <c r="BY1033" s="323"/>
      <c r="BZ1033" s="323"/>
      <c r="CA1033" s="323"/>
      <c r="CB1033" s="323"/>
      <c r="CC1033" s="323"/>
      <c r="CD1033" s="329"/>
      <c r="CE1033" s="323"/>
      <c r="CF1033" s="323"/>
      <c r="CG1033" s="323"/>
      <c r="CH1033" s="323"/>
      <c r="CI1033" s="323"/>
      <c r="CJ1033" s="323"/>
      <c r="CK1033" s="323"/>
      <c r="CL1033" s="323"/>
      <c r="CM1033" s="323"/>
      <c r="CN1033" s="323"/>
      <c r="CO1033" s="323"/>
      <c r="CP1033" s="325"/>
      <c r="CQ1033" s="323"/>
      <c r="CR1033" s="323"/>
      <c r="CS1033" s="323"/>
      <c r="CT1033" s="323"/>
      <c r="CU1033" s="323"/>
      <c r="CV1033" s="323"/>
      <c r="CW1033" s="323"/>
      <c r="CX1033" s="323"/>
      <c r="CY1033" s="323"/>
      <c r="CZ1033" s="323"/>
      <c r="DA1033" s="323"/>
      <c r="DB1033" s="1269"/>
      <c r="DC1033" s="323"/>
      <c r="DD1033" s="323"/>
      <c r="DE1033" s="323"/>
      <c r="DF1033" s="323"/>
      <c r="DG1033" s="323"/>
      <c r="DH1033" s="323"/>
      <c r="DI1033" s="323"/>
      <c r="DJ1033" s="323"/>
      <c r="DK1033" s="323"/>
      <c r="DL1033" s="323"/>
      <c r="DM1033" s="323"/>
      <c r="DN1033" s="325"/>
      <c r="DO1033" s="323"/>
      <c r="DP1033" s="323"/>
      <c r="DQ1033" s="323"/>
      <c r="DR1033" s="323"/>
      <c r="DS1033" s="323"/>
      <c r="DT1033" s="323"/>
      <c r="DU1033" s="323"/>
      <c r="DV1033" s="323"/>
      <c r="DW1033" s="323"/>
      <c r="DX1033" s="323"/>
      <c r="DY1033" s="323"/>
      <c r="DZ1033" s="325"/>
      <c r="EA1033" s="323"/>
      <c r="EB1033" s="323"/>
      <c r="EC1033" s="323"/>
      <c r="ED1033" s="323"/>
      <c r="EE1033" s="323"/>
      <c r="EF1033" s="323"/>
      <c r="EG1033" s="323"/>
      <c r="EH1033" s="323"/>
      <c r="EI1033" s="323"/>
      <c r="EJ1033" s="323"/>
      <c r="EK1033" s="323"/>
      <c r="EL1033" s="325"/>
      <c r="EM1033" s="323"/>
      <c r="EN1033" s="323"/>
      <c r="EO1033" s="323"/>
      <c r="EP1033" s="323"/>
      <c r="EQ1033" s="323"/>
      <c r="ER1033" s="323"/>
      <c r="ES1033" s="323"/>
      <c r="ET1033" s="323"/>
      <c r="EU1033" s="323"/>
      <c r="EV1033" s="323"/>
      <c r="EW1033" s="323"/>
      <c r="EX1033" s="325"/>
      <c r="EY1033" s="323"/>
      <c r="EZ1033" s="323"/>
      <c r="FA1033" s="323"/>
      <c r="FB1033" s="323"/>
      <c r="FC1033" s="323"/>
      <c r="FD1033" s="323"/>
      <c r="FE1033" s="323"/>
      <c r="FF1033" s="323"/>
      <c r="FG1033" s="323"/>
      <c r="FH1033" s="323"/>
      <c r="FI1033" s="323"/>
      <c r="FJ1033" s="325"/>
      <c r="FK1033" s="323"/>
      <c r="FL1033" s="323"/>
      <c r="FM1033" s="323"/>
      <c r="FN1033" s="323"/>
      <c r="FO1033" s="323"/>
      <c r="FP1033" s="323"/>
      <c r="FQ1033" s="323"/>
      <c r="FR1033" s="323"/>
      <c r="FS1033" s="323"/>
      <c r="FT1033" s="323"/>
      <c r="FU1033" s="323"/>
      <c r="FV1033" s="323"/>
      <c r="FW1033" s="323"/>
      <c r="FX1033" s="323"/>
      <c r="FY1033" s="323"/>
      <c r="FZ1033" s="323"/>
      <c r="GA1033" s="323"/>
      <c r="GB1033" s="323"/>
      <c r="GC1033" s="323"/>
      <c r="GD1033" s="323"/>
      <c r="GE1033" s="323"/>
      <c r="GF1033" s="323"/>
      <c r="GG1033" s="323"/>
      <c r="GH1033" s="323"/>
      <c r="GI1033" s="1654"/>
      <c r="GT1033" s="1658">
        <v>106.24015742291022</v>
      </c>
      <c r="GU1033" s="1658">
        <v>0</v>
      </c>
      <c r="GV1033" s="1658">
        <v>0</v>
      </c>
      <c r="GW1033" s="1658">
        <v>0</v>
      </c>
      <c r="GX1033" s="1658">
        <v>0</v>
      </c>
      <c r="GY1033" s="1658">
        <v>0</v>
      </c>
      <c r="GZ1033" s="1658">
        <v>84.79887949699507</v>
      </c>
      <c r="HA1033" s="1658">
        <v>0</v>
      </c>
      <c r="HB1033" s="1658">
        <v>0</v>
      </c>
      <c r="HC1033" s="1658">
        <v>0</v>
      </c>
      <c r="HD1033" s="1658">
        <v>0</v>
      </c>
      <c r="HE1033" s="1658">
        <v>122.01017142208079</v>
      </c>
      <c r="HF1033" s="1658">
        <v>0</v>
      </c>
      <c r="HG1033" s="1658">
        <v>0</v>
      </c>
      <c r="HH1033" s="1658">
        <v>0</v>
      </c>
      <c r="HI1033" s="1658">
        <v>0</v>
      </c>
      <c r="HJ1033" s="1658">
        <v>0</v>
      </c>
      <c r="HK1033" s="1658">
        <v>0</v>
      </c>
      <c r="HL1033" s="1658">
        <v>155.71927852945331</v>
      </c>
      <c r="HM1033" s="1658">
        <v>0</v>
      </c>
      <c r="HN1033" s="1658">
        <v>0</v>
      </c>
      <c r="HO1033" s="1658">
        <v>0</v>
      </c>
      <c r="HP1033" s="1658">
        <v>0</v>
      </c>
      <c r="HQ1033" s="1658">
        <v>0</v>
      </c>
      <c r="HR1033" s="1658">
        <v>0</v>
      </c>
      <c r="HS1033" s="1658">
        <v>0</v>
      </c>
      <c r="HT1033" s="1658">
        <v>0</v>
      </c>
      <c r="HU1033" s="1658">
        <v>0</v>
      </c>
      <c r="HV1033" s="1658">
        <v>0</v>
      </c>
      <c r="HW1033" s="1658">
        <v>0</v>
      </c>
      <c r="HX1033" s="1658">
        <v>0</v>
      </c>
      <c r="HY1033" s="1658"/>
      <c r="HZ1033" s="326"/>
      <c r="IA1033" s="1395" t="s">
        <v>3101</v>
      </c>
      <c r="IB1033" s="284"/>
      <c r="ID1033" s="323"/>
      <c r="IG1033" s="323"/>
      <c r="IH1033" s="284"/>
      <c r="IJ1033" s="323"/>
      <c r="IK1033" s="327"/>
      <c r="IM1033" s="323"/>
      <c r="IP1033" s="323"/>
      <c r="IQ1033" s="327"/>
      <c r="IR1033" s="327"/>
      <c r="IS1033" s="323"/>
      <c r="IT1033" s="327"/>
      <c r="IU1033" s="327"/>
      <c r="IV1033" s="323"/>
      <c r="IW1033" s="327"/>
      <c r="IX1033" s="327"/>
      <c r="IY1033" s="323"/>
      <c r="IZ1033" s="327"/>
      <c r="JA1033" s="327"/>
      <c r="JB1033" s="323"/>
      <c r="JC1033" s="327">
        <f t="shared" si="2112"/>
        <v>0</v>
      </c>
      <c r="JD1033" s="327">
        <f t="shared" si="2113"/>
        <v>106.24015742291022</v>
      </c>
      <c r="JE1033" s="323">
        <f t="shared" si="2137"/>
        <v>106.24015742291022</v>
      </c>
      <c r="JF1033" s="327">
        <f>FISC!AH75*FISC!AI259/1000</f>
        <v>84.330067697191197</v>
      </c>
      <c r="JG1033" s="327">
        <f t="shared" ref="JG1033:JG1038" si="2155">SUM(HA1033:HF1033)</f>
        <v>122.01017142208079</v>
      </c>
      <c r="JH1033" s="323">
        <f t="shared" si="2135"/>
        <v>206.34023911927198</v>
      </c>
      <c r="JI1033" s="327">
        <f t="shared" si="2144"/>
        <v>155.71927852945331</v>
      </c>
      <c r="JJ1033" s="327">
        <f t="shared" si="2035"/>
        <v>0</v>
      </c>
      <c r="JK1033" s="323">
        <f t="shared" si="2117"/>
        <v>155.71927852945331</v>
      </c>
      <c r="JL1033" s="327">
        <f t="shared" si="2118"/>
        <v>0</v>
      </c>
      <c r="JM1033" s="327"/>
      <c r="JN1033" s="323">
        <f>FISC!AK1358</f>
        <v>0</v>
      </c>
      <c r="JO1033" s="327"/>
      <c r="JP1033" s="327"/>
      <c r="JQ1033" s="323">
        <f>FISC!AL1358</f>
        <v>0</v>
      </c>
      <c r="JT1033" s="323">
        <f>FISC!AM1358</f>
        <v>0</v>
      </c>
      <c r="JW1033" s="323">
        <f>FISC!AN1358</f>
        <v>0</v>
      </c>
      <c r="JZ1033" s="323">
        <f>FISC!AO1358</f>
        <v>0</v>
      </c>
      <c r="KA1033" s="279">
        <f>FISC!AO79*FISC!AQ260/1000</f>
        <v>0</v>
      </c>
      <c r="KB1033" s="279">
        <f>FISC!AR72*FISC!AR260/1000</f>
        <v>0</v>
      </c>
      <c r="KC1033" s="323">
        <f>FISC!AP1358</f>
        <v>0</v>
      </c>
      <c r="KF1033" s="323">
        <f>FISC!AQ1358</f>
        <v>0</v>
      </c>
      <c r="KI1033" s="323">
        <f>FISC!AR1358</f>
        <v>0</v>
      </c>
      <c r="KL1033" s="323">
        <f>FISC!AS1358</f>
        <v>0</v>
      </c>
      <c r="KO1033" s="323">
        <f>FISC!AT1358</f>
        <v>0</v>
      </c>
      <c r="KU1033" s="326"/>
      <c r="KV1033" s="327"/>
    </row>
    <row r="1034" spans="1:314">
      <c r="A1034" s="279"/>
      <c r="D1034" s="1395"/>
      <c r="E1034" s="323"/>
      <c r="F1034" s="323"/>
      <c r="G1034" s="323"/>
      <c r="H1034" s="323"/>
      <c r="I1034" s="323"/>
      <c r="J1034" s="323"/>
      <c r="K1034" s="323"/>
      <c r="L1034" s="323"/>
      <c r="M1034" s="323"/>
      <c r="N1034" s="323"/>
      <c r="O1034" s="323"/>
      <c r="P1034" s="323"/>
      <c r="Q1034" s="323"/>
      <c r="R1034" s="323"/>
      <c r="S1034" s="323"/>
      <c r="T1034" s="323"/>
      <c r="U1034" s="323"/>
      <c r="V1034" s="323"/>
      <c r="W1034" s="323"/>
      <c r="X1034" s="323"/>
      <c r="Y1034" s="323"/>
      <c r="Z1034" s="323"/>
      <c r="AA1034" s="323"/>
      <c r="AB1034" s="323"/>
      <c r="AC1034" s="323"/>
      <c r="AD1034" s="323"/>
      <c r="AE1034" s="323"/>
      <c r="AF1034" s="323"/>
      <c r="AG1034" s="323"/>
      <c r="AH1034" s="323"/>
      <c r="AI1034" s="323"/>
      <c r="AJ1034" s="323"/>
      <c r="AK1034" s="323"/>
      <c r="AL1034" s="323"/>
      <c r="AM1034" s="323"/>
      <c r="AN1034" s="323"/>
      <c r="AO1034" s="323"/>
      <c r="AP1034" s="323"/>
      <c r="AQ1034" s="323"/>
      <c r="AR1034" s="323"/>
      <c r="AS1034" s="323"/>
      <c r="AT1034" s="323"/>
      <c r="AU1034" s="323"/>
      <c r="AV1034" s="323"/>
      <c r="AW1034" s="323"/>
      <c r="AX1034" s="323"/>
      <c r="AY1034" s="323"/>
      <c r="AZ1034" s="323"/>
      <c r="BA1034" s="323"/>
      <c r="BB1034" s="323"/>
      <c r="BC1034" s="323"/>
      <c r="BD1034" s="323"/>
      <c r="BE1034" s="323"/>
      <c r="BF1034" s="323"/>
      <c r="BG1034" s="323"/>
      <c r="BH1034" s="323"/>
      <c r="BI1034" s="323"/>
      <c r="BJ1034" s="323"/>
      <c r="BK1034" s="323"/>
      <c r="BL1034" s="323"/>
      <c r="BM1034" s="323"/>
      <c r="BN1034" s="323"/>
      <c r="BO1034" s="323"/>
      <c r="BP1034" s="323"/>
      <c r="BQ1034" s="323"/>
      <c r="BR1034" s="323"/>
      <c r="BS1034" s="323"/>
      <c r="BT1034" s="323"/>
      <c r="BU1034" s="323"/>
      <c r="BV1034" s="323"/>
      <c r="BW1034" s="323"/>
      <c r="BX1034" s="323"/>
      <c r="BY1034" s="323"/>
      <c r="BZ1034" s="323"/>
      <c r="CA1034" s="323"/>
      <c r="CB1034" s="323"/>
      <c r="CC1034" s="323"/>
      <c r="CD1034" s="329"/>
      <c r="CE1034" s="323"/>
      <c r="CF1034" s="323"/>
      <c r="CG1034" s="323"/>
      <c r="CH1034" s="323"/>
      <c r="CI1034" s="323"/>
      <c r="CJ1034" s="323"/>
      <c r="CK1034" s="323"/>
      <c r="CL1034" s="323"/>
      <c r="CM1034" s="323"/>
      <c r="CN1034" s="323"/>
      <c r="CO1034" s="323"/>
      <c r="CP1034" s="325"/>
      <c r="CQ1034" s="323"/>
      <c r="CR1034" s="323"/>
      <c r="CS1034" s="323"/>
      <c r="CT1034" s="323"/>
      <c r="CU1034" s="323"/>
      <c r="CV1034" s="323"/>
      <c r="CW1034" s="323"/>
      <c r="CX1034" s="323"/>
      <c r="CY1034" s="323"/>
      <c r="CZ1034" s="323"/>
      <c r="DA1034" s="323"/>
      <c r="DB1034" s="1269"/>
      <c r="DC1034" s="323"/>
      <c r="DD1034" s="323"/>
      <c r="DE1034" s="323"/>
      <c r="DF1034" s="323"/>
      <c r="DG1034" s="323"/>
      <c r="DH1034" s="323"/>
      <c r="DI1034" s="323"/>
      <c r="DJ1034" s="323"/>
      <c r="DK1034" s="323"/>
      <c r="DL1034" s="323"/>
      <c r="DM1034" s="323"/>
      <c r="DN1034" s="325"/>
      <c r="DO1034" s="323"/>
      <c r="DP1034" s="323"/>
      <c r="DQ1034" s="323"/>
      <c r="DR1034" s="323"/>
      <c r="DS1034" s="323"/>
      <c r="DT1034" s="323"/>
      <c r="DU1034" s="323"/>
      <c r="DV1034" s="323"/>
      <c r="DW1034" s="323"/>
      <c r="DX1034" s="323"/>
      <c r="DY1034" s="323"/>
      <c r="DZ1034" s="325"/>
      <c r="EA1034" s="323"/>
      <c r="EB1034" s="323"/>
      <c r="EC1034" s="323"/>
      <c r="ED1034" s="323"/>
      <c r="EE1034" s="323"/>
      <c r="EF1034" s="323"/>
      <c r="EG1034" s="323"/>
      <c r="EH1034" s="323"/>
      <c r="EI1034" s="323"/>
      <c r="EJ1034" s="323"/>
      <c r="EK1034" s="323"/>
      <c r="EL1034" s="325"/>
      <c r="EM1034" s="323"/>
      <c r="EN1034" s="323"/>
      <c r="EO1034" s="323"/>
      <c r="EP1034" s="323"/>
      <c r="EQ1034" s="323"/>
      <c r="ER1034" s="323"/>
      <c r="ES1034" s="323"/>
      <c r="ET1034" s="323"/>
      <c r="EU1034" s="323"/>
      <c r="EV1034" s="323"/>
      <c r="EW1034" s="323"/>
      <c r="EX1034" s="325"/>
      <c r="EY1034" s="323"/>
      <c r="EZ1034" s="323"/>
      <c r="FA1034" s="323"/>
      <c r="FB1034" s="323"/>
      <c r="FC1034" s="323"/>
      <c r="FD1034" s="323"/>
      <c r="FE1034" s="323"/>
      <c r="FF1034" s="323"/>
      <c r="FG1034" s="323"/>
      <c r="FH1034" s="323"/>
      <c r="FI1034" s="323"/>
      <c r="FJ1034" s="325"/>
      <c r="FK1034" s="323"/>
      <c r="FL1034" s="323"/>
      <c r="FM1034" s="323"/>
      <c r="FN1034" s="323"/>
      <c r="FO1034" s="323"/>
      <c r="FP1034" s="323"/>
      <c r="FQ1034" s="323"/>
      <c r="FR1034" s="323"/>
      <c r="FS1034" s="323"/>
      <c r="FT1034" s="323"/>
      <c r="FU1034" s="323"/>
      <c r="FV1034" s="323"/>
      <c r="FW1034" s="323"/>
      <c r="FX1034" s="323"/>
      <c r="FY1034" s="323"/>
      <c r="FZ1034" s="323"/>
      <c r="GA1034" s="323"/>
      <c r="GB1034" s="323"/>
      <c r="GC1034" s="323"/>
      <c r="GD1034" s="323"/>
      <c r="GE1034" s="323"/>
      <c r="GF1034" s="323"/>
      <c r="GG1034" s="323"/>
      <c r="GH1034" s="323"/>
      <c r="GI1034" s="1654"/>
      <c r="GT1034" s="1658"/>
      <c r="GU1034" s="1658"/>
      <c r="GV1034" s="1658"/>
      <c r="GW1034" s="1658"/>
      <c r="GX1034" s="1658"/>
      <c r="GY1034" s="1658"/>
      <c r="GZ1034" s="1658"/>
      <c r="HA1034" s="1658"/>
      <c r="HB1034" s="1658"/>
      <c r="HC1034" s="1658"/>
      <c r="HD1034" s="1658"/>
      <c r="HE1034" s="1658"/>
      <c r="HF1034" s="1658"/>
      <c r="HG1034" s="1658"/>
      <c r="HH1034" s="1658"/>
      <c r="HI1034" s="1658"/>
      <c r="HJ1034" s="1658"/>
      <c r="HK1034" s="1658"/>
      <c r="HL1034" s="1658"/>
      <c r="HM1034" s="1658"/>
      <c r="HN1034" s="1658"/>
      <c r="HO1034" s="1658"/>
      <c r="HP1034" s="1658"/>
      <c r="HQ1034" s="1658"/>
      <c r="HR1034" s="1658"/>
      <c r="HS1034" s="1658"/>
      <c r="HT1034" s="1658"/>
      <c r="HU1034" s="1658"/>
      <c r="HV1034" s="1658"/>
      <c r="HW1034" s="1658"/>
      <c r="HX1034" s="1658"/>
      <c r="HY1034" s="1658"/>
      <c r="HZ1034" s="326"/>
      <c r="IA1034" s="1395" t="s">
        <v>3303</v>
      </c>
      <c r="IB1034" s="284"/>
      <c r="ID1034" s="323"/>
      <c r="IG1034" s="323"/>
      <c r="IH1034" s="284"/>
      <c r="IJ1034" s="323"/>
      <c r="IK1034" s="327"/>
      <c r="IM1034" s="323"/>
      <c r="IP1034" s="323"/>
      <c r="IQ1034" s="327"/>
      <c r="IR1034" s="327"/>
      <c r="IS1034" s="323"/>
      <c r="IT1034" s="327"/>
      <c r="IU1034" s="327"/>
      <c r="IV1034" s="323"/>
      <c r="IW1034" s="327"/>
      <c r="IX1034" s="327"/>
      <c r="IY1034" s="323"/>
      <c r="IZ1034" s="327"/>
      <c r="JA1034" s="327"/>
      <c r="JB1034" s="323"/>
      <c r="JC1034" s="327"/>
      <c r="JD1034" s="327"/>
      <c r="JE1034" s="323"/>
      <c r="JF1034" s="327"/>
      <c r="JG1034" s="327"/>
      <c r="JH1034" s="323"/>
      <c r="JI1034" s="327"/>
      <c r="JJ1034" s="327">
        <f t="shared" si="2035"/>
        <v>0</v>
      </c>
      <c r="JK1034" s="323">
        <f t="shared" si="2117"/>
        <v>0</v>
      </c>
      <c r="JL1034" s="327">
        <f t="shared" si="2118"/>
        <v>0</v>
      </c>
      <c r="JM1034" s="327"/>
      <c r="JN1034" s="323">
        <f>FISC!AK1359</f>
        <v>0</v>
      </c>
      <c r="JO1034" s="327"/>
      <c r="JP1034" s="327"/>
      <c r="JQ1034" s="323">
        <f>FISC!AL1359</f>
        <v>0</v>
      </c>
      <c r="JT1034" s="323">
        <f>FISC!AM1359</f>
        <v>0</v>
      </c>
      <c r="JW1034" s="323">
        <f>FISC!AN1359</f>
        <v>0</v>
      </c>
      <c r="JZ1034" s="323">
        <f>FISC!AO1359</f>
        <v>0</v>
      </c>
      <c r="KC1034" s="323">
        <f>FISC!AP1359</f>
        <v>0</v>
      </c>
      <c r="KF1034" s="323">
        <f>FISC!AQ1359</f>
        <v>0</v>
      </c>
      <c r="KI1034" s="323">
        <f>FISC!AR1359</f>
        <v>0</v>
      </c>
      <c r="KL1034" s="323">
        <f>FISC!AS1359</f>
        <v>0</v>
      </c>
      <c r="KO1034" s="323">
        <f>FISC!AT1359</f>
        <v>0</v>
      </c>
      <c r="KU1034" s="326"/>
      <c r="KV1034" s="327"/>
    </row>
    <row r="1035" spans="1:314">
      <c r="A1035" s="279"/>
      <c r="B1035" s="96" t="s">
        <v>338</v>
      </c>
      <c r="D1035" s="337" t="s">
        <v>507</v>
      </c>
      <c r="E1035" s="323"/>
      <c r="F1035" s="323"/>
      <c r="G1035" s="323"/>
      <c r="H1035" s="323"/>
      <c r="I1035" s="323"/>
      <c r="J1035" s="323"/>
      <c r="K1035" s="323"/>
      <c r="L1035" s="323"/>
      <c r="M1035" s="323"/>
      <c r="N1035" s="323"/>
      <c r="O1035" s="323"/>
      <c r="P1035" s="323"/>
      <c r="Q1035" s="323"/>
      <c r="R1035" s="323"/>
      <c r="S1035" s="323"/>
      <c r="T1035" s="323"/>
      <c r="U1035" s="323"/>
      <c r="V1035" s="323"/>
      <c r="W1035" s="323"/>
      <c r="X1035" s="323"/>
      <c r="Y1035" s="323"/>
      <c r="Z1035" s="323"/>
      <c r="AA1035" s="323"/>
      <c r="AB1035" s="323"/>
      <c r="AC1035" s="323"/>
      <c r="AD1035" s="323"/>
      <c r="AE1035" s="323"/>
      <c r="AF1035" s="323"/>
      <c r="AG1035" s="323"/>
      <c r="AH1035" s="323"/>
      <c r="AI1035" s="323"/>
      <c r="AJ1035" s="323"/>
      <c r="AK1035" s="323"/>
      <c r="AL1035" s="323"/>
      <c r="AM1035" s="323"/>
      <c r="AN1035" s="323"/>
      <c r="AO1035" s="323"/>
      <c r="AP1035" s="323"/>
      <c r="AQ1035" s="323"/>
      <c r="AR1035" s="323"/>
      <c r="AS1035" s="323"/>
      <c r="AT1035" s="323"/>
      <c r="AU1035" s="323"/>
      <c r="AV1035" s="323"/>
      <c r="AW1035" s="323"/>
      <c r="AX1035" s="323"/>
      <c r="AY1035" s="323"/>
      <c r="AZ1035" s="323"/>
      <c r="BA1035" s="323"/>
      <c r="BB1035" s="323"/>
      <c r="BC1035" s="323"/>
      <c r="BD1035" s="323"/>
      <c r="BE1035" s="323"/>
      <c r="BF1035" s="323"/>
      <c r="BG1035" s="323"/>
      <c r="BH1035" s="323"/>
      <c r="BI1035" s="323"/>
      <c r="BJ1035" s="323"/>
      <c r="BK1035" s="323"/>
      <c r="BL1035" s="323"/>
      <c r="BM1035" s="323"/>
      <c r="BN1035" s="323"/>
      <c r="BO1035" s="323"/>
      <c r="BP1035" s="323"/>
      <c r="BQ1035" s="323"/>
      <c r="BR1035" s="323"/>
      <c r="BS1035" s="323"/>
      <c r="BT1035" s="323"/>
      <c r="BU1035" s="323"/>
      <c r="BV1035" s="323"/>
      <c r="BW1035" s="323"/>
      <c r="BX1035" s="323"/>
      <c r="BY1035" s="323"/>
      <c r="BZ1035" s="323"/>
      <c r="CA1035" s="323"/>
      <c r="CB1035" s="323"/>
      <c r="CC1035" s="323"/>
      <c r="CD1035" s="329"/>
      <c r="CE1035" s="323">
        <v>6.8171795700000004</v>
      </c>
      <c r="CF1035" s="323">
        <v>3.9039883390000001</v>
      </c>
      <c r="CG1035" s="323">
        <v>3.8882203720000001</v>
      </c>
      <c r="CH1035" s="323">
        <v>6.2578329159999999</v>
      </c>
      <c r="CI1035" s="323">
        <v>3.5211649989999998</v>
      </c>
      <c r="CJ1035" s="323">
        <v>6.7397221739999997</v>
      </c>
      <c r="CK1035" s="323">
        <v>11.206712712287</v>
      </c>
      <c r="CL1035" s="323">
        <v>1.744920303962</v>
      </c>
      <c r="CM1035" s="323">
        <v>2.9498687050729999</v>
      </c>
      <c r="CN1035" s="323">
        <v>2.9364516164650003</v>
      </c>
      <c r="CO1035" s="323">
        <v>7.973572952974</v>
      </c>
      <c r="CP1035" s="325">
        <v>8.7696447443489998</v>
      </c>
      <c r="CQ1035" s="323">
        <f t="shared" ref="CQ1035:DB1035" si="2156">CQ24</f>
        <v>5.7607435347770011</v>
      </c>
      <c r="CR1035" s="323">
        <f t="shared" si="2156"/>
        <v>3.9472671107080002</v>
      </c>
      <c r="CS1035" s="323">
        <f t="shared" si="2156"/>
        <v>12.991094179872</v>
      </c>
      <c r="CT1035" s="323">
        <f t="shared" si="2156"/>
        <v>7.097023092573</v>
      </c>
      <c r="CU1035" s="323">
        <f t="shared" si="2156"/>
        <v>12.102969035651</v>
      </c>
      <c r="CV1035" s="323">
        <f t="shared" si="2156"/>
        <v>11.621077212909999</v>
      </c>
      <c r="CW1035" s="323">
        <f t="shared" si="2156"/>
        <v>8.4188352186079989</v>
      </c>
      <c r="CX1035" s="323">
        <f t="shared" si="2156"/>
        <v>3.7151717103489998</v>
      </c>
      <c r="CY1035" s="323">
        <f t="shared" si="2156"/>
        <v>9.2964163726490003</v>
      </c>
      <c r="CZ1035" s="323">
        <f t="shared" si="2156"/>
        <v>3.9665275602789998</v>
      </c>
      <c r="DA1035" s="323">
        <f t="shared" si="2156"/>
        <v>6.3830912553159997</v>
      </c>
      <c r="DB1035" s="1269">
        <f t="shared" si="2156"/>
        <v>13.932984784080002</v>
      </c>
      <c r="DC1035" s="323">
        <f>DC174</f>
        <v>0.42216898336300002</v>
      </c>
      <c r="DD1035" s="323">
        <f t="shared" ref="DD1035:FO1035" si="2157">DD174</f>
        <v>3.7189687297299998</v>
      </c>
      <c r="DE1035" s="323">
        <f t="shared" si="2157"/>
        <v>11.694227755626997</v>
      </c>
      <c r="DF1035" s="323">
        <f t="shared" si="2157"/>
        <v>8.5129279728749996</v>
      </c>
      <c r="DG1035" s="323">
        <f t="shared" si="2157"/>
        <v>4.8652677647420006</v>
      </c>
      <c r="DH1035" s="323">
        <f t="shared" si="2157"/>
        <v>22.350273298890002</v>
      </c>
      <c r="DI1035" s="323">
        <f t="shared" si="2157"/>
        <v>6.7047741122170006</v>
      </c>
      <c r="DJ1035" s="323">
        <f t="shared" si="2157"/>
        <v>5.5435094828279992</v>
      </c>
      <c r="DK1035" s="323">
        <f t="shared" si="2157"/>
        <v>13.796249482406001</v>
      </c>
      <c r="DL1035" s="323">
        <f t="shared" si="2157"/>
        <v>13.128120131547998</v>
      </c>
      <c r="DM1035" s="323">
        <f t="shared" si="2157"/>
        <v>6.8738819535209998</v>
      </c>
      <c r="DN1035" s="325">
        <f t="shared" si="2157"/>
        <v>5.2576456738859996</v>
      </c>
      <c r="DO1035" s="323">
        <f t="shared" si="2157"/>
        <v>3.2977253905239996</v>
      </c>
      <c r="DP1035" s="323">
        <f t="shared" si="2157"/>
        <v>8.4289872174100005</v>
      </c>
      <c r="DQ1035" s="323">
        <f t="shared" si="2157"/>
        <v>19.676344781299001</v>
      </c>
      <c r="DR1035" s="323">
        <f t="shared" si="2157"/>
        <v>6.2250619891019987</v>
      </c>
      <c r="DS1035" s="323">
        <f t="shared" si="2157"/>
        <v>11.369225287213002</v>
      </c>
      <c r="DT1035" s="323">
        <f t="shared" si="2157"/>
        <v>20.325144909231</v>
      </c>
      <c r="DU1035" s="323">
        <f t="shared" si="2157"/>
        <v>11.223212818042001</v>
      </c>
      <c r="DV1035" s="323">
        <f t="shared" si="2157"/>
        <v>3.1183098931750002</v>
      </c>
      <c r="DW1035" s="323">
        <f t="shared" si="2157"/>
        <v>21.614232810366996</v>
      </c>
      <c r="DX1035" s="323">
        <f t="shared" si="2157"/>
        <v>21.526583004928</v>
      </c>
      <c r="DY1035" s="323">
        <f t="shared" si="2157"/>
        <v>12.780071612072998</v>
      </c>
      <c r="DZ1035" s="325">
        <f t="shared" si="2157"/>
        <v>21.164277456465001</v>
      </c>
      <c r="EA1035" s="323">
        <f t="shared" si="2157"/>
        <v>9.7045831328230001</v>
      </c>
      <c r="EB1035" s="323">
        <f t="shared" si="2157"/>
        <v>14.178791869796999</v>
      </c>
      <c r="EC1035" s="323">
        <f t="shared" si="2157"/>
        <v>4.1068273863379989</v>
      </c>
      <c r="ED1035" s="323">
        <f t="shared" si="2157"/>
        <v>14.499453949647002</v>
      </c>
      <c r="EE1035" s="323">
        <f t="shared" si="2157"/>
        <v>8.0689371946400001</v>
      </c>
      <c r="EF1035" s="323">
        <f t="shared" si="2157"/>
        <v>16.683415901944997</v>
      </c>
      <c r="EG1035" s="323">
        <f t="shared" si="2157"/>
        <v>20.175523392911998</v>
      </c>
      <c r="EH1035" s="323">
        <f t="shared" si="2157"/>
        <v>4.4105177353120002</v>
      </c>
      <c r="EI1035" s="323">
        <f t="shared" si="2157"/>
        <v>18.571578294357</v>
      </c>
      <c r="EJ1035" s="323">
        <f t="shared" si="2157"/>
        <v>12.140062738398001</v>
      </c>
      <c r="EK1035" s="323">
        <f t="shared" si="2157"/>
        <v>19.123543562072001</v>
      </c>
      <c r="EL1035" s="325">
        <f t="shared" si="2157"/>
        <v>28.687180347918996</v>
      </c>
      <c r="EM1035" s="323">
        <f t="shared" si="2157"/>
        <v>10.477656590839999</v>
      </c>
      <c r="EN1035" s="323">
        <f t="shared" si="2157"/>
        <v>2.1647688006760002</v>
      </c>
      <c r="EO1035" s="323">
        <f t="shared" si="2157"/>
        <v>15.058106803279999</v>
      </c>
      <c r="EP1035" s="323">
        <f t="shared" si="2157"/>
        <v>3.5079863831359996</v>
      </c>
      <c r="EQ1035" s="323">
        <f t="shared" si="2157"/>
        <v>15.281142754074001</v>
      </c>
      <c r="ER1035" s="323">
        <f t="shared" si="2157"/>
        <v>26.971773235696993</v>
      </c>
      <c r="ES1035" s="323">
        <f t="shared" si="2157"/>
        <v>23.575918671628003</v>
      </c>
      <c r="ET1035" s="323">
        <f t="shared" si="2157"/>
        <v>16.006098219428999</v>
      </c>
      <c r="EU1035" s="323">
        <f t="shared" si="2157"/>
        <v>17.722634921015</v>
      </c>
      <c r="EV1035" s="323">
        <f t="shared" si="2157"/>
        <v>14.858032673780999</v>
      </c>
      <c r="EW1035" s="323">
        <f t="shared" si="2157"/>
        <v>19.614621516160998</v>
      </c>
      <c r="EX1035" s="325">
        <f t="shared" si="2157"/>
        <v>49.68972366989501</v>
      </c>
      <c r="EY1035" s="323">
        <f t="shared" si="2157"/>
        <v>19.924202328219</v>
      </c>
      <c r="EZ1035" s="323">
        <f t="shared" si="2157"/>
        <v>27.841981081697003</v>
      </c>
      <c r="FA1035" s="323">
        <f t="shared" si="2157"/>
        <v>9.9377495896189991</v>
      </c>
      <c r="FB1035" s="323">
        <f t="shared" si="2157"/>
        <v>17.643032780835</v>
      </c>
      <c r="FC1035" s="323">
        <f t="shared" si="2157"/>
        <v>24.679553929534006</v>
      </c>
      <c r="FD1035" s="323">
        <f t="shared" si="2157"/>
        <v>36.914323498831997</v>
      </c>
      <c r="FE1035" s="323">
        <f t="shared" si="2157"/>
        <v>23.042271596590833</v>
      </c>
      <c r="FF1035" s="323">
        <f t="shared" si="2157"/>
        <v>23.042271596590833</v>
      </c>
      <c r="FG1035" s="323">
        <f t="shared" si="2157"/>
        <v>23.042271596590833</v>
      </c>
      <c r="FH1035" s="323">
        <f t="shared" si="2157"/>
        <v>27.301130899202501</v>
      </c>
      <c r="FI1035" s="323">
        <f t="shared" si="2157"/>
        <v>27.301130899202501</v>
      </c>
      <c r="FJ1035" s="325">
        <f t="shared" si="2157"/>
        <v>27.301130899202501</v>
      </c>
      <c r="FK1035" s="323">
        <f t="shared" si="2157"/>
        <v>117.575863139036</v>
      </c>
      <c r="FL1035" s="323">
        <f t="shared" si="2157"/>
        <v>44.259788753746001</v>
      </c>
      <c r="FM1035" s="323">
        <f t="shared" si="2157"/>
        <v>18.768165997943996</v>
      </c>
      <c r="FN1035" s="323">
        <f t="shared" si="2157"/>
        <v>12.931676679849998</v>
      </c>
      <c r="FO1035" s="323">
        <f t="shared" si="2157"/>
        <v>25.497255099752</v>
      </c>
      <c r="FP1035" s="323">
        <f t="shared" ref="FP1035:HX1035" si="2158">FP174</f>
        <v>27.715972263397997</v>
      </c>
      <c r="FQ1035" s="323">
        <f t="shared" si="2158"/>
        <v>16.024197946205</v>
      </c>
      <c r="FR1035" s="323">
        <f t="shared" si="2158"/>
        <v>13.750472737393999</v>
      </c>
      <c r="FS1035" s="323">
        <f t="shared" si="2158"/>
        <v>35.751266564339986</v>
      </c>
      <c r="FT1035" s="323">
        <f t="shared" si="2158"/>
        <v>26.086093328253</v>
      </c>
      <c r="FU1035" s="323">
        <f t="shared" si="2158"/>
        <v>8.9790092985810013</v>
      </c>
      <c r="FV1035" s="323">
        <f t="shared" si="2158"/>
        <v>43.230276040410004</v>
      </c>
      <c r="FW1035" s="323">
        <f t="shared" si="2158"/>
        <v>31.975558265251003</v>
      </c>
      <c r="FX1035" s="323">
        <f t="shared" si="2158"/>
        <v>21.442936379576999</v>
      </c>
      <c r="FY1035" s="323">
        <f t="shared" si="2158"/>
        <v>33.697982377468996</v>
      </c>
      <c r="FZ1035" s="323">
        <f t="shared" si="2158"/>
        <v>65.024764227000006</v>
      </c>
      <c r="GA1035" s="323">
        <f t="shared" si="2158"/>
        <v>31.014908093999999</v>
      </c>
      <c r="GB1035" s="323">
        <f t="shared" si="2158"/>
        <v>44.204778484999999</v>
      </c>
      <c r="GC1035" s="323">
        <f t="shared" si="2158"/>
        <v>3.4298311076370003</v>
      </c>
      <c r="GD1035" s="323">
        <f t="shared" si="2158"/>
        <v>20.862679986603997</v>
      </c>
      <c r="GE1035" s="323">
        <f t="shared" si="2158"/>
        <v>18.005459701505991</v>
      </c>
      <c r="GF1035" s="323">
        <f t="shared" si="2158"/>
        <v>21.540718199653</v>
      </c>
      <c r="GG1035" s="323">
        <f t="shared" si="2158"/>
        <v>26.262921360992998</v>
      </c>
      <c r="GH1035" s="323">
        <f t="shared" si="2158"/>
        <v>94.193047969999995</v>
      </c>
      <c r="GI1035" s="1654">
        <f t="shared" si="2158"/>
        <v>21.089689929990001</v>
      </c>
      <c r="GJ1035" s="1654">
        <f t="shared" si="2158"/>
        <v>12.047433845630001</v>
      </c>
      <c r="GK1035" s="1654">
        <f t="shared" si="2158"/>
        <v>82.647879174370004</v>
      </c>
      <c r="GL1035" s="1654">
        <f t="shared" si="2158"/>
        <v>28.692948375380006</v>
      </c>
      <c r="GM1035" s="1654">
        <f t="shared" si="2158"/>
        <v>13.105693843020003</v>
      </c>
      <c r="GN1035" s="1654">
        <f t="shared" si="2158"/>
        <v>47.536420291729996</v>
      </c>
      <c r="GO1035" s="1654">
        <f t="shared" si="2158"/>
        <v>32.610284015775001</v>
      </c>
      <c r="GP1035" s="1654">
        <f t="shared" si="2158"/>
        <v>32.288064439738001</v>
      </c>
      <c r="GQ1035" s="1654">
        <f t="shared" si="2158"/>
        <v>67.569872539294977</v>
      </c>
      <c r="GR1035" s="1654">
        <f t="shared" si="2158"/>
        <v>18.009931112640992</v>
      </c>
      <c r="GS1035" s="1654">
        <f t="shared" si="2158"/>
        <v>23.205993021143005</v>
      </c>
      <c r="GT1035" s="1654">
        <f t="shared" si="2158"/>
        <v>47.667523324553009</v>
      </c>
      <c r="GU1035" s="1654">
        <f t="shared" si="2158"/>
        <v>21.910529276230999</v>
      </c>
      <c r="GV1035" s="1654">
        <f t="shared" si="2158"/>
        <v>42.197749617607002</v>
      </c>
      <c r="GW1035" s="1654">
        <f t="shared" si="2158"/>
        <v>49.829994886929001</v>
      </c>
      <c r="GX1035" s="1654">
        <f t="shared" si="2158"/>
        <v>39.515026511001999</v>
      </c>
      <c r="GY1035" s="1654">
        <f t="shared" si="2158"/>
        <v>66.984583489333005</v>
      </c>
      <c r="GZ1035" s="1654">
        <f t="shared" si="2158"/>
        <v>100.25194032583398</v>
      </c>
      <c r="HA1035" s="1654">
        <f t="shared" si="2158"/>
        <v>31.435793520262003</v>
      </c>
      <c r="HB1035" s="1654">
        <f t="shared" si="2158"/>
        <v>21.236010936550997</v>
      </c>
      <c r="HC1035" s="1654">
        <f t="shared" si="2158"/>
        <v>79.633581699936997</v>
      </c>
      <c r="HD1035" s="1654">
        <f t="shared" si="2158"/>
        <v>40.509249266334002</v>
      </c>
      <c r="HE1035" s="1654">
        <f t="shared" si="2158"/>
        <v>18.274648314265999</v>
      </c>
      <c r="HF1035" s="1654">
        <f t="shared" si="2158"/>
        <v>128.23267715206299</v>
      </c>
      <c r="HG1035" s="1654">
        <f t="shared" si="2158"/>
        <v>49.879732205343004</v>
      </c>
      <c r="HH1035" s="1654">
        <f t="shared" si="2158"/>
        <v>18.934514546271</v>
      </c>
      <c r="HI1035" s="1654">
        <f t="shared" si="2158"/>
        <v>66.736240651427991</v>
      </c>
      <c r="HJ1035" s="1654">
        <f t="shared" si="2158"/>
        <v>74.895360717955</v>
      </c>
      <c r="HK1035" s="1654">
        <f t="shared" si="2158"/>
        <v>42.123375037326014</v>
      </c>
      <c r="HL1035" s="1654">
        <f t="shared" si="2158"/>
        <v>127.8921099328622</v>
      </c>
      <c r="HM1035" s="1654">
        <f t="shared" si="2158"/>
        <v>54.966984160314993</v>
      </c>
      <c r="HN1035" s="1654">
        <f t="shared" si="2158"/>
        <v>23.751190503989001</v>
      </c>
      <c r="HO1035" s="1654">
        <f t="shared" si="2158"/>
        <v>77.731444028875003</v>
      </c>
      <c r="HP1035" s="1654">
        <f t="shared" si="2158"/>
        <v>50.786878182816004</v>
      </c>
      <c r="HQ1035" s="1654">
        <f t="shared" si="2158"/>
        <v>72.235398328367992</v>
      </c>
      <c r="HR1035" s="1654">
        <f t="shared" si="2158"/>
        <v>79.028235299879</v>
      </c>
      <c r="HS1035" s="1654">
        <f t="shared" si="2158"/>
        <v>22.134883638801</v>
      </c>
      <c r="HT1035" s="1654">
        <f t="shared" si="2158"/>
        <v>28.566661222182997</v>
      </c>
      <c r="HU1035" s="1654">
        <f t="shared" si="2158"/>
        <v>84.674756882695007</v>
      </c>
      <c r="HV1035" s="1654">
        <f t="shared" si="2158"/>
        <v>66.007727705753993</v>
      </c>
      <c r="HW1035" s="1654">
        <f t="shared" si="2158"/>
        <v>86.302423310713991</v>
      </c>
      <c r="HX1035" s="1654">
        <f t="shared" si="2158"/>
        <v>120.366979698935</v>
      </c>
      <c r="HY1035" s="1654"/>
      <c r="HZ1035" s="326"/>
      <c r="IA1035" s="337" t="s">
        <v>507</v>
      </c>
      <c r="IB1035" s="284">
        <f>SUM(CE1035:CJ1035)</f>
        <v>31.12810837</v>
      </c>
      <c r="IC1035" s="279">
        <f>SUM(CK1035:CP1035)</f>
        <v>35.581171035110003</v>
      </c>
      <c r="ID1035" s="323">
        <f>IB1035+IC1035</f>
        <v>66.70927940511001</v>
      </c>
      <c r="IE1035" s="279">
        <f>SUM(CQ1035:CV1035)</f>
        <v>53.520174166491003</v>
      </c>
      <c r="IF1035" s="279">
        <f>SUM(CW1035:DB1035)</f>
        <v>45.713026901280998</v>
      </c>
      <c r="IG1035" s="323">
        <f>IE1035+IF1035</f>
        <v>99.233201067772001</v>
      </c>
      <c r="IH1035" s="284">
        <f>SUM(DC1035:DH1035)</f>
        <v>51.563834505227</v>
      </c>
      <c r="II1035" s="279">
        <f>SUM(DI1035:DN1035)</f>
        <v>51.30418083640599</v>
      </c>
      <c r="IJ1035" s="323">
        <f>IH1035+II1035</f>
        <v>102.868015341633</v>
      </c>
      <c r="IK1035" s="327">
        <f>SUM(DO1035:DT1035)</f>
        <v>69.322489574778999</v>
      </c>
      <c r="IL1035" s="279">
        <f>SUM(DU1035:DZ1035)</f>
        <v>91.426687595049998</v>
      </c>
      <c r="IM1035" s="323">
        <f>IK1035+IL1035</f>
        <v>160.74917716982901</v>
      </c>
      <c r="IN1035" s="279">
        <f>SUM(EA1035:EF1035)</f>
        <v>67.242009435189999</v>
      </c>
      <c r="IO1035" s="279">
        <f>SUM(EG1035:EL1035)</f>
        <v>103.10840607096999</v>
      </c>
      <c r="IP1035" s="323">
        <f>IN1035+IO1035</f>
        <v>170.35041550616</v>
      </c>
      <c r="IQ1035" s="327">
        <f>SUM(EM1035:ER1035)</f>
        <v>73.46143456770298</v>
      </c>
      <c r="IR1035" s="327">
        <f>SUM(ES1035:EX1035)</f>
        <v>141.46702967190902</v>
      </c>
      <c r="IS1035" s="323">
        <f>IQ1035+IR1035</f>
        <v>214.928464239612</v>
      </c>
      <c r="IT1035" s="327">
        <f>SUM(EY1035:FD1035)</f>
        <v>136.940843208736</v>
      </c>
      <c r="IU1035" s="327">
        <f>SUM(FE1035:FJ1035)</f>
        <v>151.03020748738001</v>
      </c>
      <c r="IV1035" s="323">
        <f>IT1035+IU1035</f>
        <v>287.97105069611598</v>
      </c>
      <c r="IW1035" s="327">
        <f>SUM(FK1035:FP1035)</f>
        <v>246.74872193372602</v>
      </c>
      <c r="IX1035" s="327">
        <f>SUM(FQ1035:FV1035)</f>
        <v>143.82131591518299</v>
      </c>
      <c r="IY1035" s="323">
        <f t="shared" si="2005"/>
        <v>390.57003784890901</v>
      </c>
      <c r="IZ1035" s="327">
        <f>SUM(FW1035:GB1035)</f>
        <v>227.36092782829701</v>
      </c>
      <c r="JA1035" s="327">
        <f>SUM(GC1035:GH1035)</f>
        <v>184.29465832639301</v>
      </c>
      <c r="JB1035" s="323">
        <f t="shared" si="2036"/>
        <v>411.65558615469001</v>
      </c>
      <c r="JC1035" s="327">
        <f t="shared" si="2112"/>
        <v>205.12006546012</v>
      </c>
      <c r="JD1035" s="327">
        <f t="shared" si="2113"/>
        <v>221.35166845314498</v>
      </c>
      <c r="JE1035" s="323">
        <f t="shared" si="2137"/>
        <v>426.47173391326498</v>
      </c>
      <c r="JF1035" s="327">
        <f>SUM(GU1035:GZ1035)</f>
        <v>320.68982410693599</v>
      </c>
      <c r="JG1035" s="327">
        <f t="shared" si="2155"/>
        <v>319.32196088941294</v>
      </c>
      <c r="JH1035" s="323">
        <f t="shared" si="2135"/>
        <v>640.01178499634898</v>
      </c>
      <c r="JI1035" s="327">
        <f t="shared" si="2144"/>
        <v>380.46133309118517</v>
      </c>
      <c r="JJ1035" s="327">
        <f t="shared" si="2035"/>
        <v>358.50013050424195</v>
      </c>
      <c r="JK1035" s="323">
        <f t="shared" si="2117"/>
        <v>738.96146359542718</v>
      </c>
      <c r="JL1035" s="327">
        <f t="shared" si="2118"/>
        <v>408.05343245908199</v>
      </c>
      <c r="JM1035" s="327">
        <f>FISC!AK59*FISC!AK259/1000</f>
        <v>378.1343627694028</v>
      </c>
      <c r="JN1035" s="323">
        <f>FISC!AK1360</f>
        <v>787.78024694327939</v>
      </c>
      <c r="JO1035" s="327">
        <f>FISC!AK62*FISC!AL259/1000</f>
        <v>407.60203783237796</v>
      </c>
      <c r="JP1035" s="327">
        <f>FISC!AL59*FISC!AL259/1000</f>
        <v>412.93319579923104</v>
      </c>
      <c r="JQ1035" s="323">
        <f>FISC!AL1360</f>
        <v>820.535233631609</v>
      </c>
      <c r="JR1035" s="279">
        <f>FISC!AL62*FISC!AM259/1000</f>
        <v>429.89642208027624</v>
      </c>
      <c r="JS1035" s="279">
        <f>FISC!AM59*FISC!AM259/1000</f>
        <v>430.82518987478284</v>
      </c>
      <c r="JT1035" s="323">
        <f>FISC!AM1360</f>
        <v>860.72161195505896</v>
      </c>
      <c r="JU1035" s="279">
        <f>FISC!AM62*FISC!AN259/1000</f>
        <v>461.44866580171754</v>
      </c>
      <c r="JV1035" s="279">
        <f>FISC!AN59*FISC!AN259/1000</f>
        <v>483.46910362878907</v>
      </c>
      <c r="JW1035" s="323">
        <f>FISC!AN1360</f>
        <v>944.9177694305065</v>
      </c>
      <c r="JX1035" s="279">
        <f>FISC!AN62*FISC!AO259/1000</f>
        <v>451.67232972879708</v>
      </c>
      <c r="JY1035" s="279">
        <f>FISC!AO59*FISC!AO259/1000</f>
        <v>548.72645570242025</v>
      </c>
      <c r="JZ1035" s="323">
        <f>FISC!AO1360</f>
        <v>1000.3987854312173</v>
      </c>
      <c r="KA1035" s="279">
        <f>FISC!AO62*FISC!AQ259/1000</f>
        <v>573.47310226000684</v>
      </c>
      <c r="KB1035" s="279">
        <f>FISC!AR59*FISC!AR259/1000</f>
        <v>302.40935818968217</v>
      </c>
      <c r="KC1035" s="323">
        <f>FISC!AP1360</f>
        <v>1080.9028517411339</v>
      </c>
      <c r="KD1035" s="279">
        <f>FISC!AT62*FISC!AU259/1000</f>
        <v>0</v>
      </c>
      <c r="KE1035" s="279">
        <f>FISC!AU59*FISC!AU259/1000</f>
        <v>0</v>
      </c>
      <c r="KF1035" s="323">
        <f>FISC!AQ1360</f>
        <v>1002.0685563460748</v>
      </c>
      <c r="KG1035" s="279">
        <f>FISC!AW62*FISC!AX259/1000</f>
        <v>0</v>
      </c>
      <c r="KH1035" s="279">
        <f>FISC!AX59*FISC!AX259/1000</f>
        <v>0</v>
      </c>
      <c r="KI1035" s="323">
        <f>FISC!AR1360</f>
        <v>551.9581355791646</v>
      </c>
      <c r="KJ1035" s="279">
        <f>FISC!AZ62*FISC!BA259/1000</f>
        <v>0</v>
      </c>
      <c r="KK1035" s="279">
        <f>FISC!BA59*FISC!BA259/1000</f>
        <v>0</v>
      </c>
      <c r="KL1035" s="323">
        <f>FISC!AS1360</f>
        <v>568.51687964653956</v>
      </c>
      <c r="KM1035" s="279">
        <f>FISC!BC62*FISC!BD259/1000</f>
        <v>0</v>
      </c>
      <c r="KN1035" s="279">
        <f>FISC!BD59*FISC!BD259/1000</f>
        <v>0</v>
      </c>
      <c r="KO1035" s="323">
        <f>FISC!AT1360</f>
        <v>585.57238603593589</v>
      </c>
      <c r="KU1035" s="326"/>
      <c r="KV1035" s="327"/>
    </row>
    <row r="1036" spans="1:314">
      <c r="A1036" s="279"/>
      <c r="D1036" s="1395" t="s">
        <v>3184</v>
      </c>
      <c r="E1036" s="323"/>
      <c r="F1036" s="323"/>
      <c r="G1036" s="323"/>
      <c r="H1036" s="323"/>
      <c r="I1036" s="323"/>
      <c r="J1036" s="323"/>
      <c r="K1036" s="323"/>
      <c r="L1036" s="323"/>
      <c r="M1036" s="323"/>
      <c r="N1036" s="323"/>
      <c r="O1036" s="323"/>
      <c r="P1036" s="323"/>
      <c r="Q1036" s="323"/>
      <c r="R1036" s="323"/>
      <c r="S1036" s="323"/>
      <c r="T1036" s="323"/>
      <c r="U1036" s="323"/>
      <c r="V1036" s="323"/>
      <c r="W1036" s="323"/>
      <c r="X1036" s="323"/>
      <c r="Y1036" s="323"/>
      <c r="Z1036" s="323"/>
      <c r="AA1036" s="323"/>
      <c r="AB1036" s="323"/>
      <c r="AC1036" s="323"/>
      <c r="AD1036" s="323"/>
      <c r="AE1036" s="323"/>
      <c r="AF1036" s="323"/>
      <c r="AG1036" s="323"/>
      <c r="AH1036" s="323"/>
      <c r="AI1036" s="323"/>
      <c r="AJ1036" s="323"/>
      <c r="AK1036" s="323"/>
      <c r="AL1036" s="323"/>
      <c r="AM1036" s="323"/>
      <c r="AN1036" s="323"/>
      <c r="AO1036" s="323"/>
      <c r="AP1036" s="323"/>
      <c r="AQ1036" s="323"/>
      <c r="AR1036" s="323"/>
      <c r="AS1036" s="323"/>
      <c r="AT1036" s="323"/>
      <c r="AU1036" s="323"/>
      <c r="AV1036" s="323"/>
      <c r="AW1036" s="323"/>
      <c r="AX1036" s="323"/>
      <c r="AY1036" s="323"/>
      <c r="AZ1036" s="323"/>
      <c r="BA1036" s="323"/>
      <c r="BB1036" s="323"/>
      <c r="BC1036" s="323"/>
      <c r="BD1036" s="323"/>
      <c r="BE1036" s="323"/>
      <c r="BF1036" s="323"/>
      <c r="BG1036" s="323"/>
      <c r="BH1036" s="323"/>
      <c r="BI1036" s="323"/>
      <c r="BJ1036" s="323"/>
      <c r="BK1036" s="323"/>
      <c r="BL1036" s="323"/>
      <c r="BM1036" s="323"/>
      <c r="BN1036" s="323"/>
      <c r="BO1036" s="323"/>
      <c r="BP1036" s="323"/>
      <c r="BQ1036" s="323"/>
      <c r="BR1036" s="323"/>
      <c r="BS1036" s="323"/>
      <c r="BT1036" s="323"/>
      <c r="BU1036" s="323"/>
      <c r="BV1036" s="323"/>
      <c r="BW1036" s="323"/>
      <c r="BX1036" s="323"/>
      <c r="BY1036" s="323"/>
      <c r="BZ1036" s="323"/>
      <c r="CA1036" s="323"/>
      <c r="CB1036" s="323"/>
      <c r="CC1036" s="323"/>
      <c r="CD1036" s="329"/>
      <c r="CE1036" s="323"/>
      <c r="CF1036" s="323"/>
      <c r="CG1036" s="323"/>
      <c r="CH1036" s="323"/>
      <c r="CI1036" s="323"/>
      <c r="CJ1036" s="323"/>
      <c r="CK1036" s="323"/>
      <c r="CL1036" s="323"/>
      <c r="CM1036" s="323"/>
      <c r="CN1036" s="323"/>
      <c r="CO1036" s="323"/>
      <c r="CP1036" s="325"/>
      <c r="CQ1036" s="323"/>
      <c r="CR1036" s="323"/>
      <c r="CS1036" s="323"/>
      <c r="CT1036" s="323"/>
      <c r="CU1036" s="323"/>
      <c r="CV1036" s="323"/>
      <c r="CW1036" s="323"/>
      <c r="CX1036" s="323"/>
      <c r="CY1036" s="323"/>
      <c r="CZ1036" s="323"/>
      <c r="DA1036" s="323"/>
      <c r="DB1036" s="1269"/>
      <c r="DC1036" s="323"/>
      <c r="DD1036" s="323"/>
      <c r="DE1036" s="323"/>
      <c r="DF1036" s="323"/>
      <c r="DG1036" s="323"/>
      <c r="DH1036" s="323"/>
      <c r="DI1036" s="323"/>
      <c r="DJ1036" s="323"/>
      <c r="DK1036" s="323"/>
      <c r="DL1036" s="323"/>
      <c r="DM1036" s="323"/>
      <c r="DN1036" s="325"/>
      <c r="DO1036" s="323"/>
      <c r="DP1036" s="323"/>
      <c r="DQ1036" s="323"/>
      <c r="DR1036" s="323"/>
      <c r="DS1036" s="323"/>
      <c r="DT1036" s="323"/>
      <c r="DU1036" s="323"/>
      <c r="DV1036" s="323"/>
      <c r="DW1036" s="323"/>
      <c r="DX1036" s="323"/>
      <c r="DY1036" s="323"/>
      <c r="DZ1036" s="325"/>
      <c r="EA1036" s="323"/>
      <c r="EB1036" s="323"/>
      <c r="EC1036" s="323"/>
      <c r="ED1036" s="323"/>
      <c r="EE1036" s="323"/>
      <c r="EF1036" s="323"/>
      <c r="EG1036" s="323"/>
      <c r="EH1036" s="323"/>
      <c r="EI1036" s="323"/>
      <c r="EJ1036" s="323"/>
      <c r="EK1036" s="323"/>
      <c r="EL1036" s="325"/>
      <c r="EM1036" s="323"/>
      <c r="EN1036" s="323"/>
      <c r="EO1036" s="323"/>
      <c r="EP1036" s="323"/>
      <c r="EQ1036" s="323"/>
      <c r="ER1036" s="323"/>
      <c r="ES1036" s="323"/>
      <c r="ET1036" s="323"/>
      <c r="EU1036" s="323"/>
      <c r="EV1036" s="323"/>
      <c r="EW1036" s="323"/>
      <c r="EX1036" s="325"/>
      <c r="EY1036" s="323"/>
      <c r="EZ1036" s="323"/>
      <c r="FA1036" s="323"/>
      <c r="FB1036" s="323"/>
      <c r="FC1036" s="323"/>
      <c r="FD1036" s="323"/>
      <c r="FE1036" s="323"/>
      <c r="FF1036" s="323"/>
      <c r="FG1036" s="323"/>
      <c r="FH1036" s="323"/>
      <c r="FI1036" s="323"/>
      <c r="FJ1036" s="325"/>
      <c r="FK1036" s="323"/>
      <c r="FL1036" s="323"/>
      <c r="FM1036" s="323"/>
      <c r="FN1036" s="323"/>
      <c r="FO1036" s="323"/>
      <c r="FP1036" s="323"/>
      <c r="FQ1036" s="323"/>
      <c r="FR1036" s="323"/>
      <c r="FS1036" s="323"/>
      <c r="FT1036" s="323"/>
      <c r="FU1036" s="323"/>
      <c r="FV1036" s="323"/>
      <c r="FW1036" s="323"/>
      <c r="FX1036" s="323"/>
      <c r="FY1036" s="323"/>
      <c r="FZ1036" s="323"/>
      <c r="GA1036" s="323"/>
      <c r="GB1036" s="323"/>
      <c r="GC1036" s="323"/>
      <c r="GD1036" s="323"/>
      <c r="GE1036" s="323"/>
      <c r="GF1036" s="323"/>
      <c r="GG1036" s="323"/>
      <c r="GH1036" s="323"/>
      <c r="GI1036" s="1654"/>
      <c r="HZ1036" s="326"/>
      <c r="IA1036" s="1395" t="s">
        <v>3596</v>
      </c>
      <c r="IB1036" s="284"/>
      <c r="ID1036" s="323"/>
      <c r="IG1036" s="323"/>
      <c r="IH1036" s="284"/>
      <c r="IJ1036" s="323"/>
      <c r="IK1036" s="327"/>
      <c r="IM1036" s="323"/>
      <c r="IP1036" s="323"/>
      <c r="IQ1036" s="327"/>
      <c r="IR1036" s="327"/>
      <c r="IS1036" s="323"/>
      <c r="IT1036" s="327"/>
      <c r="IU1036" s="327"/>
      <c r="IV1036" s="323"/>
      <c r="IW1036" s="327"/>
      <c r="IX1036" s="327"/>
      <c r="IY1036" s="323"/>
      <c r="IZ1036" s="327"/>
      <c r="JA1036" s="327"/>
      <c r="JB1036" s="323"/>
      <c r="JC1036" s="327">
        <f t="shared" si="2112"/>
        <v>0</v>
      </c>
      <c r="JD1036" s="327">
        <f t="shared" si="2113"/>
        <v>0</v>
      </c>
      <c r="JE1036" s="323">
        <f t="shared" si="2137"/>
        <v>0</v>
      </c>
      <c r="JF1036" s="327"/>
      <c r="JG1036" s="327">
        <f t="shared" si="2155"/>
        <v>0</v>
      </c>
      <c r="JH1036" s="323">
        <f t="shared" si="2135"/>
        <v>0</v>
      </c>
      <c r="JI1036" s="327">
        <f t="shared" si="2144"/>
        <v>0</v>
      </c>
      <c r="JJ1036" s="327">
        <f t="shared" si="2035"/>
        <v>0</v>
      </c>
      <c r="JK1036" s="323">
        <f t="shared" si="2117"/>
        <v>0</v>
      </c>
      <c r="JL1036" s="327">
        <f t="shared" si="2118"/>
        <v>0</v>
      </c>
      <c r="JN1036" s="323">
        <f>FISC!AK1361</f>
        <v>0</v>
      </c>
      <c r="JO1036" s="327"/>
      <c r="JQ1036" s="323">
        <f>FISC!AL1361</f>
        <v>0</v>
      </c>
      <c r="JT1036" s="323">
        <f>FISC!AM1361</f>
        <v>0</v>
      </c>
      <c r="JW1036" s="323">
        <f>FISC!AN1361</f>
        <v>0</v>
      </c>
      <c r="JZ1036" s="323">
        <f>FISC!AO1361</f>
        <v>0</v>
      </c>
      <c r="KC1036" s="323">
        <f>FISC!AP1361</f>
        <v>0</v>
      </c>
      <c r="KF1036" s="323">
        <f>FISC!AQ1361</f>
        <v>0</v>
      </c>
      <c r="KI1036" s="323">
        <f>FISC!AR1361</f>
        <v>0</v>
      </c>
      <c r="KL1036" s="323">
        <f>FISC!AS1361</f>
        <v>0</v>
      </c>
      <c r="KO1036" s="323">
        <f>FISC!AT1361</f>
        <v>0</v>
      </c>
      <c r="KU1036" s="326"/>
      <c r="KV1036" s="327"/>
    </row>
    <row r="1037" spans="1:314">
      <c r="A1037" s="279"/>
      <c r="D1037" s="1395" t="s">
        <v>3128</v>
      </c>
      <c r="E1037" s="323"/>
      <c r="F1037" s="323"/>
      <c r="G1037" s="323"/>
      <c r="H1037" s="323"/>
      <c r="I1037" s="323"/>
      <c r="J1037" s="323"/>
      <c r="K1037" s="323"/>
      <c r="L1037" s="323"/>
      <c r="M1037" s="323"/>
      <c r="N1037" s="323"/>
      <c r="O1037" s="323"/>
      <c r="P1037" s="323"/>
      <c r="Q1037" s="323"/>
      <c r="R1037" s="323"/>
      <c r="S1037" s="323"/>
      <c r="T1037" s="323"/>
      <c r="U1037" s="323"/>
      <c r="V1037" s="323"/>
      <c r="W1037" s="323"/>
      <c r="X1037" s="323"/>
      <c r="Y1037" s="323"/>
      <c r="Z1037" s="323"/>
      <c r="AA1037" s="323"/>
      <c r="AB1037" s="323"/>
      <c r="AC1037" s="323"/>
      <c r="AD1037" s="323"/>
      <c r="AE1037" s="323"/>
      <c r="AF1037" s="323"/>
      <c r="AG1037" s="323"/>
      <c r="AH1037" s="323"/>
      <c r="AI1037" s="323"/>
      <c r="AJ1037" s="323"/>
      <c r="AK1037" s="323"/>
      <c r="AL1037" s="323"/>
      <c r="AM1037" s="323"/>
      <c r="AN1037" s="323"/>
      <c r="AO1037" s="323"/>
      <c r="AP1037" s="323"/>
      <c r="AQ1037" s="323"/>
      <c r="AR1037" s="323"/>
      <c r="AS1037" s="323"/>
      <c r="AT1037" s="323"/>
      <c r="AU1037" s="323"/>
      <c r="AV1037" s="323"/>
      <c r="AW1037" s="323"/>
      <c r="AX1037" s="323"/>
      <c r="AY1037" s="323"/>
      <c r="AZ1037" s="323"/>
      <c r="BA1037" s="323"/>
      <c r="BB1037" s="323"/>
      <c r="BC1037" s="323"/>
      <c r="BD1037" s="323"/>
      <c r="BE1037" s="323"/>
      <c r="BF1037" s="323"/>
      <c r="BG1037" s="323"/>
      <c r="BH1037" s="323"/>
      <c r="BI1037" s="323"/>
      <c r="BJ1037" s="323"/>
      <c r="BK1037" s="323"/>
      <c r="BL1037" s="323"/>
      <c r="BM1037" s="323"/>
      <c r="BN1037" s="323"/>
      <c r="BO1037" s="323"/>
      <c r="BP1037" s="323"/>
      <c r="BQ1037" s="323"/>
      <c r="BR1037" s="323"/>
      <c r="BS1037" s="323"/>
      <c r="BT1037" s="323"/>
      <c r="BU1037" s="323"/>
      <c r="BV1037" s="323"/>
      <c r="BW1037" s="323"/>
      <c r="BX1037" s="323"/>
      <c r="BY1037" s="323"/>
      <c r="BZ1037" s="323"/>
      <c r="CA1037" s="323"/>
      <c r="CB1037" s="323"/>
      <c r="CC1037" s="323"/>
      <c r="CD1037" s="329"/>
      <c r="CE1037" s="323"/>
      <c r="CF1037" s="323"/>
      <c r="CG1037" s="323"/>
      <c r="CH1037" s="323"/>
      <c r="CI1037" s="323"/>
      <c r="CJ1037" s="323"/>
      <c r="CK1037" s="323"/>
      <c r="CL1037" s="323"/>
      <c r="CM1037" s="323"/>
      <c r="CN1037" s="323"/>
      <c r="CO1037" s="323"/>
      <c r="CP1037" s="325"/>
      <c r="CQ1037" s="323"/>
      <c r="CR1037" s="323"/>
      <c r="CS1037" s="323"/>
      <c r="CT1037" s="323"/>
      <c r="CU1037" s="323"/>
      <c r="CV1037" s="323"/>
      <c r="CW1037" s="323"/>
      <c r="CX1037" s="323"/>
      <c r="CY1037" s="323"/>
      <c r="CZ1037" s="323"/>
      <c r="DA1037" s="323"/>
      <c r="DB1037" s="1269"/>
      <c r="DC1037" s="323"/>
      <c r="DD1037" s="323"/>
      <c r="DE1037" s="323"/>
      <c r="DF1037" s="323"/>
      <c r="DG1037" s="323"/>
      <c r="DH1037" s="323"/>
      <c r="DI1037" s="323"/>
      <c r="DJ1037" s="323"/>
      <c r="DK1037" s="323"/>
      <c r="DL1037" s="323"/>
      <c r="DM1037" s="323"/>
      <c r="DN1037" s="325"/>
      <c r="DO1037" s="323"/>
      <c r="DP1037" s="323"/>
      <c r="DQ1037" s="323"/>
      <c r="DR1037" s="323"/>
      <c r="DS1037" s="323"/>
      <c r="DT1037" s="323"/>
      <c r="DU1037" s="323"/>
      <c r="DV1037" s="323"/>
      <c r="DW1037" s="323"/>
      <c r="DX1037" s="323"/>
      <c r="DY1037" s="323"/>
      <c r="DZ1037" s="325"/>
      <c r="EA1037" s="323"/>
      <c r="EB1037" s="323"/>
      <c r="EC1037" s="323"/>
      <c r="ED1037" s="323"/>
      <c r="EE1037" s="323"/>
      <c r="EF1037" s="323"/>
      <c r="EG1037" s="323"/>
      <c r="EH1037" s="323"/>
      <c r="EI1037" s="323"/>
      <c r="EJ1037" s="323"/>
      <c r="EK1037" s="323"/>
      <c r="EL1037" s="325"/>
      <c r="EM1037" s="323"/>
      <c r="EN1037" s="323"/>
      <c r="EO1037" s="323"/>
      <c r="EP1037" s="323"/>
      <c r="EQ1037" s="323"/>
      <c r="ER1037" s="323"/>
      <c r="ES1037" s="323"/>
      <c r="ET1037" s="323"/>
      <c r="EU1037" s="323"/>
      <c r="EV1037" s="323"/>
      <c r="EW1037" s="323"/>
      <c r="EX1037" s="325"/>
      <c r="EY1037" s="323"/>
      <c r="EZ1037" s="323"/>
      <c r="FA1037" s="323"/>
      <c r="FB1037" s="323"/>
      <c r="FC1037" s="323"/>
      <c r="FD1037" s="323"/>
      <c r="FE1037" s="323"/>
      <c r="FF1037" s="323"/>
      <c r="FG1037" s="323"/>
      <c r="FH1037" s="323"/>
      <c r="FI1037" s="323"/>
      <c r="FJ1037" s="325"/>
      <c r="FK1037" s="323"/>
      <c r="FL1037" s="323"/>
      <c r="FM1037" s="323"/>
      <c r="FN1037" s="323"/>
      <c r="FO1037" s="323"/>
      <c r="FP1037" s="323"/>
      <c r="FQ1037" s="323"/>
      <c r="FR1037" s="323"/>
      <c r="FS1037" s="323"/>
      <c r="FT1037" s="323"/>
      <c r="FU1037" s="323"/>
      <c r="FV1037" s="323"/>
      <c r="FW1037" s="323"/>
      <c r="FX1037" s="323"/>
      <c r="FY1037" s="323"/>
      <c r="FZ1037" s="323"/>
      <c r="GA1037" s="323"/>
      <c r="GB1037" s="323"/>
      <c r="GC1037" s="323"/>
      <c r="GD1037" s="323"/>
      <c r="GE1037" s="323"/>
      <c r="GF1037" s="323"/>
      <c r="GG1037" s="323"/>
      <c r="GH1037" s="323"/>
      <c r="GI1037" s="1654">
        <v>6.0993216676299999</v>
      </c>
      <c r="GJ1037" s="1654">
        <v>0</v>
      </c>
      <c r="GK1037" s="1654">
        <v>50.186662006339994</v>
      </c>
      <c r="GL1037" s="1654">
        <v>0</v>
      </c>
      <c r="GM1037" s="1654">
        <v>0</v>
      </c>
      <c r="GN1037" s="1654">
        <v>0</v>
      </c>
      <c r="GO1037" s="355">
        <v>0</v>
      </c>
      <c r="GP1037" s="355">
        <v>0</v>
      </c>
      <c r="GQ1037" s="355">
        <v>0</v>
      </c>
      <c r="GR1037" s="355">
        <v>0</v>
      </c>
      <c r="GS1037" s="355">
        <v>0</v>
      </c>
      <c r="GT1037" s="355">
        <v>0</v>
      </c>
      <c r="GU1037" s="355">
        <v>0</v>
      </c>
      <c r="GV1037" s="355">
        <v>0</v>
      </c>
      <c r="GW1037" s="355">
        <v>0</v>
      </c>
      <c r="GX1037" s="355">
        <v>12.229799610000001</v>
      </c>
      <c r="GY1037" s="355">
        <v>0</v>
      </c>
      <c r="GZ1037" s="355">
        <v>0</v>
      </c>
      <c r="HA1037" s="355">
        <v>0</v>
      </c>
      <c r="HB1037" s="355">
        <v>0</v>
      </c>
      <c r="HC1037" s="355">
        <v>0</v>
      </c>
      <c r="HD1037" s="355">
        <v>0</v>
      </c>
      <c r="HE1037" s="355">
        <v>0</v>
      </c>
      <c r="HF1037" s="355">
        <v>34.103722865126997</v>
      </c>
      <c r="HG1037" s="355">
        <v>0</v>
      </c>
      <c r="HH1037" s="355">
        <v>0</v>
      </c>
      <c r="HI1037" s="1658">
        <v>33.791349979418996</v>
      </c>
      <c r="HJ1037" s="1658">
        <v>4.2459122842379999</v>
      </c>
      <c r="HK1037" s="1658">
        <v>0</v>
      </c>
      <c r="HL1037" s="1658">
        <v>0</v>
      </c>
      <c r="HM1037" s="1658">
        <v>0</v>
      </c>
      <c r="HN1037" s="1658">
        <v>0</v>
      </c>
      <c r="HO1037" s="1658">
        <v>0</v>
      </c>
      <c r="HP1037" s="1658">
        <v>3.644920388249</v>
      </c>
      <c r="HQ1037" s="1658">
        <v>0</v>
      </c>
      <c r="HR1037" s="1658">
        <v>0</v>
      </c>
      <c r="HS1037" s="1658">
        <v>0</v>
      </c>
      <c r="HT1037" s="1658">
        <v>0</v>
      </c>
      <c r="HU1037" s="1658">
        <v>0</v>
      </c>
      <c r="HV1037" s="1658">
        <v>0</v>
      </c>
      <c r="HW1037" s="1658">
        <v>0</v>
      </c>
      <c r="HX1037" s="1658">
        <v>6.8912763674909998</v>
      </c>
      <c r="HZ1037" s="326"/>
      <c r="IA1037" s="1395" t="s">
        <v>3128</v>
      </c>
      <c r="IB1037" s="284"/>
      <c r="ID1037" s="323"/>
      <c r="IG1037" s="323"/>
      <c r="IH1037" s="284"/>
      <c r="IJ1037" s="323"/>
      <c r="IK1037" s="327"/>
      <c r="IM1037" s="323"/>
      <c r="IP1037" s="323"/>
      <c r="IQ1037" s="327"/>
      <c r="IR1037" s="327"/>
      <c r="IS1037" s="323"/>
      <c r="IT1037" s="327"/>
      <c r="IU1037" s="327"/>
      <c r="IV1037" s="323"/>
      <c r="IW1037" s="327"/>
      <c r="IX1037" s="327">
        <f>SUM(FQ1037:FV1037)</f>
        <v>0</v>
      </c>
      <c r="IY1037" s="323">
        <f t="shared" si="2005"/>
        <v>0</v>
      </c>
      <c r="IZ1037" s="327">
        <f>SUM(FW1037:GB1037)</f>
        <v>0</v>
      </c>
      <c r="JA1037" s="327">
        <f>SUM(GC1037:GH1037)</f>
        <v>0</v>
      </c>
      <c r="JB1037" s="323">
        <f t="shared" si="2036"/>
        <v>0</v>
      </c>
      <c r="JC1037" s="327">
        <f t="shared" si="2112"/>
        <v>56.285983673969994</v>
      </c>
      <c r="JD1037" s="327">
        <f t="shared" si="2113"/>
        <v>0</v>
      </c>
      <c r="JE1037" s="323">
        <f t="shared" si="2137"/>
        <v>56.285983673969994</v>
      </c>
      <c r="JF1037" s="327">
        <f>SUM(GU1037:GZ1037)</f>
        <v>12.229799610000001</v>
      </c>
      <c r="JG1037" s="327">
        <f t="shared" si="2155"/>
        <v>34.103722865126997</v>
      </c>
      <c r="JH1037" s="323">
        <f t="shared" si="2135"/>
        <v>46.333522475126998</v>
      </c>
      <c r="JI1037" s="327">
        <f t="shared" si="2144"/>
        <v>38.037262263656999</v>
      </c>
      <c r="JJ1037" s="327">
        <f t="shared" si="2035"/>
        <v>3.644920388249</v>
      </c>
      <c r="JK1037" s="323">
        <f t="shared" si="2117"/>
        <v>41.682182651905997</v>
      </c>
      <c r="JL1037" s="327">
        <f t="shared" si="2118"/>
        <v>6.8912763674909998</v>
      </c>
      <c r="JM1037" s="327">
        <f>JN1037-JL1037</f>
        <v>17.90156438849931</v>
      </c>
      <c r="JN1037" s="323">
        <f>FISC!AK1362</f>
        <v>24.792840755990309</v>
      </c>
      <c r="JO1037" s="327">
        <f>JQ1037/2</f>
        <v>0</v>
      </c>
      <c r="JP1037" s="327">
        <f>JQ1037-JO1037</f>
        <v>0</v>
      </c>
      <c r="JQ1037" s="323">
        <f>FISC!AL1362</f>
        <v>0</v>
      </c>
      <c r="JR1037" s="327">
        <f>JT1037/2</f>
        <v>0</v>
      </c>
      <c r="JS1037" s="327">
        <f>JT1037-JR1037</f>
        <v>0</v>
      </c>
      <c r="JT1037" s="323">
        <f>FISC!AM1362</f>
        <v>0</v>
      </c>
      <c r="JU1037" s="327">
        <f>JW1037/2</f>
        <v>0</v>
      </c>
      <c r="JV1037" s="327">
        <f>JW1037-JU1037</f>
        <v>0</v>
      </c>
      <c r="JW1037" s="323">
        <f>FISC!AN1362</f>
        <v>0</v>
      </c>
      <c r="JX1037" s="327">
        <f>JZ1037/2</f>
        <v>0</v>
      </c>
      <c r="JY1037" s="327">
        <f>JZ1037-JX1037</f>
        <v>0</v>
      </c>
      <c r="JZ1037" s="323">
        <f>FISC!AO1362</f>
        <v>0</v>
      </c>
      <c r="KA1037" s="327">
        <f>KC1037/2</f>
        <v>0</v>
      </c>
      <c r="KB1037" s="327">
        <f>KC1037-KA1037</f>
        <v>0</v>
      </c>
      <c r="KC1037" s="323">
        <f>FISC!AP1362</f>
        <v>0</v>
      </c>
      <c r="KD1037" s="327">
        <f>KF1037/2</f>
        <v>0</v>
      </c>
      <c r="KE1037" s="327">
        <f>KF1037-KD1037</f>
        <v>0</v>
      </c>
      <c r="KF1037" s="323">
        <f>FISC!AQ1362</f>
        <v>0</v>
      </c>
      <c r="KG1037" s="327">
        <f>KI1037/2</f>
        <v>0</v>
      </c>
      <c r="KH1037" s="327">
        <f>KI1037-KG1037</f>
        <v>0</v>
      </c>
      <c r="KI1037" s="323">
        <f>FISC!AR1362</f>
        <v>0</v>
      </c>
      <c r="KJ1037" s="327">
        <f>KL1037/2</f>
        <v>0</v>
      </c>
      <c r="KK1037" s="327">
        <f>KL1037-KJ1037</f>
        <v>0</v>
      </c>
      <c r="KL1037" s="323">
        <f>FISC!AS1362</f>
        <v>0</v>
      </c>
      <c r="KM1037" s="327">
        <f>KO1037/2</f>
        <v>0</v>
      </c>
      <c r="KN1037" s="327">
        <f>KO1037-KM1037</f>
        <v>0</v>
      </c>
      <c r="KO1037" s="323">
        <f>FISC!AT1362</f>
        <v>0</v>
      </c>
      <c r="KU1037" s="326"/>
      <c r="KV1037" s="327"/>
    </row>
    <row r="1038" spans="1:314">
      <c r="A1038" s="279"/>
      <c r="B1038" s="96" t="s">
        <v>338</v>
      </c>
      <c r="D1038" s="335" t="s">
        <v>578</v>
      </c>
      <c r="E1038" s="323"/>
      <c r="F1038" s="323"/>
      <c r="G1038" s="323"/>
      <c r="H1038" s="323"/>
      <c r="I1038" s="323"/>
      <c r="J1038" s="323"/>
      <c r="K1038" s="323"/>
      <c r="L1038" s="323"/>
      <c r="M1038" s="323"/>
      <c r="N1038" s="323"/>
      <c r="O1038" s="323"/>
      <c r="P1038" s="323"/>
      <c r="Q1038" s="323"/>
      <c r="R1038" s="323"/>
      <c r="S1038" s="323"/>
      <c r="T1038" s="323"/>
      <c r="U1038" s="323"/>
      <c r="V1038" s="323"/>
      <c r="W1038" s="323"/>
      <c r="X1038" s="323"/>
      <c r="Y1038" s="323"/>
      <c r="Z1038" s="323"/>
      <c r="AA1038" s="323"/>
      <c r="AB1038" s="323"/>
      <c r="AC1038" s="323"/>
      <c r="AD1038" s="323"/>
      <c r="AE1038" s="323"/>
      <c r="AF1038" s="323"/>
      <c r="AG1038" s="323"/>
      <c r="AH1038" s="323"/>
      <c r="AI1038" s="323"/>
      <c r="AJ1038" s="323"/>
      <c r="AK1038" s="323"/>
      <c r="AL1038" s="323"/>
      <c r="AM1038" s="323"/>
      <c r="AN1038" s="323"/>
      <c r="AO1038" s="323"/>
      <c r="AP1038" s="323"/>
      <c r="AQ1038" s="323"/>
      <c r="AR1038" s="323"/>
      <c r="AS1038" s="323"/>
      <c r="AT1038" s="323"/>
      <c r="AU1038" s="323"/>
      <c r="AV1038" s="323"/>
      <c r="AW1038" s="323"/>
      <c r="AX1038" s="323"/>
      <c r="AY1038" s="323"/>
      <c r="AZ1038" s="323"/>
      <c r="BA1038" s="323"/>
      <c r="BB1038" s="323"/>
      <c r="BC1038" s="323"/>
      <c r="BD1038" s="323"/>
      <c r="BE1038" s="323"/>
      <c r="BF1038" s="323"/>
      <c r="BG1038" s="323"/>
      <c r="BH1038" s="323"/>
      <c r="BI1038" s="323"/>
      <c r="BJ1038" s="323"/>
      <c r="BK1038" s="323"/>
      <c r="BL1038" s="323"/>
      <c r="BM1038" s="323"/>
      <c r="BN1038" s="323"/>
      <c r="BO1038" s="323"/>
      <c r="BP1038" s="323"/>
      <c r="BQ1038" s="323"/>
      <c r="BR1038" s="323"/>
      <c r="BS1038" s="323"/>
      <c r="BT1038" s="323"/>
      <c r="BU1038" s="323"/>
      <c r="BV1038" s="323"/>
      <c r="BW1038" s="323"/>
      <c r="BX1038" s="323"/>
      <c r="BY1038" s="323"/>
      <c r="BZ1038" s="323"/>
      <c r="CA1038" s="323"/>
      <c r="CB1038" s="323"/>
      <c r="CC1038" s="323"/>
      <c r="CD1038" s="329"/>
      <c r="CE1038" s="323">
        <v>0.75231223210998577</v>
      </c>
      <c r="CF1038" s="323">
        <v>0.10966848389490923</v>
      </c>
      <c r="CG1038" s="323">
        <v>0.47387485241576605</v>
      </c>
      <c r="CH1038" s="323">
        <v>1.4513836032679843</v>
      </c>
      <c r="CI1038" s="323">
        <v>0.58777857013412638</v>
      </c>
      <c r="CJ1038" s="323">
        <v>0.67328982647967961</v>
      </c>
      <c r="CK1038" s="323">
        <v>0.65696933155801895</v>
      </c>
      <c r="CL1038" s="323">
        <v>0.13550613930183492</v>
      </c>
      <c r="CM1038" s="323">
        <v>0.94102121532754346</v>
      </c>
      <c r="CN1038" s="323">
        <v>1.6646100604409304</v>
      </c>
      <c r="CO1038" s="323">
        <v>1.4997860588471599</v>
      </c>
      <c r="CP1038" s="325">
        <v>2.092424797395688</v>
      </c>
      <c r="CQ1038" s="323">
        <f t="shared" ref="CQ1038:DV1038" si="2159">CQ38</f>
        <v>0.81872423393511529</v>
      </c>
      <c r="CR1038" s="323">
        <f t="shared" si="2159"/>
        <v>0.11637316555133259</v>
      </c>
      <c r="CS1038" s="323">
        <f t="shared" si="2159"/>
        <v>0.98822693728794064</v>
      </c>
      <c r="CT1038" s="323">
        <f t="shared" si="2159"/>
        <v>1.9076891664129094</v>
      </c>
      <c r="CU1038" s="323">
        <f t="shared" si="2159"/>
        <v>1.6371101983136604</v>
      </c>
      <c r="CV1038" s="323">
        <f t="shared" si="2159"/>
        <v>1.2823343003148511</v>
      </c>
      <c r="CW1038" s="323">
        <f t="shared" si="2159"/>
        <v>0.54259925348207405</v>
      </c>
      <c r="CX1038" s="323">
        <f t="shared" si="2159"/>
        <v>0.16658080707395662</v>
      </c>
      <c r="CY1038" s="323">
        <f t="shared" si="2159"/>
        <v>0.64064937036626235</v>
      </c>
      <c r="CZ1038" s="323">
        <f t="shared" si="2159"/>
        <v>2.6615469227826445</v>
      </c>
      <c r="DA1038" s="323">
        <f t="shared" si="2159"/>
        <v>1.4873097549746874</v>
      </c>
      <c r="DB1038" s="1269">
        <f t="shared" si="2159"/>
        <v>2.3879191262870338</v>
      </c>
      <c r="DC1038" s="323">
        <f t="shared" si="2159"/>
        <v>0.7496316773618682</v>
      </c>
      <c r="DD1038" s="323">
        <f t="shared" si="2159"/>
        <v>0.18844025208556964</v>
      </c>
      <c r="DE1038" s="323">
        <f t="shared" si="2159"/>
        <v>1.1651190338380673</v>
      </c>
      <c r="DF1038" s="323">
        <f t="shared" si="2159"/>
        <v>2.3537645624842876</v>
      </c>
      <c r="DG1038" s="323">
        <f t="shared" si="2159"/>
        <v>0.81354493592348931</v>
      </c>
      <c r="DH1038" s="323">
        <f t="shared" si="2159"/>
        <v>2.3913343737472514</v>
      </c>
      <c r="DI1038" s="323">
        <f t="shared" si="2159"/>
        <v>0.82900468326802634</v>
      </c>
      <c r="DJ1038" s="323">
        <f t="shared" si="2159"/>
        <v>0.11983319186926601</v>
      </c>
      <c r="DK1038" s="323">
        <f t="shared" si="2159"/>
        <v>2.3683025380918479</v>
      </c>
      <c r="DL1038" s="323">
        <f t="shared" si="2159"/>
        <v>2.6336685600717291</v>
      </c>
      <c r="DM1038" s="323">
        <f t="shared" si="2159"/>
        <v>1.9423298927616031</v>
      </c>
      <c r="DN1038" s="325">
        <f t="shared" si="2159"/>
        <v>1.5664812432107276</v>
      </c>
      <c r="DO1038" s="323">
        <f t="shared" si="2159"/>
        <v>0.81482773460129687</v>
      </c>
      <c r="DP1038" s="323">
        <f t="shared" si="2159"/>
        <v>0.18105762339779582</v>
      </c>
      <c r="DQ1038" s="323">
        <f t="shared" si="2159"/>
        <v>4.1449209053121328</v>
      </c>
      <c r="DR1038" s="323">
        <f t="shared" si="2159"/>
        <v>1.6766759256303281</v>
      </c>
      <c r="DS1038" s="323">
        <f t="shared" si="2159"/>
        <v>1.6324040521808563</v>
      </c>
      <c r="DT1038" s="323">
        <f t="shared" si="2159"/>
        <v>1.9212676525864625</v>
      </c>
      <c r="DU1038" s="323">
        <f t="shared" si="2159"/>
        <v>0.70013142949925244</v>
      </c>
      <c r="DV1038" s="323">
        <f t="shared" si="2159"/>
        <v>0.1429723286373058</v>
      </c>
      <c r="DW1038" s="323">
        <f t="shared" ref="DW1038:FB1038" si="2160">DW38</f>
        <v>5.3287087216909566</v>
      </c>
      <c r="DX1038" s="323">
        <f t="shared" si="2160"/>
        <v>1.5963297269627943</v>
      </c>
      <c r="DY1038" s="323">
        <f t="shared" si="2160"/>
        <v>2.1598769611755211</v>
      </c>
      <c r="DZ1038" s="325">
        <f t="shared" si="2160"/>
        <v>1.2814078564345341</v>
      </c>
      <c r="EA1038" s="323">
        <f t="shared" si="2160"/>
        <v>1.2814078564345341</v>
      </c>
      <c r="EB1038" s="323">
        <f t="shared" si="2160"/>
        <v>0.1508550394771061</v>
      </c>
      <c r="EC1038" s="323">
        <f t="shared" si="2160"/>
        <v>4.9908027326786346</v>
      </c>
      <c r="ED1038" s="323">
        <f t="shared" si="2160"/>
        <v>2.0712650367908614</v>
      </c>
      <c r="EE1038" s="323">
        <f t="shared" si="2160"/>
        <v>1.8791482955264269</v>
      </c>
      <c r="EF1038" s="323">
        <f t="shared" si="2160"/>
        <v>2.1693559036259176</v>
      </c>
      <c r="EG1038" s="323">
        <f t="shared" si="2160"/>
        <v>1.1618025330384665</v>
      </c>
      <c r="EH1038" s="323">
        <f t="shared" si="2160"/>
        <v>0.51454785319515561</v>
      </c>
      <c r="EI1038" s="323">
        <f t="shared" si="2160"/>
        <v>3.9915140101251882</v>
      </c>
      <c r="EJ1038" s="323">
        <f t="shared" si="2160"/>
        <v>3.2862055830739316</v>
      </c>
      <c r="EK1038" s="323">
        <f t="shared" si="2160"/>
        <v>1.5905199425173457</v>
      </c>
      <c r="EL1038" s="325">
        <f t="shared" si="2160"/>
        <v>2.7303336994329461</v>
      </c>
      <c r="EM1038" s="323">
        <f t="shared" si="2160"/>
        <v>1.3470474729735158</v>
      </c>
      <c r="EN1038" s="323">
        <f t="shared" si="2160"/>
        <v>0.52934734873926026</v>
      </c>
      <c r="EO1038" s="323">
        <f t="shared" si="2160"/>
        <v>4.0709369091479815</v>
      </c>
      <c r="EP1038" s="323">
        <f t="shared" si="2160"/>
        <v>3.3849278688892088</v>
      </c>
      <c r="EQ1038" s="323">
        <f t="shared" si="2160"/>
        <v>2.1046109426230299</v>
      </c>
      <c r="ER1038" s="323">
        <f t="shared" si="2160"/>
        <v>1.862306207048356</v>
      </c>
      <c r="ES1038" s="323">
        <f t="shared" si="2160"/>
        <v>1.1961686853698605</v>
      </c>
      <c r="ET1038" s="323">
        <f t="shared" si="2160"/>
        <v>0.84681447803554177</v>
      </c>
      <c r="EU1038" s="323">
        <f t="shared" si="2160"/>
        <v>6.3283366049876717</v>
      </c>
      <c r="EV1038" s="323">
        <f t="shared" si="2160"/>
        <v>1.7937734377266965</v>
      </c>
      <c r="EW1038" s="323">
        <f t="shared" si="2160"/>
        <v>3.4748833155086563</v>
      </c>
      <c r="EX1038" s="325">
        <f t="shared" si="2160"/>
        <v>1.7258530270004859</v>
      </c>
      <c r="EY1038" s="323">
        <f t="shared" si="2160"/>
        <v>1.2138781874569999</v>
      </c>
      <c r="EZ1038" s="323">
        <f t="shared" si="2160"/>
        <v>1.4837054531594001</v>
      </c>
      <c r="FA1038" s="323">
        <f t="shared" si="2160"/>
        <v>6.13808794155341</v>
      </c>
      <c r="FB1038" s="323">
        <f t="shared" si="2160"/>
        <v>5.6781241033618901</v>
      </c>
      <c r="FC1038" s="323">
        <f t="shared" ref="FC1038:FV1038" si="2161">FC38</f>
        <v>2.1977080392551098</v>
      </c>
      <c r="FD1038" s="323">
        <f t="shared" si="2161"/>
        <v>1.9407424889834901</v>
      </c>
      <c r="FE1038" s="323">
        <f t="shared" si="2161"/>
        <v>9.7877725839660599</v>
      </c>
      <c r="FF1038" s="323">
        <f t="shared" si="2161"/>
        <v>0.91229063457439197</v>
      </c>
      <c r="FG1038" s="323">
        <f t="shared" si="2161"/>
        <v>11.3366559583202</v>
      </c>
      <c r="FH1038" s="323">
        <f t="shared" si="2161"/>
        <v>5.6902335057443398</v>
      </c>
      <c r="FI1038" s="323">
        <f t="shared" si="2161"/>
        <v>1.33152815319922</v>
      </c>
      <c r="FJ1038" s="325">
        <f t="shared" si="2161"/>
        <v>7.1919824563977901</v>
      </c>
      <c r="FK1038" s="323">
        <f t="shared" si="2161"/>
        <v>6.1199881177133246</v>
      </c>
      <c r="FL1038" s="323">
        <f t="shared" si="2161"/>
        <v>1.5830492608096534</v>
      </c>
      <c r="FM1038" s="323">
        <f t="shared" si="2161"/>
        <v>16.063851876547236</v>
      </c>
      <c r="FN1038" s="323">
        <f t="shared" si="2161"/>
        <v>2.5869239420633345</v>
      </c>
      <c r="FO1038" s="323">
        <f t="shared" si="2161"/>
        <v>2.3134264672229445</v>
      </c>
      <c r="FP1038" s="323">
        <f t="shared" si="2161"/>
        <v>6.5370663809978087</v>
      </c>
      <c r="FQ1038" s="323">
        <f t="shared" si="2161"/>
        <v>7.8658266829999999</v>
      </c>
      <c r="FR1038" s="323">
        <f t="shared" si="2161"/>
        <v>4.2643026479999993</v>
      </c>
      <c r="FS1038" s="323">
        <f t="shared" si="2161"/>
        <v>17.094426761000001</v>
      </c>
      <c r="FT1038" s="323">
        <f t="shared" si="2161"/>
        <v>2.5643725678531339</v>
      </c>
      <c r="FU1038" s="323">
        <f t="shared" si="2161"/>
        <v>1.4306740770765325</v>
      </c>
      <c r="FV1038" s="323">
        <f t="shared" si="2161"/>
        <v>7.9453315323161871</v>
      </c>
      <c r="FW1038" s="323">
        <v>8.2773949473601771</v>
      </c>
      <c r="FX1038" s="323">
        <v>6.4585053852723444</v>
      </c>
      <c r="FY1038" s="323">
        <v>16.285536350457846</v>
      </c>
      <c r="FZ1038" s="323">
        <v>3.5614254144632755</v>
      </c>
      <c r="GA1038" s="323">
        <v>2.6219920706043354</v>
      </c>
      <c r="GB1038" s="323">
        <v>7.5800072149037652</v>
      </c>
      <c r="GC1038" s="323">
        <v>8.4400340343236167</v>
      </c>
      <c r="GD1038" s="323">
        <v>6.9202866515433472</v>
      </c>
      <c r="GE1038" s="323">
        <v>20.182490259983336</v>
      </c>
      <c r="GF1038" s="323">
        <v>2.3851724450169742</v>
      </c>
      <c r="GG1038" s="323">
        <v>3.6987022183220533</v>
      </c>
      <c r="GH1038" s="323">
        <v>8.7395320302652468</v>
      </c>
      <c r="GI1038" s="1654">
        <v>5.9668814360729998</v>
      </c>
      <c r="GJ1038" s="1654">
        <v>10.079679200316708</v>
      </c>
      <c r="GK1038" s="1654">
        <v>12.078670919974117</v>
      </c>
      <c r="GL1038" s="1654">
        <v>3.6440045660292286</v>
      </c>
      <c r="GM1038" s="1654">
        <v>3.7017279152369031</v>
      </c>
      <c r="GN1038" s="1654">
        <v>4.0825524908860951</v>
      </c>
      <c r="GO1038" s="1654">
        <v>6.2974957106754559</v>
      </c>
      <c r="GP1038" s="1654">
        <v>9.3032560143866085</v>
      </c>
      <c r="GQ1038" s="1654">
        <v>14.286169340502701</v>
      </c>
      <c r="GR1038" s="1654">
        <f>75.748936961014-GR1025</f>
        <v>7.6346121869939907</v>
      </c>
      <c r="GS1038" s="1654">
        <v>2.9164564757229061</v>
      </c>
      <c r="GT1038" s="1654">
        <v>5.2241875519127694</v>
      </c>
      <c r="GU1038" s="1654">
        <v>7.0087887445111372</v>
      </c>
      <c r="GV1038" s="1654">
        <v>16.363328052948706</v>
      </c>
      <c r="GW1038" s="1654">
        <v>15.551342029849531</v>
      </c>
      <c r="GX1038" s="1654">
        <v>4.945730337058678</v>
      </c>
      <c r="GY1038" s="1654">
        <v>5.6897913588269029</v>
      </c>
      <c r="GZ1038" s="1654">
        <v>4.6032437923139335</v>
      </c>
      <c r="HA1038" s="1654">
        <v>7.8486008463563071</v>
      </c>
      <c r="HB1038" s="1654">
        <v>15.409642435035995</v>
      </c>
      <c r="HC1038" s="1654">
        <v>26.101147299722953</v>
      </c>
      <c r="HD1038" s="1654">
        <v>6.6872708524373596</v>
      </c>
      <c r="HE1038" s="1654">
        <v>8.1896113019177612</v>
      </c>
      <c r="HF1038" s="1654">
        <v>6.3437167772692531</v>
      </c>
      <c r="HG1038" s="1654">
        <v>6.7197771503866059</v>
      </c>
      <c r="HH1038" s="1654">
        <v>17.945138350062486</v>
      </c>
      <c r="HI1038" s="1654">
        <v>30.66473143723784</v>
      </c>
      <c r="HJ1038" s="1654">
        <v>7.2499250835046833</v>
      </c>
      <c r="HK1038" s="1654">
        <v>9.5702900258735983</v>
      </c>
      <c r="HL1038" s="1654">
        <v>7.663696942615533</v>
      </c>
      <c r="HM1038" s="1654">
        <v>12.796248735524017</v>
      </c>
      <c r="HN1038" s="1654">
        <v>21.013099069926422</v>
      </c>
      <c r="HO1038" s="1654">
        <v>32.694017061195055</v>
      </c>
      <c r="HP1038" s="1654">
        <v>8.0422588455179724</v>
      </c>
      <c r="HQ1038" s="1654">
        <v>10.249507165609961</v>
      </c>
      <c r="HR1038" s="1654">
        <v>7.5004962159430653</v>
      </c>
      <c r="HS1038" s="1654">
        <v>15.057742569446946</v>
      </c>
      <c r="HT1038" s="1654">
        <v>21.479719881359184</v>
      </c>
      <c r="HU1038" s="1654">
        <v>35.507374586315677</v>
      </c>
      <c r="HV1038" s="1654">
        <v>24.460406713308558</v>
      </c>
      <c r="HW1038" s="1654">
        <v>19.38317175751078</v>
      </c>
      <c r="HX1038" s="1654">
        <v>23.470222353250275</v>
      </c>
      <c r="HY1038" s="1654"/>
      <c r="HZ1038" s="326"/>
      <c r="IA1038" s="335" t="s">
        <v>578</v>
      </c>
      <c r="IB1038" s="284">
        <f>SUM(CE1038:CJ1038)</f>
        <v>4.0483075683024508</v>
      </c>
      <c r="IC1038" s="279">
        <f>SUM(CK1038:CP1038)</f>
        <v>6.9903176028711762</v>
      </c>
      <c r="ID1038" s="323">
        <f>IB1038+IC1038</f>
        <v>11.038625171173628</v>
      </c>
      <c r="IE1038" s="279">
        <f>SUM(CQ1038:CV1038)</f>
        <v>6.7504580018158089</v>
      </c>
      <c r="IF1038" s="279">
        <f>SUM(CW1038:DB1038)</f>
        <v>7.8866052349666589</v>
      </c>
      <c r="IG1038" s="323">
        <f>IE1038+IF1038</f>
        <v>14.637063236782467</v>
      </c>
      <c r="IH1038" s="284">
        <f>SUM(DC1038:DH1038)</f>
        <v>7.6618348354405335</v>
      </c>
      <c r="II1038" s="279">
        <f>SUM(DI1038:DN1038)</f>
        <v>9.4596201092731995</v>
      </c>
      <c r="IJ1038" s="323">
        <f>IH1038+II1038</f>
        <v>17.121454944713733</v>
      </c>
      <c r="IK1038" s="327">
        <f>SUM(DO1038:DT1038)</f>
        <v>10.371153893708872</v>
      </c>
      <c r="IL1038" s="279">
        <f>SUM(DU1038:DZ1038)</f>
        <v>11.209427024400362</v>
      </c>
      <c r="IM1038" s="323">
        <f>IK1038+IL1038</f>
        <v>21.580580918109234</v>
      </c>
      <c r="IN1038" s="279">
        <f>SUM(EA1038:EF1038)</f>
        <v>12.542834864533479</v>
      </c>
      <c r="IO1038" s="279">
        <f>SUM(EG1038:EL1038)</f>
        <v>13.274923621383035</v>
      </c>
      <c r="IP1038" s="323">
        <f>IN1038+IO1038</f>
        <v>25.817758485916514</v>
      </c>
      <c r="IQ1038" s="327">
        <f>SUM(EM1038:ER1038)</f>
        <v>13.299176749421351</v>
      </c>
      <c r="IR1038" s="327">
        <f>SUM(ES1038:EX1038)</f>
        <v>15.365829548628913</v>
      </c>
      <c r="IS1038" s="323">
        <f>IQ1038+IR1038</f>
        <v>28.665006298050265</v>
      </c>
      <c r="IT1038" s="327">
        <f>SUM(EY1038:FD1038)</f>
        <v>18.652246213770297</v>
      </c>
      <c r="IU1038" s="327">
        <f>SUM(FE1038:FJ1038)</f>
        <v>36.250463292201999</v>
      </c>
      <c r="IV1038" s="323">
        <f>IT1038+IU1038</f>
        <v>54.902709505972297</v>
      </c>
      <c r="IW1038" s="327">
        <f>SUM(FK1038:FP1038)</f>
        <v>35.204306045354301</v>
      </c>
      <c r="IX1038" s="327">
        <f>SUM(FQ1038:FV1038)</f>
        <v>41.164934269245855</v>
      </c>
      <c r="IY1038" s="323">
        <f t="shared" si="2005"/>
        <v>76.369240314600148</v>
      </c>
      <c r="IZ1038" s="327">
        <f>SUM(FW1038:GB1038)</f>
        <v>44.784861383061745</v>
      </c>
      <c r="JA1038" s="327">
        <f>SUM(GC1038:GH1038)</f>
        <v>50.366217639454575</v>
      </c>
      <c r="JB1038" s="323">
        <f t="shared" si="2036"/>
        <v>95.151079022516313</v>
      </c>
      <c r="JC1038" s="327">
        <f t="shared" si="2112"/>
        <v>39.553516528516049</v>
      </c>
      <c r="JD1038" s="327">
        <f t="shared" si="2113"/>
        <v>45.662177280194427</v>
      </c>
      <c r="JE1038" s="323">
        <f t="shared" si="2137"/>
        <v>85.215693808710483</v>
      </c>
      <c r="JF1038" s="327">
        <f>SUM(GU1038:GZ1038)</f>
        <v>54.162224315508887</v>
      </c>
      <c r="JG1038" s="327">
        <f t="shared" si="2155"/>
        <v>70.57998951273963</v>
      </c>
      <c r="JH1038" s="323">
        <f t="shared" si="2135"/>
        <v>124.74221382824851</v>
      </c>
      <c r="JI1038" s="327">
        <f t="shared" si="2144"/>
        <v>79.813558989680743</v>
      </c>
      <c r="JJ1038" s="327">
        <f t="shared" si="2035"/>
        <v>92.29562709371649</v>
      </c>
      <c r="JK1038" s="323">
        <f t="shared" si="2117"/>
        <v>172.10918608339722</v>
      </c>
      <c r="JL1038" s="327">
        <f t="shared" si="2118"/>
        <v>139.35863786119143</v>
      </c>
      <c r="JM1038" s="327">
        <f>((FISC!AK112+FISC!AK117)*FISC!AK259/1000)</f>
        <v>178.51599000985473</v>
      </c>
      <c r="JN1038" s="323">
        <f>FISC!AK1363</f>
        <v>318.43514062566561</v>
      </c>
      <c r="JO1038" s="327">
        <f>((FISC!AK122+FISC!AK127)*FISC!AL259/1000)</f>
        <v>217.71787861374358</v>
      </c>
      <c r="JP1038" s="327">
        <f>((FISC!AL112+FISC!AL117)*FISC!AL259/1000)</f>
        <v>236.99089744636564</v>
      </c>
      <c r="JQ1038" s="323">
        <f>FISC!AL1363</f>
        <v>454.70877606010924</v>
      </c>
      <c r="JR1038" s="327">
        <f>((FISC!AL122+FISC!AL127)*FISC!AM259/1000)</f>
        <v>258.90071381834946</v>
      </c>
      <c r="JS1038" s="327">
        <f>((FISC!AM112+FISC!AM117)*FISC!AM259/1000)</f>
        <v>278.69770219565953</v>
      </c>
      <c r="JT1038" s="323">
        <f>FISC!AM1363</f>
        <v>537.59841601400899</v>
      </c>
      <c r="JU1038" s="327">
        <f>((FISC!AM122+FISC!AM127)*FISC!AN259/1000)</f>
        <v>302.95103777874436</v>
      </c>
      <c r="JV1038" s="327">
        <f>((FISC!AN112+FISC!AN117)*FISC!AN259/1000)</f>
        <v>331.35306972944426</v>
      </c>
      <c r="JW1038" s="323">
        <f>FISC!AN1363</f>
        <v>634.30410750818874</v>
      </c>
      <c r="JX1038" s="327">
        <f>((FISC!AN122+FISC!AN127)*FISC!AO259/1000)</f>
        <v>374.64224245830695</v>
      </c>
      <c r="JY1038" s="327">
        <f>((FISC!AO112+FISC!AO117)*FISC!AO259/1000)</f>
        <v>417.70252283967176</v>
      </c>
      <c r="JZ1038" s="323">
        <f>FISC!AO1363</f>
        <v>792.34476529797871</v>
      </c>
      <c r="KA1038" s="327">
        <f>((FISC!AO122+FISC!AO127)*FISC!AQ259/1000)</f>
        <v>432.5224396771531</v>
      </c>
      <c r="KB1038" s="327">
        <f>((FISC!AR112+FISC!AR117)*FISC!AR259/1000)</f>
        <v>532.57789022799943</v>
      </c>
      <c r="KC1038" s="323">
        <f>FISC!AP1363</f>
        <v>865.5692197330859</v>
      </c>
      <c r="KD1038" s="327">
        <f>((FISC!AT122+FISC!AT127)*FISC!AU259/1000)</f>
        <v>0</v>
      </c>
      <c r="KE1038" s="327">
        <f>((FISC!AU112+FISC!AU117)*FISC!AU259/1000)</f>
        <v>0</v>
      </c>
      <c r="KF1038" s="323">
        <f>FISC!AQ1363</f>
        <v>2174.018280677446</v>
      </c>
      <c r="KG1038" s="327">
        <f>((FISC!AW122+FISC!AW127)*FISC!AX259/1000)</f>
        <v>0</v>
      </c>
      <c r="KH1038" s="327">
        <f>((FISC!AX112+FISC!AX117)*FISC!AX259/1000)</f>
        <v>0</v>
      </c>
      <c r="KI1038" s="323">
        <f>FISC!AR1363</f>
        <v>1071.5382410940058</v>
      </c>
      <c r="KJ1038" s="327">
        <f>((FISC!AZ122+FISC!AZ127)*FISC!BA259/1000)</f>
        <v>0</v>
      </c>
      <c r="KK1038" s="327">
        <f>((FISC!BA112+FISC!BA117)*FISC!BA259/1000)</f>
        <v>0</v>
      </c>
      <c r="KL1038" s="323">
        <f>FISC!AS1363</f>
        <v>1198.0694791701101</v>
      </c>
      <c r="KM1038" s="327">
        <f>((FISC!BC122+FISC!BC127)*FISC!BD259/1000)</f>
        <v>0</v>
      </c>
      <c r="KN1038" s="327">
        <f>((FISC!BD112+FISC!BD117)*FISC!BD259/1000)</f>
        <v>0</v>
      </c>
      <c r="KO1038" s="323">
        <f>FISC!AT1363</f>
        <v>1367.9918171014087</v>
      </c>
      <c r="KU1038" s="326"/>
      <c r="KV1038" s="327"/>
    </row>
    <row r="1039" spans="1:314">
      <c r="A1039" s="279"/>
      <c r="D1039" s="2055" t="s">
        <v>3686</v>
      </c>
      <c r="E1039" s="323"/>
      <c r="F1039" s="323"/>
      <c r="G1039" s="323"/>
      <c r="H1039" s="323"/>
      <c r="I1039" s="323"/>
      <c r="J1039" s="323"/>
      <c r="K1039" s="323"/>
      <c r="L1039" s="323"/>
      <c r="M1039" s="323"/>
      <c r="N1039" s="323"/>
      <c r="O1039" s="323"/>
      <c r="P1039" s="323"/>
      <c r="Q1039" s="323"/>
      <c r="R1039" s="323"/>
      <c r="S1039" s="323"/>
      <c r="T1039" s="323"/>
      <c r="U1039" s="323"/>
      <c r="V1039" s="323"/>
      <c r="W1039" s="323"/>
      <c r="X1039" s="323"/>
      <c r="Y1039" s="323"/>
      <c r="Z1039" s="323"/>
      <c r="AA1039" s="323"/>
      <c r="AB1039" s="323"/>
      <c r="AC1039" s="323"/>
      <c r="AD1039" s="323"/>
      <c r="AE1039" s="323"/>
      <c r="AF1039" s="323"/>
      <c r="AG1039" s="323"/>
      <c r="AH1039" s="323"/>
      <c r="AI1039" s="323"/>
      <c r="AJ1039" s="323"/>
      <c r="AK1039" s="323"/>
      <c r="AL1039" s="323"/>
      <c r="AM1039" s="323"/>
      <c r="AN1039" s="323"/>
      <c r="AO1039" s="323"/>
      <c r="AP1039" s="323"/>
      <c r="AQ1039" s="323"/>
      <c r="AR1039" s="323"/>
      <c r="AS1039" s="323"/>
      <c r="AT1039" s="323"/>
      <c r="AU1039" s="323"/>
      <c r="AV1039" s="323"/>
      <c r="AW1039" s="323"/>
      <c r="AX1039" s="323"/>
      <c r="AY1039" s="323"/>
      <c r="AZ1039" s="323"/>
      <c r="BA1039" s="323"/>
      <c r="BB1039" s="323"/>
      <c r="BC1039" s="323"/>
      <c r="BD1039" s="323"/>
      <c r="BE1039" s="323"/>
      <c r="BF1039" s="323"/>
      <c r="BG1039" s="323"/>
      <c r="BH1039" s="323"/>
      <c r="BI1039" s="323"/>
      <c r="BJ1039" s="323"/>
      <c r="BK1039" s="323"/>
      <c r="BL1039" s="323"/>
      <c r="BM1039" s="323"/>
      <c r="BN1039" s="323"/>
      <c r="BO1039" s="323"/>
      <c r="BP1039" s="323"/>
      <c r="BQ1039" s="323"/>
      <c r="BR1039" s="323"/>
      <c r="BS1039" s="323"/>
      <c r="BT1039" s="323"/>
      <c r="BU1039" s="323"/>
      <c r="BV1039" s="323"/>
      <c r="BW1039" s="323"/>
      <c r="BX1039" s="323"/>
      <c r="BY1039" s="323"/>
      <c r="BZ1039" s="323"/>
      <c r="CA1039" s="323"/>
      <c r="CB1039" s="323"/>
      <c r="CC1039" s="323"/>
      <c r="CD1039" s="329"/>
      <c r="CE1039" s="323"/>
      <c r="CF1039" s="323"/>
      <c r="CG1039" s="323"/>
      <c r="CH1039" s="323"/>
      <c r="CI1039" s="323"/>
      <c r="CJ1039" s="323"/>
      <c r="CK1039" s="323"/>
      <c r="CL1039" s="323"/>
      <c r="CM1039" s="323"/>
      <c r="CN1039" s="323"/>
      <c r="CO1039" s="323"/>
      <c r="CP1039" s="325"/>
      <c r="CQ1039" s="323"/>
      <c r="CR1039" s="323"/>
      <c r="CS1039" s="323"/>
      <c r="CT1039" s="323"/>
      <c r="CU1039" s="323"/>
      <c r="CV1039" s="323"/>
      <c r="CW1039" s="323"/>
      <c r="CX1039" s="323"/>
      <c r="CY1039" s="323"/>
      <c r="CZ1039" s="323"/>
      <c r="DA1039" s="323"/>
      <c r="DB1039" s="1269"/>
      <c r="DC1039" s="323"/>
      <c r="DD1039" s="323"/>
      <c r="DE1039" s="323"/>
      <c r="DF1039" s="323"/>
      <c r="DG1039" s="323"/>
      <c r="DH1039" s="323"/>
      <c r="DI1039" s="323"/>
      <c r="DJ1039" s="323"/>
      <c r="DK1039" s="323"/>
      <c r="DL1039" s="323"/>
      <c r="DM1039" s="323"/>
      <c r="DN1039" s="325"/>
      <c r="DO1039" s="323"/>
      <c r="DP1039" s="323"/>
      <c r="DQ1039" s="323"/>
      <c r="DR1039" s="323"/>
      <c r="DS1039" s="323"/>
      <c r="DT1039" s="323"/>
      <c r="DU1039" s="323"/>
      <c r="DV1039" s="323"/>
      <c r="DW1039" s="323"/>
      <c r="DX1039" s="323"/>
      <c r="DY1039" s="323"/>
      <c r="DZ1039" s="325"/>
      <c r="EA1039" s="323"/>
      <c r="EB1039" s="323"/>
      <c r="EC1039" s="323"/>
      <c r="ED1039" s="323"/>
      <c r="EE1039" s="323"/>
      <c r="EF1039" s="323"/>
      <c r="EG1039" s="323"/>
      <c r="EH1039" s="323"/>
      <c r="EI1039" s="323"/>
      <c r="EJ1039" s="323"/>
      <c r="EK1039" s="323"/>
      <c r="EL1039" s="325"/>
      <c r="EM1039" s="323"/>
      <c r="EN1039" s="323"/>
      <c r="EO1039" s="323"/>
      <c r="EP1039" s="323"/>
      <c r="EQ1039" s="323"/>
      <c r="ER1039" s="323"/>
      <c r="ES1039" s="323"/>
      <c r="ET1039" s="323"/>
      <c r="EU1039" s="323"/>
      <c r="EV1039" s="323"/>
      <c r="EW1039" s="323"/>
      <c r="EX1039" s="325"/>
      <c r="EY1039" s="323"/>
      <c r="EZ1039" s="323"/>
      <c r="FA1039" s="323"/>
      <c r="FB1039" s="323"/>
      <c r="FC1039" s="323"/>
      <c r="FD1039" s="323"/>
      <c r="FE1039" s="323"/>
      <c r="FF1039" s="323"/>
      <c r="FG1039" s="323"/>
      <c r="FH1039" s="323"/>
      <c r="FI1039" s="323"/>
      <c r="FJ1039" s="325"/>
      <c r="FK1039" s="323"/>
      <c r="FL1039" s="323"/>
      <c r="FM1039" s="323"/>
      <c r="FN1039" s="323"/>
      <c r="FO1039" s="323"/>
      <c r="FP1039" s="323"/>
      <c r="FQ1039" s="323"/>
      <c r="FR1039" s="323"/>
      <c r="FS1039" s="323"/>
      <c r="FT1039" s="323"/>
      <c r="FU1039" s="323"/>
      <c r="FV1039" s="323"/>
      <c r="FW1039" s="323"/>
      <c r="FX1039" s="323"/>
      <c r="FY1039" s="323"/>
      <c r="FZ1039" s="323"/>
      <c r="GA1039" s="323"/>
      <c r="GB1039" s="323"/>
      <c r="GC1039" s="323"/>
      <c r="GD1039" s="323"/>
      <c r="GE1039" s="323"/>
      <c r="GF1039" s="323"/>
      <c r="GG1039" s="323"/>
      <c r="GH1039" s="323"/>
      <c r="GI1039" s="1654"/>
      <c r="GJ1039" s="1654"/>
      <c r="GK1039" s="1654"/>
      <c r="GL1039" s="1654"/>
      <c r="GM1039" s="1654"/>
      <c r="GN1039" s="1654"/>
      <c r="GO1039" s="1654"/>
      <c r="GP1039" s="1654"/>
      <c r="GQ1039" s="1654"/>
      <c r="GR1039" s="1654"/>
      <c r="GS1039" s="1654"/>
      <c r="GT1039" s="1654"/>
      <c r="GU1039" s="1654"/>
      <c r="GV1039" s="1654"/>
      <c r="GW1039" s="1654"/>
      <c r="GX1039" s="1654"/>
      <c r="GY1039" s="1654"/>
      <c r="GZ1039" s="1654"/>
      <c r="HA1039" s="1654"/>
      <c r="HB1039" s="1654"/>
      <c r="HC1039" s="1654"/>
      <c r="HD1039" s="1654"/>
      <c r="HE1039" s="1654"/>
      <c r="HF1039" s="1654"/>
      <c r="HG1039" s="1654"/>
      <c r="HH1039" s="1654"/>
      <c r="HI1039" s="1654"/>
      <c r="HJ1039" s="1654"/>
      <c r="HK1039" s="1654"/>
      <c r="HL1039" s="1654"/>
      <c r="HM1039" s="1654"/>
      <c r="HN1039" s="1654"/>
      <c r="HO1039" s="1654"/>
      <c r="HP1039" s="1654"/>
      <c r="HQ1039" s="1654"/>
      <c r="HR1039" s="1654"/>
      <c r="HS1039" s="1654"/>
      <c r="HT1039" s="1654"/>
      <c r="HU1039" s="1654"/>
      <c r="HV1039" s="1654"/>
      <c r="HW1039" s="1654"/>
      <c r="HX1039" s="1654"/>
      <c r="HY1039" s="1654"/>
      <c r="HZ1039" s="326"/>
      <c r="IA1039" s="1394" t="s">
        <v>3598</v>
      </c>
      <c r="IB1039" s="284"/>
      <c r="ID1039" s="323"/>
      <c r="IG1039" s="323"/>
      <c r="IH1039" s="284"/>
      <c r="IJ1039" s="323"/>
      <c r="IK1039" s="327"/>
      <c r="IM1039" s="323"/>
      <c r="IP1039" s="323"/>
      <c r="IQ1039" s="327"/>
      <c r="IR1039" s="327"/>
      <c r="IS1039" s="323"/>
      <c r="IT1039" s="327"/>
      <c r="IU1039" s="327"/>
      <c r="IV1039" s="323"/>
      <c r="IW1039" s="327"/>
      <c r="IX1039" s="327"/>
      <c r="IY1039" s="323"/>
      <c r="IZ1039" s="327"/>
      <c r="JA1039" s="327"/>
      <c r="JB1039" s="323"/>
      <c r="JC1039" s="327"/>
      <c r="JD1039" s="327"/>
      <c r="JE1039" s="323"/>
      <c r="JF1039" s="327"/>
      <c r="JG1039" s="327"/>
      <c r="JH1039" s="323"/>
      <c r="JI1039" s="327"/>
      <c r="JJ1039" s="327">
        <f t="shared" si="2035"/>
        <v>0</v>
      </c>
      <c r="JK1039" s="323">
        <f t="shared" si="2117"/>
        <v>0</v>
      </c>
      <c r="JL1039" s="327">
        <f t="shared" si="2118"/>
        <v>0</v>
      </c>
      <c r="JM1039" s="327">
        <f>(FISC!AK113+FISC!AK118)*FISC!AK259/1000</f>
        <v>0</v>
      </c>
      <c r="JN1039" s="323">
        <f>FISC!AK1364</f>
        <v>0</v>
      </c>
      <c r="JO1039" s="327">
        <f>(FISC!AK123+FISC!AK128)*FISC!AL259/1000</f>
        <v>0</v>
      </c>
      <c r="JP1039" s="327">
        <f>(FISC!AL113+FISC!AL118)*FISC!AL259/1000</f>
        <v>0</v>
      </c>
      <c r="JQ1039" s="323">
        <f>FISC!AL1364</f>
        <v>0</v>
      </c>
      <c r="JR1039" s="327">
        <f>(FISC!AL123+FISC!AL128)*FISC!AM259/1000</f>
        <v>0</v>
      </c>
      <c r="JS1039" s="327">
        <f>(FISC!AM113+FISC!AM118)*FISC!AM259/1000</f>
        <v>0</v>
      </c>
      <c r="JT1039" s="323">
        <f>FISC!AM1364</f>
        <v>0</v>
      </c>
      <c r="JU1039" s="327">
        <f>(FISC!AM123+FISC!AM128)*FISC!AN259/1000</f>
        <v>0</v>
      </c>
      <c r="JV1039" s="327">
        <f>(FISC!AN113+FISC!AN118)*FISC!AN259/1000</f>
        <v>0</v>
      </c>
      <c r="JW1039" s="323">
        <f>FISC!AN1364</f>
        <v>0</v>
      </c>
      <c r="JX1039" s="327">
        <f>(FISC!AN123+FISC!AN128)*FISC!AO259/1000</f>
        <v>0</v>
      </c>
      <c r="JY1039" s="327">
        <f>(FISC!AO113+FISC!AO118)*FISC!AO259/1000</f>
        <v>0</v>
      </c>
      <c r="JZ1039" s="323">
        <f>FISC!AO1364</f>
        <v>0</v>
      </c>
      <c r="KA1039" s="327">
        <f>(FISC!AO123+FISC!AO128)*FISC!AQ259/1000</f>
        <v>0</v>
      </c>
      <c r="KB1039" s="327">
        <f>(FISC!AR113+FISC!AR118)*FISC!AR259/1000</f>
        <v>46.39377895780629</v>
      </c>
      <c r="KC1039" s="323">
        <f>FISC!AP1364</f>
        <v>0</v>
      </c>
      <c r="KD1039" s="327">
        <f>(FISC!AT123+FISC!AT128)*FISC!AU259/1000</f>
        <v>0</v>
      </c>
      <c r="KE1039" s="327">
        <f>(FISC!AU113+FISC!AU118)*FISC!AU259/1000</f>
        <v>0</v>
      </c>
      <c r="KF1039" s="323">
        <f>FISC!AQ1364</f>
        <v>30.487118660791587</v>
      </c>
      <c r="KG1039" s="327">
        <f>(FISC!AW123+FISC!AW128)*FISC!AX259/1000</f>
        <v>0</v>
      </c>
      <c r="KH1039" s="327">
        <f>(FISC!AX113+FISC!AX118)*FISC!AX259/1000</f>
        <v>0</v>
      </c>
      <c r="KI1039" s="323">
        <f>FISC!AR1364</f>
        <v>51.268576615513183</v>
      </c>
      <c r="KJ1039" s="327">
        <f>(FISC!AZ123+FISC!AZ128)*FISC!BA259/1000</f>
        <v>0</v>
      </c>
      <c r="KK1039" s="327">
        <f>(FISC!BA113+FISC!BA118)*FISC!BA259/1000</f>
        <v>0</v>
      </c>
      <c r="KL1039" s="323">
        <f>FISC!AS1364</f>
        <v>62.405727217504065</v>
      </c>
      <c r="KM1039" s="327">
        <f>(FISC!BC123+FISC!BC128)*FISC!BD259/1000</f>
        <v>0</v>
      </c>
      <c r="KN1039" s="327">
        <f>(FISC!BD113+FISC!BD118)*FISC!BD259/1000</f>
        <v>0</v>
      </c>
      <c r="KO1039" s="323">
        <f>FISC!AT1364</f>
        <v>65.346073019506505</v>
      </c>
      <c r="KU1039" s="326"/>
      <c r="KV1039" s="327"/>
    </row>
    <row r="1040" spans="1:314">
      <c r="A1040" s="279"/>
      <c r="D1040" s="2055" t="s">
        <v>3681</v>
      </c>
      <c r="E1040" s="323"/>
      <c r="F1040" s="323"/>
      <c r="G1040" s="323"/>
      <c r="H1040" s="323"/>
      <c r="I1040" s="323"/>
      <c r="J1040" s="323"/>
      <c r="K1040" s="323"/>
      <c r="L1040" s="323"/>
      <c r="M1040" s="323"/>
      <c r="N1040" s="323"/>
      <c r="O1040" s="323"/>
      <c r="P1040" s="323"/>
      <c r="Q1040" s="323"/>
      <c r="R1040" s="323"/>
      <c r="S1040" s="323"/>
      <c r="T1040" s="323"/>
      <c r="U1040" s="323"/>
      <c r="V1040" s="323"/>
      <c r="W1040" s="323"/>
      <c r="X1040" s="323"/>
      <c r="Y1040" s="323"/>
      <c r="Z1040" s="323"/>
      <c r="AA1040" s="323"/>
      <c r="AB1040" s="323"/>
      <c r="AC1040" s="323"/>
      <c r="AD1040" s="323"/>
      <c r="AE1040" s="323"/>
      <c r="AF1040" s="323"/>
      <c r="AG1040" s="323"/>
      <c r="AH1040" s="323"/>
      <c r="AI1040" s="323"/>
      <c r="AJ1040" s="323"/>
      <c r="AK1040" s="323"/>
      <c r="AL1040" s="323"/>
      <c r="AM1040" s="323"/>
      <c r="AN1040" s="323"/>
      <c r="AO1040" s="323"/>
      <c r="AP1040" s="323"/>
      <c r="AQ1040" s="323"/>
      <c r="AR1040" s="323"/>
      <c r="AS1040" s="323"/>
      <c r="AT1040" s="323"/>
      <c r="AU1040" s="323"/>
      <c r="AV1040" s="323"/>
      <c r="AW1040" s="323"/>
      <c r="AX1040" s="323"/>
      <c r="AY1040" s="323"/>
      <c r="AZ1040" s="323"/>
      <c r="BA1040" s="323"/>
      <c r="BB1040" s="323"/>
      <c r="BC1040" s="323"/>
      <c r="BD1040" s="323"/>
      <c r="BE1040" s="323"/>
      <c r="BF1040" s="323"/>
      <c r="BG1040" s="323"/>
      <c r="BH1040" s="323"/>
      <c r="BI1040" s="323"/>
      <c r="BJ1040" s="323"/>
      <c r="BK1040" s="323"/>
      <c r="BL1040" s="323"/>
      <c r="BM1040" s="323"/>
      <c r="BN1040" s="323"/>
      <c r="BO1040" s="323"/>
      <c r="BP1040" s="323"/>
      <c r="BQ1040" s="323"/>
      <c r="BR1040" s="323"/>
      <c r="BS1040" s="323"/>
      <c r="BT1040" s="323"/>
      <c r="BU1040" s="323"/>
      <c r="BV1040" s="323"/>
      <c r="BW1040" s="323"/>
      <c r="BX1040" s="323"/>
      <c r="BY1040" s="323"/>
      <c r="BZ1040" s="323"/>
      <c r="CA1040" s="323"/>
      <c r="CB1040" s="323"/>
      <c r="CC1040" s="323"/>
      <c r="CD1040" s="329"/>
      <c r="CE1040" s="323"/>
      <c r="CF1040" s="323"/>
      <c r="CG1040" s="323"/>
      <c r="CH1040" s="323"/>
      <c r="CI1040" s="323"/>
      <c r="CJ1040" s="323"/>
      <c r="CK1040" s="323"/>
      <c r="CL1040" s="323"/>
      <c r="CM1040" s="323"/>
      <c r="CN1040" s="323"/>
      <c r="CO1040" s="323"/>
      <c r="CP1040" s="325"/>
      <c r="CQ1040" s="323"/>
      <c r="CR1040" s="323"/>
      <c r="CS1040" s="323"/>
      <c r="CT1040" s="323"/>
      <c r="CU1040" s="323"/>
      <c r="CV1040" s="323"/>
      <c r="CW1040" s="323"/>
      <c r="CX1040" s="323"/>
      <c r="CY1040" s="323"/>
      <c r="CZ1040" s="323"/>
      <c r="DA1040" s="323"/>
      <c r="DB1040" s="1269"/>
      <c r="DC1040" s="323"/>
      <c r="DD1040" s="323"/>
      <c r="DE1040" s="323"/>
      <c r="DF1040" s="323"/>
      <c r="DG1040" s="323"/>
      <c r="DH1040" s="323"/>
      <c r="DI1040" s="323"/>
      <c r="DJ1040" s="323"/>
      <c r="DK1040" s="323"/>
      <c r="DL1040" s="323"/>
      <c r="DM1040" s="323"/>
      <c r="DN1040" s="325"/>
      <c r="DO1040" s="323"/>
      <c r="DP1040" s="323"/>
      <c r="DQ1040" s="323"/>
      <c r="DR1040" s="323"/>
      <c r="DS1040" s="323"/>
      <c r="DT1040" s="323"/>
      <c r="DU1040" s="323"/>
      <c r="DV1040" s="323"/>
      <c r="DW1040" s="323"/>
      <c r="DX1040" s="323"/>
      <c r="DY1040" s="323"/>
      <c r="DZ1040" s="325"/>
      <c r="EA1040" s="323"/>
      <c r="EB1040" s="323"/>
      <c r="EC1040" s="323"/>
      <c r="ED1040" s="323"/>
      <c r="EE1040" s="323"/>
      <c r="EF1040" s="323"/>
      <c r="EG1040" s="323"/>
      <c r="EH1040" s="323"/>
      <c r="EI1040" s="323"/>
      <c r="EJ1040" s="323"/>
      <c r="EK1040" s="323"/>
      <c r="EL1040" s="325"/>
      <c r="EM1040" s="323"/>
      <c r="EN1040" s="323"/>
      <c r="EO1040" s="323"/>
      <c r="EP1040" s="323"/>
      <c r="EQ1040" s="323"/>
      <c r="ER1040" s="323"/>
      <c r="ES1040" s="323"/>
      <c r="ET1040" s="323"/>
      <c r="EU1040" s="323"/>
      <c r="EV1040" s="323"/>
      <c r="EW1040" s="323"/>
      <c r="EX1040" s="325"/>
      <c r="EY1040" s="323"/>
      <c r="EZ1040" s="323"/>
      <c r="FA1040" s="323"/>
      <c r="FB1040" s="323"/>
      <c r="FC1040" s="323"/>
      <c r="FD1040" s="323"/>
      <c r="FE1040" s="323"/>
      <c r="FF1040" s="323"/>
      <c r="FG1040" s="323"/>
      <c r="FH1040" s="323"/>
      <c r="FI1040" s="323"/>
      <c r="FJ1040" s="325"/>
      <c r="FK1040" s="323"/>
      <c r="FL1040" s="323"/>
      <c r="FM1040" s="323"/>
      <c r="FN1040" s="323"/>
      <c r="FO1040" s="323"/>
      <c r="FP1040" s="323"/>
      <c r="FQ1040" s="323"/>
      <c r="FR1040" s="323"/>
      <c r="FS1040" s="323"/>
      <c r="FT1040" s="323"/>
      <c r="FU1040" s="323"/>
      <c r="FV1040" s="323"/>
      <c r="FW1040" s="323"/>
      <c r="FX1040" s="323"/>
      <c r="FY1040" s="323"/>
      <c r="FZ1040" s="323"/>
      <c r="GA1040" s="323"/>
      <c r="GB1040" s="323"/>
      <c r="GC1040" s="323"/>
      <c r="GD1040" s="323"/>
      <c r="GE1040" s="323"/>
      <c r="GF1040" s="323"/>
      <c r="GG1040" s="323"/>
      <c r="GH1040" s="323"/>
      <c r="GI1040" s="1654"/>
      <c r="GJ1040" s="1654"/>
      <c r="GK1040" s="1654"/>
      <c r="GL1040" s="1654"/>
      <c r="GM1040" s="1654"/>
      <c r="GN1040" s="1654"/>
      <c r="GO1040" s="1654"/>
      <c r="GP1040" s="1654"/>
      <c r="GQ1040" s="1654"/>
      <c r="GR1040" s="1654"/>
      <c r="GS1040" s="1654"/>
      <c r="GT1040" s="1654"/>
      <c r="GU1040" s="1654"/>
      <c r="GV1040" s="1654"/>
      <c r="GW1040" s="1654"/>
      <c r="GX1040" s="1654"/>
      <c r="GY1040" s="1654"/>
      <c r="GZ1040" s="1654"/>
      <c r="HA1040" s="1654"/>
      <c r="HB1040" s="1654"/>
      <c r="HC1040" s="1654"/>
      <c r="HD1040" s="1654"/>
      <c r="HE1040" s="1654"/>
      <c r="HF1040" s="1654"/>
      <c r="HG1040" s="1654"/>
      <c r="HH1040" s="1654"/>
      <c r="HI1040" s="1654"/>
      <c r="HJ1040" s="1654"/>
      <c r="HK1040" s="1654"/>
      <c r="HL1040" s="1654"/>
      <c r="HM1040" s="1654"/>
      <c r="HN1040" s="1654"/>
      <c r="HO1040" s="1654"/>
      <c r="HP1040" s="1654"/>
      <c r="HQ1040" s="1654"/>
      <c r="HR1040" s="1654"/>
      <c r="HS1040" s="1654"/>
      <c r="HT1040" s="1654"/>
      <c r="HU1040" s="1654"/>
      <c r="HV1040" s="1654"/>
      <c r="HW1040" s="1654"/>
      <c r="HX1040" s="1654"/>
      <c r="HY1040" s="1654"/>
      <c r="HZ1040" s="326"/>
      <c r="IA1040" s="1394" t="s">
        <v>3597</v>
      </c>
      <c r="IB1040" s="284"/>
      <c r="ID1040" s="323"/>
      <c r="IG1040" s="323"/>
      <c r="IH1040" s="284"/>
      <c r="IJ1040" s="323"/>
      <c r="IK1040" s="327"/>
      <c r="IM1040" s="323"/>
      <c r="IP1040" s="323"/>
      <c r="IQ1040" s="327"/>
      <c r="IR1040" s="327"/>
      <c r="IS1040" s="323"/>
      <c r="IT1040" s="327"/>
      <c r="IU1040" s="327"/>
      <c r="IV1040" s="323"/>
      <c r="IW1040" s="327"/>
      <c r="IX1040" s="327"/>
      <c r="IY1040" s="323"/>
      <c r="IZ1040" s="327"/>
      <c r="JA1040" s="327"/>
      <c r="JB1040" s="323"/>
      <c r="JC1040" s="327"/>
      <c r="JD1040" s="327"/>
      <c r="JE1040" s="323"/>
      <c r="JF1040" s="327"/>
      <c r="JG1040" s="327"/>
      <c r="JH1040" s="323"/>
      <c r="JI1040" s="327"/>
      <c r="JJ1040" s="327">
        <f t="shared" si="2035"/>
        <v>0</v>
      </c>
      <c r="JK1040" s="323">
        <f t="shared" si="2117"/>
        <v>0</v>
      </c>
      <c r="JL1040" s="327">
        <f t="shared" si="2118"/>
        <v>0</v>
      </c>
      <c r="JM1040" s="327">
        <f>(FISC!AK114+FISC!AK119)*FISC!AK259/1000</f>
        <v>0</v>
      </c>
      <c r="JN1040" s="323">
        <f>FISC!AK1365</f>
        <v>0</v>
      </c>
      <c r="JO1040" s="327">
        <f>(FISC!AK124+FISC!AK129)*FISC!AL259/1000</f>
        <v>0</v>
      </c>
      <c r="JP1040" s="327">
        <f>(FISC!AL114+FISC!AL119)*FISC!AL259/1000</f>
        <v>0</v>
      </c>
      <c r="JQ1040" s="323">
        <f>FISC!AL1365</f>
        <v>0</v>
      </c>
      <c r="JR1040" s="327">
        <f>(FISC!AL124+FISC!AL129)*FISC!AM259/1000</f>
        <v>0</v>
      </c>
      <c r="JS1040" s="327">
        <f>(FISC!AM114+FISC!AM119)*FISC!AM259/1000</f>
        <v>0</v>
      </c>
      <c r="JT1040" s="323">
        <f>FISC!AM1365</f>
        <v>0</v>
      </c>
      <c r="JU1040" s="327">
        <f>(FISC!AM124+FISC!AM129)*FISC!AN259/1000</f>
        <v>0</v>
      </c>
      <c r="JV1040" s="327">
        <f>(FISC!AN114+FISC!AN119)*FISC!AN259/1000</f>
        <v>0</v>
      </c>
      <c r="JW1040" s="323">
        <f>FISC!AN1365</f>
        <v>0</v>
      </c>
      <c r="JX1040" s="327">
        <f>(FISC!AN124+FISC!AN129)*FISC!AO260/1000</f>
        <v>0</v>
      </c>
      <c r="JY1040" s="327">
        <f>(FISC!AO114+FISC!AO119)*FISC!AO260/1000</f>
        <v>0</v>
      </c>
      <c r="JZ1040" s="323">
        <f>FISC!AO1365</f>
        <v>0</v>
      </c>
      <c r="KA1040" s="327">
        <f>(FISC!AO124+FISC!AO129)*FISC!AQ260/1000</f>
        <v>0</v>
      </c>
      <c r="KB1040" s="327">
        <f>(FISC!AR114+FISC!AR119)*FISC!AR260/1000</f>
        <v>11.843076172264709</v>
      </c>
      <c r="KC1040" s="323">
        <f>FISC!AP1365</f>
        <v>0</v>
      </c>
      <c r="KD1040" s="327">
        <f>(FISC!AT124+FISC!AT129)*FISC!AU260/1000</f>
        <v>0</v>
      </c>
      <c r="KE1040" s="327">
        <f>(FISC!AU114+FISC!AU119)*FISC!AU260/1000</f>
        <v>0</v>
      </c>
      <c r="KF1040" s="323">
        <f>FISC!AQ1365</f>
        <v>0</v>
      </c>
      <c r="KG1040" s="327">
        <f>(FISC!AW124+FISC!AW129)*FISC!AX260/1000</f>
        <v>0</v>
      </c>
      <c r="KH1040" s="327">
        <f>(FISC!AX114+FISC!AX119)*FISC!AX260/1000</f>
        <v>0</v>
      </c>
      <c r="KI1040" s="323">
        <f>FISC!AR1365</f>
        <v>4.8757865110956109</v>
      </c>
      <c r="KJ1040" s="327">
        <f>(FISC!AZ124+FISC!AZ129)*FISC!BA260/1000</f>
        <v>0</v>
      </c>
      <c r="KK1040" s="327">
        <f>(FISC!BA114+FISC!BA119)*FISC!BA260/1000</f>
        <v>0</v>
      </c>
      <c r="KL1040" s="323">
        <f>FISC!AS1365</f>
        <v>18.612059060227207</v>
      </c>
      <c r="KM1040" s="327">
        <f>(FISC!BC124+FISC!BC129)*FISC!BD260/1000</f>
        <v>0</v>
      </c>
      <c r="KN1040" s="327">
        <f>(FISC!BD114+FISC!BD119)*FISC!BD260/1000</f>
        <v>0</v>
      </c>
      <c r="KO1040" s="323">
        <f>FISC!AT1365</f>
        <v>34.442784582956413</v>
      </c>
      <c r="KU1040" s="326"/>
      <c r="KV1040" s="327"/>
    </row>
    <row r="1041" spans="1:314">
      <c r="A1041" s="279"/>
      <c r="B1041" s="96" t="s">
        <v>338</v>
      </c>
      <c r="D1041" s="328" t="s">
        <v>579</v>
      </c>
      <c r="E1041" s="323">
        <f t="shared" ref="E1041:AJ1041" si="2162">E924-(E947-E987)</f>
        <v>0</v>
      </c>
      <c r="F1041" s="323">
        <f t="shared" si="2162"/>
        <v>0</v>
      </c>
      <c r="G1041" s="323">
        <f t="shared" si="2162"/>
        <v>0</v>
      </c>
      <c r="H1041" s="323">
        <f t="shared" si="2162"/>
        <v>0</v>
      </c>
      <c r="I1041" s="323">
        <f t="shared" si="2162"/>
        <v>0</v>
      </c>
      <c r="J1041" s="323">
        <f t="shared" si="2162"/>
        <v>0</v>
      </c>
      <c r="K1041" s="323">
        <f t="shared" si="2162"/>
        <v>0</v>
      </c>
      <c r="L1041" s="323">
        <f t="shared" si="2162"/>
        <v>0</v>
      </c>
      <c r="M1041" s="323">
        <f t="shared" si="2162"/>
        <v>0</v>
      </c>
      <c r="N1041" s="323">
        <f t="shared" si="2162"/>
        <v>0</v>
      </c>
      <c r="O1041" s="323">
        <f t="shared" si="2162"/>
        <v>0</v>
      </c>
      <c r="P1041" s="323">
        <f t="shared" si="2162"/>
        <v>0</v>
      </c>
      <c r="Q1041" s="323">
        <f t="shared" si="2162"/>
        <v>0</v>
      </c>
      <c r="R1041" s="323">
        <f t="shared" si="2162"/>
        <v>0</v>
      </c>
      <c r="S1041" s="323">
        <f t="shared" si="2162"/>
        <v>0</v>
      </c>
      <c r="T1041" s="323">
        <f t="shared" si="2162"/>
        <v>0</v>
      </c>
      <c r="U1041" s="323">
        <f t="shared" si="2162"/>
        <v>0</v>
      </c>
      <c r="V1041" s="323">
        <f t="shared" si="2162"/>
        <v>0</v>
      </c>
      <c r="W1041" s="323">
        <f t="shared" si="2162"/>
        <v>0</v>
      </c>
      <c r="X1041" s="323">
        <f t="shared" si="2162"/>
        <v>0</v>
      </c>
      <c r="Y1041" s="323">
        <f t="shared" si="2162"/>
        <v>0</v>
      </c>
      <c r="Z1041" s="323">
        <f t="shared" si="2162"/>
        <v>0</v>
      </c>
      <c r="AA1041" s="323">
        <f t="shared" si="2162"/>
        <v>0</v>
      </c>
      <c r="AB1041" s="323">
        <f t="shared" si="2162"/>
        <v>0</v>
      </c>
      <c r="AC1041" s="323">
        <f t="shared" si="2162"/>
        <v>0</v>
      </c>
      <c r="AD1041" s="323">
        <f t="shared" si="2162"/>
        <v>0</v>
      </c>
      <c r="AE1041" s="323">
        <f t="shared" si="2162"/>
        <v>0</v>
      </c>
      <c r="AF1041" s="323">
        <f t="shared" si="2162"/>
        <v>0</v>
      </c>
      <c r="AG1041" s="323">
        <f t="shared" si="2162"/>
        <v>0</v>
      </c>
      <c r="AH1041" s="323">
        <f t="shared" si="2162"/>
        <v>0</v>
      </c>
      <c r="AI1041" s="323">
        <f t="shared" si="2162"/>
        <v>0</v>
      </c>
      <c r="AJ1041" s="323">
        <f t="shared" si="2162"/>
        <v>0</v>
      </c>
      <c r="AK1041" s="323">
        <f t="shared" ref="AK1041:BP1041" si="2163">AK924-(AK947-AK987)</f>
        <v>0</v>
      </c>
      <c r="AL1041" s="323" t="e">
        <f t="shared" si="2163"/>
        <v>#VALUE!</v>
      </c>
      <c r="AM1041" s="323">
        <f t="shared" si="2163"/>
        <v>0</v>
      </c>
      <c r="AN1041" s="323">
        <f t="shared" si="2163"/>
        <v>0</v>
      </c>
      <c r="AO1041" s="323">
        <f t="shared" si="2163"/>
        <v>49.400217065693496</v>
      </c>
      <c r="AP1041" s="323">
        <f t="shared" si="2163"/>
        <v>25.622571089368499</v>
      </c>
      <c r="AQ1041" s="323">
        <f t="shared" si="2163"/>
        <v>49.377613606619597</v>
      </c>
      <c r="AR1041" s="323">
        <f t="shared" si="2163"/>
        <v>47.635893483708863</v>
      </c>
      <c r="AS1041" s="323">
        <f t="shared" si="2163"/>
        <v>35.294126524572633</v>
      </c>
      <c r="AT1041" s="323">
        <f t="shared" si="2163"/>
        <v>142.50100410549555</v>
      </c>
      <c r="AU1041" s="323">
        <f t="shared" si="2163"/>
        <v>35.926838502372902</v>
      </c>
      <c r="AV1041" s="323">
        <f t="shared" si="2163"/>
        <v>37.058652320060034</v>
      </c>
      <c r="AW1041" s="323">
        <f t="shared" si="2163"/>
        <v>97.305234257372689</v>
      </c>
      <c r="AX1041" s="323">
        <f t="shared" si="2163"/>
        <v>64.11043239519249</v>
      </c>
      <c r="AY1041" s="323">
        <f t="shared" si="2163"/>
        <v>39.182231080533917</v>
      </c>
      <c r="AZ1041" s="323">
        <f t="shared" si="2163"/>
        <v>75.782830687742262</v>
      </c>
      <c r="BA1041" s="323">
        <f t="shared" si="2163"/>
        <v>33.091572293166763</v>
      </c>
      <c r="BB1041" s="323">
        <f t="shared" si="2163"/>
        <v>33.18907983741984</v>
      </c>
      <c r="BC1041" s="323">
        <f t="shared" si="2163"/>
        <v>38.956923720701269</v>
      </c>
      <c r="BD1041" s="323">
        <f t="shared" si="2163"/>
        <v>114.95957863109896</v>
      </c>
      <c r="BE1041" s="323">
        <f t="shared" si="2163"/>
        <v>35.166646755218636</v>
      </c>
      <c r="BF1041" s="323">
        <f t="shared" si="2163"/>
        <v>66.692662215191731</v>
      </c>
      <c r="BG1041" s="323">
        <f t="shared" si="2163"/>
        <v>20.388145502762562</v>
      </c>
      <c r="BH1041" s="323">
        <f t="shared" si="2163"/>
        <v>-9.2078320636189943</v>
      </c>
      <c r="BI1041" s="323">
        <f t="shared" si="2163"/>
        <v>13.092948375074222</v>
      </c>
      <c r="BJ1041" s="323">
        <f t="shared" si="2163"/>
        <v>-26.440108551884734</v>
      </c>
      <c r="BK1041" s="323">
        <f t="shared" si="2163"/>
        <v>-29.224930722817902</v>
      </c>
      <c r="BL1041" s="323">
        <f t="shared" si="2163"/>
        <v>84.410162341847666</v>
      </c>
      <c r="BM1041" s="323">
        <f t="shared" si="2163"/>
        <v>-44.958651826957109</v>
      </c>
      <c r="BN1041" s="323">
        <f t="shared" si="2163"/>
        <v>-18.908860436826735</v>
      </c>
      <c r="BO1041" s="323">
        <f t="shared" si="2163"/>
        <v>19.037651689046292</v>
      </c>
      <c r="BP1041" s="323">
        <f t="shared" si="2163"/>
        <v>-69.812806269244192</v>
      </c>
      <c r="BQ1041" s="323">
        <f t="shared" ref="BQ1041:CV1041" si="2164">BQ924-(BQ947-BQ987)</f>
        <v>-63.979123292294858</v>
      </c>
      <c r="BR1041" s="323">
        <f t="shared" si="2164"/>
        <v>65.15532343998423</v>
      </c>
      <c r="BS1041" s="323">
        <f t="shared" si="2164"/>
        <v>6.0694768288844614</v>
      </c>
      <c r="BT1041" s="323">
        <f t="shared" si="2164"/>
        <v>-26.352133359487432</v>
      </c>
      <c r="BU1041" s="323">
        <f t="shared" si="2164"/>
        <v>18.472697623059339</v>
      </c>
      <c r="BV1041" s="323">
        <f t="shared" si="2164"/>
        <v>-16.695729181569973</v>
      </c>
      <c r="BW1041" s="323">
        <f t="shared" si="2164"/>
        <v>-29.343123673461093</v>
      </c>
      <c r="BX1041" s="323">
        <f t="shared" si="2164"/>
        <v>26.670872886249363</v>
      </c>
      <c r="BY1041" s="323">
        <f t="shared" si="2164"/>
        <v>-30.293054584938016</v>
      </c>
      <c r="BZ1041" s="323">
        <f t="shared" si="2164"/>
        <v>-33.240856614792129</v>
      </c>
      <c r="CA1041" s="323">
        <f t="shared" si="2164"/>
        <v>35.902338399363416</v>
      </c>
      <c r="CB1041" s="323">
        <f t="shared" si="2164"/>
        <v>-48.338747381329469</v>
      </c>
      <c r="CC1041" s="323">
        <f t="shared" si="2164"/>
        <v>-74.416872919694569</v>
      </c>
      <c r="CD1041" s="329">
        <f t="shared" si="2164"/>
        <v>-34.433830394705687</v>
      </c>
      <c r="CE1041" s="323">
        <f t="shared" si="2164"/>
        <v>0.42461652831457286</v>
      </c>
      <c r="CF1041" s="323">
        <f t="shared" si="2164"/>
        <v>-10.463376122478566</v>
      </c>
      <c r="CG1041" s="323">
        <f t="shared" si="2164"/>
        <v>31.334242432741128</v>
      </c>
      <c r="CH1041" s="323">
        <f t="shared" si="2164"/>
        <v>-44.501753889792901</v>
      </c>
      <c r="CI1041" s="323">
        <f t="shared" si="2164"/>
        <v>-4.7324255927931276</v>
      </c>
      <c r="CJ1041" s="323">
        <f t="shared" si="2164"/>
        <v>-5.5261220665393438</v>
      </c>
      <c r="CK1041" s="323">
        <f t="shared" si="2164"/>
        <v>7.2314950116608969</v>
      </c>
      <c r="CL1041" s="323">
        <f t="shared" si="2164"/>
        <v>18.226296226696171</v>
      </c>
      <c r="CM1041" s="323">
        <f t="shared" si="2164"/>
        <v>3.9538114556749915</v>
      </c>
      <c r="CN1041" s="323">
        <f t="shared" si="2164"/>
        <v>-39.636185154166299</v>
      </c>
      <c r="CO1041" s="323">
        <f t="shared" si="2164"/>
        <v>10.940030891764053</v>
      </c>
      <c r="CP1041" s="325">
        <f t="shared" si="2164"/>
        <v>20.224822146055303</v>
      </c>
      <c r="CQ1041" s="323">
        <f t="shared" si="2164"/>
        <v>16.986415427607</v>
      </c>
      <c r="CR1041" s="323">
        <f t="shared" si="2164"/>
        <v>-5.4877165309607818</v>
      </c>
      <c r="CS1041" s="323">
        <f t="shared" si="2164"/>
        <v>3.6216965362644729</v>
      </c>
      <c r="CT1041" s="323">
        <f t="shared" si="2164"/>
        <v>6.1454212857142423</v>
      </c>
      <c r="CU1041" s="323">
        <f t="shared" si="2164"/>
        <v>-15.073846300083362</v>
      </c>
      <c r="CV1041" s="323">
        <f t="shared" si="2164"/>
        <v>26.109340470748947</v>
      </c>
      <c r="CW1041" s="323">
        <f t="shared" ref="CW1041:EB1041" si="2165">CW924-(CW947-CW987)</f>
        <v>-23.893840580059681</v>
      </c>
      <c r="CX1041" s="323">
        <f t="shared" si="2165"/>
        <v>-24.465101896615273</v>
      </c>
      <c r="CY1041" s="323">
        <f t="shared" si="2165"/>
        <v>19.484405688142029</v>
      </c>
      <c r="CZ1041" s="323">
        <f t="shared" si="2165"/>
        <v>-1.0370819598349215</v>
      </c>
      <c r="DA1041" s="323">
        <f t="shared" si="2165"/>
        <v>47.192817107685684</v>
      </c>
      <c r="DB1041" s="1269">
        <f t="shared" si="2165"/>
        <v>7.9705685526607759</v>
      </c>
      <c r="DC1041" s="323">
        <f t="shared" si="2165"/>
        <v>-8.2347656303285817</v>
      </c>
      <c r="DD1041" s="323">
        <f t="shared" si="2165"/>
        <v>-43.132673795762997</v>
      </c>
      <c r="DE1041" s="323">
        <f t="shared" si="2165"/>
        <v>14.47757192385891</v>
      </c>
      <c r="DF1041" s="323">
        <f t="shared" si="2165"/>
        <v>-7.40431649993441</v>
      </c>
      <c r="DG1041" s="323">
        <f t="shared" si="2165"/>
        <v>-3.4646061698234352</v>
      </c>
      <c r="DH1041" s="323">
        <f t="shared" si="2165"/>
        <v>24.718769483949082</v>
      </c>
      <c r="DI1041" s="323">
        <f t="shared" si="2165"/>
        <v>-27.277308807600235</v>
      </c>
      <c r="DJ1041" s="323">
        <f t="shared" si="2165"/>
        <v>-7.4441469067204125</v>
      </c>
      <c r="DK1041" s="323">
        <f t="shared" si="2165"/>
        <v>38.75432077170008</v>
      </c>
      <c r="DL1041" s="323">
        <f t="shared" si="2165"/>
        <v>-55.43341646562736</v>
      </c>
      <c r="DM1041" s="323">
        <f t="shared" si="2165"/>
        <v>22.491083206765808</v>
      </c>
      <c r="DN1041" s="325">
        <f t="shared" si="2165"/>
        <v>68.969924798688652</v>
      </c>
      <c r="DO1041" s="323">
        <f t="shared" si="2165"/>
        <v>-80.887383964049477</v>
      </c>
      <c r="DP1041" s="323">
        <f t="shared" si="2165"/>
        <v>0.96369496362726181</v>
      </c>
      <c r="DQ1041" s="323">
        <f t="shared" si="2165"/>
        <v>27.460956061801671</v>
      </c>
      <c r="DR1041" s="323">
        <f t="shared" si="2165"/>
        <v>-27.696874053741737</v>
      </c>
      <c r="DS1041" s="323">
        <f t="shared" si="2165"/>
        <v>-18.17323431007253</v>
      </c>
      <c r="DT1041" s="323">
        <f t="shared" si="2165"/>
        <v>47.032308764707999</v>
      </c>
      <c r="DU1041" s="323">
        <f t="shared" si="2165"/>
        <v>-45.180212956810649</v>
      </c>
      <c r="DV1041" s="323">
        <f t="shared" si="2165"/>
        <v>2.4167870657453818</v>
      </c>
      <c r="DW1041" s="323">
        <f t="shared" si="2165"/>
        <v>19.447192946120254</v>
      </c>
      <c r="DX1041" s="323">
        <f t="shared" si="2165"/>
        <v>-32.660457047285789</v>
      </c>
      <c r="DY1041" s="323">
        <f t="shared" si="2165"/>
        <v>37.202929427869975</v>
      </c>
      <c r="DZ1041" s="325">
        <f t="shared" si="2165"/>
        <v>68.549115048618063</v>
      </c>
      <c r="EA1041" s="323">
        <f t="shared" si="2165"/>
        <v>12.922708215417821</v>
      </c>
      <c r="EB1041" s="323">
        <f t="shared" si="2165"/>
        <v>-34.827634707971427</v>
      </c>
      <c r="EC1041" s="323">
        <f t="shared" ref="EC1041:FH1041" si="2166">EC924-(EC947-EC987)</f>
        <v>-25.190723934973036</v>
      </c>
      <c r="ED1041" s="323">
        <f t="shared" si="2166"/>
        <v>-18.901630980331767</v>
      </c>
      <c r="EE1041" s="323">
        <f t="shared" si="2166"/>
        <v>102.74807112524149</v>
      </c>
      <c r="EF1041" s="323">
        <f t="shared" si="2166"/>
        <v>-54.836497808361003</v>
      </c>
      <c r="EG1041" s="323">
        <f t="shared" si="2166"/>
        <v>-43.77854933273651</v>
      </c>
      <c r="EH1041" s="323">
        <f t="shared" si="2166"/>
        <v>-10.50661742962572</v>
      </c>
      <c r="EI1041" s="323">
        <f t="shared" si="2166"/>
        <v>19.115681654959804</v>
      </c>
      <c r="EJ1041" s="323">
        <f t="shared" si="2166"/>
        <v>31.311816287511412</v>
      </c>
      <c r="EK1041" s="323">
        <f t="shared" si="2166"/>
        <v>35.696010541076888</v>
      </c>
      <c r="EL1041" s="325">
        <f t="shared" si="2166"/>
        <v>-6.7940310779720932</v>
      </c>
      <c r="EM1041" s="323">
        <f t="shared" si="2166"/>
        <v>5.0822941706700391</v>
      </c>
      <c r="EN1041" s="323">
        <f t="shared" si="2166"/>
        <v>23.001637524134523</v>
      </c>
      <c r="EO1041" s="323">
        <f t="shared" si="2166"/>
        <v>21.017960222919314</v>
      </c>
      <c r="EP1041" s="323">
        <f t="shared" si="2166"/>
        <v>6.5253562250127857</v>
      </c>
      <c r="EQ1041" s="323">
        <f t="shared" si="2166"/>
        <v>-9.3123081770299763</v>
      </c>
      <c r="ER1041" s="323">
        <f t="shared" si="2166"/>
        <v>-19.931516677860031</v>
      </c>
      <c r="ES1041" s="323">
        <f t="shared" si="2166"/>
        <v>-21.467566058501546</v>
      </c>
      <c r="ET1041" s="323">
        <f t="shared" si="2166"/>
        <v>5.0018529144976469</v>
      </c>
      <c r="EU1041" s="323">
        <f t="shared" si="2166"/>
        <v>41.093421077725786</v>
      </c>
      <c r="EV1041" s="323">
        <f t="shared" si="2166"/>
        <v>20.029667398912494</v>
      </c>
      <c r="EW1041" s="323">
        <f t="shared" si="2166"/>
        <v>-37.106487879623472</v>
      </c>
      <c r="EX1041" s="325">
        <f t="shared" si="2166"/>
        <v>-62.800179627111902</v>
      </c>
      <c r="EY1041" s="323">
        <f t="shared" si="2166"/>
        <v>-25.832106926181773</v>
      </c>
      <c r="EZ1041" s="323">
        <f t="shared" si="2166"/>
        <v>-42.845015236387511</v>
      </c>
      <c r="FA1041" s="323">
        <f t="shared" si="2166"/>
        <v>40.066970002069567</v>
      </c>
      <c r="FB1041" s="323">
        <f t="shared" si="2166"/>
        <v>-15.111730798628159</v>
      </c>
      <c r="FC1041" s="323">
        <f t="shared" si="2166"/>
        <v>12.785278889865168</v>
      </c>
      <c r="FD1041" s="323">
        <f t="shared" si="2166"/>
        <v>13.988059023595781</v>
      </c>
      <c r="FE1041" s="323">
        <f t="shared" si="2166"/>
        <v>-1.2854610075625459</v>
      </c>
      <c r="FF1041" s="323">
        <f t="shared" si="2166"/>
        <v>-2.9944099752062385</v>
      </c>
      <c r="FG1041" s="323">
        <f t="shared" si="2166"/>
        <v>-25.601050784902469</v>
      </c>
      <c r="FH1041" s="323">
        <f t="shared" si="2166"/>
        <v>-8.2387497333172348</v>
      </c>
      <c r="FI1041" s="323">
        <f t="shared" ref="FI1041:FV1041" si="2167">FI924-(FI947-FI987)</f>
        <v>-31.56451008605444</v>
      </c>
      <c r="FJ1041" s="325">
        <f t="shared" si="2167"/>
        <v>94.165969504041215</v>
      </c>
      <c r="FK1041" s="323">
        <f t="shared" si="2167"/>
        <v>-111.89883603351632</v>
      </c>
      <c r="FL1041" s="323">
        <f t="shared" si="2167"/>
        <v>-35.132130663310448</v>
      </c>
      <c r="FM1041" s="323">
        <f t="shared" si="2167"/>
        <v>11.696736859429649</v>
      </c>
      <c r="FN1041" s="323">
        <f t="shared" si="2167"/>
        <v>37.670234563689057</v>
      </c>
      <c r="FO1041" s="323">
        <f t="shared" si="2167"/>
        <v>5.2519449621693184</v>
      </c>
      <c r="FP1041" s="323">
        <f t="shared" si="2167"/>
        <v>50.272658370440013</v>
      </c>
      <c r="FQ1041" s="323">
        <f t="shared" si="2167"/>
        <v>8.0110911439031725</v>
      </c>
      <c r="FR1041" s="323">
        <f t="shared" si="2167"/>
        <v>37.488205504280018</v>
      </c>
      <c r="FS1041" s="323">
        <f t="shared" si="2167"/>
        <v>-8.3717769103185731</v>
      </c>
      <c r="FT1041" s="323">
        <f t="shared" si="2167"/>
        <v>-61.454841483936399</v>
      </c>
      <c r="FU1041" s="323">
        <f t="shared" si="2167"/>
        <v>-29.656882802885093</v>
      </c>
      <c r="FV1041" s="323">
        <f t="shared" si="2167"/>
        <v>78.0119026200571</v>
      </c>
      <c r="FW1041" s="323">
        <v>-133.53924042924029</v>
      </c>
      <c r="FX1041" s="323">
        <v>-26.546114629070516</v>
      </c>
      <c r="FY1041" s="323">
        <v>76.388740930034018</v>
      </c>
      <c r="FZ1041" s="323">
        <v>56.427221892580718</v>
      </c>
      <c r="GA1041" s="323">
        <v>59.136362582910479</v>
      </c>
      <c r="GB1041" s="323">
        <v>223.87188301238533</v>
      </c>
      <c r="GC1041" s="323">
        <v>17.024046278038497</v>
      </c>
      <c r="GD1041" s="323">
        <v>-27.748728333902903</v>
      </c>
      <c r="GE1041" s="323">
        <v>-120.70943646177901</v>
      </c>
      <c r="GF1041" s="323">
        <v>-235.99761871476443</v>
      </c>
      <c r="GG1041" s="323">
        <v>-25.690959716764496</v>
      </c>
      <c r="GH1041" s="323">
        <v>100.37758507979358</v>
      </c>
      <c r="GI1041" s="1654">
        <f t="shared" ref="GI1041:HR1041" si="2168">GI924-GI947+GI987</f>
        <v>-97.802393097344321</v>
      </c>
      <c r="GJ1041" s="1654">
        <f t="shared" si="2168"/>
        <v>-20.636294211180982</v>
      </c>
      <c r="GK1041" s="1654">
        <f t="shared" si="2168"/>
        <v>69.175310275726503</v>
      </c>
      <c r="GL1041" s="1654">
        <f t="shared" si="2168"/>
        <v>6.3105436232977041</v>
      </c>
      <c r="GM1041" s="1654">
        <f t="shared" si="2168"/>
        <v>-8.6924457889828872</v>
      </c>
      <c r="GN1041" s="1654">
        <f t="shared" si="2168"/>
        <v>96.955517806466972</v>
      </c>
      <c r="GO1041" s="1654">
        <f t="shared" si="2168"/>
        <v>-106.8035463452908</v>
      </c>
      <c r="GP1041" s="1654">
        <f t="shared" si="2168"/>
        <v>-18.625267632301057</v>
      </c>
      <c r="GQ1041" s="1654">
        <f t="shared" si="2168"/>
        <v>119.21772425653847</v>
      </c>
      <c r="GR1041" s="1654">
        <f t="shared" si="2168"/>
        <v>-189.58716336308041</v>
      </c>
      <c r="GS1041" s="1654">
        <f t="shared" si="2168"/>
        <v>-219.49931151025095</v>
      </c>
      <c r="GT1041" s="1654">
        <f t="shared" si="2168"/>
        <v>349.79471159983046</v>
      </c>
      <c r="GU1041" s="1654">
        <f t="shared" si="2168"/>
        <v>84.970204870273776</v>
      </c>
      <c r="GV1041" s="1654">
        <f t="shared" si="2168"/>
        <v>9.7779441391144815</v>
      </c>
      <c r="GW1041" s="1654">
        <f t="shared" si="2168"/>
        <v>2.4380693579754222</v>
      </c>
      <c r="GX1041" s="1654">
        <f t="shared" si="2168"/>
        <v>37.74266310915214</v>
      </c>
      <c r="GY1041" s="1654">
        <f t="shared" si="2168"/>
        <v>-95.9131034694785</v>
      </c>
      <c r="GZ1041" s="1654">
        <f t="shared" si="2168"/>
        <v>20.758697203286943</v>
      </c>
      <c r="HA1041" s="1654">
        <f t="shared" si="2168"/>
        <v>129.44763961257328</v>
      </c>
      <c r="HB1041" s="1654">
        <f t="shared" si="2168"/>
        <v>-143.87471838260262</v>
      </c>
      <c r="HC1041" s="1654">
        <f t="shared" si="2168"/>
        <v>-46.009048045777675</v>
      </c>
      <c r="HD1041" s="1654">
        <f t="shared" si="2168"/>
        <v>43.87111533415856</v>
      </c>
      <c r="HE1041" s="1654">
        <f t="shared" si="2168"/>
        <v>-63.332873801014557</v>
      </c>
      <c r="HF1041" s="1654">
        <f t="shared" si="2168"/>
        <v>86.071553737655194</v>
      </c>
      <c r="HG1041" s="1654">
        <f t="shared" si="2168"/>
        <v>35.190558560332725</v>
      </c>
      <c r="HH1041" s="1654">
        <f t="shared" si="2168"/>
        <v>-22.34878295119637</v>
      </c>
      <c r="HI1041" s="1654">
        <f t="shared" si="2168"/>
        <v>19.306157855172003</v>
      </c>
      <c r="HJ1041" s="1654">
        <f t="shared" si="2168"/>
        <v>2.3505645209525596</v>
      </c>
      <c r="HK1041" s="1654">
        <f t="shared" si="2168"/>
        <v>-86.246616027851246</v>
      </c>
      <c r="HL1041" s="1654">
        <f t="shared" si="2168"/>
        <v>67.353873847152386</v>
      </c>
      <c r="HM1041" s="1654">
        <f t="shared" si="2168"/>
        <v>48.461194741659583</v>
      </c>
      <c r="HN1041" s="1654">
        <f t="shared" si="2168"/>
        <v>-18.991069632448628</v>
      </c>
      <c r="HO1041" s="1654">
        <f t="shared" si="2168"/>
        <v>-22.386606900780038</v>
      </c>
      <c r="HP1041" s="1654">
        <f t="shared" si="2168"/>
        <v>-26.498569350154135</v>
      </c>
      <c r="HQ1041" s="1654">
        <f t="shared" si="2168"/>
        <v>-35.747347071696282</v>
      </c>
      <c r="HR1041" s="1654">
        <f t="shared" si="2168"/>
        <v>49.857519674939795</v>
      </c>
      <c r="HS1041" s="1654">
        <f t="shared" ref="HS1041:HX1041" si="2169">HS924-HS947+HS987</f>
        <v>87.480368073862778</v>
      </c>
      <c r="HT1041" s="1654">
        <f t="shared" si="2169"/>
        <v>-188.098591734401</v>
      </c>
      <c r="HU1041" s="1654">
        <f t="shared" si="2169"/>
        <v>42.213993977178006</v>
      </c>
      <c r="HV1041" s="1654">
        <f t="shared" si="2169"/>
        <v>122.17190872349487</v>
      </c>
      <c r="HW1041" s="1654">
        <f t="shared" si="2169"/>
        <v>-77.993801141216522</v>
      </c>
      <c r="HX1041" s="1654">
        <f t="shared" si="2169"/>
        <v>-15.668515541639223</v>
      </c>
      <c r="HY1041" s="1654"/>
      <c r="HZ1041" s="326"/>
      <c r="IA1041" s="328" t="s">
        <v>579</v>
      </c>
      <c r="IB1041" s="284">
        <f>SUM(CE1041:CJ1041)</f>
        <v>-33.464818710548236</v>
      </c>
      <c r="IC1041" s="279">
        <f>SUM(CK1041:CP1041)</f>
        <v>20.940270577685116</v>
      </c>
      <c r="ID1041" s="323">
        <f>IB1041+IC1041</f>
        <v>-12.524548132863121</v>
      </c>
      <c r="IE1041" s="279">
        <f>SUM(CQ1041:CV1041)</f>
        <v>32.301310889290519</v>
      </c>
      <c r="IF1041" s="279">
        <f>SUM(CW1041:DB1041)</f>
        <v>25.251766911978613</v>
      </c>
      <c r="IG1041" s="323">
        <f>IE1041+IF1041</f>
        <v>57.553077801269133</v>
      </c>
      <c r="IH1041" s="284">
        <f>SUM(DC1041:DH1041)</f>
        <v>-23.04002068804143</v>
      </c>
      <c r="II1041" s="279">
        <f>SUM(DI1041:DN1041)</f>
        <v>40.060456597206532</v>
      </c>
      <c r="IJ1041" s="323">
        <f>IH1041+II1041</f>
        <v>17.020435909165101</v>
      </c>
      <c r="IK1041" s="327">
        <f>SUM(DO1041:DT1041)</f>
        <v>-51.300532537726816</v>
      </c>
      <c r="IL1041" s="279">
        <f>SUM(DU1041:DZ1041)</f>
        <v>49.775354484257235</v>
      </c>
      <c r="IM1041" s="323">
        <f>IK1041+IL1041</f>
        <v>-1.5251780534695811</v>
      </c>
      <c r="IN1041" s="279">
        <f>SUM(EA1041:EF1041)</f>
        <v>-18.085708090977917</v>
      </c>
      <c r="IO1041" s="279">
        <f>SUM(EG1041:EL1041)</f>
        <v>25.044310643213784</v>
      </c>
      <c r="IP1041" s="323">
        <f>IN1041+IO1041</f>
        <v>6.9586025522358668</v>
      </c>
      <c r="IQ1041" s="327">
        <f>SUM(EM1041:ER1041)</f>
        <v>26.383423287846654</v>
      </c>
      <c r="IR1041" s="327">
        <f>SUM(ES1041:EX1041)</f>
        <v>-55.249292174100994</v>
      </c>
      <c r="IS1041" s="323">
        <f>IQ1041+IR1041</f>
        <v>-28.86586888625434</v>
      </c>
      <c r="IT1041" s="1408">
        <f>IT924-IT947+IT987</f>
        <v>-16.948545045666947</v>
      </c>
      <c r="IU1041" s="327">
        <f>SUM(FE1041:FJ1041)</f>
        <v>24.481787916998286</v>
      </c>
      <c r="IV1041" s="323">
        <f>IT1041+IU1041</f>
        <v>7.5332428713313391</v>
      </c>
      <c r="IW1041" s="327">
        <f>IW924-IW947+IW987</f>
        <v>-42.139391941098665</v>
      </c>
      <c r="IX1041" s="327">
        <f>SUM(FQ1041:FV1041)</f>
        <v>24.027698071100225</v>
      </c>
      <c r="IY1041" s="323">
        <f t="shared" si="2005"/>
        <v>-18.11169386999844</v>
      </c>
      <c r="IZ1041" s="327">
        <f t="shared" ref="IZ1041:JH1041" si="2170">IZ924-IZ947+IZ987</f>
        <v>255.73885335959972</v>
      </c>
      <c r="JA1041" s="327">
        <f t="shared" si="2170"/>
        <v>-292.74511186937883</v>
      </c>
      <c r="JB1041" s="323">
        <f t="shared" si="2170"/>
        <v>-37.006258509779173</v>
      </c>
      <c r="JC1041" s="327">
        <f>JC924-JC947+JC987</f>
        <v>45.310238607982853</v>
      </c>
      <c r="JD1041" s="327">
        <f t="shared" si="2170"/>
        <v>-65.502852994554246</v>
      </c>
      <c r="JE1041" s="323">
        <f t="shared" si="2170"/>
        <v>-20.192614386571222</v>
      </c>
      <c r="JF1041" s="327">
        <f t="shared" si="2170"/>
        <v>67.74467560032474</v>
      </c>
      <c r="JG1041" s="327">
        <f t="shared" si="2170"/>
        <v>-1.8300544101350624</v>
      </c>
      <c r="JH1041" s="323">
        <f t="shared" si="2170"/>
        <v>65.914621190189564</v>
      </c>
      <c r="JI1041" s="327">
        <f t="shared" si="2144"/>
        <v>15.605755804562058</v>
      </c>
      <c r="JJ1041" s="327">
        <f t="shared" ref="JJ1041" si="2171">SUM(HM1041:HR1041)</f>
        <v>-5.3048785384797057</v>
      </c>
      <c r="JK1041" s="323">
        <f t="shared" si="2117"/>
        <v>10.300877266082352</v>
      </c>
      <c r="JL1041" s="327">
        <f>JL924-JL947+JL987</f>
        <v>-29.894637642721023</v>
      </c>
      <c r="JM1041" s="327">
        <f>JN1041-JL1041</f>
        <v>29.894637642721023</v>
      </c>
      <c r="JN1041" s="323">
        <f>FISC!AK1366</f>
        <v>0</v>
      </c>
      <c r="JO1041" s="327">
        <f>JO924-JO947+JO987</f>
        <v>0</v>
      </c>
      <c r="JP1041" s="327">
        <f>JQ1041-JO1041</f>
        <v>0</v>
      </c>
      <c r="JQ1041" s="323">
        <f>FISC!AL1366</f>
        <v>0</v>
      </c>
      <c r="JR1041" s="327">
        <f>JR924-JR947+JR987</f>
        <v>0</v>
      </c>
      <c r="JS1041" s="327">
        <f>JT1041-JR1041</f>
        <v>0</v>
      </c>
      <c r="JT1041" s="323">
        <f>FISC!AM1366</f>
        <v>0</v>
      </c>
      <c r="JU1041" s="327">
        <f>JU924-JU947+JU987</f>
        <v>0</v>
      </c>
      <c r="JV1041" s="327">
        <f>JW1041-JU1041</f>
        <v>0</v>
      </c>
      <c r="JW1041" s="323">
        <f>FISC!AN1366</f>
        <v>0</v>
      </c>
      <c r="JX1041" s="327">
        <f>JX924-JX947+JX987</f>
        <v>0</v>
      </c>
      <c r="JY1041" s="327">
        <f>JZ1041-JX1041</f>
        <v>0</v>
      </c>
      <c r="JZ1041" s="323">
        <f>FISC!AO1366</f>
        <v>0</v>
      </c>
      <c r="KA1041" s="327">
        <f>KA924-KA947+KA987</f>
        <v>0</v>
      </c>
      <c r="KB1041" s="327">
        <f>KC1041-KA1041</f>
        <v>0</v>
      </c>
      <c r="KC1041" s="323">
        <f>FISC!AP1366</f>
        <v>0</v>
      </c>
      <c r="KD1041" s="327">
        <f>KD924-KD947+KD987</f>
        <v>0</v>
      </c>
      <c r="KE1041" s="327">
        <f>KF1041-KD1041</f>
        <v>0</v>
      </c>
      <c r="KF1041" s="323">
        <f>FISC!AQ1366</f>
        <v>0</v>
      </c>
      <c r="KG1041" s="327">
        <f>KG924-KG947+KG987</f>
        <v>0</v>
      </c>
      <c r="KH1041" s="327">
        <f>KI1041-KG1041</f>
        <v>0</v>
      </c>
      <c r="KI1041" s="323">
        <f>FISC!AR1366</f>
        <v>0</v>
      </c>
      <c r="KJ1041" s="327">
        <f>KJ924-KJ947+KJ987</f>
        <v>0</v>
      </c>
      <c r="KK1041" s="327">
        <f>KL1041-KJ1041</f>
        <v>0</v>
      </c>
      <c r="KL1041" s="323">
        <f>FISC!AS1366</f>
        <v>0</v>
      </c>
      <c r="KM1041" s="327">
        <f>KM924-KM947+KM987</f>
        <v>0</v>
      </c>
      <c r="KN1041" s="327">
        <f>KO1041-KM1041</f>
        <v>0</v>
      </c>
      <c r="KO1041" s="323">
        <f>FISC!AT1366</f>
        <v>0</v>
      </c>
      <c r="KU1041" s="326"/>
      <c r="KV1041" s="327"/>
      <c r="KY1041" s="279">
        <f>KY924-(KY947-KY987)</f>
        <v>0</v>
      </c>
      <c r="KZ1041" s="279">
        <f>KZ924-(KZ947-KZ987)</f>
        <v>0</v>
      </c>
      <c r="LA1041" s="279">
        <f>LA924-(LA947-LA987)</f>
        <v>0</v>
      </c>
      <c r="LB1041" s="279">
        <f>LB924-(LB947-LB987)</f>
        <v>0</v>
      </c>
    </row>
    <row r="1042" spans="1:314">
      <c r="A1042" s="279"/>
      <c r="D1042" s="328"/>
      <c r="E1042" s="323"/>
      <c r="F1042" s="323"/>
      <c r="G1042" s="323"/>
      <c r="H1042" s="323"/>
      <c r="I1042" s="323"/>
      <c r="J1042" s="323"/>
      <c r="K1042" s="323"/>
      <c r="L1042" s="323"/>
      <c r="M1042" s="323"/>
      <c r="N1042" s="323"/>
      <c r="O1042" s="323"/>
      <c r="P1042" s="323"/>
      <c r="Q1042" s="323"/>
      <c r="R1042" s="323"/>
      <c r="S1042" s="323"/>
      <c r="T1042" s="323"/>
      <c r="U1042" s="323"/>
      <c r="V1042" s="323"/>
      <c r="W1042" s="323"/>
      <c r="X1042" s="323"/>
      <c r="Y1042" s="323"/>
      <c r="Z1042" s="323"/>
      <c r="AA1042" s="323"/>
      <c r="AB1042" s="323"/>
      <c r="AC1042" s="323"/>
      <c r="AD1042" s="323"/>
      <c r="AE1042" s="323"/>
      <c r="AF1042" s="323"/>
      <c r="AG1042" s="323"/>
      <c r="AH1042" s="323"/>
      <c r="AI1042" s="323"/>
      <c r="AJ1042" s="323"/>
      <c r="AK1042" s="323"/>
      <c r="AL1042" s="323"/>
      <c r="AM1042" s="323"/>
      <c r="AN1042" s="323"/>
      <c r="AO1042" s="323"/>
      <c r="AP1042" s="323"/>
      <c r="AQ1042" s="323"/>
      <c r="AR1042" s="323"/>
      <c r="AS1042" s="323"/>
      <c r="AT1042" s="323"/>
      <c r="AU1042" s="323"/>
      <c r="AV1042" s="323"/>
      <c r="AW1042" s="323"/>
      <c r="AX1042" s="323"/>
      <c r="AY1042" s="323"/>
      <c r="AZ1042" s="323"/>
      <c r="BA1042" s="323"/>
      <c r="BB1042" s="323"/>
      <c r="BC1042" s="323"/>
      <c r="BD1042" s="323"/>
      <c r="BE1042" s="323"/>
      <c r="BF1042" s="323"/>
      <c r="BG1042" s="323"/>
      <c r="BH1042" s="323"/>
      <c r="BI1042" s="323"/>
      <c r="BJ1042" s="323"/>
      <c r="BK1042" s="323"/>
      <c r="BL1042" s="323"/>
      <c r="BM1042" s="323"/>
      <c r="BN1042" s="323"/>
      <c r="BO1042" s="323"/>
      <c r="BP1042" s="323"/>
      <c r="BQ1042" s="323"/>
      <c r="BR1042" s="323"/>
      <c r="BS1042" s="323"/>
      <c r="BT1042" s="323"/>
      <c r="BU1042" s="323"/>
      <c r="BV1042" s="323"/>
      <c r="BW1042" s="323"/>
      <c r="BX1042" s="323"/>
      <c r="BY1042" s="323"/>
      <c r="BZ1042" s="323"/>
      <c r="CA1042" s="323"/>
      <c r="CB1042" s="323"/>
      <c r="CC1042" s="323"/>
      <c r="CD1042" s="323"/>
      <c r="CE1042" s="323"/>
      <c r="CF1042" s="323"/>
      <c r="CG1042" s="323"/>
      <c r="CH1042" s="323"/>
      <c r="CI1042" s="323"/>
      <c r="CJ1042" s="323"/>
      <c r="CK1042" s="323"/>
      <c r="CL1042" s="323"/>
      <c r="CM1042" s="323"/>
      <c r="CN1042" s="323"/>
      <c r="CO1042" s="323"/>
      <c r="CP1042" s="325"/>
      <c r="CQ1042" s="323"/>
      <c r="CR1042" s="323"/>
      <c r="CS1042" s="323"/>
      <c r="CT1042" s="323"/>
      <c r="CU1042" s="323"/>
      <c r="CV1042" s="323"/>
      <c r="CW1042" s="323"/>
      <c r="CX1042" s="323"/>
      <c r="CY1042" s="323"/>
      <c r="CZ1042" s="323"/>
      <c r="DA1042" s="323"/>
      <c r="DB1042" s="1269"/>
      <c r="DC1042" s="323"/>
      <c r="DD1042" s="323"/>
      <c r="DE1042" s="323"/>
      <c r="DF1042" s="323"/>
      <c r="DG1042" s="323"/>
      <c r="DH1042" s="323"/>
      <c r="DI1042" s="323"/>
      <c r="DJ1042" s="323"/>
      <c r="DK1042" s="323"/>
      <c r="DL1042" s="323"/>
      <c r="DM1042" s="323"/>
      <c r="DN1042" s="325"/>
      <c r="DO1042" s="323"/>
      <c r="DP1042" s="323"/>
      <c r="DQ1042" s="323"/>
      <c r="DR1042" s="323"/>
      <c r="DS1042" s="323"/>
      <c r="DT1042" s="323"/>
      <c r="DU1042" s="323"/>
      <c r="DV1042" s="323"/>
      <c r="DW1042" s="323"/>
      <c r="DX1042" s="323"/>
      <c r="DY1042" s="323"/>
      <c r="DZ1042" s="325"/>
      <c r="EA1042" s="323"/>
      <c r="EB1042" s="323"/>
      <c r="EC1042" s="323"/>
      <c r="ED1042" s="323"/>
      <c r="EE1042" s="323"/>
      <c r="EF1042" s="323"/>
      <c r="EG1042" s="323"/>
      <c r="EH1042" s="323"/>
      <c r="EI1042" s="323"/>
      <c r="EJ1042" s="323"/>
      <c r="EK1042" s="323"/>
      <c r="EL1042" s="325"/>
      <c r="EM1042" s="323"/>
      <c r="EN1042" s="323"/>
      <c r="EO1042" s="323"/>
      <c r="EP1042" s="323"/>
      <c r="EQ1042" s="323"/>
      <c r="ER1042" s="323"/>
      <c r="ES1042" s="323"/>
      <c r="ET1042" s="323"/>
      <c r="EU1042" s="323"/>
      <c r="EV1042" s="323"/>
      <c r="EW1042" s="323"/>
      <c r="EX1042" s="325"/>
      <c r="EY1042" s="323"/>
      <c r="EZ1042" s="323"/>
      <c r="FA1042" s="323"/>
      <c r="FB1042" s="323"/>
      <c r="FC1042" s="323"/>
      <c r="FD1042" s="323"/>
      <c r="FE1042" s="323"/>
      <c r="FF1042" s="323"/>
      <c r="FG1042" s="323"/>
      <c r="FH1042" s="323"/>
      <c r="FI1042" s="323"/>
      <c r="FJ1042" s="325"/>
      <c r="FK1042" s="323"/>
      <c r="FL1042" s="323"/>
      <c r="FM1042" s="323"/>
      <c r="FN1042" s="323"/>
      <c r="FO1042" s="323"/>
      <c r="FP1042" s="323"/>
      <c r="FQ1042" s="323"/>
      <c r="FR1042" s="323"/>
      <c r="FS1042" s="323"/>
      <c r="FT1042" s="323"/>
      <c r="FU1042" s="323"/>
      <c r="FV1042" s="323"/>
      <c r="FW1042" s="323"/>
      <c r="FX1042" s="323"/>
      <c r="FY1042" s="323"/>
      <c r="FZ1042" s="323"/>
      <c r="GA1042" s="323"/>
      <c r="GB1042" s="323"/>
      <c r="GC1042" s="323"/>
      <c r="GD1042" s="323"/>
      <c r="GE1042" s="323"/>
      <c r="GF1042" s="323"/>
      <c r="GG1042" s="323"/>
      <c r="GH1042" s="323"/>
      <c r="GI1042" s="1654"/>
      <c r="HZ1042" s="326"/>
      <c r="IA1042" s="328"/>
      <c r="IB1042" s="284"/>
      <c r="ID1042" s="323"/>
      <c r="IG1042" s="323"/>
      <c r="IH1042" s="284"/>
      <c r="IJ1042" s="323"/>
      <c r="IK1042" s="327"/>
      <c r="IM1042" s="323"/>
      <c r="IP1042" s="323"/>
      <c r="IQ1042" s="327"/>
      <c r="IR1042" s="327"/>
      <c r="IS1042" s="323"/>
      <c r="IT1042" s="1408"/>
      <c r="IU1042" s="327"/>
      <c r="IV1042" s="323"/>
      <c r="IW1042" s="327"/>
      <c r="IX1042" s="327"/>
      <c r="IY1042" s="323"/>
      <c r="IZ1042" s="327"/>
      <c r="JA1042" s="327"/>
      <c r="JB1042" s="323"/>
      <c r="JC1042" s="327"/>
      <c r="JD1042" s="327"/>
      <c r="JE1042" s="323"/>
      <c r="JF1042" s="327"/>
      <c r="JG1042" s="327"/>
      <c r="JH1042" s="323"/>
      <c r="JI1042" s="327"/>
      <c r="JJ1042" s="327"/>
      <c r="JK1042" s="323"/>
      <c r="JL1042" s="327"/>
      <c r="JM1042" s="327"/>
      <c r="JN1042" s="323"/>
      <c r="JQ1042" s="323"/>
      <c r="KU1042" s="326"/>
      <c r="KV1042" s="327"/>
    </row>
    <row r="1043" spans="1:314">
      <c r="A1043" s="279"/>
      <c r="CP1043" s="280"/>
      <c r="DZ1043" s="325"/>
      <c r="EA1043" s="323"/>
      <c r="GI1043" s="1654"/>
      <c r="IA1043" s="96"/>
      <c r="IB1043" s="96"/>
      <c r="IC1043" s="96"/>
      <c r="IG1043" s="96"/>
      <c r="IH1043" s="284"/>
      <c r="IZ1043" s="279">
        <f>IZ1022-IZ1025</f>
        <v>274.62635669999997</v>
      </c>
      <c r="JE1043" s="1679"/>
      <c r="JH1043" s="1679"/>
    </row>
    <row r="1044" spans="1:314" hidden="1">
      <c r="A1044" s="279"/>
      <c r="D1044" s="1500" t="s">
        <v>3177</v>
      </c>
      <c r="CP1044" s="280"/>
      <c r="DZ1044" s="325"/>
      <c r="EA1044" s="323"/>
      <c r="GI1044" s="1654"/>
      <c r="IA1044" s="96"/>
      <c r="IB1044" s="96"/>
      <c r="IC1044" s="96"/>
      <c r="ID1044" s="347">
        <v>2014</v>
      </c>
      <c r="IE1044" s="607"/>
      <c r="IF1044" s="607"/>
      <c r="IG1044" s="347">
        <v>2015</v>
      </c>
      <c r="IH1044" s="367"/>
      <c r="II1044" s="347"/>
      <c r="IJ1044" s="347">
        <v>2016</v>
      </c>
      <c r="IK1044" s="347"/>
      <c r="IL1044" s="347"/>
      <c r="IM1044" s="347">
        <v>2017</v>
      </c>
      <c r="IN1044" s="347"/>
      <c r="IO1044" s="347"/>
      <c r="IP1044" s="347">
        <v>2018</v>
      </c>
      <c r="IQ1044" s="347"/>
      <c r="IR1044" s="347"/>
      <c r="IS1044" s="347">
        <v>2019</v>
      </c>
      <c r="IT1044" s="347"/>
      <c r="IU1044" s="347"/>
      <c r="IV1044" s="347">
        <v>2020</v>
      </c>
      <c r="IW1044" s="347"/>
      <c r="IX1044" s="347"/>
      <c r="IY1044" s="347">
        <v>2021</v>
      </c>
      <c r="IZ1044" s="347"/>
      <c r="JA1044" s="607">
        <f>IZ891-IZ892</f>
        <v>68.396171479000003</v>
      </c>
      <c r="JB1044" s="347">
        <v>2022</v>
      </c>
      <c r="JC1044" s="347"/>
      <c r="JD1044" s="347"/>
      <c r="JE1044" s="347">
        <v>2023</v>
      </c>
      <c r="JF1044" s="347"/>
      <c r="JG1044" s="347"/>
      <c r="JH1044" s="347">
        <v>2024</v>
      </c>
      <c r="JI1044" s="347"/>
      <c r="JJ1044" s="347"/>
      <c r="JK1044" s="347">
        <v>2025</v>
      </c>
      <c r="JL1044" s="347"/>
      <c r="JM1044" s="347"/>
      <c r="JN1044" s="347">
        <v>2026</v>
      </c>
      <c r="JQ1044" s="347">
        <v>2027</v>
      </c>
    </row>
    <row r="1045" spans="1:314" hidden="1">
      <c r="A1045" s="279"/>
      <c r="D1045" s="279"/>
      <c r="CP1045" s="280"/>
      <c r="DZ1045" s="325"/>
      <c r="EA1045" s="323"/>
      <c r="GI1045" s="1654"/>
      <c r="IA1045" s="96"/>
      <c r="IB1045" s="96"/>
      <c r="IC1045" s="96"/>
      <c r="IH1045" s="284"/>
    </row>
    <row r="1046" spans="1:314" hidden="1">
      <c r="A1046" s="279"/>
      <c r="D1046" s="1501" t="s">
        <v>559</v>
      </c>
      <c r="CP1046" s="280"/>
      <c r="DZ1046" s="325"/>
      <c r="EA1046" s="323"/>
      <c r="GI1046" s="1654"/>
      <c r="IA1046" s="96"/>
      <c r="IB1046" s="96"/>
      <c r="IC1046" s="96"/>
      <c r="ID1046" s="279">
        <f>IC932+IE932</f>
        <v>-324.63377352274574</v>
      </c>
      <c r="IG1046" s="279">
        <f>IF932+IH932</f>
        <v>-314.46069617946495</v>
      </c>
      <c r="IH1046" s="284"/>
      <c r="IJ1046" s="279">
        <f>II932+IK932</f>
        <v>-347.83826418707298</v>
      </c>
      <c r="IM1046" s="279">
        <f>IL932+IN932</f>
        <v>-330.57047008883933</v>
      </c>
      <c r="IP1046" s="279">
        <f>IO932+IQ932</f>
        <v>-313.89757119931619</v>
      </c>
      <c r="IS1046" s="279">
        <f>IR932+IT932</f>
        <v>-819.93409500150551</v>
      </c>
      <c r="IV1046" s="279">
        <f>IU932+IW932</f>
        <v>-986.55756642921415</v>
      </c>
      <c r="IY1046" s="279">
        <f>IX932+IZ932</f>
        <v>-965.04927871679433</v>
      </c>
      <c r="JA1046" s="279">
        <v>109.10620815443994</v>
      </c>
      <c r="JB1046" s="279">
        <f>JA932+JC932</f>
        <v>-1099.3412825291593</v>
      </c>
      <c r="JE1046" s="279">
        <f>JD932+JF932</f>
        <v>-960.32692078175637</v>
      </c>
      <c r="JH1046" s="279">
        <f>JG932+JI932</f>
        <v>-1407.2190965819968</v>
      </c>
      <c r="JK1046" s="279">
        <f>JJ932+JL932</f>
        <v>-1278.7175999852802</v>
      </c>
      <c r="JN1046" s="279">
        <f>JM932+JO932</f>
        <v>-1846.5365963669046</v>
      </c>
      <c r="JQ1046" s="279">
        <f>JP932+JR932</f>
        <v>-1539.7931067909929</v>
      </c>
    </row>
    <row r="1047" spans="1:314" ht="15.3" hidden="1" thickBot="1">
      <c r="A1047" s="279"/>
      <c r="D1047" s="1501" t="s">
        <v>560</v>
      </c>
      <c r="CP1047" s="280"/>
      <c r="DZ1047" s="325"/>
      <c r="EA1047" s="323"/>
      <c r="IA1047" s="96"/>
      <c r="IB1047" s="96"/>
      <c r="IC1047" s="96"/>
      <c r="ID1047" s="279">
        <f>IC933+IE933</f>
        <v>-746.45458067863638</v>
      </c>
      <c r="IG1047" s="279">
        <f>IF933+IH933</f>
        <v>-689.06243269109564</v>
      </c>
      <c r="IH1047" s="284"/>
      <c r="IJ1047" s="279">
        <f>II933+IK933</f>
        <v>-687.17408483929307</v>
      </c>
      <c r="IM1047" s="279">
        <f>IL933+IN933</f>
        <v>-690.31192155219969</v>
      </c>
      <c r="IP1047" s="279">
        <f>IO933+IQ933</f>
        <v>-712.58314390199655</v>
      </c>
      <c r="IS1047" s="279">
        <f>IR933+IT933</f>
        <v>-1200.601735651353</v>
      </c>
      <c r="IV1047" s="279">
        <f>IU933+IW933</f>
        <v>-1462.1516979927842</v>
      </c>
      <c r="IY1047" s="279">
        <f>IX933+IZ933</f>
        <v>-1566.3448857396343</v>
      </c>
      <c r="JA1047" s="279">
        <f>IZ891-JA1046</f>
        <v>97.711391278560058</v>
      </c>
      <c r="JB1047" s="279">
        <f>JA933+JC933</f>
        <v>-1897.4612902986155</v>
      </c>
      <c r="JE1047" s="279">
        <f>JD933+JF933</f>
        <v>-1733.3518546766604</v>
      </c>
      <c r="JH1047" s="279">
        <f>JG933+JI933</f>
        <v>-2193.6138952250681</v>
      </c>
      <c r="JK1047" s="279">
        <f>JJ933+JL933</f>
        <v>-821.89473267280573</v>
      </c>
      <c r="JN1047" s="279">
        <f>JM933+JO933</f>
        <v>-2465.0114566596985</v>
      </c>
      <c r="JQ1047" s="279">
        <f>JP933+JR933</f>
        <v>-2107.304461301977</v>
      </c>
    </row>
    <row r="1048" spans="1:314" ht="15.3" hidden="1" thickBot="1">
      <c r="A1048" s="279"/>
      <c r="D1048" s="1512" t="s">
        <v>3182</v>
      </c>
      <c r="CP1048" s="280"/>
      <c r="DZ1048" s="325"/>
      <c r="EA1048" s="323"/>
      <c r="IA1048" s="96"/>
      <c r="IB1048" s="96"/>
      <c r="IC1048" s="96"/>
      <c r="IH1048" s="284"/>
      <c r="IV1048" s="279">
        <f>IU944+IW944</f>
        <v>-986.55756642921415</v>
      </c>
      <c r="IY1048" s="279">
        <f>IX944+IZ944</f>
        <v>-364.41545007756912</v>
      </c>
      <c r="JA1048" s="279">
        <f>JA1047/JB891</f>
        <v>0.2001533883864213</v>
      </c>
      <c r="JB1048" s="279">
        <f>JA944+JC944</f>
        <v>0</v>
      </c>
      <c r="JE1048" s="279">
        <f>JD944+JF944</f>
        <v>-427.60583946013401</v>
      </c>
      <c r="JH1048" s="279">
        <f>JG944+JI944</f>
        <v>-1398.1680705819967</v>
      </c>
      <c r="JK1048" s="279">
        <f>JJ944+JL944</f>
        <v>0</v>
      </c>
      <c r="JN1048" s="279">
        <f>JM944+JO944</f>
        <v>-1842.2892348919047</v>
      </c>
      <c r="JQ1048" s="279">
        <f>JP944+JR944</f>
        <v>-1535.2391067909928</v>
      </c>
    </row>
    <row r="1049" spans="1:314" hidden="1">
      <c r="A1049" s="279"/>
      <c r="D1049" s="1500" t="s">
        <v>3178</v>
      </c>
      <c r="CP1049" s="280"/>
      <c r="DZ1049" s="325"/>
      <c r="EA1049" s="323"/>
      <c r="IA1049" s="96"/>
      <c r="IB1049" s="96"/>
      <c r="IC1049" s="96"/>
      <c r="IH1049" s="284"/>
      <c r="JA1049" s="279">
        <v>0.39986686472916499</v>
      </c>
      <c r="JE1049" s="279">
        <v>6.5</v>
      </c>
      <c r="JH1049" s="279">
        <v>5.5</v>
      </c>
      <c r="JK1049" s="279">
        <v>4.5</v>
      </c>
    </row>
    <row r="1050" spans="1:314" hidden="1">
      <c r="A1050" s="279"/>
      <c r="D1050" s="1501" t="s">
        <v>559</v>
      </c>
      <c r="CP1050" s="280"/>
      <c r="DZ1050" s="325"/>
      <c r="EA1050" s="323"/>
      <c r="IA1050" s="96"/>
      <c r="IB1050" s="96"/>
      <c r="IC1050" s="96"/>
      <c r="ID1050" s="1507">
        <f>ID1046/ID1054</f>
        <v>-5.8513657808714085E-2</v>
      </c>
      <c r="IE1050" s="1507"/>
      <c r="IF1050" s="1507"/>
      <c r="IG1050" s="1507">
        <f>IG1046/IG1054</f>
        <v>-5.1712003976231699E-2</v>
      </c>
      <c r="IH1050" s="1508"/>
      <c r="II1050" s="1507"/>
      <c r="IJ1050" s="1507">
        <f>IJ1046/IJ1054</f>
        <v>-5.1394542580832293E-2</v>
      </c>
      <c r="IK1050" s="1507"/>
      <c r="IL1050" s="1507"/>
      <c r="IM1050" s="1507">
        <f>IM1046/IM1054</f>
        <v>-4.3376259032783013E-2</v>
      </c>
      <c r="IN1050" s="1507"/>
      <c r="IO1050" s="1507"/>
      <c r="IP1050" s="1507">
        <f>IP1046/IP1054</f>
        <v>-3.7773474271879208E-2</v>
      </c>
      <c r="IQ1050" s="1507"/>
      <c r="IR1050" s="1507"/>
      <c r="IS1050" s="1507">
        <f>IS1046/IS1054</f>
        <v>-8.6664633231318622E-2</v>
      </c>
      <c r="IT1050" s="1507"/>
      <c r="IU1050" s="1507"/>
      <c r="IV1050" s="1507">
        <f>IV1046/IV1054</f>
        <v>-9.9722790501285172E-2</v>
      </c>
      <c r="IW1050" s="1507"/>
      <c r="IX1050" s="1507"/>
      <c r="IY1050" s="1507">
        <f>IY1046/IY1054</f>
        <v>-8.6746002581284884E-2</v>
      </c>
      <c r="IZ1050" s="1507"/>
      <c r="JA1050" s="1507"/>
      <c r="JB1050" s="1507">
        <f>JB1046/JB1054</f>
        <v>-7.7615171034252986E-2</v>
      </c>
      <c r="JC1050" s="1507"/>
      <c r="JD1050" s="1507"/>
      <c r="JE1050" s="1507">
        <f>JE1046/JE1054</f>
        <v>-5.5910975825672823E-2</v>
      </c>
      <c r="JF1050" s="1507"/>
      <c r="JG1050" s="1507"/>
      <c r="JH1050" s="1507">
        <f>JH1046/JH1054</f>
        <v>-7.065062238086138E-2</v>
      </c>
      <c r="JI1050" s="1507"/>
      <c r="JJ1050" s="1507"/>
      <c r="JK1050" s="1507">
        <f>JK1046/JK1054</f>
        <v>-5.4676427074241252E-2</v>
      </c>
      <c r="JL1050" s="1507"/>
      <c r="JM1050" s="1507"/>
      <c r="JN1050" s="1507">
        <f>JN1046/JN1054</f>
        <v>-6.7921372114668505E-2</v>
      </c>
      <c r="JQ1050" s="1507">
        <f>JQ1046/JQ1054</f>
        <v>-5.337354220809315E-2</v>
      </c>
    </row>
    <row r="1051" spans="1:314" ht="15.3" hidden="1" thickBot="1">
      <c r="A1051" s="279"/>
      <c r="D1051" s="1501" t="s">
        <v>560</v>
      </c>
      <c r="CP1051" s="280"/>
      <c r="DZ1051" s="325"/>
      <c r="EA1051" s="323"/>
      <c r="IA1051" s="96"/>
      <c r="IB1051" s="96"/>
      <c r="IC1051" s="96"/>
      <c r="ID1051" s="1507">
        <f>ID1047/ID1054</f>
        <v>-0.13454480545757685</v>
      </c>
      <c r="IE1051" s="1507"/>
      <c r="IF1051" s="1507"/>
      <c r="IG1051" s="1507">
        <f>IG1047/IG1054</f>
        <v>-0.11331399978475508</v>
      </c>
      <c r="IH1051" s="1508"/>
      <c r="II1051" s="1507"/>
      <c r="IJ1051" s="1507">
        <f>IJ1047/IJ1054</f>
        <v>-0.10153281395379626</v>
      </c>
      <c r="IK1051" s="1507"/>
      <c r="IL1051" s="1507"/>
      <c r="IM1051" s="1507">
        <f>IM1047/IM1054</f>
        <v>-9.0580228520167921E-2</v>
      </c>
      <c r="IN1051" s="1507"/>
      <c r="IO1051" s="1507"/>
      <c r="IP1051" s="1507">
        <f>IP1047/IP1054</f>
        <v>-8.575007748519814E-2</v>
      </c>
      <c r="IQ1051" s="1507"/>
      <c r="IR1051" s="1507"/>
      <c r="IS1051" s="1507">
        <f>IS1047/IS1054</f>
        <v>-0.12690008832590138</v>
      </c>
      <c r="IT1051" s="1507"/>
      <c r="IU1051" s="1507"/>
      <c r="IV1051" s="1507">
        <f>IV1047/IV1054</f>
        <v>-0.14779659334810313</v>
      </c>
      <c r="IW1051" s="1507"/>
      <c r="IX1051" s="1507"/>
      <c r="IY1051" s="1507">
        <f>IY1047/IY1054</f>
        <v>-0.1407950459091806</v>
      </c>
      <c r="IZ1051" s="1507"/>
      <c r="JA1051" s="1507"/>
      <c r="JB1051" s="1507">
        <f>JB1047/JB1054</f>
        <v>-0.13396366071015359</v>
      </c>
      <c r="JC1051" s="1507"/>
      <c r="JD1051" s="1507"/>
      <c r="JE1051" s="1507">
        <f>JE1047/JE1054</f>
        <v>-0.10091708515816607</v>
      </c>
      <c r="JF1051" s="1507"/>
      <c r="JG1051" s="1507"/>
      <c r="JH1051" s="1507">
        <f>JH1047/JH1054</f>
        <v>-0.11013223693267737</v>
      </c>
      <c r="JI1051" s="1507"/>
      <c r="JJ1051" s="1507"/>
      <c r="JK1051" s="1507">
        <f>JK1047/JK1054</f>
        <v>-3.5143230541446351E-2</v>
      </c>
      <c r="JL1051" s="1507"/>
      <c r="JM1051" s="1507"/>
      <c r="JN1051" s="1507">
        <f>JN1047/JN1054</f>
        <v>-9.067080541166643E-2</v>
      </c>
      <c r="JQ1051" s="1507">
        <f>JQ1047/JQ1054</f>
        <v>-7.3045075416012378E-2</v>
      </c>
    </row>
    <row r="1052" spans="1:314" ht="15.3" hidden="1" thickBot="1">
      <c r="A1052" s="279"/>
      <c r="D1052" s="1512" t="s">
        <v>3182</v>
      </c>
      <c r="CP1052" s="280"/>
      <c r="DZ1052" s="325"/>
      <c r="EA1052" s="323"/>
      <c r="IA1052" s="96"/>
      <c r="IB1052" s="96"/>
      <c r="IC1052" s="96"/>
      <c r="ID1052" s="1507"/>
      <c r="IE1052" s="1507"/>
      <c r="IF1052" s="1507"/>
      <c r="IG1052" s="1507"/>
      <c r="IH1052" s="1508"/>
      <c r="II1052" s="1507"/>
      <c r="IJ1052" s="1507"/>
      <c r="IK1052" s="1507"/>
      <c r="IL1052" s="1507"/>
      <c r="IM1052" s="1507"/>
      <c r="IN1052" s="1507"/>
      <c r="IO1052" s="1507"/>
      <c r="IP1052" s="1507"/>
      <c r="IQ1052" s="1507"/>
      <c r="IR1052" s="1507"/>
      <c r="IS1052" s="1507"/>
      <c r="IT1052" s="1507">
        <f>IT1053/IR1053-1</f>
        <v>7.1220823403935318E-2</v>
      </c>
      <c r="IU1052" s="1507"/>
      <c r="IV1052" s="1516">
        <f>IV1048/IV1054</f>
        <v>-9.9722790501285172E-2</v>
      </c>
      <c r="IW1052" s="1507"/>
      <c r="IX1052" s="1507"/>
      <c r="IY1052" s="1516">
        <f>IY1048/IY1054</f>
        <v>-3.2756444950792732E-2</v>
      </c>
      <c r="IZ1052" s="1507"/>
      <c r="JA1052" s="1507"/>
      <c r="JB1052" s="1516">
        <f>JB1048/JB1054</f>
        <v>0</v>
      </c>
      <c r="JC1052" s="1507"/>
      <c r="JD1052" s="1507"/>
      <c r="JE1052" s="1516">
        <f>JE1048/JE1054</f>
        <v>-2.4895542586174546E-2</v>
      </c>
      <c r="JF1052" s="1507"/>
      <c r="JG1052" s="1507"/>
      <c r="JH1052" s="1516">
        <f>JH1048/JH1054</f>
        <v>-7.0196207981825326E-2</v>
      </c>
      <c r="JI1052" s="1507"/>
      <c r="JJ1052" s="1507"/>
      <c r="JK1052" s="1516">
        <f>JK1048/JK1054</f>
        <v>0</v>
      </c>
      <c r="JL1052" s="1507"/>
      <c r="JM1052" s="1507"/>
      <c r="JN1052" s="1516">
        <f>JN1048/JN1054</f>
        <v>-6.7765140919567049E-2</v>
      </c>
      <c r="JQ1052" s="1516">
        <f>JQ1048/JQ1054</f>
        <v>-5.3215687811847531E-2</v>
      </c>
    </row>
    <row r="1053" spans="1:314" hidden="1">
      <c r="A1053" s="279"/>
      <c r="D1053" s="1510" t="s">
        <v>3180</v>
      </c>
      <c r="CP1053" s="280"/>
      <c r="DZ1053" s="325"/>
      <c r="EA1053" s="323"/>
      <c r="IA1053" s="96"/>
      <c r="IB1053" s="96"/>
      <c r="IC1053" s="96"/>
      <c r="IH1053" s="284"/>
      <c r="IL1053" s="279">
        <f>IL1055+IN1055</f>
        <v>1558.8229801576588</v>
      </c>
      <c r="IM1053" s="1674">
        <f>IO1053/IL1053-1</f>
        <v>0.1074171171698981</v>
      </c>
      <c r="IO1053" s="279">
        <f>IO1055+IQ1055</f>
        <v>1726.2672508643836</v>
      </c>
      <c r="IP1053" s="279">
        <f>IR1053-IO1053</f>
        <v>550.97387104181962</v>
      </c>
      <c r="IQ1053" s="1674">
        <f>IR1053/IO1053-1</f>
        <v>0.31917066767381108</v>
      </c>
      <c r="IR1053" s="279">
        <f>IR1055+IT1055</f>
        <v>2277.2411219062033</v>
      </c>
      <c r="IS1053" s="279">
        <f>IT1053-IR1053</f>
        <v>162.18698779146143</v>
      </c>
      <c r="IT1053" s="279">
        <f>IU1055+IW1055</f>
        <v>2439.4281096976647</v>
      </c>
      <c r="IV1053" s="1511">
        <v>9.1</v>
      </c>
      <c r="IY1053" s="1509">
        <v>8.9</v>
      </c>
      <c r="JB1053" s="1509">
        <v>8</v>
      </c>
      <c r="JE1053" s="1509">
        <v>6.2</v>
      </c>
      <c r="JH1053" s="1509">
        <v>4.5</v>
      </c>
      <c r="JK1053" s="1509">
        <v>3.5</v>
      </c>
      <c r="JN1053" s="1509">
        <v>3</v>
      </c>
      <c r="JQ1053" s="1509">
        <v>3</v>
      </c>
    </row>
    <row r="1054" spans="1:314" hidden="1">
      <c r="A1054" s="279"/>
      <c r="D1054" s="96" t="s">
        <v>3179</v>
      </c>
      <c r="CP1054" s="280"/>
      <c r="DZ1054" s="325"/>
      <c r="EA1054" s="323"/>
      <c r="IA1054" s="96"/>
      <c r="IB1054" s="96"/>
      <c r="IC1054" s="96"/>
      <c r="ID1054" s="279">
        <f>FISC!Y213</f>
        <v>5548</v>
      </c>
      <c r="IG1054" s="279">
        <f>FISC!Z213</f>
        <v>6081</v>
      </c>
      <c r="IJ1054" s="279">
        <f>FISC!AA213</f>
        <v>6768</v>
      </c>
      <c r="IM1054" s="279">
        <f>FISC!AB213</f>
        <v>7621</v>
      </c>
      <c r="IP1054" s="279">
        <f>FISC!AC213</f>
        <v>8310</v>
      </c>
      <c r="IS1054" s="279">
        <f>FISC!AD213</f>
        <v>9461</v>
      </c>
      <c r="IV1054" s="279">
        <f>FISC!AE213</f>
        <v>9893</v>
      </c>
      <c r="IY1054" s="279">
        <f>FISC!AF213</f>
        <v>11125</v>
      </c>
      <c r="JB1054" s="279">
        <f>FISC!AG213</f>
        <v>14164</v>
      </c>
      <c r="JE1054" s="279">
        <f>FISC!AH213</f>
        <v>17176</v>
      </c>
      <c r="JH1054" s="279">
        <f>FISC!AI213</f>
        <v>19918</v>
      </c>
      <c r="JK1054" s="279">
        <f>FISC!AJ213</f>
        <v>23387</v>
      </c>
      <c r="JN1054" s="279">
        <f>FISC!AK213</f>
        <v>27186.385358197451</v>
      </c>
      <c r="JQ1054" s="279">
        <f>FISC!AL421</f>
        <v>28849.370738551253</v>
      </c>
    </row>
    <row r="1055" spans="1:314" hidden="1">
      <c r="A1055" s="279"/>
      <c r="CP1055" s="280"/>
      <c r="DZ1055" s="325"/>
      <c r="EA1055" s="323"/>
      <c r="IA1055" s="96"/>
      <c r="IB1055" s="96"/>
      <c r="IC1055" s="96"/>
      <c r="IG1055" s="279">
        <f t="shared" ref="IG1055:JC1055" si="2172">IG1057-IG851</f>
        <v>1296.6929846414382</v>
      </c>
      <c r="IH1055" s="279">
        <f t="shared" si="2172"/>
        <v>671.41768553904922</v>
      </c>
      <c r="II1055" s="279">
        <f t="shared" si="2172"/>
        <v>712.39258903165353</v>
      </c>
      <c r="IJ1055" s="279">
        <f t="shared" si="2172"/>
        <v>1383.8102745707026</v>
      </c>
      <c r="IK1055" s="279">
        <f t="shared" si="2172"/>
        <v>744.29408033177901</v>
      </c>
      <c r="IL1055" s="279">
        <f t="shared" si="2172"/>
        <v>766.93450983246873</v>
      </c>
      <c r="IM1055" s="279">
        <f t="shared" si="2172"/>
        <v>1511.2285901642479</v>
      </c>
      <c r="IN1055" s="279">
        <f t="shared" si="2172"/>
        <v>791.88847032519004</v>
      </c>
      <c r="IO1055" s="279">
        <f t="shared" si="2172"/>
        <v>857.79824264881006</v>
      </c>
      <c r="IP1055" s="279">
        <f t="shared" si="2172"/>
        <v>1649.6867129740001</v>
      </c>
      <c r="IQ1055" s="279">
        <f t="shared" si="2172"/>
        <v>868.46900821557358</v>
      </c>
      <c r="IR1055" s="279">
        <f t="shared" si="2172"/>
        <v>1170.844780137656</v>
      </c>
      <c r="IS1055" s="279">
        <f t="shared" si="2172"/>
        <v>2039.3137883532299</v>
      </c>
      <c r="IT1055" s="279">
        <f t="shared" si="2172"/>
        <v>1106.3963417685475</v>
      </c>
      <c r="IU1055" s="279">
        <f t="shared" si="2172"/>
        <v>1143.770753945819</v>
      </c>
      <c r="IV1055" s="279">
        <f t="shared" si="2172"/>
        <v>2250.1670957143665</v>
      </c>
      <c r="IW1055" s="279">
        <f t="shared" si="2172"/>
        <v>1295.6573557518454</v>
      </c>
      <c r="IX1055" s="279">
        <f t="shared" si="2172"/>
        <v>1233.5250551294635</v>
      </c>
      <c r="IY1055" s="279">
        <f t="shared" si="2172"/>
        <v>2529.1824108813089</v>
      </c>
      <c r="IZ1055" s="279">
        <f t="shared" si="2172"/>
        <v>1420.8304581375817</v>
      </c>
      <c r="JA1055" s="279">
        <f t="shared" si="2172"/>
        <v>1661.784358239981</v>
      </c>
      <c r="JB1055" s="279">
        <f t="shared" si="2172"/>
        <v>3082.6148163775629</v>
      </c>
      <c r="JC1055" s="279">
        <f t="shared" si="2172"/>
        <v>1522.4093055379872</v>
      </c>
      <c r="JE1055" s="1053">
        <v>-6.3</v>
      </c>
      <c r="JH1055" s="1053">
        <v>-4.8</v>
      </c>
      <c r="JK1055" s="1053">
        <v>-3.5</v>
      </c>
      <c r="JN1055" s="1053">
        <v>-3.2</v>
      </c>
      <c r="JQ1055" s="1053">
        <v>-3.2</v>
      </c>
    </row>
    <row r="1056" spans="1:314" s="1691" customFormat="1">
      <c r="A1056" s="1694"/>
      <c r="B1056" s="1694"/>
      <c r="C1056" s="1694"/>
      <c r="D1056" s="1694" t="s">
        <v>3383</v>
      </c>
      <c r="DB1056" s="1695"/>
      <c r="DN1056" s="1696"/>
      <c r="DZ1056" s="1696"/>
      <c r="EA1056" s="1689"/>
      <c r="EB1056" s="1689"/>
      <c r="EC1056" s="1689"/>
      <c r="ED1056" s="1689"/>
      <c r="EE1056" s="1689"/>
      <c r="EF1056" s="1689"/>
      <c r="EG1056" s="1689"/>
      <c r="EH1056" s="1689"/>
      <c r="EI1056" s="1689"/>
      <c r="EJ1056" s="1689"/>
      <c r="EK1056" s="1689"/>
      <c r="EL1056" s="1697"/>
      <c r="EM1056" s="1689"/>
      <c r="EN1056" s="1689"/>
      <c r="EO1056" s="1689"/>
      <c r="EP1056" s="1689"/>
      <c r="EQ1056" s="1689"/>
      <c r="ER1056" s="1689"/>
      <c r="ES1056" s="1689"/>
      <c r="ET1056" s="1689"/>
      <c r="EU1056" s="1689"/>
      <c r="EV1056" s="1689"/>
      <c r="EW1056" s="1689"/>
      <c r="EX1056" s="1697"/>
      <c r="EY1056" s="1689"/>
      <c r="EZ1056" s="1689"/>
      <c r="FA1056" s="1689"/>
      <c r="FB1056" s="1689"/>
      <c r="FC1056" s="1689"/>
      <c r="FD1056" s="1689"/>
      <c r="FE1056" s="1689"/>
      <c r="FF1056" s="1689"/>
      <c r="FG1056" s="1689"/>
      <c r="FH1056" s="1689"/>
      <c r="FI1056" s="1689"/>
      <c r="FJ1056" s="1697"/>
      <c r="FK1056" s="1689"/>
      <c r="FL1056" s="1689"/>
      <c r="FM1056" s="1689"/>
      <c r="FN1056" s="1689"/>
      <c r="FO1056" s="1689"/>
      <c r="FP1056" s="1689"/>
      <c r="FQ1056" s="1689"/>
      <c r="FR1056" s="1689"/>
      <c r="FS1056" s="1689"/>
      <c r="FT1056" s="1689"/>
      <c r="FU1056" s="1689"/>
      <c r="FV1056" s="1689"/>
      <c r="FW1056" s="1689"/>
      <c r="FX1056" s="1689"/>
      <c r="FY1056" s="1689"/>
      <c r="FZ1056" s="1689"/>
      <c r="GA1056" s="1689"/>
      <c r="GB1056" s="1689"/>
      <c r="GC1056" s="1689"/>
      <c r="GD1056" s="1689"/>
      <c r="GE1056" s="1689"/>
      <c r="GF1056" s="1689"/>
      <c r="GG1056" s="1689"/>
      <c r="GH1056" s="1689"/>
      <c r="GI1056" s="1689"/>
      <c r="GJ1056" s="1689"/>
      <c r="GK1056" s="1689"/>
      <c r="GL1056" s="1689"/>
      <c r="GM1056" s="1689"/>
      <c r="GN1056" s="1689"/>
      <c r="GO1056" s="1689"/>
      <c r="GP1056" s="1689"/>
      <c r="GQ1056" s="1689"/>
      <c r="GR1056" s="1689"/>
      <c r="GS1056" s="1689"/>
      <c r="GT1056" s="1689"/>
      <c r="GU1056" s="1689"/>
      <c r="GV1056" s="1689"/>
      <c r="GW1056" s="1689"/>
      <c r="GX1056" s="1689"/>
      <c r="GY1056" s="1689"/>
      <c r="GZ1056" s="1689"/>
      <c r="HA1056" s="1689"/>
      <c r="HB1056" s="1689"/>
      <c r="HC1056" s="1689"/>
      <c r="HD1056" s="1689"/>
      <c r="HE1056" s="1689"/>
      <c r="HF1056" s="1689"/>
      <c r="HG1056" s="1689"/>
      <c r="HH1056" s="1689"/>
      <c r="HI1056" s="1689"/>
      <c r="HJ1056" s="1689"/>
      <c r="HK1056" s="1689"/>
      <c r="HL1056" s="1689"/>
      <c r="HM1056" s="1689"/>
      <c r="HN1056" s="1689"/>
      <c r="HO1056" s="1689"/>
      <c r="HP1056" s="1689"/>
      <c r="HQ1056" s="1689"/>
      <c r="HR1056" s="1689"/>
      <c r="HS1056" s="1689"/>
      <c r="HT1056" s="1689"/>
      <c r="HU1056" s="1689"/>
      <c r="HV1056" s="1689"/>
      <c r="HW1056" s="1689"/>
      <c r="HX1056" s="1689"/>
      <c r="HY1056" s="1689"/>
      <c r="IB1056" s="1691">
        <f>IB755+IB826</f>
        <v>408.96122529907126</v>
      </c>
      <c r="IC1056" s="1691">
        <f>IC755+IC826</f>
        <v>455.51260626260114</v>
      </c>
      <c r="ID1056" s="1691">
        <f>IB1056+IC1056</f>
        <v>864.47383156167234</v>
      </c>
      <c r="IE1056" s="1691">
        <f>IE755+IE826</f>
        <v>448.59583340744371</v>
      </c>
      <c r="IF1056" s="1691">
        <f>IF755+IF826</f>
        <v>554.18346017255112</v>
      </c>
      <c r="IG1056" s="1691">
        <f>IE1056+IF1056</f>
        <v>1002.7792935799948</v>
      </c>
      <c r="IH1056" s="1691">
        <f>IH755+IH826</f>
        <v>541.30664534152311</v>
      </c>
      <c r="II1056" s="1691">
        <f>II755+II826</f>
        <v>626.65685231089913</v>
      </c>
      <c r="IJ1056" s="1691">
        <f>IH1056+II1056</f>
        <v>1167.9634976524221</v>
      </c>
      <c r="IK1056" s="1691">
        <f>IK755+IK826</f>
        <v>589.63363781793407</v>
      </c>
      <c r="IL1056" s="1691">
        <f>IL755+IL826</f>
        <v>675.93482622705369</v>
      </c>
      <c r="IM1056" s="1691">
        <f>IK1056+IL1056</f>
        <v>1265.5684640449876</v>
      </c>
      <c r="IN1056" s="1691">
        <f>IN755+IN826</f>
        <v>673.89265178059827</v>
      </c>
      <c r="IO1056" s="1691">
        <f>IO755+IO826</f>
        <v>748.74932399311604</v>
      </c>
      <c r="IP1056" s="1691">
        <f>IN1056+IO1056</f>
        <v>1422.6419757737144</v>
      </c>
      <c r="IQ1056" s="1691">
        <f>IQ755+IQ826</f>
        <v>805.87437132404148</v>
      </c>
      <c r="IR1056" s="1691">
        <f>IR755+IR826</f>
        <v>864.40294225748414</v>
      </c>
      <c r="IS1056" s="1691">
        <f>IQ1056+IR1056</f>
        <v>1670.2773135815255</v>
      </c>
      <c r="IT1056" s="1691">
        <f>IT755+IT826</f>
        <v>907.27158025004235</v>
      </c>
      <c r="IU1056" s="1691">
        <f>IU755+IU826</f>
        <v>848.13167894538265</v>
      </c>
      <c r="IV1056" s="1691">
        <f>IT1056+IU1056</f>
        <v>1755.4032591954251</v>
      </c>
      <c r="IW1056" s="1691">
        <f>IW755+IW826</f>
        <v>971.59939653109495</v>
      </c>
      <c r="IX1056" s="1691">
        <f>IX755+IX826</f>
        <v>1035.5036327559105</v>
      </c>
      <c r="IY1056" s="1691">
        <f>IW1056+IX1056</f>
        <v>2007.1030292870055</v>
      </c>
      <c r="IZ1056" s="1691">
        <f>IZ755+IZ826</f>
        <v>1051.1631436074811</v>
      </c>
      <c r="JA1056" s="1691">
        <f>JA755+JA826</f>
        <v>1226.8355023023412</v>
      </c>
      <c r="JB1056" s="1691">
        <f>IZ1056+JA1056</f>
        <v>2277.9986459098222</v>
      </c>
      <c r="JC1056" s="1691">
        <f>JC755+JC826</f>
        <v>1257.2104364144536</v>
      </c>
      <c r="JD1056" s="1691">
        <f>JD755+JD826</f>
        <v>1431.0495012969325</v>
      </c>
      <c r="JE1056" s="1691">
        <f>JC1056+JD1056</f>
        <v>2688.2599377113861</v>
      </c>
      <c r="JF1056" s="1691">
        <f>JF755+JF826</f>
        <v>1469.1922849323196</v>
      </c>
      <c r="JG1056" s="1691">
        <f>JG755+JG826</f>
        <v>1584.144667207092</v>
      </c>
      <c r="JH1056" s="1691">
        <f>JF1056+JG1056</f>
        <v>3053.3369521394116</v>
      </c>
      <c r="JI1056" s="1691">
        <f>JI755+JI826</f>
        <v>1783.2662538365616</v>
      </c>
      <c r="JJ1056" s="1691">
        <f>JJ755+JJ826</f>
        <v>1776.112347501851</v>
      </c>
      <c r="JK1056" s="1691">
        <f>JI1056+JJ1056</f>
        <v>3559.3786013384124</v>
      </c>
      <c r="JL1056" s="1691">
        <f>JL755+JL826</f>
        <v>2074.183696875331</v>
      </c>
      <c r="JM1056" s="1691">
        <f>JM755+JM826</f>
        <v>2266.647389175334</v>
      </c>
      <c r="JN1056" s="1691">
        <f>JL1056+JM1056</f>
        <v>4340.8310860506645</v>
      </c>
      <c r="JO1056" s="1691">
        <f>JO755+JO826</f>
        <v>2503.3388589200686</v>
      </c>
      <c r="JP1056" s="1691">
        <f>JP755+JP826</f>
        <v>2651.7342906054973</v>
      </c>
      <c r="JQ1056" s="1691">
        <f>JO1056+JP1056</f>
        <v>5155.0731495255659</v>
      </c>
      <c r="JR1056" s="1691">
        <f>JR755+JR826</f>
        <v>2873.6923719597621</v>
      </c>
      <c r="JS1056" s="1691">
        <f>JS755+JS826</f>
        <v>3053.6069917834061</v>
      </c>
      <c r="JT1056" s="1691">
        <f t="shared" ref="JT1056:KO1056" si="2173">JT755+JT826</f>
        <v>5927.2993637431682</v>
      </c>
      <c r="JU1056" s="1691">
        <f>JU755+JU826</f>
        <v>3271.9449326114004</v>
      </c>
      <c r="JV1056" s="1691">
        <f>JV755+JV826</f>
        <v>3477.6904574049508</v>
      </c>
      <c r="JW1056" s="1691">
        <f t="shared" si="2173"/>
        <v>6749.6353900163513</v>
      </c>
      <c r="JX1056" s="1691">
        <f>JX755+JX826</f>
        <v>3742.7481141061712</v>
      </c>
      <c r="JY1056" s="1691">
        <f>JY755+JY826</f>
        <v>3978.2050943989211</v>
      </c>
      <c r="JZ1056" s="1691">
        <f t="shared" si="2173"/>
        <v>7720.9532085050923</v>
      </c>
      <c r="KA1056" s="1691">
        <f>KA755+KA826</f>
        <v>4213.6620691420057</v>
      </c>
      <c r="KB1056" s="1691">
        <f>KB755+KB826</f>
        <v>4478.9685733844417</v>
      </c>
      <c r="KC1056" s="1691">
        <f t="shared" si="2173"/>
        <v>8692.6306425264484</v>
      </c>
      <c r="KD1056" s="1691">
        <f>KD755+KD826</f>
        <v>4685.595728886613</v>
      </c>
      <c r="KE1056" s="1691">
        <f>KE755+KE826</f>
        <v>4982.9933050409045</v>
      </c>
      <c r="KF1056" s="1691">
        <f t="shared" si="2173"/>
        <v>9668.5890339275174</v>
      </c>
      <c r="KG1056" s="1691">
        <f>KG755+KG826</f>
        <v>5267.5477751106937</v>
      </c>
      <c r="KH1056" s="1691">
        <f>KH755+KH826</f>
        <v>5603.9082636555613</v>
      </c>
      <c r="KI1056" s="1691">
        <f t="shared" si="2173"/>
        <v>10871.456038766255</v>
      </c>
      <c r="KJ1056" s="1691">
        <f>KJ755+KJ826</f>
        <v>5926.4726851261321</v>
      </c>
      <c r="KK1056" s="1691">
        <f>KK755+KK826</f>
        <v>6307.1705763146829</v>
      </c>
      <c r="KL1056" s="1691">
        <f t="shared" si="2173"/>
        <v>12233.643261440815</v>
      </c>
      <c r="KM1056" s="1691">
        <f>KM755+KM826</f>
        <v>7803.9074838152919</v>
      </c>
      <c r="KN1056" s="1691">
        <f>KN755+KN826</f>
        <v>8301.9842618537077</v>
      </c>
      <c r="KO1056" s="1691">
        <f t="shared" si="2173"/>
        <v>16105.891745669</v>
      </c>
    </row>
    <row r="1057" spans="1:314" s="1691" customFormat="1">
      <c r="A1057" s="1694"/>
      <c r="B1057" s="1694"/>
      <c r="C1057" s="1694"/>
      <c r="D1057" s="1694" t="s">
        <v>3384</v>
      </c>
      <c r="DB1057" s="1695"/>
      <c r="DN1057" s="1696"/>
      <c r="DZ1057" s="1696"/>
      <c r="EA1057" s="1689"/>
      <c r="EB1057" s="1689"/>
      <c r="EC1057" s="1689"/>
      <c r="ED1057" s="1689"/>
      <c r="EE1057" s="1689"/>
      <c r="EF1057" s="1689"/>
      <c r="EG1057" s="1689"/>
      <c r="EH1057" s="1689"/>
      <c r="EI1057" s="1689"/>
      <c r="EJ1057" s="1689"/>
      <c r="EK1057" s="1689"/>
      <c r="EL1057" s="1697"/>
      <c r="EM1057" s="1689"/>
      <c r="EN1057" s="1689"/>
      <c r="EO1057" s="1689"/>
      <c r="EP1057" s="1689"/>
      <c r="EQ1057" s="1689"/>
      <c r="ER1057" s="1689"/>
      <c r="ES1057" s="1689"/>
      <c r="ET1057" s="1689"/>
      <c r="EU1057" s="1689"/>
      <c r="EV1057" s="1689"/>
      <c r="EW1057" s="1689"/>
      <c r="EX1057" s="1697"/>
      <c r="EY1057" s="1689"/>
      <c r="EZ1057" s="1689"/>
      <c r="FA1057" s="1689"/>
      <c r="FB1057" s="1689"/>
      <c r="FC1057" s="1689"/>
      <c r="FD1057" s="1689"/>
      <c r="FE1057" s="1689"/>
      <c r="FF1057" s="1689"/>
      <c r="FG1057" s="1689"/>
      <c r="FH1057" s="1689"/>
      <c r="FI1057" s="1689"/>
      <c r="FJ1057" s="1697"/>
      <c r="FK1057" s="1689"/>
      <c r="FL1057" s="1689"/>
      <c r="FM1057" s="1689"/>
      <c r="FN1057" s="1689"/>
      <c r="FO1057" s="1689"/>
      <c r="FP1057" s="1689"/>
      <c r="FQ1057" s="1689"/>
      <c r="FR1057" s="1689"/>
      <c r="FS1057" s="1689"/>
      <c r="FT1057" s="1689"/>
      <c r="FU1057" s="1689"/>
      <c r="FV1057" s="1689"/>
      <c r="FW1057" s="1689"/>
      <c r="FX1057" s="1689"/>
      <c r="FY1057" s="1689"/>
      <c r="FZ1057" s="1689"/>
      <c r="GA1057" s="1689"/>
      <c r="GB1057" s="1689"/>
      <c r="GC1057" s="1689"/>
      <c r="GD1057" s="1689"/>
      <c r="GE1057" s="1689"/>
      <c r="GF1057" s="1689"/>
      <c r="GG1057" s="1689"/>
      <c r="GH1057" s="1689"/>
      <c r="GI1057" s="1689"/>
      <c r="GJ1057" s="1689"/>
      <c r="GK1057" s="1689"/>
      <c r="GL1057" s="1689"/>
      <c r="GM1057" s="1689"/>
      <c r="GN1057" s="1689"/>
      <c r="GO1057" s="1689"/>
      <c r="GP1057" s="1689"/>
      <c r="GQ1057" s="1689"/>
      <c r="GR1057" s="1689"/>
      <c r="GS1057" s="1689"/>
      <c r="GT1057" s="1689"/>
      <c r="GU1057" s="1689"/>
      <c r="GV1057" s="1689"/>
      <c r="GW1057" s="1689"/>
      <c r="GX1057" s="1689"/>
      <c r="GY1057" s="1689"/>
      <c r="GZ1057" s="1689"/>
      <c r="HA1057" s="1689"/>
      <c r="HB1057" s="1689"/>
      <c r="HC1057" s="1689"/>
      <c r="HD1057" s="1689"/>
      <c r="HE1057" s="1689"/>
      <c r="HF1057" s="1689"/>
      <c r="HG1057" s="1689"/>
      <c r="HH1057" s="1689"/>
      <c r="HI1057" s="1689"/>
      <c r="HJ1057" s="1689"/>
      <c r="HK1057" s="1689"/>
      <c r="HL1057" s="1689"/>
      <c r="HM1057" s="1689"/>
      <c r="HN1057" s="1689"/>
      <c r="HO1057" s="1689"/>
      <c r="HP1057" s="1689"/>
      <c r="HQ1057" s="1689"/>
      <c r="HR1057" s="1689"/>
      <c r="HS1057" s="1689"/>
      <c r="HT1057" s="1689"/>
      <c r="HU1057" s="1689"/>
      <c r="HV1057" s="1689"/>
      <c r="HW1057" s="1689"/>
      <c r="HX1057" s="1689"/>
      <c r="HY1057" s="1689"/>
      <c r="IB1057" s="1691">
        <f>IB851+IB853+IB887+IB889+IB891+IB894+IB903+IB907</f>
        <v>647.78110126558602</v>
      </c>
      <c r="IC1057" s="1691">
        <f>IC851+IC853+IC887+IC889+IC891+IC894+IC903+IC907</f>
        <v>769.20021048579292</v>
      </c>
      <c r="ID1057" s="1691">
        <f t="shared" ref="ID1057:ID1060" si="2174">IB1057+IC1057</f>
        <v>1416.9813117513791</v>
      </c>
      <c r="IE1057" s="1691">
        <f>IE851+IE853+IE887+IE889+IE891+IE894+IE903+IE907</f>
        <v>699.91168160546022</v>
      </c>
      <c r="IF1057" s="1691">
        <f>IF851+IF853+IF887+IF889+IF891+IF894+IF903+IF907</f>
        <v>784.2894369119781</v>
      </c>
      <c r="IG1057" s="1691">
        <f t="shared" ref="IG1057:IG1060" si="2175">IE1057+IF1057</f>
        <v>1484.2011185174383</v>
      </c>
      <c r="IH1057" s="1691">
        <f>IH851+IH853+IH887+IH889+IH891+IH894+IH903+IH907</f>
        <v>774.23100290804916</v>
      </c>
      <c r="II1057" s="1691">
        <f>II851+II853+II887+II889+II891+II894+II903+II907</f>
        <v>824.34013653765351</v>
      </c>
      <c r="IJ1057" s="1691">
        <f t="shared" ref="IJ1057:IJ1060" si="2176">IH1057+II1057</f>
        <v>1598.5711394457026</v>
      </c>
      <c r="IK1057" s="1691">
        <f>IK851+IK853+IK887+IK889+IK891+IK894+IK903+IK907</f>
        <v>881.66307670777906</v>
      </c>
      <c r="IL1057" s="1691">
        <f>IL851+IL853+IL887+IL889+IL891+IL894+IL903+IL907</f>
        <v>866.56550559146876</v>
      </c>
      <c r="IM1057" s="1691">
        <f t="shared" ref="IM1057:IM1059" si="2177">IK1057+IL1057</f>
        <v>1748.2285822992478</v>
      </c>
      <c r="IN1057" s="1691">
        <f>IN851+IN853+IN887+IN889+IN891+IN894+IN903+IN907</f>
        <v>916.79628874819002</v>
      </c>
      <c r="IO1057" s="1691">
        <f>IO851+IO853+IO887+IO889+IO891+IO894+IO903+IO907</f>
        <v>984.61015095281005</v>
      </c>
      <c r="IP1057" s="1691">
        <f t="shared" ref="IP1057:IP1060" si="2178">IN1057+IO1057</f>
        <v>1901.4064397010002</v>
      </c>
      <c r="IQ1057" s="1691">
        <f>IQ851+IQ853+IQ887+IQ889+IQ891+IQ894+IQ903+IQ907</f>
        <v>988.5211587925736</v>
      </c>
      <c r="IR1057" s="1691">
        <f>IR851+IR853+IR887+IR889+IR891+IR894+IR903+IR907</f>
        <v>1292.6815515806561</v>
      </c>
      <c r="IS1057" s="1691">
        <f t="shared" ref="IS1057:IS1060" si="2179">IQ1057+IR1057</f>
        <v>2281.2027103732298</v>
      </c>
      <c r="IT1057" s="1691">
        <f>IT851+IT853+IT887+IT889+IT891+IT894+IT903+IT907</f>
        <v>1240.3291454495475</v>
      </c>
      <c r="IU1057" s="1691">
        <f>IU851+IU853+IU887+IU889+IU891+IU894+IU903+IU907</f>
        <v>1276.1650151718191</v>
      </c>
      <c r="IV1057" s="1691">
        <f t="shared" ref="IV1057:IV1060" si="2180">IT1057+IU1057</f>
        <v>2516.4941606213665</v>
      </c>
      <c r="IW1057" s="1691">
        <f>IW851+IW853+IW887+IW889+IW891+IW894+IW903+IW907</f>
        <v>1445.4338677308456</v>
      </c>
      <c r="IX1057" s="1691">
        <f>IX851+IX853+IX887+IX889+IX891+IX894+IX903+IX907</f>
        <v>1386.0119024364635</v>
      </c>
      <c r="IY1057" s="1691">
        <f t="shared" ref="IY1057:IY1060" si="2181">IW1057+IX1057</f>
        <v>2831.4457701673091</v>
      </c>
      <c r="IZ1057" s="1691">
        <f>IZ851+IZ853+IZ887+IZ889+IZ891+IZ894+IZ903+IZ907</f>
        <v>1576.9416250105817</v>
      </c>
      <c r="JA1057" s="1691">
        <f>JA851+JA853+JA887+JA889+JA891+JA894+JA903+JA907</f>
        <v>1823.406620306981</v>
      </c>
      <c r="JB1057" s="1691">
        <f t="shared" ref="JB1057:JB1060" si="2182">IZ1057+JA1057</f>
        <v>3400.3482453175629</v>
      </c>
      <c r="JC1057" s="1691">
        <f>JC851+JC853+JC887+JC889+JC891+JC894+JC903+JC907</f>
        <v>1706.2754706069873</v>
      </c>
      <c r="JD1057" s="1691">
        <f>JD851+JD853+JD887+JD889+JD891+JD894+JD903+JD907</f>
        <v>2020.3625759367721</v>
      </c>
      <c r="JE1057" s="1691">
        <f t="shared" ref="JE1057:JE1060" si="2183">JC1057+JD1057</f>
        <v>3726.6380465437596</v>
      </c>
      <c r="JF1057" s="1691">
        <f>JF851+JF853+JF887+JF889+JF891+JF894+JF903+JF907</f>
        <v>1829.0395976632849</v>
      </c>
      <c r="JG1057" s="1691">
        <f>JG851+JG853+JG887+JG889+JG891+JG894+JG903+JG907</f>
        <v>2324.8211175256038</v>
      </c>
      <c r="JH1057" s="1691">
        <f t="shared" ref="JH1057:JH1060" si="2184">JF1057+JG1057</f>
        <v>4153.8607151888882</v>
      </c>
      <c r="JI1057" s="1691">
        <f>JI851+JI853+JI887+JI889+JI891+JI894+JI903+JI907</f>
        <v>2224.8359366580507</v>
      </c>
      <c r="JJ1057" s="1691">
        <f>JJ851+JJ853+JJ887+JJ889+JJ891+JJ894+JJ903+JJ907</f>
        <v>2089.1201441111698</v>
      </c>
      <c r="JK1057" s="1691">
        <f t="shared" ref="JK1057:JK1060" si="2185">JI1057+JJ1057</f>
        <v>4313.9560807692205</v>
      </c>
      <c r="JL1057" s="1691">
        <f>JL851+JL853+JL887+JL889+JL891+JL894+JL903+JL907</f>
        <v>2394.8809016309069</v>
      </c>
      <c r="JM1057" s="1691">
        <f>JM851+JM853+JM887+JM889+JM891+JM894+JM903+JM907</f>
        <v>2427.5798585339985</v>
      </c>
      <c r="JN1057" s="1691">
        <f t="shared" ref="JN1057:JN1060" si="2186">JL1057+JM1057</f>
        <v>4822.4607601649059</v>
      </c>
      <c r="JO1057" s="1691">
        <f>JO851+JO853+JO887+JO889+JO891+JO894+JO903+JO907</f>
        <v>3016.5192172251682</v>
      </c>
      <c r="JP1057" s="1691">
        <f>JP851+JP853+JP887+JP889+JP891+JP894+JP903+JP907</f>
        <v>2525.8151798251429</v>
      </c>
      <c r="JQ1057" s="1691">
        <f t="shared" ref="JQ1057:JQ1060" si="2187">JO1057+JP1057</f>
        <v>5542.3343970503111</v>
      </c>
      <c r="JR1057" s="1691">
        <f t="shared" ref="JR1057:KO1057" si="2188">JR851+JR853+JR887+JR889+JR891+JR894+JR903+JR907</f>
        <v>3450.2346827776814</v>
      </c>
      <c r="JS1057" s="1691">
        <f t="shared" si="2188"/>
        <v>2904.5286063222193</v>
      </c>
      <c r="JT1057" s="1691">
        <f t="shared" si="2188"/>
        <v>6354.7632890999002</v>
      </c>
      <c r="JU1057" s="1691">
        <f t="shared" si="2188"/>
        <v>3836.8114945787429</v>
      </c>
      <c r="JV1057" s="1691">
        <f t="shared" si="2188"/>
        <v>3368.6553487530509</v>
      </c>
      <c r="JW1057" s="1691">
        <f t="shared" si="2188"/>
        <v>7205.4668433317929</v>
      </c>
      <c r="JX1057" s="1691">
        <f t="shared" si="2188"/>
        <v>4383.4676641558126</v>
      </c>
      <c r="JY1057" s="1691">
        <f t="shared" si="2188"/>
        <v>3900.0475081797777</v>
      </c>
      <c r="JZ1057" s="1691">
        <f t="shared" si="2188"/>
        <v>8283.5151723355884</v>
      </c>
      <c r="KA1057" s="1691">
        <f t="shared" si="2188"/>
        <v>4958.434503994933</v>
      </c>
      <c r="KB1057" s="1691">
        <f t="shared" si="2188"/>
        <v>4324.7668993452371</v>
      </c>
      <c r="KC1057" s="1691">
        <f t="shared" si="2188"/>
        <v>9283.2014033401701</v>
      </c>
      <c r="KD1057" s="1691">
        <f t="shared" si="2188"/>
        <v>5283.8067440490267</v>
      </c>
      <c r="KE1057" s="1691">
        <f t="shared" si="2188"/>
        <v>5133.8873101486452</v>
      </c>
      <c r="KF1057" s="1691">
        <f t="shared" si="2188"/>
        <v>10417.694054197673</v>
      </c>
      <c r="KG1057" s="1691">
        <f t="shared" si="2188"/>
        <v>6161.3138942432897</v>
      </c>
      <c r="KH1057" s="1691">
        <f t="shared" si="2188"/>
        <v>5405.5186489460448</v>
      </c>
      <c r="KI1057" s="1691">
        <f t="shared" si="2188"/>
        <v>11566.832543189334</v>
      </c>
      <c r="KJ1057" s="1691">
        <f t="shared" si="2188"/>
        <v>7203.318928658854</v>
      </c>
      <c r="KK1057" s="1691">
        <f t="shared" si="2188"/>
        <v>6279.5969480876502</v>
      </c>
      <c r="KL1057" s="1691">
        <f t="shared" si="2188"/>
        <v>13482.915876746505</v>
      </c>
      <c r="KM1057" s="1691">
        <f t="shared" si="2188"/>
        <v>9467.3055501010676</v>
      </c>
      <c r="KN1057" s="1691">
        <f t="shared" si="2188"/>
        <v>8151.0360834007988</v>
      </c>
      <c r="KO1057" s="1691">
        <f t="shared" si="2188"/>
        <v>17618.341633501866</v>
      </c>
    </row>
    <row r="1058" spans="1:314" s="1691" customFormat="1">
      <c r="A1058" s="1694"/>
      <c r="B1058" s="1694"/>
      <c r="C1058" s="1694"/>
      <c r="D1058" s="1694" t="s">
        <v>3385</v>
      </c>
      <c r="DB1058" s="1695"/>
      <c r="DN1058" s="1696"/>
      <c r="DZ1058" s="1696"/>
      <c r="EA1058" s="1689"/>
      <c r="EB1058" s="1689"/>
      <c r="EC1058" s="1689"/>
      <c r="ED1058" s="1689"/>
      <c r="EE1058" s="1689"/>
      <c r="EF1058" s="1689"/>
      <c r="EG1058" s="1689"/>
      <c r="EH1058" s="1689"/>
      <c r="EI1058" s="1689"/>
      <c r="EJ1058" s="1689"/>
      <c r="EK1058" s="1689"/>
      <c r="EL1058" s="1697"/>
      <c r="EM1058" s="1689"/>
      <c r="EN1058" s="1689"/>
      <c r="EO1058" s="1689"/>
      <c r="EP1058" s="1689"/>
      <c r="EQ1058" s="1689"/>
      <c r="ER1058" s="1689"/>
      <c r="ES1058" s="1689"/>
      <c r="ET1058" s="1689"/>
      <c r="EU1058" s="1689"/>
      <c r="EV1058" s="1689"/>
      <c r="EW1058" s="1689"/>
      <c r="EX1058" s="1697"/>
      <c r="EY1058" s="1689"/>
      <c r="EZ1058" s="1689"/>
      <c r="FA1058" s="1689"/>
      <c r="FB1058" s="1689"/>
      <c r="FC1058" s="1689"/>
      <c r="FD1058" s="1689"/>
      <c r="FE1058" s="1689"/>
      <c r="FF1058" s="1689"/>
      <c r="FG1058" s="1689"/>
      <c r="FH1058" s="1689"/>
      <c r="FI1058" s="1689"/>
      <c r="FJ1058" s="1697"/>
      <c r="FK1058" s="1689"/>
      <c r="FL1058" s="1689"/>
      <c r="FM1058" s="1689"/>
      <c r="FN1058" s="1689"/>
      <c r="FO1058" s="1689"/>
      <c r="FP1058" s="1689"/>
      <c r="FQ1058" s="1689"/>
      <c r="FR1058" s="1689"/>
      <c r="FS1058" s="1689"/>
      <c r="FT1058" s="1689"/>
      <c r="FU1058" s="1689"/>
      <c r="FV1058" s="1689"/>
      <c r="FW1058" s="1689"/>
      <c r="FX1058" s="1689"/>
      <c r="FY1058" s="1689"/>
      <c r="FZ1058" s="1689"/>
      <c r="GA1058" s="1689"/>
      <c r="GB1058" s="1689"/>
      <c r="GC1058" s="1689"/>
      <c r="GD1058" s="1689"/>
      <c r="GE1058" s="1689"/>
      <c r="GF1058" s="1689"/>
      <c r="GG1058" s="1689"/>
      <c r="GH1058" s="1689"/>
      <c r="GI1058" s="1689"/>
      <c r="GJ1058" s="1689"/>
      <c r="GK1058" s="1689"/>
      <c r="GL1058" s="1689"/>
      <c r="GM1058" s="1689"/>
      <c r="GN1058" s="1689"/>
      <c r="GO1058" s="1689"/>
      <c r="GP1058" s="1689"/>
      <c r="GQ1058" s="1689"/>
      <c r="GR1058" s="1689"/>
      <c r="GS1058" s="1689"/>
      <c r="GT1058" s="1689"/>
      <c r="GU1058" s="1689"/>
      <c r="GV1058" s="1689"/>
      <c r="GW1058" s="1689"/>
      <c r="GX1058" s="1689"/>
      <c r="GY1058" s="1689"/>
      <c r="GZ1058" s="1689"/>
      <c r="HA1058" s="1689"/>
      <c r="HB1058" s="1689"/>
      <c r="HC1058" s="1689"/>
      <c r="HD1058" s="1689"/>
      <c r="HE1058" s="1689"/>
      <c r="HF1058" s="1689"/>
      <c r="HG1058" s="1689"/>
      <c r="HH1058" s="1689"/>
      <c r="HI1058" s="1689"/>
      <c r="HJ1058" s="1689"/>
      <c r="HK1058" s="1689"/>
      <c r="HL1058" s="1689"/>
      <c r="HM1058" s="1689"/>
      <c r="HN1058" s="1689"/>
      <c r="HO1058" s="1689"/>
      <c r="HP1058" s="1689"/>
      <c r="HQ1058" s="1689"/>
      <c r="HR1058" s="1689"/>
      <c r="HS1058" s="1689"/>
      <c r="HT1058" s="1689"/>
      <c r="HU1058" s="1689"/>
      <c r="HV1058" s="1689"/>
      <c r="HW1058" s="1689"/>
      <c r="HX1058" s="1689"/>
      <c r="HY1058" s="1689"/>
      <c r="IB1058" s="1691">
        <f>IB869+IB901+IB877+IB967+IB976+IB982+IB983+IB984</f>
        <v>58.561791359932037</v>
      </c>
      <c r="IC1058" s="1691">
        <f>IC869+IC901+IC877+IC967+IC976+IC982+IC983+IC984</f>
        <v>96.918326545630691</v>
      </c>
      <c r="ID1058" s="1691">
        <f t="shared" si="2174"/>
        <v>155.48011790556274</v>
      </c>
      <c r="IE1058" s="1691">
        <f>IE869+IE901+IE877+IE967+IE976+IE982+IE983+IE984</f>
        <v>84.532801711797191</v>
      </c>
      <c r="IF1058" s="1691">
        <f>IF869+IF901+IF877+IF967+IF976+IF982+IF983+IF984</f>
        <v>118.26534418528678</v>
      </c>
      <c r="IG1058" s="1691">
        <f t="shared" ref="IG1058:JL1058" si="2189">IG869+IG901+IG877+IG967+IG976</f>
        <v>202.79814589708397</v>
      </c>
      <c r="IH1058" s="1691">
        <f t="shared" si="2189"/>
        <v>107.7667541998558</v>
      </c>
      <c r="II1058" s="1691">
        <f t="shared" si="2189"/>
        <v>108.40454882964059</v>
      </c>
      <c r="IJ1058" s="1691">
        <f t="shared" si="2189"/>
        <v>216.17130302949641</v>
      </c>
      <c r="IK1058" s="1691">
        <f t="shared" si="2189"/>
        <v>89.056812893053234</v>
      </c>
      <c r="IL1058" s="1691">
        <f t="shared" si="2189"/>
        <v>119.47586113414242</v>
      </c>
      <c r="IM1058" s="1691">
        <f t="shared" si="2189"/>
        <v>208.53267402719567</v>
      </c>
      <c r="IN1058" s="1691">
        <f t="shared" si="2189"/>
        <v>137.30174408605086</v>
      </c>
      <c r="IO1058" s="1691">
        <f t="shared" si="2189"/>
        <v>135.99290314299981</v>
      </c>
      <c r="IP1058" s="1691">
        <f t="shared" si="2189"/>
        <v>273.29464722905061</v>
      </c>
      <c r="IQ1058" s="1691">
        <f t="shared" si="2189"/>
        <v>158.08262633077041</v>
      </c>
      <c r="IR1058" s="1691">
        <f t="shared" si="2189"/>
        <v>172.22497953638825</v>
      </c>
      <c r="IS1058" s="1691">
        <f t="shared" si="2189"/>
        <v>330.30760586715871</v>
      </c>
      <c r="IT1058" s="1691">
        <f t="shared" si="2189"/>
        <v>267.04058159228782</v>
      </c>
      <c r="IU1058" s="1691">
        <f t="shared" si="2189"/>
        <v>254.34229641277159</v>
      </c>
      <c r="IV1058" s="1691">
        <f t="shared" si="2189"/>
        <v>521.38287800505941</v>
      </c>
      <c r="IW1058" s="1691">
        <f t="shared" si="2189"/>
        <v>304.32108481882591</v>
      </c>
      <c r="IX1058" s="1691">
        <f t="shared" si="2189"/>
        <v>287.22455623547927</v>
      </c>
      <c r="IY1058" s="1691">
        <f t="shared" si="2189"/>
        <v>591.54564105430529</v>
      </c>
      <c r="IZ1058" s="1691">
        <f t="shared" si="2189"/>
        <v>373.56828368750172</v>
      </c>
      <c r="JA1058" s="1691">
        <f t="shared" si="2189"/>
        <v>442.53703638055373</v>
      </c>
      <c r="JB1058" s="1691">
        <f t="shared" si="2189"/>
        <v>816.10532006805545</v>
      </c>
      <c r="JC1058" s="1691">
        <f t="shared" si="2189"/>
        <v>409.28810172088833</v>
      </c>
      <c r="JD1058" s="1691">
        <f t="shared" si="2189"/>
        <v>380.62786557518308</v>
      </c>
      <c r="JE1058" s="1691">
        <f t="shared" si="2189"/>
        <v>789.91596729607136</v>
      </c>
      <c r="JF1058" s="1691">
        <f t="shared" si="2189"/>
        <v>403.56360173067225</v>
      </c>
      <c r="JG1058" s="1691">
        <f t="shared" si="2189"/>
        <v>481.91500919731516</v>
      </c>
      <c r="JH1058" s="1691">
        <f t="shared" si="2189"/>
        <v>885.47861092798746</v>
      </c>
      <c r="JI1058" s="1691">
        <f t="shared" si="2189"/>
        <v>529.45275288775167</v>
      </c>
      <c r="JJ1058" s="1691">
        <f t="shared" si="2189"/>
        <v>508.8869360634871</v>
      </c>
      <c r="JK1058" s="1691">
        <f t="shared" si="2189"/>
        <v>1038.3396889512389</v>
      </c>
      <c r="JL1058" s="1691">
        <f t="shared" si="2189"/>
        <v>707.84166821476606</v>
      </c>
      <c r="JM1058" s="1691">
        <f t="shared" ref="JM1058:KO1058" si="2190">JM869+JM901+JM877+JM967+JM976</f>
        <v>930.36888718214823</v>
      </c>
      <c r="JN1058" s="1691">
        <f t="shared" si="2190"/>
        <v>1635.6110600699144</v>
      </c>
      <c r="JO1058" s="1691">
        <f t="shared" si="2190"/>
        <v>860.56547108238397</v>
      </c>
      <c r="JP1058" s="1691">
        <f t="shared" si="2190"/>
        <v>838.18284280754403</v>
      </c>
      <c r="JQ1058" s="1691">
        <f t="shared" si="2190"/>
        <v>1681.773071215244</v>
      </c>
      <c r="JR1058" s="1691">
        <f t="shared" ref="JR1058:JS1058" si="2191">JR869+JR901+JR877+JR967+JR976</f>
        <v>888.21458862498514</v>
      </c>
      <c r="JS1058" s="1691">
        <f t="shared" si="2191"/>
        <v>733.91061735595247</v>
      </c>
      <c r="JT1058" s="1691">
        <f t="shared" si="2190"/>
        <v>1622.1252059809376</v>
      </c>
      <c r="JU1058" s="1691">
        <f t="shared" si="2190"/>
        <v>628.59178441258359</v>
      </c>
      <c r="JV1058" s="1691">
        <f t="shared" si="2190"/>
        <v>631.92529793477217</v>
      </c>
      <c r="JW1058" s="1691">
        <f t="shared" si="2190"/>
        <v>1260.5170823473559</v>
      </c>
      <c r="JX1058" s="1691">
        <f t="shared" si="2190"/>
        <v>679.32905121257829</v>
      </c>
      <c r="JY1058" s="1691">
        <f t="shared" si="2190"/>
        <v>637.77980777782352</v>
      </c>
      <c r="JZ1058" s="1691">
        <f t="shared" si="2190"/>
        <v>1317.1088589904018</v>
      </c>
      <c r="KA1058" s="1691">
        <f t="shared" si="2190"/>
        <v>719.4579738415913</v>
      </c>
      <c r="KB1058" s="1691">
        <f t="shared" si="2190"/>
        <v>801.13850301827472</v>
      </c>
      <c r="KC1058" s="1691">
        <f t="shared" si="2190"/>
        <v>1520.5964768598662</v>
      </c>
      <c r="KD1058" s="1691">
        <f t="shared" si="2190"/>
        <v>738.78030432533672</v>
      </c>
      <c r="KE1058" s="1691">
        <f t="shared" si="2190"/>
        <v>1059.9650005453873</v>
      </c>
      <c r="KF1058" s="1691">
        <f t="shared" si="2190"/>
        <v>1798.7453048707243</v>
      </c>
      <c r="KG1058" s="1691">
        <f t="shared" si="2190"/>
        <v>781.57879946984144</v>
      </c>
      <c r="KH1058" s="1691">
        <f t="shared" si="2190"/>
        <v>1037.523807985709</v>
      </c>
      <c r="KI1058" s="1691">
        <f t="shared" si="2190"/>
        <v>1819.1026074555505</v>
      </c>
      <c r="KJ1058" s="1691">
        <f t="shared" si="2190"/>
        <v>836.54181305735949</v>
      </c>
      <c r="KK1058" s="1691">
        <f t="shared" si="2190"/>
        <v>1064.8299349373292</v>
      </c>
      <c r="KL1058" s="1691">
        <f t="shared" si="2190"/>
        <v>1901.3717479946888</v>
      </c>
      <c r="KM1058" s="1691">
        <f t="shared" si="2190"/>
        <v>828.79396990380985</v>
      </c>
      <c r="KN1058" s="1691">
        <f t="shared" si="2190"/>
        <v>1357.4716955656556</v>
      </c>
      <c r="KO1058" s="1691">
        <f t="shared" si="2190"/>
        <v>2186.2656654694656</v>
      </c>
    </row>
    <row r="1059" spans="1:314" s="1691" customFormat="1">
      <c r="A1059" s="1694"/>
      <c r="B1059" s="1694"/>
      <c r="C1059" s="1694"/>
      <c r="D1059" s="1694" t="s">
        <v>3386</v>
      </c>
      <c r="DB1059" s="1695"/>
      <c r="DN1059" s="1696"/>
      <c r="DZ1059" s="1696"/>
      <c r="EA1059" s="1689"/>
      <c r="EB1059" s="1689"/>
      <c r="EC1059" s="1689"/>
      <c r="ED1059" s="1689"/>
      <c r="EE1059" s="1689"/>
      <c r="EF1059" s="1689"/>
      <c r="EG1059" s="1689"/>
      <c r="EH1059" s="1689"/>
      <c r="EI1059" s="1689"/>
      <c r="EJ1059" s="1689"/>
      <c r="EK1059" s="1689"/>
      <c r="EL1059" s="1697"/>
      <c r="EM1059" s="1689"/>
      <c r="EN1059" s="1689"/>
      <c r="EO1059" s="1689"/>
      <c r="EP1059" s="1689"/>
      <c r="EQ1059" s="1689"/>
      <c r="ER1059" s="1689"/>
      <c r="ES1059" s="1689"/>
      <c r="ET1059" s="1689"/>
      <c r="EU1059" s="1689"/>
      <c r="EV1059" s="1689"/>
      <c r="EW1059" s="1689"/>
      <c r="EX1059" s="1697"/>
      <c r="EY1059" s="1689"/>
      <c r="EZ1059" s="1689"/>
      <c r="FA1059" s="1689"/>
      <c r="FB1059" s="1689"/>
      <c r="FC1059" s="1689"/>
      <c r="FD1059" s="1689"/>
      <c r="FE1059" s="1689"/>
      <c r="FF1059" s="1689"/>
      <c r="FG1059" s="1689"/>
      <c r="FH1059" s="1689"/>
      <c r="FI1059" s="1689"/>
      <c r="FJ1059" s="1697"/>
      <c r="FK1059" s="1689"/>
      <c r="FL1059" s="1689"/>
      <c r="FM1059" s="1689"/>
      <c r="FN1059" s="1689"/>
      <c r="FO1059" s="1689"/>
      <c r="FP1059" s="1689"/>
      <c r="FQ1059" s="1689"/>
      <c r="FR1059" s="1689"/>
      <c r="FS1059" s="1689"/>
      <c r="FT1059" s="1689"/>
      <c r="FU1059" s="1689"/>
      <c r="FV1059" s="1689"/>
      <c r="FW1059" s="1689"/>
      <c r="FX1059" s="1689"/>
      <c r="FY1059" s="1689"/>
      <c r="FZ1059" s="1689"/>
      <c r="GA1059" s="1689"/>
      <c r="GB1059" s="1689"/>
      <c r="GC1059" s="1689"/>
      <c r="GD1059" s="1689"/>
      <c r="GE1059" s="1689"/>
      <c r="GF1059" s="1689"/>
      <c r="GG1059" s="1689"/>
      <c r="GH1059" s="1689"/>
      <c r="GI1059" s="1689"/>
      <c r="GJ1059" s="1689"/>
      <c r="GK1059" s="1689"/>
      <c r="GL1059" s="1689"/>
      <c r="GM1059" s="1689"/>
      <c r="GN1059" s="1689"/>
      <c r="GO1059" s="1689"/>
      <c r="GP1059" s="1689"/>
      <c r="GQ1059" s="1689"/>
      <c r="GR1059" s="1689"/>
      <c r="GS1059" s="1689"/>
      <c r="GT1059" s="1689"/>
      <c r="GU1059" s="1689"/>
      <c r="GV1059" s="1689"/>
      <c r="GW1059" s="1689"/>
      <c r="GX1059" s="1689"/>
      <c r="GY1059" s="1689"/>
      <c r="GZ1059" s="1689"/>
      <c r="HA1059" s="1689"/>
      <c r="HB1059" s="1689"/>
      <c r="HC1059" s="1689"/>
      <c r="HD1059" s="1689"/>
      <c r="HE1059" s="1689"/>
      <c r="HF1059" s="1689"/>
      <c r="HG1059" s="1689"/>
      <c r="HH1059" s="1689"/>
      <c r="HI1059" s="1689"/>
      <c r="HJ1059" s="1689"/>
      <c r="HK1059" s="1689"/>
      <c r="HL1059" s="1689"/>
      <c r="HM1059" s="1689"/>
      <c r="HN1059" s="1689"/>
      <c r="HO1059" s="1689"/>
      <c r="HP1059" s="1689"/>
      <c r="HQ1059" s="1689"/>
      <c r="HR1059" s="1689"/>
      <c r="HS1059" s="1689"/>
      <c r="HT1059" s="1689"/>
      <c r="HU1059" s="1689"/>
      <c r="HV1059" s="1689"/>
      <c r="HW1059" s="1689"/>
      <c r="HX1059" s="1689"/>
      <c r="HY1059" s="1689"/>
      <c r="IB1059" s="1691">
        <f>IB850+IB907+IB967+IB976+IB982+IB983+IB984</f>
        <v>706.34289262551806</v>
      </c>
      <c r="IC1059" s="1691">
        <f>IC850+IC907+IC967+IC976+IC982+IC983+IC984</f>
        <v>866.11853703142367</v>
      </c>
      <c r="ID1059" s="1691">
        <f t="shared" si="2174"/>
        <v>1572.4614296569416</v>
      </c>
      <c r="IE1059" s="1691">
        <f>IE850+IE907+IE967+IE976+IE982+IE983+IE984</f>
        <v>784.44448331725744</v>
      </c>
      <c r="IF1059" s="1691">
        <f>IF850+IF907+IF967+IF976+IF982+IF983+IF984</f>
        <v>902.55478109726471</v>
      </c>
      <c r="IG1059" s="1691">
        <f t="shared" si="2175"/>
        <v>1686.9992644145223</v>
      </c>
      <c r="IH1059" s="1691">
        <f>IH850+IH907+IH967+IH976+IH982+IH983+IH984</f>
        <v>881.99775710790493</v>
      </c>
      <c r="II1059" s="1691">
        <f>II850+II907+II967+II976+II982+II983+II984</f>
        <v>932.74468536729398</v>
      </c>
      <c r="IJ1059" s="1691">
        <f t="shared" si="2176"/>
        <v>1814.7424424751989</v>
      </c>
      <c r="IK1059" s="1691">
        <f>IK850+IK907+IK967+IK976+IK982+IK983+IK984</f>
        <v>970.71988960083218</v>
      </c>
      <c r="IL1059" s="1691">
        <f>IL850+IL907+IL967+IL976+IL982+IL983+IL984</f>
        <v>986.04136672561117</v>
      </c>
      <c r="IM1059" s="1691">
        <f t="shared" si="2177"/>
        <v>1956.7612563264433</v>
      </c>
      <c r="IN1059" s="1691">
        <f>IN850+IN907+IN967+IN976+IN982+IN983+IN984</f>
        <v>1054.0980328342407</v>
      </c>
      <c r="IO1059" s="1691">
        <f>IO850+IO907+IO967+IO976+IO982+IO983+IO984</f>
        <v>1120.6030540958097</v>
      </c>
      <c r="IP1059" s="1691">
        <f t="shared" si="2178"/>
        <v>2174.7010869300502</v>
      </c>
      <c r="IQ1059" s="1691">
        <f>IQ850+IQ907+IQ967+IQ976+IQ982+IQ983+IQ984</f>
        <v>1146.6037851233441</v>
      </c>
      <c r="IR1059" s="1691">
        <f>IR850+IR907+IR967+IR976+IR982+IR983+IR984</f>
        <v>1464.9065311170441</v>
      </c>
      <c r="IS1059" s="1691">
        <f t="shared" si="2179"/>
        <v>2611.5103162403884</v>
      </c>
      <c r="IT1059" s="1691">
        <f>IT850+IT907+IT967+IT976+IT982+IT983+IT984</f>
        <v>1507.3697270418352</v>
      </c>
      <c r="IU1059" s="1691">
        <f>IU850+IU907+IU967+IU976+IU982+IU983+IU984</f>
        <v>1530.5073115845905</v>
      </c>
      <c r="IV1059" s="1691">
        <f t="shared" si="2180"/>
        <v>3037.8770386264259</v>
      </c>
      <c r="IW1059" s="1691">
        <f>IW850+IW907+IW967+IW976+IW982+IW983+IW984</f>
        <v>1751.3754618846715</v>
      </c>
      <c r="IX1059" s="1691">
        <f>IX850+IX907+IX967+IX976+IX982+IX983+IX984</f>
        <v>1702.5017534049427</v>
      </c>
      <c r="IY1059" s="1691">
        <f t="shared" si="2181"/>
        <v>3453.8772152896145</v>
      </c>
      <c r="IZ1059" s="1691">
        <f>IZ850+IZ907+IZ967+IZ976+IZ982+IZ983+IZ984</f>
        <v>1950.5099086980831</v>
      </c>
      <c r="JA1059" s="1691">
        <f>JA850+JA907+JA967+JA976+JA982+JA983+JA984</f>
        <v>2265.9436566875347</v>
      </c>
      <c r="JB1059" s="1691">
        <f t="shared" si="2182"/>
        <v>4216.4535653856183</v>
      </c>
      <c r="JC1059" s="1691">
        <f>JC850+JC907+JC967+JC976+JC982+JC983+JC984</f>
        <v>2115.5635723278756</v>
      </c>
      <c r="JD1059" s="1691">
        <f>JD850+JD907+JD967+JD976+JD982+JD983+JD984</f>
        <v>2400.9904415119554</v>
      </c>
      <c r="JE1059" s="1691">
        <f t="shared" si="2183"/>
        <v>4516.554013839831</v>
      </c>
      <c r="JF1059" s="1691">
        <f>JF850+JF907+JF967+JF976+JF982+JF983+JF984</f>
        <v>2232.6031993939569</v>
      </c>
      <c r="JG1059" s="1691">
        <f>JG850+JG907+JG967+JG976+JG982+JG983+JG984</f>
        <v>2806.7361267229194</v>
      </c>
      <c r="JH1059" s="1691">
        <f t="shared" si="2184"/>
        <v>5039.3393261168767</v>
      </c>
      <c r="JI1059" s="1691">
        <f>JI850+JI907+JI967+JI976+JI982+JI983+JI984</f>
        <v>2754.2886895458023</v>
      </c>
      <c r="JJ1059" s="1691">
        <f>JJ850+JJ907+JJ967+JJ976+JJ982+JJ983+JJ984</f>
        <v>2598.0070801746569</v>
      </c>
      <c r="JK1059" s="1691">
        <f t="shared" si="2185"/>
        <v>5352.2957697204592</v>
      </c>
      <c r="JL1059" s="1691">
        <f>JL850+JL907+JL967+JL976+JL982+JL983+JL984</f>
        <v>3102.7225698456728</v>
      </c>
      <c r="JM1059" s="1691">
        <f>JM850+JM907+JM967+JM976+JM982+JM983+JM984</f>
        <v>3357.9487457161463</v>
      </c>
      <c r="JN1059" s="1691">
        <f t="shared" si="2186"/>
        <v>6460.671315561819</v>
      </c>
      <c r="JO1059" s="1691">
        <f>JO850+JO907+JO967+JO976+JO982+JO983+JO984</f>
        <v>3877.0489590389539</v>
      </c>
      <c r="JP1059" s="1691">
        <f>JP850+JP907+JP967+JP976+JP982+JP983+JP984</f>
        <v>3294.2559378414639</v>
      </c>
      <c r="JQ1059" s="1691">
        <f t="shared" si="2187"/>
        <v>7171.3048968804178</v>
      </c>
      <c r="JR1059" s="1691">
        <f t="shared" ref="JR1059:KO1059" si="2192">JR850+JR907+JR967+JR976+JR982+JR983+JR984</f>
        <v>4338.475186025772</v>
      </c>
      <c r="JS1059" s="1691">
        <f t="shared" si="2192"/>
        <v>3638.4133090550667</v>
      </c>
      <c r="JT1059" s="1691">
        <f t="shared" si="2192"/>
        <v>7976.8884950808388</v>
      </c>
      <c r="JU1059" s="1691">
        <f t="shared" si="2192"/>
        <v>4465.3927889299039</v>
      </c>
      <c r="JV1059" s="1691">
        <f t="shared" si="2192"/>
        <v>4000.5911367492454</v>
      </c>
      <c r="JW1059" s="1691">
        <f t="shared" si="2192"/>
        <v>8465.9839256791493</v>
      </c>
      <c r="JX1059" s="1691">
        <f t="shared" si="2192"/>
        <v>5062.7096519947709</v>
      </c>
      <c r="JY1059" s="1691">
        <f t="shared" si="2192"/>
        <v>4537.9143793312205</v>
      </c>
      <c r="JZ1059" s="1691">
        <f t="shared" si="2192"/>
        <v>9600.6240313259914</v>
      </c>
      <c r="KA1059" s="1691">
        <f t="shared" si="2192"/>
        <v>5677.7074400486927</v>
      </c>
      <c r="KB1059" s="1691">
        <f t="shared" si="2192"/>
        <v>5126.0904401513453</v>
      </c>
      <c r="KC1059" s="1691">
        <f t="shared" si="2192"/>
        <v>10803.797880200036</v>
      </c>
      <c r="KD1059" s="1691">
        <f t="shared" si="2192"/>
        <v>6022.3077175508915</v>
      </c>
      <c r="KE1059" s="1691">
        <f t="shared" si="2192"/>
        <v>6194.1316415175042</v>
      </c>
      <c r="KF1059" s="1691">
        <f t="shared" si="2192"/>
        <v>12216.439359068396</v>
      </c>
      <c r="KG1059" s="1691">
        <f t="shared" si="2192"/>
        <v>6942.513367013381</v>
      </c>
      <c r="KH1059" s="1691">
        <f t="shared" si="2192"/>
        <v>6443.421783631502</v>
      </c>
      <c r="KI1059" s="1691">
        <f t="shared" si="2192"/>
        <v>13385.935150644884</v>
      </c>
      <c r="KJ1059" s="1691">
        <f t="shared" si="2192"/>
        <v>8039.3645271565483</v>
      </c>
      <c r="KK1059" s="1691">
        <f t="shared" si="2192"/>
        <v>7344.9230975846467</v>
      </c>
      <c r="KL1059" s="1691">
        <f t="shared" si="2192"/>
        <v>15384.287624741195</v>
      </c>
      <c r="KM1059" s="1691">
        <f t="shared" si="2192"/>
        <v>10295.303610319392</v>
      </c>
      <c r="KN1059" s="1691">
        <f t="shared" si="2192"/>
        <v>9509.3036886519385</v>
      </c>
      <c r="KO1059" s="1691">
        <f t="shared" si="2192"/>
        <v>19804.607298971332</v>
      </c>
    </row>
    <row r="1060" spans="1:314" s="1691" customFormat="1">
      <c r="A1060" s="1694"/>
      <c r="B1060" s="1694"/>
      <c r="C1060" s="1694"/>
      <c r="D1060" s="1694" t="s">
        <v>3387</v>
      </c>
      <c r="DB1060" s="1695"/>
      <c r="DN1060" s="1696"/>
      <c r="DZ1060" s="1696"/>
      <c r="EA1060" s="1689"/>
      <c r="EB1060" s="1689"/>
      <c r="EC1060" s="1689"/>
      <c r="ED1060" s="1689"/>
      <c r="EE1060" s="1689"/>
      <c r="EF1060" s="1689"/>
      <c r="EG1060" s="1689"/>
      <c r="EH1060" s="1689"/>
      <c r="EI1060" s="1689"/>
      <c r="EJ1060" s="1689"/>
      <c r="EK1060" s="1689"/>
      <c r="EL1060" s="1697"/>
      <c r="EM1060" s="1689"/>
      <c r="EN1060" s="1689"/>
      <c r="EO1060" s="1689"/>
      <c r="EP1060" s="1689"/>
      <c r="EQ1060" s="1689"/>
      <c r="ER1060" s="1689"/>
      <c r="ES1060" s="1689"/>
      <c r="ET1060" s="1689"/>
      <c r="EU1060" s="1689"/>
      <c r="EV1060" s="1689"/>
      <c r="EW1060" s="1689"/>
      <c r="EX1060" s="1697"/>
      <c r="EY1060" s="1689"/>
      <c r="EZ1060" s="1689"/>
      <c r="FA1060" s="1689"/>
      <c r="FB1060" s="1689"/>
      <c r="FC1060" s="1689"/>
      <c r="FD1060" s="1689"/>
      <c r="FE1060" s="1689"/>
      <c r="FF1060" s="1689"/>
      <c r="FG1060" s="1689"/>
      <c r="FH1060" s="1689"/>
      <c r="FI1060" s="1689"/>
      <c r="FJ1060" s="1697"/>
      <c r="FK1060" s="1689"/>
      <c r="FL1060" s="1689"/>
      <c r="FM1060" s="1689"/>
      <c r="FN1060" s="1689"/>
      <c r="FO1060" s="1689"/>
      <c r="FP1060" s="1689"/>
      <c r="FQ1060" s="1689"/>
      <c r="FR1060" s="1689"/>
      <c r="FS1060" s="1689"/>
      <c r="FT1060" s="1689"/>
      <c r="FU1060" s="1689"/>
      <c r="FV1060" s="1689"/>
      <c r="FW1060" s="1689"/>
      <c r="FX1060" s="1689"/>
      <c r="FY1060" s="1689"/>
      <c r="FZ1060" s="1689"/>
      <c r="GA1060" s="1689"/>
      <c r="GB1060" s="1689"/>
      <c r="GC1060" s="1689"/>
      <c r="GD1060" s="1689"/>
      <c r="GE1060" s="1689"/>
      <c r="GF1060" s="1689"/>
      <c r="GG1060" s="1689"/>
      <c r="GH1060" s="1689"/>
      <c r="GI1060" s="1689"/>
      <c r="GJ1060" s="1689"/>
      <c r="GK1060" s="1689"/>
      <c r="GL1060" s="1689"/>
      <c r="GM1060" s="1689"/>
      <c r="GN1060" s="1689"/>
      <c r="GO1060" s="1689"/>
      <c r="GP1060" s="1689"/>
      <c r="GQ1060" s="1689"/>
      <c r="GR1060" s="1689"/>
      <c r="GS1060" s="1689"/>
      <c r="GT1060" s="1689"/>
      <c r="GU1060" s="1689"/>
      <c r="GV1060" s="1689"/>
      <c r="GW1060" s="1689"/>
      <c r="GX1060" s="1689"/>
      <c r="GY1060" s="1689"/>
      <c r="GZ1060" s="1689"/>
      <c r="HA1060" s="1689"/>
      <c r="HB1060" s="1689"/>
      <c r="HC1060" s="1689"/>
      <c r="HD1060" s="1689"/>
      <c r="HE1060" s="1689"/>
      <c r="HF1060" s="1689"/>
      <c r="HG1060" s="1689"/>
      <c r="HH1060" s="1689"/>
      <c r="HI1060" s="1689"/>
      <c r="HJ1060" s="1689"/>
      <c r="HK1060" s="1689"/>
      <c r="HL1060" s="1689"/>
      <c r="HM1060" s="1689"/>
      <c r="HN1060" s="1689"/>
      <c r="HO1060" s="1689"/>
      <c r="HP1060" s="1689"/>
      <c r="HQ1060" s="1689"/>
      <c r="HR1060" s="1689"/>
      <c r="HS1060" s="1689"/>
      <c r="HT1060" s="1689"/>
      <c r="HU1060" s="1689"/>
      <c r="HV1060" s="1689"/>
      <c r="HW1060" s="1689"/>
      <c r="HX1060" s="1689"/>
      <c r="HY1060" s="1689"/>
      <c r="IB1060" s="1691">
        <f>IB933</f>
        <v>-297.38166732644675</v>
      </c>
      <c r="IC1060" s="1691">
        <f>IC933</f>
        <v>-410.60593076882253</v>
      </c>
      <c r="ID1060" s="1691">
        <f t="shared" si="2174"/>
        <v>-707.98759809526928</v>
      </c>
      <c r="IE1060" s="1691">
        <f>IE933</f>
        <v>-335.84864990981384</v>
      </c>
      <c r="IF1060" s="1691">
        <f>IF933</f>
        <v>-348.3713209247137</v>
      </c>
      <c r="IG1060" s="1691">
        <f t="shared" si="2175"/>
        <v>-684.21997083452754</v>
      </c>
      <c r="IH1060" s="1691">
        <f>IH933</f>
        <v>-340.69111176638188</v>
      </c>
      <c r="II1060" s="1691">
        <f>II933</f>
        <v>-306.08783305639497</v>
      </c>
      <c r="IJ1060" s="1691">
        <f t="shared" si="2176"/>
        <v>-646.77894482277679</v>
      </c>
      <c r="IK1060" s="1691">
        <f>IK933</f>
        <v>-381.08625178289805</v>
      </c>
      <c r="IL1060" s="1691">
        <f>IL933</f>
        <v>-310.10654049855731</v>
      </c>
      <c r="IM1060" s="1691">
        <f>IK1060+IL1060</f>
        <v>-691.19279228145535</v>
      </c>
      <c r="IN1060" s="1691">
        <f>IN933</f>
        <v>-380.20538105364238</v>
      </c>
      <c r="IO1060" s="1691">
        <f>IO933</f>
        <v>-371.85373010269387</v>
      </c>
      <c r="IP1060" s="1691">
        <f t="shared" si="2178"/>
        <v>-752.05911115633626</v>
      </c>
      <c r="IQ1060" s="1691">
        <f>IQ933</f>
        <v>-340.72941379930268</v>
      </c>
      <c r="IR1060" s="1691">
        <f>IR933</f>
        <v>-600.50358885955995</v>
      </c>
      <c r="IS1060" s="1691">
        <f t="shared" si="2179"/>
        <v>-941.23300265886269</v>
      </c>
      <c r="IT1060" s="1691">
        <f>IT933</f>
        <v>-600.09814679179294</v>
      </c>
      <c r="IU1060" s="1691">
        <f>IU933</f>
        <v>-682.37563263920777</v>
      </c>
      <c r="IV1060" s="1691">
        <f t="shared" si="2180"/>
        <v>-1282.4737794310008</v>
      </c>
      <c r="IW1060" s="1691">
        <f>IW933</f>
        <v>-779.77606535357643</v>
      </c>
      <c r="IX1060" s="1691">
        <f>IX933</f>
        <v>-666.99812064903222</v>
      </c>
      <c r="IY1060" s="1691">
        <f t="shared" si="2181"/>
        <v>-1446.7741860026085</v>
      </c>
      <c r="IZ1060" s="1691">
        <f>IZ933</f>
        <v>-899.34676509060193</v>
      </c>
      <c r="JA1060" s="1691">
        <f>JA933</f>
        <v>-1039.1081543851935</v>
      </c>
      <c r="JB1060" s="1691">
        <f t="shared" si="2182"/>
        <v>-1938.4549194757956</v>
      </c>
      <c r="JC1060" s="1691">
        <f>JC933</f>
        <v>-858.35313591342208</v>
      </c>
      <c r="JD1060" s="1691">
        <f>JD933</f>
        <v>-969.94094021502303</v>
      </c>
      <c r="JE1060" s="1691">
        <f t="shared" si="2183"/>
        <v>-1828.2940761284451</v>
      </c>
      <c r="JF1060" s="1691">
        <f>JF933</f>
        <v>-763.41091446163728</v>
      </c>
      <c r="JG1060" s="1691">
        <f>JG933</f>
        <v>-1222.5914595158272</v>
      </c>
      <c r="JH1060" s="1691">
        <f t="shared" si="2184"/>
        <v>-1986.0023739774645</v>
      </c>
      <c r="JI1060" s="1691">
        <f>JI933</f>
        <v>-971.02243570924077</v>
      </c>
      <c r="JJ1060" s="1691">
        <f>JJ933</f>
        <v>-821.89473267280573</v>
      </c>
      <c r="JK1060" s="1691">
        <f t="shared" si="2185"/>
        <v>-1792.9171683820464</v>
      </c>
      <c r="JL1060" s="1691">
        <f>JL933</f>
        <v>0</v>
      </c>
      <c r="JM1060" s="1691">
        <f>JM933</f>
        <v>-1091.3013565408128</v>
      </c>
      <c r="JN1060" s="1691">
        <f t="shared" si="2186"/>
        <v>-1091.3013565408128</v>
      </c>
      <c r="JO1060" s="1691">
        <f>JO933</f>
        <v>-1373.7101001188855</v>
      </c>
      <c r="JP1060" s="1691">
        <f>JP933</f>
        <v>-642.5216472359665</v>
      </c>
      <c r="JQ1060" s="1691">
        <f t="shared" si="2187"/>
        <v>-2016.2317473548519</v>
      </c>
      <c r="JR1060" s="1691">
        <f>JR933</f>
        <v>-1464.7828140660104</v>
      </c>
      <c r="JS1060" s="1691">
        <f>JS933</f>
        <v>-584.8063172716611</v>
      </c>
      <c r="JT1060" s="1691">
        <f t="shared" ref="JT1060:JZ1060" si="2193">JT933</f>
        <v>-2049.589131337671</v>
      </c>
      <c r="JU1060" s="1691">
        <f>JU933</f>
        <v>-1193.447856318503</v>
      </c>
      <c r="JV1060" s="1691">
        <f>JV933</f>
        <v>-522.90067934429487</v>
      </c>
      <c r="JW1060" s="1691">
        <f t="shared" si="2193"/>
        <v>-1716.348535662798</v>
      </c>
      <c r="JX1060" s="1691">
        <f>JX933</f>
        <v>-1319.961537888599</v>
      </c>
      <c r="JY1060" s="1691">
        <f>JY933</f>
        <v>-559.70928493230008</v>
      </c>
      <c r="JZ1060" s="1691">
        <f t="shared" si="2193"/>
        <v>-1879.6708228208988</v>
      </c>
      <c r="KA1060" s="1691">
        <f>KA933</f>
        <v>-1464.0453709066855</v>
      </c>
      <c r="KB1060" s="1691">
        <f>KB933</f>
        <v>-647.12186676690328</v>
      </c>
      <c r="KC1060" s="1691">
        <f t="shared" ref="KC1060:KI1060" si="2194">KC933</f>
        <v>-2111.1672376735878</v>
      </c>
      <c r="KD1060" s="1691">
        <f>KD933</f>
        <v>-1336.7119886642781</v>
      </c>
      <c r="KE1060" s="1691">
        <f>KE933</f>
        <v>-1211.1383364765993</v>
      </c>
      <c r="KF1060" s="1691">
        <f t="shared" si="2194"/>
        <v>-2547.8503251408774</v>
      </c>
      <c r="KG1060" s="1691">
        <f>KG933</f>
        <v>-1674.965591902687</v>
      </c>
      <c r="KH1060" s="1691">
        <f>KH933</f>
        <v>-839.51351997594099</v>
      </c>
      <c r="KI1060" s="1691">
        <f t="shared" si="2194"/>
        <v>-2514.479111878627</v>
      </c>
      <c r="KJ1060" s="1691">
        <f>KJ933</f>
        <v>-2112.8918420304162</v>
      </c>
      <c r="KK1060" s="1691">
        <f>KK933</f>
        <v>-1037.7525212699629</v>
      </c>
      <c r="KL1060" s="1691">
        <f t="shared" ref="KL1060:KO1060" si="2195">KL933</f>
        <v>-3150.6443633003792</v>
      </c>
      <c r="KM1060" s="1691">
        <f>KM933</f>
        <v>-2491.3961265041003</v>
      </c>
      <c r="KN1060" s="1691">
        <f>KN933</f>
        <v>-1207.3194267982321</v>
      </c>
      <c r="KO1060" s="1691">
        <f t="shared" si="2195"/>
        <v>-3698.7155533023324</v>
      </c>
    </row>
    <row r="1061" spans="1:314" s="1691" customFormat="1">
      <c r="A1061" s="1694"/>
      <c r="B1061" s="1694"/>
      <c r="C1061" s="1694"/>
      <c r="D1061" s="1698" t="s">
        <v>3388</v>
      </c>
      <c r="DB1061" s="1695"/>
      <c r="DN1061" s="1696"/>
      <c r="DZ1061" s="1696"/>
      <c r="EA1061" s="1689"/>
      <c r="EB1061" s="1689"/>
      <c r="EC1061" s="1689"/>
      <c r="ED1061" s="1689"/>
      <c r="EE1061" s="1689"/>
      <c r="EF1061" s="1689"/>
      <c r="EG1061" s="1689"/>
      <c r="EH1061" s="1689"/>
      <c r="EI1061" s="1689"/>
      <c r="EJ1061" s="1689"/>
      <c r="EK1061" s="1689"/>
      <c r="EL1061" s="1697"/>
      <c r="EM1061" s="1689"/>
      <c r="EN1061" s="1689"/>
      <c r="EO1061" s="1689"/>
      <c r="EP1061" s="1689"/>
      <c r="EQ1061" s="1689"/>
      <c r="ER1061" s="1689"/>
      <c r="ES1061" s="1689"/>
      <c r="ET1061" s="1689"/>
      <c r="EU1061" s="1689"/>
      <c r="EV1061" s="1689"/>
      <c r="EW1061" s="1689"/>
      <c r="EX1061" s="1697"/>
      <c r="EY1061" s="1689"/>
      <c r="EZ1061" s="1689"/>
      <c r="FA1061" s="1689"/>
      <c r="FB1061" s="1689"/>
      <c r="FC1061" s="1689"/>
      <c r="FD1061" s="1689"/>
      <c r="FE1061" s="1689"/>
      <c r="FF1061" s="1689"/>
      <c r="FG1061" s="1689"/>
      <c r="FH1061" s="1689"/>
      <c r="FI1061" s="1689"/>
      <c r="FJ1061" s="1697"/>
      <c r="FK1061" s="1689"/>
      <c r="FL1061" s="1689"/>
      <c r="FM1061" s="1689"/>
      <c r="FN1061" s="1689"/>
      <c r="FO1061" s="1689"/>
      <c r="FP1061" s="1689"/>
      <c r="FQ1061" s="1689"/>
      <c r="FR1061" s="1689"/>
      <c r="FS1061" s="1689"/>
      <c r="FT1061" s="1689"/>
      <c r="FU1061" s="1689"/>
      <c r="FV1061" s="1689"/>
      <c r="FW1061" s="1689"/>
      <c r="FX1061" s="1689"/>
      <c r="FY1061" s="1689"/>
      <c r="FZ1061" s="1689"/>
      <c r="GA1061" s="1689"/>
      <c r="GB1061" s="1689"/>
      <c r="GC1061" s="1689"/>
      <c r="GD1061" s="1689"/>
      <c r="GE1061" s="1689"/>
      <c r="GF1061" s="1689"/>
      <c r="GG1061" s="1689"/>
      <c r="GH1061" s="1689"/>
      <c r="GI1061" s="1689"/>
      <c r="GJ1061" s="1689"/>
      <c r="GK1061" s="1689"/>
      <c r="GL1061" s="1689"/>
      <c r="GM1061" s="1689"/>
      <c r="GN1061" s="1689"/>
      <c r="GO1061" s="1689"/>
      <c r="GP1061" s="1689"/>
      <c r="GQ1061" s="1689"/>
      <c r="GR1061" s="1689"/>
      <c r="GS1061" s="1689"/>
      <c r="GT1061" s="1689"/>
      <c r="GU1061" s="1689"/>
      <c r="GV1061" s="1689"/>
      <c r="GW1061" s="1689"/>
      <c r="GX1061" s="1689"/>
      <c r="GY1061" s="1689"/>
      <c r="GZ1061" s="1689"/>
      <c r="HA1061" s="1689"/>
      <c r="HB1061" s="1689"/>
      <c r="HC1061" s="1689"/>
      <c r="HD1061" s="1689"/>
      <c r="HE1061" s="1689"/>
      <c r="HF1061" s="1689"/>
      <c r="HG1061" s="1689"/>
      <c r="HH1061" s="1689"/>
      <c r="HI1061" s="1689"/>
      <c r="HJ1061" s="1689"/>
      <c r="HK1061" s="1689"/>
      <c r="HL1061" s="1689"/>
      <c r="HM1061" s="1689"/>
      <c r="HN1061" s="1689"/>
      <c r="HO1061" s="1689"/>
      <c r="HP1061" s="1689"/>
      <c r="HQ1061" s="1689"/>
      <c r="HR1061" s="1689"/>
      <c r="HS1061" s="1689"/>
      <c r="HT1061" s="1689"/>
      <c r="HU1061" s="1689"/>
      <c r="HV1061" s="1689"/>
      <c r="HW1061" s="1689"/>
      <c r="HX1061" s="1689"/>
      <c r="HY1061" s="1689"/>
      <c r="IB1061" s="1699" t="str">
        <f t="shared" ref="IB1061:JQ1061" si="2196">IF(ABS(IB1056-IB1059-IB1060)&gt;0.01,"Alert","")</f>
        <v/>
      </c>
      <c r="IC1061" s="1699" t="str">
        <f t="shared" si="2196"/>
        <v/>
      </c>
      <c r="ID1061" s="1699" t="str">
        <f t="shared" si="2196"/>
        <v/>
      </c>
      <c r="IE1061" s="1699" t="str">
        <f t="shared" si="2196"/>
        <v/>
      </c>
      <c r="IF1061" s="1699" t="str">
        <f t="shared" si="2196"/>
        <v/>
      </c>
      <c r="IG1061" s="1699" t="str">
        <f t="shared" si="2196"/>
        <v/>
      </c>
      <c r="IH1061" s="1699" t="str">
        <f t="shared" si="2196"/>
        <v/>
      </c>
      <c r="II1061" s="1699" t="str">
        <f t="shared" si="2196"/>
        <v/>
      </c>
      <c r="IJ1061" s="1699" t="str">
        <f t="shared" si="2196"/>
        <v/>
      </c>
      <c r="IK1061" s="1699" t="str">
        <f t="shared" si="2196"/>
        <v/>
      </c>
      <c r="IL1061" s="1699" t="str">
        <f t="shared" si="2196"/>
        <v/>
      </c>
      <c r="IM1061" s="1699" t="str">
        <f t="shared" si="2196"/>
        <v/>
      </c>
      <c r="IN1061" s="1699" t="str">
        <f t="shared" si="2196"/>
        <v/>
      </c>
      <c r="IO1061" s="1699" t="str">
        <f t="shared" si="2196"/>
        <v/>
      </c>
      <c r="IP1061" s="1699" t="str">
        <f t="shared" si="2196"/>
        <v/>
      </c>
      <c r="IQ1061" s="1699" t="str">
        <f t="shared" si="2196"/>
        <v/>
      </c>
      <c r="IR1061" s="1699" t="str">
        <f t="shared" si="2196"/>
        <v/>
      </c>
      <c r="IS1061" s="1699" t="str">
        <f t="shared" si="2196"/>
        <v/>
      </c>
      <c r="IT1061" s="1699" t="str">
        <f t="shared" si="2196"/>
        <v/>
      </c>
      <c r="IU1061" s="1699" t="str">
        <f t="shared" si="2196"/>
        <v/>
      </c>
      <c r="IV1061" s="1699" t="str">
        <f t="shared" si="2196"/>
        <v/>
      </c>
      <c r="IW1061" s="1699" t="str">
        <f t="shared" si="2196"/>
        <v/>
      </c>
      <c r="IX1061" s="1699" t="str">
        <f t="shared" si="2196"/>
        <v/>
      </c>
      <c r="IY1061" s="1699" t="str">
        <f t="shared" si="2196"/>
        <v/>
      </c>
      <c r="IZ1061" s="1699" t="str">
        <f t="shared" si="2196"/>
        <v/>
      </c>
      <c r="JA1061" s="1699" t="str">
        <f t="shared" si="2196"/>
        <v/>
      </c>
      <c r="JB1061" s="1699" t="str">
        <f t="shared" si="2196"/>
        <v/>
      </c>
      <c r="JC1061" s="1699" t="str">
        <f t="shared" si="2196"/>
        <v/>
      </c>
      <c r="JD1061" s="1699" t="str">
        <f t="shared" si="2196"/>
        <v/>
      </c>
      <c r="JE1061" s="1699" t="str">
        <f t="shared" si="2196"/>
        <v/>
      </c>
      <c r="JF1061" s="1699" t="str">
        <f t="shared" si="2196"/>
        <v/>
      </c>
      <c r="JG1061" s="1699" t="str">
        <f t="shared" si="2196"/>
        <v/>
      </c>
      <c r="JH1061" s="1699" t="str">
        <f>IF(ABS(JH1056-JH1059-JH1060)&gt;0.01,"Alert","")</f>
        <v/>
      </c>
      <c r="JI1061" s="1699" t="str">
        <f t="shared" si="2196"/>
        <v/>
      </c>
      <c r="JJ1061" s="1699" t="str">
        <f t="shared" si="2196"/>
        <v/>
      </c>
      <c r="JK1061" s="1699" t="str">
        <f t="shared" si="2196"/>
        <v/>
      </c>
      <c r="JL1061" s="1699" t="str">
        <f t="shared" si="2196"/>
        <v>Alert</v>
      </c>
      <c r="JM1061" s="1699" t="str">
        <f t="shared" si="2196"/>
        <v/>
      </c>
      <c r="JN1061" s="1699" t="str">
        <f t="shared" si="2196"/>
        <v>Alert</v>
      </c>
      <c r="JO1061" s="1699" t="str">
        <f t="shared" si="2196"/>
        <v/>
      </c>
      <c r="JP1061" s="1699" t="str">
        <f t="shared" si="2196"/>
        <v/>
      </c>
      <c r="JQ1061" s="1699" t="str">
        <f t="shared" si="2196"/>
        <v/>
      </c>
      <c r="JR1061" s="1699" t="str">
        <f>IF(ABS(JR1056-JR1059-JR1060)&gt;0.01,"Alert","")</f>
        <v/>
      </c>
      <c r="JS1061" s="1699" t="str">
        <f t="shared" ref="JS1061" si="2197">IF(ABS(JS1056-JS1059-JS1060)&gt;0.01,"Alert","")</f>
        <v/>
      </c>
      <c r="JT1061" s="1699" t="str">
        <f t="shared" ref="JT1061" si="2198">IF(ABS(JT1056-JT1059-JT1060)&gt;0.01,"Alert","")</f>
        <v/>
      </c>
      <c r="JU1061" s="1699" t="str">
        <f t="shared" ref="JU1061" si="2199">IF(ABS(JU1056-JU1059-JU1060)&gt;0.01,"Alert","")</f>
        <v/>
      </c>
      <c r="JV1061" s="1699" t="str">
        <f t="shared" ref="JV1061" si="2200">IF(ABS(JV1056-JV1059-JV1060)&gt;0.01,"Alert","")</f>
        <v/>
      </c>
      <c r="JW1061" s="1699" t="str">
        <f t="shared" ref="JW1061" si="2201">IF(ABS(JW1056-JW1059-JW1060)&gt;0.01,"Alert","")</f>
        <v/>
      </c>
      <c r="JX1061" s="1699" t="str">
        <f t="shared" ref="JX1061" si="2202">IF(ABS(JX1056-JX1059-JX1060)&gt;0.01,"Alert","")</f>
        <v/>
      </c>
      <c r="JY1061" s="1699" t="str">
        <f t="shared" ref="JY1061" si="2203">IF(ABS(JY1056-JY1059-JY1060)&gt;0.01,"Alert","")</f>
        <v/>
      </c>
      <c r="JZ1061" s="1699" t="str">
        <f t="shared" ref="JZ1061:KB1061" si="2204">IF(ABS(JZ1056-JZ1059-JZ1060)&gt;0.01,"Alert","")</f>
        <v/>
      </c>
      <c r="KA1061" s="1699" t="str">
        <f t="shared" si="2204"/>
        <v/>
      </c>
      <c r="KB1061" s="1699" t="str">
        <f t="shared" si="2204"/>
        <v/>
      </c>
      <c r="KC1061" s="1699" t="str">
        <f t="shared" ref="KC1061:KI1061" si="2205">IF(ABS(KC1056-KC1059-KC1060)&gt;0.01,"Alert","")</f>
        <v/>
      </c>
      <c r="KD1061" s="1699" t="str">
        <f t="shared" si="2205"/>
        <v/>
      </c>
      <c r="KE1061" s="1699" t="str">
        <f t="shared" si="2205"/>
        <v/>
      </c>
      <c r="KF1061" s="1699" t="str">
        <f t="shared" si="2205"/>
        <v/>
      </c>
      <c r="KG1061" s="1699" t="str">
        <f t="shared" si="2205"/>
        <v/>
      </c>
      <c r="KH1061" s="1699" t="str">
        <f t="shared" si="2205"/>
        <v/>
      </c>
      <c r="KI1061" s="1699" t="str">
        <f t="shared" si="2205"/>
        <v/>
      </c>
      <c r="KJ1061" s="1699" t="str">
        <f t="shared" ref="KJ1061:KO1061" si="2206">IF(ABS(KJ1056-KJ1059-KJ1060)&gt;0.01,"Alert","")</f>
        <v/>
      </c>
      <c r="KK1061" s="1699" t="str">
        <f t="shared" si="2206"/>
        <v/>
      </c>
      <c r="KL1061" s="1699" t="str">
        <f t="shared" si="2206"/>
        <v/>
      </c>
      <c r="KM1061" s="1699" t="str">
        <f t="shared" si="2206"/>
        <v/>
      </c>
      <c r="KN1061" s="1699" t="str">
        <f t="shared" si="2206"/>
        <v/>
      </c>
      <c r="KO1061" s="1699" t="str">
        <f t="shared" si="2206"/>
        <v/>
      </c>
    </row>
    <row r="1062" spans="1:314" s="1691" customFormat="1">
      <c r="A1062" s="1694"/>
      <c r="B1062" s="1694"/>
      <c r="C1062" s="1694"/>
      <c r="D1062" s="1698"/>
      <c r="DB1062" s="1695"/>
      <c r="DN1062" s="1696"/>
      <c r="DZ1062" s="1696"/>
      <c r="EA1062" s="1689"/>
      <c r="EB1062" s="1689"/>
      <c r="EC1062" s="1689"/>
      <c r="ED1062" s="1689"/>
      <c r="EE1062" s="1689"/>
      <c r="EF1062" s="1689"/>
      <c r="EG1062" s="1689"/>
      <c r="EH1062" s="1689"/>
      <c r="EI1062" s="1689"/>
      <c r="EJ1062" s="1689"/>
      <c r="EK1062" s="1689"/>
      <c r="EL1062" s="1697"/>
      <c r="EM1062" s="1689"/>
      <c r="EN1062" s="1689"/>
      <c r="EO1062" s="1689"/>
      <c r="EP1062" s="1689"/>
      <c r="EQ1062" s="1689"/>
      <c r="ER1062" s="1689"/>
      <c r="ES1062" s="1689"/>
      <c r="ET1062" s="1689"/>
      <c r="EU1062" s="1689"/>
      <c r="EV1062" s="1689"/>
      <c r="EW1062" s="1689"/>
      <c r="EX1062" s="1697"/>
      <c r="EY1062" s="1689"/>
      <c r="EZ1062" s="1689"/>
      <c r="FA1062" s="1689"/>
      <c r="FB1062" s="1689"/>
      <c r="FC1062" s="1689"/>
      <c r="FD1062" s="1689"/>
      <c r="FE1062" s="1689"/>
      <c r="FF1062" s="1689"/>
      <c r="FG1062" s="1689"/>
      <c r="FH1062" s="1689"/>
      <c r="FI1062" s="1689"/>
      <c r="FJ1062" s="1697"/>
      <c r="FK1062" s="1689"/>
      <c r="FL1062" s="1689"/>
      <c r="FM1062" s="1689"/>
      <c r="FN1062" s="1689"/>
      <c r="FO1062" s="1689"/>
      <c r="FP1062" s="1689"/>
      <c r="FQ1062" s="1689"/>
      <c r="FR1062" s="1689"/>
      <c r="FS1062" s="1689"/>
      <c r="FT1062" s="1689"/>
      <c r="FU1062" s="1689"/>
      <c r="FV1062" s="1689"/>
      <c r="FW1062" s="1689"/>
      <c r="FX1062" s="1689"/>
      <c r="FY1062" s="1689"/>
      <c r="FZ1062" s="1689"/>
      <c r="GA1062" s="1689"/>
      <c r="GB1062" s="1689"/>
      <c r="GC1062" s="1689"/>
      <c r="GD1062" s="1689"/>
      <c r="GE1062" s="1689"/>
      <c r="GF1062" s="1689"/>
      <c r="GG1062" s="1689"/>
      <c r="GH1062" s="1689"/>
      <c r="GI1062" s="1689"/>
      <c r="GJ1062" s="1689"/>
      <c r="GK1062" s="1689"/>
      <c r="GL1062" s="1689"/>
      <c r="GM1062" s="1689"/>
      <c r="GN1062" s="1689"/>
      <c r="GO1062" s="1689"/>
      <c r="GP1062" s="1689"/>
      <c r="GQ1062" s="1689"/>
      <c r="GR1062" s="1689"/>
      <c r="GS1062" s="1689"/>
      <c r="GT1062" s="1689"/>
      <c r="GU1062" s="1689"/>
      <c r="GV1062" s="1689"/>
      <c r="GW1062" s="1689"/>
      <c r="GX1062" s="1689"/>
      <c r="GY1062" s="1689"/>
      <c r="GZ1062" s="1689"/>
      <c r="HA1062" s="1689"/>
      <c r="HB1062" s="1689"/>
      <c r="HC1062" s="1689"/>
      <c r="HD1062" s="1689"/>
      <c r="HE1062" s="1689"/>
      <c r="HF1062" s="1689"/>
      <c r="HG1062" s="1689"/>
      <c r="HH1062" s="1689"/>
      <c r="HI1062" s="1689"/>
      <c r="HJ1062" s="1689"/>
      <c r="HK1062" s="1689"/>
      <c r="HL1062" s="1689"/>
      <c r="HM1062" s="1689"/>
      <c r="HN1062" s="1689"/>
      <c r="HO1062" s="1689"/>
      <c r="HP1062" s="1689"/>
      <c r="HQ1062" s="1689"/>
      <c r="HR1062" s="1689"/>
      <c r="HS1062" s="1689"/>
      <c r="HT1062" s="1689"/>
      <c r="HU1062" s="1689"/>
      <c r="HV1062" s="1689"/>
      <c r="HW1062" s="1689"/>
      <c r="HX1062" s="1689"/>
      <c r="HY1062" s="1689"/>
      <c r="IB1062" s="1699"/>
      <c r="IC1062" s="1699"/>
      <c r="ID1062" s="1699"/>
      <c r="IE1062" s="1699"/>
      <c r="IF1062" s="1699"/>
      <c r="IG1062" s="1699"/>
      <c r="IH1062" s="1699"/>
      <c r="II1062" s="1699"/>
      <c r="IJ1062" s="1699"/>
      <c r="IK1062" s="1699"/>
      <c r="IL1062" s="1699">
        <f>IL1063+IN1063</f>
        <v>1465.8582474876589</v>
      </c>
      <c r="IM1062" s="1748">
        <f>IO1062/IL1062-1</f>
        <v>9.4111371714942216E-2</v>
      </c>
      <c r="IN1062" s="1699"/>
      <c r="IO1062" s="1699">
        <f>IO1063+IQ1063</f>
        <v>1603.8121778983837</v>
      </c>
      <c r="IP1062" s="1748">
        <f>IR1062/IO1062-1</f>
        <v>0.30140546844784422</v>
      </c>
      <c r="IQ1062" s="1699"/>
      <c r="IR1062" s="1699">
        <f>IR1063+IT1063</f>
        <v>2087.2099386802033</v>
      </c>
      <c r="IS1062" s="1748">
        <f>IT1062/IR1062-1</f>
        <v>0.1107739663829217</v>
      </c>
      <c r="IT1062" s="1699">
        <f>IU1063+IW1063</f>
        <v>2318.4184622616644</v>
      </c>
      <c r="IU1062" s="1699"/>
      <c r="IV1062" s="1699"/>
      <c r="IW1062" s="1699"/>
      <c r="IX1062" s="1699"/>
      <c r="IY1062" s="1699"/>
      <c r="IZ1062" s="1699"/>
      <c r="JA1062" s="1699"/>
      <c r="JB1062" s="1699"/>
      <c r="JC1062" s="1699"/>
      <c r="JD1062" s="1699"/>
      <c r="JE1062" s="1699"/>
      <c r="JF1062" s="1699"/>
      <c r="JG1062" s="1699"/>
      <c r="JH1062" s="1699"/>
      <c r="JI1062" s="1699"/>
      <c r="JJ1062" s="1699"/>
      <c r="JK1062" s="1699"/>
      <c r="JL1062" s="1699"/>
      <c r="JM1062" s="1699"/>
      <c r="JN1062" s="1699"/>
      <c r="JO1062" s="1699"/>
      <c r="JP1062" s="1699"/>
      <c r="JQ1062" s="1699"/>
      <c r="JR1062" s="1699"/>
      <c r="JS1062" s="1699"/>
      <c r="JT1062" s="1699"/>
      <c r="JU1062" s="1699"/>
      <c r="JV1062" s="1699"/>
      <c r="JW1062" s="1699"/>
      <c r="JX1062" s="1699"/>
      <c r="JY1062" s="1699"/>
      <c r="JZ1062" s="1699"/>
      <c r="KA1062" s="1699"/>
      <c r="KB1062" s="1699"/>
      <c r="KC1062" s="1699"/>
      <c r="KD1062" s="1699"/>
      <c r="KE1062" s="1699"/>
      <c r="KF1062" s="1699"/>
      <c r="KG1062" s="1699"/>
      <c r="KH1062" s="1699"/>
      <c r="KI1062" s="1699"/>
      <c r="KJ1062" s="1699"/>
      <c r="KK1062" s="1699"/>
      <c r="KL1062" s="1699"/>
      <c r="KM1062" s="1699"/>
      <c r="KN1062" s="1699"/>
      <c r="KO1062" s="1699"/>
    </row>
    <row r="1063" spans="1:314" s="1691" customFormat="1">
      <c r="A1063" s="1694"/>
      <c r="B1063" s="1694"/>
      <c r="C1063" s="1694"/>
      <c r="D1063" s="1694"/>
      <c r="DB1063" s="1695"/>
      <c r="DN1063" s="1696"/>
      <c r="DZ1063" s="1696"/>
      <c r="EA1063" s="1689"/>
      <c r="EB1063" s="1689"/>
      <c r="EC1063" s="1689"/>
      <c r="ED1063" s="1689"/>
      <c r="EE1063" s="1689"/>
      <c r="EF1063" s="1689"/>
      <c r="EG1063" s="1689"/>
      <c r="EH1063" s="1689"/>
      <c r="EI1063" s="1689"/>
      <c r="EJ1063" s="1689"/>
      <c r="EK1063" s="1689"/>
      <c r="EL1063" s="1697"/>
      <c r="EM1063" s="1689"/>
      <c r="EN1063" s="1689"/>
      <c r="EO1063" s="1689"/>
      <c r="EP1063" s="1689"/>
      <c r="EQ1063" s="1689"/>
      <c r="ER1063" s="1689"/>
      <c r="ES1063" s="1689"/>
      <c r="ET1063" s="1689"/>
      <c r="EU1063" s="1689"/>
      <c r="EV1063" s="1689"/>
      <c r="EW1063" s="1689"/>
      <c r="EX1063" s="1697"/>
      <c r="EY1063" s="1689"/>
      <c r="EZ1063" s="1689"/>
      <c r="FA1063" s="1689"/>
      <c r="FB1063" s="1689"/>
      <c r="FC1063" s="1689"/>
      <c r="FD1063" s="1689"/>
      <c r="FE1063" s="1689"/>
      <c r="FF1063" s="1689"/>
      <c r="FG1063" s="1689"/>
      <c r="FH1063" s="1689"/>
      <c r="FI1063" s="1689"/>
      <c r="FJ1063" s="1697"/>
      <c r="FK1063" s="1689"/>
      <c r="FL1063" s="1689"/>
      <c r="FM1063" s="1689"/>
      <c r="FN1063" s="1689"/>
      <c r="FO1063" s="1689"/>
      <c r="FP1063" s="1689"/>
      <c r="FQ1063" s="1689"/>
      <c r="FR1063" s="1689"/>
      <c r="FS1063" s="1689"/>
      <c r="FT1063" s="1689"/>
      <c r="FU1063" s="1689"/>
      <c r="FV1063" s="1689"/>
      <c r="FW1063" s="1689"/>
      <c r="FX1063" s="1689"/>
      <c r="FY1063" s="1689"/>
      <c r="FZ1063" s="1689"/>
      <c r="GA1063" s="1689"/>
      <c r="GB1063" s="1689"/>
      <c r="GC1063" s="1689"/>
      <c r="GD1063" s="1689"/>
      <c r="GE1063" s="1689"/>
      <c r="GF1063" s="1689"/>
      <c r="GG1063" s="1689"/>
      <c r="GH1063" s="1689"/>
      <c r="GI1063" s="1689"/>
      <c r="GJ1063" s="1689"/>
      <c r="GK1063" s="1689"/>
      <c r="GL1063" s="1689"/>
      <c r="GM1063" s="1689"/>
      <c r="GN1063" s="1689"/>
      <c r="GO1063" s="1689"/>
      <c r="GP1063" s="1689"/>
      <c r="GQ1063" s="1689"/>
      <c r="GR1063" s="1689"/>
      <c r="GS1063" s="1689"/>
      <c r="GT1063" s="1689"/>
      <c r="GU1063" s="1689"/>
      <c r="GV1063" s="1689"/>
      <c r="GW1063" s="1689"/>
      <c r="GX1063" s="1689"/>
      <c r="GY1063" s="1689"/>
      <c r="GZ1063" s="1689"/>
      <c r="HA1063" s="1689"/>
      <c r="HB1063" s="1689"/>
      <c r="HC1063" s="1689"/>
      <c r="HD1063" s="1689"/>
      <c r="HE1063" s="1689"/>
      <c r="HF1063" s="1689"/>
      <c r="HG1063" s="1689"/>
      <c r="HH1063" s="1689"/>
      <c r="HI1063" s="1689"/>
      <c r="HJ1063" s="1689"/>
      <c r="HK1063" s="1689"/>
      <c r="HL1063" s="1689"/>
      <c r="HM1063" s="1689"/>
      <c r="HN1063" s="1689"/>
      <c r="HO1063" s="1689"/>
      <c r="HP1063" s="1689"/>
      <c r="HQ1063" s="1689"/>
      <c r="HR1063" s="1689"/>
      <c r="HS1063" s="1689"/>
      <c r="HT1063" s="1689"/>
      <c r="HU1063" s="1689"/>
      <c r="HV1063" s="1689"/>
      <c r="HW1063" s="1689"/>
      <c r="HX1063" s="1689"/>
      <c r="HY1063" s="1689"/>
      <c r="IG1063" s="882">
        <f t="shared" ref="IG1063:JC1063" si="2207">IG1055-IG903</f>
        <v>1229.0158938074383</v>
      </c>
      <c r="IH1063" s="882">
        <f t="shared" si="2207"/>
        <v>631.72635126004923</v>
      </c>
      <c r="II1063" s="882">
        <f t="shared" si="2207"/>
        <v>680.64867305965356</v>
      </c>
      <c r="IJ1063" s="882">
        <f t="shared" si="2207"/>
        <v>1312.3750243197026</v>
      </c>
      <c r="IK1063" s="882">
        <f t="shared" si="2207"/>
        <v>694.45265963977897</v>
      </c>
      <c r="IL1063" s="882">
        <f t="shared" si="2207"/>
        <v>729.25224803146875</v>
      </c>
      <c r="IM1063" s="882">
        <f t="shared" si="2207"/>
        <v>1423.7049076712478</v>
      </c>
      <c r="IN1063" s="882">
        <f t="shared" si="2207"/>
        <v>736.60599945619003</v>
      </c>
      <c r="IO1063" s="882">
        <f t="shared" si="2207"/>
        <v>805.28529763681001</v>
      </c>
      <c r="IP1063" s="882">
        <f t="shared" si="2207"/>
        <v>1541.891297093</v>
      </c>
      <c r="IQ1063" s="882">
        <f t="shared" si="2207"/>
        <v>798.52688026157352</v>
      </c>
      <c r="IR1063" s="882">
        <f t="shared" si="2207"/>
        <v>1070.164379754656</v>
      </c>
      <c r="IS1063" s="882">
        <f t="shared" si="2207"/>
        <v>1868.69126001623</v>
      </c>
      <c r="IT1063" s="882">
        <f t="shared" si="2207"/>
        <v>1017.0455589255474</v>
      </c>
      <c r="IU1063" s="882">
        <f t="shared" si="2207"/>
        <v>1088.7715987698191</v>
      </c>
      <c r="IV1063" s="882">
        <f t="shared" si="2207"/>
        <v>2105.8171576953664</v>
      </c>
      <c r="IW1063" s="882">
        <f t="shared" si="2207"/>
        <v>1229.6468634918454</v>
      </c>
      <c r="IX1063" s="882">
        <f t="shared" si="2207"/>
        <v>1167.2740454914635</v>
      </c>
      <c r="IY1063" s="882">
        <f t="shared" si="2207"/>
        <v>2396.9209089833089</v>
      </c>
      <c r="IZ1063" s="882">
        <f t="shared" si="2207"/>
        <v>1346.8885515355817</v>
      </c>
      <c r="JA1063" s="882">
        <f t="shared" si="2207"/>
        <v>1588.707716087981</v>
      </c>
      <c r="JB1063" s="882">
        <f t="shared" si="2207"/>
        <v>2935.5962676235631</v>
      </c>
      <c r="JC1063" s="882">
        <f t="shared" si="2207"/>
        <v>1456.7093055379871</v>
      </c>
    </row>
    <row r="1064" spans="1:314" s="1691" customFormat="1">
      <c r="A1064" s="1694"/>
      <c r="B1064" s="1694"/>
      <c r="C1064" s="1694"/>
      <c r="D1064" s="1694" t="s">
        <v>3389</v>
      </c>
      <c r="DB1064" s="1695"/>
      <c r="DN1064" s="1696"/>
      <c r="DZ1064" s="1696"/>
      <c r="EA1064" s="1689"/>
      <c r="EB1064" s="1689"/>
      <c r="EC1064" s="1689"/>
      <c r="ED1064" s="1689"/>
      <c r="EE1064" s="1689"/>
      <c r="EF1064" s="1689"/>
      <c r="EG1064" s="1689"/>
      <c r="EH1064" s="1689"/>
      <c r="EI1064" s="1689"/>
      <c r="EJ1064" s="1689"/>
      <c r="EK1064" s="1689"/>
      <c r="EL1064" s="1697"/>
      <c r="EM1064" s="1689"/>
      <c r="EN1064" s="1689"/>
      <c r="EO1064" s="1689"/>
      <c r="EP1064" s="1689"/>
      <c r="EQ1064" s="1689"/>
      <c r="ER1064" s="1689"/>
      <c r="ES1064" s="1689"/>
      <c r="ET1064" s="1689"/>
      <c r="EU1064" s="1689"/>
      <c r="EV1064" s="1689"/>
      <c r="EW1064" s="1689"/>
      <c r="EX1064" s="1697"/>
      <c r="EY1064" s="1689"/>
      <c r="EZ1064" s="1689"/>
      <c r="FA1064" s="1689"/>
      <c r="FB1064" s="1689"/>
      <c r="FC1064" s="1689"/>
      <c r="FD1064" s="1689"/>
      <c r="FE1064" s="1689"/>
      <c r="FF1064" s="1689"/>
      <c r="FG1064" s="1689"/>
      <c r="FH1064" s="1689"/>
      <c r="FI1064" s="1689"/>
      <c r="FJ1064" s="1697"/>
      <c r="FK1064" s="1689"/>
      <c r="FL1064" s="1689"/>
      <c r="FM1064" s="1689"/>
      <c r="FN1064" s="1689"/>
      <c r="FO1064" s="1689"/>
      <c r="FP1064" s="1689"/>
      <c r="FQ1064" s="1689"/>
      <c r="FR1064" s="1689"/>
      <c r="FS1064" s="1689"/>
      <c r="FT1064" s="1689"/>
      <c r="FU1064" s="1689"/>
      <c r="FV1064" s="1689"/>
      <c r="FW1064" s="1689"/>
      <c r="FX1064" s="1689"/>
      <c r="FY1064" s="1689"/>
      <c r="FZ1064" s="1689"/>
      <c r="GA1064" s="1689"/>
      <c r="GB1064" s="1689"/>
      <c r="GC1064" s="1689"/>
      <c r="GD1064" s="1689"/>
      <c r="GE1064" s="1689"/>
      <c r="GF1064" s="1689"/>
      <c r="GG1064" s="1689"/>
      <c r="GH1064" s="1689"/>
      <c r="GI1064" s="1689"/>
      <c r="GJ1064" s="1689"/>
      <c r="GK1064" s="1689"/>
      <c r="GL1064" s="1689"/>
      <c r="GM1064" s="1689"/>
      <c r="GN1064" s="1689"/>
      <c r="GO1064" s="1689"/>
      <c r="GP1064" s="1689"/>
      <c r="GQ1064" s="1689"/>
      <c r="GR1064" s="1689"/>
      <c r="GS1064" s="1689"/>
      <c r="GT1064" s="1689"/>
      <c r="GU1064" s="1689"/>
      <c r="GV1064" s="1689"/>
      <c r="GW1064" s="1689"/>
      <c r="GX1064" s="1689"/>
      <c r="GY1064" s="1689"/>
      <c r="GZ1064" s="1689"/>
      <c r="HA1064" s="1689"/>
      <c r="HB1064" s="1689"/>
      <c r="HC1064" s="1689"/>
      <c r="HD1064" s="1689"/>
      <c r="HE1064" s="1689"/>
      <c r="HF1064" s="1689"/>
      <c r="HG1064" s="1689"/>
      <c r="HH1064" s="1689"/>
      <c r="HI1064" s="1689"/>
      <c r="HJ1064" s="1689"/>
      <c r="HK1064" s="1689"/>
      <c r="HL1064" s="1689"/>
      <c r="HM1064" s="1689"/>
      <c r="HN1064" s="1689"/>
      <c r="HO1064" s="1689"/>
      <c r="HP1064" s="1689"/>
      <c r="HQ1064" s="1689"/>
      <c r="HR1064" s="1689"/>
      <c r="HS1064" s="1689"/>
      <c r="HT1064" s="1689"/>
      <c r="HU1064" s="1689"/>
      <c r="HV1064" s="1689"/>
      <c r="HW1064" s="1689"/>
      <c r="HX1064" s="1689"/>
      <c r="HY1064" s="1689"/>
      <c r="IB1064" s="1691">
        <v>2590</v>
      </c>
      <c r="IC1064" s="1691">
        <v>2749</v>
      </c>
      <c r="ID1064" s="1691">
        <f>IB1064+IC1064</f>
        <v>5339</v>
      </c>
      <c r="IE1064" s="1691">
        <v>2873</v>
      </c>
      <c r="IF1064" s="1691">
        <v>2965</v>
      </c>
      <c r="IG1064" s="1691">
        <f>IE1064+IF1064</f>
        <v>5838</v>
      </c>
      <c r="IH1064" s="1691">
        <v>3185</v>
      </c>
      <c r="II1064" s="1691">
        <v>3372</v>
      </c>
      <c r="IJ1064" s="1691">
        <f>IH1064+II1064</f>
        <v>6557</v>
      </c>
      <c r="IK1064" s="1691">
        <v>3474</v>
      </c>
      <c r="IL1064" s="1691">
        <v>3763</v>
      </c>
      <c r="IM1064" s="1691">
        <f>IK1064+IL1064</f>
        <v>7237</v>
      </c>
      <c r="IN1064" s="1691">
        <v>3932</v>
      </c>
      <c r="IO1064" s="1691">
        <v>4081</v>
      </c>
      <c r="IP1064" s="1691">
        <f>IN1064+IO1064</f>
        <v>8013</v>
      </c>
      <c r="IQ1064" s="1691">
        <v>4218</v>
      </c>
      <c r="IR1064" s="1691">
        <v>4499</v>
      </c>
      <c r="IS1064" s="1691">
        <f>IQ1064+IR1064</f>
        <v>8717</v>
      </c>
      <c r="IT1064" s="1691">
        <v>4808</v>
      </c>
      <c r="IU1064" s="1691">
        <v>4578</v>
      </c>
      <c r="IV1064" s="1691">
        <f>IT1064+IU1064</f>
        <v>9386</v>
      </c>
      <c r="IW1064" s="1691">
        <v>5019</v>
      </c>
      <c r="IX1064" s="1691">
        <v>5251</v>
      </c>
      <c r="IY1064" s="1691">
        <f>IW1064+IX1064</f>
        <v>10270</v>
      </c>
      <c r="IZ1064" s="1691">
        <v>5682</v>
      </c>
      <c r="JA1064" s="1691">
        <v>6306</v>
      </c>
      <c r="JB1064" s="1691">
        <f>IZ1064+JA1064</f>
        <v>11988</v>
      </c>
      <c r="JC1064" s="1691">
        <v>7414</v>
      </c>
      <c r="JD1064" s="1691">
        <v>7879</v>
      </c>
      <c r="JE1064" s="1691">
        <f>JC1064+JD1064</f>
        <v>15293</v>
      </c>
      <c r="JF1064" s="1691">
        <v>8890</v>
      </c>
      <c r="JG1064" s="1691">
        <v>9480</v>
      </c>
      <c r="JH1064" s="1691">
        <f>JF1064+JG1064</f>
        <v>18370</v>
      </c>
      <c r="JI1064" s="1691">
        <v>10438</v>
      </c>
      <c r="JJ1064" s="1691">
        <v>11074</v>
      </c>
      <c r="JK1064" s="1691">
        <f>JI1064+JJ1064</f>
        <v>21512</v>
      </c>
      <c r="JL1064" s="1691">
        <f>JN1064/2</f>
        <v>12643.346339549364</v>
      </c>
      <c r="JM1064" s="1691">
        <f>JN1064-JL1064</f>
        <v>12643.346339549364</v>
      </c>
      <c r="JN1064" s="1691">
        <f>FISC!AK421</f>
        <v>25286.692679098727</v>
      </c>
      <c r="JO1064" s="1691">
        <f>JQ1064/2</f>
        <v>14424.685369275627</v>
      </c>
      <c r="JP1064" s="1691">
        <f>JQ1064-JO1064</f>
        <v>14424.685369275627</v>
      </c>
      <c r="JQ1064" s="1691">
        <f>FISC!AL421</f>
        <v>28849.370738551253</v>
      </c>
      <c r="JR1064" s="1691">
        <f>JT1064/2</f>
        <v>16248.466635979614</v>
      </c>
      <c r="JS1064" s="1691">
        <f>JT1064-JR1064</f>
        <v>16248.466635979614</v>
      </c>
      <c r="JT1064" s="1691">
        <f>FISC!AM421</f>
        <v>32496.933271959228</v>
      </c>
      <c r="JU1064" s="1691">
        <f>JW1064/2</f>
        <v>18332.40804011084</v>
      </c>
      <c r="JV1064" s="1691">
        <f>JW1064-JU1064</f>
        <v>18332.40804011084</v>
      </c>
      <c r="JW1064" s="1691">
        <f>FISC!AN421</f>
        <v>36664.816080221681</v>
      </c>
      <c r="JX1064" s="1691">
        <f>JZ1064/2</f>
        <v>20620.5695906045</v>
      </c>
      <c r="JY1064" s="1691">
        <f>JZ1064-JX1064</f>
        <v>20620.5695906045</v>
      </c>
      <c r="JZ1064" s="1691">
        <f>FISC!AO421</f>
        <v>41241.139181209001</v>
      </c>
      <c r="KA1064" s="1691">
        <f>KC1064/2</f>
        <v>22986.731174975634</v>
      </c>
      <c r="KB1064" s="1691">
        <f>KC1064-KA1064</f>
        <v>22986.731174975634</v>
      </c>
      <c r="KC1064" s="1691">
        <f>FISC!AP421</f>
        <v>45973.462349951267</v>
      </c>
      <c r="KD1064" s="1691">
        <f>KF1064/2</f>
        <v>25776.626957139662</v>
      </c>
      <c r="KE1064" s="1691">
        <f>KF1064-KD1064</f>
        <v>25776.626957139662</v>
      </c>
      <c r="KF1064" s="1691">
        <f>FISC!AQ421</f>
        <v>51553.253914279325</v>
      </c>
      <c r="KG1064" s="1691">
        <f>KI1064/2</f>
        <v>28712.115957657712</v>
      </c>
      <c r="KH1064" s="1691">
        <f>KI1064-KG1064</f>
        <v>28712.115957657712</v>
      </c>
      <c r="KI1064" s="1691">
        <f>FISC!AR421</f>
        <v>57424.231915315424</v>
      </c>
      <c r="KJ1064" s="1691">
        <f>KL1064/2</f>
        <v>32047.15853334462</v>
      </c>
      <c r="KK1064" s="1691">
        <f>KL1064-KJ1064</f>
        <v>32047.15853334462</v>
      </c>
      <c r="KL1064" s="1691">
        <f>FISC!AS421</f>
        <v>64094.31706668924</v>
      </c>
      <c r="KM1064" s="1691">
        <f>KO1064/2</f>
        <v>41135.005045845399</v>
      </c>
      <c r="KN1064" s="1691">
        <f>KO1064-KM1064</f>
        <v>41135.005045845399</v>
      </c>
      <c r="KO1064" s="1691">
        <f>FISC!AT421</f>
        <v>82270.010091690798</v>
      </c>
    </row>
    <row r="1065" spans="1:314" s="1691" customFormat="1">
      <c r="A1065" s="1694"/>
      <c r="B1065" s="1694"/>
      <c r="C1065" s="1694"/>
      <c r="D1065" s="1694" t="s">
        <v>3390</v>
      </c>
      <c r="DB1065" s="1695"/>
      <c r="DN1065" s="1696"/>
      <c r="DZ1065" s="1696"/>
      <c r="EA1065" s="1689"/>
      <c r="EB1065" s="1689"/>
      <c r="EC1065" s="1689"/>
      <c r="ED1065" s="1689"/>
      <c r="EE1065" s="1689"/>
      <c r="EF1065" s="1689"/>
      <c r="EG1065" s="1689"/>
      <c r="EH1065" s="1689"/>
      <c r="EI1065" s="1689"/>
      <c r="EJ1065" s="1689"/>
      <c r="EK1065" s="1689"/>
      <c r="EL1065" s="1697"/>
      <c r="EM1065" s="1689"/>
      <c r="EN1065" s="1689"/>
      <c r="EO1065" s="1689"/>
      <c r="EP1065" s="1689"/>
      <c r="EQ1065" s="1689"/>
      <c r="ER1065" s="1689"/>
      <c r="ES1065" s="1689"/>
      <c r="ET1065" s="1689"/>
      <c r="EU1065" s="1689"/>
      <c r="EV1065" s="1689"/>
      <c r="EW1065" s="1689"/>
      <c r="EX1065" s="1697"/>
      <c r="EY1065" s="1689"/>
      <c r="EZ1065" s="1689"/>
      <c r="FA1065" s="1689"/>
      <c r="FB1065" s="1689"/>
      <c r="FC1065" s="1689"/>
      <c r="FD1065" s="1689"/>
      <c r="FE1065" s="1689"/>
      <c r="FF1065" s="1689"/>
      <c r="FG1065" s="1689"/>
      <c r="FH1065" s="1689"/>
      <c r="FI1065" s="1689"/>
      <c r="FJ1065" s="1697"/>
      <c r="FK1065" s="1689"/>
      <c r="FL1065" s="1689"/>
      <c r="FM1065" s="1689"/>
      <c r="FN1065" s="1689"/>
      <c r="FO1065" s="1689"/>
      <c r="FP1065" s="1689"/>
      <c r="FQ1065" s="1689"/>
      <c r="FR1065" s="1689"/>
      <c r="FS1065" s="1689"/>
      <c r="FT1065" s="1689"/>
      <c r="FU1065" s="1689"/>
      <c r="FV1065" s="1689"/>
      <c r="FW1065" s="1689"/>
      <c r="FX1065" s="1689"/>
      <c r="FY1065" s="1689"/>
      <c r="FZ1065" s="1689"/>
      <c r="GA1065" s="1689"/>
      <c r="GB1065" s="1689"/>
      <c r="GC1065" s="1689"/>
      <c r="GD1065" s="1689"/>
      <c r="GE1065" s="1689"/>
      <c r="GF1065" s="1689"/>
      <c r="GG1065" s="1689"/>
      <c r="GH1065" s="1689"/>
      <c r="GI1065" s="1689"/>
      <c r="GJ1065" s="1689"/>
      <c r="GK1065" s="1689"/>
      <c r="GL1065" s="1689"/>
      <c r="GM1065" s="1689"/>
      <c r="GN1065" s="1689"/>
      <c r="GO1065" s="1689"/>
      <c r="GP1065" s="1689"/>
      <c r="GQ1065" s="1689"/>
      <c r="GR1065" s="1689"/>
      <c r="GS1065" s="1689"/>
      <c r="GT1065" s="1689"/>
      <c r="GU1065" s="1689"/>
      <c r="GV1065" s="1689"/>
      <c r="GW1065" s="1689"/>
      <c r="GX1065" s="1689"/>
      <c r="GY1065" s="1689"/>
      <c r="GZ1065" s="1689"/>
      <c r="HA1065" s="1689"/>
      <c r="HB1065" s="1689"/>
      <c r="HC1065" s="1689"/>
      <c r="HD1065" s="1689"/>
      <c r="HE1065" s="1689"/>
      <c r="HF1065" s="1689"/>
      <c r="HG1065" s="1689"/>
      <c r="HH1065" s="1689"/>
      <c r="HI1065" s="1689"/>
      <c r="HJ1065" s="1689"/>
      <c r="HK1065" s="1689"/>
      <c r="HL1065" s="1689"/>
      <c r="HM1065" s="1689"/>
      <c r="HN1065" s="1689"/>
      <c r="HO1065" s="1689"/>
      <c r="HP1065" s="1689"/>
      <c r="HQ1065" s="1689"/>
      <c r="HR1065" s="1689"/>
      <c r="HS1065" s="1689"/>
      <c r="HT1065" s="1689"/>
      <c r="HU1065" s="1689"/>
      <c r="HV1065" s="1689"/>
      <c r="HW1065" s="1689"/>
      <c r="HX1065" s="1689"/>
      <c r="HY1065" s="1689"/>
      <c r="IB1065" s="1702">
        <f>IB1056/IB$1064</f>
        <v>0.15790008698805841</v>
      </c>
      <c r="IC1065" s="1702">
        <f t="shared" ref="IC1065:JT1065" si="2208">IC1056/IC$1064</f>
        <v>0.1657012027146603</v>
      </c>
      <c r="ID1065" s="1702">
        <f t="shared" si="2208"/>
        <v>0.16191680681057732</v>
      </c>
      <c r="IE1065" s="1702">
        <f t="shared" si="2208"/>
        <v>0.15614195384874477</v>
      </c>
      <c r="IF1065" s="1702">
        <f t="shared" si="2208"/>
        <v>0.18690841827067492</v>
      </c>
      <c r="IG1065" s="1702">
        <f t="shared" si="2208"/>
        <v>0.1717676076704342</v>
      </c>
      <c r="IH1065" s="1702">
        <f t="shared" si="2208"/>
        <v>0.16995499068807632</v>
      </c>
      <c r="II1065" s="1702">
        <f t="shared" si="2208"/>
        <v>0.1858412966521053</v>
      </c>
      <c r="IJ1065" s="1702">
        <f t="shared" si="2208"/>
        <v>0.17812467556083914</v>
      </c>
      <c r="IK1065" s="1702">
        <f t="shared" si="2208"/>
        <v>0.16972758716693553</v>
      </c>
      <c r="IL1065" s="1702">
        <f t="shared" si="2208"/>
        <v>0.17962658151130845</v>
      </c>
      <c r="IM1065" s="1702">
        <f t="shared" si="2208"/>
        <v>0.17487473594652309</v>
      </c>
      <c r="IN1065" s="1702">
        <f t="shared" si="2208"/>
        <v>0.1713867374823495</v>
      </c>
      <c r="IO1065" s="1702">
        <f t="shared" si="2208"/>
        <v>0.18347202254180742</v>
      </c>
      <c r="IP1065" s="1702">
        <f t="shared" si="2208"/>
        <v>0.17754174164154679</v>
      </c>
      <c r="IQ1065" s="1702">
        <f t="shared" si="2208"/>
        <v>0.19105603872073054</v>
      </c>
      <c r="IR1065" s="1702">
        <f t="shared" si="2208"/>
        <v>0.19213223877694691</v>
      </c>
      <c r="IS1065" s="1702">
        <f t="shared" si="2208"/>
        <v>0.1916114848665281</v>
      </c>
      <c r="IT1065" s="1702">
        <f t="shared" si="2208"/>
        <v>0.1887004118656494</v>
      </c>
      <c r="IU1065" s="1702">
        <f t="shared" si="2208"/>
        <v>0.18526248994001368</v>
      </c>
      <c r="IV1065" s="1702">
        <f t="shared" si="2208"/>
        <v>0.18702357332148148</v>
      </c>
      <c r="IW1065" s="1702">
        <f t="shared" si="2208"/>
        <v>0.19358425912155708</v>
      </c>
      <c r="IX1065" s="1702">
        <f t="shared" si="2208"/>
        <v>0.19720122505349658</v>
      </c>
      <c r="IY1065" s="1702">
        <f t="shared" si="2208"/>
        <v>0.19543359584099371</v>
      </c>
      <c r="IZ1065" s="1702">
        <f t="shared" si="2208"/>
        <v>0.18499879331353064</v>
      </c>
      <c r="JA1065" s="1702">
        <f t="shared" si="2208"/>
        <v>0.19455050781832242</v>
      </c>
      <c r="JB1065" s="1702">
        <f t="shared" si="2208"/>
        <v>0.1900232437362214</v>
      </c>
      <c r="JC1065" s="1702">
        <f t="shared" si="2208"/>
        <v>0.16957248940038488</v>
      </c>
      <c r="JD1065" s="1702">
        <f t="shared" si="2208"/>
        <v>0.18162831594071996</v>
      </c>
      <c r="JE1065" s="1702">
        <f t="shared" si="2208"/>
        <v>0.17578368781216153</v>
      </c>
      <c r="JF1065" s="1702">
        <f t="shared" si="2208"/>
        <v>0.16526347412062087</v>
      </c>
      <c r="JG1065" s="1702">
        <f t="shared" si="2208"/>
        <v>0.16710386784884937</v>
      </c>
      <c r="JH1065" s="1702">
        <f t="shared" si="2208"/>
        <v>0.16621322548390918</v>
      </c>
      <c r="JI1065" s="1702">
        <f t="shared" si="2208"/>
        <v>0.17084367252697466</v>
      </c>
      <c r="JJ1065" s="1702">
        <f t="shared" si="2208"/>
        <v>0.16038579984665441</v>
      </c>
      <c r="JK1065" s="1702">
        <f t="shared" si="2208"/>
        <v>0.16546014323811883</v>
      </c>
      <c r="JL1065" s="1702">
        <f t="shared" si="2208"/>
        <v>0.16405337963313749</v>
      </c>
      <c r="JM1065" s="1702">
        <f t="shared" si="2208"/>
        <v>0.17927590752497904</v>
      </c>
      <c r="JN1065" s="1702">
        <f t="shared" si="2208"/>
        <v>0.17166464357905825</v>
      </c>
      <c r="JO1065" s="1702">
        <f t="shared" si="2208"/>
        <v>0.17354547394511249</v>
      </c>
      <c r="JP1065" s="1702">
        <f t="shared" si="2208"/>
        <v>0.18383307661279416</v>
      </c>
      <c r="JQ1065" s="1702">
        <f t="shared" si="2208"/>
        <v>0.17868927527895331</v>
      </c>
      <c r="JR1065" s="1702">
        <f t="shared" si="2208"/>
        <v>0.17685929610098919</v>
      </c>
      <c r="JS1065" s="1702">
        <f t="shared" si="2208"/>
        <v>0.18793200984403569</v>
      </c>
      <c r="JT1065" s="1702">
        <f t="shared" si="2208"/>
        <v>0.18239565297251242</v>
      </c>
      <c r="JU1065" s="1702">
        <f t="shared" ref="JU1065:JZ1065" si="2209">JU1056/JU$1064</f>
        <v>0.17847873151483801</v>
      </c>
      <c r="JV1065" s="1702">
        <f t="shared" si="2209"/>
        <v>0.18970178111876262</v>
      </c>
      <c r="JW1065" s="1702">
        <f t="shared" si="2209"/>
        <v>0.18409025631680032</v>
      </c>
      <c r="JX1065" s="1702">
        <f t="shared" si="2209"/>
        <v>0.18150556402726659</v>
      </c>
      <c r="JY1065" s="1702">
        <f t="shared" si="2209"/>
        <v>0.19292411283398977</v>
      </c>
      <c r="JZ1065" s="1702">
        <f t="shared" si="2209"/>
        <v>0.18721483843062817</v>
      </c>
      <c r="KA1065" s="1702">
        <f t="shared" ref="KA1065:KI1065" si="2210">KA1056/KA$1064</f>
        <v>0.18330845029976178</v>
      </c>
      <c r="KB1065" s="1702">
        <f t="shared" si="2210"/>
        <v>0.19485017418485512</v>
      </c>
      <c r="KC1065" s="1702">
        <f t="shared" si="2210"/>
        <v>0.18907931224230848</v>
      </c>
      <c r="KD1065" s="1702">
        <f t="shared" si="2210"/>
        <v>0.18177691505865498</v>
      </c>
      <c r="KE1065" s="1702">
        <f t="shared" si="2210"/>
        <v>0.19331440507427233</v>
      </c>
      <c r="KF1065" s="1702">
        <f t="shared" si="2210"/>
        <v>0.18754566006646367</v>
      </c>
      <c r="KG1065" s="1702">
        <f t="shared" si="2210"/>
        <v>0.1834608004118834</v>
      </c>
      <c r="KH1065" s="1702">
        <f t="shared" si="2210"/>
        <v>0.19517573249981815</v>
      </c>
      <c r="KI1065" s="1702">
        <f t="shared" si="2210"/>
        <v>0.18931826645585076</v>
      </c>
      <c r="KJ1065" s="1702">
        <f t="shared" ref="KJ1065:KO1065" si="2211">KJ1056/KJ$1064</f>
        <v>0.18492973968221613</v>
      </c>
      <c r="KK1065" s="1702">
        <f t="shared" si="2211"/>
        <v>0.19680904220423037</v>
      </c>
      <c r="KL1065" s="1702">
        <f t="shared" si="2211"/>
        <v>0.19086939094322325</v>
      </c>
      <c r="KM1065" s="1702">
        <f t="shared" si="2211"/>
        <v>0.18971451383360119</v>
      </c>
      <c r="KN1065" s="1702">
        <f t="shared" si="2211"/>
        <v>0.20182285750545206</v>
      </c>
      <c r="KO1065" s="1702">
        <f t="shared" si="2211"/>
        <v>0.19576868566952663</v>
      </c>
    </row>
    <row r="1066" spans="1:314" s="1691" customFormat="1">
      <c r="A1066" s="1694"/>
      <c r="B1066" s="1694"/>
      <c r="C1066" s="1694"/>
      <c r="D1066" s="1694" t="s">
        <v>3391</v>
      </c>
      <c r="DB1066" s="1695"/>
      <c r="DN1066" s="1696"/>
      <c r="DZ1066" s="1696"/>
      <c r="EA1066" s="1689"/>
      <c r="EB1066" s="1689"/>
      <c r="EC1066" s="1689"/>
      <c r="ED1066" s="1689"/>
      <c r="EE1066" s="1689"/>
      <c r="EF1066" s="1689"/>
      <c r="EG1066" s="1689"/>
      <c r="EH1066" s="1689"/>
      <c r="EI1066" s="1689"/>
      <c r="EJ1066" s="1689"/>
      <c r="EK1066" s="1689"/>
      <c r="EL1066" s="1697"/>
      <c r="EM1066" s="1689"/>
      <c r="EN1066" s="1689"/>
      <c r="EO1066" s="1689"/>
      <c r="EP1066" s="1689"/>
      <c r="EQ1066" s="1689"/>
      <c r="ER1066" s="1689"/>
      <c r="ES1066" s="1689"/>
      <c r="ET1066" s="1689"/>
      <c r="EU1066" s="1689"/>
      <c r="EV1066" s="1689"/>
      <c r="EW1066" s="1689"/>
      <c r="EX1066" s="1697"/>
      <c r="EY1066" s="1689"/>
      <c r="EZ1066" s="1689"/>
      <c r="FA1066" s="1689"/>
      <c r="FB1066" s="1689"/>
      <c r="FC1066" s="1689"/>
      <c r="FD1066" s="1689"/>
      <c r="FE1066" s="1689"/>
      <c r="FF1066" s="1689"/>
      <c r="FG1066" s="1689"/>
      <c r="FH1066" s="1689"/>
      <c r="FI1066" s="1689"/>
      <c r="FJ1066" s="1697"/>
      <c r="FK1066" s="1689"/>
      <c r="FL1066" s="1689"/>
      <c r="FM1066" s="1689"/>
      <c r="FN1066" s="1689"/>
      <c r="FO1066" s="1689"/>
      <c r="FP1066" s="1689"/>
      <c r="FQ1066" s="1689"/>
      <c r="FR1066" s="1689"/>
      <c r="FS1066" s="1689"/>
      <c r="FT1066" s="1689"/>
      <c r="FU1066" s="1689"/>
      <c r="FV1066" s="1689"/>
      <c r="FW1066" s="1689"/>
      <c r="FX1066" s="1689"/>
      <c r="FY1066" s="1689"/>
      <c r="FZ1066" s="1689"/>
      <c r="GA1066" s="1689"/>
      <c r="GB1066" s="1689"/>
      <c r="GC1066" s="1689"/>
      <c r="GD1066" s="1689"/>
      <c r="GE1066" s="1689"/>
      <c r="GF1066" s="1689"/>
      <c r="GG1066" s="1689"/>
      <c r="GH1066" s="1689"/>
      <c r="GI1066" s="1689"/>
      <c r="GJ1066" s="1689"/>
      <c r="GK1066" s="1689"/>
      <c r="GL1066" s="1689"/>
      <c r="GM1066" s="1689"/>
      <c r="GN1066" s="1689"/>
      <c r="GO1066" s="1689"/>
      <c r="GP1066" s="1689"/>
      <c r="GQ1066" s="1689"/>
      <c r="GR1066" s="1689"/>
      <c r="GS1066" s="1689"/>
      <c r="GT1066" s="1689"/>
      <c r="GU1066" s="1689"/>
      <c r="GV1066" s="1689"/>
      <c r="GW1066" s="1689"/>
      <c r="GX1066" s="1689"/>
      <c r="GY1066" s="1689"/>
      <c r="GZ1066" s="1689"/>
      <c r="HA1066" s="1689"/>
      <c r="HB1066" s="1689"/>
      <c r="HC1066" s="1689"/>
      <c r="HD1066" s="1689"/>
      <c r="HE1066" s="1689"/>
      <c r="HF1066" s="1689"/>
      <c r="HG1066" s="1689"/>
      <c r="HH1066" s="1689"/>
      <c r="HI1066" s="1689"/>
      <c r="HJ1066" s="1689"/>
      <c r="HK1066" s="1689"/>
      <c r="HL1066" s="1689"/>
      <c r="HM1066" s="1689"/>
      <c r="HN1066" s="1689"/>
      <c r="HO1066" s="1689"/>
      <c r="HP1066" s="1689"/>
      <c r="HQ1066" s="1689"/>
      <c r="HR1066" s="1689"/>
      <c r="HS1066" s="1689"/>
      <c r="HT1066" s="1689"/>
      <c r="HU1066" s="1689"/>
      <c r="HV1066" s="1689"/>
      <c r="HW1066" s="1689"/>
      <c r="HX1066" s="1689"/>
      <c r="HY1066" s="1689"/>
      <c r="IB1066" s="1702">
        <f t="shared" ref="IB1066:JT1066" si="2212">IB1057/IB$1064</f>
        <v>0.25010853330717608</v>
      </c>
      <c r="IC1066" s="1702">
        <f t="shared" si="2212"/>
        <v>0.27981091687369697</v>
      </c>
      <c r="ID1066" s="1702">
        <f t="shared" si="2212"/>
        <v>0.26540200632166683</v>
      </c>
      <c r="IE1066" s="1702">
        <f t="shared" si="2212"/>
        <v>0.24361701413347031</v>
      </c>
      <c r="IF1066" s="1702">
        <f t="shared" si="2212"/>
        <v>0.26451583032444453</v>
      </c>
      <c r="IG1066" s="1702">
        <f t="shared" si="2212"/>
        <v>0.25423109258606341</v>
      </c>
      <c r="IH1066" s="1702">
        <f t="shared" si="2212"/>
        <v>0.24308665711398716</v>
      </c>
      <c r="II1066" s="1702">
        <f t="shared" si="2212"/>
        <v>0.24446623266241208</v>
      </c>
      <c r="IJ1066" s="1702">
        <f t="shared" si="2212"/>
        <v>0.24379611704219956</v>
      </c>
      <c r="IK1066" s="1702">
        <f t="shared" si="2212"/>
        <v>0.25378902611047183</v>
      </c>
      <c r="IL1066" s="1702">
        <f t="shared" si="2212"/>
        <v>0.23028581068069859</v>
      </c>
      <c r="IM1066" s="1702">
        <f t="shared" si="2212"/>
        <v>0.24156813352207376</v>
      </c>
      <c r="IN1066" s="1702">
        <f t="shared" si="2212"/>
        <v>0.23316284047512462</v>
      </c>
      <c r="IO1066" s="1702">
        <f t="shared" si="2212"/>
        <v>0.24126688335035776</v>
      </c>
      <c r="IP1066" s="1702">
        <f t="shared" si="2212"/>
        <v>0.23729020837401724</v>
      </c>
      <c r="IQ1066" s="1702">
        <f t="shared" si="2212"/>
        <v>0.23435779013574529</v>
      </c>
      <c r="IR1066" s="1702">
        <f t="shared" si="2212"/>
        <v>0.28732641733288644</v>
      </c>
      <c r="IS1066" s="1702">
        <f t="shared" si="2212"/>
        <v>0.26169584838513593</v>
      </c>
      <c r="IT1066" s="1702">
        <f t="shared" si="2212"/>
        <v>0.25797195204857476</v>
      </c>
      <c r="IU1066" s="1702">
        <f t="shared" si="2212"/>
        <v>0.27876037902398842</v>
      </c>
      <c r="IV1066" s="1702">
        <f t="shared" si="2212"/>
        <v>0.26811145968691313</v>
      </c>
      <c r="IW1066" s="1702">
        <f t="shared" si="2212"/>
        <v>0.28799240241698459</v>
      </c>
      <c r="IX1066" s="1702">
        <f t="shared" si="2212"/>
        <v>0.26395199056112428</v>
      </c>
      <c r="IY1066" s="1702">
        <f t="shared" si="2212"/>
        <v>0.27570065921784898</v>
      </c>
      <c r="IZ1066" s="1702">
        <f t="shared" si="2212"/>
        <v>0.27753284495082398</v>
      </c>
      <c r="JA1066" s="1702">
        <f t="shared" si="2212"/>
        <v>0.28915423728306072</v>
      </c>
      <c r="JB1066" s="1702">
        <f t="shared" si="2212"/>
        <v>0.28364599977623983</v>
      </c>
      <c r="JC1066" s="1702">
        <f t="shared" si="2212"/>
        <v>0.23014236182991465</v>
      </c>
      <c r="JD1066" s="1702">
        <f t="shared" si="2212"/>
        <v>0.25642373092229626</v>
      </c>
      <c r="JE1066" s="1702">
        <f t="shared" si="2212"/>
        <v>0.24368260292576732</v>
      </c>
      <c r="JF1066" s="1702">
        <f t="shared" si="2212"/>
        <v>0.20574123708248424</v>
      </c>
      <c r="JG1066" s="1702">
        <f t="shared" si="2212"/>
        <v>0.24523429509763753</v>
      </c>
      <c r="JH1066" s="1702">
        <f t="shared" si="2212"/>
        <v>0.22612197687473534</v>
      </c>
      <c r="JI1066" s="1702">
        <f t="shared" si="2212"/>
        <v>0.21314772338168717</v>
      </c>
      <c r="JJ1066" s="1702">
        <f t="shared" si="2212"/>
        <v>0.18865090699938322</v>
      </c>
      <c r="JK1066" s="1702">
        <f t="shared" si="2212"/>
        <v>0.20053719230054018</v>
      </c>
      <c r="JL1066" s="1702">
        <f t="shared" si="2212"/>
        <v>0.18941827877794779</v>
      </c>
      <c r="JM1066" s="1702">
        <f t="shared" si="2212"/>
        <v>0.19200453687963456</v>
      </c>
      <c r="JN1066" s="1702">
        <f t="shared" si="2212"/>
        <v>0.1907114078287912</v>
      </c>
      <c r="JO1066" s="1702">
        <f t="shared" si="2212"/>
        <v>0.20912201132998789</v>
      </c>
      <c r="JP1066" s="1702">
        <f t="shared" si="2212"/>
        <v>0.17510365842745471</v>
      </c>
      <c r="JQ1066" s="1702">
        <f t="shared" si="2212"/>
        <v>0.1921128348787213</v>
      </c>
      <c r="JR1066" s="1702">
        <f t="shared" si="2212"/>
        <v>0.21234217111525416</v>
      </c>
      <c r="JS1066" s="1702">
        <f t="shared" si="2212"/>
        <v>0.17875708960072628</v>
      </c>
      <c r="JT1066" s="1702">
        <f t="shared" si="2212"/>
        <v>0.1955496303579902</v>
      </c>
      <c r="JU1066" s="1702">
        <f t="shared" ref="JU1066:JZ1066" si="2213">JU1057/JU$1064</f>
        <v>0.20929119001627594</v>
      </c>
      <c r="JV1066" s="1702">
        <f t="shared" si="2213"/>
        <v>0.18375411137383146</v>
      </c>
      <c r="JW1066" s="1702">
        <f t="shared" si="2213"/>
        <v>0.19652265069505367</v>
      </c>
      <c r="JX1066" s="1702">
        <f t="shared" si="2213"/>
        <v>0.2125774288093906</v>
      </c>
      <c r="JY1066" s="1702">
        <f t="shared" si="2213"/>
        <v>0.18913383992830074</v>
      </c>
      <c r="JZ1066" s="1702">
        <f t="shared" si="2213"/>
        <v>0.20085563436884563</v>
      </c>
      <c r="KA1066" s="1702">
        <f t="shared" ref="KA1066:KI1066" si="2214">KA1057/KA$1064</f>
        <v>0.21570855230572769</v>
      </c>
      <c r="KB1066" s="1702">
        <f t="shared" si="2214"/>
        <v>0.18814188352510811</v>
      </c>
      <c r="KC1066" s="1702">
        <f t="shared" si="2214"/>
        <v>0.2019252179154179</v>
      </c>
      <c r="KD1066" s="1702">
        <f t="shared" si="2214"/>
        <v>0.20498441292705705</v>
      </c>
      <c r="KE1066" s="1702">
        <f t="shared" si="2214"/>
        <v>0.1991683131654528</v>
      </c>
      <c r="KF1066" s="1702">
        <f t="shared" si="2214"/>
        <v>0.20207636304625495</v>
      </c>
      <c r="KG1066" s="1702">
        <f t="shared" si="2214"/>
        <v>0.21458933585143963</v>
      </c>
      <c r="KH1066" s="1702">
        <f t="shared" si="2214"/>
        <v>0.18826611932459672</v>
      </c>
      <c r="KI1066" s="1702">
        <f t="shared" si="2214"/>
        <v>0.20142772758801816</v>
      </c>
      <c r="KJ1066" s="1702">
        <f t="shared" ref="KJ1066:KO1066" si="2215">KJ1057/KJ$1064</f>
        <v>0.22477246839728088</v>
      </c>
      <c r="KK1066" s="1702">
        <f t="shared" si="2215"/>
        <v>0.19594863430883638</v>
      </c>
      <c r="KL1066" s="1702">
        <f t="shared" si="2215"/>
        <v>0.21036055135305864</v>
      </c>
      <c r="KM1066" s="1702">
        <f t="shared" si="2215"/>
        <v>0.23015204543064127</v>
      </c>
      <c r="KN1066" s="1702">
        <f t="shared" si="2215"/>
        <v>0.19815327783031467</v>
      </c>
      <c r="KO1066" s="1702">
        <f t="shared" si="2215"/>
        <v>0.21415266163047797</v>
      </c>
    </row>
    <row r="1067" spans="1:314" s="1691" customFormat="1">
      <c r="A1067" s="1694"/>
      <c r="B1067" s="1694"/>
      <c r="C1067" s="1694"/>
      <c r="D1067" s="1694" t="s">
        <v>3392</v>
      </c>
      <c r="DB1067" s="1695"/>
      <c r="DN1067" s="1696"/>
      <c r="DZ1067" s="1696"/>
      <c r="EA1067" s="1689"/>
      <c r="EB1067" s="1689"/>
      <c r="EC1067" s="1689"/>
      <c r="ED1067" s="1689"/>
      <c r="EE1067" s="1689"/>
      <c r="EF1067" s="1689"/>
      <c r="EG1067" s="1689"/>
      <c r="EH1067" s="1689"/>
      <c r="EI1067" s="1689"/>
      <c r="EJ1067" s="1689"/>
      <c r="EK1067" s="1689"/>
      <c r="EL1067" s="1697"/>
      <c r="EM1067" s="1689"/>
      <c r="EN1067" s="1689"/>
      <c r="EO1067" s="1689"/>
      <c r="EP1067" s="1689"/>
      <c r="EQ1067" s="1689"/>
      <c r="ER1067" s="1689"/>
      <c r="ES1067" s="1689"/>
      <c r="ET1067" s="1689"/>
      <c r="EU1067" s="1689"/>
      <c r="EV1067" s="1689"/>
      <c r="EW1067" s="1689"/>
      <c r="EX1067" s="1697"/>
      <c r="EY1067" s="1689"/>
      <c r="EZ1067" s="1689"/>
      <c r="FA1067" s="1689"/>
      <c r="FB1067" s="1689"/>
      <c r="FC1067" s="1689"/>
      <c r="FD1067" s="1689"/>
      <c r="FE1067" s="1689"/>
      <c r="FF1067" s="1689"/>
      <c r="FG1067" s="1689"/>
      <c r="FH1067" s="1689"/>
      <c r="FI1067" s="1689"/>
      <c r="FJ1067" s="1697"/>
      <c r="FK1067" s="1689"/>
      <c r="FL1067" s="1689"/>
      <c r="FM1067" s="1689"/>
      <c r="FN1067" s="1689"/>
      <c r="FO1067" s="1689"/>
      <c r="FP1067" s="1689"/>
      <c r="FQ1067" s="1689"/>
      <c r="FR1067" s="1689"/>
      <c r="FS1067" s="1689"/>
      <c r="FT1067" s="1689"/>
      <c r="FU1067" s="1689"/>
      <c r="FV1067" s="1689"/>
      <c r="FW1067" s="1689"/>
      <c r="FX1067" s="1689"/>
      <c r="FY1067" s="1689"/>
      <c r="FZ1067" s="1689"/>
      <c r="GA1067" s="1689"/>
      <c r="GB1067" s="1689"/>
      <c r="GC1067" s="1689"/>
      <c r="GD1067" s="1689"/>
      <c r="GE1067" s="1689"/>
      <c r="GF1067" s="1689"/>
      <c r="GG1067" s="1689"/>
      <c r="GH1067" s="1689"/>
      <c r="GI1067" s="1689"/>
      <c r="GJ1067" s="1689"/>
      <c r="GK1067" s="1689"/>
      <c r="GL1067" s="1689"/>
      <c r="GM1067" s="1689"/>
      <c r="GN1067" s="1689"/>
      <c r="GO1067" s="1689"/>
      <c r="GP1067" s="1689"/>
      <c r="GQ1067" s="1689"/>
      <c r="GR1067" s="1689"/>
      <c r="GS1067" s="1689"/>
      <c r="GT1067" s="1689"/>
      <c r="GU1067" s="1689"/>
      <c r="GV1067" s="1689"/>
      <c r="GW1067" s="1689"/>
      <c r="GX1067" s="1689"/>
      <c r="GY1067" s="1689"/>
      <c r="GZ1067" s="1689"/>
      <c r="HA1067" s="1689"/>
      <c r="HB1067" s="1689"/>
      <c r="HC1067" s="1689"/>
      <c r="HD1067" s="1689"/>
      <c r="HE1067" s="1689"/>
      <c r="HF1067" s="1689"/>
      <c r="HG1067" s="1689"/>
      <c r="HH1067" s="1689"/>
      <c r="HI1067" s="1689"/>
      <c r="HJ1067" s="1689"/>
      <c r="HK1067" s="1689"/>
      <c r="HL1067" s="1689"/>
      <c r="HM1067" s="1689"/>
      <c r="HN1067" s="1689"/>
      <c r="HO1067" s="1689"/>
      <c r="HP1067" s="1689"/>
      <c r="HQ1067" s="1689"/>
      <c r="HR1067" s="1689"/>
      <c r="HS1067" s="1689"/>
      <c r="HT1067" s="1689"/>
      <c r="HU1067" s="1689"/>
      <c r="HV1067" s="1689"/>
      <c r="HW1067" s="1689"/>
      <c r="HX1067" s="1689"/>
      <c r="HY1067" s="1689"/>
      <c r="IB1067" s="1702">
        <f t="shared" ref="IB1067:JT1067" si="2216">IB1058/IB$1064</f>
        <v>2.2610730254800013E-2</v>
      </c>
      <c r="IC1067" s="1702">
        <f t="shared" si="2216"/>
        <v>3.52558481431905E-2</v>
      </c>
      <c r="ID1067" s="1702">
        <f t="shared" si="2216"/>
        <v>2.912158042808817E-2</v>
      </c>
      <c r="IE1067" s="1702">
        <f t="shared" si="2216"/>
        <v>2.942318193936554E-2</v>
      </c>
      <c r="IF1067" s="1702">
        <f t="shared" si="2216"/>
        <v>3.9887131259793179E-2</v>
      </c>
      <c r="IG1067" s="1702">
        <f t="shared" si="2216"/>
        <v>3.4737606354416577E-2</v>
      </c>
      <c r="IH1067" s="1702">
        <f t="shared" si="2216"/>
        <v>3.3835715604350329E-2</v>
      </c>
      <c r="II1067" s="1702">
        <f t="shared" si="2216"/>
        <v>3.2148442713416547E-2</v>
      </c>
      <c r="IJ1067" s="1702">
        <f t="shared" si="2216"/>
        <v>3.296801937311216E-2</v>
      </c>
      <c r="IK1067" s="1702">
        <f t="shared" si="2216"/>
        <v>2.5635236871920909E-2</v>
      </c>
      <c r="IL1067" s="1702">
        <f t="shared" si="2216"/>
        <v>3.1750162406096842E-2</v>
      </c>
      <c r="IM1067" s="1702">
        <f t="shared" si="2216"/>
        <v>2.8814795360950073E-2</v>
      </c>
      <c r="IN1067" s="1702">
        <f t="shared" si="2216"/>
        <v>3.4919060042230637E-2</v>
      </c>
      <c r="IO1067" s="1702">
        <f t="shared" si="2216"/>
        <v>3.3323426401127128E-2</v>
      </c>
      <c r="IP1067" s="1702">
        <f t="shared" si="2216"/>
        <v>3.4106407990646528E-2</v>
      </c>
      <c r="IQ1067" s="1702">
        <f t="shared" si="2216"/>
        <v>3.7478100125834614E-2</v>
      </c>
      <c r="IR1067" s="1702">
        <f t="shared" si="2216"/>
        <v>3.8280724502420149E-2</v>
      </c>
      <c r="IS1067" s="1702">
        <f t="shared" si="2216"/>
        <v>3.7892348958031286E-2</v>
      </c>
      <c r="IT1067" s="1702">
        <f t="shared" si="2216"/>
        <v>5.5540886354469181E-2</v>
      </c>
      <c r="IU1067" s="1702">
        <f t="shared" si="2216"/>
        <v>5.5557513414760069E-2</v>
      </c>
      <c r="IV1067" s="1702">
        <f t="shared" si="2216"/>
        <v>5.554899616503936E-2</v>
      </c>
      <c r="IW1067" s="1702">
        <f t="shared" si="2216"/>
        <v>6.0633808491497493E-2</v>
      </c>
      <c r="IX1067" s="1702">
        <f t="shared" si="2216"/>
        <v>5.4699020421915684E-2</v>
      </c>
      <c r="IY1067" s="1702">
        <f t="shared" si="2216"/>
        <v>5.7599380823204017E-2</v>
      </c>
      <c r="IZ1067" s="1702">
        <f t="shared" si="2216"/>
        <v>6.5745914059750388E-2</v>
      </c>
      <c r="JA1067" s="1702">
        <f t="shared" si="2216"/>
        <v>7.0177138658508359E-2</v>
      </c>
      <c r="JB1067" s="1702">
        <f t="shared" si="2216"/>
        <v>6.8076853525863817E-2</v>
      </c>
      <c r="JC1067" s="1702">
        <f t="shared" si="2216"/>
        <v>5.5204761494589742E-2</v>
      </c>
      <c r="JD1067" s="1702">
        <f t="shared" si="2216"/>
        <v>4.83091592302555E-2</v>
      </c>
      <c r="JE1067" s="1702">
        <f t="shared" si="2216"/>
        <v>5.165212628627943E-2</v>
      </c>
      <c r="JF1067" s="1702">
        <f t="shared" si="2216"/>
        <v>4.5395230790851775E-2</v>
      </c>
      <c r="JG1067" s="1702">
        <f t="shared" si="2216"/>
        <v>5.0834916581995272E-2</v>
      </c>
      <c r="JH1067" s="1702">
        <f t="shared" si="2216"/>
        <v>4.8202428466411949E-2</v>
      </c>
      <c r="JI1067" s="1702">
        <f t="shared" si="2216"/>
        <v>5.0723582380508878E-2</v>
      </c>
      <c r="JJ1067" s="1702">
        <f t="shared" si="2216"/>
        <v>4.595330829542054E-2</v>
      </c>
      <c r="JK1067" s="1702">
        <f t="shared" si="2216"/>
        <v>4.8267929014096267E-2</v>
      </c>
      <c r="JL1067" s="1702">
        <f t="shared" si="2216"/>
        <v>5.5985310313028655E-2</v>
      </c>
      <c r="JM1067" s="1702">
        <f t="shared" si="2216"/>
        <v>7.3585652262952134E-2</v>
      </c>
      <c r="JN1067" s="1702">
        <f t="shared" si="2216"/>
        <v>6.4682680365782466E-2</v>
      </c>
      <c r="JO1067" s="1702">
        <f t="shared" si="2216"/>
        <v>5.9659219529001037E-2</v>
      </c>
      <c r="JP1067" s="1702">
        <f t="shared" si="2216"/>
        <v>5.8107530344672996E-2</v>
      </c>
      <c r="JQ1067" s="1702">
        <f t="shared" si="2216"/>
        <v>5.8294965476245207E-2</v>
      </c>
      <c r="JR1067" s="1702">
        <f t="shared" si="2216"/>
        <v>5.4664517491033703E-2</v>
      </c>
      <c r="JS1067" s="1702">
        <f t="shared" si="2216"/>
        <v>4.5167992389560353E-2</v>
      </c>
      <c r="JT1067" s="1702">
        <f t="shared" si="2216"/>
        <v>4.9916254940297028E-2</v>
      </c>
      <c r="JU1067" s="1702">
        <f t="shared" ref="JU1067:JZ1067" si="2217">JU1058/JU$1064</f>
        <v>3.4288555166197526E-2</v>
      </c>
      <c r="JV1067" s="1702">
        <f t="shared" si="2217"/>
        <v>3.4470392353919667E-2</v>
      </c>
      <c r="JW1067" s="1702">
        <f t="shared" si="2217"/>
        <v>3.43794737600586E-2</v>
      </c>
      <c r="JX1067" s="1702">
        <f t="shared" si="2217"/>
        <v>3.2944242797352502E-2</v>
      </c>
      <c r="JY1067" s="1702">
        <f t="shared" si="2217"/>
        <v>3.0929301199731155E-2</v>
      </c>
      <c r="JZ1067" s="1702">
        <f t="shared" si="2217"/>
        <v>3.1936771998541828E-2</v>
      </c>
      <c r="KA1067" s="1702">
        <f t="shared" ref="KA1067:KI1067" si="2218">KA1058/KA$1064</f>
        <v>3.1298837941117305E-2</v>
      </c>
      <c r="KB1067" s="1702">
        <f t="shared" si="2218"/>
        <v>3.4852215259315741E-2</v>
      </c>
      <c r="KC1067" s="1702">
        <f t="shared" si="2218"/>
        <v>3.307552660021653E-2</v>
      </c>
      <c r="KD1067" s="1702">
        <f t="shared" si="2218"/>
        <v>2.8660860303939335E-2</v>
      </c>
      <c r="KE1067" s="1702">
        <f t="shared" si="2218"/>
        <v>4.1121167727176035E-2</v>
      </c>
      <c r="KF1067" s="1702">
        <f t="shared" si="2218"/>
        <v>3.4891014015557692E-2</v>
      </c>
      <c r="KG1067" s="1702">
        <f t="shared" si="2218"/>
        <v>2.7221219105636456E-2</v>
      </c>
      <c r="KH1067" s="1702">
        <f t="shared" si="2218"/>
        <v>3.6135400453096683E-2</v>
      </c>
      <c r="KI1067" s="1702">
        <f t="shared" si="2218"/>
        <v>3.1678309779366573E-2</v>
      </c>
      <c r="KJ1067" s="1702">
        <f t="shared" ref="KJ1067:KO1067" si="2219">KJ1058/KJ$1064</f>
        <v>2.6103462876028445E-2</v>
      </c>
      <c r="KK1067" s="1702">
        <f t="shared" si="2219"/>
        <v>3.322696874449535E-2</v>
      </c>
      <c r="KL1067" s="1702">
        <f t="shared" si="2219"/>
        <v>2.9665215810261901E-2</v>
      </c>
      <c r="KM1067" s="1702">
        <f t="shared" si="2219"/>
        <v>2.0148143144266304E-2</v>
      </c>
      <c r="KN1067" s="1702">
        <f t="shared" si="2219"/>
        <v>3.3000401824498114E-2</v>
      </c>
      <c r="KO1067" s="1702">
        <f t="shared" si="2219"/>
        <v>2.6574272484382211E-2</v>
      </c>
    </row>
    <row r="1068" spans="1:314" s="1691" customFormat="1">
      <c r="A1068" s="1694"/>
      <c r="B1068" s="1694"/>
      <c r="C1068" s="1694"/>
      <c r="D1068" s="1694" t="s">
        <v>3393</v>
      </c>
      <c r="DB1068" s="1695"/>
      <c r="DN1068" s="1696"/>
      <c r="DZ1068" s="1696"/>
      <c r="EA1068" s="1689"/>
      <c r="EB1068" s="1689"/>
      <c r="EC1068" s="1689"/>
      <c r="ED1068" s="1689"/>
      <c r="EE1068" s="1689"/>
      <c r="EF1068" s="1689"/>
      <c r="EG1068" s="1689"/>
      <c r="EH1068" s="1689"/>
      <c r="EI1068" s="1689"/>
      <c r="EJ1068" s="1689"/>
      <c r="EK1068" s="1689"/>
      <c r="EL1068" s="1697"/>
      <c r="EM1068" s="1689"/>
      <c r="EN1068" s="1689"/>
      <c r="EO1068" s="1689"/>
      <c r="EP1068" s="1689"/>
      <c r="EQ1068" s="1689"/>
      <c r="ER1068" s="1689"/>
      <c r="ES1068" s="1689"/>
      <c r="ET1068" s="1689"/>
      <c r="EU1068" s="1689"/>
      <c r="EV1068" s="1689"/>
      <c r="EW1068" s="1689"/>
      <c r="EX1068" s="1697"/>
      <c r="EY1068" s="1689"/>
      <c r="EZ1068" s="1689"/>
      <c r="FA1068" s="1689"/>
      <c r="FB1068" s="1689"/>
      <c r="FC1068" s="1689"/>
      <c r="FD1068" s="1689"/>
      <c r="FE1068" s="1689"/>
      <c r="FF1068" s="1689"/>
      <c r="FG1068" s="1689"/>
      <c r="FH1068" s="1689"/>
      <c r="FI1068" s="1689"/>
      <c r="FJ1068" s="1697"/>
      <c r="FK1068" s="1689"/>
      <c r="FL1068" s="1689"/>
      <c r="FM1068" s="1689"/>
      <c r="FN1068" s="1689"/>
      <c r="FO1068" s="1689"/>
      <c r="FP1068" s="1689"/>
      <c r="FQ1068" s="1689"/>
      <c r="FR1068" s="1689"/>
      <c r="FS1068" s="1689"/>
      <c r="FT1068" s="1689"/>
      <c r="FU1068" s="1689"/>
      <c r="FV1068" s="1689"/>
      <c r="FW1068" s="1689"/>
      <c r="FX1068" s="1689"/>
      <c r="FY1068" s="1689"/>
      <c r="FZ1068" s="1689"/>
      <c r="GA1068" s="1689"/>
      <c r="GB1068" s="1689"/>
      <c r="GC1068" s="1689"/>
      <c r="GD1068" s="1689"/>
      <c r="GE1068" s="1689"/>
      <c r="GF1068" s="1689"/>
      <c r="GG1068" s="1689"/>
      <c r="GH1068" s="1689"/>
      <c r="GI1068" s="1689"/>
      <c r="GJ1068" s="1689"/>
      <c r="GK1068" s="1689"/>
      <c r="GL1068" s="1689"/>
      <c r="GM1068" s="1689"/>
      <c r="GN1068" s="1689"/>
      <c r="GO1068" s="1689"/>
      <c r="GP1068" s="1689"/>
      <c r="GQ1068" s="1689"/>
      <c r="GR1068" s="1689"/>
      <c r="GS1068" s="1689"/>
      <c r="GT1068" s="1689"/>
      <c r="GU1068" s="1689"/>
      <c r="GV1068" s="1689"/>
      <c r="GW1068" s="1689"/>
      <c r="GX1068" s="1689"/>
      <c r="GY1068" s="1689"/>
      <c r="GZ1068" s="1689"/>
      <c r="HA1068" s="1689"/>
      <c r="HB1068" s="1689"/>
      <c r="HC1068" s="1689"/>
      <c r="HD1068" s="1689"/>
      <c r="HE1068" s="1689"/>
      <c r="HF1068" s="1689"/>
      <c r="HG1068" s="1689"/>
      <c r="HH1068" s="1689"/>
      <c r="HI1068" s="1689"/>
      <c r="HJ1068" s="1689"/>
      <c r="HK1068" s="1689"/>
      <c r="HL1068" s="1689"/>
      <c r="HM1068" s="1689"/>
      <c r="HN1068" s="1689"/>
      <c r="HO1068" s="1689"/>
      <c r="HP1068" s="1689"/>
      <c r="HQ1068" s="1689"/>
      <c r="HR1068" s="1689"/>
      <c r="HS1068" s="1689"/>
      <c r="HT1068" s="1689"/>
      <c r="HU1068" s="1689"/>
      <c r="HV1068" s="1689"/>
      <c r="HW1068" s="1689"/>
      <c r="HX1068" s="1689"/>
      <c r="HY1068" s="1689"/>
      <c r="IB1068" s="1702">
        <f t="shared" ref="IB1068:JT1068" si="2220">IB1059/IB$1064</f>
        <v>0.27271926356197607</v>
      </c>
      <c r="IC1068" s="1702">
        <f t="shared" si="2220"/>
        <v>0.31506676501688746</v>
      </c>
      <c r="ID1068" s="1702">
        <f t="shared" si="2220"/>
        <v>0.29452358674975493</v>
      </c>
      <c r="IE1068" s="1702">
        <f t="shared" si="2220"/>
        <v>0.27304019607283586</v>
      </c>
      <c r="IF1068" s="1702">
        <f t="shared" si="2220"/>
        <v>0.30440296158423769</v>
      </c>
      <c r="IG1068" s="1702">
        <f t="shared" si="2220"/>
        <v>0.28896869894048</v>
      </c>
      <c r="IH1068" s="1702">
        <f t="shared" si="2220"/>
        <v>0.27692237271833747</v>
      </c>
      <c r="II1068" s="1702">
        <f t="shared" si="2220"/>
        <v>0.27661467537582857</v>
      </c>
      <c r="IJ1068" s="1702">
        <f t="shared" si="2220"/>
        <v>0.27676413641531172</v>
      </c>
      <c r="IK1068" s="1702">
        <f t="shared" si="2220"/>
        <v>0.2794242629823927</v>
      </c>
      <c r="IL1068" s="1702">
        <f t="shared" si="2220"/>
        <v>0.26203597308679544</v>
      </c>
      <c r="IM1068" s="1702">
        <f t="shared" si="2220"/>
        <v>0.27038292888302379</v>
      </c>
      <c r="IN1068" s="1702">
        <f t="shared" si="2220"/>
        <v>0.2680819005173552</v>
      </c>
      <c r="IO1068" s="1702">
        <f t="shared" si="2220"/>
        <v>0.27459030975148485</v>
      </c>
      <c r="IP1068" s="1702">
        <f t="shared" si="2220"/>
        <v>0.27139661636466372</v>
      </c>
      <c r="IQ1068" s="1702">
        <f t="shared" si="2220"/>
        <v>0.27183589026157989</v>
      </c>
      <c r="IR1068" s="1702">
        <f t="shared" si="2220"/>
        <v>0.32560714183530653</v>
      </c>
      <c r="IS1068" s="1702">
        <f t="shared" si="2220"/>
        <v>0.29958819734316722</v>
      </c>
      <c r="IT1068" s="1702">
        <f t="shared" si="2220"/>
        <v>0.31351283840304395</v>
      </c>
      <c r="IU1068" s="1702">
        <f t="shared" si="2220"/>
        <v>0.33431789243874849</v>
      </c>
      <c r="IV1068" s="1702">
        <f t="shared" si="2220"/>
        <v>0.32366045585195247</v>
      </c>
      <c r="IW1068" s="1702">
        <f t="shared" si="2220"/>
        <v>0.34894908585070161</v>
      </c>
      <c r="IX1068" s="1702">
        <f t="shared" si="2220"/>
        <v>0.32422429125974916</v>
      </c>
      <c r="IY1068" s="1702">
        <f t="shared" si="2220"/>
        <v>0.33630742115770346</v>
      </c>
      <c r="IZ1068" s="1702">
        <f t="shared" si="2220"/>
        <v>0.34327875901057431</v>
      </c>
      <c r="JA1068" s="1702">
        <f t="shared" si="2220"/>
        <v>0.35933137594156911</v>
      </c>
      <c r="JB1068" s="1702">
        <f t="shared" si="2220"/>
        <v>0.35172285330210362</v>
      </c>
      <c r="JC1068" s="1702">
        <f t="shared" si="2220"/>
        <v>0.2853471233245044</v>
      </c>
      <c r="JD1068" s="1702">
        <f t="shared" si="2220"/>
        <v>0.30473289015255178</v>
      </c>
      <c r="JE1068" s="1702">
        <f t="shared" si="2220"/>
        <v>0.29533472921204673</v>
      </c>
      <c r="JF1068" s="1702">
        <f t="shared" si="2220"/>
        <v>0.25113646787333599</v>
      </c>
      <c r="JG1068" s="1702">
        <f t="shared" si="2220"/>
        <v>0.29606921167963285</v>
      </c>
      <c r="JH1068" s="1702">
        <f t="shared" si="2220"/>
        <v>0.27432440534114733</v>
      </c>
      <c r="JI1068" s="1702">
        <f t="shared" si="2220"/>
        <v>0.26387130576219603</v>
      </c>
      <c r="JJ1068" s="1702">
        <f t="shared" si="2220"/>
        <v>0.23460421529480377</v>
      </c>
      <c r="JK1068" s="1702">
        <f t="shared" si="2220"/>
        <v>0.24880512131463645</v>
      </c>
      <c r="JL1068" s="1702">
        <f t="shared" si="2220"/>
        <v>0.2454035890909764</v>
      </c>
      <c r="JM1068" s="1702">
        <f t="shared" si="2220"/>
        <v>0.26559018914258664</v>
      </c>
      <c r="JN1068" s="1702">
        <f t="shared" si="2220"/>
        <v>0.25549688911678153</v>
      </c>
      <c r="JO1068" s="1702">
        <f t="shared" si="2220"/>
        <v>0.26877875390592659</v>
      </c>
      <c r="JP1068" s="1702">
        <f t="shared" si="2220"/>
        <v>0.2283762767441834</v>
      </c>
      <c r="JQ1068" s="1702">
        <f t="shared" si="2220"/>
        <v>0.24857751532505501</v>
      </c>
      <c r="JR1068" s="1702">
        <f t="shared" si="2220"/>
        <v>0.26700828350282096</v>
      </c>
      <c r="JS1068" s="1702">
        <f t="shared" si="2220"/>
        <v>0.22392348709375359</v>
      </c>
      <c r="JT1068" s="1702">
        <f t="shared" si="2220"/>
        <v>0.24546588529828725</v>
      </c>
      <c r="JU1068" s="1702">
        <f t="shared" ref="JU1068:JZ1068" si="2221">JU1059/JU$1064</f>
        <v>0.24357917296842502</v>
      </c>
      <c r="JV1068" s="1702">
        <f t="shared" si="2221"/>
        <v>0.21822507594179957</v>
      </c>
      <c r="JW1068" s="1702">
        <f t="shared" si="2221"/>
        <v>0.2309021244551123</v>
      </c>
      <c r="JX1068" s="1702">
        <f t="shared" si="2221"/>
        <v>0.24551744944531165</v>
      </c>
      <c r="JY1068" s="1702">
        <f t="shared" si="2221"/>
        <v>0.22006736328946333</v>
      </c>
      <c r="JZ1068" s="1702">
        <f t="shared" si="2221"/>
        <v>0.23279240636738749</v>
      </c>
      <c r="KA1068" s="1702">
        <f t="shared" ref="KA1068:KI1068" si="2222">KA1059/KA$1064</f>
        <v>0.24699934048168165</v>
      </c>
      <c r="KB1068" s="1702">
        <f t="shared" si="2222"/>
        <v>0.22300214854958728</v>
      </c>
      <c r="KC1068" s="1702">
        <f t="shared" si="2222"/>
        <v>0.23500074451563444</v>
      </c>
      <c r="KD1068" s="1702">
        <f t="shared" si="2222"/>
        <v>0.23363443663767733</v>
      </c>
      <c r="KE1068" s="1702">
        <f t="shared" si="2222"/>
        <v>0.24030031748594791</v>
      </c>
      <c r="KF1068" s="1702">
        <f t="shared" si="2222"/>
        <v>0.23696737706181262</v>
      </c>
      <c r="KG1068" s="1702">
        <f t="shared" si="2222"/>
        <v>0.24179734357619737</v>
      </c>
      <c r="KH1068" s="1702">
        <f t="shared" si="2222"/>
        <v>0.22441473115857205</v>
      </c>
      <c r="KI1068" s="1702">
        <f t="shared" si="2222"/>
        <v>0.23310603736738472</v>
      </c>
      <c r="KJ1068" s="1702">
        <f t="shared" ref="KJ1068:KO1068" si="2223">KJ1059/KJ$1064</f>
        <v>0.2508604473869876</v>
      </c>
      <c r="KK1068" s="1702">
        <f t="shared" si="2223"/>
        <v>0.22919108693965354</v>
      </c>
      <c r="KL1068" s="1702">
        <f t="shared" si="2223"/>
        <v>0.24002576716332055</v>
      </c>
      <c r="KM1068" s="1702">
        <f t="shared" si="2223"/>
        <v>0.25028083985513472</v>
      </c>
      <c r="KN1068" s="1702">
        <f t="shared" si="2223"/>
        <v>0.23117302837458556</v>
      </c>
      <c r="KO1068" s="1702">
        <f t="shared" si="2223"/>
        <v>0.24072693411486018</v>
      </c>
    </row>
    <row r="1069" spans="1:314" s="1691" customFormat="1">
      <c r="A1069" s="1694"/>
      <c r="B1069" s="1694"/>
      <c r="C1069" s="1694"/>
      <c r="D1069" s="1694" t="s">
        <v>3394</v>
      </c>
      <c r="DB1069" s="1695"/>
      <c r="DN1069" s="1696"/>
      <c r="DZ1069" s="1696"/>
      <c r="EA1069" s="1689"/>
      <c r="EB1069" s="1689"/>
      <c r="EC1069" s="1689"/>
      <c r="ED1069" s="1689"/>
      <c r="EE1069" s="1689"/>
      <c r="EF1069" s="1689"/>
      <c r="EG1069" s="1689"/>
      <c r="EH1069" s="1689"/>
      <c r="EI1069" s="1689"/>
      <c r="EJ1069" s="1689"/>
      <c r="EK1069" s="1689"/>
      <c r="EL1069" s="1697"/>
      <c r="EM1069" s="1689"/>
      <c r="EN1069" s="1689"/>
      <c r="EO1069" s="1689"/>
      <c r="EP1069" s="1689"/>
      <c r="EQ1069" s="1689"/>
      <c r="ER1069" s="1689"/>
      <c r="ES1069" s="1689"/>
      <c r="ET1069" s="1689"/>
      <c r="EU1069" s="1689"/>
      <c r="EV1069" s="1689"/>
      <c r="EW1069" s="1689"/>
      <c r="EX1069" s="1697"/>
      <c r="EY1069" s="1689"/>
      <c r="EZ1069" s="1689"/>
      <c r="FA1069" s="1689"/>
      <c r="FB1069" s="1689"/>
      <c r="FC1069" s="1689"/>
      <c r="FD1069" s="1689"/>
      <c r="FE1069" s="1689"/>
      <c r="FF1069" s="1689"/>
      <c r="FG1069" s="1689"/>
      <c r="FH1069" s="1689"/>
      <c r="FI1069" s="1689"/>
      <c r="FJ1069" s="1697"/>
      <c r="FK1069" s="1689"/>
      <c r="FL1069" s="1689"/>
      <c r="FM1069" s="1689"/>
      <c r="FN1069" s="1689"/>
      <c r="FO1069" s="1689"/>
      <c r="FP1069" s="1689"/>
      <c r="FQ1069" s="1689"/>
      <c r="FR1069" s="1689"/>
      <c r="FS1069" s="1689"/>
      <c r="FT1069" s="1689"/>
      <c r="FU1069" s="1689"/>
      <c r="FV1069" s="1689"/>
      <c r="FW1069" s="1689"/>
      <c r="FX1069" s="1689"/>
      <c r="FY1069" s="1689"/>
      <c r="FZ1069" s="1689"/>
      <c r="GA1069" s="1689"/>
      <c r="GB1069" s="1689"/>
      <c r="GC1069" s="1689"/>
      <c r="GD1069" s="1689"/>
      <c r="GE1069" s="1689"/>
      <c r="GF1069" s="1689"/>
      <c r="GG1069" s="1689"/>
      <c r="GH1069" s="1689"/>
      <c r="GI1069" s="1689"/>
      <c r="GJ1069" s="1689"/>
      <c r="GK1069" s="1689"/>
      <c r="GL1069" s="1689"/>
      <c r="GM1069" s="1689"/>
      <c r="GN1069" s="1689"/>
      <c r="GO1069" s="1689"/>
      <c r="GP1069" s="1689"/>
      <c r="GQ1069" s="1689"/>
      <c r="GR1069" s="1689"/>
      <c r="GS1069" s="1689"/>
      <c r="GT1069" s="1689"/>
      <c r="GU1069" s="1689"/>
      <c r="GV1069" s="1689"/>
      <c r="GW1069" s="1689"/>
      <c r="GX1069" s="1689"/>
      <c r="GY1069" s="1689"/>
      <c r="GZ1069" s="1689"/>
      <c r="HA1069" s="1689"/>
      <c r="HB1069" s="1689"/>
      <c r="HC1069" s="1689"/>
      <c r="HD1069" s="1689"/>
      <c r="HE1069" s="1689"/>
      <c r="HF1069" s="1689"/>
      <c r="HG1069" s="1689"/>
      <c r="HH1069" s="1689"/>
      <c r="HI1069" s="1689"/>
      <c r="HJ1069" s="1689"/>
      <c r="HK1069" s="1689"/>
      <c r="HL1069" s="1689"/>
      <c r="HM1069" s="1689"/>
      <c r="HN1069" s="1689"/>
      <c r="HO1069" s="1689"/>
      <c r="HP1069" s="1689"/>
      <c r="HQ1069" s="1689"/>
      <c r="HR1069" s="1689"/>
      <c r="HS1069" s="1689"/>
      <c r="HT1069" s="1689"/>
      <c r="HU1069" s="1689"/>
      <c r="HV1069" s="1689"/>
      <c r="HW1069" s="1689"/>
      <c r="HX1069" s="1689"/>
      <c r="HY1069" s="1689"/>
      <c r="IB1069" s="1702">
        <f t="shared" ref="IB1069:JT1069" si="2224">IB1060/IB$1064</f>
        <v>-0.11481917657391766</v>
      </c>
      <c r="IC1069" s="1702">
        <f t="shared" si="2224"/>
        <v>-0.14936556230222719</v>
      </c>
      <c r="ID1069" s="1702">
        <f t="shared" si="2224"/>
        <v>-0.1326067799391776</v>
      </c>
      <c r="IE1069" s="1702">
        <f t="shared" si="2224"/>
        <v>-0.11689824222409113</v>
      </c>
      <c r="IF1069" s="1702">
        <f t="shared" si="2224"/>
        <v>-0.11749454331356279</v>
      </c>
      <c r="IG1069" s="1702">
        <f t="shared" si="2224"/>
        <v>-0.11720109127004583</v>
      </c>
      <c r="IH1069" s="1702">
        <f t="shared" si="2224"/>
        <v>-0.10696738203026118</v>
      </c>
      <c r="II1069" s="1702">
        <f t="shared" si="2224"/>
        <v>-9.0773378723723305E-2</v>
      </c>
      <c r="IJ1069" s="1702">
        <f t="shared" si="2224"/>
        <v>-9.8639460854472588E-2</v>
      </c>
      <c r="IK1069" s="1702">
        <f t="shared" si="2224"/>
        <v>-0.10969667581545713</v>
      </c>
      <c r="IL1069" s="1702">
        <f t="shared" si="2224"/>
        <v>-8.2409391575486934E-2</v>
      </c>
      <c r="IM1069" s="1702">
        <f t="shared" si="2224"/>
        <v>-9.5508192936500674E-2</v>
      </c>
      <c r="IN1069" s="1702">
        <f t="shared" si="2224"/>
        <v>-9.6695163035005693E-2</v>
      </c>
      <c r="IO1069" s="1702">
        <f t="shared" si="2224"/>
        <v>-9.1118287209677504E-2</v>
      </c>
      <c r="IP1069" s="1702">
        <f t="shared" si="2224"/>
        <v>-9.3854874723116974E-2</v>
      </c>
      <c r="IQ1069" s="1702">
        <f t="shared" si="2224"/>
        <v>-8.0779851540849379E-2</v>
      </c>
      <c r="IR1069" s="1702">
        <f t="shared" si="2224"/>
        <v>-0.13347490305835963</v>
      </c>
      <c r="IS1069" s="1702">
        <f t="shared" si="2224"/>
        <v>-0.10797671247663906</v>
      </c>
      <c r="IT1069" s="1702">
        <f t="shared" si="2224"/>
        <v>-0.12481242653739454</v>
      </c>
      <c r="IU1069" s="1702">
        <f t="shared" si="2224"/>
        <v>-0.14905540249873478</v>
      </c>
      <c r="IV1069" s="1702">
        <f t="shared" si="2224"/>
        <v>-0.13663688253047099</v>
      </c>
      <c r="IW1069" s="1702">
        <f t="shared" si="2224"/>
        <v>-0.15536482672914453</v>
      </c>
      <c r="IX1069" s="1702">
        <f t="shared" si="2224"/>
        <v>-0.12702306620625256</v>
      </c>
      <c r="IY1069" s="1702">
        <f t="shared" si="2224"/>
        <v>-0.14087382531670969</v>
      </c>
      <c r="IZ1069" s="1702">
        <f t="shared" si="2224"/>
        <v>-0.15827996569704364</v>
      </c>
      <c r="JA1069" s="1702">
        <f t="shared" si="2224"/>
        <v>-0.16478086812324669</v>
      </c>
      <c r="JB1069" s="1702">
        <f t="shared" si="2224"/>
        <v>-0.16169960956588217</v>
      </c>
      <c r="JC1069" s="1702">
        <f t="shared" si="2224"/>
        <v>-0.11577463392411952</v>
      </c>
      <c r="JD1069" s="1702">
        <f t="shared" si="2224"/>
        <v>-0.12310457421183184</v>
      </c>
      <c r="JE1069" s="1702">
        <f t="shared" si="2224"/>
        <v>-0.11955104139988525</v>
      </c>
      <c r="JF1069" s="1702">
        <f t="shared" si="2224"/>
        <v>-8.5872993752715107E-2</v>
      </c>
      <c r="JG1069" s="1702">
        <f t="shared" si="2224"/>
        <v>-0.12896534383078345</v>
      </c>
      <c r="JH1069" s="1702">
        <f t="shared" si="2224"/>
        <v>-0.10811117985723813</v>
      </c>
      <c r="JI1069" s="1702">
        <f t="shared" si="2224"/>
        <v>-9.3027633235221383E-2</v>
      </c>
      <c r="JJ1069" s="1702">
        <f t="shared" si="2224"/>
        <v>-7.4218415448149333E-2</v>
      </c>
      <c r="JK1069" s="1702">
        <f t="shared" si="2224"/>
        <v>-8.3344978076517584E-2</v>
      </c>
      <c r="JL1069" s="1702">
        <f t="shared" si="2224"/>
        <v>0</v>
      </c>
      <c r="JM1069" s="1702">
        <f t="shared" si="2224"/>
        <v>-8.6314281617607666E-2</v>
      </c>
      <c r="JN1069" s="1702">
        <f t="shared" si="2224"/>
        <v>-4.3157140808803833E-2</v>
      </c>
      <c r="JO1069" s="1702">
        <f t="shared" si="2224"/>
        <v>-9.5233279960814141E-2</v>
      </c>
      <c r="JP1069" s="1702">
        <f t="shared" si="2224"/>
        <v>-4.4543200131389238E-2</v>
      </c>
      <c r="JQ1069" s="1702">
        <f t="shared" si="2224"/>
        <v>-6.9888240046101682E-2</v>
      </c>
      <c r="JR1069" s="1702">
        <f t="shared" si="2224"/>
        <v>-9.014898740183179E-2</v>
      </c>
      <c r="JS1069" s="1702">
        <f t="shared" si="2224"/>
        <v>-3.5991477249717928E-2</v>
      </c>
      <c r="JT1069" s="1702">
        <f t="shared" si="2224"/>
        <v>-6.3070232325774842E-2</v>
      </c>
      <c r="JU1069" s="1702">
        <f t="shared" ref="JU1069:JZ1069" si="2225">JU1060/JU$1064</f>
        <v>-6.5100441453586982E-2</v>
      </c>
      <c r="JV1069" s="1702">
        <f t="shared" si="2225"/>
        <v>-2.852329482303697E-2</v>
      </c>
      <c r="JW1069" s="1702">
        <f t="shared" si="2225"/>
        <v>-4.6811868138311979E-2</v>
      </c>
      <c r="JX1069" s="1702">
        <f t="shared" si="2225"/>
        <v>-6.4011885418045034E-2</v>
      </c>
      <c r="JY1069" s="1702">
        <f t="shared" si="2225"/>
        <v>-2.7143250455473573E-2</v>
      </c>
      <c r="JZ1069" s="1702">
        <f t="shared" si="2225"/>
        <v>-4.5577567936759295E-2</v>
      </c>
      <c r="KA1069" s="1702">
        <f t="shared" ref="KA1069:KI1069" si="2226">KA1060/KA$1064</f>
        <v>-6.3690890181919813E-2</v>
      </c>
      <c r="KB1069" s="1702">
        <f t="shared" si="2226"/>
        <v>-2.8151974364732147E-2</v>
      </c>
      <c r="KC1069" s="1702">
        <f t="shared" si="2226"/>
        <v>-4.5921432273325957E-2</v>
      </c>
      <c r="KD1069" s="1702">
        <f t="shared" si="2226"/>
        <v>-5.1857521579022306E-2</v>
      </c>
      <c r="KE1069" s="1702">
        <f t="shared" si="2226"/>
        <v>-4.6985912411675559E-2</v>
      </c>
      <c r="KF1069" s="1702">
        <f t="shared" si="2226"/>
        <v>-4.9421716995348933E-2</v>
      </c>
      <c r="KG1069" s="1702">
        <f t="shared" si="2226"/>
        <v>-5.833654316431397E-2</v>
      </c>
      <c r="KH1069" s="1702">
        <f t="shared" si="2226"/>
        <v>-2.9238998658753925E-2</v>
      </c>
      <c r="KI1069" s="1702">
        <f t="shared" si="2226"/>
        <v>-4.3787770911533928E-2</v>
      </c>
      <c r="KJ1069" s="1702">
        <f t="shared" ref="KJ1069:KO1069" si="2227">KJ1060/KJ$1064</f>
        <v>-6.5930707704771455E-2</v>
      </c>
      <c r="KK1069" s="1702">
        <f t="shared" si="2227"/>
        <v>-3.2382044735423138E-2</v>
      </c>
      <c r="KL1069" s="1702">
        <f t="shared" si="2227"/>
        <v>-4.9156376220097296E-2</v>
      </c>
      <c r="KM1069" s="1702">
        <f t="shared" si="2227"/>
        <v>-6.0566326021533556E-2</v>
      </c>
      <c r="KN1069" s="1702">
        <f t="shared" si="2227"/>
        <v>-2.9350170869133524E-2</v>
      </c>
      <c r="KO1069" s="1702">
        <f t="shared" si="2227"/>
        <v>-4.495824844533354E-2</v>
      </c>
    </row>
    <row r="1070" spans="1:314">
      <c r="A1070" s="279"/>
      <c r="CP1070" s="280"/>
      <c r="DZ1070" s="325"/>
      <c r="EA1070" s="323"/>
      <c r="IA1070" s="96"/>
      <c r="IB1070" s="96"/>
      <c r="IC1070" s="96"/>
      <c r="IH1070" s="284"/>
    </row>
    <row r="1071" spans="1:314">
      <c r="A1071" s="279"/>
      <c r="D1071" s="96" t="s">
        <v>3249</v>
      </c>
      <c r="CP1071" s="280"/>
      <c r="EA1071" s="279"/>
      <c r="IA1071" s="96" t="s">
        <v>640</v>
      </c>
      <c r="IB1071" s="96"/>
      <c r="IC1071" s="96"/>
      <c r="ID1071" s="438">
        <f t="shared" ref="ID1071:IP1071" si="2228">+ID1</f>
        <v>2015</v>
      </c>
      <c r="IE1071" s="438">
        <f t="shared" si="2228"/>
        <v>2014</v>
      </c>
      <c r="IF1071" s="438">
        <f t="shared" si="2228"/>
        <v>2015</v>
      </c>
      <c r="IG1071" s="438">
        <f t="shared" si="2228"/>
        <v>2015</v>
      </c>
      <c r="IH1071" s="441">
        <f t="shared" si="2228"/>
        <v>2015</v>
      </c>
      <c r="II1071" s="441">
        <f t="shared" si="2228"/>
        <v>2016</v>
      </c>
      <c r="IJ1071" s="441">
        <f t="shared" si="2228"/>
        <v>2016</v>
      </c>
      <c r="IK1071" s="441">
        <f t="shared" si="2228"/>
        <v>2016</v>
      </c>
      <c r="IL1071" s="441">
        <f t="shared" si="2228"/>
        <v>2017</v>
      </c>
      <c r="IM1071" s="441">
        <f t="shared" si="2228"/>
        <v>2017</v>
      </c>
      <c r="IN1071" s="441">
        <f t="shared" si="2228"/>
        <v>2017</v>
      </c>
      <c r="IO1071" s="441">
        <f t="shared" si="2228"/>
        <v>2018</v>
      </c>
      <c r="IP1071" s="441">
        <f t="shared" si="2228"/>
        <v>2018</v>
      </c>
      <c r="IQ1071" s="441"/>
      <c r="IR1071" s="441"/>
      <c r="IS1071" s="441">
        <f>+IS1</f>
        <v>2019</v>
      </c>
      <c r="IT1071" s="441"/>
      <c r="IU1071" s="441"/>
      <c r="IV1071" s="441">
        <f>+IW1</f>
        <v>2020</v>
      </c>
      <c r="IW1071" s="441"/>
      <c r="IX1071" s="441"/>
      <c r="IY1071" s="441">
        <f>+KT1</f>
        <v>2021</v>
      </c>
      <c r="IZ1071" s="441"/>
      <c r="JA1071" s="441"/>
      <c r="JB1071" s="441"/>
      <c r="JC1071" s="441"/>
      <c r="JD1071" s="441"/>
      <c r="JE1071" s="441"/>
      <c r="JF1071" s="441"/>
      <c r="JG1071" s="441"/>
      <c r="JH1071" s="441"/>
      <c r="JI1071" s="441"/>
      <c r="JJ1071" s="441"/>
      <c r="JK1071" s="441"/>
    </row>
    <row r="1072" spans="1:314">
      <c r="A1072" s="279"/>
      <c r="D1072" s="286" t="s">
        <v>3243</v>
      </c>
      <c r="E1072" s="287"/>
      <c r="F1072" s="287"/>
      <c r="G1072" s="287"/>
      <c r="H1072" s="287"/>
      <c r="I1072" s="287"/>
      <c r="J1072" s="287"/>
      <c r="K1072" s="287"/>
      <c r="L1072" s="287"/>
      <c r="M1072" s="287"/>
      <c r="N1072" s="287"/>
      <c r="O1072" s="287"/>
      <c r="P1072" s="287"/>
      <c r="Q1072" s="287"/>
      <c r="R1072" s="287"/>
      <c r="S1072" s="287"/>
      <c r="T1072" s="287"/>
      <c r="U1072" s="287"/>
      <c r="V1072" s="287"/>
      <c r="W1072" s="287"/>
      <c r="X1072" s="287"/>
      <c r="Y1072" s="287"/>
      <c r="Z1072" s="287"/>
      <c r="AA1072" s="287"/>
      <c r="AB1072" s="287"/>
      <c r="AC1072" s="287"/>
      <c r="AD1072" s="287"/>
      <c r="AE1072" s="287"/>
      <c r="AF1072" s="287"/>
      <c r="AG1072" s="287"/>
      <c r="AH1072" s="287"/>
      <c r="AI1072" s="287"/>
      <c r="AJ1072" s="287"/>
      <c r="AK1072" s="287"/>
      <c r="AL1072" s="287"/>
      <c r="AM1072" s="287"/>
      <c r="AN1072" s="287"/>
      <c r="AO1072" s="287"/>
      <c r="AP1072" s="287"/>
      <c r="AQ1072" s="287"/>
      <c r="AR1072" s="287"/>
      <c r="AS1072" s="287"/>
      <c r="AT1072" s="287"/>
      <c r="AU1072" s="287"/>
      <c r="AV1072" s="287"/>
      <c r="AW1072" s="287"/>
      <c r="AX1072" s="287"/>
      <c r="AY1072" s="287"/>
      <c r="AZ1072" s="287"/>
      <c r="BA1072" s="287"/>
      <c r="BB1072" s="287"/>
      <c r="BC1072" s="287"/>
      <c r="BD1072" s="287"/>
      <c r="BE1072" s="287"/>
      <c r="BF1072" s="287"/>
      <c r="BG1072" s="287"/>
      <c r="BH1072" s="287"/>
      <c r="BI1072" s="287"/>
      <c r="BJ1072" s="287"/>
      <c r="BK1072" s="287"/>
      <c r="BL1072" s="287"/>
      <c r="BM1072" s="287"/>
      <c r="BN1072" s="287"/>
      <c r="BO1072" s="287"/>
      <c r="BP1072" s="287"/>
      <c r="BQ1072" s="287"/>
      <c r="BR1072" s="287"/>
      <c r="BS1072" s="287"/>
      <c r="BT1072" s="287"/>
      <c r="BU1072" s="287"/>
      <c r="BV1072" s="287"/>
      <c r="BW1072" s="287"/>
      <c r="BX1072" s="287"/>
      <c r="BY1072" s="287"/>
      <c r="BZ1072" s="287"/>
      <c r="CA1072" s="287"/>
      <c r="CB1072" s="287"/>
      <c r="CC1072" s="287"/>
      <c r="CD1072" s="287"/>
      <c r="CE1072" s="287"/>
      <c r="CF1072" s="287"/>
      <c r="CG1072" s="287"/>
      <c r="CH1072" s="287"/>
      <c r="CI1072" s="287"/>
      <c r="CJ1072" s="287"/>
      <c r="CK1072" s="287"/>
      <c r="CL1072" s="287"/>
      <c r="CM1072" s="287"/>
      <c r="CN1072" s="287"/>
      <c r="CO1072" s="287"/>
      <c r="CP1072" s="288"/>
      <c r="CQ1072" s="287"/>
      <c r="CR1072" s="287"/>
      <c r="CS1072" s="287"/>
      <c r="CT1072" s="287"/>
      <c r="CU1072" s="287"/>
      <c r="CV1072" s="287"/>
      <c r="CW1072" s="287"/>
      <c r="CX1072" s="287"/>
      <c r="CY1072" s="287"/>
      <c r="CZ1072" s="287"/>
      <c r="DA1072" s="287"/>
      <c r="DB1072" s="290"/>
      <c r="DC1072" s="287"/>
      <c r="DD1072" s="287"/>
      <c r="DE1072" s="287"/>
      <c r="DF1072" s="287"/>
      <c r="DG1072" s="287"/>
      <c r="DH1072" s="287"/>
      <c r="DI1072" s="287"/>
      <c r="DJ1072" s="287"/>
      <c r="DK1072" s="287"/>
      <c r="DL1072" s="287"/>
      <c r="DM1072" s="287"/>
      <c r="DN1072" s="288"/>
      <c r="DO1072" s="287"/>
      <c r="DP1072" s="287"/>
      <c r="DQ1072" s="287"/>
      <c r="DR1072" s="287"/>
      <c r="DS1072" s="287"/>
      <c r="DT1072" s="287"/>
      <c r="DU1072" s="287"/>
      <c r="DV1072" s="287"/>
      <c r="DW1072" s="287"/>
      <c r="DX1072" s="287"/>
      <c r="DY1072" s="287"/>
      <c r="EA1072" s="279"/>
      <c r="HZ1072" s="289"/>
      <c r="IA1072" s="286" t="s">
        <v>623</v>
      </c>
      <c r="IB1072" s="1321"/>
      <c r="IC1072" s="1321"/>
      <c r="ID1072" s="440" t="str">
        <f t="shared" ref="ID1072:IP1072" si="2229">+ID2</f>
        <v>2013/14</v>
      </c>
      <c r="IE1072" s="440" t="str">
        <f t="shared" si="2229"/>
        <v>2014/15</v>
      </c>
      <c r="IF1072" s="440" t="str">
        <f t="shared" si="2229"/>
        <v>2014/15</v>
      </c>
      <c r="IG1072" s="440" t="str">
        <f t="shared" si="2229"/>
        <v>2014/15</v>
      </c>
      <c r="IH1072" s="440" t="str">
        <f t="shared" si="2229"/>
        <v>2015/16</v>
      </c>
      <c r="II1072" s="440" t="str">
        <f t="shared" si="2229"/>
        <v>2015/16</v>
      </c>
      <c r="IJ1072" s="440" t="str">
        <f t="shared" si="2229"/>
        <v>2015/16</v>
      </c>
      <c r="IK1072" s="440" t="str">
        <f t="shared" si="2229"/>
        <v>2016/17</v>
      </c>
      <c r="IL1072" s="440" t="str">
        <f t="shared" si="2229"/>
        <v>2016/17</v>
      </c>
      <c r="IM1072" s="440" t="str">
        <f t="shared" si="2229"/>
        <v>2016/17</v>
      </c>
      <c r="IN1072" s="440" t="str">
        <f t="shared" si="2229"/>
        <v>2017/18</v>
      </c>
      <c r="IO1072" s="440" t="str">
        <f t="shared" si="2229"/>
        <v>2017/18</v>
      </c>
      <c r="IP1072" s="440" t="str">
        <f t="shared" si="2229"/>
        <v>2017/18</v>
      </c>
      <c r="IQ1072" s="440"/>
      <c r="IR1072" s="440"/>
      <c r="IS1072" s="440" t="str">
        <f>+IS2</f>
        <v>2018/19</v>
      </c>
      <c r="IT1072" s="440"/>
      <c r="IU1072" s="440"/>
      <c r="IV1072" s="440" t="str">
        <f>+IV2</f>
        <v>2019/20</v>
      </c>
      <c r="IW1072" s="440"/>
      <c r="IX1072" s="440"/>
      <c r="IY1072" s="440" t="str">
        <f>+KT2</f>
        <v>2020/2021</v>
      </c>
      <c r="IZ1072" s="440"/>
      <c r="JA1072" s="440"/>
      <c r="JB1072" s="440"/>
      <c r="JC1072" s="440"/>
      <c r="JD1072" s="440"/>
      <c r="JE1072" s="440"/>
      <c r="JF1072" s="440"/>
      <c r="JG1072" s="440"/>
      <c r="JH1072" s="440"/>
      <c r="JI1072" s="440"/>
      <c r="JJ1072" s="440"/>
      <c r="JK1072" s="440"/>
      <c r="KU1072" s="289"/>
      <c r="KV1072" s="287"/>
      <c r="KY1072" s="287"/>
      <c r="KZ1072" s="287"/>
      <c r="LA1072" s="287"/>
      <c r="LB1072" s="290"/>
    </row>
    <row r="1073" spans="1:314">
      <c r="A1073" s="279"/>
      <c r="D1073" s="347"/>
      <c r="CP1073" s="280"/>
      <c r="DZ1073" s="288"/>
      <c r="EA1073" s="287"/>
      <c r="IA1073" s="347"/>
      <c r="IB1073" s="347"/>
      <c r="IC1073" s="347"/>
      <c r="ID1073" s="437"/>
      <c r="IE1073" s="437"/>
      <c r="IF1073" s="437"/>
      <c r="IG1073" s="437"/>
      <c r="IH1073" s="437"/>
      <c r="II1073" s="437"/>
      <c r="IJ1073" s="437"/>
      <c r="IK1073" s="437"/>
      <c r="IL1073" s="437"/>
      <c r="IM1073" s="437"/>
      <c r="IN1073" s="437"/>
      <c r="IO1073" s="437"/>
      <c r="IP1073" s="437"/>
      <c r="IQ1073" s="437"/>
      <c r="IR1073" s="437"/>
      <c r="IS1073" s="437"/>
      <c r="IT1073" s="437"/>
      <c r="IU1073" s="437"/>
      <c r="IV1073" s="437"/>
      <c r="IW1073" s="437"/>
      <c r="IX1073" s="437"/>
      <c r="IY1073" s="437"/>
      <c r="IZ1073" s="437"/>
      <c r="JA1073" s="437"/>
      <c r="JB1073" s="437"/>
      <c r="JC1073" s="437"/>
      <c r="JD1073" s="437"/>
      <c r="JE1073" s="437"/>
      <c r="JF1073" s="437"/>
      <c r="JG1073" s="437"/>
      <c r="JH1073" s="437"/>
      <c r="JI1073" s="437"/>
      <c r="JJ1073" s="437"/>
      <c r="JK1073" s="437"/>
    </row>
    <row r="1074" spans="1:314">
      <c r="A1074" s="279"/>
      <c r="D1074" s="408"/>
      <c r="E1074" s="352">
        <f t="shared" ref="E1074:AM1074" si="2230">E1231</f>
        <v>39083</v>
      </c>
      <c r="F1074" s="352">
        <f t="shared" si="2230"/>
        <v>39114</v>
      </c>
      <c r="G1074" s="352">
        <f t="shared" si="2230"/>
        <v>39142</v>
      </c>
      <c r="H1074" s="352">
        <f t="shared" si="2230"/>
        <v>39173</v>
      </c>
      <c r="I1074" s="352">
        <f t="shared" si="2230"/>
        <v>39203</v>
      </c>
      <c r="J1074" s="352">
        <f t="shared" si="2230"/>
        <v>39234</v>
      </c>
      <c r="K1074" s="352">
        <f t="shared" si="2230"/>
        <v>39264</v>
      </c>
      <c r="L1074" s="352">
        <f t="shared" si="2230"/>
        <v>39295</v>
      </c>
      <c r="M1074" s="352">
        <f t="shared" si="2230"/>
        <v>39326</v>
      </c>
      <c r="N1074" s="352">
        <f t="shared" si="2230"/>
        <v>39356</v>
      </c>
      <c r="O1074" s="352">
        <f t="shared" si="2230"/>
        <v>39387</v>
      </c>
      <c r="P1074" s="352">
        <f t="shared" si="2230"/>
        <v>39417</v>
      </c>
      <c r="Q1074" s="352">
        <f t="shared" si="2230"/>
        <v>39448</v>
      </c>
      <c r="R1074" s="352">
        <f t="shared" si="2230"/>
        <v>39479</v>
      </c>
      <c r="S1074" s="352">
        <f t="shared" si="2230"/>
        <v>39508</v>
      </c>
      <c r="T1074" s="352">
        <f t="shared" si="2230"/>
        <v>39539</v>
      </c>
      <c r="U1074" s="352">
        <f t="shared" si="2230"/>
        <v>39569</v>
      </c>
      <c r="V1074" s="352">
        <f t="shared" si="2230"/>
        <v>39600</v>
      </c>
      <c r="W1074" s="352">
        <f t="shared" si="2230"/>
        <v>39630</v>
      </c>
      <c r="X1074" s="352">
        <f t="shared" si="2230"/>
        <v>39661</v>
      </c>
      <c r="Y1074" s="352">
        <f t="shared" si="2230"/>
        <v>39692</v>
      </c>
      <c r="Z1074" s="352">
        <f t="shared" si="2230"/>
        <v>39722</v>
      </c>
      <c r="AA1074" s="352">
        <f t="shared" si="2230"/>
        <v>39753</v>
      </c>
      <c r="AB1074" s="352">
        <f t="shared" si="2230"/>
        <v>39783</v>
      </c>
      <c r="AC1074" s="352">
        <f t="shared" si="2230"/>
        <v>39814</v>
      </c>
      <c r="AD1074" s="352">
        <f t="shared" si="2230"/>
        <v>39845</v>
      </c>
      <c r="AE1074" s="352">
        <f t="shared" si="2230"/>
        <v>39873</v>
      </c>
      <c r="AF1074" s="352">
        <f t="shared" si="2230"/>
        <v>39904</v>
      </c>
      <c r="AG1074" s="352">
        <f t="shared" si="2230"/>
        <v>39934</v>
      </c>
      <c r="AH1074" s="352">
        <f t="shared" si="2230"/>
        <v>39965</v>
      </c>
      <c r="AI1074" s="352">
        <f t="shared" si="2230"/>
        <v>39995</v>
      </c>
      <c r="AJ1074" s="352">
        <f t="shared" si="2230"/>
        <v>40026</v>
      </c>
      <c r="AK1074" s="352">
        <f t="shared" si="2230"/>
        <v>40057</v>
      </c>
      <c r="AL1074" s="352">
        <f t="shared" si="2230"/>
        <v>40087</v>
      </c>
      <c r="AM1074" s="352">
        <f t="shared" si="2230"/>
        <v>40118</v>
      </c>
      <c r="AN1074" s="352">
        <f>AN1231</f>
        <v>40148</v>
      </c>
      <c r="AO1074" s="352">
        <f t="shared" ref="AO1074:CC1074" si="2231">AO1231</f>
        <v>40179</v>
      </c>
      <c r="AP1074" s="352">
        <f t="shared" si="2231"/>
        <v>40210</v>
      </c>
      <c r="AQ1074" s="352">
        <f t="shared" si="2231"/>
        <v>40238</v>
      </c>
      <c r="AR1074" s="352">
        <f t="shared" si="2231"/>
        <v>40269</v>
      </c>
      <c r="AS1074" s="352">
        <f t="shared" si="2231"/>
        <v>40299</v>
      </c>
      <c r="AT1074" s="352">
        <f t="shared" si="2231"/>
        <v>40330</v>
      </c>
      <c r="AU1074" s="352">
        <f t="shared" si="2231"/>
        <v>40360</v>
      </c>
      <c r="AV1074" s="352">
        <f t="shared" si="2231"/>
        <v>40391</v>
      </c>
      <c r="AW1074" s="352">
        <f t="shared" si="2231"/>
        <v>40422</v>
      </c>
      <c r="AX1074" s="352">
        <f t="shared" si="2231"/>
        <v>40452</v>
      </c>
      <c r="AY1074" s="352">
        <f t="shared" si="2231"/>
        <v>40483</v>
      </c>
      <c r="AZ1074" s="352">
        <f t="shared" si="2231"/>
        <v>40513</v>
      </c>
      <c r="BA1074" s="352">
        <f t="shared" si="2231"/>
        <v>40544</v>
      </c>
      <c r="BB1074" s="352">
        <f t="shared" si="2231"/>
        <v>40575</v>
      </c>
      <c r="BC1074" s="352">
        <f t="shared" si="2231"/>
        <v>40603</v>
      </c>
      <c r="BD1074" s="352">
        <f t="shared" si="2231"/>
        <v>40634</v>
      </c>
      <c r="BE1074" s="352">
        <f t="shared" si="2231"/>
        <v>40664</v>
      </c>
      <c r="BF1074" s="352">
        <f t="shared" si="2231"/>
        <v>40695</v>
      </c>
      <c r="BG1074" s="352">
        <f t="shared" si="2231"/>
        <v>40725</v>
      </c>
      <c r="BH1074" s="352">
        <f t="shared" si="2231"/>
        <v>40756</v>
      </c>
      <c r="BI1074" s="352">
        <f t="shared" si="2231"/>
        <v>40787</v>
      </c>
      <c r="BJ1074" s="352">
        <f t="shared" si="2231"/>
        <v>40817</v>
      </c>
      <c r="BK1074" s="352">
        <f t="shared" si="2231"/>
        <v>40848</v>
      </c>
      <c r="BL1074" s="352">
        <f t="shared" si="2231"/>
        <v>40878</v>
      </c>
      <c r="BM1074" s="352">
        <f t="shared" si="2231"/>
        <v>40909</v>
      </c>
      <c r="BN1074" s="352">
        <f t="shared" si="2231"/>
        <v>40940</v>
      </c>
      <c r="BO1074" s="352">
        <f t="shared" si="2231"/>
        <v>40969</v>
      </c>
      <c r="BP1074" s="352">
        <f t="shared" si="2231"/>
        <v>41000</v>
      </c>
      <c r="BQ1074" s="352">
        <f t="shared" si="2231"/>
        <v>41030</v>
      </c>
      <c r="BR1074" s="352">
        <f t="shared" si="2231"/>
        <v>41061</v>
      </c>
      <c r="BS1074" s="352">
        <f t="shared" si="2231"/>
        <v>41091</v>
      </c>
      <c r="BT1074" s="352">
        <f t="shared" si="2231"/>
        <v>41122</v>
      </c>
      <c r="BU1074" s="352">
        <f t="shared" si="2231"/>
        <v>41153</v>
      </c>
      <c r="BV1074" s="352">
        <f t="shared" si="2231"/>
        <v>41183</v>
      </c>
      <c r="BW1074" s="352">
        <f t="shared" si="2231"/>
        <v>41214</v>
      </c>
      <c r="BX1074" s="352">
        <f t="shared" si="2231"/>
        <v>41244</v>
      </c>
      <c r="BY1074" s="352">
        <f t="shared" si="2231"/>
        <v>41275</v>
      </c>
      <c r="BZ1074" s="352">
        <f t="shared" si="2231"/>
        <v>41306</v>
      </c>
      <c r="CA1074" s="352">
        <f t="shared" si="2231"/>
        <v>41334</v>
      </c>
      <c r="CB1074" s="352">
        <f t="shared" si="2231"/>
        <v>41365</v>
      </c>
      <c r="CC1074" s="352">
        <f t="shared" si="2231"/>
        <v>41395</v>
      </c>
      <c r="CD1074" s="451">
        <f t="shared" ref="CD1074:DI1074" si="2232">+CD1</f>
        <v>41426</v>
      </c>
      <c r="CE1074" s="451">
        <f t="shared" si="2232"/>
        <v>41456</v>
      </c>
      <c r="CF1074" s="451">
        <f t="shared" si="2232"/>
        <v>41487</v>
      </c>
      <c r="CG1074" s="451">
        <f t="shared" si="2232"/>
        <v>41518</v>
      </c>
      <c r="CH1074" s="451">
        <f t="shared" si="2232"/>
        <v>41548</v>
      </c>
      <c r="CI1074" s="451">
        <f t="shared" si="2232"/>
        <v>41579</v>
      </c>
      <c r="CJ1074" s="451">
        <f t="shared" si="2232"/>
        <v>41609</v>
      </c>
      <c r="CK1074" s="451">
        <f t="shared" si="2232"/>
        <v>41640</v>
      </c>
      <c r="CL1074" s="451">
        <f t="shared" si="2232"/>
        <v>41671</v>
      </c>
      <c r="CM1074" s="451">
        <f t="shared" si="2232"/>
        <v>41699</v>
      </c>
      <c r="CN1074" s="451">
        <f t="shared" si="2232"/>
        <v>41730</v>
      </c>
      <c r="CO1074" s="451">
        <f t="shared" si="2232"/>
        <v>41760</v>
      </c>
      <c r="CP1074" s="624">
        <f t="shared" si="2232"/>
        <v>41791</v>
      </c>
      <c r="CQ1074" s="451">
        <f t="shared" si="2232"/>
        <v>41821</v>
      </c>
      <c r="CR1074" s="451">
        <f t="shared" si="2232"/>
        <v>41852</v>
      </c>
      <c r="CS1074" s="451">
        <f t="shared" si="2232"/>
        <v>41883</v>
      </c>
      <c r="CT1074" s="451">
        <f t="shared" si="2232"/>
        <v>41913</v>
      </c>
      <c r="CU1074" s="451">
        <f t="shared" si="2232"/>
        <v>41944</v>
      </c>
      <c r="CV1074" s="451">
        <f t="shared" si="2232"/>
        <v>41974</v>
      </c>
      <c r="CW1074" s="451">
        <f t="shared" si="2232"/>
        <v>42005</v>
      </c>
      <c r="CX1074" s="451">
        <f t="shared" si="2232"/>
        <v>42036</v>
      </c>
      <c r="CY1074" s="451">
        <f t="shared" si="2232"/>
        <v>42064</v>
      </c>
      <c r="CZ1074" s="451">
        <f t="shared" si="2232"/>
        <v>42095</v>
      </c>
      <c r="DA1074" s="451">
        <f t="shared" si="2232"/>
        <v>42125</v>
      </c>
      <c r="DB1074" s="1308">
        <f t="shared" si="2232"/>
        <v>42156</v>
      </c>
      <c r="DC1074" s="451">
        <f t="shared" si="2232"/>
        <v>42186</v>
      </c>
      <c r="DD1074" s="451">
        <f t="shared" si="2232"/>
        <v>42217</v>
      </c>
      <c r="DE1074" s="451">
        <f t="shared" si="2232"/>
        <v>42248</v>
      </c>
      <c r="DF1074" s="451">
        <f t="shared" si="2232"/>
        <v>42278</v>
      </c>
      <c r="DG1074" s="451">
        <f t="shared" si="2232"/>
        <v>42309</v>
      </c>
      <c r="DH1074" s="451">
        <f t="shared" si="2232"/>
        <v>42339</v>
      </c>
      <c r="DI1074" s="451">
        <f t="shared" si="2232"/>
        <v>42370</v>
      </c>
      <c r="DJ1074" s="451">
        <f t="shared" ref="DJ1074:EO1074" si="2233">+DJ1</f>
        <v>42401</v>
      </c>
      <c r="DK1074" s="451">
        <f t="shared" si="2233"/>
        <v>42430</v>
      </c>
      <c r="DL1074" s="451">
        <f t="shared" si="2233"/>
        <v>42461</v>
      </c>
      <c r="DM1074" s="451">
        <f t="shared" si="2233"/>
        <v>42491</v>
      </c>
      <c r="DN1074" s="624">
        <f t="shared" si="2233"/>
        <v>42522</v>
      </c>
      <c r="DO1074" s="451">
        <f t="shared" si="2233"/>
        <v>42552</v>
      </c>
      <c r="DP1074" s="451">
        <f t="shared" si="2233"/>
        <v>42583</v>
      </c>
      <c r="DQ1074" s="451">
        <f t="shared" si="2233"/>
        <v>42615</v>
      </c>
      <c r="DR1074" s="451">
        <f t="shared" si="2233"/>
        <v>42646</v>
      </c>
      <c r="DS1074" s="451">
        <f t="shared" si="2233"/>
        <v>42678</v>
      </c>
      <c r="DT1074" s="451">
        <f t="shared" si="2233"/>
        <v>42709</v>
      </c>
      <c r="DU1074" s="451">
        <f t="shared" si="2233"/>
        <v>42736</v>
      </c>
      <c r="DV1074" s="451">
        <f t="shared" si="2233"/>
        <v>42767</v>
      </c>
      <c r="DW1074" s="451">
        <f t="shared" si="2233"/>
        <v>42795</v>
      </c>
      <c r="DX1074" s="451">
        <f t="shared" si="2233"/>
        <v>42826</v>
      </c>
      <c r="DY1074" s="451">
        <f t="shared" si="2233"/>
        <v>42856</v>
      </c>
      <c r="DZ1074" s="624">
        <f t="shared" si="2233"/>
        <v>42887</v>
      </c>
      <c r="EA1074" s="451">
        <f t="shared" si="2233"/>
        <v>42917</v>
      </c>
      <c r="EB1074" s="451">
        <f t="shared" si="2233"/>
        <v>42948</v>
      </c>
      <c r="EC1074" s="451">
        <f t="shared" si="2233"/>
        <v>42979</v>
      </c>
      <c r="ED1074" s="451">
        <f t="shared" si="2233"/>
        <v>43009</v>
      </c>
      <c r="EE1074" s="451">
        <f t="shared" si="2233"/>
        <v>43040</v>
      </c>
      <c r="EF1074" s="451">
        <f t="shared" si="2233"/>
        <v>43070</v>
      </c>
      <c r="EG1074" s="451">
        <f t="shared" si="2233"/>
        <v>43101</v>
      </c>
      <c r="EH1074" s="451">
        <f t="shared" si="2233"/>
        <v>43132</v>
      </c>
      <c r="EI1074" s="451">
        <f t="shared" si="2233"/>
        <v>43160</v>
      </c>
      <c r="EJ1074" s="451">
        <f t="shared" si="2233"/>
        <v>43191</v>
      </c>
      <c r="EK1074" s="451">
        <f t="shared" si="2233"/>
        <v>43221</v>
      </c>
      <c r="EL1074" s="624">
        <f t="shared" si="2233"/>
        <v>43252</v>
      </c>
      <c r="EM1074" s="451">
        <f t="shared" si="2233"/>
        <v>43282</v>
      </c>
      <c r="EN1074" s="451">
        <f t="shared" si="2233"/>
        <v>43313</v>
      </c>
      <c r="EO1074" s="451">
        <f t="shared" si="2233"/>
        <v>43344</v>
      </c>
      <c r="EP1074" s="451">
        <f t="shared" ref="EP1074:FU1074" si="2234">+EP1</f>
        <v>43374</v>
      </c>
      <c r="EQ1074" s="451">
        <f t="shared" si="2234"/>
        <v>43405</v>
      </c>
      <c r="ER1074" s="451">
        <f t="shared" si="2234"/>
        <v>43435</v>
      </c>
      <c r="ES1074" s="451">
        <f t="shared" si="2234"/>
        <v>43466</v>
      </c>
      <c r="ET1074" s="451">
        <f t="shared" si="2234"/>
        <v>43497</v>
      </c>
      <c r="EU1074" s="451">
        <f t="shared" si="2234"/>
        <v>43525</v>
      </c>
      <c r="EV1074" s="451">
        <f t="shared" si="2234"/>
        <v>43556</v>
      </c>
      <c r="EW1074" s="451">
        <f t="shared" si="2234"/>
        <v>43586</v>
      </c>
      <c r="EX1074" s="624">
        <f t="shared" si="2234"/>
        <v>43617</v>
      </c>
      <c r="EY1074" s="451">
        <f t="shared" si="2234"/>
        <v>43647</v>
      </c>
      <c r="EZ1074" s="451">
        <f t="shared" si="2234"/>
        <v>43678</v>
      </c>
      <c r="FA1074" s="451">
        <f t="shared" si="2234"/>
        <v>43709</v>
      </c>
      <c r="FB1074" s="451">
        <f t="shared" si="2234"/>
        <v>43739</v>
      </c>
      <c r="FC1074" s="451">
        <f t="shared" si="2234"/>
        <v>43770</v>
      </c>
      <c r="FD1074" s="451">
        <f t="shared" si="2234"/>
        <v>43800</v>
      </c>
      <c r="FE1074" s="451">
        <f t="shared" si="2234"/>
        <v>43831</v>
      </c>
      <c r="FF1074" s="451">
        <f t="shared" si="2234"/>
        <v>43862</v>
      </c>
      <c r="FG1074" s="451">
        <f t="shared" si="2234"/>
        <v>43891</v>
      </c>
      <c r="FH1074" s="451">
        <f t="shared" si="2234"/>
        <v>43922</v>
      </c>
      <c r="FI1074" s="451">
        <f t="shared" si="2234"/>
        <v>43952</v>
      </c>
      <c r="FJ1074" s="624">
        <f t="shared" si="2234"/>
        <v>43983</v>
      </c>
      <c r="FK1074" s="451">
        <f t="shared" si="2234"/>
        <v>44013</v>
      </c>
      <c r="FL1074" s="451">
        <f t="shared" si="2234"/>
        <v>44044</v>
      </c>
      <c r="FM1074" s="451">
        <f t="shared" si="2234"/>
        <v>44075</v>
      </c>
      <c r="FN1074" s="451">
        <f t="shared" si="2234"/>
        <v>44105</v>
      </c>
      <c r="FO1074" s="451">
        <f t="shared" si="2234"/>
        <v>44136</v>
      </c>
      <c r="FP1074" s="451">
        <f t="shared" si="2234"/>
        <v>44166</v>
      </c>
      <c r="FQ1074" s="451">
        <f t="shared" si="2234"/>
        <v>44197</v>
      </c>
      <c r="FR1074" s="451">
        <f t="shared" si="2234"/>
        <v>44228</v>
      </c>
      <c r="FS1074" s="451">
        <f t="shared" si="2234"/>
        <v>44256</v>
      </c>
      <c r="FT1074" s="451">
        <f t="shared" si="2234"/>
        <v>44287</v>
      </c>
      <c r="FU1074" s="451">
        <f t="shared" si="2234"/>
        <v>44317</v>
      </c>
      <c r="FV1074" s="624">
        <f t="shared" ref="FV1074:GH1074" si="2235">+FV1</f>
        <v>44348</v>
      </c>
      <c r="FW1074" s="451">
        <f t="shared" si="2235"/>
        <v>44378</v>
      </c>
      <c r="FX1074" s="451">
        <f t="shared" si="2235"/>
        <v>44409</v>
      </c>
      <c r="FY1074" s="451">
        <f t="shared" si="2235"/>
        <v>44440</v>
      </c>
      <c r="FZ1074" s="451">
        <f t="shared" si="2235"/>
        <v>44470</v>
      </c>
      <c r="GA1074" s="451">
        <f t="shared" si="2235"/>
        <v>44501</v>
      </c>
      <c r="GB1074" s="451">
        <f t="shared" si="2235"/>
        <v>44531</v>
      </c>
      <c r="GC1074" s="451">
        <f t="shared" si="2235"/>
        <v>44562</v>
      </c>
      <c r="GD1074" s="451">
        <f t="shared" si="2235"/>
        <v>44593</v>
      </c>
      <c r="GE1074" s="451">
        <f t="shared" si="2235"/>
        <v>44621</v>
      </c>
      <c r="GF1074" s="451">
        <f t="shared" si="2235"/>
        <v>44652</v>
      </c>
      <c r="GG1074" s="451">
        <f t="shared" si="2235"/>
        <v>44682</v>
      </c>
      <c r="GH1074" s="451">
        <f t="shared" si="2235"/>
        <v>44713</v>
      </c>
      <c r="IA1074" s="408"/>
      <c r="IB1074" s="408"/>
      <c r="IC1074" s="408"/>
      <c r="ID1074" s="437" t="str">
        <f>+ID3</f>
        <v>Proj.</v>
      </c>
      <c r="IH1074" s="284"/>
    </row>
    <row r="1075" spans="1:314">
      <c r="A1075" s="279"/>
      <c r="B1075" s="96" t="s">
        <v>338</v>
      </c>
      <c r="D1075" s="408" t="str">
        <f>D$754</f>
        <v xml:space="preserve">REVENUE </v>
      </c>
      <c r="E1075" s="409">
        <f>E$754</f>
        <v>0</v>
      </c>
      <c r="F1075" s="409">
        <f t="shared" ref="F1075:L1075" si="2236">F$754</f>
        <v>0</v>
      </c>
      <c r="G1075" s="409">
        <f t="shared" si="2236"/>
        <v>0</v>
      </c>
      <c r="H1075" s="409">
        <f t="shared" si="2236"/>
        <v>0</v>
      </c>
      <c r="I1075" s="409">
        <f t="shared" si="2236"/>
        <v>0</v>
      </c>
      <c r="J1075" s="409">
        <f t="shared" si="2236"/>
        <v>0</v>
      </c>
      <c r="K1075" s="409">
        <f t="shared" si="2236"/>
        <v>0</v>
      </c>
      <c r="L1075" s="409">
        <f t="shared" si="2236"/>
        <v>0</v>
      </c>
      <c r="M1075" s="409">
        <f t="shared" ref="M1075:AW1075" si="2237">M$754</f>
        <v>0</v>
      </c>
      <c r="N1075" s="409">
        <f t="shared" si="2237"/>
        <v>0</v>
      </c>
      <c r="O1075" s="409">
        <f t="shared" si="2237"/>
        <v>0</v>
      </c>
      <c r="P1075" s="409">
        <f t="shared" si="2237"/>
        <v>0</v>
      </c>
      <c r="Q1075" s="409">
        <f t="shared" si="2237"/>
        <v>0</v>
      </c>
      <c r="R1075" s="409">
        <f t="shared" si="2237"/>
        <v>0</v>
      </c>
      <c r="S1075" s="409">
        <f t="shared" si="2237"/>
        <v>0</v>
      </c>
      <c r="T1075" s="409">
        <f t="shared" si="2237"/>
        <v>0</v>
      </c>
      <c r="U1075" s="409">
        <f t="shared" si="2237"/>
        <v>0</v>
      </c>
      <c r="V1075" s="409">
        <f t="shared" si="2237"/>
        <v>0</v>
      </c>
      <c r="W1075" s="409">
        <f t="shared" si="2237"/>
        <v>0</v>
      </c>
      <c r="X1075" s="409">
        <f t="shared" si="2237"/>
        <v>0</v>
      </c>
      <c r="Y1075" s="409">
        <f t="shared" si="2237"/>
        <v>0</v>
      </c>
      <c r="Z1075" s="409">
        <f t="shared" si="2237"/>
        <v>0</v>
      </c>
      <c r="AA1075" s="409">
        <f t="shared" si="2237"/>
        <v>0</v>
      </c>
      <c r="AB1075" s="409">
        <f t="shared" si="2237"/>
        <v>0</v>
      </c>
      <c r="AC1075" s="409">
        <f t="shared" si="2237"/>
        <v>0</v>
      </c>
      <c r="AD1075" s="409">
        <f t="shared" si="2237"/>
        <v>0</v>
      </c>
      <c r="AE1075" s="409">
        <f t="shared" si="2237"/>
        <v>0</v>
      </c>
      <c r="AF1075" s="409">
        <f t="shared" si="2237"/>
        <v>0</v>
      </c>
      <c r="AG1075" s="409">
        <f t="shared" si="2237"/>
        <v>0</v>
      </c>
      <c r="AH1075" s="409">
        <f t="shared" si="2237"/>
        <v>0</v>
      </c>
      <c r="AI1075" s="409">
        <f t="shared" si="2237"/>
        <v>0</v>
      </c>
      <c r="AJ1075" s="409">
        <f t="shared" si="2237"/>
        <v>0</v>
      </c>
      <c r="AK1075" s="409">
        <f t="shared" si="2237"/>
        <v>0</v>
      </c>
      <c r="AL1075" s="409">
        <f t="shared" si="2237"/>
        <v>0</v>
      </c>
      <c r="AM1075" s="409">
        <f t="shared" si="2237"/>
        <v>0</v>
      </c>
      <c r="AN1075" s="409">
        <f t="shared" si="2237"/>
        <v>0</v>
      </c>
      <c r="AO1075" s="409">
        <f t="shared" si="2237"/>
        <v>50.764051338100003</v>
      </c>
      <c r="AP1075" s="409">
        <f t="shared" si="2237"/>
        <v>27.464071189399998</v>
      </c>
      <c r="AQ1075" s="409">
        <f t="shared" si="2237"/>
        <v>52.704604605700005</v>
      </c>
      <c r="AR1075" s="409">
        <f t="shared" si="2237"/>
        <v>52.450684614687695</v>
      </c>
      <c r="AS1075" s="409">
        <f t="shared" si="2237"/>
        <v>37.514520986539999</v>
      </c>
      <c r="AT1075" s="409">
        <f t="shared" si="2237"/>
        <v>145.81842276795999</v>
      </c>
      <c r="AU1075" s="409">
        <f t="shared" si="2237"/>
        <v>45.242107081518114</v>
      </c>
      <c r="AV1075" s="409">
        <f t="shared" si="2237"/>
        <v>41.216609372966381</v>
      </c>
      <c r="AW1075" s="409">
        <f t="shared" si="2237"/>
        <v>99.511322758994424</v>
      </c>
      <c r="AX1075" s="409">
        <f t="shared" ref="AX1075:BP1075" si="2238">AX$754</f>
        <v>77.047074561920894</v>
      </c>
      <c r="AY1075" s="409">
        <f t="shared" si="2238"/>
        <v>51.908946840943649</v>
      </c>
      <c r="AZ1075" s="409">
        <f t="shared" si="2238"/>
        <v>164.83524409942342</v>
      </c>
      <c r="BA1075" s="409">
        <f t="shared" si="2238"/>
        <v>47.685840098106972</v>
      </c>
      <c r="BB1075" s="409">
        <f t="shared" si="2238"/>
        <v>42.204233708412133</v>
      </c>
      <c r="BC1075" s="409">
        <f t="shared" si="2238"/>
        <v>58.428774369228194</v>
      </c>
      <c r="BD1075" s="409">
        <f t="shared" si="2238"/>
        <v>125.52862767270642</v>
      </c>
      <c r="BE1075" s="409">
        <f t="shared" si="2238"/>
        <v>49.905182617244385</v>
      </c>
      <c r="BF1075" s="409">
        <f t="shared" si="2238"/>
        <v>84.826683068776774</v>
      </c>
      <c r="BG1075" s="409">
        <f t="shared" si="2238"/>
        <v>84.863712009047049</v>
      </c>
      <c r="BH1075" s="409">
        <f t="shared" si="2238"/>
        <v>87.431064078743631</v>
      </c>
      <c r="BI1075" s="409">
        <f t="shared" si="2238"/>
        <v>90.991184823855434</v>
      </c>
      <c r="BJ1075" s="409">
        <f t="shared" si="2238"/>
        <v>139.53374566348828</v>
      </c>
      <c r="BK1075" s="409">
        <f t="shared" si="2238"/>
        <v>59.901284263126023</v>
      </c>
      <c r="BL1075" s="409">
        <f t="shared" si="2238"/>
        <v>150.86878106347314</v>
      </c>
      <c r="BM1075" s="409">
        <f t="shared" si="2238"/>
        <v>49.199301889464422</v>
      </c>
      <c r="BN1075" s="409">
        <f t="shared" si="2238"/>
        <v>54.865402846602905</v>
      </c>
      <c r="BO1075" s="409">
        <f t="shared" si="2238"/>
        <v>87.325823345340822</v>
      </c>
      <c r="BP1075" s="409">
        <f t="shared" si="2238"/>
        <v>48.881244038379769</v>
      </c>
      <c r="BQ1075" s="409">
        <f t="shared" ref="BQ1075:EB1075" si="2239">BQ$754</f>
        <v>58.226618850201561</v>
      </c>
      <c r="BR1075" s="409">
        <f t="shared" si="2239"/>
        <v>150.36567512421823</v>
      </c>
      <c r="BS1075" s="409">
        <f t="shared" si="2239"/>
        <v>90.36355308905361</v>
      </c>
      <c r="BT1075" s="409">
        <f t="shared" si="2239"/>
        <v>66.12355607797042</v>
      </c>
      <c r="BU1075" s="409">
        <f t="shared" si="2239"/>
        <v>79.559246208253612</v>
      </c>
      <c r="BV1075" s="409">
        <f t="shared" si="2239"/>
        <v>116.26442904656267</v>
      </c>
      <c r="BW1075" s="409">
        <f t="shared" si="2239"/>
        <v>90.734610517433737</v>
      </c>
      <c r="BX1075" s="409">
        <f t="shared" si="2239"/>
        <v>102.06349611236305</v>
      </c>
      <c r="BY1075" s="409">
        <f t="shared" si="2239"/>
        <v>53.009081867357082</v>
      </c>
      <c r="BZ1075" s="409">
        <f t="shared" si="2239"/>
        <v>56.599137084425003</v>
      </c>
      <c r="CA1075" s="409">
        <f t="shared" si="2239"/>
        <v>110.14968963268464</v>
      </c>
      <c r="CB1075" s="409">
        <f t="shared" si="2239"/>
        <v>91.758888527829711</v>
      </c>
      <c r="CC1075" s="409">
        <f t="shared" si="2239"/>
        <v>106.25504840687425</v>
      </c>
      <c r="CD1075" s="410">
        <f t="shared" si="2239"/>
        <v>60.628299093566639</v>
      </c>
      <c r="CE1075" s="409">
        <f t="shared" si="2239"/>
        <v>82.685163190403983</v>
      </c>
      <c r="CF1075" s="409">
        <f t="shared" si="2239"/>
        <v>100.57501141659461</v>
      </c>
      <c r="CG1075" s="409">
        <f t="shared" si="2239"/>
        <v>144.83236343818794</v>
      </c>
      <c r="CH1075" s="409">
        <f t="shared" si="2239"/>
        <v>130.50979666979984</v>
      </c>
      <c r="CI1075" s="409">
        <f t="shared" si="2239"/>
        <v>94.72419237543815</v>
      </c>
      <c r="CJ1075" s="409">
        <f t="shared" si="2239"/>
        <v>149.04992806584778</v>
      </c>
      <c r="CK1075" s="409">
        <f t="shared" si="2239"/>
        <v>85.966192720506342</v>
      </c>
      <c r="CL1075" s="409">
        <f t="shared" si="2239"/>
        <v>78.100962569555776</v>
      </c>
      <c r="CM1075" s="409">
        <f t="shared" si="2239"/>
        <v>103.25846458630221</v>
      </c>
      <c r="CN1075" s="409">
        <f t="shared" si="2239"/>
        <v>120.24400415745573</v>
      </c>
      <c r="CO1075" s="409">
        <f t="shared" si="2239"/>
        <v>104.05976888760976</v>
      </c>
      <c r="CP1075" s="412">
        <f t="shared" si="2239"/>
        <v>144.78464070659047</v>
      </c>
      <c r="CQ1075" s="411">
        <f t="shared" si="2239"/>
        <v>97.920965172476912</v>
      </c>
      <c r="CR1075" s="411">
        <f t="shared" si="2239"/>
        <v>86.224940333926114</v>
      </c>
      <c r="CS1075" s="411">
        <f t="shared" si="2239"/>
        <v>117.20928087688272</v>
      </c>
      <c r="CT1075" s="411">
        <f t="shared" si="2239"/>
        <v>100.85749179386798</v>
      </c>
      <c r="CU1075" s="411">
        <f t="shared" si="2239"/>
        <v>97.299391171813085</v>
      </c>
      <c r="CV1075" s="411">
        <f t="shared" si="2239"/>
        <v>190.00314384894824</v>
      </c>
      <c r="CW1075" s="411">
        <f t="shared" si="2239"/>
        <v>89.552012981353641</v>
      </c>
      <c r="CX1075" s="411">
        <f t="shared" si="2239"/>
        <v>81.816984367428347</v>
      </c>
      <c r="CY1075" s="411">
        <f t="shared" si="2239"/>
        <v>172.40699314343357</v>
      </c>
      <c r="CZ1075" s="411">
        <f t="shared" si="2239"/>
        <v>118.71610216913216</v>
      </c>
      <c r="DA1075" s="411">
        <f t="shared" si="2239"/>
        <v>124.36734037722404</v>
      </c>
      <c r="DB1075" s="1309">
        <f t="shared" si="2239"/>
        <v>142.33205433880741</v>
      </c>
      <c r="DC1075" s="409">
        <f t="shared" si="2239"/>
        <v>102.0880767810843</v>
      </c>
      <c r="DD1075" s="409">
        <f t="shared" si="2239"/>
        <v>95.697050271437831</v>
      </c>
      <c r="DE1075" s="409">
        <f t="shared" si="2239"/>
        <v>138.09599026285105</v>
      </c>
      <c r="DF1075" s="409">
        <f t="shared" si="2239"/>
        <v>114.36960915083218</v>
      </c>
      <c r="DG1075" s="409">
        <f t="shared" si="2239"/>
        <v>115.45476893736439</v>
      </c>
      <c r="DH1075" s="409">
        <f t="shared" si="2239"/>
        <v>175.194859244756</v>
      </c>
      <c r="DI1075" s="409">
        <f t="shared" si="2239"/>
        <v>91.968916539472175</v>
      </c>
      <c r="DJ1075" s="409">
        <f t="shared" si="2239"/>
        <v>92.451046572176182</v>
      </c>
      <c r="DK1075" s="409">
        <f t="shared" si="2239"/>
        <v>168.45863078303569</v>
      </c>
      <c r="DL1075" s="409">
        <f t="shared" si="2239"/>
        <v>149.33098099906874</v>
      </c>
      <c r="DM1075" s="409">
        <f t="shared" si="2239"/>
        <v>103.63545642586396</v>
      </c>
      <c r="DN1075" s="412">
        <f t="shared" si="2239"/>
        <v>194.93171747802916</v>
      </c>
      <c r="DO1075" s="409">
        <f t="shared" si="2239"/>
        <v>105.12941494352958</v>
      </c>
      <c r="DP1075" s="409">
        <f t="shared" si="2239"/>
        <v>103.50122668955723</v>
      </c>
      <c r="DQ1075" s="409">
        <f t="shared" si="2239"/>
        <v>141.31937649028202</v>
      </c>
      <c r="DR1075" s="409">
        <f t="shared" si="2239"/>
        <v>85.90705526991394</v>
      </c>
      <c r="DS1075" s="409">
        <f t="shared" si="2239"/>
        <v>111.71973032166133</v>
      </c>
      <c r="DT1075" s="409">
        <f t="shared" si="2239"/>
        <v>207.27275826846324</v>
      </c>
      <c r="DU1075" s="409">
        <f t="shared" si="2239"/>
        <v>116.87272491782738</v>
      </c>
      <c r="DV1075" s="409">
        <f t="shared" si="2239"/>
        <v>98.678684816142209</v>
      </c>
      <c r="DW1075" s="409">
        <f t="shared" si="2239"/>
        <v>184.88628293480969</v>
      </c>
      <c r="DX1075" s="409">
        <f t="shared" si="2239"/>
        <v>101.11040371074837</v>
      </c>
      <c r="DY1075" s="409">
        <f t="shared" si="2239"/>
        <v>103.52338653812733</v>
      </c>
      <c r="DZ1075" s="412">
        <f t="shared" si="2239"/>
        <v>235.82950309044404</v>
      </c>
      <c r="EA1075" s="409">
        <f t="shared" si="2239"/>
        <v>116.77476430486975</v>
      </c>
      <c r="EB1075" s="409">
        <f t="shared" si="2239"/>
        <v>109.03700026533585</v>
      </c>
      <c r="EC1075" s="409">
        <f t="shared" ref="EC1075:GH1075" si="2240">EC$754</f>
        <v>154.97700893858342</v>
      </c>
      <c r="ED1075" s="409">
        <f t="shared" si="2240"/>
        <v>141.19142104505261</v>
      </c>
      <c r="EE1075" s="409">
        <f t="shared" si="2240"/>
        <v>118.54924088921811</v>
      </c>
      <c r="EF1075" s="409">
        <f t="shared" si="2240"/>
        <v>228.1385080198537</v>
      </c>
      <c r="EG1075" s="409">
        <f t="shared" si="2240"/>
        <v>154.50383560054379</v>
      </c>
      <c r="EH1075" s="409">
        <f t="shared" si="2240"/>
        <v>105.39744803020612</v>
      </c>
      <c r="EI1075" s="409">
        <f t="shared" si="2240"/>
        <v>188.44142721217924</v>
      </c>
      <c r="EJ1075" s="409">
        <f t="shared" si="2240"/>
        <v>160.9819872996062</v>
      </c>
      <c r="EK1075" s="409">
        <f t="shared" si="2240"/>
        <v>113.76589413249556</v>
      </c>
      <c r="EL1075" s="412">
        <f t="shared" si="2240"/>
        <v>189.79211690448045</v>
      </c>
      <c r="EM1075" s="409">
        <f t="shared" si="2240"/>
        <v>120.22438695535122</v>
      </c>
      <c r="EN1075" s="409">
        <f t="shared" si="2240"/>
        <v>177.05111501416377</v>
      </c>
      <c r="EO1075" s="409">
        <f t="shared" si="2240"/>
        <v>195.09194664382187</v>
      </c>
      <c r="EP1075" s="409">
        <f t="shared" si="2240"/>
        <v>145.90375253753786</v>
      </c>
      <c r="EQ1075" s="409">
        <f t="shared" si="2240"/>
        <v>117.40491916855672</v>
      </c>
      <c r="ER1075" s="409">
        <f t="shared" si="2240"/>
        <v>284.75043852089505</v>
      </c>
      <c r="ES1075" s="409">
        <f t="shared" si="2240"/>
        <v>153.58628163057952</v>
      </c>
      <c r="ET1075" s="409">
        <f t="shared" si="2240"/>
        <v>152.15785626601814</v>
      </c>
      <c r="EU1075" s="409">
        <f t="shared" si="2240"/>
        <v>198.77553167169151</v>
      </c>
      <c r="EV1075" s="409">
        <f t="shared" si="2240"/>
        <v>176.4318138988844</v>
      </c>
      <c r="EW1075" s="409">
        <f t="shared" si="2240"/>
        <v>130.62862058169628</v>
      </c>
      <c r="EX1075" s="412">
        <f t="shared" si="2240"/>
        <v>213.02070854854497</v>
      </c>
      <c r="EY1075" s="409">
        <f t="shared" si="2240"/>
        <v>147.07637366835445</v>
      </c>
      <c r="EZ1075" s="409">
        <f t="shared" si="2240"/>
        <v>155.01117363850076</v>
      </c>
      <c r="FA1075" s="409">
        <f t="shared" si="2240"/>
        <v>223.09007641053159</v>
      </c>
      <c r="FB1075" s="409">
        <f t="shared" si="2240"/>
        <v>167.36696303480105</v>
      </c>
      <c r="FC1075" s="409">
        <f t="shared" si="2240"/>
        <v>147.0914591491011</v>
      </c>
      <c r="FD1075" s="409">
        <f t="shared" si="2240"/>
        <v>288.10530465867004</v>
      </c>
      <c r="FE1075" s="409">
        <f t="shared" si="2240"/>
        <v>162.48959082536501</v>
      </c>
      <c r="FF1075" s="409">
        <f t="shared" si="2240"/>
        <v>166.55007861652268</v>
      </c>
      <c r="FG1075" s="409">
        <f t="shared" si="2240"/>
        <v>159.86762347704894</v>
      </c>
      <c r="FH1075" s="409">
        <f t="shared" si="2240"/>
        <v>173.76685037164617</v>
      </c>
      <c r="FI1075" s="409">
        <f t="shared" si="2240"/>
        <v>156.23772638719868</v>
      </c>
      <c r="FJ1075" s="412">
        <f t="shared" si="2240"/>
        <v>246.30844360155203</v>
      </c>
      <c r="FK1075" s="409">
        <f t="shared" si="2240"/>
        <v>126.06048066020975</v>
      </c>
      <c r="FL1075" s="409">
        <f t="shared" si="2240"/>
        <v>137.55042253350024</v>
      </c>
      <c r="FM1075" s="409">
        <f t="shared" si="2240"/>
        <v>327.11590510847509</v>
      </c>
      <c r="FN1075" s="409">
        <f t="shared" si="2240"/>
        <v>202.28595220119698</v>
      </c>
      <c r="FO1075" s="409">
        <f t="shared" si="2240"/>
        <v>154.93709785169005</v>
      </c>
      <c r="FP1075" s="409">
        <f t="shared" si="2240"/>
        <v>282.15503540564202</v>
      </c>
      <c r="FQ1075" s="409">
        <f t="shared" si="2240"/>
        <v>154.48173816429275</v>
      </c>
      <c r="FR1075" s="409">
        <f t="shared" si="2240"/>
        <v>157.25181798574698</v>
      </c>
      <c r="FS1075" s="409">
        <f t="shared" si="2240"/>
        <v>288.3709878983542</v>
      </c>
      <c r="FT1075" s="409">
        <f t="shared" si="2240"/>
        <v>249.30029367000355</v>
      </c>
      <c r="FU1075" s="409">
        <f t="shared" si="2240"/>
        <v>165.49561757698166</v>
      </c>
      <c r="FV1075" s="412">
        <f t="shared" si="2240"/>
        <v>323.18584803199445</v>
      </c>
      <c r="FW1075" s="409">
        <f t="shared" si="2240"/>
        <v>144.05016196422122</v>
      </c>
      <c r="FX1075" s="409">
        <f t="shared" si="2240"/>
        <v>200.60548259652219</v>
      </c>
      <c r="FY1075" s="409">
        <f t="shared" si="2240"/>
        <v>267.5749424581644</v>
      </c>
      <c r="FZ1075" s="409">
        <f t="shared" si="2240"/>
        <v>208.46535963515919</v>
      </c>
      <c r="GA1075" s="409">
        <f t="shared" si="2240"/>
        <v>247.90277896371293</v>
      </c>
      <c r="GB1075" s="409">
        <f t="shared" si="2240"/>
        <v>281.27735444107793</v>
      </c>
      <c r="GC1075" s="409">
        <f t="shared" si="2240"/>
        <v>224.02175914985381</v>
      </c>
      <c r="GD1075" s="409">
        <f t="shared" si="2240"/>
        <v>213.82765546235129</v>
      </c>
      <c r="GE1075" s="409">
        <f t="shared" si="2240"/>
        <v>383.06304311769935</v>
      </c>
      <c r="GF1075" s="409">
        <f t="shared" si="2240"/>
        <v>236.60389057232098</v>
      </c>
      <c r="GG1075" s="409">
        <f t="shared" si="2240"/>
        <v>367.31219203461114</v>
      </c>
      <c r="GH1075" s="409">
        <f t="shared" si="2240"/>
        <v>327.47838494040917</v>
      </c>
      <c r="HZ1075" s="340"/>
      <c r="IA1075" s="408" t="s">
        <v>461</v>
      </c>
      <c r="IB1075" s="408"/>
      <c r="IC1075" s="408"/>
      <c r="ID1075" s="279">
        <f>ID$754</f>
        <v>1338.7904887842926</v>
      </c>
      <c r="IE1075" s="279">
        <f>IE$754</f>
        <v>689.51521319791505</v>
      </c>
      <c r="IF1075" s="279">
        <f>IF$754</f>
        <v>729.19148737737919</v>
      </c>
      <c r="IG1075" s="434">
        <f>IG$754</f>
        <v>1418.7067005752942</v>
      </c>
      <c r="IH1075" s="284"/>
      <c r="IJ1075" s="434">
        <f>IJ$754</f>
        <v>1541.6771034459716</v>
      </c>
      <c r="IM1075" s="434">
        <f>IM$754</f>
        <v>1595.7505479915064</v>
      </c>
      <c r="IP1075" s="434">
        <f>IP$754</f>
        <v>1781.5506526424247</v>
      </c>
      <c r="IQ1075" s="434"/>
      <c r="IR1075" s="434"/>
      <c r="IS1075" s="434">
        <f>IS$754</f>
        <v>2065.0273714377413</v>
      </c>
      <c r="IT1075" s="434"/>
      <c r="IU1075" s="434"/>
      <c r="IV1075" s="434">
        <f>IV$754</f>
        <v>2192.9616638392927</v>
      </c>
      <c r="IW1075" s="434"/>
      <c r="IX1075" s="434"/>
      <c r="IY1075" s="434">
        <f>IY$754</f>
        <v>2568.1911970880878</v>
      </c>
      <c r="IZ1075" s="434"/>
      <c r="JA1075" s="434">
        <f>JA$754</f>
        <v>1752.3069252772457</v>
      </c>
      <c r="JB1075" s="434">
        <f>JB$754</f>
        <v>3102.1830053361036</v>
      </c>
      <c r="JC1075" s="434">
        <f>JC$754</f>
        <v>1529.8590212090053</v>
      </c>
      <c r="JD1075" s="434">
        <f>JD$754</f>
        <v>1869.7081622573328</v>
      </c>
      <c r="JE1075" s="434"/>
      <c r="JF1075" s="434"/>
      <c r="JG1075" s="434"/>
      <c r="JH1075" s="434"/>
      <c r="JI1075" s="434"/>
      <c r="JJ1075" s="434"/>
      <c r="JK1075" s="434"/>
      <c r="KU1075" s="340"/>
      <c r="KV1075" s="341"/>
      <c r="KY1075" s="279">
        <f>KY$754</f>
        <v>0</v>
      </c>
      <c r="KZ1075" s="279">
        <f>KZ$754</f>
        <v>0</v>
      </c>
      <c r="LA1075" s="279">
        <f>LA$754</f>
        <v>0</v>
      </c>
      <c r="LB1075" s="279">
        <f>LB$754</f>
        <v>0</v>
      </c>
    </row>
    <row r="1076" spans="1:314">
      <c r="A1076" s="279"/>
      <c r="B1076" s="96" t="s">
        <v>338</v>
      </c>
      <c r="D1076" s="413" t="str">
        <f>D$755</f>
        <v xml:space="preserve">Taxes </v>
      </c>
      <c r="E1076" s="409">
        <f>E$755</f>
        <v>0</v>
      </c>
      <c r="F1076" s="409">
        <f t="shared" ref="F1076:L1076" si="2241">F$755</f>
        <v>0</v>
      </c>
      <c r="G1076" s="409">
        <f t="shared" si="2241"/>
        <v>0</v>
      </c>
      <c r="H1076" s="409">
        <f t="shared" si="2241"/>
        <v>0</v>
      </c>
      <c r="I1076" s="409">
        <f t="shared" si="2241"/>
        <v>0</v>
      </c>
      <c r="J1076" s="409">
        <f t="shared" si="2241"/>
        <v>0</v>
      </c>
      <c r="K1076" s="409">
        <f t="shared" si="2241"/>
        <v>0</v>
      </c>
      <c r="L1076" s="409">
        <f t="shared" si="2241"/>
        <v>0</v>
      </c>
      <c r="M1076" s="409">
        <f t="shared" ref="M1076:AW1076" si="2242">M$755</f>
        <v>0</v>
      </c>
      <c r="N1076" s="409">
        <f t="shared" si="2242"/>
        <v>0</v>
      </c>
      <c r="O1076" s="409">
        <f t="shared" si="2242"/>
        <v>0</v>
      </c>
      <c r="P1076" s="409">
        <f t="shared" si="2242"/>
        <v>0</v>
      </c>
      <c r="Q1076" s="409">
        <f t="shared" si="2242"/>
        <v>0</v>
      </c>
      <c r="R1076" s="409">
        <f t="shared" si="2242"/>
        <v>0</v>
      </c>
      <c r="S1076" s="409">
        <f t="shared" si="2242"/>
        <v>0</v>
      </c>
      <c r="T1076" s="409">
        <f t="shared" si="2242"/>
        <v>0</v>
      </c>
      <c r="U1076" s="409">
        <f t="shared" si="2242"/>
        <v>0</v>
      </c>
      <c r="V1076" s="409">
        <f t="shared" si="2242"/>
        <v>0</v>
      </c>
      <c r="W1076" s="409">
        <f t="shared" si="2242"/>
        <v>0</v>
      </c>
      <c r="X1076" s="409">
        <f t="shared" si="2242"/>
        <v>0</v>
      </c>
      <c r="Y1076" s="409">
        <f t="shared" si="2242"/>
        <v>0</v>
      </c>
      <c r="Z1076" s="409">
        <f t="shared" si="2242"/>
        <v>0</v>
      </c>
      <c r="AA1076" s="409">
        <f t="shared" si="2242"/>
        <v>0</v>
      </c>
      <c r="AB1076" s="409">
        <f t="shared" si="2242"/>
        <v>0</v>
      </c>
      <c r="AC1076" s="409">
        <f t="shared" si="2242"/>
        <v>0</v>
      </c>
      <c r="AD1076" s="409">
        <f t="shared" si="2242"/>
        <v>0</v>
      </c>
      <c r="AE1076" s="409">
        <f t="shared" si="2242"/>
        <v>0</v>
      </c>
      <c r="AF1076" s="409">
        <f t="shared" si="2242"/>
        <v>0</v>
      </c>
      <c r="AG1076" s="409">
        <f t="shared" si="2242"/>
        <v>0</v>
      </c>
      <c r="AH1076" s="409">
        <f t="shared" si="2242"/>
        <v>0</v>
      </c>
      <c r="AI1076" s="409">
        <f t="shared" si="2242"/>
        <v>0</v>
      </c>
      <c r="AJ1076" s="409">
        <f t="shared" si="2242"/>
        <v>0</v>
      </c>
      <c r="AK1076" s="409">
        <f t="shared" si="2242"/>
        <v>0</v>
      </c>
      <c r="AL1076" s="409">
        <f t="shared" si="2242"/>
        <v>0</v>
      </c>
      <c r="AM1076" s="409">
        <f t="shared" si="2242"/>
        <v>0</v>
      </c>
      <c r="AN1076" s="409">
        <f t="shared" si="2242"/>
        <v>0</v>
      </c>
      <c r="AO1076" s="409">
        <f t="shared" si="2242"/>
        <v>28.378078309600003</v>
      </c>
      <c r="AP1076" s="409">
        <f t="shared" si="2242"/>
        <v>26.593847742499999</v>
      </c>
      <c r="AQ1076" s="409">
        <f t="shared" si="2242"/>
        <v>43.462740556200004</v>
      </c>
      <c r="AR1076" s="409">
        <f t="shared" si="2242"/>
        <v>28.6498438283</v>
      </c>
      <c r="AS1076" s="409">
        <f t="shared" si="2242"/>
        <v>27.3119272297</v>
      </c>
      <c r="AT1076" s="409">
        <f t="shared" si="2242"/>
        <v>35.113359245399998</v>
      </c>
      <c r="AU1076" s="409">
        <f t="shared" si="2242"/>
        <v>29.502769495600003</v>
      </c>
      <c r="AV1076" s="409">
        <f t="shared" si="2242"/>
        <v>32.637733389600008</v>
      </c>
      <c r="AW1076" s="409">
        <f t="shared" si="2242"/>
        <v>37.198990474200002</v>
      </c>
      <c r="AX1076" s="409">
        <f t="shared" ref="AX1076:BP1076" si="2243">AX$755</f>
        <v>31.172462902000003</v>
      </c>
      <c r="AY1076" s="409">
        <f t="shared" si="2243"/>
        <v>32.9844390481</v>
      </c>
      <c r="AZ1076" s="409">
        <f t="shared" si="2243"/>
        <v>42.768411501699994</v>
      </c>
      <c r="BA1076" s="409">
        <f t="shared" si="2243"/>
        <v>37.270421333599998</v>
      </c>
      <c r="BB1076" s="409">
        <f t="shared" si="2243"/>
        <v>30.090863977800002</v>
      </c>
      <c r="BC1076" s="409">
        <f t="shared" si="2243"/>
        <v>48.51068161189999</v>
      </c>
      <c r="BD1076" s="409">
        <f t="shared" si="2243"/>
        <v>35.4363995438</v>
      </c>
      <c r="BE1076" s="409">
        <f t="shared" si="2243"/>
        <v>38.119603839999996</v>
      </c>
      <c r="BF1076" s="409">
        <f t="shared" si="2243"/>
        <v>43.731171053300002</v>
      </c>
      <c r="BG1076" s="409">
        <f t="shared" si="2243"/>
        <v>34.278467516299997</v>
      </c>
      <c r="BH1076" s="409">
        <f t="shared" si="2243"/>
        <v>40.540797734099996</v>
      </c>
      <c r="BI1076" s="409">
        <f t="shared" si="2243"/>
        <v>45.5637019634</v>
      </c>
      <c r="BJ1076" s="409">
        <f t="shared" si="2243"/>
        <v>38.158057333199999</v>
      </c>
      <c r="BK1076" s="409">
        <f t="shared" si="2243"/>
        <v>39.859909695600003</v>
      </c>
      <c r="BL1076" s="409">
        <f t="shared" si="2243"/>
        <v>50.309845600399996</v>
      </c>
      <c r="BM1076" s="409">
        <f t="shared" si="2243"/>
        <v>41.397093836399989</v>
      </c>
      <c r="BN1076" s="409">
        <f t="shared" si="2243"/>
        <v>41.6296176512</v>
      </c>
      <c r="BO1076" s="409">
        <f t="shared" si="2243"/>
        <v>56.363561111400003</v>
      </c>
      <c r="BP1076" s="409">
        <f t="shared" si="2243"/>
        <v>41.6442277246</v>
      </c>
      <c r="BQ1076" s="409">
        <f t="shared" ref="BQ1076:EB1076" si="2244">BQ$755</f>
        <v>51.381044522600007</v>
      </c>
      <c r="BR1076" s="409">
        <f t="shared" si="2244"/>
        <v>53.773741767499999</v>
      </c>
      <c r="BS1076" s="409">
        <f t="shared" si="2244"/>
        <v>43.989135728399994</v>
      </c>
      <c r="BT1076" s="409">
        <f t="shared" si="2244"/>
        <v>48.0655510148</v>
      </c>
      <c r="BU1076" s="409">
        <f t="shared" si="2244"/>
        <v>53.670180058900009</v>
      </c>
      <c r="BV1076" s="409">
        <f t="shared" si="2244"/>
        <v>48.625806363999999</v>
      </c>
      <c r="BW1076" s="409">
        <f t="shared" si="2244"/>
        <v>45.821263381100003</v>
      </c>
      <c r="BX1076" s="409">
        <f t="shared" si="2244"/>
        <v>53.2656191783</v>
      </c>
      <c r="BY1076" s="409">
        <f t="shared" si="2244"/>
        <v>48.798145427400009</v>
      </c>
      <c r="BZ1076" s="409">
        <f t="shared" si="2244"/>
        <v>48.290016709999996</v>
      </c>
      <c r="CA1076" s="409">
        <f t="shared" si="2244"/>
        <v>67.86227846460001</v>
      </c>
      <c r="CB1076" s="409">
        <f t="shared" si="2244"/>
        <v>47.864069070200003</v>
      </c>
      <c r="CC1076" s="409">
        <f t="shared" si="2244"/>
        <v>48.458169235899994</v>
      </c>
      <c r="CD1076" s="410">
        <f t="shared" si="2244"/>
        <v>0</v>
      </c>
      <c r="CE1076" s="409">
        <f t="shared" si="2244"/>
        <v>47.617064136600007</v>
      </c>
      <c r="CF1076" s="409">
        <f t="shared" si="2244"/>
        <v>53.907251717999998</v>
      </c>
      <c r="CG1076" s="409">
        <f t="shared" si="2244"/>
        <v>65.190181342100004</v>
      </c>
      <c r="CH1076" s="409">
        <f t="shared" si="2244"/>
        <v>54.087637409999999</v>
      </c>
      <c r="CI1076" s="409">
        <f t="shared" si="2244"/>
        <v>53.84528620079999</v>
      </c>
      <c r="CJ1076" s="409">
        <f t="shared" si="2244"/>
        <v>68.130436793900003</v>
      </c>
      <c r="CK1076" s="409">
        <f t="shared" si="2244"/>
        <v>59.819924644799997</v>
      </c>
      <c r="CL1076" s="409">
        <f t="shared" si="2244"/>
        <v>55.9432367223</v>
      </c>
      <c r="CM1076" s="409">
        <f t="shared" si="2244"/>
        <v>64.537803322999991</v>
      </c>
      <c r="CN1076" s="409">
        <f t="shared" si="2244"/>
        <v>55.778860669299995</v>
      </c>
      <c r="CO1076" s="409">
        <f t="shared" si="2244"/>
        <v>61.522298340200003</v>
      </c>
      <c r="CP1076" s="412">
        <f t="shared" si="2244"/>
        <v>87.613793423199994</v>
      </c>
      <c r="CQ1076" s="409">
        <f t="shared" si="2244"/>
        <v>60.13069540019999</v>
      </c>
      <c r="CR1076" s="409">
        <f t="shared" si="2244"/>
        <v>59.04467703840001</v>
      </c>
      <c r="CS1076" s="409">
        <f t="shared" si="2244"/>
        <v>77.571227140099992</v>
      </c>
      <c r="CT1076" s="409">
        <f t="shared" si="2244"/>
        <v>56.983891421400003</v>
      </c>
      <c r="CU1076" s="409">
        <f t="shared" si="2244"/>
        <v>55.233619734400001</v>
      </c>
      <c r="CV1076" s="409">
        <f t="shared" si="2244"/>
        <v>79.648759425700007</v>
      </c>
      <c r="CW1076" s="409">
        <f t="shared" si="2244"/>
        <v>63.564419083499999</v>
      </c>
      <c r="CX1076" s="409">
        <f t="shared" si="2244"/>
        <v>56.871880704899993</v>
      </c>
      <c r="CY1076" s="409">
        <f t="shared" si="2244"/>
        <v>93.172891711000005</v>
      </c>
      <c r="CZ1076" s="409">
        <f t="shared" si="2244"/>
        <v>69.108155242199999</v>
      </c>
      <c r="DA1076" s="409">
        <f t="shared" si="2244"/>
        <v>65.436950582800009</v>
      </c>
      <c r="DB1076" s="1309">
        <f t="shared" si="2244"/>
        <v>93.470612855200002</v>
      </c>
      <c r="DC1076" s="409">
        <f t="shared" si="2244"/>
        <v>66.899926132465808</v>
      </c>
      <c r="DD1076" s="409">
        <f t="shared" si="2244"/>
        <v>68.245586880935562</v>
      </c>
      <c r="DE1076" s="409">
        <f t="shared" si="2244"/>
        <v>86.824346869568416</v>
      </c>
      <c r="DF1076" s="409">
        <f t="shared" si="2244"/>
        <v>77.768789279906358</v>
      </c>
      <c r="DG1076" s="409">
        <f t="shared" si="2244"/>
        <v>70.290688721549131</v>
      </c>
      <c r="DH1076" s="409">
        <f t="shared" si="2244"/>
        <v>94.437271875493821</v>
      </c>
      <c r="DI1076" s="409">
        <f t="shared" si="2244"/>
        <v>76.998886418319074</v>
      </c>
      <c r="DJ1076" s="409">
        <f t="shared" si="2244"/>
        <v>72.781232871814339</v>
      </c>
      <c r="DK1076" s="409">
        <f t="shared" si="2244"/>
        <v>113.69690742097904</v>
      </c>
      <c r="DL1076" s="409">
        <f t="shared" si="2244"/>
        <v>78.445692153350137</v>
      </c>
      <c r="DM1076" s="409">
        <f t="shared" si="2244"/>
        <v>78.436310386163612</v>
      </c>
      <c r="DN1076" s="412">
        <f t="shared" si="2244"/>
        <v>115.54161037543037</v>
      </c>
      <c r="DO1076" s="409">
        <f t="shared" si="2244"/>
        <v>65.842565241655223</v>
      </c>
      <c r="DP1076" s="409">
        <f t="shared" si="2244"/>
        <v>78.370742745512672</v>
      </c>
      <c r="DQ1076" s="409">
        <f t="shared" si="2244"/>
        <v>91.728716346322926</v>
      </c>
      <c r="DR1076" s="409">
        <f t="shared" si="2244"/>
        <v>70.28753329568427</v>
      </c>
      <c r="DS1076" s="409">
        <f t="shared" si="2244"/>
        <v>73.030636238396013</v>
      </c>
      <c r="DT1076" s="409">
        <f t="shared" si="2244"/>
        <v>98.12280367897867</v>
      </c>
      <c r="DU1076" s="409">
        <f t="shared" si="2244"/>
        <v>81.804672223622475</v>
      </c>
      <c r="DV1076" s="409">
        <f t="shared" si="2244"/>
        <v>75.839694930633485</v>
      </c>
      <c r="DW1076" s="409">
        <f t="shared" si="2244"/>
        <v>124.30842990175597</v>
      </c>
      <c r="DX1076" s="409">
        <f t="shared" si="2244"/>
        <v>74.624108037592521</v>
      </c>
      <c r="DY1076" s="409">
        <f t="shared" si="2244"/>
        <v>82.016334429138325</v>
      </c>
      <c r="DZ1076" s="412">
        <f t="shared" si="2244"/>
        <v>116.43293764647348</v>
      </c>
      <c r="EA1076" s="409">
        <f t="shared" si="2244"/>
        <v>75.147981695534554</v>
      </c>
      <c r="EB1076" s="409">
        <f t="shared" si="2244"/>
        <v>82.569962661476026</v>
      </c>
      <c r="EC1076" s="409">
        <f t="shared" ref="EC1076:GH1076" si="2245">EC$755</f>
        <v>102.77609502328457</v>
      </c>
      <c r="ED1076" s="409">
        <f t="shared" si="2245"/>
        <v>89.1231947091661</v>
      </c>
      <c r="EE1076" s="409">
        <f t="shared" si="2245"/>
        <v>81.693282024669116</v>
      </c>
      <c r="EF1076" s="409">
        <f t="shared" si="2245"/>
        <v>111.17842626277724</v>
      </c>
      <c r="EG1076" s="409">
        <f t="shared" si="2245"/>
        <v>96.151369741341625</v>
      </c>
      <c r="EH1076" s="409">
        <f t="shared" si="2245"/>
        <v>81.533528095177047</v>
      </c>
      <c r="EI1076" s="409">
        <f t="shared" si="2245"/>
        <v>127.62799168071605</v>
      </c>
      <c r="EJ1076" s="409">
        <f t="shared" si="2245"/>
        <v>99.957184280407603</v>
      </c>
      <c r="EK1076" s="409">
        <f t="shared" si="2245"/>
        <v>87.796409974642827</v>
      </c>
      <c r="EL1076" s="412">
        <f t="shared" si="2245"/>
        <v>124.55623616271309</v>
      </c>
      <c r="EM1076" s="409">
        <f t="shared" si="2245"/>
        <v>88.812454326839998</v>
      </c>
      <c r="EN1076" s="409">
        <f t="shared" si="2245"/>
        <v>103.19555137677001</v>
      </c>
      <c r="EO1076" s="409">
        <f t="shared" si="2245"/>
        <v>116.14608373476</v>
      </c>
      <c r="EP1076" s="409">
        <f t="shared" si="2245"/>
        <v>101.63279526957668</v>
      </c>
      <c r="EQ1076" s="409">
        <f t="shared" si="2245"/>
        <v>99.20474964683666</v>
      </c>
      <c r="ER1076" s="409">
        <f t="shared" si="2245"/>
        <v>138.3298491095467</v>
      </c>
      <c r="ES1076" s="409">
        <f t="shared" si="2245"/>
        <v>117.4347124288328</v>
      </c>
      <c r="ET1076" s="409">
        <f t="shared" si="2245"/>
        <v>106.05712111844994</v>
      </c>
      <c r="EU1076" s="409">
        <f t="shared" si="2245"/>
        <v>128.69624140632001</v>
      </c>
      <c r="EV1076" s="409">
        <f t="shared" si="2245"/>
        <v>128.4253273124944</v>
      </c>
      <c r="EW1076" s="409">
        <f t="shared" si="2245"/>
        <v>114.30942840778002</v>
      </c>
      <c r="EX1076" s="412">
        <f t="shared" si="2245"/>
        <v>160.27794428067008</v>
      </c>
      <c r="EY1076" s="409">
        <f t="shared" si="2245"/>
        <v>105.65950605125064</v>
      </c>
      <c r="EZ1076" s="409">
        <f t="shared" si="2245"/>
        <v>114.2113842418846</v>
      </c>
      <c r="FA1076" s="409">
        <f t="shared" si="2245"/>
        <v>132.89683536742749</v>
      </c>
      <c r="FB1076" s="409">
        <f t="shared" si="2245"/>
        <v>108.92264112604063</v>
      </c>
      <c r="FC1076" s="409">
        <f t="shared" si="2245"/>
        <v>106.68326342096984</v>
      </c>
      <c r="FD1076" s="409">
        <f t="shared" si="2245"/>
        <v>165.17336859615594</v>
      </c>
      <c r="FE1076" s="409">
        <f t="shared" si="2245"/>
        <v>129.17978821231756</v>
      </c>
      <c r="FF1076" s="409">
        <f t="shared" si="2245"/>
        <v>116.33520310306274</v>
      </c>
      <c r="FG1076" s="409">
        <f t="shared" si="2245"/>
        <v>123.84354192911091</v>
      </c>
      <c r="FH1076" s="409">
        <f t="shared" si="2245"/>
        <v>111.61971296276113</v>
      </c>
      <c r="FI1076" s="409">
        <f t="shared" si="2245"/>
        <v>92.550406284305652</v>
      </c>
      <c r="FJ1076" s="412">
        <f t="shared" si="2245"/>
        <v>168.5330629930489</v>
      </c>
      <c r="FK1076" s="409">
        <f t="shared" si="2245"/>
        <v>99.945885748172259</v>
      </c>
      <c r="FL1076" s="409">
        <f t="shared" si="2245"/>
        <v>106.90137584125107</v>
      </c>
      <c r="FM1076" s="409">
        <f t="shared" si="2245"/>
        <v>155.09121168506633</v>
      </c>
      <c r="FN1076" s="409">
        <f t="shared" si="2245"/>
        <v>118.94741214038808</v>
      </c>
      <c r="FO1076" s="409">
        <f t="shared" si="2245"/>
        <v>119.17105225139113</v>
      </c>
      <c r="FP1076" s="409">
        <f t="shared" si="2245"/>
        <v>161.98099204682552</v>
      </c>
      <c r="FQ1076" s="409">
        <f t="shared" si="2245"/>
        <v>118.21035142438593</v>
      </c>
      <c r="FR1076" s="409">
        <f t="shared" si="2245"/>
        <v>121.65400060516743</v>
      </c>
      <c r="FS1076" s="409">
        <f t="shared" si="2245"/>
        <v>169.64471663081804</v>
      </c>
      <c r="FT1076" s="409">
        <f t="shared" si="2245"/>
        <v>131.6406722489491</v>
      </c>
      <c r="FU1076" s="409">
        <f t="shared" si="2245"/>
        <v>129.16985994808741</v>
      </c>
      <c r="FV1076" s="412">
        <f t="shared" si="2245"/>
        <v>189.33175192633266</v>
      </c>
      <c r="FW1076" s="409">
        <f t="shared" si="2245"/>
        <v>110.1156569781196</v>
      </c>
      <c r="FX1076" s="409">
        <f t="shared" si="2245"/>
        <v>123.39516343103196</v>
      </c>
      <c r="FY1076" s="409">
        <f t="shared" si="2245"/>
        <v>167.87899487170446</v>
      </c>
      <c r="FZ1076" s="409">
        <f t="shared" si="2245"/>
        <v>129.13909366182429</v>
      </c>
      <c r="GA1076" s="409">
        <f t="shared" si="2245"/>
        <v>135.90353463757307</v>
      </c>
      <c r="GB1076" s="409">
        <f t="shared" si="2245"/>
        <v>186.33327966820102</v>
      </c>
      <c r="GC1076" s="409">
        <f t="shared" si="2245"/>
        <v>146.46208294654627</v>
      </c>
      <c r="GD1076" s="409">
        <f t="shared" si="2245"/>
        <v>134.54808684712521</v>
      </c>
      <c r="GE1076" s="409">
        <f t="shared" si="2245"/>
        <v>232.31337755216748</v>
      </c>
      <c r="GF1076" s="409">
        <f t="shared" si="2245"/>
        <v>142.49260437009488</v>
      </c>
      <c r="GG1076" s="409">
        <f t="shared" si="2245"/>
        <v>145.4445077296626</v>
      </c>
      <c r="GH1076" s="409">
        <f t="shared" si="2245"/>
        <v>222.74720845481093</v>
      </c>
      <c r="HZ1076" s="340"/>
      <c r="IA1076" s="413" t="s">
        <v>462</v>
      </c>
      <c r="IB1076" s="413"/>
      <c r="IC1076" s="413"/>
      <c r="ID1076" s="279">
        <f>ID$755</f>
        <v>727.99377472419997</v>
      </c>
      <c r="IE1076" s="279">
        <f>IE$755</f>
        <v>388.61287016020003</v>
      </c>
      <c r="IF1076" s="279">
        <f>IF$755</f>
        <v>441.62491017960002</v>
      </c>
      <c r="IG1076" s="434">
        <f>IG$755</f>
        <v>830.23778033980011</v>
      </c>
      <c r="IH1076" s="284"/>
      <c r="IJ1076" s="434">
        <f>IJ$755</f>
        <v>1000.3672493859756</v>
      </c>
      <c r="IM1076" s="434">
        <f>IM$755</f>
        <v>1032.4091747157659</v>
      </c>
      <c r="IP1076" s="434">
        <f>IP$755</f>
        <v>1160.1116623119058</v>
      </c>
      <c r="IQ1076" s="434"/>
      <c r="IR1076" s="434"/>
      <c r="IS1076" s="434">
        <f>IS$755</f>
        <v>1402.5222584188773</v>
      </c>
      <c r="IT1076" s="434"/>
      <c r="IU1076" s="434"/>
      <c r="IV1076" s="434">
        <f>IV$755</f>
        <v>1475.6087142883362</v>
      </c>
      <c r="IW1076" s="434"/>
      <c r="IX1076" s="434"/>
      <c r="IY1076" s="434">
        <f>IY$755</f>
        <v>1621.6892824968349</v>
      </c>
      <c r="IZ1076" s="434"/>
      <c r="JA1076" s="434">
        <f>JA$755</f>
        <v>1024.0078679004075</v>
      </c>
      <c r="JB1076" s="434">
        <f>JB$755</f>
        <v>1876.7735911488621</v>
      </c>
      <c r="JC1076" s="434">
        <f>JC$755</f>
        <v>1070.2524980307714</v>
      </c>
      <c r="JD1076" s="434">
        <f>JD$755</f>
        <v>1217.1192987819688</v>
      </c>
      <c r="JE1076" s="434"/>
      <c r="JF1076" s="434"/>
      <c r="JG1076" s="434"/>
      <c r="JH1076" s="434"/>
      <c r="JI1076" s="434"/>
      <c r="JJ1076" s="434"/>
      <c r="JK1076" s="434"/>
      <c r="KU1076" s="340"/>
      <c r="KV1076" s="341"/>
      <c r="KY1076" s="279">
        <f>KY$755</f>
        <v>0</v>
      </c>
      <c r="KZ1076" s="279">
        <f>KZ$755</f>
        <v>0</v>
      </c>
      <c r="LA1076" s="279">
        <f>LA$755</f>
        <v>0</v>
      </c>
      <c r="LB1076" s="279">
        <f>LB$755</f>
        <v>0</v>
      </c>
    </row>
    <row r="1077" spans="1:314">
      <c r="A1077" s="279"/>
      <c r="B1077" s="96" t="s">
        <v>338</v>
      </c>
      <c r="D1077" s="413" t="str">
        <f>D$803</f>
        <v xml:space="preserve">Social contributions </v>
      </c>
      <c r="E1077" s="409">
        <f>E$803</f>
        <v>0</v>
      </c>
      <c r="F1077" s="409">
        <f t="shared" ref="F1077:L1077" si="2246">F$803</f>
        <v>0</v>
      </c>
      <c r="G1077" s="409">
        <f t="shared" si="2246"/>
        <v>0</v>
      </c>
      <c r="H1077" s="409">
        <f t="shared" si="2246"/>
        <v>0</v>
      </c>
      <c r="I1077" s="409">
        <f t="shared" si="2246"/>
        <v>0</v>
      </c>
      <c r="J1077" s="409">
        <f t="shared" si="2246"/>
        <v>0</v>
      </c>
      <c r="K1077" s="409">
        <f t="shared" si="2246"/>
        <v>0</v>
      </c>
      <c r="L1077" s="409">
        <f t="shared" si="2246"/>
        <v>0</v>
      </c>
      <c r="M1077" s="409">
        <f t="shared" ref="M1077:AW1077" si="2247">M$803</f>
        <v>0</v>
      </c>
      <c r="N1077" s="409">
        <f t="shared" si="2247"/>
        <v>0</v>
      </c>
      <c r="O1077" s="409">
        <f t="shared" si="2247"/>
        <v>0</v>
      </c>
      <c r="P1077" s="409">
        <f t="shared" si="2247"/>
        <v>0</v>
      </c>
      <c r="Q1077" s="409">
        <f t="shared" si="2247"/>
        <v>0</v>
      </c>
      <c r="R1077" s="409">
        <f t="shared" si="2247"/>
        <v>0</v>
      </c>
      <c r="S1077" s="409">
        <f t="shared" si="2247"/>
        <v>0</v>
      </c>
      <c r="T1077" s="409">
        <f t="shared" si="2247"/>
        <v>0</v>
      </c>
      <c r="U1077" s="409">
        <f t="shared" si="2247"/>
        <v>0</v>
      </c>
      <c r="V1077" s="409">
        <f t="shared" si="2247"/>
        <v>0</v>
      </c>
      <c r="W1077" s="409">
        <f t="shared" si="2247"/>
        <v>0</v>
      </c>
      <c r="X1077" s="409">
        <f t="shared" si="2247"/>
        <v>0</v>
      </c>
      <c r="Y1077" s="409">
        <f t="shared" si="2247"/>
        <v>0</v>
      </c>
      <c r="Z1077" s="409">
        <f t="shared" si="2247"/>
        <v>0</v>
      </c>
      <c r="AA1077" s="409">
        <f t="shared" si="2247"/>
        <v>0</v>
      </c>
      <c r="AB1077" s="409">
        <f t="shared" si="2247"/>
        <v>0</v>
      </c>
      <c r="AC1077" s="409">
        <f t="shared" si="2247"/>
        <v>0</v>
      </c>
      <c r="AD1077" s="409">
        <f t="shared" si="2247"/>
        <v>0</v>
      </c>
      <c r="AE1077" s="409">
        <f t="shared" si="2247"/>
        <v>0</v>
      </c>
      <c r="AF1077" s="409">
        <f t="shared" si="2247"/>
        <v>0</v>
      </c>
      <c r="AG1077" s="409">
        <f t="shared" si="2247"/>
        <v>0</v>
      </c>
      <c r="AH1077" s="409">
        <f t="shared" si="2247"/>
        <v>0</v>
      </c>
      <c r="AI1077" s="409">
        <f t="shared" si="2247"/>
        <v>0</v>
      </c>
      <c r="AJ1077" s="409">
        <f t="shared" si="2247"/>
        <v>0</v>
      </c>
      <c r="AK1077" s="409">
        <f t="shared" si="2247"/>
        <v>0</v>
      </c>
      <c r="AL1077" s="409">
        <f t="shared" si="2247"/>
        <v>0</v>
      </c>
      <c r="AM1077" s="409">
        <f t="shared" si="2247"/>
        <v>0</v>
      </c>
      <c r="AN1077" s="409">
        <f t="shared" si="2247"/>
        <v>0</v>
      </c>
      <c r="AO1077" s="409">
        <f t="shared" si="2247"/>
        <v>0</v>
      </c>
      <c r="AP1077" s="409">
        <f t="shared" si="2247"/>
        <v>0</v>
      </c>
      <c r="AQ1077" s="409">
        <f t="shared" si="2247"/>
        <v>0</v>
      </c>
      <c r="AR1077" s="409">
        <f t="shared" si="2247"/>
        <v>0</v>
      </c>
      <c r="AS1077" s="409">
        <f t="shared" si="2247"/>
        <v>0</v>
      </c>
      <c r="AT1077" s="409">
        <f t="shared" si="2247"/>
        <v>0</v>
      </c>
      <c r="AU1077" s="409">
        <f t="shared" si="2247"/>
        <v>0</v>
      </c>
      <c r="AV1077" s="409">
        <f t="shared" si="2247"/>
        <v>0</v>
      </c>
      <c r="AW1077" s="409">
        <f t="shared" si="2247"/>
        <v>0</v>
      </c>
      <c r="AX1077" s="409">
        <f t="shared" ref="AX1077:BP1077" si="2248">AX$803</f>
        <v>0</v>
      </c>
      <c r="AY1077" s="409">
        <f t="shared" si="2248"/>
        <v>0</v>
      </c>
      <c r="AZ1077" s="409">
        <f t="shared" si="2248"/>
        <v>0</v>
      </c>
      <c r="BA1077" s="409">
        <f t="shared" si="2248"/>
        <v>0</v>
      </c>
      <c r="BB1077" s="409">
        <f t="shared" si="2248"/>
        <v>0</v>
      </c>
      <c r="BC1077" s="409">
        <f t="shared" si="2248"/>
        <v>0</v>
      </c>
      <c r="BD1077" s="409">
        <f t="shared" si="2248"/>
        <v>0</v>
      </c>
      <c r="BE1077" s="409">
        <f t="shared" si="2248"/>
        <v>0</v>
      </c>
      <c r="BF1077" s="409">
        <f t="shared" si="2248"/>
        <v>0</v>
      </c>
      <c r="BG1077" s="409">
        <f t="shared" si="2248"/>
        <v>0</v>
      </c>
      <c r="BH1077" s="409">
        <f t="shared" si="2248"/>
        <v>0</v>
      </c>
      <c r="BI1077" s="409">
        <f t="shared" si="2248"/>
        <v>0</v>
      </c>
      <c r="BJ1077" s="409">
        <f t="shared" si="2248"/>
        <v>0</v>
      </c>
      <c r="BK1077" s="409">
        <f t="shared" si="2248"/>
        <v>0</v>
      </c>
      <c r="BL1077" s="409">
        <f t="shared" si="2248"/>
        <v>0</v>
      </c>
      <c r="BM1077" s="409">
        <f t="shared" si="2248"/>
        <v>0</v>
      </c>
      <c r="BN1077" s="409">
        <f t="shared" si="2248"/>
        <v>0</v>
      </c>
      <c r="BO1077" s="409">
        <f t="shared" si="2248"/>
        <v>0</v>
      </c>
      <c r="BP1077" s="409">
        <f t="shared" si="2248"/>
        <v>0</v>
      </c>
      <c r="BQ1077" s="409">
        <f t="shared" ref="BQ1077:EB1077" si="2249">BQ$803</f>
        <v>0</v>
      </c>
      <c r="BR1077" s="409">
        <f t="shared" si="2249"/>
        <v>0</v>
      </c>
      <c r="BS1077" s="409">
        <f t="shared" si="2249"/>
        <v>0</v>
      </c>
      <c r="BT1077" s="409">
        <f t="shared" si="2249"/>
        <v>0</v>
      </c>
      <c r="BU1077" s="409">
        <f t="shared" si="2249"/>
        <v>0</v>
      </c>
      <c r="BV1077" s="409">
        <f t="shared" si="2249"/>
        <v>0</v>
      </c>
      <c r="BW1077" s="409">
        <f t="shared" si="2249"/>
        <v>0</v>
      </c>
      <c r="BX1077" s="409">
        <f t="shared" si="2249"/>
        <v>0</v>
      </c>
      <c r="BY1077" s="409">
        <f t="shared" si="2249"/>
        <v>0</v>
      </c>
      <c r="BZ1077" s="409">
        <f t="shared" si="2249"/>
        <v>0</v>
      </c>
      <c r="CA1077" s="409">
        <f t="shared" si="2249"/>
        <v>0</v>
      </c>
      <c r="CB1077" s="409">
        <f t="shared" si="2249"/>
        <v>0</v>
      </c>
      <c r="CC1077" s="409">
        <f t="shared" si="2249"/>
        <v>0</v>
      </c>
      <c r="CD1077" s="410">
        <f t="shared" si="2249"/>
        <v>0</v>
      </c>
      <c r="CE1077" s="409">
        <f t="shared" si="2249"/>
        <v>0</v>
      </c>
      <c r="CF1077" s="409">
        <f t="shared" si="2249"/>
        <v>0</v>
      </c>
      <c r="CG1077" s="409">
        <f t="shared" si="2249"/>
        <v>0</v>
      </c>
      <c r="CH1077" s="409">
        <f t="shared" si="2249"/>
        <v>0</v>
      </c>
      <c r="CI1077" s="409">
        <f t="shared" si="2249"/>
        <v>0</v>
      </c>
      <c r="CJ1077" s="409">
        <f t="shared" si="2249"/>
        <v>0</v>
      </c>
      <c r="CK1077" s="409">
        <f t="shared" si="2249"/>
        <v>0</v>
      </c>
      <c r="CL1077" s="409">
        <f t="shared" si="2249"/>
        <v>0</v>
      </c>
      <c r="CM1077" s="409">
        <f t="shared" si="2249"/>
        <v>0</v>
      </c>
      <c r="CN1077" s="409">
        <f t="shared" si="2249"/>
        <v>0</v>
      </c>
      <c r="CO1077" s="409">
        <f t="shared" si="2249"/>
        <v>0</v>
      </c>
      <c r="CP1077" s="412">
        <f t="shared" si="2249"/>
        <v>0</v>
      </c>
      <c r="CQ1077" s="409">
        <f t="shared" si="2249"/>
        <v>0</v>
      </c>
      <c r="CR1077" s="409">
        <f t="shared" si="2249"/>
        <v>0</v>
      </c>
      <c r="CS1077" s="409">
        <f t="shared" si="2249"/>
        <v>0</v>
      </c>
      <c r="CT1077" s="409">
        <f t="shared" si="2249"/>
        <v>0</v>
      </c>
      <c r="CU1077" s="409">
        <f t="shared" si="2249"/>
        <v>0</v>
      </c>
      <c r="CV1077" s="409">
        <f t="shared" si="2249"/>
        <v>0</v>
      </c>
      <c r="CW1077" s="409">
        <f t="shared" si="2249"/>
        <v>0</v>
      </c>
      <c r="CX1077" s="409">
        <f t="shared" si="2249"/>
        <v>0</v>
      </c>
      <c r="CY1077" s="409">
        <f t="shared" si="2249"/>
        <v>0</v>
      </c>
      <c r="CZ1077" s="409">
        <f t="shared" si="2249"/>
        <v>0</v>
      </c>
      <c r="DA1077" s="409">
        <f t="shared" si="2249"/>
        <v>0</v>
      </c>
      <c r="DB1077" s="1309">
        <f t="shared" si="2249"/>
        <v>0</v>
      </c>
      <c r="DC1077" s="409">
        <f t="shared" si="2249"/>
        <v>0</v>
      </c>
      <c r="DD1077" s="409">
        <f t="shared" si="2249"/>
        <v>0</v>
      </c>
      <c r="DE1077" s="409">
        <f t="shared" si="2249"/>
        <v>0</v>
      </c>
      <c r="DF1077" s="409">
        <f t="shared" si="2249"/>
        <v>0</v>
      </c>
      <c r="DG1077" s="409">
        <f t="shared" si="2249"/>
        <v>0</v>
      </c>
      <c r="DH1077" s="409">
        <f t="shared" si="2249"/>
        <v>0</v>
      </c>
      <c r="DI1077" s="409">
        <f t="shared" si="2249"/>
        <v>0</v>
      </c>
      <c r="DJ1077" s="409">
        <f t="shared" si="2249"/>
        <v>0</v>
      </c>
      <c r="DK1077" s="409">
        <f t="shared" si="2249"/>
        <v>0</v>
      </c>
      <c r="DL1077" s="409">
        <f t="shared" si="2249"/>
        <v>0</v>
      </c>
      <c r="DM1077" s="409">
        <f t="shared" si="2249"/>
        <v>0</v>
      </c>
      <c r="DN1077" s="412">
        <f t="shared" si="2249"/>
        <v>0</v>
      </c>
      <c r="DO1077" s="409">
        <f t="shared" si="2249"/>
        <v>0</v>
      </c>
      <c r="DP1077" s="409">
        <f t="shared" si="2249"/>
        <v>0</v>
      </c>
      <c r="DQ1077" s="409">
        <f t="shared" si="2249"/>
        <v>0</v>
      </c>
      <c r="DR1077" s="409">
        <f t="shared" si="2249"/>
        <v>0</v>
      </c>
      <c r="DS1077" s="409">
        <f t="shared" si="2249"/>
        <v>0</v>
      </c>
      <c r="DT1077" s="409">
        <f t="shared" si="2249"/>
        <v>0</v>
      </c>
      <c r="DU1077" s="409">
        <f t="shared" si="2249"/>
        <v>0</v>
      </c>
      <c r="DV1077" s="409">
        <f t="shared" si="2249"/>
        <v>0</v>
      </c>
      <c r="DW1077" s="409">
        <f t="shared" si="2249"/>
        <v>0</v>
      </c>
      <c r="DX1077" s="409">
        <f t="shared" si="2249"/>
        <v>0</v>
      </c>
      <c r="DY1077" s="409">
        <f t="shared" si="2249"/>
        <v>0</v>
      </c>
      <c r="DZ1077" s="412">
        <f t="shared" si="2249"/>
        <v>0</v>
      </c>
      <c r="EA1077" s="409">
        <f t="shared" si="2249"/>
        <v>0</v>
      </c>
      <c r="EB1077" s="409">
        <f t="shared" si="2249"/>
        <v>0</v>
      </c>
      <c r="EC1077" s="409">
        <f t="shared" ref="EC1077:GH1077" si="2250">EC$803</f>
        <v>0</v>
      </c>
      <c r="ED1077" s="409">
        <f t="shared" si="2250"/>
        <v>0</v>
      </c>
      <c r="EE1077" s="409">
        <f t="shared" si="2250"/>
        <v>0</v>
      </c>
      <c r="EF1077" s="409">
        <f t="shared" si="2250"/>
        <v>0</v>
      </c>
      <c r="EG1077" s="409">
        <f t="shared" si="2250"/>
        <v>0</v>
      </c>
      <c r="EH1077" s="409">
        <f t="shared" si="2250"/>
        <v>0</v>
      </c>
      <c r="EI1077" s="409">
        <f t="shared" si="2250"/>
        <v>0</v>
      </c>
      <c r="EJ1077" s="409">
        <f t="shared" si="2250"/>
        <v>0</v>
      </c>
      <c r="EK1077" s="409">
        <f t="shared" si="2250"/>
        <v>0</v>
      </c>
      <c r="EL1077" s="412">
        <f t="shared" si="2250"/>
        <v>0</v>
      </c>
      <c r="EM1077" s="409">
        <f t="shared" si="2250"/>
        <v>0</v>
      </c>
      <c r="EN1077" s="409">
        <f t="shared" si="2250"/>
        <v>0</v>
      </c>
      <c r="EO1077" s="409">
        <f t="shared" si="2250"/>
        <v>0</v>
      </c>
      <c r="EP1077" s="409">
        <f t="shared" si="2250"/>
        <v>0</v>
      </c>
      <c r="EQ1077" s="409">
        <f t="shared" si="2250"/>
        <v>0</v>
      </c>
      <c r="ER1077" s="409">
        <f t="shared" si="2250"/>
        <v>0</v>
      </c>
      <c r="ES1077" s="409">
        <f t="shared" si="2250"/>
        <v>0</v>
      </c>
      <c r="ET1077" s="409">
        <f t="shared" si="2250"/>
        <v>0</v>
      </c>
      <c r="EU1077" s="409">
        <f t="shared" si="2250"/>
        <v>0</v>
      </c>
      <c r="EV1077" s="409">
        <f t="shared" si="2250"/>
        <v>0</v>
      </c>
      <c r="EW1077" s="409">
        <f t="shared" si="2250"/>
        <v>0</v>
      </c>
      <c r="EX1077" s="412">
        <f t="shared" si="2250"/>
        <v>0</v>
      </c>
      <c r="EY1077" s="409">
        <f t="shared" si="2250"/>
        <v>0</v>
      </c>
      <c r="EZ1077" s="409">
        <f t="shared" si="2250"/>
        <v>0</v>
      </c>
      <c r="FA1077" s="409">
        <f t="shared" si="2250"/>
        <v>0</v>
      </c>
      <c r="FB1077" s="409">
        <f t="shared" si="2250"/>
        <v>0</v>
      </c>
      <c r="FC1077" s="409">
        <f t="shared" si="2250"/>
        <v>0</v>
      </c>
      <c r="FD1077" s="409">
        <f t="shared" si="2250"/>
        <v>0</v>
      </c>
      <c r="FE1077" s="409">
        <f t="shared" si="2250"/>
        <v>0</v>
      </c>
      <c r="FF1077" s="409">
        <f t="shared" si="2250"/>
        <v>0</v>
      </c>
      <c r="FG1077" s="409">
        <f t="shared" si="2250"/>
        <v>0</v>
      </c>
      <c r="FH1077" s="409">
        <f t="shared" si="2250"/>
        <v>0</v>
      </c>
      <c r="FI1077" s="409">
        <f t="shared" si="2250"/>
        <v>0</v>
      </c>
      <c r="FJ1077" s="412">
        <f t="shared" si="2250"/>
        <v>0</v>
      </c>
      <c r="FK1077" s="409">
        <f t="shared" si="2250"/>
        <v>0</v>
      </c>
      <c r="FL1077" s="409">
        <f t="shared" si="2250"/>
        <v>0</v>
      </c>
      <c r="FM1077" s="409">
        <f t="shared" si="2250"/>
        <v>0</v>
      </c>
      <c r="FN1077" s="409">
        <f t="shared" si="2250"/>
        <v>0</v>
      </c>
      <c r="FO1077" s="409">
        <f t="shared" si="2250"/>
        <v>0</v>
      </c>
      <c r="FP1077" s="409">
        <f t="shared" si="2250"/>
        <v>0</v>
      </c>
      <c r="FQ1077" s="409">
        <f t="shared" si="2250"/>
        <v>0</v>
      </c>
      <c r="FR1077" s="409">
        <f t="shared" si="2250"/>
        <v>0</v>
      </c>
      <c r="FS1077" s="409">
        <f t="shared" si="2250"/>
        <v>0</v>
      </c>
      <c r="FT1077" s="409">
        <f t="shared" si="2250"/>
        <v>0</v>
      </c>
      <c r="FU1077" s="409">
        <f t="shared" si="2250"/>
        <v>0</v>
      </c>
      <c r="FV1077" s="412">
        <f t="shared" si="2250"/>
        <v>0</v>
      </c>
      <c r="FW1077" s="409">
        <f t="shared" si="2250"/>
        <v>0</v>
      </c>
      <c r="FX1077" s="409">
        <f t="shared" si="2250"/>
        <v>0</v>
      </c>
      <c r="FY1077" s="409">
        <f t="shared" si="2250"/>
        <v>0</v>
      </c>
      <c r="FZ1077" s="409">
        <f t="shared" si="2250"/>
        <v>0</v>
      </c>
      <c r="GA1077" s="409">
        <f t="shared" si="2250"/>
        <v>0</v>
      </c>
      <c r="GB1077" s="409">
        <f t="shared" si="2250"/>
        <v>0</v>
      </c>
      <c r="GC1077" s="409">
        <f t="shared" si="2250"/>
        <v>0</v>
      </c>
      <c r="GD1077" s="409">
        <f t="shared" si="2250"/>
        <v>0</v>
      </c>
      <c r="GE1077" s="409">
        <f t="shared" si="2250"/>
        <v>0</v>
      </c>
      <c r="GF1077" s="409">
        <f t="shared" si="2250"/>
        <v>0</v>
      </c>
      <c r="GG1077" s="409">
        <f t="shared" si="2250"/>
        <v>0</v>
      </c>
      <c r="GH1077" s="409">
        <f t="shared" si="2250"/>
        <v>0</v>
      </c>
      <c r="HZ1077" s="340"/>
      <c r="IA1077" s="413" t="s">
        <v>496</v>
      </c>
      <c r="IB1077" s="413"/>
      <c r="IC1077" s="413"/>
      <c r="ID1077" s="279">
        <f>ID$803</f>
        <v>0</v>
      </c>
      <c r="IE1077" s="279">
        <f>IE$803</f>
        <v>0</v>
      </c>
      <c r="IF1077" s="279">
        <f>IF$803</f>
        <v>0</v>
      </c>
      <c r="IG1077" s="434">
        <f>IG$803</f>
        <v>0</v>
      </c>
      <c r="IH1077" s="284"/>
      <c r="IJ1077" s="434">
        <f>IJ$803</f>
        <v>0</v>
      </c>
      <c r="IM1077" s="434">
        <f>IM$803</f>
        <v>0</v>
      </c>
      <c r="IP1077" s="434">
        <f>IP$803</f>
        <v>0</v>
      </c>
      <c r="IQ1077" s="434"/>
      <c r="IR1077" s="434"/>
      <c r="IS1077" s="434">
        <f>IS$803</f>
        <v>0</v>
      </c>
      <c r="IT1077" s="434"/>
      <c r="IU1077" s="434"/>
      <c r="IV1077" s="434">
        <f>IV$803</f>
        <v>0</v>
      </c>
      <c r="IW1077" s="434"/>
      <c r="IX1077" s="434"/>
      <c r="IY1077" s="434">
        <f>IY$803</f>
        <v>0</v>
      </c>
      <c r="IZ1077" s="434"/>
      <c r="JA1077" s="434">
        <f>JA$803</f>
        <v>0</v>
      </c>
      <c r="JB1077" s="434">
        <f>JB$803</f>
        <v>0</v>
      </c>
      <c r="JC1077" s="434">
        <f>JC$803</f>
        <v>0</v>
      </c>
      <c r="JD1077" s="434">
        <f>JD$803</f>
        <v>0</v>
      </c>
      <c r="JE1077" s="434"/>
      <c r="JF1077" s="434"/>
      <c r="JG1077" s="434"/>
      <c r="JH1077" s="434"/>
      <c r="JI1077" s="434"/>
      <c r="JJ1077" s="434"/>
      <c r="JK1077" s="434"/>
      <c r="KU1077" s="340"/>
      <c r="KV1077" s="341"/>
      <c r="KY1077" s="279">
        <f>KY$803</f>
        <v>0</v>
      </c>
      <c r="KZ1077" s="279">
        <f>KZ$803</f>
        <v>0</v>
      </c>
      <c r="LA1077" s="279">
        <f>LA$803</f>
        <v>0</v>
      </c>
      <c r="LB1077" s="279">
        <f>LB$803</f>
        <v>0</v>
      </c>
    </row>
    <row r="1078" spans="1:314">
      <c r="A1078" s="279"/>
      <c r="B1078" s="96" t="s">
        <v>338</v>
      </c>
      <c r="D1078" s="413" t="str">
        <f>D$813</f>
        <v xml:space="preserve">Grants </v>
      </c>
      <c r="E1078" s="409">
        <f>E$813</f>
        <v>0</v>
      </c>
      <c r="F1078" s="409">
        <f t="shared" ref="F1078:L1078" si="2251">F$813</f>
        <v>0</v>
      </c>
      <c r="G1078" s="409">
        <f t="shared" si="2251"/>
        <v>0</v>
      </c>
      <c r="H1078" s="409">
        <f t="shared" si="2251"/>
        <v>0</v>
      </c>
      <c r="I1078" s="409">
        <f t="shared" si="2251"/>
        <v>0</v>
      </c>
      <c r="J1078" s="409">
        <f t="shared" si="2251"/>
        <v>0</v>
      </c>
      <c r="K1078" s="409">
        <f t="shared" si="2251"/>
        <v>0</v>
      </c>
      <c r="L1078" s="409">
        <f t="shared" si="2251"/>
        <v>0</v>
      </c>
      <c r="M1078" s="409">
        <f t="shared" ref="M1078:AW1078" si="2252">M$813</f>
        <v>0</v>
      </c>
      <c r="N1078" s="409">
        <f t="shared" si="2252"/>
        <v>0</v>
      </c>
      <c r="O1078" s="409">
        <f t="shared" si="2252"/>
        <v>0</v>
      </c>
      <c r="P1078" s="409">
        <f t="shared" si="2252"/>
        <v>0</v>
      </c>
      <c r="Q1078" s="409">
        <f t="shared" si="2252"/>
        <v>0</v>
      </c>
      <c r="R1078" s="409">
        <f t="shared" si="2252"/>
        <v>0</v>
      </c>
      <c r="S1078" s="409">
        <f t="shared" si="2252"/>
        <v>0</v>
      </c>
      <c r="T1078" s="409">
        <f t="shared" si="2252"/>
        <v>0</v>
      </c>
      <c r="U1078" s="409">
        <f t="shared" si="2252"/>
        <v>0</v>
      </c>
      <c r="V1078" s="409">
        <f t="shared" si="2252"/>
        <v>0</v>
      </c>
      <c r="W1078" s="409">
        <f t="shared" si="2252"/>
        <v>0</v>
      </c>
      <c r="X1078" s="409">
        <f t="shared" si="2252"/>
        <v>0</v>
      </c>
      <c r="Y1078" s="409">
        <f t="shared" si="2252"/>
        <v>0</v>
      </c>
      <c r="Z1078" s="409">
        <f t="shared" si="2252"/>
        <v>0</v>
      </c>
      <c r="AA1078" s="409">
        <f t="shared" si="2252"/>
        <v>0</v>
      </c>
      <c r="AB1078" s="409">
        <f t="shared" si="2252"/>
        <v>0</v>
      </c>
      <c r="AC1078" s="409">
        <f t="shared" si="2252"/>
        <v>0</v>
      </c>
      <c r="AD1078" s="409">
        <f t="shared" si="2252"/>
        <v>0</v>
      </c>
      <c r="AE1078" s="409">
        <f t="shared" si="2252"/>
        <v>0</v>
      </c>
      <c r="AF1078" s="409">
        <f t="shared" si="2252"/>
        <v>0</v>
      </c>
      <c r="AG1078" s="409">
        <f t="shared" si="2252"/>
        <v>0</v>
      </c>
      <c r="AH1078" s="409">
        <f t="shared" si="2252"/>
        <v>0</v>
      </c>
      <c r="AI1078" s="409">
        <f t="shared" si="2252"/>
        <v>0</v>
      </c>
      <c r="AJ1078" s="409">
        <f t="shared" si="2252"/>
        <v>0</v>
      </c>
      <c r="AK1078" s="409">
        <f t="shared" si="2252"/>
        <v>0</v>
      </c>
      <c r="AL1078" s="409">
        <f t="shared" si="2252"/>
        <v>0</v>
      </c>
      <c r="AM1078" s="409">
        <f t="shared" si="2252"/>
        <v>0</v>
      </c>
      <c r="AN1078" s="409">
        <f t="shared" si="2252"/>
        <v>0</v>
      </c>
      <c r="AO1078" s="409">
        <f t="shared" si="2252"/>
        <v>21.649201587</v>
      </c>
      <c r="AP1078" s="409">
        <f t="shared" si="2252"/>
        <v>0</v>
      </c>
      <c r="AQ1078" s="409">
        <f t="shared" si="2252"/>
        <v>8.0213442799999992</v>
      </c>
      <c r="AR1078" s="409">
        <f t="shared" si="2252"/>
        <v>12.581843562</v>
      </c>
      <c r="AS1078" s="409">
        <f t="shared" si="2252"/>
        <v>9.056692696999999</v>
      </c>
      <c r="AT1078" s="409">
        <f t="shared" si="2252"/>
        <v>97.265289525</v>
      </c>
      <c r="AU1078" s="409">
        <f t="shared" si="2252"/>
        <v>14.359943473818106</v>
      </c>
      <c r="AV1078" s="409">
        <f t="shared" si="2252"/>
        <v>7.232509424266377</v>
      </c>
      <c r="AW1078" s="409">
        <f t="shared" si="2252"/>
        <v>59.516871442659337</v>
      </c>
      <c r="AX1078" s="409">
        <f t="shared" ref="AX1078:BP1078" si="2253">AX$813</f>
        <v>33.411417465369809</v>
      </c>
      <c r="AY1078" s="409">
        <f t="shared" si="2253"/>
        <v>16.044825288505645</v>
      </c>
      <c r="AZ1078" s="409">
        <f t="shared" si="2253"/>
        <v>109.82659987000741</v>
      </c>
      <c r="BA1078" s="409">
        <f t="shared" si="2253"/>
        <v>8.8019992640933733</v>
      </c>
      <c r="BB1078" s="409">
        <f t="shared" si="2253"/>
        <v>10.577286439512136</v>
      </c>
      <c r="BC1078" s="409">
        <f t="shared" si="2253"/>
        <v>8.244866279878206</v>
      </c>
      <c r="BD1078" s="409">
        <f t="shared" si="2253"/>
        <v>75.35028321798481</v>
      </c>
      <c r="BE1078" s="409">
        <f t="shared" si="2253"/>
        <v>9.7280125404380176</v>
      </c>
      <c r="BF1078" s="409">
        <f t="shared" si="2253"/>
        <v>27.298432574456768</v>
      </c>
      <c r="BG1078" s="409">
        <f t="shared" si="2253"/>
        <v>49.565736672181224</v>
      </c>
      <c r="BH1078" s="409">
        <f t="shared" si="2253"/>
        <v>45.808815921452073</v>
      </c>
      <c r="BI1078" s="409">
        <f t="shared" si="2253"/>
        <v>44.04422361746596</v>
      </c>
      <c r="BJ1078" s="409">
        <f t="shared" si="2253"/>
        <v>86.384493198957969</v>
      </c>
      <c r="BK1078" s="409">
        <f t="shared" si="2253"/>
        <v>18.147950790476774</v>
      </c>
      <c r="BL1078" s="409">
        <f t="shared" si="2253"/>
        <v>86.604788187888346</v>
      </c>
      <c r="BM1078" s="409">
        <f t="shared" si="2253"/>
        <v>6.0136036638934369</v>
      </c>
      <c r="BN1078" s="409">
        <f t="shared" si="2253"/>
        <v>11.641648074884673</v>
      </c>
      <c r="BO1078" s="409">
        <f t="shared" si="2253"/>
        <v>16.867940131778187</v>
      </c>
      <c r="BP1078" s="409">
        <f t="shared" si="2253"/>
        <v>5.4282211105678257</v>
      </c>
      <c r="BQ1078" s="409">
        <f t="shared" ref="BQ1078:EB1078" si="2254">BQ$813</f>
        <v>4.8722007713956961</v>
      </c>
      <c r="BR1078" s="409">
        <f t="shared" si="2254"/>
        <v>82.006366405057818</v>
      </c>
      <c r="BS1078" s="409">
        <f t="shared" si="2254"/>
        <v>40.803880088389626</v>
      </c>
      <c r="BT1078" s="409">
        <f t="shared" si="2254"/>
        <v>14.813409459931112</v>
      </c>
      <c r="BU1078" s="409">
        <f t="shared" si="2254"/>
        <v>22.770009261522112</v>
      </c>
      <c r="BV1078" s="409">
        <f t="shared" si="2254"/>
        <v>48.610405375930306</v>
      </c>
      <c r="BW1078" s="409">
        <f t="shared" si="2254"/>
        <v>41.538890177774903</v>
      </c>
      <c r="BX1078" s="409">
        <f t="shared" si="2254"/>
        <v>32.076902483857872</v>
      </c>
      <c r="BY1078" s="409">
        <f t="shared" si="2254"/>
        <v>6.4084407417666696E-6</v>
      </c>
      <c r="BZ1078" s="409">
        <f t="shared" si="2254"/>
        <v>3.9502690426215792</v>
      </c>
      <c r="CA1078" s="409">
        <f t="shared" si="2254"/>
        <v>21.932064366094338</v>
      </c>
      <c r="CB1078" s="409">
        <f t="shared" si="2254"/>
        <v>38.051989401949243</v>
      </c>
      <c r="CC1078" s="409">
        <f t="shared" si="2254"/>
        <v>50.358811871651319</v>
      </c>
      <c r="CD1078" s="410">
        <f t="shared" si="2254"/>
        <v>43.183925704585832</v>
      </c>
      <c r="CE1078" s="409">
        <f t="shared" si="2254"/>
        <v>31.294496220706698</v>
      </c>
      <c r="CF1078" s="409">
        <f t="shared" si="2254"/>
        <v>38.849477566021811</v>
      </c>
      <c r="CG1078" s="409">
        <f t="shared" si="2254"/>
        <v>76.031701622894502</v>
      </c>
      <c r="CH1078" s="409">
        <f t="shared" si="2254"/>
        <v>48.3828124680496</v>
      </c>
      <c r="CI1078" s="409">
        <f t="shared" si="2254"/>
        <v>36.012732783613451</v>
      </c>
      <c r="CJ1078" s="409">
        <f t="shared" si="2254"/>
        <v>62.84400919591495</v>
      </c>
      <c r="CK1078" s="409">
        <f t="shared" si="2254"/>
        <v>22.369328398681304</v>
      </c>
      <c r="CL1078" s="409">
        <f t="shared" si="2254"/>
        <v>15.370313869472696</v>
      </c>
      <c r="CM1078" s="409">
        <f t="shared" si="2254"/>
        <v>15.260357731845993</v>
      </c>
      <c r="CN1078" s="409">
        <f t="shared" si="2254"/>
        <v>60.223322623538365</v>
      </c>
      <c r="CO1078" s="409">
        <f t="shared" si="2254"/>
        <v>36.611849603410164</v>
      </c>
      <c r="CP1078" s="412">
        <f t="shared" si="2254"/>
        <v>31.066255138470598</v>
      </c>
      <c r="CQ1078" s="409">
        <f t="shared" si="2254"/>
        <v>34.448433302576923</v>
      </c>
      <c r="CR1078" s="409">
        <f t="shared" si="2254"/>
        <v>20.63533699242986</v>
      </c>
      <c r="CS1078" s="409">
        <f t="shared" si="2254"/>
        <v>32.087946900292721</v>
      </c>
      <c r="CT1078" s="409">
        <f t="shared" si="2254"/>
        <v>27.612034403931105</v>
      </c>
      <c r="CU1078" s="409">
        <f t="shared" si="2254"/>
        <v>37.436683176818299</v>
      </c>
      <c r="CV1078" s="409">
        <f t="shared" si="2254"/>
        <v>88.698945014422492</v>
      </c>
      <c r="CW1078" s="409">
        <f t="shared" si="2254"/>
        <v>19.204165503062438</v>
      </c>
      <c r="CX1078" s="409">
        <f t="shared" si="2254"/>
        <v>20.746947771968358</v>
      </c>
      <c r="CY1078" s="409">
        <f t="shared" si="2254"/>
        <v>35.869115706465713</v>
      </c>
      <c r="CZ1078" s="409">
        <f t="shared" si="2254"/>
        <v>25.985062782443698</v>
      </c>
      <c r="DA1078" s="409">
        <f t="shared" si="2254"/>
        <v>51.924950351204735</v>
      </c>
      <c r="DB1078" s="1309">
        <f t="shared" si="2254"/>
        <v>21.277785089683185</v>
      </c>
      <c r="DC1078" s="409">
        <f t="shared" si="2254"/>
        <v>31.952444359087636</v>
      </c>
      <c r="DD1078" s="409">
        <f t="shared" si="2254"/>
        <v>25.176932769502265</v>
      </c>
      <c r="DE1078" s="409">
        <f t="shared" si="2254"/>
        <v>37.733474002093303</v>
      </c>
      <c r="DF1078" s="409">
        <f t="shared" si="2254"/>
        <v>10.630564396348262</v>
      </c>
      <c r="DG1078" s="409">
        <f t="shared" si="2254"/>
        <v>42.242365627815268</v>
      </c>
      <c r="DH1078" s="409">
        <f t="shared" si="2254"/>
        <v>51.857928151955861</v>
      </c>
      <c r="DI1078" s="409">
        <f t="shared" si="2254"/>
        <v>10.091643304932198</v>
      </c>
      <c r="DJ1078" s="409">
        <f t="shared" si="2254"/>
        <v>14.552678703328509</v>
      </c>
      <c r="DK1078" s="409">
        <f t="shared" si="2254"/>
        <v>15.303282783798712</v>
      </c>
      <c r="DL1078" s="409">
        <f t="shared" si="2254"/>
        <v>65.287056068877121</v>
      </c>
      <c r="DM1078" s="409">
        <f t="shared" si="2254"/>
        <v>19.525803094469907</v>
      </c>
      <c r="DN1078" s="412">
        <f t="shared" si="2254"/>
        <v>49.359432531340339</v>
      </c>
      <c r="DO1078" s="409">
        <f t="shared" si="2254"/>
        <v>33.422444226957452</v>
      </c>
      <c r="DP1078" s="409">
        <f t="shared" si="2254"/>
        <v>18.29263575142069</v>
      </c>
      <c r="DQ1078" s="409">
        <f t="shared" si="2254"/>
        <v>12.474113623446415</v>
      </c>
      <c r="DR1078" s="409">
        <f t="shared" si="2254"/>
        <v>3.5377734003285308</v>
      </c>
      <c r="DS1078" s="409">
        <f t="shared" si="2254"/>
        <v>31.35309165422964</v>
      </c>
      <c r="DT1078" s="409">
        <f t="shared" si="2254"/>
        <v>66.135865509090536</v>
      </c>
      <c r="DU1078" s="409">
        <f t="shared" si="2254"/>
        <v>26.913274467305172</v>
      </c>
      <c r="DV1078" s="409">
        <f t="shared" si="2254"/>
        <v>15.756937633074747</v>
      </c>
      <c r="DW1078" s="409">
        <f t="shared" si="2254"/>
        <v>20.479289792514571</v>
      </c>
      <c r="DX1078" s="409">
        <f t="shared" si="2254"/>
        <v>18.128668872949451</v>
      </c>
      <c r="DY1078" s="409">
        <f t="shared" si="2254"/>
        <v>11.651588312578538</v>
      </c>
      <c r="DZ1078" s="412">
        <f t="shared" si="2254"/>
        <v>72.036400702622785</v>
      </c>
      <c r="EA1078" s="409">
        <f t="shared" si="2254"/>
        <v>34.374027905691761</v>
      </c>
      <c r="EB1078" s="409">
        <f t="shared" si="2254"/>
        <v>19.935162580397741</v>
      </c>
      <c r="EC1078" s="409">
        <f t="shared" ref="EC1078:GH1078" si="2255">EC$813</f>
        <v>25.342666027910504</v>
      </c>
      <c r="ED1078" s="409">
        <f t="shared" si="2255"/>
        <v>23.34687522806593</v>
      </c>
      <c r="EE1078" s="409">
        <f t="shared" si="2255"/>
        <v>28.348180612750795</v>
      </c>
      <c r="EF1078" s="409">
        <f t="shared" si="2255"/>
        <v>63.428379327498348</v>
      </c>
      <c r="EG1078" s="409">
        <f t="shared" si="2255"/>
        <v>47.224657854775174</v>
      </c>
      <c r="EH1078" s="409">
        <f t="shared" si="2255"/>
        <v>16.080746444490156</v>
      </c>
      <c r="EI1078" s="409">
        <f t="shared" si="2255"/>
        <v>37.312599014628738</v>
      </c>
      <c r="EJ1078" s="409">
        <f t="shared" si="2255"/>
        <v>24.48871988855079</v>
      </c>
      <c r="EK1078" s="409">
        <f t="shared" si="2255"/>
        <v>8.1360103973705851</v>
      </c>
      <c r="EL1078" s="412">
        <f t="shared" si="2255"/>
        <v>30.89065158657996</v>
      </c>
      <c r="EM1078" s="409">
        <f t="shared" si="2255"/>
        <v>23.923055191511224</v>
      </c>
      <c r="EN1078" s="409">
        <f t="shared" si="2255"/>
        <v>33.012554116012367</v>
      </c>
      <c r="EO1078" s="409">
        <f t="shared" si="2255"/>
        <v>32.159939741700256</v>
      </c>
      <c r="EP1078" s="409">
        <f t="shared" si="2255"/>
        <v>25.713574178749187</v>
      </c>
      <c r="EQ1078" s="409">
        <f t="shared" si="2255"/>
        <v>8.589162902411001</v>
      </c>
      <c r="ER1078" s="409">
        <f t="shared" si="2255"/>
        <v>111.15390138590099</v>
      </c>
      <c r="ES1078" s="409">
        <f t="shared" si="2255"/>
        <v>25.804821157746737</v>
      </c>
      <c r="ET1078" s="409">
        <f t="shared" si="2255"/>
        <v>40.261564226468217</v>
      </c>
      <c r="EU1078" s="409">
        <f t="shared" si="2255"/>
        <v>26.416724477371513</v>
      </c>
      <c r="EV1078" s="409">
        <f t="shared" si="2255"/>
        <v>31.9069752635531</v>
      </c>
      <c r="EW1078" s="409">
        <f t="shared" si="2255"/>
        <v>9.2735813359162655</v>
      </c>
      <c r="EX1078" s="412">
        <f t="shared" si="2255"/>
        <v>26.53420387887488</v>
      </c>
      <c r="EY1078" s="409">
        <f t="shared" si="2255"/>
        <v>32.241833855093404</v>
      </c>
      <c r="EZ1078" s="409">
        <f t="shared" si="2255"/>
        <v>19.120340874614172</v>
      </c>
      <c r="FA1078" s="409">
        <f t="shared" si="2255"/>
        <v>42.084767594036236</v>
      </c>
      <c r="FB1078" s="409">
        <f t="shared" si="2255"/>
        <v>17.141012261463228</v>
      </c>
      <c r="FC1078" s="409">
        <f t="shared" si="2255"/>
        <v>28.591621457094867</v>
      </c>
      <c r="FD1078" s="409">
        <f t="shared" si="2255"/>
        <v>81.290194267614766</v>
      </c>
      <c r="FE1078" s="409">
        <f t="shared" si="2255"/>
        <v>18.57477772208745</v>
      </c>
      <c r="FF1078" s="409">
        <f t="shared" si="2255"/>
        <v>40.829624657206764</v>
      </c>
      <c r="FG1078" s="409">
        <f t="shared" si="2255"/>
        <v>23.485399915408056</v>
      </c>
      <c r="FH1078" s="409">
        <f t="shared" si="2255"/>
        <v>43.434433253070921</v>
      </c>
      <c r="FI1078" s="409">
        <f t="shared" si="2255"/>
        <v>25.711020665681996</v>
      </c>
      <c r="FJ1078" s="412">
        <f t="shared" si="2255"/>
        <v>65.053378120495665</v>
      </c>
      <c r="FK1078" s="409">
        <f t="shared" si="2255"/>
        <v>18.016468952481294</v>
      </c>
      <c r="FL1078" s="409">
        <f t="shared" si="2255"/>
        <v>22.038160849417618</v>
      </c>
      <c r="FM1078" s="409">
        <f t="shared" si="2255"/>
        <v>85.114840036842878</v>
      </c>
      <c r="FN1078" s="409">
        <f t="shared" si="2255"/>
        <v>55.795753342564119</v>
      </c>
      <c r="FO1078" s="409">
        <f t="shared" si="2255"/>
        <v>24.596989962932081</v>
      </c>
      <c r="FP1078" s="409">
        <f t="shared" si="2255"/>
        <v>52.943284085381222</v>
      </c>
      <c r="FQ1078" s="409">
        <f t="shared" si="2255"/>
        <v>26.0973223375467</v>
      </c>
      <c r="FR1078" s="409">
        <f t="shared" si="2255"/>
        <v>26.0973223375467</v>
      </c>
      <c r="FS1078" s="409">
        <f t="shared" si="2255"/>
        <v>101.97518335178538</v>
      </c>
      <c r="FT1078" s="409">
        <f t="shared" si="2255"/>
        <v>40.092255082663847</v>
      </c>
      <c r="FU1078" s="409">
        <f t="shared" si="2255"/>
        <v>26.540783368213397</v>
      </c>
      <c r="FV1078" s="412">
        <f t="shared" si="2255"/>
        <v>81.779804093706915</v>
      </c>
      <c r="FW1078" s="409">
        <f t="shared" si="2255"/>
        <v>25.536817192198459</v>
      </c>
      <c r="FX1078" s="409">
        <f t="shared" si="2255"/>
        <v>68.769149023021257</v>
      </c>
      <c r="FY1078" s="409">
        <f t="shared" si="2255"/>
        <v>34.1409768277097</v>
      </c>
      <c r="FZ1078" s="409">
        <f t="shared" si="2255"/>
        <v>51.587092125766084</v>
      </c>
      <c r="GA1078" s="409">
        <f t="shared" si="2255"/>
        <v>54.156510223755291</v>
      </c>
      <c r="GB1078" s="409">
        <f t="shared" si="2255"/>
        <v>64.522391058925933</v>
      </c>
      <c r="GC1078" s="409">
        <f t="shared" si="2255"/>
        <v>51.379938509455535</v>
      </c>
      <c r="GD1078" s="409">
        <f t="shared" si="2255"/>
        <v>32.894609653005027</v>
      </c>
      <c r="GE1078" s="409">
        <f t="shared" si="2255"/>
        <v>127.61318963777623</v>
      </c>
      <c r="GF1078" s="409">
        <f t="shared" si="2255"/>
        <v>64.638842304396093</v>
      </c>
      <c r="GG1078" s="409">
        <f t="shared" si="2255"/>
        <v>211.40135803759989</v>
      </c>
      <c r="GH1078" s="409">
        <f t="shared" si="2255"/>
        <v>37.543484832671957</v>
      </c>
      <c r="HZ1078" s="340"/>
      <c r="IA1078" s="413" t="s">
        <v>504</v>
      </c>
      <c r="IB1078" s="413"/>
      <c r="IC1078" s="413"/>
      <c r="ID1078" s="279">
        <f>ID$813</f>
        <v>474.31665722262017</v>
      </c>
      <c r="IE1078" s="279">
        <f>IE$813</f>
        <v>240.9193797904714</v>
      </c>
      <c r="IF1078" s="279">
        <f>IF$813</f>
        <v>175.00802720482812</v>
      </c>
      <c r="IG1078" s="434">
        <f>IG$813</f>
        <v>415.92740699529952</v>
      </c>
      <c r="IH1078" s="284"/>
      <c r="IJ1078" s="434">
        <f>IJ$813</f>
        <v>373.71360579354939</v>
      </c>
      <c r="IM1078" s="434">
        <f>IM$813</f>
        <v>330.18208394651856</v>
      </c>
      <c r="IP1078" s="434">
        <f>IP$813</f>
        <v>358.90867686871047</v>
      </c>
      <c r="IQ1078" s="434"/>
      <c r="IR1078" s="434"/>
      <c r="IS1078" s="434">
        <f>IS$813</f>
        <v>394.75005785621573</v>
      </c>
      <c r="IT1078" s="434"/>
      <c r="IU1078" s="434"/>
      <c r="IV1078" s="434">
        <f>IV$813</f>
        <v>437.5584046438675</v>
      </c>
      <c r="IW1078" s="434"/>
      <c r="IX1078" s="434"/>
      <c r="IY1078" s="434">
        <f>IY$813</f>
        <v>561.08816780108214</v>
      </c>
      <c r="IZ1078" s="434"/>
      <c r="JA1078" s="434">
        <f>JA$813</f>
        <v>525.47142297490473</v>
      </c>
      <c r="JB1078" s="434">
        <f>JB$813</f>
        <v>824.18435942628139</v>
      </c>
      <c r="JC1078" s="434">
        <f>JC$813</f>
        <v>272.64858479455143</v>
      </c>
      <c r="JD1078" s="434">
        <f>JD$813</f>
        <v>438.65866096040048</v>
      </c>
      <c r="JE1078" s="434"/>
      <c r="JF1078" s="434"/>
      <c r="JG1078" s="434"/>
      <c r="JH1078" s="434"/>
      <c r="JI1078" s="434"/>
      <c r="JJ1078" s="434"/>
      <c r="JK1078" s="434"/>
      <c r="KU1078" s="340"/>
      <c r="KV1078" s="341"/>
      <c r="KY1078" s="279">
        <f>KY$813</f>
        <v>0</v>
      </c>
      <c r="KZ1078" s="279">
        <f>KZ$813</f>
        <v>0</v>
      </c>
      <c r="LA1078" s="279">
        <f>LA$813</f>
        <v>0</v>
      </c>
      <c r="LB1078" s="279">
        <f>LB$813</f>
        <v>0</v>
      </c>
    </row>
    <row r="1079" spans="1:314">
      <c r="A1079" s="279"/>
      <c r="B1079" s="96" t="s">
        <v>338</v>
      </c>
      <c r="D1079" s="414" t="str">
        <f>D$815</f>
        <v xml:space="preserve">Current </v>
      </c>
      <c r="E1079" s="409">
        <f t="shared" ref="E1079:AJ1079" si="2256">E815+E819</f>
        <v>0</v>
      </c>
      <c r="F1079" s="409">
        <f t="shared" si="2256"/>
        <v>0</v>
      </c>
      <c r="G1079" s="409">
        <f t="shared" si="2256"/>
        <v>0</v>
      </c>
      <c r="H1079" s="409">
        <f t="shared" si="2256"/>
        <v>0</v>
      </c>
      <c r="I1079" s="409">
        <f t="shared" si="2256"/>
        <v>0</v>
      </c>
      <c r="J1079" s="409">
        <f t="shared" si="2256"/>
        <v>0</v>
      </c>
      <c r="K1079" s="409">
        <f t="shared" si="2256"/>
        <v>0</v>
      </c>
      <c r="L1079" s="409">
        <f t="shared" si="2256"/>
        <v>0</v>
      </c>
      <c r="M1079" s="409">
        <f t="shared" si="2256"/>
        <v>0</v>
      </c>
      <c r="N1079" s="409">
        <f t="shared" si="2256"/>
        <v>0</v>
      </c>
      <c r="O1079" s="409">
        <f t="shared" si="2256"/>
        <v>0</v>
      </c>
      <c r="P1079" s="409">
        <f t="shared" si="2256"/>
        <v>0</v>
      </c>
      <c r="Q1079" s="409">
        <f t="shared" si="2256"/>
        <v>0</v>
      </c>
      <c r="R1079" s="409">
        <f t="shared" si="2256"/>
        <v>0</v>
      </c>
      <c r="S1079" s="409">
        <f t="shared" si="2256"/>
        <v>0</v>
      </c>
      <c r="T1079" s="409">
        <f t="shared" si="2256"/>
        <v>0</v>
      </c>
      <c r="U1079" s="409">
        <f t="shared" si="2256"/>
        <v>0</v>
      </c>
      <c r="V1079" s="409">
        <f t="shared" si="2256"/>
        <v>0</v>
      </c>
      <c r="W1079" s="409">
        <f t="shared" si="2256"/>
        <v>0</v>
      </c>
      <c r="X1079" s="409">
        <f t="shared" si="2256"/>
        <v>0</v>
      </c>
      <c r="Y1079" s="409">
        <f t="shared" si="2256"/>
        <v>0</v>
      </c>
      <c r="Z1079" s="409">
        <f t="shared" si="2256"/>
        <v>0</v>
      </c>
      <c r="AA1079" s="409">
        <f t="shared" si="2256"/>
        <v>0</v>
      </c>
      <c r="AB1079" s="409">
        <f t="shared" si="2256"/>
        <v>0</v>
      </c>
      <c r="AC1079" s="409">
        <f t="shared" si="2256"/>
        <v>0</v>
      </c>
      <c r="AD1079" s="409">
        <f t="shared" si="2256"/>
        <v>0</v>
      </c>
      <c r="AE1079" s="409">
        <f t="shared" si="2256"/>
        <v>0</v>
      </c>
      <c r="AF1079" s="409">
        <f t="shared" si="2256"/>
        <v>0</v>
      </c>
      <c r="AG1079" s="409">
        <f t="shared" si="2256"/>
        <v>0</v>
      </c>
      <c r="AH1079" s="409">
        <f t="shared" si="2256"/>
        <v>0</v>
      </c>
      <c r="AI1079" s="409">
        <f t="shared" si="2256"/>
        <v>0</v>
      </c>
      <c r="AJ1079" s="409">
        <f t="shared" si="2256"/>
        <v>0</v>
      </c>
      <c r="AK1079" s="409">
        <f t="shared" ref="AK1079:BP1079" si="2257">AK815+AK819</f>
        <v>0</v>
      </c>
      <c r="AL1079" s="409">
        <f t="shared" si="2257"/>
        <v>0</v>
      </c>
      <c r="AM1079" s="409">
        <f t="shared" si="2257"/>
        <v>0</v>
      </c>
      <c r="AN1079" s="409">
        <f t="shared" si="2257"/>
        <v>0</v>
      </c>
      <c r="AO1079" s="409">
        <f t="shared" si="2257"/>
        <v>21.649201587</v>
      </c>
      <c r="AP1079" s="409">
        <f t="shared" si="2257"/>
        <v>0</v>
      </c>
      <c r="AQ1079" s="409">
        <f t="shared" si="2257"/>
        <v>8.0213442799999992</v>
      </c>
      <c r="AR1079" s="409">
        <f t="shared" si="2257"/>
        <v>12.581843562</v>
      </c>
      <c r="AS1079" s="409">
        <f t="shared" si="2257"/>
        <v>9.056692696999999</v>
      </c>
      <c r="AT1079" s="409">
        <f t="shared" si="2257"/>
        <v>97.265289525</v>
      </c>
      <c r="AU1079" s="409">
        <f t="shared" si="2257"/>
        <v>6.1597314819999998</v>
      </c>
      <c r="AV1079" s="409">
        <f t="shared" si="2257"/>
        <v>4.7773699999999995</v>
      </c>
      <c r="AW1079" s="409">
        <f t="shared" si="2257"/>
        <v>58.822261999999988</v>
      </c>
      <c r="AX1079" s="409">
        <f t="shared" si="2257"/>
        <v>26.394771204000001</v>
      </c>
      <c r="AY1079" s="409">
        <f t="shared" si="2257"/>
        <v>6.9810858910000002</v>
      </c>
      <c r="AZ1079" s="409">
        <f t="shared" si="2257"/>
        <v>24.142312999000001</v>
      </c>
      <c r="BA1079" s="409">
        <f t="shared" si="2257"/>
        <v>0.531323502</v>
      </c>
      <c r="BB1079" s="409">
        <f t="shared" si="2257"/>
        <v>5.2342624570000007</v>
      </c>
      <c r="BC1079" s="409">
        <f t="shared" si="2257"/>
        <v>1.0111021920000001</v>
      </c>
      <c r="BD1079" s="409">
        <f t="shared" si="2257"/>
        <v>67.936107326759995</v>
      </c>
      <c r="BE1079" s="409">
        <f t="shared" si="2257"/>
        <v>1.03516734123</v>
      </c>
      <c r="BF1079" s="409">
        <f t="shared" si="2257"/>
        <v>13.367550886</v>
      </c>
      <c r="BG1079" s="409">
        <f t="shared" si="2257"/>
        <v>41.011713339000003</v>
      </c>
      <c r="BH1079" s="409">
        <f t="shared" si="2257"/>
        <v>37.631219074000001</v>
      </c>
      <c r="BI1079" s="409">
        <f t="shared" si="2257"/>
        <v>29.764305502999996</v>
      </c>
      <c r="BJ1079" s="409">
        <f t="shared" si="2257"/>
        <v>25.662271436000001</v>
      </c>
      <c r="BK1079" s="409">
        <f t="shared" si="2257"/>
        <v>4.6969805640000004</v>
      </c>
      <c r="BL1079" s="409">
        <f t="shared" si="2257"/>
        <v>72.178950183000012</v>
      </c>
      <c r="BM1079" s="409">
        <f t="shared" si="2257"/>
        <v>2.2913186510000001</v>
      </c>
      <c r="BN1079" s="409">
        <f t="shared" si="2257"/>
        <v>4.1133515819999991</v>
      </c>
      <c r="BO1079" s="409">
        <f t="shared" si="2257"/>
        <v>11.480174020999998</v>
      </c>
      <c r="BP1079" s="409">
        <f t="shared" si="2257"/>
        <v>0.244489505</v>
      </c>
      <c r="BQ1079" s="409">
        <f t="shared" ref="BQ1079:CV1079" si="2258">BQ815+BQ819</f>
        <v>0.210040425</v>
      </c>
      <c r="BR1079" s="409">
        <f t="shared" si="2258"/>
        <v>36.401174263000001</v>
      </c>
      <c r="BS1079" s="409">
        <f t="shared" si="2258"/>
        <v>28.600580636487997</v>
      </c>
      <c r="BT1079" s="409">
        <f t="shared" si="2258"/>
        <v>0</v>
      </c>
      <c r="BU1079" s="409">
        <f t="shared" si="2258"/>
        <v>16.179806585249999</v>
      </c>
      <c r="BV1079" s="409">
        <f t="shared" si="2258"/>
        <v>40.644011394025</v>
      </c>
      <c r="BW1079" s="409">
        <f t="shared" si="2258"/>
        <v>0</v>
      </c>
      <c r="BX1079" s="409">
        <f t="shared" si="2258"/>
        <v>3.0755816996010013</v>
      </c>
      <c r="BY1079" s="409">
        <f t="shared" si="2258"/>
        <v>0</v>
      </c>
      <c r="BZ1079" s="409">
        <f t="shared" si="2258"/>
        <v>0</v>
      </c>
      <c r="CA1079" s="409">
        <f t="shared" si="2258"/>
        <v>12.997303972659999</v>
      </c>
      <c r="CB1079" s="409">
        <f t="shared" si="2258"/>
        <v>31.179930483504002</v>
      </c>
      <c r="CC1079" s="409">
        <f t="shared" si="2258"/>
        <v>17.791806279455997</v>
      </c>
      <c r="CD1079" s="410">
        <f t="shared" si="2258"/>
        <v>32.721542591764994</v>
      </c>
      <c r="CE1079" s="409">
        <f t="shared" si="2258"/>
        <v>10.649725516935002</v>
      </c>
      <c r="CF1079" s="409">
        <f t="shared" si="2258"/>
        <v>32.642625870288001</v>
      </c>
      <c r="CG1079" s="409">
        <f t="shared" si="2258"/>
        <v>42.376945760600009</v>
      </c>
      <c r="CH1079" s="409">
        <f t="shared" si="2258"/>
        <v>8.2179470510999995</v>
      </c>
      <c r="CI1079" s="409">
        <f t="shared" si="2258"/>
        <v>2.710436597478</v>
      </c>
      <c r="CJ1079" s="409">
        <f t="shared" si="2258"/>
        <v>39.538582284914</v>
      </c>
      <c r="CK1079" s="409">
        <f t="shared" si="2258"/>
        <v>0</v>
      </c>
      <c r="CL1079" s="409">
        <f t="shared" si="2258"/>
        <v>0</v>
      </c>
      <c r="CM1079" s="409">
        <f t="shared" si="2258"/>
        <v>0</v>
      </c>
      <c r="CN1079" s="409">
        <f t="shared" si="2258"/>
        <v>5.1416973700781536</v>
      </c>
      <c r="CO1079" s="409">
        <f t="shared" si="2258"/>
        <v>20.51012667949999</v>
      </c>
      <c r="CP1079" s="412">
        <f t="shared" si="2258"/>
        <v>9.2667948451580067</v>
      </c>
      <c r="CQ1079" s="409">
        <f t="shared" si="2258"/>
        <v>17.574926579780833</v>
      </c>
      <c r="CR1079" s="409">
        <f t="shared" si="2258"/>
        <v>6.1004475483840262E-2</v>
      </c>
      <c r="CS1079" s="409">
        <f t="shared" si="2258"/>
        <v>18.410786140034833</v>
      </c>
      <c r="CT1079" s="409">
        <f t="shared" si="2258"/>
        <v>4.6459715500613363</v>
      </c>
      <c r="CU1079" s="409">
        <f t="shared" si="2258"/>
        <v>11.644424817805957</v>
      </c>
      <c r="CV1079" s="409">
        <f t="shared" si="2258"/>
        <v>63.104221270265896</v>
      </c>
      <c r="CW1079" s="409">
        <f t="shared" ref="CW1079:EB1079" si="2259">CW815+CW819</f>
        <v>0.36886337475031195</v>
      </c>
      <c r="CX1079" s="409">
        <f t="shared" si="2259"/>
        <v>5.3526167373176399E-2</v>
      </c>
      <c r="CY1079" s="409">
        <f t="shared" si="2259"/>
        <v>17.62001316069103</v>
      </c>
      <c r="CZ1079" s="409">
        <f t="shared" si="2259"/>
        <v>13.437569677394109</v>
      </c>
      <c r="DA1079" s="409">
        <f t="shared" si="2259"/>
        <v>27.297930233327257</v>
      </c>
      <c r="DB1079" s="1309">
        <f t="shared" si="2259"/>
        <v>0.68446750797208367</v>
      </c>
      <c r="DC1079" s="409">
        <f t="shared" si="2259"/>
        <v>18.500350525863201</v>
      </c>
      <c r="DD1079" s="409">
        <f t="shared" si="2259"/>
        <v>6.1547591233999999</v>
      </c>
      <c r="DE1079" s="409">
        <f t="shared" si="2259"/>
        <v>21.85774148142</v>
      </c>
      <c r="DF1079" s="409">
        <f t="shared" si="2259"/>
        <v>0.27488678799999999</v>
      </c>
      <c r="DG1079" s="409">
        <f t="shared" si="2259"/>
        <v>33.148919335843502</v>
      </c>
      <c r="DH1079" s="409">
        <f t="shared" si="2259"/>
        <v>22.95045653645364</v>
      </c>
      <c r="DI1079" s="409">
        <f t="shared" si="2259"/>
        <v>0.45384504142463566</v>
      </c>
      <c r="DJ1079" s="409">
        <f t="shared" si="2259"/>
        <v>3.0471868759055294</v>
      </c>
      <c r="DK1079" s="409">
        <f t="shared" si="2259"/>
        <v>0.34657287472925635</v>
      </c>
      <c r="DL1079" s="409">
        <f t="shared" si="2259"/>
        <v>54.368579620764223</v>
      </c>
      <c r="DM1079" s="409">
        <f t="shared" si="2259"/>
        <v>0.23876751243749914</v>
      </c>
      <c r="DN1079" s="412">
        <f t="shared" si="2259"/>
        <v>43.464944561485638</v>
      </c>
      <c r="DO1079" s="409">
        <f t="shared" si="2259"/>
        <v>21.286172955145268</v>
      </c>
      <c r="DP1079" s="409">
        <f t="shared" si="2259"/>
        <v>6.15912446300276</v>
      </c>
      <c r="DQ1079" s="409">
        <f t="shared" si="2259"/>
        <v>0.36889618367652649</v>
      </c>
      <c r="DR1079" s="409">
        <f t="shared" si="2259"/>
        <v>0.3018041686636207</v>
      </c>
      <c r="DS1079" s="409">
        <f t="shared" si="2259"/>
        <v>16.246436408114487</v>
      </c>
      <c r="DT1079" s="409">
        <f t="shared" si="2259"/>
        <v>48.103489986870606</v>
      </c>
      <c r="DU1079" s="409">
        <f t="shared" si="2259"/>
        <v>15.925133723153333</v>
      </c>
      <c r="DV1079" s="409">
        <f t="shared" si="2259"/>
        <v>5.8007764595570457E-2</v>
      </c>
      <c r="DW1079" s="409">
        <f t="shared" si="2259"/>
        <v>10.541360405145587</v>
      </c>
      <c r="DX1079" s="409">
        <f t="shared" si="2259"/>
        <v>12.189416837913845</v>
      </c>
      <c r="DY1079" s="409">
        <f t="shared" si="2259"/>
        <v>4.4983689553372501E-2</v>
      </c>
      <c r="DZ1079" s="412">
        <f t="shared" si="2259"/>
        <v>52.957257360683563</v>
      </c>
      <c r="EA1079" s="409">
        <f t="shared" si="2259"/>
        <v>22.330994918999998</v>
      </c>
      <c r="EB1079" s="409">
        <f t="shared" si="2259"/>
        <v>8.3537451970000003</v>
      </c>
      <c r="EC1079" s="409">
        <f t="shared" ref="EC1079:FH1079" si="2260">EC815+EC819</f>
        <v>6.3896163980000003</v>
      </c>
      <c r="ED1079" s="409">
        <f t="shared" si="2260"/>
        <v>14.13396304859401</v>
      </c>
      <c r="EE1079" s="409">
        <f t="shared" si="2260"/>
        <v>9.6817075793944767</v>
      </c>
      <c r="EF1079" s="409">
        <f t="shared" si="2260"/>
        <v>48.730264540326587</v>
      </c>
      <c r="EG1079" s="409">
        <f t="shared" si="2260"/>
        <v>39.490286297071613</v>
      </c>
      <c r="EH1079" s="409">
        <f t="shared" si="2260"/>
        <v>3.5360454347946204</v>
      </c>
      <c r="EI1079" s="409">
        <f t="shared" si="2260"/>
        <v>15.814171582027823</v>
      </c>
      <c r="EJ1079" s="409">
        <f t="shared" si="2260"/>
        <v>20.966980069027823</v>
      </c>
      <c r="EK1079" s="409">
        <f t="shared" si="2260"/>
        <v>5.0993692085567657E-2</v>
      </c>
      <c r="EL1079" s="412">
        <f t="shared" si="2260"/>
        <v>0.7199081113879362</v>
      </c>
      <c r="EM1079" s="409">
        <f t="shared" si="2260"/>
        <v>8.246678119256373</v>
      </c>
      <c r="EN1079" s="409">
        <f t="shared" si="2260"/>
        <v>16.731777538332228</v>
      </c>
      <c r="EO1079" s="409">
        <f t="shared" si="2260"/>
        <v>0.2027860917652563</v>
      </c>
      <c r="EP1079" s="409">
        <f t="shared" si="2260"/>
        <v>2.364907381854027E-2</v>
      </c>
      <c r="EQ1079" s="409">
        <f t="shared" si="2260"/>
        <v>2.350520414</v>
      </c>
      <c r="ER1079" s="409">
        <f t="shared" si="2260"/>
        <v>79.196747735965999</v>
      </c>
      <c r="ES1079" s="409">
        <f t="shared" si="2260"/>
        <v>14.032465188655175</v>
      </c>
      <c r="ET1079" s="409">
        <f t="shared" si="2260"/>
        <v>25.71504433300705</v>
      </c>
      <c r="EU1079" s="409">
        <f t="shared" si="2260"/>
        <v>9.7848614553610838E-2</v>
      </c>
      <c r="EV1079" s="409">
        <f t="shared" si="2260"/>
        <v>14.861680736767459</v>
      </c>
      <c r="EW1079" s="409">
        <f t="shared" si="2260"/>
        <v>0</v>
      </c>
      <c r="EX1079" s="412">
        <f t="shared" si="2260"/>
        <v>0.21532801592438158</v>
      </c>
      <c r="EY1079" s="409">
        <f t="shared" si="2260"/>
        <v>18.885914780479233</v>
      </c>
      <c r="EZ1079" s="409">
        <f t="shared" si="2260"/>
        <v>0</v>
      </c>
      <c r="FA1079" s="409">
        <f t="shared" si="2260"/>
        <v>9.608507644444737</v>
      </c>
      <c r="FB1079" s="409">
        <f t="shared" si="2260"/>
        <v>0</v>
      </c>
      <c r="FC1079" s="409">
        <f t="shared" si="2260"/>
        <v>9.2111639751582803</v>
      </c>
      <c r="FD1079" s="409">
        <f t="shared" si="2260"/>
        <v>52.863934318023269</v>
      </c>
      <c r="FE1079" s="409">
        <f t="shared" si="2260"/>
        <v>0</v>
      </c>
      <c r="FF1079" s="409">
        <f t="shared" si="2260"/>
        <v>17.942072601710958</v>
      </c>
      <c r="FG1079" s="409">
        <f t="shared" si="2260"/>
        <v>0</v>
      </c>
      <c r="FH1079" s="409">
        <f t="shared" si="2260"/>
        <v>26.339455367801001</v>
      </c>
      <c r="FI1079" s="409">
        <f t="shared" ref="FI1079:GH1079" si="2261">FI815+FI819</f>
        <v>0</v>
      </c>
      <c r="FJ1079" s="412">
        <f t="shared" si="2261"/>
        <v>42.879513273999997</v>
      </c>
      <c r="FK1079" s="409">
        <f t="shared" si="2261"/>
        <v>0</v>
      </c>
      <c r="FL1079" s="409">
        <f t="shared" si="2261"/>
        <v>0</v>
      </c>
      <c r="FM1079" s="409">
        <f t="shared" si="2261"/>
        <v>55.78206542418198</v>
      </c>
      <c r="FN1079" s="409">
        <f t="shared" si="2261"/>
        <v>35.485712861354926</v>
      </c>
      <c r="FO1079" s="409">
        <f t="shared" si="2261"/>
        <v>0</v>
      </c>
      <c r="FP1079" s="409">
        <f t="shared" si="2261"/>
        <v>28.462910114962668</v>
      </c>
      <c r="FQ1079" s="409">
        <f t="shared" si="2261"/>
        <v>0</v>
      </c>
      <c r="FR1079" s="409">
        <f t="shared" si="2261"/>
        <v>0</v>
      </c>
      <c r="FS1079" s="409">
        <f t="shared" si="2261"/>
        <v>74.49219628223868</v>
      </c>
      <c r="FT1079" s="409">
        <f t="shared" si="2261"/>
        <v>15.214705663450417</v>
      </c>
      <c r="FU1079" s="409">
        <f t="shared" si="2261"/>
        <v>0</v>
      </c>
      <c r="FV1079" s="412">
        <f t="shared" si="2261"/>
        <v>56.902254674493491</v>
      </c>
      <c r="FW1079" s="409">
        <f t="shared" si="2261"/>
        <v>1.2382475E-2</v>
      </c>
      <c r="FX1079" s="409">
        <f t="shared" si="2261"/>
        <v>43.244714305822797</v>
      </c>
      <c r="FY1079" s="409">
        <f t="shared" si="2261"/>
        <v>8.6165421105112401</v>
      </c>
      <c r="FZ1079" s="409">
        <f t="shared" si="2261"/>
        <v>17.063186750203002</v>
      </c>
      <c r="GA1079" s="409">
        <f t="shared" si="2261"/>
        <v>19.632604848192209</v>
      </c>
      <c r="GB1079" s="409">
        <f t="shared" si="2261"/>
        <v>29.998485683362848</v>
      </c>
      <c r="GC1079" s="409">
        <f t="shared" si="2261"/>
        <v>18.56186430122964</v>
      </c>
      <c r="GD1079" s="409">
        <f t="shared" si="2261"/>
        <v>7.6535444779132003E-2</v>
      </c>
      <c r="GE1079" s="409">
        <f t="shared" si="2261"/>
        <v>94.795115429550336</v>
      </c>
      <c r="GF1079" s="409">
        <f t="shared" si="2261"/>
        <v>31.820768096170202</v>
      </c>
      <c r="GG1079" s="409">
        <f t="shared" si="2261"/>
        <v>178.58328382937401</v>
      </c>
      <c r="GH1079" s="409">
        <f t="shared" si="2261"/>
        <v>4.7254106244460603</v>
      </c>
      <c r="HZ1079" s="340"/>
      <c r="IA1079" s="414" t="s">
        <v>506</v>
      </c>
      <c r="IB1079" s="414"/>
      <c r="IC1079" s="414"/>
      <c r="ID1079" s="279">
        <f>ID815+ID819</f>
        <v>171.05488197605115</v>
      </c>
      <c r="IE1079" s="279">
        <f>IE815+IE819</f>
        <v>115.44133483343269</v>
      </c>
      <c r="IF1079" s="279">
        <f>IF815+IF819</f>
        <v>59.462370121507973</v>
      </c>
      <c r="IG1079" s="434">
        <f>IG815+IG819</f>
        <v>174.90370495494068</v>
      </c>
      <c r="IH1079" s="284"/>
      <c r="IJ1079" s="434">
        <f>IJ815+IJ819</f>
        <v>204.80701027772713</v>
      </c>
      <c r="IM1079" s="434">
        <f>IM815+IM819</f>
        <v>184.18208394651856</v>
      </c>
      <c r="IP1079" s="434">
        <f>IP815+IP819</f>
        <v>190.19867686871044</v>
      </c>
      <c r="IQ1079" s="434"/>
      <c r="IR1079" s="434"/>
      <c r="IS1079" s="434">
        <f>IS815+IS819</f>
        <v>161.67452586204607</v>
      </c>
      <c r="IT1079" s="434"/>
      <c r="IU1079" s="434"/>
      <c r="IV1079" s="434">
        <f>IV815+IV819</f>
        <v>177.73056196161747</v>
      </c>
      <c r="IW1079" s="434"/>
      <c r="IX1079" s="434"/>
      <c r="IY1079" s="434">
        <f>IY815+IY819</f>
        <v>271.30825333268211</v>
      </c>
      <c r="IZ1079" s="434"/>
      <c r="JA1079" s="434">
        <f>JA815+JA819</f>
        <v>328.56297772554939</v>
      </c>
      <c r="JB1079" s="434">
        <f>JB815+JB819</f>
        <v>447.13089389864149</v>
      </c>
      <c r="JC1079" s="434">
        <f>JC815+JC819</f>
        <v>86.452719849594033</v>
      </c>
      <c r="JD1079" s="434">
        <f>JD815+JD819</f>
        <v>223.56962116235658</v>
      </c>
      <c r="JE1079" s="434"/>
      <c r="JF1079" s="434"/>
      <c r="JG1079" s="434"/>
      <c r="JH1079" s="434"/>
      <c r="JI1079" s="434"/>
      <c r="JJ1079" s="434"/>
      <c r="JK1079" s="434"/>
      <c r="KU1079" s="340"/>
      <c r="KV1079" s="341"/>
      <c r="KY1079" s="279">
        <f>KY815+KY819</f>
        <v>0</v>
      </c>
      <c r="KZ1079" s="279">
        <f>KZ815+KZ819</f>
        <v>0</v>
      </c>
      <c r="LA1079" s="279">
        <f>LA815+LA819</f>
        <v>0</v>
      </c>
      <c r="LB1079" s="279">
        <f>LB815+LB819</f>
        <v>0</v>
      </c>
    </row>
    <row r="1080" spans="1:314">
      <c r="A1080" s="279"/>
      <c r="B1080" s="96" t="s">
        <v>338</v>
      </c>
      <c r="D1080" s="414" t="str">
        <f>D$817</f>
        <v xml:space="preserve">Capital </v>
      </c>
      <c r="E1080" s="409">
        <f t="shared" ref="E1080:AJ1080" si="2262">+E817+E820</f>
        <v>0</v>
      </c>
      <c r="F1080" s="409">
        <f t="shared" si="2262"/>
        <v>0</v>
      </c>
      <c r="G1080" s="409">
        <f t="shared" si="2262"/>
        <v>0</v>
      </c>
      <c r="H1080" s="409">
        <f t="shared" si="2262"/>
        <v>0</v>
      </c>
      <c r="I1080" s="409">
        <f t="shared" si="2262"/>
        <v>0</v>
      </c>
      <c r="J1080" s="409">
        <f t="shared" si="2262"/>
        <v>0</v>
      </c>
      <c r="K1080" s="409">
        <f t="shared" si="2262"/>
        <v>0</v>
      </c>
      <c r="L1080" s="409">
        <f t="shared" si="2262"/>
        <v>0</v>
      </c>
      <c r="M1080" s="409">
        <f t="shared" si="2262"/>
        <v>0</v>
      </c>
      <c r="N1080" s="409">
        <f t="shared" si="2262"/>
        <v>0</v>
      </c>
      <c r="O1080" s="409">
        <f t="shared" si="2262"/>
        <v>0</v>
      </c>
      <c r="P1080" s="409">
        <f t="shared" si="2262"/>
        <v>0</v>
      </c>
      <c r="Q1080" s="409">
        <f t="shared" si="2262"/>
        <v>0</v>
      </c>
      <c r="R1080" s="409">
        <f t="shared" si="2262"/>
        <v>0</v>
      </c>
      <c r="S1080" s="409">
        <f t="shared" si="2262"/>
        <v>0</v>
      </c>
      <c r="T1080" s="409">
        <f t="shared" si="2262"/>
        <v>0</v>
      </c>
      <c r="U1080" s="409">
        <f t="shared" si="2262"/>
        <v>0</v>
      </c>
      <c r="V1080" s="409">
        <f t="shared" si="2262"/>
        <v>0</v>
      </c>
      <c r="W1080" s="409">
        <f t="shared" si="2262"/>
        <v>0</v>
      </c>
      <c r="X1080" s="409">
        <f t="shared" si="2262"/>
        <v>0</v>
      </c>
      <c r="Y1080" s="409">
        <f t="shared" si="2262"/>
        <v>0</v>
      </c>
      <c r="Z1080" s="409">
        <f t="shared" si="2262"/>
        <v>0</v>
      </c>
      <c r="AA1080" s="409">
        <f t="shared" si="2262"/>
        <v>0</v>
      </c>
      <c r="AB1080" s="409">
        <f t="shared" si="2262"/>
        <v>0</v>
      </c>
      <c r="AC1080" s="409">
        <f t="shared" si="2262"/>
        <v>0</v>
      </c>
      <c r="AD1080" s="409">
        <f t="shared" si="2262"/>
        <v>0</v>
      </c>
      <c r="AE1080" s="409">
        <f t="shared" si="2262"/>
        <v>0</v>
      </c>
      <c r="AF1080" s="409">
        <f t="shared" si="2262"/>
        <v>0</v>
      </c>
      <c r="AG1080" s="409">
        <f t="shared" si="2262"/>
        <v>0</v>
      </c>
      <c r="AH1080" s="409">
        <f t="shared" si="2262"/>
        <v>0</v>
      </c>
      <c r="AI1080" s="409">
        <f t="shared" si="2262"/>
        <v>0</v>
      </c>
      <c r="AJ1080" s="409">
        <f t="shared" si="2262"/>
        <v>0</v>
      </c>
      <c r="AK1080" s="409">
        <f t="shared" ref="AK1080:BP1080" si="2263">+AK817+AK820</f>
        <v>0</v>
      </c>
      <c r="AL1080" s="409">
        <f t="shared" si="2263"/>
        <v>0</v>
      </c>
      <c r="AM1080" s="409">
        <f t="shared" si="2263"/>
        <v>0</v>
      </c>
      <c r="AN1080" s="409">
        <f t="shared" si="2263"/>
        <v>0</v>
      </c>
      <c r="AO1080" s="409">
        <f t="shared" si="2263"/>
        <v>0</v>
      </c>
      <c r="AP1080" s="409">
        <f t="shared" si="2263"/>
        <v>0</v>
      </c>
      <c r="AQ1080" s="409">
        <f t="shared" si="2263"/>
        <v>0</v>
      </c>
      <c r="AR1080" s="409">
        <f t="shared" si="2263"/>
        <v>0</v>
      </c>
      <c r="AS1080" s="409">
        <f t="shared" si="2263"/>
        <v>0</v>
      </c>
      <c r="AT1080" s="409">
        <f t="shared" si="2263"/>
        <v>0</v>
      </c>
      <c r="AU1080" s="409">
        <f t="shared" si="2263"/>
        <v>8.2002119918181062</v>
      </c>
      <c r="AV1080" s="409">
        <f t="shared" si="2263"/>
        <v>2.4551394242663771</v>
      </c>
      <c r="AW1080" s="409">
        <f t="shared" si="2263"/>
        <v>0.69460944265934976</v>
      </c>
      <c r="AX1080" s="409">
        <f t="shared" si="2263"/>
        <v>7.0166462613698037</v>
      </c>
      <c r="AY1080" s="409">
        <f t="shared" si="2263"/>
        <v>9.0637393975056462</v>
      </c>
      <c r="AZ1080" s="409">
        <f t="shared" si="2263"/>
        <v>85.684286871007416</v>
      </c>
      <c r="BA1080" s="409">
        <f t="shared" si="2263"/>
        <v>8.270675762093374</v>
      </c>
      <c r="BB1080" s="409">
        <f t="shared" si="2263"/>
        <v>5.3430239825121344</v>
      </c>
      <c r="BC1080" s="409">
        <f t="shared" si="2263"/>
        <v>7.2337640878782059</v>
      </c>
      <c r="BD1080" s="409">
        <f t="shared" si="2263"/>
        <v>7.4141758912248124</v>
      </c>
      <c r="BE1080" s="409">
        <f t="shared" si="2263"/>
        <v>8.6928451992080173</v>
      </c>
      <c r="BF1080" s="409">
        <f t="shared" si="2263"/>
        <v>13.930881688456768</v>
      </c>
      <c r="BG1080" s="409">
        <f t="shared" si="2263"/>
        <v>8.5540233331812221</v>
      </c>
      <c r="BH1080" s="409">
        <f t="shared" si="2263"/>
        <v>8.1775968474520724</v>
      </c>
      <c r="BI1080" s="409">
        <f t="shared" si="2263"/>
        <v>14.279918114465966</v>
      </c>
      <c r="BJ1080" s="409">
        <f t="shared" si="2263"/>
        <v>60.722221762957972</v>
      </c>
      <c r="BK1080" s="409">
        <f t="shared" si="2263"/>
        <v>13.450970226476773</v>
      </c>
      <c r="BL1080" s="409">
        <f t="shared" si="2263"/>
        <v>14.425838004888339</v>
      </c>
      <c r="BM1080" s="409">
        <f t="shared" si="2263"/>
        <v>3.7222850128934368</v>
      </c>
      <c r="BN1080" s="409">
        <f t="shared" si="2263"/>
        <v>7.5282964928846736</v>
      </c>
      <c r="BO1080" s="409">
        <f t="shared" si="2263"/>
        <v>5.3877661107781902</v>
      </c>
      <c r="BP1080" s="409">
        <f t="shared" si="2263"/>
        <v>5.183731605567826</v>
      </c>
      <c r="BQ1080" s="409">
        <f t="shared" ref="BQ1080:CV1080" si="2264">+BQ817+BQ820</f>
        <v>4.6621603463956962</v>
      </c>
      <c r="BR1080" s="409">
        <f t="shared" si="2264"/>
        <v>45.605192142057817</v>
      </c>
      <c r="BS1080" s="409">
        <f t="shared" si="2264"/>
        <v>12.203299451901628</v>
      </c>
      <c r="BT1080" s="409">
        <f t="shared" si="2264"/>
        <v>14.813409459931112</v>
      </c>
      <c r="BU1080" s="409">
        <f t="shared" si="2264"/>
        <v>6.5902026762721153</v>
      </c>
      <c r="BV1080" s="409">
        <f t="shared" si="2264"/>
        <v>7.9663939819053082</v>
      </c>
      <c r="BW1080" s="409">
        <f t="shared" si="2264"/>
        <v>41.538890177774903</v>
      </c>
      <c r="BX1080" s="409">
        <f t="shared" si="2264"/>
        <v>29.001320784256873</v>
      </c>
      <c r="BY1080" s="409">
        <f t="shared" si="2264"/>
        <v>6.4084407417666696E-6</v>
      </c>
      <c r="BZ1080" s="409">
        <f t="shared" si="2264"/>
        <v>3.9502690426215792</v>
      </c>
      <c r="CA1080" s="409">
        <f t="shared" si="2264"/>
        <v>8.9347603934343383</v>
      </c>
      <c r="CB1080" s="409">
        <f t="shared" si="2264"/>
        <v>6.8720589184452443</v>
      </c>
      <c r="CC1080" s="409">
        <f t="shared" si="2264"/>
        <v>32.567005592195322</v>
      </c>
      <c r="CD1080" s="410">
        <f t="shared" si="2264"/>
        <v>10.462383112820836</v>
      </c>
      <c r="CE1080" s="409">
        <f t="shared" si="2264"/>
        <v>20.644770703771695</v>
      </c>
      <c r="CF1080" s="409">
        <f t="shared" si="2264"/>
        <v>6.2068516957338105</v>
      </c>
      <c r="CG1080" s="409">
        <f t="shared" si="2264"/>
        <v>33.654755862294493</v>
      </c>
      <c r="CH1080" s="409">
        <f t="shared" si="2264"/>
        <v>40.164865416949603</v>
      </c>
      <c r="CI1080" s="409">
        <f t="shared" si="2264"/>
        <v>33.30229618613545</v>
      </c>
      <c r="CJ1080" s="409">
        <f t="shared" si="2264"/>
        <v>23.305426911000946</v>
      </c>
      <c r="CK1080" s="409">
        <f t="shared" si="2264"/>
        <v>22.369328398681304</v>
      </c>
      <c r="CL1080" s="409">
        <f t="shared" si="2264"/>
        <v>15.370313869472696</v>
      </c>
      <c r="CM1080" s="409">
        <f t="shared" si="2264"/>
        <v>15.260357731845993</v>
      </c>
      <c r="CN1080" s="409">
        <f t="shared" si="2264"/>
        <v>55.08162525346021</v>
      </c>
      <c r="CO1080" s="409">
        <f t="shared" si="2264"/>
        <v>16.101722923910174</v>
      </c>
      <c r="CP1080" s="412">
        <f t="shared" si="2264"/>
        <v>21.799460293312592</v>
      </c>
      <c r="CQ1080" s="409">
        <f t="shared" si="2264"/>
        <v>16.87350672279609</v>
      </c>
      <c r="CR1080" s="409">
        <f t="shared" si="2264"/>
        <v>20.574332516946019</v>
      </c>
      <c r="CS1080" s="409">
        <f t="shared" si="2264"/>
        <v>13.677160760257889</v>
      </c>
      <c r="CT1080" s="409">
        <f t="shared" si="2264"/>
        <v>22.966062853869769</v>
      </c>
      <c r="CU1080" s="409">
        <f t="shared" si="2264"/>
        <v>25.792258359012344</v>
      </c>
      <c r="CV1080" s="409">
        <f t="shared" si="2264"/>
        <v>25.594723744156603</v>
      </c>
      <c r="CW1080" s="409">
        <f t="shared" ref="CW1080:EB1080" si="2265">+CW817+CW820</f>
        <v>18.835302128312126</v>
      </c>
      <c r="CX1080" s="409">
        <f t="shared" si="2265"/>
        <v>20.69342160459518</v>
      </c>
      <c r="CY1080" s="409">
        <f t="shared" si="2265"/>
        <v>18.249102545774683</v>
      </c>
      <c r="CZ1080" s="409">
        <f t="shared" si="2265"/>
        <v>12.54749310504959</v>
      </c>
      <c r="DA1080" s="409">
        <f t="shared" si="2265"/>
        <v>24.627020117877478</v>
      </c>
      <c r="DB1080" s="1309">
        <f t="shared" si="2265"/>
        <v>20.593317581711101</v>
      </c>
      <c r="DC1080" s="409">
        <f t="shared" si="2265"/>
        <v>13.452093833224433</v>
      </c>
      <c r="DD1080" s="409">
        <f t="shared" si="2265"/>
        <v>19.022173646102264</v>
      </c>
      <c r="DE1080" s="409">
        <f t="shared" si="2265"/>
        <v>15.875732520673303</v>
      </c>
      <c r="DF1080" s="409">
        <f t="shared" si="2265"/>
        <v>10.355677608348262</v>
      </c>
      <c r="DG1080" s="409">
        <f t="shared" si="2265"/>
        <v>9.0934462919717642</v>
      </c>
      <c r="DH1080" s="409">
        <f t="shared" si="2265"/>
        <v>28.907471615502221</v>
      </c>
      <c r="DI1080" s="409">
        <f t="shared" si="2265"/>
        <v>9.6377982635075625</v>
      </c>
      <c r="DJ1080" s="409">
        <f t="shared" si="2265"/>
        <v>11.505491827422979</v>
      </c>
      <c r="DK1080" s="409">
        <f t="shared" si="2265"/>
        <v>14.956709909069456</v>
      </c>
      <c r="DL1080" s="409">
        <f t="shared" si="2265"/>
        <v>10.918476448112893</v>
      </c>
      <c r="DM1080" s="409">
        <f t="shared" si="2265"/>
        <v>19.287035582032409</v>
      </c>
      <c r="DN1080" s="412">
        <f t="shared" si="2265"/>
        <v>5.8944879698547039</v>
      </c>
      <c r="DO1080" s="409">
        <f t="shared" si="2265"/>
        <v>12.136271271812186</v>
      </c>
      <c r="DP1080" s="409">
        <f t="shared" si="2265"/>
        <v>12.133511288417928</v>
      </c>
      <c r="DQ1080" s="409">
        <f t="shared" si="2265"/>
        <v>12.10521743976989</v>
      </c>
      <c r="DR1080" s="409">
        <f t="shared" si="2265"/>
        <v>3.2359692316649102</v>
      </c>
      <c r="DS1080" s="409">
        <f t="shared" si="2265"/>
        <v>15.106655246115155</v>
      </c>
      <c r="DT1080" s="409">
        <f t="shared" si="2265"/>
        <v>18.032375522219933</v>
      </c>
      <c r="DU1080" s="409">
        <f t="shared" si="2265"/>
        <v>10.988140744151838</v>
      </c>
      <c r="DV1080" s="409">
        <f t="shared" si="2265"/>
        <v>15.698929868479176</v>
      </c>
      <c r="DW1080" s="409">
        <f t="shared" si="2265"/>
        <v>9.9379293873689836</v>
      </c>
      <c r="DX1080" s="409">
        <f t="shared" si="2265"/>
        <v>5.9392520350356071</v>
      </c>
      <c r="DY1080" s="409">
        <f t="shared" si="2265"/>
        <v>11.606604623025165</v>
      </c>
      <c r="DZ1080" s="412">
        <f t="shared" si="2265"/>
        <v>19.079143341939226</v>
      </c>
      <c r="EA1080" s="409">
        <f t="shared" si="2265"/>
        <v>12.04303298669176</v>
      </c>
      <c r="EB1080" s="409">
        <f t="shared" si="2265"/>
        <v>11.58141738339774</v>
      </c>
      <c r="EC1080" s="409">
        <f t="shared" ref="EC1080:FH1080" si="2266">+EC817+EC820</f>
        <v>18.953049629910502</v>
      </c>
      <c r="ED1080" s="409">
        <f t="shared" si="2266"/>
        <v>9.2129121794719193</v>
      </c>
      <c r="EE1080" s="409">
        <f t="shared" si="2266"/>
        <v>18.666473033356318</v>
      </c>
      <c r="EF1080" s="409">
        <f t="shared" si="2266"/>
        <v>14.698114787171765</v>
      </c>
      <c r="EG1080" s="409">
        <f t="shared" si="2266"/>
        <v>7.7343715577035592</v>
      </c>
      <c r="EH1080" s="409">
        <f t="shared" si="2266"/>
        <v>12.544701009695537</v>
      </c>
      <c r="EI1080" s="409">
        <f t="shared" si="2266"/>
        <v>21.498427432600909</v>
      </c>
      <c r="EJ1080" s="409">
        <f t="shared" si="2266"/>
        <v>3.5217398195229666</v>
      </c>
      <c r="EK1080" s="409">
        <f t="shared" si="2266"/>
        <v>8.0850167052850175</v>
      </c>
      <c r="EL1080" s="412">
        <f t="shared" si="2266"/>
        <v>30.170743475192022</v>
      </c>
      <c r="EM1080" s="409">
        <f t="shared" si="2266"/>
        <v>15.676377072254855</v>
      </c>
      <c r="EN1080" s="409">
        <f t="shared" si="2266"/>
        <v>16.280776577680143</v>
      </c>
      <c r="EO1080" s="409">
        <f t="shared" si="2266"/>
        <v>31.957153649935002</v>
      </c>
      <c r="EP1080" s="409">
        <f t="shared" si="2266"/>
        <v>25.689925104930648</v>
      </c>
      <c r="EQ1080" s="409">
        <f t="shared" si="2266"/>
        <v>6.238642488411001</v>
      </c>
      <c r="ER1080" s="409">
        <f t="shared" si="2266"/>
        <v>31.957153649935002</v>
      </c>
      <c r="ES1080" s="409">
        <f t="shared" si="2266"/>
        <v>11.77235596909156</v>
      </c>
      <c r="ET1080" s="409">
        <f t="shared" si="2266"/>
        <v>14.546519893461165</v>
      </c>
      <c r="EU1080" s="409">
        <f t="shared" si="2266"/>
        <v>26.318875862817901</v>
      </c>
      <c r="EV1080" s="409">
        <f t="shared" si="2266"/>
        <v>17.045294526785639</v>
      </c>
      <c r="EW1080" s="409">
        <f t="shared" si="2266"/>
        <v>9.2735813359162655</v>
      </c>
      <c r="EX1080" s="412">
        <f t="shared" si="2266"/>
        <v>26.318875862950499</v>
      </c>
      <c r="EY1080" s="409">
        <f t="shared" si="2266"/>
        <v>13.355919074614171</v>
      </c>
      <c r="EZ1080" s="409">
        <f t="shared" si="2266"/>
        <v>19.120340874614172</v>
      </c>
      <c r="FA1080" s="409">
        <f t="shared" si="2266"/>
        <v>32.476259949591501</v>
      </c>
      <c r="FB1080" s="409">
        <f t="shared" si="2266"/>
        <v>17.141012261463228</v>
      </c>
      <c r="FC1080" s="409">
        <f t="shared" si="2266"/>
        <v>19.380457481936588</v>
      </c>
      <c r="FD1080" s="409">
        <f t="shared" si="2266"/>
        <v>28.4262599495915</v>
      </c>
      <c r="FE1080" s="409">
        <f t="shared" si="2266"/>
        <v>18.57477772208745</v>
      </c>
      <c r="FF1080" s="409">
        <f t="shared" si="2266"/>
        <v>22.887552055495807</v>
      </c>
      <c r="FG1080" s="409">
        <f t="shared" si="2266"/>
        <v>23.485399915408056</v>
      </c>
      <c r="FH1080" s="409">
        <f t="shared" si="2266"/>
        <v>17.094977885269913</v>
      </c>
      <c r="FI1080" s="409">
        <f t="shared" ref="FI1080:GH1080" si="2267">+FI817+FI820</f>
        <v>25.711020665681996</v>
      </c>
      <c r="FJ1080" s="412">
        <f t="shared" si="2267"/>
        <v>22.173864846495658</v>
      </c>
      <c r="FK1080" s="409">
        <f t="shared" si="2267"/>
        <v>18.016468952481294</v>
      </c>
      <c r="FL1080" s="409">
        <f t="shared" si="2267"/>
        <v>22.038160849417618</v>
      </c>
      <c r="FM1080" s="409">
        <f t="shared" si="2267"/>
        <v>29.332774612660895</v>
      </c>
      <c r="FN1080" s="409">
        <f t="shared" si="2267"/>
        <v>20.310040481209192</v>
      </c>
      <c r="FO1080" s="409">
        <f t="shared" si="2267"/>
        <v>24.596989962932081</v>
      </c>
      <c r="FP1080" s="409">
        <f t="shared" si="2267"/>
        <v>24.480373970418551</v>
      </c>
      <c r="FQ1080" s="409">
        <f t="shared" si="2267"/>
        <v>26.0973223375467</v>
      </c>
      <c r="FR1080" s="409">
        <f t="shared" si="2267"/>
        <v>26.0973223375467</v>
      </c>
      <c r="FS1080" s="409">
        <f t="shared" si="2267"/>
        <v>27.482987069546699</v>
      </c>
      <c r="FT1080" s="409">
        <f t="shared" si="2267"/>
        <v>24.877549419213427</v>
      </c>
      <c r="FU1080" s="409">
        <f t="shared" si="2267"/>
        <v>26.540783368213397</v>
      </c>
      <c r="FV1080" s="412">
        <f t="shared" si="2267"/>
        <v>24.877549419213427</v>
      </c>
      <c r="FW1080" s="409">
        <f t="shared" si="2267"/>
        <v>25.52443471719846</v>
      </c>
      <c r="FX1080" s="409">
        <f t="shared" si="2267"/>
        <v>25.52443471719846</v>
      </c>
      <c r="FY1080" s="409">
        <f t="shared" si="2267"/>
        <v>25.52443471719846</v>
      </c>
      <c r="FZ1080" s="409">
        <f t="shared" si="2267"/>
        <v>34.523905375563082</v>
      </c>
      <c r="GA1080" s="409">
        <f t="shared" si="2267"/>
        <v>34.523905375563082</v>
      </c>
      <c r="GB1080" s="409">
        <f t="shared" si="2267"/>
        <v>34.523905375563082</v>
      </c>
      <c r="GC1080" s="409">
        <f t="shared" si="2267"/>
        <v>32.818074208225894</v>
      </c>
      <c r="GD1080" s="409">
        <f t="shared" si="2267"/>
        <v>32.818074208225894</v>
      </c>
      <c r="GE1080" s="409">
        <f t="shared" si="2267"/>
        <v>32.818074208225894</v>
      </c>
      <c r="GF1080" s="409">
        <f t="shared" si="2267"/>
        <v>32.818074208225894</v>
      </c>
      <c r="GG1080" s="409">
        <f t="shared" si="2267"/>
        <v>32.818074208225894</v>
      </c>
      <c r="GH1080" s="409">
        <f t="shared" si="2267"/>
        <v>32.818074208225894</v>
      </c>
      <c r="HZ1080" s="340"/>
      <c r="IA1080" s="414" t="s">
        <v>507</v>
      </c>
      <c r="IB1080" s="414"/>
      <c r="IC1080" s="414"/>
      <c r="ID1080" s="279">
        <f>+ID817+ID820</f>
        <v>303.26177524656896</v>
      </c>
      <c r="IE1080" s="279">
        <f>+IE817+IE820</f>
        <v>125.47804495703872</v>
      </c>
      <c r="IF1080" s="279">
        <f>+IF817+IF820</f>
        <v>115.54565708332017</v>
      </c>
      <c r="IG1080" s="434">
        <f>+IG817+IG820</f>
        <v>241.0237020403589</v>
      </c>
      <c r="IH1080" s="284"/>
      <c r="IJ1080" s="434">
        <f>+IJ817+IJ820</f>
        <v>168.90659551582223</v>
      </c>
      <c r="IM1080" s="434">
        <f>+IM817+IM820</f>
        <v>146</v>
      </c>
      <c r="IP1080" s="434">
        <f>+IP817+IP820</f>
        <v>168.71</v>
      </c>
      <c r="IQ1080" s="434"/>
      <c r="IR1080" s="434"/>
      <c r="IS1080" s="434">
        <f>+IS817+IS820</f>
        <v>233.07553199416967</v>
      </c>
      <c r="IT1080" s="434"/>
      <c r="IU1080" s="434"/>
      <c r="IV1080" s="434">
        <f>+IV817+IV820</f>
        <v>259.82784268225004</v>
      </c>
      <c r="IW1080" s="434"/>
      <c r="IX1080" s="434"/>
      <c r="IY1080" s="434">
        <f>+IY817+IY820</f>
        <v>294.74832278039997</v>
      </c>
      <c r="IZ1080" s="434"/>
      <c r="JA1080" s="434">
        <f>+JA817+JA820</f>
        <v>196.90844524935534</v>
      </c>
      <c r="JB1080" s="434">
        <f>+JB817+JB820</f>
        <v>377.05346552764001</v>
      </c>
      <c r="JC1080" s="434">
        <f>+JC817+JC820</f>
        <v>186.19586494495741</v>
      </c>
      <c r="JD1080" s="434">
        <f>+JD817+JD820</f>
        <v>215.08903979804384</v>
      </c>
      <c r="JE1080" s="434"/>
      <c r="JF1080" s="434"/>
      <c r="JG1080" s="434"/>
      <c r="JH1080" s="434"/>
      <c r="JI1080" s="434"/>
      <c r="JJ1080" s="434"/>
      <c r="JK1080" s="434"/>
      <c r="KU1080" s="340"/>
      <c r="KV1080" s="341"/>
      <c r="KY1080" s="279">
        <f>+KY817+KY820</f>
        <v>0</v>
      </c>
      <c r="KZ1080" s="279">
        <f>+KZ817+KZ820</f>
        <v>0</v>
      </c>
      <c r="LA1080" s="279">
        <f>+LA817+LA820</f>
        <v>0</v>
      </c>
      <c r="LB1080" s="279">
        <f>+LB817+LB820</f>
        <v>0</v>
      </c>
    </row>
    <row r="1081" spans="1:314">
      <c r="A1081" s="279"/>
      <c r="B1081" s="96" t="s">
        <v>338</v>
      </c>
      <c r="D1081" s="413" t="str">
        <f>D$826</f>
        <v xml:space="preserve">Other revenue </v>
      </c>
      <c r="E1081" s="409">
        <f>E$826</f>
        <v>0</v>
      </c>
      <c r="F1081" s="409">
        <f t="shared" ref="F1081:L1081" si="2268">F$826</f>
        <v>0</v>
      </c>
      <c r="G1081" s="409">
        <f t="shared" si="2268"/>
        <v>0</v>
      </c>
      <c r="H1081" s="409">
        <f t="shared" si="2268"/>
        <v>0</v>
      </c>
      <c r="I1081" s="409">
        <f t="shared" si="2268"/>
        <v>0</v>
      </c>
      <c r="J1081" s="409">
        <f t="shared" si="2268"/>
        <v>0</v>
      </c>
      <c r="K1081" s="409">
        <f t="shared" si="2268"/>
        <v>0</v>
      </c>
      <c r="L1081" s="409">
        <f t="shared" si="2268"/>
        <v>0</v>
      </c>
      <c r="M1081" s="409">
        <f t="shared" ref="M1081:AW1081" si="2269">M$826</f>
        <v>0</v>
      </c>
      <c r="N1081" s="409">
        <f t="shared" si="2269"/>
        <v>0</v>
      </c>
      <c r="O1081" s="409">
        <f t="shared" si="2269"/>
        <v>0</v>
      </c>
      <c r="P1081" s="409">
        <f t="shared" si="2269"/>
        <v>0</v>
      </c>
      <c r="Q1081" s="409">
        <f t="shared" si="2269"/>
        <v>0</v>
      </c>
      <c r="R1081" s="409">
        <f t="shared" si="2269"/>
        <v>0</v>
      </c>
      <c r="S1081" s="409">
        <f t="shared" si="2269"/>
        <v>0</v>
      </c>
      <c r="T1081" s="409">
        <f t="shared" si="2269"/>
        <v>0</v>
      </c>
      <c r="U1081" s="409">
        <f t="shared" si="2269"/>
        <v>0</v>
      </c>
      <c r="V1081" s="409">
        <f t="shared" si="2269"/>
        <v>0</v>
      </c>
      <c r="W1081" s="409">
        <f t="shared" si="2269"/>
        <v>0</v>
      </c>
      <c r="X1081" s="409">
        <f t="shared" si="2269"/>
        <v>0</v>
      </c>
      <c r="Y1081" s="409">
        <f t="shared" si="2269"/>
        <v>0</v>
      </c>
      <c r="Z1081" s="409">
        <f t="shared" si="2269"/>
        <v>0</v>
      </c>
      <c r="AA1081" s="409">
        <f t="shared" si="2269"/>
        <v>0</v>
      </c>
      <c r="AB1081" s="409">
        <f t="shared" si="2269"/>
        <v>0</v>
      </c>
      <c r="AC1081" s="409">
        <f t="shared" si="2269"/>
        <v>0</v>
      </c>
      <c r="AD1081" s="409">
        <f t="shared" si="2269"/>
        <v>0</v>
      </c>
      <c r="AE1081" s="409">
        <f t="shared" si="2269"/>
        <v>0</v>
      </c>
      <c r="AF1081" s="409">
        <f t="shared" si="2269"/>
        <v>0</v>
      </c>
      <c r="AG1081" s="409">
        <f t="shared" si="2269"/>
        <v>0</v>
      </c>
      <c r="AH1081" s="409">
        <f t="shared" si="2269"/>
        <v>0</v>
      </c>
      <c r="AI1081" s="409">
        <f t="shared" si="2269"/>
        <v>0</v>
      </c>
      <c r="AJ1081" s="409">
        <f t="shared" si="2269"/>
        <v>0</v>
      </c>
      <c r="AK1081" s="409">
        <f t="shared" si="2269"/>
        <v>0</v>
      </c>
      <c r="AL1081" s="409">
        <f t="shared" si="2269"/>
        <v>0</v>
      </c>
      <c r="AM1081" s="409">
        <f t="shared" si="2269"/>
        <v>0</v>
      </c>
      <c r="AN1081" s="409">
        <f t="shared" si="2269"/>
        <v>0</v>
      </c>
      <c r="AO1081" s="409">
        <f t="shared" si="2269"/>
        <v>0.73677144149999996</v>
      </c>
      <c r="AP1081" s="409">
        <f t="shared" si="2269"/>
        <v>0.87022344689999998</v>
      </c>
      <c r="AQ1081" s="409">
        <f t="shared" si="2269"/>
        <v>1.2205197695000001</v>
      </c>
      <c r="AR1081" s="409">
        <f t="shared" si="2269"/>
        <v>11.218997224387699</v>
      </c>
      <c r="AS1081" s="409">
        <f t="shared" si="2269"/>
        <v>1.1459010598400001</v>
      </c>
      <c r="AT1081" s="409">
        <f t="shared" si="2269"/>
        <v>13.439773997560001</v>
      </c>
      <c r="AU1081" s="409">
        <f t="shared" si="2269"/>
        <v>1.3793941121</v>
      </c>
      <c r="AV1081" s="409">
        <f t="shared" si="2269"/>
        <v>1.3463665591</v>
      </c>
      <c r="AW1081" s="409">
        <f t="shared" si="2269"/>
        <v>2.7954608421350797</v>
      </c>
      <c r="AX1081" s="409">
        <f t="shared" ref="AX1081:BP1081" si="2270">AX$826</f>
        <v>12.463194194551081</v>
      </c>
      <c r="AY1081" s="409">
        <f t="shared" si="2270"/>
        <v>2.8796825043380001</v>
      </c>
      <c r="AZ1081" s="409">
        <f t="shared" si="2270"/>
        <v>12.240232727716002</v>
      </c>
      <c r="BA1081" s="409">
        <f t="shared" si="2270"/>
        <v>1.6134195004136</v>
      </c>
      <c r="BB1081" s="409">
        <f t="shared" si="2270"/>
        <v>1.5360832911</v>
      </c>
      <c r="BC1081" s="409">
        <f t="shared" si="2270"/>
        <v>1.6732264774500001</v>
      </c>
      <c r="BD1081" s="409">
        <f t="shared" si="2270"/>
        <v>14.741944910921598</v>
      </c>
      <c r="BE1081" s="409">
        <f t="shared" si="2270"/>
        <v>2.0575662368063701</v>
      </c>
      <c r="BF1081" s="409">
        <f t="shared" si="2270"/>
        <v>13.797079441020001</v>
      </c>
      <c r="BG1081" s="409">
        <f t="shared" si="2270"/>
        <v>1.0195078205658223</v>
      </c>
      <c r="BH1081" s="409">
        <f t="shared" si="2270"/>
        <v>1.0814504231915532</v>
      </c>
      <c r="BI1081" s="409">
        <f t="shared" si="2270"/>
        <v>1.3832592429894861</v>
      </c>
      <c r="BJ1081" s="409">
        <f t="shared" si="2270"/>
        <v>14.99119513133029</v>
      </c>
      <c r="BK1081" s="409">
        <f t="shared" si="2270"/>
        <v>1.8934237770492439</v>
      </c>
      <c r="BL1081" s="409">
        <f t="shared" si="2270"/>
        <v>13.954147275184809</v>
      </c>
      <c r="BM1081" s="409">
        <f t="shared" si="2270"/>
        <v>1.7886043891709966</v>
      </c>
      <c r="BN1081" s="409">
        <f t="shared" si="2270"/>
        <v>1.5941371205182304</v>
      </c>
      <c r="BO1081" s="409">
        <f t="shared" si="2270"/>
        <v>14.094322102162641</v>
      </c>
      <c r="BP1081" s="409">
        <f t="shared" si="2270"/>
        <v>1.8087952032119421</v>
      </c>
      <c r="BQ1081" s="409">
        <f t="shared" ref="BQ1081:EB1081" si="2271">BQ$826</f>
        <v>1.9733735562058536</v>
      </c>
      <c r="BR1081" s="409">
        <f t="shared" si="2271"/>
        <v>14.585566951660402</v>
      </c>
      <c r="BS1081" s="409">
        <f t="shared" si="2271"/>
        <v>5.5705372722639872</v>
      </c>
      <c r="BT1081" s="409">
        <f t="shared" si="2271"/>
        <v>3.2445956032393015</v>
      </c>
      <c r="BU1081" s="409">
        <f t="shared" si="2271"/>
        <v>3.1190568878314879</v>
      </c>
      <c r="BV1081" s="409">
        <f t="shared" si="2271"/>
        <v>19.028217306632374</v>
      </c>
      <c r="BW1081" s="409">
        <f t="shared" si="2271"/>
        <v>3.3744569585588167</v>
      </c>
      <c r="BX1081" s="409">
        <f t="shared" si="2271"/>
        <v>16.720974450205173</v>
      </c>
      <c r="BY1081" s="409">
        <f t="shared" si="2271"/>
        <v>4.2109300315163303</v>
      </c>
      <c r="BZ1081" s="409">
        <f t="shared" si="2271"/>
        <v>4.3588513318034314</v>
      </c>
      <c r="CA1081" s="409">
        <f t="shared" si="2271"/>
        <v>20.355346801990287</v>
      </c>
      <c r="CB1081" s="409">
        <f t="shared" si="2271"/>
        <v>5.8428300556804622</v>
      </c>
      <c r="CC1081" s="409">
        <f t="shared" si="2271"/>
        <v>7.4380672993229435</v>
      </c>
      <c r="CD1081" s="410">
        <f t="shared" si="2271"/>
        <v>17.444373388980807</v>
      </c>
      <c r="CE1081" s="409">
        <f t="shared" si="2271"/>
        <v>3.773602833097268</v>
      </c>
      <c r="CF1081" s="409">
        <f t="shared" si="2271"/>
        <v>7.8182821325727847</v>
      </c>
      <c r="CG1081" s="409">
        <f t="shared" si="2271"/>
        <v>3.6104804731934399</v>
      </c>
      <c r="CH1081" s="409">
        <f t="shared" si="2271"/>
        <v>28.03934679175023</v>
      </c>
      <c r="CI1081" s="409">
        <f t="shared" si="2271"/>
        <v>4.8661733910247236</v>
      </c>
      <c r="CJ1081" s="409">
        <f t="shared" si="2271"/>
        <v>18.075482076032799</v>
      </c>
      <c r="CK1081" s="409">
        <f t="shared" si="2271"/>
        <v>3.7769396770250454</v>
      </c>
      <c r="CL1081" s="409">
        <f t="shared" si="2271"/>
        <v>6.7874119777830728</v>
      </c>
      <c r="CM1081" s="409">
        <f t="shared" si="2271"/>
        <v>23.460303531456216</v>
      </c>
      <c r="CN1081" s="409">
        <f t="shared" si="2271"/>
        <v>4.2418208646173605</v>
      </c>
      <c r="CO1081" s="409">
        <f t="shared" si="2271"/>
        <v>5.9256209439995917</v>
      </c>
      <c r="CP1081" s="412">
        <f t="shared" si="2271"/>
        <v>26.10459214491987</v>
      </c>
      <c r="CQ1081" s="409">
        <f t="shared" si="2271"/>
        <v>3.3418364696999996</v>
      </c>
      <c r="CR1081" s="409">
        <f t="shared" si="2271"/>
        <v>6.5449263030962497</v>
      </c>
      <c r="CS1081" s="409">
        <f t="shared" si="2271"/>
        <v>7.5501068364899995</v>
      </c>
      <c r="CT1081" s="409">
        <f t="shared" si="2271"/>
        <v>16.261565968536868</v>
      </c>
      <c r="CU1081" s="409">
        <f t="shared" si="2271"/>
        <v>4.6290882605947905</v>
      </c>
      <c r="CV1081" s="409">
        <f t="shared" si="2271"/>
        <v>21.655439408825746</v>
      </c>
      <c r="CW1081" s="409">
        <f t="shared" si="2271"/>
        <v>6.7834283947911951</v>
      </c>
      <c r="CX1081" s="409">
        <f t="shared" si="2271"/>
        <v>4.1981558905599998</v>
      </c>
      <c r="CY1081" s="409">
        <f t="shared" si="2271"/>
        <v>43.364985725967856</v>
      </c>
      <c r="CZ1081" s="409">
        <f t="shared" si="2271"/>
        <v>23.622884144488452</v>
      </c>
      <c r="DA1081" s="409">
        <f t="shared" si="2271"/>
        <v>7.0054394432192941</v>
      </c>
      <c r="DB1081" s="1309">
        <f t="shared" si="2271"/>
        <v>27.583656393924237</v>
      </c>
      <c r="DC1081" s="409">
        <f t="shared" si="2271"/>
        <v>3.2357062895308539</v>
      </c>
      <c r="DD1081" s="409">
        <f t="shared" si="2271"/>
        <v>2.2745306210000003</v>
      </c>
      <c r="DE1081" s="409">
        <f t="shared" si="2271"/>
        <v>13.538169391189323</v>
      </c>
      <c r="DF1081" s="409">
        <f t="shared" si="2271"/>
        <v>25.970255474577556</v>
      </c>
      <c r="DG1081" s="409">
        <f t="shared" si="2271"/>
        <v>2.9217145880000004</v>
      </c>
      <c r="DH1081" s="409">
        <f t="shared" si="2271"/>
        <v>28.899659217306308</v>
      </c>
      <c r="DI1081" s="409">
        <f t="shared" si="2271"/>
        <v>4.8783868162208952</v>
      </c>
      <c r="DJ1081" s="409">
        <f t="shared" si="2271"/>
        <v>5.1171349970333324</v>
      </c>
      <c r="DK1081" s="409">
        <f t="shared" si="2271"/>
        <v>39.458440578257921</v>
      </c>
      <c r="DL1081" s="409">
        <f t="shared" si="2271"/>
        <v>5.5982327768414768</v>
      </c>
      <c r="DM1081" s="409">
        <f t="shared" si="2271"/>
        <v>5.6733429452304431</v>
      </c>
      <c r="DN1081" s="412">
        <f t="shared" si="2271"/>
        <v>30.030674571258462</v>
      </c>
      <c r="DO1081" s="409">
        <f t="shared" si="2271"/>
        <v>5.864405474916901</v>
      </c>
      <c r="DP1081" s="409">
        <f t="shared" si="2271"/>
        <v>6.8378481926238717</v>
      </c>
      <c r="DQ1081" s="409">
        <f t="shared" si="2271"/>
        <v>37.116546520512699</v>
      </c>
      <c r="DR1081" s="409">
        <f t="shared" si="2271"/>
        <v>12.081748573901143</v>
      </c>
      <c r="DS1081" s="409">
        <f t="shared" si="2271"/>
        <v>7.3360024290356769</v>
      </c>
      <c r="DT1081" s="409">
        <f t="shared" si="2271"/>
        <v>43.014089080394044</v>
      </c>
      <c r="DU1081" s="409">
        <f t="shared" si="2271"/>
        <v>8.1547782268997402</v>
      </c>
      <c r="DV1081" s="409">
        <f t="shared" si="2271"/>
        <v>7.0820522524339884</v>
      </c>
      <c r="DW1081" s="409">
        <f t="shared" si="2271"/>
        <v>40.098563240539136</v>
      </c>
      <c r="DX1081" s="409">
        <f t="shared" si="2271"/>
        <v>8.3576268002064005</v>
      </c>
      <c r="DY1081" s="409">
        <f t="shared" si="2271"/>
        <v>9.8554637964104632</v>
      </c>
      <c r="DZ1081" s="412">
        <f t="shared" si="2271"/>
        <v>47.360164741347774</v>
      </c>
      <c r="EA1081" s="409">
        <f t="shared" si="2271"/>
        <v>7.2527547036434381</v>
      </c>
      <c r="EB1081" s="409">
        <f t="shared" si="2271"/>
        <v>6.5318750234620744</v>
      </c>
      <c r="EC1081" s="409">
        <f t="shared" ref="EC1081:GH1081" si="2272">EC$826</f>
        <v>26.858247887388359</v>
      </c>
      <c r="ED1081" s="409">
        <f t="shared" si="2272"/>
        <v>28.721351107820574</v>
      </c>
      <c r="EE1081" s="409">
        <f t="shared" si="2272"/>
        <v>8.5077782517982019</v>
      </c>
      <c r="EF1081" s="409">
        <f t="shared" si="2272"/>
        <v>53.531702429578104</v>
      </c>
      <c r="EG1081" s="409">
        <f t="shared" si="2272"/>
        <v>11.12780800442701</v>
      </c>
      <c r="EH1081" s="409">
        <f t="shared" si="2272"/>
        <v>7.7831734905389149</v>
      </c>
      <c r="EI1081" s="409">
        <f t="shared" si="2272"/>
        <v>23.500836516834458</v>
      </c>
      <c r="EJ1081" s="409">
        <f t="shared" si="2272"/>
        <v>36.536083130647825</v>
      </c>
      <c r="EK1081" s="409">
        <f t="shared" si="2272"/>
        <v>17.833473760482146</v>
      </c>
      <c r="EL1081" s="412">
        <f t="shared" si="2272"/>
        <v>34.345229155187425</v>
      </c>
      <c r="EM1081" s="409">
        <f t="shared" si="2272"/>
        <v>7.4888774369999993</v>
      </c>
      <c r="EN1081" s="409">
        <f t="shared" si="2272"/>
        <v>40.843009521381404</v>
      </c>
      <c r="EO1081" s="409">
        <f t="shared" si="2272"/>
        <v>46.785923167361609</v>
      </c>
      <c r="EP1081" s="409">
        <f t="shared" si="2272"/>
        <v>18.55738308921201</v>
      </c>
      <c r="EQ1081" s="409">
        <f t="shared" si="2272"/>
        <v>9.6110066193090482</v>
      </c>
      <c r="ER1081" s="409">
        <f t="shared" si="2272"/>
        <v>35.266688025447394</v>
      </c>
      <c r="ES1081" s="409">
        <f t="shared" si="2272"/>
        <v>10.346748043999991</v>
      </c>
      <c r="ET1081" s="409">
        <f t="shared" si="2272"/>
        <v>5.8391709211</v>
      </c>
      <c r="EU1081" s="409">
        <f t="shared" si="2272"/>
        <v>43.662565787999995</v>
      </c>
      <c r="EV1081" s="409">
        <f t="shared" si="2272"/>
        <v>16.099511322836889</v>
      </c>
      <c r="EW1081" s="409">
        <f t="shared" si="2272"/>
        <v>7.045610838</v>
      </c>
      <c r="EX1081" s="412">
        <f t="shared" si="2272"/>
        <v>26.208560388999999</v>
      </c>
      <c r="EY1081" s="409">
        <f t="shared" si="2272"/>
        <v>9.1750337620104041</v>
      </c>
      <c r="EZ1081" s="409">
        <f t="shared" si="2272"/>
        <v>21.679448522001998</v>
      </c>
      <c r="FA1081" s="409">
        <f t="shared" si="2272"/>
        <v>48.108473449067887</v>
      </c>
      <c r="FB1081" s="409">
        <f t="shared" si="2272"/>
        <v>41.303309647297183</v>
      </c>
      <c r="FC1081" s="409">
        <f t="shared" si="2272"/>
        <v>11.81657427103638</v>
      </c>
      <c r="FD1081" s="409">
        <f t="shared" si="2272"/>
        <v>41.641741794899325</v>
      </c>
      <c r="FE1081" s="409">
        <f t="shared" si="2272"/>
        <v>14.735024890960016</v>
      </c>
      <c r="FF1081" s="409">
        <f t="shared" si="2272"/>
        <v>9.3852508562531689</v>
      </c>
      <c r="FG1081" s="409">
        <f t="shared" si="2272"/>
        <v>12.538681632529986</v>
      </c>
      <c r="FH1081" s="409">
        <f t="shared" si="2272"/>
        <v>18.712704155814109</v>
      </c>
      <c r="FI1081" s="409">
        <f t="shared" si="2272"/>
        <v>37.976299437211026</v>
      </c>
      <c r="FJ1081" s="412">
        <f t="shared" si="2272"/>
        <v>12.722002488007465</v>
      </c>
      <c r="FK1081" s="409">
        <f t="shared" si="2272"/>
        <v>8.0981259595561923</v>
      </c>
      <c r="FL1081" s="409">
        <f t="shared" si="2272"/>
        <v>8.6108858428315358</v>
      </c>
      <c r="FM1081" s="409">
        <f t="shared" si="2272"/>
        <v>86.909853386565914</v>
      </c>
      <c r="FN1081" s="409">
        <f t="shared" si="2272"/>
        <v>27.54278671824477</v>
      </c>
      <c r="FO1081" s="409">
        <f t="shared" si="2272"/>
        <v>11.169055637366844</v>
      </c>
      <c r="FP1081" s="409">
        <f t="shared" si="2272"/>
        <v>67.230759273435282</v>
      </c>
      <c r="FQ1081" s="409">
        <f t="shared" si="2272"/>
        <v>10.174064402360132</v>
      </c>
      <c r="FR1081" s="409">
        <f t="shared" si="2272"/>
        <v>9.5004950430328599</v>
      </c>
      <c r="FS1081" s="409">
        <f t="shared" si="2272"/>
        <v>16.75108791575078</v>
      </c>
      <c r="FT1081" s="409">
        <f t="shared" si="2272"/>
        <v>77.567366338390585</v>
      </c>
      <c r="FU1081" s="409">
        <f t="shared" si="2272"/>
        <v>9.7849742606808618</v>
      </c>
      <c r="FV1081" s="412">
        <f t="shared" si="2272"/>
        <v>52.07429201195486</v>
      </c>
      <c r="FW1081" s="409">
        <f t="shared" si="2272"/>
        <v>8.3976877939031542</v>
      </c>
      <c r="FX1081" s="409">
        <f t="shared" si="2272"/>
        <v>8.441170142468966</v>
      </c>
      <c r="FY1081" s="409">
        <f t="shared" si="2272"/>
        <v>65.554970758750216</v>
      </c>
      <c r="FZ1081" s="409">
        <f t="shared" si="2272"/>
        <v>27.739173847568807</v>
      </c>
      <c r="GA1081" s="409">
        <f t="shared" si="2272"/>
        <v>57.842734102384561</v>
      </c>
      <c r="GB1081" s="409">
        <f t="shared" si="2272"/>
        <v>30.421683713950962</v>
      </c>
      <c r="GC1081" s="409">
        <f t="shared" si="2272"/>
        <v>26.179737693851997</v>
      </c>
      <c r="GD1081" s="409">
        <f t="shared" si="2272"/>
        <v>46.384958962221042</v>
      </c>
      <c r="GE1081" s="409">
        <f t="shared" si="2272"/>
        <v>23.136475927755605</v>
      </c>
      <c r="GF1081" s="409">
        <f t="shared" si="2272"/>
        <v>29.472443897830001</v>
      </c>
      <c r="GG1081" s="409">
        <f t="shared" si="2272"/>
        <v>10.466326267348695</v>
      </c>
      <c r="GH1081" s="409">
        <f t="shared" si="2272"/>
        <v>67.187691652926262</v>
      </c>
      <c r="HZ1081" s="340"/>
      <c r="IA1081" s="413" t="s">
        <v>510</v>
      </c>
      <c r="IB1081" s="413"/>
      <c r="IC1081" s="413"/>
      <c r="ID1081" s="279">
        <f>ID$826</f>
        <v>136.48005683747238</v>
      </c>
      <c r="IE1081" s="279">
        <f>IE$826</f>
        <v>59.98296324724366</v>
      </c>
      <c r="IF1081" s="279">
        <f>IF$826</f>
        <v>112.55854999295104</v>
      </c>
      <c r="IG1081" s="434">
        <f>IG$826</f>
        <v>172.54151324019472</v>
      </c>
      <c r="IH1081" s="284"/>
      <c r="IJ1081" s="434">
        <f>IJ$826</f>
        <v>167.59624826644659</v>
      </c>
      <c r="IM1081" s="434">
        <f>IM$826</f>
        <v>233.15928932922185</v>
      </c>
      <c r="IP1081" s="434">
        <f>IP$826</f>
        <v>262.53031346180853</v>
      </c>
      <c r="IQ1081" s="434"/>
      <c r="IR1081" s="434"/>
      <c r="IS1081" s="434">
        <f>IS$826</f>
        <v>267.75505516264832</v>
      </c>
      <c r="IT1081" s="434"/>
      <c r="IU1081" s="434"/>
      <c r="IV1081" s="434">
        <f>IV$826</f>
        <v>279.79454490708895</v>
      </c>
      <c r="IW1081" s="434"/>
      <c r="IX1081" s="434"/>
      <c r="IY1081" s="434">
        <f>IY$826</f>
        <v>385.41374679017065</v>
      </c>
      <c r="IZ1081" s="434"/>
      <c r="JA1081" s="434">
        <f>JA$826</f>
        <v>202.82763440193361</v>
      </c>
      <c r="JB1081" s="434">
        <f>JB$826</f>
        <v>401.22505476096023</v>
      </c>
      <c r="JC1081" s="434">
        <f>JC$826</f>
        <v>186.95793838368223</v>
      </c>
      <c r="JD1081" s="434">
        <f>JD$826</f>
        <v>213.9302025149637</v>
      </c>
      <c r="JE1081" s="434"/>
      <c r="JF1081" s="434"/>
      <c r="JG1081" s="434"/>
      <c r="JH1081" s="434"/>
      <c r="JI1081" s="434"/>
      <c r="JJ1081" s="434"/>
      <c r="JK1081" s="434"/>
      <c r="KU1081" s="340"/>
      <c r="KV1081" s="341"/>
      <c r="KY1081" s="279">
        <f>KY$826</f>
        <v>0</v>
      </c>
      <c r="KZ1081" s="279">
        <f>KZ$826</f>
        <v>0</v>
      </c>
      <c r="LA1081" s="279">
        <f>LA$826</f>
        <v>0</v>
      </c>
      <c r="LB1081" s="279">
        <f>LB$826</f>
        <v>0</v>
      </c>
    </row>
    <row r="1082" spans="1:314">
      <c r="A1082" s="279"/>
      <c r="B1082" s="96" t="s">
        <v>338</v>
      </c>
      <c r="D1082" s="430" t="str">
        <f>D$850</f>
        <v xml:space="preserve">EXPENSE </v>
      </c>
      <c r="E1082" s="338">
        <f>E$850</f>
        <v>0</v>
      </c>
      <c r="F1082" s="338">
        <f t="shared" ref="F1082:L1082" si="2273">F$850</f>
        <v>0</v>
      </c>
      <c r="G1082" s="338">
        <f t="shared" si="2273"/>
        <v>0</v>
      </c>
      <c r="H1082" s="338">
        <f t="shared" si="2273"/>
        <v>0</v>
      </c>
      <c r="I1082" s="338">
        <f t="shared" si="2273"/>
        <v>0</v>
      </c>
      <c r="J1082" s="338">
        <f t="shared" si="2273"/>
        <v>0</v>
      </c>
      <c r="K1082" s="338">
        <f t="shared" si="2273"/>
        <v>0</v>
      </c>
      <c r="L1082" s="338">
        <f t="shared" si="2273"/>
        <v>0</v>
      </c>
      <c r="M1082" s="338">
        <f t="shared" ref="M1082:AW1082" si="2274">M$850</f>
        <v>0</v>
      </c>
      <c r="N1082" s="338">
        <f t="shared" si="2274"/>
        <v>0</v>
      </c>
      <c r="O1082" s="338">
        <f t="shared" si="2274"/>
        <v>0</v>
      </c>
      <c r="P1082" s="338">
        <f t="shared" si="2274"/>
        <v>0</v>
      </c>
      <c r="Q1082" s="338">
        <f t="shared" si="2274"/>
        <v>0</v>
      </c>
      <c r="R1082" s="338">
        <f t="shared" si="2274"/>
        <v>0</v>
      </c>
      <c r="S1082" s="338">
        <f t="shared" si="2274"/>
        <v>0</v>
      </c>
      <c r="T1082" s="338">
        <f t="shared" si="2274"/>
        <v>0</v>
      </c>
      <c r="U1082" s="338">
        <f t="shared" si="2274"/>
        <v>0</v>
      </c>
      <c r="V1082" s="338">
        <f t="shared" si="2274"/>
        <v>0</v>
      </c>
      <c r="W1082" s="338">
        <f t="shared" si="2274"/>
        <v>0</v>
      </c>
      <c r="X1082" s="338">
        <f t="shared" si="2274"/>
        <v>0</v>
      </c>
      <c r="Y1082" s="338">
        <f t="shared" si="2274"/>
        <v>0</v>
      </c>
      <c r="Z1082" s="338">
        <f t="shared" si="2274"/>
        <v>0</v>
      </c>
      <c r="AA1082" s="338">
        <f t="shared" si="2274"/>
        <v>0</v>
      </c>
      <c r="AB1082" s="338">
        <f t="shared" si="2274"/>
        <v>0</v>
      </c>
      <c r="AC1082" s="338">
        <f t="shared" si="2274"/>
        <v>0</v>
      </c>
      <c r="AD1082" s="338">
        <f t="shared" si="2274"/>
        <v>0</v>
      </c>
      <c r="AE1082" s="338">
        <f t="shared" si="2274"/>
        <v>0</v>
      </c>
      <c r="AF1082" s="338">
        <f t="shared" si="2274"/>
        <v>0</v>
      </c>
      <c r="AG1082" s="338">
        <f t="shared" si="2274"/>
        <v>0</v>
      </c>
      <c r="AH1082" s="338">
        <f t="shared" si="2274"/>
        <v>0</v>
      </c>
      <c r="AI1082" s="338">
        <f t="shared" si="2274"/>
        <v>0</v>
      </c>
      <c r="AJ1082" s="338">
        <f t="shared" si="2274"/>
        <v>0</v>
      </c>
      <c r="AK1082" s="338">
        <f t="shared" si="2274"/>
        <v>0</v>
      </c>
      <c r="AL1082" s="338">
        <f t="shared" si="2274"/>
        <v>0</v>
      </c>
      <c r="AM1082" s="338">
        <f t="shared" si="2274"/>
        <v>0</v>
      </c>
      <c r="AN1082" s="338">
        <f t="shared" si="2274"/>
        <v>0</v>
      </c>
      <c r="AO1082" s="338">
        <f t="shared" si="2274"/>
        <v>0.4218368758062</v>
      </c>
      <c r="AP1082" s="338">
        <f t="shared" si="2274"/>
        <v>0.15930158205101999</v>
      </c>
      <c r="AQ1082" s="338">
        <f t="shared" si="2274"/>
        <v>0.61614968011050009</v>
      </c>
      <c r="AR1082" s="338">
        <f t="shared" si="2274"/>
        <v>0.29238099254990002</v>
      </c>
      <c r="AS1082" s="338">
        <f t="shared" si="2274"/>
        <v>0.49848143689416663</v>
      </c>
      <c r="AT1082" s="338">
        <f t="shared" si="2274"/>
        <v>0.27567536453119995</v>
      </c>
      <c r="AU1082" s="338">
        <f t="shared" si="2274"/>
        <v>0.41900182074452003</v>
      </c>
      <c r="AV1082" s="338">
        <f t="shared" si="2274"/>
        <v>5.9318858289000003E-3</v>
      </c>
      <c r="AW1082" s="338">
        <f t="shared" si="2274"/>
        <v>0.31037488525610002</v>
      </c>
      <c r="AX1082" s="338">
        <f t="shared" ref="AX1082:BP1082" si="2275">AX$850</f>
        <v>0.79970507613979092</v>
      </c>
      <c r="AY1082" s="338">
        <f t="shared" si="2275"/>
        <v>0.12941338107390002</v>
      </c>
      <c r="AZ1082" s="338">
        <f t="shared" si="2275"/>
        <v>0.66349748529589991</v>
      </c>
      <c r="BA1082" s="338">
        <f t="shared" si="2275"/>
        <v>0.43553760418569998</v>
      </c>
      <c r="BB1082" s="338">
        <f t="shared" si="2275"/>
        <v>1.0110004030600001E-2</v>
      </c>
      <c r="BC1082" s="338">
        <f t="shared" si="2275"/>
        <v>0.92716271887939983</v>
      </c>
      <c r="BD1082" s="338">
        <f t="shared" si="2275"/>
        <v>0.33346708193720004</v>
      </c>
      <c r="BE1082" s="338">
        <f t="shared" si="2275"/>
        <v>0.16446884016910002</v>
      </c>
      <c r="BF1082" s="338">
        <f t="shared" si="2275"/>
        <v>0.46283348290624249</v>
      </c>
      <c r="BG1082" s="338">
        <f t="shared" si="2275"/>
        <v>47.211846316241342</v>
      </c>
      <c r="BH1082" s="338">
        <f t="shared" si="2275"/>
        <v>74.45831871456619</v>
      </c>
      <c r="BI1082" s="338">
        <f t="shared" si="2275"/>
        <v>45.532160173451999</v>
      </c>
      <c r="BJ1082" s="338">
        <f t="shared" si="2275"/>
        <v>75.295248003342707</v>
      </c>
      <c r="BK1082" s="338">
        <f t="shared" si="2275"/>
        <v>53.105264547779008</v>
      </c>
      <c r="BL1082" s="338">
        <f t="shared" si="2275"/>
        <v>38.754961242518796</v>
      </c>
      <c r="BM1082" s="338">
        <f t="shared" si="2275"/>
        <v>69.929913903593913</v>
      </c>
      <c r="BN1082" s="338">
        <f t="shared" si="2275"/>
        <v>49.273468699155501</v>
      </c>
      <c r="BO1082" s="338">
        <f t="shared" si="2275"/>
        <v>48.539825571859296</v>
      </c>
      <c r="BP1082" s="338">
        <f t="shared" si="2275"/>
        <v>83.436657257436394</v>
      </c>
      <c r="BQ1082" s="338">
        <f t="shared" ref="BQ1082:EB1082" si="2276">BQ$850</f>
        <v>70.304949398627159</v>
      </c>
      <c r="BR1082" s="338">
        <f t="shared" si="2276"/>
        <v>28.275897556700397</v>
      </c>
      <c r="BS1082" s="338">
        <f t="shared" si="2276"/>
        <v>61.815081714061002</v>
      </c>
      <c r="BT1082" s="338">
        <f t="shared" si="2276"/>
        <v>54.432380561523502</v>
      </c>
      <c r="BU1082" s="338">
        <f t="shared" si="2276"/>
        <v>38.381478157159499</v>
      </c>
      <c r="BV1082" s="338">
        <f t="shared" si="2276"/>
        <v>84.69430708071971</v>
      </c>
      <c r="BW1082" s="338">
        <f t="shared" si="2276"/>
        <v>52.963476475276906</v>
      </c>
      <c r="BX1082" s="338">
        <f t="shared" si="2276"/>
        <v>37.893483078853301</v>
      </c>
      <c r="BY1082" s="338">
        <f t="shared" si="2276"/>
        <v>62.100208835434358</v>
      </c>
      <c r="BZ1082" s="338">
        <f t="shared" si="2276"/>
        <v>63.563128624635553</v>
      </c>
      <c r="CA1082" s="338">
        <f t="shared" si="2276"/>
        <v>44.987419374886883</v>
      </c>
      <c r="CB1082" s="338">
        <f t="shared" si="2276"/>
        <v>82.44895081532394</v>
      </c>
      <c r="CC1082" s="338">
        <f t="shared" si="2276"/>
        <v>110.29717865720355</v>
      </c>
      <c r="CD1082" s="339">
        <f t="shared" si="2276"/>
        <v>44.276011968101493</v>
      </c>
      <c r="CE1082" s="338">
        <f t="shared" si="2276"/>
        <v>71.458612352207666</v>
      </c>
      <c r="CF1082" s="338">
        <f t="shared" si="2276"/>
        <v>80.614230169444525</v>
      </c>
      <c r="CG1082" s="338">
        <f t="shared" si="2276"/>
        <v>56.53873985673652</v>
      </c>
      <c r="CH1082" s="338">
        <f t="shared" si="2276"/>
        <v>112.84926202137515</v>
      </c>
      <c r="CI1082" s="338">
        <f t="shared" si="2276"/>
        <v>58.41319784896168</v>
      </c>
      <c r="CJ1082" s="338">
        <f t="shared" si="2276"/>
        <v>58.648621584906493</v>
      </c>
      <c r="CK1082" s="338">
        <f t="shared" si="2276"/>
        <v>95.979081952908501</v>
      </c>
      <c r="CL1082" s="338">
        <f t="shared" si="2276"/>
        <v>62.087554476596175</v>
      </c>
      <c r="CM1082" s="338">
        <f t="shared" si="2276"/>
        <v>59.108390563097089</v>
      </c>
      <c r="CN1082" s="338">
        <f t="shared" si="2276"/>
        <v>114.98262093264997</v>
      </c>
      <c r="CO1082" s="338">
        <f t="shared" si="2276"/>
        <v>84.451621389061472</v>
      </c>
      <c r="CP1082" s="1285">
        <f t="shared" si="2276"/>
        <v>47.933403958317456</v>
      </c>
      <c r="CQ1082" s="431">
        <f t="shared" si="2276"/>
        <v>100.17957960570411</v>
      </c>
      <c r="CR1082" s="422">
        <f t="shared" si="2276"/>
        <v>76.755145306457905</v>
      </c>
      <c r="CS1082" s="422">
        <f t="shared" si="2276"/>
        <v>78.99562305287499</v>
      </c>
      <c r="CT1082" s="422">
        <f t="shared" si="2276"/>
        <v>90.375015269121633</v>
      </c>
      <c r="CU1082" s="422">
        <f t="shared" si="2276"/>
        <v>74.556325616232883</v>
      </c>
      <c r="CV1082" s="422">
        <f t="shared" si="2276"/>
        <v>74.798320147405676</v>
      </c>
      <c r="CW1082" s="422">
        <f t="shared" si="2276"/>
        <v>83.594369939108489</v>
      </c>
      <c r="CX1082" s="422">
        <f t="shared" si="2276"/>
        <v>55.364763503715224</v>
      </c>
      <c r="CY1082" s="422">
        <f t="shared" si="2276"/>
        <v>102.5462955264567</v>
      </c>
      <c r="CZ1082" s="422">
        <f t="shared" si="2276"/>
        <v>137.93081720125494</v>
      </c>
      <c r="DA1082" s="422">
        <f t="shared" si="2276"/>
        <v>75.620315410053152</v>
      </c>
      <c r="DB1082" s="1310">
        <f t="shared" si="2276"/>
        <v>36.487652212698229</v>
      </c>
      <c r="DC1082" s="420">
        <f t="shared" si="2276"/>
        <v>115.07450532287467</v>
      </c>
      <c r="DD1082" s="420">
        <f t="shared" si="2276"/>
        <v>88.600249235000007</v>
      </c>
      <c r="DE1082" s="420">
        <f t="shared" si="2276"/>
        <v>75.262546940399986</v>
      </c>
      <c r="DF1082" s="420">
        <f t="shared" si="2276"/>
        <v>152.2468426775811</v>
      </c>
      <c r="DG1082" s="420">
        <f t="shared" si="2276"/>
        <v>83.222383627999989</v>
      </c>
      <c r="DH1082" s="420">
        <f t="shared" si="2276"/>
        <v>76.716107223000009</v>
      </c>
      <c r="DI1082" s="420">
        <f t="shared" si="2276"/>
        <v>124.87842583198848</v>
      </c>
      <c r="DJ1082" s="420">
        <f t="shared" si="2276"/>
        <v>78.511082680869407</v>
      </c>
      <c r="DK1082" s="420">
        <f t="shared" si="2276"/>
        <v>90.745945551081348</v>
      </c>
      <c r="DL1082" s="420">
        <f t="shared" si="2276"/>
        <v>125.2924094857818</v>
      </c>
      <c r="DM1082" s="420">
        <f t="shared" si="2276"/>
        <v>74.90322348545844</v>
      </c>
      <c r="DN1082" s="423">
        <f t="shared" si="2276"/>
        <v>61.502820190708533</v>
      </c>
      <c r="DO1082" s="420">
        <f t="shared" si="2276"/>
        <v>144.07550871509005</v>
      </c>
      <c r="DP1082" s="420">
        <f t="shared" si="2276"/>
        <v>113.07770425551797</v>
      </c>
      <c r="DQ1082" s="420">
        <f t="shared" si="2276"/>
        <v>76.082356122777597</v>
      </c>
      <c r="DR1082" s="420">
        <f t="shared" si="2276"/>
        <v>156.06651094656246</v>
      </c>
      <c r="DS1082" s="420">
        <f t="shared" si="2276"/>
        <v>104.26100455498974</v>
      </c>
      <c r="DT1082" s="420">
        <f t="shared" si="2276"/>
        <v>111.50208148811539</v>
      </c>
      <c r="DU1082" s="420">
        <f t="shared" si="2276"/>
        <v>132.61847265266206</v>
      </c>
      <c r="DV1082" s="420">
        <f t="shared" si="2276"/>
        <v>104.58270080807941</v>
      </c>
      <c r="DW1082" s="420">
        <f t="shared" si="2276"/>
        <v>79.563794331681549</v>
      </c>
      <c r="DX1082" s="420">
        <f t="shared" si="2276"/>
        <v>153.83782506362562</v>
      </c>
      <c r="DY1082" s="420">
        <f t="shared" si="2276"/>
        <v>100.9167906141913</v>
      </c>
      <c r="DZ1082" s="423">
        <f t="shared" si="2276"/>
        <v>46.872684568321155</v>
      </c>
      <c r="EA1082" s="420">
        <f t="shared" si="2276"/>
        <v>145.30212676947173</v>
      </c>
      <c r="EB1082" s="420">
        <f t="shared" si="2276"/>
        <v>130.68953977944261</v>
      </c>
      <c r="EC1082" s="420">
        <f t="shared" ref="EC1082:GH1082" si="2277">EC$850</f>
        <v>141.10338209713646</v>
      </c>
      <c r="ED1082" s="420">
        <f t="shared" si="2277"/>
        <v>140.02275301199998</v>
      </c>
      <c r="EE1082" s="420">
        <f t="shared" si="2277"/>
        <v>96.151639869999997</v>
      </c>
      <c r="EF1082" s="420">
        <f t="shared" si="2277"/>
        <v>90.247179783000007</v>
      </c>
      <c r="EG1082" s="420">
        <f t="shared" si="2277"/>
        <v>156.25003193032137</v>
      </c>
      <c r="EH1082" s="420">
        <f t="shared" si="2277"/>
        <v>94.812955786241616</v>
      </c>
      <c r="EI1082" s="420">
        <f t="shared" si="2277"/>
        <v>124.76817025059032</v>
      </c>
      <c r="EJ1082" s="420">
        <f t="shared" si="2277"/>
        <v>119.00127803696546</v>
      </c>
      <c r="EK1082" s="420">
        <f t="shared" si="2277"/>
        <v>120.87081263640491</v>
      </c>
      <c r="EL1082" s="423">
        <f t="shared" si="2277"/>
        <v>77.702326093316088</v>
      </c>
      <c r="EM1082" s="420">
        <f t="shared" si="2277"/>
        <v>109.85451754499697</v>
      </c>
      <c r="EN1082" s="420">
        <f t="shared" si="2277"/>
        <v>125.79905447463875</v>
      </c>
      <c r="EO1082" s="420">
        <f t="shared" si="2277"/>
        <v>102.91453615671431</v>
      </c>
      <c r="EP1082" s="420">
        <f t="shared" si="2277"/>
        <v>157.58331419881409</v>
      </c>
      <c r="EQ1082" s="420">
        <f t="shared" si="2277"/>
        <v>145.96961350311793</v>
      </c>
      <c r="ER1082" s="420">
        <f t="shared" si="2277"/>
        <v>106.89384576221238</v>
      </c>
      <c r="ES1082" s="420">
        <f t="shared" si="2277"/>
        <v>135.51409806396794</v>
      </c>
      <c r="ET1082" s="420">
        <f t="shared" si="2277"/>
        <v>117.00239800372515</v>
      </c>
      <c r="EU1082" s="420">
        <f t="shared" si="2277"/>
        <v>138.66612055156887</v>
      </c>
      <c r="EV1082" s="420">
        <f t="shared" si="2277"/>
        <v>276.39451889608108</v>
      </c>
      <c r="EW1082" s="420">
        <f t="shared" si="2277"/>
        <v>169.57482779654237</v>
      </c>
      <c r="EX1082" s="423">
        <f t="shared" si="2277"/>
        <v>80.696747638226839</v>
      </c>
      <c r="EY1082" s="420">
        <f t="shared" si="2277"/>
        <v>135.54473385247792</v>
      </c>
      <c r="EZ1082" s="420">
        <f t="shared" si="2277"/>
        <v>150.91730850391738</v>
      </c>
      <c r="FA1082" s="420">
        <f t="shared" si="2277"/>
        <v>150.34048970330511</v>
      </c>
      <c r="FB1082" s="420">
        <f t="shared" si="2277"/>
        <v>152.86264558400836</v>
      </c>
      <c r="FC1082" s="420">
        <f t="shared" si="2277"/>
        <v>167.49266295468342</v>
      </c>
      <c r="FD1082" s="420">
        <f t="shared" si="2277"/>
        <v>153.30630701289576</v>
      </c>
      <c r="FE1082" s="420">
        <f t="shared" si="2277"/>
        <v>141.90985569054118</v>
      </c>
      <c r="FF1082" s="420">
        <f t="shared" si="2277"/>
        <v>166.06225588561682</v>
      </c>
      <c r="FG1082" s="420">
        <f t="shared" si="2277"/>
        <v>169.20589458029306</v>
      </c>
      <c r="FH1082" s="420">
        <f t="shared" si="2277"/>
        <v>147.73294296268554</v>
      </c>
      <c r="FI1082" s="420">
        <f t="shared" si="2277"/>
        <v>252.83473571944506</v>
      </c>
      <c r="FJ1082" s="423">
        <f t="shared" si="2277"/>
        <v>112.92171774518997</v>
      </c>
      <c r="FK1082" s="420">
        <f t="shared" si="2277"/>
        <v>219.1918465372174</v>
      </c>
      <c r="FL1082" s="420">
        <f t="shared" si="2277"/>
        <v>155.82205387646056</v>
      </c>
      <c r="FM1082" s="420">
        <f t="shared" si="2277"/>
        <v>167.81463236436889</v>
      </c>
      <c r="FN1082" s="420">
        <f t="shared" si="2277"/>
        <v>142.24071716064336</v>
      </c>
      <c r="FO1082" s="420">
        <f t="shared" si="2277"/>
        <v>198.30870370624206</v>
      </c>
      <c r="FP1082" s="420">
        <f t="shared" si="2277"/>
        <v>160.83325130389358</v>
      </c>
      <c r="FQ1082" s="420">
        <f t="shared" si="2277"/>
        <v>119.74511789993736</v>
      </c>
      <c r="FR1082" s="420">
        <f t="shared" si="2277"/>
        <v>161.14429667342094</v>
      </c>
      <c r="FS1082" s="420">
        <f t="shared" si="2277"/>
        <v>182.70007181548141</v>
      </c>
      <c r="FT1082" s="420">
        <f t="shared" si="2277"/>
        <v>170.5411933862847</v>
      </c>
      <c r="FU1082" s="420">
        <f t="shared" si="2277"/>
        <v>289.50421094387059</v>
      </c>
      <c r="FV1082" s="423">
        <f t="shared" si="2277"/>
        <v>121.51134231148433</v>
      </c>
      <c r="FW1082" s="420">
        <f t="shared" si="2277"/>
        <v>151.80794224983575</v>
      </c>
      <c r="FX1082" s="420">
        <f t="shared" si="2277"/>
        <v>182.72433729046381</v>
      </c>
      <c r="FY1082" s="420">
        <f t="shared" si="2277"/>
        <v>288.38844737599351</v>
      </c>
      <c r="FZ1082" s="420">
        <f t="shared" si="2277"/>
        <v>177.82332819536788</v>
      </c>
      <c r="GA1082" s="420">
        <f t="shared" si="2277"/>
        <v>179.01943237914801</v>
      </c>
      <c r="GB1082" s="420">
        <f t="shared" si="2277"/>
        <v>164.6325557816927</v>
      </c>
      <c r="GC1082" s="420">
        <f t="shared" si="2277"/>
        <v>197.80811904856702</v>
      </c>
      <c r="GD1082" s="420">
        <f t="shared" si="2277"/>
        <v>250.93833467570244</v>
      </c>
      <c r="GE1082" s="420">
        <f t="shared" si="2277"/>
        <v>208.77223398815104</v>
      </c>
      <c r="GF1082" s="420">
        <f t="shared" si="2277"/>
        <v>230.91735339860341</v>
      </c>
      <c r="GG1082" s="420">
        <f t="shared" si="2277"/>
        <v>262.55063902730666</v>
      </c>
      <c r="GH1082" s="420">
        <f t="shared" si="2277"/>
        <v>172.5182399804556</v>
      </c>
      <c r="HZ1082" s="340"/>
      <c r="IA1082" s="430" t="s">
        <v>557</v>
      </c>
      <c r="IB1082" s="430"/>
      <c r="IC1082" s="430"/>
      <c r="ID1082" s="279">
        <f>ID$850</f>
        <v>903.06533710626275</v>
      </c>
      <c r="IE1082" s="279">
        <f>IE$850</f>
        <v>495.66000899779721</v>
      </c>
      <c r="IF1082" s="279">
        <f>IF$850</f>
        <v>491.5442137932867</v>
      </c>
      <c r="IG1082" s="434">
        <f>IG$850</f>
        <v>987.20422279108391</v>
      </c>
      <c r="IH1082" s="284"/>
      <c r="IJ1082" s="434">
        <f>IJ$850</f>
        <v>1146.9565422527439</v>
      </c>
      <c r="IM1082" s="434">
        <f>IM$850</f>
        <v>1323.4574341216144</v>
      </c>
      <c r="IP1082" s="434">
        <f>IP$850</f>
        <v>1436.9221960448904</v>
      </c>
      <c r="IQ1082" s="434"/>
      <c r="IR1082" s="434"/>
      <c r="IS1082" s="434">
        <f>IS$850</f>
        <v>1666.8635925906065</v>
      </c>
      <c r="IT1082" s="434"/>
      <c r="IU1082" s="434"/>
      <c r="IV1082" s="434">
        <f>IV$850</f>
        <v>1901.1315501950596</v>
      </c>
      <c r="IW1082" s="434"/>
      <c r="IX1082" s="434"/>
      <c r="IY1082" s="434">
        <f>IY$850</f>
        <v>2089.3574379793054</v>
      </c>
      <c r="IZ1082" s="434"/>
      <c r="JA1082" s="434">
        <f>JA$850</f>
        <v>1323.504920118786</v>
      </c>
      <c r="JB1082" s="434">
        <f>JB$850</f>
        <v>2467.9009633912874</v>
      </c>
      <c r="JC1082" s="434">
        <f>JC$850</f>
        <v>1360.8212060239184</v>
      </c>
      <c r="JD1082" s="434">
        <f>JD$850</f>
        <v>1495.8734270301832</v>
      </c>
      <c r="JE1082" s="434"/>
      <c r="JF1082" s="434"/>
      <c r="JG1082" s="434"/>
      <c r="JH1082" s="434"/>
      <c r="JI1082" s="434"/>
      <c r="JJ1082" s="434"/>
      <c r="JK1082" s="434"/>
      <c r="KU1082" s="340"/>
      <c r="KV1082" s="341"/>
      <c r="KY1082" s="279">
        <f>KY$850</f>
        <v>0</v>
      </c>
      <c r="KZ1082" s="279">
        <f>KZ$850</f>
        <v>0</v>
      </c>
      <c r="LA1082" s="279">
        <f>LA$850</f>
        <v>0</v>
      </c>
      <c r="LB1082" s="279">
        <f>LB$850</f>
        <v>0</v>
      </c>
    </row>
    <row r="1083" spans="1:314">
      <c r="A1083" s="279"/>
      <c r="B1083" s="96" t="s">
        <v>338</v>
      </c>
      <c r="D1083" s="430" t="str">
        <f>D$904</f>
        <v>NET OPERATING BALANCE</v>
      </c>
      <c r="E1083" s="338"/>
      <c r="F1083" s="338"/>
      <c r="G1083" s="338"/>
      <c r="H1083" s="338"/>
      <c r="I1083" s="338"/>
      <c r="J1083" s="338"/>
      <c r="K1083" s="338"/>
      <c r="L1083" s="338"/>
      <c r="M1083" s="338"/>
      <c r="N1083" s="338"/>
      <c r="O1083" s="338"/>
      <c r="P1083" s="338"/>
      <c r="Q1083" s="338"/>
      <c r="R1083" s="338"/>
      <c r="S1083" s="338"/>
      <c r="T1083" s="338"/>
      <c r="U1083" s="338"/>
      <c r="V1083" s="338"/>
      <c r="W1083" s="338"/>
      <c r="X1083" s="338"/>
      <c r="Y1083" s="338"/>
      <c r="Z1083" s="338"/>
      <c r="AA1083" s="338"/>
      <c r="AB1083" s="338"/>
      <c r="AC1083" s="338"/>
      <c r="AD1083" s="338"/>
      <c r="AE1083" s="338"/>
      <c r="AF1083" s="338"/>
      <c r="AG1083" s="338"/>
      <c r="AH1083" s="338"/>
      <c r="AI1083" s="338"/>
      <c r="AJ1083" s="338"/>
      <c r="AK1083" s="338"/>
      <c r="AL1083" s="338"/>
      <c r="AM1083" s="338"/>
      <c r="AN1083" s="338"/>
      <c r="AO1083" s="338"/>
      <c r="AP1083" s="338"/>
      <c r="AQ1083" s="338"/>
      <c r="AR1083" s="338"/>
      <c r="AS1083" s="338"/>
      <c r="AT1083" s="338"/>
      <c r="AU1083" s="338"/>
      <c r="AV1083" s="338"/>
      <c r="AW1083" s="338"/>
      <c r="AX1083" s="338"/>
      <c r="AY1083" s="338"/>
      <c r="AZ1083" s="338"/>
      <c r="BA1083" s="338"/>
      <c r="BB1083" s="338"/>
      <c r="BC1083" s="338"/>
      <c r="BD1083" s="338"/>
      <c r="BE1083" s="338"/>
      <c r="BF1083" s="338"/>
      <c r="BG1083" s="338"/>
      <c r="BH1083" s="338"/>
      <c r="BI1083" s="338"/>
      <c r="BJ1083" s="338"/>
      <c r="BK1083" s="338"/>
      <c r="BL1083" s="338"/>
      <c r="BM1083" s="338"/>
      <c r="BN1083" s="338"/>
      <c r="BO1083" s="338"/>
      <c r="BP1083" s="338"/>
      <c r="BQ1083" s="338"/>
      <c r="BR1083" s="338"/>
      <c r="BS1083" s="338"/>
      <c r="BT1083" s="338"/>
      <c r="BU1083" s="338"/>
      <c r="BV1083" s="338"/>
      <c r="BW1083" s="338"/>
      <c r="BX1083" s="338"/>
      <c r="BY1083" s="338"/>
      <c r="BZ1083" s="338"/>
      <c r="CA1083" s="338"/>
      <c r="CB1083" s="338"/>
      <c r="CC1083" s="338"/>
      <c r="CD1083" s="339"/>
      <c r="CE1083" s="338"/>
      <c r="CF1083" s="338"/>
      <c r="CG1083" s="338"/>
      <c r="CH1083" s="338"/>
      <c r="CI1083" s="338"/>
      <c r="CJ1083" s="338"/>
      <c r="CK1083" s="338"/>
      <c r="CL1083" s="338"/>
      <c r="CM1083" s="338"/>
      <c r="CN1083" s="338"/>
      <c r="CO1083" s="338"/>
      <c r="CP1083" s="1285"/>
      <c r="CQ1083" s="407"/>
      <c r="CR1083" s="420"/>
      <c r="CS1083" s="420"/>
      <c r="CT1083" s="420"/>
      <c r="CU1083" s="420"/>
      <c r="CV1083" s="420"/>
      <c r="CW1083" s="420"/>
      <c r="CX1083" s="420"/>
      <c r="CY1083" s="420"/>
      <c r="CZ1083" s="420"/>
      <c r="DA1083" s="420"/>
      <c r="DB1083" s="1310"/>
      <c r="DC1083" s="420"/>
      <c r="DD1083" s="420"/>
      <c r="DE1083" s="420"/>
      <c r="DF1083" s="420"/>
      <c r="DG1083" s="420"/>
      <c r="DH1083" s="420"/>
      <c r="DI1083" s="420"/>
      <c r="DJ1083" s="420"/>
      <c r="DK1083" s="420"/>
      <c r="DL1083" s="420"/>
      <c r="DM1083" s="420"/>
      <c r="DN1083" s="423"/>
      <c r="DO1083" s="420"/>
      <c r="DP1083" s="420"/>
      <c r="DQ1083" s="420"/>
      <c r="DR1083" s="420"/>
      <c r="DS1083" s="420"/>
      <c r="DT1083" s="420"/>
      <c r="DU1083" s="420"/>
      <c r="DV1083" s="420"/>
      <c r="DW1083" s="420"/>
      <c r="DX1083" s="420"/>
      <c r="DY1083" s="420"/>
      <c r="DZ1083" s="423"/>
      <c r="EA1083" s="420"/>
      <c r="EB1083" s="420"/>
      <c r="EC1083" s="420"/>
      <c r="ED1083" s="420"/>
      <c r="EE1083" s="420"/>
      <c r="EF1083" s="420"/>
      <c r="EG1083" s="420"/>
      <c r="EH1083" s="420"/>
      <c r="EI1083" s="420"/>
      <c r="EJ1083" s="420"/>
      <c r="EK1083" s="420"/>
      <c r="EL1083" s="423"/>
      <c r="EM1083" s="420"/>
      <c r="EN1083" s="420"/>
      <c r="EO1083" s="420"/>
      <c r="EP1083" s="420"/>
      <c r="EQ1083" s="420"/>
      <c r="ER1083" s="420"/>
      <c r="ES1083" s="420"/>
      <c r="ET1083" s="420"/>
      <c r="EU1083" s="420"/>
      <c r="EV1083" s="420"/>
      <c r="EW1083" s="420"/>
      <c r="EX1083" s="423"/>
      <c r="EY1083" s="420"/>
      <c r="EZ1083" s="420"/>
      <c r="FA1083" s="420"/>
      <c r="FB1083" s="420"/>
      <c r="FC1083" s="420"/>
      <c r="FD1083" s="420"/>
      <c r="FE1083" s="420"/>
      <c r="FF1083" s="420"/>
      <c r="FG1083" s="420"/>
      <c r="FH1083" s="420"/>
      <c r="FI1083" s="420"/>
      <c r="FJ1083" s="423"/>
      <c r="FK1083" s="420"/>
      <c r="FL1083" s="420"/>
      <c r="FM1083" s="420"/>
      <c r="FN1083" s="420"/>
      <c r="FO1083" s="420"/>
      <c r="FP1083" s="420"/>
      <c r="FQ1083" s="420"/>
      <c r="FR1083" s="420"/>
      <c r="FS1083" s="420"/>
      <c r="FT1083" s="420"/>
      <c r="FU1083" s="420"/>
      <c r="FV1083" s="423"/>
      <c r="FW1083" s="420"/>
      <c r="FX1083" s="420"/>
      <c r="FY1083" s="420"/>
      <c r="FZ1083" s="420"/>
      <c r="GA1083" s="420"/>
      <c r="GB1083" s="420"/>
      <c r="GC1083" s="420"/>
      <c r="GD1083" s="420"/>
      <c r="GE1083" s="420"/>
      <c r="GF1083" s="420"/>
      <c r="GG1083" s="420"/>
      <c r="GH1083" s="420"/>
      <c r="HZ1083" s="340"/>
      <c r="IA1083" s="430" t="s">
        <v>558</v>
      </c>
      <c r="IB1083" s="430"/>
      <c r="IC1083" s="430"/>
      <c r="IG1083" s="434"/>
      <c r="IH1083" s="284"/>
      <c r="IJ1083" s="434"/>
      <c r="IM1083" s="434"/>
      <c r="IP1083" s="434"/>
      <c r="IQ1083" s="434"/>
      <c r="IR1083" s="434"/>
      <c r="IS1083" s="434"/>
      <c r="IT1083" s="434"/>
      <c r="IU1083" s="434"/>
      <c r="IV1083" s="434"/>
      <c r="IW1083" s="434"/>
      <c r="IX1083" s="434"/>
      <c r="IY1083" s="434"/>
      <c r="IZ1083" s="434"/>
      <c r="JA1083" s="434"/>
      <c r="JB1083" s="434"/>
      <c r="JC1083" s="434"/>
      <c r="JD1083" s="434"/>
      <c r="JE1083" s="434"/>
      <c r="JF1083" s="434"/>
      <c r="JG1083" s="434"/>
      <c r="JH1083" s="434"/>
      <c r="JI1083" s="434"/>
      <c r="JJ1083" s="434"/>
      <c r="JK1083" s="434"/>
      <c r="KU1083" s="340"/>
      <c r="KV1083" s="341"/>
    </row>
    <row r="1084" spans="1:314">
      <c r="A1084" s="279"/>
      <c r="B1084" s="96" t="s">
        <v>338</v>
      </c>
      <c r="D1084" s="415" t="str">
        <f>D$905</f>
        <v>including grants</v>
      </c>
      <c r="E1084" s="416">
        <f>E$905</f>
        <v>0</v>
      </c>
      <c r="F1084" s="416">
        <f t="shared" ref="F1084:L1084" si="2278">F$905</f>
        <v>0</v>
      </c>
      <c r="G1084" s="416">
        <f t="shared" si="2278"/>
        <v>0</v>
      </c>
      <c r="H1084" s="416">
        <f t="shared" si="2278"/>
        <v>0</v>
      </c>
      <c r="I1084" s="416">
        <f t="shared" si="2278"/>
        <v>0</v>
      </c>
      <c r="J1084" s="416">
        <f t="shared" si="2278"/>
        <v>0</v>
      </c>
      <c r="K1084" s="416">
        <f t="shared" si="2278"/>
        <v>0</v>
      </c>
      <c r="L1084" s="416">
        <f t="shared" si="2278"/>
        <v>0</v>
      </c>
      <c r="M1084" s="416">
        <f t="shared" ref="M1084:AW1084" si="2279">M$905</f>
        <v>0</v>
      </c>
      <c r="N1084" s="416">
        <f t="shared" si="2279"/>
        <v>0</v>
      </c>
      <c r="O1084" s="416">
        <f t="shared" si="2279"/>
        <v>0</v>
      </c>
      <c r="P1084" s="416">
        <f t="shared" si="2279"/>
        <v>0</v>
      </c>
      <c r="Q1084" s="416">
        <f t="shared" si="2279"/>
        <v>0</v>
      </c>
      <c r="R1084" s="416">
        <f t="shared" si="2279"/>
        <v>0</v>
      </c>
      <c r="S1084" s="416">
        <f t="shared" si="2279"/>
        <v>0</v>
      </c>
      <c r="T1084" s="416">
        <f t="shared" si="2279"/>
        <v>0</v>
      </c>
      <c r="U1084" s="416">
        <f t="shared" si="2279"/>
        <v>0</v>
      </c>
      <c r="V1084" s="416">
        <f t="shared" si="2279"/>
        <v>0</v>
      </c>
      <c r="W1084" s="416">
        <f t="shared" si="2279"/>
        <v>0</v>
      </c>
      <c r="X1084" s="416">
        <f t="shared" si="2279"/>
        <v>0</v>
      </c>
      <c r="Y1084" s="416">
        <f t="shared" si="2279"/>
        <v>0</v>
      </c>
      <c r="Z1084" s="416">
        <f t="shared" si="2279"/>
        <v>0</v>
      </c>
      <c r="AA1084" s="416">
        <f t="shared" si="2279"/>
        <v>0</v>
      </c>
      <c r="AB1084" s="416">
        <f t="shared" si="2279"/>
        <v>0</v>
      </c>
      <c r="AC1084" s="416">
        <f t="shared" si="2279"/>
        <v>0</v>
      </c>
      <c r="AD1084" s="416">
        <f t="shared" si="2279"/>
        <v>0</v>
      </c>
      <c r="AE1084" s="416">
        <f t="shared" si="2279"/>
        <v>0</v>
      </c>
      <c r="AF1084" s="416">
        <f t="shared" si="2279"/>
        <v>0</v>
      </c>
      <c r="AG1084" s="416">
        <f t="shared" si="2279"/>
        <v>0</v>
      </c>
      <c r="AH1084" s="416">
        <f t="shared" si="2279"/>
        <v>0</v>
      </c>
      <c r="AI1084" s="416">
        <f t="shared" si="2279"/>
        <v>0</v>
      </c>
      <c r="AJ1084" s="416">
        <f t="shared" si="2279"/>
        <v>0</v>
      </c>
      <c r="AK1084" s="416">
        <f t="shared" si="2279"/>
        <v>0</v>
      </c>
      <c r="AL1084" s="416">
        <f t="shared" si="2279"/>
        <v>0</v>
      </c>
      <c r="AM1084" s="416">
        <f t="shared" si="2279"/>
        <v>0</v>
      </c>
      <c r="AN1084" s="416">
        <f t="shared" si="2279"/>
        <v>0</v>
      </c>
      <c r="AO1084" s="416">
        <f t="shared" si="2279"/>
        <v>50.342214462293803</v>
      </c>
      <c r="AP1084" s="416">
        <f t="shared" si="2279"/>
        <v>27.304769607348977</v>
      </c>
      <c r="AQ1084" s="416">
        <f t="shared" si="2279"/>
        <v>52.088454925589502</v>
      </c>
      <c r="AR1084" s="416">
        <f t="shared" si="2279"/>
        <v>52.158303622137794</v>
      </c>
      <c r="AS1084" s="416">
        <f t="shared" si="2279"/>
        <v>37.016039549645832</v>
      </c>
      <c r="AT1084" s="416">
        <f t="shared" si="2279"/>
        <v>145.54274740342879</v>
      </c>
      <c r="AU1084" s="416">
        <f t="shared" si="2279"/>
        <v>44.823105260773595</v>
      </c>
      <c r="AV1084" s="416">
        <f t="shared" si="2279"/>
        <v>41.210677487137481</v>
      </c>
      <c r="AW1084" s="416">
        <f t="shared" si="2279"/>
        <v>99.200947873738329</v>
      </c>
      <c r="AX1084" s="416">
        <f t="shared" ref="AX1084:BP1084" si="2280">AX$905</f>
        <v>76.247369485781107</v>
      </c>
      <c r="AY1084" s="416">
        <f t="shared" si="2280"/>
        <v>51.779533459869747</v>
      </c>
      <c r="AZ1084" s="416">
        <f t="shared" si="2280"/>
        <v>164.17174661412753</v>
      </c>
      <c r="BA1084" s="416">
        <f t="shared" si="2280"/>
        <v>47.250302493921275</v>
      </c>
      <c r="BB1084" s="416">
        <f t="shared" si="2280"/>
        <v>42.194123704381532</v>
      </c>
      <c r="BC1084" s="416">
        <f t="shared" si="2280"/>
        <v>57.501611650348792</v>
      </c>
      <c r="BD1084" s="416">
        <f t="shared" si="2280"/>
        <v>125.19516059076922</v>
      </c>
      <c r="BE1084" s="416">
        <f t="shared" si="2280"/>
        <v>49.740713777075285</v>
      </c>
      <c r="BF1084" s="416">
        <f t="shared" si="2280"/>
        <v>84.363849585870526</v>
      </c>
      <c r="BG1084" s="416">
        <f t="shared" si="2280"/>
        <v>37.651865692805707</v>
      </c>
      <c r="BH1084" s="416">
        <f t="shared" si="2280"/>
        <v>12.972745364177442</v>
      </c>
      <c r="BI1084" s="416">
        <f t="shared" si="2280"/>
        <v>45.459024650403435</v>
      </c>
      <c r="BJ1084" s="416">
        <f t="shared" si="2280"/>
        <v>64.238497660145569</v>
      </c>
      <c r="BK1084" s="416">
        <f t="shared" si="2280"/>
        <v>6.7960197153470148</v>
      </c>
      <c r="BL1084" s="416">
        <f t="shared" si="2280"/>
        <v>112.11381982095435</v>
      </c>
      <c r="BM1084" s="416">
        <f t="shared" si="2280"/>
        <v>-20.730612014129491</v>
      </c>
      <c r="BN1084" s="416">
        <f t="shared" si="2280"/>
        <v>5.5919341474474038</v>
      </c>
      <c r="BO1084" s="416">
        <f t="shared" si="2280"/>
        <v>38.785997773481526</v>
      </c>
      <c r="BP1084" s="416">
        <f t="shared" si="2280"/>
        <v>-34.555413219056625</v>
      </c>
      <c r="BQ1084" s="416">
        <f t="shared" ref="BQ1084:EB1084" si="2281">BQ$905</f>
        <v>-12.078330548425598</v>
      </c>
      <c r="BR1084" s="416">
        <f t="shared" si="2281"/>
        <v>122.08977756751783</v>
      </c>
      <c r="BS1084" s="416">
        <f t="shared" si="2281"/>
        <v>28.548471374992609</v>
      </c>
      <c r="BT1084" s="416">
        <f t="shared" si="2281"/>
        <v>11.691175516446918</v>
      </c>
      <c r="BU1084" s="416">
        <f t="shared" si="2281"/>
        <v>41.177768051094112</v>
      </c>
      <c r="BV1084" s="416">
        <f t="shared" si="2281"/>
        <v>31.570121965842958</v>
      </c>
      <c r="BW1084" s="416">
        <f t="shared" si="2281"/>
        <v>37.771134042156831</v>
      </c>
      <c r="BX1084" s="416">
        <f t="shared" si="2281"/>
        <v>64.170013033509747</v>
      </c>
      <c r="BY1084" s="416">
        <f t="shared" si="2281"/>
        <v>-9.0911269680772762</v>
      </c>
      <c r="BZ1084" s="416">
        <f t="shared" si="2281"/>
        <v>-6.9639915402105501</v>
      </c>
      <c r="CA1084" s="416">
        <f t="shared" si="2281"/>
        <v>65.162270257797758</v>
      </c>
      <c r="CB1084" s="416">
        <f t="shared" si="2281"/>
        <v>9.3099377125057714</v>
      </c>
      <c r="CC1084" s="416">
        <f t="shared" si="2281"/>
        <v>-4.0421302503292935</v>
      </c>
      <c r="CD1084" s="417">
        <f t="shared" si="2281"/>
        <v>16.352287125465146</v>
      </c>
      <c r="CE1084" s="416">
        <f t="shared" si="2281"/>
        <v>11.226550838196317</v>
      </c>
      <c r="CF1084" s="416">
        <f t="shared" si="2281"/>
        <v>19.960781247150081</v>
      </c>
      <c r="CG1084" s="416">
        <f t="shared" si="2281"/>
        <v>88.293623581451413</v>
      </c>
      <c r="CH1084" s="416">
        <f t="shared" si="2281"/>
        <v>17.660534648424687</v>
      </c>
      <c r="CI1084" s="416">
        <f t="shared" si="2281"/>
        <v>36.31099452647647</v>
      </c>
      <c r="CJ1084" s="416">
        <f t="shared" si="2281"/>
        <v>90.401306480941287</v>
      </c>
      <c r="CK1084" s="416">
        <f t="shared" si="2281"/>
        <v>-10.012889232402159</v>
      </c>
      <c r="CL1084" s="416">
        <f t="shared" si="2281"/>
        <v>16.013408092959601</v>
      </c>
      <c r="CM1084" s="416">
        <f t="shared" si="2281"/>
        <v>44.150074023205121</v>
      </c>
      <c r="CN1084" s="416">
        <f t="shared" si="2281"/>
        <v>5.261383224805769</v>
      </c>
      <c r="CO1084" s="416">
        <f t="shared" si="2281"/>
        <v>19.608147498548291</v>
      </c>
      <c r="CP1084" s="418">
        <f t="shared" si="2281"/>
        <v>96.85123674827301</v>
      </c>
      <c r="CQ1084" s="416">
        <f t="shared" si="2281"/>
        <v>-2.2586144332271942</v>
      </c>
      <c r="CR1084" s="416">
        <f t="shared" si="2281"/>
        <v>9.4697950274682086</v>
      </c>
      <c r="CS1084" s="416">
        <f t="shared" si="2281"/>
        <v>38.213657824007726</v>
      </c>
      <c r="CT1084" s="416">
        <f t="shared" si="2281"/>
        <v>10.482476524746346</v>
      </c>
      <c r="CU1084" s="416">
        <f t="shared" si="2281"/>
        <v>22.743065555580202</v>
      </c>
      <c r="CV1084" s="416">
        <f t="shared" si="2281"/>
        <v>115.20482370154257</v>
      </c>
      <c r="CW1084" s="416">
        <f t="shared" si="2281"/>
        <v>5.9576430422451523</v>
      </c>
      <c r="CX1084" s="416">
        <f t="shared" si="2281"/>
        <v>26.452220863713123</v>
      </c>
      <c r="CY1084" s="416">
        <f t="shared" si="2281"/>
        <v>69.860697616976864</v>
      </c>
      <c r="CZ1084" s="416">
        <f t="shared" si="2281"/>
        <v>-19.214715032122783</v>
      </c>
      <c r="DA1084" s="416">
        <f t="shared" si="2281"/>
        <v>48.747024967170887</v>
      </c>
      <c r="DB1084" s="1311">
        <f t="shared" si="2281"/>
        <v>105.84440212610917</v>
      </c>
      <c r="DC1084" s="416">
        <f t="shared" si="2281"/>
        <v>-12.986428541790374</v>
      </c>
      <c r="DD1084" s="416">
        <f t="shared" si="2281"/>
        <v>7.0968010364378245</v>
      </c>
      <c r="DE1084" s="416">
        <f t="shared" si="2281"/>
        <v>62.83344332245106</v>
      </c>
      <c r="DF1084" s="416">
        <f t="shared" si="2281"/>
        <v>-37.877233526748924</v>
      </c>
      <c r="DG1084" s="416">
        <f t="shared" si="2281"/>
        <v>32.232385309364403</v>
      </c>
      <c r="DH1084" s="416">
        <f t="shared" si="2281"/>
        <v>98.478752021755994</v>
      </c>
      <c r="DI1084" s="416">
        <f t="shared" si="2281"/>
        <v>-32.909509292516304</v>
      </c>
      <c r="DJ1084" s="416">
        <f t="shared" si="2281"/>
        <v>13.939963891306775</v>
      </c>
      <c r="DK1084" s="416">
        <f t="shared" si="2281"/>
        <v>77.712685231954339</v>
      </c>
      <c r="DL1084" s="416">
        <f t="shared" si="2281"/>
        <v>24.038571513286939</v>
      </c>
      <c r="DM1084" s="416">
        <f t="shared" si="2281"/>
        <v>28.732232940405524</v>
      </c>
      <c r="DN1084" s="418">
        <f t="shared" si="2281"/>
        <v>133.42889728732064</v>
      </c>
      <c r="DO1084" s="416">
        <f t="shared" si="2281"/>
        <v>-38.94609377156047</v>
      </c>
      <c r="DP1084" s="416">
        <f t="shared" si="2281"/>
        <v>-9.5764775659607437</v>
      </c>
      <c r="DQ1084" s="416">
        <f t="shared" si="2281"/>
        <v>65.237020367504428</v>
      </c>
      <c r="DR1084" s="416">
        <f t="shared" si="2281"/>
        <v>-70.15945567664852</v>
      </c>
      <c r="DS1084" s="416">
        <f t="shared" si="2281"/>
        <v>7.4587257666715914</v>
      </c>
      <c r="DT1084" s="416">
        <f t="shared" si="2281"/>
        <v>95.770676780347841</v>
      </c>
      <c r="DU1084" s="416">
        <f t="shared" si="2281"/>
        <v>-15.74574773483468</v>
      </c>
      <c r="DV1084" s="416">
        <f t="shared" si="2281"/>
        <v>-5.9040159919372002</v>
      </c>
      <c r="DW1084" s="416">
        <f t="shared" si="2281"/>
        <v>105.32248860312814</v>
      </c>
      <c r="DX1084" s="416">
        <f t="shared" si="2281"/>
        <v>-52.727421352877244</v>
      </c>
      <c r="DY1084" s="416">
        <f t="shared" si="2281"/>
        <v>2.6065959239360268</v>
      </c>
      <c r="DZ1084" s="418">
        <f t="shared" si="2281"/>
        <v>188.95681852212289</v>
      </c>
      <c r="EA1084" s="416">
        <f t="shared" si="2281"/>
        <v>-28.527362464601978</v>
      </c>
      <c r="EB1084" s="416">
        <f t="shared" si="2281"/>
        <v>-21.652539514106763</v>
      </c>
      <c r="EC1084" s="416">
        <f t="shared" ref="EC1084:GH1084" si="2282">EC$905</f>
        <v>13.873626841446963</v>
      </c>
      <c r="ED1084" s="416">
        <f t="shared" si="2282"/>
        <v>1.1686680330526258</v>
      </c>
      <c r="EE1084" s="416">
        <f t="shared" si="2282"/>
        <v>22.397601019218115</v>
      </c>
      <c r="EF1084" s="416">
        <f t="shared" si="2282"/>
        <v>137.8913282368537</v>
      </c>
      <c r="EG1084" s="416">
        <f t="shared" si="2282"/>
        <v>-1.7461963297775753</v>
      </c>
      <c r="EH1084" s="416">
        <f t="shared" si="2282"/>
        <v>10.584492243964505</v>
      </c>
      <c r="EI1084" s="416">
        <f t="shared" si="2282"/>
        <v>63.673256961588919</v>
      </c>
      <c r="EJ1084" s="416">
        <f t="shared" si="2282"/>
        <v>41.980709262640744</v>
      </c>
      <c r="EK1084" s="416">
        <f t="shared" si="2282"/>
        <v>-7.1049185039093459</v>
      </c>
      <c r="EL1084" s="418">
        <f t="shared" si="2282"/>
        <v>112.08979081116436</v>
      </c>
      <c r="EM1084" s="416">
        <f t="shared" si="2282"/>
        <v>10.369869410354255</v>
      </c>
      <c r="EN1084" s="416">
        <f t="shared" si="2282"/>
        <v>51.252060539525019</v>
      </c>
      <c r="EO1084" s="416">
        <f t="shared" si="2282"/>
        <v>92.177410487107565</v>
      </c>
      <c r="EP1084" s="416">
        <f t="shared" si="2282"/>
        <v>-11.679561661276239</v>
      </c>
      <c r="EQ1084" s="416">
        <f t="shared" si="2282"/>
        <v>-28.56469433456121</v>
      </c>
      <c r="ER1084" s="416">
        <f t="shared" si="2282"/>
        <v>177.85659275868267</v>
      </c>
      <c r="ES1084" s="416">
        <f t="shared" si="2282"/>
        <v>18.072183566611585</v>
      </c>
      <c r="ET1084" s="416">
        <f t="shared" si="2282"/>
        <v>35.155458262292996</v>
      </c>
      <c r="EU1084" s="416">
        <f t="shared" si="2282"/>
        <v>60.109411120122644</v>
      </c>
      <c r="EV1084" s="416">
        <f t="shared" si="2282"/>
        <v>-99.962704997196681</v>
      </c>
      <c r="EW1084" s="416">
        <f t="shared" si="2282"/>
        <v>-38.946207214846083</v>
      </c>
      <c r="EX1084" s="418">
        <f t="shared" si="2282"/>
        <v>132.32396091031814</v>
      </c>
      <c r="EY1084" s="416">
        <f t="shared" si="2282"/>
        <v>11.531639815876531</v>
      </c>
      <c r="EZ1084" s="416">
        <f t="shared" si="2282"/>
        <v>4.0938651345833819</v>
      </c>
      <c r="FA1084" s="416">
        <f t="shared" si="2282"/>
        <v>72.749586707226484</v>
      </c>
      <c r="FB1084" s="416">
        <f t="shared" si="2282"/>
        <v>14.504317450792684</v>
      </c>
      <c r="FC1084" s="416">
        <f t="shared" si="2282"/>
        <v>-20.401203805582327</v>
      </c>
      <c r="FD1084" s="416">
        <f t="shared" si="2282"/>
        <v>134.79899764577428</v>
      </c>
      <c r="FE1084" s="416">
        <f t="shared" si="2282"/>
        <v>20.579735134823835</v>
      </c>
      <c r="FF1084" s="416">
        <f t="shared" si="2282"/>
        <v>0.48782273090586159</v>
      </c>
      <c r="FG1084" s="416">
        <f t="shared" si="2282"/>
        <v>-9.338271103244125</v>
      </c>
      <c r="FH1084" s="416">
        <f t="shared" si="2282"/>
        <v>26.03390740896063</v>
      </c>
      <c r="FI1084" s="416">
        <f t="shared" si="2282"/>
        <v>-96.597009332246387</v>
      </c>
      <c r="FJ1084" s="418">
        <f t="shared" si="2282"/>
        <v>133.38672585636206</v>
      </c>
      <c r="FK1084" s="416">
        <f t="shared" si="2282"/>
        <v>-93.131365877007653</v>
      </c>
      <c r="FL1084" s="416">
        <f t="shared" si="2282"/>
        <v>-18.271631342960319</v>
      </c>
      <c r="FM1084" s="416">
        <f t="shared" si="2282"/>
        <v>159.3012727441062</v>
      </c>
      <c r="FN1084" s="416">
        <f t="shared" si="2282"/>
        <v>60.045235040553621</v>
      </c>
      <c r="FO1084" s="416">
        <f t="shared" si="2282"/>
        <v>-43.371605854552001</v>
      </c>
      <c r="FP1084" s="416">
        <f t="shared" si="2282"/>
        <v>121.32178410174845</v>
      </c>
      <c r="FQ1084" s="416">
        <f t="shared" si="2282"/>
        <v>34.736620264355395</v>
      </c>
      <c r="FR1084" s="416">
        <f t="shared" si="2282"/>
        <v>-3.8924786876739574</v>
      </c>
      <c r="FS1084" s="416">
        <f t="shared" si="2282"/>
        <v>105.67091608287279</v>
      </c>
      <c r="FT1084" s="416">
        <f t="shared" si="2282"/>
        <v>78.759100283718851</v>
      </c>
      <c r="FU1084" s="416">
        <f t="shared" si="2282"/>
        <v>-124.00859336688893</v>
      </c>
      <c r="FV1084" s="418">
        <f t="shared" si="2282"/>
        <v>201.67450572051013</v>
      </c>
      <c r="FW1084" s="416">
        <f t="shared" si="2282"/>
        <v>-7.7577802856145297</v>
      </c>
      <c r="FX1084" s="416">
        <f t="shared" si="2282"/>
        <v>17.881145306058386</v>
      </c>
      <c r="FY1084" s="416">
        <f t="shared" si="2282"/>
        <v>-20.813504917829107</v>
      </c>
      <c r="FZ1084" s="416">
        <f t="shared" si="2282"/>
        <v>30.64203143979131</v>
      </c>
      <c r="GA1084" s="416">
        <f t="shared" si="2282"/>
        <v>68.883346584564919</v>
      </c>
      <c r="GB1084" s="416">
        <f t="shared" si="2282"/>
        <v>116.64479865938523</v>
      </c>
      <c r="GC1084" s="416">
        <f t="shared" si="2282"/>
        <v>15.144317438286748</v>
      </c>
      <c r="GD1084" s="416">
        <f t="shared" si="2282"/>
        <v>-37.110679213351148</v>
      </c>
      <c r="GE1084" s="416">
        <f t="shared" si="2282"/>
        <v>174.29080912954831</v>
      </c>
      <c r="GF1084" s="416">
        <f t="shared" si="2282"/>
        <v>5.6865371737175678</v>
      </c>
      <c r="GG1084" s="416">
        <f t="shared" si="2282"/>
        <v>104.76155300730449</v>
      </c>
      <c r="GH1084" s="416">
        <f t="shared" si="2282"/>
        <v>154.96014495995357</v>
      </c>
      <c r="IA1084" s="415" t="s">
        <v>559</v>
      </c>
      <c r="IB1084" s="415"/>
      <c r="IC1084" s="415"/>
      <c r="ID1084" s="279">
        <f>ID$905</f>
        <v>435.72515167802987</v>
      </c>
      <c r="IE1084" s="279">
        <f>IE$905</f>
        <v>193.85520420011784</v>
      </c>
      <c r="IF1084" s="279">
        <f>IF$905</f>
        <v>237.64727358409243</v>
      </c>
      <c r="IG1084" s="434">
        <f>IG$905</f>
        <v>431.50247778421027</v>
      </c>
      <c r="IH1084" s="284"/>
      <c r="IJ1084" s="434">
        <f>IJ$905</f>
        <v>394.72056119322792</v>
      </c>
      <c r="IM1084" s="434">
        <f>IM$905</f>
        <v>272.29311386989207</v>
      </c>
      <c r="IP1084" s="434">
        <f>IP$905</f>
        <v>344.62845659753424</v>
      </c>
      <c r="IQ1084" s="434"/>
      <c r="IR1084" s="434"/>
      <c r="IS1084" s="434">
        <f>IS$905</f>
        <v>398.16377884713467</v>
      </c>
      <c r="IT1084" s="434"/>
      <c r="IU1084" s="434"/>
      <c r="IV1084" s="434">
        <f>IV$905</f>
        <v>291.83011364423294</v>
      </c>
      <c r="IW1084" s="434"/>
      <c r="IX1084" s="434"/>
      <c r="IY1084" s="434">
        <f>IY$905</f>
        <v>478.8337591087826</v>
      </c>
      <c r="IZ1084" s="434"/>
      <c r="JA1084" s="434">
        <f>JA$905</f>
        <v>417.73268249545958</v>
      </c>
      <c r="JB1084" s="434">
        <f>JB$905</f>
        <v>623.21271928181579</v>
      </c>
      <c r="JC1084" s="434">
        <f>JC$905</f>
        <v>169.03781518508686</v>
      </c>
      <c r="JD1084" s="434">
        <f>JD$905</f>
        <v>373.83473522714968</v>
      </c>
      <c r="JE1084" s="434"/>
      <c r="JF1084" s="434"/>
      <c r="JG1084" s="434"/>
      <c r="JH1084" s="434"/>
      <c r="JI1084" s="434"/>
      <c r="JJ1084" s="434"/>
      <c r="JK1084" s="434"/>
      <c r="KY1084" s="279">
        <f>KY$905</f>
        <v>0</v>
      </c>
      <c r="KZ1084" s="279">
        <f>KZ$905</f>
        <v>0</v>
      </c>
      <c r="LA1084" s="279">
        <f>LA$905</f>
        <v>0</v>
      </c>
      <c r="LB1084" s="279">
        <f>LB$905</f>
        <v>0</v>
      </c>
    </row>
    <row r="1085" spans="1:314">
      <c r="A1085" s="279"/>
      <c r="B1085" s="96" t="s">
        <v>338</v>
      </c>
      <c r="D1085" s="415" t="str">
        <f>D$906</f>
        <v>excluding grants</v>
      </c>
      <c r="E1085" s="416">
        <f>E$906</f>
        <v>0</v>
      </c>
      <c r="F1085" s="416">
        <f t="shared" ref="F1085:L1085" si="2283">F$906</f>
        <v>0</v>
      </c>
      <c r="G1085" s="416">
        <f t="shared" si="2283"/>
        <v>0</v>
      </c>
      <c r="H1085" s="416">
        <f t="shared" si="2283"/>
        <v>0</v>
      </c>
      <c r="I1085" s="416">
        <f t="shared" si="2283"/>
        <v>0</v>
      </c>
      <c r="J1085" s="416">
        <f t="shared" si="2283"/>
        <v>0</v>
      </c>
      <c r="K1085" s="416">
        <f t="shared" si="2283"/>
        <v>0</v>
      </c>
      <c r="L1085" s="416">
        <f t="shared" si="2283"/>
        <v>0</v>
      </c>
      <c r="M1085" s="416">
        <f t="shared" ref="M1085:AW1085" si="2284">M$906</f>
        <v>0</v>
      </c>
      <c r="N1085" s="416">
        <f t="shared" si="2284"/>
        <v>0</v>
      </c>
      <c r="O1085" s="416">
        <f t="shared" si="2284"/>
        <v>0</v>
      </c>
      <c r="P1085" s="416">
        <f t="shared" si="2284"/>
        <v>0</v>
      </c>
      <c r="Q1085" s="416">
        <f t="shared" si="2284"/>
        <v>0</v>
      </c>
      <c r="R1085" s="416">
        <f t="shared" si="2284"/>
        <v>0</v>
      </c>
      <c r="S1085" s="416">
        <f t="shared" si="2284"/>
        <v>0</v>
      </c>
      <c r="T1085" s="416">
        <f t="shared" si="2284"/>
        <v>0</v>
      </c>
      <c r="U1085" s="416">
        <f t="shared" si="2284"/>
        <v>0</v>
      </c>
      <c r="V1085" s="416">
        <f t="shared" si="2284"/>
        <v>0</v>
      </c>
      <c r="W1085" s="416">
        <f t="shared" si="2284"/>
        <v>0</v>
      </c>
      <c r="X1085" s="416">
        <f t="shared" si="2284"/>
        <v>0</v>
      </c>
      <c r="Y1085" s="416">
        <f t="shared" si="2284"/>
        <v>0</v>
      </c>
      <c r="Z1085" s="416">
        <f t="shared" si="2284"/>
        <v>0</v>
      </c>
      <c r="AA1085" s="416">
        <f t="shared" si="2284"/>
        <v>0</v>
      </c>
      <c r="AB1085" s="416">
        <f t="shared" si="2284"/>
        <v>0</v>
      </c>
      <c r="AC1085" s="416">
        <f t="shared" si="2284"/>
        <v>0</v>
      </c>
      <c r="AD1085" s="416">
        <f t="shared" si="2284"/>
        <v>0</v>
      </c>
      <c r="AE1085" s="416">
        <f t="shared" si="2284"/>
        <v>0</v>
      </c>
      <c r="AF1085" s="416">
        <f t="shared" si="2284"/>
        <v>0</v>
      </c>
      <c r="AG1085" s="416">
        <f t="shared" si="2284"/>
        <v>0</v>
      </c>
      <c r="AH1085" s="416">
        <f t="shared" si="2284"/>
        <v>0</v>
      </c>
      <c r="AI1085" s="416">
        <f t="shared" si="2284"/>
        <v>0</v>
      </c>
      <c r="AJ1085" s="416">
        <f t="shared" si="2284"/>
        <v>0</v>
      </c>
      <c r="AK1085" s="416">
        <f t="shared" si="2284"/>
        <v>0</v>
      </c>
      <c r="AL1085" s="416">
        <f t="shared" si="2284"/>
        <v>0</v>
      </c>
      <c r="AM1085" s="416">
        <f t="shared" si="2284"/>
        <v>0</v>
      </c>
      <c r="AN1085" s="416">
        <f t="shared" si="2284"/>
        <v>0</v>
      </c>
      <c r="AO1085" s="416">
        <f t="shared" si="2284"/>
        <v>28.693012875293803</v>
      </c>
      <c r="AP1085" s="416">
        <f t="shared" si="2284"/>
        <v>27.304769607348977</v>
      </c>
      <c r="AQ1085" s="416">
        <f t="shared" si="2284"/>
        <v>44.067110645589501</v>
      </c>
      <c r="AR1085" s="416">
        <f t="shared" si="2284"/>
        <v>39.576460060137798</v>
      </c>
      <c r="AS1085" s="416">
        <f t="shared" si="2284"/>
        <v>27.959346852645833</v>
      </c>
      <c r="AT1085" s="416">
        <f t="shared" si="2284"/>
        <v>48.277457878428784</v>
      </c>
      <c r="AU1085" s="416">
        <f t="shared" si="2284"/>
        <v>30.463161786955489</v>
      </c>
      <c r="AV1085" s="416">
        <f t="shared" si="2284"/>
        <v>33.978168062871106</v>
      </c>
      <c r="AW1085" s="416">
        <f t="shared" si="2284"/>
        <v>39.684076431078985</v>
      </c>
      <c r="AX1085" s="416">
        <f t="shared" ref="AX1085:BP1085" si="2285">AX$906</f>
        <v>42.835952020411291</v>
      </c>
      <c r="AY1085" s="416">
        <f t="shared" si="2285"/>
        <v>35.734708171364105</v>
      </c>
      <c r="AZ1085" s="416">
        <f t="shared" si="2285"/>
        <v>54.345146744120107</v>
      </c>
      <c r="BA1085" s="416">
        <f t="shared" si="2285"/>
        <v>38.4483032298279</v>
      </c>
      <c r="BB1085" s="416">
        <f t="shared" si="2285"/>
        <v>31.616837264869396</v>
      </c>
      <c r="BC1085" s="416">
        <f t="shared" si="2285"/>
        <v>49.256745370470583</v>
      </c>
      <c r="BD1085" s="416">
        <f t="shared" si="2285"/>
        <v>49.84487737278441</v>
      </c>
      <c r="BE1085" s="416">
        <f t="shared" si="2285"/>
        <v>40.01270123663727</v>
      </c>
      <c r="BF1085" s="416">
        <f t="shared" si="2285"/>
        <v>57.065417011413764</v>
      </c>
      <c r="BG1085" s="416">
        <f t="shared" si="2285"/>
        <v>-11.913870979375517</v>
      </c>
      <c r="BH1085" s="416">
        <f t="shared" si="2285"/>
        <v>-32.836070557274631</v>
      </c>
      <c r="BI1085" s="416">
        <f t="shared" si="2285"/>
        <v>1.4148010329374756</v>
      </c>
      <c r="BJ1085" s="416">
        <f t="shared" si="2285"/>
        <v>-22.1459955388124</v>
      </c>
      <c r="BK1085" s="416">
        <f t="shared" si="2285"/>
        <v>-11.351931075129762</v>
      </c>
      <c r="BL1085" s="416">
        <f t="shared" si="2285"/>
        <v>25.509031633065995</v>
      </c>
      <c r="BM1085" s="416">
        <f t="shared" si="2285"/>
        <v>-26.744215678022925</v>
      </c>
      <c r="BN1085" s="416">
        <f t="shared" si="2285"/>
        <v>-6.0497139274372671</v>
      </c>
      <c r="BO1085" s="416">
        <f t="shared" si="2285"/>
        <v>21.918057641703342</v>
      </c>
      <c r="BP1085" s="416">
        <f t="shared" si="2285"/>
        <v>-39.983634329624451</v>
      </c>
      <c r="BQ1085" s="416">
        <f t="shared" ref="BQ1085:EB1085" si="2286">BQ$906</f>
        <v>-16.950531319821295</v>
      </c>
      <c r="BR1085" s="416">
        <f t="shared" si="2286"/>
        <v>40.08341116246001</v>
      </c>
      <c r="BS1085" s="416">
        <f t="shared" si="2286"/>
        <v>-12.255408713397017</v>
      </c>
      <c r="BT1085" s="416">
        <f t="shared" si="2286"/>
        <v>-3.1222339434841899</v>
      </c>
      <c r="BU1085" s="416">
        <f t="shared" si="2286"/>
        <v>18.407758789572</v>
      </c>
      <c r="BV1085" s="416">
        <f t="shared" si="2286"/>
        <v>-17.040283410087341</v>
      </c>
      <c r="BW1085" s="416">
        <f t="shared" si="2286"/>
        <v>-3.7677561356180718</v>
      </c>
      <c r="BX1085" s="416">
        <f t="shared" si="2286"/>
        <v>32.093110549651875</v>
      </c>
      <c r="BY1085" s="416">
        <f t="shared" si="2286"/>
        <v>-9.091133376518016</v>
      </c>
      <c r="BZ1085" s="416">
        <f t="shared" si="2286"/>
        <v>-10.914260582832128</v>
      </c>
      <c r="CA1085" s="416">
        <f t="shared" si="2286"/>
        <v>43.23020589170342</v>
      </c>
      <c r="CB1085" s="416">
        <f t="shared" si="2286"/>
        <v>-28.742051689443471</v>
      </c>
      <c r="CC1085" s="416">
        <f t="shared" si="2286"/>
        <v>-54.400942121980613</v>
      </c>
      <c r="CD1085" s="417">
        <f t="shared" si="2286"/>
        <v>-26.831638579120686</v>
      </c>
      <c r="CE1085" s="416">
        <f t="shared" si="2286"/>
        <v>-20.067945382510381</v>
      </c>
      <c r="CF1085" s="416">
        <f t="shared" si="2286"/>
        <v>-18.88869631887173</v>
      </c>
      <c r="CG1085" s="416">
        <f t="shared" si="2286"/>
        <v>12.261921958556918</v>
      </c>
      <c r="CH1085" s="416">
        <f t="shared" si="2286"/>
        <v>-30.722277819624907</v>
      </c>
      <c r="CI1085" s="416">
        <f t="shared" si="2286"/>
        <v>0.29826174286301921</v>
      </c>
      <c r="CJ1085" s="416">
        <f t="shared" si="2286"/>
        <v>27.557297285026337</v>
      </c>
      <c r="CK1085" s="416">
        <f t="shared" si="2286"/>
        <v>-32.382217631083464</v>
      </c>
      <c r="CL1085" s="416">
        <f t="shared" si="2286"/>
        <v>0.64309422348690504</v>
      </c>
      <c r="CM1085" s="416">
        <f t="shared" si="2286"/>
        <v>28.889716291359122</v>
      </c>
      <c r="CN1085" s="416">
        <f t="shared" si="2286"/>
        <v>-54.961939398732596</v>
      </c>
      <c r="CO1085" s="416">
        <f t="shared" si="2286"/>
        <v>-17.003702104861873</v>
      </c>
      <c r="CP1085" s="418">
        <f t="shared" si="2286"/>
        <v>65.784981609802415</v>
      </c>
      <c r="CQ1085" s="416">
        <f t="shared" si="2286"/>
        <v>-36.707047735804117</v>
      </c>
      <c r="CR1085" s="416">
        <f t="shared" si="2286"/>
        <v>-11.165541964961648</v>
      </c>
      <c r="CS1085" s="416">
        <f t="shared" si="2286"/>
        <v>6.1257109237150047</v>
      </c>
      <c r="CT1085" s="416">
        <f t="shared" si="2286"/>
        <v>-17.129557879184759</v>
      </c>
      <c r="CU1085" s="416">
        <f t="shared" si="2286"/>
        <v>-14.693617621238097</v>
      </c>
      <c r="CV1085" s="416">
        <f t="shared" si="2286"/>
        <v>26.505878687120074</v>
      </c>
      <c r="CW1085" s="416">
        <f t="shared" si="2286"/>
        <v>-13.246522460817289</v>
      </c>
      <c r="CX1085" s="416">
        <f t="shared" si="2286"/>
        <v>5.7052730917447647</v>
      </c>
      <c r="CY1085" s="416">
        <f t="shared" si="2286"/>
        <v>33.991581910511144</v>
      </c>
      <c r="CZ1085" s="416">
        <f t="shared" si="2286"/>
        <v>-45.199777814566488</v>
      </c>
      <c r="DA1085" s="416">
        <f t="shared" si="2286"/>
        <v>-3.1779253840338555</v>
      </c>
      <c r="DB1085" s="1311">
        <f t="shared" si="2286"/>
        <v>84.566617036425981</v>
      </c>
      <c r="DC1085" s="416">
        <f t="shared" si="2286"/>
        <v>-44.93887290087801</v>
      </c>
      <c r="DD1085" s="416">
        <f t="shared" si="2286"/>
        <v>-18.080131733064434</v>
      </c>
      <c r="DE1085" s="416">
        <f t="shared" si="2286"/>
        <v>25.099969320357758</v>
      </c>
      <c r="DF1085" s="416">
        <f t="shared" si="2286"/>
        <v>-48.507797923097186</v>
      </c>
      <c r="DG1085" s="416">
        <f t="shared" si="2286"/>
        <v>-10.009980318450857</v>
      </c>
      <c r="DH1085" s="416">
        <f t="shared" si="2286"/>
        <v>46.620823869800134</v>
      </c>
      <c r="DI1085" s="416">
        <f t="shared" si="2286"/>
        <v>-43.001152597448495</v>
      </c>
      <c r="DJ1085" s="416">
        <f t="shared" si="2286"/>
        <v>-0.61271481202173561</v>
      </c>
      <c r="DK1085" s="416">
        <f t="shared" si="2286"/>
        <v>62.409402448155618</v>
      </c>
      <c r="DL1085" s="416">
        <f t="shared" si="2286"/>
        <v>-41.248484555590181</v>
      </c>
      <c r="DM1085" s="416">
        <f t="shared" si="2286"/>
        <v>9.2064298459356166</v>
      </c>
      <c r="DN1085" s="418">
        <f t="shared" si="2286"/>
        <v>84.069464755980292</v>
      </c>
      <c r="DO1085" s="416">
        <f t="shared" si="2286"/>
        <v>-72.368537998517922</v>
      </c>
      <c r="DP1085" s="416">
        <f t="shared" si="2286"/>
        <v>-27.869113317381434</v>
      </c>
      <c r="DQ1085" s="416">
        <f t="shared" si="2286"/>
        <v>52.762906744058014</v>
      </c>
      <c r="DR1085" s="416">
        <f t="shared" si="2286"/>
        <v>-73.697229076977052</v>
      </c>
      <c r="DS1085" s="416">
        <f t="shared" si="2286"/>
        <v>-23.894365887558052</v>
      </c>
      <c r="DT1085" s="416">
        <f t="shared" si="2286"/>
        <v>29.634811271257306</v>
      </c>
      <c r="DU1085" s="416">
        <f t="shared" si="2286"/>
        <v>-42.659022202139852</v>
      </c>
      <c r="DV1085" s="416">
        <f t="shared" si="2286"/>
        <v>-21.660953625011942</v>
      </c>
      <c r="DW1085" s="416">
        <f t="shared" si="2286"/>
        <v>84.843198810613558</v>
      </c>
      <c r="DX1085" s="416">
        <f t="shared" si="2286"/>
        <v>-70.856090225826691</v>
      </c>
      <c r="DY1085" s="416">
        <f t="shared" si="2286"/>
        <v>-9.0449923886425125</v>
      </c>
      <c r="DZ1085" s="418">
        <f t="shared" si="2286"/>
        <v>116.9204178195001</v>
      </c>
      <c r="EA1085" s="416">
        <f t="shared" si="2286"/>
        <v>-62.90139037029374</v>
      </c>
      <c r="EB1085" s="416">
        <f t="shared" si="2286"/>
        <v>-41.587702094504507</v>
      </c>
      <c r="EC1085" s="416">
        <f t="shared" ref="EC1085:GH1085" si="2287">EC$906</f>
        <v>-11.469039186463533</v>
      </c>
      <c r="ED1085" s="416">
        <f t="shared" si="2287"/>
        <v>-22.1782071950133</v>
      </c>
      <c r="EE1085" s="416">
        <f t="shared" si="2287"/>
        <v>-5.9505795935326802</v>
      </c>
      <c r="EF1085" s="416">
        <f t="shared" si="2287"/>
        <v>74.462948909355333</v>
      </c>
      <c r="EG1085" s="416">
        <f t="shared" si="2287"/>
        <v>-48.970854184552749</v>
      </c>
      <c r="EH1085" s="416">
        <f t="shared" si="2287"/>
        <v>-5.4962542005256552</v>
      </c>
      <c r="EI1085" s="416">
        <f t="shared" si="2287"/>
        <v>26.360657946960174</v>
      </c>
      <c r="EJ1085" s="416">
        <f t="shared" si="2287"/>
        <v>17.49198937408994</v>
      </c>
      <c r="EK1085" s="416">
        <f t="shared" si="2287"/>
        <v>-15.240928901279929</v>
      </c>
      <c r="EL1085" s="418">
        <f t="shared" si="2287"/>
        <v>81.1991392245844</v>
      </c>
      <c r="EM1085" s="416">
        <f t="shared" si="2287"/>
        <v>-13.553185781156969</v>
      </c>
      <c r="EN1085" s="416">
        <f t="shared" si="2287"/>
        <v>18.239506423512637</v>
      </c>
      <c r="EO1085" s="416">
        <f t="shared" si="2287"/>
        <v>60.017470745407294</v>
      </c>
      <c r="EP1085" s="416">
        <f t="shared" si="2287"/>
        <v>-37.393135840025423</v>
      </c>
      <c r="EQ1085" s="416">
        <f t="shared" si="2287"/>
        <v>-37.153857236972215</v>
      </c>
      <c r="ER1085" s="416">
        <f t="shared" si="2287"/>
        <v>66.702691372781658</v>
      </c>
      <c r="ES1085" s="416">
        <f t="shared" si="2287"/>
        <v>-7.732637591135159</v>
      </c>
      <c r="ET1085" s="416">
        <f t="shared" si="2287"/>
        <v>-5.1061059641752138</v>
      </c>
      <c r="EU1085" s="416">
        <f t="shared" si="2287"/>
        <v>33.692686642751141</v>
      </c>
      <c r="EV1085" s="416">
        <f t="shared" si="2287"/>
        <v>-131.86968026074979</v>
      </c>
      <c r="EW1085" s="416">
        <f t="shared" si="2287"/>
        <v>-48.219788550762345</v>
      </c>
      <c r="EX1085" s="418">
        <f t="shared" si="2287"/>
        <v>105.78975703144326</v>
      </c>
      <c r="EY1085" s="416">
        <f t="shared" si="2287"/>
        <v>-20.710194039216873</v>
      </c>
      <c r="EZ1085" s="416">
        <f t="shared" si="2287"/>
        <v>-15.026475740030804</v>
      </c>
      <c r="FA1085" s="416">
        <f t="shared" si="2287"/>
        <v>30.664819113190248</v>
      </c>
      <c r="FB1085" s="416">
        <f t="shared" si="2287"/>
        <v>-2.6366948106705479</v>
      </c>
      <c r="FC1085" s="416">
        <f t="shared" si="2287"/>
        <v>-48.992825262677201</v>
      </c>
      <c r="FD1085" s="416">
        <f t="shared" si="2287"/>
        <v>53.508803378159513</v>
      </c>
      <c r="FE1085" s="416">
        <f t="shared" si="2287"/>
        <v>2.0049574127363883</v>
      </c>
      <c r="FF1085" s="416">
        <f t="shared" si="2287"/>
        <v>-40.341801926300903</v>
      </c>
      <c r="FG1085" s="416">
        <f t="shared" si="2287"/>
        <v>-32.823671018652192</v>
      </c>
      <c r="FH1085" s="416">
        <f t="shared" si="2287"/>
        <v>-17.400525844110291</v>
      </c>
      <c r="FI1085" s="416">
        <f t="shared" si="2287"/>
        <v>-122.30802999792837</v>
      </c>
      <c r="FJ1085" s="418">
        <f t="shared" si="2287"/>
        <v>68.333347735866397</v>
      </c>
      <c r="FK1085" s="416">
        <f t="shared" si="2287"/>
        <v>-111.14783482948894</v>
      </c>
      <c r="FL1085" s="416">
        <f t="shared" si="2287"/>
        <v>-40.309792192377941</v>
      </c>
      <c r="FM1085" s="416">
        <f t="shared" si="2287"/>
        <v>74.186432707263322</v>
      </c>
      <c r="FN1085" s="416">
        <f t="shared" si="2287"/>
        <v>4.2494816979894949</v>
      </c>
      <c r="FO1085" s="416">
        <f t="shared" si="2287"/>
        <v>-67.968595817484072</v>
      </c>
      <c r="FP1085" s="416">
        <f t="shared" si="2287"/>
        <v>68.378500016367241</v>
      </c>
      <c r="FQ1085" s="416">
        <f t="shared" si="2287"/>
        <v>8.6392979268086947</v>
      </c>
      <c r="FR1085" s="416">
        <f t="shared" si="2287"/>
        <v>-29.989801025220657</v>
      </c>
      <c r="FS1085" s="416">
        <f t="shared" si="2287"/>
        <v>3.6957327310874177</v>
      </c>
      <c r="FT1085" s="416">
        <f t="shared" si="2287"/>
        <v>38.666845201054997</v>
      </c>
      <c r="FU1085" s="416">
        <f t="shared" si="2287"/>
        <v>-150.54937673510233</v>
      </c>
      <c r="FV1085" s="418">
        <f t="shared" si="2287"/>
        <v>119.89470162680323</v>
      </c>
      <c r="FW1085" s="416">
        <f t="shared" si="2287"/>
        <v>-33.294597477812985</v>
      </c>
      <c r="FX1085" s="416">
        <f t="shared" si="2287"/>
        <v>-50.888003716962857</v>
      </c>
      <c r="FY1085" s="416">
        <f t="shared" si="2287"/>
        <v>-54.9544817455388</v>
      </c>
      <c r="FZ1085" s="416">
        <f t="shared" si="2287"/>
        <v>-20.945060685974767</v>
      </c>
      <c r="GA1085" s="416">
        <f t="shared" si="2287"/>
        <v>14.726836360809642</v>
      </c>
      <c r="GB1085" s="416">
        <f t="shared" si="2287"/>
        <v>52.122407600459297</v>
      </c>
      <c r="GC1085" s="416">
        <f t="shared" si="2287"/>
        <v>-36.235621071168794</v>
      </c>
      <c r="GD1085" s="416">
        <f t="shared" si="2287"/>
        <v>-70.005288866356182</v>
      </c>
      <c r="GE1085" s="416">
        <f t="shared" si="2287"/>
        <v>46.677619491772077</v>
      </c>
      <c r="GF1085" s="416">
        <f t="shared" si="2287"/>
        <v>-58.952305130678525</v>
      </c>
      <c r="GG1085" s="416">
        <f t="shared" si="2287"/>
        <v>-106.63980503029541</v>
      </c>
      <c r="GH1085" s="416">
        <f t="shared" si="2287"/>
        <v>117.41666012728163</v>
      </c>
      <c r="IA1085" s="415" t="s">
        <v>560</v>
      </c>
      <c r="IB1085" s="415"/>
      <c r="IC1085" s="415"/>
      <c r="ID1085" s="279">
        <f>ID$906</f>
        <v>-38.591505544590241</v>
      </c>
      <c r="IE1085" s="279">
        <f>IE$906</f>
        <v>-47.064175590353543</v>
      </c>
      <c r="IF1085" s="279">
        <f>IF$906</f>
        <v>62.639246379264257</v>
      </c>
      <c r="IG1085" s="434">
        <f>IG$906</f>
        <v>15.575070788910715</v>
      </c>
      <c r="IH1085" s="284"/>
      <c r="IJ1085" s="434">
        <f>IJ$906</f>
        <v>21.006955399678517</v>
      </c>
      <c r="IM1085" s="434">
        <f>IM$906</f>
        <v>-57.888970076626492</v>
      </c>
      <c r="IP1085" s="434">
        <f>IP$906</f>
        <v>-14.280220271176219</v>
      </c>
      <c r="IQ1085" s="434"/>
      <c r="IR1085" s="434"/>
      <c r="IS1085" s="434">
        <f>IS$906</f>
        <v>3.4137209909188897</v>
      </c>
      <c r="IT1085" s="434"/>
      <c r="IU1085" s="434"/>
      <c r="IV1085" s="434">
        <f>IV$906</f>
        <v>-145.72829099963465</v>
      </c>
      <c r="IW1085" s="434"/>
      <c r="IX1085" s="434"/>
      <c r="IY1085" s="434">
        <f>IY$906</f>
        <v>-82.254408692299535</v>
      </c>
      <c r="IZ1085" s="434"/>
      <c r="JA1085" s="434">
        <f>JA$906</f>
        <v>-107.7387404794452</v>
      </c>
      <c r="JB1085" s="434">
        <f>JB$906</f>
        <v>-200.97164014446568</v>
      </c>
      <c r="JC1085" s="434">
        <f>JC$906</f>
        <v>-103.6107696094646</v>
      </c>
      <c r="JD1085" s="434">
        <f>JD$906</f>
        <v>-64.823925733250775</v>
      </c>
      <c r="JE1085" s="434"/>
      <c r="JF1085" s="434"/>
      <c r="JG1085" s="434"/>
      <c r="JH1085" s="434"/>
      <c r="JI1085" s="434"/>
      <c r="JJ1085" s="434"/>
      <c r="JK1085" s="434"/>
      <c r="KY1085" s="279">
        <f>KY$906</f>
        <v>0</v>
      </c>
      <c r="KZ1085" s="279">
        <f>KZ$906</f>
        <v>0</v>
      </c>
      <c r="LA1085" s="279">
        <f>LA$906</f>
        <v>0</v>
      </c>
      <c r="LB1085" s="279">
        <f>LB$906</f>
        <v>0</v>
      </c>
    </row>
    <row r="1086" spans="1:314">
      <c r="A1086" s="279"/>
      <c r="B1086" s="96" t="s">
        <v>338</v>
      </c>
      <c r="D1086" s="419" t="str">
        <f>D$907</f>
        <v xml:space="preserve">Net Investment in nonfinancial assets </v>
      </c>
      <c r="E1086" s="420">
        <f>E$907</f>
        <v>0</v>
      </c>
      <c r="F1086" s="420">
        <f t="shared" ref="F1086:L1086" si="2288">F$907</f>
        <v>0</v>
      </c>
      <c r="G1086" s="420">
        <f t="shared" si="2288"/>
        <v>0</v>
      </c>
      <c r="H1086" s="420">
        <f t="shared" si="2288"/>
        <v>0</v>
      </c>
      <c r="I1086" s="420">
        <f t="shared" si="2288"/>
        <v>0</v>
      </c>
      <c r="J1086" s="420">
        <f t="shared" si="2288"/>
        <v>0</v>
      </c>
      <c r="K1086" s="420">
        <f t="shared" si="2288"/>
        <v>0</v>
      </c>
      <c r="L1086" s="420">
        <f t="shared" si="2288"/>
        <v>0</v>
      </c>
      <c r="M1086" s="420">
        <f t="shared" ref="M1086:AW1086" si="2289">M$907</f>
        <v>0</v>
      </c>
      <c r="N1086" s="420">
        <f t="shared" si="2289"/>
        <v>0</v>
      </c>
      <c r="O1086" s="420">
        <f t="shared" si="2289"/>
        <v>0</v>
      </c>
      <c r="P1086" s="420">
        <f t="shared" si="2289"/>
        <v>0</v>
      </c>
      <c r="Q1086" s="420">
        <f t="shared" si="2289"/>
        <v>0</v>
      </c>
      <c r="R1086" s="420">
        <f t="shared" si="2289"/>
        <v>0</v>
      </c>
      <c r="S1086" s="420">
        <f t="shared" si="2289"/>
        <v>0</v>
      </c>
      <c r="T1086" s="420">
        <f t="shared" si="2289"/>
        <v>0</v>
      </c>
      <c r="U1086" s="420">
        <f t="shared" si="2289"/>
        <v>0</v>
      </c>
      <c r="V1086" s="420">
        <f t="shared" si="2289"/>
        <v>0</v>
      </c>
      <c r="W1086" s="420">
        <f t="shared" si="2289"/>
        <v>0</v>
      </c>
      <c r="X1086" s="420">
        <f t="shared" si="2289"/>
        <v>0</v>
      </c>
      <c r="Y1086" s="420">
        <f t="shared" si="2289"/>
        <v>0</v>
      </c>
      <c r="Z1086" s="420">
        <f t="shared" si="2289"/>
        <v>0</v>
      </c>
      <c r="AA1086" s="420">
        <f t="shared" si="2289"/>
        <v>0</v>
      </c>
      <c r="AB1086" s="420">
        <f t="shared" si="2289"/>
        <v>0</v>
      </c>
      <c r="AC1086" s="420">
        <f t="shared" si="2289"/>
        <v>0</v>
      </c>
      <c r="AD1086" s="420">
        <f t="shared" si="2289"/>
        <v>0</v>
      </c>
      <c r="AE1086" s="420">
        <f t="shared" si="2289"/>
        <v>0</v>
      </c>
      <c r="AF1086" s="420">
        <f t="shared" si="2289"/>
        <v>0</v>
      </c>
      <c r="AG1086" s="420">
        <f t="shared" si="2289"/>
        <v>0</v>
      </c>
      <c r="AH1086" s="420">
        <f t="shared" si="2289"/>
        <v>0</v>
      </c>
      <c r="AI1086" s="420">
        <f t="shared" si="2289"/>
        <v>0</v>
      </c>
      <c r="AJ1086" s="420">
        <f t="shared" si="2289"/>
        <v>0</v>
      </c>
      <c r="AK1086" s="420">
        <f t="shared" si="2289"/>
        <v>0</v>
      </c>
      <c r="AL1086" s="420">
        <f t="shared" si="2289"/>
        <v>0</v>
      </c>
      <c r="AM1086" s="420">
        <f t="shared" si="2289"/>
        <v>0</v>
      </c>
      <c r="AN1086" s="420">
        <f t="shared" si="2289"/>
        <v>0</v>
      </c>
      <c r="AO1086" s="420">
        <f t="shared" si="2289"/>
        <v>0.94199739660030579</v>
      </c>
      <c r="AP1086" s="420">
        <f t="shared" si="2289"/>
        <v>1.6821985179804768</v>
      </c>
      <c r="AQ1086" s="420">
        <f t="shared" si="2289"/>
        <v>2.7108413189699068</v>
      </c>
      <c r="AR1086" s="420">
        <f t="shared" si="2289"/>
        <v>4.522410138428933</v>
      </c>
      <c r="AS1086" s="420">
        <f t="shared" si="2289"/>
        <v>1.7219130250731998</v>
      </c>
      <c r="AT1086" s="420">
        <f t="shared" si="2289"/>
        <v>3.0417432979332482</v>
      </c>
      <c r="AU1086" s="420">
        <f t="shared" si="2289"/>
        <v>8.8962667584006923</v>
      </c>
      <c r="AV1086" s="420">
        <f t="shared" si="2289"/>
        <v>4.1520251670774488</v>
      </c>
      <c r="AW1086" s="420">
        <f t="shared" si="2289"/>
        <v>1.8957136163656356</v>
      </c>
      <c r="AX1086" s="420">
        <f t="shared" ref="AX1086:BP1086" si="2290">AX$907</f>
        <v>12.136937090588619</v>
      </c>
      <c r="AY1086" s="420">
        <f t="shared" si="2290"/>
        <v>12.597302379335828</v>
      </c>
      <c r="AZ1086" s="420">
        <f t="shared" si="2290"/>
        <v>88.388915926385266</v>
      </c>
      <c r="BA1086" s="420">
        <f t="shared" si="2290"/>
        <v>14.15873020075451</v>
      </c>
      <c r="BB1086" s="420">
        <f t="shared" si="2290"/>
        <v>9.0050438669616906</v>
      </c>
      <c r="BC1086" s="420">
        <f t="shared" si="2290"/>
        <v>18.544687929647523</v>
      </c>
      <c r="BD1086" s="420">
        <f t="shared" si="2290"/>
        <v>10.23558195967026</v>
      </c>
      <c r="BE1086" s="420">
        <f t="shared" si="2290"/>
        <v>14.574067021856646</v>
      </c>
      <c r="BF1086" s="420">
        <f t="shared" si="2290"/>
        <v>17.671187370678794</v>
      </c>
      <c r="BG1086" s="420">
        <f t="shared" si="2290"/>
        <v>17.263720190043145</v>
      </c>
      <c r="BH1086" s="420">
        <f t="shared" si="2290"/>
        <v>22.180577427796436</v>
      </c>
      <c r="BI1086" s="420">
        <f t="shared" si="2290"/>
        <v>32.366076275329213</v>
      </c>
      <c r="BJ1086" s="420">
        <f t="shared" si="2290"/>
        <v>90.678606212030303</v>
      </c>
      <c r="BK1086" s="420">
        <f t="shared" si="2290"/>
        <v>36.020950438164917</v>
      </c>
      <c r="BL1086" s="420">
        <f t="shared" si="2290"/>
        <v>27.703657479106681</v>
      </c>
      <c r="BM1086" s="420">
        <f t="shared" si="2290"/>
        <v>24.228039812827614</v>
      </c>
      <c r="BN1086" s="420">
        <f t="shared" si="2290"/>
        <v>24.500794584274139</v>
      </c>
      <c r="BO1086" s="420">
        <f t="shared" si="2290"/>
        <v>19.748346084435234</v>
      </c>
      <c r="BP1086" s="420">
        <f t="shared" si="2290"/>
        <v>35.257393050187574</v>
      </c>
      <c r="BQ1086" s="420">
        <f t="shared" ref="BQ1086:EB1086" si="2291">BQ$907</f>
        <v>51.90079274386926</v>
      </c>
      <c r="BR1086" s="420">
        <f t="shared" si="2291"/>
        <v>56.934454127533598</v>
      </c>
      <c r="BS1086" s="420">
        <f t="shared" si="2291"/>
        <v>22.478994546108147</v>
      </c>
      <c r="BT1086" s="420">
        <f t="shared" si="2291"/>
        <v>38.043308875934351</v>
      </c>
      <c r="BU1086" s="420">
        <f t="shared" si="2291"/>
        <v>22.705070428034773</v>
      </c>
      <c r="BV1086" s="420">
        <f t="shared" si="2291"/>
        <v>48.265851147412931</v>
      </c>
      <c r="BW1086" s="420">
        <f t="shared" si="2291"/>
        <v>67.114257715617924</v>
      </c>
      <c r="BX1086" s="420">
        <f t="shared" si="2291"/>
        <v>37.499140147260384</v>
      </c>
      <c r="BY1086" s="420">
        <f t="shared" si="2291"/>
        <v>21.20192761686074</v>
      </c>
      <c r="BZ1086" s="420">
        <f t="shared" si="2291"/>
        <v>26.276865074581579</v>
      </c>
      <c r="CA1086" s="420">
        <f t="shared" si="2291"/>
        <v>29.259931858434339</v>
      </c>
      <c r="CB1086" s="420">
        <f t="shared" si="2291"/>
        <v>57.64868509383524</v>
      </c>
      <c r="CC1086" s="420">
        <f t="shared" si="2291"/>
        <v>70.374742669365276</v>
      </c>
      <c r="CD1086" s="421">
        <f t="shared" si="2291"/>
        <v>50.786117520170833</v>
      </c>
      <c r="CE1086" s="420">
        <f t="shared" si="2291"/>
        <v>37.988402959771697</v>
      </c>
      <c r="CF1086" s="420">
        <f t="shared" si="2291"/>
        <v>25.220409839733811</v>
      </c>
      <c r="CG1086" s="420">
        <f t="shared" si="2291"/>
        <v>52.684286896294495</v>
      </c>
      <c r="CH1086" s="420">
        <f t="shared" si="2291"/>
        <v>70.628913120949605</v>
      </c>
      <c r="CI1086" s="420">
        <f t="shared" si="2291"/>
        <v>54.291197960135449</v>
      </c>
      <c r="CJ1086" s="420">
        <f t="shared" si="2291"/>
        <v>41.119030590000946</v>
      </c>
      <c r="CK1086" s="420">
        <f t="shared" si="2291"/>
        <v>55.460422057968302</v>
      </c>
      <c r="CL1086" s="420">
        <f t="shared" si="2291"/>
        <v>35.436422143434697</v>
      </c>
      <c r="CM1086" s="420">
        <f t="shared" si="2291"/>
        <v>42.064420844918999</v>
      </c>
      <c r="CN1086" s="420">
        <f t="shared" si="2291"/>
        <v>86.950632093925208</v>
      </c>
      <c r="CO1086" s="420">
        <f t="shared" si="2291"/>
        <v>75.540018884884176</v>
      </c>
      <c r="CP1086" s="423">
        <f t="shared" si="2291"/>
        <v>65.990125718661602</v>
      </c>
      <c r="CQ1086" s="422">
        <f t="shared" si="2291"/>
        <v>34.40228101250365</v>
      </c>
      <c r="CR1086" s="422">
        <f t="shared" si="2291"/>
        <v>42.883278748654021</v>
      </c>
      <c r="CS1086" s="422">
        <f t="shared" si="2291"/>
        <v>49.51160525412989</v>
      </c>
      <c r="CT1086" s="422">
        <f t="shared" si="2291"/>
        <v>46.421699296442767</v>
      </c>
      <c r="CU1086" s="422">
        <f t="shared" si="2291"/>
        <v>53.739223337663347</v>
      </c>
      <c r="CV1086" s="422">
        <f t="shared" si="2291"/>
        <v>51.679716109066604</v>
      </c>
      <c r="CW1086" s="422">
        <f t="shared" si="2291"/>
        <v>55.038740427920125</v>
      </c>
      <c r="CX1086" s="422">
        <f t="shared" si="2291"/>
        <v>45.841412379944181</v>
      </c>
      <c r="CY1086" s="422">
        <f t="shared" si="2291"/>
        <v>57.908603124423678</v>
      </c>
      <c r="CZ1086" s="422">
        <f t="shared" si="2291"/>
        <v>64.0564101613286</v>
      </c>
      <c r="DA1086" s="422">
        <f t="shared" si="2291"/>
        <v>67.95081361957044</v>
      </c>
      <c r="DB1086" s="1310">
        <f t="shared" si="2291"/>
        <v>66.680155561791111</v>
      </c>
      <c r="DC1086" s="420">
        <f t="shared" si="2291"/>
        <v>21.57346960858743</v>
      </c>
      <c r="DD1086" s="420">
        <f t="shared" si="2291"/>
        <v>39.15421071883226</v>
      </c>
      <c r="DE1086" s="420">
        <f t="shared" si="2291"/>
        <v>63.197945614300309</v>
      </c>
      <c r="DF1086" s="420">
        <f t="shared" si="2291"/>
        <v>55.439473761223262</v>
      </c>
      <c r="DG1086" s="420">
        <f t="shared" si="2291"/>
        <v>30.221960439713769</v>
      </c>
      <c r="DH1086" s="420">
        <f t="shared" si="2291"/>
        <v>62.307650503392217</v>
      </c>
      <c r="DI1086" s="420">
        <f t="shared" si="2291"/>
        <v>63.041178112724566</v>
      </c>
      <c r="DJ1086" s="420">
        <f t="shared" si="2291"/>
        <v>42.419698521250979</v>
      </c>
      <c r="DK1086" s="420">
        <f t="shared" si="2291"/>
        <v>51.958763865475454</v>
      </c>
      <c r="DL1086" s="420">
        <f t="shared" si="2291"/>
        <v>64.843746364660888</v>
      </c>
      <c r="DM1086" s="420">
        <f t="shared" si="2291"/>
        <v>85.380655616553412</v>
      </c>
      <c r="DN1086" s="423">
        <f t="shared" si="2291"/>
        <v>37.898425423740704</v>
      </c>
      <c r="DO1086" s="420">
        <f t="shared" si="2291"/>
        <v>28.847081130336186</v>
      </c>
      <c r="DP1086" s="420">
        <f t="shared" si="2291"/>
        <v>41.982476238827928</v>
      </c>
      <c r="DQ1086" s="420">
        <f t="shared" si="2291"/>
        <v>49.595832033068888</v>
      </c>
      <c r="DR1086" s="420">
        <f t="shared" si="2291"/>
        <v>34.290945020766912</v>
      </c>
      <c r="DS1086" s="420">
        <f t="shared" si="2291"/>
        <v>53.910384987328158</v>
      </c>
      <c r="DT1086" s="420">
        <f t="shared" si="2291"/>
        <v>54.464161008450937</v>
      </c>
      <c r="DU1086" s="420">
        <f t="shared" si="2291"/>
        <v>62.43160382719384</v>
      </c>
      <c r="DV1086" s="420">
        <f t="shared" si="2291"/>
        <v>39.119038036654175</v>
      </c>
      <c r="DW1086" s="420">
        <f t="shared" si="2291"/>
        <v>48.255834464735983</v>
      </c>
      <c r="DX1086" s="420">
        <f t="shared" si="2291"/>
        <v>61.847538793963608</v>
      </c>
      <c r="DY1086" s="420">
        <f t="shared" si="2291"/>
        <v>68.178430905098168</v>
      </c>
      <c r="DZ1086" s="423">
        <f t="shared" si="2291"/>
        <v>63.942362148404229</v>
      </c>
      <c r="EA1086" s="420">
        <f t="shared" si="2291"/>
        <v>28.786624880514758</v>
      </c>
      <c r="EB1086" s="420">
        <f t="shared" si="2291"/>
        <v>55.690945095194735</v>
      </c>
      <c r="EC1086" s="420">
        <f t="shared" ref="EC1086:GH1086" si="2292">EC$907</f>
        <v>51.394767048248497</v>
      </c>
      <c r="ED1086" s="420">
        <f t="shared" si="2292"/>
        <v>51.249061761118917</v>
      </c>
      <c r="EE1086" s="420">
        <f t="shared" si="2292"/>
        <v>49.109509324996317</v>
      </c>
      <c r="EF1086" s="420">
        <f t="shared" si="2292"/>
        <v>48.122426311116762</v>
      </c>
      <c r="EG1086" s="420">
        <f t="shared" si="2292"/>
        <v>82.967037175615559</v>
      </c>
      <c r="EH1086" s="420">
        <f t="shared" si="2292"/>
        <v>38.229524450007531</v>
      </c>
      <c r="EI1086" s="420">
        <f t="shared" si="2292"/>
        <v>66.555127287957902</v>
      </c>
      <c r="EJ1086" s="420">
        <f t="shared" si="2292"/>
        <v>45.485128549920972</v>
      </c>
      <c r="EK1086" s="420">
        <f t="shared" si="2292"/>
        <v>85.263161202357011</v>
      </c>
      <c r="EL1086" s="423">
        <f t="shared" si="2292"/>
        <v>77.915357075111018</v>
      </c>
      <c r="EM1086" s="420">
        <f t="shared" si="2292"/>
        <v>51.614901485094855</v>
      </c>
      <c r="EN1086" s="420">
        <f t="shared" si="2292"/>
        <v>43.830041447356145</v>
      </c>
      <c r="EO1086" s="420">
        <f t="shared" si="2292"/>
        <v>74.469983333214998</v>
      </c>
      <c r="EP1086" s="420">
        <f t="shared" si="2292"/>
        <v>66.438695400066649</v>
      </c>
      <c r="EQ1086" s="420">
        <f t="shared" si="2292"/>
        <v>48.281106191485001</v>
      </c>
      <c r="ER1086" s="420">
        <f t="shared" si="2292"/>
        <v>96.638936359631998</v>
      </c>
      <c r="ES1086" s="420">
        <f t="shared" si="2292"/>
        <v>78.338560893719574</v>
      </c>
      <c r="ET1086" s="420">
        <f t="shared" si="2292"/>
        <v>76.315914970890162</v>
      </c>
      <c r="EU1086" s="420">
        <f t="shared" si="2292"/>
        <v>79.790247340832906</v>
      </c>
      <c r="EV1086" s="420">
        <f t="shared" si="2292"/>
        <v>86.772331061566632</v>
      </c>
      <c r="EW1086" s="420">
        <f t="shared" si="2292"/>
        <v>107.16435010407727</v>
      </c>
      <c r="EX1086" s="423">
        <f t="shared" si="2292"/>
        <v>105.02289732984551</v>
      </c>
      <c r="EY1086" s="420">
        <f t="shared" si="2292"/>
        <v>70.748007073833179</v>
      </c>
      <c r="EZ1086" s="420">
        <f t="shared" si="2292"/>
        <v>86.413824742311178</v>
      </c>
      <c r="FA1086" s="420">
        <f t="shared" si="2292"/>
        <v>90.847694377210502</v>
      </c>
      <c r="FB1086" s="420">
        <f t="shared" si="2292"/>
        <v>77.065584289298229</v>
      </c>
      <c r="FC1086" s="420">
        <f t="shared" si="2292"/>
        <v>85.662440113470595</v>
      </c>
      <c r="FD1086" s="420">
        <f t="shared" si="2292"/>
        <v>97.286303987423508</v>
      </c>
      <c r="FE1086" s="420">
        <f t="shared" si="2292"/>
        <v>77.102056569678282</v>
      </c>
      <c r="FF1086" s="420">
        <f t="shared" si="2292"/>
        <v>86.003314120086642</v>
      </c>
      <c r="FG1086" s="420">
        <f t="shared" si="2292"/>
        <v>75.966626252998893</v>
      </c>
      <c r="FH1086" s="420">
        <f t="shared" si="2292"/>
        <v>84.38913137647242</v>
      </c>
      <c r="FI1086" s="420">
        <f t="shared" si="2292"/>
        <v>117.2655610008845</v>
      </c>
      <c r="FJ1086" s="423">
        <f t="shared" si="2292"/>
        <v>84.347380595698155</v>
      </c>
      <c r="FK1086" s="420">
        <f t="shared" si="2292"/>
        <v>171.83657830651731</v>
      </c>
      <c r="FL1086" s="420">
        <f t="shared" si="2292"/>
        <v>96.686887676163622</v>
      </c>
      <c r="FM1086" s="420">
        <f t="shared" si="2292"/>
        <v>80.8996559596049</v>
      </c>
      <c r="FN1086" s="420">
        <f t="shared" si="2292"/>
        <v>75.518510505059197</v>
      </c>
      <c r="FO1086" s="420">
        <f t="shared" si="2292"/>
        <v>88.330848225684079</v>
      </c>
      <c r="FP1086" s="420">
        <f t="shared" si="2292"/>
        <v>137.94791612681655</v>
      </c>
      <c r="FQ1086" s="420">
        <f t="shared" si="2292"/>
        <v>122.24075020475169</v>
      </c>
      <c r="FR1086" s="420">
        <f t="shared" si="2292"/>
        <v>88.834328388940691</v>
      </c>
      <c r="FS1086" s="420">
        <f t="shared" si="2292"/>
        <v>102.06992275938669</v>
      </c>
      <c r="FT1086" s="420">
        <f t="shared" si="2292"/>
        <v>98.011199247466422</v>
      </c>
      <c r="FU1086" s="420">
        <f t="shared" si="2292"/>
        <v>109.56281016829439</v>
      </c>
      <c r="FV1086" s="423">
        <f t="shared" si="2292"/>
        <v>82.916948134623425</v>
      </c>
      <c r="FW1086" s="420">
        <f t="shared" si="2292"/>
        <v>78.999984561449466</v>
      </c>
      <c r="FX1086" s="420">
        <f t="shared" si="2292"/>
        <v>73.00768048777546</v>
      </c>
      <c r="FY1086" s="420">
        <f t="shared" si="2292"/>
        <v>119.97959473966745</v>
      </c>
      <c r="FZ1086" s="420">
        <f t="shared" si="2292"/>
        <v>185.40299948756308</v>
      </c>
      <c r="GA1086" s="420">
        <f t="shared" si="2292"/>
        <v>110.70866922756308</v>
      </c>
      <c r="GB1086" s="420">
        <f t="shared" si="2292"/>
        <v>197.51155053456307</v>
      </c>
      <c r="GC1086" s="420">
        <f t="shared" si="2292"/>
        <v>142.09590988886288</v>
      </c>
      <c r="GD1086" s="420">
        <f t="shared" si="2292"/>
        <v>112.28518683182989</v>
      </c>
      <c r="GE1086" s="420">
        <f t="shared" si="2292"/>
        <v>143.24471721973188</v>
      </c>
      <c r="GF1086" s="420">
        <f t="shared" si="2292"/>
        <v>130.2277522798789</v>
      </c>
      <c r="GG1086" s="420">
        <f t="shared" si="2292"/>
        <v>123.77320511721888</v>
      </c>
      <c r="GH1086" s="420">
        <f t="shared" si="2292"/>
        <v>174.38481665122589</v>
      </c>
      <c r="HZ1086" s="340"/>
      <c r="IA1086" s="419" t="s">
        <v>3032</v>
      </c>
      <c r="IB1086" s="419"/>
      <c r="IC1086" s="419"/>
      <c r="ID1086" s="279">
        <f>ID$907</f>
        <v>643.37428311067902</v>
      </c>
      <c r="IE1086" s="279">
        <f>IE$907</f>
        <v>278.63780375846028</v>
      </c>
      <c r="IF1086" s="279">
        <f>IF$907</f>
        <v>357.47613527497811</v>
      </c>
      <c r="IG1086" s="434">
        <f>IG$907</f>
        <v>636.11393903343833</v>
      </c>
      <c r="IH1086" s="284"/>
      <c r="IJ1086" s="434">
        <f>IJ$907</f>
        <v>617.4371785504552</v>
      </c>
      <c r="IM1086" s="434">
        <f>IM$907</f>
        <v>606.86568859482907</v>
      </c>
      <c r="IP1086" s="434">
        <f>IP$907</f>
        <v>680.76867016215999</v>
      </c>
      <c r="IQ1086" s="434"/>
      <c r="IR1086" s="434"/>
      <c r="IS1086" s="434">
        <f>IS$907</f>
        <v>914.67796591778165</v>
      </c>
      <c r="IT1086" s="434"/>
      <c r="IU1086" s="434"/>
      <c r="IV1086" s="434">
        <f>IV$907</f>
        <v>1033.0979244993659</v>
      </c>
      <c r="IW1086" s="434"/>
      <c r="IX1086" s="434"/>
      <c r="IY1086" s="434">
        <f>IY$907</f>
        <v>1254.856355703309</v>
      </c>
      <c r="IZ1086" s="434"/>
      <c r="JA1086" s="434">
        <f>JA$907</f>
        <v>826.01158798874849</v>
      </c>
      <c r="JB1086" s="434">
        <f>JB$907</f>
        <v>1591.6220670273301</v>
      </c>
      <c r="JC1086" s="434">
        <f>JC$907</f>
        <v>655.06258419798746</v>
      </c>
      <c r="JD1086" s="434">
        <f>JD$907</f>
        <v>863.36162995977202</v>
      </c>
      <c r="JE1086" s="434"/>
      <c r="JF1086" s="434"/>
      <c r="JG1086" s="434"/>
      <c r="JH1086" s="434"/>
      <c r="JI1086" s="434"/>
      <c r="JJ1086" s="434"/>
      <c r="JK1086" s="434"/>
      <c r="KU1086" s="340"/>
      <c r="KV1086" s="341"/>
      <c r="KY1086" s="279">
        <f>KY$907</f>
        <v>0</v>
      </c>
      <c r="KZ1086" s="279">
        <f>KZ$907</f>
        <v>0</v>
      </c>
      <c r="LA1086" s="279">
        <f>LA$907</f>
        <v>0</v>
      </c>
      <c r="LB1086" s="279">
        <f>LB$907</f>
        <v>0</v>
      </c>
    </row>
    <row r="1087" spans="1:314">
      <c r="A1087" s="279"/>
      <c r="B1087" s="96" t="s">
        <v>338</v>
      </c>
      <c r="D1087" s="424" t="str">
        <f>D$908</f>
        <v>Foreign financed</v>
      </c>
      <c r="E1087" s="420">
        <f>E$908</f>
        <v>0</v>
      </c>
      <c r="F1087" s="420">
        <f t="shared" ref="F1087:L1087" si="2293">F$908</f>
        <v>0</v>
      </c>
      <c r="G1087" s="420">
        <f t="shared" si="2293"/>
        <v>0</v>
      </c>
      <c r="H1087" s="420">
        <f t="shared" si="2293"/>
        <v>0</v>
      </c>
      <c r="I1087" s="420">
        <f t="shared" si="2293"/>
        <v>0</v>
      </c>
      <c r="J1087" s="420">
        <f t="shared" si="2293"/>
        <v>0</v>
      </c>
      <c r="K1087" s="420">
        <f t="shared" si="2293"/>
        <v>0</v>
      </c>
      <c r="L1087" s="420">
        <f t="shared" si="2293"/>
        <v>0</v>
      </c>
      <c r="M1087" s="420">
        <f t="shared" ref="M1087:AW1087" si="2294">M$908</f>
        <v>0</v>
      </c>
      <c r="N1087" s="420">
        <f t="shared" si="2294"/>
        <v>0</v>
      </c>
      <c r="O1087" s="420">
        <f t="shared" si="2294"/>
        <v>0</v>
      </c>
      <c r="P1087" s="420">
        <f t="shared" si="2294"/>
        <v>0</v>
      </c>
      <c r="Q1087" s="420">
        <f t="shared" si="2294"/>
        <v>0</v>
      </c>
      <c r="R1087" s="420">
        <f t="shared" si="2294"/>
        <v>0</v>
      </c>
      <c r="S1087" s="420">
        <f t="shared" si="2294"/>
        <v>0</v>
      </c>
      <c r="T1087" s="420">
        <f t="shared" si="2294"/>
        <v>0</v>
      </c>
      <c r="U1087" s="420">
        <f t="shared" si="2294"/>
        <v>0</v>
      </c>
      <c r="V1087" s="420">
        <f t="shared" si="2294"/>
        <v>0</v>
      </c>
      <c r="W1087" s="420">
        <f t="shared" si="2294"/>
        <v>0</v>
      </c>
      <c r="X1087" s="420">
        <f t="shared" si="2294"/>
        <v>0</v>
      </c>
      <c r="Y1087" s="420">
        <f t="shared" si="2294"/>
        <v>0</v>
      </c>
      <c r="Z1087" s="420">
        <f t="shared" si="2294"/>
        <v>0</v>
      </c>
      <c r="AA1087" s="420">
        <f t="shared" si="2294"/>
        <v>0</v>
      </c>
      <c r="AB1087" s="420">
        <f t="shared" si="2294"/>
        <v>0</v>
      </c>
      <c r="AC1087" s="420">
        <f t="shared" si="2294"/>
        <v>0</v>
      </c>
      <c r="AD1087" s="420">
        <f t="shared" si="2294"/>
        <v>0</v>
      </c>
      <c r="AE1087" s="420">
        <f t="shared" si="2294"/>
        <v>0</v>
      </c>
      <c r="AF1087" s="420">
        <f t="shared" si="2294"/>
        <v>0</v>
      </c>
      <c r="AG1087" s="420">
        <f t="shared" si="2294"/>
        <v>0</v>
      </c>
      <c r="AH1087" s="420">
        <f t="shared" si="2294"/>
        <v>0</v>
      </c>
      <c r="AI1087" s="420">
        <f t="shared" si="2294"/>
        <v>0</v>
      </c>
      <c r="AJ1087" s="420">
        <f t="shared" si="2294"/>
        <v>0</v>
      </c>
      <c r="AK1087" s="420">
        <f t="shared" si="2294"/>
        <v>0</v>
      </c>
      <c r="AL1087" s="420">
        <f t="shared" si="2294"/>
        <v>0</v>
      </c>
      <c r="AM1087" s="420">
        <f t="shared" si="2294"/>
        <v>0</v>
      </c>
      <c r="AN1087" s="420">
        <f t="shared" si="2294"/>
        <v>0</v>
      </c>
      <c r="AO1087" s="420">
        <f t="shared" si="2294"/>
        <v>0.94199739660030579</v>
      </c>
      <c r="AP1087" s="420">
        <f t="shared" si="2294"/>
        <v>1.6821985179804768</v>
      </c>
      <c r="AQ1087" s="420">
        <f t="shared" si="2294"/>
        <v>2.7108413189699068</v>
      </c>
      <c r="AR1087" s="420">
        <f t="shared" si="2294"/>
        <v>4.522410138428933</v>
      </c>
      <c r="AS1087" s="420">
        <f t="shared" si="2294"/>
        <v>1.7219130250731998</v>
      </c>
      <c r="AT1087" s="420">
        <f t="shared" si="2294"/>
        <v>3.0417432979332482</v>
      </c>
      <c r="AU1087" s="420">
        <f t="shared" si="2294"/>
        <v>8.8962667584006923</v>
      </c>
      <c r="AV1087" s="420">
        <f t="shared" si="2294"/>
        <v>4.1520251670774488</v>
      </c>
      <c r="AW1087" s="420">
        <f t="shared" si="2294"/>
        <v>1.8957136163656356</v>
      </c>
      <c r="AX1087" s="420">
        <f t="shared" ref="AX1087:BP1087" si="2295">AX$908</f>
        <v>12.136937090588619</v>
      </c>
      <c r="AY1087" s="420">
        <f t="shared" si="2295"/>
        <v>12.597302379335828</v>
      </c>
      <c r="AZ1087" s="420">
        <f t="shared" si="2295"/>
        <v>88.388915926385266</v>
      </c>
      <c r="BA1087" s="420">
        <f t="shared" si="2295"/>
        <v>14.15873020075451</v>
      </c>
      <c r="BB1087" s="420">
        <f t="shared" si="2295"/>
        <v>9.0050438669616906</v>
      </c>
      <c r="BC1087" s="420">
        <f t="shared" si="2295"/>
        <v>18.544687929647523</v>
      </c>
      <c r="BD1087" s="420">
        <f t="shared" si="2295"/>
        <v>10.23558195967026</v>
      </c>
      <c r="BE1087" s="420">
        <f t="shared" si="2295"/>
        <v>14.574067021856646</v>
      </c>
      <c r="BF1087" s="420">
        <f t="shared" si="2295"/>
        <v>17.671187370678794</v>
      </c>
      <c r="BG1087" s="420">
        <f t="shared" si="2295"/>
        <v>12.451294508243144</v>
      </c>
      <c r="BH1087" s="420">
        <f t="shared" si="2295"/>
        <v>10.575512258726437</v>
      </c>
      <c r="BI1087" s="420">
        <f t="shared" si="2295"/>
        <v>17.387422666289211</v>
      </c>
      <c r="BJ1087" s="420">
        <f t="shared" si="2295"/>
        <v>63.647873066030307</v>
      </c>
      <c r="BK1087" s="420">
        <f t="shared" si="2295"/>
        <v>20.880266670164918</v>
      </c>
      <c r="BL1087" s="420">
        <f t="shared" si="2295"/>
        <v>20.26695088010668</v>
      </c>
      <c r="BM1087" s="420">
        <f t="shared" si="2295"/>
        <v>5.8544672338276129</v>
      </c>
      <c r="BN1087" s="420">
        <f t="shared" si="2295"/>
        <v>13.649621592274141</v>
      </c>
      <c r="BO1087" s="420">
        <f t="shared" si="2295"/>
        <v>10.211354677215237</v>
      </c>
      <c r="BP1087" s="420">
        <f t="shared" si="2295"/>
        <v>7.9268224163475747</v>
      </c>
      <c r="BQ1087" s="420">
        <f t="shared" ref="BQ1087:EB1087" si="2296">BQ$908</f>
        <v>9.5964837929292592</v>
      </c>
      <c r="BR1087" s="420">
        <f t="shared" si="2296"/>
        <v>50.581934584973595</v>
      </c>
      <c r="BS1087" s="420">
        <f t="shared" si="2296"/>
        <v>13.252070333108145</v>
      </c>
      <c r="BT1087" s="420">
        <f t="shared" si="2296"/>
        <v>22.477493039934352</v>
      </c>
      <c r="BU1087" s="420">
        <f t="shared" si="2296"/>
        <v>11.689606913034773</v>
      </c>
      <c r="BV1087" s="420">
        <f t="shared" si="2296"/>
        <v>9.5620629325629274</v>
      </c>
      <c r="BW1087" s="420">
        <f t="shared" si="2296"/>
        <v>47.003610449617923</v>
      </c>
      <c r="BX1087" s="420">
        <f t="shared" si="2296"/>
        <v>33.692962709260385</v>
      </c>
      <c r="BY1087" s="420">
        <f t="shared" si="2296"/>
        <v>2.1001001144407416</v>
      </c>
      <c r="BZ1087" s="420">
        <f t="shared" si="2296"/>
        <v>8.1529400676215786</v>
      </c>
      <c r="CA1087" s="420">
        <f t="shared" si="2296"/>
        <v>14.111623062434338</v>
      </c>
      <c r="CB1087" s="420">
        <f t="shared" si="2296"/>
        <v>11.671582692445245</v>
      </c>
      <c r="CC1087" s="420">
        <f t="shared" si="2296"/>
        <v>38.615047441195287</v>
      </c>
      <c r="CD1087" s="421">
        <f t="shared" si="2296"/>
        <v>28.344641886820838</v>
      </c>
      <c r="CE1087" s="420">
        <f t="shared" si="2296"/>
        <v>27.461950273771695</v>
      </c>
      <c r="CF1087" s="420">
        <f t="shared" si="2296"/>
        <v>10.11084003473381</v>
      </c>
      <c r="CG1087" s="420">
        <f t="shared" si="2296"/>
        <v>37.542976234294493</v>
      </c>
      <c r="CH1087" s="420">
        <f t="shared" si="2296"/>
        <v>46.422698332949601</v>
      </c>
      <c r="CI1087" s="420">
        <f t="shared" si="2296"/>
        <v>36.82346118513545</v>
      </c>
      <c r="CJ1087" s="420">
        <f t="shared" si="2296"/>
        <v>30.045149085000947</v>
      </c>
      <c r="CK1087" s="420">
        <f t="shared" si="2296"/>
        <v>33.576041110968305</v>
      </c>
      <c r="CL1087" s="420">
        <f t="shared" si="2296"/>
        <v>17.115234173434697</v>
      </c>
      <c r="CM1087" s="420">
        <f t="shared" si="2296"/>
        <v>18.210226436918994</v>
      </c>
      <c r="CN1087" s="420">
        <f t="shared" si="2296"/>
        <v>58.01807686992521</v>
      </c>
      <c r="CO1087" s="420">
        <f t="shared" si="2296"/>
        <v>24.075295876884173</v>
      </c>
      <c r="CP1087" s="423">
        <f t="shared" si="2296"/>
        <v>30.569105037661593</v>
      </c>
      <c r="CQ1087" s="420">
        <f t="shared" si="2296"/>
        <v>22.634250257573093</v>
      </c>
      <c r="CR1087" s="420">
        <f t="shared" si="2296"/>
        <v>24.52159962765402</v>
      </c>
      <c r="CS1087" s="420">
        <f t="shared" si="2296"/>
        <v>26.668254940129891</v>
      </c>
      <c r="CT1087" s="420">
        <f t="shared" si="2296"/>
        <v>30.063085946442769</v>
      </c>
      <c r="CU1087" s="420">
        <f t="shared" si="2296"/>
        <v>37.895227394663344</v>
      </c>
      <c r="CV1087" s="420">
        <f t="shared" si="2296"/>
        <v>37.215800957066605</v>
      </c>
      <c r="CW1087" s="420">
        <f t="shared" si="2296"/>
        <v>27.254137346920125</v>
      </c>
      <c r="CX1087" s="420">
        <f t="shared" si="2296"/>
        <v>24.408593314944181</v>
      </c>
      <c r="CY1087" s="420">
        <f t="shared" si="2296"/>
        <v>27.545518918423681</v>
      </c>
      <c r="CZ1087" s="420">
        <f t="shared" si="2296"/>
        <v>16.514020665328591</v>
      </c>
      <c r="DA1087" s="420">
        <f t="shared" si="2296"/>
        <v>31.010111373193478</v>
      </c>
      <c r="DB1087" s="1310">
        <f t="shared" si="2296"/>
        <v>34.526302365791103</v>
      </c>
      <c r="DC1087" s="420">
        <f t="shared" si="2296"/>
        <v>13.874262816587432</v>
      </c>
      <c r="DD1087" s="420">
        <f t="shared" si="2296"/>
        <v>22.741142375832265</v>
      </c>
      <c r="DE1087" s="420">
        <f t="shared" si="2296"/>
        <v>27.5699602763003</v>
      </c>
      <c r="DF1087" s="420">
        <f t="shared" si="2296"/>
        <v>18.868605581223264</v>
      </c>
      <c r="DG1087" s="420">
        <f t="shared" si="2296"/>
        <v>13.958714056713765</v>
      </c>
      <c r="DH1087" s="420">
        <f t="shared" si="2296"/>
        <v>51.257744914392219</v>
      </c>
      <c r="DI1087" s="420">
        <f t="shared" si="2296"/>
        <v>16.342572375724565</v>
      </c>
      <c r="DJ1087" s="420">
        <f t="shared" si="2296"/>
        <v>17.049001310250979</v>
      </c>
      <c r="DK1087" s="420">
        <f t="shared" si="2296"/>
        <v>28.752959391475457</v>
      </c>
      <c r="DL1087" s="420">
        <f t="shared" si="2296"/>
        <v>24.046596579660893</v>
      </c>
      <c r="DM1087" s="420">
        <f t="shared" si="2296"/>
        <v>26.160917535553409</v>
      </c>
      <c r="DN1087" s="423">
        <f t="shared" si="2296"/>
        <v>11.152133643740704</v>
      </c>
      <c r="DO1087" s="420">
        <f t="shared" si="2296"/>
        <v>15.433996662336185</v>
      </c>
      <c r="DP1087" s="420">
        <f t="shared" si="2296"/>
        <v>20.562498505827929</v>
      </c>
      <c r="DQ1087" s="420">
        <f t="shared" si="2296"/>
        <v>31.781562221068889</v>
      </c>
      <c r="DR1087" s="420">
        <f t="shared" si="2296"/>
        <v>9.4610312207669089</v>
      </c>
      <c r="DS1087" s="420">
        <f t="shared" si="2296"/>
        <v>26.475880533328159</v>
      </c>
      <c r="DT1087" s="420">
        <f t="shared" si="2296"/>
        <v>38.357520431450936</v>
      </c>
      <c r="DU1087" s="420">
        <f t="shared" si="2296"/>
        <v>22.211353562193839</v>
      </c>
      <c r="DV1087" s="420">
        <f t="shared" si="2296"/>
        <v>18.817239761654175</v>
      </c>
      <c r="DW1087" s="420">
        <f t="shared" si="2296"/>
        <v>31.552162197735981</v>
      </c>
      <c r="DX1087" s="420">
        <f t="shared" si="2296"/>
        <v>27.465835039963608</v>
      </c>
      <c r="DY1087" s="420">
        <f t="shared" si="2296"/>
        <v>24.386676235098165</v>
      </c>
      <c r="DZ1087" s="423">
        <f t="shared" si="2296"/>
        <v>40.24342079840423</v>
      </c>
      <c r="EA1087" s="420">
        <f t="shared" si="2296"/>
        <v>21.74761611951476</v>
      </c>
      <c r="EB1087" s="420">
        <f t="shared" si="2296"/>
        <v>25.760209253194738</v>
      </c>
      <c r="EC1087" s="420">
        <f t="shared" ref="EC1087:GH1087" si="2297">EC$908</f>
        <v>23.0598770162485</v>
      </c>
      <c r="ED1087" s="420">
        <f t="shared" si="2297"/>
        <v>23.712366129118919</v>
      </c>
      <c r="EE1087" s="420">
        <f t="shared" si="2297"/>
        <v>26.735410227996319</v>
      </c>
      <c r="EF1087" s="420">
        <f t="shared" si="2297"/>
        <v>31.381530689116762</v>
      </c>
      <c r="EG1087" s="420">
        <f t="shared" si="2297"/>
        <v>27.909894950615559</v>
      </c>
      <c r="EH1087" s="420">
        <f t="shared" si="2297"/>
        <v>16.955218745007535</v>
      </c>
      <c r="EI1087" s="420">
        <f t="shared" si="2297"/>
        <v>40.070005726957909</v>
      </c>
      <c r="EJ1087" s="420">
        <f t="shared" si="2297"/>
        <v>15.661802557920968</v>
      </c>
      <c r="EK1087" s="420">
        <f t="shared" si="2297"/>
        <v>27.208560267357019</v>
      </c>
      <c r="EL1087" s="423">
        <f t="shared" si="2297"/>
        <v>58.857923823111022</v>
      </c>
      <c r="EM1087" s="420">
        <f t="shared" si="2297"/>
        <v>26.154033663094854</v>
      </c>
      <c r="EN1087" s="420">
        <f t="shared" si="2297"/>
        <v>18.445545378356144</v>
      </c>
      <c r="EO1087" s="420">
        <f t="shared" si="2297"/>
        <v>47.015260453214999</v>
      </c>
      <c r="EP1087" s="420">
        <f t="shared" si="2297"/>
        <v>29.197911488066648</v>
      </c>
      <c r="EQ1087" s="420">
        <f t="shared" si="2297"/>
        <v>21.519785242485</v>
      </c>
      <c r="ER1087" s="420">
        <f t="shared" si="2297"/>
        <v>58.928926885631995</v>
      </c>
      <c r="ES1087" s="420">
        <f t="shared" si="2297"/>
        <v>35.348274640719566</v>
      </c>
      <c r="ET1087" s="420">
        <f t="shared" si="2297"/>
        <v>30.552618112890165</v>
      </c>
      <c r="EU1087" s="420">
        <f t="shared" si="2297"/>
        <v>44.041510783832905</v>
      </c>
      <c r="EV1087" s="420">
        <f t="shared" si="2297"/>
        <v>31.903327200566636</v>
      </c>
      <c r="EW1087" s="420">
        <f t="shared" si="2297"/>
        <v>28.888202852077264</v>
      </c>
      <c r="EX1087" s="423">
        <f t="shared" si="2297"/>
        <v>76.008599532845508</v>
      </c>
      <c r="EY1087" s="420">
        <f t="shared" si="2297"/>
        <v>33.280121402833174</v>
      </c>
      <c r="EZ1087" s="420">
        <f t="shared" si="2297"/>
        <v>46.962321956311172</v>
      </c>
      <c r="FA1087" s="420">
        <f t="shared" si="2297"/>
        <v>42.414009539210497</v>
      </c>
      <c r="FB1087" s="420">
        <f t="shared" si="2297"/>
        <v>34.784045042298231</v>
      </c>
      <c r="FC1087" s="420">
        <f t="shared" si="2297"/>
        <v>44.060011411470597</v>
      </c>
      <c r="FD1087" s="420">
        <f t="shared" si="2297"/>
        <v>65.340583448423502</v>
      </c>
      <c r="FE1087" s="420">
        <f t="shared" si="2297"/>
        <v>41.617049318678283</v>
      </c>
      <c r="FF1087" s="420">
        <f t="shared" si="2297"/>
        <v>45.92982365208664</v>
      </c>
      <c r="FG1087" s="420">
        <f t="shared" si="2297"/>
        <v>46.527671511998889</v>
      </c>
      <c r="FH1087" s="420">
        <f t="shared" si="2297"/>
        <v>44.396108784472418</v>
      </c>
      <c r="FI1087" s="420">
        <f t="shared" si="2297"/>
        <v>53.012151564884498</v>
      </c>
      <c r="FJ1087" s="423">
        <f t="shared" si="2297"/>
        <v>49.474995745698159</v>
      </c>
      <c r="FK1087" s="420">
        <f t="shared" si="2297"/>
        <v>135.59233209151731</v>
      </c>
      <c r="FL1087" s="420">
        <f t="shared" si="2297"/>
        <v>66.297949603163616</v>
      </c>
      <c r="FM1087" s="420">
        <f t="shared" si="2297"/>
        <v>48.100940610604894</v>
      </c>
      <c r="FN1087" s="420">
        <f t="shared" si="2297"/>
        <v>33.241717161059192</v>
      </c>
      <c r="FO1087" s="420">
        <f t="shared" si="2297"/>
        <v>50.094245062684081</v>
      </c>
      <c r="FP1087" s="420">
        <f t="shared" si="2297"/>
        <v>52.196346233816548</v>
      </c>
      <c r="FQ1087" s="420">
        <f t="shared" si="2297"/>
        <v>42.1215202837517</v>
      </c>
      <c r="FR1087" s="420">
        <f t="shared" si="2297"/>
        <v>39.847795074940699</v>
      </c>
      <c r="FS1087" s="420">
        <f t="shared" si="2297"/>
        <v>63.234253633886681</v>
      </c>
      <c r="FT1087" s="420">
        <f t="shared" si="2297"/>
        <v>50.963642747466423</v>
      </c>
      <c r="FU1087" s="420">
        <f t="shared" si="2297"/>
        <v>35.519792666794402</v>
      </c>
      <c r="FV1087" s="423">
        <f t="shared" si="2297"/>
        <v>68.107825459623427</v>
      </c>
      <c r="FW1087" s="420">
        <f t="shared" si="2297"/>
        <v>57.499992982449463</v>
      </c>
      <c r="FX1087" s="420">
        <f t="shared" si="2297"/>
        <v>46.967371096775459</v>
      </c>
      <c r="FY1087" s="420">
        <f t="shared" si="2297"/>
        <v>59.222417094667456</v>
      </c>
      <c r="FZ1087" s="420">
        <f t="shared" si="2297"/>
        <v>99.548669602563081</v>
      </c>
      <c r="GA1087" s="420">
        <f t="shared" si="2297"/>
        <v>65.538813469563081</v>
      </c>
      <c r="GB1087" s="420">
        <f t="shared" si="2297"/>
        <v>78.728683860563081</v>
      </c>
      <c r="GC1087" s="420">
        <f t="shared" si="2297"/>
        <v>36.247905315862894</v>
      </c>
      <c r="GD1087" s="420">
        <f t="shared" si="2297"/>
        <v>53.680754194829888</v>
      </c>
      <c r="GE1087" s="420">
        <f t="shared" si="2297"/>
        <v>50.823533909731886</v>
      </c>
      <c r="GF1087" s="420">
        <f t="shared" si="2297"/>
        <v>54.358792407878894</v>
      </c>
      <c r="GG1087" s="420">
        <f t="shared" si="2297"/>
        <v>59.080995569218892</v>
      </c>
      <c r="GH1087" s="420">
        <f t="shared" si="2297"/>
        <v>127.01112217822589</v>
      </c>
      <c r="HZ1087" s="340"/>
      <c r="IA1087" s="424" t="s">
        <v>561</v>
      </c>
      <c r="IB1087" s="424"/>
      <c r="IC1087" s="424"/>
      <c r="ID1087" s="279">
        <f>ID$908</f>
        <v>369.97105465167897</v>
      </c>
      <c r="IE1087" s="279">
        <f>IE$908</f>
        <v>178.99821912352974</v>
      </c>
      <c r="IF1087" s="279">
        <f>IF$908</f>
        <v>161.25868398460116</v>
      </c>
      <c r="IG1087" s="434">
        <f>IG$908</f>
        <v>340.25690310813093</v>
      </c>
      <c r="IH1087" s="284"/>
      <c r="IJ1087" s="434">
        <f>IJ$908</f>
        <v>271.77461085745529</v>
      </c>
      <c r="IM1087" s="434">
        <f>IM$908</f>
        <v>306.74917716982901</v>
      </c>
      <c r="IP1087" s="434">
        <f>IP$908</f>
        <v>339.06041550615998</v>
      </c>
      <c r="IQ1087" s="434"/>
      <c r="IR1087" s="434"/>
      <c r="IS1087" s="434">
        <f>IS$908</f>
        <v>448.00399623378166</v>
      </c>
      <c r="IT1087" s="434"/>
      <c r="IU1087" s="434"/>
      <c r="IV1087" s="434">
        <f>IV$908</f>
        <v>547.79889337836607</v>
      </c>
      <c r="IW1087" s="434"/>
      <c r="IX1087" s="434"/>
      <c r="IY1087" s="434">
        <f>IY$908</f>
        <v>685.31836062930893</v>
      </c>
      <c r="IZ1087" s="434"/>
      <c r="JA1087" s="434">
        <f>JA$908</f>
        <v>381.20310357574834</v>
      </c>
      <c r="JB1087" s="434">
        <f>JB$908</f>
        <v>788.70905168233003</v>
      </c>
      <c r="JC1087" s="434">
        <f>JC$908</f>
        <v>335.02994673110743</v>
      </c>
      <c r="JD1087" s="434">
        <f>JD$908</f>
        <v>436.44070825118888</v>
      </c>
      <c r="JE1087" s="434"/>
      <c r="JF1087" s="434"/>
      <c r="JG1087" s="434"/>
      <c r="JH1087" s="434"/>
      <c r="JI1087" s="434"/>
      <c r="JJ1087" s="434"/>
      <c r="JK1087" s="434"/>
      <c r="KU1087" s="340"/>
      <c r="KV1087" s="341"/>
      <c r="KY1087" s="279">
        <f>KY$908</f>
        <v>0</v>
      </c>
      <c r="KZ1087" s="279">
        <f>KZ$908</f>
        <v>0</v>
      </c>
      <c r="LA1087" s="279">
        <f>LA$908</f>
        <v>0</v>
      </c>
      <c r="LB1087" s="279">
        <f>LB$908</f>
        <v>0</v>
      </c>
    </row>
    <row r="1088" spans="1:314">
      <c r="A1088" s="279"/>
      <c r="B1088" s="96" t="s">
        <v>338</v>
      </c>
      <c r="D1088" s="424" t="str">
        <f>D$912</f>
        <v>Domestically financed</v>
      </c>
      <c r="E1088" s="420">
        <f>E$912</f>
        <v>0</v>
      </c>
      <c r="F1088" s="420">
        <f t="shared" ref="F1088:L1088" si="2298">F$912</f>
        <v>0</v>
      </c>
      <c r="G1088" s="420">
        <f t="shared" si="2298"/>
        <v>0</v>
      </c>
      <c r="H1088" s="420">
        <f t="shared" si="2298"/>
        <v>0</v>
      </c>
      <c r="I1088" s="420">
        <f t="shared" si="2298"/>
        <v>0</v>
      </c>
      <c r="J1088" s="420">
        <f t="shared" si="2298"/>
        <v>0</v>
      </c>
      <c r="K1088" s="420">
        <f t="shared" si="2298"/>
        <v>0</v>
      </c>
      <c r="L1088" s="420">
        <f t="shared" si="2298"/>
        <v>0</v>
      </c>
      <c r="M1088" s="420">
        <f t="shared" ref="M1088:AW1088" si="2299">M$912</f>
        <v>0</v>
      </c>
      <c r="N1088" s="420">
        <f t="shared" si="2299"/>
        <v>0</v>
      </c>
      <c r="O1088" s="420">
        <f t="shared" si="2299"/>
        <v>0</v>
      </c>
      <c r="P1088" s="420">
        <f t="shared" si="2299"/>
        <v>0</v>
      </c>
      <c r="Q1088" s="420">
        <f t="shared" si="2299"/>
        <v>0</v>
      </c>
      <c r="R1088" s="420">
        <f t="shared" si="2299"/>
        <v>0</v>
      </c>
      <c r="S1088" s="420">
        <f t="shared" si="2299"/>
        <v>0</v>
      </c>
      <c r="T1088" s="420">
        <f t="shared" si="2299"/>
        <v>0</v>
      </c>
      <c r="U1088" s="420">
        <f t="shared" si="2299"/>
        <v>0</v>
      </c>
      <c r="V1088" s="420">
        <f t="shared" si="2299"/>
        <v>0</v>
      </c>
      <c r="W1088" s="420">
        <f t="shared" si="2299"/>
        <v>0</v>
      </c>
      <c r="X1088" s="420">
        <f t="shared" si="2299"/>
        <v>0</v>
      </c>
      <c r="Y1088" s="420">
        <f t="shared" si="2299"/>
        <v>0</v>
      </c>
      <c r="Z1088" s="420">
        <f t="shared" si="2299"/>
        <v>0</v>
      </c>
      <c r="AA1088" s="420">
        <f t="shared" si="2299"/>
        <v>0</v>
      </c>
      <c r="AB1088" s="420">
        <f t="shared" si="2299"/>
        <v>0</v>
      </c>
      <c r="AC1088" s="420">
        <f t="shared" si="2299"/>
        <v>0</v>
      </c>
      <c r="AD1088" s="420">
        <f t="shared" si="2299"/>
        <v>0</v>
      </c>
      <c r="AE1088" s="420">
        <f t="shared" si="2299"/>
        <v>0</v>
      </c>
      <c r="AF1088" s="420">
        <f t="shared" si="2299"/>
        <v>0</v>
      </c>
      <c r="AG1088" s="420">
        <f t="shared" si="2299"/>
        <v>0</v>
      </c>
      <c r="AH1088" s="420">
        <f t="shared" si="2299"/>
        <v>0</v>
      </c>
      <c r="AI1088" s="420">
        <f t="shared" si="2299"/>
        <v>0</v>
      </c>
      <c r="AJ1088" s="420">
        <f t="shared" si="2299"/>
        <v>0</v>
      </c>
      <c r="AK1088" s="420">
        <f t="shared" si="2299"/>
        <v>0</v>
      </c>
      <c r="AL1088" s="420">
        <f t="shared" si="2299"/>
        <v>0</v>
      </c>
      <c r="AM1088" s="420">
        <f t="shared" si="2299"/>
        <v>0</v>
      </c>
      <c r="AN1088" s="420">
        <f t="shared" si="2299"/>
        <v>0</v>
      </c>
      <c r="AO1088" s="420">
        <f t="shared" si="2299"/>
        <v>0</v>
      </c>
      <c r="AP1088" s="420">
        <f t="shared" si="2299"/>
        <v>0</v>
      </c>
      <c r="AQ1088" s="420">
        <f t="shared" si="2299"/>
        <v>0</v>
      </c>
      <c r="AR1088" s="420">
        <f t="shared" si="2299"/>
        <v>0</v>
      </c>
      <c r="AS1088" s="420">
        <f t="shared" si="2299"/>
        <v>0</v>
      </c>
      <c r="AT1088" s="420">
        <f t="shared" si="2299"/>
        <v>0</v>
      </c>
      <c r="AU1088" s="420">
        <f t="shared" si="2299"/>
        <v>0</v>
      </c>
      <c r="AV1088" s="420">
        <f t="shared" si="2299"/>
        <v>0</v>
      </c>
      <c r="AW1088" s="420">
        <f t="shared" si="2299"/>
        <v>0</v>
      </c>
      <c r="AX1088" s="420">
        <f t="shared" ref="AX1088:BP1088" si="2300">AX$912</f>
        <v>0</v>
      </c>
      <c r="AY1088" s="420">
        <f t="shared" si="2300"/>
        <v>0</v>
      </c>
      <c r="AZ1088" s="420">
        <f t="shared" si="2300"/>
        <v>0</v>
      </c>
      <c r="BA1088" s="420">
        <f t="shared" si="2300"/>
        <v>0</v>
      </c>
      <c r="BB1088" s="420">
        <f t="shared" si="2300"/>
        <v>0</v>
      </c>
      <c r="BC1088" s="420">
        <f t="shared" si="2300"/>
        <v>0</v>
      </c>
      <c r="BD1088" s="420">
        <f t="shared" si="2300"/>
        <v>0</v>
      </c>
      <c r="BE1088" s="420">
        <f t="shared" si="2300"/>
        <v>0</v>
      </c>
      <c r="BF1088" s="420">
        <f t="shared" si="2300"/>
        <v>0</v>
      </c>
      <c r="BG1088" s="420">
        <f t="shared" si="2300"/>
        <v>4.8124256818000006</v>
      </c>
      <c r="BH1088" s="420">
        <f t="shared" si="2300"/>
        <v>11.60506516907</v>
      </c>
      <c r="BI1088" s="420">
        <f t="shared" si="2300"/>
        <v>14.97865360904</v>
      </c>
      <c r="BJ1088" s="420">
        <f t="shared" si="2300"/>
        <v>27.030733145999999</v>
      </c>
      <c r="BK1088" s="420">
        <f t="shared" si="2300"/>
        <v>15.140683768000001</v>
      </c>
      <c r="BL1088" s="420">
        <f t="shared" si="2300"/>
        <v>7.4367065990000008</v>
      </c>
      <c r="BM1088" s="420">
        <f t="shared" si="2300"/>
        <v>18.373572579000001</v>
      </c>
      <c r="BN1088" s="420">
        <f t="shared" si="2300"/>
        <v>10.851172992</v>
      </c>
      <c r="BO1088" s="420">
        <f t="shared" si="2300"/>
        <v>9.5369914072199986</v>
      </c>
      <c r="BP1088" s="420">
        <f t="shared" si="2300"/>
        <v>27.330570633840001</v>
      </c>
      <c r="BQ1088" s="420">
        <f t="shared" ref="BQ1088:EB1088" si="2301">BQ$912</f>
        <v>42.304308950940005</v>
      </c>
      <c r="BR1088" s="420">
        <f t="shared" si="2301"/>
        <v>6.3525195425600005</v>
      </c>
      <c r="BS1088" s="420">
        <f t="shared" si="2301"/>
        <v>9.2269242130000002</v>
      </c>
      <c r="BT1088" s="420">
        <f t="shared" si="2301"/>
        <v>15.565815836000001</v>
      </c>
      <c r="BU1088" s="420">
        <f t="shared" si="2301"/>
        <v>11.015463515</v>
      </c>
      <c r="BV1088" s="420">
        <f t="shared" si="2301"/>
        <v>38.70378821485</v>
      </c>
      <c r="BW1088" s="420">
        <f t="shared" si="2301"/>
        <v>20.110647266000001</v>
      </c>
      <c r="BX1088" s="420">
        <f t="shared" si="2301"/>
        <v>3.8061774380000002</v>
      </c>
      <c r="BY1088" s="420">
        <f t="shared" si="2301"/>
        <v>19.101827502419997</v>
      </c>
      <c r="BZ1088" s="420">
        <f t="shared" si="2301"/>
        <v>18.12392500696</v>
      </c>
      <c r="CA1088" s="420">
        <f t="shared" si="2301"/>
        <v>15.148308796</v>
      </c>
      <c r="CB1088" s="420">
        <f t="shared" si="2301"/>
        <v>45.977102401389999</v>
      </c>
      <c r="CC1088" s="420">
        <f t="shared" si="2301"/>
        <v>31.759695228169996</v>
      </c>
      <c r="CD1088" s="421">
        <f t="shared" si="2301"/>
        <v>22.441475633349999</v>
      </c>
      <c r="CE1088" s="420">
        <f t="shared" si="2301"/>
        <v>10.526452686000001</v>
      </c>
      <c r="CF1088" s="420">
        <f t="shared" si="2301"/>
        <v>15.109569805</v>
      </c>
      <c r="CG1088" s="420">
        <f t="shared" si="2301"/>
        <v>15.141310662</v>
      </c>
      <c r="CH1088" s="420">
        <f t="shared" si="2301"/>
        <v>24.206214788</v>
      </c>
      <c r="CI1088" s="420">
        <f t="shared" si="2301"/>
        <v>17.467736775000002</v>
      </c>
      <c r="CJ1088" s="420">
        <f t="shared" si="2301"/>
        <v>11.073881504999999</v>
      </c>
      <c r="CK1088" s="420">
        <f t="shared" si="2301"/>
        <v>21.884380947</v>
      </c>
      <c r="CL1088" s="420">
        <f t="shared" si="2301"/>
        <v>18.32118797</v>
      </c>
      <c r="CM1088" s="420">
        <f t="shared" si="2301"/>
        <v>23.854194408000001</v>
      </c>
      <c r="CN1088" s="420">
        <f t="shared" si="2301"/>
        <v>28.932555223999998</v>
      </c>
      <c r="CO1088" s="420">
        <f t="shared" si="2301"/>
        <v>51.464723008</v>
      </c>
      <c r="CP1088" s="423">
        <f t="shared" si="2301"/>
        <v>35.421020681000002</v>
      </c>
      <c r="CQ1088" s="420">
        <f t="shared" si="2301"/>
        <v>11.76803075493056</v>
      </c>
      <c r="CR1088" s="420">
        <f t="shared" si="2301"/>
        <v>18.361679120999998</v>
      </c>
      <c r="CS1088" s="420">
        <f t="shared" si="2301"/>
        <v>22.843350313999998</v>
      </c>
      <c r="CT1088" s="420">
        <f t="shared" si="2301"/>
        <v>16.358613350000002</v>
      </c>
      <c r="CU1088" s="420">
        <f t="shared" si="2301"/>
        <v>15.843995942999999</v>
      </c>
      <c r="CV1088" s="420">
        <f t="shared" si="2301"/>
        <v>14.463915152</v>
      </c>
      <c r="CW1088" s="420">
        <f t="shared" si="2301"/>
        <v>27.784603081</v>
      </c>
      <c r="CX1088" s="420">
        <f t="shared" si="2301"/>
        <v>21.432819065</v>
      </c>
      <c r="CY1088" s="420">
        <f t="shared" si="2301"/>
        <v>30.363084206</v>
      </c>
      <c r="CZ1088" s="420">
        <f t="shared" si="2301"/>
        <v>47.542389496000006</v>
      </c>
      <c r="DA1088" s="420">
        <f t="shared" si="2301"/>
        <v>36.940702246376965</v>
      </c>
      <c r="DB1088" s="1310">
        <f t="shared" si="2301"/>
        <v>32.153853196</v>
      </c>
      <c r="DC1088" s="420">
        <f t="shared" si="2301"/>
        <v>7.699206792</v>
      </c>
      <c r="DD1088" s="420">
        <f t="shared" si="2301"/>
        <v>16.413068342999999</v>
      </c>
      <c r="DE1088" s="420">
        <f t="shared" si="2301"/>
        <v>35.627985338000009</v>
      </c>
      <c r="DF1088" s="420">
        <f t="shared" si="2301"/>
        <v>36.570868179999998</v>
      </c>
      <c r="DG1088" s="420">
        <f t="shared" si="2301"/>
        <v>16.263246383000002</v>
      </c>
      <c r="DH1088" s="420">
        <f t="shared" si="2301"/>
        <v>11.049905589</v>
      </c>
      <c r="DI1088" s="420">
        <f t="shared" si="2301"/>
        <v>46.698605737000001</v>
      </c>
      <c r="DJ1088" s="420">
        <f t="shared" si="2301"/>
        <v>25.370697211</v>
      </c>
      <c r="DK1088" s="420">
        <f t="shared" si="2301"/>
        <v>23.205804473999997</v>
      </c>
      <c r="DL1088" s="420">
        <f t="shared" si="2301"/>
        <v>40.797149785000002</v>
      </c>
      <c r="DM1088" s="420">
        <f t="shared" si="2301"/>
        <v>59.219738081000003</v>
      </c>
      <c r="DN1088" s="423">
        <f t="shared" si="2301"/>
        <v>26.74629178</v>
      </c>
      <c r="DO1088" s="420">
        <f t="shared" si="2301"/>
        <v>13.413084467999999</v>
      </c>
      <c r="DP1088" s="420">
        <f t="shared" si="2301"/>
        <v>21.419977733</v>
      </c>
      <c r="DQ1088" s="420">
        <f t="shared" si="2301"/>
        <v>17.814269811999999</v>
      </c>
      <c r="DR1088" s="420">
        <f t="shared" si="2301"/>
        <v>24.8299138</v>
      </c>
      <c r="DS1088" s="420">
        <f t="shared" si="2301"/>
        <v>27.434504454000002</v>
      </c>
      <c r="DT1088" s="420">
        <f t="shared" si="2301"/>
        <v>16.106640577</v>
      </c>
      <c r="DU1088" s="420">
        <f t="shared" si="2301"/>
        <v>40.220250265000004</v>
      </c>
      <c r="DV1088" s="420">
        <f t="shared" si="2301"/>
        <v>20.301798274999999</v>
      </c>
      <c r="DW1088" s="420">
        <f t="shared" si="2301"/>
        <v>16.703672267000002</v>
      </c>
      <c r="DX1088" s="420">
        <f t="shared" si="2301"/>
        <v>34.381703754</v>
      </c>
      <c r="DY1088" s="420">
        <f t="shared" si="2301"/>
        <v>43.791754669999996</v>
      </c>
      <c r="DZ1088" s="423">
        <f t="shared" si="2301"/>
        <v>23.698941349999998</v>
      </c>
      <c r="EA1088" s="420">
        <f t="shared" si="2301"/>
        <v>7.0390087609999998</v>
      </c>
      <c r="EB1088" s="420">
        <f t="shared" si="2301"/>
        <v>29.930735841999997</v>
      </c>
      <c r="EC1088" s="420">
        <f t="shared" ref="EC1088:GH1088" si="2302">EC$912</f>
        <v>28.334890032000001</v>
      </c>
      <c r="ED1088" s="420">
        <f t="shared" si="2302"/>
        <v>27.536695631999997</v>
      </c>
      <c r="EE1088" s="420">
        <f t="shared" si="2302"/>
        <v>22.374099096999998</v>
      </c>
      <c r="EF1088" s="420">
        <f t="shared" si="2302"/>
        <v>16.740895622</v>
      </c>
      <c r="EG1088" s="420">
        <f t="shared" si="2302"/>
        <v>55.057142225</v>
      </c>
      <c r="EH1088" s="420">
        <f t="shared" si="2302"/>
        <v>21.274305705</v>
      </c>
      <c r="EI1088" s="420">
        <f t="shared" si="2302"/>
        <v>26.485121561</v>
      </c>
      <c r="EJ1088" s="420">
        <f t="shared" si="2302"/>
        <v>29.823325992000001</v>
      </c>
      <c r="EK1088" s="420">
        <f t="shared" si="2302"/>
        <v>58.054600934999996</v>
      </c>
      <c r="EL1088" s="423">
        <f t="shared" si="2302"/>
        <v>19.057433251999999</v>
      </c>
      <c r="EM1088" s="420">
        <f t="shared" si="2302"/>
        <v>25.460867822000001</v>
      </c>
      <c r="EN1088" s="420">
        <f t="shared" si="2302"/>
        <v>25.384496069000001</v>
      </c>
      <c r="EO1088" s="420">
        <f t="shared" si="2302"/>
        <v>27.454722879999998</v>
      </c>
      <c r="EP1088" s="420">
        <f t="shared" si="2302"/>
        <v>37.240783912000005</v>
      </c>
      <c r="EQ1088" s="420">
        <f t="shared" si="2302"/>
        <v>26.761320949000002</v>
      </c>
      <c r="ER1088" s="420">
        <f t="shared" si="2302"/>
        <v>37.710009473999996</v>
      </c>
      <c r="ES1088" s="420">
        <f t="shared" si="2302"/>
        <v>42.990286253000001</v>
      </c>
      <c r="ET1088" s="420">
        <f t="shared" si="2302"/>
        <v>45.763296858000004</v>
      </c>
      <c r="EU1088" s="420">
        <f t="shared" si="2302"/>
        <v>35.748736557000001</v>
      </c>
      <c r="EV1088" s="420">
        <f t="shared" si="2302"/>
        <v>54.869003861000003</v>
      </c>
      <c r="EW1088" s="420">
        <f t="shared" si="2302"/>
        <v>78.276147252000001</v>
      </c>
      <c r="EX1088" s="423">
        <f t="shared" si="2302"/>
        <v>29.014297797000001</v>
      </c>
      <c r="EY1088" s="420">
        <f t="shared" si="2302"/>
        <v>37.467885670999998</v>
      </c>
      <c r="EZ1088" s="420">
        <f t="shared" si="2302"/>
        <v>39.451502786000006</v>
      </c>
      <c r="FA1088" s="420">
        <f t="shared" si="2302"/>
        <v>48.433684837999998</v>
      </c>
      <c r="FB1088" s="420">
        <f t="shared" si="2302"/>
        <v>42.281539246999998</v>
      </c>
      <c r="FC1088" s="420">
        <f t="shared" si="2302"/>
        <v>41.602428701999997</v>
      </c>
      <c r="FD1088" s="420">
        <f t="shared" si="2302"/>
        <v>31.945720539</v>
      </c>
      <c r="FE1088" s="420">
        <f t="shared" si="2302"/>
        <v>35.485007250999999</v>
      </c>
      <c r="FF1088" s="420">
        <f t="shared" si="2302"/>
        <v>40.073490468000003</v>
      </c>
      <c r="FG1088" s="420">
        <f t="shared" si="2302"/>
        <v>29.438954741</v>
      </c>
      <c r="FH1088" s="420">
        <f t="shared" si="2302"/>
        <v>39.993022592000003</v>
      </c>
      <c r="FI1088" s="420">
        <f t="shared" si="2302"/>
        <v>64.253409435999998</v>
      </c>
      <c r="FJ1088" s="423">
        <f t="shared" si="2302"/>
        <v>34.872384849999996</v>
      </c>
      <c r="FK1088" s="420">
        <f t="shared" si="2302"/>
        <v>36.244246215000004</v>
      </c>
      <c r="FL1088" s="420">
        <f t="shared" si="2302"/>
        <v>30.388938072999998</v>
      </c>
      <c r="FM1088" s="420">
        <f t="shared" si="2302"/>
        <v>32.798715348999998</v>
      </c>
      <c r="FN1088" s="420">
        <f t="shared" si="2302"/>
        <v>42.276793343999998</v>
      </c>
      <c r="FO1088" s="420">
        <f t="shared" si="2302"/>
        <v>38.236603162999998</v>
      </c>
      <c r="FP1088" s="420">
        <f t="shared" si="2302"/>
        <v>85.751569892999996</v>
      </c>
      <c r="FQ1088" s="420">
        <f t="shared" si="2302"/>
        <v>80.119229920999999</v>
      </c>
      <c r="FR1088" s="420">
        <f t="shared" si="2302"/>
        <v>48.986533313999999</v>
      </c>
      <c r="FS1088" s="420">
        <f t="shared" si="2302"/>
        <v>38.835669125500004</v>
      </c>
      <c r="FT1088" s="420">
        <f t="shared" si="2302"/>
        <v>47.047556499999999</v>
      </c>
      <c r="FU1088" s="420">
        <f t="shared" si="2302"/>
        <v>74.043017501499989</v>
      </c>
      <c r="FV1088" s="423">
        <f t="shared" si="2302"/>
        <v>14.809122674999999</v>
      </c>
      <c r="FW1088" s="420">
        <f t="shared" si="2302"/>
        <v>21.499991579</v>
      </c>
      <c r="FX1088" s="420">
        <f t="shared" si="2302"/>
        <v>26.040309391000001</v>
      </c>
      <c r="FY1088" s="420">
        <f t="shared" si="2302"/>
        <v>60.757177644999999</v>
      </c>
      <c r="FZ1088" s="420">
        <f t="shared" si="2302"/>
        <v>85.854329884999999</v>
      </c>
      <c r="GA1088" s="420">
        <f t="shared" si="2302"/>
        <v>45.169855757999997</v>
      </c>
      <c r="GB1088" s="420">
        <f t="shared" si="2302"/>
        <v>118.78286667399999</v>
      </c>
      <c r="GC1088" s="420">
        <f t="shared" si="2302"/>
        <v>105.848004573</v>
      </c>
      <c r="GD1088" s="420">
        <f t="shared" si="2302"/>
        <v>58.604432637000002</v>
      </c>
      <c r="GE1088" s="420">
        <f t="shared" si="2302"/>
        <v>92.421183310000004</v>
      </c>
      <c r="GF1088" s="420">
        <f t="shared" si="2302"/>
        <v>75.868959872000005</v>
      </c>
      <c r="GG1088" s="420">
        <f t="shared" si="2302"/>
        <v>64.692209547999994</v>
      </c>
      <c r="GH1088" s="420">
        <f t="shared" si="2302"/>
        <v>47.373694473</v>
      </c>
      <c r="HZ1088" s="340"/>
      <c r="IA1088" s="424" t="s">
        <v>562</v>
      </c>
      <c r="IB1088" s="424"/>
      <c r="IC1088" s="424"/>
      <c r="ID1088" s="279">
        <f>ID$912</f>
        <v>273.40322845899999</v>
      </c>
      <c r="IE1088" s="279">
        <f>IE$912</f>
        <v>99.639584634930557</v>
      </c>
      <c r="IF1088" s="279">
        <f>IF$912</f>
        <v>196.21745129037697</v>
      </c>
      <c r="IG1088" s="434">
        <f>IG$912</f>
        <v>295.85703592530751</v>
      </c>
      <c r="IH1088" s="284"/>
      <c r="IJ1088" s="434">
        <f>IJ$912</f>
        <v>345.66256769300003</v>
      </c>
      <c r="IM1088" s="434">
        <f>IM$912</f>
        <v>300.116511425</v>
      </c>
      <c r="IP1088" s="434">
        <f>IP$912</f>
        <v>341.70825465600001</v>
      </c>
      <c r="IQ1088" s="434"/>
      <c r="IR1088" s="434"/>
      <c r="IS1088" s="434">
        <f>IS$912</f>
        <v>466.67396968400004</v>
      </c>
      <c r="IT1088" s="434"/>
      <c r="IU1088" s="434"/>
      <c r="IV1088" s="434">
        <f>IV$912</f>
        <v>485.29903112100004</v>
      </c>
      <c r="IW1088" s="434"/>
      <c r="IX1088" s="434"/>
      <c r="IY1088" s="434">
        <f>IY$912</f>
        <v>569.53799507400004</v>
      </c>
      <c r="IZ1088" s="434"/>
      <c r="JA1088" s="434">
        <f>JA$912</f>
        <v>444.80848441300003</v>
      </c>
      <c r="JB1088" s="434">
        <f>JB$912</f>
        <v>802.91301534500008</v>
      </c>
      <c r="JC1088" s="434">
        <f>JC$912</f>
        <v>320.03263746687998</v>
      </c>
      <c r="JD1088" s="434">
        <f>JD$912</f>
        <v>426.92092170858325</v>
      </c>
      <c r="JE1088" s="434"/>
      <c r="JF1088" s="434"/>
      <c r="JG1088" s="434"/>
      <c r="JH1088" s="434"/>
      <c r="JI1088" s="434"/>
      <c r="JJ1088" s="434"/>
      <c r="JK1088" s="434"/>
      <c r="KU1088" s="340"/>
      <c r="KV1088" s="341"/>
      <c r="KY1088" s="279">
        <f>KY$912</f>
        <v>0</v>
      </c>
      <c r="KZ1088" s="279">
        <f>KZ$912</f>
        <v>0</v>
      </c>
      <c r="LA1088" s="279">
        <f>LA$912</f>
        <v>0</v>
      </c>
      <c r="LB1088" s="279">
        <f>LB$912</f>
        <v>0</v>
      </c>
    </row>
    <row r="1089" spans="1:314">
      <c r="B1089" s="96" t="s">
        <v>338</v>
      </c>
      <c r="D1089" s="419" t="str">
        <f>D$923</f>
        <v>Net lending (+) / borrowing (-) {deficit/Surplus}</v>
      </c>
      <c r="E1089" s="420"/>
      <c r="F1089" s="420"/>
      <c r="G1089" s="420"/>
      <c r="H1089" s="420"/>
      <c r="I1089" s="420"/>
      <c r="J1089" s="420"/>
      <c r="K1089" s="420"/>
      <c r="L1089" s="420"/>
      <c r="M1089" s="420"/>
      <c r="N1089" s="420"/>
      <c r="O1089" s="420"/>
      <c r="P1089" s="420"/>
      <c r="Q1089" s="420"/>
      <c r="R1089" s="420"/>
      <c r="S1089" s="420"/>
      <c r="T1089" s="420"/>
      <c r="U1089" s="420"/>
      <c r="V1089" s="420"/>
      <c r="W1089" s="420"/>
      <c r="X1089" s="420"/>
      <c r="Y1089" s="420"/>
      <c r="Z1089" s="420"/>
      <c r="AA1089" s="420"/>
      <c r="AB1089" s="420"/>
      <c r="AC1089" s="420"/>
      <c r="AD1089" s="420"/>
      <c r="AE1089" s="420"/>
      <c r="AF1089" s="420"/>
      <c r="AG1089" s="420"/>
      <c r="AH1089" s="420"/>
      <c r="AI1089" s="420"/>
      <c r="AJ1089" s="420"/>
      <c r="AK1089" s="420"/>
      <c r="AL1089" s="420"/>
      <c r="AM1089" s="420"/>
      <c r="AN1089" s="420"/>
      <c r="AO1089" s="420"/>
      <c r="AP1089" s="420"/>
      <c r="AQ1089" s="420"/>
      <c r="AR1089" s="420"/>
      <c r="AS1089" s="420"/>
      <c r="AT1089" s="420"/>
      <c r="AU1089" s="420"/>
      <c r="AV1089" s="420"/>
      <c r="AW1089" s="420"/>
      <c r="AX1089" s="420"/>
      <c r="AY1089" s="420"/>
      <c r="AZ1089" s="420"/>
      <c r="BA1089" s="420"/>
      <c r="BB1089" s="420"/>
      <c r="BC1089" s="420"/>
      <c r="BD1089" s="420"/>
      <c r="BE1089" s="420"/>
      <c r="BF1089" s="420"/>
      <c r="BG1089" s="420"/>
      <c r="BH1089" s="420"/>
      <c r="BI1089" s="420"/>
      <c r="BJ1089" s="420"/>
      <c r="BK1089" s="420"/>
      <c r="BL1089" s="420"/>
      <c r="BM1089" s="420"/>
      <c r="BN1089" s="420"/>
      <c r="BO1089" s="420"/>
      <c r="BP1089" s="420"/>
      <c r="BQ1089" s="420"/>
      <c r="BR1089" s="420"/>
      <c r="BS1089" s="420"/>
      <c r="BT1089" s="420"/>
      <c r="BU1089" s="420"/>
      <c r="BV1089" s="420"/>
      <c r="BW1089" s="420"/>
      <c r="BX1089" s="420"/>
      <c r="BY1089" s="420"/>
      <c r="BZ1089" s="420"/>
      <c r="CA1089" s="420"/>
      <c r="CB1089" s="420"/>
      <c r="CC1089" s="420"/>
      <c r="CD1089" s="421"/>
      <c r="CE1089" s="420"/>
      <c r="CF1089" s="420"/>
      <c r="CG1089" s="420"/>
      <c r="CH1089" s="420"/>
      <c r="CI1089" s="420"/>
      <c r="CJ1089" s="420"/>
      <c r="CK1089" s="420"/>
      <c r="CL1089" s="420"/>
      <c r="CM1089" s="420"/>
      <c r="CN1089" s="420"/>
      <c r="CO1089" s="420"/>
      <c r="CP1089" s="423"/>
      <c r="CQ1089" s="420"/>
      <c r="CR1089" s="420"/>
      <c r="CS1089" s="420"/>
      <c r="CT1089" s="420"/>
      <c r="CU1089" s="420"/>
      <c r="CV1089" s="420"/>
      <c r="CW1089" s="420"/>
      <c r="CX1089" s="420"/>
      <c r="CY1089" s="420"/>
      <c r="CZ1089" s="420"/>
      <c r="DA1089" s="420"/>
      <c r="DB1089" s="1310"/>
      <c r="DC1089" s="420"/>
      <c r="DD1089" s="420"/>
      <c r="DE1089" s="420"/>
      <c r="DF1089" s="420"/>
      <c r="DG1089" s="420"/>
      <c r="DH1089" s="420"/>
      <c r="DI1089" s="420"/>
      <c r="DJ1089" s="420"/>
      <c r="DK1089" s="420"/>
      <c r="DL1089" s="420"/>
      <c r="DM1089" s="420"/>
      <c r="DN1089" s="423"/>
      <c r="DO1089" s="420"/>
      <c r="DP1089" s="420"/>
      <c r="DQ1089" s="420"/>
      <c r="DR1089" s="420"/>
      <c r="DS1089" s="420"/>
      <c r="DT1089" s="420"/>
      <c r="DU1089" s="420"/>
      <c r="DV1089" s="420"/>
      <c r="DW1089" s="420"/>
      <c r="DX1089" s="420"/>
      <c r="DY1089" s="420"/>
      <c r="DZ1089" s="423"/>
      <c r="EA1089" s="420"/>
      <c r="EB1089" s="420"/>
      <c r="EC1089" s="420"/>
      <c r="ED1089" s="420"/>
      <c r="EE1089" s="420"/>
      <c r="EF1089" s="420"/>
      <c r="EG1089" s="420"/>
      <c r="EH1089" s="420"/>
      <c r="EI1089" s="420"/>
      <c r="EJ1089" s="420"/>
      <c r="EK1089" s="420"/>
      <c r="EL1089" s="423"/>
      <c r="EM1089" s="420"/>
      <c r="EN1089" s="420"/>
      <c r="EO1089" s="420"/>
      <c r="EP1089" s="420"/>
      <c r="EQ1089" s="420"/>
      <c r="ER1089" s="420"/>
      <c r="ES1089" s="420"/>
      <c r="ET1089" s="420"/>
      <c r="EU1089" s="420"/>
      <c r="EV1089" s="420"/>
      <c r="EW1089" s="420"/>
      <c r="EX1089" s="423"/>
      <c r="EY1089" s="420"/>
      <c r="EZ1089" s="420"/>
      <c r="FA1089" s="420"/>
      <c r="FB1089" s="420"/>
      <c r="FC1089" s="420"/>
      <c r="FD1089" s="420"/>
      <c r="FE1089" s="420"/>
      <c r="FF1089" s="420"/>
      <c r="FG1089" s="420"/>
      <c r="FH1089" s="420"/>
      <c r="FI1089" s="420"/>
      <c r="FJ1089" s="423"/>
      <c r="FK1089" s="420"/>
      <c r="FL1089" s="420"/>
      <c r="FM1089" s="420"/>
      <c r="FN1089" s="420"/>
      <c r="FO1089" s="420"/>
      <c r="FP1089" s="420"/>
      <c r="FQ1089" s="420"/>
      <c r="FR1089" s="420"/>
      <c r="FS1089" s="420"/>
      <c r="FT1089" s="420"/>
      <c r="FU1089" s="420"/>
      <c r="FV1089" s="423"/>
      <c r="FW1089" s="420"/>
      <c r="FX1089" s="420"/>
      <c r="FY1089" s="420"/>
      <c r="FZ1089" s="420"/>
      <c r="GA1089" s="420"/>
      <c r="GB1089" s="420"/>
      <c r="GC1089" s="420"/>
      <c r="GD1089" s="420"/>
      <c r="GE1089" s="420"/>
      <c r="GF1089" s="420"/>
      <c r="GG1089" s="420"/>
      <c r="GH1089" s="420"/>
      <c r="HZ1089" s="340"/>
      <c r="IA1089" s="419" t="s">
        <v>3033</v>
      </c>
      <c r="IB1089" s="419"/>
      <c r="IC1089" s="419"/>
      <c r="IG1089" s="434"/>
      <c r="IH1089" s="284"/>
      <c r="IJ1089" s="434"/>
      <c r="IM1089" s="434"/>
      <c r="IP1089" s="434"/>
      <c r="IQ1089" s="434"/>
      <c r="IR1089" s="434"/>
      <c r="IS1089" s="434"/>
      <c r="IT1089" s="434"/>
      <c r="IU1089" s="434"/>
      <c r="IV1089" s="434"/>
      <c r="IW1089" s="434"/>
      <c r="IX1089" s="434"/>
      <c r="IY1089" s="434"/>
      <c r="IZ1089" s="434"/>
      <c r="JA1089" s="434"/>
      <c r="JB1089" s="434"/>
      <c r="JC1089" s="434"/>
      <c r="JD1089" s="434"/>
      <c r="JE1089" s="434"/>
      <c r="JF1089" s="434"/>
      <c r="JG1089" s="434"/>
      <c r="JH1089" s="434"/>
      <c r="JI1089" s="434"/>
      <c r="JJ1089" s="434"/>
      <c r="JK1089" s="434"/>
      <c r="KU1089" s="340"/>
      <c r="KV1089" s="341"/>
    </row>
    <row r="1090" spans="1:314">
      <c r="B1090" s="96" t="s">
        <v>338</v>
      </c>
      <c r="D1090" s="415" t="str">
        <f>D$924</f>
        <v>including grants</v>
      </c>
      <c r="E1090" s="416">
        <f>E$924</f>
        <v>0</v>
      </c>
      <c r="F1090" s="416">
        <f t="shared" ref="F1090:L1090" si="2303">F$924</f>
        <v>0</v>
      </c>
      <c r="G1090" s="416">
        <f t="shared" si="2303"/>
        <v>0</v>
      </c>
      <c r="H1090" s="416">
        <f t="shared" si="2303"/>
        <v>0</v>
      </c>
      <c r="I1090" s="416">
        <f t="shared" si="2303"/>
        <v>0</v>
      </c>
      <c r="J1090" s="416">
        <f t="shared" si="2303"/>
        <v>0</v>
      </c>
      <c r="K1090" s="416">
        <f t="shared" si="2303"/>
        <v>0</v>
      </c>
      <c r="L1090" s="416">
        <f t="shared" si="2303"/>
        <v>0</v>
      </c>
      <c r="M1090" s="416">
        <f t="shared" ref="M1090:AW1090" si="2304">M$924</f>
        <v>0</v>
      </c>
      <c r="N1090" s="416">
        <f t="shared" si="2304"/>
        <v>0</v>
      </c>
      <c r="O1090" s="416">
        <f t="shared" si="2304"/>
        <v>0</v>
      </c>
      <c r="P1090" s="416">
        <f t="shared" si="2304"/>
        <v>0</v>
      </c>
      <c r="Q1090" s="416">
        <f t="shared" si="2304"/>
        <v>0</v>
      </c>
      <c r="R1090" s="416">
        <f t="shared" si="2304"/>
        <v>0</v>
      </c>
      <c r="S1090" s="416">
        <f t="shared" si="2304"/>
        <v>0</v>
      </c>
      <c r="T1090" s="416">
        <f t="shared" si="2304"/>
        <v>0</v>
      </c>
      <c r="U1090" s="416">
        <f t="shared" si="2304"/>
        <v>0</v>
      </c>
      <c r="V1090" s="416">
        <f t="shared" si="2304"/>
        <v>0</v>
      </c>
      <c r="W1090" s="416">
        <f t="shared" si="2304"/>
        <v>0</v>
      </c>
      <c r="X1090" s="416">
        <f t="shared" si="2304"/>
        <v>0</v>
      </c>
      <c r="Y1090" s="416">
        <f t="shared" si="2304"/>
        <v>0</v>
      </c>
      <c r="Z1090" s="416">
        <f t="shared" si="2304"/>
        <v>0</v>
      </c>
      <c r="AA1090" s="416">
        <f t="shared" si="2304"/>
        <v>0</v>
      </c>
      <c r="AB1090" s="416">
        <f t="shared" si="2304"/>
        <v>0</v>
      </c>
      <c r="AC1090" s="416">
        <f t="shared" si="2304"/>
        <v>0</v>
      </c>
      <c r="AD1090" s="416">
        <f t="shared" si="2304"/>
        <v>0</v>
      </c>
      <c r="AE1090" s="416">
        <f t="shared" si="2304"/>
        <v>0</v>
      </c>
      <c r="AF1090" s="416">
        <f t="shared" si="2304"/>
        <v>0</v>
      </c>
      <c r="AG1090" s="416">
        <f t="shared" si="2304"/>
        <v>0</v>
      </c>
      <c r="AH1090" s="416">
        <f t="shared" si="2304"/>
        <v>0</v>
      </c>
      <c r="AI1090" s="416">
        <f t="shared" si="2304"/>
        <v>0</v>
      </c>
      <c r="AJ1090" s="416">
        <f t="shared" si="2304"/>
        <v>0</v>
      </c>
      <c r="AK1090" s="416">
        <f t="shared" si="2304"/>
        <v>0</v>
      </c>
      <c r="AL1090" s="416">
        <f t="shared" si="2304"/>
        <v>0</v>
      </c>
      <c r="AM1090" s="416">
        <f t="shared" si="2304"/>
        <v>0</v>
      </c>
      <c r="AN1090" s="416">
        <f t="shared" si="2304"/>
        <v>0</v>
      </c>
      <c r="AO1090" s="416">
        <f t="shared" si="2304"/>
        <v>49.400217065693496</v>
      </c>
      <c r="AP1090" s="416">
        <f t="shared" si="2304"/>
        <v>25.622571089368499</v>
      </c>
      <c r="AQ1090" s="416">
        <f t="shared" si="2304"/>
        <v>49.377613606619597</v>
      </c>
      <c r="AR1090" s="416">
        <f t="shared" si="2304"/>
        <v>47.635893483708863</v>
      </c>
      <c r="AS1090" s="416">
        <f t="shared" si="2304"/>
        <v>35.294126524572633</v>
      </c>
      <c r="AT1090" s="416">
        <f t="shared" si="2304"/>
        <v>142.50100410549555</v>
      </c>
      <c r="AU1090" s="416">
        <f t="shared" si="2304"/>
        <v>35.926838502372902</v>
      </c>
      <c r="AV1090" s="416">
        <f t="shared" si="2304"/>
        <v>37.058652320060034</v>
      </c>
      <c r="AW1090" s="416">
        <f t="shared" si="2304"/>
        <v>97.305234257372689</v>
      </c>
      <c r="AX1090" s="416">
        <f t="shared" ref="AX1090:BP1090" si="2305">AX$924</f>
        <v>64.11043239519249</v>
      </c>
      <c r="AY1090" s="416">
        <f t="shared" si="2305"/>
        <v>39.182231080533917</v>
      </c>
      <c r="AZ1090" s="416">
        <f t="shared" si="2305"/>
        <v>75.782830687742262</v>
      </c>
      <c r="BA1090" s="416">
        <f t="shared" si="2305"/>
        <v>33.091572293166763</v>
      </c>
      <c r="BB1090" s="416">
        <f t="shared" si="2305"/>
        <v>33.18907983741984</v>
      </c>
      <c r="BC1090" s="416">
        <f t="shared" si="2305"/>
        <v>38.956923720701269</v>
      </c>
      <c r="BD1090" s="416">
        <f t="shared" si="2305"/>
        <v>114.95957863109896</v>
      </c>
      <c r="BE1090" s="416">
        <f t="shared" si="2305"/>
        <v>35.166646755218636</v>
      </c>
      <c r="BF1090" s="416">
        <f t="shared" si="2305"/>
        <v>66.692662215191731</v>
      </c>
      <c r="BG1090" s="416">
        <f t="shared" si="2305"/>
        <v>20.388145502762562</v>
      </c>
      <c r="BH1090" s="416">
        <f t="shared" si="2305"/>
        <v>-9.2078320636189943</v>
      </c>
      <c r="BI1090" s="416">
        <f t="shared" si="2305"/>
        <v>13.092948375074222</v>
      </c>
      <c r="BJ1090" s="416">
        <f t="shared" si="2305"/>
        <v>-26.440108551884734</v>
      </c>
      <c r="BK1090" s="416">
        <f t="shared" si="2305"/>
        <v>-29.224930722817902</v>
      </c>
      <c r="BL1090" s="416">
        <f t="shared" si="2305"/>
        <v>84.410162341847666</v>
      </c>
      <c r="BM1090" s="416">
        <f t="shared" si="2305"/>
        <v>-44.958651826957109</v>
      </c>
      <c r="BN1090" s="416">
        <f t="shared" si="2305"/>
        <v>-18.908860436826735</v>
      </c>
      <c r="BO1090" s="416">
        <f t="shared" si="2305"/>
        <v>19.037651689046292</v>
      </c>
      <c r="BP1090" s="416">
        <f t="shared" si="2305"/>
        <v>-69.812806269244192</v>
      </c>
      <c r="BQ1090" s="416">
        <f t="shared" ref="BQ1090:EB1090" si="2306">BQ$924</f>
        <v>-63.979123292294858</v>
      </c>
      <c r="BR1090" s="416">
        <f t="shared" si="2306"/>
        <v>65.15532343998423</v>
      </c>
      <c r="BS1090" s="416">
        <f t="shared" si="2306"/>
        <v>6.0694768288844614</v>
      </c>
      <c r="BT1090" s="416">
        <f t="shared" si="2306"/>
        <v>-26.352133359487432</v>
      </c>
      <c r="BU1090" s="416">
        <f t="shared" si="2306"/>
        <v>18.472697623059339</v>
      </c>
      <c r="BV1090" s="416">
        <f t="shared" si="2306"/>
        <v>-16.695729181569973</v>
      </c>
      <c r="BW1090" s="416">
        <f t="shared" si="2306"/>
        <v>-29.343123673461093</v>
      </c>
      <c r="BX1090" s="416">
        <f t="shared" si="2306"/>
        <v>26.670872886249363</v>
      </c>
      <c r="BY1090" s="416">
        <f t="shared" si="2306"/>
        <v>-30.293054584938016</v>
      </c>
      <c r="BZ1090" s="416">
        <f t="shared" si="2306"/>
        <v>-33.240856614792129</v>
      </c>
      <c r="CA1090" s="416">
        <f t="shared" si="2306"/>
        <v>35.902338399363416</v>
      </c>
      <c r="CB1090" s="416">
        <f t="shared" si="2306"/>
        <v>-48.338747381329469</v>
      </c>
      <c r="CC1090" s="416">
        <f t="shared" si="2306"/>
        <v>-74.416872919694569</v>
      </c>
      <c r="CD1090" s="417">
        <f t="shared" si="2306"/>
        <v>-34.433830394705687</v>
      </c>
      <c r="CE1090" s="416">
        <f t="shared" si="2306"/>
        <v>-26.76185212157538</v>
      </c>
      <c r="CF1090" s="416">
        <f t="shared" si="2306"/>
        <v>-5.2596285925837307</v>
      </c>
      <c r="CG1090" s="416">
        <f t="shared" si="2306"/>
        <v>35.609336685156919</v>
      </c>
      <c r="CH1090" s="416">
        <f t="shared" si="2306"/>
        <v>-52.968378472524918</v>
      </c>
      <c r="CI1090" s="416">
        <f t="shared" si="2306"/>
        <v>-17.980203433658978</v>
      </c>
      <c r="CJ1090" s="416">
        <f t="shared" si="2306"/>
        <v>49.28227589094034</v>
      </c>
      <c r="CK1090" s="416">
        <f t="shared" si="2306"/>
        <v>-65.473311290370461</v>
      </c>
      <c r="CL1090" s="416">
        <f t="shared" si="2306"/>
        <v>-19.423014050475096</v>
      </c>
      <c r="CM1090" s="416">
        <f t="shared" si="2306"/>
        <v>2.0856531782861225</v>
      </c>
      <c r="CN1090" s="416">
        <f t="shared" si="2306"/>
        <v>-81.689248869119439</v>
      </c>
      <c r="CO1090" s="416">
        <f t="shared" si="2306"/>
        <v>-55.931871386335885</v>
      </c>
      <c r="CP1090" s="418">
        <f t="shared" si="2306"/>
        <v>30.861111029611408</v>
      </c>
      <c r="CQ1090" s="416">
        <f t="shared" si="2306"/>
        <v>-36.660895445730844</v>
      </c>
      <c r="CR1090" s="416">
        <f t="shared" si="2306"/>
        <v>-33.413483721185813</v>
      </c>
      <c r="CS1090" s="416">
        <f t="shared" si="2306"/>
        <v>-11.297947430122164</v>
      </c>
      <c r="CT1090" s="416">
        <f t="shared" si="2306"/>
        <v>-35.939222771696421</v>
      </c>
      <c r="CU1090" s="416">
        <f t="shared" si="2306"/>
        <v>-30.996157782083145</v>
      </c>
      <c r="CV1090" s="416">
        <f t="shared" si="2306"/>
        <v>63.525107592475962</v>
      </c>
      <c r="CW1090" s="416">
        <f t="shared" si="2306"/>
        <v>-49.081097385674973</v>
      </c>
      <c r="CX1090" s="416">
        <f t="shared" si="2306"/>
        <v>-19.389191516231058</v>
      </c>
      <c r="CY1090" s="416">
        <f t="shared" si="2306"/>
        <v>11.952094492553186</v>
      </c>
      <c r="CZ1090" s="416">
        <f t="shared" si="2306"/>
        <v>-83.271125193451383</v>
      </c>
      <c r="DA1090" s="416">
        <f t="shared" si="2306"/>
        <v>-19.203788652399552</v>
      </c>
      <c r="DB1090" s="1311">
        <f t="shared" si="2306"/>
        <v>39.164246564318063</v>
      </c>
      <c r="DC1090" s="416">
        <f t="shared" si="2306"/>
        <v>-34.559898150377805</v>
      </c>
      <c r="DD1090" s="416">
        <f t="shared" si="2306"/>
        <v>-32.057409682394436</v>
      </c>
      <c r="DE1090" s="416">
        <f t="shared" si="2306"/>
        <v>-0.36450229184924865</v>
      </c>
      <c r="DF1090" s="416">
        <f t="shared" si="2306"/>
        <v>-93.316707287972179</v>
      </c>
      <c r="DG1090" s="416">
        <f t="shared" si="2306"/>
        <v>2.0104248696506346</v>
      </c>
      <c r="DH1090" s="416">
        <f t="shared" si="2306"/>
        <v>36.171101518363777</v>
      </c>
      <c r="DI1090" s="416">
        <f t="shared" si="2306"/>
        <v>-95.95068740524087</v>
      </c>
      <c r="DJ1090" s="416">
        <f t="shared" si="2306"/>
        <v>-28.479734629944204</v>
      </c>
      <c r="DK1090" s="416">
        <f t="shared" si="2306"/>
        <v>25.753921366478885</v>
      </c>
      <c r="DL1090" s="416">
        <f t="shared" si="2306"/>
        <v>-40.805174851373948</v>
      </c>
      <c r="DM1090" s="416">
        <f t="shared" si="2306"/>
        <v>-56.648422676147888</v>
      </c>
      <c r="DN1090" s="418">
        <f t="shared" si="2306"/>
        <v>95.530471863579933</v>
      </c>
      <c r="DO1090" s="416">
        <f t="shared" si="2306"/>
        <v>-67.793174901896663</v>
      </c>
      <c r="DP1090" s="416">
        <f t="shared" si="2306"/>
        <v>-51.558953804788672</v>
      </c>
      <c r="DQ1090" s="416">
        <f t="shared" si="2306"/>
        <v>15.64118833443554</v>
      </c>
      <c r="DR1090" s="416">
        <f t="shared" si="2306"/>
        <v>-104.45040069741543</v>
      </c>
      <c r="DS1090" s="416">
        <f t="shared" si="2306"/>
        <v>-46.451659220656566</v>
      </c>
      <c r="DT1090" s="416">
        <f t="shared" si="2306"/>
        <v>41.306515771896905</v>
      </c>
      <c r="DU1090" s="416">
        <f t="shared" si="2306"/>
        <v>-78.17735156202852</v>
      </c>
      <c r="DV1090" s="416">
        <f t="shared" si="2306"/>
        <v>-45.023054028591375</v>
      </c>
      <c r="DW1090" s="416">
        <f t="shared" si="2306"/>
        <v>57.066654138392153</v>
      </c>
      <c r="DX1090" s="416">
        <f t="shared" si="2306"/>
        <v>-114.57496014684085</v>
      </c>
      <c r="DY1090" s="416">
        <f t="shared" si="2306"/>
        <v>-65.571834981162141</v>
      </c>
      <c r="DZ1090" s="418">
        <f t="shared" si="2306"/>
        <v>125.01445637371866</v>
      </c>
      <c r="EA1090" s="416">
        <f t="shared" si="2306"/>
        <v>-57.313987345116736</v>
      </c>
      <c r="EB1090" s="416">
        <f t="shared" si="2306"/>
        <v>-77.343484609301498</v>
      </c>
      <c r="EC1090" s="416">
        <f t="shared" ref="EC1090:GH1090" si="2307">EC$924</f>
        <v>-37.521140206801533</v>
      </c>
      <c r="ED1090" s="416">
        <f t="shared" si="2307"/>
        <v>-50.080393728066291</v>
      </c>
      <c r="EE1090" s="416">
        <f t="shared" si="2307"/>
        <v>-26.711908305778202</v>
      </c>
      <c r="EF1090" s="416">
        <f t="shared" si="2307"/>
        <v>89.768901925736941</v>
      </c>
      <c r="EG1090" s="416">
        <f t="shared" si="2307"/>
        <v>-84.713233505393134</v>
      </c>
      <c r="EH1090" s="416">
        <f t="shared" si="2307"/>
        <v>-27.645032206043027</v>
      </c>
      <c r="EI1090" s="416">
        <f t="shared" si="2307"/>
        <v>-2.8818703263689827</v>
      </c>
      <c r="EJ1090" s="416">
        <f t="shared" si="2307"/>
        <v>-3.5044192872802284</v>
      </c>
      <c r="EK1090" s="416">
        <f t="shared" si="2307"/>
        <v>-92.368079706266357</v>
      </c>
      <c r="EL1090" s="418">
        <f t="shared" si="2307"/>
        <v>34.174433736053345</v>
      </c>
      <c r="EM1090" s="416">
        <f t="shared" si="2307"/>
        <v>-41.2450320747406</v>
      </c>
      <c r="EN1090" s="416">
        <f t="shared" si="2307"/>
        <v>7.422019092168874</v>
      </c>
      <c r="EO1090" s="416">
        <f t="shared" si="2307"/>
        <v>17.707427153892567</v>
      </c>
      <c r="EP1090" s="416">
        <f t="shared" si="2307"/>
        <v>-78.118257061342888</v>
      </c>
      <c r="EQ1090" s="416">
        <f t="shared" si="2307"/>
        <v>-76.845800526046219</v>
      </c>
      <c r="ER1090" s="416">
        <f t="shared" si="2307"/>
        <v>81.217656399050668</v>
      </c>
      <c r="ES1090" s="416">
        <f t="shared" si="2307"/>
        <v>-60.266377327107989</v>
      </c>
      <c r="ET1090" s="416">
        <f t="shared" si="2307"/>
        <v>-41.160456708597167</v>
      </c>
      <c r="EU1090" s="416">
        <f t="shared" si="2307"/>
        <v>-19.680836220710262</v>
      </c>
      <c r="EV1090" s="416">
        <f t="shared" si="2307"/>
        <v>-186.73503605876331</v>
      </c>
      <c r="EW1090" s="416">
        <f t="shared" si="2307"/>
        <v>-146.11055731892336</v>
      </c>
      <c r="EX1090" s="418">
        <f t="shared" si="2307"/>
        <v>27.301063580472629</v>
      </c>
      <c r="EY1090" s="416">
        <f t="shared" si="2307"/>
        <v>-59.216367257956648</v>
      </c>
      <c r="EZ1090" s="416">
        <f t="shared" si="2307"/>
        <v>-82.319959607727796</v>
      </c>
      <c r="FA1090" s="416">
        <f t="shared" si="2307"/>
        <v>-18.098107669984017</v>
      </c>
      <c r="FB1090" s="416">
        <f t="shared" si="2307"/>
        <v>-62.561266838505546</v>
      </c>
      <c r="FC1090" s="416">
        <f t="shared" si="2307"/>
        <v>-106.06364391905292</v>
      </c>
      <c r="FD1090" s="416">
        <f t="shared" si="2307"/>
        <v>37.51269365835077</v>
      </c>
      <c r="FE1090" s="416">
        <f t="shared" si="2307"/>
        <v>-56.522321434854447</v>
      </c>
      <c r="FF1090" s="416">
        <f t="shared" si="2307"/>
        <v>-85.515491389180781</v>
      </c>
      <c r="FG1090" s="416">
        <f t="shared" si="2307"/>
        <v>-85.304897356243018</v>
      </c>
      <c r="FH1090" s="416">
        <f t="shared" si="2307"/>
        <v>-58.35522396751179</v>
      </c>
      <c r="FI1090" s="416">
        <f t="shared" si="2307"/>
        <v>-213.86257033313089</v>
      </c>
      <c r="FJ1090" s="418">
        <f t="shared" si="2307"/>
        <v>49.039345260663907</v>
      </c>
      <c r="FK1090" s="416">
        <f t="shared" si="2307"/>
        <v>-264.96794418352499</v>
      </c>
      <c r="FL1090" s="416">
        <f t="shared" si="2307"/>
        <v>-114.95851901912394</v>
      </c>
      <c r="FM1090" s="416">
        <f t="shared" si="2307"/>
        <v>78.4016167845013</v>
      </c>
      <c r="FN1090" s="416">
        <f t="shared" si="2307"/>
        <v>-15.473275464505576</v>
      </c>
      <c r="FO1090" s="416">
        <f t="shared" si="2307"/>
        <v>-131.70245408023607</v>
      </c>
      <c r="FP1090" s="416">
        <f t="shared" si="2307"/>
        <v>-16.626132025068102</v>
      </c>
      <c r="FQ1090" s="416">
        <f t="shared" si="2307"/>
        <v>-87.504129940396297</v>
      </c>
      <c r="FR1090" s="416">
        <f t="shared" si="2307"/>
        <v>-92.726807076614648</v>
      </c>
      <c r="FS1090" s="416">
        <f t="shared" si="2307"/>
        <v>3.600993323486108</v>
      </c>
      <c r="FT1090" s="416">
        <f t="shared" si="2307"/>
        <v>-19.252098963747571</v>
      </c>
      <c r="FU1090" s="416">
        <f t="shared" si="2307"/>
        <v>-233.57140353518332</v>
      </c>
      <c r="FV1090" s="418">
        <f t="shared" si="2307"/>
        <v>118.7575575858867</v>
      </c>
      <c r="FW1090" s="416">
        <f t="shared" si="2307"/>
        <v>-86.757764847063982</v>
      </c>
      <c r="FX1090" s="416">
        <f t="shared" si="2307"/>
        <v>-55.126535181717074</v>
      </c>
      <c r="FY1090" s="416">
        <f t="shared" si="2307"/>
        <v>-114.4853690854966</v>
      </c>
      <c r="FZ1090" s="416">
        <f t="shared" si="2307"/>
        <v>-121.23602056953979</v>
      </c>
      <c r="GA1090" s="416">
        <f t="shared" si="2307"/>
        <v>-33.249545396800073</v>
      </c>
      <c r="GB1090" s="416">
        <f t="shared" si="2307"/>
        <v>-47.341804396159858</v>
      </c>
      <c r="GC1090" s="416">
        <f t="shared" si="2307"/>
        <v>-136.27992244803835</v>
      </c>
      <c r="GD1090" s="416">
        <f t="shared" si="2307"/>
        <v>-138.87711470864298</v>
      </c>
      <c r="GE1090" s="416">
        <f t="shared" si="2307"/>
        <v>52.948797802354164</v>
      </c>
      <c r="GF1090" s="416">
        <f t="shared" si="2307"/>
        <v>-107.55231464362349</v>
      </c>
      <c r="GG1090" s="416">
        <f t="shared" si="2307"/>
        <v>-2.0227516473765661</v>
      </c>
      <c r="GH1090" s="416">
        <f t="shared" si="2307"/>
        <v>20.223345017978289</v>
      </c>
      <c r="IA1090" s="415" t="s">
        <v>559</v>
      </c>
      <c r="IB1090" s="415"/>
      <c r="IC1090" s="415"/>
      <c r="ID1090" s="279">
        <f>ID$924</f>
        <v>-207.64913143264909</v>
      </c>
      <c r="IE1090" s="279">
        <f>IE$924</f>
        <v>-84.782599558342412</v>
      </c>
      <c r="IF1090" s="279">
        <f>IF$924</f>
        <v>-119.8288616908857</v>
      </c>
      <c r="IG1090" s="434">
        <f>IG$924</f>
        <v>-204.61146124922811</v>
      </c>
      <c r="IH1090" s="284"/>
      <c r="IJ1090" s="434">
        <f>IJ$924</f>
        <v>-222.71661735722734</v>
      </c>
      <c r="IM1090" s="434">
        <f>IM$924</f>
        <v>-334.57257472493694</v>
      </c>
      <c r="IP1090" s="434">
        <f>IP$924</f>
        <v>-336.1402135646257</v>
      </c>
      <c r="IQ1090" s="434"/>
      <c r="IR1090" s="434"/>
      <c r="IS1090" s="434">
        <f>IS$924</f>
        <v>-516.51418707064704</v>
      </c>
      <c r="IT1090" s="434"/>
      <c r="IU1090" s="434"/>
      <c r="IV1090" s="434">
        <f>IV$924</f>
        <v>-741.26781085513312</v>
      </c>
      <c r="IW1090" s="434"/>
      <c r="IX1090" s="434"/>
      <c r="IY1090" s="434">
        <f>IY$924</f>
        <v>-776.02259659452648</v>
      </c>
      <c r="IZ1090" s="434"/>
      <c r="JA1090" s="434">
        <f>JA$924</f>
        <v>-311.55996062734891</v>
      </c>
      <c r="JB1090" s="434">
        <f>JB$924</f>
        <v>-769.75700010412629</v>
      </c>
      <c r="JC1090" s="434">
        <f>JC$924</f>
        <v>-486.02476901290061</v>
      </c>
      <c r="JD1090" s="434">
        <f>JD$924</f>
        <v>-489.5268947326224</v>
      </c>
      <c r="JE1090" s="434"/>
      <c r="JF1090" s="434"/>
      <c r="JG1090" s="434"/>
      <c r="JH1090" s="434"/>
      <c r="JI1090" s="434"/>
      <c r="JJ1090" s="434"/>
      <c r="JK1090" s="434"/>
      <c r="KY1090" s="279">
        <f>KY$924</f>
        <v>0</v>
      </c>
      <c r="KZ1090" s="279">
        <f>KZ$924</f>
        <v>0</v>
      </c>
      <c r="LA1090" s="279">
        <f>LA$924</f>
        <v>0</v>
      </c>
      <c r="LB1090" s="279">
        <f>LB$924</f>
        <v>0</v>
      </c>
    </row>
    <row r="1091" spans="1:314">
      <c r="B1091" s="96" t="s">
        <v>338</v>
      </c>
      <c r="D1091" s="415" t="str">
        <f>D$925</f>
        <v>excluding grants</v>
      </c>
      <c r="E1091" s="416">
        <f>E$925</f>
        <v>0</v>
      </c>
      <c r="F1091" s="416">
        <f t="shared" ref="F1091:L1091" si="2308">F$925</f>
        <v>0</v>
      </c>
      <c r="G1091" s="416">
        <f t="shared" si="2308"/>
        <v>0</v>
      </c>
      <c r="H1091" s="416">
        <f t="shared" si="2308"/>
        <v>0</v>
      </c>
      <c r="I1091" s="416">
        <f t="shared" si="2308"/>
        <v>0</v>
      </c>
      <c r="J1091" s="416">
        <f t="shared" si="2308"/>
        <v>0</v>
      </c>
      <c r="K1091" s="416">
        <f t="shared" si="2308"/>
        <v>0</v>
      </c>
      <c r="L1091" s="416">
        <f t="shared" si="2308"/>
        <v>0</v>
      </c>
      <c r="M1091" s="416">
        <f t="shared" ref="M1091:AW1091" si="2309">M$925</f>
        <v>0</v>
      </c>
      <c r="N1091" s="416">
        <f t="shared" si="2309"/>
        <v>0</v>
      </c>
      <c r="O1091" s="416">
        <f t="shared" si="2309"/>
        <v>0</v>
      </c>
      <c r="P1091" s="416">
        <f t="shared" si="2309"/>
        <v>0</v>
      </c>
      <c r="Q1091" s="416">
        <f t="shared" si="2309"/>
        <v>0</v>
      </c>
      <c r="R1091" s="416">
        <f t="shared" si="2309"/>
        <v>0</v>
      </c>
      <c r="S1091" s="416">
        <f t="shared" si="2309"/>
        <v>0</v>
      </c>
      <c r="T1091" s="416">
        <f t="shared" si="2309"/>
        <v>0</v>
      </c>
      <c r="U1091" s="416">
        <f t="shared" si="2309"/>
        <v>0</v>
      </c>
      <c r="V1091" s="416">
        <f t="shared" si="2309"/>
        <v>0</v>
      </c>
      <c r="W1091" s="416">
        <f t="shared" si="2309"/>
        <v>0</v>
      </c>
      <c r="X1091" s="416">
        <f t="shared" si="2309"/>
        <v>0</v>
      </c>
      <c r="Y1091" s="416">
        <f t="shared" si="2309"/>
        <v>0</v>
      </c>
      <c r="Z1091" s="416">
        <f t="shared" si="2309"/>
        <v>0</v>
      </c>
      <c r="AA1091" s="416">
        <f t="shared" si="2309"/>
        <v>0</v>
      </c>
      <c r="AB1091" s="416">
        <f t="shared" si="2309"/>
        <v>0</v>
      </c>
      <c r="AC1091" s="416">
        <f t="shared" si="2309"/>
        <v>0</v>
      </c>
      <c r="AD1091" s="416">
        <f t="shared" si="2309"/>
        <v>0</v>
      </c>
      <c r="AE1091" s="416">
        <f t="shared" si="2309"/>
        <v>0</v>
      </c>
      <c r="AF1091" s="416">
        <f t="shared" si="2309"/>
        <v>0</v>
      </c>
      <c r="AG1091" s="416">
        <f t="shared" si="2309"/>
        <v>0</v>
      </c>
      <c r="AH1091" s="416">
        <f t="shared" si="2309"/>
        <v>0</v>
      </c>
      <c r="AI1091" s="416">
        <f t="shared" si="2309"/>
        <v>0</v>
      </c>
      <c r="AJ1091" s="416">
        <f t="shared" si="2309"/>
        <v>0</v>
      </c>
      <c r="AK1091" s="416">
        <f t="shared" si="2309"/>
        <v>0</v>
      </c>
      <c r="AL1091" s="416">
        <f t="shared" si="2309"/>
        <v>0</v>
      </c>
      <c r="AM1091" s="416">
        <f t="shared" si="2309"/>
        <v>0</v>
      </c>
      <c r="AN1091" s="416">
        <f t="shared" si="2309"/>
        <v>0</v>
      </c>
      <c r="AO1091" s="416">
        <f t="shared" si="2309"/>
        <v>27.751015478693496</v>
      </c>
      <c r="AP1091" s="416">
        <f t="shared" si="2309"/>
        <v>25.622571089368499</v>
      </c>
      <c r="AQ1091" s="416">
        <f t="shared" si="2309"/>
        <v>41.356269326619596</v>
      </c>
      <c r="AR1091" s="416">
        <f t="shared" si="2309"/>
        <v>35.054049921708867</v>
      </c>
      <c r="AS1091" s="416">
        <f t="shared" si="2309"/>
        <v>26.237433827572634</v>
      </c>
      <c r="AT1091" s="416">
        <f t="shared" si="2309"/>
        <v>45.235714580495539</v>
      </c>
      <c r="AU1091" s="416">
        <f t="shared" si="2309"/>
        <v>21.566895028554796</v>
      </c>
      <c r="AV1091" s="416">
        <f t="shared" si="2309"/>
        <v>29.826142895793659</v>
      </c>
      <c r="AW1091" s="416">
        <f t="shared" si="2309"/>
        <v>37.788362814713352</v>
      </c>
      <c r="AX1091" s="416">
        <f t="shared" ref="AX1091:BP1091" si="2310">AX$925</f>
        <v>30.699014929822674</v>
      </c>
      <c r="AY1091" s="416">
        <f t="shared" si="2310"/>
        <v>23.137405792028275</v>
      </c>
      <c r="AZ1091" s="416">
        <f t="shared" si="2310"/>
        <v>-34.043769182265159</v>
      </c>
      <c r="BA1091" s="416">
        <f t="shared" si="2310"/>
        <v>24.289573029073388</v>
      </c>
      <c r="BB1091" s="416">
        <f t="shared" si="2310"/>
        <v>22.611793397907704</v>
      </c>
      <c r="BC1091" s="416">
        <f t="shared" si="2310"/>
        <v>30.71205744082306</v>
      </c>
      <c r="BD1091" s="416">
        <f t="shared" si="2310"/>
        <v>39.609295413114154</v>
      </c>
      <c r="BE1091" s="416">
        <f t="shared" si="2310"/>
        <v>25.438634214780624</v>
      </c>
      <c r="BF1091" s="416">
        <f t="shared" si="2310"/>
        <v>39.39422964073497</v>
      </c>
      <c r="BG1091" s="416">
        <f t="shared" si="2310"/>
        <v>-29.177591169418662</v>
      </c>
      <c r="BH1091" s="416">
        <f t="shared" si="2310"/>
        <v>-55.016647985071067</v>
      </c>
      <c r="BI1091" s="416">
        <f t="shared" si="2310"/>
        <v>-30.951275242391738</v>
      </c>
      <c r="BJ1091" s="416">
        <f t="shared" si="2310"/>
        <v>-112.8246017508427</v>
      </c>
      <c r="BK1091" s="416">
        <f t="shared" si="2310"/>
        <v>-47.372881513294679</v>
      </c>
      <c r="BL1091" s="416">
        <f t="shared" si="2310"/>
        <v>-2.1946258460406867</v>
      </c>
      <c r="BM1091" s="416">
        <f t="shared" si="2310"/>
        <v>-50.972255490850543</v>
      </c>
      <c r="BN1091" s="416">
        <f t="shared" si="2310"/>
        <v>-30.550508511711406</v>
      </c>
      <c r="BO1091" s="416">
        <f t="shared" si="2310"/>
        <v>2.1697115572681085</v>
      </c>
      <c r="BP1091" s="416">
        <f t="shared" si="2310"/>
        <v>-75.241027379812024</v>
      </c>
      <c r="BQ1091" s="416">
        <f t="shared" ref="BQ1091:EB1091" si="2311">BQ$925</f>
        <v>-68.851324063690555</v>
      </c>
      <c r="BR1091" s="416">
        <f t="shared" si="2311"/>
        <v>-16.851042965073589</v>
      </c>
      <c r="BS1091" s="416">
        <f t="shared" si="2311"/>
        <v>-34.734403259505164</v>
      </c>
      <c r="BT1091" s="416">
        <f t="shared" si="2311"/>
        <v>-41.16554281941854</v>
      </c>
      <c r="BU1091" s="416">
        <f t="shared" si="2311"/>
        <v>-4.297311638462773</v>
      </c>
      <c r="BV1091" s="416">
        <f t="shared" si="2311"/>
        <v>-65.306134557500272</v>
      </c>
      <c r="BW1091" s="416">
        <f t="shared" si="2311"/>
        <v>-70.882013851235996</v>
      </c>
      <c r="BX1091" s="416">
        <f t="shared" si="2311"/>
        <v>-5.4060295976085087</v>
      </c>
      <c r="BY1091" s="416">
        <f t="shared" si="2311"/>
        <v>-30.293060993378756</v>
      </c>
      <c r="BZ1091" s="416">
        <f t="shared" si="2311"/>
        <v>-37.191125657413707</v>
      </c>
      <c r="CA1091" s="416">
        <f t="shared" si="2311"/>
        <v>13.970274033269082</v>
      </c>
      <c r="CB1091" s="416">
        <f t="shared" si="2311"/>
        <v>-86.390736783278712</v>
      </c>
      <c r="CC1091" s="416">
        <f t="shared" si="2311"/>
        <v>-124.7756847913459</v>
      </c>
      <c r="CD1091" s="417">
        <f t="shared" si="2311"/>
        <v>-77.617756099291512</v>
      </c>
      <c r="CE1091" s="416">
        <f t="shared" si="2311"/>
        <v>-58.056348342282078</v>
      </c>
      <c r="CF1091" s="416">
        <f t="shared" si="2311"/>
        <v>-44.109106158605542</v>
      </c>
      <c r="CG1091" s="416">
        <f t="shared" si="2311"/>
        <v>-40.422364937737576</v>
      </c>
      <c r="CH1091" s="416">
        <f t="shared" si="2311"/>
        <v>-101.35119094057451</v>
      </c>
      <c r="CI1091" s="416">
        <f t="shared" si="2311"/>
        <v>-53.99293621727243</v>
      </c>
      <c r="CJ1091" s="416">
        <f t="shared" si="2311"/>
        <v>-13.561733304974609</v>
      </c>
      <c r="CK1091" s="416">
        <f t="shared" si="2311"/>
        <v>-87.842639689051765</v>
      </c>
      <c r="CL1091" s="416">
        <f t="shared" si="2311"/>
        <v>-34.793327919947792</v>
      </c>
      <c r="CM1091" s="416">
        <f t="shared" si="2311"/>
        <v>-13.174704553559877</v>
      </c>
      <c r="CN1091" s="416">
        <f t="shared" si="2311"/>
        <v>-141.9125714926578</v>
      </c>
      <c r="CO1091" s="416">
        <f t="shared" si="2311"/>
        <v>-92.543720989746049</v>
      </c>
      <c r="CP1091" s="418">
        <f t="shared" si="2311"/>
        <v>-0.20514410885918721</v>
      </c>
      <c r="CQ1091" s="416">
        <f t="shared" si="2311"/>
        <v>-71.109328748307775</v>
      </c>
      <c r="CR1091" s="416">
        <f t="shared" si="2311"/>
        <v>-54.048820713615669</v>
      </c>
      <c r="CS1091" s="416">
        <f t="shared" si="2311"/>
        <v>-43.385894330414885</v>
      </c>
      <c r="CT1091" s="416">
        <f t="shared" si="2311"/>
        <v>-63.551257175627526</v>
      </c>
      <c r="CU1091" s="416">
        <f t="shared" si="2311"/>
        <v>-68.432840958901437</v>
      </c>
      <c r="CV1091" s="416">
        <f t="shared" si="2311"/>
        <v>-25.17383742194653</v>
      </c>
      <c r="CW1091" s="416">
        <f t="shared" si="2311"/>
        <v>-68.285262888737407</v>
      </c>
      <c r="CX1091" s="416">
        <f t="shared" si="2311"/>
        <v>-40.136139288199416</v>
      </c>
      <c r="CY1091" s="416">
        <f t="shared" si="2311"/>
        <v>-23.917021213912534</v>
      </c>
      <c r="CZ1091" s="416">
        <f t="shared" si="2311"/>
        <v>-109.25618797589509</v>
      </c>
      <c r="DA1091" s="416">
        <f t="shared" si="2311"/>
        <v>-71.128739003604295</v>
      </c>
      <c r="DB1091" s="1311">
        <f t="shared" si="2311"/>
        <v>17.886461474634871</v>
      </c>
      <c r="DC1091" s="416">
        <f t="shared" si="2311"/>
        <v>-66.512342509465441</v>
      </c>
      <c r="DD1091" s="416">
        <f t="shared" si="2311"/>
        <v>-57.234342451896694</v>
      </c>
      <c r="DE1091" s="416">
        <f t="shared" si="2311"/>
        <v>-38.097976293942551</v>
      </c>
      <c r="DF1091" s="416">
        <f t="shared" si="2311"/>
        <v>-103.94727168432044</v>
      </c>
      <c r="DG1091" s="416">
        <f t="shared" si="2311"/>
        <v>-40.231940758164626</v>
      </c>
      <c r="DH1091" s="416">
        <f t="shared" si="2311"/>
        <v>-15.686826633592084</v>
      </c>
      <c r="DI1091" s="416">
        <f t="shared" si="2311"/>
        <v>-106.04233071017306</v>
      </c>
      <c r="DJ1091" s="416">
        <f t="shared" si="2311"/>
        <v>-43.032413333272714</v>
      </c>
      <c r="DK1091" s="416">
        <f t="shared" si="2311"/>
        <v>10.450638582680163</v>
      </c>
      <c r="DL1091" s="416">
        <f t="shared" si="2311"/>
        <v>-106.09223092025107</v>
      </c>
      <c r="DM1091" s="416">
        <f t="shared" si="2311"/>
        <v>-76.174225770617795</v>
      </c>
      <c r="DN1091" s="418">
        <f t="shared" si="2311"/>
        <v>46.171039332239587</v>
      </c>
      <c r="DO1091" s="416">
        <f t="shared" si="2311"/>
        <v>-101.21561912885412</v>
      </c>
      <c r="DP1091" s="416">
        <f t="shared" si="2311"/>
        <v>-69.851589556209362</v>
      </c>
      <c r="DQ1091" s="416">
        <f t="shared" si="2311"/>
        <v>3.1670747109891266</v>
      </c>
      <c r="DR1091" s="416">
        <f t="shared" si="2311"/>
        <v>-107.98817409774396</v>
      </c>
      <c r="DS1091" s="416">
        <f t="shared" si="2311"/>
        <v>-77.80475087488621</v>
      </c>
      <c r="DT1091" s="416">
        <f t="shared" si="2311"/>
        <v>-24.829349737193631</v>
      </c>
      <c r="DU1091" s="416">
        <f t="shared" si="2311"/>
        <v>-105.09062602933369</v>
      </c>
      <c r="DV1091" s="416">
        <f t="shared" si="2311"/>
        <v>-60.779991661666116</v>
      </c>
      <c r="DW1091" s="416">
        <f t="shared" si="2311"/>
        <v>36.587364345877575</v>
      </c>
      <c r="DX1091" s="416">
        <f t="shared" si="2311"/>
        <v>-132.7036290197903</v>
      </c>
      <c r="DY1091" s="416">
        <f t="shared" si="2311"/>
        <v>-77.22342329374068</v>
      </c>
      <c r="DZ1091" s="418">
        <f t="shared" si="2311"/>
        <v>52.978055671095873</v>
      </c>
      <c r="EA1091" s="416">
        <f t="shared" si="2311"/>
        <v>-91.68801525080849</v>
      </c>
      <c r="EB1091" s="416">
        <f t="shared" si="2311"/>
        <v>-97.278647189699242</v>
      </c>
      <c r="EC1091" s="416">
        <f t="shared" ref="EC1091:GH1091" si="2312">EC$925</f>
        <v>-62.86380623471203</v>
      </c>
      <c r="ED1091" s="416">
        <f t="shared" si="2312"/>
        <v>-73.427268956132224</v>
      </c>
      <c r="EE1091" s="416">
        <f t="shared" si="2312"/>
        <v>-55.060088918528997</v>
      </c>
      <c r="EF1091" s="416">
        <f t="shared" si="2312"/>
        <v>26.340522598238572</v>
      </c>
      <c r="EG1091" s="416">
        <f t="shared" si="2312"/>
        <v>-131.93789136016829</v>
      </c>
      <c r="EH1091" s="416">
        <f t="shared" si="2312"/>
        <v>-43.725778650533186</v>
      </c>
      <c r="EI1091" s="416">
        <f t="shared" si="2312"/>
        <v>-40.194469340997728</v>
      </c>
      <c r="EJ1091" s="416">
        <f t="shared" si="2312"/>
        <v>-27.993139175831033</v>
      </c>
      <c r="EK1091" s="416">
        <f t="shared" si="2312"/>
        <v>-100.50409010363694</v>
      </c>
      <c r="EL1091" s="418">
        <f t="shared" si="2312"/>
        <v>3.2837821494733817</v>
      </c>
      <c r="EM1091" s="416">
        <f t="shared" si="2312"/>
        <v>-65.168087266251831</v>
      </c>
      <c r="EN1091" s="416">
        <f t="shared" si="2312"/>
        <v>-25.590535023843508</v>
      </c>
      <c r="EO1091" s="416">
        <f t="shared" si="2312"/>
        <v>-14.452512587807703</v>
      </c>
      <c r="EP1091" s="416">
        <f t="shared" si="2312"/>
        <v>-103.83183124009207</v>
      </c>
      <c r="EQ1091" s="416">
        <f t="shared" si="2312"/>
        <v>-85.434963428457223</v>
      </c>
      <c r="ER1091" s="416">
        <f t="shared" si="2312"/>
        <v>-29.93624498685034</v>
      </c>
      <c r="ES1091" s="416">
        <f t="shared" si="2312"/>
        <v>-86.071198484854733</v>
      </c>
      <c r="ET1091" s="416">
        <f t="shared" si="2312"/>
        <v>-81.422020935065376</v>
      </c>
      <c r="EU1091" s="416">
        <f t="shared" si="2312"/>
        <v>-46.097560698081764</v>
      </c>
      <c r="EV1091" s="416">
        <f t="shared" si="2312"/>
        <v>-218.64201132231642</v>
      </c>
      <c r="EW1091" s="416">
        <f t="shared" si="2312"/>
        <v>-155.3841386548396</v>
      </c>
      <c r="EX1091" s="418">
        <f t="shared" si="2312"/>
        <v>0.76685970159775252</v>
      </c>
      <c r="EY1091" s="416">
        <f t="shared" si="2312"/>
        <v>-91.458201113050052</v>
      </c>
      <c r="EZ1091" s="416">
        <f t="shared" si="2312"/>
        <v>-101.44030048234198</v>
      </c>
      <c r="FA1091" s="416">
        <f t="shared" si="2312"/>
        <v>-60.182875264020254</v>
      </c>
      <c r="FB1091" s="416">
        <f t="shared" si="2312"/>
        <v>-79.702279099968777</v>
      </c>
      <c r="FC1091" s="416">
        <f t="shared" si="2312"/>
        <v>-134.65526537614778</v>
      </c>
      <c r="FD1091" s="416">
        <f t="shared" si="2312"/>
        <v>-43.777500609263996</v>
      </c>
      <c r="FE1091" s="416">
        <f t="shared" si="2312"/>
        <v>-75.097099156941894</v>
      </c>
      <c r="FF1091" s="416">
        <f t="shared" si="2312"/>
        <v>-126.34511604638755</v>
      </c>
      <c r="FG1091" s="416">
        <f t="shared" si="2312"/>
        <v>-108.79029727165108</v>
      </c>
      <c r="FH1091" s="416">
        <f t="shared" si="2312"/>
        <v>-101.78965722058271</v>
      </c>
      <c r="FI1091" s="416">
        <f t="shared" si="2312"/>
        <v>-239.57359099881288</v>
      </c>
      <c r="FJ1091" s="418">
        <f t="shared" si="2312"/>
        <v>-16.014032859831758</v>
      </c>
      <c r="FK1091" s="416">
        <f t="shared" si="2312"/>
        <v>-282.98441313600625</v>
      </c>
      <c r="FL1091" s="416">
        <f t="shared" si="2312"/>
        <v>-136.99667986854155</v>
      </c>
      <c r="FM1091" s="416">
        <f t="shared" si="2312"/>
        <v>-6.713223252341578</v>
      </c>
      <c r="FN1091" s="416">
        <f t="shared" si="2312"/>
        <v>-71.269028807069702</v>
      </c>
      <c r="FO1091" s="416">
        <f t="shared" si="2312"/>
        <v>-156.29944404316814</v>
      </c>
      <c r="FP1091" s="416">
        <f t="shared" si="2312"/>
        <v>-69.569416110449311</v>
      </c>
      <c r="FQ1091" s="416">
        <f t="shared" si="2312"/>
        <v>-113.601452277943</v>
      </c>
      <c r="FR1091" s="416">
        <f t="shared" si="2312"/>
        <v>-118.82412941416135</v>
      </c>
      <c r="FS1091" s="416">
        <f t="shared" si="2312"/>
        <v>-98.374190028299267</v>
      </c>
      <c r="FT1091" s="416">
        <f t="shared" si="2312"/>
        <v>-59.344354046411425</v>
      </c>
      <c r="FU1091" s="416">
        <f t="shared" si="2312"/>
        <v>-260.11218690339672</v>
      </c>
      <c r="FV1091" s="418">
        <f t="shared" si="2312"/>
        <v>36.977753492179801</v>
      </c>
      <c r="FW1091" s="416">
        <f t="shared" si="2312"/>
        <v>-112.29458203926244</v>
      </c>
      <c r="FX1091" s="416">
        <f t="shared" si="2312"/>
        <v>-123.89568420473832</v>
      </c>
      <c r="FY1091" s="416">
        <f t="shared" si="2312"/>
        <v>-148.62634591320631</v>
      </c>
      <c r="FZ1091" s="416">
        <f t="shared" si="2312"/>
        <v>-172.82311269530587</v>
      </c>
      <c r="GA1091" s="416">
        <f t="shared" si="2312"/>
        <v>-87.40605562055535</v>
      </c>
      <c r="GB1091" s="416">
        <f t="shared" si="2312"/>
        <v>-111.86419545508579</v>
      </c>
      <c r="GC1091" s="416">
        <f t="shared" si="2312"/>
        <v>-187.65986095749389</v>
      </c>
      <c r="GD1091" s="416">
        <f t="shared" si="2312"/>
        <v>-171.77172436164801</v>
      </c>
      <c r="GE1091" s="416">
        <f t="shared" si="2312"/>
        <v>-74.664391835422066</v>
      </c>
      <c r="GF1091" s="416">
        <f t="shared" si="2312"/>
        <v>-172.19115694801957</v>
      </c>
      <c r="GG1091" s="416">
        <f t="shared" si="2312"/>
        <v>-213.42410968497646</v>
      </c>
      <c r="GH1091" s="416">
        <f t="shared" si="2312"/>
        <v>-17.320139814693647</v>
      </c>
      <c r="IA1091" s="415" t="s">
        <v>560</v>
      </c>
      <c r="IB1091" s="415"/>
      <c r="IC1091" s="415"/>
      <c r="ID1091" s="279">
        <f>ID$925</f>
        <v>-681.96578865526931</v>
      </c>
      <c r="IE1091" s="279">
        <f>IE$925</f>
        <v>-325.70197934881384</v>
      </c>
      <c r="IF1091" s="279">
        <f>IF$925</f>
        <v>-294.83688889571386</v>
      </c>
      <c r="IG1091" s="434">
        <f>IG$925</f>
        <v>-620.53886824452775</v>
      </c>
      <c r="IH1091" s="284"/>
      <c r="IJ1091" s="434">
        <f>IJ$925</f>
        <v>-596.43022315077678</v>
      </c>
      <c r="IM1091" s="434">
        <f>IM$925</f>
        <v>-664.75465867145545</v>
      </c>
      <c r="IP1091" s="434">
        <f>IP$925</f>
        <v>-695.04889043333617</v>
      </c>
      <c r="IQ1091" s="434"/>
      <c r="IR1091" s="434"/>
      <c r="IS1091" s="434">
        <f>IS$925</f>
        <v>-911.26424492686283</v>
      </c>
      <c r="IT1091" s="434"/>
      <c r="IU1091" s="434"/>
      <c r="IV1091" s="434">
        <f>IV$925</f>
        <v>-1178.8262154990007</v>
      </c>
      <c r="IW1091" s="434"/>
      <c r="IX1091" s="434"/>
      <c r="IY1091" s="434">
        <f>IY$925</f>
        <v>-1337.1107643956084</v>
      </c>
      <c r="IZ1091" s="434"/>
      <c r="JA1091" s="434">
        <f>JA$925</f>
        <v>-837.03138360225364</v>
      </c>
      <c r="JB1091" s="434">
        <f>JB$925</f>
        <v>-1593.9413595304077</v>
      </c>
      <c r="JC1091" s="434">
        <f>JC$925</f>
        <v>-758.67335380745203</v>
      </c>
      <c r="JD1091" s="434">
        <f>JD$925</f>
        <v>-928.18555569302293</v>
      </c>
      <c r="JE1091" s="434"/>
      <c r="JF1091" s="434"/>
      <c r="JG1091" s="434"/>
      <c r="JH1091" s="434"/>
      <c r="JI1091" s="434"/>
      <c r="JJ1091" s="434"/>
      <c r="JK1091" s="434"/>
      <c r="KY1091" s="279">
        <f>KY$925</f>
        <v>0</v>
      </c>
      <c r="KZ1091" s="279">
        <f>KZ$925</f>
        <v>0</v>
      </c>
      <c r="LA1091" s="279">
        <f>LA$925</f>
        <v>0</v>
      </c>
      <c r="LB1091" s="279">
        <f>LB$925</f>
        <v>0</v>
      </c>
    </row>
    <row r="1092" spans="1:314">
      <c r="B1092" s="96" t="s">
        <v>338</v>
      </c>
      <c r="D1092" s="419" t="str">
        <f>D$947</f>
        <v>Net acquisition of financial assets</v>
      </c>
      <c r="E1092" s="420">
        <f>E$947</f>
        <v>0</v>
      </c>
      <c r="F1092" s="420">
        <f t="shared" ref="F1092:L1092" si="2313">F$947</f>
        <v>0</v>
      </c>
      <c r="G1092" s="420">
        <f t="shared" si="2313"/>
        <v>0</v>
      </c>
      <c r="H1092" s="420">
        <f t="shared" si="2313"/>
        <v>0</v>
      </c>
      <c r="I1092" s="420">
        <f t="shared" si="2313"/>
        <v>0</v>
      </c>
      <c r="J1092" s="420">
        <f t="shared" si="2313"/>
        <v>0</v>
      </c>
      <c r="K1092" s="420">
        <f t="shared" si="2313"/>
        <v>0</v>
      </c>
      <c r="L1092" s="420">
        <f t="shared" si="2313"/>
        <v>0</v>
      </c>
      <c r="M1092" s="420">
        <f t="shared" ref="M1092:AW1092" si="2314">M$947</f>
        <v>0</v>
      </c>
      <c r="N1092" s="420">
        <f t="shared" si="2314"/>
        <v>0</v>
      </c>
      <c r="O1092" s="420">
        <f t="shared" si="2314"/>
        <v>0</v>
      </c>
      <c r="P1092" s="420">
        <f t="shared" si="2314"/>
        <v>0</v>
      </c>
      <c r="Q1092" s="420">
        <f t="shared" si="2314"/>
        <v>0</v>
      </c>
      <c r="R1092" s="420">
        <f t="shared" si="2314"/>
        <v>0</v>
      </c>
      <c r="S1092" s="420">
        <f t="shared" si="2314"/>
        <v>0</v>
      </c>
      <c r="T1092" s="420">
        <f t="shared" si="2314"/>
        <v>0</v>
      </c>
      <c r="U1092" s="420">
        <f t="shared" si="2314"/>
        <v>0</v>
      </c>
      <c r="V1092" s="420">
        <f t="shared" si="2314"/>
        <v>0</v>
      </c>
      <c r="W1092" s="420">
        <f t="shared" si="2314"/>
        <v>0</v>
      </c>
      <c r="X1092" s="420">
        <f t="shared" si="2314"/>
        <v>0</v>
      </c>
      <c r="Y1092" s="420">
        <f t="shared" si="2314"/>
        <v>0</v>
      </c>
      <c r="Z1092" s="420">
        <f t="shared" si="2314"/>
        <v>0</v>
      </c>
      <c r="AA1092" s="420">
        <f t="shared" si="2314"/>
        <v>0</v>
      </c>
      <c r="AB1092" s="420">
        <f t="shared" si="2314"/>
        <v>0</v>
      </c>
      <c r="AC1092" s="420">
        <f t="shared" si="2314"/>
        <v>0</v>
      </c>
      <c r="AD1092" s="420">
        <f t="shared" si="2314"/>
        <v>0</v>
      </c>
      <c r="AE1092" s="420">
        <f t="shared" si="2314"/>
        <v>0</v>
      </c>
      <c r="AF1092" s="420">
        <f t="shared" si="2314"/>
        <v>0</v>
      </c>
      <c r="AG1092" s="420">
        <f t="shared" si="2314"/>
        <v>0</v>
      </c>
      <c r="AH1092" s="420">
        <f t="shared" si="2314"/>
        <v>0</v>
      </c>
      <c r="AI1092" s="420">
        <f t="shared" si="2314"/>
        <v>0</v>
      </c>
      <c r="AJ1092" s="420">
        <f t="shared" si="2314"/>
        <v>0</v>
      </c>
      <c r="AK1092" s="420">
        <f t="shared" si="2314"/>
        <v>0</v>
      </c>
      <c r="AL1092" s="420">
        <f t="shared" si="2314"/>
        <v>0</v>
      </c>
      <c r="AM1092" s="420">
        <f t="shared" si="2314"/>
        <v>0</v>
      </c>
      <c r="AN1092" s="420">
        <f t="shared" si="2314"/>
        <v>0</v>
      </c>
      <c r="AO1092" s="420">
        <f t="shared" si="2314"/>
        <v>0</v>
      </c>
      <c r="AP1092" s="420">
        <f t="shared" si="2314"/>
        <v>0</v>
      </c>
      <c r="AQ1092" s="420">
        <f t="shared" si="2314"/>
        <v>0</v>
      </c>
      <c r="AR1092" s="420">
        <f t="shared" si="2314"/>
        <v>0</v>
      </c>
      <c r="AS1092" s="420">
        <f t="shared" si="2314"/>
        <v>0</v>
      </c>
      <c r="AT1092" s="420">
        <f t="shared" si="2314"/>
        <v>0</v>
      </c>
      <c r="AU1092" s="420">
        <f t="shared" si="2314"/>
        <v>0</v>
      </c>
      <c r="AV1092" s="420">
        <f t="shared" si="2314"/>
        <v>0</v>
      </c>
      <c r="AW1092" s="420">
        <f t="shared" si="2314"/>
        <v>0</v>
      </c>
      <c r="AX1092" s="420">
        <f t="shared" ref="AX1092:BP1092" si="2315">AX$947</f>
        <v>0</v>
      </c>
      <c r="AY1092" s="420">
        <f t="shared" si="2315"/>
        <v>0</v>
      </c>
      <c r="AZ1092" s="420">
        <f t="shared" si="2315"/>
        <v>0</v>
      </c>
      <c r="BA1092" s="420">
        <f t="shared" si="2315"/>
        <v>0</v>
      </c>
      <c r="BB1092" s="420">
        <f t="shared" si="2315"/>
        <v>0</v>
      </c>
      <c r="BC1092" s="420">
        <f t="shared" si="2315"/>
        <v>0</v>
      </c>
      <c r="BD1092" s="420">
        <f t="shared" si="2315"/>
        <v>0</v>
      </c>
      <c r="BE1092" s="420">
        <f t="shared" si="2315"/>
        <v>0</v>
      </c>
      <c r="BF1092" s="420">
        <f t="shared" si="2315"/>
        <v>0</v>
      </c>
      <c r="BG1092" s="420">
        <f t="shared" si="2315"/>
        <v>0</v>
      </c>
      <c r="BH1092" s="420">
        <f t="shared" si="2315"/>
        <v>0</v>
      </c>
      <c r="BI1092" s="420">
        <f t="shared" si="2315"/>
        <v>0</v>
      </c>
      <c r="BJ1092" s="420">
        <f t="shared" si="2315"/>
        <v>0</v>
      </c>
      <c r="BK1092" s="420">
        <f t="shared" si="2315"/>
        <v>0</v>
      </c>
      <c r="BL1092" s="420">
        <f t="shared" si="2315"/>
        <v>0</v>
      </c>
      <c r="BM1092" s="420">
        <f t="shared" si="2315"/>
        <v>0</v>
      </c>
      <c r="BN1092" s="420">
        <f t="shared" si="2315"/>
        <v>0</v>
      </c>
      <c r="BO1092" s="420">
        <f t="shared" si="2315"/>
        <v>0</v>
      </c>
      <c r="BP1092" s="420">
        <f t="shared" si="2315"/>
        <v>0</v>
      </c>
      <c r="BQ1092" s="420">
        <f t="shared" ref="BQ1092:EB1092" si="2316">BQ$947</f>
        <v>0</v>
      </c>
      <c r="BR1092" s="420">
        <f t="shared" si="2316"/>
        <v>0</v>
      </c>
      <c r="BS1092" s="420">
        <f t="shared" si="2316"/>
        <v>0</v>
      </c>
      <c r="BT1092" s="420">
        <f t="shared" si="2316"/>
        <v>0</v>
      </c>
      <c r="BU1092" s="420">
        <f t="shared" si="2316"/>
        <v>0</v>
      </c>
      <c r="BV1092" s="420">
        <f t="shared" si="2316"/>
        <v>0</v>
      </c>
      <c r="BW1092" s="420">
        <f t="shared" si="2316"/>
        <v>0</v>
      </c>
      <c r="BX1092" s="420">
        <f t="shared" si="2316"/>
        <v>0</v>
      </c>
      <c r="BY1092" s="420">
        <f t="shared" si="2316"/>
        <v>0</v>
      </c>
      <c r="BZ1092" s="420">
        <f t="shared" si="2316"/>
        <v>0</v>
      </c>
      <c r="CA1092" s="420">
        <f t="shared" si="2316"/>
        <v>0</v>
      </c>
      <c r="CB1092" s="420">
        <f t="shared" si="2316"/>
        <v>0</v>
      </c>
      <c r="CC1092" s="420">
        <f t="shared" si="2316"/>
        <v>0</v>
      </c>
      <c r="CD1092" s="421">
        <f t="shared" si="2316"/>
        <v>0</v>
      </c>
      <c r="CE1092" s="420">
        <f t="shared" si="2316"/>
        <v>6.9172833290000426</v>
      </c>
      <c r="CF1092" s="420">
        <f t="shared" si="2316"/>
        <v>0.83358785699993732</v>
      </c>
      <c r="CG1092" s="420">
        <f t="shared" si="2316"/>
        <v>18.765479859000035</v>
      </c>
      <c r="CH1092" s="420">
        <f t="shared" si="2316"/>
        <v>15.635324646000015</v>
      </c>
      <c r="CI1092" s="420">
        <f t="shared" si="2316"/>
        <v>-8.3810874069999954</v>
      </c>
      <c r="CJ1092" s="420">
        <f t="shared" si="2316"/>
        <v>18.858713064999961</v>
      </c>
      <c r="CK1092" s="420">
        <f t="shared" si="2316"/>
        <v>-27.16729655594267</v>
      </c>
      <c r="CL1092" s="420">
        <f t="shared" si="2316"/>
        <v>-28.512868685252101</v>
      </c>
      <c r="CM1092" s="420">
        <f t="shared" si="2316"/>
        <v>-3.943191748377993</v>
      </c>
      <c r="CN1092" s="420">
        <f t="shared" si="2316"/>
        <v>-15.598618122839355</v>
      </c>
      <c r="CO1092" s="420">
        <f t="shared" si="2316"/>
        <v>8.2661012485531078</v>
      </c>
      <c r="CP1092" s="423">
        <f t="shared" si="2316"/>
        <v>-50.985312666269827</v>
      </c>
      <c r="CQ1092" s="420">
        <f t="shared" si="2316"/>
        <v>-36.71231483296112</v>
      </c>
      <c r="CR1092" s="420">
        <f t="shared" si="2316"/>
        <v>6.0564876716809755</v>
      </c>
      <c r="CS1092" s="420">
        <f t="shared" si="2316"/>
        <v>0.24889954428293093</v>
      </c>
      <c r="CT1092" s="420">
        <f t="shared" si="2316"/>
        <v>-3.236720825950091</v>
      </c>
      <c r="CU1092" s="420">
        <f t="shared" si="2316"/>
        <v>0.65324416649547723</v>
      </c>
      <c r="CV1092" s="420">
        <f t="shared" si="2316"/>
        <v>86.75130560186048</v>
      </c>
      <c r="CW1092" s="420">
        <f t="shared" si="2316"/>
        <v>-9.2731324024067145</v>
      </c>
      <c r="CX1092" s="420">
        <f t="shared" si="2316"/>
        <v>39.321639286877286</v>
      </c>
      <c r="CY1092" s="420">
        <f t="shared" si="2316"/>
        <v>-15.458830137553322</v>
      </c>
      <c r="CZ1092" s="420">
        <f t="shared" si="2316"/>
        <v>-20.78863218766784</v>
      </c>
      <c r="DA1092" s="420">
        <f t="shared" si="2316"/>
        <v>-7.7543217702998817</v>
      </c>
      <c r="DB1092" s="1310">
        <f t="shared" si="2316"/>
        <v>-21.513148332484011</v>
      </c>
      <c r="DC1092" s="420">
        <f t="shared" si="2316"/>
        <v>14.867144568951886</v>
      </c>
      <c r="DD1092" s="420">
        <f t="shared" si="2316"/>
        <v>25.855461323012996</v>
      </c>
      <c r="DE1092" s="420">
        <f t="shared" si="2316"/>
        <v>38.636509055117735</v>
      </c>
      <c r="DF1092" s="420">
        <f t="shared" si="2316"/>
        <v>-44.672619050308526</v>
      </c>
      <c r="DG1092" s="420">
        <f t="shared" si="2316"/>
        <v>14.622591475292571</v>
      </c>
      <c r="DH1092" s="420">
        <f t="shared" si="2316"/>
        <v>71.628752335952129</v>
      </c>
      <c r="DI1092" s="420">
        <f t="shared" si="2316"/>
        <v>-31.95125230669165</v>
      </c>
      <c r="DJ1092" s="420">
        <f t="shared" si="2316"/>
        <v>10.461122584734927</v>
      </c>
      <c r="DK1092" s="420">
        <f t="shared" si="2316"/>
        <v>24.864842569092946</v>
      </c>
      <c r="DL1092" s="420">
        <f t="shared" si="2316"/>
        <v>2.7282702357296826</v>
      </c>
      <c r="DM1092" s="420">
        <f t="shared" si="2316"/>
        <v>-17.450047754154298</v>
      </c>
      <c r="DN1092" s="423">
        <f t="shared" si="2316"/>
        <v>-30.085649516433456</v>
      </c>
      <c r="DO1092" s="420">
        <f t="shared" si="2316"/>
        <v>24.280271245071976</v>
      </c>
      <c r="DP1092" s="420">
        <f t="shared" si="2316"/>
        <v>18.341800723596283</v>
      </c>
      <c r="DQ1092" s="420">
        <f t="shared" si="2316"/>
        <v>12.39083599307034</v>
      </c>
      <c r="DR1092" s="420">
        <f t="shared" si="2316"/>
        <v>-6.1314919285556213</v>
      </c>
      <c r="DS1092" s="420">
        <f t="shared" si="2316"/>
        <v>3.9001576734480921</v>
      </c>
      <c r="DT1092" s="420">
        <f t="shared" si="2316"/>
        <v>18.150146397980365</v>
      </c>
      <c r="DU1092" s="420">
        <f t="shared" si="2316"/>
        <v>17.014690429328425</v>
      </c>
      <c r="DV1092" s="420">
        <f t="shared" si="2316"/>
        <v>-47.983298171799049</v>
      </c>
      <c r="DW1092" s="420">
        <f t="shared" si="2316"/>
        <v>36.43424047194793</v>
      </c>
      <c r="DX1092" s="420">
        <f t="shared" si="2316"/>
        <v>-5.5771981815898544</v>
      </c>
      <c r="DY1092" s="420">
        <f t="shared" si="2316"/>
        <v>-33.710608219726048</v>
      </c>
      <c r="DZ1092" s="423">
        <f t="shared" si="2316"/>
        <v>-7.8664596308689347</v>
      </c>
      <c r="EA1092" s="420">
        <f t="shared" si="2316"/>
        <v>0.21931586527290392</v>
      </c>
      <c r="EB1092" s="420">
        <f t="shared" si="2316"/>
        <v>16.572225853972824</v>
      </c>
      <c r="EC1092" s="420">
        <f t="shared" ref="EC1092:GH1092" si="2317">EC$947</f>
        <v>37.522925416834028</v>
      </c>
      <c r="ED1092" s="420">
        <f t="shared" si="2317"/>
        <v>-4.2118037828783432</v>
      </c>
      <c r="EE1092" s="420">
        <f t="shared" si="2317"/>
        <v>10.936461576093924</v>
      </c>
      <c r="EF1092" s="420">
        <f t="shared" si="2317"/>
        <v>81.249670441416995</v>
      </c>
      <c r="EG1092" s="420">
        <f t="shared" si="2317"/>
        <v>5.1779432167129436E-3</v>
      </c>
      <c r="EH1092" s="420">
        <f t="shared" si="2317"/>
        <v>-15.302797650300407</v>
      </c>
      <c r="EI1092" s="420">
        <f t="shared" si="2317"/>
        <v>8.548882778903014</v>
      </c>
      <c r="EJ1092" s="420">
        <f t="shared" si="2317"/>
        <v>-11.145874326467542</v>
      </c>
      <c r="EK1092" s="420">
        <f t="shared" si="2317"/>
        <v>-14.991042163788611</v>
      </c>
      <c r="EL1092" s="423">
        <f t="shared" si="2317"/>
        <v>-4.2065886464884841</v>
      </c>
      <c r="EM1092" s="420">
        <f t="shared" si="2317"/>
        <v>15.393488729066524</v>
      </c>
      <c r="EN1092" s="420">
        <f t="shared" si="2317"/>
        <v>39.014138975798588</v>
      </c>
      <c r="EO1092" s="420">
        <f t="shared" si="2317"/>
        <v>7.9711922221392904</v>
      </c>
      <c r="EP1092" s="420">
        <f t="shared" si="2317"/>
        <v>-35.810316748697858</v>
      </c>
      <c r="EQ1092" s="420">
        <f t="shared" si="2317"/>
        <v>-6.1247204068983763</v>
      </c>
      <c r="ER1092" s="420">
        <f t="shared" si="2317"/>
        <v>137.00153291911872</v>
      </c>
      <c r="ES1092" s="420">
        <f t="shared" si="2317"/>
        <v>-35.46871774235305</v>
      </c>
      <c r="ET1092" s="420">
        <f t="shared" si="2317"/>
        <v>-20.123140095056328</v>
      </c>
      <c r="EU1092" s="420">
        <f t="shared" si="2317"/>
        <v>-24.407681035509874</v>
      </c>
      <c r="EV1092" s="420">
        <f t="shared" si="2317"/>
        <v>-12.07224302795575</v>
      </c>
      <c r="EW1092" s="420">
        <f t="shared" si="2317"/>
        <v>-24.908431685148855</v>
      </c>
      <c r="EX1092" s="423">
        <f t="shared" si="2317"/>
        <v>28.139495067358503</v>
      </c>
      <c r="EY1092" s="420">
        <f t="shared" si="2317"/>
        <v>-5.867909491846139</v>
      </c>
      <c r="EZ1092" s="420">
        <f t="shared" si="2317"/>
        <v>20.596399391363988</v>
      </c>
      <c r="FA1092" s="420">
        <f t="shared" si="2317"/>
        <v>22.794672488586684</v>
      </c>
      <c r="FB1092" s="420">
        <f t="shared" si="2317"/>
        <v>107.34179312054232</v>
      </c>
      <c r="FC1092" s="420">
        <f t="shared" si="2317"/>
        <v>-12.715611256085412</v>
      </c>
      <c r="FD1092" s="420">
        <f t="shared" si="2317"/>
        <v>129.67879185472623</v>
      </c>
      <c r="FE1092" s="420">
        <f t="shared" si="2317"/>
        <v>25.999761652616257</v>
      </c>
      <c r="FF1092" s="420">
        <f t="shared" si="2317"/>
        <v>-44.018381108958152</v>
      </c>
      <c r="FG1092" s="420">
        <f t="shared" si="2317"/>
        <v>6.0005842049300195</v>
      </c>
      <c r="FH1092" s="420">
        <f t="shared" si="2317"/>
        <v>83.770729693053681</v>
      </c>
      <c r="FI1092" s="420">
        <f t="shared" si="2317"/>
        <v>-68.821967424908053</v>
      </c>
      <c r="FJ1092" s="423">
        <f t="shared" si="2317"/>
        <v>146.43115877961321</v>
      </c>
      <c r="FK1092" s="420">
        <f t="shared" si="2317"/>
        <v>119.22756809292434</v>
      </c>
      <c r="FL1092" s="420">
        <f t="shared" si="2317"/>
        <v>5.9306405441228662</v>
      </c>
      <c r="FM1092" s="420">
        <f t="shared" si="2317"/>
        <v>146.41001174146845</v>
      </c>
      <c r="FN1092" s="420">
        <f t="shared" si="2317"/>
        <v>-9.0578340629144805</v>
      </c>
      <c r="FO1092" s="420">
        <f t="shared" si="2317"/>
        <v>-74.953970690193884</v>
      </c>
      <c r="FP1092" s="420">
        <f t="shared" si="2317"/>
        <v>153.40550690645074</v>
      </c>
      <c r="FQ1092" s="420">
        <f t="shared" si="2317"/>
        <v>-30.843539113094504</v>
      </c>
      <c r="FR1092" s="420">
        <f t="shared" si="2317"/>
        <v>-85.072845498500726</v>
      </c>
      <c r="FS1092" s="420">
        <f t="shared" si="2317"/>
        <v>40.718999412644692</v>
      </c>
      <c r="FT1092" s="420">
        <f t="shared" si="2317"/>
        <v>39.224747785548615</v>
      </c>
      <c r="FU1092" s="420">
        <f t="shared" si="2317"/>
        <v>-92.130388752293868</v>
      </c>
      <c r="FV1092" s="423">
        <f t="shared" si="2317"/>
        <v>-60.031453756203597</v>
      </c>
      <c r="FW1092" s="420">
        <f t="shared" si="2317"/>
        <v>80.849744616155718</v>
      </c>
      <c r="FX1092" s="420">
        <f t="shared" si="2317"/>
        <v>150.77380136965814</v>
      </c>
      <c r="FY1092" s="420">
        <f t="shared" si="2317"/>
        <v>-96.515595033519446</v>
      </c>
      <c r="FZ1092" s="420">
        <f t="shared" si="2317"/>
        <v>-16.423616436418332</v>
      </c>
      <c r="GA1092" s="420">
        <f t="shared" si="2317"/>
        <v>16.012185380023897</v>
      </c>
      <c r="GB1092" s="420">
        <f t="shared" si="2317"/>
        <v>47.878443772225324</v>
      </c>
      <c r="GC1092" s="420">
        <f t="shared" si="2317"/>
        <v>-107.48696695392698</v>
      </c>
      <c r="GD1092" s="420">
        <f t="shared" si="2317"/>
        <v>-23.883908553679504</v>
      </c>
      <c r="GE1092" s="420">
        <f t="shared" si="2317"/>
        <v>197.23083970071414</v>
      </c>
      <c r="GF1092" s="420">
        <f t="shared" si="2317"/>
        <v>194.22094606485484</v>
      </c>
      <c r="GG1092" s="420">
        <f t="shared" si="2317"/>
        <v>78.22748777429949</v>
      </c>
      <c r="GH1092" s="420">
        <f t="shared" si="2317"/>
        <v>-1.3949119907684526</v>
      </c>
      <c r="HZ1092" s="340"/>
      <c r="IA1092" s="419" t="s">
        <v>563</v>
      </c>
      <c r="IB1092" s="419"/>
      <c r="IC1092" s="419"/>
      <c r="ID1092" s="279">
        <f>ID$947</f>
        <v>-65.311885181128815</v>
      </c>
      <c r="IE1092" s="279">
        <f>IE$947</f>
        <v>53.760901325408653</v>
      </c>
      <c r="IF1092" s="279">
        <f>IF$947</f>
        <v>-35.466425543534484</v>
      </c>
      <c r="IG1092" s="434">
        <f>IG$947</f>
        <v>18.294475781874169</v>
      </c>
      <c r="IH1092" s="284"/>
      <c r="IJ1092" s="434">
        <f>IJ$947</f>
        <v>79.505125520296957</v>
      </c>
      <c r="IM1092" s="434">
        <f>IM$947</f>
        <v>29.2430868019039</v>
      </c>
      <c r="IP1092" s="434">
        <f>IP$947</f>
        <v>105.19655330578702</v>
      </c>
      <c r="IQ1092" s="434"/>
      <c r="IR1092" s="434"/>
      <c r="IS1092" s="434">
        <f>IS$947</f>
        <v>68.604597171861514</v>
      </c>
      <c r="IT1092" s="434"/>
      <c r="IU1092" s="434"/>
      <c r="IV1092" s="434">
        <f>IV$947</f>
        <v>411.1900219036346</v>
      </c>
      <c r="IW1092" s="434"/>
      <c r="IX1092" s="434"/>
      <c r="IY1092" s="434">
        <f>IY$947</f>
        <v>152.82744260995864</v>
      </c>
      <c r="IZ1092" s="434"/>
      <c r="JA1092" s="434">
        <f>JA$947</f>
        <v>336.91348604149357</v>
      </c>
      <c r="JB1092" s="434">
        <f>JB$947</f>
        <v>519.48844970961886</v>
      </c>
      <c r="JC1092" s="434">
        <f>JC$947</f>
        <v>-37.233497481741836</v>
      </c>
      <c r="JD1092" s="434">
        <f>JD$947</f>
        <v>32.710359993364747</v>
      </c>
      <c r="JE1092" s="434"/>
      <c r="JF1092" s="434"/>
      <c r="JG1092" s="434"/>
      <c r="JH1092" s="434"/>
      <c r="JI1092" s="434"/>
      <c r="JJ1092" s="434"/>
      <c r="JK1092" s="434"/>
      <c r="KU1092" s="340"/>
      <c r="KV1092" s="341"/>
      <c r="KY1092" s="279">
        <f>KY$947</f>
        <v>0</v>
      </c>
      <c r="KZ1092" s="279">
        <f>KZ$947</f>
        <v>0</v>
      </c>
      <c r="LA1092" s="279">
        <f>LA$947</f>
        <v>0</v>
      </c>
      <c r="LB1092" s="279">
        <f>LB$947</f>
        <v>0</v>
      </c>
    </row>
    <row r="1093" spans="1:314">
      <c r="B1093" s="96" t="s">
        <v>338</v>
      </c>
      <c r="D1093" s="425" t="str">
        <f>D$948</f>
        <v xml:space="preserve">Domestic </v>
      </c>
      <c r="E1093" s="420">
        <f>E$948</f>
        <v>0</v>
      </c>
      <c r="F1093" s="420">
        <f t="shared" ref="F1093:L1093" si="2318">F$948</f>
        <v>0</v>
      </c>
      <c r="G1093" s="420">
        <f t="shared" si="2318"/>
        <v>0</v>
      </c>
      <c r="H1093" s="420">
        <f t="shared" si="2318"/>
        <v>0</v>
      </c>
      <c r="I1093" s="420">
        <f t="shared" si="2318"/>
        <v>0</v>
      </c>
      <c r="J1093" s="420">
        <f t="shared" si="2318"/>
        <v>0</v>
      </c>
      <c r="K1093" s="420">
        <f t="shared" si="2318"/>
        <v>0</v>
      </c>
      <c r="L1093" s="420">
        <f t="shared" si="2318"/>
        <v>0</v>
      </c>
      <c r="M1093" s="420">
        <f t="shared" ref="M1093:AW1093" si="2319">M$948</f>
        <v>0</v>
      </c>
      <c r="N1093" s="420">
        <f t="shared" si="2319"/>
        <v>0</v>
      </c>
      <c r="O1093" s="420">
        <f t="shared" si="2319"/>
        <v>0</v>
      </c>
      <c r="P1093" s="420">
        <f t="shared" si="2319"/>
        <v>0</v>
      </c>
      <c r="Q1093" s="420">
        <f t="shared" si="2319"/>
        <v>0</v>
      </c>
      <c r="R1093" s="420">
        <f t="shared" si="2319"/>
        <v>0</v>
      </c>
      <c r="S1093" s="420">
        <f t="shared" si="2319"/>
        <v>0</v>
      </c>
      <c r="T1093" s="420">
        <f t="shared" si="2319"/>
        <v>0</v>
      </c>
      <c r="U1093" s="420">
        <f t="shared" si="2319"/>
        <v>0</v>
      </c>
      <c r="V1093" s="420">
        <f t="shared" si="2319"/>
        <v>0</v>
      </c>
      <c r="W1093" s="420">
        <f t="shared" si="2319"/>
        <v>0</v>
      </c>
      <c r="X1093" s="420">
        <f t="shared" si="2319"/>
        <v>0</v>
      </c>
      <c r="Y1093" s="420">
        <f t="shared" si="2319"/>
        <v>0</v>
      </c>
      <c r="Z1093" s="420">
        <f t="shared" si="2319"/>
        <v>0</v>
      </c>
      <c r="AA1093" s="420">
        <f t="shared" si="2319"/>
        <v>0</v>
      </c>
      <c r="AB1093" s="420">
        <f t="shared" si="2319"/>
        <v>0</v>
      </c>
      <c r="AC1093" s="420">
        <f t="shared" si="2319"/>
        <v>0</v>
      </c>
      <c r="AD1093" s="420">
        <f t="shared" si="2319"/>
        <v>0</v>
      </c>
      <c r="AE1093" s="420">
        <f t="shared" si="2319"/>
        <v>0</v>
      </c>
      <c r="AF1093" s="420">
        <f t="shared" si="2319"/>
        <v>0</v>
      </c>
      <c r="AG1093" s="420">
        <f t="shared" si="2319"/>
        <v>0</v>
      </c>
      <c r="AH1093" s="420">
        <f t="shared" si="2319"/>
        <v>0</v>
      </c>
      <c r="AI1093" s="420">
        <f t="shared" si="2319"/>
        <v>0</v>
      </c>
      <c r="AJ1093" s="420">
        <f t="shared" si="2319"/>
        <v>0</v>
      </c>
      <c r="AK1093" s="420">
        <f t="shared" si="2319"/>
        <v>0</v>
      </c>
      <c r="AL1093" s="420">
        <f t="shared" si="2319"/>
        <v>0</v>
      </c>
      <c r="AM1093" s="420">
        <f t="shared" si="2319"/>
        <v>0</v>
      </c>
      <c r="AN1093" s="420">
        <f t="shared" si="2319"/>
        <v>0</v>
      </c>
      <c r="AO1093" s="420">
        <f t="shared" si="2319"/>
        <v>0</v>
      </c>
      <c r="AP1093" s="420">
        <f t="shared" si="2319"/>
        <v>0</v>
      </c>
      <c r="AQ1093" s="420">
        <f t="shared" si="2319"/>
        <v>0</v>
      </c>
      <c r="AR1093" s="420">
        <f t="shared" si="2319"/>
        <v>0</v>
      </c>
      <c r="AS1093" s="420">
        <f t="shared" si="2319"/>
        <v>0</v>
      </c>
      <c r="AT1093" s="420">
        <f t="shared" si="2319"/>
        <v>0</v>
      </c>
      <c r="AU1093" s="420">
        <f t="shared" si="2319"/>
        <v>0</v>
      </c>
      <c r="AV1093" s="420">
        <f t="shared" si="2319"/>
        <v>0</v>
      </c>
      <c r="AW1093" s="420">
        <f t="shared" si="2319"/>
        <v>0</v>
      </c>
      <c r="AX1093" s="420">
        <f t="shared" ref="AX1093:BP1093" si="2320">AX$948</f>
        <v>0</v>
      </c>
      <c r="AY1093" s="420">
        <f t="shared" si="2320"/>
        <v>0</v>
      </c>
      <c r="AZ1093" s="420">
        <f t="shared" si="2320"/>
        <v>0</v>
      </c>
      <c r="BA1093" s="420">
        <f t="shared" si="2320"/>
        <v>0</v>
      </c>
      <c r="BB1093" s="420">
        <f t="shared" si="2320"/>
        <v>0</v>
      </c>
      <c r="BC1093" s="420">
        <f t="shared" si="2320"/>
        <v>0</v>
      </c>
      <c r="BD1093" s="420">
        <f t="shared" si="2320"/>
        <v>0</v>
      </c>
      <c r="BE1093" s="420">
        <f t="shared" si="2320"/>
        <v>0</v>
      </c>
      <c r="BF1093" s="420">
        <f t="shared" si="2320"/>
        <v>0</v>
      </c>
      <c r="BG1093" s="420">
        <f t="shared" si="2320"/>
        <v>0</v>
      </c>
      <c r="BH1093" s="420">
        <f t="shared" si="2320"/>
        <v>0</v>
      </c>
      <c r="BI1093" s="420">
        <f t="shared" si="2320"/>
        <v>0</v>
      </c>
      <c r="BJ1093" s="420">
        <f t="shared" si="2320"/>
        <v>0</v>
      </c>
      <c r="BK1093" s="420">
        <f t="shared" si="2320"/>
        <v>0</v>
      </c>
      <c r="BL1093" s="420">
        <f t="shared" si="2320"/>
        <v>0</v>
      </c>
      <c r="BM1093" s="420">
        <f t="shared" si="2320"/>
        <v>0</v>
      </c>
      <c r="BN1093" s="420">
        <f t="shared" si="2320"/>
        <v>0</v>
      </c>
      <c r="BO1093" s="420">
        <f t="shared" si="2320"/>
        <v>0</v>
      </c>
      <c r="BP1093" s="420">
        <f t="shared" si="2320"/>
        <v>0</v>
      </c>
      <c r="BQ1093" s="420">
        <f t="shared" ref="BQ1093:EB1093" si="2321">BQ$948</f>
        <v>0</v>
      </c>
      <c r="BR1093" s="420">
        <f t="shared" si="2321"/>
        <v>0</v>
      </c>
      <c r="BS1093" s="420">
        <f t="shared" si="2321"/>
        <v>0</v>
      </c>
      <c r="BT1093" s="420">
        <f t="shared" si="2321"/>
        <v>0</v>
      </c>
      <c r="BU1093" s="420">
        <f t="shared" si="2321"/>
        <v>0</v>
      </c>
      <c r="BV1093" s="420">
        <f t="shared" si="2321"/>
        <v>0</v>
      </c>
      <c r="BW1093" s="420">
        <f t="shared" si="2321"/>
        <v>0</v>
      </c>
      <c r="BX1093" s="420">
        <f t="shared" si="2321"/>
        <v>0</v>
      </c>
      <c r="BY1093" s="420">
        <f t="shared" si="2321"/>
        <v>0</v>
      </c>
      <c r="BZ1093" s="420">
        <f t="shared" si="2321"/>
        <v>0</v>
      </c>
      <c r="CA1093" s="420">
        <f t="shared" si="2321"/>
        <v>0</v>
      </c>
      <c r="CB1093" s="420">
        <f t="shared" si="2321"/>
        <v>0</v>
      </c>
      <c r="CC1093" s="420">
        <f t="shared" si="2321"/>
        <v>0</v>
      </c>
      <c r="CD1093" s="421">
        <f t="shared" si="2321"/>
        <v>0</v>
      </c>
      <c r="CE1093" s="420">
        <f t="shared" si="2321"/>
        <v>6.9172833290000426</v>
      </c>
      <c r="CF1093" s="420">
        <f t="shared" si="2321"/>
        <v>0.83358785699993732</v>
      </c>
      <c r="CG1093" s="420">
        <f t="shared" si="2321"/>
        <v>18.765479859000035</v>
      </c>
      <c r="CH1093" s="420">
        <f t="shared" si="2321"/>
        <v>15.635324646000015</v>
      </c>
      <c r="CI1093" s="420">
        <f t="shared" si="2321"/>
        <v>-8.3810874069999954</v>
      </c>
      <c r="CJ1093" s="420">
        <f t="shared" si="2321"/>
        <v>18.858713064999961</v>
      </c>
      <c r="CK1093" s="420">
        <f t="shared" si="2321"/>
        <v>-27.16729655594267</v>
      </c>
      <c r="CL1093" s="420">
        <f t="shared" si="2321"/>
        <v>-28.512868685252101</v>
      </c>
      <c r="CM1093" s="420">
        <f t="shared" si="2321"/>
        <v>-3.943191748377993</v>
      </c>
      <c r="CN1093" s="420">
        <f t="shared" si="2321"/>
        <v>-15.598618122839355</v>
      </c>
      <c r="CO1093" s="420">
        <f t="shared" si="2321"/>
        <v>8.2661012485531078</v>
      </c>
      <c r="CP1093" s="423">
        <f t="shared" si="2321"/>
        <v>-50.985312666269827</v>
      </c>
      <c r="CQ1093" s="422">
        <f t="shared" si="2321"/>
        <v>-36.71231483296112</v>
      </c>
      <c r="CR1093" s="422">
        <f t="shared" si="2321"/>
        <v>6.0564876716809755</v>
      </c>
      <c r="CS1093" s="422">
        <f t="shared" si="2321"/>
        <v>0.24889954428293093</v>
      </c>
      <c r="CT1093" s="422">
        <f t="shared" si="2321"/>
        <v>-3.236720825950091</v>
      </c>
      <c r="CU1093" s="422">
        <f t="shared" si="2321"/>
        <v>0.65324416649547723</v>
      </c>
      <c r="CV1093" s="422">
        <f t="shared" si="2321"/>
        <v>86.75130560186048</v>
      </c>
      <c r="CW1093" s="422">
        <f t="shared" si="2321"/>
        <v>-9.2731324024067145</v>
      </c>
      <c r="CX1093" s="422">
        <f t="shared" si="2321"/>
        <v>39.321639286877286</v>
      </c>
      <c r="CY1093" s="422">
        <f t="shared" si="2321"/>
        <v>-15.458830137553322</v>
      </c>
      <c r="CZ1093" s="422">
        <f t="shared" si="2321"/>
        <v>-20.78863218766784</v>
      </c>
      <c r="DA1093" s="422">
        <f t="shared" si="2321"/>
        <v>-7.7543217702998817</v>
      </c>
      <c r="DB1093" s="1310">
        <f t="shared" si="2321"/>
        <v>-21.513148332484011</v>
      </c>
      <c r="DC1093" s="420">
        <f t="shared" si="2321"/>
        <v>14.867144568951886</v>
      </c>
      <c r="DD1093" s="420">
        <f t="shared" si="2321"/>
        <v>25.855461323012996</v>
      </c>
      <c r="DE1093" s="420">
        <f t="shared" si="2321"/>
        <v>38.636509055117735</v>
      </c>
      <c r="DF1093" s="420">
        <f t="shared" si="2321"/>
        <v>-44.672619050308526</v>
      </c>
      <c r="DG1093" s="420">
        <f t="shared" si="2321"/>
        <v>14.622591475292571</v>
      </c>
      <c r="DH1093" s="420">
        <f t="shared" si="2321"/>
        <v>71.628752335952129</v>
      </c>
      <c r="DI1093" s="420">
        <f t="shared" si="2321"/>
        <v>-31.95125230669165</v>
      </c>
      <c r="DJ1093" s="420">
        <f t="shared" si="2321"/>
        <v>10.461122584734927</v>
      </c>
      <c r="DK1093" s="420">
        <f t="shared" si="2321"/>
        <v>24.864842569092946</v>
      </c>
      <c r="DL1093" s="420">
        <f t="shared" si="2321"/>
        <v>2.7282702357296826</v>
      </c>
      <c r="DM1093" s="420">
        <f t="shared" si="2321"/>
        <v>-17.450047754154298</v>
      </c>
      <c r="DN1093" s="423">
        <f t="shared" si="2321"/>
        <v>-30.085649516433456</v>
      </c>
      <c r="DO1093" s="420">
        <f t="shared" si="2321"/>
        <v>24.280271245071976</v>
      </c>
      <c r="DP1093" s="420">
        <f t="shared" si="2321"/>
        <v>18.341800723596283</v>
      </c>
      <c r="DQ1093" s="420">
        <f t="shared" si="2321"/>
        <v>12.39083599307034</v>
      </c>
      <c r="DR1093" s="420">
        <f t="shared" si="2321"/>
        <v>-6.1314919285556213</v>
      </c>
      <c r="DS1093" s="420">
        <f t="shared" si="2321"/>
        <v>3.9001576734480921</v>
      </c>
      <c r="DT1093" s="420">
        <f t="shared" si="2321"/>
        <v>18.150146397980365</v>
      </c>
      <c r="DU1093" s="420">
        <f t="shared" si="2321"/>
        <v>17.014690429328425</v>
      </c>
      <c r="DV1093" s="420">
        <f t="shared" si="2321"/>
        <v>-47.983298171799049</v>
      </c>
      <c r="DW1093" s="420">
        <f t="shared" si="2321"/>
        <v>36.43424047194793</v>
      </c>
      <c r="DX1093" s="420">
        <f t="shared" si="2321"/>
        <v>-5.5771981815898544</v>
      </c>
      <c r="DY1093" s="420">
        <f t="shared" si="2321"/>
        <v>-33.710608219726048</v>
      </c>
      <c r="DZ1093" s="423">
        <f t="shared" si="2321"/>
        <v>-7.8664596308689347</v>
      </c>
      <c r="EA1093" s="420">
        <f t="shared" si="2321"/>
        <v>0.21931586527290392</v>
      </c>
      <c r="EB1093" s="420">
        <f t="shared" si="2321"/>
        <v>16.572225853972824</v>
      </c>
      <c r="EC1093" s="420">
        <f t="shared" ref="EC1093:GH1093" si="2322">EC$948</f>
        <v>37.522925416834028</v>
      </c>
      <c r="ED1093" s="420">
        <f t="shared" si="2322"/>
        <v>-4.2118037828783432</v>
      </c>
      <c r="EE1093" s="420">
        <f t="shared" si="2322"/>
        <v>10.936461576093924</v>
      </c>
      <c r="EF1093" s="420">
        <f t="shared" si="2322"/>
        <v>81.249670441416995</v>
      </c>
      <c r="EG1093" s="420">
        <f t="shared" si="2322"/>
        <v>5.1779432167129436E-3</v>
      </c>
      <c r="EH1093" s="420">
        <f t="shared" si="2322"/>
        <v>-15.302797650300407</v>
      </c>
      <c r="EI1093" s="420">
        <f t="shared" si="2322"/>
        <v>8.548882778903014</v>
      </c>
      <c r="EJ1093" s="420">
        <f t="shared" si="2322"/>
        <v>-11.145874326467542</v>
      </c>
      <c r="EK1093" s="420">
        <f t="shared" si="2322"/>
        <v>-14.991042163788611</v>
      </c>
      <c r="EL1093" s="423">
        <f t="shared" si="2322"/>
        <v>-4.2065886464884841</v>
      </c>
      <c r="EM1093" s="420">
        <f t="shared" si="2322"/>
        <v>15.393488729066524</v>
      </c>
      <c r="EN1093" s="420">
        <f t="shared" si="2322"/>
        <v>39.014138975798588</v>
      </c>
      <c r="EO1093" s="420">
        <f t="shared" si="2322"/>
        <v>7.9711922221392904</v>
      </c>
      <c r="EP1093" s="420">
        <f t="shared" si="2322"/>
        <v>-35.810316748697858</v>
      </c>
      <c r="EQ1093" s="420">
        <f t="shared" si="2322"/>
        <v>-6.1247204068983763</v>
      </c>
      <c r="ER1093" s="420">
        <f t="shared" si="2322"/>
        <v>137.00153291911872</v>
      </c>
      <c r="ES1093" s="420">
        <f t="shared" si="2322"/>
        <v>-35.46871774235305</v>
      </c>
      <c r="ET1093" s="420">
        <f t="shared" si="2322"/>
        <v>-20.123140095056328</v>
      </c>
      <c r="EU1093" s="420">
        <f t="shared" si="2322"/>
        <v>-24.407681035509874</v>
      </c>
      <c r="EV1093" s="420">
        <f t="shared" si="2322"/>
        <v>-12.07224302795575</v>
      </c>
      <c r="EW1093" s="420">
        <f t="shared" si="2322"/>
        <v>-24.908431685148855</v>
      </c>
      <c r="EX1093" s="423">
        <f t="shared" si="2322"/>
        <v>28.139495067358503</v>
      </c>
      <c r="EY1093" s="420">
        <f t="shared" si="2322"/>
        <v>-5.867909491846139</v>
      </c>
      <c r="EZ1093" s="420">
        <f t="shared" si="2322"/>
        <v>20.596399391363988</v>
      </c>
      <c r="FA1093" s="420">
        <f t="shared" si="2322"/>
        <v>22.794672488586684</v>
      </c>
      <c r="FB1093" s="420">
        <f t="shared" si="2322"/>
        <v>107.34179312054232</v>
      </c>
      <c r="FC1093" s="420">
        <f t="shared" si="2322"/>
        <v>-12.715611256085412</v>
      </c>
      <c r="FD1093" s="420">
        <f t="shared" si="2322"/>
        <v>129.67879185472623</v>
      </c>
      <c r="FE1093" s="420">
        <f t="shared" si="2322"/>
        <v>25.999761652616257</v>
      </c>
      <c r="FF1093" s="420">
        <f t="shared" si="2322"/>
        <v>-44.018381108958152</v>
      </c>
      <c r="FG1093" s="420">
        <f t="shared" si="2322"/>
        <v>6.0005842049300195</v>
      </c>
      <c r="FH1093" s="420">
        <f t="shared" si="2322"/>
        <v>83.770729693053681</v>
      </c>
      <c r="FI1093" s="420">
        <f t="shared" si="2322"/>
        <v>-68.821967424908053</v>
      </c>
      <c r="FJ1093" s="423">
        <f t="shared" si="2322"/>
        <v>146.43115877961321</v>
      </c>
      <c r="FK1093" s="420">
        <f t="shared" si="2322"/>
        <v>119.22756809292434</v>
      </c>
      <c r="FL1093" s="420">
        <f t="shared" si="2322"/>
        <v>5.9306405441228662</v>
      </c>
      <c r="FM1093" s="420">
        <f t="shared" si="2322"/>
        <v>146.41001174146845</v>
      </c>
      <c r="FN1093" s="420">
        <f t="shared" si="2322"/>
        <v>-9.0578340629144805</v>
      </c>
      <c r="FO1093" s="420">
        <f t="shared" si="2322"/>
        <v>-74.953970690193884</v>
      </c>
      <c r="FP1093" s="420">
        <f t="shared" si="2322"/>
        <v>153.40550690645074</v>
      </c>
      <c r="FQ1093" s="420">
        <f t="shared" si="2322"/>
        <v>-30.843539113094504</v>
      </c>
      <c r="FR1093" s="420">
        <f t="shared" si="2322"/>
        <v>-85.072845498500726</v>
      </c>
      <c r="FS1093" s="420">
        <f t="shared" si="2322"/>
        <v>40.718999412644692</v>
      </c>
      <c r="FT1093" s="420">
        <f t="shared" si="2322"/>
        <v>39.224747785548615</v>
      </c>
      <c r="FU1093" s="420">
        <f t="shared" si="2322"/>
        <v>-92.130388752293868</v>
      </c>
      <c r="FV1093" s="423">
        <f t="shared" si="2322"/>
        <v>-60.031453756203597</v>
      </c>
      <c r="FW1093" s="420">
        <f t="shared" si="2322"/>
        <v>80.849744616155718</v>
      </c>
      <c r="FX1093" s="420">
        <f t="shared" si="2322"/>
        <v>150.77380136965814</v>
      </c>
      <c r="FY1093" s="420">
        <f t="shared" si="2322"/>
        <v>-96.515595033519446</v>
      </c>
      <c r="FZ1093" s="420">
        <f t="shared" si="2322"/>
        <v>-16.423616436418332</v>
      </c>
      <c r="GA1093" s="420">
        <f t="shared" si="2322"/>
        <v>16.012185380023897</v>
      </c>
      <c r="GB1093" s="420">
        <f t="shared" si="2322"/>
        <v>47.878443772225324</v>
      </c>
      <c r="GC1093" s="420">
        <f t="shared" si="2322"/>
        <v>-107.48696695392698</v>
      </c>
      <c r="GD1093" s="420">
        <f t="shared" si="2322"/>
        <v>-23.883908553679504</v>
      </c>
      <c r="GE1093" s="420">
        <f t="shared" si="2322"/>
        <v>197.23083970071414</v>
      </c>
      <c r="GF1093" s="420">
        <f t="shared" si="2322"/>
        <v>40.372582589854844</v>
      </c>
      <c r="GG1093" s="420">
        <f t="shared" si="2322"/>
        <v>78.22748777429949</v>
      </c>
      <c r="GH1093" s="420">
        <f t="shared" si="2322"/>
        <v>-1.3949119907684526</v>
      </c>
      <c r="HZ1093" s="340"/>
      <c r="IA1093" s="425" t="s">
        <v>564</v>
      </c>
      <c r="IB1093" s="425"/>
      <c r="IC1093" s="425"/>
      <c r="ID1093" s="279">
        <f>ID$948</f>
        <v>-65.311885181128815</v>
      </c>
      <c r="IE1093" s="279">
        <f>IE$948</f>
        <v>53.760901325408653</v>
      </c>
      <c r="IF1093" s="279">
        <f>IF$948</f>
        <v>-35.466425543534484</v>
      </c>
      <c r="IG1093" s="434">
        <f>IG$948</f>
        <v>18.294475781874169</v>
      </c>
      <c r="IH1093" s="284"/>
      <c r="IJ1093" s="434">
        <f>IJ$948</f>
        <v>79.505125520296957</v>
      </c>
      <c r="IM1093" s="434">
        <f>IM$948</f>
        <v>29.2430868019039</v>
      </c>
      <c r="IP1093" s="434">
        <f>IP$948</f>
        <v>105.19655330578702</v>
      </c>
      <c r="IQ1093" s="434"/>
      <c r="IR1093" s="434"/>
      <c r="IS1093" s="434">
        <f>IS$948</f>
        <v>68.604597171861514</v>
      </c>
      <c r="IT1093" s="434"/>
      <c r="IU1093" s="434"/>
      <c r="IV1093" s="434">
        <f>IV$948</f>
        <v>411.1900219036346</v>
      </c>
      <c r="IW1093" s="434"/>
      <c r="IX1093" s="434"/>
      <c r="IY1093" s="434">
        <f>IY$948</f>
        <v>152.82744260995864</v>
      </c>
      <c r="IZ1093" s="434"/>
      <c r="JA1093" s="434">
        <f>JA$948</f>
        <v>183.06512256649353</v>
      </c>
      <c r="JB1093" s="434">
        <f>JB$948</f>
        <v>365.64008623461882</v>
      </c>
      <c r="JC1093" s="434">
        <f>JC$948</f>
        <v>-37.233497481741836</v>
      </c>
      <c r="JD1093" s="434">
        <f>JD$948</f>
        <v>100.82468476738475</v>
      </c>
      <c r="JE1093" s="434"/>
      <c r="JF1093" s="434"/>
      <c r="JG1093" s="434"/>
      <c r="JH1093" s="434"/>
      <c r="JI1093" s="434"/>
      <c r="JJ1093" s="434"/>
      <c r="JK1093" s="434"/>
      <c r="KU1093" s="340"/>
      <c r="KV1093" s="341"/>
      <c r="KY1093" s="279">
        <f>KY$948</f>
        <v>0</v>
      </c>
      <c r="KZ1093" s="279">
        <f>KZ$948</f>
        <v>0</v>
      </c>
      <c r="LA1093" s="279">
        <f>LA$948</f>
        <v>0</v>
      </c>
      <c r="LB1093" s="279">
        <f>LB$948</f>
        <v>0</v>
      </c>
    </row>
    <row r="1094" spans="1:314">
      <c r="B1094" s="96" t="s">
        <v>338</v>
      </c>
      <c r="D1094" s="425" t="str">
        <f>D$985</f>
        <v xml:space="preserve">Foreign </v>
      </c>
      <c r="E1094" s="420">
        <f>E$985</f>
        <v>0</v>
      </c>
      <c r="F1094" s="420">
        <f t="shared" ref="F1094:L1094" si="2323">F$985</f>
        <v>0</v>
      </c>
      <c r="G1094" s="420">
        <f t="shared" si="2323"/>
        <v>0</v>
      </c>
      <c r="H1094" s="420">
        <f t="shared" si="2323"/>
        <v>0</v>
      </c>
      <c r="I1094" s="420">
        <f t="shared" si="2323"/>
        <v>0</v>
      </c>
      <c r="J1094" s="420">
        <f t="shared" si="2323"/>
        <v>0</v>
      </c>
      <c r="K1094" s="420">
        <f t="shared" si="2323"/>
        <v>0</v>
      </c>
      <c r="L1094" s="420">
        <f t="shared" si="2323"/>
        <v>0</v>
      </c>
      <c r="M1094" s="420">
        <f t="shared" ref="M1094:AW1094" si="2324">M$985</f>
        <v>0</v>
      </c>
      <c r="N1094" s="420">
        <f t="shared" si="2324"/>
        <v>0</v>
      </c>
      <c r="O1094" s="420">
        <f t="shared" si="2324"/>
        <v>0</v>
      </c>
      <c r="P1094" s="420">
        <f t="shared" si="2324"/>
        <v>0</v>
      </c>
      <c r="Q1094" s="420">
        <f t="shared" si="2324"/>
        <v>0</v>
      </c>
      <c r="R1094" s="420">
        <f t="shared" si="2324"/>
        <v>0</v>
      </c>
      <c r="S1094" s="420">
        <f t="shared" si="2324"/>
        <v>0</v>
      </c>
      <c r="T1094" s="420">
        <f t="shared" si="2324"/>
        <v>0</v>
      </c>
      <c r="U1094" s="420">
        <f t="shared" si="2324"/>
        <v>0</v>
      </c>
      <c r="V1094" s="420">
        <f t="shared" si="2324"/>
        <v>0</v>
      </c>
      <c r="W1094" s="420">
        <f t="shared" si="2324"/>
        <v>0</v>
      </c>
      <c r="X1094" s="420">
        <f t="shared" si="2324"/>
        <v>0</v>
      </c>
      <c r="Y1094" s="420">
        <f t="shared" si="2324"/>
        <v>0</v>
      </c>
      <c r="Z1094" s="420">
        <f t="shared" si="2324"/>
        <v>0</v>
      </c>
      <c r="AA1094" s="420">
        <f t="shared" si="2324"/>
        <v>0</v>
      </c>
      <c r="AB1094" s="420">
        <f t="shared" si="2324"/>
        <v>0</v>
      </c>
      <c r="AC1094" s="420">
        <f t="shared" si="2324"/>
        <v>0</v>
      </c>
      <c r="AD1094" s="420">
        <f t="shared" si="2324"/>
        <v>0</v>
      </c>
      <c r="AE1094" s="420">
        <f t="shared" si="2324"/>
        <v>0</v>
      </c>
      <c r="AF1094" s="420">
        <f t="shared" si="2324"/>
        <v>0</v>
      </c>
      <c r="AG1094" s="420">
        <f t="shared" si="2324"/>
        <v>0</v>
      </c>
      <c r="AH1094" s="420">
        <f t="shared" si="2324"/>
        <v>0</v>
      </c>
      <c r="AI1094" s="420">
        <f t="shared" si="2324"/>
        <v>0</v>
      </c>
      <c r="AJ1094" s="420">
        <f t="shared" si="2324"/>
        <v>0</v>
      </c>
      <c r="AK1094" s="420">
        <f t="shared" si="2324"/>
        <v>0</v>
      </c>
      <c r="AL1094" s="420">
        <f t="shared" si="2324"/>
        <v>0</v>
      </c>
      <c r="AM1094" s="420">
        <f t="shared" si="2324"/>
        <v>0</v>
      </c>
      <c r="AN1094" s="420">
        <f t="shared" si="2324"/>
        <v>0</v>
      </c>
      <c r="AO1094" s="420">
        <f t="shared" si="2324"/>
        <v>0</v>
      </c>
      <c r="AP1094" s="420">
        <f t="shared" si="2324"/>
        <v>0</v>
      </c>
      <c r="AQ1094" s="420">
        <f t="shared" si="2324"/>
        <v>0</v>
      </c>
      <c r="AR1094" s="420">
        <f t="shared" si="2324"/>
        <v>0</v>
      </c>
      <c r="AS1094" s="420">
        <f t="shared" si="2324"/>
        <v>0</v>
      </c>
      <c r="AT1094" s="420">
        <f t="shared" si="2324"/>
        <v>0</v>
      </c>
      <c r="AU1094" s="420">
        <f t="shared" si="2324"/>
        <v>0</v>
      </c>
      <c r="AV1094" s="420">
        <f t="shared" si="2324"/>
        <v>0</v>
      </c>
      <c r="AW1094" s="420">
        <f t="shared" si="2324"/>
        <v>0</v>
      </c>
      <c r="AX1094" s="420">
        <f t="shared" ref="AX1094:BP1094" si="2325">AX$985</f>
        <v>0</v>
      </c>
      <c r="AY1094" s="420">
        <f t="shared" si="2325"/>
        <v>0</v>
      </c>
      <c r="AZ1094" s="420">
        <f t="shared" si="2325"/>
        <v>0</v>
      </c>
      <c r="BA1094" s="420">
        <f t="shared" si="2325"/>
        <v>0</v>
      </c>
      <c r="BB1094" s="420">
        <f t="shared" si="2325"/>
        <v>0</v>
      </c>
      <c r="BC1094" s="420">
        <f t="shared" si="2325"/>
        <v>0</v>
      </c>
      <c r="BD1094" s="420">
        <f t="shared" si="2325"/>
        <v>0</v>
      </c>
      <c r="BE1094" s="420">
        <f t="shared" si="2325"/>
        <v>0</v>
      </c>
      <c r="BF1094" s="420">
        <f t="shared" si="2325"/>
        <v>0</v>
      </c>
      <c r="BG1094" s="420">
        <f t="shared" si="2325"/>
        <v>0</v>
      </c>
      <c r="BH1094" s="420">
        <f t="shared" si="2325"/>
        <v>0</v>
      </c>
      <c r="BI1094" s="420">
        <f t="shared" si="2325"/>
        <v>0</v>
      </c>
      <c r="BJ1094" s="420">
        <f t="shared" si="2325"/>
        <v>0</v>
      </c>
      <c r="BK1094" s="420">
        <f t="shared" si="2325"/>
        <v>0</v>
      </c>
      <c r="BL1094" s="420">
        <f t="shared" si="2325"/>
        <v>0</v>
      </c>
      <c r="BM1094" s="420">
        <f t="shared" si="2325"/>
        <v>0</v>
      </c>
      <c r="BN1094" s="420">
        <f t="shared" si="2325"/>
        <v>0</v>
      </c>
      <c r="BO1094" s="420">
        <f t="shared" si="2325"/>
        <v>0</v>
      </c>
      <c r="BP1094" s="420">
        <f t="shared" si="2325"/>
        <v>0</v>
      </c>
      <c r="BQ1094" s="420">
        <f t="shared" ref="BQ1094:EB1094" si="2326">BQ$985</f>
        <v>0</v>
      </c>
      <c r="BR1094" s="420">
        <f t="shared" si="2326"/>
        <v>0</v>
      </c>
      <c r="BS1094" s="420">
        <f t="shared" si="2326"/>
        <v>0</v>
      </c>
      <c r="BT1094" s="420">
        <f t="shared" si="2326"/>
        <v>0</v>
      </c>
      <c r="BU1094" s="420">
        <f t="shared" si="2326"/>
        <v>0</v>
      </c>
      <c r="BV1094" s="420">
        <f t="shared" si="2326"/>
        <v>0</v>
      </c>
      <c r="BW1094" s="420">
        <f t="shared" si="2326"/>
        <v>0</v>
      </c>
      <c r="BX1094" s="420">
        <f t="shared" si="2326"/>
        <v>0</v>
      </c>
      <c r="BY1094" s="420">
        <f t="shared" si="2326"/>
        <v>0</v>
      </c>
      <c r="BZ1094" s="420">
        <f t="shared" si="2326"/>
        <v>0</v>
      </c>
      <c r="CA1094" s="420">
        <f t="shared" si="2326"/>
        <v>0</v>
      </c>
      <c r="CB1094" s="420">
        <f t="shared" si="2326"/>
        <v>0</v>
      </c>
      <c r="CC1094" s="420">
        <f t="shared" si="2326"/>
        <v>0</v>
      </c>
      <c r="CD1094" s="421">
        <f t="shared" si="2326"/>
        <v>0</v>
      </c>
      <c r="CE1094" s="420">
        <f t="shared" si="2326"/>
        <v>0</v>
      </c>
      <c r="CF1094" s="420">
        <f t="shared" si="2326"/>
        <v>0</v>
      </c>
      <c r="CG1094" s="420">
        <f t="shared" si="2326"/>
        <v>0</v>
      </c>
      <c r="CH1094" s="420">
        <f t="shared" si="2326"/>
        <v>0</v>
      </c>
      <c r="CI1094" s="420">
        <f t="shared" si="2326"/>
        <v>0</v>
      </c>
      <c r="CJ1094" s="420">
        <f t="shared" si="2326"/>
        <v>0</v>
      </c>
      <c r="CK1094" s="420">
        <f t="shared" si="2326"/>
        <v>0</v>
      </c>
      <c r="CL1094" s="420">
        <f t="shared" si="2326"/>
        <v>0</v>
      </c>
      <c r="CM1094" s="420">
        <f t="shared" si="2326"/>
        <v>0</v>
      </c>
      <c r="CN1094" s="420">
        <f t="shared" si="2326"/>
        <v>0</v>
      </c>
      <c r="CO1094" s="420">
        <f t="shared" si="2326"/>
        <v>0</v>
      </c>
      <c r="CP1094" s="423">
        <f t="shared" si="2326"/>
        <v>0</v>
      </c>
      <c r="CQ1094" s="420">
        <f t="shared" si="2326"/>
        <v>0</v>
      </c>
      <c r="CR1094" s="420">
        <f t="shared" si="2326"/>
        <v>0</v>
      </c>
      <c r="CS1094" s="420">
        <f t="shared" si="2326"/>
        <v>0</v>
      </c>
      <c r="CT1094" s="420">
        <f t="shared" si="2326"/>
        <v>0</v>
      </c>
      <c r="CU1094" s="420">
        <f t="shared" si="2326"/>
        <v>0</v>
      </c>
      <c r="CV1094" s="420">
        <f t="shared" si="2326"/>
        <v>0</v>
      </c>
      <c r="CW1094" s="420">
        <f t="shared" si="2326"/>
        <v>0</v>
      </c>
      <c r="CX1094" s="420">
        <f t="shared" si="2326"/>
        <v>0</v>
      </c>
      <c r="CY1094" s="420">
        <f t="shared" si="2326"/>
        <v>0</v>
      </c>
      <c r="CZ1094" s="420">
        <f t="shared" si="2326"/>
        <v>0</v>
      </c>
      <c r="DA1094" s="420">
        <f t="shared" si="2326"/>
        <v>0</v>
      </c>
      <c r="DB1094" s="1310">
        <f t="shared" si="2326"/>
        <v>0</v>
      </c>
      <c r="DC1094" s="420">
        <f t="shared" si="2326"/>
        <v>0</v>
      </c>
      <c r="DD1094" s="420">
        <f t="shared" si="2326"/>
        <v>0</v>
      </c>
      <c r="DE1094" s="420">
        <f t="shared" si="2326"/>
        <v>0</v>
      </c>
      <c r="DF1094" s="420">
        <f t="shared" si="2326"/>
        <v>0</v>
      </c>
      <c r="DG1094" s="420">
        <f t="shared" si="2326"/>
        <v>0</v>
      </c>
      <c r="DH1094" s="420">
        <f t="shared" si="2326"/>
        <v>0</v>
      </c>
      <c r="DI1094" s="420">
        <f t="shared" si="2326"/>
        <v>0</v>
      </c>
      <c r="DJ1094" s="420">
        <f t="shared" si="2326"/>
        <v>0</v>
      </c>
      <c r="DK1094" s="420">
        <f t="shared" si="2326"/>
        <v>0</v>
      </c>
      <c r="DL1094" s="420">
        <f t="shared" si="2326"/>
        <v>0</v>
      </c>
      <c r="DM1094" s="420">
        <f t="shared" si="2326"/>
        <v>0</v>
      </c>
      <c r="DN1094" s="423">
        <f t="shared" si="2326"/>
        <v>0</v>
      </c>
      <c r="DO1094" s="420">
        <f t="shared" si="2326"/>
        <v>0</v>
      </c>
      <c r="DP1094" s="420">
        <f t="shared" si="2326"/>
        <v>0</v>
      </c>
      <c r="DQ1094" s="420">
        <f t="shared" si="2326"/>
        <v>0</v>
      </c>
      <c r="DR1094" s="420">
        <f t="shared" si="2326"/>
        <v>0</v>
      </c>
      <c r="DS1094" s="420">
        <f t="shared" si="2326"/>
        <v>0</v>
      </c>
      <c r="DT1094" s="420">
        <f t="shared" si="2326"/>
        <v>0</v>
      </c>
      <c r="DU1094" s="420">
        <f t="shared" si="2326"/>
        <v>0</v>
      </c>
      <c r="DV1094" s="420">
        <f t="shared" si="2326"/>
        <v>0</v>
      </c>
      <c r="DW1094" s="420">
        <f t="shared" si="2326"/>
        <v>0</v>
      </c>
      <c r="DX1094" s="420">
        <f t="shared" si="2326"/>
        <v>0</v>
      </c>
      <c r="DY1094" s="420">
        <f t="shared" si="2326"/>
        <v>0</v>
      </c>
      <c r="DZ1094" s="423">
        <f t="shared" si="2326"/>
        <v>0</v>
      </c>
      <c r="EA1094" s="420">
        <f t="shared" si="2326"/>
        <v>0</v>
      </c>
      <c r="EB1094" s="420">
        <f t="shared" si="2326"/>
        <v>0</v>
      </c>
      <c r="EC1094" s="420">
        <f t="shared" ref="EC1094:GH1094" si="2327">EC$985</f>
        <v>0</v>
      </c>
      <c r="ED1094" s="420">
        <f t="shared" si="2327"/>
        <v>0</v>
      </c>
      <c r="EE1094" s="420">
        <f t="shared" si="2327"/>
        <v>0</v>
      </c>
      <c r="EF1094" s="420">
        <f t="shared" si="2327"/>
        <v>0</v>
      </c>
      <c r="EG1094" s="420">
        <f t="shared" si="2327"/>
        <v>0</v>
      </c>
      <c r="EH1094" s="420">
        <f t="shared" si="2327"/>
        <v>0</v>
      </c>
      <c r="EI1094" s="420">
        <f t="shared" si="2327"/>
        <v>0</v>
      </c>
      <c r="EJ1094" s="420">
        <f t="shared" si="2327"/>
        <v>0</v>
      </c>
      <c r="EK1094" s="420">
        <f t="shared" si="2327"/>
        <v>0</v>
      </c>
      <c r="EL1094" s="423">
        <f t="shared" si="2327"/>
        <v>0</v>
      </c>
      <c r="EM1094" s="420">
        <f t="shared" si="2327"/>
        <v>0</v>
      </c>
      <c r="EN1094" s="420">
        <f t="shared" si="2327"/>
        <v>0</v>
      </c>
      <c r="EO1094" s="420">
        <f t="shared" si="2327"/>
        <v>0</v>
      </c>
      <c r="EP1094" s="420">
        <f t="shared" si="2327"/>
        <v>0</v>
      </c>
      <c r="EQ1094" s="420">
        <f t="shared" si="2327"/>
        <v>0</v>
      </c>
      <c r="ER1094" s="420">
        <f t="shared" si="2327"/>
        <v>0</v>
      </c>
      <c r="ES1094" s="420">
        <f t="shared" si="2327"/>
        <v>0</v>
      </c>
      <c r="ET1094" s="420">
        <f t="shared" si="2327"/>
        <v>0</v>
      </c>
      <c r="EU1094" s="420">
        <f t="shared" si="2327"/>
        <v>0</v>
      </c>
      <c r="EV1094" s="420">
        <f t="shared" si="2327"/>
        <v>0</v>
      </c>
      <c r="EW1094" s="420">
        <f t="shared" si="2327"/>
        <v>0</v>
      </c>
      <c r="EX1094" s="423">
        <f t="shared" si="2327"/>
        <v>0</v>
      </c>
      <c r="EY1094" s="420">
        <f t="shared" si="2327"/>
        <v>0</v>
      </c>
      <c r="EZ1094" s="420">
        <f t="shared" si="2327"/>
        <v>0</v>
      </c>
      <c r="FA1094" s="420">
        <f t="shared" si="2327"/>
        <v>0</v>
      </c>
      <c r="FB1094" s="420">
        <f t="shared" si="2327"/>
        <v>0</v>
      </c>
      <c r="FC1094" s="420">
        <f t="shared" si="2327"/>
        <v>0</v>
      </c>
      <c r="FD1094" s="420">
        <f t="shared" si="2327"/>
        <v>0</v>
      </c>
      <c r="FE1094" s="420">
        <f t="shared" si="2327"/>
        <v>0</v>
      </c>
      <c r="FF1094" s="420">
        <f t="shared" si="2327"/>
        <v>0</v>
      </c>
      <c r="FG1094" s="420">
        <f t="shared" si="2327"/>
        <v>0</v>
      </c>
      <c r="FH1094" s="420">
        <f t="shared" si="2327"/>
        <v>0</v>
      </c>
      <c r="FI1094" s="420">
        <f t="shared" si="2327"/>
        <v>0</v>
      </c>
      <c r="FJ1094" s="423">
        <f t="shared" si="2327"/>
        <v>0</v>
      </c>
      <c r="FK1094" s="420">
        <f t="shared" si="2327"/>
        <v>0</v>
      </c>
      <c r="FL1094" s="420">
        <f t="shared" si="2327"/>
        <v>0</v>
      </c>
      <c r="FM1094" s="420">
        <f t="shared" si="2327"/>
        <v>0</v>
      </c>
      <c r="FN1094" s="420">
        <f t="shared" si="2327"/>
        <v>0</v>
      </c>
      <c r="FO1094" s="420">
        <f t="shared" si="2327"/>
        <v>0</v>
      </c>
      <c r="FP1094" s="420">
        <f t="shared" si="2327"/>
        <v>0</v>
      </c>
      <c r="FQ1094" s="420">
        <f t="shared" si="2327"/>
        <v>0</v>
      </c>
      <c r="FR1094" s="420">
        <f t="shared" si="2327"/>
        <v>0</v>
      </c>
      <c r="FS1094" s="420">
        <f t="shared" si="2327"/>
        <v>0</v>
      </c>
      <c r="FT1094" s="420">
        <f t="shared" si="2327"/>
        <v>0</v>
      </c>
      <c r="FU1094" s="420">
        <f t="shared" si="2327"/>
        <v>0</v>
      </c>
      <c r="FV1094" s="423">
        <f t="shared" si="2327"/>
        <v>0</v>
      </c>
      <c r="FW1094" s="420">
        <f t="shared" si="2327"/>
        <v>0</v>
      </c>
      <c r="FX1094" s="420">
        <f t="shared" si="2327"/>
        <v>0</v>
      </c>
      <c r="FY1094" s="420">
        <f t="shared" si="2327"/>
        <v>0</v>
      </c>
      <c r="FZ1094" s="420">
        <f t="shared" si="2327"/>
        <v>0</v>
      </c>
      <c r="GA1094" s="420">
        <f t="shared" si="2327"/>
        <v>0</v>
      </c>
      <c r="GB1094" s="420">
        <f t="shared" si="2327"/>
        <v>0</v>
      </c>
      <c r="GC1094" s="420">
        <f t="shared" si="2327"/>
        <v>0</v>
      </c>
      <c r="GD1094" s="420">
        <f t="shared" si="2327"/>
        <v>0</v>
      </c>
      <c r="GE1094" s="420">
        <f t="shared" si="2327"/>
        <v>0</v>
      </c>
      <c r="GF1094" s="420">
        <f t="shared" si="2327"/>
        <v>153.84836347500001</v>
      </c>
      <c r="GG1094" s="420">
        <f t="shared" si="2327"/>
        <v>0</v>
      </c>
      <c r="GH1094" s="420">
        <f t="shared" si="2327"/>
        <v>0</v>
      </c>
      <c r="HZ1094" s="340"/>
      <c r="IA1094" s="425" t="s">
        <v>569</v>
      </c>
      <c r="IB1094" s="425"/>
      <c r="IC1094" s="425"/>
      <c r="ID1094" s="279">
        <f>ID$985</f>
        <v>0</v>
      </c>
      <c r="IE1094" s="279">
        <f>IE$985</f>
        <v>0</v>
      </c>
      <c r="IF1094" s="279">
        <f>IF$985</f>
        <v>0</v>
      </c>
      <c r="IG1094" s="434">
        <f>IG$985</f>
        <v>0</v>
      </c>
      <c r="IH1094" s="284"/>
      <c r="IJ1094" s="434">
        <f>IJ$985</f>
        <v>0</v>
      </c>
      <c r="IM1094" s="434">
        <f>IM$985</f>
        <v>0</v>
      </c>
      <c r="IP1094" s="434">
        <f>IP$985</f>
        <v>0</v>
      </c>
      <c r="IQ1094" s="434"/>
      <c r="IR1094" s="434"/>
      <c r="IS1094" s="434">
        <f>IS$985</f>
        <v>0</v>
      </c>
      <c r="IT1094" s="434"/>
      <c r="IU1094" s="434"/>
      <c r="IV1094" s="434">
        <f>IV$985</f>
        <v>0</v>
      </c>
      <c r="IW1094" s="434"/>
      <c r="IX1094" s="434"/>
      <c r="IY1094" s="434">
        <f>IY$985</f>
        <v>0</v>
      </c>
      <c r="IZ1094" s="434"/>
      <c r="JA1094" s="434">
        <f>JA$985</f>
        <v>153.84836347500001</v>
      </c>
      <c r="JB1094" s="434">
        <f>JB$985</f>
        <v>153.84836347500001</v>
      </c>
      <c r="JC1094" s="434">
        <f>JC$985</f>
        <v>0</v>
      </c>
      <c r="JD1094" s="434">
        <f>JD$985</f>
        <v>-68.114324774020005</v>
      </c>
      <c r="JE1094" s="434"/>
      <c r="JF1094" s="434"/>
      <c r="JG1094" s="434"/>
      <c r="JH1094" s="434"/>
      <c r="JI1094" s="434"/>
      <c r="JJ1094" s="434"/>
      <c r="JK1094" s="434"/>
      <c r="KU1094" s="340"/>
      <c r="KV1094" s="341"/>
      <c r="KY1094" s="279">
        <f>KY$985</f>
        <v>0</v>
      </c>
      <c r="KZ1094" s="279">
        <f>KZ$985</f>
        <v>0</v>
      </c>
      <c r="LA1094" s="279">
        <f>LA$985</f>
        <v>0</v>
      </c>
      <c r="LB1094" s="279">
        <f>LB$985</f>
        <v>0</v>
      </c>
    </row>
    <row r="1095" spans="1:314">
      <c r="B1095" s="96" t="s">
        <v>338</v>
      </c>
      <c r="D1095" s="419" t="str">
        <f>D$987</f>
        <v>Net incurrence of liabilities</v>
      </c>
      <c r="E1095" s="420">
        <f>E$987</f>
        <v>0</v>
      </c>
      <c r="F1095" s="420">
        <f t="shared" ref="F1095:L1095" si="2328">F$987</f>
        <v>0</v>
      </c>
      <c r="G1095" s="420">
        <f t="shared" si="2328"/>
        <v>0</v>
      </c>
      <c r="H1095" s="420">
        <f t="shared" si="2328"/>
        <v>0</v>
      </c>
      <c r="I1095" s="420">
        <f t="shared" si="2328"/>
        <v>0</v>
      </c>
      <c r="J1095" s="420">
        <f t="shared" si="2328"/>
        <v>0</v>
      </c>
      <c r="K1095" s="420">
        <f t="shared" si="2328"/>
        <v>0</v>
      </c>
      <c r="L1095" s="420">
        <f t="shared" si="2328"/>
        <v>0</v>
      </c>
      <c r="M1095" s="420">
        <f t="shared" ref="M1095:AW1095" si="2329">M$987</f>
        <v>0</v>
      </c>
      <c r="N1095" s="420">
        <f t="shared" si="2329"/>
        <v>0</v>
      </c>
      <c r="O1095" s="420">
        <f t="shared" si="2329"/>
        <v>0</v>
      </c>
      <c r="P1095" s="420">
        <f t="shared" si="2329"/>
        <v>0</v>
      </c>
      <c r="Q1095" s="420">
        <f t="shared" si="2329"/>
        <v>0</v>
      </c>
      <c r="R1095" s="420">
        <f t="shared" si="2329"/>
        <v>0</v>
      </c>
      <c r="S1095" s="420">
        <f t="shared" si="2329"/>
        <v>0</v>
      </c>
      <c r="T1095" s="420">
        <f t="shared" si="2329"/>
        <v>0</v>
      </c>
      <c r="U1095" s="420">
        <f t="shared" si="2329"/>
        <v>0</v>
      </c>
      <c r="V1095" s="420">
        <f t="shared" si="2329"/>
        <v>0</v>
      </c>
      <c r="W1095" s="420">
        <f t="shared" si="2329"/>
        <v>0</v>
      </c>
      <c r="X1095" s="420">
        <f t="shared" si="2329"/>
        <v>0</v>
      </c>
      <c r="Y1095" s="420">
        <f t="shared" si="2329"/>
        <v>0</v>
      </c>
      <c r="Z1095" s="420">
        <f t="shared" si="2329"/>
        <v>0</v>
      </c>
      <c r="AA1095" s="420">
        <f t="shared" si="2329"/>
        <v>0</v>
      </c>
      <c r="AB1095" s="420">
        <f t="shared" si="2329"/>
        <v>0</v>
      </c>
      <c r="AC1095" s="420">
        <f t="shared" si="2329"/>
        <v>0</v>
      </c>
      <c r="AD1095" s="420">
        <f t="shared" si="2329"/>
        <v>0</v>
      </c>
      <c r="AE1095" s="420">
        <f t="shared" si="2329"/>
        <v>0</v>
      </c>
      <c r="AF1095" s="420">
        <f t="shared" si="2329"/>
        <v>0</v>
      </c>
      <c r="AG1095" s="420">
        <f t="shared" si="2329"/>
        <v>0</v>
      </c>
      <c r="AH1095" s="420">
        <f t="shared" si="2329"/>
        <v>0</v>
      </c>
      <c r="AI1095" s="420">
        <f t="shared" si="2329"/>
        <v>0</v>
      </c>
      <c r="AJ1095" s="420">
        <f t="shared" si="2329"/>
        <v>0</v>
      </c>
      <c r="AK1095" s="420">
        <f t="shared" si="2329"/>
        <v>0</v>
      </c>
      <c r="AL1095" s="420" t="str">
        <f t="shared" si="2329"/>
        <v>`</v>
      </c>
      <c r="AM1095" s="420">
        <f t="shared" si="2329"/>
        <v>0</v>
      </c>
      <c r="AN1095" s="420">
        <f t="shared" si="2329"/>
        <v>0</v>
      </c>
      <c r="AO1095" s="420">
        <f t="shared" si="2329"/>
        <v>0</v>
      </c>
      <c r="AP1095" s="420">
        <f t="shared" si="2329"/>
        <v>0</v>
      </c>
      <c r="AQ1095" s="420">
        <f t="shared" si="2329"/>
        <v>0</v>
      </c>
      <c r="AR1095" s="420">
        <f t="shared" si="2329"/>
        <v>0</v>
      </c>
      <c r="AS1095" s="420">
        <f t="shared" si="2329"/>
        <v>0</v>
      </c>
      <c r="AT1095" s="420">
        <f t="shared" si="2329"/>
        <v>0</v>
      </c>
      <c r="AU1095" s="420">
        <f t="shared" si="2329"/>
        <v>0</v>
      </c>
      <c r="AV1095" s="420">
        <f t="shared" si="2329"/>
        <v>0</v>
      </c>
      <c r="AW1095" s="420">
        <f t="shared" si="2329"/>
        <v>0</v>
      </c>
      <c r="AX1095" s="420">
        <f t="shared" ref="AX1095:BP1095" si="2330">AX$987</f>
        <v>0</v>
      </c>
      <c r="AY1095" s="420">
        <f t="shared" si="2330"/>
        <v>0</v>
      </c>
      <c r="AZ1095" s="420">
        <f t="shared" si="2330"/>
        <v>0</v>
      </c>
      <c r="BA1095" s="420">
        <f t="shared" si="2330"/>
        <v>0</v>
      </c>
      <c r="BB1095" s="420">
        <f t="shared" si="2330"/>
        <v>0</v>
      </c>
      <c r="BC1095" s="420">
        <f t="shared" si="2330"/>
        <v>0</v>
      </c>
      <c r="BD1095" s="420">
        <f t="shared" si="2330"/>
        <v>0</v>
      </c>
      <c r="BE1095" s="420">
        <f t="shared" si="2330"/>
        <v>0</v>
      </c>
      <c r="BF1095" s="420">
        <f t="shared" si="2330"/>
        <v>0</v>
      </c>
      <c r="BG1095" s="420">
        <f t="shared" si="2330"/>
        <v>0</v>
      </c>
      <c r="BH1095" s="420">
        <f t="shared" si="2330"/>
        <v>0</v>
      </c>
      <c r="BI1095" s="420">
        <f t="shared" si="2330"/>
        <v>0</v>
      </c>
      <c r="BJ1095" s="420">
        <f t="shared" si="2330"/>
        <v>0</v>
      </c>
      <c r="BK1095" s="420">
        <f t="shared" si="2330"/>
        <v>0</v>
      </c>
      <c r="BL1095" s="420">
        <f t="shared" si="2330"/>
        <v>0</v>
      </c>
      <c r="BM1095" s="420">
        <f t="shared" si="2330"/>
        <v>0</v>
      </c>
      <c r="BN1095" s="420">
        <f t="shared" si="2330"/>
        <v>0</v>
      </c>
      <c r="BO1095" s="420">
        <f t="shared" si="2330"/>
        <v>0</v>
      </c>
      <c r="BP1095" s="420">
        <f t="shared" si="2330"/>
        <v>0</v>
      </c>
      <c r="BQ1095" s="420">
        <f t="shared" ref="BQ1095:EB1095" si="2331">BQ$987</f>
        <v>0</v>
      </c>
      <c r="BR1095" s="420">
        <f t="shared" si="2331"/>
        <v>0</v>
      </c>
      <c r="BS1095" s="420">
        <f t="shared" si="2331"/>
        <v>0</v>
      </c>
      <c r="BT1095" s="420">
        <f t="shared" si="2331"/>
        <v>0</v>
      </c>
      <c r="BU1095" s="420">
        <f t="shared" si="2331"/>
        <v>0</v>
      </c>
      <c r="BV1095" s="420">
        <f t="shared" si="2331"/>
        <v>0</v>
      </c>
      <c r="BW1095" s="420">
        <f t="shared" si="2331"/>
        <v>0</v>
      </c>
      <c r="BX1095" s="420">
        <f t="shared" si="2331"/>
        <v>0</v>
      </c>
      <c r="BY1095" s="420">
        <f t="shared" si="2331"/>
        <v>0</v>
      </c>
      <c r="BZ1095" s="420">
        <f t="shared" si="2331"/>
        <v>0</v>
      </c>
      <c r="CA1095" s="420">
        <f t="shared" si="2331"/>
        <v>0</v>
      </c>
      <c r="CB1095" s="420">
        <f t="shared" si="2331"/>
        <v>0</v>
      </c>
      <c r="CC1095" s="420">
        <f t="shared" si="2331"/>
        <v>0</v>
      </c>
      <c r="CD1095" s="421">
        <f t="shared" si="2331"/>
        <v>0</v>
      </c>
      <c r="CE1095" s="420">
        <f t="shared" si="2331"/>
        <v>34.103751978889996</v>
      </c>
      <c r="CF1095" s="420">
        <f t="shared" si="2331"/>
        <v>-4.3701596728948982</v>
      </c>
      <c r="CG1095" s="420">
        <f t="shared" si="2331"/>
        <v>14.490385606584244</v>
      </c>
      <c r="CH1095" s="420">
        <f t="shared" si="2331"/>
        <v>24.101949228732032</v>
      </c>
      <c r="CI1095" s="420">
        <f t="shared" si="2331"/>
        <v>4.8666904338658554</v>
      </c>
      <c r="CJ1095" s="420">
        <f t="shared" si="2331"/>
        <v>-35.949684892479723</v>
      </c>
      <c r="CK1095" s="420">
        <f t="shared" si="2331"/>
        <v>45.537509746088695</v>
      </c>
      <c r="CL1095" s="420">
        <f t="shared" si="2331"/>
        <v>9.1364415919191622</v>
      </c>
      <c r="CM1095" s="420">
        <f t="shared" si="2331"/>
        <v>-2.0750334709891241</v>
      </c>
      <c r="CN1095" s="420">
        <f t="shared" si="2331"/>
        <v>26.454445592113782</v>
      </c>
      <c r="CO1095" s="420">
        <f t="shared" si="2331"/>
        <v>75.138003526653051</v>
      </c>
      <c r="CP1095" s="423">
        <f t="shared" si="2331"/>
        <v>-61.621601549825932</v>
      </c>
      <c r="CQ1095" s="422">
        <f t="shared" si="2331"/>
        <v>16.934996040376724</v>
      </c>
      <c r="CR1095" s="422">
        <f t="shared" si="2331"/>
        <v>33.982254861906007</v>
      </c>
      <c r="CS1095" s="422">
        <f t="shared" si="2331"/>
        <v>15.168543510669569</v>
      </c>
      <c r="CT1095" s="422">
        <f t="shared" si="2331"/>
        <v>38.84792323146057</v>
      </c>
      <c r="CU1095" s="422">
        <f t="shared" si="2331"/>
        <v>16.575555648495261</v>
      </c>
      <c r="CV1095" s="422">
        <f t="shared" si="2331"/>
        <v>49.335538480133465</v>
      </c>
      <c r="CW1095" s="422">
        <f t="shared" si="2331"/>
        <v>15.914124403208575</v>
      </c>
      <c r="CX1095" s="422">
        <f t="shared" si="2331"/>
        <v>34.245728906493071</v>
      </c>
      <c r="CY1095" s="422">
        <f t="shared" si="2331"/>
        <v>-7.9265189419644795</v>
      </c>
      <c r="CZ1095" s="422">
        <f t="shared" si="2331"/>
        <v>61.445411045948624</v>
      </c>
      <c r="DA1095" s="422">
        <f t="shared" si="2331"/>
        <v>58.642283989785348</v>
      </c>
      <c r="DB1095" s="1310">
        <f t="shared" si="2331"/>
        <v>-52.706826344141298</v>
      </c>
      <c r="DC1095" s="420">
        <f t="shared" si="2331"/>
        <v>41.192277089001109</v>
      </c>
      <c r="DD1095" s="420">
        <f t="shared" si="2331"/>
        <v>14.780197209644435</v>
      </c>
      <c r="DE1095" s="420">
        <f t="shared" si="2331"/>
        <v>53.478583270825894</v>
      </c>
      <c r="DF1095" s="420">
        <f t="shared" si="2331"/>
        <v>41.239771737729242</v>
      </c>
      <c r="DG1095" s="420">
        <f t="shared" si="2331"/>
        <v>9.1475604358185016</v>
      </c>
      <c r="DH1095" s="420">
        <f t="shared" si="2331"/>
        <v>60.176420301537433</v>
      </c>
      <c r="DI1095" s="420">
        <f t="shared" si="2331"/>
        <v>36.722126290948985</v>
      </c>
      <c r="DJ1095" s="420">
        <f t="shared" si="2331"/>
        <v>31.496710307958718</v>
      </c>
      <c r="DK1095" s="420">
        <f t="shared" si="2331"/>
        <v>37.865241974314145</v>
      </c>
      <c r="DL1095" s="420">
        <f t="shared" si="2331"/>
        <v>-11.89997137852373</v>
      </c>
      <c r="DM1095" s="420">
        <f t="shared" si="2331"/>
        <v>61.689458128759398</v>
      </c>
      <c r="DN1095" s="423">
        <f t="shared" si="2331"/>
        <v>-56.64619658132473</v>
      </c>
      <c r="DO1095" s="420">
        <f t="shared" si="2331"/>
        <v>11.186062182919162</v>
      </c>
      <c r="DP1095" s="420">
        <f t="shared" si="2331"/>
        <v>70.864449492012213</v>
      </c>
      <c r="DQ1095" s="420">
        <f t="shared" si="2331"/>
        <v>24.21060372043647</v>
      </c>
      <c r="DR1095" s="420">
        <f t="shared" si="2331"/>
        <v>70.622034715118076</v>
      </c>
      <c r="DS1095" s="420">
        <f t="shared" si="2331"/>
        <v>32.178582584032128</v>
      </c>
      <c r="DT1095" s="420">
        <f t="shared" si="2331"/>
        <v>23.875939390791459</v>
      </c>
      <c r="DU1095" s="420">
        <f t="shared" si="2331"/>
        <v>50.011829034546295</v>
      </c>
      <c r="DV1095" s="420">
        <f t="shared" si="2331"/>
        <v>-0.54345707746229444</v>
      </c>
      <c r="DW1095" s="420">
        <f t="shared" si="2331"/>
        <v>-1.1852207203239686</v>
      </c>
      <c r="DX1095" s="420">
        <f t="shared" si="2331"/>
        <v>76.337304917965213</v>
      </c>
      <c r="DY1095" s="420">
        <f t="shared" si="2331"/>
        <v>69.064156189306061</v>
      </c>
      <c r="DZ1095" s="423">
        <f t="shared" si="2331"/>
        <v>-64.331800955969527</v>
      </c>
      <c r="EA1095" s="420">
        <f t="shared" si="2331"/>
        <v>70.456011425807461</v>
      </c>
      <c r="EB1095" s="420">
        <f t="shared" si="2331"/>
        <v>59.088075755302896</v>
      </c>
      <c r="EC1095" s="420">
        <f t="shared" ref="EC1095:GH1095" si="2332">EC$987</f>
        <v>49.853341688662525</v>
      </c>
      <c r="ED1095" s="420">
        <f t="shared" si="2332"/>
        <v>26.966958964856182</v>
      </c>
      <c r="EE1095" s="420">
        <f t="shared" si="2332"/>
        <v>140.39644100711362</v>
      </c>
      <c r="EF1095" s="420">
        <f t="shared" si="2332"/>
        <v>-63.355729292680948</v>
      </c>
      <c r="EG1095" s="420">
        <f t="shared" si="2332"/>
        <v>40.939862115873339</v>
      </c>
      <c r="EH1095" s="420">
        <f t="shared" si="2332"/>
        <v>1.8356171261168992</v>
      </c>
      <c r="EI1095" s="420">
        <f t="shared" si="2332"/>
        <v>30.546434760231801</v>
      </c>
      <c r="EJ1095" s="420">
        <f t="shared" si="2332"/>
        <v>23.670361248324099</v>
      </c>
      <c r="EK1095" s="420">
        <f t="shared" si="2332"/>
        <v>113.07304808355462</v>
      </c>
      <c r="EL1095" s="423">
        <f t="shared" si="2332"/>
        <v>-45.175053460513922</v>
      </c>
      <c r="EM1095" s="420">
        <f t="shared" si="2332"/>
        <v>61.720814974477165</v>
      </c>
      <c r="EN1095" s="420">
        <f t="shared" si="2332"/>
        <v>54.593757407764237</v>
      </c>
      <c r="EO1095" s="420">
        <f t="shared" si="2332"/>
        <v>11.281725291166037</v>
      </c>
      <c r="EP1095" s="420">
        <f t="shared" si="2332"/>
        <v>48.833296537657823</v>
      </c>
      <c r="EQ1095" s="420">
        <f t="shared" si="2332"/>
        <v>61.408771942117866</v>
      </c>
      <c r="ER1095" s="420">
        <f t="shared" si="2332"/>
        <v>35.852359842208017</v>
      </c>
      <c r="ES1095" s="420">
        <f t="shared" si="2332"/>
        <v>3.3300935262533926</v>
      </c>
      <c r="ET1095" s="420">
        <f t="shared" si="2332"/>
        <v>26.039169528038485</v>
      </c>
      <c r="EU1095" s="420">
        <f t="shared" si="2332"/>
        <v>36.366576262926174</v>
      </c>
      <c r="EV1095" s="420">
        <f t="shared" si="2332"/>
        <v>194.69246042972006</v>
      </c>
      <c r="EW1095" s="420">
        <f t="shared" si="2332"/>
        <v>84.095637754151028</v>
      </c>
      <c r="EX1095" s="423">
        <f t="shared" si="2332"/>
        <v>-61.961748140226035</v>
      </c>
      <c r="EY1095" s="420">
        <f t="shared" si="2332"/>
        <v>27.516350839928734</v>
      </c>
      <c r="EZ1095" s="420">
        <f t="shared" si="2332"/>
        <v>60.071343762704274</v>
      </c>
      <c r="FA1095" s="420">
        <f t="shared" si="2332"/>
        <v>80.959750160640269</v>
      </c>
      <c r="FB1095" s="420">
        <f t="shared" si="2332"/>
        <v>154.79132916041971</v>
      </c>
      <c r="FC1095" s="420">
        <f t="shared" si="2332"/>
        <v>106.13331155283268</v>
      </c>
      <c r="FD1095" s="420">
        <f t="shared" si="2332"/>
        <v>106.15415721997124</v>
      </c>
      <c r="FE1095" s="420">
        <f t="shared" si="2332"/>
        <v>81.236622079908159</v>
      </c>
      <c r="FF1095" s="420">
        <f t="shared" si="2332"/>
        <v>38.502700305016397</v>
      </c>
      <c r="FG1095" s="420">
        <f t="shared" si="2332"/>
        <v>65.70443077627057</v>
      </c>
      <c r="FH1095" s="420">
        <f t="shared" si="2332"/>
        <v>133.88720392724824</v>
      </c>
      <c r="FI1095" s="420">
        <f t="shared" si="2332"/>
        <v>113.4760928221684</v>
      </c>
      <c r="FJ1095" s="423">
        <f t="shared" si="2332"/>
        <v>191.55778302299052</v>
      </c>
      <c r="FK1095" s="420">
        <f t="shared" si="2332"/>
        <v>272.29667624293302</v>
      </c>
      <c r="FL1095" s="420">
        <f t="shared" si="2332"/>
        <v>85.757028899936358</v>
      </c>
      <c r="FM1095" s="420">
        <f t="shared" si="2332"/>
        <v>79.705131816396801</v>
      </c>
      <c r="FN1095" s="420">
        <f t="shared" si="2332"/>
        <v>44.085675965280153</v>
      </c>
      <c r="FO1095" s="420">
        <f t="shared" si="2332"/>
        <v>62.000428352211486</v>
      </c>
      <c r="FP1095" s="420">
        <f t="shared" si="2332"/>
        <v>220.30429730195885</v>
      </c>
      <c r="FQ1095" s="420">
        <f t="shared" si="2332"/>
        <v>64.671681971204961</v>
      </c>
      <c r="FR1095" s="420">
        <f t="shared" si="2332"/>
        <v>45.142167082393954</v>
      </c>
      <c r="FS1095" s="420">
        <f t="shared" si="2332"/>
        <v>28.746229178840011</v>
      </c>
      <c r="FT1095" s="420">
        <f t="shared" si="2332"/>
        <v>-2.9779947346402125</v>
      </c>
      <c r="FU1095" s="420">
        <f t="shared" si="2332"/>
        <v>111.78413198000437</v>
      </c>
      <c r="FV1095" s="423">
        <f t="shared" si="2332"/>
        <v>-100.7771087220332</v>
      </c>
      <c r="FW1095" s="420">
        <f t="shared" si="2332"/>
        <v>34.068269033979405</v>
      </c>
      <c r="FX1095" s="420">
        <f t="shared" si="2332"/>
        <v>179.3542219223047</v>
      </c>
      <c r="FY1095" s="420">
        <f t="shared" si="2332"/>
        <v>94.358514982011172</v>
      </c>
      <c r="FZ1095" s="420">
        <f t="shared" si="2332"/>
        <v>161.23962602570217</v>
      </c>
      <c r="GA1095" s="420">
        <f t="shared" si="2332"/>
        <v>108.39809335973445</v>
      </c>
      <c r="GB1095" s="420">
        <f t="shared" si="2332"/>
        <v>319.09213118077048</v>
      </c>
      <c r="GC1095" s="420">
        <f t="shared" si="2332"/>
        <v>45.817001772149879</v>
      </c>
      <c r="GD1095" s="420">
        <f t="shared" si="2332"/>
        <v>87.24447782106057</v>
      </c>
      <c r="GE1095" s="420">
        <f t="shared" si="2332"/>
        <v>23.572605436580936</v>
      </c>
      <c r="GF1095" s="420">
        <f t="shared" si="2332"/>
        <v>65.775641993713919</v>
      </c>
      <c r="GG1095" s="420">
        <f t="shared" si="2332"/>
        <v>54.55927970491156</v>
      </c>
      <c r="GH1095" s="420">
        <f t="shared" si="2332"/>
        <v>78.759328071046795</v>
      </c>
      <c r="HZ1095" s="340"/>
      <c r="IA1095" s="419" t="s">
        <v>570</v>
      </c>
      <c r="IB1095" s="419"/>
      <c r="IC1095" s="419"/>
      <c r="ID1095" s="279">
        <f>ID$987</f>
        <v>129.81269811865718</v>
      </c>
      <c r="IE1095" s="279">
        <f>IE$987</f>
        <v>170.84481177304158</v>
      </c>
      <c r="IF1095" s="279">
        <f>IF$987</f>
        <v>109.61420305932984</v>
      </c>
      <c r="IG1095" s="434">
        <f>IG$987</f>
        <v>280.45901483237139</v>
      </c>
      <c r="IH1095" s="284"/>
      <c r="IJ1095" s="434">
        <f>IJ$987</f>
        <v>319.24217878668935</v>
      </c>
      <c r="IM1095" s="434">
        <f>IM$987</f>
        <v>362.2904834733713</v>
      </c>
      <c r="IP1095" s="434">
        <f>IP$987</f>
        <v>448.29536942264849</v>
      </c>
      <c r="IQ1095" s="434"/>
      <c r="IR1095" s="434"/>
      <c r="IS1095" s="434">
        <f>IS$987</f>
        <v>556.25291535625433</v>
      </c>
      <c r="IT1095" s="434"/>
      <c r="IU1095" s="434"/>
      <c r="IV1095" s="434">
        <f>IV$987</f>
        <v>1159.9910756300992</v>
      </c>
      <c r="IW1095" s="434"/>
      <c r="IX1095" s="434"/>
      <c r="IY1095" s="434">
        <f>IY$987</f>
        <v>910.73834533448655</v>
      </c>
      <c r="IZ1095" s="434"/>
      <c r="JA1095" s="434">
        <f>JA$987</f>
        <v>355.72833479946365</v>
      </c>
      <c r="JB1095" s="434">
        <f>JB$987</f>
        <v>1252.239191303966</v>
      </c>
      <c r="JC1095" s="434">
        <f>JC$987</f>
        <v>494.10151013914162</v>
      </c>
      <c r="JD1095" s="434">
        <f>JD$987</f>
        <v>456.73440173143285</v>
      </c>
      <c r="JE1095" s="434"/>
      <c r="JF1095" s="434"/>
      <c r="JG1095" s="434"/>
      <c r="JH1095" s="434"/>
      <c r="JI1095" s="434"/>
      <c r="JJ1095" s="434"/>
      <c r="JK1095" s="434"/>
      <c r="KU1095" s="340"/>
      <c r="KV1095" s="341"/>
      <c r="KY1095" s="279">
        <f>KY$987</f>
        <v>0</v>
      </c>
      <c r="KZ1095" s="279">
        <f>KZ$987</f>
        <v>0</v>
      </c>
      <c r="LA1095" s="279">
        <f>LA$987</f>
        <v>0</v>
      </c>
      <c r="LB1095" s="279">
        <f>LB$987</f>
        <v>0</v>
      </c>
    </row>
    <row r="1096" spans="1:314">
      <c r="B1096" s="96" t="s">
        <v>338</v>
      </c>
      <c r="D1096" s="425" t="str">
        <f>D$988</f>
        <v xml:space="preserve">Domestic </v>
      </c>
      <c r="E1096" s="420">
        <f>E$988</f>
        <v>0</v>
      </c>
      <c r="F1096" s="420">
        <f t="shared" ref="F1096:L1096" si="2333">F$988</f>
        <v>0</v>
      </c>
      <c r="G1096" s="420">
        <f t="shared" si="2333"/>
        <v>0</v>
      </c>
      <c r="H1096" s="420">
        <f t="shared" si="2333"/>
        <v>0</v>
      </c>
      <c r="I1096" s="420">
        <f t="shared" si="2333"/>
        <v>0</v>
      </c>
      <c r="J1096" s="420">
        <f t="shared" si="2333"/>
        <v>0</v>
      </c>
      <c r="K1096" s="420">
        <f t="shared" si="2333"/>
        <v>0</v>
      </c>
      <c r="L1096" s="420">
        <f t="shared" si="2333"/>
        <v>0</v>
      </c>
      <c r="M1096" s="420">
        <f t="shared" ref="M1096:AW1096" si="2334">M$988</f>
        <v>0</v>
      </c>
      <c r="N1096" s="420">
        <f t="shared" si="2334"/>
        <v>0</v>
      </c>
      <c r="O1096" s="420">
        <f t="shared" si="2334"/>
        <v>0</v>
      </c>
      <c r="P1096" s="420">
        <f t="shared" si="2334"/>
        <v>0</v>
      </c>
      <c r="Q1096" s="420">
        <f t="shared" si="2334"/>
        <v>0</v>
      </c>
      <c r="R1096" s="420">
        <f t="shared" si="2334"/>
        <v>0</v>
      </c>
      <c r="S1096" s="420">
        <f t="shared" si="2334"/>
        <v>0</v>
      </c>
      <c r="T1096" s="420">
        <f t="shared" si="2334"/>
        <v>0</v>
      </c>
      <c r="U1096" s="420">
        <f t="shared" si="2334"/>
        <v>0</v>
      </c>
      <c r="V1096" s="420">
        <f t="shared" si="2334"/>
        <v>0</v>
      </c>
      <c r="W1096" s="420">
        <f t="shared" si="2334"/>
        <v>0</v>
      </c>
      <c r="X1096" s="420">
        <f t="shared" si="2334"/>
        <v>0</v>
      </c>
      <c r="Y1096" s="420">
        <f t="shared" si="2334"/>
        <v>0</v>
      </c>
      <c r="Z1096" s="420">
        <f t="shared" si="2334"/>
        <v>0</v>
      </c>
      <c r="AA1096" s="420">
        <f t="shared" si="2334"/>
        <v>0</v>
      </c>
      <c r="AB1096" s="420">
        <f t="shared" si="2334"/>
        <v>0</v>
      </c>
      <c r="AC1096" s="420">
        <f t="shared" si="2334"/>
        <v>0</v>
      </c>
      <c r="AD1096" s="420">
        <f t="shared" si="2334"/>
        <v>0</v>
      </c>
      <c r="AE1096" s="420">
        <f t="shared" si="2334"/>
        <v>0</v>
      </c>
      <c r="AF1096" s="420">
        <f t="shared" si="2334"/>
        <v>0</v>
      </c>
      <c r="AG1096" s="420">
        <f t="shared" si="2334"/>
        <v>0</v>
      </c>
      <c r="AH1096" s="420">
        <f t="shared" si="2334"/>
        <v>0</v>
      </c>
      <c r="AI1096" s="420">
        <f t="shared" si="2334"/>
        <v>0</v>
      </c>
      <c r="AJ1096" s="420">
        <f t="shared" si="2334"/>
        <v>0</v>
      </c>
      <c r="AK1096" s="420">
        <f t="shared" si="2334"/>
        <v>0</v>
      </c>
      <c r="AL1096" s="420">
        <f t="shared" si="2334"/>
        <v>0</v>
      </c>
      <c r="AM1096" s="420">
        <f t="shared" si="2334"/>
        <v>0</v>
      </c>
      <c r="AN1096" s="420">
        <f t="shared" si="2334"/>
        <v>0</v>
      </c>
      <c r="AO1096" s="420">
        <f t="shared" si="2334"/>
        <v>0</v>
      </c>
      <c r="AP1096" s="420">
        <f t="shared" si="2334"/>
        <v>0</v>
      </c>
      <c r="AQ1096" s="420">
        <f t="shared" si="2334"/>
        <v>0</v>
      </c>
      <c r="AR1096" s="420">
        <f t="shared" si="2334"/>
        <v>0</v>
      </c>
      <c r="AS1096" s="420">
        <f t="shared" si="2334"/>
        <v>0</v>
      </c>
      <c r="AT1096" s="420">
        <f t="shared" si="2334"/>
        <v>0</v>
      </c>
      <c r="AU1096" s="420">
        <f t="shared" si="2334"/>
        <v>0</v>
      </c>
      <c r="AV1096" s="420">
        <f t="shared" si="2334"/>
        <v>0</v>
      </c>
      <c r="AW1096" s="420">
        <f t="shared" si="2334"/>
        <v>0</v>
      </c>
      <c r="AX1096" s="420">
        <f t="shared" ref="AX1096:BP1096" si="2335">AX$988</f>
        <v>0</v>
      </c>
      <c r="AY1096" s="420">
        <f t="shared" si="2335"/>
        <v>0</v>
      </c>
      <c r="AZ1096" s="420">
        <f t="shared" si="2335"/>
        <v>0</v>
      </c>
      <c r="BA1096" s="420">
        <f t="shared" si="2335"/>
        <v>0</v>
      </c>
      <c r="BB1096" s="420">
        <f t="shared" si="2335"/>
        <v>0</v>
      </c>
      <c r="BC1096" s="420">
        <f t="shared" si="2335"/>
        <v>0</v>
      </c>
      <c r="BD1096" s="420">
        <f t="shared" si="2335"/>
        <v>0</v>
      </c>
      <c r="BE1096" s="420">
        <f t="shared" si="2335"/>
        <v>0</v>
      </c>
      <c r="BF1096" s="420">
        <f t="shared" si="2335"/>
        <v>0</v>
      </c>
      <c r="BG1096" s="420">
        <f t="shared" si="2335"/>
        <v>0</v>
      </c>
      <c r="BH1096" s="420">
        <f t="shared" si="2335"/>
        <v>0</v>
      </c>
      <c r="BI1096" s="420">
        <f t="shared" si="2335"/>
        <v>0</v>
      </c>
      <c r="BJ1096" s="420">
        <f t="shared" si="2335"/>
        <v>0</v>
      </c>
      <c r="BK1096" s="420">
        <f t="shared" si="2335"/>
        <v>0</v>
      </c>
      <c r="BL1096" s="420">
        <f t="shared" si="2335"/>
        <v>0</v>
      </c>
      <c r="BM1096" s="420">
        <f t="shared" si="2335"/>
        <v>0</v>
      </c>
      <c r="BN1096" s="420">
        <f t="shared" si="2335"/>
        <v>0</v>
      </c>
      <c r="BO1096" s="420">
        <f t="shared" si="2335"/>
        <v>0</v>
      </c>
      <c r="BP1096" s="420">
        <f t="shared" si="2335"/>
        <v>0</v>
      </c>
      <c r="BQ1096" s="420">
        <f t="shared" ref="BQ1096:EB1096" si="2336">BQ$988</f>
        <v>0</v>
      </c>
      <c r="BR1096" s="420">
        <f t="shared" si="2336"/>
        <v>0</v>
      </c>
      <c r="BS1096" s="420">
        <f t="shared" si="2336"/>
        <v>0</v>
      </c>
      <c r="BT1096" s="420">
        <f t="shared" si="2336"/>
        <v>0</v>
      </c>
      <c r="BU1096" s="420">
        <f t="shared" si="2336"/>
        <v>0</v>
      </c>
      <c r="BV1096" s="420">
        <f t="shared" si="2336"/>
        <v>0</v>
      </c>
      <c r="BW1096" s="420">
        <f t="shared" si="2336"/>
        <v>0</v>
      </c>
      <c r="BX1096" s="420">
        <f t="shared" si="2336"/>
        <v>0</v>
      </c>
      <c r="BY1096" s="420">
        <f t="shared" si="2336"/>
        <v>0</v>
      </c>
      <c r="BZ1096" s="420">
        <f t="shared" si="2336"/>
        <v>0</v>
      </c>
      <c r="CA1096" s="420">
        <f t="shared" si="2336"/>
        <v>0</v>
      </c>
      <c r="CB1096" s="420">
        <f t="shared" si="2336"/>
        <v>0</v>
      </c>
      <c r="CC1096" s="420">
        <f t="shared" si="2336"/>
        <v>0</v>
      </c>
      <c r="CD1096" s="421">
        <f t="shared" si="2336"/>
        <v>0</v>
      </c>
      <c r="CE1096" s="420">
        <f t="shared" si="2336"/>
        <v>28.038884640999981</v>
      </c>
      <c r="CF1096" s="420">
        <f t="shared" si="2336"/>
        <v>-8.1644795279999887</v>
      </c>
      <c r="CG1096" s="420">
        <f t="shared" si="2336"/>
        <v>11.07604008700001</v>
      </c>
      <c r="CH1096" s="420">
        <f t="shared" si="2336"/>
        <v>19.295499916000018</v>
      </c>
      <c r="CI1096" s="420">
        <f t="shared" si="2336"/>
        <v>1.9333040049999823</v>
      </c>
      <c r="CJ1096" s="420">
        <f t="shared" si="2336"/>
        <v>-42.016117240000042</v>
      </c>
      <c r="CK1096" s="420">
        <f t="shared" si="2336"/>
        <v>34.987766365359711</v>
      </c>
      <c r="CL1096" s="420">
        <f t="shared" si="2336"/>
        <v>7.5270274272589974</v>
      </c>
      <c r="CM1096" s="420">
        <f t="shared" si="2336"/>
        <v>-4.0838809607345805</v>
      </c>
      <c r="CN1096" s="420">
        <f t="shared" si="2336"/>
        <v>25.18260403608971</v>
      </c>
      <c r="CO1096" s="420">
        <f t="shared" si="2336"/>
        <v>37.032649776026204</v>
      </c>
      <c r="CP1096" s="423">
        <f t="shared" si="2336"/>
        <v>-86.153515779081246</v>
      </c>
      <c r="CQ1096" s="420">
        <f t="shared" si="2336"/>
        <v>11.992976739534837</v>
      </c>
      <c r="CR1096" s="420">
        <f t="shared" si="2336"/>
        <v>30.15136091674934</v>
      </c>
      <c r="CS1096" s="420">
        <f t="shared" si="2336"/>
        <v>3.1656762680855084</v>
      </c>
      <c r="CT1096" s="420">
        <f t="shared" si="2336"/>
        <v>33.658589305300481</v>
      </c>
      <c r="CU1096" s="420">
        <f t="shared" si="2336"/>
        <v>6.1096968111579226</v>
      </c>
      <c r="CV1096" s="420">
        <f t="shared" si="2336"/>
        <v>-17.685539985750676</v>
      </c>
      <c r="CW1096" s="420">
        <f t="shared" si="2336"/>
        <v>8.0378884380826499</v>
      </c>
      <c r="CX1096" s="420">
        <f t="shared" si="2336"/>
        <v>30.697138003218029</v>
      </c>
      <c r="CY1096" s="420">
        <f t="shared" si="2336"/>
        <v>-16.582285944247218</v>
      </c>
      <c r="CZ1096" s="420">
        <f t="shared" si="2336"/>
        <v>13.232324986498604</v>
      </c>
      <c r="DA1096" s="420">
        <f t="shared" si="2336"/>
        <v>53.746502489444033</v>
      </c>
      <c r="DB1096" s="1310">
        <f t="shared" si="2336"/>
        <v>-64.251892001934266</v>
      </c>
      <c r="DC1096" s="420">
        <f t="shared" si="2336"/>
        <v>41.519739782999977</v>
      </c>
      <c r="DD1096" s="420">
        <f t="shared" si="2336"/>
        <v>11.249668732000004</v>
      </c>
      <c r="DE1096" s="420">
        <f t="shared" si="2336"/>
        <v>-1.9254449259999777</v>
      </c>
      <c r="DF1096" s="420">
        <f t="shared" si="2336"/>
        <v>27.401834188999988</v>
      </c>
      <c r="DG1096" s="420">
        <f t="shared" si="2336"/>
        <v>5.0958376069999893</v>
      </c>
      <c r="DH1096" s="420">
        <f t="shared" si="2336"/>
        <v>-29.841724190999987</v>
      </c>
      <c r="DI1096" s="420">
        <f t="shared" si="2336"/>
        <v>30.846356862000011</v>
      </c>
      <c r="DJ1096" s="420">
        <f t="shared" si="2336"/>
        <v>10.024365934999985</v>
      </c>
      <c r="DK1096" s="420">
        <f t="shared" si="2336"/>
        <v>26.437295029999994</v>
      </c>
      <c r="DL1096" s="420">
        <f t="shared" si="2336"/>
        <v>-22.394422949999999</v>
      </c>
      <c r="DM1096" s="420">
        <f t="shared" si="2336"/>
        <v>56.757906068000004</v>
      </c>
      <c r="DN1096" s="423">
        <f t="shared" si="2336"/>
        <v>-60.337361012000002</v>
      </c>
      <c r="DO1096" s="420">
        <f t="shared" si="2336"/>
        <v>8.7031645269964599</v>
      </c>
      <c r="DP1096" s="420">
        <f t="shared" si="2336"/>
        <v>62.616519898000007</v>
      </c>
      <c r="DQ1096" s="420">
        <f t="shared" si="2336"/>
        <v>-10.592296672999989</v>
      </c>
      <c r="DR1096" s="420">
        <f t="shared" si="2336"/>
        <v>2.3871431940000054</v>
      </c>
      <c r="DS1096" s="420">
        <f t="shared" si="2336"/>
        <v>22.441761348999979</v>
      </c>
      <c r="DT1096" s="420">
        <f t="shared" si="2336"/>
        <v>-69.430817590999993</v>
      </c>
      <c r="DU1096" s="420">
        <f t="shared" si="2336"/>
        <v>39.488747646003546</v>
      </c>
      <c r="DV1096" s="420">
        <f t="shared" si="2336"/>
        <v>-3.5187946419999889</v>
      </c>
      <c r="DW1096" s="420">
        <f t="shared" si="2336"/>
        <v>-17.47074480900001</v>
      </c>
      <c r="DX1096" s="420">
        <f t="shared" si="2336"/>
        <v>56.407051640000006</v>
      </c>
      <c r="DY1096" s="420">
        <f t="shared" si="2336"/>
        <v>32.484485099000011</v>
      </c>
      <c r="DZ1096" s="423">
        <f t="shared" si="2336"/>
        <v>-84.214670556000002</v>
      </c>
      <c r="EA1096" s="420">
        <f t="shared" si="2336"/>
        <v>62.032836149418991</v>
      </c>
      <c r="EB1096" s="420">
        <f t="shared" si="2336"/>
        <v>27.404475149000003</v>
      </c>
      <c r="EC1096" s="420">
        <f t="shared" ref="EC1096:GH1096" si="2337">EC$988</f>
        <v>25.194526919003167</v>
      </c>
      <c r="ED1096" s="420">
        <f t="shared" si="2337"/>
        <v>8.2831225220000402</v>
      </c>
      <c r="EE1096" s="420">
        <f t="shared" si="2337"/>
        <v>29.430356048000032</v>
      </c>
      <c r="EF1096" s="420">
        <f t="shared" si="2337"/>
        <v>-77.869789291000032</v>
      </c>
      <c r="EG1096" s="420">
        <f t="shared" si="2337"/>
        <v>-14.483484360000194</v>
      </c>
      <c r="EH1096" s="420">
        <f t="shared" si="2337"/>
        <v>-2.0603527559999453</v>
      </c>
      <c r="EI1096" s="420">
        <f t="shared" si="2337"/>
        <v>15.966370475999989</v>
      </c>
      <c r="EJ1096" s="420">
        <f t="shared" si="2337"/>
        <v>14.816504093000027</v>
      </c>
      <c r="EK1096" s="420">
        <f t="shared" si="2337"/>
        <v>74.683573704999972</v>
      </c>
      <c r="EL1096" s="423">
        <f t="shared" si="2337"/>
        <v>-71.131900108999972</v>
      </c>
      <c r="EM1096" s="420">
        <f t="shared" si="2337"/>
        <v>52.59020585661068</v>
      </c>
      <c r="EN1096" s="420">
        <f t="shared" si="2337"/>
        <v>52.958335955827494</v>
      </c>
      <c r="EO1096" s="420">
        <f t="shared" si="2337"/>
        <v>0.29455539703401884</v>
      </c>
      <c r="EP1096" s="420">
        <f t="shared" si="2337"/>
        <v>44.271199766139759</v>
      </c>
      <c r="EQ1096" s="420">
        <f t="shared" si="2337"/>
        <v>48.232240130666895</v>
      </c>
      <c r="ER1096" s="420">
        <f t="shared" si="2337"/>
        <v>-183.42444285786468</v>
      </c>
      <c r="ES1096" s="420">
        <f t="shared" si="2337"/>
        <v>-19.049656460004748</v>
      </c>
      <c r="ET1096" s="420">
        <f t="shared" si="2337"/>
        <v>10.879885786645026</v>
      </c>
      <c r="EU1096" s="420">
        <f t="shared" si="2337"/>
        <v>24.972277946898849</v>
      </c>
      <c r="EV1096" s="420">
        <f t="shared" si="2337"/>
        <v>176.24239976555975</v>
      </c>
      <c r="EW1096" s="420">
        <f t="shared" si="2337"/>
        <v>67.955899553498682</v>
      </c>
      <c r="EX1096" s="423">
        <f t="shared" si="2337"/>
        <v>-167.98195212850095</v>
      </c>
      <c r="EY1096" s="420">
        <f t="shared" si="2337"/>
        <v>8.8060266991667326</v>
      </c>
      <c r="EZ1096" s="420">
        <f t="shared" si="2337"/>
        <v>33.713068134166669</v>
      </c>
      <c r="FA1096" s="420">
        <f t="shared" si="2337"/>
        <v>55.297794945166679</v>
      </c>
      <c r="FB1096" s="420">
        <f t="shared" si="2337"/>
        <v>-25.549531193833424</v>
      </c>
      <c r="FC1096" s="420">
        <f t="shared" si="2337"/>
        <v>70.672763521166786</v>
      </c>
      <c r="FD1096" s="420">
        <f t="shared" si="2337"/>
        <v>-40.165605226833272</v>
      </c>
      <c r="FE1096" s="420">
        <f t="shared" si="2337"/>
        <v>21.010600483000054</v>
      </c>
      <c r="FF1096" s="420">
        <f t="shared" si="2337"/>
        <v>11.861338452999956</v>
      </c>
      <c r="FG1096" s="420">
        <f t="shared" si="2337"/>
        <v>53.998815137999934</v>
      </c>
      <c r="FH1096" s="420">
        <f t="shared" si="2337"/>
        <v>9.7694358920000859</v>
      </c>
      <c r="FI1096" s="420">
        <f t="shared" si="2337"/>
        <v>80.540081259999965</v>
      </c>
      <c r="FJ1096" s="423">
        <f t="shared" si="2337"/>
        <v>-73.983404052999902</v>
      </c>
      <c r="FK1096" s="420">
        <f t="shared" si="2337"/>
        <v>106.92951367999991</v>
      </c>
      <c r="FL1096" s="420">
        <f t="shared" si="2337"/>
        <v>43.080289407000016</v>
      </c>
      <c r="FM1096" s="420">
        <f t="shared" si="2337"/>
        <v>32.33142749500005</v>
      </c>
      <c r="FN1096" s="420">
        <f t="shared" si="2337"/>
        <v>14.280033375999963</v>
      </c>
      <c r="FO1096" s="420">
        <f t="shared" si="2337"/>
        <v>37.867330151000004</v>
      </c>
      <c r="FP1096" s="420">
        <f t="shared" si="2337"/>
        <v>78.268904388999985</v>
      </c>
      <c r="FQ1096" s="420">
        <f t="shared" si="2337"/>
        <v>56.513310707999956</v>
      </c>
      <c r="FR1096" s="420">
        <f t="shared" si="2337"/>
        <v>14.445478063999953</v>
      </c>
      <c r="FS1096" s="420">
        <f t="shared" si="2337"/>
        <v>-67.302425472499962</v>
      </c>
      <c r="FT1096" s="420">
        <f t="shared" si="2337"/>
        <v>-27.207053727999934</v>
      </c>
      <c r="FU1096" s="420">
        <f t="shared" si="2337"/>
        <v>104.2357967584999</v>
      </c>
      <c r="FV1096" s="423">
        <f t="shared" si="2337"/>
        <v>-139.97669962299994</v>
      </c>
      <c r="FW1096" s="420">
        <f t="shared" si="2337"/>
        <v>6.4440742439999426</v>
      </c>
      <c r="FX1096" s="420">
        <f t="shared" si="2337"/>
        <v>-110.25656577199993</v>
      </c>
      <c r="FY1096" s="420">
        <f t="shared" si="2337"/>
        <v>76.946068955000015</v>
      </c>
      <c r="FZ1096" s="420">
        <f t="shared" si="2337"/>
        <v>73.548558105000026</v>
      </c>
      <c r="GA1096" s="420">
        <f t="shared" si="2337"/>
        <v>34.178356372999986</v>
      </c>
      <c r="GB1096" s="420">
        <f t="shared" si="2337"/>
        <v>60.037688816000028</v>
      </c>
      <c r="GC1096" s="420">
        <f t="shared" si="2337"/>
        <v>42.528415184999993</v>
      </c>
      <c r="GD1096" s="420">
        <f t="shared" si="2337"/>
        <v>73.302084485999927</v>
      </c>
      <c r="GE1096" s="420">
        <f t="shared" si="2337"/>
        <v>-59.085697237999931</v>
      </c>
      <c r="GF1096" s="420">
        <f t="shared" si="2337"/>
        <v>26.187483576333296</v>
      </c>
      <c r="GG1096" s="420">
        <f t="shared" si="2337"/>
        <v>10.009192227333415</v>
      </c>
      <c r="GH1096" s="420">
        <f t="shared" si="2337"/>
        <v>-13.253211343094232</v>
      </c>
      <c r="HZ1096" s="340"/>
      <c r="IA1096" s="425" t="s">
        <v>564</v>
      </c>
      <c r="IB1096" s="425"/>
      <c r="IC1096" s="425"/>
      <c r="ID1096" s="279">
        <f>ID$988</f>
        <v>24.655782745918764</v>
      </c>
      <c r="IE1096" s="279">
        <f>IE$988</f>
        <v>67.392760055077403</v>
      </c>
      <c r="IF1096" s="279">
        <f>IF$988</f>
        <v>24.879675971061829</v>
      </c>
      <c r="IG1096" s="434">
        <f>IG$988</f>
        <v>92.272436026139232</v>
      </c>
      <c r="IH1096" s="284"/>
      <c r="IJ1096" s="434">
        <f>IJ$988</f>
        <v>94.834051126999995</v>
      </c>
      <c r="IM1096" s="434">
        <f>IM$988</f>
        <v>39.301549082000022</v>
      </c>
      <c r="IP1096" s="434">
        <f>IP$988</f>
        <v>92.266238545422084</v>
      </c>
      <c r="IQ1096" s="434"/>
      <c r="IR1096" s="434"/>
      <c r="IS1096" s="434">
        <f>IS$988</f>
        <v>107.94094871251076</v>
      </c>
      <c r="IT1096" s="434"/>
      <c r="IU1096" s="434"/>
      <c r="IV1096" s="434">
        <f>IV$988</f>
        <v>205.97138405200027</v>
      </c>
      <c r="IW1096" s="434"/>
      <c r="IX1096" s="434"/>
      <c r="IY1096" s="434">
        <f>IY$988</f>
        <v>253.46590520499987</v>
      </c>
      <c r="IZ1096" s="434"/>
      <c r="JA1096" s="434">
        <f>JA$988</f>
        <v>79.688266893572475</v>
      </c>
      <c r="JB1096" s="434">
        <f>JB$988</f>
        <v>220.58644761457253</v>
      </c>
      <c r="JC1096" s="434">
        <f>JC$988</f>
        <v>319.51503415199988</v>
      </c>
      <c r="JD1096" s="434">
        <f>JD$988</f>
        <v>-177.18774524199986</v>
      </c>
      <c r="JE1096" s="434"/>
      <c r="JF1096" s="434"/>
      <c r="JG1096" s="434"/>
      <c r="JH1096" s="434"/>
      <c r="JI1096" s="434"/>
      <c r="JJ1096" s="434"/>
      <c r="JK1096" s="434"/>
      <c r="KU1096" s="340"/>
      <c r="KV1096" s="341"/>
      <c r="KY1096" s="279">
        <f>KY$988</f>
        <v>0</v>
      </c>
      <c r="KZ1096" s="279">
        <f>KZ$988</f>
        <v>0</v>
      </c>
      <c r="LA1096" s="279">
        <f>LA$988</f>
        <v>0</v>
      </c>
      <c r="LB1096" s="279">
        <f>LB$988</f>
        <v>0</v>
      </c>
    </row>
    <row r="1097" spans="1:314">
      <c r="B1097" s="96" t="s">
        <v>338</v>
      </c>
      <c r="D1097" s="425" t="str">
        <f>D$1019</f>
        <v xml:space="preserve">Foreign </v>
      </c>
      <c r="E1097" s="420">
        <f>E$1019</f>
        <v>0</v>
      </c>
      <c r="F1097" s="420">
        <f t="shared" ref="F1097:L1097" si="2338">F$1019</f>
        <v>0</v>
      </c>
      <c r="G1097" s="420">
        <f t="shared" si="2338"/>
        <v>0</v>
      </c>
      <c r="H1097" s="420">
        <f t="shared" si="2338"/>
        <v>0</v>
      </c>
      <c r="I1097" s="420">
        <f t="shared" si="2338"/>
        <v>0</v>
      </c>
      <c r="J1097" s="420">
        <f t="shared" si="2338"/>
        <v>0</v>
      </c>
      <c r="K1097" s="420">
        <f t="shared" si="2338"/>
        <v>0</v>
      </c>
      <c r="L1097" s="420">
        <f t="shared" si="2338"/>
        <v>0</v>
      </c>
      <c r="M1097" s="420">
        <f t="shared" ref="M1097:AW1097" si="2339">M$1019</f>
        <v>0</v>
      </c>
      <c r="N1097" s="420">
        <f t="shared" si="2339"/>
        <v>0</v>
      </c>
      <c r="O1097" s="420">
        <f t="shared" si="2339"/>
        <v>0</v>
      </c>
      <c r="P1097" s="420">
        <f t="shared" si="2339"/>
        <v>0</v>
      </c>
      <c r="Q1097" s="420">
        <f t="shared" si="2339"/>
        <v>0</v>
      </c>
      <c r="R1097" s="420">
        <f t="shared" si="2339"/>
        <v>0</v>
      </c>
      <c r="S1097" s="420">
        <f t="shared" si="2339"/>
        <v>0</v>
      </c>
      <c r="T1097" s="420">
        <f t="shared" si="2339"/>
        <v>0</v>
      </c>
      <c r="U1097" s="420">
        <f t="shared" si="2339"/>
        <v>0</v>
      </c>
      <c r="V1097" s="420">
        <f t="shared" si="2339"/>
        <v>0</v>
      </c>
      <c r="W1097" s="420">
        <f t="shared" si="2339"/>
        <v>0</v>
      </c>
      <c r="X1097" s="420">
        <f t="shared" si="2339"/>
        <v>0</v>
      </c>
      <c r="Y1097" s="420">
        <f t="shared" si="2339"/>
        <v>0</v>
      </c>
      <c r="Z1097" s="420">
        <f t="shared" si="2339"/>
        <v>0</v>
      </c>
      <c r="AA1097" s="420">
        <f t="shared" si="2339"/>
        <v>0</v>
      </c>
      <c r="AB1097" s="420">
        <f t="shared" si="2339"/>
        <v>0</v>
      </c>
      <c r="AC1097" s="420">
        <f t="shared" si="2339"/>
        <v>0</v>
      </c>
      <c r="AD1097" s="420">
        <f t="shared" si="2339"/>
        <v>0</v>
      </c>
      <c r="AE1097" s="420">
        <f t="shared" si="2339"/>
        <v>0</v>
      </c>
      <c r="AF1097" s="420">
        <f t="shared" si="2339"/>
        <v>0</v>
      </c>
      <c r="AG1097" s="420">
        <f t="shared" si="2339"/>
        <v>0</v>
      </c>
      <c r="AH1097" s="420">
        <f t="shared" si="2339"/>
        <v>0</v>
      </c>
      <c r="AI1097" s="420">
        <f t="shared" si="2339"/>
        <v>0</v>
      </c>
      <c r="AJ1097" s="420">
        <f t="shared" si="2339"/>
        <v>0</v>
      </c>
      <c r="AK1097" s="420">
        <f t="shared" si="2339"/>
        <v>0</v>
      </c>
      <c r="AL1097" s="420">
        <f t="shared" si="2339"/>
        <v>0</v>
      </c>
      <c r="AM1097" s="420">
        <f t="shared" si="2339"/>
        <v>0</v>
      </c>
      <c r="AN1097" s="420">
        <f t="shared" si="2339"/>
        <v>0</v>
      </c>
      <c r="AO1097" s="420">
        <f t="shared" si="2339"/>
        <v>0</v>
      </c>
      <c r="AP1097" s="420">
        <f t="shared" si="2339"/>
        <v>0</v>
      </c>
      <c r="AQ1097" s="420">
        <f t="shared" si="2339"/>
        <v>0</v>
      </c>
      <c r="AR1097" s="420">
        <f t="shared" si="2339"/>
        <v>0</v>
      </c>
      <c r="AS1097" s="420">
        <f t="shared" si="2339"/>
        <v>0</v>
      </c>
      <c r="AT1097" s="420">
        <f t="shared" si="2339"/>
        <v>0</v>
      </c>
      <c r="AU1097" s="420">
        <f t="shared" si="2339"/>
        <v>0</v>
      </c>
      <c r="AV1097" s="420">
        <f t="shared" si="2339"/>
        <v>0</v>
      </c>
      <c r="AW1097" s="420">
        <f t="shared" si="2339"/>
        <v>0</v>
      </c>
      <c r="AX1097" s="420">
        <f t="shared" ref="AX1097:BP1097" si="2340">AX$1019</f>
        <v>0</v>
      </c>
      <c r="AY1097" s="420">
        <f t="shared" si="2340"/>
        <v>0</v>
      </c>
      <c r="AZ1097" s="420">
        <f t="shared" si="2340"/>
        <v>0</v>
      </c>
      <c r="BA1097" s="420">
        <f t="shared" si="2340"/>
        <v>0</v>
      </c>
      <c r="BB1097" s="420">
        <f t="shared" si="2340"/>
        <v>0</v>
      </c>
      <c r="BC1097" s="420">
        <f t="shared" si="2340"/>
        <v>0</v>
      </c>
      <c r="BD1097" s="420">
        <f t="shared" si="2340"/>
        <v>0</v>
      </c>
      <c r="BE1097" s="420">
        <f t="shared" si="2340"/>
        <v>0</v>
      </c>
      <c r="BF1097" s="420">
        <f t="shared" si="2340"/>
        <v>0</v>
      </c>
      <c r="BG1097" s="420">
        <f t="shared" si="2340"/>
        <v>0</v>
      </c>
      <c r="BH1097" s="420">
        <f t="shared" si="2340"/>
        <v>0</v>
      </c>
      <c r="BI1097" s="420">
        <f t="shared" si="2340"/>
        <v>0</v>
      </c>
      <c r="BJ1097" s="420">
        <f t="shared" si="2340"/>
        <v>0</v>
      </c>
      <c r="BK1097" s="420">
        <f t="shared" si="2340"/>
        <v>0</v>
      </c>
      <c r="BL1097" s="420">
        <f t="shared" si="2340"/>
        <v>0</v>
      </c>
      <c r="BM1097" s="420">
        <f t="shared" si="2340"/>
        <v>0</v>
      </c>
      <c r="BN1097" s="420">
        <f t="shared" si="2340"/>
        <v>0</v>
      </c>
      <c r="BO1097" s="420">
        <f t="shared" si="2340"/>
        <v>0</v>
      </c>
      <c r="BP1097" s="420">
        <f t="shared" si="2340"/>
        <v>0</v>
      </c>
      <c r="BQ1097" s="420">
        <f t="shared" ref="BQ1097:EB1097" si="2341">BQ$1019</f>
        <v>0</v>
      </c>
      <c r="BR1097" s="420">
        <f t="shared" si="2341"/>
        <v>0</v>
      </c>
      <c r="BS1097" s="420">
        <f t="shared" si="2341"/>
        <v>0</v>
      </c>
      <c r="BT1097" s="420">
        <f t="shared" si="2341"/>
        <v>0</v>
      </c>
      <c r="BU1097" s="420">
        <f t="shared" si="2341"/>
        <v>0</v>
      </c>
      <c r="BV1097" s="420">
        <f t="shared" si="2341"/>
        <v>0</v>
      </c>
      <c r="BW1097" s="420">
        <f t="shared" si="2341"/>
        <v>0</v>
      </c>
      <c r="BX1097" s="420">
        <f t="shared" si="2341"/>
        <v>0</v>
      </c>
      <c r="BY1097" s="420">
        <f t="shared" si="2341"/>
        <v>0</v>
      </c>
      <c r="BZ1097" s="420">
        <f t="shared" si="2341"/>
        <v>0</v>
      </c>
      <c r="CA1097" s="420">
        <f t="shared" si="2341"/>
        <v>0</v>
      </c>
      <c r="CB1097" s="420">
        <f t="shared" si="2341"/>
        <v>0</v>
      </c>
      <c r="CC1097" s="420">
        <f t="shared" si="2341"/>
        <v>0</v>
      </c>
      <c r="CD1097" s="421">
        <f t="shared" si="2341"/>
        <v>0</v>
      </c>
      <c r="CE1097" s="420">
        <f t="shared" si="2341"/>
        <v>6.0648673378900142</v>
      </c>
      <c r="CF1097" s="420">
        <f t="shared" si="2341"/>
        <v>3.794319855105091</v>
      </c>
      <c r="CG1097" s="420">
        <f t="shared" si="2341"/>
        <v>3.4143455195842343</v>
      </c>
      <c r="CH1097" s="420">
        <f t="shared" si="2341"/>
        <v>4.8064493127320151</v>
      </c>
      <c r="CI1097" s="420">
        <f t="shared" si="2341"/>
        <v>2.9333864288658735</v>
      </c>
      <c r="CJ1097" s="420">
        <f t="shared" si="2341"/>
        <v>6.0664323475203199</v>
      </c>
      <c r="CK1097" s="420">
        <f t="shared" si="2341"/>
        <v>10.549743380728982</v>
      </c>
      <c r="CL1097" s="420">
        <f t="shared" si="2341"/>
        <v>1.6094141646601652</v>
      </c>
      <c r="CM1097" s="420">
        <f t="shared" si="2341"/>
        <v>2.0088474897454565</v>
      </c>
      <c r="CN1097" s="420">
        <f t="shared" si="2341"/>
        <v>1.2718415560240699</v>
      </c>
      <c r="CO1097" s="420">
        <f t="shared" si="2341"/>
        <v>38.105353750626847</v>
      </c>
      <c r="CP1097" s="423">
        <f t="shared" si="2341"/>
        <v>24.531914229255314</v>
      </c>
      <c r="CQ1097" s="420">
        <f t="shared" si="2341"/>
        <v>4.9420193008418858</v>
      </c>
      <c r="CR1097" s="420">
        <f t="shared" si="2341"/>
        <v>3.8308939451566677</v>
      </c>
      <c r="CS1097" s="420">
        <f t="shared" si="2341"/>
        <v>12.00286724258406</v>
      </c>
      <c r="CT1097" s="420">
        <f t="shared" si="2341"/>
        <v>5.1893339261600904</v>
      </c>
      <c r="CU1097" s="420">
        <f t="shared" si="2341"/>
        <v>10.46585883733734</v>
      </c>
      <c r="CV1097" s="420">
        <f t="shared" si="2341"/>
        <v>67.021078465884145</v>
      </c>
      <c r="CW1097" s="420">
        <f t="shared" si="2341"/>
        <v>7.8762359651259253</v>
      </c>
      <c r="CX1097" s="420">
        <f t="shared" si="2341"/>
        <v>3.5485909032750431</v>
      </c>
      <c r="CY1097" s="420">
        <f t="shared" si="2341"/>
        <v>8.6557670022827384</v>
      </c>
      <c r="CZ1097" s="420">
        <f t="shared" si="2341"/>
        <v>48.213086059450021</v>
      </c>
      <c r="DA1097" s="420">
        <f t="shared" si="2341"/>
        <v>4.8957815003413128</v>
      </c>
      <c r="DB1097" s="1310">
        <f t="shared" si="2341"/>
        <v>11.545065657792968</v>
      </c>
      <c r="DC1097" s="420">
        <f t="shared" si="2341"/>
        <v>-0.32746269399886818</v>
      </c>
      <c r="DD1097" s="420">
        <f t="shared" si="2341"/>
        <v>3.5305284776444301</v>
      </c>
      <c r="DE1097" s="420">
        <f t="shared" si="2341"/>
        <v>55.40402819682587</v>
      </c>
      <c r="DF1097" s="420">
        <f t="shared" si="2341"/>
        <v>13.837937548729254</v>
      </c>
      <c r="DG1097" s="420">
        <f t="shared" si="2341"/>
        <v>4.0517228288185114</v>
      </c>
      <c r="DH1097" s="420">
        <f t="shared" si="2341"/>
        <v>90.018144492537417</v>
      </c>
      <c r="DI1097" s="420">
        <f t="shared" si="2341"/>
        <v>5.8757694289489741</v>
      </c>
      <c r="DJ1097" s="420">
        <f t="shared" si="2341"/>
        <v>21.472344372958734</v>
      </c>
      <c r="DK1097" s="420">
        <f t="shared" si="2341"/>
        <v>11.427946944314153</v>
      </c>
      <c r="DL1097" s="420">
        <f t="shared" si="2341"/>
        <v>10.494451571476269</v>
      </c>
      <c r="DM1097" s="420">
        <f t="shared" si="2341"/>
        <v>4.9315520607593966</v>
      </c>
      <c r="DN1097" s="423">
        <f t="shared" si="2341"/>
        <v>3.691164430675272</v>
      </c>
      <c r="DO1097" s="420">
        <f t="shared" si="2341"/>
        <v>2.4828976559227027</v>
      </c>
      <c r="DP1097" s="420">
        <f t="shared" si="2341"/>
        <v>8.2479295940122039</v>
      </c>
      <c r="DQ1097" s="420">
        <f t="shared" si="2341"/>
        <v>34.80290039343646</v>
      </c>
      <c r="DR1097" s="420">
        <f t="shared" si="2341"/>
        <v>68.234891521118072</v>
      </c>
      <c r="DS1097" s="420">
        <f t="shared" si="2341"/>
        <v>9.7368212350321457</v>
      </c>
      <c r="DT1097" s="420">
        <f t="shared" si="2341"/>
        <v>93.306756981791452</v>
      </c>
      <c r="DU1097" s="420">
        <f t="shared" si="2341"/>
        <v>10.523081388542748</v>
      </c>
      <c r="DV1097" s="420">
        <f t="shared" si="2341"/>
        <v>2.9753375645376945</v>
      </c>
      <c r="DW1097" s="420">
        <f t="shared" si="2341"/>
        <v>16.285524088676041</v>
      </c>
      <c r="DX1097" s="420">
        <f t="shared" si="2341"/>
        <v>19.930253277965207</v>
      </c>
      <c r="DY1097" s="420">
        <f t="shared" si="2341"/>
        <v>36.579671090306043</v>
      </c>
      <c r="DZ1097" s="423">
        <f t="shared" si="2341"/>
        <v>19.882869600030467</v>
      </c>
      <c r="EA1097" s="420">
        <f t="shared" si="2341"/>
        <v>8.4231752763884664</v>
      </c>
      <c r="EB1097" s="420">
        <f t="shared" si="2341"/>
        <v>31.683600606302893</v>
      </c>
      <c r="EC1097" s="420">
        <f t="shared" ref="EC1097:GH1097" si="2342">EC$1019</f>
        <v>24.658814769659362</v>
      </c>
      <c r="ED1097" s="420">
        <f t="shared" si="2342"/>
        <v>18.683836442856141</v>
      </c>
      <c r="EE1097" s="420">
        <f t="shared" si="2342"/>
        <v>110.96608495911359</v>
      </c>
      <c r="EF1097" s="420">
        <f t="shared" si="2342"/>
        <v>14.51405999831908</v>
      </c>
      <c r="EG1097" s="420">
        <f t="shared" si="2342"/>
        <v>55.423346475873529</v>
      </c>
      <c r="EH1097" s="420">
        <f t="shared" si="2342"/>
        <v>3.8959698821168445</v>
      </c>
      <c r="EI1097" s="420">
        <f t="shared" si="2342"/>
        <v>14.580064284231812</v>
      </c>
      <c r="EJ1097" s="420">
        <f t="shared" si="2342"/>
        <v>8.8538571553240697</v>
      </c>
      <c r="EK1097" s="420">
        <f t="shared" si="2342"/>
        <v>38.389474378554652</v>
      </c>
      <c r="EL1097" s="423">
        <f t="shared" si="2342"/>
        <v>25.956846648486049</v>
      </c>
      <c r="EM1097" s="420">
        <f t="shared" si="2342"/>
        <v>9.1306091178664825</v>
      </c>
      <c r="EN1097" s="420">
        <f t="shared" si="2342"/>
        <v>1.63542145193674</v>
      </c>
      <c r="EO1097" s="420">
        <f t="shared" si="2342"/>
        <v>10.987169894132018</v>
      </c>
      <c r="EP1097" s="420">
        <f t="shared" si="2342"/>
        <v>4.562096771518064</v>
      </c>
      <c r="EQ1097" s="420">
        <f t="shared" si="2342"/>
        <v>13.176531811450971</v>
      </c>
      <c r="ER1097" s="420">
        <f t="shared" si="2342"/>
        <v>219.27680270007269</v>
      </c>
      <c r="ES1097" s="420">
        <f t="shared" si="2342"/>
        <v>22.37974998625814</v>
      </c>
      <c r="ET1097" s="420">
        <f t="shared" si="2342"/>
        <v>15.159283741393457</v>
      </c>
      <c r="EU1097" s="420">
        <f t="shared" si="2342"/>
        <v>11.394298316027328</v>
      </c>
      <c r="EV1097" s="420">
        <f t="shared" si="2342"/>
        <v>18.450060664160304</v>
      </c>
      <c r="EW1097" s="420">
        <f t="shared" si="2342"/>
        <v>16.139738200652342</v>
      </c>
      <c r="EX1097" s="423">
        <f t="shared" si="2342"/>
        <v>106.02020398827491</v>
      </c>
      <c r="EY1097" s="420">
        <f t="shared" si="2342"/>
        <v>18.710324140762001</v>
      </c>
      <c r="EZ1097" s="420">
        <f t="shared" si="2342"/>
        <v>26.358275628537605</v>
      </c>
      <c r="FA1097" s="420">
        <f t="shared" si="2342"/>
        <v>25.66195521547359</v>
      </c>
      <c r="FB1097" s="420">
        <f t="shared" si="2342"/>
        <v>180.34086035425312</v>
      </c>
      <c r="FC1097" s="420">
        <f t="shared" si="2342"/>
        <v>35.460548031665894</v>
      </c>
      <c r="FD1097" s="420">
        <f t="shared" si="2342"/>
        <v>146.3197624468045</v>
      </c>
      <c r="FE1097" s="420">
        <f t="shared" si="2342"/>
        <v>60.226021596908097</v>
      </c>
      <c r="FF1097" s="420">
        <f t="shared" si="2342"/>
        <v>26.641361852016441</v>
      </c>
      <c r="FG1097" s="420">
        <f t="shared" si="2342"/>
        <v>11.705615638270633</v>
      </c>
      <c r="FH1097" s="420">
        <f t="shared" si="2342"/>
        <v>124.11776803524816</v>
      </c>
      <c r="FI1097" s="420">
        <f t="shared" si="2342"/>
        <v>32.936011562168424</v>
      </c>
      <c r="FJ1097" s="423">
        <f t="shared" si="2342"/>
        <v>265.54118707599042</v>
      </c>
      <c r="FK1097" s="420">
        <f t="shared" si="2342"/>
        <v>165.36716256293312</v>
      </c>
      <c r="FL1097" s="420">
        <f t="shared" si="2342"/>
        <v>42.676739492936349</v>
      </c>
      <c r="FM1097" s="420">
        <f t="shared" si="2342"/>
        <v>47.373704321396758</v>
      </c>
      <c r="FN1097" s="420">
        <f t="shared" si="2342"/>
        <v>29.80564258928019</v>
      </c>
      <c r="FO1097" s="420">
        <f t="shared" si="2342"/>
        <v>24.133098201211482</v>
      </c>
      <c r="FP1097" s="420">
        <f t="shared" si="2342"/>
        <v>142.03539291295886</v>
      </c>
      <c r="FQ1097" s="420">
        <f t="shared" si="2342"/>
        <v>8.1583712632049998</v>
      </c>
      <c r="FR1097" s="420">
        <f t="shared" si="2342"/>
        <v>30.696689018393997</v>
      </c>
      <c r="FS1097" s="420">
        <f t="shared" si="2342"/>
        <v>96.048654651339973</v>
      </c>
      <c r="FT1097" s="420">
        <f t="shared" si="2342"/>
        <v>24.229058993359722</v>
      </c>
      <c r="FU1097" s="420">
        <f t="shared" si="2342"/>
        <v>7.5483352215044688</v>
      </c>
      <c r="FV1097" s="423">
        <f t="shared" si="2342"/>
        <v>39.199590900966733</v>
      </c>
      <c r="FW1097" s="420">
        <f t="shared" si="2342"/>
        <v>27.624194789979462</v>
      </c>
      <c r="FX1097" s="420">
        <f t="shared" si="2342"/>
        <v>289.61078769430463</v>
      </c>
      <c r="FY1097" s="420">
        <f t="shared" si="2342"/>
        <v>17.41244602701115</v>
      </c>
      <c r="FZ1097" s="420">
        <f t="shared" si="2342"/>
        <v>87.691067920702139</v>
      </c>
      <c r="GA1097" s="420">
        <f t="shared" si="2342"/>
        <v>74.219736986734461</v>
      </c>
      <c r="GB1097" s="420">
        <f t="shared" si="2342"/>
        <v>259.05444236477047</v>
      </c>
      <c r="GC1097" s="420">
        <f t="shared" si="2342"/>
        <v>3.2885865871498829</v>
      </c>
      <c r="GD1097" s="420">
        <f t="shared" si="2342"/>
        <v>13.94239333506065</v>
      </c>
      <c r="GE1097" s="420">
        <f t="shared" si="2342"/>
        <v>82.658302674580867</v>
      </c>
      <c r="GF1097" s="420">
        <f t="shared" si="2342"/>
        <v>39.588158417380626</v>
      </c>
      <c r="GG1097" s="420">
        <f t="shared" si="2342"/>
        <v>44.550087477578145</v>
      </c>
      <c r="GH1097" s="420">
        <f t="shared" si="2342"/>
        <v>92.012539414141031</v>
      </c>
      <c r="HZ1097" s="340"/>
      <c r="IA1097" s="425" t="s">
        <v>569</v>
      </c>
      <c r="IB1097" s="425"/>
      <c r="IC1097" s="425"/>
      <c r="ID1097" s="279">
        <f>ID$1019</f>
        <v>105.15691537273837</v>
      </c>
      <c r="IE1097" s="279">
        <f>IE$1019</f>
        <v>103.45205171796418</v>
      </c>
      <c r="IF1097" s="279">
        <f>IF$1019</f>
        <v>84.73452708826801</v>
      </c>
      <c r="IG1097" s="434">
        <f>IG$1019</f>
        <v>188.18657880623221</v>
      </c>
      <c r="IH1097" s="284"/>
      <c r="IJ1097" s="434">
        <f>IJ$1019</f>
        <v>224.4081276596894</v>
      </c>
      <c r="IM1097" s="434">
        <f>IM$1019</f>
        <v>322.98893439137123</v>
      </c>
      <c r="IP1097" s="434">
        <f>IP$1019</f>
        <v>356.02913087722652</v>
      </c>
      <c r="IQ1097" s="434"/>
      <c r="IR1097" s="434"/>
      <c r="IS1097" s="434">
        <f>IS$1019</f>
        <v>448.31196664374346</v>
      </c>
      <c r="IT1097" s="434"/>
      <c r="IU1097" s="434"/>
      <c r="IV1097" s="434">
        <f>IV$1019</f>
        <v>954.0196915780989</v>
      </c>
      <c r="IW1097" s="434"/>
      <c r="IX1097" s="434"/>
      <c r="IY1097" s="434">
        <f>IY$1019</f>
        <v>657.27244012948665</v>
      </c>
      <c r="IZ1097" s="434"/>
      <c r="JA1097" s="434">
        <f>JA$1019</f>
        <v>276.04006790589119</v>
      </c>
      <c r="JB1097" s="434">
        <f>JB$1019</f>
        <v>1031.6527436893934</v>
      </c>
      <c r="JC1097" s="434">
        <f>JC$1019</f>
        <v>174.58647598714174</v>
      </c>
      <c r="JD1097" s="434">
        <f>JD$1019</f>
        <v>633.92214697343263</v>
      </c>
      <c r="JE1097" s="434"/>
      <c r="JF1097" s="434"/>
      <c r="JG1097" s="434"/>
      <c r="JH1097" s="434"/>
      <c r="JI1097" s="434"/>
      <c r="JJ1097" s="434"/>
      <c r="JK1097" s="434"/>
      <c r="KU1097" s="340"/>
      <c r="KV1097" s="341"/>
      <c r="KY1097" s="279">
        <f>KY$1019</f>
        <v>0</v>
      </c>
      <c r="KZ1097" s="279">
        <f>KZ$1019</f>
        <v>0</v>
      </c>
      <c r="LA1097" s="279">
        <f>LA$1019</f>
        <v>0</v>
      </c>
      <c r="LB1097" s="279">
        <f>LB$1019</f>
        <v>0</v>
      </c>
    </row>
    <row r="1098" spans="1:314" ht="15.3" thickBot="1">
      <c r="A1098" s="342"/>
      <c r="B1098" s="342" t="s">
        <v>338</v>
      </c>
      <c r="C1098" s="342"/>
      <c r="D1098" s="426" t="str">
        <f>D$1041</f>
        <v>Statistical discrepancy</v>
      </c>
      <c r="E1098" s="427">
        <f>E$1041</f>
        <v>0</v>
      </c>
      <c r="F1098" s="427">
        <f t="shared" ref="F1098:L1098" si="2343">F$1041</f>
        <v>0</v>
      </c>
      <c r="G1098" s="427">
        <f t="shared" si="2343"/>
        <v>0</v>
      </c>
      <c r="H1098" s="427">
        <f t="shared" si="2343"/>
        <v>0</v>
      </c>
      <c r="I1098" s="427">
        <f t="shared" si="2343"/>
        <v>0</v>
      </c>
      <c r="J1098" s="427">
        <f t="shared" si="2343"/>
        <v>0</v>
      </c>
      <c r="K1098" s="427">
        <f t="shared" si="2343"/>
        <v>0</v>
      </c>
      <c r="L1098" s="427">
        <f t="shared" si="2343"/>
        <v>0</v>
      </c>
      <c r="M1098" s="427">
        <f t="shared" ref="M1098:AW1098" si="2344">M$1041</f>
        <v>0</v>
      </c>
      <c r="N1098" s="427">
        <f t="shared" si="2344"/>
        <v>0</v>
      </c>
      <c r="O1098" s="427">
        <f t="shared" si="2344"/>
        <v>0</v>
      </c>
      <c r="P1098" s="427">
        <f t="shared" si="2344"/>
        <v>0</v>
      </c>
      <c r="Q1098" s="427">
        <f t="shared" si="2344"/>
        <v>0</v>
      </c>
      <c r="R1098" s="427">
        <f t="shared" si="2344"/>
        <v>0</v>
      </c>
      <c r="S1098" s="427">
        <f t="shared" si="2344"/>
        <v>0</v>
      </c>
      <c r="T1098" s="427">
        <f t="shared" si="2344"/>
        <v>0</v>
      </c>
      <c r="U1098" s="427">
        <f t="shared" si="2344"/>
        <v>0</v>
      </c>
      <c r="V1098" s="427">
        <f t="shared" si="2344"/>
        <v>0</v>
      </c>
      <c r="W1098" s="427">
        <f t="shared" si="2344"/>
        <v>0</v>
      </c>
      <c r="X1098" s="427">
        <f t="shared" si="2344"/>
        <v>0</v>
      </c>
      <c r="Y1098" s="427">
        <f t="shared" si="2344"/>
        <v>0</v>
      </c>
      <c r="Z1098" s="427">
        <f t="shared" si="2344"/>
        <v>0</v>
      </c>
      <c r="AA1098" s="427">
        <f t="shared" si="2344"/>
        <v>0</v>
      </c>
      <c r="AB1098" s="427">
        <f t="shared" si="2344"/>
        <v>0</v>
      </c>
      <c r="AC1098" s="427">
        <f t="shared" si="2344"/>
        <v>0</v>
      </c>
      <c r="AD1098" s="427">
        <f t="shared" si="2344"/>
        <v>0</v>
      </c>
      <c r="AE1098" s="427">
        <f t="shared" si="2344"/>
        <v>0</v>
      </c>
      <c r="AF1098" s="427">
        <f t="shared" si="2344"/>
        <v>0</v>
      </c>
      <c r="AG1098" s="427">
        <f t="shared" si="2344"/>
        <v>0</v>
      </c>
      <c r="AH1098" s="427">
        <f t="shared" si="2344"/>
        <v>0</v>
      </c>
      <c r="AI1098" s="427">
        <f t="shared" si="2344"/>
        <v>0</v>
      </c>
      <c r="AJ1098" s="427">
        <f t="shared" si="2344"/>
        <v>0</v>
      </c>
      <c r="AK1098" s="427">
        <f t="shared" si="2344"/>
        <v>0</v>
      </c>
      <c r="AL1098" s="427" t="e">
        <f>AL$1041</f>
        <v>#VALUE!</v>
      </c>
      <c r="AM1098" s="427">
        <f t="shared" si="2344"/>
        <v>0</v>
      </c>
      <c r="AN1098" s="427">
        <f t="shared" si="2344"/>
        <v>0</v>
      </c>
      <c r="AO1098" s="427">
        <f t="shared" si="2344"/>
        <v>49.400217065693496</v>
      </c>
      <c r="AP1098" s="427">
        <f t="shared" si="2344"/>
        <v>25.622571089368499</v>
      </c>
      <c r="AQ1098" s="427">
        <f t="shared" si="2344"/>
        <v>49.377613606619597</v>
      </c>
      <c r="AR1098" s="427">
        <f t="shared" si="2344"/>
        <v>47.635893483708863</v>
      </c>
      <c r="AS1098" s="427">
        <f t="shared" si="2344"/>
        <v>35.294126524572633</v>
      </c>
      <c r="AT1098" s="427">
        <f t="shared" si="2344"/>
        <v>142.50100410549555</v>
      </c>
      <c r="AU1098" s="427">
        <f t="shared" si="2344"/>
        <v>35.926838502372902</v>
      </c>
      <c r="AV1098" s="427">
        <f t="shared" si="2344"/>
        <v>37.058652320060034</v>
      </c>
      <c r="AW1098" s="427">
        <f t="shared" si="2344"/>
        <v>97.305234257372689</v>
      </c>
      <c r="AX1098" s="427">
        <f t="shared" ref="AX1098:BP1098" si="2345">AX$1041</f>
        <v>64.11043239519249</v>
      </c>
      <c r="AY1098" s="427">
        <f t="shared" si="2345"/>
        <v>39.182231080533917</v>
      </c>
      <c r="AZ1098" s="427">
        <f t="shared" si="2345"/>
        <v>75.782830687742262</v>
      </c>
      <c r="BA1098" s="427">
        <f t="shared" si="2345"/>
        <v>33.091572293166763</v>
      </c>
      <c r="BB1098" s="427">
        <f t="shared" si="2345"/>
        <v>33.18907983741984</v>
      </c>
      <c r="BC1098" s="427">
        <f t="shared" si="2345"/>
        <v>38.956923720701269</v>
      </c>
      <c r="BD1098" s="427">
        <f t="shared" si="2345"/>
        <v>114.95957863109896</v>
      </c>
      <c r="BE1098" s="427">
        <f t="shared" si="2345"/>
        <v>35.166646755218636</v>
      </c>
      <c r="BF1098" s="427">
        <f t="shared" si="2345"/>
        <v>66.692662215191731</v>
      </c>
      <c r="BG1098" s="427">
        <f t="shared" si="2345"/>
        <v>20.388145502762562</v>
      </c>
      <c r="BH1098" s="427">
        <f t="shared" si="2345"/>
        <v>-9.2078320636189943</v>
      </c>
      <c r="BI1098" s="427">
        <f t="shared" si="2345"/>
        <v>13.092948375074222</v>
      </c>
      <c r="BJ1098" s="427">
        <f t="shared" si="2345"/>
        <v>-26.440108551884734</v>
      </c>
      <c r="BK1098" s="427">
        <f t="shared" si="2345"/>
        <v>-29.224930722817902</v>
      </c>
      <c r="BL1098" s="427">
        <f t="shared" si="2345"/>
        <v>84.410162341847666</v>
      </c>
      <c r="BM1098" s="427">
        <f t="shared" si="2345"/>
        <v>-44.958651826957109</v>
      </c>
      <c r="BN1098" s="427">
        <f t="shared" si="2345"/>
        <v>-18.908860436826735</v>
      </c>
      <c r="BO1098" s="427">
        <f t="shared" si="2345"/>
        <v>19.037651689046292</v>
      </c>
      <c r="BP1098" s="427">
        <f t="shared" si="2345"/>
        <v>-69.812806269244192</v>
      </c>
      <c r="BQ1098" s="427">
        <f t="shared" ref="BQ1098:EB1098" si="2346">BQ$1041</f>
        <v>-63.979123292294858</v>
      </c>
      <c r="BR1098" s="427">
        <f t="shared" si="2346"/>
        <v>65.15532343998423</v>
      </c>
      <c r="BS1098" s="427">
        <f t="shared" si="2346"/>
        <v>6.0694768288844614</v>
      </c>
      <c r="BT1098" s="427">
        <f t="shared" si="2346"/>
        <v>-26.352133359487432</v>
      </c>
      <c r="BU1098" s="427">
        <f t="shared" si="2346"/>
        <v>18.472697623059339</v>
      </c>
      <c r="BV1098" s="427">
        <f t="shared" si="2346"/>
        <v>-16.695729181569973</v>
      </c>
      <c r="BW1098" s="427">
        <f t="shared" si="2346"/>
        <v>-29.343123673461093</v>
      </c>
      <c r="BX1098" s="427">
        <f t="shared" si="2346"/>
        <v>26.670872886249363</v>
      </c>
      <c r="BY1098" s="427">
        <f t="shared" si="2346"/>
        <v>-30.293054584938016</v>
      </c>
      <c r="BZ1098" s="427">
        <f t="shared" si="2346"/>
        <v>-33.240856614792129</v>
      </c>
      <c r="CA1098" s="427">
        <f t="shared" si="2346"/>
        <v>35.902338399363416</v>
      </c>
      <c r="CB1098" s="427">
        <f t="shared" si="2346"/>
        <v>-48.338747381329469</v>
      </c>
      <c r="CC1098" s="427">
        <f t="shared" si="2346"/>
        <v>-74.416872919694569</v>
      </c>
      <c r="CD1098" s="428">
        <f t="shared" si="2346"/>
        <v>-34.433830394705687</v>
      </c>
      <c r="CE1098" s="427">
        <f t="shared" si="2346"/>
        <v>0.42461652831457286</v>
      </c>
      <c r="CF1098" s="427">
        <f t="shared" si="2346"/>
        <v>-10.463376122478566</v>
      </c>
      <c r="CG1098" s="427">
        <f t="shared" si="2346"/>
        <v>31.334242432741128</v>
      </c>
      <c r="CH1098" s="427">
        <f t="shared" si="2346"/>
        <v>-44.501753889792901</v>
      </c>
      <c r="CI1098" s="427">
        <f t="shared" si="2346"/>
        <v>-4.7324255927931276</v>
      </c>
      <c r="CJ1098" s="427">
        <f t="shared" si="2346"/>
        <v>-5.5261220665393438</v>
      </c>
      <c r="CK1098" s="427">
        <f t="shared" si="2346"/>
        <v>7.2314950116608969</v>
      </c>
      <c r="CL1098" s="427">
        <f t="shared" si="2346"/>
        <v>18.226296226696171</v>
      </c>
      <c r="CM1098" s="427">
        <f t="shared" si="2346"/>
        <v>3.9538114556749915</v>
      </c>
      <c r="CN1098" s="427">
        <f t="shared" si="2346"/>
        <v>-39.636185154166299</v>
      </c>
      <c r="CO1098" s="427">
        <f t="shared" si="2346"/>
        <v>10.940030891764053</v>
      </c>
      <c r="CP1098" s="429">
        <f t="shared" si="2346"/>
        <v>20.224822146055303</v>
      </c>
      <c r="CQ1098" s="427">
        <f t="shared" si="2346"/>
        <v>16.986415427607</v>
      </c>
      <c r="CR1098" s="427">
        <f t="shared" si="2346"/>
        <v>-5.4877165309607818</v>
      </c>
      <c r="CS1098" s="427">
        <f t="shared" si="2346"/>
        <v>3.6216965362644729</v>
      </c>
      <c r="CT1098" s="427">
        <f t="shared" si="2346"/>
        <v>6.1454212857142423</v>
      </c>
      <c r="CU1098" s="427">
        <f t="shared" si="2346"/>
        <v>-15.073846300083362</v>
      </c>
      <c r="CV1098" s="427">
        <f t="shared" si="2346"/>
        <v>26.109340470748947</v>
      </c>
      <c r="CW1098" s="427">
        <f t="shared" si="2346"/>
        <v>-23.893840580059681</v>
      </c>
      <c r="CX1098" s="427">
        <f t="shared" si="2346"/>
        <v>-24.465101896615273</v>
      </c>
      <c r="CY1098" s="427">
        <f t="shared" si="2346"/>
        <v>19.484405688142029</v>
      </c>
      <c r="CZ1098" s="427">
        <f t="shared" si="2346"/>
        <v>-1.0370819598349215</v>
      </c>
      <c r="DA1098" s="427">
        <f t="shared" si="2346"/>
        <v>47.192817107685684</v>
      </c>
      <c r="DB1098" s="1312">
        <f t="shared" si="2346"/>
        <v>7.9705685526607759</v>
      </c>
      <c r="DC1098" s="427">
        <f t="shared" si="2346"/>
        <v>-8.2347656303285817</v>
      </c>
      <c r="DD1098" s="427">
        <f t="shared" si="2346"/>
        <v>-43.132673795762997</v>
      </c>
      <c r="DE1098" s="427">
        <f t="shared" si="2346"/>
        <v>14.47757192385891</v>
      </c>
      <c r="DF1098" s="427">
        <f t="shared" si="2346"/>
        <v>-7.40431649993441</v>
      </c>
      <c r="DG1098" s="427">
        <f t="shared" si="2346"/>
        <v>-3.4646061698234352</v>
      </c>
      <c r="DH1098" s="427">
        <f t="shared" si="2346"/>
        <v>24.718769483949082</v>
      </c>
      <c r="DI1098" s="427">
        <f t="shared" si="2346"/>
        <v>-27.277308807600235</v>
      </c>
      <c r="DJ1098" s="427">
        <f t="shared" si="2346"/>
        <v>-7.4441469067204125</v>
      </c>
      <c r="DK1098" s="427">
        <f t="shared" si="2346"/>
        <v>38.75432077170008</v>
      </c>
      <c r="DL1098" s="427">
        <f t="shared" si="2346"/>
        <v>-55.43341646562736</v>
      </c>
      <c r="DM1098" s="427">
        <f t="shared" si="2346"/>
        <v>22.491083206765808</v>
      </c>
      <c r="DN1098" s="429">
        <f t="shared" si="2346"/>
        <v>68.969924798688652</v>
      </c>
      <c r="DO1098" s="427">
        <f t="shared" si="2346"/>
        <v>-80.887383964049477</v>
      </c>
      <c r="DP1098" s="427">
        <f t="shared" si="2346"/>
        <v>0.96369496362726181</v>
      </c>
      <c r="DQ1098" s="427">
        <f t="shared" si="2346"/>
        <v>27.460956061801671</v>
      </c>
      <c r="DR1098" s="427">
        <f t="shared" si="2346"/>
        <v>-27.696874053741737</v>
      </c>
      <c r="DS1098" s="427">
        <f t="shared" si="2346"/>
        <v>-18.17323431007253</v>
      </c>
      <c r="DT1098" s="427">
        <f t="shared" si="2346"/>
        <v>47.032308764707999</v>
      </c>
      <c r="DU1098" s="427">
        <f t="shared" si="2346"/>
        <v>-45.180212956810649</v>
      </c>
      <c r="DV1098" s="427">
        <f t="shared" si="2346"/>
        <v>2.4167870657453818</v>
      </c>
      <c r="DW1098" s="427">
        <f t="shared" si="2346"/>
        <v>19.447192946120254</v>
      </c>
      <c r="DX1098" s="427">
        <f t="shared" si="2346"/>
        <v>-32.660457047285789</v>
      </c>
      <c r="DY1098" s="427">
        <f t="shared" si="2346"/>
        <v>37.202929427869975</v>
      </c>
      <c r="DZ1098" s="429">
        <f t="shared" si="2346"/>
        <v>68.549115048618063</v>
      </c>
      <c r="EA1098" s="427">
        <f t="shared" si="2346"/>
        <v>12.922708215417821</v>
      </c>
      <c r="EB1098" s="427">
        <f t="shared" si="2346"/>
        <v>-34.827634707971427</v>
      </c>
      <c r="EC1098" s="427">
        <f t="shared" ref="EC1098:GH1098" si="2347">EC$1041</f>
        <v>-25.190723934973036</v>
      </c>
      <c r="ED1098" s="427">
        <f t="shared" si="2347"/>
        <v>-18.901630980331767</v>
      </c>
      <c r="EE1098" s="427">
        <f t="shared" si="2347"/>
        <v>102.74807112524149</v>
      </c>
      <c r="EF1098" s="427">
        <f t="shared" si="2347"/>
        <v>-54.836497808361003</v>
      </c>
      <c r="EG1098" s="427">
        <f t="shared" si="2347"/>
        <v>-43.77854933273651</v>
      </c>
      <c r="EH1098" s="427">
        <f t="shared" si="2347"/>
        <v>-10.50661742962572</v>
      </c>
      <c r="EI1098" s="427">
        <f t="shared" si="2347"/>
        <v>19.115681654959804</v>
      </c>
      <c r="EJ1098" s="427">
        <f t="shared" si="2347"/>
        <v>31.311816287511412</v>
      </c>
      <c r="EK1098" s="427">
        <f t="shared" si="2347"/>
        <v>35.696010541076888</v>
      </c>
      <c r="EL1098" s="429">
        <f t="shared" si="2347"/>
        <v>-6.7940310779720932</v>
      </c>
      <c r="EM1098" s="427">
        <f t="shared" si="2347"/>
        <v>5.0822941706700391</v>
      </c>
      <c r="EN1098" s="427">
        <f t="shared" si="2347"/>
        <v>23.001637524134523</v>
      </c>
      <c r="EO1098" s="427">
        <f t="shared" si="2347"/>
        <v>21.017960222919314</v>
      </c>
      <c r="EP1098" s="427">
        <f t="shared" si="2347"/>
        <v>6.5253562250127857</v>
      </c>
      <c r="EQ1098" s="427">
        <f t="shared" si="2347"/>
        <v>-9.3123081770299763</v>
      </c>
      <c r="ER1098" s="427">
        <f t="shared" si="2347"/>
        <v>-19.931516677860031</v>
      </c>
      <c r="ES1098" s="427">
        <f t="shared" si="2347"/>
        <v>-21.467566058501546</v>
      </c>
      <c r="ET1098" s="427">
        <f t="shared" si="2347"/>
        <v>5.0018529144976469</v>
      </c>
      <c r="EU1098" s="427">
        <f t="shared" si="2347"/>
        <v>41.093421077725786</v>
      </c>
      <c r="EV1098" s="427">
        <f t="shared" si="2347"/>
        <v>20.029667398912494</v>
      </c>
      <c r="EW1098" s="427">
        <f t="shared" si="2347"/>
        <v>-37.106487879623472</v>
      </c>
      <c r="EX1098" s="429">
        <f t="shared" si="2347"/>
        <v>-62.800179627111902</v>
      </c>
      <c r="EY1098" s="427">
        <f t="shared" si="2347"/>
        <v>-25.832106926181773</v>
      </c>
      <c r="EZ1098" s="427">
        <f t="shared" si="2347"/>
        <v>-42.845015236387511</v>
      </c>
      <c r="FA1098" s="427">
        <f t="shared" si="2347"/>
        <v>40.066970002069567</v>
      </c>
      <c r="FB1098" s="427">
        <f t="shared" si="2347"/>
        <v>-15.111730798628159</v>
      </c>
      <c r="FC1098" s="427">
        <f t="shared" si="2347"/>
        <v>12.785278889865168</v>
      </c>
      <c r="FD1098" s="427">
        <f t="shared" si="2347"/>
        <v>13.988059023595781</v>
      </c>
      <c r="FE1098" s="427">
        <f t="shared" si="2347"/>
        <v>-1.2854610075625459</v>
      </c>
      <c r="FF1098" s="427">
        <f t="shared" si="2347"/>
        <v>-2.9944099752062385</v>
      </c>
      <c r="FG1098" s="427">
        <f t="shared" si="2347"/>
        <v>-25.601050784902469</v>
      </c>
      <c r="FH1098" s="427">
        <f t="shared" si="2347"/>
        <v>-8.2387497333172348</v>
      </c>
      <c r="FI1098" s="427">
        <f t="shared" si="2347"/>
        <v>-31.56451008605444</v>
      </c>
      <c r="FJ1098" s="429">
        <f t="shared" si="2347"/>
        <v>94.165969504041215</v>
      </c>
      <c r="FK1098" s="427">
        <f t="shared" si="2347"/>
        <v>-111.89883603351632</v>
      </c>
      <c r="FL1098" s="427">
        <f t="shared" si="2347"/>
        <v>-35.132130663310448</v>
      </c>
      <c r="FM1098" s="427">
        <f t="shared" si="2347"/>
        <v>11.696736859429649</v>
      </c>
      <c r="FN1098" s="427">
        <f t="shared" si="2347"/>
        <v>37.670234563689057</v>
      </c>
      <c r="FO1098" s="427">
        <f t="shared" si="2347"/>
        <v>5.2519449621693184</v>
      </c>
      <c r="FP1098" s="427">
        <f t="shared" si="2347"/>
        <v>50.272658370440013</v>
      </c>
      <c r="FQ1098" s="427">
        <f t="shared" si="2347"/>
        <v>8.0110911439031725</v>
      </c>
      <c r="FR1098" s="427">
        <f t="shared" si="2347"/>
        <v>37.488205504280018</v>
      </c>
      <c r="FS1098" s="427">
        <f t="shared" si="2347"/>
        <v>-8.3717769103185731</v>
      </c>
      <c r="FT1098" s="427">
        <f t="shared" si="2347"/>
        <v>-61.454841483936399</v>
      </c>
      <c r="FU1098" s="427">
        <f t="shared" si="2347"/>
        <v>-29.656882802885093</v>
      </c>
      <c r="FV1098" s="429">
        <f t="shared" si="2347"/>
        <v>78.0119026200571</v>
      </c>
      <c r="FW1098" s="427">
        <f t="shared" si="2347"/>
        <v>-133.53924042924029</v>
      </c>
      <c r="FX1098" s="427">
        <f t="shared" si="2347"/>
        <v>-26.546114629070516</v>
      </c>
      <c r="FY1098" s="427">
        <f t="shared" si="2347"/>
        <v>76.388740930034018</v>
      </c>
      <c r="FZ1098" s="427">
        <f t="shared" si="2347"/>
        <v>56.427221892580718</v>
      </c>
      <c r="GA1098" s="427">
        <f t="shared" si="2347"/>
        <v>59.136362582910479</v>
      </c>
      <c r="GB1098" s="427">
        <f t="shared" si="2347"/>
        <v>223.87188301238533</v>
      </c>
      <c r="GC1098" s="427">
        <f t="shared" si="2347"/>
        <v>17.024046278038497</v>
      </c>
      <c r="GD1098" s="427">
        <f t="shared" si="2347"/>
        <v>-27.748728333902903</v>
      </c>
      <c r="GE1098" s="427">
        <f t="shared" si="2347"/>
        <v>-120.70943646177901</v>
      </c>
      <c r="GF1098" s="427">
        <f t="shared" si="2347"/>
        <v>-235.99761871476443</v>
      </c>
      <c r="GG1098" s="427">
        <f t="shared" si="2347"/>
        <v>-25.690959716764496</v>
      </c>
      <c r="GH1098" s="427">
        <f t="shared" si="2347"/>
        <v>100.37758507979358</v>
      </c>
      <c r="GI1098" s="1654"/>
      <c r="HZ1098" s="343"/>
      <c r="IA1098" s="426" t="s">
        <v>579</v>
      </c>
      <c r="IB1098" s="426"/>
      <c r="IC1098" s="426"/>
      <c r="ID1098" s="344">
        <f>ID$1041</f>
        <v>-12.524548132863121</v>
      </c>
      <c r="IE1098" s="344">
        <f>IE$1041</f>
        <v>32.301310889290519</v>
      </c>
      <c r="IF1098" s="344">
        <f>IF$1041</f>
        <v>25.251766911978613</v>
      </c>
      <c r="IG1098" s="435">
        <f>IG$1041</f>
        <v>57.553077801269133</v>
      </c>
      <c r="IH1098" s="436"/>
      <c r="II1098" s="344"/>
      <c r="IJ1098" s="435">
        <f>IJ$1041</f>
        <v>17.020435909165101</v>
      </c>
      <c r="IK1098" s="344"/>
      <c r="IL1098" s="344"/>
      <c r="IM1098" s="435">
        <f>IM$1041</f>
        <v>-1.5251780534695811</v>
      </c>
      <c r="IN1098" s="344"/>
      <c r="IO1098" s="344"/>
      <c r="IP1098" s="435">
        <f>IP$1041</f>
        <v>6.9586025522358668</v>
      </c>
      <c r="IQ1098" s="435"/>
      <c r="IR1098" s="435"/>
      <c r="IS1098" s="435">
        <f>IS$1041</f>
        <v>-28.86586888625434</v>
      </c>
      <c r="IT1098" s="435"/>
      <c r="IU1098" s="435"/>
      <c r="IV1098" s="435">
        <f>IV$1041</f>
        <v>7.5332428713313391</v>
      </c>
      <c r="IW1098" s="435"/>
      <c r="IX1098" s="435"/>
      <c r="IY1098" s="435">
        <f>IY$1041</f>
        <v>-18.11169386999844</v>
      </c>
      <c r="IZ1098" s="435"/>
      <c r="JA1098" s="435">
        <f>JA$1041</f>
        <v>-292.74511186937883</v>
      </c>
      <c r="JB1098" s="435">
        <f>JB$1041</f>
        <v>-37.006258509779173</v>
      </c>
      <c r="JC1098" s="435">
        <f>JC$1041</f>
        <v>45.310238607982853</v>
      </c>
      <c r="JD1098" s="435">
        <f>JD$1041</f>
        <v>-65.502852994554246</v>
      </c>
      <c r="JE1098" s="435"/>
      <c r="JF1098" s="435"/>
      <c r="JG1098" s="435"/>
      <c r="JH1098" s="435"/>
      <c r="JI1098" s="435"/>
      <c r="JJ1098" s="435"/>
      <c r="JK1098" s="435"/>
      <c r="KU1098" s="343"/>
      <c r="KV1098" s="344"/>
      <c r="KY1098" s="344">
        <f>KY$1041</f>
        <v>0</v>
      </c>
      <c r="KZ1098" s="344">
        <f>KZ$1041</f>
        <v>0</v>
      </c>
      <c r="LA1098" s="344">
        <f>LA$1041</f>
        <v>0</v>
      </c>
      <c r="LB1098" s="344">
        <f>LB$1041</f>
        <v>0</v>
      </c>
    </row>
    <row r="1099" spans="1:314" ht="15.6" thickTop="1" thickBot="1">
      <c r="D1099" s="14"/>
      <c r="DZ1099" s="429"/>
      <c r="EA1099" s="427"/>
      <c r="IH1099" s="284"/>
    </row>
    <row r="1100" spans="1:314" ht="15.6" thickTop="1" thickBot="1">
      <c r="D1100" s="14"/>
      <c r="EA1100" s="279"/>
      <c r="IH1100" s="284"/>
    </row>
    <row r="1101" spans="1:314" ht="15.3">
      <c r="D1101" s="378" t="s">
        <v>895</v>
      </c>
      <c r="CJ1101" s="453">
        <f>+CJ1</f>
        <v>41609</v>
      </c>
      <c r="CP1101" s="453">
        <f t="shared" ref="CP1101:DF1101" si="2348">+CP1</f>
        <v>41791</v>
      </c>
      <c r="CQ1101" s="453">
        <f t="shared" si="2348"/>
        <v>41821</v>
      </c>
      <c r="CR1101" s="452">
        <f t="shared" si="2348"/>
        <v>41852</v>
      </c>
      <c r="CS1101" s="452">
        <f t="shared" si="2348"/>
        <v>41883</v>
      </c>
      <c r="CT1101" s="452">
        <f t="shared" si="2348"/>
        <v>41913</v>
      </c>
      <c r="CU1101" s="452">
        <f t="shared" si="2348"/>
        <v>41944</v>
      </c>
      <c r="CV1101" s="452">
        <f t="shared" si="2348"/>
        <v>41974</v>
      </c>
      <c r="CW1101" s="452">
        <f t="shared" si="2348"/>
        <v>42005</v>
      </c>
      <c r="CX1101" s="452">
        <f t="shared" si="2348"/>
        <v>42036</v>
      </c>
      <c r="CY1101" s="452">
        <f t="shared" si="2348"/>
        <v>42064</v>
      </c>
      <c r="CZ1101" s="452">
        <f t="shared" si="2348"/>
        <v>42095</v>
      </c>
      <c r="DA1101" s="452">
        <f t="shared" si="2348"/>
        <v>42125</v>
      </c>
      <c r="DB1101" s="1313">
        <f t="shared" si="2348"/>
        <v>42156</v>
      </c>
      <c r="DC1101" s="875">
        <f t="shared" si="2348"/>
        <v>42186</v>
      </c>
      <c r="DD1101" s="875">
        <f t="shared" si="2348"/>
        <v>42217</v>
      </c>
      <c r="DE1101" s="875">
        <f t="shared" si="2348"/>
        <v>42248</v>
      </c>
      <c r="DF1101" s="875">
        <f t="shared" si="2348"/>
        <v>42278</v>
      </c>
      <c r="EA1101" s="279"/>
      <c r="IH1101" s="284"/>
    </row>
    <row r="1102" spans="1:314" ht="15.3">
      <c r="D1102" s="9"/>
      <c r="EA1102" s="279"/>
      <c r="IH1102" s="284"/>
    </row>
    <row r="1103" spans="1:314">
      <c r="D1103" s="446" t="s">
        <v>582</v>
      </c>
      <c r="EA1103" s="279"/>
      <c r="IH1103" s="284"/>
    </row>
    <row r="1104" spans="1:314">
      <c r="D1104" s="446"/>
      <c r="EA1104" s="279"/>
      <c r="IH1104" s="284"/>
    </row>
    <row r="1105" spans="1:307">
      <c r="A1105" s="279"/>
      <c r="B1105" s="279"/>
      <c r="C1105" s="279"/>
      <c r="D1105" s="446" t="s">
        <v>583</v>
      </c>
      <c r="EA1105" s="279"/>
      <c r="IH1105" s="284"/>
      <c r="KU1105" s="279"/>
    </row>
    <row r="1106" spans="1:307">
      <c r="A1106" s="279"/>
      <c r="B1106" s="279"/>
      <c r="C1106" s="279"/>
      <c r="D1106" s="446" t="s">
        <v>117</v>
      </c>
      <c r="EA1106" s="279"/>
      <c r="IH1106" s="284"/>
      <c r="KU1106" s="279"/>
    </row>
    <row r="1107" spans="1:307">
      <c r="A1107" s="279"/>
      <c r="B1107" s="279"/>
      <c r="C1107" s="279"/>
      <c r="D1107" s="448" t="s">
        <v>625</v>
      </c>
      <c r="EA1107" s="279"/>
      <c r="IH1107" s="284"/>
      <c r="KU1107" s="279"/>
    </row>
    <row r="1108" spans="1:307">
      <c r="A1108" s="279"/>
      <c r="B1108" s="279"/>
      <c r="C1108" s="279"/>
      <c r="D1108" s="447" t="s">
        <v>119</v>
      </c>
      <c r="EA1108" s="279"/>
      <c r="IH1108" s="284"/>
      <c r="KU1108" s="279"/>
    </row>
    <row r="1109" spans="1:307">
      <c r="A1109" s="279"/>
      <c r="B1109" s="279"/>
      <c r="C1109" s="279"/>
      <c r="D1109" s="447" t="s">
        <v>120</v>
      </c>
      <c r="EA1109" s="279"/>
      <c r="IH1109" s="284"/>
      <c r="KU1109" s="279"/>
    </row>
    <row r="1110" spans="1:307">
      <c r="A1110" s="279"/>
      <c r="B1110" s="279"/>
      <c r="C1110" s="279"/>
      <c r="D1110" s="447" t="s">
        <v>121</v>
      </c>
      <c r="EA1110" s="279"/>
      <c r="IH1110" s="284"/>
      <c r="KU1110" s="279"/>
    </row>
    <row r="1111" spans="1:307">
      <c r="A1111" s="279"/>
      <c r="B1111" s="279"/>
      <c r="C1111" s="279"/>
      <c r="D1111" s="447" t="s">
        <v>123</v>
      </c>
      <c r="EA1111" s="279"/>
      <c r="IH1111" s="284"/>
      <c r="KU1111" s="279"/>
    </row>
    <row r="1112" spans="1:307">
      <c r="A1112" s="279"/>
      <c r="B1112" s="279"/>
      <c r="C1112" s="279"/>
      <c r="D1112" s="446" t="s">
        <v>124</v>
      </c>
      <c r="EA1112" s="279"/>
      <c r="IH1112" s="284"/>
      <c r="KU1112" s="279"/>
    </row>
    <row r="1113" spans="1:307">
      <c r="A1113" s="279"/>
      <c r="B1113" s="279"/>
      <c r="C1113" s="279"/>
      <c r="D1113" s="447" t="s">
        <v>580</v>
      </c>
      <c r="EA1113" s="279"/>
      <c r="IH1113" s="284"/>
      <c r="KU1113" s="279"/>
    </row>
    <row r="1114" spans="1:307">
      <c r="A1114" s="279"/>
      <c r="B1114" s="279"/>
      <c r="C1114" s="279"/>
      <c r="D1114" s="446" t="s">
        <v>170</v>
      </c>
      <c r="EA1114" s="279"/>
      <c r="IH1114" s="284"/>
      <c r="KU1114" s="279"/>
    </row>
    <row r="1115" spans="1:307">
      <c r="A1115" s="279"/>
      <c r="B1115" s="279"/>
      <c r="C1115" s="279"/>
      <c r="D1115" s="447" t="s">
        <v>584</v>
      </c>
      <c r="EA1115" s="279"/>
      <c r="IH1115" s="284"/>
      <c r="KU1115" s="279"/>
    </row>
    <row r="1116" spans="1:307">
      <c r="A1116" s="279"/>
      <c r="B1116" s="279"/>
      <c r="C1116" s="279"/>
      <c r="D1116" s="447" t="s">
        <v>585</v>
      </c>
      <c r="EA1116" s="279"/>
      <c r="IH1116" s="284"/>
      <c r="KU1116" s="279"/>
    </row>
    <row r="1117" spans="1:307">
      <c r="A1117" s="279"/>
      <c r="B1117" s="279"/>
      <c r="C1117" s="279"/>
      <c r="D1117" s="447" t="s">
        <v>586</v>
      </c>
      <c r="EA1117" s="279"/>
      <c r="IH1117" s="284"/>
      <c r="KU1117" s="279"/>
    </row>
    <row r="1118" spans="1:307">
      <c r="A1118" s="279"/>
      <c r="B1118" s="279"/>
      <c r="C1118" s="279"/>
      <c r="D1118" s="446" t="s">
        <v>587</v>
      </c>
      <c r="EA1118" s="279"/>
      <c r="IH1118" s="284"/>
      <c r="KU1118" s="279"/>
    </row>
    <row r="1119" spans="1:307">
      <c r="A1119" s="279"/>
      <c r="B1119" s="279"/>
      <c r="C1119" s="279"/>
      <c r="D1119" s="447" t="s">
        <v>588</v>
      </c>
      <c r="EA1119" s="279"/>
      <c r="IH1119" s="284"/>
      <c r="KU1119" s="279"/>
    </row>
    <row r="1120" spans="1:307">
      <c r="A1120" s="279"/>
      <c r="B1120" s="279"/>
      <c r="C1120" s="279"/>
      <c r="D1120" s="447" t="s">
        <v>589</v>
      </c>
      <c r="EA1120" s="279"/>
      <c r="IH1120" s="284"/>
      <c r="KU1120" s="279"/>
    </row>
    <row r="1121" spans="1:307">
      <c r="A1121" s="279"/>
      <c r="B1121" s="279"/>
      <c r="C1121" s="279"/>
      <c r="D1121" s="447" t="s">
        <v>129</v>
      </c>
      <c r="EA1121" s="279"/>
      <c r="IH1121" s="284"/>
      <c r="KU1121" s="279"/>
    </row>
    <row r="1122" spans="1:307">
      <c r="A1122" s="279"/>
      <c r="B1122" s="279"/>
      <c r="C1122" s="279"/>
      <c r="D1122" s="446" t="s">
        <v>575</v>
      </c>
      <c r="EA1122" s="279"/>
      <c r="IH1122" s="284"/>
      <c r="KU1122" s="279"/>
    </row>
    <row r="1123" spans="1:307">
      <c r="A1123" s="279"/>
      <c r="B1123" s="279"/>
      <c r="C1123" s="279"/>
      <c r="D1123" s="447" t="s">
        <v>590</v>
      </c>
      <c r="EA1123" s="279"/>
      <c r="IH1123" s="284"/>
      <c r="KU1123" s="279"/>
    </row>
    <row r="1124" spans="1:307">
      <c r="A1124" s="279"/>
      <c r="B1124" s="279"/>
      <c r="C1124" s="279"/>
      <c r="D1124" s="447" t="s">
        <v>165</v>
      </c>
      <c r="EA1124" s="279"/>
      <c r="IH1124" s="284"/>
      <c r="KU1124" s="279"/>
    </row>
    <row r="1125" spans="1:307">
      <c r="A1125" s="279"/>
      <c r="B1125" s="279"/>
      <c r="C1125" s="279"/>
      <c r="D1125" s="447" t="s">
        <v>591</v>
      </c>
      <c r="EA1125" s="279"/>
      <c r="IH1125" s="284"/>
      <c r="KU1125" s="279"/>
    </row>
    <row r="1126" spans="1:307">
      <c r="A1126" s="279"/>
      <c r="B1126" s="279"/>
      <c r="C1126" s="279"/>
      <c r="D1126" s="447"/>
      <c r="EA1126" s="279"/>
      <c r="IH1126" s="284"/>
      <c r="KU1126" s="279"/>
    </row>
    <row r="1127" spans="1:307">
      <c r="A1127" s="279"/>
      <c r="B1127" s="279"/>
      <c r="C1127" s="279"/>
      <c r="D1127" s="446" t="s">
        <v>592</v>
      </c>
      <c r="EA1127" s="279"/>
      <c r="IH1127" s="284"/>
      <c r="KU1127" s="279"/>
    </row>
    <row r="1128" spans="1:307">
      <c r="A1128" s="279"/>
      <c r="B1128" s="279"/>
      <c r="C1128" s="279"/>
      <c r="D1128" s="447"/>
      <c r="EA1128" s="279"/>
      <c r="IH1128" s="284"/>
      <c r="KU1128" s="279"/>
    </row>
    <row r="1129" spans="1:307">
      <c r="A1129" s="279"/>
      <c r="B1129" s="279"/>
      <c r="C1129" s="279"/>
      <c r="D1129" s="446" t="s">
        <v>593</v>
      </c>
      <c r="EA1129" s="279"/>
      <c r="IH1129" s="284"/>
      <c r="KU1129" s="279"/>
    </row>
    <row r="1130" spans="1:307">
      <c r="A1130" s="279"/>
      <c r="B1130" s="279"/>
      <c r="C1130" s="279"/>
      <c r="D1130" s="447"/>
      <c r="EA1130" s="279"/>
      <c r="IH1130" s="284"/>
      <c r="KU1130" s="279"/>
    </row>
    <row r="1131" spans="1:307">
      <c r="A1131" s="279"/>
      <c r="B1131" s="279"/>
      <c r="C1131" s="279"/>
      <c r="D1131" s="446" t="s">
        <v>594</v>
      </c>
      <c r="EA1131" s="279"/>
      <c r="IH1131" s="284"/>
      <c r="KU1131" s="279"/>
    </row>
    <row r="1132" spans="1:307">
      <c r="A1132" s="279"/>
      <c r="B1132" s="279"/>
      <c r="C1132" s="279"/>
      <c r="D1132" s="447"/>
      <c r="EA1132" s="279"/>
      <c r="IH1132" s="284"/>
      <c r="KU1132" s="279"/>
    </row>
    <row r="1133" spans="1:307">
      <c r="A1133" s="279"/>
      <c r="B1133" s="279"/>
      <c r="C1133" s="279"/>
      <c r="D1133" s="447" t="s">
        <v>595</v>
      </c>
      <c r="EA1133" s="279"/>
      <c r="IH1133" s="284"/>
      <c r="KU1133" s="279"/>
    </row>
    <row r="1134" spans="1:307">
      <c r="A1134" s="279"/>
      <c r="B1134" s="279"/>
      <c r="C1134" s="279"/>
      <c r="D1134" s="447" t="s">
        <v>80</v>
      </c>
      <c r="EA1134" s="279"/>
      <c r="IH1134" s="284"/>
      <c r="KU1134" s="279"/>
    </row>
    <row r="1135" spans="1:307">
      <c r="A1135" s="279"/>
      <c r="B1135" s="279"/>
      <c r="C1135" s="279"/>
      <c r="D1135" s="447" t="s">
        <v>81</v>
      </c>
      <c r="EA1135" s="279"/>
      <c r="IH1135" s="284"/>
      <c r="KU1135" s="279"/>
    </row>
    <row r="1136" spans="1:307">
      <c r="A1136" s="279"/>
      <c r="B1136" s="279"/>
      <c r="C1136" s="279"/>
      <c r="D1136" s="447" t="s">
        <v>118</v>
      </c>
      <c r="EA1136" s="279"/>
      <c r="IH1136" s="284"/>
      <c r="KU1136" s="279"/>
    </row>
    <row r="1137" spans="1:307">
      <c r="A1137" s="279"/>
      <c r="B1137" s="279"/>
      <c r="C1137" s="279"/>
      <c r="D1137" s="447" t="s">
        <v>134</v>
      </c>
      <c r="EA1137" s="279"/>
      <c r="IH1137" s="284"/>
      <c r="KU1137" s="279"/>
    </row>
    <row r="1138" spans="1:307">
      <c r="A1138" s="279"/>
      <c r="B1138" s="279"/>
      <c r="C1138" s="279"/>
      <c r="D1138" s="447" t="s">
        <v>35</v>
      </c>
      <c r="EA1138" s="279"/>
      <c r="IH1138" s="284"/>
      <c r="KU1138" s="279"/>
    </row>
    <row r="1139" spans="1:307">
      <c r="A1139" s="279"/>
      <c r="B1139" s="279"/>
      <c r="C1139" s="279"/>
      <c r="D1139" s="447" t="s">
        <v>596</v>
      </c>
      <c r="EA1139" s="279"/>
      <c r="IH1139" s="284"/>
      <c r="KU1139" s="279"/>
    </row>
    <row r="1140" spans="1:307">
      <c r="A1140" s="279"/>
      <c r="B1140" s="279"/>
      <c r="C1140" s="279"/>
      <c r="D1140" s="447" t="s">
        <v>597</v>
      </c>
      <c r="EA1140" s="279"/>
      <c r="IH1140" s="284"/>
      <c r="KU1140" s="279"/>
    </row>
    <row r="1141" spans="1:307">
      <c r="A1141" s="279"/>
      <c r="B1141" s="279"/>
      <c r="C1141" s="279"/>
      <c r="D1141" s="447" t="s">
        <v>598</v>
      </c>
      <c r="EA1141" s="279"/>
      <c r="KU1141" s="279"/>
    </row>
    <row r="1142" spans="1:307">
      <c r="A1142" s="279"/>
      <c r="B1142" s="279"/>
      <c r="C1142" s="279"/>
      <c r="D1142" s="447" t="s">
        <v>599</v>
      </c>
      <c r="EA1142" s="279"/>
      <c r="KU1142" s="279"/>
    </row>
    <row r="1143" spans="1:307">
      <c r="A1143" s="279"/>
      <c r="B1143" s="279"/>
      <c r="C1143" s="279"/>
      <c r="D1143" s="447" t="s">
        <v>597</v>
      </c>
      <c r="EA1143" s="279"/>
      <c r="KU1143" s="279"/>
    </row>
    <row r="1144" spans="1:307">
      <c r="A1144" s="279"/>
      <c r="B1144" s="279"/>
      <c r="C1144" s="279"/>
      <c r="D1144" s="447" t="s">
        <v>82</v>
      </c>
      <c r="EA1144" s="279"/>
      <c r="KU1144" s="279"/>
    </row>
    <row r="1145" spans="1:307">
      <c r="A1145" s="279"/>
      <c r="B1145" s="279"/>
      <c r="C1145" s="279"/>
      <c r="D1145" s="447" t="s">
        <v>581</v>
      </c>
      <c r="EA1145" s="279"/>
      <c r="KU1145" s="279"/>
    </row>
    <row r="1146" spans="1:307">
      <c r="A1146" s="279"/>
      <c r="B1146" s="279"/>
      <c r="C1146" s="279"/>
      <c r="D1146" s="447" t="s">
        <v>118</v>
      </c>
      <c r="KU1146" s="279"/>
    </row>
    <row r="1147" spans="1:307">
      <c r="A1147" s="279"/>
      <c r="B1147" s="279"/>
      <c r="C1147" s="279"/>
      <c r="D1147" s="447" t="s">
        <v>600</v>
      </c>
      <c r="KU1147" s="279"/>
    </row>
    <row r="1148" spans="1:307">
      <c r="A1148" s="279"/>
      <c r="B1148" s="279"/>
      <c r="C1148" s="279"/>
      <c r="D1148" s="447"/>
      <c r="KU1148" s="279"/>
    </row>
    <row r="1149" spans="1:307">
      <c r="A1149" s="279"/>
      <c r="B1149" s="279"/>
      <c r="C1149" s="279"/>
      <c r="D1149" s="446" t="s">
        <v>448</v>
      </c>
      <c r="KU1149" s="279"/>
    </row>
    <row r="1150" spans="1:307">
      <c r="A1150" s="279"/>
      <c r="B1150" s="279"/>
      <c r="C1150" s="279"/>
      <c r="D1150" s="447" t="s">
        <v>626</v>
      </c>
      <c r="KU1150" s="279"/>
    </row>
    <row r="1151" spans="1:307">
      <c r="A1151" s="279"/>
      <c r="B1151" s="279"/>
      <c r="C1151" s="279"/>
      <c r="D1151" s="448" t="s">
        <v>627</v>
      </c>
      <c r="KU1151" s="279"/>
    </row>
    <row r="1152" spans="1:307">
      <c r="A1152" s="279"/>
      <c r="B1152" s="279"/>
      <c r="C1152" s="279"/>
      <c r="D1152" s="447" t="s">
        <v>628</v>
      </c>
      <c r="KU1152" s="279"/>
    </row>
    <row r="1153" spans="1:307">
      <c r="A1153" s="279"/>
      <c r="B1153" s="279"/>
      <c r="C1153" s="279"/>
      <c r="D1153" s="447" t="s">
        <v>629</v>
      </c>
      <c r="KU1153" s="279"/>
    </row>
    <row r="1154" spans="1:307">
      <c r="A1154" s="279"/>
      <c r="B1154" s="279"/>
      <c r="C1154" s="279"/>
      <c r="D1154" s="447"/>
      <c r="KU1154" s="279"/>
    </row>
    <row r="1155" spans="1:307">
      <c r="A1155" s="279"/>
      <c r="B1155" s="279"/>
      <c r="C1155" s="279"/>
      <c r="D1155" s="446" t="s">
        <v>602</v>
      </c>
      <c r="KU1155" s="279"/>
    </row>
    <row r="1156" spans="1:307">
      <c r="A1156" s="279"/>
      <c r="B1156" s="279"/>
      <c r="C1156" s="279"/>
      <c r="D1156" s="446" t="s">
        <v>603</v>
      </c>
      <c r="KU1156" s="279"/>
    </row>
    <row r="1157" spans="1:307">
      <c r="A1157" s="279"/>
      <c r="B1157" s="279"/>
      <c r="C1157" s="279"/>
      <c r="D1157" s="446" t="s">
        <v>604</v>
      </c>
      <c r="KU1157" s="279"/>
    </row>
    <row r="1158" spans="1:307">
      <c r="A1158" s="279"/>
      <c r="B1158" s="279"/>
      <c r="C1158" s="279"/>
      <c r="D1158" s="446" t="s">
        <v>605</v>
      </c>
      <c r="KU1158" s="279"/>
    </row>
    <row r="1159" spans="1:307">
      <c r="A1159" s="279"/>
      <c r="B1159" s="279"/>
      <c r="C1159" s="279"/>
      <c r="D1159" s="447"/>
      <c r="KU1159" s="279"/>
    </row>
    <row r="1160" spans="1:307">
      <c r="A1160" s="279"/>
      <c r="B1160" s="279"/>
      <c r="C1160" s="279"/>
      <c r="D1160" s="446" t="s">
        <v>606</v>
      </c>
      <c r="KU1160" s="279"/>
    </row>
    <row r="1163" spans="1:307">
      <c r="A1163" s="279"/>
      <c r="B1163" s="279"/>
      <c r="C1163" s="279"/>
      <c r="D1163" s="14" t="s">
        <v>694</v>
      </c>
      <c r="ID1163" s="279" t="s">
        <v>685</v>
      </c>
      <c r="KU1163" s="279"/>
    </row>
    <row r="1164" spans="1:307" ht="15.6">
      <c r="A1164" s="279"/>
      <c r="B1164" s="279"/>
      <c r="C1164" s="279"/>
      <c r="D1164" s="465" t="str">
        <f>+D1163</f>
        <v>FISCAL_inyear_DOMDEBT1415</v>
      </c>
      <c r="E1164" s="450"/>
      <c r="F1164" s="450"/>
      <c r="G1164" s="450"/>
      <c r="H1164" s="450"/>
      <c r="I1164" s="450"/>
      <c r="J1164" s="450"/>
      <c r="K1164" s="450"/>
      <c r="L1164" s="450"/>
      <c r="M1164" s="450"/>
      <c r="N1164" s="450"/>
      <c r="O1164" s="450"/>
      <c r="P1164" s="450"/>
      <c r="Q1164" s="450"/>
      <c r="R1164" s="450"/>
      <c r="S1164" s="450"/>
      <c r="T1164" s="450"/>
      <c r="U1164" s="450"/>
      <c r="V1164" s="450"/>
      <c r="W1164" s="450"/>
      <c r="X1164" s="450"/>
      <c r="Y1164" s="450"/>
      <c r="Z1164" s="450"/>
      <c r="AA1164" s="450"/>
      <c r="AB1164" s="450"/>
      <c r="AC1164" s="450"/>
      <c r="AD1164" s="450"/>
      <c r="AE1164" s="450"/>
      <c r="AF1164" s="450"/>
      <c r="AG1164" s="450"/>
      <c r="AH1164" s="450"/>
      <c r="AI1164" s="450"/>
      <c r="AJ1164" s="450"/>
      <c r="AK1164" s="450"/>
      <c r="AL1164" s="450"/>
      <c r="AM1164" s="450"/>
      <c r="AN1164" s="450"/>
      <c r="AO1164" s="450"/>
      <c r="AP1164" s="450"/>
      <c r="AQ1164" s="450"/>
      <c r="AR1164" s="450"/>
      <c r="AS1164" s="450"/>
      <c r="AT1164" s="450"/>
      <c r="AU1164" s="450"/>
      <c r="AV1164" s="450"/>
      <c r="AW1164" s="450"/>
      <c r="AX1164" s="450"/>
      <c r="AY1164" s="450"/>
      <c r="AZ1164" s="450"/>
      <c r="BA1164" s="450"/>
      <c r="BB1164" s="450"/>
      <c r="BC1164" s="450"/>
      <c r="BD1164" s="450"/>
      <c r="BE1164" s="450"/>
      <c r="BF1164" s="450"/>
      <c r="BG1164" s="450"/>
      <c r="BH1164" s="450"/>
      <c r="BI1164" s="450"/>
      <c r="BJ1164" s="450"/>
      <c r="BK1164" s="450"/>
      <c r="BL1164" s="450"/>
      <c r="BM1164" s="450"/>
      <c r="BN1164" s="450"/>
      <c r="BO1164" s="450"/>
      <c r="BP1164" s="450"/>
      <c r="BQ1164" s="450"/>
      <c r="BR1164" s="450"/>
      <c r="BS1164" s="450"/>
      <c r="BT1164" s="450"/>
      <c r="BU1164" s="450"/>
      <c r="BV1164" s="450"/>
      <c r="BW1164" s="450"/>
      <c r="BX1164" s="450"/>
      <c r="BY1164" s="450"/>
      <c r="BZ1164" s="450"/>
      <c r="CA1164" s="450"/>
      <c r="CB1164" s="450"/>
      <c r="CC1164" s="450"/>
      <c r="CD1164" s="450"/>
      <c r="CE1164" s="450"/>
      <c r="CF1164" s="450"/>
      <c r="CG1164" s="450"/>
      <c r="CH1164" s="450"/>
      <c r="CI1164" s="450"/>
      <c r="CJ1164" s="450"/>
      <c r="CK1164" s="450"/>
      <c r="CL1164" s="450"/>
      <c r="CM1164" s="450"/>
      <c r="CN1164" s="450"/>
      <c r="CO1164" s="450"/>
      <c r="CP1164" s="450"/>
      <c r="CQ1164" s="450"/>
      <c r="CR1164" s="450"/>
      <c r="CS1164" s="450"/>
      <c r="CT1164" s="450"/>
      <c r="CU1164" s="450"/>
      <c r="CV1164" s="450"/>
      <c r="CW1164" s="450"/>
      <c r="CX1164" s="450"/>
      <c r="CY1164" s="450"/>
      <c r="CZ1164" s="450"/>
      <c r="DA1164" s="450"/>
      <c r="DB1164" s="1314"/>
      <c r="DC1164" s="450"/>
      <c r="DD1164" s="450"/>
      <c r="DE1164" s="450"/>
      <c r="DF1164" s="450"/>
      <c r="DG1164" s="450"/>
      <c r="DH1164" s="450"/>
      <c r="DI1164" s="450"/>
      <c r="DJ1164" s="450"/>
      <c r="DK1164" s="450"/>
      <c r="DL1164" s="450"/>
      <c r="DM1164" s="450"/>
      <c r="DN1164" s="1333"/>
      <c r="DO1164" s="450"/>
      <c r="DP1164" s="450"/>
      <c r="DQ1164" s="450"/>
      <c r="DR1164" s="450"/>
      <c r="DS1164" s="450"/>
      <c r="DT1164" s="450"/>
      <c r="DU1164" s="450"/>
      <c r="DV1164" s="450"/>
      <c r="DW1164" s="450"/>
      <c r="DX1164" s="450"/>
      <c r="DY1164" s="450"/>
      <c r="DZ1164" s="1333"/>
      <c r="ID1164" s="495" t="str">
        <f>+ID1163</f>
        <v>FISCAL_inyear_DOMDEBTproj</v>
      </c>
      <c r="IE1164" s="495"/>
      <c r="IF1164" s="495"/>
      <c r="IG1164" s="492" t="str">
        <f t="shared" ref="IG1164:IP1164" si="2349">+IG2</f>
        <v>2014/15</v>
      </c>
      <c r="IH1164" s="492" t="str">
        <f t="shared" si="2349"/>
        <v>2015/16</v>
      </c>
      <c r="II1164" s="492" t="str">
        <f t="shared" si="2349"/>
        <v>2015/16</v>
      </c>
      <c r="IJ1164" s="492" t="str">
        <f t="shared" si="2349"/>
        <v>2015/16</v>
      </c>
      <c r="IK1164" s="492" t="str">
        <f t="shared" si="2349"/>
        <v>2016/17</v>
      </c>
      <c r="IL1164" s="492" t="str">
        <f t="shared" si="2349"/>
        <v>2016/17</v>
      </c>
      <c r="IM1164" s="492" t="str">
        <f t="shared" si="2349"/>
        <v>2016/17</v>
      </c>
      <c r="IN1164" s="492" t="str">
        <f t="shared" si="2349"/>
        <v>2017/18</v>
      </c>
      <c r="IO1164" s="492" t="str">
        <f t="shared" si="2349"/>
        <v>2017/18</v>
      </c>
      <c r="IP1164" s="492" t="str">
        <f t="shared" si="2349"/>
        <v>2017/18</v>
      </c>
      <c r="IQ1164" s="492"/>
      <c r="IR1164" s="492"/>
      <c r="IS1164" s="492" t="str">
        <f>+IS2</f>
        <v>2018/19</v>
      </c>
      <c r="IT1164" s="492"/>
      <c r="IU1164" s="492"/>
      <c r="IV1164" s="492" t="str">
        <f>+IV2</f>
        <v>2019/20</v>
      </c>
      <c r="KU1164" s="279"/>
    </row>
    <row r="1165" spans="1:307" ht="15.6">
      <c r="A1165" s="279"/>
      <c r="B1165" s="279"/>
      <c r="C1165" s="279"/>
      <c r="D1165" s="465"/>
      <c r="E1165" s="450"/>
      <c r="F1165" s="450"/>
      <c r="G1165" s="450"/>
      <c r="H1165" s="450"/>
      <c r="I1165" s="450"/>
      <c r="J1165" s="450"/>
      <c r="K1165" s="450"/>
      <c r="L1165" s="450"/>
      <c r="M1165" s="450"/>
      <c r="N1165" s="450"/>
      <c r="O1165" s="450"/>
      <c r="P1165" s="450"/>
      <c r="Q1165" s="450"/>
      <c r="R1165" s="450"/>
      <c r="S1165" s="450"/>
      <c r="T1165" s="450"/>
      <c r="U1165" s="450"/>
      <c r="V1165" s="450"/>
      <c r="W1165" s="450"/>
      <c r="X1165" s="450"/>
      <c r="Y1165" s="450"/>
      <c r="Z1165" s="450"/>
      <c r="AA1165" s="450"/>
      <c r="AB1165" s="450"/>
      <c r="AC1165" s="450"/>
      <c r="AD1165" s="450"/>
      <c r="AE1165" s="450"/>
      <c r="AF1165" s="450"/>
      <c r="AG1165" s="450"/>
      <c r="AH1165" s="450"/>
      <c r="AI1165" s="450"/>
      <c r="AJ1165" s="450"/>
      <c r="AK1165" s="450"/>
      <c r="AL1165" s="450"/>
      <c r="AM1165" s="450"/>
      <c r="AN1165" s="450"/>
      <c r="AO1165" s="450"/>
      <c r="AP1165" s="450"/>
      <c r="AQ1165" s="450"/>
      <c r="AR1165" s="450"/>
      <c r="AS1165" s="450"/>
      <c r="AT1165" s="450"/>
      <c r="AU1165" s="450"/>
      <c r="AV1165" s="450"/>
      <c r="AW1165" s="450"/>
      <c r="AX1165" s="450"/>
      <c r="AY1165" s="450"/>
      <c r="AZ1165" s="450"/>
      <c r="BA1165" s="450"/>
      <c r="BB1165" s="450"/>
      <c r="BC1165" s="450"/>
      <c r="BD1165" s="450"/>
      <c r="BE1165" s="450"/>
      <c r="BF1165" s="450"/>
      <c r="BG1165" s="450"/>
      <c r="BH1165" s="450"/>
      <c r="BI1165" s="450"/>
      <c r="BJ1165" s="450"/>
      <c r="BK1165" s="450"/>
      <c r="BL1165" s="450"/>
      <c r="BM1165" s="450"/>
      <c r="BN1165" s="450"/>
      <c r="BO1165" s="450"/>
      <c r="BP1165" s="450"/>
      <c r="BQ1165" s="450"/>
      <c r="BR1165" s="450"/>
      <c r="BS1165" s="450"/>
      <c r="BT1165" s="450"/>
      <c r="BU1165" s="450"/>
      <c r="BV1165" s="450"/>
      <c r="BW1165" s="450"/>
      <c r="BX1165" s="450"/>
      <c r="BY1165" s="450"/>
      <c r="BZ1165" s="450"/>
      <c r="CA1165" s="450"/>
      <c r="CB1165" s="450"/>
      <c r="CC1165" s="450"/>
      <c r="CD1165" s="450"/>
      <c r="CE1165" s="450"/>
      <c r="CF1165" s="450"/>
      <c r="CG1165" s="450"/>
      <c r="CH1165" s="450"/>
      <c r="CI1165" s="450"/>
      <c r="CJ1165" s="450"/>
      <c r="CK1165" s="450"/>
      <c r="CL1165" s="450"/>
      <c r="CM1165" s="450"/>
      <c r="CN1165" s="450"/>
      <c r="CO1165" s="450"/>
      <c r="CP1165" s="450"/>
      <c r="CQ1165" s="450"/>
      <c r="CR1165" s="450"/>
      <c r="CS1165" s="450"/>
      <c r="CT1165" s="450"/>
      <c r="CU1165" s="450"/>
      <c r="CV1165" s="450"/>
      <c r="CW1165" s="450"/>
      <c r="CX1165" s="450"/>
      <c r="CY1165" s="450"/>
      <c r="CZ1165" s="450"/>
      <c r="DA1165" s="450"/>
      <c r="DB1165" s="1314"/>
      <c r="DC1165" s="450"/>
      <c r="DD1165" s="450"/>
      <c r="DE1165" s="450"/>
      <c r="DF1165" s="450"/>
      <c r="DG1165" s="450"/>
      <c r="DH1165" s="450"/>
      <c r="DI1165" s="450"/>
      <c r="DJ1165" s="450"/>
      <c r="DK1165" s="450"/>
      <c r="DL1165" s="450"/>
      <c r="DM1165" s="450"/>
      <c r="DN1165" s="1333"/>
      <c r="DO1165" s="450"/>
      <c r="DP1165" s="450"/>
      <c r="DQ1165" s="450"/>
      <c r="DR1165" s="450"/>
      <c r="DS1165" s="450"/>
      <c r="DT1165" s="450"/>
      <c r="DU1165" s="450"/>
      <c r="DV1165" s="450"/>
      <c r="DW1165" s="450"/>
      <c r="DX1165" s="450"/>
      <c r="DY1165" s="450"/>
      <c r="DZ1165" s="1333"/>
      <c r="ID1165" s="495"/>
      <c r="IE1165" s="495"/>
      <c r="IF1165" s="495"/>
      <c r="IG1165" s="493" t="str">
        <f t="shared" ref="IG1165:IS1165" si="2350">+IG548</f>
        <v>Ʃ months</v>
      </c>
      <c r="IH1165" s="493" t="str">
        <f t="shared" si="2350"/>
        <v>July-Dec</v>
      </c>
      <c r="II1165" s="493" t="str">
        <f t="shared" si="2350"/>
        <v>Jan-June</v>
      </c>
      <c r="IJ1165" s="493" t="str">
        <f t="shared" si="2350"/>
        <v>Ʃ months</v>
      </c>
      <c r="IK1165" s="493" t="str">
        <f t="shared" si="2350"/>
        <v>Jul-Dec</v>
      </c>
      <c r="IL1165" s="493" t="str">
        <f t="shared" si="2350"/>
        <v>Jan-Jun</v>
      </c>
      <c r="IM1165" s="493" t="str">
        <f t="shared" si="2350"/>
        <v>Proj.</v>
      </c>
      <c r="IN1165" s="493" t="str">
        <f t="shared" si="2350"/>
        <v>Jul-Dec</v>
      </c>
      <c r="IO1165" s="493" t="str">
        <f t="shared" si="2350"/>
        <v>Jan-Jun</v>
      </c>
      <c r="IP1165" s="493" t="str">
        <f t="shared" si="2350"/>
        <v>Proj.</v>
      </c>
      <c r="IQ1165" s="493" t="str">
        <f t="shared" si="2350"/>
        <v>Jul-Dec</v>
      </c>
      <c r="IR1165" s="493" t="str">
        <f t="shared" si="2350"/>
        <v>Jan-Jun</v>
      </c>
      <c r="IS1165" s="493" t="str">
        <f t="shared" si="2350"/>
        <v>Proj.</v>
      </c>
      <c r="IT1165" s="493"/>
      <c r="IU1165" s="493"/>
      <c r="IV1165" s="493" t="str">
        <f>+IV548</f>
        <v>Proj.</v>
      </c>
      <c r="KU1165" s="279"/>
    </row>
    <row r="1166" spans="1:307" ht="15.6">
      <c r="A1166" s="279"/>
      <c r="B1166" s="279"/>
      <c r="C1166" s="279"/>
      <c r="D1166" s="472" t="s">
        <v>630</v>
      </c>
      <c r="E1166" s="450"/>
      <c r="F1166" s="450"/>
      <c r="G1166" s="450"/>
      <c r="H1166" s="450"/>
      <c r="I1166" s="450"/>
      <c r="J1166" s="450"/>
      <c r="K1166" s="450"/>
      <c r="L1166" s="450"/>
      <c r="M1166" s="450"/>
      <c r="N1166" s="450"/>
      <c r="O1166" s="450"/>
      <c r="P1166" s="450"/>
      <c r="Q1166" s="450"/>
      <c r="R1166" s="450"/>
      <c r="S1166" s="450"/>
      <c r="T1166" s="450"/>
      <c r="U1166" s="450"/>
      <c r="V1166" s="450"/>
      <c r="W1166" s="450"/>
      <c r="X1166" s="450"/>
      <c r="Y1166" s="450"/>
      <c r="Z1166" s="450"/>
      <c r="AA1166" s="450"/>
      <c r="AB1166" s="450"/>
      <c r="AC1166" s="450"/>
      <c r="AD1166" s="450"/>
      <c r="AE1166" s="450"/>
      <c r="AF1166" s="450"/>
      <c r="AG1166" s="450"/>
      <c r="AH1166" s="450"/>
      <c r="AI1166" s="450"/>
      <c r="AJ1166" s="450"/>
      <c r="AK1166" s="450"/>
      <c r="AL1166" s="450"/>
      <c r="AM1166" s="450"/>
      <c r="AN1166" s="450"/>
      <c r="AO1166" s="450"/>
      <c r="AP1166" s="450"/>
      <c r="AQ1166" s="450"/>
      <c r="AR1166" s="450"/>
      <c r="AS1166" s="450"/>
      <c r="AT1166" s="450"/>
      <c r="AU1166" s="450"/>
      <c r="AV1166" s="450"/>
      <c r="AW1166" s="450"/>
      <c r="AX1166" s="450"/>
      <c r="AY1166" s="450"/>
      <c r="AZ1166" s="450"/>
      <c r="BA1166" s="450"/>
      <c r="BB1166" s="450"/>
      <c r="BC1166" s="450"/>
      <c r="BD1166" s="450"/>
      <c r="BE1166" s="450"/>
      <c r="BF1166" s="450"/>
      <c r="BG1166" s="450"/>
      <c r="BH1166" s="450"/>
      <c r="BI1166" s="450"/>
      <c r="BJ1166" s="450"/>
      <c r="BK1166" s="450"/>
      <c r="BL1166" s="450"/>
      <c r="BM1166" s="450"/>
      <c r="BN1166" s="450"/>
      <c r="BO1166" s="450"/>
      <c r="BP1166" s="450"/>
      <c r="BQ1166" s="450"/>
      <c r="BR1166" s="450"/>
      <c r="BS1166" s="450"/>
      <c r="BT1166" s="450"/>
      <c r="BU1166" s="450"/>
      <c r="BV1166" s="450"/>
      <c r="BW1166" s="450"/>
      <c r="BX1166" s="450"/>
      <c r="BY1166" s="450"/>
      <c r="BZ1166" s="450"/>
      <c r="CA1166" s="450"/>
      <c r="CB1166" s="450"/>
      <c r="CC1166" s="450"/>
      <c r="CD1166" s="450"/>
      <c r="CE1166" s="450"/>
      <c r="CF1166" s="450"/>
      <c r="CG1166" s="450"/>
      <c r="CH1166" s="450"/>
      <c r="CI1166" s="450"/>
      <c r="CJ1166" s="473">
        <f t="shared" ref="CJ1166:DZ1166" si="2351">+CJ1</f>
        <v>41609</v>
      </c>
      <c r="CK1166" s="473">
        <f t="shared" si="2351"/>
        <v>41640</v>
      </c>
      <c r="CL1166" s="473">
        <f t="shared" si="2351"/>
        <v>41671</v>
      </c>
      <c r="CM1166" s="473">
        <f t="shared" si="2351"/>
        <v>41699</v>
      </c>
      <c r="CN1166" s="473">
        <f t="shared" si="2351"/>
        <v>41730</v>
      </c>
      <c r="CO1166" s="473">
        <f t="shared" si="2351"/>
        <v>41760</v>
      </c>
      <c r="CP1166" s="473">
        <f t="shared" si="2351"/>
        <v>41791</v>
      </c>
      <c r="CQ1166" s="473">
        <f t="shared" si="2351"/>
        <v>41821</v>
      </c>
      <c r="CR1166" s="473">
        <f t="shared" si="2351"/>
        <v>41852</v>
      </c>
      <c r="CS1166" s="473">
        <f t="shared" si="2351"/>
        <v>41883</v>
      </c>
      <c r="CT1166" s="473">
        <f t="shared" si="2351"/>
        <v>41913</v>
      </c>
      <c r="CU1166" s="473">
        <f t="shared" si="2351"/>
        <v>41944</v>
      </c>
      <c r="CV1166" s="473">
        <f t="shared" si="2351"/>
        <v>41974</v>
      </c>
      <c r="CW1166" s="473">
        <f t="shared" si="2351"/>
        <v>42005</v>
      </c>
      <c r="CX1166" s="473">
        <f t="shared" si="2351"/>
        <v>42036</v>
      </c>
      <c r="CY1166" s="473">
        <f t="shared" si="2351"/>
        <v>42064</v>
      </c>
      <c r="CZ1166" s="473">
        <f t="shared" si="2351"/>
        <v>42095</v>
      </c>
      <c r="DA1166" s="473">
        <f t="shared" si="2351"/>
        <v>42125</v>
      </c>
      <c r="DB1166" s="1315">
        <f t="shared" si="2351"/>
        <v>42156</v>
      </c>
      <c r="DC1166" s="612">
        <f t="shared" si="2351"/>
        <v>42186</v>
      </c>
      <c r="DD1166" s="612">
        <f t="shared" si="2351"/>
        <v>42217</v>
      </c>
      <c r="DE1166" s="612">
        <f t="shared" si="2351"/>
        <v>42248</v>
      </c>
      <c r="DF1166" s="612">
        <f t="shared" si="2351"/>
        <v>42278</v>
      </c>
      <c r="DG1166" s="612">
        <f t="shared" si="2351"/>
        <v>42309</v>
      </c>
      <c r="DH1166" s="612">
        <f t="shared" si="2351"/>
        <v>42339</v>
      </c>
      <c r="DI1166" s="612">
        <f t="shared" si="2351"/>
        <v>42370</v>
      </c>
      <c r="DJ1166" s="612">
        <f t="shared" si="2351"/>
        <v>42401</v>
      </c>
      <c r="DK1166" s="612">
        <f t="shared" si="2351"/>
        <v>42430</v>
      </c>
      <c r="DL1166" s="612">
        <f t="shared" si="2351"/>
        <v>42461</v>
      </c>
      <c r="DM1166" s="612">
        <f t="shared" si="2351"/>
        <v>42491</v>
      </c>
      <c r="DN1166" s="1334">
        <f t="shared" si="2351"/>
        <v>42522</v>
      </c>
      <c r="DO1166" s="612">
        <f t="shared" si="2351"/>
        <v>42552</v>
      </c>
      <c r="DP1166" s="612">
        <f t="shared" si="2351"/>
        <v>42583</v>
      </c>
      <c r="DQ1166" s="612">
        <f t="shared" si="2351"/>
        <v>42615</v>
      </c>
      <c r="DR1166" s="612">
        <f t="shared" si="2351"/>
        <v>42646</v>
      </c>
      <c r="DS1166" s="612">
        <f t="shared" si="2351"/>
        <v>42678</v>
      </c>
      <c r="DT1166" s="612">
        <f t="shared" si="2351"/>
        <v>42709</v>
      </c>
      <c r="DU1166" s="612">
        <f t="shared" si="2351"/>
        <v>42736</v>
      </c>
      <c r="DV1166" s="612">
        <f t="shared" si="2351"/>
        <v>42767</v>
      </c>
      <c r="DW1166" s="612">
        <f t="shared" si="2351"/>
        <v>42795</v>
      </c>
      <c r="DX1166" s="612">
        <f t="shared" si="2351"/>
        <v>42826</v>
      </c>
      <c r="DY1166" s="612">
        <f t="shared" si="2351"/>
        <v>42856</v>
      </c>
      <c r="DZ1166" s="1334">
        <f t="shared" si="2351"/>
        <v>42887</v>
      </c>
      <c r="ID1166" s="495"/>
      <c r="IE1166" s="495"/>
      <c r="IF1166" s="495"/>
      <c r="IG1166" s="465"/>
      <c r="IH1166" s="465"/>
      <c r="II1166" s="465"/>
      <c r="IJ1166" s="323"/>
      <c r="IK1166" s="465"/>
      <c r="IL1166" s="465"/>
      <c r="IM1166" s="323"/>
      <c r="IN1166" s="465"/>
      <c r="IO1166" s="465"/>
      <c r="IP1166" s="323"/>
      <c r="IQ1166" s="323"/>
      <c r="IR1166" s="323"/>
      <c r="IS1166" s="323"/>
      <c r="IT1166" s="323"/>
      <c r="IU1166" s="323"/>
      <c r="IV1166" s="323"/>
      <c r="KU1166" s="279"/>
    </row>
    <row r="1167" spans="1:307" ht="15.6">
      <c r="A1167" s="279"/>
      <c r="B1167" s="279"/>
      <c r="C1167" s="279"/>
      <c r="D1167" s="472"/>
      <c r="E1167" s="450"/>
      <c r="F1167" s="450"/>
      <c r="G1167" s="450"/>
      <c r="H1167" s="450"/>
      <c r="I1167" s="450"/>
      <c r="J1167" s="450"/>
      <c r="K1167" s="450"/>
      <c r="L1167" s="450"/>
      <c r="M1167" s="450"/>
      <c r="N1167" s="450"/>
      <c r="O1167" s="450"/>
      <c r="P1167" s="450"/>
      <c r="Q1167" s="450"/>
      <c r="R1167" s="450"/>
      <c r="S1167" s="450"/>
      <c r="T1167" s="450"/>
      <c r="U1167" s="450"/>
      <c r="V1167" s="450"/>
      <c r="W1167" s="450"/>
      <c r="X1167" s="450"/>
      <c r="Y1167" s="450"/>
      <c r="Z1167" s="450"/>
      <c r="AA1167" s="450"/>
      <c r="AB1167" s="450"/>
      <c r="AC1167" s="450"/>
      <c r="AD1167" s="450"/>
      <c r="AE1167" s="450"/>
      <c r="AF1167" s="450"/>
      <c r="AG1167" s="450"/>
      <c r="AH1167" s="450"/>
      <c r="AI1167" s="450"/>
      <c r="AJ1167" s="450"/>
      <c r="AK1167" s="450"/>
      <c r="AL1167" s="450"/>
      <c r="AM1167" s="450"/>
      <c r="AN1167" s="450"/>
      <c r="AO1167" s="450"/>
      <c r="AP1167" s="450"/>
      <c r="AQ1167" s="450"/>
      <c r="AR1167" s="450"/>
      <c r="AS1167" s="450"/>
      <c r="AT1167" s="450"/>
      <c r="AU1167" s="450"/>
      <c r="AV1167" s="450"/>
      <c r="AW1167" s="450"/>
      <c r="AX1167" s="450"/>
      <c r="AY1167" s="450"/>
      <c r="AZ1167" s="450"/>
      <c r="BA1167" s="450"/>
      <c r="BB1167" s="450"/>
      <c r="BC1167" s="450"/>
      <c r="BD1167" s="450"/>
      <c r="BE1167" s="450"/>
      <c r="BF1167" s="450"/>
      <c r="BG1167" s="450"/>
      <c r="BH1167" s="450"/>
      <c r="BI1167" s="450"/>
      <c r="BJ1167" s="450"/>
      <c r="BK1167" s="450"/>
      <c r="BL1167" s="450"/>
      <c r="BM1167" s="450"/>
      <c r="BN1167" s="450"/>
      <c r="BO1167" s="450"/>
      <c r="BP1167" s="450"/>
      <c r="BQ1167" s="450"/>
      <c r="BR1167" s="450"/>
      <c r="BS1167" s="450"/>
      <c r="BT1167" s="450"/>
      <c r="BU1167" s="450"/>
      <c r="BV1167" s="450"/>
      <c r="BW1167" s="450"/>
      <c r="BX1167" s="450"/>
      <c r="BY1167" s="450"/>
      <c r="BZ1167" s="450"/>
      <c r="CA1167" s="450"/>
      <c r="CB1167" s="450"/>
      <c r="CC1167" s="450"/>
      <c r="CD1167" s="450"/>
      <c r="CE1167" s="450"/>
      <c r="CF1167" s="450"/>
      <c r="CG1167" s="450"/>
      <c r="CH1167" s="450"/>
      <c r="CI1167" s="450"/>
      <c r="CJ1167" s="473"/>
      <c r="CK1167" s="450"/>
      <c r="CL1167" s="450"/>
      <c r="CM1167" s="450"/>
      <c r="CN1167" s="450"/>
      <c r="CO1167" s="450"/>
      <c r="CP1167" s="473"/>
      <c r="CQ1167" s="473"/>
      <c r="CR1167" s="473"/>
      <c r="CS1167" s="473"/>
      <c r="CT1167" s="473"/>
      <c r="CU1167" s="473"/>
      <c r="CV1167" s="473"/>
      <c r="CW1167" s="473"/>
      <c r="CX1167" s="473"/>
      <c r="CY1167" s="473"/>
      <c r="CZ1167" s="473"/>
      <c r="DA1167" s="473"/>
      <c r="DB1167" s="1316"/>
      <c r="DC1167" s="473"/>
      <c r="DD1167" s="473"/>
      <c r="DE1167" s="473"/>
      <c r="DF1167" s="473"/>
      <c r="DG1167" s="473"/>
      <c r="DH1167" s="473"/>
      <c r="DI1167" s="478"/>
      <c r="DJ1167" s="478"/>
      <c r="DK1167" s="478"/>
      <c r="DL1167" s="478"/>
      <c r="DM1167" s="478"/>
      <c r="DN1167" s="1335"/>
      <c r="DO1167" s="478"/>
      <c r="DP1167" s="478"/>
      <c r="DQ1167" s="478"/>
      <c r="DR1167" s="478"/>
      <c r="DS1167" s="478"/>
      <c r="DT1167" s="478"/>
      <c r="DU1167" s="478"/>
      <c r="DV1167" s="478"/>
      <c r="DW1167" s="478"/>
      <c r="DX1167" s="478"/>
      <c r="DY1167" s="478"/>
      <c r="DZ1167" s="1335"/>
      <c r="ID1167" s="495"/>
      <c r="IE1167" s="495"/>
      <c r="IF1167" s="495"/>
      <c r="IG1167" s="465"/>
      <c r="IH1167" s="465"/>
      <c r="II1167" s="465"/>
      <c r="IJ1167" s="323"/>
      <c r="IK1167" s="465"/>
      <c r="IL1167" s="465"/>
      <c r="IM1167" s="323"/>
      <c r="IN1167" s="465"/>
      <c r="IO1167" s="465"/>
      <c r="IP1167" s="323"/>
      <c r="IQ1167" s="323"/>
      <c r="IR1167" s="323"/>
      <c r="IS1167" s="323"/>
      <c r="IT1167" s="323"/>
      <c r="IU1167" s="323"/>
      <c r="IV1167" s="323"/>
      <c r="KU1167" s="279"/>
    </row>
    <row r="1168" spans="1:307" ht="15.6">
      <c r="A1168" s="279"/>
      <c r="B1168" s="279"/>
      <c r="C1168" s="279"/>
      <c r="D1168" s="474" t="s">
        <v>643</v>
      </c>
      <c r="E1168" s="450"/>
      <c r="F1168" s="450"/>
      <c r="G1168" s="450"/>
      <c r="H1168" s="450"/>
      <c r="I1168" s="450"/>
      <c r="J1168" s="450"/>
      <c r="K1168" s="450"/>
      <c r="L1168" s="450"/>
      <c r="M1168" s="450"/>
      <c r="N1168" s="450"/>
      <c r="O1168" s="450"/>
      <c r="P1168" s="450"/>
      <c r="Q1168" s="450"/>
      <c r="R1168" s="450"/>
      <c r="S1168" s="450"/>
      <c r="T1168" s="450"/>
      <c r="U1168" s="450"/>
      <c r="V1168" s="450"/>
      <c r="W1168" s="450"/>
      <c r="X1168" s="450"/>
      <c r="Y1168" s="450"/>
      <c r="Z1168" s="450"/>
      <c r="AA1168" s="450"/>
      <c r="AB1168" s="450"/>
      <c r="AC1168" s="450"/>
      <c r="AD1168" s="450"/>
      <c r="AE1168" s="450"/>
      <c r="AF1168" s="450"/>
      <c r="AG1168" s="450"/>
      <c r="AH1168" s="450"/>
      <c r="AI1168" s="450"/>
      <c r="AJ1168" s="450"/>
      <c r="AK1168" s="450"/>
      <c r="AL1168" s="450"/>
      <c r="AM1168" s="450"/>
      <c r="AN1168" s="450"/>
      <c r="AO1168" s="450"/>
      <c r="AP1168" s="450"/>
      <c r="AQ1168" s="450"/>
      <c r="AR1168" s="450"/>
      <c r="AS1168" s="450"/>
      <c r="AT1168" s="450"/>
      <c r="AU1168" s="450"/>
      <c r="AV1168" s="450"/>
      <c r="AW1168" s="450"/>
      <c r="AX1168" s="450"/>
      <c r="AY1168" s="450"/>
      <c r="AZ1168" s="450"/>
      <c r="BA1168" s="450"/>
      <c r="BB1168" s="450"/>
      <c r="BC1168" s="450"/>
      <c r="BD1168" s="450"/>
      <c r="BE1168" s="450"/>
      <c r="BF1168" s="450"/>
      <c r="BG1168" s="450"/>
      <c r="BH1168" s="450"/>
      <c r="BI1168" s="450"/>
      <c r="BJ1168" s="450"/>
      <c r="BK1168" s="450"/>
      <c r="BL1168" s="450"/>
      <c r="BM1168" s="450"/>
      <c r="BN1168" s="450"/>
      <c r="BO1168" s="450"/>
      <c r="BP1168" s="450"/>
      <c r="BQ1168" s="450"/>
      <c r="BR1168" s="450"/>
      <c r="BS1168" s="450"/>
      <c r="BT1168" s="450"/>
      <c r="BU1168" s="450"/>
      <c r="BV1168" s="450"/>
      <c r="BW1168" s="450"/>
      <c r="BX1168" s="450"/>
      <c r="BY1168" s="450"/>
      <c r="BZ1168" s="450"/>
      <c r="CA1168" s="450"/>
      <c r="CB1168" s="450"/>
      <c r="CC1168" s="450"/>
      <c r="CD1168" s="450"/>
      <c r="CE1168" s="450"/>
      <c r="CF1168" s="450"/>
      <c r="CG1168" s="450"/>
      <c r="CH1168" s="450"/>
      <c r="CI1168" s="450"/>
      <c r="CJ1168" s="478">
        <f>+CJ1169+CJ1170</f>
        <v>80.672805901000004</v>
      </c>
      <c r="CK1168" s="450"/>
      <c r="CL1168" s="450"/>
      <c r="CM1168" s="450"/>
      <c r="CN1168" s="450"/>
      <c r="CO1168" s="450"/>
      <c r="CP1168" s="478">
        <f t="shared" ref="CP1168:DB1168" si="2352">+CP1169+CP1170</f>
        <v>101.273805901</v>
      </c>
      <c r="CQ1168" s="478">
        <f t="shared" si="2352"/>
        <v>101.04880590100001</v>
      </c>
      <c r="CR1168" s="478">
        <f t="shared" si="2352"/>
        <v>91.187805901000004</v>
      </c>
      <c r="CS1168" s="478">
        <f t="shared" si="2352"/>
        <v>117.147805901</v>
      </c>
      <c r="CT1168" s="478">
        <f t="shared" si="2352"/>
        <v>117.23580590099999</v>
      </c>
      <c r="CU1168" s="478">
        <f t="shared" si="2352"/>
        <v>102.46180590100001</v>
      </c>
      <c r="CV1168" s="478">
        <f t="shared" si="2352"/>
        <v>87.002805901000002</v>
      </c>
      <c r="CW1168" s="478">
        <f t="shared" si="2352"/>
        <v>117.368805901</v>
      </c>
      <c r="CX1168" s="478">
        <f t="shared" si="2352"/>
        <v>86.856805901000001</v>
      </c>
      <c r="CY1168" s="478">
        <f t="shared" si="2352"/>
        <v>110.678805901</v>
      </c>
      <c r="CZ1168" s="478">
        <f t="shared" si="2352"/>
        <v>107.665805901</v>
      </c>
      <c r="DA1168" s="478">
        <f t="shared" si="2352"/>
        <v>95.342805901000006</v>
      </c>
      <c r="DB1168" s="1317">
        <f t="shared" si="2352"/>
        <v>112.50780590100001</v>
      </c>
      <c r="DC1168" s="478">
        <f t="shared" ref="DC1168:DK1168" si="2353">+DC1169+DC1170</f>
        <v>108.02780590099999</v>
      </c>
      <c r="DD1168" s="478">
        <f t="shared" si="2353"/>
        <v>119.35980590100002</v>
      </c>
      <c r="DE1168" s="478">
        <f t="shared" si="2353"/>
        <v>127.37080590100001</v>
      </c>
      <c r="DF1168" s="478">
        <f t="shared" si="2353"/>
        <v>120.60780590100001</v>
      </c>
      <c r="DG1168" s="478">
        <f t="shared" si="2353"/>
        <v>108.85980590100002</v>
      </c>
      <c r="DH1168" s="478">
        <f t="shared" si="2353"/>
        <v>103.80080590099999</v>
      </c>
      <c r="DI1168" s="478">
        <f t="shared" si="2353"/>
        <v>125.85380590100002</v>
      </c>
      <c r="DJ1168" s="478">
        <f t="shared" si="2353"/>
        <v>104.224805901</v>
      </c>
      <c r="DK1168" s="478">
        <f t="shared" si="2353"/>
        <v>120.60780590100001</v>
      </c>
      <c r="DL1168" s="478">
        <f t="shared" ref="DL1168:DT1168" si="2354">+DL1169+DL1170</f>
        <v>117.427805901</v>
      </c>
      <c r="DM1168" s="478">
        <f t="shared" si="2354"/>
        <v>123.968805901</v>
      </c>
      <c r="DN1168" s="1335">
        <f t="shared" si="2354"/>
        <v>113.08680590099999</v>
      </c>
      <c r="DO1168" s="478">
        <f t="shared" si="2354"/>
        <v>132.47180590100001</v>
      </c>
      <c r="DP1168" s="478">
        <f t="shared" si="2354"/>
        <v>137.79980590100001</v>
      </c>
      <c r="DQ1168" s="478">
        <f t="shared" si="2354"/>
        <v>114.67080590099999</v>
      </c>
      <c r="DR1168" s="478">
        <f t="shared" si="2354"/>
        <v>124.987805901</v>
      </c>
      <c r="DS1168" s="478">
        <f t="shared" si="2354"/>
        <v>137.12180590100002</v>
      </c>
      <c r="DT1168" s="478">
        <f t="shared" si="2354"/>
        <v>109.106805901</v>
      </c>
      <c r="DU1168" s="478"/>
      <c r="DV1168" s="478"/>
      <c r="DW1168" s="478"/>
      <c r="DX1168" s="478"/>
      <c r="DY1168" s="478"/>
      <c r="DZ1168" s="1335"/>
      <c r="ID1168" s="494" t="str">
        <f>+D1168</f>
        <v>Central Bank NBR</v>
      </c>
      <c r="IE1168" s="495"/>
      <c r="IF1168" s="495"/>
      <c r="IG1168" s="494">
        <f>+DB1168</f>
        <v>112.50780590100001</v>
      </c>
      <c r="IH1168" s="494"/>
      <c r="II1168" s="495"/>
      <c r="IJ1168" s="490">
        <f>+DN1168</f>
        <v>113.08680590099999</v>
      </c>
      <c r="IK1168" s="495"/>
      <c r="IL1168" s="495"/>
      <c r="IM1168" s="323"/>
      <c r="IN1168" s="495"/>
      <c r="IO1168" s="495"/>
      <c r="IP1168" s="323"/>
      <c r="IQ1168" s="323"/>
      <c r="IR1168" s="323"/>
      <c r="IS1168" s="323"/>
      <c r="IT1168" s="323"/>
      <c r="IU1168" s="323"/>
      <c r="IV1168" s="323"/>
      <c r="KU1168" s="279"/>
    </row>
    <row r="1169" spans="1:307" ht="15.6">
      <c r="A1169" s="279"/>
      <c r="B1169" s="279"/>
      <c r="C1169" s="279"/>
      <c r="D1169" s="449" t="s">
        <v>644</v>
      </c>
      <c r="E1169" s="450"/>
      <c r="F1169" s="450"/>
      <c r="G1169" s="450"/>
      <c r="H1169" s="450"/>
      <c r="I1169" s="450"/>
      <c r="J1169" s="450"/>
      <c r="K1169" s="450"/>
      <c r="L1169" s="450"/>
      <c r="M1169" s="450"/>
      <c r="N1169" s="450"/>
      <c r="O1169" s="450"/>
      <c r="P1169" s="450"/>
      <c r="Q1169" s="450"/>
      <c r="R1169" s="450"/>
      <c r="S1169" s="450"/>
      <c r="T1169" s="450"/>
      <c r="U1169" s="450"/>
      <c r="V1169" s="450"/>
      <c r="W1169" s="450"/>
      <c r="X1169" s="450"/>
      <c r="Y1169" s="450"/>
      <c r="Z1169" s="450"/>
      <c r="AA1169" s="450"/>
      <c r="AB1169" s="450"/>
      <c r="AC1169" s="450"/>
      <c r="AD1169" s="450"/>
      <c r="AE1169" s="450"/>
      <c r="AF1169" s="450"/>
      <c r="AG1169" s="450"/>
      <c r="AH1169" s="450"/>
      <c r="AI1169" s="450"/>
      <c r="AJ1169" s="450"/>
      <c r="AK1169" s="450"/>
      <c r="AL1169" s="450"/>
      <c r="AM1169" s="450"/>
      <c r="AN1169" s="450"/>
      <c r="AO1169" s="450"/>
      <c r="AP1169" s="450"/>
      <c r="AQ1169" s="450"/>
      <c r="AR1169" s="450"/>
      <c r="AS1169" s="450"/>
      <c r="AT1169" s="450"/>
      <c r="AU1169" s="450"/>
      <c r="AV1169" s="450"/>
      <c r="AW1169" s="450"/>
      <c r="AX1169" s="450"/>
      <c r="AY1169" s="450"/>
      <c r="AZ1169" s="450"/>
      <c r="BA1169" s="450"/>
      <c r="BB1169" s="450"/>
      <c r="BC1169" s="450"/>
      <c r="BD1169" s="450"/>
      <c r="BE1169" s="450"/>
      <c r="BF1169" s="450"/>
      <c r="BG1169" s="450"/>
      <c r="BH1169" s="450"/>
      <c r="BI1169" s="450"/>
      <c r="BJ1169" s="450"/>
      <c r="BK1169" s="450"/>
      <c r="BL1169" s="450"/>
      <c r="BM1169" s="450"/>
      <c r="BN1169" s="450"/>
      <c r="BO1169" s="450"/>
      <c r="BP1169" s="450"/>
      <c r="BQ1169" s="450"/>
      <c r="BR1169" s="450"/>
      <c r="BS1169" s="450"/>
      <c r="BT1169" s="450"/>
      <c r="BU1169" s="450"/>
      <c r="BV1169" s="450"/>
      <c r="BW1169" s="450"/>
      <c r="BX1169" s="450"/>
      <c r="BY1169" s="450"/>
      <c r="BZ1169" s="450"/>
      <c r="CA1169" s="450"/>
      <c r="CB1169" s="450"/>
      <c r="CC1169" s="450"/>
      <c r="CD1169" s="450"/>
      <c r="CE1169" s="450"/>
      <c r="CF1169" s="450"/>
      <c r="CG1169" s="450"/>
      <c r="CH1169" s="450"/>
      <c r="CI1169" s="450"/>
      <c r="CJ1169" s="450">
        <f>+CJ83</f>
        <v>38.572805901000002</v>
      </c>
      <c r="CK1169" s="450"/>
      <c r="CL1169" s="450"/>
      <c r="CM1169" s="450"/>
      <c r="CN1169" s="450"/>
      <c r="CO1169" s="450"/>
      <c r="CP1169" s="450">
        <f t="shared" ref="CP1169:DT1169" si="2355">+CP83</f>
        <v>38.572805901000002</v>
      </c>
      <c r="CQ1169" s="450">
        <f t="shared" si="2355"/>
        <v>38.572805901000002</v>
      </c>
      <c r="CR1169" s="450">
        <f t="shared" si="2355"/>
        <v>38.572805901000002</v>
      </c>
      <c r="CS1169" s="450">
        <f t="shared" si="2355"/>
        <v>38.572805901000002</v>
      </c>
      <c r="CT1169" s="450">
        <f t="shared" si="2355"/>
        <v>38.572805901000002</v>
      </c>
      <c r="CU1169" s="450">
        <f t="shared" si="2355"/>
        <v>38.572805901000002</v>
      </c>
      <c r="CV1169" s="450">
        <f t="shared" si="2355"/>
        <v>38.572805901000002</v>
      </c>
      <c r="CW1169" s="450">
        <f t="shared" si="2355"/>
        <v>38.572805901000002</v>
      </c>
      <c r="CX1169" s="450">
        <f t="shared" si="2355"/>
        <v>38.572805901000002</v>
      </c>
      <c r="CY1169" s="450">
        <f t="shared" si="2355"/>
        <v>38.572805901000002</v>
      </c>
      <c r="CZ1169" s="450">
        <f t="shared" si="2355"/>
        <v>38.572805901000002</v>
      </c>
      <c r="DA1169" s="450">
        <f t="shared" si="2355"/>
        <v>38.572805901000002</v>
      </c>
      <c r="DB1169" s="1314">
        <f t="shared" si="2355"/>
        <v>38.572805901000002</v>
      </c>
      <c r="DC1169" s="450">
        <f t="shared" si="2355"/>
        <v>38.572805901000002</v>
      </c>
      <c r="DD1169" s="450">
        <f t="shared" si="2355"/>
        <v>38.572805901000002</v>
      </c>
      <c r="DE1169" s="450">
        <f t="shared" si="2355"/>
        <v>38.572805901000002</v>
      </c>
      <c r="DF1169" s="450">
        <f t="shared" si="2355"/>
        <v>38.572805901000002</v>
      </c>
      <c r="DG1169" s="450">
        <f t="shared" si="2355"/>
        <v>38.572805901000002</v>
      </c>
      <c r="DH1169" s="450">
        <f t="shared" si="2355"/>
        <v>38.572805901000002</v>
      </c>
      <c r="DI1169" s="450">
        <f t="shared" si="2355"/>
        <v>38.572805901000002</v>
      </c>
      <c r="DJ1169" s="450">
        <f t="shared" si="2355"/>
        <v>38.572805901000002</v>
      </c>
      <c r="DK1169" s="450">
        <f t="shared" si="2355"/>
        <v>38.572805901000002</v>
      </c>
      <c r="DL1169" s="450">
        <f t="shared" si="2355"/>
        <v>38.572805901000002</v>
      </c>
      <c r="DM1169" s="450">
        <f t="shared" si="2355"/>
        <v>38.572805901000002</v>
      </c>
      <c r="DN1169" s="1333">
        <f t="shared" si="2355"/>
        <v>38.572805901000002</v>
      </c>
      <c r="DO1169" s="450">
        <f t="shared" si="2355"/>
        <v>38.572805901000002</v>
      </c>
      <c r="DP1169" s="450">
        <f t="shared" si="2355"/>
        <v>38.572805901000002</v>
      </c>
      <c r="DQ1169" s="450">
        <f t="shared" si="2355"/>
        <v>38.572805901000002</v>
      </c>
      <c r="DR1169" s="450">
        <f t="shared" si="2355"/>
        <v>38.572805901000002</v>
      </c>
      <c r="DS1169" s="450">
        <f t="shared" si="2355"/>
        <v>38.572805901000002</v>
      </c>
      <c r="DT1169" s="450">
        <f t="shared" si="2355"/>
        <v>38.572805901000002</v>
      </c>
      <c r="DU1169" s="450"/>
      <c r="DV1169" s="450"/>
      <c r="DW1169" s="450"/>
      <c r="DX1169" s="450"/>
      <c r="DY1169" s="450"/>
      <c r="DZ1169" s="1333"/>
      <c r="ID1169" s="495" t="str">
        <f>+D1169</f>
        <v xml:space="preserve">Consolidated debt </v>
      </c>
      <c r="IE1169" s="495"/>
      <c r="IF1169" s="495"/>
      <c r="IG1169" s="495">
        <f>+DB1169</f>
        <v>38.572805901000002</v>
      </c>
      <c r="IH1169" s="495"/>
      <c r="II1169" s="495"/>
      <c r="IJ1169" s="323">
        <f>+DN1169</f>
        <v>38.572805901000002</v>
      </c>
      <c r="IK1169" s="495"/>
      <c r="IL1169" s="495"/>
      <c r="IM1169" s="323"/>
      <c r="IN1169" s="495"/>
      <c r="IO1169" s="495"/>
      <c r="IP1169" s="323"/>
      <c r="IQ1169" s="323"/>
      <c r="IR1169" s="323"/>
      <c r="IS1169" s="323"/>
      <c r="IT1169" s="323"/>
      <c r="IU1169" s="323"/>
      <c r="IV1169" s="323"/>
      <c r="KU1169" s="279"/>
    </row>
    <row r="1170" spans="1:307" ht="15.6">
      <c r="A1170" s="279"/>
      <c r="B1170" s="279"/>
      <c r="C1170" s="279"/>
      <c r="D1170" s="449" t="s">
        <v>645</v>
      </c>
      <c r="E1170" s="450"/>
      <c r="F1170" s="450"/>
      <c r="G1170" s="450"/>
      <c r="H1170" s="450"/>
      <c r="I1170" s="450"/>
      <c r="J1170" s="450"/>
      <c r="K1170" s="450"/>
      <c r="L1170" s="450"/>
      <c r="M1170" s="450"/>
      <c r="N1170" s="450"/>
      <c r="O1170" s="450"/>
      <c r="P1170" s="450"/>
      <c r="Q1170" s="450"/>
      <c r="R1170" s="450"/>
      <c r="S1170" s="450"/>
      <c r="T1170" s="450"/>
      <c r="U1170" s="450"/>
      <c r="V1170" s="450"/>
      <c r="W1170" s="450"/>
      <c r="X1170" s="450"/>
      <c r="Y1170" s="450"/>
      <c r="Z1170" s="450"/>
      <c r="AA1170" s="450"/>
      <c r="AB1170" s="450"/>
      <c r="AC1170" s="450"/>
      <c r="AD1170" s="450"/>
      <c r="AE1170" s="450"/>
      <c r="AF1170" s="450"/>
      <c r="AG1170" s="450"/>
      <c r="AH1170" s="450"/>
      <c r="AI1170" s="450"/>
      <c r="AJ1170" s="450"/>
      <c r="AK1170" s="450"/>
      <c r="AL1170" s="450"/>
      <c r="AM1170" s="450"/>
      <c r="AN1170" s="450"/>
      <c r="AO1170" s="450"/>
      <c r="AP1170" s="450"/>
      <c r="AQ1170" s="450"/>
      <c r="AR1170" s="450"/>
      <c r="AS1170" s="450"/>
      <c r="AT1170" s="450"/>
      <c r="AU1170" s="450"/>
      <c r="AV1170" s="450"/>
      <c r="AW1170" s="450"/>
      <c r="AX1170" s="450"/>
      <c r="AY1170" s="450"/>
      <c r="AZ1170" s="450"/>
      <c r="BA1170" s="450"/>
      <c r="BB1170" s="450"/>
      <c r="BC1170" s="450"/>
      <c r="BD1170" s="450"/>
      <c r="BE1170" s="450"/>
      <c r="BF1170" s="450"/>
      <c r="BG1170" s="450"/>
      <c r="BH1170" s="450"/>
      <c r="BI1170" s="450"/>
      <c r="BJ1170" s="450"/>
      <c r="BK1170" s="450"/>
      <c r="BL1170" s="450"/>
      <c r="BM1170" s="450"/>
      <c r="BN1170" s="450"/>
      <c r="BO1170" s="450"/>
      <c r="BP1170" s="450"/>
      <c r="BQ1170" s="450"/>
      <c r="BR1170" s="450"/>
      <c r="BS1170" s="450"/>
      <c r="BT1170" s="450"/>
      <c r="BU1170" s="450"/>
      <c r="BV1170" s="450"/>
      <c r="BW1170" s="450"/>
      <c r="BX1170" s="450"/>
      <c r="BY1170" s="450"/>
      <c r="BZ1170" s="450"/>
      <c r="CA1170" s="450"/>
      <c r="CB1170" s="450"/>
      <c r="CC1170" s="450"/>
      <c r="CD1170" s="450"/>
      <c r="CE1170" s="450"/>
      <c r="CF1170" s="450"/>
      <c r="CG1170" s="450"/>
      <c r="CH1170" s="450"/>
      <c r="CI1170" s="450"/>
      <c r="CJ1170" s="450">
        <f>-CJ148</f>
        <v>42.1</v>
      </c>
      <c r="CK1170" s="450"/>
      <c r="CL1170" s="450"/>
      <c r="CM1170" s="450"/>
      <c r="CN1170" s="450"/>
      <c r="CO1170" s="450"/>
      <c r="CP1170" s="450">
        <f t="shared" ref="CP1170:DT1170" si="2356">-CP148</f>
        <v>62.701000000000001</v>
      </c>
      <c r="CQ1170" s="450">
        <f t="shared" si="2356"/>
        <v>62.475999999999999</v>
      </c>
      <c r="CR1170" s="450">
        <f t="shared" si="2356"/>
        <v>52.615000000000002</v>
      </c>
      <c r="CS1170" s="450">
        <f t="shared" si="2356"/>
        <v>78.575000000000003</v>
      </c>
      <c r="CT1170" s="450">
        <f t="shared" si="2356"/>
        <v>78.662999999999997</v>
      </c>
      <c r="CU1170" s="450">
        <f t="shared" si="2356"/>
        <v>63.889000000000003</v>
      </c>
      <c r="CV1170" s="450">
        <f t="shared" si="2356"/>
        <v>48.43</v>
      </c>
      <c r="CW1170" s="450">
        <f t="shared" si="2356"/>
        <v>78.796000000000006</v>
      </c>
      <c r="CX1170" s="450">
        <f t="shared" si="2356"/>
        <v>48.283999999999999</v>
      </c>
      <c r="CY1170" s="450">
        <f t="shared" si="2356"/>
        <v>72.105999999999995</v>
      </c>
      <c r="CZ1170" s="450">
        <f t="shared" si="2356"/>
        <v>69.093000000000004</v>
      </c>
      <c r="DA1170" s="450">
        <f t="shared" si="2356"/>
        <v>56.77</v>
      </c>
      <c r="DB1170" s="1314">
        <f t="shared" si="2356"/>
        <v>73.935000000000002</v>
      </c>
      <c r="DC1170" s="450">
        <f t="shared" si="2356"/>
        <v>69.454999999999998</v>
      </c>
      <c r="DD1170" s="450">
        <f t="shared" si="2356"/>
        <v>80.787000000000006</v>
      </c>
      <c r="DE1170" s="450">
        <f t="shared" si="2356"/>
        <v>88.798000000000002</v>
      </c>
      <c r="DF1170" s="450">
        <f t="shared" si="2356"/>
        <v>82.034999999999997</v>
      </c>
      <c r="DG1170" s="450">
        <f t="shared" si="2356"/>
        <v>70.287000000000006</v>
      </c>
      <c r="DH1170" s="450">
        <f t="shared" si="2356"/>
        <v>65.227999999999994</v>
      </c>
      <c r="DI1170" s="450">
        <f t="shared" si="2356"/>
        <v>87.281000000000006</v>
      </c>
      <c r="DJ1170" s="450">
        <f t="shared" si="2356"/>
        <v>65.652000000000001</v>
      </c>
      <c r="DK1170" s="450">
        <f t="shared" si="2356"/>
        <v>82.034999999999997</v>
      </c>
      <c r="DL1170" s="450">
        <f t="shared" si="2356"/>
        <v>78.855000000000004</v>
      </c>
      <c r="DM1170" s="450">
        <f t="shared" si="2356"/>
        <v>85.396000000000001</v>
      </c>
      <c r="DN1170" s="1333">
        <f t="shared" si="2356"/>
        <v>74.513999999999996</v>
      </c>
      <c r="DO1170" s="450">
        <f t="shared" si="2356"/>
        <v>93.899000000000001</v>
      </c>
      <c r="DP1170" s="450">
        <f t="shared" si="2356"/>
        <v>99.227000000000004</v>
      </c>
      <c r="DQ1170" s="450">
        <f t="shared" si="2356"/>
        <v>76.097999999999999</v>
      </c>
      <c r="DR1170" s="450">
        <f t="shared" si="2356"/>
        <v>86.415000000000006</v>
      </c>
      <c r="DS1170" s="450">
        <f t="shared" si="2356"/>
        <v>98.549000000000007</v>
      </c>
      <c r="DT1170" s="450">
        <f t="shared" si="2356"/>
        <v>70.534000000000006</v>
      </c>
      <c r="DU1170" s="450"/>
      <c r="DV1170" s="450"/>
      <c r="DW1170" s="450"/>
      <c r="DX1170" s="450"/>
      <c r="DY1170" s="450"/>
      <c r="DZ1170" s="1333"/>
      <c r="ID1170" s="495" t="str">
        <f>+D1170</f>
        <v>overdraft</v>
      </c>
      <c r="IE1170" s="495"/>
      <c r="IF1170" s="495"/>
      <c r="IG1170" s="495">
        <f>+DB1170</f>
        <v>73.935000000000002</v>
      </c>
      <c r="IH1170" s="495"/>
      <c r="II1170" s="495"/>
      <c r="IJ1170" s="323">
        <f>+DN1170</f>
        <v>74.513999999999996</v>
      </c>
      <c r="IK1170" s="495"/>
      <c r="IL1170" s="495"/>
      <c r="IM1170" s="323"/>
      <c r="IN1170" s="495"/>
      <c r="IO1170" s="495"/>
      <c r="IP1170" s="323"/>
      <c r="IQ1170" s="323"/>
      <c r="IR1170" s="323"/>
      <c r="IS1170" s="323"/>
      <c r="IT1170" s="323"/>
      <c r="IU1170" s="323"/>
      <c r="IV1170" s="323"/>
      <c r="KU1170" s="279"/>
    </row>
    <row r="1171" spans="1:307" ht="15.6">
      <c r="A1171" s="279"/>
      <c r="B1171" s="279"/>
      <c r="C1171" s="279"/>
      <c r="D1171" s="475" t="s">
        <v>652</v>
      </c>
      <c r="E1171" s="450"/>
      <c r="F1171" s="450"/>
      <c r="G1171" s="450"/>
      <c r="H1171" s="450"/>
      <c r="I1171" s="450"/>
      <c r="J1171" s="450"/>
      <c r="K1171" s="450"/>
      <c r="L1171" s="450"/>
      <c r="M1171" s="450"/>
      <c r="N1171" s="450"/>
      <c r="O1171" s="450"/>
      <c r="P1171" s="450"/>
      <c r="Q1171" s="450"/>
      <c r="R1171" s="450"/>
      <c r="S1171" s="450"/>
      <c r="T1171" s="450"/>
      <c r="U1171" s="450"/>
      <c r="V1171" s="450"/>
      <c r="W1171" s="450"/>
      <c r="X1171" s="450"/>
      <c r="Y1171" s="450"/>
      <c r="Z1171" s="450"/>
      <c r="AA1171" s="450"/>
      <c r="AB1171" s="450"/>
      <c r="AC1171" s="450"/>
      <c r="AD1171" s="450"/>
      <c r="AE1171" s="450"/>
      <c r="AF1171" s="450"/>
      <c r="AG1171" s="450"/>
      <c r="AH1171" s="450"/>
      <c r="AI1171" s="450"/>
      <c r="AJ1171" s="450"/>
      <c r="AK1171" s="450"/>
      <c r="AL1171" s="450"/>
      <c r="AM1171" s="450"/>
      <c r="AN1171" s="450"/>
      <c r="AO1171" s="450"/>
      <c r="AP1171" s="450"/>
      <c r="AQ1171" s="450"/>
      <c r="AR1171" s="450"/>
      <c r="AS1171" s="450"/>
      <c r="AT1171" s="450"/>
      <c r="AU1171" s="450"/>
      <c r="AV1171" s="450"/>
      <c r="AW1171" s="450"/>
      <c r="AX1171" s="450"/>
      <c r="AY1171" s="450"/>
      <c r="AZ1171" s="450"/>
      <c r="BA1171" s="450"/>
      <c r="BB1171" s="450"/>
      <c r="BC1171" s="450"/>
      <c r="BD1171" s="450"/>
      <c r="BE1171" s="450"/>
      <c r="BF1171" s="450"/>
      <c r="BG1171" s="450"/>
      <c r="BH1171" s="450"/>
      <c r="BI1171" s="450"/>
      <c r="BJ1171" s="450"/>
      <c r="BK1171" s="450"/>
      <c r="BL1171" s="450"/>
      <c r="BM1171" s="450"/>
      <c r="BN1171" s="450"/>
      <c r="BO1171" s="450"/>
      <c r="BP1171" s="450"/>
      <c r="BQ1171" s="450"/>
      <c r="BR1171" s="450"/>
      <c r="BS1171" s="450"/>
      <c r="BT1171" s="450"/>
      <c r="BU1171" s="450"/>
      <c r="BV1171" s="450"/>
      <c r="BW1171" s="450"/>
      <c r="BX1171" s="450"/>
      <c r="BY1171" s="450"/>
      <c r="BZ1171" s="450"/>
      <c r="CA1171" s="450"/>
      <c r="CB1171" s="450"/>
      <c r="CC1171" s="450"/>
      <c r="CD1171" s="450"/>
      <c r="CE1171" s="450"/>
      <c r="CF1171" s="450"/>
      <c r="CG1171" s="450"/>
      <c r="CH1171" s="450"/>
      <c r="CI1171" s="450"/>
      <c r="CJ1171" s="450"/>
      <c r="CK1171" s="450"/>
      <c r="CL1171" s="450"/>
      <c r="CM1171" s="450"/>
      <c r="CN1171" s="450"/>
      <c r="CO1171" s="450"/>
      <c r="CP1171" s="450"/>
      <c r="CQ1171" s="450"/>
      <c r="CR1171" s="450"/>
      <c r="CS1171" s="450"/>
      <c r="CT1171" s="450"/>
      <c r="CU1171" s="450"/>
      <c r="CV1171" s="450"/>
      <c r="CW1171" s="450"/>
      <c r="CX1171" s="450"/>
      <c r="CY1171" s="450"/>
      <c r="CZ1171" s="450"/>
      <c r="DA1171" s="450"/>
      <c r="DB1171" s="1314"/>
      <c r="DC1171" s="450"/>
      <c r="DD1171" s="450"/>
      <c r="DE1171" s="450"/>
      <c r="DF1171" s="450"/>
      <c r="DG1171" s="450"/>
      <c r="DH1171" s="450"/>
      <c r="DI1171" s="478"/>
      <c r="DJ1171" s="478"/>
      <c r="DK1171" s="478"/>
      <c r="DL1171" s="478"/>
      <c r="DM1171" s="478"/>
      <c r="DN1171" s="1335"/>
      <c r="DO1171" s="478"/>
      <c r="DP1171" s="478"/>
      <c r="DQ1171" s="478"/>
      <c r="DR1171" s="478"/>
      <c r="DS1171" s="478"/>
      <c r="DT1171" s="478"/>
      <c r="DU1171" s="478"/>
      <c r="DV1171" s="478"/>
      <c r="DW1171" s="478"/>
      <c r="DX1171" s="478"/>
      <c r="DY1171" s="478"/>
      <c r="DZ1171" s="1335"/>
      <c r="ID1171" s="522" t="str">
        <f>+D1171</f>
        <v>memorandum: monetary policy instruments</v>
      </c>
      <c r="IE1171" s="495"/>
      <c r="IF1171" s="495"/>
      <c r="IG1171" s="495"/>
      <c r="IH1171" s="495"/>
      <c r="II1171" s="495"/>
      <c r="IJ1171" s="323"/>
      <c r="IK1171" s="495"/>
      <c r="IL1171" s="495"/>
      <c r="IM1171" s="323"/>
      <c r="IN1171" s="495"/>
      <c r="IO1171" s="495"/>
      <c r="IP1171" s="323"/>
      <c r="IQ1171" s="323"/>
      <c r="IR1171" s="323"/>
      <c r="IS1171" s="323"/>
      <c r="IT1171" s="323"/>
      <c r="IU1171" s="323"/>
      <c r="IV1171" s="323"/>
      <c r="KU1171" s="279"/>
    </row>
    <row r="1172" spans="1:307" ht="15.6">
      <c r="A1172" s="279"/>
      <c r="B1172" s="279"/>
      <c r="C1172" s="279"/>
      <c r="D1172" s="449"/>
      <c r="E1172" s="450"/>
      <c r="F1172" s="450"/>
      <c r="G1172" s="450"/>
      <c r="H1172" s="450"/>
      <c r="I1172" s="450"/>
      <c r="J1172" s="450"/>
      <c r="K1172" s="450"/>
      <c r="L1172" s="450"/>
      <c r="M1172" s="450"/>
      <c r="N1172" s="450"/>
      <c r="O1172" s="450"/>
      <c r="P1172" s="450"/>
      <c r="Q1172" s="450"/>
      <c r="R1172" s="450"/>
      <c r="S1172" s="450"/>
      <c r="T1172" s="450"/>
      <c r="U1172" s="450"/>
      <c r="V1172" s="450"/>
      <c r="W1172" s="450"/>
      <c r="X1172" s="450"/>
      <c r="Y1172" s="450"/>
      <c r="Z1172" s="450"/>
      <c r="AA1172" s="450"/>
      <c r="AB1172" s="450"/>
      <c r="AC1172" s="450"/>
      <c r="AD1172" s="450"/>
      <c r="AE1172" s="450"/>
      <c r="AF1172" s="450"/>
      <c r="AG1172" s="450"/>
      <c r="AH1172" s="450"/>
      <c r="AI1172" s="450"/>
      <c r="AJ1172" s="450"/>
      <c r="AK1172" s="450"/>
      <c r="AL1172" s="450"/>
      <c r="AM1172" s="450"/>
      <c r="AN1172" s="450"/>
      <c r="AO1172" s="450"/>
      <c r="AP1172" s="450"/>
      <c r="AQ1172" s="450"/>
      <c r="AR1172" s="450"/>
      <c r="AS1172" s="450"/>
      <c r="AT1172" s="450"/>
      <c r="AU1172" s="450"/>
      <c r="AV1172" s="450"/>
      <c r="AW1172" s="450"/>
      <c r="AX1172" s="450"/>
      <c r="AY1172" s="450"/>
      <c r="AZ1172" s="450"/>
      <c r="BA1172" s="450"/>
      <c r="BB1172" s="450"/>
      <c r="BC1172" s="450"/>
      <c r="BD1172" s="450"/>
      <c r="BE1172" s="450"/>
      <c r="BF1172" s="450"/>
      <c r="BG1172" s="450"/>
      <c r="BH1172" s="450"/>
      <c r="BI1172" s="450"/>
      <c r="BJ1172" s="450"/>
      <c r="BK1172" s="450"/>
      <c r="BL1172" s="450"/>
      <c r="BM1172" s="450"/>
      <c r="BN1172" s="450"/>
      <c r="BO1172" s="450"/>
      <c r="BP1172" s="450"/>
      <c r="BQ1172" s="450"/>
      <c r="BR1172" s="450"/>
      <c r="BS1172" s="450"/>
      <c r="BT1172" s="450"/>
      <c r="BU1172" s="450"/>
      <c r="BV1172" s="450"/>
      <c r="BW1172" s="450"/>
      <c r="BX1172" s="450"/>
      <c r="BY1172" s="450"/>
      <c r="BZ1172" s="450"/>
      <c r="CA1172" s="450"/>
      <c r="CB1172" s="450"/>
      <c r="CC1172" s="450"/>
      <c r="CD1172" s="450"/>
      <c r="CE1172" s="450"/>
      <c r="CF1172" s="450"/>
      <c r="CG1172" s="450"/>
      <c r="CH1172" s="450"/>
      <c r="CI1172" s="450"/>
      <c r="CJ1172" s="450"/>
      <c r="CK1172" s="450"/>
      <c r="CL1172" s="450"/>
      <c r="CM1172" s="450"/>
      <c r="CN1172" s="450"/>
      <c r="CO1172" s="450"/>
      <c r="CP1172" s="450"/>
      <c r="CQ1172" s="450"/>
      <c r="CR1172" s="450"/>
      <c r="CS1172" s="450"/>
      <c r="CT1172" s="450"/>
      <c r="CU1172" s="450"/>
      <c r="CV1172" s="450"/>
      <c r="CW1172" s="450"/>
      <c r="CX1172" s="450"/>
      <c r="CY1172" s="450"/>
      <c r="CZ1172" s="450"/>
      <c r="DA1172" s="450"/>
      <c r="DB1172" s="1314"/>
      <c r="DC1172" s="450"/>
      <c r="DD1172" s="450"/>
      <c r="DE1172" s="450"/>
      <c r="DF1172" s="450"/>
      <c r="DG1172" s="450"/>
      <c r="DH1172" s="450"/>
      <c r="DI1172" s="478"/>
      <c r="DJ1172" s="478"/>
      <c r="DK1172" s="478"/>
      <c r="DL1172" s="478"/>
      <c r="DM1172" s="478"/>
      <c r="DN1172" s="1335"/>
      <c r="DO1172" s="478"/>
      <c r="DP1172" s="478"/>
      <c r="DQ1172" s="478"/>
      <c r="DR1172" s="478"/>
      <c r="DS1172" s="478"/>
      <c r="DT1172" s="478"/>
      <c r="DU1172" s="478"/>
      <c r="DV1172" s="478"/>
      <c r="DW1172" s="478"/>
      <c r="DX1172" s="478"/>
      <c r="DY1172" s="478"/>
      <c r="DZ1172" s="1335"/>
      <c r="ID1172" s="494"/>
      <c r="IE1172" s="495"/>
      <c r="IF1172" s="495"/>
      <c r="IG1172" s="495"/>
      <c r="IH1172" s="495"/>
      <c r="II1172" s="495"/>
      <c r="IJ1172" s="323"/>
      <c r="IK1172" s="495"/>
      <c r="IL1172" s="495"/>
      <c r="IM1172" s="323"/>
      <c r="IN1172" s="495"/>
      <c r="IO1172" s="495"/>
      <c r="IP1172" s="323"/>
      <c r="IQ1172" s="323"/>
      <c r="IR1172" s="323"/>
      <c r="IS1172" s="323"/>
      <c r="IT1172" s="323"/>
      <c r="IU1172" s="323"/>
      <c r="IV1172" s="323"/>
      <c r="KU1172" s="279"/>
    </row>
    <row r="1173" spans="1:307" ht="15.6">
      <c r="A1173" s="279"/>
      <c r="B1173" s="279"/>
      <c r="C1173" s="279"/>
      <c r="D1173" s="474" t="s">
        <v>646</v>
      </c>
      <c r="E1173" s="450"/>
      <c r="F1173" s="450"/>
      <c r="G1173" s="450"/>
      <c r="H1173" s="450"/>
      <c r="I1173" s="450"/>
      <c r="J1173" s="450"/>
      <c r="K1173" s="450"/>
      <c r="L1173" s="450"/>
      <c r="M1173" s="450"/>
      <c r="N1173" s="450"/>
      <c r="O1173" s="450"/>
      <c r="P1173" s="450"/>
      <c r="Q1173" s="450"/>
      <c r="R1173" s="450"/>
      <c r="S1173" s="450"/>
      <c r="T1173" s="450"/>
      <c r="U1173" s="450"/>
      <c r="V1173" s="450"/>
      <c r="W1173" s="450"/>
      <c r="X1173" s="450"/>
      <c r="Y1173" s="450"/>
      <c r="Z1173" s="450"/>
      <c r="AA1173" s="450"/>
      <c r="AB1173" s="450"/>
      <c r="AC1173" s="450"/>
      <c r="AD1173" s="450"/>
      <c r="AE1173" s="450"/>
      <c r="AF1173" s="450"/>
      <c r="AG1173" s="450"/>
      <c r="AH1173" s="450"/>
      <c r="AI1173" s="450"/>
      <c r="AJ1173" s="450"/>
      <c r="AK1173" s="450"/>
      <c r="AL1173" s="450"/>
      <c r="AM1173" s="450"/>
      <c r="AN1173" s="450"/>
      <c r="AO1173" s="450"/>
      <c r="AP1173" s="450"/>
      <c r="AQ1173" s="450"/>
      <c r="AR1173" s="450"/>
      <c r="AS1173" s="450"/>
      <c r="AT1173" s="450"/>
      <c r="AU1173" s="450"/>
      <c r="AV1173" s="450"/>
      <c r="AW1173" s="450"/>
      <c r="AX1173" s="450"/>
      <c r="AY1173" s="450"/>
      <c r="AZ1173" s="450"/>
      <c r="BA1173" s="450"/>
      <c r="BB1173" s="450"/>
      <c r="BC1173" s="450"/>
      <c r="BD1173" s="450"/>
      <c r="BE1173" s="450"/>
      <c r="BF1173" s="450"/>
      <c r="BG1173" s="450"/>
      <c r="BH1173" s="450"/>
      <c r="BI1173" s="450"/>
      <c r="BJ1173" s="450"/>
      <c r="BK1173" s="450"/>
      <c r="BL1173" s="450"/>
      <c r="BM1173" s="450"/>
      <c r="BN1173" s="450"/>
      <c r="BO1173" s="450"/>
      <c r="BP1173" s="450"/>
      <c r="BQ1173" s="450"/>
      <c r="BR1173" s="450"/>
      <c r="BS1173" s="450"/>
      <c r="BT1173" s="450"/>
      <c r="BU1173" s="450"/>
      <c r="BV1173" s="450"/>
      <c r="BW1173" s="450"/>
      <c r="BX1173" s="450"/>
      <c r="BY1173" s="450"/>
      <c r="BZ1173" s="450"/>
      <c r="CA1173" s="450"/>
      <c r="CB1173" s="450"/>
      <c r="CC1173" s="450"/>
      <c r="CD1173" s="450"/>
      <c r="CE1173" s="450"/>
      <c r="CF1173" s="450"/>
      <c r="CG1173" s="450"/>
      <c r="CH1173" s="450"/>
      <c r="CI1173" s="450"/>
      <c r="CJ1173" s="478">
        <f>+CJ1175+CJ1178</f>
        <v>154.20558764899999</v>
      </c>
      <c r="CK1173" s="450"/>
      <c r="CL1173" s="450"/>
      <c r="CM1173" s="450"/>
      <c r="CN1173" s="450"/>
      <c r="CO1173" s="450"/>
      <c r="CP1173" s="478">
        <f t="shared" ref="CP1173:DB1173" si="2357">+CP1175+CP1178</f>
        <v>158.406871685</v>
      </c>
      <c r="CQ1173" s="478">
        <f t="shared" si="2357"/>
        <v>157.716971685</v>
      </c>
      <c r="CR1173" s="478">
        <f t="shared" si="2357"/>
        <v>166.46847168500003</v>
      </c>
      <c r="CS1173" s="478">
        <f t="shared" si="2357"/>
        <v>172.66111370300001</v>
      </c>
      <c r="CT1173" s="478">
        <f t="shared" si="2357"/>
        <v>168.61801370300003</v>
      </c>
      <c r="CU1173" s="478">
        <f t="shared" si="2357"/>
        <v>176.725913703</v>
      </c>
      <c r="CV1173" s="478">
        <f t="shared" si="2357"/>
        <v>177.591655721</v>
      </c>
      <c r="CW1173" s="478">
        <f t="shared" si="2357"/>
        <v>179.56415572099999</v>
      </c>
      <c r="CX1173" s="478">
        <f t="shared" si="2357"/>
        <v>186.87305572099999</v>
      </c>
      <c r="CY1173" s="478">
        <f t="shared" si="2357"/>
        <v>186.79275572099999</v>
      </c>
      <c r="CZ1173" s="478">
        <f t="shared" si="2357"/>
        <v>190.79275572099999</v>
      </c>
      <c r="DA1173" s="478">
        <f t="shared" si="2357"/>
        <v>221.73035572100002</v>
      </c>
      <c r="DB1173" s="1317">
        <f t="shared" si="2357"/>
        <v>238.075097747</v>
      </c>
      <c r="DC1173" s="478">
        <f t="shared" ref="DC1173:DN1173" si="2358">+DC1175+DC1178</f>
        <v>246.49059774699998</v>
      </c>
      <c r="DD1173" s="478">
        <f t="shared" si="2358"/>
        <v>256.08769774699999</v>
      </c>
      <c r="DE1173" s="478">
        <f t="shared" si="2358"/>
        <v>246.51193976500002</v>
      </c>
      <c r="DF1173" s="478">
        <f t="shared" si="2358"/>
        <v>253.56293976500001</v>
      </c>
      <c r="DG1173" s="478">
        <f t="shared" si="2358"/>
        <v>257.04663976500001</v>
      </c>
      <c r="DH1173" s="478">
        <f t="shared" si="2358"/>
        <v>257.41891953599998</v>
      </c>
      <c r="DI1173" s="478">
        <f t="shared" si="2358"/>
        <v>253.75141953600001</v>
      </c>
      <c r="DJ1173" s="478">
        <f t="shared" si="2358"/>
        <v>260.52781953599998</v>
      </c>
      <c r="DK1173" s="478">
        <f t="shared" si="2358"/>
        <v>271.74681953599998</v>
      </c>
      <c r="DL1173" s="478">
        <f t="shared" si="2358"/>
        <v>240.868319536</v>
      </c>
      <c r="DM1173" s="478">
        <f t="shared" si="2358"/>
        <v>256.565319536</v>
      </c>
      <c r="DN1173" s="1335">
        <f t="shared" si="2358"/>
        <v>270.09231953599999</v>
      </c>
      <c r="DO1173" s="478">
        <f t="shared" ref="DO1173:DT1173" si="2359">+DO1175+DO1178</f>
        <v>266.58931798041851</v>
      </c>
      <c r="DP1173" s="478">
        <f t="shared" si="2359"/>
        <v>256.83661798041851</v>
      </c>
      <c r="DQ1173" s="478">
        <f t="shared" si="2359"/>
        <v>238.21331798041857</v>
      </c>
      <c r="DR1173" s="478">
        <f t="shared" si="2359"/>
        <v>228.70391798041857</v>
      </c>
      <c r="DS1173" s="478">
        <f t="shared" si="2359"/>
        <v>232.11661798041854</v>
      </c>
      <c r="DT1173" s="478">
        <f t="shared" si="2359"/>
        <v>239.06964355541854</v>
      </c>
      <c r="DU1173" s="478"/>
      <c r="DV1173" s="478"/>
      <c r="DW1173" s="478"/>
      <c r="DX1173" s="478"/>
      <c r="DY1173" s="478"/>
      <c r="DZ1173" s="1335"/>
      <c r="ID1173" s="521" t="str">
        <f t="shared" ref="ID1173:ID1181" si="2360">+D1173</f>
        <v>Commercial banks</v>
      </c>
      <c r="IE1173" s="495"/>
      <c r="IF1173" s="495"/>
      <c r="IG1173" s="494">
        <f>+DB1173</f>
        <v>238.075097747</v>
      </c>
      <c r="IH1173" s="494"/>
      <c r="II1173" s="495"/>
      <c r="IJ1173" s="323">
        <f>+DN1173</f>
        <v>270.09231953599999</v>
      </c>
      <c r="IK1173" s="495"/>
      <c r="IL1173" s="495"/>
      <c r="IM1173" s="323"/>
      <c r="IN1173" s="495"/>
      <c r="IO1173" s="495"/>
      <c r="IP1173" s="323"/>
      <c r="IQ1173" s="323"/>
      <c r="IR1173" s="323"/>
      <c r="IS1173" s="323"/>
      <c r="IT1173" s="323"/>
      <c r="IU1173" s="323"/>
      <c r="IV1173" s="323"/>
      <c r="KU1173" s="279"/>
    </row>
    <row r="1174" spans="1:307" ht="15.6">
      <c r="A1174" s="279"/>
      <c r="B1174" s="279"/>
      <c r="C1174" s="279"/>
      <c r="D1174" s="449" t="s">
        <v>657</v>
      </c>
      <c r="E1174" s="450"/>
      <c r="F1174" s="450"/>
      <c r="G1174" s="450"/>
      <c r="H1174" s="450"/>
      <c r="I1174" s="450"/>
      <c r="J1174" s="450"/>
      <c r="K1174" s="450"/>
      <c r="L1174" s="450"/>
      <c r="M1174" s="450"/>
      <c r="N1174" s="450"/>
      <c r="O1174" s="450"/>
      <c r="P1174" s="450"/>
      <c r="Q1174" s="450"/>
      <c r="R1174" s="450"/>
      <c r="S1174" s="450"/>
      <c r="T1174" s="450"/>
      <c r="U1174" s="450"/>
      <c r="V1174" s="450"/>
      <c r="W1174" s="450"/>
      <c r="X1174" s="450"/>
      <c r="Y1174" s="450"/>
      <c r="Z1174" s="450"/>
      <c r="AA1174" s="450"/>
      <c r="AB1174" s="450"/>
      <c r="AC1174" s="450"/>
      <c r="AD1174" s="450"/>
      <c r="AE1174" s="450"/>
      <c r="AF1174" s="450"/>
      <c r="AG1174" s="450"/>
      <c r="AH1174" s="450"/>
      <c r="AI1174" s="450"/>
      <c r="AJ1174" s="450"/>
      <c r="AK1174" s="450"/>
      <c r="AL1174" s="450"/>
      <c r="AM1174" s="450"/>
      <c r="AN1174" s="450"/>
      <c r="AO1174" s="450"/>
      <c r="AP1174" s="450"/>
      <c r="AQ1174" s="450"/>
      <c r="AR1174" s="450"/>
      <c r="AS1174" s="450"/>
      <c r="AT1174" s="450"/>
      <c r="AU1174" s="450"/>
      <c r="AV1174" s="450"/>
      <c r="AW1174" s="450"/>
      <c r="AX1174" s="450"/>
      <c r="AY1174" s="450"/>
      <c r="AZ1174" s="450"/>
      <c r="BA1174" s="450"/>
      <c r="BB1174" s="450"/>
      <c r="BC1174" s="450"/>
      <c r="BD1174" s="450"/>
      <c r="BE1174" s="450"/>
      <c r="BF1174" s="450"/>
      <c r="BG1174" s="450"/>
      <c r="BH1174" s="450"/>
      <c r="BI1174" s="450"/>
      <c r="BJ1174" s="450"/>
      <c r="BK1174" s="450"/>
      <c r="BL1174" s="450"/>
      <c r="BM1174" s="450"/>
      <c r="BN1174" s="450"/>
      <c r="BO1174" s="450"/>
      <c r="BP1174" s="450"/>
      <c r="BQ1174" s="450"/>
      <c r="BR1174" s="450"/>
      <c r="BS1174" s="450"/>
      <c r="BT1174" s="450"/>
      <c r="BU1174" s="450"/>
      <c r="BV1174" s="450"/>
      <c r="BW1174" s="450"/>
      <c r="BX1174" s="450"/>
      <c r="BY1174" s="450"/>
      <c r="BZ1174" s="450"/>
      <c r="CA1174" s="450"/>
      <c r="CB1174" s="450"/>
      <c r="CC1174" s="450"/>
      <c r="CD1174" s="450"/>
      <c r="CE1174" s="450"/>
      <c r="CF1174" s="450"/>
      <c r="CG1174" s="450"/>
      <c r="CH1174" s="450"/>
      <c r="CI1174" s="450"/>
      <c r="CJ1174" s="450"/>
      <c r="CK1174" s="450"/>
      <c r="CL1174" s="450"/>
      <c r="CM1174" s="450"/>
      <c r="CN1174" s="450"/>
      <c r="CO1174" s="450"/>
      <c r="CP1174" s="450"/>
      <c r="CQ1174" s="450"/>
      <c r="CR1174" s="450"/>
      <c r="CS1174" s="450"/>
      <c r="CT1174" s="450"/>
      <c r="CU1174" s="450"/>
      <c r="CV1174" s="450"/>
      <c r="CW1174" s="450"/>
      <c r="CX1174" s="450"/>
      <c r="CY1174" s="450"/>
      <c r="CZ1174" s="450"/>
      <c r="DA1174" s="450"/>
      <c r="DB1174" s="1314"/>
      <c r="DC1174" s="473"/>
      <c r="DD1174" s="473"/>
      <c r="DE1174" s="473"/>
      <c r="DF1174" s="473"/>
      <c r="DG1174" s="473"/>
      <c r="DH1174" s="615">
        <f>+FISC!Z1781</f>
        <v>136</v>
      </c>
      <c r="DI1174" s="615">
        <f>+FISC!AA1781</f>
        <v>0</v>
      </c>
      <c r="DJ1174" s="478"/>
      <c r="DK1174" s="478"/>
      <c r="DL1174" s="478"/>
      <c r="DM1174" s="478"/>
      <c r="DN1174" s="1335"/>
      <c r="DO1174" s="478"/>
      <c r="DP1174" s="478"/>
      <c r="DQ1174" s="478"/>
      <c r="DR1174" s="478"/>
      <c r="DS1174" s="478"/>
      <c r="DT1174" s="478"/>
      <c r="DU1174" s="478"/>
      <c r="DV1174" s="478"/>
      <c r="DW1174" s="478"/>
      <c r="DX1174" s="478"/>
      <c r="DY1174" s="478"/>
      <c r="DZ1174" s="1335"/>
      <c r="ID1174" s="494" t="str">
        <f t="shared" si="2360"/>
        <v>Claims on government (monetary survey)</v>
      </c>
      <c r="IE1174" s="495"/>
      <c r="IF1174" s="495"/>
      <c r="IG1174" s="495"/>
      <c r="IH1174" s="495"/>
      <c r="II1174" s="495"/>
      <c r="IJ1174" s="323"/>
      <c r="IK1174" s="495"/>
      <c r="IL1174" s="495"/>
      <c r="IM1174" s="323"/>
      <c r="IN1174" s="495"/>
      <c r="IO1174" s="495"/>
      <c r="IP1174" s="323"/>
      <c r="IQ1174" s="323"/>
      <c r="IR1174" s="323"/>
      <c r="IS1174" s="323"/>
      <c r="IT1174" s="323"/>
      <c r="IU1174" s="323"/>
      <c r="IV1174" s="323"/>
      <c r="KU1174" s="279"/>
    </row>
    <row r="1175" spans="1:307" ht="15.6">
      <c r="A1175" s="279"/>
      <c r="B1175" s="279"/>
      <c r="C1175" s="279"/>
      <c r="D1175" s="477" t="s">
        <v>655</v>
      </c>
      <c r="E1175" s="450"/>
      <c r="F1175" s="450"/>
      <c r="G1175" s="450"/>
      <c r="H1175" s="450"/>
      <c r="I1175" s="450"/>
      <c r="J1175" s="450"/>
      <c r="K1175" s="450"/>
      <c r="L1175" s="450"/>
      <c r="M1175" s="450"/>
      <c r="N1175" s="450"/>
      <c r="O1175" s="450"/>
      <c r="P1175" s="450"/>
      <c r="Q1175" s="450"/>
      <c r="R1175" s="450"/>
      <c r="S1175" s="450"/>
      <c r="T1175" s="450"/>
      <c r="U1175" s="450"/>
      <c r="V1175" s="450"/>
      <c r="W1175" s="450"/>
      <c r="X1175" s="450"/>
      <c r="Y1175" s="450"/>
      <c r="Z1175" s="450"/>
      <c r="AA1175" s="450"/>
      <c r="AB1175" s="450"/>
      <c r="AC1175" s="450"/>
      <c r="AD1175" s="450"/>
      <c r="AE1175" s="450"/>
      <c r="AF1175" s="450"/>
      <c r="AG1175" s="450"/>
      <c r="AH1175" s="450"/>
      <c r="AI1175" s="450"/>
      <c r="AJ1175" s="450"/>
      <c r="AK1175" s="450"/>
      <c r="AL1175" s="450"/>
      <c r="AM1175" s="450"/>
      <c r="AN1175" s="450"/>
      <c r="AO1175" s="450"/>
      <c r="AP1175" s="450"/>
      <c r="AQ1175" s="450"/>
      <c r="AR1175" s="450"/>
      <c r="AS1175" s="450"/>
      <c r="AT1175" s="450"/>
      <c r="AU1175" s="450"/>
      <c r="AV1175" s="450"/>
      <c r="AW1175" s="450"/>
      <c r="AX1175" s="450"/>
      <c r="AY1175" s="450"/>
      <c r="AZ1175" s="450"/>
      <c r="BA1175" s="450"/>
      <c r="BB1175" s="450"/>
      <c r="BC1175" s="450"/>
      <c r="BD1175" s="450"/>
      <c r="BE1175" s="450"/>
      <c r="BF1175" s="450"/>
      <c r="BG1175" s="450"/>
      <c r="BH1175" s="450"/>
      <c r="BI1175" s="450"/>
      <c r="BJ1175" s="450"/>
      <c r="BK1175" s="450"/>
      <c r="BL1175" s="450"/>
      <c r="BM1175" s="450"/>
      <c r="BN1175" s="450"/>
      <c r="BO1175" s="450"/>
      <c r="BP1175" s="450"/>
      <c r="BQ1175" s="450"/>
      <c r="BR1175" s="450"/>
      <c r="BS1175" s="450"/>
      <c r="BT1175" s="450"/>
      <c r="BU1175" s="450"/>
      <c r="BV1175" s="450"/>
      <c r="BW1175" s="450"/>
      <c r="BX1175" s="450"/>
      <c r="BY1175" s="450"/>
      <c r="BZ1175" s="450"/>
      <c r="CA1175" s="450"/>
      <c r="CB1175" s="450"/>
      <c r="CC1175" s="450"/>
      <c r="CD1175" s="450"/>
      <c r="CE1175" s="450"/>
      <c r="CF1175" s="450"/>
      <c r="CG1175" s="450"/>
      <c r="CH1175" s="450"/>
      <c r="CI1175" s="450"/>
      <c r="CJ1175" s="477">
        <f>+CJ1176+CJ1177</f>
        <v>152.5566</v>
      </c>
      <c r="CK1175" s="450"/>
      <c r="CL1175" s="450"/>
      <c r="CM1175" s="450"/>
      <c r="CN1175" s="450"/>
      <c r="CO1175" s="450"/>
      <c r="CP1175" s="477">
        <f t="shared" ref="CP1175:DB1175" si="2361">+CP1176+CP1177</f>
        <v>156.97239999999999</v>
      </c>
      <c r="CQ1175" s="477">
        <f t="shared" si="2361"/>
        <v>156.2825</v>
      </c>
      <c r="CR1175" s="477">
        <f t="shared" si="2361"/>
        <v>165.03400000000002</v>
      </c>
      <c r="CS1175" s="477">
        <f t="shared" si="2361"/>
        <v>171.3339</v>
      </c>
      <c r="CT1175" s="477">
        <f t="shared" si="2361"/>
        <v>167.29080000000002</v>
      </c>
      <c r="CU1175" s="477">
        <f t="shared" si="2361"/>
        <v>175.39869999999999</v>
      </c>
      <c r="CV1175" s="477">
        <f t="shared" si="2361"/>
        <v>176.3717</v>
      </c>
      <c r="CW1175" s="477">
        <f t="shared" si="2361"/>
        <v>178.3442</v>
      </c>
      <c r="CX1175" s="477">
        <f t="shared" si="2361"/>
        <v>185.65309999999999</v>
      </c>
      <c r="CY1175" s="477">
        <f t="shared" si="2361"/>
        <v>185.68009999999998</v>
      </c>
      <c r="CZ1175" s="477">
        <f t="shared" si="2361"/>
        <v>189.68009999999998</v>
      </c>
      <c r="DA1175" s="477">
        <f t="shared" si="2361"/>
        <v>220.61770000000001</v>
      </c>
      <c r="DB1175" s="1318">
        <f t="shared" si="2361"/>
        <v>237.06970000000001</v>
      </c>
      <c r="DC1175" s="477">
        <f t="shared" ref="DC1175:DH1175" si="2362">+DC1176+DC1177</f>
        <v>245.48519999999999</v>
      </c>
      <c r="DD1175" s="477">
        <f t="shared" si="2362"/>
        <v>255.08229999999998</v>
      </c>
      <c r="DE1175" s="477">
        <f t="shared" si="2362"/>
        <v>245.61380000000003</v>
      </c>
      <c r="DF1175" s="477">
        <f t="shared" si="2362"/>
        <v>252.66480000000001</v>
      </c>
      <c r="DG1175" s="477">
        <f t="shared" si="2362"/>
        <v>256.14850000000001</v>
      </c>
      <c r="DH1175" s="477">
        <f t="shared" si="2362"/>
        <v>256.8082</v>
      </c>
      <c r="DI1175" s="477">
        <f t="shared" ref="DI1175:DN1175" si="2363">+DI1176+DI1177</f>
        <v>253.14070000000001</v>
      </c>
      <c r="DJ1175" s="477">
        <f t="shared" si="2363"/>
        <v>259.9171</v>
      </c>
      <c r="DK1175" s="477">
        <f t="shared" si="2363"/>
        <v>271.1361</v>
      </c>
      <c r="DL1175" s="477">
        <f t="shared" si="2363"/>
        <v>240.2576</v>
      </c>
      <c r="DM1175" s="477">
        <f t="shared" si="2363"/>
        <v>255.9546</v>
      </c>
      <c r="DN1175" s="1336">
        <f t="shared" si="2363"/>
        <v>269.48160000000001</v>
      </c>
      <c r="DO1175" s="477">
        <f t="shared" ref="DO1175:DT1175" si="2364">+DO1176+DO1177</f>
        <v>265.97859844441854</v>
      </c>
      <c r="DP1175" s="477">
        <f t="shared" si="2364"/>
        <v>256.22589844441853</v>
      </c>
      <c r="DQ1175" s="477">
        <f t="shared" si="2364"/>
        <v>237.60259844441856</v>
      </c>
      <c r="DR1175" s="477">
        <f t="shared" si="2364"/>
        <v>228.09319844441856</v>
      </c>
      <c r="DS1175" s="477">
        <f t="shared" si="2364"/>
        <v>231.50589844441853</v>
      </c>
      <c r="DT1175" s="477">
        <f t="shared" si="2364"/>
        <v>238.65259844441854</v>
      </c>
      <c r="DU1175" s="477"/>
      <c r="DV1175" s="477"/>
      <c r="DW1175" s="477"/>
      <c r="DX1175" s="477"/>
      <c r="DY1175" s="477"/>
      <c r="DZ1175" s="1336"/>
      <c r="ID1175" s="494" t="str">
        <f t="shared" si="2360"/>
        <v>Banks holding of securities</v>
      </c>
      <c r="IE1175" s="495"/>
      <c r="IF1175" s="495"/>
      <c r="IG1175" s="477">
        <f>+IG1176+IG1177</f>
        <v>237.06970000000001</v>
      </c>
      <c r="IH1175" s="477"/>
      <c r="II1175" s="495"/>
      <c r="IJ1175" s="683">
        <f t="shared" ref="IJ1175:IJ1181" si="2365">+DN1175</f>
        <v>269.48160000000001</v>
      </c>
      <c r="IK1175" s="495"/>
      <c r="IL1175" s="495"/>
      <c r="IM1175" s="323"/>
      <c r="IN1175" s="495"/>
      <c r="IO1175" s="495"/>
      <c r="IP1175" s="323"/>
      <c r="IQ1175" s="323"/>
      <c r="IR1175" s="323"/>
      <c r="IS1175" s="323"/>
      <c r="IT1175" s="323"/>
      <c r="IU1175" s="323"/>
      <c r="IV1175" s="323"/>
      <c r="KU1175" s="279"/>
    </row>
    <row r="1176" spans="1:307" ht="15.6">
      <c r="A1176" s="279"/>
      <c r="B1176" s="279"/>
      <c r="C1176" s="279"/>
      <c r="D1176" s="450" t="s">
        <v>647</v>
      </c>
      <c r="E1176" s="450"/>
      <c r="F1176" s="450"/>
      <c r="G1176" s="450"/>
      <c r="H1176" s="450"/>
      <c r="I1176" s="450"/>
      <c r="J1176" s="450"/>
      <c r="K1176" s="450"/>
      <c r="L1176" s="450"/>
      <c r="M1176" s="450"/>
      <c r="N1176" s="450"/>
      <c r="O1176" s="450"/>
      <c r="P1176" s="450"/>
      <c r="Q1176" s="450"/>
      <c r="R1176" s="450"/>
      <c r="S1176" s="450"/>
      <c r="T1176" s="450"/>
      <c r="U1176" s="450"/>
      <c r="V1176" s="450"/>
      <c r="W1176" s="450"/>
      <c r="X1176" s="450"/>
      <c r="Y1176" s="450"/>
      <c r="Z1176" s="450"/>
      <c r="AA1176" s="450"/>
      <c r="AB1176" s="450"/>
      <c r="AC1176" s="450"/>
      <c r="AD1176" s="450"/>
      <c r="AE1176" s="450"/>
      <c r="AF1176" s="450"/>
      <c r="AG1176" s="450"/>
      <c r="AH1176" s="450"/>
      <c r="AI1176" s="450"/>
      <c r="AJ1176" s="450"/>
      <c r="AK1176" s="450"/>
      <c r="AL1176" s="450"/>
      <c r="AM1176" s="450"/>
      <c r="AN1176" s="450"/>
      <c r="AO1176" s="450"/>
      <c r="AP1176" s="450"/>
      <c r="AQ1176" s="450"/>
      <c r="AR1176" s="450"/>
      <c r="AS1176" s="450"/>
      <c r="AT1176" s="450"/>
      <c r="AU1176" s="450"/>
      <c r="AV1176" s="450"/>
      <c r="AW1176" s="450"/>
      <c r="AX1176" s="450"/>
      <c r="AY1176" s="450"/>
      <c r="AZ1176" s="450"/>
      <c r="BA1176" s="450"/>
      <c r="BB1176" s="450"/>
      <c r="BC1176" s="450"/>
      <c r="BD1176" s="450"/>
      <c r="BE1176" s="450"/>
      <c r="BF1176" s="450"/>
      <c r="BG1176" s="450"/>
      <c r="BH1176" s="450"/>
      <c r="BI1176" s="450"/>
      <c r="BJ1176" s="450"/>
      <c r="BK1176" s="450"/>
      <c r="BL1176" s="450"/>
      <c r="BM1176" s="450"/>
      <c r="BN1176" s="450"/>
      <c r="BO1176" s="450"/>
      <c r="BP1176" s="450"/>
      <c r="BQ1176" s="450"/>
      <c r="BR1176" s="450"/>
      <c r="BS1176" s="450"/>
      <c r="BT1176" s="450"/>
      <c r="BU1176" s="450"/>
      <c r="BV1176" s="450"/>
      <c r="BW1176" s="450"/>
      <c r="BX1176" s="450"/>
      <c r="BY1176" s="450"/>
      <c r="BZ1176" s="450"/>
      <c r="CA1176" s="450"/>
      <c r="CB1176" s="450"/>
      <c r="CC1176" s="450"/>
      <c r="CD1176" s="450"/>
      <c r="CE1176" s="450"/>
      <c r="CF1176" s="450"/>
      <c r="CG1176" s="450"/>
      <c r="CH1176" s="450"/>
      <c r="CI1176" s="450"/>
      <c r="CJ1176" s="450">
        <f>+CJ120</f>
        <v>145.6336</v>
      </c>
      <c r="CK1176" s="450"/>
      <c r="CL1176" s="450"/>
      <c r="CM1176" s="450"/>
      <c r="CN1176" s="450"/>
      <c r="CO1176" s="450"/>
      <c r="CP1176" s="450">
        <f t="shared" ref="CP1176:DT1176" si="2366">+CP120</f>
        <v>145.9434</v>
      </c>
      <c r="CQ1176" s="450">
        <f t="shared" si="2366"/>
        <v>145.2535</v>
      </c>
      <c r="CR1176" s="450">
        <f t="shared" si="2366"/>
        <v>148.07560000000001</v>
      </c>
      <c r="CS1176" s="450">
        <f t="shared" si="2366"/>
        <v>154.37549999999999</v>
      </c>
      <c r="CT1176" s="450">
        <f t="shared" si="2366"/>
        <v>150.33240000000001</v>
      </c>
      <c r="CU1176" s="450">
        <f t="shared" si="2366"/>
        <v>151.09739999999999</v>
      </c>
      <c r="CV1176" s="450">
        <f t="shared" si="2366"/>
        <v>152.07040000000001</v>
      </c>
      <c r="CW1176" s="450">
        <f t="shared" si="2366"/>
        <v>154.0429</v>
      </c>
      <c r="CX1176" s="450">
        <f t="shared" si="2366"/>
        <v>154.13900000000001</v>
      </c>
      <c r="CY1176" s="450">
        <f t="shared" si="2366"/>
        <v>154.166</v>
      </c>
      <c r="CZ1176" s="450">
        <f t="shared" si="2366"/>
        <v>158.166</v>
      </c>
      <c r="DA1176" s="450">
        <f t="shared" si="2366"/>
        <v>187.01150000000001</v>
      </c>
      <c r="DB1176" s="1314">
        <f t="shared" si="2366"/>
        <v>203.46350000000001</v>
      </c>
      <c r="DC1176" s="450">
        <f t="shared" si="2366"/>
        <v>211.87899999999999</v>
      </c>
      <c r="DD1176" s="450">
        <f t="shared" si="2366"/>
        <v>213.92599999999999</v>
      </c>
      <c r="DE1176" s="450">
        <f t="shared" si="2366"/>
        <v>204.45750000000001</v>
      </c>
      <c r="DF1176" s="450">
        <f t="shared" si="2366"/>
        <v>211.5085</v>
      </c>
      <c r="DG1176" s="450">
        <f t="shared" si="2366"/>
        <v>209.95079999999999</v>
      </c>
      <c r="DH1176" s="450">
        <f t="shared" si="2366"/>
        <v>210.6105</v>
      </c>
      <c r="DI1176" s="450">
        <f t="shared" si="2366"/>
        <v>206.94300000000001</v>
      </c>
      <c r="DJ1176" s="450">
        <f t="shared" si="2366"/>
        <v>207.93720000000002</v>
      </c>
      <c r="DK1176" s="450">
        <f t="shared" si="2366"/>
        <v>219.15620000000001</v>
      </c>
      <c r="DL1176" s="450">
        <f t="shared" si="2366"/>
        <v>188.27770000000001</v>
      </c>
      <c r="DM1176" s="450">
        <f t="shared" si="2366"/>
        <v>200.47470000000001</v>
      </c>
      <c r="DN1176" s="1333">
        <f t="shared" si="2366"/>
        <v>214.0017</v>
      </c>
      <c r="DO1176" s="450">
        <f t="shared" si="2366"/>
        <v>210.49869844441855</v>
      </c>
      <c r="DP1176" s="450">
        <f t="shared" si="2366"/>
        <v>197.03189844441854</v>
      </c>
      <c r="DQ1176" s="450">
        <f t="shared" si="2366"/>
        <v>180.33169844441855</v>
      </c>
      <c r="DR1176" s="450">
        <f t="shared" si="2366"/>
        <v>170.82229844441855</v>
      </c>
      <c r="DS1176" s="450">
        <f t="shared" si="2366"/>
        <v>170.59499844441854</v>
      </c>
      <c r="DT1176" s="450">
        <f t="shared" si="2366"/>
        <v>177.74169844441855</v>
      </c>
      <c r="DU1176" s="450"/>
      <c r="DV1176" s="450"/>
      <c r="DW1176" s="450"/>
      <c r="DX1176" s="450"/>
      <c r="DY1176" s="450"/>
      <c r="DZ1176" s="1333"/>
      <c r="ID1176" s="495" t="str">
        <f t="shared" si="2360"/>
        <v xml:space="preserve">T bills </v>
      </c>
      <c r="IE1176" s="495"/>
      <c r="IF1176" s="495"/>
      <c r="IG1176" s="495">
        <f t="shared" ref="IG1176:IG1181" si="2367">+DB1176</f>
        <v>203.46350000000001</v>
      </c>
      <c r="IH1176" s="495"/>
      <c r="II1176" s="495"/>
      <c r="IJ1176" s="323">
        <f t="shared" si="2365"/>
        <v>214.0017</v>
      </c>
      <c r="IK1176" s="495"/>
      <c r="IL1176" s="495"/>
      <c r="IM1176" s="323"/>
      <c r="IN1176" s="495"/>
      <c r="IO1176" s="495"/>
      <c r="IP1176" s="323"/>
      <c r="IQ1176" s="323"/>
      <c r="IR1176" s="323"/>
      <c r="IS1176" s="323"/>
      <c r="IT1176" s="323"/>
      <c r="IU1176" s="323"/>
      <c r="IV1176" s="323"/>
      <c r="KU1176" s="279"/>
    </row>
    <row r="1177" spans="1:307" ht="15.6">
      <c r="A1177" s="279"/>
      <c r="B1177" s="279"/>
      <c r="C1177" s="279"/>
      <c r="D1177" s="450" t="s">
        <v>648</v>
      </c>
      <c r="E1177" s="450"/>
      <c r="F1177" s="450"/>
      <c r="G1177" s="450"/>
      <c r="H1177" s="450"/>
      <c r="I1177" s="450"/>
      <c r="J1177" s="450"/>
      <c r="K1177" s="450"/>
      <c r="L1177" s="450"/>
      <c r="M1177" s="450"/>
      <c r="N1177" s="450"/>
      <c r="O1177" s="450"/>
      <c r="P1177" s="450"/>
      <c r="Q1177" s="450"/>
      <c r="R1177" s="450"/>
      <c r="S1177" s="450"/>
      <c r="T1177" s="450"/>
      <c r="U1177" s="450"/>
      <c r="V1177" s="450"/>
      <c r="W1177" s="450"/>
      <c r="X1177" s="450"/>
      <c r="Y1177" s="450"/>
      <c r="Z1177" s="450"/>
      <c r="AA1177" s="450"/>
      <c r="AB1177" s="450"/>
      <c r="AC1177" s="450"/>
      <c r="AD1177" s="450"/>
      <c r="AE1177" s="450"/>
      <c r="AF1177" s="450"/>
      <c r="AG1177" s="450"/>
      <c r="AH1177" s="450"/>
      <c r="AI1177" s="450"/>
      <c r="AJ1177" s="450"/>
      <c r="AK1177" s="450"/>
      <c r="AL1177" s="450"/>
      <c r="AM1177" s="450"/>
      <c r="AN1177" s="450"/>
      <c r="AO1177" s="450"/>
      <c r="AP1177" s="450"/>
      <c r="AQ1177" s="450"/>
      <c r="AR1177" s="450"/>
      <c r="AS1177" s="450"/>
      <c r="AT1177" s="450"/>
      <c r="AU1177" s="450"/>
      <c r="AV1177" s="450"/>
      <c r="AW1177" s="450"/>
      <c r="AX1177" s="450"/>
      <c r="AY1177" s="450"/>
      <c r="AZ1177" s="450"/>
      <c r="BA1177" s="450"/>
      <c r="BB1177" s="450"/>
      <c r="BC1177" s="450"/>
      <c r="BD1177" s="450"/>
      <c r="BE1177" s="450"/>
      <c r="BF1177" s="450"/>
      <c r="BG1177" s="450"/>
      <c r="BH1177" s="450"/>
      <c r="BI1177" s="450"/>
      <c r="BJ1177" s="450"/>
      <c r="BK1177" s="450"/>
      <c r="BL1177" s="450"/>
      <c r="BM1177" s="450"/>
      <c r="BN1177" s="450"/>
      <c r="BO1177" s="450"/>
      <c r="BP1177" s="450"/>
      <c r="BQ1177" s="450"/>
      <c r="BR1177" s="450"/>
      <c r="BS1177" s="450"/>
      <c r="BT1177" s="450"/>
      <c r="BU1177" s="450"/>
      <c r="BV1177" s="450"/>
      <c r="BW1177" s="450"/>
      <c r="BX1177" s="450"/>
      <c r="BY1177" s="450"/>
      <c r="BZ1177" s="450"/>
      <c r="CA1177" s="450"/>
      <c r="CB1177" s="450"/>
      <c r="CC1177" s="450"/>
      <c r="CD1177" s="450"/>
      <c r="CE1177" s="450"/>
      <c r="CF1177" s="450"/>
      <c r="CG1177" s="450"/>
      <c r="CH1177" s="450"/>
      <c r="CI1177" s="450"/>
      <c r="CJ1177" s="450">
        <f>+CJ123</f>
        <v>6.923</v>
      </c>
      <c r="CK1177" s="450"/>
      <c r="CL1177" s="450"/>
      <c r="CM1177" s="450"/>
      <c r="CN1177" s="450"/>
      <c r="CO1177" s="450"/>
      <c r="CP1177" s="450">
        <f t="shared" ref="CP1177:DT1177" si="2368">+CP123</f>
        <v>11.029</v>
      </c>
      <c r="CQ1177" s="450">
        <f t="shared" si="2368"/>
        <v>11.029</v>
      </c>
      <c r="CR1177" s="450">
        <f t="shared" si="2368"/>
        <v>16.958400000000001</v>
      </c>
      <c r="CS1177" s="450">
        <f t="shared" si="2368"/>
        <v>16.958400000000001</v>
      </c>
      <c r="CT1177" s="450">
        <f t="shared" si="2368"/>
        <v>16.958400000000001</v>
      </c>
      <c r="CU1177" s="450">
        <f t="shared" si="2368"/>
        <v>24.301300000000001</v>
      </c>
      <c r="CV1177" s="450">
        <f t="shared" si="2368"/>
        <v>24.301300000000001</v>
      </c>
      <c r="CW1177" s="450">
        <f t="shared" si="2368"/>
        <v>24.301300000000001</v>
      </c>
      <c r="CX1177" s="450">
        <f t="shared" si="2368"/>
        <v>31.514099999999999</v>
      </c>
      <c r="CY1177" s="450">
        <f t="shared" si="2368"/>
        <v>31.514099999999999</v>
      </c>
      <c r="CZ1177" s="450">
        <f t="shared" si="2368"/>
        <v>31.514099999999999</v>
      </c>
      <c r="DA1177" s="450">
        <f t="shared" si="2368"/>
        <v>33.606200000000001</v>
      </c>
      <c r="DB1177" s="1314">
        <f t="shared" si="2368"/>
        <v>33.606200000000001</v>
      </c>
      <c r="DC1177" s="450">
        <f t="shared" si="2368"/>
        <v>33.606199999999994</v>
      </c>
      <c r="DD1177" s="450">
        <f t="shared" si="2368"/>
        <v>41.156300000000002</v>
      </c>
      <c r="DE1177" s="450">
        <f t="shared" si="2368"/>
        <v>41.156300000000002</v>
      </c>
      <c r="DF1177" s="450">
        <f t="shared" si="2368"/>
        <v>41.156300000000002</v>
      </c>
      <c r="DG1177" s="450">
        <f t="shared" si="2368"/>
        <v>46.197699999999998</v>
      </c>
      <c r="DH1177" s="450">
        <f t="shared" si="2368"/>
        <v>46.197699999999998</v>
      </c>
      <c r="DI1177" s="450">
        <f t="shared" si="2368"/>
        <v>46.197699999999998</v>
      </c>
      <c r="DJ1177" s="450">
        <f t="shared" si="2368"/>
        <v>51.979899999999994</v>
      </c>
      <c r="DK1177" s="450">
        <f t="shared" si="2368"/>
        <v>51.979899999999994</v>
      </c>
      <c r="DL1177" s="450">
        <f t="shared" si="2368"/>
        <v>51.979899999999994</v>
      </c>
      <c r="DM1177" s="450">
        <f t="shared" si="2368"/>
        <v>55.479899999999994</v>
      </c>
      <c r="DN1177" s="1333">
        <f t="shared" si="2368"/>
        <v>55.479899999999994</v>
      </c>
      <c r="DO1177" s="450">
        <f t="shared" si="2368"/>
        <v>55.479899999999994</v>
      </c>
      <c r="DP1177" s="450">
        <f t="shared" si="2368"/>
        <v>59.193999999999996</v>
      </c>
      <c r="DQ1177" s="450">
        <f t="shared" si="2368"/>
        <v>57.270900000000005</v>
      </c>
      <c r="DR1177" s="450">
        <f t="shared" si="2368"/>
        <v>57.270900000000005</v>
      </c>
      <c r="DS1177" s="450">
        <f t="shared" si="2368"/>
        <v>60.910900000000005</v>
      </c>
      <c r="DT1177" s="450">
        <f t="shared" si="2368"/>
        <v>60.910900000000005</v>
      </c>
      <c r="DU1177" s="450"/>
      <c r="DV1177" s="450"/>
      <c r="DW1177" s="450"/>
      <c r="DX1177" s="450"/>
      <c r="DY1177" s="450"/>
      <c r="DZ1177" s="1333"/>
      <c r="ID1177" s="495" t="str">
        <f t="shared" si="2360"/>
        <v>T bonds</v>
      </c>
      <c r="IE1177" s="495"/>
      <c r="IF1177" s="495"/>
      <c r="IG1177" s="495">
        <f t="shared" si="2367"/>
        <v>33.606200000000001</v>
      </c>
      <c r="IH1177" s="495"/>
      <c r="II1177" s="495"/>
      <c r="IJ1177" s="323">
        <f t="shared" si="2365"/>
        <v>55.479899999999994</v>
      </c>
      <c r="IK1177" s="495"/>
      <c r="IL1177" s="495"/>
      <c r="IM1177" s="323"/>
      <c r="IN1177" s="495"/>
      <c r="IO1177" s="495"/>
      <c r="IP1177" s="323"/>
      <c r="IQ1177" s="323"/>
      <c r="IR1177" s="323"/>
      <c r="IS1177" s="323"/>
      <c r="IT1177" s="323"/>
      <c r="IU1177" s="323"/>
      <c r="IV1177" s="323"/>
      <c r="KU1177" s="279"/>
    </row>
    <row r="1178" spans="1:307" ht="15.6">
      <c r="A1178" s="279"/>
      <c r="B1178" s="279"/>
      <c r="C1178" s="279"/>
      <c r="D1178" s="476" t="s">
        <v>649</v>
      </c>
      <c r="E1178" s="450"/>
      <c r="F1178" s="450"/>
      <c r="G1178" s="450"/>
      <c r="H1178" s="450"/>
      <c r="I1178" s="450"/>
      <c r="J1178" s="450"/>
      <c r="K1178" s="450"/>
      <c r="L1178" s="450"/>
      <c r="M1178" s="450"/>
      <c r="N1178" s="450"/>
      <c r="O1178" s="450"/>
      <c r="P1178" s="450"/>
      <c r="Q1178" s="450"/>
      <c r="R1178" s="450"/>
      <c r="S1178" s="450"/>
      <c r="T1178" s="450"/>
      <c r="U1178" s="450"/>
      <c r="V1178" s="450"/>
      <c r="W1178" s="450"/>
      <c r="X1178" s="450"/>
      <c r="Y1178" s="450"/>
      <c r="Z1178" s="450"/>
      <c r="AA1178" s="450"/>
      <c r="AB1178" s="450"/>
      <c r="AC1178" s="450"/>
      <c r="AD1178" s="450"/>
      <c r="AE1178" s="450"/>
      <c r="AF1178" s="450"/>
      <c r="AG1178" s="450"/>
      <c r="AH1178" s="450"/>
      <c r="AI1178" s="450"/>
      <c r="AJ1178" s="450"/>
      <c r="AK1178" s="450"/>
      <c r="AL1178" s="450"/>
      <c r="AM1178" s="450"/>
      <c r="AN1178" s="450"/>
      <c r="AO1178" s="450"/>
      <c r="AP1178" s="450"/>
      <c r="AQ1178" s="450"/>
      <c r="AR1178" s="450"/>
      <c r="AS1178" s="450"/>
      <c r="AT1178" s="450"/>
      <c r="AU1178" s="450"/>
      <c r="AV1178" s="450"/>
      <c r="AW1178" s="450"/>
      <c r="AX1178" s="450"/>
      <c r="AY1178" s="450"/>
      <c r="AZ1178" s="450"/>
      <c r="BA1178" s="450"/>
      <c r="BB1178" s="450"/>
      <c r="BC1178" s="450"/>
      <c r="BD1178" s="450"/>
      <c r="BE1178" s="450"/>
      <c r="BF1178" s="450"/>
      <c r="BG1178" s="450"/>
      <c r="BH1178" s="450"/>
      <c r="BI1178" s="450"/>
      <c r="BJ1178" s="450"/>
      <c r="BK1178" s="450"/>
      <c r="BL1178" s="450"/>
      <c r="BM1178" s="450"/>
      <c r="BN1178" s="450"/>
      <c r="BO1178" s="450"/>
      <c r="BP1178" s="450"/>
      <c r="BQ1178" s="450"/>
      <c r="BR1178" s="450"/>
      <c r="BS1178" s="450"/>
      <c r="BT1178" s="450"/>
      <c r="BU1178" s="450"/>
      <c r="BV1178" s="450"/>
      <c r="BW1178" s="450"/>
      <c r="BX1178" s="450"/>
      <c r="BY1178" s="450"/>
      <c r="BZ1178" s="450"/>
      <c r="CA1178" s="450"/>
      <c r="CB1178" s="450"/>
      <c r="CC1178" s="450"/>
      <c r="CD1178" s="450"/>
      <c r="CE1178" s="450"/>
      <c r="CF1178" s="450"/>
      <c r="CG1178" s="450"/>
      <c r="CH1178" s="450"/>
      <c r="CI1178" s="450"/>
      <c r="CJ1178" s="477">
        <f>+CJ1179+CJ1180+CJ1181</f>
        <v>1.6489876489999999</v>
      </c>
      <c r="CK1178" s="450"/>
      <c r="CL1178" s="450"/>
      <c r="CM1178" s="450"/>
      <c r="CN1178" s="450"/>
      <c r="CO1178" s="450"/>
      <c r="CP1178" s="477">
        <f t="shared" ref="CP1178:DB1178" si="2369">+CP1179+CP1180+CP1181</f>
        <v>1.4344716850000001</v>
      </c>
      <c r="CQ1178" s="477">
        <f t="shared" si="2369"/>
        <v>1.4344716850000001</v>
      </c>
      <c r="CR1178" s="477">
        <f t="shared" si="2369"/>
        <v>1.4344716850000001</v>
      </c>
      <c r="CS1178" s="477">
        <f t="shared" si="2369"/>
        <v>1.327213703</v>
      </c>
      <c r="CT1178" s="477">
        <f t="shared" si="2369"/>
        <v>1.327213703</v>
      </c>
      <c r="CU1178" s="477">
        <f t="shared" si="2369"/>
        <v>1.327213703</v>
      </c>
      <c r="CV1178" s="477">
        <f t="shared" si="2369"/>
        <v>1.2199557209999998</v>
      </c>
      <c r="CW1178" s="477">
        <f t="shared" si="2369"/>
        <v>1.2199557209999998</v>
      </c>
      <c r="CX1178" s="477">
        <f t="shared" si="2369"/>
        <v>1.2199557209999998</v>
      </c>
      <c r="CY1178" s="477">
        <f t="shared" si="2369"/>
        <v>1.1126557209999999</v>
      </c>
      <c r="CZ1178" s="477">
        <f t="shared" si="2369"/>
        <v>1.1126557209999999</v>
      </c>
      <c r="DA1178" s="477">
        <f t="shared" si="2369"/>
        <v>1.1126557209999999</v>
      </c>
      <c r="DB1178" s="1318">
        <f t="shared" si="2369"/>
        <v>1.005397747</v>
      </c>
      <c r="DC1178" s="477">
        <f t="shared" ref="DC1178:DH1178" si="2370">+DC1179+DC1180+DC1181</f>
        <v>1.005397747</v>
      </c>
      <c r="DD1178" s="477">
        <f t="shared" si="2370"/>
        <v>1.005397747</v>
      </c>
      <c r="DE1178" s="477">
        <f t="shared" si="2370"/>
        <v>0.89813976499999992</v>
      </c>
      <c r="DF1178" s="477">
        <f t="shared" si="2370"/>
        <v>0.89813976499999992</v>
      </c>
      <c r="DG1178" s="477">
        <f t="shared" si="2370"/>
        <v>0.89813976499999992</v>
      </c>
      <c r="DH1178" s="477">
        <f t="shared" si="2370"/>
        <v>0.61071953599999995</v>
      </c>
      <c r="DI1178" s="477">
        <f t="shared" ref="DI1178:DN1178" si="2371">+DI1179+DI1180+DI1181</f>
        <v>0.61071953599999995</v>
      </c>
      <c r="DJ1178" s="477">
        <f t="shared" si="2371"/>
        <v>0.61071953599999995</v>
      </c>
      <c r="DK1178" s="477">
        <f t="shared" si="2371"/>
        <v>0.61071953599999995</v>
      </c>
      <c r="DL1178" s="477">
        <f t="shared" si="2371"/>
        <v>0.61071953599999995</v>
      </c>
      <c r="DM1178" s="477">
        <f t="shared" si="2371"/>
        <v>0.61071953599999995</v>
      </c>
      <c r="DN1178" s="1336">
        <f t="shared" si="2371"/>
        <v>0.61071953599999995</v>
      </c>
      <c r="DO1178" s="477">
        <f t="shared" ref="DO1178:DT1178" si="2372">+DO1179+DO1180+DO1181</f>
        <v>0.61071953599999995</v>
      </c>
      <c r="DP1178" s="477">
        <f t="shared" si="2372"/>
        <v>0.61071953599999995</v>
      </c>
      <c r="DQ1178" s="477">
        <f t="shared" si="2372"/>
        <v>0.61071953599999995</v>
      </c>
      <c r="DR1178" s="477">
        <f t="shared" si="2372"/>
        <v>0.61071953599999995</v>
      </c>
      <c r="DS1178" s="477">
        <f t="shared" si="2372"/>
        <v>0.61071953599999995</v>
      </c>
      <c r="DT1178" s="477">
        <f t="shared" si="2372"/>
        <v>0.41704511100000002</v>
      </c>
      <c r="DU1178" s="477"/>
      <c r="DV1178" s="477"/>
      <c r="DW1178" s="477"/>
      <c r="DX1178" s="477"/>
      <c r="DY1178" s="477"/>
      <c r="DZ1178" s="1336"/>
      <c r="ID1178" s="494" t="str">
        <f t="shared" si="2360"/>
        <v>Corporate bonds</v>
      </c>
      <c r="IE1178" s="495"/>
      <c r="IF1178" s="495"/>
      <c r="IG1178" s="496">
        <f t="shared" si="2367"/>
        <v>1.005397747</v>
      </c>
      <c r="IH1178" s="496"/>
      <c r="II1178" s="495"/>
      <c r="IJ1178" s="683">
        <f t="shared" si="2365"/>
        <v>0.61071953599999995</v>
      </c>
      <c r="IK1178" s="495"/>
      <c r="IL1178" s="495"/>
      <c r="IM1178" s="323"/>
      <c r="IN1178" s="495"/>
      <c r="IO1178" s="495"/>
      <c r="IP1178" s="323"/>
      <c r="IQ1178" s="323"/>
      <c r="IR1178" s="323"/>
      <c r="IS1178" s="323"/>
      <c r="IT1178" s="323"/>
      <c r="IU1178" s="323"/>
      <c r="IV1178" s="323"/>
      <c r="KU1178" s="279"/>
    </row>
    <row r="1179" spans="1:307" ht="15.6">
      <c r="A1179" s="279"/>
      <c r="B1179" s="279"/>
      <c r="C1179" s="279"/>
      <c r="D1179" s="449" t="str">
        <f>+D88</f>
        <v>BANCOR</v>
      </c>
      <c r="E1179" s="450"/>
      <c r="F1179" s="450"/>
      <c r="G1179" s="450"/>
      <c r="H1179" s="450"/>
      <c r="I1179" s="450"/>
      <c r="J1179" s="450"/>
      <c r="K1179" s="450"/>
      <c r="L1179" s="450"/>
      <c r="M1179" s="450"/>
      <c r="N1179" s="450"/>
      <c r="O1179" s="450"/>
      <c r="P1179" s="450"/>
      <c r="Q1179" s="450"/>
      <c r="R1179" s="450"/>
      <c r="S1179" s="450"/>
      <c r="T1179" s="450"/>
      <c r="U1179" s="450"/>
      <c r="V1179" s="450"/>
      <c r="W1179" s="450"/>
      <c r="X1179" s="450"/>
      <c r="Y1179" s="450"/>
      <c r="Z1179" s="450"/>
      <c r="AA1179" s="450"/>
      <c r="AB1179" s="450"/>
      <c r="AC1179" s="450"/>
      <c r="AD1179" s="450"/>
      <c r="AE1179" s="450"/>
      <c r="AF1179" s="450"/>
      <c r="AG1179" s="450"/>
      <c r="AH1179" s="450"/>
      <c r="AI1179" s="450"/>
      <c r="AJ1179" s="450"/>
      <c r="AK1179" s="450"/>
      <c r="AL1179" s="450"/>
      <c r="AM1179" s="450"/>
      <c r="AN1179" s="450"/>
      <c r="AO1179" s="450"/>
      <c r="AP1179" s="450"/>
      <c r="AQ1179" s="450"/>
      <c r="AR1179" s="450"/>
      <c r="AS1179" s="450"/>
      <c r="AT1179" s="450"/>
      <c r="AU1179" s="450"/>
      <c r="AV1179" s="450"/>
      <c r="AW1179" s="450"/>
      <c r="AX1179" s="450"/>
      <c r="AY1179" s="450"/>
      <c r="AZ1179" s="450"/>
      <c r="BA1179" s="450"/>
      <c r="BB1179" s="450"/>
      <c r="BC1179" s="450"/>
      <c r="BD1179" s="450"/>
      <c r="BE1179" s="450"/>
      <c r="BF1179" s="450"/>
      <c r="BG1179" s="450"/>
      <c r="BH1179" s="450"/>
      <c r="BI1179" s="450"/>
      <c r="BJ1179" s="450"/>
      <c r="BK1179" s="450"/>
      <c r="BL1179" s="450"/>
      <c r="BM1179" s="450"/>
      <c r="BN1179" s="450"/>
      <c r="BO1179" s="450"/>
      <c r="BP1179" s="450"/>
      <c r="BQ1179" s="450"/>
      <c r="BR1179" s="450"/>
      <c r="BS1179" s="450"/>
      <c r="BT1179" s="450"/>
      <c r="BU1179" s="450"/>
      <c r="BV1179" s="450"/>
      <c r="BW1179" s="450"/>
      <c r="BX1179" s="450"/>
      <c r="BY1179" s="450"/>
      <c r="BZ1179" s="450"/>
      <c r="CA1179" s="450"/>
      <c r="CB1179" s="450"/>
      <c r="CC1179" s="450"/>
      <c r="CD1179" s="450"/>
      <c r="CE1179" s="450"/>
      <c r="CF1179" s="450"/>
      <c r="CG1179" s="450"/>
      <c r="CH1179" s="450"/>
      <c r="CI1179" s="450"/>
      <c r="CJ1179" s="450">
        <f>+CJ88</f>
        <v>0.89935816700000004</v>
      </c>
      <c r="CK1179" s="450"/>
      <c r="CL1179" s="450"/>
      <c r="CM1179" s="450"/>
      <c r="CN1179" s="450"/>
      <c r="CO1179" s="450"/>
      <c r="CP1179" s="450">
        <f t="shared" ref="CP1179:DT1179" si="2373">+CP88</f>
        <v>0.68484220299999998</v>
      </c>
      <c r="CQ1179" s="450">
        <f t="shared" si="2373"/>
        <v>0.68484220299999998</v>
      </c>
      <c r="CR1179" s="450">
        <f t="shared" si="2373"/>
        <v>0.68484220299999998</v>
      </c>
      <c r="CS1179" s="450">
        <f t="shared" si="2373"/>
        <v>0.57758422099999995</v>
      </c>
      <c r="CT1179" s="450">
        <f t="shared" si="2373"/>
        <v>0.57758422099999995</v>
      </c>
      <c r="CU1179" s="450">
        <f t="shared" si="2373"/>
        <v>0.57758422099999995</v>
      </c>
      <c r="CV1179" s="450">
        <f t="shared" si="2373"/>
        <v>0.47032623899999992</v>
      </c>
      <c r="CW1179" s="450">
        <f t="shared" si="2373"/>
        <v>0.47032623899999992</v>
      </c>
      <c r="CX1179" s="450">
        <f t="shared" si="2373"/>
        <v>0.47032623899999992</v>
      </c>
      <c r="CY1179" s="450">
        <f t="shared" si="2373"/>
        <v>0.36302623899999992</v>
      </c>
      <c r="CZ1179" s="450">
        <f t="shared" si="2373"/>
        <v>0.36302623899999992</v>
      </c>
      <c r="DA1179" s="450">
        <f t="shared" si="2373"/>
        <v>0.36302623899999992</v>
      </c>
      <c r="DB1179" s="1314">
        <f t="shared" si="2373"/>
        <v>0.25576826499999994</v>
      </c>
      <c r="DC1179" s="450">
        <f t="shared" si="2373"/>
        <v>0.25576826499999994</v>
      </c>
      <c r="DD1179" s="450">
        <f t="shared" si="2373"/>
        <v>0.25576826499999994</v>
      </c>
      <c r="DE1179" s="450">
        <f t="shared" si="2373"/>
        <v>0.14851028299999994</v>
      </c>
      <c r="DF1179" s="450">
        <f t="shared" si="2373"/>
        <v>0.14851028299999994</v>
      </c>
      <c r="DG1179" s="450">
        <f t="shared" si="2373"/>
        <v>0.14851028299999994</v>
      </c>
      <c r="DH1179" s="450">
        <f t="shared" si="2373"/>
        <v>4.1252308999999932E-2</v>
      </c>
      <c r="DI1179" s="450">
        <f t="shared" si="2373"/>
        <v>4.1252308999999932E-2</v>
      </c>
      <c r="DJ1179" s="450">
        <f t="shared" si="2373"/>
        <v>4.1252308999999932E-2</v>
      </c>
      <c r="DK1179" s="450">
        <f t="shared" si="2373"/>
        <v>4.1252308999999932E-2</v>
      </c>
      <c r="DL1179" s="450">
        <f t="shared" si="2373"/>
        <v>4.1252308999999932E-2</v>
      </c>
      <c r="DM1179" s="450">
        <f t="shared" si="2373"/>
        <v>4.1252308999999932E-2</v>
      </c>
      <c r="DN1179" s="1333">
        <f t="shared" si="2373"/>
        <v>4.1252308999999932E-2</v>
      </c>
      <c r="DO1179" s="450">
        <f t="shared" si="2373"/>
        <v>4.1252308999999932E-2</v>
      </c>
      <c r="DP1179" s="450">
        <f t="shared" si="2373"/>
        <v>4.1252308999999932E-2</v>
      </c>
      <c r="DQ1179" s="450">
        <f t="shared" si="2373"/>
        <v>4.1252308999999932E-2</v>
      </c>
      <c r="DR1179" s="450">
        <f t="shared" si="2373"/>
        <v>4.1252308999999932E-2</v>
      </c>
      <c r="DS1179" s="450">
        <f t="shared" si="2373"/>
        <v>4.1252308999999932E-2</v>
      </c>
      <c r="DT1179" s="450">
        <f t="shared" si="2373"/>
        <v>4.1252308999999932E-2</v>
      </c>
      <c r="DU1179" s="450"/>
      <c r="DV1179" s="450"/>
      <c r="DW1179" s="450"/>
      <c r="DX1179" s="450"/>
      <c r="DY1179" s="450"/>
      <c r="DZ1179" s="1333"/>
      <c r="ID1179" s="495" t="str">
        <f t="shared" si="2360"/>
        <v>BANCOR</v>
      </c>
      <c r="IE1179" s="495"/>
      <c r="IF1179" s="495"/>
      <c r="IG1179" s="495">
        <f t="shared" si="2367"/>
        <v>0.25576826499999994</v>
      </c>
      <c r="IH1179" s="495"/>
      <c r="II1179" s="495"/>
      <c r="IJ1179" s="323">
        <f t="shared" si="2365"/>
        <v>4.1252308999999932E-2</v>
      </c>
      <c r="IK1179" s="495"/>
      <c r="IL1179" s="495"/>
      <c r="IM1179" s="323"/>
      <c r="IN1179" s="495"/>
      <c r="IO1179" s="495"/>
      <c r="IP1179" s="323"/>
      <c r="IQ1179" s="323"/>
      <c r="IR1179" s="323"/>
      <c r="IS1179" s="323"/>
      <c r="IT1179" s="323"/>
      <c r="IU1179" s="323"/>
      <c r="IV1179" s="323"/>
      <c r="KU1179" s="279"/>
    </row>
    <row r="1180" spans="1:307" ht="15.6">
      <c r="A1180" s="279"/>
      <c r="B1180" s="279"/>
      <c r="C1180" s="279"/>
      <c r="D1180" s="449" t="str">
        <f>+D89</f>
        <v>BCR</v>
      </c>
      <c r="E1180" s="450"/>
      <c r="F1180" s="450"/>
      <c r="G1180" s="450"/>
      <c r="H1180" s="450"/>
      <c r="I1180" s="450"/>
      <c r="J1180" s="450"/>
      <c r="K1180" s="450"/>
      <c r="L1180" s="450"/>
      <c r="M1180" s="450"/>
      <c r="N1180" s="450"/>
      <c r="O1180" s="450"/>
      <c r="P1180" s="450"/>
      <c r="Q1180" s="450"/>
      <c r="R1180" s="450"/>
      <c r="S1180" s="450"/>
      <c r="T1180" s="450"/>
      <c r="U1180" s="450"/>
      <c r="V1180" s="450"/>
      <c r="W1180" s="450"/>
      <c r="X1180" s="450"/>
      <c r="Y1180" s="450"/>
      <c r="Z1180" s="450"/>
      <c r="AA1180" s="450"/>
      <c r="AB1180" s="450"/>
      <c r="AC1180" s="450"/>
      <c r="AD1180" s="450"/>
      <c r="AE1180" s="450"/>
      <c r="AF1180" s="450"/>
      <c r="AG1180" s="450"/>
      <c r="AH1180" s="450"/>
      <c r="AI1180" s="450"/>
      <c r="AJ1180" s="450"/>
      <c r="AK1180" s="450"/>
      <c r="AL1180" s="450"/>
      <c r="AM1180" s="450"/>
      <c r="AN1180" s="450"/>
      <c r="AO1180" s="450"/>
      <c r="AP1180" s="450"/>
      <c r="AQ1180" s="450"/>
      <c r="AR1180" s="450"/>
      <c r="AS1180" s="450"/>
      <c r="AT1180" s="450"/>
      <c r="AU1180" s="450"/>
      <c r="AV1180" s="450"/>
      <c r="AW1180" s="450"/>
      <c r="AX1180" s="450"/>
      <c r="AY1180" s="450"/>
      <c r="AZ1180" s="450"/>
      <c r="BA1180" s="450"/>
      <c r="BB1180" s="450"/>
      <c r="BC1180" s="450"/>
      <c r="BD1180" s="450"/>
      <c r="BE1180" s="450"/>
      <c r="BF1180" s="450"/>
      <c r="BG1180" s="450"/>
      <c r="BH1180" s="450"/>
      <c r="BI1180" s="450"/>
      <c r="BJ1180" s="450"/>
      <c r="BK1180" s="450"/>
      <c r="BL1180" s="450"/>
      <c r="BM1180" s="450"/>
      <c r="BN1180" s="450"/>
      <c r="BO1180" s="450"/>
      <c r="BP1180" s="450"/>
      <c r="BQ1180" s="450"/>
      <c r="BR1180" s="450"/>
      <c r="BS1180" s="450"/>
      <c r="BT1180" s="450"/>
      <c r="BU1180" s="450"/>
      <c r="BV1180" s="450"/>
      <c r="BW1180" s="450"/>
      <c r="BX1180" s="450"/>
      <c r="BY1180" s="450"/>
      <c r="BZ1180" s="450"/>
      <c r="CA1180" s="450"/>
      <c r="CB1180" s="450"/>
      <c r="CC1180" s="450"/>
      <c r="CD1180" s="450"/>
      <c r="CE1180" s="450"/>
      <c r="CF1180" s="450"/>
      <c r="CG1180" s="450"/>
      <c r="CH1180" s="450"/>
      <c r="CI1180" s="450"/>
      <c r="CJ1180" s="450">
        <f>+CJ89</f>
        <v>0.74962948200000001</v>
      </c>
      <c r="CK1180" s="450"/>
      <c r="CL1180" s="450"/>
      <c r="CM1180" s="450"/>
      <c r="CN1180" s="450"/>
      <c r="CO1180" s="450"/>
      <c r="CP1180" s="450">
        <f t="shared" ref="CP1180:DT1180" si="2374">+CP89</f>
        <v>0.74962948200000001</v>
      </c>
      <c r="CQ1180" s="450">
        <f t="shared" si="2374"/>
        <v>0.74962948200000001</v>
      </c>
      <c r="CR1180" s="450">
        <f t="shared" si="2374"/>
        <v>0.74962948200000001</v>
      </c>
      <c r="CS1180" s="450">
        <f t="shared" si="2374"/>
        <v>0.74962948200000001</v>
      </c>
      <c r="CT1180" s="450">
        <f t="shared" si="2374"/>
        <v>0.74962948200000001</v>
      </c>
      <c r="CU1180" s="450">
        <f t="shared" si="2374"/>
        <v>0.74962948200000001</v>
      </c>
      <c r="CV1180" s="450">
        <f t="shared" si="2374"/>
        <v>0.74962948200000001</v>
      </c>
      <c r="CW1180" s="450">
        <f t="shared" si="2374"/>
        <v>0.74962948200000001</v>
      </c>
      <c r="CX1180" s="450">
        <f t="shared" si="2374"/>
        <v>0.74962948200000001</v>
      </c>
      <c r="CY1180" s="450">
        <f t="shared" si="2374"/>
        <v>0.74962948200000001</v>
      </c>
      <c r="CZ1180" s="450">
        <f t="shared" si="2374"/>
        <v>0.74962948200000001</v>
      </c>
      <c r="DA1180" s="450">
        <f t="shared" si="2374"/>
        <v>0.74962948200000001</v>
      </c>
      <c r="DB1180" s="1314">
        <f t="shared" si="2374"/>
        <v>0.74962948200000001</v>
      </c>
      <c r="DC1180" s="450">
        <f t="shared" si="2374"/>
        <v>0.74962948200000001</v>
      </c>
      <c r="DD1180" s="450">
        <f t="shared" si="2374"/>
        <v>0.74962948200000001</v>
      </c>
      <c r="DE1180" s="450">
        <f t="shared" si="2374"/>
        <v>0.74962948200000001</v>
      </c>
      <c r="DF1180" s="450">
        <f t="shared" si="2374"/>
        <v>0.74962948200000001</v>
      </c>
      <c r="DG1180" s="450">
        <f t="shared" si="2374"/>
        <v>0.74962948200000001</v>
      </c>
      <c r="DH1180" s="450">
        <f t="shared" si="2374"/>
        <v>0.56946722700000008</v>
      </c>
      <c r="DI1180" s="450">
        <f t="shared" si="2374"/>
        <v>0.56946722700000008</v>
      </c>
      <c r="DJ1180" s="450">
        <f t="shared" si="2374"/>
        <v>0.56946722700000008</v>
      </c>
      <c r="DK1180" s="450">
        <f t="shared" si="2374"/>
        <v>0.56946722700000008</v>
      </c>
      <c r="DL1180" s="450">
        <f t="shared" si="2374"/>
        <v>0.56946722700000008</v>
      </c>
      <c r="DM1180" s="450">
        <f t="shared" si="2374"/>
        <v>0.56946722700000008</v>
      </c>
      <c r="DN1180" s="1333">
        <f t="shared" si="2374"/>
        <v>0.56946722700000008</v>
      </c>
      <c r="DO1180" s="450">
        <f t="shared" si="2374"/>
        <v>0.56946722700000008</v>
      </c>
      <c r="DP1180" s="450">
        <f t="shared" si="2374"/>
        <v>0.56946722700000008</v>
      </c>
      <c r="DQ1180" s="450">
        <f t="shared" si="2374"/>
        <v>0.56946722700000008</v>
      </c>
      <c r="DR1180" s="450">
        <f t="shared" si="2374"/>
        <v>0.56946722700000008</v>
      </c>
      <c r="DS1180" s="450">
        <f t="shared" si="2374"/>
        <v>0.56946722700000008</v>
      </c>
      <c r="DT1180" s="450">
        <f t="shared" si="2374"/>
        <v>0.37579280200000009</v>
      </c>
      <c r="DU1180" s="450"/>
      <c r="DV1180" s="450"/>
      <c r="DW1180" s="450"/>
      <c r="DX1180" s="450"/>
      <c r="DY1180" s="450"/>
      <c r="DZ1180" s="1333"/>
      <c r="ID1180" s="495" t="str">
        <f t="shared" si="2360"/>
        <v>BCR</v>
      </c>
      <c r="IE1180" s="495"/>
      <c r="IF1180" s="495"/>
      <c r="IG1180" s="495">
        <f t="shared" si="2367"/>
        <v>0.74962948200000001</v>
      </c>
      <c r="IH1180" s="495"/>
      <c r="II1180" s="495"/>
      <c r="IJ1180" s="323">
        <f t="shared" si="2365"/>
        <v>0.56946722700000008</v>
      </c>
      <c r="IK1180" s="495"/>
      <c r="IL1180" s="495"/>
      <c r="IM1180" s="323"/>
      <c r="IN1180" s="495"/>
      <c r="IO1180" s="495"/>
      <c r="IP1180" s="323"/>
      <c r="IQ1180" s="323"/>
      <c r="IR1180" s="323"/>
      <c r="IS1180" s="323"/>
      <c r="IT1180" s="323"/>
      <c r="IU1180" s="323"/>
      <c r="IV1180" s="323"/>
      <c r="KU1180" s="279"/>
    </row>
    <row r="1181" spans="1:307" ht="15.6">
      <c r="A1181" s="279"/>
      <c r="B1181" s="279"/>
      <c r="C1181" s="279"/>
      <c r="D1181" s="449" t="str">
        <f>+D90</f>
        <v>BK/ONATRACOM</v>
      </c>
      <c r="E1181" s="450"/>
      <c r="F1181" s="450"/>
      <c r="G1181" s="450"/>
      <c r="H1181" s="450"/>
      <c r="I1181" s="450"/>
      <c r="J1181" s="450"/>
      <c r="K1181" s="450"/>
      <c r="L1181" s="450"/>
      <c r="M1181" s="450"/>
      <c r="N1181" s="450"/>
      <c r="O1181" s="450"/>
      <c r="P1181" s="450"/>
      <c r="Q1181" s="450"/>
      <c r="R1181" s="450"/>
      <c r="S1181" s="450"/>
      <c r="T1181" s="450"/>
      <c r="U1181" s="450"/>
      <c r="V1181" s="450"/>
      <c r="W1181" s="450"/>
      <c r="X1181" s="450"/>
      <c r="Y1181" s="450"/>
      <c r="Z1181" s="450"/>
      <c r="AA1181" s="450"/>
      <c r="AB1181" s="450"/>
      <c r="AC1181" s="450"/>
      <c r="AD1181" s="450"/>
      <c r="AE1181" s="450"/>
      <c r="AF1181" s="450"/>
      <c r="AG1181" s="450"/>
      <c r="AH1181" s="450"/>
      <c r="AI1181" s="450"/>
      <c r="AJ1181" s="450"/>
      <c r="AK1181" s="450"/>
      <c r="AL1181" s="450"/>
      <c r="AM1181" s="450"/>
      <c r="AN1181" s="450"/>
      <c r="AO1181" s="450"/>
      <c r="AP1181" s="450"/>
      <c r="AQ1181" s="450"/>
      <c r="AR1181" s="450"/>
      <c r="AS1181" s="450"/>
      <c r="AT1181" s="450"/>
      <c r="AU1181" s="450"/>
      <c r="AV1181" s="450"/>
      <c r="AW1181" s="450"/>
      <c r="AX1181" s="450"/>
      <c r="AY1181" s="450"/>
      <c r="AZ1181" s="450"/>
      <c r="BA1181" s="450"/>
      <c r="BB1181" s="450"/>
      <c r="BC1181" s="450"/>
      <c r="BD1181" s="450"/>
      <c r="BE1181" s="450"/>
      <c r="BF1181" s="450"/>
      <c r="BG1181" s="450"/>
      <c r="BH1181" s="450"/>
      <c r="BI1181" s="450"/>
      <c r="BJ1181" s="450"/>
      <c r="BK1181" s="450"/>
      <c r="BL1181" s="450"/>
      <c r="BM1181" s="450"/>
      <c r="BN1181" s="450"/>
      <c r="BO1181" s="450"/>
      <c r="BP1181" s="450"/>
      <c r="BQ1181" s="450"/>
      <c r="BR1181" s="450"/>
      <c r="BS1181" s="450"/>
      <c r="BT1181" s="450"/>
      <c r="BU1181" s="450"/>
      <c r="BV1181" s="450"/>
      <c r="BW1181" s="450"/>
      <c r="BX1181" s="450"/>
      <c r="BY1181" s="450"/>
      <c r="BZ1181" s="450"/>
      <c r="CA1181" s="450"/>
      <c r="CB1181" s="450"/>
      <c r="CC1181" s="450"/>
      <c r="CD1181" s="450"/>
      <c r="CE1181" s="450"/>
      <c r="CF1181" s="450"/>
      <c r="CG1181" s="450"/>
      <c r="CH1181" s="450"/>
      <c r="CI1181" s="450"/>
      <c r="CJ1181" s="450">
        <f>+CJ90</f>
        <v>0</v>
      </c>
      <c r="CK1181" s="450"/>
      <c r="CL1181" s="450"/>
      <c r="CM1181" s="450"/>
      <c r="CN1181" s="450"/>
      <c r="CO1181" s="450"/>
      <c r="CP1181" s="450">
        <f t="shared" ref="CP1181:DT1181" si="2375">+CP90</f>
        <v>0</v>
      </c>
      <c r="CQ1181" s="450">
        <f t="shared" si="2375"/>
        <v>0</v>
      </c>
      <c r="CR1181" s="450">
        <f t="shared" si="2375"/>
        <v>0</v>
      </c>
      <c r="CS1181" s="450">
        <f t="shared" si="2375"/>
        <v>0</v>
      </c>
      <c r="CT1181" s="450">
        <f t="shared" si="2375"/>
        <v>0</v>
      </c>
      <c r="CU1181" s="450">
        <f t="shared" si="2375"/>
        <v>0</v>
      </c>
      <c r="CV1181" s="450">
        <f t="shared" si="2375"/>
        <v>0</v>
      </c>
      <c r="CW1181" s="450">
        <f t="shared" si="2375"/>
        <v>0</v>
      </c>
      <c r="CX1181" s="450">
        <f t="shared" si="2375"/>
        <v>0</v>
      </c>
      <c r="CY1181" s="450">
        <f t="shared" si="2375"/>
        <v>0</v>
      </c>
      <c r="CZ1181" s="450">
        <f t="shared" si="2375"/>
        <v>0</v>
      </c>
      <c r="DA1181" s="450">
        <f t="shared" si="2375"/>
        <v>0</v>
      </c>
      <c r="DB1181" s="1314">
        <f t="shared" si="2375"/>
        <v>0</v>
      </c>
      <c r="DC1181" s="450">
        <f t="shared" si="2375"/>
        <v>0</v>
      </c>
      <c r="DD1181" s="450">
        <f t="shared" si="2375"/>
        <v>0</v>
      </c>
      <c r="DE1181" s="450">
        <f t="shared" si="2375"/>
        <v>0</v>
      </c>
      <c r="DF1181" s="450">
        <f t="shared" si="2375"/>
        <v>0</v>
      </c>
      <c r="DG1181" s="450">
        <f t="shared" si="2375"/>
        <v>0</v>
      </c>
      <c r="DH1181" s="450">
        <f t="shared" si="2375"/>
        <v>0</v>
      </c>
      <c r="DI1181" s="450">
        <f t="shared" si="2375"/>
        <v>0</v>
      </c>
      <c r="DJ1181" s="450">
        <f t="shared" si="2375"/>
        <v>0</v>
      </c>
      <c r="DK1181" s="450">
        <f t="shared" si="2375"/>
        <v>0</v>
      </c>
      <c r="DL1181" s="450">
        <f t="shared" si="2375"/>
        <v>0</v>
      </c>
      <c r="DM1181" s="450">
        <f t="shared" si="2375"/>
        <v>0</v>
      </c>
      <c r="DN1181" s="1333">
        <f t="shared" si="2375"/>
        <v>0</v>
      </c>
      <c r="DO1181" s="450">
        <f t="shared" si="2375"/>
        <v>0</v>
      </c>
      <c r="DP1181" s="450">
        <f t="shared" si="2375"/>
        <v>0</v>
      </c>
      <c r="DQ1181" s="450">
        <f t="shared" si="2375"/>
        <v>0</v>
      </c>
      <c r="DR1181" s="450">
        <f t="shared" si="2375"/>
        <v>0</v>
      </c>
      <c r="DS1181" s="450">
        <f t="shared" si="2375"/>
        <v>0</v>
      </c>
      <c r="DT1181" s="450">
        <f t="shared" si="2375"/>
        <v>0</v>
      </c>
      <c r="DU1181" s="450"/>
      <c r="DV1181" s="450"/>
      <c r="DW1181" s="450"/>
      <c r="DX1181" s="450"/>
      <c r="DY1181" s="450"/>
      <c r="DZ1181" s="1333"/>
      <c r="ID1181" s="495" t="str">
        <f t="shared" si="2360"/>
        <v>BK/ONATRACOM</v>
      </c>
      <c r="IE1181" s="495"/>
      <c r="IF1181" s="495"/>
      <c r="IG1181" s="495">
        <f t="shared" si="2367"/>
        <v>0</v>
      </c>
      <c r="IH1181" s="495"/>
      <c r="II1181" s="495"/>
      <c r="IJ1181" s="323">
        <f t="shared" si="2365"/>
        <v>0</v>
      </c>
      <c r="IK1181" s="495"/>
      <c r="IL1181" s="495"/>
      <c r="IM1181" s="323"/>
      <c r="IN1181" s="495"/>
      <c r="IO1181" s="495"/>
      <c r="IP1181" s="323"/>
      <c r="IQ1181" s="323"/>
      <c r="IR1181" s="323"/>
      <c r="IS1181" s="323"/>
      <c r="IT1181" s="323"/>
      <c r="IU1181" s="323"/>
      <c r="IV1181" s="323"/>
      <c r="KU1181" s="279"/>
    </row>
    <row r="1182" spans="1:307" ht="15.6">
      <c r="A1182" s="279"/>
      <c r="B1182" s="279"/>
      <c r="C1182" s="279"/>
      <c r="D1182" s="449"/>
      <c r="E1182" s="450"/>
      <c r="F1182" s="450"/>
      <c r="G1182" s="450"/>
      <c r="H1182" s="450"/>
      <c r="I1182" s="450"/>
      <c r="J1182" s="450"/>
      <c r="K1182" s="450"/>
      <c r="L1182" s="450"/>
      <c r="M1182" s="450"/>
      <c r="N1182" s="450"/>
      <c r="O1182" s="450"/>
      <c r="P1182" s="450"/>
      <c r="Q1182" s="450"/>
      <c r="R1182" s="450"/>
      <c r="S1182" s="450"/>
      <c r="T1182" s="450"/>
      <c r="U1182" s="450"/>
      <c r="V1182" s="450"/>
      <c r="W1182" s="450"/>
      <c r="X1182" s="450"/>
      <c r="Y1182" s="450"/>
      <c r="Z1182" s="450"/>
      <c r="AA1182" s="450"/>
      <c r="AB1182" s="450"/>
      <c r="AC1182" s="450"/>
      <c r="AD1182" s="450"/>
      <c r="AE1182" s="450"/>
      <c r="AF1182" s="450"/>
      <c r="AG1182" s="450"/>
      <c r="AH1182" s="450"/>
      <c r="AI1182" s="450"/>
      <c r="AJ1182" s="450"/>
      <c r="AK1182" s="450"/>
      <c r="AL1182" s="450"/>
      <c r="AM1182" s="450"/>
      <c r="AN1182" s="450"/>
      <c r="AO1182" s="450"/>
      <c r="AP1182" s="450"/>
      <c r="AQ1182" s="450"/>
      <c r="AR1182" s="450"/>
      <c r="AS1182" s="450"/>
      <c r="AT1182" s="450"/>
      <c r="AU1182" s="450"/>
      <c r="AV1182" s="450"/>
      <c r="AW1182" s="450"/>
      <c r="AX1182" s="450"/>
      <c r="AY1182" s="450"/>
      <c r="AZ1182" s="450"/>
      <c r="BA1182" s="450"/>
      <c r="BB1182" s="450"/>
      <c r="BC1182" s="450"/>
      <c r="BD1182" s="450"/>
      <c r="BE1182" s="450"/>
      <c r="BF1182" s="450"/>
      <c r="BG1182" s="450"/>
      <c r="BH1182" s="450"/>
      <c r="BI1182" s="450"/>
      <c r="BJ1182" s="450"/>
      <c r="BK1182" s="450"/>
      <c r="BL1182" s="450"/>
      <c r="BM1182" s="450"/>
      <c r="BN1182" s="450"/>
      <c r="BO1182" s="450"/>
      <c r="BP1182" s="450"/>
      <c r="BQ1182" s="450"/>
      <c r="BR1182" s="450"/>
      <c r="BS1182" s="450"/>
      <c r="BT1182" s="450"/>
      <c r="BU1182" s="450"/>
      <c r="BV1182" s="450"/>
      <c r="BW1182" s="450"/>
      <c r="BX1182" s="450"/>
      <c r="BY1182" s="450"/>
      <c r="BZ1182" s="450"/>
      <c r="CA1182" s="450"/>
      <c r="CB1182" s="450"/>
      <c r="CC1182" s="450"/>
      <c r="CD1182" s="450"/>
      <c r="CE1182" s="450"/>
      <c r="CF1182" s="450"/>
      <c r="CG1182" s="450"/>
      <c r="CH1182" s="450"/>
      <c r="CI1182" s="450"/>
      <c r="CJ1182" s="450"/>
      <c r="CK1182" s="450"/>
      <c r="CL1182" s="450"/>
      <c r="CM1182" s="450"/>
      <c r="CN1182" s="450"/>
      <c r="CO1182" s="450"/>
      <c r="CP1182" s="450"/>
      <c r="CQ1182" s="450"/>
      <c r="CR1182" s="450"/>
      <c r="CS1182" s="450"/>
      <c r="CT1182" s="450"/>
      <c r="CU1182" s="450"/>
      <c r="CV1182" s="450"/>
      <c r="CW1182" s="450"/>
      <c r="CX1182" s="450"/>
      <c r="CY1182" s="450"/>
      <c r="CZ1182" s="450"/>
      <c r="DA1182" s="450"/>
      <c r="DB1182" s="1314"/>
      <c r="DC1182" s="450"/>
      <c r="DD1182" s="450"/>
      <c r="DE1182" s="450"/>
      <c r="DF1182" s="450"/>
      <c r="DG1182" s="450"/>
      <c r="DH1182" s="450"/>
      <c r="DI1182" s="478"/>
      <c r="DJ1182" s="478"/>
      <c r="DK1182" s="478"/>
      <c r="DL1182" s="478"/>
      <c r="DM1182" s="478"/>
      <c r="DN1182" s="1335"/>
      <c r="DO1182" s="478"/>
      <c r="DP1182" s="478"/>
      <c r="DQ1182" s="478"/>
      <c r="DR1182" s="478"/>
      <c r="DS1182" s="478"/>
      <c r="DT1182" s="478"/>
      <c r="DU1182" s="478"/>
      <c r="DV1182" s="478"/>
      <c r="DW1182" s="478"/>
      <c r="DX1182" s="478"/>
      <c r="DY1182" s="478"/>
      <c r="DZ1182" s="1335"/>
      <c r="ID1182" s="494"/>
      <c r="IE1182" s="495"/>
      <c r="IF1182" s="495"/>
      <c r="IG1182" s="495"/>
      <c r="IH1182" s="495"/>
      <c r="II1182" s="495"/>
      <c r="IJ1182" s="323"/>
      <c r="IK1182" s="495"/>
      <c r="IL1182" s="495"/>
      <c r="IM1182" s="323"/>
      <c r="IN1182" s="495"/>
      <c r="IO1182" s="495"/>
      <c r="IP1182" s="323"/>
      <c r="IQ1182" s="323"/>
      <c r="IR1182" s="323"/>
      <c r="IS1182" s="323"/>
      <c r="IT1182" s="323"/>
      <c r="IU1182" s="323"/>
      <c r="IV1182" s="323"/>
      <c r="KU1182" s="279"/>
    </row>
    <row r="1183" spans="1:307" ht="15.6">
      <c r="A1183" s="279"/>
      <c r="B1183" s="279"/>
      <c r="C1183" s="279"/>
      <c r="D1183" s="474" t="s">
        <v>650</v>
      </c>
      <c r="E1183" s="450"/>
      <c r="F1183" s="450"/>
      <c r="G1183" s="450"/>
      <c r="H1183" s="450"/>
      <c r="I1183" s="450"/>
      <c r="J1183" s="450"/>
      <c r="K1183" s="450"/>
      <c r="L1183" s="450"/>
      <c r="M1183" s="450"/>
      <c r="N1183" s="450"/>
      <c r="O1183" s="450"/>
      <c r="P1183" s="450"/>
      <c r="Q1183" s="450"/>
      <c r="R1183" s="450"/>
      <c r="S1183" s="450"/>
      <c r="T1183" s="450"/>
      <c r="U1183" s="450"/>
      <c r="V1183" s="450"/>
      <c r="W1183" s="450"/>
      <c r="X1183" s="450"/>
      <c r="Y1183" s="450"/>
      <c r="Z1183" s="450"/>
      <c r="AA1183" s="450"/>
      <c r="AB1183" s="450"/>
      <c r="AC1183" s="450"/>
      <c r="AD1183" s="450"/>
      <c r="AE1183" s="450"/>
      <c r="AF1183" s="450"/>
      <c r="AG1183" s="450"/>
      <c r="AH1183" s="450"/>
      <c r="AI1183" s="450"/>
      <c r="AJ1183" s="450"/>
      <c r="AK1183" s="450"/>
      <c r="AL1183" s="450"/>
      <c r="AM1183" s="450"/>
      <c r="AN1183" s="450"/>
      <c r="AO1183" s="450"/>
      <c r="AP1183" s="450"/>
      <c r="AQ1183" s="450"/>
      <c r="AR1183" s="450"/>
      <c r="AS1183" s="450"/>
      <c r="AT1183" s="450"/>
      <c r="AU1183" s="450"/>
      <c r="AV1183" s="450"/>
      <c r="AW1183" s="450"/>
      <c r="AX1183" s="450"/>
      <c r="AY1183" s="450"/>
      <c r="AZ1183" s="450"/>
      <c r="BA1183" s="450"/>
      <c r="BB1183" s="450"/>
      <c r="BC1183" s="450"/>
      <c r="BD1183" s="450"/>
      <c r="BE1183" s="450"/>
      <c r="BF1183" s="450"/>
      <c r="BG1183" s="450"/>
      <c r="BH1183" s="450"/>
      <c r="BI1183" s="450"/>
      <c r="BJ1183" s="450"/>
      <c r="BK1183" s="450"/>
      <c r="BL1183" s="450"/>
      <c r="BM1183" s="450"/>
      <c r="BN1183" s="450"/>
      <c r="BO1183" s="450"/>
      <c r="BP1183" s="450"/>
      <c r="BQ1183" s="450"/>
      <c r="BR1183" s="450"/>
      <c r="BS1183" s="450"/>
      <c r="BT1183" s="450"/>
      <c r="BU1183" s="450"/>
      <c r="BV1183" s="450"/>
      <c r="BW1183" s="450"/>
      <c r="BX1183" s="450"/>
      <c r="BY1183" s="450"/>
      <c r="BZ1183" s="450"/>
      <c r="CA1183" s="450"/>
      <c r="CB1183" s="450"/>
      <c r="CC1183" s="450"/>
      <c r="CD1183" s="450"/>
      <c r="CE1183" s="450"/>
      <c r="CF1183" s="450"/>
      <c r="CG1183" s="450"/>
      <c r="CH1183" s="450"/>
      <c r="CI1183" s="450"/>
      <c r="CJ1183" s="478">
        <f>+CJ1185+CJ1186+CJ1187</f>
        <v>13.637188379600367</v>
      </c>
      <c r="CK1183" s="450"/>
      <c r="CL1183" s="450"/>
      <c r="CM1183" s="450"/>
      <c r="CN1183" s="450"/>
      <c r="CO1183" s="450"/>
      <c r="CP1183" s="478">
        <f t="shared" ref="CP1183:DB1183" si="2376">+CP1185+CP1186+CP1187</f>
        <v>35.878392418999994</v>
      </c>
      <c r="CQ1183" s="478">
        <f t="shared" si="2376"/>
        <v>36.557792418999995</v>
      </c>
      <c r="CR1183" s="478">
        <f t="shared" si="2376"/>
        <v>44.787292418999996</v>
      </c>
      <c r="CS1183" s="478">
        <f t="shared" si="2376"/>
        <v>43.508392419000003</v>
      </c>
      <c r="CT1183" s="478">
        <f t="shared" si="2376"/>
        <v>47.787492419000003</v>
      </c>
      <c r="CU1183" s="478">
        <f t="shared" si="2376"/>
        <v>54.871592418999995</v>
      </c>
      <c r="CV1183" s="478">
        <f t="shared" si="2376"/>
        <v>53.905492418999998</v>
      </c>
      <c r="CW1183" s="478">
        <f t="shared" si="2376"/>
        <v>51.946492418999995</v>
      </c>
      <c r="CX1183" s="478">
        <f t="shared" si="2376"/>
        <v>59.652692419000005</v>
      </c>
      <c r="CY1183" s="478">
        <f t="shared" si="2376"/>
        <v>59.675692419000001</v>
      </c>
      <c r="CZ1183" s="478">
        <f t="shared" si="2376"/>
        <v>59.675692419000001</v>
      </c>
      <c r="DA1183" s="478">
        <f t="shared" si="2376"/>
        <v>67.488092418999997</v>
      </c>
      <c r="DB1183" s="1317">
        <f t="shared" si="2376"/>
        <v>66.786092418999999</v>
      </c>
      <c r="DC1183" s="478">
        <f t="shared" ref="DC1183:DH1183" si="2377">+DC1185+DC1186+DC1187</f>
        <v>63.270592418999996</v>
      </c>
      <c r="DD1183" s="478">
        <f t="shared" si="2377"/>
        <v>68.673492418999999</v>
      </c>
      <c r="DE1183" s="478">
        <f t="shared" si="2377"/>
        <v>67.892992418999995</v>
      </c>
      <c r="DF1183" s="478">
        <f t="shared" si="2377"/>
        <v>67.743992418999994</v>
      </c>
      <c r="DG1183" s="478">
        <f t="shared" si="2377"/>
        <v>79.094292418999999</v>
      </c>
      <c r="DH1183" s="478">
        <f t="shared" si="2377"/>
        <v>83.588792419000001</v>
      </c>
      <c r="DI1183" s="478">
        <f t="shared" ref="DI1183:DN1183" si="2378">+DI1185+DI1186+DI1187</f>
        <v>88.232569208671464</v>
      </c>
      <c r="DJ1183" s="478">
        <f t="shared" si="2378"/>
        <v>96.963869208671454</v>
      </c>
      <c r="DK1183" s="478">
        <f t="shared" si="2378"/>
        <v>97.243869208671455</v>
      </c>
      <c r="DL1183" s="478">
        <f t="shared" si="2378"/>
        <v>109.52236920867145</v>
      </c>
      <c r="DM1183" s="478">
        <f t="shared" si="2378"/>
        <v>117.58566920867145</v>
      </c>
      <c r="DN1183" s="1335">
        <f t="shared" si="2378"/>
        <v>124.48579699267981</v>
      </c>
      <c r="DO1183" s="478">
        <f t="shared" ref="DO1183:DT1183" si="2379">+DO1185+DO1186+DO1187</f>
        <v>128.14750729925771</v>
      </c>
      <c r="DP1183" s="478">
        <f t="shared" si="2379"/>
        <v>150.01820729925774</v>
      </c>
      <c r="DQ1183" s="478">
        <f t="shared" si="2379"/>
        <v>156.70220729925774</v>
      </c>
      <c r="DR1183" s="478">
        <f t="shared" si="2379"/>
        <v>164.64390729925773</v>
      </c>
      <c r="DS1183" s="478">
        <f t="shared" si="2379"/>
        <v>173.99284091425773</v>
      </c>
      <c r="DT1183" s="478">
        <f t="shared" si="2379"/>
        <v>169.03004091425774</v>
      </c>
      <c r="DU1183" s="478"/>
      <c r="DV1183" s="478"/>
      <c r="DW1183" s="478"/>
      <c r="DX1183" s="478"/>
      <c r="DY1183" s="478"/>
      <c r="DZ1183" s="1335"/>
      <c r="ID1183" s="521" t="str">
        <f t="shared" ref="ID1183:ID1189" si="2380">+D1183</f>
        <v xml:space="preserve">Non banks </v>
      </c>
      <c r="IE1183" s="495"/>
      <c r="IF1183" s="495"/>
      <c r="IG1183" s="494">
        <f t="shared" ref="IG1183:IG1189" si="2381">+DB1183</f>
        <v>66.786092418999999</v>
      </c>
      <c r="IH1183" s="494"/>
      <c r="II1183" s="495"/>
      <c r="IJ1183" s="490">
        <f t="shared" ref="IJ1183:IJ1190" si="2382">+DN1183</f>
        <v>124.48579699267981</v>
      </c>
      <c r="IK1183" s="495"/>
      <c r="IL1183" s="495"/>
      <c r="IM1183" s="323"/>
      <c r="IN1183" s="495"/>
      <c r="IO1183" s="495"/>
      <c r="IP1183" s="323"/>
      <c r="IQ1183" s="323"/>
      <c r="IR1183" s="323"/>
      <c r="IS1183" s="323"/>
      <c r="IT1183" s="323"/>
      <c r="IU1183" s="323"/>
      <c r="IV1183" s="323"/>
      <c r="KU1183" s="279"/>
    </row>
    <row r="1184" spans="1:307" ht="15.6">
      <c r="A1184" s="279"/>
      <c r="B1184" s="279"/>
      <c r="C1184" s="279"/>
      <c r="D1184" s="477" t="str">
        <f>+D1175</f>
        <v>Banks holding of securities</v>
      </c>
      <c r="E1184" s="450"/>
      <c r="F1184" s="450"/>
      <c r="G1184" s="450"/>
      <c r="H1184" s="450"/>
      <c r="I1184" s="450"/>
      <c r="J1184" s="450"/>
      <c r="K1184" s="450"/>
      <c r="L1184" s="450"/>
      <c r="M1184" s="450"/>
      <c r="N1184" s="450"/>
      <c r="O1184" s="450"/>
      <c r="P1184" s="450"/>
      <c r="Q1184" s="450"/>
      <c r="R1184" s="450"/>
      <c r="S1184" s="450"/>
      <c r="T1184" s="450"/>
      <c r="U1184" s="450"/>
      <c r="V1184" s="450"/>
      <c r="W1184" s="450"/>
      <c r="X1184" s="450"/>
      <c r="Y1184" s="450"/>
      <c r="Z1184" s="450"/>
      <c r="AA1184" s="450"/>
      <c r="AB1184" s="450"/>
      <c r="AC1184" s="450"/>
      <c r="AD1184" s="450"/>
      <c r="AE1184" s="450"/>
      <c r="AF1184" s="450"/>
      <c r="AG1184" s="450"/>
      <c r="AH1184" s="450"/>
      <c r="AI1184" s="450"/>
      <c r="AJ1184" s="450"/>
      <c r="AK1184" s="450"/>
      <c r="AL1184" s="450"/>
      <c r="AM1184" s="450"/>
      <c r="AN1184" s="450"/>
      <c r="AO1184" s="450"/>
      <c r="AP1184" s="450"/>
      <c r="AQ1184" s="450"/>
      <c r="AR1184" s="450"/>
      <c r="AS1184" s="450"/>
      <c r="AT1184" s="450"/>
      <c r="AU1184" s="450"/>
      <c r="AV1184" s="450"/>
      <c r="AW1184" s="450"/>
      <c r="AX1184" s="450"/>
      <c r="AY1184" s="450"/>
      <c r="AZ1184" s="450"/>
      <c r="BA1184" s="450"/>
      <c r="BB1184" s="450"/>
      <c r="BC1184" s="450"/>
      <c r="BD1184" s="450"/>
      <c r="BE1184" s="450"/>
      <c r="BF1184" s="450"/>
      <c r="BG1184" s="450"/>
      <c r="BH1184" s="450"/>
      <c r="BI1184" s="450"/>
      <c r="BJ1184" s="450"/>
      <c r="BK1184" s="450"/>
      <c r="BL1184" s="450"/>
      <c r="BM1184" s="450"/>
      <c r="BN1184" s="450"/>
      <c r="BO1184" s="450"/>
      <c r="BP1184" s="450"/>
      <c r="BQ1184" s="450"/>
      <c r="BR1184" s="450"/>
      <c r="BS1184" s="450"/>
      <c r="BT1184" s="450"/>
      <c r="BU1184" s="450"/>
      <c r="BV1184" s="450"/>
      <c r="BW1184" s="450"/>
      <c r="BX1184" s="450"/>
      <c r="BY1184" s="450"/>
      <c r="BZ1184" s="450"/>
      <c r="CA1184" s="450"/>
      <c r="CB1184" s="450"/>
      <c r="CC1184" s="450"/>
      <c r="CD1184" s="450"/>
      <c r="CE1184" s="450"/>
      <c r="CF1184" s="450"/>
      <c r="CG1184" s="450"/>
      <c r="CH1184" s="450"/>
      <c r="CI1184" s="450"/>
      <c r="CJ1184" s="477">
        <f>+CJ1185+CJ1186</f>
        <v>12.4474</v>
      </c>
      <c r="CK1184" s="450"/>
      <c r="CL1184" s="450"/>
      <c r="CM1184" s="450"/>
      <c r="CN1184" s="450"/>
      <c r="CO1184" s="450"/>
      <c r="CP1184" s="477">
        <f t="shared" ref="CP1184:DB1184" si="2383">+CP1185+CP1186</f>
        <v>33.022599999999997</v>
      </c>
      <c r="CQ1184" s="477">
        <f t="shared" si="2383"/>
        <v>33.701999999999998</v>
      </c>
      <c r="CR1184" s="477">
        <f t="shared" si="2383"/>
        <v>41.9315</v>
      </c>
      <c r="CS1184" s="477">
        <f t="shared" si="2383"/>
        <v>40.6526</v>
      </c>
      <c r="CT1184" s="477">
        <f t="shared" si="2383"/>
        <v>44.931699999999999</v>
      </c>
      <c r="CU1184" s="477">
        <f t="shared" si="2383"/>
        <v>52.015799999999999</v>
      </c>
      <c r="CV1184" s="477">
        <f t="shared" si="2383"/>
        <v>51.049700000000001</v>
      </c>
      <c r="CW1184" s="477">
        <f t="shared" si="2383"/>
        <v>49.090699999999998</v>
      </c>
      <c r="CX1184" s="477">
        <f t="shared" si="2383"/>
        <v>56.796900000000001</v>
      </c>
      <c r="CY1184" s="477">
        <f t="shared" si="2383"/>
        <v>56.819900000000004</v>
      </c>
      <c r="CZ1184" s="477">
        <f t="shared" si="2383"/>
        <v>56.819900000000004</v>
      </c>
      <c r="DA1184" s="477">
        <f t="shared" si="2383"/>
        <v>64.632300000000001</v>
      </c>
      <c r="DB1184" s="1318">
        <f t="shared" si="2383"/>
        <v>63.930300000000003</v>
      </c>
      <c r="DC1184" s="477">
        <f t="shared" ref="DC1184:DH1184" si="2384">+DC1185+DC1186</f>
        <v>60.4148</v>
      </c>
      <c r="DD1184" s="477">
        <f t="shared" si="2384"/>
        <v>65.817700000000002</v>
      </c>
      <c r="DE1184" s="477">
        <f t="shared" si="2384"/>
        <v>65.037199999999999</v>
      </c>
      <c r="DF1184" s="477">
        <f t="shared" si="2384"/>
        <v>64.888199999999998</v>
      </c>
      <c r="DG1184" s="477">
        <f t="shared" si="2384"/>
        <v>76.238500000000002</v>
      </c>
      <c r="DH1184" s="477">
        <f t="shared" si="2384"/>
        <v>80.733000000000004</v>
      </c>
      <c r="DI1184" s="477">
        <f t="shared" ref="DI1184:DN1184" si="2385">+DI1185+DI1186</f>
        <v>86.960999999999999</v>
      </c>
      <c r="DJ1184" s="477">
        <f t="shared" si="2385"/>
        <v>95.692299999999989</v>
      </c>
      <c r="DK1184" s="477">
        <f t="shared" si="2385"/>
        <v>95.97229999999999</v>
      </c>
      <c r="DL1184" s="477">
        <f t="shared" si="2385"/>
        <v>108.25079999999998</v>
      </c>
      <c r="DM1184" s="477">
        <f t="shared" si="2385"/>
        <v>116.31409999999998</v>
      </c>
      <c r="DN1184" s="1336">
        <f t="shared" si="2385"/>
        <v>123.18709999999999</v>
      </c>
      <c r="DO1184" s="477">
        <f t="shared" ref="DO1184:DT1184" si="2386">+DO1185+DO1186</f>
        <v>126.84881030657789</v>
      </c>
      <c r="DP1184" s="477">
        <f t="shared" si="2386"/>
        <v>148.71951030657792</v>
      </c>
      <c r="DQ1184" s="477">
        <f t="shared" si="2386"/>
        <v>155.40351030657791</v>
      </c>
      <c r="DR1184" s="477">
        <f t="shared" si="2386"/>
        <v>163.34521030657791</v>
      </c>
      <c r="DS1184" s="477">
        <f t="shared" si="2386"/>
        <v>172.6941439215779</v>
      </c>
      <c r="DT1184" s="477">
        <f t="shared" si="2386"/>
        <v>167.73134392157792</v>
      </c>
      <c r="DU1184" s="477"/>
      <c r="DV1184" s="477"/>
      <c r="DW1184" s="477"/>
      <c r="DX1184" s="477"/>
      <c r="DY1184" s="477"/>
      <c r="DZ1184" s="1336"/>
      <c r="ID1184" s="494" t="str">
        <f t="shared" si="2380"/>
        <v>Banks holding of securities</v>
      </c>
      <c r="IE1184" s="495"/>
      <c r="IF1184" s="495"/>
      <c r="IG1184" s="496">
        <f t="shared" si="2381"/>
        <v>63.930300000000003</v>
      </c>
      <c r="IH1184" s="496"/>
      <c r="II1184" s="495"/>
      <c r="IJ1184" s="683">
        <f t="shared" si="2382"/>
        <v>123.18709999999999</v>
      </c>
      <c r="IK1184" s="495"/>
      <c r="IL1184" s="495"/>
      <c r="IM1184" s="323"/>
      <c r="IN1184" s="495"/>
      <c r="IO1184" s="495"/>
      <c r="IP1184" s="323"/>
      <c r="IQ1184" s="323"/>
      <c r="IR1184" s="323"/>
      <c r="IS1184" s="323"/>
      <c r="IT1184" s="323"/>
      <c r="IU1184" s="323"/>
      <c r="IV1184" s="323"/>
      <c r="KU1184" s="279"/>
    </row>
    <row r="1185" spans="1:307" ht="15.6">
      <c r="A1185" s="279"/>
      <c r="B1185" s="279"/>
      <c r="C1185" s="279"/>
      <c r="D1185" s="450" t="str">
        <f>+D1176</f>
        <v xml:space="preserve">T bills </v>
      </c>
      <c r="E1185" s="450"/>
      <c r="F1185" s="450"/>
      <c r="G1185" s="450"/>
      <c r="H1185" s="450"/>
      <c r="I1185" s="450"/>
      <c r="J1185" s="450"/>
      <c r="K1185" s="450"/>
      <c r="L1185" s="450"/>
      <c r="M1185" s="450"/>
      <c r="N1185" s="450"/>
      <c r="O1185" s="450"/>
      <c r="P1185" s="450"/>
      <c r="Q1185" s="450"/>
      <c r="R1185" s="450"/>
      <c r="S1185" s="450"/>
      <c r="T1185" s="450"/>
      <c r="U1185" s="450"/>
      <c r="V1185" s="450"/>
      <c r="W1185" s="450"/>
      <c r="X1185" s="450"/>
      <c r="Y1185" s="450"/>
      <c r="Z1185" s="450"/>
      <c r="AA1185" s="450"/>
      <c r="AB1185" s="450"/>
      <c r="AC1185" s="450"/>
      <c r="AD1185" s="450"/>
      <c r="AE1185" s="450"/>
      <c r="AF1185" s="450"/>
      <c r="AG1185" s="450"/>
      <c r="AH1185" s="450"/>
      <c r="AI1185" s="450"/>
      <c r="AJ1185" s="450"/>
      <c r="AK1185" s="450"/>
      <c r="AL1185" s="450"/>
      <c r="AM1185" s="450"/>
      <c r="AN1185" s="450"/>
      <c r="AO1185" s="450"/>
      <c r="AP1185" s="450"/>
      <c r="AQ1185" s="450"/>
      <c r="AR1185" s="450"/>
      <c r="AS1185" s="450"/>
      <c r="AT1185" s="450"/>
      <c r="AU1185" s="450"/>
      <c r="AV1185" s="450"/>
      <c r="AW1185" s="450"/>
      <c r="AX1185" s="450"/>
      <c r="AY1185" s="450"/>
      <c r="AZ1185" s="450"/>
      <c r="BA1185" s="450"/>
      <c r="BB1185" s="450"/>
      <c r="BC1185" s="450"/>
      <c r="BD1185" s="450"/>
      <c r="BE1185" s="450"/>
      <c r="BF1185" s="450"/>
      <c r="BG1185" s="450"/>
      <c r="BH1185" s="450"/>
      <c r="BI1185" s="450"/>
      <c r="BJ1185" s="450"/>
      <c r="BK1185" s="450"/>
      <c r="BL1185" s="450"/>
      <c r="BM1185" s="450"/>
      <c r="BN1185" s="450"/>
      <c r="BO1185" s="450"/>
      <c r="BP1185" s="450"/>
      <c r="BQ1185" s="450"/>
      <c r="BR1185" s="450"/>
      <c r="BS1185" s="450"/>
      <c r="BT1185" s="450"/>
      <c r="BU1185" s="450"/>
      <c r="BV1185" s="450"/>
      <c r="BW1185" s="450"/>
      <c r="BX1185" s="450"/>
      <c r="BY1185" s="450"/>
      <c r="BZ1185" s="450"/>
      <c r="CA1185" s="450"/>
      <c r="CB1185" s="450"/>
      <c r="CC1185" s="450"/>
      <c r="CD1185" s="450"/>
      <c r="CE1185" s="450"/>
      <c r="CF1185" s="450"/>
      <c r="CG1185" s="450"/>
      <c r="CH1185" s="450"/>
      <c r="CI1185" s="450"/>
      <c r="CJ1185" s="450">
        <f>+CJ121</f>
        <v>10.8704</v>
      </c>
      <c r="CK1185" s="450"/>
      <c r="CL1185" s="450"/>
      <c r="CM1185" s="450"/>
      <c r="CN1185" s="450"/>
      <c r="CO1185" s="450"/>
      <c r="CP1185" s="450">
        <f t="shared" ref="CP1185:DT1185" si="2387">+CP121</f>
        <v>10.551600000000001</v>
      </c>
      <c r="CQ1185" s="450">
        <f t="shared" si="2387"/>
        <v>11.231</v>
      </c>
      <c r="CR1185" s="450">
        <f t="shared" si="2387"/>
        <v>10.389900000000001</v>
      </c>
      <c r="CS1185" s="450">
        <f t="shared" si="2387"/>
        <v>9.1110000000000007</v>
      </c>
      <c r="CT1185" s="450">
        <f t="shared" si="2387"/>
        <v>13.3901</v>
      </c>
      <c r="CU1185" s="450">
        <f t="shared" si="2387"/>
        <v>12.8171</v>
      </c>
      <c r="CV1185" s="450">
        <f t="shared" si="2387"/>
        <v>11.851000000000001</v>
      </c>
      <c r="CW1185" s="450">
        <f t="shared" si="2387"/>
        <v>9.8919999999999995</v>
      </c>
      <c r="CX1185" s="450">
        <f t="shared" si="2387"/>
        <v>9.8109999999999999</v>
      </c>
      <c r="CY1185" s="450">
        <f t="shared" si="2387"/>
        <v>9.8339999999999996</v>
      </c>
      <c r="CZ1185" s="450">
        <f t="shared" si="2387"/>
        <v>9.8339999999999996</v>
      </c>
      <c r="DA1185" s="450">
        <f t="shared" si="2387"/>
        <v>9.7385000000000002</v>
      </c>
      <c r="DB1185" s="1314">
        <f t="shared" si="2387"/>
        <v>9.0365000000000002</v>
      </c>
      <c r="DC1185" s="450">
        <f t="shared" si="2387"/>
        <v>5.5209999999999999</v>
      </c>
      <c r="DD1185" s="450">
        <f t="shared" si="2387"/>
        <v>3.4740000000000002</v>
      </c>
      <c r="DE1185" s="450">
        <f t="shared" si="2387"/>
        <v>2.6934999999999998</v>
      </c>
      <c r="DF1185" s="450">
        <f t="shared" si="2387"/>
        <v>2.5445000000000002</v>
      </c>
      <c r="DG1185" s="450">
        <f t="shared" si="2387"/>
        <v>7.4361999999999995</v>
      </c>
      <c r="DH1185" s="450">
        <f t="shared" si="2387"/>
        <v>11.9307</v>
      </c>
      <c r="DI1185" s="450">
        <f t="shared" si="2387"/>
        <v>18.1587</v>
      </c>
      <c r="DJ1185" s="450">
        <f t="shared" si="2387"/>
        <v>17.6722</v>
      </c>
      <c r="DK1185" s="450">
        <f t="shared" si="2387"/>
        <v>17.952200000000001</v>
      </c>
      <c r="DL1185" s="450">
        <f t="shared" si="2387"/>
        <v>30.230700000000002</v>
      </c>
      <c r="DM1185" s="450">
        <f t="shared" si="2387"/>
        <v>31.794</v>
      </c>
      <c r="DN1185" s="1333">
        <f t="shared" si="2387"/>
        <v>38.667000000000002</v>
      </c>
      <c r="DO1185" s="450">
        <f t="shared" si="2387"/>
        <v>42.328710306577911</v>
      </c>
      <c r="DP1185" s="450">
        <f t="shared" si="2387"/>
        <v>52.913510306577912</v>
      </c>
      <c r="DQ1185" s="450">
        <f t="shared" si="2387"/>
        <v>60.174410306577919</v>
      </c>
      <c r="DR1185" s="450">
        <f t="shared" si="2387"/>
        <v>68.116110306577923</v>
      </c>
      <c r="DS1185" s="450">
        <f t="shared" si="2387"/>
        <v>66.105043921577916</v>
      </c>
      <c r="DT1185" s="450">
        <f t="shared" si="2387"/>
        <v>61.142243921577922</v>
      </c>
      <c r="DU1185" s="450"/>
      <c r="DV1185" s="450"/>
      <c r="DW1185" s="450"/>
      <c r="DX1185" s="450"/>
      <c r="DY1185" s="450"/>
      <c r="DZ1185" s="1333"/>
      <c r="ID1185" s="495" t="str">
        <f t="shared" si="2380"/>
        <v xml:space="preserve">T bills </v>
      </c>
      <c r="IE1185" s="495"/>
      <c r="IF1185" s="495"/>
      <c r="IG1185" s="495">
        <f t="shared" si="2381"/>
        <v>9.0365000000000002</v>
      </c>
      <c r="IH1185" s="495"/>
      <c r="II1185" s="495"/>
      <c r="IJ1185" s="323">
        <f t="shared" si="2382"/>
        <v>38.667000000000002</v>
      </c>
      <c r="IK1185" s="495"/>
      <c r="IL1185" s="495"/>
      <c r="IM1185" s="323"/>
      <c r="IN1185" s="495"/>
      <c r="IO1185" s="495"/>
      <c r="IP1185" s="323"/>
      <c r="IQ1185" s="323"/>
      <c r="IR1185" s="323"/>
      <c r="IS1185" s="323"/>
      <c r="IT1185" s="323"/>
      <c r="IU1185" s="323"/>
      <c r="IV1185" s="323"/>
      <c r="KU1185" s="279"/>
    </row>
    <row r="1186" spans="1:307" ht="15.6">
      <c r="A1186" s="279"/>
      <c r="B1186" s="279"/>
      <c r="C1186" s="279"/>
      <c r="D1186" s="450" t="str">
        <f>+D1177</f>
        <v>T bonds</v>
      </c>
      <c r="E1186" s="450"/>
      <c r="F1186" s="450"/>
      <c r="G1186" s="450"/>
      <c r="H1186" s="450"/>
      <c r="I1186" s="450"/>
      <c r="J1186" s="450"/>
      <c r="K1186" s="450"/>
      <c r="L1186" s="450"/>
      <c r="M1186" s="450"/>
      <c r="N1186" s="450"/>
      <c r="O1186" s="450"/>
      <c r="P1186" s="450"/>
      <c r="Q1186" s="450"/>
      <c r="R1186" s="450"/>
      <c r="S1186" s="450"/>
      <c r="T1186" s="450"/>
      <c r="U1186" s="450"/>
      <c r="V1186" s="450"/>
      <c r="W1186" s="450"/>
      <c r="X1186" s="450"/>
      <c r="Y1186" s="450"/>
      <c r="Z1186" s="450"/>
      <c r="AA1186" s="450"/>
      <c r="AB1186" s="450"/>
      <c r="AC1186" s="450"/>
      <c r="AD1186" s="450"/>
      <c r="AE1186" s="450"/>
      <c r="AF1186" s="450"/>
      <c r="AG1186" s="450"/>
      <c r="AH1186" s="450"/>
      <c r="AI1186" s="450"/>
      <c r="AJ1186" s="450"/>
      <c r="AK1186" s="450"/>
      <c r="AL1186" s="450"/>
      <c r="AM1186" s="450"/>
      <c r="AN1186" s="450"/>
      <c r="AO1186" s="450"/>
      <c r="AP1186" s="450"/>
      <c r="AQ1186" s="450"/>
      <c r="AR1186" s="450"/>
      <c r="AS1186" s="450"/>
      <c r="AT1186" s="450"/>
      <c r="AU1186" s="450"/>
      <c r="AV1186" s="450"/>
      <c r="AW1186" s="450"/>
      <c r="AX1186" s="450"/>
      <c r="AY1186" s="450"/>
      <c r="AZ1186" s="450"/>
      <c r="BA1186" s="450"/>
      <c r="BB1186" s="450"/>
      <c r="BC1186" s="450"/>
      <c r="BD1186" s="450"/>
      <c r="BE1186" s="450"/>
      <c r="BF1186" s="450"/>
      <c r="BG1186" s="450"/>
      <c r="BH1186" s="450"/>
      <c r="BI1186" s="450"/>
      <c r="BJ1186" s="450"/>
      <c r="BK1186" s="450"/>
      <c r="BL1186" s="450"/>
      <c r="BM1186" s="450"/>
      <c r="BN1186" s="450"/>
      <c r="BO1186" s="450"/>
      <c r="BP1186" s="450"/>
      <c r="BQ1186" s="450"/>
      <c r="BR1186" s="450"/>
      <c r="BS1186" s="450"/>
      <c r="BT1186" s="450"/>
      <c r="BU1186" s="450"/>
      <c r="BV1186" s="450"/>
      <c r="BW1186" s="450"/>
      <c r="BX1186" s="450"/>
      <c r="BY1186" s="450"/>
      <c r="BZ1186" s="450"/>
      <c r="CA1186" s="450"/>
      <c r="CB1186" s="450"/>
      <c r="CC1186" s="450"/>
      <c r="CD1186" s="450"/>
      <c r="CE1186" s="450"/>
      <c r="CF1186" s="450"/>
      <c r="CG1186" s="450"/>
      <c r="CH1186" s="450"/>
      <c r="CI1186" s="450"/>
      <c r="CJ1186" s="450">
        <f>+CJ124</f>
        <v>1.577</v>
      </c>
      <c r="CK1186" s="450"/>
      <c r="CL1186" s="450"/>
      <c r="CM1186" s="450"/>
      <c r="CN1186" s="450"/>
      <c r="CO1186" s="450"/>
      <c r="CP1186" s="450">
        <f t="shared" ref="CP1186:DT1186" si="2388">+CP124</f>
        <v>22.471</v>
      </c>
      <c r="CQ1186" s="450">
        <f t="shared" si="2388"/>
        <v>22.471</v>
      </c>
      <c r="CR1186" s="450">
        <f t="shared" si="2388"/>
        <v>31.541599999999999</v>
      </c>
      <c r="CS1186" s="450">
        <f t="shared" si="2388"/>
        <v>31.541599999999999</v>
      </c>
      <c r="CT1186" s="450">
        <f t="shared" si="2388"/>
        <v>31.541599999999999</v>
      </c>
      <c r="CU1186" s="450">
        <f t="shared" si="2388"/>
        <v>39.198700000000002</v>
      </c>
      <c r="CV1186" s="450">
        <f t="shared" si="2388"/>
        <v>39.198700000000002</v>
      </c>
      <c r="CW1186" s="450">
        <f t="shared" si="2388"/>
        <v>39.198700000000002</v>
      </c>
      <c r="CX1186" s="450">
        <f t="shared" si="2388"/>
        <v>46.985900000000001</v>
      </c>
      <c r="CY1186" s="450">
        <f t="shared" si="2388"/>
        <v>46.985900000000001</v>
      </c>
      <c r="CZ1186" s="450">
        <f t="shared" si="2388"/>
        <v>46.985900000000001</v>
      </c>
      <c r="DA1186" s="450">
        <f t="shared" si="2388"/>
        <v>54.893799999999999</v>
      </c>
      <c r="DB1186" s="1314">
        <f t="shared" si="2388"/>
        <v>54.893799999999999</v>
      </c>
      <c r="DC1186" s="450">
        <f t="shared" si="2388"/>
        <v>54.893799999999999</v>
      </c>
      <c r="DD1186" s="450">
        <f t="shared" si="2388"/>
        <v>62.343699999999998</v>
      </c>
      <c r="DE1186" s="450">
        <f t="shared" si="2388"/>
        <v>62.343699999999998</v>
      </c>
      <c r="DF1186" s="450">
        <f t="shared" si="2388"/>
        <v>62.343699999999998</v>
      </c>
      <c r="DG1186" s="450">
        <f t="shared" si="2388"/>
        <v>68.802300000000002</v>
      </c>
      <c r="DH1186" s="450">
        <f t="shared" si="2388"/>
        <v>68.802300000000002</v>
      </c>
      <c r="DI1186" s="450">
        <f t="shared" si="2388"/>
        <v>68.802300000000002</v>
      </c>
      <c r="DJ1186" s="450">
        <f t="shared" si="2388"/>
        <v>78.020099999999985</v>
      </c>
      <c r="DK1186" s="450">
        <f t="shared" si="2388"/>
        <v>78.020099999999985</v>
      </c>
      <c r="DL1186" s="450">
        <f t="shared" si="2388"/>
        <v>78.020099999999985</v>
      </c>
      <c r="DM1186" s="450">
        <f t="shared" si="2388"/>
        <v>84.520099999999985</v>
      </c>
      <c r="DN1186" s="1333">
        <f t="shared" si="2388"/>
        <v>84.520099999999985</v>
      </c>
      <c r="DO1186" s="450">
        <f t="shared" si="2388"/>
        <v>84.520099999999985</v>
      </c>
      <c r="DP1186" s="450">
        <f t="shared" si="2388"/>
        <v>95.805999999999997</v>
      </c>
      <c r="DQ1186" s="450">
        <f t="shared" si="2388"/>
        <v>95.229099999999988</v>
      </c>
      <c r="DR1186" s="450">
        <f t="shared" si="2388"/>
        <v>95.229099999999988</v>
      </c>
      <c r="DS1186" s="450">
        <f t="shared" si="2388"/>
        <v>106.58909999999999</v>
      </c>
      <c r="DT1186" s="450">
        <f t="shared" si="2388"/>
        <v>106.58909999999999</v>
      </c>
      <c r="DU1186" s="450"/>
      <c r="DV1186" s="450"/>
      <c r="DW1186" s="450"/>
      <c r="DX1186" s="450"/>
      <c r="DY1186" s="450"/>
      <c r="DZ1186" s="1333"/>
      <c r="ID1186" s="495" t="str">
        <f t="shared" si="2380"/>
        <v>T bonds</v>
      </c>
      <c r="IE1186" s="495"/>
      <c r="IF1186" s="495"/>
      <c r="IG1186" s="495">
        <f t="shared" si="2381"/>
        <v>54.893799999999999</v>
      </c>
      <c r="IH1186" s="495"/>
      <c r="II1186" s="495"/>
      <c r="IJ1186" s="323">
        <f t="shared" si="2382"/>
        <v>84.520099999999985</v>
      </c>
      <c r="IK1186" s="495"/>
      <c r="IL1186" s="495"/>
      <c r="IM1186" s="323"/>
      <c r="IN1186" s="495"/>
      <c r="IO1186" s="495"/>
      <c r="IP1186" s="323"/>
      <c r="IQ1186" s="323"/>
      <c r="IR1186" s="323"/>
      <c r="IS1186" s="323"/>
      <c r="IT1186" s="323"/>
      <c r="IU1186" s="323"/>
      <c r="IV1186" s="323"/>
      <c r="KU1186" s="279"/>
    </row>
    <row r="1187" spans="1:307" ht="15.6">
      <c r="A1187" s="279"/>
      <c r="B1187" s="279"/>
      <c r="C1187" s="279"/>
      <c r="D1187" s="476" t="s">
        <v>649</v>
      </c>
      <c r="E1187" s="450"/>
      <c r="F1187" s="450"/>
      <c r="G1187" s="450"/>
      <c r="H1187" s="450"/>
      <c r="I1187" s="450"/>
      <c r="J1187" s="450"/>
      <c r="K1187" s="450"/>
      <c r="L1187" s="450"/>
      <c r="M1187" s="450"/>
      <c r="N1187" s="450"/>
      <c r="O1187" s="450"/>
      <c r="P1187" s="450"/>
      <c r="Q1187" s="450"/>
      <c r="R1187" s="450"/>
      <c r="S1187" s="450"/>
      <c r="T1187" s="450"/>
      <c r="U1187" s="450"/>
      <c r="V1187" s="450"/>
      <c r="W1187" s="450"/>
      <c r="X1187" s="450"/>
      <c r="Y1187" s="450"/>
      <c r="Z1187" s="450"/>
      <c r="AA1187" s="450"/>
      <c r="AB1187" s="450"/>
      <c r="AC1187" s="450"/>
      <c r="AD1187" s="450"/>
      <c r="AE1187" s="450"/>
      <c r="AF1187" s="450"/>
      <c r="AG1187" s="450"/>
      <c r="AH1187" s="450"/>
      <c r="AI1187" s="450"/>
      <c r="AJ1187" s="450"/>
      <c r="AK1187" s="450"/>
      <c r="AL1187" s="450"/>
      <c r="AM1187" s="450"/>
      <c r="AN1187" s="450"/>
      <c r="AO1187" s="450"/>
      <c r="AP1187" s="450"/>
      <c r="AQ1187" s="450"/>
      <c r="AR1187" s="450"/>
      <c r="AS1187" s="450"/>
      <c r="AT1187" s="450"/>
      <c r="AU1187" s="450"/>
      <c r="AV1187" s="450"/>
      <c r="AW1187" s="450"/>
      <c r="AX1187" s="450"/>
      <c r="AY1187" s="450"/>
      <c r="AZ1187" s="450"/>
      <c r="BA1187" s="450"/>
      <c r="BB1187" s="450"/>
      <c r="BC1187" s="450"/>
      <c r="BD1187" s="450"/>
      <c r="BE1187" s="450"/>
      <c r="BF1187" s="450"/>
      <c r="BG1187" s="450"/>
      <c r="BH1187" s="450"/>
      <c r="BI1187" s="450"/>
      <c r="BJ1187" s="450"/>
      <c r="BK1187" s="450"/>
      <c r="BL1187" s="450"/>
      <c r="BM1187" s="450"/>
      <c r="BN1187" s="450"/>
      <c r="BO1187" s="450"/>
      <c r="BP1187" s="450"/>
      <c r="BQ1187" s="450"/>
      <c r="BR1187" s="450"/>
      <c r="BS1187" s="450"/>
      <c r="BT1187" s="450"/>
      <c r="BU1187" s="450"/>
      <c r="BV1187" s="450"/>
      <c r="BW1187" s="450"/>
      <c r="BX1187" s="450"/>
      <c r="BY1187" s="450"/>
      <c r="BZ1187" s="450"/>
      <c r="CA1187" s="450"/>
      <c r="CB1187" s="450"/>
      <c r="CC1187" s="450"/>
      <c r="CD1187" s="450"/>
      <c r="CE1187" s="450"/>
      <c r="CF1187" s="450"/>
      <c r="CG1187" s="450"/>
      <c r="CH1187" s="450"/>
      <c r="CI1187" s="450"/>
      <c r="CJ1187" s="477">
        <f>+CJ1188+CJ1189</f>
        <v>1.189788379600367</v>
      </c>
      <c r="CK1187" s="450"/>
      <c r="CL1187" s="450"/>
      <c r="CM1187" s="450"/>
      <c r="CN1187" s="450"/>
      <c r="CO1187" s="450"/>
      <c r="CP1187" s="477">
        <f t="shared" ref="CP1187:DB1187" si="2389">+CP1188+CP1189</f>
        <v>2.8557924190000001</v>
      </c>
      <c r="CQ1187" s="477">
        <f t="shared" si="2389"/>
        <v>2.8557924190000001</v>
      </c>
      <c r="CR1187" s="477">
        <f t="shared" si="2389"/>
        <v>2.8557924190000001</v>
      </c>
      <c r="CS1187" s="477">
        <f t="shared" si="2389"/>
        <v>2.8557924190000001</v>
      </c>
      <c r="CT1187" s="477">
        <f t="shared" si="2389"/>
        <v>2.8557924190000001</v>
      </c>
      <c r="CU1187" s="477">
        <f t="shared" si="2389"/>
        <v>2.8557924190000001</v>
      </c>
      <c r="CV1187" s="477">
        <f t="shared" si="2389"/>
        <v>2.8557924190000001</v>
      </c>
      <c r="CW1187" s="477">
        <f t="shared" si="2389"/>
        <v>2.8557924190000001</v>
      </c>
      <c r="CX1187" s="477">
        <f t="shared" si="2389"/>
        <v>2.8557924190000001</v>
      </c>
      <c r="CY1187" s="477">
        <f t="shared" si="2389"/>
        <v>2.8557924190000001</v>
      </c>
      <c r="CZ1187" s="477">
        <f t="shared" si="2389"/>
        <v>2.8557924190000001</v>
      </c>
      <c r="DA1187" s="477">
        <f t="shared" si="2389"/>
        <v>2.8557924190000001</v>
      </c>
      <c r="DB1187" s="1318">
        <f t="shared" si="2389"/>
        <v>2.8557924190000001</v>
      </c>
      <c r="DC1187" s="477">
        <f t="shared" ref="DC1187:DH1187" si="2390">+DC1188+DC1189</f>
        <v>2.8557924190000001</v>
      </c>
      <c r="DD1187" s="477">
        <f t="shared" si="2390"/>
        <v>2.8557924190000001</v>
      </c>
      <c r="DE1187" s="477">
        <f t="shared" si="2390"/>
        <v>2.8557924190000001</v>
      </c>
      <c r="DF1187" s="477">
        <f t="shared" si="2390"/>
        <v>2.8557924190000001</v>
      </c>
      <c r="DG1187" s="477">
        <f t="shared" si="2390"/>
        <v>2.8557924190000001</v>
      </c>
      <c r="DH1187" s="477">
        <f t="shared" si="2390"/>
        <v>2.8557924190000001</v>
      </c>
      <c r="DI1187" s="477">
        <f t="shared" ref="DI1187:DN1187" si="2391">+DI1188+DI1189</f>
        <v>1.2715692086714601</v>
      </c>
      <c r="DJ1187" s="477">
        <f t="shared" si="2391"/>
        <v>1.2715692086714601</v>
      </c>
      <c r="DK1187" s="477">
        <f t="shared" si="2391"/>
        <v>1.2715692086714601</v>
      </c>
      <c r="DL1187" s="477">
        <f t="shared" si="2391"/>
        <v>1.2715692086714601</v>
      </c>
      <c r="DM1187" s="477">
        <f t="shared" si="2391"/>
        <v>1.2715692086714601</v>
      </c>
      <c r="DN1187" s="1336">
        <f t="shared" si="2391"/>
        <v>1.2986969926798162</v>
      </c>
      <c r="DO1187" s="477">
        <f t="shared" ref="DO1187:DT1187" si="2392">+DO1188+DO1189</f>
        <v>1.2986969926798162</v>
      </c>
      <c r="DP1187" s="477">
        <f t="shared" si="2392"/>
        <v>1.2986969926798162</v>
      </c>
      <c r="DQ1187" s="477">
        <f t="shared" si="2392"/>
        <v>1.2986969926798162</v>
      </c>
      <c r="DR1187" s="477">
        <f t="shared" si="2392"/>
        <v>1.2986969926798162</v>
      </c>
      <c r="DS1187" s="477">
        <f t="shared" si="2392"/>
        <v>1.2986969926798162</v>
      </c>
      <c r="DT1187" s="477">
        <f t="shared" si="2392"/>
        <v>1.2986969926798162</v>
      </c>
      <c r="DU1187" s="477"/>
      <c r="DV1187" s="477"/>
      <c r="DW1187" s="477"/>
      <c r="DX1187" s="477"/>
      <c r="DY1187" s="477"/>
      <c r="DZ1187" s="1336"/>
      <c r="ID1187" s="494" t="str">
        <f t="shared" si="2380"/>
        <v>Corporate bonds</v>
      </c>
      <c r="IE1187" s="495"/>
      <c r="IF1187" s="495"/>
      <c r="IG1187" s="496">
        <f t="shared" si="2381"/>
        <v>2.8557924190000001</v>
      </c>
      <c r="IH1187" s="496"/>
      <c r="II1187" s="495"/>
      <c r="IJ1187" s="683">
        <f t="shared" si="2382"/>
        <v>1.2986969926798162</v>
      </c>
      <c r="IK1187" s="495"/>
      <c r="IL1187" s="495"/>
      <c r="IM1187" s="323"/>
      <c r="IN1187" s="495"/>
      <c r="IO1187" s="495"/>
      <c r="IP1187" s="323"/>
      <c r="IQ1187" s="323"/>
      <c r="IR1187" s="323"/>
      <c r="IS1187" s="323"/>
      <c r="IT1187" s="323"/>
      <c r="IU1187" s="323"/>
      <c r="IV1187" s="323"/>
      <c r="KU1187" s="279"/>
    </row>
    <row r="1188" spans="1:307" ht="15.6">
      <c r="A1188" s="279"/>
      <c r="B1188" s="279"/>
      <c r="C1188" s="279"/>
      <c r="D1188" s="449" t="str">
        <f>+D103</f>
        <v>SODEPARAL</v>
      </c>
      <c r="E1188" s="450"/>
      <c r="F1188" s="450"/>
      <c r="G1188" s="450"/>
      <c r="H1188" s="450"/>
      <c r="I1188" s="450"/>
      <c r="J1188" s="450"/>
      <c r="K1188" s="450"/>
      <c r="L1188" s="450"/>
      <c r="M1188" s="450"/>
      <c r="N1188" s="450"/>
      <c r="O1188" s="450"/>
      <c r="P1188" s="450"/>
      <c r="Q1188" s="450"/>
      <c r="R1188" s="450"/>
      <c r="S1188" s="450"/>
      <c r="T1188" s="450"/>
      <c r="U1188" s="450"/>
      <c r="V1188" s="450"/>
      <c r="W1188" s="450"/>
      <c r="X1188" s="450"/>
      <c r="Y1188" s="450"/>
      <c r="Z1188" s="450"/>
      <c r="AA1188" s="450"/>
      <c r="AB1188" s="450"/>
      <c r="AC1188" s="450"/>
      <c r="AD1188" s="450"/>
      <c r="AE1188" s="450"/>
      <c r="AF1188" s="450"/>
      <c r="AG1188" s="450"/>
      <c r="AH1188" s="450"/>
      <c r="AI1188" s="450"/>
      <c r="AJ1188" s="450"/>
      <c r="AK1188" s="450"/>
      <c r="AL1188" s="450"/>
      <c r="AM1188" s="450"/>
      <c r="AN1188" s="450"/>
      <c r="AO1188" s="450"/>
      <c r="AP1188" s="450"/>
      <c r="AQ1188" s="450"/>
      <c r="AR1188" s="450"/>
      <c r="AS1188" s="450"/>
      <c r="AT1188" s="450"/>
      <c r="AU1188" s="450"/>
      <c r="AV1188" s="450"/>
      <c r="AW1188" s="450"/>
      <c r="AX1188" s="450"/>
      <c r="AY1188" s="450"/>
      <c r="AZ1188" s="450"/>
      <c r="BA1188" s="450"/>
      <c r="BB1188" s="450"/>
      <c r="BC1188" s="450"/>
      <c r="BD1188" s="450"/>
      <c r="BE1188" s="450"/>
      <c r="BF1188" s="450"/>
      <c r="BG1188" s="450"/>
      <c r="BH1188" s="450"/>
      <c r="BI1188" s="450"/>
      <c r="BJ1188" s="450"/>
      <c r="BK1188" s="450"/>
      <c r="BL1188" s="450"/>
      <c r="BM1188" s="450"/>
      <c r="BN1188" s="450"/>
      <c r="BO1188" s="450"/>
      <c r="BP1188" s="450"/>
      <c r="BQ1188" s="450"/>
      <c r="BR1188" s="450"/>
      <c r="BS1188" s="450"/>
      <c r="BT1188" s="450"/>
      <c r="BU1188" s="450"/>
      <c r="BV1188" s="450"/>
      <c r="BW1188" s="450"/>
      <c r="BX1188" s="450"/>
      <c r="BY1188" s="450"/>
      <c r="BZ1188" s="450"/>
      <c r="CA1188" s="450"/>
      <c r="CB1188" s="450"/>
      <c r="CC1188" s="450"/>
      <c r="CD1188" s="450"/>
      <c r="CE1188" s="450"/>
      <c r="CF1188" s="450"/>
      <c r="CG1188" s="450"/>
      <c r="CH1188" s="450"/>
      <c r="CI1188" s="450"/>
      <c r="CJ1188" s="450">
        <f>+CJ91</f>
        <v>1.7016389999999999E-2</v>
      </c>
      <c r="CK1188" s="450"/>
      <c r="CL1188" s="450"/>
      <c r="CM1188" s="450"/>
      <c r="CN1188" s="450"/>
      <c r="CO1188" s="450"/>
      <c r="CP1188" s="450">
        <f t="shared" ref="CP1188:DT1188" si="2393">+CP91</f>
        <v>1.7016389999999999E-2</v>
      </c>
      <c r="CQ1188" s="450">
        <f t="shared" si="2393"/>
        <v>1.7016389999999999E-2</v>
      </c>
      <c r="CR1188" s="450">
        <f t="shared" si="2393"/>
        <v>1.7016389999999999E-2</v>
      </c>
      <c r="CS1188" s="450">
        <f t="shared" si="2393"/>
        <v>1.7016389999999999E-2</v>
      </c>
      <c r="CT1188" s="450">
        <f t="shared" si="2393"/>
        <v>1.7016389999999999E-2</v>
      </c>
      <c r="CU1188" s="450">
        <f t="shared" si="2393"/>
        <v>1.7016389999999999E-2</v>
      </c>
      <c r="CV1188" s="450">
        <f t="shared" si="2393"/>
        <v>1.7016389999999999E-2</v>
      </c>
      <c r="CW1188" s="450">
        <f t="shared" si="2393"/>
        <v>1.7016389999999999E-2</v>
      </c>
      <c r="CX1188" s="450">
        <f t="shared" si="2393"/>
        <v>1.7016389999999999E-2</v>
      </c>
      <c r="CY1188" s="450">
        <f t="shared" si="2393"/>
        <v>1.7016389999999999E-2</v>
      </c>
      <c r="CZ1188" s="450">
        <f t="shared" si="2393"/>
        <v>1.7016389999999999E-2</v>
      </c>
      <c r="DA1188" s="450">
        <f t="shared" si="2393"/>
        <v>1.7016389999999999E-2</v>
      </c>
      <c r="DB1188" s="1314">
        <f t="shared" si="2393"/>
        <v>1.7016389999999999E-2</v>
      </c>
      <c r="DC1188" s="450">
        <f t="shared" si="2393"/>
        <v>1.7016389999999999E-2</v>
      </c>
      <c r="DD1188" s="450">
        <f t="shared" si="2393"/>
        <v>1.7016389999999999E-2</v>
      </c>
      <c r="DE1188" s="450">
        <f t="shared" si="2393"/>
        <v>1.7016389999999999E-2</v>
      </c>
      <c r="DF1188" s="450">
        <f t="shared" si="2393"/>
        <v>1.7016389999999999E-2</v>
      </c>
      <c r="DG1188" s="450">
        <f t="shared" si="2393"/>
        <v>1.7016389999999999E-2</v>
      </c>
      <c r="DH1188" s="450">
        <f t="shared" si="2393"/>
        <v>1.7016389999999999E-2</v>
      </c>
      <c r="DI1188" s="450">
        <f t="shared" si="2393"/>
        <v>1.7016389999999999E-2</v>
      </c>
      <c r="DJ1188" s="450">
        <f t="shared" si="2393"/>
        <v>1.7016389999999999E-2</v>
      </c>
      <c r="DK1188" s="450">
        <f t="shared" si="2393"/>
        <v>1.7016389999999999E-2</v>
      </c>
      <c r="DL1188" s="450">
        <f t="shared" si="2393"/>
        <v>1.7016389999999999E-2</v>
      </c>
      <c r="DM1188" s="450">
        <f t="shared" si="2393"/>
        <v>1.7016389999999999E-2</v>
      </c>
      <c r="DN1188" s="1333">
        <f t="shared" si="2393"/>
        <v>1.7016389999999999E-2</v>
      </c>
      <c r="DO1188" s="450">
        <f t="shared" si="2393"/>
        <v>1.7016389999999999E-2</v>
      </c>
      <c r="DP1188" s="450">
        <f t="shared" si="2393"/>
        <v>1.7016389999999999E-2</v>
      </c>
      <c r="DQ1188" s="450">
        <f t="shared" si="2393"/>
        <v>1.7016389999999999E-2</v>
      </c>
      <c r="DR1188" s="450">
        <f t="shared" si="2393"/>
        <v>1.7016389999999999E-2</v>
      </c>
      <c r="DS1188" s="450">
        <f t="shared" si="2393"/>
        <v>1.7016389999999999E-2</v>
      </c>
      <c r="DT1188" s="450">
        <f t="shared" si="2393"/>
        <v>1.7016389999999999E-2</v>
      </c>
      <c r="DU1188" s="450"/>
      <c r="DV1188" s="450"/>
      <c r="DW1188" s="450"/>
      <c r="DX1188" s="450"/>
      <c r="DY1188" s="450"/>
      <c r="DZ1188" s="1333"/>
      <c r="ID1188" s="495" t="str">
        <f t="shared" si="2380"/>
        <v>SODEPARAL</v>
      </c>
      <c r="IE1188" s="495"/>
      <c r="IF1188" s="495"/>
      <c r="IG1188" s="495">
        <f t="shared" si="2381"/>
        <v>1.7016389999999999E-2</v>
      </c>
      <c r="IH1188" s="495"/>
      <c r="II1188" s="495"/>
      <c r="IJ1188" s="323">
        <f t="shared" si="2382"/>
        <v>1.7016389999999999E-2</v>
      </c>
      <c r="IK1188" s="495"/>
      <c r="IL1188" s="495"/>
      <c r="IM1188" s="323"/>
      <c r="IN1188" s="495"/>
      <c r="IO1188" s="495"/>
      <c r="IP1188" s="323"/>
      <c r="IQ1188" s="323"/>
      <c r="IR1188" s="323"/>
      <c r="IS1188" s="323"/>
      <c r="IT1188" s="323"/>
      <c r="IU1188" s="323"/>
      <c r="IV1188" s="323"/>
      <c r="KU1188" s="279"/>
    </row>
    <row r="1189" spans="1:307" ht="15.6">
      <c r="A1189" s="279"/>
      <c r="B1189" s="279"/>
      <c r="C1189" s="279"/>
      <c r="D1189" s="449" t="str">
        <f>+D104</f>
        <v>NATIONAL POST OFFICE</v>
      </c>
      <c r="E1189" s="450"/>
      <c r="F1189" s="450"/>
      <c r="G1189" s="450"/>
      <c r="H1189" s="450"/>
      <c r="I1189" s="450"/>
      <c r="J1189" s="450"/>
      <c r="K1189" s="450"/>
      <c r="L1189" s="450"/>
      <c r="M1189" s="450"/>
      <c r="N1189" s="450"/>
      <c r="O1189" s="450"/>
      <c r="P1189" s="450"/>
      <c r="Q1189" s="450"/>
      <c r="R1189" s="450"/>
      <c r="S1189" s="450"/>
      <c r="T1189" s="450"/>
      <c r="U1189" s="450"/>
      <c r="V1189" s="450"/>
      <c r="W1189" s="450"/>
      <c r="X1189" s="450"/>
      <c r="Y1189" s="450"/>
      <c r="Z1189" s="450"/>
      <c r="AA1189" s="450"/>
      <c r="AB1189" s="450"/>
      <c r="AC1189" s="450"/>
      <c r="AD1189" s="450"/>
      <c r="AE1189" s="450"/>
      <c r="AF1189" s="450"/>
      <c r="AG1189" s="450"/>
      <c r="AH1189" s="450"/>
      <c r="AI1189" s="450"/>
      <c r="AJ1189" s="450"/>
      <c r="AK1189" s="450"/>
      <c r="AL1189" s="450"/>
      <c r="AM1189" s="450"/>
      <c r="AN1189" s="450"/>
      <c r="AO1189" s="450"/>
      <c r="AP1189" s="450"/>
      <c r="AQ1189" s="450"/>
      <c r="AR1189" s="450"/>
      <c r="AS1189" s="450"/>
      <c r="AT1189" s="450"/>
      <c r="AU1189" s="450"/>
      <c r="AV1189" s="450"/>
      <c r="AW1189" s="450"/>
      <c r="AX1189" s="450"/>
      <c r="AY1189" s="450"/>
      <c r="AZ1189" s="450"/>
      <c r="BA1189" s="450"/>
      <c r="BB1189" s="450"/>
      <c r="BC1189" s="450"/>
      <c r="BD1189" s="450"/>
      <c r="BE1189" s="450"/>
      <c r="BF1189" s="450"/>
      <c r="BG1189" s="450"/>
      <c r="BH1189" s="450"/>
      <c r="BI1189" s="450"/>
      <c r="BJ1189" s="450"/>
      <c r="BK1189" s="450"/>
      <c r="BL1189" s="450"/>
      <c r="BM1189" s="450"/>
      <c r="BN1189" s="450"/>
      <c r="BO1189" s="450"/>
      <c r="BP1189" s="450"/>
      <c r="BQ1189" s="450"/>
      <c r="BR1189" s="450"/>
      <c r="BS1189" s="450"/>
      <c r="BT1189" s="450"/>
      <c r="BU1189" s="450"/>
      <c r="BV1189" s="450"/>
      <c r="BW1189" s="450"/>
      <c r="BX1189" s="450"/>
      <c r="BY1189" s="450"/>
      <c r="BZ1189" s="450"/>
      <c r="CA1189" s="450"/>
      <c r="CB1189" s="450"/>
      <c r="CC1189" s="450"/>
      <c r="CD1189" s="450"/>
      <c r="CE1189" s="450"/>
      <c r="CF1189" s="450"/>
      <c r="CG1189" s="450"/>
      <c r="CH1189" s="450"/>
      <c r="CI1189" s="450"/>
      <c r="CJ1189" s="450">
        <f>+CJ92</f>
        <v>1.172771989600367</v>
      </c>
      <c r="CK1189" s="450"/>
      <c r="CL1189" s="450"/>
      <c r="CM1189" s="450"/>
      <c r="CN1189" s="450"/>
      <c r="CO1189" s="450"/>
      <c r="CP1189" s="450">
        <f t="shared" ref="CP1189:DT1189" si="2394">+CP92</f>
        <v>2.8387760289999999</v>
      </c>
      <c r="CQ1189" s="450">
        <f t="shared" si="2394"/>
        <v>2.8387760289999999</v>
      </c>
      <c r="CR1189" s="450">
        <f t="shared" si="2394"/>
        <v>2.8387760289999999</v>
      </c>
      <c r="CS1189" s="450">
        <f t="shared" si="2394"/>
        <v>2.8387760289999999</v>
      </c>
      <c r="CT1189" s="450">
        <f t="shared" si="2394"/>
        <v>2.8387760289999999</v>
      </c>
      <c r="CU1189" s="450">
        <f t="shared" si="2394"/>
        <v>2.8387760289999999</v>
      </c>
      <c r="CV1189" s="450">
        <f t="shared" si="2394"/>
        <v>2.8387760289999999</v>
      </c>
      <c r="CW1189" s="450">
        <f t="shared" si="2394"/>
        <v>2.8387760289999999</v>
      </c>
      <c r="CX1189" s="450">
        <f t="shared" si="2394"/>
        <v>2.8387760289999999</v>
      </c>
      <c r="CY1189" s="450">
        <f t="shared" si="2394"/>
        <v>2.8387760289999999</v>
      </c>
      <c r="CZ1189" s="450">
        <f t="shared" si="2394"/>
        <v>2.8387760289999999</v>
      </c>
      <c r="DA1189" s="450">
        <f t="shared" si="2394"/>
        <v>2.8387760289999999</v>
      </c>
      <c r="DB1189" s="1314">
        <f t="shared" si="2394"/>
        <v>2.8387760289999999</v>
      </c>
      <c r="DC1189" s="450">
        <f t="shared" si="2394"/>
        <v>2.8387760289999999</v>
      </c>
      <c r="DD1189" s="450">
        <f t="shared" si="2394"/>
        <v>2.8387760289999999</v>
      </c>
      <c r="DE1189" s="450">
        <f t="shared" si="2394"/>
        <v>2.8387760289999999</v>
      </c>
      <c r="DF1189" s="450">
        <f t="shared" si="2394"/>
        <v>2.8387760289999999</v>
      </c>
      <c r="DG1189" s="450">
        <f t="shared" si="2394"/>
        <v>2.8387760289999999</v>
      </c>
      <c r="DH1189" s="450">
        <f t="shared" si="2394"/>
        <v>2.8387760289999999</v>
      </c>
      <c r="DI1189" s="450">
        <f t="shared" si="2394"/>
        <v>1.2545528186714601</v>
      </c>
      <c r="DJ1189" s="450">
        <f t="shared" si="2394"/>
        <v>1.2545528186714601</v>
      </c>
      <c r="DK1189" s="450">
        <f t="shared" si="2394"/>
        <v>1.2545528186714601</v>
      </c>
      <c r="DL1189" s="450">
        <f t="shared" si="2394"/>
        <v>1.2545528186714601</v>
      </c>
      <c r="DM1189" s="450">
        <f t="shared" si="2394"/>
        <v>1.2545528186714601</v>
      </c>
      <c r="DN1189" s="1333">
        <f t="shared" si="2394"/>
        <v>1.2816806026798162</v>
      </c>
      <c r="DO1189" s="450">
        <f t="shared" si="2394"/>
        <v>1.2816806026798162</v>
      </c>
      <c r="DP1189" s="450">
        <f t="shared" si="2394"/>
        <v>1.2816806026798162</v>
      </c>
      <c r="DQ1189" s="450">
        <f t="shared" si="2394"/>
        <v>1.2816806026798162</v>
      </c>
      <c r="DR1189" s="450">
        <f t="shared" si="2394"/>
        <v>1.2816806026798162</v>
      </c>
      <c r="DS1189" s="450">
        <f t="shared" si="2394"/>
        <v>1.2816806026798162</v>
      </c>
      <c r="DT1189" s="450">
        <f t="shared" si="2394"/>
        <v>1.2816806026798162</v>
      </c>
      <c r="DU1189" s="450"/>
      <c r="DV1189" s="450"/>
      <c r="DW1189" s="450"/>
      <c r="DX1189" s="450"/>
      <c r="DY1189" s="450"/>
      <c r="DZ1189" s="1333"/>
      <c r="ID1189" s="495" t="str">
        <f t="shared" si="2380"/>
        <v>NATIONAL POST OFFICE</v>
      </c>
      <c r="IE1189" s="495"/>
      <c r="IF1189" s="495"/>
      <c r="IG1189" s="495">
        <f t="shared" si="2381"/>
        <v>2.8387760289999999</v>
      </c>
      <c r="IH1189" s="495"/>
      <c r="II1189" s="495"/>
      <c r="IJ1189" s="323">
        <f t="shared" si="2382"/>
        <v>1.2816806026798162</v>
      </c>
      <c r="IK1189" s="495"/>
      <c r="IL1189" s="495"/>
      <c r="IM1189" s="323"/>
      <c r="IN1189" s="495"/>
      <c r="IO1189" s="495"/>
      <c r="IP1189" s="323"/>
      <c r="IQ1189" s="323"/>
      <c r="IR1189" s="323"/>
      <c r="IS1189" s="323"/>
      <c r="IT1189" s="323"/>
      <c r="IU1189" s="323"/>
      <c r="IV1189" s="323"/>
      <c r="KU1189" s="279"/>
    </row>
    <row r="1190" spans="1:307" ht="15.6">
      <c r="A1190" s="279"/>
      <c r="B1190" s="279"/>
      <c r="C1190" s="279"/>
      <c r="D1190" s="449"/>
      <c r="E1190" s="450"/>
      <c r="F1190" s="450"/>
      <c r="G1190" s="450"/>
      <c r="H1190" s="450"/>
      <c r="I1190" s="450"/>
      <c r="J1190" s="450"/>
      <c r="K1190" s="450"/>
      <c r="L1190" s="450"/>
      <c r="M1190" s="450"/>
      <c r="N1190" s="450"/>
      <c r="O1190" s="450"/>
      <c r="P1190" s="450"/>
      <c r="Q1190" s="450"/>
      <c r="R1190" s="450"/>
      <c r="S1190" s="450"/>
      <c r="T1190" s="450"/>
      <c r="U1190" s="450"/>
      <c r="V1190" s="450"/>
      <c r="W1190" s="450"/>
      <c r="X1190" s="450"/>
      <c r="Y1190" s="450"/>
      <c r="Z1190" s="450"/>
      <c r="AA1190" s="450"/>
      <c r="AB1190" s="450"/>
      <c r="AC1190" s="450"/>
      <c r="AD1190" s="450"/>
      <c r="AE1190" s="450"/>
      <c r="AF1190" s="450"/>
      <c r="AG1190" s="450"/>
      <c r="AH1190" s="450"/>
      <c r="AI1190" s="450"/>
      <c r="AJ1190" s="450"/>
      <c r="AK1190" s="450"/>
      <c r="AL1190" s="450"/>
      <c r="AM1190" s="450"/>
      <c r="AN1190" s="450"/>
      <c r="AO1190" s="450"/>
      <c r="AP1190" s="450"/>
      <c r="AQ1190" s="450"/>
      <c r="AR1190" s="450"/>
      <c r="AS1190" s="450"/>
      <c r="AT1190" s="450"/>
      <c r="AU1190" s="450"/>
      <c r="AV1190" s="450"/>
      <c r="AW1190" s="450"/>
      <c r="AX1190" s="450"/>
      <c r="AY1190" s="450"/>
      <c r="AZ1190" s="450"/>
      <c r="BA1190" s="450"/>
      <c r="BB1190" s="450"/>
      <c r="BC1190" s="450"/>
      <c r="BD1190" s="450"/>
      <c r="BE1190" s="450"/>
      <c r="BF1190" s="450"/>
      <c r="BG1190" s="450"/>
      <c r="BH1190" s="450"/>
      <c r="BI1190" s="450"/>
      <c r="BJ1190" s="450"/>
      <c r="BK1190" s="450"/>
      <c r="BL1190" s="450"/>
      <c r="BM1190" s="450"/>
      <c r="BN1190" s="450"/>
      <c r="BO1190" s="450"/>
      <c r="BP1190" s="450"/>
      <c r="BQ1190" s="450"/>
      <c r="BR1190" s="450"/>
      <c r="BS1190" s="450"/>
      <c r="BT1190" s="450"/>
      <c r="BU1190" s="450"/>
      <c r="BV1190" s="450"/>
      <c r="BW1190" s="450"/>
      <c r="BX1190" s="450"/>
      <c r="BY1190" s="450"/>
      <c r="BZ1190" s="450"/>
      <c r="CA1190" s="450"/>
      <c r="CB1190" s="450"/>
      <c r="CC1190" s="450"/>
      <c r="CD1190" s="450"/>
      <c r="CE1190" s="450"/>
      <c r="CF1190" s="450"/>
      <c r="CG1190" s="450"/>
      <c r="CH1190" s="450"/>
      <c r="CI1190" s="450"/>
      <c r="CJ1190" s="450"/>
      <c r="CK1190" s="450"/>
      <c r="CL1190" s="450"/>
      <c r="CM1190" s="450"/>
      <c r="CN1190" s="450"/>
      <c r="CO1190" s="450"/>
      <c r="CP1190" s="450"/>
      <c r="CQ1190" s="450"/>
      <c r="CR1190" s="450"/>
      <c r="CS1190" s="450"/>
      <c r="CT1190" s="450"/>
      <c r="CU1190" s="450"/>
      <c r="CV1190" s="450"/>
      <c r="CW1190" s="450"/>
      <c r="CX1190" s="450"/>
      <c r="CY1190" s="450"/>
      <c r="CZ1190" s="450"/>
      <c r="DA1190" s="450"/>
      <c r="DB1190" s="1314"/>
      <c r="DC1190" s="450"/>
      <c r="DD1190" s="450"/>
      <c r="DE1190" s="450"/>
      <c r="DF1190" s="450"/>
      <c r="DG1190" s="450"/>
      <c r="DH1190" s="450"/>
      <c r="DI1190" s="450"/>
      <c r="DJ1190" s="450"/>
      <c r="DK1190" s="450"/>
      <c r="DL1190" s="450"/>
      <c r="DM1190" s="450"/>
      <c r="DN1190" s="1333"/>
      <c r="DO1190" s="450"/>
      <c r="DP1190" s="450"/>
      <c r="DQ1190" s="450"/>
      <c r="DR1190" s="450"/>
      <c r="DS1190" s="450"/>
      <c r="DT1190" s="450"/>
      <c r="DU1190" s="450"/>
      <c r="DV1190" s="450"/>
      <c r="DW1190" s="450"/>
      <c r="DX1190" s="450"/>
      <c r="DY1190" s="450"/>
      <c r="DZ1190" s="1333"/>
      <c r="ID1190" s="494"/>
      <c r="IE1190" s="495"/>
      <c r="IF1190" s="495"/>
      <c r="IG1190" s="495"/>
      <c r="IH1190" s="495"/>
      <c r="II1190" s="495"/>
      <c r="IJ1190" s="323">
        <f t="shared" si="2382"/>
        <v>0</v>
      </c>
      <c r="IK1190" s="495"/>
      <c r="IL1190" s="495"/>
      <c r="IM1190" s="323"/>
      <c r="IN1190" s="495"/>
      <c r="IO1190" s="495"/>
      <c r="IP1190" s="323"/>
      <c r="IQ1190" s="323"/>
      <c r="IR1190" s="323"/>
      <c r="IS1190" s="323"/>
      <c r="IT1190" s="323"/>
      <c r="IU1190" s="323"/>
      <c r="IV1190" s="323"/>
      <c r="KU1190" s="279"/>
    </row>
    <row r="1191" spans="1:307" ht="15.6">
      <c r="A1191" s="279"/>
      <c r="B1191" s="279"/>
      <c r="C1191" s="279"/>
      <c r="D1191" s="474" t="s">
        <v>651</v>
      </c>
      <c r="E1191" s="450"/>
      <c r="F1191" s="450"/>
      <c r="G1191" s="450"/>
      <c r="H1191" s="450"/>
      <c r="I1191" s="450"/>
      <c r="J1191" s="450"/>
      <c r="K1191" s="450"/>
      <c r="L1191" s="450"/>
      <c r="M1191" s="450"/>
      <c r="N1191" s="450"/>
      <c r="O1191" s="450"/>
      <c r="P1191" s="450"/>
      <c r="Q1191" s="450"/>
      <c r="R1191" s="450"/>
      <c r="S1191" s="450"/>
      <c r="T1191" s="450"/>
      <c r="U1191" s="450"/>
      <c r="V1191" s="450"/>
      <c r="W1191" s="450"/>
      <c r="X1191" s="450"/>
      <c r="Y1191" s="450"/>
      <c r="Z1191" s="450"/>
      <c r="AA1191" s="450"/>
      <c r="AB1191" s="450"/>
      <c r="AC1191" s="450"/>
      <c r="AD1191" s="450"/>
      <c r="AE1191" s="450"/>
      <c r="AF1191" s="450"/>
      <c r="AG1191" s="450"/>
      <c r="AH1191" s="450"/>
      <c r="AI1191" s="450"/>
      <c r="AJ1191" s="450"/>
      <c r="AK1191" s="450"/>
      <c r="AL1191" s="450"/>
      <c r="AM1191" s="450"/>
      <c r="AN1191" s="450"/>
      <c r="AO1191" s="450"/>
      <c r="AP1191" s="450"/>
      <c r="AQ1191" s="450"/>
      <c r="AR1191" s="450"/>
      <c r="AS1191" s="450"/>
      <c r="AT1191" s="450"/>
      <c r="AU1191" s="450"/>
      <c r="AV1191" s="450"/>
      <c r="AW1191" s="450"/>
      <c r="AX1191" s="450"/>
      <c r="AY1191" s="450"/>
      <c r="AZ1191" s="450"/>
      <c r="BA1191" s="450"/>
      <c r="BB1191" s="450"/>
      <c r="BC1191" s="450"/>
      <c r="BD1191" s="450"/>
      <c r="BE1191" s="450"/>
      <c r="BF1191" s="450"/>
      <c r="BG1191" s="450"/>
      <c r="BH1191" s="450"/>
      <c r="BI1191" s="450"/>
      <c r="BJ1191" s="450"/>
      <c r="BK1191" s="450"/>
      <c r="BL1191" s="450"/>
      <c r="BM1191" s="450"/>
      <c r="BN1191" s="450"/>
      <c r="BO1191" s="450"/>
      <c r="BP1191" s="450"/>
      <c r="BQ1191" s="450"/>
      <c r="BR1191" s="450"/>
      <c r="BS1191" s="450"/>
      <c r="BT1191" s="450"/>
      <c r="BU1191" s="450"/>
      <c r="BV1191" s="450"/>
      <c r="BW1191" s="450"/>
      <c r="BX1191" s="450"/>
      <c r="BY1191" s="450"/>
      <c r="BZ1191" s="450"/>
      <c r="CA1191" s="450"/>
      <c r="CB1191" s="450"/>
      <c r="CC1191" s="450"/>
      <c r="CD1191" s="450"/>
      <c r="CE1191" s="450"/>
      <c r="CF1191" s="450"/>
      <c r="CG1191" s="450"/>
      <c r="CH1191" s="450"/>
      <c r="CI1191" s="450"/>
      <c r="CJ1191" s="477">
        <f>+CJ1192+CJ1193</f>
        <v>68.013805340000005</v>
      </c>
      <c r="CK1191" s="450"/>
      <c r="CL1191" s="450"/>
      <c r="CM1191" s="450"/>
      <c r="CN1191" s="450"/>
      <c r="CO1191" s="450"/>
      <c r="CP1191" s="477">
        <f t="shared" ref="CP1191:DB1191" si="2395">+CP1192+CP1193</f>
        <v>53.398000257000007</v>
      </c>
      <c r="CQ1191" s="477">
        <f t="shared" si="2395"/>
        <v>52.430335140797453</v>
      </c>
      <c r="CR1191" s="477">
        <f t="shared" si="2395"/>
        <v>52.430335140797453</v>
      </c>
      <c r="CS1191" s="477">
        <f t="shared" si="2395"/>
        <v>52.430335140797453</v>
      </c>
      <c r="CT1191" s="477">
        <f t="shared" si="2395"/>
        <v>51.450574210642365</v>
      </c>
      <c r="CU1191" s="477">
        <f t="shared" si="2395"/>
        <v>51.450574210642365</v>
      </c>
      <c r="CV1191" s="477">
        <f t="shared" si="2395"/>
        <v>51.450574210642365</v>
      </c>
      <c r="CW1191" s="477">
        <f t="shared" si="2395"/>
        <v>50.458566268860338</v>
      </c>
      <c r="CX1191" s="477">
        <f t="shared" si="2395"/>
        <v>50.458566268860338</v>
      </c>
      <c r="CY1191" s="477">
        <f t="shared" si="2395"/>
        <v>50.458566268860338</v>
      </c>
      <c r="CZ1191" s="477">
        <f t="shared" si="2395"/>
        <v>49.45415822780604</v>
      </c>
      <c r="DA1191" s="477">
        <f t="shared" si="2395"/>
        <v>49.45415822780604</v>
      </c>
      <c r="DB1191" s="1318">
        <f t="shared" si="2395"/>
        <v>49.45415822780604</v>
      </c>
      <c r="DC1191" s="477">
        <f t="shared" ref="DC1191:DH1191" si="2396">+DC1192+DC1193</f>
        <v>48.43719508623856</v>
      </c>
      <c r="DD1191" s="477">
        <f t="shared" si="2396"/>
        <v>48.43719508623856</v>
      </c>
      <c r="DE1191" s="477">
        <f t="shared" si="2396"/>
        <v>48.43719508623856</v>
      </c>
      <c r="DF1191" s="477">
        <f t="shared" si="2396"/>
        <v>47.407519905401493</v>
      </c>
      <c r="DG1191" s="477">
        <f t="shared" si="2396"/>
        <v>40.407519905401493</v>
      </c>
      <c r="DH1191" s="477">
        <f t="shared" si="2396"/>
        <v>40.407519905401493</v>
      </c>
      <c r="DI1191" s="477">
        <f t="shared" ref="DI1191:DN1191" si="2397">+DI1192+DI1193</f>
        <v>39.364973785401489</v>
      </c>
      <c r="DJ1191" s="477">
        <f t="shared" si="2397"/>
        <v>39.364973785401489</v>
      </c>
      <c r="DK1191" s="477">
        <f t="shared" si="2397"/>
        <v>39.364973785401489</v>
      </c>
      <c r="DL1191" s="477">
        <f t="shared" si="2397"/>
        <v>38.309395838296489</v>
      </c>
      <c r="DM1191" s="477">
        <f t="shared" si="2397"/>
        <v>38.309395838296489</v>
      </c>
      <c r="DN1191" s="1336">
        <f t="shared" si="2397"/>
        <v>38.309395838296489</v>
      </c>
      <c r="DO1191" s="477">
        <f t="shared" ref="DO1191:DT1191" si="2398">+DO1192+DO1193</f>
        <v>37.240623166852671</v>
      </c>
      <c r="DP1191" s="477">
        <f t="shared" si="2398"/>
        <v>36.385171133852666</v>
      </c>
      <c r="DQ1191" s="477">
        <f t="shared" si="2398"/>
        <v>35.521544780852665</v>
      </c>
      <c r="DR1191" s="477">
        <f t="shared" si="2398"/>
        <v>33.567533669015802</v>
      </c>
      <c r="DS1191" s="477">
        <f t="shared" si="2398"/>
        <v>33.567533669015802</v>
      </c>
      <c r="DT1191" s="477">
        <f t="shared" si="2398"/>
        <v>33.479512601015806</v>
      </c>
      <c r="DU1191" s="477"/>
      <c r="DV1191" s="477"/>
      <c r="DW1191" s="477"/>
      <c r="DX1191" s="477"/>
      <c r="DY1191" s="477"/>
      <c r="DZ1191" s="1336"/>
      <c r="ID1191" s="494" t="str">
        <f>+D1191</f>
        <v>debt to RSSB</v>
      </c>
      <c r="IE1191" s="495"/>
      <c r="IF1191" s="495"/>
      <c r="IG1191" s="494">
        <f>+DB1191</f>
        <v>49.45415822780604</v>
      </c>
      <c r="IH1191" s="494"/>
      <c r="II1191" s="495"/>
      <c r="IJ1191" s="323"/>
      <c r="IK1191" s="495"/>
      <c r="IL1191" s="495"/>
      <c r="IM1191" s="323"/>
      <c r="IN1191" s="495"/>
      <c r="IO1191" s="495"/>
      <c r="IP1191" s="323"/>
      <c r="IQ1191" s="323"/>
      <c r="IR1191" s="323"/>
      <c r="IS1191" s="323"/>
      <c r="IT1191" s="323"/>
      <c r="IU1191" s="323"/>
      <c r="IV1191" s="323"/>
      <c r="KU1191" s="279"/>
    </row>
    <row r="1192" spans="1:307" ht="15.6">
      <c r="A1192" s="279"/>
      <c r="B1192" s="279"/>
      <c r="C1192" s="279"/>
      <c r="D1192" s="449" t="str">
        <f>+D85</f>
        <v>Old consolidated debt</v>
      </c>
      <c r="E1192" s="450"/>
      <c r="F1192" s="450"/>
      <c r="G1192" s="450"/>
      <c r="H1192" s="450"/>
      <c r="I1192" s="450"/>
      <c r="J1192" s="450"/>
      <c r="K1192" s="450"/>
      <c r="L1192" s="450"/>
      <c r="M1192" s="450"/>
      <c r="N1192" s="450"/>
      <c r="O1192" s="450"/>
      <c r="P1192" s="450"/>
      <c r="Q1192" s="450"/>
      <c r="R1192" s="450"/>
      <c r="S1192" s="450"/>
      <c r="T1192" s="450"/>
      <c r="U1192" s="450"/>
      <c r="V1192" s="450"/>
      <c r="W1192" s="450"/>
      <c r="X1192" s="450"/>
      <c r="Y1192" s="450"/>
      <c r="Z1192" s="450"/>
      <c r="AA1192" s="450"/>
      <c r="AB1192" s="450"/>
      <c r="AC1192" s="450"/>
      <c r="AD1192" s="450"/>
      <c r="AE1192" s="450"/>
      <c r="AF1192" s="450"/>
      <c r="AG1192" s="450"/>
      <c r="AH1192" s="450"/>
      <c r="AI1192" s="450"/>
      <c r="AJ1192" s="450"/>
      <c r="AK1192" s="450"/>
      <c r="AL1192" s="450"/>
      <c r="AM1192" s="450"/>
      <c r="AN1192" s="450"/>
      <c r="AO1192" s="450"/>
      <c r="AP1192" s="450"/>
      <c r="AQ1192" s="450"/>
      <c r="AR1192" s="450"/>
      <c r="AS1192" s="450"/>
      <c r="AT1192" s="450"/>
      <c r="AU1192" s="450"/>
      <c r="AV1192" s="450"/>
      <c r="AW1192" s="450"/>
      <c r="AX1192" s="450"/>
      <c r="AY1192" s="450"/>
      <c r="AZ1192" s="450"/>
      <c r="BA1192" s="450"/>
      <c r="BB1192" s="450"/>
      <c r="BC1192" s="450"/>
      <c r="BD1192" s="450"/>
      <c r="BE1192" s="450"/>
      <c r="BF1192" s="450"/>
      <c r="BG1192" s="450"/>
      <c r="BH1192" s="450"/>
      <c r="BI1192" s="450"/>
      <c r="BJ1192" s="450"/>
      <c r="BK1192" s="450"/>
      <c r="BL1192" s="450"/>
      <c r="BM1192" s="450"/>
      <c r="BN1192" s="450"/>
      <c r="BO1192" s="450"/>
      <c r="BP1192" s="450"/>
      <c r="BQ1192" s="450"/>
      <c r="BR1192" s="450"/>
      <c r="BS1192" s="450"/>
      <c r="BT1192" s="450"/>
      <c r="BU1192" s="450"/>
      <c r="BV1192" s="450"/>
      <c r="BW1192" s="450"/>
      <c r="BX1192" s="450"/>
      <c r="BY1192" s="450"/>
      <c r="BZ1192" s="450"/>
      <c r="CA1192" s="450"/>
      <c r="CB1192" s="450"/>
      <c r="CC1192" s="450"/>
      <c r="CD1192" s="450"/>
      <c r="CE1192" s="450"/>
      <c r="CF1192" s="450"/>
      <c r="CG1192" s="450"/>
      <c r="CH1192" s="450"/>
      <c r="CI1192" s="450"/>
      <c r="CJ1192" s="450">
        <f>+CJ85</f>
        <v>41.716166811999997</v>
      </c>
      <c r="CK1192" s="450"/>
      <c r="CL1192" s="450"/>
      <c r="CM1192" s="450"/>
      <c r="CN1192" s="450"/>
      <c r="CO1192" s="450"/>
      <c r="CP1192" s="450">
        <f t="shared" ref="CP1192:DT1192" si="2399">+CP85</f>
        <v>34</v>
      </c>
      <c r="CQ1192" s="450">
        <f t="shared" si="2399"/>
        <v>34</v>
      </c>
      <c r="CR1192" s="450">
        <f t="shared" si="2399"/>
        <v>34</v>
      </c>
      <c r="CS1192" s="450">
        <f t="shared" si="2399"/>
        <v>34</v>
      </c>
      <c r="CT1192" s="450">
        <f t="shared" si="2399"/>
        <v>34</v>
      </c>
      <c r="CU1192" s="450">
        <f t="shared" si="2399"/>
        <v>34</v>
      </c>
      <c r="CV1192" s="450">
        <f t="shared" si="2399"/>
        <v>34</v>
      </c>
      <c r="CW1192" s="450">
        <f t="shared" si="2399"/>
        <v>34</v>
      </c>
      <c r="CX1192" s="450">
        <f t="shared" si="2399"/>
        <v>34</v>
      </c>
      <c r="CY1192" s="450">
        <f t="shared" si="2399"/>
        <v>34</v>
      </c>
      <c r="CZ1192" s="450">
        <f t="shared" si="2399"/>
        <v>34</v>
      </c>
      <c r="DA1192" s="450">
        <f t="shared" si="2399"/>
        <v>34</v>
      </c>
      <c r="DB1192" s="1314">
        <f t="shared" si="2399"/>
        <v>34</v>
      </c>
      <c r="DC1192" s="450">
        <f t="shared" si="2399"/>
        <v>34</v>
      </c>
      <c r="DD1192" s="450">
        <f t="shared" si="2399"/>
        <v>34</v>
      </c>
      <c r="DE1192" s="450">
        <f t="shared" si="2399"/>
        <v>34</v>
      </c>
      <c r="DF1192" s="450">
        <f t="shared" si="2399"/>
        <v>34</v>
      </c>
      <c r="DG1192" s="450">
        <f t="shared" si="2399"/>
        <v>27</v>
      </c>
      <c r="DH1192" s="450">
        <f t="shared" si="2399"/>
        <v>27</v>
      </c>
      <c r="DI1192" s="450">
        <f t="shared" si="2399"/>
        <v>27</v>
      </c>
      <c r="DJ1192" s="450">
        <f t="shared" si="2399"/>
        <v>27</v>
      </c>
      <c r="DK1192" s="450">
        <f t="shared" si="2399"/>
        <v>27</v>
      </c>
      <c r="DL1192" s="450">
        <f t="shared" si="2399"/>
        <v>25.944422052894996</v>
      </c>
      <c r="DM1192" s="450">
        <f t="shared" si="2399"/>
        <v>25.944422052894996</v>
      </c>
      <c r="DN1192" s="1333">
        <f t="shared" si="2399"/>
        <v>25.944422052894996</v>
      </c>
      <c r="DO1192" s="450">
        <f t="shared" si="2399"/>
        <v>25.944422052894996</v>
      </c>
      <c r="DP1192" s="450">
        <f t="shared" si="2399"/>
        <v>25.088970019894997</v>
      </c>
      <c r="DQ1192" s="450">
        <f t="shared" si="2399"/>
        <v>24.225343666894997</v>
      </c>
      <c r="DR1192" s="450">
        <f t="shared" si="2399"/>
        <v>23.353464884894997</v>
      </c>
      <c r="DS1192" s="450">
        <f t="shared" si="2399"/>
        <v>23.353464884894997</v>
      </c>
      <c r="DT1192" s="450">
        <f t="shared" si="2399"/>
        <v>23.265443816894997</v>
      </c>
      <c r="DU1192" s="450"/>
      <c r="DV1192" s="450"/>
      <c r="DW1192" s="450"/>
      <c r="DX1192" s="450"/>
      <c r="DY1192" s="450"/>
      <c r="DZ1192" s="1333"/>
      <c r="ID1192" s="495" t="str">
        <f>+D1192</f>
        <v>Old consolidated debt</v>
      </c>
      <c r="IE1192" s="495"/>
      <c r="IF1192" s="495"/>
      <c r="IG1192" s="495">
        <f>+DB1192</f>
        <v>34</v>
      </c>
      <c r="IH1192" s="495"/>
      <c r="II1192" s="495"/>
      <c r="IJ1192" s="323">
        <f>+DN1192</f>
        <v>25.944422052894996</v>
      </c>
      <c r="IK1192" s="495"/>
      <c r="IL1192" s="495"/>
      <c r="IM1192" s="323"/>
      <c r="IN1192" s="495"/>
      <c r="IO1192" s="495"/>
      <c r="IP1192" s="323"/>
      <c r="IQ1192" s="323"/>
      <c r="IR1192" s="323"/>
      <c r="IS1192" s="323"/>
      <c r="IT1192" s="323"/>
      <c r="IU1192" s="323"/>
      <c r="IV1192" s="323"/>
      <c r="KU1192" s="279"/>
    </row>
    <row r="1193" spans="1:307" ht="15.6">
      <c r="A1193" s="279"/>
      <c r="B1193" s="279"/>
      <c r="C1193" s="279"/>
      <c r="D1193" s="449" t="str">
        <f>+D86</f>
        <v>New loan</v>
      </c>
      <c r="E1193" s="450"/>
      <c r="F1193" s="450"/>
      <c r="G1193" s="450"/>
      <c r="H1193" s="450"/>
      <c r="I1193" s="450"/>
      <c r="J1193" s="450"/>
      <c r="K1193" s="450"/>
      <c r="L1193" s="450"/>
      <c r="M1193" s="450"/>
      <c r="N1193" s="450"/>
      <c r="O1193" s="450"/>
      <c r="P1193" s="450"/>
      <c r="Q1193" s="450"/>
      <c r="R1193" s="450"/>
      <c r="S1193" s="450"/>
      <c r="T1193" s="450"/>
      <c r="U1193" s="450"/>
      <c r="V1193" s="450"/>
      <c r="W1193" s="450"/>
      <c r="X1193" s="450"/>
      <c r="Y1193" s="450"/>
      <c r="Z1193" s="450"/>
      <c r="AA1193" s="450"/>
      <c r="AB1193" s="450"/>
      <c r="AC1193" s="450"/>
      <c r="AD1193" s="450"/>
      <c r="AE1193" s="450"/>
      <c r="AF1193" s="450"/>
      <c r="AG1193" s="450"/>
      <c r="AH1193" s="450"/>
      <c r="AI1193" s="450"/>
      <c r="AJ1193" s="450"/>
      <c r="AK1193" s="450"/>
      <c r="AL1193" s="450"/>
      <c r="AM1193" s="450"/>
      <c r="AN1193" s="450"/>
      <c r="AO1193" s="450"/>
      <c r="AP1193" s="450"/>
      <c r="AQ1193" s="450"/>
      <c r="AR1193" s="450"/>
      <c r="AS1193" s="450"/>
      <c r="AT1193" s="450"/>
      <c r="AU1193" s="450"/>
      <c r="AV1193" s="450"/>
      <c r="AW1193" s="450"/>
      <c r="AX1193" s="450"/>
      <c r="AY1193" s="450"/>
      <c r="AZ1193" s="450"/>
      <c r="BA1193" s="450"/>
      <c r="BB1193" s="450"/>
      <c r="BC1193" s="450"/>
      <c r="BD1193" s="450"/>
      <c r="BE1193" s="450"/>
      <c r="BF1193" s="450"/>
      <c r="BG1193" s="450"/>
      <c r="BH1193" s="450"/>
      <c r="BI1193" s="450"/>
      <c r="BJ1193" s="450"/>
      <c r="BK1193" s="450"/>
      <c r="BL1193" s="450"/>
      <c r="BM1193" s="450"/>
      <c r="BN1193" s="450"/>
      <c r="BO1193" s="450"/>
      <c r="BP1193" s="450"/>
      <c r="BQ1193" s="450"/>
      <c r="BR1193" s="450"/>
      <c r="BS1193" s="450"/>
      <c r="BT1193" s="450"/>
      <c r="BU1193" s="450"/>
      <c r="BV1193" s="450"/>
      <c r="BW1193" s="450"/>
      <c r="BX1193" s="450"/>
      <c r="BY1193" s="450"/>
      <c r="BZ1193" s="450"/>
      <c r="CA1193" s="450"/>
      <c r="CB1193" s="450"/>
      <c r="CC1193" s="450"/>
      <c r="CD1193" s="450"/>
      <c r="CE1193" s="450"/>
      <c r="CF1193" s="450"/>
      <c r="CG1193" s="450"/>
      <c r="CH1193" s="450"/>
      <c r="CI1193" s="450"/>
      <c r="CJ1193" s="450">
        <f>+CJ86</f>
        <v>26.297638528000007</v>
      </c>
      <c r="CK1193" s="450"/>
      <c r="CL1193" s="450"/>
      <c r="CM1193" s="450"/>
      <c r="CN1193" s="450"/>
      <c r="CO1193" s="450"/>
      <c r="CP1193" s="450">
        <f t="shared" ref="CP1193:DT1193" si="2400">+CP86</f>
        <v>19.398000257000007</v>
      </c>
      <c r="CQ1193" s="450">
        <f t="shared" si="2400"/>
        <v>18.430335140797453</v>
      </c>
      <c r="CR1193" s="450">
        <f t="shared" si="2400"/>
        <v>18.430335140797453</v>
      </c>
      <c r="CS1193" s="450">
        <f t="shared" si="2400"/>
        <v>18.430335140797453</v>
      </c>
      <c r="CT1193" s="450">
        <f t="shared" si="2400"/>
        <v>17.450574210642365</v>
      </c>
      <c r="CU1193" s="450">
        <f t="shared" si="2400"/>
        <v>17.450574210642365</v>
      </c>
      <c r="CV1193" s="450">
        <f t="shared" si="2400"/>
        <v>17.450574210642365</v>
      </c>
      <c r="CW1193" s="450">
        <f t="shared" si="2400"/>
        <v>16.458566268860341</v>
      </c>
      <c r="CX1193" s="450">
        <f t="shared" si="2400"/>
        <v>16.458566268860341</v>
      </c>
      <c r="CY1193" s="450">
        <f t="shared" si="2400"/>
        <v>16.458566268860341</v>
      </c>
      <c r="CZ1193" s="450">
        <f t="shared" si="2400"/>
        <v>15.45415822780604</v>
      </c>
      <c r="DA1193" s="450">
        <f t="shared" si="2400"/>
        <v>15.45415822780604</v>
      </c>
      <c r="DB1193" s="1314">
        <f t="shared" si="2400"/>
        <v>15.45415822780604</v>
      </c>
      <c r="DC1193" s="450">
        <f t="shared" si="2400"/>
        <v>14.437195086238562</v>
      </c>
      <c r="DD1193" s="450">
        <f t="shared" si="2400"/>
        <v>14.437195086238562</v>
      </c>
      <c r="DE1193" s="450">
        <f t="shared" si="2400"/>
        <v>14.437195086238562</v>
      </c>
      <c r="DF1193" s="450">
        <f t="shared" si="2400"/>
        <v>13.407519905401491</v>
      </c>
      <c r="DG1193" s="450">
        <f t="shared" si="2400"/>
        <v>13.407519905401491</v>
      </c>
      <c r="DH1193" s="450">
        <f t="shared" si="2400"/>
        <v>13.407519905401491</v>
      </c>
      <c r="DI1193" s="450">
        <f t="shared" si="2400"/>
        <v>12.364973785401492</v>
      </c>
      <c r="DJ1193" s="450">
        <f t="shared" si="2400"/>
        <v>12.364973785401492</v>
      </c>
      <c r="DK1193" s="450">
        <f t="shared" si="2400"/>
        <v>12.364973785401492</v>
      </c>
      <c r="DL1193" s="450">
        <f t="shared" si="2400"/>
        <v>12.364973785401492</v>
      </c>
      <c r="DM1193" s="450">
        <f t="shared" si="2400"/>
        <v>12.364973785401492</v>
      </c>
      <c r="DN1193" s="1333">
        <f t="shared" si="2400"/>
        <v>12.364973785401492</v>
      </c>
      <c r="DO1193" s="450">
        <f t="shared" si="2400"/>
        <v>11.296201113957672</v>
      </c>
      <c r="DP1193" s="450">
        <f t="shared" si="2400"/>
        <v>11.296201113957672</v>
      </c>
      <c r="DQ1193" s="450">
        <f t="shared" si="2400"/>
        <v>11.296201113957672</v>
      </c>
      <c r="DR1193" s="450">
        <f t="shared" si="2400"/>
        <v>10.214068784120807</v>
      </c>
      <c r="DS1193" s="450">
        <f t="shared" si="2400"/>
        <v>10.214068784120807</v>
      </c>
      <c r="DT1193" s="450">
        <f t="shared" si="2400"/>
        <v>10.214068784120807</v>
      </c>
      <c r="DU1193" s="450"/>
      <c r="DV1193" s="450"/>
      <c r="DW1193" s="450"/>
      <c r="DX1193" s="450"/>
      <c r="DY1193" s="450"/>
      <c r="DZ1193" s="1333"/>
      <c r="ID1193" s="495" t="str">
        <f>+D1193</f>
        <v>New loan</v>
      </c>
      <c r="IE1193" s="495"/>
      <c r="IF1193" s="495"/>
      <c r="IG1193" s="495">
        <f>+DB1193</f>
        <v>15.45415822780604</v>
      </c>
      <c r="IH1193" s="495"/>
      <c r="II1193" s="495"/>
      <c r="IJ1193" s="323">
        <f>+DN1193</f>
        <v>12.364973785401492</v>
      </c>
      <c r="IK1193" s="495"/>
      <c r="IL1193" s="495"/>
      <c r="IM1193" s="323"/>
      <c r="IN1193" s="495"/>
      <c r="IO1193" s="495"/>
      <c r="IP1193" s="323"/>
      <c r="IQ1193" s="323"/>
      <c r="IR1193" s="323"/>
      <c r="IS1193" s="323"/>
      <c r="IT1193" s="323"/>
      <c r="IU1193" s="323"/>
      <c r="IV1193" s="323"/>
      <c r="KU1193" s="279"/>
    </row>
    <row r="1194" spans="1:307" ht="15.6">
      <c r="A1194" s="279"/>
      <c r="B1194" s="279"/>
      <c r="C1194" s="279"/>
      <c r="D1194" s="449"/>
      <c r="E1194" s="450"/>
      <c r="F1194" s="450"/>
      <c r="G1194" s="450"/>
      <c r="H1194" s="450"/>
      <c r="I1194" s="450"/>
      <c r="J1194" s="450"/>
      <c r="K1194" s="450"/>
      <c r="L1194" s="450"/>
      <c r="M1194" s="450"/>
      <c r="N1194" s="450"/>
      <c r="O1194" s="450"/>
      <c r="P1194" s="450"/>
      <c r="Q1194" s="450"/>
      <c r="R1194" s="450"/>
      <c r="S1194" s="450"/>
      <c r="T1194" s="450"/>
      <c r="U1194" s="450"/>
      <c r="V1194" s="450"/>
      <c r="W1194" s="450"/>
      <c r="X1194" s="450"/>
      <c r="Y1194" s="450"/>
      <c r="Z1194" s="450"/>
      <c r="AA1194" s="450"/>
      <c r="AB1194" s="450"/>
      <c r="AC1194" s="450"/>
      <c r="AD1194" s="450"/>
      <c r="AE1194" s="450"/>
      <c r="AF1194" s="450"/>
      <c r="AG1194" s="450"/>
      <c r="AH1194" s="450"/>
      <c r="AI1194" s="450"/>
      <c r="AJ1194" s="450"/>
      <c r="AK1194" s="450"/>
      <c r="AL1194" s="450"/>
      <c r="AM1194" s="450"/>
      <c r="AN1194" s="450"/>
      <c r="AO1194" s="450"/>
      <c r="AP1194" s="450"/>
      <c r="AQ1194" s="450"/>
      <c r="AR1194" s="450"/>
      <c r="AS1194" s="450"/>
      <c r="AT1194" s="450"/>
      <c r="AU1194" s="450"/>
      <c r="AV1194" s="450"/>
      <c r="AW1194" s="450"/>
      <c r="AX1194" s="450"/>
      <c r="AY1194" s="450"/>
      <c r="AZ1194" s="450"/>
      <c r="BA1194" s="450"/>
      <c r="BB1194" s="450"/>
      <c r="BC1194" s="450"/>
      <c r="BD1194" s="450"/>
      <c r="BE1194" s="450"/>
      <c r="BF1194" s="450"/>
      <c r="BG1194" s="450"/>
      <c r="BH1194" s="450"/>
      <c r="BI1194" s="450"/>
      <c r="BJ1194" s="450"/>
      <c r="BK1194" s="450"/>
      <c r="BL1194" s="450"/>
      <c r="BM1194" s="450"/>
      <c r="BN1194" s="450"/>
      <c r="BO1194" s="450"/>
      <c r="BP1194" s="450"/>
      <c r="BQ1194" s="450"/>
      <c r="BR1194" s="450"/>
      <c r="BS1194" s="450"/>
      <c r="BT1194" s="450"/>
      <c r="BU1194" s="450"/>
      <c r="BV1194" s="450"/>
      <c r="BW1194" s="450"/>
      <c r="BX1194" s="450"/>
      <c r="BY1194" s="450"/>
      <c r="BZ1194" s="450"/>
      <c r="CA1194" s="450"/>
      <c r="CB1194" s="450"/>
      <c r="CC1194" s="450"/>
      <c r="CD1194" s="450"/>
      <c r="CE1194" s="450"/>
      <c r="CF1194" s="450"/>
      <c r="CG1194" s="450"/>
      <c r="CH1194" s="450"/>
      <c r="CI1194" s="450"/>
      <c r="CJ1194" s="450"/>
      <c r="CK1194" s="450"/>
      <c r="CL1194" s="450"/>
      <c r="CM1194" s="450"/>
      <c r="CN1194" s="450"/>
      <c r="CO1194" s="450"/>
      <c r="CP1194" s="450"/>
      <c r="CQ1194" s="450"/>
      <c r="CR1194" s="450"/>
      <c r="CS1194" s="450"/>
      <c r="CT1194" s="450"/>
      <c r="CU1194" s="450"/>
      <c r="CV1194" s="450"/>
      <c r="CW1194" s="450"/>
      <c r="CX1194" s="450"/>
      <c r="CY1194" s="450"/>
      <c r="CZ1194" s="450"/>
      <c r="DA1194" s="450"/>
      <c r="DB1194" s="1314"/>
      <c r="DC1194" s="450"/>
      <c r="DD1194" s="450"/>
      <c r="DE1194" s="450"/>
      <c r="DF1194" s="450"/>
      <c r="DG1194" s="450"/>
      <c r="DH1194" s="450"/>
      <c r="DI1194" s="450"/>
      <c r="DJ1194" s="450"/>
      <c r="DK1194" s="450"/>
      <c r="DL1194" s="478"/>
      <c r="DM1194" s="478"/>
      <c r="DN1194" s="1335"/>
      <c r="DO1194" s="478"/>
      <c r="DP1194" s="478"/>
      <c r="DQ1194" s="478"/>
      <c r="DR1194" s="478"/>
      <c r="DS1194" s="478"/>
      <c r="DT1194" s="478"/>
      <c r="DU1194" s="478"/>
      <c r="DV1194" s="478"/>
      <c r="DW1194" s="478"/>
      <c r="DX1194" s="478"/>
      <c r="DY1194" s="478"/>
      <c r="DZ1194" s="1335"/>
      <c r="ID1194" s="494"/>
      <c r="IE1194" s="495"/>
      <c r="IF1194" s="495"/>
      <c r="IG1194" s="495"/>
      <c r="IH1194" s="495"/>
      <c r="II1194" s="495"/>
      <c r="IJ1194" s="323"/>
      <c r="IK1194" s="495"/>
      <c r="IL1194" s="495"/>
      <c r="IM1194" s="323"/>
      <c r="IN1194" s="495"/>
      <c r="IO1194" s="495"/>
      <c r="IP1194" s="323"/>
      <c r="IQ1194" s="323"/>
      <c r="IR1194" s="323"/>
      <c r="IS1194" s="323"/>
      <c r="IT1194" s="323"/>
      <c r="IU1194" s="323"/>
      <c r="IV1194" s="323"/>
      <c r="KU1194" s="279"/>
    </row>
    <row r="1195" spans="1:307" ht="15.6">
      <c r="A1195" s="279"/>
      <c r="B1195" s="279"/>
      <c r="C1195" s="279"/>
      <c r="D1195" s="474" t="s">
        <v>653</v>
      </c>
      <c r="E1195" s="450"/>
      <c r="F1195" s="450"/>
      <c r="G1195" s="450"/>
      <c r="H1195" s="450"/>
      <c r="I1195" s="450"/>
      <c r="J1195" s="450"/>
      <c r="K1195" s="450"/>
      <c r="L1195" s="450"/>
      <c r="M1195" s="450"/>
      <c r="N1195" s="450"/>
      <c r="O1195" s="450"/>
      <c r="P1195" s="450"/>
      <c r="Q1195" s="450"/>
      <c r="R1195" s="450"/>
      <c r="S1195" s="450"/>
      <c r="T1195" s="450"/>
      <c r="U1195" s="450"/>
      <c r="V1195" s="450"/>
      <c r="W1195" s="450"/>
      <c r="X1195" s="450"/>
      <c r="Y1195" s="450"/>
      <c r="Z1195" s="450"/>
      <c r="AA1195" s="450"/>
      <c r="AB1195" s="450"/>
      <c r="AC1195" s="450"/>
      <c r="AD1195" s="450"/>
      <c r="AE1195" s="450"/>
      <c r="AF1195" s="450"/>
      <c r="AG1195" s="450"/>
      <c r="AH1195" s="450"/>
      <c r="AI1195" s="450"/>
      <c r="AJ1195" s="450"/>
      <c r="AK1195" s="450"/>
      <c r="AL1195" s="450"/>
      <c r="AM1195" s="450"/>
      <c r="AN1195" s="450"/>
      <c r="AO1195" s="450"/>
      <c r="AP1195" s="450"/>
      <c r="AQ1195" s="450"/>
      <c r="AR1195" s="450"/>
      <c r="AS1195" s="450"/>
      <c r="AT1195" s="450"/>
      <c r="AU1195" s="450"/>
      <c r="AV1195" s="450"/>
      <c r="AW1195" s="450"/>
      <c r="AX1195" s="450"/>
      <c r="AY1195" s="450"/>
      <c r="AZ1195" s="450"/>
      <c r="BA1195" s="450"/>
      <c r="BB1195" s="450"/>
      <c r="BC1195" s="450"/>
      <c r="BD1195" s="450"/>
      <c r="BE1195" s="450"/>
      <c r="BF1195" s="450"/>
      <c r="BG1195" s="450"/>
      <c r="BH1195" s="450"/>
      <c r="BI1195" s="450"/>
      <c r="BJ1195" s="450"/>
      <c r="BK1195" s="450"/>
      <c r="BL1195" s="450"/>
      <c r="BM1195" s="450"/>
      <c r="BN1195" s="450"/>
      <c r="BO1195" s="450"/>
      <c r="BP1195" s="450"/>
      <c r="BQ1195" s="450"/>
      <c r="BR1195" s="450"/>
      <c r="BS1195" s="450"/>
      <c r="BT1195" s="450"/>
      <c r="BU1195" s="450"/>
      <c r="BV1195" s="450"/>
      <c r="BW1195" s="450"/>
      <c r="BX1195" s="450"/>
      <c r="BY1195" s="450"/>
      <c r="BZ1195" s="450"/>
      <c r="CA1195" s="450"/>
      <c r="CB1195" s="450"/>
      <c r="CC1195" s="450"/>
      <c r="CD1195" s="450"/>
      <c r="CE1195" s="450"/>
      <c r="CF1195" s="450"/>
      <c r="CG1195" s="450"/>
      <c r="CH1195" s="450"/>
      <c r="CI1195" s="450"/>
      <c r="CJ1195" s="478">
        <f>+CJ1168+CJ1173+CJ1183+CJ1191</f>
        <v>316.52938726960036</v>
      </c>
      <c r="CK1195" s="450"/>
      <c r="CL1195" s="450"/>
      <c r="CM1195" s="450"/>
      <c r="CN1195" s="450"/>
      <c r="CO1195" s="450"/>
      <c r="CP1195" s="478">
        <f t="shared" ref="CP1195:DB1195" si="2401">+CP1168+CP1173+CP1183+CP1191</f>
        <v>348.957070262</v>
      </c>
      <c r="CQ1195" s="478">
        <f t="shared" si="2401"/>
        <v>347.75390514579749</v>
      </c>
      <c r="CR1195" s="478">
        <f t="shared" si="2401"/>
        <v>354.87390514579749</v>
      </c>
      <c r="CS1195" s="478">
        <f t="shared" si="2401"/>
        <v>385.74764716379752</v>
      </c>
      <c r="CT1195" s="478">
        <f t="shared" si="2401"/>
        <v>385.09188623364236</v>
      </c>
      <c r="CU1195" s="478">
        <f t="shared" si="2401"/>
        <v>385.50988623364231</v>
      </c>
      <c r="CV1195" s="478">
        <f t="shared" si="2401"/>
        <v>369.95052825164231</v>
      </c>
      <c r="CW1195" s="478">
        <f t="shared" si="2401"/>
        <v>399.33802030986033</v>
      </c>
      <c r="CX1195" s="478">
        <f t="shared" si="2401"/>
        <v>383.84112030986034</v>
      </c>
      <c r="CY1195" s="478">
        <f t="shared" si="2401"/>
        <v>407.60582030986035</v>
      </c>
      <c r="CZ1195" s="478">
        <f t="shared" si="2401"/>
        <v>407.588412268806</v>
      </c>
      <c r="DA1195" s="478">
        <f t="shared" si="2401"/>
        <v>434.01541226880607</v>
      </c>
      <c r="DB1195" s="1317">
        <f t="shared" si="2401"/>
        <v>466.82315429480605</v>
      </c>
      <c r="DC1195" s="478">
        <f t="shared" ref="DC1195:DH1195" si="2402">+DC1168+DC1173+DC1183+DC1191</f>
        <v>466.22619115323852</v>
      </c>
      <c r="DD1195" s="478">
        <f t="shared" si="2402"/>
        <v>492.55819115323857</v>
      </c>
      <c r="DE1195" s="478">
        <f t="shared" si="2402"/>
        <v>490.21293317123855</v>
      </c>
      <c r="DF1195" s="478">
        <f t="shared" si="2402"/>
        <v>489.32225799040151</v>
      </c>
      <c r="DG1195" s="478">
        <f t="shared" si="2402"/>
        <v>485.40825799040152</v>
      </c>
      <c r="DH1195" s="478">
        <f t="shared" si="2402"/>
        <v>485.21603776140148</v>
      </c>
      <c r="DI1195" s="478">
        <f t="shared" ref="DI1195:DN1195" si="2403">+DI1168+DI1173+DI1183+DI1191</f>
        <v>507.20276843107303</v>
      </c>
      <c r="DJ1195" s="478">
        <f t="shared" si="2403"/>
        <v>501.08146843107295</v>
      </c>
      <c r="DK1195" s="478">
        <f t="shared" si="2403"/>
        <v>528.9634684310729</v>
      </c>
      <c r="DL1195" s="478">
        <f t="shared" si="2403"/>
        <v>506.12789048396792</v>
      </c>
      <c r="DM1195" s="478">
        <f t="shared" si="2403"/>
        <v>536.42919048396789</v>
      </c>
      <c r="DN1195" s="1335">
        <f t="shared" si="2403"/>
        <v>545.97431826797629</v>
      </c>
      <c r="DO1195" s="478">
        <f t="shared" ref="DO1195:DT1195" si="2404">+DO1168+DO1173+DO1183+DO1191</f>
        <v>564.44925434752895</v>
      </c>
      <c r="DP1195" s="478">
        <f t="shared" si="2404"/>
        <v>581.03980231452886</v>
      </c>
      <c r="DQ1195" s="478">
        <f t="shared" si="2404"/>
        <v>545.10787596152898</v>
      </c>
      <c r="DR1195" s="478">
        <f t="shared" si="2404"/>
        <v>551.90316484969208</v>
      </c>
      <c r="DS1195" s="478">
        <f t="shared" si="2404"/>
        <v>576.79879846469203</v>
      </c>
      <c r="DT1195" s="478">
        <f t="shared" si="2404"/>
        <v>550.68600297169212</v>
      </c>
      <c r="DU1195" s="478"/>
      <c r="DV1195" s="478"/>
      <c r="DW1195" s="478"/>
      <c r="DX1195" s="478"/>
      <c r="DY1195" s="478"/>
      <c r="DZ1195" s="1335"/>
      <c r="ID1195" s="494" t="str">
        <f>+D1195</f>
        <v>Central government debt (excl. NBR mon.policy instruments)</v>
      </c>
      <c r="IE1195" s="495"/>
      <c r="IF1195" s="495"/>
      <c r="IG1195" s="494">
        <f>+DB1195</f>
        <v>466.82315429480605</v>
      </c>
      <c r="IH1195" s="494"/>
      <c r="II1195" s="495"/>
      <c r="IJ1195" s="323">
        <f>+DN1195</f>
        <v>545.97431826797629</v>
      </c>
      <c r="IK1195" s="495"/>
      <c r="IL1195" s="495"/>
      <c r="IM1195" s="323"/>
      <c r="IN1195" s="495"/>
      <c r="IO1195" s="495"/>
      <c r="IP1195" s="323"/>
      <c r="IQ1195" s="323"/>
      <c r="IR1195" s="323"/>
      <c r="IS1195" s="323"/>
      <c r="IT1195" s="323"/>
      <c r="IU1195" s="323"/>
      <c r="IV1195" s="323"/>
      <c r="KU1195" s="279"/>
    </row>
    <row r="1196" spans="1:307" ht="15.6">
      <c r="A1196" s="279"/>
      <c r="B1196" s="279"/>
      <c r="C1196" s="279"/>
      <c r="D1196" s="527" t="s">
        <v>707</v>
      </c>
      <c r="E1196" s="450"/>
      <c r="F1196" s="450"/>
      <c r="G1196" s="450"/>
      <c r="H1196" s="450"/>
      <c r="I1196" s="450"/>
      <c r="J1196" s="450"/>
      <c r="K1196" s="450"/>
      <c r="L1196" s="450"/>
      <c r="M1196" s="450"/>
      <c r="N1196" s="450"/>
      <c r="O1196" s="450"/>
      <c r="P1196" s="450"/>
      <c r="Q1196" s="450"/>
      <c r="R1196" s="450"/>
      <c r="S1196" s="450"/>
      <c r="T1196" s="450"/>
      <c r="U1196" s="450"/>
      <c r="V1196" s="450"/>
      <c r="W1196" s="450"/>
      <c r="X1196" s="450"/>
      <c r="Y1196" s="450"/>
      <c r="Z1196" s="450"/>
      <c r="AA1196" s="450"/>
      <c r="AB1196" s="450"/>
      <c r="AC1196" s="450"/>
      <c r="AD1196" s="450"/>
      <c r="AE1196" s="450"/>
      <c r="AF1196" s="450"/>
      <c r="AG1196" s="450"/>
      <c r="AH1196" s="450"/>
      <c r="AI1196" s="450"/>
      <c r="AJ1196" s="450"/>
      <c r="AK1196" s="450"/>
      <c r="AL1196" s="450"/>
      <c r="AM1196" s="450"/>
      <c r="AN1196" s="450"/>
      <c r="AO1196" s="450"/>
      <c r="AP1196" s="450"/>
      <c r="AQ1196" s="450"/>
      <c r="AR1196" s="450"/>
      <c r="AS1196" s="450"/>
      <c r="AT1196" s="450"/>
      <c r="AU1196" s="450"/>
      <c r="AV1196" s="450"/>
      <c r="AW1196" s="450"/>
      <c r="AX1196" s="450"/>
      <c r="AY1196" s="450"/>
      <c r="AZ1196" s="450"/>
      <c r="BA1196" s="450"/>
      <c r="BB1196" s="450"/>
      <c r="BC1196" s="450"/>
      <c r="BD1196" s="450"/>
      <c r="BE1196" s="450"/>
      <c r="BF1196" s="450"/>
      <c r="BG1196" s="450"/>
      <c r="BH1196" s="450"/>
      <c r="BI1196" s="450"/>
      <c r="BJ1196" s="450"/>
      <c r="BK1196" s="450"/>
      <c r="BL1196" s="450"/>
      <c r="BM1196" s="450"/>
      <c r="BN1196" s="450"/>
      <c r="BO1196" s="450"/>
      <c r="BP1196" s="450"/>
      <c r="BQ1196" s="450"/>
      <c r="BR1196" s="450"/>
      <c r="BS1196" s="450"/>
      <c r="BT1196" s="450"/>
      <c r="BU1196" s="450"/>
      <c r="BV1196" s="450"/>
      <c r="BW1196" s="450"/>
      <c r="BX1196" s="450"/>
      <c r="BY1196" s="450"/>
      <c r="BZ1196" s="450"/>
      <c r="CA1196" s="450"/>
      <c r="CB1196" s="450"/>
      <c r="CC1196" s="450"/>
      <c r="CD1196" s="450"/>
      <c r="CE1196" s="450"/>
      <c r="CF1196" s="450"/>
      <c r="CG1196" s="450"/>
      <c r="CH1196" s="450"/>
      <c r="CI1196" s="450"/>
      <c r="CJ1196" s="478"/>
      <c r="CK1196" s="450"/>
      <c r="CL1196" s="450"/>
      <c r="CM1196" s="450"/>
      <c r="CN1196" s="450"/>
      <c r="CO1196" s="450"/>
      <c r="CP1196" s="478"/>
      <c r="CQ1196" s="450"/>
      <c r="CR1196" s="450"/>
      <c r="CS1196" s="450"/>
      <c r="CT1196" s="450"/>
      <c r="CU1196" s="450"/>
      <c r="CV1196" s="478"/>
      <c r="CW1196" s="450"/>
      <c r="CX1196" s="450"/>
      <c r="CY1196" s="450"/>
      <c r="CZ1196" s="450"/>
      <c r="DA1196" s="450"/>
      <c r="DB1196" s="1319">
        <f>+AVERAGE(CQ1195:DB1195)</f>
        <v>394.01164149469327</v>
      </c>
      <c r="DC1196" s="526">
        <f t="shared" ref="DC1196:DH1196" si="2405">+AVERAGE(CR1195:DC1195)</f>
        <v>403.88433199531329</v>
      </c>
      <c r="DD1196" s="526">
        <f t="shared" si="2405"/>
        <v>415.35802249593343</v>
      </c>
      <c r="DE1196" s="526">
        <f t="shared" si="2405"/>
        <v>424.06346299655343</v>
      </c>
      <c r="DF1196" s="526">
        <f t="shared" si="2405"/>
        <v>432.74932730961672</v>
      </c>
      <c r="DG1196" s="526">
        <f t="shared" si="2405"/>
        <v>441.07419162268002</v>
      </c>
      <c r="DH1196" s="526">
        <f t="shared" si="2405"/>
        <v>450.67965074849332</v>
      </c>
      <c r="DI1196" s="526">
        <f t="shared" ref="DI1196:DP1196" si="2406">+AVERAGE(CX1195:DI1195)</f>
        <v>459.66837975859431</v>
      </c>
      <c r="DJ1196" s="526">
        <f t="shared" si="2406"/>
        <v>469.43840876869535</v>
      </c>
      <c r="DK1196" s="526">
        <f t="shared" si="2406"/>
        <v>479.55154611212976</v>
      </c>
      <c r="DL1196" s="526">
        <f t="shared" si="2406"/>
        <v>487.76316929672657</v>
      </c>
      <c r="DM1196" s="526">
        <f t="shared" si="2406"/>
        <v>496.29765081465683</v>
      </c>
      <c r="DN1196" s="1337">
        <f t="shared" si="2406"/>
        <v>502.89358114575424</v>
      </c>
      <c r="DO1196" s="526">
        <f t="shared" si="2406"/>
        <v>511.07883641194508</v>
      </c>
      <c r="DP1196" s="526">
        <f t="shared" si="2406"/>
        <v>518.45230400871935</v>
      </c>
      <c r="DQ1196" s="526">
        <f>+AVERAGE(DF1195:DQ1195)</f>
        <v>523.02688257457692</v>
      </c>
      <c r="DR1196" s="526">
        <f>+AVERAGE(DG1195:DR1195)</f>
        <v>528.2419581461844</v>
      </c>
      <c r="DS1196" s="526">
        <f>+AVERAGE(DH1195:DS1195)</f>
        <v>535.85783651904194</v>
      </c>
      <c r="DT1196" s="526">
        <f>+AVERAGE(DI1195:DT1195)</f>
        <v>541.31366695323277</v>
      </c>
      <c r="DU1196" s="526"/>
      <c r="DV1196" s="526"/>
      <c r="DW1196" s="526"/>
      <c r="DX1196" s="526"/>
      <c r="DY1196" s="526"/>
      <c r="DZ1196" s="1337"/>
      <c r="ID1196" s="494"/>
      <c r="IE1196" s="495"/>
      <c r="IF1196" s="495"/>
      <c r="IG1196" s="495"/>
      <c r="IH1196" s="495"/>
      <c r="II1196" s="450"/>
      <c r="IJ1196" s="526">
        <f>+DN1196</f>
        <v>502.89358114575424</v>
      </c>
      <c r="IK1196" s="495"/>
      <c r="IL1196" s="495"/>
      <c r="IM1196" s="323"/>
      <c r="IN1196" s="495"/>
      <c r="IO1196" s="495"/>
      <c r="IP1196" s="323"/>
      <c r="IQ1196" s="323"/>
      <c r="IR1196" s="323"/>
      <c r="IS1196" s="323"/>
      <c r="IT1196" s="323"/>
      <c r="IU1196" s="323"/>
      <c r="IV1196" s="323"/>
      <c r="KU1196" s="279"/>
    </row>
    <row r="1197" spans="1:307" ht="15.6">
      <c r="A1197" s="279"/>
      <c r="B1197" s="279"/>
      <c r="C1197" s="279"/>
      <c r="D1197" s="474" t="str">
        <f>+FISC!D1804</f>
        <v xml:space="preserve">Govenment guaranteed domestic debt </v>
      </c>
      <c r="E1197" s="450"/>
      <c r="F1197" s="450"/>
      <c r="G1197" s="450"/>
      <c r="H1197" s="450"/>
      <c r="I1197" s="450"/>
      <c r="J1197" s="450"/>
      <c r="K1197" s="450"/>
      <c r="L1197" s="450"/>
      <c r="M1197" s="450"/>
      <c r="N1197" s="450"/>
      <c r="O1197" s="450"/>
      <c r="P1197" s="450"/>
      <c r="Q1197" s="450"/>
      <c r="R1197" s="450"/>
      <c r="S1197" s="450"/>
      <c r="T1197" s="450"/>
      <c r="U1197" s="450"/>
      <c r="V1197" s="450"/>
      <c r="W1197" s="450"/>
      <c r="X1197" s="450"/>
      <c r="Y1197" s="450"/>
      <c r="Z1197" s="450"/>
      <c r="AA1197" s="450"/>
      <c r="AB1197" s="450"/>
      <c r="AC1197" s="450"/>
      <c r="AD1197" s="450"/>
      <c r="AE1197" s="450"/>
      <c r="AF1197" s="450"/>
      <c r="AG1197" s="450"/>
      <c r="AH1197" s="450"/>
      <c r="AI1197" s="450"/>
      <c r="AJ1197" s="450"/>
      <c r="AK1197" s="450"/>
      <c r="AL1197" s="450"/>
      <c r="AM1197" s="450"/>
      <c r="AN1197" s="450"/>
      <c r="AO1197" s="450"/>
      <c r="AP1197" s="450"/>
      <c r="AQ1197" s="450"/>
      <c r="AR1197" s="450"/>
      <c r="AS1197" s="450"/>
      <c r="AT1197" s="450"/>
      <c r="AU1197" s="450"/>
      <c r="AV1197" s="450"/>
      <c r="AW1197" s="450"/>
      <c r="AX1197" s="450"/>
      <c r="AY1197" s="450"/>
      <c r="AZ1197" s="450"/>
      <c r="BA1197" s="450"/>
      <c r="BB1197" s="450"/>
      <c r="BC1197" s="450"/>
      <c r="BD1197" s="450"/>
      <c r="BE1197" s="450"/>
      <c r="BF1197" s="450"/>
      <c r="BG1197" s="450"/>
      <c r="BH1197" s="450"/>
      <c r="BI1197" s="450"/>
      <c r="BJ1197" s="450"/>
      <c r="BK1197" s="450"/>
      <c r="BL1197" s="450"/>
      <c r="BM1197" s="450"/>
      <c r="BN1197" s="450"/>
      <c r="BO1197" s="450"/>
      <c r="BP1197" s="450"/>
      <c r="BQ1197" s="450"/>
      <c r="BR1197" s="450"/>
      <c r="BS1197" s="450"/>
      <c r="BT1197" s="450"/>
      <c r="BU1197" s="450"/>
      <c r="BV1197" s="450"/>
      <c r="BW1197" s="450"/>
      <c r="BX1197" s="450"/>
      <c r="BY1197" s="450"/>
      <c r="BZ1197" s="450"/>
      <c r="CA1197" s="450"/>
      <c r="CB1197" s="450"/>
      <c r="CC1197" s="450"/>
      <c r="CD1197" s="450"/>
      <c r="CE1197" s="450"/>
      <c r="CF1197" s="450"/>
      <c r="CG1197" s="450"/>
      <c r="CH1197" s="450"/>
      <c r="CI1197" s="450"/>
      <c r="CJ1197" s="478"/>
      <c r="CK1197" s="450"/>
      <c r="CL1197" s="450"/>
      <c r="CM1197" s="450"/>
      <c r="CN1197" s="450"/>
      <c r="CO1197" s="450"/>
      <c r="CP1197" s="478"/>
      <c r="CQ1197" s="450"/>
      <c r="CR1197" s="450"/>
      <c r="CS1197" s="450"/>
      <c r="CT1197" s="450"/>
      <c r="CU1197" s="450"/>
      <c r="CV1197" s="478"/>
      <c r="CW1197" s="450"/>
      <c r="CX1197" s="450"/>
      <c r="CY1197" s="450"/>
      <c r="CZ1197" s="450"/>
      <c r="DA1197" s="450"/>
      <c r="DB1197" s="1317">
        <f>+FISC!Y1804</f>
        <v>0</v>
      </c>
      <c r="DC1197" s="478">
        <f>+DB1197</f>
        <v>0</v>
      </c>
      <c r="DD1197" s="478">
        <f>+DC1197</f>
        <v>0</v>
      </c>
      <c r="DE1197" s="478">
        <f>+DD1197</f>
        <v>0</v>
      </c>
      <c r="DF1197" s="478">
        <f>+DE1197</f>
        <v>0</v>
      </c>
      <c r="DG1197" s="478">
        <f>+DF1197</f>
        <v>0</v>
      </c>
      <c r="DH1197" s="478">
        <f>+FISC!Z198</f>
        <v>0</v>
      </c>
      <c r="DI1197" s="478">
        <f>+FISC!AA198</f>
        <v>0</v>
      </c>
      <c r="DJ1197" s="478">
        <f>+FISC!AB198</f>
        <v>0</v>
      </c>
      <c r="DK1197" s="478">
        <f>+FISC!AC198</f>
        <v>0</v>
      </c>
      <c r="DL1197" s="478">
        <f>+FISC!AD198</f>
        <v>109.83005146299999</v>
      </c>
      <c r="DM1197" s="478">
        <f>+FISC!AE198</f>
        <v>79.112596048500009</v>
      </c>
      <c r="DN1197" s="1335">
        <f>+FISC!AF198</f>
        <v>44.836069906000006</v>
      </c>
      <c r="DO1197" s="478">
        <f>+FISC!AG198</f>
        <v>22.950626854500001</v>
      </c>
      <c r="DP1197" s="478">
        <f>+FISC!AH198</f>
        <v>0</v>
      </c>
      <c r="DQ1197" s="478">
        <f>+FISC!AI198</f>
        <v>0</v>
      </c>
      <c r="DR1197" s="478">
        <f>+FISC!AJ198</f>
        <v>0</v>
      </c>
      <c r="DS1197" s="478">
        <f>+FISC!AK198</f>
        <v>0</v>
      </c>
      <c r="DT1197" s="478">
        <f>+FISC!AL198</f>
        <v>0</v>
      </c>
      <c r="DU1197" s="478"/>
      <c r="DV1197" s="478"/>
      <c r="DW1197" s="478"/>
      <c r="DX1197" s="478"/>
      <c r="DY1197" s="478"/>
      <c r="DZ1197" s="1335"/>
      <c r="ID1197" s="494" t="str">
        <f>+D1197</f>
        <v xml:space="preserve">Govenment guaranteed domestic debt </v>
      </c>
      <c r="IE1197" s="495"/>
      <c r="IF1197" s="495"/>
      <c r="IG1197" s="494">
        <f>+DB1197</f>
        <v>0</v>
      </c>
      <c r="IH1197" s="494"/>
      <c r="II1197" s="450"/>
      <c r="IJ1197" s="323">
        <f>+DN1197</f>
        <v>44.836069906000006</v>
      </c>
      <c r="IK1197" s="495"/>
      <c r="IL1197" s="495"/>
      <c r="IM1197" s="323"/>
      <c r="IN1197" s="495"/>
      <c r="IO1197" s="495"/>
      <c r="IP1197" s="323"/>
      <c r="IQ1197" s="323"/>
      <c r="IR1197" s="323"/>
      <c r="IS1197" s="323"/>
      <c r="IT1197" s="323"/>
      <c r="IU1197" s="323"/>
      <c r="IV1197" s="323"/>
      <c r="KU1197" s="279"/>
    </row>
    <row r="1198" spans="1:307" ht="15.6">
      <c r="A1198" s="279"/>
      <c r="B1198" s="279"/>
      <c r="C1198" s="279"/>
      <c r="D1198" s="474"/>
      <c r="E1198" s="450"/>
      <c r="F1198" s="450"/>
      <c r="G1198" s="450"/>
      <c r="H1198" s="450"/>
      <c r="I1198" s="450"/>
      <c r="J1198" s="450"/>
      <c r="K1198" s="450"/>
      <c r="L1198" s="450"/>
      <c r="M1198" s="450"/>
      <c r="N1198" s="450"/>
      <c r="O1198" s="450"/>
      <c r="P1198" s="450"/>
      <c r="Q1198" s="450"/>
      <c r="R1198" s="450"/>
      <c r="S1198" s="450"/>
      <c r="T1198" s="450"/>
      <c r="U1198" s="450"/>
      <c r="V1198" s="450"/>
      <c r="W1198" s="450"/>
      <c r="X1198" s="450"/>
      <c r="Y1198" s="450"/>
      <c r="Z1198" s="450"/>
      <c r="AA1198" s="450"/>
      <c r="AB1198" s="450"/>
      <c r="AC1198" s="450"/>
      <c r="AD1198" s="450"/>
      <c r="AE1198" s="450"/>
      <c r="AF1198" s="450"/>
      <c r="AG1198" s="450"/>
      <c r="AH1198" s="450"/>
      <c r="AI1198" s="450"/>
      <c r="AJ1198" s="450"/>
      <c r="AK1198" s="450"/>
      <c r="AL1198" s="450"/>
      <c r="AM1198" s="450"/>
      <c r="AN1198" s="450"/>
      <c r="AO1198" s="450"/>
      <c r="AP1198" s="450"/>
      <c r="AQ1198" s="450"/>
      <c r="AR1198" s="450"/>
      <c r="AS1198" s="450"/>
      <c r="AT1198" s="450"/>
      <c r="AU1198" s="450"/>
      <c r="AV1198" s="450"/>
      <c r="AW1198" s="450"/>
      <c r="AX1198" s="450"/>
      <c r="AY1198" s="450"/>
      <c r="AZ1198" s="450"/>
      <c r="BA1198" s="450"/>
      <c r="BB1198" s="450"/>
      <c r="BC1198" s="450"/>
      <c r="BD1198" s="450"/>
      <c r="BE1198" s="450"/>
      <c r="BF1198" s="450"/>
      <c r="BG1198" s="450"/>
      <c r="BH1198" s="450"/>
      <c r="BI1198" s="450"/>
      <c r="BJ1198" s="450"/>
      <c r="BK1198" s="450"/>
      <c r="BL1198" s="450"/>
      <c r="BM1198" s="450"/>
      <c r="BN1198" s="450"/>
      <c r="BO1198" s="450"/>
      <c r="BP1198" s="450"/>
      <c r="BQ1198" s="450"/>
      <c r="BR1198" s="450"/>
      <c r="BS1198" s="450"/>
      <c r="BT1198" s="450"/>
      <c r="BU1198" s="450"/>
      <c r="BV1198" s="450"/>
      <c r="BW1198" s="450"/>
      <c r="BX1198" s="450"/>
      <c r="BY1198" s="450"/>
      <c r="BZ1198" s="450"/>
      <c r="CA1198" s="450"/>
      <c r="CB1198" s="450"/>
      <c r="CC1198" s="450"/>
      <c r="CD1198" s="450"/>
      <c r="CE1198" s="450"/>
      <c r="CF1198" s="450"/>
      <c r="CG1198" s="450"/>
      <c r="CH1198" s="450"/>
      <c r="CI1198" s="450"/>
      <c r="CJ1198" s="478"/>
      <c r="CK1198" s="450"/>
      <c r="CL1198" s="450"/>
      <c r="CM1198" s="450"/>
      <c r="CN1198" s="450"/>
      <c r="CO1198" s="450"/>
      <c r="CP1198" s="478"/>
      <c r="CQ1198" s="450"/>
      <c r="CR1198" s="450"/>
      <c r="CS1198" s="450"/>
      <c r="CT1198" s="450"/>
      <c r="CU1198" s="450"/>
      <c r="CV1198" s="478"/>
      <c r="CW1198" s="450"/>
      <c r="CX1198" s="450"/>
      <c r="CY1198" s="450"/>
      <c r="CZ1198" s="450"/>
      <c r="DA1198" s="450"/>
      <c r="DB1198" s="1317"/>
      <c r="DC1198" s="478"/>
      <c r="DD1198" s="478"/>
      <c r="DE1198" s="478"/>
      <c r="DF1198" s="478"/>
      <c r="DG1198" s="478"/>
      <c r="DH1198" s="478"/>
      <c r="DI1198" s="478"/>
      <c r="DJ1198" s="478"/>
      <c r="DK1198" s="478"/>
      <c r="DL1198" s="478"/>
      <c r="DM1198" s="478"/>
      <c r="DN1198" s="1335"/>
      <c r="DO1198" s="478"/>
      <c r="DP1198" s="478"/>
      <c r="DQ1198" s="478"/>
      <c r="DR1198" s="478"/>
      <c r="DS1198" s="478"/>
      <c r="DT1198" s="478"/>
      <c r="DU1198" s="478"/>
      <c r="DV1198" s="478"/>
      <c r="DW1198" s="478"/>
      <c r="DX1198" s="478"/>
      <c r="DY1198" s="478"/>
      <c r="DZ1198" s="1335"/>
      <c r="ID1198" s="494"/>
      <c r="IE1198" s="495"/>
      <c r="IF1198" s="495"/>
      <c r="IG1198" s="494"/>
      <c r="IH1198" s="494"/>
      <c r="II1198" s="450"/>
      <c r="IJ1198" s="323"/>
      <c r="IK1198" s="495"/>
      <c r="IL1198" s="495"/>
      <c r="IM1198" s="323"/>
      <c r="IN1198" s="495"/>
      <c r="IO1198" s="495"/>
      <c r="IP1198" s="323"/>
      <c r="IQ1198" s="323"/>
      <c r="IR1198" s="323"/>
      <c r="IS1198" s="323"/>
      <c r="IT1198" s="323"/>
      <c r="IU1198" s="323"/>
      <c r="IV1198" s="323"/>
      <c r="KU1198" s="279"/>
    </row>
    <row r="1199" spans="1:307" ht="15.6">
      <c r="A1199" s="279"/>
      <c r="B1199" s="279"/>
      <c r="C1199" s="279"/>
      <c r="D1199" s="474" t="str">
        <f>+FISC!D1806</f>
        <v>Other public sector debt</v>
      </c>
      <c r="E1199" s="450"/>
      <c r="F1199" s="450"/>
      <c r="G1199" s="450"/>
      <c r="H1199" s="450"/>
      <c r="I1199" s="450"/>
      <c r="J1199" s="450"/>
      <c r="K1199" s="450"/>
      <c r="L1199" s="450"/>
      <c r="M1199" s="450"/>
      <c r="N1199" s="450"/>
      <c r="O1199" s="450"/>
      <c r="P1199" s="450"/>
      <c r="Q1199" s="450"/>
      <c r="R1199" s="450"/>
      <c r="S1199" s="450"/>
      <c r="T1199" s="450"/>
      <c r="U1199" s="450"/>
      <c r="V1199" s="450"/>
      <c r="W1199" s="450"/>
      <c r="X1199" s="450"/>
      <c r="Y1199" s="450"/>
      <c r="Z1199" s="450"/>
      <c r="AA1199" s="450"/>
      <c r="AB1199" s="450"/>
      <c r="AC1199" s="450"/>
      <c r="AD1199" s="450"/>
      <c r="AE1199" s="450"/>
      <c r="AF1199" s="450"/>
      <c r="AG1199" s="450"/>
      <c r="AH1199" s="450"/>
      <c r="AI1199" s="450"/>
      <c r="AJ1199" s="450"/>
      <c r="AK1199" s="450"/>
      <c r="AL1199" s="450"/>
      <c r="AM1199" s="450"/>
      <c r="AN1199" s="450"/>
      <c r="AO1199" s="450"/>
      <c r="AP1199" s="450"/>
      <c r="AQ1199" s="450"/>
      <c r="AR1199" s="450"/>
      <c r="AS1199" s="450"/>
      <c r="AT1199" s="450"/>
      <c r="AU1199" s="450"/>
      <c r="AV1199" s="450"/>
      <c r="AW1199" s="450"/>
      <c r="AX1199" s="450"/>
      <c r="AY1199" s="450"/>
      <c r="AZ1199" s="450"/>
      <c r="BA1199" s="450"/>
      <c r="BB1199" s="450"/>
      <c r="BC1199" s="450"/>
      <c r="BD1199" s="450"/>
      <c r="BE1199" s="450"/>
      <c r="BF1199" s="450"/>
      <c r="BG1199" s="450"/>
      <c r="BH1199" s="450"/>
      <c r="BI1199" s="450"/>
      <c r="BJ1199" s="450"/>
      <c r="BK1199" s="450"/>
      <c r="BL1199" s="450"/>
      <c r="BM1199" s="450"/>
      <c r="BN1199" s="450"/>
      <c r="BO1199" s="450"/>
      <c r="BP1199" s="450"/>
      <c r="BQ1199" s="450"/>
      <c r="BR1199" s="450"/>
      <c r="BS1199" s="450"/>
      <c r="BT1199" s="450"/>
      <c r="BU1199" s="450"/>
      <c r="BV1199" s="450"/>
      <c r="BW1199" s="450"/>
      <c r="BX1199" s="450"/>
      <c r="BY1199" s="450"/>
      <c r="BZ1199" s="450"/>
      <c r="CA1199" s="450"/>
      <c r="CB1199" s="450"/>
      <c r="CC1199" s="450"/>
      <c r="CD1199" s="450"/>
      <c r="CE1199" s="450"/>
      <c r="CF1199" s="450"/>
      <c r="CG1199" s="450"/>
      <c r="CH1199" s="450"/>
      <c r="CI1199" s="450"/>
      <c r="CJ1199" s="478"/>
      <c r="CK1199" s="450"/>
      <c r="CL1199" s="450"/>
      <c r="CM1199" s="450"/>
      <c r="CN1199" s="450"/>
      <c r="CO1199" s="450"/>
      <c r="CP1199" s="478"/>
      <c r="CQ1199" s="450"/>
      <c r="CR1199" s="450"/>
      <c r="CS1199" s="450"/>
      <c r="CT1199" s="450"/>
      <c r="CU1199" s="450"/>
      <c r="CV1199" s="478"/>
      <c r="CW1199" s="450"/>
      <c r="CX1199" s="450"/>
      <c r="CY1199" s="450"/>
      <c r="CZ1199" s="450"/>
      <c r="DA1199" s="450"/>
      <c r="DB1199" s="1317"/>
      <c r="DC1199" s="478"/>
      <c r="DD1199" s="478"/>
      <c r="DE1199" s="478"/>
      <c r="DF1199" s="478"/>
      <c r="DG1199" s="478"/>
      <c r="DH1199" s="478"/>
      <c r="DI1199" s="478"/>
      <c r="DJ1199" s="478"/>
      <c r="DK1199" s="478"/>
      <c r="DL1199" s="478"/>
      <c r="DM1199" s="478"/>
      <c r="DN1199" s="1335"/>
      <c r="DO1199" s="478"/>
      <c r="DP1199" s="478"/>
      <c r="DQ1199" s="478"/>
      <c r="DR1199" s="478"/>
      <c r="DS1199" s="478"/>
      <c r="DT1199" s="478"/>
      <c r="DU1199" s="478"/>
      <c r="DV1199" s="478"/>
      <c r="DW1199" s="478"/>
      <c r="DX1199" s="478"/>
      <c r="DY1199" s="478"/>
      <c r="DZ1199" s="1335"/>
      <c r="ID1199" s="494" t="str">
        <f>+D1199</f>
        <v>Other public sector debt</v>
      </c>
      <c r="IE1199" s="495"/>
      <c r="IF1199" s="495"/>
      <c r="IG1199" s="494"/>
      <c r="IH1199" s="494"/>
      <c r="II1199" s="450"/>
      <c r="IJ1199" s="323"/>
      <c r="IK1199" s="495"/>
      <c r="IL1199" s="495"/>
      <c r="IM1199" s="323"/>
      <c r="IN1199" s="495"/>
      <c r="IO1199" s="495"/>
      <c r="IP1199" s="323"/>
      <c r="IQ1199" s="323"/>
      <c r="IR1199" s="323"/>
      <c r="IS1199" s="323"/>
      <c r="IT1199" s="323"/>
      <c r="IU1199" s="323"/>
      <c r="IV1199" s="323"/>
      <c r="KU1199" s="279"/>
    </row>
    <row r="1200" spans="1:307" ht="15.6">
      <c r="A1200" s="279"/>
      <c r="B1200" s="279"/>
      <c r="C1200" s="279"/>
      <c r="D1200" s="474"/>
      <c r="E1200" s="450"/>
      <c r="F1200" s="450"/>
      <c r="G1200" s="450"/>
      <c r="H1200" s="450"/>
      <c r="I1200" s="450"/>
      <c r="J1200" s="450"/>
      <c r="K1200" s="450"/>
      <c r="L1200" s="450"/>
      <c r="M1200" s="450"/>
      <c r="N1200" s="450"/>
      <c r="O1200" s="450"/>
      <c r="P1200" s="450"/>
      <c r="Q1200" s="450"/>
      <c r="R1200" s="450"/>
      <c r="S1200" s="450"/>
      <c r="T1200" s="450"/>
      <c r="U1200" s="450"/>
      <c r="V1200" s="450"/>
      <c r="W1200" s="450"/>
      <c r="X1200" s="450"/>
      <c r="Y1200" s="450"/>
      <c r="Z1200" s="450"/>
      <c r="AA1200" s="450"/>
      <c r="AB1200" s="450"/>
      <c r="AC1200" s="450"/>
      <c r="AD1200" s="450"/>
      <c r="AE1200" s="450"/>
      <c r="AF1200" s="450"/>
      <c r="AG1200" s="450"/>
      <c r="AH1200" s="450"/>
      <c r="AI1200" s="450"/>
      <c r="AJ1200" s="450"/>
      <c r="AK1200" s="450"/>
      <c r="AL1200" s="450"/>
      <c r="AM1200" s="450"/>
      <c r="AN1200" s="450"/>
      <c r="AO1200" s="450"/>
      <c r="AP1200" s="450"/>
      <c r="AQ1200" s="450"/>
      <c r="AR1200" s="450"/>
      <c r="AS1200" s="450"/>
      <c r="AT1200" s="450"/>
      <c r="AU1200" s="450"/>
      <c r="AV1200" s="450"/>
      <c r="AW1200" s="450"/>
      <c r="AX1200" s="450"/>
      <c r="AY1200" s="450"/>
      <c r="AZ1200" s="450"/>
      <c r="BA1200" s="450"/>
      <c r="BB1200" s="450"/>
      <c r="BC1200" s="450"/>
      <c r="BD1200" s="450"/>
      <c r="BE1200" s="450"/>
      <c r="BF1200" s="450"/>
      <c r="BG1200" s="450"/>
      <c r="BH1200" s="450"/>
      <c r="BI1200" s="450"/>
      <c r="BJ1200" s="450"/>
      <c r="BK1200" s="450"/>
      <c r="BL1200" s="450"/>
      <c r="BM1200" s="450"/>
      <c r="BN1200" s="450"/>
      <c r="BO1200" s="450"/>
      <c r="BP1200" s="450"/>
      <c r="BQ1200" s="450"/>
      <c r="BR1200" s="450"/>
      <c r="BS1200" s="450"/>
      <c r="BT1200" s="450"/>
      <c r="BU1200" s="450"/>
      <c r="BV1200" s="450"/>
      <c r="BW1200" s="450"/>
      <c r="BX1200" s="450"/>
      <c r="BY1200" s="450"/>
      <c r="BZ1200" s="450"/>
      <c r="CA1200" s="450"/>
      <c r="CB1200" s="450"/>
      <c r="CC1200" s="450"/>
      <c r="CD1200" s="450"/>
      <c r="CE1200" s="450"/>
      <c r="CF1200" s="450"/>
      <c r="CG1200" s="450"/>
      <c r="CH1200" s="450"/>
      <c r="CI1200" s="450"/>
      <c r="CJ1200" s="478"/>
      <c r="CK1200" s="450"/>
      <c r="CL1200" s="450"/>
      <c r="CM1200" s="450"/>
      <c r="CN1200" s="450"/>
      <c r="CO1200" s="450"/>
      <c r="CP1200" s="478"/>
      <c r="CQ1200" s="450"/>
      <c r="CR1200" s="450"/>
      <c r="CS1200" s="450"/>
      <c r="CT1200" s="450"/>
      <c r="CU1200" s="450"/>
      <c r="CV1200" s="478"/>
      <c r="CW1200" s="450"/>
      <c r="CX1200" s="450"/>
      <c r="CY1200" s="450"/>
      <c r="CZ1200" s="450"/>
      <c r="DA1200" s="450"/>
      <c r="DB1200" s="1317"/>
      <c r="DC1200" s="478"/>
      <c r="DD1200" s="478"/>
      <c r="DE1200" s="478"/>
      <c r="DF1200" s="478"/>
      <c r="DG1200" s="478"/>
      <c r="DH1200" s="478"/>
      <c r="DI1200" s="478"/>
      <c r="DJ1200" s="478"/>
      <c r="DK1200" s="478"/>
      <c r="DL1200" s="478"/>
      <c r="DM1200" s="478"/>
      <c r="DN1200" s="1335"/>
      <c r="DO1200" s="478"/>
      <c r="DP1200" s="478"/>
      <c r="DQ1200" s="478"/>
      <c r="DR1200" s="478"/>
      <c r="DS1200" s="478"/>
      <c r="DT1200" s="478"/>
      <c r="DU1200" s="478"/>
      <c r="DV1200" s="478"/>
      <c r="DW1200" s="478"/>
      <c r="DX1200" s="478"/>
      <c r="DY1200" s="478"/>
      <c r="DZ1200" s="1335"/>
      <c r="ID1200" s="494"/>
      <c r="IE1200" s="495"/>
      <c r="IF1200" s="495"/>
      <c r="IG1200" s="494"/>
      <c r="IH1200" s="494"/>
      <c r="II1200" s="450"/>
      <c r="IJ1200" s="323"/>
      <c r="IK1200" s="495"/>
      <c r="IL1200" s="495"/>
      <c r="IM1200" s="323"/>
      <c r="IN1200" s="495"/>
      <c r="IO1200" s="495"/>
      <c r="IP1200" s="323"/>
      <c r="IQ1200" s="323"/>
      <c r="IR1200" s="323"/>
      <c r="IS1200" s="323"/>
      <c r="IT1200" s="323"/>
      <c r="IU1200" s="323"/>
      <c r="IV1200" s="323"/>
      <c r="KU1200" s="279"/>
    </row>
    <row r="1201" spans="1:307" ht="15.6">
      <c r="A1201" s="279"/>
      <c r="B1201" s="279"/>
      <c r="C1201" s="279"/>
      <c r="D1201" s="474" t="str">
        <f>+FISC!D1808</f>
        <v>Central government debt including guarantees</v>
      </c>
      <c r="E1201" s="450"/>
      <c r="F1201" s="450"/>
      <c r="G1201" s="450"/>
      <c r="H1201" s="450"/>
      <c r="I1201" s="450"/>
      <c r="J1201" s="450"/>
      <c r="K1201" s="450"/>
      <c r="L1201" s="450"/>
      <c r="M1201" s="450"/>
      <c r="N1201" s="450"/>
      <c r="O1201" s="450"/>
      <c r="P1201" s="450"/>
      <c r="Q1201" s="450"/>
      <c r="R1201" s="450"/>
      <c r="S1201" s="450"/>
      <c r="T1201" s="450"/>
      <c r="U1201" s="450"/>
      <c r="V1201" s="450"/>
      <c r="W1201" s="450"/>
      <c r="X1201" s="450"/>
      <c r="Y1201" s="450"/>
      <c r="Z1201" s="450"/>
      <c r="AA1201" s="450"/>
      <c r="AB1201" s="450"/>
      <c r="AC1201" s="450"/>
      <c r="AD1201" s="450"/>
      <c r="AE1201" s="450"/>
      <c r="AF1201" s="450"/>
      <c r="AG1201" s="450"/>
      <c r="AH1201" s="450"/>
      <c r="AI1201" s="450"/>
      <c r="AJ1201" s="450"/>
      <c r="AK1201" s="450"/>
      <c r="AL1201" s="450"/>
      <c r="AM1201" s="450"/>
      <c r="AN1201" s="450"/>
      <c r="AO1201" s="450"/>
      <c r="AP1201" s="450"/>
      <c r="AQ1201" s="450"/>
      <c r="AR1201" s="450"/>
      <c r="AS1201" s="450"/>
      <c r="AT1201" s="450"/>
      <c r="AU1201" s="450"/>
      <c r="AV1201" s="450"/>
      <c r="AW1201" s="450"/>
      <c r="AX1201" s="450"/>
      <c r="AY1201" s="450"/>
      <c r="AZ1201" s="450"/>
      <c r="BA1201" s="450"/>
      <c r="BB1201" s="450"/>
      <c r="BC1201" s="450"/>
      <c r="BD1201" s="450"/>
      <c r="BE1201" s="450"/>
      <c r="BF1201" s="450"/>
      <c r="BG1201" s="450"/>
      <c r="BH1201" s="450"/>
      <c r="BI1201" s="450"/>
      <c r="BJ1201" s="450"/>
      <c r="BK1201" s="450"/>
      <c r="BL1201" s="450"/>
      <c r="BM1201" s="450"/>
      <c r="BN1201" s="450"/>
      <c r="BO1201" s="450"/>
      <c r="BP1201" s="450"/>
      <c r="BQ1201" s="450"/>
      <c r="BR1201" s="450"/>
      <c r="BS1201" s="450"/>
      <c r="BT1201" s="450"/>
      <c r="BU1201" s="450"/>
      <c r="BV1201" s="450"/>
      <c r="BW1201" s="450"/>
      <c r="BX1201" s="450"/>
      <c r="BY1201" s="450"/>
      <c r="BZ1201" s="450"/>
      <c r="CA1201" s="450"/>
      <c r="CB1201" s="450"/>
      <c r="CC1201" s="450"/>
      <c r="CD1201" s="450"/>
      <c r="CE1201" s="450"/>
      <c r="CF1201" s="450"/>
      <c r="CG1201" s="450"/>
      <c r="CH1201" s="450"/>
      <c r="CI1201" s="450"/>
      <c r="CJ1201" s="478"/>
      <c r="CK1201" s="450"/>
      <c r="CL1201" s="450"/>
      <c r="CM1201" s="450"/>
      <c r="CN1201" s="450"/>
      <c r="CO1201" s="450"/>
      <c r="CP1201" s="478"/>
      <c r="CQ1201" s="450"/>
      <c r="CR1201" s="450"/>
      <c r="CS1201" s="450"/>
      <c r="CT1201" s="450"/>
      <c r="CU1201" s="450"/>
      <c r="CV1201" s="478"/>
      <c r="CW1201" s="450"/>
      <c r="CX1201" s="450"/>
      <c r="CY1201" s="450"/>
      <c r="CZ1201" s="450"/>
      <c r="DA1201" s="450"/>
      <c r="DB1201" s="1317">
        <f>+DB1195+DB1197</f>
        <v>466.82315429480605</v>
      </c>
      <c r="DC1201" s="478"/>
      <c r="DD1201" s="478"/>
      <c r="DE1201" s="478"/>
      <c r="DF1201" s="478"/>
      <c r="DG1201" s="478"/>
      <c r="DH1201" s="478">
        <f>+DH1195+DH1197</f>
        <v>485.21603776140148</v>
      </c>
      <c r="DI1201" s="478"/>
      <c r="DJ1201" s="478"/>
      <c r="DK1201" s="478"/>
      <c r="DL1201" s="478"/>
      <c r="DM1201" s="478"/>
      <c r="DN1201" s="1335"/>
      <c r="DO1201" s="478"/>
      <c r="DP1201" s="478"/>
      <c r="DQ1201" s="478"/>
      <c r="DR1201" s="478"/>
      <c r="DS1201" s="478"/>
      <c r="DT1201" s="478"/>
      <c r="DU1201" s="478"/>
      <c r="DV1201" s="478"/>
      <c r="DW1201" s="478"/>
      <c r="DX1201" s="478"/>
      <c r="DY1201" s="478"/>
      <c r="DZ1201" s="1335"/>
      <c r="ID1201" s="494" t="str">
        <f>+D1201</f>
        <v>Central government debt including guarantees</v>
      </c>
      <c r="IE1201" s="495"/>
      <c r="IF1201" s="495"/>
      <c r="IG1201" s="494">
        <f>+IG1195+IG1197+IG1199</f>
        <v>466.82315429480605</v>
      </c>
      <c r="IH1201" s="494"/>
      <c r="II1201" s="450"/>
      <c r="IJ1201" s="323"/>
      <c r="IK1201" s="495"/>
      <c r="IL1201" s="495"/>
      <c r="IM1201" s="323"/>
      <c r="IN1201" s="495"/>
      <c r="IO1201" s="495"/>
      <c r="IP1201" s="323"/>
      <c r="IQ1201" s="323"/>
      <c r="IR1201" s="323"/>
      <c r="IS1201" s="323"/>
      <c r="IT1201" s="323"/>
      <c r="IU1201" s="323"/>
      <c r="IV1201" s="323"/>
      <c r="KU1201" s="279"/>
    </row>
    <row r="1202" spans="1:307" ht="15.6">
      <c r="A1202" s="279"/>
      <c r="B1202" s="279"/>
      <c r="C1202" s="279"/>
      <c r="D1202" s="474"/>
      <c r="E1202" s="450"/>
      <c r="F1202" s="450"/>
      <c r="G1202" s="450"/>
      <c r="H1202" s="450"/>
      <c r="I1202" s="450"/>
      <c r="J1202" s="450"/>
      <c r="K1202" s="450"/>
      <c r="L1202" s="450"/>
      <c r="M1202" s="450"/>
      <c r="N1202" s="450"/>
      <c r="O1202" s="450"/>
      <c r="P1202" s="450"/>
      <c r="Q1202" s="450"/>
      <c r="R1202" s="450"/>
      <c r="S1202" s="450"/>
      <c r="T1202" s="450"/>
      <c r="U1202" s="450"/>
      <c r="V1202" s="450"/>
      <c r="W1202" s="450"/>
      <c r="X1202" s="450"/>
      <c r="Y1202" s="450"/>
      <c r="Z1202" s="450"/>
      <c r="AA1202" s="450"/>
      <c r="AB1202" s="450"/>
      <c r="AC1202" s="450"/>
      <c r="AD1202" s="450"/>
      <c r="AE1202" s="450"/>
      <c r="AF1202" s="450"/>
      <c r="AG1202" s="450"/>
      <c r="AH1202" s="450" t="e">
        <f>AG1202*(1+AH682)+#REF!/1000000000+SUM(AH1211:AH1218)+AH1220</f>
        <v>#REF!</v>
      </c>
      <c r="AI1202" s="450" t="e">
        <f>(AH1202-AH1220)*(1+AI682)+#REF!/1000000000+SUM(AI1211:AI1218)+AI1220</f>
        <v>#REF!</v>
      </c>
      <c r="AJ1202" s="450" t="e">
        <f>(AI1202-AI1220)*(1+AJ682)+#REF!/1000000000+SUM(AJ1211:AJ1218)+AJ1220</f>
        <v>#REF!</v>
      </c>
      <c r="AK1202" s="450" t="e">
        <f>(AJ1202-AJ1220)*(1+AK682)+#REF!/1000000000+AK1220</f>
        <v>#REF!</v>
      </c>
      <c r="AL1202" s="450" t="e">
        <f>(AK1202-AK1220)*(1+AL682)+#REF!/1000000000-AL1220</f>
        <v>#REF!</v>
      </c>
      <c r="AM1202" s="450" t="e">
        <f>(AL1202-AL1220)*(1+AM682)+#REF!/1000000000-AM1220</f>
        <v>#REF!</v>
      </c>
      <c r="AN1202" s="450"/>
      <c r="AO1202" s="450"/>
      <c r="AP1202" s="450"/>
      <c r="AQ1202" s="450"/>
      <c r="AR1202" s="450"/>
      <c r="AS1202" s="450"/>
      <c r="AT1202" s="450"/>
      <c r="AU1202" s="450"/>
      <c r="AV1202" s="450"/>
      <c r="AW1202" s="450"/>
      <c r="AX1202" s="450"/>
      <c r="AY1202" s="450"/>
      <c r="AZ1202" s="450"/>
      <c r="BA1202" s="450"/>
      <c r="BB1202" s="450"/>
      <c r="BC1202" s="450"/>
      <c r="BD1202" s="450"/>
      <c r="BE1202" s="450"/>
      <c r="BF1202" s="450"/>
      <c r="BG1202" s="450"/>
      <c r="BH1202" s="450"/>
      <c r="BI1202" s="450"/>
      <c r="BJ1202" s="450"/>
      <c r="BK1202" s="450"/>
      <c r="BL1202" s="450"/>
      <c r="BM1202" s="450"/>
      <c r="BN1202" s="450"/>
      <c r="BO1202" s="450"/>
      <c r="BP1202" s="450"/>
      <c r="BQ1202" s="450"/>
      <c r="BR1202" s="450"/>
      <c r="BS1202" s="450"/>
      <c r="BT1202" s="450"/>
      <c r="BU1202" s="450"/>
      <c r="BV1202" s="450"/>
      <c r="BW1202" s="450"/>
      <c r="BX1202" s="450"/>
      <c r="BY1202" s="450"/>
      <c r="BZ1202" s="450"/>
      <c r="CA1202" s="450"/>
      <c r="CB1202" s="450"/>
      <c r="CC1202" s="450"/>
      <c r="CD1202" s="450"/>
      <c r="CE1202" s="450"/>
      <c r="CF1202" s="450"/>
      <c r="CG1202" s="450"/>
      <c r="CH1202" s="450"/>
      <c r="CI1202" s="450"/>
      <c r="CJ1202" s="478"/>
      <c r="CK1202" s="450"/>
      <c r="CL1202" s="450"/>
      <c r="CM1202" s="450"/>
      <c r="CN1202" s="450"/>
      <c r="CO1202" s="450"/>
      <c r="CP1202" s="478"/>
      <c r="CQ1202" s="450"/>
      <c r="CR1202" s="450"/>
      <c r="CS1202" s="450"/>
      <c r="CT1202" s="450"/>
      <c r="CU1202" s="450"/>
      <c r="CV1202" s="478"/>
      <c r="CW1202" s="450"/>
      <c r="CX1202" s="450"/>
      <c r="CY1202" s="450"/>
      <c r="CZ1202" s="450"/>
      <c r="DA1202" s="450"/>
      <c r="DB1202" s="1317"/>
      <c r="DC1202" s="478"/>
      <c r="DD1202" s="478"/>
      <c r="DE1202" s="478"/>
      <c r="DF1202" s="478"/>
      <c r="DG1202" s="478"/>
      <c r="DH1202" s="478"/>
      <c r="DI1202" s="478"/>
      <c r="DJ1202" s="478"/>
      <c r="DK1202" s="478"/>
      <c r="DL1202" s="478"/>
      <c r="DM1202" s="478"/>
      <c r="DN1202" s="1335"/>
      <c r="DO1202" s="478"/>
      <c r="DP1202" s="478"/>
      <c r="DQ1202" s="478"/>
      <c r="DR1202" s="478"/>
      <c r="DS1202" s="478"/>
      <c r="DT1202" s="478"/>
      <c r="DU1202" s="478"/>
      <c r="DV1202" s="478"/>
      <c r="DW1202" s="478"/>
      <c r="DX1202" s="478"/>
      <c r="DY1202" s="478"/>
      <c r="DZ1202" s="1335"/>
      <c r="ID1202" s="494"/>
      <c r="IE1202" s="495"/>
      <c r="IF1202" s="495"/>
      <c r="IG1202" s="494"/>
      <c r="IH1202" s="494"/>
      <c r="II1202" s="450"/>
      <c r="IJ1202" s="323"/>
      <c r="IK1202" s="495"/>
      <c r="IL1202" s="495"/>
      <c r="IM1202" s="323"/>
      <c r="IN1202" s="495"/>
      <c r="IO1202" s="495"/>
      <c r="IP1202" s="323"/>
      <c r="IQ1202" s="323"/>
      <c r="IR1202" s="323"/>
      <c r="IS1202" s="323"/>
      <c r="IT1202" s="323"/>
      <c r="IU1202" s="323"/>
      <c r="IV1202" s="323"/>
      <c r="KU1202" s="279"/>
    </row>
    <row r="1203" spans="1:307" ht="15.6">
      <c r="A1203" s="279"/>
      <c r="B1203" s="279"/>
      <c r="C1203" s="279"/>
      <c r="D1203" s="489" t="s">
        <v>689</v>
      </c>
      <c r="E1203" s="450"/>
      <c r="F1203" s="450"/>
      <c r="G1203" s="450"/>
      <c r="H1203" s="450"/>
      <c r="I1203" s="450"/>
      <c r="J1203" s="450"/>
      <c r="K1203" s="450"/>
      <c r="L1203" s="450"/>
      <c r="M1203" s="450"/>
      <c r="N1203" s="450"/>
      <c r="O1203" s="450"/>
      <c r="P1203" s="450"/>
      <c r="Q1203" s="450"/>
      <c r="R1203" s="450"/>
      <c r="S1203" s="450"/>
      <c r="T1203" s="450"/>
      <c r="U1203" s="450"/>
      <c r="V1203" s="450"/>
      <c r="W1203" s="450"/>
      <c r="X1203" s="450"/>
      <c r="Y1203" s="450"/>
      <c r="Z1203" s="450"/>
      <c r="AA1203" s="450"/>
      <c r="AB1203" s="450"/>
      <c r="AC1203" s="450"/>
      <c r="AD1203" s="450"/>
      <c r="AE1203" s="450"/>
      <c r="AF1203" s="450"/>
      <c r="AG1203" s="450"/>
      <c r="AH1203" s="450"/>
      <c r="AI1203" s="450"/>
      <c r="AJ1203" s="450"/>
      <c r="AK1203" s="450"/>
      <c r="AL1203" s="450"/>
      <c r="AM1203" s="450"/>
      <c r="AN1203" s="450"/>
      <c r="AO1203" s="450"/>
      <c r="AP1203" s="450"/>
      <c r="AQ1203" s="450"/>
      <c r="AR1203" s="450"/>
      <c r="AS1203" s="450"/>
      <c r="AT1203" s="450"/>
      <c r="AU1203" s="450"/>
      <c r="AV1203" s="450"/>
      <c r="AW1203" s="450"/>
      <c r="AX1203" s="450"/>
      <c r="AY1203" s="450"/>
      <c r="AZ1203" s="450"/>
      <c r="BA1203" s="450"/>
      <c r="BB1203" s="450"/>
      <c r="BC1203" s="450"/>
      <c r="BD1203" s="450"/>
      <c r="BE1203" s="450"/>
      <c r="BF1203" s="450"/>
      <c r="BG1203" s="450"/>
      <c r="BH1203" s="450"/>
      <c r="BI1203" s="450"/>
      <c r="BJ1203" s="450"/>
      <c r="BK1203" s="450"/>
      <c r="BL1203" s="450"/>
      <c r="BM1203" s="450"/>
      <c r="BN1203" s="450"/>
      <c r="BO1203" s="450"/>
      <c r="BP1203" s="450"/>
      <c r="BQ1203" s="450"/>
      <c r="BR1203" s="450"/>
      <c r="BS1203" s="450"/>
      <c r="BT1203" s="450"/>
      <c r="BU1203" s="450"/>
      <c r="BV1203" s="450"/>
      <c r="BW1203" s="450"/>
      <c r="BX1203" s="450"/>
      <c r="BY1203" s="450"/>
      <c r="BZ1203" s="450"/>
      <c r="CA1203" s="450"/>
      <c r="CB1203" s="450"/>
      <c r="CC1203" s="450"/>
      <c r="CD1203" s="450"/>
      <c r="CE1203" s="450"/>
      <c r="CF1203" s="450"/>
      <c r="CG1203" s="450"/>
      <c r="CH1203" s="450"/>
      <c r="CI1203" s="450"/>
      <c r="CJ1203" s="478"/>
      <c r="CK1203" s="450"/>
      <c r="CL1203" s="450"/>
      <c r="CM1203" s="450"/>
      <c r="CN1203" s="450"/>
      <c r="CO1203" s="450"/>
      <c r="CP1203" s="478"/>
      <c r="CQ1203" s="450"/>
      <c r="CR1203" s="450"/>
      <c r="CS1203" s="450"/>
      <c r="CT1203" s="450"/>
      <c r="CU1203" s="450"/>
      <c r="CV1203" s="478"/>
      <c r="CW1203" s="450"/>
      <c r="CX1203" s="450"/>
      <c r="CY1203" s="450"/>
      <c r="CZ1203" s="450"/>
      <c r="DA1203" s="450"/>
      <c r="DB1203" s="1317"/>
      <c r="DC1203" s="478"/>
      <c r="DD1203" s="478"/>
      <c r="DE1203" s="478"/>
      <c r="DF1203" s="478"/>
      <c r="DG1203" s="478"/>
      <c r="DH1203" s="478"/>
      <c r="DI1203" s="478"/>
      <c r="DJ1203" s="478"/>
      <c r="DK1203" s="478"/>
      <c r="DL1203" s="478"/>
      <c r="DM1203" s="478"/>
      <c r="DN1203" s="1335"/>
      <c r="DO1203" s="478"/>
      <c r="DP1203" s="478"/>
      <c r="DQ1203" s="478"/>
      <c r="DR1203" s="478"/>
      <c r="DS1203" s="478"/>
      <c r="DT1203" s="478"/>
      <c r="DU1203" s="478"/>
      <c r="DV1203" s="478"/>
      <c r="DW1203" s="478"/>
      <c r="DX1203" s="478"/>
      <c r="DY1203" s="478"/>
      <c r="DZ1203" s="1335"/>
      <c r="ID1203" s="525" t="str">
        <f>+D1203</f>
        <v>Source: Fiscal framework, DU</v>
      </c>
      <c r="IE1203" s="495"/>
      <c r="IF1203" s="495"/>
      <c r="IG1203" s="494"/>
      <c r="IH1203" s="494"/>
      <c r="II1203" s="450"/>
      <c r="IJ1203" s="323"/>
      <c r="IK1203" s="495"/>
      <c r="IL1203" s="495"/>
      <c r="IM1203" s="323"/>
      <c r="IN1203" s="495"/>
      <c r="IO1203" s="495"/>
      <c r="IP1203" s="323"/>
      <c r="IQ1203" s="323"/>
      <c r="IR1203" s="323"/>
      <c r="IS1203" s="323"/>
      <c r="IT1203" s="323"/>
      <c r="IU1203" s="323"/>
      <c r="IV1203" s="323"/>
      <c r="KU1203" s="279"/>
    </row>
    <row r="1204" spans="1:307" ht="16.5" customHeight="1">
      <c r="A1204" s="279"/>
      <c r="B1204" s="279"/>
      <c r="C1204" s="279"/>
      <c r="D1204" s="474"/>
      <c r="E1204" s="450"/>
      <c r="F1204" s="450"/>
      <c r="G1204" s="450"/>
      <c r="H1204" s="450"/>
      <c r="I1204" s="450"/>
      <c r="J1204" s="450"/>
      <c r="K1204" s="450"/>
      <c r="L1204" s="450"/>
      <c r="M1204" s="450"/>
      <c r="N1204" s="450"/>
      <c r="O1204" s="450"/>
      <c r="P1204" s="450"/>
      <c r="Q1204" s="450"/>
      <c r="R1204" s="450"/>
      <c r="S1204" s="450"/>
      <c r="T1204" s="450"/>
      <c r="U1204" s="450"/>
      <c r="V1204" s="450"/>
      <c r="W1204" s="450"/>
      <c r="X1204" s="450"/>
      <c r="Y1204" s="450"/>
      <c r="Z1204" s="450"/>
      <c r="AA1204" s="450"/>
      <c r="AB1204" s="450"/>
      <c r="AC1204" s="450"/>
      <c r="AD1204" s="450"/>
      <c r="AE1204" s="450"/>
      <c r="AF1204" s="450"/>
      <c r="AG1204" s="450"/>
      <c r="AH1204" s="450"/>
      <c r="AI1204" s="450"/>
      <c r="AJ1204" s="450"/>
      <c r="AK1204" s="450"/>
      <c r="AL1204" s="450"/>
      <c r="AM1204" s="450"/>
      <c r="AN1204" s="450"/>
      <c r="AO1204" s="450"/>
      <c r="AP1204" s="450"/>
      <c r="AQ1204" s="450"/>
      <c r="AR1204" s="450"/>
      <c r="AS1204" s="450"/>
      <c r="AT1204" s="450"/>
      <c r="AU1204" s="450"/>
      <c r="AV1204" s="450"/>
      <c r="AW1204" s="450"/>
      <c r="AX1204" s="450"/>
      <c r="AY1204" s="450"/>
      <c r="AZ1204" s="450"/>
      <c r="BA1204" s="450"/>
      <c r="BB1204" s="450"/>
      <c r="BC1204" s="450"/>
      <c r="BD1204" s="450"/>
      <c r="BE1204" s="450"/>
      <c r="BF1204" s="450"/>
      <c r="BG1204" s="450"/>
      <c r="BH1204" s="450"/>
      <c r="BI1204" s="450"/>
      <c r="BJ1204" s="450"/>
      <c r="BK1204" s="450"/>
      <c r="BL1204" s="450"/>
      <c r="BM1204" s="450"/>
      <c r="BN1204" s="450"/>
      <c r="BO1204" s="450"/>
      <c r="BP1204" s="450"/>
      <c r="BQ1204" s="450"/>
      <c r="BR1204" s="450"/>
      <c r="BS1204" s="450"/>
      <c r="BT1204" s="450"/>
      <c r="BU1204" s="450"/>
      <c r="BV1204" s="450"/>
      <c r="BW1204" s="450"/>
      <c r="BX1204" s="450"/>
      <c r="BY1204" s="450"/>
      <c r="BZ1204" s="450"/>
      <c r="CA1204" s="450"/>
      <c r="CB1204" s="450"/>
      <c r="CC1204" s="450"/>
      <c r="CD1204" s="450"/>
      <c r="CE1204" s="450"/>
      <c r="CF1204" s="450"/>
      <c r="CG1204" s="450"/>
      <c r="CH1204" s="450"/>
      <c r="CI1204" s="450"/>
      <c r="CJ1204" s="478"/>
      <c r="CK1204" s="450"/>
      <c r="CL1204" s="450"/>
      <c r="CM1204" s="450"/>
      <c r="CN1204" s="450"/>
      <c r="CO1204" s="450"/>
      <c r="CP1204" s="478"/>
      <c r="CQ1204" s="450"/>
      <c r="CR1204" s="450"/>
      <c r="CS1204" s="450"/>
      <c r="CT1204" s="450"/>
      <c r="CU1204" s="450"/>
      <c r="CV1204" s="478"/>
      <c r="CW1204" s="450"/>
      <c r="CX1204" s="450"/>
      <c r="CY1204" s="450"/>
      <c r="CZ1204" s="450"/>
      <c r="DA1204" s="450"/>
      <c r="DB1204" s="1317"/>
      <c r="DC1204" s="478"/>
      <c r="DD1204" s="478"/>
      <c r="DE1204" s="478"/>
      <c r="DF1204" s="478"/>
      <c r="DG1204" s="478"/>
      <c r="DH1204" s="478"/>
      <c r="DI1204" s="478"/>
      <c r="DJ1204" s="478"/>
      <c r="DK1204" s="478"/>
      <c r="DL1204" s="478"/>
      <c r="DM1204" s="478"/>
      <c r="DN1204" s="1335"/>
      <c r="DO1204" s="478"/>
      <c r="DP1204" s="478"/>
      <c r="DQ1204" s="478"/>
      <c r="DR1204" s="478"/>
      <c r="DS1204" s="478"/>
      <c r="DT1204" s="478"/>
      <c r="DU1204" s="478"/>
      <c r="DV1204" s="478"/>
      <c r="DW1204" s="478"/>
      <c r="DX1204" s="478"/>
      <c r="DY1204" s="478"/>
      <c r="DZ1204" s="1335"/>
      <c r="ID1204" s="494"/>
      <c r="IE1204" s="495"/>
      <c r="IF1204" s="495"/>
      <c r="IG1204" s="495"/>
      <c r="IH1204" s="450"/>
      <c r="II1204" s="450"/>
      <c r="IJ1204" s="323"/>
      <c r="IK1204" s="495"/>
      <c r="IL1204" s="495"/>
      <c r="IM1204" s="323"/>
      <c r="IN1204" s="495"/>
      <c r="IO1204" s="495"/>
      <c r="IP1204" s="323"/>
      <c r="IQ1204" s="323"/>
      <c r="IR1204" s="323"/>
      <c r="IS1204" s="323"/>
      <c r="IT1204" s="323"/>
      <c r="IU1204" s="323"/>
      <c r="IV1204" s="323"/>
      <c r="KU1204" s="279"/>
    </row>
    <row r="1205" spans="1:307" ht="15.6">
      <c r="A1205" s="279"/>
      <c r="B1205" s="279"/>
      <c r="C1205" s="279"/>
      <c r="D1205" s="489" t="s">
        <v>674</v>
      </c>
      <c r="E1205" s="450"/>
      <c r="F1205" s="450"/>
      <c r="G1205" s="450"/>
      <c r="H1205" s="450"/>
      <c r="I1205" s="450"/>
      <c r="J1205" s="450"/>
      <c r="K1205" s="450"/>
      <c r="L1205" s="450"/>
      <c r="M1205" s="450"/>
      <c r="N1205" s="450"/>
      <c r="O1205" s="450"/>
      <c r="P1205" s="450"/>
      <c r="Q1205" s="450"/>
      <c r="R1205" s="450"/>
      <c r="S1205" s="450"/>
      <c r="T1205" s="450"/>
      <c r="U1205" s="450"/>
      <c r="V1205" s="450"/>
      <c r="W1205" s="450"/>
      <c r="X1205" s="450"/>
      <c r="Y1205" s="450"/>
      <c r="Z1205" s="450"/>
      <c r="AA1205" s="450"/>
      <c r="AB1205" s="450"/>
      <c r="AC1205" s="450"/>
      <c r="AD1205" s="450"/>
      <c r="AE1205" s="450"/>
      <c r="AF1205" s="450"/>
      <c r="AG1205" s="450"/>
      <c r="AH1205" s="450"/>
      <c r="AI1205" s="450"/>
      <c r="AJ1205" s="450"/>
      <c r="AK1205" s="450"/>
      <c r="AL1205" s="450"/>
      <c r="AM1205" s="450"/>
      <c r="AN1205" s="450"/>
      <c r="AO1205" s="450"/>
      <c r="AP1205" s="450"/>
      <c r="AQ1205" s="450"/>
      <c r="AR1205" s="450"/>
      <c r="AS1205" s="450"/>
      <c r="AT1205" s="450"/>
      <c r="AU1205" s="450"/>
      <c r="AV1205" s="450"/>
      <c r="AW1205" s="450"/>
      <c r="AX1205" s="450"/>
      <c r="AY1205" s="450"/>
      <c r="AZ1205" s="450"/>
      <c r="BA1205" s="450"/>
      <c r="BB1205" s="450"/>
      <c r="BC1205" s="450"/>
      <c r="BD1205" s="450"/>
      <c r="BE1205" s="450"/>
      <c r="BF1205" s="450"/>
      <c r="BG1205" s="450"/>
      <c r="BH1205" s="450"/>
      <c r="BI1205" s="450"/>
      <c r="BJ1205" s="450"/>
      <c r="BK1205" s="450"/>
      <c r="BL1205" s="450"/>
      <c r="BM1205" s="450"/>
      <c r="BN1205" s="450"/>
      <c r="BO1205" s="450"/>
      <c r="BP1205" s="450"/>
      <c r="BQ1205" s="450"/>
      <c r="BR1205" s="450"/>
      <c r="BS1205" s="450"/>
      <c r="BT1205" s="450"/>
      <c r="BU1205" s="450"/>
      <c r="BV1205" s="450"/>
      <c r="BW1205" s="450"/>
      <c r="BX1205" s="450"/>
      <c r="BY1205" s="450"/>
      <c r="BZ1205" s="450"/>
      <c r="CA1205" s="450"/>
      <c r="CB1205" s="450"/>
      <c r="CC1205" s="450"/>
      <c r="CD1205" s="450"/>
      <c r="CE1205" s="450"/>
      <c r="CF1205" s="450"/>
      <c r="CG1205" s="450"/>
      <c r="CH1205" s="450"/>
      <c r="CI1205" s="450"/>
      <c r="CJ1205" s="478"/>
      <c r="CK1205" s="450"/>
      <c r="CL1205" s="450"/>
      <c r="CM1205" s="450"/>
      <c r="CN1205" s="450"/>
      <c r="CO1205" s="450"/>
      <c r="CP1205" s="478"/>
      <c r="CQ1205" s="450"/>
      <c r="CR1205" s="450"/>
      <c r="CS1205" s="450"/>
      <c r="CT1205" s="450"/>
      <c r="CU1205" s="450"/>
      <c r="CV1205" s="478"/>
      <c r="CW1205" s="450"/>
      <c r="CX1205" s="450"/>
      <c r="CY1205" s="450"/>
      <c r="CZ1205" s="450"/>
      <c r="DA1205" s="450"/>
      <c r="DB1205" s="1317"/>
      <c r="DC1205" s="478"/>
      <c r="DD1205" s="478"/>
      <c r="DE1205" s="478"/>
      <c r="DF1205" s="478"/>
      <c r="DG1205" s="478"/>
      <c r="DH1205" s="478"/>
      <c r="DI1205" s="478"/>
      <c r="DJ1205" s="478"/>
      <c r="DK1205" s="478"/>
      <c r="DL1205" s="478"/>
      <c r="DM1205" s="478"/>
      <c r="DN1205" s="1335"/>
      <c r="DO1205" s="478"/>
      <c r="DP1205" s="478"/>
      <c r="DQ1205" s="478"/>
      <c r="DR1205" s="478"/>
      <c r="DS1205" s="478"/>
      <c r="DT1205" s="478"/>
      <c r="DU1205" s="478"/>
      <c r="DV1205" s="478"/>
      <c r="DW1205" s="478"/>
      <c r="DX1205" s="478"/>
      <c r="DY1205" s="478"/>
      <c r="DZ1205" s="1335"/>
      <c r="ID1205" s="525" t="str">
        <f t="shared" ref="ID1205:ID1210" si="2407">+D1205</f>
        <v>Memorandum items flows from TOFE/Budget</v>
      </c>
      <c r="IE1205" s="495"/>
      <c r="IF1205" s="495"/>
      <c r="IG1205" s="495"/>
      <c r="IH1205" s="450"/>
      <c r="II1205" s="450"/>
      <c r="IJ1205" s="323"/>
      <c r="IK1205" s="495"/>
      <c r="IL1205" s="495"/>
      <c r="IM1205" s="323"/>
      <c r="IN1205" s="495"/>
      <c r="IO1205" s="495"/>
      <c r="IP1205" s="323"/>
      <c r="IQ1205" s="323"/>
      <c r="IR1205" s="323"/>
      <c r="IS1205" s="323"/>
      <c r="IT1205" s="323"/>
      <c r="IU1205" s="323"/>
      <c r="IV1205" s="323"/>
      <c r="KU1205" s="279"/>
    </row>
    <row r="1206" spans="1:307" ht="15.6">
      <c r="A1206" s="279"/>
      <c r="B1206" s="279"/>
      <c r="C1206" s="279"/>
      <c r="D1206" s="474" t="s">
        <v>661</v>
      </c>
      <c r="E1206" s="450"/>
      <c r="F1206" s="450"/>
      <c r="G1206" s="450"/>
      <c r="H1206" s="450"/>
      <c r="I1206" s="450"/>
      <c r="J1206" s="450"/>
      <c r="K1206" s="450"/>
      <c r="L1206" s="450"/>
      <c r="M1206" s="450"/>
      <c r="N1206" s="450"/>
      <c r="O1206" s="450"/>
      <c r="P1206" s="450"/>
      <c r="Q1206" s="450"/>
      <c r="R1206" s="450"/>
      <c r="S1206" s="450"/>
      <c r="T1206" s="450"/>
      <c r="U1206" s="450"/>
      <c r="V1206" s="450"/>
      <c r="W1206" s="450"/>
      <c r="X1206" s="450"/>
      <c r="Y1206" s="450"/>
      <c r="Z1206" s="450"/>
      <c r="AA1206" s="450"/>
      <c r="AB1206" s="450"/>
      <c r="AC1206" s="450"/>
      <c r="AD1206" s="450"/>
      <c r="AE1206" s="450"/>
      <c r="AF1206" s="450"/>
      <c r="AG1206" s="450"/>
      <c r="AH1206" s="450"/>
      <c r="AI1206" s="450"/>
      <c r="AJ1206" s="450"/>
      <c r="AK1206" s="450"/>
      <c r="AL1206" s="450"/>
      <c r="AM1206" s="450"/>
      <c r="AN1206" s="450"/>
      <c r="AO1206" s="450"/>
      <c r="AP1206" s="450"/>
      <c r="AQ1206" s="450"/>
      <c r="AR1206" s="450"/>
      <c r="AS1206" s="450"/>
      <c r="AT1206" s="450"/>
      <c r="AU1206" s="450"/>
      <c r="AV1206" s="450"/>
      <c r="AW1206" s="450"/>
      <c r="AX1206" s="450"/>
      <c r="AY1206" s="450"/>
      <c r="AZ1206" s="450"/>
      <c r="BA1206" s="450"/>
      <c r="BB1206" s="450"/>
      <c r="BC1206" s="450"/>
      <c r="BD1206" s="450"/>
      <c r="BE1206" s="450"/>
      <c r="BF1206" s="450"/>
      <c r="BG1206" s="450"/>
      <c r="BH1206" s="450"/>
      <c r="BI1206" s="450"/>
      <c r="BJ1206" s="450"/>
      <c r="BK1206" s="450"/>
      <c r="BL1206" s="450"/>
      <c r="BM1206" s="450"/>
      <c r="BN1206" s="450"/>
      <c r="BO1206" s="450"/>
      <c r="BP1206" s="450"/>
      <c r="BQ1206" s="450"/>
      <c r="BR1206" s="450"/>
      <c r="BS1206" s="450"/>
      <c r="BT1206" s="450"/>
      <c r="BU1206" s="450"/>
      <c r="BV1206" s="450"/>
      <c r="BW1206" s="450"/>
      <c r="BX1206" s="450"/>
      <c r="BY1206" s="450"/>
      <c r="BZ1206" s="450"/>
      <c r="CA1206" s="450"/>
      <c r="CB1206" s="450"/>
      <c r="CC1206" s="450"/>
      <c r="CD1206" s="450"/>
      <c r="CE1206" s="450"/>
      <c r="CF1206" s="450"/>
      <c r="CG1206" s="450"/>
      <c r="CH1206" s="450"/>
      <c r="CI1206" s="450"/>
      <c r="CJ1206" s="478"/>
      <c r="CK1206" s="450"/>
      <c r="CL1206" s="450"/>
      <c r="CM1206" s="450"/>
      <c r="CN1206" s="450"/>
      <c r="CO1206" s="450"/>
      <c r="CP1206" s="478"/>
      <c r="CQ1206" s="450"/>
      <c r="CR1206" s="450"/>
      <c r="CS1206" s="450"/>
      <c r="CT1206" s="450"/>
      <c r="CU1206" s="450"/>
      <c r="CV1206" s="478"/>
      <c r="CW1206" s="450"/>
      <c r="CX1206" s="450"/>
      <c r="CY1206" s="450"/>
      <c r="CZ1206" s="450"/>
      <c r="DA1206" s="450"/>
      <c r="DB1206" s="1317"/>
      <c r="DC1206" s="478"/>
      <c r="DD1206" s="478"/>
      <c r="DE1206" s="478"/>
      <c r="DF1206" s="478"/>
      <c r="DG1206" s="478"/>
      <c r="DH1206" s="478"/>
      <c r="DI1206" s="478"/>
      <c r="DJ1206" s="478"/>
      <c r="DK1206" s="478"/>
      <c r="DL1206" s="478"/>
      <c r="DM1206" s="478"/>
      <c r="DN1206" s="1335"/>
      <c r="DO1206" s="478"/>
      <c r="DP1206" s="478"/>
      <c r="DQ1206" s="478"/>
      <c r="DR1206" s="478"/>
      <c r="DS1206" s="478"/>
      <c r="DT1206" s="478"/>
      <c r="DU1206" s="478"/>
      <c r="DV1206" s="478"/>
      <c r="DW1206" s="478"/>
      <c r="DX1206" s="478"/>
      <c r="DY1206" s="478"/>
      <c r="DZ1206" s="1335"/>
      <c r="ID1206" s="521" t="str">
        <f t="shared" si="2407"/>
        <v>Net domestic financing Budget (TOFE)</v>
      </c>
      <c r="IE1206" s="495"/>
      <c r="IF1206" s="495"/>
      <c r="IG1206" s="495"/>
      <c r="IH1206" s="450">
        <f t="shared" ref="IH1206:IP1206" si="2408">+IH681</f>
        <v>-77.56881422613624</v>
      </c>
      <c r="II1206" s="450">
        <f t="shared" si="2408"/>
        <v>127.37091644493165</v>
      </c>
      <c r="IJ1206" s="323">
        <f t="shared" si="2408"/>
        <v>49.802102218795412</v>
      </c>
      <c r="IK1206" s="450">
        <f t="shared" si="2408"/>
        <v>-75.365327747001714</v>
      </c>
      <c r="IL1206" s="450">
        <f t="shared" si="2408"/>
        <v>131.18312362037869</v>
      </c>
      <c r="IM1206" s="323">
        <f t="shared" si="2408"/>
        <v>55.81779587337698</v>
      </c>
      <c r="IN1206" s="450">
        <f t="shared" si="2408"/>
        <v>-76.513563812377328</v>
      </c>
      <c r="IO1206" s="450">
        <f t="shared" si="2408"/>
        <v>112.67301332015495</v>
      </c>
      <c r="IP1206" s="323">
        <f t="shared" si="2408"/>
        <v>42.957634732946076</v>
      </c>
      <c r="IQ1206" s="323"/>
      <c r="IR1206" s="323"/>
      <c r="IS1206" s="323">
        <f>+IS681</f>
        <v>74.143283378921609</v>
      </c>
      <c r="IT1206" s="323"/>
      <c r="IU1206" s="323"/>
      <c r="IV1206" s="323">
        <f>+IV681</f>
        <v>88.652325063023426</v>
      </c>
      <c r="KU1206" s="279"/>
    </row>
    <row r="1207" spans="1:307" ht="15.6">
      <c r="A1207" s="279"/>
      <c r="B1207" s="279"/>
      <c r="C1207" s="279"/>
      <c r="D1207" s="449" t="s">
        <v>663</v>
      </c>
      <c r="E1207" s="450"/>
      <c r="F1207" s="450"/>
      <c r="G1207" s="450"/>
      <c r="H1207" s="450"/>
      <c r="I1207" s="450"/>
      <c r="J1207" s="450"/>
      <c r="K1207" s="450"/>
      <c r="L1207" s="450"/>
      <c r="M1207" s="450"/>
      <c r="N1207" s="450"/>
      <c r="O1207" s="450"/>
      <c r="P1207" s="450"/>
      <c r="Q1207" s="450"/>
      <c r="R1207" s="450"/>
      <c r="S1207" s="450"/>
      <c r="T1207" s="450"/>
      <c r="U1207" s="450"/>
      <c r="V1207" s="450"/>
      <c r="W1207" s="450"/>
      <c r="X1207" s="450"/>
      <c r="Y1207" s="450"/>
      <c r="Z1207" s="450"/>
      <c r="AA1207" s="450"/>
      <c r="AB1207" s="450"/>
      <c r="AC1207" s="450"/>
      <c r="AD1207" s="450"/>
      <c r="AE1207" s="450"/>
      <c r="AF1207" s="450"/>
      <c r="AG1207" s="450"/>
      <c r="AH1207" s="450"/>
      <c r="AI1207" s="450"/>
      <c r="AJ1207" s="450"/>
      <c r="AK1207" s="450"/>
      <c r="AL1207" s="450"/>
      <c r="AM1207" s="450"/>
      <c r="AN1207" s="450"/>
      <c r="AO1207" s="450"/>
      <c r="AP1207" s="450"/>
      <c r="AQ1207" s="450"/>
      <c r="AR1207" s="450"/>
      <c r="AS1207" s="450"/>
      <c r="AT1207" s="450"/>
      <c r="AU1207" s="450"/>
      <c r="AV1207" s="450"/>
      <c r="AW1207" s="450"/>
      <c r="AX1207" s="450"/>
      <c r="AY1207" s="450"/>
      <c r="AZ1207" s="450"/>
      <c r="BA1207" s="450"/>
      <c r="BB1207" s="450"/>
      <c r="BC1207" s="450"/>
      <c r="BD1207" s="450"/>
      <c r="BE1207" s="450"/>
      <c r="BF1207" s="450"/>
      <c r="BG1207" s="450"/>
      <c r="BH1207" s="450"/>
      <c r="BI1207" s="450"/>
      <c r="BJ1207" s="450"/>
      <c r="BK1207" s="450"/>
      <c r="BL1207" s="450"/>
      <c r="BM1207" s="450"/>
      <c r="BN1207" s="450"/>
      <c r="BO1207" s="450"/>
      <c r="BP1207" s="450"/>
      <c r="BQ1207" s="450"/>
      <c r="BR1207" s="450"/>
      <c r="BS1207" s="450"/>
      <c r="BT1207" s="450"/>
      <c r="BU1207" s="450"/>
      <c r="BV1207" s="450"/>
      <c r="BW1207" s="450"/>
      <c r="BX1207" s="450"/>
      <c r="BY1207" s="450"/>
      <c r="BZ1207" s="450"/>
      <c r="CA1207" s="450"/>
      <c r="CB1207" s="450"/>
      <c r="CC1207" s="450"/>
      <c r="CD1207" s="450"/>
      <c r="CE1207" s="450"/>
      <c r="CF1207" s="450"/>
      <c r="CG1207" s="450"/>
      <c r="CH1207" s="450"/>
      <c r="CI1207" s="450"/>
      <c r="CJ1207" s="478"/>
      <c r="CK1207" s="450"/>
      <c r="CL1207" s="450"/>
      <c r="CM1207" s="450"/>
      <c r="CN1207" s="450"/>
      <c r="CO1207" s="450"/>
      <c r="CP1207" s="478"/>
      <c r="CQ1207" s="450"/>
      <c r="CR1207" s="450"/>
      <c r="CS1207" s="450"/>
      <c r="CT1207" s="450"/>
      <c r="CU1207" s="450"/>
      <c r="CV1207" s="478"/>
      <c r="CW1207" s="450"/>
      <c r="CX1207" s="450"/>
      <c r="CY1207" s="450"/>
      <c r="CZ1207" s="450"/>
      <c r="DA1207" s="450"/>
      <c r="DB1207" s="1317"/>
      <c r="DC1207" s="478"/>
      <c r="DD1207" s="478"/>
      <c r="DE1207" s="478"/>
      <c r="DF1207" s="478"/>
      <c r="DG1207" s="478"/>
      <c r="DH1207" s="478"/>
      <c r="DI1207" s="478"/>
      <c r="DJ1207" s="478"/>
      <c r="DK1207" s="478"/>
      <c r="DL1207" s="478"/>
      <c r="DM1207" s="478"/>
      <c r="DN1207" s="1335"/>
      <c r="DO1207" s="478"/>
      <c r="DP1207" s="478"/>
      <c r="DQ1207" s="478"/>
      <c r="DR1207" s="478"/>
      <c r="DS1207" s="478"/>
      <c r="DT1207" s="478"/>
      <c r="DU1207" s="478"/>
      <c r="DV1207" s="478"/>
      <c r="DW1207" s="478"/>
      <c r="DX1207" s="478"/>
      <c r="DY1207" s="478"/>
      <c r="DZ1207" s="1335"/>
      <c r="ID1207" s="494" t="str">
        <f t="shared" si="2407"/>
        <v>Net bank financing (TOFE)</v>
      </c>
      <c r="IE1207" s="495"/>
      <c r="IF1207" s="495"/>
      <c r="IG1207" s="495"/>
      <c r="IH1207" s="450">
        <f t="shared" ref="IH1207:IP1207" si="2409">+IH682</f>
        <v>-84.930197692731696</v>
      </c>
      <c r="II1207" s="450">
        <f t="shared" si="2409"/>
        <v>87.014940512036674</v>
      </c>
      <c r="IJ1207" s="323">
        <f t="shared" si="2409"/>
        <v>2.084742819304978</v>
      </c>
      <c r="IK1207" s="450">
        <f t="shared" si="2409"/>
        <v>-114.88601400629895</v>
      </c>
      <c r="IL1207" s="450">
        <f t="shared" si="2409"/>
        <v>129.51397008959785</v>
      </c>
      <c r="IM1207" s="323">
        <f t="shared" si="2409"/>
        <v>14.627956083298898</v>
      </c>
      <c r="IN1207" s="450">
        <f t="shared" si="2409"/>
        <v>-83.333111696434202</v>
      </c>
      <c r="IO1207" s="450">
        <f t="shared" si="2409"/>
        <v>132.16387338195821</v>
      </c>
      <c r="IP1207" s="323">
        <f t="shared" si="2409"/>
        <v>48.83076168552401</v>
      </c>
      <c r="IQ1207" s="323"/>
      <c r="IR1207" s="323"/>
      <c r="IS1207" s="323">
        <f>+IS682</f>
        <v>7.236608287921598</v>
      </c>
      <c r="IT1207" s="323"/>
      <c r="IU1207" s="323"/>
      <c r="IV1207" s="323">
        <f>+IV682</f>
        <v>88.652325063023426</v>
      </c>
      <c r="KU1207" s="279"/>
    </row>
    <row r="1208" spans="1:307" ht="15.6">
      <c r="A1208" s="279"/>
      <c r="B1208" s="279"/>
      <c r="C1208" s="279"/>
      <c r="D1208" s="449" t="s">
        <v>662</v>
      </c>
      <c r="E1208" s="450"/>
      <c r="F1208" s="450"/>
      <c r="G1208" s="450"/>
      <c r="H1208" s="450"/>
      <c r="I1208" s="450"/>
      <c r="J1208" s="450"/>
      <c r="K1208" s="450"/>
      <c r="L1208" s="450"/>
      <c r="M1208" s="450"/>
      <c r="N1208" s="450"/>
      <c r="O1208" s="450"/>
      <c r="P1208" s="450"/>
      <c r="Q1208" s="450"/>
      <c r="R1208" s="450"/>
      <c r="S1208" s="450"/>
      <c r="T1208" s="450"/>
      <c r="U1208" s="450"/>
      <c r="V1208" s="450"/>
      <c r="W1208" s="450"/>
      <c r="X1208" s="450"/>
      <c r="Y1208" s="450"/>
      <c r="Z1208" s="450"/>
      <c r="AA1208" s="450"/>
      <c r="AB1208" s="450"/>
      <c r="AC1208" s="450"/>
      <c r="AD1208" s="450"/>
      <c r="AE1208" s="450"/>
      <c r="AF1208" s="450"/>
      <c r="AG1208" s="450"/>
      <c r="AH1208" s="450"/>
      <c r="AI1208" s="450"/>
      <c r="AJ1208" s="450"/>
      <c r="AK1208" s="450"/>
      <c r="AL1208" s="450"/>
      <c r="AM1208" s="450"/>
      <c r="AN1208" s="450"/>
      <c r="AO1208" s="450"/>
      <c r="AP1208" s="450"/>
      <c r="AQ1208" s="450"/>
      <c r="AR1208" s="450"/>
      <c r="AS1208" s="450"/>
      <c r="AT1208" s="450"/>
      <c r="AU1208" s="450"/>
      <c r="AV1208" s="450"/>
      <c r="AW1208" s="450"/>
      <c r="AX1208" s="450"/>
      <c r="AY1208" s="450"/>
      <c r="AZ1208" s="450"/>
      <c r="BA1208" s="450"/>
      <c r="BB1208" s="450"/>
      <c r="BC1208" s="450"/>
      <c r="BD1208" s="450"/>
      <c r="BE1208" s="450"/>
      <c r="BF1208" s="450"/>
      <c r="BG1208" s="450"/>
      <c r="BH1208" s="450"/>
      <c r="BI1208" s="450"/>
      <c r="BJ1208" s="450"/>
      <c r="BK1208" s="450"/>
      <c r="BL1208" s="450"/>
      <c r="BM1208" s="450"/>
      <c r="BN1208" s="450"/>
      <c r="BO1208" s="450"/>
      <c r="BP1208" s="450"/>
      <c r="BQ1208" s="450"/>
      <c r="BR1208" s="450"/>
      <c r="BS1208" s="450"/>
      <c r="BT1208" s="450"/>
      <c r="BU1208" s="450"/>
      <c r="BV1208" s="450"/>
      <c r="BW1208" s="450"/>
      <c r="BX1208" s="450"/>
      <c r="BY1208" s="450"/>
      <c r="BZ1208" s="450"/>
      <c r="CA1208" s="450"/>
      <c r="CB1208" s="450"/>
      <c r="CC1208" s="450"/>
      <c r="CD1208" s="450"/>
      <c r="CE1208" s="450"/>
      <c r="CF1208" s="450"/>
      <c r="CG1208" s="450"/>
      <c r="CH1208" s="450"/>
      <c r="CI1208" s="450"/>
      <c r="CJ1208" s="478"/>
      <c r="CK1208" s="450"/>
      <c r="CL1208" s="450"/>
      <c r="CM1208" s="450"/>
      <c r="CN1208" s="450"/>
      <c r="CO1208" s="450"/>
      <c r="CP1208" s="478"/>
      <c r="CQ1208" s="450"/>
      <c r="CR1208" s="450"/>
      <c r="CS1208" s="450"/>
      <c r="CT1208" s="450"/>
      <c r="CU1208" s="450"/>
      <c r="CV1208" s="478"/>
      <c r="CW1208" s="450"/>
      <c r="CX1208" s="450"/>
      <c r="CY1208" s="450"/>
      <c r="CZ1208" s="450"/>
      <c r="DA1208" s="450"/>
      <c r="DB1208" s="1317"/>
      <c r="DC1208" s="478"/>
      <c r="DD1208" s="478"/>
      <c r="DE1208" s="478"/>
      <c r="DF1208" s="478"/>
      <c r="DG1208" s="478"/>
      <c r="DH1208" s="478"/>
      <c r="DI1208" s="478"/>
      <c r="DJ1208" s="478"/>
      <c r="DK1208" s="478"/>
      <c r="DL1208" s="478"/>
      <c r="DM1208" s="478"/>
      <c r="DN1208" s="1335"/>
      <c r="DO1208" s="478"/>
      <c r="DP1208" s="478"/>
      <c r="DQ1208" s="478"/>
      <c r="DR1208" s="478"/>
      <c r="DS1208" s="478"/>
      <c r="DT1208" s="478"/>
      <c r="DU1208" s="478"/>
      <c r="DV1208" s="478"/>
      <c r="DW1208" s="478"/>
      <c r="DX1208" s="478"/>
      <c r="DY1208" s="478"/>
      <c r="DZ1208" s="1335"/>
      <c r="ID1208" s="495" t="str">
        <f t="shared" si="2407"/>
        <v>Net use of govt deposits  with NBR  (TOFE)</v>
      </c>
      <c r="IE1208" s="495"/>
      <c r="IF1208" s="495"/>
      <c r="IG1208" s="495"/>
      <c r="IH1208" s="450">
        <f>+SUM(IH685:IH694)+IF(IH683&lt;0,IH683,0)</f>
        <v>-84.930197692731696</v>
      </c>
      <c r="II1208" s="450">
        <f>+IJ1208-IH1208</f>
        <v>96.997533078731692</v>
      </c>
      <c r="IJ1208" s="323">
        <f>+SUM(IJ685:IJ694)</f>
        <v>12.067335386</v>
      </c>
      <c r="IK1208" s="450">
        <f>+IK685+IK693+IK694++IF(IK683&lt;0,IK683,0)</f>
        <v>-114.88601400629895</v>
      </c>
      <c r="IL1208" s="450">
        <f>+IM1208-IK1208</f>
        <v>94.024751831298943</v>
      </c>
      <c r="IM1208" s="323">
        <f>+IM685+IM693+IM694</f>
        <v>-20.861262175</v>
      </c>
      <c r="IN1208" s="450">
        <f>+IN685+IN693+IN694++IF(IN683&lt;0,IN683,0)</f>
        <v>-33.1234926415</v>
      </c>
      <c r="IO1208" s="450">
        <f>+IP1208-IN1208</f>
        <v>25.0432657775</v>
      </c>
      <c r="IP1208" s="323">
        <f>+IP685+IP693+IP694</f>
        <v>-8.0802268640000001</v>
      </c>
      <c r="IQ1208" s="323"/>
      <c r="IR1208" s="323"/>
      <c r="IS1208" s="323">
        <f>+IS685+IS693+IS694</f>
        <v>-6.40430922</v>
      </c>
      <c r="IT1208" s="323"/>
      <c r="IU1208" s="323"/>
      <c r="IV1208" s="323">
        <f>+IV685+IV693+IV694</f>
        <v>-15.215586027000001</v>
      </c>
      <c r="KU1208" s="279"/>
    </row>
    <row r="1209" spans="1:307" ht="15.6">
      <c r="A1209" s="279"/>
      <c r="B1209" s="279"/>
      <c r="C1209" s="279"/>
      <c r="D1209" s="449" t="s">
        <v>664</v>
      </c>
      <c r="E1209" s="450"/>
      <c r="F1209" s="450"/>
      <c r="G1209" s="450"/>
      <c r="H1209" s="450"/>
      <c r="I1209" s="450"/>
      <c r="J1209" s="450"/>
      <c r="K1209" s="450"/>
      <c r="L1209" s="450"/>
      <c r="M1209" s="450"/>
      <c r="N1209" s="450"/>
      <c r="O1209" s="450"/>
      <c r="P1209" s="450"/>
      <c r="Q1209" s="450"/>
      <c r="R1209" s="450"/>
      <c r="S1209" s="450"/>
      <c r="T1209" s="450"/>
      <c r="U1209" s="450"/>
      <c r="V1209" s="450"/>
      <c r="W1209" s="450"/>
      <c r="X1209" s="450"/>
      <c r="Y1209" s="450"/>
      <c r="Z1209" s="450"/>
      <c r="AA1209" s="450"/>
      <c r="AB1209" s="450"/>
      <c r="AC1209" s="450"/>
      <c r="AD1209" s="450"/>
      <c r="AE1209" s="450"/>
      <c r="AF1209" s="450"/>
      <c r="AG1209" s="450"/>
      <c r="AH1209" s="450"/>
      <c r="AI1209" s="450"/>
      <c r="AJ1209" s="450"/>
      <c r="AK1209" s="450"/>
      <c r="AL1209" s="450"/>
      <c r="AM1209" s="450"/>
      <c r="AN1209" s="450"/>
      <c r="AO1209" s="450"/>
      <c r="AP1209" s="450"/>
      <c r="AQ1209" s="450"/>
      <c r="AR1209" s="450"/>
      <c r="AS1209" s="450"/>
      <c r="AT1209" s="450"/>
      <c r="AU1209" s="450"/>
      <c r="AV1209" s="450"/>
      <c r="AW1209" s="450"/>
      <c r="AX1209" s="450"/>
      <c r="AY1209" s="450"/>
      <c r="AZ1209" s="450"/>
      <c r="BA1209" s="450"/>
      <c r="BB1209" s="450"/>
      <c r="BC1209" s="450"/>
      <c r="BD1209" s="450"/>
      <c r="BE1209" s="450"/>
      <c r="BF1209" s="450"/>
      <c r="BG1209" s="450"/>
      <c r="BH1209" s="450"/>
      <c r="BI1209" s="450"/>
      <c r="BJ1209" s="450"/>
      <c r="BK1209" s="450"/>
      <c r="BL1209" s="450"/>
      <c r="BM1209" s="450"/>
      <c r="BN1209" s="450"/>
      <c r="BO1209" s="450"/>
      <c r="BP1209" s="450"/>
      <c r="BQ1209" s="450"/>
      <c r="BR1209" s="450"/>
      <c r="BS1209" s="450"/>
      <c r="BT1209" s="450"/>
      <c r="BU1209" s="450"/>
      <c r="BV1209" s="450"/>
      <c r="BW1209" s="450"/>
      <c r="BX1209" s="450"/>
      <c r="BY1209" s="450"/>
      <c r="BZ1209" s="450"/>
      <c r="CA1209" s="450"/>
      <c r="CB1209" s="450"/>
      <c r="CC1209" s="450"/>
      <c r="CD1209" s="450"/>
      <c r="CE1209" s="450"/>
      <c r="CF1209" s="450"/>
      <c r="CG1209" s="450"/>
      <c r="CH1209" s="450"/>
      <c r="CI1209" s="450"/>
      <c r="CJ1209" s="478"/>
      <c r="CK1209" s="450"/>
      <c r="CL1209" s="450"/>
      <c r="CM1209" s="450"/>
      <c r="CN1209" s="450"/>
      <c r="CO1209" s="450"/>
      <c r="CP1209" s="478"/>
      <c r="CQ1209" s="450"/>
      <c r="CR1209" s="450"/>
      <c r="CS1209" s="450"/>
      <c r="CT1209" s="450"/>
      <c r="CU1209" s="450"/>
      <c r="CV1209" s="478"/>
      <c r="CW1209" s="450"/>
      <c r="CX1209" s="450"/>
      <c r="CY1209" s="450"/>
      <c r="CZ1209" s="450"/>
      <c r="DA1209" s="450"/>
      <c r="DB1209" s="1317"/>
      <c r="DC1209" s="478"/>
      <c r="DD1209" s="478"/>
      <c r="DE1209" s="478"/>
      <c r="DF1209" s="478"/>
      <c r="DG1209" s="478"/>
      <c r="DH1209" s="478"/>
      <c r="DI1209" s="478"/>
      <c r="DJ1209" s="478"/>
      <c r="DK1209" s="478"/>
      <c r="DL1209" s="478"/>
      <c r="DM1209" s="478"/>
      <c r="DN1209" s="1335"/>
      <c r="DO1209" s="478"/>
      <c r="DP1209" s="478"/>
      <c r="DQ1209" s="478"/>
      <c r="DR1209" s="478"/>
      <c r="DS1209" s="478"/>
      <c r="DT1209" s="478"/>
      <c r="DU1209" s="478"/>
      <c r="DV1209" s="478"/>
      <c r="DW1209" s="478"/>
      <c r="DX1209" s="478"/>
      <c r="DY1209" s="478"/>
      <c r="DZ1209" s="1335"/>
      <c r="ID1209" s="495" t="str">
        <f t="shared" si="2407"/>
        <v>Net repayment (-)  of overdraft with NBR</v>
      </c>
      <c r="IE1209" s="495"/>
      <c r="IF1209" s="495"/>
      <c r="IG1209" s="495"/>
      <c r="IH1209" s="450">
        <v>0</v>
      </c>
      <c r="II1209" s="450">
        <v>0</v>
      </c>
      <c r="IJ1209" s="323">
        <v>0</v>
      </c>
      <c r="IK1209" s="450">
        <v>0</v>
      </c>
      <c r="IL1209" s="450">
        <v>0</v>
      </c>
      <c r="IM1209" s="323">
        <v>0</v>
      </c>
      <c r="IN1209" s="450">
        <v>0</v>
      </c>
      <c r="IO1209" s="450">
        <v>0</v>
      </c>
      <c r="IP1209" s="323">
        <v>0</v>
      </c>
      <c r="IQ1209" s="323"/>
      <c r="IR1209" s="323"/>
      <c r="IS1209" s="323">
        <v>0</v>
      </c>
      <c r="IT1209" s="323"/>
      <c r="IU1209" s="323"/>
      <c r="IV1209" s="323">
        <v>0</v>
      </c>
      <c r="KU1209" s="279"/>
    </row>
    <row r="1210" spans="1:307" ht="15.6">
      <c r="A1210" s="279"/>
      <c r="B1210" s="279"/>
      <c r="C1210" s="279"/>
      <c r="D1210" s="474" t="s">
        <v>665</v>
      </c>
      <c r="E1210" s="450"/>
      <c r="F1210" s="450"/>
      <c r="G1210" s="450"/>
      <c r="H1210" s="450"/>
      <c r="I1210" s="450"/>
      <c r="J1210" s="450"/>
      <c r="K1210" s="450"/>
      <c r="L1210" s="450"/>
      <c r="M1210" s="450"/>
      <c r="N1210" s="450"/>
      <c r="O1210" s="450"/>
      <c r="P1210" s="450"/>
      <c r="Q1210" s="450"/>
      <c r="R1210" s="450"/>
      <c r="S1210" s="450"/>
      <c r="T1210" s="450"/>
      <c r="U1210" s="450"/>
      <c r="V1210" s="450"/>
      <c r="W1210" s="450"/>
      <c r="X1210" s="450"/>
      <c r="Y1210" s="450"/>
      <c r="Z1210" s="450"/>
      <c r="AA1210" s="450"/>
      <c r="AB1210" s="450"/>
      <c r="AC1210" s="450"/>
      <c r="AD1210" s="450"/>
      <c r="AE1210" s="450"/>
      <c r="AF1210" s="450"/>
      <c r="AG1210" s="450"/>
      <c r="AH1210" s="450"/>
      <c r="AI1210" s="450"/>
      <c r="AJ1210" s="450"/>
      <c r="AK1210" s="450"/>
      <c r="AL1210" s="450"/>
      <c r="AM1210" s="450"/>
      <c r="AN1210" s="450"/>
      <c r="AO1210" s="450"/>
      <c r="AP1210" s="450"/>
      <c r="AQ1210" s="450"/>
      <c r="AR1210" s="450"/>
      <c r="AS1210" s="450"/>
      <c r="AT1210" s="450"/>
      <c r="AU1210" s="450"/>
      <c r="AV1210" s="450"/>
      <c r="AW1210" s="450"/>
      <c r="AX1210" s="450"/>
      <c r="AY1210" s="450"/>
      <c r="AZ1210" s="450"/>
      <c r="BA1210" s="450"/>
      <c r="BB1210" s="450"/>
      <c r="BC1210" s="450"/>
      <c r="BD1210" s="450"/>
      <c r="BE1210" s="450"/>
      <c r="BF1210" s="450"/>
      <c r="BG1210" s="450"/>
      <c r="BH1210" s="450"/>
      <c r="BI1210" s="450"/>
      <c r="BJ1210" s="450"/>
      <c r="BK1210" s="450"/>
      <c r="BL1210" s="450"/>
      <c r="BM1210" s="450"/>
      <c r="BN1210" s="450"/>
      <c r="BO1210" s="450"/>
      <c r="BP1210" s="450"/>
      <c r="BQ1210" s="450"/>
      <c r="BR1210" s="450"/>
      <c r="BS1210" s="450"/>
      <c r="BT1210" s="450"/>
      <c r="BU1210" s="450"/>
      <c r="BV1210" s="450"/>
      <c r="BW1210" s="450"/>
      <c r="BX1210" s="450"/>
      <c r="BY1210" s="450"/>
      <c r="BZ1210" s="450"/>
      <c r="CA1210" s="450"/>
      <c r="CB1210" s="450"/>
      <c r="CC1210" s="450"/>
      <c r="CD1210" s="450"/>
      <c r="CE1210" s="450"/>
      <c r="CF1210" s="450"/>
      <c r="CG1210" s="450"/>
      <c r="CH1210" s="450"/>
      <c r="CI1210" s="450"/>
      <c r="CJ1210" s="478"/>
      <c r="CK1210" s="450"/>
      <c r="CL1210" s="450"/>
      <c r="CM1210" s="450"/>
      <c r="CN1210" s="450"/>
      <c r="CO1210" s="450"/>
      <c r="CP1210" s="478"/>
      <c r="CQ1210" s="450"/>
      <c r="CR1210" s="450"/>
      <c r="CS1210" s="450"/>
      <c r="CT1210" s="450"/>
      <c r="CU1210" s="450"/>
      <c r="CV1210" s="478"/>
      <c r="CW1210" s="450"/>
      <c r="CX1210" s="450"/>
      <c r="CY1210" s="450"/>
      <c r="CZ1210" s="450"/>
      <c r="DA1210" s="450"/>
      <c r="DB1210" s="1317"/>
      <c r="DC1210" s="478"/>
      <c r="DD1210" s="478"/>
      <c r="DE1210" s="478"/>
      <c r="DF1210" s="478"/>
      <c r="DG1210" s="478"/>
      <c r="DH1210" s="478"/>
      <c r="DI1210" s="478"/>
      <c r="DJ1210" s="478"/>
      <c r="DK1210" s="478"/>
      <c r="DL1210" s="478"/>
      <c r="DM1210" s="478"/>
      <c r="DN1210" s="1335"/>
      <c r="DO1210" s="478"/>
      <c r="DP1210" s="478"/>
      <c r="DQ1210" s="478"/>
      <c r="DR1210" s="478"/>
      <c r="DS1210" s="478"/>
      <c r="DT1210" s="478"/>
      <c r="DU1210" s="478"/>
      <c r="DV1210" s="478"/>
      <c r="DW1210" s="478"/>
      <c r="DX1210" s="478"/>
      <c r="DY1210" s="478"/>
      <c r="DZ1210" s="1335"/>
      <c r="ID1210" s="495" t="str">
        <f t="shared" si="2407"/>
        <v>Net issuance securities to banks</v>
      </c>
      <c r="IE1210" s="495"/>
      <c r="IF1210" s="495"/>
      <c r="IG1210" s="495"/>
      <c r="IH1210" s="450">
        <f t="shared" ref="IH1210:IM1210" si="2410">+IH1207-IH1208-IH1209</f>
        <v>0</v>
      </c>
      <c r="II1210" s="450">
        <f t="shared" si="2410"/>
        <v>-9.9825925666950184</v>
      </c>
      <c r="IJ1210" s="323">
        <f>+IH1210+II1210</f>
        <v>-9.9825925666950184</v>
      </c>
      <c r="IK1210" s="450">
        <f t="shared" si="2410"/>
        <v>0</v>
      </c>
      <c r="IL1210" s="450">
        <f t="shared" si="2410"/>
        <v>35.489218258298905</v>
      </c>
      <c r="IM1210" s="323">
        <f t="shared" si="2410"/>
        <v>35.489218258298898</v>
      </c>
      <c r="IN1210" s="450">
        <f>+IN1207-IN1208-IN1209</f>
        <v>-50.209619054934201</v>
      </c>
      <c r="IO1210" s="450">
        <f>+IO1207-IO1208-IO1209</f>
        <v>107.12060760445821</v>
      </c>
      <c r="IP1210" s="323">
        <f>+IP1207-IP1208-IP1209</f>
        <v>56.910988549524006</v>
      </c>
      <c r="IQ1210" s="323"/>
      <c r="IR1210" s="323"/>
      <c r="IS1210" s="323">
        <f>+IS1207-IS1208-IS1209</f>
        <v>13.640917507921598</v>
      </c>
      <c r="IT1210" s="323"/>
      <c r="IU1210" s="323"/>
      <c r="IV1210" s="323">
        <f>+IV1207-IV1208-IV1209</f>
        <v>103.86791109002343</v>
      </c>
      <c r="KU1210" s="279"/>
    </row>
    <row r="1211" spans="1:307" ht="15.6">
      <c r="A1211" s="279"/>
      <c r="B1211" s="279"/>
      <c r="C1211" s="279"/>
      <c r="D1211" s="474"/>
      <c r="E1211" s="450"/>
      <c r="F1211" s="450"/>
      <c r="G1211" s="450"/>
      <c r="H1211" s="450"/>
      <c r="I1211" s="450"/>
      <c r="J1211" s="450"/>
      <c r="K1211" s="450"/>
      <c r="L1211" s="450"/>
      <c r="M1211" s="450"/>
      <c r="N1211" s="450"/>
      <c r="O1211" s="450"/>
      <c r="P1211" s="450"/>
      <c r="Q1211" s="450"/>
      <c r="R1211" s="450"/>
      <c r="S1211" s="450"/>
      <c r="T1211" s="450"/>
      <c r="U1211" s="450"/>
      <c r="V1211" s="450"/>
      <c r="W1211" s="450"/>
      <c r="X1211" s="450"/>
      <c r="Y1211" s="450"/>
      <c r="Z1211" s="450"/>
      <c r="AA1211" s="450"/>
      <c r="AB1211" s="450"/>
      <c r="AC1211" s="450"/>
      <c r="AD1211" s="450"/>
      <c r="AE1211" s="450"/>
      <c r="AF1211" s="450"/>
      <c r="AG1211" s="450"/>
      <c r="AH1211" s="450"/>
      <c r="AI1211" s="450"/>
      <c r="AJ1211" s="450"/>
      <c r="AK1211" s="450"/>
      <c r="AL1211" s="450"/>
      <c r="AM1211" s="450"/>
      <c r="AN1211" s="450"/>
      <c r="AO1211" s="450"/>
      <c r="AP1211" s="450"/>
      <c r="AQ1211" s="450"/>
      <c r="AR1211" s="450"/>
      <c r="AS1211" s="450"/>
      <c r="AT1211" s="450"/>
      <c r="AU1211" s="450"/>
      <c r="AV1211" s="450"/>
      <c r="AW1211" s="450"/>
      <c r="AX1211" s="450"/>
      <c r="AY1211" s="450"/>
      <c r="AZ1211" s="450"/>
      <c r="BA1211" s="450"/>
      <c r="BB1211" s="450"/>
      <c r="BC1211" s="450"/>
      <c r="BD1211" s="450"/>
      <c r="BE1211" s="450"/>
      <c r="BF1211" s="450"/>
      <c r="BG1211" s="450"/>
      <c r="BH1211" s="450"/>
      <c r="BI1211" s="450"/>
      <c r="BJ1211" s="450"/>
      <c r="BK1211" s="450"/>
      <c r="BL1211" s="450"/>
      <c r="BM1211" s="450"/>
      <c r="BN1211" s="450"/>
      <c r="BO1211" s="450"/>
      <c r="BP1211" s="450"/>
      <c r="BQ1211" s="450"/>
      <c r="BR1211" s="450"/>
      <c r="BS1211" s="450"/>
      <c r="BT1211" s="450"/>
      <c r="BU1211" s="450"/>
      <c r="BV1211" s="450"/>
      <c r="BW1211" s="450"/>
      <c r="BX1211" s="450"/>
      <c r="BY1211" s="450"/>
      <c r="BZ1211" s="450"/>
      <c r="CA1211" s="450"/>
      <c r="CB1211" s="450"/>
      <c r="CC1211" s="450"/>
      <c r="CD1211" s="450"/>
      <c r="CE1211" s="450"/>
      <c r="CF1211" s="450"/>
      <c r="CG1211" s="450"/>
      <c r="CH1211" s="450"/>
      <c r="CI1211" s="450"/>
      <c r="CJ1211" s="478"/>
      <c r="CK1211" s="450"/>
      <c r="CL1211" s="450"/>
      <c r="CM1211" s="450"/>
      <c r="CN1211" s="450"/>
      <c r="CO1211" s="450"/>
      <c r="CP1211" s="478"/>
      <c r="CQ1211" s="450"/>
      <c r="CR1211" s="450"/>
      <c r="CS1211" s="450"/>
      <c r="CT1211" s="450"/>
      <c r="CU1211" s="450"/>
      <c r="CV1211" s="478"/>
      <c r="CW1211" s="450"/>
      <c r="CX1211" s="450"/>
      <c r="CY1211" s="450"/>
      <c r="CZ1211" s="450"/>
      <c r="DA1211" s="450"/>
      <c r="DB1211" s="1317"/>
      <c r="DC1211" s="478"/>
      <c r="DD1211" s="478"/>
      <c r="DE1211" s="478"/>
      <c r="DF1211" s="478"/>
      <c r="DG1211" s="478"/>
      <c r="DH1211" s="478"/>
      <c r="DI1211" s="478"/>
      <c r="DJ1211" s="478"/>
      <c r="DK1211" s="478"/>
      <c r="DL1211" s="478"/>
      <c r="DM1211" s="478"/>
      <c r="DN1211" s="1335"/>
      <c r="DO1211" s="478"/>
      <c r="DP1211" s="478"/>
      <c r="DQ1211" s="478"/>
      <c r="DR1211" s="478"/>
      <c r="DS1211" s="478"/>
      <c r="DT1211" s="478"/>
      <c r="DU1211" s="478"/>
      <c r="DV1211" s="478"/>
      <c r="DW1211" s="478"/>
      <c r="DX1211" s="478"/>
      <c r="DY1211" s="478"/>
      <c r="DZ1211" s="1335"/>
      <c r="ID1211" s="619"/>
      <c r="IE1211" s="495"/>
      <c r="IF1211" s="495"/>
      <c r="IG1211" s="495"/>
      <c r="IH1211" s="450"/>
      <c r="II1211" s="450"/>
      <c r="IJ1211" s="323"/>
      <c r="IK1211" s="450"/>
      <c r="IL1211" s="450"/>
      <c r="IM1211" s="323"/>
      <c r="IN1211" s="450"/>
      <c r="IO1211" s="450"/>
      <c r="IP1211" s="323"/>
      <c r="IQ1211" s="323"/>
      <c r="IR1211" s="323"/>
      <c r="IS1211" s="323"/>
      <c r="IT1211" s="323"/>
      <c r="IU1211" s="323"/>
      <c r="IV1211" s="323"/>
      <c r="KU1211" s="279"/>
    </row>
    <row r="1212" spans="1:307" ht="15.6">
      <c r="A1212" s="279"/>
      <c r="B1212" s="279"/>
      <c r="C1212" s="279"/>
      <c r="D1212" s="474" t="s">
        <v>666</v>
      </c>
      <c r="E1212" s="450"/>
      <c r="F1212" s="450"/>
      <c r="G1212" s="450"/>
      <c r="H1212" s="450"/>
      <c r="I1212" s="450"/>
      <c r="J1212" s="450"/>
      <c r="K1212" s="450"/>
      <c r="L1212" s="450"/>
      <c r="M1212" s="450"/>
      <c r="N1212" s="450"/>
      <c r="O1212" s="450"/>
      <c r="P1212" s="450"/>
      <c r="Q1212" s="450"/>
      <c r="R1212" s="450"/>
      <c r="S1212" s="450"/>
      <c r="T1212" s="450"/>
      <c r="U1212" s="450"/>
      <c r="V1212" s="450"/>
      <c r="W1212" s="450"/>
      <c r="X1212" s="450"/>
      <c r="Y1212" s="450"/>
      <c r="Z1212" s="450"/>
      <c r="AA1212" s="450"/>
      <c r="AB1212" s="450"/>
      <c r="AC1212" s="450"/>
      <c r="AD1212" s="450"/>
      <c r="AE1212" s="450"/>
      <c r="AF1212" s="450"/>
      <c r="AG1212" s="450"/>
      <c r="AH1212" s="450"/>
      <c r="AI1212" s="450"/>
      <c r="AJ1212" s="450"/>
      <c r="AK1212" s="450"/>
      <c r="AL1212" s="450"/>
      <c r="AM1212" s="450"/>
      <c r="AN1212" s="450"/>
      <c r="AO1212" s="450"/>
      <c r="AP1212" s="450"/>
      <c r="AQ1212" s="450"/>
      <c r="AR1212" s="450"/>
      <c r="AS1212" s="450"/>
      <c r="AT1212" s="450"/>
      <c r="AU1212" s="450"/>
      <c r="AV1212" s="450"/>
      <c r="AW1212" s="450"/>
      <c r="AX1212" s="450"/>
      <c r="AY1212" s="450"/>
      <c r="AZ1212" s="450"/>
      <c r="BA1212" s="450"/>
      <c r="BB1212" s="450"/>
      <c r="BC1212" s="450"/>
      <c r="BD1212" s="450"/>
      <c r="BE1212" s="450"/>
      <c r="BF1212" s="450"/>
      <c r="BG1212" s="450"/>
      <c r="BH1212" s="450"/>
      <c r="BI1212" s="450"/>
      <c r="BJ1212" s="450"/>
      <c r="BK1212" s="450"/>
      <c r="BL1212" s="450"/>
      <c r="BM1212" s="450"/>
      <c r="BN1212" s="450"/>
      <c r="BO1212" s="450"/>
      <c r="BP1212" s="450"/>
      <c r="BQ1212" s="450"/>
      <c r="BR1212" s="450"/>
      <c r="BS1212" s="450"/>
      <c r="BT1212" s="450"/>
      <c r="BU1212" s="450"/>
      <c r="BV1212" s="450"/>
      <c r="BW1212" s="450"/>
      <c r="BX1212" s="450"/>
      <c r="BY1212" s="450"/>
      <c r="BZ1212" s="450"/>
      <c r="CA1212" s="450"/>
      <c r="CB1212" s="450"/>
      <c r="CC1212" s="450"/>
      <c r="CD1212" s="450"/>
      <c r="CE1212" s="450"/>
      <c r="CF1212" s="450"/>
      <c r="CG1212" s="450"/>
      <c r="CH1212" s="450"/>
      <c r="CI1212" s="450"/>
      <c r="CJ1212" s="450"/>
      <c r="CK1212" s="450"/>
      <c r="CL1212" s="450"/>
      <c r="CM1212" s="450"/>
      <c r="CN1212" s="450"/>
      <c r="CO1212" s="450"/>
      <c r="CP1212" s="450"/>
      <c r="CQ1212" s="450"/>
      <c r="CR1212" s="450"/>
      <c r="CS1212" s="450"/>
      <c r="CT1212" s="450"/>
      <c r="CU1212" s="450"/>
      <c r="CV1212" s="450"/>
      <c r="CW1212" s="450"/>
      <c r="CX1212" s="450"/>
      <c r="CY1212" s="450"/>
      <c r="CZ1212" s="450"/>
      <c r="DA1212" s="450"/>
      <c r="DB1212" s="1314"/>
      <c r="DC1212" s="478"/>
      <c r="DD1212" s="478"/>
      <c r="DE1212" s="478"/>
      <c r="DF1212" s="478"/>
      <c r="DG1212" s="478"/>
      <c r="DH1212" s="478"/>
      <c r="DI1212" s="478"/>
      <c r="DJ1212" s="478"/>
      <c r="DK1212" s="478"/>
      <c r="DL1212" s="478"/>
      <c r="DM1212" s="478"/>
      <c r="DN1212" s="1335"/>
      <c r="DO1212" s="478"/>
      <c r="DP1212" s="478"/>
      <c r="DQ1212" s="478"/>
      <c r="DR1212" s="478"/>
      <c r="DS1212" s="478"/>
      <c r="DT1212" s="478"/>
      <c r="DU1212" s="478"/>
      <c r="DV1212" s="478"/>
      <c r="DW1212" s="478"/>
      <c r="DX1212" s="478"/>
      <c r="DY1212" s="478"/>
      <c r="DZ1212" s="1335"/>
      <c r="ID1212" s="494" t="str">
        <f>+D1212</f>
        <v>Net nonbank financing  (TOFE)</v>
      </c>
      <c r="IE1212" s="495"/>
      <c r="IF1212" s="495"/>
      <c r="IG1212" s="495"/>
      <c r="IH1212" s="450">
        <f t="shared" ref="IH1212:IP1212" si="2411">+IH695</f>
        <v>7.3613834665954556</v>
      </c>
      <c r="II1212" s="450">
        <f t="shared" si="2411"/>
        <v>40.355975932894978</v>
      </c>
      <c r="IJ1212" s="323">
        <f t="shared" si="2411"/>
        <v>47.717359399490434</v>
      </c>
      <c r="IK1212" s="450">
        <f t="shared" si="2411"/>
        <v>39.520686259297236</v>
      </c>
      <c r="IL1212" s="450">
        <f t="shared" si="2411"/>
        <v>1.6691535307808563</v>
      </c>
      <c r="IM1212" s="323">
        <f t="shared" si="2411"/>
        <v>41.189839790078089</v>
      </c>
      <c r="IN1212" s="450">
        <f t="shared" si="2411"/>
        <v>-24.621827508577802</v>
      </c>
      <c r="IO1212" s="450">
        <f t="shared" si="2411"/>
        <v>18.748700555999868</v>
      </c>
      <c r="IP1212" s="323">
        <f t="shared" si="2411"/>
        <v>-5.8731269525779339</v>
      </c>
      <c r="IQ1212" s="323"/>
      <c r="IR1212" s="323"/>
      <c r="IS1212" s="323">
        <f>+IS695</f>
        <v>66.906675090999983</v>
      </c>
      <c r="IT1212" s="323"/>
      <c r="IU1212" s="323"/>
      <c r="IV1212" s="323">
        <f>+IV695</f>
        <v>0</v>
      </c>
      <c r="KU1212" s="279"/>
    </row>
    <row r="1213" spans="1:307" ht="15.6">
      <c r="A1213" s="279"/>
      <c r="B1213" s="279"/>
      <c r="C1213" s="279"/>
      <c r="D1213" s="449" t="s">
        <v>667</v>
      </c>
      <c r="E1213" s="450"/>
      <c r="F1213" s="450"/>
      <c r="G1213" s="450"/>
      <c r="H1213" s="450"/>
      <c r="I1213" s="450"/>
      <c r="J1213" s="450"/>
      <c r="K1213" s="450"/>
      <c r="L1213" s="450"/>
      <c r="M1213" s="450"/>
      <c r="N1213" s="450"/>
      <c r="O1213" s="450"/>
      <c r="P1213" s="450"/>
      <c r="Q1213" s="450"/>
      <c r="R1213" s="450"/>
      <c r="S1213" s="450"/>
      <c r="T1213" s="450"/>
      <c r="U1213" s="450"/>
      <c r="V1213" s="450"/>
      <c r="W1213" s="450"/>
      <c r="X1213" s="450"/>
      <c r="Y1213" s="450"/>
      <c r="Z1213" s="450"/>
      <c r="AA1213" s="450"/>
      <c r="AB1213" s="450"/>
      <c r="AC1213" s="450"/>
      <c r="AD1213" s="450"/>
      <c r="AE1213" s="450"/>
      <c r="AF1213" s="450"/>
      <c r="AG1213" s="450"/>
      <c r="AH1213" s="450"/>
      <c r="AI1213" s="450"/>
      <c r="AJ1213" s="450"/>
      <c r="AK1213" s="450"/>
      <c r="AL1213" s="450"/>
      <c r="AM1213" s="450"/>
      <c r="AN1213" s="450"/>
      <c r="AO1213" s="450"/>
      <c r="AP1213" s="450"/>
      <c r="AQ1213" s="450"/>
      <c r="AR1213" s="450"/>
      <c r="AS1213" s="450"/>
      <c r="AT1213" s="450"/>
      <c r="AU1213" s="450"/>
      <c r="AV1213" s="450"/>
      <c r="AW1213" s="450"/>
      <c r="AX1213" s="450"/>
      <c r="AY1213" s="450"/>
      <c r="AZ1213" s="450"/>
      <c r="BA1213" s="450"/>
      <c r="BB1213" s="450"/>
      <c r="BC1213" s="450"/>
      <c r="BD1213" s="450"/>
      <c r="BE1213" s="450"/>
      <c r="BF1213" s="450"/>
      <c r="BG1213" s="450"/>
      <c r="BH1213" s="450"/>
      <c r="BI1213" s="450"/>
      <c r="BJ1213" s="450"/>
      <c r="BK1213" s="450"/>
      <c r="BL1213" s="450"/>
      <c r="BM1213" s="450"/>
      <c r="BN1213" s="450"/>
      <c r="BO1213" s="450"/>
      <c r="BP1213" s="450"/>
      <c r="BQ1213" s="450"/>
      <c r="BR1213" s="450"/>
      <c r="BS1213" s="450"/>
      <c r="BT1213" s="450"/>
      <c r="BU1213" s="450"/>
      <c r="BV1213" s="450"/>
      <c r="BW1213" s="450"/>
      <c r="BX1213" s="450"/>
      <c r="BY1213" s="450"/>
      <c r="BZ1213" s="450"/>
      <c r="CA1213" s="450"/>
      <c r="CB1213" s="450"/>
      <c r="CC1213" s="450"/>
      <c r="CD1213" s="450"/>
      <c r="CE1213" s="450"/>
      <c r="CF1213" s="450"/>
      <c r="CG1213" s="450"/>
      <c r="CH1213" s="450"/>
      <c r="CI1213" s="450"/>
      <c r="CJ1213" s="450"/>
      <c r="CK1213" s="450"/>
      <c r="CL1213" s="450"/>
      <c r="CM1213" s="450"/>
      <c r="CN1213" s="450"/>
      <c r="CO1213" s="450"/>
      <c r="CP1213" s="450"/>
      <c r="CQ1213" s="450"/>
      <c r="CR1213" s="450"/>
      <c r="CS1213" s="450"/>
      <c r="CT1213" s="450"/>
      <c r="CU1213" s="450"/>
      <c r="CV1213" s="450"/>
      <c r="CW1213" s="450"/>
      <c r="CX1213" s="450"/>
      <c r="CY1213" s="450"/>
      <c r="CZ1213" s="450"/>
      <c r="DA1213" s="450"/>
      <c r="DB1213" s="1314"/>
      <c r="DC1213" s="478"/>
      <c r="DD1213" s="478"/>
      <c r="DE1213" s="478"/>
      <c r="DF1213" s="478"/>
      <c r="DG1213" s="478"/>
      <c r="DH1213" s="478"/>
      <c r="DI1213" s="478"/>
      <c r="DJ1213" s="478"/>
      <c r="DK1213" s="478"/>
      <c r="DL1213" s="478"/>
      <c r="DM1213" s="478"/>
      <c r="DN1213" s="1335"/>
      <c r="DO1213" s="478"/>
      <c r="DP1213" s="478"/>
      <c r="DQ1213" s="478"/>
      <c r="DR1213" s="478"/>
      <c r="DS1213" s="478"/>
      <c r="DT1213" s="478"/>
      <c r="DU1213" s="478"/>
      <c r="DV1213" s="478"/>
      <c r="DW1213" s="478"/>
      <c r="DX1213" s="478"/>
      <c r="DY1213" s="478"/>
      <c r="DZ1213" s="1335"/>
      <c r="ID1213" s="495" t="str">
        <f>+D1213</f>
        <v>Non Bank Sector Debt Repayment (-) (CHECK which domdebt repaid)</v>
      </c>
      <c r="IE1213" s="495"/>
      <c r="IF1213" s="495"/>
      <c r="IG1213" s="495"/>
      <c r="IH1213" s="450">
        <f t="shared" ref="IH1213:IP1213" si="2412">+IH699</f>
        <v>-9.4413165334045495</v>
      </c>
      <c r="II1213" s="450">
        <f t="shared" si="2412"/>
        <v>-2.098124067105005</v>
      </c>
      <c r="IJ1213" s="323">
        <f t="shared" si="2412"/>
        <v>-11.539440600509554</v>
      </c>
      <c r="IK1213" s="450">
        <f t="shared" si="2412"/>
        <v>-5.0235576622806848</v>
      </c>
      <c r="IL1213" s="450">
        <f t="shared" si="2412"/>
        <v>-6.7338464692191495</v>
      </c>
      <c r="IM1213" s="323">
        <f t="shared" si="2412"/>
        <v>-11.757404131499834</v>
      </c>
      <c r="IN1213" s="450">
        <f t="shared" si="2412"/>
        <v>-11.968683586999999</v>
      </c>
      <c r="IO1213" s="450">
        <f t="shared" si="2412"/>
        <v>-17.156799444000001</v>
      </c>
      <c r="IP1213" s="323">
        <f t="shared" si="2412"/>
        <v>-29.125483031000002</v>
      </c>
      <c r="IQ1213" s="323"/>
      <c r="IR1213" s="323"/>
      <c r="IS1213" s="323">
        <f>+IS699</f>
        <v>-48.510824908999993</v>
      </c>
      <c r="IT1213" s="323"/>
      <c r="IU1213" s="323"/>
      <c r="IV1213" s="323">
        <f>+IV699</f>
        <v>-49.792986081199999</v>
      </c>
      <c r="KU1213" s="279"/>
    </row>
    <row r="1214" spans="1:307" ht="15.6">
      <c r="A1214" s="279"/>
      <c r="B1214" s="279"/>
      <c r="C1214" s="279"/>
      <c r="D1214" s="474" t="s">
        <v>668</v>
      </c>
      <c r="E1214" s="450"/>
      <c r="F1214" s="450"/>
      <c r="G1214" s="450"/>
      <c r="H1214" s="450"/>
      <c r="I1214" s="450"/>
      <c r="J1214" s="450"/>
      <c r="K1214" s="450"/>
      <c r="L1214" s="450"/>
      <c r="M1214" s="450"/>
      <c r="N1214" s="450"/>
      <c r="O1214" s="450"/>
      <c r="P1214" s="450"/>
      <c r="Q1214" s="450"/>
      <c r="R1214" s="450"/>
      <c r="S1214" s="450"/>
      <c r="T1214" s="450"/>
      <c r="U1214" s="450"/>
      <c r="V1214" s="450"/>
      <c r="W1214" s="450"/>
      <c r="X1214" s="450"/>
      <c r="Y1214" s="450"/>
      <c r="Z1214" s="450"/>
      <c r="AA1214" s="450"/>
      <c r="AB1214" s="450"/>
      <c r="AC1214" s="450"/>
      <c r="AD1214" s="450"/>
      <c r="AE1214" s="450"/>
      <c r="AF1214" s="450"/>
      <c r="AG1214" s="450"/>
      <c r="AH1214" s="450"/>
      <c r="AI1214" s="450"/>
      <c r="AJ1214" s="450"/>
      <c r="AK1214" s="450"/>
      <c r="AL1214" s="450"/>
      <c r="AM1214" s="450"/>
      <c r="AN1214" s="450"/>
      <c r="AO1214" s="450"/>
      <c r="AP1214" s="450"/>
      <c r="AQ1214" s="450"/>
      <c r="AR1214" s="450"/>
      <c r="AS1214" s="450"/>
      <c r="AT1214" s="450"/>
      <c r="AU1214" s="450"/>
      <c r="AV1214" s="450"/>
      <c r="AW1214" s="450"/>
      <c r="AX1214" s="450"/>
      <c r="AY1214" s="450"/>
      <c r="AZ1214" s="450"/>
      <c r="BA1214" s="450"/>
      <c r="BB1214" s="450"/>
      <c r="BC1214" s="450"/>
      <c r="BD1214" s="450"/>
      <c r="BE1214" s="450"/>
      <c r="BF1214" s="450"/>
      <c r="BG1214" s="450"/>
      <c r="BH1214" s="450"/>
      <c r="BI1214" s="450"/>
      <c r="BJ1214" s="450"/>
      <c r="BK1214" s="450"/>
      <c r="BL1214" s="450"/>
      <c r="BM1214" s="450"/>
      <c r="BN1214" s="450"/>
      <c r="BO1214" s="450"/>
      <c r="BP1214" s="450"/>
      <c r="BQ1214" s="450"/>
      <c r="BR1214" s="450"/>
      <c r="BS1214" s="450"/>
      <c r="BT1214" s="450"/>
      <c r="BU1214" s="450"/>
      <c r="BV1214" s="450"/>
      <c r="BW1214" s="450"/>
      <c r="BX1214" s="450"/>
      <c r="BY1214" s="450"/>
      <c r="BZ1214" s="450"/>
      <c r="CA1214" s="450"/>
      <c r="CB1214" s="450"/>
      <c r="CC1214" s="450"/>
      <c r="CD1214" s="450"/>
      <c r="CE1214" s="450"/>
      <c r="CF1214" s="450"/>
      <c r="CG1214" s="450"/>
      <c r="CH1214" s="450"/>
      <c r="CI1214" s="450"/>
      <c r="CJ1214" s="450"/>
      <c r="CK1214" s="450"/>
      <c r="CL1214" s="450"/>
      <c r="CM1214" s="450"/>
      <c r="CN1214" s="450"/>
      <c r="CO1214" s="450"/>
      <c r="CP1214" s="450"/>
      <c r="CQ1214" s="450"/>
      <c r="CR1214" s="450"/>
      <c r="CS1214" s="450"/>
      <c r="CT1214" s="450"/>
      <c r="CU1214" s="450"/>
      <c r="CV1214" s="450"/>
      <c r="CW1214" s="450"/>
      <c r="CX1214" s="450"/>
      <c r="CY1214" s="450"/>
      <c r="CZ1214" s="450"/>
      <c r="DA1214" s="450"/>
      <c r="DB1214" s="1314"/>
      <c r="DC1214" s="478"/>
      <c r="DD1214" s="478"/>
      <c r="DE1214" s="478"/>
      <c r="DF1214" s="478"/>
      <c r="DG1214" s="478"/>
      <c r="DH1214" s="478"/>
      <c r="DI1214" s="478"/>
      <c r="DJ1214" s="478"/>
      <c r="DK1214" s="478"/>
      <c r="DL1214" s="478"/>
      <c r="DM1214" s="478"/>
      <c r="DN1214" s="1335"/>
      <c r="DO1214" s="478"/>
      <c r="DP1214" s="478"/>
      <c r="DQ1214" s="478"/>
      <c r="DR1214" s="478"/>
      <c r="DS1214" s="478"/>
      <c r="DT1214" s="478"/>
      <c r="DU1214" s="478"/>
      <c r="DV1214" s="478"/>
      <c r="DW1214" s="478"/>
      <c r="DX1214" s="478"/>
      <c r="DY1214" s="478"/>
      <c r="DZ1214" s="1335"/>
      <c r="ID1214" s="495" t="str">
        <f>+D1214</f>
        <v>Net  issuance securities non banks (CHECK  repayment excl securities)</v>
      </c>
      <c r="IE1214" s="495"/>
      <c r="IF1214" s="495"/>
      <c r="IG1214" s="495"/>
      <c r="IH1214" s="478">
        <f t="shared" ref="IH1214:IM1214" si="2413">+IH1212-IH1213</f>
        <v>16.802700000000005</v>
      </c>
      <c r="II1214" s="478">
        <f t="shared" si="2413"/>
        <v>42.454099999999983</v>
      </c>
      <c r="IJ1214" s="490">
        <f t="shared" si="2413"/>
        <v>59.256799999999984</v>
      </c>
      <c r="IK1214" s="478">
        <f t="shared" si="2413"/>
        <v>44.544243921577923</v>
      </c>
      <c r="IL1214" s="478">
        <f t="shared" si="2413"/>
        <v>8.4030000000000058</v>
      </c>
      <c r="IM1214" s="490">
        <f t="shared" si="2413"/>
        <v>52.947243921577922</v>
      </c>
      <c r="IN1214" s="478">
        <f>+IN1212-IN1213</f>
        <v>-12.653143921577803</v>
      </c>
      <c r="IO1214" s="478">
        <f>+IO1212-IO1213</f>
        <v>35.905499999999869</v>
      </c>
      <c r="IP1214" s="490">
        <f>+IP1212-IP1213</f>
        <v>23.252356078422068</v>
      </c>
      <c r="IQ1214" s="490"/>
      <c r="IR1214" s="490"/>
      <c r="IS1214" s="490">
        <f>+IS1212-IS1213</f>
        <v>115.41749999999998</v>
      </c>
      <c r="IT1214" s="490"/>
      <c r="IU1214" s="490"/>
      <c r="IV1214" s="490">
        <f>+IV1212-IV1213</f>
        <v>49.792986081199999</v>
      </c>
      <c r="KU1214" s="279"/>
    </row>
    <row r="1215" spans="1:307" ht="15.6">
      <c r="A1215" s="279"/>
      <c r="B1215" s="279"/>
      <c r="C1215" s="279"/>
      <c r="D1215" s="449"/>
      <c r="E1215" s="450"/>
      <c r="F1215" s="450"/>
      <c r="G1215" s="450"/>
      <c r="H1215" s="450"/>
      <c r="I1215" s="450"/>
      <c r="J1215" s="450"/>
      <c r="K1215" s="450"/>
      <c r="L1215" s="450"/>
      <c r="M1215" s="450"/>
      <c r="N1215" s="450"/>
      <c r="O1215" s="450"/>
      <c r="P1215" s="450"/>
      <c r="Q1215" s="450"/>
      <c r="R1215" s="450"/>
      <c r="S1215" s="450"/>
      <c r="T1215" s="450"/>
      <c r="U1215" s="450"/>
      <c r="V1215" s="450"/>
      <c r="W1215" s="450"/>
      <c r="X1215" s="450"/>
      <c r="Y1215" s="450"/>
      <c r="Z1215" s="450"/>
      <c r="AA1215" s="450"/>
      <c r="AB1215" s="450"/>
      <c r="AC1215" s="450"/>
      <c r="AD1215" s="450"/>
      <c r="AE1215" s="450"/>
      <c r="AF1215" s="450"/>
      <c r="AG1215" s="450"/>
      <c r="AH1215" s="450"/>
      <c r="AI1215" s="450"/>
      <c r="AJ1215" s="450"/>
      <c r="AK1215" s="450"/>
      <c r="AL1215" s="450"/>
      <c r="AM1215" s="450"/>
      <c r="AN1215" s="450"/>
      <c r="AO1215" s="450"/>
      <c r="AP1215" s="450"/>
      <c r="AQ1215" s="450"/>
      <c r="AR1215" s="450"/>
      <c r="AS1215" s="450"/>
      <c r="AT1215" s="450"/>
      <c r="AU1215" s="450"/>
      <c r="AV1215" s="450"/>
      <c r="AW1215" s="450"/>
      <c r="AX1215" s="450"/>
      <c r="AY1215" s="450"/>
      <c r="AZ1215" s="450"/>
      <c r="BA1215" s="450"/>
      <c r="BB1215" s="450"/>
      <c r="BC1215" s="450"/>
      <c r="BD1215" s="450"/>
      <c r="BE1215" s="450"/>
      <c r="BF1215" s="450"/>
      <c r="BG1215" s="450"/>
      <c r="BH1215" s="450"/>
      <c r="BI1215" s="450"/>
      <c r="BJ1215" s="450"/>
      <c r="BK1215" s="450"/>
      <c r="BL1215" s="450"/>
      <c r="BM1215" s="450"/>
      <c r="BN1215" s="450"/>
      <c r="BO1215" s="450"/>
      <c r="BP1215" s="450"/>
      <c r="BQ1215" s="450"/>
      <c r="BR1215" s="450"/>
      <c r="BS1215" s="450"/>
      <c r="BT1215" s="450"/>
      <c r="BU1215" s="450"/>
      <c r="BV1215" s="450"/>
      <c r="BW1215" s="450"/>
      <c r="BX1215" s="450"/>
      <c r="BY1215" s="450"/>
      <c r="BZ1215" s="450"/>
      <c r="CA1215" s="450"/>
      <c r="CB1215" s="450"/>
      <c r="CC1215" s="450"/>
      <c r="CD1215" s="450"/>
      <c r="CE1215" s="450"/>
      <c r="CF1215" s="450"/>
      <c r="CG1215" s="450"/>
      <c r="CH1215" s="450"/>
      <c r="CI1215" s="450"/>
      <c r="CJ1215" s="450"/>
      <c r="CK1215" s="450"/>
      <c r="CL1215" s="450"/>
      <c r="CM1215" s="450"/>
      <c r="CN1215" s="450"/>
      <c r="CO1215" s="450"/>
      <c r="CP1215" s="450"/>
      <c r="CQ1215" s="450"/>
      <c r="CR1215" s="450"/>
      <c r="CS1215" s="450"/>
      <c r="CT1215" s="450"/>
      <c r="CU1215" s="450"/>
      <c r="CV1215" s="450"/>
      <c r="CW1215" s="450"/>
      <c r="CX1215" s="450"/>
      <c r="CY1215" s="450"/>
      <c r="CZ1215" s="450"/>
      <c r="DA1215" s="450"/>
      <c r="DB1215" s="1314"/>
      <c r="DC1215" s="478"/>
      <c r="DD1215" s="478"/>
      <c r="DE1215" s="478"/>
      <c r="DF1215" s="478"/>
      <c r="DG1215" s="478"/>
      <c r="DH1215" s="478"/>
      <c r="DI1215" s="478"/>
      <c r="DJ1215" s="478"/>
      <c r="DK1215" s="478"/>
      <c r="DL1215" s="478"/>
      <c r="DM1215" s="478"/>
      <c r="DN1215" s="1335"/>
      <c r="DO1215" s="478"/>
      <c r="DP1215" s="478"/>
      <c r="DQ1215" s="478"/>
      <c r="DR1215" s="478"/>
      <c r="DS1215" s="478"/>
      <c r="DT1215" s="478"/>
      <c r="DU1215" s="478"/>
      <c r="DV1215" s="478"/>
      <c r="DW1215" s="478"/>
      <c r="DX1215" s="478"/>
      <c r="DY1215" s="478"/>
      <c r="DZ1215" s="1335"/>
      <c r="ID1215" s="619" t="s">
        <v>769</v>
      </c>
      <c r="IE1215" s="495"/>
      <c r="IF1215" s="495"/>
      <c r="IG1215" s="495"/>
      <c r="IH1215" s="620">
        <f>+IH1206-IH1207-IH1212</f>
        <v>0</v>
      </c>
      <c r="II1215" s="620">
        <f>+II1206-II1207-II1212</f>
        <v>0</v>
      </c>
      <c r="IJ1215" s="620">
        <f>+IJ700</f>
        <v>4.583386098461439</v>
      </c>
      <c r="IK1215" s="450"/>
      <c r="IL1215" s="450"/>
      <c r="IM1215" s="323"/>
      <c r="IN1215" s="450"/>
      <c r="IO1215" s="450"/>
      <c r="IP1215" s="323"/>
      <c r="IQ1215" s="323"/>
      <c r="IR1215" s="323"/>
      <c r="IS1215" s="323"/>
      <c r="IT1215" s="323"/>
      <c r="IU1215" s="323"/>
      <c r="IV1215" s="323"/>
      <c r="KU1215" s="279"/>
    </row>
    <row r="1216" spans="1:307" ht="15.6">
      <c r="A1216" s="279"/>
      <c r="B1216" s="279"/>
      <c r="C1216" s="279"/>
      <c r="D1216" s="524" t="s">
        <v>686</v>
      </c>
      <c r="E1216" s="450"/>
      <c r="F1216" s="450"/>
      <c r="G1216" s="450"/>
      <c r="H1216" s="450"/>
      <c r="I1216" s="450"/>
      <c r="J1216" s="450"/>
      <c r="K1216" s="450"/>
      <c r="L1216" s="450"/>
      <c r="M1216" s="450"/>
      <c r="N1216" s="450"/>
      <c r="O1216" s="450"/>
      <c r="P1216" s="450"/>
      <c r="Q1216" s="450"/>
      <c r="R1216" s="450"/>
      <c r="S1216" s="450"/>
      <c r="T1216" s="450"/>
      <c r="U1216" s="450"/>
      <c r="V1216" s="450"/>
      <c r="W1216" s="450"/>
      <c r="X1216" s="450"/>
      <c r="Y1216" s="450"/>
      <c r="Z1216" s="450"/>
      <c r="AA1216" s="450"/>
      <c r="AB1216" s="450"/>
      <c r="AC1216" s="450"/>
      <c r="AD1216" s="450"/>
      <c r="AE1216" s="450"/>
      <c r="AF1216" s="450"/>
      <c r="AG1216" s="450"/>
      <c r="AH1216" s="450"/>
      <c r="AI1216" s="450"/>
      <c r="AJ1216" s="450"/>
      <c r="AK1216" s="450"/>
      <c r="AL1216" s="450"/>
      <c r="AM1216" s="450"/>
      <c r="AN1216" s="450"/>
      <c r="AO1216" s="450"/>
      <c r="AP1216" s="450"/>
      <c r="AQ1216" s="450"/>
      <c r="AR1216" s="450"/>
      <c r="AS1216" s="450"/>
      <c r="AT1216" s="450"/>
      <c r="AU1216" s="450"/>
      <c r="AV1216" s="450"/>
      <c r="AW1216" s="450"/>
      <c r="AX1216" s="450"/>
      <c r="AY1216" s="450"/>
      <c r="AZ1216" s="450"/>
      <c r="BA1216" s="450"/>
      <c r="BB1216" s="450"/>
      <c r="BC1216" s="450"/>
      <c r="BD1216" s="450"/>
      <c r="BE1216" s="450"/>
      <c r="BF1216" s="450"/>
      <c r="BG1216" s="450"/>
      <c r="BH1216" s="450"/>
      <c r="BI1216" s="450"/>
      <c r="BJ1216" s="450"/>
      <c r="BK1216" s="450"/>
      <c r="BL1216" s="450"/>
      <c r="BM1216" s="450"/>
      <c r="BN1216" s="450"/>
      <c r="BO1216" s="450"/>
      <c r="BP1216" s="450"/>
      <c r="BQ1216" s="450"/>
      <c r="BR1216" s="450"/>
      <c r="BS1216" s="450"/>
      <c r="BT1216" s="450"/>
      <c r="BU1216" s="450"/>
      <c r="BV1216" s="450"/>
      <c r="BW1216" s="450"/>
      <c r="BX1216" s="450"/>
      <c r="BY1216" s="450"/>
      <c r="BZ1216" s="450"/>
      <c r="CA1216" s="450"/>
      <c r="CB1216" s="450"/>
      <c r="CC1216" s="450"/>
      <c r="CD1216" s="450"/>
      <c r="CE1216" s="450"/>
      <c r="CF1216" s="450"/>
      <c r="CG1216" s="450"/>
      <c r="CH1216" s="450"/>
      <c r="CI1216" s="450"/>
      <c r="CJ1216" s="450"/>
      <c r="CK1216" s="450"/>
      <c r="CL1216" s="450"/>
      <c r="CM1216" s="450"/>
      <c r="CN1216" s="450"/>
      <c r="CO1216" s="450"/>
      <c r="CP1216" s="450"/>
      <c r="CQ1216" s="450"/>
      <c r="CR1216" s="450"/>
      <c r="CS1216" s="450"/>
      <c r="CT1216" s="450"/>
      <c r="CU1216" s="450"/>
      <c r="CV1216" s="450"/>
      <c r="CW1216" s="450"/>
      <c r="CX1216" s="450"/>
      <c r="CY1216" s="450"/>
      <c r="CZ1216" s="450"/>
      <c r="DA1216" s="450"/>
      <c r="DB1216" s="1314"/>
      <c r="DC1216" s="478"/>
      <c r="DD1216" s="478"/>
      <c r="DE1216" s="478"/>
      <c r="DF1216" s="478"/>
      <c r="DG1216" s="478"/>
      <c r="DH1216" s="478"/>
      <c r="DI1216" s="478"/>
      <c r="DJ1216" s="478"/>
      <c r="DK1216" s="478"/>
      <c r="DL1216" s="478"/>
      <c r="DM1216" s="478"/>
      <c r="DN1216" s="1335"/>
      <c r="DO1216" s="478"/>
      <c r="DP1216" s="478"/>
      <c r="DQ1216" s="478"/>
      <c r="DR1216" s="478"/>
      <c r="DS1216" s="478"/>
      <c r="DT1216" s="478"/>
      <c r="DU1216" s="478"/>
      <c r="DV1216" s="478"/>
      <c r="DW1216" s="478"/>
      <c r="DX1216" s="478"/>
      <c r="DY1216" s="478"/>
      <c r="DZ1216" s="1335"/>
      <c r="ID1216" s="521" t="str">
        <f>+D1216</f>
        <v>Total net issuance securities banks &amp; nonbanks</v>
      </c>
      <c r="IE1216" s="495"/>
      <c r="IF1216" s="495"/>
      <c r="IG1216" s="495"/>
      <c r="IH1216" s="523">
        <f t="shared" ref="IH1216:IM1216" si="2414">+IH1210+IH1214</f>
        <v>16.802700000000005</v>
      </c>
      <c r="II1216" s="523">
        <f t="shared" si="2414"/>
        <v>32.471507433304964</v>
      </c>
      <c r="IJ1216" s="491">
        <f t="shared" si="2414"/>
        <v>49.274207433304966</v>
      </c>
      <c r="IK1216" s="523">
        <f t="shared" si="2414"/>
        <v>44.544243921577923</v>
      </c>
      <c r="IL1216" s="523">
        <f t="shared" si="2414"/>
        <v>43.892218258298911</v>
      </c>
      <c r="IM1216" s="491">
        <f t="shared" si="2414"/>
        <v>88.436462179876827</v>
      </c>
      <c r="IN1216" s="523">
        <f>+IN1210+IN1214</f>
        <v>-62.862762976512002</v>
      </c>
      <c r="IO1216" s="523">
        <f>+IO1210+IO1214</f>
        <v>143.02610760445808</v>
      </c>
      <c r="IP1216" s="491">
        <f>+IP1210+IP1214</f>
        <v>80.163344627946074</v>
      </c>
      <c r="IQ1216" s="491"/>
      <c r="IR1216" s="491"/>
      <c r="IS1216" s="491">
        <f>+IS1210+IS1214</f>
        <v>129.05841750792158</v>
      </c>
      <c r="IT1216" s="491"/>
      <c r="IU1216" s="491"/>
      <c r="IV1216" s="491">
        <f>+IV1210+IV1214</f>
        <v>153.66089717122344</v>
      </c>
      <c r="KU1216" s="279"/>
    </row>
    <row r="1217" spans="1:307" ht="15.6">
      <c r="A1217" s="279"/>
      <c r="B1217" s="279"/>
      <c r="C1217" s="279"/>
      <c r="D1217" s="449" t="s">
        <v>690</v>
      </c>
      <c r="E1217" s="450"/>
      <c r="F1217" s="450"/>
      <c r="G1217" s="450"/>
      <c r="H1217" s="450"/>
      <c r="I1217" s="450"/>
      <c r="J1217" s="450"/>
      <c r="K1217" s="450"/>
      <c r="L1217" s="450"/>
      <c r="M1217" s="450"/>
      <c r="N1217" s="450"/>
      <c r="O1217" s="450"/>
      <c r="P1217" s="450"/>
      <c r="Q1217" s="450"/>
      <c r="R1217" s="450"/>
      <c r="S1217" s="450"/>
      <c r="T1217" s="450"/>
      <c r="U1217" s="450"/>
      <c r="V1217" s="450"/>
      <c r="W1217" s="450"/>
      <c r="X1217" s="450"/>
      <c r="Y1217" s="450"/>
      <c r="Z1217" s="450"/>
      <c r="AA1217" s="450"/>
      <c r="AB1217" s="450"/>
      <c r="AC1217" s="450"/>
      <c r="AD1217" s="450"/>
      <c r="AE1217" s="450"/>
      <c r="AF1217" s="450"/>
      <c r="AG1217" s="450"/>
      <c r="AH1217" s="450"/>
      <c r="AI1217" s="450"/>
      <c r="AJ1217" s="450"/>
      <c r="AK1217" s="450"/>
      <c r="AL1217" s="450"/>
      <c r="AM1217" s="450"/>
      <c r="AN1217" s="450"/>
      <c r="AO1217" s="450"/>
      <c r="AP1217" s="450"/>
      <c r="AQ1217" s="450"/>
      <c r="AR1217" s="450"/>
      <c r="AS1217" s="450"/>
      <c r="AT1217" s="450"/>
      <c r="AU1217" s="450"/>
      <c r="AV1217" s="450"/>
      <c r="AW1217" s="450"/>
      <c r="AX1217" s="450"/>
      <c r="AY1217" s="450"/>
      <c r="AZ1217" s="450"/>
      <c r="BA1217" s="450"/>
      <c r="BB1217" s="450"/>
      <c r="BC1217" s="450"/>
      <c r="BD1217" s="450"/>
      <c r="BE1217" s="450"/>
      <c r="BF1217" s="450"/>
      <c r="BG1217" s="450"/>
      <c r="BH1217" s="450"/>
      <c r="BI1217" s="450"/>
      <c r="BJ1217" s="450"/>
      <c r="BK1217" s="450"/>
      <c r="BL1217" s="450"/>
      <c r="BM1217" s="450"/>
      <c r="BN1217" s="450"/>
      <c r="BO1217" s="450"/>
      <c r="BP1217" s="450"/>
      <c r="BQ1217" s="450"/>
      <c r="BR1217" s="450"/>
      <c r="BS1217" s="450"/>
      <c r="BT1217" s="450"/>
      <c r="BU1217" s="450"/>
      <c r="BV1217" s="450"/>
      <c r="BW1217" s="450"/>
      <c r="BX1217" s="450"/>
      <c r="BY1217" s="450"/>
      <c r="BZ1217" s="450"/>
      <c r="CA1217" s="450"/>
      <c r="CB1217" s="450"/>
      <c r="CC1217" s="450"/>
      <c r="CD1217" s="450"/>
      <c r="CE1217" s="450"/>
      <c r="CF1217" s="450"/>
      <c r="CG1217" s="450"/>
      <c r="CH1217" s="450"/>
      <c r="CI1217" s="450"/>
      <c r="CJ1217" s="450"/>
      <c r="CK1217" s="450"/>
      <c r="CL1217" s="450"/>
      <c r="CM1217" s="450"/>
      <c r="CN1217" s="450"/>
      <c r="CO1217" s="450"/>
      <c r="CP1217" s="450"/>
      <c r="CQ1217" s="450"/>
      <c r="CR1217" s="450"/>
      <c r="CS1217" s="450"/>
      <c r="CT1217" s="450"/>
      <c r="CU1217" s="450"/>
      <c r="CV1217" s="450"/>
      <c r="CW1217" s="450"/>
      <c r="CX1217" s="450"/>
      <c r="CY1217" s="450"/>
      <c r="CZ1217" s="450"/>
      <c r="DA1217" s="450"/>
      <c r="DB1217" s="1314"/>
      <c r="DC1217" s="478"/>
      <c r="DD1217" s="478"/>
      <c r="DE1217" s="478"/>
      <c r="DF1217" s="478"/>
      <c r="DG1217" s="478"/>
      <c r="DH1217" s="478"/>
      <c r="DI1217" s="478"/>
      <c r="DJ1217" s="478"/>
      <c r="DK1217" s="478"/>
      <c r="DL1217" s="478"/>
      <c r="DM1217" s="478"/>
      <c r="DN1217" s="1335"/>
      <c r="DO1217" s="478"/>
      <c r="DP1217" s="478"/>
      <c r="DQ1217" s="478"/>
      <c r="DR1217" s="478"/>
      <c r="DS1217" s="478"/>
      <c r="DT1217" s="478"/>
      <c r="DU1217" s="478"/>
      <c r="DV1217" s="478"/>
      <c r="DW1217" s="478"/>
      <c r="DX1217" s="478"/>
      <c r="DY1217" s="478"/>
      <c r="DZ1217" s="1335"/>
      <c r="ID1217" s="495" t="str">
        <f>+D1217</f>
        <v>Financing gap/errors&amp; omissions in TOFE  (after correction)</v>
      </c>
      <c r="IE1217" s="495"/>
      <c r="IF1217" s="495"/>
      <c r="IG1217" s="495"/>
      <c r="IH1217" s="450"/>
      <c r="II1217" s="450"/>
      <c r="IJ1217" s="323">
        <f>+IJ1215</f>
        <v>4.583386098461439</v>
      </c>
      <c r="IK1217" s="495"/>
      <c r="IL1217" s="495"/>
      <c r="IM1217" s="323"/>
      <c r="IN1217" s="495"/>
      <c r="IO1217" s="495"/>
      <c r="IP1217" s="323"/>
      <c r="IQ1217" s="323"/>
      <c r="IR1217" s="323"/>
      <c r="IS1217" s="323"/>
      <c r="IT1217" s="323"/>
      <c r="IU1217" s="323"/>
      <c r="IV1217" s="323"/>
      <c r="KU1217" s="279"/>
    </row>
    <row r="1218" spans="1:307" ht="15.6">
      <c r="A1218" s="279"/>
      <c r="B1218" s="279"/>
      <c r="C1218" s="279"/>
      <c r="D1218" s="449"/>
      <c r="E1218" s="450"/>
      <c r="F1218" s="450"/>
      <c r="G1218" s="450"/>
      <c r="H1218" s="450"/>
      <c r="I1218" s="450"/>
      <c r="J1218" s="450"/>
      <c r="K1218" s="450"/>
      <c r="L1218" s="450"/>
      <c r="M1218" s="450"/>
      <c r="N1218" s="450"/>
      <c r="O1218" s="450"/>
      <c r="P1218" s="450"/>
      <c r="Q1218" s="450"/>
      <c r="R1218" s="450"/>
      <c r="S1218" s="450"/>
      <c r="T1218" s="450"/>
      <c r="U1218" s="450"/>
      <c r="V1218" s="450"/>
      <c r="W1218" s="450"/>
      <c r="X1218" s="450"/>
      <c r="Y1218" s="450"/>
      <c r="Z1218" s="450"/>
      <c r="AA1218" s="450"/>
      <c r="AB1218" s="450"/>
      <c r="AC1218" s="450"/>
      <c r="AD1218" s="450"/>
      <c r="AE1218" s="450"/>
      <c r="AF1218" s="450"/>
      <c r="AG1218" s="450"/>
      <c r="AH1218" s="450"/>
      <c r="AI1218" s="450"/>
      <c r="AJ1218" s="450"/>
      <c r="AK1218" s="450"/>
      <c r="AL1218" s="450"/>
      <c r="AM1218" s="450"/>
      <c r="AN1218" s="450"/>
      <c r="AO1218" s="450"/>
      <c r="AP1218" s="450"/>
      <c r="AQ1218" s="450"/>
      <c r="AR1218" s="450"/>
      <c r="AS1218" s="450"/>
      <c r="AT1218" s="450"/>
      <c r="AU1218" s="450"/>
      <c r="AV1218" s="450"/>
      <c r="AW1218" s="450"/>
      <c r="AX1218" s="450"/>
      <c r="AY1218" s="450"/>
      <c r="AZ1218" s="450"/>
      <c r="BA1218" s="450"/>
      <c r="BB1218" s="450"/>
      <c r="BC1218" s="450"/>
      <c r="BD1218" s="450"/>
      <c r="BE1218" s="450"/>
      <c r="BF1218" s="450"/>
      <c r="BG1218" s="450"/>
      <c r="BH1218" s="450"/>
      <c r="BI1218" s="450"/>
      <c r="BJ1218" s="450"/>
      <c r="BK1218" s="450"/>
      <c r="BL1218" s="450"/>
      <c r="BM1218" s="450"/>
      <c r="BN1218" s="450"/>
      <c r="BO1218" s="450"/>
      <c r="BP1218" s="450"/>
      <c r="BQ1218" s="450"/>
      <c r="BR1218" s="450"/>
      <c r="BS1218" s="450"/>
      <c r="BT1218" s="450"/>
      <c r="BU1218" s="450"/>
      <c r="BV1218" s="450"/>
      <c r="BW1218" s="450"/>
      <c r="BX1218" s="450"/>
      <c r="BY1218" s="450"/>
      <c r="BZ1218" s="450"/>
      <c r="CA1218" s="450"/>
      <c r="CB1218" s="450"/>
      <c r="CC1218" s="450"/>
      <c r="CD1218" s="450"/>
      <c r="CE1218" s="450"/>
      <c r="CF1218" s="450"/>
      <c r="CG1218" s="450"/>
      <c r="CH1218" s="450"/>
      <c r="CI1218" s="450"/>
      <c r="CJ1218" s="450"/>
      <c r="CK1218" s="450"/>
      <c r="CL1218" s="450"/>
      <c r="CM1218" s="450"/>
      <c r="CN1218" s="450"/>
      <c r="CO1218" s="450"/>
      <c r="CP1218" s="450"/>
      <c r="CQ1218" s="450"/>
      <c r="CR1218" s="450"/>
      <c r="CS1218" s="450"/>
      <c r="CT1218" s="450"/>
      <c r="CU1218" s="450"/>
      <c r="CV1218" s="450"/>
      <c r="CW1218" s="450"/>
      <c r="CX1218" s="450"/>
      <c r="CY1218" s="450"/>
      <c r="CZ1218" s="450"/>
      <c r="DA1218" s="450"/>
      <c r="DB1218" s="1314"/>
      <c r="DC1218" s="478"/>
      <c r="DD1218" s="478"/>
      <c r="DE1218" s="478"/>
      <c r="DF1218" s="478"/>
      <c r="DG1218" s="478"/>
      <c r="DH1218" s="478"/>
      <c r="DI1218" s="478"/>
      <c r="DJ1218" s="478"/>
      <c r="DK1218" s="478"/>
      <c r="DL1218" s="478"/>
      <c r="DM1218" s="478"/>
      <c r="DN1218" s="1335"/>
      <c r="DO1218" s="478"/>
      <c r="DP1218" s="478"/>
      <c r="DQ1218" s="478"/>
      <c r="DR1218" s="478"/>
      <c r="DS1218" s="478"/>
      <c r="DT1218" s="478"/>
      <c r="DU1218" s="478"/>
      <c r="DV1218" s="478"/>
      <c r="DW1218" s="478"/>
      <c r="DX1218" s="478"/>
      <c r="DY1218" s="478"/>
      <c r="DZ1218" s="1335"/>
      <c r="ID1218" s="621" t="s">
        <v>771</v>
      </c>
      <c r="IE1218" s="495"/>
      <c r="IF1218" s="495"/>
      <c r="IG1218" s="495"/>
      <c r="IH1218" s="450"/>
      <c r="II1218" s="450"/>
      <c r="IJ1218" s="323"/>
      <c r="IK1218" s="621">
        <f>+II1216+IK1216</f>
        <v>77.015751354882894</v>
      </c>
      <c r="IL1218" s="495"/>
      <c r="IM1218" s="323"/>
      <c r="IN1218" s="621">
        <f>+IL1216+IN1216</f>
        <v>-18.970544718213091</v>
      </c>
      <c r="IO1218" s="495"/>
      <c r="IP1218" s="323"/>
      <c r="IQ1218" s="323"/>
      <c r="IR1218" s="323"/>
      <c r="IS1218" s="323"/>
      <c r="IT1218" s="323"/>
      <c r="IU1218" s="323"/>
      <c r="IV1218" s="323"/>
      <c r="KU1218" s="279"/>
    </row>
    <row r="1219" spans="1:307" ht="15.6">
      <c r="A1219" s="279"/>
      <c r="B1219" s="279"/>
      <c r="C1219" s="279"/>
      <c r="D1219" s="474" t="s">
        <v>673</v>
      </c>
      <c r="E1219" s="450"/>
      <c r="F1219" s="450"/>
      <c r="G1219" s="450"/>
      <c r="H1219" s="450"/>
      <c r="I1219" s="450"/>
      <c r="J1219" s="450"/>
      <c r="K1219" s="450"/>
      <c r="L1219" s="450"/>
      <c r="M1219" s="450"/>
      <c r="N1219" s="450"/>
      <c r="O1219" s="450"/>
      <c r="P1219" s="450"/>
      <c r="Q1219" s="450"/>
      <c r="R1219" s="450"/>
      <c r="S1219" s="450"/>
      <c r="T1219" s="450"/>
      <c r="U1219" s="450"/>
      <c r="V1219" s="450"/>
      <c r="W1219" s="450"/>
      <c r="X1219" s="450"/>
      <c r="Y1219" s="450"/>
      <c r="Z1219" s="450"/>
      <c r="AA1219" s="450"/>
      <c r="AB1219" s="450"/>
      <c r="AC1219" s="450"/>
      <c r="AD1219" s="450"/>
      <c r="AE1219" s="450"/>
      <c r="AF1219" s="450"/>
      <c r="AG1219" s="450"/>
      <c r="AH1219" s="450"/>
      <c r="AI1219" s="450"/>
      <c r="AJ1219" s="450"/>
      <c r="AK1219" s="450"/>
      <c r="AL1219" s="450"/>
      <c r="AM1219" s="450"/>
      <c r="AN1219" s="450"/>
      <c r="AO1219" s="450"/>
      <c r="AP1219" s="450"/>
      <c r="AQ1219" s="450"/>
      <c r="AR1219" s="450"/>
      <c r="AS1219" s="450"/>
      <c r="AT1219" s="450"/>
      <c r="AU1219" s="450"/>
      <c r="AV1219" s="450"/>
      <c r="AW1219" s="450"/>
      <c r="AX1219" s="450"/>
      <c r="AY1219" s="450"/>
      <c r="AZ1219" s="450"/>
      <c r="BA1219" s="450"/>
      <c r="BB1219" s="450"/>
      <c r="BC1219" s="450"/>
      <c r="BD1219" s="450"/>
      <c r="BE1219" s="450"/>
      <c r="BF1219" s="450"/>
      <c r="BG1219" s="450"/>
      <c r="BH1219" s="450"/>
      <c r="BI1219" s="450"/>
      <c r="BJ1219" s="450"/>
      <c r="BK1219" s="450"/>
      <c r="BL1219" s="450"/>
      <c r="BM1219" s="450"/>
      <c r="BN1219" s="450"/>
      <c r="BO1219" s="450"/>
      <c r="BP1219" s="450"/>
      <c r="BQ1219" s="450"/>
      <c r="BR1219" s="450"/>
      <c r="BS1219" s="450"/>
      <c r="BT1219" s="450"/>
      <c r="BU1219" s="450"/>
      <c r="BV1219" s="450"/>
      <c r="BW1219" s="450"/>
      <c r="BX1219" s="450"/>
      <c r="BY1219" s="450"/>
      <c r="BZ1219" s="450"/>
      <c r="CA1219" s="450"/>
      <c r="CB1219" s="450"/>
      <c r="CC1219" s="450"/>
      <c r="CD1219" s="450"/>
      <c r="CE1219" s="450"/>
      <c r="CF1219" s="450"/>
      <c r="CG1219" s="450"/>
      <c r="CH1219" s="450"/>
      <c r="CI1219" s="450"/>
      <c r="CJ1219" s="450"/>
      <c r="CK1219" s="450"/>
      <c r="CL1219" s="450"/>
      <c r="CM1219" s="450"/>
      <c r="CN1219" s="450"/>
      <c r="CO1219" s="450"/>
      <c r="CP1219" s="450"/>
      <c r="CQ1219" s="450"/>
      <c r="CR1219" s="450"/>
      <c r="CS1219" s="450"/>
      <c r="CT1219" s="450"/>
      <c r="CU1219" s="450"/>
      <c r="CV1219" s="450"/>
      <c r="CW1219" s="450"/>
      <c r="CX1219" s="450"/>
      <c r="CY1219" s="450"/>
      <c r="CZ1219" s="450"/>
      <c r="DA1219" s="450"/>
      <c r="DB1219" s="1314"/>
      <c r="DC1219" s="478"/>
      <c r="DD1219" s="478"/>
      <c r="DE1219" s="478"/>
      <c r="DF1219" s="478"/>
      <c r="DG1219" s="478"/>
      <c r="DH1219" s="478"/>
      <c r="DI1219" s="478"/>
      <c r="DJ1219" s="478"/>
      <c r="DK1219" s="478"/>
      <c r="DL1219" s="478"/>
      <c r="DM1219" s="478"/>
      <c r="DN1219" s="1335"/>
      <c r="DO1219" s="478"/>
      <c r="DP1219" s="478"/>
      <c r="DQ1219" s="478"/>
      <c r="DR1219" s="478"/>
      <c r="DS1219" s="478"/>
      <c r="DT1219" s="478"/>
      <c r="DU1219" s="478"/>
      <c r="DV1219" s="478"/>
      <c r="DW1219" s="478"/>
      <c r="DX1219" s="478"/>
      <c r="DY1219" s="478"/>
      <c r="DZ1219" s="1335"/>
      <c r="ID1219" s="521" t="str">
        <f>+D1219</f>
        <v>Total net issuance securities (non)banks if gap financed domestically</v>
      </c>
      <c r="IE1219" s="495"/>
      <c r="IF1219" s="495"/>
      <c r="IG1219" s="495"/>
      <c r="IH1219" s="450"/>
      <c r="II1219" s="450"/>
      <c r="IJ1219" s="491">
        <f>+IJ1216</f>
        <v>49.274207433304966</v>
      </c>
      <c r="IK1219" s="495"/>
      <c r="IL1219" s="495"/>
      <c r="IM1219" s="491">
        <f>+IM1216</f>
        <v>88.436462179876827</v>
      </c>
      <c r="IN1219" s="495"/>
      <c r="IO1219" s="495"/>
      <c r="IP1219" s="491">
        <f>+IP1216</f>
        <v>80.163344627946074</v>
      </c>
      <c r="IQ1219" s="491"/>
      <c r="IR1219" s="491"/>
      <c r="IS1219" s="491">
        <f>+IS1216</f>
        <v>129.05841750792158</v>
      </c>
      <c r="IT1219" s="491"/>
      <c r="IU1219" s="491"/>
      <c r="IV1219" s="491">
        <f>+IV1216</f>
        <v>153.66089717122344</v>
      </c>
      <c r="KU1219" s="279"/>
    </row>
    <row r="1220" spans="1:307" ht="15.6">
      <c r="A1220" s="279"/>
      <c r="B1220" s="279"/>
      <c r="C1220" s="279"/>
      <c r="D1220" s="474"/>
      <c r="E1220" s="450"/>
      <c r="F1220" s="450"/>
      <c r="G1220" s="450"/>
      <c r="H1220" s="450"/>
      <c r="I1220" s="450"/>
      <c r="J1220" s="450"/>
      <c r="K1220" s="450"/>
      <c r="L1220" s="450"/>
      <c r="M1220" s="450"/>
      <c r="N1220" s="450"/>
      <c r="O1220" s="450"/>
      <c r="P1220" s="450"/>
      <c r="Q1220" s="450"/>
      <c r="R1220" s="450"/>
      <c r="S1220" s="450"/>
      <c r="T1220" s="450"/>
      <c r="U1220" s="450"/>
      <c r="V1220" s="450"/>
      <c r="W1220" s="450"/>
      <c r="X1220" s="450"/>
      <c r="Y1220" s="450"/>
      <c r="Z1220" s="450"/>
      <c r="AA1220" s="450"/>
      <c r="AB1220" s="450"/>
      <c r="AC1220" s="450"/>
      <c r="AD1220" s="450"/>
      <c r="AE1220" s="450"/>
      <c r="AF1220" s="450"/>
      <c r="AG1220" s="450"/>
      <c r="AH1220" s="323">
        <f t="shared" ref="AH1220:AM1220" si="2415">AH684</f>
        <v>0</v>
      </c>
      <c r="AI1220" s="323">
        <f t="shared" si="2415"/>
        <v>0</v>
      </c>
      <c r="AJ1220" s="323">
        <f t="shared" si="2415"/>
        <v>0</v>
      </c>
      <c r="AK1220" s="323">
        <f t="shared" si="2415"/>
        <v>0</v>
      </c>
      <c r="AL1220" s="323">
        <f t="shared" si="2415"/>
        <v>0</v>
      </c>
      <c r="AM1220" s="323">
        <f t="shared" si="2415"/>
        <v>0</v>
      </c>
      <c r="AN1220" s="450">
        <f>AH1220+AH1232+AH1248+AH1248+AH1261</f>
        <v>43.487549441999988</v>
      </c>
      <c r="AO1220" s="450">
        <f>AI1220+AI1232+AI1248+AI1248+AI1261</f>
        <v>28.006783115999994</v>
      </c>
      <c r="AP1220" s="450">
        <f t="shared" ref="AP1220:AS1220" si="2416">AJ1220+AJ1232+AJ1248+AJ1248+AJ1261</f>
        <v>28.464190274000003</v>
      </c>
      <c r="AQ1220" s="450">
        <f t="shared" si="2416"/>
        <v>36.459457678000007</v>
      </c>
      <c r="AR1220" s="450">
        <f t="shared" si="2416"/>
        <v>27.898952524000002</v>
      </c>
      <c r="AS1220" s="450">
        <f t="shared" si="2416"/>
        <v>31.550899999999999</v>
      </c>
      <c r="AT1220" s="450"/>
      <c r="AU1220" s="450"/>
      <c r="AV1220" s="450"/>
      <c r="AW1220" s="450"/>
      <c r="AX1220" s="450"/>
      <c r="AY1220" s="450"/>
      <c r="AZ1220" s="450"/>
      <c r="BA1220" s="450"/>
      <c r="BB1220" s="450"/>
      <c r="BC1220" s="450"/>
      <c r="BD1220" s="450"/>
      <c r="BE1220" s="450"/>
      <c r="BF1220" s="450"/>
      <c r="BG1220" s="450"/>
      <c r="BH1220" s="450"/>
      <c r="BI1220" s="450"/>
      <c r="BJ1220" s="450"/>
      <c r="BK1220" s="450"/>
      <c r="BL1220" s="450"/>
      <c r="BM1220" s="450"/>
      <c r="BN1220" s="450"/>
      <c r="BO1220" s="450"/>
      <c r="BP1220" s="450"/>
      <c r="BQ1220" s="450"/>
      <c r="BR1220" s="450"/>
      <c r="BS1220" s="450"/>
      <c r="BT1220" s="450"/>
      <c r="BU1220" s="450"/>
      <c r="BV1220" s="450"/>
      <c r="BW1220" s="450"/>
      <c r="BX1220" s="450"/>
      <c r="BY1220" s="450"/>
      <c r="BZ1220" s="450"/>
      <c r="CA1220" s="450"/>
      <c r="CB1220" s="450"/>
      <c r="CC1220" s="450"/>
      <c r="CD1220" s="450"/>
      <c r="CE1220" s="450"/>
      <c r="CF1220" s="450"/>
      <c r="CG1220" s="450"/>
      <c r="CH1220" s="450"/>
      <c r="CI1220" s="450"/>
      <c r="CJ1220" s="450"/>
      <c r="CK1220" s="450"/>
      <c r="CL1220" s="450"/>
      <c r="CM1220" s="450"/>
      <c r="CN1220" s="450"/>
      <c r="CO1220" s="450"/>
      <c r="CP1220" s="450"/>
      <c r="CQ1220" s="450"/>
      <c r="CR1220" s="450"/>
      <c r="CS1220" s="450"/>
      <c r="CT1220" s="450"/>
      <c r="CU1220" s="450"/>
      <c r="CV1220" s="450"/>
      <c r="CW1220" s="450"/>
      <c r="CX1220" s="450"/>
      <c r="CY1220" s="450"/>
      <c r="CZ1220" s="450"/>
      <c r="DA1220" s="450"/>
      <c r="DB1220" s="1314"/>
      <c r="DC1220" s="478"/>
      <c r="DD1220" s="478"/>
      <c r="DE1220" s="478"/>
      <c r="DF1220" s="478"/>
      <c r="DG1220" s="478"/>
      <c r="DH1220" s="478"/>
      <c r="DI1220" s="478"/>
      <c r="DJ1220" s="478"/>
      <c r="DK1220" s="478"/>
      <c r="DL1220" s="478"/>
      <c r="DM1220" s="478"/>
      <c r="DN1220" s="1335"/>
      <c r="DO1220" s="478"/>
      <c r="DP1220" s="478"/>
      <c r="DQ1220" s="478"/>
      <c r="DR1220" s="478"/>
      <c r="DS1220" s="478"/>
      <c r="DT1220" s="478"/>
      <c r="DU1220" s="478"/>
      <c r="DV1220" s="478"/>
      <c r="DW1220" s="478"/>
      <c r="DX1220" s="478"/>
      <c r="DY1220" s="478"/>
      <c r="DZ1220" s="1335"/>
      <c r="ID1220" s="495"/>
      <c r="IE1220" s="495"/>
      <c r="IF1220" s="495"/>
      <c r="IG1220" s="495"/>
      <c r="IH1220" s="450"/>
      <c r="II1220" s="450"/>
      <c r="IJ1220" s="323"/>
      <c r="IK1220" s="495"/>
      <c r="IL1220" s="495"/>
      <c r="IM1220" s="323"/>
      <c r="IN1220" s="495"/>
      <c r="IO1220" s="495"/>
      <c r="IP1220" s="323"/>
      <c r="IQ1220" s="323"/>
      <c r="IR1220" s="323"/>
      <c r="IS1220" s="323"/>
      <c r="IT1220" s="323"/>
      <c r="IU1220" s="323"/>
      <c r="IV1220" s="323"/>
      <c r="KU1220" s="279"/>
    </row>
    <row r="1221" spans="1:307" ht="15.6">
      <c r="A1221" s="279"/>
      <c r="B1221" s="279"/>
      <c r="C1221" s="279"/>
      <c r="D1221" s="449" t="s">
        <v>669</v>
      </c>
      <c r="E1221" s="450"/>
      <c r="F1221" s="450"/>
      <c r="G1221" s="450"/>
      <c r="H1221" s="450"/>
      <c r="I1221" s="450"/>
      <c r="J1221" s="450"/>
      <c r="K1221" s="450"/>
      <c r="L1221" s="450"/>
      <c r="M1221" s="450"/>
      <c r="N1221" s="450"/>
      <c r="O1221" s="450"/>
      <c r="P1221" s="450"/>
      <c r="Q1221" s="450"/>
      <c r="R1221" s="450"/>
      <c r="S1221" s="450"/>
      <c r="T1221" s="450"/>
      <c r="U1221" s="450"/>
      <c r="V1221" s="450"/>
      <c r="W1221" s="450"/>
      <c r="X1221" s="450"/>
      <c r="Y1221" s="450"/>
      <c r="Z1221" s="450"/>
      <c r="AA1221" s="450"/>
      <c r="AB1221" s="450"/>
      <c r="AC1221" s="450"/>
      <c r="AD1221" s="450"/>
      <c r="AE1221" s="450"/>
      <c r="AF1221" s="450"/>
      <c r="AG1221" s="450"/>
      <c r="AH1221" s="450"/>
      <c r="AI1221" s="450"/>
      <c r="AJ1221" s="450"/>
      <c r="AK1221" s="450"/>
      <c r="AL1221" s="450"/>
      <c r="AM1221" s="450"/>
      <c r="AN1221" s="450"/>
      <c r="AO1221" s="450"/>
      <c r="AP1221" s="450"/>
      <c r="AQ1221" s="450"/>
      <c r="AR1221" s="450"/>
      <c r="AS1221" s="450"/>
      <c r="AT1221" s="450"/>
      <c r="AU1221" s="450"/>
      <c r="AV1221" s="450"/>
      <c r="AW1221" s="450"/>
      <c r="AX1221" s="450"/>
      <c r="AY1221" s="450"/>
      <c r="AZ1221" s="450"/>
      <c r="BA1221" s="450"/>
      <c r="BB1221" s="450"/>
      <c r="BC1221" s="450"/>
      <c r="BD1221" s="450"/>
      <c r="BE1221" s="450"/>
      <c r="BF1221" s="450"/>
      <c r="BG1221" s="450"/>
      <c r="BH1221" s="450"/>
      <c r="BI1221" s="450"/>
      <c r="BJ1221" s="450"/>
      <c r="BK1221" s="450"/>
      <c r="BL1221" s="450"/>
      <c r="BM1221" s="450"/>
      <c r="BN1221" s="450"/>
      <c r="BO1221" s="450"/>
      <c r="BP1221" s="450"/>
      <c r="BQ1221" s="450"/>
      <c r="BR1221" s="450"/>
      <c r="BS1221" s="450"/>
      <c r="BT1221" s="450"/>
      <c r="BU1221" s="450"/>
      <c r="BV1221" s="450"/>
      <c r="BW1221" s="450"/>
      <c r="BX1221" s="450"/>
      <c r="BY1221" s="450"/>
      <c r="BZ1221" s="450"/>
      <c r="CA1221" s="450"/>
      <c r="CB1221" s="450"/>
      <c r="CC1221" s="450"/>
      <c r="CD1221" s="450"/>
      <c r="CE1221" s="450"/>
      <c r="CF1221" s="450"/>
      <c r="CG1221" s="450"/>
      <c r="CH1221" s="450"/>
      <c r="CI1221" s="450"/>
      <c r="CJ1221" s="450"/>
      <c r="CK1221" s="450"/>
      <c r="CL1221" s="450"/>
      <c r="CM1221" s="450"/>
      <c r="CN1221" s="450"/>
      <c r="CO1221" s="450"/>
      <c r="CP1221" s="450"/>
      <c r="CQ1221" s="450"/>
      <c r="CR1221" s="450"/>
      <c r="CS1221" s="450"/>
      <c r="CT1221" s="450"/>
      <c r="CU1221" s="450"/>
      <c r="CV1221" s="450"/>
      <c r="CW1221" s="450"/>
      <c r="CX1221" s="450"/>
      <c r="CY1221" s="450"/>
      <c r="CZ1221" s="450"/>
      <c r="DA1221" s="450"/>
      <c r="DB1221" s="1314"/>
      <c r="DC1221" s="478"/>
      <c r="DD1221" s="478"/>
      <c r="DE1221" s="478"/>
      <c r="DF1221" s="478"/>
      <c r="DG1221" s="478"/>
      <c r="DH1221" s="478"/>
      <c r="DI1221" s="478"/>
      <c r="DJ1221" s="478"/>
      <c r="DK1221" s="478"/>
      <c r="DL1221" s="478"/>
      <c r="DM1221" s="478"/>
      <c r="DN1221" s="1335"/>
      <c r="DO1221" s="478"/>
      <c r="DP1221" s="478"/>
      <c r="DQ1221" s="478"/>
      <c r="DR1221" s="478"/>
      <c r="DS1221" s="478"/>
      <c r="DT1221" s="478"/>
      <c r="DU1221" s="478"/>
      <c r="DV1221" s="478"/>
      <c r="DW1221" s="478"/>
      <c r="DX1221" s="478"/>
      <c r="DY1221" s="478"/>
      <c r="DZ1221" s="1335"/>
      <c r="ID1221" s="495" t="str">
        <f>+D1221</f>
        <v>NB Net issuance need Finance Law (incl. errors&amp;omissions)</v>
      </c>
      <c r="IE1221" s="495"/>
      <c r="IF1221" s="495"/>
      <c r="IG1221" s="495"/>
      <c r="IH1221" s="450"/>
      <c r="II1221" s="450"/>
      <c r="IJ1221" s="323">
        <v>60</v>
      </c>
      <c r="IK1221" s="495"/>
      <c r="IL1221" s="495"/>
      <c r="IM1221" s="323"/>
      <c r="IN1221" s="495"/>
      <c r="IO1221" s="495"/>
      <c r="IP1221" s="323"/>
      <c r="IQ1221" s="323"/>
      <c r="IR1221" s="323"/>
      <c r="IS1221" s="323"/>
      <c r="IT1221" s="323"/>
      <c r="IU1221" s="323"/>
      <c r="IV1221" s="323"/>
      <c r="KU1221" s="279"/>
    </row>
    <row r="1222" spans="1:307" ht="15.6">
      <c r="A1222" s="279"/>
      <c r="B1222" s="279"/>
      <c r="C1222" s="279"/>
      <c r="D1222" s="449" t="s">
        <v>670</v>
      </c>
      <c r="E1222" s="450"/>
      <c r="F1222" s="450"/>
      <c r="G1222" s="450"/>
      <c r="H1222" s="450"/>
      <c r="I1222" s="450"/>
      <c r="J1222" s="450"/>
      <c r="K1222" s="450"/>
      <c r="L1222" s="450"/>
      <c r="M1222" s="450"/>
      <c r="N1222" s="450"/>
      <c r="O1222" s="450"/>
      <c r="P1222" s="450"/>
      <c r="Q1222" s="450"/>
      <c r="R1222" s="450"/>
      <c r="S1222" s="450"/>
      <c r="T1222" s="450"/>
      <c r="U1222" s="450"/>
      <c r="V1222" s="450"/>
      <c r="W1222" s="450"/>
      <c r="X1222" s="450"/>
      <c r="Y1222" s="450"/>
      <c r="Z1222" s="450"/>
      <c r="AA1222" s="450"/>
      <c r="AB1222" s="450"/>
      <c r="AC1222" s="450"/>
      <c r="AD1222" s="450"/>
      <c r="AE1222" s="450"/>
      <c r="AF1222" s="450"/>
      <c r="AG1222" s="450"/>
      <c r="AH1222" s="450"/>
      <c r="AI1222" s="450"/>
      <c r="AJ1222" s="450"/>
      <c r="AK1222" s="450"/>
      <c r="AL1222" s="450"/>
      <c r="AM1222" s="450"/>
      <c r="AN1222" s="450"/>
      <c r="AO1222" s="450"/>
      <c r="AP1222" s="450"/>
      <c r="AQ1222" s="450"/>
      <c r="AR1222" s="450"/>
      <c r="AS1222" s="450"/>
      <c r="AT1222" s="450"/>
      <c r="AU1222" s="450"/>
      <c r="AV1222" s="450"/>
      <c r="AW1222" s="450"/>
      <c r="AX1222" s="450"/>
      <c r="AY1222" s="450"/>
      <c r="AZ1222" s="450"/>
      <c r="BA1222" s="450"/>
      <c r="BB1222" s="450"/>
      <c r="BC1222" s="450"/>
      <c r="BD1222" s="450"/>
      <c r="BE1222" s="450"/>
      <c r="BF1222" s="450"/>
      <c r="BG1222" s="450"/>
      <c r="BH1222" s="450"/>
      <c r="BI1222" s="450"/>
      <c r="BJ1222" s="450"/>
      <c r="BK1222" s="450"/>
      <c r="BL1222" s="450"/>
      <c r="BM1222" s="450"/>
      <c r="BN1222" s="450"/>
      <c r="BO1222" s="450"/>
      <c r="BP1222" s="450"/>
      <c r="BQ1222" s="450"/>
      <c r="BR1222" s="450"/>
      <c r="BS1222" s="450"/>
      <c r="BT1222" s="450"/>
      <c r="BU1222" s="450"/>
      <c r="BV1222" s="450"/>
      <c r="BW1222" s="450"/>
      <c r="BX1222" s="450"/>
      <c r="BY1222" s="450"/>
      <c r="BZ1222" s="450"/>
      <c r="CA1222" s="450"/>
      <c r="CB1222" s="450"/>
      <c r="CC1222" s="450"/>
      <c r="CD1222" s="450"/>
      <c r="CE1222" s="450"/>
      <c r="CF1222" s="450"/>
      <c r="CG1222" s="450"/>
      <c r="CH1222" s="450"/>
      <c r="CI1222" s="450"/>
      <c r="CJ1222" s="450"/>
      <c r="CK1222" s="450"/>
      <c r="CL1222" s="450"/>
      <c r="CM1222" s="450"/>
      <c r="CN1222" s="450"/>
      <c r="CO1222" s="450"/>
      <c r="CP1222" s="450"/>
      <c r="CQ1222" s="450"/>
      <c r="CR1222" s="450"/>
      <c r="CS1222" s="450"/>
      <c r="CT1222" s="450"/>
      <c r="CU1222" s="450"/>
      <c r="CV1222" s="450"/>
      <c r="CW1222" s="450"/>
      <c r="CX1222" s="450"/>
      <c r="CY1222" s="450"/>
      <c r="CZ1222" s="450"/>
      <c r="DA1222" s="450"/>
      <c r="DB1222" s="1314"/>
      <c r="DC1222" s="478"/>
      <c r="DD1222" s="478"/>
      <c r="DE1222" s="478"/>
      <c r="DF1222" s="478"/>
      <c r="DG1222" s="478"/>
      <c r="DH1222" s="478"/>
      <c r="DI1222" s="478"/>
      <c r="DJ1222" s="478"/>
      <c r="DK1222" s="478"/>
      <c r="DL1222" s="478"/>
      <c r="DM1222" s="478"/>
      <c r="DN1222" s="1335"/>
      <c r="DO1222" s="478"/>
      <c r="DP1222" s="478"/>
      <c r="DQ1222" s="478"/>
      <c r="DR1222" s="478"/>
      <c r="DS1222" s="478"/>
      <c r="DT1222" s="478"/>
      <c r="DU1222" s="478"/>
      <c r="DV1222" s="478"/>
      <c r="DW1222" s="478"/>
      <c r="DX1222" s="478"/>
      <c r="DY1222" s="478"/>
      <c r="DZ1222" s="1335"/>
      <c r="ID1222" s="495" t="str">
        <f>+D1222</f>
        <v xml:space="preserve">        Overestimate of use of deposits in Fnance Law</v>
      </c>
      <c r="IE1222" s="495"/>
      <c r="IF1222" s="495"/>
      <c r="IG1222" s="495"/>
      <c r="IH1222" s="450"/>
      <c r="II1222" s="450"/>
      <c r="IJ1222" s="323">
        <f>64-IJ1208</f>
        <v>51.932664614000004</v>
      </c>
      <c r="IK1222" s="495"/>
      <c r="IL1222" s="495"/>
      <c r="IM1222" s="323"/>
      <c r="IN1222" s="495"/>
      <c r="IO1222" s="495"/>
      <c r="IP1222" s="323"/>
      <c r="IQ1222" s="323"/>
      <c r="IR1222" s="323"/>
      <c r="IS1222" s="323"/>
      <c r="IT1222" s="323"/>
      <c r="IU1222" s="323"/>
      <c r="IV1222" s="323"/>
      <c r="KU1222" s="279"/>
    </row>
    <row r="1223" spans="1:307" ht="15.6">
      <c r="A1223" s="279"/>
      <c r="B1223" s="279"/>
      <c r="C1223" s="279"/>
      <c r="D1223" s="449" t="s">
        <v>671</v>
      </c>
      <c r="E1223" s="450"/>
      <c r="F1223" s="450"/>
      <c r="G1223" s="450"/>
      <c r="H1223" s="450"/>
      <c r="I1223" s="450"/>
      <c r="J1223" s="450"/>
      <c r="K1223" s="450"/>
      <c r="L1223" s="450"/>
      <c r="M1223" s="450"/>
      <c r="N1223" s="450"/>
      <c r="O1223" s="450"/>
      <c r="P1223" s="450"/>
      <c r="Q1223" s="450"/>
      <c r="R1223" s="450"/>
      <c r="S1223" s="450"/>
      <c r="T1223" s="450"/>
      <c r="U1223" s="450"/>
      <c r="V1223" s="450"/>
      <c r="W1223" s="450"/>
      <c r="X1223" s="450"/>
      <c r="Y1223" s="450"/>
      <c r="Z1223" s="450"/>
      <c r="AA1223" s="450"/>
      <c r="AB1223" s="450"/>
      <c r="AC1223" s="450"/>
      <c r="AD1223" s="450"/>
      <c r="AE1223" s="450"/>
      <c r="AF1223" s="450"/>
      <c r="AG1223" s="450"/>
      <c r="AH1223" s="450"/>
      <c r="AI1223" s="450"/>
      <c r="AJ1223" s="450"/>
      <c r="AK1223" s="450"/>
      <c r="AL1223" s="450"/>
      <c r="AM1223" s="450"/>
      <c r="AN1223" s="450"/>
      <c r="AO1223" s="450"/>
      <c r="AP1223" s="450"/>
      <c r="AQ1223" s="450"/>
      <c r="AR1223" s="450"/>
      <c r="AS1223" s="450"/>
      <c r="AT1223" s="450"/>
      <c r="AU1223" s="450"/>
      <c r="AV1223" s="450"/>
      <c r="AW1223" s="450"/>
      <c r="AX1223" s="450"/>
      <c r="AY1223" s="450"/>
      <c r="AZ1223" s="450"/>
      <c r="BA1223" s="450"/>
      <c r="BB1223" s="450"/>
      <c r="BC1223" s="450"/>
      <c r="BD1223" s="450"/>
      <c r="BE1223" s="450"/>
      <c r="BF1223" s="450"/>
      <c r="BG1223" s="450"/>
      <c r="BH1223" s="450"/>
      <c r="BI1223" s="450"/>
      <c r="BJ1223" s="450"/>
      <c r="BK1223" s="450"/>
      <c r="BL1223" s="450"/>
      <c r="BM1223" s="450"/>
      <c r="BN1223" s="450"/>
      <c r="BO1223" s="450"/>
      <c r="BP1223" s="450"/>
      <c r="BQ1223" s="450"/>
      <c r="BR1223" s="450"/>
      <c r="BS1223" s="450"/>
      <c r="BT1223" s="450"/>
      <c r="BU1223" s="450"/>
      <c r="BV1223" s="450"/>
      <c r="BW1223" s="450"/>
      <c r="BX1223" s="450"/>
      <c r="BY1223" s="450"/>
      <c r="BZ1223" s="450"/>
      <c r="CA1223" s="450"/>
      <c r="CB1223" s="450"/>
      <c r="CC1223" s="450"/>
      <c r="CD1223" s="450"/>
      <c r="CE1223" s="450"/>
      <c r="CF1223" s="450"/>
      <c r="CG1223" s="450"/>
      <c r="CH1223" s="450"/>
      <c r="CI1223" s="450"/>
      <c r="CJ1223" s="450"/>
      <c r="CK1223" s="450"/>
      <c r="CL1223" s="450"/>
      <c r="CM1223" s="450"/>
      <c r="CN1223" s="450"/>
      <c r="CO1223" s="450"/>
      <c r="CP1223" s="450"/>
      <c r="CQ1223" s="450"/>
      <c r="CR1223" s="450"/>
      <c r="CS1223" s="450"/>
      <c r="CT1223" s="450"/>
      <c r="CU1223" s="450"/>
      <c r="CV1223" s="450"/>
      <c r="CW1223" s="450"/>
      <c r="CX1223" s="450"/>
      <c r="CY1223" s="450"/>
      <c r="CZ1223" s="450"/>
      <c r="DA1223" s="450"/>
      <c r="DB1223" s="1314"/>
      <c r="DC1223" s="478"/>
      <c r="DD1223" s="478"/>
      <c r="DE1223" s="478"/>
      <c r="DF1223" s="478"/>
      <c r="DG1223" s="478"/>
      <c r="DH1223" s="478"/>
      <c r="DI1223" s="478"/>
      <c r="DJ1223" s="478"/>
      <c r="DK1223" s="478"/>
      <c r="DL1223" s="478"/>
      <c r="DM1223" s="478"/>
      <c r="DN1223" s="1335"/>
      <c r="DO1223" s="478"/>
      <c r="DP1223" s="478"/>
      <c r="DQ1223" s="478"/>
      <c r="DR1223" s="478"/>
      <c r="DS1223" s="478"/>
      <c r="DT1223" s="478"/>
      <c r="DU1223" s="478"/>
      <c r="DV1223" s="478"/>
      <c r="DW1223" s="478"/>
      <c r="DX1223" s="478"/>
      <c r="DY1223" s="478"/>
      <c r="DZ1223" s="1335"/>
      <c r="ID1223" s="495" t="str">
        <f>+D1223</f>
        <v xml:space="preserve">        Difference TOFE and Finance law net issuance</v>
      </c>
      <c r="IE1223" s="495"/>
      <c r="IF1223" s="495"/>
      <c r="IG1223" s="495"/>
      <c r="IH1223" s="450"/>
      <c r="II1223" s="450"/>
      <c r="IJ1223" s="323">
        <f>+IJ1216-IJ1221</f>
        <v>-10.725792566695034</v>
      </c>
      <c r="IK1223" s="495"/>
      <c r="IL1223" s="495"/>
      <c r="IM1223" s="323"/>
      <c r="IN1223" s="495"/>
      <c r="IO1223" s="495"/>
      <c r="IP1223" s="323"/>
      <c r="IQ1223" s="323"/>
      <c r="IR1223" s="323"/>
      <c r="IS1223" s="323"/>
      <c r="IT1223" s="323"/>
      <c r="IU1223" s="323"/>
      <c r="IV1223" s="323"/>
      <c r="KU1223" s="279"/>
    </row>
    <row r="1224" spans="1:307" ht="15.6">
      <c r="A1224" s="279"/>
      <c r="B1224" s="279"/>
      <c r="C1224" s="279"/>
      <c r="D1224" s="449" t="s">
        <v>672</v>
      </c>
      <c r="E1224" s="450"/>
      <c r="F1224" s="450"/>
      <c r="G1224" s="450"/>
      <c r="H1224" s="450"/>
      <c r="I1224" s="450"/>
      <c r="J1224" s="450"/>
      <c r="K1224" s="450"/>
      <c r="L1224" s="450"/>
      <c r="M1224" s="450"/>
      <c r="N1224" s="450"/>
      <c r="O1224" s="450"/>
      <c r="P1224" s="450"/>
      <c r="Q1224" s="450"/>
      <c r="R1224" s="450"/>
      <c r="S1224" s="450"/>
      <c r="T1224" s="450"/>
      <c r="U1224" s="450"/>
      <c r="V1224" s="450"/>
      <c r="W1224" s="450"/>
      <c r="X1224" s="450"/>
      <c r="Y1224" s="450"/>
      <c r="Z1224" s="450"/>
      <c r="AA1224" s="450"/>
      <c r="AB1224" s="450"/>
      <c r="AC1224" s="450"/>
      <c r="AD1224" s="450"/>
      <c r="AE1224" s="450"/>
      <c r="AF1224" s="450"/>
      <c r="AG1224" s="450"/>
      <c r="AH1224" s="450"/>
      <c r="AI1224" s="450"/>
      <c r="AJ1224" s="450"/>
      <c r="AK1224" s="450"/>
      <c r="AL1224" s="450"/>
      <c r="AM1224" s="450"/>
      <c r="AN1224" s="450"/>
      <c r="AO1224" s="450"/>
      <c r="AP1224" s="450"/>
      <c r="AQ1224" s="450"/>
      <c r="AR1224" s="450"/>
      <c r="AS1224" s="450"/>
      <c r="AT1224" s="450"/>
      <c r="AU1224" s="450"/>
      <c r="AV1224" s="450"/>
      <c r="AW1224" s="450"/>
      <c r="AX1224" s="450"/>
      <c r="AY1224" s="450"/>
      <c r="AZ1224" s="450"/>
      <c r="BA1224" s="450"/>
      <c r="BB1224" s="450"/>
      <c r="BC1224" s="450"/>
      <c r="BD1224" s="450"/>
      <c r="BE1224" s="450"/>
      <c r="BF1224" s="450"/>
      <c r="BG1224" s="450"/>
      <c r="BH1224" s="450"/>
      <c r="BI1224" s="450"/>
      <c r="BJ1224" s="450"/>
      <c r="BK1224" s="450"/>
      <c r="BL1224" s="450"/>
      <c r="BM1224" s="450"/>
      <c r="BN1224" s="450"/>
      <c r="BO1224" s="450"/>
      <c r="BP1224" s="450"/>
      <c r="BQ1224" s="450"/>
      <c r="BR1224" s="450"/>
      <c r="BS1224" s="450"/>
      <c r="BT1224" s="450"/>
      <c r="BU1224" s="450"/>
      <c r="BV1224" s="450"/>
      <c r="BW1224" s="450"/>
      <c r="BX1224" s="450"/>
      <c r="BY1224" s="450"/>
      <c r="BZ1224" s="450"/>
      <c r="CA1224" s="450"/>
      <c r="CB1224" s="450"/>
      <c r="CC1224" s="450"/>
      <c r="CD1224" s="450"/>
      <c r="CE1224" s="450"/>
      <c r="CF1224" s="450"/>
      <c r="CG1224" s="450"/>
      <c r="CH1224" s="450"/>
      <c r="CI1224" s="450"/>
      <c r="CJ1224" s="450"/>
      <c r="CK1224" s="450"/>
      <c r="CL1224" s="450"/>
      <c r="CM1224" s="450"/>
      <c r="CN1224" s="450"/>
      <c r="CO1224" s="450"/>
      <c r="CP1224" s="450"/>
      <c r="CQ1224" s="450"/>
      <c r="CR1224" s="450"/>
      <c r="CS1224" s="450"/>
      <c r="CT1224" s="450"/>
      <c r="CU1224" s="450"/>
      <c r="CV1224" s="450"/>
      <c r="CW1224" s="450"/>
      <c r="CX1224" s="450"/>
      <c r="CY1224" s="450"/>
      <c r="CZ1224" s="450"/>
      <c r="DA1224" s="450"/>
      <c r="DB1224" s="1314"/>
      <c r="DC1224" s="478"/>
      <c r="DD1224" s="478"/>
      <c r="DE1224" s="478"/>
      <c r="DF1224" s="478"/>
      <c r="DG1224" s="478"/>
      <c r="DH1224" s="478"/>
      <c r="DI1224" s="478"/>
      <c r="DJ1224" s="478"/>
      <c r="DK1224" s="478"/>
      <c r="DL1224" s="478"/>
      <c r="DM1224" s="478"/>
      <c r="DN1224" s="1335"/>
      <c r="DO1224" s="478"/>
      <c r="DP1224" s="478"/>
      <c r="DQ1224" s="478"/>
      <c r="DR1224" s="478"/>
      <c r="DS1224" s="478"/>
      <c r="DT1224" s="478"/>
      <c r="DU1224" s="478"/>
      <c r="DV1224" s="478"/>
      <c r="DW1224" s="478"/>
      <c r="DX1224" s="478"/>
      <c r="DY1224" s="478"/>
      <c r="DZ1224" s="1335"/>
      <c r="ID1224" s="495" t="str">
        <f>+D1224</f>
        <v xml:space="preserve">        Errors&amp;omisions in Finance Law and PSI 3d review TOFE</v>
      </c>
      <c r="IE1224" s="495"/>
      <c r="IF1224" s="495"/>
      <c r="IG1224" s="495"/>
      <c r="IH1224" s="450"/>
      <c r="II1224" s="450"/>
      <c r="IJ1224" s="323">
        <f>+IJ1223-IJ1222</f>
        <v>-62.658457180695038</v>
      </c>
      <c r="IK1224" s="495"/>
      <c r="IL1224" s="495"/>
      <c r="IM1224" s="323"/>
      <c r="IN1224" s="495"/>
      <c r="IO1224" s="495"/>
      <c r="IP1224" s="323"/>
      <c r="IQ1224" s="323"/>
      <c r="IR1224" s="323"/>
      <c r="IS1224" s="323"/>
      <c r="IT1224" s="323"/>
      <c r="IU1224" s="323"/>
      <c r="IV1224" s="323"/>
      <c r="KU1224" s="279"/>
    </row>
    <row r="1225" spans="1:307" ht="15.6">
      <c r="A1225" s="279"/>
      <c r="B1225" s="279"/>
      <c r="C1225" s="279"/>
      <c r="D1225" s="449"/>
      <c r="E1225" s="450"/>
      <c r="F1225" s="450"/>
      <c r="G1225" s="450"/>
      <c r="H1225" s="450"/>
      <c r="I1225" s="450"/>
      <c r="J1225" s="450"/>
      <c r="K1225" s="450"/>
      <c r="L1225" s="450"/>
      <c r="M1225" s="450"/>
      <c r="N1225" s="450"/>
      <c r="O1225" s="450"/>
      <c r="P1225" s="450"/>
      <c r="Q1225" s="450"/>
      <c r="R1225" s="450"/>
      <c r="S1225" s="450"/>
      <c r="T1225" s="450"/>
      <c r="U1225" s="450"/>
      <c r="V1225" s="450"/>
      <c r="W1225" s="450"/>
      <c r="X1225" s="450"/>
      <c r="Y1225" s="450"/>
      <c r="Z1225" s="450"/>
      <c r="AA1225" s="450"/>
      <c r="AB1225" s="450"/>
      <c r="AC1225" s="450"/>
      <c r="AD1225" s="450"/>
      <c r="AE1225" s="450"/>
      <c r="AF1225" s="450"/>
      <c r="AG1225" s="450"/>
      <c r="AH1225" s="450"/>
      <c r="AI1225" s="450"/>
      <c r="AJ1225" s="450"/>
      <c r="AK1225" s="450"/>
      <c r="AL1225" s="450"/>
      <c r="AM1225" s="450"/>
      <c r="AN1225" s="450"/>
      <c r="AO1225" s="450"/>
      <c r="AP1225" s="450"/>
      <c r="AQ1225" s="450"/>
      <c r="AR1225" s="450"/>
      <c r="AS1225" s="450"/>
      <c r="AT1225" s="450"/>
      <c r="AU1225" s="450"/>
      <c r="AV1225" s="450"/>
      <c r="AW1225" s="450"/>
      <c r="AX1225" s="450"/>
      <c r="AY1225" s="450"/>
      <c r="AZ1225" s="450"/>
      <c r="BA1225" s="450"/>
      <c r="BB1225" s="450"/>
      <c r="BC1225" s="450"/>
      <c r="BD1225" s="450"/>
      <c r="BE1225" s="450"/>
      <c r="BF1225" s="450"/>
      <c r="BG1225" s="450"/>
      <c r="BH1225" s="450"/>
      <c r="BI1225" s="450"/>
      <c r="BJ1225" s="450"/>
      <c r="BK1225" s="450"/>
      <c r="BL1225" s="450"/>
      <c r="BM1225" s="450"/>
      <c r="BN1225" s="450"/>
      <c r="BO1225" s="450"/>
      <c r="BP1225" s="450"/>
      <c r="BQ1225" s="450"/>
      <c r="BR1225" s="450"/>
      <c r="BS1225" s="450"/>
      <c r="BT1225" s="450"/>
      <c r="BU1225" s="450"/>
      <c r="BV1225" s="450"/>
      <c r="BW1225" s="450"/>
      <c r="BX1225" s="450"/>
      <c r="BY1225" s="450"/>
      <c r="BZ1225" s="450"/>
      <c r="CA1225" s="450"/>
      <c r="CB1225" s="450"/>
      <c r="CC1225" s="450"/>
      <c r="CD1225" s="450"/>
      <c r="CE1225" s="450"/>
      <c r="CF1225" s="450"/>
      <c r="CG1225" s="450"/>
      <c r="CH1225" s="450"/>
      <c r="CI1225" s="450"/>
      <c r="CJ1225" s="450"/>
      <c r="CK1225" s="450"/>
      <c r="CL1225" s="450"/>
      <c r="CM1225" s="450"/>
      <c r="CN1225" s="450"/>
      <c r="CO1225" s="450"/>
      <c r="CP1225" s="450"/>
      <c r="CQ1225" s="450"/>
      <c r="CR1225" s="450"/>
      <c r="CS1225" s="450"/>
      <c r="CT1225" s="450"/>
      <c r="CU1225" s="450"/>
      <c r="CV1225" s="450"/>
      <c r="CW1225" s="450"/>
      <c r="CX1225" s="450"/>
      <c r="CY1225" s="450"/>
      <c r="CZ1225" s="450"/>
      <c r="DA1225" s="450"/>
      <c r="DB1225" s="1314"/>
      <c r="DC1225" s="478"/>
      <c r="DD1225" s="478"/>
      <c r="DE1225" s="478"/>
      <c r="DF1225" s="478"/>
      <c r="DG1225" s="478"/>
      <c r="DH1225" s="478"/>
      <c r="DI1225" s="478"/>
      <c r="DJ1225" s="478"/>
      <c r="DK1225" s="478"/>
      <c r="DL1225" s="478"/>
      <c r="DM1225" s="478"/>
      <c r="DN1225" s="1335"/>
      <c r="DO1225" s="478"/>
      <c r="DP1225" s="478"/>
      <c r="DQ1225" s="478"/>
      <c r="DR1225" s="478"/>
      <c r="DS1225" s="478"/>
      <c r="DT1225" s="478"/>
      <c r="DU1225" s="478"/>
      <c r="DV1225" s="478"/>
      <c r="DW1225" s="478"/>
      <c r="DX1225" s="478"/>
      <c r="DY1225" s="478"/>
      <c r="DZ1225" s="1335"/>
      <c r="ID1225" s="495"/>
      <c r="IE1225" s="495"/>
      <c r="IF1225" s="495"/>
      <c r="IG1225" s="495"/>
      <c r="IH1225" s="450"/>
      <c r="II1225" s="450"/>
      <c r="IJ1225" s="323"/>
      <c r="IK1225" s="495"/>
      <c r="IL1225" s="495"/>
      <c r="IM1225" s="323"/>
      <c r="IN1225" s="495"/>
      <c r="IO1225" s="495"/>
      <c r="IP1225" s="323"/>
      <c r="IQ1225" s="323"/>
      <c r="IR1225" s="323"/>
      <c r="IS1225" s="323"/>
      <c r="IT1225" s="323"/>
      <c r="IU1225" s="323"/>
      <c r="IV1225" s="323"/>
      <c r="KU1225" s="279"/>
    </row>
    <row r="1226" spans="1:307" ht="15.6">
      <c r="A1226" s="279"/>
      <c r="B1226" s="279"/>
      <c r="C1226" s="279"/>
      <c r="D1226" s="522" t="s">
        <v>705</v>
      </c>
      <c r="E1226" s="450"/>
      <c r="F1226" s="450"/>
      <c r="G1226" s="450"/>
      <c r="H1226" s="450"/>
      <c r="I1226" s="450"/>
      <c r="J1226" s="450"/>
      <c r="K1226" s="450"/>
      <c r="L1226" s="450"/>
      <c r="M1226" s="450"/>
      <c r="N1226" s="450"/>
      <c r="O1226" s="450"/>
      <c r="P1226" s="450"/>
      <c r="Q1226" s="450"/>
      <c r="R1226" s="450"/>
      <c r="S1226" s="450"/>
      <c r="T1226" s="450"/>
      <c r="U1226" s="450"/>
      <c r="V1226" s="450"/>
      <c r="W1226" s="450"/>
      <c r="X1226" s="450"/>
      <c r="Y1226" s="450"/>
      <c r="Z1226" s="450"/>
      <c r="AA1226" s="450"/>
      <c r="AB1226" s="450"/>
      <c r="AC1226" s="450"/>
      <c r="AD1226" s="450"/>
      <c r="AE1226" s="450"/>
      <c r="AF1226" s="450"/>
      <c r="AG1226" s="450"/>
      <c r="AH1226" s="450"/>
      <c r="AI1226" s="450"/>
      <c r="AJ1226" s="450"/>
      <c r="AK1226" s="450"/>
      <c r="AL1226" s="450"/>
      <c r="AM1226" s="450"/>
      <c r="AN1226" s="450"/>
      <c r="AO1226" s="450"/>
      <c r="AP1226" s="450"/>
      <c r="AQ1226" s="450"/>
      <c r="AR1226" s="450"/>
      <c r="AS1226" s="450"/>
      <c r="AT1226" s="450"/>
      <c r="AU1226" s="450"/>
      <c r="AV1226" s="450"/>
      <c r="AW1226" s="450"/>
      <c r="AX1226" s="450"/>
      <c r="AY1226" s="450"/>
      <c r="AZ1226" s="450"/>
      <c r="BA1226" s="450"/>
      <c r="BB1226" s="450"/>
      <c r="BC1226" s="450"/>
      <c r="BD1226" s="450"/>
      <c r="BE1226" s="450"/>
      <c r="BF1226" s="450"/>
      <c r="BG1226" s="450"/>
      <c r="BH1226" s="450"/>
      <c r="BI1226" s="450"/>
      <c r="BJ1226" s="450"/>
      <c r="BK1226" s="450"/>
      <c r="BL1226" s="450"/>
      <c r="BM1226" s="450"/>
      <c r="BN1226" s="450"/>
      <c r="BO1226" s="450"/>
      <c r="BP1226" s="450"/>
      <c r="BQ1226" s="450"/>
      <c r="BR1226" s="450"/>
      <c r="BS1226" s="450"/>
      <c r="BT1226" s="450"/>
      <c r="BU1226" s="450"/>
      <c r="BV1226" s="450"/>
      <c r="BW1226" s="450"/>
      <c r="BX1226" s="450"/>
      <c r="BY1226" s="450"/>
      <c r="BZ1226" s="450"/>
      <c r="CA1226" s="450"/>
      <c r="CB1226" s="450"/>
      <c r="CC1226" s="450"/>
      <c r="CD1226" s="450"/>
      <c r="CE1226" s="450"/>
      <c r="CF1226" s="450"/>
      <c r="CG1226" s="450"/>
      <c r="CH1226" s="450"/>
      <c r="CI1226" s="450"/>
      <c r="CJ1226" s="450"/>
      <c r="CK1226" s="450"/>
      <c r="CL1226" s="450"/>
      <c r="CM1226" s="450"/>
      <c r="CN1226" s="450"/>
      <c r="CO1226" s="450"/>
      <c r="CP1226" s="450"/>
      <c r="CQ1226" s="450"/>
      <c r="CR1226" s="450"/>
      <c r="CS1226" s="450"/>
      <c r="CT1226" s="450"/>
      <c r="CU1226" s="450"/>
      <c r="CV1226" s="450"/>
      <c r="CW1226" s="450"/>
      <c r="CX1226" s="450"/>
      <c r="CY1226" s="450"/>
      <c r="CZ1226" s="450"/>
      <c r="DA1226" s="450"/>
      <c r="DB1226" s="1314"/>
      <c r="DC1226" s="478"/>
      <c r="DD1226" s="478"/>
      <c r="DE1226" s="478"/>
      <c r="DF1226" s="478"/>
      <c r="DG1226" s="478"/>
      <c r="DH1226" s="478"/>
      <c r="DI1226" s="478"/>
      <c r="DJ1226" s="478"/>
      <c r="DK1226" s="478"/>
      <c r="DL1226" s="478"/>
      <c r="DM1226" s="478"/>
      <c r="DN1226" s="1335"/>
      <c r="DO1226" s="478"/>
      <c r="DP1226" s="478"/>
      <c r="DQ1226" s="478"/>
      <c r="DR1226" s="478"/>
      <c r="DS1226" s="478"/>
      <c r="DT1226" s="478"/>
      <c r="DU1226" s="478"/>
      <c r="DV1226" s="478"/>
      <c r="DW1226" s="478"/>
      <c r="DX1226" s="478"/>
      <c r="DY1226" s="478"/>
      <c r="DZ1226" s="1335"/>
      <c r="ID1226" s="522" t="str">
        <f>+D1226</f>
        <v>Memorandum</v>
      </c>
      <c r="IE1226" s="495"/>
      <c r="IF1226" s="495"/>
      <c r="IG1226" s="495"/>
      <c r="IH1226" s="450"/>
      <c r="II1226" s="450"/>
      <c r="IJ1226" s="323"/>
      <c r="IK1226" s="495"/>
      <c r="IL1226" s="495"/>
      <c r="IM1226" s="323"/>
      <c r="IN1226" s="495"/>
      <c r="IO1226" s="495"/>
      <c r="IP1226" s="323"/>
      <c r="IQ1226" s="323"/>
      <c r="IR1226" s="323"/>
      <c r="IS1226" s="323"/>
      <c r="IT1226" s="323"/>
      <c r="IU1226" s="323"/>
      <c r="IV1226" s="323"/>
      <c r="KU1226" s="279"/>
    </row>
    <row r="1227" spans="1:307" ht="15.6">
      <c r="A1227" s="279"/>
      <c r="B1227" s="279"/>
      <c r="C1227" s="279"/>
      <c r="D1227" s="449" t="s">
        <v>706</v>
      </c>
      <c r="E1227" s="450"/>
      <c r="F1227" s="450"/>
      <c r="G1227" s="450"/>
      <c r="H1227" s="450"/>
      <c r="I1227" s="450"/>
      <c r="J1227" s="450"/>
      <c r="K1227" s="450"/>
      <c r="L1227" s="450"/>
      <c r="M1227" s="450"/>
      <c r="N1227" s="450"/>
      <c r="O1227" s="450"/>
      <c r="P1227" s="450"/>
      <c r="Q1227" s="450"/>
      <c r="R1227" s="450"/>
      <c r="S1227" s="450"/>
      <c r="T1227" s="450"/>
      <c r="U1227" s="450"/>
      <c r="V1227" s="450"/>
      <c r="W1227" s="450"/>
      <c r="X1227" s="450"/>
      <c r="Y1227" s="450"/>
      <c r="Z1227" s="450"/>
      <c r="AA1227" s="450"/>
      <c r="AB1227" s="450"/>
      <c r="AC1227" s="450"/>
      <c r="AD1227" s="450"/>
      <c r="AE1227" s="450"/>
      <c r="AF1227" s="450"/>
      <c r="AG1227" s="450"/>
      <c r="AH1227" s="450"/>
      <c r="AI1227" s="450"/>
      <c r="AJ1227" s="450"/>
      <c r="AK1227" s="450"/>
      <c r="AL1227" s="450"/>
      <c r="AM1227" s="450"/>
      <c r="AN1227" s="450"/>
      <c r="AO1227" s="450"/>
      <c r="AP1227" s="450"/>
      <c r="AQ1227" s="450"/>
      <c r="AR1227" s="450"/>
      <c r="AS1227" s="450"/>
      <c r="AT1227" s="450"/>
      <c r="AU1227" s="450"/>
      <c r="AV1227" s="450"/>
      <c r="AW1227" s="450"/>
      <c r="AX1227" s="450"/>
      <c r="AY1227" s="450"/>
      <c r="AZ1227" s="450"/>
      <c r="BA1227" s="450"/>
      <c r="BB1227" s="450"/>
      <c r="BC1227" s="450"/>
      <c r="BD1227" s="450"/>
      <c r="BE1227" s="450"/>
      <c r="BF1227" s="450"/>
      <c r="BG1227" s="450"/>
      <c r="BH1227" s="450"/>
      <c r="BI1227" s="450"/>
      <c r="BJ1227" s="450"/>
      <c r="BK1227" s="450"/>
      <c r="BL1227" s="450"/>
      <c r="BM1227" s="450"/>
      <c r="BN1227" s="450"/>
      <c r="BO1227" s="450"/>
      <c r="BP1227" s="450"/>
      <c r="BQ1227" s="450"/>
      <c r="BR1227" s="450"/>
      <c r="BS1227" s="450"/>
      <c r="BT1227" s="450"/>
      <c r="BU1227" s="450"/>
      <c r="BV1227" s="450"/>
      <c r="BW1227" s="450"/>
      <c r="BX1227" s="450"/>
      <c r="BY1227" s="450"/>
      <c r="BZ1227" s="450"/>
      <c r="CA1227" s="450"/>
      <c r="CB1227" s="450"/>
      <c r="CC1227" s="450"/>
      <c r="CD1227" s="450"/>
      <c r="CE1227" s="450"/>
      <c r="CF1227" s="450"/>
      <c r="CG1227" s="450"/>
      <c r="CH1227" s="450"/>
      <c r="CI1227" s="450"/>
      <c r="CJ1227" s="450"/>
      <c r="CK1227" s="450"/>
      <c r="CL1227" s="450"/>
      <c r="CM1227" s="450"/>
      <c r="CN1227" s="450"/>
      <c r="CO1227" s="450"/>
      <c r="CP1227" s="450"/>
      <c r="CQ1227" s="450"/>
      <c r="CR1227" s="450"/>
      <c r="CS1227" s="450"/>
      <c r="CT1227" s="450"/>
      <c r="CU1227" s="450"/>
      <c r="CV1227" s="450"/>
      <c r="CW1227" s="450"/>
      <c r="CX1227" s="450"/>
      <c r="CY1227" s="450"/>
      <c r="CZ1227" s="450"/>
      <c r="DA1227" s="450"/>
      <c r="DB1227" s="1314"/>
      <c r="DC1227" s="478"/>
      <c r="DD1227" s="478"/>
      <c r="DE1227" s="478"/>
      <c r="DF1227" s="478"/>
      <c r="DG1227" s="478"/>
      <c r="DH1227" s="478"/>
      <c r="DI1227" s="478"/>
      <c r="DJ1227" s="478"/>
      <c r="DK1227" s="478"/>
      <c r="DL1227" s="478"/>
      <c r="DM1227" s="478"/>
      <c r="DN1227" s="1335"/>
      <c r="DO1227" s="478"/>
      <c r="DP1227" s="478"/>
      <c r="DQ1227" s="478"/>
      <c r="DR1227" s="478"/>
      <c r="DS1227" s="478"/>
      <c r="DT1227" s="478"/>
      <c r="DU1227" s="478"/>
      <c r="DV1227" s="478"/>
      <c r="DW1227" s="478"/>
      <c r="DX1227" s="478"/>
      <c r="DY1227" s="478"/>
      <c r="DZ1227" s="1335"/>
      <c r="ID1227" s="495" t="str">
        <f>+D1227</f>
        <v>Average interest rate on dometic debt (FY average)</v>
      </c>
      <c r="IE1227" s="495"/>
      <c r="IF1227" s="495"/>
      <c r="IG1227" s="528">
        <f>+IG600/DB1196</f>
        <v>4.6313692752810248E-2</v>
      </c>
      <c r="IH1227" s="450"/>
      <c r="II1227" s="450"/>
      <c r="IJ1227" s="323">
        <f>+IJ600</f>
        <v>25.351373894877149</v>
      </c>
      <c r="IK1227" s="495"/>
      <c r="IL1227" s="495"/>
      <c r="IM1227" s="323"/>
      <c r="IN1227" s="495"/>
      <c r="IO1227" s="495"/>
      <c r="IP1227" s="323"/>
      <c r="IQ1227" s="323"/>
      <c r="IR1227" s="323"/>
      <c r="IS1227" s="323"/>
      <c r="IT1227" s="323"/>
      <c r="IU1227" s="323"/>
      <c r="IV1227" s="323"/>
      <c r="KU1227" s="279"/>
    </row>
    <row r="1228" spans="1:307" ht="15.6">
      <c r="A1228" s="279"/>
      <c r="B1228" s="279"/>
      <c r="C1228" s="279"/>
      <c r="D1228" s="449"/>
      <c r="E1228" s="450"/>
      <c r="F1228" s="450"/>
      <c r="G1228" s="450"/>
      <c r="H1228" s="450"/>
      <c r="I1228" s="450"/>
      <c r="J1228" s="450"/>
      <c r="K1228" s="450"/>
      <c r="L1228" s="450"/>
      <c r="M1228" s="450"/>
      <c r="N1228" s="450"/>
      <c r="O1228" s="450"/>
      <c r="P1228" s="450"/>
      <c r="Q1228" s="450"/>
      <c r="R1228" s="450"/>
      <c r="S1228" s="450"/>
      <c r="T1228" s="450"/>
      <c r="U1228" s="450"/>
      <c r="V1228" s="450"/>
      <c r="W1228" s="450"/>
      <c r="X1228" s="450"/>
      <c r="Y1228" s="450"/>
      <c r="Z1228" s="450"/>
      <c r="AA1228" s="450"/>
      <c r="AB1228" s="450"/>
      <c r="AC1228" s="450"/>
      <c r="AD1228" s="450"/>
      <c r="AE1228" s="450"/>
      <c r="AF1228" s="450"/>
      <c r="AG1228" s="450"/>
      <c r="AH1228" s="450"/>
      <c r="AI1228" s="450"/>
      <c r="AJ1228" s="450"/>
      <c r="AK1228" s="450"/>
      <c r="AL1228" s="450"/>
      <c r="AM1228" s="450"/>
      <c r="AN1228" s="450"/>
      <c r="AO1228" s="450"/>
      <c r="AP1228" s="450"/>
      <c r="AQ1228" s="450"/>
      <c r="AR1228" s="450"/>
      <c r="AS1228" s="450"/>
      <c r="AT1228" s="450"/>
      <c r="AU1228" s="450"/>
      <c r="AV1228" s="450"/>
      <c r="AW1228" s="450"/>
      <c r="AX1228" s="450"/>
      <c r="AY1228" s="450"/>
      <c r="AZ1228" s="450"/>
      <c r="BA1228" s="450"/>
      <c r="BB1228" s="450"/>
      <c r="BC1228" s="450"/>
      <c r="BD1228" s="450"/>
      <c r="BE1228" s="450"/>
      <c r="BF1228" s="450"/>
      <c r="BG1228" s="450"/>
      <c r="BH1228" s="450"/>
      <c r="BI1228" s="450"/>
      <c r="BJ1228" s="450"/>
      <c r="BK1228" s="450"/>
      <c r="BL1228" s="450"/>
      <c r="BM1228" s="450"/>
      <c r="BN1228" s="450"/>
      <c r="BO1228" s="450"/>
      <c r="BP1228" s="450"/>
      <c r="BQ1228" s="450"/>
      <c r="BR1228" s="450"/>
      <c r="BS1228" s="450"/>
      <c r="BT1228" s="450"/>
      <c r="BU1228" s="450"/>
      <c r="BV1228" s="450"/>
      <c r="BW1228" s="450"/>
      <c r="BX1228" s="450"/>
      <c r="BY1228" s="450"/>
      <c r="BZ1228" s="450"/>
      <c r="CA1228" s="450"/>
      <c r="CB1228" s="450"/>
      <c r="CC1228" s="450"/>
      <c r="CD1228" s="450"/>
      <c r="CE1228" s="450"/>
      <c r="CF1228" s="450"/>
      <c r="CG1228" s="450"/>
      <c r="CH1228" s="450"/>
      <c r="CI1228" s="450"/>
      <c r="CJ1228" s="450"/>
      <c r="CK1228" s="450"/>
      <c r="CL1228" s="450"/>
      <c r="CM1228" s="450"/>
      <c r="CN1228" s="450"/>
      <c r="CO1228" s="450"/>
      <c r="CP1228" s="450"/>
      <c r="CQ1228" s="450"/>
      <c r="CR1228" s="450"/>
      <c r="CS1228" s="450"/>
      <c r="CT1228" s="450"/>
      <c r="CU1228" s="450"/>
      <c r="CV1228" s="450"/>
      <c r="CW1228" s="450"/>
      <c r="CX1228" s="450"/>
      <c r="CY1228" s="450"/>
      <c r="CZ1228" s="450"/>
      <c r="DA1228" s="450"/>
      <c r="DB1228" s="1314"/>
      <c r="DC1228" s="478"/>
      <c r="DD1228" s="478"/>
      <c r="DE1228" s="478"/>
      <c r="DF1228" s="478"/>
      <c r="DG1228" s="478"/>
      <c r="DH1228" s="478"/>
      <c r="DI1228" s="478"/>
      <c r="DJ1228" s="478"/>
      <c r="DK1228" s="478"/>
      <c r="DL1228" s="478"/>
      <c r="DM1228" s="478"/>
      <c r="DN1228" s="1335"/>
      <c r="DO1228" s="478"/>
      <c r="DP1228" s="478"/>
      <c r="DQ1228" s="478"/>
      <c r="DR1228" s="478"/>
      <c r="DS1228" s="478"/>
      <c r="DT1228" s="478"/>
      <c r="DU1228" s="478"/>
      <c r="DV1228" s="478"/>
      <c r="DW1228" s="478"/>
      <c r="DX1228" s="478"/>
      <c r="DY1228" s="478"/>
      <c r="DZ1228" s="1335"/>
      <c r="ID1228" s="495"/>
      <c r="IE1228" s="495"/>
      <c r="IF1228" s="495"/>
      <c r="IG1228" s="495"/>
      <c r="IH1228" s="450"/>
      <c r="II1228" s="450"/>
      <c r="IJ1228" s="323"/>
      <c r="IK1228" s="495"/>
      <c r="IL1228" s="495"/>
      <c r="IM1228" s="323"/>
      <c r="IN1228" s="495"/>
      <c r="IO1228" s="495"/>
      <c r="IP1228" s="323"/>
      <c r="IQ1228" s="323"/>
      <c r="IR1228" s="323"/>
      <c r="IS1228" s="323"/>
      <c r="IT1228" s="323"/>
      <c r="IU1228" s="323"/>
      <c r="IV1228" s="323"/>
      <c r="KU1228" s="279"/>
    </row>
    <row r="1229" spans="1:307">
      <c r="A1229" s="279"/>
      <c r="B1229" s="279"/>
      <c r="C1229" s="279"/>
      <c r="D1229" s="96" t="s">
        <v>703</v>
      </c>
      <c r="ID1229" s="96" t="s">
        <v>704</v>
      </c>
      <c r="KU1229" s="279"/>
    </row>
    <row r="1230" spans="1:307">
      <c r="D1230" s="967" t="s">
        <v>1199</v>
      </c>
      <c r="AH1230" s="279">
        <f>AH725+AH1232</f>
        <v>40.743024720999991</v>
      </c>
      <c r="AI1230" s="279">
        <f t="shared" ref="AI1230:AM1230" si="2417">AI725+AI1232</f>
        <v>27.257941557999995</v>
      </c>
      <c r="AJ1230" s="279">
        <f t="shared" si="2417"/>
        <v>27.793590137000002</v>
      </c>
      <c r="AK1230" s="279">
        <f t="shared" si="2417"/>
        <v>34.524928839000005</v>
      </c>
      <c r="AL1230" s="279">
        <f t="shared" si="2417"/>
        <v>27.274276262000001</v>
      </c>
      <c r="AM1230" s="279">
        <f t="shared" si="2417"/>
        <v>30.466199999999997</v>
      </c>
      <c r="EY1230" s="1544" t="s">
        <v>3211</v>
      </c>
    </row>
    <row r="1231" spans="1:307">
      <c r="D1231" s="1625" t="s">
        <v>3267</v>
      </c>
      <c r="E1231" s="352">
        <v>39083</v>
      </c>
      <c r="F1231" s="352">
        <v>39114</v>
      </c>
      <c r="G1231" s="352">
        <v>39142</v>
      </c>
      <c r="H1231" s="352">
        <v>39173</v>
      </c>
      <c r="I1231" s="352">
        <v>39203</v>
      </c>
      <c r="J1231" s="352">
        <v>39234</v>
      </c>
      <c r="K1231" s="352">
        <v>39264</v>
      </c>
      <c r="L1231" s="352">
        <v>39295</v>
      </c>
      <c r="M1231" s="352">
        <v>39326</v>
      </c>
      <c r="N1231" s="352">
        <v>39356</v>
      </c>
      <c r="O1231" s="352">
        <v>39387</v>
      </c>
      <c r="P1231" s="352">
        <v>39417</v>
      </c>
      <c r="Q1231" s="352">
        <v>39448</v>
      </c>
      <c r="R1231" s="352">
        <v>39479</v>
      </c>
      <c r="S1231" s="352">
        <v>39508</v>
      </c>
      <c r="T1231" s="352">
        <v>39539</v>
      </c>
      <c r="U1231" s="352">
        <v>39569</v>
      </c>
      <c r="V1231" s="352">
        <v>39600</v>
      </c>
      <c r="W1231" s="352">
        <v>39630</v>
      </c>
      <c r="X1231" s="352">
        <v>39661</v>
      </c>
      <c r="Y1231" s="352">
        <v>39692</v>
      </c>
      <c r="Z1231" s="352">
        <v>39722</v>
      </c>
      <c r="AA1231" s="352">
        <v>39753</v>
      </c>
      <c r="AB1231" s="352">
        <v>39783</v>
      </c>
      <c r="AC1231" s="352">
        <v>39814</v>
      </c>
      <c r="AD1231" s="352">
        <v>39845</v>
      </c>
      <c r="AE1231" s="352">
        <v>39873</v>
      </c>
      <c r="AF1231" s="352">
        <v>39904</v>
      </c>
      <c r="AG1231" s="352">
        <v>39934</v>
      </c>
      <c r="AH1231" s="352">
        <v>39965</v>
      </c>
      <c r="AI1231" s="352">
        <v>39995</v>
      </c>
      <c r="AJ1231" s="352">
        <v>40026</v>
      </c>
      <c r="AK1231" s="352">
        <v>40057</v>
      </c>
      <c r="AL1231" s="352">
        <v>40087</v>
      </c>
      <c r="AM1231" s="352">
        <v>40118</v>
      </c>
      <c r="AN1231" s="352">
        <v>40148</v>
      </c>
      <c r="AO1231" s="352">
        <v>40179</v>
      </c>
      <c r="AP1231" s="352">
        <v>40210</v>
      </c>
      <c r="AQ1231" s="352">
        <v>40238</v>
      </c>
      <c r="AR1231" s="352">
        <v>40269</v>
      </c>
      <c r="AS1231" s="352">
        <v>40299</v>
      </c>
      <c r="AT1231" s="352">
        <v>40330</v>
      </c>
      <c r="AU1231" s="352">
        <v>40360</v>
      </c>
      <c r="AV1231" s="352">
        <v>40391</v>
      </c>
      <c r="AW1231" s="352">
        <v>40422</v>
      </c>
      <c r="AX1231" s="352">
        <v>40452</v>
      </c>
      <c r="AY1231" s="352">
        <v>40483</v>
      </c>
      <c r="AZ1231" s="352">
        <v>40513</v>
      </c>
      <c r="BA1231" s="352">
        <v>40544</v>
      </c>
      <c r="BB1231" s="352">
        <v>40575</v>
      </c>
      <c r="BC1231" s="352">
        <v>40603</v>
      </c>
      <c r="BD1231" s="352">
        <v>40634</v>
      </c>
      <c r="BE1231" s="352">
        <v>40664</v>
      </c>
      <c r="BF1231" s="352">
        <v>40695</v>
      </c>
      <c r="BG1231" s="352">
        <v>40725</v>
      </c>
      <c r="BH1231" s="352">
        <v>40756</v>
      </c>
      <c r="BI1231" s="352">
        <v>40787</v>
      </c>
      <c r="BJ1231" s="352">
        <v>40817</v>
      </c>
      <c r="BK1231" s="352">
        <v>40848</v>
      </c>
      <c r="BL1231" s="352">
        <v>40878</v>
      </c>
      <c r="BM1231" s="352">
        <v>40909</v>
      </c>
      <c r="BN1231" s="352">
        <v>40940</v>
      </c>
      <c r="BO1231" s="352">
        <v>40969</v>
      </c>
      <c r="BP1231" s="352">
        <v>41000</v>
      </c>
      <c r="BQ1231" s="352">
        <v>41030</v>
      </c>
      <c r="BR1231" s="352">
        <v>41061</v>
      </c>
      <c r="BS1231" s="352">
        <v>41091</v>
      </c>
      <c r="BT1231" s="352">
        <v>41122</v>
      </c>
      <c r="BU1231" s="352">
        <v>41153</v>
      </c>
      <c r="BV1231" s="352">
        <v>41183</v>
      </c>
      <c r="BW1231" s="352">
        <v>41214</v>
      </c>
      <c r="BX1231" s="352">
        <v>41244</v>
      </c>
      <c r="BY1231" s="352">
        <v>41275</v>
      </c>
      <c r="BZ1231" s="352">
        <v>41306</v>
      </c>
      <c r="CA1231" s="352">
        <v>41334</v>
      </c>
      <c r="CB1231" s="352">
        <v>41365</v>
      </c>
      <c r="CC1231" s="352">
        <v>41395</v>
      </c>
      <c r="CD1231" s="352">
        <v>41426</v>
      </c>
      <c r="CE1231" s="352">
        <v>41456</v>
      </c>
      <c r="CF1231" s="352">
        <v>41487</v>
      </c>
      <c r="CG1231" s="352">
        <v>41518</v>
      </c>
      <c r="CH1231" s="352">
        <v>41548</v>
      </c>
      <c r="CI1231" s="352">
        <v>41579</v>
      </c>
      <c r="CJ1231" s="352">
        <v>41609</v>
      </c>
      <c r="CK1231" s="352">
        <v>41640</v>
      </c>
      <c r="CL1231" s="352">
        <v>41671</v>
      </c>
      <c r="CM1231" s="352">
        <v>41699</v>
      </c>
      <c r="CN1231" s="352">
        <v>41730</v>
      </c>
      <c r="CO1231" s="352">
        <v>41760</v>
      </c>
      <c r="CP1231" s="352">
        <v>41791</v>
      </c>
      <c r="CQ1231" s="352">
        <v>41821</v>
      </c>
      <c r="CR1231" s="352">
        <v>41852</v>
      </c>
      <c r="CS1231" s="352">
        <v>41883</v>
      </c>
      <c r="CT1231" s="352">
        <v>41913</v>
      </c>
      <c r="CU1231" s="352">
        <v>41944</v>
      </c>
      <c r="CV1231" s="352">
        <v>41974</v>
      </c>
      <c r="CW1231" s="352">
        <v>42005</v>
      </c>
      <c r="CX1231" s="352">
        <v>42036</v>
      </c>
      <c r="CY1231" s="352">
        <v>42064</v>
      </c>
      <c r="CZ1231" s="352">
        <v>42095</v>
      </c>
      <c r="DA1231" s="352">
        <v>42125</v>
      </c>
      <c r="DB1231" s="1305">
        <v>42156</v>
      </c>
      <c r="DC1231" s="352">
        <v>42186</v>
      </c>
      <c r="DD1231" s="352">
        <v>42217</v>
      </c>
      <c r="DE1231" s="352">
        <v>42248</v>
      </c>
      <c r="DF1231" s="352">
        <v>42278</v>
      </c>
      <c r="DG1231" s="352">
        <v>42309</v>
      </c>
      <c r="DH1231" s="352">
        <v>42339</v>
      </c>
      <c r="DI1231" s="352">
        <v>42370</v>
      </c>
      <c r="DJ1231" s="352">
        <v>42401</v>
      </c>
      <c r="DK1231" s="352">
        <v>42430</v>
      </c>
      <c r="DL1231" s="352">
        <v>42461</v>
      </c>
      <c r="DM1231" s="352">
        <v>42491</v>
      </c>
      <c r="DN1231" s="1282">
        <v>42522</v>
      </c>
      <c r="DO1231" s="352">
        <v>42552</v>
      </c>
      <c r="DP1231" s="352">
        <v>42583</v>
      </c>
      <c r="DQ1231" s="352">
        <v>42615</v>
      </c>
      <c r="DR1231" s="352">
        <v>42646</v>
      </c>
      <c r="DS1231" s="352">
        <v>42678</v>
      </c>
      <c r="DT1231" s="352">
        <v>42709</v>
      </c>
      <c r="DU1231" s="352">
        <v>42736</v>
      </c>
      <c r="DV1231" s="352">
        <v>42767</v>
      </c>
      <c r="DW1231" s="352">
        <v>42795</v>
      </c>
      <c r="DX1231" s="352">
        <v>42826</v>
      </c>
      <c r="DY1231" s="352">
        <v>42856</v>
      </c>
      <c r="DZ1231" s="1282">
        <v>42887</v>
      </c>
      <c r="EA1231" s="352">
        <v>42917</v>
      </c>
      <c r="EB1231" s="352">
        <v>42948</v>
      </c>
      <c r="EC1231" s="352">
        <v>42979</v>
      </c>
      <c r="ED1231" s="352">
        <v>43009</v>
      </c>
      <c r="EE1231" s="352">
        <v>43040</v>
      </c>
      <c r="EF1231" s="352">
        <v>43070</v>
      </c>
      <c r="EG1231" s="352">
        <v>43101</v>
      </c>
      <c r="EH1231" s="352">
        <v>43132</v>
      </c>
      <c r="EI1231" s="352">
        <v>43160</v>
      </c>
      <c r="EJ1231" s="352">
        <v>43191</v>
      </c>
      <c r="EK1231" s="352">
        <v>43221</v>
      </c>
      <c r="EL1231" s="1282">
        <v>43252</v>
      </c>
      <c r="EM1231" s="352">
        <v>43282</v>
      </c>
      <c r="EN1231" s="352">
        <v>43313</v>
      </c>
      <c r="EO1231" s="352">
        <v>43344</v>
      </c>
      <c r="EP1231" s="352">
        <v>43374</v>
      </c>
      <c r="EQ1231" s="352">
        <v>43405</v>
      </c>
      <c r="ER1231" s="352">
        <v>43435</v>
      </c>
      <c r="ES1231" s="352">
        <v>43466</v>
      </c>
      <c r="ET1231" s="352">
        <v>43497</v>
      </c>
      <c r="EU1231" s="352">
        <v>43525</v>
      </c>
      <c r="EV1231" s="352">
        <v>43556</v>
      </c>
      <c r="EW1231" s="352">
        <v>43586</v>
      </c>
      <c r="EX1231" s="1282">
        <v>43617</v>
      </c>
      <c r="EY1231" s="352">
        <v>43647</v>
      </c>
      <c r="EZ1231" s="352">
        <v>43678</v>
      </c>
      <c r="FA1231" s="352">
        <v>43709</v>
      </c>
      <c r="FB1231" s="352">
        <v>43739</v>
      </c>
      <c r="FC1231" s="352">
        <v>43770</v>
      </c>
      <c r="FD1231" s="352">
        <v>43800</v>
      </c>
      <c r="FE1231" s="352">
        <v>43831</v>
      </c>
      <c r="FF1231" s="352">
        <v>43862</v>
      </c>
      <c r="FG1231" s="352">
        <v>43891</v>
      </c>
      <c r="FH1231" s="352">
        <v>43922</v>
      </c>
      <c r="FI1231" s="352">
        <v>43952</v>
      </c>
      <c r="FJ1231" s="352">
        <v>43983</v>
      </c>
      <c r="FK1231" s="352">
        <v>44013</v>
      </c>
      <c r="FL1231" s="352">
        <v>44044</v>
      </c>
      <c r="FM1231" s="352">
        <v>44075</v>
      </c>
      <c r="FN1231" s="352">
        <v>44105</v>
      </c>
      <c r="FO1231" s="352">
        <v>44136</v>
      </c>
      <c r="FP1231" s="352">
        <v>44166</v>
      </c>
      <c r="FQ1231" s="352">
        <v>44197</v>
      </c>
      <c r="FR1231" s="352">
        <v>44228</v>
      </c>
      <c r="FS1231" s="352">
        <v>44256</v>
      </c>
      <c r="FT1231" s="352">
        <v>44287</v>
      </c>
      <c r="FU1231" s="352">
        <v>44317</v>
      </c>
      <c r="FV1231" s="352">
        <v>44348</v>
      </c>
      <c r="FW1231" s="352">
        <v>44378</v>
      </c>
      <c r="FX1231" s="352">
        <v>44409</v>
      </c>
      <c r="FY1231" s="352">
        <v>44440</v>
      </c>
      <c r="FZ1231" s="352">
        <v>44470</v>
      </c>
      <c r="GA1231" s="352">
        <v>44501</v>
      </c>
      <c r="GB1231" s="352">
        <v>44531</v>
      </c>
      <c r="GC1231" s="352">
        <v>44562</v>
      </c>
      <c r="GD1231" s="352">
        <v>44593</v>
      </c>
      <c r="GE1231" s="352">
        <v>44621</v>
      </c>
      <c r="GF1231" s="352">
        <v>44652</v>
      </c>
      <c r="GG1231" s="352">
        <v>44682</v>
      </c>
      <c r="GH1231" s="352">
        <v>44713</v>
      </c>
      <c r="GI1231" s="352">
        <v>44743</v>
      </c>
      <c r="GJ1231" s="352">
        <v>44774</v>
      </c>
      <c r="GK1231" s="352">
        <v>44805</v>
      </c>
      <c r="GL1231" s="352">
        <v>44835</v>
      </c>
      <c r="GM1231" s="352">
        <v>44866</v>
      </c>
      <c r="GN1231" s="352">
        <v>44896</v>
      </c>
      <c r="GO1231" s="352">
        <v>44927</v>
      </c>
      <c r="GP1231" s="352">
        <v>44958</v>
      </c>
      <c r="GQ1231" s="352">
        <v>44986</v>
      </c>
      <c r="GR1231" s="352">
        <v>45017</v>
      </c>
      <c r="GS1231" s="352">
        <v>45047</v>
      </c>
      <c r="GT1231" s="352">
        <v>45078</v>
      </c>
      <c r="GU1231" s="352">
        <v>45108</v>
      </c>
      <c r="GV1231" s="352">
        <v>45139</v>
      </c>
      <c r="GW1231" s="352">
        <v>45170</v>
      </c>
      <c r="GX1231" s="352">
        <v>45200</v>
      </c>
      <c r="GY1231" s="352">
        <v>45231</v>
      </c>
      <c r="GZ1231" s="352">
        <v>45261</v>
      </c>
      <c r="HA1231" s="352">
        <v>45292</v>
      </c>
      <c r="HB1231" s="352">
        <v>45323</v>
      </c>
      <c r="HC1231" s="352">
        <v>45352</v>
      </c>
      <c r="HD1231" s="352">
        <v>45383</v>
      </c>
      <c r="HE1231" s="352">
        <v>45413</v>
      </c>
      <c r="HF1231" s="352">
        <v>45444</v>
      </c>
      <c r="HG1231" s="352">
        <v>45474</v>
      </c>
      <c r="HH1231" s="352">
        <v>45505</v>
      </c>
      <c r="HI1231" s="352">
        <v>45536</v>
      </c>
      <c r="HJ1231" s="352">
        <v>45566</v>
      </c>
      <c r="HK1231" s="352">
        <v>45597</v>
      </c>
      <c r="HL1231" s="352">
        <v>45627</v>
      </c>
      <c r="HM1231" s="352">
        <v>45628</v>
      </c>
      <c r="HN1231" s="352">
        <v>45629</v>
      </c>
      <c r="HO1231" s="352">
        <v>45630</v>
      </c>
      <c r="HP1231" s="352">
        <v>45631</v>
      </c>
      <c r="HQ1231" s="352">
        <v>45632</v>
      </c>
      <c r="HR1231" s="352">
        <v>45633</v>
      </c>
      <c r="HS1231" s="352"/>
      <c r="HT1231" s="352"/>
      <c r="HU1231" s="352"/>
      <c r="HV1231" s="352"/>
      <c r="HW1231" s="352"/>
      <c r="HX1231" s="352"/>
    </row>
    <row r="1232" spans="1:307" ht="17.25" customHeight="1">
      <c r="D1232" s="1106" t="s">
        <v>116</v>
      </c>
      <c r="E1232" s="279">
        <f t="shared" ref="E1232:AM1232" si="2418">E552</f>
        <v>16.5383</v>
      </c>
      <c r="F1232" s="279">
        <f t="shared" si="2418"/>
        <v>15.875399999999999</v>
      </c>
      <c r="G1232" s="279">
        <f t="shared" si="2418"/>
        <v>24.213000000000001</v>
      </c>
      <c r="H1232" s="279">
        <f t="shared" si="2418"/>
        <v>20.4634</v>
      </c>
      <c r="I1232" s="279">
        <f t="shared" si="2418"/>
        <v>20.900200000000002</v>
      </c>
      <c r="J1232" s="279">
        <f t="shared" si="2418"/>
        <v>26.330902116000001</v>
      </c>
      <c r="K1232" s="279">
        <f t="shared" si="2418"/>
        <v>18.669034962999998</v>
      </c>
      <c r="L1232" s="279">
        <f t="shared" si="2418"/>
        <v>20.163478661999999</v>
      </c>
      <c r="M1232" s="279">
        <f t="shared" si="2418"/>
        <v>23.201122285</v>
      </c>
      <c r="N1232" s="279">
        <f t="shared" si="2418"/>
        <v>19.877401225</v>
      </c>
      <c r="O1232" s="279">
        <f t="shared" si="2418"/>
        <v>21.377868437</v>
      </c>
      <c r="P1232" s="279">
        <f t="shared" si="2418"/>
        <v>25.326898893999999</v>
      </c>
      <c r="Q1232" s="279">
        <f t="shared" si="2418"/>
        <v>22.179866305999997</v>
      </c>
      <c r="R1232" s="279">
        <f t="shared" si="2418"/>
        <v>21.164371927000001</v>
      </c>
      <c r="S1232" s="279">
        <f t="shared" si="2418"/>
        <v>27.234012576000001</v>
      </c>
      <c r="T1232" s="279">
        <f t="shared" si="2418"/>
        <v>25.754677922000003</v>
      </c>
      <c r="U1232" s="279">
        <f t="shared" si="2418"/>
        <v>24.531161763</v>
      </c>
      <c r="V1232" s="279">
        <f t="shared" si="2418"/>
        <v>40.780660499</v>
      </c>
      <c r="W1232" s="279">
        <f t="shared" si="2418"/>
        <v>25.122907194</v>
      </c>
      <c r="X1232" s="279">
        <f t="shared" si="2418"/>
        <v>26.188947629999998</v>
      </c>
      <c r="Y1232" s="279">
        <f t="shared" si="2418"/>
        <v>36.555613293</v>
      </c>
      <c r="Z1232" s="279">
        <f t="shared" si="2418"/>
        <v>30.925497113999999</v>
      </c>
      <c r="AA1232" s="279">
        <f t="shared" si="2418"/>
        <v>27.185696262999997</v>
      </c>
      <c r="AB1232" s="279">
        <f t="shared" si="2418"/>
        <v>73.355484633000003</v>
      </c>
      <c r="AC1232" s="279">
        <f t="shared" si="2418"/>
        <v>29.319654589999999</v>
      </c>
      <c r="AD1232" s="279">
        <f t="shared" si="2418"/>
        <v>29.951000631000003</v>
      </c>
      <c r="AE1232" s="279">
        <f t="shared" si="2418"/>
        <v>34.806349091999998</v>
      </c>
      <c r="AF1232" s="279">
        <f t="shared" si="2418"/>
        <v>29.167745937999999</v>
      </c>
      <c r="AG1232" s="279">
        <f t="shared" si="2418"/>
        <v>29.712147304000002</v>
      </c>
      <c r="AH1232" s="279">
        <f t="shared" si="2418"/>
        <v>40.743024720999991</v>
      </c>
      <c r="AI1232" s="279">
        <f t="shared" si="2418"/>
        <v>27.257941557999995</v>
      </c>
      <c r="AJ1232" s="279">
        <f t="shared" si="2418"/>
        <v>27.793590137000002</v>
      </c>
      <c r="AK1232" s="279">
        <f t="shared" si="2418"/>
        <v>34.524928839000005</v>
      </c>
      <c r="AL1232" s="279">
        <f t="shared" si="2418"/>
        <v>27.274276262000001</v>
      </c>
      <c r="AM1232" s="279">
        <f t="shared" si="2418"/>
        <v>30.466199999999997</v>
      </c>
      <c r="AN1232" s="279">
        <f t="shared" ref="AN1232:BS1232" si="2419">AN552</f>
        <v>38.3446</v>
      </c>
      <c r="AO1232" s="279">
        <f t="shared" si="2419"/>
        <v>29.764936359</v>
      </c>
      <c r="AP1232" s="279">
        <f t="shared" si="2419"/>
        <v>28.208919395999999</v>
      </c>
      <c r="AQ1232" s="279">
        <f t="shared" si="2419"/>
        <v>46.601846963</v>
      </c>
      <c r="AR1232" s="279">
        <f t="shared" si="2419"/>
        <v>30.875261329000001</v>
      </c>
      <c r="AS1232" s="279">
        <f t="shared" si="2419"/>
        <v>31.183278000000001</v>
      </c>
      <c r="AT1232" s="279">
        <f t="shared" si="2419"/>
        <v>37.676075787000002</v>
      </c>
      <c r="AU1232" s="279">
        <f t="shared" si="2419"/>
        <v>31.866403909999999</v>
      </c>
      <c r="AV1232" s="279">
        <f t="shared" si="2419"/>
        <v>36.252635124999998</v>
      </c>
      <c r="AW1232" s="279">
        <f t="shared" si="2419"/>
        <v>40.302209705000003</v>
      </c>
      <c r="AX1232" s="279">
        <f t="shared" si="2419"/>
        <v>34.389034735999999</v>
      </c>
      <c r="AY1232" s="279">
        <f t="shared" si="2419"/>
        <v>37.329067059000003</v>
      </c>
      <c r="AZ1232" s="279">
        <f t="shared" si="2419"/>
        <v>46.461917195000005</v>
      </c>
      <c r="BA1232" s="279">
        <f t="shared" si="2419"/>
        <v>40.372282581</v>
      </c>
      <c r="BB1232" s="279">
        <f t="shared" si="2419"/>
        <v>32.462750329000002</v>
      </c>
      <c r="BC1232" s="279">
        <f t="shared" si="2419"/>
        <v>51.692223890000001</v>
      </c>
      <c r="BD1232" s="279">
        <f t="shared" si="2419"/>
        <v>37.733015287000001</v>
      </c>
      <c r="BE1232" s="279">
        <f t="shared" si="2419"/>
        <v>42.271061997000004</v>
      </c>
      <c r="BF1232" s="279">
        <f t="shared" si="2419"/>
        <v>52.966000926999996</v>
      </c>
      <c r="BG1232" s="279">
        <f t="shared" si="2419"/>
        <v>36.168595312799994</v>
      </c>
      <c r="BH1232" s="279">
        <f t="shared" si="2419"/>
        <v>43.234283078200001</v>
      </c>
      <c r="BI1232" s="279">
        <f t="shared" si="2419"/>
        <v>65.594706880900006</v>
      </c>
      <c r="BJ1232" s="279">
        <f t="shared" si="2419"/>
        <v>41.211862676999999</v>
      </c>
      <c r="BK1232" s="279">
        <f t="shared" si="2419"/>
        <v>43.569539720999998</v>
      </c>
      <c r="BL1232" s="279">
        <f t="shared" si="2419"/>
        <v>54.424474300999997</v>
      </c>
      <c r="BM1232" s="279">
        <f t="shared" si="2419"/>
        <v>44.105241053999997</v>
      </c>
      <c r="BN1232" s="279">
        <f t="shared" si="2419"/>
        <v>44.312992412999996</v>
      </c>
      <c r="BO1232" s="279">
        <f t="shared" si="2419"/>
        <v>60.043170514999993</v>
      </c>
      <c r="BP1232" s="279">
        <f t="shared" si="2419"/>
        <v>44.577221414999997</v>
      </c>
      <c r="BQ1232" s="279">
        <f t="shared" si="2419"/>
        <v>56.649560364000003</v>
      </c>
      <c r="BR1232" s="279">
        <f t="shared" si="2419"/>
        <v>57.936586860999995</v>
      </c>
      <c r="BS1232" s="279">
        <f t="shared" si="2419"/>
        <v>50.174999999999997</v>
      </c>
      <c r="BT1232" s="279">
        <f t="shared" ref="BT1232:CY1232" si="2420">BT552</f>
        <v>51.167600000000007</v>
      </c>
      <c r="BU1232" s="279">
        <f t="shared" si="2420"/>
        <v>58.022500000000001</v>
      </c>
      <c r="BV1232" s="279">
        <f t="shared" si="2420"/>
        <v>67.65402367063237</v>
      </c>
      <c r="BW1232" s="279">
        <f t="shared" si="2420"/>
        <v>49.19572033965882</v>
      </c>
      <c r="BX1232" s="279">
        <f t="shared" si="2420"/>
        <v>69.986593628505176</v>
      </c>
      <c r="BY1232" s="279">
        <f t="shared" si="2420"/>
        <v>53.009075458916328</v>
      </c>
      <c r="BZ1232" s="279">
        <f t="shared" si="2420"/>
        <v>52.648868041803432</v>
      </c>
      <c r="CA1232" s="279">
        <f t="shared" si="2420"/>
        <v>88.217625266590289</v>
      </c>
      <c r="CB1232" s="279">
        <f t="shared" si="2420"/>
        <v>53.706899125880469</v>
      </c>
      <c r="CC1232" s="279">
        <f t="shared" si="2420"/>
        <v>55.896236535222947</v>
      </c>
      <c r="CD1232" s="279">
        <f t="shared" si="2420"/>
        <v>85.3276152868808</v>
      </c>
      <c r="CE1232" s="279">
        <f t="shared" si="2420"/>
        <v>60.830473264697275</v>
      </c>
      <c r="CF1232" s="279">
        <f t="shared" si="2420"/>
        <v>61.031943501572783</v>
      </c>
      <c r="CG1232" s="279">
        <f t="shared" si="2420"/>
        <v>68.846531850293431</v>
      </c>
      <c r="CH1232" s="279">
        <f t="shared" si="2420"/>
        <v>82.132439465750224</v>
      </c>
      <c r="CI1232" s="279">
        <f t="shared" si="2420"/>
        <v>58.711358355824714</v>
      </c>
      <c r="CJ1232" s="279">
        <f t="shared" si="2420"/>
        <v>86.316598820932796</v>
      </c>
      <c r="CK1232" s="279">
        <f t="shared" si="2420"/>
        <v>63.573570289825042</v>
      </c>
      <c r="CL1232" s="279">
        <f t="shared" si="2420"/>
        <v>63.250821485083073</v>
      </c>
      <c r="CM1232" s="279">
        <f t="shared" si="2420"/>
        <v>87.988916234456212</v>
      </c>
      <c r="CN1232" s="279">
        <f t="shared" si="2420"/>
        <v>60.020681533917354</v>
      </c>
      <c r="CO1232" s="279">
        <f t="shared" si="2420"/>
        <v>67.4479192841996</v>
      </c>
      <c r="CP1232" s="279">
        <f t="shared" si="2420"/>
        <v>113.71838556811986</v>
      </c>
      <c r="CQ1232" s="279">
        <f t="shared" si="2420"/>
        <v>62.99602087442333</v>
      </c>
      <c r="CR1232" s="279">
        <f t="shared" si="2420"/>
        <v>65.33411370871147</v>
      </c>
      <c r="CS1232" s="279">
        <f t="shared" si="2420"/>
        <v>85.09322572872253</v>
      </c>
      <c r="CT1232" s="279">
        <f t="shared" si="2420"/>
        <v>61.511698774882227</v>
      </c>
      <c r="CU1232" s="279">
        <f t="shared" si="2420"/>
        <v>59.358373962794374</v>
      </c>
      <c r="CV1232" s="279">
        <f t="shared" si="2420"/>
        <v>83.649151977615134</v>
      </c>
      <c r="CW1232" s="279">
        <f t="shared" si="2420"/>
        <v>74.506710858277586</v>
      </c>
      <c r="CX1232" s="279">
        <f t="shared" si="2420"/>
        <v>67.356111067263086</v>
      </c>
      <c r="CY1232" s="279">
        <f t="shared" si="2420"/>
        <v>91.909844021911795</v>
      </c>
      <c r="CZ1232" s="279">
        <f t="shared" ref="CZ1232:EE1232" si="2421">CZ552</f>
        <v>74.158829422090108</v>
      </c>
      <c r="DA1232" s="279">
        <f t="shared" si="2421"/>
        <v>70.44882806760269</v>
      </c>
      <c r="DB1232" s="675">
        <f t="shared" si="2421"/>
        <v>104.82506873185119</v>
      </c>
      <c r="DC1232" s="279">
        <f t="shared" si="2421"/>
        <v>69.560293773846709</v>
      </c>
      <c r="DD1232" s="279">
        <f t="shared" si="2421"/>
        <v>70.520117501935545</v>
      </c>
      <c r="DE1232" s="279">
        <f t="shared" si="2421"/>
        <v>90.531258142568404</v>
      </c>
      <c r="DF1232" s="279">
        <f t="shared" si="2421"/>
        <v>80.509053397906328</v>
      </c>
      <c r="DG1232" s="279">
        <f t="shared" si="2421"/>
        <v>73.21240330954916</v>
      </c>
      <c r="DH1232" s="279">
        <f t="shared" si="2421"/>
        <v>99.708799863493851</v>
      </c>
      <c r="DI1232" s="279">
        <f t="shared" si="2421"/>
        <v>80.698102275652388</v>
      </c>
      <c r="DJ1232" s="279">
        <f t="shared" si="2421"/>
        <v>77.448607252147653</v>
      </c>
      <c r="DK1232" s="279">
        <f t="shared" si="2421"/>
        <v>118.54506562031246</v>
      </c>
      <c r="DL1232" s="279">
        <f t="shared" si="2421"/>
        <v>81.13460613768342</v>
      </c>
      <c r="DM1232" s="279">
        <f t="shared" si="2421"/>
        <v>80.950177593496889</v>
      </c>
      <c r="DN1232" s="280">
        <f t="shared" si="2421"/>
        <v>122.2152256734072</v>
      </c>
      <c r="DO1232" s="279">
        <f t="shared" si="2421"/>
        <v>73.140603806900003</v>
      </c>
      <c r="DP1232" s="279">
        <f t="shared" si="2421"/>
        <v>85.874613060300021</v>
      </c>
      <c r="DQ1232" s="279">
        <f t="shared" si="2421"/>
        <v>99.786274171000002</v>
      </c>
      <c r="DR1232" s="279">
        <f t="shared" si="2421"/>
        <v>78.461688966700009</v>
      </c>
      <c r="DS1232" s="279">
        <f t="shared" si="2421"/>
        <v>80.908753246679993</v>
      </c>
      <c r="DT1232" s="279">
        <f t="shared" si="2421"/>
        <v>113.88552680144727</v>
      </c>
      <c r="DU1232" s="279">
        <f t="shared" si="2421"/>
        <v>91.446586292100008</v>
      </c>
      <c r="DV1232" s="279">
        <f t="shared" si="2421"/>
        <v>84.347827259100001</v>
      </c>
      <c r="DW1232" s="279">
        <f t="shared" si="2421"/>
        <v>135.34661416151002</v>
      </c>
      <c r="DX1232" s="279">
        <f t="shared" si="2421"/>
        <v>83.559970221553328</v>
      </c>
      <c r="DY1232" s="279">
        <f t="shared" si="2421"/>
        <v>93.673069426033351</v>
      </c>
      <c r="DZ1232" s="280">
        <f t="shared" si="2421"/>
        <v>136.64901757505334</v>
      </c>
      <c r="EA1232" s="279">
        <f t="shared" si="2421"/>
        <v>84.42665940725</v>
      </c>
      <c r="EB1232" s="279">
        <f t="shared" si="2421"/>
        <v>91.424914119540006</v>
      </c>
      <c r="EC1232" s="279">
        <f t="shared" si="2421"/>
        <v>112.65677547006997</v>
      </c>
      <c r="ED1232" s="279">
        <f t="shared" si="2421"/>
        <v>98.593675177519998</v>
      </c>
      <c r="EE1232" s="279">
        <f t="shared" si="2421"/>
        <v>95.31290553716002</v>
      </c>
      <c r="EF1232" s="279">
        <f t="shared" ref="EF1232:EX1232" si="2422">EF552</f>
        <v>130.89068889513001</v>
      </c>
      <c r="EG1232" s="279">
        <f t="shared" si="2422"/>
        <v>107.42943179415485</v>
      </c>
      <c r="EH1232" s="279">
        <f t="shared" si="2422"/>
        <v>91.336825825805931</v>
      </c>
      <c r="EI1232" s="279">
        <f t="shared" si="2422"/>
        <v>142.56662475513522</v>
      </c>
      <c r="EJ1232" s="279">
        <f t="shared" si="2422"/>
        <v>111.50793754862167</v>
      </c>
      <c r="EK1232" s="279">
        <f t="shared" si="2422"/>
        <v>99.213779319099984</v>
      </c>
      <c r="EL1232" s="280">
        <f t="shared" si="2422"/>
        <v>146.09078470284848</v>
      </c>
      <c r="EM1232" s="279">
        <f t="shared" si="2422"/>
        <v>95.420989451839986</v>
      </c>
      <c r="EN1232" s="279">
        <f t="shared" si="2422"/>
        <v>108.81270264777001</v>
      </c>
      <c r="EO1232" s="279">
        <f t="shared" si="2422"/>
        <v>129.15230146476</v>
      </c>
      <c r="EP1232" s="279">
        <f t="shared" si="2422"/>
        <v>110.25108932757665</v>
      </c>
      <c r="EQ1232" s="279">
        <f t="shared" si="2422"/>
        <v>108.78106751283667</v>
      </c>
      <c r="ER1232" s="279">
        <f t="shared" si="2422"/>
        <v>154.62290892254671</v>
      </c>
      <c r="ES1232" s="279">
        <f t="shared" si="2422"/>
        <v>124.96217212857266</v>
      </c>
      <c r="ET1232" s="279">
        <f t="shared" si="2422"/>
        <v>111.86706099454993</v>
      </c>
      <c r="EU1232" s="279">
        <f t="shared" si="2422"/>
        <v>142.06152657032001</v>
      </c>
      <c r="EV1232" s="279">
        <f t="shared" si="2422"/>
        <v>135.30856396449443</v>
      </c>
      <c r="EW1232" s="279">
        <f t="shared" si="2422"/>
        <v>121.20207718578003</v>
      </c>
      <c r="EX1232" s="1546">
        <f t="shared" si="2422"/>
        <v>176.73277592332821</v>
      </c>
      <c r="EY1232" s="679">
        <f>+EY1233+EY1237</f>
        <v>114.83453981326105</v>
      </c>
      <c r="EZ1232" s="679">
        <f t="shared" ref="EZ1232:FJ1232" si="2423">+EZ1233+EZ1237</f>
        <v>135.89083276388661</v>
      </c>
      <c r="FA1232" s="679">
        <f t="shared" si="2423"/>
        <v>181.00530881649536</v>
      </c>
      <c r="FB1232" s="679">
        <f t="shared" si="2423"/>
        <v>150.22595077333781</v>
      </c>
      <c r="FC1232" s="679">
        <f t="shared" si="2423"/>
        <v>118.49983769200622</v>
      </c>
      <c r="FD1232" s="679">
        <f t="shared" si="2423"/>
        <v>206.81511039105527</v>
      </c>
      <c r="FE1232" s="679">
        <f t="shared" si="2423"/>
        <v>143.91481310327757</v>
      </c>
      <c r="FF1232" s="679">
        <f t="shared" si="2423"/>
        <v>125.7204539593159</v>
      </c>
      <c r="FG1232" s="679">
        <f t="shared" si="2423"/>
        <v>136.3822235616409</v>
      </c>
      <c r="FH1232" s="679">
        <f t="shared" si="2423"/>
        <v>130.33241711857522</v>
      </c>
      <c r="FI1232" s="679">
        <f t="shared" si="2423"/>
        <v>130.52670572151669</v>
      </c>
      <c r="FJ1232" s="679">
        <f t="shared" si="2423"/>
        <v>181.25506548105636</v>
      </c>
      <c r="FK1232" s="679">
        <f>+FK1233+FK1237</f>
        <v>108.04401170772846</v>
      </c>
      <c r="FL1232" s="679">
        <f>+FL1233+FL1237</f>
        <v>115.5122616840826</v>
      </c>
      <c r="FM1232" s="679">
        <f>+FM1233+FM1237</f>
        <v>242.00106507163224</v>
      </c>
      <c r="FN1232" s="679">
        <f>+FN1233+FN1237</f>
        <v>146.49019885863285</v>
      </c>
      <c r="FO1232" s="679">
        <f>+FO1233+FO1237</f>
        <v>130.34010788875798</v>
      </c>
      <c r="FP1232" s="679">
        <f t="shared" ref="FP1232:GC1232" si="2424">+FP1233+FP1237</f>
        <v>229.21175132026082</v>
      </c>
      <c r="FQ1232" s="679">
        <f t="shared" si="2424"/>
        <v>128.38441582674608</v>
      </c>
      <c r="FR1232" s="679">
        <f t="shared" si="2424"/>
        <v>131.15449564820028</v>
      </c>
      <c r="FS1232" s="679">
        <f t="shared" si="2424"/>
        <v>186.39580454656883</v>
      </c>
      <c r="FT1232" s="679">
        <f t="shared" si="2424"/>
        <v>209.20803858733967</v>
      </c>
      <c r="FU1232" s="679">
        <f t="shared" si="2424"/>
        <v>138.95483420876826</v>
      </c>
      <c r="FV1232" s="679">
        <f t="shared" si="2424"/>
        <v>241.40604393828752</v>
      </c>
      <c r="FW1232" s="679">
        <f t="shared" si="2424"/>
        <v>118.51334477202276</v>
      </c>
      <c r="FX1232" s="679">
        <f t="shared" si="2424"/>
        <v>131.83633357350092</v>
      </c>
      <c r="FY1232" s="679">
        <f t="shared" si="2424"/>
        <v>233.43396563045468</v>
      </c>
      <c r="FZ1232" s="679">
        <f t="shared" si="2424"/>
        <v>156.87826750939308</v>
      </c>
      <c r="GA1232" s="679">
        <f t="shared" si="2424"/>
        <v>193.74626873995763</v>
      </c>
      <c r="GB1232" s="679">
        <f t="shared" si="2424"/>
        <v>216.75496338215197</v>
      </c>
      <c r="GC1232" s="679">
        <f t="shared" si="2424"/>
        <v>172.64182064039827</v>
      </c>
      <c r="GD1232" s="679">
        <f t="shared" ref="GD1232:HL1232" si="2425">+GD1233+GD1237</f>
        <v>180.93304580934625</v>
      </c>
      <c r="GE1232" s="679">
        <f t="shared" si="2425"/>
        <v>255.44985347992309</v>
      </c>
      <c r="GF1232" s="679">
        <f t="shared" si="2425"/>
        <v>171.96504826792489</v>
      </c>
      <c r="GG1232" s="679">
        <f t="shared" si="2425"/>
        <v>155.91083399701131</v>
      </c>
      <c r="GH1232" s="679">
        <f t="shared" si="2425"/>
        <v>289.93490010773718</v>
      </c>
      <c r="GI1232" s="679">
        <f t="shared" si="2425"/>
        <v>158.55245324092289</v>
      </c>
      <c r="GJ1232" s="679">
        <f t="shared" si="2425"/>
        <v>182.76575166281685</v>
      </c>
      <c r="GK1232" s="679">
        <f t="shared" si="2425"/>
        <v>274.8659568306465</v>
      </c>
      <c r="GL1232" s="679">
        <f t="shared" si="2425"/>
        <v>160.52978290108288</v>
      </c>
      <c r="GM1232" s="679">
        <f t="shared" si="2425"/>
        <v>184.34316197941709</v>
      </c>
      <c r="GN1232" s="679">
        <f t="shared" si="2425"/>
        <v>296.15332979956747</v>
      </c>
      <c r="GO1232" s="679">
        <f t="shared" si="2425"/>
        <v>217.32554338048604</v>
      </c>
      <c r="GP1232" s="679">
        <f t="shared" si="2425"/>
        <v>161.52000874053408</v>
      </c>
      <c r="GQ1232" s="679">
        <f t="shared" si="2425"/>
        <v>325.50796758063331</v>
      </c>
      <c r="GR1232" s="679">
        <f t="shared" si="2425"/>
        <v>198.26429225778665</v>
      </c>
      <c r="GS1232" s="679">
        <f t="shared" si="2425"/>
        <v>186.54049343962666</v>
      </c>
      <c r="GT1232" s="679">
        <f t="shared" si="2425"/>
        <v>341.8911958978656</v>
      </c>
      <c r="GU1232" s="679">
        <f t="shared" si="2425"/>
        <v>195.61232729899717</v>
      </c>
      <c r="GV1232" s="679">
        <f t="shared" si="2425"/>
        <v>203.39016071474151</v>
      </c>
      <c r="GW1232" s="679">
        <f t="shared" si="2425"/>
        <v>327.13864419596968</v>
      </c>
      <c r="GX1232" s="679">
        <f t="shared" si="2425"/>
        <v>204.28353291972002</v>
      </c>
      <c r="GY1232" s="679">
        <f t="shared" si="2425"/>
        <v>192.78545741910949</v>
      </c>
      <c r="GZ1232" s="679">
        <f t="shared" si="2425"/>
        <v>345.98216238378154</v>
      </c>
      <c r="HA1232" s="679">
        <f t="shared" si="2425"/>
        <v>228.43195499462252</v>
      </c>
      <c r="HB1232" s="679">
        <f t="shared" si="2425"/>
        <v>201.98994421198702</v>
      </c>
      <c r="HC1232" s="679">
        <f t="shared" si="2425"/>
        <v>254.79979681728696</v>
      </c>
      <c r="HD1232" s="679">
        <f t="shared" si="2425"/>
        <v>299.89763624580621</v>
      </c>
      <c r="HE1232" s="679">
        <f t="shared" si="2425"/>
        <v>233.71363742675459</v>
      </c>
      <c r="HF1232" s="679">
        <f t="shared" si="2425"/>
        <v>365.31169751063487</v>
      </c>
      <c r="HG1232" s="679">
        <f t="shared" si="2425"/>
        <v>305.47415456764503</v>
      </c>
      <c r="HH1232" s="679">
        <f t="shared" si="2425"/>
        <v>229.8162159481781</v>
      </c>
      <c r="HI1232" s="679">
        <f t="shared" si="2425"/>
        <v>368.43704767201888</v>
      </c>
      <c r="HJ1232" s="679">
        <f t="shared" si="2425"/>
        <v>249.14011263815641</v>
      </c>
      <c r="HK1232" s="679">
        <f t="shared" si="2425"/>
        <v>226.44885371900523</v>
      </c>
      <c r="HL1232" s="679">
        <f t="shared" si="2425"/>
        <v>403.949869291558</v>
      </c>
      <c r="HM1232" s="679">
        <f t="shared" ref="HM1232:HR1232" si="2426">+HM1233+HM1237</f>
        <v>275.94232863872094</v>
      </c>
      <c r="HN1232" s="679">
        <f t="shared" si="2426"/>
        <v>216.67482346235909</v>
      </c>
      <c r="HO1232" s="679">
        <f t="shared" si="2426"/>
        <v>320.37956874609142</v>
      </c>
      <c r="HP1232" s="679">
        <f t="shared" si="2426"/>
        <v>296.53866039744696</v>
      </c>
      <c r="HQ1232" s="679">
        <f t="shared" si="2426"/>
        <v>233.78720160184014</v>
      </c>
      <c r="HR1232" s="679">
        <f t="shared" si="2426"/>
        <v>432.78976465539284</v>
      </c>
      <c r="HS1232" s="679"/>
      <c r="HT1232" s="679"/>
      <c r="HU1232" s="679"/>
      <c r="HV1232" s="679"/>
      <c r="HW1232" s="679"/>
      <c r="HX1232" s="679"/>
    </row>
    <row r="1233" spans="4:232" ht="17.25" customHeight="1">
      <c r="D1233" s="1107" t="s">
        <v>3212</v>
      </c>
      <c r="E1233" s="279">
        <f t="shared" ref="E1233:AG1233" si="2427">E553</f>
        <v>15.9003</v>
      </c>
      <c r="F1233" s="279">
        <f t="shared" si="2427"/>
        <v>15.1754</v>
      </c>
      <c r="G1233" s="279">
        <f t="shared" si="2427"/>
        <v>22.451000000000001</v>
      </c>
      <c r="H1233" s="279">
        <f t="shared" si="2427"/>
        <v>19.007999999999999</v>
      </c>
      <c r="I1233" s="279">
        <f t="shared" si="2427"/>
        <v>18.420400000000001</v>
      </c>
      <c r="J1233" s="279">
        <f t="shared" si="2427"/>
        <v>25.304200000000002</v>
      </c>
      <c r="K1233" s="279">
        <f t="shared" si="2427"/>
        <v>17.343899999999998</v>
      </c>
      <c r="L1233" s="279">
        <f t="shared" si="2427"/>
        <v>18.981099999999998</v>
      </c>
      <c r="M1233" s="279">
        <f t="shared" si="2427"/>
        <v>22.213000000000001</v>
      </c>
      <c r="N1233" s="279">
        <f t="shared" si="2427"/>
        <v>18.811399999999999</v>
      </c>
      <c r="O1233" s="279">
        <f t="shared" si="2427"/>
        <v>20.230499999999999</v>
      </c>
      <c r="P1233" s="279">
        <f t="shared" si="2427"/>
        <v>23.9694</v>
      </c>
      <c r="Q1233" s="279">
        <f t="shared" si="2427"/>
        <v>21.110899999999997</v>
      </c>
      <c r="R1233" s="279">
        <f t="shared" si="2427"/>
        <v>20.690200000000001</v>
      </c>
      <c r="S1233" s="279">
        <f t="shared" si="2427"/>
        <v>26.64</v>
      </c>
      <c r="T1233" s="279">
        <f t="shared" si="2427"/>
        <v>23.484750000000002</v>
      </c>
      <c r="U1233" s="279">
        <f t="shared" si="2427"/>
        <v>23.641500000000001</v>
      </c>
      <c r="V1233" s="279">
        <f t="shared" si="2427"/>
        <v>35.311700000000002</v>
      </c>
      <c r="W1233" s="279">
        <f t="shared" si="2427"/>
        <v>24.373000000000001</v>
      </c>
      <c r="X1233" s="279">
        <f t="shared" si="2427"/>
        <v>24.683499999999999</v>
      </c>
      <c r="Y1233" s="279">
        <f t="shared" si="2427"/>
        <v>35.0578</v>
      </c>
      <c r="Z1233" s="279">
        <f t="shared" si="2427"/>
        <v>29.308399999999999</v>
      </c>
      <c r="AA1233" s="279">
        <f t="shared" si="2427"/>
        <v>25.883399999999998</v>
      </c>
      <c r="AB1233" s="279">
        <f t="shared" si="2427"/>
        <v>38.509300000000003</v>
      </c>
      <c r="AC1233" s="279">
        <f t="shared" si="2427"/>
        <v>28.049999999999997</v>
      </c>
      <c r="AD1233" s="279">
        <f t="shared" si="2427"/>
        <v>28.991200000000003</v>
      </c>
      <c r="AE1233" s="279">
        <f t="shared" si="2427"/>
        <v>34.087299999999999</v>
      </c>
      <c r="AF1233" s="279">
        <f t="shared" si="2427"/>
        <v>27.322800000000001</v>
      </c>
      <c r="AG1233" s="279">
        <f t="shared" si="2427"/>
        <v>27.106300000000001</v>
      </c>
      <c r="AH1233" s="279">
        <f t="shared" ref="AH1233:AM1233" si="2428">AH553</f>
        <v>37.998499999999993</v>
      </c>
      <c r="AI1233" s="279">
        <f t="shared" si="2428"/>
        <v>26.509099999999997</v>
      </c>
      <c r="AJ1233" s="279">
        <f t="shared" si="2428"/>
        <v>27.122990000000001</v>
      </c>
      <c r="AK1233" s="279">
        <f t="shared" si="2428"/>
        <v>32.590400000000002</v>
      </c>
      <c r="AL1233" s="279">
        <f t="shared" si="2428"/>
        <v>26.6496</v>
      </c>
      <c r="AM1233" s="279">
        <f t="shared" si="2428"/>
        <v>29.381499999999996</v>
      </c>
      <c r="AN1233" s="279">
        <f t="shared" ref="AN1233:BS1233" si="2429">AN553</f>
        <v>37.007300000000001</v>
      </c>
      <c r="AO1233" s="279">
        <f t="shared" si="2429"/>
        <v>29.107900000000001</v>
      </c>
      <c r="AP1233" s="279">
        <f t="shared" si="2429"/>
        <v>27.5167</v>
      </c>
      <c r="AQ1233" s="279">
        <f t="shared" si="2429"/>
        <v>44.653700000000001</v>
      </c>
      <c r="AR1233" s="279">
        <f t="shared" si="2429"/>
        <v>29.591200000000001</v>
      </c>
      <c r="AS1233" s="279">
        <f t="shared" si="2429"/>
        <v>28.273</v>
      </c>
      <c r="AT1233" s="279">
        <f t="shared" si="2429"/>
        <v>36.551200000000001</v>
      </c>
      <c r="AU1233" s="279">
        <f t="shared" si="2429"/>
        <v>31.125599999999999</v>
      </c>
      <c r="AV1233" s="279">
        <f t="shared" si="2429"/>
        <v>33.959099999999999</v>
      </c>
      <c r="AW1233" s="279">
        <f t="shared" si="2429"/>
        <v>38.682940000000002</v>
      </c>
      <c r="AX1233" s="279">
        <f t="shared" si="2429"/>
        <v>32.815300000000001</v>
      </c>
      <c r="AY1233" s="279">
        <f t="shared" si="2429"/>
        <v>35.209800000000001</v>
      </c>
      <c r="AZ1233" s="279">
        <f t="shared" si="2429"/>
        <v>45.302300000000002</v>
      </c>
      <c r="BA1233" s="279">
        <f t="shared" si="2429"/>
        <v>38.839300000000001</v>
      </c>
      <c r="BB1233" s="279">
        <f t="shared" si="2429"/>
        <v>31.636660000000003</v>
      </c>
      <c r="BC1233" s="279">
        <f t="shared" si="2429"/>
        <v>49.993160000000003</v>
      </c>
      <c r="BD1233" s="279">
        <f t="shared" si="2429"/>
        <v>36.662460000000003</v>
      </c>
      <c r="BE1233" s="279">
        <f t="shared" si="2429"/>
        <v>40.415650000000007</v>
      </c>
      <c r="BF1233" s="279">
        <f t="shared" si="2429"/>
        <v>48.833599999999997</v>
      </c>
      <c r="BG1233" s="279">
        <f t="shared" si="2429"/>
        <v>35.186429093799994</v>
      </c>
      <c r="BH1233" s="279">
        <f t="shared" si="2429"/>
        <v>41.686628809200002</v>
      </c>
      <c r="BI1233" s="279">
        <f t="shared" si="2429"/>
        <v>46.983398117900009</v>
      </c>
      <c r="BJ1233" s="279">
        <f t="shared" si="2429"/>
        <v>39.902200000000001</v>
      </c>
      <c r="BK1233" s="279">
        <f t="shared" si="2429"/>
        <v>42.28022</v>
      </c>
      <c r="BL1233" s="279">
        <f t="shared" si="2429"/>
        <v>52.609954999999999</v>
      </c>
      <c r="BM1233" s="279">
        <f t="shared" si="2429"/>
        <v>43.249299999999998</v>
      </c>
      <c r="BN1233" s="279">
        <f t="shared" si="2429"/>
        <v>43.165999999999997</v>
      </c>
      <c r="BO1233" s="279">
        <f t="shared" si="2429"/>
        <v>58.716899999999995</v>
      </c>
      <c r="BP1233" s="279">
        <f t="shared" si="2429"/>
        <v>43.5837</v>
      </c>
      <c r="BQ1233" s="279">
        <f t="shared" si="2429"/>
        <v>53.3812</v>
      </c>
      <c r="BR1233" s="279">
        <f t="shared" si="2429"/>
        <v>56.333399999999997</v>
      </c>
      <c r="BS1233" s="279">
        <f t="shared" si="2429"/>
        <v>45.601099999999995</v>
      </c>
      <c r="BT1233" s="279">
        <f t="shared" ref="BT1233:CY1233" si="2430">BT553</f>
        <v>49.536300000000004</v>
      </c>
      <c r="BU1233" s="279">
        <f t="shared" si="2430"/>
        <v>55.069699999999997</v>
      </c>
      <c r="BV1233" s="279">
        <f t="shared" si="2430"/>
        <v>50.460338782147375</v>
      </c>
      <c r="BW1233" s="279">
        <f t="shared" si="2430"/>
        <v>47.73854370565882</v>
      </c>
      <c r="BX1233" s="279">
        <f t="shared" si="2430"/>
        <v>55.734871901255175</v>
      </c>
      <c r="BY1233" s="279">
        <f t="shared" si="2430"/>
        <v>50.75937849946633</v>
      </c>
      <c r="BZ1233" s="279">
        <f t="shared" si="2430"/>
        <v>50.630494762198431</v>
      </c>
      <c r="CA1233" s="279">
        <f t="shared" si="2430"/>
        <v>70.645197296430297</v>
      </c>
      <c r="CB1233" s="279">
        <f t="shared" si="2430"/>
        <v>50.480923714506467</v>
      </c>
      <c r="CC1233" s="279">
        <f t="shared" si="2430"/>
        <v>51.997049962222945</v>
      </c>
      <c r="CD1233" s="279">
        <f t="shared" si="2430"/>
        <v>72.8713855213188</v>
      </c>
      <c r="CE1233" s="279">
        <f t="shared" si="2430"/>
        <v>50.358473264697274</v>
      </c>
      <c r="CF1233" s="279">
        <f t="shared" si="2430"/>
        <v>56.400872537300785</v>
      </c>
      <c r="CG1233" s="279">
        <f t="shared" si="2430"/>
        <v>67.762531850293428</v>
      </c>
      <c r="CH1233" s="279">
        <f t="shared" si="2430"/>
        <v>56.569088801345231</v>
      </c>
      <c r="CI1233" s="279">
        <f t="shared" si="2430"/>
        <v>56.830358355824714</v>
      </c>
      <c r="CJ1233" s="279">
        <f t="shared" si="2430"/>
        <v>71.728807105693789</v>
      </c>
      <c r="CK1233" s="279">
        <f t="shared" si="2430"/>
        <v>62.628570289825042</v>
      </c>
      <c r="CL1233" s="279">
        <f t="shared" si="2430"/>
        <v>58.387859632163071</v>
      </c>
      <c r="CM1233" s="279">
        <f t="shared" si="2430"/>
        <v>67.667474816064214</v>
      </c>
      <c r="CN1233" s="279">
        <f t="shared" si="2430"/>
        <v>58.232361492253354</v>
      </c>
      <c r="CO1233" s="279">
        <f t="shared" si="2430"/>
        <v>64.576853616357624</v>
      </c>
      <c r="CP1233" s="279">
        <f t="shared" si="2430"/>
        <v>92.282024141505644</v>
      </c>
      <c r="CQ1233" s="279">
        <f t="shared" si="2430"/>
        <v>62.205020874423333</v>
      </c>
      <c r="CR1233" s="279">
        <f t="shared" si="2430"/>
        <v>61.577752156755217</v>
      </c>
      <c r="CS1233" s="279">
        <f t="shared" si="2430"/>
        <v>81.209225728722529</v>
      </c>
      <c r="CT1233" s="279">
        <f t="shared" si="2430"/>
        <v>60.439698774882224</v>
      </c>
      <c r="CU1233" s="279">
        <f t="shared" si="2430"/>
        <v>58.213373962794371</v>
      </c>
      <c r="CV1233" s="279">
        <f t="shared" si="2430"/>
        <v>82.503151977615133</v>
      </c>
      <c r="CW1233" s="279">
        <f t="shared" si="2430"/>
        <v>65.856604348482591</v>
      </c>
      <c r="CX1233" s="279">
        <f t="shared" si="2430"/>
        <v>58.716004557468082</v>
      </c>
      <c r="CY1233" s="279">
        <f t="shared" si="2430"/>
        <v>87.614972142911796</v>
      </c>
      <c r="CZ1233" s="279">
        <f t="shared" ref="CZ1233:EE1233" si="2431">CZ553</f>
        <v>72.883829422090102</v>
      </c>
      <c r="DA1233" s="279">
        <f t="shared" si="2431"/>
        <v>68.82082806760269</v>
      </c>
      <c r="DB1233" s="675">
        <f t="shared" si="2431"/>
        <v>98.309068731851184</v>
      </c>
      <c r="DC1233" s="279">
        <f t="shared" si="2431"/>
        <v>66.733951547846715</v>
      </c>
      <c r="DD1233" s="279">
        <f t="shared" si="2431"/>
        <v>68.245586880935548</v>
      </c>
      <c r="DE1233" s="279">
        <f t="shared" si="2431"/>
        <v>86.824346869568402</v>
      </c>
      <c r="DF1233" s="279">
        <f t="shared" si="2431"/>
        <v>77.768789279906329</v>
      </c>
      <c r="DG1233" s="279">
        <f t="shared" si="2431"/>
        <v>70.290688721549159</v>
      </c>
      <c r="DH1233" s="279">
        <f t="shared" si="2431"/>
        <v>94.437271875493849</v>
      </c>
      <c r="DI1233" s="279">
        <f t="shared" si="2431"/>
        <v>76.99888641831906</v>
      </c>
      <c r="DJ1233" s="279">
        <f t="shared" si="2431"/>
        <v>72.781232871814325</v>
      </c>
      <c r="DK1233" s="279">
        <f t="shared" si="2431"/>
        <v>113.69690742097913</v>
      </c>
      <c r="DL1233" s="279">
        <f t="shared" si="2431"/>
        <v>78.44569215335008</v>
      </c>
      <c r="DM1233" s="279">
        <f t="shared" si="2431"/>
        <v>78.436310386163555</v>
      </c>
      <c r="DN1233" s="280">
        <f t="shared" si="2431"/>
        <v>115.65428540618294</v>
      </c>
      <c r="DO1233" s="279">
        <f t="shared" si="2431"/>
        <v>70.001377174548537</v>
      </c>
      <c r="DP1233" s="279">
        <f t="shared" si="2431"/>
        <v>82.550819978066912</v>
      </c>
      <c r="DQ1233" s="279">
        <f t="shared" si="2431"/>
        <v>96.339551639584585</v>
      </c>
      <c r="DR1233" s="279">
        <f t="shared" si="2431"/>
        <v>75.236561436798738</v>
      </c>
      <c r="DS1233" s="279">
        <f t="shared" si="2431"/>
        <v>77.488918952174245</v>
      </c>
      <c r="DT1233" s="279">
        <f t="shared" si="2431"/>
        <v>106.98901336147306</v>
      </c>
      <c r="DU1233" s="279">
        <f t="shared" si="2431"/>
        <v>87.321007018100005</v>
      </c>
      <c r="DV1233" s="279">
        <f t="shared" si="2431"/>
        <v>80.3658217081</v>
      </c>
      <c r="DW1233" s="279">
        <f t="shared" si="2431"/>
        <v>130.80228913051002</v>
      </c>
      <c r="DX1233" s="279">
        <f t="shared" si="2431"/>
        <v>79.869756277899995</v>
      </c>
      <c r="DY1233" s="279">
        <f t="shared" si="2431"/>
        <v>89.324089658700018</v>
      </c>
      <c r="DZ1233" s="280">
        <f t="shared" si="2431"/>
        <v>127.8539387389</v>
      </c>
      <c r="EA1233" s="279">
        <f t="shared" si="2431"/>
        <v>80.651868990290183</v>
      </c>
      <c r="EB1233" s="279">
        <f t="shared" si="2431"/>
        <v>87.744692091378823</v>
      </c>
      <c r="EC1233" s="279">
        <f t="shared" si="2431"/>
        <v>108.64829614084678</v>
      </c>
      <c r="ED1233" s="279">
        <f t="shared" si="2431"/>
        <v>93.959872045710185</v>
      </c>
      <c r="EE1233" s="279">
        <f t="shared" si="2431"/>
        <v>90.263999976638843</v>
      </c>
      <c r="EF1233" s="279">
        <f t="shared" ref="EF1233:EX1233" si="2432">EF553</f>
        <v>123.14485494378681</v>
      </c>
      <c r="EG1233" s="279">
        <f t="shared" si="2432"/>
        <v>103.31933546870459</v>
      </c>
      <c r="EH1233" s="279">
        <f t="shared" si="2432"/>
        <v>87.46300630727464</v>
      </c>
      <c r="EI1233" s="279">
        <f t="shared" si="2432"/>
        <v>137.8075590158904</v>
      </c>
      <c r="EJ1233" s="279">
        <f t="shared" si="2432"/>
        <v>107.06704100578096</v>
      </c>
      <c r="EK1233" s="279">
        <f t="shared" si="2432"/>
        <v>94.590637116626951</v>
      </c>
      <c r="EL1233" s="280">
        <f t="shared" si="2432"/>
        <v>138.22246798691367</v>
      </c>
      <c r="EM1233" s="279">
        <f t="shared" si="2432"/>
        <v>90.501668647839992</v>
      </c>
      <c r="EN1233" s="279">
        <f t="shared" si="2432"/>
        <v>104.63578741077001</v>
      </c>
      <c r="EO1233" s="279">
        <f t="shared" si="2432"/>
        <v>117.59219140776001</v>
      </c>
      <c r="EP1233" s="279">
        <f t="shared" si="2432"/>
        <v>103.03049675657665</v>
      </c>
      <c r="EQ1233" s="279">
        <f t="shared" si="2432"/>
        <v>100.61915029283668</v>
      </c>
      <c r="ER1233" s="279">
        <f t="shared" si="2432"/>
        <v>139.80340133454672</v>
      </c>
      <c r="ES1233" s="279">
        <f t="shared" si="2432"/>
        <v>118.55254429557266</v>
      </c>
      <c r="ET1233" s="279">
        <f t="shared" si="2432"/>
        <v>107.28935970444994</v>
      </c>
      <c r="EU1233" s="279">
        <f t="shared" si="2432"/>
        <v>129.97993856532003</v>
      </c>
      <c r="EV1233" s="279">
        <f t="shared" si="2432"/>
        <v>129.57661591749442</v>
      </c>
      <c r="EW1233" s="279">
        <f t="shared" si="2432"/>
        <v>115.44832913078002</v>
      </c>
      <c r="EX1233" s="280">
        <f t="shared" si="2432"/>
        <v>161.76129901532821</v>
      </c>
      <c r="EY1233" s="1545">
        <f t="shared" ref="EY1233:GD1233" si="2433">+EY755</f>
        <v>105.65950605125064</v>
      </c>
      <c r="EZ1233" s="1545">
        <f t="shared" si="2433"/>
        <v>114.2113842418846</v>
      </c>
      <c r="FA1233" s="1545">
        <f t="shared" si="2433"/>
        <v>132.89683536742749</v>
      </c>
      <c r="FB1233" s="1545">
        <f t="shared" si="2433"/>
        <v>108.92264112604063</v>
      </c>
      <c r="FC1233" s="1545">
        <f t="shared" si="2433"/>
        <v>106.68326342096984</v>
      </c>
      <c r="FD1233" s="1545">
        <f t="shared" si="2433"/>
        <v>165.17336859615594</v>
      </c>
      <c r="FE1233" s="1545">
        <f t="shared" si="2433"/>
        <v>129.17978821231756</v>
      </c>
      <c r="FF1233" s="1545">
        <f t="shared" si="2433"/>
        <v>116.33520310306274</v>
      </c>
      <c r="FG1233" s="1545">
        <f t="shared" si="2433"/>
        <v>123.84354192911091</v>
      </c>
      <c r="FH1233" s="1545">
        <f t="shared" si="2433"/>
        <v>111.61971296276113</v>
      </c>
      <c r="FI1233" s="1545">
        <f t="shared" si="2433"/>
        <v>92.550406284305652</v>
      </c>
      <c r="FJ1233" s="1545">
        <f t="shared" si="2433"/>
        <v>168.5330629930489</v>
      </c>
      <c r="FK1233" s="1545">
        <f t="shared" si="2433"/>
        <v>99.945885748172259</v>
      </c>
      <c r="FL1233" s="1545">
        <f t="shared" si="2433"/>
        <v>106.90137584125107</v>
      </c>
      <c r="FM1233" s="1545">
        <f t="shared" si="2433"/>
        <v>155.09121168506633</v>
      </c>
      <c r="FN1233" s="1545">
        <f t="shared" si="2433"/>
        <v>118.94741214038808</v>
      </c>
      <c r="FO1233" s="1545">
        <f t="shared" si="2433"/>
        <v>119.17105225139113</v>
      </c>
      <c r="FP1233" s="1545">
        <f t="shared" si="2433"/>
        <v>161.98099204682552</v>
      </c>
      <c r="FQ1233" s="1545">
        <f t="shared" si="2433"/>
        <v>118.21035142438593</v>
      </c>
      <c r="FR1233" s="1545">
        <f t="shared" si="2433"/>
        <v>121.65400060516743</v>
      </c>
      <c r="FS1233" s="1545">
        <f t="shared" si="2433"/>
        <v>169.64471663081804</v>
      </c>
      <c r="FT1233" s="1545">
        <f t="shared" si="2433"/>
        <v>131.6406722489491</v>
      </c>
      <c r="FU1233" s="1545">
        <f t="shared" si="2433"/>
        <v>129.16985994808741</v>
      </c>
      <c r="FV1233" s="1545">
        <f t="shared" si="2433"/>
        <v>189.33175192633266</v>
      </c>
      <c r="FW1233" s="1545">
        <f t="shared" si="2433"/>
        <v>110.1156569781196</v>
      </c>
      <c r="FX1233" s="1545">
        <f t="shared" si="2433"/>
        <v>123.39516343103196</v>
      </c>
      <c r="FY1233" s="1545">
        <f t="shared" si="2433"/>
        <v>167.87899487170446</v>
      </c>
      <c r="FZ1233" s="1545">
        <f t="shared" si="2433"/>
        <v>129.13909366182429</v>
      </c>
      <c r="GA1233" s="1545">
        <f t="shared" si="2433"/>
        <v>135.90353463757307</v>
      </c>
      <c r="GB1233" s="1545">
        <f t="shared" si="2433"/>
        <v>186.33327966820102</v>
      </c>
      <c r="GC1233" s="1545">
        <f t="shared" si="2433"/>
        <v>146.46208294654627</v>
      </c>
      <c r="GD1233" s="1545">
        <f t="shared" si="2433"/>
        <v>134.54808684712521</v>
      </c>
      <c r="GE1233" s="1545">
        <f t="shared" ref="GE1233:HL1233" si="2434">+GE755</f>
        <v>232.31337755216748</v>
      </c>
      <c r="GF1233" s="1545">
        <f t="shared" si="2434"/>
        <v>142.49260437009488</v>
      </c>
      <c r="GG1233" s="1545">
        <f t="shared" si="2434"/>
        <v>145.4445077296626</v>
      </c>
      <c r="GH1233" s="1545">
        <f t="shared" si="2434"/>
        <v>222.74720845481093</v>
      </c>
      <c r="GI1233" s="1545">
        <f t="shared" si="2434"/>
        <v>145.96192723773103</v>
      </c>
      <c r="GJ1233" s="1545">
        <f t="shared" si="2434"/>
        <v>170.08469428493055</v>
      </c>
      <c r="GK1233" s="1545">
        <f t="shared" si="2434"/>
        <v>214.70250271454984</v>
      </c>
      <c r="GL1233" s="1545">
        <f t="shared" si="2434"/>
        <v>143.56997105973568</v>
      </c>
      <c r="GM1233" s="1545">
        <f t="shared" si="2434"/>
        <v>167.57943580356664</v>
      </c>
      <c r="GN1233" s="1545">
        <f t="shared" si="2434"/>
        <v>228.35396693025771</v>
      </c>
      <c r="GO1233" s="1545">
        <f t="shared" si="2434"/>
        <v>198.1196480416676</v>
      </c>
      <c r="GP1233" s="1545">
        <f t="shared" si="2434"/>
        <v>145.38917010292781</v>
      </c>
      <c r="GQ1233" s="1545">
        <f t="shared" si="2434"/>
        <v>258.82715269015318</v>
      </c>
      <c r="GR1233" s="1545">
        <f t="shared" si="2434"/>
        <v>183.31387861149</v>
      </c>
      <c r="GS1233" s="1545">
        <f t="shared" si="2434"/>
        <v>170.87591844504999</v>
      </c>
      <c r="GT1233" s="1545">
        <f t="shared" si="2434"/>
        <v>260.59353089068003</v>
      </c>
      <c r="GU1233" s="1545">
        <f t="shared" si="2434"/>
        <v>182.39831541385061</v>
      </c>
      <c r="GV1233" s="1545">
        <f t="shared" si="2434"/>
        <v>182.99428996030898</v>
      </c>
      <c r="GW1233" s="1545">
        <f t="shared" si="2434"/>
        <v>219.72430971012875</v>
      </c>
      <c r="GX1233" s="1545">
        <f t="shared" si="2434"/>
        <v>192.38625173155</v>
      </c>
      <c r="GY1233" s="1545">
        <f t="shared" si="2434"/>
        <v>179.27714057267949</v>
      </c>
      <c r="GZ1233" s="1545">
        <f t="shared" si="2434"/>
        <v>251.60134103664996</v>
      </c>
      <c r="HA1233" s="1545">
        <f t="shared" si="2434"/>
        <v>215.97574927790251</v>
      </c>
      <c r="HB1233" s="1545">
        <f t="shared" si="2434"/>
        <v>182.54097471448733</v>
      </c>
      <c r="HC1233" s="1545">
        <f t="shared" si="2434"/>
        <v>203.28094409923906</v>
      </c>
      <c r="HD1233" s="1545">
        <f t="shared" si="2434"/>
        <v>252.7943804628523</v>
      </c>
      <c r="HE1233" s="1545">
        <f t="shared" si="2434"/>
        <v>208.25516269036228</v>
      </c>
      <c r="HF1233" s="1545">
        <f t="shared" si="2434"/>
        <v>322.09266473531591</v>
      </c>
      <c r="HG1233" s="1545">
        <f t="shared" si="2434"/>
        <v>215.27690907481914</v>
      </c>
      <c r="HH1233" s="1545">
        <f t="shared" si="2434"/>
        <v>217.29744008829482</v>
      </c>
      <c r="HI1233" s="1545">
        <f t="shared" si="2434"/>
        <v>276.21890481851608</v>
      </c>
      <c r="HJ1233" s="1545">
        <f t="shared" si="2434"/>
        <v>236.30508696925642</v>
      </c>
      <c r="HK1233" s="1545">
        <f t="shared" si="2434"/>
        <v>215.34337875072524</v>
      </c>
      <c r="HL1233" s="1545">
        <f t="shared" si="2434"/>
        <v>312.13279460789477</v>
      </c>
      <c r="HM1233" s="1545">
        <f t="shared" ref="HM1233:HR1233" si="2435">+HM755</f>
        <v>263.51972200380095</v>
      </c>
      <c r="HN1233" s="1545">
        <f t="shared" si="2435"/>
        <v>206.48105576871109</v>
      </c>
      <c r="HO1233" s="1545">
        <f t="shared" si="2435"/>
        <v>287.46303860901941</v>
      </c>
      <c r="HP1233" s="1545">
        <f t="shared" si="2435"/>
        <v>251.66390744482695</v>
      </c>
      <c r="HQ1233" s="1545">
        <f t="shared" si="2435"/>
        <v>219.05395923538012</v>
      </c>
      <c r="HR1233" s="1545">
        <f t="shared" si="2435"/>
        <v>364.31035866214177</v>
      </c>
      <c r="HS1233" s="1545"/>
      <c r="HT1233" s="1545"/>
      <c r="HU1233" s="1545"/>
      <c r="HV1233" s="1545"/>
      <c r="HW1233" s="1545"/>
      <c r="HX1233" s="1545"/>
    </row>
    <row r="1234" spans="4:232" ht="17.25" customHeight="1">
      <c r="D1234" s="1108" t="s">
        <v>1193</v>
      </c>
      <c r="E1234" s="279">
        <f t="shared" ref="E1234:AJ1234" si="2436">E555</f>
        <v>4.2294</v>
      </c>
      <c r="F1234" s="279">
        <f t="shared" si="2436"/>
        <v>4.8996000000000004</v>
      </c>
      <c r="G1234" s="279">
        <f t="shared" si="2436"/>
        <v>9.74</v>
      </c>
      <c r="H1234" s="279">
        <f t="shared" si="2436"/>
        <v>6.2172999999999998</v>
      </c>
      <c r="I1234" s="279">
        <f t="shared" si="2436"/>
        <v>6.1355000000000004</v>
      </c>
      <c r="J1234" s="279">
        <f t="shared" si="2436"/>
        <v>12.2303</v>
      </c>
      <c r="K1234" s="279">
        <f t="shared" si="2436"/>
        <v>5.4071999999999996</v>
      </c>
      <c r="L1234" s="279">
        <f t="shared" si="2436"/>
        <v>5.3875000000000002</v>
      </c>
      <c r="M1234" s="279">
        <f t="shared" si="2436"/>
        <v>9.8819999999999997</v>
      </c>
      <c r="N1234" s="279">
        <f t="shared" si="2436"/>
        <v>6.0981000000000005</v>
      </c>
      <c r="O1234" s="279">
        <f t="shared" si="2436"/>
        <v>5.7516000000000007</v>
      </c>
      <c r="P1234" s="279">
        <f t="shared" si="2436"/>
        <v>9.8281999999999989</v>
      </c>
      <c r="Q1234" s="279">
        <f t="shared" si="2436"/>
        <v>6.77</v>
      </c>
      <c r="R1234" s="279">
        <f t="shared" si="2436"/>
        <v>6.431</v>
      </c>
      <c r="S1234" s="279">
        <f t="shared" si="2436"/>
        <v>11.5298</v>
      </c>
      <c r="T1234" s="279">
        <f t="shared" si="2436"/>
        <v>9.7888500000000001</v>
      </c>
      <c r="U1234" s="279">
        <f t="shared" si="2436"/>
        <v>7.5178000000000003</v>
      </c>
      <c r="V1234" s="279">
        <f t="shared" si="2436"/>
        <v>18.883900000000001</v>
      </c>
      <c r="W1234" s="279">
        <f t="shared" si="2436"/>
        <v>7.5696000000000003</v>
      </c>
      <c r="X1234" s="279">
        <f t="shared" si="2436"/>
        <v>7.1867999999999999</v>
      </c>
      <c r="Y1234" s="279">
        <f t="shared" si="2436"/>
        <v>15.0951</v>
      </c>
      <c r="Z1234" s="279">
        <f t="shared" si="2436"/>
        <v>9.2165999999999997</v>
      </c>
      <c r="AA1234" s="279">
        <f t="shared" si="2436"/>
        <v>6.8547000000000002</v>
      </c>
      <c r="AB1234" s="279">
        <f t="shared" si="2436"/>
        <v>16.229099999999999</v>
      </c>
      <c r="AC1234" s="279">
        <f t="shared" si="2436"/>
        <v>8.3041</v>
      </c>
      <c r="AD1234" s="279">
        <f t="shared" si="2436"/>
        <v>8.0401000000000007</v>
      </c>
      <c r="AE1234" s="279">
        <f t="shared" si="2436"/>
        <v>15.087200000000001</v>
      </c>
      <c r="AF1234" s="279">
        <f t="shared" si="2436"/>
        <v>8.5241000000000007</v>
      </c>
      <c r="AG1234" s="279">
        <f t="shared" si="2436"/>
        <v>9.5237999999999996</v>
      </c>
      <c r="AH1234" s="279">
        <f t="shared" si="2436"/>
        <v>18.486799999999999</v>
      </c>
      <c r="AI1234" s="279">
        <f t="shared" si="2436"/>
        <v>8.4802</v>
      </c>
      <c r="AJ1234" s="279">
        <f t="shared" si="2436"/>
        <v>8.6162900000000011</v>
      </c>
      <c r="AK1234" s="279">
        <f t="shared" ref="AK1234:BP1234" si="2437">AK555</f>
        <v>15.2136</v>
      </c>
      <c r="AL1234" s="279">
        <f t="shared" si="2437"/>
        <v>8.3623999999999992</v>
      </c>
      <c r="AM1234" s="279">
        <f t="shared" si="2437"/>
        <v>9.8104999999999993</v>
      </c>
      <c r="AN1234" s="279">
        <f t="shared" si="2437"/>
        <v>18.0078</v>
      </c>
      <c r="AO1234" s="279">
        <f t="shared" si="2437"/>
        <v>9.7523999999999997</v>
      </c>
      <c r="AP1234" s="279">
        <f t="shared" si="2437"/>
        <v>9.7409999999999997</v>
      </c>
      <c r="AQ1234" s="279">
        <f t="shared" si="2437"/>
        <v>23.587599999999998</v>
      </c>
      <c r="AR1234" s="279">
        <f t="shared" si="2437"/>
        <v>10.6571</v>
      </c>
      <c r="AS1234" s="279">
        <f t="shared" si="2437"/>
        <v>10.450200000000001</v>
      </c>
      <c r="AT1234" s="279">
        <f t="shared" si="2437"/>
        <v>16.0748</v>
      </c>
      <c r="AU1234" s="279">
        <f t="shared" si="2437"/>
        <v>10.8079</v>
      </c>
      <c r="AV1234" s="279">
        <f t="shared" si="2437"/>
        <v>12.0541</v>
      </c>
      <c r="AW1234" s="279">
        <f t="shared" si="2437"/>
        <v>16.495439999999999</v>
      </c>
      <c r="AX1234" s="279">
        <f t="shared" si="2437"/>
        <v>11.353399999999999</v>
      </c>
      <c r="AY1234" s="279">
        <f t="shared" si="2437"/>
        <v>11.4215</v>
      </c>
      <c r="AZ1234" s="279">
        <f t="shared" si="2437"/>
        <v>19.632000000000001</v>
      </c>
      <c r="BA1234" s="279">
        <f t="shared" si="2437"/>
        <v>12.880600000000001</v>
      </c>
      <c r="BB1234" s="279">
        <f t="shared" si="2437"/>
        <v>10.114100000000001</v>
      </c>
      <c r="BC1234" s="279">
        <f t="shared" si="2437"/>
        <v>25.939799999999998</v>
      </c>
      <c r="BD1234" s="279">
        <f t="shared" si="2437"/>
        <v>13.154260000000001</v>
      </c>
      <c r="BE1234" s="279">
        <f t="shared" si="2437"/>
        <v>15.050450000000001</v>
      </c>
      <c r="BF1234" s="279">
        <f t="shared" si="2437"/>
        <v>21.799799999999998</v>
      </c>
      <c r="BG1234" s="279">
        <f t="shared" si="2437"/>
        <v>11.609183778999999</v>
      </c>
      <c r="BH1234" s="279">
        <f t="shared" si="2437"/>
        <v>13.511276782000003</v>
      </c>
      <c r="BI1234" s="279">
        <f t="shared" si="2437"/>
        <v>20.077570490000003</v>
      </c>
      <c r="BJ1234" s="279">
        <f t="shared" si="2437"/>
        <v>15.582799999999999</v>
      </c>
      <c r="BK1234" s="279">
        <f t="shared" si="2437"/>
        <v>15.340540000000001</v>
      </c>
      <c r="BL1234" s="279">
        <f t="shared" si="2437"/>
        <v>23.56427</v>
      </c>
      <c r="BM1234" s="279">
        <f t="shared" si="2437"/>
        <v>15.8581</v>
      </c>
      <c r="BN1234" s="279">
        <f t="shared" si="2437"/>
        <v>15.1586</v>
      </c>
      <c r="BO1234" s="279">
        <f t="shared" si="2437"/>
        <v>30.055299999999999</v>
      </c>
      <c r="BP1234" s="279">
        <f t="shared" si="2437"/>
        <v>17.537200000000002</v>
      </c>
      <c r="BQ1234" s="279">
        <f t="shared" ref="BQ1234:CV1234" si="2438">BQ555</f>
        <v>24.180400000000002</v>
      </c>
      <c r="BR1234" s="279">
        <f t="shared" si="2438"/>
        <v>25.996700000000001</v>
      </c>
      <c r="BS1234" s="279">
        <f t="shared" si="2438"/>
        <v>14.869200000000001</v>
      </c>
      <c r="BT1234" s="279">
        <f t="shared" si="2438"/>
        <v>17.380200000000002</v>
      </c>
      <c r="BU1234" s="279">
        <f t="shared" si="2438"/>
        <v>23.817799999999998</v>
      </c>
      <c r="BV1234" s="279">
        <f t="shared" si="2438"/>
        <v>20.085137107999998</v>
      </c>
      <c r="BW1234" s="279">
        <f t="shared" si="2438"/>
        <v>19.032810089000002</v>
      </c>
      <c r="BX1234" s="279">
        <f t="shared" si="2438"/>
        <v>25.844017297000001</v>
      </c>
      <c r="BY1234" s="279">
        <f t="shared" si="2438"/>
        <v>18.816471498000002</v>
      </c>
      <c r="BZ1234" s="279">
        <f t="shared" si="2438"/>
        <v>22.563897915999998</v>
      </c>
      <c r="CA1234" s="279">
        <f t="shared" si="2438"/>
        <v>40.967232714000005</v>
      </c>
      <c r="CB1234" s="279">
        <f t="shared" si="2438"/>
        <v>21.093378254000001</v>
      </c>
      <c r="CC1234" s="279">
        <f t="shared" si="2438"/>
        <v>21.295209594000003</v>
      </c>
      <c r="CD1234" s="279">
        <f t="shared" si="2438"/>
        <v>36.377935814000004</v>
      </c>
      <c r="CE1234" s="279">
        <f t="shared" si="2438"/>
        <v>19.243223158000003</v>
      </c>
      <c r="CF1234" s="279">
        <f t="shared" si="2438"/>
        <v>21.131821452999997</v>
      </c>
      <c r="CG1234" s="279">
        <f t="shared" si="2438"/>
        <v>30.692373311000001</v>
      </c>
      <c r="CH1234" s="279">
        <f t="shared" si="2438"/>
        <v>21.529209563000002</v>
      </c>
      <c r="CI1234" s="279">
        <f t="shared" si="2438"/>
        <v>20.612307720999997</v>
      </c>
      <c r="CJ1234" s="279">
        <f t="shared" si="2438"/>
        <v>36.108084553999994</v>
      </c>
      <c r="CK1234" s="279">
        <f t="shared" si="2438"/>
        <v>22.963157741</v>
      </c>
      <c r="CL1234" s="279">
        <f t="shared" si="2438"/>
        <v>22.570024158000003</v>
      </c>
      <c r="CM1234" s="279">
        <f t="shared" si="2438"/>
        <v>30.981665009</v>
      </c>
      <c r="CN1234" s="279">
        <f t="shared" si="2438"/>
        <v>22.71248851</v>
      </c>
      <c r="CO1234" s="279">
        <f t="shared" si="2438"/>
        <v>22.337369929999998</v>
      </c>
      <c r="CP1234" s="279">
        <f t="shared" si="2438"/>
        <v>40.750513335999997</v>
      </c>
      <c r="CQ1234" s="279">
        <f t="shared" si="2438"/>
        <v>23.704446707999999</v>
      </c>
      <c r="CR1234" s="279">
        <f t="shared" si="2438"/>
        <v>22.889832446</v>
      </c>
      <c r="CS1234" s="279">
        <f t="shared" si="2438"/>
        <v>35.721352616000004</v>
      </c>
      <c r="CT1234" s="279">
        <f t="shared" si="2438"/>
        <v>23.028986442000001</v>
      </c>
      <c r="CU1234" s="279">
        <f t="shared" si="2438"/>
        <v>20.431042698000002</v>
      </c>
      <c r="CV1234" s="279">
        <f t="shared" si="2438"/>
        <v>40.577117606999998</v>
      </c>
      <c r="CW1234" s="279">
        <f t="shared" ref="CW1234:EB1234" si="2439">CW555</f>
        <v>26.016992691999999</v>
      </c>
      <c r="CX1234" s="279">
        <f t="shared" si="2439"/>
        <v>21.560036044</v>
      </c>
      <c r="CY1234" s="279">
        <f t="shared" si="2439"/>
        <v>47.081547169000004</v>
      </c>
      <c r="CZ1234" s="279">
        <f t="shared" si="2439"/>
        <v>31.579407516</v>
      </c>
      <c r="DA1234" s="279">
        <f t="shared" si="2439"/>
        <v>26.762229838000003</v>
      </c>
      <c r="DB1234" s="675">
        <f t="shared" si="2439"/>
        <v>43.318694478999994</v>
      </c>
      <c r="DC1234" s="279">
        <f t="shared" si="2439"/>
        <v>25.271828125440468</v>
      </c>
      <c r="DD1234" s="279">
        <f t="shared" si="2439"/>
        <v>23.721978949147022</v>
      </c>
      <c r="DE1234" s="279">
        <f t="shared" si="2439"/>
        <v>36.863292639738098</v>
      </c>
      <c r="DF1234" s="279">
        <f t="shared" si="2439"/>
        <v>28.363050243635684</v>
      </c>
      <c r="DG1234" s="279">
        <f t="shared" si="2439"/>
        <v>24.900331481291762</v>
      </c>
      <c r="DH1234" s="279">
        <f t="shared" si="2439"/>
        <v>38.609710525357727</v>
      </c>
      <c r="DI1234" s="279">
        <f t="shared" si="2439"/>
        <v>29.966839983691674</v>
      </c>
      <c r="DJ1234" s="279">
        <f t="shared" si="2439"/>
        <v>26.983938657461596</v>
      </c>
      <c r="DK1234" s="279">
        <f t="shared" si="2439"/>
        <v>62.540453699076309</v>
      </c>
      <c r="DL1234" s="279">
        <f t="shared" si="2439"/>
        <v>29.754172011383083</v>
      </c>
      <c r="DM1234" s="279">
        <f t="shared" si="2439"/>
        <v>29.443865395332711</v>
      </c>
      <c r="DN1234" s="280">
        <f t="shared" si="2439"/>
        <v>49.739442979696335</v>
      </c>
      <c r="DO1234" s="279">
        <f t="shared" si="2439"/>
        <v>23.913280308648531</v>
      </c>
      <c r="DP1234" s="279">
        <f t="shared" si="2439"/>
        <v>32.404885582766894</v>
      </c>
      <c r="DQ1234" s="279">
        <f t="shared" si="2439"/>
        <v>42.25815268258458</v>
      </c>
      <c r="DR1234" s="279">
        <f t="shared" si="2439"/>
        <v>29.557968987098729</v>
      </c>
      <c r="DS1234" s="279">
        <f t="shared" si="2439"/>
        <v>28.769558111274247</v>
      </c>
      <c r="DT1234" s="279">
        <f t="shared" si="2439"/>
        <v>50.827558140653061</v>
      </c>
      <c r="DU1234" s="279">
        <f t="shared" si="2439"/>
        <v>34.254071183999997</v>
      </c>
      <c r="DV1234" s="279">
        <f t="shared" si="2439"/>
        <v>29.742180941000001</v>
      </c>
      <c r="DW1234" s="279">
        <f t="shared" si="2439"/>
        <v>73.297094385510007</v>
      </c>
      <c r="DX1234" s="279">
        <f t="shared" si="2439"/>
        <v>30.260020454999996</v>
      </c>
      <c r="DY1234" s="279">
        <f t="shared" si="2439"/>
        <v>34.802364183000002</v>
      </c>
      <c r="DZ1234" s="280">
        <f t="shared" si="2439"/>
        <v>58.296360038000003</v>
      </c>
      <c r="EA1234" s="279">
        <f t="shared" si="2439"/>
        <v>28.710028807590181</v>
      </c>
      <c r="EB1234" s="279">
        <f t="shared" si="2439"/>
        <v>34.816374093478835</v>
      </c>
      <c r="EC1234" s="279">
        <f t="shared" ref="EC1234:EX1234" si="2440">EC555</f>
        <v>46.624297544656798</v>
      </c>
      <c r="ED1234" s="279">
        <f t="shared" si="2440"/>
        <v>36.344994823510177</v>
      </c>
      <c r="EE1234" s="279">
        <f t="shared" si="2440"/>
        <v>34.72785934047883</v>
      </c>
      <c r="EF1234" s="279">
        <f t="shared" si="2440"/>
        <v>55.515725913656809</v>
      </c>
      <c r="EG1234" s="279">
        <f t="shared" si="2440"/>
        <v>43.895696367254587</v>
      </c>
      <c r="EH1234" s="279">
        <f t="shared" si="2440"/>
        <v>32.119409716304652</v>
      </c>
      <c r="EI1234" s="279">
        <f t="shared" si="2440"/>
        <v>75.969855363630415</v>
      </c>
      <c r="EJ1234" s="279">
        <f t="shared" si="2440"/>
        <v>49.582225284816928</v>
      </c>
      <c r="EK1234" s="279">
        <f t="shared" si="2440"/>
        <v>35.121721916539627</v>
      </c>
      <c r="EL1234" s="280">
        <f t="shared" si="2440"/>
        <v>65.26671222178615</v>
      </c>
      <c r="EM1234" s="279">
        <f t="shared" si="2440"/>
        <v>33.385846521520001</v>
      </c>
      <c r="EN1234" s="279">
        <f t="shared" si="2440"/>
        <v>39.191629906970007</v>
      </c>
      <c r="EO1234" s="279">
        <f t="shared" si="2440"/>
        <v>53.6930349298</v>
      </c>
      <c r="EP1234" s="279">
        <f t="shared" si="2440"/>
        <v>44.207083992279998</v>
      </c>
      <c r="EQ1234" s="279">
        <f t="shared" si="2440"/>
        <v>37.827719683780003</v>
      </c>
      <c r="ER1234" s="279">
        <f t="shared" si="2440"/>
        <v>65.417052105490043</v>
      </c>
      <c r="ES1234" s="279">
        <f t="shared" si="2440"/>
        <v>51.40271640221988</v>
      </c>
      <c r="ET1234" s="279">
        <f t="shared" si="2440"/>
        <v>40.540910135739999</v>
      </c>
      <c r="EU1234" s="279">
        <f t="shared" si="2440"/>
        <v>65.299393199640008</v>
      </c>
      <c r="EV1234" s="279">
        <f t="shared" si="2440"/>
        <v>60.447716026999998</v>
      </c>
      <c r="EW1234" s="279">
        <f t="shared" si="2440"/>
        <v>46.362133108500011</v>
      </c>
      <c r="EX1234" s="280">
        <f t="shared" si="2440"/>
        <v>79.308169455000041</v>
      </c>
      <c r="EY1234" s="650">
        <f t="shared" ref="EY1234:GD1234" si="2441">+EY756+EY763+EY764</f>
        <v>40.998102563960643</v>
      </c>
      <c r="EZ1234" s="650">
        <f t="shared" si="2441"/>
        <v>40.359256791960632</v>
      </c>
      <c r="FA1234" s="650">
        <f t="shared" si="2441"/>
        <v>62.714618937960644</v>
      </c>
      <c r="FB1234" s="650">
        <f t="shared" si="2441"/>
        <v>40.322914575960638</v>
      </c>
      <c r="FC1234" s="650">
        <f t="shared" si="2441"/>
        <v>35.474248270960636</v>
      </c>
      <c r="FD1234" s="650">
        <f t="shared" si="2441"/>
        <v>74.629290928196767</v>
      </c>
      <c r="FE1234" s="650">
        <f t="shared" si="2441"/>
        <v>52.874494495057547</v>
      </c>
      <c r="FF1234" s="650">
        <f t="shared" si="2441"/>
        <v>48.043972393756093</v>
      </c>
      <c r="FG1234" s="650">
        <f t="shared" si="2441"/>
        <v>52.8834113321209</v>
      </c>
      <c r="FH1234" s="650">
        <f t="shared" si="2441"/>
        <v>67.083237399265229</v>
      </c>
      <c r="FI1234" s="650">
        <f t="shared" si="2441"/>
        <v>44.103048887982951</v>
      </c>
      <c r="FJ1234" s="650">
        <f t="shared" si="2441"/>
        <v>86.63182540869299</v>
      </c>
      <c r="FK1234" s="650">
        <f t="shared" si="2441"/>
        <v>36.480909883157153</v>
      </c>
      <c r="FL1234" s="650">
        <f t="shared" si="2441"/>
        <v>36.197943323535597</v>
      </c>
      <c r="FM1234" s="650">
        <f t="shared" si="2441"/>
        <v>72.634704752297253</v>
      </c>
      <c r="FN1234" s="650">
        <f t="shared" si="2441"/>
        <v>43.473459922232095</v>
      </c>
      <c r="FO1234" s="650">
        <f t="shared" si="2441"/>
        <v>46.615781270947025</v>
      </c>
      <c r="FP1234" s="650">
        <f t="shared" si="2441"/>
        <v>81.259749145776112</v>
      </c>
      <c r="FQ1234" s="650">
        <f t="shared" si="2441"/>
        <v>50.313151113014023</v>
      </c>
      <c r="FR1234" s="650">
        <f t="shared" si="2441"/>
        <v>53.861909335116664</v>
      </c>
      <c r="FS1234" s="650">
        <f t="shared" si="2441"/>
        <v>94.205909172069781</v>
      </c>
      <c r="FT1234" s="650">
        <f t="shared" si="2441"/>
        <v>56.567175716620831</v>
      </c>
      <c r="FU1234" s="650">
        <f t="shared" si="2441"/>
        <v>53.276918327628884</v>
      </c>
      <c r="FV1234" s="650">
        <f t="shared" si="2441"/>
        <v>97.108670627380519</v>
      </c>
      <c r="FW1234" s="650">
        <f t="shared" si="2441"/>
        <v>43.178445719553409</v>
      </c>
      <c r="FX1234" s="650">
        <f t="shared" si="2441"/>
        <v>52.308287017607505</v>
      </c>
      <c r="FY1234" s="650">
        <f t="shared" si="2441"/>
        <v>86.106966377884135</v>
      </c>
      <c r="FZ1234" s="650">
        <f t="shared" si="2441"/>
        <v>51.203371626966955</v>
      </c>
      <c r="GA1234" s="650">
        <f t="shared" si="2441"/>
        <v>53.96826325923351</v>
      </c>
      <c r="GB1234" s="650">
        <f t="shared" si="2441"/>
        <v>93.928533551958907</v>
      </c>
      <c r="GC1234" s="650">
        <f t="shared" si="2441"/>
        <v>62.966492565953338</v>
      </c>
      <c r="GD1234" s="650">
        <f t="shared" si="2441"/>
        <v>57.649637922096062</v>
      </c>
      <c r="GE1234" s="650">
        <f t="shared" ref="GE1234:HL1234" si="2442">+GE756+GE763+GE764</f>
        <v>137.66919661280301</v>
      </c>
      <c r="GF1234" s="650">
        <f t="shared" si="2442"/>
        <v>56.108142905701492</v>
      </c>
      <c r="GG1234" s="650">
        <f t="shared" si="2442"/>
        <v>59.900862311816624</v>
      </c>
      <c r="GH1234" s="650">
        <f t="shared" si="2442"/>
        <v>115.67576002130728</v>
      </c>
      <c r="GI1234" s="650">
        <f t="shared" si="2442"/>
        <v>53.739588532850107</v>
      </c>
      <c r="GJ1234" s="650">
        <f t="shared" si="2442"/>
        <v>59.695303035705571</v>
      </c>
      <c r="GK1234" s="650">
        <f t="shared" si="2442"/>
        <v>106.82670777051501</v>
      </c>
      <c r="GL1234" s="650">
        <f t="shared" si="2442"/>
        <v>50.863954526469279</v>
      </c>
      <c r="GM1234" s="650">
        <f t="shared" si="2442"/>
        <v>70.076813582664428</v>
      </c>
      <c r="GN1234" s="650">
        <f t="shared" si="2442"/>
        <v>120.1372434062649</v>
      </c>
      <c r="GO1234" s="650">
        <f t="shared" si="2442"/>
        <v>87.293298755684503</v>
      </c>
      <c r="GP1234" s="650">
        <f t="shared" si="2442"/>
        <v>48.666573154658266</v>
      </c>
      <c r="GQ1234" s="650">
        <f t="shared" si="2442"/>
        <v>148.76221500328842</v>
      </c>
      <c r="GR1234" s="650">
        <f t="shared" si="2442"/>
        <v>88.37140703499999</v>
      </c>
      <c r="GS1234" s="650">
        <f t="shared" si="2442"/>
        <v>67.50632946399999</v>
      </c>
      <c r="GT1234" s="650">
        <f t="shared" si="2442"/>
        <v>143.37873628200001</v>
      </c>
      <c r="GU1234" s="650">
        <f t="shared" si="2442"/>
        <v>72.700919720999991</v>
      </c>
      <c r="GV1234" s="650">
        <f t="shared" si="2442"/>
        <v>71.821319189999983</v>
      </c>
      <c r="GW1234" s="650">
        <f t="shared" si="2442"/>
        <v>111.78708360900001</v>
      </c>
      <c r="GX1234" s="650">
        <f t="shared" si="2442"/>
        <v>82.820763460999999</v>
      </c>
      <c r="GY1234" s="650">
        <f t="shared" si="2442"/>
        <v>74.497666730999995</v>
      </c>
      <c r="GZ1234" s="650">
        <f t="shared" si="2442"/>
        <v>141.11318296899998</v>
      </c>
      <c r="HA1234" s="650">
        <f t="shared" si="2442"/>
        <v>90.766045083999998</v>
      </c>
      <c r="HB1234" s="650">
        <f t="shared" si="2442"/>
        <v>77.93863099596733</v>
      </c>
      <c r="HC1234" s="650">
        <f t="shared" si="2442"/>
        <v>94.083043559999993</v>
      </c>
      <c r="HD1234" s="650">
        <f t="shared" si="2442"/>
        <v>133.0008584796123</v>
      </c>
      <c r="HE1234" s="650">
        <f t="shared" si="2442"/>
        <v>87.666727071487273</v>
      </c>
      <c r="HF1234" s="650">
        <f t="shared" si="2442"/>
        <v>170.87723149339396</v>
      </c>
      <c r="HG1234" s="650">
        <f t="shared" si="2442"/>
        <v>76.597643702000013</v>
      </c>
      <c r="HH1234" s="650">
        <f t="shared" si="2442"/>
        <v>84.159837448999994</v>
      </c>
      <c r="HI1234" s="650">
        <f t="shared" si="2442"/>
        <v>145.350984883</v>
      </c>
      <c r="HJ1234" s="650">
        <f t="shared" si="2442"/>
        <v>90.499757433466428</v>
      </c>
      <c r="HK1234" s="650">
        <f t="shared" si="2442"/>
        <v>90.316420529759085</v>
      </c>
      <c r="HL1234" s="650">
        <f t="shared" si="2442"/>
        <v>175.0292220106887</v>
      </c>
      <c r="HM1234" s="650">
        <f t="shared" ref="HM1234:HR1234" si="2443">+HM756+HM763+HM764</f>
        <v>104.71370365800001</v>
      </c>
      <c r="HN1234" s="650">
        <f t="shared" si="2443"/>
        <v>79.859045492000021</v>
      </c>
      <c r="HO1234" s="650">
        <f t="shared" si="2443"/>
        <v>155.19145501800025</v>
      </c>
      <c r="HP1234" s="650">
        <f t="shared" si="2443"/>
        <v>112.01832278100001</v>
      </c>
      <c r="HQ1234" s="650">
        <f t="shared" si="2443"/>
        <v>84.929537927000027</v>
      </c>
      <c r="HR1234" s="650">
        <f t="shared" si="2443"/>
        <v>204.73120140899999</v>
      </c>
      <c r="HS1234" s="650"/>
      <c r="HT1234" s="650"/>
      <c r="HU1234" s="650"/>
      <c r="HV1234" s="650"/>
      <c r="HW1234" s="650"/>
      <c r="HX1234" s="650"/>
    </row>
    <row r="1235" spans="4:232" ht="17.25" customHeight="1">
      <c r="D1235" s="1108" t="s">
        <v>1194</v>
      </c>
      <c r="E1235" s="279">
        <f t="shared" ref="E1235:AJ1235" si="2444">E558</f>
        <v>9.4116</v>
      </c>
      <c r="F1235" s="279">
        <f t="shared" si="2444"/>
        <v>8.2608999999999995</v>
      </c>
      <c r="G1235" s="279">
        <f t="shared" si="2444"/>
        <v>10.0154</v>
      </c>
      <c r="H1235" s="279">
        <f t="shared" si="2444"/>
        <v>9.7668999999999997</v>
      </c>
      <c r="I1235" s="279">
        <f t="shared" si="2444"/>
        <v>9.5553999999999988</v>
      </c>
      <c r="J1235" s="279">
        <f t="shared" si="2444"/>
        <v>10.387</v>
      </c>
      <c r="K1235" s="279">
        <f t="shared" si="2444"/>
        <v>9.6048999999999989</v>
      </c>
      <c r="L1235" s="279">
        <f t="shared" si="2444"/>
        <v>10.3903</v>
      </c>
      <c r="M1235" s="279">
        <f t="shared" si="2444"/>
        <v>9.9152000000000005</v>
      </c>
      <c r="N1235" s="279">
        <f t="shared" si="2444"/>
        <v>10.2142</v>
      </c>
      <c r="O1235" s="279">
        <f t="shared" si="2444"/>
        <v>11.895299999999999</v>
      </c>
      <c r="P1235" s="279">
        <f t="shared" si="2444"/>
        <v>11.5648</v>
      </c>
      <c r="Q1235" s="279">
        <f t="shared" si="2444"/>
        <v>11.690299999999999</v>
      </c>
      <c r="R1235" s="279">
        <f t="shared" si="2444"/>
        <v>11.6149</v>
      </c>
      <c r="S1235" s="279">
        <f t="shared" si="2444"/>
        <v>11.647500000000001</v>
      </c>
      <c r="T1235" s="279">
        <f t="shared" si="2444"/>
        <v>10.822700000000001</v>
      </c>
      <c r="U1235" s="279">
        <f t="shared" si="2444"/>
        <v>12.672799999999999</v>
      </c>
      <c r="V1235" s="279">
        <f t="shared" si="2444"/>
        <v>12.947899999999999</v>
      </c>
      <c r="W1235" s="279">
        <f t="shared" si="2444"/>
        <v>13.3018</v>
      </c>
      <c r="X1235" s="279">
        <f t="shared" si="2444"/>
        <v>13.8018</v>
      </c>
      <c r="Y1235" s="279">
        <f t="shared" si="2444"/>
        <v>15.9435</v>
      </c>
      <c r="Z1235" s="279">
        <f t="shared" si="2444"/>
        <v>15.8424</v>
      </c>
      <c r="AA1235" s="279">
        <f t="shared" si="2444"/>
        <v>14.826799999999999</v>
      </c>
      <c r="AB1235" s="279">
        <f t="shared" si="2444"/>
        <v>16.5852</v>
      </c>
      <c r="AC1235" s="279">
        <f t="shared" si="2444"/>
        <v>15.978399999999999</v>
      </c>
      <c r="AD1235" s="279">
        <f t="shared" si="2444"/>
        <v>16.263300000000001</v>
      </c>
      <c r="AE1235" s="279">
        <f t="shared" si="2444"/>
        <v>13.9215</v>
      </c>
      <c r="AF1235" s="279">
        <f t="shared" si="2444"/>
        <v>14.3789</v>
      </c>
      <c r="AG1235" s="279">
        <f t="shared" si="2444"/>
        <v>13.683200000000001</v>
      </c>
      <c r="AH1235" s="279">
        <f t="shared" si="2444"/>
        <v>14.745899999999999</v>
      </c>
      <c r="AI1235" s="279">
        <f t="shared" si="2444"/>
        <v>15.043299999999999</v>
      </c>
      <c r="AJ1235" s="279">
        <f t="shared" si="2444"/>
        <v>15.857299999999999</v>
      </c>
      <c r="AK1235" s="279">
        <f t="shared" ref="AK1235:BP1235" si="2445">AK558</f>
        <v>15.3857</v>
      </c>
      <c r="AL1235" s="279">
        <f t="shared" si="2445"/>
        <v>15.346200000000001</v>
      </c>
      <c r="AM1235" s="279">
        <f t="shared" si="2445"/>
        <v>16.407499999999999</v>
      </c>
      <c r="AN1235" s="279">
        <f t="shared" si="2445"/>
        <v>16.686499999999999</v>
      </c>
      <c r="AO1235" s="279">
        <f t="shared" si="2445"/>
        <v>16.5548</v>
      </c>
      <c r="AP1235" s="279">
        <f t="shared" si="2445"/>
        <v>15.553700000000001</v>
      </c>
      <c r="AQ1235" s="279">
        <f t="shared" si="2445"/>
        <v>17.471700000000002</v>
      </c>
      <c r="AR1235" s="279">
        <f t="shared" si="2445"/>
        <v>16.3583</v>
      </c>
      <c r="AS1235" s="279">
        <f t="shared" si="2445"/>
        <v>15.6881</v>
      </c>
      <c r="AT1235" s="279">
        <f t="shared" si="2445"/>
        <v>17.7105</v>
      </c>
      <c r="AU1235" s="279">
        <f t="shared" si="2445"/>
        <v>17.6343</v>
      </c>
      <c r="AV1235" s="279">
        <f t="shared" si="2445"/>
        <v>19.058599999999998</v>
      </c>
      <c r="AW1235" s="279">
        <f t="shared" si="2445"/>
        <v>18.961500000000001</v>
      </c>
      <c r="AX1235" s="279">
        <f t="shared" si="2445"/>
        <v>19.161000000000001</v>
      </c>
      <c r="AY1235" s="279">
        <f t="shared" si="2445"/>
        <v>20.3108</v>
      </c>
      <c r="AZ1235" s="279">
        <f t="shared" si="2445"/>
        <v>22.339200000000002</v>
      </c>
      <c r="BA1235" s="279">
        <f t="shared" si="2445"/>
        <v>21.822200000000002</v>
      </c>
      <c r="BB1235" s="279">
        <f t="shared" si="2445"/>
        <v>19.162560000000003</v>
      </c>
      <c r="BC1235" s="279">
        <f t="shared" si="2445"/>
        <v>19.557560000000002</v>
      </c>
      <c r="BD1235" s="279">
        <f t="shared" si="2445"/>
        <v>20.508900000000001</v>
      </c>
      <c r="BE1235" s="279">
        <f t="shared" si="2445"/>
        <v>22.770299999999999</v>
      </c>
      <c r="BF1235" s="279">
        <f t="shared" si="2445"/>
        <v>23.7254</v>
      </c>
      <c r="BG1235" s="279">
        <f t="shared" si="2445"/>
        <v>20.966528663800002</v>
      </c>
      <c r="BH1235" s="279">
        <f t="shared" si="2445"/>
        <v>23.6671240272</v>
      </c>
      <c r="BI1235" s="279">
        <f t="shared" si="2445"/>
        <v>23.953027627900003</v>
      </c>
      <c r="BJ1235" s="279">
        <f t="shared" si="2445"/>
        <v>21.652000000000001</v>
      </c>
      <c r="BK1235" s="279">
        <f t="shared" si="2445"/>
        <v>23.069839999999999</v>
      </c>
      <c r="BL1235" s="279">
        <f t="shared" si="2445"/>
        <v>24.892345000000002</v>
      </c>
      <c r="BM1235" s="279">
        <f t="shared" si="2445"/>
        <v>23.2239</v>
      </c>
      <c r="BN1235" s="279">
        <f t="shared" si="2445"/>
        <v>24.133299999999998</v>
      </c>
      <c r="BO1235" s="279">
        <f t="shared" si="2445"/>
        <v>24.619499999999999</v>
      </c>
      <c r="BP1235" s="279">
        <f t="shared" si="2445"/>
        <v>21.920300000000001</v>
      </c>
      <c r="BQ1235" s="279">
        <f t="shared" ref="BQ1235:CV1235" si="2446">BQ558</f>
        <v>24.101099999999999</v>
      </c>
      <c r="BR1235" s="279">
        <f t="shared" si="2446"/>
        <v>26.454900000000002</v>
      </c>
      <c r="BS1235" s="279">
        <f t="shared" si="2446"/>
        <v>25.064599999999999</v>
      </c>
      <c r="BT1235" s="279">
        <f t="shared" si="2446"/>
        <v>25.4953</v>
      </c>
      <c r="BU1235" s="279">
        <f t="shared" si="2446"/>
        <v>26.915500000000002</v>
      </c>
      <c r="BV1235" s="279">
        <f t="shared" si="2446"/>
        <v>26.531306822147378</v>
      </c>
      <c r="BW1235" s="279">
        <f t="shared" si="2446"/>
        <v>24.98555869265882</v>
      </c>
      <c r="BX1235" s="279">
        <f t="shared" si="2446"/>
        <v>26.125447644255175</v>
      </c>
      <c r="BY1235" s="279">
        <f t="shared" si="2446"/>
        <v>27.888198336466331</v>
      </c>
      <c r="BZ1235" s="279">
        <f t="shared" si="2446"/>
        <v>24.784347504198433</v>
      </c>
      <c r="CA1235" s="279">
        <f t="shared" si="2446"/>
        <v>26.467188712430286</v>
      </c>
      <c r="CB1235" s="279">
        <f t="shared" si="2446"/>
        <v>26.181016224506465</v>
      </c>
      <c r="CC1235" s="279">
        <f t="shared" si="2446"/>
        <v>27.027884673222939</v>
      </c>
      <c r="CD1235" s="279">
        <f t="shared" si="2446"/>
        <v>32.036213115318802</v>
      </c>
      <c r="CE1235" s="279">
        <f t="shared" si="2446"/>
        <v>27.175925627697268</v>
      </c>
      <c r="CF1235" s="279">
        <f t="shared" si="2446"/>
        <v>31.448783389300786</v>
      </c>
      <c r="CG1235" s="279">
        <f t="shared" si="2446"/>
        <v>32.695062422293432</v>
      </c>
      <c r="CH1235" s="279">
        <f t="shared" si="2446"/>
        <v>30.093787589345226</v>
      </c>
      <c r="CI1235" s="279">
        <f t="shared" si="2446"/>
        <v>31.622931282824723</v>
      </c>
      <c r="CJ1235" s="279">
        <f t="shared" si="2446"/>
        <v>30.767406408693802</v>
      </c>
      <c r="CK1235" s="279">
        <f t="shared" si="2446"/>
        <v>34.382431935825046</v>
      </c>
      <c r="CL1235" s="279">
        <f t="shared" si="2446"/>
        <v>31.154646210163069</v>
      </c>
      <c r="CM1235" s="279">
        <f t="shared" si="2446"/>
        <v>31.832167890064213</v>
      </c>
      <c r="CN1235" s="279">
        <f t="shared" si="2446"/>
        <v>30.847774212253356</v>
      </c>
      <c r="CO1235" s="279">
        <f t="shared" si="2446"/>
        <v>37.059071629357625</v>
      </c>
      <c r="CP1235" s="279">
        <f t="shared" si="2446"/>
        <v>44.856672864505647</v>
      </c>
      <c r="CQ1235" s="279">
        <f t="shared" si="2446"/>
        <v>34.044234721423337</v>
      </c>
      <c r="CR1235" s="279">
        <f t="shared" si="2446"/>
        <v>34.29596958275522</v>
      </c>
      <c r="CS1235" s="279">
        <f t="shared" si="2446"/>
        <v>40.407163301722527</v>
      </c>
      <c r="CT1235" s="279">
        <f t="shared" si="2446"/>
        <v>32.822443309882217</v>
      </c>
      <c r="CU1235" s="279">
        <f t="shared" si="2446"/>
        <v>32.604727360794364</v>
      </c>
      <c r="CV1235" s="279">
        <f t="shared" si="2446"/>
        <v>36.848967973615132</v>
      </c>
      <c r="CW1235" s="279">
        <f t="shared" ref="CW1235:EB1235" si="2447">CW558</f>
        <v>34.063865863482597</v>
      </c>
      <c r="CX1235" s="279">
        <f t="shared" si="2447"/>
        <v>31.988126682468085</v>
      </c>
      <c r="CY1235" s="279">
        <f t="shared" si="2447"/>
        <v>35.181410989911789</v>
      </c>
      <c r="CZ1235" s="279">
        <f t="shared" si="2447"/>
        <v>35.864216277090101</v>
      </c>
      <c r="DA1235" s="279">
        <f t="shared" si="2447"/>
        <v>35.710730559602688</v>
      </c>
      <c r="DB1235" s="675">
        <f t="shared" si="2447"/>
        <v>48.394044200851191</v>
      </c>
      <c r="DC1235" s="279">
        <f t="shared" si="2447"/>
        <v>36.017546511268577</v>
      </c>
      <c r="DD1235" s="279">
        <f t="shared" si="2447"/>
        <v>38.71828427882236</v>
      </c>
      <c r="DE1235" s="279">
        <f t="shared" si="2447"/>
        <v>43.069802325784131</v>
      </c>
      <c r="DF1235" s="279">
        <f t="shared" si="2447"/>
        <v>41.524162978379593</v>
      </c>
      <c r="DG1235" s="279">
        <f t="shared" si="2447"/>
        <v>38.419026093744549</v>
      </c>
      <c r="DH1235" s="279">
        <f t="shared" si="2447"/>
        <v>47.647654626847959</v>
      </c>
      <c r="DI1235" s="279">
        <f t="shared" si="2447"/>
        <v>40.436518023905741</v>
      </c>
      <c r="DJ1235" s="279">
        <f t="shared" si="2447"/>
        <v>39.103427348713439</v>
      </c>
      <c r="DK1235" s="279">
        <f t="shared" si="2447"/>
        <v>44.097411509082349</v>
      </c>
      <c r="DL1235" s="279">
        <f t="shared" si="2447"/>
        <v>41.603929950538571</v>
      </c>
      <c r="DM1235" s="279">
        <f t="shared" si="2447"/>
        <v>41.569464513546087</v>
      </c>
      <c r="DN1235" s="280">
        <f t="shared" si="2447"/>
        <v>58.062729940586692</v>
      </c>
      <c r="DO1235" s="279">
        <f t="shared" si="2447"/>
        <v>39.527052364900001</v>
      </c>
      <c r="DP1235" s="279">
        <f t="shared" si="2447"/>
        <v>42.818899499300009</v>
      </c>
      <c r="DQ1235" s="279">
        <f t="shared" si="2447"/>
        <v>46.790589943999997</v>
      </c>
      <c r="DR1235" s="279">
        <f t="shared" si="2447"/>
        <v>39.023771138699999</v>
      </c>
      <c r="DS1235" s="279">
        <f t="shared" si="2447"/>
        <v>41.684953767900005</v>
      </c>
      <c r="DT1235" s="279">
        <f t="shared" si="2447"/>
        <v>48.221292091819997</v>
      </c>
      <c r="DU1235" s="279">
        <f t="shared" si="2447"/>
        <v>45.778980718100001</v>
      </c>
      <c r="DV1235" s="279">
        <f t="shared" si="2447"/>
        <v>43.676228391100004</v>
      </c>
      <c r="DW1235" s="279">
        <f t="shared" si="2447"/>
        <v>48.967417331000007</v>
      </c>
      <c r="DX1235" s="279">
        <f t="shared" si="2447"/>
        <v>42.485499302900003</v>
      </c>
      <c r="DY1235" s="279">
        <f t="shared" si="2447"/>
        <v>45.112971943700011</v>
      </c>
      <c r="DZ1235" s="280">
        <f t="shared" si="2447"/>
        <v>60.468120292899989</v>
      </c>
      <c r="EA1235" s="279">
        <f t="shared" si="2447"/>
        <v>44.797875797699994</v>
      </c>
      <c r="EB1235" s="279">
        <f t="shared" si="2447"/>
        <v>45.5477164399</v>
      </c>
      <c r="EC1235" s="279">
        <f t="shared" ref="EC1235:EX1235" si="2448">EC558</f>
        <v>53.77540983518999</v>
      </c>
      <c r="ED1235" s="279">
        <f t="shared" si="2448"/>
        <v>48.820116958200003</v>
      </c>
      <c r="EE1235" s="279">
        <f t="shared" si="2448"/>
        <v>47.771835361160008</v>
      </c>
      <c r="EF1235" s="279">
        <f t="shared" si="2448"/>
        <v>58.566249298130003</v>
      </c>
      <c r="EG1235" s="279">
        <f t="shared" si="2448"/>
        <v>50.211513377449997</v>
      </c>
      <c r="EH1235" s="279">
        <f t="shared" si="2448"/>
        <v>48.096043656969997</v>
      </c>
      <c r="EI1235" s="279">
        <f t="shared" si="2448"/>
        <v>53.197381827259996</v>
      </c>
      <c r="EJ1235" s="279">
        <f t="shared" si="2448"/>
        <v>50.165768678964042</v>
      </c>
      <c r="EK1235" s="279">
        <f t="shared" si="2448"/>
        <v>50.777974140087323</v>
      </c>
      <c r="EL1235" s="280">
        <f t="shared" si="2448"/>
        <v>64.329564190127527</v>
      </c>
      <c r="EM1235" s="279">
        <f t="shared" si="2448"/>
        <v>49.047515527320002</v>
      </c>
      <c r="EN1235" s="279">
        <f t="shared" si="2448"/>
        <v>55.9534801808</v>
      </c>
      <c r="EO1235" s="279">
        <f t="shared" si="2448"/>
        <v>56.180142703960001</v>
      </c>
      <c r="EP1235" s="279">
        <f t="shared" si="2448"/>
        <v>50.583445224296661</v>
      </c>
      <c r="EQ1235" s="279">
        <f t="shared" si="2448"/>
        <v>53.589851192056663</v>
      </c>
      <c r="ER1235" s="279">
        <f t="shared" si="2448"/>
        <v>63.491690591056667</v>
      </c>
      <c r="ES1235" s="279">
        <f t="shared" si="2448"/>
        <v>57.058484830496539</v>
      </c>
      <c r="ET1235" s="279">
        <f t="shared" si="2448"/>
        <v>57.352404683147306</v>
      </c>
      <c r="EU1235" s="279">
        <f t="shared" si="2448"/>
        <v>55.750775766247251</v>
      </c>
      <c r="EV1235" s="279">
        <f t="shared" si="2448"/>
        <v>58.656694224941994</v>
      </c>
      <c r="EW1235" s="279">
        <f t="shared" si="2448"/>
        <v>59.182104264638305</v>
      </c>
      <c r="EX1235" s="280">
        <f t="shared" si="2448"/>
        <v>73.132967703428662</v>
      </c>
      <c r="EY1235" s="650">
        <f t="shared" ref="EY1235:GD1235" si="2449">+EY771</f>
        <v>54.263382039290008</v>
      </c>
      <c r="EZ1235" s="650">
        <f t="shared" si="2449"/>
        <v>61.952180569923961</v>
      </c>
      <c r="FA1235" s="650">
        <f t="shared" si="2449"/>
        <v>61.400699289466829</v>
      </c>
      <c r="FB1235" s="650">
        <f t="shared" si="2449"/>
        <v>58.598301699079997</v>
      </c>
      <c r="FC1235" s="650">
        <f t="shared" si="2449"/>
        <v>60.445300122399203</v>
      </c>
      <c r="FD1235" s="650">
        <f t="shared" si="2449"/>
        <v>78.471032264479192</v>
      </c>
      <c r="FE1235" s="650">
        <f t="shared" si="2449"/>
        <v>66.07755830056</v>
      </c>
      <c r="FF1235" s="650">
        <f t="shared" si="2449"/>
        <v>58.48371647499664</v>
      </c>
      <c r="FG1235" s="650">
        <f t="shared" si="2449"/>
        <v>60.428050559280003</v>
      </c>
      <c r="FH1235" s="650">
        <f t="shared" si="2449"/>
        <v>38.734274717475898</v>
      </c>
      <c r="FI1235" s="650">
        <f t="shared" si="2449"/>
        <v>40.964304717332695</v>
      </c>
      <c r="FJ1235" s="650">
        <f t="shared" si="2449"/>
        <v>72.390007426795904</v>
      </c>
      <c r="FK1235" s="650">
        <f t="shared" si="2449"/>
        <v>54.168901728150594</v>
      </c>
      <c r="FL1235" s="650">
        <f t="shared" si="2449"/>
        <v>60.051041430954385</v>
      </c>
      <c r="FM1235" s="650">
        <f t="shared" si="2449"/>
        <v>71.479806972853822</v>
      </c>
      <c r="FN1235" s="650">
        <f t="shared" si="2449"/>
        <v>63.371288552983501</v>
      </c>
      <c r="FO1235" s="650">
        <f t="shared" si="2449"/>
        <v>61.997095310571702</v>
      </c>
      <c r="FP1235" s="650">
        <f t="shared" si="2449"/>
        <v>69.343101686268739</v>
      </c>
      <c r="FQ1235" s="650">
        <f t="shared" si="2449"/>
        <v>60.057290794969944</v>
      </c>
      <c r="FR1235" s="650">
        <f t="shared" si="2449"/>
        <v>58.694828293877428</v>
      </c>
      <c r="FS1235" s="650">
        <f t="shared" si="2449"/>
        <v>64.712181678315659</v>
      </c>
      <c r="FT1235" s="650">
        <f t="shared" si="2449"/>
        <v>64.673643356741692</v>
      </c>
      <c r="FU1235" s="650">
        <f t="shared" si="2449"/>
        <v>66.447717415473193</v>
      </c>
      <c r="FV1235" s="650">
        <f t="shared" si="2449"/>
        <v>80.95332279998722</v>
      </c>
      <c r="FW1235" s="650">
        <f t="shared" si="2449"/>
        <v>57.455082833334053</v>
      </c>
      <c r="FX1235" s="650">
        <f t="shared" si="2449"/>
        <v>61.040984403823927</v>
      </c>
      <c r="FY1235" s="650">
        <f t="shared" si="2449"/>
        <v>71.34859550482399</v>
      </c>
      <c r="FZ1235" s="650">
        <f t="shared" si="2449"/>
        <v>67.735260111406518</v>
      </c>
      <c r="GA1235" s="650">
        <f t="shared" si="2449"/>
        <v>71.406121894751934</v>
      </c>
      <c r="GB1235" s="650">
        <f t="shared" si="2449"/>
        <v>79.97994653947751</v>
      </c>
      <c r="GC1235" s="650">
        <f t="shared" si="2449"/>
        <v>74.128009737574985</v>
      </c>
      <c r="GD1235" s="650">
        <f t="shared" si="2449"/>
        <v>66.461552756245538</v>
      </c>
      <c r="GE1235" s="650">
        <f t="shared" ref="GE1235:HL1235" si="2450">+GE771</f>
        <v>83.517696730099829</v>
      </c>
      <c r="GF1235" s="650">
        <f t="shared" si="2450"/>
        <v>75.203753604971894</v>
      </c>
      <c r="GG1235" s="650">
        <f t="shared" si="2450"/>
        <v>73.101989073323665</v>
      </c>
      <c r="GH1235" s="650">
        <f t="shared" si="2450"/>
        <v>91.710698926614242</v>
      </c>
      <c r="GI1235" s="650">
        <f t="shared" si="2450"/>
        <v>75.83596751694094</v>
      </c>
      <c r="GJ1235" s="650">
        <f t="shared" si="2450"/>
        <v>91.518969854744995</v>
      </c>
      <c r="GK1235" s="650">
        <f t="shared" si="2450"/>
        <v>89.953357421414836</v>
      </c>
      <c r="GL1235" s="650">
        <f t="shared" si="2450"/>
        <v>76.794259471496403</v>
      </c>
      <c r="GM1235" s="650">
        <f t="shared" si="2450"/>
        <v>79.812763006002214</v>
      </c>
      <c r="GN1235" s="650">
        <f t="shared" si="2450"/>
        <v>90.371227122600786</v>
      </c>
      <c r="GO1235" s="650">
        <f t="shared" si="2450"/>
        <v>93.541868119232603</v>
      </c>
      <c r="GP1235" s="650">
        <f t="shared" si="2450"/>
        <v>78.785211588544087</v>
      </c>
      <c r="GQ1235" s="650">
        <f t="shared" si="2450"/>
        <v>91.676332418468078</v>
      </c>
      <c r="GR1235" s="650">
        <f t="shared" si="2450"/>
        <v>80.289282286640002</v>
      </c>
      <c r="GS1235" s="650">
        <f t="shared" si="2450"/>
        <v>83.865236796749997</v>
      </c>
      <c r="GT1235" s="650">
        <f t="shared" si="2450"/>
        <v>97.978523219140015</v>
      </c>
      <c r="GU1235" s="650">
        <f t="shared" si="2450"/>
        <v>93.588156971670628</v>
      </c>
      <c r="GV1235" s="650">
        <f t="shared" si="2450"/>
        <v>95.09266117670154</v>
      </c>
      <c r="GW1235" s="650">
        <f t="shared" si="2450"/>
        <v>92.184935714847882</v>
      </c>
      <c r="GX1235" s="650">
        <f t="shared" si="2450"/>
        <v>95.011488550449997</v>
      </c>
      <c r="GY1235" s="650">
        <f t="shared" si="2450"/>
        <v>90.740672627979492</v>
      </c>
      <c r="GZ1235" s="650">
        <f t="shared" si="2450"/>
        <v>94.519543153649991</v>
      </c>
      <c r="HA1235" s="650">
        <f t="shared" si="2450"/>
        <v>108.52683890841251</v>
      </c>
      <c r="HB1235" s="650">
        <f t="shared" si="2450"/>
        <v>90.239175114779997</v>
      </c>
      <c r="HC1235" s="650">
        <f t="shared" si="2450"/>
        <v>93.516958395113221</v>
      </c>
      <c r="HD1235" s="650">
        <f t="shared" si="2450"/>
        <v>103.89674737625</v>
      </c>
      <c r="HE1235" s="650">
        <f t="shared" si="2450"/>
        <v>102.254227319295</v>
      </c>
      <c r="HF1235" s="650">
        <f t="shared" si="2450"/>
        <v>130.19032642524189</v>
      </c>
      <c r="HG1235" s="650">
        <f t="shared" si="2450"/>
        <v>119.86874236616913</v>
      </c>
      <c r="HH1235" s="650">
        <f t="shared" si="2450"/>
        <v>111.53782990078483</v>
      </c>
      <c r="HI1235" s="650">
        <f t="shared" si="2450"/>
        <v>112.14483491384611</v>
      </c>
      <c r="HJ1235" s="650">
        <f t="shared" si="2450"/>
        <v>124.95749331484998</v>
      </c>
      <c r="HK1235" s="650">
        <f t="shared" si="2450"/>
        <v>105.55191559369999</v>
      </c>
      <c r="HL1235" s="650">
        <f t="shared" si="2450"/>
        <v>111.3711804819222</v>
      </c>
      <c r="HM1235" s="650">
        <f t="shared" ref="HM1235:HR1235" si="2451">+HM771</f>
        <v>139.25446059146091</v>
      </c>
      <c r="HN1235" s="650">
        <f t="shared" si="2451"/>
        <v>109.02983075476104</v>
      </c>
      <c r="HO1235" s="650">
        <f t="shared" si="2451"/>
        <v>110.89497578340911</v>
      </c>
      <c r="HP1235" s="650">
        <f t="shared" si="2451"/>
        <v>122.05574261761694</v>
      </c>
      <c r="HQ1235" s="650">
        <f t="shared" si="2451"/>
        <v>114.08303553167009</v>
      </c>
      <c r="HR1235" s="650">
        <f t="shared" si="2451"/>
        <v>138.51546891650182</v>
      </c>
      <c r="HS1235" s="650"/>
      <c r="HT1235" s="650"/>
      <c r="HU1235" s="650"/>
      <c r="HV1235" s="650"/>
      <c r="HW1235" s="650"/>
      <c r="HX1235" s="650"/>
    </row>
    <row r="1236" spans="4:232" ht="17.25" customHeight="1">
      <c r="D1236" s="1108" t="s">
        <v>1195</v>
      </c>
      <c r="E1236" s="279">
        <f t="shared" ref="E1236:AJ1236" si="2452">E565</f>
        <v>2.2593000000000001</v>
      </c>
      <c r="F1236" s="279">
        <f t="shared" si="2452"/>
        <v>2.0148999999999999</v>
      </c>
      <c r="G1236" s="279">
        <f t="shared" si="2452"/>
        <v>2.6955999999999998</v>
      </c>
      <c r="H1236" s="279">
        <f t="shared" si="2452"/>
        <v>3.0237999999999996</v>
      </c>
      <c r="I1236" s="279">
        <f t="shared" si="2452"/>
        <v>2.7294999999999998</v>
      </c>
      <c r="J1236" s="279">
        <f t="shared" si="2452"/>
        <v>2.6869000000000001</v>
      </c>
      <c r="K1236" s="279">
        <f t="shared" si="2452"/>
        <v>2.3318000000000003</v>
      </c>
      <c r="L1236" s="279">
        <f t="shared" si="2452"/>
        <v>3.2033</v>
      </c>
      <c r="M1236" s="279">
        <f t="shared" si="2452"/>
        <v>2.4158000000000004</v>
      </c>
      <c r="N1236" s="279">
        <f t="shared" si="2452"/>
        <v>2.4990999999999999</v>
      </c>
      <c r="O1236" s="279">
        <f t="shared" si="2452"/>
        <v>2.5836000000000001</v>
      </c>
      <c r="P1236" s="279">
        <f t="shared" si="2452"/>
        <v>2.5763999999999996</v>
      </c>
      <c r="Q1236" s="279">
        <f t="shared" si="2452"/>
        <v>2.6505999999999998</v>
      </c>
      <c r="R1236" s="279">
        <f t="shared" si="2452"/>
        <v>2.6443000000000003</v>
      </c>
      <c r="S1236" s="279">
        <f t="shared" si="2452"/>
        <v>3.4626999999999999</v>
      </c>
      <c r="T1236" s="279">
        <f t="shared" si="2452"/>
        <v>2.8732000000000002</v>
      </c>
      <c r="U1236" s="279">
        <f t="shared" si="2452"/>
        <v>3.4509000000000003</v>
      </c>
      <c r="V1236" s="279">
        <f t="shared" si="2452"/>
        <v>3.4799000000000002</v>
      </c>
      <c r="W1236" s="279">
        <f t="shared" si="2452"/>
        <v>3.5015999999999998</v>
      </c>
      <c r="X1236" s="279">
        <f t="shared" si="2452"/>
        <v>3.6949000000000001</v>
      </c>
      <c r="Y1236" s="279">
        <f t="shared" si="2452"/>
        <v>4.0191999999999997</v>
      </c>
      <c r="Z1236" s="279">
        <f t="shared" si="2452"/>
        <v>4.2493999999999996</v>
      </c>
      <c r="AA1236" s="279">
        <f t="shared" si="2452"/>
        <v>4.2018999999999993</v>
      </c>
      <c r="AB1236" s="279">
        <f t="shared" si="2452"/>
        <v>5.6950000000000003</v>
      </c>
      <c r="AC1236" s="279">
        <f t="shared" si="2452"/>
        <v>3.7675000000000001</v>
      </c>
      <c r="AD1236" s="279">
        <f t="shared" si="2452"/>
        <v>4.6877999999999993</v>
      </c>
      <c r="AE1236" s="279">
        <f t="shared" si="2452"/>
        <v>5.0786000000000007</v>
      </c>
      <c r="AF1236" s="279">
        <f t="shared" si="2452"/>
        <v>4.4198000000000004</v>
      </c>
      <c r="AG1236" s="279">
        <f t="shared" si="2452"/>
        <v>3.8992999999999998</v>
      </c>
      <c r="AH1236" s="279">
        <f t="shared" si="2452"/>
        <v>4.7658000000000005</v>
      </c>
      <c r="AI1236" s="279">
        <f t="shared" si="2452"/>
        <v>2.9855999999999998</v>
      </c>
      <c r="AJ1236" s="279">
        <f t="shared" si="2452"/>
        <v>2.6494</v>
      </c>
      <c r="AK1236" s="279">
        <f t="shared" ref="AK1236:BP1236" si="2453">AK565</f>
        <v>1.9910999999999999</v>
      </c>
      <c r="AL1236" s="279">
        <f t="shared" si="2453"/>
        <v>2.9409999999999998</v>
      </c>
      <c r="AM1236" s="279">
        <f t="shared" si="2453"/>
        <v>3.1635</v>
      </c>
      <c r="AN1236" s="279">
        <f t="shared" si="2453"/>
        <v>2.3130000000000002</v>
      </c>
      <c r="AO1236" s="279">
        <f t="shared" si="2453"/>
        <v>2.8007</v>
      </c>
      <c r="AP1236" s="279">
        <f t="shared" si="2453"/>
        <v>2.222</v>
      </c>
      <c r="AQ1236" s="279">
        <f t="shared" si="2453"/>
        <v>3.5944000000000003</v>
      </c>
      <c r="AR1236" s="279">
        <f t="shared" si="2453"/>
        <v>2.5757999999999996</v>
      </c>
      <c r="AS1236" s="279">
        <f t="shared" si="2453"/>
        <v>2.1346999999999996</v>
      </c>
      <c r="AT1236" s="279">
        <f t="shared" si="2453"/>
        <v>2.7659000000000002</v>
      </c>
      <c r="AU1236" s="279">
        <f t="shared" si="2453"/>
        <v>2.6834000000000002</v>
      </c>
      <c r="AV1236" s="279">
        <f t="shared" si="2453"/>
        <v>2.8464</v>
      </c>
      <c r="AW1236" s="279">
        <f t="shared" si="2453"/>
        <v>3.226</v>
      </c>
      <c r="AX1236" s="279">
        <f t="shared" si="2453"/>
        <v>2.3008999999999999</v>
      </c>
      <c r="AY1236" s="279">
        <f t="shared" si="2453"/>
        <v>3.4775</v>
      </c>
      <c r="AZ1236" s="279">
        <f t="shared" si="2453"/>
        <v>3.3310999999999997</v>
      </c>
      <c r="BA1236" s="279">
        <f t="shared" si="2453"/>
        <v>4.1364999999999998</v>
      </c>
      <c r="BB1236" s="279">
        <f t="shared" si="2453"/>
        <v>2.36</v>
      </c>
      <c r="BC1236" s="279">
        <f t="shared" si="2453"/>
        <v>4.4958</v>
      </c>
      <c r="BD1236" s="279">
        <f t="shared" si="2453"/>
        <v>2.9993000000000003</v>
      </c>
      <c r="BE1236" s="279">
        <f t="shared" si="2453"/>
        <v>2.5949</v>
      </c>
      <c r="BF1236" s="279">
        <f t="shared" si="2453"/>
        <v>3.3083999999999998</v>
      </c>
      <c r="BG1236" s="279">
        <f t="shared" si="2453"/>
        <v>2.6107166510000002</v>
      </c>
      <c r="BH1236" s="279">
        <f t="shared" si="2453"/>
        <v>4.5082279999999999</v>
      </c>
      <c r="BI1236" s="279">
        <f t="shared" si="2453"/>
        <v>2.9528000000000003</v>
      </c>
      <c r="BJ1236" s="279">
        <f t="shared" si="2453"/>
        <v>2.6674000000000002</v>
      </c>
      <c r="BK1236" s="279">
        <f t="shared" si="2453"/>
        <v>3.8698399999999999</v>
      </c>
      <c r="BL1236" s="279">
        <f t="shared" si="2453"/>
        <v>4.15334</v>
      </c>
      <c r="BM1236" s="279">
        <f t="shared" si="2453"/>
        <v>4.1672999999999991</v>
      </c>
      <c r="BN1236" s="279">
        <f t="shared" si="2453"/>
        <v>3.8741000000000003</v>
      </c>
      <c r="BO1236" s="279">
        <f t="shared" si="2453"/>
        <v>4.0420999999999996</v>
      </c>
      <c r="BP1236" s="279">
        <f t="shared" si="2453"/>
        <v>4.1261999999999999</v>
      </c>
      <c r="BQ1236" s="279">
        <f t="shared" ref="BQ1236:CV1236" si="2454">BQ565</f>
        <v>5.0997000000000003</v>
      </c>
      <c r="BR1236" s="279">
        <f t="shared" si="2454"/>
        <v>3.8818000000000001</v>
      </c>
      <c r="BS1236" s="279">
        <f t="shared" si="2454"/>
        <v>5.6673</v>
      </c>
      <c r="BT1236" s="279">
        <f t="shared" si="2454"/>
        <v>6.6608000000000001</v>
      </c>
      <c r="BU1236" s="279">
        <f t="shared" si="2454"/>
        <v>4.3363999999999994</v>
      </c>
      <c r="BV1236" s="279">
        <f t="shared" si="2454"/>
        <v>3.843894852</v>
      </c>
      <c r="BW1236" s="279">
        <f t="shared" si="2454"/>
        <v>3.7201749240000002</v>
      </c>
      <c r="BX1236" s="279">
        <f t="shared" si="2454"/>
        <v>3.76540696</v>
      </c>
      <c r="BY1236" s="279">
        <f t="shared" si="2454"/>
        <v>4.0547086649999997</v>
      </c>
      <c r="BZ1236" s="279">
        <f t="shared" si="2454"/>
        <v>3.2822493419999996</v>
      </c>
      <c r="CA1236" s="279">
        <f t="shared" si="2454"/>
        <v>3.21077587</v>
      </c>
      <c r="CB1236" s="279">
        <f t="shared" si="2454"/>
        <v>3.2065292360000002</v>
      </c>
      <c r="CC1236" s="279">
        <f t="shared" si="2454"/>
        <v>3.6739556950000001</v>
      </c>
      <c r="CD1236" s="279">
        <f t="shared" si="2454"/>
        <v>4.4572365920000001</v>
      </c>
      <c r="CE1236" s="279">
        <f t="shared" si="2454"/>
        <v>3.9393244790000002</v>
      </c>
      <c r="CF1236" s="279">
        <f t="shared" si="2454"/>
        <v>3.8202676950000001</v>
      </c>
      <c r="CG1236" s="279">
        <f t="shared" si="2454"/>
        <v>4.3750961170000009</v>
      </c>
      <c r="CH1236" s="279">
        <f t="shared" si="2454"/>
        <v>4.9460916490000004</v>
      </c>
      <c r="CI1236" s="279">
        <f t="shared" si="2454"/>
        <v>4.5951193520000002</v>
      </c>
      <c r="CJ1236" s="279">
        <f t="shared" si="2454"/>
        <v>4.8533161430000007</v>
      </c>
      <c r="CK1236" s="279">
        <f t="shared" si="2454"/>
        <v>5.2829806130000003</v>
      </c>
      <c r="CL1236" s="279">
        <f t="shared" si="2454"/>
        <v>4.6631892639999997</v>
      </c>
      <c r="CM1236" s="279">
        <f t="shared" si="2454"/>
        <v>4.853641917</v>
      </c>
      <c r="CN1236" s="279">
        <f t="shared" si="2454"/>
        <v>4.6720987699999998</v>
      </c>
      <c r="CO1236" s="279">
        <f t="shared" si="2454"/>
        <v>5.1804120569999998</v>
      </c>
      <c r="CP1236" s="279">
        <f t="shared" si="2454"/>
        <v>6.6748379409999998</v>
      </c>
      <c r="CQ1236" s="279">
        <f t="shared" si="2454"/>
        <v>4.4563394450000002</v>
      </c>
      <c r="CR1236" s="279">
        <f t="shared" si="2454"/>
        <v>4.3919501279999995</v>
      </c>
      <c r="CS1236" s="279">
        <f t="shared" si="2454"/>
        <v>5.0807098110000002</v>
      </c>
      <c r="CT1236" s="279">
        <f t="shared" si="2454"/>
        <v>4.5882690229999996</v>
      </c>
      <c r="CU1236" s="279">
        <f t="shared" si="2454"/>
        <v>5.1776039040000006</v>
      </c>
      <c r="CV1236" s="279">
        <f t="shared" si="2454"/>
        <v>5.0770663970000003</v>
      </c>
      <c r="CW1236" s="279">
        <f t="shared" ref="CW1236:EB1236" si="2455">CW565</f>
        <v>5.7757457929999996</v>
      </c>
      <c r="CX1236" s="279">
        <f t="shared" si="2455"/>
        <v>5.1678418309999996</v>
      </c>
      <c r="CY1236" s="279">
        <f t="shared" si="2455"/>
        <v>5.3520139840000001</v>
      </c>
      <c r="CZ1236" s="279">
        <f t="shared" si="2455"/>
        <v>5.4402056289999994</v>
      </c>
      <c r="DA1236" s="279">
        <f t="shared" si="2455"/>
        <v>6.3478676700000003</v>
      </c>
      <c r="DB1236" s="675">
        <f t="shared" si="2455"/>
        <v>6.5963300519999999</v>
      </c>
      <c r="DC1236" s="279">
        <f t="shared" si="2455"/>
        <v>5.4445769111376707</v>
      </c>
      <c r="DD1236" s="279">
        <f t="shared" si="2455"/>
        <v>5.805323652966166</v>
      </c>
      <c r="DE1236" s="279">
        <f t="shared" si="2455"/>
        <v>6.8912519040461664</v>
      </c>
      <c r="DF1236" s="279">
        <f t="shared" si="2455"/>
        <v>7.8815760578910536</v>
      </c>
      <c r="DG1236" s="279">
        <f t="shared" si="2455"/>
        <v>6.9713311465128545</v>
      </c>
      <c r="DH1236" s="279">
        <f t="shared" si="2455"/>
        <v>8.1799067232881555</v>
      </c>
      <c r="DI1236" s="279">
        <f t="shared" si="2455"/>
        <v>6.5955284107216379</v>
      </c>
      <c r="DJ1236" s="279">
        <f t="shared" si="2455"/>
        <v>6.6938668656392997</v>
      </c>
      <c r="DK1236" s="279">
        <f t="shared" si="2455"/>
        <v>7.0590422128204722</v>
      </c>
      <c r="DL1236" s="279">
        <f t="shared" si="2455"/>
        <v>7.087590191428438</v>
      </c>
      <c r="DM1236" s="279">
        <f t="shared" si="2455"/>
        <v>7.4229804772847547</v>
      </c>
      <c r="DN1236" s="280">
        <f t="shared" si="2455"/>
        <v>7.8521124858999043</v>
      </c>
      <c r="DO1236" s="279">
        <f t="shared" si="2455"/>
        <v>6.5610445010000005</v>
      </c>
      <c r="DP1236" s="279">
        <f t="shared" si="2455"/>
        <v>7.3270348959999998</v>
      </c>
      <c r="DQ1236" s="279">
        <f t="shared" si="2455"/>
        <v>7.2908090130000005</v>
      </c>
      <c r="DR1236" s="279">
        <f t="shared" si="2455"/>
        <v>6.6548213110000001</v>
      </c>
      <c r="DS1236" s="279">
        <f t="shared" si="2455"/>
        <v>7.0344070729999997</v>
      </c>
      <c r="DT1236" s="279">
        <f t="shared" si="2455"/>
        <v>7.9401631290000001</v>
      </c>
      <c r="DU1236" s="279">
        <f t="shared" si="2455"/>
        <v>7.2879551160000009</v>
      </c>
      <c r="DV1236" s="279">
        <f t="shared" si="2455"/>
        <v>6.9474123759999991</v>
      </c>
      <c r="DW1236" s="279">
        <f t="shared" si="2455"/>
        <v>8.5377774140000007</v>
      </c>
      <c r="DX1236" s="279">
        <f t="shared" si="2455"/>
        <v>7.1242365200000002</v>
      </c>
      <c r="DY1236" s="279">
        <f t="shared" si="2455"/>
        <v>9.4087535320000004</v>
      </c>
      <c r="DZ1236" s="280">
        <f t="shared" si="2455"/>
        <v>9.0894584079999987</v>
      </c>
      <c r="EA1236" s="279">
        <f t="shared" si="2455"/>
        <v>7.1439643850000003</v>
      </c>
      <c r="EB1236" s="279">
        <f t="shared" si="2455"/>
        <v>7.3806015580000004</v>
      </c>
      <c r="EC1236" s="279">
        <f t="shared" ref="EC1236:EX1236" si="2456">EC565</f>
        <v>8.2485887610000006</v>
      </c>
      <c r="ED1236" s="279">
        <f t="shared" si="2456"/>
        <v>8.7947602640000007</v>
      </c>
      <c r="EE1236" s="279">
        <f t="shared" si="2456"/>
        <v>7.7643052749999999</v>
      </c>
      <c r="EF1236" s="279">
        <f t="shared" si="2456"/>
        <v>9.0628797320000007</v>
      </c>
      <c r="EG1236" s="279">
        <f t="shared" si="2456"/>
        <v>9.2121257239999998</v>
      </c>
      <c r="EH1236" s="279">
        <f t="shared" si="2456"/>
        <v>7.2475529339999998</v>
      </c>
      <c r="EI1236" s="279">
        <f t="shared" si="2456"/>
        <v>8.6403218250000009</v>
      </c>
      <c r="EJ1236" s="279">
        <f t="shared" si="2456"/>
        <v>7.3190470420000002</v>
      </c>
      <c r="EK1236" s="279">
        <f t="shared" si="2456"/>
        <v>8.6909410600000001</v>
      </c>
      <c r="EL1236" s="280">
        <f t="shared" si="2456"/>
        <v>8.626191575</v>
      </c>
      <c r="EM1236" s="279">
        <f t="shared" si="2456"/>
        <v>8.0683065989999996</v>
      </c>
      <c r="EN1236" s="279">
        <f t="shared" si="2456"/>
        <v>9.4906773229999999</v>
      </c>
      <c r="EO1236" s="279">
        <f t="shared" si="2456"/>
        <v>7.7190137739999996</v>
      </c>
      <c r="EP1236" s="279">
        <f t="shared" si="2456"/>
        <v>8.2399675400000003</v>
      </c>
      <c r="EQ1236" s="279">
        <f t="shared" si="2456"/>
        <v>9.2015794169999996</v>
      </c>
      <c r="ER1236" s="279">
        <f t="shared" si="2456"/>
        <v>10.894658637999999</v>
      </c>
      <c r="ES1236" s="279">
        <f t="shared" si="2456"/>
        <v>10.091343062856238</v>
      </c>
      <c r="ET1236" s="279">
        <f t="shared" si="2456"/>
        <v>9.3960448855626328</v>
      </c>
      <c r="EU1236" s="279">
        <f t="shared" si="2456"/>
        <v>8.9297695994327615</v>
      </c>
      <c r="EV1236" s="279">
        <f t="shared" si="2456"/>
        <v>10.472205665552421</v>
      </c>
      <c r="EW1236" s="279">
        <f t="shared" si="2456"/>
        <v>9.9040917576417105</v>
      </c>
      <c r="EX1236" s="280">
        <f t="shared" si="2456"/>
        <v>9.3201618568994924</v>
      </c>
      <c r="EY1236" s="650">
        <f t="shared" ref="EY1236:GD1236" si="2457">+EY793</f>
        <v>10.398021448</v>
      </c>
      <c r="EZ1236" s="650">
        <f t="shared" si="2457"/>
        <v>11.89994688</v>
      </c>
      <c r="FA1236" s="650">
        <f t="shared" si="2457"/>
        <v>8.7815171400000001</v>
      </c>
      <c r="FB1236" s="650">
        <f t="shared" si="2457"/>
        <v>10.001424850999999</v>
      </c>
      <c r="FC1236" s="650">
        <f t="shared" si="2457"/>
        <v>10.763715027610001</v>
      </c>
      <c r="FD1236" s="650">
        <f t="shared" si="2457"/>
        <v>12.073045403479998</v>
      </c>
      <c r="FE1236" s="650">
        <f t="shared" si="2457"/>
        <v>10.227735416700002</v>
      </c>
      <c r="FF1236" s="650">
        <f t="shared" si="2457"/>
        <v>9.8075142343100001</v>
      </c>
      <c r="FG1236" s="650">
        <f t="shared" si="2457"/>
        <v>10.532080037709999</v>
      </c>
      <c r="FH1236" s="650">
        <f t="shared" si="2457"/>
        <v>5.8022008460200007</v>
      </c>
      <c r="FI1236" s="650">
        <f t="shared" si="2457"/>
        <v>7.48305267899</v>
      </c>
      <c r="FJ1236" s="650">
        <f t="shared" si="2457"/>
        <v>9.5112301575600018</v>
      </c>
      <c r="FK1236" s="650">
        <f t="shared" si="2457"/>
        <v>9.296074136864517</v>
      </c>
      <c r="FL1236" s="650">
        <f t="shared" si="2457"/>
        <v>10.65239108676109</v>
      </c>
      <c r="FM1236" s="650">
        <f t="shared" si="2457"/>
        <v>10.976699959915249</v>
      </c>
      <c r="FN1236" s="650">
        <f t="shared" si="2457"/>
        <v>12.10266366517248</v>
      </c>
      <c r="FO1236" s="650">
        <f t="shared" si="2457"/>
        <v>10.558175669872419</v>
      </c>
      <c r="FP1236" s="650">
        <f t="shared" si="2457"/>
        <v>11.37814121478068</v>
      </c>
      <c r="FQ1236" s="650">
        <f t="shared" si="2457"/>
        <v>7.8399095164019643</v>
      </c>
      <c r="FR1236" s="650">
        <f t="shared" si="2457"/>
        <v>9.0972629761733455</v>
      </c>
      <c r="FS1236" s="650">
        <f t="shared" si="2457"/>
        <v>10.726625780432572</v>
      </c>
      <c r="FT1236" s="650">
        <f t="shared" si="2457"/>
        <v>10.399853175586575</v>
      </c>
      <c r="FU1236" s="650">
        <f t="shared" si="2457"/>
        <v>9.4452242049853279</v>
      </c>
      <c r="FV1236" s="650">
        <f t="shared" si="2457"/>
        <v>11.269758498964924</v>
      </c>
      <c r="FW1236" s="650">
        <f t="shared" si="2457"/>
        <v>9.4821284252321298</v>
      </c>
      <c r="FX1236" s="650">
        <f t="shared" si="2457"/>
        <v>10.045892009600527</v>
      </c>
      <c r="FY1236" s="650">
        <f t="shared" si="2457"/>
        <v>10.423432988996325</v>
      </c>
      <c r="FZ1236" s="650">
        <f t="shared" si="2457"/>
        <v>10.200461923450804</v>
      </c>
      <c r="GA1236" s="650">
        <f t="shared" si="2457"/>
        <v>10.529149483587618</v>
      </c>
      <c r="GB1236" s="650">
        <f t="shared" si="2457"/>
        <v>12.424799576764602</v>
      </c>
      <c r="GC1236" s="650">
        <f t="shared" si="2457"/>
        <v>9.3675806430179698</v>
      </c>
      <c r="GD1236" s="650">
        <f t="shared" si="2457"/>
        <v>10.436896168783601</v>
      </c>
      <c r="GE1236" s="650">
        <f t="shared" ref="GE1236:HL1236" si="2458">+GE793</f>
        <v>11.12648420926465</v>
      </c>
      <c r="GF1236" s="650">
        <f t="shared" si="2458"/>
        <v>11.180707859421489</v>
      </c>
      <c r="GG1236" s="650">
        <f t="shared" si="2458"/>
        <v>12.441656344522334</v>
      </c>
      <c r="GH1236" s="650">
        <f t="shared" si="2458"/>
        <v>15.360749506889384</v>
      </c>
      <c r="GI1236" s="650">
        <f t="shared" si="2458"/>
        <v>16.38637118794</v>
      </c>
      <c r="GJ1236" s="650">
        <f t="shared" si="2458"/>
        <v>18.870421394480001</v>
      </c>
      <c r="GK1236" s="650">
        <f t="shared" si="2458"/>
        <v>17.922437522620001</v>
      </c>
      <c r="GL1236" s="650">
        <f t="shared" si="2458"/>
        <v>15.91175706177</v>
      </c>
      <c r="GM1236" s="650">
        <f t="shared" si="2458"/>
        <v>17.6898592149</v>
      </c>
      <c r="GN1236" s="650">
        <f t="shared" si="2458"/>
        <v>17.845496401392008</v>
      </c>
      <c r="GO1236" s="650">
        <f t="shared" si="2458"/>
        <v>17.28448116675051</v>
      </c>
      <c r="GP1236" s="650">
        <f t="shared" si="2458"/>
        <v>17.937385359725457</v>
      </c>
      <c r="GQ1236" s="650">
        <f t="shared" si="2458"/>
        <v>18.388605268396716</v>
      </c>
      <c r="GR1236" s="650">
        <f t="shared" si="2458"/>
        <v>14.653189289850001</v>
      </c>
      <c r="GS1236" s="650">
        <f t="shared" si="2458"/>
        <v>19.5043521843</v>
      </c>
      <c r="GT1236" s="650">
        <f t="shared" si="2458"/>
        <v>19.236271389540001</v>
      </c>
      <c r="GU1236" s="650">
        <f t="shared" si="2458"/>
        <v>16.109238721179999</v>
      </c>
      <c r="GV1236" s="650">
        <f t="shared" si="2458"/>
        <v>16.080309593607428</v>
      </c>
      <c r="GW1236" s="650">
        <f t="shared" si="2458"/>
        <v>15.752290386280876</v>
      </c>
      <c r="GX1236" s="650">
        <f t="shared" si="2458"/>
        <v>14.5539997201</v>
      </c>
      <c r="GY1236" s="650">
        <f t="shared" si="2458"/>
        <v>14.038801213699999</v>
      </c>
      <c r="GZ1236" s="650">
        <f t="shared" si="2458"/>
        <v>15.968614914</v>
      </c>
      <c r="HA1236" s="650">
        <f t="shared" si="2458"/>
        <v>16.682865285489999</v>
      </c>
      <c r="HB1236" s="650">
        <f t="shared" si="2458"/>
        <v>14.36316860374</v>
      </c>
      <c r="HC1236" s="650">
        <f t="shared" si="2458"/>
        <v>15.680942144125849</v>
      </c>
      <c r="HD1236" s="650">
        <f t="shared" si="2458"/>
        <v>15.896774606989998</v>
      </c>
      <c r="HE1236" s="650">
        <f t="shared" si="2458"/>
        <v>18.334208299580002</v>
      </c>
      <c r="HF1236" s="650">
        <f t="shared" si="2458"/>
        <v>21.025106816680001</v>
      </c>
      <c r="HG1236" s="650">
        <f t="shared" si="2458"/>
        <v>18.810523006650005</v>
      </c>
      <c r="HH1236" s="650">
        <f t="shared" si="2458"/>
        <v>21.599772738509998</v>
      </c>
      <c r="HI1236" s="650">
        <f t="shared" si="2458"/>
        <v>18.723085021669998</v>
      </c>
      <c r="HJ1236" s="650">
        <f t="shared" si="2458"/>
        <v>20.84783622094</v>
      </c>
      <c r="HK1236" s="650">
        <f t="shared" si="2458"/>
        <v>19.475042627266152</v>
      </c>
      <c r="HL1236" s="650">
        <f t="shared" si="2458"/>
        <v>25.732392115283858</v>
      </c>
      <c r="HM1236" s="650">
        <f t="shared" ref="HM1236:HR1236" si="2459">+HM793</f>
        <v>19.551557754339999</v>
      </c>
      <c r="HN1236" s="650">
        <f t="shared" si="2459"/>
        <v>17.592179521950001</v>
      </c>
      <c r="HO1236" s="650">
        <f t="shared" si="2459"/>
        <v>21.37660780761</v>
      </c>
      <c r="HP1236" s="650">
        <f t="shared" si="2459"/>
        <v>17.589842046209998</v>
      </c>
      <c r="HQ1236" s="650">
        <f t="shared" si="2459"/>
        <v>20.041385776709998</v>
      </c>
      <c r="HR1236" s="650">
        <f t="shared" si="2459"/>
        <v>21.063688336639999</v>
      </c>
      <c r="HS1236" s="650"/>
      <c r="HT1236" s="650"/>
      <c r="HU1236" s="650"/>
      <c r="HV1236" s="650"/>
      <c r="HW1236" s="650"/>
      <c r="HX1236" s="650"/>
    </row>
    <row r="1237" spans="4:232" ht="17.25" customHeight="1">
      <c r="D1237" s="1107" t="s">
        <v>124</v>
      </c>
      <c r="E1237" s="279">
        <f t="shared" ref="E1237:AJ1237" si="2460">E570</f>
        <v>0.63800000000000001</v>
      </c>
      <c r="F1237" s="279">
        <f t="shared" si="2460"/>
        <v>0.7</v>
      </c>
      <c r="G1237" s="279">
        <f t="shared" si="2460"/>
        <v>1.762</v>
      </c>
      <c r="H1237" s="279">
        <f t="shared" si="2460"/>
        <v>1.4554</v>
      </c>
      <c r="I1237" s="279">
        <f t="shared" si="2460"/>
        <v>2.4798</v>
      </c>
      <c r="J1237" s="279">
        <f t="shared" si="2460"/>
        <v>1.0267021159999998</v>
      </c>
      <c r="K1237" s="279">
        <f t="shared" si="2460"/>
        <v>1.325134963</v>
      </c>
      <c r="L1237" s="279">
        <f t="shared" si="2460"/>
        <v>1.1823786620000001</v>
      </c>
      <c r="M1237" s="279">
        <f t="shared" si="2460"/>
        <v>0.98812228499999999</v>
      </c>
      <c r="N1237" s="279">
        <f t="shared" si="2460"/>
        <v>1.0660012249999999</v>
      </c>
      <c r="O1237" s="279">
        <f t="shared" si="2460"/>
        <v>1.1473684370000001</v>
      </c>
      <c r="P1237" s="279">
        <f t="shared" si="2460"/>
        <v>1.3574988940000001</v>
      </c>
      <c r="Q1237" s="279">
        <f t="shared" si="2460"/>
        <v>1.0689663060000001</v>
      </c>
      <c r="R1237" s="279">
        <f t="shared" si="2460"/>
        <v>0.47417192699999999</v>
      </c>
      <c r="S1237" s="279">
        <f t="shared" si="2460"/>
        <v>0.59401257600000001</v>
      </c>
      <c r="T1237" s="279">
        <f t="shared" si="2460"/>
        <v>2.2699279219999999</v>
      </c>
      <c r="U1237" s="279">
        <f t="shared" si="2460"/>
        <v>0.88966176299999999</v>
      </c>
      <c r="V1237" s="279">
        <f t="shared" si="2460"/>
        <v>5.4689604989999996</v>
      </c>
      <c r="W1237" s="279">
        <f t="shared" si="2460"/>
        <v>0.74990719400000005</v>
      </c>
      <c r="X1237" s="279">
        <f t="shared" si="2460"/>
        <v>1.5054476299999999</v>
      </c>
      <c r="Y1237" s="279">
        <f t="shared" si="2460"/>
        <v>1.4978132929999999</v>
      </c>
      <c r="Z1237" s="279">
        <f t="shared" si="2460"/>
        <v>1.6170971139999999</v>
      </c>
      <c r="AA1237" s="279">
        <f t="shared" si="2460"/>
        <v>1.3022962629999999</v>
      </c>
      <c r="AB1237" s="279">
        <f t="shared" si="2460"/>
        <v>34.846184633</v>
      </c>
      <c r="AC1237" s="279">
        <f t="shared" si="2460"/>
        <v>1.26965459</v>
      </c>
      <c r="AD1237" s="279">
        <f t="shared" si="2460"/>
        <v>0.9598006309999999</v>
      </c>
      <c r="AE1237" s="279">
        <f t="shared" si="2460"/>
        <v>0.719049092</v>
      </c>
      <c r="AF1237" s="279">
        <f t="shared" si="2460"/>
        <v>1.8449459380000002</v>
      </c>
      <c r="AG1237" s="279">
        <f t="shared" si="2460"/>
        <v>2.6058473040000001</v>
      </c>
      <c r="AH1237" s="279">
        <f t="shared" si="2460"/>
        <v>2.7445247210000003</v>
      </c>
      <c r="AI1237" s="279">
        <f t="shared" si="2460"/>
        <v>0.74884155799999996</v>
      </c>
      <c r="AJ1237" s="279">
        <f t="shared" si="2460"/>
        <v>0.67060013699999999</v>
      </c>
      <c r="AK1237" s="279">
        <f t="shared" ref="AK1237:BP1237" si="2461">AK570</f>
        <v>1.9345288390000002</v>
      </c>
      <c r="AL1237" s="279">
        <f t="shared" si="2461"/>
        <v>0.62467626199999993</v>
      </c>
      <c r="AM1237" s="279">
        <f t="shared" si="2461"/>
        <v>1.0847</v>
      </c>
      <c r="AN1237" s="279">
        <f t="shared" si="2461"/>
        <v>1.3372999999999999</v>
      </c>
      <c r="AO1237" s="279">
        <f t="shared" si="2461"/>
        <v>0.6570363589999999</v>
      </c>
      <c r="AP1237" s="279">
        <f t="shared" si="2461"/>
        <v>0.69221939599999993</v>
      </c>
      <c r="AQ1237" s="279">
        <f t="shared" si="2461"/>
        <v>1.9481469629999999</v>
      </c>
      <c r="AR1237" s="279">
        <f t="shared" si="2461"/>
        <v>1.2840613289999998</v>
      </c>
      <c r="AS1237" s="279">
        <f t="shared" si="2461"/>
        <v>2.9102779999999999</v>
      </c>
      <c r="AT1237" s="279">
        <f t="shared" si="2461"/>
        <v>1.1248757869999999</v>
      </c>
      <c r="AU1237" s="279">
        <f t="shared" si="2461"/>
        <v>0.74080391000000001</v>
      </c>
      <c r="AV1237" s="279">
        <f t="shared" si="2461"/>
        <v>2.293535125</v>
      </c>
      <c r="AW1237" s="279">
        <f t="shared" si="2461"/>
        <v>1.619269705</v>
      </c>
      <c r="AX1237" s="279">
        <f t="shared" si="2461"/>
        <v>1.573734736</v>
      </c>
      <c r="AY1237" s="279">
        <f t="shared" si="2461"/>
        <v>2.1192670589999998</v>
      </c>
      <c r="AZ1237" s="279">
        <f t="shared" si="2461"/>
        <v>1.159617195</v>
      </c>
      <c r="BA1237" s="279">
        <f t="shared" si="2461"/>
        <v>1.532982581</v>
      </c>
      <c r="BB1237" s="279">
        <f t="shared" si="2461"/>
        <v>0.82609032900000001</v>
      </c>
      <c r="BC1237" s="279">
        <f t="shared" si="2461"/>
        <v>1.6990638899999999</v>
      </c>
      <c r="BD1237" s="279">
        <f t="shared" si="2461"/>
        <v>1.0705552869999999</v>
      </c>
      <c r="BE1237" s="279">
        <f t="shared" si="2461"/>
        <v>1.855411997</v>
      </c>
      <c r="BF1237" s="279">
        <f t="shared" si="2461"/>
        <v>4.1324009269999999</v>
      </c>
      <c r="BG1237" s="279">
        <f t="shared" si="2461"/>
        <v>0.98216621900000001</v>
      </c>
      <c r="BH1237" s="279">
        <f t="shared" si="2461"/>
        <v>1.5476542690000001</v>
      </c>
      <c r="BI1237" s="279">
        <f t="shared" si="2461"/>
        <v>18.611308763</v>
      </c>
      <c r="BJ1237" s="279">
        <f t="shared" si="2461"/>
        <v>1.3096626769999999</v>
      </c>
      <c r="BK1237" s="279">
        <f t="shared" si="2461"/>
        <v>1.289319721</v>
      </c>
      <c r="BL1237" s="279">
        <f t="shared" si="2461"/>
        <v>1.814519301</v>
      </c>
      <c r="BM1237" s="279">
        <f t="shared" si="2461"/>
        <v>0.85594105399999998</v>
      </c>
      <c r="BN1237" s="279">
        <f t="shared" si="2461"/>
        <v>1.146992413</v>
      </c>
      <c r="BO1237" s="279">
        <f t="shared" si="2461"/>
        <v>1.326270515</v>
      </c>
      <c r="BP1237" s="279">
        <f t="shared" si="2461"/>
        <v>0.99352141500000002</v>
      </c>
      <c r="BQ1237" s="279">
        <f t="shared" ref="BQ1237:CV1237" si="2462">BQ570</f>
        <v>3.2683603640000003</v>
      </c>
      <c r="BR1237" s="279">
        <f t="shared" si="2462"/>
        <v>1.603186861</v>
      </c>
      <c r="BS1237" s="279">
        <f t="shared" si="2462"/>
        <v>4.5739000000000001</v>
      </c>
      <c r="BT1237" s="279">
        <f t="shared" si="2462"/>
        <v>1.6313</v>
      </c>
      <c r="BU1237" s="279">
        <f t="shared" si="2462"/>
        <v>2.9528000000000003</v>
      </c>
      <c r="BV1237" s="279">
        <f t="shared" si="2462"/>
        <v>17.193684888484999</v>
      </c>
      <c r="BW1237" s="279">
        <f t="shared" si="2462"/>
        <v>1.4571766340000001</v>
      </c>
      <c r="BX1237" s="279">
        <f t="shared" si="2462"/>
        <v>14.251721727249999</v>
      </c>
      <c r="BY1237" s="279">
        <f t="shared" si="2462"/>
        <v>2.24969695945</v>
      </c>
      <c r="BZ1237" s="279">
        <f t="shared" si="2462"/>
        <v>2.018373279605</v>
      </c>
      <c r="CA1237" s="279">
        <f t="shared" si="2462"/>
        <v>17.57242797016</v>
      </c>
      <c r="CB1237" s="279">
        <f t="shared" si="2462"/>
        <v>3.2259754113740002</v>
      </c>
      <c r="CC1237" s="279">
        <f t="shared" si="2462"/>
        <v>3.8991865730000002</v>
      </c>
      <c r="CD1237" s="279">
        <f t="shared" si="2462"/>
        <v>12.456229765562</v>
      </c>
      <c r="CE1237" s="279">
        <f t="shared" si="2462"/>
        <v>10.472000000000001</v>
      </c>
      <c r="CF1237" s="279">
        <f t="shared" si="2462"/>
        <v>4.6310709642720003</v>
      </c>
      <c r="CG1237" s="279">
        <f t="shared" si="2462"/>
        <v>1.0840000000000001</v>
      </c>
      <c r="CH1237" s="279">
        <f t="shared" si="2462"/>
        <v>25.563350664405</v>
      </c>
      <c r="CI1237" s="279">
        <f t="shared" si="2462"/>
        <v>1.881</v>
      </c>
      <c r="CJ1237" s="279">
        <f t="shared" si="2462"/>
        <v>14.587791715239</v>
      </c>
      <c r="CK1237" s="279">
        <f t="shared" si="2462"/>
        <v>0.94499999999999995</v>
      </c>
      <c r="CL1237" s="279">
        <f t="shared" si="2462"/>
        <v>4.8629618529199998</v>
      </c>
      <c r="CM1237" s="279">
        <f t="shared" si="2462"/>
        <v>20.321441418391998</v>
      </c>
      <c r="CN1237" s="279">
        <f t="shared" si="2462"/>
        <v>1.7883200416640002</v>
      </c>
      <c r="CO1237" s="279">
        <f t="shared" si="2462"/>
        <v>2.8710656678419699</v>
      </c>
      <c r="CP1237" s="279">
        <f t="shared" si="2462"/>
        <v>21.436361426614216</v>
      </c>
      <c r="CQ1237" s="279">
        <f t="shared" si="2462"/>
        <v>0.79100000000000015</v>
      </c>
      <c r="CR1237" s="279">
        <f t="shared" si="2462"/>
        <v>3.7563615519562497</v>
      </c>
      <c r="CS1237" s="279">
        <f t="shared" si="2462"/>
        <v>3.8839999999999999</v>
      </c>
      <c r="CT1237" s="279">
        <f t="shared" si="2462"/>
        <v>1.0720000000000001</v>
      </c>
      <c r="CU1237" s="279">
        <f t="shared" si="2462"/>
        <v>1.145</v>
      </c>
      <c r="CV1237" s="279">
        <f t="shared" si="2462"/>
        <v>1.1459999999999999</v>
      </c>
      <c r="CW1237" s="279">
        <f t="shared" ref="CW1237:EB1237" si="2463">CW570</f>
        <v>8.6501065097950001</v>
      </c>
      <c r="CX1237" s="279">
        <f t="shared" si="2463"/>
        <v>8.6401065097950003</v>
      </c>
      <c r="CY1237" s="279">
        <f t="shared" si="2463"/>
        <v>4.2948718789999996</v>
      </c>
      <c r="CZ1237" s="279">
        <f t="shared" si="2463"/>
        <v>1.2749999999999999</v>
      </c>
      <c r="DA1237" s="279">
        <f t="shared" si="2463"/>
        <v>1.6280000000000001</v>
      </c>
      <c r="DB1237" s="675">
        <f t="shared" si="2463"/>
        <v>6.516</v>
      </c>
      <c r="DC1237" s="279">
        <f t="shared" si="2463"/>
        <v>2.826342226</v>
      </c>
      <c r="DD1237" s="279">
        <f t="shared" si="2463"/>
        <v>2.2745306210000003</v>
      </c>
      <c r="DE1237" s="279">
        <f t="shared" si="2463"/>
        <v>3.7069112730000002</v>
      </c>
      <c r="DF1237" s="279">
        <f t="shared" si="2463"/>
        <v>2.7402641180000002</v>
      </c>
      <c r="DG1237" s="279">
        <f t="shared" si="2463"/>
        <v>2.9217145879999999</v>
      </c>
      <c r="DH1237" s="279">
        <f t="shared" si="2463"/>
        <v>5.2715279879999999</v>
      </c>
      <c r="DI1237" s="279">
        <f t="shared" si="2463"/>
        <v>3.6992158573333329</v>
      </c>
      <c r="DJ1237" s="279">
        <f t="shared" si="2463"/>
        <v>4.6673743803333334</v>
      </c>
      <c r="DK1237" s="279">
        <f t="shared" si="2463"/>
        <v>4.8481581993333327</v>
      </c>
      <c r="DL1237" s="279">
        <f t="shared" si="2463"/>
        <v>2.688913984333333</v>
      </c>
      <c r="DM1237" s="279">
        <f t="shared" si="2463"/>
        <v>2.513867207333333</v>
      </c>
      <c r="DN1237" s="280">
        <f t="shared" si="2463"/>
        <v>6.5609402672242636</v>
      </c>
      <c r="DO1237" s="279">
        <f t="shared" si="2463"/>
        <v>3.139226632351471</v>
      </c>
      <c r="DP1237" s="279">
        <f t="shared" si="2463"/>
        <v>3.3237930822331059</v>
      </c>
      <c r="DQ1237" s="279">
        <f t="shared" si="2463"/>
        <v>3.4467225314154231</v>
      </c>
      <c r="DR1237" s="279">
        <f t="shared" si="2463"/>
        <v>3.2251275299012718</v>
      </c>
      <c r="DS1237" s="279">
        <f t="shared" si="2463"/>
        <v>3.4198342945057538</v>
      </c>
      <c r="DT1237" s="279">
        <f t="shared" si="2463"/>
        <v>6.8965134399742158</v>
      </c>
      <c r="DU1237" s="279">
        <f t="shared" si="2463"/>
        <v>4.1255792739999997</v>
      </c>
      <c r="DV1237" s="279">
        <f t="shared" si="2463"/>
        <v>3.9820055510000003</v>
      </c>
      <c r="DW1237" s="279">
        <f t="shared" si="2463"/>
        <v>4.5443250309999996</v>
      </c>
      <c r="DX1237" s="279">
        <f t="shared" si="2463"/>
        <v>3.6902139436533332</v>
      </c>
      <c r="DY1237" s="279">
        <f t="shared" si="2463"/>
        <v>4.3489797673333301</v>
      </c>
      <c r="DZ1237" s="280">
        <f t="shared" si="2463"/>
        <v>8.7950788361533299</v>
      </c>
      <c r="EA1237" s="279">
        <f t="shared" si="2463"/>
        <v>3.7747904169598194</v>
      </c>
      <c r="EB1237" s="279">
        <f t="shared" si="2463"/>
        <v>3.6802220281611762</v>
      </c>
      <c r="EC1237" s="279">
        <f t="shared" ref="EC1237:EX1237" si="2464">EC570</f>
        <v>4.0084793292231966</v>
      </c>
      <c r="ED1237" s="279">
        <f t="shared" si="2464"/>
        <v>4.6338031318098185</v>
      </c>
      <c r="EE1237" s="279">
        <f t="shared" si="2464"/>
        <v>5.0489055605211757</v>
      </c>
      <c r="EF1237" s="279">
        <f t="shared" si="2464"/>
        <v>7.7458339513431973</v>
      </c>
      <c r="EG1237" s="279">
        <f t="shared" si="2464"/>
        <v>4.1100963254502538</v>
      </c>
      <c r="EH1237" s="279">
        <f t="shared" si="2464"/>
        <v>3.8738195185312856</v>
      </c>
      <c r="EI1237" s="279">
        <f t="shared" si="2464"/>
        <v>4.759065739244817</v>
      </c>
      <c r="EJ1237" s="279">
        <f t="shared" si="2464"/>
        <v>4.4408965428407114</v>
      </c>
      <c r="EK1237" s="279">
        <f t="shared" si="2464"/>
        <v>4.6231422024730389</v>
      </c>
      <c r="EL1237" s="280">
        <f t="shared" si="2464"/>
        <v>7.8683167159348235</v>
      </c>
      <c r="EM1237" s="279">
        <f t="shared" si="2464"/>
        <v>4.9193208040000007</v>
      </c>
      <c r="EN1237" s="279">
        <f t="shared" si="2464"/>
        <v>4.1769152370000002</v>
      </c>
      <c r="EO1237" s="279">
        <f t="shared" si="2464"/>
        <v>11.560110056999999</v>
      </c>
      <c r="EP1237" s="279">
        <f t="shared" si="2464"/>
        <v>7.2205925710000001</v>
      </c>
      <c r="EQ1237" s="279">
        <f t="shared" si="2464"/>
        <v>8.1619172199999994</v>
      </c>
      <c r="ER1237" s="279">
        <f t="shared" si="2464"/>
        <v>14.819507588</v>
      </c>
      <c r="ES1237" s="279">
        <f t="shared" si="2464"/>
        <v>6.4096278330000001</v>
      </c>
      <c r="ET1237" s="279">
        <f t="shared" si="2464"/>
        <v>4.5777012901000003</v>
      </c>
      <c r="EU1237" s="279">
        <f t="shared" si="2464"/>
        <v>12.081588004999999</v>
      </c>
      <c r="EV1237" s="279">
        <f t="shared" si="2464"/>
        <v>5.7319480469999995</v>
      </c>
      <c r="EW1237" s="279">
        <f t="shared" si="2464"/>
        <v>5.753748055</v>
      </c>
      <c r="EX1237" s="280">
        <f t="shared" si="2464"/>
        <v>14.971476908000001</v>
      </c>
      <c r="EY1237" s="650">
        <f t="shared" ref="EY1237:GD1237" si="2465">+EY803+EY826</f>
        <v>9.1750337620104041</v>
      </c>
      <c r="EZ1237" s="650">
        <f t="shared" si="2465"/>
        <v>21.679448522001998</v>
      </c>
      <c r="FA1237" s="650">
        <f t="shared" si="2465"/>
        <v>48.108473449067887</v>
      </c>
      <c r="FB1237" s="650">
        <f t="shared" si="2465"/>
        <v>41.303309647297183</v>
      </c>
      <c r="FC1237" s="650">
        <f t="shared" si="2465"/>
        <v>11.81657427103638</v>
      </c>
      <c r="FD1237" s="650">
        <f t="shared" si="2465"/>
        <v>41.641741794899325</v>
      </c>
      <c r="FE1237" s="650">
        <f t="shared" si="2465"/>
        <v>14.735024890960016</v>
      </c>
      <c r="FF1237" s="650">
        <f t="shared" si="2465"/>
        <v>9.3852508562531689</v>
      </c>
      <c r="FG1237" s="650">
        <f t="shared" si="2465"/>
        <v>12.538681632529986</v>
      </c>
      <c r="FH1237" s="650">
        <f t="shared" si="2465"/>
        <v>18.712704155814109</v>
      </c>
      <c r="FI1237" s="650">
        <f t="shared" si="2465"/>
        <v>37.976299437211026</v>
      </c>
      <c r="FJ1237" s="650">
        <f t="shared" si="2465"/>
        <v>12.722002488007465</v>
      </c>
      <c r="FK1237" s="650">
        <f t="shared" si="2465"/>
        <v>8.0981259595561923</v>
      </c>
      <c r="FL1237" s="650">
        <f t="shared" si="2465"/>
        <v>8.6108858428315358</v>
      </c>
      <c r="FM1237" s="650">
        <f t="shared" si="2465"/>
        <v>86.909853386565914</v>
      </c>
      <c r="FN1237" s="650">
        <f t="shared" si="2465"/>
        <v>27.54278671824477</v>
      </c>
      <c r="FO1237" s="650">
        <f t="shared" si="2465"/>
        <v>11.169055637366844</v>
      </c>
      <c r="FP1237" s="650">
        <f t="shared" si="2465"/>
        <v>67.230759273435282</v>
      </c>
      <c r="FQ1237" s="650">
        <f t="shared" si="2465"/>
        <v>10.174064402360132</v>
      </c>
      <c r="FR1237" s="650">
        <f t="shared" si="2465"/>
        <v>9.5004950430328599</v>
      </c>
      <c r="FS1237" s="650">
        <f t="shared" si="2465"/>
        <v>16.75108791575078</v>
      </c>
      <c r="FT1237" s="650">
        <f t="shared" si="2465"/>
        <v>77.567366338390585</v>
      </c>
      <c r="FU1237" s="650">
        <f t="shared" si="2465"/>
        <v>9.7849742606808618</v>
      </c>
      <c r="FV1237" s="650">
        <f t="shared" si="2465"/>
        <v>52.07429201195486</v>
      </c>
      <c r="FW1237" s="650">
        <f t="shared" si="2465"/>
        <v>8.3976877939031542</v>
      </c>
      <c r="FX1237" s="650">
        <f t="shared" si="2465"/>
        <v>8.441170142468966</v>
      </c>
      <c r="FY1237" s="650">
        <f t="shared" si="2465"/>
        <v>65.554970758750216</v>
      </c>
      <c r="FZ1237" s="650">
        <f t="shared" si="2465"/>
        <v>27.739173847568807</v>
      </c>
      <c r="GA1237" s="650">
        <f t="shared" si="2465"/>
        <v>57.842734102384561</v>
      </c>
      <c r="GB1237" s="650">
        <f t="shared" si="2465"/>
        <v>30.421683713950962</v>
      </c>
      <c r="GC1237" s="650">
        <f t="shared" si="2465"/>
        <v>26.179737693851997</v>
      </c>
      <c r="GD1237" s="650">
        <f t="shared" si="2465"/>
        <v>46.384958962221042</v>
      </c>
      <c r="GE1237" s="650">
        <f t="shared" ref="GE1237:HL1237" si="2466">+GE803+GE826</f>
        <v>23.136475927755605</v>
      </c>
      <c r="GF1237" s="650">
        <f t="shared" si="2466"/>
        <v>29.472443897830001</v>
      </c>
      <c r="GG1237" s="650">
        <f t="shared" si="2466"/>
        <v>10.466326267348695</v>
      </c>
      <c r="GH1237" s="650">
        <f t="shared" si="2466"/>
        <v>67.187691652926262</v>
      </c>
      <c r="GI1237" s="650">
        <f t="shared" si="2466"/>
        <v>12.590526003191858</v>
      </c>
      <c r="GJ1237" s="650">
        <f t="shared" si="2466"/>
        <v>12.681057377886301</v>
      </c>
      <c r="GK1237" s="650">
        <f t="shared" si="2466"/>
        <v>60.163454116096645</v>
      </c>
      <c r="GL1237" s="650">
        <f t="shared" si="2466"/>
        <v>16.959811841347207</v>
      </c>
      <c r="GM1237" s="650">
        <f t="shared" si="2466"/>
        <v>16.763726175850447</v>
      </c>
      <c r="GN1237" s="650">
        <f t="shared" si="2466"/>
        <v>67.799362869309789</v>
      </c>
      <c r="GO1237" s="650">
        <f t="shared" si="2466"/>
        <v>19.205895338818436</v>
      </c>
      <c r="GP1237" s="650">
        <f t="shared" si="2466"/>
        <v>16.130838637606274</v>
      </c>
      <c r="GQ1237" s="650">
        <f t="shared" si="2466"/>
        <v>66.680814890480107</v>
      </c>
      <c r="GR1237" s="650">
        <f t="shared" si="2466"/>
        <v>14.950413646296663</v>
      </c>
      <c r="GS1237" s="650">
        <f t="shared" si="2466"/>
        <v>15.664574994576665</v>
      </c>
      <c r="GT1237" s="650">
        <f t="shared" si="2466"/>
        <v>81.297665007185543</v>
      </c>
      <c r="GU1237" s="650">
        <f t="shared" si="2466"/>
        <v>13.214011885146572</v>
      </c>
      <c r="GV1237" s="650">
        <f t="shared" si="2466"/>
        <v>20.395870754432522</v>
      </c>
      <c r="GW1237" s="650">
        <f t="shared" si="2466"/>
        <v>107.41433448584093</v>
      </c>
      <c r="GX1237" s="650">
        <f t="shared" si="2466"/>
        <v>11.89728118817</v>
      </c>
      <c r="GY1237" s="650">
        <f t="shared" si="2466"/>
        <v>13.508316846430001</v>
      </c>
      <c r="GZ1237" s="650">
        <f t="shared" si="2466"/>
        <v>94.380821347131615</v>
      </c>
      <c r="HA1237" s="650">
        <f t="shared" si="2466"/>
        <v>12.45620571672</v>
      </c>
      <c r="HB1237" s="650">
        <f t="shared" si="2466"/>
        <v>19.448969497499679</v>
      </c>
      <c r="HC1237" s="650">
        <f t="shared" si="2466"/>
        <v>51.51885271804791</v>
      </c>
      <c r="HD1237" s="650">
        <f t="shared" si="2466"/>
        <v>47.103255782953894</v>
      </c>
      <c r="HE1237" s="650">
        <f t="shared" si="2466"/>
        <v>25.458474736392294</v>
      </c>
      <c r="HF1237" s="650">
        <f t="shared" si="2466"/>
        <v>43.219032775318965</v>
      </c>
      <c r="HG1237" s="650">
        <f t="shared" si="2466"/>
        <v>90.1972454928259</v>
      </c>
      <c r="HH1237" s="650">
        <f t="shared" si="2466"/>
        <v>12.518775859883274</v>
      </c>
      <c r="HI1237" s="650">
        <f t="shared" si="2466"/>
        <v>92.218142853502783</v>
      </c>
      <c r="HJ1237" s="650">
        <f t="shared" si="2466"/>
        <v>12.835025668899998</v>
      </c>
      <c r="HK1237" s="650">
        <f t="shared" si="2466"/>
        <v>11.105474968279999</v>
      </c>
      <c r="HL1237" s="650">
        <f t="shared" si="2466"/>
        <v>91.817074683663208</v>
      </c>
      <c r="HM1237" s="650">
        <f t="shared" ref="HM1237:HR1237" si="2467">+HM803+HM826</f>
        <v>12.422606634919996</v>
      </c>
      <c r="HN1237" s="650">
        <f t="shared" si="2467"/>
        <v>10.193767693647999</v>
      </c>
      <c r="HO1237" s="650">
        <f t="shared" si="2467"/>
        <v>32.916530137071994</v>
      </c>
      <c r="HP1237" s="650">
        <f t="shared" si="2467"/>
        <v>44.874752952619993</v>
      </c>
      <c r="HQ1237" s="650">
        <f t="shared" si="2467"/>
        <v>14.733242366460015</v>
      </c>
      <c r="HR1237" s="650">
        <f t="shared" si="2467"/>
        <v>68.479405993251063</v>
      </c>
      <c r="HS1237" s="650"/>
      <c r="HT1237" s="650"/>
      <c r="HU1237" s="650"/>
      <c r="HV1237" s="650"/>
      <c r="HW1237" s="650"/>
      <c r="HX1237" s="650"/>
    </row>
    <row r="1238" spans="4:232" ht="17.25" customHeight="1">
      <c r="D1238" s="1109" t="s">
        <v>1196</v>
      </c>
      <c r="E1238" s="279">
        <f t="shared" ref="E1238:AJ1238" si="2468">E576</f>
        <v>1.029621313</v>
      </c>
      <c r="F1238" s="279">
        <f t="shared" si="2468"/>
        <v>2.941942955</v>
      </c>
      <c r="G1238" s="279">
        <f t="shared" si="2468"/>
        <v>20.246580340000001</v>
      </c>
      <c r="H1238" s="279">
        <f t="shared" si="2468"/>
        <v>3.9784480960000002</v>
      </c>
      <c r="I1238" s="279">
        <f t="shared" si="2468"/>
        <v>30.615913346000003</v>
      </c>
      <c r="J1238" s="279">
        <f t="shared" si="2468"/>
        <v>70.885551095000011</v>
      </c>
      <c r="K1238" s="279">
        <f t="shared" si="2468"/>
        <v>1.117198742</v>
      </c>
      <c r="L1238" s="279">
        <f t="shared" si="2468"/>
        <v>8.6625460630000006</v>
      </c>
      <c r="M1238" s="279">
        <f t="shared" si="2468"/>
        <v>21.153440543999999</v>
      </c>
      <c r="N1238" s="279">
        <f t="shared" si="2468"/>
        <v>10.274025655999999</v>
      </c>
      <c r="O1238" s="279">
        <f t="shared" si="2468"/>
        <v>2.0354303389999999</v>
      </c>
      <c r="P1238" s="279">
        <f t="shared" si="2468"/>
        <v>34.352027606</v>
      </c>
      <c r="Q1238" s="279">
        <f t="shared" si="2468"/>
        <v>7.0713269639999998</v>
      </c>
      <c r="R1238" s="279">
        <f t="shared" si="2468"/>
        <v>0</v>
      </c>
      <c r="S1238" s="279">
        <f t="shared" si="2468"/>
        <v>61.582229455999993</v>
      </c>
      <c r="T1238" s="279">
        <f t="shared" si="2468"/>
        <v>0.24031845799999998</v>
      </c>
      <c r="U1238" s="279">
        <f t="shared" si="2468"/>
        <v>36.651045891000003</v>
      </c>
      <c r="V1238" s="279">
        <f t="shared" si="2468"/>
        <v>51.632170015</v>
      </c>
      <c r="W1238" s="279">
        <f t="shared" si="2468"/>
        <v>1.813009278</v>
      </c>
      <c r="X1238" s="279">
        <f t="shared" si="2468"/>
        <v>8.8946221609999991</v>
      </c>
      <c r="Y1238" s="279">
        <f t="shared" si="2468"/>
        <v>31.20712941</v>
      </c>
      <c r="Z1238" s="279">
        <f t="shared" si="2468"/>
        <v>18.851372507000001</v>
      </c>
      <c r="AA1238" s="279">
        <f t="shared" si="2468"/>
        <v>2.7449506380000002</v>
      </c>
      <c r="AB1238" s="279">
        <f t="shared" si="2468"/>
        <v>59.087205908999991</v>
      </c>
      <c r="AC1238" s="279">
        <f t="shared" si="2468"/>
        <v>0</v>
      </c>
      <c r="AD1238" s="279">
        <f t="shared" si="2468"/>
        <v>7.5460620000000009</v>
      </c>
      <c r="AE1238" s="279">
        <f t="shared" si="2468"/>
        <v>31.075787542999997</v>
      </c>
      <c r="AF1238" s="279">
        <f t="shared" si="2468"/>
        <v>51.132849105999995</v>
      </c>
      <c r="AG1238" s="279">
        <f t="shared" si="2468"/>
        <v>1.922652555</v>
      </c>
      <c r="AH1238" s="279">
        <f t="shared" si="2468"/>
        <v>51.792859448000002</v>
      </c>
      <c r="AI1238" s="279">
        <f t="shared" si="2468"/>
        <v>13.403235237000001</v>
      </c>
      <c r="AJ1238" s="279">
        <f t="shared" si="2468"/>
        <v>3.5717679769999999</v>
      </c>
      <c r="AK1238" s="279">
        <f t="shared" ref="AK1238:BP1238" si="2469">AK576</f>
        <v>76.057301081000006</v>
      </c>
      <c r="AL1238" s="279">
        <f t="shared" si="2469"/>
        <v>53.195301256</v>
      </c>
      <c r="AM1238" s="279">
        <f t="shared" si="2469"/>
        <v>7.5764551739999995</v>
      </c>
      <c r="AN1238" s="279">
        <f t="shared" si="2469"/>
        <v>50.122866396999989</v>
      </c>
      <c r="AO1238" s="279">
        <f t="shared" si="2469"/>
        <v>21.649201587</v>
      </c>
      <c r="AP1238" s="279">
        <f t="shared" si="2469"/>
        <v>0</v>
      </c>
      <c r="AQ1238" s="279">
        <f t="shared" si="2469"/>
        <v>35.321344279999998</v>
      </c>
      <c r="AR1238" s="279">
        <f t="shared" si="2469"/>
        <v>12.581843562</v>
      </c>
      <c r="AS1238" s="279">
        <f t="shared" si="2469"/>
        <v>9.056692696999999</v>
      </c>
      <c r="AT1238" s="279">
        <f t="shared" si="2469"/>
        <v>124.565289525</v>
      </c>
      <c r="AU1238" s="279">
        <f t="shared" si="2469"/>
        <v>6.1597314819999998</v>
      </c>
      <c r="AV1238" s="279">
        <f t="shared" si="2469"/>
        <v>4.7773699999999995</v>
      </c>
      <c r="AW1238" s="279">
        <f t="shared" si="2469"/>
        <v>92.922261999999989</v>
      </c>
      <c r="AX1238" s="279">
        <f t="shared" si="2469"/>
        <v>26.394771204000001</v>
      </c>
      <c r="AY1238" s="279">
        <f t="shared" si="2469"/>
        <v>6.9810858910000002</v>
      </c>
      <c r="AZ1238" s="279">
        <f t="shared" si="2469"/>
        <v>104.142312999</v>
      </c>
      <c r="BA1238" s="279">
        <f t="shared" si="2469"/>
        <v>0.531323502</v>
      </c>
      <c r="BB1238" s="279">
        <f t="shared" si="2469"/>
        <v>5.2342624570000007</v>
      </c>
      <c r="BC1238" s="279">
        <f t="shared" si="2469"/>
        <v>26.460102192000001</v>
      </c>
      <c r="BD1238" s="279">
        <f t="shared" si="2469"/>
        <v>67.936107326759995</v>
      </c>
      <c r="BE1238" s="279">
        <f t="shared" si="2469"/>
        <v>1.03516734123</v>
      </c>
      <c r="BF1238" s="279">
        <f t="shared" si="2469"/>
        <v>37.818550885999997</v>
      </c>
      <c r="BG1238" s="279">
        <f t="shared" si="2469"/>
        <v>41.011713339000003</v>
      </c>
      <c r="BH1238" s="279">
        <f t="shared" si="2469"/>
        <v>37.631219074000001</v>
      </c>
      <c r="BI1238" s="279">
        <f t="shared" si="2469"/>
        <v>58.204305503</v>
      </c>
      <c r="BJ1238" s="279">
        <f t="shared" si="2469"/>
        <v>76.582871436000005</v>
      </c>
      <c r="BK1238" s="279">
        <f t="shared" si="2469"/>
        <v>4.6969805640000004</v>
      </c>
      <c r="BL1238" s="279">
        <f t="shared" si="2469"/>
        <v>100.61895018300001</v>
      </c>
      <c r="BM1238" s="279">
        <f t="shared" si="2469"/>
        <v>2.2913186510000001</v>
      </c>
      <c r="BN1238" s="279">
        <f t="shared" si="2469"/>
        <v>4.1133515819999991</v>
      </c>
      <c r="BO1238" s="279">
        <f t="shared" si="2469"/>
        <v>39.880174020999995</v>
      </c>
      <c r="BP1238" s="279">
        <f t="shared" si="2469"/>
        <v>0.244489505</v>
      </c>
      <c r="BQ1238" s="279">
        <f t="shared" ref="BQ1238:CV1238" si="2470">BQ576</f>
        <v>0.210040425</v>
      </c>
      <c r="BR1238" s="279">
        <f t="shared" si="2470"/>
        <v>99.473223590625764</v>
      </c>
      <c r="BS1238" s="279">
        <f t="shared" si="2470"/>
        <v>41.339599451901627</v>
      </c>
      <c r="BT1238" s="279">
        <f t="shared" si="2470"/>
        <v>14.863909459931111</v>
      </c>
      <c r="BU1238" s="279">
        <f t="shared" si="2470"/>
        <v>22.945002676272118</v>
      </c>
      <c r="BV1238" s="279">
        <f t="shared" si="2470"/>
        <v>48.35237651825814</v>
      </c>
      <c r="BW1238" s="279">
        <f t="shared" si="2470"/>
        <v>41.538890177774903</v>
      </c>
      <c r="BX1238" s="279">
        <f t="shared" si="2470"/>
        <v>32.074274932185176</v>
      </c>
      <c r="BY1238" s="279">
        <f t="shared" si="2470"/>
        <v>5.3243199074185432E-4</v>
      </c>
      <c r="BZ1238" s="279">
        <f t="shared" si="2470"/>
        <v>4.0420954691215796</v>
      </c>
      <c r="CA1238" s="279">
        <f t="shared" si="2470"/>
        <v>21.91745053152469</v>
      </c>
      <c r="CB1238" s="279">
        <f t="shared" si="2470"/>
        <v>37.905873518997652</v>
      </c>
      <c r="CC1238" s="279">
        <f t="shared" si="2470"/>
        <v>50.3250031442698</v>
      </c>
      <c r="CD1238" s="279">
        <f t="shared" si="2470"/>
        <v>43.125115180714218</v>
      </c>
      <c r="CE1238" s="279">
        <f t="shared" si="2470"/>
        <v>31.718805555905767</v>
      </c>
      <c r="CF1238" s="279">
        <f t="shared" si="2470"/>
        <v>38.907002073399845</v>
      </c>
      <c r="CG1238" s="279">
        <f t="shared" si="2470"/>
        <v>76.363794870817969</v>
      </c>
      <c r="CH1238" s="279">
        <f t="shared" si="2470"/>
        <v>48.656347242813837</v>
      </c>
      <c r="CI1238" s="279">
        <f t="shared" si="2470"/>
        <v>36.239050340761018</v>
      </c>
      <c r="CJ1238" s="279">
        <f t="shared" si="2470"/>
        <v>63.172935479123936</v>
      </c>
      <c r="CK1238" s="279">
        <f t="shared" si="2470"/>
        <v>22.819864211262146</v>
      </c>
      <c r="CL1238" s="279">
        <f t="shared" si="2470"/>
        <v>15.431886799263191</v>
      </c>
      <c r="CM1238" s="279">
        <f t="shared" si="2470"/>
        <v>15.611922068671143</v>
      </c>
      <c r="CN1238" s="279">
        <f t="shared" si="2470"/>
        <v>60.505557469079797</v>
      </c>
      <c r="CO1238" s="279">
        <f t="shared" si="2470"/>
        <v>36.84796507284814</v>
      </c>
      <c r="CP1238" s="279">
        <f t="shared" si="2470"/>
        <v>31.555422106827571</v>
      </c>
      <c r="CQ1238" s="279">
        <f t="shared" si="2470"/>
        <v>34.914057703902671</v>
      </c>
      <c r="CR1238" s="279">
        <f t="shared" si="2470"/>
        <v>20.696341467913697</v>
      </c>
      <c r="CS1238" s="279">
        <f t="shared" si="2470"/>
        <v>50.498733040327558</v>
      </c>
      <c r="CT1238" s="279">
        <f t="shared" si="2470"/>
        <v>27.888194363462738</v>
      </c>
      <c r="CU1238" s="279">
        <f t="shared" si="2470"/>
        <v>40.614184835607574</v>
      </c>
      <c r="CV1238" s="279">
        <f t="shared" si="2470"/>
        <v>120.60058731836028</v>
      </c>
      <c r="CW1238" s="279">
        <f t="shared" ref="CW1238:EB1238" si="2471">CW576</f>
        <v>19.573028877812749</v>
      </c>
      <c r="CX1238" s="279">
        <f t="shared" si="2471"/>
        <v>20.800473939341533</v>
      </c>
      <c r="CY1238" s="279">
        <f t="shared" si="2471"/>
        <v>53.489128867156744</v>
      </c>
      <c r="CZ1238" s="279">
        <f t="shared" si="2471"/>
        <v>28.822379986447629</v>
      </c>
      <c r="DA1238" s="279">
        <f t="shared" si="2471"/>
        <v>68.03735852736709</v>
      </c>
      <c r="DB1238" s="675">
        <f t="shared" si="2471"/>
        <v>21.766297427932727</v>
      </c>
      <c r="DC1238" s="279">
        <f t="shared" si="2471"/>
        <v>32.400209890961769</v>
      </c>
      <c r="DD1238" s="279">
        <f t="shared" si="2471"/>
        <v>25.238508493483067</v>
      </c>
      <c r="DE1238" s="279">
        <f t="shared" si="2471"/>
        <v>52.292392717658359</v>
      </c>
      <c r="DF1238" s="279">
        <f t="shared" si="2471"/>
        <v>10.908321785869528</v>
      </c>
      <c r="DG1238" s="279">
        <f t="shared" si="2471"/>
        <v>69.104080388845532</v>
      </c>
      <c r="DH1238" s="279">
        <f t="shared" si="2471"/>
        <v>52.460886120821954</v>
      </c>
      <c r="DI1238" s="279">
        <f t="shared" si="2471"/>
        <v>10.545488346356837</v>
      </c>
      <c r="DJ1238" s="279">
        <f t="shared" si="2471"/>
        <v>14.609555888491089</v>
      </c>
      <c r="DK1238" s="279">
        <f t="shared" si="2471"/>
        <v>15.649855658527972</v>
      </c>
      <c r="DL1238" s="279">
        <f t="shared" si="2471"/>
        <v>95.00901000936868</v>
      </c>
      <c r="DM1238" s="279">
        <f t="shared" si="2471"/>
        <v>19.764570606907409</v>
      </c>
      <c r="DN1238" s="280">
        <f t="shared" si="2471"/>
        <v>49.888534523890989</v>
      </c>
      <c r="DO1238" s="279">
        <f t="shared" si="2471"/>
        <v>31.015504144282669</v>
      </c>
      <c r="DP1238" s="279">
        <f t="shared" si="2471"/>
        <v>8.2161518030501934</v>
      </c>
      <c r="DQ1238" s="279">
        <f t="shared" si="2471"/>
        <v>20.595621723063456</v>
      </c>
      <c r="DR1238" s="279">
        <f t="shared" si="2471"/>
        <v>3.6290927906166637</v>
      </c>
      <c r="DS1238" s="279">
        <f t="shared" si="2471"/>
        <v>25.645707059336935</v>
      </c>
      <c r="DT1238" s="279">
        <f t="shared" si="2471"/>
        <v>60.796062320206318</v>
      </c>
      <c r="DU1238" s="279">
        <f t="shared" si="2471"/>
        <v>47.723603438306668</v>
      </c>
      <c r="DV1238" s="279">
        <f t="shared" si="2471"/>
        <v>0.11601552919114091</v>
      </c>
      <c r="DW1238" s="279">
        <f t="shared" si="2471"/>
        <v>10.626303189291175</v>
      </c>
      <c r="DX1238" s="279">
        <f t="shared" si="2471"/>
        <v>36.547546744025063</v>
      </c>
      <c r="DY1238" s="279">
        <f t="shared" si="2471"/>
        <v>8.9967379106745002E-2</v>
      </c>
      <c r="DZ1238" s="280">
        <f t="shared" si="2471"/>
        <v>53.154917992908146</v>
      </c>
      <c r="EA1238" s="279">
        <f t="shared" si="2471"/>
        <v>50.819521144691748</v>
      </c>
      <c r="EB1238" s="279">
        <f t="shared" si="2471"/>
        <v>20.000822207397739</v>
      </c>
      <c r="EC1238" s="279">
        <f t="shared" ref="EC1238:EX1238" si="2472">EC576</f>
        <v>25.438930828910504</v>
      </c>
      <c r="ED1238" s="279">
        <f t="shared" si="2472"/>
        <v>37.454915894690394</v>
      </c>
      <c r="EE1238" s="279">
        <f t="shared" si="2472"/>
        <v>32.892282155344802</v>
      </c>
      <c r="EF1238" s="279">
        <f t="shared" si="2472"/>
        <v>65.138027581892828</v>
      </c>
      <c r="EG1238" s="279">
        <f t="shared" si="2472"/>
        <v>47.235330422101754</v>
      </c>
      <c r="EH1238" s="279">
        <f t="shared" si="2472"/>
        <v>19.58655873456177</v>
      </c>
      <c r="EI1238" s="279">
        <f t="shared" si="2472"/>
        <v>53.202958925423353</v>
      </c>
      <c r="EJ1238" s="279">
        <f t="shared" si="2472"/>
        <v>39.256331307578606</v>
      </c>
      <c r="EK1238" s="279">
        <f t="shared" si="2472"/>
        <v>8.1870040894561527</v>
      </c>
      <c r="EL1238" s="280">
        <f t="shared" si="2472"/>
        <v>31.610559697967894</v>
      </c>
      <c r="EM1238" s="279">
        <f t="shared" si="2472"/>
        <v>30.002053536767601</v>
      </c>
      <c r="EN1238" s="279">
        <f t="shared" si="2472"/>
        <v>45.3803391083446</v>
      </c>
      <c r="EO1238" s="279">
        <f t="shared" si="2472"/>
        <v>32.362725833465511</v>
      </c>
      <c r="EP1238" s="279">
        <f t="shared" si="2472"/>
        <v>25.737223252567727</v>
      </c>
      <c r="EQ1238" s="279">
        <f t="shared" si="2472"/>
        <v>8.589162902411001</v>
      </c>
      <c r="ER1238" s="279">
        <f t="shared" si="2472"/>
        <v>123.96399848586699</v>
      </c>
      <c r="ES1238" s="279">
        <f t="shared" si="2472"/>
        <v>39.83728634640191</v>
      </c>
      <c r="ET1238" s="279">
        <f t="shared" si="2472"/>
        <v>65.976608559475267</v>
      </c>
      <c r="EU1238" s="279">
        <f t="shared" si="2472"/>
        <v>26.514573091925122</v>
      </c>
      <c r="EV1238" s="279">
        <f t="shared" si="2472"/>
        <v>46.792222648419965</v>
      </c>
      <c r="EW1238" s="279">
        <f t="shared" si="2472"/>
        <v>9.2735813359162655</v>
      </c>
      <c r="EX1238" s="280">
        <f t="shared" si="2472"/>
        <v>26.749531894799262</v>
      </c>
      <c r="EY1238" s="1545">
        <f t="shared" ref="EY1238:GD1238" si="2473">+EY813</f>
        <v>32.241833855093404</v>
      </c>
      <c r="EZ1238" s="1545">
        <f t="shared" si="2473"/>
        <v>19.120340874614172</v>
      </c>
      <c r="FA1238" s="1545">
        <f t="shared" si="2473"/>
        <v>42.084767594036236</v>
      </c>
      <c r="FB1238" s="1545">
        <f t="shared" si="2473"/>
        <v>17.141012261463228</v>
      </c>
      <c r="FC1238" s="1545">
        <f t="shared" si="2473"/>
        <v>28.591621457094867</v>
      </c>
      <c r="FD1238" s="1545">
        <f t="shared" si="2473"/>
        <v>81.290194267614766</v>
      </c>
      <c r="FE1238" s="1545">
        <f t="shared" si="2473"/>
        <v>18.57477772208745</v>
      </c>
      <c r="FF1238" s="1545">
        <f t="shared" si="2473"/>
        <v>40.829624657206764</v>
      </c>
      <c r="FG1238" s="1545">
        <f t="shared" si="2473"/>
        <v>23.485399915408056</v>
      </c>
      <c r="FH1238" s="1545">
        <f t="shared" si="2473"/>
        <v>43.434433253070921</v>
      </c>
      <c r="FI1238" s="1545">
        <f t="shared" si="2473"/>
        <v>25.711020665681996</v>
      </c>
      <c r="FJ1238" s="1545">
        <f t="shared" si="2473"/>
        <v>65.053378120495665</v>
      </c>
      <c r="FK1238" s="1545">
        <f t="shared" si="2473"/>
        <v>18.016468952481294</v>
      </c>
      <c r="FL1238" s="1545">
        <f t="shared" si="2473"/>
        <v>22.038160849417618</v>
      </c>
      <c r="FM1238" s="1545">
        <f t="shared" si="2473"/>
        <v>85.114840036842878</v>
      </c>
      <c r="FN1238" s="1545">
        <f t="shared" si="2473"/>
        <v>55.795753342564119</v>
      </c>
      <c r="FO1238" s="1545">
        <f t="shared" si="2473"/>
        <v>24.596989962932081</v>
      </c>
      <c r="FP1238" s="1545">
        <f t="shared" si="2473"/>
        <v>52.943284085381222</v>
      </c>
      <c r="FQ1238" s="1545">
        <f t="shared" si="2473"/>
        <v>26.0973223375467</v>
      </c>
      <c r="FR1238" s="1545">
        <f t="shared" si="2473"/>
        <v>26.0973223375467</v>
      </c>
      <c r="FS1238" s="1545">
        <f t="shared" si="2473"/>
        <v>101.97518335178538</v>
      </c>
      <c r="FT1238" s="1545">
        <f t="shared" si="2473"/>
        <v>40.092255082663847</v>
      </c>
      <c r="FU1238" s="1545">
        <f t="shared" si="2473"/>
        <v>26.540783368213397</v>
      </c>
      <c r="FV1238" s="1545">
        <f t="shared" si="2473"/>
        <v>81.779804093706915</v>
      </c>
      <c r="FW1238" s="1545">
        <f t="shared" si="2473"/>
        <v>25.536817192198459</v>
      </c>
      <c r="FX1238" s="1545">
        <f t="shared" si="2473"/>
        <v>68.769149023021257</v>
      </c>
      <c r="FY1238" s="1545">
        <f t="shared" si="2473"/>
        <v>34.1409768277097</v>
      </c>
      <c r="FZ1238" s="1545">
        <f t="shared" si="2473"/>
        <v>51.587092125766084</v>
      </c>
      <c r="GA1238" s="1545">
        <f t="shared" si="2473"/>
        <v>54.156510223755291</v>
      </c>
      <c r="GB1238" s="1545">
        <f t="shared" si="2473"/>
        <v>64.522391058925933</v>
      </c>
      <c r="GC1238" s="1545">
        <f t="shared" si="2473"/>
        <v>51.379938509455535</v>
      </c>
      <c r="GD1238" s="1545">
        <f t="shared" si="2473"/>
        <v>32.894609653005027</v>
      </c>
      <c r="GE1238" s="1545">
        <f t="shared" ref="GE1238:HL1238" si="2474">+GE813</f>
        <v>127.61318963777623</v>
      </c>
      <c r="GF1238" s="1545">
        <f t="shared" si="2474"/>
        <v>64.638842304396093</v>
      </c>
      <c r="GG1238" s="1545">
        <f t="shared" si="2474"/>
        <v>211.40135803759989</v>
      </c>
      <c r="GH1238" s="1545">
        <f t="shared" si="2474"/>
        <v>37.543484832671957</v>
      </c>
      <c r="GI1238" s="1545">
        <f t="shared" si="2474"/>
        <v>62.74872643707684</v>
      </c>
      <c r="GJ1238" s="1545">
        <f t="shared" si="2474"/>
        <v>33.996989547576973</v>
      </c>
      <c r="GK1238" s="1545">
        <f t="shared" si="2474"/>
        <v>31.0326441574929</v>
      </c>
      <c r="GL1238" s="1545">
        <f t="shared" si="2474"/>
        <v>54.975020401665994</v>
      </c>
      <c r="GM1238" s="1545">
        <f t="shared" si="2474"/>
        <v>31.0326441574929</v>
      </c>
      <c r="GN1238" s="1545">
        <f t="shared" si="2474"/>
        <v>58.862560093245818</v>
      </c>
      <c r="GO1238" s="1545">
        <f t="shared" si="2474"/>
        <v>36.823556696673975</v>
      </c>
      <c r="GP1238" s="1545">
        <f t="shared" si="2474"/>
        <v>35.848173299673974</v>
      </c>
      <c r="GQ1238" s="1545">
        <f t="shared" si="2474"/>
        <v>35.848173299673974</v>
      </c>
      <c r="GR1238" s="1545">
        <f t="shared" si="2474"/>
        <v>211.7847689805443</v>
      </c>
      <c r="GS1238" s="1545">
        <f t="shared" si="2474"/>
        <v>47.861229932689689</v>
      </c>
      <c r="GT1238" s="1545">
        <f t="shared" si="2474"/>
        <v>70.492758751144535</v>
      </c>
      <c r="GU1238" s="1545">
        <f t="shared" si="2474"/>
        <v>34.381813544500368</v>
      </c>
      <c r="GV1238" s="1545">
        <f t="shared" si="2474"/>
        <v>9.7639445017651276</v>
      </c>
      <c r="GW1238" s="1545">
        <f t="shared" si="2474"/>
        <v>127.49641382185916</v>
      </c>
      <c r="GX1238" s="1545">
        <f t="shared" si="2474"/>
        <v>14.899181219072448</v>
      </c>
      <c r="GY1238" s="1545">
        <f t="shared" si="2474"/>
        <v>22.534442006360759</v>
      </c>
      <c r="GZ1238" s="1545">
        <f t="shared" si="2474"/>
        <v>125.2904778409454</v>
      </c>
      <c r="HA1238" s="1545">
        <f t="shared" si="2474"/>
        <v>14.411668654781918</v>
      </c>
      <c r="HB1238" s="1545">
        <f t="shared" si="2474"/>
        <v>0</v>
      </c>
      <c r="HC1238" s="1545">
        <f t="shared" si="2474"/>
        <v>135.58406579948007</v>
      </c>
      <c r="HD1238" s="1545">
        <f t="shared" si="2474"/>
        <v>29.529508718633497</v>
      </c>
      <c r="HE1238" s="1545">
        <f t="shared" si="2474"/>
        <v>91.100709918904002</v>
      </c>
      <c r="HF1238" s="1545">
        <f t="shared" si="2474"/>
        <v>152.79918350532938</v>
      </c>
      <c r="HG1238" s="1545">
        <f t="shared" si="2474"/>
        <v>36.550565428489207</v>
      </c>
      <c r="HH1238" s="1545">
        <f t="shared" si="2474"/>
        <v>0</v>
      </c>
      <c r="HI1238" s="1545">
        <f t="shared" si="2474"/>
        <v>121.5161496827613</v>
      </c>
      <c r="HJ1238" s="1545">
        <f t="shared" si="2474"/>
        <v>34.237850121589396</v>
      </c>
      <c r="HK1238" s="1545">
        <f t="shared" si="2474"/>
        <v>6.9469754804080805</v>
      </c>
      <c r="HL1238" s="1545">
        <f t="shared" si="2474"/>
        <v>163.71812133269415</v>
      </c>
      <c r="HM1238" s="1545">
        <f t="shared" ref="HM1238:HR1238" si="2475">+HM813</f>
        <v>14.90240277279772</v>
      </c>
      <c r="HN1238" s="1545">
        <f t="shared" si="2475"/>
        <v>0</v>
      </c>
      <c r="HO1238" s="1545">
        <f t="shared" si="2475"/>
        <v>103.08538457683022</v>
      </c>
      <c r="HP1238" s="1545">
        <f t="shared" si="2475"/>
        <v>0</v>
      </c>
      <c r="HQ1238" s="1545">
        <f t="shared" si="2475"/>
        <v>6.5565700777080353</v>
      </c>
      <c r="HR1238" s="1545">
        <f t="shared" si="2475"/>
        <v>127.07845223580055</v>
      </c>
      <c r="HS1238" s="1545"/>
      <c r="HT1238" s="1545"/>
      <c r="HU1238" s="1545"/>
      <c r="HV1238" s="1545"/>
      <c r="HW1238" s="1545"/>
      <c r="HX1238" s="1545"/>
    </row>
    <row r="1239" spans="4:232" ht="17.25" customHeight="1">
      <c r="D1239" s="1108" t="s">
        <v>1197</v>
      </c>
      <c r="E1239" s="279">
        <f t="shared" ref="E1239:AJ1239" si="2476">E577</f>
        <v>1.029621313</v>
      </c>
      <c r="F1239" s="279">
        <f t="shared" si="2476"/>
        <v>2.941942955</v>
      </c>
      <c r="G1239" s="279">
        <f t="shared" si="2476"/>
        <v>1.1505803399999999</v>
      </c>
      <c r="H1239" s="279">
        <f t="shared" si="2476"/>
        <v>3.9784480960000002</v>
      </c>
      <c r="I1239" s="279">
        <f t="shared" si="2476"/>
        <v>30.615913346000003</v>
      </c>
      <c r="J1239" s="279">
        <f t="shared" si="2476"/>
        <v>51.965551095000002</v>
      </c>
      <c r="K1239" s="279">
        <f t="shared" si="2476"/>
        <v>1.117198742</v>
      </c>
      <c r="L1239" s="279">
        <f t="shared" si="2476"/>
        <v>8.6625460630000006</v>
      </c>
      <c r="M1239" s="279">
        <f t="shared" si="2476"/>
        <v>0.825440544</v>
      </c>
      <c r="N1239" s="279">
        <f t="shared" si="2476"/>
        <v>10.274025655999999</v>
      </c>
      <c r="O1239" s="279">
        <f t="shared" si="2476"/>
        <v>2.0354303389999999</v>
      </c>
      <c r="P1239" s="279">
        <f t="shared" si="2476"/>
        <v>18.696027606000001</v>
      </c>
      <c r="Q1239" s="279">
        <f t="shared" si="2476"/>
        <v>7.0713269639999998</v>
      </c>
      <c r="R1239" s="279">
        <f t="shared" si="2476"/>
        <v>0</v>
      </c>
      <c r="S1239" s="279">
        <f t="shared" si="2476"/>
        <v>47.972159455999993</v>
      </c>
      <c r="T1239" s="279">
        <f t="shared" si="2476"/>
        <v>0.24031845799999998</v>
      </c>
      <c r="U1239" s="279">
        <f t="shared" si="2476"/>
        <v>36.651045891000003</v>
      </c>
      <c r="V1239" s="279">
        <f t="shared" si="2476"/>
        <v>30.353750014999999</v>
      </c>
      <c r="W1239" s="279">
        <f t="shared" si="2476"/>
        <v>1.813009278</v>
      </c>
      <c r="X1239" s="279">
        <f t="shared" si="2476"/>
        <v>8.8946221609999991</v>
      </c>
      <c r="Y1239" s="279">
        <f t="shared" si="2476"/>
        <v>10.554829409999998</v>
      </c>
      <c r="Z1239" s="279">
        <f t="shared" si="2476"/>
        <v>18.851372507000001</v>
      </c>
      <c r="AA1239" s="279">
        <f t="shared" si="2476"/>
        <v>2.7449506380000002</v>
      </c>
      <c r="AB1239" s="279">
        <f t="shared" si="2476"/>
        <v>20.533005909</v>
      </c>
      <c r="AC1239" s="279">
        <f t="shared" si="2476"/>
        <v>0</v>
      </c>
      <c r="AD1239" s="279">
        <f t="shared" si="2476"/>
        <v>7.5460620000000009</v>
      </c>
      <c r="AE1239" s="279">
        <f t="shared" si="2476"/>
        <v>3.8527875429999998</v>
      </c>
      <c r="AF1239" s="279">
        <f t="shared" si="2476"/>
        <v>51.132849105999995</v>
      </c>
      <c r="AG1239" s="279">
        <f t="shared" si="2476"/>
        <v>1.922652555</v>
      </c>
      <c r="AH1239" s="279">
        <f t="shared" si="2476"/>
        <v>37.021962551999998</v>
      </c>
      <c r="AI1239" s="279">
        <f t="shared" si="2476"/>
        <v>13.403235237000001</v>
      </c>
      <c r="AJ1239" s="279">
        <f t="shared" si="2476"/>
        <v>3.5717679769999999</v>
      </c>
      <c r="AK1239" s="279">
        <f t="shared" ref="AK1239:BP1239" si="2477">AK577</f>
        <v>44.113459689999999</v>
      </c>
      <c r="AL1239" s="279">
        <f t="shared" si="2477"/>
        <v>53.195301256</v>
      </c>
      <c r="AM1239" s="279">
        <f t="shared" si="2477"/>
        <v>7.5764551739999995</v>
      </c>
      <c r="AN1239" s="279">
        <f t="shared" si="2477"/>
        <v>10.268108200999999</v>
      </c>
      <c r="AO1239" s="279">
        <f t="shared" si="2477"/>
        <v>21.649201587</v>
      </c>
      <c r="AP1239" s="279">
        <f t="shared" si="2477"/>
        <v>0</v>
      </c>
      <c r="AQ1239" s="279">
        <f t="shared" si="2477"/>
        <v>8.0213442799999992</v>
      </c>
      <c r="AR1239" s="279">
        <f t="shared" si="2477"/>
        <v>12.581843562</v>
      </c>
      <c r="AS1239" s="279">
        <f t="shared" si="2477"/>
        <v>9.056692696999999</v>
      </c>
      <c r="AT1239" s="279">
        <f t="shared" si="2477"/>
        <v>97.265289525</v>
      </c>
      <c r="AU1239" s="279">
        <f t="shared" si="2477"/>
        <v>6.1597314819999998</v>
      </c>
      <c r="AV1239" s="279">
        <f t="shared" si="2477"/>
        <v>4.7773699999999995</v>
      </c>
      <c r="AW1239" s="279">
        <f t="shared" si="2477"/>
        <v>58.822261999999988</v>
      </c>
      <c r="AX1239" s="279">
        <f t="shared" si="2477"/>
        <v>26.394771204000001</v>
      </c>
      <c r="AY1239" s="279">
        <f t="shared" si="2477"/>
        <v>6.9810858910000002</v>
      </c>
      <c r="AZ1239" s="279">
        <f t="shared" si="2477"/>
        <v>24.142312999000001</v>
      </c>
      <c r="BA1239" s="279">
        <f t="shared" si="2477"/>
        <v>0.531323502</v>
      </c>
      <c r="BB1239" s="279">
        <f t="shared" si="2477"/>
        <v>5.2342624570000007</v>
      </c>
      <c r="BC1239" s="279">
        <f t="shared" si="2477"/>
        <v>1.0111021920000001</v>
      </c>
      <c r="BD1239" s="279">
        <f t="shared" si="2477"/>
        <v>67.936107326759995</v>
      </c>
      <c r="BE1239" s="279">
        <f t="shared" si="2477"/>
        <v>1.03516734123</v>
      </c>
      <c r="BF1239" s="279">
        <f t="shared" si="2477"/>
        <v>13.367550886</v>
      </c>
      <c r="BG1239" s="279">
        <f t="shared" si="2477"/>
        <v>41.011713339000003</v>
      </c>
      <c r="BH1239" s="279">
        <f t="shared" si="2477"/>
        <v>37.631219074000001</v>
      </c>
      <c r="BI1239" s="279">
        <f t="shared" si="2477"/>
        <v>29.764305502999996</v>
      </c>
      <c r="BJ1239" s="279">
        <f t="shared" si="2477"/>
        <v>25.662271436000001</v>
      </c>
      <c r="BK1239" s="279">
        <f t="shared" si="2477"/>
        <v>4.6969805640000004</v>
      </c>
      <c r="BL1239" s="279">
        <f t="shared" si="2477"/>
        <v>72.178950183000012</v>
      </c>
      <c r="BM1239" s="279">
        <f t="shared" si="2477"/>
        <v>2.2913186510000001</v>
      </c>
      <c r="BN1239" s="279">
        <f t="shared" si="2477"/>
        <v>4.1133515819999991</v>
      </c>
      <c r="BO1239" s="279">
        <f t="shared" si="2477"/>
        <v>11.480174020999998</v>
      </c>
      <c r="BP1239" s="279">
        <f t="shared" si="2477"/>
        <v>0.244489505</v>
      </c>
      <c r="BQ1239" s="279">
        <f t="shared" ref="BQ1239:CV1239" si="2478">BQ577</f>
        <v>0.210040425</v>
      </c>
      <c r="BR1239" s="279">
        <f t="shared" si="2478"/>
        <v>36.401174263000001</v>
      </c>
      <c r="BS1239" s="279">
        <f t="shared" si="2478"/>
        <v>29.136299999999999</v>
      </c>
      <c r="BT1239" s="279">
        <f t="shared" si="2478"/>
        <v>5.0500000000000003E-2</v>
      </c>
      <c r="BU1239" s="279">
        <f t="shared" si="2478"/>
        <v>16.354800000000001</v>
      </c>
      <c r="BV1239" s="279">
        <f t="shared" si="2478"/>
        <v>40.385982536352834</v>
      </c>
      <c r="BW1239" s="279">
        <f t="shared" si="2478"/>
        <v>0</v>
      </c>
      <c r="BX1239" s="279">
        <f t="shared" si="2478"/>
        <v>3.0729541479283036</v>
      </c>
      <c r="BY1239" s="279">
        <f t="shared" si="2478"/>
        <v>5.260235500000876E-4</v>
      </c>
      <c r="BZ1239" s="279">
        <f t="shared" si="2478"/>
        <v>9.1826426500000002E-2</v>
      </c>
      <c r="CA1239" s="279">
        <f t="shared" si="2478"/>
        <v>12.982690138090351</v>
      </c>
      <c r="CB1239" s="279">
        <f t="shared" si="2478"/>
        <v>31.033814600552404</v>
      </c>
      <c r="CC1239" s="279">
        <f t="shared" si="2478"/>
        <v>17.757997552074478</v>
      </c>
      <c r="CD1239" s="279">
        <f t="shared" si="2478"/>
        <v>32.66273206789338</v>
      </c>
      <c r="CE1239" s="279">
        <f t="shared" si="2478"/>
        <v>11.074034852134075</v>
      </c>
      <c r="CF1239" s="279">
        <f t="shared" si="2478"/>
        <v>32.700150377666034</v>
      </c>
      <c r="CG1239" s="279">
        <f t="shared" si="2478"/>
        <v>42.709039008523469</v>
      </c>
      <c r="CH1239" s="279">
        <f t="shared" si="2478"/>
        <v>8.4914818258642306</v>
      </c>
      <c r="CI1239" s="279">
        <f t="shared" si="2478"/>
        <v>2.9367541546255658</v>
      </c>
      <c r="CJ1239" s="279">
        <f t="shared" si="2478"/>
        <v>39.867508568122986</v>
      </c>
      <c r="CK1239" s="279">
        <f t="shared" si="2478"/>
        <v>0.4505358125808413</v>
      </c>
      <c r="CL1239" s="279">
        <f t="shared" si="2478"/>
        <v>6.1572929790496084E-2</v>
      </c>
      <c r="CM1239" s="279">
        <f t="shared" si="2478"/>
        <v>0.3515643368251512</v>
      </c>
      <c r="CN1239" s="279">
        <f t="shared" si="2478"/>
        <v>5.4239322156195868</v>
      </c>
      <c r="CO1239" s="279">
        <f t="shared" si="2478"/>
        <v>20.746242148937966</v>
      </c>
      <c r="CP1239" s="279">
        <f t="shared" si="2478"/>
        <v>9.7559618135149808</v>
      </c>
      <c r="CQ1239" s="279">
        <f t="shared" si="2478"/>
        <v>18.040550981106584</v>
      </c>
      <c r="CR1239" s="279">
        <f t="shared" si="2478"/>
        <v>0.12200895096768052</v>
      </c>
      <c r="CS1239" s="279">
        <f t="shared" si="2478"/>
        <v>36.821572280069667</v>
      </c>
      <c r="CT1239" s="279">
        <f t="shared" si="2478"/>
        <v>4.922131509592969</v>
      </c>
      <c r="CU1239" s="279">
        <f t="shared" si="2478"/>
        <v>14.821926476595234</v>
      </c>
      <c r="CV1239" s="279">
        <f t="shared" si="2478"/>
        <v>95.005863574203687</v>
      </c>
      <c r="CW1239" s="279">
        <f t="shared" ref="CW1239:EB1239" si="2479">CW577</f>
        <v>0.73772674950062389</v>
      </c>
      <c r="CX1239" s="279">
        <f t="shared" si="2479"/>
        <v>0.10705233474635278</v>
      </c>
      <c r="CY1239" s="279">
        <f t="shared" si="2479"/>
        <v>35.240026321382061</v>
      </c>
      <c r="CZ1239" s="279">
        <f t="shared" si="2479"/>
        <v>16.274886881398039</v>
      </c>
      <c r="DA1239" s="279">
        <f t="shared" si="2479"/>
        <v>43.400342935445799</v>
      </c>
      <c r="DB1239" s="675">
        <f t="shared" si="2479"/>
        <v>1.1729798462216148</v>
      </c>
      <c r="DC1239" s="279">
        <f t="shared" si="2479"/>
        <v>18.9425515928632</v>
      </c>
      <c r="DD1239" s="279">
        <f t="shared" si="2479"/>
        <v>6.2084663164</v>
      </c>
      <c r="DE1239" s="279">
        <f t="shared" si="2479"/>
        <v>36.410093192840002</v>
      </c>
      <c r="DF1239" s="279">
        <f t="shared" si="2479"/>
        <v>0.54977357599999999</v>
      </c>
      <c r="DG1239" s="279">
        <f t="shared" si="2479"/>
        <v>60.008113386810507</v>
      </c>
      <c r="DH1239" s="279">
        <f t="shared" si="2479"/>
        <v>23.54540133272652</v>
      </c>
      <c r="DI1239" s="279">
        <f t="shared" si="2479"/>
        <v>0.90769008284927133</v>
      </c>
      <c r="DJ1239" s="279">
        <f t="shared" si="2479"/>
        <v>3.1040640610681085</v>
      </c>
      <c r="DK1239" s="279">
        <f t="shared" si="2479"/>
        <v>0.69314574945851271</v>
      </c>
      <c r="DL1239" s="279">
        <f t="shared" si="2479"/>
        <v>84.090533561255782</v>
      </c>
      <c r="DM1239" s="279">
        <f t="shared" si="2479"/>
        <v>0.47753502487499827</v>
      </c>
      <c r="DN1239" s="280">
        <f t="shared" si="2479"/>
        <v>43.994046554036288</v>
      </c>
      <c r="DO1239" s="279">
        <f t="shared" si="2479"/>
        <v>26.446531884233437</v>
      </c>
      <c r="DP1239" s="279">
        <f t="shared" si="2479"/>
        <v>6.2185023440912799</v>
      </c>
      <c r="DQ1239" s="279">
        <f t="shared" si="2479"/>
        <v>0.73779236735305298</v>
      </c>
      <c r="DR1239" s="279">
        <f t="shared" si="2479"/>
        <v>0.6036083373272414</v>
      </c>
      <c r="DS1239" s="279">
        <f t="shared" si="2479"/>
        <v>25.645707059336935</v>
      </c>
      <c r="DT1239" s="279">
        <f t="shared" si="2479"/>
        <v>60.796062320206318</v>
      </c>
      <c r="DU1239" s="279">
        <f t="shared" si="2479"/>
        <v>31.850267446306667</v>
      </c>
      <c r="DV1239" s="279">
        <f t="shared" si="2479"/>
        <v>0.11601552919114091</v>
      </c>
      <c r="DW1239" s="279">
        <f t="shared" si="2479"/>
        <v>10.626303189291175</v>
      </c>
      <c r="DX1239" s="279">
        <f t="shared" si="2479"/>
        <v>24.378833675827689</v>
      </c>
      <c r="DY1239" s="279">
        <f t="shared" si="2479"/>
        <v>8.9967379106745002E-2</v>
      </c>
      <c r="DZ1239" s="280">
        <f t="shared" si="2479"/>
        <v>53.154917992908146</v>
      </c>
      <c r="EA1239" s="279">
        <f t="shared" si="2479"/>
        <v>38.776488157999992</v>
      </c>
      <c r="EB1239" s="279">
        <f t="shared" si="2479"/>
        <v>8.4194048240000008</v>
      </c>
      <c r="EC1239" s="279">
        <f t="shared" ref="EC1239:EX1239" si="2480">EC577</f>
        <v>6.4858811990000005</v>
      </c>
      <c r="ED1239" s="279">
        <f t="shared" si="2480"/>
        <v>28.242003715218477</v>
      </c>
      <c r="EE1239" s="279">
        <f t="shared" si="2480"/>
        <v>14.225809121988487</v>
      </c>
      <c r="EF1239" s="279">
        <f t="shared" si="2480"/>
        <v>50.439912794721067</v>
      </c>
      <c r="EG1239" s="279">
        <f t="shared" si="2480"/>
        <v>39.500958864398193</v>
      </c>
      <c r="EH1239" s="279">
        <f t="shared" si="2480"/>
        <v>7.0418577248662313</v>
      </c>
      <c r="EI1239" s="279">
        <f t="shared" si="2480"/>
        <v>31.704531492822444</v>
      </c>
      <c r="EJ1239" s="279">
        <f t="shared" si="2480"/>
        <v>35.734591488055642</v>
      </c>
      <c r="EK1239" s="279">
        <f t="shared" si="2480"/>
        <v>0.10198738417113531</v>
      </c>
      <c r="EL1239" s="280">
        <f t="shared" si="2480"/>
        <v>1.4398162227758724</v>
      </c>
      <c r="EM1239" s="279">
        <f t="shared" si="2480"/>
        <v>14.325676464512746</v>
      </c>
      <c r="EN1239" s="279">
        <f t="shared" si="2480"/>
        <v>29.099562530664457</v>
      </c>
      <c r="EO1239" s="279">
        <f t="shared" si="2480"/>
        <v>0.40557218353051261</v>
      </c>
      <c r="EP1239" s="279">
        <f t="shared" si="2480"/>
        <v>4.729814763708054E-2</v>
      </c>
      <c r="EQ1239" s="279">
        <f t="shared" si="2480"/>
        <v>2.350520414</v>
      </c>
      <c r="ER1239" s="279">
        <f t="shared" si="2480"/>
        <v>92.006844835932</v>
      </c>
      <c r="ES1239" s="279">
        <f t="shared" si="2480"/>
        <v>28.06493037731035</v>
      </c>
      <c r="ET1239" s="279">
        <f t="shared" si="2480"/>
        <v>51.4300886660141</v>
      </c>
      <c r="EU1239" s="279">
        <f t="shared" si="2480"/>
        <v>0.19569722910722168</v>
      </c>
      <c r="EV1239" s="279">
        <f t="shared" si="2480"/>
        <v>29.74692812163433</v>
      </c>
      <c r="EW1239" s="279">
        <f t="shared" si="2480"/>
        <v>0</v>
      </c>
      <c r="EX1239" s="280">
        <f t="shared" si="2480"/>
        <v>0.43065603184876317</v>
      </c>
      <c r="EY1239" s="650">
        <f t="shared" ref="EY1239:GD1239" si="2481">+EY815+EY819+EY823</f>
        <v>18.885914780479233</v>
      </c>
      <c r="EZ1239" s="650">
        <f t="shared" si="2481"/>
        <v>0</v>
      </c>
      <c r="FA1239" s="650">
        <f t="shared" si="2481"/>
        <v>9.608507644444737</v>
      </c>
      <c r="FB1239" s="650">
        <f t="shared" si="2481"/>
        <v>0</v>
      </c>
      <c r="FC1239" s="650">
        <f t="shared" si="2481"/>
        <v>9.2111639751582803</v>
      </c>
      <c r="FD1239" s="650">
        <f t="shared" si="2481"/>
        <v>52.863934318023269</v>
      </c>
      <c r="FE1239" s="650">
        <f t="shared" si="2481"/>
        <v>0</v>
      </c>
      <c r="FF1239" s="650">
        <f t="shared" si="2481"/>
        <v>17.942072601710958</v>
      </c>
      <c r="FG1239" s="650">
        <f t="shared" si="2481"/>
        <v>0</v>
      </c>
      <c r="FH1239" s="650">
        <f t="shared" si="2481"/>
        <v>26.339455367801001</v>
      </c>
      <c r="FI1239" s="650">
        <f t="shared" si="2481"/>
        <v>0</v>
      </c>
      <c r="FJ1239" s="650">
        <f t="shared" si="2481"/>
        <v>42.879513273999997</v>
      </c>
      <c r="FK1239" s="650">
        <f t="shared" si="2481"/>
        <v>0</v>
      </c>
      <c r="FL1239" s="650">
        <f t="shared" si="2481"/>
        <v>0</v>
      </c>
      <c r="FM1239" s="650">
        <f t="shared" si="2481"/>
        <v>55.78206542418198</v>
      </c>
      <c r="FN1239" s="650">
        <f t="shared" si="2481"/>
        <v>35.485712861354926</v>
      </c>
      <c r="FO1239" s="650">
        <f t="shared" si="2481"/>
        <v>0</v>
      </c>
      <c r="FP1239" s="650">
        <f t="shared" si="2481"/>
        <v>28.462910114962668</v>
      </c>
      <c r="FQ1239" s="650">
        <f t="shared" si="2481"/>
        <v>0</v>
      </c>
      <c r="FR1239" s="650">
        <f t="shared" si="2481"/>
        <v>0</v>
      </c>
      <c r="FS1239" s="650">
        <f t="shared" si="2481"/>
        <v>74.49219628223868</v>
      </c>
      <c r="FT1239" s="650">
        <f t="shared" si="2481"/>
        <v>15.214705663450417</v>
      </c>
      <c r="FU1239" s="650">
        <f t="shared" si="2481"/>
        <v>0</v>
      </c>
      <c r="FV1239" s="650">
        <f t="shared" si="2481"/>
        <v>56.902254674493491</v>
      </c>
      <c r="FW1239" s="650">
        <f t="shared" si="2481"/>
        <v>1.2382475E-2</v>
      </c>
      <c r="FX1239" s="650">
        <f t="shared" si="2481"/>
        <v>43.244714305822797</v>
      </c>
      <c r="FY1239" s="650">
        <f t="shared" si="2481"/>
        <v>8.6165421105112401</v>
      </c>
      <c r="FZ1239" s="650">
        <f t="shared" si="2481"/>
        <v>17.063186750203002</v>
      </c>
      <c r="GA1239" s="650">
        <f t="shared" si="2481"/>
        <v>19.632604848192209</v>
      </c>
      <c r="GB1239" s="650">
        <f t="shared" si="2481"/>
        <v>29.998485683362848</v>
      </c>
      <c r="GC1239" s="650">
        <f t="shared" si="2481"/>
        <v>18.56186430122964</v>
      </c>
      <c r="GD1239" s="650">
        <f t="shared" si="2481"/>
        <v>7.6535444779132003E-2</v>
      </c>
      <c r="GE1239" s="650">
        <f t="shared" ref="GE1239:HL1239" si="2482">+GE815+GE819+GE823</f>
        <v>94.795115429550336</v>
      </c>
      <c r="GF1239" s="650">
        <f t="shared" si="2482"/>
        <v>31.820768096170202</v>
      </c>
      <c r="GG1239" s="650">
        <f t="shared" si="2482"/>
        <v>178.58328382937401</v>
      </c>
      <c r="GH1239" s="650">
        <f t="shared" si="2482"/>
        <v>4.7254106244460603</v>
      </c>
      <c r="GI1239" s="650">
        <f t="shared" si="2482"/>
        <v>31.716082279583937</v>
      </c>
      <c r="GJ1239" s="650">
        <f t="shared" si="2482"/>
        <v>2.9643453900840777</v>
      </c>
      <c r="GK1239" s="650">
        <f t="shared" si="2482"/>
        <v>0</v>
      </c>
      <c r="GL1239" s="650">
        <f t="shared" si="2482"/>
        <v>23.942376244173094</v>
      </c>
      <c r="GM1239" s="650">
        <f t="shared" si="2482"/>
        <v>0</v>
      </c>
      <c r="GN1239" s="650">
        <f t="shared" si="2482"/>
        <v>27.829915935752915</v>
      </c>
      <c r="GO1239" s="650">
        <f t="shared" si="2482"/>
        <v>0.9753833970000001</v>
      </c>
      <c r="GP1239" s="650">
        <f t="shared" si="2482"/>
        <v>0</v>
      </c>
      <c r="GQ1239" s="650">
        <f t="shared" si="2482"/>
        <v>0</v>
      </c>
      <c r="GR1239" s="650">
        <f t="shared" si="2482"/>
        <v>175.93659568087031</v>
      </c>
      <c r="GS1239" s="650">
        <f t="shared" si="2482"/>
        <v>12.013056633015713</v>
      </c>
      <c r="GT1239" s="650">
        <f t="shared" si="2482"/>
        <v>34.644585451470562</v>
      </c>
      <c r="GU1239" s="650">
        <f t="shared" si="2482"/>
        <v>34.381813544500368</v>
      </c>
      <c r="GV1239" s="650">
        <f t="shared" si="2482"/>
        <v>9.7639445017651276</v>
      </c>
      <c r="GW1239" s="650">
        <f t="shared" si="2482"/>
        <v>10.054948469184707</v>
      </c>
      <c r="GX1239" s="650">
        <f t="shared" si="2482"/>
        <v>14.899181219072448</v>
      </c>
      <c r="GY1239" s="650">
        <f t="shared" si="2482"/>
        <v>22.534442006360759</v>
      </c>
      <c r="GZ1239" s="650">
        <f t="shared" si="2482"/>
        <v>7.8490124882709535</v>
      </c>
      <c r="HA1239" s="650">
        <f t="shared" si="2482"/>
        <v>14.411668654781918</v>
      </c>
      <c r="HB1239" s="650">
        <f t="shared" si="2482"/>
        <v>0</v>
      </c>
      <c r="HC1239" s="650">
        <f t="shared" si="2482"/>
        <v>0.98520657938470313</v>
      </c>
      <c r="HD1239" s="650">
        <f t="shared" si="2482"/>
        <v>29.529508718633497</v>
      </c>
      <c r="HE1239" s="650">
        <f t="shared" si="2482"/>
        <v>91.100709918904002</v>
      </c>
      <c r="HF1239" s="650">
        <f t="shared" si="2482"/>
        <v>18.200324285234</v>
      </c>
      <c r="HG1239" s="650">
        <f t="shared" si="2482"/>
        <v>36.550565428489207</v>
      </c>
      <c r="HH1239" s="650">
        <f t="shared" si="2482"/>
        <v>0</v>
      </c>
      <c r="HI1239" s="650">
        <f t="shared" si="2482"/>
        <v>0</v>
      </c>
      <c r="HJ1239" s="650">
        <f t="shared" si="2482"/>
        <v>34.237850121589396</v>
      </c>
      <c r="HK1239" s="650">
        <f t="shared" si="2482"/>
        <v>6.9469754804080805</v>
      </c>
      <c r="HL1239" s="650">
        <f t="shared" si="2482"/>
        <v>42.201971649932865</v>
      </c>
      <c r="HM1239" s="650">
        <f t="shared" ref="HM1239:HR1239" si="2483">+HM815+HM819+HM823</f>
        <v>14.90240277279772</v>
      </c>
      <c r="HN1239" s="650">
        <f t="shared" si="2483"/>
        <v>0</v>
      </c>
      <c r="HO1239" s="650">
        <f t="shared" si="2483"/>
        <v>0</v>
      </c>
      <c r="HP1239" s="650">
        <f t="shared" si="2483"/>
        <v>0</v>
      </c>
      <c r="HQ1239" s="650">
        <f t="shared" si="2483"/>
        <v>6.5565700777080353</v>
      </c>
      <c r="HR1239" s="650">
        <f t="shared" si="2483"/>
        <v>22.935490024454118</v>
      </c>
      <c r="HS1239" s="650"/>
      <c r="HT1239" s="650"/>
      <c r="HU1239" s="650"/>
      <c r="HV1239" s="650"/>
      <c r="HW1239" s="650"/>
      <c r="HX1239" s="650"/>
    </row>
    <row r="1240" spans="4:232" ht="17.25" customHeight="1">
      <c r="D1240" s="1108" t="s">
        <v>1198</v>
      </c>
      <c r="E1240" s="279">
        <f t="shared" ref="E1240:AJ1240" si="2484">E582</f>
        <v>0</v>
      </c>
      <c r="F1240" s="279">
        <f t="shared" si="2484"/>
        <v>0</v>
      </c>
      <c r="G1240" s="279">
        <f t="shared" si="2484"/>
        <v>19.096</v>
      </c>
      <c r="H1240" s="279">
        <f t="shared" si="2484"/>
        <v>0</v>
      </c>
      <c r="I1240" s="279">
        <f t="shared" si="2484"/>
        <v>0</v>
      </c>
      <c r="J1240" s="279">
        <f t="shared" si="2484"/>
        <v>18.920000000000002</v>
      </c>
      <c r="K1240" s="279">
        <f t="shared" si="2484"/>
        <v>0</v>
      </c>
      <c r="L1240" s="279">
        <f t="shared" si="2484"/>
        <v>0</v>
      </c>
      <c r="M1240" s="279">
        <f t="shared" si="2484"/>
        <v>20.327999999999999</v>
      </c>
      <c r="N1240" s="279">
        <f t="shared" si="2484"/>
        <v>0</v>
      </c>
      <c r="O1240" s="279">
        <f t="shared" si="2484"/>
        <v>0</v>
      </c>
      <c r="P1240" s="279">
        <f t="shared" si="2484"/>
        <v>15.656000000000001</v>
      </c>
      <c r="Q1240" s="279">
        <f t="shared" si="2484"/>
        <v>0</v>
      </c>
      <c r="R1240" s="279">
        <f t="shared" si="2484"/>
        <v>0</v>
      </c>
      <c r="S1240" s="279">
        <f t="shared" si="2484"/>
        <v>13.61007</v>
      </c>
      <c r="T1240" s="279">
        <f t="shared" si="2484"/>
        <v>0</v>
      </c>
      <c r="U1240" s="279">
        <f t="shared" si="2484"/>
        <v>0</v>
      </c>
      <c r="V1240" s="279">
        <f t="shared" si="2484"/>
        <v>21.278419999999997</v>
      </c>
      <c r="W1240" s="279">
        <f t="shared" si="2484"/>
        <v>0</v>
      </c>
      <c r="X1240" s="279">
        <f t="shared" si="2484"/>
        <v>0</v>
      </c>
      <c r="Y1240" s="279">
        <f t="shared" si="2484"/>
        <v>20.6523</v>
      </c>
      <c r="Z1240" s="279">
        <f t="shared" si="2484"/>
        <v>0</v>
      </c>
      <c r="AA1240" s="279">
        <f t="shared" si="2484"/>
        <v>0</v>
      </c>
      <c r="AB1240" s="279">
        <f t="shared" si="2484"/>
        <v>38.554199999999994</v>
      </c>
      <c r="AC1240" s="279">
        <f t="shared" si="2484"/>
        <v>0</v>
      </c>
      <c r="AD1240" s="279">
        <f t="shared" si="2484"/>
        <v>0</v>
      </c>
      <c r="AE1240" s="279">
        <f t="shared" si="2484"/>
        <v>27.222999999999999</v>
      </c>
      <c r="AF1240" s="279">
        <f t="shared" si="2484"/>
        <v>0</v>
      </c>
      <c r="AG1240" s="279">
        <f t="shared" si="2484"/>
        <v>0</v>
      </c>
      <c r="AH1240" s="279">
        <f t="shared" si="2484"/>
        <v>14.770896896000002</v>
      </c>
      <c r="AI1240" s="279">
        <f t="shared" si="2484"/>
        <v>0</v>
      </c>
      <c r="AJ1240" s="279">
        <f t="shared" si="2484"/>
        <v>0</v>
      </c>
      <c r="AK1240" s="279">
        <f t="shared" ref="AK1240:BP1240" si="2485">AK582</f>
        <v>31.943841391000003</v>
      </c>
      <c r="AL1240" s="279">
        <f t="shared" si="2485"/>
        <v>0</v>
      </c>
      <c r="AM1240" s="279">
        <f t="shared" si="2485"/>
        <v>0</v>
      </c>
      <c r="AN1240" s="279">
        <f t="shared" si="2485"/>
        <v>39.854758195999992</v>
      </c>
      <c r="AO1240" s="279">
        <f t="shared" si="2485"/>
        <v>0</v>
      </c>
      <c r="AP1240" s="279">
        <f t="shared" si="2485"/>
        <v>0</v>
      </c>
      <c r="AQ1240" s="279">
        <f t="shared" si="2485"/>
        <v>27.3</v>
      </c>
      <c r="AR1240" s="279">
        <f t="shared" si="2485"/>
        <v>0</v>
      </c>
      <c r="AS1240" s="279">
        <f t="shared" si="2485"/>
        <v>0</v>
      </c>
      <c r="AT1240" s="279">
        <f t="shared" si="2485"/>
        <v>27.3</v>
      </c>
      <c r="AU1240" s="279">
        <f t="shared" si="2485"/>
        <v>0</v>
      </c>
      <c r="AV1240" s="279">
        <f t="shared" si="2485"/>
        <v>0</v>
      </c>
      <c r="AW1240" s="279">
        <f t="shared" si="2485"/>
        <v>34.1</v>
      </c>
      <c r="AX1240" s="279">
        <f t="shared" si="2485"/>
        <v>0</v>
      </c>
      <c r="AY1240" s="279">
        <f t="shared" si="2485"/>
        <v>0</v>
      </c>
      <c r="AZ1240" s="279">
        <f t="shared" si="2485"/>
        <v>80</v>
      </c>
      <c r="BA1240" s="279">
        <f t="shared" si="2485"/>
        <v>0</v>
      </c>
      <c r="BB1240" s="279">
        <f t="shared" si="2485"/>
        <v>0</v>
      </c>
      <c r="BC1240" s="279">
        <f t="shared" si="2485"/>
        <v>25.449000000000002</v>
      </c>
      <c r="BD1240" s="279">
        <f t="shared" si="2485"/>
        <v>0</v>
      </c>
      <c r="BE1240" s="279">
        <f t="shared" si="2485"/>
        <v>0</v>
      </c>
      <c r="BF1240" s="279">
        <f t="shared" si="2485"/>
        <v>24.451000000000001</v>
      </c>
      <c r="BG1240" s="279">
        <f t="shared" si="2485"/>
        <v>0</v>
      </c>
      <c r="BH1240" s="279">
        <f t="shared" si="2485"/>
        <v>0</v>
      </c>
      <c r="BI1240" s="279">
        <f t="shared" si="2485"/>
        <v>28.44</v>
      </c>
      <c r="BJ1240" s="279">
        <f t="shared" si="2485"/>
        <v>50.9206</v>
      </c>
      <c r="BK1240" s="279">
        <f t="shared" si="2485"/>
        <v>0</v>
      </c>
      <c r="BL1240" s="279">
        <f t="shared" si="2485"/>
        <v>28.44</v>
      </c>
      <c r="BM1240" s="279">
        <f t="shared" si="2485"/>
        <v>0</v>
      </c>
      <c r="BN1240" s="279">
        <f t="shared" si="2485"/>
        <v>0</v>
      </c>
      <c r="BO1240" s="279">
        <f t="shared" si="2485"/>
        <v>28.4</v>
      </c>
      <c r="BP1240" s="279">
        <f t="shared" si="2485"/>
        <v>0</v>
      </c>
      <c r="BQ1240" s="279">
        <f t="shared" ref="BQ1240:CV1240" si="2486">BQ582</f>
        <v>0</v>
      </c>
      <c r="BR1240" s="279">
        <f t="shared" si="2486"/>
        <v>63.072049327625756</v>
      </c>
      <c r="BS1240" s="279">
        <f t="shared" si="2486"/>
        <v>12.203299451901628</v>
      </c>
      <c r="BT1240" s="279">
        <f t="shared" si="2486"/>
        <v>14.813409459931112</v>
      </c>
      <c r="BU1240" s="279">
        <f t="shared" si="2486"/>
        <v>6.5902026762721153</v>
      </c>
      <c r="BV1240" s="279">
        <f t="shared" si="2486"/>
        <v>7.9663939819053082</v>
      </c>
      <c r="BW1240" s="279">
        <f t="shared" si="2486"/>
        <v>41.538890177774903</v>
      </c>
      <c r="BX1240" s="279">
        <f t="shared" si="2486"/>
        <v>29.001320784256873</v>
      </c>
      <c r="BY1240" s="279">
        <f t="shared" si="2486"/>
        <v>6.4084407417666696E-6</v>
      </c>
      <c r="BZ1240" s="279">
        <f t="shared" si="2486"/>
        <v>3.9502690426215792</v>
      </c>
      <c r="CA1240" s="279">
        <f t="shared" si="2486"/>
        <v>8.9347603934343383</v>
      </c>
      <c r="CB1240" s="279">
        <f t="shared" si="2486"/>
        <v>6.8720589184452443</v>
      </c>
      <c r="CC1240" s="279">
        <f t="shared" si="2486"/>
        <v>32.567005592195322</v>
      </c>
      <c r="CD1240" s="279">
        <f t="shared" si="2486"/>
        <v>10.462383112820836</v>
      </c>
      <c r="CE1240" s="279">
        <f t="shared" si="2486"/>
        <v>20.644770703771695</v>
      </c>
      <c r="CF1240" s="279">
        <f t="shared" si="2486"/>
        <v>6.2068516957338105</v>
      </c>
      <c r="CG1240" s="279">
        <f t="shared" si="2486"/>
        <v>33.654755862294493</v>
      </c>
      <c r="CH1240" s="279">
        <f t="shared" si="2486"/>
        <v>40.164865416949603</v>
      </c>
      <c r="CI1240" s="279">
        <f t="shared" si="2486"/>
        <v>33.30229618613545</v>
      </c>
      <c r="CJ1240" s="279">
        <f t="shared" si="2486"/>
        <v>23.305426911000946</v>
      </c>
      <c r="CK1240" s="279">
        <f t="shared" si="2486"/>
        <v>22.369328398681304</v>
      </c>
      <c r="CL1240" s="279">
        <f t="shared" si="2486"/>
        <v>15.370313869472696</v>
      </c>
      <c r="CM1240" s="279">
        <f t="shared" si="2486"/>
        <v>15.260357731845993</v>
      </c>
      <c r="CN1240" s="279">
        <f t="shared" si="2486"/>
        <v>55.08162525346021</v>
      </c>
      <c r="CO1240" s="279">
        <f t="shared" si="2486"/>
        <v>16.101722923910174</v>
      </c>
      <c r="CP1240" s="279">
        <f t="shared" si="2486"/>
        <v>21.799460293312592</v>
      </c>
      <c r="CQ1240" s="279">
        <f t="shared" si="2486"/>
        <v>16.87350672279609</v>
      </c>
      <c r="CR1240" s="279">
        <f t="shared" si="2486"/>
        <v>20.574332516946019</v>
      </c>
      <c r="CS1240" s="279">
        <f t="shared" si="2486"/>
        <v>13.677160760257889</v>
      </c>
      <c r="CT1240" s="279">
        <f t="shared" si="2486"/>
        <v>22.966062853869769</v>
      </c>
      <c r="CU1240" s="279">
        <f t="shared" si="2486"/>
        <v>25.792258359012344</v>
      </c>
      <c r="CV1240" s="279">
        <f t="shared" si="2486"/>
        <v>25.594723744156603</v>
      </c>
      <c r="CW1240" s="279">
        <f t="shared" ref="CW1240:EB1240" si="2487">CW582</f>
        <v>18.835302128312126</v>
      </c>
      <c r="CX1240" s="279">
        <f t="shared" si="2487"/>
        <v>20.69342160459518</v>
      </c>
      <c r="CY1240" s="279">
        <f t="shared" si="2487"/>
        <v>18.249102545774683</v>
      </c>
      <c r="CZ1240" s="279">
        <f t="shared" si="2487"/>
        <v>12.54749310504959</v>
      </c>
      <c r="DA1240" s="279">
        <f t="shared" si="2487"/>
        <v>24.637015591921291</v>
      </c>
      <c r="DB1240" s="675">
        <f t="shared" si="2487"/>
        <v>20.593317581711112</v>
      </c>
      <c r="DC1240" s="279">
        <f t="shared" si="2487"/>
        <v>13.457658298098568</v>
      </c>
      <c r="DD1240" s="279">
        <f t="shared" si="2487"/>
        <v>19.030042177083068</v>
      </c>
      <c r="DE1240" s="279">
        <f t="shared" si="2487"/>
        <v>15.882299524818357</v>
      </c>
      <c r="DF1240" s="279">
        <f t="shared" si="2487"/>
        <v>10.358548209869529</v>
      </c>
      <c r="DG1240" s="279">
        <f t="shared" si="2487"/>
        <v>9.0959670020350281</v>
      </c>
      <c r="DH1240" s="279">
        <f t="shared" si="2487"/>
        <v>28.915484788095437</v>
      </c>
      <c r="DI1240" s="279">
        <f t="shared" si="2487"/>
        <v>9.6377982635075661</v>
      </c>
      <c r="DJ1240" s="279">
        <f t="shared" si="2487"/>
        <v>11.505491827422981</v>
      </c>
      <c r="DK1240" s="279">
        <f t="shared" si="2487"/>
        <v>14.95670990906946</v>
      </c>
      <c r="DL1240" s="279">
        <f t="shared" si="2487"/>
        <v>10.918476448112893</v>
      </c>
      <c r="DM1240" s="279">
        <f t="shared" si="2487"/>
        <v>19.287035582032409</v>
      </c>
      <c r="DN1240" s="280">
        <f t="shared" si="2487"/>
        <v>5.8944879698547039</v>
      </c>
      <c r="DO1240" s="279">
        <f t="shared" si="2487"/>
        <v>4.5689722600492333</v>
      </c>
      <c r="DP1240" s="279">
        <f t="shared" si="2487"/>
        <v>1.9976494589589138</v>
      </c>
      <c r="DQ1240" s="279">
        <f t="shared" si="2487"/>
        <v>19.857829355710404</v>
      </c>
      <c r="DR1240" s="279">
        <f t="shared" si="2487"/>
        <v>3.0254844532894221</v>
      </c>
      <c r="DS1240" s="279">
        <f t="shared" si="2487"/>
        <v>0</v>
      </c>
      <c r="DT1240" s="279">
        <f t="shared" si="2487"/>
        <v>0</v>
      </c>
      <c r="DU1240" s="279">
        <f t="shared" si="2487"/>
        <v>15.873335991999999</v>
      </c>
      <c r="DV1240" s="279">
        <f t="shared" si="2487"/>
        <v>0</v>
      </c>
      <c r="DW1240" s="279">
        <f t="shared" si="2487"/>
        <v>0</v>
      </c>
      <c r="DX1240" s="279">
        <f t="shared" si="2487"/>
        <v>12.168713068197375</v>
      </c>
      <c r="DY1240" s="279">
        <f t="shared" si="2487"/>
        <v>0</v>
      </c>
      <c r="DZ1240" s="280">
        <f t="shared" si="2487"/>
        <v>0</v>
      </c>
      <c r="EA1240" s="279">
        <f t="shared" si="2487"/>
        <v>12.04303298669176</v>
      </c>
      <c r="EB1240" s="279">
        <f t="shared" si="2487"/>
        <v>11.58141738339774</v>
      </c>
      <c r="EC1240" s="279">
        <f t="shared" ref="EC1240:EX1240" si="2488">EC582</f>
        <v>18.953049629910502</v>
      </c>
      <c r="ED1240" s="279">
        <f t="shared" si="2488"/>
        <v>9.2129121794719193</v>
      </c>
      <c r="EE1240" s="279">
        <f t="shared" si="2488"/>
        <v>18.666473033356318</v>
      </c>
      <c r="EF1240" s="279">
        <f t="shared" si="2488"/>
        <v>14.698114787171765</v>
      </c>
      <c r="EG1240" s="279">
        <f t="shared" si="2488"/>
        <v>7.7343715577035592</v>
      </c>
      <c r="EH1240" s="279">
        <f t="shared" si="2488"/>
        <v>12.544701009695537</v>
      </c>
      <c r="EI1240" s="279">
        <f t="shared" si="2488"/>
        <v>21.498427432600909</v>
      </c>
      <c r="EJ1240" s="279">
        <f t="shared" si="2488"/>
        <v>3.5217398195229666</v>
      </c>
      <c r="EK1240" s="279">
        <f t="shared" si="2488"/>
        <v>8.0850167052850175</v>
      </c>
      <c r="EL1240" s="280">
        <f t="shared" si="2488"/>
        <v>30.170743475192022</v>
      </c>
      <c r="EM1240" s="279">
        <f t="shared" si="2488"/>
        <v>15.676377072254855</v>
      </c>
      <c r="EN1240" s="279">
        <f t="shared" si="2488"/>
        <v>16.280776577680143</v>
      </c>
      <c r="EO1240" s="279">
        <f t="shared" si="2488"/>
        <v>31.957153649935002</v>
      </c>
      <c r="EP1240" s="279">
        <f t="shared" si="2488"/>
        <v>25.689925104930648</v>
      </c>
      <c r="EQ1240" s="279">
        <f t="shared" si="2488"/>
        <v>6.238642488411001</v>
      </c>
      <c r="ER1240" s="279">
        <f t="shared" si="2488"/>
        <v>31.957153649935002</v>
      </c>
      <c r="ES1240" s="279">
        <f t="shared" si="2488"/>
        <v>11.77235596909156</v>
      </c>
      <c r="ET1240" s="279">
        <f t="shared" si="2488"/>
        <v>14.546519893461165</v>
      </c>
      <c r="EU1240" s="279">
        <f t="shared" si="2488"/>
        <v>26.318875862817901</v>
      </c>
      <c r="EV1240" s="279">
        <f t="shared" si="2488"/>
        <v>17.045294526785639</v>
      </c>
      <c r="EW1240" s="279">
        <f t="shared" si="2488"/>
        <v>9.2735813359162655</v>
      </c>
      <c r="EX1240" s="280">
        <f t="shared" si="2488"/>
        <v>26.318875862950499</v>
      </c>
      <c r="EY1240" s="650">
        <f t="shared" ref="EY1240:GD1240" si="2489">+EY817+EY820+EY824</f>
        <v>13.355919074614171</v>
      </c>
      <c r="EZ1240" s="650">
        <f t="shared" si="2489"/>
        <v>19.120340874614172</v>
      </c>
      <c r="FA1240" s="650">
        <f t="shared" si="2489"/>
        <v>32.476259949591501</v>
      </c>
      <c r="FB1240" s="650">
        <f t="shared" si="2489"/>
        <v>17.141012261463228</v>
      </c>
      <c r="FC1240" s="650">
        <f t="shared" si="2489"/>
        <v>19.380457481936588</v>
      </c>
      <c r="FD1240" s="650">
        <f t="shared" si="2489"/>
        <v>28.4262599495915</v>
      </c>
      <c r="FE1240" s="650">
        <f t="shared" si="2489"/>
        <v>18.57477772208745</v>
      </c>
      <c r="FF1240" s="650">
        <f t="shared" si="2489"/>
        <v>22.887552055495807</v>
      </c>
      <c r="FG1240" s="650">
        <f t="shared" si="2489"/>
        <v>23.485399915408056</v>
      </c>
      <c r="FH1240" s="650">
        <f t="shared" si="2489"/>
        <v>17.094977885269913</v>
      </c>
      <c r="FI1240" s="650">
        <f t="shared" si="2489"/>
        <v>25.711020665681996</v>
      </c>
      <c r="FJ1240" s="650">
        <f t="shared" si="2489"/>
        <v>22.173864846495658</v>
      </c>
      <c r="FK1240" s="650">
        <f t="shared" si="2489"/>
        <v>18.016468952481294</v>
      </c>
      <c r="FL1240" s="650">
        <f t="shared" si="2489"/>
        <v>22.038160849417618</v>
      </c>
      <c r="FM1240" s="650">
        <f t="shared" si="2489"/>
        <v>29.332774612660895</v>
      </c>
      <c r="FN1240" s="650">
        <f t="shared" si="2489"/>
        <v>20.310040481209192</v>
      </c>
      <c r="FO1240" s="650">
        <f t="shared" si="2489"/>
        <v>24.596989962932081</v>
      </c>
      <c r="FP1240" s="650">
        <f t="shared" si="2489"/>
        <v>24.480373970418551</v>
      </c>
      <c r="FQ1240" s="650">
        <f t="shared" si="2489"/>
        <v>26.0973223375467</v>
      </c>
      <c r="FR1240" s="650">
        <f t="shared" si="2489"/>
        <v>26.0973223375467</v>
      </c>
      <c r="FS1240" s="650">
        <f t="shared" si="2489"/>
        <v>27.482987069546699</v>
      </c>
      <c r="FT1240" s="650">
        <f t="shared" si="2489"/>
        <v>24.877549419213427</v>
      </c>
      <c r="FU1240" s="650">
        <f t="shared" si="2489"/>
        <v>26.540783368213397</v>
      </c>
      <c r="FV1240" s="650">
        <f t="shared" si="2489"/>
        <v>24.877549419213427</v>
      </c>
      <c r="FW1240" s="650">
        <f t="shared" si="2489"/>
        <v>25.52443471719846</v>
      </c>
      <c r="FX1240" s="650">
        <f t="shared" si="2489"/>
        <v>25.52443471719846</v>
      </c>
      <c r="FY1240" s="650">
        <f t="shared" si="2489"/>
        <v>25.52443471719846</v>
      </c>
      <c r="FZ1240" s="650">
        <f t="shared" si="2489"/>
        <v>34.523905375563082</v>
      </c>
      <c r="GA1240" s="650">
        <f t="shared" si="2489"/>
        <v>34.523905375563082</v>
      </c>
      <c r="GB1240" s="650">
        <f t="shared" si="2489"/>
        <v>34.523905375563082</v>
      </c>
      <c r="GC1240" s="650">
        <f t="shared" si="2489"/>
        <v>32.818074208225894</v>
      </c>
      <c r="GD1240" s="650">
        <f t="shared" si="2489"/>
        <v>32.818074208225894</v>
      </c>
      <c r="GE1240" s="650">
        <f t="shared" ref="GE1240:HL1240" si="2490">+GE817+GE820+GE824</f>
        <v>32.818074208225894</v>
      </c>
      <c r="GF1240" s="650">
        <f t="shared" si="2490"/>
        <v>32.818074208225894</v>
      </c>
      <c r="GG1240" s="650">
        <f t="shared" si="2490"/>
        <v>32.818074208225894</v>
      </c>
      <c r="GH1240" s="650">
        <f t="shared" si="2490"/>
        <v>32.818074208225894</v>
      </c>
      <c r="GI1240" s="650">
        <f t="shared" si="2490"/>
        <v>31.0326441574929</v>
      </c>
      <c r="GJ1240" s="650">
        <f t="shared" si="2490"/>
        <v>31.0326441574929</v>
      </c>
      <c r="GK1240" s="650">
        <f t="shared" si="2490"/>
        <v>31.0326441574929</v>
      </c>
      <c r="GL1240" s="650">
        <f t="shared" si="2490"/>
        <v>31.0326441574929</v>
      </c>
      <c r="GM1240" s="650">
        <f t="shared" si="2490"/>
        <v>31.0326441574929</v>
      </c>
      <c r="GN1240" s="650">
        <f t="shared" si="2490"/>
        <v>31.0326441574929</v>
      </c>
      <c r="GO1240" s="650">
        <f t="shared" si="2490"/>
        <v>35.848173299673974</v>
      </c>
      <c r="GP1240" s="650">
        <f t="shared" si="2490"/>
        <v>35.848173299673974</v>
      </c>
      <c r="GQ1240" s="650">
        <f t="shared" si="2490"/>
        <v>35.848173299673974</v>
      </c>
      <c r="GR1240" s="650">
        <f t="shared" si="2490"/>
        <v>35.848173299673974</v>
      </c>
      <c r="GS1240" s="650">
        <f t="shared" si="2490"/>
        <v>35.848173299673974</v>
      </c>
      <c r="GT1240" s="650">
        <f t="shared" si="2490"/>
        <v>35.848173299673974</v>
      </c>
      <c r="GU1240" s="650">
        <f t="shared" si="2490"/>
        <v>0</v>
      </c>
      <c r="GV1240" s="650">
        <f t="shared" si="2490"/>
        <v>0</v>
      </c>
      <c r="GW1240" s="650">
        <f t="shared" si="2490"/>
        <v>117.44146535267444</v>
      </c>
      <c r="GX1240" s="650">
        <f t="shared" si="2490"/>
        <v>0</v>
      </c>
      <c r="GY1240" s="650">
        <f t="shared" si="2490"/>
        <v>0</v>
      </c>
      <c r="GZ1240" s="650">
        <f t="shared" si="2490"/>
        <v>117.44146535267444</v>
      </c>
      <c r="HA1240" s="650">
        <f t="shared" si="2490"/>
        <v>0</v>
      </c>
      <c r="HB1240" s="650">
        <f t="shared" si="2490"/>
        <v>0</v>
      </c>
      <c r="HC1240" s="650">
        <f t="shared" si="2490"/>
        <v>134.59885922009536</v>
      </c>
      <c r="HD1240" s="650">
        <f t="shared" si="2490"/>
        <v>0</v>
      </c>
      <c r="HE1240" s="650">
        <f t="shared" si="2490"/>
        <v>0</v>
      </c>
      <c r="HF1240" s="650">
        <f t="shared" si="2490"/>
        <v>134.59885922009536</v>
      </c>
      <c r="HG1240" s="650">
        <f t="shared" si="2490"/>
        <v>0</v>
      </c>
      <c r="HH1240" s="650">
        <f t="shared" si="2490"/>
        <v>0</v>
      </c>
      <c r="HI1240" s="650">
        <f t="shared" si="2490"/>
        <v>121.5161496827613</v>
      </c>
      <c r="HJ1240" s="650">
        <f t="shared" si="2490"/>
        <v>0</v>
      </c>
      <c r="HK1240" s="650">
        <f t="shared" si="2490"/>
        <v>0</v>
      </c>
      <c r="HL1240" s="650">
        <f t="shared" si="2490"/>
        <v>121.5161496827613</v>
      </c>
      <c r="HM1240" s="650">
        <f t="shared" ref="HM1240:HR1240" si="2491">+HM817+HM820+HM824</f>
        <v>0</v>
      </c>
      <c r="HN1240" s="650">
        <f t="shared" si="2491"/>
        <v>0</v>
      </c>
      <c r="HO1240" s="650">
        <f t="shared" si="2491"/>
        <v>103.08538457683022</v>
      </c>
      <c r="HP1240" s="650">
        <f t="shared" si="2491"/>
        <v>0</v>
      </c>
      <c r="HQ1240" s="650">
        <f t="shared" si="2491"/>
        <v>0</v>
      </c>
      <c r="HR1240" s="650">
        <f t="shared" si="2491"/>
        <v>104.14296221134643</v>
      </c>
      <c r="HS1240" s="650"/>
      <c r="HT1240" s="650"/>
      <c r="HU1240" s="650"/>
      <c r="HV1240" s="650"/>
      <c r="HW1240" s="650"/>
      <c r="HX1240" s="650"/>
    </row>
    <row r="1241" spans="4:232" ht="17.25" customHeight="1">
      <c r="D1241" s="1110" t="s">
        <v>3270</v>
      </c>
      <c r="E1241" s="279">
        <f t="shared" ref="E1241:AJ1241" si="2492">E588</f>
        <v>31.113846187904123</v>
      </c>
      <c r="F1241" s="279">
        <f t="shared" si="2492"/>
        <v>33.929240033719999</v>
      </c>
      <c r="G1241" s="279">
        <f t="shared" si="2492"/>
        <v>51.190462517032501</v>
      </c>
      <c r="H1241" s="279">
        <f t="shared" si="2492"/>
        <v>40.268011869128273</v>
      </c>
      <c r="I1241" s="279">
        <f t="shared" si="2492"/>
        <v>24.212936727898001</v>
      </c>
      <c r="J1241" s="279">
        <f t="shared" si="2492"/>
        <v>45.179957022725901</v>
      </c>
      <c r="K1241" s="279">
        <f t="shared" si="2492"/>
        <v>55.8103188453263</v>
      </c>
      <c r="L1241" s="279">
        <f t="shared" si="2492"/>
        <v>32.404558326849603</v>
      </c>
      <c r="M1241" s="279">
        <f t="shared" si="2492"/>
        <v>56.868435660884003</v>
      </c>
      <c r="N1241" s="279">
        <f t="shared" si="2492"/>
        <v>40.114778642740006</v>
      </c>
      <c r="O1241" s="279">
        <f t="shared" si="2492"/>
        <v>31.185432896099996</v>
      </c>
      <c r="P1241" s="279">
        <f t="shared" si="2492"/>
        <v>48.464992930080001</v>
      </c>
      <c r="Q1241" s="279">
        <f t="shared" si="2492"/>
        <v>37.599948009391603</v>
      </c>
      <c r="R1241" s="279">
        <f t="shared" si="2492"/>
        <v>34.876504099342704</v>
      </c>
      <c r="S1241" s="279">
        <f t="shared" si="2492"/>
        <v>54.602413516725001</v>
      </c>
      <c r="T1241" s="279">
        <f t="shared" si="2492"/>
        <v>61.171064788264005</v>
      </c>
      <c r="U1241" s="279">
        <f t="shared" si="2492"/>
        <v>33.091063065655497</v>
      </c>
      <c r="V1241" s="279">
        <f t="shared" si="2492"/>
        <v>49.348105392392</v>
      </c>
      <c r="W1241" s="279">
        <f t="shared" si="2492"/>
        <v>60.218298840349995</v>
      </c>
      <c r="X1241" s="279">
        <f t="shared" si="2492"/>
        <v>44.479926035408006</v>
      </c>
      <c r="Y1241" s="279">
        <f t="shared" si="2492"/>
        <v>71.80984676760481</v>
      </c>
      <c r="Z1241" s="279">
        <f t="shared" si="2492"/>
        <v>88.118180455573395</v>
      </c>
      <c r="AA1241" s="279">
        <f t="shared" si="2492"/>
        <v>30.6191103237894</v>
      </c>
      <c r="AB1241" s="279">
        <f t="shared" si="2492"/>
        <v>83.810174073706989</v>
      </c>
      <c r="AC1241" s="279">
        <f t="shared" si="2492"/>
        <v>49.265808352000001</v>
      </c>
      <c r="AD1241" s="279">
        <f t="shared" si="2492"/>
        <v>36.787428904000002</v>
      </c>
      <c r="AE1241" s="279">
        <f t="shared" si="2492"/>
        <v>100.839280293</v>
      </c>
      <c r="AF1241" s="279">
        <f t="shared" si="2492"/>
        <v>61.970627678999996</v>
      </c>
      <c r="AG1241" s="279">
        <f t="shared" si="2492"/>
        <v>42.037399139999998</v>
      </c>
      <c r="AH1241" s="279">
        <f t="shared" si="2492"/>
        <v>58.600805208000011</v>
      </c>
      <c r="AI1241" s="279">
        <f t="shared" si="2492"/>
        <v>46.727141095</v>
      </c>
      <c r="AJ1241" s="279">
        <f t="shared" si="2492"/>
        <v>45.196983449999998</v>
      </c>
      <c r="AK1241" s="279">
        <f t="shared" ref="AK1241:BP1241" si="2493">AK588</f>
        <v>100.94934549200002</v>
      </c>
      <c r="AL1241" s="279">
        <f t="shared" si="2493"/>
        <v>73.751512684999994</v>
      </c>
      <c r="AM1241" s="279">
        <f t="shared" si="2493"/>
        <v>52.546027526000003</v>
      </c>
      <c r="AN1241" s="279">
        <f t="shared" si="2493"/>
        <v>85.616203753999997</v>
      </c>
      <c r="AO1241" s="279">
        <f t="shared" si="2493"/>
        <v>66.299067429259992</v>
      </c>
      <c r="AP1241" s="279">
        <f t="shared" si="2493"/>
        <v>40.593019098060005</v>
      </c>
      <c r="AQ1241" s="279">
        <f t="shared" si="2493"/>
        <v>84.816624014327218</v>
      </c>
      <c r="AR1241" s="279">
        <f t="shared" si="2493"/>
        <v>67.161112869120004</v>
      </c>
      <c r="AS1241" s="279">
        <f t="shared" si="2493"/>
        <v>65.593571150347984</v>
      </c>
      <c r="AT1241" s="279">
        <f t="shared" si="2493"/>
        <v>76.930057421065598</v>
      </c>
      <c r="AU1241" s="279">
        <f t="shared" si="2493"/>
        <v>52.346549717240002</v>
      </c>
      <c r="AV1241" s="279">
        <f t="shared" si="2493"/>
        <v>75.539561062880011</v>
      </c>
      <c r="AW1241" s="279">
        <f t="shared" si="2493"/>
        <v>99.261310907549984</v>
      </c>
      <c r="AX1241" s="279">
        <f t="shared" si="2493"/>
        <v>76.398074650079991</v>
      </c>
      <c r="AY1241" s="279">
        <f t="shared" si="2493"/>
        <v>56.413795972900793</v>
      </c>
      <c r="AZ1241" s="279">
        <f t="shared" si="2493"/>
        <v>118.0142915183675</v>
      </c>
      <c r="BA1241" s="279">
        <f t="shared" si="2493"/>
        <v>64.438460127999988</v>
      </c>
      <c r="BB1241" s="279">
        <f t="shared" si="2493"/>
        <v>45.758440004000001</v>
      </c>
      <c r="BC1241" s="279">
        <f t="shared" si="2493"/>
        <v>132.03570007300002</v>
      </c>
      <c r="BD1241" s="279">
        <f t="shared" si="2493"/>
        <v>86.553274928000008</v>
      </c>
      <c r="BE1241" s="279">
        <f t="shared" si="2493"/>
        <v>94.541698818</v>
      </c>
      <c r="BF1241" s="279">
        <f t="shared" si="2493"/>
        <v>83.437803747000004</v>
      </c>
      <c r="BG1241" s="279">
        <f t="shared" si="2493"/>
        <v>50.160957434999993</v>
      </c>
      <c r="BH1241" s="279">
        <f t="shared" si="2493"/>
        <v>85.418576400999996</v>
      </c>
      <c r="BI1241" s="279">
        <f t="shared" si="2493"/>
        <v>80.972930940999987</v>
      </c>
      <c r="BJ1241" s="279">
        <f t="shared" si="2493"/>
        <v>92.236027882819997</v>
      </c>
      <c r="BK1241" s="279">
        <f t="shared" si="2493"/>
        <v>67.167033942000018</v>
      </c>
      <c r="BL1241" s="279">
        <f t="shared" si="2493"/>
        <v>120.089135438</v>
      </c>
      <c r="BM1241" s="279">
        <f t="shared" si="2493"/>
        <v>85.731333924890009</v>
      </c>
      <c r="BN1241" s="279">
        <f t="shared" si="2493"/>
        <v>59.496136133479993</v>
      </c>
      <c r="BO1241" s="279">
        <f t="shared" si="2493"/>
        <v>131.36413443499998</v>
      </c>
      <c r="BP1241" s="279">
        <f t="shared" si="2493"/>
        <v>111.25802000000002</v>
      </c>
      <c r="BQ1241" s="279">
        <f t="shared" ref="BQ1241:CV1241" si="2494">BQ588</f>
        <v>111.82221942385</v>
      </c>
      <c r="BR1241" s="279">
        <f t="shared" si="2494"/>
        <v>114.05307858658</v>
      </c>
      <c r="BS1241" s="279">
        <f t="shared" si="2494"/>
        <v>73.728099999999984</v>
      </c>
      <c r="BT1241" s="279">
        <f t="shared" si="2494"/>
        <v>68.467799999999997</v>
      </c>
      <c r="BU1241" s="279">
        <f t="shared" si="2494"/>
        <v>136.54740000000001</v>
      </c>
      <c r="BV1241" s="279">
        <f t="shared" si="2494"/>
        <v>121.91829581300001</v>
      </c>
      <c r="BW1241" s="279">
        <f t="shared" si="2494"/>
        <v>72.599040844000001</v>
      </c>
      <c r="BX1241" s="279">
        <f t="shared" si="2494"/>
        <v>41.273675468</v>
      </c>
      <c r="BY1241" s="279">
        <f t="shared" si="2494"/>
        <v>80.05536907403436</v>
      </c>
      <c r="BZ1241" s="279">
        <f t="shared" si="2494"/>
        <v>80.258989039645556</v>
      </c>
      <c r="CA1241" s="279">
        <f t="shared" si="2494"/>
        <v>59.303305091246877</v>
      </c>
      <c r="CB1241" s="279">
        <f t="shared" si="2494"/>
        <v>127.34907455078395</v>
      </c>
      <c r="CC1241" s="279">
        <f t="shared" si="2494"/>
        <v>202.61559797621354</v>
      </c>
      <c r="CD1241" s="279">
        <f t="shared" si="2494"/>
        <v>62.595220320441499</v>
      </c>
      <c r="CE1241" s="279">
        <f t="shared" si="2494"/>
        <v>75.398048042979383</v>
      </c>
      <c r="CF1241" s="279">
        <f t="shared" si="2494"/>
        <v>116.41391544855834</v>
      </c>
      <c r="CG1241" s="279">
        <f t="shared" si="2494"/>
        <v>108.061891988951</v>
      </c>
      <c r="CH1241" s="279">
        <f t="shared" si="2494"/>
        <v>184.53382344332474</v>
      </c>
      <c r="CI1241" s="279">
        <f t="shared" si="2494"/>
        <v>114.23956239609714</v>
      </c>
      <c r="CJ1241" s="279">
        <f t="shared" si="2494"/>
        <v>88.621054460907445</v>
      </c>
      <c r="CK1241" s="279">
        <f t="shared" si="2494"/>
        <v>156.07666278087683</v>
      </c>
      <c r="CL1241" s="279">
        <f t="shared" si="2494"/>
        <v>98.019819600030885</v>
      </c>
      <c r="CM1241" s="279">
        <f t="shared" si="2494"/>
        <v>114.94251640501365</v>
      </c>
      <c r="CN1241" s="279">
        <f t="shared" si="2494"/>
        <v>195.03469061557522</v>
      </c>
      <c r="CO1241" s="279">
        <f t="shared" si="2494"/>
        <v>164.44063315294568</v>
      </c>
      <c r="CP1241" s="279">
        <f t="shared" si="2494"/>
        <v>125.67780354697906</v>
      </c>
      <c r="CQ1241" s="279">
        <f t="shared" si="2494"/>
        <v>129.35975012920775</v>
      </c>
      <c r="CR1241" s="279">
        <f t="shared" si="2494"/>
        <v>122.08768675311194</v>
      </c>
      <c r="CS1241" s="279">
        <f t="shared" si="2494"/>
        <v>153.64729846200487</v>
      </c>
      <c r="CT1241" s="279">
        <f t="shared" si="2494"/>
        <v>138.7763964415644</v>
      </c>
      <c r="CU1241" s="279">
        <f t="shared" si="2494"/>
        <v>122.09486237889624</v>
      </c>
      <c r="CV1241" s="279">
        <f t="shared" si="2494"/>
        <v>122.83016278247229</v>
      </c>
      <c r="CW1241" s="279">
        <f t="shared" ref="CW1241:EB1241" si="2495">CW588</f>
        <v>143.17180662702862</v>
      </c>
      <c r="CX1241" s="279">
        <f t="shared" si="2495"/>
        <v>115.5815087056594</v>
      </c>
      <c r="CY1241" s="279">
        <f t="shared" si="2495"/>
        <v>165.38609906588039</v>
      </c>
      <c r="CZ1241" s="279">
        <f t="shared" si="2495"/>
        <v>196.19077385458357</v>
      </c>
      <c r="DA1241" s="279">
        <f t="shared" si="2495"/>
        <v>158.79279628529045</v>
      </c>
      <c r="DB1241" s="675">
        <f t="shared" si="2495"/>
        <v>106.20265475848933</v>
      </c>
      <c r="DC1241" s="279">
        <f t="shared" si="2495"/>
        <v>125.96836946233627</v>
      </c>
      <c r="DD1241" s="279">
        <f t="shared" si="2495"/>
        <v>131.66420278981306</v>
      </c>
      <c r="DE1241" s="279">
        <f t="shared" si="2495"/>
        <v>140.17989622084536</v>
      </c>
      <c r="DF1241" s="279">
        <f t="shared" si="2495"/>
        <v>188.62283454332567</v>
      </c>
      <c r="DG1241" s="279">
        <f t="shared" si="2495"/>
        <v>113.83011072677702</v>
      </c>
      <c r="DH1241" s="279">
        <f t="shared" si="2495"/>
        <v>137.16723786298544</v>
      </c>
      <c r="DI1241" s="279">
        <f t="shared" si="2495"/>
        <v>200.68346245371302</v>
      </c>
      <c r="DJ1241" s="279">
        <f t="shared" si="2495"/>
        <v>120.3590521841204</v>
      </c>
      <c r="DK1241" s="279">
        <f t="shared" si="2495"/>
        <v>137.8281493125568</v>
      </c>
      <c r="DL1241" s="279">
        <f t="shared" si="2495"/>
        <v>189.5367868554427</v>
      </c>
      <c r="DM1241" s="279">
        <f t="shared" si="2495"/>
        <v>156.45357130101183</v>
      </c>
      <c r="DN1241" s="280">
        <f t="shared" si="2495"/>
        <v>101.78704168320186</v>
      </c>
      <c r="DO1241" s="279">
        <f t="shared" si="2495"/>
        <v>131.46487819369986</v>
      </c>
      <c r="DP1241" s="279">
        <f t="shared" si="2495"/>
        <v>158.15634457587427</v>
      </c>
      <c r="DQ1241" s="279">
        <f t="shared" si="2495"/>
        <v>132.709202966487</v>
      </c>
      <c r="DR1241" s="279">
        <f t="shared" si="2495"/>
        <v>183.79972800606998</v>
      </c>
      <c r="DS1241" s="279">
        <f t="shared" si="2495"/>
        <v>136.22093061931383</v>
      </c>
      <c r="DT1241" s="279">
        <f t="shared" si="2495"/>
        <v>117.4384778483159</v>
      </c>
      <c r="DU1241" s="279">
        <f t="shared" si="2495"/>
        <v>216.95460047101957</v>
      </c>
      <c r="DV1241" s="279">
        <f t="shared" si="2495"/>
        <v>121.4618064237073</v>
      </c>
      <c r="DW1241" s="279">
        <f t="shared" si="2495"/>
        <v>116.25564582039055</v>
      </c>
      <c r="DX1241" s="279">
        <f t="shared" si="2495"/>
        <v>230.83955515590986</v>
      </c>
      <c r="DY1241" s="279">
        <f t="shared" si="2495"/>
        <v>171.53838969519907</v>
      </c>
      <c r="DZ1241" s="280">
        <f t="shared" si="2495"/>
        <v>151.24317908213447</v>
      </c>
      <c r="EA1241" s="279">
        <f t="shared" si="2495"/>
        <v>168.05316746412961</v>
      </c>
      <c r="EB1241" s="279">
        <f t="shared" si="2495"/>
        <v>190.28026169930234</v>
      </c>
      <c r="EC1241" s="279">
        <f t="shared" ref="EC1241:EX1241" si="2496">EC588</f>
        <v>200.74987264138497</v>
      </c>
      <c r="ED1241" s="279">
        <f t="shared" si="2496"/>
        <v>201.97593683856834</v>
      </c>
      <c r="EE1241" s="279">
        <f t="shared" si="2496"/>
        <v>170.27168308078461</v>
      </c>
      <c r="EF1241" s="279">
        <f t="shared" si="2496"/>
        <v>161.04237998171689</v>
      </c>
      <c r="EG1241" s="279">
        <f t="shared" si="2496"/>
        <v>211.65316868545517</v>
      </c>
      <c r="EH1241" s="279">
        <f t="shared" si="2496"/>
        <v>144.19403532654613</v>
      </c>
      <c r="EI1241" s="279">
        <f t="shared" si="2496"/>
        <v>200.39890556280127</v>
      </c>
      <c r="EJ1241" s="279">
        <f t="shared" si="2496"/>
        <v>180.82204485402741</v>
      </c>
      <c r="EK1241" s="279">
        <f t="shared" si="2496"/>
        <v>191.50924666579277</v>
      </c>
      <c r="EL1241" s="280">
        <f t="shared" si="2496"/>
        <v>141.02253382497364</v>
      </c>
      <c r="EM1241" s="279">
        <f t="shared" si="2496"/>
        <v>167.75508204563778</v>
      </c>
      <c r="EN1241" s="279">
        <f t="shared" si="2496"/>
        <v>185.82456451754086</v>
      </c>
      <c r="EO1241" s="279">
        <f t="shared" si="2496"/>
        <v>203.14002864147531</v>
      </c>
      <c r="EP1241" s="279">
        <f t="shared" si="2496"/>
        <v>234.80290297242672</v>
      </c>
      <c r="EQ1241" s="279">
        <f t="shared" si="2496"/>
        <v>201.54039909714893</v>
      </c>
      <c r="ER1241" s="279">
        <f t="shared" si="2496"/>
        <v>231.29813989039039</v>
      </c>
      <c r="ES1241" s="279">
        <f t="shared" si="2496"/>
        <v>201.85594968623349</v>
      </c>
      <c r="ET1241" s="279">
        <f t="shared" si="2496"/>
        <v>182.42216238521141</v>
      </c>
      <c r="EU1241" s="279">
        <f t="shared" si="2496"/>
        <v>256.93009212244777</v>
      </c>
      <c r="EV1241" s="279">
        <f t="shared" si="2496"/>
        <v>282.5670358596937</v>
      </c>
      <c r="EW1241" s="279">
        <f t="shared" si="2496"/>
        <v>246.7077685166656</v>
      </c>
      <c r="EX1241" s="280">
        <f t="shared" si="2496"/>
        <v>216.79376871111833</v>
      </c>
      <c r="EY1241" s="1545">
        <f>+EY1242+EY1249+EY1252</f>
        <v>209.25548368431109</v>
      </c>
      <c r="EZ1241" s="1545">
        <f t="shared" ref="EZ1241:FJ1241" si="2497">+EZ1242+EZ1249+EZ1252</f>
        <v>238.79553792222859</v>
      </c>
      <c r="FA1241" s="1545">
        <f t="shared" si="2497"/>
        <v>241.18818408051561</v>
      </c>
      <c r="FB1241" s="1545">
        <f t="shared" si="2497"/>
        <v>312.83020261030657</v>
      </c>
      <c r="FC1241" s="1545">
        <f t="shared" si="2497"/>
        <v>254.70770774415399</v>
      </c>
      <c r="FD1241" s="1545">
        <f t="shared" si="2497"/>
        <v>250.59261100031927</v>
      </c>
      <c r="FE1241" s="1545">
        <f t="shared" si="2497"/>
        <v>230.87779367421945</v>
      </c>
      <c r="FF1241" s="1545">
        <f t="shared" si="2497"/>
        <v>253.87378064570348</v>
      </c>
      <c r="FG1241" s="1545">
        <f t="shared" si="2497"/>
        <v>245.22604881429191</v>
      </c>
      <c r="FH1241" s="1545">
        <f t="shared" si="2497"/>
        <v>232.12207433915793</v>
      </c>
      <c r="FI1241" s="1545">
        <f t="shared" si="2497"/>
        <v>370.10029672032954</v>
      </c>
      <c r="FJ1241" s="1545">
        <f t="shared" si="2497"/>
        <v>198.3073173908881</v>
      </c>
      <c r="FK1241" s="1545">
        <f>+FK1242+FK1249+FK1252</f>
        <v>397.23272991373472</v>
      </c>
      <c r="FL1241" s="1545">
        <f>+FL1242+FL1249+FL1252</f>
        <v>248.74118937262415</v>
      </c>
      <c r="FM1241" s="1545">
        <f>+FM1242+FM1249+FM1252</f>
        <v>292.60000051397378</v>
      </c>
      <c r="FN1241" s="1545">
        <f>+FN1242+FN1249+FN1252</f>
        <v>214.02070084370251</v>
      </c>
      <c r="FO1241" s="1545">
        <f>+FO1242+FO1249+FO1252</f>
        <v>283.42838489392614</v>
      </c>
      <c r="FP1241" s="1545">
        <f t="shared" ref="FP1241:GC1241" si="2498">+FP1242+FP1249+FP1252</f>
        <v>297.36668471871013</v>
      </c>
      <c r="FQ1241" s="1545">
        <f t="shared" si="2498"/>
        <v>244.04535056068906</v>
      </c>
      <c r="FR1241" s="1545">
        <f t="shared" si="2498"/>
        <v>252.4790197293616</v>
      </c>
      <c r="FS1241" s="1545">
        <f t="shared" si="2498"/>
        <v>288.27962118586811</v>
      </c>
      <c r="FT1241" s="1545">
        <f t="shared" si="2498"/>
        <v>265.27295621908445</v>
      </c>
      <c r="FU1241" s="1545">
        <f t="shared" si="2498"/>
        <v>396.84272248149836</v>
      </c>
      <c r="FV1241" s="1545">
        <f t="shared" si="2498"/>
        <v>226.31678849544107</v>
      </c>
      <c r="FW1241" s="1545">
        <f t="shared" si="2498"/>
        <v>233.13542681128521</v>
      </c>
      <c r="FX1241" s="1545">
        <f t="shared" si="2498"/>
        <v>255.73201777823928</v>
      </c>
      <c r="FY1241" s="1545">
        <f t="shared" si="2498"/>
        <v>432.03423815666088</v>
      </c>
      <c r="FZ1241" s="1545">
        <f t="shared" si="2498"/>
        <v>363.93130268293089</v>
      </c>
      <c r="GA1241" s="1545">
        <f t="shared" si="2498"/>
        <v>289.72810160671111</v>
      </c>
      <c r="GB1241" s="1545">
        <f t="shared" si="2498"/>
        <v>375.94882166225585</v>
      </c>
      <c r="GC1241" s="1545">
        <f t="shared" si="2498"/>
        <v>340.90402893742993</v>
      </c>
      <c r="GD1241" s="1545">
        <f t="shared" ref="GD1241:HL1241" si="2499">+GD1242+GD1249+GD1252</f>
        <v>374.62818023953241</v>
      </c>
      <c r="GE1241" s="1545">
        <f t="shared" si="2499"/>
        <v>359.3095161858829</v>
      </c>
      <c r="GF1241" s="1545">
        <f t="shared" si="2499"/>
        <v>378.68823188948232</v>
      </c>
      <c r="GG1241" s="1545">
        <f t="shared" si="2499"/>
        <v>400.55134683252555</v>
      </c>
      <c r="GH1241" s="1545">
        <f t="shared" si="2499"/>
        <v>411.86235260268154</v>
      </c>
      <c r="GI1241" s="1545">
        <f t="shared" si="2499"/>
        <v>347.22771374715586</v>
      </c>
      <c r="GJ1241" s="1545">
        <f t="shared" si="2499"/>
        <v>424.3389480035874</v>
      </c>
      <c r="GK1241" s="1545">
        <f t="shared" si="2499"/>
        <v>462.96105748434195</v>
      </c>
      <c r="GL1241" s="1545">
        <f t="shared" si="2499"/>
        <v>306.77456261505847</v>
      </c>
      <c r="GM1241" s="1545">
        <f t="shared" si="2499"/>
        <v>306.39009962445346</v>
      </c>
      <c r="GN1241" s="1545">
        <f t="shared" si="2499"/>
        <v>267.87119085327851</v>
      </c>
      <c r="GO1241" s="1545">
        <f t="shared" si="2499"/>
        <v>392.90253617347912</v>
      </c>
      <c r="GP1241" s="1545">
        <f t="shared" si="2499"/>
        <v>304.73336471195034</v>
      </c>
      <c r="GQ1241" s="1545">
        <f t="shared" si="2499"/>
        <v>376.33185980428374</v>
      </c>
      <c r="GR1241" s="1545">
        <f t="shared" si="2499"/>
        <v>506.42397702367458</v>
      </c>
      <c r="GS1241" s="1545">
        <f t="shared" si="2499"/>
        <v>518.36497319524938</v>
      </c>
      <c r="GT1241" s="1545">
        <f t="shared" si="2499"/>
        <v>302.23373060331801</v>
      </c>
      <c r="GU1241" s="1545">
        <f t="shared" si="2499"/>
        <v>246.84728095705142</v>
      </c>
      <c r="GV1241" s="1545">
        <f t="shared" si="2499"/>
        <v>360.0972666968072</v>
      </c>
      <c r="GW1241" s="1545">
        <f t="shared" si="2499"/>
        <v>491.04957474290086</v>
      </c>
      <c r="GX1241" s="1545">
        <f t="shared" si="2499"/>
        <v>294.30543426595113</v>
      </c>
      <c r="GY1241" s="1545">
        <f t="shared" si="2499"/>
        <v>358.46732011758741</v>
      </c>
      <c r="GZ1241" s="1545">
        <f t="shared" si="2499"/>
        <v>489.80652300365909</v>
      </c>
      <c r="HA1241" s="1545">
        <f t="shared" si="2499"/>
        <v>400.94851965785159</v>
      </c>
      <c r="HB1241" s="1545">
        <f t="shared" si="2499"/>
        <v>445.93079587700214</v>
      </c>
      <c r="HC1241" s="1545">
        <f t="shared" si="2499"/>
        <v>495.24370619615081</v>
      </c>
      <c r="HD1241" s="1545">
        <f t="shared" si="2499"/>
        <v>364.79517110260872</v>
      </c>
      <c r="HE1241" s="1545">
        <f t="shared" si="2499"/>
        <v>457.63588137778663</v>
      </c>
      <c r="HF1241" s="1545">
        <f t="shared" si="2499"/>
        <v>634.17832964639206</v>
      </c>
      <c r="HG1241" s="1545">
        <f t="shared" si="2499"/>
        <v>451.26855080436479</v>
      </c>
      <c r="HH1241" s="1545">
        <f t="shared" si="2499"/>
        <v>412.32569894261366</v>
      </c>
      <c r="HI1241" s="1545">
        <f t="shared" si="2499"/>
        <v>519.83497138940959</v>
      </c>
      <c r="HJ1241" s="1545">
        <f t="shared" si="2499"/>
        <v>426.75357260129431</v>
      </c>
      <c r="HK1241" s="1545">
        <f t="shared" si="2499"/>
        <v>370.40432759603698</v>
      </c>
      <c r="HL1241" s="1545">
        <f t="shared" si="2499"/>
        <v>573.70156821208309</v>
      </c>
      <c r="HM1241" s="1545">
        <f t="shared" ref="HM1241:HR1241" si="2500">+HM1242+HM1249+HM1252</f>
        <v>400.78336366664081</v>
      </c>
      <c r="HN1241" s="1545">
        <f t="shared" si="2500"/>
        <v>439.43520897137915</v>
      </c>
      <c r="HO1241" s="1545">
        <f t="shared" si="2500"/>
        <v>530.65290794564862</v>
      </c>
      <c r="HP1241" s="1545">
        <f t="shared" si="2500"/>
        <v>322.3350505082646</v>
      </c>
      <c r="HQ1241" s="1545">
        <f t="shared" si="2500"/>
        <v>410.75960994745185</v>
      </c>
      <c r="HR1241" s="1545">
        <f t="shared" si="2500"/>
        <v>494.04093913527186</v>
      </c>
      <c r="HS1241" s="1545"/>
      <c r="HT1241" s="1545"/>
      <c r="HU1241" s="1545"/>
      <c r="HV1241" s="1545"/>
      <c r="HW1241" s="1545"/>
      <c r="HX1241" s="1545"/>
    </row>
    <row r="1242" spans="4:232" ht="17.25" customHeight="1">
      <c r="D1242" s="1106" t="s">
        <v>3213</v>
      </c>
      <c r="E1242" s="279">
        <f t="shared" ref="E1242:AJ1242" si="2501">E590</f>
        <v>23.049126187904125</v>
      </c>
      <c r="F1242" s="279">
        <f t="shared" si="2501"/>
        <v>27.275290033720001</v>
      </c>
      <c r="G1242" s="279">
        <f t="shared" si="2501"/>
        <v>19.999892517032499</v>
      </c>
      <c r="H1242" s="279">
        <f t="shared" si="2501"/>
        <v>31.891371869128271</v>
      </c>
      <c r="I1242" s="279">
        <f t="shared" si="2501"/>
        <v>20.123406727898001</v>
      </c>
      <c r="J1242" s="279">
        <f t="shared" si="2501"/>
        <v>14.928457022725899</v>
      </c>
      <c r="K1242" s="279">
        <f t="shared" si="2501"/>
        <v>41.172398845326299</v>
      </c>
      <c r="L1242" s="279">
        <f t="shared" si="2501"/>
        <v>28.417058326849602</v>
      </c>
      <c r="M1242" s="279">
        <f t="shared" si="2501"/>
        <v>21.096905660884005</v>
      </c>
      <c r="N1242" s="279">
        <f t="shared" si="2501"/>
        <v>31.08143864274</v>
      </c>
      <c r="O1242" s="279">
        <f t="shared" si="2501"/>
        <v>40.3587728961</v>
      </c>
      <c r="P1242" s="279">
        <f t="shared" si="2501"/>
        <v>13.24238293008</v>
      </c>
      <c r="Q1242" s="279">
        <f t="shared" si="2501"/>
        <v>30.5934780093916</v>
      </c>
      <c r="R1242" s="279">
        <f t="shared" si="2501"/>
        <v>26.812794099342703</v>
      </c>
      <c r="S1242" s="279">
        <f t="shared" si="2501"/>
        <v>25.449283516725</v>
      </c>
      <c r="T1242" s="279">
        <f t="shared" si="2501"/>
        <v>42.512664788264004</v>
      </c>
      <c r="U1242" s="279">
        <f t="shared" si="2501"/>
        <v>27.189123065655501</v>
      </c>
      <c r="V1242" s="279">
        <f t="shared" si="2501"/>
        <v>21.386345392392002</v>
      </c>
      <c r="W1242" s="279">
        <f t="shared" si="2501"/>
        <v>47.767398840349998</v>
      </c>
      <c r="X1242" s="279">
        <f t="shared" si="2501"/>
        <v>30.550656035408004</v>
      </c>
      <c r="Y1242" s="279">
        <f t="shared" si="2501"/>
        <v>23.123316767604802</v>
      </c>
      <c r="Z1242" s="279">
        <f t="shared" si="2501"/>
        <v>55.261770455573398</v>
      </c>
      <c r="AA1242" s="279">
        <f t="shared" si="2501"/>
        <v>23.605660323789401</v>
      </c>
      <c r="AB1242" s="279">
        <f t="shared" si="2501"/>
        <v>14.248494073706999</v>
      </c>
      <c r="AC1242" s="279">
        <f t="shared" si="2501"/>
        <v>39.830018351999996</v>
      </c>
      <c r="AD1242" s="279">
        <f t="shared" si="2501"/>
        <v>26.946588904000002</v>
      </c>
      <c r="AE1242" s="279">
        <f t="shared" si="2501"/>
        <v>42.166690292999995</v>
      </c>
      <c r="AF1242" s="279">
        <f t="shared" si="2501"/>
        <v>46.080097678999998</v>
      </c>
      <c r="AG1242" s="279">
        <f t="shared" si="2501"/>
        <v>27.68391914</v>
      </c>
      <c r="AH1242" s="279">
        <f t="shared" si="2501"/>
        <v>24.199724196000002</v>
      </c>
      <c r="AI1242" s="279">
        <f t="shared" si="2501"/>
        <v>38.809691094999998</v>
      </c>
      <c r="AJ1242" s="279">
        <f t="shared" si="2501"/>
        <v>35.037253449999994</v>
      </c>
      <c r="AK1242" s="279">
        <f t="shared" ref="AK1242:BP1242" si="2502">AK590</f>
        <v>33.525973547</v>
      </c>
      <c r="AL1242" s="279">
        <f t="shared" si="2502"/>
        <v>51.814672684999998</v>
      </c>
      <c r="AM1242" s="279">
        <f t="shared" si="2502"/>
        <v>31.345127525999999</v>
      </c>
      <c r="AN1242" s="279">
        <f t="shared" si="2502"/>
        <v>26.933146282999999</v>
      </c>
      <c r="AO1242" s="279">
        <f t="shared" si="2502"/>
        <v>51.332787429259994</v>
      </c>
      <c r="AP1242" s="279">
        <f t="shared" si="2502"/>
        <v>26.07999909806</v>
      </c>
      <c r="AQ1242" s="279">
        <f t="shared" si="2502"/>
        <v>41.740248412327226</v>
      </c>
      <c r="AR1242" s="279">
        <f t="shared" si="2502"/>
        <v>43.27045286912</v>
      </c>
      <c r="AS1242" s="279">
        <f t="shared" si="2502"/>
        <v>48.382281150347993</v>
      </c>
      <c r="AT1242" s="279">
        <f t="shared" si="2502"/>
        <v>31.764888093065601</v>
      </c>
      <c r="AU1242" s="279">
        <f t="shared" si="2502"/>
        <v>34.288099717240001</v>
      </c>
      <c r="AV1242" s="279">
        <f t="shared" si="2502"/>
        <v>50.097461062880001</v>
      </c>
      <c r="AW1242" s="279">
        <f t="shared" si="2502"/>
        <v>40.327094347550002</v>
      </c>
      <c r="AX1242" s="279">
        <f t="shared" si="2502"/>
        <v>52.639374650080001</v>
      </c>
      <c r="AY1242" s="279">
        <f t="shared" si="2502"/>
        <v>43.554295972900796</v>
      </c>
      <c r="AZ1242" s="279">
        <f t="shared" si="2502"/>
        <v>37.488739377367494</v>
      </c>
      <c r="BA1242" s="279">
        <f t="shared" si="2502"/>
        <v>56.695010128</v>
      </c>
      <c r="BB1242" s="279">
        <f t="shared" si="2502"/>
        <v>32.663080004000001</v>
      </c>
      <c r="BC1242" s="279">
        <f t="shared" si="2502"/>
        <v>32.521742717999999</v>
      </c>
      <c r="BD1242" s="279">
        <f t="shared" si="2502"/>
        <v>61.918554928000006</v>
      </c>
      <c r="BE1242" s="279">
        <f t="shared" si="2502"/>
        <v>61.159198818</v>
      </c>
      <c r="BF1242" s="279">
        <f t="shared" si="2502"/>
        <v>25.041280118</v>
      </c>
      <c r="BG1242" s="279">
        <f t="shared" si="2502"/>
        <v>41.716657434999995</v>
      </c>
      <c r="BH1242" s="279">
        <f t="shared" si="2502"/>
        <v>63.464046401000004</v>
      </c>
      <c r="BI1242" s="279">
        <f t="shared" si="2502"/>
        <v>38.801061231999995</v>
      </c>
      <c r="BJ1242" s="279">
        <f t="shared" si="2502"/>
        <v>68.23604685382</v>
      </c>
      <c r="BK1242" s="279">
        <f t="shared" si="2502"/>
        <v>47.743873942000008</v>
      </c>
      <c r="BL1242" s="279">
        <f t="shared" si="2502"/>
        <v>38.517362037000005</v>
      </c>
      <c r="BM1242" s="279">
        <f t="shared" si="2502"/>
        <v>62.76197392489</v>
      </c>
      <c r="BN1242" s="279">
        <f t="shared" si="2502"/>
        <v>44.670436133479996</v>
      </c>
      <c r="BO1242" s="279">
        <f t="shared" si="2502"/>
        <v>43.792253893999998</v>
      </c>
      <c r="BP1242" s="279">
        <f t="shared" si="2502"/>
        <v>75.347840000000005</v>
      </c>
      <c r="BQ1242" s="279">
        <f t="shared" ref="BQ1242:CV1242" si="2503">BQ590</f>
        <v>62.355729423849994</v>
      </c>
      <c r="BR1242" s="279">
        <f t="shared" si="2503"/>
        <v>27.30003376258</v>
      </c>
      <c r="BS1242" s="279">
        <f t="shared" si="2503"/>
        <v>60.656699999999994</v>
      </c>
      <c r="BT1242" s="279">
        <f t="shared" si="2503"/>
        <v>53.924499999999995</v>
      </c>
      <c r="BU1242" s="279">
        <f t="shared" si="2503"/>
        <v>38.252100000000006</v>
      </c>
      <c r="BV1242" s="279">
        <f t="shared" si="2503"/>
        <v>79.040957728000009</v>
      </c>
      <c r="BW1242" s="279">
        <f t="shared" si="2503"/>
        <v>50.433012564999999</v>
      </c>
      <c r="BX1242" s="279">
        <f t="shared" si="2503"/>
        <v>37.282628350000003</v>
      </c>
      <c r="BY1242" s="279">
        <f t="shared" si="2503"/>
        <v>59.44014836103436</v>
      </c>
      <c r="BZ1242" s="279">
        <f t="shared" si="2503"/>
        <v>60.16820487764555</v>
      </c>
      <c r="CA1242" s="279">
        <f t="shared" si="2503"/>
        <v>43.445561018246877</v>
      </c>
      <c r="CB1242" s="279">
        <f t="shared" si="2503"/>
        <v>79.086111894783954</v>
      </c>
      <c r="CC1242" s="279">
        <f t="shared" si="2503"/>
        <v>63.566453566213539</v>
      </c>
      <c r="CD1242" s="279">
        <f t="shared" si="2503"/>
        <v>33.973535486441499</v>
      </c>
      <c r="CE1242" s="279">
        <f t="shared" si="2503"/>
        <v>65.89267279420767</v>
      </c>
      <c r="CF1242" s="279">
        <f t="shared" si="2503"/>
        <v>57.698124104824529</v>
      </c>
      <c r="CG1242" s="279">
        <f t="shared" si="2503"/>
        <v>49.971496275656513</v>
      </c>
      <c r="CH1242" s="279">
        <f t="shared" si="2503"/>
        <v>98.422676236375139</v>
      </c>
      <c r="CI1242" s="279">
        <f t="shared" si="2503"/>
        <v>49.352782366961684</v>
      </c>
      <c r="CJ1242" s="279">
        <f t="shared" si="2503"/>
        <v>43.202628906906497</v>
      </c>
      <c r="CK1242" s="279">
        <f t="shared" si="2503"/>
        <v>89.589499932908524</v>
      </c>
      <c r="CL1242" s="279">
        <f t="shared" si="2503"/>
        <v>55.132372310596182</v>
      </c>
      <c r="CM1242" s="279">
        <f t="shared" si="2503"/>
        <v>49.958458260097075</v>
      </c>
      <c r="CN1242" s="279">
        <f t="shared" si="2503"/>
        <v>105.69323725464999</v>
      </c>
      <c r="CO1242" s="279">
        <f t="shared" si="2503"/>
        <v>72.35638998306149</v>
      </c>
      <c r="CP1242" s="279">
        <f t="shared" si="2503"/>
        <v>42.576317655317467</v>
      </c>
      <c r="CQ1242" s="279">
        <f t="shared" si="2503"/>
        <v>84.6445758897041</v>
      </c>
      <c r="CR1242" s="279">
        <f t="shared" si="2503"/>
        <v>60.559389158457925</v>
      </c>
      <c r="CS1242" s="279">
        <f t="shared" si="2503"/>
        <v>68.815025306874986</v>
      </c>
      <c r="CT1242" s="279">
        <f t="shared" si="2503"/>
        <v>86.102977654121617</v>
      </c>
      <c r="CU1242" s="279">
        <f t="shared" si="2503"/>
        <v>61.145606517232892</v>
      </c>
      <c r="CV1242" s="279">
        <f t="shared" si="2503"/>
        <v>65.339231641405675</v>
      </c>
      <c r="CW1242" s="279">
        <f t="shared" ref="CW1242:EB1242" si="2504">CW590</f>
        <v>79.098195164108489</v>
      </c>
      <c r="CX1242" s="279">
        <f t="shared" si="2504"/>
        <v>58.352478099715235</v>
      </c>
      <c r="CY1242" s="279">
        <f t="shared" si="2504"/>
        <v>86.142963752456694</v>
      </c>
      <c r="CZ1242" s="279">
        <f t="shared" si="2504"/>
        <v>100.77455196925499</v>
      </c>
      <c r="DA1242" s="279">
        <f t="shared" si="2504"/>
        <v>78.566557604053159</v>
      </c>
      <c r="DB1242" s="675">
        <f t="shared" si="2504"/>
        <v>36.16869034069822</v>
      </c>
      <c r="DC1242" s="279">
        <f t="shared" si="2504"/>
        <v>90.299541103874702</v>
      </c>
      <c r="DD1242" s="279">
        <f t="shared" si="2504"/>
        <v>64.770293596000002</v>
      </c>
      <c r="DE1242" s="279">
        <f t="shared" si="2504"/>
        <v>63.539698355399999</v>
      </c>
      <c r="DF1242" s="279">
        <f t="shared" si="2504"/>
        <v>118.66696784858111</v>
      </c>
      <c r="DG1242" s="279">
        <f t="shared" si="2504"/>
        <v>66.753478653000002</v>
      </c>
      <c r="DH1242" s="279">
        <f t="shared" si="2504"/>
        <v>68.00374049700001</v>
      </c>
      <c r="DI1242" s="279">
        <f t="shared" si="2504"/>
        <v>106.18571900198846</v>
      </c>
      <c r="DJ1242" s="279">
        <f t="shared" si="2504"/>
        <v>54.857941337869406</v>
      </c>
      <c r="DK1242" s="279">
        <f t="shared" si="2504"/>
        <v>81.728672669081334</v>
      </c>
      <c r="DL1242" s="279">
        <f t="shared" si="2504"/>
        <v>104.7810163737818</v>
      </c>
      <c r="DM1242" s="279">
        <f t="shared" si="2504"/>
        <v>64.938635477458448</v>
      </c>
      <c r="DN1242" s="280">
        <f t="shared" si="2504"/>
        <v>52.447596811461146</v>
      </c>
      <c r="DO1242" s="279">
        <f t="shared" si="2504"/>
        <v>94.189350121126623</v>
      </c>
      <c r="DP1242" s="279">
        <f t="shared" si="2504"/>
        <v>109.63174863150537</v>
      </c>
      <c r="DQ1242" s="279">
        <f t="shared" si="2504"/>
        <v>66.574285182477595</v>
      </c>
      <c r="DR1242" s="279">
        <f t="shared" si="2504"/>
        <v>126.42570926667855</v>
      </c>
      <c r="DS1242" s="279">
        <f t="shared" si="2504"/>
        <v>77.289427144100856</v>
      </c>
      <c r="DT1242" s="279">
        <f t="shared" si="2504"/>
        <v>76.312393625084894</v>
      </c>
      <c r="DU1242" s="279">
        <f t="shared" si="2504"/>
        <v>117.72280777697755</v>
      </c>
      <c r="DV1242" s="279">
        <f t="shared" si="2504"/>
        <v>74.308076798532298</v>
      </c>
      <c r="DW1242" s="279">
        <f t="shared" si="2504"/>
        <v>65.447324410023555</v>
      </c>
      <c r="DX1242" s="279">
        <f t="shared" si="2504"/>
        <v>134.19765430378447</v>
      </c>
      <c r="DY1242" s="279">
        <f t="shared" si="2504"/>
        <v>88.376194413126086</v>
      </c>
      <c r="DZ1242" s="280">
        <f t="shared" si="2504"/>
        <v>104.55258663266946</v>
      </c>
      <c r="EA1242" s="279">
        <f t="shared" si="2504"/>
        <v>128.50705953561484</v>
      </c>
      <c r="EB1242" s="279">
        <f t="shared" si="2504"/>
        <v>93.31134000410762</v>
      </c>
      <c r="EC1242" s="279">
        <f t="shared" ref="EC1242:EX1242" si="2505">EC590</f>
        <v>105.63918444513648</v>
      </c>
      <c r="ED1242" s="279">
        <f t="shared" si="2505"/>
        <v>125.88552663144944</v>
      </c>
      <c r="EE1242" s="279">
        <f t="shared" si="2505"/>
        <v>94.30247158778829</v>
      </c>
      <c r="EF1242" s="279">
        <f t="shared" si="2505"/>
        <v>87.742178803600126</v>
      </c>
      <c r="EG1242" s="279">
        <f t="shared" si="2505"/>
        <v>89.742119457839593</v>
      </c>
      <c r="EH1242" s="279">
        <f t="shared" si="2505"/>
        <v>84.076770888538576</v>
      </c>
      <c r="EI1242" s="279">
        <f t="shared" si="2505"/>
        <v>110.26350992984338</v>
      </c>
      <c r="EJ1242" s="279">
        <f t="shared" si="2505"/>
        <v>105.77374617110647</v>
      </c>
      <c r="EK1242" s="279">
        <f t="shared" si="2505"/>
        <v>110.48133591043576</v>
      </c>
      <c r="EL1242" s="280">
        <f t="shared" si="2505"/>
        <v>63.985476649862626</v>
      </c>
      <c r="EM1242" s="279">
        <f t="shared" si="2505"/>
        <v>95.377083666542944</v>
      </c>
      <c r="EN1242" s="279">
        <f t="shared" si="2505"/>
        <v>118.41943667618474</v>
      </c>
      <c r="EO1242" s="279">
        <f t="shared" si="2505"/>
        <v>97.657939000260299</v>
      </c>
      <c r="EP1242" s="279">
        <f t="shared" si="2505"/>
        <v>140.67169559236007</v>
      </c>
      <c r="EQ1242" s="279">
        <f t="shared" si="2505"/>
        <v>114.20902141866392</v>
      </c>
      <c r="ER1242" s="279">
        <f t="shared" si="2505"/>
        <v>107.69590807075841</v>
      </c>
      <c r="ES1242" s="279">
        <f t="shared" si="2505"/>
        <v>89.455681673513922</v>
      </c>
      <c r="ET1242" s="279">
        <f t="shared" si="2505"/>
        <v>83.963914865321243</v>
      </c>
      <c r="EU1242" s="279">
        <f t="shared" si="2505"/>
        <v>142.20660928461487</v>
      </c>
      <c r="EV1242" s="279">
        <f t="shared" si="2505"/>
        <v>146.35231885812709</v>
      </c>
      <c r="EW1242" s="279">
        <f t="shared" si="2505"/>
        <v>116.38640748158832</v>
      </c>
      <c r="EX1242" s="280">
        <f t="shared" si="2505"/>
        <v>91.209074666272826</v>
      </c>
      <c r="EY1242" s="650">
        <f>+SUM(EY1243:EY1248)</f>
        <v>135.54473385247792</v>
      </c>
      <c r="EZ1242" s="650">
        <f t="shared" ref="EZ1242:FJ1242" si="2506">+SUM(EZ1243:EZ1248)</f>
        <v>150.91730850391741</v>
      </c>
      <c r="FA1242" s="650">
        <f t="shared" si="2506"/>
        <v>150.34048970330511</v>
      </c>
      <c r="FB1242" s="650">
        <f t="shared" si="2506"/>
        <v>152.86264558400836</v>
      </c>
      <c r="FC1242" s="650">
        <f t="shared" si="2506"/>
        <v>167.4926629546834</v>
      </c>
      <c r="FD1242" s="650">
        <f t="shared" si="2506"/>
        <v>153.30630701289576</v>
      </c>
      <c r="FE1242" s="650">
        <f t="shared" si="2506"/>
        <v>141.90985569054115</v>
      </c>
      <c r="FF1242" s="650">
        <f t="shared" si="2506"/>
        <v>166.06225588561682</v>
      </c>
      <c r="FG1242" s="650">
        <f t="shared" si="2506"/>
        <v>169.20589458029303</v>
      </c>
      <c r="FH1242" s="650">
        <f t="shared" si="2506"/>
        <v>147.73294296268551</v>
      </c>
      <c r="FI1242" s="650">
        <f t="shared" si="2506"/>
        <v>252.83473571944506</v>
      </c>
      <c r="FJ1242" s="650">
        <f t="shared" si="2506"/>
        <v>112.92171774518995</v>
      </c>
      <c r="FK1242" s="650">
        <f>+SUM(FK1243:FK1248)</f>
        <v>157.75240355921738</v>
      </c>
      <c r="FL1242" s="650">
        <f>+SUM(FL1243:FL1248)</f>
        <v>137.53050191946053</v>
      </c>
      <c r="FM1242" s="650">
        <f>+SUM(FM1243:FM1248)</f>
        <v>157.37043582736891</v>
      </c>
      <c r="FN1242" s="650">
        <f>+SUM(FN1243:FN1248)</f>
        <v>126.09980621064334</v>
      </c>
      <c r="FO1242" s="650">
        <f>+SUM(FO1243:FO1248)</f>
        <v>179.79733600324207</v>
      </c>
      <c r="FP1242" s="650">
        <f t="shared" ref="FP1242:GC1242" si="2507">+SUM(FP1243:FP1248)</f>
        <v>140.39801505689357</v>
      </c>
      <c r="FQ1242" s="650">
        <f t="shared" si="2507"/>
        <v>103.17825960793735</v>
      </c>
      <c r="FR1242" s="650">
        <f t="shared" si="2507"/>
        <v>143.79339384842092</v>
      </c>
      <c r="FS1242" s="650">
        <f t="shared" si="2507"/>
        <v>173.32092754948144</v>
      </c>
      <c r="FT1242" s="650">
        <f t="shared" si="2507"/>
        <v>153.52009806761802</v>
      </c>
      <c r="FU1242" s="650">
        <f t="shared" si="2507"/>
        <v>268.87385114420397</v>
      </c>
      <c r="FV1242" s="650">
        <f t="shared" si="2507"/>
        <v>110.37851248181765</v>
      </c>
      <c r="FW1242" s="650">
        <f t="shared" si="2507"/>
        <v>133.52336960783578</v>
      </c>
      <c r="FX1242" s="650">
        <f t="shared" si="2507"/>
        <v>169.18651884646383</v>
      </c>
      <c r="FY1242" s="650">
        <f t="shared" si="2507"/>
        <v>274.21532399699345</v>
      </c>
      <c r="FZ1242" s="650">
        <f t="shared" si="2507"/>
        <v>164.70930192836784</v>
      </c>
      <c r="GA1242" s="650">
        <f t="shared" si="2507"/>
        <v>168.90411834914801</v>
      </c>
      <c r="GB1242" s="650">
        <f t="shared" si="2507"/>
        <v>150.73388839669275</v>
      </c>
      <c r="GC1242" s="650">
        <f t="shared" si="2507"/>
        <v>184.17640209156704</v>
      </c>
      <c r="GD1242" s="650">
        <f t="shared" ref="GD1242:HL1242" si="2508">+SUM(GD1243:GD1248)</f>
        <v>236.49678974170246</v>
      </c>
      <c r="GE1242" s="650">
        <f t="shared" si="2508"/>
        <v>201.34423077415104</v>
      </c>
      <c r="GF1242" s="650">
        <f t="shared" si="2508"/>
        <v>220.4518471146034</v>
      </c>
      <c r="GG1242" s="650">
        <f t="shared" si="2508"/>
        <v>251.14088779530667</v>
      </c>
      <c r="GH1242" s="650">
        <f t="shared" si="2508"/>
        <v>170.69527761045563</v>
      </c>
      <c r="GI1242" s="650">
        <f t="shared" si="2508"/>
        <v>237.60604713024301</v>
      </c>
      <c r="GJ1242" s="650">
        <f t="shared" si="2508"/>
        <v>267.32260043740104</v>
      </c>
      <c r="GK1242" s="650">
        <f t="shared" si="2508"/>
        <v>217.70995649364818</v>
      </c>
      <c r="GL1242" s="650">
        <f t="shared" si="2508"/>
        <v>190.97085596622611</v>
      </c>
      <c r="GM1242" s="650">
        <f t="shared" si="2508"/>
        <v>201.1868730134554</v>
      </c>
      <c r="GN1242" s="650">
        <f t="shared" si="2508"/>
        <v>139.05863346802752</v>
      </c>
      <c r="GO1242" s="650">
        <f t="shared" si="2508"/>
        <v>205.05947580897342</v>
      </c>
      <c r="GP1242" s="650">
        <f t="shared" si="2508"/>
        <v>192.60523196456603</v>
      </c>
      <c r="GQ1242" s="650">
        <f t="shared" si="2508"/>
        <v>184.57717445045492</v>
      </c>
      <c r="GR1242" s="650">
        <f t="shared" si="2508"/>
        <v>256.97335535050195</v>
      </c>
      <c r="GS1242" s="650">
        <f t="shared" si="2508"/>
        <v>364.86115509489792</v>
      </c>
      <c r="GT1242" s="650">
        <f t="shared" si="2508"/>
        <v>162.75736538793811</v>
      </c>
      <c r="GU1242" s="650">
        <f t="shared" si="2508"/>
        <v>160.94545721182041</v>
      </c>
      <c r="GV1242" s="650">
        <f t="shared" si="2508"/>
        <v>240.05280826320021</v>
      </c>
      <c r="GW1242" s="650">
        <f t="shared" si="2508"/>
        <v>253.20375232729748</v>
      </c>
      <c r="GX1242" s="650">
        <f t="shared" si="2508"/>
        <v>203.43764552794912</v>
      </c>
      <c r="GY1242" s="650">
        <f t="shared" si="2508"/>
        <v>237.04916370825441</v>
      </c>
      <c r="GZ1242" s="650">
        <f t="shared" si="2508"/>
        <v>212.85588555515065</v>
      </c>
      <c r="HA1242" s="650">
        <f t="shared" si="2508"/>
        <v>239.16543991658963</v>
      </c>
      <c r="HB1242" s="650">
        <f t="shared" si="2508"/>
        <v>286.78923226645117</v>
      </c>
      <c r="HC1242" s="650">
        <f t="shared" si="2508"/>
        <v>186.34661241611843</v>
      </c>
      <c r="HD1242" s="650">
        <f t="shared" si="2508"/>
        <v>233.10675248027474</v>
      </c>
      <c r="HE1242" s="650">
        <f t="shared" si="2508"/>
        <v>340.09871413852062</v>
      </c>
      <c r="HF1242" s="650">
        <f t="shared" si="2508"/>
        <v>331.93334950736084</v>
      </c>
      <c r="HG1242" s="650">
        <f t="shared" si="2508"/>
        <v>282.84397637102177</v>
      </c>
      <c r="HH1242" s="650">
        <f t="shared" si="2508"/>
        <v>299.3805121953427</v>
      </c>
      <c r="HI1242" s="650">
        <f t="shared" si="2508"/>
        <v>234.51430992222032</v>
      </c>
      <c r="HJ1242" s="650">
        <f t="shared" si="2508"/>
        <v>228.98399701033935</v>
      </c>
      <c r="HK1242" s="650">
        <f t="shared" si="2508"/>
        <v>282.96755299671094</v>
      </c>
      <c r="HL1242" s="650">
        <f t="shared" si="2508"/>
        <v>280.02142015845953</v>
      </c>
      <c r="HM1242" s="650">
        <f t="shared" ref="HM1242:HR1242" si="2509">+SUM(HM1243:HM1248)</f>
        <v>268.91815057732583</v>
      </c>
      <c r="HN1242" s="650">
        <f t="shared" si="2509"/>
        <v>300.35612139139016</v>
      </c>
      <c r="HO1242" s="650">
        <f t="shared" si="2509"/>
        <v>271.25999527694341</v>
      </c>
      <c r="HP1242" s="650">
        <f t="shared" si="2509"/>
        <v>230.80560831144854</v>
      </c>
      <c r="HQ1242" s="650">
        <f t="shared" si="2509"/>
        <v>290.55164036308389</v>
      </c>
      <c r="HR1242" s="650">
        <f t="shared" si="2509"/>
        <v>222.88272498404646</v>
      </c>
      <c r="HS1242" s="650"/>
      <c r="HT1242" s="650"/>
      <c r="HU1242" s="650"/>
      <c r="HV1242" s="650"/>
      <c r="HW1242" s="650"/>
      <c r="HX1242" s="650"/>
    </row>
    <row r="1243" spans="4:232" ht="17.25" customHeight="1">
      <c r="D1243" s="1108" t="s">
        <v>3251</v>
      </c>
      <c r="E1243" s="279">
        <f t="shared" ref="E1243:AJ1243" si="2510">E591</f>
        <v>6.2484899999999994</v>
      </c>
      <c r="F1243" s="279">
        <f t="shared" si="2510"/>
        <v>5.72309</v>
      </c>
      <c r="G1243" s="279">
        <f t="shared" si="2510"/>
        <v>6.6961300000000001</v>
      </c>
      <c r="H1243" s="279">
        <f t="shared" si="2510"/>
        <v>6.07179</v>
      </c>
      <c r="I1243" s="279">
        <f t="shared" si="2510"/>
        <v>6.3827499999999997</v>
      </c>
      <c r="J1243" s="279">
        <f t="shared" si="2510"/>
        <v>6.0388599999999997</v>
      </c>
      <c r="K1243" s="279">
        <f t="shared" si="2510"/>
        <v>6.8839899999999998</v>
      </c>
      <c r="L1243" s="279">
        <f t="shared" si="2510"/>
        <v>5.3283999999999994</v>
      </c>
      <c r="M1243" s="279">
        <f t="shared" si="2510"/>
        <v>5.7440800000000003</v>
      </c>
      <c r="N1243" s="279">
        <f t="shared" si="2510"/>
        <v>6.1915500000000003</v>
      </c>
      <c r="O1243" s="279">
        <f t="shared" si="2510"/>
        <v>5.8365200000000002</v>
      </c>
      <c r="P1243" s="279">
        <f t="shared" si="2510"/>
        <v>6.2152700000000003</v>
      </c>
      <c r="Q1243" s="279">
        <f t="shared" si="2510"/>
        <v>6.89907</v>
      </c>
      <c r="R1243" s="279">
        <f t="shared" si="2510"/>
        <v>6.1118800000000011</v>
      </c>
      <c r="S1243" s="279">
        <f t="shared" si="2510"/>
        <v>6.6240300000000003</v>
      </c>
      <c r="T1243" s="279">
        <f t="shared" si="2510"/>
        <v>7.1555400000000011</v>
      </c>
      <c r="U1243" s="279">
        <f t="shared" si="2510"/>
        <v>6.5731899999999985</v>
      </c>
      <c r="V1243" s="279">
        <f t="shared" si="2510"/>
        <v>6.7067399999999999</v>
      </c>
      <c r="W1243" s="279">
        <f t="shared" si="2510"/>
        <v>8.3597400000000004</v>
      </c>
      <c r="X1243" s="279">
        <f t="shared" si="2510"/>
        <v>6.8121499999999999</v>
      </c>
      <c r="Y1243" s="279">
        <f t="shared" si="2510"/>
        <v>7.1522299999999994</v>
      </c>
      <c r="Z1243" s="279">
        <f t="shared" si="2510"/>
        <v>9.0993300000000001</v>
      </c>
      <c r="AA1243" s="279">
        <f t="shared" si="2510"/>
        <v>6.3681800000000006</v>
      </c>
      <c r="AB1243" s="279">
        <f t="shared" si="2510"/>
        <v>6.3164899999999999</v>
      </c>
      <c r="AC1243" s="279">
        <f t="shared" si="2510"/>
        <v>9.4264700000000001</v>
      </c>
      <c r="AD1243" s="279">
        <f t="shared" si="2510"/>
        <v>6.1405799999999999</v>
      </c>
      <c r="AE1243" s="279">
        <f t="shared" si="2510"/>
        <v>7.35107</v>
      </c>
      <c r="AF1243" s="279">
        <f t="shared" si="2510"/>
        <v>9.9298899999999986</v>
      </c>
      <c r="AG1243" s="279">
        <f t="shared" si="2510"/>
        <v>6.8457400000000002</v>
      </c>
      <c r="AH1243" s="279">
        <f t="shared" si="2510"/>
        <v>7.0570699999999995</v>
      </c>
      <c r="AI1243" s="279">
        <f t="shared" si="2510"/>
        <v>10.289020000000001</v>
      </c>
      <c r="AJ1243" s="279">
        <f t="shared" si="2510"/>
        <v>7.6297700000000006</v>
      </c>
      <c r="AK1243" s="279">
        <f t="shared" ref="AK1243:BP1243" si="2511">AK591</f>
        <v>7.1329599999999989</v>
      </c>
      <c r="AL1243" s="279">
        <f t="shared" si="2511"/>
        <v>11.07531</v>
      </c>
      <c r="AM1243" s="279">
        <f t="shared" si="2511"/>
        <v>7.2418999999999993</v>
      </c>
      <c r="AN1243" s="279">
        <f t="shared" si="2511"/>
        <v>7.2824999999999998</v>
      </c>
      <c r="AO1243" s="279">
        <f t="shared" si="2511"/>
        <v>10.797610000000001</v>
      </c>
      <c r="AP1243" s="279">
        <f t="shared" si="2511"/>
        <v>5.5590600000000006</v>
      </c>
      <c r="AQ1243" s="279">
        <f t="shared" si="2511"/>
        <v>10.201690000000001</v>
      </c>
      <c r="AR1243" s="279">
        <f t="shared" si="2511"/>
        <v>11.001030000000002</v>
      </c>
      <c r="AS1243" s="279">
        <f t="shared" si="2511"/>
        <v>8.2224000000000004</v>
      </c>
      <c r="AT1243" s="279">
        <f t="shared" si="2511"/>
        <v>10.4077</v>
      </c>
      <c r="AU1243" s="279">
        <f t="shared" si="2511"/>
        <v>10.117940000000001</v>
      </c>
      <c r="AV1243" s="279">
        <f t="shared" si="2511"/>
        <v>9.8346</v>
      </c>
      <c r="AW1243" s="279">
        <f t="shared" si="2511"/>
        <v>8.91662</v>
      </c>
      <c r="AX1243" s="279">
        <f t="shared" si="2511"/>
        <v>12.67665</v>
      </c>
      <c r="AY1243" s="279">
        <f t="shared" si="2511"/>
        <v>9.3612900000000003</v>
      </c>
      <c r="AZ1243" s="279">
        <f t="shared" si="2511"/>
        <v>9.277709999999999</v>
      </c>
      <c r="BA1243" s="279">
        <f t="shared" si="2511"/>
        <v>12.66601</v>
      </c>
      <c r="BB1243" s="279">
        <f t="shared" si="2511"/>
        <v>6.5997700000000004</v>
      </c>
      <c r="BC1243" s="279">
        <f t="shared" si="2511"/>
        <v>9.9224599999999992</v>
      </c>
      <c r="BD1243" s="279">
        <f t="shared" si="2511"/>
        <v>14.683309999999999</v>
      </c>
      <c r="BE1243" s="279">
        <f t="shared" si="2511"/>
        <v>10.44257</v>
      </c>
      <c r="BF1243" s="279">
        <f t="shared" si="2511"/>
        <v>7.3478699999999995</v>
      </c>
      <c r="BG1243" s="279">
        <f t="shared" si="2511"/>
        <v>12.509899999999998</v>
      </c>
      <c r="BH1243" s="279">
        <f t="shared" si="2511"/>
        <v>11.53684</v>
      </c>
      <c r="BI1243" s="279">
        <f t="shared" si="2511"/>
        <v>9.9591900000000013</v>
      </c>
      <c r="BJ1243" s="279">
        <f t="shared" si="2511"/>
        <v>15.622459999999998</v>
      </c>
      <c r="BK1243" s="279">
        <f t="shared" si="2511"/>
        <v>9.7316900000000004</v>
      </c>
      <c r="BL1243" s="279">
        <f t="shared" si="2511"/>
        <v>9.3626900000000006</v>
      </c>
      <c r="BM1243" s="279">
        <f t="shared" si="2511"/>
        <v>14.39517</v>
      </c>
      <c r="BN1243" s="279">
        <f t="shared" si="2511"/>
        <v>7.7335000000000003</v>
      </c>
      <c r="BO1243" s="279">
        <f t="shared" si="2511"/>
        <v>10.747590000000001</v>
      </c>
      <c r="BP1243" s="279">
        <f t="shared" si="2511"/>
        <v>18.464380000000002</v>
      </c>
      <c r="BQ1243" s="279">
        <f t="shared" ref="BQ1243:CV1243" si="2512">BQ591</f>
        <v>13.489240000000001</v>
      </c>
      <c r="BR1243" s="279">
        <f t="shared" si="2512"/>
        <v>11.13809</v>
      </c>
      <c r="BS1243" s="279">
        <f t="shared" si="2512"/>
        <v>13.257299999999999</v>
      </c>
      <c r="BT1243" s="279">
        <f t="shared" si="2512"/>
        <v>15.1424</v>
      </c>
      <c r="BU1243" s="279">
        <f t="shared" si="2512"/>
        <v>10.477799999999998</v>
      </c>
      <c r="BV1243" s="279">
        <f t="shared" si="2512"/>
        <v>19.144608862999998</v>
      </c>
      <c r="BW1243" s="279">
        <f t="shared" si="2512"/>
        <v>12.38366167</v>
      </c>
      <c r="BX1243" s="279">
        <f t="shared" si="2512"/>
        <v>12.345760840000001</v>
      </c>
      <c r="BY1243" s="279">
        <f t="shared" si="2512"/>
        <v>12.281595282</v>
      </c>
      <c r="BZ1243" s="279">
        <f t="shared" si="2512"/>
        <v>14.947415005</v>
      </c>
      <c r="CA1243" s="279">
        <f t="shared" si="2512"/>
        <v>14.463020575</v>
      </c>
      <c r="CB1243" s="279">
        <f t="shared" si="2512"/>
        <v>17.263546629</v>
      </c>
      <c r="CC1243" s="279">
        <f t="shared" si="2512"/>
        <v>14.468678076</v>
      </c>
      <c r="CD1243" s="279">
        <f t="shared" si="2512"/>
        <v>12.723720517</v>
      </c>
      <c r="CE1243" s="279">
        <f t="shared" si="2512"/>
        <v>16.994601701000001</v>
      </c>
      <c r="CF1243" s="279">
        <f t="shared" si="2512"/>
        <v>15.296408276999999</v>
      </c>
      <c r="CG1243" s="279">
        <f t="shared" si="2512"/>
        <v>12.785106967999999</v>
      </c>
      <c r="CH1243" s="279">
        <f t="shared" si="2512"/>
        <v>21.522832184999999</v>
      </c>
      <c r="CI1243" s="279">
        <f t="shared" si="2512"/>
        <v>13.74655516</v>
      </c>
      <c r="CJ1243" s="279">
        <f t="shared" si="2512"/>
        <v>12.527354783</v>
      </c>
      <c r="CK1243" s="279">
        <f t="shared" si="2512"/>
        <v>17.305775839999999</v>
      </c>
      <c r="CL1243" s="279">
        <f t="shared" si="2512"/>
        <v>15.261176783</v>
      </c>
      <c r="CM1243" s="279">
        <f t="shared" si="2512"/>
        <v>14.226565817999999</v>
      </c>
      <c r="CN1243" s="279">
        <f t="shared" si="2512"/>
        <v>20.575106379000001</v>
      </c>
      <c r="CO1243" s="279">
        <f t="shared" si="2512"/>
        <v>14.207658584000001</v>
      </c>
      <c r="CP1243" s="279">
        <f t="shared" si="2512"/>
        <v>13.422926986</v>
      </c>
      <c r="CQ1243" s="279">
        <f t="shared" si="2512"/>
        <v>24.384377145999999</v>
      </c>
      <c r="CR1243" s="279">
        <f t="shared" si="2512"/>
        <v>14.475676630000001</v>
      </c>
      <c r="CS1243" s="279">
        <f t="shared" si="2512"/>
        <v>13.475882387</v>
      </c>
      <c r="CT1243" s="279">
        <f t="shared" si="2512"/>
        <v>21.792291245000001</v>
      </c>
      <c r="CU1243" s="279">
        <f t="shared" si="2512"/>
        <v>14.063459443999999</v>
      </c>
      <c r="CV1243" s="279">
        <f t="shared" si="2512"/>
        <v>13.595746498</v>
      </c>
      <c r="CW1243" s="279">
        <f t="shared" ref="CW1243:EB1243" si="2513">CW591</f>
        <v>22.064813458</v>
      </c>
      <c r="CX1243" s="279">
        <f t="shared" si="2513"/>
        <v>11.475777178</v>
      </c>
      <c r="CY1243" s="279">
        <f t="shared" si="2513"/>
        <v>18.702557545000001</v>
      </c>
      <c r="CZ1243" s="279">
        <f t="shared" si="2513"/>
        <v>20.166489068000001</v>
      </c>
      <c r="DA1243" s="279">
        <f t="shared" si="2513"/>
        <v>15.465617441999999</v>
      </c>
      <c r="DB1243" s="675">
        <f t="shared" si="2513"/>
        <v>14.104508206</v>
      </c>
      <c r="DC1243" s="279">
        <f t="shared" si="2513"/>
        <v>25.760848382999999</v>
      </c>
      <c r="DD1243" s="279">
        <f t="shared" si="2513"/>
        <v>16.630622875</v>
      </c>
      <c r="DE1243" s="279">
        <f t="shared" si="2513"/>
        <v>15.729075969</v>
      </c>
      <c r="DF1243" s="279">
        <f t="shared" si="2513"/>
        <v>25.341055635</v>
      </c>
      <c r="DG1243" s="279">
        <f t="shared" si="2513"/>
        <v>15.952211698999999</v>
      </c>
      <c r="DH1243" s="279">
        <f t="shared" si="2513"/>
        <v>15.896342681</v>
      </c>
      <c r="DI1243" s="279">
        <f t="shared" si="2513"/>
        <v>27.269807771</v>
      </c>
      <c r="DJ1243" s="279">
        <f t="shared" si="2513"/>
        <v>14.262571819</v>
      </c>
      <c r="DK1243" s="279">
        <f t="shared" si="2513"/>
        <v>20.399614275000001</v>
      </c>
      <c r="DL1243" s="279">
        <f t="shared" si="2513"/>
        <v>26.154303194000001</v>
      </c>
      <c r="DM1243" s="279">
        <f t="shared" si="2513"/>
        <v>17.351693442999998</v>
      </c>
      <c r="DN1243" s="280">
        <f t="shared" si="2513"/>
        <v>21.587089448</v>
      </c>
      <c r="DO1243" s="279">
        <f t="shared" si="2513"/>
        <v>30.792339913999999</v>
      </c>
      <c r="DP1243" s="279">
        <f t="shared" si="2513"/>
        <v>25.930212775000001</v>
      </c>
      <c r="DQ1243" s="279">
        <f t="shared" si="2513"/>
        <v>17.198660204999999</v>
      </c>
      <c r="DR1243" s="279">
        <f t="shared" si="2513"/>
        <v>31.218526591</v>
      </c>
      <c r="DS1243" s="279">
        <f t="shared" si="2513"/>
        <v>22.623937429000001</v>
      </c>
      <c r="DT1243" s="279">
        <f t="shared" si="2513"/>
        <v>20.321524653000001</v>
      </c>
      <c r="DU1243" s="279">
        <f t="shared" si="2513"/>
        <v>32.600142276</v>
      </c>
      <c r="DV1243" s="279">
        <f t="shared" si="2513"/>
        <v>20.681147721999999</v>
      </c>
      <c r="DW1243" s="279">
        <f t="shared" si="2513"/>
        <v>14.811887330999999</v>
      </c>
      <c r="DX1243" s="279">
        <f t="shared" si="2513"/>
        <v>36.372824244999997</v>
      </c>
      <c r="DY1243" s="279">
        <f t="shared" si="2513"/>
        <v>26.777018936000001</v>
      </c>
      <c r="DZ1243" s="280">
        <f t="shared" si="2513"/>
        <v>38.763488469999999</v>
      </c>
      <c r="EA1243" s="279">
        <f t="shared" si="2513"/>
        <v>38.763488469999999</v>
      </c>
      <c r="EB1243" s="279">
        <f t="shared" si="2513"/>
        <v>22.126329033000001</v>
      </c>
      <c r="EC1243" s="279">
        <f t="shared" ref="EC1243:EX1243" si="2514">EC591</f>
        <v>23.992127427</v>
      </c>
      <c r="ED1243" s="279">
        <f t="shared" si="2514"/>
        <v>31.381220567</v>
      </c>
      <c r="EE1243" s="279">
        <f t="shared" si="2514"/>
        <v>20.59107835</v>
      </c>
      <c r="EF1243" s="279">
        <f t="shared" si="2514"/>
        <v>22.203756637000001</v>
      </c>
      <c r="EG1243" s="279">
        <f t="shared" si="2514"/>
        <v>35.831669345000002</v>
      </c>
      <c r="EH1243" s="279">
        <f t="shared" si="2514"/>
        <v>18.217909506000002</v>
      </c>
      <c r="EI1243" s="279">
        <f t="shared" si="2514"/>
        <v>29.443757700999999</v>
      </c>
      <c r="EJ1243" s="279">
        <f t="shared" si="2514"/>
        <v>28.913823983</v>
      </c>
      <c r="EK1243" s="279">
        <f t="shared" si="2514"/>
        <v>29.702432408</v>
      </c>
      <c r="EL1243" s="280">
        <f t="shared" si="2514"/>
        <v>23.122873592000001</v>
      </c>
      <c r="EM1243" s="279">
        <f t="shared" si="2514"/>
        <v>36.880675347</v>
      </c>
      <c r="EN1243" s="279">
        <f t="shared" si="2514"/>
        <v>23.217829071000001</v>
      </c>
      <c r="EO1243" s="279">
        <f t="shared" si="2514"/>
        <v>25.954929501999999</v>
      </c>
      <c r="EP1243" s="279">
        <f t="shared" si="2514"/>
        <v>35.318556829999999</v>
      </c>
      <c r="EQ1243" s="279">
        <f t="shared" si="2514"/>
        <v>23.391870655000002</v>
      </c>
      <c r="ER1243" s="279">
        <f t="shared" si="2514"/>
        <v>23.821014502000001</v>
      </c>
      <c r="ES1243" s="279">
        <f t="shared" si="2514"/>
        <v>24.216932529000001</v>
      </c>
      <c r="ET1243" s="279">
        <f t="shared" si="2514"/>
        <v>30.592745741000002</v>
      </c>
      <c r="EU1243" s="279">
        <f t="shared" si="2514"/>
        <v>32.861703890999998</v>
      </c>
      <c r="EV1243" s="279">
        <f t="shared" si="2514"/>
        <v>44.669000662000002</v>
      </c>
      <c r="EW1243" s="279">
        <f t="shared" si="2514"/>
        <v>40.584315027999999</v>
      </c>
      <c r="EX1243" s="280">
        <f t="shared" si="2514"/>
        <v>24.641690694000001</v>
      </c>
      <c r="EY1243" s="650">
        <f t="shared" ref="EY1243:GD1243" si="2515">+EY851+EY888+EY892</f>
        <v>24.239414982</v>
      </c>
      <c r="EZ1243" s="650">
        <f t="shared" si="2515"/>
        <v>22.120656127</v>
      </c>
      <c r="FA1243" s="650">
        <f t="shared" si="2515"/>
        <v>24.752837227000001</v>
      </c>
      <c r="FB1243" s="650">
        <f t="shared" si="2515"/>
        <v>21.791038657000001</v>
      </c>
      <c r="FC1243" s="650">
        <f t="shared" si="2515"/>
        <v>20.659359716000001</v>
      </c>
      <c r="FD1243" s="650">
        <f t="shared" si="2515"/>
        <v>20.369496972</v>
      </c>
      <c r="FE1243" s="650">
        <f t="shared" si="2515"/>
        <v>23.644461118999999</v>
      </c>
      <c r="FF1243" s="650">
        <f t="shared" si="2515"/>
        <v>23.365711551</v>
      </c>
      <c r="FG1243" s="650">
        <f t="shared" si="2515"/>
        <v>23.756543451999999</v>
      </c>
      <c r="FH1243" s="650">
        <f t="shared" si="2515"/>
        <v>21.769161843999999</v>
      </c>
      <c r="FI1243" s="650">
        <f t="shared" si="2515"/>
        <v>20.625322347000001</v>
      </c>
      <c r="FJ1243" s="650">
        <f t="shared" si="2515"/>
        <v>19.233060912999999</v>
      </c>
      <c r="FK1243" s="650">
        <f t="shared" si="2515"/>
        <v>48.474923009000001</v>
      </c>
      <c r="FL1243" s="650">
        <f t="shared" si="2515"/>
        <v>34.638770602000001</v>
      </c>
      <c r="FM1243" s="650">
        <f t="shared" si="2515"/>
        <v>52.859894369999999</v>
      </c>
      <c r="FN1243" s="650">
        <f t="shared" si="2515"/>
        <v>40.602018905999998</v>
      </c>
      <c r="FO1243" s="650">
        <f t="shared" si="2515"/>
        <v>47.848225710000001</v>
      </c>
      <c r="FP1243" s="650">
        <f t="shared" si="2515"/>
        <v>45.427531963999996</v>
      </c>
      <c r="FQ1243" s="650">
        <f t="shared" si="2515"/>
        <v>38.283372790999998</v>
      </c>
      <c r="FR1243" s="650">
        <f t="shared" si="2515"/>
        <v>49.581559788</v>
      </c>
      <c r="FS1243" s="650">
        <f t="shared" si="2515"/>
        <v>48.402350357000003</v>
      </c>
      <c r="FT1243" s="650">
        <f t="shared" si="2515"/>
        <v>51.334256690999993</v>
      </c>
      <c r="FU1243" s="650">
        <f t="shared" si="2515"/>
        <v>47.288199192999997</v>
      </c>
      <c r="FV1243" s="650">
        <f t="shared" si="2515"/>
        <v>46.730121388000001</v>
      </c>
      <c r="FW1243" s="650">
        <f t="shared" si="2515"/>
        <v>51.48016105</v>
      </c>
      <c r="FX1243" s="650">
        <f t="shared" si="2515"/>
        <v>51.430122486999998</v>
      </c>
      <c r="FY1243" s="650">
        <f t="shared" si="2515"/>
        <v>52.852836021000002</v>
      </c>
      <c r="FZ1243" s="650">
        <f t="shared" si="2515"/>
        <v>48.916763015000001</v>
      </c>
      <c r="GA1243" s="650">
        <f t="shared" si="2515"/>
        <v>47.611591032999996</v>
      </c>
      <c r="GB1243" s="650">
        <f t="shared" si="2515"/>
        <v>50.604116184999995</v>
      </c>
      <c r="GC1243" s="650">
        <f t="shared" si="2515"/>
        <v>55.299476167999998</v>
      </c>
      <c r="GD1243" s="650">
        <f t="shared" si="2515"/>
        <v>49.945734616999999</v>
      </c>
      <c r="GE1243" s="650">
        <f t="shared" ref="GE1243:HL1243" si="2516">+GE851+GE888+GE892</f>
        <v>59.567180657999998</v>
      </c>
      <c r="GF1243" s="650">
        <f t="shared" si="2516"/>
        <v>64.561499565333321</v>
      </c>
      <c r="GG1243" s="650">
        <f t="shared" si="2516"/>
        <v>59.909863395333332</v>
      </c>
      <c r="GH1243" s="650">
        <f t="shared" si="2516"/>
        <v>56.804002063905827</v>
      </c>
      <c r="GI1243" s="650">
        <f t="shared" si="2516"/>
        <v>55.539668570643485</v>
      </c>
      <c r="GJ1243" s="650">
        <f t="shared" si="2516"/>
        <v>68.935083915696794</v>
      </c>
      <c r="GK1243" s="650">
        <f t="shared" si="2516"/>
        <v>71.700554839659716</v>
      </c>
      <c r="GL1243" s="650">
        <f t="shared" si="2516"/>
        <v>56.594202324866927</v>
      </c>
      <c r="GM1243" s="650">
        <f t="shared" si="2516"/>
        <v>71.353023190265077</v>
      </c>
      <c r="GN1243" s="650">
        <f t="shared" si="2516"/>
        <v>63.875749657492769</v>
      </c>
      <c r="GO1243" s="650">
        <f t="shared" si="2516"/>
        <v>57.261289561060877</v>
      </c>
      <c r="GP1243" s="650">
        <f t="shared" si="2516"/>
        <v>54.946073896420714</v>
      </c>
      <c r="GQ1243" s="650">
        <f t="shared" si="2516"/>
        <v>59.278123788778551</v>
      </c>
      <c r="GR1243" s="650">
        <f t="shared" si="2516"/>
        <v>91.92857583279698</v>
      </c>
      <c r="GS1243" s="650">
        <f t="shared" si="2516"/>
        <v>89.504510851999498</v>
      </c>
      <c r="GT1243" s="650">
        <f t="shared" si="2516"/>
        <v>89.368194723845761</v>
      </c>
      <c r="GU1243" s="650">
        <f t="shared" si="2516"/>
        <v>80.609756859000001</v>
      </c>
      <c r="GV1243" s="650">
        <f t="shared" si="2516"/>
        <v>82.821757278000007</v>
      </c>
      <c r="GW1243" s="650">
        <f t="shared" si="2516"/>
        <v>81.451556471999993</v>
      </c>
      <c r="GX1243" s="650">
        <f t="shared" si="2516"/>
        <v>84.851173017000008</v>
      </c>
      <c r="GY1243" s="650">
        <f t="shared" si="2516"/>
        <v>87.735269394999989</v>
      </c>
      <c r="GZ1243" s="650">
        <f t="shared" si="2516"/>
        <v>84.793627095999994</v>
      </c>
      <c r="HA1243" s="650">
        <f t="shared" si="2516"/>
        <v>80.273048750000001</v>
      </c>
      <c r="HB1243" s="650">
        <f t="shared" si="2516"/>
        <v>76.059346875000003</v>
      </c>
      <c r="HC1243" s="650">
        <f t="shared" si="2516"/>
        <v>74.154089608999996</v>
      </c>
      <c r="HD1243" s="650">
        <f t="shared" si="2516"/>
        <v>91.751661068000004</v>
      </c>
      <c r="HE1243" s="650">
        <f t="shared" si="2516"/>
        <v>89.386927126000003</v>
      </c>
      <c r="HF1243" s="650">
        <f t="shared" si="2516"/>
        <v>90.512721568999993</v>
      </c>
      <c r="HG1243" s="650">
        <f t="shared" si="2516"/>
        <v>96.270337960000006</v>
      </c>
      <c r="HH1243" s="650">
        <f t="shared" si="2516"/>
        <v>107.751853451</v>
      </c>
      <c r="HI1243" s="650">
        <f t="shared" si="2516"/>
        <v>85.39119359099999</v>
      </c>
      <c r="HJ1243" s="650">
        <f t="shared" si="2516"/>
        <v>88.032389335999994</v>
      </c>
      <c r="HK1243" s="650">
        <f t="shared" si="2516"/>
        <v>96.617969400999996</v>
      </c>
      <c r="HL1243" s="650">
        <f t="shared" si="2516"/>
        <v>103.144050925</v>
      </c>
      <c r="HM1243" s="650">
        <f t="shared" ref="HM1243:HR1243" si="2517">+HM851+HM888+HM892</f>
        <v>92.510129577000015</v>
      </c>
      <c r="HN1243" s="650">
        <f t="shared" si="2517"/>
        <v>95.856758486000004</v>
      </c>
      <c r="HO1243" s="650">
        <f t="shared" si="2517"/>
        <v>116.65146633500001</v>
      </c>
      <c r="HP1243" s="650">
        <f t="shared" si="2517"/>
        <v>105.979240979</v>
      </c>
      <c r="HQ1243" s="650">
        <f t="shared" si="2517"/>
        <v>99.000559372999987</v>
      </c>
      <c r="HR1243" s="650">
        <f t="shared" si="2517"/>
        <v>99.55557399700001</v>
      </c>
      <c r="HS1243" s="650"/>
      <c r="HT1243" s="650"/>
      <c r="HU1243" s="650"/>
      <c r="HV1243" s="650"/>
      <c r="HW1243" s="650"/>
      <c r="HX1243" s="650"/>
    </row>
    <row r="1244" spans="4:232" ht="17.25" customHeight="1">
      <c r="D1244" s="1108" t="s">
        <v>81</v>
      </c>
      <c r="E1244" s="279">
        <f t="shared" ref="E1244:AJ1244" si="2518">E595</f>
        <v>5.6357299999999997</v>
      </c>
      <c r="F1244" s="279">
        <f t="shared" si="2518"/>
        <v>7.29861</v>
      </c>
      <c r="G1244" s="279">
        <f t="shared" si="2518"/>
        <v>4.0281000000000002</v>
      </c>
      <c r="H1244" s="279">
        <f t="shared" si="2518"/>
        <v>7.35867</v>
      </c>
      <c r="I1244" s="279">
        <f t="shared" si="2518"/>
        <v>3.9830900000000002</v>
      </c>
      <c r="J1244" s="279">
        <f t="shared" si="2518"/>
        <v>2.4160500000000003</v>
      </c>
      <c r="K1244" s="279">
        <f t="shared" si="2518"/>
        <v>10.281829999999999</v>
      </c>
      <c r="L1244" s="279">
        <f t="shared" si="2518"/>
        <v>6.2792599999999998</v>
      </c>
      <c r="M1244" s="279">
        <f t="shared" si="2518"/>
        <v>5.4855700000000001</v>
      </c>
      <c r="N1244" s="279">
        <f t="shared" si="2518"/>
        <v>5.4785300000000001</v>
      </c>
      <c r="O1244" s="279">
        <f t="shared" si="2518"/>
        <v>16.68282</v>
      </c>
      <c r="P1244" s="279">
        <f t="shared" si="2518"/>
        <v>2.5840000000000001</v>
      </c>
      <c r="Q1244" s="279">
        <f t="shared" si="2518"/>
        <v>6.1954899999999995</v>
      </c>
      <c r="R1244" s="279">
        <f t="shared" si="2518"/>
        <v>5.7633900000000002</v>
      </c>
      <c r="S1244" s="279">
        <f t="shared" si="2518"/>
        <v>5.7297799999999999</v>
      </c>
      <c r="T1244" s="279">
        <f t="shared" si="2518"/>
        <v>7.7635500000000013</v>
      </c>
      <c r="U1244" s="279">
        <f t="shared" si="2518"/>
        <v>5.2256999999999998</v>
      </c>
      <c r="V1244" s="279">
        <f t="shared" si="2518"/>
        <v>4.4461499999999994</v>
      </c>
      <c r="W1244" s="279">
        <f t="shared" si="2518"/>
        <v>11.737629999999998</v>
      </c>
      <c r="X1244" s="279">
        <f t="shared" si="2518"/>
        <v>4.6911199999999997</v>
      </c>
      <c r="Y1244" s="279">
        <f t="shared" si="2518"/>
        <v>5.3663699999999999</v>
      </c>
      <c r="Z1244" s="279">
        <f t="shared" si="2518"/>
        <v>14.14696</v>
      </c>
      <c r="AA1244" s="279">
        <f t="shared" si="2518"/>
        <v>6.8656199999999998</v>
      </c>
      <c r="AB1244" s="279">
        <f t="shared" si="2518"/>
        <v>2.3950900000000002</v>
      </c>
      <c r="AC1244" s="279">
        <f t="shared" si="2518"/>
        <v>11.639849999999999</v>
      </c>
      <c r="AD1244" s="279">
        <f t="shared" si="2518"/>
        <v>7.2937399999999997</v>
      </c>
      <c r="AE1244" s="279">
        <f t="shared" si="2518"/>
        <v>8.51633</v>
      </c>
      <c r="AF1244" s="279">
        <f t="shared" si="2518"/>
        <v>11.4025</v>
      </c>
      <c r="AG1244" s="279">
        <f t="shared" si="2518"/>
        <v>9.9958399999999994</v>
      </c>
      <c r="AH1244" s="279">
        <f t="shared" si="2518"/>
        <v>9.8377599999999994</v>
      </c>
      <c r="AI1244" s="279">
        <f t="shared" si="2518"/>
        <v>9.0902000000000012</v>
      </c>
      <c r="AJ1244" s="279">
        <f t="shared" si="2518"/>
        <v>8.8153100000000002</v>
      </c>
      <c r="AK1244" s="279">
        <f t="shared" ref="AK1244:BP1244" si="2519">AK595</f>
        <v>4.5741400000000008</v>
      </c>
      <c r="AL1244" s="279">
        <f t="shared" si="2519"/>
        <v>9.3064400000000003</v>
      </c>
      <c r="AM1244" s="279">
        <f t="shared" si="2519"/>
        <v>8.2408999999999999</v>
      </c>
      <c r="AN1244" s="279">
        <f t="shared" si="2519"/>
        <v>6.0934900000000001</v>
      </c>
      <c r="AO1244" s="279">
        <f t="shared" si="2519"/>
        <v>10.967409999999999</v>
      </c>
      <c r="AP1244" s="279">
        <f t="shared" si="2519"/>
        <v>7.2308899999999996</v>
      </c>
      <c r="AQ1244" s="279">
        <f t="shared" si="2519"/>
        <v>12.15211</v>
      </c>
      <c r="AR1244" s="279">
        <f t="shared" si="2519"/>
        <v>9.3626100000000001</v>
      </c>
      <c r="AS1244" s="279">
        <f t="shared" si="2519"/>
        <v>16.880669999999999</v>
      </c>
      <c r="AT1244" s="279">
        <f t="shared" si="2519"/>
        <v>4.4855200000000002</v>
      </c>
      <c r="AU1244" s="279">
        <f t="shared" si="2519"/>
        <v>5.7478500000000006</v>
      </c>
      <c r="AV1244" s="279">
        <f t="shared" si="2519"/>
        <v>10.29313</v>
      </c>
      <c r="AW1244" s="279">
        <f t="shared" si="2519"/>
        <v>8.5791599999999999</v>
      </c>
      <c r="AX1244" s="279">
        <f t="shared" si="2519"/>
        <v>13.0532</v>
      </c>
      <c r="AY1244" s="279">
        <f t="shared" si="2519"/>
        <v>11.61861</v>
      </c>
      <c r="AZ1244" s="279">
        <f t="shared" si="2519"/>
        <v>8.2889799999999987</v>
      </c>
      <c r="BA1244" s="279">
        <f t="shared" si="2519"/>
        <v>10.8988</v>
      </c>
      <c r="BB1244" s="279">
        <f t="shared" si="2519"/>
        <v>8.1732899999999997</v>
      </c>
      <c r="BC1244" s="279">
        <f t="shared" si="2519"/>
        <v>6.3601599999999996</v>
      </c>
      <c r="BD1244" s="279">
        <f t="shared" si="2519"/>
        <v>17.488209999999999</v>
      </c>
      <c r="BE1244" s="279">
        <f t="shared" si="2519"/>
        <v>18.1113</v>
      </c>
      <c r="BF1244" s="279">
        <f t="shared" si="2519"/>
        <v>6.6344399999999997</v>
      </c>
      <c r="BG1244" s="279">
        <f t="shared" si="2519"/>
        <v>8.7004999999999999</v>
      </c>
      <c r="BH1244" s="279">
        <f t="shared" si="2519"/>
        <v>15.98391</v>
      </c>
      <c r="BI1244" s="279">
        <f t="shared" si="2519"/>
        <v>10.69234</v>
      </c>
      <c r="BJ1244" s="279">
        <f t="shared" si="2519"/>
        <v>16.578340000000001</v>
      </c>
      <c r="BK1244" s="279">
        <f t="shared" si="2519"/>
        <v>9.3813700000000004</v>
      </c>
      <c r="BL1244" s="279">
        <f t="shared" si="2519"/>
        <v>7.8756599999999999</v>
      </c>
      <c r="BM1244" s="279">
        <f t="shared" si="2519"/>
        <v>13.461139999999999</v>
      </c>
      <c r="BN1244" s="279">
        <f t="shared" si="2519"/>
        <v>10.60441</v>
      </c>
      <c r="BO1244" s="279">
        <f t="shared" si="2519"/>
        <v>8.1162600000000005</v>
      </c>
      <c r="BP1244" s="279">
        <f t="shared" si="2519"/>
        <v>20.40185</v>
      </c>
      <c r="BQ1244" s="279">
        <f t="shared" ref="BQ1244:CV1244" si="2520">BQ595</f>
        <v>21.77994</v>
      </c>
      <c r="BR1244" s="279">
        <f t="shared" si="2520"/>
        <v>8.4724799999999991</v>
      </c>
      <c r="BS1244" s="279">
        <f t="shared" si="2520"/>
        <v>12.441599999999999</v>
      </c>
      <c r="BT1244" s="279">
        <f t="shared" si="2520"/>
        <v>8.3486000000000011</v>
      </c>
      <c r="BU1244" s="279">
        <f t="shared" si="2520"/>
        <v>5.9755000000000003</v>
      </c>
      <c r="BV1244" s="279">
        <f t="shared" si="2520"/>
        <v>17.443907538000001</v>
      </c>
      <c r="BW1244" s="279">
        <f t="shared" si="2520"/>
        <v>10.159151058000001</v>
      </c>
      <c r="BX1244" s="279">
        <f t="shared" si="2520"/>
        <v>6.9713928459999996</v>
      </c>
      <c r="BY1244" s="279">
        <f t="shared" si="2520"/>
        <v>13.47067966</v>
      </c>
      <c r="BZ1244" s="279">
        <f t="shared" si="2520"/>
        <v>15.015137985000001</v>
      </c>
      <c r="CA1244" s="279">
        <f t="shared" si="2520"/>
        <v>9.8163805380000007</v>
      </c>
      <c r="CB1244" s="279">
        <f t="shared" si="2520"/>
        <v>15.291779931000001</v>
      </c>
      <c r="CC1244" s="279">
        <f t="shared" si="2520"/>
        <v>18.609652870000001</v>
      </c>
      <c r="CD1244" s="279">
        <f t="shared" si="2520"/>
        <v>11.053052539999999</v>
      </c>
      <c r="CE1244" s="279">
        <f t="shared" si="2520"/>
        <v>11.973839774</v>
      </c>
      <c r="CF1244" s="279">
        <f t="shared" si="2520"/>
        <v>8.460472008</v>
      </c>
      <c r="CG1244" s="279">
        <f t="shared" si="2520"/>
        <v>10.756931573999999</v>
      </c>
      <c r="CH1244" s="279">
        <f t="shared" si="2520"/>
        <v>15.969647987</v>
      </c>
      <c r="CI1244" s="279">
        <f t="shared" si="2520"/>
        <v>9.6369806679999996</v>
      </c>
      <c r="CJ1244" s="279">
        <f t="shared" si="2520"/>
        <v>7.5783808190000004</v>
      </c>
      <c r="CK1244" s="279">
        <f t="shared" si="2520"/>
        <v>18.50854756</v>
      </c>
      <c r="CL1244" s="279">
        <f t="shared" si="2520"/>
        <v>9.8280426120000008</v>
      </c>
      <c r="CM1244" s="279">
        <f t="shared" si="2520"/>
        <v>10.716758257</v>
      </c>
      <c r="CN1244" s="279">
        <f t="shared" si="2520"/>
        <v>16.706219817000001</v>
      </c>
      <c r="CO1244" s="279">
        <f t="shared" si="2520"/>
        <v>15.358612858000001</v>
      </c>
      <c r="CP1244" s="279">
        <f t="shared" si="2520"/>
        <v>7.0216506660000002</v>
      </c>
      <c r="CQ1244" s="279">
        <f t="shared" si="2520"/>
        <v>16.388526584000001</v>
      </c>
      <c r="CR1244" s="279">
        <f t="shared" si="2520"/>
        <v>13.251808939</v>
      </c>
      <c r="CS1244" s="279">
        <f t="shared" si="2520"/>
        <v>14.393685036999999</v>
      </c>
      <c r="CT1244" s="279">
        <f t="shared" si="2520"/>
        <v>18.078245930000001</v>
      </c>
      <c r="CU1244" s="279">
        <f t="shared" si="2520"/>
        <v>13.379108058</v>
      </c>
      <c r="CV1244" s="279">
        <f t="shared" si="2520"/>
        <v>24.687432243</v>
      </c>
      <c r="CW1244" s="279">
        <f t="shared" ref="CW1244:EB1244" si="2521">CW595</f>
        <v>23.120048399000002</v>
      </c>
      <c r="CX1244" s="279">
        <f t="shared" si="2521"/>
        <v>11.707696149</v>
      </c>
      <c r="CY1244" s="279">
        <f t="shared" si="2521"/>
        <v>20.064160621999999</v>
      </c>
      <c r="CZ1244" s="279">
        <f t="shared" si="2521"/>
        <v>13.566068809000001</v>
      </c>
      <c r="DA1244" s="279">
        <f t="shared" si="2521"/>
        <v>15.207758555</v>
      </c>
      <c r="DB1244" s="675">
        <f t="shared" si="2521"/>
        <v>6.012899032</v>
      </c>
      <c r="DC1244" s="279">
        <f t="shared" si="2521"/>
        <v>15.315699127</v>
      </c>
      <c r="DD1244" s="279">
        <f t="shared" si="2521"/>
        <v>19.601054483999999</v>
      </c>
      <c r="DE1244" s="279">
        <f t="shared" si="2521"/>
        <v>12.228546647</v>
      </c>
      <c r="DF1244" s="279">
        <f t="shared" si="2521"/>
        <v>23.176438959999999</v>
      </c>
      <c r="DG1244" s="279">
        <f t="shared" si="2521"/>
        <v>11.650523166999999</v>
      </c>
      <c r="DH1244" s="279">
        <f t="shared" si="2521"/>
        <v>17.726570696</v>
      </c>
      <c r="DI1244" s="279">
        <f t="shared" si="2521"/>
        <v>19.911141094000001</v>
      </c>
      <c r="DJ1244" s="279">
        <f t="shared" si="2521"/>
        <v>10.867269656</v>
      </c>
      <c r="DK1244" s="279">
        <f t="shared" si="2521"/>
        <v>16.740908356999999</v>
      </c>
      <c r="DL1244" s="279">
        <f t="shared" si="2521"/>
        <v>12.706009720999999</v>
      </c>
      <c r="DM1244" s="279">
        <f t="shared" si="2521"/>
        <v>12.952371539</v>
      </c>
      <c r="DN1244" s="280">
        <f t="shared" si="2521"/>
        <v>7.7448793619999998</v>
      </c>
      <c r="DO1244" s="279">
        <f t="shared" si="2521"/>
        <v>19.603173823999999</v>
      </c>
      <c r="DP1244" s="279">
        <f t="shared" si="2521"/>
        <v>23.254240544000002</v>
      </c>
      <c r="DQ1244" s="279">
        <f t="shared" si="2521"/>
        <v>12.083861908999999</v>
      </c>
      <c r="DR1244" s="279">
        <f t="shared" si="2521"/>
        <v>25.767375555000001</v>
      </c>
      <c r="DS1244" s="279">
        <f t="shared" si="2521"/>
        <v>9.8346446059999995</v>
      </c>
      <c r="DT1244" s="279">
        <f t="shared" si="2521"/>
        <v>8.6299415439999994</v>
      </c>
      <c r="DU1244" s="279">
        <f t="shared" si="2521"/>
        <v>25.084539389</v>
      </c>
      <c r="DV1244" s="279">
        <f t="shared" si="2521"/>
        <v>12.670331827</v>
      </c>
      <c r="DW1244" s="279">
        <f t="shared" si="2521"/>
        <v>11.810988330000001</v>
      </c>
      <c r="DX1244" s="279">
        <f t="shared" si="2521"/>
        <v>21.695334284000001</v>
      </c>
      <c r="DY1244" s="279">
        <f t="shared" si="2521"/>
        <v>18.773221575000001</v>
      </c>
      <c r="DZ1244" s="280">
        <f t="shared" si="2521"/>
        <v>29.944219717999999</v>
      </c>
      <c r="EA1244" s="279">
        <f t="shared" si="2521"/>
        <v>29.944219717999999</v>
      </c>
      <c r="EB1244" s="279">
        <f t="shared" si="2521"/>
        <v>16.777167303999999</v>
      </c>
      <c r="EC1244" s="279">
        <f t="shared" ref="EC1244:EX1244" si="2522">EC595</f>
        <v>20.330724265000001</v>
      </c>
      <c r="ED1244" s="279">
        <f t="shared" si="2522"/>
        <v>15.904849377</v>
      </c>
      <c r="EE1244" s="279">
        <f t="shared" si="2522"/>
        <v>17.680046376</v>
      </c>
      <c r="EF1244" s="279">
        <f t="shared" si="2522"/>
        <v>17.112941378999999</v>
      </c>
      <c r="EG1244" s="279">
        <f t="shared" si="2522"/>
        <v>15.585146095000001</v>
      </c>
      <c r="EH1244" s="279">
        <f t="shared" si="2522"/>
        <v>13.420272141</v>
      </c>
      <c r="EI1244" s="279">
        <f t="shared" si="2522"/>
        <v>18.415957964</v>
      </c>
      <c r="EJ1244" s="279">
        <f t="shared" si="2522"/>
        <v>24.476168367</v>
      </c>
      <c r="EK1244" s="279">
        <f t="shared" si="2522"/>
        <v>21.665859222000002</v>
      </c>
      <c r="EL1244" s="280">
        <f t="shared" si="2522"/>
        <v>4.9673091940000003</v>
      </c>
      <c r="EM1244" s="279">
        <f t="shared" si="2522"/>
        <v>28.141431067999999</v>
      </c>
      <c r="EN1244" s="279">
        <f t="shared" si="2522"/>
        <v>15.436150675</v>
      </c>
      <c r="EO1244" s="279">
        <f t="shared" si="2522"/>
        <v>16.633843982999998</v>
      </c>
      <c r="EP1244" s="279">
        <f t="shared" si="2522"/>
        <v>20.538649782</v>
      </c>
      <c r="EQ1244" s="279">
        <f t="shared" si="2522"/>
        <v>21.425074646999999</v>
      </c>
      <c r="ER1244" s="279">
        <f t="shared" si="2522"/>
        <v>16.093008045000001</v>
      </c>
      <c r="ES1244" s="279">
        <f t="shared" si="2522"/>
        <v>20.661565843000002</v>
      </c>
      <c r="ET1244" s="279">
        <f t="shared" si="2522"/>
        <v>13.080870481</v>
      </c>
      <c r="EU1244" s="279">
        <f t="shared" si="2522"/>
        <v>23.831020044999999</v>
      </c>
      <c r="EV1244" s="279">
        <f t="shared" si="2522"/>
        <v>19.384197674999999</v>
      </c>
      <c r="EW1244" s="279">
        <f t="shared" si="2522"/>
        <v>24.3705575</v>
      </c>
      <c r="EX1244" s="280">
        <f t="shared" si="2522"/>
        <v>10.255814616</v>
      </c>
      <c r="EY1244" s="650">
        <f t="shared" ref="EY1244:GD1244" si="2523">+EY853+EY887+EY891-EY888-EY892</f>
        <v>34.066597782166703</v>
      </c>
      <c r="EZ1244" s="650">
        <f t="shared" si="2523"/>
        <v>32.383621068166704</v>
      </c>
      <c r="FA1244" s="650">
        <f t="shared" si="2523"/>
        <v>45.417365403166706</v>
      </c>
      <c r="FB1244" s="650">
        <f t="shared" si="2523"/>
        <v>27.211199387166602</v>
      </c>
      <c r="FC1244" s="650">
        <f t="shared" si="2523"/>
        <v>47.7747409241667</v>
      </c>
      <c r="FD1244" s="650">
        <f t="shared" si="2523"/>
        <v>36.368678084166703</v>
      </c>
      <c r="FE1244" s="650">
        <f t="shared" si="2523"/>
        <v>53.806526589999997</v>
      </c>
      <c r="FF1244" s="650">
        <f t="shared" si="2523"/>
        <v>52.605987659</v>
      </c>
      <c r="FG1244" s="650">
        <f t="shared" si="2523"/>
        <v>69.132440504000002</v>
      </c>
      <c r="FH1244" s="650">
        <f t="shared" si="2523"/>
        <v>55.429907583999999</v>
      </c>
      <c r="FI1244" s="650">
        <f t="shared" si="2523"/>
        <v>65.508302673000003</v>
      </c>
      <c r="FJ1244" s="650">
        <f t="shared" si="2523"/>
        <v>52.641321752000003</v>
      </c>
      <c r="FK1244" s="650">
        <f t="shared" si="2523"/>
        <v>58.648945019999999</v>
      </c>
      <c r="FL1244" s="650">
        <f t="shared" si="2523"/>
        <v>59.259153577999996</v>
      </c>
      <c r="FM1244" s="650">
        <f t="shared" si="2523"/>
        <v>56.398161017999996</v>
      </c>
      <c r="FN1244" s="650">
        <f t="shared" si="2523"/>
        <v>39.743645528999991</v>
      </c>
      <c r="FO1244" s="650">
        <f t="shared" si="2523"/>
        <v>38.232049008000004</v>
      </c>
      <c r="FP1244" s="650">
        <f t="shared" si="2523"/>
        <v>62.427462919999996</v>
      </c>
      <c r="FQ1244" s="650">
        <f t="shared" si="2523"/>
        <v>27.213639764</v>
      </c>
      <c r="FR1244" s="650">
        <f t="shared" si="2523"/>
        <v>39.369033645000002</v>
      </c>
      <c r="FS1244" s="650">
        <f t="shared" si="2523"/>
        <v>61.480443279000013</v>
      </c>
      <c r="FT1244" s="650">
        <f t="shared" si="2523"/>
        <v>54.465626276000009</v>
      </c>
      <c r="FU1244" s="650">
        <f t="shared" si="2523"/>
        <v>138.54028649700001</v>
      </c>
      <c r="FV1244" s="650">
        <f t="shared" si="2523"/>
        <v>50.620148627999995</v>
      </c>
      <c r="FW1244" s="650">
        <f t="shared" si="2523"/>
        <v>40.992426076000008</v>
      </c>
      <c r="FX1244" s="650">
        <f t="shared" si="2523"/>
        <v>46.246112111000002</v>
      </c>
      <c r="FY1244" s="650">
        <f t="shared" si="2523"/>
        <v>66.588690732000003</v>
      </c>
      <c r="FZ1244" s="650">
        <f t="shared" si="2523"/>
        <v>75.279941060999988</v>
      </c>
      <c r="GA1244" s="650">
        <f t="shared" si="2523"/>
        <v>51.105489466999984</v>
      </c>
      <c r="GB1244" s="650">
        <f t="shared" si="2523"/>
        <v>71.157467985000011</v>
      </c>
      <c r="GC1244" s="650">
        <f t="shared" si="2523"/>
        <v>83.424946897000012</v>
      </c>
      <c r="GD1244" s="650">
        <f t="shared" si="2523"/>
        <v>83.106449327999997</v>
      </c>
      <c r="GE1244" s="650">
        <f t="shared" ref="GE1244:HL1244" si="2524">+GE853+GE887+GE891-GE888-GE892</f>
        <v>94.585057272</v>
      </c>
      <c r="GF1244" s="650">
        <f t="shared" si="2524"/>
        <v>90.585788699999995</v>
      </c>
      <c r="GG1244" s="650">
        <f t="shared" si="2524"/>
        <v>92.294289832999993</v>
      </c>
      <c r="GH1244" s="650">
        <f t="shared" si="2524"/>
        <v>75.034616677659997</v>
      </c>
      <c r="GI1244" s="650">
        <f t="shared" si="2524"/>
        <v>109.38460215052824</v>
      </c>
      <c r="GJ1244" s="650">
        <f t="shared" si="2524"/>
        <v>89.656520985411689</v>
      </c>
      <c r="GK1244" s="650">
        <f t="shared" si="2524"/>
        <v>80.198796109735696</v>
      </c>
      <c r="GL1244" s="650">
        <f t="shared" si="2524"/>
        <v>103.48856220203983</v>
      </c>
      <c r="GM1244" s="650">
        <f t="shared" si="2524"/>
        <v>62.881694246857016</v>
      </c>
      <c r="GN1244" s="650">
        <f t="shared" si="2524"/>
        <v>44.938188700885767</v>
      </c>
      <c r="GO1244" s="650">
        <f t="shared" si="2524"/>
        <v>85.039949990146198</v>
      </c>
      <c r="GP1244" s="650">
        <f t="shared" si="2524"/>
        <v>51.699817332186718</v>
      </c>
      <c r="GQ1244" s="650">
        <f t="shared" si="2524"/>
        <v>69.861180772549915</v>
      </c>
      <c r="GR1244" s="650">
        <f t="shared" si="2524"/>
        <v>111.0419531133813</v>
      </c>
      <c r="GS1244" s="650">
        <f t="shared" si="2524"/>
        <v>163.52111456890958</v>
      </c>
      <c r="GT1244" s="650">
        <f t="shared" si="2524"/>
        <v>42.51049257207324</v>
      </c>
      <c r="GU1244" s="650">
        <f t="shared" si="2524"/>
        <v>47.334674227999997</v>
      </c>
      <c r="GV1244" s="650">
        <f t="shared" si="2524"/>
        <v>43.611784331999999</v>
      </c>
      <c r="GW1244" s="650">
        <f t="shared" si="2524"/>
        <v>114.07390251600002</v>
      </c>
      <c r="GX1244" s="650">
        <f t="shared" si="2524"/>
        <v>66.379640262000009</v>
      </c>
      <c r="GY1244" s="650">
        <f t="shared" si="2524"/>
        <v>47.859386632999978</v>
      </c>
      <c r="GZ1244" s="650">
        <f t="shared" si="2524"/>
        <v>70.514126333999997</v>
      </c>
      <c r="HA1244" s="650">
        <f t="shared" si="2524"/>
        <v>91.356513803000013</v>
      </c>
      <c r="HB1244" s="650">
        <f t="shared" si="2524"/>
        <v>87.745658628000015</v>
      </c>
      <c r="HC1244" s="650">
        <f t="shared" si="2524"/>
        <v>52.424140885999996</v>
      </c>
      <c r="HD1244" s="650">
        <f t="shared" si="2524"/>
        <v>85.149932067000009</v>
      </c>
      <c r="HE1244" s="650">
        <f t="shared" si="2524"/>
        <v>133.13628289900001</v>
      </c>
      <c r="HF1244" s="650">
        <f t="shared" si="2524"/>
        <v>167.80383534300012</v>
      </c>
      <c r="HG1244" s="650">
        <f t="shared" si="2524"/>
        <v>126.74516816100001</v>
      </c>
      <c r="HH1244" s="650">
        <f t="shared" si="2524"/>
        <v>71.54466028600001</v>
      </c>
      <c r="HI1244" s="650">
        <f t="shared" si="2524"/>
        <v>64.988600993000006</v>
      </c>
      <c r="HJ1244" s="650">
        <f t="shared" si="2524"/>
        <v>103.54407047999999</v>
      </c>
      <c r="HK1244" s="650">
        <f t="shared" si="2524"/>
        <v>74.534712210000009</v>
      </c>
      <c r="HL1244" s="650">
        <f t="shared" si="2524"/>
        <v>99.248177003000009</v>
      </c>
      <c r="HM1244" s="650">
        <f t="shared" ref="HM1244:HR1244" si="2525">+HM853+HM887+HM891-HM888-HM892</f>
        <v>95.411190892000008</v>
      </c>
      <c r="HN1244" s="650">
        <f t="shared" si="2525"/>
        <v>72.16510446800001</v>
      </c>
      <c r="HO1244" s="650">
        <f t="shared" si="2525"/>
        <v>79.193527131999986</v>
      </c>
      <c r="HP1244" s="650">
        <f t="shared" si="2525"/>
        <v>77.565129693666705</v>
      </c>
      <c r="HQ1244" s="650">
        <f t="shared" si="2525"/>
        <v>50.787186271666712</v>
      </c>
      <c r="HR1244" s="650">
        <f t="shared" si="2525"/>
        <v>71.620641892666697</v>
      </c>
      <c r="HS1244" s="650"/>
      <c r="HT1244" s="650"/>
      <c r="HU1244" s="650"/>
      <c r="HV1244" s="650"/>
      <c r="HW1244" s="650"/>
      <c r="HX1244" s="650"/>
    </row>
    <row r="1245" spans="4:232" ht="17.25" customHeight="1">
      <c r="D1245" s="1543" t="s">
        <v>3209</v>
      </c>
      <c r="E1245" s="650">
        <f t="shared" ref="E1245:AJ1245" si="2526">E600</f>
        <v>2.9690000000000001E-2</v>
      </c>
      <c r="F1245" s="650">
        <f t="shared" si="2526"/>
        <v>0.14680000000000001</v>
      </c>
      <c r="G1245" s="650">
        <f t="shared" si="2526"/>
        <v>0.58828440199999998</v>
      </c>
      <c r="H1245" s="650">
        <f t="shared" si="2526"/>
        <v>0.25210000000000005</v>
      </c>
      <c r="I1245" s="650">
        <f t="shared" si="2526"/>
        <v>9.2200000000000004E-2</v>
      </c>
      <c r="J1245" s="650">
        <f t="shared" si="2526"/>
        <v>0.42216999999999999</v>
      </c>
      <c r="K1245" s="650">
        <f t="shared" si="2526"/>
        <v>1.2952300000000001</v>
      </c>
      <c r="L1245" s="650">
        <f t="shared" si="2526"/>
        <v>0.12190000000000001</v>
      </c>
      <c r="M1245" s="650">
        <f t="shared" si="2526"/>
        <v>0.21049999999999999</v>
      </c>
      <c r="N1245" s="650">
        <f t="shared" si="2526"/>
        <v>2.3719038439999998</v>
      </c>
      <c r="O1245" s="650">
        <f t="shared" si="2526"/>
        <v>2.3870999999999998</v>
      </c>
      <c r="P1245" s="650">
        <f t="shared" si="2526"/>
        <v>0.79638999999999993</v>
      </c>
      <c r="Q1245" s="650">
        <f t="shared" si="2526"/>
        <v>6.4399999999999999E-2</v>
      </c>
      <c r="R1245" s="650">
        <f t="shared" si="2526"/>
        <v>0</v>
      </c>
      <c r="S1245" s="650">
        <f t="shared" si="2526"/>
        <v>1.5885</v>
      </c>
      <c r="T1245" s="650">
        <f t="shared" si="2526"/>
        <v>0.15829390599999998</v>
      </c>
      <c r="U1245" s="650">
        <f t="shared" si="2526"/>
        <v>0.49757000000000001</v>
      </c>
      <c r="V1245" s="650">
        <f t="shared" si="2526"/>
        <v>1.629842891</v>
      </c>
      <c r="W1245" s="650">
        <f t="shared" si="2526"/>
        <v>0.27794000000000002</v>
      </c>
      <c r="X1245" s="650">
        <f t="shared" si="2526"/>
        <v>1.74481</v>
      </c>
      <c r="Y1245" s="650">
        <f t="shared" si="2526"/>
        <v>0.23041</v>
      </c>
      <c r="Z1245" s="650">
        <f t="shared" si="2526"/>
        <v>7.6219999999999996E-2</v>
      </c>
      <c r="AA1245" s="650">
        <f t="shared" si="2526"/>
        <v>1.6877500000000001</v>
      </c>
      <c r="AB1245" s="650">
        <f t="shared" si="2526"/>
        <v>0.89905999999999997</v>
      </c>
      <c r="AC1245" s="650">
        <f t="shared" si="2526"/>
        <v>0</v>
      </c>
      <c r="AD1245" s="650">
        <f t="shared" si="2526"/>
        <v>0</v>
      </c>
      <c r="AE1245" s="650">
        <f t="shared" si="2526"/>
        <v>1.09131</v>
      </c>
      <c r="AF1245" s="650">
        <f t="shared" si="2526"/>
        <v>3.7630000000000004E-2</v>
      </c>
      <c r="AG1245" s="650">
        <f t="shared" si="2526"/>
        <v>0</v>
      </c>
      <c r="AH1245" s="650">
        <f t="shared" si="2526"/>
        <v>1.3945999999999998</v>
      </c>
      <c r="AI1245" s="650">
        <f t="shared" si="2526"/>
        <v>0.47020999999999996</v>
      </c>
      <c r="AJ1245" s="650">
        <f t="shared" si="2526"/>
        <v>1.27372</v>
      </c>
      <c r="AK1245" s="650">
        <f t="shared" ref="AK1245:BP1245" si="2527">AK600</f>
        <v>0.77052999999999994</v>
      </c>
      <c r="AL1245" s="650">
        <f t="shared" si="2527"/>
        <v>0.81901000000000002</v>
      </c>
      <c r="AM1245" s="650">
        <f t="shared" si="2527"/>
        <v>1.2096099999999999</v>
      </c>
      <c r="AN1245" s="650">
        <f t="shared" si="2527"/>
        <v>0.28293000000000001</v>
      </c>
      <c r="AO1245" s="650">
        <f t="shared" si="2527"/>
        <v>0.2</v>
      </c>
      <c r="AP1245" s="650">
        <f t="shared" si="2527"/>
        <v>0.38771</v>
      </c>
      <c r="AQ1245" s="650">
        <f t="shared" si="2527"/>
        <v>1.8365499999999999</v>
      </c>
      <c r="AR1245" s="650">
        <f t="shared" si="2527"/>
        <v>0.28073999999999999</v>
      </c>
      <c r="AS1245" s="650">
        <f t="shared" si="2527"/>
        <v>0.17144000000000001</v>
      </c>
      <c r="AT1245" s="650">
        <f t="shared" si="2527"/>
        <v>1.83338</v>
      </c>
      <c r="AU1245" s="650">
        <f t="shared" si="2527"/>
        <v>0.47499000000000002</v>
      </c>
      <c r="AV1245" s="650">
        <f t="shared" si="2527"/>
        <v>1.2760499999999999</v>
      </c>
      <c r="AW1245" s="650">
        <f t="shared" si="2527"/>
        <v>1.0518800000000001</v>
      </c>
      <c r="AX1245" s="650">
        <f t="shared" si="2527"/>
        <v>0.2051</v>
      </c>
      <c r="AY1245" s="650">
        <f t="shared" si="2527"/>
        <v>1.22367</v>
      </c>
      <c r="AZ1245" s="650">
        <f t="shared" si="2527"/>
        <v>1.1745000000000001</v>
      </c>
      <c r="BA1245" s="650">
        <f t="shared" si="2527"/>
        <v>0.29500999999999999</v>
      </c>
      <c r="BB1245" s="650">
        <f t="shared" si="2527"/>
        <v>0.60347000000000006</v>
      </c>
      <c r="BC1245" s="650">
        <f t="shared" si="2527"/>
        <v>0.94487999999999994</v>
      </c>
      <c r="BD1245" s="650">
        <f t="shared" si="2527"/>
        <v>1.4343699999999999</v>
      </c>
      <c r="BE1245" s="650">
        <f t="shared" si="2527"/>
        <v>0.26206000000000002</v>
      </c>
      <c r="BF1245" s="650">
        <f t="shared" si="2527"/>
        <v>1.9930999999999999</v>
      </c>
      <c r="BG1245" s="650">
        <f t="shared" si="2527"/>
        <v>0.615281148</v>
      </c>
      <c r="BH1245" s="650">
        <f t="shared" si="2527"/>
        <v>0.56509976700000009</v>
      </c>
      <c r="BI1245" s="650">
        <f t="shared" si="2527"/>
        <v>2.1105200669999999</v>
      </c>
      <c r="BJ1245" s="650">
        <f t="shared" si="2527"/>
        <v>0.404843642</v>
      </c>
      <c r="BK1245" s="650">
        <f t="shared" si="2527"/>
        <v>0.58462094600000003</v>
      </c>
      <c r="BL1245" s="650">
        <f t="shared" si="2527"/>
        <v>2.6412371509999999</v>
      </c>
      <c r="BM1245" s="650">
        <f t="shared" si="2527"/>
        <v>0.82026999999999994</v>
      </c>
      <c r="BN1245" s="650">
        <f t="shared" si="2527"/>
        <v>1.2502800000000001</v>
      </c>
      <c r="BO1245" s="650">
        <f t="shared" si="2527"/>
        <v>1.8665499999999999</v>
      </c>
      <c r="BP1245" s="650">
        <f t="shared" si="2527"/>
        <v>6.445999999999999E-2</v>
      </c>
      <c r="BQ1245" s="650">
        <f t="shared" ref="BQ1245:CV1245" si="2528">BQ600</f>
        <v>0.30124000000000001</v>
      </c>
      <c r="BR1245" s="650">
        <f t="shared" si="2528"/>
        <v>1.6529700000000001</v>
      </c>
      <c r="BS1245" s="650">
        <f t="shared" si="2528"/>
        <v>0.72970000000000002</v>
      </c>
      <c r="BT1245" s="650">
        <f t="shared" si="2528"/>
        <v>0.69099999999999995</v>
      </c>
      <c r="BU1245" s="650">
        <f t="shared" si="2528"/>
        <v>1.8905999999999998</v>
      </c>
      <c r="BV1245" s="650">
        <f t="shared" si="2528"/>
        <v>0</v>
      </c>
      <c r="BW1245" s="650">
        <f t="shared" si="2528"/>
        <v>0</v>
      </c>
      <c r="BX1245" s="650">
        <f t="shared" si="2528"/>
        <v>0</v>
      </c>
      <c r="BY1245" s="650">
        <f t="shared" si="2528"/>
        <v>0</v>
      </c>
      <c r="BZ1245" s="650">
        <f t="shared" si="2528"/>
        <v>0</v>
      </c>
      <c r="CA1245" s="650">
        <f t="shared" si="2528"/>
        <v>0</v>
      </c>
      <c r="CB1245" s="650">
        <f t="shared" si="2528"/>
        <v>0</v>
      </c>
      <c r="CC1245" s="650">
        <f t="shared" si="2528"/>
        <v>0</v>
      </c>
      <c r="CD1245" s="650">
        <f t="shared" si="2528"/>
        <v>0</v>
      </c>
      <c r="CE1245" s="650">
        <f t="shared" si="2528"/>
        <v>0.91287137277799746</v>
      </c>
      <c r="CF1245" s="650">
        <f t="shared" si="2528"/>
        <v>2.6440019562175725</v>
      </c>
      <c r="CG1245" s="650">
        <f t="shared" si="2528"/>
        <v>1.8202696501794504</v>
      </c>
      <c r="CH1245" s="650">
        <f t="shared" si="2528"/>
        <v>1.0035432534759998</v>
      </c>
      <c r="CI1245" s="650">
        <f t="shared" si="2528"/>
        <v>2.0724815196329991</v>
      </c>
      <c r="CJ1245" s="650">
        <f t="shared" si="2528"/>
        <v>1.4396311112401539</v>
      </c>
      <c r="CK1245" s="650">
        <f t="shared" si="2528"/>
        <v>1.112374852024002</v>
      </c>
      <c r="CL1245" s="650">
        <f t="shared" si="2528"/>
        <v>0.9939060787571673</v>
      </c>
      <c r="CM1245" s="650">
        <f t="shared" si="2528"/>
        <v>1.7816367285922678</v>
      </c>
      <c r="CN1245" s="650">
        <f t="shared" si="2528"/>
        <v>1.1560964636119997</v>
      </c>
      <c r="CO1245" s="650">
        <f t="shared" si="2528"/>
        <v>1.1988465443248493</v>
      </c>
      <c r="CP1245" s="650">
        <f t="shared" si="2528"/>
        <v>1.9066930600305543</v>
      </c>
      <c r="CQ1245" s="650">
        <f t="shared" si="2528"/>
        <v>0.89509302121562162</v>
      </c>
      <c r="CR1245" s="650">
        <f t="shared" si="2528"/>
        <v>2.3775702459999999</v>
      </c>
      <c r="CS1245" s="650">
        <f t="shared" si="2528"/>
        <v>0.90787249299999995</v>
      </c>
      <c r="CT1245" s="650">
        <f t="shared" si="2528"/>
        <v>0.99845654799999994</v>
      </c>
      <c r="CU1245" s="650">
        <f t="shared" si="2528"/>
        <v>2.4439537179999999</v>
      </c>
      <c r="CV1245" s="650">
        <f t="shared" si="2528"/>
        <v>0.69764231200000004</v>
      </c>
      <c r="CW1245" s="650">
        <f t="shared" ref="CW1245:EB1245" si="2529">CW600</f>
        <v>0.98295110763615112</v>
      </c>
      <c r="CX1245" s="650">
        <f t="shared" si="2529"/>
        <v>2.26856999</v>
      </c>
      <c r="CY1245" s="650">
        <f t="shared" si="2529"/>
        <v>1.368852736</v>
      </c>
      <c r="CZ1245" s="650">
        <f t="shared" si="2529"/>
        <v>0.9260694413638757</v>
      </c>
      <c r="DA1245" s="650">
        <f t="shared" si="2529"/>
        <v>2.7193807799999998</v>
      </c>
      <c r="DB1245" s="650">
        <f t="shared" si="2529"/>
        <v>1.6617217120000001</v>
      </c>
      <c r="DC1245" s="650">
        <f t="shared" si="2529"/>
        <v>1.013739671850697</v>
      </c>
      <c r="DD1245" s="650">
        <f t="shared" si="2529"/>
        <v>3.8155369459999999</v>
      </c>
      <c r="DE1245" s="650">
        <f t="shared" si="2529"/>
        <v>1.2336428793999998</v>
      </c>
      <c r="DF1245" s="650">
        <f t="shared" si="2529"/>
        <v>1.327297921581104</v>
      </c>
      <c r="DG1245" s="650">
        <f t="shared" si="2529"/>
        <v>4.0140894349999998</v>
      </c>
      <c r="DH1245" s="650">
        <f t="shared" si="2529"/>
        <v>1.0529086349999999</v>
      </c>
      <c r="DI1245" s="650">
        <f t="shared" si="2529"/>
        <v>1.1573102669999999</v>
      </c>
      <c r="DJ1245" s="650">
        <f t="shared" si="2529"/>
        <v>4.0698216370000004</v>
      </c>
      <c r="DK1245" s="650">
        <f t="shared" si="2529"/>
        <v>1.0609657140000008</v>
      </c>
      <c r="DL1245" s="650">
        <f t="shared" si="2529"/>
        <v>1.0815417723131717</v>
      </c>
      <c r="DM1245" s="650">
        <f t="shared" si="2529"/>
        <v>4.1636333206521741</v>
      </c>
      <c r="DN1245" s="650">
        <f t="shared" si="2529"/>
        <v>1.3608856950800003</v>
      </c>
      <c r="DO1245" s="650">
        <f t="shared" si="2529"/>
        <v>1.2351774840365648</v>
      </c>
      <c r="DP1245" s="650">
        <f t="shared" si="2529"/>
        <v>6.1734157689873967</v>
      </c>
      <c r="DQ1245" s="650">
        <f t="shared" si="2529"/>
        <v>2.029494319699999</v>
      </c>
      <c r="DR1245" s="650">
        <f t="shared" si="2529"/>
        <v>1.2692359781160756</v>
      </c>
      <c r="DS1245" s="650">
        <f t="shared" si="2529"/>
        <v>5.1450937291111103</v>
      </c>
      <c r="DT1245" s="650">
        <f t="shared" si="2529"/>
        <v>3.2687679459695027</v>
      </c>
      <c r="DU1245" s="650">
        <f t="shared" si="2529"/>
        <v>1.6967300333154924</v>
      </c>
      <c r="DV1245" s="650">
        <f t="shared" si="2529"/>
        <v>6.8498788734528917</v>
      </c>
      <c r="DW1245" s="650">
        <f t="shared" si="2529"/>
        <v>2.044152556342</v>
      </c>
      <c r="DX1245" s="650">
        <f t="shared" si="2529"/>
        <v>1.7110111851588521</v>
      </c>
      <c r="DY1245" s="650">
        <f t="shared" si="2529"/>
        <v>6.1522524299347809</v>
      </c>
      <c r="DZ1245" s="650">
        <f t="shared" si="2529"/>
        <v>3.0128467449470024</v>
      </c>
      <c r="EA1245" s="650">
        <f t="shared" si="2529"/>
        <v>2.1337011621431112</v>
      </c>
      <c r="EB1245" s="650">
        <f t="shared" si="2529"/>
        <v>7.0659748616649996</v>
      </c>
      <c r="EC1245" s="650">
        <f t="shared" ref="EC1245:EX1245" si="2530">EC600</f>
        <v>3.1904143020000002</v>
      </c>
      <c r="ED1245" s="650">
        <f t="shared" si="2530"/>
        <v>2.0750919090000002</v>
      </c>
      <c r="EE1245" s="650">
        <f t="shared" si="2530"/>
        <v>7.6867913659999996</v>
      </c>
      <c r="EF1245" s="650">
        <f t="shared" si="2530"/>
        <v>2.497102579410345</v>
      </c>
      <c r="EG1245" s="650">
        <f t="shared" si="2530"/>
        <v>2.2924976775182282</v>
      </c>
      <c r="EH1245" s="650">
        <f t="shared" si="2530"/>
        <v>7.962119747296958</v>
      </c>
      <c r="EI1245" s="650">
        <f t="shared" si="2530"/>
        <v>3.3006868052530733</v>
      </c>
      <c r="EJ1245" s="650">
        <f t="shared" si="2530"/>
        <v>1.9681334131410042</v>
      </c>
      <c r="EK1245" s="650">
        <f t="shared" si="2530"/>
        <v>7.9209123550308345</v>
      </c>
      <c r="EL1245" s="650">
        <f t="shared" si="2530"/>
        <v>3.282589705546533</v>
      </c>
      <c r="EM1245" s="650">
        <f t="shared" si="2530"/>
        <v>2.228758729166457</v>
      </c>
      <c r="EN1245" s="650">
        <f t="shared" si="2530"/>
        <v>7.9635574682075188</v>
      </c>
      <c r="EO1245" s="650">
        <f t="shared" si="2530"/>
        <v>2.6397766795801307</v>
      </c>
      <c r="EP1245" s="650">
        <f t="shared" si="2530"/>
        <v>2.0865679931982122</v>
      </c>
      <c r="EQ1245" s="650">
        <f t="shared" si="2530"/>
        <v>2.2005343650000002</v>
      </c>
      <c r="ER1245" s="650">
        <f t="shared" si="2530"/>
        <v>10.34234914812088</v>
      </c>
      <c r="ES1245" s="650">
        <f t="shared" si="2530"/>
        <v>2.8476184939999998</v>
      </c>
      <c r="ET1245" s="650">
        <f t="shared" si="2530"/>
        <v>8.8725304500000011</v>
      </c>
      <c r="EU1245" s="650">
        <f t="shared" si="2530"/>
        <v>2.0579719870000002</v>
      </c>
      <c r="EV1245" s="650">
        <f t="shared" si="2530"/>
        <v>1.4585385360000001</v>
      </c>
      <c r="EW1245" s="650">
        <f t="shared" si="2530"/>
        <v>10.389073190000001</v>
      </c>
      <c r="EX1245" s="650">
        <f t="shared" si="2530"/>
        <v>1.695973894</v>
      </c>
      <c r="EY1245" s="1619">
        <f t="shared" ref="EY1245:GD1245" si="2531">+EY876</f>
        <v>1.9953984659999999</v>
      </c>
      <c r="EZ1245" s="650">
        <f t="shared" si="2531"/>
        <v>12.017003176999999</v>
      </c>
      <c r="FA1245" s="650">
        <f t="shared" si="2531"/>
        <v>1.34400919</v>
      </c>
      <c r="FB1245" s="650">
        <f t="shared" si="2531"/>
        <v>4.4300871810000002</v>
      </c>
      <c r="FC1245" s="650">
        <f t="shared" si="2531"/>
        <v>13.811664832</v>
      </c>
      <c r="FD1245" s="650">
        <f t="shared" si="2531"/>
        <v>5.4821694860000001</v>
      </c>
      <c r="FE1245" s="650">
        <f t="shared" si="2531"/>
        <v>3.1499937920000001</v>
      </c>
      <c r="FF1245" s="650">
        <f t="shared" si="2531"/>
        <v>12.751089638</v>
      </c>
      <c r="FG1245" s="650">
        <f t="shared" si="2531"/>
        <v>3.8314582430000002</v>
      </c>
      <c r="FH1245" s="650">
        <f t="shared" si="2531"/>
        <v>6.4921787229999994</v>
      </c>
      <c r="FI1245" s="650">
        <f t="shared" si="2531"/>
        <v>6.2867501839999997</v>
      </c>
      <c r="FJ1245" s="650">
        <f t="shared" si="2531"/>
        <v>6.7099874919999998</v>
      </c>
      <c r="FK1245" s="650">
        <f t="shared" si="2531"/>
        <v>4.4636755949999998</v>
      </c>
      <c r="FL1245" s="650">
        <f t="shared" si="2531"/>
        <v>16.899956773</v>
      </c>
      <c r="FM1245" s="650">
        <f t="shared" si="2531"/>
        <v>5.819656954</v>
      </c>
      <c r="FN1245" s="650">
        <f t="shared" si="2531"/>
        <v>2.1485233610000001</v>
      </c>
      <c r="FO1245" s="650">
        <f t="shared" si="2531"/>
        <v>17.866421719999998</v>
      </c>
      <c r="FP1245" s="650">
        <f t="shared" si="2531"/>
        <v>3.8656419530000004</v>
      </c>
      <c r="FQ1245" s="650">
        <f t="shared" si="2531"/>
        <v>4.7048165869999998</v>
      </c>
      <c r="FR1245" s="650">
        <f t="shared" si="2531"/>
        <v>21.759187754999658</v>
      </c>
      <c r="FS1245" s="650">
        <f t="shared" si="2531"/>
        <v>6.0728433150000001</v>
      </c>
      <c r="FT1245" s="650">
        <f t="shared" si="2531"/>
        <v>3.2050342299999999</v>
      </c>
      <c r="FU1245" s="650">
        <f t="shared" si="2531"/>
        <v>21.412382133999998</v>
      </c>
      <c r="FV1245" s="650">
        <f t="shared" si="2531"/>
        <v>5.2907410247056772</v>
      </c>
      <c r="FW1245" s="650">
        <f t="shared" si="2531"/>
        <v>7.2843680590000002</v>
      </c>
      <c r="FX1245" s="650">
        <f t="shared" si="2531"/>
        <v>28.532119584</v>
      </c>
      <c r="FY1245" s="650">
        <f t="shared" si="2531"/>
        <v>4.7649259050000001</v>
      </c>
      <c r="FZ1245" s="650">
        <f t="shared" si="2531"/>
        <v>3.1639988880000001</v>
      </c>
      <c r="GA1245" s="650">
        <f t="shared" si="2531"/>
        <v>24.844301186999999</v>
      </c>
      <c r="GB1245" s="650">
        <f t="shared" si="2531"/>
        <v>5.7843948059999999</v>
      </c>
      <c r="GC1245" s="650">
        <f t="shared" si="2531"/>
        <v>4.7383394899999995</v>
      </c>
      <c r="GD1245" s="650">
        <f t="shared" si="2531"/>
        <v>29.999293304000002</v>
      </c>
      <c r="GE1245" s="650">
        <f t="shared" ref="GE1245:HL1245" si="2532">+GE876</f>
        <v>4.5391355600000001</v>
      </c>
      <c r="GF1245" s="650">
        <f t="shared" si="2532"/>
        <v>1.7747785490000001</v>
      </c>
      <c r="GG1245" s="650">
        <f t="shared" si="2532"/>
        <v>30.590790138000003</v>
      </c>
      <c r="GH1245" s="650">
        <f t="shared" si="2532"/>
        <v>4.3509939009999998</v>
      </c>
      <c r="GI1245" s="650">
        <f t="shared" si="2532"/>
        <v>6.680501349</v>
      </c>
      <c r="GJ1245" s="650">
        <f t="shared" si="2532"/>
        <v>36.359391498000001</v>
      </c>
      <c r="GK1245" s="650">
        <f t="shared" si="2532"/>
        <v>7.5202888159999999</v>
      </c>
      <c r="GL1245" s="650">
        <f t="shared" si="2532"/>
        <v>2.5441111159999998</v>
      </c>
      <c r="GM1245" s="650">
        <f t="shared" si="2532"/>
        <v>36.181439558999998</v>
      </c>
      <c r="GN1245" s="650">
        <f t="shared" si="2532"/>
        <v>4.6916540769999999</v>
      </c>
      <c r="GO1245" s="650">
        <f t="shared" si="2532"/>
        <v>7.8868416830000001</v>
      </c>
      <c r="GP1245" s="650">
        <f t="shared" si="2532"/>
        <v>40.304743088999999</v>
      </c>
      <c r="GQ1245" s="650">
        <f t="shared" si="2532"/>
        <v>9.7221642589999995</v>
      </c>
      <c r="GR1245" s="650">
        <f t="shared" si="2532"/>
        <v>2.3315845300000002</v>
      </c>
      <c r="GS1245" s="650">
        <f t="shared" si="2532"/>
        <v>43.003715217</v>
      </c>
      <c r="GT1245" s="650">
        <f t="shared" si="2532"/>
        <v>5.4273588840000002</v>
      </c>
      <c r="GU1245" s="650">
        <f t="shared" si="2532"/>
        <v>8.2993290270000006</v>
      </c>
      <c r="GV1245" s="650">
        <f t="shared" si="2532"/>
        <v>41.580799589000002</v>
      </c>
      <c r="GW1245" s="650">
        <f t="shared" si="2532"/>
        <v>5.8754405619999996</v>
      </c>
      <c r="GX1245" s="650">
        <f t="shared" si="2532"/>
        <v>3.498546213</v>
      </c>
      <c r="GY1245" s="650">
        <f t="shared" si="2532"/>
        <v>44.205506296999999</v>
      </c>
      <c r="GZ1245" s="650">
        <f t="shared" si="2532"/>
        <v>10.491441803000001</v>
      </c>
      <c r="HA1245" s="650">
        <f t="shared" si="2532"/>
        <v>12.977892861000001</v>
      </c>
      <c r="HB1245" s="650">
        <f t="shared" si="2532"/>
        <v>45.146402455999997</v>
      </c>
      <c r="HC1245" s="650">
        <f t="shared" si="2532"/>
        <v>6.0679579840000004</v>
      </c>
      <c r="HD1245" s="650">
        <f t="shared" si="2532"/>
        <v>3.8733084139999998</v>
      </c>
      <c r="HE1245" s="650">
        <f t="shared" si="2532"/>
        <v>45.152003563000001</v>
      </c>
      <c r="HF1245" s="650">
        <f t="shared" si="2532"/>
        <v>7.3001792999999999</v>
      </c>
      <c r="HG1245" s="650">
        <f t="shared" si="2532"/>
        <v>11.52258271</v>
      </c>
      <c r="HH1245" s="650">
        <f t="shared" si="2532"/>
        <v>49.459257984038459</v>
      </c>
      <c r="HI1245" s="650">
        <f t="shared" si="2532"/>
        <v>5.7053801283076897</v>
      </c>
      <c r="HJ1245" s="650">
        <f t="shared" si="2532"/>
        <v>4.0905209889999998</v>
      </c>
      <c r="HK1245" s="650">
        <f t="shared" si="2532"/>
        <v>46.305216535</v>
      </c>
      <c r="HL1245" s="650">
        <f t="shared" si="2532"/>
        <v>8.4563577305384605</v>
      </c>
      <c r="HM1245" s="650">
        <f t="shared" ref="HM1245:HR1245" si="2533">+HM876</f>
        <v>15.559363926</v>
      </c>
      <c r="HN1245" s="650">
        <f t="shared" si="2533"/>
        <v>56.515718337999999</v>
      </c>
      <c r="HO1245" s="650">
        <f t="shared" si="2533"/>
        <v>5.5279192024615336</v>
      </c>
      <c r="HP1245" s="650">
        <f t="shared" si="2533"/>
        <v>4.8074172199999996</v>
      </c>
      <c r="HQ1245" s="650">
        <f t="shared" si="2533"/>
        <v>42.781210905000002</v>
      </c>
      <c r="HR1245" s="650">
        <f t="shared" si="2533"/>
        <v>10.829430836</v>
      </c>
      <c r="HS1245" s="650"/>
      <c r="HT1245" s="650"/>
      <c r="HU1245" s="650"/>
      <c r="HV1245" s="650"/>
      <c r="HW1245" s="650"/>
      <c r="HX1245" s="650"/>
    </row>
    <row r="1246" spans="4:232" ht="17.25" customHeight="1" thickBot="1">
      <c r="D1246" s="1543" t="s">
        <v>3210</v>
      </c>
      <c r="E1246" s="650">
        <f t="shared" ref="E1246:AJ1246" si="2534">+E603</f>
        <v>0.15573618790412799</v>
      </c>
      <c r="F1246" s="650">
        <f t="shared" si="2534"/>
        <v>0.30486003372000003</v>
      </c>
      <c r="G1246" s="650">
        <f t="shared" si="2534"/>
        <v>6.9508115032499998E-2</v>
      </c>
      <c r="H1246" s="650">
        <f t="shared" si="2534"/>
        <v>0.54656186912827198</v>
      </c>
      <c r="I1246" s="650">
        <f t="shared" si="2534"/>
        <v>8.9836727898000013E-2</v>
      </c>
      <c r="J1246" s="650">
        <f t="shared" si="2534"/>
        <v>0.56584702272589993</v>
      </c>
      <c r="K1246" s="650">
        <f t="shared" si="2534"/>
        <v>0.24058884532630001</v>
      </c>
      <c r="L1246" s="650">
        <f t="shared" si="2534"/>
        <v>0.1564783268496</v>
      </c>
      <c r="M1246" s="650">
        <f t="shared" si="2534"/>
        <v>6.3085660884E-2</v>
      </c>
      <c r="N1246" s="650">
        <f t="shared" si="2534"/>
        <v>5.7374798740000003E-2</v>
      </c>
      <c r="O1246" s="650">
        <f t="shared" si="2534"/>
        <v>5.1228961000000005E-3</v>
      </c>
      <c r="P1246" s="650">
        <f t="shared" si="2534"/>
        <v>1.153293008E-2</v>
      </c>
      <c r="Q1246" s="650">
        <f t="shared" si="2534"/>
        <v>0.31759800939159993</v>
      </c>
      <c r="R1246" s="650">
        <f t="shared" si="2534"/>
        <v>1.9064099342700001E-2</v>
      </c>
      <c r="S1246" s="650">
        <f t="shared" si="2534"/>
        <v>0.21270351672499999</v>
      </c>
      <c r="T1246" s="650">
        <f t="shared" si="2534"/>
        <v>0.60981088226400004</v>
      </c>
      <c r="U1246" s="650">
        <f t="shared" si="2534"/>
        <v>0.36712306565550001</v>
      </c>
      <c r="V1246" s="650">
        <f t="shared" si="2534"/>
        <v>0.41081250139199998</v>
      </c>
      <c r="W1246" s="650">
        <f t="shared" si="2534"/>
        <v>0.28025884034999998</v>
      </c>
      <c r="X1246" s="650">
        <f t="shared" si="2534"/>
        <v>8.2160354080000001E-3</v>
      </c>
      <c r="Y1246" s="650">
        <f t="shared" si="2534"/>
        <v>0.25498676760479999</v>
      </c>
      <c r="Z1246" s="650">
        <f t="shared" si="2534"/>
        <v>0.62958045557340014</v>
      </c>
      <c r="AA1246" s="650">
        <f t="shared" si="2534"/>
        <v>8.1860323789399989E-2</v>
      </c>
      <c r="AB1246" s="650">
        <f t="shared" si="2534"/>
        <v>0.56546407370700003</v>
      </c>
      <c r="AC1246" s="650">
        <f t="shared" si="2534"/>
        <v>0.32803835200000003</v>
      </c>
      <c r="AD1246" s="650">
        <f t="shared" si="2534"/>
        <v>4.8028904000000004E-2</v>
      </c>
      <c r="AE1246" s="650">
        <f t="shared" si="2534"/>
        <v>0.28850029300000002</v>
      </c>
      <c r="AF1246" s="650">
        <f t="shared" si="2534"/>
        <v>0.63411767899999993</v>
      </c>
      <c r="AG1246" s="650">
        <f t="shared" si="2534"/>
        <v>8.9409139999999998E-2</v>
      </c>
      <c r="AH1246" s="650">
        <f t="shared" si="2534"/>
        <v>0.73523419600000006</v>
      </c>
      <c r="AI1246" s="650">
        <f t="shared" si="2534"/>
        <v>0.32633109500000002</v>
      </c>
      <c r="AJ1246" s="650">
        <f t="shared" si="2534"/>
        <v>4.1893449999999999E-2</v>
      </c>
      <c r="AK1246" s="650">
        <f t="shared" ref="AK1246:BP1246" si="2535">+AK603</f>
        <v>0.31604354700000004</v>
      </c>
      <c r="AL1246" s="650">
        <f t="shared" si="2535"/>
        <v>0.904692685</v>
      </c>
      <c r="AM1246" s="650">
        <f t="shared" si="2535"/>
        <v>0.20418752599999998</v>
      </c>
      <c r="AN1246" s="650">
        <f t="shared" si="2535"/>
        <v>0.14614628299999999</v>
      </c>
      <c r="AO1246" s="650">
        <f t="shared" si="2535"/>
        <v>0.40318742926000001</v>
      </c>
      <c r="AP1246" s="650">
        <f t="shared" si="2535"/>
        <v>6.0189098059999994E-2</v>
      </c>
      <c r="AQ1246" s="650">
        <f t="shared" si="2535"/>
        <v>0.35015841232722006</v>
      </c>
      <c r="AR1246" s="650">
        <f t="shared" si="2535"/>
        <v>0.83703286911999997</v>
      </c>
      <c r="AS1246" s="650">
        <f t="shared" si="2535"/>
        <v>0.14510115034800003</v>
      </c>
      <c r="AT1246" s="650">
        <f t="shared" si="2535"/>
        <v>0.50910809306560001</v>
      </c>
      <c r="AU1246" s="650">
        <f t="shared" si="2535"/>
        <v>0.40100971724000001</v>
      </c>
      <c r="AV1246" s="650">
        <f t="shared" si="2535"/>
        <v>5.8221062880000007E-2</v>
      </c>
      <c r="AW1246" s="650">
        <f t="shared" si="2535"/>
        <v>0.38420434755000005</v>
      </c>
      <c r="AX1246" s="650">
        <f t="shared" si="2535"/>
        <v>0.82852465007999987</v>
      </c>
      <c r="AY1246" s="650">
        <f t="shared" si="2535"/>
        <v>0.14268597290079998</v>
      </c>
      <c r="AZ1246" s="650">
        <f t="shared" si="2535"/>
        <v>0.43981937736750004</v>
      </c>
      <c r="BA1246" s="650">
        <f t="shared" si="2535"/>
        <v>0.43558012800000001</v>
      </c>
      <c r="BB1246" s="650">
        <f t="shared" si="2535"/>
        <v>1.0110004000000001E-2</v>
      </c>
      <c r="BC1246" s="650">
        <f t="shared" si="2535"/>
        <v>0.92716271800000005</v>
      </c>
      <c r="BD1246" s="650">
        <f t="shared" si="2535"/>
        <v>0.33331492800000001</v>
      </c>
      <c r="BE1246" s="650">
        <f t="shared" si="2535"/>
        <v>0.16448881800000001</v>
      </c>
      <c r="BF1246" s="650">
        <f t="shared" si="2535"/>
        <v>0.46239011799999996</v>
      </c>
      <c r="BG1246" s="650">
        <f t="shared" si="2535"/>
        <v>0.34486628699999999</v>
      </c>
      <c r="BH1246" s="650">
        <f t="shared" si="2535"/>
        <v>9.8366340000000003E-3</v>
      </c>
      <c r="BI1246" s="650">
        <f t="shared" si="2535"/>
        <v>1.212131165</v>
      </c>
      <c r="BJ1246" s="650">
        <f t="shared" si="2535"/>
        <v>0.33043321182000002</v>
      </c>
      <c r="BK1246" s="650">
        <f t="shared" si="2535"/>
        <v>0.32499299599999998</v>
      </c>
      <c r="BL1246" s="650">
        <f t="shared" si="2535"/>
        <v>0.34056488600000001</v>
      </c>
      <c r="BM1246" s="650">
        <f t="shared" si="2535"/>
        <v>0.39396392488999998</v>
      </c>
      <c r="BN1246" s="650">
        <f t="shared" si="2535"/>
        <v>7.265613348000001E-2</v>
      </c>
      <c r="BO1246" s="650">
        <f t="shared" si="2535"/>
        <v>1.2065038939999999</v>
      </c>
      <c r="BP1246" s="650">
        <f t="shared" si="2535"/>
        <v>0.31302999999999997</v>
      </c>
      <c r="BQ1246" s="650">
        <f t="shared" ref="BQ1246:CV1246" si="2536">+BQ603</f>
        <v>0.34902942385000002</v>
      </c>
      <c r="BR1246" s="650">
        <f t="shared" si="2536"/>
        <v>0.31419376257999998</v>
      </c>
      <c r="BS1246" s="650">
        <f t="shared" si="2536"/>
        <v>0.43530000000000002</v>
      </c>
      <c r="BT1246" s="650">
        <f t="shared" si="2536"/>
        <v>0.11749999999999999</v>
      </c>
      <c r="BU1246" s="650">
        <f t="shared" si="2536"/>
        <v>0.94889999999999997</v>
      </c>
      <c r="BV1246" s="650">
        <f t="shared" si="2536"/>
        <v>0</v>
      </c>
      <c r="BW1246" s="650">
        <f t="shared" si="2536"/>
        <v>0</v>
      </c>
      <c r="BX1246" s="650">
        <f t="shared" si="2536"/>
        <v>0</v>
      </c>
      <c r="BY1246" s="650">
        <f t="shared" si="2536"/>
        <v>0.58962372103436689</v>
      </c>
      <c r="BZ1246" s="650">
        <f t="shared" si="2536"/>
        <v>0.26209405264554808</v>
      </c>
      <c r="CA1246" s="650">
        <f t="shared" si="2536"/>
        <v>1.5240433492468854</v>
      </c>
      <c r="CB1246" s="650">
        <f t="shared" si="2536"/>
        <v>0.94911435578394543</v>
      </c>
      <c r="CC1246" s="650">
        <f t="shared" si="2536"/>
        <v>0.83735857921354295</v>
      </c>
      <c r="CD1246" s="650">
        <f t="shared" si="2536"/>
        <v>0.3171077764414989</v>
      </c>
      <c r="CE1246" s="650">
        <f t="shared" si="2536"/>
        <v>0.6969246684296645</v>
      </c>
      <c r="CF1246" s="650">
        <f t="shared" si="2536"/>
        <v>0.20840830560696241</v>
      </c>
      <c r="CG1246" s="650">
        <f t="shared" si="2536"/>
        <v>0.97392462447706141</v>
      </c>
      <c r="CH1246" s="650">
        <f t="shared" si="2536"/>
        <v>9.8554909258991508</v>
      </c>
      <c r="CI1246" s="650">
        <f t="shared" si="2536"/>
        <v>0.32145879232868413</v>
      </c>
      <c r="CJ1246" s="650">
        <f t="shared" si="2536"/>
        <v>0.19237510966634239</v>
      </c>
      <c r="CK1246" s="650">
        <f t="shared" si="2536"/>
        <v>0.71346271088450908</v>
      </c>
      <c r="CL1246" s="650">
        <f t="shared" si="2536"/>
        <v>0.21600343383900905</v>
      </c>
      <c r="CM1246" s="650">
        <f t="shared" si="2536"/>
        <v>1.1769884505048114</v>
      </c>
      <c r="CN1246" s="650">
        <f t="shared" si="2536"/>
        <v>10.349296616037982</v>
      </c>
      <c r="CO1246" s="650">
        <f t="shared" si="2536"/>
        <v>0.49532113773663172</v>
      </c>
      <c r="CP1246" s="650">
        <f t="shared" si="2536"/>
        <v>0.33179743428691255</v>
      </c>
      <c r="CQ1246" s="650">
        <f t="shared" si="2536"/>
        <v>0.79099153748848061</v>
      </c>
      <c r="CR1246" s="650">
        <f t="shared" si="2536"/>
        <v>0.11403729645791975</v>
      </c>
      <c r="CS1246" s="650">
        <f t="shared" si="2536"/>
        <v>1.4733748898749943</v>
      </c>
      <c r="CT1246" s="650">
        <f t="shared" si="2536"/>
        <v>10.366451704121625</v>
      </c>
      <c r="CU1246" s="650">
        <f t="shared" si="2536"/>
        <v>0.50758294923288882</v>
      </c>
      <c r="CV1246" s="650">
        <f t="shared" si="2536"/>
        <v>0.35534728540567539</v>
      </c>
      <c r="CW1246" s="650">
        <f t="shared" ref="CW1246:EB1246" si="2537">+CW603</f>
        <v>0.24830707547233477</v>
      </c>
      <c r="CX1246" s="650">
        <f t="shared" si="2537"/>
        <v>0.74359800471522997</v>
      </c>
      <c r="CY1246" s="650">
        <f t="shared" si="2537"/>
        <v>1.1104098504566957</v>
      </c>
      <c r="CZ1246" s="650">
        <f t="shared" si="2537"/>
        <v>11.084422587891101</v>
      </c>
      <c r="DA1246" s="650">
        <f t="shared" si="2537"/>
        <v>0.40285186905315495</v>
      </c>
      <c r="DB1246" s="650">
        <f t="shared" si="2537"/>
        <v>0.41327722969822789</v>
      </c>
      <c r="DC1246" s="650">
        <f t="shared" si="2537"/>
        <v>0.30581300002400003</v>
      </c>
      <c r="DD1246" s="650">
        <f t="shared" si="2537"/>
        <v>1.3218321449999999</v>
      </c>
      <c r="DE1246" s="650">
        <f t="shared" si="2537"/>
        <v>1.7112772300000001</v>
      </c>
      <c r="DF1246" s="650">
        <f t="shared" si="2537"/>
        <v>10.920185254000002</v>
      </c>
      <c r="DG1246" s="650">
        <f t="shared" si="2537"/>
        <v>0.41516584300000003</v>
      </c>
      <c r="DH1246" s="650">
        <f t="shared" si="2537"/>
        <v>0.48394333900000003</v>
      </c>
      <c r="DI1246" s="650">
        <f t="shared" si="2537"/>
        <v>1.017606302988461</v>
      </c>
      <c r="DJ1246" s="650">
        <f t="shared" si="2537"/>
        <v>1.3759804558694047</v>
      </c>
      <c r="DK1246" s="650">
        <f t="shared" si="2537"/>
        <v>1.4788225950813481</v>
      </c>
      <c r="DL1246" s="650">
        <f t="shared" si="2537"/>
        <v>11.335465838468624</v>
      </c>
      <c r="DM1246" s="650">
        <f t="shared" si="2537"/>
        <v>0.57451591380627609</v>
      </c>
      <c r="DN1246" s="650">
        <f t="shared" si="2537"/>
        <v>0.40663164738113922</v>
      </c>
      <c r="DO1246" s="650">
        <f t="shared" si="2537"/>
        <v>0.32722966209005344</v>
      </c>
      <c r="DP1246" s="650">
        <f t="shared" si="2537"/>
        <v>1.9954767715179773</v>
      </c>
      <c r="DQ1246" s="650">
        <f t="shared" si="2537"/>
        <v>2.9979238477775936</v>
      </c>
      <c r="DR1246" s="650">
        <f t="shared" si="2537"/>
        <v>11.535534062562478</v>
      </c>
      <c r="DS1246" s="650">
        <f t="shared" si="2537"/>
        <v>1.269771634989743</v>
      </c>
      <c r="DT1246" s="650">
        <f t="shared" si="2537"/>
        <v>0.36580835911539161</v>
      </c>
      <c r="DU1246" s="650">
        <f t="shared" si="2537"/>
        <v>1.2244464356620535</v>
      </c>
      <c r="DV1246" s="650">
        <f t="shared" si="2537"/>
        <v>1.4120260280794017</v>
      </c>
      <c r="DW1246" s="650">
        <f t="shared" si="2537"/>
        <v>3.1098523726815488</v>
      </c>
      <c r="DX1246" s="650">
        <f t="shared" si="2537"/>
        <v>11.528777302292301</v>
      </c>
      <c r="DY1246" s="650">
        <f t="shared" si="2537"/>
        <v>0.82126644185797826</v>
      </c>
      <c r="DZ1246" s="650">
        <f t="shared" si="2537"/>
        <v>0.35050648456913208</v>
      </c>
      <c r="EA1246" s="650">
        <f t="shared" si="2537"/>
        <v>1.3678306704717365</v>
      </c>
      <c r="EB1246" s="650">
        <f t="shared" si="2537"/>
        <v>2.772290399442614</v>
      </c>
      <c r="EC1246" s="650">
        <f t="shared" ref="EC1246:EX1246" si="2538">+EC603</f>
        <v>3.5298521251364812</v>
      </c>
      <c r="ED1246" s="650">
        <f t="shared" si="2538"/>
        <v>12.121851679449437</v>
      </c>
      <c r="EE1246" s="650">
        <f t="shared" si="2538"/>
        <v>0.77899620178828854</v>
      </c>
      <c r="EF1246" s="650">
        <f t="shared" si="2538"/>
        <v>0.43908386018975831</v>
      </c>
      <c r="EG1246" s="650">
        <f t="shared" si="2538"/>
        <v>1.1161334320857534</v>
      </c>
      <c r="EH1246" s="650">
        <f t="shared" si="2538"/>
        <v>3.0604763937396848</v>
      </c>
      <c r="EI1246" s="650">
        <f t="shared" si="2538"/>
        <v>2.0036299772964439</v>
      </c>
      <c r="EJ1246" s="650">
        <f t="shared" si="2538"/>
        <v>13.871885997789011</v>
      </c>
      <c r="EK1246" s="650">
        <f t="shared" si="2538"/>
        <v>0.75602008683280353</v>
      </c>
      <c r="EL1246" s="650">
        <f t="shared" si="2538"/>
        <v>1.0089266132560877</v>
      </c>
      <c r="EM1246" s="650">
        <f t="shared" si="2538"/>
        <v>1.6198623873765028</v>
      </c>
      <c r="EN1246" s="650">
        <f t="shared" si="2538"/>
        <v>2.7373024249772246</v>
      </c>
      <c r="EO1246" s="650">
        <f t="shared" si="2538"/>
        <v>2.0123866936801722</v>
      </c>
      <c r="EP1246" s="650">
        <f t="shared" si="2538"/>
        <v>14.22283591316187</v>
      </c>
      <c r="EQ1246" s="650">
        <f t="shared" si="2538"/>
        <v>1.4073944976639343</v>
      </c>
      <c r="ER1246" s="650">
        <f t="shared" si="2538"/>
        <v>1.0850148726375077</v>
      </c>
      <c r="ES1246" s="650">
        <f t="shared" si="2538"/>
        <v>1.7520355385139252</v>
      </c>
      <c r="ET1246" s="650">
        <f t="shared" si="2538"/>
        <v>2.54408384332124</v>
      </c>
      <c r="EU1246" s="650">
        <f t="shared" si="2538"/>
        <v>4.4114107411148815</v>
      </c>
      <c r="EV1246" s="650">
        <f t="shared" si="2538"/>
        <v>12.708406492627095</v>
      </c>
      <c r="EW1246" s="650">
        <f t="shared" si="2538"/>
        <v>2.0007631160883328</v>
      </c>
      <c r="EX1246" s="650">
        <f t="shared" si="2538"/>
        <v>1.3867201917728373</v>
      </c>
      <c r="EY1246" s="1619">
        <f t="shared" ref="EY1246:GD1246" si="2539">+EY870</f>
        <v>2.2628124293112153</v>
      </c>
      <c r="EZ1246" s="650">
        <f t="shared" si="2539"/>
        <v>3.0044166297506907</v>
      </c>
      <c r="FA1246" s="650">
        <f t="shared" si="2539"/>
        <v>4.6224758041384097</v>
      </c>
      <c r="FB1246" s="650">
        <f t="shared" si="2539"/>
        <v>15.064061914841748</v>
      </c>
      <c r="FC1246" s="650">
        <f t="shared" si="2539"/>
        <v>2.678425054516711</v>
      </c>
      <c r="FD1246" s="650">
        <f t="shared" si="2539"/>
        <v>0.80721773972904587</v>
      </c>
      <c r="FE1246" s="650">
        <f t="shared" si="2539"/>
        <v>3.5610480045411377</v>
      </c>
      <c r="FF1246" s="650">
        <f t="shared" si="2539"/>
        <v>3.2167937696168343</v>
      </c>
      <c r="FG1246" s="650">
        <f t="shared" si="2539"/>
        <v>5.2020126962930346</v>
      </c>
      <c r="FH1246" s="650">
        <f t="shared" si="2539"/>
        <v>14.917319584685547</v>
      </c>
      <c r="FI1246" s="650">
        <f t="shared" si="2539"/>
        <v>3.1411812884450443</v>
      </c>
      <c r="FJ1246" s="650">
        <f t="shared" si="2539"/>
        <v>2.3392490061899642</v>
      </c>
      <c r="FK1246" s="650">
        <f t="shared" si="2539"/>
        <v>2.1311138522174171</v>
      </c>
      <c r="FL1246" s="650">
        <f t="shared" si="2539"/>
        <v>3.6659391624605435</v>
      </c>
      <c r="FM1246" s="650">
        <f t="shared" si="2539"/>
        <v>6.6097783233688849</v>
      </c>
      <c r="FN1246" s="650">
        <f t="shared" si="2539"/>
        <v>14.472022977643345</v>
      </c>
      <c r="FO1246" s="650">
        <f t="shared" si="2539"/>
        <v>3.8616398652420614</v>
      </c>
      <c r="FP1246" s="650">
        <f t="shared" si="2539"/>
        <v>2.0407557288935885</v>
      </c>
      <c r="FQ1246" s="650">
        <f t="shared" si="2539"/>
        <v>3.018595064937359</v>
      </c>
      <c r="FR1246" s="650">
        <f t="shared" si="2539"/>
        <v>4.1255898384212824</v>
      </c>
      <c r="FS1246" s="650">
        <f t="shared" si="2539"/>
        <v>7.0408369434813904</v>
      </c>
      <c r="FT1246" s="650">
        <f t="shared" si="2539"/>
        <v>14.877754502618028</v>
      </c>
      <c r="FU1246" s="650">
        <f t="shared" si="2539"/>
        <v>3.4291717512039499</v>
      </c>
      <c r="FV1246" s="650">
        <f t="shared" si="2539"/>
        <v>1.9037964901119899</v>
      </c>
      <c r="FW1246" s="650">
        <f t="shared" si="2539"/>
        <v>3.0111710048357687</v>
      </c>
      <c r="FX1246" s="650">
        <f t="shared" si="2539"/>
        <v>10.635850491463801</v>
      </c>
      <c r="FY1246" s="650">
        <f t="shared" si="2539"/>
        <v>6.8643131069934498</v>
      </c>
      <c r="FZ1246" s="650">
        <f t="shared" si="2539"/>
        <v>1.3540609383678777</v>
      </c>
      <c r="GA1246" s="650">
        <f t="shared" si="2539"/>
        <v>4.381167408148027</v>
      </c>
      <c r="GB1246" s="650">
        <f t="shared" si="2539"/>
        <v>1.55055324269274</v>
      </c>
      <c r="GC1246" s="650">
        <f t="shared" si="2539"/>
        <v>4.1413609305670294</v>
      </c>
      <c r="GD1246" s="650">
        <f t="shared" si="2539"/>
        <v>21.884791707702441</v>
      </c>
      <c r="GE1246" s="650">
        <f t="shared" ref="GE1246:HL1246" si="2540">+GE870</f>
        <v>7.526577834151027</v>
      </c>
      <c r="GF1246" s="650">
        <f t="shared" si="2540"/>
        <v>3.4334906522701032</v>
      </c>
      <c r="GG1246" s="650">
        <f t="shared" si="2540"/>
        <v>4.0878705869733327</v>
      </c>
      <c r="GH1246" s="650">
        <f t="shared" si="2540"/>
        <v>1.0963131248898048</v>
      </c>
      <c r="GI1246" s="650">
        <f t="shared" si="2540"/>
        <v>3.3092056958089713</v>
      </c>
      <c r="GJ1246" s="650">
        <f t="shared" si="2540"/>
        <v>22.650780052458025</v>
      </c>
      <c r="GK1246" s="650">
        <f t="shared" si="2540"/>
        <v>7.5170681773496026</v>
      </c>
      <c r="GL1246" s="650">
        <f t="shared" si="2540"/>
        <v>2.3543160589860102</v>
      </c>
      <c r="GM1246" s="650">
        <f t="shared" si="2540"/>
        <v>6.4630748740000126</v>
      </c>
      <c r="GN1246" s="650">
        <f t="shared" si="2540"/>
        <v>1.0409838473156541</v>
      </c>
      <c r="GO1246" s="650">
        <f t="shared" si="2540"/>
        <v>4.8511278593136762</v>
      </c>
      <c r="GP1246" s="650">
        <f t="shared" si="2540"/>
        <v>24.788084443489012</v>
      </c>
      <c r="GQ1246" s="650">
        <f t="shared" si="2540"/>
        <v>7.2483733268749315</v>
      </c>
      <c r="GR1246" s="650">
        <f t="shared" si="2540"/>
        <v>7.5574463796020108</v>
      </c>
      <c r="GS1246" s="650">
        <f t="shared" si="2540"/>
        <v>11.596701611589399</v>
      </c>
      <c r="GT1246" s="650">
        <f t="shared" si="2540"/>
        <v>1.4719005173140647</v>
      </c>
      <c r="GU1246" s="650">
        <f t="shared" si="2540"/>
        <v>6.7227833908204371</v>
      </c>
      <c r="GV1246" s="650">
        <f t="shared" si="2540"/>
        <v>28.717426718200194</v>
      </c>
      <c r="GW1246" s="650">
        <f t="shared" si="2540"/>
        <v>9.5612216072974459</v>
      </c>
      <c r="GX1246" s="650">
        <f t="shared" si="2540"/>
        <v>5.5347149109490976</v>
      </c>
      <c r="GY1246" s="650">
        <f t="shared" si="2540"/>
        <v>17.935308096254452</v>
      </c>
      <c r="GZ1246" s="650">
        <f t="shared" si="2540"/>
        <v>9.6507458941506616</v>
      </c>
      <c r="HA1246" s="650">
        <f t="shared" si="2540"/>
        <v>7.4258548075896105</v>
      </c>
      <c r="HB1246" s="650">
        <f t="shared" si="2540"/>
        <v>33.340351213451157</v>
      </c>
      <c r="HC1246" s="650">
        <f t="shared" si="2540"/>
        <v>10.396354616118439</v>
      </c>
      <c r="HD1246" s="650">
        <f t="shared" si="2540"/>
        <v>6.8946206912747234</v>
      </c>
      <c r="HE1246" s="650">
        <f t="shared" si="2540"/>
        <v>20.578426141520598</v>
      </c>
      <c r="HF1246" s="650">
        <f t="shared" si="2540"/>
        <v>26.494068693360703</v>
      </c>
      <c r="HG1246" s="650">
        <f t="shared" si="2540"/>
        <v>10.205643385021778</v>
      </c>
      <c r="HH1246" s="650">
        <f t="shared" si="2540"/>
        <v>34.923771469304235</v>
      </c>
      <c r="HI1246" s="650">
        <f t="shared" si="2540"/>
        <v>11.380694865912622</v>
      </c>
      <c r="HJ1246" s="650">
        <f t="shared" si="2540"/>
        <v>8.9955866693393656</v>
      </c>
      <c r="HK1246" s="650">
        <f t="shared" si="2540"/>
        <v>22.883165412710976</v>
      </c>
      <c r="HL1246" s="650">
        <f t="shared" si="2540"/>
        <v>18.712078527921058</v>
      </c>
      <c r="HM1246" s="650">
        <f t="shared" ref="HM1246:HR1246" si="2541">+HM870</f>
        <v>10.459200343325808</v>
      </c>
      <c r="HN1246" s="650">
        <f t="shared" si="2541"/>
        <v>37.110525243390136</v>
      </c>
      <c r="HO1246" s="650">
        <f t="shared" si="2541"/>
        <v>12.119694740481856</v>
      </c>
      <c r="HP1246" s="650">
        <f t="shared" si="2541"/>
        <v>9.2124650947818658</v>
      </c>
      <c r="HQ1246" s="650">
        <f t="shared" si="2541"/>
        <v>29.257282120417162</v>
      </c>
      <c r="HR1246" s="650">
        <f t="shared" si="2541"/>
        <v>19.04827812237977</v>
      </c>
      <c r="HS1246" s="650"/>
      <c r="HT1246" s="650"/>
      <c r="HU1246" s="650"/>
      <c r="HV1246" s="650"/>
      <c r="HW1246" s="650"/>
      <c r="HX1246" s="650"/>
    </row>
    <row r="1247" spans="4:232" ht="17.25" customHeight="1" thickBot="1">
      <c r="D1247" s="1108" t="s">
        <v>3261</v>
      </c>
      <c r="E1247" s="279">
        <f t="shared" ref="E1247:AG1247" si="2542">E606</f>
        <v>7.2667200000000003</v>
      </c>
      <c r="F1247" s="279">
        <f t="shared" si="2542"/>
        <v>9.002600000000001</v>
      </c>
      <c r="G1247" s="279">
        <f t="shared" si="2542"/>
        <v>5.7828100000000004</v>
      </c>
      <c r="H1247" s="279">
        <f t="shared" si="2542"/>
        <v>13.70635</v>
      </c>
      <c r="I1247" s="279">
        <f t="shared" si="2542"/>
        <v>7.0205299999999999</v>
      </c>
      <c r="J1247" s="279">
        <f t="shared" si="2542"/>
        <v>3.4770300000000001</v>
      </c>
      <c r="K1247" s="279">
        <f t="shared" si="2542"/>
        <v>14.639100000000001</v>
      </c>
      <c r="L1247" s="279">
        <f t="shared" si="2542"/>
        <v>10.878540000000001</v>
      </c>
      <c r="M1247" s="279">
        <f t="shared" si="2542"/>
        <v>5.5077700000000007</v>
      </c>
      <c r="N1247" s="279">
        <f t="shared" si="2542"/>
        <v>12.809950000000001</v>
      </c>
      <c r="O1247" s="279">
        <f t="shared" si="2542"/>
        <v>11.06955</v>
      </c>
      <c r="P1247" s="279">
        <f t="shared" si="2542"/>
        <v>2.673</v>
      </c>
      <c r="Q1247" s="279">
        <f t="shared" si="2542"/>
        <v>12.96987</v>
      </c>
      <c r="R1247" s="279">
        <f t="shared" si="2542"/>
        <v>9.0474599999999992</v>
      </c>
      <c r="S1247" s="279">
        <f t="shared" si="2542"/>
        <v>8.67164</v>
      </c>
      <c r="T1247" s="279">
        <f t="shared" si="2542"/>
        <v>18.97531</v>
      </c>
      <c r="U1247" s="279">
        <f t="shared" si="2542"/>
        <v>9.039299999999999</v>
      </c>
      <c r="V1247" s="279">
        <f t="shared" si="2542"/>
        <v>5.5130299999999997</v>
      </c>
      <c r="W1247" s="279">
        <f t="shared" si="2542"/>
        <v>17.475630000000002</v>
      </c>
      <c r="X1247" s="279">
        <f t="shared" si="2542"/>
        <v>12.424200000000001</v>
      </c>
      <c r="Y1247" s="279">
        <f t="shared" si="2542"/>
        <v>6.6095899999999999</v>
      </c>
      <c r="Z1247" s="279">
        <f t="shared" si="2542"/>
        <v>23.312009999999997</v>
      </c>
      <c r="AA1247" s="279">
        <f t="shared" si="2542"/>
        <v>3.9148200000000002</v>
      </c>
      <c r="AB1247" s="279">
        <f t="shared" si="2542"/>
        <v>2.4929399999999999</v>
      </c>
      <c r="AC1247" s="279">
        <f t="shared" si="2542"/>
        <v>15.508569999999999</v>
      </c>
      <c r="AD1247" s="279">
        <f t="shared" si="2542"/>
        <v>10.249450000000001</v>
      </c>
      <c r="AE1247" s="279">
        <f t="shared" si="2542"/>
        <v>16.095500000000001</v>
      </c>
      <c r="AF1247" s="279">
        <f t="shared" si="2542"/>
        <v>18.675650000000001</v>
      </c>
      <c r="AG1247" s="279">
        <f t="shared" si="2542"/>
        <v>9.8673899999999986</v>
      </c>
      <c r="AH1247" s="279">
        <f t="shared" ref="AH1247:AM1247" si="2543">AH696+AH1248</f>
        <v>0</v>
      </c>
      <c r="AI1247" s="279">
        <f t="shared" si="2543"/>
        <v>1.5</v>
      </c>
      <c r="AJ1247" s="279">
        <f t="shared" si="2543"/>
        <v>0</v>
      </c>
      <c r="AK1247" s="279">
        <f t="shared" si="2543"/>
        <v>0</v>
      </c>
      <c r="AL1247" s="279">
        <f t="shared" si="2543"/>
        <v>0</v>
      </c>
      <c r="AM1247" s="279">
        <f t="shared" si="2543"/>
        <v>0</v>
      </c>
      <c r="AN1247" s="279">
        <f>AN606</f>
        <v>10.116910000000001</v>
      </c>
      <c r="AQ1247" s="279">
        <f t="shared" ref="AQ1247:BV1247" si="2544">AQ606</f>
        <v>16.22268</v>
      </c>
      <c r="AR1247" s="279">
        <f t="shared" si="2544"/>
        <v>20.38944</v>
      </c>
      <c r="AS1247" s="279">
        <f t="shared" si="2544"/>
        <v>17.304639999999999</v>
      </c>
      <c r="AT1247" s="279">
        <f t="shared" si="2544"/>
        <v>10.74906</v>
      </c>
      <c r="AU1247" s="279">
        <f t="shared" si="2544"/>
        <v>13.429770000000001</v>
      </c>
      <c r="AV1247" s="279">
        <f t="shared" si="2544"/>
        <v>18.046759999999999</v>
      </c>
      <c r="AW1247" s="279">
        <f t="shared" si="2544"/>
        <v>17.893750000000001</v>
      </c>
      <c r="AX1247" s="279">
        <f t="shared" si="2544"/>
        <v>17.889749999999999</v>
      </c>
      <c r="AY1247" s="279">
        <f t="shared" si="2544"/>
        <v>16.191219999999998</v>
      </c>
      <c r="AZ1247" s="279">
        <f t="shared" si="2544"/>
        <v>12.667129999999998</v>
      </c>
      <c r="BA1247" s="279">
        <f t="shared" si="2544"/>
        <v>25.683130000000002</v>
      </c>
      <c r="BB1247" s="279">
        <f t="shared" si="2544"/>
        <v>11.817030000000001</v>
      </c>
      <c r="BC1247" s="279">
        <f t="shared" si="2544"/>
        <v>12.446290000000001</v>
      </c>
      <c r="BD1247" s="279">
        <f t="shared" si="2544"/>
        <v>21.963950000000001</v>
      </c>
      <c r="BE1247" s="279">
        <f t="shared" si="2544"/>
        <v>21.648959999999999</v>
      </c>
      <c r="BF1247" s="279">
        <f t="shared" si="2544"/>
        <v>8.2083700000000004</v>
      </c>
      <c r="BG1247" s="279">
        <f t="shared" si="2544"/>
        <v>12.592700000000001</v>
      </c>
      <c r="BH1247" s="279">
        <f t="shared" si="2544"/>
        <v>29.238289999999999</v>
      </c>
      <c r="BI1247" s="279">
        <f t="shared" si="2544"/>
        <v>12.18008</v>
      </c>
      <c r="BJ1247" s="279">
        <f t="shared" si="2544"/>
        <v>29.9862</v>
      </c>
      <c r="BK1247" s="279">
        <f t="shared" si="2544"/>
        <v>20.255710000000001</v>
      </c>
      <c r="BL1247" s="279">
        <f t="shared" si="2544"/>
        <v>14.2812</v>
      </c>
      <c r="BM1247" s="279">
        <f t="shared" si="2544"/>
        <v>25.0715</v>
      </c>
      <c r="BN1247" s="279">
        <f t="shared" si="2544"/>
        <v>15.22199</v>
      </c>
      <c r="BO1247" s="279">
        <f t="shared" si="2544"/>
        <v>13.509270000000001</v>
      </c>
      <c r="BP1247" s="279">
        <f t="shared" si="2544"/>
        <v>29.841750000000001</v>
      </c>
      <c r="BQ1247" s="279">
        <f t="shared" si="2544"/>
        <v>19.000599999999999</v>
      </c>
      <c r="BR1247" s="279">
        <f t="shared" si="2544"/>
        <v>4.2215699999999998</v>
      </c>
      <c r="BS1247" s="279">
        <f t="shared" si="2544"/>
        <v>28.763500000000001</v>
      </c>
      <c r="BT1247" s="279">
        <f t="shared" si="2544"/>
        <v>22.3185</v>
      </c>
      <c r="BU1247" s="279">
        <f t="shared" si="2544"/>
        <v>13.969700000000001</v>
      </c>
      <c r="BV1247" s="279">
        <f t="shared" si="2544"/>
        <v>33.816107766000002</v>
      </c>
      <c r="BW1247" s="279">
        <f t="shared" ref="BW1247:DB1247" si="2545">BW606</f>
        <v>22.982548066</v>
      </c>
      <c r="BX1247" s="279">
        <f t="shared" si="2545"/>
        <v>12.194446618000001</v>
      </c>
      <c r="BY1247" s="279">
        <f t="shared" si="2545"/>
        <v>23.322773112</v>
      </c>
      <c r="BZ1247" s="279">
        <f t="shared" si="2545"/>
        <v>23.478185815</v>
      </c>
      <c r="CA1247" s="279">
        <f t="shared" si="2545"/>
        <v>12.794870319999999</v>
      </c>
      <c r="CB1247" s="279">
        <f t="shared" si="2545"/>
        <v>35.783130337000003</v>
      </c>
      <c r="CC1247" s="279">
        <f t="shared" si="2545"/>
        <v>19.252583978000001</v>
      </c>
      <c r="CD1247" s="279">
        <f t="shared" si="2545"/>
        <v>7.857864578</v>
      </c>
      <c r="CE1247" s="279">
        <f t="shared" si="2545"/>
        <v>31.192567466</v>
      </c>
      <c r="CF1247" s="279">
        <f t="shared" si="2545"/>
        <v>28.036041021999999</v>
      </c>
      <c r="CG1247" s="279">
        <f t="shared" si="2545"/>
        <v>19.255505343999999</v>
      </c>
      <c r="CH1247" s="279">
        <f t="shared" si="2545"/>
        <v>41.869910961000002</v>
      </c>
      <c r="CI1247" s="279">
        <f t="shared" si="2545"/>
        <v>18.912014732999999</v>
      </c>
      <c r="CJ1247" s="279">
        <f t="shared" si="2545"/>
        <v>11.869387855999999</v>
      </c>
      <c r="CK1247" s="279">
        <f t="shared" si="2545"/>
        <v>32.160711262</v>
      </c>
      <c r="CL1247" s="279">
        <f t="shared" si="2545"/>
        <v>19.504065296</v>
      </c>
      <c r="CM1247" s="279">
        <f t="shared" si="2545"/>
        <v>18.083639073000001</v>
      </c>
      <c r="CN1247" s="279">
        <f t="shared" si="2545"/>
        <v>20.865577895000001</v>
      </c>
      <c r="CO1247" s="279">
        <f t="shared" si="2545"/>
        <v>30.707759768999999</v>
      </c>
      <c r="CP1247" s="279">
        <f t="shared" si="2545"/>
        <v>14.319031366999999</v>
      </c>
      <c r="CQ1247" s="279">
        <f t="shared" si="2545"/>
        <v>34.06160981</v>
      </c>
      <c r="CR1247" s="279">
        <f t="shared" si="2545"/>
        <v>22.177663803000002</v>
      </c>
      <c r="CS1247" s="279">
        <f t="shared" si="2545"/>
        <v>20.930272569</v>
      </c>
      <c r="CT1247" s="279">
        <f t="shared" si="2545"/>
        <v>30.547470727</v>
      </c>
      <c r="CU1247" s="279">
        <f t="shared" si="2545"/>
        <v>17.438616502999999</v>
      </c>
      <c r="CV1247" s="279">
        <f t="shared" si="2545"/>
        <v>15.206777966000001</v>
      </c>
      <c r="CW1247" s="279">
        <f t="shared" si="2545"/>
        <v>26.679335974000001</v>
      </c>
      <c r="CX1247" s="279">
        <f t="shared" si="2545"/>
        <v>15.634970797999999</v>
      </c>
      <c r="CY1247" s="279">
        <f t="shared" si="2545"/>
        <v>18.597033776</v>
      </c>
      <c r="CZ1247" s="279">
        <f t="shared" si="2545"/>
        <v>26.65231503</v>
      </c>
      <c r="DA1247" s="279">
        <f t="shared" si="2545"/>
        <v>26.733774095000001</v>
      </c>
      <c r="DB1247" s="675">
        <f t="shared" si="2545"/>
        <v>10.103397703000001</v>
      </c>
      <c r="DC1247" s="279">
        <f t="shared" ref="DC1247:EH1247" si="2546">DC606</f>
        <v>27.871774482000003</v>
      </c>
      <c r="DD1247" s="279">
        <f t="shared" si="2546"/>
        <v>17.642766802000001</v>
      </c>
      <c r="DE1247" s="279">
        <f t="shared" si="2546"/>
        <v>17.090073959999998</v>
      </c>
      <c r="DF1247" s="279">
        <f t="shared" si="2546"/>
        <v>36.413362028000002</v>
      </c>
      <c r="DG1247" s="279">
        <f t="shared" si="2546"/>
        <v>25.629953723999996</v>
      </c>
      <c r="DH1247" s="279">
        <f t="shared" si="2546"/>
        <v>27.763238888</v>
      </c>
      <c r="DI1247" s="279">
        <f t="shared" si="2546"/>
        <v>29.521204540999999</v>
      </c>
      <c r="DJ1247" s="279">
        <f t="shared" si="2546"/>
        <v>18.723542954999999</v>
      </c>
      <c r="DK1247" s="279">
        <f t="shared" si="2546"/>
        <v>31.609312495000001</v>
      </c>
      <c r="DL1247" s="279">
        <f t="shared" si="2546"/>
        <v>34.029332574000001</v>
      </c>
      <c r="DM1247" s="279">
        <f t="shared" si="2546"/>
        <v>18.475441296</v>
      </c>
      <c r="DN1247" s="280">
        <f t="shared" si="2546"/>
        <v>13.336047895000004</v>
      </c>
      <c r="DO1247" s="279">
        <f t="shared" si="2546"/>
        <v>24.401042397000001</v>
      </c>
      <c r="DP1247" s="279">
        <f t="shared" si="2546"/>
        <v>27.819948847999999</v>
      </c>
      <c r="DQ1247" s="279">
        <f t="shared" si="2546"/>
        <v>23.270685218000001</v>
      </c>
      <c r="DR1247" s="279">
        <f t="shared" si="2546"/>
        <v>38.605493967999998</v>
      </c>
      <c r="DS1247" s="279">
        <f t="shared" si="2546"/>
        <v>24.668040945999998</v>
      </c>
      <c r="DT1247" s="279">
        <f t="shared" si="2546"/>
        <v>23.407676574</v>
      </c>
      <c r="DU1247" s="279">
        <f t="shared" si="2546"/>
        <v>42.084308273999994</v>
      </c>
      <c r="DV1247" s="279">
        <f t="shared" si="2546"/>
        <v>24.311026305999999</v>
      </c>
      <c r="DW1247" s="279">
        <f t="shared" si="2546"/>
        <v>28.427429018999998</v>
      </c>
      <c r="DX1247" s="279">
        <f t="shared" si="2546"/>
        <v>47.781328583333334</v>
      </c>
      <c r="DY1247" s="279">
        <f t="shared" si="2546"/>
        <v>24.606105977333328</v>
      </c>
      <c r="DZ1247" s="280">
        <f t="shared" si="2546"/>
        <v>31.520329049153332</v>
      </c>
      <c r="EA1247" s="279">
        <f t="shared" si="2546"/>
        <v>30.424938833999999</v>
      </c>
      <c r="EB1247" s="279">
        <f t="shared" si="2546"/>
        <v>31.644467306999999</v>
      </c>
      <c r="EC1247" s="279">
        <f t="shared" si="2546"/>
        <v>28.742059455</v>
      </c>
      <c r="ED1247" s="279">
        <f t="shared" si="2546"/>
        <v>31.123278899999999</v>
      </c>
      <c r="EE1247" s="279">
        <f t="shared" si="2546"/>
        <v>33.251128881999996</v>
      </c>
      <c r="EF1247" s="279">
        <f t="shared" si="2546"/>
        <v>33.777009689000003</v>
      </c>
      <c r="EG1247" s="279">
        <f t="shared" si="2546"/>
        <v>26.185664580235613</v>
      </c>
      <c r="EH1247" s="279">
        <f t="shared" si="2546"/>
        <v>33.78208602950194</v>
      </c>
      <c r="EI1247" s="279">
        <f t="shared" ref="EI1247:EX1247" si="2547">EI606</f>
        <v>45.51395712029386</v>
      </c>
      <c r="EJ1247" s="279">
        <f t="shared" si="2547"/>
        <v>25.110562395176451</v>
      </c>
      <c r="EK1247" s="279">
        <f t="shared" si="2547"/>
        <v>35.818451724572107</v>
      </c>
      <c r="EL1247" s="280">
        <f t="shared" si="2547"/>
        <v>27.723870851060006</v>
      </c>
      <c r="EM1247" s="279">
        <f t="shared" si="2547"/>
        <v>20.833559621999999</v>
      </c>
      <c r="EN1247" s="279">
        <f t="shared" si="2547"/>
        <v>35.324157685000003</v>
      </c>
      <c r="EO1247" s="279">
        <f t="shared" si="2547"/>
        <v>36.623113132</v>
      </c>
      <c r="EP1247" s="279">
        <f t="shared" si="2547"/>
        <v>42.792422794000004</v>
      </c>
      <c r="EQ1247" s="279">
        <f t="shared" si="2547"/>
        <v>48.788264975999994</v>
      </c>
      <c r="ER1247" s="279">
        <f t="shared" si="2547"/>
        <v>40.30012699200001</v>
      </c>
      <c r="ES1247" s="279">
        <f t="shared" si="2547"/>
        <v>28.252861577000001</v>
      </c>
      <c r="ET1247" s="279">
        <f t="shared" si="2547"/>
        <v>23.152575327999998</v>
      </c>
      <c r="EU1247" s="279">
        <f t="shared" si="2547"/>
        <v>44.464060891999992</v>
      </c>
      <c r="EV1247" s="279">
        <f t="shared" si="2547"/>
        <v>35.180262630999998</v>
      </c>
      <c r="EW1247" s="279">
        <f t="shared" si="2547"/>
        <v>20.340440015999999</v>
      </c>
      <c r="EX1247" s="279">
        <f t="shared" si="2547"/>
        <v>31.179151675</v>
      </c>
      <c r="EY1247" s="1620">
        <f t="shared" ref="EY1247:GD1247" si="2548">+EY877+EY901+(EY885-EY886-EY890)</f>
        <v>53.359172627</v>
      </c>
      <c r="EZ1247" s="650">
        <f t="shared" si="2548"/>
        <v>61.412165680000001</v>
      </c>
      <c r="FA1247" s="650">
        <f t="shared" si="2548"/>
        <v>66.396327403000001</v>
      </c>
      <c r="FB1247" s="650">
        <f t="shared" si="2548"/>
        <v>72.31552149800001</v>
      </c>
      <c r="FC1247" s="650">
        <f t="shared" si="2548"/>
        <v>62.202611277000003</v>
      </c>
      <c r="FD1247" s="650">
        <f t="shared" si="2548"/>
        <v>80.752818049000012</v>
      </c>
      <c r="FE1247" s="650">
        <f t="shared" si="2548"/>
        <v>53.387960757000002</v>
      </c>
      <c r="FF1247" s="650">
        <f t="shared" si="2548"/>
        <v>57.332262823999997</v>
      </c>
      <c r="FG1247" s="650">
        <f t="shared" si="2548"/>
        <v>52.974043831000003</v>
      </c>
      <c r="FH1247" s="650">
        <f t="shared" si="2548"/>
        <v>43.094727767999998</v>
      </c>
      <c r="FI1247" s="650">
        <f t="shared" si="2548"/>
        <v>145.23786412300001</v>
      </c>
      <c r="FJ1247" s="650">
        <f t="shared" si="2548"/>
        <v>30.523577695</v>
      </c>
      <c r="FK1247" s="650">
        <f t="shared" si="2548"/>
        <v>31.274078857999999</v>
      </c>
      <c r="FL1247" s="650">
        <f t="shared" si="2548"/>
        <v>13.008727122</v>
      </c>
      <c r="FM1247" s="650">
        <f t="shared" si="2548"/>
        <v>20.690044580999999</v>
      </c>
      <c r="FN1247" s="650">
        <f t="shared" si="2548"/>
        <v>20.684093917999999</v>
      </c>
      <c r="FO1247" s="650">
        <f t="shared" si="2548"/>
        <v>61.666165581000001</v>
      </c>
      <c r="FP1247" s="650">
        <f t="shared" si="2548"/>
        <v>17.208988356999999</v>
      </c>
      <c r="FQ1247" s="650">
        <f t="shared" si="2548"/>
        <v>16.124009642000001</v>
      </c>
      <c r="FR1247" s="650">
        <f t="shared" si="2548"/>
        <v>22.305093095999993</v>
      </c>
      <c r="FS1247" s="650">
        <f t="shared" si="2548"/>
        <v>46.096446168</v>
      </c>
      <c r="FT1247" s="650">
        <f t="shared" si="2548"/>
        <v>16.759072537000002</v>
      </c>
      <c r="FU1247" s="650">
        <f t="shared" si="2548"/>
        <v>34.344917567000003</v>
      </c>
      <c r="FV1247" s="650">
        <f t="shared" si="2548"/>
        <v>1.0347061179999839</v>
      </c>
      <c r="FW1247" s="650">
        <f t="shared" si="2548"/>
        <v>21.328201296</v>
      </c>
      <c r="FX1247" s="650">
        <f t="shared" si="2548"/>
        <v>24.054268389999994</v>
      </c>
      <c r="FY1247" s="650">
        <f t="shared" si="2548"/>
        <v>135.002501354</v>
      </c>
      <c r="FZ1247" s="650">
        <f t="shared" si="2548"/>
        <v>15.726476988</v>
      </c>
      <c r="GA1247" s="650">
        <f t="shared" si="2548"/>
        <v>19.275944044999999</v>
      </c>
      <c r="GB1247" s="650">
        <f t="shared" si="2548"/>
        <v>15.506280605999994</v>
      </c>
      <c r="GC1247" s="650">
        <f t="shared" si="2548"/>
        <v>27.202270326000008</v>
      </c>
      <c r="GD1247" s="650">
        <f t="shared" si="2548"/>
        <v>30.444891468000005</v>
      </c>
      <c r="GE1247" s="650">
        <f t="shared" ref="GE1247:HL1247" si="2549">+GE877+GE901+(GE885-GE886-GE890)</f>
        <v>21.584111000000007</v>
      </c>
      <c r="GF1247" s="650">
        <f t="shared" si="2549"/>
        <v>52.192523191999989</v>
      </c>
      <c r="GG1247" s="650">
        <f t="shared" si="2549"/>
        <v>49.117638471000014</v>
      </c>
      <c r="GH1247" s="650">
        <f t="shared" si="2549"/>
        <v>27.404717564999999</v>
      </c>
      <c r="GI1247" s="650">
        <f t="shared" si="2549"/>
        <v>50.456663452943175</v>
      </c>
      <c r="GJ1247" s="650">
        <f t="shared" si="2549"/>
        <v>21.793321628109375</v>
      </c>
      <c r="GK1247" s="650">
        <f t="shared" si="2549"/>
        <v>28.336156819947426</v>
      </c>
      <c r="GL1247" s="650">
        <f t="shared" si="2549"/>
        <v>24.989664264333328</v>
      </c>
      <c r="GM1247" s="650">
        <f t="shared" si="2549"/>
        <v>23.307641143333328</v>
      </c>
      <c r="GN1247" s="650">
        <f t="shared" si="2549"/>
        <v>23.412057185333328</v>
      </c>
      <c r="GO1247" s="650">
        <f t="shared" si="2549"/>
        <v>33.512046633717304</v>
      </c>
      <c r="GP1247" s="650">
        <f t="shared" si="2549"/>
        <v>13.318761707259062</v>
      </c>
      <c r="GQ1247" s="650">
        <f t="shared" si="2549"/>
        <v>34.996471439897427</v>
      </c>
      <c r="GR1247" s="650">
        <f t="shared" si="2549"/>
        <v>23.75233430745865</v>
      </c>
      <c r="GS1247" s="650">
        <f t="shared" si="2549"/>
        <v>49.159395690952877</v>
      </c>
      <c r="GT1247" s="650">
        <f t="shared" si="2549"/>
        <v>17.943429473714666</v>
      </c>
      <c r="GU1247" s="650">
        <f t="shared" si="2549"/>
        <v>10.036320554</v>
      </c>
      <c r="GV1247" s="650">
        <f t="shared" si="2549"/>
        <v>25.376805767</v>
      </c>
      <c r="GW1247" s="650">
        <f t="shared" si="2549"/>
        <v>24.958470633000001</v>
      </c>
      <c r="GX1247" s="650">
        <f t="shared" si="2549"/>
        <v>32.437808001000001</v>
      </c>
      <c r="GY1247" s="650">
        <f t="shared" si="2549"/>
        <v>30.989661767999998</v>
      </c>
      <c r="GZ1247" s="650">
        <f t="shared" si="2549"/>
        <v>30.732136462</v>
      </c>
      <c r="HA1247" s="650">
        <f t="shared" si="2549"/>
        <v>38.319625827000003</v>
      </c>
      <c r="HB1247" s="650">
        <f t="shared" si="2549"/>
        <v>35.272989283999998</v>
      </c>
      <c r="HC1247" s="650">
        <f t="shared" si="2549"/>
        <v>36.164066286000001</v>
      </c>
      <c r="HD1247" s="650">
        <f t="shared" si="2549"/>
        <v>27.194111143999997</v>
      </c>
      <c r="HE1247" s="650">
        <f t="shared" si="2549"/>
        <v>30.150827838000001</v>
      </c>
      <c r="HF1247" s="650">
        <f t="shared" si="2549"/>
        <v>34.719258195000002</v>
      </c>
      <c r="HG1247" s="650">
        <f t="shared" si="2549"/>
        <v>24.132593646999986</v>
      </c>
      <c r="HH1247" s="650">
        <f t="shared" si="2549"/>
        <v>26.269928629999999</v>
      </c>
      <c r="HI1247" s="650">
        <f t="shared" si="2549"/>
        <v>46.421195593999997</v>
      </c>
      <c r="HJ1247" s="650">
        <f t="shared" si="2549"/>
        <v>16.968183214000014</v>
      </c>
      <c r="HK1247" s="650">
        <f t="shared" si="2549"/>
        <v>28.315743678000008</v>
      </c>
      <c r="HL1247" s="650">
        <f t="shared" si="2549"/>
        <v>43.388551460999999</v>
      </c>
      <c r="HM1247" s="650">
        <f t="shared" ref="HM1247:HR1247" si="2550">+HM877+HM901+(HM885-HM886-HM890)</f>
        <v>37.165423098000005</v>
      </c>
      <c r="HN1247" s="650">
        <f t="shared" si="2550"/>
        <v>25.431671832999999</v>
      </c>
      <c r="HO1247" s="650">
        <f t="shared" si="2550"/>
        <v>45.244154191</v>
      </c>
      <c r="HP1247" s="650">
        <f t="shared" si="2550"/>
        <v>17.542631629999999</v>
      </c>
      <c r="HQ1247" s="650">
        <f t="shared" si="2550"/>
        <v>63.968931943999998</v>
      </c>
      <c r="HR1247" s="650">
        <f t="shared" si="2550"/>
        <v>13.665243004000001</v>
      </c>
      <c r="HS1247" s="650"/>
      <c r="HT1247" s="650"/>
      <c r="HU1247" s="650"/>
      <c r="HV1247" s="650"/>
      <c r="HW1247" s="650"/>
      <c r="HX1247" s="650"/>
    </row>
    <row r="1248" spans="4:232" ht="17.25" customHeight="1">
      <c r="D1248" s="1543" t="s">
        <v>3268</v>
      </c>
      <c r="E1248" s="650">
        <f t="shared" ref="E1248:X1248" si="2551">+E614</f>
        <v>3.7127600000000003</v>
      </c>
      <c r="F1248" s="650">
        <f t="shared" si="2551"/>
        <v>4.7993300000000003</v>
      </c>
      <c r="G1248" s="650">
        <f t="shared" si="2551"/>
        <v>2.8350599999999999</v>
      </c>
      <c r="H1248" s="650">
        <f t="shared" si="2551"/>
        <v>3.9559000000000002</v>
      </c>
      <c r="I1248" s="650">
        <f t="shared" si="2551"/>
        <v>2.5550000000000002</v>
      </c>
      <c r="J1248" s="650">
        <f t="shared" si="2551"/>
        <v>2.0085000000000002</v>
      </c>
      <c r="K1248" s="650">
        <f t="shared" si="2551"/>
        <v>7.8316600000000003</v>
      </c>
      <c r="L1248" s="650">
        <f t="shared" si="2551"/>
        <v>5.6524799999999997</v>
      </c>
      <c r="M1248" s="650">
        <f t="shared" si="2551"/>
        <v>4.0859000000000005</v>
      </c>
      <c r="N1248" s="650">
        <f t="shared" si="2551"/>
        <v>4.1721300000000001</v>
      </c>
      <c r="O1248" s="650">
        <f t="shared" si="2551"/>
        <v>4.3776599999999997</v>
      </c>
      <c r="P1248" s="650">
        <f t="shared" si="2551"/>
        <v>0.9621900000000001</v>
      </c>
      <c r="Q1248" s="650">
        <f t="shared" si="2551"/>
        <v>4.1470500000000001</v>
      </c>
      <c r="R1248" s="650">
        <f t="shared" si="2551"/>
        <v>5.8710000000000004</v>
      </c>
      <c r="S1248" s="650">
        <f t="shared" si="2551"/>
        <v>2.62263</v>
      </c>
      <c r="T1248" s="650">
        <f t="shared" si="2551"/>
        <v>7.8501599999999998</v>
      </c>
      <c r="U1248" s="650">
        <f t="shared" si="2551"/>
        <v>5.4862400000000004</v>
      </c>
      <c r="V1248" s="650">
        <f t="shared" si="2551"/>
        <v>2.67977</v>
      </c>
      <c r="W1248" s="650">
        <f t="shared" si="2551"/>
        <v>9.6362000000000005</v>
      </c>
      <c r="X1248" s="650">
        <f t="shared" si="2551"/>
        <v>4.8701600000000003</v>
      </c>
      <c r="Y1248" s="650"/>
      <c r="Z1248" s="650"/>
      <c r="AA1248" s="650"/>
      <c r="AB1248" s="650"/>
      <c r="AC1248" s="650"/>
      <c r="AD1248" s="650"/>
      <c r="AE1248" s="650"/>
      <c r="AF1248" s="650"/>
      <c r="AG1248" s="650"/>
      <c r="AH1248" s="323">
        <f t="shared" ref="AH1248:AM1248" si="2552">AH698</f>
        <v>0</v>
      </c>
      <c r="AI1248" s="323">
        <f t="shared" si="2552"/>
        <v>0</v>
      </c>
      <c r="AJ1248" s="323">
        <f t="shared" si="2552"/>
        <v>0</v>
      </c>
      <c r="AK1248" s="323">
        <f t="shared" si="2552"/>
        <v>0</v>
      </c>
      <c r="AL1248" s="323">
        <f t="shared" si="2552"/>
        <v>0</v>
      </c>
      <c r="AM1248" s="323">
        <f t="shared" si="2552"/>
        <v>0</v>
      </c>
      <c r="AN1248" s="650">
        <f t="shared" ref="AN1248:BS1248" si="2553">+AN614</f>
        <v>3.0111699999999995</v>
      </c>
      <c r="AO1248" s="650">
        <f t="shared" si="2553"/>
        <v>9.3814400000000013</v>
      </c>
      <c r="AP1248" s="650">
        <f t="shared" si="2553"/>
        <v>3.6834099999999999</v>
      </c>
      <c r="AQ1248" s="650">
        <f t="shared" si="2553"/>
        <v>0.97705999999999993</v>
      </c>
      <c r="AR1248" s="650">
        <f t="shared" si="2553"/>
        <v>1.3996</v>
      </c>
      <c r="AS1248" s="650">
        <f t="shared" si="2553"/>
        <v>5.6580300000000001</v>
      </c>
      <c r="AT1248" s="650">
        <f t="shared" si="2553"/>
        <v>3.7801199999999997</v>
      </c>
      <c r="AU1248" s="650">
        <f t="shared" si="2553"/>
        <v>4.1165399999999996</v>
      </c>
      <c r="AV1248" s="650">
        <f t="shared" si="2553"/>
        <v>10.588700000000001</v>
      </c>
      <c r="AW1248" s="650">
        <f t="shared" si="2553"/>
        <v>3.5014799999999999</v>
      </c>
      <c r="AX1248" s="650">
        <f t="shared" si="2553"/>
        <v>7.9861499999999994</v>
      </c>
      <c r="AY1248" s="650">
        <f t="shared" si="2553"/>
        <v>5.0168200000000001</v>
      </c>
      <c r="AZ1248" s="650">
        <f t="shared" si="2553"/>
        <v>5.6406000000000001</v>
      </c>
      <c r="BA1248" s="650">
        <f t="shared" si="2553"/>
        <v>6.7164799999999998</v>
      </c>
      <c r="BB1248" s="650">
        <f t="shared" si="2553"/>
        <v>5.4594100000000001</v>
      </c>
      <c r="BC1248" s="650">
        <f t="shared" si="2553"/>
        <v>1.92079</v>
      </c>
      <c r="BD1248" s="650">
        <f t="shared" si="2553"/>
        <v>6.0153999999999996</v>
      </c>
      <c r="BE1248" s="650">
        <f t="shared" si="2553"/>
        <v>10.529819999999999</v>
      </c>
      <c r="BF1248" s="650">
        <f t="shared" si="2553"/>
        <v>0.39511000000000002</v>
      </c>
      <c r="BG1248" s="650">
        <f t="shared" si="2553"/>
        <v>6.9534099999999999</v>
      </c>
      <c r="BH1248" s="650">
        <f t="shared" si="2553"/>
        <v>6.1300699999999999</v>
      </c>
      <c r="BI1248" s="650">
        <f t="shared" si="2553"/>
        <v>2.6468000000000003</v>
      </c>
      <c r="BJ1248" s="650">
        <f t="shared" si="2553"/>
        <v>5.3137700000000008</v>
      </c>
      <c r="BK1248" s="650">
        <f t="shared" si="2553"/>
        <v>7.46549</v>
      </c>
      <c r="BL1248" s="650">
        <f t="shared" si="2553"/>
        <v>4.0160100000000005</v>
      </c>
      <c r="BM1248" s="650">
        <f t="shared" si="2553"/>
        <v>8.6199300000000001</v>
      </c>
      <c r="BN1248" s="650">
        <f t="shared" si="2553"/>
        <v>9.7876000000000012</v>
      </c>
      <c r="BO1248" s="650">
        <f t="shared" si="2553"/>
        <v>8.3460800000000006</v>
      </c>
      <c r="BP1248" s="650">
        <f t="shared" si="2553"/>
        <v>6.2623699999999998</v>
      </c>
      <c r="BQ1248" s="650">
        <f t="shared" si="2553"/>
        <v>7.4356800000000005</v>
      </c>
      <c r="BR1248" s="650">
        <f t="shared" si="2553"/>
        <v>1.5007300000000001</v>
      </c>
      <c r="BS1248" s="650">
        <f t="shared" si="2553"/>
        <v>5.0293000000000001</v>
      </c>
      <c r="BT1248" s="650">
        <f t="shared" ref="BT1248:CY1248" si="2554">+BT614</f>
        <v>7.3064999999999998</v>
      </c>
      <c r="BU1248" s="650">
        <f t="shared" si="2554"/>
        <v>4.9896000000000003</v>
      </c>
      <c r="BV1248" s="650">
        <f t="shared" si="2554"/>
        <v>8.6363335610000007</v>
      </c>
      <c r="BW1248" s="650">
        <f t="shared" si="2554"/>
        <v>4.9076517710000003</v>
      </c>
      <c r="BX1248" s="650">
        <f t="shared" si="2554"/>
        <v>5.7710280459999996</v>
      </c>
      <c r="BY1248" s="650">
        <f t="shared" si="2554"/>
        <v>9.7754765859999999</v>
      </c>
      <c r="BZ1248" s="650">
        <f t="shared" si="2554"/>
        <v>6.4653720200000002</v>
      </c>
      <c r="CA1248" s="650">
        <f t="shared" si="2554"/>
        <v>4.8472462360000002</v>
      </c>
      <c r="CB1248" s="650">
        <f t="shared" si="2554"/>
        <v>9.7985406420000007</v>
      </c>
      <c r="CC1248" s="650">
        <f t="shared" si="2554"/>
        <v>10.398180063</v>
      </c>
      <c r="CD1248" s="650">
        <f t="shared" si="2554"/>
        <v>2.0217900750000002</v>
      </c>
      <c r="CE1248" s="650">
        <f t="shared" si="2554"/>
        <v>4.1218678119999996</v>
      </c>
      <c r="CF1248" s="650">
        <f t="shared" si="2554"/>
        <v>3.0527925360000001</v>
      </c>
      <c r="CG1248" s="650">
        <f t="shared" si="2554"/>
        <v>4.3797581149999996</v>
      </c>
      <c r="CH1248" s="650">
        <f t="shared" si="2554"/>
        <v>8.201250924</v>
      </c>
      <c r="CI1248" s="650">
        <f t="shared" si="2554"/>
        <v>4.6632914940000001</v>
      </c>
      <c r="CJ1248" s="650">
        <f t="shared" si="2554"/>
        <v>9.5954992279999995</v>
      </c>
      <c r="CK1248" s="650">
        <f t="shared" si="2554"/>
        <v>19.788627708</v>
      </c>
      <c r="CL1248" s="650">
        <f t="shared" si="2554"/>
        <v>9.3291781070000006</v>
      </c>
      <c r="CM1248" s="650">
        <f t="shared" si="2554"/>
        <v>3.9728699330000001</v>
      </c>
      <c r="CN1248" s="650">
        <f t="shared" si="2554"/>
        <v>36.040940083999999</v>
      </c>
      <c r="CO1248" s="650">
        <f t="shared" si="2554"/>
        <v>10.388191089999999</v>
      </c>
      <c r="CP1248" s="650">
        <f t="shared" si="2554"/>
        <v>5.5742181420000003</v>
      </c>
      <c r="CQ1248" s="650">
        <f t="shared" si="2554"/>
        <v>8.1239777909999997</v>
      </c>
      <c r="CR1248" s="650">
        <f t="shared" si="2554"/>
        <v>8.1626322439999992</v>
      </c>
      <c r="CS1248" s="650">
        <f t="shared" si="2554"/>
        <v>17.633937930999998</v>
      </c>
      <c r="CT1248" s="650">
        <f t="shared" si="2554"/>
        <v>4.3200614999999996</v>
      </c>
      <c r="CU1248" s="650">
        <f t="shared" si="2554"/>
        <v>13.312885845</v>
      </c>
      <c r="CV1248" s="650">
        <f t="shared" si="2554"/>
        <v>10.796285336999999</v>
      </c>
      <c r="CW1248" s="650">
        <f t="shared" si="2554"/>
        <v>6.00273915</v>
      </c>
      <c r="CX1248" s="650">
        <f t="shared" si="2554"/>
        <v>16.521865980000001</v>
      </c>
      <c r="CY1248" s="650">
        <f t="shared" si="2554"/>
        <v>26.299949223000002</v>
      </c>
      <c r="CZ1248" s="650">
        <f t="shared" ref="CZ1248:EE1248" si="2555">+CZ614</f>
        <v>28.379187033000001</v>
      </c>
      <c r="DA1248" s="650">
        <f t="shared" si="2555"/>
        <v>18.037174863000001</v>
      </c>
      <c r="DB1248" s="650">
        <f t="shared" si="2555"/>
        <v>3.872886458</v>
      </c>
      <c r="DC1248" s="650">
        <f t="shared" si="2555"/>
        <v>20.031666440000002</v>
      </c>
      <c r="DD1248" s="650">
        <f t="shared" si="2555"/>
        <v>5.7584803439999996</v>
      </c>
      <c r="DE1248" s="650">
        <f t="shared" si="2555"/>
        <v>15.547081669999999</v>
      </c>
      <c r="DF1248" s="650">
        <f t="shared" si="2555"/>
        <v>21.488628049999999</v>
      </c>
      <c r="DG1248" s="650">
        <f t="shared" si="2555"/>
        <v>9.0915347850000003</v>
      </c>
      <c r="DH1248" s="650">
        <f t="shared" si="2555"/>
        <v>5.0807362579999999</v>
      </c>
      <c r="DI1248" s="650">
        <f t="shared" si="2555"/>
        <v>27.308649026000001</v>
      </c>
      <c r="DJ1248" s="650">
        <f t="shared" si="2555"/>
        <v>5.5587548150000003</v>
      </c>
      <c r="DK1248" s="650">
        <f t="shared" si="2555"/>
        <v>10.439049232999999</v>
      </c>
      <c r="DL1248" s="650">
        <f t="shared" si="2555"/>
        <v>19.474363273999998</v>
      </c>
      <c r="DM1248" s="650">
        <f t="shared" si="2555"/>
        <v>11.420979965000001</v>
      </c>
      <c r="DN1248" s="650">
        <f t="shared" si="2555"/>
        <v>8.0120627639999995</v>
      </c>
      <c r="DO1248" s="650">
        <f t="shared" si="2555"/>
        <v>17.830386840000003</v>
      </c>
      <c r="DP1248" s="650">
        <f t="shared" si="2555"/>
        <v>24.458453924000001</v>
      </c>
      <c r="DQ1248" s="650">
        <f t="shared" si="2555"/>
        <v>8.9936596830000006</v>
      </c>
      <c r="DR1248" s="650">
        <f t="shared" si="2555"/>
        <v>18.029543111999999</v>
      </c>
      <c r="DS1248" s="650">
        <f t="shared" si="2555"/>
        <v>13.747938799</v>
      </c>
      <c r="DT1248" s="650">
        <f t="shared" si="2555"/>
        <v>20.318674549000001</v>
      </c>
      <c r="DU1248" s="650">
        <f t="shared" si="2555"/>
        <v>15.032641369</v>
      </c>
      <c r="DV1248" s="650">
        <f t="shared" si="2555"/>
        <v>8.3836660419999998</v>
      </c>
      <c r="DW1248" s="650">
        <f t="shared" si="2555"/>
        <v>5.2430148010000002</v>
      </c>
      <c r="DX1248" s="650">
        <f t="shared" si="2555"/>
        <v>15.108378704</v>
      </c>
      <c r="DY1248" s="650">
        <f t="shared" si="2555"/>
        <v>11.246329053</v>
      </c>
      <c r="DZ1248" s="650">
        <f t="shared" si="2555"/>
        <v>0.96119616600000002</v>
      </c>
      <c r="EA1248" s="650">
        <f t="shared" si="2555"/>
        <v>25.872880680999998</v>
      </c>
      <c r="EB1248" s="650">
        <f t="shared" si="2555"/>
        <v>12.925111098999999</v>
      </c>
      <c r="EC1248" s="650">
        <f t="shared" si="2555"/>
        <v>25.854006870999999</v>
      </c>
      <c r="ED1248" s="650">
        <f t="shared" si="2555"/>
        <v>33.279234199000001</v>
      </c>
      <c r="EE1248" s="650">
        <f t="shared" si="2555"/>
        <v>14.314430412</v>
      </c>
      <c r="EF1248" s="650">
        <f t="shared" ref="EF1248:EX1248" si="2556">+EF614</f>
        <v>11.712284659</v>
      </c>
      <c r="EG1248" s="650">
        <f t="shared" si="2556"/>
        <v>8.7310083279999997</v>
      </c>
      <c r="EH1248" s="650">
        <f t="shared" si="2556"/>
        <v>7.6339070709999994</v>
      </c>
      <c r="EI1248" s="650">
        <f t="shared" si="2556"/>
        <v>11.585520362</v>
      </c>
      <c r="EJ1248" s="650">
        <f t="shared" si="2556"/>
        <v>11.433172015</v>
      </c>
      <c r="EK1248" s="650">
        <f t="shared" si="2556"/>
        <v>14.617660114</v>
      </c>
      <c r="EL1248" s="650">
        <f t="shared" si="2556"/>
        <v>3.8799066939999998</v>
      </c>
      <c r="EM1248" s="650">
        <f t="shared" si="2556"/>
        <v>5.6727965129999998</v>
      </c>
      <c r="EN1248" s="650">
        <f t="shared" si="2556"/>
        <v>33.740439351999996</v>
      </c>
      <c r="EO1248" s="650">
        <f t="shared" si="2556"/>
        <v>13.793889010000001</v>
      </c>
      <c r="EP1248" s="650">
        <f t="shared" si="2556"/>
        <v>25.71266228</v>
      </c>
      <c r="EQ1248" s="650">
        <f t="shared" si="2556"/>
        <v>16.995882278</v>
      </c>
      <c r="ER1248" s="650">
        <f t="shared" si="2556"/>
        <v>16.054394510999998</v>
      </c>
      <c r="ES1248" s="650">
        <f t="shared" si="2556"/>
        <v>11.724667692000001</v>
      </c>
      <c r="ET1248" s="650">
        <f t="shared" si="2556"/>
        <v>5.7211090220000003</v>
      </c>
      <c r="EU1248" s="650">
        <f t="shared" si="2556"/>
        <v>34.580441728500006</v>
      </c>
      <c r="EV1248" s="650">
        <f t="shared" si="2556"/>
        <v>32.951912861500006</v>
      </c>
      <c r="EW1248" s="650">
        <f t="shared" si="2556"/>
        <v>18.7012586315</v>
      </c>
      <c r="EX1248" s="650">
        <f t="shared" si="2556"/>
        <v>22.049723595500001</v>
      </c>
      <c r="EY1248" s="1619">
        <f t="shared" ref="EY1248:GD1248" si="2557">+EY903</f>
        <v>19.621337566000001</v>
      </c>
      <c r="EZ1248" s="650">
        <f t="shared" si="2557"/>
        <v>19.979445821999999</v>
      </c>
      <c r="FA1248" s="650">
        <f t="shared" si="2557"/>
        <v>7.807474676</v>
      </c>
      <c r="FB1248" s="650">
        <f t="shared" si="2557"/>
        <v>12.050736946000001</v>
      </c>
      <c r="FC1248" s="650">
        <f t="shared" si="2557"/>
        <v>20.365861151000001</v>
      </c>
      <c r="FD1248" s="650">
        <f t="shared" si="2557"/>
        <v>9.5259266819999997</v>
      </c>
      <c r="FE1248" s="650">
        <f t="shared" si="2557"/>
        <v>4.359865428</v>
      </c>
      <c r="FF1248" s="650">
        <f t="shared" si="2557"/>
        <v>16.790410443999999</v>
      </c>
      <c r="FG1248" s="650">
        <f t="shared" si="2557"/>
        <v>14.309395854</v>
      </c>
      <c r="FH1248" s="650">
        <f t="shared" si="2557"/>
        <v>6.0296474590000004</v>
      </c>
      <c r="FI1248" s="650">
        <f t="shared" si="2557"/>
        <v>12.035315104</v>
      </c>
      <c r="FJ1248" s="650">
        <f t="shared" si="2557"/>
        <v>1.4745208869999999</v>
      </c>
      <c r="FK1248" s="650">
        <f t="shared" si="2557"/>
        <v>12.759667224999999</v>
      </c>
      <c r="FL1248" s="650">
        <f t="shared" si="2557"/>
        <v>10.057954682</v>
      </c>
      <c r="FM1248" s="650">
        <f t="shared" si="2557"/>
        <v>14.992900581000001</v>
      </c>
      <c r="FN1248" s="650">
        <f t="shared" si="2557"/>
        <v>8.449501519</v>
      </c>
      <c r="FO1248" s="650">
        <f t="shared" si="2557"/>
        <v>10.322834118999999</v>
      </c>
      <c r="FP1248" s="650">
        <f t="shared" si="2557"/>
        <v>9.4276341339999998</v>
      </c>
      <c r="FQ1248" s="650">
        <f t="shared" si="2557"/>
        <v>13.833825759</v>
      </c>
      <c r="FR1248" s="650">
        <f t="shared" si="2557"/>
        <v>6.652929726</v>
      </c>
      <c r="FS1248" s="650">
        <f t="shared" si="2557"/>
        <v>4.2280074870000002</v>
      </c>
      <c r="FT1248" s="650">
        <f t="shared" si="2557"/>
        <v>12.878353831</v>
      </c>
      <c r="FU1248" s="650">
        <f t="shared" si="2557"/>
        <v>23.858894002</v>
      </c>
      <c r="FV1248" s="650">
        <f t="shared" si="2557"/>
        <v>4.7989988329999997</v>
      </c>
      <c r="FW1248" s="650">
        <f t="shared" si="2557"/>
        <v>9.4270421219999996</v>
      </c>
      <c r="FX1248" s="650">
        <f t="shared" si="2557"/>
        <v>8.2880457829999994</v>
      </c>
      <c r="FY1248" s="650">
        <f t="shared" si="2557"/>
        <v>8.142056878</v>
      </c>
      <c r="FZ1248" s="650">
        <f t="shared" si="2557"/>
        <v>20.268061037999999</v>
      </c>
      <c r="GA1248" s="650">
        <f t="shared" si="2557"/>
        <v>21.685625209000001</v>
      </c>
      <c r="GB1248" s="650">
        <f t="shared" si="2557"/>
        <v>6.1310755720000003</v>
      </c>
      <c r="GC1248" s="650">
        <f t="shared" si="2557"/>
        <v>9.3700082800000004</v>
      </c>
      <c r="GD1248" s="650">
        <f t="shared" si="2557"/>
        <v>21.115629317</v>
      </c>
      <c r="GE1248" s="650">
        <f t="shared" ref="GE1248:HL1248" si="2558">+GE903</f>
        <v>13.54216845</v>
      </c>
      <c r="GF1248" s="650">
        <f t="shared" si="2558"/>
        <v>7.9037664559999996</v>
      </c>
      <c r="GG1248" s="650">
        <f t="shared" si="2558"/>
        <v>15.140435371000001</v>
      </c>
      <c r="GH1248" s="650">
        <f t="shared" si="2558"/>
        <v>6.0046342780000002</v>
      </c>
      <c r="GI1248" s="650">
        <f t="shared" si="2558"/>
        <v>12.235405911319145</v>
      </c>
      <c r="GJ1248" s="650">
        <f t="shared" si="2558"/>
        <v>27.927502357725132</v>
      </c>
      <c r="GK1248" s="650">
        <f t="shared" si="2558"/>
        <v>22.437091730955725</v>
      </c>
      <c r="GL1248" s="650">
        <f t="shared" si="2558"/>
        <v>1</v>
      </c>
      <c r="GM1248" s="650">
        <f t="shared" si="2558"/>
        <v>1</v>
      </c>
      <c r="GN1248" s="650">
        <f t="shared" si="2558"/>
        <v>1.0999999999999943</v>
      </c>
      <c r="GO1248" s="650">
        <f t="shared" si="2558"/>
        <v>16.508220081735399</v>
      </c>
      <c r="GP1248" s="650">
        <f t="shared" si="2558"/>
        <v>7.5477514962105259</v>
      </c>
      <c r="GQ1248" s="650">
        <f t="shared" si="2558"/>
        <v>3.4708608633540838</v>
      </c>
      <c r="GR1248" s="650">
        <f t="shared" si="2558"/>
        <v>20.36146118726305</v>
      </c>
      <c r="GS1248" s="650">
        <f t="shared" si="2558"/>
        <v>8.0757171544465809</v>
      </c>
      <c r="GT1248" s="650">
        <f t="shared" si="2558"/>
        <v>6.0359892169903651</v>
      </c>
      <c r="GU1248" s="650">
        <f t="shared" si="2558"/>
        <v>7.9425931529999998</v>
      </c>
      <c r="GV1248" s="650">
        <f t="shared" si="2558"/>
        <v>17.944234579</v>
      </c>
      <c r="GW1248" s="650">
        <f t="shared" si="2558"/>
        <v>17.283160537000001</v>
      </c>
      <c r="GX1248" s="650">
        <f t="shared" si="2558"/>
        <v>10.735763124</v>
      </c>
      <c r="GY1248" s="650">
        <f t="shared" si="2558"/>
        <v>8.324031519</v>
      </c>
      <c r="GZ1248" s="650">
        <f t="shared" si="2558"/>
        <v>6.673807966</v>
      </c>
      <c r="HA1248" s="650">
        <f t="shared" si="2558"/>
        <v>8.8125038680000003</v>
      </c>
      <c r="HB1248" s="650">
        <f t="shared" si="2558"/>
        <v>9.2244838100000006</v>
      </c>
      <c r="HC1248" s="650">
        <f t="shared" si="2558"/>
        <v>7.1400030350000003</v>
      </c>
      <c r="HD1248" s="650">
        <f t="shared" si="2558"/>
        <v>18.243119096000001</v>
      </c>
      <c r="HE1248" s="650">
        <f t="shared" si="2558"/>
        <v>21.694246570999997</v>
      </c>
      <c r="HF1248" s="650">
        <f t="shared" si="2558"/>
        <v>5.1032864070000006</v>
      </c>
      <c r="HG1248" s="650">
        <f t="shared" si="2558"/>
        <v>13.967650508</v>
      </c>
      <c r="HH1248" s="650">
        <f t="shared" si="2558"/>
        <v>9.4310403750000003</v>
      </c>
      <c r="HI1248" s="650">
        <f t="shared" si="2558"/>
        <v>20.627244749999999</v>
      </c>
      <c r="HJ1248" s="650">
        <f t="shared" si="2558"/>
        <v>7.3532463220000004</v>
      </c>
      <c r="HK1248" s="650">
        <f t="shared" si="2558"/>
        <v>14.31074576</v>
      </c>
      <c r="HL1248" s="650">
        <f t="shared" si="2558"/>
        <v>7.0722045109999998</v>
      </c>
      <c r="HM1248" s="650">
        <f t="shared" ref="HM1248:HR1248" si="2559">+HM903</f>
        <v>17.812842741000001</v>
      </c>
      <c r="HN1248" s="650">
        <f t="shared" si="2559"/>
        <v>13.276343023000001</v>
      </c>
      <c r="HO1248" s="650">
        <f t="shared" si="2559"/>
        <v>12.523233676</v>
      </c>
      <c r="HP1248" s="650">
        <f t="shared" si="2559"/>
        <v>15.698723694</v>
      </c>
      <c r="HQ1248" s="650">
        <f t="shared" si="2559"/>
        <v>4.7564697490000007</v>
      </c>
      <c r="HR1248" s="650">
        <f t="shared" si="2559"/>
        <v>8.1635571320000011</v>
      </c>
      <c r="HS1248" s="650"/>
      <c r="HT1248" s="650"/>
      <c r="HU1248" s="650"/>
      <c r="HV1248" s="650"/>
      <c r="HW1248" s="650"/>
      <c r="HX1248" s="650"/>
    </row>
    <row r="1249" spans="4:232" ht="17.25" customHeight="1">
      <c r="D1249" s="1106" t="s">
        <v>144</v>
      </c>
      <c r="E1249" s="279">
        <f t="shared" ref="E1249:AJ1249" si="2560">E621</f>
        <v>3.5838200000000002</v>
      </c>
      <c r="F1249" s="279">
        <f t="shared" si="2560"/>
        <v>6.07545</v>
      </c>
      <c r="G1249" s="279">
        <f t="shared" si="2560"/>
        <v>31.038969999999999</v>
      </c>
      <c r="H1249" s="279">
        <f t="shared" si="2560"/>
        <v>7.6555400000000002</v>
      </c>
      <c r="I1249" s="279">
        <f t="shared" si="2560"/>
        <v>2.6138300000000001</v>
      </c>
      <c r="J1249" s="279">
        <f t="shared" si="2560"/>
        <v>29.6614</v>
      </c>
      <c r="K1249" s="279">
        <f t="shared" si="2560"/>
        <v>14.90522</v>
      </c>
      <c r="L1249" s="279">
        <f t="shared" si="2560"/>
        <v>4.9962</v>
      </c>
      <c r="M1249" s="279">
        <f t="shared" si="2560"/>
        <v>35.02093</v>
      </c>
      <c r="N1249" s="279">
        <f t="shared" si="2560"/>
        <v>4.1402399999999995</v>
      </c>
      <c r="O1249" s="279">
        <f t="shared" si="2560"/>
        <v>12.62506</v>
      </c>
      <c r="P1249" s="279">
        <f t="shared" si="2560"/>
        <v>33.861910000000002</v>
      </c>
      <c r="Q1249" s="279">
        <f t="shared" si="2560"/>
        <v>6.6938699999999995</v>
      </c>
      <c r="R1249" s="279">
        <f t="shared" si="2560"/>
        <v>6.6217100000000002</v>
      </c>
      <c r="S1249" s="279">
        <f t="shared" si="2560"/>
        <v>28.064729999999997</v>
      </c>
      <c r="T1249" s="279">
        <f t="shared" si="2560"/>
        <v>13.2995</v>
      </c>
      <c r="U1249" s="279">
        <f t="shared" si="2560"/>
        <v>5.5477400000000001</v>
      </c>
      <c r="V1249" s="279">
        <f t="shared" si="2560"/>
        <v>35.823459999999997</v>
      </c>
      <c r="W1249" s="279">
        <f t="shared" si="2560"/>
        <v>11.525399999999999</v>
      </c>
      <c r="X1249" s="279">
        <f t="shared" si="2560"/>
        <v>11.975370000000002</v>
      </c>
      <c r="Y1249" s="279">
        <f t="shared" si="2560"/>
        <v>44.228030000000004</v>
      </c>
      <c r="Z1249" s="279">
        <f t="shared" si="2560"/>
        <v>28.940909999999999</v>
      </c>
      <c r="AA1249" s="279">
        <f t="shared" si="2560"/>
        <v>6.9695499999999999</v>
      </c>
      <c r="AB1249" s="279">
        <f t="shared" si="2560"/>
        <v>68.065079999999995</v>
      </c>
      <c r="AC1249" s="279">
        <f t="shared" si="2560"/>
        <v>8.5546699999999998</v>
      </c>
      <c r="AD1249" s="279">
        <f t="shared" si="2560"/>
        <v>8.9667000000000012</v>
      </c>
      <c r="AE1249" s="279">
        <f t="shared" si="2560"/>
        <v>56.542300000000004</v>
      </c>
      <c r="AF1249" s="279">
        <f t="shared" si="2560"/>
        <v>12.328989999999999</v>
      </c>
      <c r="AG1249" s="279">
        <f t="shared" si="2560"/>
        <v>14.137729999999999</v>
      </c>
      <c r="AH1249" s="279">
        <f t="shared" si="2560"/>
        <v>33.673471012000007</v>
      </c>
      <c r="AI1249" s="279">
        <f t="shared" si="2560"/>
        <v>6.9567500000000004</v>
      </c>
      <c r="AJ1249" s="279">
        <f t="shared" si="2560"/>
        <v>7.8944300000000007</v>
      </c>
      <c r="AK1249" s="279">
        <f t="shared" ref="AK1249:BP1249" si="2561">AK621</f>
        <v>48.635571945000009</v>
      </c>
      <c r="AL1249" s="279">
        <f t="shared" si="2561"/>
        <v>20.7941</v>
      </c>
      <c r="AM1249" s="279">
        <f t="shared" si="2561"/>
        <v>21.200900000000001</v>
      </c>
      <c r="AN1249" s="279">
        <f t="shared" si="2561"/>
        <v>55.547347470999995</v>
      </c>
      <c r="AO1249" s="279">
        <f t="shared" si="2561"/>
        <v>15.105780000000001</v>
      </c>
      <c r="AP1249" s="279">
        <f t="shared" si="2561"/>
        <v>13.18632</v>
      </c>
      <c r="AQ1249" s="279">
        <f t="shared" si="2561"/>
        <v>39.436275601999995</v>
      </c>
      <c r="AR1249" s="279">
        <f t="shared" si="2561"/>
        <v>21.793560000000003</v>
      </c>
      <c r="AS1249" s="279">
        <f t="shared" si="2561"/>
        <v>18.903689999999997</v>
      </c>
      <c r="AT1249" s="279">
        <f t="shared" si="2561"/>
        <v>46.176469328000003</v>
      </c>
      <c r="AU1249" s="279">
        <f t="shared" si="2561"/>
        <v>14.740819999999999</v>
      </c>
      <c r="AV1249" s="279">
        <f t="shared" si="2561"/>
        <v>13.9329</v>
      </c>
      <c r="AW1249" s="279">
        <f t="shared" si="2561"/>
        <v>54.321416559999996</v>
      </c>
      <c r="AX1249" s="279">
        <f t="shared" si="2561"/>
        <v>20.9</v>
      </c>
      <c r="AY1249" s="279">
        <f t="shared" si="2561"/>
        <v>15.603999999999999</v>
      </c>
      <c r="AZ1249" s="279">
        <f t="shared" si="2561"/>
        <v>75.994112141000002</v>
      </c>
      <c r="BA1249" s="279">
        <f t="shared" si="2561"/>
        <v>22.111249999999998</v>
      </c>
      <c r="BB1249" s="279">
        <f t="shared" si="2561"/>
        <v>11.667159999999999</v>
      </c>
      <c r="BC1249" s="279">
        <f t="shared" si="2561"/>
        <v>95.749857354999989</v>
      </c>
      <c r="BD1249" s="279">
        <f t="shared" si="2561"/>
        <v>22.31202</v>
      </c>
      <c r="BE1249" s="279">
        <f t="shared" si="2561"/>
        <v>33.052900000000001</v>
      </c>
      <c r="BF1249" s="279">
        <f t="shared" si="2561"/>
        <v>57.496123629000003</v>
      </c>
      <c r="BG1249" s="279">
        <f t="shared" si="2561"/>
        <v>6.3758999999999997</v>
      </c>
      <c r="BH1249" s="279">
        <f t="shared" si="2561"/>
        <v>19.89939</v>
      </c>
      <c r="BI1249" s="279">
        <f t="shared" si="2561"/>
        <v>57.363894709</v>
      </c>
      <c r="BJ1249" s="279">
        <f t="shared" si="2561"/>
        <v>33.236025999999995</v>
      </c>
      <c r="BK1249" s="279">
        <f t="shared" si="2561"/>
        <v>17.411060000000003</v>
      </c>
      <c r="BL1249" s="279">
        <f t="shared" si="2561"/>
        <v>79.907373401000001</v>
      </c>
      <c r="BM1249" s="279">
        <f t="shared" si="2561"/>
        <v>21.286360000000002</v>
      </c>
      <c r="BN1249" s="279">
        <f t="shared" si="2561"/>
        <v>12.03393</v>
      </c>
      <c r="BO1249" s="279">
        <f t="shared" si="2561"/>
        <v>83.532420236999997</v>
      </c>
      <c r="BP1249" s="279">
        <f t="shared" si="2561"/>
        <v>31.707180000000001</v>
      </c>
      <c r="BQ1249" s="279">
        <f t="shared" ref="BQ1249:CV1249" si="2562">BQ621</f>
        <v>46.85219</v>
      </c>
      <c r="BR1249" s="279">
        <f t="shared" si="2562"/>
        <v>85.686844824000005</v>
      </c>
      <c r="BS1249" s="279">
        <f t="shared" si="2562"/>
        <v>8.992799999999999</v>
      </c>
      <c r="BT1249" s="279">
        <f t="shared" si="2562"/>
        <v>14.1875</v>
      </c>
      <c r="BU1249" s="279">
        <f t="shared" si="2562"/>
        <v>96.263000000000005</v>
      </c>
      <c r="BV1249" s="279">
        <f t="shared" si="2562"/>
        <v>38.280104581000003</v>
      </c>
      <c r="BW1249" s="279">
        <f t="shared" si="2562"/>
        <v>19.21824221</v>
      </c>
      <c r="BX1249" s="279">
        <f t="shared" si="2562"/>
        <v>3.4928711909999999</v>
      </c>
      <c r="BY1249" s="279">
        <f t="shared" si="2562"/>
        <v>16.503664744000002</v>
      </c>
      <c r="BZ1249" s="279">
        <f t="shared" si="2562"/>
        <v>16.912173433</v>
      </c>
      <c r="CA1249" s="279">
        <f t="shared" si="2562"/>
        <v>14.65821757</v>
      </c>
      <c r="CB1249" s="279">
        <f t="shared" si="2562"/>
        <v>45.488008786000002</v>
      </c>
      <c r="CC1249" s="279">
        <f t="shared" si="2562"/>
        <v>30.685310925</v>
      </c>
      <c r="CD1249" s="279">
        <f t="shared" si="2562"/>
        <v>20.505813729</v>
      </c>
      <c r="CE1249" s="279">
        <f t="shared" si="2562"/>
        <v>41.2617130557717</v>
      </c>
      <c r="CF1249" s="279">
        <f t="shared" si="2562"/>
        <v>37.17538064973381</v>
      </c>
      <c r="CG1249" s="279">
        <f t="shared" si="2562"/>
        <v>53.445989574294494</v>
      </c>
      <c r="CH1249" s="279">
        <f t="shared" si="2562"/>
        <v>82.420480696949596</v>
      </c>
      <c r="CI1249" s="279">
        <f t="shared" si="2562"/>
        <v>60.886008184135449</v>
      </c>
      <c r="CJ1249" s="279">
        <f t="shared" si="2562"/>
        <v>42.579808483000946</v>
      </c>
      <c r="CK1249" s="279">
        <f t="shared" si="2562"/>
        <v>56.982814007968308</v>
      </c>
      <c r="CL1249" s="279">
        <f t="shared" si="2562"/>
        <v>40.9527558704347</v>
      </c>
      <c r="CM1249" s="279">
        <f t="shared" si="2562"/>
        <v>51.482509808918991</v>
      </c>
      <c r="CN1249" s="279">
        <f t="shared" si="2562"/>
        <v>88.999417981925205</v>
      </c>
      <c r="CO1249" s="279">
        <f t="shared" si="2562"/>
        <v>88.940306068884169</v>
      </c>
      <c r="CP1249" s="279">
        <f t="shared" si="2562"/>
        <v>67.403896435661594</v>
      </c>
      <c r="CQ1249" s="279">
        <f t="shared" si="2562"/>
        <v>41.366723220573093</v>
      </c>
      <c r="CR1249" s="279">
        <f t="shared" si="2562"/>
        <v>55.946810373654017</v>
      </c>
      <c r="CS1249" s="279">
        <f t="shared" si="2562"/>
        <v>54.704821243129892</v>
      </c>
      <c r="CT1249" s="279">
        <f t="shared" si="2562"/>
        <v>50.93435579744277</v>
      </c>
      <c r="CU1249" s="279">
        <f t="shared" si="2562"/>
        <v>56.903799219663341</v>
      </c>
      <c r="CV1249" s="279">
        <f t="shared" si="2562"/>
        <v>54.665931141066608</v>
      </c>
      <c r="CW1249" s="279">
        <f t="shared" ref="CW1249:EB1249" si="2563">CW621</f>
        <v>60.370438979920124</v>
      </c>
      <c r="CX1249" s="279">
        <f t="shared" si="2563"/>
        <v>50.503025629944176</v>
      </c>
      <c r="CY1249" s="279">
        <f t="shared" si="2563"/>
        <v>72.544012313423679</v>
      </c>
      <c r="CZ1249" s="279">
        <f t="shared" si="2563"/>
        <v>95.416221885328582</v>
      </c>
      <c r="DA1249" s="279">
        <f t="shared" si="2563"/>
        <v>76.826238681237285</v>
      </c>
      <c r="DB1249" s="675">
        <f t="shared" si="2563"/>
        <v>66.733964417791114</v>
      </c>
      <c r="DC1249" s="279">
        <f t="shared" si="2563"/>
        <v>30.36882835846157</v>
      </c>
      <c r="DD1249" s="279">
        <f t="shared" si="2563"/>
        <v>53.546315360813068</v>
      </c>
      <c r="DE1249" s="279">
        <f t="shared" si="2563"/>
        <v>67.721006700445358</v>
      </c>
      <c r="DF1249" s="279">
        <f t="shared" si="2563"/>
        <v>66.419180079744535</v>
      </c>
      <c r="DG1249" s="279">
        <f t="shared" si="2563"/>
        <v>42.704010729777025</v>
      </c>
      <c r="DH1249" s="279">
        <f t="shared" si="2563"/>
        <v>65.649444742985438</v>
      </c>
      <c r="DI1249" s="279">
        <f t="shared" si="2563"/>
        <v>73.345099980724569</v>
      </c>
      <c r="DJ1249" s="279">
        <f t="shared" si="2563"/>
        <v>54.263418018250981</v>
      </c>
      <c r="DK1249" s="279">
        <f t="shared" si="2563"/>
        <v>53.286854318475463</v>
      </c>
      <c r="DL1249" s="279">
        <f t="shared" si="2563"/>
        <v>81.7123276946609</v>
      </c>
      <c r="DM1249" s="279">
        <f t="shared" si="2563"/>
        <v>88.639935823553401</v>
      </c>
      <c r="DN1249" s="280">
        <f t="shared" si="2563"/>
        <v>41.029110838740706</v>
      </c>
      <c r="DO1249" s="279">
        <f t="shared" si="2563"/>
        <v>32.377517218573232</v>
      </c>
      <c r="DP1249" s="279">
        <f t="shared" si="2563"/>
        <v>41.617956931368916</v>
      </c>
      <c r="DQ1249" s="279">
        <f t="shared" si="2563"/>
        <v>59.315382764009399</v>
      </c>
      <c r="DR1249" s="279">
        <f t="shared" si="2563"/>
        <v>45.921103915391427</v>
      </c>
      <c r="DS1249" s="279">
        <f t="shared" si="2563"/>
        <v>51.287430824213004</v>
      </c>
      <c r="DT1249" s="279">
        <f t="shared" si="2563"/>
        <v>35.131086007230998</v>
      </c>
      <c r="DU1249" s="279">
        <f t="shared" si="2563"/>
        <v>82.347461141042004</v>
      </c>
      <c r="DV1249" s="279">
        <f t="shared" si="2563"/>
        <v>40.334194605175</v>
      </c>
      <c r="DW1249" s="279">
        <f t="shared" si="2563"/>
        <v>39.291815424366995</v>
      </c>
      <c r="DX1249" s="279">
        <f t="shared" si="2563"/>
        <v>94.041156862125376</v>
      </c>
      <c r="DY1249" s="279">
        <f t="shared" si="2563"/>
        <v>68.390384381072991</v>
      </c>
      <c r="DZ1249" s="280">
        <f t="shared" si="2563"/>
        <v>29.162769265465002</v>
      </c>
      <c r="EA1249" s="279">
        <f t="shared" si="2563"/>
        <v>29.74610792851476</v>
      </c>
      <c r="EB1249" s="279">
        <f t="shared" si="2563"/>
        <v>83.392773223194737</v>
      </c>
      <c r="EC1249" s="279">
        <f t="shared" ref="EC1249:EX1249" si="2564">EC621</f>
        <v>66.037125114248497</v>
      </c>
      <c r="ED1249" s="279">
        <f t="shared" si="2564"/>
        <v>68.424265438118923</v>
      </c>
      <c r="EE1249" s="279">
        <f t="shared" si="2564"/>
        <v>65.760395582996324</v>
      </c>
      <c r="EF1249" s="279">
        <f t="shared" si="2564"/>
        <v>51.027153608116762</v>
      </c>
      <c r="EG1249" s="279">
        <f t="shared" si="2564"/>
        <v>111.22428842761556</v>
      </c>
      <c r="EH1249" s="279">
        <f t="shared" si="2564"/>
        <v>51.651596861007533</v>
      </c>
      <c r="EI1249" s="279">
        <f t="shared" si="2564"/>
        <v>70.456190406957916</v>
      </c>
      <c r="EJ1249" s="279">
        <f t="shared" si="2564"/>
        <v>58.932149240920964</v>
      </c>
      <c r="EK1249" s="279">
        <f t="shared" si="2564"/>
        <v>67.698260944357017</v>
      </c>
      <c r="EL1249" s="280">
        <f t="shared" si="2564"/>
        <v>77.869593611111014</v>
      </c>
      <c r="EM1249" s="279">
        <f t="shared" si="2564"/>
        <v>54.082909447094849</v>
      </c>
      <c r="EN1249" s="279">
        <f t="shared" si="2564"/>
        <v>50.661687483356147</v>
      </c>
      <c r="EO1249" s="279">
        <f t="shared" si="2564"/>
        <v>81.447976323215002</v>
      </c>
      <c r="EP1249" s="279">
        <f t="shared" si="2564"/>
        <v>82.399344601066645</v>
      </c>
      <c r="EQ1249" s="279">
        <f t="shared" si="2564"/>
        <v>68.17074526548501</v>
      </c>
      <c r="ER1249" s="279">
        <f t="shared" si="2564"/>
        <v>117.32610859963199</v>
      </c>
      <c r="ES1249" s="279">
        <f t="shared" si="2564"/>
        <v>90.763613404719564</v>
      </c>
      <c r="ET1249" s="279">
        <f t="shared" si="2564"/>
        <v>89.471924874890163</v>
      </c>
      <c r="EU1249" s="279">
        <f t="shared" si="2564"/>
        <v>91.14898913683291</v>
      </c>
      <c r="EV1249" s="279">
        <f t="shared" si="2564"/>
        <v>124.33965920356664</v>
      </c>
      <c r="EW1249" s="279">
        <f t="shared" si="2564"/>
        <v>116.55099780207726</v>
      </c>
      <c r="EX1249" s="279">
        <f t="shared" si="2564"/>
        <v>105.34528936984552</v>
      </c>
      <c r="EY1249" s="1621">
        <f>+EY1250+EY1251</f>
        <v>70.748007073833179</v>
      </c>
      <c r="EZ1249" s="1545">
        <f t="shared" ref="EZ1249:FJ1249" si="2565">+EZ1250+EZ1251</f>
        <v>86.413824742311178</v>
      </c>
      <c r="FA1249" s="1545">
        <f t="shared" si="2565"/>
        <v>90.847694377210502</v>
      </c>
      <c r="FB1249" s="1545">
        <f t="shared" si="2565"/>
        <v>77.065584289298229</v>
      </c>
      <c r="FC1249" s="1545">
        <f t="shared" si="2565"/>
        <v>85.662440113470595</v>
      </c>
      <c r="FD1249" s="1545">
        <f t="shared" si="2565"/>
        <v>97.286303987423508</v>
      </c>
      <c r="FE1249" s="1545">
        <f t="shared" si="2565"/>
        <v>77.102056569678282</v>
      </c>
      <c r="FF1249" s="1545">
        <f t="shared" si="2565"/>
        <v>86.003314120086642</v>
      </c>
      <c r="FG1249" s="1545">
        <f t="shared" si="2565"/>
        <v>75.966626252998893</v>
      </c>
      <c r="FH1249" s="1545">
        <f t="shared" si="2565"/>
        <v>84.38913137647242</v>
      </c>
      <c r="FI1249" s="1545">
        <f t="shared" si="2565"/>
        <v>117.2655610008845</v>
      </c>
      <c r="FJ1249" s="1545">
        <f t="shared" si="2565"/>
        <v>84.347380595698155</v>
      </c>
      <c r="FK1249" s="1545">
        <f>+FK1250+FK1251</f>
        <v>239.4803263545173</v>
      </c>
      <c r="FL1249" s="1545">
        <f>+FL1250+FL1251</f>
        <v>111.21068745316362</v>
      </c>
      <c r="FM1249" s="1545">
        <f>+FM1250+FM1251</f>
        <v>87.514069921604886</v>
      </c>
      <c r="FN1249" s="1545">
        <f>+FN1250+FN1251</f>
        <v>87.920894633059191</v>
      </c>
      <c r="FO1249" s="1545">
        <f>+FO1250+FO1251</f>
        <v>102.56270995568408</v>
      </c>
      <c r="FP1249" s="1545">
        <f t="shared" ref="FP1249:GC1249" si="2566">+FP1250+FP1251</f>
        <v>149.80864322581655</v>
      </c>
      <c r="FQ1249" s="1545">
        <f t="shared" si="2566"/>
        <v>135.5862509527517</v>
      </c>
      <c r="FR1249" s="1545">
        <f t="shared" si="2566"/>
        <v>102.98562619294069</v>
      </c>
      <c r="FS1249" s="1545">
        <f t="shared" si="2566"/>
        <v>111.44906702538668</v>
      </c>
      <c r="FT1249" s="1545">
        <f t="shared" si="2566"/>
        <v>108.33448425246642</v>
      </c>
      <c r="FU1249" s="1545">
        <f t="shared" si="2566"/>
        <v>122.80417138129438</v>
      </c>
      <c r="FV1249" s="1545">
        <f t="shared" si="2566"/>
        <v>85.292254696623431</v>
      </c>
      <c r="FW1249" s="1545">
        <f t="shared" si="2566"/>
        <v>97.284557203449452</v>
      </c>
      <c r="FX1249" s="1545">
        <f t="shared" si="2566"/>
        <v>86.545498931775455</v>
      </c>
      <c r="FY1249" s="1545">
        <f t="shared" si="2566"/>
        <v>134.15271811866745</v>
      </c>
      <c r="FZ1249" s="1545">
        <f t="shared" si="2566"/>
        <v>198.51702575456306</v>
      </c>
      <c r="GA1249" s="1545">
        <f t="shared" si="2566"/>
        <v>120.82398325756307</v>
      </c>
      <c r="GB1249" s="1545">
        <f t="shared" si="2566"/>
        <v>211.41021791956308</v>
      </c>
      <c r="GC1249" s="1545">
        <f t="shared" si="2566"/>
        <v>155.72762684586289</v>
      </c>
      <c r="GD1249" s="1545">
        <f t="shared" ref="GD1249:HL1249" si="2567">+GD1250+GD1251</f>
        <v>126.7267317658299</v>
      </c>
      <c r="GE1249" s="1545">
        <f t="shared" si="2567"/>
        <v>150.67272043373188</v>
      </c>
      <c r="GF1249" s="1545">
        <f t="shared" si="2567"/>
        <v>140.69325856387889</v>
      </c>
      <c r="GG1249" s="1545">
        <f t="shared" si="2567"/>
        <v>135.1829563492189</v>
      </c>
      <c r="GH1249" s="1545">
        <f t="shared" si="2567"/>
        <v>176.20777902122589</v>
      </c>
      <c r="GI1249" s="1545">
        <f t="shared" si="2567"/>
        <v>103.52234494928284</v>
      </c>
      <c r="GJ1249" s="1545">
        <f t="shared" si="2567"/>
        <v>156.2525454991864</v>
      </c>
      <c r="GK1249" s="1545">
        <f t="shared" si="2567"/>
        <v>173.30683472835381</v>
      </c>
      <c r="GL1249" s="1545">
        <f t="shared" si="2567"/>
        <v>115.80370664883236</v>
      </c>
      <c r="GM1249" s="1545">
        <f t="shared" si="2567"/>
        <v>104.631101610998</v>
      </c>
      <c r="GN1249" s="1545">
        <f t="shared" si="2567"/>
        <v>108.51229027625101</v>
      </c>
      <c r="GO1249" s="1545">
        <f t="shared" si="2567"/>
        <v>187.27093536450565</v>
      </c>
      <c r="GP1249" s="1545">
        <f t="shared" si="2567"/>
        <v>112.12813274738431</v>
      </c>
      <c r="GQ1249" s="1545">
        <f t="shared" si="2567"/>
        <v>171.29445832482878</v>
      </c>
      <c r="GR1249" s="1545">
        <f t="shared" si="2567"/>
        <v>248.95062167517261</v>
      </c>
      <c r="GS1249" s="1545">
        <f t="shared" si="2567"/>
        <v>152.9388408003515</v>
      </c>
      <c r="GT1249" s="1545">
        <f t="shared" si="2567"/>
        <v>119.81831002037995</v>
      </c>
      <c r="GU1249" s="1545">
        <f t="shared" si="2567"/>
        <v>82.214986475231001</v>
      </c>
      <c r="GV1249" s="1545">
        <f t="shared" si="2567"/>
        <v>114.856911052607</v>
      </c>
      <c r="GW1249" s="1545">
        <f t="shared" si="2567"/>
        <v>226.95457457260343</v>
      </c>
      <c r="GX1249" s="1545">
        <f t="shared" si="2567"/>
        <v>87.765140174001999</v>
      </c>
      <c r="GY1249" s="1545">
        <f t="shared" si="2567"/>
        <v>112.215367746333</v>
      </c>
      <c r="GZ1249" s="1545">
        <f t="shared" si="2567"/>
        <v>252.06257273250844</v>
      </c>
      <c r="HA1249" s="1545">
        <f t="shared" si="2567"/>
        <v>157.725643837262</v>
      </c>
      <c r="HB1249" s="1545">
        <f t="shared" si="2567"/>
        <v>145.43011420955099</v>
      </c>
      <c r="HC1249" s="1545">
        <f t="shared" si="2567"/>
        <v>287.82578268103236</v>
      </c>
      <c r="HD1249" s="1545">
        <f t="shared" si="2567"/>
        <v>130.63566800433401</v>
      </c>
      <c r="HE1249" s="1545">
        <f t="shared" si="2567"/>
        <v>115.80959633826602</v>
      </c>
      <c r="HF1249" s="1545">
        <f t="shared" si="2567"/>
        <v>289.4187881800313</v>
      </c>
      <c r="HG1249" s="1545">
        <f t="shared" si="2567"/>
        <v>111.212273512343</v>
      </c>
      <c r="HH1249" s="1545">
        <f t="shared" si="2567"/>
        <v>109.871623317271</v>
      </c>
      <c r="HI1249" s="1545">
        <f t="shared" si="2567"/>
        <v>237.41976764977028</v>
      </c>
      <c r="HJ1249" s="1545">
        <f t="shared" si="2567"/>
        <v>207.671725272717</v>
      </c>
      <c r="HK1249" s="1545">
        <f t="shared" si="2567"/>
        <v>81.598188062326017</v>
      </c>
      <c r="HL1249" s="1545">
        <f t="shared" si="2567"/>
        <v>286.48704282062351</v>
      </c>
      <c r="HM1249" s="1545">
        <f t="shared" ref="HM1249:HR1249" si="2568">+HM1250+HM1251</f>
        <v>127.12719964431498</v>
      </c>
      <c r="HN1249" s="1545">
        <f t="shared" si="2568"/>
        <v>137.37709465798901</v>
      </c>
      <c r="HO1249" s="1545">
        <f t="shared" si="2568"/>
        <v>244.5978760587052</v>
      </c>
      <c r="HP1249" s="1545">
        <f t="shared" si="2568"/>
        <v>83.79742805156701</v>
      </c>
      <c r="HQ1249" s="1545">
        <f t="shared" si="2568"/>
        <v>115.22775935736799</v>
      </c>
      <c r="HR1249" s="1545">
        <f t="shared" si="2568"/>
        <v>252.4651072292254</v>
      </c>
      <c r="HS1249" s="1545"/>
      <c r="HT1249" s="1545"/>
      <c r="HU1249" s="1545"/>
      <c r="HV1249" s="1545"/>
      <c r="HW1249" s="1545"/>
      <c r="HX1249" s="1545"/>
    </row>
    <row r="1250" spans="4:232" ht="17.25" customHeight="1">
      <c r="D1250" s="1108" t="s">
        <v>3250</v>
      </c>
      <c r="E1250" s="650">
        <f t="shared" ref="E1250:AJ1250" si="2569">+E622</f>
        <v>3.5838200000000002</v>
      </c>
      <c r="F1250" s="650">
        <f t="shared" si="2569"/>
        <v>6.07545</v>
      </c>
      <c r="G1250" s="650">
        <f t="shared" si="2569"/>
        <v>1.63897</v>
      </c>
      <c r="H1250" s="650">
        <f t="shared" si="2569"/>
        <v>7.6555400000000002</v>
      </c>
      <c r="I1250" s="650">
        <f t="shared" si="2569"/>
        <v>2.6138300000000001</v>
      </c>
      <c r="J1250" s="650">
        <f t="shared" si="2569"/>
        <v>0.3614</v>
      </c>
      <c r="K1250" s="650">
        <f t="shared" si="2569"/>
        <v>14.90522</v>
      </c>
      <c r="L1250" s="650">
        <f t="shared" si="2569"/>
        <v>4.9962</v>
      </c>
      <c r="M1250" s="650">
        <f t="shared" si="2569"/>
        <v>3.62093</v>
      </c>
      <c r="N1250" s="650">
        <f t="shared" si="2569"/>
        <v>4.1402399999999995</v>
      </c>
      <c r="O1250" s="650">
        <f t="shared" si="2569"/>
        <v>12.62506</v>
      </c>
      <c r="P1250" s="650">
        <f t="shared" si="2569"/>
        <v>1.46191</v>
      </c>
      <c r="Q1250" s="650">
        <f t="shared" si="2569"/>
        <v>6.6938699999999995</v>
      </c>
      <c r="R1250" s="650">
        <f t="shared" si="2569"/>
        <v>6.6217100000000002</v>
      </c>
      <c r="S1250" s="650">
        <f t="shared" si="2569"/>
        <v>6.8226599999999999</v>
      </c>
      <c r="T1250" s="650">
        <f t="shared" si="2569"/>
        <v>13.2995</v>
      </c>
      <c r="U1250" s="650">
        <f t="shared" si="2569"/>
        <v>5.5477400000000001</v>
      </c>
      <c r="V1250" s="650">
        <f t="shared" si="2569"/>
        <v>6.59504</v>
      </c>
      <c r="W1250" s="650">
        <f t="shared" si="2569"/>
        <v>11.525399999999999</v>
      </c>
      <c r="X1250" s="650">
        <f t="shared" si="2569"/>
        <v>11.975370000000002</v>
      </c>
      <c r="Y1250" s="650">
        <f t="shared" si="2569"/>
        <v>13.84273</v>
      </c>
      <c r="Z1250" s="650">
        <f t="shared" si="2569"/>
        <v>28.940909999999999</v>
      </c>
      <c r="AA1250" s="650">
        <f t="shared" si="2569"/>
        <v>6.9695499999999999</v>
      </c>
      <c r="AB1250" s="650">
        <f t="shared" si="2569"/>
        <v>0.37818000000000002</v>
      </c>
      <c r="AC1250" s="650">
        <f t="shared" si="2569"/>
        <v>8.5546699999999998</v>
      </c>
      <c r="AD1250" s="650">
        <f t="shared" si="2569"/>
        <v>8.9667000000000012</v>
      </c>
      <c r="AE1250" s="650">
        <f t="shared" si="2569"/>
        <v>17.100999999999999</v>
      </c>
      <c r="AF1250" s="650">
        <f t="shared" si="2569"/>
        <v>12.328989999999999</v>
      </c>
      <c r="AG1250" s="650">
        <f t="shared" si="2569"/>
        <v>14.137729999999999</v>
      </c>
      <c r="AH1250" s="650">
        <f t="shared" si="2569"/>
        <v>4.8818999999999999</v>
      </c>
      <c r="AI1250" s="650">
        <f t="shared" si="2569"/>
        <v>6.9567500000000004</v>
      </c>
      <c r="AJ1250" s="650">
        <f t="shared" si="2569"/>
        <v>7.8944300000000007</v>
      </c>
      <c r="AK1250" s="650">
        <f t="shared" ref="AK1250:BP1250" si="2570">+AK622</f>
        <v>9.3212900000000012</v>
      </c>
      <c r="AL1250" s="650">
        <f t="shared" si="2570"/>
        <v>20.7941</v>
      </c>
      <c r="AM1250" s="650">
        <f t="shared" si="2570"/>
        <v>21.200900000000001</v>
      </c>
      <c r="AN1250" s="650">
        <f t="shared" si="2570"/>
        <v>7.2271099999999997</v>
      </c>
      <c r="AO1250" s="650">
        <f t="shared" si="2570"/>
        <v>15.105780000000001</v>
      </c>
      <c r="AP1250" s="650">
        <f t="shared" si="2570"/>
        <v>13.18632</v>
      </c>
      <c r="AQ1250" s="650">
        <f t="shared" si="2570"/>
        <v>6.8012499999999996</v>
      </c>
      <c r="AR1250" s="650">
        <f t="shared" si="2570"/>
        <v>21.793560000000003</v>
      </c>
      <c r="AS1250" s="650">
        <f t="shared" si="2570"/>
        <v>18.903689999999997</v>
      </c>
      <c r="AT1250" s="650">
        <f t="shared" si="2570"/>
        <v>9.5749200000000005</v>
      </c>
      <c r="AU1250" s="650">
        <f t="shared" si="2570"/>
        <v>14.740819999999999</v>
      </c>
      <c r="AV1250" s="650">
        <f t="shared" si="2570"/>
        <v>13.9329</v>
      </c>
      <c r="AW1250" s="650">
        <f t="shared" si="2570"/>
        <v>13.756959999999999</v>
      </c>
      <c r="AX1250" s="650">
        <f t="shared" si="2570"/>
        <v>20.9</v>
      </c>
      <c r="AY1250" s="650">
        <f t="shared" si="2570"/>
        <v>15.603999999999999</v>
      </c>
      <c r="AZ1250" s="650">
        <f t="shared" si="2570"/>
        <v>28.117650000000001</v>
      </c>
      <c r="BA1250" s="650">
        <f t="shared" si="2570"/>
        <v>22.111249999999998</v>
      </c>
      <c r="BB1250" s="650">
        <f t="shared" si="2570"/>
        <v>11.667159999999999</v>
      </c>
      <c r="BC1250" s="650">
        <f t="shared" si="2570"/>
        <v>16.764089999999999</v>
      </c>
      <c r="BD1250" s="650">
        <f t="shared" si="2570"/>
        <v>22.31202</v>
      </c>
      <c r="BE1250" s="650">
        <f t="shared" si="2570"/>
        <v>33.052900000000001</v>
      </c>
      <c r="BF1250" s="650">
        <f t="shared" si="2570"/>
        <v>5.1906800000000004</v>
      </c>
      <c r="BG1250" s="650">
        <f t="shared" si="2570"/>
        <v>6.3758999999999997</v>
      </c>
      <c r="BH1250" s="650">
        <f t="shared" si="2570"/>
        <v>19.89939</v>
      </c>
      <c r="BI1250" s="650">
        <f t="shared" si="2570"/>
        <v>19.567900000000002</v>
      </c>
      <c r="BJ1250" s="650">
        <f t="shared" si="2570"/>
        <v>33.236025999999995</v>
      </c>
      <c r="BK1250" s="650">
        <f t="shared" si="2570"/>
        <v>17.411060000000003</v>
      </c>
      <c r="BL1250" s="650">
        <f t="shared" si="2570"/>
        <v>7.0269899999999996</v>
      </c>
      <c r="BM1250" s="650">
        <f t="shared" si="2570"/>
        <v>21.286360000000002</v>
      </c>
      <c r="BN1250" s="650">
        <f t="shared" si="2570"/>
        <v>12.03393</v>
      </c>
      <c r="BO1250" s="650">
        <f t="shared" si="2570"/>
        <v>9.0892599999999995</v>
      </c>
      <c r="BP1250" s="650">
        <f t="shared" si="2570"/>
        <v>31.707180000000001</v>
      </c>
      <c r="BQ1250" s="650">
        <f t="shared" ref="BQ1250:CV1250" si="2571">+BQ622</f>
        <v>46.85219</v>
      </c>
      <c r="BR1250" s="650">
        <f t="shared" si="2571"/>
        <v>6.1012599999999999</v>
      </c>
      <c r="BS1250" s="650">
        <f t="shared" si="2571"/>
        <v>8.992799999999999</v>
      </c>
      <c r="BT1250" s="650">
        <f t="shared" si="2571"/>
        <v>14.1875</v>
      </c>
      <c r="BU1250" s="650">
        <f t="shared" si="2571"/>
        <v>10.728399999999999</v>
      </c>
      <c r="BV1250" s="650">
        <f t="shared" si="2571"/>
        <v>38.280104581000003</v>
      </c>
      <c r="BW1250" s="650">
        <f t="shared" si="2571"/>
        <v>19.21824221</v>
      </c>
      <c r="BX1250" s="650">
        <f t="shared" si="2571"/>
        <v>3.4928711909999999</v>
      </c>
      <c r="BY1250" s="650">
        <f t="shared" si="2571"/>
        <v>16.503664744000002</v>
      </c>
      <c r="BZ1250" s="650">
        <f t="shared" si="2571"/>
        <v>16.912173433</v>
      </c>
      <c r="CA1250" s="650">
        <f t="shared" si="2571"/>
        <v>14.65821757</v>
      </c>
      <c r="CB1250" s="650">
        <f t="shared" si="2571"/>
        <v>45.488008786000002</v>
      </c>
      <c r="CC1250" s="650">
        <f t="shared" si="2571"/>
        <v>30.685310925</v>
      </c>
      <c r="CD1250" s="650">
        <f t="shared" si="2571"/>
        <v>20.505813729</v>
      </c>
      <c r="CE1250" s="650">
        <f t="shared" si="2571"/>
        <v>7.8191067849999998</v>
      </c>
      <c r="CF1250" s="650">
        <f t="shared" si="2571"/>
        <v>27.064540614999999</v>
      </c>
      <c r="CG1250" s="650">
        <f t="shared" si="2571"/>
        <v>13.416189154</v>
      </c>
      <c r="CH1250" s="650">
        <f t="shared" si="2571"/>
        <v>30.291457128000001</v>
      </c>
      <c r="CI1250" s="650">
        <f t="shared" si="2571"/>
        <v>23.947314263999999</v>
      </c>
      <c r="CJ1250" s="650">
        <f t="shared" si="2571"/>
        <v>12.362992740999999</v>
      </c>
      <c r="CK1250" s="650">
        <f t="shared" si="2571"/>
        <v>21.517392606000001</v>
      </c>
      <c r="CL1250" s="650">
        <f t="shared" si="2571"/>
        <v>23.682749282</v>
      </c>
      <c r="CM1250" s="650">
        <f t="shared" si="2571"/>
        <v>32.481324956000002</v>
      </c>
      <c r="CN1250" s="650">
        <f t="shared" si="2571"/>
        <v>26.759737409</v>
      </c>
      <c r="CO1250" s="650">
        <f t="shared" si="2571"/>
        <v>64.034057740999998</v>
      </c>
      <c r="CP1250" s="650">
        <f t="shared" si="2571"/>
        <v>36.776276578000001</v>
      </c>
      <c r="CQ1250" s="650">
        <f t="shared" si="2571"/>
        <v>18.732472962999999</v>
      </c>
      <c r="CR1250" s="650">
        <f t="shared" si="2571"/>
        <v>31.425210746000001</v>
      </c>
      <c r="CS1250" s="650">
        <f t="shared" si="2571"/>
        <v>28.036566303000001</v>
      </c>
      <c r="CT1250" s="650">
        <f t="shared" si="2571"/>
        <v>20.871269851000001</v>
      </c>
      <c r="CU1250" s="650">
        <f t="shared" si="2571"/>
        <v>19.008571825000001</v>
      </c>
      <c r="CV1250" s="650">
        <f t="shared" si="2571"/>
        <v>17.450130183999999</v>
      </c>
      <c r="CW1250" s="650">
        <f t="shared" ref="CW1250:EB1250" si="2572">+CW622</f>
        <v>33.116301632999999</v>
      </c>
      <c r="CX1250" s="650">
        <f t="shared" si="2572"/>
        <v>26.094432314999999</v>
      </c>
      <c r="CY1250" s="650">
        <f t="shared" si="2572"/>
        <v>44.998493394999997</v>
      </c>
      <c r="CZ1250" s="650">
        <f t="shared" si="2572"/>
        <v>78.902201219999995</v>
      </c>
      <c r="DA1250" s="650">
        <f t="shared" si="2572"/>
        <v>45.806131833999999</v>
      </c>
      <c r="DB1250" s="650">
        <f t="shared" si="2572"/>
        <v>32.207662052000003</v>
      </c>
      <c r="DC1250" s="650">
        <f t="shared" si="2572"/>
        <v>16.489001077000001</v>
      </c>
      <c r="DD1250" s="650">
        <f t="shared" si="2572"/>
        <v>30.797304453999999</v>
      </c>
      <c r="DE1250" s="650">
        <f t="shared" si="2572"/>
        <v>40.144479420000003</v>
      </c>
      <c r="DF1250" s="650">
        <f t="shared" si="2572"/>
        <v>47.547703896999998</v>
      </c>
      <c r="DG1250" s="650">
        <f t="shared" si="2572"/>
        <v>28.742775963</v>
      </c>
      <c r="DH1250" s="650">
        <f t="shared" si="2572"/>
        <v>14.383686656</v>
      </c>
      <c r="DI1250" s="650">
        <f t="shared" si="2572"/>
        <v>57.002527604999997</v>
      </c>
      <c r="DJ1250" s="650">
        <f t="shared" si="2572"/>
        <v>37.214416708000002</v>
      </c>
      <c r="DK1250" s="650">
        <f t="shared" si="2572"/>
        <v>24.533894926999999</v>
      </c>
      <c r="DL1250" s="650">
        <f t="shared" si="2572"/>
        <v>57.665731115</v>
      </c>
      <c r="DM1250" s="650">
        <f t="shared" si="2572"/>
        <v>62.479018287999999</v>
      </c>
      <c r="DN1250" s="650">
        <f t="shared" si="2572"/>
        <v>29.876977194999998</v>
      </c>
      <c r="DO1250" s="650">
        <f t="shared" si="2572"/>
        <v>24.510819567999999</v>
      </c>
      <c r="DP1250" s="650">
        <f t="shared" si="2572"/>
        <v>31.191320255000001</v>
      </c>
      <c r="DQ1250" s="650">
        <f t="shared" si="2572"/>
        <v>19.781208627000002</v>
      </c>
      <c r="DR1250" s="650">
        <f t="shared" si="2572"/>
        <v>36.670557473000002</v>
      </c>
      <c r="DS1250" s="650">
        <f t="shared" si="2572"/>
        <v>39.918205536999999</v>
      </c>
      <c r="DT1250" s="650">
        <f t="shared" si="2572"/>
        <v>14.805941098</v>
      </c>
      <c r="DU1250" s="650">
        <f t="shared" si="2572"/>
        <v>55.250912331000002</v>
      </c>
      <c r="DV1250" s="650">
        <f t="shared" si="2572"/>
        <v>37.215884711999998</v>
      </c>
      <c r="DW1250" s="650">
        <f t="shared" si="2572"/>
        <v>17.677582613999999</v>
      </c>
      <c r="DX1250" s="650">
        <f t="shared" si="2572"/>
        <v>60.345860789</v>
      </c>
      <c r="DY1250" s="650">
        <f t="shared" si="2572"/>
        <v>55.610312768999997</v>
      </c>
      <c r="DZ1250" s="650">
        <f t="shared" si="2572"/>
        <v>7.9984918089999999</v>
      </c>
      <c r="EA1250" s="650">
        <f t="shared" si="2572"/>
        <v>7.9984918089999999</v>
      </c>
      <c r="EB1250" s="650">
        <f t="shared" si="2572"/>
        <v>57.63256397</v>
      </c>
      <c r="EC1250" s="650">
        <f t="shared" ref="EC1250:EX1250" si="2573">+EC622</f>
        <v>42.977248097999997</v>
      </c>
      <c r="ED1250" s="650">
        <f t="shared" si="2573"/>
        <v>44.711899309000003</v>
      </c>
      <c r="EE1250" s="650">
        <f t="shared" si="2573"/>
        <v>39.024985354999998</v>
      </c>
      <c r="EF1250" s="650">
        <f t="shared" si="2573"/>
        <v>19.645622919000001</v>
      </c>
      <c r="EG1250" s="650">
        <f t="shared" si="2573"/>
        <v>83.314393476999996</v>
      </c>
      <c r="EH1250" s="650">
        <f t="shared" si="2573"/>
        <v>34.696378115999998</v>
      </c>
      <c r="EI1250" s="650">
        <f t="shared" si="2573"/>
        <v>30.38618468</v>
      </c>
      <c r="EJ1250" s="650">
        <f t="shared" si="2573"/>
        <v>43.270346683</v>
      </c>
      <c r="EK1250" s="650">
        <f t="shared" si="2573"/>
        <v>40.489700677000002</v>
      </c>
      <c r="EL1250" s="650">
        <f t="shared" si="2573"/>
        <v>19.011669787999999</v>
      </c>
      <c r="EM1250" s="650">
        <f t="shared" si="2573"/>
        <v>27.928875783999999</v>
      </c>
      <c r="EN1250" s="650">
        <f t="shared" si="2573"/>
        <v>32.216142105000003</v>
      </c>
      <c r="EO1250" s="650">
        <f t="shared" si="2573"/>
        <v>34.432715870000003</v>
      </c>
      <c r="EP1250" s="650">
        <f t="shared" si="2573"/>
        <v>53.201433113</v>
      </c>
      <c r="EQ1250" s="650">
        <f t="shared" si="2573"/>
        <v>46.650960023000003</v>
      </c>
      <c r="ER1250" s="650">
        <f t="shared" si="2573"/>
        <v>58.397181713999998</v>
      </c>
      <c r="ES1250" s="650">
        <f t="shared" si="2573"/>
        <v>55.415338763999998</v>
      </c>
      <c r="ET1250" s="650">
        <f t="shared" si="2573"/>
        <v>58.919306761999998</v>
      </c>
      <c r="EU1250" s="650">
        <f t="shared" si="2573"/>
        <v>47.107478352999998</v>
      </c>
      <c r="EV1250" s="650">
        <f t="shared" si="2573"/>
        <v>92.436332003000004</v>
      </c>
      <c r="EW1250" s="650">
        <f t="shared" si="2573"/>
        <v>87.662794950000006</v>
      </c>
      <c r="EX1250" s="650">
        <f t="shared" si="2573"/>
        <v>29.336689837000002</v>
      </c>
      <c r="EY1250" s="1619">
        <f t="shared" ref="EY1250:GD1250" si="2574">+EY912+EY889+EY894</f>
        <v>37.467885670999998</v>
      </c>
      <c r="EZ1250" s="650">
        <f t="shared" si="2574"/>
        <v>39.451502786000006</v>
      </c>
      <c r="FA1250" s="650">
        <f t="shared" si="2574"/>
        <v>48.433684837999998</v>
      </c>
      <c r="FB1250" s="650">
        <f t="shared" si="2574"/>
        <v>42.281539246999998</v>
      </c>
      <c r="FC1250" s="650">
        <f t="shared" si="2574"/>
        <v>41.602428701999997</v>
      </c>
      <c r="FD1250" s="650">
        <f t="shared" si="2574"/>
        <v>31.945720539</v>
      </c>
      <c r="FE1250" s="650">
        <f t="shared" si="2574"/>
        <v>35.485007250999999</v>
      </c>
      <c r="FF1250" s="650">
        <f t="shared" si="2574"/>
        <v>40.073490468000003</v>
      </c>
      <c r="FG1250" s="650">
        <f t="shared" si="2574"/>
        <v>29.438954741</v>
      </c>
      <c r="FH1250" s="650">
        <f t="shared" si="2574"/>
        <v>39.993022592000003</v>
      </c>
      <c r="FI1250" s="650">
        <f t="shared" si="2574"/>
        <v>64.253409435999998</v>
      </c>
      <c r="FJ1250" s="650">
        <f t="shared" si="2574"/>
        <v>34.872384849999996</v>
      </c>
      <c r="FK1250" s="650">
        <f t="shared" si="2574"/>
        <v>103.887994263</v>
      </c>
      <c r="FL1250" s="650">
        <f t="shared" si="2574"/>
        <v>44.912737849999999</v>
      </c>
      <c r="FM1250" s="650">
        <f t="shared" si="2574"/>
        <v>39.413129310999992</v>
      </c>
      <c r="FN1250" s="650">
        <f t="shared" si="2574"/>
        <v>54.679177471999999</v>
      </c>
      <c r="FO1250" s="650">
        <f t="shared" si="2574"/>
        <v>52.468464892999997</v>
      </c>
      <c r="FP1250" s="650">
        <f t="shared" si="2574"/>
        <v>97.612296991999997</v>
      </c>
      <c r="FQ1250" s="650">
        <f t="shared" si="2574"/>
        <v>93.464730668999991</v>
      </c>
      <c r="FR1250" s="650">
        <f t="shared" si="2574"/>
        <v>63.137831117999994</v>
      </c>
      <c r="FS1250" s="650">
        <f t="shared" si="2574"/>
        <v>48.214813391500009</v>
      </c>
      <c r="FT1250" s="650">
        <f t="shared" si="2574"/>
        <v>57.370841505000001</v>
      </c>
      <c r="FU1250" s="650">
        <f t="shared" si="2574"/>
        <v>87.284378714499979</v>
      </c>
      <c r="FV1250" s="650">
        <f t="shared" si="2574"/>
        <v>17.184429237</v>
      </c>
      <c r="FW1250" s="650">
        <f t="shared" si="2574"/>
        <v>39.784564220999997</v>
      </c>
      <c r="FX1250" s="650">
        <f t="shared" si="2574"/>
        <v>39.578127835000004</v>
      </c>
      <c r="FY1250" s="650">
        <f t="shared" si="2574"/>
        <v>74.930301024000002</v>
      </c>
      <c r="FZ1250" s="650">
        <f t="shared" si="2574"/>
        <v>98.968356151999998</v>
      </c>
      <c r="GA1250" s="650">
        <f t="shared" si="2574"/>
        <v>55.285169787999997</v>
      </c>
      <c r="GB1250" s="650">
        <f t="shared" si="2574"/>
        <v>132.681534059</v>
      </c>
      <c r="GC1250" s="650">
        <f t="shared" si="2574"/>
        <v>119.47972152999999</v>
      </c>
      <c r="GD1250" s="650">
        <f t="shared" si="2574"/>
        <v>73.045977571000009</v>
      </c>
      <c r="GE1250" s="650">
        <f t="shared" ref="GE1250:HL1250" si="2575">+GE912+GE889+GE894</f>
        <v>99.849186524000004</v>
      </c>
      <c r="GF1250" s="650">
        <f t="shared" si="2575"/>
        <v>86.334466156000005</v>
      </c>
      <c r="GG1250" s="650">
        <f t="shared" si="2575"/>
        <v>76.101960779999999</v>
      </c>
      <c r="GH1250" s="650">
        <f t="shared" si="2575"/>
        <v>49.196656843000007</v>
      </c>
      <c r="GI1250" s="650">
        <f t="shared" si="2575"/>
        <v>57.499332529429942</v>
      </c>
      <c r="GJ1250" s="650">
        <f t="shared" si="2575"/>
        <v>113.1724674960635</v>
      </c>
      <c r="GK1250" s="650">
        <f t="shared" si="2575"/>
        <v>109.81297340283089</v>
      </c>
      <c r="GL1250" s="650">
        <f t="shared" si="2575"/>
        <v>56.078114115959451</v>
      </c>
      <c r="GM1250" s="650">
        <f t="shared" si="2575"/>
        <v>60.492763610485106</v>
      </c>
      <c r="GN1250" s="650">
        <f t="shared" si="2575"/>
        <v>29.943225827028108</v>
      </c>
      <c r="GO1250" s="650">
        <f t="shared" si="2575"/>
        <v>118.81247804905666</v>
      </c>
      <c r="GP1250" s="650">
        <f t="shared" si="2575"/>
        <v>43.991895007972346</v>
      </c>
      <c r="GQ1250" s="650">
        <f t="shared" si="2575"/>
        <v>67.876412485859817</v>
      </c>
      <c r="GR1250" s="650">
        <f t="shared" si="2575"/>
        <v>195.09251726285765</v>
      </c>
      <c r="GS1250" s="650">
        <f t="shared" si="2575"/>
        <v>93.88467447953451</v>
      </c>
      <c r="GT1250" s="650">
        <f t="shared" si="2575"/>
        <v>36.302613396152957</v>
      </c>
      <c r="GU1250" s="650">
        <f t="shared" si="2575"/>
        <v>60.304457198999998</v>
      </c>
      <c r="GV1250" s="650">
        <f t="shared" si="2575"/>
        <v>72.659161435000001</v>
      </c>
      <c r="GW1250" s="650">
        <f t="shared" si="2575"/>
        <v>59.683114332999999</v>
      </c>
      <c r="GX1250" s="650">
        <f t="shared" si="2575"/>
        <v>60.479913273000001</v>
      </c>
      <c r="GY1250" s="650">
        <f t="shared" si="2575"/>
        <v>45.230784256999996</v>
      </c>
      <c r="GZ1250" s="650">
        <f t="shared" si="2575"/>
        <v>34.369167054000002</v>
      </c>
      <c r="HA1250" s="650">
        <f t="shared" si="2575"/>
        <v>126.289850317</v>
      </c>
      <c r="HB1250" s="650">
        <f t="shared" si="2575"/>
        <v>124.194103273</v>
      </c>
      <c r="HC1250" s="650">
        <f t="shared" si="2575"/>
        <v>73.593341761000005</v>
      </c>
      <c r="HD1250" s="650">
        <f t="shared" si="2575"/>
        <v>90.126418737999998</v>
      </c>
      <c r="HE1250" s="650">
        <f t="shared" si="2575"/>
        <v>97.534948024000016</v>
      </c>
      <c r="HF1250" s="650">
        <f t="shared" si="2575"/>
        <v>60.690974672999992</v>
      </c>
      <c r="HG1250" s="650">
        <f t="shared" si="2575"/>
        <v>61.332541307</v>
      </c>
      <c r="HH1250" s="650">
        <f t="shared" si="2575"/>
        <v>90.937108770999998</v>
      </c>
      <c r="HI1250" s="650">
        <f t="shared" si="2575"/>
        <v>82.958727295000003</v>
      </c>
      <c r="HJ1250" s="650">
        <f t="shared" si="2575"/>
        <v>137.022276839</v>
      </c>
      <c r="HK1250" s="650">
        <f t="shared" si="2575"/>
        <v>39.474813024999996</v>
      </c>
      <c r="HL1250" s="650">
        <f t="shared" si="2575"/>
        <v>37.078783205000008</v>
      </c>
      <c r="HM1250" s="650">
        <f t="shared" ref="HM1250:HR1250" si="2576">+HM912+HM889+HM894</f>
        <v>72.160215483999991</v>
      </c>
      <c r="HN1250" s="650">
        <f t="shared" si="2576"/>
        <v>113.625904154</v>
      </c>
      <c r="HO1250" s="650">
        <f t="shared" si="2576"/>
        <v>63.781047452999999</v>
      </c>
      <c r="HP1250" s="650">
        <f t="shared" si="2576"/>
        <v>36.655470257000005</v>
      </c>
      <c r="HQ1250" s="650">
        <f t="shared" si="2576"/>
        <v>42.992361028999994</v>
      </c>
      <c r="HR1250" s="650">
        <f t="shared" si="2576"/>
        <v>69.293909717999952</v>
      </c>
      <c r="HS1250" s="650"/>
      <c r="HT1250" s="650"/>
      <c r="HU1250" s="650"/>
      <c r="HV1250" s="650"/>
      <c r="HW1250" s="650"/>
      <c r="HX1250" s="650"/>
    </row>
    <row r="1251" spans="4:232" ht="17.25" customHeight="1">
      <c r="D1251" s="1108" t="s">
        <v>569</v>
      </c>
      <c r="E1251" s="650">
        <f t="shared" ref="E1251:AJ1251" si="2577">+E628</f>
        <v>0</v>
      </c>
      <c r="F1251" s="650">
        <f t="shared" si="2577"/>
        <v>0</v>
      </c>
      <c r="G1251" s="650">
        <f t="shared" si="2577"/>
        <v>29.4</v>
      </c>
      <c r="H1251" s="650">
        <f t="shared" si="2577"/>
        <v>0</v>
      </c>
      <c r="I1251" s="650">
        <f t="shared" si="2577"/>
        <v>0</v>
      </c>
      <c r="J1251" s="650">
        <f t="shared" si="2577"/>
        <v>29.3</v>
      </c>
      <c r="K1251" s="650">
        <f t="shared" si="2577"/>
        <v>0</v>
      </c>
      <c r="L1251" s="650">
        <f t="shared" si="2577"/>
        <v>0</v>
      </c>
      <c r="M1251" s="650">
        <f t="shared" si="2577"/>
        <v>31.4</v>
      </c>
      <c r="N1251" s="650">
        <f t="shared" si="2577"/>
        <v>0</v>
      </c>
      <c r="O1251" s="650">
        <f t="shared" si="2577"/>
        <v>0</v>
      </c>
      <c r="P1251" s="650">
        <f t="shared" si="2577"/>
        <v>32.4</v>
      </c>
      <c r="Q1251" s="650">
        <f t="shared" si="2577"/>
        <v>0</v>
      </c>
      <c r="R1251" s="650">
        <f t="shared" si="2577"/>
        <v>0</v>
      </c>
      <c r="S1251" s="650">
        <f t="shared" si="2577"/>
        <v>21.242069999999998</v>
      </c>
      <c r="T1251" s="650">
        <f t="shared" si="2577"/>
        <v>0</v>
      </c>
      <c r="U1251" s="650">
        <f t="shared" si="2577"/>
        <v>0</v>
      </c>
      <c r="V1251" s="650">
        <f t="shared" si="2577"/>
        <v>29.22842</v>
      </c>
      <c r="W1251" s="650">
        <f t="shared" si="2577"/>
        <v>0</v>
      </c>
      <c r="X1251" s="650">
        <f t="shared" si="2577"/>
        <v>0</v>
      </c>
      <c r="Y1251" s="650">
        <f t="shared" si="2577"/>
        <v>30.385300000000001</v>
      </c>
      <c r="Z1251" s="650">
        <f t="shared" si="2577"/>
        <v>0</v>
      </c>
      <c r="AA1251" s="650">
        <f t="shared" si="2577"/>
        <v>0</v>
      </c>
      <c r="AB1251" s="650">
        <f t="shared" si="2577"/>
        <v>67.686899999999994</v>
      </c>
      <c r="AC1251" s="650">
        <f t="shared" si="2577"/>
        <v>0</v>
      </c>
      <c r="AD1251" s="650">
        <f t="shared" si="2577"/>
        <v>0</v>
      </c>
      <c r="AE1251" s="650">
        <f t="shared" si="2577"/>
        <v>39.441300000000005</v>
      </c>
      <c r="AF1251" s="650">
        <f t="shared" si="2577"/>
        <v>0</v>
      </c>
      <c r="AG1251" s="650">
        <f t="shared" si="2577"/>
        <v>0</v>
      </c>
      <c r="AH1251" s="650">
        <f t="shared" si="2577"/>
        <v>28.791571012000006</v>
      </c>
      <c r="AI1251" s="650">
        <f t="shared" si="2577"/>
        <v>0</v>
      </c>
      <c r="AJ1251" s="650">
        <f t="shared" si="2577"/>
        <v>0</v>
      </c>
      <c r="AK1251" s="650">
        <f t="shared" ref="AK1251:BP1251" si="2578">+AK628</f>
        <v>39.314281945000005</v>
      </c>
      <c r="AL1251" s="650">
        <f t="shared" si="2578"/>
        <v>0</v>
      </c>
      <c r="AM1251" s="650">
        <f t="shared" si="2578"/>
        <v>0</v>
      </c>
      <c r="AN1251" s="650">
        <f t="shared" si="2578"/>
        <v>48.320237470999992</v>
      </c>
      <c r="AO1251" s="650">
        <f t="shared" si="2578"/>
        <v>0</v>
      </c>
      <c r="AP1251" s="650">
        <f t="shared" si="2578"/>
        <v>0</v>
      </c>
      <c r="AQ1251" s="650">
        <f t="shared" si="2578"/>
        <v>32.635025601999999</v>
      </c>
      <c r="AR1251" s="650">
        <f t="shared" si="2578"/>
        <v>0</v>
      </c>
      <c r="AS1251" s="650">
        <f t="shared" si="2578"/>
        <v>0</v>
      </c>
      <c r="AT1251" s="650">
        <f t="shared" si="2578"/>
        <v>36.601549328000004</v>
      </c>
      <c r="AU1251" s="650">
        <f t="shared" si="2578"/>
        <v>0</v>
      </c>
      <c r="AV1251" s="650">
        <f t="shared" si="2578"/>
        <v>0</v>
      </c>
      <c r="AW1251" s="650">
        <f t="shared" si="2578"/>
        <v>40.564456559999996</v>
      </c>
      <c r="AX1251" s="650">
        <f t="shared" si="2578"/>
        <v>0</v>
      </c>
      <c r="AY1251" s="650">
        <f t="shared" si="2578"/>
        <v>0</v>
      </c>
      <c r="AZ1251" s="650">
        <f t="shared" si="2578"/>
        <v>47.876462140999998</v>
      </c>
      <c r="BA1251" s="650">
        <f t="shared" si="2578"/>
        <v>0</v>
      </c>
      <c r="BB1251" s="650">
        <f t="shared" si="2578"/>
        <v>0</v>
      </c>
      <c r="BC1251" s="650">
        <f t="shared" si="2578"/>
        <v>78.985767354999993</v>
      </c>
      <c r="BD1251" s="650">
        <f t="shared" si="2578"/>
        <v>0</v>
      </c>
      <c r="BE1251" s="650">
        <f t="shared" si="2578"/>
        <v>0</v>
      </c>
      <c r="BF1251" s="650">
        <f t="shared" si="2578"/>
        <v>52.305443629000003</v>
      </c>
      <c r="BG1251" s="650">
        <f t="shared" si="2578"/>
        <v>0</v>
      </c>
      <c r="BH1251" s="650">
        <f t="shared" si="2578"/>
        <v>0</v>
      </c>
      <c r="BI1251" s="650">
        <f t="shared" si="2578"/>
        <v>37.795994708999999</v>
      </c>
      <c r="BJ1251" s="650">
        <f t="shared" si="2578"/>
        <v>0</v>
      </c>
      <c r="BK1251" s="650">
        <f t="shared" si="2578"/>
        <v>0</v>
      </c>
      <c r="BL1251" s="650">
        <f t="shared" si="2578"/>
        <v>72.880383401000003</v>
      </c>
      <c r="BM1251" s="650">
        <f t="shared" si="2578"/>
        <v>0</v>
      </c>
      <c r="BN1251" s="650">
        <f t="shared" si="2578"/>
        <v>0</v>
      </c>
      <c r="BO1251" s="650">
        <f t="shared" si="2578"/>
        <v>74.443160237000001</v>
      </c>
      <c r="BP1251" s="650">
        <f t="shared" si="2578"/>
        <v>0</v>
      </c>
      <c r="BQ1251" s="650">
        <f t="shared" ref="BQ1251:CV1251" si="2579">+BQ628</f>
        <v>0</v>
      </c>
      <c r="BR1251" s="650">
        <f t="shared" si="2579"/>
        <v>79.585584824000009</v>
      </c>
      <c r="BS1251" s="650">
        <f t="shared" si="2579"/>
        <v>0</v>
      </c>
      <c r="BT1251" s="650">
        <f t="shared" si="2579"/>
        <v>0</v>
      </c>
      <c r="BU1251" s="650">
        <f t="shared" si="2579"/>
        <v>85.534600000000012</v>
      </c>
      <c r="BV1251" s="650">
        <f t="shared" si="2579"/>
        <v>0</v>
      </c>
      <c r="BW1251" s="650">
        <f t="shared" si="2579"/>
        <v>0</v>
      </c>
      <c r="BX1251" s="650">
        <f t="shared" si="2579"/>
        <v>0</v>
      </c>
      <c r="BY1251" s="650">
        <f t="shared" si="2579"/>
        <v>0</v>
      </c>
      <c r="BZ1251" s="650">
        <f t="shared" si="2579"/>
        <v>0</v>
      </c>
      <c r="CA1251" s="650">
        <f t="shared" si="2579"/>
        <v>0</v>
      </c>
      <c r="CB1251" s="650">
        <f t="shared" si="2579"/>
        <v>0</v>
      </c>
      <c r="CC1251" s="650">
        <f t="shared" si="2579"/>
        <v>0</v>
      </c>
      <c r="CD1251" s="650">
        <f t="shared" si="2579"/>
        <v>0</v>
      </c>
      <c r="CE1251" s="650">
        <f t="shared" si="2579"/>
        <v>33.442606270771698</v>
      </c>
      <c r="CF1251" s="650">
        <f t="shared" si="2579"/>
        <v>10.11084003473381</v>
      </c>
      <c r="CG1251" s="650">
        <f t="shared" si="2579"/>
        <v>40.029800420294492</v>
      </c>
      <c r="CH1251" s="650">
        <f t="shared" si="2579"/>
        <v>52.129023568949599</v>
      </c>
      <c r="CI1251" s="650">
        <f t="shared" si="2579"/>
        <v>36.938693920135449</v>
      </c>
      <c r="CJ1251" s="650">
        <f t="shared" si="2579"/>
        <v>30.216815742000946</v>
      </c>
      <c r="CK1251" s="650">
        <f t="shared" si="2579"/>
        <v>35.465421401968307</v>
      </c>
      <c r="CL1251" s="650">
        <f t="shared" si="2579"/>
        <v>17.270006588434697</v>
      </c>
      <c r="CM1251" s="650">
        <f t="shared" si="2579"/>
        <v>19.001184852918993</v>
      </c>
      <c r="CN1251" s="650">
        <f t="shared" si="2579"/>
        <v>62.239680572925209</v>
      </c>
      <c r="CO1251" s="650">
        <f t="shared" si="2579"/>
        <v>24.906248327884175</v>
      </c>
      <c r="CP1251" s="650">
        <f t="shared" si="2579"/>
        <v>30.627619857661593</v>
      </c>
      <c r="CQ1251" s="650">
        <f t="shared" si="2579"/>
        <v>22.634250257573093</v>
      </c>
      <c r="CR1251" s="650">
        <f t="shared" si="2579"/>
        <v>24.52159962765402</v>
      </c>
      <c r="CS1251" s="650">
        <f t="shared" si="2579"/>
        <v>26.668254940129891</v>
      </c>
      <c r="CT1251" s="650">
        <f t="shared" si="2579"/>
        <v>30.063085946442769</v>
      </c>
      <c r="CU1251" s="650">
        <f t="shared" si="2579"/>
        <v>37.895227394663344</v>
      </c>
      <c r="CV1251" s="650">
        <f t="shared" si="2579"/>
        <v>37.215800957066605</v>
      </c>
      <c r="CW1251" s="650">
        <f t="shared" ref="CW1251:EB1251" si="2580">+CW628</f>
        <v>27.254137346920125</v>
      </c>
      <c r="CX1251" s="650">
        <f t="shared" si="2580"/>
        <v>24.408593314944181</v>
      </c>
      <c r="CY1251" s="650">
        <f t="shared" si="2580"/>
        <v>27.545518918423681</v>
      </c>
      <c r="CZ1251" s="650">
        <f t="shared" si="2580"/>
        <v>16.514020665328591</v>
      </c>
      <c r="DA1251" s="650">
        <f t="shared" si="2580"/>
        <v>31.02010684723729</v>
      </c>
      <c r="DB1251" s="650">
        <f t="shared" si="2580"/>
        <v>34.526302365791111</v>
      </c>
      <c r="DC1251" s="650">
        <f t="shared" si="2580"/>
        <v>13.879827281461569</v>
      </c>
      <c r="DD1251" s="650">
        <f t="shared" si="2580"/>
        <v>22.749010906813069</v>
      </c>
      <c r="DE1251" s="650">
        <f t="shared" si="2580"/>
        <v>27.576527280445355</v>
      </c>
      <c r="DF1251" s="650">
        <f t="shared" si="2580"/>
        <v>18.87147618274453</v>
      </c>
      <c r="DG1251" s="650">
        <f t="shared" si="2580"/>
        <v>13.961234766777029</v>
      </c>
      <c r="DH1251" s="650">
        <f t="shared" si="2580"/>
        <v>51.265758086985443</v>
      </c>
      <c r="DI1251" s="650">
        <f t="shared" si="2580"/>
        <v>16.342572375724565</v>
      </c>
      <c r="DJ1251" s="650">
        <f t="shared" si="2580"/>
        <v>17.049001310250979</v>
      </c>
      <c r="DK1251" s="650">
        <f t="shared" si="2580"/>
        <v>28.752959391475461</v>
      </c>
      <c r="DL1251" s="650">
        <f t="shared" si="2580"/>
        <v>24.046596579660893</v>
      </c>
      <c r="DM1251" s="650">
        <f t="shared" si="2580"/>
        <v>26.160917535553409</v>
      </c>
      <c r="DN1251" s="650">
        <f t="shared" si="2580"/>
        <v>11.152133643740704</v>
      </c>
      <c r="DO1251" s="650">
        <f t="shared" si="2580"/>
        <v>7.8666976505732329</v>
      </c>
      <c r="DP1251" s="650">
        <f t="shared" si="2580"/>
        <v>10.426636676368915</v>
      </c>
      <c r="DQ1251" s="650">
        <f t="shared" si="2580"/>
        <v>39.534174137009401</v>
      </c>
      <c r="DR1251" s="650">
        <f t="shared" si="2580"/>
        <v>9.2505464423914212</v>
      </c>
      <c r="DS1251" s="650">
        <f t="shared" si="2580"/>
        <v>11.369225287213002</v>
      </c>
      <c r="DT1251" s="650">
        <f t="shared" si="2580"/>
        <v>20.325144909231</v>
      </c>
      <c r="DU1251" s="650">
        <f t="shared" si="2580"/>
        <v>27.096548810042002</v>
      </c>
      <c r="DV1251" s="650">
        <f t="shared" si="2580"/>
        <v>3.1183098931750002</v>
      </c>
      <c r="DW1251" s="650">
        <f t="shared" si="2580"/>
        <v>21.614232810366996</v>
      </c>
      <c r="DX1251" s="650">
        <f t="shared" si="2580"/>
        <v>33.695296073125377</v>
      </c>
      <c r="DY1251" s="650">
        <f t="shared" si="2580"/>
        <v>12.780071612072998</v>
      </c>
      <c r="DZ1251" s="650">
        <f t="shared" si="2580"/>
        <v>21.164277456465001</v>
      </c>
      <c r="EA1251" s="650">
        <f t="shared" si="2580"/>
        <v>21.74761611951476</v>
      </c>
      <c r="EB1251" s="650">
        <f t="shared" si="2580"/>
        <v>25.760209253194738</v>
      </c>
      <c r="EC1251" s="650">
        <f t="shared" ref="EC1251:EX1251" si="2581">+EC628</f>
        <v>23.0598770162485</v>
      </c>
      <c r="ED1251" s="650">
        <f t="shared" si="2581"/>
        <v>23.712366129118919</v>
      </c>
      <c r="EE1251" s="650">
        <f t="shared" si="2581"/>
        <v>26.735410227996319</v>
      </c>
      <c r="EF1251" s="650">
        <f t="shared" si="2581"/>
        <v>31.381530689116762</v>
      </c>
      <c r="EG1251" s="650">
        <f t="shared" si="2581"/>
        <v>27.909894950615559</v>
      </c>
      <c r="EH1251" s="650">
        <f t="shared" si="2581"/>
        <v>16.955218745007535</v>
      </c>
      <c r="EI1251" s="650">
        <f t="shared" si="2581"/>
        <v>40.070005726957909</v>
      </c>
      <c r="EJ1251" s="650">
        <f t="shared" si="2581"/>
        <v>15.661802557920968</v>
      </c>
      <c r="EK1251" s="650">
        <f t="shared" si="2581"/>
        <v>27.208560267357019</v>
      </c>
      <c r="EL1251" s="650">
        <f t="shared" si="2581"/>
        <v>58.857923823111022</v>
      </c>
      <c r="EM1251" s="650">
        <f t="shared" si="2581"/>
        <v>26.154033663094854</v>
      </c>
      <c r="EN1251" s="650">
        <f t="shared" si="2581"/>
        <v>18.445545378356144</v>
      </c>
      <c r="EO1251" s="650">
        <f t="shared" si="2581"/>
        <v>47.015260453214999</v>
      </c>
      <c r="EP1251" s="650">
        <f t="shared" si="2581"/>
        <v>29.197911488066648</v>
      </c>
      <c r="EQ1251" s="650">
        <f t="shared" si="2581"/>
        <v>21.519785242485</v>
      </c>
      <c r="ER1251" s="650">
        <f t="shared" si="2581"/>
        <v>58.928926885631995</v>
      </c>
      <c r="ES1251" s="650">
        <f t="shared" si="2581"/>
        <v>35.348274640719566</v>
      </c>
      <c r="ET1251" s="650">
        <f t="shared" si="2581"/>
        <v>30.552618112890165</v>
      </c>
      <c r="EU1251" s="650">
        <f t="shared" si="2581"/>
        <v>44.041510783832905</v>
      </c>
      <c r="EV1251" s="650">
        <f t="shared" si="2581"/>
        <v>31.903327200566636</v>
      </c>
      <c r="EW1251" s="650">
        <f t="shared" si="2581"/>
        <v>28.888202852077264</v>
      </c>
      <c r="EX1251" s="650">
        <f t="shared" si="2581"/>
        <v>76.008599532845508</v>
      </c>
      <c r="EY1251" s="1619">
        <f t="shared" ref="EY1251:GD1251" si="2582">+EY908</f>
        <v>33.280121402833174</v>
      </c>
      <c r="EZ1251" s="650">
        <f t="shared" si="2582"/>
        <v>46.962321956311172</v>
      </c>
      <c r="FA1251" s="650">
        <f t="shared" si="2582"/>
        <v>42.414009539210497</v>
      </c>
      <c r="FB1251" s="650">
        <f t="shared" si="2582"/>
        <v>34.784045042298231</v>
      </c>
      <c r="FC1251" s="650">
        <f t="shared" si="2582"/>
        <v>44.060011411470597</v>
      </c>
      <c r="FD1251" s="650">
        <f t="shared" si="2582"/>
        <v>65.340583448423502</v>
      </c>
      <c r="FE1251" s="650">
        <f t="shared" si="2582"/>
        <v>41.617049318678283</v>
      </c>
      <c r="FF1251" s="650">
        <f t="shared" si="2582"/>
        <v>45.92982365208664</v>
      </c>
      <c r="FG1251" s="650">
        <f t="shared" si="2582"/>
        <v>46.527671511998889</v>
      </c>
      <c r="FH1251" s="650">
        <f t="shared" si="2582"/>
        <v>44.396108784472418</v>
      </c>
      <c r="FI1251" s="650">
        <f t="shared" si="2582"/>
        <v>53.012151564884498</v>
      </c>
      <c r="FJ1251" s="650">
        <f t="shared" si="2582"/>
        <v>49.474995745698159</v>
      </c>
      <c r="FK1251" s="650">
        <f t="shared" si="2582"/>
        <v>135.59233209151731</v>
      </c>
      <c r="FL1251" s="650">
        <f t="shared" si="2582"/>
        <v>66.297949603163616</v>
      </c>
      <c r="FM1251" s="650">
        <f t="shared" si="2582"/>
        <v>48.100940610604894</v>
      </c>
      <c r="FN1251" s="650">
        <f t="shared" si="2582"/>
        <v>33.241717161059192</v>
      </c>
      <c r="FO1251" s="650">
        <f t="shared" si="2582"/>
        <v>50.094245062684081</v>
      </c>
      <c r="FP1251" s="650">
        <f t="shared" si="2582"/>
        <v>52.196346233816548</v>
      </c>
      <c r="FQ1251" s="650">
        <f t="shared" si="2582"/>
        <v>42.1215202837517</v>
      </c>
      <c r="FR1251" s="650">
        <f t="shared" si="2582"/>
        <v>39.847795074940699</v>
      </c>
      <c r="FS1251" s="650">
        <f t="shared" si="2582"/>
        <v>63.234253633886681</v>
      </c>
      <c r="FT1251" s="650">
        <f t="shared" si="2582"/>
        <v>50.963642747466423</v>
      </c>
      <c r="FU1251" s="650">
        <f t="shared" si="2582"/>
        <v>35.519792666794402</v>
      </c>
      <c r="FV1251" s="650">
        <f t="shared" si="2582"/>
        <v>68.107825459623427</v>
      </c>
      <c r="FW1251" s="650">
        <f t="shared" si="2582"/>
        <v>57.499992982449463</v>
      </c>
      <c r="FX1251" s="650">
        <f t="shared" si="2582"/>
        <v>46.967371096775459</v>
      </c>
      <c r="FY1251" s="650">
        <f t="shared" si="2582"/>
        <v>59.222417094667456</v>
      </c>
      <c r="FZ1251" s="650">
        <f t="shared" si="2582"/>
        <v>99.548669602563081</v>
      </c>
      <c r="GA1251" s="650">
        <f t="shared" si="2582"/>
        <v>65.538813469563081</v>
      </c>
      <c r="GB1251" s="650">
        <f t="shared" si="2582"/>
        <v>78.728683860563081</v>
      </c>
      <c r="GC1251" s="650">
        <f t="shared" si="2582"/>
        <v>36.247905315862894</v>
      </c>
      <c r="GD1251" s="650">
        <f t="shared" si="2582"/>
        <v>53.680754194829888</v>
      </c>
      <c r="GE1251" s="650">
        <f t="shared" ref="GE1251:HL1251" si="2583">+GE908</f>
        <v>50.823533909731886</v>
      </c>
      <c r="GF1251" s="650">
        <f t="shared" si="2583"/>
        <v>54.358792407878894</v>
      </c>
      <c r="GG1251" s="650">
        <f t="shared" si="2583"/>
        <v>59.080995569218892</v>
      </c>
      <c r="GH1251" s="650">
        <f t="shared" si="2583"/>
        <v>127.01112217822589</v>
      </c>
      <c r="GI1251" s="650">
        <f t="shared" si="2583"/>
        <v>46.023012419852897</v>
      </c>
      <c r="GJ1251" s="650">
        <f t="shared" si="2583"/>
        <v>43.0800780031229</v>
      </c>
      <c r="GK1251" s="650">
        <f t="shared" si="2583"/>
        <v>63.493861325522907</v>
      </c>
      <c r="GL1251" s="650">
        <f t="shared" si="2583"/>
        <v>59.725592532872909</v>
      </c>
      <c r="GM1251" s="650">
        <f t="shared" si="2583"/>
        <v>44.138338000512903</v>
      </c>
      <c r="GN1251" s="650">
        <f t="shared" si="2583"/>
        <v>78.569064449222893</v>
      </c>
      <c r="GO1251" s="650">
        <f t="shared" si="2583"/>
        <v>68.458457315448982</v>
      </c>
      <c r="GP1251" s="650">
        <f t="shared" si="2583"/>
        <v>68.136237739411968</v>
      </c>
      <c r="GQ1251" s="650">
        <f t="shared" si="2583"/>
        <v>103.41804583896895</v>
      </c>
      <c r="GR1251" s="650">
        <f t="shared" si="2583"/>
        <v>53.858104412314965</v>
      </c>
      <c r="GS1251" s="650">
        <f t="shared" si="2583"/>
        <v>59.054166320816975</v>
      </c>
      <c r="GT1251" s="650">
        <f t="shared" si="2583"/>
        <v>83.51569662422699</v>
      </c>
      <c r="GU1251" s="650">
        <f t="shared" si="2583"/>
        <v>21.910529276230999</v>
      </c>
      <c r="GV1251" s="650">
        <f t="shared" si="2583"/>
        <v>42.197749617607002</v>
      </c>
      <c r="GW1251" s="650">
        <f t="shared" si="2583"/>
        <v>167.27146023960344</v>
      </c>
      <c r="GX1251" s="650">
        <f t="shared" si="2583"/>
        <v>27.285226901001998</v>
      </c>
      <c r="GY1251" s="650">
        <f t="shared" si="2583"/>
        <v>66.984583489333005</v>
      </c>
      <c r="GZ1251" s="650">
        <f t="shared" si="2583"/>
        <v>217.69340567850844</v>
      </c>
      <c r="HA1251" s="650">
        <f t="shared" si="2583"/>
        <v>31.435793520262003</v>
      </c>
      <c r="HB1251" s="650">
        <f t="shared" si="2583"/>
        <v>21.236010936550997</v>
      </c>
      <c r="HC1251" s="650">
        <f t="shared" si="2583"/>
        <v>214.23244092003236</v>
      </c>
      <c r="HD1251" s="650">
        <f t="shared" si="2583"/>
        <v>40.509249266334002</v>
      </c>
      <c r="HE1251" s="650">
        <f t="shared" si="2583"/>
        <v>18.274648314265999</v>
      </c>
      <c r="HF1251" s="650">
        <f t="shared" si="2583"/>
        <v>228.72781350703133</v>
      </c>
      <c r="HG1251" s="650">
        <f t="shared" si="2583"/>
        <v>49.879732205343004</v>
      </c>
      <c r="HH1251" s="650">
        <f t="shared" si="2583"/>
        <v>18.934514546271</v>
      </c>
      <c r="HI1251" s="650">
        <f t="shared" si="2583"/>
        <v>154.46104035477026</v>
      </c>
      <c r="HJ1251" s="650">
        <f t="shared" si="2583"/>
        <v>70.649448433716998</v>
      </c>
      <c r="HK1251" s="650">
        <f t="shared" si="2583"/>
        <v>42.123375037326014</v>
      </c>
      <c r="HL1251" s="650">
        <f t="shared" si="2583"/>
        <v>249.40825961562348</v>
      </c>
      <c r="HM1251" s="650">
        <f t="shared" ref="HM1251:HR1251" si="2584">+HM908</f>
        <v>54.966984160314993</v>
      </c>
      <c r="HN1251" s="650">
        <f t="shared" si="2584"/>
        <v>23.751190503989001</v>
      </c>
      <c r="HO1251" s="650">
        <f t="shared" si="2584"/>
        <v>180.81682860570521</v>
      </c>
      <c r="HP1251" s="650">
        <f t="shared" si="2584"/>
        <v>47.141957794567006</v>
      </c>
      <c r="HQ1251" s="650">
        <f t="shared" si="2584"/>
        <v>72.235398328367992</v>
      </c>
      <c r="HR1251" s="650">
        <f t="shared" si="2584"/>
        <v>183.17119751122544</v>
      </c>
      <c r="HS1251" s="650"/>
      <c r="HT1251" s="650"/>
      <c r="HU1251" s="650"/>
      <c r="HV1251" s="650"/>
      <c r="HW1251" s="650"/>
      <c r="HX1251" s="650"/>
    </row>
    <row r="1252" spans="4:232" ht="17.25" customHeight="1">
      <c r="D1252" s="1106" t="s">
        <v>146</v>
      </c>
      <c r="E1252" s="650">
        <f t="shared" ref="E1252:AJ1252" si="2585">+E635</f>
        <v>4.4808999999999992</v>
      </c>
      <c r="F1252" s="650">
        <f t="shared" si="2585"/>
        <v>0.57850000000000001</v>
      </c>
      <c r="G1252" s="650">
        <f t="shared" si="2585"/>
        <v>0.15159999999999998</v>
      </c>
      <c r="H1252" s="650">
        <f t="shared" si="2585"/>
        <v>0.72110000000000007</v>
      </c>
      <c r="I1252" s="650">
        <f t="shared" si="2585"/>
        <v>1.4757</v>
      </c>
      <c r="J1252" s="650">
        <f t="shared" si="2585"/>
        <v>0.59010000000000007</v>
      </c>
      <c r="K1252" s="650">
        <f t="shared" si="2585"/>
        <v>-0.26730000000000004</v>
      </c>
      <c r="L1252" s="650">
        <f t="shared" si="2585"/>
        <v>-1.0087000000000002</v>
      </c>
      <c r="M1252" s="650">
        <f t="shared" si="2585"/>
        <v>0.75060000000000004</v>
      </c>
      <c r="N1252" s="650">
        <f t="shared" si="2585"/>
        <v>4.8931000000000004</v>
      </c>
      <c r="O1252" s="650">
        <f t="shared" si="2585"/>
        <v>-21.798400000000001</v>
      </c>
      <c r="P1252" s="650">
        <f t="shared" si="2585"/>
        <v>1.3607</v>
      </c>
      <c r="Q1252" s="650">
        <f t="shared" si="2585"/>
        <v>0.31260000000000004</v>
      </c>
      <c r="R1252" s="650">
        <f t="shared" si="2585"/>
        <v>1.4419999999999999</v>
      </c>
      <c r="S1252" s="650">
        <f t="shared" si="2585"/>
        <v>1.0884</v>
      </c>
      <c r="T1252" s="650">
        <f t="shared" si="2585"/>
        <v>5.3588999999999993</v>
      </c>
      <c r="U1252" s="650">
        <f t="shared" si="2585"/>
        <v>0.35420000000000001</v>
      </c>
      <c r="V1252" s="650">
        <f t="shared" si="2585"/>
        <v>-7.8616999999999999</v>
      </c>
      <c r="W1252" s="650">
        <f t="shared" si="2585"/>
        <v>0.92549999999999999</v>
      </c>
      <c r="X1252" s="650">
        <f t="shared" si="2585"/>
        <v>1.9539000000000002</v>
      </c>
      <c r="Y1252" s="650">
        <f t="shared" si="2585"/>
        <v>4.4584999999999999</v>
      </c>
      <c r="Z1252" s="650">
        <f t="shared" si="2585"/>
        <v>3.9155000000000002</v>
      </c>
      <c r="AA1252" s="650">
        <f t="shared" si="2585"/>
        <v>4.3900000000000002E-2</v>
      </c>
      <c r="AB1252" s="650">
        <f t="shared" si="2585"/>
        <v>1.4965999999999999</v>
      </c>
      <c r="AC1252" s="650">
        <f t="shared" si="2585"/>
        <v>0.88112000000000001</v>
      </c>
      <c r="AD1252" s="650">
        <f t="shared" si="2585"/>
        <v>0.87414000000000003</v>
      </c>
      <c r="AE1252" s="650">
        <f t="shared" si="2585"/>
        <v>2.13029</v>
      </c>
      <c r="AF1252" s="650">
        <f t="shared" si="2585"/>
        <v>3.5615399999999999</v>
      </c>
      <c r="AG1252" s="650">
        <f t="shared" si="2585"/>
        <v>0.21575</v>
      </c>
      <c r="AH1252" s="650">
        <f t="shared" si="2585"/>
        <v>0.72760999999999998</v>
      </c>
      <c r="AI1252" s="650">
        <f t="shared" si="2585"/>
        <v>0.9607</v>
      </c>
      <c r="AJ1252" s="650">
        <f t="shared" si="2585"/>
        <v>2.2653000000000003</v>
      </c>
      <c r="AK1252" s="650">
        <f t="shared" ref="AK1252:BP1252" si="2586">+AK635</f>
        <v>18.787800000000001</v>
      </c>
      <c r="AL1252" s="650">
        <f t="shared" si="2586"/>
        <v>1.1427400000000001</v>
      </c>
      <c r="AM1252" s="650">
        <f t="shared" si="2586"/>
        <v>0</v>
      </c>
      <c r="AN1252" s="650">
        <f t="shared" si="2586"/>
        <v>3.13571</v>
      </c>
      <c r="AO1252" s="650">
        <f t="shared" si="2586"/>
        <v>-0.13950000000000001</v>
      </c>
      <c r="AP1252" s="650">
        <f t="shared" si="2586"/>
        <v>1.3267</v>
      </c>
      <c r="AQ1252" s="650">
        <f t="shared" si="2586"/>
        <v>3.6400999999999999</v>
      </c>
      <c r="AR1252" s="650">
        <f t="shared" si="2586"/>
        <v>2.0970999999999997</v>
      </c>
      <c r="AS1252" s="650">
        <f t="shared" si="2586"/>
        <v>-1.6924000000000001</v>
      </c>
      <c r="AT1252" s="650">
        <f t="shared" si="2586"/>
        <v>-1.0112999999999999</v>
      </c>
      <c r="AU1252" s="650">
        <f t="shared" si="2586"/>
        <v>3.3176300000000003</v>
      </c>
      <c r="AV1252" s="650">
        <f t="shared" si="2586"/>
        <v>11.5092</v>
      </c>
      <c r="AW1252" s="650">
        <f t="shared" si="2586"/>
        <v>4.6128</v>
      </c>
      <c r="AX1252" s="650">
        <f t="shared" si="2586"/>
        <v>2.8586999999999998</v>
      </c>
      <c r="AY1252" s="650">
        <f t="shared" si="2586"/>
        <v>-2.7444999999999999</v>
      </c>
      <c r="AZ1252" s="650">
        <f t="shared" si="2586"/>
        <v>4.5314399999999999</v>
      </c>
      <c r="BA1252" s="650">
        <f t="shared" si="2586"/>
        <v>-14.367799999999999</v>
      </c>
      <c r="BB1252" s="650">
        <f t="shared" si="2586"/>
        <v>1.4282000000000001</v>
      </c>
      <c r="BC1252" s="650">
        <f t="shared" si="2586"/>
        <v>3.7641</v>
      </c>
      <c r="BD1252" s="650">
        <f t="shared" si="2586"/>
        <v>2.3226999999999998</v>
      </c>
      <c r="BE1252" s="650">
        <f t="shared" si="2586"/>
        <v>0.3296</v>
      </c>
      <c r="BF1252" s="650">
        <f t="shared" si="2586"/>
        <v>0.90039999999999998</v>
      </c>
      <c r="BG1252" s="650">
        <f t="shared" si="2586"/>
        <v>2.0684</v>
      </c>
      <c r="BH1252" s="650">
        <f t="shared" si="2586"/>
        <v>2.0551399999999997</v>
      </c>
      <c r="BI1252" s="650">
        <f t="shared" si="2586"/>
        <v>-15.192024999999997</v>
      </c>
      <c r="BJ1252" s="650">
        <f t="shared" si="2586"/>
        <v>-9.2360449710000001</v>
      </c>
      <c r="BK1252" s="650">
        <f t="shared" si="2586"/>
        <v>2.0120999999999998</v>
      </c>
      <c r="BL1252" s="650">
        <f t="shared" si="2586"/>
        <v>1.6644000000000001</v>
      </c>
      <c r="BM1252" s="650">
        <f t="shared" si="2586"/>
        <v>1.6830000000000001</v>
      </c>
      <c r="BN1252" s="650">
        <f t="shared" si="2586"/>
        <v>2.7917700000000001</v>
      </c>
      <c r="BO1252" s="650">
        <f t="shared" si="2586"/>
        <v>4.0394603039999994</v>
      </c>
      <c r="BP1252" s="650">
        <f t="shared" si="2586"/>
        <v>4.2030000000000003</v>
      </c>
      <c r="BQ1252" s="650">
        <f t="shared" ref="BQ1252:CV1252" si="2587">+BQ635</f>
        <v>2.6143000000000001</v>
      </c>
      <c r="BR1252" s="650">
        <f t="shared" si="2587"/>
        <v>1.0662</v>
      </c>
      <c r="BS1252" s="650">
        <f t="shared" si="2587"/>
        <v>4.0785999999999998</v>
      </c>
      <c r="BT1252" s="650">
        <f t="shared" si="2587"/>
        <v>0.35580000000000001</v>
      </c>
      <c r="BU1252" s="650">
        <f t="shared" si="2587"/>
        <v>2.0322999999999998</v>
      </c>
      <c r="BV1252" s="650">
        <f t="shared" si="2587"/>
        <v>4.5972335040000001</v>
      </c>
      <c r="BW1252" s="650">
        <f t="shared" si="2587"/>
        <v>2.9477860690000002</v>
      </c>
      <c r="BX1252" s="650">
        <f t="shared" si="2587"/>
        <v>0.49817592700000002</v>
      </c>
      <c r="BY1252" s="650">
        <f t="shared" si="2587"/>
        <v>4.1115559690000003</v>
      </c>
      <c r="BZ1252" s="650">
        <f t="shared" si="2587"/>
        <v>3.1786107289999999</v>
      </c>
      <c r="CA1252" s="650">
        <f t="shared" si="2587"/>
        <v>1.199526503</v>
      </c>
      <c r="CB1252" s="650">
        <f t="shared" si="2587"/>
        <v>2.77495387</v>
      </c>
      <c r="CC1252" s="650">
        <f t="shared" si="2587"/>
        <v>108.363833485</v>
      </c>
      <c r="CD1252" s="650">
        <f t="shared" si="2587"/>
        <v>8.1158711050000001</v>
      </c>
      <c r="CE1252" s="650">
        <f t="shared" si="2587"/>
        <v>-31.756337806999998</v>
      </c>
      <c r="CF1252" s="650">
        <f t="shared" si="2587"/>
        <v>21.540410693999998</v>
      </c>
      <c r="CG1252" s="650">
        <f t="shared" si="2587"/>
        <v>4.644406139</v>
      </c>
      <c r="CH1252" s="650">
        <f t="shared" si="2587"/>
        <v>3.6906665100000002</v>
      </c>
      <c r="CI1252" s="650">
        <f t="shared" si="2587"/>
        <v>4.000771845</v>
      </c>
      <c r="CJ1252" s="650">
        <f t="shared" si="2587"/>
        <v>2.8386170709999998</v>
      </c>
      <c r="CK1252" s="650">
        <f t="shared" si="2587"/>
        <v>9.5043488400000005</v>
      </c>
      <c r="CL1252" s="650">
        <f t="shared" si="2587"/>
        <v>1.934691419</v>
      </c>
      <c r="CM1252" s="650">
        <f t="shared" si="2587"/>
        <v>13.501548335997581</v>
      </c>
      <c r="CN1252" s="650">
        <f t="shared" si="2587"/>
        <v>0.34203537899999997</v>
      </c>
      <c r="CO1252" s="650">
        <f t="shared" si="2587"/>
        <v>3.1439371009999997</v>
      </c>
      <c r="CP1252" s="650">
        <f t="shared" si="2587"/>
        <v>15.697589456000001</v>
      </c>
      <c r="CQ1252" s="650">
        <f t="shared" si="2587"/>
        <v>3.3484510189305601</v>
      </c>
      <c r="CR1252" s="650">
        <f t="shared" si="2587"/>
        <v>5.5814872209999997</v>
      </c>
      <c r="CS1252" s="650">
        <f t="shared" si="2587"/>
        <v>30.127451912000001</v>
      </c>
      <c r="CT1252" s="650">
        <f t="shared" si="2587"/>
        <v>1.7390629900000001</v>
      </c>
      <c r="CU1252" s="650">
        <f t="shared" si="2587"/>
        <v>4.0454566419999995</v>
      </c>
      <c r="CV1252" s="650">
        <f t="shared" si="2587"/>
        <v>2.8249999999999997</v>
      </c>
      <c r="CW1252" s="650">
        <f t="shared" ref="CW1252:EB1252" si="2588">+CW635</f>
        <v>3.7031724830000003</v>
      </c>
      <c r="CX1252" s="650">
        <f t="shared" si="2588"/>
        <v>6.7260049760000005</v>
      </c>
      <c r="CY1252" s="650">
        <f t="shared" si="2588"/>
        <v>6.6991230000000002</v>
      </c>
      <c r="CZ1252" s="650">
        <f t="shared" si="2588"/>
        <v>0</v>
      </c>
      <c r="DA1252" s="650">
        <f t="shared" si="2588"/>
        <v>3.4</v>
      </c>
      <c r="DB1252" s="650">
        <f t="shared" si="2588"/>
        <v>3.3</v>
      </c>
      <c r="DC1252" s="650">
        <f t="shared" si="2588"/>
        <v>5.3</v>
      </c>
      <c r="DD1252" s="650">
        <f t="shared" si="2588"/>
        <v>13.347593833000001</v>
      </c>
      <c r="DE1252" s="650">
        <f t="shared" si="2588"/>
        <v>8.9191911649999991</v>
      </c>
      <c r="DF1252" s="650">
        <f t="shared" si="2588"/>
        <v>3.5366866149999998</v>
      </c>
      <c r="DG1252" s="650">
        <f t="shared" si="2588"/>
        <v>4.3726213439999997</v>
      </c>
      <c r="DH1252" s="650">
        <f t="shared" si="2588"/>
        <v>3.514052623</v>
      </c>
      <c r="DI1252" s="650">
        <f t="shared" si="2588"/>
        <v>21.152643470999998</v>
      </c>
      <c r="DJ1252" s="650">
        <f t="shared" si="2588"/>
        <v>11.237692828</v>
      </c>
      <c r="DK1252" s="650">
        <f t="shared" si="2588"/>
        <v>2.812622325</v>
      </c>
      <c r="DL1252" s="650">
        <f t="shared" si="2588"/>
        <v>3.043442787</v>
      </c>
      <c r="DM1252" s="650">
        <f t="shared" si="2588"/>
        <v>2.875</v>
      </c>
      <c r="DN1252" s="650">
        <f t="shared" si="2588"/>
        <v>8.3103340330000002</v>
      </c>
      <c r="DO1252" s="650">
        <f t="shared" si="2588"/>
        <v>4.8980108539999998</v>
      </c>
      <c r="DP1252" s="650">
        <f t="shared" si="2588"/>
        <v>6.9066390129999995</v>
      </c>
      <c r="DQ1252" s="650">
        <f t="shared" si="2588"/>
        <v>6.81953502</v>
      </c>
      <c r="DR1252" s="650">
        <f t="shared" si="2588"/>
        <v>11.452914823999999</v>
      </c>
      <c r="DS1252" s="650">
        <f t="shared" si="2588"/>
        <v>7.6440726510000001</v>
      </c>
      <c r="DT1252" s="650">
        <f t="shared" si="2588"/>
        <v>5.9949982159999999</v>
      </c>
      <c r="DU1252" s="650">
        <f t="shared" si="2588"/>
        <v>16.884331552999999</v>
      </c>
      <c r="DV1252" s="650">
        <f t="shared" si="2588"/>
        <v>6.81953502</v>
      </c>
      <c r="DW1252" s="650">
        <f t="shared" si="2588"/>
        <v>11.516505986</v>
      </c>
      <c r="DX1252" s="650">
        <f t="shared" si="2588"/>
        <v>2.6007439900000016</v>
      </c>
      <c r="DY1252" s="650">
        <f t="shared" si="2588"/>
        <v>14.771810901</v>
      </c>
      <c r="DZ1252" s="650">
        <f t="shared" si="2588"/>
        <v>17.527823183999999</v>
      </c>
      <c r="EA1252" s="650">
        <f t="shared" si="2588"/>
        <v>9.8000000000000007</v>
      </c>
      <c r="EB1252" s="650">
        <f t="shared" si="2588"/>
        <v>13.576148472</v>
      </c>
      <c r="EC1252" s="650">
        <f t="shared" ref="EC1252:EX1252" si="2589">+EC635</f>
        <v>29.073563082</v>
      </c>
      <c r="ED1252" s="650">
        <f t="shared" si="2589"/>
        <v>7.6661447689999997</v>
      </c>
      <c r="EE1252" s="650">
        <f t="shared" si="2589"/>
        <v>10.20881591</v>
      </c>
      <c r="EF1252" s="650">
        <f t="shared" si="2589"/>
        <v>22.273047569999999</v>
      </c>
      <c r="EG1252" s="650">
        <f t="shared" si="2589"/>
        <v>10.686760800000002</v>
      </c>
      <c r="EH1252" s="650">
        <f t="shared" si="2589"/>
        <v>8.4656675769999996</v>
      </c>
      <c r="EI1252" s="650">
        <f t="shared" si="2589"/>
        <v>19.679205226000001</v>
      </c>
      <c r="EJ1252" s="650">
        <f t="shared" si="2589"/>
        <v>16.116149442000001</v>
      </c>
      <c r="EK1252" s="650">
        <f t="shared" si="2589"/>
        <v>13.329649810999999</v>
      </c>
      <c r="EL1252" s="650">
        <f t="shared" si="2589"/>
        <v>-0.83253643600000005</v>
      </c>
      <c r="EM1252" s="650">
        <f t="shared" si="2589"/>
        <v>18.295088931999999</v>
      </c>
      <c r="EN1252" s="650">
        <f t="shared" si="2589"/>
        <v>16.743440358000001</v>
      </c>
      <c r="EO1252" s="650">
        <f t="shared" si="2589"/>
        <v>24.034113318000003</v>
      </c>
      <c r="EP1252" s="650">
        <f t="shared" si="2589"/>
        <v>11.731862779</v>
      </c>
      <c r="EQ1252" s="650">
        <f t="shared" si="2589"/>
        <v>19.160632412999998</v>
      </c>
      <c r="ER1252" s="650">
        <f t="shared" si="2589"/>
        <v>6.2761232199999997</v>
      </c>
      <c r="ES1252" s="650">
        <f t="shared" si="2589"/>
        <v>21.636654608000001</v>
      </c>
      <c r="ET1252" s="650">
        <f t="shared" si="2589"/>
        <v>8.9863226449999996</v>
      </c>
      <c r="EU1252" s="650">
        <f t="shared" si="2589"/>
        <v>23.574493701000002</v>
      </c>
      <c r="EV1252" s="650">
        <f t="shared" si="2589"/>
        <v>11.875057798</v>
      </c>
      <c r="EW1252" s="650">
        <f t="shared" si="2589"/>
        <v>13.770363232999999</v>
      </c>
      <c r="EX1252" s="650">
        <f t="shared" si="2589"/>
        <v>20.239404674999999</v>
      </c>
      <c r="EY1252" s="1619">
        <f t="shared" ref="EY1252:GD1252" si="2590">(EY967+EY976+EY982+EY983+EY984)</f>
        <v>2.9627427580000001</v>
      </c>
      <c r="EZ1252" s="650">
        <f t="shared" si="2590"/>
        <v>1.464404676</v>
      </c>
      <c r="FA1252" s="650">
        <f t="shared" si="2590"/>
        <v>0</v>
      </c>
      <c r="FB1252" s="650">
        <f t="shared" si="2590"/>
        <v>82.901972736999994</v>
      </c>
      <c r="FC1252" s="650">
        <f t="shared" si="2590"/>
        <v>1.5526046760000001</v>
      </c>
      <c r="FD1252" s="650">
        <f t="shared" si="2590"/>
        <v>0</v>
      </c>
      <c r="FE1252" s="650">
        <f t="shared" si="2590"/>
        <v>11.865881414</v>
      </c>
      <c r="FF1252" s="650">
        <f t="shared" si="2590"/>
        <v>1.80821064</v>
      </c>
      <c r="FG1252" s="650">
        <f t="shared" si="2590"/>
        <v>5.3527981000000002E-2</v>
      </c>
      <c r="FH1252" s="650">
        <f t="shared" si="2590"/>
        <v>0</v>
      </c>
      <c r="FI1252" s="650">
        <f t="shared" si="2590"/>
        <v>0</v>
      </c>
      <c r="FJ1252" s="650">
        <f t="shared" si="2590"/>
        <v>1.0382190499999999</v>
      </c>
      <c r="FK1252" s="650">
        <f t="shared" si="2590"/>
        <v>0</v>
      </c>
      <c r="FL1252" s="650">
        <f t="shared" si="2590"/>
        <v>0</v>
      </c>
      <c r="FM1252" s="650">
        <f t="shared" si="2590"/>
        <v>47.715494765000003</v>
      </c>
      <c r="FN1252" s="650">
        <f t="shared" si="2590"/>
        <v>0</v>
      </c>
      <c r="FO1252" s="650">
        <f t="shared" si="2590"/>
        <v>1.0683389350000001</v>
      </c>
      <c r="FP1252" s="650">
        <f t="shared" si="2590"/>
        <v>7.1600264359999999</v>
      </c>
      <c r="FQ1252" s="650">
        <f t="shared" si="2590"/>
        <v>5.2808400000000004</v>
      </c>
      <c r="FR1252" s="650">
        <f t="shared" si="2590"/>
        <v>5.6999996880000001</v>
      </c>
      <c r="FS1252" s="650">
        <f t="shared" si="2590"/>
        <v>3.5096266109999998</v>
      </c>
      <c r="FT1252" s="650">
        <f t="shared" si="2590"/>
        <v>3.4183738990000001</v>
      </c>
      <c r="FU1252" s="650">
        <f t="shared" si="2590"/>
        <v>5.1646999559999998</v>
      </c>
      <c r="FV1252" s="650">
        <f t="shared" si="2590"/>
        <v>30.646021316999999</v>
      </c>
      <c r="FW1252" s="650">
        <f t="shared" si="2590"/>
        <v>2.3275000000000001</v>
      </c>
      <c r="FX1252" s="650">
        <f t="shared" si="2590"/>
        <v>0</v>
      </c>
      <c r="FY1252" s="650">
        <f t="shared" si="2590"/>
        <v>23.666196040999999</v>
      </c>
      <c r="FZ1252" s="650">
        <f t="shared" si="2590"/>
        <v>0.70497500000000002</v>
      </c>
      <c r="GA1252" s="650">
        <f t="shared" si="2590"/>
        <v>0</v>
      </c>
      <c r="GB1252" s="650">
        <f t="shared" si="2590"/>
        <v>13.804715346</v>
      </c>
      <c r="GC1252" s="650">
        <f t="shared" si="2590"/>
        <v>1</v>
      </c>
      <c r="GD1252" s="650">
        <f t="shared" si="2590"/>
        <v>11.404658732000001</v>
      </c>
      <c r="GE1252" s="650">
        <f t="shared" ref="GE1252:HL1252" si="2591">(GE967+GE976+GE982+GE983+GE984)</f>
        <v>7.2925649779999997</v>
      </c>
      <c r="GF1252" s="650">
        <f t="shared" si="2591"/>
        <v>17.543126211000001</v>
      </c>
      <c r="GG1252" s="650">
        <f t="shared" si="2591"/>
        <v>14.227502688000001</v>
      </c>
      <c r="GH1252" s="650">
        <f t="shared" si="2591"/>
        <v>64.959295971000003</v>
      </c>
      <c r="GI1252" s="650">
        <f t="shared" si="2591"/>
        <v>6.0993216676299999</v>
      </c>
      <c r="GJ1252" s="650">
        <f t="shared" si="2591"/>
        <v>0.76380206699999997</v>
      </c>
      <c r="GK1252" s="650">
        <f t="shared" si="2591"/>
        <v>71.944266262339994</v>
      </c>
      <c r="GL1252" s="650">
        <f t="shared" si="2591"/>
        <v>0</v>
      </c>
      <c r="GM1252" s="650">
        <f t="shared" si="2591"/>
        <v>0.57212499999999999</v>
      </c>
      <c r="GN1252" s="650">
        <f t="shared" si="2591"/>
        <v>20.300267109</v>
      </c>
      <c r="GO1252" s="650">
        <f t="shared" si="2591"/>
        <v>0.57212499999999999</v>
      </c>
      <c r="GP1252" s="650">
        <f t="shared" si="2591"/>
        <v>0</v>
      </c>
      <c r="GQ1252" s="650">
        <f t="shared" si="2591"/>
        <v>20.460227029000002</v>
      </c>
      <c r="GR1252" s="650">
        <f t="shared" si="2591"/>
        <v>0.499999998</v>
      </c>
      <c r="GS1252" s="650">
        <f t="shared" si="2591"/>
        <v>0.56497730000000002</v>
      </c>
      <c r="GT1252" s="650">
        <f t="shared" si="2591"/>
        <v>19.658055194999999</v>
      </c>
      <c r="GU1252" s="650">
        <f t="shared" si="2591"/>
        <v>3.6868372699999998</v>
      </c>
      <c r="GV1252" s="650">
        <f t="shared" si="2591"/>
        <v>5.1875473809999999</v>
      </c>
      <c r="GW1252" s="650">
        <f t="shared" si="2591"/>
        <v>10.891247843</v>
      </c>
      <c r="GX1252" s="650">
        <f t="shared" si="2591"/>
        <v>3.1026485639999999</v>
      </c>
      <c r="GY1252" s="650">
        <f t="shared" si="2591"/>
        <v>9.2027886630000015</v>
      </c>
      <c r="GZ1252" s="650">
        <f t="shared" si="2591"/>
        <v>24.888064716000002</v>
      </c>
      <c r="HA1252" s="650">
        <f t="shared" si="2591"/>
        <v>4.0574359040000001</v>
      </c>
      <c r="HB1252" s="650">
        <f t="shared" si="2591"/>
        <v>13.711449400999999</v>
      </c>
      <c r="HC1252" s="650">
        <f t="shared" si="2591"/>
        <v>21.071311098999999</v>
      </c>
      <c r="HD1252" s="650">
        <f t="shared" si="2591"/>
        <v>1.0527506180000001</v>
      </c>
      <c r="HE1252" s="650">
        <f t="shared" si="2591"/>
        <v>1.727570901</v>
      </c>
      <c r="HF1252" s="650">
        <f t="shared" si="2591"/>
        <v>12.826191958999999</v>
      </c>
      <c r="HG1252" s="650">
        <f t="shared" si="2591"/>
        <v>57.212300921000001</v>
      </c>
      <c r="HH1252" s="650">
        <f t="shared" si="2591"/>
        <v>3.0735634300000001</v>
      </c>
      <c r="HI1252" s="650">
        <f t="shared" si="2591"/>
        <v>47.900893817418996</v>
      </c>
      <c r="HJ1252" s="650">
        <f t="shared" si="2591"/>
        <v>-9.9021496817619994</v>
      </c>
      <c r="HK1252" s="650">
        <f t="shared" si="2591"/>
        <v>5.8385865369999994</v>
      </c>
      <c r="HL1252" s="650">
        <f t="shared" si="2591"/>
        <v>7.1931052330000007</v>
      </c>
      <c r="HM1252" s="650">
        <f t="shared" ref="HM1252:HR1252" si="2592">(HM967+HM976+HM982+HM983+HM984)</f>
        <v>4.738013445</v>
      </c>
      <c r="HN1252" s="650">
        <f t="shared" si="2592"/>
        <v>1.7019929219999996</v>
      </c>
      <c r="HO1252" s="650">
        <f t="shared" si="2592"/>
        <v>14.79503661</v>
      </c>
      <c r="HP1252" s="650">
        <f t="shared" si="2592"/>
        <v>7.7320141452489999</v>
      </c>
      <c r="HQ1252" s="650">
        <f t="shared" si="2592"/>
        <v>4.9802102269999988</v>
      </c>
      <c r="HR1252" s="650">
        <f t="shared" si="2592"/>
        <v>18.693106921999998</v>
      </c>
      <c r="HS1252" s="650"/>
      <c r="HT1252" s="650"/>
      <c r="HU1252" s="650"/>
      <c r="HV1252" s="650"/>
      <c r="HW1252" s="650"/>
      <c r="HX1252" s="650"/>
    </row>
    <row r="1253" spans="4:232" ht="17.25" customHeight="1">
      <c r="D1253" s="1111" t="s">
        <v>3269</v>
      </c>
      <c r="E1253" s="650">
        <f t="shared" ref="E1253:AJ1253" si="2593">+E669</f>
        <v>-0.50807036317380805</v>
      </c>
      <c r="F1253" s="650">
        <f t="shared" si="2593"/>
        <v>-3.3610918306800006E-2</v>
      </c>
      <c r="G1253" s="650">
        <f t="shared" si="2593"/>
        <v>10.397457793368302</v>
      </c>
      <c r="H1253" s="650">
        <f t="shared" si="2593"/>
        <v>-0.276455737578432</v>
      </c>
      <c r="I1253" s="650">
        <f t="shared" si="2593"/>
        <v>-0.12798318832220001</v>
      </c>
      <c r="J1253" s="650">
        <f t="shared" si="2593"/>
        <v>9.0944597461261001</v>
      </c>
      <c r="K1253" s="650">
        <f t="shared" si="2593"/>
        <v>-0.10911409420939988</v>
      </c>
      <c r="L1253" s="650">
        <f t="shared" si="2593"/>
        <v>-4.2709927436400001E-2</v>
      </c>
      <c r="M1253" s="650">
        <f t="shared" si="2593"/>
        <v>10.7865610018056</v>
      </c>
      <c r="N1253" s="650">
        <f t="shared" si="2593"/>
        <v>-3.807155156E-2</v>
      </c>
      <c r="O1253" s="650">
        <f t="shared" si="2593"/>
        <v>-0.77784387055999993</v>
      </c>
      <c r="P1253" s="650">
        <f t="shared" si="2593"/>
        <v>16.191599324879999</v>
      </c>
      <c r="Q1253" s="650">
        <f t="shared" si="2593"/>
        <v>-0.50161116085360002</v>
      </c>
      <c r="R1253" s="650">
        <f t="shared" si="2593"/>
        <v>-5.3357941889999996E-2</v>
      </c>
      <c r="S1253" s="650">
        <f t="shared" si="2593"/>
        <v>11.317881237878</v>
      </c>
      <c r="T1253" s="650">
        <f t="shared" si="2593"/>
        <v>0.67169293220400006</v>
      </c>
      <c r="U1253" s="650">
        <f t="shared" si="2593"/>
        <v>-0.163856145684</v>
      </c>
      <c r="V1253" s="650">
        <f t="shared" si="2593"/>
        <v>6.8213523351239997</v>
      </c>
      <c r="W1253" s="650">
        <f t="shared" si="2593"/>
        <v>1.3005350759400014E-2</v>
      </c>
      <c r="X1253" s="650">
        <f t="shared" si="2593"/>
        <v>3.998650096000006E-3</v>
      </c>
      <c r="Y1253" s="650">
        <f t="shared" si="2593"/>
        <v>9.6128784730768011</v>
      </c>
      <c r="Z1253" s="650">
        <f t="shared" si="2593"/>
        <v>-1.9543495164899977E-2</v>
      </c>
      <c r="AA1253" s="650">
        <f t="shared" si="2593"/>
        <v>-0.10399395625040002</v>
      </c>
      <c r="AB1253" s="650">
        <f t="shared" si="2593"/>
        <v>28.782368222892</v>
      </c>
      <c r="AC1253" s="650">
        <f t="shared" si="2593"/>
        <v>-0.52907199999999999</v>
      </c>
      <c r="AD1253" s="650">
        <f t="shared" si="2593"/>
        <v>-4.1878385000000004E-2</v>
      </c>
      <c r="AE1253" s="650">
        <f t="shared" si="2593"/>
        <v>12.106708015000001</v>
      </c>
      <c r="AF1253" s="650">
        <f t="shared" si="2593"/>
        <v>-0.26076719500000001</v>
      </c>
      <c r="AG1253" s="650">
        <f t="shared" si="2593"/>
        <v>-0.15922959</v>
      </c>
      <c r="AH1253" s="650">
        <f t="shared" si="2593"/>
        <v>12.245775637000001</v>
      </c>
      <c r="AI1253" s="650">
        <f t="shared" si="2593"/>
        <v>-0.54568328499999996</v>
      </c>
      <c r="AJ1253" s="650">
        <f t="shared" si="2593"/>
        <v>-4.7101027999999996E-2</v>
      </c>
      <c r="AK1253" s="650">
        <f t="shared" ref="AK1253:BP1253" si="2594">+AK669</f>
        <v>7.2460043950000008</v>
      </c>
      <c r="AL1253" s="650">
        <f t="shared" si="2594"/>
        <v>-0.17289784</v>
      </c>
      <c r="AM1253" s="650">
        <f t="shared" si="2594"/>
        <v>-0.21172326799999999</v>
      </c>
      <c r="AN1253" s="650">
        <f t="shared" si="2594"/>
        <v>8.1221169589999995</v>
      </c>
      <c r="AO1253" s="650">
        <f t="shared" si="2594"/>
        <v>-0.50290532316275993</v>
      </c>
      <c r="AP1253" s="650">
        <f t="shared" si="2594"/>
        <v>-0.15814870683429999</v>
      </c>
      <c r="AQ1253" s="650">
        <f t="shared" si="2594"/>
        <v>5.2097932474452797</v>
      </c>
      <c r="AR1253" s="650">
        <f t="shared" si="2594"/>
        <v>-0.2297994379254</v>
      </c>
      <c r="AS1253" s="650">
        <f t="shared" si="2594"/>
        <v>-0.20176501846710002</v>
      </c>
      <c r="AT1253" s="650">
        <f t="shared" si="2594"/>
        <v>7.0226782051887504</v>
      </c>
      <c r="AU1253" s="650">
        <f t="shared" si="2594"/>
        <v>-1.0774999999999999</v>
      </c>
      <c r="AV1253" s="650">
        <f t="shared" si="2594"/>
        <v>-0.1545</v>
      </c>
      <c r="AW1253" s="650">
        <f t="shared" si="2594"/>
        <v>6.3510565599999991</v>
      </c>
      <c r="AX1253" s="650">
        <f t="shared" si="2594"/>
        <v>-0.68194363155999993</v>
      </c>
      <c r="AY1253" s="650">
        <f t="shared" si="2594"/>
        <v>-0.38759797281340003</v>
      </c>
      <c r="AZ1253" s="650">
        <f t="shared" si="2594"/>
        <v>13.8662032493305</v>
      </c>
      <c r="BA1253" s="650">
        <f t="shared" si="2594"/>
        <v>-1.158766612</v>
      </c>
      <c r="BB1253" s="650">
        <f t="shared" si="2594"/>
        <v>-0.101139462</v>
      </c>
      <c r="BC1253" s="650">
        <f t="shared" si="2594"/>
        <v>19.235095475000001</v>
      </c>
      <c r="BD1253" s="650">
        <f t="shared" si="2594"/>
        <v>-0.155374504</v>
      </c>
      <c r="BE1253" s="650">
        <f t="shared" si="2594"/>
        <v>20.975846718000003</v>
      </c>
      <c r="BF1253" s="650">
        <f t="shared" si="2594"/>
        <v>11.376847363</v>
      </c>
      <c r="BG1253" s="650">
        <f t="shared" si="2594"/>
        <v>-1.2117479499999999</v>
      </c>
      <c r="BH1253" s="650">
        <f t="shared" si="2594"/>
        <v>-0.10368931131</v>
      </c>
      <c r="BI1253" s="650">
        <f t="shared" si="2594"/>
        <v>8.5563409086000011</v>
      </c>
      <c r="BJ1253" s="650">
        <f t="shared" si="2594"/>
        <v>3.3630518521599999</v>
      </c>
      <c r="BK1253" s="650">
        <f t="shared" si="2594"/>
        <v>-0.94509411099999996</v>
      </c>
      <c r="BL1253" s="650">
        <f t="shared" si="2594"/>
        <v>64.984093047999991</v>
      </c>
      <c r="BM1253" s="650">
        <f t="shared" si="2594"/>
        <v>-1.1393097170000002</v>
      </c>
      <c r="BN1253" s="650">
        <f t="shared" si="2594"/>
        <v>-0.10130504225</v>
      </c>
      <c r="BO1253" s="650">
        <f t="shared" si="2594"/>
        <v>12.096889067999999</v>
      </c>
      <c r="BP1253" s="650">
        <f t="shared" si="2594"/>
        <v>-0.37928600191000006</v>
      </c>
      <c r="BQ1253" s="650">
        <f t="shared" ref="BQ1253:CV1253" si="2595">+BQ669</f>
        <v>-1.1134900000000001</v>
      </c>
      <c r="BR1253" s="650">
        <f t="shared" si="2595"/>
        <v>11.045804823999999</v>
      </c>
      <c r="BS1253" s="650">
        <f t="shared" si="2595"/>
        <v>-1.2683</v>
      </c>
      <c r="BT1253" s="650">
        <f t="shared" si="2595"/>
        <v>-9.9900000000000003E-2</v>
      </c>
      <c r="BU1253" s="650">
        <f t="shared" si="2595"/>
        <v>35.908200000000001</v>
      </c>
      <c r="BV1253" s="650">
        <f t="shared" si="2595"/>
        <v>1.5956689506576198</v>
      </c>
      <c r="BW1253" s="650">
        <f t="shared" si="2595"/>
        <v>5.4647202718430172</v>
      </c>
      <c r="BX1253" s="650">
        <f t="shared" si="2595"/>
        <v>4.6916419250035108</v>
      </c>
      <c r="BY1253" s="650">
        <f t="shared" si="2595"/>
        <v>0.75260748222076534</v>
      </c>
      <c r="BZ1253" s="650">
        <f t="shared" si="2595"/>
        <v>4.077499622103451</v>
      </c>
      <c r="CA1253" s="650">
        <f t="shared" si="2595"/>
        <v>4.7181280788894915</v>
      </c>
      <c r="CB1253" s="650">
        <f t="shared" si="2595"/>
        <v>3.4099613564677433</v>
      </c>
      <c r="CC1253" s="650">
        <f t="shared" si="2595"/>
        <v>4.8829959041910262</v>
      </c>
      <c r="CD1253" s="650">
        <f t="shared" si="2595"/>
        <v>24.361956062990608</v>
      </c>
      <c r="CE1253" s="650">
        <f t="shared" si="2595"/>
        <v>6.0648673378900142</v>
      </c>
      <c r="CF1253" s="650">
        <f t="shared" si="2595"/>
        <v>3.7943198551050905</v>
      </c>
      <c r="CG1253" s="650">
        <f t="shared" si="2595"/>
        <v>3.4143455195842343</v>
      </c>
      <c r="CH1253" s="650">
        <f t="shared" si="2595"/>
        <v>4.8064493127320151</v>
      </c>
      <c r="CI1253" s="650">
        <f t="shared" si="2595"/>
        <v>2.9333864288658735</v>
      </c>
      <c r="CJ1253" s="650">
        <f t="shared" si="2595"/>
        <v>6.0664323475203208</v>
      </c>
      <c r="CK1253" s="650">
        <f t="shared" si="2595"/>
        <v>10.54974338072898</v>
      </c>
      <c r="CL1253" s="650">
        <f t="shared" si="2595"/>
        <v>1.6094141646601652</v>
      </c>
      <c r="CM1253" s="650">
        <f t="shared" si="2595"/>
        <v>2.0088474897454565</v>
      </c>
      <c r="CN1253" s="650">
        <f t="shared" si="2595"/>
        <v>1.2718415560240695</v>
      </c>
      <c r="CO1253" s="650">
        <f t="shared" si="2595"/>
        <v>38.10535375062684</v>
      </c>
      <c r="CP1253" s="650">
        <f t="shared" si="2595"/>
        <v>24.531914229255314</v>
      </c>
      <c r="CQ1253" s="650">
        <f t="shared" si="2595"/>
        <v>4.9420193008418858</v>
      </c>
      <c r="CR1253" s="650">
        <f t="shared" si="2595"/>
        <v>3.8308939451566677</v>
      </c>
      <c r="CS1253" s="650">
        <f t="shared" si="2595"/>
        <v>12.00286724258406</v>
      </c>
      <c r="CT1253" s="650">
        <f t="shared" si="2595"/>
        <v>5.1893339261600904</v>
      </c>
      <c r="CU1253" s="650">
        <f t="shared" si="2595"/>
        <v>10.46585883733734</v>
      </c>
      <c r="CV1253" s="650">
        <f t="shared" si="2595"/>
        <v>67.021078465884145</v>
      </c>
      <c r="CW1253" s="650">
        <f t="shared" ref="CW1253:EB1253" si="2596">+CW669</f>
        <v>7.8762359651259253</v>
      </c>
      <c r="CX1253" s="650">
        <f t="shared" si="2596"/>
        <v>3.5485909032750431</v>
      </c>
      <c r="CY1253" s="650">
        <f t="shared" si="2596"/>
        <v>8.6557670022827384</v>
      </c>
      <c r="CZ1253" s="650">
        <f t="shared" si="2596"/>
        <v>48.213086059450021</v>
      </c>
      <c r="DA1253" s="650">
        <f t="shared" si="2596"/>
        <v>4.8957815003413128</v>
      </c>
      <c r="DB1253" s="650">
        <f t="shared" si="2596"/>
        <v>11.545065657792968</v>
      </c>
      <c r="DC1253" s="650">
        <f t="shared" si="2596"/>
        <v>-0.32746269399886818</v>
      </c>
      <c r="DD1253" s="650">
        <f t="shared" si="2596"/>
        <v>3.5305284776444301</v>
      </c>
      <c r="DE1253" s="650">
        <f t="shared" si="2596"/>
        <v>55.40402819682587</v>
      </c>
      <c r="DF1253" s="650">
        <f t="shared" si="2596"/>
        <v>13.837937548729254</v>
      </c>
      <c r="DG1253" s="650">
        <f t="shared" si="2596"/>
        <v>4.0517228288185114</v>
      </c>
      <c r="DH1253" s="650">
        <f t="shared" si="2596"/>
        <v>90.018144492537417</v>
      </c>
      <c r="DI1253" s="650">
        <f t="shared" si="2596"/>
        <v>5.8757694289489741</v>
      </c>
      <c r="DJ1253" s="650">
        <f t="shared" si="2596"/>
        <v>21.472344372958734</v>
      </c>
      <c r="DK1253" s="650">
        <f t="shared" si="2596"/>
        <v>11.427946944314153</v>
      </c>
      <c r="DL1253" s="650">
        <f t="shared" si="2596"/>
        <v>10.494451571476269</v>
      </c>
      <c r="DM1253" s="650">
        <f t="shared" si="2596"/>
        <v>4.9315520607593966</v>
      </c>
      <c r="DN1253" s="650">
        <f t="shared" si="2596"/>
        <v>3.691164430675272</v>
      </c>
      <c r="DO1253" s="650">
        <f t="shared" si="2596"/>
        <v>2.4828976559227027</v>
      </c>
      <c r="DP1253" s="650">
        <f t="shared" si="2596"/>
        <v>8.2479295940122039</v>
      </c>
      <c r="DQ1253" s="650">
        <f t="shared" si="2596"/>
        <v>34.80290039343646</v>
      </c>
      <c r="DR1253" s="650">
        <f t="shared" si="2596"/>
        <v>68.234891521118072</v>
      </c>
      <c r="DS1253" s="650">
        <f t="shared" si="2596"/>
        <v>9.7368212350321457</v>
      </c>
      <c r="DT1253" s="650">
        <f t="shared" si="2596"/>
        <v>93.306756981791452</v>
      </c>
      <c r="DU1253" s="650">
        <f t="shared" si="2596"/>
        <v>10.523081388542748</v>
      </c>
      <c r="DV1253" s="650">
        <f t="shared" si="2596"/>
        <v>2.9753375645376945</v>
      </c>
      <c r="DW1253" s="650">
        <f t="shared" si="2596"/>
        <v>16.285524088676041</v>
      </c>
      <c r="DX1253" s="650">
        <f t="shared" si="2596"/>
        <v>19.930253277965207</v>
      </c>
      <c r="DY1253" s="650">
        <f t="shared" si="2596"/>
        <v>36.579671090306043</v>
      </c>
      <c r="DZ1253" s="650">
        <f t="shared" si="2596"/>
        <v>19.882869600030467</v>
      </c>
      <c r="EA1253" s="650">
        <f t="shared" si="2596"/>
        <v>8.4231752763884664</v>
      </c>
      <c r="EB1253" s="650">
        <f t="shared" si="2596"/>
        <v>31.683600606302893</v>
      </c>
      <c r="EC1253" s="650">
        <f t="shared" ref="EC1253:EX1253" si="2597">+EC669</f>
        <v>24.658814769659362</v>
      </c>
      <c r="ED1253" s="650">
        <f t="shared" si="2597"/>
        <v>18.683836442856141</v>
      </c>
      <c r="EE1253" s="650">
        <f t="shared" si="2597"/>
        <v>110.96608495911359</v>
      </c>
      <c r="EF1253" s="650">
        <f t="shared" si="2597"/>
        <v>14.51405999831908</v>
      </c>
      <c r="EG1253" s="650">
        <f t="shared" si="2597"/>
        <v>55.423346475873529</v>
      </c>
      <c r="EH1253" s="650">
        <f t="shared" si="2597"/>
        <v>3.8959698821168445</v>
      </c>
      <c r="EI1253" s="650">
        <f t="shared" si="2597"/>
        <v>14.580064284231812</v>
      </c>
      <c r="EJ1253" s="650">
        <f t="shared" si="2597"/>
        <v>8.8538571553240697</v>
      </c>
      <c r="EK1253" s="650">
        <f t="shared" si="2597"/>
        <v>38.389474378554652</v>
      </c>
      <c r="EL1253" s="650">
        <f t="shared" si="2597"/>
        <v>25.956846648486049</v>
      </c>
      <c r="EM1253" s="650">
        <f t="shared" si="2597"/>
        <v>9.1306091178664825</v>
      </c>
      <c r="EN1253" s="650">
        <f t="shared" si="2597"/>
        <v>1.63542145193674</v>
      </c>
      <c r="EO1253" s="650">
        <f t="shared" si="2597"/>
        <v>10.987169894132018</v>
      </c>
      <c r="EP1253" s="650">
        <f t="shared" si="2597"/>
        <v>4.562096771518064</v>
      </c>
      <c r="EQ1253" s="650">
        <f t="shared" si="2597"/>
        <v>13.176531811450971</v>
      </c>
      <c r="ER1253" s="650">
        <f t="shared" si="2597"/>
        <v>219.27680270007269</v>
      </c>
      <c r="ES1253" s="650">
        <f t="shared" si="2597"/>
        <v>22.37974998625814</v>
      </c>
      <c r="ET1253" s="650">
        <f t="shared" si="2597"/>
        <v>15.159283741393457</v>
      </c>
      <c r="EU1253" s="650">
        <f t="shared" si="2597"/>
        <v>11.394298316027328</v>
      </c>
      <c r="EV1253" s="650">
        <f t="shared" si="2597"/>
        <v>18.450060664160304</v>
      </c>
      <c r="EW1253" s="650">
        <f t="shared" si="2597"/>
        <v>16.139738200652342</v>
      </c>
      <c r="EX1253" s="650">
        <f t="shared" si="2597"/>
        <v>106.02020398827491</v>
      </c>
      <c r="EY1253" s="1619">
        <f t="shared" ref="EY1253:GD1253" si="2598">-EY985+EY1019</f>
        <v>18.710324140762001</v>
      </c>
      <c r="EZ1253" s="650">
        <f t="shared" si="2598"/>
        <v>26.358275628537605</v>
      </c>
      <c r="FA1253" s="650">
        <f t="shared" si="2598"/>
        <v>25.66195521547359</v>
      </c>
      <c r="FB1253" s="650">
        <f t="shared" si="2598"/>
        <v>180.34086035425312</v>
      </c>
      <c r="FC1253" s="650">
        <f t="shared" si="2598"/>
        <v>35.460548031665894</v>
      </c>
      <c r="FD1253" s="650">
        <f t="shared" si="2598"/>
        <v>146.3197624468045</v>
      </c>
      <c r="FE1253" s="650">
        <f t="shared" si="2598"/>
        <v>60.226021596908097</v>
      </c>
      <c r="FF1253" s="650">
        <f t="shared" si="2598"/>
        <v>26.641361852016441</v>
      </c>
      <c r="FG1253" s="650">
        <f t="shared" si="2598"/>
        <v>11.705615638270633</v>
      </c>
      <c r="FH1253" s="650">
        <f t="shared" si="2598"/>
        <v>124.11776803524816</v>
      </c>
      <c r="FI1253" s="650">
        <f t="shared" si="2598"/>
        <v>32.936011562168424</v>
      </c>
      <c r="FJ1253" s="650">
        <f t="shared" si="2598"/>
        <v>265.54118707599042</v>
      </c>
      <c r="FK1253" s="650">
        <f t="shared" si="2598"/>
        <v>165.36716256293312</v>
      </c>
      <c r="FL1253" s="650">
        <f t="shared" si="2598"/>
        <v>42.676739492936349</v>
      </c>
      <c r="FM1253" s="650">
        <f t="shared" si="2598"/>
        <v>47.373704321396758</v>
      </c>
      <c r="FN1253" s="650">
        <f t="shared" si="2598"/>
        <v>29.80564258928019</v>
      </c>
      <c r="FO1253" s="650">
        <f t="shared" si="2598"/>
        <v>24.133098201211482</v>
      </c>
      <c r="FP1253" s="650">
        <f t="shared" si="2598"/>
        <v>142.03539291295886</v>
      </c>
      <c r="FQ1253" s="650">
        <f t="shared" si="2598"/>
        <v>8.1583712632049998</v>
      </c>
      <c r="FR1253" s="650">
        <f t="shared" si="2598"/>
        <v>30.696689018393997</v>
      </c>
      <c r="FS1253" s="650">
        <f t="shared" si="2598"/>
        <v>96.048654651339973</v>
      </c>
      <c r="FT1253" s="650">
        <f t="shared" si="2598"/>
        <v>24.229058993359722</v>
      </c>
      <c r="FU1253" s="650">
        <f t="shared" si="2598"/>
        <v>7.5483352215044688</v>
      </c>
      <c r="FV1253" s="650">
        <f t="shared" si="2598"/>
        <v>39.199590900966733</v>
      </c>
      <c r="FW1253" s="650">
        <f t="shared" si="2598"/>
        <v>27.624194789979462</v>
      </c>
      <c r="FX1253" s="650">
        <f t="shared" si="2598"/>
        <v>289.61078769430463</v>
      </c>
      <c r="FY1253" s="650">
        <f t="shared" si="2598"/>
        <v>17.41244602701115</v>
      </c>
      <c r="FZ1253" s="650">
        <f t="shared" si="2598"/>
        <v>87.691067920702139</v>
      </c>
      <c r="GA1253" s="650">
        <f t="shared" si="2598"/>
        <v>74.219736986734461</v>
      </c>
      <c r="GB1253" s="650">
        <f t="shared" si="2598"/>
        <v>259.05444236477047</v>
      </c>
      <c r="GC1253" s="650">
        <f t="shared" si="2598"/>
        <v>3.2885865871498829</v>
      </c>
      <c r="GD1253" s="650">
        <f t="shared" si="2598"/>
        <v>13.94239333506065</v>
      </c>
      <c r="GE1253" s="650">
        <f t="shared" ref="GE1253:HL1253" si="2599">-GE985+GE1019</f>
        <v>82.658302674580867</v>
      </c>
      <c r="GF1253" s="650">
        <f t="shared" si="2599"/>
        <v>-114.26020505761939</v>
      </c>
      <c r="GG1253" s="650">
        <f t="shared" si="2599"/>
        <v>44.550087477578145</v>
      </c>
      <c r="GH1253" s="650">
        <f t="shared" si="2599"/>
        <v>92.012539414141031</v>
      </c>
      <c r="GI1253" s="650">
        <f t="shared" si="2599"/>
        <v>18.006083506541067</v>
      </c>
      <c r="GJ1253" s="650">
        <f t="shared" si="2599"/>
        <v>4.8089811679161691</v>
      </c>
      <c r="GK1253" s="650">
        <f t="shared" si="2599"/>
        <v>70.569208254395889</v>
      </c>
      <c r="GL1253" s="650">
        <f t="shared" si="2599"/>
        <v>27.560648542128696</v>
      </c>
      <c r="GM1253" s="650">
        <f t="shared" si="2599"/>
        <v>9.4039659277830996</v>
      </c>
      <c r="GN1253" s="650">
        <f t="shared" si="2599"/>
        <v>44.237588588376816</v>
      </c>
      <c r="GO1253" s="650">
        <f t="shared" si="2599"/>
        <v>27.288171702099547</v>
      </c>
      <c r="GP1253" s="650">
        <f t="shared" si="2599"/>
        <v>22.984808425351392</v>
      </c>
      <c r="GQ1253" s="650">
        <f t="shared" si="2599"/>
        <v>450.23539151328413</v>
      </c>
      <c r="GR1253" s="650">
        <f t="shared" si="2599"/>
        <v>10.375318925647001</v>
      </c>
      <c r="GS1253" s="650">
        <f t="shared" si="2599"/>
        <v>20.289536545420098</v>
      </c>
      <c r="GT1253" s="650">
        <f t="shared" si="2599"/>
        <v>170.86324463565049</v>
      </c>
      <c r="GU1253" s="650">
        <f t="shared" si="2599"/>
        <v>24.901617678619075</v>
      </c>
      <c r="GV1253" s="650">
        <f t="shared" si="2599"/>
        <v>29.396984788598399</v>
      </c>
      <c r="GW1253" s="650">
        <f t="shared" si="2599"/>
        <v>34.278652857079472</v>
      </c>
      <c r="GX1253" s="650">
        <f t="shared" si="2599"/>
        <v>34.569296173943322</v>
      </c>
      <c r="GY1253" s="650">
        <f t="shared" si="2599"/>
        <v>61.294792130506103</v>
      </c>
      <c r="GZ1253" s="650">
        <f t="shared" si="2599"/>
        <v>389.1169962807532</v>
      </c>
      <c r="HA1253" s="650">
        <f t="shared" si="2599"/>
        <v>23.587192673905697</v>
      </c>
      <c r="HB1253" s="650">
        <f t="shared" si="2599"/>
        <v>5.8263685015150024</v>
      </c>
      <c r="HC1253" s="650">
        <f t="shared" si="2599"/>
        <v>71.093702307219047</v>
      </c>
      <c r="HD1253" s="650">
        <f t="shared" si="2599"/>
        <v>91.193470368949306</v>
      </c>
      <c r="HE1253" s="650">
        <f t="shared" si="2599"/>
        <v>132.09520843442903</v>
      </c>
      <c r="HF1253" s="650">
        <f t="shared" si="2599"/>
        <v>409.85987118987839</v>
      </c>
      <c r="HG1253" s="650">
        <f t="shared" si="2599"/>
        <v>43.159955054956399</v>
      </c>
      <c r="HH1253" s="650">
        <f t="shared" si="2599"/>
        <v>0.98937619620851436</v>
      </c>
      <c r="HI1253" s="650">
        <f t="shared" si="2599"/>
        <v>36.071509214190151</v>
      </c>
      <c r="HJ1253" s="650">
        <f t="shared" si="2599"/>
        <v>67.645435634450322</v>
      </c>
      <c r="HK1253" s="650">
        <f t="shared" si="2599"/>
        <v>80.882855799423439</v>
      </c>
      <c r="HL1253" s="650">
        <f t="shared" si="2599"/>
        <v>825.34905733611004</v>
      </c>
      <c r="HM1253" s="650">
        <f t="shared" ref="HM1253:HR1253" si="2600">-HM985+HM1019</f>
        <v>42.170735424790976</v>
      </c>
      <c r="HN1253" s="650">
        <f t="shared" si="2600"/>
        <v>2.7380914340625786</v>
      </c>
      <c r="HO1253" s="650">
        <f t="shared" si="2600"/>
        <v>47.308407646848096</v>
      </c>
      <c r="HP1253" s="650">
        <f t="shared" si="2600"/>
        <v>50.77707109300875</v>
      </c>
      <c r="HQ1253" s="650">
        <f t="shared" si="2600"/>
        <v>61.98589116275803</v>
      </c>
      <c r="HR1253" s="650">
        <f t="shared" si="2600"/>
        <v>96.101478396257008</v>
      </c>
      <c r="HS1253" s="650"/>
      <c r="HT1253" s="650"/>
      <c r="HU1253" s="650"/>
      <c r="HV1253" s="650"/>
      <c r="HW1253" s="650"/>
      <c r="HX1253" s="650"/>
    </row>
    <row r="1254" spans="4:232" ht="17.25" customHeight="1">
      <c r="D1254" s="1111" t="s">
        <v>828</v>
      </c>
      <c r="E1254" s="650">
        <f t="shared" ref="E1254:AJ1254" si="2601">+E681</f>
        <v>3.3985952380779314</v>
      </c>
      <c r="F1254" s="650">
        <f t="shared" si="2601"/>
        <v>9.2998979970267985</v>
      </c>
      <c r="G1254" s="650">
        <f t="shared" si="2601"/>
        <v>11.516824383664195</v>
      </c>
      <c r="H1254" s="650">
        <f t="shared" si="2601"/>
        <v>6.2476395107067049</v>
      </c>
      <c r="I1254" s="650">
        <f t="shared" si="2601"/>
        <v>-18.013913429779802</v>
      </c>
      <c r="J1254" s="650">
        <f t="shared" si="2601"/>
        <v>-54.064165934400215</v>
      </c>
      <c r="K1254" s="650">
        <f t="shared" si="2601"/>
        <v>14.645809234535708</v>
      </c>
      <c r="L1254" s="650">
        <f t="shared" si="2601"/>
        <v>4.9653835292860027</v>
      </c>
      <c r="M1254" s="650">
        <f t="shared" si="2601"/>
        <v>14.408701830078401</v>
      </c>
      <c r="N1254" s="650">
        <f t="shared" si="2601"/>
        <v>11.643373313300007</v>
      </c>
      <c r="O1254" s="650">
        <f t="shared" si="2601"/>
        <v>6.3408579906599947</v>
      </c>
      <c r="P1254" s="650">
        <f t="shared" si="2601"/>
        <v>-15.8843328948</v>
      </c>
      <c r="Q1254" s="650">
        <f t="shared" si="2601"/>
        <v>-3.9728840997547943</v>
      </c>
      <c r="R1254" s="650">
        <f t="shared" si="2601"/>
        <v>14.097380114232703</v>
      </c>
      <c r="S1254" s="650">
        <f t="shared" si="2601"/>
        <v>-39.433969753152986</v>
      </c>
      <c r="T1254" s="650">
        <f t="shared" si="2601"/>
        <v>25.16263547606</v>
      </c>
      <c r="U1254" s="650">
        <f t="shared" si="2601"/>
        <v>-16.927548442660505</v>
      </c>
      <c r="V1254" s="650">
        <f t="shared" si="2601"/>
        <v>-41.149097456732001</v>
      </c>
      <c r="W1254" s="650">
        <f t="shared" si="2601"/>
        <v>18.302697017590599</v>
      </c>
      <c r="X1254" s="650">
        <f t="shared" si="2601"/>
        <v>6.6565175943120041</v>
      </c>
      <c r="Y1254" s="650">
        <f t="shared" si="2601"/>
        <v>3.6098355915280074</v>
      </c>
      <c r="Z1254" s="650">
        <f t="shared" si="2601"/>
        <v>16.359524329738289</v>
      </c>
      <c r="AA1254" s="650">
        <f t="shared" si="2601"/>
        <v>25.620377379039802</v>
      </c>
      <c r="AB1254" s="650">
        <f t="shared" si="2601"/>
        <v>-67.69437469118499</v>
      </c>
      <c r="AC1254" s="650">
        <f t="shared" si="2601"/>
        <v>21.352505762</v>
      </c>
      <c r="AD1254" s="650">
        <f t="shared" si="2601"/>
        <v>-0.13600534200000231</v>
      </c>
      <c r="AE1254" s="650">
        <f t="shared" si="2601"/>
        <v>23.416125643000001</v>
      </c>
      <c r="AF1254" s="650">
        <f t="shared" si="2601"/>
        <v>-16.210330169999999</v>
      </c>
      <c r="AG1254" s="650">
        <f t="shared" si="2601"/>
        <v>11.471898870999997</v>
      </c>
      <c r="AH1254" s="650">
        <f t="shared" si="2601"/>
        <v>-45.741334597999973</v>
      </c>
      <c r="AI1254" s="650">
        <f t="shared" si="2601"/>
        <v>-9.0578524149999957</v>
      </c>
      <c r="AJ1254" s="650">
        <f t="shared" si="2601"/>
        <v>25.527026363999994</v>
      </c>
      <c r="AK1254" s="650">
        <f t="shared" ref="AK1254:BP1254" si="2602">+AK681</f>
        <v>-15.541188822999985</v>
      </c>
      <c r="AL1254" s="650">
        <f t="shared" si="2602"/>
        <v>-18.152366992999998</v>
      </c>
      <c r="AM1254" s="650">
        <f t="shared" si="2602"/>
        <v>25.816195620000009</v>
      </c>
      <c r="AN1254" s="650">
        <f t="shared" si="2602"/>
        <v>-1.9170796019999852</v>
      </c>
      <c r="AO1254" s="650">
        <f t="shared" si="2602"/>
        <v>-6.2510251935772461</v>
      </c>
      <c r="AP1254" s="650">
        <f t="shared" si="2602"/>
        <v>9.8349284088943101</v>
      </c>
      <c r="AQ1254" s="650">
        <f t="shared" si="2602"/>
        <v>4.2405595238819611</v>
      </c>
      <c r="AR1254" s="650">
        <f t="shared" si="2602"/>
        <v>16.327427416045406</v>
      </c>
      <c r="AS1254" s="650">
        <f t="shared" si="2602"/>
        <v>7.7633054718150838</v>
      </c>
      <c r="AT1254" s="650">
        <f t="shared" si="2602"/>
        <v>-43.057766096123146</v>
      </c>
      <c r="AU1254" s="650">
        <f t="shared" si="2602"/>
        <v>9.4577143252400013</v>
      </c>
      <c r="AV1254" s="650">
        <f t="shared" si="2602"/>
        <v>35.452255937880011</v>
      </c>
      <c r="AW1254" s="650">
        <f t="shared" si="2602"/>
        <v>-40.489017357449995</v>
      </c>
      <c r="AX1254" s="650">
        <f t="shared" si="2602"/>
        <v>31.429712341639988</v>
      </c>
      <c r="AY1254" s="650">
        <f t="shared" si="2602"/>
        <v>7.0068409957141897</v>
      </c>
      <c r="AZ1254" s="650">
        <f t="shared" si="2602"/>
        <v>-43.615841924962993</v>
      </c>
      <c r="BA1254" s="650">
        <f t="shared" si="2602"/>
        <v>-2.3517793430000085</v>
      </c>
      <c r="BB1254" s="650">
        <f t="shared" si="2602"/>
        <v>7.9077166799999983</v>
      </c>
      <c r="BC1254" s="650">
        <f t="shared" si="2602"/>
        <v>37.060328516000013</v>
      </c>
      <c r="BD1254" s="650">
        <f t="shared" si="2602"/>
        <v>-35.899823181759984</v>
      </c>
      <c r="BE1254" s="650">
        <f t="shared" si="2602"/>
        <v>29.951662761769992</v>
      </c>
      <c r="BF1254" s="650">
        <f t="shared" si="2602"/>
        <v>28.10170457100001</v>
      </c>
      <c r="BG1254" s="650">
        <f t="shared" si="2602"/>
        <v>-23.641803266800011</v>
      </c>
      <c r="BH1254" s="650">
        <f t="shared" si="2602"/>
        <v>-36.812236439890015</v>
      </c>
      <c r="BI1254" s="650">
        <f t="shared" si="2602"/>
        <v>-21.734622351500022</v>
      </c>
      <c r="BJ1254" s="650">
        <f t="shared" si="2602"/>
        <v>-60.706458082340006</v>
      </c>
      <c r="BK1254" s="650">
        <f t="shared" si="2602"/>
        <v>34.559707768000024</v>
      </c>
      <c r="BL1254" s="650">
        <f t="shared" si="2602"/>
        <v>-65.313882094000007</v>
      </c>
      <c r="BM1254" s="650">
        <f t="shared" si="2602"/>
        <v>17.769783936890015</v>
      </c>
      <c r="BN1254" s="650">
        <f t="shared" si="2602"/>
        <v>16.564837180729999</v>
      </c>
      <c r="BO1254" s="650">
        <f t="shared" si="2602"/>
        <v>39.005870830999996</v>
      </c>
      <c r="BP1254" s="650">
        <f t="shared" si="2602"/>
        <v>30.784395081910031</v>
      </c>
      <c r="BQ1254" s="650">
        <f t="shared" ref="BQ1254:CV1254" si="2603">+BQ681</f>
        <v>39.633908634850002</v>
      </c>
      <c r="BR1254" s="650">
        <f t="shared" si="2603"/>
        <v>1.5135633109542486</v>
      </c>
      <c r="BS1254" s="650">
        <f t="shared" si="2603"/>
        <v>-51.742099451901652</v>
      </c>
      <c r="BT1254" s="650">
        <f t="shared" si="2603"/>
        <v>6.4092905400688815</v>
      </c>
      <c r="BU1254" s="650">
        <f t="shared" si="2603"/>
        <v>37.151897323727887</v>
      </c>
      <c r="BV1254" s="650">
        <f t="shared" si="2603"/>
        <v>4.3162266734518848</v>
      </c>
      <c r="BW1254" s="650">
        <f t="shared" si="2603"/>
        <v>-23.600289945276739</v>
      </c>
      <c r="BX1254" s="650">
        <f t="shared" si="2603"/>
        <v>-65.478835017693868</v>
      </c>
      <c r="BY1254" s="650">
        <f t="shared" si="2603"/>
        <v>26.293153700906526</v>
      </c>
      <c r="BZ1254" s="650">
        <f t="shared" si="2603"/>
        <v>19.490525906617094</v>
      </c>
      <c r="CA1254" s="650">
        <f t="shared" si="2603"/>
        <v>-55.549898785757598</v>
      </c>
      <c r="CB1254" s="650">
        <f t="shared" si="2603"/>
        <v>32.326340549438086</v>
      </c>
      <c r="CC1254" s="650">
        <f t="shared" si="2603"/>
        <v>91.511362392529762</v>
      </c>
      <c r="CD1254" s="650">
        <f t="shared" si="2603"/>
        <v>-90.219466210144134</v>
      </c>
      <c r="CE1254" s="650">
        <f t="shared" si="2603"/>
        <v>-48.676024530513665</v>
      </c>
      <c r="CF1254" s="650">
        <f t="shared" si="2603"/>
        <v>14.87229584848064</v>
      </c>
      <c r="CG1254" s="650">
        <f t="shared" si="2603"/>
        <v>-41.423280011744637</v>
      </c>
      <c r="CH1254" s="650">
        <f t="shared" si="2603"/>
        <v>33.708219457028662</v>
      </c>
      <c r="CI1254" s="650">
        <f t="shared" si="2603"/>
        <v>18.845999615645546</v>
      </c>
      <c r="CJ1254" s="650">
        <f t="shared" si="2603"/>
        <v>-22.472552960669596</v>
      </c>
      <c r="CK1254" s="650">
        <f t="shared" si="2603"/>
        <v>25.251482231060667</v>
      </c>
      <c r="CL1254" s="650">
        <f t="shared" si="2603"/>
        <v>16.141239820024456</v>
      </c>
      <c r="CM1254" s="650">
        <f t="shared" si="2603"/>
        <v>11.611658253140829</v>
      </c>
      <c r="CN1254" s="650">
        <f t="shared" si="2603"/>
        <v>51.31931910255399</v>
      </c>
      <c r="CO1254" s="650">
        <f t="shared" si="2603"/>
        <v>6.917467883271101</v>
      </c>
      <c r="CP1254" s="650">
        <f t="shared" si="2603"/>
        <v>33.759031469776339</v>
      </c>
      <c r="CQ1254" s="650">
        <f t="shared" si="2603"/>
        <v>-17.485892695960125</v>
      </c>
      <c r="CR1254" s="650">
        <f t="shared" si="2603"/>
        <v>24.7261407533301</v>
      </c>
      <c r="CS1254" s="650">
        <f t="shared" si="2603"/>
        <v>14.21732846037073</v>
      </c>
      <c r="CT1254" s="650">
        <f t="shared" si="2603"/>
        <v>36.431492193059348</v>
      </c>
      <c r="CU1254" s="650">
        <f t="shared" si="2603"/>
        <v>-1.9576840578430463</v>
      </c>
      <c r="CV1254" s="650">
        <f t="shared" si="2603"/>
        <v>-133.06557057738729</v>
      </c>
      <c r="CW1254" s="650">
        <f t="shared" ref="CW1254:EB1254" si="2604">+CW681</f>
        <v>31.657933611812357</v>
      </c>
      <c r="CX1254" s="650">
        <f t="shared" si="2604"/>
        <v>5.1515133137797431</v>
      </c>
      <c r="CY1254" s="650">
        <f t="shared" si="2604"/>
        <v>16.3368517955291</v>
      </c>
      <c r="CZ1254" s="650">
        <f t="shared" si="2604"/>
        <v>10.514152652595811</v>
      </c>
      <c r="DA1254" s="650">
        <f t="shared" si="2604"/>
        <v>14.43588853297936</v>
      </c>
      <c r="DB1254" s="650">
        <f t="shared" si="2604"/>
        <v>52.972468898912432</v>
      </c>
      <c r="DC1254" s="650">
        <f t="shared" si="2604"/>
        <v>-20.715717449473338</v>
      </c>
      <c r="DD1254" s="650">
        <f t="shared" si="2604"/>
        <v>29.922845242750022</v>
      </c>
      <c r="DE1254" s="650">
        <f t="shared" si="2604"/>
        <v>-46.522714600207273</v>
      </c>
      <c r="DF1254" s="650">
        <f t="shared" si="2604"/>
        <v>59.212387664820554</v>
      </c>
      <c r="DG1254" s="650">
        <f t="shared" si="2604"/>
        <v>-37.307335990436165</v>
      </c>
      <c r="DH1254" s="650">
        <f t="shared" si="2604"/>
        <v>-54.938703473867776</v>
      </c>
      <c r="DI1254" s="650">
        <f t="shared" si="2604"/>
        <v>64.52065248375483</v>
      </c>
      <c r="DJ1254" s="650">
        <f t="shared" si="2604"/>
        <v>19.489904818522927</v>
      </c>
      <c r="DK1254" s="650">
        <f t="shared" si="2604"/>
        <v>-10.363371085597787</v>
      </c>
      <c r="DL1254" s="650">
        <f t="shared" si="2604"/>
        <v>-5.2494946220856846</v>
      </c>
      <c r="DM1254" s="650">
        <f t="shared" si="2604"/>
        <v>23.707140877848136</v>
      </c>
      <c r="DN1254" s="650">
        <f t="shared" si="2604"/>
        <v>32.629894451228409</v>
      </c>
      <c r="DO1254" s="650">
        <f t="shared" si="2604"/>
        <v>-23.808272852110466</v>
      </c>
      <c r="DP1254" s="650">
        <f t="shared" si="2604"/>
        <v>20.907133616416381</v>
      </c>
      <c r="DQ1254" s="650">
        <f t="shared" si="2604"/>
        <v>-47.020961539387798</v>
      </c>
      <c r="DR1254" s="650">
        <f t="shared" si="2604"/>
        <v>4.0940808819227259</v>
      </c>
      <c r="DS1254" s="650">
        <f t="shared" si="2604"/>
        <v>27.000719059530809</v>
      </c>
      <c r="DT1254" s="650">
        <f t="shared" si="2604"/>
        <v>-56.538026913373365</v>
      </c>
      <c r="DU1254" s="650">
        <f t="shared" si="2604"/>
        <v>1.6021299269673976</v>
      </c>
      <c r="DV1254" s="650">
        <f t="shared" si="2604"/>
        <v>60.899492118220948</v>
      </c>
      <c r="DW1254" s="650">
        <f t="shared" si="2604"/>
        <v>-13.417555758642813</v>
      </c>
      <c r="DX1254" s="650">
        <f t="shared" si="2604"/>
        <v>5.7793387725086625</v>
      </c>
      <c r="DY1254" s="650">
        <f t="shared" si="2604"/>
        <v>47.301045864280809</v>
      </c>
      <c r="DZ1254" s="650">
        <f t="shared" si="2604"/>
        <v>29.018672697043705</v>
      </c>
      <c r="EA1254" s="650">
        <f t="shared" si="2604"/>
        <v>8.6685492569889249</v>
      </c>
      <c r="EB1254" s="650">
        <f t="shared" si="2604"/>
        <v>26.592395356583211</v>
      </c>
      <c r="EC1254" s="650">
        <f t="shared" ref="EC1254:EX1254" si="2605">+EC681</f>
        <v>-24.460793665480217</v>
      </c>
      <c r="ED1254" s="650">
        <f t="shared" si="2605"/>
        <v>-15.006183537399011</v>
      </c>
      <c r="EE1254" s="650">
        <f t="shared" si="2605"/>
        <v>5.241039809602114</v>
      </c>
      <c r="EF1254" s="650">
        <f t="shared" si="2605"/>
        <v>-98.035763126248767</v>
      </c>
      <c r="EG1254" s="650">
        <f t="shared" si="2605"/>
        <v>121.89099202779798</v>
      </c>
      <c r="EH1254" s="650">
        <f t="shared" si="2605"/>
        <v>8.0845957713607888</v>
      </c>
      <c r="EI1254" s="650">
        <f t="shared" si="2605"/>
        <v>-10.075711686469177</v>
      </c>
      <c r="EJ1254" s="650">
        <f t="shared" si="2605"/>
        <v>18.863676432937275</v>
      </c>
      <c r="EK1254" s="650">
        <f t="shared" si="2605"/>
        <v>46.318310085111335</v>
      </c>
      <c r="EL1254" s="650">
        <f t="shared" si="2605"/>
        <v>44.388004347066484</v>
      </c>
      <c r="EM1254" s="650">
        <f t="shared" si="2605"/>
        <v>1.8953592003799571</v>
      </c>
      <c r="EN1254" s="650">
        <f t="shared" si="2605"/>
        <v>-18.638728967560077</v>
      </c>
      <c r="EO1254" s="650">
        <f t="shared" si="2605"/>
        <v>11.082382187995726</v>
      </c>
      <c r="EP1254" s="650">
        <f t="shared" si="2605"/>
        <v>62.934407171006626</v>
      </c>
      <c r="EQ1254" s="650">
        <f t="shared" si="2605"/>
        <v>2.6447674652165887</v>
      </c>
      <c r="ER1254" s="650">
        <f t="shared" si="2605"/>
        <v>-203.66658446999821</v>
      </c>
      <c r="ES1254" s="650">
        <f t="shared" si="2605"/>
        <v>50.943885100347913</v>
      </c>
      <c r="ET1254" s="650">
        <f t="shared" si="2605"/>
        <v>41.134109082251186</v>
      </c>
      <c r="EU1254" s="650">
        <f t="shared" si="2605"/>
        <v>40.119776131434975</v>
      </c>
      <c r="EV1254" s="650">
        <f t="shared" si="2605"/>
        <v>38.891121028901111</v>
      </c>
      <c r="EW1254" s="650">
        <f t="shared" si="2605"/>
        <v>28.01049500992794</v>
      </c>
      <c r="EX1254" s="650">
        <f t="shared" si="2605"/>
        <v>18.792294439017837</v>
      </c>
      <c r="EY1254" s="1619">
        <f t="shared" ref="EY1254:GD1254" si="2606">-EY947+EY987+EY1252-EY1253</f>
        <v>17.636678949012872</v>
      </c>
      <c r="EZ1254" s="650">
        <f t="shared" si="2606"/>
        <v>14.581073418802681</v>
      </c>
      <c r="FA1254" s="650">
        <f t="shared" si="2606"/>
        <v>32.503122456579995</v>
      </c>
      <c r="FB1254" s="650">
        <f t="shared" si="2606"/>
        <v>-49.989351577375743</v>
      </c>
      <c r="FC1254" s="650">
        <f t="shared" si="2606"/>
        <v>84.940979453252197</v>
      </c>
      <c r="FD1254" s="650">
        <f t="shared" si="2606"/>
        <v>-169.84439708155949</v>
      </c>
      <c r="FE1254" s="650">
        <f t="shared" si="2606"/>
        <v>6.8767202443838045</v>
      </c>
      <c r="FF1254" s="650">
        <f t="shared" si="2606"/>
        <v>57.687930201958096</v>
      </c>
      <c r="FG1254" s="650">
        <f t="shared" si="2606"/>
        <v>48.051758914069922</v>
      </c>
      <c r="FH1254" s="650">
        <f t="shared" si="2606"/>
        <v>-74.001293801053606</v>
      </c>
      <c r="FI1254" s="650">
        <f t="shared" si="2606"/>
        <v>149.36204868490802</v>
      </c>
      <c r="FJ1254" s="650">
        <f t="shared" si="2606"/>
        <v>-219.37634378261311</v>
      </c>
      <c r="FK1254" s="650">
        <f t="shared" si="2606"/>
        <v>-12.298054412924444</v>
      </c>
      <c r="FL1254" s="650">
        <f t="shared" si="2606"/>
        <v>37.149648862877143</v>
      </c>
      <c r="FM1254" s="650">
        <f t="shared" si="2606"/>
        <v>-66.363089481468407</v>
      </c>
      <c r="FN1254" s="650">
        <f t="shared" si="2606"/>
        <v>23.337867438914444</v>
      </c>
      <c r="FO1254" s="650">
        <f t="shared" si="2606"/>
        <v>113.88963977619392</v>
      </c>
      <c r="FP1254" s="650">
        <f t="shared" si="2606"/>
        <v>-67.976576081450744</v>
      </c>
      <c r="FQ1254" s="650">
        <f t="shared" si="2606"/>
        <v>92.637689821094469</v>
      </c>
      <c r="FR1254" s="650">
        <f t="shared" si="2606"/>
        <v>105.21832325050066</v>
      </c>
      <c r="FS1254" s="650">
        <f t="shared" si="2606"/>
        <v>-104.51179827414465</v>
      </c>
      <c r="FT1254" s="650">
        <f t="shared" si="2606"/>
        <v>-63.013427614548547</v>
      </c>
      <c r="FU1254" s="650">
        <f t="shared" si="2606"/>
        <v>201.53088546679376</v>
      </c>
      <c r="FV1254" s="650">
        <f t="shared" si="2606"/>
        <v>-49.299224549796342</v>
      </c>
      <c r="FW1254" s="650">
        <f t="shared" si="2606"/>
        <v>-72.078170372155768</v>
      </c>
      <c r="FX1254" s="650">
        <f t="shared" si="2606"/>
        <v>-261.03036714165808</v>
      </c>
      <c r="FY1254" s="650">
        <f t="shared" si="2606"/>
        <v>197.12786002951947</v>
      </c>
      <c r="FZ1254" s="650">
        <f t="shared" si="2606"/>
        <v>90.677149541418359</v>
      </c>
      <c r="GA1254" s="650">
        <f t="shared" si="2606"/>
        <v>18.166170992976092</v>
      </c>
      <c r="GB1254" s="650">
        <f t="shared" si="2606"/>
        <v>25.963960389774741</v>
      </c>
      <c r="GC1254" s="650">
        <f t="shared" si="2606"/>
        <v>151.01538213892695</v>
      </c>
      <c r="GD1254" s="650">
        <f t="shared" si="2606"/>
        <v>108.59065177167943</v>
      </c>
      <c r="GE1254" s="650">
        <f t="shared" ref="GE1254:HJ1254" si="2607">-GE947+GE987+GE1252-GE1253</f>
        <v>-249.02397196071405</v>
      </c>
      <c r="GF1254" s="650">
        <f t="shared" si="2607"/>
        <v>3.3580271974784637</v>
      </c>
      <c r="GG1254" s="650">
        <f t="shared" si="2607"/>
        <v>-53.990792858966074</v>
      </c>
      <c r="GH1254" s="650">
        <f t="shared" si="2607"/>
        <v>53.10099661867423</v>
      </c>
      <c r="GI1254" s="650">
        <f t="shared" si="2607"/>
        <v>10.118057465270681</v>
      </c>
      <c r="GJ1254" s="650">
        <f t="shared" si="2607"/>
        <v>182.13093141409647</v>
      </c>
      <c r="GK1254" s="650">
        <f t="shared" si="2607"/>
        <v>155.6685585175332</v>
      </c>
      <c r="GL1254" s="650">
        <f t="shared" si="2607"/>
        <v>69.03747225464673</v>
      </c>
      <c r="GM1254" s="650">
        <f t="shared" si="2607"/>
        <v>72.515612423972897</v>
      </c>
      <c r="GN1254" s="650">
        <f t="shared" si="2607"/>
        <v>-33.04231833580819</v>
      </c>
      <c r="GO1254" s="650">
        <f t="shared" si="2607"/>
        <v>4.6617180489287193</v>
      </c>
      <c r="GP1254" s="650">
        <f t="shared" si="2607"/>
        <v>65.755106614089883</v>
      </c>
      <c r="GQ1254" s="650">
        <f t="shared" si="2607"/>
        <v>-316.04194833276927</v>
      </c>
      <c r="GR1254" s="650">
        <f t="shared" si="2607"/>
        <v>-103.58756650338378</v>
      </c>
      <c r="GS1254" s="650">
        <f t="shared" si="2607"/>
        <v>44.174401767261948</v>
      </c>
      <c r="GT1254" s="650">
        <f t="shared" si="2607"/>
        <v>68.781242918487948</v>
      </c>
      <c r="GU1254" s="650">
        <f t="shared" si="2607"/>
        <v>76.921727305208563</v>
      </c>
      <c r="GV1254" s="650">
        <f t="shared" si="2607"/>
        <v>127.32412083081663</v>
      </c>
      <c r="GW1254" s="650">
        <f t="shared" si="2607"/>
        <v>4.5739332259680268</v>
      </c>
      <c r="GX1254" s="650">
        <f t="shared" si="2607"/>
        <v>78.296087062367405</v>
      </c>
      <c r="GY1254" s="650">
        <f t="shared" si="2607"/>
        <v>-14.060474907867423</v>
      </c>
      <c r="GZ1254" s="650">
        <f t="shared" si="2607"/>
        <v>-349.82441629853406</v>
      </c>
      <c r="HA1254" s="650">
        <f t="shared" si="2607"/>
        <v>263.96534294711478</v>
      </c>
      <c r="HB1254" s="650">
        <f t="shared" si="2607"/>
        <v>94.239764780897502</v>
      </c>
      <c r="HC1254" s="650">
        <f t="shared" si="2607"/>
        <v>-12.242906773613001</v>
      </c>
      <c r="HD1254" s="650">
        <f t="shared" si="2607"/>
        <v>-11.954328896621746</v>
      </c>
      <c r="HE1254" s="650">
        <f t="shared" si="2607"/>
        <v>-62.606548203315498</v>
      </c>
      <c r="HF1254" s="650">
        <f t="shared" si="2607"/>
        <v>-207.72086882179531</v>
      </c>
      <c r="HG1254" s="650">
        <f t="shared" si="2607"/>
        <v>101.2744343136069</v>
      </c>
      <c r="HH1254" s="650">
        <f t="shared" si="2607"/>
        <v>159.17132384703072</v>
      </c>
      <c r="HI1254" s="650">
        <f t="shared" si="2607"/>
        <v>13.116422675611219</v>
      </c>
      <c r="HJ1254" s="650">
        <f t="shared" si="2607"/>
        <v>78.080738728050719</v>
      </c>
      <c r="HK1254" s="650">
        <f t="shared" ref="HK1254:HL1254" si="2608">-HK947+HK987+HK1252-HK1253</f>
        <v>-30.120973430651006</v>
      </c>
      <c r="HL1254" s="650">
        <f t="shared" si="2608"/>
        <v>-751.96160590112686</v>
      </c>
      <c r="HM1254" s="650">
        <f t="shared" ref="HM1254:HR1254" si="2609">-HM947+HM987+HM1252-HM1253</f>
        <v>116.22909157199082</v>
      </c>
      <c r="HN1254" s="650">
        <f t="shared" si="2609"/>
        <v>201.03122444250883</v>
      </c>
      <c r="HO1254" s="650">
        <f t="shared" si="2609"/>
        <v>37.492940075098829</v>
      </c>
      <c r="HP1254" s="650">
        <f t="shared" si="2609"/>
        <v>-51.479250332345288</v>
      </c>
      <c r="HQ1254" s="650">
        <f t="shared" si="2609"/>
        <v>72.682600033449404</v>
      </c>
      <c r="HR1254" s="650">
        <f t="shared" si="2609"/>
        <v>-112.07123647723868</v>
      </c>
      <c r="HS1254" s="650"/>
      <c r="HT1254" s="650"/>
      <c r="HU1254" s="650"/>
      <c r="HV1254" s="650"/>
      <c r="HW1254" s="650"/>
      <c r="HX1254" s="650"/>
    </row>
    <row r="1255" spans="4:232" ht="17.25" customHeight="1">
      <c r="D1255" s="1108" t="s">
        <v>833</v>
      </c>
      <c r="E1255" s="650">
        <f t="shared" ref="E1255:AJ1255" si="2610">+E683</f>
        <v>0</v>
      </c>
      <c r="F1255" s="650">
        <f t="shared" si="2610"/>
        <v>0</v>
      </c>
      <c r="G1255" s="650">
        <f t="shared" si="2610"/>
        <v>0</v>
      </c>
      <c r="H1255" s="650">
        <f t="shared" si="2610"/>
        <v>0</v>
      </c>
      <c r="I1255" s="650">
        <f t="shared" si="2610"/>
        <v>0</v>
      </c>
      <c r="J1255" s="650">
        <f t="shared" si="2610"/>
        <v>0</v>
      </c>
      <c r="K1255" s="650">
        <f t="shared" si="2610"/>
        <v>0</v>
      </c>
      <c r="L1255" s="650">
        <f t="shared" si="2610"/>
        <v>0</v>
      </c>
      <c r="M1255" s="650">
        <f t="shared" si="2610"/>
        <v>0</v>
      </c>
      <c r="N1255" s="650">
        <f t="shared" si="2610"/>
        <v>0</v>
      </c>
      <c r="O1255" s="650">
        <f t="shared" si="2610"/>
        <v>0</v>
      </c>
      <c r="P1255" s="650">
        <f t="shared" si="2610"/>
        <v>0</v>
      </c>
      <c r="Q1255" s="650">
        <f t="shared" si="2610"/>
        <v>0</v>
      </c>
      <c r="R1255" s="650">
        <f t="shared" si="2610"/>
        <v>0</v>
      </c>
      <c r="S1255" s="650">
        <f t="shared" si="2610"/>
        <v>0</v>
      </c>
      <c r="T1255" s="650">
        <f t="shared" si="2610"/>
        <v>0</v>
      </c>
      <c r="U1255" s="650">
        <f t="shared" si="2610"/>
        <v>0</v>
      </c>
      <c r="V1255" s="650">
        <f t="shared" si="2610"/>
        <v>0</v>
      </c>
      <c r="W1255" s="650">
        <f t="shared" si="2610"/>
        <v>0</v>
      </c>
      <c r="X1255" s="650">
        <f t="shared" si="2610"/>
        <v>0</v>
      </c>
      <c r="Y1255" s="650">
        <f t="shared" si="2610"/>
        <v>0</v>
      </c>
      <c r="Z1255" s="650">
        <f t="shared" si="2610"/>
        <v>0</v>
      </c>
      <c r="AA1255" s="650">
        <f t="shared" si="2610"/>
        <v>0</v>
      </c>
      <c r="AB1255" s="650">
        <f t="shared" si="2610"/>
        <v>0</v>
      </c>
      <c r="AC1255" s="650">
        <f t="shared" si="2610"/>
        <v>0</v>
      </c>
      <c r="AD1255" s="650">
        <f t="shared" si="2610"/>
        <v>0</v>
      </c>
      <c r="AE1255" s="650">
        <f t="shared" si="2610"/>
        <v>0</v>
      </c>
      <c r="AF1255" s="650">
        <f t="shared" si="2610"/>
        <v>0</v>
      </c>
      <c r="AG1255" s="650">
        <f t="shared" si="2610"/>
        <v>0</v>
      </c>
      <c r="AH1255" s="650">
        <f t="shared" si="2610"/>
        <v>0</v>
      </c>
      <c r="AI1255" s="650">
        <f t="shared" si="2610"/>
        <v>0</v>
      </c>
      <c r="AJ1255" s="650">
        <f t="shared" si="2610"/>
        <v>0</v>
      </c>
      <c r="AK1255" s="650">
        <f t="shared" ref="AK1255:BP1255" si="2611">+AK683</f>
        <v>0</v>
      </c>
      <c r="AL1255" s="650">
        <f t="shared" si="2611"/>
        <v>0</v>
      </c>
      <c r="AM1255" s="650">
        <f t="shared" si="2611"/>
        <v>0</v>
      </c>
      <c r="AN1255" s="650">
        <f t="shared" si="2611"/>
        <v>0</v>
      </c>
      <c r="AO1255" s="650">
        <f t="shared" si="2611"/>
        <v>0</v>
      </c>
      <c r="AP1255" s="650">
        <f t="shared" si="2611"/>
        <v>0</v>
      </c>
      <c r="AQ1255" s="650">
        <f t="shared" si="2611"/>
        <v>0</v>
      </c>
      <c r="AR1255" s="650">
        <f t="shared" si="2611"/>
        <v>0</v>
      </c>
      <c r="AS1255" s="650">
        <f t="shared" si="2611"/>
        <v>0</v>
      </c>
      <c r="AT1255" s="650">
        <f t="shared" si="2611"/>
        <v>0</v>
      </c>
      <c r="AU1255" s="650">
        <f t="shared" si="2611"/>
        <v>0</v>
      </c>
      <c r="AV1255" s="650">
        <f t="shared" si="2611"/>
        <v>0</v>
      </c>
      <c r="AW1255" s="650">
        <f t="shared" si="2611"/>
        <v>0</v>
      </c>
      <c r="AX1255" s="650">
        <f t="shared" si="2611"/>
        <v>0</v>
      </c>
      <c r="AY1255" s="650">
        <f t="shared" si="2611"/>
        <v>0</v>
      </c>
      <c r="AZ1255" s="650">
        <f t="shared" si="2611"/>
        <v>0</v>
      </c>
      <c r="BA1255" s="650">
        <f t="shared" si="2611"/>
        <v>0</v>
      </c>
      <c r="BB1255" s="650">
        <f t="shared" si="2611"/>
        <v>0</v>
      </c>
      <c r="BC1255" s="650">
        <f t="shared" si="2611"/>
        <v>0</v>
      </c>
      <c r="BD1255" s="650">
        <f t="shared" si="2611"/>
        <v>0</v>
      </c>
      <c r="BE1255" s="650">
        <f t="shared" si="2611"/>
        <v>0</v>
      </c>
      <c r="BF1255" s="650">
        <f t="shared" si="2611"/>
        <v>0</v>
      </c>
      <c r="BG1255" s="650">
        <f t="shared" si="2611"/>
        <v>0</v>
      </c>
      <c r="BH1255" s="650">
        <f t="shared" si="2611"/>
        <v>0</v>
      </c>
      <c r="BI1255" s="650">
        <f t="shared" si="2611"/>
        <v>0</v>
      </c>
      <c r="BJ1255" s="650">
        <f t="shared" si="2611"/>
        <v>0</v>
      </c>
      <c r="BK1255" s="650">
        <f t="shared" si="2611"/>
        <v>0</v>
      </c>
      <c r="BL1255" s="650">
        <f t="shared" si="2611"/>
        <v>0</v>
      </c>
      <c r="BM1255" s="650">
        <f t="shared" si="2611"/>
        <v>0</v>
      </c>
      <c r="BN1255" s="650">
        <f t="shared" si="2611"/>
        <v>0</v>
      </c>
      <c r="BO1255" s="650">
        <f t="shared" si="2611"/>
        <v>0</v>
      </c>
      <c r="BP1255" s="650">
        <f t="shared" si="2611"/>
        <v>0</v>
      </c>
      <c r="BQ1255" s="650">
        <f t="shared" ref="BQ1255:CV1255" si="2612">+BQ683</f>
        <v>0</v>
      </c>
      <c r="BR1255" s="650">
        <f t="shared" si="2612"/>
        <v>0</v>
      </c>
      <c r="BS1255" s="650">
        <f t="shared" si="2612"/>
        <v>0</v>
      </c>
      <c r="BT1255" s="650">
        <f t="shared" si="2612"/>
        <v>0</v>
      </c>
      <c r="BU1255" s="650">
        <f t="shared" si="2612"/>
        <v>0</v>
      </c>
      <c r="BV1255" s="650">
        <f t="shared" si="2612"/>
        <v>0</v>
      </c>
      <c r="BW1255" s="650">
        <f t="shared" si="2612"/>
        <v>0</v>
      </c>
      <c r="BX1255" s="650">
        <f t="shared" si="2612"/>
        <v>0</v>
      </c>
      <c r="BY1255" s="650">
        <f t="shared" si="2612"/>
        <v>0</v>
      </c>
      <c r="BZ1255" s="650">
        <f t="shared" si="2612"/>
        <v>0</v>
      </c>
      <c r="CA1255" s="650">
        <f t="shared" si="2612"/>
        <v>0</v>
      </c>
      <c r="CB1255" s="650">
        <f t="shared" si="2612"/>
        <v>0</v>
      </c>
      <c r="CC1255" s="650">
        <f t="shared" si="2612"/>
        <v>0</v>
      </c>
      <c r="CD1255" s="650">
        <f t="shared" si="2612"/>
        <v>0</v>
      </c>
      <c r="CE1255" s="650">
        <f t="shared" si="2612"/>
        <v>-41.170671326000033</v>
      </c>
      <c r="CF1255" s="650">
        <f t="shared" si="2612"/>
        <v>11.922575143000078</v>
      </c>
      <c r="CG1255" s="650">
        <f t="shared" si="2612"/>
        <v>-22.926783045000025</v>
      </c>
      <c r="CH1255" s="650">
        <f t="shared" si="2612"/>
        <v>-11.398425882</v>
      </c>
      <c r="CI1255" s="650">
        <f t="shared" si="2612"/>
        <v>23.338874671999982</v>
      </c>
      <c r="CJ1255" s="650">
        <f t="shared" si="2612"/>
        <v>-13.059848272000007</v>
      </c>
      <c r="CK1255" s="650">
        <f t="shared" si="2612"/>
        <v>24.898214388302378</v>
      </c>
      <c r="CL1255" s="650">
        <f t="shared" si="2612"/>
        <v>27.242638573511098</v>
      </c>
      <c r="CM1255" s="650">
        <f t="shared" si="2612"/>
        <v>6.7172435206434074</v>
      </c>
      <c r="CN1255" s="650">
        <f t="shared" si="2612"/>
        <v>18.836425920929031</v>
      </c>
      <c r="CO1255" s="650">
        <f t="shared" si="2612"/>
        <v>0.55550442947313339</v>
      </c>
      <c r="CP1255" s="650">
        <f t="shared" si="2612"/>
        <v>53.541338296288565</v>
      </c>
      <c r="CQ1255" s="650">
        <f t="shared" si="2612"/>
        <v>28.977871790395973</v>
      </c>
      <c r="CR1255" s="650">
        <f t="shared" si="2612"/>
        <v>-0.79787384793163607</v>
      </c>
      <c r="CS1255" s="650">
        <f t="shared" si="2612"/>
        <v>26.399793508802578</v>
      </c>
      <c r="CT1255" s="650">
        <f t="shared" si="2612"/>
        <v>27.780297227250578</v>
      </c>
      <c r="CU1255" s="650">
        <f t="shared" si="2612"/>
        <v>-15.246527991337558</v>
      </c>
      <c r="CV1255" s="650">
        <f t="shared" si="2612"/>
        <v>-88.056370374511175</v>
      </c>
      <c r="CW1255" s="650">
        <f t="shared" ref="CW1255:EB1255" si="2613">+CW683</f>
        <v>29.64517860848937</v>
      </c>
      <c r="CX1255" s="650">
        <f t="shared" si="2613"/>
        <v>-16.507817383659258</v>
      </c>
      <c r="CY1255" s="650">
        <f t="shared" si="2613"/>
        <v>-2.6519222317938871</v>
      </c>
      <c r="CZ1255" s="650">
        <f t="shared" si="2613"/>
        <v>21.379032618166445</v>
      </c>
      <c r="DA1255" s="650">
        <f t="shared" si="2613"/>
        <v>41.43465461674392</v>
      </c>
      <c r="DB1255" s="650">
        <f t="shared" si="2613"/>
        <v>57.350646447549742</v>
      </c>
      <c r="DC1255" s="650">
        <f t="shared" si="2613"/>
        <v>4.6263949941644853</v>
      </c>
      <c r="DD1255" s="650">
        <f t="shared" si="2613"/>
        <v>2.5365154469222446</v>
      </c>
      <c r="DE1255" s="650">
        <f t="shared" si="2613"/>
        <v>-48.343008946561653</v>
      </c>
      <c r="DF1255" s="650">
        <f t="shared" si="2613"/>
        <v>40.583050476069374</v>
      </c>
      <c r="DG1255" s="650">
        <f t="shared" si="2613"/>
        <v>-17.461828858813753</v>
      </c>
      <c r="DH1255" s="650">
        <f t="shared" si="2613"/>
        <v>-85.495526700512386</v>
      </c>
      <c r="DI1255" s="650">
        <f t="shared" si="2613"/>
        <v>43.87058848647451</v>
      </c>
      <c r="DJ1255" s="650">
        <f t="shared" si="2613"/>
        <v>1.5561217267548955</v>
      </c>
      <c r="DK1255" s="650">
        <f t="shared" si="2613"/>
        <v>-14.665278051208684</v>
      </c>
      <c r="DL1255" s="650">
        <f t="shared" si="2613"/>
        <v>-32.668788363871343</v>
      </c>
      <c r="DM1255" s="650">
        <f t="shared" si="2613"/>
        <v>27.976127780951661</v>
      </c>
      <c r="DN1255" s="650">
        <f t="shared" si="2613"/>
        <v>50.003039442935631</v>
      </c>
      <c r="DO1255" s="650">
        <f t="shared" si="2613"/>
        <v>-24.845978421244556</v>
      </c>
      <c r="DP1255" s="650">
        <f t="shared" si="2613"/>
        <v>1.6157589784163662</v>
      </c>
      <c r="DQ1255" s="650">
        <f t="shared" si="2613"/>
        <v>-51.080445879387796</v>
      </c>
      <c r="DR1255" s="650">
        <f t="shared" si="2613"/>
        <v>-0.44943958824041319</v>
      </c>
      <c r="DS1255" s="650">
        <f t="shared" si="2613"/>
        <v>19.331369006530817</v>
      </c>
      <c r="DT1255" s="650">
        <f t="shared" si="2613"/>
        <v>-49.316622722373367</v>
      </c>
      <c r="DU1255" s="650">
        <f t="shared" si="2613"/>
        <v>-1.9740807994948575</v>
      </c>
      <c r="DV1255" s="650">
        <f t="shared" si="2613"/>
        <v>56.809879230220943</v>
      </c>
      <c r="DW1255" s="650">
        <f t="shared" si="2613"/>
        <v>-7.4608903386428134</v>
      </c>
      <c r="DX1255" s="650">
        <f t="shared" si="2613"/>
        <v>7.3313522337679933</v>
      </c>
      <c r="DY1255" s="650">
        <f t="shared" si="2613"/>
        <v>42.165568500280806</v>
      </c>
      <c r="DZ1255" s="650">
        <f t="shared" si="2613"/>
        <v>43.362748058465783</v>
      </c>
      <c r="EA1255" s="650">
        <f t="shared" si="2613"/>
        <v>26.163398659263986</v>
      </c>
      <c r="EB1255" s="650">
        <f t="shared" si="2613"/>
        <v>26.127160930583205</v>
      </c>
      <c r="EC1255" s="650">
        <f t="shared" ref="EC1255:EX1255" si="2614">+EC683</f>
        <v>-18.303093808902393</v>
      </c>
      <c r="ED1255" s="650">
        <f t="shared" si="2614"/>
        <v>-6.6619181003990064</v>
      </c>
      <c r="EE1255" s="650">
        <f t="shared" si="2614"/>
        <v>1.9384289766020961</v>
      </c>
      <c r="EF1255" s="650">
        <f t="shared" si="2614"/>
        <v>-97.828596710248775</v>
      </c>
      <c r="EG1255" s="650">
        <f t="shared" si="2614"/>
        <v>105.13201473579808</v>
      </c>
      <c r="EH1255" s="650">
        <f t="shared" si="2614"/>
        <v>22.869852752360771</v>
      </c>
      <c r="EI1255" s="650">
        <f t="shared" si="2614"/>
        <v>-8.7190717404691718</v>
      </c>
      <c r="EJ1255" s="650">
        <f t="shared" si="2614"/>
        <v>-3.7387363820627413</v>
      </c>
      <c r="EK1255" s="650">
        <f t="shared" si="2614"/>
        <v>49.933695116111352</v>
      </c>
      <c r="EL1255" s="650">
        <f t="shared" si="2614"/>
        <v>21.566125685066478</v>
      </c>
      <c r="EM1255" s="650">
        <f t="shared" si="2614"/>
        <v>3.4731195763799594</v>
      </c>
      <c r="EN1255" s="650">
        <f t="shared" si="2614"/>
        <v>-19.961878780560067</v>
      </c>
      <c r="EO1255" s="650">
        <f t="shared" si="2614"/>
        <v>-3.4950205900042279</v>
      </c>
      <c r="EP1255" s="650">
        <f t="shared" si="2614"/>
        <v>48.579773558006615</v>
      </c>
      <c r="EQ1255" s="650">
        <f t="shared" si="2614"/>
        <v>7.6594631952165537</v>
      </c>
      <c r="ER1255" s="650">
        <f t="shared" si="2614"/>
        <v>-223.0911656689982</v>
      </c>
      <c r="ES1255" s="650">
        <f t="shared" si="2614"/>
        <v>53.523877110347918</v>
      </c>
      <c r="ET1255" s="650">
        <f t="shared" si="2614"/>
        <v>23.422301847251195</v>
      </c>
      <c r="EU1255" s="650">
        <f t="shared" si="2614"/>
        <v>42.318125150434973</v>
      </c>
      <c r="EV1255" s="650">
        <f t="shared" si="2614"/>
        <v>42.289474628901104</v>
      </c>
      <c r="EW1255" s="650">
        <f t="shared" si="2614"/>
        <v>32.91607802692792</v>
      </c>
      <c r="EX1255" s="650">
        <f t="shared" si="2614"/>
        <v>6.0067694540178476</v>
      </c>
      <c r="EY1255" s="1619">
        <f t="shared" ref="EY1255:GD1255" si="2615">-EY950+EY994</f>
        <v>-22.874647750153841</v>
      </c>
      <c r="EZ1255" s="650">
        <f t="shared" si="2615"/>
        <v>-9.1041947153640024</v>
      </c>
      <c r="FA1255" s="650">
        <f t="shared" si="2615"/>
        <v>-17.7099724885867</v>
      </c>
      <c r="FB1255" s="650">
        <f t="shared" si="2615"/>
        <v>-10.152420383542335</v>
      </c>
      <c r="FC1255" s="650">
        <f t="shared" si="2615"/>
        <v>38.992015932085422</v>
      </c>
      <c r="FD1255" s="650">
        <f t="shared" si="2615"/>
        <v>-110.7816918547262</v>
      </c>
      <c r="FE1255" s="650">
        <f t="shared" si="2615"/>
        <v>6.6379197613837846</v>
      </c>
      <c r="FF1255" s="650">
        <f t="shared" si="2615"/>
        <v>66.917091748958114</v>
      </c>
      <c r="FG1255" s="650">
        <f t="shared" si="2615"/>
        <v>41.59614377606988</v>
      </c>
      <c r="FH1255" s="650">
        <f t="shared" si="2615"/>
        <v>-72.777829693053576</v>
      </c>
      <c r="FI1255" s="650">
        <f t="shared" si="2615"/>
        <v>87.703867424908026</v>
      </c>
      <c r="FJ1255" s="650">
        <f t="shared" si="2615"/>
        <v>-124.71123972961314</v>
      </c>
      <c r="FK1255" s="650">
        <f t="shared" si="2615"/>
        <v>-121.53956809292441</v>
      </c>
      <c r="FL1255" s="650">
        <f t="shared" si="2615"/>
        <v>9.1145594558771563</v>
      </c>
      <c r="FM1255" s="650">
        <f t="shared" si="2615"/>
        <v>-94.508816976468381</v>
      </c>
      <c r="FN1255" s="650">
        <f t="shared" si="2615"/>
        <v>15.222634062914466</v>
      </c>
      <c r="FO1255" s="650">
        <f t="shared" si="2615"/>
        <v>86.286309625193894</v>
      </c>
      <c r="FP1255" s="650">
        <f t="shared" si="2615"/>
        <v>-122.19648047045075</v>
      </c>
      <c r="FQ1255" s="650">
        <f t="shared" si="2615"/>
        <v>48.498379113094472</v>
      </c>
      <c r="FR1255" s="650">
        <f t="shared" si="2615"/>
        <v>96.940465186500717</v>
      </c>
      <c r="FS1255" s="650">
        <f t="shared" si="2615"/>
        <v>-43.393772801644673</v>
      </c>
      <c r="FT1255" s="650">
        <f t="shared" si="2615"/>
        <v>-48.126873886548537</v>
      </c>
      <c r="FU1255" s="650">
        <f t="shared" si="2615"/>
        <v>92.691488708293775</v>
      </c>
      <c r="FV1255" s="650">
        <f t="shared" si="2615"/>
        <v>160.83537507320364</v>
      </c>
      <c r="FW1255" s="650">
        <f t="shared" si="2615"/>
        <v>-90.137744616155771</v>
      </c>
      <c r="FX1255" s="650">
        <f t="shared" si="2615"/>
        <v>-176.73753636965807</v>
      </c>
      <c r="FY1255" s="650">
        <f t="shared" si="2615"/>
        <v>128.74338969451946</v>
      </c>
      <c r="FZ1255" s="650">
        <f t="shared" si="2615"/>
        <v>24.349591436418336</v>
      </c>
      <c r="GA1255" s="650">
        <f t="shared" si="2615"/>
        <v>40.786015999976087</v>
      </c>
      <c r="GB1255" s="650">
        <f t="shared" si="2615"/>
        <v>-24.211328426225293</v>
      </c>
      <c r="GC1255" s="650">
        <f t="shared" si="2615"/>
        <v>128.48696695392704</v>
      </c>
      <c r="GD1255" s="650">
        <f t="shared" si="2615"/>
        <v>75.288567285679449</v>
      </c>
      <c r="GE1255" s="650">
        <f t="shared" ref="GE1255:HL1255" si="2616">-GE950+GE994</f>
        <v>-169.93827472271408</v>
      </c>
      <c r="GF1255" s="650">
        <f t="shared" si="2616"/>
        <v>-1.2935413788548544</v>
      </c>
      <c r="GG1255" s="650">
        <f t="shared" si="2616"/>
        <v>-38.999985086299432</v>
      </c>
      <c r="GH1255" s="650">
        <f t="shared" si="2616"/>
        <v>91.352207961768386</v>
      </c>
      <c r="GI1255" s="650">
        <f t="shared" si="2616"/>
        <v>4.2060574652706464</v>
      </c>
      <c r="GJ1255" s="650">
        <f t="shared" si="2616"/>
        <v>174.55093141409645</v>
      </c>
      <c r="GK1255" s="650">
        <f t="shared" si="2616"/>
        <v>62.523809034533201</v>
      </c>
      <c r="GL1255" s="650">
        <f t="shared" si="2616"/>
        <v>44.905737254646738</v>
      </c>
      <c r="GM1255" s="650">
        <f t="shared" si="2616"/>
        <v>47.552312423972865</v>
      </c>
      <c r="GN1255" s="650">
        <f t="shared" si="2616"/>
        <v>-118.16628300480807</v>
      </c>
      <c r="GO1255" s="650">
        <f t="shared" si="2616"/>
        <v>133.20077992192864</v>
      </c>
      <c r="GP1255" s="650">
        <f t="shared" si="2616"/>
        <v>54.122906614089914</v>
      </c>
      <c r="GQ1255" s="650">
        <f t="shared" si="2616"/>
        <v>-227.73292680876921</v>
      </c>
      <c r="GR1255" s="650">
        <f t="shared" si="2616"/>
        <v>-128.26596650338394</v>
      </c>
      <c r="GS1255" s="650">
        <f t="shared" si="2616"/>
        <v>35.768962422261893</v>
      </c>
      <c r="GT1255" s="650">
        <f t="shared" si="2616"/>
        <v>37.380344108487975</v>
      </c>
      <c r="GU1255" s="650">
        <f t="shared" si="2616"/>
        <v>124.54144373397583</v>
      </c>
      <c r="GV1255" s="650">
        <f t="shared" si="2616"/>
        <v>103.54968583081654</v>
      </c>
      <c r="GW1255" s="650">
        <f t="shared" si="2616"/>
        <v>2.1052931309680503</v>
      </c>
      <c r="GX1255" s="650">
        <f t="shared" si="2616"/>
        <v>55.804152062367393</v>
      </c>
      <c r="GY1255" s="650">
        <f t="shared" si="2616"/>
        <v>-37.682016113867348</v>
      </c>
      <c r="GZ1255" s="650">
        <f t="shared" si="2616"/>
        <v>-320.6144513005342</v>
      </c>
      <c r="HA1255" s="650">
        <f t="shared" si="2616"/>
        <v>237.32214294711474</v>
      </c>
      <c r="HB1255" s="650">
        <f t="shared" si="2616"/>
        <v>57.471964780897508</v>
      </c>
      <c r="HC1255" s="650">
        <f t="shared" si="2616"/>
        <v>-54.761846590613004</v>
      </c>
      <c r="HD1255" s="650">
        <f t="shared" si="2616"/>
        <v>-20.142528896621741</v>
      </c>
      <c r="HE1255" s="650">
        <f t="shared" si="2616"/>
        <v>61.388151796684497</v>
      </c>
      <c r="HF1255" s="650">
        <f t="shared" si="2616"/>
        <v>-160.64714909411384</v>
      </c>
      <c r="HG1255" s="650">
        <f t="shared" si="2616"/>
        <v>107.92820057660691</v>
      </c>
      <c r="HH1255" s="650">
        <f t="shared" si="2616"/>
        <v>144.38332384703079</v>
      </c>
      <c r="HI1255" s="650">
        <f t="shared" si="2616"/>
        <v>6.3664857266111881</v>
      </c>
      <c r="HJ1255" s="650">
        <f t="shared" si="2616"/>
        <v>51.104738728050734</v>
      </c>
      <c r="HK1255" s="650">
        <f t="shared" si="2616"/>
        <v>35.924126569349085</v>
      </c>
      <c r="HL1255" s="650">
        <f t="shared" si="2616"/>
        <v>-785.56679150512684</v>
      </c>
      <c r="HM1255" s="650">
        <f t="shared" ref="HM1255:HR1255" si="2617">-HM950+HM994</f>
        <v>129.21309157199073</v>
      </c>
      <c r="HN1255" s="650">
        <f t="shared" si="2617"/>
        <v>236.45088482350883</v>
      </c>
      <c r="HO1255" s="650">
        <f t="shared" si="2617"/>
        <v>57.004476398098916</v>
      </c>
      <c r="HP1255" s="650">
        <f t="shared" si="2617"/>
        <v>-49.994550332345284</v>
      </c>
      <c r="HQ1255" s="650">
        <f t="shared" si="2617"/>
        <v>80.095062589449356</v>
      </c>
      <c r="HR1255" s="650">
        <f t="shared" si="2617"/>
        <v>-93.054078648238658</v>
      </c>
      <c r="HS1255" s="650"/>
      <c r="HT1255" s="650"/>
      <c r="HU1255" s="650"/>
      <c r="HV1255" s="650"/>
      <c r="HW1255" s="650"/>
      <c r="HX1255" s="650"/>
    </row>
    <row r="1256" spans="4:232" ht="17.25" customHeight="1">
      <c r="D1256" s="1108" t="s">
        <v>831</v>
      </c>
      <c r="E1256" s="650">
        <f t="shared" ref="E1256:AJ1256" si="2618">E695</f>
        <v>1.5446500000000001</v>
      </c>
      <c r="F1256" s="650">
        <f t="shared" si="2618"/>
        <v>-1.4620000000000005E-2</v>
      </c>
      <c r="G1256" s="650">
        <f t="shared" si="2618"/>
        <v>3.7025000000000001</v>
      </c>
      <c r="H1256" s="650">
        <f t="shared" si="2618"/>
        <v>-0.69927000000000006</v>
      </c>
      <c r="I1256" s="650">
        <f t="shared" si="2618"/>
        <v>-2.84707</v>
      </c>
      <c r="J1256" s="650">
        <f t="shared" si="2618"/>
        <v>-4.02006</v>
      </c>
      <c r="K1256" s="650">
        <f t="shared" si="2618"/>
        <v>-1.10934</v>
      </c>
      <c r="L1256" s="650">
        <f t="shared" si="2618"/>
        <v>-0.87460000000000004</v>
      </c>
      <c r="M1256" s="650">
        <f t="shared" si="2618"/>
        <v>-3.5034000000000001</v>
      </c>
      <c r="N1256" s="650">
        <f t="shared" si="2618"/>
        <v>-0.97641000000000011</v>
      </c>
      <c r="O1256" s="650">
        <f t="shared" si="2618"/>
        <v>1.80935</v>
      </c>
      <c r="P1256" s="650">
        <f t="shared" si="2618"/>
        <v>-5.3193199999999994</v>
      </c>
      <c r="Q1256" s="650">
        <f t="shared" si="2618"/>
        <v>-5.0225</v>
      </c>
      <c r="R1256" s="650">
        <f t="shared" si="2618"/>
        <v>-2.7543699999999998</v>
      </c>
      <c r="S1256" s="650">
        <f t="shared" si="2618"/>
        <v>0.96004000000000012</v>
      </c>
      <c r="T1256" s="650">
        <f t="shared" si="2618"/>
        <v>-0.12595000000000003</v>
      </c>
      <c r="U1256" s="650">
        <f t="shared" si="2618"/>
        <v>-0.46615000000000006</v>
      </c>
      <c r="V1256" s="650">
        <f t="shared" si="2618"/>
        <v>4.5327431620000009</v>
      </c>
      <c r="W1256" s="650">
        <f t="shared" si="2618"/>
        <v>-1.6704100000000002</v>
      </c>
      <c r="X1256" s="650">
        <f t="shared" si="2618"/>
        <v>1.3991800000000001</v>
      </c>
      <c r="Y1256" s="650">
        <f t="shared" si="2618"/>
        <v>-2.9094699999999998</v>
      </c>
      <c r="Z1256" s="650">
        <f t="shared" si="2618"/>
        <v>-6.6022600000000002</v>
      </c>
      <c r="AA1256" s="650">
        <f t="shared" si="2618"/>
        <v>2.0030000000000001</v>
      </c>
      <c r="AB1256" s="650">
        <f t="shared" si="2618"/>
        <v>-5.0388600000000006</v>
      </c>
      <c r="AC1256" s="650">
        <f t="shared" si="2618"/>
        <v>-0.9</v>
      </c>
      <c r="AD1256" s="650">
        <f t="shared" si="2618"/>
        <v>-0.2</v>
      </c>
      <c r="AE1256" s="650">
        <f t="shared" si="2618"/>
        <v>-1.4</v>
      </c>
      <c r="AF1256" s="650">
        <f t="shared" si="2618"/>
        <v>-1.93472</v>
      </c>
      <c r="AG1256" s="650">
        <f t="shared" si="2618"/>
        <v>-0.83784000000000003</v>
      </c>
      <c r="AH1256" s="650">
        <f t="shared" si="2618"/>
        <v>-3.9935600000000004</v>
      </c>
      <c r="AI1256" s="650">
        <f t="shared" si="2618"/>
        <v>-1.0940399999999999</v>
      </c>
      <c r="AJ1256" s="650">
        <f t="shared" si="2618"/>
        <v>-2.88862</v>
      </c>
      <c r="AK1256" s="650">
        <f t="shared" ref="AK1256:BP1256" si="2619">AK695</f>
        <v>-0.54108000000000001</v>
      </c>
      <c r="AL1256" s="650">
        <f t="shared" si="2619"/>
        <v>-1.1647100000000001</v>
      </c>
      <c r="AM1256" s="650">
        <f t="shared" si="2619"/>
        <v>-0.27212000000000003</v>
      </c>
      <c r="AN1256" s="650">
        <f t="shared" si="2619"/>
        <v>-3.7279100000000001</v>
      </c>
      <c r="AO1256" s="650">
        <f t="shared" si="2619"/>
        <v>-0.53528999999999993</v>
      </c>
      <c r="AP1256" s="650">
        <f t="shared" si="2619"/>
        <v>-3.9380000000000002</v>
      </c>
      <c r="AQ1256" s="650">
        <f t="shared" si="2619"/>
        <v>-3.09334</v>
      </c>
      <c r="AR1256" s="650">
        <f t="shared" si="2619"/>
        <v>-1.8817200000000001</v>
      </c>
      <c r="AS1256" s="650">
        <f t="shared" si="2619"/>
        <v>3.6420000000000001E-2</v>
      </c>
      <c r="AT1256" s="650">
        <f t="shared" si="2619"/>
        <v>-0.93137999999999987</v>
      </c>
      <c r="AU1256" s="650">
        <f t="shared" si="2619"/>
        <v>-2.27536</v>
      </c>
      <c r="AV1256" s="650">
        <f t="shared" si="2619"/>
        <v>-0.19690999999999997</v>
      </c>
      <c r="AW1256" s="650">
        <f t="shared" si="2619"/>
        <v>1.25508</v>
      </c>
      <c r="AX1256" s="650">
        <f t="shared" si="2619"/>
        <v>-1.0966200000000002</v>
      </c>
      <c r="AY1256" s="650">
        <f t="shared" si="2619"/>
        <v>0.18771999999999991</v>
      </c>
      <c r="AZ1256" s="650">
        <f t="shared" si="2619"/>
        <v>-1.5063299999999999</v>
      </c>
      <c r="BA1256" s="650">
        <f t="shared" si="2619"/>
        <v>-1.77075</v>
      </c>
      <c r="BB1256" s="650">
        <f t="shared" si="2619"/>
        <v>-7.9225799999999991</v>
      </c>
      <c r="BC1256" s="650">
        <f t="shared" si="2619"/>
        <v>-0.84974000000000016</v>
      </c>
      <c r="BD1256" s="650">
        <f t="shared" si="2619"/>
        <v>-3.6012</v>
      </c>
      <c r="BE1256" s="650">
        <f t="shared" si="2619"/>
        <v>-0.73443000000000003</v>
      </c>
      <c r="BF1256" s="650">
        <f t="shared" si="2619"/>
        <v>-1.1054800000000002</v>
      </c>
      <c r="BG1256" s="650">
        <f t="shared" si="2619"/>
        <v>-1.6372280000000001</v>
      </c>
      <c r="BH1256" s="650">
        <f t="shared" si="2619"/>
        <v>-1.5547900000000001</v>
      </c>
      <c r="BI1256" s="650">
        <f t="shared" si="2619"/>
        <v>0.13500000000000001</v>
      </c>
      <c r="BJ1256" s="650">
        <f t="shared" si="2619"/>
        <v>-0.63022596600000003</v>
      </c>
      <c r="BK1256" s="650">
        <f t="shared" si="2619"/>
        <v>0.749320863</v>
      </c>
      <c r="BL1256" s="650">
        <f t="shared" si="2619"/>
        <v>-1.4891595820000001</v>
      </c>
      <c r="BM1256" s="650">
        <f t="shared" si="2619"/>
        <v>-3.3858699999999997</v>
      </c>
      <c r="BN1256" s="650">
        <f t="shared" si="2619"/>
        <v>-2.7693400000000001</v>
      </c>
      <c r="BO1256" s="650">
        <f t="shared" si="2619"/>
        <v>-2.18188</v>
      </c>
      <c r="BP1256" s="650">
        <f t="shared" si="2619"/>
        <v>-2.5423800000000001</v>
      </c>
      <c r="BQ1256" s="650">
        <f t="shared" ref="BQ1256:CV1256" si="2620">BQ695</f>
        <v>-1.7143699999999999</v>
      </c>
      <c r="BR1256" s="650">
        <f t="shared" si="2620"/>
        <v>-5.8809400000000007</v>
      </c>
      <c r="BS1256" s="650">
        <f t="shared" si="2620"/>
        <v>-0.76349999999999996</v>
      </c>
      <c r="BT1256" s="650">
        <f t="shared" si="2620"/>
        <v>12.0663</v>
      </c>
      <c r="BU1256" s="650">
        <f t="shared" si="2620"/>
        <v>6.2743000000000002</v>
      </c>
      <c r="BV1256" s="650">
        <f t="shared" si="2620"/>
        <v>0</v>
      </c>
      <c r="BW1256" s="650">
        <f t="shared" si="2620"/>
        <v>0</v>
      </c>
      <c r="BX1256" s="650">
        <f t="shared" si="2620"/>
        <v>0</v>
      </c>
      <c r="BY1256" s="650">
        <f t="shared" si="2620"/>
        <v>0</v>
      </c>
      <c r="BZ1256" s="650">
        <f t="shared" si="2620"/>
        <v>0</v>
      </c>
      <c r="CA1256" s="650">
        <f t="shared" si="2620"/>
        <v>0</v>
      </c>
      <c r="CB1256" s="650">
        <f t="shared" si="2620"/>
        <v>0</v>
      </c>
      <c r="CC1256" s="650">
        <f t="shared" si="2620"/>
        <v>0</v>
      </c>
      <c r="CD1256" s="650">
        <f t="shared" si="2620"/>
        <v>0</v>
      </c>
      <c r="CE1256" s="650">
        <f t="shared" si="2620"/>
        <v>-7.9970229590000264</v>
      </c>
      <c r="CF1256" s="650">
        <f t="shared" si="2620"/>
        <v>-12.793651817000004</v>
      </c>
      <c r="CG1256" s="650">
        <f t="shared" si="2620"/>
        <v>6.0645420180000009</v>
      </c>
      <c r="CH1256" s="650">
        <f t="shared" si="2620"/>
        <v>-12.472275056999999</v>
      </c>
      <c r="CI1256" s="650">
        <f t="shared" si="2620"/>
        <v>-5.4014813710000027</v>
      </c>
      <c r="CJ1256" s="650">
        <f t="shared" si="2620"/>
        <v>-3.9224582569999984</v>
      </c>
      <c r="CK1256" s="650">
        <f t="shared" si="2620"/>
        <v>0.13948036199999869</v>
      </c>
      <c r="CL1256" s="650">
        <f t="shared" si="2620"/>
        <v>6.5064000000000011</v>
      </c>
      <c r="CM1256" s="650">
        <f t="shared" si="2620"/>
        <v>-5.3870247939999967</v>
      </c>
      <c r="CN1256" s="650">
        <f t="shared" si="2620"/>
        <v>-0.95571863300000004</v>
      </c>
      <c r="CO1256" s="650">
        <f t="shared" si="2620"/>
        <v>9.2343999999999991</v>
      </c>
      <c r="CP1256" s="650">
        <f t="shared" si="2620"/>
        <v>-3.7926579819999997</v>
      </c>
      <c r="CQ1256" s="650">
        <f t="shared" si="2620"/>
        <v>-0.28826511620255502</v>
      </c>
      <c r="CR1256" s="650">
        <f t="shared" si="2620"/>
        <v>8.2294999999999998</v>
      </c>
      <c r="CS1256" s="650">
        <f t="shared" si="2620"/>
        <v>-1.3861579820000001</v>
      </c>
      <c r="CT1256" s="650">
        <f t="shared" si="2620"/>
        <v>3.2993390698449137</v>
      </c>
      <c r="CU1256" s="650">
        <f t="shared" si="2620"/>
        <v>7.084100000000003</v>
      </c>
      <c r="CV1256" s="650">
        <f t="shared" si="2620"/>
        <v>-1.073357981999999</v>
      </c>
      <c r="CW1256" s="650">
        <f t="shared" ref="CW1256:EB1256" si="2621">CW695</f>
        <v>-2.9510079417820263</v>
      </c>
      <c r="CX1256" s="650">
        <f t="shared" si="2621"/>
        <v>7.7061999999999991</v>
      </c>
      <c r="CY1256" s="650">
        <f t="shared" si="2621"/>
        <v>-8.4300000000000319E-2</v>
      </c>
      <c r="CZ1256" s="650">
        <f t="shared" si="2621"/>
        <v>-1.0044080410543001</v>
      </c>
      <c r="DA1256" s="650">
        <f t="shared" si="2621"/>
        <v>7.8123999999999985</v>
      </c>
      <c r="DB1256" s="650">
        <f t="shared" si="2621"/>
        <v>-0.80925797399999999</v>
      </c>
      <c r="DC1256" s="650">
        <f t="shared" si="2621"/>
        <v>-4.5324631415674794</v>
      </c>
      <c r="DD1256" s="650">
        <f t="shared" si="2621"/>
        <v>5.4028999999999998</v>
      </c>
      <c r="DE1256" s="650">
        <f t="shared" si="2621"/>
        <v>-0.88775798200000045</v>
      </c>
      <c r="DF1256" s="650">
        <f t="shared" si="2621"/>
        <v>-1.1786751808370697</v>
      </c>
      <c r="DG1256" s="650">
        <f t="shared" si="2621"/>
        <v>4.3503000000000043</v>
      </c>
      <c r="DH1256" s="650">
        <f t="shared" si="2621"/>
        <v>4.2070797710000001</v>
      </c>
      <c r="DI1256" s="650">
        <f t="shared" si="2621"/>
        <v>5.1854538799999998</v>
      </c>
      <c r="DJ1256" s="650">
        <f t="shared" si="2621"/>
        <v>8.7312999999999832</v>
      </c>
      <c r="DK1256" s="650">
        <f t="shared" si="2621"/>
        <v>0.28000000000000114</v>
      </c>
      <c r="DL1256" s="650">
        <f t="shared" si="2621"/>
        <v>11.222922052894996</v>
      </c>
      <c r="DM1256" s="650">
        <f t="shared" si="2621"/>
        <v>8.0632999999999981</v>
      </c>
      <c r="DN1256" s="650">
        <f t="shared" si="2621"/>
        <v>6.8730000000000011</v>
      </c>
      <c r="DO1256" s="650">
        <f t="shared" si="2621"/>
        <v>2.5929376351340894</v>
      </c>
      <c r="DP1256" s="650">
        <f t="shared" si="2621"/>
        <v>21.015247967000015</v>
      </c>
      <c r="DQ1256" s="650">
        <f t="shared" si="2621"/>
        <v>5.8203736469999976</v>
      </c>
      <c r="DR1256" s="650">
        <f t="shared" si="2621"/>
        <v>5.9876888881631389</v>
      </c>
      <c r="DS1256" s="650">
        <f t="shared" si="2621"/>
        <v>9.3489336149999929</v>
      </c>
      <c r="DT1256" s="650">
        <f t="shared" si="2621"/>
        <v>-5.2444954929999943</v>
      </c>
      <c r="DU1256" s="650">
        <f t="shared" si="2621"/>
        <v>5.519976130462255</v>
      </c>
      <c r="DV1256" s="650">
        <f t="shared" si="2621"/>
        <v>5.620087768000003</v>
      </c>
      <c r="DW1256" s="650">
        <f t="shared" si="2621"/>
        <v>-4.1149846369999992</v>
      </c>
      <c r="DX1256" s="650">
        <f t="shared" si="2621"/>
        <v>5.1006321740668881E-2</v>
      </c>
      <c r="DY1256" s="650">
        <f t="shared" si="2621"/>
        <v>6.9359000000000037</v>
      </c>
      <c r="DZ1256" s="650">
        <f t="shared" si="2621"/>
        <v>-12.342832052422075</v>
      </c>
      <c r="EA1256" s="650">
        <f t="shared" si="2621"/>
        <v>-15.851021655275062</v>
      </c>
      <c r="EB1256" s="650">
        <f t="shared" si="2621"/>
        <v>-0.26779999999999538</v>
      </c>
      <c r="EC1256" s="650">
        <f t="shared" ref="EC1256:EX1256" si="2622">EC695</f>
        <v>-6.5678439215778273</v>
      </c>
      <c r="ED1256" s="650">
        <f t="shared" si="2622"/>
        <v>-6.5429619260000047</v>
      </c>
      <c r="EE1256" s="650">
        <f t="shared" si="2622"/>
        <v>2.8764000000000181</v>
      </c>
      <c r="EF1256" s="650">
        <f t="shared" si="2622"/>
        <v>1.7313999939999976</v>
      </c>
      <c r="EG1256" s="650">
        <f t="shared" si="2622"/>
        <v>18.4838222999999</v>
      </c>
      <c r="EH1256" s="650">
        <f t="shared" si="2622"/>
        <v>-13.457299999999982</v>
      </c>
      <c r="EI1256" s="650">
        <f t="shared" si="2622"/>
        <v>0.52939999999999543</v>
      </c>
      <c r="EJ1256" s="650">
        <f t="shared" si="2622"/>
        <v>20.452328829000017</v>
      </c>
      <c r="EK1256" s="650">
        <f t="shared" si="2622"/>
        <v>-1.7375445670000147</v>
      </c>
      <c r="EL1256" s="650">
        <f t="shared" si="2622"/>
        <v>24.838800000000006</v>
      </c>
      <c r="EM1256" s="650">
        <f t="shared" si="2622"/>
        <v>0.29065543299999774</v>
      </c>
      <c r="EN1256" s="650">
        <f t="shared" si="2622"/>
        <v>-0.32800000000001006</v>
      </c>
      <c r="EO1256" s="650">
        <f t="shared" si="2622"/>
        <v>12.944899999999954</v>
      </c>
      <c r="EP1256" s="650">
        <f t="shared" si="2622"/>
        <v>16.181999882000017</v>
      </c>
      <c r="EQ1256" s="650">
        <f t="shared" si="2622"/>
        <v>-3.0241999999999649</v>
      </c>
      <c r="ER1256" s="650">
        <f t="shared" si="2622"/>
        <v>20.035399999999996</v>
      </c>
      <c r="ES1256" s="650">
        <f t="shared" si="2622"/>
        <v>-3.6547000000000054</v>
      </c>
      <c r="ET1256" s="650">
        <f t="shared" si="2622"/>
        <v>19.686799999999991</v>
      </c>
      <c r="EU1256" s="650">
        <f t="shared" si="2622"/>
        <v>-1.7055000000000007</v>
      </c>
      <c r="EV1256" s="650">
        <f t="shared" si="2622"/>
        <v>-4.2007421409999921</v>
      </c>
      <c r="EW1256" s="650">
        <f t="shared" si="2622"/>
        <v>-2.6754899699999832</v>
      </c>
      <c r="EX1256" s="650">
        <f t="shared" si="2622"/>
        <v>13.355551886999992</v>
      </c>
      <c r="EY1256" s="1619">
        <f>+EY1254-EY1255</f>
        <v>40.511326699166716</v>
      </c>
      <c r="EZ1256" s="650">
        <f t="shared" ref="EZ1256:FJ1256" si="2623">+EZ1254-EZ1255</f>
        <v>23.685268134166684</v>
      </c>
      <c r="FA1256" s="650">
        <f t="shared" si="2623"/>
        <v>50.213094945166695</v>
      </c>
      <c r="FB1256" s="650">
        <f t="shared" si="2623"/>
        <v>-39.836931193833408</v>
      </c>
      <c r="FC1256" s="650">
        <f t="shared" si="2623"/>
        <v>45.948963521166775</v>
      </c>
      <c r="FD1256" s="650">
        <f t="shared" si="2623"/>
        <v>-59.062705226833287</v>
      </c>
      <c r="FE1256" s="650">
        <f t="shared" si="2623"/>
        <v>0.23880048300001988</v>
      </c>
      <c r="FF1256" s="650">
        <f t="shared" si="2623"/>
        <v>-9.2291615470000181</v>
      </c>
      <c r="FG1256" s="650">
        <f t="shared" si="2623"/>
        <v>6.4556151380000415</v>
      </c>
      <c r="FH1256" s="650">
        <f t="shared" si="2623"/>
        <v>-1.2234641080000301</v>
      </c>
      <c r="FI1256" s="650">
        <f t="shared" si="2623"/>
        <v>61.658181259999992</v>
      </c>
      <c r="FJ1256" s="650">
        <f t="shared" si="2623"/>
        <v>-94.665104052999965</v>
      </c>
      <c r="FK1256" s="650">
        <f>+FK1254-FK1255</f>
        <v>109.24151367999997</v>
      </c>
      <c r="FL1256" s="650">
        <f>+FL1254-FL1255</f>
        <v>28.035089406999987</v>
      </c>
      <c r="FM1256" s="650">
        <f>+FM1254-FM1255</f>
        <v>28.145727494999974</v>
      </c>
      <c r="FN1256" s="650">
        <f>+FN1254-FN1255</f>
        <v>8.1152333759999777</v>
      </c>
      <c r="FO1256" s="650">
        <f>+FO1254-FO1255</f>
        <v>27.603330151000023</v>
      </c>
      <c r="FP1256" s="650">
        <f t="shared" ref="FP1256:FV1256" si="2624">+FP1254-FP1255</f>
        <v>54.219904389000007</v>
      </c>
      <c r="FQ1256" s="650">
        <f t="shared" si="2624"/>
        <v>44.139310707999996</v>
      </c>
      <c r="FR1256" s="650">
        <f t="shared" si="2624"/>
        <v>8.2778580639999433</v>
      </c>
      <c r="FS1256" s="650">
        <f t="shared" si="2624"/>
        <v>-61.11802547249998</v>
      </c>
      <c r="FT1256" s="650">
        <f t="shared" si="2624"/>
        <v>-14.88655372800001</v>
      </c>
      <c r="FU1256" s="650">
        <f t="shared" si="2624"/>
        <v>108.83939675849999</v>
      </c>
      <c r="FV1256" s="650">
        <f t="shared" si="2624"/>
        <v>-210.13459962299999</v>
      </c>
      <c r="FW1256" s="650">
        <f t="shared" ref="FW1256:GC1256" si="2625">+FW1254-FW1255</f>
        <v>18.059574244000004</v>
      </c>
      <c r="FX1256" s="650">
        <f t="shared" si="2625"/>
        <v>-84.292830772000002</v>
      </c>
      <c r="FY1256" s="650">
        <f t="shared" si="2625"/>
        <v>68.384470335000003</v>
      </c>
      <c r="FZ1256" s="650">
        <f t="shared" si="2625"/>
        <v>66.327558105000023</v>
      </c>
      <c r="GA1256" s="650">
        <f t="shared" si="2625"/>
        <v>-22.619845006999995</v>
      </c>
      <c r="GB1256" s="650">
        <f t="shared" si="2625"/>
        <v>50.175288816000034</v>
      </c>
      <c r="GC1256" s="650">
        <f t="shared" si="2625"/>
        <v>22.528415184999915</v>
      </c>
      <c r="GD1256" s="650">
        <f t="shared" ref="GD1256:HL1256" si="2626">+GD1254-GD1255</f>
        <v>33.302084485999984</v>
      </c>
      <c r="GE1256" s="650">
        <f t="shared" si="2626"/>
        <v>-79.085697237999966</v>
      </c>
      <c r="GF1256" s="650">
        <f t="shared" si="2626"/>
        <v>4.6515685763333181</v>
      </c>
      <c r="GG1256" s="650">
        <f t="shared" si="2626"/>
        <v>-14.990807772666642</v>
      </c>
      <c r="GH1256" s="650">
        <f t="shared" si="2626"/>
        <v>-38.251211343094155</v>
      </c>
      <c r="GI1256" s="650">
        <f t="shared" si="2626"/>
        <v>5.9120000000000346</v>
      </c>
      <c r="GJ1256" s="650">
        <f t="shared" si="2626"/>
        <v>7.5800000000000125</v>
      </c>
      <c r="GK1256" s="650">
        <f t="shared" si="2626"/>
        <v>93.144749482999998</v>
      </c>
      <c r="GL1256" s="650">
        <f t="shared" si="2626"/>
        <v>24.131734999999992</v>
      </c>
      <c r="GM1256" s="650">
        <f t="shared" si="2626"/>
        <v>24.963300000000032</v>
      </c>
      <c r="GN1256" s="650">
        <f t="shared" si="2626"/>
        <v>85.123964668999875</v>
      </c>
      <c r="GO1256" s="650">
        <f t="shared" si="2626"/>
        <v>-128.53906187299992</v>
      </c>
      <c r="GP1256" s="650">
        <f t="shared" si="2626"/>
        <v>11.632199999999969</v>
      </c>
      <c r="GQ1256" s="650">
        <f t="shared" si="2626"/>
        <v>-88.309021524000059</v>
      </c>
      <c r="GR1256" s="650">
        <f t="shared" si="2626"/>
        <v>24.678400000000153</v>
      </c>
      <c r="GS1256" s="650">
        <f t="shared" si="2626"/>
        <v>8.4054393450000546</v>
      </c>
      <c r="GT1256" s="650">
        <f t="shared" si="2626"/>
        <v>31.400898809999973</v>
      </c>
      <c r="GU1256" s="650">
        <f t="shared" si="2626"/>
        <v>-47.619716428767262</v>
      </c>
      <c r="GV1256" s="650">
        <f t="shared" si="2626"/>
        <v>23.774435000000082</v>
      </c>
      <c r="GW1256" s="650">
        <f t="shared" si="2626"/>
        <v>2.4686400949999765</v>
      </c>
      <c r="GX1256" s="650">
        <f t="shared" si="2626"/>
        <v>22.491935000000012</v>
      </c>
      <c r="GY1256" s="650">
        <f t="shared" si="2626"/>
        <v>23.621541205999925</v>
      </c>
      <c r="GZ1256" s="650">
        <f t="shared" si="2626"/>
        <v>-29.209964997999862</v>
      </c>
      <c r="HA1256" s="650">
        <f t="shared" si="2626"/>
        <v>26.643200000000036</v>
      </c>
      <c r="HB1256" s="650">
        <f t="shared" si="2626"/>
        <v>36.767799999999994</v>
      </c>
      <c r="HC1256" s="650">
        <f t="shared" si="2626"/>
        <v>42.518939817000003</v>
      </c>
      <c r="HD1256" s="650">
        <f t="shared" si="2626"/>
        <v>8.1881999999999948</v>
      </c>
      <c r="HE1256" s="650">
        <f t="shared" si="2626"/>
        <v>-123.99469999999999</v>
      </c>
      <c r="HF1256" s="650">
        <f t="shared" si="2626"/>
        <v>-47.073719727681464</v>
      </c>
      <c r="HG1256" s="650">
        <f t="shared" si="2626"/>
        <v>-6.6537662630000085</v>
      </c>
      <c r="HH1256" s="650">
        <f t="shared" si="2626"/>
        <v>14.787999999999926</v>
      </c>
      <c r="HI1256" s="650">
        <f t="shared" si="2626"/>
        <v>6.7499369490000305</v>
      </c>
      <c r="HJ1256" s="650">
        <f t="shared" si="2626"/>
        <v>26.975999999999985</v>
      </c>
      <c r="HK1256" s="650">
        <f t="shared" si="2626"/>
        <v>-66.04510000000009</v>
      </c>
      <c r="HL1256" s="650">
        <f t="shared" si="2626"/>
        <v>33.605185603999985</v>
      </c>
      <c r="HM1256" s="650">
        <f t="shared" ref="HM1256:HR1256" si="2627">+HM1254-HM1255</f>
        <v>-12.983999999999909</v>
      </c>
      <c r="HN1256" s="650">
        <f t="shared" si="2627"/>
        <v>-35.419660381</v>
      </c>
      <c r="HO1256" s="650">
        <f t="shared" si="2627"/>
        <v>-19.511536323000087</v>
      </c>
      <c r="HP1256" s="650">
        <f t="shared" si="2627"/>
        <v>-1.4847000000000037</v>
      </c>
      <c r="HQ1256" s="650">
        <f t="shared" si="2627"/>
        <v>-7.4124625559999515</v>
      </c>
      <c r="HR1256" s="650">
        <f t="shared" si="2627"/>
        <v>-19.017157829000027</v>
      </c>
      <c r="HS1256" s="650"/>
      <c r="HT1256" s="650"/>
      <c r="HU1256" s="650"/>
      <c r="HV1256" s="650"/>
      <c r="HW1256" s="650"/>
      <c r="HX1256" s="650"/>
    </row>
    <row r="1257" spans="4:232">
      <c r="D1257" s="96" t="s">
        <v>3214</v>
      </c>
      <c r="E1257" s="848">
        <f t="shared" ref="E1257:BP1257" si="2628">+E1232+E1238-E1241+(E1253+E1254)</f>
        <v>-10.6554</v>
      </c>
      <c r="F1257" s="848">
        <f t="shared" si="2628"/>
        <v>-5.8456100000000006</v>
      </c>
      <c r="G1257" s="848">
        <f t="shared" si="2628"/>
        <v>15.183399999999999</v>
      </c>
      <c r="H1257" s="848">
        <f t="shared" si="2628"/>
        <v>-9.8549799999999994</v>
      </c>
      <c r="I1257" s="848">
        <f t="shared" si="2628"/>
        <v>9.1612800000000014</v>
      </c>
      <c r="J1257" s="848">
        <f t="shared" si="2628"/>
        <v>7.0667899999999975</v>
      </c>
      <c r="K1257" s="848">
        <f t="shared" si="2628"/>
        <v>-21.487389999999998</v>
      </c>
      <c r="L1257" s="848">
        <f t="shared" si="2628"/>
        <v>1.3441399999999994</v>
      </c>
      <c r="M1257" s="848">
        <f t="shared" si="2628"/>
        <v>12.68139</v>
      </c>
      <c r="N1257" s="848">
        <f t="shared" si="2628"/>
        <v>1.6419499999999996</v>
      </c>
      <c r="O1257" s="848">
        <f t="shared" si="2628"/>
        <v>-2.2091200000000004</v>
      </c>
      <c r="P1257" s="848">
        <f t="shared" si="2628"/>
        <v>11.5212</v>
      </c>
      <c r="Q1257" s="848">
        <f t="shared" si="2628"/>
        <v>-12.82325</v>
      </c>
      <c r="R1257" s="848">
        <f t="shared" si="2628"/>
        <v>0.33188999999999957</v>
      </c>
      <c r="S1257" s="848">
        <f t="shared" si="2628"/>
        <v>6.0977400000000017</v>
      </c>
      <c r="T1257" s="848">
        <f t="shared" si="2628"/>
        <v>-9.3417400000000015</v>
      </c>
      <c r="U1257" s="848">
        <f t="shared" si="2628"/>
        <v>10.999739999999999</v>
      </c>
      <c r="V1257" s="848">
        <f t="shared" si="2628"/>
        <v>8.7369800000000026</v>
      </c>
      <c r="W1257" s="848">
        <f t="shared" si="2628"/>
        <v>-14.96668</v>
      </c>
      <c r="X1257" s="848">
        <f t="shared" si="2628"/>
        <v>-2.7358400000000067</v>
      </c>
      <c r="Y1257" s="848">
        <f t="shared" si="2628"/>
        <v>9.1756099999999989</v>
      </c>
      <c r="Z1257" s="848">
        <f t="shared" si="2628"/>
        <v>-22.001330000000003</v>
      </c>
      <c r="AA1257" s="848">
        <f t="shared" si="2628"/>
        <v>24.827919999999999</v>
      </c>
      <c r="AB1257" s="848">
        <f t="shared" si="2628"/>
        <v>9.7205100000000044</v>
      </c>
      <c r="AC1257" s="848">
        <f t="shared" si="2628"/>
        <v>0.87727999999999895</v>
      </c>
      <c r="AD1257" s="848">
        <f t="shared" si="2628"/>
        <v>0.53175000000000117</v>
      </c>
      <c r="AE1257" s="848">
        <f t="shared" si="2628"/>
        <v>0.56568999999999647</v>
      </c>
      <c r="AF1257" s="848">
        <f t="shared" si="2628"/>
        <v>1.858869999999996</v>
      </c>
      <c r="AG1257" s="848">
        <f t="shared" si="2628"/>
        <v>0.91006999999999927</v>
      </c>
      <c r="AH1257" s="848">
        <f t="shared" si="2628"/>
        <v>0.43952000000000169</v>
      </c>
      <c r="AI1257" s="848">
        <f t="shared" si="2628"/>
        <v>-15.669499999999999</v>
      </c>
      <c r="AJ1257" s="848">
        <f t="shared" si="2628"/>
        <v>11.648299999999999</v>
      </c>
      <c r="AK1257" s="848">
        <f t="shared" si="2628"/>
        <v>1.3376999999999981</v>
      </c>
      <c r="AL1257" s="848">
        <f t="shared" si="2628"/>
        <v>-11.607199999999999</v>
      </c>
      <c r="AM1257" s="848">
        <f t="shared" si="2628"/>
        <v>11.101100000000002</v>
      </c>
      <c r="AN1257" s="848">
        <f t="shared" si="2628"/>
        <v>9.0562999999999985</v>
      </c>
      <c r="AO1257" s="848">
        <f t="shared" si="2628"/>
        <v>-21.638860000000001</v>
      </c>
      <c r="AP1257" s="848">
        <f t="shared" si="2628"/>
        <v>-2.7073199999999957</v>
      </c>
      <c r="AQ1257" s="848">
        <f t="shared" si="2628"/>
        <v>6.5569200000000141</v>
      </c>
      <c r="AR1257" s="848">
        <f t="shared" si="2628"/>
        <v>-7.6063799999999979</v>
      </c>
      <c r="AS1257" s="848">
        <f t="shared" si="2628"/>
        <v>-17.792059999999996</v>
      </c>
      <c r="AT1257" s="848">
        <f t="shared" si="2628"/>
        <v>49.276220000000009</v>
      </c>
      <c r="AU1257" s="848">
        <f t="shared" si="2628"/>
        <v>-5.9402000000000008</v>
      </c>
      <c r="AV1257" s="848">
        <f t="shared" si="2628"/>
        <v>0.78819999999999624</v>
      </c>
      <c r="AW1257" s="848">
        <f t="shared" si="2628"/>
        <v>-0.17479999999999762</v>
      </c>
      <c r="AX1257" s="848">
        <f t="shared" si="2628"/>
        <v>15.133499999999998</v>
      </c>
      <c r="AY1257" s="848">
        <f t="shared" si="2628"/>
        <v>-5.4844000000000008</v>
      </c>
      <c r="AZ1257" s="848">
        <f t="shared" si="2628"/>
        <v>2.8403000000000027</v>
      </c>
      <c r="BA1257" s="848">
        <f t="shared" si="2628"/>
        <v>-27.045399999999997</v>
      </c>
      <c r="BB1257" s="848">
        <f t="shared" si="2628"/>
        <v>-0.25485000000000024</v>
      </c>
      <c r="BC1257" s="848">
        <f t="shared" si="2628"/>
        <v>2.4120500000000007</v>
      </c>
      <c r="BD1257" s="848">
        <f t="shared" si="2628"/>
        <v>-16.939349999999997</v>
      </c>
      <c r="BE1257" s="848">
        <f t="shared" si="2628"/>
        <v>-0.30796000000000134</v>
      </c>
      <c r="BF1257" s="848">
        <f t="shared" si="2628"/>
        <v>46.825299999999999</v>
      </c>
      <c r="BG1257" s="848">
        <f t="shared" si="2628"/>
        <v>2.1658000000000008</v>
      </c>
      <c r="BH1257" s="848">
        <f t="shared" si="2628"/>
        <v>-41.469000000000001</v>
      </c>
      <c r="BI1257" s="848">
        <f t="shared" si="2628"/>
        <v>29.647799999999997</v>
      </c>
      <c r="BJ1257" s="848">
        <f t="shared" si="2628"/>
        <v>-31.784700000000001</v>
      </c>
      <c r="BK1257" s="848">
        <f t="shared" si="2628"/>
        <v>14.714100000000002</v>
      </c>
      <c r="BL1257" s="848">
        <f t="shared" si="2628"/>
        <v>34.624499999999998</v>
      </c>
      <c r="BM1257" s="848">
        <f t="shared" si="2628"/>
        <v>-22.7043</v>
      </c>
      <c r="BN1257" s="848">
        <f t="shared" si="2628"/>
        <v>5.3937400000000011</v>
      </c>
      <c r="BO1257" s="848">
        <f t="shared" si="2628"/>
        <v>19.661969999999997</v>
      </c>
      <c r="BP1257" s="848">
        <f t="shared" si="2628"/>
        <v>-36.031199999999998</v>
      </c>
      <c r="BQ1257" s="848">
        <f t="shared" ref="BQ1257:EB1257" si="2629">+BQ1232+BQ1238-BQ1241+(BQ1253+BQ1254)</f>
        <v>-16.442199999999993</v>
      </c>
      <c r="BR1257" s="848">
        <f t="shared" si="2629"/>
        <v>55.916100000000007</v>
      </c>
      <c r="BS1257" s="848">
        <f t="shared" si="2629"/>
        <v>-35.2239</v>
      </c>
      <c r="BT1257" s="848">
        <f t="shared" si="2629"/>
        <v>3.8731</v>
      </c>
      <c r="BU1257" s="848">
        <f t="shared" si="2629"/>
        <v>17.480199999999996</v>
      </c>
      <c r="BV1257" s="848">
        <f t="shared" si="2629"/>
        <v>0</v>
      </c>
      <c r="BW1257" s="848">
        <f t="shared" si="2629"/>
        <v>0</v>
      </c>
      <c r="BX1257" s="848">
        <f t="shared" si="2629"/>
        <v>0</v>
      </c>
      <c r="BY1257" s="848">
        <f t="shared" si="2629"/>
        <v>0</v>
      </c>
      <c r="BZ1257" s="848">
        <f t="shared" si="2629"/>
        <v>0</v>
      </c>
      <c r="CA1257" s="848">
        <f t="shared" si="2629"/>
        <v>0</v>
      </c>
      <c r="CB1257" s="848">
        <f t="shared" si="2629"/>
        <v>0</v>
      </c>
      <c r="CC1257" s="848">
        <f t="shared" si="2629"/>
        <v>0</v>
      </c>
      <c r="CD1257" s="848">
        <f t="shared" si="2629"/>
        <v>0</v>
      </c>
      <c r="CE1257" s="848">
        <f t="shared" si="2629"/>
        <v>-25.459926414999998</v>
      </c>
      <c r="CF1257" s="848">
        <f t="shared" si="2629"/>
        <v>2.1916458300000095</v>
      </c>
      <c r="CG1257" s="848">
        <f t="shared" si="2629"/>
        <v>-0.86049975999999617</v>
      </c>
      <c r="CH1257" s="848">
        <f t="shared" si="2629"/>
        <v>-15.230367964999999</v>
      </c>
      <c r="CI1257" s="848">
        <f t="shared" si="2629"/>
        <v>2.4902323450000026</v>
      </c>
      <c r="CJ1257" s="848">
        <f t="shared" si="2629"/>
        <v>44.462359226000011</v>
      </c>
      <c r="CK1257" s="848">
        <f t="shared" si="2629"/>
        <v>-33.882002667999998</v>
      </c>
      <c r="CL1257" s="848">
        <f t="shared" si="2629"/>
        <v>-1.5864573310000019</v>
      </c>
      <c r="CM1257" s="848">
        <f t="shared" si="2629"/>
        <v>2.2788276409999977</v>
      </c>
      <c r="CN1257" s="848">
        <f t="shared" si="2629"/>
        <v>-21.917290953999995</v>
      </c>
      <c r="CO1257" s="848">
        <f t="shared" si="2629"/>
        <v>-15.121927161999999</v>
      </c>
      <c r="CP1257" s="848">
        <f t="shared" si="2629"/>
        <v>77.886949827000009</v>
      </c>
      <c r="CQ1257" s="848">
        <f t="shared" si="2629"/>
        <v>-43.993544946</v>
      </c>
      <c r="CR1257" s="848">
        <f t="shared" si="2629"/>
        <v>-7.5001968780000041</v>
      </c>
      <c r="CS1257" s="848">
        <f t="shared" si="2629"/>
        <v>8.1648560100000012</v>
      </c>
      <c r="CT1257" s="848">
        <f t="shared" si="2629"/>
        <v>-7.7556771839999996</v>
      </c>
      <c r="CU1257" s="848">
        <f t="shared" si="2629"/>
        <v>-13.614128800999996</v>
      </c>
      <c r="CV1257" s="848">
        <f t="shared" si="2629"/>
        <v>15.375084401999985</v>
      </c>
      <c r="CW1257" s="848">
        <f t="shared" si="2629"/>
        <v>-9.5578973140000016</v>
      </c>
      <c r="CX1257" s="848">
        <f t="shared" si="2629"/>
        <v>-18.724819482000001</v>
      </c>
      <c r="CY1257" s="848">
        <f t="shared" si="2629"/>
        <v>5.0054926209999948</v>
      </c>
      <c r="CZ1257" s="848">
        <f t="shared" si="2629"/>
        <v>-34.482325734</v>
      </c>
      <c r="DA1257" s="848">
        <f t="shared" si="2629"/>
        <v>-0.97493965699999663</v>
      </c>
      <c r="DB1257" s="848">
        <f t="shared" si="2629"/>
        <v>84.906245957999985</v>
      </c>
      <c r="DC1257" s="848">
        <f t="shared" si="2629"/>
        <v>-45.051045941000005</v>
      </c>
      <c r="DD1257" s="848">
        <f t="shared" si="2629"/>
        <v>-2.4522030739999963</v>
      </c>
      <c r="DE1257" s="848">
        <f t="shared" si="2629"/>
        <v>11.525068235999996</v>
      </c>
      <c r="DF1257" s="848">
        <f t="shared" si="2629"/>
        <v>-24.155134145999995</v>
      </c>
      <c r="DG1257" s="848">
        <f t="shared" si="2629"/>
        <v>-4.7692401899999979</v>
      </c>
      <c r="DH1257" s="848">
        <f t="shared" si="2629"/>
        <v>50.081889140000001</v>
      </c>
      <c r="DI1257" s="848">
        <f t="shared" si="2629"/>
        <v>-39.043449918999997</v>
      </c>
      <c r="DJ1257" s="848">
        <f t="shared" si="2629"/>
        <v>12.661360148</v>
      </c>
      <c r="DK1257" s="848">
        <f t="shared" si="2629"/>
        <v>-2.5686521749999986</v>
      </c>
      <c r="DL1257" s="848">
        <f t="shared" si="2629"/>
        <v>-8.1482137590000008</v>
      </c>
      <c r="DM1257" s="848">
        <f t="shared" si="2629"/>
        <v>-27.100130161999999</v>
      </c>
      <c r="DN1257" s="848">
        <f t="shared" si="2629"/>
        <v>106.637777396</v>
      </c>
      <c r="DO1257" s="848">
        <f t="shared" si="2629"/>
        <v>-48.634145438704948</v>
      </c>
      <c r="DP1257" s="848">
        <f t="shared" si="2629"/>
        <v>-34.910516502095469</v>
      </c>
      <c r="DQ1257" s="848">
        <f t="shared" si="2629"/>
        <v>-24.545368218374875</v>
      </c>
      <c r="DR1257" s="848">
        <f t="shared" si="2629"/>
        <v>-29.379973845712513</v>
      </c>
      <c r="DS1257" s="848">
        <f t="shared" si="2629"/>
        <v>7.0710699812660422</v>
      </c>
      <c r="DT1257" s="848">
        <f t="shared" si="2629"/>
        <v>94.011841341755769</v>
      </c>
      <c r="DU1257" s="848">
        <f t="shared" si="2629"/>
        <v>-65.65919942510277</v>
      </c>
      <c r="DV1257" s="848">
        <f t="shared" si="2629"/>
        <v>26.876866047342489</v>
      </c>
      <c r="DW1257" s="848">
        <f t="shared" si="2629"/>
        <v>32.58523986044387</v>
      </c>
      <c r="DX1257" s="848">
        <f t="shared" si="2629"/>
        <v>-85.022446139857607</v>
      </c>
      <c r="DY1257" s="848">
        <f t="shared" si="2629"/>
        <v>6.1053640645278762</v>
      </c>
      <c r="DZ1257" s="848">
        <f t="shared" si="2629"/>
        <v>87.462298782901172</v>
      </c>
      <c r="EA1257" s="848">
        <f t="shared" si="2629"/>
        <v>-15.71526237881049</v>
      </c>
      <c r="EB1257" s="848">
        <f t="shared" si="2629"/>
        <v>-20.578529409478506</v>
      </c>
      <c r="EC1257" s="848">
        <f t="shared" ref="EC1257:EX1257" si="2630">+EC1232+EC1238-EC1241+(EC1253+EC1254)</f>
        <v>-62.456145238225346</v>
      </c>
      <c r="ED1257" s="848">
        <f t="shared" si="2630"/>
        <v>-62.249692860900815</v>
      </c>
      <c r="EE1257" s="848">
        <f t="shared" si="2630"/>
        <v>74.140629380435897</v>
      </c>
      <c r="EF1257" s="848">
        <f t="shared" si="2630"/>
        <v>-48.535366632623735</v>
      </c>
      <c r="EG1257" s="848">
        <f t="shared" si="2630"/>
        <v>120.32593203447294</v>
      </c>
      <c r="EH1257" s="848">
        <f t="shared" si="2630"/>
        <v>-21.290085112700787</v>
      </c>
      <c r="EI1257" s="848">
        <f t="shared" si="2630"/>
        <v>-0.1249692844800574</v>
      </c>
      <c r="EJ1257" s="848">
        <f t="shared" si="2630"/>
        <v>-2.3402424095658034</v>
      </c>
      <c r="EK1257" s="848">
        <f t="shared" si="2630"/>
        <v>0.59932120642935161</v>
      </c>
      <c r="EL1257" s="848">
        <f t="shared" si="2630"/>
        <v>107.02366157139527</v>
      </c>
      <c r="EM1257" s="848">
        <f t="shared" si="2630"/>
        <v>-31.306070738783745</v>
      </c>
      <c r="EN1257" s="848">
        <f t="shared" si="2630"/>
        <v>-48.634830277049588</v>
      </c>
      <c r="EO1257" s="848">
        <f t="shared" si="2630"/>
        <v>-19.555449261122064</v>
      </c>
      <c r="EP1257" s="848">
        <f t="shared" si="2630"/>
        <v>-31.318086449757658</v>
      </c>
      <c r="EQ1257" s="848">
        <f t="shared" si="2630"/>
        <v>-68.3488694052337</v>
      </c>
      <c r="ER1257" s="848">
        <f t="shared" si="2630"/>
        <v>62.8989857480978</v>
      </c>
      <c r="ES1257" s="848">
        <f t="shared" si="2630"/>
        <v>36.267143875347159</v>
      </c>
      <c r="ET1257" s="848">
        <f t="shared" si="2630"/>
        <v>51.714899992458449</v>
      </c>
      <c r="EU1257" s="848">
        <f t="shared" si="2630"/>
        <v>-36.839918012740341</v>
      </c>
      <c r="EV1257" s="848">
        <f t="shared" si="2630"/>
        <v>-43.125067553717898</v>
      </c>
      <c r="EW1257" s="848">
        <f t="shared" si="2630"/>
        <v>-72.081876784389024</v>
      </c>
      <c r="EX1257" s="848">
        <f t="shared" si="2630"/>
        <v>111.5010375343019</v>
      </c>
      <c r="EY1257" s="848">
        <f>+EY1232+EY1238-EY1241+(EY1253+EY1254)</f>
        <v>-25.832106926181766</v>
      </c>
      <c r="EZ1257" s="848">
        <f t="shared" ref="EZ1257:GC1257" si="2631">+EZ1232+EZ1238-EZ1241+EZ1253+EZ1254</f>
        <v>-42.845015236387511</v>
      </c>
      <c r="FA1257" s="848">
        <f t="shared" si="2631"/>
        <v>40.066970002069567</v>
      </c>
      <c r="FB1257" s="848">
        <f t="shared" si="2631"/>
        <v>-15.111730798628145</v>
      </c>
      <c r="FC1257" s="848">
        <f t="shared" si="2631"/>
        <v>12.785278889865197</v>
      </c>
      <c r="FD1257" s="848">
        <f t="shared" si="2631"/>
        <v>13.988059023595781</v>
      </c>
      <c r="FE1257" s="848">
        <f t="shared" si="2631"/>
        <v>-1.2854610075625317</v>
      </c>
      <c r="FF1257" s="848">
        <f t="shared" si="2631"/>
        <v>-2.9944099752062527</v>
      </c>
      <c r="FG1257" s="848">
        <f t="shared" si="2631"/>
        <v>-25.601050784902398</v>
      </c>
      <c r="FH1257" s="848">
        <f t="shared" si="2631"/>
        <v>-8.2387497333172348</v>
      </c>
      <c r="FI1257" s="848">
        <f t="shared" si="2631"/>
        <v>-31.564510086054412</v>
      </c>
      <c r="FJ1257" s="848">
        <f t="shared" si="2631"/>
        <v>94.165969504041243</v>
      </c>
      <c r="FK1257" s="848">
        <f t="shared" si="2631"/>
        <v>-118.10314110351629</v>
      </c>
      <c r="FL1257" s="848">
        <f t="shared" si="2631"/>
        <v>-31.364378483310446</v>
      </c>
      <c r="FM1257" s="848">
        <f t="shared" si="2631"/>
        <v>15.526519434429659</v>
      </c>
      <c r="FN1257" s="848">
        <f t="shared" si="2631"/>
        <v>41.408761385689097</v>
      </c>
      <c r="FO1257" s="848">
        <f t="shared" si="2631"/>
        <v>9.5314509351693175</v>
      </c>
      <c r="FP1257" s="848">
        <f t="shared" si="2631"/>
        <v>58.847167518440003</v>
      </c>
      <c r="FQ1257" s="848">
        <f t="shared" si="2631"/>
        <v>11.232448687903187</v>
      </c>
      <c r="FR1257" s="848">
        <f t="shared" si="2631"/>
        <v>40.687810525280042</v>
      </c>
      <c r="FS1257" s="848">
        <f t="shared" si="2631"/>
        <v>-8.3717769103185873</v>
      </c>
      <c r="FT1257" s="848">
        <f t="shared" si="2631"/>
        <v>-54.757031170269748</v>
      </c>
      <c r="FU1257" s="848">
        <f t="shared" si="2631"/>
        <v>-22.267884216218476</v>
      </c>
      <c r="FV1257" s="848">
        <f t="shared" si="2631"/>
        <v>86.76942588772377</v>
      </c>
      <c r="FW1257" s="848">
        <f t="shared" si="2631"/>
        <v>-133.53924042924029</v>
      </c>
      <c r="FX1257" s="848">
        <f t="shared" si="2631"/>
        <v>-26.546114629070559</v>
      </c>
      <c r="FY1257" s="848">
        <f t="shared" si="2631"/>
        <v>50.081010358034149</v>
      </c>
      <c r="FZ1257" s="848">
        <f t="shared" si="2631"/>
        <v>22.902274414348767</v>
      </c>
      <c r="GA1257" s="848">
        <f t="shared" si="2631"/>
        <v>50.560585336712379</v>
      </c>
      <c r="GB1257" s="848">
        <f t="shared" si="2631"/>
        <v>190.34693553336729</v>
      </c>
      <c r="GC1257" s="848">
        <f t="shared" si="2631"/>
        <v>37.421698938500711</v>
      </c>
      <c r="GD1257" s="848">
        <f t="shared" ref="GD1257:HL1257" si="2632">+GD1232+GD1238-GD1241+GD1253+GD1254</f>
        <v>-38.267479670441048</v>
      </c>
      <c r="GE1257" s="848">
        <f t="shared" si="2632"/>
        <v>-142.6121423543168</v>
      </c>
      <c r="GF1257" s="848">
        <f t="shared" si="2632"/>
        <v>-252.98651917730228</v>
      </c>
      <c r="GG1257" s="848">
        <f t="shared" si="2632"/>
        <v>-42.679860179302281</v>
      </c>
      <c r="GH1257" s="848">
        <f t="shared" si="2632"/>
        <v>60.729568370542836</v>
      </c>
      <c r="GI1257" s="848">
        <f t="shared" si="2632"/>
        <v>-97.802393097344378</v>
      </c>
      <c r="GJ1257" s="848">
        <f t="shared" si="2632"/>
        <v>-20.636294211180967</v>
      </c>
      <c r="GK1257" s="848">
        <f t="shared" si="2632"/>
        <v>69.175310275726517</v>
      </c>
      <c r="GL1257" s="848">
        <f t="shared" si="2632"/>
        <v>5.3283614844658373</v>
      </c>
      <c r="GM1257" s="848">
        <f t="shared" si="2632"/>
        <v>-9.0947151357874532</v>
      </c>
      <c r="GN1257" s="848">
        <f t="shared" si="2632"/>
        <v>98.33996929210339</v>
      </c>
      <c r="GO1257" s="848">
        <f t="shared" si="2632"/>
        <v>-106.80354634529083</v>
      </c>
      <c r="GP1257" s="848">
        <f t="shared" si="2632"/>
        <v>-18.625267632301004</v>
      </c>
      <c r="GQ1257" s="848">
        <f t="shared" si="2632"/>
        <v>119.21772425653842</v>
      </c>
      <c r="GR1257" s="848">
        <f t="shared" si="2632"/>
        <v>-189.58716336308038</v>
      </c>
      <c r="GS1257" s="848">
        <f t="shared" si="2632"/>
        <v>-219.49931151025095</v>
      </c>
      <c r="GT1257" s="848">
        <f t="shared" si="2632"/>
        <v>349.79471159983052</v>
      </c>
      <c r="GU1257" s="848">
        <f t="shared" si="2632"/>
        <v>84.970204870273761</v>
      </c>
      <c r="GV1257" s="848">
        <f t="shared" si="2632"/>
        <v>9.7779441391144815</v>
      </c>
      <c r="GW1257" s="848">
        <f t="shared" si="2632"/>
        <v>2.4380693579754791</v>
      </c>
      <c r="GX1257" s="848">
        <f t="shared" si="2632"/>
        <v>37.742663109152069</v>
      </c>
      <c r="GY1257" s="848">
        <f t="shared" si="2632"/>
        <v>-95.913103469478472</v>
      </c>
      <c r="GZ1257" s="848">
        <f t="shared" si="2632"/>
        <v>20.758697203286999</v>
      </c>
      <c r="HA1257" s="848">
        <f t="shared" si="2632"/>
        <v>129.44763961257331</v>
      </c>
      <c r="HB1257" s="848">
        <f t="shared" si="2632"/>
        <v>-143.87471838260262</v>
      </c>
      <c r="HC1257" s="848">
        <f t="shared" si="2632"/>
        <v>-46.009048045777732</v>
      </c>
      <c r="HD1257" s="848">
        <f t="shared" si="2632"/>
        <v>43.87111533415856</v>
      </c>
      <c r="HE1257" s="848">
        <f t="shared" si="2632"/>
        <v>-63.332873801014529</v>
      </c>
      <c r="HF1257" s="848">
        <f t="shared" si="2632"/>
        <v>86.071553737655222</v>
      </c>
      <c r="HG1257" s="848">
        <f t="shared" si="2632"/>
        <v>35.190558560332761</v>
      </c>
      <c r="HH1257" s="848">
        <f t="shared" si="2632"/>
        <v>-22.348782951196313</v>
      </c>
      <c r="HI1257" s="848">
        <f t="shared" si="2632"/>
        <v>19.306157855171953</v>
      </c>
      <c r="HJ1257" s="848">
        <f t="shared" si="2632"/>
        <v>2.3505645209525312</v>
      </c>
      <c r="HK1257" s="848">
        <f t="shared" si="2632"/>
        <v>-86.246616027851246</v>
      </c>
      <c r="HL1257" s="848">
        <f t="shared" si="2632"/>
        <v>67.353873847152272</v>
      </c>
      <c r="HM1257" s="848">
        <f t="shared" ref="HM1257:HR1257" si="2633">+HM1232+HM1238-HM1241+HM1253+HM1254</f>
        <v>48.461194741659625</v>
      </c>
      <c r="HN1257" s="848">
        <f t="shared" si="2633"/>
        <v>-18.991069632448671</v>
      </c>
      <c r="HO1257" s="848">
        <f t="shared" si="2633"/>
        <v>-22.386606900780052</v>
      </c>
      <c r="HP1257" s="848">
        <f t="shared" si="2633"/>
        <v>-26.498569350154177</v>
      </c>
      <c r="HQ1257" s="848">
        <f t="shared" si="2633"/>
        <v>-35.747347071696225</v>
      </c>
      <c r="HR1257" s="848">
        <f t="shared" si="2633"/>
        <v>49.857519674939809</v>
      </c>
      <c r="HS1257" s="848"/>
      <c r="HT1257" s="848"/>
      <c r="HU1257" s="848"/>
      <c r="HV1257" s="848"/>
      <c r="HW1257" s="848"/>
      <c r="HX1257" s="848"/>
    </row>
    <row r="1258" spans="4:232" ht="16.2">
      <c r="D1258" s="670"/>
    </row>
    <row r="1259" spans="4:232" ht="16.2">
      <c r="D1259" s="670"/>
    </row>
    <row r="1260" spans="4:232" ht="16.5">
      <c r="D1260" s="667"/>
    </row>
    <row r="1261" spans="4:232" ht="16.2">
      <c r="D1261" s="671"/>
      <c r="AH1261" s="323">
        <f t="shared" ref="AH1261:AM1261" si="2634">AH717</f>
        <v>2.7445247210000003</v>
      </c>
      <c r="AI1261" s="323">
        <f t="shared" si="2634"/>
        <v>0.74884155799999996</v>
      </c>
      <c r="AJ1261" s="323">
        <f t="shared" si="2634"/>
        <v>0.67060013699999999</v>
      </c>
      <c r="AK1261" s="323">
        <f t="shared" si="2634"/>
        <v>1.9345288390000002</v>
      </c>
      <c r="AL1261" s="323">
        <f t="shared" si="2634"/>
        <v>0.62467626199999993</v>
      </c>
      <c r="AM1261" s="323">
        <f t="shared" si="2634"/>
        <v>1.0847</v>
      </c>
    </row>
    <row r="1262" spans="4:232" ht="16.2">
      <c r="D1262" s="670"/>
    </row>
    <row r="1263" spans="4:232">
      <c r="D1263" s="354" t="s">
        <v>623</v>
      </c>
      <c r="AH1263" s="279">
        <f>AG1263*(1+AH712)+AH1261</f>
        <v>2.7445247210000003</v>
      </c>
      <c r="AI1263" s="279">
        <f>(AH1263-AH1261)*(1+AI712)+AI1261</f>
        <v>0.74884155799999996</v>
      </c>
      <c r="AJ1263" s="279">
        <f>(AI1263-AI1261)*(1+AJ712)+AJ1261</f>
        <v>0.67060013699999999</v>
      </c>
      <c r="AK1263" s="279">
        <f>(AJ1263-AJ1261)*(1+AK712)+AK1261</f>
        <v>1.9345288390000002</v>
      </c>
      <c r="AL1263" s="279">
        <f>(AK1263-AK1261)*(1+AL712)+AL1261</f>
        <v>0.62467626199999993</v>
      </c>
      <c r="AM1263" s="279">
        <f>(AL1263-AL1261)*(1+AM712)+AM1261</f>
        <v>1.0847</v>
      </c>
    </row>
    <row r="1264" spans="4:232">
      <c r="D1264" s="355"/>
    </row>
    <row r="1265" spans="4:4">
      <c r="D1265" s="497" t="s">
        <v>461</v>
      </c>
    </row>
    <row r="1266" spans="4:4">
      <c r="D1266" s="500" t="s">
        <v>462</v>
      </c>
    </row>
    <row r="1267" spans="4:4">
      <c r="D1267" s="1252" t="s">
        <v>463</v>
      </c>
    </row>
    <row r="1268" spans="4:4">
      <c r="D1268" s="1252" t="s">
        <v>467</v>
      </c>
    </row>
    <row r="1269" spans="4:4">
      <c r="D1269" s="1252" t="s">
        <v>468</v>
      </c>
    </row>
    <row r="1270" spans="4:4">
      <c r="D1270" s="1252" t="s">
        <v>475</v>
      </c>
    </row>
    <row r="1271" spans="4:4">
      <c r="D1271" s="1252" t="s">
        <v>487</v>
      </c>
    </row>
    <row r="1272" spans="4:4">
      <c r="D1272" s="1252" t="s">
        <v>494</v>
      </c>
    </row>
    <row r="1273" spans="4:4">
      <c r="D1273" s="500" t="s">
        <v>496</v>
      </c>
    </row>
    <row r="1274" spans="4:4">
      <c r="D1274" s="500" t="s">
        <v>504</v>
      </c>
    </row>
    <row r="1275" spans="4:4">
      <c r="D1275" s="500" t="s">
        <v>3021</v>
      </c>
    </row>
    <row r="1276" spans="4:4">
      <c r="D1276" s="502" t="s">
        <v>506</v>
      </c>
    </row>
    <row r="1277" spans="4:4">
      <c r="D1277" s="502" t="s">
        <v>507</v>
      </c>
    </row>
    <row r="1278" spans="4:4">
      <c r="D1278" s="1251" t="s">
        <v>3022</v>
      </c>
    </row>
    <row r="1279" spans="4:4">
      <c r="D1279" s="502" t="s">
        <v>506</v>
      </c>
    </row>
    <row r="1280" spans="4:4">
      <c r="D1280" s="502" t="s">
        <v>507</v>
      </c>
    </row>
    <row r="1281" spans="4:4">
      <c r="D1281" s="1251" t="s">
        <v>3023</v>
      </c>
    </row>
    <row r="1282" spans="4:4">
      <c r="D1282" s="502" t="s">
        <v>3102</v>
      </c>
    </row>
    <row r="1283" spans="4:4">
      <c r="D1283" s="502" t="s">
        <v>507</v>
      </c>
    </row>
    <row r="1284" spans="4:4">
      <c r="D1284" s="1251" t="s">
        <v>3116</v>
      </c>
    </row>
    <row r="1285" spans="4:4">
      <c r="D1285" s="500" t="s">
        <v>510</v>
      </c>
    </row>
    <row r="1286" spans="4:4">
      <c r="D1286" s="502" t="s">
        <v>3024</v>
      </c>
    </row>
    <row r="1287" spans="4:4">
      <c r="D1287" s="502" t="s">
        <v>3025</v>
      </c>
    </row>
    <row r="1288" spans="4:4">
      <c r="D1288" s="502" t="s">
        <v>3026</v>
      </c>
    </row>
    <row r="1289" spans="4:4">
      <c r="D1289" s="502" t="s">
        <v>3027</v>
      </c>
    </row>
    <row r="1290" spans="4:4">
      <c r="D1290" s="502" t="s">
        <v>524</v>
      </c>
    </row>
    <row r="1291" spans="4:4">
      <c r="D1291" s="497" t="s">
        <v>557</v>
      </c>
    </row>
    <row r="1292" spans="4:4">
      <c r="D1292" s="506" t="s">
        <v>527</v>
      </c>
    </row>
    <row r="1293" spans="4:4">
      <c r="D1293" s="506" t="s">
        <v>528</v>
      </c>
    </row>
    <row r="1294" spans="4:4">
      <c r="D1294" s="506" t="s">
        <v>529</v>
      </c>
    </row>
    <row r="1295" spans="4:4">
      <c r="D1295" s="506" t="s">
        <v>512</v>
      </c>
    </row>
    <row r="1296" spans="4:4">
      <c r="D1296" s="506" t="s">
        <v>532</v>
      </c>
    </row>
    <row r="1297" spans="4:4">
      <c r="D1297" s="506" t="s">
        <v>504</v>
      </c>
    </row>
    <row r="1298" spans="4:4">
      <c r="D1298" s="506" t="s">
        <v>533</v>
      </c>
    </row>
    <row r="1299" spans="4:4">
      <c r="D1299" s="506" t="s">
        <v>534</v>
      </c>
    </row>
    <row r="1300" spans="4:4">
      <c r="D1300" s="497" t="s">
        <v>558</v>
      </c>
    </row>
    <row r="1301" spans="4:4">
      <c r="D1301" s="504" t="s">
        <v>559</v>
      </c>
    </row>
    <row r="1302" spans="4:4">
      <c r="D1302" s="504" t="s">
        <v>560</v>
      </c>
    </row>
    <row r="1303" spans="4:4">
      <c r="D1303" s="497" t="s">
        <v>3032</v>
      </c>
    </row>
    <row r="1304" spans="4:4">
      <c r="D1304" s="500" t="s">
        <v>561</v>
      </c>
    </row>
    <row r="1305" spans="4:4" ht="15.3" thickBot="1">
      <c r="D1305" s="500" t="s">
        <v>562</v>
      </c>
    </row>
    <row r="1306" spans="4:4">
      <c r="D1306" s="1449" t="s">
        <v>3033</v>
      </c>
    </row>
    <row r="1307" spans="4:4">
      <c r="D1307" s="1451" t="s">
        <v>559</v>
      </c>
    </row>
    <row r="1308" spans="4:4">
      <c r="D1308" s="1451" t="s">
        <v>560</v>
      </c>
    </row>
    <row r="1309" spans="4:4">
      <c r="D1309" s="503" t="s">
        <v>3033</v>
      </c>
    </row>
    <row r="1310" spans="4:4">
      <c r="D1310" s="1485" t="s">
        <v>3153</v>
      </c>
    </row>
    <row r="1311" spans="4:4">
      <c r="D1311" s="1457" t="s">
        <v>3174</v>
      </c>
    </row>
    <row r="1312" spans="4:4">
      <c r="D1312" s="1457" t="s">
        <v>3175</v>
      </c>
    </row>
    <row r="1313" spans="4:46">
      <c r="D1313" s="1457" t="s">
        <v>3154</v>
      </c>
    </row>
    <row r="1314" spans="4:46">
      <c r="D1314" s="1471" t="s">
        <v>3141</v>
      </c>
    </row>
    <row r="1315" spans="4:46">
      <c r="D1315" s="1472" t="s">
        <v>559</v>
      </c>
    </row>
    <row r="1316" spans="4:46">
      <c r="D1316" s="1472" t="s">
        <v>560</v>
      </c>
    </row>
    <row r="1317" spans="4:46">
      <c r="D1317" s="1474" t="s">
        <v>3141</v>
      </c>
    </row>
    <row r="1318" spans="4:46">
      <c r="D1318" s="1461" t="s">
        <v>3153</v>
      </c>
    </row>
    <row r="1319" spans="4:46">
      <c r="D1319" s="1461" t="s">
        <v>3174</v>
      </c>
    </row>
    <row r="1320" spans="4:46">
      <c r="D1320" s="1461" t="s">
        <v>3175</v>
      </c>
    </row>
    <row r="1321" spans="4:46" ht="15.3" thickBot="1">
      <c r="D1321" s="1462" t="s">
        <v>3154</v>
      </c>
    </row>
    <row r="1322" spans="4:46" ht="15.3" thickBot="1">
      <c r="D1322" s="1512" t="s">
        <v>3182</v>
      </c>
    </row>
    <row r="1323" spans="4:46">
      <c r="D1323" s="497" t="s">
        <v>563</v>
      </c>
    </row>
    <row r="1324" spans="4:46">
      <c r="D1324" s="506" t="s">
        <v>564</v>
      </c>
    </row>
    <row r="1325" spans="4:46">
      <c r="D1325" s="506" t="s">
        <v>3128</v>
      </c>
    </row>
    <row r="1326" spans="4:46">
      <c r="D1326" s="506" t="s">
        <v>569</v>
      </c>
    </row>
    <row r="1327" spans="4:46">
      <c r="D1327" s="497" t="s">
        <v>570</v>
      </c>
    </row>
    <row r="1328" spans="4:46">
      <c r="D1328" s="506" t="s">
        <v>564</v>
      </c>
      <c r="AO1328" s="468"/>
      <c r="AP1328" s="468"/>
      <c r="AQ1328" s="468"/>
      <c r="AR1328" s="468"/>
      <c r="AS1328" s="468"/>
      <c r="AT1328" s="468"/>
    </row>
    <row r="1329" spans="4:46" ht="15.3">
      <c r="D1329" s="506" t="s">
        <v>569</v>
      </c>
      <c r="AO1329"/>
      <c r="AP1329"/>
      <c r="AQ1329"/>
      <c r="AR1329"/>
      <c r="AS1329"/>
      <c r="AT1329"/>
    </row>
    <row r="1330" spans="4:46" ht="15.3" thickBot="1">
      <c r="D1330" s="507" t="s">
        <v>579</v>
      </c>
    </row>
    <row r="1331" spans="4:46" ht="15.3" thickTop="1">
      <c r="D1331" s="1410"/>
    </row>
    <row r="1332" spans="4:46">
      <c r="D1332" s="1410"/>
    </row>
    <row r="1333" spans="4:46">
      <c r="D1333" s="354" t="s">
        <v>3103</v>
      </c>
    </row>
    <row r="1334" spans="4:46">
      <c r="D1334" s="355"/>
    </row>
    <row r="1335" spans="4:46">
      <c r="D1335" s="497" t="s">
        <v>461</v>
      </c>
    </row>
    <row r="1336" spans="4:46">
      <c r="D1336" s="500" t="s">
        <v>462</v>
      </c>
    </row>
    <row r="1337" spans="4:46">
      <c r="D1337" s="1252" t="s">
        <v>463</v>
      </c>
    </row>
    <row r="1338" spans="4:46">
      <c r="D1338" s="1252" t="s">
        <v>467</v>
      </c>
    </row>
    <row r="1339" spans="4:46">
      <c r="D1339" s="1252" t="s">
        <v>468</v>
      </c>
    </row>
    <row r="1340" spans="4:46">
      <c r="D1340" s="1252" t="s">
        <v>475</v>
      </c>
    </row>
    <row r="1341" spans="4:46">
      <c r="D1341" s="1252" t="s">
        <v>487</v>
      </c>
    </row>
    <row r="1342" spans="4:46">
      <c r="D1342" s="1252" t="s">
        <v>494</v>
      </c>
    </row>
    <row r="1343" spans="4:46">
      <c r="D1343" s="500" t="s">
        <v>496</v>
      </c>
    </row>
    <row r="1344" spans="4:46">
      <c r="D1344" s="500" t="s">
        <v>504</v>
      </c>
    </row>
    <row r="1345" spans="4:4">
      <c r="D1345" s="500" t="s">
        <v>3021</v>
      </c>
    </row>
    <row r="1346" spans="4:4">
      <c r="D1346" s="502" t="s">
        <v>506</v>
      </c>
    </row>
    <row r="1347" spans="4:4">
      <c r="D1347" s="502" t="s">
        <v>507</v>
      </c>
    </row>
    <row r="1348" spans="4:4">
      <c r="D1348" s="1251" t="s">
        <v>3022</v>
      </c>
    </row>
    <row r="1349" spans="4:4">
      <c r="D1349" s="502" t="s">
        <v>506</v>
      </c>
    </row>
    <row r="1350" spans="4:4">
      <c r="D1350" s="502" t="s">
        <v>507</v>
      </c>
    </row>
    <row r="1351" spans="4:4">
      <c r="D1351" s="1251" t="s">
        <v>3023</v>
      </c>
    </row>
    <row r="1352" spans="4:4">
      <c r="D1352" s="502" t="s">
        <v>3102</v>
      </c>
    </row>
    <row r="1353" spans="4:4">
      <c r="D1353" s="502" t="s">
        <v>507</v>
      </c>
    </row>
    <row r="1354" spans="4:4">
      <c r="D1354" s="500" t="s">
        <v>510</v>
      </c>
    </row>
    <row r="1355" spans="4:4">
      <c r="D1355" s="502" t="s">
        <v>3024</v>
      </c>
    </row>
    <row r="1356" spans="4:4">
      <c r="D1356" s="502" t="s">
        <v>3025</v>
      </c>
    </row>
    <row r="1357" spans="4:4">
      <c r="D1357" s="502" t="s">
        <v>3026</v>
      </c>
    </row>
    <row r="1358" spans="4:4">
      <c r="D1358" s="502" t="s">
        <v>3027</v>
      </c>
    </row>
    <row r="1359" spans="4:4">
      <c r="D1359" s="502" t="s">
        <v>524</v>
      </c>
    </row>
    <row r="1360" spans="4:4">
      <c r="D1360" s="497" t="s">
        <v>557</v>
      </c>
    </row>
    <row r="1361" spans="4:4">
      <c r="D1361" s="506" t="s">
        <v>527</v>
      </c>
    </row>
    <row r="1362" spans="4:4">
      <c r="D1362" s="506" t="s">
        <v>528</v>
      </c>
    </row>
    <row r="1363" spans="4:4">
      <c r="D1363" s="506" t="s">
        <v>529</v>
      </c>
    </row>
    <row r="1364" spans="4:4">
      <c r="D1364" s="506" t="s">
        <v>512</v>
      </c>
    </row>
    <row r="1365" spans="4:4">
      <c r="D1365" s="506" t="s">
        <v>532</v>
      </c>
    </row>
    <row r="1366" spans="4:4">
      <c r="D1366" s="506" t="s">
        <v>504</v>
      </c>
    </row>
    <row r="1367" spans="4:4">
      <c r="D1367" s="506" t="s">
        <v>533</v>
      </c>
    </row>
    <row r="1368" spans="4:4">
      <c r="D1368" s="506" t="s">
        <v>534</v>
      </c>
    </row>
    <row r="1369" spans="4:4">
      <c r="D1369" s="497" t="s">
        <v>558</v>
      </c>
    </row>
    <row r="1370" spans="4:4">
      <c r="D1370" s="504" t="s">
        <v>559</v>
      </c>
    </row>
    <row r="1371" spans="4:4">
      <c r="D1371" s="504" t="s">
        <v>560</v>
      </c>
    </row>
    <row r="1372" spans="4:4">
      <c r="D1372" s="497" t="s">
        <v>3032</v>
      </c>
    </row>
    <row r="1373" spans="4:4">
      <c r="D1373" s="500" t="s">
        <v>561</v>
      </c>
    </row>
    <row r="1374" spans="4:4" ht="15.3" thickBot="1">
      <c r="D1374" s="500" t="s">
        <v>562</v>
      </c>
    </row>
    <row r="1375" spans="4:4">
      <c r="D1375" s="1449" t="s">
        <v>3033</v>
      </c>
    </row>
    <row r="1376" spans="4:4">
      <c r="D1376" s="1451" t="s">
        <v>559</v>
      </c>
    </row>
    <row r="1377" spans="4:4">
      <c r="D1377" s="1451" t="s">
        <v>560</v>
      </c>
    </row>
    <row r="1378" spans="4:4">
      <c r="D1378" s="1475" t="s">
        <v>3033</v>
      </c>
    </row>
    <row r="1379" spans="4:4">
      <c r="D1379" s="1457" t="s">
        <v>3153</v>
      </c>
    </row>
    <row r="1380" spans="4:4">
      <c r="D1380" s="1457" t="s">
        <v>3174</v>
      </c>
    </row>
    <row r="1381" spans="4:4">
      <c r="D1381" s="1457" t="s">
        <v>3175</v>
      </c>
    </row>
    <row r="1382" spans="4:4">
      <c r="D1382" s="1457" t="s">
        <v>3154</v>
      </c>
    </row>
    <row r="1383" spans="4:4">
      <c r="D1383" s="1471" t="s">
        <v>3141</v>
      </c>
    </row>
    <row r="1384" spans="4:4">
      <c r="D1384" s="1490" t="s">
        <v>559</v>
      </c>
    </row>
    <row r="1385" spans="4:4">
      <c r="D1385" s="1490" t="s">
        <v>560</v>
      </c>
    </row>
    <row r="1386" spans="4:4">
      <c r="D1386" s="1459" t="s">
        <v>3141</v>
      </c>
    </row>
    <row r="1387" spans="4:4">
      <c r="D1387" s="1461" t="s">
        <v>3153</v>
      </c>
    </row>
    <row r="1388" spans="4:4">
      <c r="D1388" s="1461" t="s">
        <v>3174</v>
      </c>
    </row>
    <row r="1389" spans="4:4">
      <c r="D1389" s="1461" t="s">
        <v>3175</v>
      </c>
    </row>
    <row r="1390" spans="4:4" ht="15.3" thickBot="1">
      <c r="D1390" s="1462" t="s">
        <v>3154</v>
      </c>
    </row>
    <row r="1391" spans="4:4" ht="15.3" thickBot="1">
      <c r="D1391" s="1512" t="s">
        <v>3182</v>
      </c>
    </row>
    <row r="1392" spans="4:4">
      <c r="D1392" s="497" t="s">
        <v>563</v>
      </c>
    </row>
    <row r="1393" spans="4:4">
      <c r="D1393" s="506" t="s">
        <v>564</v>
      </c>
    </row>
    <row r="1394" spans="4:4">
      <c r="D1394" s="1489" t="s">
        <v>3176</v>
      </c>
    </row>
    <row r="1395" spans="4:4">
      <c r="D1395" s="506" t="s">
        <v>569</v>
      </c>
    </row>
    <row r="1396" spans="4:4">
      <c r="D1396" s="497" t="s">
        <v>570</v>
      </c>
    </row>
    <row r="1397" spans="4:4">
      <c r="D1397" s="506" t="s">
        <v>564</v>
      </c>
    </row>
    <row r="1398" spans="4:4">
      <c r="D1398" s="506" t="s">
        <v>569</v>
      </c>
    </row>
    <row r="1399" spans="4:4" ht="15.3" thickBot="1">
      <c r="D1399" s="507" t="s">
        <v>579</v>
      </c>
    </row>
    <row r="1400" spans="4:4" ht="15.3" thickTop="1">
      <c r="D1400" s="1410"/>
    </row>
  </sheetData>
  <mergeCells count="4">
    <mergeCell ref="IA1:IA3"/>
    <mergeCell ref="KV1:KV3"/>
    <mergeCell ref="IA711:IA712"/>
    <mergeCell ref="IA547:IA548"/>
  </mergeCells>
  <phoneticPr fontId="76" type="noConversion"/>
  <pageMargins left="0.2" right="0.2" top="0.25" bottom="0.25" header="0.3" footer="0.3"/>
  <pageSetup fitToHeight="0" orientation="portrait" horizontalDpi="4294967295" verticalDpi="4294967295" r:id="rId1"/>
  <drawing r:id="rId2"/>
  <legacyDrawing r:id="rId3"/>
  <controls>
    <mc:AlternateContent xmlns:mc="http://schemas.openxmlformats.org/markup-compatibility/2006">
      <mc:Choice Requires="x14">
        <control shapeId="3154" r:id="rId4" name="CommandButton1">
          <controlPr autoFill="0" autoLine="0" r:id="rId5">
            <anchor moveWithCells="1">
              <from>
                <xdr:col>130</xdr:col>
                <xdr:colOff>0</xdr:colOff>
                <xdr:row>0</xdr:row>
                <xdr:rowOff>87630</xdr:rowOff>
              </from>
              <to>
                <xdr:col>133</xdr:col>
                <xdr:colOff>381000</xdr:colOff>
                <xdr:row>2</xdr:row>
                <xdr:rowOff>144780</xdr:rowOff>
              </to>
            </anchor>
          </controlPr>
        </control>
      </mc:Choice>
      <mc:Fallback>
        <control shapeId="3154"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B4EB8-E968-491B-B22A-E501767C001E}">
  <sheetPr codeName="Sheet3">
    <pageSetUpPr fitToPage="1"/>
  </sheetPr>
  <dimension ref="A1:BB75"/>
  <sheetViews>
    <sheetView topLeftCell="K1" zoomScale="90" zoomScaleNormal="90" workbookViewId="0">
      <pane xSplit="4005" ySplit="495" topLeftCell="AA4" activePane="bottomRight"/>
      <selection activeCell="P8" sqref="P8"/>
      <selection pane="topRight" activeCell="V3" sqref="V3:W3"/>
      <selection pane="bottomLeft" activeCell="L6" sqref="L6:L23"/>
      <selection pane="bottomRight" activeCell="AJ8" sqref="AJ8"/>
    </sheetView>
  </sheetViews>
  <sheetFormatPr defaultColWidth="8.734375" defaultRowHeight="13.8"/>
  <cols>
    <col min="1" max="1" width="20.734375" style="2734" customWidth="1"/>
    <col min="2" max="2" width="19.5234375" style="2734" customWidth="1"/>
    <col min="3" max="3" width="41.83984375" style="2734" customWidth="1"/>
    <col min="4" max="4" width="20.734375" style="2734" customWidth="1"/>
    <col min="5" max="5" width="18.578125" style="2734" customWidth="1"/>
    <col min="6" max="7" width="18.578125" style="2734" hidden="1" customWidth="1"/>
    <col min="8" max="8" width="13.578125" style="2734" hidden="1" customWidth="1"/>
    <col min="9" max="10" width="14.7890625" style="2734" hidden="1" customWidth="1"/>
    <col min="11" max="11" width="9" style="2734" customWidth="1"/>
    <col min="12" max="12" width="26.26171875" style="2734" bestFit="1" customWidth="1"/>
    <col min="13" max="13" width="14.7890625" style="2734" bestFit="1" customWidth="1"/>
    <col min="14" max="15" width="14.15625" style="2734" bestFit="1" customWidth="1"/>
    <col min="16" max="18" width="19.41796875" style="2734" bestFit="1" customWidth="1"/>
    <col min="19" max="21" width="20.83984375" style="2734" bestFit="1" customWidth="1"/>
    <col min="22" max="24" width="20.15625" style="2734" bestFit="1" customWidth="1"/>
    <col min="25" max="26" width="20.05078125" style="2734" bestFit="1" customWidth="1"/>
    <col min="27" max="27" width="20.68359375" style="2734" bestFit="1" customWidth="1"/>
    <col min="28" max="51" width="20.05078125" style="2734" bestFit="1" customWidth="1"/>
    <col min="52" max="16384" width="8.734375" style="2734"/>
  </cols>
  <sheetData>
    <row r="1" spans="2:54">
      <c r="D1" s="2734" t="s">
        <v>3912</v>
      </c>
      <c r="O1" s="2734" t="s">
        <v>3913</v>
      </c>
    </row>
    <row r="2" spans="2:54" ht="15">
      <c r="B2" s="3163" t="s">
        <v>3914</v>
      </c>
      <c r="C2" s="3163"/>
      <c r="D2" s="3163"/>
      <c r="E2" s="3163"/>
      <c r="F2" s="3163"/>
      <c r="L2" s="3164" t="s">
        <v>3915</v>
      </c>
      <c r="M2" s="3164"/>
      <c r="N2" s="3164"/>
      <c r="O2" s="3164"/>
      <c r="P2" s="3164"/>
      <c r="Q2" s="3164"/>
      <c r="R2" s="3164"/>
      <c r="S2" s="3164"/>
      <c r="T2" s="3164"/>
      <c r="U2" s="3164"/>
    </row>
    <row r="3" spans="2:54" ht="15">
      <c r="B3" s="2735" t="s">
        <v>3916</v>
      </c>
      <c r="C3" s="2735" t="s">
        <v>3917</v>
      </c>
      <c r="D3" s="2735" t="s">
        <v>3918</v>
      </c>
      <c r="E3" s="2735" t="s">
        <v>3919</v>
      </c>
      <c r="F3" s="2735" t="s">
        <v>3920</v>
      </c>
      <c r="G3" s="2735" t="s">
        <v>3921</v>
      </c>
      <c r="L3" s="2736"/>
      <c r="M3" s="3165" t="s">
        <v>3922</v>
      </c>
      <c r="N3" s="3165"/>
      <c r="O3" s="2737"/>
      <c r="P3" s="3165" t="s">
        <v>3923</v>
      </c>
      <c r="Q3" s="3165"/>
      <c r="R3" s="2737"/>
      <c r="S3" s="3165" t="s">
        <v>3923</v>
      </c>
      <c r="T3" s="3165"/>
      <c r="U3" s="2737"/>
      <c r="V3" s="3162" t="s">
        <v>3923</v>
      </c>
      <c r="W3" s="3162"/>
      <c r="X3" s="2738"/>
      <c r="Y3" s="3165" t="s">
        <v>3923</v>
      </c>
      <c r="Z3" s="3165"/>
      <c r="AA3" s="2737"/>
      <c r="AB3" s="3165" t="s">
        <v>3923</v>
      </c>
      <c r="AC3" s="3165"/>
      <c r="AD3" s="2737"/>
      <c r="AE3" s="3165" t="s">
        <v>3923</v>
      </c>
      <c r="AF3" s="3165"/>
      <c r="AG3" s="2737"/>
      <c r="AH3" s="3166" t="s">
        <v>3923</v>
      </c>
      <c r="AI3" s="3166"/>
      <c r="AJ3" s="3166"/>
      <c r="AK3" s="3166" t="s">
        <v>3923</v>
      </c>
      <c r="AL3" s="3166"/>
      <c r="AM3" s="3166"/>
      <c r="AN3" s="3166" t="s">
        <v>3923</v>
      </c>
      <c r="AO3" s="3166"/>
      <c r="AP3" s="3166"/>
      <c r="AQ3" s="3166" t="s">
        <v>3923</v>
      </c>
      <c r="AR3" s="3166"/>
      <c r="AS3" s="3166"/>
      <c r="AT3" s="3166" t="s">
        <v>3923</v>
      </c>
      <c r="AU3" s="3166"/>
      <c r="AV3" s="3166"/>
      <c r="AW3" s="3166" t="s">
        <v>3923</v>
      </c>
      <c r="AX3" s="3166"/>
      <c r="AY3" s="3166"/>
    </row>
    <row r="4" spans="2:54" ht="15">
      <c r="B4" s="3167" t="s">
        <v>3924</v>
      </c>
      <c r="C4" s="3167"/>
      <c r="D4" s="3167"/>
      <c r="E4" s="3167"/>
      <c r="F4" s="3167"/>
      <c r="G4" s="3167"/>
      <c r="L4" s="3168" t="s">
        <v>3925</v>
      </c>
      <c r="M4" s="3170" t="s">
        <v>3926</v>
      </c>
      <c r="N4" s="3171"/>
      <c r="O4" s="2739"/>
      <c r="P4" s="3170" t="s">
        <v>3927</v>
      </c>
      <c r="Q4" s="3171"/>
      <c r="R4" s="2739"/>
      <c r="S4" s="3170" t="s">
        <v>3928</v>
      </c>
      <c r="T4" s="3171"/>
      <c r="U4" s="2739"/>
      <c r="V4" s="3170" t="s">
        <v>3929</v>
      </c>
      <c r="W4" s="3171"/>
      <c r="X4" s="2740"/>
      <c r="Y4" s="3170" t="s">
        <v>3930</v>
      </c>
      <c r="Z4" s="3171"/>
      <c r="AA4" s="2739"/>
      <c r="AB4" s="3170" t="s">
        <v>3931</v>
      </c>
      <c r="AC4" s="3171"/>
      <c r="AD4" s="2739"/>
      <c r="AE4" s="3170" t="s">
        <v>3932</v>
      </c>
      <c r="AF4" s="3171"/>
      <c r="AG4" s="2739"/>
      <c r="AH4" s="3172" t="s">
        <v>3933</v>
      </c>
      <c r="AI4" s="3173"/>
      <c r="AJ4" s="3173"/>
      <c r="AK4" s="3172" t="s">
        <v>3934</v>
      </c>
      <c r="AL4" s="3173"/>
      <c r="AM4" s="3173"/>
      <c r="AN4" s="3172" t="s">
        <v>3935</v>
      </c>
      <c r="AO4" s="3173"/>
      <c r="AP4" s="3173"/>
      <c r="AQ4" s="3172" t="s">
        <v>3936</v>
      </c>
      <c r="AR4" s="3173"/>
      <c r="AS4" s="3173"/>
      <c r="AT4" s="3172" t="s">
        <v>3937</v>
      </c>
      <c r="AU4" s="3173"/>
      <c r="AV4" s="3173"/>
      <c r="AW4" s="3172" t="s">
        <v>3938</v>
      </c>
      <c r="AX4" s="3173"/>
      <c r="AY4" s="3173"/>
    </row>
    <row r="5" spans="2:54" ht="15">
      <c r="B5" s="2741" t="s">
        <v>3939</v>
      </c>
      <c r="C5" s="2742">
        <v>21437153052.5425</v>
      </c>
      <c r="D5" s="2742">
        <v>29406075469.460899</v>
      </c>
      <c r="E5" s="2742">
        <v>32950062578.996399</v>
      </c>
      <c r="F5" s="2742">
        <v>35771092971.833733</v>
      </c>
      <c r="G5" s="2742">
        <v>37553822234.49556</v>
      </c>
      <c r="I5" s="2743"/>
      <c r="L5" s="3169"/>
      <c r="M5" s="2744" t="s">
        <v>3271</v>
      </c>
      <c r="N5" s="2744" t="s">
        <v>3272</v>
      </c>
      <c r="O5" s="2745" t="s">
        <v>1185</v>
      </c>
      <c r="P5" s="2744" t="s">
        <v>3271</v>
      </c>
      <c r="Q5" s="2744" t="s">
        <v>3272</v>
      </c>
      <c r="R5" s="2745" t="s">
        <v>1185</v>
      </c>
      <c r="S5" s="2744" t="s">
        <v>3271</v>
      </c>
      <c r="T5" s="2744" t="s">
        <v>3272</v>
      </c>
      <c r="U5" s="2745" t="s">
        <v>1185</v>
      </c>
      <c r="Y5" s="2744"/>
      <c r="Z5" s="2744"/>
      <c r="AA5" s="2746"/>
      <c r="AB5" s="2744"/>
      <c r="AC5" s="2744"/>
      <c r="AD5" s="2746"/>
      <c r="AE5" s="2744"/>
      <c r="AF5" s="2744"/>
      <c r="AG5" s="2746"/>
      <c r="AH5" s="2744"/>
      <c r="AI5" s="2744"/>
      <c r="AJ5" s="2746"/>
      <c r="AK5" s="2744"/>
      <c r="AL5" s="2744"/>
      <c r="AM5" s="2746"/>
      <c r="AN5" s="2744"/>
      <c r="AO5" s="2744"/>
      <c r="AP5" s="2746"/>
      <c r="AQ5" s="2744"/>
      <c r="AR5" s="2744"/>
      <c r="AS5" s="2746"/>
      <c r="AT5" s="2744"/>
      <c r="AU5" s="2744"/>
      <c r="AV5" s="2746"/>
      <c r="AW5" s="2744"/>
      <c r="AX5" s="2744"/>
      <c r="AY5" s="2746"/>
    </row>
    <row r="6" spans="2:54" s="2749" customFormat="1" ht="15">
      <c r="B6" s="2747" t="s">
        <v>3940</v>
      </c>
      <c r="C6" s="2748">
        <v>10000000000</v>
      </c>
      <c r="D6" s="2748">
        <v>6155000000</v>
      </c>
      <c r="E6" s="2742">
        <v>4655000000</v>
      </c>
      <c r="F6" s="2742">
        <v>4653671266.2154598</v>
      </c>
      <c r="G6" s="2742">
        <v>3500000000</v>
      </c>
      <c r="K6" s="2749">
        <v>1</v>
      </c>
      <c r="L6" s="2750" t="s">
        <v>3941</v>
      </c>
      <c r="M6" s="2751"/>
      <c r="N6" s="2751"/>
      <c r="O6" s="2752"/>
      <c r="P6" s="2751">
        <v>13858975876</v>
      </c>
      <c r="Q6" s="2751">
        <v>21407419399.098091</v>
      </c>
      <c r="R6" s="2752">
        <v>35266395275.098099</v>
      </c>
      <c r="S6" s="2751">
        <v>17627720511.57518</v>
      </c>
      <c r="T6" s="2751">
        <v>18341956676.42482</v>
      </c>
      <c r="U6" s="2752">
        <v>35969677188</v>
      </c>
      <c r="V6" s="2751">
        <v>18116424822.991539</v>
      </c>
      <c r="W6" s="2751">
        <v>15853252365.008461</v>
      </c>
      <c r="X6" s="2753">
        <f>SUM(V6:W6)</f>
        <v>33969677188</v>
      </c>
      <c r="Y6" s="2751">
        <v>19463513920.433281</v>
      </c>
      <c r="Z6" s="2751">
        <v>13040329124.82036</v>
      </c>
      <c r="AA6" s="2753">
        <f>Y6+Z6</f>
        <v>32503843045.253639</v>
      </c>
      <c r="AB6" s="2751">
        <v>19784897162</v>
      </c>
      <c r="AC6" s="2751">
        <v>10255383818</v>
      </c>
      <c r="AD6" s="2753">
        <f>AB6+AC6</f>
        <v>30040280980</v>
      </c>
      <c r="AE6" s="2751">
        <v>22851478295</v>
      </c>
      <c r="AF6" s="2751">
        <v>7188802685</v>
      </c>
      <c r="AG6" s="2753">
        <f>AE6+AF6</f>
        <v>30040280980</v>
      </c>
      <c r="AH6" s="2751">
        <v>25215462169</v>
      </c>
      <c r="AI6" s="2751">
        <v>3676032167</v>
      </c>
      <c r="AJ6" s="2753">
        <f>AH6+AI6</f>
        <v>28891494336</v>
      </c>
      <c r="AK6" s="2751">
        <v>9056817126</v>
      </c>
      <c r="AL6" s="2751">
        <v>525476039</v>
      </c>
      <c r="AM6" s="2753">
        <f>AK6+AL6</f>
        <v>9582293165</v>
      </c>
      <c r="AN6" s="2751"/>
      <c r="AO6" s="2751"/>
      <c r="AP6" s="2753">
        <f>AN6+AO6</f>
        <v>0</v>
      </c>
      <c r="AQ6" s="2751"/>
      <c r="AR6" s="2751"/>
      <c r="AS6" s="2753">
        <f>AQ6+AR6</f>
        <v>0</v>
      </c>
      <c r="AT6" s="2751"/>
      <c r="AU6" s="2751"/>
      <c r="AV6" s="2753">
        <f>AT6+AU6</f>
        <v>0</v>
      </c>
      <c r="AW6" s="2751"/>
      <c r="AX6" s="2751"/>
      <c r="AY6" s="2753">
        <f>AW6+AX6</f>
        <v>0</v>
      </c>
    </row>
    <row r="7" spans="2:54" ht="15">
      <c r="B7" s="2741" t="s">
        <v>3942</v>
      </c>
      <c r="C7" s="2741">
        <v>0</v>
      </c>
      <c r="D7" s="2742">
        <v>4577655000</v>
      </c>
      <c r="E7" s="2742">
        <v>4577655000</v>
      </c>
      <c r="F7" s="2742">
        <v>0</v>
      </c>
      <c r="G7" s="2742">
        <v>0</v>
      </c>
      <c r="K7" s="2749">
        <v>2</v>
      </c>
      <c r="L7" s="2750" t="s">
        <v>3943</v>
      </c>
      <c r="M7" s="2751"/>
      <c r="N7" s="2751"/>
      <c r="O7" s="2752"/>
      <c r="P7" s="2751">
        <v>0</v>
      </c>
      <c r="Q7" s="2751">
        <f>23114715629</f>
        <v>23114715629</v>
      </c>
      <c r="R7" s="2752">
        <f>23114715629</f>
        <v>23114715629</v>
      </c>
      <c r="S7" s="2751">
        <v>13712748955</v>
      </c>
      <c r="T7" s="2751">
        <v>22269095075</v>
      </c>
      <c r="U7" s="2752">
        <v>35981844030</v>
      </c>
      <c r="V7" s="2751">
        <v>15858744556.400002</v>
      </c>
      <c r="W7" s="2751">
        <v>20123099474.239998</v>
      </c>
      <c r="X7" s="2753">
        <f t="shared" ref="X7:X10" si="0">SUM(V7:W7)</f>
        <v>35981844030.639999</v>
      </c>
      <c r="Y7" s="2751">
        <v>18377746108.220001</v>
      </c>
      <c r="Z7" s="2751">
        <v>17604097922.419998</v>
      </c>
      <c r="AA7" s="2753">
        <f t="shared" ref="AA7:AA10" si="1">Y7+Z7</f>
        <v>35981844030.639999</v>
      </c>
      <c r="AB7" s="2751">
        <v>21270744429.439999</v>
      </c>
      <c r="AC7" s="2751">
        <v>14711099601.200001</v>
      </c>
      <c r="AD7" s="2753">
        <f t="shared" ref="AD7:AD10" si="2">AB7+AC7</f>
        <v>35981844030.639999</v>
      </c>
      <c r="AE7" s="2751">
        <v>24694894337.729996</v>
      </c>
      <c r="AF7" s="2751">
        <v>11286949692.91</v>
      </c>
      <c r="AG7" s="2753">
        <f>AE7+AF7</f>
        <v>35981844030.639999</v>
      </c>
      <c r="AH7" s="2751">
        <v>28603640951.639999</v>
      </c>
      <c r="AI7" s="2751">
        <v>7378203079</v>
      </c>
      <c r="AJ7" s="2753">
        <f>AH7+AI7</f>
        <v>35981844030.639999</v>
      </c>
      <c r="AK7" s="2751">
        <v>30906478038.240002</v>
      </c>
      <c r="AL7" s="2751">
        <v>3876185622.8182154</v>
      </c>
      <c r="AM7" s="2753">
        <f t="shared" ref="AM7:AM10" si="3">AK7+AL7</f>
        <v>34782663661.05822</v>
      </c>
      <c r="AN7" s="2751"/>
      <c r="AO7" s="2751"/>
      <c r="AP7" s="2753">
        <f t="shared" ref="AP7:AP10" si="4">AN7+AO7</f>
        <v>0</v>
      </c>
      <c r="AQ7" s="2751"/>
      <c r="AR7" s="2751"/>
      <c r="AS7" s="2753">
        <f t="shared" ref="AS7:AS10" si="5">AQ7+AR7</f>
        <v>0</v>
      </c>
      <c r="AT7" s="2751"/>
      <c r="AU7" s="2751"/>
      <c r="AV7" s="2753">
        <f t="shared" ref="AV7:AV10" si="6">AT7+AU7</f>
        <v>0</v>
      </c>
      <c r="AW7" s="2751"/>
      <c r="AX7" s="2751"/>
      <c r="AY7" s="2753">
        <f t="shared" ref="AY7:AY10" si="7">AW7+AX7</f>
        <v>0</v>
      </c>
    </row>
    <row r="8" spans="2:54" ht="15">
      <c r="B8" s="2741" t="s">
        <v>3944</v>
      </c>
      <c r="C8" s="2741"/>
      <c r="D8" s="2742"/>
      <c r="E8" s="2742">
        <v>22673488048.059502</v>
      </c>
      <c r="F8" s="2742">
        <v>21871255420.040333</v>
      </c>
      <c r="G8" s="2742">
        <v>21993547458.193516</v>
      </c>
      <c r="K8" s="2749">
        <v>3</v>
      </c>
      <c r="L8" s="2750" t="s">
        <v>3911</v>
      </c>
      <c r="M8" s="2751"/>
      <c r="N8" s="2751"/>
      <c r="O8" s="2752"/>
      <c r="P8" s="2751">
        <v>3237772223</v>
      </c>
      <c r="Q8" s="2751">
        <v>1639265925</v>
      </c>
      <c r="R8" s="2752">
        <v>4877038148</v>
      </c>
      <c r="S8" s="2751">
        <v>3737693760</v>
      </c>
      <c r="T8" s="2751">
        <v>1205041694</v>
      </c>
      <c r="U8" s="2752">
        <v>4942735454</v>
      </c>
      <c r="V8" s="2751">
        <v>4307928452</v>
      </c>
      <c r="W8" s="2751">
        <v>599282134</v>
      </c>
      <c r="X8" s="2753">
        <f t="shared" si="0"/>
        <v>4907210586</v>
      </c>
      <c r="Y8" s="2751">
        <v>1176269321</v>
      </c>
      <c r="Z8" s="2751">
        <v>42990227</v>
      </c>
      <c r="AA8" s="2753">
        <f t="shared" si="1"/>
        <v>1219259548</v>
      </c>
      <c r="AB8" s="2751"/>
      <c r="AC8" s="2751"/>
      <c r="AD8" s="2753">
        <f t="shared" si="2"/>
        <v>0</v>
      </c>
      <c r="AE8" s="2751"/>
      <c r="AF8" s="2751"/>
      <c r="AG8" s="2753"/>
      <c r="AH8" s="2751"/>
      <c r="AI8" s="2751"/>
      <c r="AJ8" s="2753"/>
      <c r="AK8" s="2751"/>
      <c r="AL8" s="2751"/>
      <c r="AM8" s="2753">
        <f t="shared" si="3"/>
        <v>0</v>
      </c>
      <c r="AN8" s="2751"/>
      <c r="AO8" s="2751"/>
      <c r="AP8" s="2753">
        <f t="shared" si="4"/>
        <v>0</v>
      </c>
      <c r="AQ8" s="2751"/>
      <c r="AR8" s="2751"/>
      <c r="AS8" s="2753">
        <f t="shared" si="5"/>
        <v>0</v>
      </c>
      <c r="AT8" s="2751"/>
      <c r="AU8" s="2751"/>
      <c r="AV8" s="2753">
        <f t="shared" si="6"/>
        <v>0</v>
      </c>
      <c r="AW8" s="2751"/>
      <c r="AX8" s="2751"/>
      <c r="AY8" s="2753">
        <f t="shared" si="7"/>
        <v>0</v>
      </c>
    </row>
    <row r="9" spans="2:54" ht="15">
      <c r="B9" s="2754" t="s">
        <v>3945</v>
      </c>
      <c r="C9" s="2755">
        <v>31437153052.5425</v>
      </c>
      <c r="D9" s="2755">
        <v>40138730469.460899</v>
      </c>
      <c r="E9" s="2755">
        <v>64856205627.055901</v>
      </c>
      <c r="F9" s="2755">
        <v>62296019658.089523</v>
      </c>
      <c r="G9" s="2755">
        <v>63047369692.689072</v>
      </c>
      <c r="K9" s="2749">
        <v>4</v>
      </c>
      <c r="L9" s="2750" t="s">
        <v>3946</v>
      </c>
      <c r="M9" s="2751"/>
      <c r="N9" s="2751"/>
      <c r="O9" s="2752"/>
      <c r="P9" s="2751">
        <v>3500000000</v>
      </c>
      <c r="Q9" s="2751">
        <v>0</v>
      </c>
      <c r="R9" s="2752">
        <f>3500000000+1500000000+1400000000</f>
        <v>6400000000</v>
      </c>
      <c r="S9" s="2751">
        <v>4000000000</v>
      </c>
      <c r="T9" s="2751">
        <v>0</v>
      </c>
      <c r="U9" s="2752">
        <v>4000000000</v>
      </c>
      <c r="V9" s="2751">
        <v>2352577064.2518921</v>
      </c>
      <c r="W9" s="2751"/>
      <c r="X9" s="2753">
        <f t="shared" si="0"/>
        <v>2352577064.2518921</v>
      </c>
      <c r="Y9" s="2751"/>
      <c r="Z9" s="2751"/>
      <c r="AA9" s="2753">
        <f t="shared" si="1"/>
        <v>0</v>
      </c>
      <c r="AB9" s="2751"/>
      <c r="AC9" s="2751"/>
      <c r="AD9" s="2753">
        <f t="shared" si="2"/>
        <v>0</v>
      </c>
      <c r="AE9" s="2751"/>
      <c r="AF9" s="2751"/>
      <c r="AG9" s="2753">
        <f t="shared" ref="AG9:AG10" si="8">AE9+AF9</f>
        <v>0</v>
      </c>
      <c r="AH9" s="2751"/>
      <c r="AI9" s="2751"/>
      <c r="AJ9" s="2753">
        <f t="shared" ref="AJ9:AJ10" si="9">AH9+AI9</f>
        <v>0</v>
      </c>
      <c r="AK9" s="2751"/>
      <c r="AL9" s="2751"/>
      <c r="AM9" s="2753">
        <f t="shared" si="3"/>
        <v>0</v>
      </c>
      <c r="AN9" s="2751"/>
      <c r="AO9" s="2751"/>
      <c r="AP9" s="2753">
        <f t="shared" si="4"/>
        <v>0</v>
      </c>
      <c r="AQ9" s="2751"/>
      <c r="AR9" s="2751"/>
      <c r="AS9" s="2753">
        <f t="shared" si="5"/>
        <v>0</v>
      </c>
      <c r="AT9" s="2751"/>
      <c r="AU9" s="2751"/>
      <c r="AV9" s="2753">
        <f t="shared" si="6"/>
        <v>0</v>
      </c>
      <c r="AW9" s="2751"/>
      <c r="AX9" s="2751"/>
      <c r="AY9" s="2753">
        <f t="shared" si="7"/>
        <v>0</v>
      </c>
    </row>
    <row r="10" spans="2:54" ht="15">
      <c r="B10" s="2756"/>
      <c r="C10" s="2757"/>
      <c r="D10" s="2757"/>
      <c r="E10" s="2757"/>
      <c r="F10" s="2757"/>
      <c r="G10" s="2757"/>
      <c r="K10" s="2749">
        <v>5</v>
      </c>
      <c r="L10" s="2758" t="s">
        <v>4158</v>
      </c>
      <c r="M10" s="2751"/>
      <c r="N10" s="2751"/>
      <c r="O10" s="2752"/>
      <c r="P10" s="2751">
        <v>3160970172</v>
      </c>
      <c r="Q10" s="2751"/>
      <c r="R10" s="2752">
        <v>3160970172</v>
      </c>
      <c r="S10" s="2751">
        <v>4500000000</v>
      </c>
      <c r="T10" s="2751"/>
      <c r="U10" s="2752">
        <v>4500000000</v>
      </c>
      <c r="V10" s="2751"/>
      <c r="W10" s="2751"/>
      <c r="X10" s="2753">
        <f t="shared" si="0"/>
        <v>0</v>
      </c>
      <c r="Y10" s="3048">
        <v>14635646263</v>
      </c>
      <c r="Z10" s="3048">
        <v>15788959557</v>
      </c>
      <c r="AA10" s="3049">
        <f t="shared" si="1"/>
        <v>30424605820</v>
      </c>
      <c r="AB10" s="3048">
        <v>18159575785</v>
      </c>
      <c r="AC10" s="3048">
        <v>9283339481</v>
      </c>
      <c r="AD10" s="3049">
        <f t="shared" si="2"/>
        <v>27442915266</v>
      </c>
      <c r="AE10" s="3048">
        <v>9198947068.0138493</v>
      </c>
      <c r="AF10" s="3048">
        <v>8528847510.0955801</v>
      </c>
      <c r="AG10" s="3049">
        <f t="shared" si="8"/>
        <v>17727794578.109428</v>
      </c>
      <c r="AH10" s="3048">
        <v>5293421928</v>
      </c>
      <c r="AI10" s="3048">
        <v>7578228668</v>
      </c>
      <c r="AJ10" s="3049">
        <f t="shared" si="9"/>
        <v>12871650596</v>
      </c>
      <c r="AK10" s="3048">
        <v>6079134695</v>
      </c>
      <c r="AL10" s="3048">
        <v>6792515901</v>
      </c>
      <c r="AM10" s="3049">
        <f t="shared" si="3"/>
        <v>12871650596</v>
      </c>
      <c r="AN10" s="3048">
        <v>6996023094</v>
      </c>
      <c r="AO10" s="3048">
        <v>5875627502</v>
      </c>
      <c r="AP10" s="3049">
        <f t="shared" si="4"/>
        <v>12871650596</v>
      </c>
      <c r="AQ10" s="3048">
        <v>8071600762</v>
      </c>
      <c r="AR10" s="3048">
        <v>4800049834</v>
      </c>
      <c r="AS10" s="3049">
        <f t="shared" si="5"/>
        <v>12871650596</v>
      </c>
      <c r="AT10" s="3048">
        <v>9295206962</v>
      </c>
      <c r="AU10" s="3048">
        <v>3576443634</v>
      </c>
      <c r="AV10" s="3049">
        <f t="shared" si="6"/>
        <v>12871650596</v>
      </c>
      <c r="AW10" s="3048">
        <v>10705893124</v>
      </c>
      <c r="AX10" s="3048">
        <v>2165757472</v>
      </c>
      <c r="AY10" s="3049">
        <f t="shared" si="7"/>
        <v>12871650596</v>
      </c>
      <c r="AZ10" s="3048">
        <v>8227776808</v>
      </c>
      <c r="BA10" s="3048">
        <v>575101415</v>
      </c>
      <c r="BB10" s="3049">
        <f t="shared" ref="BB10" si="10">AZ10+BA10</f>
        <v>8802878223</v>
      </c>
    </row>
    <row r="11" spans="2:54" ht="15">
      <c r="B11" s="2756"/>
      <c r="C11" s="2757"/>
      <c r="D11" s="2757"/>
      <c r="E11" s="2757"/>
      <c r="F11" s="2757"/>
      <c r="G11" s="2757"/>
      <c r="K11" s="2749">
        <v>6</v>
      </c>
      <c r="L11" s="2759" t="s">
        <v>3900</v>
      </c>
      <c r="M11" s="2751"/>
      <c r="N11" s="2751"/>
      <c r="O11" s="2752"/>
      <c r="P11" s="2751">
        <v>2175000000</v>
      </c>
      <c r="Q11" s="2751">
        <v>156180896</v>
      </c>
      <c r="R11" s="2752">
        <v>2331180896</v>
      </c>
      <c r="S11" s="2751">
        <v>1521475489</v>
      </c>
      <c r="T11" s="2751">
        <v>74567270</v>
      </c>
      <c r="U11" s="2752">
        <v>1596042759</v>
      </c>
      <c r="V11" s="2751"/>
      <c r="W11" s="2751"/>
      <c r="X11" s="2752">
        <v>0</v>
      </c>
      <c r="Y11" s="2751"/>
      <c r="Z11" s="2751"/>
      <c r="AA11" s="2753">
        <v>0</v>
      </c>
      <c r="AB11" s="2751"/>
      <c r="AC11" s="2751"/>
      <c r="AD11" s="2753">
        <v>0</v>
      </c>
      <c r="AE11" s="2751"/>
      <c r="AF11" s="2751"/>
      <c r="AG11" s="2753">
        <v>0</v>
      </c>
      <c r="AH11" s="2751"/>
      <c r="AI11" s="2751"/>
      <c r="AJ11" s="2753">
        <v>0</v>
      </c>
      <c r="AK11" s="2751"/>
      <c r="AL11" s="2751"/>
      <c r="AM11" s="2753">
        <v>0</v>
      </c>
      <c r="AN11" s="2751"/>
      <c r="AO11" s="2751"/>
      <c r="AP11" s="2753">
        <v>0</v>
      </c>
      <c r="AQ11" s="2751"/>
      <c r="AR11" s="2751"/>
      <c r="AS11" s="2753">
        <v>0</v>
      </c>
      <c r="AT11" s="2751"/>
      <c r="AU11" s="2751"/>
      <c r="AV11" s="2753">
        <v>0</v>
      </c>
      <c r="AW11" s="2751"/>
      <c r="AX11" s="2751"/>
      <c r="AY11" s="2753">
        <v>0</v>
      </c>
    </row>
    <row r="12" spans="2:54" ht="15">
      <c r="B12" s="3167" t="s">
        <v>3947</v>
      </c>
      <c r="C12" s="3167"/>
      <c r="D12" s="3167"/>
      <c r="E12" s="3167"/>
      <c r="F12" s="3167"/>
      <c r="G12" s="3167"/>
      <c r="K12" s="2749">
        <v>7</v>
      </c>
      <c r="L12" s="2760" t="s">
        <v>4159</v>
      </c>
      <c r="M12" s="2751"/>
      <c r="N12" s="2751"/>
      <c r="O12" s="2752"/>
      <c r="P12" s="2751">
        <v>2288500000</v>
      </c>
      <c r="Q12" s="2751"/>
      <c r="R12" s="2752">
        <v>2288500000</v>
      </c>
      <c r="S12" s="2751">
        <v>572125000</v>
      </c>
      <c r="T12" s="2751"/>
      <c r="U12" s="2752">
        <v>572125000</v>
      </c>
      <c r="V12" s="2751"/>
      <c r="W12" s="2751">
        <v>0</v>
      </c>
      <c r="X12" s="2753">
        <f t="shared" ref="X12" si="11">SUM(V12:W12)</f>
        <v>0</v>
      </c>
      <c r="Y12" s="3048"/>
      <c r="Z12" s="3048">
        <v>13361910927</v>
      </c>
      <c r="AA12" s="3049">
        <f t="shared" ref="AA12" si="12">Y12+Z12</f>
        <v>13361910927</v>
      </c>
      <c r="AB12" s="3048">
        <v>630263160</v>
      </c>
      <c r="AC12" s="3048">
        <v>12068741602</v>
      </c>
      <c r="AD12" s="3049">
        <f t="shared" ref="AD12" si="13">AB12+AC12</f>
        <v>12699004762</v>
      </c>
      <c r="AE12" s="3048">
        <v>8551867640</v>
      </c>
      <c r="AF12" s="3048">
        <v>11632076247</v>
      </c>
      <c r="AG12" s="3049">
        <f t="shared" ref="AG12" si="14">AE12+AF12</f>
        <v>20183943887</v>
      </c>
      <c r="AH12" s="3048">
        <v>10919544693</v>
      </c>
      <c r="AI12" s="3048">
        <v>10339118650</v>
      </c>
      <c r="AJ12" s="3049">
        <f t="shared" ref="AJ12" si="15">AH12+AI12</f>
        <v>21258663343</v>
      </c>
      <c r="AK12" s="3048">
        <v>11392446093</v>
      </c>
      <c r="AL12" s="3048">
        <v>8924009241</v>
      </c>
      <c r="AM12" s="3049">
        <f t="shared" ref="AM12" si="16">AK12+AL12</f>
        <v>20316455334</v>
      </c>
      <c r="AN12" s="3048">
        <v>11928628482</v>
      </c>
      <c r="AO12" s="3048">
        <v>7455299062</v>
      </c>
      <c r="AP12" s="3049">
        <f t="shared" ref="AP12" si="17">AN12+AO12</f>
        <v>19383927544</v>
      </c>
      <c r="AQ12" s="3048">
        <v>12565105362</v>
      </c>
      <c r="AR12" s="3048">
        <v>5866933953</v>
      </c>
      <c r="AS12" s="3049">
        <f t="shared" ref="AS12" si="18">AQ12+AR12</f>
        <v>18432039315</v>
      </c>
      <c r="AT12" s="3048">
        <v>13289902722</v>
      </c>
      <c r="AU12" s="3048">
        <v>4199928583</v>
      </c>
      <c r="AV12" s="3049">
        <f t="shared" ref="AV12" si="19">AT12+AU12</f>
        <v>17489831305</v>
      </c>
      <c r="AW12" s="3048">
        <v>14125649210</v>
      </c>
      <c r="AX12" s="3048">
        <v>2421974086</v>
      </c>
      <c r="AY12" s="3049">
        <f t="shared" ref="AY12" si="20">AW12+AX12</f>
        <v>16547623296</v>
      </c>
      <c r="AZ12" s="3048">
        <v>9260589266</v>
      </c>
      <c r="BA12" s="3048">
        <v>573522765</v>
      </c>
      <c r="BB12" s="3049">
        <f t="shared" ref="BB12" si="21">AZ12+BA12</f>
        <v>9834112031</v>
      </c>
    </row>
    <row r="13" spans="2:54" ht="15">
      <c r="B13" s="2761"/>
      <c r="C13" s="2761"/>
      <c r="D13" s="2761"/>
      <c r="E13" s="2761"/>
      <c r="F13" s="2761"/>
      <c r="G13" s="2761"/>
      <c r="K13" s="2749">
        <v>8</v>
      </c>
      <c r="L13" s="2759" t="s">
        <v>3901</v>
      </c>
      <c r="M13" s="2751"/>
      <c r="N13" s="2751"/>
      <c r="O13" s="2752"/>
      <c r="P13" s="2751">
        <v>1638933160</v>
      </c>
      <c r="Q13" s="2751">
        <v>1140732856</v>
      </c>
      <c r="R13" s="2752">
        <v>2779666016</v>
      </c>
      <c r="S13" s="2751">
        <v>1661093829</v>
      </c>
      <c r="T13" s="2751">
        <v>2957823123</v>
      </c>
      <c r="U13" s="2752">
        <v>4618916952</v>
      </c>
      <c r="V13" s="2751">
        <v>1850545366</v>
      </c>
      <c r="W13" s="2751">
        <v>2768371586</v>
      </c>
      <c r="X13" s="2753">
        <f t="shared" ref="X13" si="22">SUM(V13:W13)</f>
        <v>4618916952</v>
      </c>
      <c r="Y13" s="2751">
        <v>2065112859</v>
      </c>
      <c r="Z13" s="2751">
        <v>2553804093</v>
      </c>
      <c r="AA13" s="2753">
        <f t="shared" ref="AA13" si="23">Y13+Z13</f>
        <v>4618916952</v>
      </c>
      <c r="AB13" s="2751">
        <v>2302295322</v>
      </c>
      <c r="AC13" s="2751">
        <v>2316621630</v>
      </c>
      <c r="AD13" s="2753">
        <f t="shared" ref="AD13" si="24">AB13+AC13</f>
        <v>4618916952</v>
      </c>
      <c r="AE13" s="2751">
        <v>2583520468</v>
      </c>
      <c r="AF13" s="2751">
        <v>2034756484</v>
      </c>
      <c r="AG13" s="2753">
        <f t="shared" ref="AG13" si="25">AE13+AF13</f>
        <v>4618276952</v>
      </c>
      <c r="AH13" s="2751">
        <v>2896828389</v>
      </c>
      <c r="AI13" s="2751">
        <v>1722088563</v>
      </c>
      <c r="AJ13" s="2753">
        <f t="shared" ref="AJ13" si="26">AH13+AI13</f>
        <v>4618916952</v>
      </c>
      <c r="AK13" s="2751">
        <v>3252901192</v>
      </c>
      <c r="AL13" s="2751">
        <v>1366015760</v>
      </c>
      <c r="AM13" s="2753">
        <f t="shared" ref="AM13" si="27">AK13+AL13</f>
        <v>4618916952</v>
      </c>
      <c r="AN13" s="2751">
        <v>3655689571</v>
      </c>
      <c r="AO13" s="2751">
        <v>963227381</v>
      </c>
      <c r="AP13" s="2753">
        <f t="shared" ref="AP13" si="28">AN13+AO13</f>
        <v>4618916952</v>
      </c>
      <c r="AQ13" s="2751">
        <v>4118464334</v>
      </c>
      <c r="AR13" s="2751">
        <v>500502618</v>
      </c>
      <c r="AS13" s="2753">
        <f t="shared" ref="AS13" si="29">AQ13+AR13</f>
        <v>4618966952</v>
      </c>
      <c r="AT13" s="2751">
        <v>4118464334</v>
      </c>
      <c r="AU13" s="2751">
        <v>500502618</v>
      </c>
      <c r="AV13" s="2753">
        <f t="shared" ref="AV13" si="30">AT13+AU13</f>
        <v>4618966952</v>
      </c>
      <c r="AW13" s="2751">
        <v>4118464334</v>
      </c>
      <c r="AX13" s="2751">
        <v>500502618</v>
      </c>
      <c r="AY13" s="2753">
        <f t="shared" ref="AY13" si="31">AW13+AX13</f>
        <v>4618966952</v>
      </c>
    </row>
    <row r="14" spans="2:54" ht="15">
      <c r="B14" s="2761"/>
      <c r="C14" s="2761"/>
      <c r="D14" s="2761"/>
      <c r="E14" s="2761"/>
      <c r="F14" s="2761"/>
      <c r="G14" s="2761"/>
      <c r="K14" s="2749">
        <v>11</v>
      </c>
      <c r="L14" s="2760" t="s">
        <v>3904</v>
      </c>
      <c r="M14" s="2751"/>
      <c r="N14" s="2751"/>
      <c r="O14" s="2752"/>
      <c r="P14" s="2751">
        <v>805478277</v>
      </c>
      <c r="Q14" s="2751">
        <v>140571885</v>
      </c>
      <c r="R14" s="2752">
        <v>946050162</v>
      </c>
      <c r="S14" s="2751">
        <v>595891704</v>
      </c>
      <c r="T14" s="2751">
        <v>36838714</v>
      </c>
      <c r="U14" s="2752">
        <v>632730418</v>
      </c>
      <c r="V14" s="2751"/>
      <c r="W14" s="2751"/>
      <c r="X14" s="2752">
        <v>0</v>
      </c>
      <c r="Y14" s="2751"/>
      <c r="Z14" s="2751"/>
      <c r="AA14" s="2753">
        <v>0</v>
      </c>
      <c r="AB14" s="2751"/>
      <c r="AC14" s="2751"/>
      <c r="AD14" s="2753">
        <v>0</v>
      </c>
      <c r="AE14" s="2751"/>
      <c r="AF14" s="2751"/>
      <c r="AG14" s="2753">
        <v>0</v>
      </c>
      <c r="AH14" s="2751"/>
      <c r="AI14" s="2751"/>
      <c r="AJ14" s="2753">
        <v>0</v>
      </c>
      <c r="AK14" s="2751"/>
      <c r="AL14" s="2751"/>
      <c r="AM14" s="2753">
        <v>0</v>
      </c>
      <c r="AN14" s="2751"/>
      <c r="AO14" s="2751"/>
      <c r="AP14" s="2753">
        <v>0</v>
      </c>
      <c r="AQ14" s="2751"/>
      <c r="AR14" s="2751"/>
      <c r="AS14" s="2753">
        <v>0</v>
      </c>
      <c r="AT14" s="2751"/>
      <c r="AU14" s="2751"/>
      <c r="AV14" s="2753">
        <v>0</v>
      </c>
      <c r="AW14" s="2751"/>
      <c r="AX14" s="2751"/>
      <c r="AY14" s="2753">
        <v>0</v>
      </c>
    </row>
    <row r="15" spans="2:54" ht="15">
      <c r="B15" s="2761"/>
      <c r="C15" s="2761"/>
      <c r="D15" s="2761"/>
      <c r="E15" s="2761"/>
      <c r="F15" s="2761"/>
      <c r="G15" s="2761"/>
      <c r="K15" s="2749">
        <v>12</v>
      </c>
      <c r="L15" s="2759" t="s">
        <v>3905</v>
      </c>
      <c r="M15" s="2751"/>
      <c r="N15" s="2751"/>
      <c r="O15" s="2752"/>
      <c r="P15" s="2751">
        <v>5000000000</v>
      </c>
      <c r="Q15" s="2751"/>
      <c r="R15" s="2752">
        <v>5000000000</v>
      </c>
      <c r="S15" s="2751"/>
      <c r="T15" s="2751"/>
      <c r="U15" s="2752">
        <v>0</v>
      </c>
      <c r="V15" s="2751"/>
      <c r="W15" s="2751"/>
      <c r="X15" s="2752">
        <v>0</v>
      </c>
      <c r="Y15" s="2762"/>
      <c r="Z15" s="2762"/>
      <c r="AA15" s="2753">
        <v>0</v>
      </c>
      <c r="AB15" s="2762"/>
      <c r="AC15" s="2762"/>
      <c r="AD15" s="2753">
        <v>0</v>
      </c>
      <c r="AE15" s="2762"/>
      <c r="AF15" s="2762"/>
      <c r="AG15" s="2753">
        <v>0</v>
      </c>
      <c r="AH15" s="2762"/>
      <c r="AI15" s="2762"/>
      <c r="AJ15" s="2753">
        <v>0</v>
      </c>
      <c r="AK15" s="2762"/>
      <c r="AL15" s="2762"/>
      <c r="AM15" s="2753">
        <v>0</v>
      </c>
      <c r="AN15" s="2762"/>
      <c r="AO15" s="2762"/>
      <c r="AP15" s="2753">
        <v>0</v>
      </c>
      <c r="AQ15" s="2762"/>
      <c r="AR15" s="2762"/>
      <c r="AS15" s="2753">
        <v>0</v>
      </c>
      <c r="AT15" s="2762"/>
      <c r="AU15" s="2762"/>
      <c r="AV15" s="2753">
        <v>0</v>
      </c>
      <c r="AW15" s="2762"/>
      <c r="AX15" s="2762"/>
      <c r="AY15" s="2753">
        <v>0</v>
      </c>
    </row>
    <row r="16" spans="2:54" ht="15">
      <c r="B16" s="2761"/>
      <c r="C16" s="2761"/>
      <c r="D16" s="2761"/>
      <c r="E16" s="2761"/>
      <c r="F16" s="2761"/>
      <c r="G16" s="2761"/>
      <c r="K16" s="2749">
        <v>13</v>
      </c>
      <c r="L16" s="2759" t="s">
        <v>3903</v>
      </c>
      <c r="M16" s="2751"/>
      <c r="N16" s="2751"/>
      <c r="O16" s="2752"/>
      <c r="P16" s="2751"/>
      <c r="Q16" s="2751"/>
      <c r="R16" s="2752"/>
      <c r="S16" s="2751">
        <v>6457915035.9647055</v>
      </c>
      <c r="T16" s="2751">
        <v>8982595899.7581997</v>
      </c>
      <c r="U16" s="2752">
        <v>15440510935.722904</v>
      </c>
      <c r="V16" s="2751">
        <v>7686669820</v>
      </c>
      <c r="W16" s="2751">
        <v>10518207198.318682</v>
      </c>
      <c r="X16" s="2753">
        <f t="shared" ref="X16:X18" si="32">SUM(V16:W16)</f>
        <v>18204877018.31868</v>
      </c>
      <c r="Y16" s="3048">
        <v>10013942547.272699</v>
      </c>
      <c r="Z16" s="3048">
        <v>9451133428.5101604</v>
      </c>
      <c r="AA16" s="3049">
        <f t="shared" ref="AA16:AA18" si="33">Y16+Z16</f>
        <v>19465075975.78286</v>
      </c>
      <c r="AB16" s="3048">
        <v>10380115195.0303</v>
      </c>
      <c r="AC16" s="3048">
        <v>7799252605.1152201</v>
      </c>
      <c r="AD16" s="3049">
        <f t="shared" ref="AD16" si="34">AB16+AC16</f>
        <v>18179367800.145519</v>
      </c>
      <c r="AE16" s="3048">
        <v>9151360411.0303001</v>
      </c>
      <c r="AF16" s="3048">
        <v>5629435250.9274101</v>
      </c>
      <c r="AG16" s="3049">
        <f t="shared" ref="AG16" si="35">AE16+AF16</f>
        <v>14780795661.95771</v>
      </c>
      <c r="AH16" s="3048">
        <v>9151360411.0303001</v>
      </c>
      <c r="AI16" s="3048">
        <v>4465100845.6463499</v>
      </c>
      <c r="AJ16" s="3049">
        <f t="shared" ref="AJ16" si="36">AH16+AI16</f>
        <v>13616461256.676651</v>
      </c>
      <c r="AK16" s="3048">
        <v>9151360411.0303001</v>
      </c>
      <c r="AL16" s="3048">
        <v>3300766439.3653002</v>
      </c>
      <c r="AM16" s="3049">
        <f t="shared" ref="AM16" si="37">AK16+AL16</f>
        <v>12452126850.395599</v>
      </c>
      <c r="AN16" s="3048">
        <v>9151360411.0303001</v>
      </c>
      <c r="AO16" s="3048">
        <v>2141881065</v>
      </c>
      <c r="AP16" s="3049">
        <f t="shared" ref="AP16" si="38">AN16+AO16</f>
        <v>11293241476.0303</v>
      </c>
      <c r="AQ16" s="3048">
        <v>6127195357</v>
      </c>
      <c r="AR16" s="3048">
        <v>1018972187</v>
      </c>
      <c r="AS16" s="3049">
        <f t="shared" ref="AS16" si="39">AQ16+AR16</f>
        <v>7146167544</v>
      </c>
      <c r="AT16" s="3048">
        <v>3103030303</v>
      </c>
      <c r="AU16" s="3048">
        <v>464522144</v>
      </c>
      <c r="AV16" s="3049">
        <f t="shared" ref="AV16" si="40">AT16+AU16</f>
        <v>3567552447</v>
      </c>
      <c r="AW16" s="3048">
        <v>1551515152</v>
      </c>
      <c r="AX16" s="3048">
        <v>60712621</v>
      </c>
      <c r="AY16" s="3049">
        <f t="shared" ref="AY16" si="41">AW16+AX16</f>
        <v>1612227773</v>
      </c>
    </row>
    <row r="17" spans="1:51" ht="15">
      <c r="B17" s="2761"/>
      <c r="C17" s="2761"/>
      <c r="D17" s="2761"/>
      <c r="E17" s="2761"/>
      <c r="F17" s="2761"/>
      <c r="G17" s="2761"/>
      <c r="K17" s="2749">
        <v>14</v>
      </c>
      <c r="L17" s="2759" t="s">
        <v>3907</v>
      </c>
      <c r="M17" s="2751"/>
      <c r="N17" s="2751"/>
      <c r="O17" s="2752"/>
      <c r="P17" s="2751"/>
      <c r="Q17" s="2751"/>
      <c r="R17" s="2752"/>
      <c r="S17" s="2751"/>
      <c r="T17" s="2751"/>
      <c r="U17" s="2752">
        <v>0</v>
      </c>
      <c r="V17" s="2751">
        <v>5856390536</v>
      </c>
      <c r="W17" s="2751">
        <v>1189579327</v>
      </c>
      <c r="X17" s="2753">
        <f>SUM(V17:W17)</f>
        <v>7045969863</v>
      </c>
      <c r="Y17" s="3048">
        <v>5856390536</v>
      </c>
      <c r="Z17" s="3048">
        <v>457530510</v>
      </c>
      <c r="AA17" s="3049">
        <f t="shared" si="33"/>
        <v>6313921046</v>
      </c>
      <c r="AB17" s="2751"/>
      <c r="AC17" s="2751"/>
      <c r="AD17" s="2753">
        <f t="shared" ref="AD17:AD18" si="42">AB17+AC17</f>
        <v>0</v>
      </c>
      <c r="AE17" s="2751"/>
      <c r="AF17" s="2751"/>
      <c r="AG17" s="2753">
        <f t="shared" ref="AG17:AG18" si="43">AE17+AF17</f>
        <v>0</v>
      </c>
      <c r="AH17" s="2751"/>
      <c r="AI17" s="2751"/>
      <c r="AJ17" s="2753">
        <f t="shared" ref="AJ17:AJ18" si="44">AH17+AI17</f>
        <v>0</v>
      </c>
      <c r="AK17" s="2751"/>
      <c r="AL17" s="2751"/>
      <c r="AM17" s="2753">
        <f t="shared" ref="AM17:AM18" si="45">AK17+AL17</f>
        <v>0</v>
      </c>
      <c r="AN17" s="2751"/>
      <c r="AO17" s="2751"/>
      <c r="AP17" s="2753">
        <f t="shared" ref="AP17:AP18" si="46">AN17+AO17</f>
        <v>0</v>
      </c>
      <c r="AQ17" s="2751"/>
      <c r="AR17" s="2751"/>
      <c r="AS17" s="2753">
        <f t="shared" ref="AS17:AS18" si="47">AQ17+AR17</f>
        <v>0</v>
      </c>
      <c r="AT17" s="2751"/>
      <c r="AU17" s="2751"/>
      <c r="AV17" s="2753">
        <f t="shared" ref="AV17" si="48">AT17+AU17</f>
        <v>0</v>
      </c>
      <c r="AW17" s="2751"/>
      <c r="AX17" s="2751"/>
      <c r="AY17" s="2753">
        <f t="shared" ref="AY17:AY18" si="49">AW17+AX17</f>
        <v>0</v>
      </c>
    </row>
    <row r="18" spans="1:51" ht="15">
      <c r="B18" s="2761"/>
      <c r="C18" s="2761"/>
      <c r="D18" s="2761"/>
      <c r="E18" s="2761"/>
      <c r="F18" s="2761"/>
      <c r="G18" s="2761"/>
      <c r="K18" s="2749">
        <v>15</v>
      </c>
      <c r="L18" s="2759" t="s">
        <v>3948</v>
      </c>
      <c r="M18" s="2751"/>
      <c r="N18" s="2751"/>
      <c r="O18" s="2752"/>
      <c r="P18" s="2751"/>
      <c r="Q18" s="2751"/>
      <c r="R18" s="2752"/>
      <c r="S18" s="2751">
        <v>5914279444</v>
      </c>
      <c r="T18" s="2751"/>
      <c r="U18" s="2752">
        <v>5914279444</v>
      </c>
      <c r="V18" s="2751">
        <v>506835677</v>
      </c>
      <c r="W18" s="2751">
        <v>1036700297</v>
      </c>
      <c r="X18" s="2753">
        <f t="shared" si="32"/>
        <v>1543535974</v>
      </c>
      <c r="Y18" s="3048">
        <v>3500000000</v>
      </c>
      <c r="Z18" s="3048"/>
      <c r="AA18" s="3049">
        <f t="shared" si="33"/>
        <v>3500000000</v>
      </c>
      <c r="AB18" s="2751">
        <v>500000000</v>
      </c>
      <c r="AC18" s="2751"/>
      <c r="AD18" s="2753">
        <f t="shared" si="42"/>
        <v>500000000</v>
      </c>
      <c r="AE18" s="2751"/>
      <c r="AF18" s="2751"/>
      <c r="AG18" s="2753">
        <f t="shared" si="43"/>
        <v>0</v>
      </c>
      <c r="AH18" s="2751"/>
      <c r="AI18" s="2751"/>
      <c r="AJ18" s="2753">
        <f t="shared" si="44"/>
        <v>0</v>
      </c>
      <c r="AK18" s="2751"/>
      <c r="AL18" s="2751"/>
      <c r="AM18" s="2753">
        <f t="shared" si="45"/>
        <v>0</v>
      </c>
      <c r="AN18" s="2751"/>
      <c r="AO18" s="2751"/>
      <c r="AP18" s="2753">
        <f t="shared" si="46"/>
        <v>0</v>
      </c>
      <c r="AQ18" s="2751"/>
      <c r="AR18" s="2751"/>
      <c r="AS18" s="2753">
        <f t="shared" si="47"/>
        <v>0</v>
      </c>
      <c r="AT18" s="2751"/>
      <c r="AU18" s="2751"/>
      <c r="AV18" s="2753">
        <f>AT18+AU18</f>
        <v>0</v>
      </c>
      <c r="AW18" s="2751"/>
      <c r="AX18" s="2751"/>
      <c r="AY18" s="2753">
        <f t="shared" si="49"/>
        <v>0</v>
      </c>
    </row>
    <row r="19" spans="1:51" ht="15">
      <c r="B19" s="2761"/>
      <c r="C19" s="2761"/>
      <c r="D19" s="2761"/>
      <c r="E19" s="2761"/>
      <c r="F19" s="2761"/>
      <c r="G19" s="2761"/>
      <c r="K19" s="2749">
        <v>16</v>
      </c>
      <c r="L19" s="2759" t="s">
        <v>3949</v>
      </c>
      <c r="M19" s="2751"/>
      <c r="N19" s="2751"/>
      <c r="O19" s="2752"/>
      <c r="P19" s="2751"/>
      <c r="Q19" s="2751"/>
      <c r="R19" s="2752"/>
      <c r="S19" s="2751">
        <v>3000000000</v>
      </c>
      <c r="T19" s="2751"/>
      <c r="U19" s="2752">
        <v>3000000000</v>
      </c>
      <c r="V19" s="2751"/>
      <c r="W19" s="2751"/>
      <c r="X19" s="2752">
        <v>0</v>
      </c>
      <c r="Y19" s="2762"/>
      <c r="Z19" s="2762"/>
      <c r="AA19" s="2753">
        <v>0</v>
      </c>
      <c r="AB19" s="2762"/>
      <c r="AC19" s="2762"/>
      <c r="AD19" s="2753">
        <v>0</v>
      </c>
      <c r="AE19" s="2762"/>
      <c r="AF19" s="2762"/>
      <c r="AG19" s="2753">
        <v>0</v>
      </c>
      <c r="AH19" s="2762"/>
      <c r="AI19" s="2762"/>
      <c r="AJ19" s="2753">
        <v>0</v>
      </c>
      <c r="AK19" s="2762"/>
      <c r="AL19" s="2762"/>
      <c r="AM19" s="2753">
        <v>0</v>
      </c>
      <c r="AN19" s="2762"/>
      <c r="AO19" s="2762"/>
      <c r="AP19" s="2753">
        <v>0</v>
      </c>
      <c r="AQ19" s="2762"/>
      <c r="AR19" s="2762"/>
      <c r="AS19" s="2753">
        <v>0</v>
      </c>
      <c r="AT19" s="2762"/>
      <c r="AU19" s="2762"/>
      <c r="AV19" s="2753">
        <v>0</v>
      </c>
      <c r="AW19" s="2762"/>
      <c r="AX19" s="2762"/>
      <c r="AY19" s="2753">
        <v>0</v>
      </c>
    </row>
    <row r="20" spans="1:51" ht="15">
      <c r="B20" s="2761"/>
      <c r="C20" s="2761"/>
      <c r="D20" s="2761"/>
      <c r="E20" s="2761"/>
      <c r="F20" s="2761"/>
      <c r="G20" s="2761"/>
      <c r="K20" s="2749">
        <v>17</v>
      </c>
      <c r="L20" s="2759" t="s">
        <v>3950</v>
      </c>
      <c r="M20" s="2751"/>
      <c r="N20" s="2751"/>
      <c r="O20" s="2752"/>
      <c r="P20" s="2751"/>
      <c r="Q20" s="2751"/>
      <c r="R20" s="2752"/>
      <c r="S20" s="2751"/>
      <c r="T20" s="2751"/>
      <c r="U20" s="2752"/>
      <c r="V20" s="2751">
        <v>7575457857</v>
      </c>
      <c r="W20" s="2751"/>
      <c r="X20" s="2753">
        <f t="shared" ref="X20:X21" si="50">SUM(V20:W20)</f>
        <v>7575457857</v>
      </c>
      <c r="Y20" s="2751"/>
      <c r="Z20" s="2751"/>
      <c r="AA20" s="2753">
        <f t="shared" ref="AA20:AA21" si="51">Y20+Z20</f>
        <v>0</v>
      </c>
      <c r="AB20" s="2751"/>
      <c r="AC20" s="2751"/>
      <c r="AD20" s="2753">
        <f t="shared" ref="AD20:AD21" si="52">AB20+AC20</f>
        <v>0</v>
      </c>
      <c r="AE20" s="2751"/>
      <c r="AF20" s="2751"/>
      <c r="AG20" s="2753">
        <f t="shared" ref="AG20:AG21" si="53">AE20+AF20</f>
        <v>0</v>
      </c>
      <c r="AH20" s="2751"/>
      <c r="AI20" s="2751"/>
      <c r="AJ20" s="2753">
        <f t="shared" ref="AJ20:AJ21" si="54">AH20+AI20</f>
        <v>0</v>
      </c>
      <c r="AK20" s="2751"/>
      <c r="AL20" s="2751"/>
      <c r="AM20" s="2753">
        <f t="shared" ref="AM20:AM21" si="55">AK20+AL20</f>
        <v>0</v>
      </c>
      <c r="AN20" s="2751"/>
      <c r="AO20" s="2751"/>
      <c r="AP20" s="2753">
        <f t="shared" ref="AP20:AP21" si="56">AN20+AO20</f>
        <v>0</v>
      </c>
      <c r="AQ20" s="2751"/>
      <c r="AR20" s="2751"/>
      <c r="AS20" s="2753">
        <f t="shared" ref="AS20:AS21" si="57">AQ20+AR20</f>
        <v>0</v>
      </c>
      <c r="AT20" s="2751"/>
      <c r="AU20" s="2751"/>
      <c r="AV20" s="2753">
        <f t="shared" ref="AV20:AV21" si="58">AT20+AU20</f>
        <v>0</v>
      </c>
      <c r="AW20" s="2751"/>
      <c r="AX20" s="2751"/>
      <c r="AY20" s="2753">
        <f t="shared" ref="AY20:AY21" si="59">AW20+AX20</f>
        <v>0</v>
      </c>
    </row>
    <row r="21" spans="1:51" ht="15">
      <c r="B21" s="2761"/>
      <c r="C21" s="2761"/>
      <c r="D21" s="2761"/>
      <c r="E21" s="2761"/>
      <c r="F21" s="2761"/>
      <c r="G21" s="2761"/>
      <c r="K21" s="2749">
        <v>18</v>
      </c>
      <c r="L21" s="2759" t="s">
        <v>3908</v>
      </c>
      <c r="M21" s="2751"/>
      <c r="N21" s="2751"/>
      <c r="O21" s="2752"/>
      <c r="P21" s="2751"/>
      <c r="Q21" s="2751"/>
      <c r="R21" s="2752"/>
      <c r="S21" s="2751"/>
      <c r="T21" s="2751"/>
      <c r="U21" s="2752"/>
      <c r="V21" s="2751">
        <v>11273646500</v>
      </c>
      <c r="W21" s="2751"/>
      <c r="X21" s="2753">
        <f t="shared" si="50"/>
        <v>11273646500</v>
      </c>
      <c r="Y21" s="2751"/>
      <c r="Z21" s="2751"/>
      <c r="AA21" s="2753">
        <f t="shared" si="51"/>
        <v>0</v>
      </c>
      <c r="AB21" s="2751"/>
      <c r="AC21" s="2751"/>
      <c r="AD21" s="2753">
        <f t="shared" si="52"/>
        <v>0</v>
      </c>
      <c r="AE21" s="2751"/>
      <c r="AF21" s="2751"/>
      <c r="AG21" s="2753">
        <f t="shared" si="53"/>
        <v>0</v>
      </c>
      <c r="AH21" s="2751"/>
      <c r="AI21" s="2751"/>
      <c r="AJ21" s="2753">
        <f t="shared" si="54"/>
        <v>0</v>
      </c>
      <c r="AK21" s="2751"/>
      <c r="AL21" s="2751"/>
      <c r="AM21" s="2753">
        <f t="shared" si="55"/>
        <v>0</v>
      </c>
      <c r="AN21" s="2751"/>
      <c r="AO21" s="2751"/>
      <c r="AP21" s="2753">
        <f t="shared" si="56"/>
        <v>0</v>
      </c>
      <c r="AQ21" s="2751"/>
      <c r="AR21" s="2751"/>
      <c r="AS21" s="2753">
        <f t="shared" si="57"/>
        <v>0</v>
      </c>
      <c r="AT21" s="2751"/>
      <c r="AU21" s="2751"/>
      <c r="AV21" s="2753">
        <f t="shared" si="58"/>
        <v>0</v>
      </c>
      <c r="AW21" s="2751"/>
      <c r="AX21" s="2751"/>
      <c r="AY21" s="2753">
        <f t="shared" si="59"/>
        <v>0</v>
      </c>
    </row>
    <row r="22" spans="1:51" ht="15">
      <c r="B22" s="2761"/>
      <c r="C22" s="2761"/>
      <c r="D22" s="2761"/>
      <c r="E22" s="2761"/>
      <c r="F22" s="2761"/>
      <c r="G22" s="2761"/>
      <c r="K22" s="2749">
        <v>19</v>
      </c>
      <c r="L22" s="2763" t="s">
        <v>3909</v>
      </c>
      <c r="M22" s="2764"/>
      <c r="N22" s="2764"/>
      <c r="O22" s="2765"/>
      <c r="P22" s="2764"/>
      <c r="Q22" s="2764"/>
      <c r="R22" s="2765"/>
      <c r="S22" s="2764">
        <v>55139928964</v>
      </c>
      <c r="T22" s="2764"/>
      <c r="U22" s="2765">
        <v>55139928964</v>
      </c>
      <c r="V22" s="2764"/>
      <c r="W22" s="2764"/>
      <c r="X22" s="2765"/>
      <c r="Y22" s="2764"/>
      <c r="Z22" s="2764"/>
      <c r="AA22" s="2765"/>
      <c r="AB22" s="2764"/>
      <c r="AC22" s="2764"/>
      <c r="AD22" s="2766"/>
      <c r="AE22" s="2764"/>
      <c r="AF22" s="2764"/>
      <c r="AG22" s="2766"/>
      <c r="AH22" s="2764"/>
      <c r="AI22" s="2764"/>
      <c r="AJ22" s="2766"/>
      <c r="AK22" s="2764"/>
      <c r="AL22" s="2764"/>
      <c r="AM22" s="2766"/>
      <c r="AN22" s="2764"/>
      <c r="AO22" s="2764"/>
      <c r="AP22" s="2766"/>
      <c r="AQ22" s="2764"/>
      <c r="AR22" s="2764"/>
      <c r="AS22" s="2766"/>
      <c r="AT22" s="2764"/>
      <c r="AU22" s="2764"/>
      <c r="AV22" s="2766"/>
      <c r="AW22" s="2764"/>
      <c r="AX22" s="2764"/>
      <c r="AY22" s="2766"/>
    </row>
    <row r="23" spans="1:51" ht="15">
      <c r="B23" s="2767"/>
      <c r="C23" s="2767"/>
      <c r="D23" s="2767"/>
      <c r="E23" s="2767"/>
      <c r="F23" s="2767"/>
      <c r="G23" s="2767"/>
      <c r="K23" s="2749"/>
      <c r="L23" s="2750" t="s">
        <v>3910</v>
      </c>
      <c r="M23" s="2751"/>
      <c r="N23" s="2751"/>
      <c r="O23" s="2768"/>
      <c r="P23" s="2751"/>
      <c r="Q23" s="2751"/>
      <c r="R23" s="2768"/>
      <c r="S23" s="2751"/>
      <c r="T23" s="2751"/>
      <c r="U23" s="2768"/>
      <c r="V23" s="2751">
        <v>222918248</v>
      </c>
      <c r="W23" s="2751">
        <v>2687597324</v>
      </c>
      <c r="X23" s="2753">
        <f t="shared" ref="X23" si="60">SUM(V23:W23)</f>
        <v>2910515572</v>
      </c>
      <c r="Y23" s="3048">
        <v>1064088999</v>
      </c>
      <c r="Z23" s="3048">
        <v>2050843261</v>
      </c>
      <c r="AA23" s="3049">
        <f t="shared" ref="AA23" si="61">Y23+Z23</f>
        <v>3114932260</v>
      </c>
      <c r="AB23" s="3048">
        <v>1206839756</v>
      </c>
      <c r="AC23" s="3048">
        <v>1908092504</v>
      </c>
      <c r="AD23" s="3049">
        <f t="shared" ref="AD23" si="62">AB23+AC23</f>
        <v>3114932260</v>
      </c>
      <c r="AE23" s="3048">
        <v>1376405107</v>
      </c>
      <c r="AF23" s="3048">
        <v>1738527153</v>
      </c>
      <c r="AG23" s="3049">
        <f t="shared" ref="AG23" si="63">AE23+AF23</f>
        <v>3114932260</v>
      </c>
      <c r="AH23" s="3048">
        <v>1561861660</v>
      </c>
      <c r="AI23" s="3048">
        <v>1553070600</v>
      </c>
      <c r="AJ23" s="3049">
        <f t="shared" ref="AJ23" si="64">AH23+AI23</f>
        <v>3114932260</v>
      </c>
      <c r="AK23" s="3048">
        <v>1775017918</v>
      </c>
      <c r="AL23" s="3048">
        <v>1339914342</v>
      </c>
      <c r="AM23" s="3049">
        <f t="shared" ref="AM23" si="65">AK23+AL23</f>
        <v>3114932260</v>
      </c>
      <c r="AN23" s="3048">
        <v>2015846764</v>
      </c>
      <c r="AO23" s="3048">
        <v>1099085496</v>
      </c>
      <c r="AP23" s="3049">
        <f t="shared" ref="AP23" si="66">AN23+AO23</f>
        <v>3114932260</v>
      </c>
      <c r="AQ23" s="3048">
        <v>2293571853</v>
      </c>
      <c r="AR23" s="3048">
        <v>821360407</v>
      </c>
      <c r="AS23" s="3049">
        <f t="shared" ref="AS23" si="67">AQ23+AR23</f>
        <v>3114932260</v>
      </c>
      <c r="AT23" s="3048">
        <v>2605396018</v>
      </c>
      <c r="AU23" s="3048">
        <v>509536242</v>
      </c>
      <c r="AV23" s="3049">
        <f t="shared" ref="AV23" si="68">AT23+AU23</f>
        <v>3114932260</v>
      </c>
      <c r="AW23" s="3048">
        <v>2260359251</v>
      </c>
      <c r="AX23" s="3048">
        <v>153962836</v>
      </c>
      <c r="AY23" s="3049">
        <f t="shared" ref="AY23" si="69">AW23+AX23</f>
        <v>2414322087</v>
      </c>
    </row>
    <row r="24" spans="1:51" ht="15">
      <c r="B24" s="2741" t="s">
        <v>3951</v>
      </c>
      <c r="C24" s="2769"/>
      <c r="D24" s="2769">
        <v>2500000000</v>
      </c>
      <c r="E24" s="2769">
        <v>0</v>
      </c>
      <c r="F24" s="2769">
        <v>0</v>
      </c>
      <c r="G24" s="2769">
        <v>0</v>
      </c>
      <c r="K24" s="2749"/>
      <c r="L24" s="2770" t="s">
        <v>353</v>
      </c>
      <c r="M24" s="2766">
        <f t="shared" ref="M24:O24" si="70">SUM(M6:M22)</f>
        <v>0</v>
      </c>
      <c r="N24" s="2766">
        <f t="shared" si="70"/>
        <v>0</v>
      </c>
      <c r="O24" s="2766">
        <f t="shared" si="70"/>
        <v>0</v>
      </c>
      <c r="P24" s="2766">
        <f t="shared" ref="P24:S24" si="71">SUM(P6:P23)</f>
        <v>35665629708</v>
      </c>
      <c r="Q24" s="2766">
        <f t="shared" si="71"/>
        <v>47598886590.098091</v>
      </c>
      <c r="R24" s="2766">
        <f t="shared" si="71"/>
        <v>86164516298.098099</v>
      </c>
      <c r="S24" s="2766">
        <f t="shared" si="71"/>
        <v>118440872692.53989</v>
      </c>
      <c r="T24" s="2766">
        <f>SUM(T6:T23)</f>
        <v>53867918452.183022</v>
      </c>
      <c r="U24" s="2766">
        <f>SUM(U6:U23)</f>
        <v>172308791144.7229</v>
      </c>
      <c r="V24" s="2766">
        <f t="shared" ref="V24:AY24" si="72">SUM(V6:V23)</f>
        <v>75608138899.643433</v>
      </c>
      <c r="W24" s="2766">
        <f t="shared" si="72"/>
        <v>54776089705.567139</v>
      </c>
      <c r="X24" s="2766">
        <f t="shared" si="72"/>
        <v>130384228605.21057</v>
      </c>
      <c r="Y24" s="2766">
        <f t="shared" si="72"/>
        <v>76152710553.92598</v>
      </c>
      <c r="Z24" s="2766">
        <f t="shared" si="72"/>
        <v>74351599050.750519</v>
      </c>
      <c r="AA24" s="2766">
        <f t="shared" si="72"/>
        <v>150504309604.67651</v>
      </c>
      <c r="AB24" s="2766">
        <f t="shared" si="72"/>
        <v>74234730809.470306</v>
      </c>
      <c r="AC24" s="2766">
        <f t="shared" si="72"/>
        <v>58342531241.315216</v>
      </c>
      <c r="AD24" s="2766">
        <f t="shared" si="72"/>
        <v>132577262050.78552</v>
      </c>
      <c r="AE24" s="2766">
        <f t="shared" si="72"/>
        <v>78408473326.774139</v>
      </c>
      <c r="AF24" s="2766">
        <f t="shared" si="72"/>
        <v>48039395022.932999</v>
      </c>
      <c r="AG24" s="2766">
        <f t="shared" si="72"/>
        <v>126447868349.70712</v>
      </c>
      <c r="AH24" s="2766">
        <f t="shared" si="72"/>
        <v>83642120201.670303</v>
      </c>
      <c r="AI24" s="2766">
        <f t="shared" si="72"/>
        <v>36711842572.646347</v>
      </c>
      <c r="AJ24" s="2766">
        <f t="shared" si="72"/>
        <v>120353962774.31665</v>
      </c>
      <c r="AK24" s="2766">
        <f t="shared" si="72"/>
        <v>71614155473.270309</v>
      </c>
      <c r="AL24" s="2766">
        <f t="shared" si="72"/>
        <v>26124883345.183514</v>
      </c>
      <c r="AM24" s="2766">
        <f t="shared" si="72"/>
        <v>97739038818.453827</v>
      </c>
      <c r="AN24" s="2766">
        <f t="shared" si="72"/>
        <v>33747548322.0303</v>
      </c>
      <c r="AO24" s="2766">
        <f t="shared" si="72"/>
        <v>17535120506</v>
      </c>
      <c r="AP24" s="2766">
        <f t="shared" si="72"/>
        <v>51282668828.030304</v>
      </c>
      <c r="AQ24" s="2766">
        <f t="shared" si="72"/>
        <v>33175937668</v>
      </c>
      <c r="AR24" s="2766">
        <f t="shared" si="72"/>
        <v>13007818999</v>
      </c>
      <c r="AS24" s="2766">
        <f t="shared" si="72"/>
        <v>46183756667</v>
      </c>
      <c r="AT24" s="2766">
        <f t="shared" si="72"/>
        <v>32412000339</v>
      </c>
      <c r="AU24" s="2766">
        <f t="shared" si="72"/>
        <v>9250933221</v>
      </c>
      <c r="AV24" s="2766">
        <f t="shared" si="72"/>
        <v>41662933560</v>
      </c>
      <c r="AW24" s="2766">
        <f t="shared" si="72"/>
        <v>32761881071</v>
      </c>
      <c r="AX24" s="2766">
        <f t="shared" si="72"/>
        <v>5302909633</v>
      </c>
      <c r="AY24" s="2766">
        <f t="shared" si="72"/>
        <v>38064790704</v>
      </c>
    </row>
    <row r="25" spans="1:51" ht="15">
      <c r="B25" s="2741" t="s">
        <v>3952</v>
      </c>
      <c r="C25" s="2771"/>
      <c r="D25" s="2769">
        <v>91636363.63636364</v>
      </c>
      <c r="E25" s="2769">
        <v>0</v>
      </c>
      <c r="F25" s="2769">
        <v>0</v>
      </c>
      <c r="G25" s="2769">
        <v>0</v>
      </c>
      <c r="L25" s="2736"/>
      <c r="M25" s="2772"/>
      <c r="N25" s="2736"/>
      <c r="O25" s="2737"/>
      <c r="P25" s="2736"/>
      <c r="Q25" s="2736"/>
      <c r="R25" s="2737"/>
      <c r="S25" s="2772"/>
      <c r="T25" s="2736"/>
      <c r="U25" s="2737"/>
    </row>
    <row r="26" spans="1:51" ht="15">
      <c r="B26" s="2741" t="s">
        <v>3953</v>
      </c>
      <c r="C26" s="2771"/>
      <c r="D26" s="2769"/>
      <c r="E26" s="2769">
        <v>5694909135</v>
      </c>
      <c r="F26" s="2769">
        <v>2758516270</v>
      </c>
      <c r="G26" s="2769">
        <v>3555787120</v>
      </c>
    </row>
    <row r="27" spans="1:51" ht="12.75" customHeight="1">
      <c r="B27" s="2773" t="s">
        <v>3954</v>
      </c>
      <c r="C27" s="2769"/>
      <c r="D27" s="2769">
        <v>411404400</v>
      </c>
      <c r="E27" s="2769">
        <v>1857035587.5</v>
      </c>
      <c r="F27" s="2769">
        <v>1054606222.5</v>
      </c>
      <c r="G27" s="2769">
        <v>1498738081.875</v>
      </c>
      <c r="L27" s="2734" t="s">
        <v>3955</v>
      </c>
      <c r="M27" s="2774">
        <f t="shared" ref="M27:U27" si="73">SUM(M10:M11,M13:M22)</f>
        <v>0</v>
      </c>
      <c r="N27" s="2774">
        <f t="shared" si="73"/>
        <v>0</v>
      </c>
      <c r="O27" s="2774">
        <f t="shared" si="73"/>
        <v>0</v>
      </c>
      <c r="P27" s="2774">
        <f t="shared" si="73"/>
        <v>12780381609</v>
      </c>
      <c r="Q27" s="2774">
        <f t="shared" si="73"/>
        <v>1437485637</v>
      </c>
      <c r="R27" s="2774">
        <f t="shared" si="73"/>
        <v>14217867246</v>
      </c>
      <c r="S27" s="2774">
        <f t="shared" si="73"/>
        <v>78790584465.964706</v>
      </c>
      <c r="T27" s="2774">
        <f t="shared" si="73"/>
        <v>12051825006.7582</v>
      </c>
      <c r="U27" s="2774">
        <f t="shared" si="73"/>
        <v>90842409472.7229</v>
      </c>
    </row>
    <row r="28" spans="1:51" s="2775" customFormat="1" ht="15">
      <c r="B28" s="2754" t="s">
        <v>3945</v>
      </c>
      <c r="C28" s="2776">
        <v>0</v>
      </c>
      <c r="D28" s="2776">
        <v>3003040763.6363635</v>
      </c>
      <c r="E28" s="2776">
        <v>7551944722.5</v>
      </c>
      <c r="F28" s="2776">
        <v>3813122492.5</v>
      </c>
      <c r="G28" s="2776">
        <v>5054525201.875</v>
      </c>
      <c r="M28" s="2777">
        <f>M27/1000000000</f>
        <v>0</v>
      </c>
      <c r="N28" s="2777">
        <f t="shared" ref="N28:U28" si="74">N27/1000000000</f>
        <v>0</v>
      </c>
      <c r="O28" s="2777">
        <f t="shared" si="74"/>
        <v>0</v>
      </c>
      <c r="P28" s="2777">
        <f t="shared" si="74"/>
        <v>12.780381609000001</v>
      </c>
      <c r="Q28" s="2777">
        <f t="shared" si="74"/>
        <v>1.437485637</v>
      </c>
      <c r="R28" s="2777">
        <f t="shared" si="74"/>
        <v>14.217867246000001</v>
      </c>
      <c r="S28" s="2777">
        <f t="shared" si="74"/>
        <v>78.790584465964713</v>
      </c>
      <c r="T28" s="2777">
        <f t="shared" si="74"/>
        <v>12.0518250067582</v>
      </c>
      <c r="U28" s="2777">
        <f t="shared" si="74"/>
        <v>90.842409472722906</v>
      </c>
    </row>
    <row r="29" spans="1:51">
      <c r="C29" s="2778"/>
    </row>
    <row r="30" spans="1:51">
      <c r="R30" s="2774"/>
      <c r="U30" s="2774">
        <f>U24-U22</f>
        <v>117168862180.7229</v>
      </c>
    </row>
    <row r="31" spans="1:51" ht="14.1" thickBot="1"/>
    <row r="32" spans="1:51">
      <c r="A32" s="3174" t="s">
        <v>3956</v>
      </c>
      <c r="B32" s="3174" t="s">
        <v>3957</v>
      </c>
      <c r="C32" s="3174" t="s">
        <v>3958</v>
      </c>
      <c r="D32" s="3174" t="s">
        <v>3959</v>
      </c>
      <c r="E32" s="3174" t="s">
        <v>3960</v>
      </c>
      <c r="F32" s="2779"/>
      <c r="G32" s="3176">
        <v>2022</v>
      </c>
      <c r="H32" s="3177"/>
      <c r="I32" s="3176">
        <v>2023</v>
      </c>
      <c r="J32" s="3177"/>
      <c r="K32" s="3176">
        <v>2024</v>
      </c>
      <c r="L32" s="3177"/>
      <c r="M32" s="3176">
        <v>2025</v>
      </c>
      <c r="N32" s="3177"/>
      <c r="O32" s="3176">
        <v>2026</v>
      </c>
      <c r="P32" s="3177"/>
      <c r="Q32" s="3176">
        <v>2027</v>
      </c>
      <c r="R32" s="3177"/>
      <c r="S32" s="3176">
        <v>2028</v>
      </c>
      <c r="T32" s="3177"/>
      <c r="U32" s="3176">
        <v>2029</v>
      </c>
      <c r="V32" s="3177"/>
      <c r="W32" s="3176">
        <v>2030</v>
      </c>
      <c r="X32" s="3177"/>
    </row>
    <row r="33" spans="1:24" ht="14.1" thickBot="1">
      <c r="A33" s="3175"/>
      <c r="B33" s="3175"/>
      <c r="C33" s="3175"/>
      <c r="D33" s="3175"/>
      <c r="E33" s="3175" t="s">
        <v>3961</v>
      </c>
      <c r="F33" s="2780" t="s">
        <v>3962</v>
      </c>
      <c r="G33" s="2781" t="s">
        <v>3963</v>
      </c>
      <c r="H33" s="2780" t="s">
        <v>3962</v>
      </c>
      <c r="I33" s="2781" t="s">
        <v>3963</v>
      </c>
      <c r="J33" s="2780" t="s">
        <v>3962</v>
      </c>
      <c r="K33" s="2781" t="s">
        <v>3963</v>
      </c>
      <c r="L33" s="2780" t="s">
        <v>3962</v>
      </c>
      <c r="M33" s="2781" t="s">
        <v>3963</v>
      </c>
      <c r="N33" s="2780" t="s">
        <v>3962</v>
      </c>
      <c r="O33" s="2781" t="s">
        <v>3963</v>
      </c>
      <c r="P33" s="2780" t="s">
        <v>3962</v>
      </c>
      <c r="Q33" s="2781" t="s">
        <v>3963</v>
      </c>
      <c r="R33" s="2780" t="s">
        <v>3962</v>
      </c>
      <c r="S33" s="2781" t="s">
        <v>3963</v>
      </c>
      <c r="T33" s="2780" t="s">
        <v>3962</v>
      </c>
      <c r="U33" s="2781" t="s">
        <v>3963</v>
      </c>
      <c r="V33" s="2780" t="s">
        <v>3962</v>
      </c>
      <c r="W33" s="2781" t="s">
        <v>3963</v>
      </c>
      <c r="X33" s="2780" t="s">
        <v>3962</v>
      </c>
    </row>
    <row r="34" spans="1:24">
      <c r="A34" s="2782" t="s">
        <v>3964</v>
      </c>
      <c r="B34" s="2782"/>
      <c r="C34" s="2782" t="s">
        <v>3965</v>
      </c>
      <c r="D34" s="2783">
        <v>100000000</v>
      </c>
      <c r="E34" s="2784" t="s">
        <v>3966</v>
      </c>
      <c r="F34" s="2785">
        <v>0</v>
      </c>
      <c r="G34" s="2785">
        <v>9929674.8320365082</v>
      </c>
      <c r="H34" s="2785">
        <v>7339324.8758530719</v>
      </c>
      <c r="I34" s="2785"/>
      <c r="J34" s="2785">
        <v>8000000</v>
      </c>
      <c r="K34" s="2785"/>
      <c r="L34" s="2785">
        <v>7492274.8334470028</v>
      </c>
      <c r="M34" s="2785">
        <v>3924524.9127579536</v>
      </c>
      <c r="N34" s="2785">
        <v>4699800.0666949376</v>
      </c>
      <c r="O34" s="2785">
        <v>0</v>
      </c>
      <c r="P34" s="2785">
        <v>0</v>
      </c>
      <c r="Q34" s="2785">
        <v>0</v>
      </c>
      <c r="R34" s="2785">
        <v>0</v>
      </c>
      <c r="S34" s="2785">
        <v>0</v>
      </c>
      <c r="T34" s="2785">
        <v>0</v>
      </c>
      <c r="U34" s="2785">
        <v>0</v>
      </c>
      <c r="V34" s="2785">
        <v>0</v>
      </c>
      <c r="W34" s="2785">
        <v>0</v>
      </c>
      <c r="X34" s="2785">
        <v>0</v>
      </c>
    </row>
    <row r="35" spans="1:24">
      <c r="A35" s="2782" t="s">
        <v>354</v>
      </c>
      <c r="B35" s="2782"/>
      <c r="C35" s="2782" t="s">
        <v>3965</v>
      </c>
      <c r="D35" s="2783">
        <v>25000000</v>
      </c>
      <c r="E35" s="2784" t="s">
        <v>3966</v>
      </c>
      <c r="F35" s="2785">
        <v>0</v>
      </c>
      <c r="G35" s="2785">
        <v>0</v>
      </c>
      <c r="H35" s="2785">
        <v>2158624.9634861974</v>
      </c>
      <c r="I35" s="2785"/>
      <c r="J35" s="2785">
        <v>23000000</v>
      </c>
      <c r="K35" s="2785"/>
      <c r="L35" s="2785">
        <v>0</v>
      </c>
      <c r="M35" s="2785">
        <v>3924524.9127579536</v>
      </c>
      <c r="N35" s="2785">
        <v>4007238.9388067913</v>
      </c>
      <c r="O35" s="2785">
        <v>3357000.047639241</v>
      </c>
      <c r="P35" s="2785">
        <v>0</v>
      </c>
      <c r="Q35" s="2785">
        <v>0</v>
      </c>
      <c r="R35" s="2785">
        <v>0</v>
      </c>
      <c r="S35" s="2785">
        <v>0</v>
      </c>
      <c r="T35" s="2785">
        <v>0</v>
      </c>
      <c r="U35" s="2785">
        <v>0</v>
      </c>
      <c r="V35" s="2785">
        <v>0</v>
      </c>
      <c r="W35" s="2785">
        <v>0</v>
      </c>
      <c r="X35" s="2785">
        <v>0</v>
      </c>
    </row>
    <row r="36" spans="1:24">
      <c r="A36" s="2782" t="s">
        <v>3218</v>
      </c>
      <c r="B36" s="2782"/>
      <c r="C36" s="2782" t="s">
        <v>3965</v>
      </c>
      <c r="D36" s="2783">
        <v>100000000</v>
      </c>
      <c r="E36" s="2784" t="s">
        <v>3966</v>
      </c>
      <c r="F36" s="2785">
        <v>0</v>
      </c>
      <c r="G36" s="2785">
        <v>8189250.001109818</v>
      </c>
      <c r="H36" s="2785">
        <v>8189250.001109818</v>
      </c>
      <c r="I36" s="2785"/>
      <c r="J36" s="2785">
        <v>6000000</v>
      </c>
      <c r="K36" s="2785"/>
      <c r="L36" s="2785">
        <v>0</v>
      </c>
      <c r="M36" s="2785">
        <v>0</v>
      </c>
      <c r="N36" s="2785">
        <v>0</v>
      </c>
      <c r="O36" s="2785">
        <v>0</v>
      </c>
      <c r="P36" s="2785">
        <v>0</v>
      </c>
      <c r="Q36" s="2785">
        <v>0</v>
      </c>
      <c r="R36" s="2785">
        <v>0</v>
      </c>
      <c r="S36" s="2785">
        <v>0</v>
      </c>
      <c r="T36" s="2785">
        <v>0</v>
      </c>
      <c r="U36" s="2785">
        <v>0</v>
      </c>
      <c r="V36" s="2785">
        <v>0</v>
      </c>
      <c r="W36" s="2785">
        <v>0</v>
      </c>
      <c r="X36" s="2785">
        <v>0</v>
      </c>
    </row>
    <row r="37" spans="1:24" ht="14.4">
      <c r="A37" s="2782" t="s">
        <v>354</v>
      </c>
      <c r="B37" s="2782"/>
      <c r="C37" s="2786" t="s">
        <v>3967</v>
      </c>
      <c r="D37" s="2783">
        <v>15000000</v>
      </c>
      <c r="E37" s="2784" t="s">
        <v>3966</v>
      </c>
      <c r="F37" s="2785">
        <v>12000000</v>
      </c>
      <c r="G37" s="2785">
        <v>3000000</v>
      </c>
      <c r="H37" s="2785">
        <v>0</v>
      </c>
      <c r="I37" s="2785">
        <v>0</v>
      </c>
      <c r="J37" s="2785">
        <v>0</v>
      </c>
      <c r="K37" s="2785">
        <v>0</v>
      </c>
      <c r="L37" s="2785">
        <v>0</v>
      </c>
      <c r="M37" s="2785">
        <v>0</v>
      </c>
      <c r="N37" s="2785">
        <v>4500000</v>
      </c>
      <c r="O37" s="2785">
        <v>0</v>
      </c>
      <c r="P37" s="2785">
        <v>0</v>
      </c>
      <c r="Q37" s="2785">
        <v>0</v>
      </c>
      <c r="R37" s="2785">
        <v>0</v>
      </c>
      <c r="S37" s="2785">
        <v>0</v>
      </c>
      <c r="T37" s="2785">
        <v>0</v>
      </c>
      <c r="U37" s="2785">
        <v>0</v>
      </c>
      <c r="V37" s="2785">
        <v>0</v>
      </c>
      <c r="W37" s="2785">
        <v>0</v>
      </c>
      <c r="X37" s="2785">
        <v>0</v>
      </c>
    </row>
    <row r="38" spans="1:24">
      <c r="F38" s="2787">
        <f>SUM(F34:F37)</f>
        <v>12000000</v>
      </c>
    </row>
    <row r="39" spans="1:24">
      <c r="A39" s="2734" t="s">
        <v>3968</v>
      </c>
      <c r="O39" s="2785">
        <v>15000000</v>
      </c>
    </row>
    <row r="41" spans="1:24">
      <c r="A41" s="2734" t="s">
        <v>3969</v>
      </c>
      <c r="F41" s="2787"/>
      <c r="G41" s="2787">
        <f>SUM(G34:H37)</f>
        <v>38806124.673595414</v>
      </c>
      <c r="J41" s="2787">
        <f>SUM(I34:J36)</f>
        <v>37000000</v>
      </c>
      <c r="L41" s="2787">
        <f>SUM(K34:L36)</f>
        <v>7492274.8334470028</v>
      </c>
      <c r="N41" s="2787">
        <f>SUM(M34:N37)</f>
        <v>21056088.831017636</v>
      </c>
      <c r="P41" s="2787">
        <f>SUM(O34:P37)</f>
        <v>3357000.047639241</v>
      </c>
      <c r="R41" s="2787">
        <f>SUM(Q34:R36)</f>
        <v>0</v>
      </c>
      <c r="T41" s="2787">
        <f>SUM(S34:T36)</f>
        <v>0</v>
      </c>
      <c r="V41" s="2787"/>
      <c r="X41" s="2787">
        <f>SUM(W34:X36)</f>
        <v>0</v>
      </c>
    </row>
    <row r="42" spans="1:24">
      <c r="A42" s="2734" t="s">
        <v>3970</v>
      </c>
      <c r="J42" s="2787">
        <f>SUM(J34:K37)</f>
        <v>37000000</v>
      </c>
      <c r="L42" s="2787">
        <f>SUM(L34:M37)</f>
        <v>15341324.658962911</v>
      </c>
      <c r="N42" s="2787">
        <f>SUM(N34:O37)</f>
        <v>16564039.05314097</v>
      </c>
      <c r="P42" s="2787">
        <f>SUM(P34:Q37)</f>
        <v>0</v>
      </c>
      <c r="R42" s="2787">
        <f>SUM(R34:S37)</f>
        <v>0</v>
      </c>
      <c r="T42" s="2787">
        <f>SUM(T34:U37)</f>
        <v>0</v>
      </c>
      <c r="V42" s="2787"/>
      <c r="X42" s="2787">
        <f>SUM(X34:Y37)</f>
        <v>0</v>
      </c>
    </row>
    <row r="44" spans="1:24">
      <c r="F44" s="2734" t="s">
        <v>3971</v>
      </c>
    </row>
    <row r="46" spans="1:24" ht="14.1" thickBot="1"/>
    <row r="47" spans="1:24" ht="28.2" thickBot="1">
      <c r="D47" s="2788" t="s">
        <v>3972</v>
      </c>
      <c r="E47" s="2789">
        <v>100</v>
      </c>
      <c r="F47"/>
      <c r="G47"/>
      <c r="H47"/>
      <c r="I47"/>
      <c r="J47" s="2790">
        <f>L47-M47</f>
        <v>-124788511.61430071</v>
      </c>
      <c r="K47"/>
      <c r="L47" s="2790">
        <f>SUM(F34:V36)</f>
        <v>100211488.38569929</v>
      </c>
      <c r="M47" s="2790">
        <f>SUM(D34:D36)</f>
        <v>225000000</v>
      </c>
      <c r="N47"/>
    </row>
    <row r="48" spans="1:24" ht="14.4">
      <c r="D48" s="3183"/>
      <c r="E48" s="3183"/>
      <c r="F48"/>
      <c r="G48"/>
      <c r="H48"/>
      <c r="I48"/>
      <c r="J48" s="2790">
        <f>J47/2</f>
        <v>-62394255.807150356</v>
      </c>
      <c r="K48"/>
      <c r="L48"/>
      <c r="M48"/>
      <c r="N48"/>
    </row>
    <row r="49" spans="4:14" ht="14.4">
      <c r="D49" s="2791"/>
      <c r="E49"/>
      <c r="F49"/>
      <c r="G49"/>
      <c r="H49"/>
      <c r="I49"/>
      <c r="J49"/>
      <c r="K49"/>
      <c r="L49"/>
      <c r="M49"/>
      <c r="N49"/>
    </row>
    <row r="50" spans="4:14" ht="14.4">
      <c r="D50" s="2791"/>
      <c r="E50"/>
      <c r="F50"/>
      <c r="G50"/>
      <c r="H50"/>
      <c r="I50"/>
      <c r="J50">
        <v>1000884.59179768</v>
      </c>
      <c r="K50"/>
      <c r="L50"/>
      <c r="M50"/>
      <c r="N50"/>
    </row>
    <row r="51" spans="4:14" ht="14.4">
      <c r="D51" s="2791"/>
      <c r="E51"/>
      <c r="F51"/>
      <c r="G51"/>
      <c r="H51"/>
      <c r="I51"/>
      <c r="J51"/>
      <c r="K51"/>
      <c r="L51"/>
      <c r="M51"/>
      <c r="N51"/>
    </row>
    <row r="52" spans="4:14" ht="14.7" thickBot="1">
      <c r="D52" s="3184" t="s">
        <v>3973</v>
      </c>
      <c r="E52" s="3184"/>
      <c r="F52" s="3184"/>
      <c r="G52" s="3184"/>
      <c r="H52" s="3184"/>
      <c r="I52" s="3184"/>
      <c r="J52"/>
      <c r="K52"/>
      <c r="L52"/>
      <c r="M52"/>
      <c r="N52"/>
    </row>
    <row r="53" spans="4:14" ht="29.1" thickBot="1">
      <c r="D53" s="2792"/>
      <c r="E53" s="3185" t="s">
        <v>3974</v>
      </c>
      <c r="F53" s="3186"/>
      <c r="G53" s="2793" t="s">
        <v>3975</v>
      </c>
      <c r="H53" s="2793" t="s">
        <v>3976</v>
      </c>
      <c r="I53" s="2793" t="s">
        <v>3977</v>
      </c>
      <c r="J53"/>
      <c r="K53"/>
      <c r="L53"/>
      <c r="M53"/>
      <c r="N53"/>
    </row>
    <row r="54" spans="4:14" ht="14.7" thickBot="1">
      <c r="D54" s="2794" t="s">
        <v>3978</v>
      </c>
      <c r="E54" s="3178">
        <v>125</v>
      </c>
      <c r="F54" s="3179"/>
      <c r="G54" s="2795">
        <v>25</v>
      </c>
      <c r="H54" s="2795">
        <v>0</v>
      </c>
      <c r="I54" s="2795">
        <v>150</v>
      </c>
      <c r="J54"/>
      <c r="K54"/>
      <c r="L54"/>
      <c r="M54"/>
      <c r="N54"/>
    </row>
    <row r="55" spans="4:14" ht="14.7" thickBot="1">
      <c r="D55" s="2796" t="s">
        <v>3979</v>
      </c>
      <c r="E55" s="3178">
        <v>25</v>
      </c>
      <c r="F55" s="3179"/>
      <c r="G55" s="2795">
        <v>25</v>
      </c>
      <c r="H55" s="2795">
        <v>0</v>
      </c>
      <c r="I55" s="2795">
        <v>50</v>
      </c>
      <c r="J55"/>
      <c r="K55"/>
      <c r="L55"/>
      <c r="M55"/>
      <c r="N55"/>
    </row>
    <row r="56" spans="4:14" ht="29.1" thickBot="1">
      <c r="D56" s="2796" t="s">
        <v>3980</v>
      </c>
      <c r="E56" s="3178">
        <v>100</v>
      </c>
      <c r="F56" s="3179"/>
      <c r="G56" s="2795">
        <v>0</v>
      </c>
      <c r="H56" s="2795">
        <v>0</v>
      </c>
      <c r="I56" s="2795">
        <v>100</v>
      </c>
      <c r="J56"/>
      <c r="K56"/>
      <c r="L56"/>
      <c r="M56"/>
      <c r="N56"/>
    </row>
    <row r="57" spans="4:14" ht="14.7" thickBot="1">
      <c r="D57" s="2797" t="s">
        <v>1185</v>
      </c>
      <c r="E57" s="3180">
        <v>125</v>
      </c>
      <c r="F57" s="3181"/>
      <c r="G57" s="2798">
        <v>25</v>
      </c>
      <c r="H57" s="2798">
        <v>0</v>
      </c>
      <c r="I57" s="2798">
        <v>150</v>
      </c>
      <c r="J57"/>
      <c r="K57"/>
      <c r="L57"/>
      <c r="M57"/>
      <c r="N57"/>
    </row>
    <row r="58" spans="4:14" ht="14.4">
      <c r="D58" s="3182"/>
      <c r="E58" s="3182"/>
      <c r="F58" s="3182"/>
      <c r="G58" s="3182"/>
      <c r="H58" s="3182"/>
      <c r="I58" s="3182"/>
      <c r="J58"/>
      <c r="K58"/>
      <c r="L58"/>
      <c r="M58"/>
      <c r="N58"/>
    </row>
    <row r="59" spans="4:14" ht="14.4">
      <c r="D59" s="2799"/>
      <c r="E59" s="2799"/>
      <c r="F59" s="2799"/>
      <c r="G59" s="2799"/>
      <c r="H59" s="2799"/>
      <c r="I59" s="2799"/>
      <c r="J59"/>
      <c r="K59"/>
      <c r="L59"/>
      <c r="M59"/>
      <c r="N59"/>
    </row>
    <row r="60" spans="4:14" ht="14.4">
      <c r="D60" s="2791"/>
      <c r="E60"/>
      <c r="F60"/>
      <c r="G60"/>
      <c r="H60"/>
      <c r="I60"/>
      <c r="J60"/>
      <c r="K60"/>
      <c r="L60"/>
      <c r="M60"/>
      <c r="N60"/>
    </row>
    <row r="61" spans="4:14" ht="43.2">
      <c r="D61" s="2800" t="s">
        <v>3981</v>
      </c>
      <c r="E61"/>
      <c r="F61"/>
      <c r="G61"/>
      <c r="H61"/>
      <c r="I61"/>
      <c r="J61"/>
      <c r="K61"/>
      <c r="L61"/>
      <c r="M61"/>
      <c r="N61"/>
    </row>
    <row r="62" spans="4:14" ht="14.4">
      <c r="D62" s="2801"/>
      <c r="E62"/>
      <c r="F62"/>
      <c r="G62"/>
      <c r="H62"/>
      <c r="I62"/>
      <c r="J62"/>
      <c r="K62"/>
      <c r="L62"/>
      <c r="M62"/>
      <c r="N62"/>
    </row>
    <row r="63" spans="4:14" ht="14.4">
      <c r="D63" s="2801"/>
      <c r="E63"/>
      <c r="F63"/>
      <c r="G63"/>
      <c r="H63"/>
      <c r="I63"/>
      <c r="J63"/>
      <c r="K63"/>
      <c r="L63"/>
      <c r="M63"/>
      <c r="N63"/>
    </row>
    <row r="64" spans="4:14" ht="14.7" thickBot="1">
      <c r="D64" s="2802" t="s">
        <v>3982</v>
      </c>
      <c r="E64" s="2803"/>
      <c r="F64" s="2803"/>
      <c r="G64" s="2804"/>
      <c r="H64" s="2804"/>
      <c r="I64" s="2805">
        <v>2022</v>
      </c>
      <c r="J64" s="2805">
        <v>2023</v>
      </c>
      <c r="K64" s="2805">
        <v>2024</v>
      </c>
      <c r="L64" s="2805">
        <v>2025</v>
      </c>
      <c r="M64" s="2805">
        <v>2026</v>
      </c>
      <c r="N64" s="2805">
        <v>2027</v>
      </c>
    </row>
    <row r="65" spans="4:14" ht="15" thickTop="1" thickBot="1">
      <c r="D65" s="2806" t="s">
        <v>3983</v>
      </c>
      <c r="E65" s="2807"/>
      <c r="F65" s="2807"/>
      <c r="G65" s="2808"/>
      <c r="H65" s="2808"/>
      <c r="I65" s="2809">
        <v>30</v>
      </c>
      <c r="J65" s="2809">
        <v>40</v>
      </c>
      <c r="K65" s="2809">
        <v>50</v>
      </c>
      <c r="L65" s="2809">
        <v>60</v>
      </c>
      <c r="M65" s="2809">
        <v>60</v>
      </c>
      <c r="N65" s="2809">
        <v>17.5</v>
      </c>
    </row>
    <row r="66" spans="4:14" ht="14.7" thickBot="1">
      <c r="D66" s="2806" t="s">
        <v>3984</v>
      </c>
      <c r="E66" s="2807"/>
      <c r="F66" s="2807"/>
      <c r="G66" s="2808"/>
      <c r="H66" s="2808"/>
      <c r="I66" s="2809">
        <v>30</v>
      </c>
      <c r="J66" s="2809">
        <v>70</v>
      </c>
      <c r="K66" s="2809">
        <v>120</v>
      </c>
      <c r="L66" s="2809">
        <v>180</v>
      </c>
      <c r="M66" s="2809">
        <v>240</v>
      </c>
      <c r="N66" s="2809">
        <v>257.5</v>
      </c>
    </row>
    <row r="67" spans="4:14">
      <c r="I67" s="2734" t="s">
        <v>3985</v>
      </c>
      <c r="J67" s="2734" t="s">
        <v>3986</v>
      </c>
      <c r="K67" s="2734" t="s">
        <v>3987</v>
      </c>
    </row>
    <row r="68" spans="4:14">
      <c r="I68" s="2810">
        <f>I72/1000000</f>
        <v>74.001978390000005</v>
      </c>
      <c r="J68" s="2810">
        <f>J72/1000000</f>
        <v>75.611999288842739</v>
      </c>
      <c r="K68" s="2810">
        <v>57.870927487573418</v>
      </c>
    </row>
    <row r="70" spans="4:14">
      <c r="J70" s="2734">
        <v>30</v>
      </c>
    </row>
    <row r="72" spans="4:14">
      <c r="I72" s="2787">
        <v>74001978.390000001</v>
      </c>
      <c r="J72" s="2787">
        <v>75611999.288842738</v>
      </c>
      <c r="K72" s="2787"/>
    </row>
    <row r="75" spans="4:14">
      <c r="I75" s="2787"/>
    </row>
  </sheetData>
  <mergeCells count="54">
    <mergeCell ref="E56:F56"/>
    <mergeCell ref="E57:F57"/>
    <mergeCell ref="D58:E58"/>
    <mergeCell ref="F58:I58"/>
    <mergeCell ref="W32:X32"/>
    <mergeCell ref="D48:E48"/>
    <mergeCell ref="D52:I52"/>
    <mergeCell ref="E53:F53"/>
    <mergeCell ref="E54:F54"/>
    <mergeCell ref="E55:F55"/>
    <mergeCell ref="K32:L32"/>
    <mergeCell ref="M32:N32"/>
    <mergeCell ref="O32:P32"/>
    <mergeCell ref="Q32:R32"/>
    <mergeCell ref="S32:T32"/>
    <mergeCell ref="U32:V32"/>
    <mergeCell ref="AT4:AV4"/>
    <mergeCell ref="AW4:AY4"/>
    <mergeCell ref="B12:G12"/>
    <mergeCell ref="A32:A33"/>
    <mergeCell ref="B32:B33"/>
    <mergeCell ref="C32:C33"/>
    <mergeCell ref="D32:D33"/>
    <mergeCell ref="E32:E33"/>
    <mergeCell ref="G32:H32"/>
    <mergeCell ref="I32:J32"/>
    <mergeCell ref="AB4:AC4"/>
    <mergeCell ref="AE4:AF4"/>
    <mergeCell ref="AH4:AJ4"/>
    <mergeCell ref="AK4:AM4"/>
    <mergeCell ref="AN4:AP4"/>
    <mergeCell ref="AQ4:AS4"/>
    <mergeCell ref="AQ3:AS3"/>
    <mergeCell ref="AT3:AV3"/>
    <mergeCell ref="AW3:AY3"/>
    <mergeCell ref="B4:G4"/>
    <mergeCell ref="L4:L5"/>
    <mergeCell ref="M4:N4"/>
    <mergeCell ref="P4:Q4"/>
    <mergeCell ref="S4:T4"/>
    <mergeCell ref="V4:W4"/>
    <mergeCell ref="Y4:Z4"/>
    <mergeCell ref="Y3:Z3"/>
    <mergeCell ref="AB3:AC3"/>
    <mergeCell ref="AE3:AF3"/>
    <mergeCell ref="AH3:AJ3"/>
    <mergeCell ref="AK3:AM3"/>
    <mergeCell ref="AN3:AP3"/>
    <mergeCell ref="V3:W3"/>
    <mergeCell ref="B2:F2"/>
    <mergeCell ref="L2:U2"/>
    <mergeCell ref="M3:N3"/>
    <mergeCell ref="P3:Q3"/>
    <mergeCell ref="S3:T3"/>
  </mergeCells>
  <pageMargins left="0.7" right="0.7" top="0.75" bottom="0.75" header="0.3" footer="0.3"/>
  <pageSetup scale="13" fitToHeight="0" orientation="landscape" horizontalDpi="4294967295" verticalDpi="4294967295"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889F-B86E-411A-A2FF-8F53F588860F}">
  <dimension ref="B1:AC29"/>
  <sheetViews>
    <sheetView topLeftCell="A5" workbookViewId="0">
      <pane xSplit="2" ySplit="2" topLeftCell="C7" activePane="bottomRight" state="frozen"/>
      <selection activeCell="A5" sqref="A5"/>
      <selection pane="topRight" activeCell="C5" sqref="C5"/>
      <selection pane="bottomLeft" activeCell="A7" sqref="A7"/>
      <selection pane="bottomRight" activeCell="D30" sqref="D30"/>
    </sheetView>
  </sheetViews>
  <sheetFormatPr defaultRowHeight="14.4"/>
  <cols>
    <col min="2" max="2" width="10.5234375" bestFit="1" customWidth="1"/>
    <col min="3" max="3" width="16.26171875" customWidth="1"/>
    <col min="4" max="4" width="35.734375" bestFit="1" customWidth="1"/>
    <col min="5" max="7" width="13.5234375" hidden="1" customWidth="1"/>
    <col min="8" max="9" width="14.5234375" hidden="1" customWidth="1"/>
    <col min="10" max="10" width="15.47265625" bestFit="1" customWidth="1"/>
    <col min="11" max="17" width="16.83984375" bestFit="1" customWidth="1"/>
    <col min="18" max="28" width="15.68359375" bestFit="1" customWidth="1"/>
    <col min="29" max="29" width="15.578125" bestFit="1" customWidth="1"/>
  </cols>
  <sheetData>
    <row r="1" spans="2:29" hidden="1"/>
    <row r="2" spans="2:29" hidden="1"/>
    <row r="3" spans="2:29" hidden="1"/>
    <row r="4" spans="2:29" hidden="1"/>
    <row r="6" spans="2:29" ht="14.7" thickBot="1">
      <c r="B6" s="3090" t="s">
        <v>4178</v>
      </c>
      <c r="C6" s="3090" t="s">
        <v>4179</v>
      </c>
      <c r="D6" s="3090"/>
      <c r="E6" s="3090">
        <v>2020</v>
      </c>
      <c r="F6" s="3090">
        <v>2021</v>
      </c>
      <c r="G6" s="3090">
        <v>2022</v>
      </c>
      <c r="H6" s="3090">
        <v>2023</v>
      </c>
      <c r="I6" s="3090">
        <v>2024</v>
      </c>
      <c r="J6" s="3090">
        <v>2025</v>
      </c>
      <c r="K6" s="3090">
        <v>2026</v>
      </c>
      <c r="L6" s="3090">
        <v>2027</v>
      </c>
      <c r="M6" s="3090">
        <v>2028</v>
      </c>
      <c r="N6" s="3090">
        <v>2029</v>
      </c>
      <c r="O6" s="3090">
        <v>2030</v>
      </c>
      <c r="P6" s="3090">
        <v>2031</v>
      </c>
      <c r="Q6" s="3090">
        <v>2032</v>
      </c>
      <c r="R6" s="3090">
        <v>2033</v>
      </c>
      <c r="S6" s="3090">
        <v>2034</v>
      </c>
      <c r="T6" s="3090">
        <v>2035</v>
      </c>
      <c r="U6" s="3090">
        <v>2036</v>
      </c>
      <c r="V6" s="3090">
        <v>2037</v>
      </c>
      <c r="W6" s="3090">
        <v>2038</v>
      </c>
      <c r="X6" s="3090">
        <v>2039</v>
      </c>
      <c r="Y6" s="3090">
        <v>2040</v>
      </c>
      <c r="Z6" s="3090">
        <v>2041</v>
      </c>
      <c r="AA6" s="3090">
        <v>2042</v>
      </c>
      <c r="AB6" s="3090">
        <v>2043</v>
      </c>
      <c r="AC6" s="3090">
        <v>2044</v>
      </c>
    </row>
    <row r="7" spans="2:29">
      <c r="B7" s="3189" t="s">
        <v>4180</v>
      </c>
      <c r="C7" s="3192" t="s">
        <v>372</v>
      </c>
      <c r="D7" s="4" t="s">
        <v>4181</v>
      </c>
      <c r="E7" s="3091">
        <v>80513678</v>
      </c>
      <c r="F7" s="3091">
        <v>1479601764</v>
      </c>
      <c r="G7" s="3091">
        <v>6341130560</v>
      </c>
      <c r="H7" s="3091">
        <v>8588763998</v>
      </c>
      <c r="I7" s="3091">
        <v>10139041577</v>
      </c>
      <c r="J7" s="3091">
        <v>10227538295</v>
      </c>
      <c r="K7" s="3091">
        <v>7082788696</v>
      </c>
      <c r="L7" s="3091">
        <v>5787525532</v>
      </c>
      <c r="M7" s="3091">
        <v>5490284953</v>
      </c>
      <c r="N7" s="3091">
        <v>5368931355</v>
      </c>
      <c r="O7" s="3091">
        <v>4989518510</v>
      </c>
      <c r="P7" s="3091">
        <v>3733562618</v>
      </c>
      <c r="Q7" s="3091">
        <v>3710915558</v>
      </c>
      <c r="R7" s="3091">
        <v>3700904478</v>
      </c>
      <c r="S7" s="3091">
        <v>3652171330</v>
      </c>
      <c r="T7" s="3091">
        <v>3107080371</v>
      </c>
      <c r="U7" s="3091">
        <v>1170180384</v>
      </c>
      <c r="V7" s="3091">
        <v>151912760</v>
      </c>
      <c r="W7" s="4"/>
      <c r="X7" s="4"/>
      <c r="Y7" s="4"/>
      <c r="Z7" s="4"/>
      <c r="AA7" s="4"/>
      <c r="AB7" s="4"/>
      <c r="AC7" s="5"/>
    </row>
    <row r="8" spans="2:29">
      <c r="B8" s="3190"/>
      <c r="C8" s="3193"/>
      <c r="D8" t="s">
        <v>4182</v>
      </c>
      <c r="E8" s="3092">
        <v>80513678</v>
      </c>
      <c r="F8" s="3092">
        <v>1560115442</v>
      </c>
      <c r="G8" s="3092">
        <v>7901246002</v>
      </c>
      <c r="H8" s="3092">
        <v>16490010000</v>
      </c>
      <c r="I8" s="3092">
        <v>26629051577</v>
      </c>
      <c r="J8" s="3092">
        <v>36856589872</v>
      </c>
      <c r="K8" s="3092">
        <v>43939378568</v>
      </c>
      <c r="L8" s="3092">
        <v>49726904100</v>
      </c>
      <c r="M8" s="3092">
        <v>55217189053</v>
      </c>
      <c r="N8" s="3092">
        <v>60586120408</v>
      </c>
      <c r="O8" s="3092">
        <v>65575638918</v>
      </c>
      <c r="P8" s="3092">
        <v>69309201536</v>
      </c>
      <c r="Q8" s="3092">
        <v>73020117094</v>
      </c>
      <c r="R8" s="3092">
        <v>76721021572</v>
      </c>
      <c r="S8" s="3092">
        <v>80373192902</v>
      </c>
      <c r="T8" s="3092">
        <v>83480273273</v>
      </c>
      <c r="U8" s="3092">
        <v>84650453657</v>
      </c>
      <c r="V8" s="3092">
        <v>84802366417</v>
      </c>
      <c r="W8" s="3092"/>
      <c r="X8" s="3092"/>
      <c r="Y8" s="3092"/>
      <c r="Z8" s="3092"/>
      <c r="AA8" s="3092"/>
      <c r="AB8" s="3092"/>
      <c r="AC8" s="3093"/>
    </row>
    <row r="9" spans="2:29" ht="14.7" thickBot="1">
      <c r="B9" s="3191"/>
      <c r="C9" s="3194"/>
      <c r="D9" s="7" t="s">
        <v>4183</v>
      </c>
      <c r="E9" s="3094">
        <v>0</v>
      </c>
      <c r="F9" s="3094">
        <v>0</v>
      </c>
      <c r="G9" s="3094">
        <v>0</v>
      </c>
      <c r="H9" s="3094">
        <v>2377088714</v>
      </c>
      <c r="I9" s="3094">
        <v>26716419211</v>
      </c>
      <c r="J9" s="3094">
        <v>36965065896</v>
      </c>
      <c r="K9" s="3094">
        <v>0</v>
      </c>
      <c r="L9" s="3094">
        <v>0</v>
      </c>
      <c r="M9" s="3094">
        <v>0</v>
      </c>
      <c r="N9" s="3094">
        <v>0</v>
      </c>
      <c r="O9" s="3094">
        <v>0</v>
      </c>
      <c r="P9" s="3094">
        <v>0</v>
      </c>
      <c r="Q9" s="3094">
        <v>0</v>
      </c>
      <c r="R9" s="3094">
        <v>0</v>
      </c>
      <c r="S9" s="3094">
        <v>0</v>
      </c>
      <c r="T9" s="3094">
        <v>0</v>
      </c>
      <c r="U9" s="3094">
        <v>0</v>
      </c>
      <c r="V9" s="3094">
        <v>0</v>
      </c>
      <c r="W9" s="3094">
        <v>0</v>
      </c>
      <c r="X9" s="3094">
        <v>0</v>
      </c>
      <c r="Y9" s="3094">
        <v>0</v>
      </c>
      <c r="Z9" s="3094">
        <v>0</v>
      </c>
      <c r="AA9" s="3094">
        <v>0</v>
      </c>
      <c r="AB9" s="3094">
        <v>0</v>
      </c>
      <c r="AC9" s="3095">
        <v>0</v>
      </c>
    </row>
    <row r="10" spans="2:29">
      <c r="B10" s="3189" t="s">
        <v>4184</v>
      </c>
      <c r="C10" s="3192" t="s">
        <v>3940</v>
      </c>
      <c r="D10" s="4" t="s">
        <v>4181</v>
      </c>
      <c r="E10" s="3091">
        <v>0</v>
      </c>
      <c r="F10" s="3091">
        <v>0</v>
      </c>
      <c r="G10" s="3091">
        <v>0</v>
      </c>
      <c r="H10" s="3091">
        <v>0</v>
      </c>
      <c r="I10" s="3091">
        <v>0</v>
      </c>
      <c r="J10" s="3091">
        <v>0</v>
      </c>
      <c r="K10" s="3091">
        <v>4976781210</v>
      </c>
      <c r="L10" s="3091">
        <v>9953562420</v>
      </c>
      <c r="M10" s="3091">
        <v>9953562420</v>
      </c>
      <c r="N10" s="3091">
        <v>9953562420</v>
      </c>
      <c r="O10" s="3091">
        <v>9953562420</v>
      </c>
      <c r="P10" s="3091">
        <v>9953562420</v>
      </c>
      <c r="Q10" s="3091">
        <v>9953562420</v>
      </c>
      <c r="R10" s="3091">
        <v>9953562420</v>
      </c>
      <c r="S10" s="3091">
        <v>9953562420</v>
      </c>
      <c r="T10" s="3091">
        <v>9953562420</v>
      </c>
      <c r="U10" s="3091">
        <v>9953562420</v>
      </c>
      <c r="V10" s="3091">
        <v>9953562420</v>
      </c>
      <c r="W10" s="3091">
        <v>9953562420</v>
      </c>
      <c r="X10" s="3091">
        <v>9953562420</v>
      </c>
      <c r="Y10" s="3091">
        <v>9953562420</v>
      </c>
      <c r="Z10" s="3091">
        <v>9953562420</v>
      </c>
      <c r="AA10" s="3091">
        <v>9953562420</v>
      </c>
      <c r="AB10" s="3091">
        <v>9953562420</v>
      </c>
      <c r="AC10" s="3096">
        <v>4976781198</v>
      </c>
    </row>
    <row r="11" spans="2:29">
      <c r="B11" s="3190"/>
      <c r="C11" s="3193"/>
      <c r="D11" t="s">
        <v>4182</v>
      </c>
      <c r="E11" s="3092">
        <v>0</v>
      </c>
      <c r="F11" s="3092">
        <v>0</v>
      </c>
      <c r="G11" s="3092">
        <v>0</v>
      </c>
      <c r="H11" s="3092">
        <v>0</v>
      </c>
      <c r="I11" s="3092">
        <v>0</v>
      </c>
      <c r="J11" s="3092">
        <v>0</v>
      </c>
      <c r="K11" s="3092">
        <v>4976781210</v>
      </c>
      <c r="L11" s="3092">
        <f>L10+K11</f>
        <v>14930343630</v>
      </c>
      <c r="M11" s="3092">
        <f>M10+L11</f>
        <v>24883906050</v>
      </c>
      <c r="N11" s="3092">
        <f>N10+M11</f>
        <v>34837468470</v>
      </c>
      <c r="O11" s="3092">
        <f t="shared" ref="O11:AC11" si="0">O10+N11</f>
        <v>44791030890</v>
      </c>
      <c r="P11" s="3092">
        <f t="shared" si="0"/>
        <v>54744593310</v>
      </c>
      <c r="Q11" s="3092">
        <f t="shared" si="0"/>
        <v>64698155730</v>
      </c>
      <c r="R11" s="3092">
        <f t="shared" si="0"/>
        <v>74651718150</v>
      </c>
      <c r="S11" s="3092">
        <f t="shared" si="0"/>
        <v>84605280570</v>
      </c>
      <c r="T11" s="3092">
        <f t="shared" si="0"/>
        <v>94558842990</v>
      </c>
      <c r="U11" s="3092">
        <f t="shared" si="0"/>
        <v>104512405410</v>
      </c>
      <c r="V11" s="3092">
        <f t="shared" si="0"/>
        <v>114465967830</v>
      </c>
      <c r="W11" s="3092">
        <f t="shared" si="0"/>
        <v>124419530250</v>
      </c>
      <c r="X11" s="3092">
        <f t="shared" si="0"/>
        <v>134373092670</v>
      </c>
      <c r="Y11" s="3092">
        <f t="shared" si="0"/>
        <v>144326655090</v>
      </c>
      <c r="Z11" s="3092">
        <f t="shared" si="0"/>
        <v>154280217510</v>
      </c>
      <c r="AA11" s="3092">
        <f t="shared" si="0"/>
        <v>164233779930</v>
      </c>
      <c r="AB11" s="3092">
        <f t="shared" si="0"/>
        <v>174187342350</v>
      </c>
      <c r="AC11" s="3093">
        <f t="shared" si="0"/>
        <v>179164123548</v>
      </c>
    </row>
    <row r="12" spans="2:29" ht="14.7" thickBot="1">
      <c r="B12" s="3190"/>
      <c r="C12" s="3194"/>
      <c r="D12" t="s">
        <v>4183</v>
      </c>
      <c r="E12" s="3092">
        <v>0</v>
      </c>
      <c r="F12" s="3092">
        <v>0</v>
      </c>
      <c r="G12" s="3092">
        <v>0</v>
      </c>
      <c r="H12" s="3092">
        <v>0</v>
      </c>
      <c r="I12" s="3092">
        <v>0</v>
      </c>
      <c r="J12" s="3092">
        <v>0</v>
      </c>
      <c r="K12" s="3092">
        <v>0</v>
      </c>
      <c r="L12" s="3092">
        <v>0</v>
      </c>
      <c r="M12" s="3092">
        <v>0</v>
      </c>
      <c r="N12" s="3092">
        <v>0</v>
      </c>
      <c r="O12" s="3092">
        <v>0</v>
      </c>
      <c r="P12" s="3092">
        <v>0</v>
      </c>
      <c r="Q12" s="3092">
        <v>0</v>
      </c>
      <c r="R12" s="3092">
        <v>0</v>
      </c>
      <c r="S12" s="3092">
        <v>0</v>
      </c>
      <c r="T12" s="3092">
        <v>0</v>
      </c>
      <c r="U12" s="3092">
        <v>0</v>
      </c>
      <c r="V12" s="3092">
        <v>0</v>
      </c>
      <c r="W12" s="3092">
        <v>0</v>
      </c>
      <c r="X12" s="3092">
        <v>0</v>
      </c>
      <c r="Y12" s="3092">
        <v>0</v>
      </c>
      <c r="Z12" s="3092">
        <v>0</v>
      </c>
      <c r="AA12" s="3092">
        <v>0</v>
      </c>
      <c r="AB12" s="3092">
        <v>0</v>
      </c>
      <c r="AC12" s="3093">
        <v>0</v>
      </c>
    </row>
    <row r="13" spans="2:29">
      <c r="B13" s="3190"/>
      <c r="C13" s="3192" t="s">
        <v>4185</v>
      </c>
      <c r="D13" t="s">
        <v>4181</v>
      </c>
      <c r="E13" s="3092">
        <v>0</v>
      </c>
      <c r="F13" s="3092">
        <v>0</v>
      </c>
      <c r="G13" s="3092">
        <v>0</v>
      </c>
      <c r="H13" s="3092">
        <v>0</v>
      </c>
      <c r="I13" s="3092">
        <v>0</v>
      </c>
      <c r="J13" s="3092">
        <v>0</v>
      </c>
      <c r="K13" s="3092">
        <v>243038394.6111111</v>
      </c>
      <c r="L13" s="3092">
        <v>486076789.22222221</v>
      </c>
      <c r="M13" s="3092">
        <v>486076789.22222221</v>
      </c>
      <c r="N13" s="3092">
        <v>486076789.22222221</v>
      </c>
      <c r="O13" s="3092">
        <v>486076789.22222221</v>
      </c>
      <c r="P13" s="3092">
        <v>486076789.22222221</v>
      </c>
      <c r="Q13" s="3092">
        <v>486076789.22222221</v>
      </c>
      <c r="R13" s="3092">
        <v>486076789.22222221</v>
      </c>
      <c r="S13" s="3092">
        <v>486076789.22222221</v>
      </c>
      <c r="T13" s="3092">
        <v>486076789.22222221</v>
      </c>
      <c r="U13" s="3092">
        <v>486076789.22222221</v>
      </c>
      <c r="V13" s="3092">
        <v>486076789.22222221</v>
      </c>
      <c r="W13" s="3092">
        <v>486076789.22222221</v>
      </c>
      <c r="X13" s="3092">
        <v>486076789.22222221</v>
      </c>
      <c r="Y13" s="3092">
        <v>486076789.22222221</v>
      </c>
      <c r="Z13" s="3092">
        <v>486076789.22222221</v>
      </c>
      <c r="AA13" s="3092">
        <v>486076789.22222221</v>
      </c>
      <c r="AB13" s="3092">
        <v>486076789.22222221</v>
      </c>
      <c r="AC13" s="3093">
        <v>243038394.6111111</v>
      </c>
    </row>
    <row r="14" spans="2:29">
      <c r="B14" s="3190"/>
      <c r="C14" s="3193"/>
      <c r="D14" t="s">
        <v>4182</v>
      </c>
      <c r="E14" s="3092">
        <v>0</v>
      </c>
      <c r="F14" s="3092">
        <v>0</v>
      </c>
      <c r="G14" s="3092">
        <v>0</v>
      </c>
      <c r="H14" s="3092">
        <v>0</v>
      </c>
      <c r="I14" s="3092">
        <v>0</v>
      </c>
      <c r="J14" s="3092">
        <v>0</v>
      </c>
      <c r="K14" s="3092">
        <v>243038394.6111111</v>
      </c>
      <c r="L14" s="3092">
        <f>L13+K14</f>
        <v>729115183.83333325</v>
      </c>
      <c r="M14" s="3092">
        <f>M13+L14</f>
        <v>1215191973.0555553</v>
      </c>
      <c r="N14" s="3092">
        <f>N13+M14</f>
        <v>1701268762.2777777</v>
      </c>
      <c r="O14" s="3092">
        <f t="shared" ref="O14:AC14" si="1">O13+N14</f>
        <v>2187345551.5</v>
      </c>
      <c r="P14" s="3092">
        <f t="shared" si="1"/>
        <v>2673422340.7222223</v>
      </c>
      <c r="Q14" s="3092">
        <f t="shared" si="1"/>
        <v>3159499129.9444447</v>
      </c>
      <c r="R14" s="3092">
        <f t="shared" si="1"/>
        <v>3645575919.166667</v>
      </c>
      <c r="S14" s="3092">
        <f t="shared" si="1"/>
        <v>4131652708.3888893</v>
      </c>
      <c r="T14" s="3092">
        <f t="shared" si="1"/>
        <v>4617729497.6111116</v>
      </c>
      <c r="U14" s="3092">
        <f t="shared" si="1"/>
        <v>5103806286.833334</v>
      </c>
      <c r="V14" s="3092">
        <f t="shared" si="1"/>
        <v>5589883076.0555563</v>
      </c>
      <c r="W14" s="3092">
        <f t="shared" si="1"/>
        <v>6075959865.2777786</v>
      </c>
      <c r="X14" s="3092">
        <f t="shared" si="1"/>
        <v>6562036654.500001</v>
      </c>
      <c r="Y14" s="3092">
        <f t="shared" si="1"/>
        <v>7048113443.7222233</v>
      </c>
      <c r="Z14" s="3092">
        <f t="shared" si="1"/>
        <v>7534190232.9444456</v>
      </c>
      <c r="AA14" s="3092">
        <f t="shared" si="1"/>
        <v>8020267022.1666679</v>
      </c>
      <c r="AB14" s="3092">
        <f t="shared" si="1"/>
        <v>8506343811.3888903</v>
      </c>
      <c r="AC14" s="3093">
        <f t="shared" si="1"/>
        <v>8749382206.0000019</v>
      </c>
    </row>
    <row r="15" spans="2:29" ht="14.7" thickBot="1">
      <c r="B15" s="3191"/>
      <c r="C15" s="3194"/>
      <c r="D15" s="7" t="s">
        <v>4183</v>
      </c>
      <c r="E15" s="3094">
        <v>0</v>
      </c>
      <c r="F15" s="3094">
        <v>0</v>
      </c>
      <c r="G15" s="3094">
        <v>0</v>
      </c>
      <c r="H15" s="3094">
        <v>0</v>
      </c>
      <c r="I15" s="3094">
        <v>0</v>
      </c>
      <c r="J15" s="3094">
        <v>0</v>
      </c>
      <c r="K15" s="3094">
        <v>0</v>
      </c>
      <c r="L15" s="3094">
        <v>0</v>
      </c>
      <c r="M15" s="3094">
        <v>0</v>
      </c>
      <c r="N15" s="3094">
        <v>0</v>
      </c>
      <c r="O15" s="3094">
        <v>0</v>
      </c>
      <c r="P15" s="3094">
        <v>0</v>
      </c>
      <c r="Q15" s="3094">
        <v>0</v>
      </c>
      <c r="R15" s="3094">
        <v>0</v>
      </c>
      <c r="S15" s="3094">
        <v>0</v>
      </c>
      <c r="T15" s="3094">
        <v>0</v>
      </c>
      <c r="U15" s="3094">
        <v>0</v>
      </c>
      <c r="V15" s="3094">
        <v>0</v>
      </c>
      <c r="W15" s="3094">
        <v>0</v>
      </c>
      <c r="X15" s="3094">
        <v>0</v>
      </c>
      <c r="Y15" s="3094">
        <v>0</v>
      </c>
      <c r="Z15" s="3094">
        <v>0</v>
      </c>
      <c r="AA15" s="3094">
        <v>0</v>
      </c>
      <c r="AB15" s="3094">
        <v>0</v>
      </c>
      <c r="AC15" s="3095">
        <v>0</v>
      </c>
    </row>
    <row r="16" spans="2:29">
      <c r="E16" s="3097"/>
      <c r="F16" s="3097"/>
      <c r="G16" s="3097"/>
      <c r="H16" s="3097"/>
      <c r="I16" s="3097"/>
      <c r="J16" s="3097"/>
      <c r="K16" s="3097"/>
      <c r="L16" s="3097"/>
      <c r="M16" s="3097"/>
      <c r="N16" s="3097"/>
      <c r="O16" s="3097"/>
      <c r="P16" s="3097"/>
      <c r="Q16" s="3097"/>
      <c r="R16" s="3097"/>
      <c r="S16" s="3097"/>
      <c r="T16" s="3097"/>
      <c r="U16" s="3097"/>
      <c r="V16" s="3097"/>
      <c r="W16" s="3097"/>
      <c r="X16" s="3097"/>
      <c r="Y16" s="3097"/>
      <c r="Z16" s="3097"/>
      <c r="AA16" s="3097"/>
      <c r="AB16" s="3097"/>
      <c r="AC16" s="3097"/>
    </row>
    <row r="17" spans="2:29">
      <c r="E17" s="3097"/>
      <c r="F17" s="3097"/>
      <c r="G17" s="3097"/>
      <c r="H17" s="3097"/>
      <c r="I17" s="3097"/>
      <c r="J17" s="3097"/>
      <c r="K17" s="3097"/>
      <c r="L17" s="3097"/>
      <c r="M17" s="3097"/>
      <c r="N17" s="3097"/>
      <c r="O17" s="3097"/>
      <c r="P17" s="3097"/>
      <c r="Q17" s="3097"/>
      <c r="R17" s="3097"/>
      <c r="S17" s="3097"/>
      <c r="T17" s="3097"/>
      <c r="U17" s="3097"/>
      <c r="V17" s="3097"/>
      <c r="W17" s="3097"/>
      <c r="X17" s="3097"/>
      <c r="Y17" s="3097"/>
      <c r="Z17" s="3097"/>
      <c r="AA17" s="3097"/>
      <c r="AB17" s="3097"/>
      <c r="AC17" s="3097"/>
    </row>
    <row r="18" spans="2:29" s="3099" customFormat="1" ht="15.6">
      <c r="B18" s="3195" t="s">
        <v>4186</v>
      </c>
      <c r="C18" s="3195"/>
      <c r="D18" s="3195"/>
      <c r="E18" s="3098">
        <f>E7+E10+E13</f>
        <v>80513678</v>
      </c>
      <c r="F18" s="3098">
        <f t="shared" ref="F18:AC20" si="2">F7+F10+F13</f>
        <v>1479601764</v>
      </c>
      <c r="G18" s="3098">
        <f t="shared" si="2"/>
        <v>6341130560</v>
      </c>
      <c r="H18" s="3098">
        <f t="shared" si="2"/>
        <v>8588763998</v>
      </c>
      <c r="I18" s="3098">
        <f t="shared" si="2"/>
        <v>10139041577</v>
      </c>
      <c r="J18" s="3098">
        <f t="shared" si="2"/>
        <v>10227538295</v>
      </c>
      <c r="K18" s="3098">
        <f t="shared" si="2"/>
        <v>12302608300.611111</v>
      </c>
      <c r="L18" s="3098">
        <f t="shared" si="2"/>
        <v>16227164741.222221</v>
      </c>
      <c r="M18" s="3098">
        <f t="shared" si="2"/>
        <v>15929924162.222221</v>
      </c>
      <c r="N18" s="3098">
        <f t="shared" si="2"/>
        <v>15808570564.222221</v>
      </c>
      <c r="O18" s="3098">
        <f t="shared" si="2"/>
        <v>15429157719.222221</v>
      </c>
      <c r="P18" s="3098">
        <f t="shared" si="2"/>
        <v>14173201827.222221</v>
      </c>
      <c r="Q18" s="3098">
        <f t="shared" si="2"/>
        <v>14150554767.222221</v>
      </c>
      <c r="R18" s="3098">
        <f t="shared" si="2"/>
        <v>14140543687.222221</v>
      </c>
      <c r="S18" s="3098">
        <f t="shared" si="2"/>
        <v>14091810539.222221</v>
      </c>
      <c r="T18" s="3098">
        <f t="shared" si="2"/>
        <v>13546719580.222221</v>
      </c>
      <c r="U18" s="3098">
        <f t="shared" si="2"/>
        <v>11609819593.222221</v>
      </c>
      <c r="V18" s="3098">
        <f t="shared" si="2"/>
        <v>10591551969.222221</v>
      </c>
      <c r="W18" s="3098">
        <f t="shared" si="2"/>
        <v>10439639209.222221</v>
      </c>
      <c r="X18" s="3098">
        <f t="shared" si="2"/>
        <v>10439639209.222221</v>
      </c>
      <c r="Y18" s="3098">
        <f t="shared" si="2"/>
        <v>10439639209.222221</v>
      </c>
      <c r="Z18" s="3098">
        <f t="shared" si="2"/>
        <v>10439639209.222221</v>
      </c>
      <c r="AA18" s="3098">
        <f t="shared" si="2"/>
        <v>10439639209.222221</v>
      </c>
      <c r="AB18" s="3098">
        <f t="shared" si="2"/>
        <v>10439639209.222221</v>
      </c>
      <c r="AC18" s="3098">
        <f t="shared" si="2"/>
        <v>5219819592.6111107</v>
      </c>
    </row>
    <row r="19" spans="2:29">
      <c r="B19" s="3187" t="s">
        <v>4187</v>
      </c>
      <c r="C19" s="3187"/>
      <c r="D19" s="3187"/>
      <c r="E19" s="3100">
        <f t="shared" ref="E19:T20" si="3">E8+E11+E14</f>
        <v>80513678</v>
      </c>
      <c r="F19" s="3100">
        <f t="shared" si="3"/>
        <v>1560115442</v>
      </c>
      <c r="G19" s="3100">
        <f t="shared" si="3"/>
        <v>7901246002</v>
      </c>
      <c r="H19" s="3100">
        <f t="shared" si="3"/>
        <v>16490010000</v>
      </c>
      <c r="I19" s="3100">
        <f t="shared" si="3"/>
        <v>26629051577</v>
      </c>
      <c r="J19" s="3100">
        <f t="shared" si="3"/>
        <v>36856589872</v>
      </c>
      <c r="K19" s="3100">
        <f t="shared" si="3"/>
        <v>49159198172.611115</v>
      </c>
      <c r="L19" s="3100">
        <f t="shared" si="3"/>
        <v>65386362913.833336</v>
      </c>
      <c r="M19" s="3100">
        <f t="shared" si="3"/>
        <v>81316287076.055557</v>
      </c>
      <c r="N19" s="3100">
        <f t="shared" si="3"/>
        <v>97124857640.277771</v>
      </c>
      <c r="O19" s="3100">
        <f t="shared" si="3"/>
        <v>112554015359.5</v>
      </c>
      <c r="P19" s="3100">
        <f t="shared" si="3"/>
        <v>126727217186.72223</v>
      </c>
      <c r="Q19" s="3100">
        <f t="shared" si="3"/>
        <v>140877771953.94446</v>
      </c>
      <c r="R19" s="3100">
        <f t="shared" si="3"/>
        <v>155018315641.16666</v>
      </c>
      <c r="S19" s="3100">
        <f t="shared" si="3"/>
        <v>169110126180.38889</v>
      </c>
      <c r="T19" s="3100">
        <f t="shared" si="3"/>
        <v>182656845760.61111</v>
      </c>
      <c r="U19" s="3100">
        <f t="shared" si="2"/>
        <v>194266665353.83334</v>
      </c>
      <c r="V19" s="3100">
        <f t="shared" si="2"/>
        <v>204858217323.05554</v>
      </c>
      <c r="W19" s="3100">
        <f t="shared" si="2"/>
        <v>130495490115.27777</v>
      </c>
      <c r="X19" s="3100">
        <f t="shared" si="2"/>
        <v>140935129324.5</v>
      </c>
      <c r="Y19" s="3100">
        <f t="shared" si="2"/>
        <v>151374768533.72223</v>
      </c>
      <c r="Z19" s="3100">
        <f t="shared" si="2"/>
        <v>161814407742.94446</v>
      </c>
      <c r="AA19" s="3100">
        <f t="shared" si="2"/>
        <v>172254046952.16666</v>
      </c>
      <c r="AB19" s="3100">
        <f t="shared" si="2"/>
        <v>182693686161.38889</v>
      </c>
      <c r="AC19" s="3100">
        <f t="shared" si="2"/>
        <v>187913505754</v>
      </c>
    </row>
    <row r="20" spans="2:29">
      <c r="B20" s="3187" t="s">
        <v>4188</v>
      </c>
      <c r="C20" s="3187"/>
      <c r="D20" s="3187"/>
      <c r="E20" s="3100">
        <f t="shared" si="3"/>
        <v>0</v>
      </c>
      <c r="F20" s="3100">
        <f t="shared" si="2"/>
        <v>0</v>
      </c>
      <c r="G20" s="3100">
        <f t="shared" si="2"/>
        <v>0</v>
      </c>
      <c r="H20" s="3100">
        <f t="shared" si="2"/>
        <v>2377088714</v>
      </c>
      <c r="I20" s="3100">
        <f t="shared" si="2"/>
        <v>26716419211</v>
      </c>
      <c r="J20" s="3100">
        <f t="shared" si="2"/>
        <v>36965065896</v>
      </c>
      <c r="K20" s="3100">
        <f t="shared" si="2"/>
        <v>0</v>
      </c>
      <c r="L20" s="3100">
        <f t="shared" si="2"/>
        <v>0</v>
      </c>
      <c r="M20" s="3100">
        <f t="shared" si="2"/>
        <v>0</v>
      </c>
      <c r="N20" s="3100">
        <f t="shared" si="2"/>
        <v>0</v>
      </c>
      <c r="O20" s="3100">
        <f t="shared" si="2"/>
        <v>0</v>
      </c>
      <c r="P20" s="3100">
        <f t="shared" si="2"/>
        <v>0</v>
      </c>
      <c r="Q20" s="3100">
        <f t="shared" si="2"/>
        <v>0</v>
      </c>
      <c r="R20" s="3100">
        <f t="shared" si="2"/>
        <v>0</v>
      </c>
      <c r="S20" s="3100">
        <f t="shared" si="2"/>
        <v>0</v>
      </c>
      <c r="T20" s="3100">
        <f t="shared" si="2"/>
        <v>0</v>
      </c>
      <c r="U20" s="3100">
        <f t="shared" si="2"/>
        <v>0</v>
      </c>
      <c r="V20" s="3100">
        <f t="shared" si="2"/>
        <v>0</v>
      </c>
      <c r="W20" s="3100">
        <f t="shared" si="2"/>
        <v>0</v>
      </c>
      <c r="X20" s="3100">
        <f t="shared" si="2"/>
        <v>0</v>
      </c>
      <c r="Y20" s="3100">
        <f t="shared" si="2"/>
        <v>0</v>
      </c>
      <c r="Z20" s="3100">
        <f t="shared" si="2"/>
        <v>0</v>
      </c>
      <c r="AA20" s="3100">
        <f t="shared" si="2"/>
        <v>0</v>
      </c>
      <c r="AB20" s="3100">
        <f t="shared" si="2"/>
        <v>0</v>
      </c>
      <c r="AC20" s="3100">
        <f t="shared" si="2"/>
        <v>0</v>
      </c>
    </row>
    <row r="22" spans="2:29">
      <c r="B22" s="3188" t="s">
        <v>4189</v>
      </c>
      <c r="C22" s="3188"/>
      <c r="D22" s="3188"/>
      <c r="K22" s="3101">
        <v>15780724182</v>
      </c>
    </row>
    <row r="25" spans="2:29">
      <c r="K25" s="3102">
        <f>K18/2</f>
        <v>6151304150.3055553</v>
      </c>
      <c r="L25" s="3102">
        <f t="shared" ref="L25:AC25" si="4">L18/2</f>
        <v>8113582370.6111107</v>
      </c>
      <c r="M25" s="3102">
        <f t="shared" si="4"/>
        <v>7964962081.1111107</v>
      </c>
      <c r="N25" s="3102">
        <f t="shared" si="4"/>
        <v>7904285282.1111107</v>
      </c>
      <c r="O25" s="3102">
        <f t="shared" si="4"/>
        <v>7714578859.6111107</v>
      </c>
      <c r="P25" s="3102">
        <f t="shared" si="4"/>
        <v>7086600913.6111107</v>
      </c>
      <c r="Q25" s="3102">
        <f t="shared" si="4"/>
        <v>7075277383.6111107</v>
      </c>
      <c r="R25" s="3102">
        <f t="shared" si="4"/>
        <v>7070271843.6111107</v>
      </c>
      <c r="S25" s="3102">
        <f t="shared" si="4"/>
        <v>7045905269.6111107</v>
      </c>
      <c r="T25" s="3102">
        <f t="shared" si="4"/>
        <v>6773359790.1111107</v>
      </c>
      <c r="U25" s="3102">
        <f t="shared" si="4"/>
        <v>5804909796.6111107</v>
      </c>
      <c r="V25" s="3102">
        <f t="shared" si="4"/>
        <v>5295775984.6111107</v>
      </c>
      <c r="W25" s="3102">
        <f t="shared" si="4"/>
        <v>5219819604.6111107</v>
      </c>
      <c r="X25" s="3102">
        <f t="shared" si="4"/>
        <v>5219819604.6111107</v>
      </c>
      <c r="Y25" s="3102">
        <f t="shared" si="4"/>
        <v>5219819604.6111107</v>
      </c>
      <c r="Z25" s="3102">
        <f t="shared" si="4"/>
        <v>5219819604.6111107</v>
      </c>
      <c r="AA25" s="3102">
        <f t="shared" si="4"/>
        <v>5219819604.6111107</v>
      </c>
      <c r="AB25" s="3102">
        <f t="shared" si="4"/>
        <v>5219819604.6111107</v>
      </c>
      <c r="AC25" s="3102">
        <f t="shared" si="4"/>
        <v>2609909796.3055553</v>
      </c>
    </row>
    <row r="27" spans="2:29">
      <c r="K27" t="s">
        <v>4190</v>
      </c>
      <c r="L27" t="s">
        <v>4191</v>
      </c>
      <c r="M27" t="s">
        <v>4192</v>
      </c>
      <c r="N27" t="s">
        <v>4193</v>
      </c>
      <c r="O27" t="s">
        <v>4194</v>
      </c>
      <c r="P27" t="s">
        <v>4195</v>
      </c>
      <c r="Q27" t="s">
        <v>4196</v>
      </c>
    </row>
    <row r="28" spans="2:29">
      <c r="K28" s="3102">
        <f>K25+K22</f>
        <v>21932028332.305557</v>
      </c>
      <c r="L28" s="3102">
        <f>K25+L25</f>
        <v>14264886520.916666</v>
      </c>
      <c r="M28" s="3102">
        <f t="shared" ref="M28:Q28" si="5">L25+M25</f>
        <v>16078544451.722221</v>
      </c>
      <c r="N28" s="3102">
        <f t="shared" si="5"/>
        <v>15869247363.222221</v>
      </c>
      <c r="O28" s="3102">
        <f t="shared" si="5"/>
        <v>15618864141.722221</v>
      </c>
      <c r="P28" s="3102">
        <f t="shared" si="5"/>
        <v>14801179773.222221</v>
      </c>
      <c r="Q28" s="3102">
        <f t="shared" si="5"/>
        <v>14161878297.222221</v>
      </c>
    </row>
    <row r="29" spans="2:29">
      <c r="K29" s="3102">
        <f>K28/10^9</f>
        <v>21.932028332305556</v>
      </c>
      <c r="L29" s="3102">
        <f t="shared" ref="L29:Q29" si="6">L28/10^9</f>
        <v>14.264886520916667</v>
      </c>
      <c r="M29" s="3102">
        <f t="shared" si="6"/>
        <v>16.078544451722223</v>
      </c>
      <c r="N29" s="3102">
        <f t="shared" si="6"/>
        <v>15.869247363222222</v>
      </c>
      <c r="O29" s="3102">
        <f t="shared" si="6"/>
        <v>15.618864141722222</v>
      </c>
      <c r="P29" s="3102">
        <f t="shared" si="6"/>
        <v>14.801179773222222</v>
      </c>
      <c r="Q29" s="3102">
        <f t="shared" si="6"/>
        <v>14.161878297222222</v>
      </c>
    </row>
  </sheetData>
  <mergeCells count="9">
    <mergeCell ref="B19:D19"/>
    <mergeCell ref="B20:D20"/>
    <mergeCell ref="B22:D22"/>
    <mergeCell ref="B7:B9"/>
    <mergeCell ref="C7:C9"/>
    <mergeCell ref="B10:B15"/>
    <mergeCell ref="C10:C12"/>
    <mergeCell ref="C13:C15"/>
    <mergeCell ref="B18:D18"/>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C074-7698-40C6-A173-5B8DF0AE3FCE}">
  <sheetPr codeName="Sheet9"/>
  <dimension ref="A1:AR127"/>
  <sheetViews>
    <sheetView zoomScaleNormal="100" workbookViewId="0">
      <pane xSplit="8" ySplit="1" topLeftCell="I2" activePane="bottomRight" state="frozen"/>
      <selection pane="topRight" activeCell="I1" sqref="I1"/>
      <selection pane="bottomLeft" activeCell="A2" sqref="A2"/>
      <selection pane="bottomRight" activeCell="A32" sqref="A32"/>
    </sheetView>
  </sheetViews>
  <sheetFormatPr defaultRowHeight="14.4"/>
  <cols>
    <col min="1" max="1" width="27.62890625" style="1772" customWidth="1"/>
    <col min="2" max="2" width="17.62890625" style="1772" customWidth="1"/>
    <col min="3" max="4" width="20.734375" style="1771" hidden="1" customWidth="1"/>
    <col min="5" max="5" width="20.47265625" style="1771" hidden="1" customWidth="1"/>
    <col min="6" max="6" width="20.26171875" style="1771" hidden="1" customWidth="1"/>
    <col min="7" max="7" width="20" style="1771" hidden="1" customWidth="1"/>
    <col min="8" max="8" width="20" style="1773" hidden="1" customWidth="1"/>
    <col min="9" max="9" width="18.62890625" style="1771" bestFit="1" customWidth="1"/>
    <col min="10" max="10" width="19.47265625" style="1771" customWidth="1"/>
    <col min="11" max="11" width="21.47265625" style="1773" customWidth="1"/>
    <col min="12" max="12" width="19.47265625" style="1771" customWidth="1"/>
    <col min="13" max="13" width="18.734375" style="1771" customWidth="1"/>
    <col min="14" max="14" width="21.47265625" style="1773" customWidth="1"/>
    <col min="15" max="15" width="21" style="1771" customWidth="1"/>
    <col min="16" max="16" width="20.47265625" style="1771" customWidth="1"/>
    <col min="17" max="17" width="20.26171875" style="1773" customWidth="1"/>
    <col min="18" max="18" width="21.1015625" style="1771" customWidth="1"/>
    <col min="19" max="19" width="20.26171875" style="1771" customWidth="1"/>
    <col min="20" max="20" width="20.47265625" style="1773" customWidth="1"/>
    <col min="21" max="21" width="19.734375" style="1771" customWidth="1"/>
    <col min="22" max="22" width="21" style="1771" customWidth="1"/>
    <col min="23" max="23" width="20.734375" style="1773" customWidth="1"/>
    <col min="24" max="25" width="17.1015625" bestFit="1" customWidth="1"/>
    <col min="26" max="26" width="20.734375" style="1773" customWidth="1"/>
    <col min="27" max="27" width="15.1015625" bestFit="1" customWidth="1"/>
    <col min="28" max="28" width="17.7890625" bestFit="1" customWidth="1"/>
    <col min="29" max="33" width="16.62890625" bestFit="1" customWidth="1"/>
    <col min="34" max="34" width="15.47265625" bestFit="1" customWidth="1"/>
    <col min="35" max="36" width="16.62890625" bestFit="1" customWidth="1"/>
    <col min="37" max="37" width="15.47265625" bestFit="1" customWidth="1"/>
    <col min="38" max="39" width="16.62890625" bestFit="1" customWidth="1"/>
    <col min="40" max="40" width="15.47265625" bestFit="1" customWidth="1"/>
    <col min="41" max="42" width="16.62890625" bestFit="1" customWidth="1"/>
    <col min="43" max="43" width="15.47265625" bestFit="1" customWidth="1"/>
    <col min="44" max="44" width="16.62890625" bestFit="1" customWidth="1"/>
  </cols>
  <sheetData>
    <row r="1" spans="1:44" s="1768" customFormat="1" ht="33" customHeight="1">
      <c r="C1" s="1768" t="s">
        <v>3312</v>
      </c>
      <c r="D1" s="1768" t="s">
        <v>3313</v>
      </c>
      <c r="E1" s="1768" t="s">
        <v>3314</v>
      </c>
      <c r="F1" s="1768" t="s">
        <v>3315</v>
      </c>
      <c r="G1" s="1768" t="s">
        <v>3316</v>
      </c>
      <c r="H1" s="2007" t="s">
        <v>3317</v>
      </c>
      <c r="I1" s="2008" t="s">
        <v>3491</v>
      </c>
      <c r="J1" s="2008" t="s">
        <v>3492</v>
      </c>
      <c r="K1" s="2009" t="s">
        <v>3318</v>
      </c>
      <c r="L1" s="2008" t="s">
        <v>3493</v>
      </c>
      <c r="M1" s="2008" t="s">
        <v>3494</v>
      </c>
      <c r="N1" s="2009" t="s">
        <v>3319</v>
      </c>
      <c r="O1" s="2008" t="s">
        <v>3495</v>
      </c>
      <c r="P1" s="2008" t="s">
        <v>3496</v>
      </c>
      <c r="Q1" s="2009" t="s">
        <v>3320</v>
      </c>
      <c r="R1" s="2008" t="s">
        <v>3497</v>
      </c>
      <c r="S1" s="2008" t="s">
        <v>3498</v>
      </c>
      <c r="T1" s="2009" t="s">
        <v>3321</v>
      </c>
      <c r="U1" s="2008" t="s">
        <v>3499</v>
      </c>
      <c r="V1" s="2008" t="s">
        <v>3500</v>
      </c>
      <c r="W1" s="2009" t="s">
        <v>3322</v>
      </c>
      <c r="X1" s="2008" t="s">
        <v>3501</v>
      </c>
      <c r="Y1" s="2008" t="s">
        <v>3548</v>
      </c>
      <c r="Z1" s="2009" t="s">
        <v>3549</v>
      </c>
      <c r="AA1" s="2008" t="s">
        <v>3645</v>
      </c>
      <c r="AB1" s="2008" t="s">
        <v>3646</v>
      </c>
      <c r="AC1" s="2009" t="s">
        <v>3647</v>
      </c>
      <c r="AD1" s="2008" t="s">
        <v>3648</v>
      </c>
      <c r="AE1" s="2008" t="s">
        <v>3649</v>
      </c>
      <c r="AF1" s="2009" t="s">
        <v>3650</v>
      </c>
      <c r="AG1" s="2008" t="s">
        <v>3651</v>
      </c>
      <c r="AH1" s="2008" t="s">
        <v>3652</v>
      </c>
      <c r="AI1" s="2009" t="s">
        <v>3653</v>
      </c>
      <c r="AJ1" s="2008" t="s">
        <v>3654</v>
      </c>
      <c r="AK1" s="2008" t="s">
        <v>3655</v>
      </c>
      <c r="AL1" s="2009" t="s">
        <v>3656</v>
      </c>
      <c r="AM1" s="2008" t="s">
        <v>3657</v>
      </c>
      <c r="AN1" s="2008" t="s">
        <v>3658</v>
      </c>
      <c r="AO1" s="2009" t="s">
        <v>3659</v>
      </c>
      <c r="AP1" s="2008" t="s">
        <v>3660</v>
      </c>
      <c r="AQ1" s="2008" t="s">
        <v>3661</v>
      </c>
      <c r="AR1" s="2009" t="s">
        <v>3662</v>
      </c>
    </row>
    <row r="2" spans="1:44" s="1681" customFormat="1" ht="12.3">
      <c r="A2" s="2010"/>
      <c r="B2" s="2010"/>
      <c r="C2" s="2005"/>
      <c r="D2" s="2005"/>
      <c r="E2" s="2005"/>
      <c r="F2" s="2005"/>
      <c r="G2" s="2005"/>
      <c r="H2" s="2011"/>
      <c r="I2" s="2012"/>
      <c r="J2" s="2012"/>
      <c r="K2" s="2013"/>
      <c r="L2" s="2012"/>
      <c r="M2" s="2012"/>
      <c r="N2" s="2013"/>
      <c r="O2" s="2012"/>
      <c r="P2" s="2012"/>
      <c r="Q2" s="2013"/>
      <c r="R2" s="2012"/>
      <c r="S2" s="2012"/>
      <c r="T2" s="2013"/>
      <c r="U2" s="2012"/>
      <c r="V2" s="2012"/>
      <c r="W2" s="2013"/>
      <c r="X2" s="2012"/>
      <c r="Z2" s="2013"/>
      <c r="AA2" s="2012"/>
      <c r="AC2" s="2013"/>
      <c r="AD2" s="2012"/>
      <c r="AF2" s="2013"/>
      <c r="AG2" s="2012"/>
      <c r="AI2" s="2013"/>
      <c r="AJ2" s="2012"/>
      <c r="AL2" s="2013"/>
      <c r="AM2" s="2012"/>
      <c r="AO2" s="2013"/>
      <c r="AP2" s="2012"/>
      <c r="AR2" s="2013"/>
    </row>
    <row r="3" spans="1:44">
      <c r="A3" s="2010" t="s">
        <v>3323</v>
      </c>
      <c r="B3" s="2010" t="s">
        <v>3271</v>
      </c>
      <c r="C3" s="2005">
        <f>SUM(C9:C25)</f>
        <v>15000000000</v>
      </c>
      <c r="D3" s="2005">
        <f>SUM(D9:D25)</f>
        <v>30000000000</v>
      </c>
      <c r="E3" s="2005">
        <f t="shared" ref="E3:H3" si="0">SUM(E4:E10,E59)</f>
        <v>44819514690</v>
      </c>
      <c r="F3" s="2005">
        <f t="shared" si="0"/>
        <v>52330650830</v>
      </c>
      <c r="G3" s="2005">
        <f t="shared" si="0"/>
        <v>107089185034.67999</v>
      </c>
      <c r="H3" s="2011">
        <f t="shared" si="0"/>
        <v>103146161841.36</v>
      </c>
      <c r="I3" s="2012">
        <f>SUM(I4:I10,I59)</f>
        <v>81707843710.679993</v>
      </c>
      <c r="J3" s="2012">
        <f>SUM(J4:J10,J59)</f>
        <v>14034717089.68</v>
      </c>
      <c r="K3" s="2013">
        <f>SUM(K4:K10,K59)</f>
        <v>95742560800.360001</v>
      </c>
      <c r="L3" s="2012">
        <f t="shared" ref="L3:AR3" si="1">SUM(L4:L10,L59)</f>
        <v>61321297088.68</v>
      </c>
      <c r="M3" s="2012">
        <f t="shared" si="1"/>
        <v>65604917088.68</v>
      </c>
      <c r="N3" s="2013">
        <f t="shared" si="1"/>
        <v>126926214177.36</v>
      </c>
      <c r="O3" s="2012">
        <f t="shared" si="1"/>
        <v>64878599676.68</v>
      </c>
      <c r="P3" s="2012">
        <f t="shared" si="1"/>
        <v>24067366355.68</v>
      </c>
      <c r="Q3" s="2013">
        <f t="shared" si="1"/>
        <v>88945966032.360001</v>
      </c>
      <c r="R3" s="2012">
        <f t="shared" si="1"/>
        <v>97675577986.679993</v>
      </c>
      <c r="S3" s="2012">
        <f t="shared" si="1"/>
        <v>66062386399.68</v>
      </c>
      <c r="T3" s="2013">
        <f t="shared" si="1"/>
        <v>163737964386.35999</v>
      </c>
      <c r="U3" s="2012">
        <f t="shared" si="1"/>
        <v>72881742717.679993</v>
      </c>
      <c r="V3" s="2012">
        <f t="shared" si="1"/>
        <v>22999894575.68</v>
      </c>
      <c r="W3" s="2013">
        <f t="shared" si="1"/>
        <v>95881637293.360001</v>
      </c>
      <c r="X3" s="2012">
        <f t="shared" si="1"/>
        <v>106085869477.67999</v>
      </c>
      <c r="Y3" s="2012">
        <f t="shared" si="1"/>
        <v>43245105151.68</v>
      </c>
      <c r="Z3" s="2013">
        <f t="shared" si="1"/>
        <v>149330974629.35999</v>
      </c>
      <c r="AA3" s="2012">
        <f t="shared" si="1"/>
        <v>43372663422.68</v>
      </c>
      <c r="AB3" s="2012">
        <f t="shared" si="1"/>
        <v>112057947354.67999</v>
      </c>
      <c r="AC3" s="2013">
        <f t="shared" si="1"/>
        <v>155430610777.35999</v>
      </c>
      <c r="AD3" s="2012">
        <f t="shared" si="1"/>
        <v>33676750013.68</v>
      </c>
      <c r="AE3" s="2012">
        <f t="shared" si="1"/>
        <v>123040589467.67999</v>
      </c>
      <c r="AF3" s="2013">
        <f t="shared" si="1"/>
        <v>156717339481.35999</v>
      </c>
      <c r="AG3" s="2012">
        <f t="shared" si="1"/>
        <v>4027665873.6800003</v>
      </c>
      <c r="AH3" s="2012">
        <f t="shared" si="1"/>
        <v>36786633679.68</v>
      </c>
      <c r="AI3" s="2013">
        <f t="shared" si="1"/>
        <v>40814299553.360001</v>
      </c>
      <c r="AJ3" s="2012">
        <f t="shared" si="1"/>
        <v>44426021498.68</v>
      </c>
      <c r="AK3" s="2012">
        <f t="shared" si="1"/>
        <v>34649765212.68</v>
      </c>
      <c r="AL3" s="2013">
        <f t="shared" si="1"/>
        <v>79075786711.360001</v>
      </c>
      <c r="AM3" s="2012">
        <f t="shared" si="1"/>
        <v>51321297088.68</v>
      </c>
      <c r="AN3" s="2012">
        <f t="shared" si="1"/>
        <v>86321297088.679993</v>
      </c>
      <c r="AO3" s="2013">
        <f t="shared" si="1"/>
        <v>137642594177.35999</v>
      </c>
      <c r="AP3" s="2012">
        <f t="shared" si="1"/>
        <v>1321297088.6800001</v>
      </c>
      <c r="AQ3" s="2012">
        <f t="shared" si="1"/>
        <v>82863297088.679993</v>
      </c>
      <c r="AR3" s="2013">
        <f t="shared" si="1"/>
        <v>84184594177.360001</v>
      </c>
    </row>
    <row r="4" spans="1:44">
      <c r="A4" s="2014" t="s">
        <v>3324</v>
      </c>
      <c r="B4" s="2014" t="s">
        <v>3271</v>
      </c>
      <c r="C4" s="2015">
        <v>1227929924</v>
      </c>
      <c r="D4" s="2015">
        <v>1419419000</v>
      </c>
      <c r="E4" s="1769">
        <v>1651130921</v>
      </c>
      <c r="F4" s="1769">
        <v>1909884461</v>
      </c>
      <c r="G4" s="1769">
        <v>2212887946</v>
      </c>
      <c r="H4" s="1770">
        <v>33410077794</v>
      </c>
      <c r="I4" s="2015">
        <v>1634334466</v>
      </c>
      <c r="J4" s="2015">
        <v>1686097064</v>
      </c>
      <c r="K4" s="2016">
        <v>3320431530</v>
      </c>
      <c r="L4" s="2015">
        <v>0</v>
      </c>
      <c r="M4" s="2015">
        <v>0</v>
      </c>
      <c r="N4" s="2016">
        <v>0</v>
      </c>
      <c r="O4" s="2015">
        <v>0</v>
      </c>
      <c r="P4" s="2015">
        <v>0</v>
      </c>
      <c r="Q4" s="2016">
        <v>0</v>
      </c>
      <c r="R4" s="2015">
        <v>0</v>
      </c>
      <c r="S4" s="2015">
        <v>0</v>
      </c>
      <c r="T4" s="2016">
        <v>0</v>
      </c>
      <c r="U4" s="2015"/>
      <c r="V4" s="2015"/>
      <c r="W4" s="2016">
        <v>0</v>
      </c>
      <c r="X4" s="2015"/>
      <c r="Y4" s="2015"/>
      <c r="Z4" s="2016">
        <v>0</v>
      </c>
      <c r="AA4" s="2015"/>
      <c r="AB4" s="2015"/>
      <c r="AC4" s="2016">
        <v>0</v>
      </c>
      <c r="AD4" s="2015"/>
      <c r="AE4" s="2015"/>
      <c r="AF4" s="2016">
        <v>0</v>
      </c>
      <c r="AG4" s="2015"/>
      <c r="AH4" s="2015"/>
      <c r="AI4" s="2016">
        <v>0</v>
      </c>
      <c r="AJ4" s="2015"/>
      <c r="AK4" s="2015"/>
      <c r="AL4" s="2016">
        <v>0</v>
      </c>
      <c r="AM4" s="2015"/>
      <c r="AN4" s="2015"/>
      <c r="AO4" s="2016">
        <v>0</v>
      </c>
      <c r="AP4" s="2015"/>
      <c r="AQ4" s="2015"/>
      <c r="AR4" s="2016">
        <v>0</v>
      </c>
    </row>
    <row r="5" spans="1:44">
      <c r="A5" s="2014" t="s">
        <v>3550</v>
      </c>
      <c r="B5" s="2014" t="s">
        <v>3271</v>
      </c>
      <c r="C5" s="2015"/>
      <c r="D5" s="2015"/>
      <c r="E5" s="1769"/>
      <c r="F5" s="1769"/>
      <c r="G5" s="1769"/>
      <c r="H5" s="1770"/>
      <c r="I5" s="2015">
        <v>0</v>
      </c>
      <c r="J5" s="2015">
        <v>0</v>
      </c>
      <c r="K5" s="2016">
        <v>0</v>
      </c>
      <c r="L5" s="2015">
        <v>0</v>
      </c>
      <c r="M5" s="2015">
        <v>0</v>
      </c>
      <c r="N5" s="2016">
        <v>0</v>
      </c>
      <c r="O5" s="2015">
        <v>1178902588</v>
      </c>
      <c r="P5" s="2015">
        <v>1276569267</v>
      </c>
      <c r="Q5" s="2016">
        <v>2455471855</v>
      </c>
      <c r="R5" s="2015">
        <v>1354280898</v>
      </c>
      <c r="S5" s="2015">
        <v>1456389311</v>
      </c>
      <c r="T5" s="2016">
        <v>2810670209</v>
      </c>
      <c r="U5" s="2015">
        <v>1560445629</v>
      </c>
      <c r="V5" s="2015">
        <v>1678597487</v>
      </c>
      <c r="W5" s="2016">
        <v>3239043116</v>
      </c>
      <c r="X5" s="2015">
        <v>1786372389</v>
      </c>
      <c r="Y5" s="2015">
        <v>1923808063</v>
      </c>
      <c r="Z5" s="2016">
        <v>3710180452</v>
      </c>
      <c r="AA5" s="2015">
        <v>2051366334</v>
      </c>
      <c r="AB5" s="2015">
        <v>2206150266</v>
      </c>
      <c r="AC5" s="2016">
        <v>4257516600</v>
      </c>
      <c r="AD5" s="2015">
        <v>2355452925</v>
      </c>
      <c r="AE5" s="2015">
        <v>2526592379</v>
      </c>
      <c r="AF5" s="2016">
        <v>4882045304</v>
      </c>
      <c r="AG5" s="2015">
        <v>2706368785</v>
      </c>
      <c r="AH5" s="2015">
        <v>2902136591</v>
      </c>
      <c r="AI5" s="2016">
        <v>5608505376</v>
      </c>
      <c r="AJ5" s="2015">
        <v>3104724410</v>
      </c>
      <c r="AK5" s="2015">
        <v>3328468124</v>
      </c>
      <c r="AL5" s="2016">
        <v>6433192534</v>
      </c>
      <c r="AM5" s="2015"/>
      <c r="AN5" s="2015"/>
      <c r="AO5" s="2016">
        <v>0</v>
      </c>
      <c r="AP5" s="2015"/>
      <c r="AQ5" s="2015"/>
      <c r="AR5" s="2016">
        <v>0</v>
      </c>
    </row>
    <row r="6" spans="1:44">
      <c r="A6" s="2014" t="s">
        <v>3663</v>
      </c>
      <c r="B6" s="2014" t="s">
        <v>3271</v>
      </c>
      <c r="C6" s="2015"/>
      <c r="D6" s="2015"/>
      <c r="E6" s="1769"/>
      <c r="F6" s="1769"/>
      <c r="G6" s="1769"/>
      <c r="H6" s="1770"/>
      <c r="I6" s="2015">
        <v>0</v>
      </c>
      <c r="J6" s="2015">
        <v>1027322937</v>
      </c>
      <c r="K6" s="2016">
        <v>1027322937</v>
      </c>
      <c r="L6" s="2015">
        <v>0</v>
      </c>
      <c r="M6" s="2015">
        <v>0</v>
      </c>
      <c r="N6" s="2016">
        <v>0</v>
      </c>
      <c r="O6" s="2015">
        <v>0</v>
      </c>
      <c r="P6" s="2015">
        <v>0</v>
      </c>
      <c r="Q6" s="2016">
        <v>0</v>
      </c>
      <c r="R6" s="2015">
        <v>0</v>
      </c>
      <c r="S6" s="2015">
        <v>0</v>
      </c>
      <c r="T6" s="2016">
        <v>0</v>
      </c>
      <c r="U6" s="2015"/>
      <c r="V6" s="2015"/>
      <c r="W6" s="2016"/>
      <c r="X6" s="2015"/>
      <c r="Y6" s="2015"/>
      <c r="Z6" s="2016"/>
      <c r="AA6" s="2015">
        <v>0</v>
      </c>
      <c r="AB6" s="2015">
        <v>0</v>
      </c>
      <c r="AC6" s="2016"/>
      <c r="AD6" s="2015"/>
      <c r="AE6" s="2015"/>
      <c r="AF6" s="2016"/>
      <c r="AG6" s="2015"/>
      <c r="AH6" s="2015"/>
      <c r="AI6" s="2016"/>
      <c r="AJ6" s="2015"/>
      <c r="AK6" s="2015"/>
      <c r="AL6" s="2016"/>
      <c r="AM6" s="2015"/>
      <c r="AN6" s="2015"/>
      <c r="AO6" s="2016"/>
      <c r="AP6" s="2015"/>
      <c r="AQ6" s="2015"/>
      <c r="AR6" s="2016"/>
    </row>
    <row r="7" spans="1:44">
      <c r="A7" s="2014" t="s">
        <v>3502</v>
      </c>
      <c r="B7" s="2014" t="s">
        <v>3271</v>
      </c>
      <c r="C7" s="2015" t="s">
        <v>782</v>
      </c>
      <c r="D7" s="2015">
        <v>2093489870</v>
      </c>
      <c r="E7" s="1769">
        <v>4671107081</v>
      </c>
      <c r="F7" s="1769">
        <v>5420766369</v>
      </c>
      <c r="G7" s="1769"/>
      <c r="H7" s="1770">
        <v>2093489870</v>
      </c>
      <c r="I7" s="2015">
        <v>23752212156</v>
      </c>
      <c r="J7" s="2015">
        <v>0</v>
      </c>
      <c r="K7" s="2016">
        <v>23752212156</v>
      </c>
      <c r="L7" s="2015">
        <v>0</v>
      </c>
      <c r="M7" s="2015">
        <v>0</v>
      </c>
      <c r="N7" s="2016">
        <v>0</v>
      </c>
      <c r="O7" s="2015">
        <v>0</v>
      </c>
      <c r="P7" s="2015">
        <v>0</v>
      </c>
      <c r="Q7" s="2016">
        <v>0</v>
      </c>
      <c r="R7" s="2015">
        <v>0</v>
      </c>
      <c r="S7" s="2015">
        <v>0</v>
      </c>
      <c r="T7" s="2016">
        <v>0</v>
      </c>
      <c r="U7" s="2015">
        <v>0</v>
      </c>
      <c r="V7" s="2015">
        <v>0</v>
      </c>
      <c r="W7" s="2016">
        <v>0</v>
      </c>
      <c r="X7" s="2015">
        <v>0</v>
      </c>
      <c r="Y7" s="2015">
        <v>0</v>
      </c>
      <c r="Z7" s="2016">
        <v>0</v>
      </c>
      <c r="AA7" s="2015">
        <v>0</v>
      </c>
      <c r="AB7" s="2015">
        <v>0</v>
      </c>
      <c r="AC7" s="2016">
        <v>0</v>
      </c>
      <c r="AD7" s="2015">
        <v>0</v>
      </c>
      <c r="AE7" s="2015">
        <v>0</v>
      </c>
      <c r="AF7" s="2016">
        <v>0</v>
      </c>
      <c r="AG7" s="2015">
        <v>0</v>
      </c>
      <c r="AH7" s="2015">
        <v>0</v>
      </c>
      <c r="AI7" s="2016">
        <v>0</v>
      </c>
      <c r="AJ7" s="2015">
        <v>0</v>
      </c>
      <c r="AK7" s="2015">
        <v>0</v>
      </c>
      <c r="AL7" s="2016">
        <v>0</v>
      </c>
      <c r="AM7" s="2015">
        <v>0</v>
      </c>
      <c r="AN7" s="2015">
        <v>0</v>
      </c>
      <c r="AO7" s="2016">
        <v>0</v>
      </c>
      <c r="AP7" s="2015">
        <v>0</v>
      </c>
      <c r="AQ7" s="2015">
        <v>0</v>
      </c>
      <c r="AR7" s="2016">
        <v>0</v>
      </c>
    </row>
    <row r="8" spans="1:44">
      <c r="A8" s="2014" t="s">
        <v>3325</v>
      </c>
      <c r="B8" s="2014" t="s">
        <v>3271</v>
      </c>
      <c r="C8" s="2015">
        <v>12443795893</v>
      </c>
      <c r="D8" s="2015">
        <v>4770256241</v>
      </c>
      <c r="E8" s="1769" t="s">
        <v>782</v>
      </c>
      <c r="F8" s="1769" t="s">
        <v>782</v>
      </c>
      <c r="G8" s="1769" t="s">
        <v>782</v>
      </c>
      <c r="H8" s="1770" t="s">
        <v>782</v>
      </c>
      <c r="I8" s="2015">
        <v>0</v>
      </c>
      <c r="J8" s="2015">
        <v>0</v>
      </c>
      <c r="K8" s="2016">
        <v>0</v>
      </c>
      <c r="L8" s="2015">
        <v>0</v>
      </c>
      <c r="M8" s="2015">
        <v>0</v>
      </c>
      <c r="N8" s="2016">
        <v>0</v>
      </c>
      <c r="O8" s="2015">
        <v>0</v>
      </c>
      <c r="P8" s="2015"/>
      <c r="Q8" s="2016">
        <v>0</v>
      </c>
      <c r="R8" s="2015"/>
      <c r="S8" s="2015"/>
      <c r="T8" s="2016">
        <v>0</v>
      </c>
      <c r="U8" s="2015"/>
      <c r="V8" s="2015"/>
      <c r="W8" s="2016">
        <v>0</v>
      </c>
      <c r="X8" s="2015">
        <v>0</v>
      </c>
      <c r="Y8" s="2015"/>
      <c r="Z8" s="2016">
        <v>0</v>
      </c>
      <c r="AA8" s="2015">
        <v>0</v>
      </c>
      <c r="AB8" s="2015">
        <v>0</v>
      </c>
      <c r="AC8" s="2016">
        <v>0</v>
      </c>
      <c r="AD8" s="2015">
        <v>0</v>
      </c>
      <c r="AE8" s="2015"/>
      <c r="AF8" s="2016">
        <v>0</v>
      </c>
      <c r="AG8" s="2015">
        <v>0</v>
      </c>
      <c r="AH8" s="2015"/>
      <c r="AI8" s="2016">
        <v>0</v>
      </c>
      <c r="AJ8" s="2015">
        <v>0</v>
      </c>
      <c r="AK8" s="2015"/>
      <c r="AL8" s="2016">
        <v>0</v>
      </c>
      <c r="AM8" s="2015">
        <v>0</v>
      </c>
      <c r="AN8" s="2015"/>
      <c r="AO8" s="2016">
        <v>0</v>
      </c>
      <c r="AP8" s="2015">
        <v>0</v>
      </c>
      <c r="AQ8" s="2015"/>
      <c r="AR8" s="2016">
        <v>0</v>
      </c>
    </row>
    <row r="9" spans="1:44">
      <c r="A9" s="2014" t="s">
        <v>3551</v>
      </c>
      <c r="B9" s="2014" t="s">
        <v>3271</v>
      </c>
      <c r="C9" s="2015">
        <v>0</v>
      </c>
      <c r="D9" s="2015">
        <v>0</v>
      </c>
      <c r="E9" s="1769">
        <v>0</v>
      </c>
      <c r="F9" s="1769">
        <v>0</v>
      </c>
      <c r="G9" s="1769">
        <v>0</v>
      </c>
      <c r="H9" s="1770">
        <v>0</v>
      </c>
      <c r="I9" s="2015">
        <v>0</v>
      </c>
      <c r="J9" s="2017">
        <v>0</v>
      </c>
      <c r="K9" s="2016">
        <v>0</v>
      </c>
      <c r="L9" s="2015">
        <v>0</v>
      </c>
      <c r="M9" s="2015">
        <v>0</v>
      </c>
      <c r="N9" s="2016">
        <v>0</v>
      </c>
      <c r="O9" s="2015">
        <v>0</v>
      </c>
      <c r="P9" s="2015"/>
      <c r="Q9" s="2016">
        <v>0</v>
      </c>
      <c r="R9" s="2015"/>
      <c r="S9" s="2015"/>
      <c r="T9" s="2016">
        <v>0</v>
      </c>
      <c r="U9" s="2015"/>
      <c r="V9" s="2015"/>
      <c r="W9" s="2016">
        <v>0</v>
      </c>
      <c r="X9" s="2015">
        <v>0</v>
      </c>
      <c r="Y9" s="2015"/>
      <c r="Z9" s="2016">
        <v>0</v>
      </c>
      <c r="AA9" s="2015">
        <v>0</v>
      </c>
      <c r="AB9" s="2015">
        <v>0</v>
      </c>
      <c r="AC9" s="2016">
        <v>0</v>
      </c>
      <c r="AD9" s="2015">
        <v>0</v>
      </c>
      <c r="AE9" s="2015"/>
      <c r="AF9" s="2016">
        <v>0</v>
      </c>
      <c r="AG9" s="2015">
        <v>0</v>
      </c>
      <c r="AH9" s="2015"/>
      <c r="AI9" s="2016">
        <v>0</v>
      </c>
      <c r="AJ9" s="2015">
        <v>0</v>
      </c>
      <c r="AK9" s="2015"/>
      <c r="AL9" s="2016">
        <v>0</v>
      </c>
      <c r="AM9" s="2015">
        <v>0</v>
      </c>
      <c r="AN9" s="2015"/>
      <c r="AO9" s="2016">
        <v>0</v>
      </c>
      <c r="AP9" s="2015">
        <v>0</v>
      </c>
      <c r="AQ9" s="2015"/>
      <c r="AR9" s="2016">
        <v>0</v>
      </c>
    </row>
    <row r="10" spans="1:44">
      <c r="A10" s="2014" t="s">
        <v>3552</v>
      </c>
      <c r="B10" s="2014" t="s">
        <v>3271</v>
      </c>
      <c r="C10" s="2015"/>
      <c r="D10" s="2015"/>
      <c r="E10" s="1769">
        <v>8497276688</v>
      </c>
      <c r="F10" s="1769">
        <v>0</v>
      </c>
      <c r="G10" s="1769">
        <v>1321297088.6800001</v>
      </c>
      <c r="H10" s="1770">
        <v>2642594177.3600001</v>
      </c>
      <c r="I10" s="2015">
        <v>1321297088.6800001</v>
      </c>
      <c r="J10" s="2015">
        <v>1321297088.6800001</v>
      </c>
      <c r="K10" s="2016">
        <v>2642594177.3600001</v>
      </c>
      <c r="L10" s="2015">
        <v>1321297088.6800001</v>
      </c>
      <c r="M10" s="2015">
        <v>1321297088.6800001</v>
      </c>
      <c r="N10" s="2016">
        <v>2642594177.3600001</v>
      </c>
      <c r="O10" s="2015">
        <v>1321297088.6800001</v>
      </c>
      <c r="P10" s="2015">
        <v>1321297088.6800001</v>
      </c>
      <c r="Q10" s="2016">
        <v>2642594177.3600001</v>
      </c>
      <c r="R10" s="2015">
        <v>1321297088.6800001</v>
      </c>
      <c r="S10" s="2015">
        <v>1321297088.6800001</v>
      </c>
      <c r="T10" s="2016">
        <v>2642594177.3600001</v>
      </c>
      <c r="U10" s="2015">
        <v>1321297088.6800001</v>
      </c>
      <c r="V10" s="2015">
        <v>1321297088.6800001</v>
      </c>
      <c r="W10" s="2016">
        <v>2642594177.3600001</v>
      </c>
      <c r="X10" s="2015">
        <v>1321297088.6800001</v>
      </c>
      <c r="Y10" s="2015">
        <v>1321297088.6800001</v>
      </c>
      <c r="Z10" s="2016">
        <v>2642594177.3600001</v>
      </c>
      <c r="AA10" s="2015">
        <v>1321297088.6800001</v>
      </c>
      <c r="AB10" s="2015">
        <v>1321297088.6800001</v>
      </c>
      <c r="AC10" s="2016">
        <v>2642594177.3600001</v>
      </c>
      <c r="AD10" s="2015">
        <v>1321297088.6800001</v>
      </c>
      <c r="AE10" s="2015">
        <v>1321297088.6800001</v>
      </c>
      <c r="AF10" s="2016">
        <v>2642594177.3600001</v>
      </c>
      <c r="AG10" s="2015">
        <v>1321297088.6800001</v>
      </c>
      <c r="AH10" s="2015">
        <v>1321297088.6800001</v>
      </c>
      <c r="AI10" s="2016">
        <v>2642594177.3600001</v>
      </c>
      <c r="AJ10" s="2015">
        <v>1321297088.6800001</v>
      </c>
      <c r="AK10" s="2015">
        <v>1321297088.6800001</v>
      </c>
      <c r="AL10" s="2016">
        <v>2642594177.3600001</v>
      </c>
      <c r="AM10" s="2015">
        <v>1321297088.6800001</v>
      </c>
      <c r="AN10" s="2015">
        <v>1321297088.6800001</v>
      </c>
      <c r="AO10" s="2016">
        <v>2642594177.3600001</v>
      </c>
      <c r="AP10" s="2015">
        <v>1321297088.6800001</v>
      </c>
      <c r="AQ10" s="2015">
        <v>1321297088.6800001</v>
      </c>
      <c r="AR10" s="2016">
        <v>2642594177.3600001</v>
      </c>
    </row>
    <row r="11" spans="1:44">
      <c r="A11" s="2014" t="s">
        <v>3326</v>
      </c>
      <c r="B11" s="2014" t="s">
        <v>3271</v>
      </c>
      <c r="C11" s="2015" t="s">
        <v>782</v>
      </c>
      <c r="D11" s="2015" t="s">
        <v>782</v>
      </c>
      <c r="E11" s="1769" t="s">
        <v>782</v>
      </c>
      <c r="F11" s="1769">
        <v>0</v>
      </c>
      <c r="G11" s="1769" t="s">
        <v>782</v>
      </c>
      <c r="H11" s="1770" t="s">
        <v>782</v>
      </c>
      <c r="I11" s="2015">
        <v>0</v>
      </c>
      <c r="J11" s="2015">
        <v>10000000000</v>
      </c>
      <c r="K11" s="2016">
        <v>10000000000</v>
      </c>
      <c r="L11" s="2015">
        <v>0</v>
      </c>
      <c r="M11" s="2015">
        <v>0</v>
      </c>
      <c r="N11" s="2016">
        <v>0</v>
      </c>
      <c r="O11" s="2015">
        <v>0</v>
      </c>
      <c r="P11" s="2015">
        <v>0</v>
      </c>
      <c r="Q11" s="2016">
        <v>0</v>
      </c>
      <c r="R11" s="2015">
        <v>0</v>
      </c>
      <c r="S11" s="2015">
        <v>0</v>
      </c>
      <c r="T11" s="2016">
        <v>0</v>
      </c>
      <c r="U11" s="2015">
        <v>0</v>
      </c>
      <c r="V11" s="2015">
        <v>0</v>
      </c>
      <c r="W11" s="2016">
        <v>0</v>
      </c>
      <c r="X11" s="2015">
        <v>0</v>
      </c>
      <c r="Y11" s="2015">
        <v>0</v>
      </c>
      <c r="Z11" s="2016">
        <v>0</v>
      </c>
      <c r="AA11" s="2015">
        <v>0</v>
      </c>
      <c r="AB11" s="2015">
        <v>0</v>
      </c>
      <c r="AC11" s="2016">
        <v>0</v>
      </c>
      <c r="AD11" s="2015">
        <v>0</v>
      </c>
      <c r="AE11" s="2015">
        <v>0</v>
      </c>
      <c r="AF11" s="2016">
        <v>0</v>
      </c>
      <c r="AG11" s="2015">
        <v>0</v>
      </c>
      <c r="AH11" s="2015">
        <v>0</v>
      </c>
      <c r="AI11" s="2016">
        <v>0</v>
      </c>
      <c r="AJ11" s="2015">
        <v>0</v>
      </c>
      <c r="AK11" s="2015">
        <v>0</v>
      </c>
      <c r="AL11" s="2016">
        <v>0</v>
      </c>
      <c r="AM11" s="2015">
        <v>0</v>
      </c>
      <c r="AN11" s="2015">
        <v>0</v>
      </c>
      <c r="AO11" s="2016">
        <v>0</v>
      </c>
      <c r="AP11" s="2015">
        <v>0</v>
      </c>
      <c r="AQ11" s="2015">
        <v>0</v>
      </c>
      <c r="AR11" s="2016">
        <v>0</v>
      </c>
    </row>
    <row r="12" spans="1:44">
      <c r="A12" s="2014" t="s">
        <v>3327</v>
      </c>
      <c r="B12" s="2014" t="s">
        <v>3271</v>
      </c>
      <c r="C12" s="2015" t="s">
        <v>782</v>
      </c>
      <c r="D12" s="2015" t="s">
        <v>782</v>
      </c>
      <c r="E12" s="1769" t="s">
        <v>782</v>
      </c>
      <c r="F12" s="1769">
        <v>0</v>
      </c>
      <c r="G12" s="1769" t="s">
        <v>782</v>
      </c>
      <c r="H12" s="1770" t="s">
        <v>782</v>
      </c>
      <c r="I12" s="2015">
        <v>0</v>
      </c>
      <c r="J12" s="2015">
        <v>0</v>
      </c>
      <c r="K12" s="2016">
        <v>0</v>
      </c>
      <c r="L12" s="2015">
        <v>0</v>
      </c>
      <c r="M12" s="2015">
        <v>0</v>
      </c>
      <c r="N12" s="2016">
        <v>0</v>
      </c>
      <c r="O12" s="2015">
        <v>0</v>
      </c>
      <c r="P12" s="2015">
        <v>0</v>
      </c>
      <c r="Q12" s="2016">
        <v>0</v>
      </c>
      <c r="R12" s="2015">
        <v>0</v>
      </c>
      <c r="S12" s="2015">
        <v>35000000000</v>
      </c>
      <c r="T12" s="2016">
        <v>35000000000</v>
      </c>
      <c r="U12" s="2015">
        <v>0</v>
      </c>
      <c r="V12" s="2015">
        <v>0</v>
      </c>
      <c r="W12" s="2016">
        <v>0</v>
      </c>
      <c r="X12" s="2015">
        <v>0</v>
      </c>
      <c r="Y12" s="2015">
        <v>0</v>
      </c>
      <c r="Z12" s="2016">
        <v>0</v>
      </c>
      <c r="AA12" s="2015">
        <v>0</v>
      </c>
      <c r="AB12" s="2015">
        <v>0</v>
      </c>
      <c r="AC12" s="2016">
        <v>0</v>
      </c>
      <c r="AD12" s="2015">
        <v>0</v>
      </c>
      <c r="AE12" s="2015">
        <v>0</v>
      </c>
      <c r="AF12" s="2016">
        <v>0</v>
      </c>
      <c r="AG12" s="2015">
        <v>0</v>
      </c>
      <c r="AH12" s="2015">
        <v>0</v>
      </c>
      <c r="AI12" s="2016">
        <v>0</v>
      </c>
      <c r="AJ12" s="2015">
        <v>0</v>
      </c>
      <c r="AK12" s="2015">
        <v>0</v>
      </c>
      <c r="AL12" s="2016">
        <v>0</v>
      </c>
      <c r="AM12" s="2015">
        <v>0</v>
      </c>
      <c r="AN12" s="2015">
        <v>0</v>
      </c>
      <c r="AO12" s="2016">
        <v>0</v>
      </c>
      <c r="AP12" s="2015">
        <v>0</v>
      </c>
      <c r="AQ12" s="2015">
        <v>0</v>
      </c>
      <c r="AR12" s="2016">
        <v>0</v>
      </c>
    </row>
    <row r="13" spans="1:44">
      <c r="A13" s="2014" t="s">
        <v>3342</v>
      </c>
      <c r="B13" s="2014" t="s">
        <v>3271</v>
      </c>
      <c r="C13" s="2015" t="s">
        <v>782</v>
      </c>
      <c r="D13" s="2015">
        <v>15000000000</v>
      </c>
      <c r="E13" s="1769" t="s">
        <v>782</v>
      </c>
      <c r="F13" s="1769">
        <v>0</v>
      </c>
      <c r="G13" s="1769" t="s">
        <v>782</v>
      </c>
      <c r="H13" s="1770" t="s">
        <v>782</v>
      </c>
      <c r="I13" s="2015">
        <v>0</v>
      </c>
      <c r="J13" s="2015">
        <v>0</v>
      </c>
      <c r="K13" s="2016">
        <v>0</v>
      </c>
      <c r="L13" s="2015">
        <v>25000000000</v>
      </c>
      <c r="M13" s="2015">
        <v>0</v>
      </c>
      <c r="N13" s="2016">
        <v>25000000000</v>
      </c>
      <c r="O13" s="2015">
        <v>0</v>
      </c>
      <c r="P13" s="2015">
        <v>0</v>
      </c>
      <c r="Q13" s="2016">
        <v>0</v>
      </c>
      <c r="R13" s="2015">
        <v>0</v>
      </c>
      <c r="S13" s="2015">
        <v>0</v>
      </c>
      <c r="T13" s="2016">
        <v>0</v>
      </c>
      <c r="U13" s="2015">
        <v>0</v>
      </c>
      <c r="V13" s="2015">
        <v>0</v>
      </c>
      <c r="W13" s="2016">
        <v>0</v>
      </c>
      <c r="X13" s="2015">
        <v>0</v>
      </c>
      <c r="Y13" s="2015">
        <v>0</v>
      </c>
      <c r="Z13" s="2016">
        <v>0</v>
      </c>
      <c r="AA13" s="2015">
        <v>0</v>
      </c>
      <c r="AB13" s="2015">
        <v>0</v>
      </c>
      <c r="AC13" s="2016">
        <v>0</v>
      </c>
      <c r="AD13" s="2015">
        <v>0</v>
      </c>
      <c r="AE13" s="2015">
        <v>0</v>
      </c>
      <c r="AF13" s="2016">
        <v>0</v>
      </c>
      <c r="AG13" s="2015">
        <v>0</v>
      </c>
      <c r="AH13" s="2015">
        <v>0</v>
      </c>
      <c r="AI13" s="2016">
        <v>0</v>
      </c>
      <c r="AJ13" s="2015">
        <v>0</v>
      </c>
      <c r="AK13" s="2015">
        <v>0</v>
      </c>
      <c r="AL13" s="2016">
        <v>0</v>
      </c>
      <c r="AM13" s="2015">
        <v>0</v>
      </c>
      <c r="AN13" s="2015">
        <v>0</v>
      </c>
      <c r="AO13" s="2016">
        <v>0</v>
      </c>
      <c r="AP13" s="2015">
        <v>0</v>
      </c>
      <c r="AQ13" s="2015">
        <v>0</v>
      </c>
      <c r="AR13" s="2016">
        <v>0</v>
      </c>
    </row>
    <row r="14" spans="1:44">
      <c r="A14" s="2014" t="s">
        <v>3360</v>
      </c>
      <c r="B14" s="2014" t="s">
        <v>3271</v>
      </c>
      <c r="C14" s="2015" t="s">
        <v>782</v>
      </c>
      <c r="D14" s="2015" t="s">
        <v>782</v>
      </c>
      <c r="E14" s="1769" t="s">
        <v>782</v>
      </c>
      <c r="F14" s="1769">
        <v>0</v>
      </c>
      <c r="G14" s="1769" t="s">
        <v>782</v>
      </c>
      <c r="H14" s="1770" t="s">
        <v>782</v>
      </c>
      <c r="I14" s="2015">
        <v>0</v>
      </c>
      <c r="J14" s="2015">
        <v>0</v>
      </c>
      <c r="K14" s="2016">
        <v>0</v>
      </c>
      <c r="L14" s="2015">
        <v>0</v>
      </c>
      <c r="M14" s="2015">
        <v>0</v>
      </c>
      <c r="N14" s="2016">
        <v>0</v>
      </c>
      <c r="O14" s="2015">
        <v>15902700000</v>
      </c>
      <c r="P14" s="2015">
        <v>0</v>
      </c>
      <c r="Q14" s="2016">
        <v>15902700000</v>
      </c>
      <c r="R14" s="2015">
        <v>0</v>
      </c>
      <c r="S14" s="2015">
        <v>0</v>
      </c>
      <c r="T14" s="2016">
        <v>0</v>
      </c>
      <c r="U14" s="2015">
        <v>0</v>
      </c>
      <c r="V14" s="2015">
        <v>0</v>
      </c>
      <c r="W14" s="2016">
        <v>0</v>
      </c>
      <c r="X14" s="2015">
        <v>0</v>
      </c>
      <c r="Y14" s="2015">
        <v>0</v>
      </c>
      <c r="Z14" s="2016">
        <v>0</v>
      </c>
      <c r="AA14" s="2015">
        <v>0</v>
      </c>
      <c r="AB14" s="2015">
        <v>0</v>
      </c>
      <c r="AC14" s="2016">
        <v>0</v>
      </c>
      <c r="AD14" s="2015">
        <v>0</v>
      </c>
      <c r="AE14" s="2015">
        <v>0</v>
      </c>
      <c r="AF14" s="2016">
        <v>0</v>
      </c>
      <c r="AG14" s="2015">
        <v>0</v>
      </c>
      <c r="AH14" s="2015">
        <v>0</v>
      </c>
      <c r="AI14" s="2016">
        <v>0</v>
      </c>
      <c r="AJ14" s="2015">
        <v>0</v>
      </c>
      <c r="AK14" s="2015">
        <v>0</v>
      </c>
      <c r="AL14" s="2016">
        <v>0</v>
      </c>
      <c r="AM14" s="2015">
        <v>0</v>
      </c>
      <c r="AN14" s="2015">
        <v>0</v>
      </c>
      <c r="AO14" s="2016">
        <v>0</v>
      </c>
      <c r="AP14" s="2015">
        <v>0</v>
      </c>
      <c r="AQ14" s="2015">
        <v>0</v>
      </c>
      <c r="AR14" s="2016">
        <v>0</v>
      </c>
    </row>
    <row r="15" spans="1:44">
      <c r="A15" s="2014" t="s">
        <v>3344</v>
      </c>
      <c r="B15" s="2014" t="s">
        <v>3271</v>
      </c>
      <c r="C15" s="2015" t="s">
        <v>782</v>
      </c>
      <c r="D15" s="2015" t="s">
        <v>782</v>
      </c>
      <c r="E15" s="1769" t="s">
        <v>782</v>
      </c>
      <c r="F15" s="1769">
        <v>0</v>
      </c>
      <c r="G15" s="1769" t="s">
        <v>782</v>
      </c>
      <c r="H15" s="1770" t="s">
        <v>782</v>
      </c>
      <c r="I15" s="2015">
        <v>35000000000</v>
      </c>
      <c r="J15" s="2015">
        <v>0</v>
      </c>
      <c r="K15" s="2016">
        <v>35000000000</v>
      </c>
      <c r="L15" s="2015">
        <v>0</v>
      </c>
      <c r="M15" s="2015">
        <v>0</v>
      </c>
      <c r="N15" s="2016">
        <v>0</v>
      </c>
      <c r="O15" s="2015">
        <v>0</v>
      </c>
      <c r="P15" s="2015">
        <v>0</v>
      </c>
      <c r="Q15" s="2016">
        <v>0</v>
      </c>
      <c r="R15" s="2015">
        <v>0</v>
      </c>
      <c r="S15" s="2015">
        <v>0</v>
      </c>
      <c r="T15" s="2016">
        <v>0</v>
      </c>
      <c r="U15" s="2015">
        <v>0</v>
      </c>
      <c r="V15" s="2015">
        <v>0</v>
      </c>
      <c r="W15" s="2016">
        <v>0</v>
      </c>
      <c r="X15" s="2015">
        <v>0</v>
      </c>
      <c r="Y15" s="2015">
        <v>0</v>
      </c>
      <c r="Z15" s="2016">
        <v>0</v>
      </c>
      <c r="AA15" s="2015">
        <v>0</v>
      </c>
      <c r="AB15" s="2015">
        <v>0</v>
      </c>
      <c r="AC15" s="2016">
        <v>0</v>
      </c>
      <c r="AD15" s="2015">
        <v>0</v>
      </c>
      <c r="AE15" s="2015">
        <v>0</v>
      </c>
      <c r="AF15" s="2016">
        <v>0</v>
      </c>
      <c r="AG15" s="2015">
        <v>0</v>
      </c>
      <c r="AH15" s="2015">
        <v>0</v>
      </c>
      <c r="AI15" s="2016">
        <v>0</v>
      </c>
      <c r="AJ15" s="2015">
        <v>0</v>
      </c>
      <c r="AK15" s="2015">
        <v>0</v>
      </c>
      <c r="AL15" s="2016">
        <v>0</v>
      </c>
      <c r="AM15" s="2015">
        <v>0</v>
      </c>
      <c r="AN15" s="2015">
        <v>0</v>
      </c>
      <c r="AO15" s="2016">
        <v>0</v>
      </c>
      <c r="AP15" s="2015">
        <v>0</v>
      </c>
      <c r="AQ15" s="2015">
        <v>0</v>
      </c>
      <c r="AR15" s="2016">
        <v>0</v>
      </c>
    </row>
    <row r="16" spans="1:44">
      <c r="A16" s="2014" t="s">
        <v>3346</v>
      </c>
      <c r="B16" s="2014" t="s">
        <v>3271</v>
      </c>
      <c r="C16" s="2015">
        <v>15000000000</v>
      </c>
      <c r="D16" s="2015" t="s">
        <v>782</v>
      </c>
      <c r="E16" s="1769" t="s">
        <v>782</v>
      </c>
      <c r="F16" s="1769">
        <v>0</v>
      </c>
      <c r="G16" s="1769" t="s">
        <v>782</v>
      </c>
      <c r="H16" s="1770" t="s">
        <v>782</v>
      </c>
      <c r="I16" s="2015">
        <v>0</v>
      </c>
      <c r="J16" s="2015">
        <v>0</v>
      </c>
      <c r="K16" s="2016">
        <v>0</v>
      </c>
      <c r="L16" s="2015">
        <v>0</v>
      </c>
      <c r="M16" s="2015">
        <v>14999920000</v>
      </c>
      <c r="N16" s="2016">
        <v>14999920000</v>
      </c>
      <c r="O16" s="2015">
        <v>0</v>
      </c>
      <c r="P16" s="2015">
        <v>0</v>
      </c>
      <c r="Q16" s="2016">
        <v>0</v>
      </c>
      <c r="R16" s="2015">
        <v>0</v>
      </c>
      <c r="S16" s="2015">
        <v>0</v>
      </c>
      <c r="T16" s="2016">
        <v>0</v>
      </c>
      <c r="U16" s="2015">
        <v>0</v>
      </c>
      <c r="V16" s="2015">
        <v>0</v>
      </c>
      <c r="W16" s="2016">
        <v>0</v>
      </c>
      <c r="X16" s="2015">
        <v>0</v>
      </c>
      <c r="Y16" s="2015">
        <v>0</v>
      </c>
      <c r="Z16" s="2016">
        <v>0</v>
      </c>
      <c r="AA16" s="2015">
        <v>0</v>
      </c>
      <c r="AB16" s="2015">
        <v>0</v>
      </c>
      <c r="AC16" s="2016">
        <v>0</v>
      </c>
      <c r="AD16" s="2015">
        <v>0</v>
      </c>
      <c r="AE16" s="2015">
        <v>0</v>
      </c>
      <c r="AF16" s="2016">
        <v>0</v>
      </c>
      <c r="AG16" s="2015">
        <v>0</v>
      </c>
      <c r="AH16" s="2015">
        <v>0</v>
      </c>
      <c r="AI16" s="2016">
        <v>0</v>
      </c>
      <c r="AJ16" s="2015">
        <v>0</v>
      </c>
      <c r="AK16" s="2015">
        <v>0</v>
      </c>
      <c r="AL16" s="2016">
        <v>0</v>
      </c>
      <c r="AM16" s="2015">
        <v>0</v>
      </c>
      <c r="AN16" s="2015">
        <v>0</v>
      </c>
      <c r="AO16" s="2016">
        <v>0</v>
      </c>
      <c r="AP16" s="2015">
        <v>0</v>
      </c>
      <c r="AQ16" s="2015">
        <v>0</v>
      </c>
      <c r="AR16" s="2016">
        <v>0</v>
      </c>
    </row>
    <row r="17" spans="1:44">
      <c r="A17" s="2014" t="s">
        <v>3347</v>
      </c>
      <c r="B17" s="2014" t="s">
        <v>3271</v>
      </c>
      <c r="C17" s="2015" t="s">
        <v>782</v>
      </c>
      <c r="D17" s="2015">
        <v>15000000000</v>
      </c>
      <c r="E17" s="1769" t="s">
        <v>782</v>
      </c>
      <c r="F17" s="1769">
        <v>0</v>
      </c>
      <c r="G17" s="1769" t="s">
        <v>782</v>
      </c>
      <c r="H17" s="1770" t="s">
        <v>782</v>
      </c>
      <c r="I17" s="2015">
        <v>0</v>
      </c>
      <c r="J17" s="2015">
        <v>0</v>
      </c>
      <c r="K17" s="2016">
        <v>0</v>
      </c>
      <c r="L17" s="2015">
        <v>0</v>
      </c>
      <c r="M17" s="2015">
        <v>0</v>
      </c>
      <c r="N17" s="2016">
        <v>0</v>
      </c>
      <c r="O17" s="2015">
        <v>0</v>
      </c>
      <c r="P17" s="2015">
        <v>21469500000</v>
      </c>
      <c r="Q17" s="2016">
        <v>21469500000</v>
      </c>
      <c r="R17" s="2015">
        <v>0</v>
      </c>
      <c r="S17" s="2015">
        <v>0</v>
      </c>
      <c r="T17" s="2016">
        <v>0</v>
      </c>
      <c r="U17" s="2015">
        <v>0</v>
      </c>
      <c r="V17" s="2015">
        <v>0</v>
      </c>
      <c r="W17" s="2016">
        <v>0</v>
      </c>
      <c r="X17" s="2015">
        <v>0</v>
      </c>
      <c r="Y17" s="2015">
        <v>0</v>
      </c>
      <c r="Z17" s="2016">
        <v>0</v>
      </c>
      <c r="AA17" s="2015">
        <v>0</v>
      </c>
      <c r="AB17" s="2015">
        <v>0</v>
      </c>
      <c r="AC17" s="2016">
        <v>0</v>
      </c>
      <c r="AD17" s="2015">
        <v>0</v>
      </c>
      <c r="AE17" s="2015">
        <v>0</v>
      </c>
      <c r="AF17" s="2016">
        <v>0</v>
      </c>
      <c r="AG17" s="2015">
        <v>0</v>
      </c>
      <c r="AH17" s="2015">
        <v>0</v>
      </c>
      <c r="AI17" s="2016">
        <v>0</v>
      </c>
      <c r="AJ17" s="2015">
        <v>0</v>
      </c>
      <c r="AK17" s="2015">
        <v>0</v>
      </c>
      <c r="AL17" s="2016">
        <v>0</v>
      </c>
      <c r="AM17" s="2015">
        <v>0</v>
      </c>
      <c r="AN17" s="2015">
        <v>0</v>
      </c>
      <c r="AO17" s="2016">
        <v>0</v>
      </c>
      <c r="AP17" s="2015">
        <v>0</v>
      </c>
      <c r="AQ17" s="2015">
        <v>0</v>
      </c>
      <c r="AR17" s="2016">
        <v>0</v>
      </c>
    </row>
    <row r="18" spans="1:44">
      <c r="A18" s="2014" t="s">
        <v>3348</v>
      </c>
      <c r="B18" s="2014" t="s">
        <v>3271</v>
      </c>
      <c r="C18" s="2015" t="s">
        <v>782</v>
      </c>
      <c r="D18" s="2015" t="s">
        <v>782</v>
      </c>
      <c r="E18" s="1769" t="s">
        <v>782</v>
      </c>
      <c r="F18" s="1769">
        <v>0</v>
      </c>
      <c r="G18" s="1769" t="s">
        <v>782</v>
      </c>
      <c r="H18" s="1770" t="s">
        <v>782</v>
      </c>
      <c r="I18" s="2015">
        <v>0</v>
      </c>
      <c r="J18" s="2015">
        <v>0</v>
      </c>
      <c r="K18" s="2016">
        <v>0</v>
      </c>
      <c r="L18" s="2015">
        <v>0</v>
      </c>
      <c r="M18" s="2015">
        <v>0</v>
      </c>
      <c r="N18" s="2016">
        <v>0</v>
      </c>
      <c r="O18" s="2015">
        <v>0</v>
      </c>
      <c r="P18" s="2015">
        <v>0</v>
      </c>
      <c r="Q18" s="2016">
        <v>0</v>
      </c>
      <c r="R18" s="2015">
        <v>0</v>
      </c>
      <c r="S18" s="2015">
        <v>0</v>
      </c>
      <c r="T18" s="2016">
        <v>0</v>
      </c>
      <c r="U18" s="2015">
        <v>0</v>
      </c>
      <c r="V18" s="2015">
        <v>0</v>
      </c>
      <c r="W18" s="2016">
        <v>0</v>
      </c>
      <c r="X18" s="2015">
        <v>0</v>
      </c>
      <c r="Y18" s="2015">
        <v>0</v>
      </c>
      <c r="Z18" s="2016">
        <v>0</v>
      </c>
      <c r="AA18" s="2015">
        <v>0</v>
      </c>
      <c r="AB18" s="2015">
        <v>0</v>
      </c>
      <c r="AC18" s="2016">
        <v>0</v>
      </c>
      <c r="AD18" s="2015">
        <v>0</v>
      </c>
      <c r="AE18" s="2015">
        <v>0</v>
      </c>
      <c r="AF18" s="2016">
        <v>0</v>
      </c>
      <c r="AG18" s="2015">
        <v>0</v>
      </c>
      <c r="AH18" s="2015">
        <v>0</v>
      </c>
      <c r="AI18" s="2016">
        <v>0</v>
      </c>
      <c r="AJ18" s="2015">
        <v>0</v>
      </c>
      <c r="AK18" s="2015">
        <v>0</v>
      </c>
      <c r="AL18" s="2016">
        <v>0</v>
      </c>
      <c r="AM18" s="2015">
        <v>0</v>
      </c>
      <c r="AN18" s="2015">
        <v>0</v>
      </c>
      <c r="AO18" s="2016">
        <v>0</v>
      </c>
      <c r="AP18" s="2015">
        <v>0</v>
      </c>
      <c r="AQ18" s="2015">
        <v>0</v>
      </c>
      <c r="AR18" s="2016">
        <v>0</v>
      </c>
    </row>
    <row r="19" spans="1:44">
      <c r="A19" s="2014" t="s">
        <v>3359</v>
      </c>
      <c r="B19" s="2014" t="s">
        <v>3271</v>
      </c>
      <c r="C19" s="2015" t="s">
        <v>782</v>
      </c>
      <c r="D19" s="2015" t="s">
        <v>782</v>
      </c>
      <c r="E19" s="1769" t="s">
        <v>782</v>
      </c>
      <c r="F19" s="1769">
        <v>0</v>
      </c>
      <c r="G19" s="1769" t="s">
        <v>782</v>
      </c>
      <c r="H19" s="1770" t="s">
        <v>782</v>
      </c>
      <c r="I19" s="2015">
        <v>0</v>
      </c>
      <c r="J19" s="2015">
        <v>0</v>
      </c>
      <c r="K19" s="2016">
        <v>0</v>
      </c>
      <c r="L19" s="2015">
        <v>0</v>
      </c>
      <c r="M19" s="2015">
        <v>0</v>
      </c>
      <c r="N19" s="2016">
        <v>0</v>
      </c>
      <c r="O19" s="2015">
        <v>0</v>
      </c>
      <c r="P19" s="2015">
        <v>0</v>
      </c>
      <c r="Q19" s="2016">
        <v>0</v>
      </c>
      <c r="R19" s="2015">
        <v>0</v>
      </c>
      <c r="S19" s="2015">
        <v>28284700000</v>
      </c>
      <c r="T19" s="2016">
        <v>28284700000</v>
      </c>
      <c r="U19" s="2015">
        <v>0</v>
      </c>
      <c r="V19" s="2015">
        <v>0</v>
      </c>
      <c r="W19" s="2016">
        <v>0</v>
      </c>
      <c r="X19" s="2015">
        <v>0</v>
      </c>
      <c r="Y19" s="2015">
        <v>0</v>
      </c>
      <c r="Z19" s="2016">
        <v>0</v>
      </c>
      <c r="AA19" s="2015">
        <v>0</v>
      </c>
      <c r="AB19" s="2015">
        <v>0</v>
      </c>
      <c r="AC19" s="2016">
        <v>0</v>
      </c>
      <c r="AD19" s="2015">
        <v>0</v>
      </c>
      <c r="AE19" s="2015">
        <v>0</v>
      </c>
      <c r="AF19" s="2016">
        <v>0</v>
      </c>
      <c r="AG19" s="2015">
        <v>0</v>
      </c>
      <c r="AH19" s="2015">
        <v>0</v>
      </c>
      <c r="AI19" s="2016">
        <v>0</v>
      </c>
      <c r="AJ19" s="2015">
        <v>0</v>
      </c>
      <c r="AK19" s="2015">
        <v>0</v>
      </c>
      <c r="AL19" s="2016">
        <v>0</v>
      </c>
      <c r="AM19" s="2015">
        <v>0</v>
      </c>
      <c r="AN19" s="2015">
        <v>0</v>
      </c>
      <c r="AO19" s="2016">
        <v>0</v>
      </c>
      <c r="AP19" s="2015">
        <v>0</v>
      </c>
      <c r="AQ19" s="2015">
        <v>0</v>
      </c>
      <c r="AR19" s="2016">
        <v>0</v>
      </c>
    </row>
    <row r="20" spans="1:44">
      <c r="A20" s="2014" t="s">
        <v>3350</v>
      </c>
      <c r="B20" s="2014" t="s">
        <v>3271</v>
      </c>
      <c r="C20" s="2015" t="s">
        <v>782</v>
      </c>
      <c r="D20" s="2015" t="s">
        <v>782</v>
      </c>
      <c r="E20" s="1769" t="s">
        <v>782</v>
      </c>
      <c r="F20" s="1769">
        <v>0</v>
      </c>
      <c r="G20" s="1769" t="s">
        <v>782</v>
      </c>
      <c r="H20" s="1770" t="s">
        <v>782</v>
      </c>
      <c r="I20" s="2015">
        <v>0</v>
      </c>
      <c r="J20" s="2015">
        <v>0</v>
      </c>
      <c r="K20" s="2016">
        <v>0</v>
      </c>
      <c r="L20" s="2015">
        <v>35000000000</v>
      </c>
      <c r="M20" s="2015">
        <v>0</v>
      </c>
      <c r="N20" s="2016">
        <v>35000000000</v>
      </c>
      <c r="O20" s="2015">
        <v>0</v>
      </c>
      <c r="P20" s="2015">
        <v>0</v>
      </c>
      <c r="Q20" s="2016">
        <v>0</v>
      </c>
      <c r="R20" s="2015">
        <v>0</v>
      </c>
      <c r="S20" s="2015">
        <v>0</v>
      </c>
      <c r="T20" s="2016">
        <v>0</v>
      </c>
      <c r="U20" s="2015">
        <v>0</v>
      </c>
      <c r="V20" s="2015">
        <v>0</v>
      </c>
      <c r="W20" s="2016">
        <v>0</v>
      </c>
      <c r="X20" s="2015">
        <v>0</v>
      </c>
      <c r="Y20" s="2015">
        <v>0</v>
      </c>
      <c r="Z20" s="2016">
        <v>0</v>
      </c>
      <c r="AA20" s="2015">
        <v>0</v>
      </c>
      <c r="AB20" s="2015">
        <v>0</v>
      </c>
      <c r="AC20" s="2016">
        <v>0</v>
      </c>
      <c r="AD20" s="2015">
        <v>0</v>
      </c>
      <c r="AE20" s="2015">
        <v>0</v>
      </c>
      <c r="AF20" s="2016">
        <v>0</v>
      </c>
      <c r="AG20" s="2015">
        <v>0</v>
      </c>
      <c r="AH20" s="2015">
        <v>0</v>
      </c>
      <c r="AI20" s="2016">
        <v>0</v>
      </c>
      <c r="AJ20" s="2015">
        <v>0</v>
      </c>
      <c r="AK20" s="2015">
        <v>0</v>
      </c>
      <c r="AL20" s="2016">
        <v>0</v>
      </c>
      <c r="AM20" s="2015">
        <v>0</v>
      </c>
      <c r="AN20" s="2015">
        <v>0</v>
      </c>
      <c r="AO20" s="2016">
        <v>0</v>
      </c>
      <c r="AP20" s="2015">
        <v>0</v>
      </c>
      <c r="AQ20" s="2015">
        <v>0</v>
      </c>
      <c r="AR20" s="2016">
        <v>0</v>
      </c>
    </row>
    <row r="21" spans="1:44">
      <c r="A21" s="2014" t="s">
        <v>3351</v>
      </c>
      <c r="B21" s="2014" t="s">
        <v>3271</v>
      </c>
      <c r="C21" s="2015" t="s">
        <v>782</v>
      </c>
      <c r="D21" s="2015" t="s">
        <v>782</v>
      </c>
      <c r="E21" s="1769" t="s">
        <v>782</v>
      </c>
      <c r="F21" s="1769">
        <v>0</v>
      </c>
      <c r="G21" s="1769" t="s">
        <v>782</v>
      </c>
      <c r="H21" s="1770" t="s">
        <v>782</v>
      </c>
      <c r="I21" s="2015">
        <v>0</v>
      </c>
      <c r="J21" s="2015">
        <v>0</v>
      </c>
      <c r="K21" s="2016">
        <v>0</v>
      </c>
      <c r="L21" s="2015">
        <v>0</v>
      </c>
      <c r="M21" s="2015">
        <v>49283700000</v>
      </c>
      <c r="N21" s="2016">
        <v>49283700000</v>
      </c>
      <c r="O21" s="2015">
        <v>0</v>
      </c>
      <c r="P21" s="2015">
        <v>0</v>
      </c>
      <c r="Q21" s="2016">
        <v>0</v>
      </c>
      <c r="R21" s="2015">
        <v>0</v>
      </c>
      <c r="S21" s="2015">
        <v>0</v>
      </c>
      <c r="T21" s="2016">
        <v>0</v>
      </c>
      <c r="U21" s="2015">
        <v>0</v>
      </c>
      <c r="V21" s="2015">
        <v>0</v>
      </c>
      <c r="W21" s="2016">
        <v>0</v>
      </c>
      <c r="X21" s="2015">
        <v>0</v>
      </c>
      <c r="Y21" s="2015">
        <v>0</v>
      </c>
      <c r="Z21" s="2016">
        <v>0</v>
      </c>
      <c r="AA21" s="2015">
        <v>0</v>
      </c>
      <c r="AB21" s="2015">
        <v>0</v>
      </c>
      <c r="AC21" s="2016">
        <v>0</v>
      </c>
      <c r="AD21" s="2015">
        <v>0</v>
      </c>
      <c r="AE21" s="2015">
        <v>0</v>
      </c>
      <c r="AF21" s="2016">
        <v>0</v>
      </c>
      <c r="AG21" s="2015">
        <v>0</v>
      </c>
      <c r="AH21" s="2015">
        <v>0</v>
      </c>
      <c r="AI21" s="2016">
        <v>0</v>
      </c>
      <c r="AJ21" s="2015">
        <v>0</v>
      </c>
      <c r="AK21" s="2015">
        <v>0</v>
      </c>
      <c r="AL21" s="2016">
        <v>0</v>
      </c>
      <c r="AM21" s="2015">
        <v>0</v>
      </c>
      <c r="AN21" s="2015">
        <v>0</v>
      </c>
      <c r="AO21" s="2016">
        <v>0</v>
      </c>
      <c r="AP21" s="2015">
        <v>0</v>
      </c>
      <c r="AQ21" s="2015">
        <v>0</v>
      </c>
      <c r="AR21" s="2016">
        <v>0</v>
      </c>
    </row>
    <row r="22" spans="1:44">
      <c r="A22" s="2014" t="s">
        <v>3352</v>
      </c>
      <c r="B22" s="2014" t="s">
        <v>3271</v>
      </c>
      <c r="C22" s="2015" t="s">
        <v>782</v>
      </c>
      <c r="D22" s="2015" t="s">
        <v>782</v>
      </c>
      <c r="E22" s="1769" t="s">
        <v>782</v>
      </c>
      <c r="F22" s="1769">
        <v>0</v>
      </c>
      <c r="G22" s="1769" t="s">
        <v>782</v>
      </c>
      <c r="H22" s="1770" t="s">
        <v>782</v>
      </c>
      <c r="I22" s="2015">
        <v>0</v>
      </c>
      <c r="J22" s="2015">
        <v>0</v>
      </c>
      <c r="K22" s="2016">
        <v>0</v>
      </c>
      <c r="L22" s="2015">
        <v>0</v>
      </c>
      <c r="M22" s="2015">
        <v>0</v>
      </c>
      <c r="N22" s="2016">
        <v>0</v>
      </c>
      <c r="O22" s="2015">
        <v>0</v>
      </c>
      <c r="P22" s="2015">
        <v>0</v>
      </c>
      <c r="Q22" s="2016">
        <v>0</v>
      </c>
      <c r="R22" s="2015">
        <v>0</v>
      </c>
      <c r="S22" s="2015">
        <v>0</v>
      </c>
      <c r="T22" s="2016">
        <v>0</v>
      </c>
      <c r="U22" s="2015">
        <v>0</v>
      </c>
      <c r="V22" s="2015">
        <v>0</v>
      </c>
      <c r="W22" s="2016">
        <v>0</v>
      </c>
      <c r="X22" s="2015">
        <v>0</v>
      </c>
      <c r="Y22" s="2015">
        <v>0</v>
      </c>
      <c r="Z22" s="2016">
        <v>0</v>
      </c>
      <c r="AA22" s="2015">
        <v>0</v>
      </c>
      <c r="AB22" s="2015">
        <v>0</v>
      </c>
      <c r="AC22" s="2016">
        <v>0</v>
      </c>
      <c r="AD22" s="2015">
        <v>0</v>
      </c>
      <c r="AE22" s="2015">
        <v>0</v>
      </c>
      <c r="AF22" s="2016">
        <v>0</v>
      </c>
      <c r="AG22" s="2015">
        <v>0</v>
      </c>
      <c r="AH22" s="2015">
        <v>0</v>
      </c>
      <c r="AI22" s="2016">
        <v>0</v>
      </c>
      <c r="AJ22" s="2015">
        <v>0</v>
      </c>
      <c r="AK22" s="2015">
        <v>0</v>
      </c>
      <c r="AL22" s="2016">
        <v>0</v>
      </c>
      <c r="AM22" s="2015">
        <v>0</v>
      </c>
      <c r="AN22" s="2015">
        <v>0</v>
      </c>
      <c r="AO22" s="2016">
        <v>0</v>
      </c>
      <c r="AP22" s="2015">
        <v>0</v>
      </c>
      <c r="AQ22" s="2015">
        <v>0</v>
      </c>
      <c r="AR22" s="2016">
        <v>0</v>
      </c>
    </row>
    <row r="23" spans="1:44">
      <c r="A23" s="2014" t="s">
        <v>3353</v>
      </c>
      <c r="B23" s="2014" t="s">
        <v>3271</v>
      </c>
      <c r="C23" s="2015"/>
      <c r="D23" s="2015"/>
      <c r="E23" s="1769">
        <v>15000000000</v>
      </c>
      <c r="F23" s="1769">
        <v>0</v>
      </c>
      <c r="G23" s="1769" t="s">
        <v>782</v>
      </c>
      <c r="H23" s="1770" t="s">
        <v>782</v>
      </c>
      <c r="I23" s="2015">
        <v>20000000000</v>
      </c>
      <c r="J23" s="2015">
        <v>0</v>
      </c>
      <c r="K23" s="2016">
        <v>20000000000</v>
      </c>
      <c r="L23" s="2015">
        <v>0</v>
      </c>
      <c r="M23" s="2015">
        <v>0</v>
      </c>
      <c r="N23" s="2016">
        <v>0</v>
      </c>
      <c r="O23" s="2015">
        <v>0</v>
      </c>
      <c r="P23" s="2015">
        <v>0</v>
      </c>
      <c r="Q23" s="2016">
        <v>0</v>
      </c>
      <c r="R23" s="2015">
        <v>0</v>
      </c>
      <c r="S23" s="2015">
        <v>0</v>
      </c>
      <c r="T23" s="2016">
        <v>0</v>
      </c>
      <c r="U23" s="2015">
        <v>0</v>
      </c>
      <c r="V23" s="2015">
        <v>0</v>
      </c>
      <c r="W23" s="2016">
        <v>0</v>
      </c>
      <c r="X23" s="2015">
        <v>0</v>
      </c>
      <c r="Y23" s="2015">
        <v>0</v>
      </c>
      <c r="Z23" s="2016">
        <v>0</v>
      </c>
      <c r="AA23" s="2015">
        <v>0</v>
      </c>
      <c r="AB23" s="2015">
        <v>0</v>
      </c>
      <c r="AC23" s="2016">
        <v>0</v>
      </c>
      <c r="AD23" s="2015">
        <v>0</v>
      </c>
      <c r="AE23" s="2015">
        <v>0</v>
      </c>
      <c r="AF23" s="2016">
        <v>0</v>
      </c>
      <c r="AG23" s="2015">
        <v>0</v>
      </c>
      <c r="AH23" s="2015">
        <v>0</v>
      </c>
      <c r="AI23" s="2016">
        <v>0</v>
      </c>
      <c r="AJ23" s="2015">
        <v>0</v>
      </c>
      <c r="AK23" s="2015">
        <v>0</v>
      </c>
      <c r="AL23" s="2016">
        <v>0</v>
      </c>
      <c r="AM23" s="2015">
        <v>0</v>
      </c>
      <c r="AN23" s="2015">
        <v>0</v>
      </c>
      <c r="AO23" s="2016">
        <v>0</v>
      </c>
      <c r="AP23" s="2015">
        <v>0</v>
      </c>
      <c r="AQ23" s="2015">
        <v>0</v>
      </c>
      <c r="AR23" s="2016">
        <v>0</v>
      </c>
    </row>
    <row r="24" spans="1:44">
      <c r="A24" s="2014" t="s">
        <v>3354</v>
      </c>
      <c r="B24" s="2014" t="s">
        <v>3271</v>
      </c>
      <c r="C24" s="2015"/>
      <c r="D24" s="2015"/>
      <c r="E24" s="1769" t="s">
        <v>782</v>
      </c>
      <c r="F24" s="1769">
        <v>0</v>
      </c>
      <c r="G24" s="1769" t="s">
        <v>782</v>
      </c>
      <c r="H24" s="1770" t="s">
        <v>782</v>
      </c>
      <c r="I24" s="2015">
        <v>0</v>
      </c>
      <c r="J24" s="2015">
        <v>0</v>
      </c>
      <c r="K24" s="2016">
        <v>0</v>
      </c>
      <c r="L24" s="2015">
        <v>0</v>
      </c>
      <c r="M24" s="2015">
        <v>0</v>
      </c>
      <c r="N24" s="2016">
        <v>0</v>
      </c>
      <c r="O24" s="2015">
        <v>46475700000</v>
      </c>
      <c r="P24" s="2015">
        <v>0</v>
      </c>
      <c r="Q24" s="2016">
        <v>46475700000</v>
      </c>
      <c r="R24" s="2015">
        <v>0</v>
      </c>
      <c r="S24" s="2015">
        <v>0</v>
      </c>
      <c r="T24" s="2016">
        <v>0</v>
      </c>
      <c r="U24" s="2015">
        <v>0</v>
      </c>
      <c r="V24" s="2015">
        <v>0</v>
      </c>
      <c r="W24" s="2016">
        <v>0</v>
      </c>
      <c r="X24" s="2015">
        <v>0</v>
      </c>
      <c r="Y24" s="2015">
        <v>0</v>
      </c>
      <c r="Z24" s="2016">
        <v>0</v>
      </c>
      <c r="AA24" s="2015">
        <v>0</v>
      </c>
      <c r="AB24" s="2015">
        <v>0</v>
      </c>
      <c r="AC24" s="2016">
        <v>0</v>
      </c>
      <c r="AD24" s="2015">
        <v>0</v>
      </c>
      <c r="AE24" s="2015">
        <v>0</v>
      </c>
      <c r="AF24" s="2016">
        <v>0</v>
      </c>
      <c r="AG24" s="2015">
        <v>0</v>
      </c>
      <c r="AH24" s="2015">
        <v>0</v>
      </c>
      <c r="AI24" s="2016">
        <v>0</v>
      </c>
      <c r="AJ24" s="2015">
        <v>0</v>
      </c>
      <c r="AK24" s="2015">
        <v>0</v>
      </c>
      <c r="AL24" s="2016">
        <v>0</v>
      </c>
      <c r="AM24" s="2015">
        <v>0</v>
      </c>
      <c r="AN24" s="2015">
        <v>0</v>
      </c>
      <c r="AO24" s="2016">
        <v>0</v>
      </c>
      <c r="AP24" s="2015">
        <v>0</v>
      </c>
      <c r="AQ24" s="2015">
        <v>0</v>
      </c>
      <c r="AR24" s="2016">
        <v>0</v>
      </c>
    </row>
    <row r="25" spans="1:44">
      <c r="A25" s="2014" t="s">
        <v>3355</v>
      </c>
      <c r="B25" s="2014" t="s">
        <v>3271</v>
      </c>
      <c r="C25" s="2015"/>
      <c r="D25" s="2015"/>
      <c r="E25" s="1769" t="s">
        <v>782</v>
      </c>
      <c r="F25" s="1769">
        <v>0</v>
      </c>
      <c r="G25" s="1769">
        <v>45000000000</v>
      </c>
      <c r="H25" s="1770" t="s">
        <v>782</v>
      </c>
      <c r="I25" s="2015">
        <v>0</v>
      </c>
      <c r="J25" s="2015">
        <v>0</v>
      </c>
      <c r="K25" s="2016">
        <v>0</v>
      </c>
      <c r="L25" s="2015">
        <v>0</v>
      </c>
      <c r="M25" s="2015">
        <v>0</v>
      </c>
      <c r="N25" s="2016">
        <v>0</v>
      </c>
      <c r="O25" s="2015">
        <v>0</v>
      </c>
      <c r="P25" s="2015">
        <v>0</v>
      </c>
      <c r="Q25" s="2016">
        <v>0</v>
      </c>
      <c r="R25" s="2015">
        <v>0</v>
      </c>
      <c r="S25" s="2015">
        <v>0</v>
      </c>
      <c r="T25" s="2016">
        <v>0</v>
      </c>
      <c r="U25" s="2015">
        <v>0</v>
      </c>
      <c r="V25" s="2015">
        <v>0</v>
      </c>
      <c r="W25" s="2016">
        <v>0</v>
      </c>
      <c r="X25" s="2015">
        <v>82978200000</v>
      </c>
      <c r="Y25" s="2015">
        <v>0</v>
      </c>
      <c r="Z25" s="2016">
        <v>82978200000</v>
      </c>
      <c r="AA25" s="2015">
        <v>0</v>
      </c>
      <c r="AB25" s="2015">
        <v>0</v>
      </c>
      <c r="AC25" s="2016">
        <v>0</v>
      </c>
      <c r="AD25" s="2015">
        <v>0</v>
      </c>
      <c r="AE25" s="2015">
        <v>0</v>
      </c>
      <c r="AF25" s="2016">
        <v>0</v>
      </c>
      <c r="AG25" s="2015">
        <v>0</v>
      </c>
      <c r="AH25" s="2015">
        <v>0</v>
      </c>
      <c r="AI25" s="2016">
        <v>0</v>
      </c>
      <c r="AJ25" s="2015">
        <v>0</v>
      </c>
      <c r="AK25" s="2015">
        <v>0</v>
      </c>
      <c r="AL25" s="2016">
        <v>0</v>
      </c>
      <c r="AM25" s="2015">
        <v>0</v>
      </c>
      <c r="AN25" s="2015">
        <v>0</v>
      </c>
      <c r="AO25" s="2016">
        <v>0</v>
      </c>
      <c r="AP25" s="2015">
        <v>0</v>
      </c>
      <c r="AQ25" s="2015">
        <v>0</v>
      </c>
      <c r="AR25" s="2016">
        <v>0</v>
      </c>
    </row>
    <row r="26" spans="1:44">
      <c r="A26" s="2014" t="s">
        <v>3356</v>
      </c>
      <c r="B26" s="2014" t="s">
        <v>3271</v>
      </c>
      <c r="C26" s="2015"/>
      <c r="D26" s="2015"/>
      <c r="E26" s="1769" t="s">
        <v>782</v>
      </c>
      <c r="F26" s="1769">
        <v>45000000000</v>
      </c>
      <c r="G26" s="1769">
        <v>33555000000</v>
      </c>
      <c r="H26" s="1770" t="s">
        <v>782</v>
      </c>
      <c r="I26" s="2015">
        <v>0</v>
      </c>
      <c r="J26" s="2015">
        <v>0</v>
      </c>
      <c r="K26" s="2016">
        <v>0</v>
      </c>
      <c r="L26" s="2015">
        <v>0</v>
      </c>
      <c r="M26" s="2015">
        <v>0</v>
      </c>
      <c r="N26" s="2016">
        <v>0</v>
      </c>
      <c r="O26" s="2015">
        <v>0</v>
      </c>
      <c r="P26" s="2015">
        <v>0</v>
      </c>
      <c r="Q26" s="2016">
        <v>0</v>
      </c>
      <c r="R26" s="2015">
        <v>0</v>
      </c>
      <c r="S26" s="2015">
        <v>0</v>
      </c>
      <c r="T26" s="2016">
        <v>0</v>
      </c>
      <c r="U26" s="2015">
        <v>70000000000</v>
      </c>
      <c r="V26" s="2015">
        <v>0</v>
      </c>
      <c r="W26" s="2016">
        <v>70000000000</v>
      </c>
      <c r="X26" s="2015">
        <v>0</v>
      </c>
      <c r="Y26" s="2015">
        <v>0</v>
      </c>
      <c r="Z26" s="2016">
        <v>0</v>
      </c>
      <c r="AA26" s="2015">
        <v>0</v>
      </c>
      <c r="AB26" s="2015">
        <v>0</v>
      </c>
      <c r="AC26" s="2016">
        <v>0</v>
      </c>
      <c r="AD26" s="2015">
        <v>0</v>
      </c>
      <c r="AE26" s="2015">
        <v>0</v>
      </c>
      <c r="AF26" s="2016">
        <v>0</v>
      </c>
      <c r="AG26" s="2015">
        <v>0</v>
      </c>
      <c r="AH26" s="2015">
        <v>0</v>
      </c>
      <c r="AI26" s="2016">
        <v>0</v>
      </c>
      <c r="AJ26" s="2015">
        <v>0</v>
      </c>
      <c r="AK26" s="2015">
        <v>0</v>
      </c>
      <c r="AL26" s="2016">
        <v>0</v>
      </c>
      <c r="AM26" s="2015">
        <v>0</v>
      </c>
      <c r="AN26" s="2015">
        <v>0</v>
      </c>
      <c r="AO26" s="2016">
        <v>0</v>
      </c>
      <c r="AP26" s="2015">
        <v>0</v>
      </c>
      <c r="AQ26" s="2015">
        <v>0</v>
      </c>
      <c r="AR26" s="2016">
        <v>0</v>
      </c>
    </row>
    <row r="27" spans="1:44">
      <c r="A27" s="2014" t="s">
        <v>3357</v>
      </c>
      <c r="B27" s="2014" t="s">
        <v>3271</v>
      </c>
      <c r="C27" s="2015"/>
      <c r="D27" s="2015"/>
      <c r="E27" s="1769">
        <v>15000000000</v>
      </c>
      <c r="F27" s="1769">
        <v>0</v>
      </c>
      <c r="G27" s="1769" t="s">
        <v>782</v>
      </c>
      <c r="H27" s="1770" t="s">
        <v>782</v>
      </c>
      <c r="I27" s="2015">
        <v>0</v>
      </c>
      <c r="J27" s="2015">
        <v>0</v>
      </c>
      <c r="K27" s="2016">
        <v>0</v>
      </c>
      <c r="L27" s="2015">
        <v>0</v>
      </c>
      <c r="M27" s="2015">
        <v>0</v>
      </c>
      <c r="N27" s="2016">
        <v>0</v>
      </c>
      <c r="O27" s="2015">
        <v>0</v>
      </c>
      <c r="P27" s="2015">
        <v>0</v>
      </c>
      <c r="Q27" s="2016">
        <v>0</v>
      </c>
      <c r="R27" s="2015">
        <v>60000000000</v>
      </c>
      <c r="S27" s="2015">
        <v>0</v>
      </c>
      <c r="T27" s="2016">
        <v>60000000000</v>
      </c>
      <c r="U27" s="2015">
        <v>0</v>
      </c>
      <c r="V27" s="2015">
        <v>0</v>
      </c>
      <c r="W27" s="2016">
        <v>0</v>
      </c>
      <c r="X27" s="2015">
        <v>0</v>
      </c>
      <c r="Y27" s="2015">
        <v>0</v>
      </c>
      <c r="Z27" s="2016">
        <v>0</v>
      </c>
      <c r="AA27" s="2015">
        <v>0</v>
      </c>
      <c r="AB27" s="2015">
        <v>0</v>
      </c>
      <c r="AC27" s="2016">
        <v>0</v>
      </c>
      <c r="AD27" s="2015">
        <v>0</v>
      </c>
      <c r="AE27" s="2015">
        <v>0</v>
      </c>
      <c r="AF27" s="2016">
        <v>0</v>
      </c>
      <c r="AG27" s="2015">
        <v>0</v>
      </c>
      <c r="AH27" s="2015">
        <v>0</v>
      </c>
      <c r="AI27" s="2016">
        <v>0</v>
      </c>
      <c r="AJ27" s="2015">
        <v>0</v>
      </c>
      <c r="AK27" s="2015">
        <v>0</v>
      </c>
      <c r="AL27" s="2016">
        <v>0</v>
      </c>
      <c r="AM27" s="2015">
        <v>0</v>
      </c>
      <c r="AN27" s="2015">
        <v>0</v>
      </c>
      <c r="AO27" s="2016">
        <v>0</v>
      </c>
      <c r="AP27" s="2015">
        <v>0</v>
      </c>
      <c r="AQ27" s="2015">
        <v>0</v>
      </c>
      <c r="AR27" s="2016">
        <v>0</v>
      </c>
    </row>
    <row r="28" spans="1:44">
      <c r="A28" s="2014" t="s">
        <v>3328</v>
      </c>
      <c r="B28" s="2014" t="s">
        <v>3271</v>
      </c>
      <c r="C28" s="2015"/>
      <c r="D28" s="2015"/>
      <c r="E28" s="1769" t="s">
        <v>782</v>
      </c>
      <c r="F28" s="1769">
        <v>0</v>
      </c>
      <c r="G28" s="1769" t="s">
        <v>782</v>
      </c>
      <c r="H28" s="1770" t="s">
        <v>782</v>
      </c>
      <c r="I28" s="2015">
        <v>0</v>
      </c>
      <c r="J28" s="2015">
        <v>0</v>
      </c>
      <c r="K28" s="2016">
        <v>0</v>
      </c>
      <c r="L28" s="2015">
        <v>0</v>
      </c>
      <c r="M28" s="2015">
        <v>0</v>
      </c>
      <c r="N28" s="2016">
        <v>0</v>
      </c>
      <c r="O28" s="2015">
        <v>0</v>
      </c>
      <c r="P28" s="2015">
        <v>0</v>
      </c>
      <c r="Q28" s="2016">
        <v>0</v>
      </c>
      <c r="R28" s="2015">
        <v>0</v>
      </c>
      <c r="S28" s="2015">
        <v>0</v>
      </c>
      <c r="T28" s="2016">
        <v>0</v>
      </c>
      <c r="U28" s="2015">
        <v>0</v>
      </c>
      <c r="V28" s="2015">
        <v>0</v>
      </c>
      <c r="W28" s="2016">
        <v>0</v>
      </c>
      <c r="X28" s="2015">
        <v>0</v>
      </c>
      <c r="Y28" s="2015">
        <v>0</v>
      </c>
      <c r="Z28" s="2016">
        <v>0</v>
      </c>
      <c r="AA28" s="2015">
        <v>0</v>
      </c>
      <c r="AB28" s="2015">
        <v>98530500000</v>
      </c>
      <c r="AC28" s="2016">
        <v>98530500000</v>
      </c>
      <c r="AD28" s="2015">
        <v>0</v>
      </c>
      <c r="AE28" s="2015">
        <v>0</v>
      </c>
      <c r="AF28" s="2016">
        <v>0</v>
      </c>
      <c r="AG28" s="2015">
        <v>0</v>
      </c>
      <c r="AH28" s="2015">
        <v>0</v>
      </c>
      <c r="AI28" s="2016">
        <v>0</v>
      </c>
      <c r="AJ28" s="2015">
        <v>0</v>
      </c>
      <c r="AK28" s="2015">
        <v>0</v>
      </c>
      <c r="AL28" s="2016">
        <v>0</v>
      </c>
      <c r="AM28" s="2015">
        <v>0</v>
      </c>
      <c r="AN28" s="2015">
        <v>0</v>
      </c>
      <c r="AO28" s="2016">
        <v>0</v>
      </c>
      <c r="AP28" s="2015">
        <v>0</v>
      </c>
      <c r="AQ28" s="2015">
        <v>0</v>
      </c>
      <c r="AR28" s="2016">
        <v>0</v>
      </c>
    </row>
    <row r="29" spans="1:44">
      <c r="A29" s="2014" t="s">
        <v>3329</v>
      </c>
      <c r="B29" s="2014" t="s">
        <v>3271</v>
      </c>
      <c r="C29" s="2015"/>
      <c r="D29" s="2015"/>
      <c r="E29" s="1769" t="s">
        <v>782</v>
      </c>
      <c r="F29" s="1769">
        <v>0</v>
      </c>
      <c r="G29" s="1769">
        <v>15000000000</v>
      </c>
      <c r="H29" s="1770" t="s">
        <v>782</v>
      </c>
      <c r="I29" s="2015">
        <v>0</v>
      </c>
      <c r="J29" s="2015">
        <v>0</v>
      </c>
      <c r="K29" s="2016">
        <v>0</v>
      </c>
      <c r="L29" s="2015">
        <v>0</v>
      </c>
      <c r="M29" s="2015">
        <v>0</v>
      </c>
      <c r="N29" s="2016">
        <v>0</v>
      </c>
      <c r="O29" s="2015">
        <v>0</v>
      </c>
      <c r="P29" s="2015">
        <v>0</v>
      </c>
      <c r="Q29" s="2016">
        <v>0</v>
      </c>
      <c r="R29" s="2015">
        <v>0</v>
      </c>
      <c r="S29" s="2015">
        <v>0</v>
      </c>
      <c r="T29" s="2016">
        <v>0</v>
      </c>
      <c r="U29" s="2015">
        <v>0</v>
      </c>
      <c r="V29" s="2015">
        <v>0</v>
      </c>
      <c r="W29" s="2016">
        <v>0</v>
      </c>
      <c r="X29" s="2015">
        <v>0</v>
      </c>
      <c r="Y29" s="2015">
        <v>0</v>
      </c>
      <c r="Z29" s="2016">
        <v>0</v>
      </c>
      <c r="AA29" s="2015">
        <v>0</v>
      </c>
      <c r="AB29" s="2015">
        <v>0</v>
      </c>
      <c r="AC29" s="2016">
        <v>0</v>
      </c>
      <c r="AD29" s="2015">
        <v>0</v>
      </c>
      <c r="AE29" s="2015">
        <v>119192700000</v>
      </c>
      <c r="AF29" s="2016">
        <v>119192700000</v>
      </c>
      <c r="AG29" s="2015">
        <v>0</v>
      </c>
      <c r="AH29" s="2015">
        <v>0</v>
      </c>
      <c r="AI29" s="2016">
        <v>0</v>
      </c>
      <c r="AJ29" s="2015">
        <v>0</v>
      </c>
      <c r="AK29" s="2015">
        <v>0</v>
      </c>
      <c r="AL29" s="2016">
        <v>0</v>
      </c>
      <c r="AM29" s="2015">
        <v>0</v>
      </c>
      <c r="AN29" s="2015">
        <v>0</v>
      </c>
      <c r="AO29" s="2016">
        <v>0</v>
      </c>
      <c r="AP29" s="2015">
        <v>0</v>
      </c>
      <c r="AQ29" s="2015">
        <v>0</v>
      </c>
      <c r="AR29" s="2016">
        <v>0</v>
      </c>
    </row>
    <row r="30" spans="1:44">
      <c r="A30" s="2014" t="s">
        <v>3330</v>
      </c>
      <c r="B30" s="2014" t="s">
        <v>3271</v>
      </c>
      <c r="C30" s="2015"/>
      <c r="D30" s="2015"/>
      <c r="E30" s="1769" t="s">
        <v>782</v>
      </c>
      <c r="F30" s="1769">
        <v>0</v>
      </c>
      <c r="G30" s="1769" t="s">
        <v>782</v>
      </c>
      <c r="H30" s="1770" t="s">
        <v>782</v>
      </c>
      <c r="I30" s="2015">
        <v>0</v>
      </c>
      <c r="J30" s="2015">
        <v>0</v>
      </c>
      <c r="K30" s="2016">
        <v>0</v>
      </c>
      <c r="L30" s="2015">
        <v>0</v>
      </c>
      <c r="M30" s="2015">
        <v>0</v>
      </c>
      <c r="N30" s="2016">
        <v>0</v>
      </c>
      <c r="O30" s="2015">
        <v>0</v>
      </c>
      <c r="P30" s="2015">
        <v>0</v>
      </c>
      <c r="Q30" s="2016">
        <v>0</v>
      </c>
      <c r="R30" s="2015">
        <v>0</v>
      </c>
      <c r="S30" s="2015">
        <v>0</v>
      </c>
      <c r="T30" s="2016">
        <v>0</v>
      </c>
      <c r="U30" s="2015">
        <v>0</v>
      </c>
      <c r="V30" s="2015">
        <v>0</v>
      </c>
      <c r="W30" s="2016">
        <v>0</v>
      </c>
      <c r="X30" s="2015">
        <v>0</v>
      </c>
      <c r="Y30" s="2015">
        <v>30000000000</v>
      </c>
      <c r="Z30" s="2016">
        <v>30000000000</v>
      </c>
      <c r="AA30" s="2015">
        <v>0</v>
      </c>
      <c r="AB30" s="2015">
        <v>0</v>
      </c>
      <c r="AC30" s="2016">
        <v>0</v>
      </c>
      <c r="AD30" s="2015">
        <v>0</v>
      </c>
      <c r="AE30" s="2015">
        <v>0</v>
      </c>
      <c r="AF30" s="2016">
        <v>0</v>
      </c>
      <c r="AG30" s="2015">
        <v>0</v>
      </c>
      <c r="AH30" s="2015">
        <v>0</v>
      </c>
      <c r="AI30" s="2016">
        <v>0</v>
      </c>
      <c r="AJ30" s="2015">
        <v>0</v>
      </c>
      <c r="AK30" s="2015">
        <v>0</v>
      </c>
      <c r="AL30" s="2016">
        <v>0</v>
      </c>
      <c r="AM30" s="2015">
        <v>0</v>
      </c>
      <c r="AN30" s="2015">
        <v>0</v>
      </c>
      <c r="AO30" s="2016">
        <v>0</v>
      </c>
      <c r="AP30" s="2015">
        <v>0</v>
      </c>
      <c r="AQ30" s="2015">
        <v>0</v>
      </c>
      <c r="AR30" s="2016">
        <v>0</v>
      </c>
    </row>
    <row r="31" spans="1:44">
      <c r="A31" s="2014" t="s">
        <v>3331</v>
      </c>
      <c r="B31" s="2014" t="s">
        <v>3271</v>
      </c>
      <c r="C31" s="2015"/>
      <c r="D31" s="2015"/>
      <c r="E31" s="1769" t="s">
        <v>782</v>
      </c>
      <c r="F31" s="1769">
        <v>0</v>
      </c>
      <c r="G31" s="1769" t="s">
        <v>782</v>
      </c>
      <c r="H31" s="1770" t="s">
        <v>782</v>
      </c>
      <c r="I31" s="2015">
        <v>0</v>
      </c>
      <c r="J31" s="2015">
        <v>0</v>
      </c>
      <c r="K31" s="2016">
        <v>0</v>
      </c>
      <c r="L31" s="2015">
        <v>0</v>
      </c>
      <c r="M31" s="2015">
        <v>0</v>
      </c>
      <c r="N31" s="2016">
        <v>0</v>
      </c>
      <c r="O31" s="2015">
        <v>0</v>
      </c>
      <c r="P31" s="2015">
        <v>0</v>
      </c>
      <c r="Q31" s="2016">
        <v>0</v>
      </c>
      <c r="R31" s="2015">
        <v>0</v>
      </c>
      <c r="S31" s="2015">
        <v>0</v>
      </c>
      <c r="T31" s="2016">
        <v>0</v>
      </c>
      <c r="U31" s="2015">
        <v>0</v>
      </c>
      <c r="V31" s="2015">
        <v>0</v>
      </c>
      <c r="W31" s="2016">
        <v>0</v>
      </c>
      <c r="X31" s="2015">
        <v>0</v>
      </c>
      <c r="Y31" s="2015">
        <v>0</v>
      </c>
      <c r="Z31" s="2016">
        <v>0</v>
      </c>
      <c r="AA31" s="2015">
        <v>0</v>
      </c>
      <c r="AB31" s="2015">
        <v>10000000000</v>
      </c>
      <c r="AC31" s="2016">
        <v>10000000000</v>
      </c>
      <c r="AD31" s="2015">
        <v>0</v>
      </c>
      <c r="AE31" s="2015">
        <v>0</v>
      </c>
      <c r="AF31" s="2016">
        <v>0</v>
      </c>
      <c r="AG31" s="2015">
        <v>0</v>
      </c>
      <c r="AH31" s="2015">
        <v>0</v>
      </c>
      <c r="AI31" s="2016">
        <v>0</v>
      </c>
      <c r="AJ31" s="2015">
        <v>0</v>
      </c>
      <c r="AK31" s="2015">
        <v>0</v>
      </c>
      <c r="AL31" s="2016">
        <v>0</v>
      </c>
      <c r="AM31" s="2015">
        <v>0</v>
      </c>
      <c r="AN31" s="2015">
        <v>0</v>
      </c>
      <c r="AO31" s="2016">
        <v>0</v>
      </c>
      <c r="AP31" s="2015">
        <v>0</v>
      </c>
      <c r="AQ31" s="2015">
        <v>0</v>
      </c>
      <c r="AR31" s="2016">
        <v>0</v>
      </c>
    </row>
    <row r="32" spans="1:44">
      <c r="A32" s="2014" t="s">
        <v>3332</v>
      </c>
      <c r="B32" s="2014" t="s">
        <v>3271</v>
      </c>
      <c r="C32" s="2015"/>
      <c r="D32" s="2015"/>
      <c r="E32" s="1769" t="s">
        <v>782</v>
      </c>
      <c r="F32" s="1769">
        <v>0</v>
      </c>
      <c r="G32" s="1769" t="s">
        <v>782</v>
      </c>
      <c r="H32" s="1770">
        <v>55000000000</v>
      </c>
      <c r="I32" s="2015">
        <v>0</v>
      </c>
      <c r="J32" s="2015">
        <v>0</v>
      </c>
      <c r="K32" s="2016">
        <v>0</v>
      </c>
      <c r="L32" s="2015">
        <v>0</v>
      </c>
      <c r="M32" s="2015">
        <v>0</v>
      </c>
      <c r="N32" s="2016">
        <v>0</v>
      </c>
      <c r="O32" s="2015">
        <v>0</v>
      </c>
      <c r="P32" s="2015">
        <v>0</v>
      </c>
      <c r="Q32" s="2016">
        <v>0</v>
      </c>
      <c r="R32" s="2015">
        <v>0</v>
      </c>
      <c r="S32" s="2015">
        <v>0</v>
      </c>
      <c r="T32" s="2016">
        <v>0</v>
      </c>
      <c r="U32" s="2015">
        <v>0</v>
      </c>
      <c r="V32" s="2015">
        <v>0</v>
      </c>
      <c r="W32" s="2016">
        <v>0</v>
      </c>
      <c r="X32" s="2015">
        <v>0</v>
      </c>
      <c r="Y32" s="2015">
        <v>0</v>
      </c>
      <c r="Z32" s="2016">
        <v>0</v>
      </c>
      <c r="AA32" s="2015">
        <v>0</v>
      </c>
      <c r="AB32" s="2015">
        <v>0</v>
      </c>
      <c r="AC32" s="2016">
        <v>0</v>
      </c>
      <c r="AD32" s="2015">
        <v>0</v>
      </c>
      <c r="AE32" s="2015">
        <v>0</v>
      </c>
      <c r="AF32" s="2016">
        <v>0</v>
      </c>
      <c r="AG32" s="2015">
        <v>0</v>
      </c>
      <c r="AH32" s="2015">
        <v>0</v>
      </c>
      <c r="AI32" s="2016">
        <v>0</v>
      </c>
      <c r="AJ32" s="2015">
        <v>0</v>
      </c>
      <c r="AK32" s="2015">
        <v>0</v>
      </c>
      <c r="AL32" s="2016">
        <v>0</v>
      </c>
      <c r="AM32" s="2015">
        <v>0</v>
      </c>
      <c r="AN32" s="2015">
        <v>75000000000</v>
      </c>
      <c r="AO32" s="2016">
        <v>75000000000</v>
      </c>
      <c r="AP32" s="2015">
        <v>0</v>
      </c>
      <c r="AQ32" s="2015">
        <v>0</v>
      </c>
      <c r="AR32" s="2016">
        <v>0</v>
      </c>
    </row>
    <row r="33" spans="1:44">
      <c r="A33" s="2014" t="s">
        <v>3333</v>
      </c>
      <c r="B33" s="2014" t="s">
        <v>3271</v>
      </c>
      <c r="C33" s="2015"/>
      <c r="D33" s="2015"/>
      <c r="E33" s="1769" t="s">
        <v>782</v>
      </c>
      <c r="F33" s="1769">
        <v>0</v>
      </c>
      <c r="G33" s="1769">
        <v>10000000000</v>
      </c>
      <c r="H33" s="1770" t="s">
        <v>782</v>
      </c>
      <c r="I33" s="2015">
        <v>0</v>
      </c>
      <c r="J33" s="2015">
        <v>0</v>
      </c>
      <c r="K33" s="2016">
        <v>0</v>
      </c>
      <c r="L33" s="2015">
        <v>0</v>
      </c>
      <c r="M33" s="2015">
        <v>0</v>
      </c>
      <c r="N33" s="2016">
        <v>0</v>
      </c>
      <c r="O33" s="2015">
        <v>0</v>
      </c>
      <c r="P33" s="2015">
        <v>0</v>
      </c>
      <c r="Q33" s="2016">
        <v>0</v>
      </c>
      <c r="R33" s="2015">
        <v>0</v>
      </c>
      <c r="S33" s="2015">
        <v>0</v>
      </c>
      <c r="T33" s="2016">
        <v>0</v>
      </c>
      <c r="U33" s="2015">
        <v>0</v>
      </c>
      <c r="V33" s="2015">
        <v>0</v>
      </c>
      <c r="W33" s="2016">
        <v>0</v>
      </c>
      <c r="X33" s="2015">
        <v>0</v>
      </c>
      <c r="Y33" s="2015">
        <v>0</v>
      </c>
      <c r="Z33" s="2016">
        <v>0</v>
      </c>
      <c r="AA33" s="2015">
        <v>0</v>
      </c>
      <c r="AB33" s="2015">
        <v>0</v>
      </c>
      <c r="AC33" s="2016">
        <v>0</v>
      </c>
      <c r="AD33" s="2015">
        <v>0</v>
      </c>
      <c r="AE33" s="2015">
        <v>0</v>
      </c>
      <c r="AF33" s="2016">
        <v>0</v>
      </c>
      <c r="AG33" s="2015">
        <v>0</v>
      </c>
      <c r="AH33" s="2015">
        <v>0</v>
      </c>
      <c r="AI33" s="2016">
        <v>0</v>
      </c>
      <c r="AJ33" s="2015">
        <v>40000000000</v>
      </c>
      <c r="AK33" s="2015">
        <v>0</v>
      </c>
      <c r="AL33" s="2016">
        <v>40000000000</v>
      </c>
      <c r="AM33" s="2015">
        <v>0</v>
      </c>
      <c r="AN33" s="2015">
        <v>0</v>
      </c>
      <c r="AO33" s="2016">
        <v>0</v>
      </c>
      <c r="AP33" s="2015">
        <v>0</v>
      </c>
      <c r="AQ33" s="2015">
        <v>0</v>
      </c>
      <c r="AR33" s="2016">
        <v>0</v>
      </c>
    </row>
    <row r="34" spans="1:44">
      <c r="A34" s="2014" t="s">
        <v>3334</v>
      </c>
      <c r="B34" s="2014" t="s">
        <v>3271</v>
      </c>
      <c r="C34" s="2015"/>
      <c r="D34" s="2015"/>
      <c r="E34" s="1769" t="s">
        <v>782</v>
      </c>
      <c r="F34" s="1769">
        <v>0</v>
      </c>
      <c r="G34" s="1769" t="s">
        <v>782</v>
      </c>
      <c r="H34" s="1770" t="s">
        <v>782</v>
      </c>
      <c r="I34" s="2015">
        <v>0</v>
      </c>
      <c r="J34" s="2015">
        <v>0</v>
      </c>
      <c r="K34" s="2016">
        <v>0</v>
      </c>
      <c r="L34" s="2015">
        <v>0</v>
      </c>
      <c r="M34" s="2015">
        <v>0</v>
      </c>
      <c r="N34" s="2016">
        <v>0</v>
      </c>
      <c r="O34" s="2015">
        <v>0</v>
      </c>
      <c r="P34" s="2015">
        <v>0</v>
      </c>
      <c r="Q34" s="2016">
        <v>0</v>
      </c>
      <c r="R34" s="2015">
        <v>0</v>
      </c>
      <c r="S34" s="2015">
        <v>0</v>
      </c>
      <c r="T34" s="2016">
        <v>0</v>
      </c>
      <c r="U34" s="2015">
        <v>0</v>
      </c>
      <c r="V34" s="2015">
        <v>0</v>
      </c>
      <c r="W34" s="2016">
        <v>0</v>
      </c>
      <c r="X34" s="2015">
        <v>0</v>
      </c>
      <c r="Y34" s="2015">
        <v>0</v>
      </c>
      <c r="Z34" s="2016">
        <v>0</v>
      </c>
      <c r="AA34" s="2015">
        <v>0</v>
      </c>
      <c r="AB34" s="2015">
        <v>0</v>
      </c>
      <c r="AC34" s="2016">
        <v>0</v>
      </c>
      <c r="AD34" s="2015">
        <v>0</v>
      </c>
      <c r="AE34" s="2015">
        <v>0</v>
      </c>
      <c r="AF34" s="2016">
        <v>0</v>
      </c>
      <c r="AG34" s="2015">
        <v>0</v>
      </c>
      <c r="AH34" s="2015">
        <v>0</v>
      </c>
      <c r="AI34" s="2016">
        <v>0</v>
      </c>
      <c r="AJ34" s="2015">
        <v>0</v>
      </c>
      <c r="AK34" s="2015">
        <v>0</v>
      </c>
      <c r="AL34" s="2016">
        <v>0</v>
      </c>
      <c r="AM34" s="2015">
        <v>0</v>
      </c>
      <c r="AN34" s="2015">
        <v>0</v>
      </c>
      <c r="AO34" s="2016">
        <v>0</v>
      </c>
      <c r="AP34" s="2015">
        <v>0</v>
      </c>
      <c r="AQ34" s="2015">
        <v>81542000000</v>
      </c>
      <c r="AR34" s="2016">
        <v>81542000000</v>
      </c>
    </row>
    <row r="35" spans="1:44">
      <c r="A35" s="2014" t="s">
        <v>3335</v>
      </c>
      <c r="B35" s="2014" t="s">
        <v>3271</v>
      </c>
      <c r="C35" s="2015"/>
      <c r="D35" s="2015"/>
      <c r="E35" s="1769">
        <v>0</v>
      </c>
      <c r="F35" s="1769">
        <v>0</v>
      </c>
      <c r="G35" s="1769" t="s">
        <v>782</v>
      </c>
      <c r="H35" s="1770" t="s">
        <v>782</v>
      </c>
      <c r="I35" s="2015">
        <v>0</v>
      </c>
      <c r="J35" s="2015">
        <v>0</v>
      </c>
      <c r="K35" s="2016">
        <v>0</v>
      </c>
      <c r="L35" s="2015">
        <v>0</v>
      </c>
      <c r="M35" s="2015">
        <v>0</v>
      </c>
      <c r="N35" s="2016">
        <v>0</v>
      </c>
      <c r="O35" s="2015">
        <v>0</v>
      </c>
      <c r="P35" s="2015">
        <v>0</v>
      </c>
      <c r="Q35" s="2016">
        <v>0</v>
      </c>
      <c r="R35" s="2015">
        <v>0</v>
      </c>
      <c r="S35" s="2015">
        <v>0</v>
      </c>
      <c r="T35" s="2016">
        <v>0</v>
      </c>
      <c r="U35" s="2015">
        <v>0</v>
      </c>
      <c r="V35" s="2015">
        <v>0</v>
      </c>
      <c r="W35" s="2016">
        <v>0</v>
      </c>
      <c r="X35" s="2015">
        <v>0</v>
      </c>
      <c r="Y35" s="2015">
        <v>0</v>
      </c>
      <c r="Z35" s="2016">
        <v>0</v>
      </c>
      <c r="AA35" s="2015">
        <v>0</v>
      </c>
      <c r="AB35" s="2015">
        <v>0</v>
      </c>
      <c r="AC35" s="2016">
        <v>0</v>
      </c>
      <c r="AD35" s="2015">
        <v>0</v>
      </c>
      <c r="AE35" s="2015">
        <v>0</v>
      </c>
      <c r="AF35" s="2016">
        <v>0</v>
      </c>
      <c r="AG35" s="2015">
        <v>0</v>
      </c>
      <c r="AH35" s="2015">
        <v>0</v>
      </c>
      <c r="AI35" s="2016">
        <v>0</v>
      </c>
      <c r="AJ35" s="2015">
        <v>0</v>
      </c>
      <c r="AK35" s="2015">
        <v>0</v>
      </c>
      <c r="AL35" s="2016">
        <v>0</v>
      </c>
      <c r="AM35" s="2015">
        <v>0</v>
      </c>
      <c r="AN35" s="2015">
        <v>0</v>
      </c>
      <c r="AO35" s="2016">
        <v>0</v>
      </c>
      <c r="AP35" s="2015">
        <v>0</v>
      </c>
      <c r="AQ35" s="2015">
        <v>0</v>
      </c>
      <c r="AR35" s="2016">
        <v>0</v>
      </c>
    </row>
    <row r="36" spans="1:44">
      <c r="A36" s="2014" t="s">
        <v>3336</v>
      </c>
      <c r="B36" s="2014" t="s">
        <v>3271</v>
      </c>
      <c r="C36" s="2015"/>
      <c r="D36" s="2015"/>
      <c r="E36" s="1769">
        <v>0</v>
      </c>
      <c r="F36" s="1769">
        <v>0</v>
      </c>
      <c r="G36" s="1769" t="s">
        <v>782</v>
      </c>
      <c r="H36" s="1770">
        <v>10000000000</v>
      </c>
      <c r="I36" s="2015">
        <v>0</v>
      </c>
      <c r="J36" s="2015">
        <v>0</v>
      </c>
      <c r="K36" s="2016">
        <v>0</v>
      </c>
      <c r="L36" s="2015">
        <v>0</v>
      </c>
      <c r="M36" s="2015">
        <v>0</v>
      </c>
      <c r="N36" s="2016">
        <v>0</v>
      </c>
      <c r="O36" s="2015">
        <v>0</v>
      </c>
      <c r="P36" s="2015">
        <v>0</v>
      </c>
      <c r="Q36" s="2016">
        <v>0</v>
      </c>
      <c r="R36" s="2015">
        <v>0</v>
      </c>
      <c r="S36" s="2015">
        <v>0</v>
      </c>
      <c r="T36" s="2016">
        <v>0</v>
      </c>
      <c r="U36" s="2015">
        <v>0</v>
      </c>
      <c r="V36" s="2015">
        <v>0</v>
      </c>
      <c r="W36" s="2016">
        <v>0</v>
      </c>
      <c r="X36" s="2015">
        <v>0</v>
      </c>
      <c r="Y36" s="2015">
        <v>0</v>
      </c>
      <c r="Z36" s="2016">
        <v>0</v>
      </c>
      <c r="AA36" s="2015">
        <v>0</v>
      </c>
      <c r="AB36" s="2015">
        <v>0</v>
      </c>
      <c r="AC36" s="2016">
        <v>0</v>
      </c>
      <c r="AD36" s="2015">
        <v>0</v>
      </c>
      <c r="AE36" s="2015">
        <v>0</v>
      </c>
      <c r="AF36" s="2016">
        <v>0</v>
      </c>
      <c r="AG36" s="2015">
        <v>0</v>
      </c>
      <c r="AH36" s="2015">
        <v>0</v>
      </c>
      <c r="AI36" s="2016">
        <v>0</v>
      </c>
      <c r="AJ36" s="2015">
        <v>0</v>
      </c>
      <c r="AK36" s="2015">
        <v>0</v>
      </c>
      <c r="AL36" s="2016">
        <v>0</v>
      </c>
      <c r="AM36" s="2015">
        <v>0</v>
      </c>
      <c r="AN36" s="2015">
        <v>0</v>
      </c>
      <c r="AO36" s="2016">
        <v>0</v>
      </c>
      <c r="AP36" s="2015">
        <v>0</v>
      </c>
      <c r="AQ36" s="2015">
        <v>0</v>
      </c>
      <c r="AR36" s="2016">
        <v>0</v>
      </c>
    </row>
    <row r="37" spans="1:44">
      <c r="A37" s="2014" t="s">
        <v>3337</v>
      </c>
      <c r="B37" s="2014" t="s">
        <v>3271</v>
      </c>
      <c r="C37" s="2015"/>
      <c r="D37" s="2015"/>
      <c r="E37" s="1769"/>
      <c r="F37" s="1769"/>
      <c r="G37" s="1769" t="s">
        <v>782</v>
      </c>
      <c r="H37" s="1770" t="s">
        <v>782</v>
      </c>
      <c r="I37" s="2015">
        <v>0</v>
      </c>
      <c r="J37" s="2015">
        <v>0</v>
      </c>
      <c r="K37" s="2016">
        <v>0</v>
      </c>
      <c r="L37" s="2015">
        <v>0</v>
      </c>
      <c r="M37" s="2015">
        <v>0</v>
      </c>
      <c r="N37" s="2016">
        <v>0</v>
      </c>
      <c r="O37" s="2015">
        <v>0</v>
      </c>
      <c r="P37" s="2015">
        <v>0</v>
      </c>
      <c r="Q37" s="2016">
        <v>0</v>
      </c>
      <c r="R37" s="2015">
        <v>0</v>
      </c>
      <c r="S37" s="2015">
        <v>0</v>
      </c>
      <c r="T37" s="2016">
        <v>0</v>
      </c>
      <c r="U37" s="2015">
        <v>0</v>
      </c>
      <c r="V37" s="2015">
        <v>0</v>
      </c>
      <c r="W37" s="2016">
        <v>0</v>
      </c>
      <c r="X37" s="2015">
        <v>0</v>
      </c>
      <c r="Y37" s="2015">
        <v>0</v>
      </c>
      <c r="Z37" s="2016">
        <v>0</v>
      </c>
      <c r="AA37" s="2015">
        <v>0</v>
      </c>
      <c r="AB37" s="2015">
        <v>0</v>
      </c>
      <c r="AC37" s="2016">
        <v>0</v>
      </c>
      <c r="AD37" s="2015">
        <v>0</v>
      </c>
      <c r="AE37" s="2015">
        <v>0</v>
      </c>
      <c r="AF37" s="2016">
        <v>0</v>
      </c>
      <c r="AG37" s="2015">
        <v>0</v>
      </c>
      <c r="AH37" s="2015">
        <v>0</v>
      </c>
      <c r="AI37" s="2016">
        <v>0</v>
      </c>
      <c r="AJ37" s="2015">
        <v>0</v>
      </c>
      <c r="AK37" s="2015">
        <v>0</v>
      </c>
      <c r="AL37" s="2016">
        <v>0</v>
      </c>
      <c r="AM37" s="2015">
        <v>0</v>
      </c>
      <c r="AN37" s="2015">
        <v>0</v>
      </c>
      <c r="AO37" s="2016">
        <v>0</v>
      </c>
      <c r="AP37" s="2015">
        <v>0</v>
      </c>
      <c r="AQ37" s="2015">
        <v>0</v>
      </c>
      <c r="AR37" s="2016">
        <v>0</v>
      </c>
    </row>
    <row r="38" spans="1:44">
      <c r="A38" s="2014" t="s">
        <v>3338</v>
      </c>
      <c r="B38" s="2014" t="s">
        <v>3271</v>
      </c>
      <c r="C38" s="2015"/>
      <c r="D38" s="2015"/>
      <c r="E38" s="1769"/>
      <c r="F38" s="1769"/>
      <c r="G38" s="1769" t="s">
        <v>782</v>
      </c>
      <c r="H38" s="1770" t="s">
        <v>782</v>
      </c>
      <c r="I38" s="2015">
        <v>0</v>
      </c>
      <c r="J38" s="2015">
        <v>0</v>
      </c>
      <c r="K38" s="2016">
        <v>0</v>
      </c>
      <c r="L38" s="2015">
        <v>0</v>
      </c>
      <c r="M38" s="2015">
        <v>0</v>
      </c>
      <c r="N38" s="2016">
        <v>0</v>
      </c>
      <c r="O38" s="2015">
        <v>0</v>
      </c>
      <c r="P38" s="2015">
        <v>0</v>
      </c>
      <c r="Q38" s="2016">
        <v>0</v>
      </c>
      <c r="R38" s="2015">
        <v>0</v>
      </c>
      <c r="S38" s="2015">
        <v>0</v>
      </c>
      <c r="T38" s="2016">
        <v>0</v>
      </c>
      <c r="U38" s="2015">
        <v>0</v>
      </c>
      <c r="V38" s="2015">
        <v>0</v>
      </c>
      <c r="W38" s="2016">
        <v>0</v>
      </c>
      <c r="X38" s="2015">
        <v>0</v>
      </c>
      <c r="Y38" s="2015">
        <v>0</v>
      </c>
      <c r="Z38" s="2016">
        <v>0</v>
      </c>
      <c r="AA38" s="2015">
        <v>0</v>
      </c>
      <c r="AB38" s="2015">
        <v>0</v>
      </c>
      <c r="AC38" s="2016">
        <v>0</v>
      </c>
      <c r="AD38" s="2015">
        <v>0</v>
      </c>
      <c r="AE38" s="2015">
        <v>0</v>
      </c>
      <c r="AF38" s="2016">
        <v>0</v>
      </c>
      <c r="AG38" s="2015">
        <v>0</v>
      </c>
      <c r="AH38" s="2015">
        <v>0</v>
      </c>
      <c r="AI38" s="2016">
        <v>0</v>
      </c>
      <c r="AJ38" s="2015">
        <v>0</v>
      </c>
      <c r="AK38" s="2015">
        <v>0</v>
      </c>
      <c r="AL38" s="2016">
        <v>0</v>
      </c>
      <c r="AM38" s="2015">
        <v>0</v>
      </c>
      <c r="AN38" s="2015">
        <v>0</v>
      </c>
      <c r="AO38" s="2016">
        <v>0</v>
      </c>
      <c r="AP38" s="2015">
        <v>0</v>
      </c>
      <c r="AQ38" s="2015">
        <v>0</v>
      </c>
      <c r="AR38" s="2016">
        <v>0</v>
      </c>
    </row>
    <row r="39" spans="1:44">
      <c r="A39" s="2014" t="s">
        <v>3339</v>
      </c>
      <c r="B39" s="2014" t="s">
        <v>3271</v>
      </c>
      <c r="C39" s="2015"/>
      <c r="D39" s="2015"/>
      <c r="E39" s="1769"/>
      <c r="F39" s="1769"/>
      <c r="G39" s="1769" t="s">
        <v>782</v>
      </c>
      <c r="H39" s="1770" t="s">
        <v>782</v>
      </c>
      <c r="I39" s="2015">
        <v>0</v>
      </c>
      <c r="J39" s="2015">
        <v>0</v>
      </c>
      <c r="K39" s="2016">
        <v>0</v>
      </c>
      <c r="L39" s="2015">
        <v>0</v>
      </c>
      <c r="M39" s="2015">
        <v>0</v>
      </c>
      <c r="N39" s="2016">
        <v>0</v>
      </c>
      <c r="O39" s="2015">
        <v>0</v>
      </c>
      <c r="P39" s="2015">
        <v>0</v>
      </c>
      <c r="Q39" s="2016">
        <v>0</v>
      </c>
      <c r="R39" s="2015">
        <v>0</v>
      </c>
      <c r="S39" s="2015">
        <v>0</v>
      </c>
      <c r="T39" s="2016">
        <v>0</v>
      </c>
      <c r="U39" s="2015">
        <v>0</v>
      </c>
      <c r="V39" s="2015">
        <v>0</v>
      </c>
      <c r="W39" s="2016">
        <v>0</v>
      </c>
      <c r="X39" s="2015">
        <v>0</v>
      </c>
      <c r="Y39" s="2015">
        <v>0</v>
      </c>
      <c r="Z39" s="2016">
        <v>0</v>
      </c>
      <c r="AA39" s="2015">
        <v>0</v>
      </c>
      <c r="AB39" s="2015">
        <v>0</v>
      </c>
      <c r="AC39" s="2016">
        <v>0</v>
      </c>
      <c r="AD39" s="2015">
        <v>0</v>
      </c>
      <c r="AE39" s="2015">
        <v>0</v>
      </c>
      <c r="AF39" s="2016">
        <v>0</v>
      </c>
      <c r="AG39" s="2015">
        <v>0</v>
      </c>
      <c r="AH39" s="2015">
        <v>0</v>
      </c>
      <c r="AI39" s="2016">
        <v>0</v>
      </c>
      <c r="AJ39" s="2015">
        <v>0</v>
      </c>
      <c r="AK39" s="2015">
        <v>0</v>
      </c>
      <c r="AL39" s="2016">
        <v>0</v>
      </c>
      <c r="AM39" s="2015">
        <v>0</v>
      </c>
      <c r="AN39" s="2015">
        <v>0</v>
      </c>
      <c r="AO39" s="2016">
        <v>0</v>
      </c>
      <c r="AP39" s="2015">
        <v>0</v>
      </c>
      <c r="AQ39" s="2015">
        <v>0</v>
      </c>
      <c r="AR39" s="2016">
        <v>0</v>
      </c>
    </row>
    <row r="40" spans="1:44">
      <c r="A40" s="2014" t="s">
        <v>3340</v>
      </c>
      <c r="B40" s="2014" t="s">
        <v>3271</v>
      </c>
      <c r="C40" s="2015"/>
      <c r="D40" s="2015"/>
      <c r="E40" s="1769"/>
      <c r="F40" s="1769"/>
      <c r="G40" s="1769" t="s">
        <v>782</v>
      </c>
      <c r="H40" s="1770" t="s">
        <v>782</v>
      </c>
      <c r="I40" s="2015">
        <v>0</v>
      </c>
      <c r="J40" s="2015">
        <v>0</v>
      </c>
      <c r="K40" s="2016">
        <v>0</v>
      </c>
      <c r="L40" s="2015">
        <v>0</v>
      </c>
      <c r="M40" s="2015">
        <v>0</v>
      </c>
      <c r="N40" s="2016">
        <v>0</v>
      </c>
      <c r="O40" s="2015">
        <v>0</v>
      </c>
      <c r="P40" s="2015">
        <v>0</v>
      </c>
      <c r="Q40" s="2016">
        <v>0</v>
      </c>
      <c r="R40" s="2015">
        <v>0</v>
      </c>
      <c r="S40" s="2015">
        <v>0</v>
      </c>
      <c r="T40" s="2016">
        <v>0</v>
      </c>
      <c r="U40" s="2015">
        <v>0</v>
      </c>
      <c r="V40" s="2015">
        <v>0</v>
      </c>
      <c r="W40" s="2016">
        <v>0</v>
      </c>
      <c r="X40" s="2015">
        <v>0</v>
      </c>
      <c r="Y40" s="2015">
        <v>0</v>
      </c>
      <c r="Z40" s="2016">
        <v>0</v>
      </c>
      <c r="AA40" s="2015">
        <v>0</v>
      </c>
      <c r="AB40" s="2015">
        <v>0</v>
      </c>
      <c r="AC40" s="2016">
        <v>0</v>
      </c>
      <c r="AD40" s="2015">
        <v>0</v>
      </c>
      <c r="AE40" s="2015">
        <v>0</v>
      </c>
      <c r="AF40" s="2016">
        <v>0</v>
      </c>
      <c r="AG40" s="2015">
        <v>0</v>
      </c>
      <c r="AH40" s="2015">
        <v>0</v>
      </c>
      <c r="AI40" s="2016">
        <v>0</v>
      </c>
      <c r="AJ40" s="2015">
        <v>0</v>
      </c>
      <c r="AK40" s="2015">
        <v>0</v>
      </c>
      <c r="AL40" s="2016">
        <v>0</v>
      </c>
      <c r="AM40" s="2015">
        <v>0</v>
      </c>
      <c r="AN40" s="2015">
        <v>0</v>
      </c>
      <c r="AO40" s="2016">
        <v>0</v>
      </c>
      <c r="AP40" s="2015">
        <v>0</v>
      </c>
      <c r="AQ40" s="2015">
        <v>0</v>
      </c>
      <c r="AR40" s="2016">
        <v>0</v>
      </c>
    </row>
    <row r="41" spans="1:44">
      <c r="A41" s="2014" t="s">
        <v>3341</v>
      </c>
      <c r="B41" s="2014" t="s">
        <v>3271</v>
      </c>
      <c r="C41" s="2015"/>
      <c r="D41" s="2015"/>
      <c r="E41" s="1769"/>
      <c r="F41" s="1769"/>
      <c r="G41" s="1769" t="s">
        <v>782</v>
      </c>
      <c r="H41" s="1770" t="s">
        <v>782</v>
      </c>
      <c r="I41" s="2015">
        <v>0</v>
      </c>
      <c r="J41" s="2015">
        <v>0</v>
      </c>
      <c r="K41" s="2016">
        <v>0</v>
      </c>
      <c r="L41" s="2015">
        <v>0</v>
      </c>
      <c r="M41" s="2015">
        <v>0</v>
      </c>
      <c r="N41" s="2016">
        <v>0</v>
      </c>
      <c r="O41" s="2015">
        <v>0</v>
      </c>
      <c r="P41" s="2015">
        <v>0</v>
      </c>
      <c r="Q41" s="2016">
        <v>0</v>
      </c>
      <c r="R41" s="2015">
        <v>0</v>
      </c>
      <c r="S41" s="2015">
        <v>0</v>
      </c>
      <c r="T41" s="2016">
        <v>0</v>
      </c>
      <c r="U41" s="2015">
        <v>0</v>
      </c>
      <c r="V41" s="2015">
        <v>0</v>
      </c>
      <c r="W41" s="2016">
        <v>0</v>
      </c>
      <c r="X41" s="2015">
        <v>0</v>
      </c>
      <c r="Y41" s="2015">
        <v>0</v>
      </c>
      <c r="Z41" s="2016">
        <v>0</v>
      </c>
      <c r="AA41" s="2015">
        <v>0</v>
      </c>
      <c r="AB41" s="2015">
        <v>0</v>
      </c>
      <c r="AC41" s="2016">
        <v>0</v>
      </c>
      <c r="AD41" s="2015">
        <v>0</v>
      </c>
      <c r="AE41" s="2015">
        <v>0</v>
      </c>
      <c r="AF41" s="2016">
        <v>0</v>
      </c>
      <c r="AG41" s="2015">
        <v>0</v>
      </c>
      <c r="AH41" s="2015">
        <v>0</v>
      </c>
      <c r="AI41" s="2016">
        <v>0</v>
      </c>
      <c r="AJ41" s="2015">
        <v>0</v>
      </c>
      <c r="AK41" s="2015">
        <v>0</v>
      </c>
      <c r="AL41" s="2016">
        <v>0</v>
      </c>
      <c r="AM41" s="2015">
        <v>0</v>
      </c>
      <c r="AN41" s="2015">
        <v>0</v>
      </c>
      <c r="AO41" s="2016">
        <v>0</v>
      </c>
      <c r="AP41" s="2015">
        <v>0</v>
      </c>
      <c r="AQ41" s="2015">
        <v>0</v>
      </c>
      <c r="AR41" s="2016">
        <v>0</v>
      </c>
    </row>
    <row r="42" spans="1:44">
      <c r="A42" s="2014" t="s">
        <v>3343</v>
      </c>
      <c r="B42" s="2014" t="s">
        <v>3271</v>
      </c>
      <c r="C42" s="2015"/>
      <c r="D42" s="2015"/>
      <c r="E42" s="1769"/>
      <c r="F42" s="1769"/>
      <c r="G42" s="1769"/>
      <c r="H42" s="1770"/>
      <c r="I42" s="2015">
        <v>0</v>
      </c>
      <c r="J42" s="2015">
        <v>0</v>
      </c>
      <c r="K42" s="2016">
        <v>0</v>
      </c>
      <c r="L42" s="2015">
        <v>0</v>
      </c>
      <c r="M42" s="2015">
        <v>0</v>
      </c>
      <c r="N42" s="2016">
        <v>0</v>
      </c>
      <c r="O42" s="2015">
        <v>0</v>
      </c>
      <c r="P42" s="2015">
        <v>0</v>
      </c>
      <c r="Q42" s="2016">
        <v>0</v>
      </c>
      <c r="R42" s="2015">
        <v>0</v>
      </c>
      <c r="S42" s="2015">
        <v>0</v>
      </c>
      <c r="T42" s="2016">
        <v>0</v>
      </c>
      <c r="U42" s="2015">
        <v>0</v>
      </c>
      <c r="V42" s="2015">
        <v>0</v>
      </c>
      <c r="W42" s="2016">
        <v>0</v>
      </c>
      <c r="X42" s="2015">
        <v>0</v>
      </c>
      <c r="Y42" s="2015">
        <v>0</v>
      </c>
      <c r="Z42" s="2016">
        <v>0</v>
      </c>
      <c r="AA42" s="2015">
        <v>0</v>
      </c>
      <c r="AB42" s="2015">
        <v>0</v>
      </c>
      <c r="AC42" s="2016">
        <v>0</v>
      </c>
      <c r="AD42" s="2015">
        <v>0</v>
      </c>
      <c r="AE42" s="2015">
        <v>0</v>
      </c>
      <c r="AF42" s="2016">
        <v>0</v>
      </c>
      <c r="AG42" s="2015">
        <v>0</v>
      </c>
      <c r="AH42" s="2015">
        <v>0</v>
      </c>
      <c r="AI42" s="2016">
        <v>0</v>
      </c>
      <c r="AJ42" s="2015">
        <v>0</v>
      </c>
      <c r="AK42" s="2015">
        <v>0</v>
      </c>
      <c r="AL42" s="2016">
        <v>0</v>
      </c>
      <c r="AM42" s="2015">
        <v>0</v>
      </c>
      <c r="AN42" s="2015">
        <v>0</v>
      </c>
      <c r="AO42" s="2016">
        <v>0</v>
      </c>
      <c r="AP42" s="2015">
        <v>0</v>
      </c>
      <c r="AQ42" s="2015">
        <v>0</v>
      </c>
      <c r="AR42" s="2016">
        <v>0</v>
      </c>
    </row>
    <row r="43" spans="1:44">
      <c r="A43" s="2014" t="s">
        <v>3345</v>
      </c>
      <c r="B43" s="2014" t="s">
        <v>3271</v>
      </c>
      <c r="C43" s="2015"/>
      <c r="D43" s="2015"/>
      <c r="E43" s="1769"/>
      <c r="F43" s="1769"/>
      <c r="G43" s="1769"/>
      <c r="H43" s="1770"/>
      <c r="I43" s="2015">
        <v>0</v>
      </c>
      <c r="J43" s="2015">
        <v>0</v>
      </c>
      <c r="K43" s="2016">
        <v>0</v>
      </c>
      <c r="L43" s="2015">
        <v>0</v>
      </c>
      <c r="M43" s="2015">
        <v>0</v>
      </c>
      <c r="N43" s="2016">
        <v>0</v>
      </c>
      <c r="O43" s="2015">
        <v>0</v>
      </c>
      <c r="P43" s="2015">
        <v>0</v>
      </c>
      <c r="Q43" s="2016">
        <v>0</v>
      </c>
      <c r="R43" s="2015">
        <v>0</v>
      </c>
      <c r="S43" s="2015">
        <v>0</v>
      </c>
      <c r="T43" s="2016">
        <v>0</v>
      </c>
      <c r="U43" s="2015">
        <v>0</v>
      </c>
      <c r="V43" s="2015">
        <v>0</v>
      </c>
      <c r="W43" s="2016">
        <v>0</v>
      </c>
      <c r="X43" s="2015">
        <v>0</v>
      </c>
      <c r="Y43" s="2015">
        <v>0</v>
      </c>
      <c r="Z43" s="2016">
        <v>0</v>
      </c>
      <c r="AA43" s="2015">
        <v>0</v>
      </c>
      <c r="AB43" s="2015">
        <v>0</v>
      </c>
      <c r="AC43" s="2016">
        <v>0</v>
      </c>
      <c r="AD43" s="2015">
        <v>0</v>
      </c>
      <c r="AE43" s="2015">
        <v>0</v>
      </c>
      <c r="AF43" s="2016">
        <v>0</v>
      </c>
      <c r="AG43" s="2015">
        <v>0</v>
      </c>
      <c r="AH43" s="2015">
        <v>0</v>
      </c>
      <c r="AI43" s="2016">
        <v>0</v>
      </c>
      <c r="AJ43" s="2015">
        <v>0</v>
      </c>
      <c r="AK43" s="2015">
        <v>0</v>
      </c>
      <c r="AL43" s="2016">
        <v>0</v>
      </c>
      <c r="AM43" s="2015">
        <v>0</v>
      </c>
      <c r="AN43" s="2015">
        <v>0</v>
      </c>
      <c r="AO43" s="2016">
        <v>0</v>
      </c>
      <c r="AP43" s="2015">
        <v>0</v>
      </c>
      <c r="AQ43" s="2015">
        <v>0</v>
      </c>
      <c r="AR43" s="2016">
        <v>0</v>
      </c>
    </row>
    <row r="44" spans="1:44">
      <c r="A44" s="2014" t="s">
        <v>3349</v>
      </c>
      <c r="B44" s="2014" t="s">
        <v>3271</v>
      </c>
      <c r="C44" s="2015"/>
      <c r="D44" s="2015"/>
      <c r="E44" s="1769"/>
      <c r="F44" s="1769"/>
      <c r="G44" s="1769"/>
      <c r="H44" s="1770"/>
      <c r="I44" s="2015">
        <v>0</v>
      </c>
      <c r="J44" s="2015">
        <v>0</v>
      </c>
      <c r="K44" s="2016">
        <v>0</v>
      </c>
      <c r="L44" s="2015">
        <v>0</v>
      </c>
      <c r="M44" s="2015">
        <v>0</v>
      </c>
      <c r="N44" s="2016">
        <v>0</v>
      </c>
      <c r="O44" s="2015">
        <v>0</v>
      </c>
      <c r="P44" s="2015">
        <v>0</v>
      </c>
      <c r="Q44" s="2016">
        <v>0</v>
      </c>
      <c r="R44" s="2015">
        <v>0</v>
      </c>
      <c r="S44" s="2015">
        <v>0</v>
      </c>
      <c r="T44" s="2016">
        <v>0</v>
      </c>
      <c r="U44" s="2015">
        <v>0</v>
      </c>
      <c r="V44" s="2015">
        <v>0</v>
      </c>
      <c r="W44" s="2016">
        <v>0</v>
      </c>
      <c r="X44" s="2015">
        <v>0</v>
      </c>
      <c r="Y44" s="2015">
        <v>0</v>
      </c>
      <c r="Z44" s="2016">
        <v>0</v>
      </c>
      <c r="AA44" s="2015">
        <v>0</v>
      </c>
      <c r="AB44" s="2015">
        <v>0</v>
      </c>
      <c r="AC44" s="2016">
        <v>0</v>
      </c>
      <c r="AD44" s="2015">
        <v>0</v>
      </c>
      <c r="AE44" s="2015">
        <v>0</v>
      </c>
      <c r="AF44" s="2016">
        <v>0</v>
      </c>
      <c r="AG44" s="2015">
        <v>0</v>
      </c>
      <c r="AH44" s="2015">
        <v>0</v>
      </c>
      <c r="AI44" s="2016">
        <v>0</v>
      </c>
      <c r="AJ44" s="2015">
        <v>0</v>
      </c>
      <c r="AK44" s="2015">
        <v>0</v>
      </c>
      <c r="AL44" s="2016">
        <v>0</v>
      </c>
      <c r="AM44" s="2015">
        <v>0</v>
      </c>
      <c r="AN44" s="2015">
        <v>0</v>
      </c>
      <c r="AO44" s="2016">
        <v>0</v>
      </c>
      <c r="AP44" s="2015">
        <v>0</v>
      </c>
      <c r="AQ44" s="2015">
        <v>0</v>
      </c>
      <c r="AR44" s="2016">
        <v>0</v>
      </c>
    </row>
    <row r="45" spans="1:44">
      <c r="A45" s="2014" t="s">
        <v>3358</v>
      </c>
      <c r="B45" s="2014" t="s">
        <v>3271</v>
      </c>
      <c r="C45" s="2015"/>
      <c r="D45" s="2015"/>
      <c r="E45" s="1769"/>
      <c r="F45" s="1769"/>
      <c r="G45" s="1769"/>
      <c r="H45" s="1770"/>
      <c r="I45" s="2015">
        <v>0</v>
      </c>
      <c r="J45" s="2015">
        <v>0</v>
      </c>
      <c r="K45" s="2016">
        <v>0</v>
      </c>
      <c r="L45" s="2015">
        <v>0</v>
      </c>
      <c r="M45" s="2015">
        <v>0</v>
      </c>
      <c r="N45" s="2016">
        <v>0</v>
      </c>
      <c r="O45" s="2015">
        <v>0</v>
      </c>
      <c r="P45" s="2015">
        <v>0</v>
      </c>
      <c r="Q45" s="2016">
        <v>0</v>
      </c>
      <c r="R45" s="2015">
        <v>0</v>
      </c>
      <c r="S45" s="2015">
        <v>0</v>
      </c>
      <c r="T45" s="2016">
        <v>0</v>
      </c>
      <c r="U45" s="2015">
        <v>0</v>
      </c>
      <c r="V45" s="2015">
        <v>0</v>
      </c>
      <c r="W45" s="2016">
        <v>0</v>
      </c>
      <c r="X45" s="2015">
        <v>0</v>
      </c>
      <c r="Y45" s="2015">
        <v>0</v>
      </c>
      <c r="Z45" s="2016">
        <v>0</v>
      </c>
      <c r="AA45" s="2015">
        <v>0</v>
      </c>
      <c r="AB45" s="2015">
        <v>0</v>
      </c>
      <c r="AC45" s="2016">
        <v>0</v>
      </c>
      <c r="AD45" s="2015">
        <v>0</v>
      </c>
      <c r="AE45" s="2015">
        <v>0</v>
      </c>
      <c r="AF45" s="2016">
        <v>0</v>
      </c>
      <c r="AG45" s="2015">
        <v>0</v>
      </c>
      <c r="AH45" s="2015">
        <v>32563200000</v>
      </c>
      <c r="AI45" s="2016">
        <v>32563200000</v>
      </c>
      <c r="AJ45" s="2015">
        <v>0</v>
      </c>
      <c r="AK45" s="2015">
        <v>0</v>
      </c>
      <c r="AL45" s="2016">
        <v>0</v>
      </c>
      <c r="AM45" s="2015">
        <v>0</v>
      </c>
      <c r="AN45" s="2015">
        <v>0</v>
      </c>
      <c r="AO45" s="2016">
        <v>0</v>
      </c>
      <c r="AP45" s="2015">
        <v>0</v>
      </c>
      <c r="AQ45" s="2015">
        <v>0</v>
      </c>
      <c r="AR45" s="2016">
        <v>0</v>
      </c>
    </row>
    <row r="46" spans="1:44">
      <c r="A46" s="2014" t="s">
        <v>3361</v>
      </c>
      <c r="B46" s="2014" t="s">
        <v>3271</v>
      </c>
      <c r="C46" s="2015"/>
      <c r="D46" s="2015"/>
      <c r="E46" s="1769"/>
      <c r="F46" s="1769"/>
      <c r="G46" s="1769"/>
      <c r="H46" s="1770"/>
      <c r="I46" s="2015">
        <v>0</v>
      </c>
      <c r="J46" s="2015">
        <v>0</v>
      </c>
      <c r="K46" s="2016">
        <v>0</v>
      </c>
      <c r="L46" s="2015">
        <v>0</v>
      </c>
      <c r="M46" s="2015">
        <v>0</v>
      </c>
      <c r="N46" s="2016">
        <v>0</v>
      </c>
      <c r="O46" s="2015">
        <v>0</v>
      </c>
      <c r="P46" s="2015">
        <v>0</v>
      </c>
      <c r="Q46" s="2016">
        <v>0</v>
      </c>
      <c r="R46" s="2015">
        <v>0</v>
      </c>
      <c r="S46" s="2015">
        <v>0</v>
      </c>
      <c r="T46" s="2016">
        <v>0</v>
      </c>
      <c r="U46" s="2015">
        <v>0</v>
      </c>
      <c r="V46" s="2015">
        <v>0</v>
      </c>
      <c r="W46" s="2016">
        <v>0</v>
      </c>
      <c r="X46" s="2015">
        <v>0</v>
      </c>
      <c r="Y46" s="2015">
        <v>0</v>
      </c>
      <c r="Z46" s="2016">
        <v>0</v>
      </c>
      <c r="AA46" s="2015">
        <v>0</v>
      </c>
      <c r="AB46" s="2015">
        <v>0</v>
      </c>
      <c r="AC46" s="2016">
        <v>0</v>
      </c>
      <c r="AD46" s="2015">
        <v>0</v>
      </c>
      <c r="AE46" s="2015">
        <v>0</v>
      </c>
      <c r="AF46" s="2016">
        <v>0</v>
      </c>
      <c r="AG46" s="2015">
        <v>0</v>
      </c>
      <c r="AH46" s="2015">
        <v>0</v>
      </c>
      <c r="AI46" s="2016">
        <v>0</v>
      </c>
      <c r="AJ46" s="2015">
        <v>0</v>
      </c>
      <c r="AK46" s="2015">
        <v>0</v>
      </c>
      <c r="AL46" s="2016">
        <v>0</v>
      </c>
      <c r="AM46" s="2015">
        <v>0</v>
      </c>
      <c r="AN46" s="2015">
        <v>0</v>
      </c>
      <c r="AO46" s="2016">
        <v>0</v>
      </c>
      <c r="AP46" s="2015">
        <v>0</v>
      </c>
      <c r="AQ46" s="2015">
        <v>0</v>
      </c>
      <c r="AR46" s="2016">
        <v>0</v>
      </c>
    </row>
    <row r="47" spans="1:44">
      <c r="A47" s="2014" t="s">
        <v>3362</v>
      </c>
      <c r="B47" s="2014" t="s">
        <v>3271</v>
      </c>
      <c r="C47" s="2015"/>
      <c r="D47" s="2015"/>
      <c r="E47" s="1769"/>
      <c r="F47" s="1769"/>
      <c r="G47" s="1769"/>
      <c r="H47" s="1770"/>
      <c r="I47" s="2015">
        <v>0</v>
      </c>
      <c r="J47" s="2015">
        <v>0</v>
      </c>
      <c r="K47" s="2016">
        <v>0</v>
      </c>
      <c r="L47" s="2015">
        <v>0</v>
      </c>
      <c r="M47" s="2015">
        <v>0</v>
      </c>
      <c r="N47" s="2016">
        <v>0</v>
      </c>
      <c r="O47" s="2015">
        <v>0</v>
      </c>
      <c r="P47" s="2015">
        <v>0</v>
      </c>
      <c r="Q47" s="2016">
        <v>0</v>
      </c>
      <c r="R47" s="2015">
        <v>0</v>
      </c>
      <c r="S47" s="2015">
        <v>0</v>
      </c>
      <c r="T47" s="2016">
        <v>0</v>
      </c>
      <c r="U47" s="2015">
        <v>0</v>
      </c>
      <c r="V47" s="2015">
        <v>0</v>
      </c>
      <c r="W47" s="2016">
        <v>0</v>
      </c>
      <c r="X47" s="2015">
        <v>0</v>
      </c>
      <c r="Y47" s="2015">
        <v>0</v>
      </c>
      <c r="Z47" s="2016">
        <v>0</v>
      </c>
      <c r="AA47" s="2015">
        <v>40000000000</v>
      </c>
      <c r="AB47" s="2015">
        <v>0</v>
      </c>
      <c r="AC47" s="2016">
        <v>40000000000</v>
      </c>
      <c r="AD47" s="2015">
        <v>0</v>
      </c>
      <c r="AE47" s="2015">
        <v>0</v>
      </c>
      <c r="AF47" s="2016">
        <v>0</v>
      </c>
      <c r="AG47" s="2015">
        <v>0</v>
      </c>
      <c r="AH47" s="2015">
        <v>0</v>
      </c>
      <c r="AI47" s="2016">
        <v>0</v>
      </c>
      <c r="AJ47" s="2015">
        <v>0</v>
      </c>
      <c r="AK47" s="2015">
        <v>0</v>
      </c>
      <c r="AL47" s="2016">
        <v>0</v>
      </c>
      <c r="AM47" s="2015">
        <v>0</v>
      </c>
      <c r="AN47" s="2015">
        <v>0</v>
      </c>
      <c r="AO47" s="2016">
        <v>0</v>
      </c>
      <c r="AP47" s="2015">
        <v>0</v>
      </c>
      <c r="AQ47" s="2015">
        <v>0</v>
      </c>
      <c r="AR47" s="2016">
        <v>0</v>
      </c>
    </row>
    <row r="48" spans="1:44">
      <c r="A48" s="2014" t="s">
        <v>3363</v>
      </c>
      <c r="B48" s="2014" t="s">
        <v>3271</v>
      </c>
      <c r="C48" s="2015"/>
      <c r="D48" s="2015"/>
      <c r="E48" s="1769"/>
      <c r="F48" s="1769"/>
      <c r="G48" s="1769"/>
      <c r="H48" s="1770"/>
      <c r="I48" s="2015">
        <v>0</v>
      </c>
      <c r="J48" s="2015">
        <v>0</v>
      </c>
      <c r="K48" s="2016">
        <v>0</v>
      </c>
      <c r="L48" s="2015">
        <v>0</v>
      </c>
      <c r="M48" s="2015">
        <v>0</v>
      </c>
      <c r="N48" s="2016">
        <v>0</v>
      </c>
      <c r="O48" s="2015">
        <v>0</v>
      </c>
      <c r="P48" s="2015">
        <v>0</v>
      </c>
      <c r="Q48" s="2016">
        <v>0</v>
      </c>
      <c r="R48" s="2015">
        <v>0</v>
      </c>
      <c r="S48" s="2015">
        <v>0</v>
      </c>
      <c r="T48" s="2016">
        <v>0</v>
      </c>
      <c r="U48" s="2015">
        <v>0</v>
      </c>
      <c r="V48" s="2015">
        <v>0</v>
      </c>
      <c r="W48" s="2016">
        <v>0</v>
      </c>
      <c r="X48" s="2015">
        <v>0</v>
      </c>
      <c r="Y48" s="2015">
        <v>0</v>
      </c>
      <c r="Z48" s="2016">
        <v>0</v>
      </c>
      <c r="AA48" s="2015">
        <v>0</v>
      </c>
      <c r="AB48" s="2015">
        <v>0</v>
      </c>
      <c r="AC48" s="2016">
        <v>0</v>
      </c>
      <c r="AD48" s="2015">
        <v>0</v>
      </c>
      <c r="AE48" s="2015">
        <v>0</v>
      </c>
      <c r="AF48" s="2016">
        <v>0</v>
      </c>
      <c r="AG48" s="2015">
        <v>0</v>
      </c>
      <c r="AH48" s="2015">
        <v>0</v>
      </c>
      <c r="AI48" s="2016">
        <v>0</v>
      </c>
      <c r="AJ48" s="2015">
        <v>0</v>
      </c>
      <c r="AK48" s="2015">
        <v>0</v>
      </c>
      <c r="AL48" s="2016">
        <v>0</v>
      </c>
      <c r="AM48" s="2015">
        <v>0</v>
      </c>
      <c r="AN48" s="2015">
        <v>0</v>
      </c>
      <c r="AO48" s="2016">
        <v>0</v>
      </c>
      <c r="AP48" s="2015">
        <v>0</v>
      </c>
      <c r="AQ48" s="2015">
        <v>0</v>
      </c>
      <c r="AR48" s="2016">
        <v>0</v>
      </c>
    </row>
    <row r="49" spans="1:44">
      <c r="A49" s="2014" t="s">
        <v>3364</v>
      </c>
      <c r="B49" s="2014" t="s">
        <v>3271</v>
      </c>
      <c r="C49" s="2015"/>
      <c r="D49" s="2015"/>
      <c r="E49" s="1769"/>
      <c r="F49" s="1769"/>
      <c r="G49" s="1769"/>
      <c r="H49" s="1770"/>
      <c r="I49" s="2015">
        <v>0</v>
      </c>
      <c r="J49" s="2015">
        <v>0</v>
      </c>
      <c r="K49" s="2016">
        <v>0</v>
      </c>
      <c r="L49" s="2015">
        <v>0</v>
      </c>
      <c r="M49" s="2015">
        <v>0</v>
      </c>
      <c r="N49" s="2016">
        <v>0</v>
      </c>
      <c r="O49" s="2015">
        <v>0</v>
      </c>
      <c r="P49" s="2015">
        <v>0</v>
      </c>
      <c r="Q49" s="2016">
        <v>0</v>
      </c>
      <c r="R49" s="2015">
        <v>0</v>
      </c>
      <c r="S49" s="2015">
        <v>0</v>
      </c>
      <c r="T49" s="2016">
        <v>0</v>
      </c>
      <c r="U49" s="2015">
        <v>0</v>
      </c>
      <c r="V49" s="2015">
        <v>20000000000</v>
      </c>
      <c r="W49" s="2016">
        <v>20000000000</v>
      </c>
      <c r="X49" s="2015">
        <v>0</v>
      </c>
      <c r="Y49" s="2015">
        <v>0</v>
      </c>
      <c r="Z49" s="2016">
        <v>0</v>
      </c>
      <c r="AA49" s="2015">
        <v>0</v>
      </c>
      <c r="AB49" s="2015">
        <v>0</v>
      </c>
      <c r="AC49" s="2016">
        <v>0</v>
      </c>
      <c r="AD49" s="2015">
        <v>0</v>
      </c>
      <c r="AE49" s="2015">
        <v>0</v>
      </c>
      <c r="AF49" s="2016">
        <v>0</v>
      </c>
      <c r="AG49" s="2015">
        <v>0</v>
      </c>
      <c r="AH49" s="2015">
        <v>0</v>
      </c>
      <c r="AI49" s="2016">
        <v>0</v>
      </c>
      <c r="AJ49" s="2015">
        <v>0</v>
      </c>
      <c r="AK49" s="2015">
        <v>0</v>
      </c>
      <c r="AL49" s="2016">
        <v>0</v>
      </c>
      <c r="AM49" s="2015">
        <v>0</v>
      </c>
      <c r="AN49" s="2015">
        <v>0</v>
      </c>
      <c r="AO49" s="2016">
        <v>0</v>
      </c>
      <c r="AP49" s="2015">
        <v>0</v>
      </c>
      <c r="AQ49" s="2015">
        <v>0</v>
      </c>
      <c r="AR49" s="2016">
        <v>0</v>
      </c>
    </row>
    <row r="50" spans="1:44">
      <c r="A50" s="2014" t="s">
        <v>3365</v>
      </c>
      <c r="B50" s="2014" t="s">
        <v>3271</v>
      </c>
      <c r="C50" s="2015"/>
      <c r="D50" s="2015"/>
      <c r="E50" s="1769"/>
      <c r="F50" s="1769"/>
      <c r="G50" s="1769"/>
      <c r="H50" s="1770"/>
      <c r="I50" s="2015">
        <v>0</v>
      </c>
      <c r="J50" s="2015">
        <v>0</v>
      </c>
      <c r="K50" s="2016">
        <v>0</v>
      </c>
      <c r="L50" s="2015">
        <v>0</v>
      </c>
      <c r="M50" s="2015">
        <v>0</v>
      </c>
      <c r="N50" s="2016">
        <v>0</v>
      </c>
      <c r="O50" s="2015">
        <v>0</v>
      </c>
      <c r="P50" s="2015">
        <v>0</v>
      </c>
      <c r="Q50" s="2016">
        <v>0</v>
      </c>
      <c r="R50" s="2015">
        <v>0</v>
      </c>
      <c r="S50" s="2015">
        <v>0</v>
      </c>
      <c r="T50" s="2016">
        <v>0</v>
      </c>
      <c r="U50" s="2015">
        <v>0</v>
      </c>
      <c r="V50" s="2015">
        <v>0</v>
      </c>
      <c r="W50" s="2016">
        <v>0</v>
      </c>
      <c r="X50" s="2015">
        <v>0</v>
      </c>
      <c r="Y50" s="2015">
        <v>0</v>
      </c>
      <c r="Z50" s="2016">
        <v>0</v>
      </c>
      <c r="AA50" s="2015">
        <v>0</v>
      </c>
      <c r="AB50" s="2015">
        <v>0</v>
      </c>
      <c r="AC50" s="2016">
        <v>0</v>
      </c>
      <c r="AD50" s="2015">
        <v>0</v>
      </c>
      <c r="AE50" s="2015">
        <v>0</v>
      </c>
      <c r="AF50" s="2016">
        <v>0</v>
      </c>
      <c r="AG50" s="2015">
        <v>0</v>
      </c>
      <c r="AH50" s="2015">
        <v>0</v>
      </c>
      <c r="AI50" s="2016">
        <v>0</v>
      </c>
      <c r="AJ50" s="2015">
        <v>0</v>
      </c>
      <c r="AK50" s="2015">
        <v>30000000000</v>
      </c>
      <c r="AL50" s="2016">
        <v>30000000000</v>
      </c>
      <c r="AM50" s="2015">
        <v>0</v>
      </c>
      <c r="AN50" s="2015">
        <v>0</v>
      </c>
      <c r="AO50" s="2016">
        <v>0</v>
      </c>
      <c r="AP50" s="2015">
        <v>0</v>
      </c>
      <c r="AQ50" s="2015">
        <v>0</v>
      </c>
      <c r="AR50" s="2016">
        <v>0</v>
      </c>
    </row>
    <row r="51" spans="1:44">
      <c r="A51" s="2014" t="s">
        <v>3553</v>
      </c>
      <c r="B51" s="2014" t="s">
        <v>3271</v>
      </c>
      <c r="C51" s="2015"/>
      <c r="D51" s="2015"/>
      <c r="E51" s="1769"/>
      <c r="F51" s="1769"/>
      <c r="G51" s="1769"/>
      <c r="H51" s="1770"/>
      <c r="I51" s="2015">
        <v>0</v>
      </c>
      <c r="J51" s="2015">
        <v>0</v>
      </c>
      <c r="K51" s="2016">
        <v>0</v>
      </c>
      <c r="L51" s="2015">
        <v>0</v>
      </c>
      <c r="M51" s="2015">
        <v>0</v>
      </c>
      <c r="N51" s="2016">
        <v>0</v>
      </c>
      <c r="O51" s="2015">
        <v>0</v>
      </c>
      <c r="P51" s="2015">
        <v>0</v>
      </c>
      <c r="Q51" s="2016">
        <v>0</v>
      </c>
      <c r="R51" s="2015">
        <v>0</v>
      </c>
      <c r="S51" s="2015">
        <v>0</v>
      </c>
      <c r="T51" s="2016">
        <v>0</v>
      </c>
      <c r="U51" s="2015">
        <v>0</v>
      </c>
      <c r="V51" s="2015">
        <v>0</v>
      </c>
      <c r="W51" s="2016">
        <v>0</v>
      </c>
      <c r="X51" s="2015">
        <v>20000000000</v>
      </c>
      <c r="Y51" s="2015">
        <v>0</v>
      </c>
      <c r="Z51" s="2016">
        <v>20000000000</v>
      </c>
      <c r="AA51" s="2015">
        <v>0</v>
      </c>
      <c r="AB51" s="2015">
        <v>0</v>
      </c>
      <c r="AC51" s="2016">
        <v>0</v>
      </c>
      <c r="AD51" s="2015">
        <v>0</v>
      </c>
      <c r="AE51" s="2015">
        <v>0</v>
      </c>
      <c r="AF51" s="2016">
        <v>0</v>
      </c>
      <c r="AG51" s="2015">
        <v>0</v>
      </c>
      <c r="AH51" s="2015">
        <v>0</v>
      </c>
      <c r="AI51" s="2016">
        <v>0</v>
      </c>
      <c r="AJ51" s="2015">
        <v>0</v>
      </c>
      <c r="AK51" s="2015">
        <v>0</v>
      </c>
      <c r="AL51" s="2016">
        <v>0</v>
      </c>
      <c r="AM51" s="2015">
        <v>0</v>
      </c>
      <c r="AN51" s="2015">
        <v>0</v>
      </c>
      <c r="AO51" s="2016">
        <v>0</v>
      </c>
      <c r="AP51" s="2015">
        <v>0</v>
      </c>
      <c r="AQ51" s="2015">
        <v>0</v>
      </c>
      <c r="AR51" s="2016">
        <v>0</v>
      </c>
    </row>
    <row r="52" spans="1:44">
      <c r="A52" s="2014" t="s">
        <v>3554</v>
      </c>
      <c r="B52" s="2014" t="s">
        <v>3271</v>
      </c>
      <c r="C52" s="2015"/>
      <c r="D52" s="2015"/>
      <c r="E52" s="1769"/>
      <c r="F52" s="1769"/>
      <c r="G52" s="1769"/>
      <c r="H52" s="1770"/>
      <c r="I52" s="2015">
        <v>0</v>
      </c>
      <c r="J52" s="2015">
        <v>0</v>
      </c>
      <c r="K52" s="2016">
        <v>0</v>
      </c>
      <c r="L52" s="2015">
        <v>0</v>
      </c>
      <c r="M52" s="2015">
        <v>0</v>
      </c>
      <c r="N52" s="2016">
        <v>0</v>
      </c>
      <c r="O52" s="2015">
        <v>0</v>
      </c>
      <c r="P52" s="2015">
        <v>0</v>
      </c>
      <c r="Q52" s="2016">
        <v>0</v>
      </c>
      <c r="R52" s="2015">
        <v>0</v>
      </c>
      <c r="S52" s="2015">
        <v>0</v>
      </c>
      <c r="T52" s="2016">
        <v>0</v>
      </c>
      <c r="U52" s="2015">
        <v>0</v>
      </c>
      <c r="V52" s="2015">
        <v>0</v>
      </c>
      <c r="W52" s="2016">
        <v>0</v>
      </c>
      <c r="X52" s="2015">
        <v>0</v>
      </c>
      <c r="Y52" s="2015">
        <v>0</v>
      </c>
      <c r="Z52" s="2016">
        <v>0</v>
      </c>
      <c r="AA52" s="2015">
        <v>0</v>
      </c>
      <c r="AB52" s="2015">
        <v>0</v>
      </c>
      <c r="AC52" s="2016">
        <v>0</v>
      </c>
      <c r="AD52" s="2015">
        <v>0</v>
      </c>
      <c r="AE52" s="2015">
        <v>0</v>
      </c>
      <c r="AF52" s="2016">
        <v>0</v>
      </c>
      <c r="AG52" s="2015">
        <v>0</v>
      </c>
      <c r="AH52" s="2015">
        <v>0</v>
      </c>
      <c r="AI52" s="2016">
        <v>0</v>
      </c>
      <c r="AJ52" s="2015">
        <v>0</v>
      </c>
      <c r="AK52" s="2015">
        <v>0</v>
      </c>
      <c r="AL52" s="2016">
        <v>0</v>
      </c>
      <c r="AM52" s="2015">
        <v>0</v>
      </c>
      <c r="AN52" s="2015">
        <v>0</v>
      </c>
      <c r="AO52" s="2016">
        <v>0</v>
      </c>
      <c r="AP52" s="2015">
        <v>0</v>
      </c>
      <c r="AQ52" s="2015">
        <v>0</v>
      </c>
      <c r="AR52" s="2016">
        <v>0</v>
      </c>
    </row>
    <row r="53" spans="1:44">
      <c r="A53" s="2014" t="s">
        <v>3664</v>
      </c>
      <c r="B53" s="2014" t="s">
        <v>3271</v>
      </c>
      <c r="C53" s="2015"/>
      <c r="D53" s="2015"/>
      <c r="E53" s="1769"/>
      <c r="F53" s="1769"/>
      <c r="G53" s="1769"/>
      <c r="H53" s="1770"/>
      <c r="I53" s="2015">
        <v>0</v>
      </c>
      <c r="J53" s="2015">
        <v>0</v>
      </c>
      <c r="K53" s="2016">
        <v>0</v>
      </c>
      <c r="L53" s="2015">
        <v>0</v>
      </c>
      <c r="M53" s="2015">
        <v>0</v>
      </c>
      <c r="N53" s="2016">
        <v>0</v>
      </c>
      <c r="O53" s="2015">
        <v>0</v>
      </c>
      <c r="P53" s="2015">
        <v>0</v>
      </c>
      <c r="Q53" s="2016">
        <v>0</v>
      </c>
      <c r="R53" s="2015">
        <v>0</v>
      </c>
      <c r="S53" s="2015">
        <v>0</v>
      </c>
      <c r="T53" s="2016">
        <v>0</v>
      </c>
      <c r="U53" s="2015">
        <v>0</v>
      </c>
      <c r="V53" s="2015">
        <v>0</v>
      </c>
      <c r="W53" s="2016">
        <v>0</v>
      </c>
      <c r="X53" s="2015">
        <v>0</v>
      </c>
      <c r="Y53" s="2015">
        <v>0</v>
      </c>
      <c r="Z53" s="2016">
        <v>0</v>
      </c>
      <c r="AA53" s="2015">
        <v>0</v>
      </c>
      <c r="AB53" s="2015">
        <v>0</v>
      </c>
      <c r="AC53" s="2016">
        <v>0</v>
      </c>
      <c r="AD53" s="2015">
        <v>30000000000</v>
      </c>
      <c r="AE53" s="2015">
        <v>0</v>
      </c>
      <c r="AF53" s="2016">
        <v>30000000000</v>
      </c>
      <c r="AG53" s="2015">
        <v>0</v>
      </c>
      <c r="AH53" s="2015">
        <v>0</v>
      </c>
      <c r="AI53" s="2016">
        <v>0</v>
      </c>
      <c r="AJ53" s="2015">
        <v>0</v>
      </c>
      <c r="AK53" s="2015">
        <v>0</v>
      </c>
      <c r="AL53" s="2016">
        <v>0</v>
      </c>
      <c r="AM53" s="2015">
        <v>0</v>
      </c>
      <c r="AN53" s="2015">
        <v>0</v>
      </c>
      <c r="AO53" s="2016">
        <v>0</v>
      </c>
      <c r="AP53" s="2015">
        <v>0</v>
      </c>
      <c r="AQ53" s="2015">
        <v>0</v>
      </c>
      <c r="AR53" s="2016">
        <v>0</v>
      </c>
    </row>
    <row r="54" spans="1:44">
      <c r="A54" s="2014" t="s">
        <v>3555</v>
      </c>
      <c r="B54" s="2014" t="s">
        <v>3271</v>
      </c>
      <c r="C54" s="2015"/>
      <c r="D54" s="2015"/>
      <c r="E54" s="1769"/>
      <c r="F54" s="1769"/>
      <c r="G54" s="1769"/>
      <c r="H54" s="1770"/>
      <c r="I54" s="2015">
        <v>0</v>
      </c>
      <c r="J54" s="2015">
        <v>0</v>
      </c>
      <c r="K54" s="2016">
        <v>0</v>
      </c>
      <c r="L54" s="2015">
        <v>0</v>
      </c>
      <c r="M54" s="2015">
        <v>0</v>
      </c>
      <c r="N54" s="2016">
        <v>0</v>
      </c>
      <c r="O54" s="2015">
        <v>0</v>
      </c>
      <c r="P54" s="2015">
        <v>0</v>
      </c>
      <c r="Q54" s="2016">
        <v>0</v>
      </c>
      <c r="R54" s="2015">
        <v>35000000000</v>
      </c>
      <c r="S54" s="2015">
        <v>0</v>
      </c>
      <c r="T54" s="2016">
        <v>35000000000</v>
      </c>
      <c r="U54" s="2015">
        <v>0</v>
      </c>
      <c r="V54" s="2015">
        <v>0</v>
      </c>
      <c r="W54" s="2016">
        <v>0</v>
      </c>
      <c r="X54" s="2015"/>
      <c r="Y54" s="2015">
        <v>0</v>
      </c>
      <c r="Z54" s="2016">
        <v>0</v>
      </c>
      <c r="AA54" s="2015">
        <v>0</v>
      </c>
      <c r="AB54" s="2015">
        <v>0</v>
      </c>
      <c r="AC54" s="2016">
        <v>0</v>
      </c>
      <c r="AD54" s="2015">
        <v>0</v>
      </c>
      <c r="AE54" s="2015">
        <v>0</v>
      </c>
      <c r="AF54" s="2016">
        <v>0</v>
      </c>
      <c r="AG54" s="2015">
        <v>0</v>
      </c>
      <c r="AH54" s="2015">
        <v>0</v>
      </c>
      <c r="AI54" s="2016">
        <v>0</v>
      </c>
      <c r="AJ54" s="2015">
        <v>0</v>
      </c>
      <c r="AK54" s="2015">
        <v>0</v>
      </c>
      <c r="AL54" s="2016">
        <v>0</v>
      </c>
      <c r="AM54" s="2015">
        <v>0</v>
      </c>
      <c r="AN54" s="2015">
        <v>0</v>
      </c>
      <c r="AO54" s="2016">
        <v>0</v>
      </c>
      <c r="AP54" s="2015">
        <v>0</v>
      </c>
      <c r="AQ54" s="2015">
        <v>0</v>
      </c>
      <c r="AR54" s="2016">
        <v>0</v>
      </c>
    </row>
    <row r="55" spans="1:44">
      <c r="A55" s="2014" t="s">
        <v>3665</v>
      </c>
      <c r="B55" s="2014" t="s">
        <v>3271</v>
      </c>
      <c r="C55" s="2015"/>
      <c r="D55" s="2015"/>
      <c r="E55" s="1769"/>
      <c r="F55" s="1769"/>
      <c r="G55" s="1769"/>
      <c r="H55" s="1770"/>
      <c r="I55" s="2015">
        <v>0</v>
      </c>
      <c r="J55" s="2015">
        <v>0</v>
      </c>
      <c r="K55" s="2016">
        <v>0</v>
      </c>
      <c r="L55" s="2015">
        <v>0</v>
      </c>
      <c r="M55" s="2015">
        <v>0</v>
      </c>
      <c r="N55" s="2016">
        <v>0</v>
      </c>
      <c r="O55" s="2015">
        <v>0</v>
      </c>
      <c r="P55" s="2015">
        <v>0</v>
      </c>
      <c r="Q55" s="2016">
        <v>0</v>
      </c>
      <c r="R55" s="2015">
        <v>0</v>
      </c>
      <c r="S55" s="2015">
        <v>0</v>
      </c>
      <c r="T55" s="2016">
        <v>0</v>
      </c>
      <c r="U55" s="2015">
        <v>0</v>
      </c>
      <c r="V55" s="2015">
        <v>0</v>
      </c>
      <c r="W55" s="2016">
        <v>0</v>
      </c>
      <c r="X55" s="2015">
        <v>0</v>
      </c>
      <c r="Y55" s="2015">
        <v>0</v>
      </c>
      <c r="Z55" s="2016">
        <v>0</v>
      </c>
      <c r="AA55" s="2015">
        <v>0</v>
      </c>
      <c r="AB55" s="2015">
        <v>0</v>
      </c>
      <c r="AC55" s="2016">
        <v>0</v>
      </c>
      <c r="AD55" s="2015">
        <v>0</v>
      </c>
      <c r="AE55" s="2015">
        <v>0</v>
      </c>
      <c r="AF55" s="2016">
        <v>0</v>
      </c>
      <c r="AG55" s="2015">
        <v>0</v>
      </c>
      <c r="AH55" s="2015">
        <v>0</v>
      </c>
      <c r="AI55" s="2016">
        <v>0</v>
      </c>
      <c r="AJ55" s="2015">
        <v>0</v>
      </c>
      <c r="AK55" s="2015">
        <v>0</v>
      </c>
      <c r="AL55" s="2016">
        <v>0</v>
      </c>
      <c r="AM55" s="2015">
        <v>0</v>
      </c>
      <c r="AN55" s="2015">
        <v>0</v>
      </c>
      <c r="AO55" s="2016">
        <v>0</v>
      </c>
      <c r="AP55" s="2015">
        <v>0</v>
      </c>
      <c r="AQ55" s="2015">
        <v>0</v>
      </c>
      <c r="AR55" s="2016">
        <v>0</v>
      </c>
    </row>
    <row r="56" spans="1:44">
      <c r="A56" s="2014" t="s">
        <v>3666</v>
      </c>
      <c r="B56" s="2014" t="s">
        <v>3271</v>
      </c>
      <c r="C56" s="2015"/>
      <c r="D56" s="2015"/>
      <c r="E56" s="1769"/>
      <c r="F56" s="1769"/>
      <c r="G56" s="1769"/>
      <c r="H56" s="1770"/>
      <c r="I56" s="2015">
        <v>0</v>
      </c>
      <c r="J56" s="2015">
        <v>0</v>
      </c>
      <c r="K56" s="2016">
        <v>0</v>
      </c>
      <c r="L56" s="2015">
        <v>0</v>
      </c>
      <c r="M56" s="2015">
        <v>0</v>
      </c>
      <c r="N56" s="2016">
        <v>0</v>
      </c>
      <c r="O56" s="2015">
        <v>0</v>
      </c>
      <c r="P56" s="2015">
        <v>0</v>
      </c>
      <c r="Q56" s="2016">
        <v>0</v>
      </c>
      <c r="R56" s="2015">
        <v>0</v>
      </c>
      <c r="S56" s="2015">
        <v>0</v>
      </c>
      <c r="T56" s="2016">
        <v>0</v>
      </c>
      <c r="U56" s="2015">
        <v>0</v>
      </c>
      <c r="V56" s="2015">
        <v>0</v>
      </c>
      <c r="W56" s="2016"/>
      <c r="X56" s="2015"/>
      <c r="Y56" s="2015">
        <v>0</v>
      </c>
      <c r="Z56" s="2016">
        <v>0</v>
      </c>
      <c r="AA56" s="2015">
        <v>0</v>
      </c>
      <c r="AB56" s="2015">
        <v>0</v>
      </c>
      <c r="AC56" s="2016">
        <v>0</v>
      </c>
      <c r="AD56" s="2015">
        <v>0</v>
      </c>
      <c r="AE56" s="2015">
        <v>0</v>
      </c>
      <c r="AF56" s="2016">
        <v>0</v>
      </c>
      <c r="AG56" s="2015">
        <v>0</v>
      </c>
      <c r="AH56" s="2015">
        <v>0</v>
      </c>
      <c r="AI56" s="2016">
        <v>0</v>
      </c>
      <c r="AJ56" s="2015"/>
      <c r="AK56" s="2015"/>
      <c r="AL56" s="2016">
        <v>0</v>
      </c>
      <c r="AM56" s="2015">
        <v>50000000000</v>
      </c>
      <c r="AN56" s="2015">
        <v>0</v>
      </c>
      <c r="AO56" s="2016">
        <v>50000000000</v>
      </c>
      <c r="AP56" s="2015">
        <v>0</v>
      </c>
      <c r="AQ56" s="2015"/>
      <c r="AR56" s="2016"/>
    </row>
    <row r="57" spans="1:44">
      <c r="A57" s="2014" t="s">
        <v>3667</v>
      </c>
      <c r="B57" s="2014" t="s">
        <v>3271</v>
      </c>
      <c r="C57" s="2015"/>
      <c r="D57" s="2015"/>
      <c r="E57" s="1769"/>
      <c r="F57" s="1769"/>
      <c r="G57" s="1769"/>
      <c r="H57" s="1770"/>
      <c r="I57" s="2015">
        <v>0</v>
      </c>
      <c r="J57" s="2015">
        <v>0</v>
      </c>
      <c r="K57" s="2016">
        <v>0</v>
      </c>
      <c r="L57" s="2015">
        <v>0</v>
      </c>
      <c r="M57" s="2015">
        <v>0</v>
      </c>
      <c r="N57" s="2016">
        <v>0</v>
      </c>
      <c r="O57" s="2015">
        <v>0</v>
      </c>
      <c r="P57" s="2015">
        <v>0</v>
      </c>
      <c r="Q57" s="2016">
        <v>0</v>
      </c>
      <c r="R57" s="2015">
        <v>0</v>
      </c>
      <c r="S57" s="2015">
        <v>0</v>
      </c>
      <c r="T57" s="2016">
        <v>0</v>
      </c>
      <c r="U57" s="2015">
        <v>0</v>
      </c>
      <c r="V57" s="2015">
        <v>0</v>
      </c>
      <c r="W57" s="2016"/>
      <c r="X57" s="2015">
        <v>0</v>
      </c>
      <c r="Y57" s="2015">
        <v>0</v>
      </c>
      <c r="Z57" s="2016">
        <v>0</v>
      </c>
      <c r="AA57" s="2015">
        <v>0</v>
      </c>
      <c r="AB57" s="2015">
        <v>0</v>
      </c>
      <c r="AC57" s="2016">
        <v>0</v>
      </c>
      <c r="AD57" s="2015">
        <v>0</v>
      </c>
      <c r="AE57" s="2015">
        <v>0</v>
      </c>
      <c r="AF57" s="2016">
        <v>0</v>
      </c>
      <c r="AG57" s="2015">
        <v>0</v>
      </c>
      <c r="AH57" s="2015">
        <v>0</v>
      </c>
      <c r="AI57" s="2016">
        <v>0</v>
      </c>
      <c r="AJ57" s="2015">
        <v>0</v>
      </c>
      <c r="AK57" s="2015">
        <v>0</v>
      </c>
      <c r="AL57" s="2016">
        <v>0</v>
      </c>
      <c r="AM57" s="2015">
        <v>0</v>
      </c>
      <c r="AN57" s="2015">
        <v>10000000000</v>
      </c>
      <c r="AO57" s="2016">
        <v>10000000000</v>
      </c>
      <c r="AP57" s="2015">
        <v>0</v>
      </c>
      <c r="AQ57" s="2015">
        <v>0</v>
      </c>
      <c r="AR57" s="2016">
        <v>0</v>
      </c>
    </row>
    <row r="58" spans="1:44">
      <c r="A58" s="2014" t="s">
        <v>3556</v>
      </c>
      <c r="B58" s="2014" t="s">
        <v>3271</v>
      </c>
      <c r="C58" s="2015"/>
      <c r="D58" s="2015"/>
      <c r="E58" s="1769"/>
      <c r="F58" s="1769"/>
      <c r="G58" s="1769"/>
      <c r="H58" s="1770"/>
      <c r="I58" s="2015">
        <v>0</v>
      </c>
      <c r="J58" s="2015">
        <v>0</v>
      </c>
      <c r="K58" s="2016">
        <v>0</v>
      </c>
      <c r="L58" s="2015">
        <v>0</v>
      </c>
      <c r="M58" s="2015">
        <v>0</v>
      </c>
      <c r="N58" s="2016">
        <v>0</v>
      </c>
      <c r="O58" s="2015">
        <v>0</v>
      </c>
      <c r="P58" s="2015">
        <v>0</v>
      </c>
      <c r="Q58" s="2016">
        <v>0</v>
      </c>
      <c r="R58" s="2015">
        <v>0</v>
      </c>
      <c r="S58" s="2015">
        <v>0</v>
      </c>
      <c r="T58" s="2016">
        <v>0</v>
      </c>
      <c r="U58" s="2015">
        <v>0</v>
      </c>
      <c r="V58" s="2015">
        <v>0</v>
      </c>
      <c r="W58" s="2016">
        <v>0</v>
      </c>
      <c r="X58" s="2015">
        <v>0</v>
      </c>
      <c r="Y58" s="2015">
        <v>10000000000</v>
      </c>
      <c r="Z58" s="2016">
        <v>10000000000</v>
      </c>
      <c r="AA58" s="2015">
        <v>0</v>
      </c>
      <c r="AB58" s="2015">
        <v>0</v>
      </c>
      <c r="AC58" s="2016">
        <v>0</v>
      </c>
      <c r="AD58" s="2015">
        <v>0</v>
      </c>
      <c r="AE58" s="2015">
        <v>0</v>
      </c>
      <c r="AF58" s="2016">
        <v>0</v>
      </c>
      <c r="AG58" s="2015">
        <v>0</v>
      </c>
      <c r="AH58" s="2015">
        <v>0</v>
      </c>
      <c r="AI58" s="2016">
        <v>0</v>
      </c>
      <c r="AJ58" s="2015">
        <v>0</v>
      </c>
      <c r="AK58" s="2015">
        <v>0</v>
      </c>
      <c r="AL58" s="2016">
        <v>0</v>
      </c>
      <c r="AM58" s="2015">
        <v>0</v>
      </c>
      <c r="AN58" s="2015">
        <v>0</v>
      </c>
      <c r="AO58" s="2016">
        <v>0</v>
      </c>
      <c r="AP58" s="2015">
        <v>0</v>
      </c>
      <c r="AQ58" s="2015">
        <v>0</v>
      </c>
      <c r="AR58" s="2016">
        <v>0</v>
      </c>
    </row>
    <row r="59" spans="1:44">
      <c r="A59" s="2018" t="s">
        <v>3366</v>
      </c>
      <c r="B59" s="2018" t="s">
        <v>3271</v>
      </c>
      <c r="C59" s="2019">
        <f>SUM(C11:C27)</f>
        <v>15000000000</v>
      </c>
      <c r="D59" s="2019">
        <f>SUM(D11:D27)</f>
        <v>30000000000</v>
      </c>
      <c r="E59" s="2020">
        <f>SUM(E11:E36)</f>
        <v>30000000000</v>
      </c>
      <c r="F59" s="2020">
        <f>SUM(F11:F36)</f>
        <v>45000000000</v>
      </c>
      <c r="G59" s="2020">
        <f>SUM(G11:G50)</f>
        <v>103555000000</v>
      </c>
      <c r="H59" s="2016">
        <f>SUM(H11:H50)</f>
        <v>65000000000</v>
      </c>
      <c r="I59" s="2020">
        <f>SUM(I11:I58)</f>
        <v>55000000000</v>
      </c>
      <c r="J59" s="2020">
        <f>SUM(J11:J58)</f>
        <v>10000000000</v>
      </c>
      <c r="K59" s="2016">
        <f>SUM(K11:K58)</f>
        <v>65000000000</v>
      </c>
      <c r="L59" s="2020">
        <f>SUM(L11:L58)</f>
        <v>60000000000</v>
      </c>
      <c r="M59" s="2020">
        <f>SUM(M11:M58)</f>
        <v>64283620000</v>
      </c>
      <c r="N59" s="2016">
        <f t="shared" ref="N59:AR59" si="2">SUM(N11:N58)</f>
        <v>124283620000</v>
      </c>
      <c r="O59" s="2020">
        <f t="shared" si="2"/>
        <v>62378400000</v>
      </c>
      <c r="P59" s="2020">
        <f t="shared" si="2"/>
        <v>21469500000</v>
      </c>
      <c r="Q59" s="2016">
        <f t="shared" si="2"/>
        <v>83847900000</v>
      </c>
      <c r="R59" s="2020">
        <f t="shared" si="2"/>
        <v>95000000000</v>
      </c>
      <c r="S59" s="2020">
        <f t="shared" si="2"/>
        <v>63284700000</v>
      </c>
      <c r="T59" s="2016">
        <f t="shared" si="2"/>
        <v>158284700000</v>
      </c>
      <c r="U59" s="2020">
        <f t="shared" si="2"/>
        <v>70000000000</v>
      </c>
      <c r="V59" s="2020">
        <f t="shared" si="2"/>
        <v>20000000000</v>
      </c>
      <c r="W59" s="2016">
        <f t="shared" si="2"/>
        <v>90000000000</v>
      </c>
      <c r="X59" s="2020">
        <f t="shared" si="2"/>
        <v>102978200000</v>
      </c>
      <c r="Y59" s="2020">
        <f t="shared" si="2"/>
        <v>40000000000</v>
      </c>
      <c r="Z59" s="2016">
        <f t="shared" si="2"/>
        <v>142978200000</v>
      </c>
      <c r="AA59" s="2020">
        <f t="shared" si="2"/>
        <v>40000000000</v>
      </c>
      <c r="AB59" s="2020">
        <f t="shared" si="2"/>
        <v>108530500000</v>
      </c>
      <c r="AC59" s="2016">
        <f t="shared" si="2"/>
        <v>148530500000</v>
      </c>
      <c r="AD59" s="2020">
        <f t="shared" si="2"/>
        <v>30000000000</v>
      </c>
      <c r="AE59" s="2020">
        <f t="shared" si="2"/>
        <v>119192700000</v>
      </c>
      <c r="AF59" s="2016">
        <f t="shared" si="2"/>
        <v>149192700000</v>
      </c>
      <c r="AG59" s="2020">
        <f t="shared" si="2"/>
        <v>0</v>
      </c>
      <c r="AH59" s="2020">
        <f t="shared" si="2"/>
        <v>32563200000</v>
      </c>
      <c r="AI59" s="2016">
        <f t="shared" si="2"/>
        <v>32563200000</v>
      </c>
      <c r="AJ59" s="2020">
        <f t="shared" si="2"/>
        <v>40000000000</v>
      </c>
      <c r="AK59" s="2020">
        <f t="shared" si="2"/>
        <v>30000000000</v>
      </c>
      <c r="AL59" s="2016">
        <f t="shared" si="2"/>
        <v>70000000000</v>
      </c>
      <c r="AM59" s="2020">
        <f t="shared" si="2"/>
        <v>50000000000</v>
      </c>
      <c r="AN59" s="2020">
        <f t="shared" si="2"/>
        <v>85000000000</v>
      </c>
      <c r="AO59" s="2016">
        <f t="shared" si="2"/>
        <v>135000000000</v>
      </c>
      <c r="AP59" s="2020">
        <f t="shared" si="2"/>
        <v>0</v>
      </c>
      <c r="AQ59" s="2020">
        <f t="shared" si="2"/>
        <v>81542000000</v>
      </c>
      <c r="AR59" s="2016">
        <f t="shared" si="2"/>
        <v>81542000000</v>
      </c>
    </row>
    <row r="60" spans="1:44">
      <c r="A60" s="2014"/>
      <c r="B60" s="2014"/>
      <c r="C60" s="2015"/>
      <c r="D60" s="2015"/>
      <c r="E60" s="1769"/>
      <c r="F60" s="1769"/>
      <c r="G60" s="1769"/>
      <c r="H60" s="1770"/>
      <c r="I60" s="2015"/>
      <c r="J60" s="2015"/>
      <c r="K60" s="2016"/>
      <c r="L60" s="2015"/>
      <c r="M60" s="2015"/>
      <c r="N60" s="2016"/>
      <c r="O60" s="2015"/>
      <c r="P60" s="2015"/>
      <c r="Q60" s="2016"/>
      <c r="R60" s="2015"/>
      <c r="S60" s="2015"/>
      <c r="T60" s="2016"/>
      <c r="U60" s="2015"/>
      <c r="V60" s="2015"/>
      <c r="W60" s="2016"/>
      <c r="X60" s="2015"/>
      <c r="Y60" s="2015"/>
      <c r="Z60" s="2016"/>
      <c r="AA60" s="2015"/>
      <c r="AB60" s="2015"/>
      <c r="AC60" s="2016"/>
      <c r="AD60" s="2015"/>
      <c r="AE60" s="2015"/>
      <c r="AF60" s="2016"/>
      <c r="AG60" s="2015"/>
      <c r="AH60" s="2015"/>
      <c r="AI60" s="2016"/>
      <c r="AJ60" s="2015"/>
      <c r="AK60" s="2015"/>
      <c r="AL60" s="2016"/>
      <c r="AM60" s="2015"/>
      <c r="AN60" s="2015"/>
      <c r="AO60" s="2016"/>
      <c r="AP60" s="2015"/>
      <c r="AQ60" s="2015"/>
      <c r="AR60" s="2016"/>
    </row>
    <row r="61" spans="1:44">
      <c r="A61" s="2014"/>
      <c r="B61" s="2014"/>
      <c r="C61" s="2015"/>
      <c r="D61" s="2015"/>
      <c r="E61" s="1769"/>
      <c r="F61" s="1769"/>
      <c r="G61" s="1769"/>
      <c r="H61" s="1770"/>
      <c r="I61" s="2015"/>
      <c r="J61" s="2015"/>
      <c r="K61" s="2016"/>
      <c r="L61" s="2015"/>
      <c r="M61" s="2015"/>
      <c r="N61" s="2016"/>
      <c r="O61" s="2015"/>
      <c r="P61" s="2015"/>
      <c r="Q61" s="2016"/>
      <c r="R61" s="2015"/>
      <c r="S61" s="2015"/>
      <c r="T61" s="2016"/>
      <c r="U61" s="2015"/>
      <c r="V61" s="2015"/>
      <c r="W61" s="2016"/>
      <c r="X61" s="2015"/>
      <c r="Y61" s="2015"/>
      <c r="Z61" s="2016"/>
      <c r="AA61" s="2015"/>
      <c r="AB61" s="2015"/>
      <c r="AC61" s="2016"/>
      <c r="AD61" s="2015"/>
      <c r="AE61" s="2015"/>
      <c r="AF61" s="2016"/>
      <c r="AG61" s="2015"/>
      <c r="AH61" s="2015"/>
      <c r="AI61" s="2016"/>
      <c r="AJ61" s="2015"/>
      <c r="AK61" s="2015"/>
      <c r="AL61" s="2016"/>
      <c r="AM61" s="2015"/>
      <c r="AN61" s="2015"/>
      <c r="AO61" s="2016"/>
      <c r="AP61" s="2015"/>
      <c r="AQ61" s="2015"/>
      <c r="AR61" s="2016"/>
    </row>
    <row r="62" spans="1:44">
      <c r="A62" s="2014"/>
      <c r="B62" s="2014"/>
      <c r="C62" s="2015"/>
      <c r="D62" s="2015"/>
      <c r="E62" s="1769"/>
      <c r="F62" s="1769"/>
      <c r="G62" s="1769"/>
      <c r="H62" s="1770"/>
      <c r="I62" s="2015"/>
      <c r="J62" s="2015"/>
      <c r="K62" s="2016"/>
      <c r="L62" s="2015"/>
      <c r="M62" s="2015"/>
      <c r="N62" s="2016"/>
      <c r="O62" s="2015"/>
      <c r="P62" s="2015"/>
      <c r="Q62" s="2016"/>
      <c r="R62" s="2015"/>
      <c r="S62" s="2015"/>
      <c r="T62" s="2016"/>
      <c r="U62" s="2015"/>
      <c r="V62" s="2015"/>
      <c r="W62" s="2016"/>
      <c r="X62" s="2015"/>
      <c r="Y62" s="2015"/>
      <c r="Z62" s="2016"/>
      <c r="AA62" s="2015"/>
      <c r="AB62" s="2015"/>
      <c r="AC62" s="2016"/>
      <c r="AD62" s="2015"/>
      <c r="AE62" s="2015"/>
      <c r="AF62" s="2016"/>
      <c r="AG62" s="2015"/>
      <c r="AH62" s="2015"/>
      <c r="AI62" s="2016"/>
      <c r="AJ62" s="2015"/>
      <c r="AK62" s="2015"/>
      <c r="AL62" s="2016"/>
      <c r="AM62" s="2015"/>
      <c r="AN62" s="2015"/>
      <c r="AO62" s="2016"/>
      <c r="AP62" s="2015"/>
      <c r="AQ62" s="2015"/>
      <c r="AR62" s="2016"/>
    </row>
    <row r="63" spans="1:44" s="2022" customFormat="1" ht="12.3">
      <c r="A63" s="2010" t="s">
        <v>3323</v>
      </c>
      <c r="B63" s="2010" t="s">
        <v>3272</v>
      </c>
      <c r="C63" s="2005">
        <f t="shared" ref="C63:H63" si="3">SUM(C64:C72,C121, C122,C125,C126)</f>
        <v>32220524965.84</v>
      </c>
      <c r="D63" s="2005">
        <f t="shared" si="3"/>
        <v>35943697690.839996</v>
      </c>
      <c r="E63" s="2005" t="e">
        <f t="shared" si="3"/>
        <v>#REF!</v>
      </c>
      <c r="F63" s="2005" t="e">
        <f t="shared" si="3"/>
        <v>#REF!</v>
      </c>
      <c r="G63" s="2005" t="e">
        <f t="shared" si="3"/>
        <v>#REF!</v>
      </c>
      <c r="H63" s="2011">
        <f t="shared" si="3"/>
        <v>239765893466.5946</v>
      </c>
      <c r="I63" s="2012">
        <f>SUM(I64:I72,I121,I122,I125,I126)</f>
        <v>126360977007.03845</v>
      </c>
      <c r="J63" s="2012">
        <f>SUM(J64:J72,J121,J122,J125,J126)</f>
        <v>137609872361</v>
      </c>
      <c r="K63" s="2013">
        <f>SUM(K64:K72,K121,K122,K125,K126)</f>
        <v>263970849368.03845</v>
      </c>
      <c r="L63" s="2012">
        <f t="shared" ref="L63:AR63" si="4">SUM(L64:L72,L121,L122,L125,L126)</f>
        <v>144917158600.60001</v>
      </c>
      <c r="M63" s="2012">
        <f t="shared" si="4"/>
        <v>131384813875.39999</v>
      </c>
      <c r="N63" s="2013">
        <f t="shared" si="4"/>
        <v>276301972476</v>
      </c>
      <c r="O63" s="2012">
        <f t="shared" si="4"/>
        <v>140241469807</v>
      </c>
      <c r="P63" s="2012">
        <f t="shared" si="4"/>
        <v>125539656831</v>
      </c>
      <c r="Q63" s="2013">
        <f t="shared" si="4"/>
        <v>265781126638</v>
      </c>
      <c r="R63" s="2012">
        <f t="shared" si="4"/>
        <v>138778120432</v>
      </c>
      <c r="S63" s="2012">
        <f t="shared" si="4"/>
        <v>121656783445</v>
      </c>
      <c r="T63" s="2013">
        <f t="shared" si="4"/>
        <v>260434903877</v>
      </c>
      <c r="U63" s="2012">
        <f t="shared" si="4"/>
        <v>132577756428</v>
      </c>
      <c r="V63" s="2012">
        <f t="shared" si="4"/>
        <v>115410382314</v>
      </c>
      <c r="W63" s="2013">
        <f t="shared" si="4"/>
        <v>247988138742</v>
      </c>
      <c r="X63" s="2012">
        <f t="shared" si="4"/>
        <v>130019863556</v>
      </c>
      <c r="Y63" s="2012">
        <f t="shared" si="4"/>
        <v>109824640826</v>
      </c>
      <c r="Z63" s="2013">
        <f t="shared" si="4"/>
        <v>239844504382</v>
      </c>
      <c r="AA63" s="2012">
        <f t="shared" si="4"/>
        <v>124081236508</v>
      </c>
      <c r="AB63" s="2012">
        <f t="shared" si="4"/>
        <v>106567312112</v>
      </c>
      <c r="AC63" s="2013">
        <f t="shared" si="4"/>
        <v>230648548620</v>
      </c>
      <c r="AD63" s="2012">
        <f t="shared" si="4"/>
        <v>117549907726</v>
      </c>
      <c r="AE63" s="2012">
        <f t="shared" si="4"/>
        <v>99737151595</v>
      </c>
      <c r="AF63" s="2013">
        <f t="shared" si="4"/>
        <v>217287059321</v>
      </c>
      <c r="AG63" s="2012">
        <f t="shared" si="4"/>
        <v>110798260603</v>
      </c>
      <c r="AH63" s="2012">
        <f t="shared" si="4"/>
        <v>93881297820</v>
      </c>
      <c r="AI63" s="2013">
        <f t="shared" si="4"/>
        <v>204679558423</v>
      </c>
      <c r="AJ63" s="2012">
        <f t="shared" si="4"/>
        <v>111166081415</v>
      </c>
      <c r="AK63" s="2012">
        <f t="shared" si="4"/>
        <v>90697000909</v>
      </c>
      <c r="AL63" s="2013">
        <f t="shared" si="4"/>
        <v>201863082324</v>
      </c>
      <c r="AM63" s="2012">
        <f>SUM(AM64:AM72,AM121,AM122,AM125,AM126)</f>
        <v>109123660244</v>
      </c>
      <c r="AN63" s="2012">
        <f t="shared" si="4"/>
        <v>87261285710</v>
      </c>
      <c r="AO63" s="2013">
        <f t="shared" si="4"/>
        <v>196384945954</v>
      </c>
      <c r="AP63" s="2012">
        <f t="shared" si="4"/>
        <v>103241812176</v>
      </c>
      <c r="AQ63" s="2012">
        <f t="shared" si="4"/>
        <v>83733428323</v>
      </c>
      <c r="AR63" s="2013">
        <f t="shared" si="4"/>
        <v>186975240499</v>
      </c>
    </row>
    <row r="64" spans="1:44" s="2022" customFormat="1" ht="12.3">
      <c r="A64" s="2014" t="s">
        <v>3324</v>
      </c>
      <c r="B64" s="2014" t="s">
        <v>3272</v>
      </c>
      <c r="C64" s="2015">
        <v>2478271168</v>
      </c>
      <c r="D64" s="2015">
        <v>2286782092</v>
      </c>
      <c r="E64" s="2015">
        <v>2055070171</v>
      </c>
      <c r="F64" s="2015">
        <v>1796316631</v>
      </c>
      <c r="G64" s="2015">
        <v>1493313146</v>
      </c>
      <c r="H64" s="2016">
        <v>2286782092</v>
      </c>
      <c r="I64" s="2015">
        <v>218766080</v>
      </c>
      <c r="J64" s="2015">
        <v>93099649</v>
      </c>
      <c r="K64" s="2016">
        <v>311865729</v>
      </c>
      <c r="L64" s="2015"/>
      <c r="M64" s="2015"/>
      <c r="N64" s="2016">
        <v>0</v>
      </c>
      <c r="O64" s="2015"/>
      <c r="P64" s="2015"/>
      <c r="Q64" s="2016">
        <v>0</v>
      </c>
      <c r="R64" s="2015"/>
      <c r="S64" s="2015"/>
      <c r="T64" s="2016">
        <v>0</v>
      </c>
      <c r="U64" s="2015"/>
      <c r="V64" s="2015"/>
      <c r="W64" s="2016">
        <v>0</v>
      </c>
      <c r="X64" s="2015"/>
      <c r="Y64" s="2015"/>
      <c r="Z64" s="2016">
        <v>0</v>
      </c>
      <c r="AA64" s="2015"/>
      <c r="AB64" s="2015"/>
      <c r="AC64" s="2016">
        <v>0</v>
      </c>
      <c r="AD64" s="2015"/>
      <c r="AE64" s="2015"/>
      <c r="AF64" s="2016">
        <v>0</v>
      </c>
      <c r="AG64" s="2015"/>
      <c r="AH64" s="2015"/>
      <c r="AI64" s="2016">
        <v>0</v>
      </c>
      <c r="AJ64" s="2015"/>
      <c r="AK64" s="2015"/>
      <c r="AL64" s="2016">
        <v>0</v>
      </c>
      <c r="AM64" s="2015"/>
      <c r="AN64" s="2015"/>
      <c r="AO64" s="2016">
        <v>0</v>
      </c>
      <c r="AP64" s="2015"/>
      <c r="AQ64" s="2015"/>
      <c r="AR64" s="2016">
        <v>0</v>
      </c>
    </row>
    <row r="65" spans="1:44" s="2022" customFormat="1" ht="12.3">
      <c r="A65" s="2014" t="s">
        <v>3550</v>
      </c>
      <c r="B65" s="2014" t="s">
        <v>3272</v>
      </c>
      <c r="C65" s="2015"/>
      <c r="D65" s="2015"/>
      <c r="E65" s="2015"/>
      <c r="F65" s="2015"/>
      <c r="G65" s="2015"/>
      <c r="H65" s="2016"/>
      <c r="I65" s="2015">
        <v>2337763781</v>
      </c>
      <c r="J65" s="2015">
        <v>2330273977</v>
      </c>
      <c r="K65" s="2016">
        <v>4668037758</v>
      </c>
      <c r="L65" s="2015">
        <v>2344168613</v>
      </c>
      <c r="M65" s="2015">
        <v>2331358949</v>
      </c>
      <c r="N65" s="2016">
        <v>4675527562</v>
      </c>
      <c r="O65" s="2015">
        <v>2324166966</v>
      </c>
      <c r="P65" s="2015">
        <v>2226500287</v>
      </c>
      <c r="Q65" s="2016">
        <v>4550667253</v>
      </c>
      <c r="R65" s="2015">
        <v>2148788656</v>
      </c>
      <c r="S65" s="2015">
        <v>2046680243</v>
      </c>
      <c r="T65" s="2016">
        <v>4195468899</v>
      </c>
      <c r="U65" s="2015">
        <v>1942623925</v>
      </c>
      <c r="V65" s="2015">
        <v>1824472067</v>
      </c>
      <c r="W65" s="2016">
        <v>3767095992</v>
      </c>
      <c r="X65" s="2015">
        <v>1716697165</v>
      </c>
      <c r="Y65" s="2015">
        <v>1579261491</v>
      </c>
      <c r="Z65" s="2016">
        <v>3295958656</v>
      </c>
      <c r="AA65" s="2015">
        <v>1451703220</v>
      </c>
      <c r="AB65" s="2015">
        <v>1296919288</v>
      </c>
      <c r="AC65" s="2016">
        <v>2748622508</v>
      </c>
      <c r="AD65" s="2015">
        <v>1147616629</v>
      </c>
      <c r="AE65" s="2015">
        <v>976477175</v>
      </c>
      <c r="AF65" s="2016">
        <v>2124093804</v>
      </c>
      <c r="AG65" s="2015">
        <v>796700769</v>
      </c>
      <c r="AH65" s="2015">
        <v>600932963</v>
      </c>
      <c r="AI65" s="2016">
        <v>1397633732</v>
      </c>
      <c r="AJ65" s="2015">
        <v>398345144</v>
      </c>
      <c r="AK65" s="2015">
        <v>174601421</v>
      </c>
      <c r="AL65" s="2016">
        <v>572946565</v>
      </c>
      <c r="AM65" s="2015"/>
      <c r="AN65" s="2015"/>
      <c r="AO65" s="2016"/>
      <c r="AP65" s="2015"/>
      <c r="AQ65" s="2015"/>
      <c r="AR65" s="2016">
        <v>0</v>
      </c>
    </row>
    <row r="66" spans="1:44" s="2022" customFormat="1" ht="12.3">
      <c r="A66" s="2014" t="s">
        <v>3663</v>
      </c>
      <c r="B66" s="2014" t="s">
        <v>3272</v>
      </c>
      <c r="C66" s="2015"/>
      <c r="D66" s="2015"/>
      <c r="E66" s="2015"/>
      <c r="F66" s="2015"/>
      <c r="G66" s="2015"/>
      <c r="H66" s="2016"/>
      <c r="I66" s="2015"/>
      <c r="J66" s="2015">
        <v>69511793</v>
      </c>
      <c r="K66" s="2016">
        <v>69511793</v>
      </c>
      <c r="M66" s="2015"/>
      <c r="N66" s="2016"/>
      <c r="O66" s="2015"/>
      <c r="P66" s="2015"/>
      <c r="Q66" s="2016"/>
      <c r="R66" s="2015"/>
      <c r="S66" s="2015"/>
      <c r="T66" s="2016"/>
      <c r="U66" s="2015"/>
      <c r="V66" s="2015"/>
      <c r="W66" s="2016"/>
      <c r="X66" s="2015"/>
      <c r="Y66" s="2015"/>
      <c r="Z66" s="2016"/>
      <c r="AA66" s="2015"/>
      <c r="AB66" s="2015"/>
      <c r="AC66" s="2016"/>
      <c r="AD66" s="2015"/>
      <c r="AE66" s="2015"/>
      <c r="AF66" s="2016"/>
      <c r="AG66" s="2015"/>
      <c r="AH66" s="2015"/>
      <c r="AI66" s="2016"/>
      <c r="AJ66" s="2015"/>
      <c r="AK66" s="2015"/>
      <c r="AL66" s="2016"/>
      <c r="AM66" s="2015"/>
      <c r="AN66" s="2015"/>
      <c r="AO66" s="2016"/>
      <c r="AP66" s="2015"/>
      <c r="AQ66" s="2015"/>
      <c r="AR66" s="2016"/>
    </row>
    <row r="67" spans="1:44" s="2022" customFormat="1" ht="12.3">
      <c r="A67" s="2014" t="s">
        <v>3502</v>
      </c>
      <c r="B67" s="2014" t="s">
        <v>3272</v>
      </c>
      <c r="C67" s="2015">
        <v>1737246576</v>
      </c>
      <c r="D67" s="2015">
        <v>3320670366</v>
      </c>
      <c r="E67" s="2015">
        <v>2774638047</v>
      </c>
      <c r="F67" s="2015">
        <v>2024978759</v>
      </c>
      <c r="G67" s="2015">
        <v>1149825252</v>
      </c>
      <c r="H67" s="2016">
        <v>3320670366</v>
      </c>
      <c r="I67" s="2015">
        <v>1649642799</v>
      </c>
      <c r="J67" s="2015">
        <v>0</v>
      </c>
      <c r="K67" s="2016">
        <v>1649642799</v>
      </c>
      <c r="L67" s="2015">
        <v>0</v>
      </c>
      <c r="M67" s="2015">
        <v>0</v>
      </c>
      <c r="N67" s="2016">
        <v>0</v>
      </c>
      <c r="O67" s="2015">
        <v>0</v>
      </c>
      <c r="P67" s="2015">
        <v>0</v>
      </c>
      <c r="Q67" s="2016">
        <v>0</v>
      </c>
      <c r="R67" s="2015">
        <v>0</v>
      </c>
      <c r="S67" s="2015">
        <v>0</v>
      </c>
      <c r="T67" s="2016">
        <v>0</v>
      </c>
      <c r="U67" s="2015">
        <v>0</v>
      </c>
      <c r="V67" s="2015">
        <v>0</v>
      </c>
      <c r="W67" s="2016">
        <v>0</v>
      </c>
      <c r="X67" s="2015">
        <v>0</v>
      </c>
      <c r="Y67" s="2015">
        <v>0</v>
      </c>
      <c r="Z67" s="2016">
        <v>0</v>
      </c>
      <c r="AA67" s="2015">
        <v>0</v>
      </c>
      <c r="AB67" s="2015">
        <v>0</v>
      </c>
      <c r="AC67" s="2016">
        <v>0</v>
      </c>
      <c r="AD67" s="2015">
        <v>0</v>
      </c>
      <c r="AE67" s="2015">
        <v>0</v>
      </c>
      <c r="AF67" s="2016">
        <v>0</v>
      </c>
      <c r="AG67" s="2015">
        <v>0</v>
      </c>
      <c r="AH67" s="2015">
        <v>0</v>
      </c>
      <c r="AI67" s="2016">
        <v>0</v>
      </c>
      <c r="AJ67" s="2015">
        <v>0</v>
      </c>
      <c r="AK67" s="2015">
        <v>0</v>
      </c>
      <c r="AL67" s="2016">
        <v>0</v>
      </c>
      <c r="AM67" s="2015">
        <v>0</v>
      </c>
      <c r="AN67" s="2015">
        <v>0</v>
      </c>
      <c r="AO67" s="2016">
        <v>0</v>
      </c>
      <c r="AP67" s="2015">
        <v>0</v>
      </c>
      <c r="AQ67" s="2015">
        <v>0</v>
      </c>
      <c r="AR67" s="2016">
        <v>0</v>
      </c>
    </row>
    <row r="68" spans="1:44" s="2022" customFormat="1" ht="12.3">
      <c r="A68" s="2014" t="s">
        <v>3557</v>
      </c>
      <c r="B68" s="2014" t="s">
        <v>3272</v>
      </c>
      <c r="C68" s="2015">
        <v>687871662.84000003</v>
      </c>
      <c r="D68" s="2015">
        <v>687871662.84000003</v>
      </c>
      <c r="E68" s="2015">
        <v>486066444.94</v>
      </c>
      <c r="F68" s="2015">
        <v>0</v>
      </c>
      <c r="G68" s="2015">
        <v>204669931.56999999</v>
      </c>
      <c r="H68" s="2016">
        <v>23852281</v>
      </c>
      <c r="I68" s="2015">
        <v>0</v>
      </c>
      <c r="J68" s="2015">
        <v>0</v>
      </c>
      <c r="K68" s="2016">
        <v>0</v>
      </c>
      <c r="L68" s="2015">
        <v>0</v>
      </c>
      <c r="M68" s="2015">
        <v>0</v>
      </c>
      <c r="N68" s="2016">
        <v>0</v>
      </c>
      <c r="O68" s="2015">
        <v>0</v>
      </c>
      <c r="P68" s="2015">
        <v>0</v>
      </c>
      <c r="Q68" s="2016">
        <v>0</v>
      </c>
      <c r="R68" s="2015">
        <v>0</v>
      </c>
      <c r="S68" s="2015">
        <v>0</v>
      </c>
      <c r="T68" s="2016">
        <v>0</v>
      </c>
      <c r="U68" s="2015">
        <v>0</v>
      </c>
      <c r="V68" s="2015">
        <v>0</v>
      </c>
      <c r="W68" s="2016">
        <v>0</v>
      </c>
      <c r="X68" s="2015">
        <v>0</v>
      </c>
      <c r="Y68" s="2015">
        <v>0</v>
      </c>
      <c r="Z68" s="2016">
        <v>0</v>
      </c>
      <c r="AA68" s="2015">
        <v>0</v>
      </c>
      <c r="AB68" s="2015">
        <v>0</v>
      </c>
      <c r="AC68" s="2016">
        <v>0</v>
      </c>
      <c r="AD68" s="2015">
        <v>0</v>
      </c>
      <c r="AE68" s="2015">
        <v>0</v>
      </c>
      <c r="AF68" s="2016">
        <v>0</v>
      </c>
      <c r="AG68" s="2015">
        <v>0</v>
      </c>
      <c r="AH68" s="2015">
        <v>0</v>
      </c>
      <c r="AI68" s="2016">
        <v>0</v>
      </c>
      <c r="AJ68" s="2015">
        <v>0</v>
      </c>
      <c r="AK68" s="2015">
        <v>0</v>
      </c>
      <c r="AL68" s="2016">
        <v>0</v>
      </c>
      <c r="AM68" s="2015">
        <v>0</v>
      </c>
      <c r="AN68" s="2015">
        <v>0</v>
      </c>
      <c r="AO68" s="2016">
        <v>0</v>
      </c>
      <c r="AP68" s="2015">
        <v>0</v>
      </c>
      <c r="AQ68" s="2015">
        <v>0</v>
      </c>
      <c r="AR68" s="2016">
        <v>0</v>
      </c>
    </row>
    <row r="69" spans="1:44" s="2022" customFormat="1" ht="12.3">
      <c r="A69" s="2014" t="s">
        <v>3558</v>
      </c>
      <c r="B69" s="2014" t="s">
        <v>3272</v>
      </c>
      <c r="C69" s="2015">
        <v>375000000</v>
      </c>
      <c r="D69" s="2015" t="s">
        <v>782</v>
      </c>
      <c r="E69" s="2015">
        <v>0</v>
      </c>
      <c r="F69" s="2015">
        <v>0</v>
      </c>
      <c r="G69" s="2015">
        <v>0</v>
      </c>
      <c r="H69" s="2016">
        <v>0</v>
      </c>
      <c r="I69" s="2015">
        <v>0</v>
      </c>
      <c r="J69" s="2015">
        <v>0</v>
      </c>
      <c r="K69" s="2016">
        <v>0</v>
      </c>
      <c r="L69" s="2015">
        <v>0</v>
      </c>
      <c r="M69" s="2015">
        <v>0</v>
      </c>
      <c r="N69" s="2016">
        <v>0</v>
      </c>
      <c r="O69" s="2015">
        <v>0</v>
      </c>
      <c r="P69" s="2015">
        <v>0</v>
      </c>
      <c r="Q69" s="2016">
        <v>0</v>
      </c>
      <c r="R69" s="2015">
        <v>0</v>
      </c>
      <c r="S69" s="2015">
        <v>0</v>
      </c>
      <c r="T69" s="2016">
        <v>0</v>
      </c>
      <c r="U69" s="2015">
        <v>0</v>
      </c>
      <c r="V69" s="2015">
        <v>0</v>
      </c>
      <c r="W69" s="2016">
        <v>0</v>
      </c>
      <c r="X69" s="2015">
        <v>0</v>
      </c>
      <c r="Y69" s="2015">
        <v>0</v>
      </c>
      <c r="Z69" s="2016">
        <v>0</v>
      </c>
      <c r="AA69" s="2015">
        <v>0</v>
      </c>
      <c r="AB69" s="2015">
        <v>0</v>
      </c>
      <c r="AC69" s="2016">
        <v>0</v>
      </c>
      <c r="AD69" s="2015">
        <v>0</v>
      </c>
      <c r="AE69" s="2015">
        <v>0</v>
      </c>
      <c r="AF69" s="2016">
        <v>0</v>
      </c>
      <c r="AG69" s="2015">
        <v>0</v>
      </c>
      <c r="AH69" s="2015">
        <v>0</v>
      </c>
      <c r="AI69" s="2016">
        <v>0</v>
      </c>
      <c r="AJ69" s="2015">
        <v>0</v>
      </c>
      <c r="AK69" s="2015">
        <v>0</v>
      </c>
      <c r="AL69" s="2016">
        <v>0</v>
      </c>
      <c r="AM69" s="2015">
        <v>0</v>
      </c>
      <c r="AN69" s="2015">
        <v>0</v>
      </c>
      <c r="AO69" s="2016">
        <v>0</v>
      </c>
      <c r="AP69" s="2015">
        <v>0</v>
      </c>
      <c r="AQ69" s="2015">
        <v>0</v>
      </c>
      <c r="AR69" s="2016">
        <v>0</v>
      </c>
    </row>
    <row r="70" spans="1:44" s="2022" customFormat="1" ht="12.3">
      <c r="A70" s="2014" t="s">
        <v>3551</v>
      </c>
      <c r="B70" s="2014" t="s">
        <v>3272</v>
      </c>
      <c r="C70" s="2015">
        <v>44635559</v>
      </c>
      <c r="D70" s="2015" t="s">
        <v>782</v>
      </c>
      <c r="E70" s="2015">
        <v>0</v>
      </c>
      <c r="F70" s="2015">
        <v>0</v>
      </c>
      <c r="G70" s="2015">
        <v>0</v>
      </c>
      <c r="H70" s="2016">
        <v>0</v>
      </c>
      <c r="I70" s="2015">
        <v>0</v>
      </c>
      <c r="J70" s="2015">
        <v>0</v>
      </c>
      <c r="K70" s="2016">
        <v>0</v>
      </c>
      <c r="L70" s="2015">
        <v>0</v>
      </c>
      <c r="M70" s="2015">
        <v>0</v>
      </c>
      <c r="N70" s="2016">
        <v>0</v>
      </c>
      <c r="O70" s="2015">
        <v>0</v>
      </c>
      <c r="P70" s="2015">
        <v>0</v>
      </c>
      <c r="Q70" s="2016">
        <v>0</v>
      </c>
      <c r="R70" s="2015">
        <v>0</v>
      </c>
      <c r="S70" s="2015">
        <v>0</v>
      </c>
      <c r="T70" s="2016">
        <v>0</v>
      </c>
      <c r="U70" s="2015">
        <v>0</v>
      </c>
      <c r="V70" s="2015">
        <v>0</v>
      </c>
      <c r="W70" s="2016">
        <v>0</v>
      </c>
      <c r="X70" s="2015">
        <v>0</v>
      </c>
      <c r="Y70" s="2015">
        <v>0</v>
      </c>
      <c r="Z70" s="2016">
        <v>0</v>
      </c>
      <c r="AA70" s="2015">
        <v>0</v>
      </c>
      <c r="AB70" s="2015">
        <v>0</v>
      </c>
      <c r="AC70" s="2016">
        <v>0</v>
      </c>
      <c r="AD70" s="2015">
        <v>0</v>
      </c>
      <c r="AE70" s="2015">
        <v>0</v>
      </c>
      <c r="AF70" s="2016">
        <v>0</v>
      </c>
      <c r="AG70" s="2015">
        <v>0</v>
      </c>
      <c r="AH70" s="2015">
        <v>0</v>
      </c>
      <c r="AI70" s="2016">
        <v>0</v>
      </c>
      <c r="AJ70" s="2015">
        <v>0</v>
      </c>
      <c r="AK70" s="2015">
        <v>0</v>
      </c>
      <c r="AL70" s="2016">
        <v>0</v>
      </c>
      <c r="AM70" s="2015">
        <v>0</v>
      </c>
      <c r="AN70" s="2015">
        <v>0</v>
      </c>
      <c r="AO70" s="2016">
        <v>0</v>
      </c>
      <c r="AP70" s="2015">
        <v>0</v>
      </c>
      <c r="AQ70" s="2015">
        <v>0</v>
      </c>
      <c r="AR70" s="2016">
        <v>0</v>
      </c>
    </row>
    <row r="71" spans="1:44" s="2022" customFormat="1" ht="12.3">
      <c r="A71" s="2014" t="s">
        <v>3559</v>
      </c>
      <c r="B71" s="2014" t="s">
        <v>3368</v>
      </c>
      <c r="C71" s="2015"/>
      <c r="D71" s="2015">
        <v>3196498570</v>
      </c>
      <c r="E71" s="2015">
        <v>3581855051</v>
      </c>
      <c r="F71" s="2015">
        <v>4071167492</v>
      </c>
      <c r="G71" s="2015">
        <v>4244378111</v>
      </c>
      <c r="H71" s="2016">
        <v>2828266800</v>
      </c>
      <c r="I71" s="2015">
        <v>2264324165</v>
      </c>
      <c r="J71" s="2015">
        <v>1499661200</v>
      </c>
      <c r="K71" s="2016">
        <v>3763985365</v>
      </c>
      <c r="L71" s="2015">
        <v>1338270435.5999999</v>
      </c>
      <c r="M71" s="2015">
        <v>1839651388.4000001</v>
      </c>
      <c r="N71" s="2016">
        <v>3177921824</v>
      </c>
      <c r="O71" s="2015">
        <v>1191389142</v>
      </c>
      <c r="P71" s="2015">
        <v>1809079180</v>
      </c>
      <c r="Q71" s="2016">
        <v>3000468322</v>
      </c>
      <c r="R71" s="2015">
        <v>1376911926</v>
      </c>
      <c r="S71" s="2015">
        <v>1978974365</v>
      </c>
      <c r="T71" s="2016">
        <v>3355886291</v>
      </c>
      <c r="U71" s="2015">
        <v>1365479040</v>
      </c>
      <c r="V71" s="2015">
        <v>2053297798</v>
      </c>
      <c r="W71" s="2016">
        <v>3418776838</v>
      </c>
      <c r="X71" s="2015">
        <v>1521388956</v>
      </c>
      <c r="Y71" s="2015">
        <v>2221862163</v>
      </c>
      <c r="Z71" s="2016">
        <v>3743251119</v>
      </c>
      <c r="AA71" s="2015">
        <v>1611851130</v>
      </c>
      <c r="AB71" s="2015">
        <v>2346001680</v>
      </c>
      <c r="AC71" s="2016">
        <v>3957852810</v>
      </c>
      <c r="AD71" s="2015">
        <v>1695564966</v>
      </c>
      <c r="AE71" s="2015">
        <v>2464739303</v>
      </c>
      <c r="AF71" s="2016">
        <v>4160304269</v>
      </c>
      <c r="AG71" s="2015">
        <v>1617416256</v>
      </c>
      <c r="AH71" s="2015">
        <v>2474512292</v>
      </c>
      <c r="AI71" s="2016">
        <v>4091928548</v>
      </c>
      <c r="AJ71" s="2015">
        <v>1751879040</v>
      </c>
      <c r="AK71" s="2015">
        <v>2624833271</v>
      </c>
      <c r="AL71" s="2016">
        <v>4376712311</v>
      </c>
      <c r="AM71" s="2015">
        <v>1924379040</v>
      </c>
      <c r="AN71" s="2015">
        <v>2807295520</v>
      </c>
      <c r="AO71" s="2016">
        <v>4731674560</v>
      </c>
      <c r="AP71" s="2015">
        <v>1933407000</v>
      </c>
      <c r="AQ71" s="2015">
        <v>2883314160</v>
      </c>
      <c r="AR71" s="2016">
        <v>4816721160</v>
      </c>
    </row>
    <row r="72" spans="1:44" s="2022" customFormat="1" ht="12.3">
      <c r="A72" s="2014" t="s">
        <v>3552</v>
      </c>
      <c r="B72" s="2014" t="s">
        <v>3272</v>
      </c>
      <c r="C72" s="2015"/>
      <c r="D72" s="2015"/>
      <c r="E72" s="2015">
        <v>17378746752</v>
      </c>
      <c r="F72" s="2015">
        <v>753700665</v>
      </c>
      <c r="G72" s="2015">
        <v>4438861270.0823288</v>
      </c>
      <c r="H72" s="2016">
        <v>4634471318.21</v>
      </c>
      <c r="I72" s="2015">
        <v>2177497602</v>
      </c>
      <c r="J72" s="2015">
        <v>2092934589</v>
      </c>
      <c r="K72" s="2016">
        <v>4270432191</v>
      </c>
      <c r="L72" s="2015">
        <v>2008371575</v>
      </c>
      <c r="M72" s="2015">
        <v>1923808561</v>
      </c>
      <c r="N72" s="2016">
        <v>3932180136</v>
      </c>
      <c r="O72" s="2015">
        <v>1839245547</v>
      </c>
      <c r="P72" s="2015">
        <v>1754682534</v>
      </c>
      <c r="Q72" s="2016">
        <v>3593928081</v>
      </c>
      <c r="R72" s="2015">
        <v>1670119520</v>
      </c>
      <c r="S72" s="2015">
        <v>1585556507</v>
      </c>
      <c r="T72" s="2016">
        <v>3255676027</v>
      </c>
      <c r="U72" s="2015">
        <v>1500993493</v>
      </c>
      <c r="V72" s="2015">
        <v>1416430479</v>
      </c>
      <c r="W72" s="2016">
        <v>2917423972</v>
      </c>
      <c r="X72" s="2015">
        <v>1331867465</v>
      </c>
      <c r="Y72" s="2015">
        <v>1247304452</v>
      </c>
      <c r="Z72" s="2016">
        <v>2579171917</v>
      </c>
      <c r="AA72" s="2015">
        <v>1162741438</v>
      </c>
      <c r="AB72" s="2015">
        <v>1078178424</v>
      </c>
      <c r="AC72" s="2016">
        <v>2240919862</v>
      </c>
      <c r="AD72" s="2015">
        <v>993615411</v>
      </c>
      <c r="AE72" s="2015">
        <v>909052397</v>
      </c>
      <c r="AF72" s="2016">
        <v>1902667808</v>
      </c>
      <c r="AG72" s="2015">
        <v>824489383</v>
      </c>
      <c r="AH72" s="2015">
        <v>739926370</v>
      </c>
      <c r="AI72" s="2016">
        <v>1564415753</v>
      </c>
      <c r="AJ72" s="2015">
        <v>655363356</v>
      </c>
      <c r="AK72" s="2015">
        <v>570800342</v>
      </c>
      <c r="AL72" s="2016">
        <v>1226163698</v>
      </c>
      <c r="AM72" s="2015">
        <v>486237329</v>
      </c>
      <c r="AN72" s="2015">
        <v>401674315</v>
      </c>
      <c r="AO72" s="2016">
        <v>887911644</v>
      </c>
      <c r="AP72" s="2015">
        <v>317111301</v>
      </c>
      <c r="AQ72" s="2015">
        <v>232548288</v>
      </c>
      <c r="AR72" s="2016">
        <v>549659589</v>
      </c>
    </row>
    <row r="73" spans="1:44" s="2022" customFormat="1" ht="12.3">
      <c r="A73" s="2014" t="s">
        <v>3326</v>
      </c>
      <c r="B73" s="2014" t="s">
        <v>3272</v>
      </c>
      <c r="C73" s="2015">
        <v>1292500000</v>
      </c>
      <c r="D73" s="2015">
        <v>1292500000</v>
      </c>
      <c r="E73" s="2015">
        <v>1292500000</v>
      </c>
      <c r="F73" s="2015">
        <v>344281044</v>
      </c>
      <c r="G73" s="2015">
        <v>1292500000</v>
      </c>
      <c r="H73" s="2016">
        <v>1292500000</v>
      </c>
      <c r="I73" s="2015">
        <v>646250000</v>
      </c>
      <c r="J73" s="2015">
        <v>646250000</v>
      </c>
      <c r="K73" s="2016">
        <v>1292500000</v>
      </c>
      <c r="L73" s="2015">
        <v>0</v>
      </c>
      <c r="M73" s="2015">
        <v>0</v>
      </c>
      <c r="N73" s="2016">
        <v>0</v>
      </c>
      <c r="O73" s="2015">
        <v>0</v>
      </c>
      <c r="P73" s="2015">
        <v>0</v>
      </c>
      <c r="Q73" s="2016">
        <v>0</v>
      </c>
      <c r="R73" s="2015">
        <v>0</v>
      </c>
      <c r="S73" s="2015">
        <v>0</v>
      </c>
      <c r="T73" s="2016">
        <v>0</v>
      </c>
      <c r="U73" s="2015">
        <v>0</v>
      </c>
      <c r="V73" s="2015">
        <v>0</v>
      </c>
      <c r="W73" s="2016">
        <v>0</v>
      </c>
      <c r="X73" s="2015">
        <v>0</v>
      </c>
      <c r="Y73" s="2015">
        <v>0</v>
      </c>
      <c r="Z73" s="2016">
        <v>0</v>
      </c>
      <c r="AA73" s="2015">
        <v>0</v>
      </c>
      <c r="AB73" s="2015">
        <v>0</v>
      </c>
      <c r="AC73" s="2016">
        <v>0</v>
      </c>
      <c r="AD73" s="2015">
        <v>0</v>
      </c>
      <c r="AE73" s="2015">
        <v>0</v>
      </c>
      <c r="AF73" s="2016">
        <v>0</v>
      </c>
      <c r="AG73" s="2015">
        <v>0</v>
      </c>
      <c r="AH73" s="2015">
        <v>0</v>
      </c>
      <c r="AI73" s="2016">
        <v>0</v>
      </c>
      <c r="AJ73" s="2015">
        <v>0</v>
      </c>
      <c r="AK73" s="2015">
        <v>0</v>
      </c>
      <c r="AL73" s="2016">
        <v>0</v>
      </c>
      <c r="AM73" s="2015">
        <v>0</v>
      </c>
      <c r="AN73" s="2015">
        <v>0</v>
      </c>
      <c r="AO73" s="2016">
        <v>0</v>
      </c>
      <c r="AP73" s="2015">
        <v>0</v>
      </c>
      <c r="AQ73" s="2015">
        <v>0</v>
      </c>
      <c r="AR73" s="2016">
        <v>0</v>
      </c>
    </row>
    <row r="74" spans="1:44" s="2022" customFormat="1" ht="12.3">
      <c r="A74" s="2014" t="s">
        <v>3327</v>
      </c>
      <c r="B74" s="2014" t="s">
        <v>3272</v>
      </c>
      <c r="C74" s="2015">
        <v>1350000000</v>
      </c>
      <c r="D74" s="2015">
        <v>1350000000</v>
      </c>
      <c r="E74" s="2015">
        <v>4375000000</v>
      </c>
      <c r="F74" s="2015">
        <v>2672000000</v>
      </c>
      <c r="G74" s="2015">
        <v>4375000000</v>
      </c>
      <c r="H74" s="2016">
        <v>4375000000</v>
      </c>
      <c r="I74" s="2015">
        <v>2187500000</v>
      </c>
      <c r="J74" s="2015">
        <v>2187500000</v>
      </c>
      <c r="K74" s="2016">
        <v>4375000000</v>
      </c>
      <c r="L74" s="2015">
        <v>2187500000</v>
      </c>
      <c r="M74" s="2015">
        <v>2187500000</v>
      </c>
      <c r="N74" s="2016">
        <v>4375000000</v>
      </c>
      <c r="O74" s="2015">
        <v>2187500000</v>
      </c>
      <c r="P74" s="2015">
        <v>2187500000</v>
      </c>
      <c r="Q74" s="2016">
        <v>4375000000</v>
      </c>
      <c r="R74" s="2015">
        <v>2187500000</v>
      </c>
      <c r="S74" s="2015">
        <v>2187500000</v>
      </c>
      <c r="T74" s="2016">
        <v>4375000000</v>
      </c>
      <c r="U74" s="2015">
        <v>0</v>
      </c>
      <c r="V74" s="2015">
        <v>0</v>
      </c>
      <c r="W74" s="2016">
        <v>0</v>
      </c>
      <c r="X74" s="2015">
        <v>0</v>
      </c>
      <c r="Y74" s="2015"/>
      <c r="Z74" s="2016">
        <v>0</v>
      </c>
      <c r="AA74" s="2015">
        <v>0</v>
      </c>
      <c r="AB74" s="2015"/>
      <c r="AC74" s="2016">
        <v>0</v>
      </c>
      <c r="AD74" s="2015"/>
      <c r="AE74" s="2015">
        <v>0</v>
      </c>
      <c r="AF74" s="2016">
        <v>0</v>
      </c>
      <c r="AG74" s="2015">
        <v>0</v>
      </c>
      <c r="AH74" s="2015"/>
      <c r="AI74" s="2016">
        <v>0</v>
      </c>
      <c r="AJ74" s="2015">
        <v>0</v>
      </c>
      <c r="AK74" s="2015"/>
      <c r="AL74" s="2016">
        <v>0</v>
      </c>
      <c r="AM74" s="2015">
        <v>0</v>
      </c>
      <c r="AN74" s="2015"/>
      <c r="AO74" s="2016">
        <v>0</v>
      </c>
      <c r="AP74" s="2015">
        <v>0</v>
      </c>
      <c r="AQ74" s="2015">
        <v>0</v>
      </c>
      <c r="AR74" s="2016">
        <v>0</v>
      </c>
    </row>
    <row r="75" spans="1:44" s="2022" customFormat="1" ht="12.3">
      <c r="A75" s="2014" t="s">
        <v>3328</v>
      </c>
      <c r="B75" s="2014" t="s">
        <v>3272</v>
      </c>
      <c r="C75" s="2015">
        <v>885000000</v>
      </c>
      <c r="D75" s="2015" t="s">
        <v>782</v>
      </c>
      <c r="E75" s="2015">
        <v>3314546703.3000002</v>
      </c>
      <c r="F75" s="2015">
        <v>2653092350</v>
      </c>
      <c r="G75" s="2015">
        <v>11823660000</v>
      </c>
      <c r="H75" s="2016">
        <v>11823660000</v>
      </c>
      <c r="I75" s="2015">
        <v>5911830000</v>
      </c>
      <c r="J75" s="2015">
        <v>5911830000</v>
      </c>
      <c r="K75" s="2016">
        <v>11823660000</v>
      </c>
      <c r="L75" s="2015">
        <v>5911830000</v>
      </c>
      <c r="M75" s="2015">
        <v>5911830000</v>
      </c>
      <c r="N75" s="2016">
        <v>11823660000</v>
      </c>
      <c r="O75" s="2015">
        <v>5911830000</v>
      </c>
      <c r="P75" s="2015">
        <v>5911830000</v>
      </c>
      <c r="Q75" s="2016">
        <v>11823660000</v>
      </c>
      <c r="R75" s="2015">
        <v>5911830000</v>
      </c>
      <c r="S75" s="2015">
        <v>5911830000</v>
      </c>
      <c r="T75" s="2016">
        <v>11823660000</v>
      </c>
      <c r="U75" s="2015">
        <v>5911830000</v>
      </c>
      <c r="V75" s="2015">
        <v>5911830000</v>
      </c>
      <c r="W75" s="2016">
        <v>11823660000</v>
      </c>
      <c r="X75" s="2015">
        <v>5911830000</v>
      </c>
      <c r="Y75" s="2015">
        <v>5911830000</v>
      </c>
      <c r="Z75" s="2016">
        <v>11823660000</v>
      </c>
      <c r="AA75" s="2015">
        <v>5911830000</v>
      </c>
      <c r="AB75" s="2015">
        <v>5911830000</v>
      </c>
      <c r="AC75" s="2016">
        <v>11823660000</v>
      </c>
      <c r="AD75" s="2015"/>
      <c r="AE75" s="2015">
        <v>0</v>
      </c>
      <c r="AF75" s="2016">
        <v>0</v>
      </c>
      <c r="AG75" s="2015"/>
      <c r="AH75" s="2015"/>
      <c r="AI75" s="2016">
        <v>0</v>
      </c>
      <c r="AJ75" s="2015"/>
      <c r="AK75" s="2015"/>
      <c r="AL75" s="2016">
        <v>0</v>
      </c>
      <c r="AM75" s="2015"/>
      <c r="AN75" s="2015"/>
      <c r="AO75" s="2016">
        <v>0</v>
      </c>
      <c r="AP75" s="2015">
        <v>0</v>
      </c>
      <c r="AQ75" s="2015">
        <v>0</v>
      </c>
      <c r="AR75" s="2016">
        <v>0</v>
      </c>
    </row>
    <row r="76" spans="1:44" s="2022" customFormat="1" ht="12.3">
      <c r="A76" s="2014" t="s">
        <v>3329</v>
      </c>
      <c r="B76" s="2014" t="s">
        <v>3272</v>
      </c>
      <c r="C76" s="2015">
        <v>1800000000</v>
      </c>
      <c r="D76" s="2015">
        <v>900000000</v>
      </c>
      <c r="E76" s="2015">
        <v>1350000000</v>
      </c>
      <c r="F76" s="2015">
        <v>1292500000</v>
      </c>
      <c r="G76" s="2015">
        <v>3037500000</v>
      </c>
      <c r="H76" s="2016">
        <v>16255369575</v>
      </c>
      <c r="I76" s="2015">
        <v>7240956525</v>
      </c>
      <c r="J76" s="2015">
        <v>7240956525</v>
      </c>
      <c r="K76" s="2016">
        <v>14481913050</v>
      </c>
      <c r="L76" s="2015">
        <v>7240956525</v>
      </c>
      <c r="M76" s="2015">
        <v>7240956525</v>
      </c>
      <c r="N76" s="2016">
        <v>14481913050</v>
      </c>
      <c r="O76" s="2015">
        <v>7240956525</v>
      </c>
      <c r="P76" s="2015">
        <v>7240956525</v>
      </c>
      <c r="Q76" s="2016">
        <v>14481913050</v>
      </c>
      <c r="R76" s="2015">
        <v>7240956525</v>
      </c>
      <c r="S76" s="2015">
        <v>7240956525</v>
      </c>
      <c r="T76" s="2016">
        <v>14481913050</v>
      </c>
      <c r="U76" s="2015">
        <v>7240956525</v>
      </c>
      <c r="V76" s="2015">
        <v>7240956525</v>
      </c>
      <c r="W76" s="2016">
        <v>14481913050</v>
      </c>
      <c r="X76" s="2015">
        <v>7240956525</v>
      </c>
      <c r="Y76" s="2015">
        <v>7240956525</v>
      </c>
      <c r="Z76" s="2016">
        <v>14481913050</v>
      </c>
      <c r="AA76" s="2015">
        <v>7240956525</v>
      </c>
      <c r="AB76" s="2015">
        <v>7240956525</v>
      </c>
      <c r="AC76" s="2016">
        <v>14481913050</v>
      </c>
      <c r="AD76" s="2015">
        <v>7240956525</v>
      </c>
      <c r="AE76" s="2015">
        <v>7240956525</v>
      </c>
      <c r="AF76" s="2016">
        <v>14481913050</v>
      </c>
      <c r="AG76" s="2015"/>
      <c r="AH76" s="2015"/>
      <c r="AI76" s="2016">
        <v>0</v>
      </c>
      <c r="AJ76" s="2015"/>
      <c r="AK76" s="2015"/>
      <c r="AL76" s="2016">
        <v>0</v>
      </c>
      <c r="AM76" s="2015"/>
      <c r="AN76" s="2015"/>
      <c r="AO76" s="2016">
        <v>0</v>
      </c>
      <c r="AP76" s="2015">
        <v>0</v>
      </c>
      <c r="AQ76" s="2015">
        <v>0</v>
      </c>
      <c r="AR76" s="2016">
        <v>0</v>
      </c>
    </row>
    <row r="77" spans="1:44" s="2022" customFormat="1" ht="12.3">
      <c r="A77" s="2014" t="s">
        <v>3358</v>
      </c>
      <c r="B77" s="2014" t="s">
        <v>3272</v>
      </c>
      <c r="C77" s="2015"/>
      <c r="D77" s="2015"/>
      <c r="E77" s="2015"/>
      <c r="F77" s="2015"/>
      <c r="G77" s="2015"/>
      <c r="H77" s="2016">
        <v>3839070640</v>
      </c>
      <c r="I77" s="2015">
        <v>2079160320</v>
      </c>
      <c r="J77" s="2015">
        <v>2079160320</v>
      </c>
      <c r="K77" s="2016">
        <v>4158320640</v>
      </c>
      <c r="L77" s="2015">
        <v>2079160320</v>
      </c>
      <c r="M77" s="2015">
        <v>2079160320</v>
      </c>
      <c r="N77" s="2016">
        <v>4158320640</v>
      </c>
      <c r="O77" s="2015">
        <v>2079160320</v>
      </c>
      <c r="P77" s="2015">
        <v>2079160320</v>
      </c>
      <c r="Q77" s="2016">
        <v>4158320640</v>
      </c>
      <c r="R77" s="2015">
        <v>2079160320</v>
      </c>
      <c r="S77" s="2015">
        <v>2079160320</v>
      </c>
      <c r="T77" s="2016">
        <v>4158320640</v>
      </c>
      <c r="U77" s="2015">
        <v>2079160320</v>
      </c>
      <c r="V77" s="2015">
        <v>2079160320</v>
      </c>
      <c r="W77" s="2016">
        <v>4158320640</v>
      </c>
      <c r="X77" s="2015">
        <v>2079160320</v>
      </c>
      <c r="Y77" s="2015">
        <v>2079160320</v>
      </c>
      <c r="Z77" s="2016">
        <v>4158320640</v>
      </c>
      <c r="AA77" s="2015">
        <v>2079160320</v>
      </c>
      <c r="AB77" s="2015">
        <v>2079160320</v>
      </c>
      <c r="AC77" s="2016">
        <v>4158320640</v>
      </c>
      <c r="AD77" s="2015">
        <v>2079160320</v>
      </c>
      <c r="AE77" s="2015">
        <v>2079160320</v>
      </c>
      <c r="AF77" s="2016">
        <v>4158320640</v>
      </c>
      <c r="AG77" s="2015">
        <v>2079160320</v>
      </c>
      <c r="AH77" s="2015">
        <v>2079160320</v>
      </c>
      <c r="AI77" s="2016">
        <v>4158320640</v>
      </c>
      <c r="AJ77" s="2015"/>
      <c r="AK77" s="2015"/>
      <c r="AL77" s="2016">
        <v>0</v>
      </c>
      <c r="AM77" s="2015"/>
      <c r="AN77" s="2015"/>
      <c r="AO77" s="2016">
        <v>0</v>
      </c>
      <c r="AP77" s="2015">
        <v>0</v>
      </c>
      <c r="AQ77" s="2015">
        <v>0</v>
      </c>
      <c r="AR77" s="2016">
        <v>0</v>
      </c>
    </row>
    <row r="78" spans="1:44" s="2022" customFormat="1" ht="12.3">
      <c r="A78" s="2014" t="s">
        <v>3330</v>
      </c>
      <c r="B78" s="2014" t="s">
        <v>3272</v>
      </c>
      <c r="C78" s="2015">
        <v>1800000000</v>
      </c>
      <c r="D78" s="2015">
        <v>1800000000</v>
      </c>
      <c r="E78" s="2015">
        <v>4392500000</v>
      </c>
      <c r="F78" s="2015">
        <v>4375000000</v>
      </c>
      <c r="G78" s="2015">
        <v>3645000000</v>
      </c>
      <c r="H78" s="2016">
        <v>3645000000</v>
      </c>
      <c r="I78" s="2015">
        <v>1822500000</v>
      </c>
      <c r="J78" s="2015">
        <v>1822500000</v>
      </c>
      <c r="K78" s="2016">
        <v>3645000000</v>
      </c>
      <c r="L78" s="2015">
        <v>1822500000</v>
      </c>
      <c r="M78" s="2015">
        <v>1822500000</v>
      </c>
      <c r="N78" s="2016">
        <v>3645000000</v>
      </c>
      <c r="O78" s="2015">
        <v>1822500000</v>
      </c>
      <c r="P78" s="2015">
        <v>1822500000</v>
      </c>
      <c r="Q78" s="2016">
        <v>3645000000</v>
      </c>
      <c r="R78" s="2015">
        <v>1822500000</v>
      </c>
      <c r="S78" s="2015">
        <v>1822500000</v>
      </c>
      <c r="T78" s="2016">
        <v>3645000000</v>
      </c>
      <c r="U78" s="2015">
        <v>1822500000</v>
      </c>
      <c r="V78" s="2015">
        <v>1822500000</v>
      </c>
      <c r="W78" s="2016">
        <v>3645000000</v>
      </c>
      <c r="X78" s="2015">
        <v>1822500000</v>
      </c>
      <c r="Y78" s="2015">
        <v>1822500000</v>
      </c>
      <c r="Z78" s="2016">
        <v>3645000000</v>
      </c>
      <c r="AA78" s="2015">
        <v>0</v>
      </c>
      <c r="AB78" s="2015">
        <v>0</v>
      </c>
      <c r="AC78" s="2016">
        <v>0</v>
      </c>
      <c r="AD78" s="2015">
        <v>0</v>
      </c>
      <c r="AE78" s="2015">
        <v>0</v>
      </c>
      <c r="AF78" s="2016">
        <v>0</v>
      </c>
      <c r="AG78" s="2015">
        <v>0</v>
      </c>
      <c r="AH78" s="2015">
        <v>0</v>
      </c>
      <c r="AI78" s="2016">
        <v>0</v>
      </c>
      <c r="AJ78" s="2015">
        <v>0</v>
      </c>
      <c r="AK78" s="2015">
        <v>0</v>
      </c>
      <c r="AL78" s="2016">
        <v>0</v>
      </c>
      <c r="AM78" s="2015">
        <v>0</v>
      </c>
      <c r="AN78" s="2015">
        <v>0</v>
      </c>
      <c r="AO78" s="2016">
        <v>0</v>
      </c>
      <c r="AP78" s="2015">
        <v>0</v>
      </c>
      <c r="AQ78" s="2015">
        <v>0</v>
      </c>
      <c r="AR78" s="2016">
        <v>0</v>
      </c>
    </row>
    <row r="79" spans="1:44" s="2022" customFormat="1" ht="12.3">
      <c r="A79" s="2014" t="s">
        <v>3331</v>
      </c>
      <c r="B79" s="2014" t="s">
        <v>3272</v>
      </c>
      <c r="C79" s="2015">
        <v>1237500000</v>
      </c>
      <c r="D79" s="2015">
        <v>1237500000</v>
      </c>
      <c r="E79" s="2015">
        <v>5160000000</v>
      </c>
      <c r="F79" s="2015">
        <v>8400000000</v>
      </c>
      <c r="G79" s="2015">
        <v>1350000000</v>
      </c>
      <c r="H79" s="2016">
        <v>1350000000</v>
      </c>
      <c r="I79" s="2015">
        <v>675000000</v>
      </c>
      <c r="J79" s="2015">
        <v>675000000</v>
      </c>
      <c r="K79" s="2016">
        <v>1350000000</v>
      </c>
      <c r="L79" s="2015">
        <v>675000000</v>
      </c>
      <c r="M79" s="2015">
        <v>675000000</v>
      </c>
      <c r="N79" s="2016">
        <v>1350000000</v>
      </c>
      <c r="O79" s="2015">
        <v>675000000</v>
      </c>
      <c r="P79" s="2015">
        <v>675000000</v>
      </c>
      <c r="Q79" s="2016">
        <v>1350000000</v>
      </c>
      <c r="R79" s="2015">
        <v>675000000</v>
      </c>
      <c r="S79" s="2015">
        <v>675000000</v>
      </c>
      <c r="T79" s="2016">
        <v>1350000000</v>
      </c>
      <c r="U79" s="2015">
        <v>675000000</v>
      </c>
      <c r="V79" s="2015">
        <v>675000000</v>
      </c>
      <c r="W79" s="2016">
        <v>1350000000</v>
      </c>
      <c r="X79" s="2015">
        <v>675000000</v>
      </c>
      <c r="Y79" s="2015">
        <v>675000000</v>
      </c>
      <c r="Z79" s="2016">
        <v>1350000000</v>
      </c>
      <c r="AA79" s="2015">
        <v>675000000</v>
      </c>
      <c r="AB79" s="2015">
        <v>675000000</v>
      </c>
      <c r="AC79" s="2016">
        <v>1350000000</v>
      </c>
      <c r="AD79" s="2015"/>
      <c r="AE79" s="2015"/>
      <c r="AF79" s="2016">
        <v>0</v>
      </c>
      <c r="AG79" s="2015"/>
      <c r="AH79" s="2015"/>
      <c r="AI79" s="2016">
        <v>0</v>
      </c>
      <c r="AJ79" s="2015"/>
      <c r="AK79" s="2015"/>
      <c r="AL79" s="2016">
        <v>0</v>
      </c>
      <c r="AM79" s="2015"/>
      <c r="AN79" s="2015"/>
      <c r="AO79" s="2016">
        <v>0</v>
      </c>
      <c r="AP79" s="2015">
        <v>0</v>
      </c>
      <c r="AQ79" s="2015">
        <v>0</v>
      </c>
      <c r="AR79" s="2016">
        <v>0</v>
      </c>
    </row>
    <row r="80" spans="1:44" s="2022" customFormat="1" ht="12.3">
      <c r="A80" s="2014" t="s">
        <v>3332</v>
      </c>
      <c r="B80" s="2014" t="s">
        <v>3272</v>
      </c>
      <c r="C80" s="2015">
        <v>1912500000</v>
      </c>
      <c r="D80" s="2015" t="s">
        <v>782</v>
      </c>
      <c r="E80" s="2015">
        <v>3975000000</v>
      </c>
      <c r="F80" s="2015">
        <v>3645000000</v>
      </c>
      <c r="G80" s="2015">
        <v>9412500000</v>
      </c>
      <c r="H80" s="2016">
        <v>9412500000</v>
      </c>
      <c r="I80" s="2015">
        <v>4706250000</v>
      </c>
      <c r="J80" s="2015">
        <v>4706250000</v>
      </c>
      <c r="K80" s="2016">
        <v>9412500000</v>
      </c>
      <c r="L80" s="2015">
        <v>4706250000</v>
      </c>
      <c r="M80" s="2015">
        <v>4706250000</v>
      </c>
      <c r="N80" s="2016">
        <v>9412500000</v>
      </c>
      <c r="O80" s="2015">
        <v>4706250000</v>
      </c>
      <c r="P80" s="2015">
        <v>4706250000</v>
      </c>
      <c r="Q80" s="2016">
        <v>9412500000</v>
      </c>
      <c r="R80" s="2015">
        <v>4706250000</v>
      </c>
      <c r="S80" s="2015">
        <v>4706250000</v>
      </c>
      <c r="T80" s="2016">
        <v>9412500000</v>
      </c>
      <c r="U80" s="2015">
        <v>4706250000</v>
      </c>
      <c r="V80" s="2015">
        <v>4706250000</v>
      </c>
      <c r="W80" s="2016">
        <v>9412500000</v>
      </c>
      <c r="X80" s="2015">
        <v>4706250000</v>
      </c>
      <c r="Y80" s="2015">
        <v>4706250000</v>
      </c>
      <c r="Z80" s="2016">
        <v>9412500000</v>
      </c>
      <c r="AA80" s="2015">
        <v>4706250000</v>
      </c>
      <c r="AB80" s="2015">
        <v>4706250000</v>
      </c>
      <c r="AC80" s="2016">
        <v>9412500000</v>
      </c>
      <c r="AD80" s="2015">
        <v>4706250000</v>
      </c>
      <c r="AE80" s="2015">
        <v>4706250000</v>
      </c>
      <c r="AF80" s="2016">
        <v>9412500000</v>
      </c>
      <c r="AG80" s="2015">
        <v>4706250000</v>
      </c>
      <c r="AH80" s="2015">
        <v>4706250000</v>
      </c>
      <c r="AI80" s="2016">
        <v>9412500000</v>
      </c>
      <c r="AJ80" s="2015">
        <v>4706250000</v>
      </c>
      <c r="AK80" s="2015">
        <v>4706250000</v>
      </c>
      <c r="AL80" s="2016">
        <v>9412500000</v>
      </c>
      <c r="AM80" s="2015">
        <v>4706250000</v>
      </c>
      <c r="AN80" s="2015">
        <v>4706250000</v>
      </c>
      <c r="AO80" s="2016">
        <v>9412500000</v>
      </c>
      <c r="AP80" s="2015">
        <v>0</v>
      </c>
      <c r="AQ80" s="2015">
        <v>0</v>
      </c>
      <c r="AR80" s="2016">
        <v>0</v>
      </c>
    </row>
    <row r="81" spans="1:44" s="2022" customFormat="1" ht="12.3">
      <c r="A81" s="2014" t="s">
        <v>3333</v>
      </c>
      <c r="B81" s="2014" t="s">
        <v>3272</v>
      </c>
      <c r="C81" s="2015">
        <v>1781250000</v>
      </c>
      <c r="D81" s="2015">
        <v>890625000</v>
      </c>
      <c r="E81" s="2015">
        <v>5245549450.5500002</v>
      </c>
      <c r="F81" s="2015">
        <v>1350000000</v>
      </c>
      <c r="G81" s="2015">
        <v>5160000000</v>
      </c>
      <c r="H81" s="2016">
        <v>5160000000</v>
      </c>
      <c r="I81" s="2015">
        <v>2580000000</v>
      </c>
      <c r="J81" s="2015">
        <v>2580000000</v>
      </c>
      <c r="K81" s="2016">
        <v>5160000000</v>
      </c>
      <c r="L81" s="2015">
        <v>2580000000</v>
      </c>
      <c r="M81" s="2015">
        <v>2580000000</v>
      </c>
      <c r="N81" s="2016">
        <v>5160000000</v>
      </c>
      <c r="O81" s="2015">
        <v>2580000000</v>
      </c>
      <c r="P81" s="2015">
        <v>2580000000</v>
      </c>
      <c r="Q81" s="2016">
        <v>5160000000</v>
      </c>
      <c r="R81" s="2015">
        <v>2580000000</v>
      </c>
      <c r="S81" s="2015">
        <v>2580000000</v>
      </c>
      <c r="T81" s="2016">
        <v>5160000000</v>
      </c>
      <c r="U81" s="2015">
        <v>2580000000</v>
      </c>
      <c r="V81" s="2015">
        <v>2580000000</v>
      </c>
      <c r="W81" s="2016">
        <v>5160000000</v>
      </c>
      <c r="X81" s="2015">
        <v>2580000000</v>
      </c>
      <c r="Y81" s="2015">
        <v>2580000000</v>
      </c>
      <c r="Z81" s="2016">
        <v>5160000000</v>
      </c>
      <c r="AA81" s="2015">
        <v>2580000000</v>
      </c>
      <c r="AB81" s="2015">
        <v>2580000000</v>
      </c>
      <c r="AC81" s="2016">
        <v>5160000000</v>
      </c>
      <c r="AD81" s="2015">
        <v>2580000000</v>
      </c>
      <c r="AE81" s="2015">
        <v>2580000000</v>
      </c>
      <c r="AF81" s="2016">
        <v>5160000000</v>
      </c>
      <c r="AG81" s="2015">
        <v>2580000000</v>
      </c>
      <c r="AH81" s="2015">
        <v>2580000000</v>
      </c>
      <c r="AI81" s="2016">
        <v>5160000000</v>
      </c>
      <c r="AJ81" s="2015">
        <v>2580000000</v>
      </c>
      <c r="AK81" s="2015"/>
      <c r="AL81" s="2016">
        <v>2580000000</v>
      </c>
      <c r="AM81" s="2015"/>
      <c r="AN81" s="2015"/>
      <c r="AO81" s="2016">
        <v>0</v>
      </c>
      <c r="AP81" s="2015">
        <v>0</v>
      </c>
      <c r="AQ81" s="2015">
        <v>0</v>
      </c>
      <c r="AR81" s="2016">
        <v>0</v>
      </c>
    </row>
    <row r="82" spans="1:44" s="2022" customFormat="1" ht="12.3">
      <c r="A82" s="2014" t="s">
        <v>3334</v>
      </c>
      <c r="B82" s="2014" t="s">
        <v>3272</v>
      </c>
      <c r="C82" s="2015">
        <v>1792500000</v>
      </c>
      <c r="D82" s="2015">
        <v>1792500000</v>
      </c>
      <c r="E82" s="2015">
        <v>4860000000</v>
      </c>
      <c r="F82" s="2015">
        <v>9412500000</v>
      </c>
      <c r="G82" s="2015">
        <v>10184000000</v>
      </c>
      <c r="H82" s="2016">
        <v>10192750000</v>
      </c>
      <c r="I82" s="2015">
        <v>5096375000</v>
      </c>
      <c r="J82" s="2015">
        <v>5096375000</v>
      </c>
      <c r="K82" s="2016">
        <v>10192750000</v>
      </c>
      <c r="L82" s="2015">
        <v>5096375000</v>
      </c>
      <c r="M82" s="2015">
        <v>5096375000</v>
      </c>
      <c r="N82" s="2016">
        <v>10192750000</v>
      </c>
      <c r="O82" s="2015">
        <v>5096375000</v>
      </c>
      <c r="P82" s="2015">
        <v>5096375000</v>
      </c>
      <c r="Q82" s="2016">
        <v>10192750000</v>
      </c>
      <c r="R82" s="2015">
        <v>5096375000</v>
      </c>
      <c r="S82" s="2015">
        <v>5096375000</v>
      </c>
      <c r="T82" s="2016">
        <v>10192750000</v>
      </c>
      <c r="U82" s="2015">
        <v>5096375000</v>
      </c>
      <c r="V82" s="2015">
        <v>5096375000</v>
      </c>
      <c r="W82" s="2016">
        <v>10192750000</v>
      </c>
      <c r="X82" s="2015">
        <v>5096375000</v>
      </c>
      <c r="Y82" s="2015">
        <v>5096375000</v>
      </c>
      <c r="Z82" s="2016">
        <v>10192750000</v>
      </c>
      <c r="AA82" s="2015">
        <v>5096375000</v>
      </c>
      <c r="AB82" s="2015">
        <v>5096375000</v>
      </c>
      <c r="AC82" s="2016">
        <v>10192750000</v>
      </c>
      <c r="AD82" s="2015">
        <v>5096375000</v>
      </c>
      <c r="AE82" s="2015">
        <v>5096375000</v>
      </c>
      <c r="AF82" s="2016">
        <v>10192750000</v>
      </c>
      <c r="AG82" s="2015">
        <v>5096375000</v>
      </c>
      <c r="AH82" s="2015">
        <v>5096375000</v>
      </c>
      <c r="AI82" s="2016">
        <v>10192750000</v>
      </c>
      <c r="AJ82" s="2015">
        <v>5096375000</v>
      </c>
      <c r="AK82" s="2015">
        <v>5096375000</v>
      </c>
      <c r="AL82" s="2016">
        <v>10192750000</v>
      </c>
      <c r="AM82" s="2015">
        <v>5096375000</v>
      </c>
      <c r="AN82" s="2015">
        <v>5096375000</v>
      </c>
      <c r="AO82" s="2016">
        <v>10192750000</v>
      </c>
      <c r="AP82" s="2015">
        <v>5096375000</v>
      </c>
      <c r="AQ82" s="2015">
        <v>5096375000</v>
      </c>
      <c r="AR82" s="2016">
        <v>10192750000</v>
      </c>
    </row>
    <row r="83" spans="1:44" s="2022" customFormat="1" ht="12.3">
      <c r="A83" s="2014" t="s">
        <v>3335</v>
      </c>
      <c r="B83" s="2014" t="s">
        <v>3272</v>
      </c>
      <c r="C83" s="2015">
        <v>1837500000</v>
      </c>
      <c r="D83" s="2015">
        <v>1837500000</v>
      </c>
      <c r="E83" s="2015">
        <v>3593242706.04</v>
      </c>
      <c r="F83" s="2015">
        <v>5160000000</v>
      </c>
      <c r="G83" s="2015">
        <v>3975000000</v>
      </c>
      <c r="H83" s="2016">
        <v>11307860250</v>
      </c>
      <c r="I83" s="2015">
        <v>5653930125</v>
      </c>
      <c r="J83" s="2015">
        <v>5653930125</v>
      </c>
      <c r="K83" s="2016">
        <v>11307860250</v>
      </c>
      <c r="L83" s="2015">
        <v>5653930125</v>
      </c>
      <c r="M83" s="2015">
        <v>5653930125</v>
      </c>
      <c r="N83" s="2016">
        <v>11307860250</v>
      </c>
      <c r="O83" s="2015">
        <v>5653930125</v>
      </c>
      <c r="P83" s="2015">
        <v>5653930125</v>
      </c>
      <c r="Q83" s="2016">
        <v>11307860250</v>
      </c>
      <c r="R83" s="2015">
        <v>5653930125</v>
      </c>
      <c r="S83" s="2015">
        <v>5653930125</v>
      </c>
      <c r="T83" s="2016">
        <v>11307860250</v>
      </c>
      <c r="U83" s="2015">
        <v>5653930125</v>
      </c>
      <c r="V83" s="2015">
        <v>5653930125</v>
      </c>
      <c r="W83" s="2016">
        <v>11307860250</v>
      </c>
      <c r="X83" s="2015">
        <v>5653930125</v>
      </c>
      <c r="Y83" s="2015">
        <v>5653930125</v>
      </c>
      <c r="Z83" s="2016">
        <v>11307860250</v>
      </c>
      <c r="AA83" s="2015">
        <v>5653930125</v>
      </c>
      <c r="AB83" s="2015">
        <v>5653930125</v>
      </c>
      <c r="AC83" s="2016">
        <v>11307860250</v>
      </c>
      <c r="AD83" s="2015">
        <v>5653930125</v>
      </c>
      <c r="AE83" s="2015">
        <v>5653930125</v>
      </c>
      <c r="AF83" s="2016">
        <v>11307860250</v>
      </c>
      <c r="AG83" s="2015">
        <v>5653930125</v>
      </c>
      <c r="AH83" s="2015">
        <v>5653930125</v>
      </c>
      <c r="AI83" s="2016">
        <v>11307860250</v>
      </c>
      <c r="AJ83" s="2015">
        <v>5653930125</v>
      </c>
      <c r="AK83" s="2015">
        <v>5653930125</v>
      </c>
      <c r="AL83" s="2016">
        <v>11307860250</v>
      </c>
      <c r="AM83" s="2015">
        <v>5653930125</v>
      </c>
      <c r="AN83" s="2015">
        <v>5653930125</v>
      </c>
      <c r="AO83" s="2016">
        <v>11307860250</v>
      </c>
      <c r="AP83" s="2015">
        <v>5653930125</v>
      </c>
      <c r="AQ83" s="2015">
        <v>5653930125</v>
      </c>
      <c r="AR83" s="2016">
        <v>11307860250</v>
      </c>
    </row>
    <row r="84" spans="1:44" s="2022" customFormat="1" ht="12.3">
      <c r="A84" s="2014" t="s">
        <v>3361</v>
      </c>
      <c r="B84" s="2014" t="s">
        <v>3272</v>
      </c>
      <c r="C84" s="2015"/>
      <c r="D84" s="2015"/>
      <c r="E84" s="2015"/>
      <c r="F84" s="2015"/>
      <c r="G84" s="2015"/>
      <c r="H84" s="2016">
        <v>1950000000</v>
      </c>
      <c r="I84" s="2015">
        <v>3440801000</v>
      </c>
      <c r="J84" s="2015">
        <v>3440801000</v>
      </c>
      <c r="K84" s="2016">
        <v>6881602000</v>
      </c>
      <c r="L84" s="2015">
        <v>3440801000</v>
      </c>
      <c r="M84" s="2015">
        <v>3440801000</v>
      </c>
      <c r="N84" s="2016">
        <v>6881602000</v>
      </c>
      <c r="O84" s="2015">
        <v>3440801000</v>
      </c>
      <c r="P84" s="2015">
        <v>3440801000</v>
      </c>
      <c r="Q84" s="2016">
        <v>6881602000</v>
      </c>
      <c r="R84" s="2015">
        <v>3440801000</v>
      </c>
      <c r="S84" s="2015">
        <v>3440801000</v>
      </c>
      <c r="T84" s="2016">
        <v>6881602000</v>
      </c>
      <c r="U84" s="2015">
        <v>3440801000</v>
      </c>
      <c r="V84" s="2015">
        <v>3440801000</v>
      </c>
      <c r="W84" s="2016">
        <v>6881602000</v>
      </c>
      <c r="X84" s="2015">
        <v>3440801000</v>
      </c>
      <c r="Y84" s="2015">
        <v>3440801000</v>
      </c>
      <c r="Z84" s="2016">
        <v>6881602000</v>
      </c>
      <c r="AA84" s="2015">
        <v>3440801000</v>
      </c>
      <c r="AB84" s="2015">
        <v>3440801000</v>
      </c>
      <c r="AC84" s="2016">
        <v>6881602000</v>
      </c>
      <c r="AD84" s="2015">
        <v>3440801000</v>
      </c>
      <c r="AE84" s="2015">
        <v>3440801000</v>
      </c>
      <c r="AF84" s="2016">
        <v>6881602000</v>
      </c>
      <c r="AG84" s="2015">
        <v>3440801000</v>
      </c>
      <c r="AH84" s="2015">
        <v>3440801000</v>
      </c>
      <c r="AI84" s="2016">
        <v>6881602000</v>
      </c>
      <c r="AJ84" s="2015">
        <v>3440801000</v>
      </c>
      <c r="AK84" s="2015">
        <v>3440801000</v>
      </c>
      <c r="AL84" s="2016">
        <v>6881602000</v>
      </c>
      <c r="AM84" s="2015">
        <v>3440801000</v>
      </c>
      <c r="AN84" s="2015">
        <v>3440801000</v>
      </c>
      <c r="AO84" s="2016">
        <v>6881602000</v>
      </c>
      <c r="AP84" s="2015">
        <v>3440801000</v>
      </c>
      <c r="AQ84" s="2015">
        <v>3440801000</v>
      </c>
      <c r="AR84" s="2016">
        <v>6881602000</v>
      </c>
    </row>
    <row r="85" spans="1:44" s="2022" customFormat="1" ht="12.3">
      <c r="A85" s="2014" t="s">
        <v>3336</v>
      </c>
      <c r="B85" s="2014" t="s">
        <v>3272</v>
      </c>
      <c r="C85" s="2015">
        <v>1220000000</v>
      </c>
      <c r="D85" s="2015">
        <v>1220000000</v>
      </c>
      <c r="E85" s="2015">
        <v>1672500000</v>
      </c>
      <c r="F85" s="2015">
        <v>7500000000</v>
      </c>
      <c r="G85" s="2015">
        <v>8624969450</v>
      </c>
      <c r="H85" s="2016">
        <v>9015705750</v>
      </c>
      <c r="I85" s="2015">
        <v>4990753750</v>
      </c>
      <c r="J85" s="2015">
        <v>4990753750</v>
      </c>
      <c r="K85" s="2016">
        <v>9981507500</v>
      </c>
      <c r="L85" s="2015">
        <v>4990753750</v>
      </c>
      <c r="M85" s="2015">
        <v>4990753750</v>
      </c>
      <c r="N85" s="2016">
        <v>9981507500</v>
      </c>
      <c r="O85" s="2015">
        <v>4990753750</v>
      </c>
      <c r="P85" s="2015">
        <v>4990753750</v>
      </c>
      <c r="Q85" s="2016">
        <v>9981507500</v>
      </c>
      <c r="R85" s="2015">
        <v>4990753750</v>
      </c>
      <c r="S85" s="2015">
        <v>4990753750</v>
      </c>
      <c r="T85" s="2016">
        <v>9981507500</v>
      </c>
      <c r="U85" s="2015">
        <v>4990753750</v>
      </c>
      <c r="V85" s="2015">
        <v>4990753750</v>
      </c>
      <c r="W85" s="2016">
        <v>9981507500</v>
      </c>
      <c r="X85" s="2015">
        <v>4990753750</v>
      </c>
      <c r="Y85" s="2015">
        <v>4990753750</v>
      </c>
      <c r="Z85" s="2016">
        <v>9981507500</v>
      </c>
      <c r="AA85" s="2015">
        <v>4990753750</v>
      </c>
      <c r="AB85" s="2015">
        <v>4990753750</v>
      </c>
      <c r="AC85" s="2016">
        <v>9981507500</v>
      </c>
      <c r="AD85" s="2015">
        <v>4990753750</v>
      </c>
      <c r="AE85" s="2015">
        <v>4990753750</v>
      </c>
      <c r="AF85" s="2016">
        <v>9981507500</v>
      </c>
      <c r="AG85" s="2015">
        <v>4990753750</v>
      </c>
      <c r="AH85" s="2015">
        <v>4990753750</v>
      </c>
      <c r="AI85" s="2016">
        <v>9981507500</v>
      </c>
      <c r="AJ85" s="2015">
        <v>4990753750</v>
      </c>
      <c r="AK85" s="2015">
        <v>4990753750</v>
      </c>
      <c r="AL85" s="2016">
        <v>9981507500</v>
      </c>
      <c r="AM85" s="2015">
        <v>4990753750</v>
      </c>
      <c r="AN85" s="2015">
        <v>4990753750</v>
      </c>
      <c r="AO85" s="2016">
        <v>9981507500</v>
      </c>
      <c r="AP85" s="2015">
        <v>4990753750</v>
      </c>
      <c r="AQ85" s="2015">
        <v>4990753750</v>
      </c>
      <c r="AR85" s="2016">
        <v>9981507500</v>
      </c>
    </row>
    <row r="86" spans="1:44" s="2022" customFormat="1" ht="12.3">
      <c r="A86" s="2014" t="s">
        <v>3337</v>
      </c>
      <c r="B86" s="2014" t="s">
        <v>3272</v>
      </c>
      <c r="C86" s="2015">
        <v>1267500000</v>
      </c>
      <c r="D86" s="2015">
        <v>1267500000</v>
      </c>
      <c r="E86" s="2015">
        <v>3285000000</v>
      </c>
      <c r="F86" s="2015">
        <v>3975000000</v>
      </c>
      <c r="G86" s="2015">
        <v>7890000000</v>
      </c>
      <c r="H86" s="2016">
        <v>3975000000</v>
      </c>
      <c r="I86" s="2015">
        <v>1987500000</v>
      </c>
      <c r="J86" s="2015">
        <v>1987500000</v>
      </c>
      <c r="K86" s="2016">
        <v>3975000000</v>
      </c>
      <c r="L86" s="2015">
        <v>1987500000</v>
      </c>
      <c r="M86" s="2015">
        <v>1987500000</v>
      </c>
      <c r="N86" s="2016">
        <v>3975000000</v>
      </c>
      <c r="O86" s="2015">
        <v>1987500000</v>
      </c>
      <c r="P86" s="2015">
        <v>1987500000</v>
      </c>
      <c r="Q86" s="2016">
        <v>3975000000</v>
      </c>
      <c r="R86" s="2015">
        <v>1987500000</v>
      </c>
      <c r="S86" s="2015">
        <v>1987500000</v>
      </c>
      <c r="T86" s="2016">
        <v>3975000000</v>
      </c>
      <c r="U86" s="2015">
        <v>1987500000</v>
      </c>
      <c r="V86" s="2015">
        <v>1987500000</v>
      </c>
      <c r="W86" s="2016">
        <v>3975000000</v>
      </c>
      <c r="X86" s="2015">
        <v>1987500000</v>
      </c>
      <c r="Y86" s="2015">
        <v>1987500000</v>
      </c>
      <c r="Z86" s="2016">
        <v>3975000000</v>
      </c>
      <c r="AA86" s="2015">
        <v>1987500000</v>
      </c>
      <c r="AB86" s="2015">
        <v>1987500000</v>
      </c>
      <c r="AC86" s="2016">
        <v>3975000000</v>
      </c>
      <c r="AD86" s="2015">
        <v>1987500000</v>
      </c>
      <c r="AE86" s="2015">
        <v>1987500000</v>
      </c>
      <c r="AF86" s="2016">
        <v>3975000000</v>
      </c>
      <c r="AG86" s="2015">
        <v>1987500000</v>
      </c>
      <c r="AH86" s="2015">
        <v>1987500000</v>
      </c>
      <c r="AI86" s="2016">
        <v>3975000000</v>
      </c>
      <c r="AJ86" s="2015">
        <v>1987500000</v>
      </c>
      <c r="AK86" s="2015">
        <v>1987500000</v>
      </c>
      <c r="AL86" s="2016">
        <v>3975000000</v>
      </c>
      <c r="AM86" s="2015">
        <v>1987500000</v>
      </c>
      <c r="AN86" s="2015">
        <v>1987500000</v>
      </c>
      <c r="AO86" s="2016">
        <v>3975000000</v>
      </c>
      <c r="AP86" s="2015">
        <v>1987500000</v>
      </c>
      <c r="AQ86" s="2015">
        <v>1987500000</v>
      </c>
      <c r="AR86" s="2016">
        <v>3975000000</v>
      </c>
    </row>
    <row r="87" spans="1:44" s="2022" customFormat="1" ht="12.3">
      <c r="A87" s="2014" t="s">
        <v>3338</v>
      </c>
      <c r="B87" s="2014" t="s">
        <v>3272</v>
      </c>
      <c r="C87" s="2015">
        <v>1871250000</v>
      </c>
      <c r="D87" s="2015">
        <v>1871250000</v>
      </c>
      <c r="E87" s="2015">
        <v>1800000000</v>
      </c>
      <c r="F87" s="2015">
        <v>6499969450</v>
      </c>
      <c r="G87" s="2015">
        <v>4860000000</v>
      </c>
      <c r="H87" s="2016">
        <v>13650000000</v>
      </c>
      <c r="I87" s="2015">
        <v>6825000000</v>
      </c>
      <c r="J87" s="2015">
        <v>6825000000</v>
      </c>
      <c r="K87" s="2016">
        <v>13650000000</v>
      </c>
      <c r="L87" s="2015">
        <v>6825000000</v>
      </c>
      <c r="M87" s="2015">
        <v>6825000000</v>
      </c>
      <c r="N87" s="2016">
        <v>13650000000</v>
      </c>
      <c r="O87" s="2015">
        <v>6825000000</v>
      </c>
      <c r="P87" s="2015">
        <v>6825000000</v>
      </c>
      <c r="Q87" s="2016">
        <v>13650000000</v>
      </c>
      <c r="R87" s="2015">
        <v>6825000000</v>
      </c>
      <c r="S87" s="2015">
        <v>6825000000</v>
      </c>
      <c r="T87" s="2016">
        <v>13650000000</v>
      </c>
      <c r="U87" s="2015">
        <v>6825000000</v>
      </c>
      <c r="V87" s="2015">
        <v>6825000000</v>
      </c>
      <c r="W87" s="2016">
        <v>13650000000</v>
      </c>
      <c r="X87" s="2015">
        <v>6825000000</v>
      </c>
      <c r="Y87" s="2015">
        <v>6825000000</v>
      </c>
      <c r="Z87" s="2016">
        <v>13650000000</v>
      </c>
      <c r="AA87" s="2015">
        <v>6825000000</v>
      </c>
      <c r="AB87" s="2015">
        <v>6825000000</v>
      </c>
      <c r="AC87" s="2016">
        <v>13650000000</v>
      </c>
      <c r="AD87" s="2015">
        <v>6825000000</v>
      </c>
      <c r="AE87" s="2015">
        <v>6825000000</v>
      </c>
      <c r="AF87" s="2016">
        <v>13650000000</v>
      </c>
      <c r="AG87" s="2015">
        <v>6825000000</v>
      </c>
      <c r="AH87" s="2015">
        <v>6825000000</v>
      </c>
      <c r="AI87" s="2016">
        <v>13650000000</v>
      </c>
      <c r="AJ87" s="2015">
        <v>6825000000</v>
      </c>
      <c r="AK87" s="2015">
        <v>6825000000</v>
      </c>
      <c r="AL87" s="2016">
        <v>13650000000</v>
      </c>
      <c r="AM87" s="2015">
        <v>6825000000</v>
      </c>
      <c r="AN87" s="2015">
        <v>6825000000</v>
      </c>
      <c r="AO87" s="2016">
        <v>13650000000</v>
      </c>
      <c r="AP87" s="2015">
        <v>6825000000</v>
      </c>
      <c r="AQ87" s="2015">
        <v>6825000000</v>
      </c>
      <c r="AR87" s="2016">
        <v>13650000000</v>
      </c>
    </row>
    <row r="88" spans="1:44" s="2022" customFormat="1" ht="12.3">
      <c r="A88" s="2014" t="s">
        <v>3339</v>
      </c>
      <c r="B88" s="2014" t="s">
        <v>3272</v>
      </c>
      <c r="C88" s="2015">
        <v>1240000000</v>
      </c>
      <c r="D88" s="2015">
        <v>1240000000</v>
      </c>
      <c r="E88" s="2015">
        <v>1237500000</v>
      </c>
      <c r="F88" s="2015">
        <v>7890000000</v>
      </c>
      <c r="G88" s="2015">
        <v>3573607500</v>
      </c>
      <c r="H88" s="2016">
        <v>7890000000</v>
      </c>
      <c r="I88" s="2015">
        <v>3945000000</v>
      </c>
      <c r="J88" s="2015">
        <v>3945000000</v>
      </c>
      <c r="K88" s="2016">
        <v>7890000000</v>
      </c>
      <c r="L88" s="2015">
        <v>3945000000</v>
      </c>
      <c r="M88" s="2015">
        <v>3945000000</v>
      </c>
      <c r="N88" s="2016">
        <v>7890000000</v>
      </c>
      <c r="O88" s="2015">
        <v>3945000000</v>
      </c>
      <c r="P88" s="2015">
        <v>3945000000</v>
      </c>
      <c r="Q88" s="2016">
        <v>7890000000</v>
      </c>
      <c r="R88" s="2015">
        <v>3945000000</v>
      </c>
      <c r="S88" s="2015">
        <v>3945000000</v>
      </c>
      <c r="T88" s="2016">
        <v>7890000000</v>
      </c>
      <c r="U88" s="2015">
        <v>3945000000</v>
      </c>
      <c r="V88" s="2015">
        <v>3945000000</v>
      </c>
      <c r="W88" s="2016">
        <v>7890000000</v>
      </c>
      <c r="X88" s="2015">
        <v>3945000000</v>
      </c>
      <c r="Y88" s="2015">
        <v>3945000000</v>
      </c>
      <c r="Z88" s="2016">
        <v>7890000000</v>
      </c>
      <c r="AA88" s="2015">
        <v>3945000000</v>
      </c>
      <c r="AB88" s="2015">
        <v>3945000000</v>
      </c>
      <c r="AC88" s="2016">
        <v>7890000000</v>
      </c>
      <c r="AD88" s="2015">
        <v>3945000000</v>
      </c>
      <c r="AE88" s="2015">
        <v>3945000000</v>
      </c>
      <c r="AF88" s="2016">
        <v>7890000000</v>
      </c>
      <c r="AG88" s="2015">
        <v>3945000000</v>
      </c>
      <c r="AH88" s="2015">
        <v>3945000000</v>
      </c>
      <c r="AI88" s="2016">
        <v>7890000000</v>
      </c>
      <c r="AJ88" s="2015">
        <v>3945000000</v>
      </c>
      <c r="AK88" s="2015">
        <v>3945000000</v>
      </c>
      <c r="AL88" s="2016">
        <v>7890000000</v>
      </c>
      <c r="AM88" s="2015">
        <v>3945000000</v>
      </c>
      <c r="AN88" s="2015">
        <v>3945000000</v>
      </c>
      <c r="AO88" s="2016">
        <v>7890000000</v>
      </c>
      <c r="AP88" s="2015">
        <v>3945000000</v>
      </c>
      <c r="AQ88" s="2015">
        <v>3945000000</v>
      </c>
      <c r="AR88" s="2016">
        <v>7890000000</v>
      </c>
    </row>
    <row r="89" spans="1:44" s="2022" customFormat="1" ht="12.3">
      <c r="A89" s="2014" t="s">
        <v>3340</v>
      </c>
      <c r="B89" s="2014" t="s">
        <v>3272</v>
      </c>
      <c r="C89" s="2015">
        <v>1770000000</v>
      </c>
      <c r="D89" s="2015">
        <v>1770000000</v>
      </c>
      <c r="E89" s="2015">
        <v>1770000000</v>
      </c>
      <c r="F89" s="2015">
        <v>4860000000</v>
      </c>
      <c r="G89" s="2015">
        <v>1642500000</v>
      </c>
      <c r="H89" s="2016" t="s">
        <v>782</v>
      </c>
      <c r="I89" s="2015">
        <v>0</v>
      </c>
      <c r="J89" s="2015">
        <v>0</v>
      </c>
      <c r="K89" s="2016">
        <v>0</v>
      </c>
      <c r="L89" s="2015">
        <v>0</v>
      </c>
      <c r="M89" s="2015">
        <v>0</v>
      </c>
      <c r="N89" s="2016">
        <v>0</v>
      </c>
      <c r="O89" s="2015">
        <v>0</v>
      </c>
      <c r="P89" s="2015">
        <v>0</v>
      </c>
      <c r="Q89" s="2016">
        <v>0</v>
      </c>
      <c r="R89" s="2015">
        <v>0</v>
      </c>
      <c r="S89" s="2015">
        <v>0</v>
      </c>
      <c r="T89" s="2016">
        <v>0</v>
      </c>
      <c r="U89" s="2015">
        <v>0</v>
      </c>
      <c r="V89" s="2015">
        <v>0</v>
      </c>
      <c r="W89" s="2016">
        <v>0</v>
      </c>
      <c r="X89" s="2015">
        <v>0</v>
      </c>
      <c r="Y89" s="2015">
        <v>0</v>
      </c>
      <c r="Z89" s="2016">
        <v>0</v>
      </c>
      <c r="AA89" s="2015">
        <v>0</v>
      </c>
      <c r="AB89" s="2015">
        <v>0</v>
      </c>
      <c r="AC89" s="2016">
        <v>0</v>
      </c>
      <c r="AD89" s="2015">
        <v>0</v>
      </c>
      <c r="AE89" s="2015">
        <v>0</v>
      </c>
      <c r="AF89" s="2016">
        <v>0</v>
      </c>
      <c r="AG89" s="2015">
        <v>0</v>
      </c>
      <c r="AH89" s="2015">
        <v>0</v>
      </c>
      <c r="AI89" s="2016">
        <v>0</v>
      </c>
      <c r="AJ89" s="2015">
        <v>0</v>
      </c>
      <c r="AK89" s="2015">
        <v>0</v>
      </c>
      <c r="AL89" s="2016">
        <v>0</v>
      </c>
      <c r="AM89" s="2015">
        <v>0</v>
      </c>
      <c r="AN89" s="2015">
        <v>0</v>
      </c>
      <c r="AO89" s="2016">
        <v>0</v>
      </c>
      <c r="AP89" s="2015">
        <v>0</v>
      </c>
      <c r="AQ89" s="2015">
        <v>0</v>
      </c>
      <c r="AR89" s="2016">
        <v>0</v>
      </c>
    </row>
    <row r="90" spans="1:44" s="2022" customFormat="1" ht="12.3">
      <c r="A90" s="2014" t="s">
        <v>3341</v>
      </c>
      <c r="B90" s="2014" t="s">
        <v>3272</v>
      </c>
      <c r="C90" s="2015">
        <v>1250000000</v>
      </c>
      <c r="D90" s="2015">
        <v>4375000000</v>
      </c>
      <c r="E90" s="2015">
        <v>6215000000</v>
      </c>
      <c r="F90" s="2015">
        <v>3573607500</v>
      </c>
      <c r="G90" s="2015">
        <v>3727500000</v>
      </c>
      <c r="H90" s="2016" t="s">
        <v>782</v>
      </c>
      <c r="I90" s="2015">
        <v>0</v>
      </c>
      <c r="J90" s="2015">
        <v>0</v>
      </c>
      <c r="K90" s="2016">
        <v>0</v>
      </c>
      <c r="L90" s="2015">
        <v>0</v>
      </c>
      <c r="M90" s="2015">
        <v>0</v>
      </c>
      <c r="N90" s="2016">
        <v>0</v>
      </c>
      <c r="O90" s="2015">
        <v>0</v>
      </c>
      <c r="P90" s="2015">
        <v>0</v>
      </c>
      <c r="Q90" s="2016">
        <v>0</v>
      </c>
      <c r="R90" s="2015">
        <v>0</v>
      </c>
      <c r="S90" s="2015">
        <v>0</v>
      </c>
      <c r="T90" s="2016">
        <v>0</v>
      </c>
      <c r="U90" s="2015">
        <v>0</v>
      </c>
      <c r="V90" s="2015">
        <v>0</v>
      </c>
      <c r="W90" s="2016">
        <v>0</v>
      </c>
      <c r="X90" s="2015">
        <v>0</v>
      </c>
      <c r="Y90" s="2015">
        <v>0</v>
      </c>
      <c r="Z90" s="2016">
        <v>0</v>
      </c>
      <c r="AA90" s="2015">
        <v>0</v>
      </c>
      <c r="AB90" s="2015">
        <v>0</v>
      </c>
      <c r="AC90" s="2016">
        <v>0</v>
      </c>
      <c r="AD90" s="2015">
        <v>0</v>
      </c>
      <c r="AE90" s="2015">
        <v>0</v>
      </c>
      <c r="AF90" s="2016">
        <v>0</v>
      </c>
      <c r="AG90" s="2015">
        <v>0</v>
      </c>
      <c r="AH90" s="2015">
        <v>0</v>
      </c>
      <c r="AI90" s="2016">
        <v>0</v>
      </c>
      <c r="AJ90" s="2015">
        <v>0</v>
      </c>
      <c r="AK90" s="2015">
        <v>0</v>
      </c>
      <c r="AL90" s="2016">
        <v>0</v>
      </c>
      <c r="AM90" s="2015">
        <v>0</v>
      </c>
      <c r="AN90" s="2015">
        <v>0</v>
      </c>
      <c r="AO90" s="2016">
        <v>0</v>
      </c>
      <c r="AP90" s="2015">
        <v>0</v>
      </c>
      <c r="AQ90" s="2015">
        <v>0</v>
      </c>
      <c r="AR90" s="2016">
        <v>0</v>
      </c>
    </row>
    <row r="91" spans="1:44" s="2022" customFormat="1" ht="12.3">
      <c r="A91" s="2014" t="s">
        <v>3342</v>
      </c>
      <c r="B91" s="2014" t="s">
        <v>3272</v>
      </c>
      <c r="C91" s="2015"/>
      <c r="D91" s="2015">
        <v>1935000000</v>
      </c>
      <c r="E91" s="2015">
        <v>896250000</v>
      </c>
      <c r="F91" s="2015">
        <v>1642500000</v>
      </c>
      <c r="G91" s="2015">
        <v>1770000000</v>
      </c>
      <c r="H91" s="2016">
        <v>2712500000</v>
      </c>
      <c r="I91" s="2015">
        <v>1356250000</v>
      </c>
      <c r="J91" s="2015">
        <v>1356250000</v>
      </c>
      <c r="K91" s="2016">
        <v>2712500000</v>
      </c>
      <c r="L91" s="2015">
        <v>1356250000</v>
      </c>
      <c r="M91" s="2015">
        <v>0</v>
      </c>
      <c r="N91" s="2016">
        <v>1356250000</v>
      </c>
      <c r="O91" s="2015">
        <v>0</v>
      </c>
      <c r="P91" s="2015">
        <v>0</v>
      </c>
      <c r="Q91" s="2016">
        <v>0</v>
      </c>
      <c r="R91" s="2015">
        <v>0</v>
      </c>
      <c r="S91" s="2015">
        <v>0</v>
      </c>
      <c r="T91" s="2016">
        <v>0</v>
      </c>
      <c r="U91" s="2015">
        <v>0</v>
      </c>
      <c r="V91" s="2015">
        <v>0</v>
      </c>
      <c r="W91" s="2016">
        <v>0</v>
      </c>
      <c r="X91" s="2015">
        <v>0</v>
      </c>
      <c r="Y91" s="2015">
        <v>0</v>
      </c>
      <c r="Z91" s="2016">
        <v>0</v>
      </c>
      <c r="AA91" s="2015">
        <v>0</v>
      </c>
      <c r="AB91" s="2015">
        <v>0</v>
      </c>
      <c r="AC91" s="2016">
        <v>0</v>
      </c>
      <c r="AD91" s="2015">
        <v>0</v>
      </c>
      <c r="AE91" s="2015">
        <v>0</v>
      </c>
      <c r="AF91" s="2016">
        <v>0</v>
      </c>
      <c r="AG91" s="2015">
        <v>0</v>
      </c>
      <c r="AH91" s="2015">
        <v>0</v>
      </c>
      <c r="AI91" s="2016">
        <v>0</v>
      </c>
      <c r="AJ91" s="2015">
        <v>0</v>
      </c>
      <c r="AK91" s="2015">
        <v>0</v>
      </c>
      <c r="AL91" s="2016">
        <v>0</v>
      </c>
      <c r="AM91" s="2015">
        <v>0</v>
      </c>
      <c r="AN91" s="2015">
        <v>0</v>
      </c>
      <c r="AO91" s="2016">
        <v>0</v>
      </c>
      <c r="AP91" s="2015">
        <v>0</v>
      </c>
      <c r="AQ91" s="2015">
        <v>0</v>
      </c>
      <c r="AR91" s="2016">
        <v>0</v>
      </c>
    </row>
    <row r="92" spans="1:44" s="2022" customFormat="1" ht="12.3">
      <c r="A92" s="2014" t="s">
        <v>3360</v>
      </c>
      <c r="B92" s="2014" t="s">
        <v>3272</v>
      </c>
      <c r="C92" s="2015"/>
      <c r="D92" s="2015"/>
      <c r="E92" s="2015"/>
      <c r="F92" s="2015"/>
      <c r="G92" s="2015"/>
      <c r="H92" s="2016">
        <v>919573627.5</v>
      </c>
      <c r="I92" s="2015">
        <v>919573647</v>
      </c>
      <c r="J92" s="2015">
        <v>919573647</v>
      </c>
      <c r="K92" s="2016">
        <v>1839147294</v>
      </c>
      <c r="L92" s="2015">
        <v>919573647</v>
      </c>
      <c r="M92" s="2015">
        <v>919573647</v>
      </c>
      <c r="N92" s="2016">
        <v>1839147294</v>
      </c>
      <c r="O92" s="2015">
        <v>919573647</v>
      </c>
      <c r="P92" s="2015">
        <v>0</v>
      </c>
      <c r="Q92" s="2016">
        <v>919573647</v>
      </c>
      <c r="R92" s="2015">
        <v>0</v>
      </c>
      <c r="S92" s="2015">
        <v>0</v>
      </c>
      <c r="T92" s="2016">
        <v>0</v>
      </c>
      <c r="U92" s="2015">
        <v>0</v>
      </c>
      <c r="V92" s="2015">
        <v>0</v>
      </c>
      <c r="W92" s="2016">
        <v>0</v>
      </c>
      <c r="X92" s="2015">
        <v>0</v>
      </c>
      <c r="Y92" s="2015">
        <v>0</v>
      </c>
      <c r="Z92" s="2016">
        <v>0</v>
      </c>
      <c r="AA92" s="2015">
        <v>0</v>
      </c>
      <c r="AB92" s="2015">
        <v>0</v>
      </c>
      <c r="AC92" s="2016">
        <v>0</v>
      </c>
      <c r="AD92" s="2015">
        <v>0</v>
      </c>
      <c r="AE92" s="2015">
        <v>0</v>
      </c>
      <c r="AF92" s="2016">
        <v>0</v>
      </c>
      <c r="AG92" s="2015">
        <v>0</v>
      </c>
      <c r="AH92" s="2015">
        <v>0</v>
      </c>
      <c r="AI92" s="2016">
        <v>0</v>
      </c>
      <c r="AJ92" s="2015">
        <v>0</v>
      </c>
      <c r="AK92" s="2015">
        <v>0</v>
      </c>
      <c r="AL92" s="2016">
        <v>0</v>
      </c>
      <c r="AM92" s="2015">
        <v>0</v>
      </c>
      <c r="AN92" s="2015">
        <v>0</v>
      </c>
      <c r="AO92" s="2016">
        <v>0</v>
      </c>
      <c r="AP92" s="2015">
        <v>0</v>
      </c>
      <c r="AQ92" s="2015">
        <v>0</v>
      </c>
      <c r="AR92" s="2016">
        <v>0</v>
      </c>
    </row>
    <row r="93" spans="1:44" s="2022" customFormat="1" ht="12.3">
      <c r="A93" s="2014" t="s">
        <v>3343</v>
      </c>
      <c r="B93" s="2014" t="s">
        <v>3272</v>
      </c>
      <c r="C93" s="2015"/>
      <c r="D93" s="2015">
        <v>1672500000</v>
      </c>
      <c r="E93" s="2015">
        <v>1837500000</v>
      </c>
      <c r="F93" s="2015">
        <v>3727500000</v>
      </c>
      <c r="G93" s="2015">
        <v>1649991200</v>
      </c>
      <c r="H93" s="2016" t="s">
        <v>782</v>
      </c>
      <c r="I93" s="2015">
        <v>0</v>
      </c>
      <c r="J93" s="2015">
        <v>0</v>
      </c>
      <c r="K93" s="2016">
        <v>0</v>
      </c>
      <c r="L93" s="2015">
        <v>0</v>
      </c>
      <c r="M93" s="2015">
        <v>0</v>
      </c>
      <c r="N93" s="2016">
        <v>0</v>
      </c>
      <c r="O93" s="2015">
        <v>0</v>
      </c>
      <c r="P93" s="2015">
        <v>0</v>
      </c>
      <c r="Q93" s="2016">
        <v>0</v>
      </c>
      <c r="R93" s="2015"/>
      <c r="S93" s="2015"/>
      <c r="T93" s="2016">
        <v>0</v>
      </c>
      <c r="U93" s="2015"/>
      <c r="V93" s="2015"/>
      <c r="W93" s="2016">
        <v>0</v>
      </c>
      <c r="X93" s="2015">
        <v>0</v>
      </c>
      <c r="Y93" s="2015">
        <v>0</v>
      </c>
      <c r="Z93" s="2016">
        <v>0</v>
      </c>
      <c r="AA93" s="2015">
        <v>0</v>
      </c>
      <c r="AB93" s="2015">
        <v>0</v>
      </c>
      <c r="AC93" s="2016">
        <v>0</v>
      </c>
      <c r="AD93" s="2015">
        <v>0</v>
      </c>
      <c r="AE93" s="2015">
        <v>0</v>
      </c>
      <c r="AF93" s="2016">
        <v>0</v>
      </c>
      <c r="AG93" s="2015">
        <v>0</v>
      </c>
      <c r="AH93" s="2015">
        <v>0</v>
      </c>
      <c r="AI93" s="2016">
        <v>0</v>
      </c>
      <c r="AJ93" s="2015">
        <v>0</v>
      </c>
      <c r="AK93" s="2015">
        <v>0</v>
      </c>
      <c r="AL93" s="2016">
        <v>0</v>
      </c>
      <c r="AM93" s="2015">
        <v>0</v>
      </c>
      <c r="AN93" s="2015">
        <v>0</v>
      </c>
      <c r="AO93" s="2016">
        <v>0</v>
      </c>
      <c r="AP93" s="2015">
        <v>0</v>
      </c>
      <c r="AQ93" s="2015">
        <v>0</v>
      </c>
      <c r="AR93" s="2016">
        <v>0</v>
      </c>
    </row>
    <row r="94" spans="1:44" s="2022" customFormat="1" ht="12.3">
      <c r="A94" s="2014" t="s">
        <v>3344</v>
      </c>
      <c r="B94" s="2014" t="s">
        <v>3272</v>
      </c>
      <c r="C94" s="2015">
        <v>1240000000</v>
      </c>
      <c r="D94" s="2015">
        <v>0</v>
      </c>
      <c r="E94" s="2015">
        <v>1220000000</v>
      </c>
      <c r="F94" s="2015">
        <v>0</v>
      </c>
      <c r="G94" s="2015">
        <v>2361645000</v>
      </c>
      <c r="H94" s="2016">
        <v>3727500000</v>
      </c>
      <c r="I94" s="2015">
        <v>1863750000</v>
      </c>
      <c r="J94" s="2015">
        <v>0</v>
      </c>
      <c r="K94" s="2016">
        <v>1863750000</v>
      </c>
      <c r="L94" s="2015">
        <v>0</v>
      </c>
      <c r="M94" s="2015">
        <v>0</v>
      </c>
      <c r="N94" s="2016">
        <v>0</v>
      </c>
      <c r="O94" s="2015">
        <v>0</v>
      </c>
      <c r="P94" s="2015">
        <v>0</v>
      </c>
      <c r="Q94" s="2016">
        <v>0</v>
      </c>
      <c r="R94" s="2015">
        <v>0</v>
      </c>
      <c r="S94" s="2015">
        <v>0</v>
      </c>
      <c r="T94" s="2016">
        <v>0</v>
      </c>
      <c r="U94" s="2015">
        <v>0</v>
      </c>
      <c r="V94" s="2015">
        <v>0</v>
      </c>
      <c r="W94" s="2016">
        <v>0</v>
      </c>
      <c r="X94" s="2015">
        <v>0</v>
      </c>
      <c r="Y94" s="2015">
        <v>0</v>
      </c>
      <c r="Z94" s="2016">
        <v>0</v>
      </c>
      <c r="AA94" s="2015">
        <v>0</v>
      </c>
      <c r="AB94" s="2015">
        <v>0</v>
      </c>
      <c r="AC94" s="2016">
        <v>0</v>
      </c>
      <c r="AD94" s="2015">
        <v>0</v>
      </c>
      <c r="AE94" s="2015">
        <v>0</v>
      </c>
      <c r="AF94" s="2016">
        <v>0</v>
      </c>
      <c r="AG94" s="2015">
        <v>0</v>
      </c>
      <c r="AH94" s="2015">
        <v>0</v>
      </c>
      <c r="AI94" s="2016">
        <v>0</v>
      </c>
      <c r="AJ94" s="2015">
        <v>0</v>
      </c>
      <c r="AK94" s="2015">
        <v>0</v>
      </c>
      <c r="AL94" s="2016">
        <v>0</v>
      </c>
      <c r="AM94" s="2015">
        <v>0</v>
      </c>
      <c r="AN94" s="2015">
        <v>0</v>
      </c>
      <c r="AO94" s="2016">
        <v>0</v>
      </c>
      <c r="AP94" s="2015">
        <v>0</v>
      </c>
      <c r="AQ94" s="2015">
        <v>0</v>
      </c>
      <c r="AR94" s="2016">
        <v>0</v>
      </c>
    </row>
    <row r="95" spans="1:44" s="2022" customFormat="1" ht="12.3">
      <c r="A95" s="2014" t="s">
        <v>3345</v>
      </c>
      <c r="B95" s="2014" t="s">
        <v>3272</v>
      </c>
      <c r="C95" s="2015">
        <v>675000000</v>
      </c>
      <c r="D95" s="2015">
        <v>0</v>
      </c>
      <c r="E95" s="2015">
        <v>2359127060.4400001</v>
      </c>
      <c r="F95" s="2015">
        <v>1770000000</v>
      </c>
      <c r="G95" s="2015">
        <v>6215000000</v>
      </c>
      <c r="H95" s="2016" t="s">
        <v>782</v>
      </c>
      <c r="I95" s="2015"/>
      <c r="J95" s="2015"/>
      <c r="K95" s="2016">
        <v>0</v>
      </c>
      <c r="L95" s="2015">
        <v>0</v>
      </c>
      <c r="M95" s="2015">
        <v>0</v>
      </c>
      <c r="N95" s="2016">
        <v>0</v>
      </c>
      <c r="O95" s="2015">
        <v>0</v>
      </c>
      <c r="P95" s="2015">
        <v>0</v>
      </c>
      <c r="Q95" s="2016">
        <v>0</v>
      </c>
      <c r="R95" s="2015"/>
      <c r="S95" s="2015"/>
      <c r="T95" s="2016">
        <v>0</v>
      </c>
      <c r="U95" s="2015"/>
      <c r="V95" s="2015"/>
      <c r="W95" s="2016">
        <v>0</v>
      </c>
      <c r="X95" s="2015">
        <v>0</v>
      </c>
      <c r="Y95" s="2015">
        <v>0</v>
      </c>
      <c r="Z95" s="2016">
        <v>0</v>
      </c>
      <c r="AA95" s="2015">
        <v>0</v>
      </c>
      <c r="AB95" s="2015">
        <v>0</v>
      </c>
      <c r="AC95" s="2016">
        <v>0</v>
      </c>
      <c r="AD95" s="2015">
        <v>0</v>
      </c>
      <c r="AE95" s="2015">
        <v>0</v>
      </c>
      <c r="AF95" s="2016">
        <v>0</v>
      </c>
      <c r="AG95" s="2015">
        <v>0</v>
      </c>
      <c r="AH95" s="2015">
        <v>0</v>
      </c>
      <c r="AI95" s="2016">
        <v>0</v>
      </c>
      <c r="AJ95" s="2015">
        <v>0</v>
      </c>
      <c r="AK95" s="2015">
        <v>0</v>
      </c>
      <c r="AL95" s="2016">
        <v>0</v>
      </c>
      <c r="AM95" s="2015">
        <v>0</v>
      </c>
      <c r="AN95" s="2015">
        <v>0</v>
      </c>
      <c r="AO95" s="2016">
        <v>0</v>
      </c>
      <c r="AP95" s="2015">
        <v>0</v>
      </c>
      <c r="AQ95" s="2015">
        <v>0</v>
      </c>
      <c r="AR95" s="2016">
        <v>0</v>
      </c>
    </row>
    <row r="96" spans="1:44" s="2022" customFormat="1" ht="12.3">
      <c r="A96" s="2014" t="s">
        <v>3346</v>
      </c>
      <c r="B96" s="2014" t="s">
        <v>3272</v>
      </c>
      <c r="C96" s="2015">
        <v>675000000</v>
      </c>
      <c r="D96" s="2015">
        <v>0</v>
      </c>
      <c r="E96" s="2015">
        <v>5840118450</v>
      </c>
      <c r="F96" s="2015">
        <v>1649991200</v>
      </c>
      <c r="G96" s="2015">
        <v>610000000</v>
      </c>
      <c r="H96" s="2016">
        <v>1649991200</v>
      </c>
      <c r="I96" s="2015">
        <v>824995600</v>
      </c>
      <c r="J96" s="2015">
        <v>824995600</v>
      </c>
      <c r="K96" s="2016">
        <v>1649991200</v>
      </c>
      <c r="L96" s="2015">
        <v>824995600</v>
      </c>
      <c r="M96" s="2015">
        <v>824995600</v>
      </c>
      <c r="N96" s="2016">
        <v>1649991200</v>
      </c>
      <c r="O96" s="2015">
        <v>0</v>
      </c>
      <c r="P96" s="2015">
        <v>0</v>
      </c>
      <c r="Q96" s="2016">
        <v>0</v>
      </c>
      <c r="R96" s="2015">
        <v>0</v>
      </c>
      <c r="S96" s="2015">
        <v>0</v>
      </c>
      <c r="T96" s="2016">
        <v>0</v>
      </c>
      <c r="U96" s="2015">
        <v>0</v>
      </c>
      <c r="V96" s="2015">
        <v>0</v>
      </c>
      <c r="W96" s="2016">
        <v>0</v>
      </c>
      <c r="X96" s="2015">
        <v>0</v>
      </c>
      <c r="Y96" s="2015">
        <v>0</v>
      </c>
      <c r="Z96" s="2016">
        <v>0</v>
      </c>
      <c r="AA96" s="2015">
        <v>0</v>
      </c>
      <c r="AB96" s="2015">
        <v>0</v>
      </c>
      <c r="AC96" s="2016">
        <v>0</v>
      </c>
      <c r="AD96" s="2015">
        <v>0</v>
      </c>
      <c r="AE96" s="2015">
        <v>0</v>
      </c>
      <c r="AF96" s="2016">
        <v>0</v>
      </c>
      <c r="AG96" s="2015">
        <v>0</v>
      </c>
      <c r="AH96" s="2015">
        <v>0</v>
      </c>
      <c r="AI96" s="2016">
        <v>0</v>
      </c>
      <c r="AJ96" s="2015">
        <v>0</v>
      </c>
      <c r="AK96" s="2015">
        <v>0</v>
      </c>
      <c r="AL96" s="2016">
        <v>0</v>
      </c>
      <c r="AM96" s="2015">
        <v>0</v>
      </c>
      <c r="AN96" s="2015">
        <v>0</v>
      </c>
      <c r="AO96" s="2016">
        <v>0</v>
      </c>
      <c r="AP96" s="2015">
        <v>0</v>
      </c>
      <c r="AQ96" s="2015">
        <v>0</v>
      </c>
      <c r="AR96" s="2016">
        <v>0</v>
      </c>
    </row>
    <row r="97" spans="1:44" s="2022" customFormat="1" ht="12.3">
      <c r="A97" s="2014" t="s">
        <v>3347</v>
      </c>
      <c r="B97" s="2014" t="s">
        <v>3272</v>
      </c>
      <c r="C97" s="2015"/>
      <c r="D97" s="2015"/>
      <c r="E97" s="2015">
        <v>1267500000</v>
      </c>
      <c r="F97" s="2015">
        <v>6215000000</v>
      </c>
      <c r="G97" s="2015">
        <v>3900750000</v>
      </c>
      <c r="H97" s="2016">
        <v>2361645000</v>
      </c>
      <c r="I97" s="2015">
        <v>1180822500</v>
      </c>
      <c r="J97" s="2015">
        <v>1180822500</v>
      </c>
      <c r="K97" s="2016">
        <v>2361645000</v>
      </c>
      <c r="L97" s="2015">
        <v>1180822500</v>
      </c>
      <c r="M97" s="2015">
        <v>1180822500</v>
      </c>
      <c r="N97" s="2016">
        <v>2361645000</v>
      </c>
      <c r="O97" s="2015">
        <v>1180822500</v>
      </c>
      <c r="P97" s="2015">
        <v>1180822500</v>
      </c>
      <c r="Q97" s="2016">
        <v>2361645000</v>
      </c>
      <c r="R97" s="2015">
        <v>0</v>
      </c>
      <c r="S97" s="2015">
        <v>0</v>
      </c>
      <c r="T97" s="2016">
        <v>0</v>
      </c>
      <c r="U97" s="2015">
        <v>0</v>
      </c>
      <c r="V97" s="2015">
        <v>0</v>
      </c>
      <c r="W97" s="2016">
        <v>0</v>
      </c>
      <c r="X97" s="2015">
        <v>0</v>
      </c>
      <c r="Y97" s="2015">
        <v>0</v>
      </c>
      <c r="Z97" s="2016">
        <v>0</v>
      </c>
      <c r="AA97" s="2015">
        <v>0</v>
      </c>
      <c r="AB97" s="2015">
        <v>0</v>
      </c>
      <c r="AC97" s="2016">
        <v>0</v>
      </c>
      <c r="AD97" s="2015">
        <v>0</v>
      </c>
      <c r="AE97" s="2015">
        <v>0</v>
      </c>
      <c r="AF97" s="2016">
        <v>0</v>
      </c>
      <c r="AG97" s="2015">
        <v>0</v>
      </c>
      <c r="AH97" s="2015">
        <v>0</v>
      </c>
      <c r="AI97" s="2016">
        <v>0</v>
      </c>
      <c r="AJ97" s="2015">
        <v>0</v>
      </c>
      <c r="AK97" s="2015">
        <v>0</v>
      </c>
      <c r="AL97" s="2016">
        <v>0</v>
      </c>
      <c r="AM97" s="2015">
        <v>0</v>
      </c>
      <c r="AN97" s="2015">
        <v>0</v>
      </c>
      <c r="AO97" s="2016">
        <v>0</v>
      </c>
      <c r="AP97" s="2015">
        <v>0</v>
      </c>
      <c r="AQ97" s="2015">
        <v>0</v>
      </c>
      <c r="AR97" s="2016">
        <v>0</v>
      </c>
    </row>
    <row r="98" spans="1:44" s="2022" customFormat="1" ht="12.3">
      <c r="A98" s="2014" t="s">
        <v>3348</v>
      </c>
      <c r="B98" s="2014" t="s">
        <v>3272</v>
      </c>
      <c r="C98" s="2015"/>
      <c r="D98" s="2015"/>
      <c r="E98" s="2015">
        <v>1871250000</v>
      </c>
      <c r="F98" s="2015">
        <v>610000000</v>
      </c>
      <c r="G98" s="2015">
        <v>5840118450</v>
      </c>
      <c r="H98" s="2016">
        <v>6215000000</v>
      </c>
      <c r="I98" s="2015">
        <v>0</v>
      </c>
      <c r="J98" s="2015">
        <v>0</v>
      </c>
      <c r="K98" s="2016">
        <v>0</v>
      </c>
      <c r="L98" s="2015">
        <v>0</v>
      </c>
      <c r="M98" s="2015">
        <v>0</v>
      </c>
      <c r="N98" s="2016">
        <v>0</v>
      </c>
      <c r="O98" s="2015">
        <v>0</v>
      </c>
      <c r="P98" s="2015">
        <v>0</v>
      </c>
      <c r="Q98" s="2016">
        <v>0</v>
      </c>
      <c r="R98" s="2015">
        <v>0</v>
      </c>
      <c r="S98" s="2015">
        <v>0</v>
      </c>
      <c r="T98" s="2016">
        <v>0</v>
      </c>
      <c r="U98" s="2015">
        <v>0</v>
      </c>
      <c r="V98" s="2015">
        <v>0</v>
      </c>
      <c r="W98" s="2016">
        <v>0</v>
      </c>
      <c r="X98" s="2015">
        <v>0</v>
      </c>
      <c r="Y98" s="2015">
        <v>0</v>
      </c>
      <c r="Z98" s="2016">
        <v>0</v>
      </c>
      <c r="AA98" s="2015">
        <v>0</v>
      </c>
      <c r="AB98" s="2015">
        <v>0</v>
      </c>
      <c r="AC98" s="2016">
        <v>0</v>
      </c>
      <c r="AD98" s="2015">
        <v>0</v>
      </c>
      <c r="AE98" s="2015">
        <v>0</v>
      </c>
      <c r="AF98" s="2016">
        <v>0</v>
      </c>
      <c r="AG98" s="2015">
        <v>0</v>
      </c>
      <c r="AH98" s="2015">
        <v>0</v>
      </c>
      <c r="AI98" s="2016">
        <v>0</v>
      </c>
      <c r="AJ98" s="2015">
        <v>0</v>
      </c>
      <c r="AK98" s="2015">
        <v>0</v>
      </c>
      <c r="AL98" s="2016">
        <v>0</v>
      </c>
      <c r="AM98" s="2015">
        <v>0</v>
      </c>
      <c r="AN98" s="2015">
        <v>0</v>
      </c>
      <c r="AO98" s="2016">
        <v>0</v>
      </c>
      <c r="AP98" s="2015">
        <v>0</v>
      </c>
      <c r="AQ98" s="2015">
        <v>0</v>
      </c>
      <c r="AR98" s="2016">
        <v>0</v>
      </c>
    </row>
    <row r="99" spans="1:44" s="2022" customFormat="1" ht="12.3">
      <c r="A99" s="2014" t="s">
        <v>3359</v>
      </c>
      <c r="B99" s="2014" t="s">
        <v>3272</v>
      </c>
      <c r="C99" s="2015"/>
      <c r="D99" s="2015"/>
      <c r="E99" s="2015"/>
      <c r="F99" s="2015"/>
      <c r="G99" s="2015"/>
      <c r="H99" s="2016">
        <v>3326280720</v>
      </c>
      <c r="I99" s="2015">
        <v>1663140360</v>
      </c>
      <c r="J99" s="2015">
        <v>1663140360</v>
      </c>
      <c r="K99" s="2016">
        <v>3326280720</v>
      </c>
      <c r="L99" s="2015">
        <v>1663140360</v>
      </c>
      <c r="M99" s="2015">
        <v>1663140360</v>
      </c>
      <c r="N99" s="2016">
        <v>3326280720</v>
      </c>
      <c r="O99" s="2015">
        <v>1663140360</v>
      </c>
      <c r="P99" s="2015">
        <v>1663140360</v>
      </c>
      <c r="Q99" s="2016">
        <v>3326280720</v>
      </c>
      <c r="R99" s="2015">
        <v>1663140360</v>
      </c>
      <c r="S99" s="2015">
        <v>1663140360</v>
      </c>
      <c r="T99" s="2016">
        <v>3326280720</v>
      </c>
      <c r="U99" s="2015">
        <v>0</v>
      </c>
      <c r="V99" s="2015">
        <v>0</v>
      </c>
      <c r="W99" s="2016">
        <v>0</v>
      </c>
      <c r="X99" s="2015">
        <v>0</v>
      </c>
      <c r="Y99" s="2015">
        <v>0</v>
      </c>
      <c r="Z99" s="2016">
        <v>0</v>
      </c>
      <c r="AA99" s="2015">
        <v>0</v>
      </c>
      <c r="AB99" s="2015">
        <v>0</v>
      </c>
      <c r="AC99" s="2016">
        <v>0</v>
      </c>
      <c r="AD99" s="2015">
        <v>0</v>
      </c>
      <c r="AE99" s="2015">
        <v>0</v>
      </c>
      <c r="AF99" s="2016">
        <v>0</v>
      </c>
      <c r="AG99" s="2015">
        <v>0</v>
      </c>
      <c r="AH99" s="2015">
        <v>0</v>
      </c>
      <c r="AI99" s="2016">
        <v>0</v>
      </c>
      <c r="AJ99" s="2015">
        <v>0</v>
      </c>
      <c r="AK99" s="2015">
        <v>0</v>
      </c>
      <c r="AL99" s="2016">
        <v>0</v>
      </c>
      <c r="AM99" s="2015">
        <v>0</v>
      </c>
      <c r="AN99" s="2015">
        <v>0</v>
      </c>
      <c r="AO99" s="2016">
        <v>0</v>
      </c>
      <c r="AP99" s="2015">
        <v>0</v>
      </c>
      <c r="AQ99" s="2015">
        <v>0</v>
      </c>
      <c r="AR99" s="2016">
        <v>0</v>
      </c>
    </row>
    <row r="100" spans="1:44" s="2023" customFormat="1" ht="12.3">
      <c r="A100" s="2014" t="s">
        <v>3349</v>
      </c>
      <c r="B100" s="2014" t="s">
        <v>3272</v>
      </c>
      <c r="C100" s="2015"/>
      <c r="D100" s="2015"/>
      <c r="E100" s="2015">
        <v>2480000000</v>
      </c>
      <c r="F100" s="2015">
        <v>3900750000</v>
      </c>
      <c r="G100" s="2015">
        <v>1267500000</v>
      </c>
      <c r="H100" s="2016">
        <v>3326280720</v>
      </c>
      <c r="I100" s="2015">
        <v>0</v>
      </c>
      <c r="J100" s="2015">
        <v>0</v>
      </c>
      <c r="K100" s="2016">
        <v>0</v>
      </c>
      <c r="L100" s="2015">
        <v>0</v>
      </c>
      <c r="M100" s="2015">
        <v>0</v>
      </c>
      <c r="N100" s="2016">
        <v>0</v>
      </c>
      <c r="O100" s="2015">
        <v>0</v>
      </c>
      <c r="P100" s="2015">
        <v>0</v>
      </c>
      <c r="Q100" s="2016">
        <v>0</v>
      </c>
      <c r="R100" s="2015">
        <v>0</v>
      </c>
      <c r="S100" s="2015">
        <v>0</v>
      </c>
      <c r="T100" s="2016">
        <v>0</v>
      </c>
      <c r="U100" s="2015">
        <v>0</v>
      </c>
      <c r="V100" s="2015">
        <v>0</v>
      </c>
      <c r="W100" s="2016">
        <v>0</v>
      </c>
      <c r="X100" s="2015">
        <v>0</v>
      </c>
      <c r="Y100" s="2015">
        <v>0</v>
      </c>
      <c r="Z100" s="2016">
        <v>0</v>
      </c>
      <c r="AA100" s="2015">
        <v>0</v>
      </c>
      <c r="AB100" s="2015">
        <v>0</v>
      </c>
      <c r="AC100" s="2016">
        <v>0</v>
      </c>
      <c r="AD100" s="2015">
        <v>0</v>
      </c>
      <c r="AE100" s="2015">
        <v>0</v>
      </c>
      <c r="AF100" s="2016">
        <v>0</v>
      </c>
      <c r="AG100" s="2015">
        <v>0</v>
      </c>
      <c r="AH100" s="2015">
        <v>0</v>
      </c>
      <c r="AI100" s="2016">
        <v>0</v>
      </c>
      <c r="AJ100" s="2015">
        <v>0</v>
      </c>
      <c r="AK100" s="2015">
        <v>0</v>
      </c>
      <c r="AL100" s="2016">
        <v>0</v>
      </c>
      <c r="AM100" s="2015">
        <v>0</v>
      </c>
      <c r="AN100" s="2015">
        <v>0</v>
      </c>
      <c r="AO100" s="2016">
        <v>0</v>
      </c>
      <c r="AP100" s="2015">
        <v>0</v>
      </c>
      <c r="AQ100" s="2015">
        <v>0</v>
      </c>
      <c r="AR100" s="2016">
        <v>0</v>
      </c>
    </row>
    <row r="101" spans="1:44" s="2022" customFormat="1" ht="12.3">
      <c r="A101" s="2014" t="s">
        <v>3350</v>
      </c>
      <c r="B101" s="2014" t="s">
        <v>3272</v>
      </c>
      <c r="C101" s="2015"/>
      <c r="D101" s="2015"/>
      <c r="E101" s="2015">
        <v>5367943350</v>
      </c>
      <c r="F101" s="2015">
        <v>5840118450</v>
      </c>
      <c r="G101" s="2015">
        <v>2480000000</v>
      </c>
      <c r="H101" s="2016">
        <v>3900750000</v>
      </c>
      <c r="I101" s="2015">
        <v>1950375000</v>
      </c>
      <c r="J101" s="2015">
        <v>1950375000</v>
      </c>
      <c r="K101" s="2016">
        <v>3900750000</v>
      </c>
      <c r="L101" s="2015">
        <v>1950375000</v>
      </c>
      <c r="M101" s="2015">
        <v>0</v>
      </c>
      <c r="N101" s="2016">
        <v>1950375000</v>
      </c>
      <c r="O101" s="2015">
        <v>0</v>
      </c>
      <c r="P101" s="2015">
        <v>0</v>
      </c>
      <c r="Q101" s="2016">
        <v>0</v>
      </c>
      <c r="R101" s="2015">
        <v>0</v>
      </c>
      <c r="S101" s="2015">
        <v>0</v>
      </c>
      <c r="T101" s="2016">
        <v>0</v>
      </c>
      <c r="U101" s="2015">
        <v>0</v>
      </c>
      <c r="V101" s="2015">
        <v>0</v>
      </c>
      <c r="W101" s="2016">
        <v>0</v>
      </c>
      <c r="X101" s="2015">
        <v>0</v>
      </c>
      <c r="Y101" s="2015">
        <v>0</v>
      </c>
      <c r="Z101" s="2016">
        <v>0</v>
      </c>
      <c r="AA101" s="2015">
        <v>0</v>
      </c>
      <c r="AB101" s="2015">
        <v>0</v>
      </c>
      <c r="AC101" s="2016">
        <v>0</v>
      </c>
      <c r="AD101" s="2015">
        <v>0</v>
      </c>
      <c r="AE101" s="2015">
        <v>0</v>
      </c>
      <c r="AF101" s="2016">
        <v>0</v>
      </c>
      <c r="AG101" s="2015">
        <v>0</v>
      </c>
      <c r="AH101" s="2015">
        <v>0</v>
      </c>
      <c r="AI101" s="2016">
        <v>0</v>
      </c>
      <c r="AJ101" s="2015">
        <v>0</v>
      </c>
      <c r="AK101" s="2015">
        <v>0</v>
      </c>
      <c r="AL101" s="2016">
        <v>0</v>
      </c>
      <c r="AM101" s="2015">
        <v>0</v>
      </c>
      <c r="AN101" s="2015">
        <v>0</v>
      </c>
      <c r="AO101" s="2016">
        <v>0</v>
      </c>
      <c r="AP101" s="2015">
        <v>0</v>
      </c>
      <c r="AQ101" s="2015">
        <v>0</v>
      </c>
      <c r="AR101" s="2016">
        <v>0</v>
      </c>
    </row>
    <row r="102" spans="1:44" s="2022" customFormat="1" ht="12.3">
      <c r="A102" s="2014" t="s">
        <v>3351</v>
      </c>
      <c r="B102" s="2014" t="s">
        <v>3272</v>
      </c>
      <c r="C102" s="2015"/>
      <c r="D102" s="2015"/>
      <c r="E102" s="2015">
        <v>2310000000</v>
      </c>
      <c r="F102" s="2015">
        <v>1267500000</v>
      </c>
      <c r="G102" s="2015">
        <v>5367943350</v>
      </c>
      <c r="H102" s="2016">
        <v>5840118450</v>
      </c>
      <c r="I102" s="2015">
        <v>2920059225</v>
      </c>
      <c r="J102" s="2015">
        <v>2920059225</v>
      </c>
      <c r="K102" s="2016">
        <v>5840118450</v>
      </c>
      <c r="L102" s="2015">
        <v>2920059225</v>
      </c>
      <c r="M102" s="2015">
        <v>2920059225</v>
      </c>
      <c r="N102" s="2016">
        <v>5840118450</v>
      </c>
      <c r="O102" s="2015">
        <v>0</v>
      </c>
      <c r="P102" s="2015">
        <v>0</v>
      </c>
      <c r="Q102" s="2016">
        <v>0</v>
      </c>
      <c r="R102" s="2015">
        <v>0</v>
      </c>
      <c r="S102" s="2015">
        <v>0</v>
      </c>
      <c r="T102" s="2016">
        <v>0</v>
      </c>
      <c r="U102" s="2015">
        <v>0</v>
      </c>
      <c r="V102" s="2015">
        <v>0</v>
      </c>
      <c r="W102" s="2016">
        <v>0</v>
      </c>
      <c r="X102" s="2015">
        <v>0</v>
      </c>
      <c r="Y102" s="2015">
        <v>0</v>
      </c>
      <c r="Z102" s="2016">
        <v>0</v>
      </c>
      <c r="AA102" s="2015">
        <v>0</v>
      </c>
      <c r="AB102" s="2015">
        <v>0</v>
      </c>
      <c r="AC102" s="2016">
        <v>0</v>
      </c>
      <c r="AD102" s="2015">
        <v>0</v>
      </c>
      <c r="AE102" s="2015">
        <v>0</v>
      </c>
      <c r="AF102" s="2016">
        <v>0</v>
      </c>
      <c r="AG102" s="2015">
        <v>0</v>
      </c>
      <c r="AH102" s="2015">
        <v>0</v>
      </c>
      <c r="AI102" s="2016">
        <v>0</v>
      </c>
      <c r="AJ102" s="2015">
        <v>0</v>
      </c>
      <c r="AK102" s="2015">
        <v>0</v>
      </c>
      <c r="AL102" s="2016">
        <v>0</v>
      </c>
      <c r="AM102" s="2015">
        <v>0</v>
      </c>
      <c r="AN102" s="2015">
        <v>0</v>
      </c>
      <c r="AO102" s="2016">
        <v>0</v>
      </c>
      <c r="AP102" s="2015">
        <v>0</v>
      </c>
      <c r="AQ102" s="2015">
        <v>0</v>
      </c>
      <c r="AR102" s="2016">
        <v>0</v>
      </c>
    </row>
    <row r="103" spans="1:44" s="2022" customFormat="1" ht="12.3">
      <c r="A103" s="2014" t="s">
        <v>3352</v>
      </c>
      <c r="B103" s="2014" t="s">
        <v>3272</v>
      </c>
      <c r="C103" s="2015"/>
      <c r="D103" s="2015"/>
      <c r="E103" s="2015">
        <v>835875000</v>
      </c>
      <c r="F103" s="2015">
        <v>2480000000</v>
      </c>
      <c r="G103" s="2015">
        <v>7283437500</v>
      </c>
      <c r="H103" s="2016">
        <v>1267500000</v>
      </c>
      <c r="I103" s="2015">
        <v>0</v>
      </c>
      <c r="J103" s="2015">
        <v>0</v>
      </c>
      <c r="K103" s="2016">
        <v>0</v>
      </c>
      <c r="L103" s="2015">
        <v>0</v>
      </c>
      <c r="M103" s="2015">
        <v>0</v>
      </c>
      <c r="N103" s="2016">
        <v>0</v>
      </c>
      <c r="O103" s="2015">
        <v>0</v>
      </c>
      <c r="P103" s="2015">
        <v>0</v>
      </c>
      <c r="Q103" s="2016">
        <v>0</v>
      </c>
      <c r="R103" s="2015">
        <v>0</v>
      </c>
      <c r="S103" s="2015">
        <v>0</v>
      </c>
      <c r="T103" s="2016">
        <v>0</v>
      </c>
      <c r="U103" s="2015">
        <v>0</v>
      </c>
      <c r="V103" s="2015">
        <v>0</v>
      </c>
      <c r="W103" s="2016">
        <v>0</v>
      </c>
      <c r="X103" s="2015">
        <v>0</v>
      </c>
      <c r="Y103" s="2015">
        <v>0</v>
      </c>
      <c r="Z103" s="2016">
        <v>0</v>
      </c>
      <c r="AA103" s="2015">
        <v>0</v>
      </c>
      <c r="AB103" s="2015">
        <v>0</v>
      </c>
      <c r="AC103" s="2016">
        <v>0</v>
      </c>
      <c r="AD103" s="2015">
        <v>0</v>
      </c>
      <c r="AE103" s="2015">
        <v>0</v>
      </c>
      <c r="AF103" s="2016">
        <v>0</v>
      </c>
      <c r="AG103" s="2015">
        <v>0</v>
      </c>
      <c r="AH103" s="2015">
        <v>0</v>
      </c>
      <c r="AI103" s="2016">
        <v>0</v>
      </c>
      <c r="AJ103" s="2015">
        <v>0</v>
      </c>
      <c r="AK103" s="2015">
        <v>0</v>
      </c>
      <c r="AL103" s="2016">
        <v>0</v>
      </c>
      <c r="AM103" s="2015">
        <v>0</v>
      </c>
      <c r="AN103" s="2015">
        <v>0</v>
      </c>
      <c r="AO103" s="2016">
        <v>0</v>
      </c>
      <c r="AP103" s="2015">
        <v>0</v>
      </c>
      <c r="AQ103" s="2015">
        <v>0</v>
      </c>
      <c r="AR103" s="2016">
        <v>0</v>
      </c>
    </row>
    <row r="104" spans="1:44" s="2022" customFormat="1" ht="12.3">
      <c r="A104" s="2014" t="s">
        <v>3353</v>
      </c>
      <c r="B104" s="2014" t="s">
        <v>3272</v>
      </c>
      <c r="C104" s="2015"/>
      <c r="D104" s="2015"/>
      <c r="E104" s="2015"/>
      <c r="F104" s="2015"/>
      <c r="G104" s="2015">
        <v>6861000000</v>
      </c>
      <c r="H104" s="2016">
        <v>2480000000</v>
      </c>
      <c r="I104" s="2015">
        <v>1240000000</v>
      </c>
      <c r="J104" s="2015">
        <v>0</v>
      </c>
      <c r="K104" s="2016">
        <v>1240000000</v>
      </c>
      <c r="L104" s="2015">
        <v>0</v>
      </c>
      <c r="M104" s="2015">
        <v>0</v>
      </c>
      <c r="N104" s="2016">
        <v>0</v>
      </c>
      <c r="O104" s="2015">
        <v>0</v>
      </c>
      <c r="P104" s="2015">
        <v>0</v>
      </c>
      <c r="Q104" s="2016">
        <v>0</v>
      </c>
      <c r="R104" s="2015">
        <v>0</v>
      </c>
      <c r="S104" s="2015">
        <v>0</v>
      </c>
      <c r="T104" s="2016">
        <v>0</v>
      </c>
      <c r="U104" s="2015">
        <v>0</v>
      </c>
      <c r="V104" s="2015">
        <v>0</v>
      </c>
      <c r="W104" s="2016">
        <v>0</v>
      </c>
      <c r="X104" s="2015">
        <v>0</v>
      </c>
      <c r="Y104" s="2015">
        <v>0</v>
      </c>
      <c r="Z104" s="2016">
        <v>0</v>
      </c>
      <c r="AA104" s="2015">
        <v>0</v>
      </c>
      <c r="AB104" s="2015">
        <v>0</v>
      </c>
      <c r="AC104" s="2016">
        <v>0</v>
      </c>
      <c r="AD104" s="2015">
        <v>0</v>
      </c>
      <c r="AE104" s="2015">
        <v>0</v>
      </c>
      <c r="AF104" s="2016">
        <v>0</v>
      </c>
      <c r="AG104" s="2015">
        <v>0</v>
      </c>
      <c r="AH104" s="2015">
        <v>0</v>
      </c>
      <c r="AI104" s="2016">
        <v>0</v>
      </c>
      <c r="AJ104" s="2015">
        <v>0</v>
      </c>
      <c r="AK104" s="2015">
        <v>0</v>
      </c>
      <c r="AL104" s="2016">
        <v>0</v>
      </c>
      <c r="AM104" s="2015">
        <v>0</v>
      </c>
      <c r="AN104" s="2015">
        <v>0</v>
      </c>
      <c r="AO104" s="2016">
        <v>0</v>
      </c>
      <c r="AP104" s="2015">
        <v>0</v>
      </c>
      <c r="AQ104" s="2015">
        <v>0</v>
      </c>
      <c r="AR104" s="2016">
        <v>0</v>
      </c>
    </row>
    <row r="105" spans="1:44" s="2022" customFormat="1" ht="12.3">
      <c r="A105" s="2014" t="s">
        <v>3354</v>
      </c>
      <c r="B105" s="2014" t="s">
        <v>3272</v>
      </c>
      <c r="C105" s="2015"/>
      <c r="D105" s="2015"/>
      <c r="E105" s="2015"/>
      <c r="F105" s="2015"/>
      <c r="G105" s="2015">
        <v>3900000000</v>
      </c>
      <c r="H105" s="2016">
        <v>5367943350</v>
      </c>
      <c r="I105" s="2015">
        <v>2683971675</v>
      </c>
      <c r="J105" s="2015">
        <v>2683971675</v>
      </c>
      <c r="K105" s="2016">
        <v>5367943350</v>
      </c>
      <c r="L105" s="2015">
        <v>2683971675</v>
      </c>
      <c r="M105" s="2015">
        <v>2683971675</v>
      </c>
      <c r="N105" s="2016">
        <v>5367943350</v>
      </c>
      <c r="O105" s="2015">
        <v>2683971675</v>
      </c>
      <c r="P105" s="2015">
        <v>0</v>
      </c>
      <c r="Q105" s="2016">
        <v>2683971675</v>
      </c>
      <c r="R105" s="2015">
        <v>0</v>
      </c>
      <c r="S105" s="2015">
        <v>0</v>
      </c>
      <c r="T105" s="2016">
        <v>0</v>
      </c>
      <c r="U105" s="2015">
        <v>0</v>
      </c>
      <c r="V105" s="2015">
        <v>0</v>
      </c>
      <c r="W105" s="2016">
        <v>0</v>
      </c>
      <c r="X105" s="2015">
        <v>0</v>
      </c>
      <c r="Y105" s="2015">
        <v>0</v>
      </c>
      <c r="Z105" s="2016">
        <v>0</v>
      </c>
      <c r="AA105" s="2015">
        <v>0</v>
      </c>
      <c r="AB105" s="2015">
        <v>0</v>
      </c>
      <c r="AC105" s="2016">
        <v>0</v>
      </c>
      <c r="AD105" s="2015">
        <v>0</v>
      </c>
      <c r="AE105" s="2015">
        <v>0</v>
      </c>
      <c r="AF105" s="2016">
        <v>0</v>
      </c>
      <c r="AG105" s="2015">
        <v>0</v>
      </c>
      <c r="AH105" s="2015">
        <v>0</v>
      </c>
      <c r="AI105" s="2016">
        <v>0</v>
      </c>
      <c r="AJ105" s="2015">
        <v>0</v>
      </c>
      <c r="AK105" s="2015">
        <v>0</v>
      </c>
      <c r="AL105" s="2016">
        <v>0</v>
      </c>
      <c r="AM105" s="2015">
        <v>0</v>
      </c>
      <c r="AN105" s="2015">
        <v>0</v>
      </c>
      <c r="AO105" s="2016">
        <v>0</v>
      </c>
      <c r="AP105" s="2015">
        <v>0</v>
      </c>
      <c r="AQ105" s="2015">
        <v>0</v>
      </c>
      <c r="AR105" s="2016">
        <v>0</v>
      </c>
    </row>
    <row r="106" spans="1:44" s="2022" customFormat="1" ht="12.3">
      <c r="A106" s="2014" t="s">
        <v>3355</v>
      </c>
      <c r="B106" s="2014" t="s">
        <v>3272</v>
      </c>
      <c r="C106" s="2015"/>
      <c r="D106" s="2015"/>
      <c r="E106" s="2015"/>
      <c r="F106" s="2015"/>
      <c r="G106" s="2015">
        <v>856875000</v>
      </c>
      <c r="H106" s="2016">
        <v>9749938500</v>
      </c>
      <c r="I106" s="2015">
        <v>4874969250</v>
      </c>
      <c r="J106" s="2015">
        <v>4874969250</v>
      </c>
      <c r="K106" s="2016">
        <v>9749938500</v>
      </c>
      <c r="L106" s="2015">
        <v>4874969250</v>
      </c>
      <c r="M106" s="2015">
        <v>4874969250</v>
      </c>
      <c r="N106" s="2016">
        <v>9749938500</v>
      </c>
      <c r="O106" s="2015">
        <v>4874969250</v>
      </c>
      <c r="P106" s="2015">
        <v>4874969250</v>
      </c>
      <c r="Q106" s="2016">
        <v>9749938500</v>
      </c>
      <c r="R106" s="2015">
        <v>4874969250</v>
      </c>
      <c r="S106" s="2015">
        <v>4874969250</v>
      </c>
      <c r="T106" s="2016">
        <v>9749938500</v>
      </c>
      <c r="U106" s="2015">
        <v>4874969250</v>
      </c>
      <c r="V106" s="2015">
        <v>4874969250</v>
      </c>
      <c r="W106" s="2016">
        <v>9749938500</v>
      </c>
      <c r="X106" s="2015">
        <v>4874969250</v>
      </c>
      <c r="Y106" s="2015">
        <v>0</v>
      </c>
      <c r="Z106" s="2016">
        <v>4874969250</v>
      </c>
      <c r="AA106" s="2015">
        <v>0</v>
      </c>
      <c r="AB106" s="2015">
        <v>0</v>
      </c>
      <c r="AC106" s="2016">
        <v>0</v>
      </c>
      <c r="AD106" s="2015">
        <v>0</v>
      </c>
      <c r="AE106" s="2015">
        <v>0</v>
      </c>
      <c r="AF106" s="2016">
        <v>0</v>
      </c>
      <c r="AG106" s="2015">
        <v>0</v>
      </c>
      <c r="AH106" s="2015">
        <v>0</v>
      </c>
      <c r="AI106" s="2016">
        <v>0</v>
      </c>
      <c r="AJ106" s="2015">
        <v>0</v>
      </c>
      <c r="AK106" s="2015">
        <v>0</v>
      </c>
      <c r="AL106" s="2016">
        <v>0</v>
      </c>
      <c r="AM106" s="2015">
        <v>0</v>
      </c>
      <c r="AN106" s="2015">
        <v>0</v>
      </c>
      <c r="AO106" s="2016">
        <v>0</v>
      </c>
      <c r="AP106" s="2015">
        <v>0</v>
      </c>
      <c r="AQ106" s="2015">
        <v>0</v>
      </c>
      <c r="AR106" s="2016">
        <v>0</v>
      </c>
    </row>
    <row r="107" spans="1:44" s="2022" customFormat="1" ht="12.3">
      <c r="A107" s="2014" t="s">
        <v>3356</v>
      </c>
      <c r="B107" s="2014" t="s">
        <v>3272</v>
      </c>
      <c r="C107" s="2015"/>
      <c r="D107" s="2015"/>
      <c r="E107" s="2015"/>
      <c r="F107" s="2015"/>
      <c r="G107" s="2015">
        <v>1593750000</v>
      </c>
      <c r="H107" s="2016">
        <v>7997500000</v>
      </c>
      <c r="I107" s="2015">
        <v>3998750000</v>
      </c>
      <c r="J107" s="2015">
        <v>3998750000</v>
      </c>
      <c r="K107" s="2016">
        <v>7997500000</v>
      </c>
      <c r="L107" s="2015">
        <v>3998750000</v>
      </c>
      <c r="M107" s="2015">
        <v>3998750000</v>
      </c>
      <c r="N107" s="2016">
        <v>7997500000</v>
      </c>
      <c r="O107" s="2015">
        <v>3998750000</v>
      </c>
      <c r="P107" s="2015">
        <v>3998750000</v>
      </c>
      <c r="Q107" s="2016">
        <v>7997500000</v>
      </c>
      <c r="R107" s="2015">
        <v>3998750000</v>
      </c>
      <c r="S107" s="2015">
        <v>3998750000</v>
      </c>
      <c r="T107" s="2016">
        <v>7997500000</v>
      </c>
      <c r="U107" s="2015">
        <v>3998750000</v>
      </c>
      <c r="V107" s="2015">
        <v>0</v>
      </c>
      <c r="W107" s="2016">
        <v>3998750000</v>
      </c>
      <c r="X107" s="2015">
        <v>0</v>
      </c>
      <c r="Y107" s="2015">
        <v>0</v>
      </c>
      <c r="Z107" s="2016">
        <v>0</v>
      </c>
      <c r="AA107" s="2015">
        <v>0</v>
      </c>
      <c r="AB107" s="2015">
        <v>0</v>
      </c>
      <c r="AC107" s="2016">
        <v>0</v>
      </c>
      <c r="AD107" s="2015">
        <v>0</v>
      </c>
      <c r="AE107" s="2015">
        <v>0</v>
      </c>
      <c r="AF107" s="2016">
        <v>0</v>
      </c>
      <c r="AG107" s="2015">
        <v>0</v>
      </c>
      <c r="AH107" s="2015">
        <v>0</v>
      </c>
      <c r="AI107" s="2016">
        <v>0</v>
      </c>
      <c r="AJ107" s="2015">
        <v>0</v>
      </c>
      <c r="AK107" s="2015">
        <v>0</v>
      </c>
      <c r="AL107" s="2016">
        <v>0</v>
      </c>
      <c r="AM107" s="2015">
        <v>0</v>
      </c>
      <c r="AN107" s="2015">
        <v>0</v>
      </c>
      <c r="AO107" s="2016">
        <v>0</v>
      </c>
      <c r="AP107" s="2015">
        <v>0</v>
      </c>
      <c r="AQ107" s="2015">
        <v>0</v>
      </c>
      <c r="AR107" s="2016">
        <v>0</v>
      </c>
    </row>
    <row r="108" spans="1:44" s="2022" customFormat="1" ht="12.3">
      <c r="A108" s="2014" t="s">
        <v>3362</v>
      </c>
      <c r="B108" s="2014" t="s">
        <v>3272</v>
      </c>
      <c r="C108" s="2015"/>
      <c r="D108" s="2015"/>
      <c r="E108" s="2015"/>
      <c r="F108" s="2015"/>
      <c r="G108" s="2015"/>
      <c r="H108" s="2016">
        <v>900000000</v>
      </c>
      <c r="I108" s="2015">
        <v>2435000000</v>
      </c>
      <c r="J108" s="2015">
        <v>2435000000</v>
      </c>
      <c r="K108" s="2016">
        <v>4870000000</v>
      </c>
      <c r="L108" s="2015">
        <v>2435000000</v>
      </c>
      <c r="M108" s="2015">
        <v>2435000000</v>
      </c>
      <c r="N108" s="2016">
        <v>4870000000</v>
      </c>
      <c r="O108" s="2015">
        <v>2435000000</v>
      </c>
      <c r="P108" s="2015">
        <v>2435000000</v>
      </c>
      <c r="Q108" s="2016">
        <v>4870000000</v>
      </c>
      <c r="R108" s="2015">
        <v>2435000000</v>
      </c>
      <c r="S108" s="2015">
        <v>2435000000</v>
      </c>
      <c r="T108" s="2016">
        <v>4870000000</v>
      </c>
      <c r="U108" s="2015">
        <v>2435000000</v>
      </c>
      <c r="V108" s="2015">
        <v>2435000000</v>
      </c>
      <c r="W108" s="2016">
        <v>4870000000</v>
      </c>
      <c r="X108" s="2015">
        <v>2435000000</v>
      </c>
      <c r="Y108" s="2015">
        <v>2435000000</v>
      </c>
      <c r="Z108" s="2016">
        <v>4870000000</v>
      </c>
      <c r="AA108" s="2015">
        <v>2435000000</v>
      </c>
      <c r="AB108" s="2015">
        <v>0</v>
      </c>
      <c r="AC108" s="2016">
        <v>2435000000</v>
      </c>
      <c r="AD108" s="2015">
        <v>0</v>
      </c>
      <c r="AE108" s="2015">
        <v>0</v>
      </c>
      <c r="AF108" s="2016">
        <v>0</v>
      </c>
      <c r="AG108" s="2015">
        <v>0</v>
      </c>
      <c r="AH108" s="2015">
        <v>0</v>
      </c>
      <c r="AI108" s="2016">
        <v>0</v>
      </c>
      <c r="AJ108" s="2015">
        <v>0</v>
      </c>
      <c r="AK108" s="2015">
        <v>0</v>
      </c>
      <c r="AL108" s="2016">
        <v>0</v>
      </c>
      <c r="AM108" s="2015">
        <v>0</v>
      </c>
      <c r="AN108" s="2015">
        <v>0</v>
      </c>
      <c r="AO108" s="2016">
        <v>0</v>
      </c>
      <c r="AP108" s="2015">
        <v>0</v>
      </c>
      <c r="AQ108" s="2015">
        <v>0</v>
      </c>
      <c r="AR108" s="2016">
        <v>0</v>
      </c>
    </row>
    <row r="109" spans="1:44" s="2022" customFormat="1" ht="12.3">
      <c r="A109" s="2014" t="s">
        <v>3357</v>
      </c>
      <c r="B109" s="2014" t="s">
        <v>3272</v>
      </c>
      <c r="C109" s="2015"/>
      <c r="D109" s="2015"/>
      <c r="E109" s="2015"/>
      <c r="F109" s="2015"/>
      <c r="G109" s="2015">
        <v>1356250000</v>
      </c>
      <c r="H109" s="2016">
        <v>6861000000</v>
      </c>
      <c r="I109" s="2015">
        <v>3430500000</v>
      </c>
      <c r="J109" s="2015">
        <v>3430500000</v>
      </c>
      <c r="K109" s="2016">
        <v>6861000000</v>
      </c>
      <c r="L109" s="2015">
        <v>3430500000</v>
      </c>
      <c r="M109" s="2015">
        <v>3430500000</v>
      </c>
      <c r="N109" s="2016">
        <v>6861000000</v>
      </c>
      <c r="O109" s="2015">
        <v>3430500000</v>
      </c>
      <c r="P109" s="2015">
        <v>3430500000</v>
      </c>
      <c r="Q109" s="2016">
        <v>6861000000</v>
      </c>
      <c r="R109" s="2015">
        <v>3430500000</v>
      </c>
      <c r="S109" s="2015">
        <v>0</v>
      </c>
      <c r="T109" s="2016">
        <v>3430500000</v>
      </c>
      <c r="U109" s="2015">
        <v>0</v>
      </c>
      <c r="V109" s="2015">
        <v>0</v>
      </c>
      <c r="W109" s="2016">
        <v>0</v>
      </c>
      <c r="X109" s="2015">
        <v>0</v>
      </c>
      <c r="Y109" s="2015">
        <v>0</v>
      </c>
      <c r="Z109" s="2016">
        <v>0</v>
      </c>
      <c r="AA109" s="2015">
        <v>0</v>
      </c>
      <c r="AB109" s="2015">
        <v>0</v>
      </c>
      <c r="AC109" s="2016">
        <v>0</v>
      </c>
      <c r="AD109" s="2015">
        <v>0</v>
      </c>
      <c r="AE109" s="2015">
        <v>0</v>
      </c>
      <c r="AF109" s="2016">
        <v>0</v>
      </c>
      <c r="AG109" s="2015">
        <v>0</v>
      </c>
      <c r="AH109" s="2015">
        <v>0</v>
      </c>
      <c r="AI109" s="2016">
        <v>0</v>
      </c>
      <c r="AJ109" s="2015">
        <v>0</v>
      </c>
      <c r="AK109" s="2015">
        <v>0</v>
      </c>
      <c r="AL109" s="2016">
        <v>0</v>
      </c>
      <c r="AM109" s="2015">
        <v>0</v>
      </c>
      <c r="AN109" s="2015">
        <v>0</v>
      </c>
      <c r="AO109" s="2016">
        <v>0</v>
      </c>
      <c r="AP109" s="2015">
        <v>0</v>
      </c>
      <c r="AQ109" s="2015">
        <v>0</v>
      </c>
      <c r="AR109" s="2016">
        <v>0</v>
      </c>
    </row>
    <row r="110" spans="1:44" s="2022" customFormat="1" ht="12.3">
      <c r="A110" s="2014" t="s">
        <v>3363</v>
      </c>
      <c r="B110" s="2014" t="s">
        <v>3272</v>
      </c>
      <c r="C110" s="2015"/>
      <c r="D110" s="2015"/>
      <c r="E110" s="2015"/>
      <c r="F110" s="2015"/>
      <c r="G110" s="2015"/>
      <c r="H110" s="2016">
        <v>0</v>
      </c>
      <c r="I110" s="2015">
        <v>664500000</v>
      </c>
      <c r="J110" s="2015">
        <v>1993500000</v>
      </c>
      <c r="K110" s="2016">
        <v>2658000000</v>
      </c>
      <c r="L110" s="2015">
        <v>1993500000</v>
      </c>
      <c r="M110" s="2015">
        <v>1993500000</v>
      </c>
      <c r="N110" s="2016">
        <v>3987000000</v>
      </c>
      <c r="O110" s="2015">
        <v>1993500000</v>
      </c>
      <c r="P110" s="2015">
        <v>1993500000</v>
      </c>
      <c r="Q110" s="2016">
        <v>3987000000</v>
      </c>
      <c r="R110" s="2015">
        <v>1993500000</v>
      </c>
      <c r="S110" s="2015">
        <v>1993500000</v>
      </c>
      <c r="T110" s="2016">
        <v>3987000000</v>
      </c>
      <c r="U110" s="2015">
        <v>1993500000</v>
      </c>
      <c r="V110" s="2015">
        <v>1993500000</v>
      </c>
      <c r="W110" s="2016">
        <v>3987000000</v>
      </c>
      <c r="X110" s="2015">
        <v>1993500000</v>
      </c>
      <c r="Y110" s="2015">
        <v>1993500000</v>
      </c>
      <c r="Z110" s="2016">
        <v>3987000000</v>
      </c>
      <c r="AA110" s="2015">
        <v>1993500000</v>
      </c>
      <c r="AB110" s="2015">
        <v>1993500000</v>
      </c>
      <c r="AC110" s="2016">
        <v>3987000000</v>
      </c>
      <c r="AD110" s="2015">
        <v>1993500000</v>
      </c>
      <c r="AE110" s="2015">
        <v>1993500000</v>
      </c>
      <c r="AF110" s="2016">
        <v>3987000000</v>
      </c>
      <c r="AG110" s="2015">
        <v>1993500000</v>
      </c>
      <c r="AH110" s="2015">
        <v>1993500000</v>
      </c>
      <c r="AI110" s="2016">
        <v>3987000000</v>
      </c>
      <c r="AJ110" s="2015">
        <v>1993500000</v>
      </c>
      <c r="AK110" s="2015">
        <v>1993500000</v>
      </c>
      <c r="AL110" s="2016">
        <v>3987000000</v>
      </c>
      <c r="AM110" s="2015">
        <v>1993500000</v>
      </c>
      <c r="AN110" s="2015">
        <v>1993500000</v>
      </c>
      <c r="AO110" s="2016">
        <v>3987000000</v>
      </c>
      <c r="AP110" s="2015">
        <v>1993500000</v>
      </c>
      <c r="AQ110" s="2015">
        <v>1993500000</v>
      </c>
      <c r="AR110" s="2016">
        <v>3987000000</v>
      </c>
    </row>
    <row r="111" spans="1:44" s="2022" customFormat="1" ht="12.3">
      <c r="A111" s="2014" t="s">
        <v>3364</v>
      </c>
      <c r="B111" s="2014" t="s">
        <v>3272</v>
      </c>
      <c r="C111" s="2015"/>
      <c r="D111" s="2015"/>
      <c r="E111" s="2015"/>
      <c r="F111" s="2015"/>
      <c r="G111" s="2015"/>
      <c r="H111" s="2016">
        <v>0</v>
      </c>
      <c r="I111" s="2015">
        <v>1200000000</v>
      </c>
      <c r="J111" s="2015">
        <v>1200000000</v>
      </c>
      <c r="K111" s="2016">
        <v>2400000000</v>
      </c>
      <c r="L111" s="2015">
        <v>1200000000</v>
      </c>
      <c r="M111" s="2015">
        <v>1200000000</v>
      </c>
      <c r="N111" s="2016">
        <v>2400000000</v>
      </c>
      <c r="O111" s="2015">
        <v>1200000000</v>
      </c>
      <c r="P111" s="2015">
        <v>1200000000</v>
      </c>
      <c r="Q111" s="2016">
        <v>2400000000</v>
      </c>
      <c r="R111" s="2015">
        <v>1200000000</v>
      </c>
      <c r="S111" s="2015">
        <v>1200000000</v>
      </c>
      <c r="T111" s="2016">
        <v>2400000000</v>
      </c>
      <c r="U111" s="2015">
        <v>1200000000</v>
      </c>
      <c r="V111" s="2015">
        <v>1200000000</v>
      </c>
      <c r="W111" s="2016">
        <v>2400000000</v>
      </c>
      <c r="X111" s="2015">
        <v>0</v>
      </c>
      <c r="Y111" s="2015">
        <v>0</v>
      </c>
      <c r="Z111" s="2016">
        <v>0</v>
      </c>
      <c r="AA111" s="2015">
        <v>0</v>
      </c>
      <c r="AB111" s="2015">
        <v>0</v>
      </c>
      <c r="AC111" s="2016">
        <v>0</v>
      </c>
      <c r="AD111" s="2015">
        <v>0</v>
      </c>
      <c r="AE111" s="2015">
        <v>0</v>
      </c>
      <c r="AF111" s="2016">
        <v>0</v>
      </c>
      <c r="AG111" s="2015">
        <v>0</v>
      </c>
      <c r="AH111" s="2015">
        <v>0</v>
      </c>
      <c r="AI111" s="2016">
        <v>0</v>
      </c>
      <c r="AJ111" s="2015">
        <v>0</v>
      </c>
      <c r="AK111" s="2015">
        <v>0</v>
      </c>
      <c r="AL111" s="2016">
        <v>0</v>
      </c>
      <c r="AM111" s="2015">
        <v>0</v>
      </c>
      <c r="AN111" s="2015">
        <v>0</v>
      </c>
      <c r="AO111" s="2016">
        <v>0</v>
      </c>
      <c r="AP111" s="2015">
        <v>0</v>
      </c>
      <c r="AQ111" s="2015">
        <v>0</v>
      </c>
      <c r="AR111" s="2016">
        <v>0</v>
      </c>
    </row>
    <row r="112" spans="1:44" s="2022" customFormat="1" ht="12.3">
      <c r="A112" s="2014" t="s">
        <v>3365</v>
      </c>
      <c r="B112" s="2014" t="s">
        <v>3272</v>
      </c>
      <c r="C112" s="2015"/>
      <c r="D112" s="2015"/>
      <c r="E112" s="2015"/>
      <c r="F112" s="2015"/>
      <c r="G112" s="2015"/>
      <c r="H112" s="2016">
        <v>0</v>
      </c>
      <c r="I112" s="2015">
        <v>1947450000</v>
      </c>
      <c r="J112" s="2015">
        <v>1947450000</v>
      </c>
      <c r="K112" s="2016">
        <v>3894900000</v>
      </c>
      <c r="L112" s="2015">
        <v>1947450000</v>
      </c>
      <c r="M112" s="2015">
        <v>1947450000</v>
      </c>
      <c r="N112" s="2016">
        <v>3894900000</v>
      </c>
      <c r="O112" s="2015">
        <v>1947450000</v>
      </c>
      <c r="P112" s="2015">
        <v>1947450000</v>
      </c>
      <c r="Q112" s="2016">
        <v>3894900000</v>
      </c>
      <c r="R112" s="2015">
        <v>1947450000</v>
      </c>
      <c r="S112" s="2015">
        <v>1947450000</v>
      </c>
      <c r="T112" s="2016">
        <v>3894900000</v>
      </c>
      <c r="U112" s="2015">
        <v>1947450000</v>
      </c>
      <c r="V112" s="2015">
        <v>1947450000</v>
      </c>
      <c r="W112" s="2016">
        <v>3894900000</v>
      </c>
      <c r="X112" s="2015">
        <v>1947450000</v>
      </c>
      <c r="Y112" s="2015">
        <v>1947450000</v>
      </c>
      <c r="Z112" s="2016">
        <v>3894900000</v>
      </c>
      <c r="AA112" s="2015">
        <v>1947450000</v>
      </c>
      <c r="AB112" s="2015">
        <v>1947450000</v>
      </c>
      <c r="AC112" s="2016">
        <v>3894900000</v>
      </c>
      <c r="AD112" s="2015">
        <v>1947450000</v>
      </c>
      <c r="AE112" s="2015">
        <v>1947450000</v>
      </c>
      <c r="AF112" s="2016">
        <v>3894900000</v>
      </c>
      <c r="AG112" s="2015">
        <v>1947450000</v>
      </c>
      <c r="AH112" s="2015">
        <v>1947450000</v>
      </c>
      <c r="AI112" s="2016">
        <v>3894900000</v>
      </c>
      <c r="AJ112" s="2015">
        <v>1947450000</v>
      </c>
      <c r="AK112" s="2015">
        <v>1947450000</v>
      </c>
      <c r="AL112" s="2016">
        <v>3894900000</v>
      </c>
      <c r="AM112" s="2015"/>
      <c r="AN112" s="2015"/>
      <c r="AO112" s="2016">
        <v>0</v>
      </c>
      <c r="AP112" s="2015"/>
      <c r="AQ112" s="2015"/>
      <c r="AR112" s="2016">
        <v>0</v>
      </c>
    </row>
    <row r="113" spans="1:44" s="2022" customFormat="1" ht="12.3">
      <c r="A113" s="2014" t="s">
        <v>3553</v>
      </c>
      <c r="B113" s="2014" t="s">
        <v>3272</v>
      </c>
      <c r="C113" s="2015"/>
      <c r="D113" s="2015"/>
      <c r="E113" s="2015"/>
      <c r="F113" s="2015"/>
      <c r="G113" s="2015"/>
      <c r="H113" s="2016"/>
      <c r="I113" s="2015">
        <v>0</v>
      </c>
      <c r="J113" s="2015">
        <v>1185000000</v>
      </c>
      <c r="K113" s="2016">
        <v>1185000000</v>
      </c>
      <c r="L113" s="2015">
        <v>1185000000</v>
      </c>
      <c r="M113" s="2015">
        <v>1185000000</v>
      </c>
      <c r="N113" s="2016">
        <v>2370000000</v>
      </c>
      <c r="O113" s="2015">
        <v>1185000000</v>
      </c>
      <c r="P113" s="2015">
        <v>1185000000</v>
      </c>
      <c r="Q113" s="2016">
        <v>2370000000</v>
      </c>
      <c r="R113" s="2015">
        <v>1185000000</v>
      </c>
      <c r="S113" s="2015">
        <v>1185000000</v>
      </c>
      <c r="T113" s="2016">
        <v>2370000000</v>
      </c>
      <c r="U113" s="2015">
        <v>1185000000</v>
      </c>
      <c r="V113" s="2015">
        <v>1185000000</v>
      </c>
      <c r="W113" s="2016">
        <v>2370000000</v>
      </c>
      <c r="X113" s="2015">
        <v>1185000000</v>
      </c>
      <c r="Y113" s="2015">
        <v>0</v>
      </c>
      <c r="Z113" s="2016">
        <v>1185000000</v>
      </c>
      <c r="AA113" s="2015">
        <v>0</v>
      </c>
      <c r="AB113" s="2015">
        <v>0</v>
      </c>
      <c r="AC113" s="2016">
        <v>0</v>
      </c>
      <c r="AD113" s="2015">
        <v>0</v>
      </c>
      <c r="AE113" s="2015">
        <v>0</v>
      </c>
      <c r="AF113" s="2016">
        <v>0</v>
      </c>
      <c r="AG113" s="2015">
        <v>0</v>
      </c>
      <c r="AH113" s="2015">
        <v>0</v>
      </c>
      <c r="AI113" s="2016">
        <v>0</v>
      </c>
      <c r="AJ113" s="2015">
        <v>0</v>
      </c>
      <c r="AK113" s="2015">
        <v>0</v>
      </c>
      <c r="AL113" s="2016">
        <v>0</v>
      </c>
      <c r="AM113" s="2015">
        <v>0</v>
      </c>
      <c r="AN113" s="2015">
        <v>0</v>
      </c>
      <c r="AO113" s="2016">
        <v>0</v>
      </c>
      <c r="AP113" s="2015">
        <v>0</v>
      </c>
      <c r="AQ113" s="2015">
        <v>0</v>
      </c>
      <c r="AR113" s="2016">
        <v>0</v>
      </c>
    </row>
    <row r="114" spans="1:44" s="2022" customFormat="1" ht="12.3">
      <c r="A114" s="2014" t="s">
        <v>3664</v>
      </c>
      <c r="B114" s="2014" t="s">
        <v>3272</v>
      </c>
      <c r="C114" s="2015"/>
      <c r="D114" s="2015"/>
      <c r="E114" s="2015"/>
      <c r="F114" s="2015"/>
      <c r="G114" s="2015"/>
      <c r="H114" s="2016"/>
      <c r="I114" s="2015">
        <v>0</v>
      </c>
      <c r="J114" s="2015">
        <v>1792500000</v>
      </c>
      <c r="K114" s="2016">
        <v>1792500000</v>
      </c>
      <c r="L114" s="2015">
        <v>1792500000</v>
      </c>
      <c r="M114" s="2015">
        <v>1792500000</v>
      </c>
      <c r="N114" s="2016">
        <v>3585000000</v>
      </c>
      <c r="O114" s="2015">
        <v>1792500000</v>
      </c>
      <c r="P114" s="2015">
        <v>1792500000</v>
      </c>
      <c r="Q114" s="2016">
        <v>3585000000</v>
      </c>
      <c r="R114" s="2015">
        <v>1792500000</v>
      </c>
      <c r="S114" s="2015">
        <v>1792500000</v>
      </c>
      <c r="T114" s="2016">
        <v>3585000000</v>
      </c>
      <c r="U114" s="2015">
        <v>1792500000</v>
      </c>
      <c r="V114" s="2015">
        <v>1792500000</v>
      </c>
      <c r="W114" s="2016">
        <v>3585000000</v>
      </c>
      <c r="X114" s="2015">
        <v>1792500000</v>
      </c>
      <c r="Y114" s="2015">
        <v>1792500000</v>
      </c>
      <c r="Z114" s="2016">
        <v>3585000000</v>
      </c>
      <c r="AA114" s="2015">
        <v>1792500000</v>
      </c>
      <c r="AB114" s="2015">
        <v>1792500000</v>
      </c>
      <c r="AC114" s="2016">
        <v>3585000000</v>
      </c>
      <c r="AD114" s="2015">
        <v>1792500000</v>
      </c>
      <c r="AE114" s="2015">
        <v>0</v>
      </c>
      <c r="AF114" s="2016">
        <v>1792500000</v>
      </c>
      <c r="AG114" s="2015"/>
      <c r="AH114" s="2015"/>
      <c r="AI114" s="2016">
        <v>0</v>
      </c>
      <c r="AJ114" s="2015"/>
      <c r="AK114" s="2015"/>
      <c r="AL114" s="2016">
        <v>0</v>
      </c>
      <c r="AM114" s="2015"/>
      <c r="AN114" s="2015"/>
      <c r="AO114" s="2016">
        <v>0</v>
      </c>
      <c r="AP114" s="2015"/>
      <c r="AQ114" s="2015"/>
      <c r="AR114" s="2016">
        <v>0</v>
      </c>
    </row>
    <row r="115" spans="1:44" s="2022" customFormat="1" ht="12.3">
      <c r="A115" s="2014" t="s">
        <v>3555</v>
      </c>
      <c r="B115" s="2014" t="s">
        <v>3272</v>
      </c>
      <c r="C115" s="2015"/>
      <c r="D115" s="2015"/>
      <c r="E115" s="2015"/>
      <c r="F115" s="2015"/>
      <c r="G115" s="2015"/>
      <c r="H115" s="2016"/>
      <c r="I115" s="2015">
        <v>0</v>
      </c>
      <c r="J115" s="2015">
        <v>1412500000</v>
      </c>
      <c r="K115" s="2016">
        <v>1412500000</v>
      </c>
      <c r="L115" s="2015">
        <v>1412500000</v>
      </c>
      <c r="M115" s="2015">
        <v>1412500000</v>
      </c>
      <c r="N115" s="2016">
        <v>2825000000</v>
      </c>
      <c r="O115" s="2015">
        <v>1412500000</v>
      </c>
      <c r="P115" s="2015">
        <v>1412500000</v>
      </c>
      <c r="Q115" s="2016">
        <v>2825000000</v>
      </c>
      <c r="R115" s="2015">
        <v>1412500000</v>
      </c>
      <c r="S115" s="2015">
        <v>0</v>
      </c>
      <c r="T115" s="2016">
        <v>1412500000</v>
      </c>
      <c r="U115" s="2015">
        <v>0</v>
      </c>
      <c r="V115" s="2015">
        <v>0</v>
      </c>
      <c r="W115" s="2016">
        <v>0</v>
      </c>
      <c r="X115" s="2015">
        <v>0</v>
      </c>
      <c r="Y115" s="2015">
        <v>0</v>
      </c>
      <c r="Z115" s="2016">
        <v>0</v>
      </c>
      <c r="AA115" s="2015">
        <v>0</v>
      </c>
      <c r="AB115" s="2015">
        <v>0</v>
      </c>
      <c r="AC115" s="2016">
        <v>0</v>
      </c>
      <c r="AD115" s="2015">
        <v>0</v>
      </c>
      <c r="AE115" s="2015">
        <v>0</v>
      </c>
      <c r="AF115" s="2016">
        <v>0</v>
      </c>
      <c r="AG115" s="2015">
        <v>0</v>
      </c>
      <c r="AH115" s="2015">
        <v>0</v>
      </c>
      <c r="AI115" s="2016">
        <v>0</v>
      </c>
      <c r="AJ115" s="2015">
        <v>0</v>
      </c>
      <c r="AK115" s="2015">
        <v>0</v>
      </c>
      <c r="AL115" s="2016">
        <v>0</v>
      </c>
      <c r="AM115" s="2015">
        <v>0</v>
      </c>
      <c r="AN115" s="2015">
        <v>0</v>
      </c>
      <c r="AO115" s="2016">
        <v>0</v>
      </c>
      <c r="AP115" s="2015">
        <v>0</v>
      </c>
      <c r="AQ115" s="2015">
        <v>0</v>
      </c>
      <c r="AR115" s="2016">
        <v>0</v>
      </c>
    </row>
    <row r="116" spans="1:44" s="2022" customFormat="1" ht="12.3">
      <c r="A116" s="2014" t="s">
        <v>3665</v>
      </c>
      <c r="B116" s="2014" t="s">
        <v>3272</v>
      </c>
      <c r="C116" s="2015"/>
      <c r="D116" s="2015"/>
      <c r="E116" s="2015"/>
      <c r="F116" s="2015"/>
      <c r="G116" s="2015"/>
      <c r="H116" s="2016"/>
      <c r="I116" s="2015">
        <v>0</v>
      </c>
      <c r="J116" s="2015">
        <v>663500000</v>
      </c>
      <c r="K116" s="2016">
        <v>663500000</v>
      </c>
      <c r="L116" s="2015">
        <v>663500000</v>
      </c>
      <c r="M116" s="2015">
        <v>663500000</v>
      </c>
      <c r="N116" s="2016">
        <v>1327000000</v>
      </c>
      <c r="O116" s="2015">
        <v>663500000</v>
      </c>
      <c r="P116" s="2015">
        <v>663500000</v>
      </c>
      <c r="Q116" s="2016">
        <v>1327000000</v>
      </c>
      <c r="R116" s="2015">
        <v>663500000</v>
      </c>
      <c r="S116" s="2015">
        <v>663500000</v>
      </c>
      <c r="T116" s="2016">
        <v>1327000000</v>
      </c>
      <c r="U116" s="2015">
        <v>663500000</v>
      </c>
      <c r="V116" s="2015">
        <v>663500000</v>
      </c>
      <c r="W116" s="2016">
        <v>1327000000</v>
      </c>
      <c r="X116" s="2015">
        <v>663500000</v>
      </c>
      <c r="Y116" s="2015">
        <v>663500000</v>
      </c>
      <c r="Z116" s="2016">
        <v>1327000000</v>
      </c>
      <c r="AA116" s="2015">
        <v>663500000</v>
      </c>
      <c r="AB116" s="2015">
        <v>663500000</v>
      </c>
      <c r="AC116" s="2016">
        <v>1327000000</v>
      </c>
      <c r="AD116" s="2015">
        <v>663500000</v>
      </c>
      <c r="AE116" s="2015">
        <v>663500000</v>
      </c>
      <c r="AF116" s="2016">
        <v>1327000000</v>
      </c>
      <c r="AG116" s="2015">
        <v>663500000</v>
      </c>
      <c r="AH116" s="2015">
        <v>663500000</v>
      </c>
      <c r="AI116" s="2016">
        <v>1327000000</v>
      </c>
      <c r="AJ116" s="2015">
        <v>663500000</v>
      </c>
      <c r="AK116" s="2015">
        <v>663500000</v>
      </c>
      <c r="AL116" s="2016">
        <v>1327000000</v>
      </c>
      <c r="AM116" s="2015">
        <v>663500000</v>
      </c>
      <c r="AN116" s="2015">
        <v>663500000</v>
      </c>
      <c r="AO116" s="2016">
        <v>1327000000</v>
      </c>
      <c r="AP116" s="2015">
        <v>663500000</v>
      </c>
      <c r="AQ116" s="2015">
        <v>663500000</v>
      </c>
      <c r="AR116" s="2016">
        <v>1327000000</v>
      </c>
    </row>
    <row r="117" spans="1:44" s="2022" customFormat="1" ht="12.3">
      <c r="A117" s="2014" t="s">
        <v>3666</v>
      </c>
      <c r="B117" s="2014" t="s">
        <v>3272</v>
      </c>
      <c r="C117" s="2015"/>
      <c r="D117" s="2015"/>
      <c r="E117" s="2015"/>
      <c r="F117" s="2015"/>
      <c r="G117" s="2015"/>
      <c r="H117" s="2016"/>
      <c r="I117" s="2015">
        <v>0</v>
      </c>
      <c r="J117" s="2015">
        <v>3247000000</v>
      </c>
      <c r="K117" s="2016">
        <v>3247000000</v>
      </c>
      <c r="L117" s="2015">
        <v>3247000000</v>
      </c>
      <c r="M117" s="2015">
        <v>3247000000</v>
      </c>
      <c r="N117" s="2016">
        <v>6494000000</v>
      </c>
      <c r="O117" s="2015">
        <v>3247000000</v>
      </c>
      <c r="P117" s="2015">
        <v>3247000000</v>
      </c>
      <c r="Q117" s="2016">
        <v>6494000000</v>
      </c>
      <c r="R117" s="2015">
        <v>3247000000</v>
      </c>
      <c r="S117" s="2015">
        <v>3247000000</v>
      </c>
      <c r="T117" s="2016">
        <v>6494000000</v>
      </c>
      <c r="U117" s="2015">
        <v>3247000000</v>
      </c>
      <c r="V117" s="2015">
        <v>3247000000</v>
      </c>
      <c r="W117" s="2016">
        <v>6494000000</v>
      </c>
      <c r="X117" s="2015">
        <v>3247000000</v>
      </c>
      <c r="Y117" s="2015">
        <v>3247000000</v>
      </c>
      <c r="Z117" s="2016">
        <v>6494000000</v>
      </c>
      <c r="AA117" s="2015">
        <v>3247000000</v>
      </c>
      <c r="AB117" s="2015">
        <v>3247000000</v>
      </c>
      <c r="AC117" s="2016">
        <v>6494000000</v>
      </c>
      <c r="AD117" s="2015">
        <v>3247000000</v>
      </c>
      <c r="AE117" s="2015">
        <v>3247000000</v>
      </c>
      <c r="AF117" s="2016">
        <v>6494000000</v>
      </c>
      <c r="AG117" s="2015">
        <v>3247000000</v>
      </c>
      <c r="AH117" s="2015">
        <v>3247000000</v>
      </c>
      <c r="AI117" s="2016">
        <v>6494000000</v>
      </c>
      <c r="AJ117" s="2015">
        <v>3247000000</v>
      </c>
      <c r="AK117" s="2015">
        <v>3247000000</v>
      </c>
      <c r="AL117" s="2016">
        <v>6494000000</v>
      </c>
      <c r="AM117" s="2015">
        <v>3247000000</v>
      </c>
      <c r="AN117" s="2015"/>
      <c r="AO117" s="2016">
        <v>3247000000</v>
      </c>
      <c r="AP117" s="2015"/>
      <c r="AQ117" s="2015"/>
      <c r="AR117" s="2016">
        <v>0</v>
      </c>
    </row>
    <row r="118" spans="1:44" s="2022" customFormat="1" ht="12.3">
      <c r="A118" s="2014" t="s">
        <v>3554</v>
      </c>
      <c r="B118" s="2014" t="s">
        <v>3272</v>
      </c>
      <c r="C118" s="2015"/>
      <c r="D118" s="2015"/>
      <c r="E118" s="2015"/>
      <c r="F118" s="2015"/>
      <c r="G118" s="2015"/>
      <c r="H118" s="2016"/>
      <c r="I118" s="2015">
        <v>0</v>
      </c>
      <c r="J118" s="2015">
        <v>3616250000</v>
      </c>
      <c r="K118" s="2016">
        <v>3616250000</v>
      </c>
      <c r="L118" s="2015">
        <v>4273750000</v>
      </c>
      <c r="M118" s="2015">
        <v>4273750000</v>
      </c>
      <c r="N118" s="2016">
        <v>8547500000</v>
      </c>
      <c r="O118" s="2015">
        <v>4273750000</v>
      </c>
      <c r="P118" s="2015">
        <v>4273750000</v>
      </c>
      <c r="Q118" s="2016">
        <v>8547500000</v>
      </c>
      <c r="R118" s="2015">
        <v>4273750000</v>
      </c>
      <c r="S118" s="2015">
        <v>4273750000</v>
      </c>
      <c r="T118" s="2016">
        <v>8547500000</v>
      </c>
      <c r="U118" s="2015">
        <v>4273750000</v>
      </c>
      <c r="V118" s="2015">
        <v>4273750000</v>
      </c>
      <c r="W118" s="2016">
        <v>8547500000</v>
      </c>
      <c r="X118" s="2015">
        <v>4273750000</v>
      </c>
      <c r="Y118" s="2015">
        <v>4273750000</v>
      </c>
      <c r="Z118" s="2016">
        <v>8547500000</v>
      </c>
      <c r="AA118" s="2015">
        <v>4273750000</v>
      </c>
      <c r="AB118" s="2015">
        <v>4273750000</v>
      </c>
      <c r="AC118" s="2016">
        <v>8547500000</v>
      </c>
      <c r="AD118" s="2015">
        <v>4273750000</v>
      </c>
      <c r="AE118" s="2015">
        <v>4273750000</v>
      </c>
      <c r="AF118" s="2016">
        <v>8547500000</v>
      </c>
      <c r="AG118" s="2015">
        <v>4273750000</v>
      </c>
      <c r="AH118" s="2015">
        <v>4273750000</v>
      </c>
      <c r="AI118" s="2016">
        <v>8547500000</v>
      </c>
      <c r="AJ118" s="2015">
        <v>4273750000</v>
      </c>
      <c r="AK118" s="2015">
        <v>4273750000</v>
      </c>
      <c r="AL118" s="2016">
        <v>8547500000</v>
      </c>
      <c r="AM118" s="2015">
        <v>4273750000</v>
      </c>
      <c r="AN118" s="2015">
        <v>4273750000</v>
      </c>
      <c r="AO118" s="2016">
        <v>8547500000</v>
      </c>
      <c r="AP118" s="2015">
        <v>4273750000</v>
      </c>
      <c r="AQ118" s="2015">
        <v>4273750000</v>
      </c>
      <c r="AR118" s="2016">
        <v>8547500000</v>
      </c>
    </row>
    <row r="119" spans="1:44" s="2022" customFormat="1" ht="12.3">
      <c r="A119" s="2014" t="s">
        <v>3667</v>
      </c>
      <c r="B119" s="2014" t="s">
        <v>3272</v>
      </c>
      <c r="C119" s="2015"/>
      <c r="D119" s="2015"/>
      <c r="E119" s="2015"/>
      <c r="F119" s="2015"/>
      <c r="G119" s="2015"/>
      <c r="H119" s="2016"/>
      <c r="I119" s="2015">
        <v>0</v>
      </c>
      <c r="J119" s="2015">
        <v>0</v>
      </c>
      <c r="K119" s="2016">
        <v>0</v>
      </c>
      <c r="L119" s="2015">
        <v>648500000</v>
      </c>
      <c r="M119" s="2015">
        <v>648500000</v>
      </c>
      <c r="N119" s="2016">
        <v>1297000000</v>
      </c>
      <c r="O119" s="2015">
        <v>648500000</v>
      </c>
      <c r="P119" s="2015">
        <v>648500000</v>
      </c>
      <c r="Q119" s="2016">
        <v>1297000000</v>
      </c>
      <c r="R119" s="2015">
        <v>648500000</v>
      </c>
      <c r="S119" s="2015">
        <v>648500000</v>
      </c>
      <c r="T119" s="2016">
        <v>1297000000</v>
      </c>
      <c r="U119" s="2015">
        <v>648500000</v>
      </c>
      <c r="V119" s="2015">
        <v>648500000</v>
      </c>
      <c r="W119" s="2016">
        <v>1297000000</v>
      </c>
      <c r="X119" s="2015">
        <v>648500000</v>
      </c>
      <c r="Y119" s="2015">
        <v>648500000</v>
      </c>
      <c r="Z119" s="2016">
        <v>1297000000</v>
      </c>
      <c r="AA119" s="2015">
        <v>648500000</v>
      </c>
      <c r="AB119" s="2015">
        <v>648500000</v>
      </c>
      <c r="AC119" s="2016">
        <v>1297000000</v>
      </c>
      <c r="AD119" s="2015">
        <v>648500000</v>
      </c>
      <c r="AE119" s="2015">
        <v>648500000</v>
      </c>
      <c r="AF119" s="2016">
        <v>1297000000</v>
      </c>
      <c r="AG119" s="2015">
        <v>648500000</v>
      </c>
      <c r="AH119" s="2015">
        <v>648500000</v>
      </c>
      <c r="AI119" s="2016">
        <v>1297000000</v>
      </c>
      <c r="AJ119" s="2015">
        <v>648500000</v>
      </c>
      <c r="AK119" s="2015">
        <v>648500000</v>
      </c>
      <c r="AL119" s="2016">
        <v>1297000000</v>
      </c>
      <c r="AM119" s="2015">
        <v>648500000</v>
      </c>
      <c r="AN119" s="2015">
        <v>648500000</v>
      </c>
      <c r="AO119" s="2016">
        <v>1297000000</v>
      </c>
      <c r="AP119" s="2015"/>
      <c r="AQ119" s="2015"/>
      <c r="AR119" s="2016">
        <v>0</v>
      </c>
    </row>
    <row r="120" spans="1:44" s="2022" customFormat="1" ht="12.3">
      <c r="A120" s="2014" t="s">
        <v>3556</v>
      </c>
      <c r="B120" s="2014" t="s">
        <v>3272</v>
      </c>
      <c r="C120" s="2015"/>
      <c r="D120" s="2015"/>
      <c r="E120" s="2015"/>
      <c r="F120" s="2015"/>
      <c r="G120" s="2015"/>
      <c r="H120" s="2016"/>
      <c r="I120" s="2015">
        <v>0</v>
      </c>
      <c r="J120" s="2015">
        <v>0</v>
      </c>
      <c r="K120" s="2016">
        <v>0</v>
      </c>
      <c r="L120" s="2015">
        <v>592500000</v>
      </c>
      <c r="M120" s="2015">
        <v>592500000</v>
      </c>
      <c r="N120" s="2016">
        <v>1185000000</v>
      </c>
      <c r="O120" s="2015">
        <v>592500000</v>
      </c>
      <c r="P120" s="2015">
        <v>592500000</v>
      </c>
      <c r="Q120" s="2016">
        <v>1185000000</v>
      </c>
      <c r="R120" s="2015">
        <v>592500000</v>
      </c>
      <c r="S120" s="2015">
        <v>592500000</v>
      </c>
      <c r="T120" s="2016">
        <v>1185000000</v>
      </c>
      <c r="U120" s="2015">
        <v>592500000</v>
      </c>
      <c r="V120" s="2015">
        <v>592500000</v>
      </c>
      <c r="W120" s="2016">
        <v>1185000000</v>
      </c>
      <c r="X120" s="2015">
        <v>592500000</v>
      </c>
      <c r="Y120" s="2015">
        <v>592500000</v>
      </c>
      <c r="Z120" s="2016">
        <v>1185000000</v>
      </c>
      <c r="AA120" s="2015"/>
      <c r="AB120" s="2015"/>
      <c r="AC120" s="2016">
        <v>0</v>
      </c>
      <c r="AD120" s="2015"/>
      <c r="AE120" s="2015"/>
      <c r="AF120" s="2016">
        <v>0</v>
      </c>
      <c r="AG120" s="2015"/>
      <c r="AH120" s="2015"/>
      <c r="AI120" s="2016">
        <v>0</v>
      </c>
      <c r="AJ120" s="2015"/>
      <c r="AK120" s="2015"/>
      <c r="AL120" s="2016">
        <v>0</v>
      </c>
      <c r="AM120" s="2015"/>
      <c r="AN120" s="2015"/>
      <c r="AO120" s="2016">
        <v>0</v>
      </c>
      <c r="AP120" s="2015"/>
      <c r="AQ120" s="2015"/>
      <c r="AR120" s="2016">
        <v>0</v>
      </c>
    </row>
    <row r="121" spans="1:44">
      <c r="A121" s="2006" t="s">
        <v>3369</v>
      </c>
      <c r="B121" s="2006" t="s">
        <v>3272</v>
      </c>
      <c r="C121" s="2015"/>
      <c r="D121" s="2015"/>
      <c r="E121" s="2005">
        <v>25486803750</v>
      </c>
      <c r="F121" s="2005">
        <v>6755000000.0000038</v>
      </c>
      <c r="G121" s="2005">
        <v>42321184000</v>
      </c>
      <c r="H121" s="2011"/>
      <c r="I121" s="2005"/>
      <c r="J121" s="2005"/>
      <c r="K121" s="2011">
        <f>SUM(I121:J121)</f>
        <v>0</v>
      </c>
      <c r="L121" s="2005">
        <v>8868000000</v>
      </c>
      <c r="M121" s="2005">
        <v>5912000000</v>
      </c>
      <c r="N121" s="2011">
        <f t="shared" ref="N121:N125" si="5">SUM(L121:M121)</f>
        <v>14780000000</v>
      </c>
      <c r="O121" s="2005">
        <v>9300000000</v>
      </c>
      <c r="P121" s="2005">
        <v>6200000000</v>
      </c>
      <c r="Q121" s="2011">
        <f t="shared" ref="Q121:Q125" si="6">SUM(O121:P121)</f>
        <v>15500000000</v>
      </c>
      <c r="R121" s="2005">
        <v>9300000000</v>
      </c>
      <c r="S121" s="2005">
        <v>6200000000</v>
      </c>
      <c r="T121" s="2011">
        <f t="shared" ref="T121:T126" si="7">SUM(R121:S121)</f>
        <v>15500000000</v>
      </c>
      <c r="U121" s="2005">
        <v>9300000000</v>
      </c>
      <c r="V121" s="2005">
        <v>6200000000</v>
      </c>
      <c r="W121" s="2011">
        <f t="shared" ref="W121:W125" si="8">SUM(U121:V121)</f>
        <v>15500000000</v>
      </c>
      <c r="X121" s="2005">
        <v>9300000000</v>
      </c>
      <c r="Y121" s="2005">
        <v>6200000000</v>
      </c>
      <c r="Z121" s="2011">
        <f t="shared" ref="Z121:Z125" si="9">SUM(X121:Y121)</f>
        <v>15500000000</v>
      </c>
      <c r="AA121" s="2005">
        <v>9300000000</v>
      </c>
      <c r="AB121" s="2005">
        <v>6200000000</v>
      </c>
      <c r="AC121" s="2011">
        <f t="shared" ref="AC121:AC125" si="10">SUM(AA121:AB121)</f>
        <v>15500000000</v>
      </c>
      <c r="AD121" s="2005">
        <v>9300000000</v>
      </c>
      <c r="AE121" s="2005">
        <v>6200000000</v>
      </c>
      <c r="AF121" s="2011">
        <f t="shared" ref="AF121" si="11">SUM(AD121:AE121)</f>
        <v>15500000000</v>
      </c>
      <c r="AG121" s="2005">
        <v>9300000000</v>
      </c>
      <c r="AH121" s="2005">
        <v>6200000000</v>
      </c>
      <c r="AI121" s="2011">
        <f t="shared" ref="AI121" si="12">SUM(AG121:AH121)</f>
        <v>15500000000</v>
      </c>
      <c r="AJ121" s="2005">
        <v>9300000000</v>
      </c>
      <c r="AK121" s="2005">
        <v>6200000000</v>
      </c>
      <c r="AL121" s="2011">
        <f t="shared" ref="AL121" si="13">SUM(AJ121:AK121)</f>
        <v>15500000000</v>
      </c>
      <c r="AM121" s="2005">
        <v>9300000000</v>
      </c>
      <c r="AN121" s="2005">
        <v>6200000000</v>
      </c>
      <c r="AO121" s="2011">
        <f t="shared" ref="AO121" si="14">SUM(AM121:AN121)</f>
        <v>15500000000</v>
      </c>
      <c r="AP121" s="2005">
        <v>9300000000</v>
      </c>
      <c r="AQ121" s="2005">
        <v>6200000000</v>
      </c>
      <c r="AR121" s="2011">
        <f t="shared" ref="AR121" si="15">SUM(AP121:AQ121)</f>
        <v>15500000000</v>
      </c>
    </row>
    <row r="122" spans="1:44" ht="25.5">
      <c r="A122" s="2006" t="s">
        <v>3370</v>
      </c>
      <c r="B122" s="2006" t="s">
        <v>3272</v>
      </c>
      <c r="C122" s="2015"/>
      <c r="D122" s="2015"/>
      <c r="E122" s="2005">
        <v>21042723682.165382</v>
      </c>
      <c r="F122" s="2005">
        <v>2672000000</v>
      </c>
      <c r="G122" s="2005" t="e">
        <v>#REF!</v>
      </c>
      <c r="H122" s="2011">
        <f>H123+H124</f>
        <v>39933912826.884598</v>
      </c>
      <c r="I122" s="2005">
        <f>I123+I124</f>
        <v>21770068603.038452</v>
      </c>
      <c r="J122" s="2005">
        <f>J123+J124</f>
        <v>25439477176</v>
      </c>
      <c r="K122" s="2011">
        <f>SUM(I122:J122)</f>
        <v>47209545779.038452</v>
      </c>
      <c r="L122" s="2005">
        <f>L123+L124</f>
        <v>23021184000</v>
      </c>
      <c r="M122" s="2005">
        <f t="shared" ref="M122:V122" si="16">M123+M124</f>
        <v>15347456000</v>
      </c>
      <c r="N122" s="2011">
        <f t="shared" si="5"/>
        <v>38368640000</v>
      </c>
      <c r="O122" s="2005">
        <f t="shared" si="16"/>
        <v>25301184000</v>
      </c>
      <c r="P122" s="2005">
        <f t="shared" si="16"/>
        <v>16867456000</v>
      </c>
      <c r="Q122" s="2011">
        <f t="shared" si="6"/>
        <v>42168640000</v>
      </c>
      <c r="R122" s="2005">
        <f t="shared" si="16"/>
        <v>28781184000</v>
      </c>
      <c r="S122" s="2005">
        <f t="shared" si="16"/>
        <v>19187456000</v>
      </c>
      <c r="T122" s="2011">
        <f t="shared" si="7"/>
        <v>47968640000</v>
      </c>
      <c r="U122" s="2005">
        <f>U123+U124</f>
        <v>31661184000</v>
      </c>
      <c r="V122" s="2005">
        <f t="shared" si="16"/>
        <v>21107456000</v>
      </c>
      <c r="W122" s="2011">
        <f t="shared" si="8"/>
        <v>52768640000</v>
      </c>
      <c r="X122" s="2005">
        <f>X123+X124</f>
        <v>34541184000</v>
      </c>
      <c r="Y122" s="2005">
        <f>Y123+Y124</f>
        <v>23027456000</v>
      </c>
      <c r="Z122" s="2011">
        <f t="shared" si="9"/>
        <v>57568640000</v>
      </c>
      <c r="AA122" s="2005">
        <f>AA123+AA124</f>
        <v>37421184000</v>
      </c>
      <c r="AB122" s="2005">
        <f>AB123+AB124</f>
        <v>24947456000</v>
      </c>
      <c r="AC122" s="2011">
        <f>SUM(AA122:AB122)</f>
        <v>62368640000</v>
      </c>
      <c r="AD122" s="2005">
        <f>AD123+AD124</f>
        <v>40301184000</v>
      </c>
      <c r="AE122" s="2005">
        <f>AE123+AE124</f>
        <v>26867456000</v>
      </c>
      <c r="AF122" s="2011">
        <f>SUM(AD122:AE122)</f>
        <v>67168640000</v>
      </c>
      <c r="AG122" s="2005">
        <f>AG123+AG124</f>
        <v>43181184000</v>
      </c>
      <c r="AH122" s="2005">
        <f>AH123+AH124</f>
        <v>28787456000</v>
      </c>
      <c r="AI122" s="2011">
        <f>SUM(AG122:AH122)</f>
        <v>71968640000</v>
      </c>
      <c r="AJ122" s="2005">
        <f>AJ123+AJ124</f>
        <v>46061184000</v>
      </c>
      <c r="AK122" s="2005">
        <f>AK123+AK124</f>
        <v>30707456000</v>
      </c>
      <c r="AL122" s="2011">
        <f>SUM(AJ122:AK122)</f>
        <v>76768640000</v>
      </c>
      <c r="AM122" s="2005">
        <f>AM123+AM124</f>
        <v>48941184000</v>
      </c>
      <c r="AN122" s="2005">
        <f>AN123+AN124</f>
        <v>32627456000</v>
      </c>
      <c r="AO122" s="2011">
        <f>SUM(AM122:AN122)</f>
        <v>81568640000</v>
      </c>
      <c r="AP122" s="2005">
        <f>AP123+AP124</f>
        <v>51821184000</v>
      </c>
      <c r="AQ122" s="2005">
        <f>AQ123+AQ124</f>
        <v>34547456000</v>
      </c>
      <c r="AR122" s="2011">
        <f>SUM(AP122:AQ122)</f>
        <v>86368640000</v>
      </c>
    </row>
    <row r="123" spans="1:44">
      <c r="A123" s="2026" t="s">
        <v>3371</v>
      </c>
      <c r="B123" s="2021" t="s">
        <v>3367</v>
      </c>
      <c r="C123" s="2015"/>
      <c r="D123" s="2015"/>
      <c r="E123" s="2005"/>
      <c r="F123" s="2005"/>
      <c r="G123" s="2005"/>
      <c r="H123" s="2024">
        <v>31588548526.884602</v>
      </c>
      <c r="I123" s="2025">
        <v>19855677281</v>
      </c>
      <c r="J123" s="2025">
        <v>22310498214</v>
      </c>
      <c r="K123" s="2024">
        <f>SUM(I123:J123)</f>
        <v>42166175495</v>
      </c>
      <c r="L123" s="2025">
        <v>20141184000</v>
      </c>
      <c r="M123" s="2025">
        <v>13427456000</v>
      </c>
      <c r="N123" s="2024">
        <f t="shared" si="5"/>
        <v>33568640000</v>
      </c>
      <c r="O123" s="2025">
        <v>22421184000</v>
      </c>
      <c r="P123" s="2025">
        <v>14947456000</v>
      </c>
      <c r="Q123" s="2024">
        <f t="shared" si="6"/>
        <v>37368640000</v>
      </c>
      <c r="R123" s="2025">
        <v>25901184000</v>
      </c>
      <c r="S123" s="2025">
        <v>17267456000</v>
      </c>
      <c r="T123" s="2024">
        <f t="shared" si="7"/>
        <v>43168640000</v>
      </c>
      <c r="U123" s="2025">
        <v>28781184000</v>
      </c>
      <c r="V123" s="2025">
        <v>19187456000</v>
      </c>
      <c r="W123" s="2024">
        <f t="shared" si="8"/>
        <v>47968640000</v>
      </c>
      <c r="X123" s="2025">
        <v>31661184000</v>
      </c>
      <c r="Y123" s="2025">
        <v>21107456000</v>
      </c>
      <c r="Z123" s="2024">
        <f t="shared" si="9"/>
        <v>52768640000</v>
      </c>
      <c r="AA123" s="2025">
        <v>34541184000</v>
      </c>
      <c r="AB123" s="2025">
        <v>23027456000</v>
      </c>
      <c r="AC123" s="2024">
        <f t="shared" si="10"/>
        <v>57568640000</v>
      </c>
      <c r="AD123" s="2025">
        <v>37421184000</v>
      </c>
      <c r="AE123" s="2025">
        <v>24947456000</v>
      </c>
      <c r="AF123" s="2024">
        <f t="shared" ref="AF123:AF125" si="17">SUM(AD123:AE123)</f>
        <v>62368640000</v>
      </c>
      <c r="AG123" s="2025">
        <v>40301184000</v>
      </c>
      <c r="AH123" s="2025">
        <v>26867456000</v>
      </c>
      <c r="AI123" s="2024">
        <f t="shared" ref="AI123:AI125" si="18">SUM(AG123:AH123)</f>
        <v>67168640000</v>
      </c>
      <c r="AJ123" s="2025">
        <v>43181184000</v>
      </c>
      <c r="AK123" s="2025">
        <v>28787456000</v>
      </c>
      <c r="AL123" s="2024">
        <f t="shared" ref="AL123:AL125" si="19">SUM(AJ123:AK123)</f>
        <v>71968640000</v>
      </c>
      <c r="AM123" s="2025">
        <v>46061184000</v>
      </c>
      <c r="AN123" s="2025">
        <v>30707456000</v>
      </c>
      <c r="AO123" s="2024">
        <f t="shared" ref="AO123:AO125" si="20">SUM(AM123:AN123)</f>
        <v>76768640000</v>
      </c>
      <c r="AP123" s="2025">
        <v>48941184000</v>
      </c>
      <c r="AQ123" s="2025">
        <v>32627456000</v>
      </c>
      <c r="AR123" s="2024">
        <f t="shared" ref="AR123:AR125" si="21">SUM(AP123:AQ123)</f>
        <v>81568640000</v>
      </c>
    </row>
    <row r="124" spans="1:44">
      <c r="A124" s="2026" t="s">
        <v>3372</v>
      </c>
      <c r="B124" s="2021" t="s">
        <v>3367</v>
      </c>
      <c r="C124" s="2015"/>
      <c r="D124" s="2015"/>
      <c r="E124" s="2005">
        <v>0</v>
      </c>
      <c r="F124" s="2005">
        <v>2672000000</v>
      </c>
      <c r="G124" s="2005">
        <v>25321385424.30769</v>
      </c>
      <c r="H124" s="2024">
        <v>8345364299.9999981</v>
      </c>
      <c r="I124" s="2025">
        <v>1914391322.0384521</v>
      </c>
      <c r="J124" s="2025">
        <v>3128978962</v>
      </c>
      <c r="K124" s="2024">
        <f t="shared" ref="K124:K125" si="22">SUM(I124:J124)</f>
        <v>5043370284.0384521</v>
      </c>
      <c r="L124" s="2025">
        <v>2880000000</v>
      </c>
      <c r="M124" s="2025">
        <v>1920000000</v>
      </c>
      <c r="N124" s="2024">
        <f>SUM(L124:M124)</f>
        <v>4800000000</v>
      </c>
      <c r="O124" s="2025">
        <v>2880000000</v>
      </c>
      <c r="P124" s="2025">
        <v>1920000000</v>
      </c>
      <c r="Q124" s="2024">
        <f t="shared" si="6"/>
        <v>4800000000</v>
      </c>
      <c r="R124" s="2025">
        <v>2880000000</v>
      </c>
      <c r="S124" s="2025">
        <v>1920000000</v>
      </c>
      <c r="T124" s="2024">
        <f t="shared" si="7"/>
        <v>4800000000</v>
      </c>
      <c r="U124" s="2025">
        <v>2880000000</v>
      </c>
      <c r="V124" s="2025">
        <v>1920000000</v>
      </c>
      <c r="W124" s="2024">
        <f t="shared" si="8"/>
        <v>4800000000</v>
      </c>
      <c r="X124" s="2025">
        <v>2880000000</v>
      </c>
      <c r="Y124" s="2025">
        <v>1920000000</v>
      </c>
      <c r="Z124" s="2024">
        <f t="shared" si="9"/>
        <v>4800000000</v>
      </c>
      <c r="AA124" s="2025">
        <v>2880000000</v>
      </c>
      <c r="AB124" s="2025">
        <v>1920000000</v>
      </c>
      <c r="AC124" s="2024">
        <f t="shared" si="10"/>
        <v>4800000000</v>
      </c>
      <c r="AD124" s="2025">
        <v>2880000000</v>
      </c>
      <c r="AE124" s="2025">
        <v>1920000000</v>
      </c>
      <c r="AF124" s="2024">
        <f t="shared" si="17"/>
        <v>4800000000</v>
      </c>
      <c r="AG124" s="2025">
        <v>2880000000</v>
      </c>
      <c r="AH124" s="2025">
        <v>1920000000</v>
      </c>
      <c r="AI124" s="2024">
        <f t="shared" si="18"/>
        <v>4800000000</v>
      </c>
      <c r="AJ124" s="2025">
        <v>2880000000</v>
      </c>
      <c r="AK124" s="2025">
        <v>1920000000</v>
      </c>
      <c r="AL124" s="2024">
        <f t="shared" si="19"/>
        <v>4800000000</v>
      </c>
      <c r="AM124" s="2025">
        <v>2880000000</v>
      </c>
      <c r="AN124" s="2025">
        <v>1920000000</v>
      </c>
      <c r="AO124" s="2024">
        <f t="shared" si="20"/>
        <v>4800000000</v>
      </c>
      <c r="AP124" s="2025">
        <v>2880000000</v>
      </c>
      <c r="AQ124" s="2025">
        <v>1920000000</v>
      </c>
      <c r="AR124" s="2024">
        <f t="shared" si="21"/>
        <v>4800000000</v>
      </c>
    </row>
    <row r="125" spans="1:44" s="684" customFormat="1">
      <c r="A125" s="2006" t="s">
        <v>3373</v>
      </c>
      <c r="B125" s="2006" t="s">
        <v>3367</v>
      </c>
      <c r="C125" s="2005"/>
      <c r="D125" s="2005"/>
      <c r="E125" s="2005" t="e">
        <v>#REF!</v>
      </c>
      <c r="F125" s="2005" t="e">
        <v>#REF!</v>
      </c>
      <c r="G125" s="2005" t="e">
        <v>#REF!</v>
      </c>
      <c r="H125" s="2011">
        <v>3000000000</v>
      </c>
      <c r="I125" s="2005">
        <v>1000000000</v>
      </c>
      <c r="J125" s="2005">
        <v>1000000000</v>
      </c>
      <c r="K125" s="2011">
        <f t="shared" si="22"/>
        <v>2000000000</v>
      </c>
      <c r="L125" s="2005">
        <v>1000000000</v>
      </c>
      <c r="M125" s="2005">
        <v>1000000000</v>
      </c>
      <c r="N125" s="2011">
        <f t="shared" si="5"/>
        <v>2000000000</v>
      </c>
      <c r="O125" s="2005">
        <v>1000000000</v>
      </c>
      <c r="P125" s="2005">
        <v>1000000000</v>
      </c>
      <c r="Q125" s="2011">
        <f t="shared" si="6"/>
        <v>2000000000</v>
      </c>
      <c r="R125" s="2005">
        <v>1000000000</v>
      </c>
      <c r="S125" s="2005">
        <v>1000000000</v>
      </c>
      <c r="T125" s="2011">
        <f t="shared" si="7"/>
        <v>2000000000</v>
      </c>
      <c r="U125" s="2005">
        <v>1000000000</v>
      </c>
      <c r="V125" s="2005">
        <v>1000000000</v>
      </c>
      <c r="W125" s="2011">
        <f t="shared" si="8"/>
        <v>2000000000</v>
      </c>
      <c r="X125" s="2005">
        <v>1000000000</v>
      </c>
      <c r="Y125" s="2005">
        <v>1000000000</v>
      </c>
      <c r="Z125" s="2011">
        <f t="shared" si="9"/>
        <v>2000000000</v>
      </c>
      <c r="AA125" s="2005">
        <v>1000000000</v>
      </c>
      <c r="AB125" s="2005">
        <v>1000000000</v>
      </c>
      <c r="AC125" s="2011">
        <f t="shared" si="10"/>
        <v>2000000000</v>
      </c>
      <c r="AD125" s="2005">
        <v>1000000000</v>
      </c>
      <c r="AE125" s="2005">
        <v>1000000000</v>
      </c>
      <c r="AF125" s="2011">
        <f t="shared" si="17"/>
        <v>2000000000</v>
      </c>
      <c r="AG125" s="2005">
        <v>1000000000</v>
      </c>
      <c r="AH125" s="2005">
        <v>1000000000</v>
      </c>
      <c r="AI125" s="2011">
        <f t="shared" si="18"/>
        <v>2000000000</v>
      </c>
      <c r="AJ125" s="2005">
        <v>1000000000</v>
      </c>
      <c r="AK125" s="2005">
        <v>1000000000</v>
      </c>
      <c r="AL125" s="2011">
        <f t="shared" si="19"/>
        <v>2000000000</v>
      </c>
      <c r="AM125" s="2005">
        <v>1000000000</v>
      </c>
      <c r="AN125" s="2005">
        <v>1000000000</v>
      </c>
      <c r="AO125" s="2011">
        <f t="shared" si="20"/>
        <v>2000000000</v>
      </c>
      <c r="AP125" s="2005">
        <v>1000000000</v>
      </c>
      <c r="AQ125" s="2005">
        <v>1000000000</v>
      </c>
      <c r="AR125" s="2011">
        <f t="shared" si="21"/>
        <v>2000000000</v>
      </c>
    </row>
    <row r="126" spans="1:44">
      <c r="A126" s="2026" t="s">
        <v>3503</v>
      </c>
      <c r="B126" s="2026" t="s">
        <v>3367</v>
      </c>
      <c r="C126" s="2020">
        <f>SUM(C73:C96)</f>
        <v>26897500000</v>
      </c>
      <c r="D126" s="2020">
        <f>SUM(D73:D96)</f>
        <v>26451875000</v>
      </c>
      <c r="E126" s="2020">
        <v>35140209664</v>
      </c>
      <c r="F126" s="2020">
        <f>SUM(F73:F103)</f>
        <v>102706309994</v>
      </c>
      <c r="G126" s="2020">
        <f>SUM(G73:G121)</f>
        <v>180209181450</v>
      </c>
      <c r="H126" s="2016">
        <f>SUM(H73:H112)</f>
        <v>183737937782.5</v>
      </c>
      <c r="I126" s="2020">
        <f>SUM(I73:I120)</f>
        <v>94942913977</v>
      </c>
      <c r="J126" s="2020">
        <f>SUM(J73:J120)</f>
        <v>105084913977</v>
      </c>
      <c r="K126" s="2016">
        <f>SUM(I126:J126)</f>
        <v>200027827954</v>
      </c>
      <c r="L126" s="2020">
        <f>SUM(L73:L120)</f>
        <v>106337163977</v>
      </c>
      <c r="M126" s="2020">
        <f>SUM(M73:M120)</f>
        <v>103030538977</v>
      </c>
      <c r="N126" s="2016">
        <f>SUM(L126:M126)</f>
        <v>209367702954</v>
      </c>
      <c r="O126" s="2020">
        <f>SUM(O73:O120)</f>
        <v>99285484152</v>
      </c>
      <c r="P126" s="2020">
        <f>SUM(P73:P120)</f>
        <v>95681938830</v>
      </c>
      <c r="Q126" s="2016">
        <f>SUM(O126:P126)</f>
        <v>194967422982</v>
      </c>
      <c r="R126" s="2020">
        <f>SUM(R73:R120)</f>
        <v>94501116330</v>
      </c>
      <c r="S126" s="2020">
        <f>SUM(S73:S120)</f>
        <v>89658116330</v>
      </c>
      <c r="T126" s="2016">
        <f t="shared" si="7"/>
        <v>184159232660</v>
      </c>
      <c r="U126" s="2020">
        <f>SUM(U73:U120)</f>
        <v>85807475970</v>
      </c>
      <c r="V126" s="2020">
        <f>SUM(V73:V120)</f>
        <v>81808725970</v>
      </c>
      <c r="W126" s="2016">
        <f>SUM(U126:V126)</f>
        <v>167616201940</v>
      </c>
      <c r="X126" s="2020">
        <f>SUM(X73:X120)</f>
        <v>80608725970</v>
      </c>
      <c r="Y126" s="2020">
        <f>SUM(Y73:Y120)</f>
        <v>74548756720</v>
      </c>
      <c r="Z126" s="2016">
        <f>SUM(X126:Y126)</f>
        <v>155157482690</v>
      </c>
      <c r="AA126" s="2020">
        <f>SUM(AA73:AA120)</f>
        <v>72133756720</v>
      </c>
      <c r="AB126" s="2020">
        <f>SUM(AB73:AB120)</f>
        <v>69698756720</v>
      </c>
      <c r="AC126" s="2016">
        <f>SUM(AA126:AB126)</f>
        <v>141832513440</v>
      </c>
      <c r="AD126" s="2020">
        <f>SUM(AD73:AD120)</f>
        <v>63111926720</v>
      </c>
      <c r="AE126" s="2020">
        <f>SUM(AE73:AE120)</f>
        <v>61319426720</v>
      </c>
      <c r="AF126" s="2016">
        <f>SUM(AD126:AE126)</f>
        <v>124431353440</v>
      </c>
      <c r="AG126" s="2020">
        <f>SUM(AG73:AG120)</f>
        <v>54078470195</v>
      </c>
      <c r="AH126" s="2020">
        <f>SUM(AH73:AH120)</f>
        <v>54078470195</v>
      </c>
      <c r="AI126" s="2016">
        <f>SUM(AG126:AH126)</f>
        <v>108156940390</v>
      </c>
      <c r="AJ126" s="2020">
        <f>SUM(AJ73:AJ120)</f>
        <v>51999309875</v>
      </c>
      <c r="AK126" s="2020">
        <f>SUM(AK73:AK120)</f>
        <v>49419309875</v>
      </c>
      <c r="AL126" s="2016">
        <f>SUM(AJ126:AK126)</f>
        <v>101418619750</v>
      </c>
      <c r="AM126" s="2020">
        <f>SUM(AM73:AM120)</f>
        <v>47471859875</v>
      </c>
      <c r="AN126" s="2020">
        <f>SUM(AN73:AN120)</f>
        <v>44224859875</v>
      </c>
      <c r="AO126" s="2016">
        <f>SUM(AM126:AN126)</f>
        <v>91696719750</v>
      </c>
      <c r="AP126" s="2020">
        <f>SUM(AP73:AP120)</f>
        <v>38870109875</v>
      </c>
      <c r="AQ126" s="2020">
        <f>SUM(AQ73:AQ120)</f>
        <v>38870109875</v>
      </c>
      <c r="AR126" s="2016">
        <f>SUM(AP126:AQ126)</f>
        <v>77740219750</v>
      </c>
    </row>
    <row r="127" spans="1:44">
      <c r="K127" s="1771"/>
    </row>
  </sheetData>
  <pageMargins left="0.7" right="0.7" top="0.75" bottom="0.75" header="0.3" footer="0.3"/>
  <pageSetup orientation="portrait" horizontalDpi="4294967294" verticalDpi="4294967294"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CW388"/>
  <sheetViews>
    <sheetView workbookViewId="0">
      <pane xSplit="4" ySplit="2" topLeftCell="E9" activePane="bottomRight" state="frozen"/>
      <selection pane="topRight" activeCell="E1" sqref="E1"/>
      <selection pane="bottomLeft" activeCell="A3" sqref="A3"/>
      <selection pane="bottomRight" activeCell="C10" sqref="C10"/>
    </sheetView>
  </sheetViews>
  <sheetFormatPr defaultRowHeight="14.4"/>
  <cols>
    <col min="1" max="1" width="10.1015625" bestFit="1" customWidth="1"/>
    <col min="2" max="2" width="89.734375" style="14" customWidth="1"/>
    <col min="3" max="3" width="13.26171875" style="14" bestFit="1" customWidth="1"/>
    <col min="4" max="4" width="84.734375" style="14" customWidth="1"/>
  </cols>
  <sheetData>
    <row r="1" spans="1:101">
      <c r="C1" s="3196"/>
      <c r="D1" s="3196"/>
    </row>
    <row r="2" spans="1:101">
      <c r="C2" s="3196"/>
      <c r="D2" s="3196"/>
      <c r="E2" s="1234">
        <v>41456</v>
      </c>
      <c r="F2" s="1234">
        <v>41487</v>
      </c>
      <c r="G2" s="1234">
        <v>41518</v>
      </c>
      <c r="H2" s="1234">
        <v>41548</v>
      </c>
      <c r="I2" s="1234">
        <v>41579</v>
      </c>
      <c r="J2" s="1234">
        <v>41609</v>
      </c>
      <c r="K2" s="1234">
        <v>41640</v>
      </c>
      <c r="L2" s="1234">
        <v>41671</v>
      </c>
      <c r="M2" s="1234">
        <v>41699</v>
      </c>
      <c r="N2" s="1234">
        <v>41730</v>
      </c>
      <c r="O2" s="1234">
        <v>41760</v>
      </c>
      <c r="P2" s="1234">
        <v>41791</v>
      </c>
      <c r="Q2" s="1234">
        <v>41821</v>
      </c>
      <c r="R2" s="1234">
        <v>41852</v>
      </c>
      <c r="S2" s="1234">
        <v>41883</v>
      </c>
      <c r="T2" s="1234">
        <v>41913</v>
      </c>
      <c r="U2" s="1234">
        <v>41944</v>
      </c>
      <c r="V2" s="1234">
        <v>41974</v>
      </c>
      <c r="W2" s="1234">
        <v>42005</v>
      </c>
      <c r="X2" s="1234">
        <v>42036</v>
      </c>
      <c r="Y2" s="1234">
        <v>42064</v>
      </c>
      <c r="Z2" s="1234">
        <v>42095</v>
      </c>
      <c r="AA2" s="1234">
        <v>42125</v>
      </c>
      <c r="AB2" s="1234">
        <v>42156</v>
      </c>
      <c r="AC2" s="1234">
        <v>42186</v>
      </c>
      <c r="AD2" s="1234">
        <v>42217</v>
      </c>
      <c r="AE2" s="1234">
        <v>42248</v>
      </c>
      <c r="AF2" s="1234">
        <v>42278</v>
      </c>
      <c r="AG2" s="1234">
        <v>42309</v>
      </c>
      <c r="AH2" s="1234">
        <v>42339</v>
      </c>
      <c r="AI2" s="1234">
        <v>42370</v>
      </c>
      <c r="AJ2" s="1234">
        <v>42401</v>
      </c>
      <c r="AK2" s="1234">
        <v>42430</v>
      </c>
      <c r="AL2" s="1234">
        <v>42461</v>
      </c>
      <c r="AM2" s="1234">
        <v>42491</v>
      </c>
      <c r="AN2" s="1234">
        <v>42522</v>
      </c>
      <c r="AO2" s="1234">
        <v>42552</v>
      </c>
      <c r="AP2" s="1234">
        <v>42583</v>
      </c>
      <c r="AQ2" s="1234">
        <v>42614</v>
      </c>
      <c r="AR2" s="1234">
        <v>42644</v>
      </c>
      <c r="AS2" s="1234">
        <v>42675</v>
      </c>
      <c r="AT2" s="1234">
        <v>42705</v>
      </c>
      <c r="AU2" s="1234">
        <v>42736</v>
      </c>
      <c r="AV2" s="1234">
        <v>42767</v>
      </c>
      <c r="AW2" s="1234">
        <v>42795</v>
      </c>
      <c r="AX2" s="1234">
        <v>42826</v>
      </c>
      <c r="AY2" s="1234">
        <v>42856</v>
      </c>
      <c r="AZ2" s="1234">
        <v>42887</v>
      </c>
      <c r="BA2" s="1234">
        <v>42917</v>
      </c>
      <c r="BB2" s="1234">
        <v>42948</v>
      </c>
      <c r="BC2" s="1234">
        <v>42979</v>
      </c>
      <c r="BD2" s="1234">
        <v>43009</v>
      </c>
      <c r="BE2" s="1234">
        <v>43040</v>
      </c>
      <c r="BF2" s="1234">
        <v>43070</v>
      </c>
      <c r="BG2" s="1234">
        <v>43101</v>
      </c>
      <c r="BH2" s="1234">
        <v>43132</v>
      </c>
      <c r="BI2" s="1234">
        <v>43160</v>
      </c>
      <c r="BJ2" s="1234">
        <v>43191</v>
      </c>
      <c r="BK2" s="1234">
        <v>43221</v>
      </c>
      <c r="BL2" s="1234">
        <v>43252</v>
      </c>
      <c r="BM2" s="1234">
        <v>43282</v>
      </c>
      <c r="BN2" s="1234">
        <v>43313</v>
      </c>
      <c r="BO2" s="1234">
        <v>43344</v>
      </c>
      <c r="BP2" s="1234">
        <v>43374</v>
      </c>
      <c r="BQ2" s="1234">
        <v>43405</v>
      </c>
      <c r="BR2" s="1234">
        <v>43435</v>
      </c>
      <c r="BS2" s="1234">
        <v>43466</v>
      </c>
      <c r="BT2" s="1234">
        <v>43497</v>
      </c>
      <c r="BU2" s="1234">
        <v>43525</v>
      </c>
      <c r="BV2" s="1234">
        <v>43556</v>
      </c>
      <c r="BW2" s="1234">
        <v>43586</v>
      </c>
      <c r="BX2" s="1234">
        <v>43617</v>
      </c>
      <c r="BY2" s="1234">
        <v>43647</v>
      </c>
      <c r="BZ2" s="1234">
        <v>43678</v>
      </c>
      <c r="CA2" s="1234">
        <v>43709</v>
      </c>
      <c r="CB2" s="1234">
        <v>43739</v>
      </c>
      <c r="CC2" s="1234">
        <v>43770</v>
      </c>
      <c r="CD2" s="1234">
        <v>43800</v>
      </c>
      <c r="CE2" s="1234">
        <v>43831</v>
      </c>
      <c r="CF2" s="1234">
        <v>43862</v>
      </c>
      <c r="CG2" s="1234">
        <v>43891</v>
      </c>
      <c r="CH2" s="1234">
        <v>43922</v>
      </c>
      <c r="CI2" s="1234">
        <v>43952</v>
      </c>
      <c r="CJ2" s="1234">
        <v>43983</v>
      </c>
      <c r="CK2" s="1234">
        <v>44013</v>
      </c>
      <c r="CL2" s="1234">
        <v>44044</v>
      </c>
      <c r="CM2" s="1234">
        <v>44075</v>
      </c>
      <c r="CN2" s="1234">
        <v>44105</v>
      </c>
      <c r="CO2" s="1234">
        <v>44136</v>
      </c>
      <c r="CP2" s="1234">
        <v>44166</v>
      </c>
      <c r="CQ2" s="1234">
        <v>44197</v>
      </c>
      <c r="CR2" s="1234">
        <v>44228</v>
      </c>
      <c r="CS2" s="1234">
        <v>44256</v>
      </c>
      <c r="CT2" s="1234">
        <v>44287</v>
      </c>
      <c r="CU2" s="1234">
        <v>44317</v>
      </c>
      <c r="CV2" s="1234">
        <v>44348</v>
      </c>
      <c r="CW2" s="1234">
        <v>44378</v>
      </c>
    </row>
    <row r="3" spans="1:101">
      <c r="A3" s="1235" t="s">
        <v>1215</v>
      </c>
      <c r="B3" s="1235" t="s">
        <v>1216</v>
      </c>
      <c r="C3" s="1236" t="s">
        <v>2399</v>
      </c>
      <c r="D3" s="1236" t="s">
        <v>2400</v>
      </c>
    </row>
    <row r="4" spans="1:101">
      <c r="A4" s="1233">
        <v>1</v>
      </c>
      <c r="B4" s="1237" t="s">
        <v>1217</v>
      </c>
      <c r="C4" s="1044"/>
      <c r="D4" s="1044"/>
    </row>
    <row r="5" spans="1:101">
      <c r="A5" s="1233">
        <v>11</v>
      </c>
      <c r="B5" s="1237" t="s">
        <v>1218</v>
      </c>
      <c r="C5" s="1044"/>
      <c r="D5" s="1044"/>
    </row>
    <row r="6" spans="1:101">
      <c r="A6" s="1233">
        <v>111</v>
      </c>
      <c r="B6" s="1237" t="s">
        <v>1219</v>
      </c>
      <c r="C6" s="1044"/>
      <c r="D6" s="1044"/>
    </row>
    <row r="7" spans="1:101">
      <c r="A7" s="1233">
        <v>1111</v>
      </c>
      <c r="B7" s="1237" t="s">
        <v>1220</v>
      </c>
      <c r="C7" s="1237"/>
      <c r="D7" s="1237"/>
      <c r="E7">
        <f>SUM(E8:E18)</f>
        <v>0</v>
      </c>
    </row>
    <row r="8" spans="1:101">
      <c r="A8" s="1233"/>
      <c r="B8" s="1237"/>
      <c r="C8" s="1237" t="s">
        <v>2401</v>
      </c>
      <c r="D8" s="1237" t="s">
        <v>2402</v>
      </c>
    </row>
    <row r="9" spans="1:101">
      <c r="A9" s="1233"/>
      <c r="B9" s="1237"/>
      <c r="C9" s="1237" t="s">
        <v>2403</v>
      </c>
      <c r="D9" s="1237" t="s">
        <v>2404</v>
      </c>
    </row>
    <row r="10" spans="1:101">
      <c r="A10" s="1233"/>
      <c r="B10" s="1237"/>
      <c r="C10" s="1237" t="s">
        <v>2405</v>
      </c>
      <c r="D10" s="1237" t="s">
        <v>2406</v>
      </c>
    </row>
    <row r="11" spans="1:101">
      <c r="A11" s="1233"/>
      <c r="B11" s="1237"/>
      <c r="C11" s="1237" t="s">
        <v>2407</v>
      </c>
      <c r="D11" s="1237" t="s">
        <v>2408</v>
      </c>
    </row>
    <row r="12" spans="1:101">
      <c r="A12" s="1233"/>
      <c r="B12" s="1237"/>
      <c r="C12" s="1237" t="s">
        <v>2409</v>
      </c>
      <c r="D12" s="1237" t="s">
        <v>2410</v>
      </c>
    </row>
    <row r="13" spans="1:101">
      <c r="A13" s="1233"/>
      <c r="B13" s="1237"/>
      <c r="C13" s="1237" t="s">
        <v>2411</v>
      </c>
      <c r="D13" s="1237" t="s">
        <v>2412</v>
      </c>
    </row>
    <row r="14" spans="1:101">
      <c r="A14" s="1233"/>
      <c r="B14" s="1237"/>
      <c r="C14" s="1237" t="s">
        <v>2413</v>
      </c>
      <c r="D14" s="1237" t="s">
        <v>2414</v>
      </c>
    </row>
    <row r="15" spans="1:101">
      <c r="A15" s="1233"/>
      <c r="B15" s="1237"/>
      <c r="C15" s="1237" t="s">
        <v>2415</v>
      </c>
      <c r="D15" s="1237" t="s">
        <v>2416</v>
      </c>
    </row>
    <row r="16" spans="1:101">
      <c r="A16" s="1233"/>
      <c r="B16" s="1237"/>
      <c r="C16" s="1237" t="s">
        <v>2417</v>
      </c>
      <c r="D16" s="1237" t="s">
        <v>2418</v>
      </c>
    </row>
    <row r="17" spans="1:5">
      <c r="A17" s="1233"/>
      <c r="B17" s="1237"/>
      <c r="C17" s="1237" t="s">
        <v>2419</v>
      </c>
      <c r="D17" s="1237" t="s">
        <v>2420</v>
      </c>
    </row>
    <row r="18" spans="1:5">
      <c r="A18" s="1233"/>
      <c r="B18" s="1237"/>
      <c r="C18" s="1237" t="s">
        <v>2421</v>
      </c>
      <c r="D18" s="1237" t="s">
        <v>2422</v>
      </c>
    </row>
    <row r="19" spans="1:5">
      <c r="A19" s="1233">
        <v>1112</v>
      </c>
      <c r="B19" s="1237" t="s">
        <v>1221</v>
      </c>
      <c r="C19" s="1238" t="s">
        <v>2423</v>
      </c>
      <c r="D19" s="1238" t="s">
        <v>2423</v>
      </c>
      <c r="E19">
        <f>SUM(E20:E23)</f>
        <v>0</v>
      </c>
    </row>
    <row r="20" spans="1:5">
      <c r="A20" s="1233"/>
      <c r="B20" s="1237"/>
      <c r="C20" s="1237" t="s">
        <v>2424</v>
      </c>
      <c r="D20" s="1237" t="s">
        <v>2425</v>
      </c>
    </row>
    <row r="21" spans="1:5">
      <c r="A21" s="1233"/>
      <c r="B21" s="1237"/>
      <c r="C21" s="1237" t="s">
        <v>2426</v>
      </c>
      <c r="D21" s="1237" t="s">
        <v>2427</v>
      </c>
    </row>
    <row r="22" spans="1:5">
      <c r="A22" s="1233"/>
      <c r="B22" s="1237"/>
      <c r="C22" s="1237" t="s">
        <v>2428</v>
      </c>
      <c r="D22" s="1237" t="s">
        <v>2418</v>
      </c>
    </row>
    <row r="23" spans="1:5">
      <c r="A23" s="1233"/>
      <c r="B23" s="1237"/>
      <c r="C23" s="1237" t="s">
        <v>2429</v>
      </c>
      <c r="D23" s="1237" t="s">
        <v>2430</v>
      </c>
    </row>
    <row r="24" spans="1:5">
      <c r="A24" s="1233">
        <v>1113</v>
      </c>
      <c r="B24" s="1237" t="s">
        <v>1222</v>
      </c>
      <c r="C24" s="1238" t="s">
        <v>2423</v>
      </c>
      <c r="D24" s="1238" t="s">
        <v>2423</v>
      </c>
      <c r="E24">
        <f>E25</f>
        <v>0</v>
      </c>
    </row>
    <row r="25" spans="1:5">
      <c r="A25" s="1233"/>
      <c r="B25" s="1237"/>
      <c r="C25" s="1237" t="s">
        <v>2431</v>
      </c>
      <c r="D25" s="1237" t="s">
        <v>2432</v>
      </c>
    </row>
    <row r="26" spans="1:5">
      <c r="A26" s="1233">
        <v>112</v>
      </c>
      <c r="B26" s="1237" t="s">
        <v>467</v>
      </c>
      <c r="C26" s="1238" t="s">
        <v>2423</v>
      </c>
      <c r="D26" s="1238" t="s">
        <v>2423</v>
      </c>
      <c r="E26">
        <v>0</v>
      </c>
    </row>
    <row r="27" spans="1:5">
      <c r="A27" s="1233">
        <v>113</v>
      </c>
      <c r="B27" s="1237" t="s">
        <v>1223</v>
      </c>
      <c r="C27" s="1238" t="s">
        <v>2423</v>
      </c>
      <c r="D27" s="1238" t="s">
        <v>2423</v>
      </c>
    </row>
    <row r="28" spans="1:5">
      <c r="A28" s="1233">
        <v>1131</v>
      </c>
      <c r="B28" s="1237" t="s">
        <v>1224</v>
      </c>
      <c r="C28" s="1238" t="s">
        <v>2423</v>
      </c>
      <c r="D28" s="1238" t="s">
        <v>2423</v>
      </c>
      <c r="E28">
        <f>E29+E30</f>
        <v>0</v>
      </c>
    </row>
    <row r="29" spans="1:5">
      <c r="A29" s="1233"/>
      <c r="B29" s="1237"/>
      <c r="C29" s="1237" t="s">
        <v>2433</v>
      </c>
      <c r="D29" s="1237" t="s">
        <v>2434</v>
      </c>
    </row>
    <row r="30" spans="1:5">
      <c r="A30" s="1233"/>
      <c r="B30" s="1237"/>
      <c r="C30" s="1237" t="s">
        <v>2435</v>
      </c>
      <c r="D30" s="1237" t="s">
        <v>2436</v>
      </c>
    </row>
    <row r="31" spans="1:5">
      <c r="A31" s="1233">
        <v>1132</v>
      </c>
      <c r="B31" s="1237" t="s">
        <v>1225</v>
      </c>
      <c r="C31" s="1238" t="s">
        <v>2423</v>
      </c>
      <c r="D31" s="1238" t="s">
        <v>2423</v>
      </c>
      <c r="E31">
        <v>0</v>
      </c>
    </row>
    <row r="32" spans="1:5">
      <c r="A32" s="1233">
        <v>1133</v>
      </c>
      <c r="B32" s="1237" t="s">
        <v>1226</v>
      </c>
      <c r="C32" s="1238" t="s">
        <v>2423</v>
      </c>
      <c r="D32" s="1238" t="s">
        <v>2423</v>
      </c>
      <c r="E32">
        <v>0</v>
      </c>
    </row>
    <row r="33" spans="1:5">
      <c r="A33" s="1233">
        <v>1135</v>
      </c>
      <c r="B33" s="1237" t="s">
        <v>1227</v>
      </c>
      <c r="C33" s="1238" t="s">
        <v>2423</v>
      </c>
      <c r="D33" s="1238" t="s">
        <v>2423</v>
      </c>
      <c r="E33">
        <v>0</v>
      </c>
    </row>
    <row r="34" spans="1:5">
      <c r="A34" s="1233">
        <v>1136</v>
      </c>
      <c r="B34" s="1237" t="s">
        <v>1228</v>
      </c>
      <c r="C34" s="1237"/>
      <c r="D34" s="1237"/>
      <c r="E34">
        <f>E35</f>
        <v>0</v>
      </c>
    </row>
    <row r="35" spans="1:5">
      <c r="A35" s="1233"/>
      <c r="B35" s="1237"/>
      <c r="C35" s="1237" t="s">
        <v>2437</v>
      </c>
      <c r="D35" s="1237" t="s">
        <v>2438</v>
      </c>
    </row>
    <row r="36" spans="1:5">
      <c r="A36" s="1233">
        <v>114</v>
      </c>
      <c r="B36" s="1237" t="s">
        <v>475</v>
      </c>
      <c r="C36" s="1238" t="s">
        <v>2423</v>
      </c>
      <c r="D36" s="1238" t="s">
        <v>2423</v>
      </c>
    </row>
    <row r="37" spans="1:5">
      <c r="A37" s="1233">
        <v>1141</v>
      </c>
      <c r="B37" s="1237" t="s">
        <v>1229</v>
      </c>
      <c r="C37" s="1238" t="s">
        <v>2423</v>
      </c>
      <c r="D37" s="1238" t="s">
        <v>2423</v>
      </c>
    </row>
    <row r="38" spans="1:5">
      <c r="A38" s="1233">
        <v>11411</v>
      </c>
      <c r="B38" s="1237" t="s">
        <v>1230</v>
      </c>
      <c r="C38" s="1238" t="s">
        <v>2423</v>
      </c>
      <c r="D38" s="1238" t="s">
        <v>2423</v>
      </c>
    </row>
    <row r="39" spans="1:5">
      <c r="A39" s="1233"/>
      <c r="B39" s="1237"/>
      <c r="C39" s="1237" t="s">
        <v>2439</v>
      </c>
      <c r="D39" s="1237" t="s">
        <v>2440</v>
      </c>
    </row>
    <row r="40" spans="1:5">
      <c r="A40" s="1233"/>
      <c r="B40" s="1237"/>
      <c r="C40" s="1237" t="s">
        <v>2441</v>
      </c>
      <c r="D40" s="1237" t="s">
        <v>2442</v>
      </c>
    </row>
    <row r="41" spans="1:5">
      <c r="A41" s="1233"/>
      <c r="B41" s="1237"/>
      <c r="C41" s="1239" t="s">
        <v>2443</v>
      </c>
      <c r="D41" s="1239" t="s">
        <v>2444</v>
      </c>
    </row>
    <row r="42" spans="1:5">
      <c r="A42" s="1233">
        <v>11412</v>
      </c>
      <c r="B42" s="1237" t="s">
        <v>1231</v>
      </c>
      <c r="C42" s="1238" t="s">
        <v>2423</v>
      </c>
      <c r="D42" s="1238" t="s">
        <v>2423</v>
      </c>
    </row>
    <row r="43" spans="1:5">
      <c r="A43" s="1233">
        <v>11413</v>
      </c>
      <c r="B43" s="1237" t="s">
        <v>1232</v>
      </c>
      <c r="C43" s="1238" t="s">
        <v>2423</v>
      </c>
      <c r="D43" s="1238" t="s">
        <v>2423</v>
      </c>
    </row>
    <row r="44" spans="1:5">
      <c r="A44" s="1233">
        <v>11414</v>
      </c>
      <c r="B44" s="1237" t="s">
        <v>1233</v>
      </c>
      <c r="C44" s="1238" t="s">
        <v>2423</v>
      </c>
      <c r="D44" s="1238" t="s">
        <v>2423</v>
      </c>
    </row>
    <row r="45" spans="1:5">
      <c r="A45" s="1233"/>
      <c r="B45" s="1237"/>
      <c r="C45" s="1237" t="s">
        <v>2445</v>
      </c>
      <c r="D45" s="1237" t="s">
        <v>2446</v>
      </c>
    </row>
    <row r="46" spans="1:5">
      <c r="A46" s="1233"/>
      <c r="B46" s="1237"/>
      <c r="C46" s="1237" t="s">
        <v>2447</v>
      </c>
      <c r="D46" s="1237" t="s">
        <v>2448</v>
      </c>
    </row>
    <row r="47" spans="1:5">
      <c r="A47" s="1233"/>
      <c r="B47" s="1237"/>
      <c r="C47" s="1237" t="s">
        <v>2449</v>
      </c>
      <c r="D47" s="1237" t="s">
        <v>2450</v>
      </c>
    </row>
    <row r="48" spans="1:5">
      <c r="A48" s="1233"/>
      <c r="B48" s="1237"/>
      <c r="C48" s="1237" t="s">
        <v>2451</v>
      </c>
      <c r="D48" s="1237" t="s">
        <v>2452</v>
      </c>
    </row>
    <row r="49" spans="1:4">
      <c r="A49" s="1233"/>
      <c r="B49" s="1237"/>
      <c r="C49" s="1237" t="s">
        <v>2453</v>
      </c>
      <c r="D49" s="1237" t="s">
        <v>2454</v>
      </c>
    </row>
    <row r="50" spans="1:4">
      <c r="A50" s="1233">
        <v>1142</v>
      </c>
      <c r="B50" s="1237" t="s">
        <v>1234</v>
      </c>
      <c r="C50" s="1238" t="s">
        <v>2423</v>
      </c>
      <c r="D50" s="1238" t="s">
        <v>2423</v>
      </c>
    </row>
    <row r="51" spans="1:4">
      <c r="A51" s="1233"/>
      <c r="B51" s="1237"/>
      <c r="C51" s="1237" t="s">
        <v>2455</v>
      </c>
      <c r="D51" s="1237" t="s">
        <v>2456</v>
      </c>
    </row>
    <row r="52" spans="1:4">
      <c r="A52" s="1233"/>
      <c r="B52" s="1237"/>
      <c r="C52" s="1239" t="s">
        <v>2457</v>
      </c>
      <c r="D52" s="1239" t="s">
        <v>2458</v>
      </c>
    </row>
    <row r="53" spans="1:4">
      <c r="A53" s="1233"/>
      <c r="B53" s="1237"/>
      <c r="C53" s="1237" t="s">
        <v>2459</v>
      </c>
      <c r="D53" s="1237" t="s">
        <v>2460</v>
      </c>
    </row>
    <row r="54" spans="1:4">
      <c r="A54" s="1233"/>
      <c r="B54" s="1237"/>
      <c r="C54" s="1237" t="s">
        <v>2461</v>
      </c>
      <c r="D54" s="1237" t="s">
        <v>2462</v>
      </c>
    </row>
    <row r="55" spans="1:4">
      <c r="A55" s="1233"/>
      <c r="B55" s="1237"/>
      <c r="C55" s="1237" t="s">
        <v>2463</v>
      </c>
      <c r="D55" s="1237" t="s">
        <v>2464</v>
      </c>
    </row>
    <row r="56" spans="1:4">
      <c r="A56" s="1233"/>
      <c r="B56" s="1237"/>
      <c r="C56" s="1239" t="s">
        <v>2465</v>
      </c>
      <c r="D56" s="1239" t="s">
        <v>2466</v>
      </c>
    </row>
    <row r="57" spans="1:4">
      <c r="A57" s="1233"/>
      <c r="B57" s="1237"/>
      <c r="C57" s="1237" t="s">
        <v>2467</v>
      </c>
      <c r="D57" s="1237" t="s">
        <v>2468</v>
      </c>
    </row>
    <row r="58" spans="1:4">
      <c r="A58" s="1233"/>
      <c r="B58" s="1237"/>
      <c r="C58" s="1239" t="s">
        <v>2469</v>
      </c>
      <c r="D58" s="1239" t="s">
        <v>2470</v>
      </c>
    </row>
    <row r="59" spans="1:4">
      <c r="A59" s="1233"/>
      <c r="B59" s="1237"/>
      <c r="C59" s="1237" t="s">
        <v>2471</v>
      </c>
      <c r="D59" s="1237" t="s">
        <v>2472</v>
      </c>
    </row>
    <row r="60" spans="1:4">
      <c r="A60" s="1233"/>
      <c r="B60" s="1237"/>
      <c r="C60" s="1239" t="s">
        <v>2473</v>
      </c>
      <c r="D60" s="1239" t="s">
        <v>2474</v>
      </c>
    </row>
    <row r="61" spans="1:4">
      <c r="A61" s="1233"/>
      <c r="B61" s="1237"/>
      <c r="C61" s="1237" t="s">
        <v>2475</v>
      </c>
      <c r="D61" s="1237" t="s">
        <v>2476</v>
      </c>
    </row>
    <row r="62" spans="1:4">
      <c r="A62" s="1233"/>
      <c r="B62" s="1237"/>
      <c r="C62" s="1239" t="s">
        <v>2477</v>
      </c>
      <c r="D62" s="1239" t="s">
        <v>2478</v>
      </c>
    </row>
    <row r="63" spans="1:4">
      <c r="A63" s="1233"/>
      <c r="B63" s="1237"/>
      <c r="C63" s="1237" t="s">
        <v>2479</v>
      </c>
      <c r="D63" s="1237" t="s">
        <v>2480</v>
      </c>
    </row>
    <row r="64" spans="1:4">
      <c r="A64" s="1233"/>
      <c r="B64" s="1237"/>
      <c r="C64" s="1239" t="s">
        <v>2481</v>
      </c>
      <c r="D64" s="1239" t="s">
        <v>2482</v>
      </c>
    </row>
    <row r="65" spans="1:4">
      <c r="A65" s="1233"/>
      <c r="B65" s="1237"/>
      <c r="C65" s="1239" t="s">
        <v>2483</v>
      </c>
      <c r="D65" s="1239" t="s">
        <v>2484</v>
      </c>
    </row>
    <row r="66" spans="1:4">
      <c r="A66" s="1233"/>
      <c r="B66" s="1237"/>
      <c r="C66" s="1239" t="s">
        <v>2485</v>
      </c>
      <c r="D66" s="1239" t="s">
        <v>2486</v>
      </c>
    </row>
    <row r="67" spans="1:4">
      <c r="A67" s="1233"/>
      <c r="B67" s="1237"/>
      <c r="C67" s="1237" t="s">
        <v>2487</v>
      </c>
      <c r="D67" s="1237" t="s">
        <v>2488</v>
      </c>
    </row>
    <row r="68" spans="1:4">
      <c r="A68" s="1233"/>
      <c r="B68" s="1237"/>
      <c r="C68" s="1237" t="s">
        <v>2489</v>
      </c>
      <c r="D68" s="1237" t="s">
        <v>2490</v>
      </c>
    </row>
    <row r="69" spans="1:4">
      <c r="A69" s="1233"/>
      <c r="B69" s="1237"/>
      <c r="C69" s="1237" t="s">
        <v>2491</v>
      </c>
      <c r="D69" s="1237" t="s">
        <v>2492</v>
      </c>
    </row>
    <row r="70" spans="1:4">
      <c r="A70" s="1233"/>
      <c r="B70" s="1237"/>
      <c r="C70" s="1237" t="s">
        <v>2493</v>
      </c>
      <c r="D70" s="1237" t="s">
        <v>2494</v>
      </c>
    </row>
    <row r="71" spans="1:4">
      <c r="A71" s="1233">
        <v>1143</v>
      </c>
      <c r="B71" s="1237" t="s">
        <v>1235</v>
      </c>
      <c r="C71" s="1238" t="s">
        <v>2423</v>
      </c>
      <c r="D71" s="1238" t="s">
        <v>2423</v>
      </c>
    </row>
    <row r="72" spans="1:4">
      <c r="A72" s="1233">
        <v>1144</v>
      </c>
      <c r="B72" s="1237" t="s">
        <v>1236</v>
      </c>
      <c r="C72" s="1237"/>
      <c r="D72" s="1237"/>
    </row>
    <row r="73" spans="1:4">
      <c r="A73" s="1233"/>
      <c r="B73" s="1237"/>
      <c r="C73" s="1237" t="s">
        <v>2495</v>
      </c>
      <c r="D73" s="1237" t="s">
        <v>2496</v>
      </c>
    </row>
    <row r="74" spans="1:4">
      <c r="A74" s="1233">
        <v>1145</v>
      </c>
      <c r="B74" s="1237" t="s">
        <v>1237</v>
      </c>
      <c r="C74" s="1238" t="s">
        <v>2423</v>
      </c>
      <c r="D74" s="1238" t="s">
        <v>2423</v>
      </c>
    </row>
    <row r="75" spans="1:4">
      <c r="A75" s="1233">
        <v>11451</v>
      </c>
      <c r="B75" s="1237" t="s">
        <v>1238</v>
      </c>
      <c r="C75" s="1238" t="s">
        <v>2423</v>
      </c>
      <c r="D75" s="1238" t="s">
        <v>2423</v>
      </c>
    </row>
    <row r="76" spans="1:4">
      <c r="A76" s="1233">
        <v>11452</v>
      </c>
      <c r="B76" s="1237" t="s">
        <v>1239</v>
      </c>
      <c r="C76" s="1238" t="s">
        <v>2423</v>
      </c>
      <c r="D76" s="1238" t="s">
        <v>2423</v>
      </c>
    </row>
    <row r="77" spans="1:4">
      <c r="A77" s="1233"/>
      <c r="B77" s="1237"/>
      <c r="C77" s="1237" t="s">
        <v>2497</v>
      </c>
      <c r="D77" s="1237" t="s">
        <v>2498</v>
      </c>
    </row>
    <row r="78" spans="1:4">
      <c r="A78" s="1233">
        <v>1146</v>
      </c>
      <c r="B78" s="1237" t="s">
        <v>1240</v>
      </c>
      <c r="C78" s="1238" t="s">
        <v>2423</v>
      </c>
      <c r="D78" s="1238" t="s">
        <v>2423</v>
      </c>
    </row>
    <row r="79" spans="1:4">
      <c r="A79" s="1233"/>
      <c r="B79" s="1237"/>
      <c r="C79" s="1237" t="s">
        <v>2499</v>
      </c>
      <c r="D79" s="1237" t="s">
        <v>2500</v>
      </c>
    </row>
    <row r="80" spans="1:4">
      <c r="A80" s="1233"/>
      <c r="B80" s="1237"/>
      <c r="C80" s="1237" t="s">
        <v>2501</v>
      </c>
      <c r="D80" s="1237" t="s">
        <v>2502</v>
      </c>
    </row>
    <row r="81" spans="1:4">
      <c r="A81" s="1233"/>
      <c r="B81" s="1237"/>
      <c r="C81" s="1237" t="s">
        <v>2503</v>
      </c>
      <c r="D81" s="1237" t="s">
        <v>2504</v>
      </c>
    </row>
    <row r="82" spans="1:4">
      <c r="A82" s="1233"/>
      <c r="B82" s="1237"/>
      <c r="C82" s="1237" t="s">
        <v>2505</v>
      </c>
      <c r="D82" s="1237" t="s">
        <v>2506</v>
      </c>
    </row>
    <row r="83" spans="1:4">
      <c r="A83" s="1233"/>
      <c r="B83" s="1237"/>
      <c r="C83" s="1237" t="s">
        <v>2507</v>
      </c>
      <c r="D83" s="1237" t="s">
        <v>2500</v>
      </c>
    </row>
    <row r="84" spans="1:4">
      <c r="A84" s="1233"/>
      <c r="B84" s="1237"/>
      <c r="C84" s="1237" t="s">
        <v>2508</v>
      </c>
      <c r="D84" s="1237" t="s">
        <v>2509</v>
      </c>
    </row>
    <row r="85" spans="1:4">
      <c r="A85" s="1233"/>
      <c r="B85" s="1237"/>
      <c r="C85" s="1237" t="s">
        <v>2510</v>
      </c>
      <c r="D85" s="1237" t="s">
        <v>2511</v>
      </c>
    </row>
    <row r="86" spans="1:4">
      <c r="A86" s="1233">
        <v>115</v>
      </c>
      <c r="B86" s="1237" t="s">
        <v>1241</v>
      </c>
      <c r="C86" s="1238" t="s">
        <v>2423</v>
      </c>
      <c r="D86" s="1238" t="s">
        <v>2423</v>
      </c>
    </row>
    <row r="87" spans="1:4">
      <c r="A87" s="1233">
        <v>1151</v>
      </c>
      <c r="B87" s="1237" t="s">
        <v>1242</v>
      </c>
      <c r="C87" s="1238" t="s">
        <v>2423</v>
      </c>
      <c r="D87" s="1238" t="s">
        <v>2423</v>
      </c>
    </row>
    <row r="88" spans="1:4">
      <c r="A88" s="1233"/>
      <c r="B88" s="1237"/>
      <c r="C88" s="1239" t="s">
        <v>2512</v>
      </c>
      <c r="D88" s="1239" t="s">
        <v>2513</v>
      </c>
    </row>
    <row r="89" spans="1:4">
      <c r="A89" s="1233"/>
      <c r="B89" s="1237"/>
      <c r="C89" s="1239" t="s">
        <v>2514</v>
      </c>
      <c r="D89" s="1239" t="s">
        <v>2515</v>
      </c>
    </row>
    <row r="90" spans="1:4">
      <c r="A90" s="1233"/>
      <c r="B90" s="1237"/>
      <c r="C90" s="1239" t="s">
        <v>2516</v>
      </c>
      <c r="D90" s="1239" t="s">
        <v>2517</v>
      </c>
    </row>
    <row r="91" spans="1:4">
      <c r="A91" s="1233"/>
      <c r="B91" s="1237"/>
      <c r="C91" s="1239" t="s">
        <v>2518</v>
      </c>
      <c r="D91" s="1239" t="s">
        <v>2519</v>
      </c>
    </row>
    <row r="92" spans="1:4">
      <c r="A92" s="1233"/>
      <c r="B92" s="1237"/>
      <c r="C92" s="1239" t="s">
        <v>2520</v>
      </c>
      <c r="D92" s="1239" t="s">
        <v>2521</v>
      </c>
    </row>
    <row r="93" spans="1:4">
      <c r="A93" s="1233"/>
      <c r="B93" s="1237"/>
      <c r="C93" s="1237" t="s">
        <v>2522</v>
      </c>
      <c r="D93" s="1237" t="s">
        <v>2523</v>
      </c>
    </row>
    <row r="94" spans="1:4">
      <c r="A94" s="1233"/>
      <c r="B94" s="1237"/>
      <c r="C94" s="1239" t="s">
        <v>2524</v>
      </c>
      <c r="D94" s="1239" t="s">
        <v>2525</v>
      </c>
    </row>
    <row r="95" spans="1:4">
      <c r="A95" s="1233"/>
      <c r="B95" s="1237"/>
      <c r="C95" s="1237" t="s">
        <v>2526</v>
      </c>
      <c r="D95" s="1237" t="s">
        <v>2527</v>
      </c>
    </row>
    <row r="96" spans="1:4">
      <c r="A96" s="1233"/>
      <c r="B96" s="1237"/>
      <c r="C96" s="1237" t="s">
        <v>2528</v>
      </c>
      <c r="D96" s="1237" t="s">
        <v>2529</v>
      </c>
    </row>
    <row r="97" spans="1:4">
      <c r="A97" s="1233">
        <v>1152</v>
      </c>
      <c r="B97" s="1237" t="s">
        <v>1243</v>
      </c>
      <c r="C97" s="1238" t="s">
        <v>2423</v>
      </c>
      <c r="D97" s="1238" t="s">
        <v>2423</v>
      </c>
    </row>
    <row r="98" spans="1:4">
      <c r="A98" s="1233"/>
      <c r="B98" s="1237"/>
      <c r="C98" s="1237" t="s">
        <v>2530</v>
      </c>
      <c r="D98" s="1237" t="s">
        <v>2531</v>
      </c>
    </row>
    <row r="99" spans="1:4">
      <c r="A99" s="1233"/>
      <c r="B99" s="1237"/>
      <c r="C99" s="1237" t="s">
        <v>2532</v>
      </c>
      <c r="D99" s="1237" t="s">
        <v>2533</v>
      </c>
    </row>
    <row r="100" spans="1:4">
      <c r="A100" s="1233"/>
      <c r="B100" s="1237"/>
      <c r="C100" s="1237" t="s">
        <v>2534</v>
      </c>
      <c r="D100" s="1237" t="s">
        <v>2535</v>
      </c>
    </row>
    <row r="101" spans="1:4">
      <c r="A101" s="1233"/>
      <c r="B101" s="1237"/>
      <c r="C101" s="1239" t="s">
        <v>2536</v>
      </c>
      <c r="D101" s="1239" t="s">
        <v>2537</v>
      </c>
    </row>
    <row r="102" spans="1:4">
      <c r="A102" s="1233">
        <v>1153</v>
      </c>
      <c r="B102" s="1237" t="s">
        <v>1244</v>
      </c>
      <c r="C102" s="1238" t="s">
        <v>2423</v>
      </c>
      <c r="D102" s="1238" t="s">
        <v>2423</v>
      </c>
    </row>
    <row r="103" spans="1:4">
      <c r="A103" s="1233">
        <v>1154</v>
      </c>
      <c r="B103" s="1237" t="s">
        <v>1245</v>
      </c>
      <c r="C103" s="1238" t="s">
        <v>2423</v>
      </c>
      <c r="D103" s="1238" t="s">
        <v>2423</v>
      </c>
    </row>
    <row r="104" spans="1:4">
      <c r="A104" s="1233">
        <v>1155</v>
      </c>
      <c r="B104" s="1237" t="s">
        <v>1246</v>
      </c>
      <c r="C104" s="1238" t="s">
        <v>2423</v>
      </c>
      <c r="D104" s="1238" t="s">
        <v>2423</v>
      </c>
    </row>
    <row r="105" spans="1:4">
      <c r="A105" s="1233">
        <v>1156</v>
      </c>
      <c r="B105" s="1237" t="s">
        <v>1247</v>
      </c>
      <c r="C105" s="1238" t="s">
        <v>2423</v>
      </c>
      <c r="D105" s="1238" t="s">
        <v>2423</v>
      </c>
    </row>
    <row r="106" spans="1:4">
      <c r="A106" s="1233">
        <v>116</v>
      </c>
      <c r="B106" s="1237" t="s">
        <v>494</v>
      </c>
      <c r="C106" s="1238" t="s">
        <v>2423</v>
      </c>
      <c r="D106" s="1238" t="s">
        <v>2423</v>
      </c>
    </row>
    <row r="107" spans="1:4">
      <c r="A107" s="1233">
        <v>12</v>
      </c>
      <c r="B107" s="1237" t="s">
        <v>1248</v>
      </c>
      <c r="C107" s="1238" t="s">
        <v>2423</v>
      </c>
      <c r="D107" s="1238" t="s">
        <v>2423</v>
      </c>
    </row>
    <row r="108" spans="1:4">
      <c r="A108" s="1233">
        <v>121</v>
      </c>
      <c r="B108" s="1237" t="s">
        <v>1249</v>
      </c>
      <c r="C108" s="1238" t="s">
        <v>2423</v>
      </c>
      <c r="D108" s="1238" t="s">
        <v>2423</v>
      </c>
    </row>
    <row r="109" spans="1:4">
      <c r="A109" s="1233">
        <v>1211</v>
      </c>
      <c r="B109" s="1237" t="s">
        <v>1250</v>
      </c>
      <c r="C109" s="1238" t="s">
        <v>2423</v>
      </c>
      <c r="D109" s="1238" t="s">
        <v>2423</v>
      </c>
    </row>
    <row r="110" spans="1:4">
      <c r="A110" s="1233">
        <v>1212</v>
      </c>
      <c r="B110" s="1237" t="s">
        <v>1251</v>
      </c>
      <c r="C110" s="1238" t="s">
        <v>2423</v>
      </c>
      <c r="D110" s="1238" t="s">
        <v>2423</v>
      </c>
    </row>
    <row r="111" spans="1:4">
      <c r="A111" s="1233">
        <v>1213</v>
      </c>
      <c r="B111" s="1237" t="s">
        <v>1252</v>
      </c>
      <c r="C111" s="1238" t="s">
        <v>2423</v>
      </c>
      <c r="D111" s="1238" t="s">
        <v>2423</v>
      </c>
    </row>
    <row r="112" spans="1:4">
      <c r="A112" s="1233">
        <v>1214</v>
      </c>
      <c r="B112" s="1237" t="s">
        <v>1253</v>
      </c>
      <c r="C112" s="1238" t="s">
        <v>2423</v>
      </c>
      <c r="D112" s="1238" t="s">
        <v>2423</v>
      </c>
    </row>
    <row r="113" spans="1:4">
      <c r="A113" s="1233">
        <v>122</v>
      </c>
      <c r="B113" s="1237" t="s">
        <v>1254</v>
      </c>
      <c r="C113" s="1238" t="s">
        <v>2423</v>
      </c>
      <c r="D113" s="1238" t="s">
        <v>2423</v>
      </c>
    </row>
    <row r="114" spans="1:4">
      <c r="A114" s="1233">
        <v>1221</v>
      </c>
      <c r="B114" s="1237" t="s">
        <v>1255</v>
      </c>
      <c r="C114" s="1238" t="s">
        <v>2423</v>
      </c>
      <c r="D114" s="1238" t="s">
        <v>2423</v>
      </c>
    </row>
    <row r="115" spans="1:4">
      <c r="A115" s="1233">
        <v>1222</v>
      </c>
      <c r="B115" s="1237" t="s">
        <v>1256</v>
      </c>
      <c r="C115" s="1238" t="s">
        <v>2423</v>
      </c>
      <c r="D115" s="1238" t="s">
        <v>2423</v>
      </c>
    </row>
    <row r="116" spans="1:4">
      <c r="A116" s="1233">
        <v>1223</v>
      </c>
      <c r="B116" s="1237" t="s">
        <v>1257</v>
      </c>
      <c r="C116" s="1238" t="s">
        <v>2423</v>
      </c>
      <c r="D116" s="1238" t="s">
        <v>2423</v>
      </c>
    </row>
    <row r="117" spans="1:4">
      <c r="A117" s="1233">
        <v>13</v>
      </c>
      <c r="B117" s="1237" t="s">
        <v>1258</v>
      </c>
      <c r="C117" s="1238" t="s">
        <v>2423</v>
      </c>
      <c r="D117" s="1238" t="s">
        <v>2423</v>
      </c>
    </row>
    <row r="118" spans="1:4">
      <c r="A118" s="1233">
        <v>131</v>
      </c>
      <c r="B118" s="1237" t="s">
        <v>1259</v>
      </c>
      <c r="C118" s="1238" t="s">
        <v>2423</v>
      </c>
      <c r="D118" s="1238" t="s">
        <v>2423</v>
      </c>
    </row>
    <row r="119" spans="1:4">
      <c r="A119" s="1233">
        <v>1311</v>
      </c>
      <c r="B119" s="1237" t="s">
        <v>1260</v>
      </c>
      <c r="C119" s="1238" t="s">
        <v>2423</v>
      </c>
      <c r="D119" s="1238" t="s">
        <v>2423</v>
      </c>
    </row>
    <row r="120" spans="1:4">
      <c r="A120" s="1233">
        <v>1312</v>
      </c>
      <c r="B120" s="1237" t="s">
        <v>1261</v>
      </c>
      <c r="C120" s="1238" t="s">
        <v>2423</v>
      </c>
      <c r="D120" s="1238" t="s">
        <v>2423</v>
      </c>
    </row>
    <row r="121" spans="1:4">
      <c r="A121" s="1233">
        <v>132</v>
      </c>
      <c r="B121" s="1237" t="s">
        <v>1262</v>
      </c>
      <c r="C121" s="1238" t="s">
        <v>2423</v>
      </c>
      <c r="D121" s="1238" t="s">
        <v>2423</v>
      </c>
    </row>
    <row r="122" spans="1:4">
      <c r="A122" s="1233">
        <v>1321</v>
      </c>
      <c r="B122" s="1237" t="s">
        <v>1263</v>
      </c>
      <c r="C122" s="1238" t="s">
        <v>2423</v>
      </c>
      <c r="D122" s="1238" t="s">
        <v>2423</v>
      </c>
    </row>
    <row r="123" spans="1:4">
      <c r="A123" s="1233">
        <v>1322</v>
      </c>
      <c r="B123" s="1237" t="s">
        <v>1264</v>
      </c>
      <c r="C123" s="1238" t="s">
        <v>2423</v>
      </c>
      <c r="D123" s="1238" t="s">
        <v>2423</v>
      </c>
    </row>
    <row r="124" spans="1:4">
      <c r="A124" s="1233">
        <v>133</v>
      </c>
      <c r="B124" s="1237" t="s">
        <v>1265</v>
      </c>
      <c r="C124" s="1238" t="s">
        <v>2423</v>
      </c>
      <c r="D124" s="1238" t="s">
        <v>2423</v>
      </c>
    </row>
    <row r="125" spans="1:4">
      <c r="A125" s="1233">
        <v>1331</v>
      </c>
      <c r="B125" s="1237" t="s">
        <v>1266</v>
      </c>
      <c r="C125" s="1238" t="s">
        <v>2423</v>
      </c>
      <c r="D125" s="1238" t="s">
        <v>2423</v>
      </c>
    </row>
    <row r="126" spans="1:4">
      <c r="A126" s="1233">
        <v>1332</v>
      </c>
      <c r="B126" s="1237" t="s">
        <v>1267</v>
      </c>
      <c r="C126" s="1238" t="s">
        <v>2423</v>
      </c>
      <c r="D126" s="1238" t="s">
        <v>2423</v>
      </c>
    </row>
    <row r="127" spans="1:4">
      <c r="A127" s="1233">
        <v>14</v>
      </c>
      <c r="B127" s="1237" t="s">
        <v>1268</v>
      </c>
      <c r="C127" s="1238" t="s">
        <v>2423</v>
      </c>
      <c r="D127" s="1238" t="s">
        <v>2423</v>
      </c>
    </row>
    <row r="128" spans="1:4">
      <c r="A128" s="1233">
        <v>141</v>
      </c>
      <c r="B128" s="1237" t="s">
        <v>1269</v>
      </c>
      <c r="C128" s="1238" t="s">
        <v>2423</v>
      </c>
      <c r="D128" s="1238" t="s">
        <v>2423</v>
      </c>
    </row>
    <row r="129" spans="1:4">
      <c r="A129" s="1233">
        <v>1411</v>
      </c>
      <c r="B129" s="1237" t="s">
        <v>1270</v>
      </c>
      <c r="C129" s="1238" t="s">
        <v>2423</v>
      </c>
      <c r="D129" s="1238" t="s">
        <v>2423</v>
      </c>
    </row>
    <row r="130" spans="1:4">
      <c r="A130" s="1233"/>
      <c r="B130" s="1237"/>
      <c r="C130" s="1237" t="s">
        <v>2538</v>
      </c>
      <c r="D130" s="1237" t="s">
        <v>2539</v>
      </c>
    </row>
    <row r="131" spans="1:4">
      <c r="A131" s="1233"/>
      <c r="B131" s="1237"/>
      <c r="C131" s="1237" t="s">
        <v>2540</v>
      </c>
      <c r="D131" s="1237" t="s">
        <v>2541</v>
      </c>
    </row>
    <row r="132" spans="1:4">
      <c r="A132" s="1233"/>
      <c r="B132" s="1237"/>
      <c r="C132" s="1237" t="s">
        <v>2542</v>
      </c>
      <c r="D132" s="1237" t="s">
        <v>2543</v>
      </c>
    </row>
    <row r="133" spans="1:4">
      <c r="A133" s="1233"/>
      <c r="B133" s="1237"/>
      <c r="C133" s="1237" t="s">
        <v>2544</v>
      </c>
      <c r="D133" s="1237" t="s">
        <v>2545</v>
      </c>
    </row>
    <row r="134" spans="1:4">
      <c r="A134" s="1233"/>
      <c r="B134" s="1237"/>
      <c r="C134" s="1237" t="s">
        <v>2546</v>
      </c>
      <c r="D134" s="1237" t="s">
        <v>2547</v>
      </c>
    </row>
    <row r="135" spans="1:4">
      <c r="A135" s="1233"/>
      <c r="B135" s="1237"/>
      <c r="C135" s="1237" t="s">
        <v>2548</v>
      </c>
      <c r="D135" s="1237" t="s">
        <v>2549</v>
      </c>
    </row>
    <row r="136" spans="1:4">
      <c r="A136" s="1233"/>
      <c r="B136" s="1237"/>
      <c r="C136" s="1237" t="s">
        <v>2550</v>
      </c>
      <c r="D136" s="1237" t="s">
        <v>2551</v>
      </c>
    </row>
    <row r="137" spans="1:4">
      <c r="A137" s="1233"/>
      <c r="B137" s="1237"/>
      <c r="C137" s="1237" t="s">
        <v>2552</v>
      </c>
      <c r="D137" s="1237" t="s">
        <v>2553</v>
      </c>
    </row>
    <row r="138" spans="1:4">
      <c r="A138" s="1233"/>
      <c r="B138" s="1237"/>
      <c r="C138" s="1237" t="s">
        <v>2554</v>
      </c>
      <c r="D138" s="1237" t="s">
        <v>2555</v>
      </c>
    </row>
    <row r="139" spans="1:4">
      <c r="A139" s="1233"/>
      <c r="B139" s="1237"/>
      <c r="C139" s="1237" t="s">
        <v>2556</v>
      </c>
      <c r="D139" s="1237" t="s">
        <v>2557</v>
      </c>
    </row>
    <row r="140" spans="1:4">
      <c r="A140" s="1233"/>
      <c r="B140" s="1237"/>
      <c r="C140" s="1237" t="s">
        <v>2558</v>
      </c>
      <c r="D140" s="1237" t="s">
        <v>2559</v>
      </c>
    </row>
    <row r="141" spans="1:4">
      <c r="A141" s="1233"/>
      <c r="B141" s="1237"/>
      <c r="C141" s="1237" t="s">
        <v>2560</v>
      </c>
      <c r="D141" s="1237" t="s">
        <v>2561</v>
      </c>
    </row>
    <row r="142" spans="1:4">
      <c r="A142" s="1233"/>
      <c r="B142" s="1237"/>
      <c r="C142" s="1237" t="s">
        <v>2562</v>
      </c>
      <c r="D142" s="1237" t="s">
        <v>2563</v>
      </c>
    </row>
    <row r="143" spans="1:4">
      <c r="A143" s="1233"/>
      <c r="B143" s="1237"/>
      <c r="C143" s="1237" t="s">
        <v>2564</v>
      </c>
      <c r="D143" s="1237" t="s">
        <v>2565</v>
      </c>
    </row>
    <row r="144" spans="1:4">
      <c r="A144" s="1233"/>
      <c r="B144" s="1237"/>
      <c r="C144" s="1237" t="s">
        <v>2566</v>
      </c>
      <c r="D144" s="1237" t="s">
        <v>2563</v>
      </c>
    </row>
    <row r="145" spans="1:4">
      <c r="A145" s="1233"/>
      <c r="B145" s="1237"/>
      <c r="C145" s="1237" t="s">
        <v>2567</v>
      </c>
      <c r="D145" s="1237" t="s">
        <v>2568</v>
      </c>
    </row>
    <row r="146" spans="1:4">
      <c r="A146" s="1233"/>
      <c r="B146" s="1237"/>
      <c r="C146" s="1237" t="s">
        <v>2569</v>
      </c>
      <c r="D146" s="1237" t="s">
        <v>2570</v>
      </c>
    </row>
    <row r="147" spans="1:4">
      <c r="A147" s="1233"/>
      <c r="B147" s="1237"/>
      <c r="C147" s="1237" t="s">
        <v>2571</v>
      </c>
      <c r="D147" s="1237" t="s">
        <v>2572</v>
      </c>
    </row>
    <row r="148" spans="1:4">
      <c r="A148" s="1233"/>
      <c r="B148" s="1237"/>
      <c r="C148" s="1237" t="s">
        <v>2439</v>
      </c>
      <c r="D148" s="1237" t="s">
        <v>2440</v>
      </c>
    </row>
    <row r="149" spans="1:4">
      <c r="A149" s="1233"/>
      <c r="B149" s="1237"/>
      <c r="C149" s="1237" t="s">
        <v>2573</v>
      </c>
      <c r="D149" s="1237" t="s">
        <v>2574</v>
      </c>
    </row>
    <row r="150" spans="1:4">
      <c r="A150" s="1233"/>
      <c r="B150" s="1237"/>
      <c r="C150" s="1237" t="s">
        <v>2575</v>
      </c>
      <c r="D150" s="1237" t="s">
        <v>2576</v>
      </c>
    </row>
    <row r="151" spans="1:4">
      <c r="A151" s="1233"/>
      <c r="B151" s="1237"/>
      <c r="C151" s="1237" t="s">
        <v>2577</v>
      </c>
      <c r="D151" s="1237" t="s">
        <v>2578</v>
      </c>
    </row>
    <row r="152" spans="1:4">
      <c r="A152" s="1233"/>
      <c r="B152" s="1237"/>
      <c r="C152" s="1237" t="s">
        <v>2579</v>
      </c>
      <c r="D152" s="1237" t="s">
        <v>2580</v>
      </c>
    </row>
    <row r="153" spans="1:4">
      <c r="A153" s="1233"/>
      <c r="B153" s="1237"/>
      <c r="C153" s="1237" t="s">
        <v>2581</v>
      </c>
      <c r="D153" s="1237" t="s">
        <v>2582</v>
      </c>
    </row>
    <row r="154" spans="1:4">
      <c r="A154" s="1233"/>
      <c r="B154" s="1237"/>
      <c r="C154" s="1237" t="s">
        <v>2583</v>
      </c>
      <c r="D154" s="1237" t="s">
        <v>2584</v>
      </c>
    </row>
    <row r="155" spans="1:4">
      <c r="A155" s="1233"/>
      <c r="B155" s="1237"/>
      <c r="C155" s="1237" t="s">
        <v>2585</v>
      </c>
      <c r="D155" s="1237" t="s">
        <v>2586</v>
      </c>
    </row>
    <row r="156" spans="1:4">
      <c r="A156" s="1233"/>
      <c r="B156" s="1237"/>
      <c r="C156" s="1237" t="s">
        <v>2587</v>
      </c>
      <c r="D156" s="1237" t="s">
        <v>2588</v>
      </c>
    </row>
    <row r="157" spans="1:4">
      <c r="A157" s="1233"/>
      <c r="B157" s="1237"/>
      <c r="C157" s="1237" t="s">
        <v>2589</v>
      </c>
      <c r="D157" s="1237" t="s">
        <v>2590</v>
      </c>
    </row>
    <row r="158" spans="1:4">
      <c r="A158" s="1233"/>
      <c r="B158" s="1237"/>
      <c r="C158" s="1237" t="s">
        <v>2591</v>
      </c>
      <c r="D158" s="1237" t="s">
        <v>2592</v>
      </c>
    </row>
    <row r="159" spans="1:4">
      <c r="A159" s="1233"/>
      <c r="B159" s="1237"/>
      <c r="C159" s="1237" t="s">
        <v>2593</v>
      </c>
      <c r="D159" s="1237" t="s">
        <v>2594</v>
      </c>
    </row>
    <row r="160" spans="1:4">
      <c r="A160" s="1233"/>
      <c r="B160" s="1237"/>
      <c r="C160" s="1237" t="s">
        <v>2595</v>
      </c>
      <c r="D160" s="1237" t="s">
        <v>2596</v>
      </c>
    </row>
    <row r="161" spans="1:4">
      <c r="A161" s="1233"/>
      <c r="B161" s="1237"/>
      <c r="C161" s="1237" t="s">
        <v>2597</v>
      </c>
      <c r="D161" s="1237" t="s">
        <v>2598</v>
      </c>
    </row>
    <row r="162" spans="1:4">
      <c r="A162" s="1233"/>
      <c r="B162" s="1237"/>
      <c r="C162" s="1237" t="s">
        <v>2599</v>
      </c>
      <c r="D162" s="1237" t="s">
        <v>2600</v>
      </c>
    </row>
    <row r="163" spans="1:4">
      <c r="A163" s="1233"/>
      <c r="B163" s="1237"/>
      <c r="C163" s="1237" t="s">
        <v>2601</v>
      </c>
      <c r="D163" s="1237" t="s">
        <v>2602</v>
      </c>
    </row>
    <row r="164" spans="1:4">
      <c r="A164" s="1233"/>
      <c r="B164" s="1237"/>
      <c r="C164" s="1237" t="s">
        <v>2603</v>
      </c>
      <c r="D164" s="1237" t="s">
        <v>2604</v>
      </c>
    </row>
    <row r="165" spans="1:4">
      <c r="A165" s="1233"/>
      <c r="B165" s="1237"/>
      <c r="C165" s="1237" t="s">
        <v>2605</v>
      </c>
      <c r="D165" s="1237" t="s">
        <v>2606</v>
      </c>
    </row>
    <row r="166" spans="1:4">
      <c r="A166" s="1233"/>
      <c r="B166" s="1237"/>
      <c r="C166" s="1237" t="s">
        <v>2607</v>
      </c>
      <c r="D166" s="1237" t="s">
        <v>2608</v>
      </c>
    </row>
    <row r="167" spans="1:4">
      <c r="A167" s="1233"/>
      <c r="B167" s="1237"/>
      <c r="C167" s="1237" t="s">
        <v>2609</v>
      </c>
      <c r="D167" s="1237" t="s">
        <v>2610</v>
      </c>
    </row>
    <row r="168" spans="1:4">
      <c r="A168" s="1233"/>
      <c r="B168" s="1237"/>
      <c r="C168" s="1237" t="s">
        <v>2611</v>
      </c>
      <c r="D168" s="1237" t="s">
        <v>2612</v>
      </c>
    </row>
    <row r="169" spans="1:4">
      <c r="A169" s="1233">
        <v>14111</v>
      </c>
      <c r="B169" s="1237" t="s">
        <v>1271</v>
      </c>
      <c r="C169" s="1238" t="s">
        <v>2423</v>
      </c>
      <c r="D169" s="1238" t="s">
        <v>2423</v>
      </c>
    </row>
    <row r="170" spans="1:4">
      <c r="A170" s="1233">
        <v>14112</v>
      </c>
      <c r="B170" s="1237" t="s">
        <v>1272</v>
      </c>
      <c r="C170" s="1238" t="s">
        <v>2423</v>
      </c>
      <c r="D170" s="1238" t="s">
        <v>2423</v>
      </c>
    </row>
    <row r="171" spans="1:4">
      <c r="A171" s="1233">
        <v>14113</v>
      </c>
      <c r="B171" s="1237" t="s">
        <v>1273</v>
      </c>
      <c r="C171" s="1238" t="s">
        <v>2423</v>
      </c>
      <c r="D171" s="1238" t="s">
        <v>2423</v>
      </c>
    </row>
    <row r="172" spans="1:4">
      <c r="A172" s="1233">
        <v>1412</v>
      </c>
      <c r="B172" s="1237" t="s">
        <v>1274</v>
      </c>
      <c r="C172" s="1238" t="s">
        <v>2423</v>
      </c>
      <c r="D172" s="1238" t="s">
        <v>2423</v>
      </c>
    </row>
    <row r="173" spans="1:4">
      <c r="A173" s="1233">
        <v>1413</v>
      </c>
      <c r="B173" s="1237" t="s">
        <v>1275</v>
      </c>
      <c r="C173" s="1238" t="s">
        <v>2423</v>
      </c>
      <c r="D173" s="1238" t="s">
        <v>2423</v>
      </c>
    </row>
    <row r="174" spans="1:4">
      <c r="A174" s="1233">
        <v>1414</v>
      </c>
      <c r="B174" s="1237" t="s">
        <v>1276</v>
      </c>
      <c r="C174" s="1238" t="s">
        <v>2423</v>
      </c>
      <c r="D174" s="1238" t="s">
        <v>2423</v>
      </c>
    </row>
    <row r="175" spans="1:4">
      <c r="A175" s="1233">
        <v>1415</v>
      </c>
      <c r="B175" s="1237" t="s">
        <v>1277</v>
      </c>
      <c r="C175" s="1238" t="s">
        <v>2423</v>
      </c>
      <c r="D175" s="1238" t="s">
        <v>2423</v>
      </c>
    </row>
    <row r="176" spans="1:4">
      <c r="A176" s="1233"/>
      <c r="B176" s="1237"/>
      <c r="C176" s="1237" t="s">
        <v>2613</v>
      </c>
      <c r="D176" s="1237" t="s">
        <v>2614</v>
      </c>
    </row>
    <row r="177" spans="1:4">
      <c r="A177" s="1233"/>
      <c r="B177" s="1237"/>
      <c r="C177" s="1237" t="s">
        <v>2615</v>
      </c>
      <c r="D177" s="1237" t="s">
        <v>2616</v>
      </c>
    </row>
    <row r="178" spans="1:4">
      <c r="A178" s="1233">
        <v>1416</v>
      </c>
      <c r="B178" s="1237" t="s">
        <v>1278</v>
      </c>
      <c r="C178" s="1238" t="s">
        <v>2423</v>
      </c>
      <c r="D178" s="1238" t="s">
        <v>2423</v>
      </c>
    </row>
    <row r="179" spans="1:4">
      <c r="A179" s="1233">
        <v>142</v>
      </c>
      <c r="B179" s="1237" t="s">
        <v>1279</v>
      </c>
      <c r="C179" s="1238" t="s">
        <v>2423</v>
      </c>
      <c r="D179" s="1238" t="s">
        <v>2423</v>
      </c>
    </row>
    <row r="180" spans="1:4">
      <c r="A180" s="1233">
        <v>1421</v>
      </c>
      <c r="B180" s="1237" t="s">
        <v>1280</v>
      </c>
      <c r="C180" s="1238" t="s">
        <v>2423</v>
      </c>
      <c r="D180" s="1238" t="s">
        <v>2423</v>
      </c>
    </row>
    <row r="181" spans="1:4">
      <c r="A181" s="1233">
        <v>1422</v>
      </c>
      <c r="B181" s="1237" t="s">
        <v>1281</v>
      </c>
      <c r="C181" s="1238" t="s">
        <v>2423</v>
      </c>
      <c r="D181" s="1238" t="s">
        <v>2423</v>
      </c>
    </row>
    <row r="182" spans="1:4">
      <c r="A182" s="1233"/>
      <c r="B182" s="1237"/>
      <c r="C182" s="1237" t="s">
        <v>2617</v>
      </c>
      <c r="D182" s="1237" t="s">
        <v>2618</v>
      </c>
    </row>
    <row r="183" spans="1:4">
      <c r="A183" s="1233"/>
      <c r="B183" s="1237"/>
      <c r="C183" s="1237" t="s">
        <v>2619</v>
      </c>
      <c r="D183" s="1237" t="s">
        <v>2620</v>
      </c>
    </row>
    <row r="184" spans="1:4">
      <c r="A184" s="1233"/>
      <c r="B184" s="1237"/>
      <c r="C184" s="1237" t="s">
        <v>2621</v>
      </c>
      <c r="D184" s="1237" t="s">
        <v>2622</v>
      </c>
    </row>
    <row r="185" spans="1:4">
      <c r="A185" s="1233"/>
      <c r="B185" s="1237"/>
      <c r="C185" s="1237" t="s">
        <v>2623</v>
      </c>
      <c r="D185" s="1237" t="s">
        <v>2624</v>
      </c>
    </row>
    <row r="186" spans="1:4">
      <c r="A186" s="1233"/>
      <c r="B186" s="1237"/>
      <c r="C186" s="1237" t="s">
        <v>2625</v>
      </c>
      <c r="D186" s="1237" t="s">
        <v>2626</v>
      </c>
    </row>
    <row r="187" spans="1:4">
      <c r="A187" s="1233"/>
      <c r="B187" s="1237"/>
      <c r="C187" s="1237" t="s">
        <v>2627</v>
      </c>
      <c r="D187" s="1237" t="s">
        <v>2628</v>
      </c>
    </row>
    <row r="188" spans="1:4">
      <c r="A188" s="1233"/>
      <c r="B188" s="1237"/>
      <c r="C188" s="1237" t="s">
        <v>2629</v>
      </c>
      <c r="D188" s="1237" t="s">
        <v>2630</v>
      </c>
    </row>
    <row r="189" spans="1:4">
      <c r="A189" s="1233"/>
      <c r="B189" s="1237"/>
      <c r="C189" s="1237" t="s">
        <v>2631</v>
      </c>
      <c r="D189" s="1237" t="s">
        <v>2632</v>
      </c>
    </row>
    <row r="190" spans="1:4">
      <c r="A190" s="1233"/>
      <c r="B190" s="1237"/>
      <c r="C190" s="1237" t="s">
        <v>2633</v>
      </c>
      <c r="D190" s="1237" t="s">
        <v>2634</v>
      </c>
    </row>
    <row r="191" spans="1:4">
      <c r="A191" s="1233"/>
      <c r="B191" s="1237"/>
      <c r="C191" s="1237" t="s">
        <v>2635</v>
      </c>
      <c r="D191" s="1237" t="s">
        <v>2636</v>
      </c>
    </row>
    <row r="192" spans="1:4">
      <c r="A192" s="1233"/>
      <c r="B192" s="1237"/>
      <c r="C192" s="1237" t="s">
        <v>2637</v>
      </c>
      <c r="D192" s="1237" t="s">
        <v>2638</v>
      </c>
    </row>
    <row r="193" spans="1:4">
      <c r="A193" s="1233"/>
      <c r="B193" s="1237"/>
      <c r="C193" s="1237" t="s">
        <v>2639</v>
      </c>
      <c r="D193" s="1237" t="s">
        <v>2640</v>
      </c>
    </row>
    <row r="194" spans="1:4">
      <c r="A194" s="1233"/>
      <c r="B194" s="1237"/>
      <c r="C194" s="1239" t="s">
        <v>2641</v>
      </c>
      <c r="D194" s="1239" t="s">
        <v>2642</v>
      </c>
    </row>
    <row r="195" spans="1:4">
      <c r="A195" s="1233"/>
      <c r="B195" s="1237"/>
      <c r="C195" s="1239" t="s">
        <v>2643</v>
      </c>
      <c r="D195" s="1239" t="s">
        <v>2644</v>
      </c>
    </row>
    <row r="196" spans="1:4">
      <c r="A196" s="1233"/>
      <c r="B196" s="1237"/>
      <c r="C196" s="1239" t="s">
        <v>2645</v>
      </c>
      <c r="D196" s="1239" t="s">
        <v>2646</v>
      </c>
    </row>
    <row r="197" spans="1:4">
      <c r="A197" s="1233"/>
      <c r="B197" s="1237"/>
      <c r="C197" s="1237" t="s">
        <v>2647</v>
      </c>
      <c r="D197" s="1237" t="s">
        <v>2648</v>
      </c>
    </row>
    <row r="198" spans="1:4">
      <c r="A198" s="1233"/>
      <c r="B198" s="1237"/>
      <c r="C198" s="1237" t="s">
        <v>2649</v>
      </c>
      <c r="D198" s="1237" t="s">
        <v>2650</v>
      </c>
    </row>
    <row r="199" spans="1:4">
      <c r="A199" s="1233"/>
      <c r="B199" s="1237"/>
      <c r="C199" s="1237" t="s">
        <v>2651</v>
      </c>
      <c r="D199" s="1237" t="s">
        <v>2652</v>
      </c>
    </row>
    <row r="200" spans="1:4">
      <c r="A200" s="1233"/>
      <c r="B200" s="1237"/>
      <c r="C200" s="1237" t="s">
        <v>2653</v>
      </c>
      <c r="D200" s="1237" t="s">
        <v>2654</v>
      </c>
    </row>
    <row r="201" spans="1:4">
      <c r="A201" s="1233"/>
      <c r="B201" s="1237"/>
      <c r="C201" s="1237" t="s">
        <v>2655</v>
      </c>
      <c r="D201" s="1237" t="s">
        <v>2656</v>
      </c>
    </row>
    <row r="202" spans="1:4">
      <c r="A202" s="1233"/>
      <c r="B202" s="1237"/>
      <c r="C202" s="1237" t="s">
        <v>2657</v>
      </c>
      <c r="D202" s="1237" t="s">
        <v>2658</v>
      </c>
    </row>
    <row r="203" spans="1:4">
      <c r="A203" s="1233"/>
      <c r="B203" s="1237"/>
      <c r="C203" s="1237" t="s">
        <v>2659</v>
      </c>
      <c r="D203" s="1237" t="s">
        <v>2660</v>
      </c>
    </row>
    <row r="204" spans="1:4">
      <c r="A204" s="1233"/>
      <c r="B204" s="1237"/>
      <c r="C204" s="1237" t="s">
        <v>2661</v>
      </c>
      <c r="D204" s="1237" t="s">
        <v>2662</v>
      </c>
    </row>
    <row r="205" spans="1:4">
      <c r="A205" s="1233"/>
      <c r="B205" s="1237"/>
      <c r="C205" s="1237" t="s">
        <v>2663</v>
      </c>
      <c r="D205" s="1237" t="s">
        <v>2664</v>
      </c>
    </row>
    <row r="206" spans="1:4">
      <c r="A206" s="1233"/>
      <c r="B206" s="1237"/>
      <c r="C206" s="1237" t="s">
        <v>2665</v>
      </c>
      <c r="D206" s="1237" t="s">
        <v>2666</v>
      </c>
    </row>
    <row r="207" spans="1:4">
      <c r="A207" s="1233"/>
      <c r="B207" s="1237"/>
      <c r="C207" s="1237" t="s">
        <v>2667</v>
      </c>
      <c r="D207" s="1237" t="s">
        <v>2668</v>
      </c>
    </row>
    <row r="208" spans="1:4">
      <c r="A208" s="1233"/>
      <c r="B208" s="1237"/>
      <c r="C208" s="1237" t="s">
        <v>2669</v>
      </c>
      <c r="D208" s="1237" t="s">
        <v>2670</v>
      </c>
    </row>
    <row r="209" spans="1:4">
      <c r="A209" s="1233"/>
      <c r="B209" s="1237"/>
      <c r="C209" s="1237" t="s">
        <v>2671</v>
      </c>
      <c r="D209" s="1237" t="s">
        <v>2672</v>
      </c>
    </row>
    <row r="210" spans="1:4">
      <c r="A210" s="1233"/>
      <c r="B210" s="1237"/>
      <c r="C210" s="1237" t="s">
        <v>2673</v>
      </c>
      <c r="D210" s="1237" t="s">
        <v>2674</v>
      </c>
    </row>
    <row r="211" spans="1:4">
      <c r="A211" s="1233"/>
      <c r="B211" s="1237"/>
      <c r="C211" s="1237" t="s">
        <v>2675</v>
      </c>
      <c r="D211" s="1237" t="s">
        <v>2676</v>
      </c>
    </row>
    <row r="212" spans="1:4">
      <c r="A212" s="1233"/>
      <c r="B212" s="1237"/>
      <c r="C212" s="1237" t="s">
        <v>2677</v>
      </c>
      <c r="D212" s="1237" t="s">
        <v>2678</v>
      </c>
    </row>
    <row r="213" spans="1:4">
      <c r="A213" s="1233"/>
      <c r="B213" s="1237"/>
      <c r="C213" s="1237" t="s">
        <v>2679</v>
      </c>
      <c r="D213" s="1237" t="s">
        <v>2680</v>
      </c>
    </row>
    <row r="214" spans="1:4">
      <c r="A214" s="1233"/>
      <c r="B214" s="1237"/>
      <c r="C214" s="1237" t="s">
        <v>2681</v>
      </c>
      <c r="D214" s="1237" t="s">
        <v>2682</v>
      </c>
    </row>
    <row r="215" spans="1:4">
      <c r="A215" s="1233"/>
      <c r="B215" s="1237"/>
      <c r="C215" s="1237" t="s">
        <v>2683</v>
      </c>
      <c r="D215" s="1237" t="s">
        <v>2684</v>
      </c>
    </row>
    <row r="216" spans="1:4">
      <c r="A216" s="1233"/>
      <c r="B216" s="1237"/>
      <c r="C216" s="1237" t="s">
        <v>2685</v>
      </c>
      <c r="D216" s="1237" t="s">
        <v>2686</v>
      </c>
    </row>
    <row r="217" spans="1:4">
      <c r="A217" s="1233"/>
      <c r="B217" s="1237"/>
      <c r="C217" s="1237" t="s">
        <v>2687</v>
      </c>
      <c r="D217" s="1237" t="s">
        <v>2688</v>
      </c>
    </row>
    <row r="218" spans="1:4">
      <c r="A218" s="1233"/>
      <c r="B218" s="1237"/>
      <c r="C218" s="1237" t="s">
        <v>2689</v>
      </c>
      <c r="D218" s="1237" t="s">
        <v>2690</v>
      </c>
    </row>
    <row r="219" spans="1:4">
      <c r="A219" s="1233"/>
      <c r="B219" s="1237"/>
      <c r="C219" s="1237" t="s">
        <v>2691</v>
      </c>
      <c r="D219" s="1237" t="s">
        <v>2692</v>
      </c>
    </row>
    <row r="220" spans="1:4">
      <c r="A220" s="1233"/>
      <c r="B220" s="1237"/>
      <c r="C220" s="1237" t="s">
        <v>2693</v>
      </c>
      <c r="D220" s="1237" t="s">
        <v>2694</v>
      </c>
    </row>
    <row r="221" spans="1:4">
      <c r="A221" s="1233"/>
      <c r="B221" s="1237"/>
      <c r="C221" s="1237" t="s">
        <v>2695</v>
      </c>
      <c r="D221" s="1237" t="s">
        <v>2696</v>
      </c>
    </row>
    <row r="222" spans="1:4">
      <c r="A222" s="1233"/>
      <c r="B222" s="1237"/>
      <c r="C222" s="1237" t="s">
        <v>2697</v>
      </c>
      <c r="D222" s="1237" t="s">
        <v>2698</v>
      </c>
    </row>
    <row r="223" spans="1:4">
      <c r="A223" s="1233"/>
      <c r="B223" s="1237"/>
      <c r="C223" s="1237" t="s">
        <v>2699</v>
      </c>
      <c r="D223" s="1237" t="s">
        <v>2700</v>
      </c>
    </row>
    <row r="224" spans="1:4">
      <c r="A224" s="1233"/>
      <c r="B224" s="1237"/>
      <c r="C224" s="1237" t="s">
        <v>2701</v>
      </c>
      <c r="D224" s="1237" t="s">
        <v>2702</v>
      </c>
    </row>
    <row r="225" spans="1:4">
      <c r="A225" s="1233"/>
      <c r="B225" s="1237"/>
      <c r="C225" s="1237" t="s">
        <v>2703</v>
      </c>
      <c r="D225" s="1237" t="s">
        <v>2704</v>
      </c>
    </row>
    <row r="226" spans="1:4">
      <c r="A226" s="1233"/>
      <c r="B226" s="1237"/>
      <c r="C226" s="1237" t="s">
        <v>2705</v>
      </c>
      <c r="D226" s="1237" t="s">
        <v>2706</v>
      </c>
    </row>
    <row r="227" spans="1:4">
      <c r="A227" s="1233"/>
      <c r="B227" s="1237"/>
      <c r="C227" s="1237" t="s">
        <v>2707</v>
      </c>
      <c r="D227" s="1237" t="s">
        <v>2708</v>
      </c>
    </row>
    <row r="228" spans="1:4">
      <c r="A228" s="1233"/>
      <c r="B228" s="1237"/>
      <c r="C228" s="1237" t="s">
        <v>2709</v>
      </c>
      <c r="D228" s="1237" t="s">
        <v>2710</v>
      </c>
    </row>
    <row r="229" spans="1:4">
      <c r="A229" s="1233"/>
      <c r="B229" s="1237"/>
      <c r="C229" s="1237" t="s">
        <v>2711</v>
      </c>
      <c r="D229" s="1237" t="s">
        <v>2712</v>
      </c>
    </row>
    <row r="230" spans="1:4">
      <c r="A230" s="1233"/>
      <c r="B230" s="1237"/>
      <c r="C230" s="1237" t="s">
        <v>2713</v>
      </c>
      <c r="D230" s="1237" t="s">
        <v>2714</v>
      </c>
    </row>
    <row r="231" spans="1:4">
      <c r="A231" s="1233"/>
      <c r="B231" s="1237"/>
      <c r="C231" s="1237" t="s">
        <v>2715</v>
      </c>
      <c r="D231" s="1237" t="s">
        <v>2716</v>
      </c>
    </row>
    <row r="232" spans="1:4">
      <c r="A232" s="1233"/>
      <c r="B232" s="1237"/>
      <c r="C232" s="1237" t="s">
        <v>2717</v>
      </c>
      <c r="D232" s="1237" t="s">
        <v>2718</v>
      </c>
    </row>
    <row r="233" spans="1:4">
      <c r="A233" s="1233"/>
      <c r="B233" s="1237"/>
      <c r="C233" s="1237" t="s">
        <v>2719</v>
      </c>
      <c r="D233" s="1237" t="s">
        <v>2720</v>
      </c>
    </row>
    <row r="234" spans="1:4">
      <c r="A234" s="1233"/>
      <c r="B234" s="1237"/>
      <c r="C234" s="1237" t="s">
        <v>2721</v>
      </c>
      <c r="D234" s="1237" t="s">
        <v>2722</v>
      </c>
    </row>
    <row r="235" spans="1:4">
      <c r="A235" s="1233"/>
      <c r="B235" s="1237"/>
      <c r="C235" s="1237" t="s">
        <v>2723</v>
      </c>
      <c r="D235" s="1237" t="s">
        <v>2724</v>
      </c>
    </row>
    <row r="236" spans="1:4">
      <c r="A236" s="1233"/>
      <c r="B236" s="1237"/>
      <c r="C236" s="1237" t="s">
        <v>2725</v>
      </c>
      <c r="D236" s="1237" t="s">
        <v>2726</v>
      </c>
    </row>
    <row r="237" spans="1:4">
      <c r="A237" s="1233"/>
      <c r="B237" s="1237"/>
      <c r="C237" s="1237" t="s">
        <v>2727</v>
      </c>
      <c r="D237" s="1237" t="s">
        <v>2728</v>
      </c>
    </row>
    <row r="238" spans="1:4">
      <c r="A238" s="1233"/>
      <c r="B238" s="1237"/>
      <c r="C238" s="1237" t="s">
        <v>2729</v>
      </c>
      <c r="D238" s="1237" t="s">
        <v>2730</v>
      </c>
    </row>
    <row r="239" spans="1:4">
      <c r="A239" s="1233"/>
      <c r="B239" s="1237"/>
      <c r="C239" s="1237" t="s">
        <v>2731</v>
      </c>
      <c r="D239" s="1237" t="s">
        <v>2732</v>
      </c>
    </row>
    <row r="240" spans="1:4">
      <c r="A240" s="1233"/>
      <c r="B240" s="1237"/>
      <c r="C240" s="1237" t="s">
        <v>2733</v>
      </c>
      <c r="D240" s="1237" t="s">
        <v>2734</v>
      </c>
    </row>
    <row r="241" spans="1:4">
      <c r="A241" s="1233"/>
      <c r="B241" s="1237"/>
      <c r="C241" s="1237" t="s">
        <v>2735</v>
      </c>
      <c r="D241" s="1237" t="s">
        <v>2736</v>
      </c>
    </row>
    <row r="242" spans="1:4">
      <c r="A242" s="1233"/>
      <c r="B242" s="1237"/>
      <c r="C242" s="1237" t="s">
        <v>2737</v>
      </c>
      <c r="D242" s="1237" t="s">
        <v>2738</v>
      </c>
    </row>
    <row r="243" spans="1:4">
      <c r="A243" s="1233"/>
      <c r="B243" s="1237"/>
      <c r="C243" s="1237" t="s">
        <v>2739</v>
      </c>
      <c r="D243" s="1237" t="s">
        <v>2646</v>
      </c>
    </row>
    <row r="244" spans="1:4">
      <c r="A244" s="1233"/>
      <c r="B244" s="1237"/>
      <c r="C244" s="1237" t="s">
        <v>2740</v>
      </c>
      <c r="D244" s="1237" t="s">
        <v>2741</v>
      </c>
    </row>
    <row r="245" spans="1:4">
      <c r="A245" s="1233"/>
      <c r="B245" s="1237"/>
      <c r="C245" s="1237" t="s">
        <v>2742</v>
      </c>
      <c r="D245" s="1237" t="s">
        <v>2743</v>
      </c>
    </row>
    <row r="246" spans="1:4">
      <c r="A246" s="1233"/>
      <c r="B246" s="1237"/>
      <c r="C246" s="1237" t="s">
        <v>2744</v>
      </c>
      <c r="D246" s="1237" t="s">
        <v>2745</v>
      </c>
    </row>
    <row r="247" spans="1:4">
      <c r="A247" s="1233"/>
      <c r="B247" s="1237"/>
      <c r="C247" s="1237" t="s">
        <v>2746</v>
      </c>
      <c r="D247" s="1237" t="s">
        <v>2747</v>
      </c>
    </row>
    <row r="248" spans="1:4">
      <c r="A248" s="1233"/>
      <c r="B248" s="1237"/>
      <c r="C248" s="1237" t="s">
        <v>2748</v>
      </c>
      <c r="D248" s="1237" t="s">
        <v>2749</v>
      </c>
    </row>
    <row r="249" spans="1:4">
      <c r="A249" s="1233"/>
      <c r="B249" s="1237"/>
      <c r="C249" s="1237" t="s">
        <v>2750</v>
      </c>
      <c r="D249" s="1237" t="s">
        <v>2751</v>
      </c>
    </row>
    <row r="250" spans="1:4">
      <c r="A250" s="1233"/>
      <c r="B250" s="1237"/>
      <c r="C250" s="1237" t="s">
        <v>2752</v>
      </c>
      <c r="D250" s="1237" t="s">
        <v>2753</v>
      </c>
    </row>
    <row r="251" spans="1:4">
      <c r="A251" s="1233"/>
      <c r="B251" s="1237"/>
      <c r="C251" s="1237" t="s">
        <v>2754</v>
      </c>
      <c r="D251" s="1237" t="s">
        <v>2755</v>
      </c>
    </row>
    <row r="252" spans="1:4">
      <c r="A252" s="1233"/>
      <c r="B252" s="1237"/>
      <c r="C252" s="1237" t="s">
        <v>2756</v>
      </c>
      <c r="D252" s="1237" t="s">
        <v>2757</v>
      </c>
    </row>
    <row r="253" spans="1:4">
      <c r="A253" s="1233"/>
      <c r="B253" s="1237"/>
      <c r="C253" s="1237" t="s">
        <v>2758</v>
      </c>
      <c r="D253" s="1237" t="s">
        <v>2759</v>
      </c>
    </row>
    <row r="254" spans="1:4">
      <c r="A254" s="1233"/>
      <c r="B254" s="1237"/>
      <c r="C254" s="1237" t="s">
        <v>2760</v>
      </c>
      <c r="D254" s="1237" t="s">
        <v>2761</v>
      </c>
    </row>
    <row r="255" spans="1:4">
      <c r="A255" s="1233"/>
      <c r="B255" s="1237"/>
      <c r="C255" s="1237" t="s">
        <v>2762</v>
      </c>
      <c r="D255" s="1237" t="s">
        <v>2763</v>
      </c>
    </row>
    <row r="256" spans="1:4">
      <c r="A256" s="1233"/>
      <c r="B256" s="1237"/>
      <c r="C256" s="1237" t="s">
        <v>2764</v>
      </c>
      <c r="D256" s="1237" t="s">
        <v>2765</v>
      </c>
    </row>
    <row r="257" spans="1:4">
      <c r="A257" s="1233"/>
      <c r="B257" s="1237"/>
      <c r="C257" s="1237" t="s">
        <v>2766</v>
      </c>
      <c r="D257" s="1237" t="s">
        <v>2767</v>
      </c>
    </row>
    <row r="258" spans="1:4">
      <c r="A258" s="1233"/>
      <c r="B258" s="1237"/>
      <c r="C258" s="1237" t="s">
        <v>2768</v>
      </c>
      <c r="D258" s="1237" t="s">
        <v>2769</v>
      </c>
    </row>
    <row r="259" spans="1:4">
      <c r="A259" s="1233"/>
      <c r="B259" s="1237"/>
      <c r="C259" s="1237" t="s">
        <v>2770</v>
      </c>
      <c r="D259" s="1237" t="s">
        <v>2771</v>
      </c>
    </row>
    <row r="260" spans="1:4">
      <c r="A260" s="1233"/>
      <c r="B260" s="1237"/>
      <c r="C260" s="1237" t="s">
        <v>2772</v>
      </c>
      <c r="D260" s="1237" t="s">
        <v>2773</v>
      </c>
    </row>
    <row r="261" spans="1:4">
      <c r="A261" s="1233"/>
      <c r="B261" s="1237"/>
      <c r="C261" s="1237" t="s">
        <v>2774</v>
      </c>
      <c r="D261" s="1237" t="s">
        <v>2775</v>
      </c>
    </row>
    <row r="262" spans="1:4">
      <c r="A262" s="1233"/>
      <c r="B262" s="1237"/>
      <c r="C262" s="1237" t="s">
        <v>2776</v>
      </c>
      <c r="D262" s="1237" t="s">
        <v>2777</v>
      </c>
    </row>
    <row r="263" spans="1:4">
      <c r="A263" s="1233"/>
      <c r="B263" s="1237"/>
      <c r="C263" s="1237" t="s">
        <v>2778</v>
      </c>
      <c r="D263" s="1237" t="s">
        <v>2779</v>
      </c>
    </row>
    <row r="264" spans="1:4">
      <c r="A264" s="1233"/>
      <c r="B264" s="1237"/>
      <c r="C264" s="1237" t="s">
        <v>2780</v>
      </c>
      <c r="D264" s="1237" t="s">
        <v>2781</v>
      </c>
    </row>
    <row r="265" spans="1:4">
      <c r="A265" s="1233"/>
      <c r="B265" s="1237"/>
      <c r="C265" s="1237" t="s">
        <v>2782</v>
      </c>
      <c r="D265" s="1237" t="s">
        <v>2783</v>
      </c>
    </row>
    <row r="266" spans="1:4">
      <c r="A266" s="1233"/>
      <c r="B266" s="1237"/>
      <c r="C266" s="1237" t="s">
        <v>2784</v>
      </c>
      <c r="D266" s="1237" t="s">
        <v>2785</v>
      </c>
    </row>
    <row r="267" spans="1:4">
      <c r="A267" s="1233"/>
      <c r="B267" s="1237"/>
      <c r="C267" s="1237" t="s">
        <v>2786</v>
      </c>
      <c r="D267" s="1237" t="s">
        <v>2787</v>
      </c>
    </row>
    <row r="268" spans="1:4">
      <c r="A268" s="1233"/>
      <c r="B268" s="1237"/>
      <c r="C268" s="1237" t="s">
        <v>2788</v>
      </c>
      <c r="D268" s="1237" t="s">
        <v>2789</v>
      </c>
    </row>
    <row r="269" spans="1:4">
      <c r="A269" s="1233"/>
      <c r="B269" s="1237"/>
      <c r="C269" s="1237" t="s">
        <v>2790</v>
      </c>
      <c r="D269" s="1237" t="s">
        <v>2791</v>
      </c>
    </row>
    <row r="270" spans="1:4">
      <c r="A270" s="1233"/>
      <c r="B270" s="1237"/>
      <c r="C270" s="1237" t="s">
        <v>2792</v>
      </c>
      <c r="D270" s="1237" t="s">
        <v>2793</v>
      </c>
    </row>
    <row r="271" spans="1:4">
      <c r="A271" s="1233"/>
      <c r="B271" s="1237"/>
      <c r="C271" s="1237" t="s">
        <v>2794</v>
      </c>
      <c r="D271" s="1237" t="s">
        <v>2795</v>
      </c>
    </row>
    <row r="272" spans="1:4">
      <c r="A272" s="1233"/>
      <c r="B272" s="1237"/>
      <c r="C272" s="1237" t="s">
        <v>2796</v>
      </c>
      <c r="D272" s="1237" t="s">
        <v>2797</v>
      </c>
    </row>
    <row r="273" spans="1:4">
      <c r="A273" s="1233"/>
      <c r="B273" s="1237"/>
      <c r="C273" s="1237" t="s">
        <v>2798</v>
      </c>
      <c r="D273" s="1237" t="s">
        <v>2799</v>
      </c>
    </row>
    <row r="274" spans="1:4">
      <c r="A274" s="1233"/>
      <c r="B274" s="1237"/>
      <c r="C274" s="1237" t="s">
        <v>2800</v>
      </c>
      <c r="D274" s="1237" t="s">
        <v>2801</v>
      </c>
    </row>
    <row r="275" spans="1:4">
      <c r="A275" s="1233"/>
      <c r="B275" s="1237"/>
      <c r="C275" s="1237" t="s">
        <v>2802</v>
      </c>
      <c r="D275" s="1237" t="s">
        <v>2803</v>
      </c>
    </row>
    <row r="276" spans="1:4">
      <c r="A276" s="1233"/>
      <c r="B276" s="1237"/>
      <c r="C276" s="1237" t="s">
        <v>2804</v>
      </c>
      <c r="D276" s="1237" t="s">
        <v>2805</v>
      </c>
    </row>
    <row r="277" spans="1:4">
      <c r="A277" s="1233"/>
      <c r="B277" s="1237"/>
      <c r="C277" s="1237" t="s">
        <v>2806</v>
      </c>
      <c r="D277" s="1237" t="s">
        <v>2807</v>
      </c>
    </row>
    <row r="278" spans="1:4">
      <c r="A278" s="1233"/>
      <c r="B278" s="1237"/>
      <c r="C278" s="1237" t="s">
        <v>2808</v>
      </c>
      <c r="D278" s="1237" t="s">
        <v>2809</v>
      </c>
    </row>
    <row r="279" spans="1:4">
      <c r="A279" s="1233"/>
      <c r="B279" s="1237"/>
      <c r="C279" s="1237" t="s">
        <v>2810</v>
      </c>
      <c r="D279" s="1237" t="s">
        <v>2811</v>
      </c>
    </row>
    <row r="280" spans="1:4">
      <c r="A280" s="1233"/>
      <c r="B280" s="1237"/>
      <c r="C280" s="1237" t="s">
        <v>2812</v>
      </c>
      <c r="D280" s="1237" t="s">
        <v>2813</v>
      </c>
    </row>
    <row r="281" spans="1:4">
      <c r="A281" s="1233"/>
      <c r="B281" s="1237"/>
      <c r="C281" s="1237" t="s">
        <v>2814</v>
      </c>
      <c r="D281" s="1237" t="s">
        <v>2815</v>
      </c>
    </row>
    <row r="282" spans="1:4">
      <c r="A282" s="1233"/>
      <c r="B282" s="1237"/>
      <c r="C282" s="1237" t="s">
        <v>2816</v>
      </c>
      <c r="D282" s="1237" t="s">
        <v>2817</v>
      </c>
    </row>
    <row r="283" spans="1:4">
      <c r="A283" s="1233"/>
      <c r="B283" s="1237"/>
      <c r="C283" s="1237" t="s">
        <v>2818</v>
      </c>
      <c r="D283" s="1237" t="s">
        <v>2819</v>
      </c>
    </row>
    <row r="284" spans="1:4">
      <c r="A284" s="1233"/>
      <c r="B284" s="1237"/>
      <c r="C284" s="1237" t="s">
        <v>2820</v>
      </c>
      <c r="D284" s="1237" t="s">
        <v>2821</v>
      </c>
    </row>
    <row r="285" spans="1:4">
      <c r="A285" s="1233"/>
      <c r="B285" s="1237"/>
      <c r="C285" s="1237" t="s">
        <v>2822</v>
      </c>
      <c r="D285" s="1237" t="s">
        <v>2823</v>
      </c>
    </row>
    <row r="286" spans="1:4">
      <c r="A286" s="1233"/>
      <c r="B286" s="1237"/>
      <c r="C286" s="1237" t="s">
        <v>2824</v>
      </c>
      <c r="D286" s="1237" t="s">
        <v>2825</v>
      </c>
    </row>
    <row r="287" spans="1:4">
      <c r="A287" s="1233"/>
      <c r="B287" s="1237"/>
      <c r="C287" s="1237" t="s">
        <v>2826</v>
      </c>
      <c r="D287" s="1237" t="s">
        <v>2827</v>
      </c>
    </row>
    <row r="288" spans="1:4">
      <c r="A288" s="1233"/>
      <c r="B288" s="1237"/>
      <c r="C288" s="1237" t="s">
        <v>2828</v>
      </c>
      <c r="D288" s="1237" t="s">
        <v>2829</v>
      </c>
    </row>
    <row r="289" spans="1:4">
      <c r="A289" s="1233"/>
      <c r="B289" s="1237"/>
      <c r="C289" s="1237" t="s">
        <v>2830</v>
      </c>
      <c r="D289" s="1237" t="s">
        <v>2831</v>
      </c>
    </row>
    <row r="290" spans="1:4">
      <c r="A290" s="1233"/>
      <c r="B290" s="1237"/>
      <c r="C290" s="1237" t="s">
        <v>2832</v>
      </c>
      <c r="D290" s="1237" t="s">
        <v>2833</v>
      </c>
    </row>
    <row r="291" spans="1:4">
      <c r="A291" s="1233"/>
      <c r="B291" s="1237"/>
      <c r="C291" s="1237" t="s">
        <v>2834</v>
      </c>
      <c r="D291" s="1237" t="s">
        <v>2835</v>
      </c>
    </row>
    <row r="292" spans="1:4">
      <c r="A292" s="1233"/>
      <c r="B292" s="1237"/>
      <c r="C292" s="1237" t="s">
        <v>2836</v>
      </c>
      <c r="D292" s="1237" t="s">
        <v>2837</v>
      </c>
    </row>
    <row r="293" spans="1:4">
      <c r="A293" s="1233"/>
      <c r="B293" s="1237"/>
      <c r="C293" s="1237" t="s">
        <v>2838</v>
      </c>
      <c r="D293" s="1237" t="s">
        <v>2839</v>
      </c>
    </row>
    <row r="294" spans="1:4">
      <c r="A294" s="1233"/>
      <c r="B294" s="1237"/>
      <c r="C294" s="1237" t="s">
        <v>2840</v>
      </c>
      <c r="D294" s="1237" t="s">
        <v>2841</v>
      </c>
    </row>
    <row r="295" spans="1:4">
      <c r="A295" s="1233"/>
      <c r="B295" s="1237"/>
      <c r="C295" s="1237" t="s">
        <v>2842</v>
      </c>
      <c r="D295" s="1237" t="s">
        <v>2843</v>
      </c>
    </row>
    <row r="296" spans="1:4">
      <c r="A296" s="1233"/>
      <c r="B296" s="1237"/>
      <c r="C296" s="1237" t="s">
        <v>2844</v>
      </c>
      <c r="D296" s="1237" t="s">
        <v>2845</v>
      </c>
    </row>
    <row r="297" spans="1:4">
      <c r="A297" s="1233"/>
      <c r="B297" s="1237"/>
      <c r="C297" s="1237" t="s">
        <v>2846</v>
      </c>
      <c r="D297" s="1237" t="s">
        <v>2847</v>
      </c>
    </row>
    <row r="298" spans="1:4">
      <c r="A298" s="1233"/>
      <c r="B298" s="1237"/>
      <c r="C298" s="1237" t="s">
        <v>2848</v>
      </c>
      <c r="D298" s="1237" t="s">
        <v>2849</v>
      </c>
    </row>
    <row r="299" spans="1:4">
      <c r="A299" s="1233"/>
      <c r="B299" s="1237"/>
      <c r="C299" s="1237" t="s">
        <v>2850</v>
      </c>
      <c r="D299" s="1237" t="s">
        <v>2851</v>
      </c>
    </row>
    <row r="300" spans="1:4">
      <c r="A300" s="1233"/>
      <c r="B300" s="1237"/>
      <c r="C300" s="1237" t="s">
        <v>2852</v>
      </c>
      <c r="D300" s="1237" t="s">
        <v>2853</v>
      </c>
    </row>
    <row r="301" spans="1:4">
      <c r="A301" s="1233"/>
      <c r="B301" s="1237"/>
      <c r="C301" s="1237" t="s">
        <v>2854</v>
      </c>
      <c r="D301" s="1237" t="s">
        <v>2855</v>
      </c>
    </row>
    <row r="302" spans="1:4">
      <c r="A302" s="1233"/>
      <c r="B302" s="1237"/>
      <c r="C302" s="1237" t="s">
        <v>2856</v>
      </c>
      <c r="D302" s="1237" t="s">
        <v>2857</v>
      </c>
    </row>
    <row r="303" spans="1:4">
      <c r="A303" s="1233"/>
      <c r="B303" s="1237"/>
      <c r="C303" s="1237" t="s">
        <v>2858</v>
      </c>
      <c r="D303" s="1237" t="s">
        <v>2859</v>
      </c>
    </row>
    <row r="304" spans="1:4">
      <c r="A304" s="1233"/>
      <c r="B304" s="1237"/>
      <c r="C304" s="1237" t="s">
        <v>2860</v>
      </c>
      <c r="D304" s="1237" t="s">
        <v>2861</v>
      </c>
    </row>
    <row r="305" spans="1:4">
      <c r="A305" s="1233"/>
      <c r="B305" s="1237"/>
      <c r="C305" s="1237" t="s">
        <v>2862</v>
      </c>
      <c r="D305" s="1237" t="s">
        <v>2863</v>
      </c>
    </row>
    <row r="306" spans="1:4">
      <c r="A306" s="1233"/>
      <c r="B306" s="1237"/>
      <c r="C306" s="1237" t="s">
        <v>2864</v>
      </c>
      <c r="D306" s="1237" t="s">
        <v>2865</v>
      </c>
    </row>
    <row r="307" spans="1:4">
      <c r="A307" s="1233"/>
      <c r="B307" s="1237"/>
      <c r="C307" s="1237" t="s">
        <v>2866</v>
      </c>
      <c r="D307" s="1237" t="s">
        <v>2867</v>
      </c>
    </row>
    <row r="308" spans="1:4">
      <c r="A308" s="1233"/>
      <c r="B308" s="1237"/>
      <c r="C308" s="1237" t="s">
        <v>2868</v>
      </c>
      <c r="D308" s="1237" t="s">
        <v>2869</v>
      </c>
    </row>
    <row r="309" spans="1:4">
      <c r="A309" s="1233"/>
      <c r="B309" s="1237"/>
      <c r="C309" s="1237" t="s">
        <v>2870</v>
      </c>
      <c r="D309" s="1237" t="s">
        <v>2871</v>
      </c>
    </row>
    <row r="310" spans="1:4">
      <c r="A310" s="1233"/>
      <c r="B310" s="1237"/>
      <c r="C310" s="1237" t="s">
        <v>2872</v>
      </c>
      <c r="D310" s="1237" t="s">
        <v>2873</v>
      </c>
    </row>
    <row r="311" spans="1:4">
      <c r="A311" s="1233">
        <v>1423</v>
      </c>
      <c r="B311" s="1237" t="s">
        <v>1282</v>
      </c>
      <c r="C311" s="1238" t="s">
        <v>2423</v>
      </c>
      <c r="D311" s="1238" t="s">
        <v>2423</v>
      </c>
    </row>
    <row r="312" spans="1:4">
      <c r="A312" s="1233"/>
      <c r="B312" s="1237"/>
      <c r="C312" s="1237" t="s">
        <v>2874</v>
      </c>
      <c r="D312" s="1237" t="s">
        <v>2875</v>
      </c>
    </row>
    <row r="313" spans="1:4">
      <c r="A313" s="1233"/>
      <c r="B313" s="1237"/>
      <c r="C313" s="1237" t="s">
        <v>2876</v>
      </c>
      <c r="D313" s="1237" t="s">
        <v>2877</v>
      </c>
    </row>
    <row r="314" spans="1:4">
      <c r="A314" s="1233"/>
      <c r="B314" s="1237"/>
      <c r="C314" s="1237" t="s">
        <v>2878</v>
      </c>
      <c r="D314" s="1237" t="s">
        <v>2879</v>
      </c>
    </row>
    <row r="315" spans="1:4">
      <c r="A315" s="1233"/>
      <c r="B315" s="1237"/>
      <c r="C315" s="1237" t="s">
        <v>2880</v>
      </c>
      <c r="D315" s="1237" t="s">
        <v>2881</v>
      </c>
    </row>
    <row r="316" spans="1:4">
      <c r="A316" s="1233"/>
      <c r="B316" s="1237"/>
      <c r="C316" s="1237" t="s">
        <v>2882</v>
      </c>
      <c r="D316" s="1237" t="s">
        <v>2883</v>
      </c>
    </row>
    <row r="317" spans="1:4">
      <c r="A317" s="1233"/>
      <c r="B317" s="1237"/>
      <c r="C317" s="1237" t="s">
        <v>2884</v>
      </c>
      <c r="D317" s="1237" t="s">
        <v>2885</v>
      </c>
    </row>
    <row r="318" spans="1:4">
      <c r="A318" s="1233"/>
      <c r="B318" s="1237"/>
      <c r="C318" s="1237" t="s">
        <v>2886</v>
      </c>
      <c r="D318" s="1237" t="s">
        <v>2887</v>
      </c>
    </row>
    <row r="319" spans="1:4">
      <c r="A319" s="1233"/>
      <c r="B319" s="1237"/>
      <c r="C319" s="1237" t="s">
        <v>2888</v>
      </c>
      <c r="D319" s="1237" t="s">
        <v>2889</v>
      </c>
    </row>
    <row r="320" spans="1:4">
      <c r="A320" s="1233"/>
      <c r="B320" s="1237"/>
      <c r="C320" s="1237" t="s">
        <v>2890</v>
      </c>
      <c r="D320" s="1237" t="s">
        <v>2891</v>
      </c>
    </row>
    <row r="321" spans="1:4">
      <c r="A321" s="1233"/>
      <c r="B321" s="1237"/>
      <c r="C321" s="1237" t="s">
        <v>2892</v>
      </c>
      <c r="D321" s="1237" t="s">
        <v>2893</v>
      </c>
    </row>
    <row r="322" spans="1:4">
      <c r="A322" s="1233"/>
      <c r="B322" s="1237"/>
      <c r="C322" s="1237" t="s">
        <v>2894</v>
      </c>
      <c r="D322" s="1237" t="s">
        <v>2895</v>
      </c>
    </row>
    <row r="323" spans="1:4">
      <c r="A323" s="1233"/>
      <c r="B323" s="1237"/>
      <c r="C323" s="1237" t="s">
        <v>2896</v>
      </c>
      <c r="D323" s="1237" t="s">
        <v>2891</v>
      </c>
    </row>
    <row r="324" spans="1:4">
      <c r="A324" s="1233"/>
      <c r="B324" s="1237"/>
      <c r="C324" s="1237" t="s">
        <v>2897</v>
      </c>
      <c r="D324" s="1237" t="s">
        <v>2898</v>
      </c>
    </row>
    <row r="325" spans="1:4">
      <c r="A325" s="1233"/>
      <c r="B325" s="1237"/>
      <c r="C325" s="1237" t="s">
        <v>2899</v>
      </c>
      <c r="D325" s="1237" t="s">
        <v>2900</v>
      </c>
    </row>
    <row r="326" spans="1:4">
      <c r="A326" s="1233"/>
      <c r="B326" s="1237"/>
      <c r="C326" s="1237" t="s">
        <v>2901</v>
      </c>
      <c r="D326" s="1237" t="s">
        <v>2732</v>
      </c>
    </row>
    <row r="327" spans="1:4">
      <c r="A327" s="1233"/>
      <c r="B327" s="1237"/>
      <c r="C327" s="1237" t="s">
        <v>2902</v>
      </c>
      <c r="D327" s="1237" t="s">
        <v>2903</v>
      </c>
    </row>
    <row r="328" spans="1:4">
      <c r="A328" s="1233"/>
      <c r="B328" s="1237"/>
      <c r="C328" s="1237" t="s">
        <v>2904</v>
      </c>
      <c r="D328" s="1237" t="s">
        <v>2905</v>
      </c>
    </row>
    <row r="329" spans="1:4">
      <c r="A329" s="1233"/>
      <c r="B329" s="1237"/>
      <c r="C329" s="1237" t="s">
        <v>2906</v>
      </c>
      <c r="D329" s="1237" t="s">
        <v>2907</v>
      </c>
    </row>
    <row r="330" spans="1:4">
      <c r="A330" s="1233"/>
      <c r="B330" s="1237"/>
      <c r="C330" s="1237" t="s">
        <v>2908</v>
      </c>
      <c r="D330" s="1237" t="s">
        <v>2909</v>
      </c>
    </row>
    <row r="331" spans="1:4">
      <c r="A331" s="1233"/>
      <c r="B331" s="1237"/>
      <c r="C331" s="1237" t="s">
        <v>2910</v>
      </c>
      <c r="D331" s="1237" t="s">
        <v>2911</v>
      </c>
    </row>
    <row r="332" spans="1:4">
      <c r="A332" s="1233"/>
      <c r="B332" s="1237"/>
      <c r="C332" s="1237" t="s">
        <v>2912</v>
      </c>
      <c r="D332" s="1237" t="s">
        <v>2913</v>
      </c>
    </row>
    <row r="333" spans="1:4">
      <c r="A333" s="1233"/>
      <c r="B333" s="1237"/>
      <c r="C333" s="1237" t="s">
        <v>2914</v>
      </c>
      <c r="D333" s="1237" t="s">
        <v>2915</v>
      </c>
    </row>
    <row r="334" spans="1:4">
      <c r="A334" s="1233"/>
      <c r="B334" s="1237"/>
      <c r="C334" s="1237" t="s">
        <v>2916</v>
      </c>
      <c r="D334" s="1237" t="s">
        <v>2917</v>
      </c>
    </row>
    <row r="335" spans="1:4">
      <c r="A335" s="1233"/>
      <c r="B335" s="1237"/>
      <c r="C335" s="1237" t="s">
        <v>2918</v>
      </c>
      <c r="D335" s="1237" t="s">
        <v>2919</v>
      </c>
    </row>
    <row r="336" spans="1:4">
      <c r="A336" s="1233"/>
      <c r="B336" s="1237"/>
      <c r="C336" s="1237" t="s">
        <v>2920</v>
      </c>
      <c r="D336" s="1237" t="s">
        <v>2921</v>
      </c>
    </row>
    <row r="337" spans="1:4">
      <c r="A337" s="1233"/>
      <c r="B337" s="1237"/>
      <c r="C337" s="1237" t="s">
        <v>2922</v>
      </c>
      <c r="D337" s="1237" t="s">
        <v>2923</v>
      </c>
    </row>
    <row r="338" spans="1:4">
      <c r="A338" s="1233"/>
      <c r="B338" s="1237"/>
      <c r="C338" s="1237" t="s">
        <v>2924</v>
      </c>
      <c r="D338" s="1237" t="s">
        <v>2925</v>
      </c>
    </row>
    <row r="339" spans="1:4">
      <c r="A339" s="1233">
        <v>1424</v>
      </c>
      <c r="B339" s="1237" t="s">
        <v>1283</v>
      </c>
      <c r="C339" s="1238" t="s">
        <v>2423</v>
      </c>
      <c r="D339" s="1238" t="s">
        <v>2423</v>
      </c>
    </row>
    <row r="340" spans="1:4">
      <c r="A340" s="1233">
        <v>143</v>
      </c>
      <c r="B340" s="1237" t="s">
        <v>1284</v>
      </c>
      <c r="C340" s="1238" t="s">
        <v>2423</v>
      </c>
      <c r="D340" s="1238" t="s">
        <v>2423</v>
      </c>
    </row>
    <row r="341" spans="1:4">
      <c r="A341" s="1233"/>
      <c r="B341" s="1237"/>
      <c r="C341" s="1237" t="s">
        <v>2926</v>
      </c>
      <c r="D341" s="1237" t="s">
        <v>2927</v>
      </c>
    </row>
    <row r="342" spans="1:4">
      <c r="A342" s="1233"/>
      <c r="B342" s="1237"/>
      <c r="C342" s="1237" t="s">
        <v>2928</v>
      </c>
      <c r="D342" s="1237" t="s">
        <v>2929</v>
      </c>
    </row>
    <row r="343" spans="1:4">
      <c r="A343" s="1233"/>
      <c r="B343" s="1237"/>
      <c r="C343" s="1237" t="s">
        <v>2930</v>
      </c>
      <c r="D343" s="1237" t="s">
        <v>2931</v>
      </c>
    </row>
    <row r="344" spans="1:4">
      <c r="A344" s="1233"/>
      <c r="B344" s="1237"/>
      <c r="C344" s="1237" t="s">
        <v>2932</v>
      </c>
      <c r="D344" s="1237" t="s">
        <v>2933</v>
      </c>
    </row>
    <row r="345" spans="1:4">
      <c r="A345" s="1233"/>
      <c r="B345" s="1237"/>
      <c r="C345" s="1237" t="s">
        <v>2934</v>
      </c>
      <c r="D345" s="1237" t="s">
        <v>2935</v>
      </c>
    </row>
    <row r="346" spans="1:4">
      <c r="A346" s="1233"/>
      <c r="B346" s="1237"/>
      <c r="C346" s="1237" t="s">
        <v>2936</v>
      </c>
      <c r="D346" s="1237" t="s">
        <v>2937</v>
      </c>
    </row>
    <row r="347" spans="1:4">
      <c r="A347" s="1233"/>
      <c r="B347" s="1237"/>
      <c r="C347" s="1237" t="s">
        <v>2938</v>
      </c>
      <c r="D347" s="1237" t="s">
        <v>2939</v>
      </c>
    </row>
    <row r="348" spans="1:4">
      <c r="A348" s="1233"/>
      <c r="B348" s="1237"/>
      <c r="C348" s="1237" t="s">
        <v>2940</v>
      </c>
      <c r="D348" s="1237" t="s">
        <v>2941</v>
      </c>
    </row>
    <row r="349" spans="1:4">
      <c r="A349" s="1233"/>
      <c r="B349" s="1237"/>
      <c r="C349" s="1237" t="s">
        <v>2942</v>
      </c>
      <c r="D349" s="1237" t="s">
        <v>2943</v>
      </c>
    </row>
    <row r="350" spans="1:4">
      <c r="A350" s="1233"/>
      <c r="B350" s="1237"/>
      <c r="C350" s="1237" t="s">
        <v>2944</v>
      </c>
      <c r="D350" s="1237" t="s">
        <v>2945</v>
      </c>
    </row>
    <row r="351" spans="1:4">
      <c r="A351" s="1233"/>
      <c r="B351" s="1237"/>
      <c r="C351" s="1237" t="s">
        <v>2946</v>
      </c>
      <c r="D351" s="1237" t="s">
        <v>2947</v>
      </c>
    </row>
    <row r="352" spans="1:4">
      <c r="A352" s="1233"/>
      <c r="B352" s="1237"/>
      <c r="C352" s="1237" t="s">
        <v>2948</v>
      </c>
      <c r="D352" s="1237" t="s">
        <v>2949</v>
      </c>
    </row>
    <row r="353" spans="1:4">
      <c r="A353" s="1233"/>
      <c r="B353" s="1237"/>
      <c r="C353" s="1237" t="s">
        <v>2950</v>
      </c>
      <c r="D353" s="1237" t="s">
        <v>2951</v>
      </c>
    </row>
    <row r="354" spans="1:4">
      <c r="A354" s="1233"/>
      <c r="B354" s="1237"/>
      <c r="C354" s="1237" t="s">
        <v>2952</v>
      </c>
      <c r="D354" s="1237" t="s">
        <v>2565</v>
      </c>
    </row>
    <row r="355" spans="1:4">
      <c r="A355" s="1233"/>
      <c r="B355" s="1237"/>
      <c r="C355" s="1237" t="s">
        <v>2953</v>
      </c>
      <c r="D355" s="1237" t="s">
        <v>2954</v>
      </c>
    </row>
    <row r="356" spans="1:4">
      <c r="A356" s="1233"/>
      <c r="B356" s="1237"/>
      <c r="C356" s="1237" t="s">
        <v>2955</v>
      </c>
      <c r="D356" s="1237" t="s">
        <v>2956</v>
      </c>
    </row>
    <row r="357" spans="1:4">
      <c r="A357" s="1233"/>
      <c r="B357" s="1237"/>
      <c r="C357" s="1237" t="s">
        <v>2957</v>
      </c>
      <c r="D357" s="1237" t="s">
        <v>2958</v>
      </c>
    </row>
    <row r="358" spans="1:4">
      <c r="A358" s="1233"/>
      <c r="B358" s="1237"/>
      <c r="C358" s="1237" t="s">
        <v>2959</v>
      </c>
      <c r="D358" s="1237" t="s">
        <v>2960</v>
      </c>
    </row>
    <row r="359" spans="1:4">
      <c r="A359" s="1233"/>
      <c r="B359" s="1237"/>
      <c r="C359" s="1237" t="s">
        <v>2961</v>
      </c>
      <c r="D359" s="1237" t="s">
        <v>2962</v>
      </c>
    </row>
    <row r="360" spans="1:4">
      <c r="A360" s="1233"/>
      <c r="B360" s="1237"/>
      <c r="C360" s="1237" t="s">
        <v>2963</v>
      </c>
      <c r="D360" s="1237" t="s">
        <v>2964</v>
      </c>
    </row>
    <row r="361" spans="1:4">
      <c r="A361" s="1233"/>
      <c r="B361" s="1237"/>
      <c r="C361" s="1237" t="s">
        <v>2965</v>
      </c>
      <c r="D361" s="1237" t="s">
        <v>2966</v>
      </c>
    </row>
    <row r="362" spans="1:4">
      <c r="A362" s="1233"/>
      <c r="B362" s="1237"/>
      <c r="C362" s="1237" t="s">
        <v>2967</v>
      </c>
      <c r="D362" s="1237" t="s">
        <v>2968</v>
      </c>
    </row>
    <row r="363" spans="1:4">
      <c r="A363" s="1233"/>
      <c r="B363" s="1237"/>
      <c r="C363" s="1237" t="s">
        <v>2969</v>
      </c>
      <c r="D363" s="1237" t="s">
        <v>2970</v>
      </c>
    </row>
    <row r="364" spans="1:4">
      <c r="A364" s="1233"/>
      <c r="B364" s="1237"/>
      <c r="C364" s="1237" t="s">
        <v>2971</v>
      </c>
      <c r="D364" s="1237" t="s">
        <v>2972</v>
      </c>
    </row>
    <row r="365" spans="1:4">
      <c r="A365" s="1233"/>
      <c r="B365" s="1237"/>
      <c r="C365" s="1237" t="s">
        <v>2973</v>
      </c>
      <c r="D365" s="1237" t="s">
        <v>2974</v>
      </c>
    </row>
    <row r="366" spans="1:4">
      <c r="A366" s="1233"/>
      <c r="B366" s="1237"/>
      <c r="C366" s="1237" t="s">
        <v>2975</v>
      </c>
      <c r="D366" s="1237" t="s">
        <v>2976</v>
      </c>
    </row>
    <row r="367" spans="1:4">
      <c r="A367" s="1233"/>
      <c r="B367" s="1237"/>
      <c r="C367" s="1237" t="s">
        <v>2977</v>
      </c>
      <c r="D367" s="1237" t="s">
        <v>2978</v>
      </c>
    </row>
    <row r="368" spans="1:4">
      <c r="A368" s="1233"/>
      <c r="B368" s="1237"/>
      <c r="C368" s="1237" t="s">
        <v>2979</v>
      </c>
      <c r="D368" s="1237" t="s">
        <v>2980</v>
      </c>
    </row>
    <row r="369" spans="1:4">
      <c r="A369" s="1233"/>
      <c r="B369" s="1237"/>
      <c r="C369" s="1237" t="s">
        <v>2981</v>
      </c>
      <c r="D369" s="1237" t="s">
        <v>2982</v>
      </c>
    </row>
    <row r="370" spans="1:4">
      <c r="A370" s="1233"/>
      <c r="B370" s="1237"/>
      <c r="C370" s="1237" t="s">
        <v>2983</v>
      </c>
      <c r="D370" s="1237" t="s">
        <v>2984</v>
      </c>
    </row>
    <row r="371" spans="1:4">
      <c r="A371" s="1233"/>
      <c r="B371" s="1237"/>
      <c r="C371" s="1237" t="s">
        <v>2985</v>
      </c>
      <c r="D371" s="1237" t="s">
        <v>2986</v>
      </c>
    </row>
    <row r="372" spans="1:4">
      <c r="A372" s="1233"/>
      <c r="B372" s="1237"/>
      <c r="C372" s="1237" t="s">
        <v>2987</v>
      </c>
      <c r="D372" s="1237" t="s">
        <v>2988</v>
      </c>
    </row>
    <row r="373" spans="1:4">
      <c r="A373" s="1233"/>
      <c r="B373" s="1237"/>
      <c r="C373" s="1237" t="s">
        <v>2989</v>
      </c>
      <c r="D373" s="1237" t="s">
        <v>2990</v>
      </c>
    </row>
    <row r="374" spans="1:4">
      <c r="A374" s="1233"/>
      <c r="B374" s="1237"/>
      <c r="C374" s="1237" t="s">
        <v>2991</v>
      </c>
      <c r="D374" s="1237" t="s">
        <v>2992</v>
      </c>
    </row>
    <row r="375" spans="1:4">
      <c r="A375" s="1233"/>
      <c r="B375" s="1237"/>
      <c r="C375" s="1237" t="s">
        <v>2993</v>
      </c>
      <c r="D375" s="1237" t="s">
        <v>2994</v>
      </c>
    </row>
    <row r="376" spans="1:4">
      <c r="A376" s="1233"/>
      <c r="B376" s="1237"/>
      <c r="C376" s="1237" t="s">
        <v>2995</v>
      </c>
      <c r="D376" s="1237" t="s">
        <v>2996</v>
      </c>
    </row>
    <row r="377" spans="1:4">
      <c r="A377" s="1233"/>
      <c r="B377" s="1237"/>
      <c r="C377" s="1237" t="s">
        <v>2997</v>
      </c>
      <c r="D377" s="1237" t="s">
        <v>2998</v>
      </c>
    </row>
    <row r="378" spans="1:4">
      <c r="A378" s="1233"/>
      <c r="B378" s="1237"/>
      <c r="C378" s="1237" t="s">
        <v>2999</v>
      </c>
      <c r="D378" s="1237" t="s">
        <v>3000</v>
      </c>
    </row>
    <row r="379" spans="1:4">
      <c r="A379" s="1233"/>
      <c r="B379" s="1237"/>
      <c r="C379" s="1237" t="s">
        <v>3001</v>
      </c>
      <c r="D379" s="1237" t="s">
        <v>3002</v>
      </c>
    </row>
    <row r="380" spans="1:4">
      <c r="A380" s="1233"/>
      <c r="B380" s="1237"/>
      <c r="C380" s="1237" t="s">
        <v>3003</v>
      </c>
      <c r="D380" s="1237" t="s">
        <v>3004</v>
      </c>
    </row>
    <row r="381" spans="1:4">
      <c r="A381" s="1233"/>
      <c r="B381" s="1237"/>
      <c r="C381" s="1237" t="s">
        <v>3005</v>
      </c>
      <c r="D381" s="1237" t="s">
        <v>3006</v>
      </c>
    </row>
    <row r="382" spans="1:4">
      <c r="A382" s="1233"/>
      <c r="B382" s="1237"/>
      <c r="C382" s="1237" t="s">
        <v>3007</v>
      </c>
      <c r="D382" s="1237" t="s">
        <v>3008</v>
      </c>
    </row>
    <row r="383" spans="1:4">
      <c r="A383" s="1233"/>
      <c r="B383" s="1237"/>
      <c r="C383" s="1237" t="s">
        <v>3009</v>
      </c>
      <c r="D383" s="1237" t="s">
        <v>3010</v>
      </c>
    </row>
    <row r="384" spans="1:4">
      <c r="A384" s="1233"/>
      <c r="B384" s="1237"/>
      <c r="C384" s="1237" t="s">
        <v>3011</v>
      </c>
      <c r="D384" s="1237" t="s">
        <v>3012</v>
      </c>
    </row>
    <row r="385" spans="1:4">
      <c r="A385" s="1233"/>
      <c r="B385" s="1237"/>
      <c r="C385" s="1237" t="s">
        <v>3013</v>
      </c>
      <c r="D385" s="1237" t="s">
        <v>2998</v>
      </c>
    </row>
    <row r="386" spans="1:4">
      <c r="A386" s="1233"/>
      <c r="B386" s="1237"/>
      <c r="C386" s="1237" t="s">
        <v>3014</v>
      </c>
      <c r="D386" s="1237" t="s">
        <v>3015</v>
      </c>
    </row>
    <row r="387" spans="1:4">
      <c r="A387" s="1233"/>
      <c r="B387" s="1237"/>
      <c r="C387" s="1237" t="s">
        <v>3016</v>
      </c>
      <c r="D387" s="1237" t="s">
        <v>3017</v>
      </c>
    </row>
    <row r="388" spans="1:4">
      <c r="C388" s="1240"/>
      <c r="D388" s="1240"/>
    </row>
  </sheetData>
  <mergeCells count="1">
    <mergeCell ref="C1:D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2:X148"/>
  <sheetViews>
    <sheetView zoomScale="85" zoomScaleNormal="85" workbookViewId="0">
      <pane xSplit="1" ySplit="3" topLeftCell="L106" activePane="bottomRight" state="frozen"/>
      <selection activeCell="X126" sqref="X126"/>
      <selection pane="topRight" activeCell="X126" sqref="X126"/>
      <selection pane="bottomLeft" activeCell="X126" sqref="X126"/>
      <selection pane="bottomRight" activeCell="X126" sqref="X126"/>
    </sheetView>
  </sheetViews>
  <sheetFormatPr defaultRowHeight="14.4"/>
  <cols>
    <col min="1" max="1" width="92.89453125" bestFit="1" customWidth="1"/>
    <col min="2" max="2" width="8.734375" customWidth="1"/>
    <col min="3" max="4" width="11.47265625" bestFit="1" customWidth="1"/>
    <col min="5" max="5" width="11.47265625" customWidth="1"/>
    <col min="6" max="7" width="11.47265625" bestFit="1" customWidth="1"/>
    <col min="8" max="8" width="11.47265625" customWidth="1"/>
    <col min="9" max="10" width="11.47265625" bestFit="1" customWidth="1"/>
    <col min="11" max="11" width="11.47265625" customWidth="1"/>
  </cols>
  <sheetData>
    <row r="2" spans="1:24" ht="15.3">
      <c r="A2" s="823" t="s">
        <v>622</v>
      </c>
      <c r="B2" s="885"/>
      <c r="C2" s="885" t="s">
        <v>177</v>
      </c>
      <c r="D2" s="885" t="s">
        <v>178</v>
      </c>
      <c r="E2" s="1016" t="s">
        <v>1117</v>
      </c>
      <c r="F2" s="885" t="s">
        <v>178</v>
      </c>
      <c r="G2" s="885" t="s">
        <v>179</v>
      </c>
      <c r="H2" s="1016" t="s">
        <v>1118</v>
      </c>
      <c r="I2" s="885" t="s">
        <v>179</v>
      </c>
      <c r="J2" s="885" t="s">
        <v>180</v>
      </c>
      <c r="K2" s="1016" t="s">
        <v>1125</v>
      </c>
      <c r="L2" s="885"/>
      <c r="M2" s="885" t="s">
        <v>180</v>
      </c>
      <c r="N2" s="885" t="s">
        <v>181</v>
      </c>
      <c r="O2" s="885"/>
      <c r="P2" s="885" t="s">
        <v>181</v>
      </c>
      <c r="Q2" s="885" t="s">
        <v>182</v>
      </c>
      <c r="R2" s="885"/>
      <c r="S2" s="885" t="s">
        <v>182</v>
      </c>
      <c r="T2" s="885" t="s">
        <v>334</v>
      </c>
    </row>
    <row r="3" spans="1:24" ht="15.3">
      <c r="A3" s="328"/>
      <c r="B3" s="886"/>
      <c r="C3" s="886" t="s">
        <v>336</v>
      </c>
      <c r="D3" s="886" t="s">
        <v>613</v>
      </c>
      <c r="E3" s="1018" t="s">
        <v>1116</v>
      </c>
      <c r="F3" s="886" t="s">
        <v>614</v>
      </c>
      <c r="G3" s="886" t="s">
        <v>335</v>
      </c>
      <c r="H3" s="1018" t="s">
        <v>1116</v>
      </c>
      <c r="I3" s="886" t="s">
        <v>336</v>
      </c>
      <c r="J3" s="886" t="s">
        <v>335</v>
      </c>
      <c r="K3" s="1018" t="s">
        <v>1116</v>
      </c>
      <c r="L3" s="886" t="s">
        <v>336</v>
      </c>
      <c r="M3" s="886" t="s">
        <v>223</v>
      </c>
      <c r="N3" s="886" t="s">
        <v>335</v>
      </c>
      <c r="O3" s="886" t="s">
        <v>336</v>
      </c>
      <c r="P3" s="886" t="s">
        <v>223</v>
      </c>
      <c r="Q3" s="886" t="s">
        <v>335</v>
      </c>
      <c r="R3" s="886" t="s">
        <v>336</v>
      </c>
      <c r="S3" s="886" t="s">
        <v>223</v>
      </c>
      <c r="T3" s="886" t="s">
        <v>223</v>
      </c>
    </row>
    <row r="4" spans="1:24" ht="15.3">
      <c r="A4" s="328"/>
      <c r="B4" s="1015"/>
      <c r="C4" s="1015"/>
      <c r="D4" s="1015"/>
      <c r="E4" s="1017"/>
      <c r="F4" s="1015"/>
      <c r="G4" s="1015"/>
      <c r="H4" s="1017"/>
      <c r="I4" s="1015"/>
      <c r="J4" s="1015"/>
      <c r="K4" s="1017"/>
      <c r="L4" s="1015"/>
      <c r="M4" s="1015"/>
      <c r="N4" s="1015"/>
    </row>
    <row r="5" spans="1:24" ht="15.3">
      <c r="A5" s="322" t="s">
        <v>114</v>
      </c>
      <c r="B5" s="279"/>
      <c r="C5" s="279">
        <f>FISCinyear!IF550</f>
        <v>695.69405979505495</v>
      </c>
      <c r="D5" s="279">
        <f>FISCinyear!IH550</f>
        <v>726.44632538694032</v>
      </c>
      <c r="E5" s="1019">
        <f>C5+D5</f>
        <v>1422.1403851819953</v>
      </c>
      <c r="F5" s="279">
        <f>FISCinyear!II550</f>
        <v>766.458799586243</v>
      </c>
      <c r="G5" s="279">
        <f>FISCinyear!IK550</f>
        <v>681.95559989358344</v>
      </c>
      <c r="H5" s="1019">
        <f>F5+G5</f>
        <v>1448.4143994798264</v>
      </c>
      <c r="I5" s="279">
        <f>FISCinyear!IL550</f>
        <v>773.28143920817888</v>
      </c>
      <c r="J5" s="279">
        <f>FISCinyear!IN550</f>
        <v>885.45202754865852</v>
      </c>
      <c r="K5" s="1019">
        <f>I5+J5</f>
        <v>1658.7334667568375</v>
      </c>
      <c r="L5" s="279">
        <f>FISCinyear!IO550</f>
        <v>934.96040524238811</v>
      </c>
      <c r="M5" s="279">
        <f>FISCinyear!IP550</f>
        <v>1820.4124327910465</v>
      </c>
      <c r="N5" s="279">
        <f>FISCinyear!IQ550</f>
        <v>973.07656244675343</v>
      </c>
      <c r="O5" s="279">
        <f>FISCinyear!IR550</f>
        <v>1027.277980643983</v>
      </c>
      <c r="P5" s="279">
        <f>FISCinyear!IS550</f>
        <v>2000.3545430907366</v>
      </c>
      <c r="Q5" s="279" t="e">
        <f>FISCinyear!IT550</f>
        <v>#REF!</v>
      </c>
      <c r="R5" s="279" t="e">
        <f>FISCinyear!IU550</f>
        <v>#REF!</v>
      </c>
      <c r="S5" s="279">
        <f>FISCinyear!IV550</f>
        <v>2082.0309719952802</v>
      </c>
      <c r="T5" s="279">
        <f>FISCinyear!IY550</f>
        <v>2171.5351257992602</v>
      </c>
      <c r="U5" s="1015"/>
      <c r="V5" s="1015"/>
      <c r="W5" s="1015"/>
      <c r="X5" s="1015"/>
    </row>
    <row r="6" spans="1:24" ht="15.3">
      <c r="A6" s="328"/>
      <c r="B6" s="279"/>
      <c r="C6" s="279">
        <f>FISCinyear!IF551</f>
        <v>0</v>
      </c>
      <c r="D6" s="279">
        <f>FISCinyear!IH551</f>
        <v>0</v>
      </c>
      <c r="E6" s="1019">
        <f t="shared" ref="E6:E69" si="0">C6+D6</f>
        <v>0</v>
      </c>
      <c r="F6" s="279">
        <f>FISCinyear!II551</f>
        <v>0</v>
      </c>
      <c r="G6" s="279">
        <f>FISCinyear!IK551</f>
        <v>0</v>
      </c>
      <c r="H6" s="1019">
        <f t="shared" ref="H6:H69" si="1">F6+G6</f>
        <v>0</v>
      </c>
      <c r="I6" s="279">
        <f>FISCinyear!IL551</f>
        <v>0</v>
      </c>
      <c r="J6" s="279">
        <f>FISCinyear!IN551</f>
        <v>0</v>
      </c>
      <c r="K6" s="1019">
        <f t="shared" ref="K6:K69" si="2">I6+J6</f>
        <v>0</v>
      </c>
      <c r="L6" s="279">
        <f>FISCinyear!IO551</f>
        <v>0</v>
      </c>
      <c r="M6" s="279">
        <f>FISCinyear!IP551</f>
        <v>0</v>
      </c>
      <c r="N6" s="279">
        <f>FISCinyear!IQ551</f>
        <v>0</v>
      </c>
      <c r="O6" s="279">
        <f>FISCinyear!IR551</f>
        <v>0</v>
      </c>
      <c r="P6" s="279">
        <f>FISCinyear!IS551</f>
        <v>0</v>
      </c>
      <c r="Q6" s="279">
        <f>FISCinyear!IT551</f>
        <v>0</v>
      </c>
      <c r="R6" s="279">
        <f>FISCinyear!IU551</f>
        <v>0</v>
      </c>
      <c r="S6" s="279">
        <f>FISCinyear!IV551</f>
        <v>0</v>
      </c>
      <c r="T6" s="279">
        <f>FISCinyear!IY551</f>
        <v>0</v>
      </c>
      <c r="U6" s="1015"/>
      <c r="V6" s="1015"/>
      <c r="W6" s="1015"/>
      <c r="X6" s="1015"/>
    </row>
    <row r="7" spans="1:24" ht="15.3">
      <c r="A7" s="322" t="s">
        <v>116</v>
      </c>
      <c r="B7" s="279"/>
      <c r="C7" s="279">
        <f>FISCinyear!IF552</f>
        <v>483.20539216899641</v>
      </c>
      <c r="D7" s="279">
        <f>FISCinyear!IH552</f>
        <v>484.04192598930001</v>
      </c>
      <c r="E7" s="1019">
        <f t="shared" si="0"/>
        <v>967.24731815829637</v>
      </c>
      <c r="F7" s="279">
        <f>FISCinyear!II552</f>
        <v>560.99178455269998</v>
      </c>
      <c r="G7" s="279">
        <f>FISCinyear!IK552</f>
        <v>532.05746005302717</v>
      </c>
      <c r="H7" s="1019">
        <f t="shared" si="1"/>
        <v>1093.0492446057272</v>
      </c>
      <c r="I7" s="279">
        <f>FISCinyear!IL552</f>
        <v>625.02308493534997</v>
      </c>
      <c r="J7" s="279">
        <f>FISCinyear!IN552</f>
        <v>690.68740843367004</v>
      </c>
      <c r="K7" s="1019">
        <f t="shared" si="2"/>
        <v>1315.71049336902</v>
      </c>
      <c r="L7" s="279">
        <f>FISCinyear!IO552</f>
        <v>770.81634748866611</v>
      </c>
      <c r="M7" s="279">
        <f>FISCinyear!IP552</f>
        <v>1461.503755922336</v>
      </c>
      <c r="N7" s="279">
        <f>FISCinyear!IQ552</f>
        <v>707.04105932733</v>
      </c>
      <c r="O7" s="279">
        <f>FISCinyear!IR552</f>
        <v>812.13417676704523</v>
      </c>
      <c r="P7" s="279">
        <f>FISCinyear!IS552</f>
        <v>1519.1752360943751</v>
      </c>
      <c r="Q7" s="279" t="e">
        <f>FISCinyear!IT552</f>
        <v>#REF!</v>
      </c>
      <c r="R7" s="279" t="e">
        <f>FISCinyear!IU552</f>
        <v>#REF!</v>
      </c>
      <c r="S7" s="279">
        <f>FISCinyear!IV552</f>
        <v>1649.9486941171201</v>
      </c>
      <c r="T7" s="279">
        <f>FISCinyear!IY552</f>
        <v>1679.2114408085199</v>
      </c>
      <c r="U7" s="1015"/>
      <c r="V7" s="1015"/>
      <c r="W7" s="1015"/>
      <c r="X7" s="1015"/>
    </row>
    <row r="8" spans="1:24" ht="15.3">
      <c r="A8" s="328" t="s">
        <v>117</v>
      </c>
      <c r="B8" s="279"/>
      <c r="C8" s="279">
        <f>FISCinyear!IF553</f>
        <v>452.2013072704064</v>
      </c>
      <c r="D8" s="279">
        <f>FISCinyear!IH553</f>
        <v>464.30063517529999</v>
      </c>
      <c r="E8" s="1019">
        <f t="shared" si="0"/>
        <v>916.50194244570639</v>
      </c>
      <c r="F8" s="279">
        <f>FISCinyear!II553</f>
        <v>536.01331465680903</v>
      </c>
      <c r="G8" s="279">
        <f>FISCinyear!IK553</f>
        <v>508.60624254264599</v>
      </c>
      <c r="H8" s="1019">
        <f t="shared" si="1"/>
        <v>1044.6195571994549</v>
      </c>
      <c r="I8" s="279">
        <f>FISCinyear!IL553</f>
        <v>595.53690253220998</v>
      </c>
      <c r="J8" s="279">
        <f>FISCinyear!IN553</f>
        <v>584.41358418865161</v>
      </c>
      <c r="K8" s="1019">
        <f t="shared" si="2"/>
        <v>1179.9504867208616</v>
      </c>
      <c r="L8" s="279">
        <f>FISCinyear!IO553</f>
        <v>668.47004690119115</v>
      </c>
      <c r="M8" s="279">
        <f>FISCinyear!IP553</f>
        <v>1252.8836310898428</v>
      </c>
      <c r="N8" s="279">
        <f>FISCinyear!IQ553</f>
        <v>656.18269585033011</v>
      </c>
      <c r="O8" s="279">
        <f>FISCinyear!IR553</f>
        <v>762.60808662894533</v>
      </c>
      <c r="P8" s="279">
        <f>FISCinyear!IS553</f>
        <v>1418.7907824792755</v>
      </c>
      <c r="Q8" s="279" t="e">
        <f>FISCinyear!IT553</f>
        <v>#REF!</v>
      </c>
      <c r="R8" s="279" t="e">
        <f>FISCinyear!IU553</f>
        <v>#REF!</v>
      </c>
      <c r="S8" s="279">
        <f>FISCinyear!IV553</f>
        <v>1408.2817965614299</v>
      </c>
      <c r="T8" s="279">
        <f>FISCinyear!IY553</f>
        <v>1459.87322506286</v>
      </c>
      <c r="U8" s="1015"/>
      <c r="V8" s="1015"/>
      <c r="W8" s="1015"/>
      <c r="X8" s="1015"/>
    </row>
    <row r="9" spans="1:24" ht="15.3">
      <c r="A9" s="328" t="s">
        <v>118</v>
      </c>
      <c r="B9" s="279"/>
      <c r="C9" s="279">
        <f>FISCinyear!IF554</f>
        <v>0</v>
      </c>
      <c r="D9" s="279">
        <f>FISCinyear!IH554</f>
        <v>0</v>
      </c>
      <c r="E9" s="1019">
        <f t="shared" si="0"/>
        <v>0</v>
      </c>
      <c r="F9" s="279">
        <f>FISCinyear!II554</f>
        <v>0</v>
      </c>
      <c r="G9" s="279">
        <f>FISCinyear!IK554</f>
        <v>0</v>
      </c>
      <c r="H9" s="1019">
        <f t="shared" si="1"/>
        <v>0</v>
      </c>
      <c r="I9" s="279">
        <f>FISCinyear!IL554</f>
        <v>0</v>
      </c>
      <c r="J9" s="279">
        <f>FISCinyear!IN554</f>
        <v>0</v>
      </c>
      <c r="K9" s="1019">
        <f t="shared" si="2"/>
        <v>0</v>
      </c>
      <c r="L9" s="279">
        <f>FISCinyear!IO554</f>
        <v>0</v>
      </c>
      <c r="M9" s="279">
        <f>FISCinyear!IP554</f>
        <v>0</v>
      </c>
      <c r="N9" s="279">
        <f>FISCinyear!IQ554</f>
        <v>0</v>
      </c>
      <c r="O9" s="279">
        <f>FISCinyear!IR554</f>
        <v>0</v>
      </c>
      <c r="P9" s="279">
        <f>FISCinyear!IS554</f>
        <v>0</v>
      </c>
      <c r="Q9" s="279">
        <f>FISCinyear!IT554</f>
        <v>0</v>
      </c>
      <c r="R9" s="279">
        <f>FISCinyear!IU554</f>
        <v>0</v>
      </c>
      <c r="S9" s="279">
        <f>FISCinyear!IV554</f>
        <v>0</v>
      </c>
      <c r="T9" s="279">
        <f>FISCinyear!IY554</f>
        <v>0</v>
      </c>
      <c r="U9" s="1015"/>
      <c r="V9" s="1015"/>
      <c r="W9" s="1015"/>
      <c r="X9" s="1015"/>
    </row>
    <row r="10" spans="1:24" ht="15.3">
      <c r="A10" s="322" t="s">
        <v>119</v>
      </c>
      <c r="B10" s="279"/>
      <c r="C10" s="279">
        <f>FISCinyear!IF555</f>
        <v>196.31890773800001</v>
      </c>
      <c r="D10" s="279">
        <f>FISCinyear!IH555</f>
        <v>177.73019196461075</v>
      </c>
      <c r="E10" s="1019">
        <f t="shared" si="0"/>
        <v>374.04909970261076</v>
      </c>
      <c r="F10" s="279">
        <f>FISCinyear!II555</f>
        <v>228.42871272664172</v>
      </c>
      <c r="G10" s="279">
        <f>FISCinyear!IK555</f>
        <v>207.73140381302602</v>
      </c>
      <c r="H10" s="1019">
        <f t="shared" si="1"/>
        <v>436.16011653966774</v>
      </c>
      <c r="I10" s="279">
        <f>FISCinyear!IL555</f>
        <v>260.65209118651001</v>
      </c>
      <c r="J10" s="279">
        <f>FISCinyear!IN555</f>
        <v>236.73928052337163</v>
      </c>
      <c r="K10" s="1019">
        <f t="shared" si="2"/>
        <v>497.39137170988164</v>
      </c>
      <c r="L10" s="279">
        <f>FISCinyear!IO555</f>
        <v>301.95562087033233</v>
      </c>
      <c r="M10" s="279">
        <f>FISCinyear!IP555</f>
        <v>538.69490139370396</v>
      </c>
      <c r="N10" s="279">
        <f>FISCinyear!IQ555</f>
        <v>273.72236713984006</v>
      </c>
      <c r="O10" s="279">
        <f>FISCinyear!IR555</f>
        <v>343.36103832809994</v>
      </c>
      <c r="P10" s="279">
        <f>FISCinyear!IS555</f>
        <v>617.08340546794</v>
      </c>
      <c r="Q10" s="279">
        <f>FISCinyear!IT555</f>
        <v>310.28067460400001</v>
      </c>
      <c r="R10" s="279">
        <f>FISCinyear!IU555</f>
        <v>310.46518133784701</v>
      </c>
      <c r="S10" s="279">
        <f>FISCinyear!IV555</f>
        <v>620.74585594184703</v>
      </c>
      <c r="T10" s="279">
        <f>FISCinyear!IY555</f>
        <v>650.69384798833801</v>
      </c>
      <c r="U10" s="1015"/>
      <c r="V10" s="1015"/>
      <c r="W10" s="1015"/>
      <c r="X10" s="1015"/>
    </row>
    <row r="11" spans="1:24" ht="15.3">
      <c r="A11" s="328" t="s">
        <v>928</v>
      </c>
      <c r="B11" s="279"/>
      <c r="C11" s="279">
        <f>FISCinyear!IF556</f>
        <v>12.377246438999999</v>
      </c>
      <c r="D11" s="279">
        <f>FISCinyear!IH556</f>
        <v>0.82119409100000007</v>
      </c>
      <c r="E11" s="1019">
        <f t="shared" si="0"/>
        <v>13.198440529999999</v>
      </c>
      <c r="F11" s="279">
        <f>FISCinyear!II556</f>
        <v>12.820510296109074</v>
      </c>
      <c r="G11" s="279">
        <f>FISCinyear!IK556</f>
        <v>1.4695750066187592</v>
      </c>
      <c r="H11" s="1019">
        <f t="shared" si="1"/>
        <v>14.290085302727833</v>
      </c>
      <c r="I11" s="279">
        <f>FISCinyear!IL556</f>
        <v>15.970966013</v>
      </c>
      <c r="J11" s="279">
        <f>FISCinyear!IN556</f>
        <v>1.3108825066516154</v>
      </c>
      <c r="K11" s="1019">
        <f t="shared" si="2"/>
        <v>17.281848519651614</v>
      </c>
      <c r="L11" s="279">
        <f>FISCinyear!IO556</f>
        <v>17.520231922572361</v>
      </c>
      <c r="M11" s="279">
        <f>FISCinyear!IP556</f>
        <v>18.831114429223977</v>
      </c>
      <c r="N11" s="279">
        <f>FISCinyear!IQ556</f>
        <v>1.847170032</v>
      </c>
      <c r="O11" s="279">
        <f>FISCinyear!IR556</f>
        <v>17.521627146000004</v>
      </c>
      <c r="P11" s="279">
        <f>FISCinyear!IS556</f>
        <v>19.368797178000005</v>
      </c>
      <c r="Q11" s="279">
        <f>FISCinyear!IT556</f>
        <v>0</v>
      </c>
      <c r="R11" s="279">
        <f>FISCinyear!IU556</f>
        <v>32.093181158512103</v>
      </c>
      <c r="S11" s="279">
        <f>FISCinyear!IV556</f>
        <v>32.093181158512103</v>
      </c>
      <c r="T11" s="279">
        <f>FISCinyear!IY556</f>
        <v>38.474756828241603</v>
      </c>
      <c r="U11" s="1015"/>
      <c r="V11" s="1015"/>
      <c r="W11" s="1015"/>
      <c r="X11" s="1015"/>
    </row>
    <row r="12" spans="1:24" ht="15.3">
      <c r="A12" s="328" t="s">
        <v>324</v>
      </c>
      <c r="B12" s="279"/>
      <c r="C12" s="279">
        <f>FISCinyear!IF557</f>
        <v>2.414154167</v>
      </c>
      <c r="D12" s="279">
        <f>FISCinyear!IH557</f>
        <v>0</v>
      </c>
      <c r="E12" s="1019">
        <f t="shared" si="0"/>
        <v>2.414154167</v>
      </c>
      <c r="F12" s="279">
        <f>FISCinyear!II557</f>
        <v>0</v>
      </c>
      <c r="G12" s="279">
        <f>FISCinyear!IK557</f>
        <v>7.9125338029999996</v>
      </c>
      <c r="H12" s="1019">
        <f t="shared" si="1"/>
        <v>7.9125338029999996</v>
      </c>
      <c r="I12" s="279">
        <f>FISCinyear!IL557</f>
        <v>0</v>
      </c>
      <c r="J12" s="279">
        <f>FISCinyear!IN557</f>
        <v>0</v>
      </c>
      <c r="K12" s="1019">
        <f t="shared" si="2"/>
        <v>0</v>
      </c>
      <c r="L12" s="279">
        <f>FISCinyear!IO557</f>
        <v>0</v>
      </c>
      <c r="M12" s="279">
        <f>FISCinyear!IP557</f>
        <v>0</v>
      </c>
      <c r="N12" s="279">
        <f>FISCinyear!IQ557</f>
        <v>0</v>
      </c>
      <c r="O12" s="279">
        <f>FISCinyear!IR557</f>
        <v>0</v>
      </c>
      <c r="P12" s="279">
        <f>FISCinyear!IS557</f>
        <v>0</v>
      </c>
      <c r="Q12" s="279">
        <f>FISCinyear!IT557</f>
        <v>0</v>
      </c>
      <c r="R12" s="279">
        <f>FISCinyear!IU557</f>
        <v>0</v>
      </c>
      <c r="S12" s="279">
        <f>FISCinyear!IV557</f>
        <v>0</v>
      </c>
      <c r="T12" s="279">
        <f>FISCinyear!IY557</f>
        <v>0</v>
      </c>
      <c r="U12" s="1015"/>
      <c r="V12" s="1015"/>
      <c r="W12" s="1015"/>
      <c r="X12" s="1015"/>
    </row>
    <row r="13" spans="1:24" ht="15.3">
      <c r="A13" s="322" t="s">
        <v>121</v>
      </c>
      <c r="B13" s="279"/>
      <c r="C13" s="279">
        <f>FISCinyear!IF558</f>
        <v>221.20239457340645</v>
      </c>
      <c r="D13" s="279">
        <f>FISCinyear!IH558</f>
        <v>245.39647681484718</v>
      </c>
      <c r="E13" s="1019">
        <f t="shared" si="0"/>
        <v>466.59887138825366</v>
      </c>
      <c r="F13" s="279">
        <f>FISCinyear!II558</f>
        <v>264.87348128637285</v>
      </c>
      <c r="G13" s="279">
        <f>FISCinyear!IK558</f>
        <v>258.06655880661998</v>
      </c>
      <c r="H13" s="1019">
        <f t="shared" si="1"/>
        <v>522.94004009299283</v>
      </c>
      <c r="I13" s="279">
        <f>FISCinyear!IL558</f>
        <v>286.48921797970002</v>
      </c>
      <c r="J13" s="279">
        <f>FISCinyear!IN558</f>
        <v>299.27920369027999</v>
      </c>
      <c r="K13" s="1019">
        <f t="shared" si="2"/>
        <v>585.76842166997994</v>
      </c>
      <c r="L13" s="279">
        <f>FISCinyear!IO558</f>
        <v>316.77824587085883</v>
      </c>
      <c r="M13" s="279">
        <f>FISCinyear!IP558</f>
        <v>616.05744956113881</v>
      </c>
      <c r="N13" s="279">
        <f>FISCinyear!IQ558</f>
        <v>328.84612541949002</v>
      </c>
      <c r="O13" s="279">
        <f>FISCinyear!IR558</f>
        <v>361.13343147290004</v>
      </c>
      <c r="P13" s="279">
        <f>FISCinyear!IS558</f>
        <v>689.97955689239006</v>
      </c>
      <c r="Q13" s="279" t="e">
        <f>FISCinyear!IT558</f>
        <v>#REF!</v>
      </c>
      <c r="R13" s="279" t="e">
        <f>FISCinyear!IU558</f>
        <v>#REF!</v>
      </c>
      <c r="S13" s="279">
        <f>FISCinyear!IV558</f>
        <v>679.27478904485804</v>
      </c>
      <c r="T13" s="279">
        <f>FISCinyear!IY558</f>
        <v>700.81398470026704</v>
      </c>
      <c r="U13" s="1015"/>
      <c r="V13" s="1015"/>
      <c r="W13" s="1015"/>
      <c r="X13" s="1015"/>
    </row>
    <row r="14" spans="1:24" ht="15.3">
      <c r="A14" s="328" t="s">
        <v>1082</v>
      </c>
      <c r="B14" s="279"/>
      <c r="C14" s="279">
        <f>FISCinyear!IF559</f>
        <v>5.7311765149999996</v>
      </c>
      <c r="D14" s="279">
        <f>FISCinyear!IH559</f>
        <v>5.9059052612341381</v>
      </c>
      <c r="E14" s="1019">
        <f t="shared" si="0"/>
        <v>11.637081776234137</v>
      </c>
      <c r="F14" s="279">
        <f>FISCinyear!II559</f>
        <v>5.8042130028320873</v>
      </c>
      <c r="G14" s="279">
        <f>FISCinyear!IK559</f>
        <v>0</v>
      </c>
      <c r="H14" s="1019">
        <f t="shared" si="1"/>
        <v>5.8042130028320873</v>
      </c>
      <c r="I14" s="279">
        <f>FISCinyear!IL559</f>
        <v>0</v>
      </c>
      <c r="J14" s="279">
        <f>FISCinyear!IN559</f>
        <v>0</v>
      </c>
      <c r="K14" s="1019">
        <f t="shared" si="2"/>
        <v>0</v>
      </c>
      <c r="L14" s="279">
        <f>FISCinyear!IO559</f>
        <v>0</v>
      </c>
      <c r="M14" s="279">
        <f>FISCinyear!IP559</f>
        <v>0</v>
      </c>
      <c r="N14" s="279">
        <f>FISCinyear!IQ559</f>
        <v>0</v>
      </c>
      <c r="O14" s="279">
        <f>FISCinyear!IR559</f>
        <v>0</v>
      </c>
      <c r="P14" s="279">
        <f>FISCinyear!IS559</f>
        <v>0</v>
      </c>
      <c r="Q14" s="279">
        <f>FISCinyear!IT559</f>
        <v>5.6914107684999999</v>
      </c>
      <c r="R14" s="279">
        <f>FISCinyear!IU559</f>
        <v>5.6914107684999999</v>
      </c>
      <c r="S14" s="279">
        <f>FISCinyear!IV559</f>
        <v>11.382821537</v>
      </c>
      <c r="T14" s="279">
        <f>FISCinyear!IY559</f>
        <v>12.352068791000001</v>
      </c>
      <c r="U14" s="1015"/>
      <c r="V14" s="1015"/>
      <c r="W14" s="1015"/>
      <c r="X14" s="1015"/>
    </row>
    <row r="15" spans="1:24" ht="15.3">
      <c r="A15" s="328" t="s">
        <v>305</v>
      </c>
      <c r="B15" s="279"/>
      <c r="C15" s="279">
        <f>FISCinyear!IF560</f>
        <v>147.44559412900645</v>
      </c>
      <c r="D15" s="279">
        <f>FISCinyear!IH560</f>
        <v>134.90330722992758</v>
      </c>
      <c r="E15" s="1019">
        <f t="shared" si="0"/>
        <v>282.34890135893403</v>
      </c>
      <c r="F15" s="279">
        <f>FISCinyear!II560</f>
        <v>149.77468806979579</v>
      </c>
      <c r="G15" s="279">
        <f>FISCinyear!IK560</f>
        <v>142.36109981161999</v>
      </c>
      <c r="H15" s="1019">
        <f t="shared" si="1"/>
        <v>292.13578788141581</v>
      </c>
      <c r="I15" s="279">
        <f>FISCinyear!IL560</f>
        <v>174.15362935990004</v>
      </c>
      <c r="J15" s="279">
        <f>FISCinyear!IN560</f>
        <v>0</v>
      </c>
      <c r="K15" s="1019">
        <f t="shared" si="2"/>
        <v>174.15362935990004</v>
      </c>
      <c r="L15" s="279">
        <f>FISCinyear!IO560</f>
        <v>0</v>
      </c>
      <c r="M15" s="279">
        <f>FISCinyear!IP560</f>
        <v>367.84438556264797</v>
      </c>
      <c r="N15" s="279">
        <f>FISCinyear!IQ560</f>
        <v>194.07264669808001</v>
      </c>
      <c r="O15" s="279">
        <f>FISCinyear!IR560</f>
        <v>225.75699007869562</v>
      </c>
      <c r="P15" s="279">
        <f>FISCinyear!IS560</f>
        <v>419.8296367767756</v>
      </c>
      <c r="Q15" s="279">
        <f>FISCinyear!IT560</f>
        <v>0</v>
      </c>
      <c r="R15" s="279">
        <f>FISCinyear!IU560</f>
        <v>0</v>
      </c>
      <c r="S15" s="279">
        <f>FISCinyear!IV560</f>
        <v>427.00197743470397</v>
      </c>
      <c r="T15" s="279">
        <f>FISCinyear!IY560</f>
        <v>337.15350616777903</v>
      </c>
      <c r="U15" s="1015"/>
      <c r="V15" s="1015"/>
      <c r="W15" s="1015"/>
      <c r="X15" s="1015"/>
    </row>
    <row r="16" spans="1:24" ht="15.3">
      <c r="A16" s="328" t="s">
        <v>234</v>
      </c>
      <c r="B16" s="279"/>
      <c r="C16" s="279">
        <f>FISCinyear!IF561</f>
        <v>51.942512606400001</v>
      </c>
      <c r="D16" s="279">
        <f>FISCinyear!IH561</f>
        <v>52.698028425919603</v>
      </c>
      <c r="E16" s="1019">
        <f t="shared" si="0"/>
        <v>104.6405410323196</v>
      </c>
      <c r="F16" s="279">
        <f>FISCinyear!II561</f>
        <v>56.396031371577109</v>
      </c>
      <c r="G16" s="279">
        <f>FISCinyear!IK561</f>
        <v>63.028867612999996</v>
      </c>
      <c r="H16" s="1019">
        <f t="shared" si="1"/>
        <v>119.42489898457711</v>
      </c>
      <c r="I16" s="279">
        <f>FISCinyear!IL561</f>
        <v>61.042391178800003</v>
      </c>
      <c r="J16" s="279">
        <f>FISCinyear!IN561</f>
        <v>0</v>
      </c>
      <c r="K16" s="1019">
        <f t="shared" si="2"/>
        <v>61.042391178800003</v>
      </c>
      <c r="L16" s="279">
        <f>FISCinyear!IO561</f>
        <v>0</v>
      </c>
      <c r="M16" s="279">
        <f>FISCinyear!IP561</f>
        <v>142.49295850171748</v>
      </c>
      <c r="N16" s="279">
        <f>FISCinyear!IQ561</f>
        <v>75.22717085008</v>
      </c>
      <c r="O16" s="279">
        <f>FISCinyear!IR561</f>
        <v>75.621551908000001</v>
      </c>
      <c r="P16" s="279">
        <f>FISCinyear!IS561</f>
        <v>150.84872275807999</v>
      </c>
      <c r="Q16" s="279">
        <f>FISCinyear!IT561</f>
        <v>0</v>
      </c>
      <c r="R16" s="279">
        <f>FISCinyear!IU561</f>
        <v>0</v>
      </c>
      <c r="S16" s="279">
        <f>FISCinyear!IV561</f>
        <v>140.79556880066454</v>
      </c>
      <c r="T16" s="279">
        <f>FISCinyear!IY561</f>
        <v>140.93113582954922</v>
      </c>
      <c r="U16" s="1015"/>
      <c r="V16" s="1015"/>
      <c r="W16" s="1015"/>
      <c r="X16" s="1015"/>
    </row>
    <row r="17" spans="1:24" ht="15.3">
      <c r="A17" s="328" t="s">
        <v>804</v>
      </c>
      <c r="B17" s="279"/>
      <c r="C17" s="279">
        <f>FISCinyear!IF562</f>
        <v>21.814287837999998</v>
      </c>
      <c r="D17" s="279">
        <f>FISCinyear!IH562</f>
        <v>36.811584088000004</v>
      </c>
      <c r="E17" s="1019">
        <f t="shared" si="0"/>
        <v>58.625871926000002</v>
      </c>
      <c r="F17" s="279">
        <f>FISCinyear!II562</f>
        <v>33.726235435</v>
      </c>
      <c r="G17" s="279">
        <f>FISCinyear!IK562</f>
        <v>24.861945535</v>
      </c>
      <c r="H17" s="1019">
        <f t="shared" si="1"/>
        <v>58.588180969999996</v>
      </c>
      <c r="I17" s="279">
        <f>FISCinyear!IL562</f>
        <v>24.299204169999999</v>
      </c>
      <c r="J17" s="279">
        <f>FISCinyear!IN562</f>
        <v>0</v>
      </c>
      <c r="K17" s="1019">
        <f t="shared" si="2"/>
        <v>24.299204169999999</v>
      </c>
      <c r="L17" s="279">
        <f>FISCinyear!IO562</f>
        <v>0</v>
      </c>
      <c r="M17" s="279">
        <f>FISCinyear!IP562</f>
        <v>45.414855609714145</v>
      </c>
      <c r="N17" s="279">
        <f>FISCinyear!IQ562</f>
        <v>28.898815235000001</v>
      </c>
      <c r="O17" s="279">
        <f>FISCinyear!IR562</f>
        <v>28.698473391534428</v>
      </c>
      <c r="P17" s="279">
        <f>FISCinyear!IS562</f>
        <v>57.597288626534429</v>
      </c>
      <c r="Q17" s="279">
        <f>FISCinyear!IT562</f>
        <v>0</v>
      </c>
      <c r="R17" s="279">
        <f>FISCinyear!IU562</f>
        <v>0</v>
      </c>
      <c r="S17" s="279">
        <f>FISCinyear!IV562</f>
        <v>52.237534284038475</v>
      </c>
      <c r="T17" s="279">
        <f>FISCinyear!IY562</f>
        <v>56.255635505275059</v>
      </c>
      <c r="U17" s="1015"/>
      <c r="V17" s="1015"/>
      <c r="W17" s="1015"/>
      <c r="X17" s="1015"/>
    </row>
    <row r="18" spans="1:24" ht="15.3">
      <c r="A18" s="328" t="s">
        <v>803</v>
      </c>
      <c r="B18" s="279"/>
      <c r="C18" s="279">
        <f>FISCinyear!IF563</f>
        <v>12.587091518106444</v>
      </c>
      <c r="D18" s="279">
        <f>FISCinyear!IH563</f>
        <v>20.983557071</v>
      </c>
      <c r="E18" s="1019">
        <f t="shared" si="0"/>
        <v>33.57064858910644</v>
      </c>
      <c r="F18" s="279">
        <f>FISCinyear!II563</f>
        <v>24.976526410000005</v>
      </c>
      <c r="G18" s="279">
        <f>FISCinyear!IK563</f>
        <v>27.814645847000001</v>
      </c>
      <c r="H18" s="1019">
        <f t="shared" si="1"/>
        <v>52.791172257000007</v>
      </c>
      <c r="I18" s="279">
        <f>FISCinyear!IL563</f>
        <v>26.993993271000001</v>
      </c>
      <c r="J18" s="279">
        <f>FISCinyear!IN563</f>
        <v>29.047557370090001</v>
      </c>
      <c r="K18" s="1019">
        <f t="shared" si="2"/>
        <v>56.041550641089998</v>
      </c>
      <c r="L18" s="279">
        <f>FISCinyear!IO563</f>
        <v>28.659181542909995</v>
      </c>
      <c r="M18" s="279">
        <f>FISCinyear!IP563</f>
        <v>57.706738912999995</v>
      </c>
      <c r="N18" s="279">
        <f>FISCinyear!IQ563</f>
        <v>30.647492636330004</v>
      </c>
      <c r="O18" s="279">
        <f>FISCinyear!IR563</f>
        <v>31.056416094670002</v>
      </c>
      <c r="P18" s="279">
        <f>FISCinyear!IS563</f>
        <v>61.703908731000006</v>
      </c>
      <c r="Q18" s="279">
        <f>FISCinyear!IT563</f>
        <v>29.61985426272544</v>
      </c>
      <c r="R18" s="279">
        <f>FISCinyear!IU563</f>
        <v>29.61985426272544</v>
      </c>
      <c r="S18" s="279">
        <f>FISCinyear!IV563</f>
        <v>59.23970852545088</v>
      </c>
      <c r="T18" s="279">
        <f>FISCinyear!IY563</f>
        <v>166.4737071976636</v>
      </c>
      <c r="U18" s="1015"/>
      <c r="V18" s="1015"/>
      <c r="W18" s="1015"/>
      <c r="X18" s="1015"/>
    </row>
    <row r="19" spans="1:24" ht="15.3">
      <c r="A19" s="328"/>
      <c r="B19" s="279"/>
      <c r="C19" s="279">
        <f>FISCinyear!IF564</f>
        <v>0</v>
      </c>
      <c r="D19" s="279">
        <f>FISCinyear!IH564</f>
        <v>0</v>
      </c>
      <c r="E19" s="1019">
        <f t="shared" si="0"/>
        <v>0</v>
      </c>
      <c r="F19" s="279">
        <f>FISCinyear!II564</f>
        <v>0</v>
      </c>
      <c r="G19" s="279">
        <f>FISCinyear!IK564</f>
        <v>0</v>
      </c>
      <c r="H19" s="1019">
        <f t="shared" si="1"/>
        <v>0</v>
      </c>
      <c r="I19" s="279">
        <f>FISCinyear!IL564</f>
        <v>0</v>
      </c>
      <c r="J19" s="279">
        <f>FISCinyear!IN564</f>
        <v>0</v>
      </c>
      <c r="K19" s="1019">
        <f t="shared" si="2"/>
        <v>0</v>
      </c>
      <c r="L19" s="279">
        <f>FISCinyear!IO564</f>
        <v>0</v>
      </c>
      <c r="M19" s="279">
        <f>FISCinyear!IP564</f>
        <v>0</v>
      </c>
      <c r="N19" s="279">
        <f>FISCinyear!IQ564</f>
        <v>0</v>
      </c>
      <c r="O19" s="279">
        <f>FISCinyear!IR564</f>
        <v>0</v>
      </c>
      <c r="P19" s="279">
        <f>FISCinyear!IS564</f>
        <v>0</v>
      </c>
      <c r="Q19" s="279">
        <f>FISCinyear!IT564</f>
        <v>0</v>
      </c>
      <c r="R19" s="279">
        <f>FISCinyear!IU564</f>
        <v>0</v>
      </c>
      <c r="S19" s="279">
        <f>FISCinyear!IV564</f>
        <v>0</v>
      </c>
      <c r="T19" s="279">
        <f>FISCinyear!IY564</f>
        <v>0</v>
      </c>
      <c r="U19" s="1015"/>
      <c r="V19" s="1015"/>
      <c r="W19" s="1015"/>
      <c r="X19" s="1015"/>
    </row>
    <row r="20" spans="1:24" ht="15.3">
      <c r="A20" s="322" t="s">
        <v>123</v>
      </c>
      <c r="B20" s="279"/>
      <c r="C20" s="279">
        <f>FISCinyear!IF565</f>
        <v>34.680004958999994</v>
      </c>
      <c r="D20" s="279">
        <f>FISCinyear!IH565</f>
        <v>41.173966395842065</v>
      </c>
      <c r="E20" s="1019">
        <f t="shared" si="0"/>
        <v>75.853971354842059</v>
      </c>
      <c r="F20" s="279">
        <f>FISCinyear!II565</f>
        <v>42.711120643794501</v>
      </c>
      <c r="G20" s="279">
        <f>FISCinyear!IK565</f>
        <v>42.808279922999994</v>
      </c>
      <c r="H20" s="1019">
        <f t="shared" si="1"/>
        <v>85.519400566794502</v>
      </c>
      <c r="I20" s="279">
        <f>FISCinyear!IL565</f>
        <v>48.395593366</v>
      </c>
      <c r="J20" s="279">
        <f>FISCinyear!IN565</f>
        <v>48.395099975000001</v>
      </c>
      <c r="K20" s="1019">
        <f t="shared" si="2"/>
        <v>96.790693341000008</v>
      </c>
      <c r="L20" s="279">
        <f>FISCinyear!IO565</f>
        <v>49.736180159999996</v>
      </c>
      <c r="M20" s="279">
        <f>FISCinyear!IP565</f>
        <v>98.131280134999997</v>
      </c>
      <c r="N20" s="279">
        <f>FISCinyear!IQ565</f>
        <v>53.614203290999995</v>
      </c>
      <c r="O20" s="279">
        <f>FISCinyear!IR565</f>
        <v>58.113616827945251</v>
      </c>
      <c r="P20" s="279">
        <f>FISCinyear!IS565</f>
        <v>111.72782011894525</v>
      </c>
      <c r="Q20" s="279" t="e">
        <f>FISCinyear!IT565</f>
        <v>#REF!</v>
      </c>
      <c r="R20" s="279" t="e">
        <f>FISCinyear!IU565</f>
        <v>#REF!</v>
      </c>
      <c r="S20" s="279">
        <f>FISCinyear!IV565</f>
        <v>108.26115157472482</v>
      </c>
      <c r="T20" s="279">
        <f>FISCinyear!IY565</f>
        <v>108.36539237425878</v>
      </c>
      <c r="U20" s="1015"/>
      <c r="V20" s="1015"/>
      <c r="W20" s="1015"/>
      <c r="X20" s="1015"/>
    </row>
    <row r="21" spans="1:24" ht="15.3">
      <c r="A21" s="328" t="s">
        <v>122</v>
      </c>
      <c r="B21" s="279"/>
      <c r="C21" s="279">
        <f>FISCinyear!IF566</f>
        <v>3.48655348</v>
      </c>
      <c r="D21" s="279">
        <f>FISCinyear!IH566</f>
        <v>3.8414197063896056</v>
      </c>
      <c r="E21" s="1019">
        <f t="shared" si="0"/>
        <v>7.327973186389606</v>
      </c>
      <c r="F21" s="279">
        <f>FISCinyear!II566</f>
        <v>4.9115567251281078</v>
      </c>
      <c r="G21" s="279">
        <f>FISCinyear!IK566</f>
        <v>0</v>
      </c>
      <c r="H21" s="1019">
        <f t="shared" si="1"/>
        <v>4.9115567251281078</v>
      </c>
      <c r="I21" s="279">
        <f>FISCinyear!IL566</f>
        <v>0</v>
      </c>
      <c r="J21" s="279">
        <f>FISCinyear!IN566</f>
        <v>0</v>
      </c>
      <c r="K21" s="1019">
        <f t="shared" si="2"/>
        <v>0</v>
      </c>
      <c r="L21" s="279">
        <f>FISCinyear!IO566</f>
        <v>0</v>
      </c>
      <c r="M21" s="279">
        <f>FISCinyear!IP566</f>
        <v>0</v>
      </c>
      <c r="N21" s="279">
        <f>FISCinyear!IQ566</f>
        <v>0</v>
      </c>
      <c r="O21" s="279">
        <f>FISCinyear!IR566</f>
        <v>0</v>
      </c>
      <c r="P21" s="279">
        <f>FISCinyear!IS566</f>
        <v>0</v>
      </c>
      <c r="Q21" s="279">
        <f>FISCinyear!IT566</f>
        <v>0</v>
      </c>
      <c r="R21" s="279">
        <f>FISCinyear!IU566</f>
        <v>0</v>
      </c>
      <c r="S21" s="279">
        <f>FISCinyear!IV566</f>
        <v>0</v>
      </c>
      <c r="T21" s="279">
        <f>FISCinyear!IY566</f>
        <v>0</v>
      </c>
      <c r="U21" s="1015"/>
      <c r="V21" s="1015"/>
      <c r="W21" s="1015"/>
      <c r="X21" s="1015"/>
    </row>
    <row r="22" spans="1:24" ht="15.3">
      <c r="A22" s="328" t="s">
        <v>282</v>
      </c>
      <c r="B22" s="279"/>
      <c r="C22" s="279">
        <f>FISCinyear!IF567</f>
        <v>0</v>
      </c>
      <c r="D22" s="279">
        <f>FISCinyear!IH567</f>
        <v>4.4000000000000004</v>
      </c>
      <c r="E22" s="1019">
        <f t="shared" si="0"/>
        <v>4.4000000000000004</v>
      </c>
      <c r="F22" s="279">
        <f>FISCinyear!II567</f>
        <v>4.4000000000000004</v>
      </c>
      <c r="G22" s="279">
        <f>FISCinyear!IK567</f>
        <v>5.1531479639999995</v>
      </c>
      <c r="H22" s="1019">
        <f t="shared" si="1"/>
        <v>9.5531479640000008</v>
      </c>
      <c r="I22" s="279">
        <f>FISCinyear!IL567</f>
        <v>5.4669661290000002</v>
      </c>
      <c r="J22" s="279">
        <f>FISCinyear!IN567</f>
        <v>5.4</v>
      </c>
      <c r="K22" s="1019">
        <f t="shared" si="2"/>
        <v>10.866966129000001</v>
      </c>
      <c r="L22" s="279">
        <f>FISCinyear!IO567</f>
        <v>6.0352793899999995</v>
      </c>
      <c r="M22" s="279">
        <f>FISCinyear!IP567</f>
        <v>11.43527939</v>
      </c>
      <c r="N22" s="279">
        <f>FISCinyear!IQ567</f>
        <v>6.4895929419999998</v>
      </c>
      <c r="O22" s="279">
        <f>FISCinyear!IR567</f>
        <v>6.5243584779999999</v>
      </c>
      <c r="P22" s="279">
        <f>FISCinyear!IS567</f>
        <v>13.01395142</v>
      </c>
      <c r="Q22" s="279">
        <f>FISCinyear!IT567</f>
        <v>7.1663822449999994</v>
      </c>
      <c r="R22" s="279">
        <f>FISCinyear!IU567</f>
        <v>7.1663822449999994</v>
      </c>
      <c r="S22" s="279">
        <f>FISCinyear!IV567</f>
        <v>14.332764489999999</v>
      </c>
      <c r="T22" s="279">
        <f>FISCinyear!IY567</f>
        <v>14.850065997</v>
      </c>
      <c r="U22" s="1015"/>
      <c r="V22" s="1015"/>
      <c r="W22" s="1015"/>
      <c r="X22" s="1015"/>
    </row>
    <row r="23" spans="1:24" ht="15.3">
      <c r="A23" s="328" t="s">
        <v>813</v>
      </c>
      <c r="B23" s="279"/>
      <c r="C23" s="279">
        <f>FISCinyear!IF568</f>
        <v>0</v>
      </c>
      <c r="D23" s="279">
        <f>FISCinyear!IH568</f>
        <v>0</v>
      </c>
      <c r="E23" s="1019">
        <f t="shared" si="0"/>
        <v>0</v>
      </c>
      <c r="F23" s="279">
        <f>FISCinyear!II568</f>
        <v>0</v>
      </c>
      <c r="G23" s="279">
        <f>FISCinyear!IK568</f>
        <v>0</v>
      </c>
      <c r="H23" s="1019">
        <f t="shared" si="1"/>
        <v>0</v>
      </c>
      <c r="I23" s="279">
        <f>FISCinyear!IL568</f>
        <v>0</v>
      </c>
      <c r="J23" s="279">
        <f>FISCinyear!IN568</f>
        <v>0</v>
      </c>
      <c r="K23" s="1019">
        <f t="shared" si="2"/>
        <v>0</v>
      </c>
      <c r="L23" s="279">
        <f>FISCinyear!IO568</f>
        <v>0</v>
      </c>
      <c r="M23" s="279">
        <f>FISCinyear!IP568</f>
        <v>0</v>
      </c>
      <c r="N23" s="279">
        <f>FISCinyear!IQ568</f>
        <v>0</v>
      </c>
      <c r="O23" s="279">
        <f>FISCinyear!IR568</f>
        <v>0</v>
      </c>
      <c r="P23" s="279">
        <f>FISCinyear!IS568</f>
        <v>0</v>
      </c>
      <c r="Q23" s="279">
        <f>FISCinyear!IT568</f>
        <v>0</v>
      </c>
      <c r="R23" s="279">
        <f>FISCinyear!IU568</f>
        <v>0</v>
      </c>
      <c r="S23" s="279">
        <f>FISCinyear!IV568</f>
        <v>0</v>
      </c>
      <c r="T23" s="279">
        <f>FISCinyear!IY568</f>
        <v>0</v>
      </c>
      <c r="U23" s="1015"/>
      <c r="V23" s="1015"/>
      <c r="W23" s="1015"/>
      <c r="X23" s="1015"/>
    </row>
    <row r="24" spans="1:24" ht="15.3">
      <c r="A24" s="322" t="s">
        <v>124</v>
      </c>
      <c r="B24" s="279"/>
      <c r="C24" s="279">
        <f>FISCinyear!IF570</f>
        <v>31.004084898589994</v>
      </c>
      <c r="D24" s="279">
        <f>FISCinyear!IH570</f>
        <v>19.741290814000003</v>
      </c>
      <c r="E24" s="1019">
        <f t="shared" si="0"/>
        <v>50.745375712589997</v>
      </c>
      <c r="F24" s="279">
        <f>FISCinyear!II570</f>
        <v>24.978469895890932</v>
      </c>
      <c r="G24" s="279">
        <f>FISCinyear!IK570</f>
        <v>23.451217510381241</v>
      </c>
      <c r="H24" s="1019">
        <f t="shared" si="1"/>
        <v>48.429687406272173</v>
      </c>
      <c r="I24" s="279">
        <f>FISCinyear!IL570</f>
        <v>29.486182403139992</v>
      </c>
      <c r="J24" s="279">
        <f>FISCinyear!IN570</f>
        <v>106.2738242450184</v>
      </c>
      <c r="K24" s="1019">
        <f t="shared" si="2"/>
        <v>135.7600066481584</v>
      </c>
      <c r="L24" s="279">
        <f>FISCinyear!IO570</f>
        <v>102.34630058747493</v>
      </c>
      <c r="M24" s="279">
        <f>FISCinyear!IP570</f>
        <v>208.62012483249333</v>
      </c>
      <c r="N24" s="279">
        <f>FISCinyear!IQ570</f>
        <v>50.858363477000005</v>
      </c>
      <c r="O24" s="279">
        <f>FISCinyear!IR570</f>
        <v>49.526090138099995</v>
      </c>
      <c r="P24" s="279">
        <f>FISCinyear!IS570</f>
        <v>100.3844536151</v>
      </c>
      <c r="Q24" s="279">
        <f>FISCinyear!IT570</f>
        <v>145.298990572523</v>
      </c>
      <c r="R24" s="279">
        <f>FISCinyear!IU570</f>
        <v>96.367906983169632</v>
      </c>
      <c r="S24" s="279">
        <f>FISCinyear!IV570</f>
        <v>241.66689755569263</v>
      </c>
      <c r="T24" s="279">
        <f>FISCinyear!IY570</f>
        <v>219.33821574565292</v>
      </c>
      <c r="U24" s="1015"/>
      <c r="V24" s="1015"/>
      <c r="W24" s="1015"/>
      <c r="X24" s="1015"/>
    </row>
    <row r="25" spans="1:24" ht="15.3">
      <c r="A25" s="328" t="s">
        <v>784</v>
      </c>
      <c r="B25" s="279"/>
      <c r="C25" s="279">
        <f>FISCinyear!IF571</f>
        <v>0</v>
      </c>
      <c r="D25" s="279">
        <f>FISCinyear!IH571</f>
        <v>0</v>
      </c>
      <c r="E25" s="1019">
        <f t="shared" si="0"/>
        <v>0</v>
      </c>
      <c r="F25" s="279">
        <f>FISCinyear!II571</f>
        <v>0</v>
      </c>
      <c r="G25" s="279">
        <f>FISCinyear!IK571</f>
        <v>0</v>
      </c>
      <c r="H25" s="1019">
        <f t="shared" si="1"/>
        <v>0</v>
      </c>
      <c r="I25" s="279">
        <f>FISCinyear!IL571</f>
        <v>0</v>
      </c>
      <c r="J25" s="279">
        <f>FISCinyear!IN571</f>
        <v>77.381789827000006</v>
      </c>
      <c r="K25" s="1019">
        <f t="shared" si="2"/>
        <v>77.381789827000006</v>
      </c>
      <c r="L25" s="279">
        <f>FISCinyear!IO571</f>
        <v>72.670963542999999</v>
      </c>
      <c r="M25" s="279">
        <f>FISCinyear!IP571</f>
        <v>150.05275337</v>
      </c>
      <c r="N25" s="279">
        <f>FISCinyear!IQ571</f>
        <v>0</v>
      </c>
      <c r="O25" s="279">
        <f>FISCinyear!IR571</f>
        <v>0</v>
      </c>
      <c r="P25" s="279">
        <f>FISCinyear!IS571</f>
        <v>0</v>
      </c>
      <c r="Q25" s="279">
        <f>FISCinyear!IT571</f>
        <v>95.510138100523207</v>
      </c>
      <c r="R25" s="279">
        <f>FISCinyear!IU571</f>
        <v>73.767482580684018</v>
      </c>
      <c r="S25" s="279">
        <f>FISCinyear!IV571</f>
        <v>169.27762068120722</v>
      </c>
      <c r="T25" s="279">
        <f>FISCinyear!IY571</f>
        <v>141.91716108631363</v>
      </c>
      <c r="U25" s="1015"/>
      <c r="V25" s="1015"/>
      <c r="W25" s="1015"/>
      <c r="X25" s="1015"/>
    </row>
    <row r="26" spans="1:24" ht="15.3">
      <c r="A26" s="328" t="s">
        <v>1013</v>
      </c>
      <c r="B26" s="279"/>
      <c r="C26" s="279">
        <f>FISCinyear!IF572</f>
        <v>31.004084898589994</v>
      </c>
      <c r="D26" s="279">
        <f>FISCinyear!IH572</f>
        <v>19.741290814000003</v>
      </c>
      <c r="E26" s="1019">
        <f t="shared" si="0"/>
        <v>50.745375712589997</v>
      </c>
      <c r="F26" s="279">
        <f>FISCinyear!II572</f>
        <v>24.978469895890932</v>
      </c>
      <c r="G26" s="279">
        <f>FISCinyear!IK572</f>
        <v>23.451217510381241</v>
      </c>
      <c r="H26" s="1019">
        <f t="shared" si="1"/>
        <v>48.429687406272173</v>
      </c>
      <c r="I26" s="279">
        <f>FISCinyear!IL572</f>
        <v>29.486182403139992</v>
      </c>
      <c r="J26" s="279">
        <f>FISCinyear!IN572</f>
        <v>28.892034418018401</v>
      </c>
      <c r="K26" s="1019">
        <f t="shared" si="2"/>
        <v>58.378216821158389</v>
      </c>
      <c r="L26" s="279">
        <f>FISCinyear!IO572</f>
        <v>29.675337044474926</v>
      </c>
      <c r="M26" s="279">
        <f>FISCinyear!IP572</f>
        <v>58.567371462493327</v>
      </c>
      <c r="N26" s="279">
        <f>FISCinyear!IQ572</f>
        <v>37.205459984000001</v>
      </c>
      <c r="O26" s="279">
        <f>FISCinyear!IR572</f>
        <v>34.821561939099993</v>
      </c>
      <c r="P26" s="279">
        <f>FISCinyear!IS572</f>
        <v>72.027021923099994</v>
      </c>
      <c r="Q26" s="279">
        <f>FISCinyear!IT572</f>
        <v>49.788852472000002</v>
      </c>
      <c r="R26" s="279">
        <f>FISCinyear!IU572</f>
        <v>22.600424402485388</v>
      </c>
      <c r="S26" s="279">
        <f>FISCinyear!IV572</f>
        <v>72.38927687448539</v>
      </c>
      <c r="T26" s="279">
        <f>FISCinyear!IY572</f>
        <v>77.421054659339276</v>
      </c>
      <c r="U26" s="1015"/>
      <c r="V26" s="1015"/>
      <c r="W26" s="1015"/>
      <c r="X26" s="1015"/>
    </row>
    <row r="27" spans="1:24" ht="15.3">
      <c r="A27" s="328" t="s">
        <v>326</v>
      </c>
      <c r="B27" s="279"/>
      <c r="C27" s="279">
        <f>FISCinyear!IF573</f>
        <v>17.86608489859</v>
      </c>
      <c r="D27" s="279">
        <f>FISCinyear!IH573</f>
        <v>12.254290814000001</v>
      </c>
      <c r="E27" s="1019">
        <f t="shared" si="0"/>
        <v>30.12037571259</v>
      </c>
      <c r="F27" s="279">
        <f>FISCinyear!II573</f>
        <v>14.492469895890931</v>
      </c>
      <c r="G27" s="279">
        <f>FISCinyear!IK573</f>
        <v>15.075029069381241</v>
      </c>
      <c r="H27" s="1019">
        <f t="shared" si="1"/>
        <v>29.567498965272172</v>
      </c>
      <c r="I27" s="279">
        <f>FISCinyear!IL573</f>
        <v>15.372309022819994</v>
      </c>
      <c r="J27" s="279">
        <f>FISCinyear!IN573</f>
        <v>18.498162561348384</v>
      </c>
      <c r="K27" s="1019">
        <f t="shared" si="2"/>
        <v>33.870471584168378</v>
      </c>
      <c r="L27" s="279">
        <f>FISCinyear!IO573</f>
        <v>16.453426911267623</v>
      </c>
      <c r="M27" s="279">
        <f>FISCinyear!IP573</f>
        <v>34.951589472616007</v>
      </c>
      <c r="N27" s="279">
        <f>FISCinyear!IQ573</f>
        <v>20.893044108000002</v>
      </c>
      <c r="O27" s="279">
        <f>FISCinyear!IR573</f>
        <v>20.348588618000001</v>
      </c>
      <c r="P27" s="279">
        <f>FISCinyear!IS573</f>
        <v>41.241632726000006</v>
      </c>
      <c r="Q27" s="279">
        <f>FISCinyear!IT573</f>
        <v>17.600000000000001</v>
      </c>
      <c r="R27" s="279">
        <f>FISCinyear!IU573</f>
        <v>11.023589416551399</v>
      </c>
      <c r="S27" s="279">
        <f>FISCinyear!IV573</f>
        <v>28.6235894165514</v>
      </c>
      <c r="T27" s="279">
        <f>FISCinyear!IY573</f>
        <v>34.968337825143301</v>
      </c>
      <c r="U27" s="1015"/>
      <c r="V27" s="1015"/>
      <c r="W27" s="1015"/>
      <c r="X27" s="1015"/>
    </row>
    <row r="28" spans="1:24" ht="15.3">
      <c r="A28" s="322" t="s">
        <v>125</v>
      </c>
      <c r="B28" s="279"/>
      <c r="C28" s="279">
        <f>FISCinyear!IF576</f>
        <v>212.48866762605849</v>
      </c>
      <c r="D28" s="279">
        <f>FISCinyear!IH576</f>
        <v>242.40439939764025</v>
      </c>
      <c r="E28" s="1019">
        <f t="shared" si="0"/>
        <v>454.89306702369873</v>
      </c>
      <c r="F28" s="279">
        <f>FISCinyear!II576</f>
        <v>205.46701503354299</v>
      </c>
      <c r="G28" s="279">
        <f>FISCinyear!IK576</f>
        <v>149.89813984055624</v>
      </c>
      <c r="H28" s="1019">
        <f t="shared" si="1"/>
        <v>355.36515487409923</v>
      </c>
      <c r="I28" s="279">
        <f>FISCinyear!IL576</f>
        <v>148.25835427282894</v>
      </c>
      <c r="J28" s="279">
        <f>FISCinyear!IN576</f>
        <v>194.76461911498851</v>
      </c>
      <c r="K28" s="1019">
        <f t="shared" si="2"/>
        <v>343.02297338781744</v>
      </c>
      <c r="L28" s="279">
        <f>FISCinyear!IO576</f>
        <v>164.14405775372194</v>
      </c>
      <c r="M28" s="279">
        <f>FISCinyear!IP576</f>
        <v>358.90867686871047</v>
      </c>
      <c r="N28" s="279">
        <f>FISCinyear!IQ576</f>
        <v>266.03550311942342</v>
      </c>
      <c r="O28" s="279">
        <f>FISCinyear!IR576</f>
        <v>215.1438038769378</v>
      </c>
      <c r="P28" s="279">
        <f>FISCinyear!IS576</f>
        <v>481.17930699636122</v>
      </c>
      <c r="Q28" s="279">
        <f>FISCinyear!IT576</f>
        <v>221.14359889992647</v>
      </c>
      <c r="R28" s="279">
        <f>FISCinyear!IU576</f>
        <v>210.93867897822892</v>
      </c>
      <c r="S28" s="279">
        <f>FISCinyear!IV576</f>
        <v>432.08227787815542</v>
      </c>
      <c r="T28" s="279">
        <f>FISCinyear!IY576</f>
        <v>492.32368499074391</v>
      </c>
      <c r="U28" s="1015"/>
      <c r="V28" s="1015"/>
      <c r="W28" s="1015"/>
      <c r="X28" s="1015"/>
    </row>
    <row r="29" spans="1:24" ht="15.3">
      <c r="A29" s="569" t="s">
        <v>126</v>
      </c>
      <c r="B29" s="279"/>
      <c r="C29" s="279">
        <f>FISCinyear!IF577</f>
        <v>96.933015068694488</v>
      </c>
      <c r="D29" s="279">
        <f>FISCinyear!IH577</f>
        <v>145.66439939764024</v>
      </c>
      <c r="E29" s="1019">
        <f t="shared" si="0"/>
        <v>242.59741446633473</v>
      </c>
      <c r="F29" s="279">
        <f>FISCinyear!II577</f>
        <v>133.26701503354298</v>
      </c>
      <c r="G29" s="279">
        <f>FISCinyear!IK577</f>
        <v>120.44820431254826</v>
      </c>
      <c r="H29" s="1019">
        <f t="shared" si="1"/>
        <v>253.71521934609123</v>
      </c>
      <c r="I29" s="279">
        <f>FISCinyear!IL577</f>
        <v>120.21630521263157</v>
      </c>
      <c r="J29" s="279">
        <f>FISCinyear!IN577</f>
        <v>109.6096191149885</v>
      </c>
      <c r="K29" s="1019">
        <f t="shared" si="2"/>
        <v>229.82592432762007</v>
      </c>
      <c r="L29" s="279">
        <f>FISCinyear!IO577</f>
        <v>80.589057753721931</v>
      </c>
      <c r="M29" s="279">
        <f>FISCinyear!IP577</f>
        <v>190.19867686871044</v>
      </c>
      <c r="N29" s="279">
        <f>FISCinyear!IQ577</f>
        <v>138.2354745762768</v>
      </c>
      <c r="O29" s="279">
        <f>FISCinyear!IR577</f>
        <v>109.86830042591477</v>
      </c>
      <c r="P29" s="279">
        <f>FISCinyear!IS577</f>
        <v>248.10377500219158</v>
      </c>
      <c r="Q29" s="279">
        <f>FISCinyear!IT577</f>
        <v>91.34218276878147</v>
      </c>
      <c r="R29" s="279">
        <f>FISCinyear!IU577</f>
        <v>81.045469537872549</v>
      </c>
      <c r="S29" s="279">
        <f>FISCinyear!IV577</f>
        <v>172.38765230665402</v>
      </c>
      <c r="T29" s="279">
        <f>FISCinyear!IY577</f>
        <v>203.37815939767054</v>
      </c>
      <c r="U29" s="1015"/>
      <c r="V29" s="1015"/>
      <c r="W29" s="1015"/>
      <c r="X29" s="1015"/>
    </row>
    <row r="30" spans="1:24" ht="15.3">
      <c r="A30" s="328" t="s">
        <v>783</v>
      </c>
      <c r="B30" s="279"/>
      <c r="C30" s="279">
        <f>FISCinyear!IF578</f>
        <v>61.119145948886768</v>
      </c>
      <c r="D30" s="279">
        <f>FISCinyear!IH578</f>
        <v>104.71459430798035</v>
      </c>
      <c r="E30" s="1019">
        <f t="shared" si="0"/>
        <v>165.83374025686712</v>
      </c>
      <c r="F30" s="279">
        <f>FISCinyear!II578</f>
        <v>103.83445361515261</v>
      </c>
      <c r="G30" s="279">
        <f>FISCinyear!IK578</f>
        <v>94.436810729386792</v>
      </c>
      <c r="H30" s="1019">
        <f t="shared" si="1"/>
        <v>198.27126434453942</v>
      </c>
      <c r="I30" s="279">
        <f>FISCinyear!IL578</f>
        <v>92.174256152434197</v>
      </c>
      <c r="J30" s="279">
        <f>FISCinyear!IN578</f>
        <v>73.093899166988507</v>
      </c>
      <c r="K30" s="1019">
        <f t="shared" si="2"/>
        <v>165.2681553194227</v>
      </c>
      <c r="L30" s="279">
        <f>FISCinyear!IO578</f>
        <v>46.116443428721951</v>
      </c>
      <c r="M30" s="279">
        <f>FISCinyear!IP578</f>
        <v>119.21034259571046</v>
      </c>
      <c r="N30" s="279">
        <f>FISCinyear!IQ578</f>
        <v>107.1627075205931</v>
      </c>
      <c r="O30" s="279">
        <f>FISCinyear!IR578</f>
        <v>55.336355063147302</v>
      </c>
      <c r="P30" s="279">
        <f>FISCinyear!IS578</f>
        <v>162.4990625837404</v>
      </c>
      <c r="Q30" s="279">
        <f>FISCinyear!IT578</f>
        <v>59.537980413445503</v>
      </c>
      <c r="R30" s="279">
        <f>FISCinyear!IU578</f>
        <v>36.339740893699307</v>
      </c>
      <c r="S30" s="279">
        <f>FISCinyear!IV578</f>
        <v>95.87772130714481</v>
      </c>
      <c r="T30" s="279">
        <f>FISCinyear!IY578</f>
        <v>79.709373117889641</v>
      </c>
      <c r="U30" s="1015"/>
      <c r="V30" s="1015"/>
      <c r="W30" s="1015"/>
      <c r="X30" s="1015"/>
    </row>
    <row r="31" spans="1:24" ht="15.3">
      <c r="A31" s="328" t="s">
        <v>129</v>
      </c>
      <c r="B31" s="279"/>
      <c r="C31" s="279">
        <f>FISCinyear!IF579</f>
        <v>35.81386911980772</v>
      </c>
      <c r="D31" s="279">
        <f>FISCinyear!IH579</f>
        <v>40.949805089659883</v>
      </c>
      <c r="E31" s="1019">
        <f t="shared" si="0"/>
        <v>76.763674209467609</v>
      </c>
      <c r="F31" s="279">
        <f>FISCinyear!II579</f>
        <v>29.43256141839035</v>
      </c>
      <c r="G31" s="279">
        <f>FISCinyear!IK579</f>
        <v>26.01139358316146</v>
      </c>
      <c r="H31" s="1019">
        <f t="shared" si="1"/>
        <v>55.443955001551814</v>
      </c>
      <c r="I31" s="279">
        <f>FISCinyear!IL579</f>
        <v>28.042049060197375</v>
      </c>
      <c r="J31" s="279">
        <f>FISCinyear!IN579</f>
        <v>36.515719947999997</v>
      </c>
      <c r="K31" s="1019">
        <f t="shared" si="2"/>
        <v>64.557769008197369</v>
      </c>
      <c r="L31" s="279">
        <f>FISCinyear!IO579</f>
        <v>33.055933906000007</v>
      </c>
      <c r="M31" s="279">
        <f>FISCinyear!IP579</f>
        <v>69.571653854000004</v>
      </c>
      <c r="N31" s="279">
        <f>FISCinyear!IQ579</f>
        <v>29.906014974000001</v>
      </c>
      <c r="O31" s="279">
        <f>FISCinyear!IR579</f>
        <v>53.089370699131393</v>
      </c>
      <c r="P31" s="279">
        <f>FISCinyear!IS579</f>
        <v>82.995385673131395</v>
      </c>
      <c r="Q31" s="279">
        <f>FISCinyear!IT579</f>
        <v>31.804202355335967</v>
      </c>
      <c r="R31" s="279">
        <f>FISCinyear!IU579</f>
        <v>34.57366317529921</v>
      </c>
      <c r="S31" s="279">
        <f>FISCinyear!IV579</f>
        <v>66.377865530635177</v>
      </c>
      <c r="T31" s="279">
        <f>FISCinyear!IY579</f>
        <v>68.286440499139502</v>
      </c>
      <c r="U31" s="1015"/>
      <c r="V31" s="1015"/>
      <c r="W31" s="1015"/>
      <c r="X31" s="1015"/>
    </row>
    <row r="32" spans="1:24" ht="15.3">
      <c r="A32" s="328" t="s">
        <v>743</v>
      </c>
      <c r="B32" s="279"/>
      <c r="C32" s="279">
        <f>FISCinyear!IF581</f>
        <v>0</v>
      </c>
      <c r="D32" s="279">
        <f>FISCinyear!IH581</f>
        <v>0</v>
      </c>
      <c r="E32" s="1019">
        <f t="shared" si="0"/>
        <v>0</v>
      </c>
      <c r="F32" s="279">
        <f>FISCinyear!II581</f>
        <v>0</v>
      </c>
      <c r="G32" s="279">
        <f>FISCinyear!IK581</f>
        <v>0</v>
      </c>
      <c r="H32" s="1019">
        <f t="shared" si="1"/>
        <v>0</v>
      </c>
      <c r="I32" s="279">
        <f>FISCinyear!IL581</f>
        <v>0</v>
      </c>
      <c r="J32" s="279">
        <f>FISCinyear!IN581</f>
        <v>0</v>
      </c>
      <c r="K32" s="1019">
        <f t="shared" si="2"/>
        <v>0</v>
      </c>
      <c r="L32" s="279">
        <f>FISCinyear!IO581</f>
        <v>1.4166804189999738</v>
      </c>
      <c r="M32" s="279">
        <f>FISCinyear!IP581</f>
        <v>0</v>
      </c>
      <c r="N32" s="279">
        <f>FISCinyear!IQ581</f>
        <v>0</v>
      </c>
      <c r="O32" s="279">
        <f>FISCinyear!IR581</f>
        <v>0</v>
      </c>
      <c r="P32" s="279">
        <f>FISCinyear!IS581</f>
        <v>0</v>
      </c>
      <c r="Q32" s="279">
        <f>FISCinyear!IT581</f>
        <v>0</v>
      </c>
      <c r="R32" s="279">
        <f>FISCinyear!IU581</f>
        <v>0</v>
      </c>
      <c r="S32" s="279">
        <f>FISCinyear!IV581</f>
        <v>0</v>
      </c>
      <c r="T32" s="279">
        <f>FISCinyear!IY581</f>
        <v>55.382345780641401</v>
      </c>
      <c r="U32" s="1015"/>
      <c r="V32" s="1015"/>
      <c r="W32" s="1015"/>
      <c r="X32" s="1015"/>
    </row>
    <row r="33" spans="1:24" ht="15.3">
      <c r="A33" s="569" t="s">
        <v>127</v>
      </c>
      <c r="B33" s="279"/>
      <c r="C33" s="279">
        <f>FISCinyear!IF582</f>
        <v>115.555652557364</v>
      </c>
      <c r="D33" s="279">
        <f>FISCinyear!IH582</f>
        <v>96.74</v>
      </c>
      <c r="E33" s="1019">
        <f t="shared" si="0"/>
        <v>212.29565255736401</v>
      </c>
      <c r="F33" s="279">
        <f>FISCinyear!II582</f>
        <v>72.200000000000017</v>
      </c>
      <c r="G33" s="279">
        <f>FISCinyear!IK582</f>
        <v>29.449935528007973</v>
      </c>
      <c r="H33" s="1019">
        <f t="shared" si="1"/>
        <v>101.64993552800799</v>
      </c>
      <c r="I33" s="279">
        <f>FISCinyear!IL582</f>
        <v>28.042049060197375</v>
      </c>
      <c r="J33" s="279">
        <f>FISCinyear!IN582</f>
        <v>85.155000000000001</v>
      </c>
      <c r="K33" s="1019">
        <f t="shared" si="2"/>
        <v>113.19704906019737</v>
      </c>
      <c r="L33" s="279">
        <f>FISCinyear!IO582</f>
        <v>83.555000000000007</v>
      </c>
      <c r="M33" s="279">
        <f>FISCinyear!IP582</f>
        <v>168.71</v>
      </c>
      <c r="N33" s="279">
        <f>FISCinyear!IQ582</f>
        <v>127.80002854314665</v>
      </c>
      <c r="O33" s="279">
        <f>FISCinyear!IR582</f>
        <v>105.27550345102301</v>
      </c>
      <c r="P33" s="279">
        <f>FISCinyear!IS582</f>
        <v>233.07553199416967</v>
      </c>
      <c r="Q33" s="279">
        <f>FISCinyear!IT582</f>
        <v>129.801416131145</v>
      </c>
      <c r="R33" s="279">
        <f>FISCinyear!IU582</f>
        <v>129.89320944035637</v>
      </c>
      <c r="S33" s="279">
        <f>FISCinyear!IV582</f>
        <v>259.69462557150138</v>
      </c>
      <c r="T33" s="279">
        <f>FISCinyear!IY582</f>
        <v>288.9455255930734</v>
      </c>
      <c r="U33" s="1015"/>
      <c r="V33" s="1015"/>
      <c r="W33" s="1015"/>
      <c r="X33" s="1015"/>
    </row>
    <row r="34" spans="1:24" ht="15.3">
      <c r="A34" s="328" t="s">
        <v>128</v>
      </c>
      <c r="B34" s="279"/>
      <c r="C34" s="279">
        <f>FISCinyear!IF583</f>
        <v>115.555652557364</v>
      </c>
      <c r="D34" s="279">
        <f>FISCinyear!IH583</f>
        <v>96.74</v>
      </c>
      <c r="E34" s="1019">
        <f t="shared" si="0"/>
        <v>212.29565255736401</v>
      </c>
      <c r="F34" s="279">
        <f>FISCinyear!II583</f>
        <v>72.200000000000017</v>
      </c>
      <c r="G34" s="279">
        <f>FISCinyear!IK583</f>
        <v>29.449935528007973</v>
      </c>
      <c r="H34" s="1019">
        <f t="shared" si="1"/>
        <v>101.64993552800799</v>
      </c>
      <c r="I34" s="279">
        <f>FISCinyear!IL583</f>
        <v>28.042049060197375</v>
      </c>
      <c r="J34" s="279">
        <f>FISCinyear!IN583</f>
        <v>85.155000000000001</v>
      </c>
      <c r="K34" s="1019">
        <f t="shared" si="2"/>
        <v>113.19704906019737</v>
      </c>
      <c r="L34" s="279">
        <f>FISCinyear!IO583</f>
        <v>83.555000000000007</v>
      </c>
      <c r="M34" s="279">
        <f>FISCinyear!IP583</f>
        <v>168.71</v>
      </c>
      <c r="N34" s="279">
        <f>FISCinyear!IQ583</f>
        <v>127.80002854314665</v>
      </c>
      <c r="O34" s="279">
        <f>FISCinyear!IR583</f>
        <v>105.27550345102301</v>
      </c>
      <c r="P34" s="279">
        <f>FISCinyear!IS583</f>
        <v>233.07553199416967</v>
      </c>
      <c r="Q34" s="279">
        <f>FISCinyear!IT583</f>
        <v>129.801416131145</v>
      </c>
      <c r="R34" s="279">
        <f>FISCinyear!IU583</f>
        <v>129.89320944035637</v>
      </c>
      <c r="S34" s="279">
        <f>FISCinyear!IV583</f>
        <v>259.69462557150138</v>
      </c>
      <c r="T34" s="279">
        <f>FISCinyear!IY583</f>
        <v>288.9455255930734</v>
      </c>
      <c r="U34" s="1015"/>
      <c r="V34" s="1015"/>
      <c r="W34" s="1015"/>
      <c r="X34" s="1015"/>
    </row>
    <row r="35" spans="1:24" ht="15.3">
      <c r="A35" s="657" t="s">
        <v>773</v>
      </c>
      <c r="B35" s="279"/>
      <c r="C35" s="279">
        <f>FISCinyear!IF584</f>
        <v>0</v>
      </c>
      <c r="D35" s="279">
        <f>FISCinyear!IH584</f>
        <v>0</v>
      </c>
      <c r="E35" s="1019">
        <f t="shared" si="0"/>
        <v>0</v>
      </c>
      <c r="F35" s="279">
        <f>FISCinyear!II584</f>
        <v>0</v>
      </c>
      <c r="G35" s="279">
        <f>FISCinyear!IK584</f>
        <v>0</v>
      </c>
      <c r="H35" s="1019">
        <f t="shared" si="1"/>
        <v>0</v>
      </c>
      <c r="I35" s="279">
        <f>FISCinyear!IL584</f>
        <v>0</v>
      </c>
      <c r="J35" s="279">
        <f>FISCinyear!IN584</f>
        <v>0</v>
      </c>
      <c r="K35" s="1019">
        <f t="shared" si="2"/>
        <v>0</v>
      </c>
      <c r="L35" s="279">
        <f>FISCinyear!IO584</f>
        <v>0</v>
      </c>
      <c r="M35" s="279">
        <f>FISCinyear!IP584</f>
        <v>0</v>
      </c>
      <c r="N35" s="279">
        <f>FISCinyear!IQ584</f>
        <v>0</v>
      </c>
      <c r="O35" s="279">
        <f>FISCinyear!IR584</f>
        <v>0</v>
      </c>
      <c r="P35" s="279">
        <f>FISCinyear!IS584</f>
        <v>0</v>
      </c>
      <c r="Q35" s="279">
        <f>FISCinyear!IT584</f>
        <v>0</v>
      </c>
      <c r="R35" s="279">
        <f>FISCinyear!IU584</f>
        <v>0</v>
      </c>
      <c r="S35" s="279">
        <f>FISCinyear!IV584</f>
        <v>0</v>
      </c>
      <c r="T35" s="279">
        <f>FISCinyear!IY584</f>
        <v>0</v>
      </c>
      <c r="U35" s="1015"/>
      <c r="V35" s="1015"/>
      <c r="W35" s="1015"/>
      <c r="X35" s="1015"/>
    </row>
    <row r="36" spans="1:24" ht="15.3">
      <c r="A36" s="657" t="s">
        <v>774</v>
      </c>
      <c r="B36" s="279"/>
      <c r="C36" s="279">
        <f>FISCinyear!IF585</f>
        <v>0</v>
      </c>
      <c r="D36" s="279">
        <f>FISCinyear!IH585</f>
        <v>0</v>
      </c>
      <c r="E36" s="1019">
        <f t="shared" si="0"/>
        <v>0</v>
      </c>
      <c r="F36" s="279">
        <f>FISCinyear!II585</f>
        <v>0</v>
      </c>
      <c r="G36" s="279">
        <f>FISCinyear!IK585</f>
        <v>0</v>
      </c>
      <c r="H36" s="1019">
        <f t="shared" si="1"/>
        <v>0</v>
      </c>
      <c r="I36" s="279">
        <f>FISCinyear!IL585</f>
        <v>0</v>
      </c>
      <c r="J36" s="279">
        <f>FISCinyear!IN585</f>
        <v>0</v>
      </c>
      <c r="K36" s="1019">
        <f t="shared" si="2"/>
        <v>0</v>
      </c>
      <c r="L36" s="279">
        <f>FISCinyear!IO585</f>
        <v>0</v>
      </c>
      <c r="M36" s="279">
        <f>FISCinyear!IP585</f>
        <v>0</v>
      </c>
      <c r="N36" s="279">
        <f>FISCinyear!IQ585</f>
        <v>0</v>
      </c>
      <c r="O36" s="279">
        <f>FISCinyear!IR585</f>
        <v>0</v>
      </c>
      <c r="P36" s="279">
        <f>FISCinyear!IS585</f>
        <v>0</v>
      </c>
      <c r="Q36" s="279">
        <f>FISCinyear!IT585</f>
        <v>0</v>
      </c>
      <c r="R36" s="279">
        <f>FISCinyear!IU585</f>
        <v>0</v>
      </c>
      <c r="S36" s="279">
        <f>FISCinyear!IV585</f>
        <v>0</v>
      </c>
      <c r="T36" s="279">
        <f>FISCinyear!IY585</f>
        <v>0</v>
      </c>
      <c r="U36" s="1015"/>
      <c r="V36" s="1015"/>
      <c r="W36" s="1015"/>
      <c r="X36" s="1015"/>
    </row>
    <row r="37" spans="1:24" ht="15.3">
      <c r="A37" s="328" t="s">
        <v>129</v>
      </c>
      <c r="B37" s="279"/>
      <c r="C37" s="279">
        <f>FISCinyear!IF586</f>
        <v>0</v>
      </c>
      <c r="D37" s="279">
        <f>FISCinyear!IH586</f>
        <v>0</v>
      </c>
      <c r="E37" s="1019">
        <f t="shared" si="0"/>
        <v>0</v>
      </c>
      <c r="F37" s="279">
        <f>FISCinyear!II586</f>
        <v>0</v>
      </c>
      <c r="G37" s="279">
        <f>FISCinyear!IK586</f>
        <v>0</v>
      </c>
      <c r="H37" s="1019">
        <f t="shared" si="1"/>
        <v>0</v>
      </c>
      <c r="I37" s="279">
        <f>FISCinyear!IL586</f>
        <v>0</v>
      </c>
      <c r="J37" s="279">
        <f>FISCinyear!IN586</f>
        <v>0</v>
      </c>
      <c r="K37" s="1019">
        <f t="shared" si="2"/>
        <v>0</v>
      </c>
      <c r="L37" s="279">
        <f>FISCinyear!IO586</f>
        <v>0</v>
      </c>
      <c r="M37" s="279">
        <f>FISCinyear!IP586</f>
        <v>0</v>
      </c>
      <c r="N37" s="279">
        <f>FISCinyear!IQ586</f>
        <v>0</v>
      </c>
      <c r="O37" s="279">
        <f>FISCinyear!IR586</f>
        <v>0</v>
      </c>
      <c r="P37" s="279">
        <f>FISCinyear!IS586</f>
        <v>0</v>
      </c>
      <c r="Q37" s="279">
        <f>FISCinyear!IT586</f>
        <v>0</v>
      </c>
      <c r="R37" s="279">
        <f>FISCinyear!IU586</f>
        <v>0</v>
      </c>
      <c r="S37" s="279">
        <f>FISCinyear!IV586</f>
        <v>0</v>
      </c>
      <c r="T37" s="279">
        <f>FISCinyear!IY586</f>
        <v>0</v>
      </c>
      <c r="U37" s="1015"/>
      <c r="V37" s="1015"/>
      <c r="W37" s="1015"/>
      <c r="X37" s="1015"/>
    </row>
    <row r="38" spans="1:24" ht="15.3">
      <c r="A38" s="328"/>
      <c r="B38" s="279"/>
      <c r="C38" s="279">
        <f>FISCinyear!IF587</f>
        <v>0</v>
      </c>
      <c r="D38" s="279">
        <f>FISCinyear!IH587</f>
        <v>0</v>
      </c>
      <c r="E38" s="1019">
        <f t="shared" si="0"/>
        <v>0</v>
      </c>
      <c r="F38" s="279">
        <f>FISCinyear!II587</f>
        <v>0</v>
      </c>
      <c r="G38" s="279">
        <f>FISCinyear!IK587</f>
        <v>0</v>
      </c>
      <c r="H38" s="1019">
        <f t="shared" si="1"/>
        <v>0</v>
      </c>
      <c r="I38" s="279">
        <f>FISCinyear!IL587</f>
        <v>0</v>
      </c>
      <c r="J38" s="279">
        <f>FISCinyear!IN587</f>
        <v>0</v>
      </c>
      <c r="K38" s="1019">
        <f t="shared" si="2"/>
        <v>0</v>
      </c>
      <c r="L38" s="279">
        <f>FISCinyear!IO587</f>
        <v>0</v>
      </c>
      <c r="M38" s="279">
        <f>FISCinyear!IP587</f>
        <v>0</v>
      </c>
      <c r="N38" s="279">
        <f>FISCinyear!IQ587</f>
        <v>0</v>
      </c>
      <c r="O38" s="279">
        <f>FISCinyear!IR587</f>
        <v>0</v>
      </c>
      <c r="P38" s="279">
        <f>FISCinyear!IS587</f>
        <v>0</v>
      </c>
      <c r="Q38" s="279">
        <f>FISCinyear!IT587</f>
        <v>0</v>
      </c>
      <c r="R38" s="279">
        <f>FISCinyear!IU587</f>
        <v>0</v>
      </c>
      <c r="S38" s="279">
        <f>FISCinyear!IV587</f>
        <v>0</v>
      </c>
      <c r="T38" s="279">
        <f>FISCinyear!IY587</f>
        <v>0</v>
      </c>
      <c r="U38" s="1015"/>
      <c r="V38" s="1015"/>
      <c r="W38" s="1015"/>
      <c r="X38" s="1015"/>
    </row>
    <row r="39" spans="1:24" ht="15.3">
      <c r="A39" s="322" t="s">
        <v>130</v>
      </c>
      <c r="B39" s="279"/>
      <c r="C39" s="279">
        <f>FISCinyear!IF588</f>
        <v>885.32563929693174</v>
      </c>
      <c r="D39" s="279">
        <f>FISCinyear!IH588</f>
        <v>837.43265160608269</v>
      </c>
      <c r="E39" s="1019">
        <f t="shared" si="0"/>
        <v>1722.7582909030143</v>
      </c>
      <c r="F39" s="279">
        <f>FISCinyear!II588</f>
        <v>906.64806379004654</v>
      </c>
      <c r="G39" s="279">
        <f>FISCinyear!IK588</f>
        <v>859.78956220976079</v>
      </c>
      <c r="H39" s="1019">
        <f t="shared" si="1"/>
        <v>1766.4376259998073</v>
      </c>
      <c r="I39" s="279">
        <f>FISCinyear!IL588</f>
        <v>1008.2931766483607</v>
      </c>
      <c r="J39" s="279">
        <f>FISCinyear!IN588</f>
        <v>1052.9234134562407</v>
      </c>
      <c r="K39" s="1019">
        <f t="shared" si="2"/>
        <v>2061.2165901046014</v>
      </c>
      <c r="L39" s="279">
        <f>FISCinyear!IO588</f>
        <v>1134.61636743181</v>
      </c>
      <c r="M39" s="279">
        <f>FISCinyear!IP588</f>
        <v>2187.5397808880507</v>
      </c>
      <c r="N39" s="279">
        <f>FISCinyear!IQ588</f>
        <v>1224.3611171646201</v>
      </c>
      <c r="O39" s="279">
        <f>FISCinyear!IR588</f>
        <v>1387.2767772813704</v>
      </c>
      <c r="P39" s="279">
        <f>FISCinyear!IS588</f>
        <v>2611.6378944459902</v>
      </c>
      <c r="Q39" s="279" t="e">
        <f>FISCinyear!IT588</f>
        <v>#REF!</v>
      </c>
      <c r="R39" s="279" t="e">
        <f>FISCinyear!IU588</f>
        <v>#REF!</v>
      </c>
      <c r="S39" s="279">
        <f>FISCinyear!IV588</f>
        <v>3253.1281054531019</v>
      </c>
      <c r="T39" s="279">
        <f>FISCinyear!IY588</f>
        <v>3110.264227358336</v>
      </c>
      <c r="U39" s="1015"/>
      <c r="V39" s="1015"/>
      <c r="W39" s="1015"/>
      <c r="X39" s="1015"/>
    </row>
    <row r="40" spans="1:24" ht="15.3">
      <c r="A40" s="328"/>
      <c r="B40" s="279"/>
      <c r="C40" s="279">
        <f>FISCinyear!IF589</f>
        <v>0</v>
      </c>
      <c r="D40" s="279">
        <f>FISCinyear!IH589</f>
        <v>0</v>
      </c>
      <c r="E40" s="1019">
        <f t="shared" si="0"/>
        <v>0</v>
      </c>
      <c r="F40" s="279">
        <f>FISCinyear!II589</f>
        <v>0</v>
      </c>
      <c r="G40" s="279">
        <f>FISCinyear!IK589</f>
        <v>0</v>
      </c>
      <c r="H40" s="1019">
        <f t="shared" si="1"/>
        <v>0</v>
      </c>
      <c r="I40" s="279">
        <f>FISCinyear!IL589</f>
        <v>0</v>
      </c>
      <c r="J40" s="279">
        <f>FISCinyear!IN589</f>
        <v>0</v>
      </c>
      <c r="K40" s="1019">
        <f t="shared" si="2"/>
        <v>0</v>
      </c>
      <c r="L40" s="279">
        <f>FISCinyear!IO589</f>
        <v>0</v>
      </c>
      <c r="M40" s="279" t="str">
        <f>FISCinyear!IP589</f>
        <v/>
      </c>
      <c r="N40" s="279">
        <f>FISCinyear!IQ589</f>
        <v>0</v>
      </c>
      <c r="O40" s="279">
        <f>FISCinyear!IR589</f>
        <v>0</v>
      </c>
      <c r="P40" s="279">
        <f>FISCinyear!IS589</f>
        <v>0</v>
      </c>
      <c r="Q40" s="279">
        <f>FISCinyear!IT589</f>
        <v>0</v>
      </c>
      <c r="R40" s="279">
        <f>FISCinyear!IU589</f>
        <v>0</v>
      </c>
      <c r="S40" s="279">
        <f>FISCinyear!IV589</f>
        <v>0</v>
      </c>
      <c r="T40" s="279">
        <f>FISCinyear!IY589</f>
        <v>0</v>
      </c>
      <c r="U40" s="1015"/>
      <c r="V40" s="1015"/>
      <c r="W40" s="1015"/>
      <c r="X40" s="1015"/>
    </row>
    <row r="41" spans="1:24" ht="15.3">
      <c r="A41" s="322" t="s">
        <v>131</v>
      </c>
      <c r="B41" s="279"/>
      <c r="C41" s="279">
        <f>FISCinyear!IF590</f>
        <v>439.10343693028676</v>
      </c>
      <c r="D41" s="279">
        <f>FISCinyear!IH590</f>
        <v>472.03372005385575</v>
      </c>
      <c r="E41" s="1019">
        <f t="shared" si="0"/>
        <v>911.13715698414251</v>
      </c>
      <c r="F41" s="279">
        <f>FISCinyear!II590</f>
        <v>464.93958167164061</v>
      </c>
      <c r="G41" s="279">
        <f>FISCinyear!IK590</f>
        <v>550.42291397097392</v>
      </c>
      <c r="H41" s="1019">
        <f t="shared" si="1"/>
        <v>1015.3624956426145</v>
      </c>
      <c r="I41" s="279">
        <f>FISCinyear!IL590</f>
        <v>584.60464433511333</v>
      </c>
      <c r="J41" s="279">
        <f>FISCinyear!IN590</f>
        <v>595.93787275805084</v>
      </c>
      <c r="K41" s="1019">
        <f t="shared" si="2"/>
        <v>1180.5425170931642</v>
      </c>
      <c r="L41" s="279">
        <f>FISCinyear!IO590</f>
        <v>581.33939151983975</v>
      </c>
      <c r="M41" s="279">
        <f>FISCinyear!IP590</f>
        <v>1177.2772642778905</v>
      </c>
      <c r="N41" s="279">
        <f>FISCinyear!IQ590</f>
        <v>674.03108442477037</v>
      </c>
      <c r="O41" s="279">
        <f>FISCinyear!IR590</f>
        <v>669.5740068294383</v>
      </c>
      <c r="P41" s="279">
        <f>FISCinyear!IS590</f>
        <v>1343.6050912542087</v>
      </c>
      <c r="Q41" s="279" t="e">
        <f>FISCinyear!IT590</f>
        <v>#REF!</v>
      </c>
      <c r="R41" s="279" t="e">
        <f>FISCinyear!IU590</f>
        <v>#REF!</v>
      </c>
      <c r="S41" s="279">
        <f>FISCinyear!IV590</f>
        <v>1558.3598845633098</v>
      </c>
      <c r="T41" s="279">
        <f>FISCinyear!IY590</f>
        <v>1670.0482916625929</v>
      </c>
      <c r="U41" s="1015"/>
      <c r="V41" s="1015"/>
      <c r="W41" s="1015"/>
      <c r="X41" s="1015"/>
    </row>
    <row r="42" spans="1:24" ht="15.3">
      <c r="A42" s="322" t="s">
        <v>80</v>
      </c>
      <c r="B42" s="279"/>
      <c r="C42" s="279">
        <f>FISCinyear!IF591</f>
        <v>101.979762897</v>
      </c>
      <c r="D42" s="279">
        <f>FISCinyear!IH591</f>
        <v>115.310157242</v>
      </c>
      <c r="E42" s="1019">
        <f t="shared" si="0"/>
        <v>217.289920139</v>
      </c>
      <c r="F42" s="279">
        <f>FISCinyear!II591</f>
        <v>127.02507995000001</v>
      </c>
      <c r="G42" s="279">
        <f>FISCinyear!IK591</f>
        <v>148.08520156700001</v>
      </c>
      <c r="H42" s="1019">
        <f t="shared" si="1"/>
        <v>275.11028151700003</v>
      </c>
      <c r="I42" s="279">
        <f>FISCinyear!IL591</f>
        <v>170.00650897999998</v>
      </c>
      <c r="J42" s="279">
        <f>FISCinyear!IN591</f>
        <v>159.05800048399999</v>
      </c>
      <c r="K42" s="1019">
        <f t="shared" si="2"/>
        <v>329.06450946399997</v>
      </c>
      <c r="L42" s="279">
        <f>FISCinyear!IO591</f>
        <v>165.23246653500001</v>
      </c>
      <c r="M42" s="279">
        <f>FISCinyear!IP591</f>
        <v>324.290467019</v>
      </c>
      <c r="N42" s="279">
        <f>FISCinyear!IQ591</f>
        <v>168.584875907</v>
      </c>
      <c r="O42" s="279">
        <f>FISCinyear!IR591</f>
        <v>197.566388545</v>
      </c>
      <c r="P42" s="279">
        <f>FISCinyear!IS591</f>
        <v>366.15126445199996</v>
      </c>
      <c r="Q42" s="279" t="e">
        <f>FISCinyear!IT591</f>
        <v>#REF!</v>
      </c>
      <c r="R42" s="279" t="e">
        <f>FISCinyear!IU591</f>
        <v>#REF!</v>
      </c>
      <c r="S42" s="279">
        <f>FISCinyear!IV591</f>
        <v>423.32212288353531</v>
      </c>
      <c r="T42" s="279">
        <f>FISCinyear!IY591</f>
        <v>491.54640949593744</v>
      </c>
      <c r="U42" s="1015"/>
      <c r="V42" s="1015"/>
      <c r="W42" s="1015"/>
      <c r="X42" s="1015"/>
    </row>
    <row r="43" spans="1:24" ht="15.3">
      <c r="A43" s="328" t="s">
        <v>132</v>
      </c>
      <c r="B43" s="279"/>
      <c r="C43" s="279">
        <f>FISCinyear!IF592</f>
        <v>80.043997231999995</v>
      </c>
      <c r="D43" s="279">
        <f>FISCinyear!IH592</f>
        <v>0</v>
      </c>
      <c r="E43" s="1019">
        <f t="shared" si="0"/>
        <v>80.043997231999995</v>
      </c>
      <c r="F43" s="279">
        <f>FISCinyear!II592</f>
        <v>0</v>
      </c>
      <c r="G43" s="279">
        <f>FISCinyear!IK592</f>
        <v>0</v>
      </c>
      <c r="H43" s="1019">
        <f t="shared" si="1"/>
        <v>0</v>
      </c>
      <c r="I43" s="279">
        <f>FISCinyear!IL592</f>
        <v>0</v>
      </c>
      <c r="J43" s="279">
        <f>FISCinyear!IN592</f>
        <v>0</v>
      </c>
      <c r="K43" s="1019">
        <f t="shared" si="2"/>
        <v>0</v>
      </c>
      <c r="L43" s="279">
        <f>FISCinyear!IO592</f>
        <v>0</v>
      </c>
      <c r="M43" s="279">
        <f>FISCinyear!IP592</f>
        <v>0</v>
      </c>
      <c r="N43" s="279">
        <f>FISCinyear!IQ592</f>
        <v>0</v>
      </c>
      <c r="O43" s="279">
        <f>FISCinyear!IR592</f>
        <v>0</v>
      </c>
      <c r="P43" s="279">
        <f>FISCinyear!IS592</f>
        <v>0</v>
      </c>
      <c r="Q43" s="279">
        <f>FISCinyear!IT592</f>
        <v>0</v>
      </c>
      <c r="R43" s="279">
        <f>FISCinyear!IU592</f>
        <v>0</v>
      </c>
      <c r="S43" s="279">
        <f>FISCinyear!IV592</f>
        <v>0</v>
      </c>
      <c r="T43" s="279">
        <f>FISCinyear!IY592</f>
        <v>0</v>
      </c>
      <c r="U43" s="1015"/>
      <c r="V43" s="1015"/>
      <c r="W43" s="1015"/>
      <c r="X43" s="1015"/>
    </row>
    <row r="44" spans="1:24" ht="15.3">
      <c r="A44" s="328" t="s">
        <v>118</v>
      </c>
      <c r="B44" s="279"/>
      <c r="C44" s="279">
        <f>FISCinyear!IF593</f>
        <v>0</v>
      </c>
      <c r="D44" s="279">
        <f>FISCinyear!IH593</f>
        <v>0</v>
      </c>
      <c r="E44" s="1019">
        <f t="shared" si="0"/>
        <v>0</v>
      </c>
      <c r="F44" s="279">
        <f>FISCinyear!II593</f>
        <v>0</v>
      </c>
      <c r="G44" s="279">
        <f>FISCinyear!IK593</f>
        <v>0</v>
      </c>
      <c r="H44" s="1019">
        <f t="shared" si="1"/>
        <v>0</v>
      </c>
      <c r="I44" s="279">
        <f>FISCinyear!IL593</f>
        <v>0</v>
      </c>
      <c r="J44" s="279">
        <f>FISCinyear!IN593</f>
        <v>0</v>
      </c>
      <c r="K44" s="1019">
        <f t="shared" si="2"/>
        <v>0</v>
      </c>
      <c r="L44" s="279">
        <f>FISCinyear!IO593</f>
        <v>0</v>
      </c>
      <c r="M44" s="279">
        <f>FISCinyear!IP593</f>
        <v>0</v>
      </c>
      <c r="N44" s="279">
        <f>FISCinyear!IQ593</f>
        <v>0</v>
      </c>
      <c r="O44" s="279">
        <f>FISCinyear!IR593</f>
        <v>0</v>
      </c>
      <c r="P44" s="279">
        <f>FISCinyear!IS593</f>
        <v>0</v>
      </c>
      <c r="Q44" s="279">
        <f>FISCinyear!IT593</f>
        <v>0</v>
      </c>
      <c r="R44" s="279">
        <f>FISCinyear!IU593</f>
        <v>0</v>
      </c>
      <c r="S44" s="279">
        <f>FISCinyear!IV593</f>
        <v>0</v>
      </c>
      <c r="T44" s="279">
        <f>FISCinyear!IY593</f>
        <v>0</v>
      </c>
      <c r="U44" s="1015"/>
      <c r="V44" s="1015"/>
      <c r="W44" s="1015"/>
      <c r="X44" s="1015"/>
    </row>
    <row r="45" spans="1:24" ht="15.3">
      <c r="A45" s="328" t="s">
        <v>133</v>
      </c>
      <c r="B45" s="279"/>
      <c r="C45" s="279">
        <f>FISCinyear!IF594</f>
        <v>21.935765665000002</v>
      </c>
      <c r="D45" s="279">
        <f>FISCinyear!IH594</f>
        <v>0</v>
      </c>
      <c r="E45" s="1019">
        <f t="shared" si="0"/>
        <v>21.935765665000002</v>
      </c>
      <c r="F45" s="279">
        <f>FISCinyear!II594</f>
        <v>0</v>
      </c>
      <c r="G45" s="279">
        <f>FISCinyear!IK594</f>
        <v>0</v>
      </c>
      <c r="H45" s="1019">
        <f t="shared" si="1"/>
        <v>0</v>
      </c>
      <c r="I45" s="279">
        <f>FISCinyear!IL594</f>
        <v>0</v>
      </c>
      <c r="J45" s="279">
        <f>FISCinyear!IN594</f>
        <v>0</v>
      </c>
      <c r="K45" s="1019">
        <f t="shared" si="2"/>
        <v>0</v>
      </c>
      <c r="L45" s="279">
        <f>FISCinyear!IO594</f>
        <v>0</v>
      </c>
      <c r="M45" s="279">
        <f>FISCinyear!IP594</f>
        <v>0</v>
      </c>
      <c r="N45" s="279">
        <f>FISCinyear!IQ594</f>
        <v>0</v>
      </c>
      <c r="O45" s="279">
        <f>FISCinyear!IR594</f>
        <v>0</v>
      </c>
      <c r="P45" s="279">
        <f>FISCinyear!IS594</f>
        <v>0</v>
      </c>
      <c r="Q45" s="279">
        <f>FISCinyear!IT594</f>
        <v>0</v>
      </c>
      <c r="R45" s="279">
        <f>FISCinyear!IU594</f>
        <v>0</v>
      </c>
      <c r="S45" s="279">
        <f>FISCinyear!IV594</f>
        <v>0</v>
      </c>
      <c r="T45" s="279">
        <f>FISCinyear!IY594</f>
        <v>0</v>
      </c>
      <c r="U45" s="1015"/>
      <c r="V45" s="1015"/>
      <c r="W45" s="1015"/>
      <c r="X45" s="1015"/>
    </row>
    <row r="46" spans="1:24" ht="15.3">
      <c r="A46" s="322" t="s">
        <v>81</v>
      </c>
      <c r="B46" s="279"/>
      <c r="C46" s="279">
        <f>FISCinyear!IF595</f>
        <v>89.678631566000007</v>
      </c>
      <c r="D46" s="279">
        <f>FISCinyear!IH595</f>
        <v>99.698833081000004</v>
      </c>
      <c r="E46" s="1019">
        <f t="shared" si="0"/>
        <v>189.37746464700001</v>
      </c>
      <c r="F46" s="279">
        <f>FISCinyear!II595</f>
        <v>80.922579729000006</v>
      </c>
      <c r="G46" s="279">
        <f>FISCinyear!IK595</f>
        <v>99.173237982000003</v>
      </c>
      <c r="H46" s="1019">
        <f t="shared" si="1"/>
        <v>180.095817711</v>
      </c>
      <c r="I46" s="279">
        <f>FISCinyear!IL595</f>
        <v>119.978635123</v>
      </c>
      <c r="J46" s="279">
        <f>FISCinyear!IN595</f>
        <v>117.74994841900001</v>
      </c>
      <c r="K46" s="1019">
        <f t="shared" si="2"/>
        <v>237.72858354200002</v>
      </c>
      <c r="L46" s="279">
        <f>FISCinyear!IO595</f>
        <v>98.530712982999987</v>
      </c>
      <c r="M46" s="279">
        <f>FISCinyear!IP595</f>
        <v>216.28066140199999</v>
      </c>
      <c r="N46" s="279">
        <f>FISCinyear!IQ595</f>
        <v>118.2681582</v>
      </c>
      <c r="O46" s="279">
        <f>FISCinyear!IR595</f>
        <v>111.58402615999999</v>
      </c>
      <c r="P46" s="279">
        <f>FISCinyear!IS595</f>
        <v>229.85218436</v>
      </c>
      <c r="Q46" s="279" t="e">
        <f>FISCinyear!IT595</f>
        <v>#REF!</v>
      </c>
      <c r="R46" s="279" t="e">
        <f>FISCinyear!IU595</f>
        <v>#REF!</v>
      </c>
      <c r="S46" s="279">
        <f>FISCinyear!IV595</f>
        <v>328.54582443162445</v>
      </c>
      <c r="T46" s="279">
        <f>FISCinyear!IY595</f>
        <v>343.14254236569695</v>
      </c>
      <c r="U46" s="1015"/>
      <c r="V46" s="1015"/>
      <c r="W46" s="1015"/>
      <c r="X46" s="1015"/>
    </row>
    <row r="47" spans="1:24" ht="15.3">
      <c r="A47" s="328" t="s">
        <v>132</v>
      </c>
      <c r="B47" s="279"/>
      <c r="C47" s="279">
        <f>FISCinyear!IF596</f>
        <v>80.124246360000001</v>
      </c>
      <c r="D47" s="279">
        <f>FISCinyear!IH596</f>
        <v>0</v>
      </c>
      <c r="E47" s="1019">
        <f t="shared" si="0"/>
        <v>80.124246360000001</v>
      </c>
      <c r="F47" s="279">
        <f>FISCinyear!II596</f>
        <v>0</v>
      </c>
      <c r="G47" s="279">
        <f>FISCinyear!IK596</f>
        <v>0</v>
      </c>
      <c r="H47" s="1019">
        <f t="shared" si="1"/>
        <v>0</v>
      </c>
      <c r="I47" s="279">
        <f>FISCinyear!IL596</f>
        <v>0</v>
      </c>
      <c r="J47" s="279">
        <f>FISCinyear!IN596</f>
        <v>0</v>
      </c>
      <c r="K47" s="1019">
        <f t="shared" si="2"/>
        <v>0</v>
      </c>
      <c r="L47" s="279">
        <f>FISCinyear!IO596</f>
        <v>0</v>
      </c>
      <c r="M47" s="279">
        <f>FISCinyear!IP596</f>
        <v>0</v>
      </c>
      <c r="N47" s="279">
        <f>FISCinyear!IQ596</f>
        <v>0</v>
      </c>
      <c r="O47" s="279">
        <f>FISCinyear!IR596</f>
        <v>0</v>
      </c>
      <c r="P47" s="279">
        <f>FISCinyear!IS596</f>
        <v>0</v>
      </c>
      <c r="Q47" s="279">
        <f>FISCinyear!IT596</f>
        <v>0</v>
      </c>
      <c r="R47" s="279">
        <f>FISCinyear!IU596</f>
        <v>0</v>
      </c>
      <c r="S47" s="279">
        <f>FISCinyear!IV596</f>
        <v>0</v>
      </c>
      <c r="T47" s="279">
        <f>FISCinyear!IY596</f>
        <v>0</v>
      </c>
      <c r="U47" s="1015"/>
      <c r="V47" s="1015"/>
      <c r="W47" s="1015"/>
      <c r="X47" s="1015"/>
    </row>
    <row r="48" spans="1:24" ht="15.3">
      <c r="A48" s="328" t="s">
        <v>870</v>
      </c>
      <c r="B48" s="279"/>
      <c r="C48" s="279">
        <f>FISCinyear!IF597</f>
        <v>0</v>
      </c>
      <c r="D48" s="279">
        <f>FISCinyear!IH597</f>
        <v>0</v>
      </c>
      <c r="E48" s="1019">
        <f t="shared" si="0"/>
        <v>0</v>
      </c>
      <c r="F48" s="279">
        <f>FISCinyear!II597</f>
        <v>0</v>
      </c>
      <c r="G48" s="279">
        <f>FISCinyear!IK597</f>
        <v>22.827138431000002</v>
      </c>
      <c r="H48" s="1019">
        <f t="shared" si="1"/>
        <v>22.827138431000002</v>
      </c>
      <c r="I48" s="279">
        <f>FISCinyear!IL597</f>
        <v>21.740352604999998</v>
      </c>
      <c r="J48" s="279">
        <f>FISCinyear!IN597</f>
        <v>23.758723343</v>
      </c>
      <c r="K48" s="1019">
        <f t="shared" si="2"/>
        <v>45.499075947999998</v>
      </c>
      <c r="L48" s="279">
        <f>FISCinyear!IO597</f>
        <v>23.758723343</v>
      </c>
      <c r="M48" s="279">
        <f>FISCinyear!IP597</f>
        <v>47.517446686</v>
      </c>
      <c r="N48" s="279">
        <f>FISCinyear!IQ597</f>
        <v>0</v>
      </c>
      <c r="O48" s="279">
        <f>FISCinyear!IR597</f>
        <v>0</v>
      </c>
      <c r="P48" s="279">
        <f>FISCinyear!IS597</f>
        <v>0</v>
      </c>
      <c r="Q48" s="279">
        <f>FISCinyear!IT597</f>
        <v>28.860089286000001</v>
      </c>
      <c r="R48" s="279">
        <f>FISCinyear!IU597</f>
        <v>122.91192620705553</v>
      </c>
      <c r="S48" s="279">
        <f>FISCinyear!IV599</f>
        <v>151.77201549305553</v>
      </c>
      <c r="T48" s="279">
        <f>FISCinyear!IY597</f>
        <v>7.4542889289999996</v>
      </c>
      <c r="U48" s="1015"/>
      <c r="V48" s="1015"/>
      <c r="W48" s="1015"/>
      <c r="X48" s="1015"/>
    </row>
    <row r="49" spans="1:24" ht="15.3">
      <c r="A49" s="328" t="s">
        <v>133</v>
      </c>
      <c r="B49" s="279"/>
      <c r="C49" s="279">
        <f>FISCinyear!IF598</f>
        <v>9.5543852059999992</v>
      </c>
      <c r="D49" s="279">
        <f>FISCinyear!IH598</f>
        <v>0</v>
      </c>
      <c r="E49" s="1019">
        <f t="shared" si="0"/>
        <v>9.5543852059999992</v>
      </c>
      <c r="F49" s="279">
        <f>FISCinyear!II598</f>
        <v>0</v>
      </c>
      <c r="G49" s="279">
        <f>FISCinyear!IK598</f>
        <v>0</v>
      </c>
      <c r="H49" s="1019">
        <f t="shared" si="1"/>
        <v>0</v>
      </c>
      <c r="I49" s="279">
        <f>FISCinyear!IL598</f>
        <v>0</v>
      </c>
      <c r="J49" s="279">
        <f>FISCinyear!IN598</f>
        <v>0</v>
      </c>
      <c r="K49" s="1019">
        <f t="shared" si="2"/>
        <v>0</v>
      </c>
      <c r="L49" s="279">
        <f>FISCinyear!IO598</f>
        <v>0</v>
      </c>
      <c r="M49" s="279">
        <f>FISCinyear!IP598</f>
        <v>0</v>
      </c>
      <c r="N49" s="279">
        <f>FISCinyear!IQ598</f>
        <v>0</v>
      </c>
      <c r="O49" s="279">
        <f>FISCinyear!IR598</f>
        <v>0</v>
      </c>
      <c r="P49" s="279">
        <f>FISCinyear!IS598</f>
        <v>0</v>
      </c>
      <c r="Q49" s="279">
        <f>FISCinyear!IT598</f>
        <v>0</v>
      </c>
      <c r="R49" s="279">
        <f>FISCinyear!IU598</f>
        <v>0</v>
      </c>
      <c r="S49" s="279">
        <f>FISCinyear!IV598</f>
        <v>0</v>
      </c>
      <c r="T49" s="279">
        <f>FISCinyear!IY598</f>
        <v>0</v>
      </c>
      <c r="U49" s="1015"/>
      <c r="V49" s="1015"/>
      <c r="W49" s="1015"/>
      <c r="X49" s="1015"/>
    </row>
    <row r="50" spans="1:24" ht="15.3">
      <c r="A50" s="322" t="s">
        <v>134</v>
      </c>
      <c r="B50" s="279"/>
      <c r="C50" s="279">
        <f>FISCinyear!IF599</f>
        <v>23.930412384286768</v>
      </c>
      <c r="D50" s="279">
        <f>FISCinyear!IH599</f>
        <v>27.615432299855804</v>
      </c>
      <c r="E50" s="1019">
        <f t="shared" si="0"/>
        <v>51.545844684142573</v>
      </c>
      <c r="F50" s="279">
        <f>FISCinyear!II599</f>
        <v>29.083181159640599</v>
      </c>
      <c r="G50" s="279">
        <f>FISCinyear!IK599</f>
        <v>37.612929563973886</v>
      </c>
      <c r="H50" s="1019">
        <f t="shared" si="1"/>
        <v>66.696110723614481</v>
      </c>
      <c r="I50" s="279">
        <f>FISCinyear!IL599</f>
        <v>39.913746888293439</v>
      </c>
      <c r="J50" s="279">
        <f>FISCinyear!IN599</f>
        <v>44.516631755050831</v>
      </c>
      <c r="K50" s="1019">
        <f t="shared" si="2"/>
        <v>84.43037864334427</v>
      </c>
      <c r="L50" s="279">
        <f>FISCinyear!IO599</f>
        <v>47.06195089699979</v>
      </c>
      <c r="M50" s="279">
        <f>FISCinyear!IP599</f>
        <v>91.578582652050613</v>
      </c>
      <c r="N50" s="279">
        <f>FISCinyear!IQ599</f>
        <v>50.546341172770411</v>
      </c>
      <c r="O50" s="279">
        <f>FISCinyear!IR599</f>
        <v>52.125126474438318</v>
      </c>
      <c r="P50" s="279">
        <f>FISCinyear!IS599</f>
        <v>102.67146764720873</v>
      </c>
      <c r="Q50" s="279" t="e">
        <f>FISCinyear!IT599</f>
        <v>#REF!</v>
      </c>
      <c r="R50" s="279" t="e">
        <f>FISCinyear!IU599</f>
        <v>#REF!</v>
      </c>
      <c r="S50" s="279" t="e">
        <f>FISCinyear!#REF!</f>
        <v>#REF!</v>
      </c>
      <c r="T50" s="279">
        <f>FISCinyear!IY599</f>
        <v>193.28431160236877</v>
      </c>
      <c r="U50" s="1015"/>
      <c r="V50" s="1015"/>
      <c r="W50" s="1015"/>
      <c r="X50" s="1015"/>
    </row>
    <row r="51" spans="1:24" ht="15.3">
      <c r="A51" s="328" t="s">
        <v>135</v>
      </c>
      <c r="B51" s="279"/>
      <c r="C51" s="279">
        <f>FISCinyear!IF600</f>
        <v>9.9275457670000264</v>
      </c>
      <c r="D51" s="279">
        <f>FISCinyear!IH600</f>
        <v>12.457215488831801</v>
      </c>
      <c r="E51" s="1019">
        <f t="shared" si="0"/>
        <v>22.384761255831826</v>
      </c>
      <c r="F51" s="279">
        <f>FISCinyear!II600</f>
        <v>12.894158406045348</v>
      </c>
      <c r="G51" s="279">
        <f>FISCinyear!IK600</f>
        <v>19.121185225920648</v>
      </c>
      <c r="H51" s="1019">
        <f t="shared" si="1"/>
        <v>32.015343631965997</v>
      </c>
      <c r="I51" s="279">
        <f>FISCinyear!IL600</f>
        <v>21.46687182315102</v>
      </c>
      <c r="J51" s="279">
        <f>FISCinyear!IN600</f>
        <v>23.655134132000001</v>
      </c>
      <c r="K51" s="1019">
        <f t="shared" si="2"/>
        <v>45.122005955151025</v>
      </c>
      <c r="L51" s="279">
        <f>FISCinyear!IO600</f>
        <v>25.244878396000004</v>
      </c>
      <c r="M51" s="279">
        <f>FISCinyear!IP600</f>
        <v>48.900012528000005</v>
      </c>
      <c r="N51" s="279">
        <f>FISCinyear!IQ600</f>
        <v>27.4615443832732</v>
      </c>
      <c r="O51" s="279">
        <f>FISCinyear!IR600</f>
        <v>27.321706551000005</v>
      </c>
      <c r="P51" s="279">
        <f>FISCinyear!IS600</f>
        <v>54.783250934273205</v>
      </c>
      <c r="Q51" s="279" t="e">
        <f>FISCinyear!IT600</f>
        <v>#REF!</v>
      </c>
      <c r="R51" s="279" t="e">
        <f>FISCinyear!IU600</f>
        <v>#REF!</v>
      </c>
      <c r="S51" s="279">
        <f>FISCinyear!IV600</f>
        <v>101.443059386</v>
      </c>
      <c r="T51" s="279">
        <f>FISCinyear!IY600</f>
        <v>133.94411085620101</v>
      </c>
      <c r="U51" s="1015"/>
      <c r="V51" s="1015"/>
      <c r="W51" s="1015"/>
      <c r="X51" s="1015"/>
    </row>
    <row r="52" spans="1:24" ht="15.3">
      <c r="A52" s="328" t="s">
        <v>136</v>
      </c>
      <c r="B52" s="279"/>
      <c r="C52" s="279">
        <f>FISCinyear!IF601</f>
        <v>3.9838751559999999</v>
      </c>
      <c r="D52" s="279">
        <f>FISCinyear!IH601</f>
        <v>0</v>
      </c>
      <c r="E52" s="1019">
        <f t="shared" si="0"/>
        <v>3.9838751559999999</v>
      </c>
      <c r="F52" s="279">
        <f>FISCinyear!II601</f>
        <v>0</v>
      </c>
      <c r="G52" s="279">
        <f>FISCinyear!IK601</f>
        <v>8.619449326364979</v>
      </c>
      <c r="H52" s="1019">
        <f t="shared" si="1"/>
        <v>8.619449326364979</v>
      </c>
      <c r="I52" s="279">
        <f>FISCinyear!IL601</f>
        <v>10.558510729533818</v>
      </c>
      <c r="J52" s="279">
        <f>FISCinyear!IN601</f>
        <v>0</v>
      </c>
      <c r="K52" s="1019">
        <f t="shared" si="2"/>
        <v>10.558510729533818</v>
      </c>
      <c r="L52" s="279">
        <f>FISCinyear!IO601</f>
        <v>0</v>
      </c>
      <c r="M52" s="279">
        <f>FISCinyear!IP601</f>
        <v>0</v>
      </c>
      <c r="N52" s="279">
        <f>FISCinyear!IQ601</f>
        <v>12.0125531842732</v>
      </c>
      <c r="O52" s="279">
        <f>FISCinyear!IR601</f>
        <v>0</v>
      </c>
      <c r="P52" s="279">
        <f>FISCinyear!IS601</f>
        <v>12.0125531842732</v>
      </c>
      <c r="Q52" s="279">
        <f>FISCinyear!IT601</f>
        <v>0</v>
      </c>
      <c r="R52" s="279">
        <f>FISCinyear!IU601</f>
        <v>0</v>
      </c>
      <c r="S52" s="279">
        <f>FISCinyear!IV601</f>
        <v>0</v>
      </c>
      <c r="T52" s="279">
        <f>FISCinyear!IY601</f>
        <v>0</v>
      </c>
      <c r="U52" s="1015"/>
      <c r="V52" s="1015"/>
      <c r="W52" s="1015"/>
      <c r="X52" s="1015"/>
    </row>
    <row r="53" spans="1:24" ht="15.3">
      <c r="A53" s="328" t="s">
        <v>137</v>
      </c>
      <c r="B53" s="279"/>
      <c r="C53" s="279">
        <f>FISCinyear!IF603</f>
        <v>14.002866617286744</v>
      </c>
      <c r="D53" s="279">
        <f>FISCinyear!IH603</f>
        <v>15.158216811024001</v>
      </c>
      <c r="E53" s="1019">
        <f t="shared" si="0"/>
        <v>29.161083428310747</v>
      </c>
      <c r="F53" s="279">
        <f>FISCinyear!II603</f>
        <v>16.189022753595253</v>
      </c>
      <c r="G53" s="279">
        <f>FISCinyear!IK603</f>
        <v>18.491744338053238</v>
      </c>
      <c r="H53" s="1019">
        <f t="shared" si="1"/>
        <v>34.680767091648491</v>
      </c>
      <c r="I53" s="279">
        <f>FISCinyear!IL603</f>
        <v>18.446875065142414</v>
      </c>
      <c r="J53" s="279">
        <f>FISCinyear!IN603</f>
        <v>20.86149762305083</v>
      </c>
      <c r="K53" s="1019">
        <f t="shared" si="2"/>
        <v>39.308372688193245</v>
      </c>
      <c r="L53" s="279">
        <f>FISCinyear!IO603</f>
        <v>21.817072500999785</v>
      </c>
      <c r="M53" s="279">
        <f>FISCinyear!IP603</f>
        <v>42.678570124050616</v>
      </c>
      <c r="N53" s="279">
        <f>FISCinyear!IQ603</f>
        <v>23.084796789497211</v>
      </c>
      <c r="O53" s="279">
        <f>FISCinyear!IR603</f>
        <v>24.803419923438312</v>
      </c>
      <c r="P53" s="279">
        <f>FISCinyear!IS603</f>
        <v>47.888216712935524</v>
      </c>
      <c r="Q53" s="279">
        <f>FISCinyear!IT603</f>
        <v>28.439409572287801</v>
      </c>
      <c r="R53" s="279">
        <f>FISCinyear!IU603</f>
        <v>21.889546534767732</v>
      </c>
      <c r="S53" s="279">
        <f>FISCinyear!IV603</f>
        <v>50.328956107055532</v>
      </c>
      <c r="T53" s="279">
        <f>FISCinyear!IY603</f>
        <v>59.340200746167774</v>
      </c>
      <c r="U53" s="1015"/>
      <c r="V53" s="1015"/>
      <c r="W53" s="1015"/>
      <c r="X53" s="1015"/>
    </row>
    <row r="54" spans="1:24" ht="15.3">
      <c r="A54" s="328" t="s">
        <v>138</v>
      </c>
      <c r="B54" s="279"/>
      <c r="C54" s="279">
        <f>FISCinyear!IF605</f>
        <v>9.5079388690000002</v>
      </c>
      <c r="D54" s="279">
        <f>FISCinyear!IH605</f>
        <v>9.8369785430000007</v>
      </c>
      <c r="E54" s="1019">
        <f t="shared" si="0"/>
        <v>19.344917412000001</v>
      </c>
      <c r="F54" s="279">
        <f>FISCinyear!II605</f>
        <v>10.3495371315</v>
      </c>
      <c r="G54" s="279">
        <f>FISCinyear!IK605</f>
        <v>10.886030837250001</v>
      </c>
      <c r="H54" s="1019">
        <f t="shared" si="1"/>
        <v>21.235567968750001</v>
      </c>
      <c r="I54" s="279">
        <f>FISCinyear!IL605</f>
        <v>11.069082250499999</v>
      </c>
      <c r="J54" s="279">
        <f>FISCinyear!IN605</f>
        <v>11.340783961374999</v>
      </c>
      <c r="K54" s="1019">
        <f t="shared" si="2"/>
        <v>22.409866211874998</v>
      </c>
      <c r="L54" s="279">
        <f>FISCinyear!IO605</f>
        <v>11.340783961374999</v>
      </c>
      <c r="M54" s="279">
        <f>FISCinyear!IP605</f>
        <v>22.681567922749998</v>
      </c>
      <c r="N54" s="279">
        <f>FISCinyear!IQ605</f>
        <v>11.684674574000001</v>
      </c>
      <c r="O54" s="279">
        <f>FISCinyear!IR605</f>
        <v>11.93172017475</v>
      </c>
      <c r="P54" s="279">
        <f>FISCinyear!IS605</f>
        <v>23.61639474875</v>
      </c>
      <c r="Q54" s="279">
        <f>FISCinyear!IT605</f>
        <v>12.217051440851874</v>
      </c>
      <c r="R54" s="279">
        <f>FISCinyear!IU605</f>
        <v>12.217051440851874</v>
      </c>
      <c r="S54" s="279">
        <f>FISCinyear!IV605</f>
        <v>24.434102881703748</v>
      </c>
      <c r="T54" s="279">
        <f>FISCinyear!IY605</f>
        <v>25.559190299819164</v>
      </c>
      <c r="U54" s="1015"/>
      <c r="V54" s="1015"/>
      <c r="W54" s="1015"/>
      <c r="X54" s="1015"/>
    </row>
    <row r="55" spans="1:24" ht="15.3">
      <c r="A55" s="322" t="s">
        <v>82</v>
      </c>
      <c r="B55" s="279"/>
      <c r="C55" s="279">
        <f>FISCinyear!IF606</f>
        <v>124.400827376</v>
      </c>
      <c r="D55" s="279">
        <f>FISCinyear!IH606</f>
        <v>152.41116988399997</v>
      </c>
      <c r="E55" s="1019">
        <f t="shared" si="0"/>
        <v>276.81199726</v>
      </c>
      <c r="F55" s="279">
        <f>FISCinyear!II606</f>
        <v>145.694881756</v>
      </c>
      <c r="G55" s="279">
        <f>FISCinyear!IK606</f>
        <v>162.17288795099998</v>
      </c>
      <c r="H55" s="1019">
        <f t="shared" si="1"/>
        <v>307.86776970699998</v>
      </c>
      <c r="I55" s="279">
        <f>FISCinyear!IL606</f>
        <v>198.73052720881998</v>
      </c>
      <c r="J55" s="279">
        <f>FISCinyear!IN606</f>
        <v>169.15383799899999</v>
      </c>
      <c r="K55" s="1019">
        <f t="shared" si="2"/>
        <v>367.88436520782</v>
      </c>
      <c r="L55" s="279">
        <f>FISCinyear!IO606</f>
        <v>194.13459270083999</v>
      </c>
      <c r="M55" s="279">
        <f>FISCinyear!IP606</f>
        <v>363.28843069983998</v>
      </c>
      <c r="N55" s="279">
        <f>FISCinyear!IQ606</f>
        <v>224.661645201</v>
      </c>
      <c r="O55" s="279">
        <f>FISCinyear!IR606</f>
        <v>182.56935211899997</v>
      </c>
      <c r="P55" s="279">
        <f>FISCinyear!IS606</f>
        <v>407.23099731999997</v>
      </c>
      <c r="Q55" s="279" t="e">
        <f>FISCinyear!IT606</f>
        <v>#REF!</v>
      </c>
      <c r="R55" s="279" t="e">
        <f>FISCinyear!IU606</f>
        <v>#REF!</v>
      </c>
      <c r="S55" s="279">
        <f>FISCinyear!IV606</f>
        <v>424.35991078043662</v>
      </c>
      <c r="T55" s="279">
        <f>FISCinyear!IY606</f>
        <v>457.30460277533575</v>
      </c>
      <c r="U55" s="1015"/>
      <c r="V55" s="1015"/>
      <c r="W55" s="1015"/>
      <c r="X55" s="1015"/>
    </row>
    <row r="56" spans="1:24" ht="15.3">
      <c r="A56" s="328" t="s">
        <v>245</v>
      </c>
      <c r="B56" s="279"/>
      <c r="C56" s="279">
        <f>FISCinyear!IF607</f>
        <v>0</v>
      </c>
      <c r="D56" s="279">
        <f>FISCinyear!IH607</f>
        <v>83.235684978999984</v>
      </c>
      <c r="E56" s="1019">
        <f t="shared" si="0"/>
        <v>83.235684978999984</v>
      </c>
      <c r="F56" s="279">
        <f>FISCinyear!II607</f>
        <v>118.381901564</v>
      </c>
      <c r="G56" s="279">
        <f>FISCinyear!IK607</f>
        <v>88.278283874999971</v>
      </c>
      <c r="H56" s="1019">
        <f t="shared" si="1"/>
        <v>206.66018543899997</v>
      </c>
      <c r="I56" s="279">
        <f>FISCinyear!IL607</f>
        <v>110.03725217299998</v>
      </c>
      <c r="J56" s="279">
        <f>FISCinyear!IN607</f>
        <v>83.754696786873268</v>
      </c>
      <c r="K56" s="1019">
        <f t="shared" si="2"/>
        <v>193.79194895987325</v>
      </c>
      <c r="L56" s="279">
        <f>FISCinyear!IO607</f>
        <v>108.73545148871327</v>
      </c>
      <c r="M56" s="279">
        <f>FISCinyear!IP607</f>
        <v>192.49014827558653</v>
      </c>
      <c r="N56" s="279">
        <f>FISCinyear!IQ607</f>
        <v>0</v>
      </c>
      <c r="O56" s="279">
        <f>FISCinyear!IR607</f>
        <v>0</v>
      </c>
      <c r="P56" s="279">
        <f>FISCinyear!IS607</f>
        <v>0</v>
      </c>
      <c r="Q56" s="279" t="e">
        <f>FISCinyear!IT607</f>
        <v>#REF!</v>
      </c>
      <c r="R56" s="279" t="e">
        <f>FISCinyear!IU607</f>
        <v>#REF!</v>
      </c>
      <c r="S56" s="279">
        <f>FISCinyear!IV607</f>
        <v>210.99833405420122</v>
      </c>
      <c r="T56" s="279">
        <f>FISCinyear!IY607</f>
        <v>206.61585443223143</v>
      </c>
      <c r="U56" s="1015"/>
      <c r="V56" s="1015"/>
      <c r="W56" s="1015"/>
      <c r="X56" s="1015"/>
    </row>
    <row r="57" spans="1:24" ht="15.3">
      <c r="A57" s="328" t="s">
        <v>139</v>
      </c>
      <c r="B57" s="279"/>
      <c r="C57" s="279">
        <f>FISCinyear!IF608</f>
        <v>30.24333133759</v>
      </c>
      <c r="D57" s="279">
        <f>FISCinyear!IH608</f>
        <v>13.075484905</v>
      </c>
      <c r="E57" s="1019">
        <f t="shared" si="0"/>
        <v>43.318816242590003</v>
      </c>
      <c r="F57" s="279">
        <f>FISCinyear!II608</f>
        <v>27.312980192000005</v>
      </c>
      <c r="G57" s="279">
        <f>FISCinyear!IK608</f>
        <v>16.544604075999999</v>
      </c>
      <c r="H57" s="1019">
        <f t="shared" si="1"/>
        <v>43.857584268000004</v>
      </c>
      <c r="I57" s="279">
        <f>FISCinyear!IL608</f>
        <v>31.343275035819993</v>
      </c>
      <c r="J57" s="279">
        <f>FISCinyear!IN608</f>
        <v>26.93154313622</v>
      </c>
      <c r="K57" s="1019">
        <f t="shared" si="2"/>
        <v>58.274818172039993</v>
      </c>
      <c r="L57" s="279">
        <f>FISCinyear!IO608</f>
        <v>26.93154313622</v>
      </c>
      <c r="M57" s="279">
        <f>FISCinyear!IP608</f>
        <v>53.86308627244</v>
      </c>
      <c r="N57" s="279">
        <f>FISCinyear!IQ608</f>
        <v>22.740214139999999</v>
      </c>
      <c r="O57" s="279">
        <f>FISCinyear!IR608</f>
        <v>37.870215764000008</v>
      </c>
      <c r="P57" s="279">
        <f>FISCinyear!IS608</f>
        <v>60.610429904000007</v>
      </c>
      <c r="Q57" s="279">
        <f>FISCinyear!IT608</f>
        <v>30.358385287531753</v>
      </c>
      <c r="R57" s="279">
        <f>FISCinyear!IU608</f>
        <v>30.358385287531753</v>
      </c>
      <c r="S57" s="279">
        <f>FISCinyear!IV608</f>
        <v>60.716770575063506</v>
      </c>
      <c r="T57" s="279">
        <f>FISCinyear!IY608</f>
        <v>73.443094653384904</v>
      </c>
      <c r="U57" s="1015"/>
      <c r="V57" s="1015"/>
      <c r="W57" s="1015"/>
      <c r="X57" s="1015"/>
    </row>
    <row r="58" spans="1:24" ht="15.3">
      <c r="A58" s="328" t="s">
        <v>1113</v>
      </c>
      <c r="B58" s="279"/>
      <c r="C58" s="279">
        <f>FISCinyear!IF609</f>
        <v>0</v>
      </c>
      <c r="D58" s="279">
        <f>FISCinyear!IH609</f>
        <v>0</v>
      </c>
      <c r="E58" s="1019">
        <f t="shared" si="0"/>
        <v>0</v>
      </c>
      <c r="F58" s="279">
        <f>FISCinyear!II609</f>
        <v>0</v>
      </c>
      <c r="G58" s="279">
        <f>FISCinyear!IK609</f>
        <v>0</v>
      </c>
      <c r="H58" s="1019">
        <f t="shared" si="1"/>
        <v>0</v>
      </c>
      <c r="I58" s="279">
        <f>FISCinyear!IL609</f>
        <v>0</v>
      </c>
      <c r="J58" s="279">
        <f>FISCinyear!IN609</f>
        <v>0</v>
      </c>
      <c r="K58" s="1019">
        <f t="shared" si="2"/>
        <v>0</v>
      </c>
      <c r="L58" s="279">
        <f>FISCinyear!IO609</f>
        <v>0</v>
      </c>
      <c r="M58" s="279">
        <f>FISCinyear!IP609</f>
        <v>0</v>
      </c>
      <c r="N58" s="279">
        <f>FISCinyear!IQ609</f>
        <v>0</v>
      </c>
      <c r="O58" s="279">
        <f>FISCinyear!IR609</f>
        <v>0</v>
      </c>
      <c r="P58" s="279">
        <f>FISCinyear!IS609</f>
        <v>0</v>
      </c>
      <c r="Q58" s="279">
        <f>FISCinyear!IT609</f>
        <v>0</v>
      </c>
      <c r="R58" s="279">
        <f>FISCinyear!IU609</f>
        <v>0</v>
      </c>
      <c r="S58" s="279">
        <f>FISCinyear!IV609</f>
        <v>0</v>
      </c>
      <c r="T58" s="279">
        <f>FISCinyear!IY609</f>
        <v>0</v>
      </c>
      <c r="U58" s="1015"/>
      <c r="V58" s="1015"/>
      <c r="W58" s="1015"/>
      <c r="X58" s="1015"/>
    </row>
    <row r="59" spans="1:24" ht="15.3">
      <c r="A59" s="328" t="s">
        <v>140</v>
      </c>
      <c r="B59" s="279"/>
      <c r="C59" s="279">
        <f>FISCinyear!IF610</f>
        <v>0</v>
      </c>
      <c r="D59" s="279">
        <f>FISCinyear!IH610</f>
        <v>56.099999999999994</v>
      </c>
      <c r="E59" s="1019">
        <f t="shared" si="0"/>
        <v>56.099999999999994</v>
      </c>
      <c r="F59" s="279">
        <f>FISCinyear!II610</f>
        <v>0</v>
      </c>
      <c r="G59" s="279">
        <f>FISCinyear!IK610</f>
        <v>57.35</v>
      </c>
      <c r="H59" s="1019">
        <f t="shared" si="1"/>
        <v>57.35</v>
      </c>
      <c r="I59" s="279">
        <f>FISCinyear!IL610</f>
        <v>57.35</v>
      </c>
      <c r="J59" s="279">
        <f>FISCinyear!IN610</f>
        <v>58.467598075906714</v>
      </c>
      <c r="K59" s="1019">
        <f t="shared" si="2"/>
        <v>115.81759807590672</v>
      </c>
      <c r="L59" s="279">
        <f>FISCinyear!IO610</f>
        <v>58.467598075906714</v>
      </c>
      <c r="M59" s="279">
        <f>FISCinyear!IP610</f>
        <v>116.93519615181343</v>
      </c>
      <c r="N59" s="279">
        <f>FISCinyear!IQ610</f>
        <v>0</v>
      </c>
      <c r="O59" s="279">
        <f>FISCinyear!IR610</f>
        <v>0</v>
      </c>
      <c r="P59" s="279">
        <f>FISCinyear!IS610</f>
        <v>0</v>
      </c>
      <c r="Q59" s="279">
        <f>FISCinyear!IT610</f>
        <v>76.322403075585953</v>
      </c>
      <c r="R59" s="279">
        <f>FISCinyear!IU610</f>
        <v>76.322403075585953</v>
      </c>
      <c r="S59" s="279">
        <f>FISCinyear!IV610</f>
        <v>152.64480615117191</v>
      </c>
      <c r="T59" s="279">
        <f>FISCinyear!IY610</f>
        <v>177.24565368971938</v>
      </c>
      <c r="U59" s="1015"/>
      <c r="V59" s="1015"/>
      <c r="W59" s="1015"/>
      <c r="X59" s="1015"/>
    </row>
    <row r="60" spans="1:24" ht="15.3">
      <c r="A60" s="328" t="s">
        <v>118</v>
      </c>
      <c r="B60" s="279"/>
      <c r="C60" s="279">
        <f>FISCinyear!IF611</f>
        <v>0</v>
      </c>
      <c r="D60" s="279">
        <f>FISCinyear!IH611</f>
        <v>0</v>
      </c>
      <c r="E60" s="1019">
        <f t="shared" si="0"/>
        <v>0</v>
      </c>
      <c r="F60" s="279">
        <f>FISCinyear!II611</f>
        <v>0</v>
      </c>
      <c r="G60" s="279">
        <f>FISCinyear!IK611</f>
        <v>0</v>
      </c>
      <c r="H60" s="1019">
        <f t="shared" si="1"/>
        <v>0</v>
      </c>
      <c r="I60" s="279">
        <f>FISCinyear!IL611</f>
        <v>0</v>
      </c>
      <c r="J60" s="279">
        <f>FISCinyear!IN611</f>
        <v>0</v>
      </c>
      <c r="K60" s="1019">
        <f t="shared" si="2"/>
        <v>0</v>
      </c>
      <c r="L60" s="279">
        <f>FISCinyear!IO611</f>
        <v>0</v>
      </c>
      <c r="M60" s="279">
        <f>FISCinyear!IP611</f>
        <v>0</v>
      </c>
      <c r="N60" s="279">
        <f>FISCinyear!IQ611</f>
        <v>0</v>
      </c>
      <c r="O60" s="279">
        <f>FISCinyear!IR611</f>
        <v>0</v>
      </c>
      <c r="P60" s="279">
        <f>FISCinyear!IS611</f>
        <v>0</v>
      </c>
      <c r="Q60" s="279">
        <f>FISCinyear!IT611</f>
        <v>0</v>
      </c>
      <c r="R60" s="279">
        <f>FISCinyear!IU611</f>
        <v>0</v>
      </c>
      <c r="S60" s="279">
        <f>FISCinyear!IV611</f>
        <v>0</v>
      </c>
      <c r="T60" s="279">
        <f>FISCinyear!IY611</f>
        <v>0</v>
      </c>
      <c r="U60" s="1015"/>
      <c r="V60" s="1015"/>
      <c r="W60" s="1015"/>
      <c r="X60" s="1015"/>
    </row>
    <row r="61" spans="1:24" ht="15.3">
      <c r="A61" s="322" t="s">
        <v>141</v>
      </c>
      <c r="B61" s="279"/>
      <c r="C61" s="279">
        <f>FISCinyear!IF614</f>
        <v>99.113802707000005</v>
      </c>
      <c r="D61" s="279">
        <f>FISCinyear!IH614</f>
        <v>76.998127546999996</v>
      </c>
      <c r="E61" s="1019">
        <f t="shared" si="0"/>
        <v>176.11193025400001</v>
      </c>
      <c r="F61" s="279">
        <f>FISCinyear!II614</f>
        <v>82.213859076999995</v>
      </c>
      <c r="G61" s="279">
        <f>FISCinyear!IK614</f>
        <v>103.37865690700002</v>
      </c>
      <c r="H61" s="1019">
        <f t="shared" si="1"/>
        <v>185.59251598400002</v>
      </c>
      <c r="I61" s="279">
        <f>FISCinyear!IL614</f>
        <v>55.975226134999993</v>
      </c>
      <c r="J61" s="279">
        <f>FISCinyear!IN614</f>
        <v>105.45945410100001</v>
      </c>
      <c r="K61" s="1019">
        <f t="shared" si="2"/>
        <v>161.43468023599999</v>
      </c>
      <c r="L61" s="279">
        <f>FISCinyear!IO614</f>
        <v>76.379668403999986</v>
      </c>
      <c r="M61" s="279">
        <f>FISCinyear!IP614</f>
        <v>181.83912250499998</v>
      </c>
      <c r="N61" s="279">
        <f>FISCinyear!IQ614</f>
        <v>111.97006394399999</v>
      </c>
      <c r="O61" s="279">
        <f>FISCinyear!IR614</f>
        <v>125.72911353100001</v>
      </c>
      <c r="P61" s="279">
        <f>FISCinyear!IS614</f>
        <v>237.699177475</v>
      </c>
      <c r="Q61" s="279" t="e">
        <f>FISCinyear!IT614</f>
        <v>#REF!</v>
      </c>
      <c r="R61" s="279">
        <f>FISCinyear!IU614</f>
        <v>119.29723612865781</v>
      </c>
      <c r="S61" s="279">
        <f>FISCinyear!IV614</f>
        <v>230.36001097465783</v>
      </c>
      <c r="T61" s="279">
        <f>FISCinyear!IY614</f>
        <v>184.7704254232541</v>
      </c>
      <c r="U61" s="1015"/>
      <c r="V61" s="1015"/>
      <c r="W61" s="1015"/>
      <c r="X61" s="1015"/>
    </row>
    <row r="62" spans="1:24" ht="15.3">
      <c r="A62" s="328" t="s">
        <v>142</v>
      </c>
      <c r="B62" s="279"/>
      <c r="C62" s="279">
        <f>FISCinyear!IF615</f>
        <v>15.501716636999999</v>
      </c>
      <c r="D62" s="279">
        <f>FISCinyear!IH615</f>
        <v>11.563159019999999</v>
      </c>
      <c r="E62" s="1019">
        <f t="shared" si="0"/>
        <v>27.064875656999998</v>
      </c>
      <c r="F62" s="279">
        <f>FISCinyear!II615</f>
        <v>15.416167654999999</v>
      </c>
      <c r="G62" s="279">
        <f>FISCinyear!IK615</f>
        <v>10.305865706000001</v>
      </c>
      <c r="H62" s="1019">
        <f t="shared" si="1"/>
        <v>25.722033361000001</v>
      </c>
      <c r="I62" s="279">
        <f>FISCinyear!IL615</f>
        <v>18.233557717</v>
      </c>
      <c r="J62" s="279">
        <f>FISCinyear!IN615</f>
        <v>12.169666252000001</v>
      </c>
      <c r="K62" s="1019">
        <f t="shared" si="2"/>
        <v>30.403223969000003</v>
      </c>
      <c r="L62" s="279">
        <f>FISCinyear!IO615</f>
        <v>20.266150621000001</v>
      </c>
      <c r="M62" s="279">
        <f>FISCinyear!IP615</f>
        <v>32.435816873</v>
      </c>
      <c r="N62" s="279">
        <f>FISCinyear!IQ615</f>
        <v>14.161645885999999</v>
      </c>
      <c r="O62" s="279">
        <f>FISCinyear!IR615</f>
        <v>8.1213142700000009</v>
      </c>
      <c r="P62" s="279">
        <f>FISCinyear!IS615</f>
        <v>22.282960156000001</v>
      </c>
      <c r="Q62" s="279">
        <f>FISCinyear!IT615</f>
        <v>17.196633493</v>
      </c>
      <c r="R62" s="279">
        <f>FISCinyear!IU615</f>
        <v>21.253366507000003</v>
      </c>
      <c r="S62" s="279">
        <f>FISCinyear!IV615</f>
        <v>38.450000000000003</v>
      </c>
      <c r="T62" s="279">
        <f>FISCinyear!IY615</f>
        <v>40.359881165658898</v>
      </c>
      <c r="U62" s="1015"/>
      <c r="V62" s="1015"/>
      <c r="W62" s="1015"/>
      <c r="X62" s="1015"/>
    </row>
    <row r="63" spans="1:24" ht="15.3">
      <c r="A63" s="328" t="s">
        <v>285</v>
      </c>
      <c r="B63" s="279"/>
      <c r="C63" s="279">
        <f>FISCinyear!IF616</f>
        <v>2.7896897309999997</v>
      </c>
      <c r="D63" s="279">
        <f>FISCinyear!IH616</f>
        <v>1.9245534990000002</v>
      </c>
      <c r="E63" s="1019">
        <f t="shared" si="0"/>
        <v>4.7142432300000001</v>
      </c>
      <c r="F63" s="279">
        <f>FISCinyear!II616</f>
        <v>2.451382792</v>
      </c>
      <c r="G63" s="279">
        <f>FISCinyear!IK616</f>
        <v>1.2118217819999999</v>
      </c>
      <c r="H63" s="1019">
        <f t="shared" si="1"/>
        <v>3.6632045739999999</v>
      </c>
      <c r="I63" s="279">
        <f>FISCinyear!IL616</f>
        <v>1.4511757729999999</v>
      </c>
      <c r="J63" s="279">
        <f>FISCinyear!IN616</f>
        <v>1.267074316</v>
      </c>
      <c r="K63" s="1019">
        <f t="shared" si="2"/>
        <v>2.7182500889999996</v>
      </c>
      <c r="L63" s="279">
        <f>FISCinyear!IO616</f>
        <v>2.3655927969999997</v>
      </c>
      <c r="M63" s="279">
        <f>FISCinyear!IP616</f>
        <v>3.6326671129999997</v>
      </c>
      <c r="N63" s="279">
        <f>FISCinyear!IQ616</f>
        <v>1.7350064700000001</v>
      </c>
      <c r="O63" s="279">
        <f>FISCinyear!IR616</f>
        <v>1.0788024870000001</v>
      </c>
      <c r="P63" s="279">
        <f>FISCinyear!IS616</f>
        <v>2.813808957</v>
      </c>
      <c r="Q63" s="279">
        <f>FISCinyear!IT616</f>
        <v>1.8035484079999999</v>
      </c>
      <c r="R63" s="279">
        <f>FISCinyear!IU616</f>
        <v>5.8364515919999995</v>
      </c>
      <c r="S63" s="279">
        <f>FISCinyear!IV616</f>
        <v>7.64</v>
      </c>
      <c r="T63" s="279">
        <f>FISCinyear!IY616</f>
        <v>8.7106168881134316</v>
      </c>
      <c r="U63" s="1015"/>
      <c r="V63" s="1015"/>
      <c r="W63" s="1015"/>
      <c r="X63" s="1015"/>
    </row>
    <row r="64" spans="1:24" ht="15.3">
      <c r="A64" s="328" t="s">
        <v>143</v>
      </c>
      <c r="B64" s="279"/>
      <c r="C64" s="279">
        <f>FISCinyear!IF617</f>
        <v>80.822396339000008</v>
      </c>
      <c r="D64" s="279">
        <f>FISCinyear!IH617</f>
        <v>63.510415028000004</v>
      </c>
      <c r="E64" s="1019">
        <f t="shared" si="0"/>
        <v>144.33281136700001</v>
      </c>
      <c r="F64" s="279">
        <f>FISCinyear!II617</f>
        <v>64.346308629999996</v>
      </c>
      <c r="G64" s="279">
        <f>FISCinyear!IK617</f>
        <v>91.860969419000014</v>
      </c>
      <c r="H64" s="1019">
        <f t="shared" si="1"/>
        <v>156.20727804900002</v>
      </c>
      <c r="I64" s="279">
        <f>FISCinyear!IL617</f>
        <v>36.290492645000008</v>
      </c>
      <c r="J64" s="279">
        <f>FISCinyear!IN617</f>
        <v>92.022713533000001</v>
      </c>
      <c r="K64" s="1019">
        <f t="shared" si="2"/>
        <v>128.313206178</v>
      </c>
      <c r="L64" s="279">
        <f>FISCinyear!IO617</f>
        <v>53.747924985999987</v>
      </c>
      <c r="M64" s="279">
        <f>FISCinyear!IP617</f>
        <v>145.77063851899999</v>
      </c>
      <c r="N64" s="279">
        <f>FISCinyear!IQ617</f>
        <v>96.073411587999999</v>
      </c>
      <c r="O64" s="279">
        <f>FISCinyear!IR617</f>
        <v>116.52899677400001</v>
      </c>
      <c r="P64" s="279">
        <f>FISCinyear!IS617</f>
        <v>212.60240836200001</v>
      </c>
      <c r="Q64" s="279">
        <f>FISCinyear!IT617</f>
        <v>92.062592945000006</v>
      </c>
      <c r="R64" s="279">
        <f>FISCinyear!IU617</f>
        <v>92.207418029657816</v>
      </c>
      <c r="S64" s="279">
        <f>FISCinyear!IV617</f>
        <v>184.27001097465782</v>
      </c>
      <c r="T64" s="279">
        <f>FISCinyear!IY617</f>
        <v>135.69992736948177</v>
      </c>
      <c r="U64" s="1015"/>
      <c r="V64" s="1015"/>
      <c r="W64" s="1015"/>
      <c r="X64" s="1015"/>
    </row>
    <row r="65" spans="1:24" ht="15.3">
      <c r="A65" s="328" t="s">
        <v>1030</v>
      </c>
      <c r="B65" s="279"/>
      <c r="C65" s="279">
        <f>FISCinyear!IF618</f>
        <v>0</v>
      </c>
      <c r="D65" s="279">
        <f>FISCinyear!IH618</f>
        <v>0</v>
      </c>
      <c r="E65" s="1019">
        <f t="shared" si="0"/>
        <v>0</v>
      </c>
      <c r="F65" s="279">
        <f>FISCinyear!II618</f>
        <v>0</v>
      </c>
      <c r="G65" s="279">
        <f>FISCinyear!IK618</f>
        <v>0</v>
      </c>
      <c r="H65" s="1019">
        <f t="shared" si="1"/>
        <v>0</v>
      </c>
      <c r="I65" s="279">
        <f>FISCinyear!IL618</f>
        <v>0</v>
      </c>
      <c r="J65" s="279">
        <f>FISCinyear!IN618</f>
        <v>0</v>
      </c>
      <c r="K65" s="1019">
        <f t="shared" si="2"/>
        <v>0</v>
      </c>
      <c r="L65" s="279">
        <f>FISCinyear!IO618</f>
        <v>0</v>
      </c>
      <c r="M65" s="279">
        <f>FISCinyear!IP618</f>
        <v>0</v>
      </c>
      <c r="N65" s="279">
        <f>FISCinyear!IQ618</f>
        <v>0</v>
      </c>
      <c r="O65" s="279">
        <f>FISCinyear!IR618</f>
        <v>0</v>
      </c>
      <c r="P65" s="279">
        <f>FISCinyear!IS618</f>
        <v>0</v>
      </c>
      <c r="Q65" s="279">
        <f>FISCinyear!IT618</f>
        <v>0</v>
      </c>
      <c r="R65" s="279">
        <f>FISCinyear!IU618</f>
        <v>0</v>
      </c>
      <c r="S65" s="279">
        <f>FISCinyear!IV618</f>
        <v>0</v>
      </c>
      <c r="T65" s="279">
        <f>FISCinyear!IY618</f>
        <v>0</v>
      </c>
      <c r="U65" s="1015"/>
      <c r="V65" s="1015"/>
      <c r="W65" s="1015"/>
      <c r="X65" s="1015"/>
    </row>
    <row r="66" spans="1:24" ht="15.3">
      <c r="A66" s="328" t="s">
        <v>1114</v>
      </c>
      <c r="B66" s="279"/>
      <c r="C66" s="279">
        <f>FISCinyear!IF619</f>
        <v>0</v>
      </c>
      <c r="D66" s="279">
        <f>FISCinyear!IH619</f>
        <v>0</v>
      </c>
      <c r="E66" s="1019">
        <f t="shared" si="0"/>
        <v>0</v>
      </c>
      <c r="F66" s="279">
        <f>FISCinyear!II619</f>
        <v>0</v>
      </c>
      <c r="G66" s="279">
        <f>FISCinyear!IK619</f>
        <v>0</v>
      </c>
      <c r="H66" s="1019">
        <f t="shared" si="1"/>
        <v>0</v>
      </c>
      <c r="I66" s="279">
        <f>FISCinyear!IL619</f>
        <v>0</v>
      </c>
      <c r="J66" s="279">
        <f>FISCinyear!IN619</f>
        <v>14.640923705999995</v>
      </c>
      <c r="K66" s="1019">
        <f t="shared" si="2"/>
        <v>14.640923705999995</v>
      </c>
      <c r="L66" s="279">
        <f>FISCinyear!IO619</f>
        <v>-14.640923705999995</v>
      </c>
      <c r="M66" s="279">
        <f>FISCinyear!IP619</f>
        <v>0</v>
      </c>
      <c r="N66" s="279">
        <f>FISCinyear!IQ619</f>
        <v>0</v>
      </c>
      <c r="O66" s="279">
        <f>FISCinyear!IR619</f>
        <v>0</v>
      </c>
      <c r="P66" s="279">
        <f>FISCinyear!IS619</f>
        <v>0</v>
      </c>
      <c r="Q66" s="279">
        <f>FISCinyear!IT619</f>
        <v>-3.4475451555232013</v>
      </c>
      <c r="R66" s="279">
        <f>FISCinyear!IU619</f>
        <v>3.4475451555232013</v>
      </c>
      <c r="S66" s="279">
        <f>FISCinyear!IV619</f>
        <v>0</v>
      </c>
      <c r="T66" s="279">
        <f>FISCinyear!IY619</f>
        <v>0</v>
      </c>
      <c r="U66" s="1015"/>
      <c r="V66" s="1015"/>
      <c r="W66" s="1015"/>
      <c r="X66" s="1015"/>
    </row>
    <row r="67" spans="1:24" ht="15.3">
      <c r="A67" s="328" t="s">
        <v>742</v>
      </c>
      <c r="B67" s="279"/>
      <c r="C67" s="279">
        <f>FISCinyear!IF620</f>
        <v>0</v>
      </c>
      <c r="D67" s="279">
        <f>FISCinyear!IH620</f>
        <v>0</v>
      </c>
      <c r="E67" s="1019">
        <f t="shared" si="0"/>
        <v>0</v>
      </c>
      <c r="F67" s="279">
        <f>FISCinyear!II620</f>
        <v>0</v>
      </c>
      <c r="G67" s="279">
        <f>FISCinyear!IK620</f>
        <v>0</v>
      </c>
      <c r="H67" s="1019">
        <f t="shared" si="1"/>
        <v>0</v>
      </c>
      <c r="I67" s="279">
        <f>FISCinyear!IL620</f>
        <v>0</v>
      </c>
      <c r="J67" s="279">
        <f>FISCinyear!IN620</f>
        <v>0</v>
      </c>
      <c r="K67" s="1019">
        <f t="shared" si="2"/>
        <v>0</v>
      </c>
      <c r="L67" s="279">
        <f>FISCinyear!IO620</f>
        <v>0</v>
      </c>
      <c r="M67" s="279">
        <f>FISCinyear!IP620</f>
        <v>0</v>
      </c>
      <c r="N67" s="279">
        <f>FISCinyear!IQ620</f>
        <v>0</v>
      </c>
      <c r="O67" s="279">
        <f>FISCinyear!IR620</f>
        <v>0</v>
      </c>
      <c r="P67" s="279">
        <f>FISCinyear!IS620</f>
        <v>0</v>
      </c>
      <c r="Q67" s="279">
        <f>FISCinyear!IT620</f>
        <v>0</v>
      </c>
      <c r="R67" s="279">
        <f>FISCinyear!IU620</f>
        <v>0</v>
      </c>
      <c r="S67" s="279">
        <f>FISCinyear!IV620</f>
        <v>0</v>
      </c>
      <c r="T67" s="279">
        <f>FISCinyear!IY620</f>
        <v>0</v>
      </c>
      <c r="U67" s="1015"/>
      <c r="V67" s="1015"/>
      <c r="W67" s="1015"/>
      <c r="X67" s="1015"/>
    </row>
    <row r="68" spans="1:24" ht="15.3">
      <c r="A68" s="322" t="s">
        <v>144</v>
      </c>
      <c r="B68" s="279"/>
      <c r="C68" s="279">
        <f>FISCinyear!IF621</f>
        <v>422.39390190764493</v>
      </c>
      <c r="D68" s="279">
        <f>FISCinyear!IH621</f>
        <v>326.40878597222695</v>
      </c>
      <c r="E68" s="1019">
        <f t="shared" si="0"/>
        <v>748.80268787987188</v>
      </c>
      <c r="F68" s="279">
        <f>FISCinyear!II621</f>
        <v>392.27674667440601</v>
      </c>
      <c r="G68" s="279">
        <f>FISCinyear!IK621</f>
        <v>265.65047766078698</v>
      </c>
      <c r="H68" s="1019">
        <f t="shared" si="1"/>
        <v>657.92722433519293</v>
      </c>
      <c r="I68" s="279">
        <f>FISCinyear!IL621</f>
        <v>353.56778167924733</v>
      </c>
      <c r="J68" s="279">
        <f>FISCinyear!IN621</f>
        <v>364.38782089518998</v>
      </c>
      <c r="K68" s="1019">
        <f t="shared" si="2"/>
        <v>717.95560257443731</v>
      </c>
      <c r="L68" s="279">
        <f>FISCinyear!IO621</f>
        <v>485.83207949197003</v>
      </c>
      <c r="M68" s="279">
        <f>FISCinyear!IP621</f>
        <v>850.21990038716001</v>
      </c>
      <c r="N68" s="279">
        <f>FISCinyear!IQ621</f>
        <v>454.08877171984966</v>
      </c>
      <c r="O68" s="279">
        <f>FISCinyear!IR621</f>
        <v>617.62047379193211</v>
      </c>
      <c r="P68" s="279">
        <f>FISCinyear!IS621</f>
        <v>1071.7092455117818</v>
      </c>
      <c r="Q68" s="279" t="e">
        <f>FISCinyear!IT621</f>
        <v>#REF!</v>
      </c>
      <c r="R68" s="279" t="e">
        <f>FISCinyear!IU621</f>
        <v>#REF!</v>
      </c>
      <c r="S68" s="279">
        <f>FISCinyear!IV621</f>
        <v>1294.7440302694517</v>
      </c>
      <c r="T68" s="279">
        <f>FISCinyear!IY621</f>
        <v>1140.4189543084346</v>
      </c>
      <c r="U68" s="1015"/>
      <c r="V68" s="1015"/>
      <c r="W68" s="1015"/>
      <c r="X68" s="1015"/>
    </row>
    <row r="69" spans="1:24" ht="15.3">
      <c r="A69" s="322" t="s">
        <v>35</v>
      </c>
      <c r="B69" s="279"/>
      <c r="C69" s="279">
        <f>FISCinyear!IF622</f>
        <v>261.12522244899998</v>
      </c>
      <c r="D69" s="279">
        <f>FISCinyear!IH622</f>
        <v>178.10495146699998</v>
      </c>
      <c r="E69" s="1019">
        <f t="shared" si="0"/>
        <v>439.23017391599996</v>
      </c>
      <c r="F69" s="279">
        <f>FISCinyear!II622</f>
        <v>268.77256583799999</v>
      </c>
      <c r="G69" s="279">
        <f>FISCinyear!IK622</f>
        <v>166.87805255800001</v>
      </c>
      <c r="H69" s="1019">
        <f t="shared" si="1"/>
        <v>435.65061839600003</v>
      </c>
      <c r="I69" s="279">
        <f>FISCinyear!IL622</f>
        <v>234.09904502399999</v>
      </c>
      <c r="J69" s="279">
        <f>FISCinyear!IN622</f>
        <v>211.99081146</v>
      </c>
      <c r="K69" s="1019">
        <f t="shared" si="2"/>
        <v>446.08985648399999</v>
      </c>
      <c r="L69" s="279">
        <f>FISCinyear!IO622</f>
        <v>251.16867342100002</v>
      </c>
      <c r="M69" s="279">
        <f>FISCinyear!IP622</f>
        <v>463.15948488100003</v>
      </c>
      <c r="N69" s="279">
        <f>FISCinyear!IQ622</f>
        <v>252.82730860900003</v>
      </c>
      <c r="O69" s="279">
        <f>FISCinyear!IR622</f>
        <v>370.87794066900005</v>
      </c>
      <c r="P69" s="279">
        <f>FISCinyear!IS622</f>
        <v>623.70524927800011</v>
      </c>
      <c r="Q69" s="279" t="e">
        <f>FISCinyear!IT622</f>
        <v>#REF!</v>
      </c>
      <c r="R69" s="279" t="e">
        <f>FISCinyear!IU622</f>
        <v>#REF!</v>
      </c>
      <c r="S69" s="279">
        <f>FISCinyear!IV622</f>
        <v>747.07835400183399</v>
      </c>
      <c r="T69" s="279">
        <f>FISCinyear!IY622</f>
        <v>545.49045762463243</v>
      </c>
      <c r="U69" s="1015"/>
      <c r="V69" s="1015"/>
      <c r="W69" s="1015"/>
      <c r="X69" s="1015"/>
    </row>
    <row r="70" spans="1:24" ht="15.3">
      <c r="A70" s="328" t="s">
        <v>118</v>
      </c>
      <c r="B70" s="279"/>
      <c r="C70" s="279">
        <f>FISCinyear!IF623</f>
        <v>0</v>
      </c>
      <c r="D70" s="279">
        <f>FISCinyear!IH623</f>
        <v>0</v>
      </c>
      <c r="E70" s="1019">
        <f t="shared" ref="E70:E133" si="3">C70+D70</f>
        <v>0</v>
      </c>
      <c r="F70" s="279">
        <f>FISCinyear!II623</f>
        <v>0</v>
      </c>
      <c r="G70" s="279">
        <f>FISCinyear!IK623</f>
        <v>0</v>
      </c>
      <c r="H70" s="1019">
        <f t="shared" ref="H70:H133" si="4">F70+G70</f>
        <v>0</v>
      </c>
      <c r="I70" s="279">
        <f>FISCinyear!IL623</f>
        <v>0</v>
      </c>
      <c r="J70" s="279">
        <f>FISCinyear!IN623</f>
        <v>0</v>
      </c>
      <c r="K70" s="1019">
        <f t="shared" ref="K70:K133" si="5">I70+J70</f>
        <v>0</v>
      </c>
      <c r="L70" s="279">
        <f>FISCinyear!IO623</f>
        <v>0</v>
      </c>
      <c r="M70" s="279">
        <f>FISCinyear!IP623</f>
        <v>0</v>
      </c>
      <c r="N70" s="279">
        <f>FISCinyear!IQ623</f>
        <v>0</v>
      </c>
      <c r="O70" s="279">
        <f>FISCinyear!IR623</f>
        <v>0</v>
      </c>
      <c r="P70" s="279">
        <f>FISCinyear!IS623</f>
        <v>0</v>
      </c>
      <c r="Q70" s="279">
        <f>FISCinyear!IT623</f>
        <v>0</v>
      </c>
      <c r="R70" s="279">
        <f>FISCinyear!IU623</f>
        <v>0</v>
      </c>
      <c r="S70" s="279">
        <f>FISCinyear!IV623</f>
        <v>0</v>
      </c>
      <c r="T70" s="279">
        <f>FISCinyear!IY623</f>
        <v>0</v>
      </c>
      <c r="U70" s="1015"/>
      <c r="V70" s="1015"/>
      <c r="W70" s="1015"/>
      <c r="X70" s="1015"/>
    </row>
    <row r="71" spans="1:24" ht="15.3">
      <c r="A71" s="328" t="s">
        <v>636</v>
      </c>
      <c r="B71" s="279"/>
      <c r="C71" s="279">
        <f>FISCinyear!IF624</f>
        <v>0</v>
      </c>
      <c r="D71" s="279">
        <f>FISCinyear!IH624</f>
        <v>0</v>
      </c>
      <c r="E71" s="1019">
        <f t="shared" si="3"/>
        <v>0</v>
      </c>
      <c r="F71" s="279">
        <f>FISCinyear!II624</f>
        <v>0</v>
      </c>
      <c r="G71" s="279">
        <f>FISCinyear!IK624</f>
        <v>0</v>
      </c>
      <c r="H71" s="1019">
        <f t="shared" si="4"/>
        <v>0</v>
      </c>
      <c r="I71" s="279">
        <f>FISCinyear!IL624</f>
        <v>0</v>
      </c>
      <c r="J71" s="279">
        <f>FISCinyear!IN624</f>
        <v>0</v>
      </c>
      <c r="K71" s="1019">
        <f t="shared" si="5"/>
        <v>0</v>
      </c>
      <c r="L71" s="279">
        <f>FISCinyear!IO624</f>
        <v>0</v>
      </c>
      <c r="M71" s="279">
        <f>FISCinyear!IP624</f>
        <v>0</v>
      </c>
      <c r="N71" s="279">
        <f>FISCinyear!IQ624</f>
        <v>0</v>
      </c>
      <c r="O71" s="279">
        <f>FISCinyear!IR624</f>
        <v>0</v>
      </c>
      <c r="P71" s="279">
        <f>FISCinyear!IS624</f>
        <v>0</v>
      </c>
      <c r="Q71" s="279">
        <f>FISCinyear!IT624</f>
        <v>0</v>
      </c>
      <c r="R71" s="279">
        <f>FISCinyear!IU624</f>
        <v>0</v>
      </c>
      <c r="S71" s="279">
        <f>FISCinyear!IV624</f>
        <v>0</v>
      </c>
      <c r="T71" s="279">
        <f>FISCinyear!IY624</f>
        <v>0</v>
      </c>
      <c r="U71" s="1015"/>
      <c r="V71" s="1015"/>
      <c r="W71" s="1015"/>
      <c r="X71" s="1015"/>
    </row>
    <row r="72" spans="1:24" ht="15.3">
      <c r="A72" s="328" t="s">
        <v>635</v>
      </c>
      <c r="B72" s="279"/>
      <c r="C72" s="279">
        <f>FISCinyear!IF625</f>
        <v>12.294604118999999</v>
      </c>
      <c r="D72" s="279">
        <f>FISCinyear!IH625</f>
        <v>0.89146418400000005</v>
      </c>
      <c r="E72" s="1019">
        <f t="shared" si="3"/>
        <v>13.186068302999999</v>
      </c>
      <c r="F72" s="279">
        <f>FISCinyear!II625</f>
        <v>2.0451809480000001</v>
      </c>
      <c r="G72" s="279">
        <f>FISCinyear!IK625</f>
        <v>0.49947828100000002</v>
      </c>
      <c r="H72" s="1019">
        <f t="shared" si="4"/>
        <v>2.5446592290000001</v>
      </c>
      <c r="I72" s="279">
        <f>FISCinyear!IL625</f>
        <v>0</v>
      </c>
      <c r="J72" s="279">
        <f>FISCinyear!IN625</f>
        <v>0</v>
      </c>
      <c r="K72" s="1019">
        <f t="shared" si="5"/>
        <v>0</v>
      </c>
      <c r="L72" s="279">
        <f>FISCinyear!IO625</f>
        <v>0</v>
      </c>
      <c r="M72" s="279">
        <f>FISCinyear!IP625</f>
        <v>0</v>
      </c>
      <c r="N72" s="279">
        <f>FISCinyear!IQ625</f>
        <v>0</v>
      </c>
      <c r="O72" s="279">
        <f>FISCinyear!IR625</f>
        <v>0</v>
      </c>
      <c r="P72" s="279">
        <f>FISCinyear!IS625</f>
        <v>0</v>
      </c>
      <c r="Q72" s="279">
        <f>FISCinyear!IT625</f>
        <v>0</v>
      </c>
      <c r="R72" s="279">
        <f>FISCinyear!IU625</f>
        <v>0</v>
      </c>
      <c r="S72" s="279">
        <f>FISCinyear!IV625</f>
        <v>0</v>
      </c>
      <c r="T72" s="279">
        <f>FISCinyear!IY625</f>
        <v>0</v>
      </c>
      <c r="U72" s="1015"/>
      <c r="V72" s="1015"/>
      <c r="W72" s="1015"/>
      <c r="X72" s="1015"/>
    </row>
    <row r="73" spans="1:24" ht="15.3">
      <c r="A73" s="328" t="s">
        <v>634</v>
      </c>
      <c r="B73" s="279"/>
      <c r="C73" s="279">
        <f>FISCinyear!IF626</f>
        <v>38.924185115</v>
      </c>
      <c r="D73" s="279">
        <f>FISCinyear!IH626</f>
        <v>40.949805089659883</v>
      </c>
      <c r="E73" s="1019">
        <f t="shared" si="3"/>
        <v>79.87399020465989</v>
      </c>
      <c r="F73" s="279">
        <f>FISCinyear!II626</f>
        <v>29.43256141839035</v>
      </c>
      <c r="G73" s="279">
        <f>FISCinyear!IK626</f>
        <v>26.01139358316146</v>
      </c>
      <c r="H73" s="1019">
        <f t="shared" si="4"/>
        <v>55.443955001551814</v>
      </c>
      <c r="I73" s="279">
        <f>FISCinyear!IL626</f>
        <v>28.042049060197375</v>
      </c>
      <c r="J73" s="279">
        <f>FISCinyear!IN626</f>
        <v>36.419320210000002</v>
      </c>
      <c r="K73" s="1019">
        <f t="shared" si="5"/>
        <v>64.46136927019738</v>
      </c>
      <c r="L73" s="279">
        <f>FISCinyear!IO626</f>
        <v>36.999027930999993</v>
      </c>
      <c r="M73" s="279">
        <f>FISCinyear!IP626</f>
        <v>73.418348140999996</v>
      </c>
      <c r="N73" s="279">
        <f>FISCinyear!IQ626</f>
        <v>22.991782425000004</v>
      </c>
      <c r="O73" s="279">
        <f>FISCinyear!IR626</f>
        <v>40.041605824999998</v>
      </c>
      <c r="P73" s="279">
        <f>FISCinyear!IS626</f>
        <v>63.033388250000002</v>
      </c>
      <c r="Q73" s="279">
        <f>FISCinyear!IT626</f>
        <v>31.804202355335967</v>
      </c>
      <c r="R73" s="279">
        <f>FISCinyear!IU626</f>
        <v>34.57366317529921</v>
      </c>
      <c r="S73" s="279">
        <f>FISCinyear!IV626</f>
        <v>66.377865530635177</v>
      </c>
      <c r="T73" s="279">
        <f>FISCinyear!IY626</f>
        <v>68.286440499139502</v>
      </c>
      <c r="U73" s="1015"/>
      <c r="V73" s="1015"/>
      <c r="W73" s="1015"/>
      <c r="X73" s="1015"/>
    </row>
    <row r="74" spans="1:24" ht="15.3">
      <c r="A74" s="328" t="s">
        <v>633</v>
      </c>
      <c r="B74" s="279"/>
      <c r="C74" s="279">
        <f>FISCinyear!IF627</f>
        <v>15.815438266000001</v>
      </c>
      <c r="D74" s="279">
        <f>FISCinyear!IH627</f>
        <v>3.2776260099999996</v>
      </c>
      <c r="E74" s="1019">
        <f t="shared" si="3"/>
        <v>19.093064276</v>
      </c>
      <c r="F74" s="279">
        <f>FISCinyear!II627</f>
        <v>6.9431294900000005</v>
      </c>
      <c r="G74" s="279">
        <f>FISCinyear!IK627</f>
        <v>0</v>
      </c>
      <c r="H74" s="1019">
        <f t="shared" si="4"/>
        <v>6.9431294900000005</v>
      </c>
      <c r="I74" s="279">
        <f>FISCinyear!IL627</f>
        <v>0</v>
      </c>
      <c r="J74" s="279">
        <f>FISCinyear!IN627</f>
        <v>0</v>
      </c>
      <c r="K74" s="1019">
        <f t="shared" si="5"/>
        <v>0</v>
      </c>
      <c r="L74" s="279">
        <f>FISCinyear!IO627</f>
        <v>0</v>
      </c>
      <c r="M74" s="279">
        <f>FISCinyear!IP627</f>
        <v>0</v>
      </c>
      <c r="N74" s="279">
        <f>FISCinyear!IQ627</f>
        <v>0</v>
      </c>
      <c r="O74" s="279">
        <f>FISCinyear!IR627</f>
        <v>0</v>
      </c>
      <c r="P74" s="279">
        <f>FISCinyear!IS627</f>
        <v>0</v>
      </c>
      <c r="Q74" s="279">
        <f>FISCinyear!IT627</f>
        <v>0</v>
      </c>
      <c r="R74" s="279">
        <f>FISCinyear!IU627</f>
        <v>0</v>
      </c>
      <c r="S74" s="279">
        <f>FISCinyear!IV627</f>
        <v>0</v>
      </c>
      <c r="T74" s="279">
        <f>FISCinyear!IY627</f>
        <v>0</v>
      </c>
      <c r="U74" s="1015"/>
      <c r="V74" s="1015"/>
      <c r="W74" s="1015"/>
      <c r="X74" s="1015"/>
    </row>
    <row r="75" spans="1:24" ht="15.3">
      <c r="A75" s="322" t="s">
        <v>145</v>
      </c>
      <c r="B75" s="279"/>
      <c r="C75" s="279">
        <f>FISCinyear!IF628</f>
        <v>161.26867945864495</v>
      </c>
      <c r="D75" s="279">
        <f>FISCinyear!IH628</f>
        <v>148.303834505227</v>
      </c>
      <c r="E75" s="1019">
        <f t="shared" si="3"/>
        <v>309.57251396387198</v>
      </c>
      <c r="F75" s="279">
        <f>FISCinyear!II628</f>
        <v>123.50418083640602</v>
      </c>
      <c r="G75" s="279">
        <f>FISCinyear!IK628</f>
        <v>98.772425102786968</v>
      </c>
      <c r="H75" s="1019">
        <f t="shared" si="4"/>
        <v>222.27660593919299</v>
      </c>
      <c r="I75" s="279">
        <f>FISCinyear!IL628</f>
        <v>119.46873665524737</v>
      </c>
      <c r="J75" s="279">
        <f>FISCinyear!IN628</f>
        <v>152.39700943519</v>
      </c>
      <c r="K75" s="1019">
        <f t="shared" si="5"/>
        <v>271.86574609043737</v>
      </c>
      <c r="L75" s="279">
        <f>FISCinyear!IO628</f>
        <v>234.66340607097001</v>
      </c>
      <c r="M75" s="279">
        <f>FISCinyear!IP628</f>
        <v>387.06041550615998</v>
      </c>
      <c r="N75" s="279">
        <f>FISCinyear!IQ628</f>
        <v>201.26146311084966</v>
      </c>
      <c r="O75" s="279">
        <f>FISCinyear!IR628</f>
        <v>246.742533122932</v>
      </c>
      <c r="P75" s="279">
        <f>FISCinyear!IS628</f>
        <v>448.00399623378166</v>
      </c>
      <c r="Q75" s="279">
        <f>FISCinyear!IT628</f>
        <v>266.84588300710197</v>
      </c>
      <c r="R75" s="279">
        <f>FISCinyear!IU628</f>
        <v>281.042362888198</v>
      </c>
      <c r="S75" s="279">
        <f>FISCinyear!IV628</f>
        <v>547.66567626761776</v>
      </c>
      <c r="T75" s="279">
        <f>FISCinyear!IY628</f>
        <v>594.92849668380222</v>
      </c>
      <c r="U75" s="1015"/>
      <c r="V75" s="1015"/>
      <c r="W75" s="1015"/>
      <c r="X75" s="1015"/>
    </row>
    <row r="76" spans="1:24" ht="15.3">
      <c r="A76" s="656" t="s">
        <v>773</v>
      </c>
      <c r="B76" s="279"/>
      <c r="C76" s="279">
        <f>FISCinyear!IF629</f>
        <v>0</v>
      </c>
      <c r="D76" s="279">
        <f>FISCinyear!IH629</f>
        <v>0</v>
      </c>
      <c r="E76" s="1019">
        <f t="shared" si="3"/>
        <v>0</v>
      </c>
      <c r="F76" s="279">
        <f>FISCinyear!II629</f>
        <v>0</v>
      </c>
      <c r="G76" s="279">
        <f>FISCinyear!IK629</f>
        <v>0</v>
      </c>
      <c r="H76" s="1019">
        <f t="shared" si="4"/>
        <v>0</v>
      </c>
      <c r="I76" s="279">
        <f>FISCinyear!IL629</f>
        <v>0</v>
      </c>
      <c r="J76" s="279">
        <f>FISCinyear!IN629</f>
        <v>0</v>
      </c>
      <c r="K76" s="1019">
        <f t="shared" si="5"/>
        <v>0</v>
      </c>
      <c r="L76" s="279">
        <f>FISCinyear!IO629</f>
        <v>0</v>
      </c>
      <c r="M76" s="279">
        <f>FISCinyear!IP629</f>
        <v>0</v>
      </c>
      <c r="N76" s="279">
        <f>FISCinyear!IQ629</f>
        <v>0</v>
      </c>
      <c r="O76" s="279">
        <f>FISCinyear!IR629</f>
        <v>0</v>
      </c>
      <c r="P76" s="279">
        <f>FISCinyear!IS629</f>
        <v>0</v>
      </c>
      <c r="Q76" s="279">
        <f>FISCinyear!IT629</f>
        <v>0</v>
      </c>
      <c r="R76" s="279">
        <f>FISCinyear!IU629</f>
        <v>0</v>
      </c>
      <c r="S76" s="279">
        <f>FISCinyear!IV629</f>
        <v>0</v>
      </c>
      <c r="T76" s="279">
        <f>FISCinyear!IY629</f>
        <v>0</v>
      </c>
      <c r="U76" s="1015"/>
      <c r="V76" s="1015"/>
      <c r="W76" s="1015"/>
      <c r="X76" s="1015"/>
    </row>
    <row r="77" spans="1:24" ht="15.3">
      <c r="A77" s="656" t="s">
        <v>774</v>
      </c>
      <c r="B77" s="279"/>
      <c r="C77" s="279">
        <f>FISCinyear!IF630</f>
        <v>0</v>
      </c>
      <c r="D77" s="279">
        <f>FISCinyear!IH630</f>
        <v>0</v>
      </c>
      <c r="E77" s="1019">
        <f t="shared" si="3"/>
        <v>0</v>
      </c>
      <c r="F77" s="279">
        <f>FISCinyear!II630</f>
        <v>0</v>
      </c>
      <c r="G77" s="279">
        <f>FISCinyear!IK630</f>
        <v>0</v>
      </c>
      <c r="H77" s="1019">
        <f t="shared" si="4"/>
        <v>0</v>
      </c>
      <c r="I77" s="279">
        <f>FISCinyear!IL630</f>
        <v>0</v>
      </c>
      <c r="J77" s="279">
        <f>FISCinyear!IN630</f>
        <v>0</v>
      </c>
      <c r="K77" s="1019">
        <f t="shared" si="5"/>
        <v>0</v>
      </c>
      <c r="L77" s="279">
        <f>FISCinyear!IO630</f>
        <v>0</v>
      </c>
      <c r="M77" s="279">
        <f>FISCinyear!IP630</f>
        <v>0</v>
      </c>
      <c r="N77" s="279">
        <f>FISCinyear!IQ630</f>
        <v>0</v>
      </c>
      <c r="O77" s="279">
        <f>FISCinyear!IR630</f>
        <v>0</v>
      </c>
      <c r="P77" s="279">
        <f>FISCinyear!IS630</f>
        <v>0</v>
      </c>
      <c r="Q77" s="279">
        <f>FISCinyear!IT630</f>
        <v>0</v>
      </c>
      <c r="R77" s="279">
        <f>FISCinyear!IU630</f>
        <v>0</v>
      </c>
      <c r="S77" s="279">
        <f>FISCinyear!IV630</f>
        <v>0</v>
      </c>
      <c r="T77" s="279">
        <f>FISCinyear!IY630</f>
        <v>0</v>
      </c>
      <c r="U77" s="1015"/>
      <c r="V77" s="1015"/>
      <c r="W77" s="1015"/>
      <c r="X77" s="1015"/>
    </row>
    <row r="78" spans="1:24" ht="15.3">
      <c r="A78" s="328" t="s">
        <v>634</v>
      </c>
      <c r="B78" s="279"/>
      <c r="C78" s="279">
        <f>FISCinyear!IF631</f>
        <v>0</v>
      </c>
      <c r="D78" s="279">
        <f>FISCinyear!IH631</f>
        <v>0</v>
      </c>
      <c r="E78" s="1019">
        <f t="shared" si="3"/>
        <v>0</v>
      </c>
      <c r="F78" s="279">
        <f>FISCinyear!II631</f>
        <v>0</v>
      </c>
      <c r="G78" s="279">
        <f>FISCinyear!IK631</f>
        <v>0</v>
      </c>
      <c r="H78" s="1019">
        <f t="shared" si="4"/>
        <v>0</v>
      </c>
      <c r="I78" s="279">
        <f>FISCinyear!IL631</f>
        <v>0</v>
      </c>
      <c r="J78" s="279">
        <f>FISCinyear!IN631</f>
        <v>0</v>
      </c>
      <c r="K78" s="1019">
        <f t="shared" si="5"/>
        <v>0</v>
      </c>
      <c r="L78" s="279">
        <f>FISCinyear!IO631</f>
        <v>0</v>
      </c>
      <c r="M78" s="279">
        <f>FISCinyear!IP631</f>
        <v>0</v>
      </c>
      <c r="N78" s="279">
        <f>FISCinyear!IQ631</f>
        <v>0</v>
      </c>
      <c r="O78" s="279">
        <f>FISCinyear!IR631</f>
        <v>0</v>
      </c>
      <c r="P78" s="279">
        <f>FISCinyear!IS631</f>
        <v>0</v>
      </c>
      <c r="Q78" s="279">
        <f>FISCinyear!IT631</f>
        <v>0</v>
      </c>
      <c r="R78" s="279">
        <f>FISCinyear!IU631</f>
        <v>0</v>
      </c>
      <c r="S78" s="279">
        <f>FISCinyear!IV631</f>
        <v>0</v>
      </c>
      <c r="T78" s="279">
        <f>FISCinyear!IY631</f>
        <v>0</v>
      </c>
      <c r="U78" s="1015"/>
      <c r="V78" s="1015"/>
      <c r="W78" s="1015"/>
      <c r="X78" s="1015"/>
    </row>
    <row r="79" spans="1:24" ht="15.3">
      <c r="A79" s="328" t="s">
        <v>637</v>
      </c>
      <c r="B79" s="279"/>
      <c r="C79" s="279">
        <f>FISCinyear!IF632</f>
        <v>0</v>
      </c>
      <c r="D79" s="279">
        <f>FISCinyear!IH632</f>
        <v>0</v>
      </c>
      <c r="E79" s="1019">
        <f t="shared" si="3"/>
        <v>0</v>
      </c>
      <c r="F79" s="279">
        <f>FISCinyear!II632</f>
        <v>0</v>
      </c>
      <c r="G79" s="279">
        <f>FISCinyear!IK632</f>
        <v>0</v>
      </c>
      <c r="H79" s="1019">
        <f t="shared" si="4"/>
        <v>0</v>
      </c>
      <c r="I79" s="279">
        <f>FISCinyear!IL632</f>
        <v>0</v>
      </c>
      <c r="J79" s="279">
        <f>FISCinyear!IN632</f>
        <v>0</v>
      </c>
      <c r="K79" s="1019">
        <f t="shared" si="5"/>
        <v>0</v>
      </c>
      <c r="L79" s="279">
        <f>FISCinyear!IO632</f>
        <v>0</v>
      </c>
      <c r="M79" s="279">
        <f>FISCinyear!IP632</f>
        <v>0</v>
      </c>
      <c r="N79" s="279">
        <f>FISCinyear!IQ632</f>
        <v>0</v>
      </c>
      <c r="O79" s="279">
        <f>FISCinyear!IR632</f>
        <v>0</v>
      </c>
      <c r="P79" s="279">
        <f>FISCinyear!IS632</f>
        <v>0</v>
      </c>
      <c r="Q79" s="279">
        <f>FISCinyear!IT632</f>
        <v>0</v>
      </c>
      <c r="R79" s="279">
        <f>FISCinyear!IU632</f>
        <v>0</v>
      </c>
      <c r="S79" s="279">
        <f>FISCinyear!IV632</f>
        <v>0</v>
      </c>
      <c r="T79" s="279">
        <f>FISCinyear!IY632</f>
        <v>0</v>
      </c>
      <c r="U79" s="1015"/>
      <c r="V79" s="1015"/>
      <c r="W79" s="1015"/>
      <c r="X79" s="1015"/>
    </row>
    <row r="80" spans="1:24" ht="15.3">
      <c r="A80" s="328" t="s">
        <v>633</v>
      </c>
      <c r="B80" s="279"/>
      <c r="C80" s="279">
        <f>FISCinyear!IF633</f>
        <v>0</v>
      </c>
      <c r="D80" s="279">
        <f>FISCinyear!IH633</f>
        <v>0</v>
      </c>
      <c r="E80" s="1019">
        <f t="shared" si="3"/>
        <v>0</v>
      </c>
      <c r="F80" s="279">
        <f>FISCinyear!II633</f>
        <v>0</v>
      </c>
      <c r="G80" s="279">
        <f>FISCinyear!IK633</f>
        <v>0</v>
      </c>
      <c r="H80" s="1019">
        <f t="shared" si="4"/>
        <v>0</v>
      </c>
      <c r="I80" s="279">
        <f>FISCinyear!IL633</f>
        <v>0</v>
      </c>
      <c r="J80" s="279">
        <f>FISCinyear!IN633</f>
        <v>0</v>
      </c>
      <c r="K80" s="1019">
        <f t="shared" si="5"/>
        <v>0</v>
      </c>
      <c r="L80" s="279">
        <f>FISCinyear!IO633</f>
        <v>0</v>
      </c>
      <c r="M80" s="279">
        <f>FISCinyear!IP633</f>
        <v>0</v>
      </c>
      <c r="N80" s="279">
        <f>FISCinyear!IQ633</f>
        <v>0</v>
      </c>
      <c r="O80" s="279">
        <f>FISCinyear!IR633</f>
        <v>0</v>
      </c>
      <c r="P80" s="279">
        <f>FISCinyear!IS633</f>
        <v>0</v>
      </c>
      <c r="Q80" s="279">
        <f>FISCinyear!IT633</f>
        <v>0</v>
      </c>
      <c r="R80" s="279">
        <f>FISCinyear!IU633</f>
        <v>0</v>
      </c>
      <c r="S80" s="279">
        <f>FISCinyear!IV633</f>
        <v>0</v>
      </c>
      <c r="T80" s="279">
        <f>FISCinyear!IY633</f>
        <v>0</v>
      </c>
      <c r="U80" s="1015"/>
      <c r="V80" s="1015"/>
      <c r="W80" s="1015"/>
      <c r="X80" s="1015"/>
    </row>
    <row r="81" spans="1:24" ht="15.3">
      <c r="A81" s="328" t="s">
        <v>638</v>
      </c>
      <c r="B81" s="279"/>
      <c r="C81" s="279">
        <f>FISCinyear!IF634</f>
        <v>0</v>
      </c>
      <c r="D81" s="279">
        <f>FISCinyear!IH634</f>
        <v>0</v>
      </c>
      <c r="E81" s="1019">
        <f t="shared" si="3"/>
        <v>0</v>
      </c>
      <c r="F81" s="279">
        <f>FISCinyear!II634</f>
        <v>0</v>
      </c>
      <c r="G81" s="279">
        <f>FISCinyear!IK634</f>
        <v>0</v>
      </c>
      <c r="H81" s="1019">
        <f t="shared" si="4"/>
        <v>0</v>
      </c>
      <c r="I81" s="279">
        <f>FISCinyear!IL634</f>
        <v>0</v>
      </c>
      <c r="J81" s="279">
        <f>FISCinyear!IN634</f>
        <v>0</v>
      </c>
      <c r="K81" s="1019">
        <f t="shared" si="5"/>
        <v>0</v>
      </c>
      <c r="L81" s="279">
        <f>FISCinyear!IO634</f>
        <v>0</v>
      </c>
      <c r="M81" s="279">
        <f>FISCinyear!IP634</f>
        <v>48</v>
      </c>
      <c r="N81" s="279">
        <f>FISCinyear!IQ634</f>
        <v>0</v>
      </c>
      <c r="O81" s="279">
        <f>FISCinyear!IR634</f>
        <v>0</v>
      </c>
      <c r="P81" s="279">
        <f>FISCinyear!IS634</f>
        <v>0</v>
      </c>
      <c r="Q81" s="279">
        <f>FISCinyear!IT634</f>
        <v>0</v>
      </c>
      <c r="R81" s="279">
        <f>FISCinyear!IU634</f>
        <v>0</v>
      </c>
      <c r="S81" s="279">
        <f>FISCinyear!IV634</f>
        <v>16.604127645284251</v>
      </c>
      <c r="T81" s="279">
        <f>FISCinyear!IY634</f>
        <v>6.7554251173838518</v>
      </c>
      <c r="U81" s="1015"/>
      <c r="V81" s="1015"/>
      <c r="W81" s="1015"/>
      <c r="X81" s="1015"/>
    </row>
    <row r="82" spans="1:24" ht="15.3">
      <c r="A82" s="322" t="s">
        <v>146</v>
      </c>
      <c r="B82" s="279"/>
      <c r="C82" s="279">
        <f>FISCinyear!IF635</f>
        <v>23.828300458999998</v>
      </c>
      <c r="D82" s="279">
        <f>FISCinyear!IH635</f>
        <v>38.990145579999997</v>
      </c>
      <c r="E82" s="1019">
        <f t="shared" si="3"/>
        <v>62.818446038999994</v>
      </c>
      <c r="F82" s="279">
        <f>FISCinyear!II635</f>
        <v>49.431735443999997</v>
      </c>
      <c r="G82" s="279">
        <f>FISCinyear!IK635</f>
        <v>43.716170577999996</v>
      </c>
      <c r="H82" s="1019">
        <f t="shared" si="4"/>
        <v>93.147906022000001</v>
      </c>
      <c r="I82" s="279">
        <f>FISCinyear!IL635</f>
        <v>70.120750634000004</v>
      </c>
      <c r="J82" s="279">
        <f>FISCinyear!IN635</f>
        <v>92.59771980299999</v>
      </c>
      <c r="K82" s="1019">
        <f t="shared" si="5"/>
        <v>162.71847043700001</v>
      </c>
      <c r="L82" s="279">
        <f>FISCinyear!IO635</f>
        <v>67.444896419999992</v>
      </c>
      <c r="M82" s="279">
        <f>FISCinyear!IP635</f>
        <v>160.04261622299998</v>
      </c>
      <c r="N82" s="279">
        <f>FISCinyear!IQ635</f>
        <v>96.24126102000001</v>
      </c>
      <c r="O82" s="279">
        <f>FISCinyear!IR635</f>
        <v>100.08229666000001</v>
      </c>
      <c r="P82" s="279">
        <f>FISCinyear!IS635</f>
        <v>196.32355768000002</v>
      </c>
      <c r="Q82" s="279">
        <f>FISCinyear!IT635</f>
        <v>175.60526630199999</v>
      </c>
      <c r="R82" s="279">
        <f>FISCinyear!IU635</f>
        <v>224.41892431833983</v>
      </c>
      <c r="S82" s="279">
        <f>FISCinyear!IV635</f>
        <v>400.02419062033982</v>
      </c>
      <c r="T82" s="279">
        <f>FISCinyear!IY635</f>
        <v>299.79698138730896</v>
      </c>
      <c r="U82" s="1015"/>
      <c r="V82" s="1015"/>
      <c r="W82" s="1015"/>
      <c r="X82" s="1015"/>
    </row>
    <row r="83" spans="1:24" ht="15.3">
      <c r="A83" s="328" t="s">
        <v>815</v>
      </c>
      <c r="B83" s="279"/>
      <c r="C83" s="279">
        <f>FISCinyear!IF636</f>
        <v>0</v>
      </c>
      <c r="D83" s="279">
        <f>FISCinyear!IH636</f>
        <v>0</v>
      </c>
      <c r="E83" s="1019">
        <f t="shared" si="3"/>
        <v>0</v>
      </c>
      <c r="F83" s="279">
        <f>FISCinyear!II636</f>
        <v>3</v>
      </c>
      <c r="G83" s="279">
        <f>FISCinyear!IK636</f>
        <v>1.1499999999999999</v>
      </c>
      <c r="H83" s="1019">
        <f t="shared" si="4"/>
        <v>4.1500000000000004</v>
      </c>
      <c r="I83" s="279">
        <f>FISCinyear!IL636</f>
        <v>1</v>
      </c>
      <c r="J83" s="279">
        <f>FISCinyear!IN636</f>
        <v>0</v>
      </c>
      <c r="K83" s="1019">
        <f t="shared" si="5"/>
        <v>1</v>
      </c>
      <c r="L83" s="279">
        <f>FISCinyear!IO636</f>
        <v>0</v>
      </c>
      <c r="M83" s="279">
        <f>FISCinyear!IP636</f>
        <v>0</v>
      </c>
      <c r="N83" s="279">
        <f>FISCinyear!IQ636</f>
        <v>3.06</v>
      </c>
      <c r="O83" s="279">
        <f>FISCinyear!IR636</f>
        <v>0</v>
      </c>
      <c r="P83" s="279">
        <f>FISCinyear!IS636</f>
        <v>3.06</v>
      </c>
      <c r="Q83" s="279">
        <f>FISCinyear!IT636</f>
        <v>0</v>
      </c>
      <c r="R83" s="279">
        <f>FISCinyear!IU636</f>
        <v>0</v>
      </c>
      <c r="S83" s="279">
        <f>FISCinyear!IV636</f>
        <v>0</v>
      </c>
      <c r="T83" s="279">
        <f>FISCinyear!IY636</f>
        <v>0</v>
      </c>
      <c r="U83" s="1015"/>
      <c r="V83" s="1015"/>
      <c r="W83" s="1015"/>
      <c r="X83" s="1015"/>
    </row>
    <row r="84" spans="1:24" ht="15.3">
      <c r="A84" s="328" t="s">
        <v>485</v>
      </c>
      <c r="B84" s="279"/>
      <c r="C84" s="279">
        <f>FISCinyear!IF637</f>
        <v>0</v>
      </c>
      <c r="D84" s="279">
        <f>FISCinyear!IH637</f>
        <v>0.97780663700000003</v>
      </c>
      <c r="E84" s="1019">
        <f t="shared" si="3"/>
        <v>0.97780663700000003</v>
      </c>
      <c r="F84" s="279">
        <f>FISCinyear!II637</f>
        <v>0.76832138100000003</v>
      </c>
      <c r="G84" s="279">
        <f>FISCinyear!IK637</f>
        <v>0.61827218900000003</v>
      </c>
      <c r="H84" s="1019">
        <f t="shared" si="4"/>
        <v>1.3865935700000001</v>
      </c>
      <c r="I84" s="279">
        <f>FISCinyear!IL637</f>
        <v>1.9568333739999999</v>
      </c>
      <c r="J84" s="279">
        <f>FISCinyear!IN637</f>
        <v>2.4466097649999998</v>
      </c>
      <c r="K84" s="1019">
        <f t="shared" si="5"/>
        <v>4.4034431390000002</v>
      </c>
      <c r="L84" s="279">
        <f>FISCinyear!IO637</f>
        <v>0.42909492099999991</v>
      </c>
      <c r="M84" s="279">
        <f>FISCinyear!IP637</f>
        <v>2.8757046859999997</v>
      </c>
      <c r="N84" s="279">
        <f>FISCinyear!IQ637</f>
        <v>0.35287024899999997</v>
      </c>
      <c r="O84" s="279">
        <f>FISCinyear!IR637</f>
        <v>0.82680172100000004</v>
      </c>
      <c r="P84" s="279">
        <f>FISCinyear!IS637</f>
        <v>1.17967197</v>
      </c>
      <c r="Q84" s="279">
        <f>FISCinyear!IT637</f>
        <v>80</v>
      </c>
      <c r="R84" s="279">
        <f>FISCinyear!IU637</f>
        <v>0</v>
      </c>
      <c r="S84" s="279" t="e">
        <f>FISCinyear!#REF!</f>
        <v>#REF!</v>
      </c>
      <c r="T84" s="279">
        <f>FISCinyear!IY637</f>
        <v>0</v>
      </c>
      <c r="U84" s="1015"/>
      <c r="V84" s="1015"/>
      <c r="W84" s="1015"/>
      <c r="X84" s="1015"/>
    </row>
    <row r="85" spans="1:24" ht="15.3">
      <c r="A85" s="328" t="s">
        <v>147</v>
      </c>
      <c r="B85" s="279"/>
      <c r="C85" s="279">
        <f>FISCinyear!IF638</f>
        <v>0</v>
      </c>
      <c r="D85" s="279">
        <f>FISCinyear!IH638</f>
        <v>0</v>
      </c>
      <c r="E85" s="1019">
        <f t="shared" si="3"/>
        <v>0</v>
      </c>
      <c r="F85" s="279">
        <f>FISCinyear!II638</f>
        <v>0</v>
      </c>
      <c r="G85" s="279">
        <f>FISCinyear!IK638</f>
        <v>0</v>
      </c>
      <c r="H85" s="1019">
        <f t="shared" si="4"/>
        <v>0</v>
      </c>
      <c r="I85" s="279">
        <f>FISCinyear!IL638</f>
        <v>0</v>
      </c>
      <c r="J85" s="279">
        <f>FISCinyear!IN638</f>
        <v>0</v>
      </c>
      <c r="K85" s="1019">
        <f t="shared" si="5"/>
        <v>0</v>
      </c>
      <c r="L85" s="279">
        <f>FISCinyear!IO638</f>
        <v>0</v>
      </c>
      <c r="M85" s="279">
        <f>FISCinyear!IP638</f>
        <v>0</v>
      </c>
      <c r="N85" s="279">
        <f>FISCinyear!IQ638</f>
        <v>0</v>
      </c>
      <c r="O85" s="279">
        <f>FISCinyear!IR638</f>
        <v>0</v>
      </c>
      <c r="P85" s="279">
        <f>FISCinyear!IS638</f>
        <v>0</v>
      </c>
      <c r="Q85" s="279">
        <f>FISCinyear!IT638</f>
        <v>0</v>
      </c>
      <c r="R85" s="279">
        <f>FISCinyear!IU638</f>
        <v>0</v>
      </c>
      <c r="S85" s="279">
        <f>FISCinyear!IV638</f>
        <v>0</v>
      </c>
      <c r="T85" s="279">
        <f>FISCinyear!IY638</f>
        <v>0</v>
      </c>
      <c r="U85" s="1015"/>
      <c r="V85" s="1015"/>
      <c r="W85" s="1015"/>
      <c r="X85" s="1015"/>
    </row>
    <row r="86" spans="1:24" ht="15.3">
      <c r="A86" s="328" t="s">
        <v>148</v>
      </c>
      <c r="B86" s="279"/>
      <c r="C86" s="279">
        <f>FISCinyear!IF639</f>
        <v>20.404397117999999</v>
      </c>
      <c r="D86" s="279">
        <f>FISCinyear!IH639</f>
        <v>21.2</v>
      </c>
      <c r="E86" s="1019">
        <f t="shared" si="3"/>
        <v>41.604397117999994</v>
      </c>
      <c r="F86" s="279">
        <f>FISCinyear!II639</f>
        <v>18.891221956000003</v>
      </c>
      <c r="G86" s="279">
        <f>FISCinyear!IK639</f>
        <v>38.776151759999998</v>
      </c>
      <c r="H86" s="1019">
        <f t="shared" si="4"/>
        <v>57.667373716</v>
      </c>
      <c r="I86" s="279">
        <f>FISCinyear!IL639</f>
        <v>42.085587293000003</v>
      </c>
      <c r="J86" s="279">
        <f>FISCinyear!IN639</f>
        <v>55.897675092</v>
      </c>
      <c r="K86" s="1019">
        <f t="shared" si="5"/>
        <v>97.983262385000003</v>
      </c>
      <c r="L86" s="279">
        <f>FISCinyear!IO639</f>
        <v>39.384381872999995</v>
      </c>
      <c r="M86" s="279">
        <f>FISCinyear!IP639</f>
        <v>95.282056964999995</v>
      </c>
      <c r="N86" s="279">
        <f>FISCinyear!IQ639</f>
        <v>63.917935884999999</v>
      </c>
      <c r="O86" s="279">
        <f>FISCinyear!IR639</f>
        <v>53.917935887999995</v>
      </c>
      <c r="P86" s="279">
        <f>FISCinyear!IS639</f>
        <v>117.83587177299999</v>
      </c>
      <c r="Q86" s="279">
        <f>FISCinyear!IT639</f>
        <v>59.703843662433599</v>
      </c>
      <c r="R86" s="279">
        <f>FISCinyear!IU639</f>
        <v>80.140735240492404</v>
      </c>
      <c r="S86" s="279">
        <f>FISCinyear!IV639</f>
        <v>139.844578902926</v>
      </c>
      <c r="T86" s="279">
        <f>FISCinyear!IY639</f>
        <v>145.08552917251436</v>
      </c>
      <c r="U86" s="1015"/>
      <c r="V86" s="1015"/>
      <c r="W86" s="1015"/>
      <c r="X86" s="1015"/>
    </row>
    <row r="87" spans="1:24" ht="15.3">
      <c r="A87" s="328" t="s">
        <v>611</v>
      </c>
      <c r="B87" s="279"/>
      <c r="C87" s="279">
        <f>FISCinyear!IF640</f>
        <v>0</v>
      </c>
      <c r="D87" s="279">
        <f>FISCinyear!IH640</f>
        <v>0</v>
      </c>
      <c r="E87" s="1019">
        <f t="shared" si="3"/>
        <v>0</v>
      </c>
      <c r="F87" s="279">
        <f>FISCinyear!II640</f>
        <v>0</v>
      </c>
      <c r="G87" s="279">
        <f>FISCinyear!IK640</f>
        <v>0</v>
      </c>
      <c r="H87" s="1019">
        <f t="shared" si="4"/>
        <v>0</v>
      </c>
      <c r="I87" s="279">
        <f>FISCinyear!IL640</f>
        <v>0</v>
      </c>
      <c r="J87" s="279">
        <f>FISCinyear!IN640</f>
        <v>0</v>
      </c>
      <c r="K87" s="1019">
        <f t="shared" si="5"/>
        <v>0</v>
      </c>
      <c r="L87" s="279">
        <f>FISCinyear!IO640</f>
        <v>0</v>
      </c>
      <c r="M87" s="279">
        <f>FISCinyear!IP640</f>
        <v>0</v>
      </c>
      <c r="N87" s="279">
        <f>FISCinyear!IQ640</f>
        <v>0</v>
      </c>
      <c r="O87" s="279">
        <f>FISCinyear!IR640</f>
        <v>0</v>
      </c>
      <c r="P87" s="279">
        <f>FISCinyear!IS640</f>
        <v>0</v>
      </c>
      <c r="Q87" s="279">
        <f>FISCinyear!IT640</f>
        <v>7</v>
      </c>
      <c r="R87" s="279">
        <f>FISCinyear!IU640</f>
        <v>-6.4</v>
      </c>
      <c r="S87" s="279">
        <f>FISCinyear!IV640</f>
        <v>0.59999999999999964</v>
      </c>
      <c r="T87" s="279">
        <f>FISCinyear!IY640</f>
        <v>0</v>
      </c>
      <c r="U87" s="1015"/>
      <c r="V87" s="1015"/>
      <c r="W87" s="1015"/>
      <c r="X87" s="1015"/>
    </row>
    <row r="88" spans="1:24" ht="15.3">
      <c r="A88" s="328" t="s">
        <v>149</v>
      </c>
      <c r="B88" s="279"/>
      <c r="C88" s="279">
        <f>FISCinyear!IF642</f>
        <v>0</v>
      </c>
      <c r="D88" s="279">
        <f>FISCinyear!IH642</f>
        <v>0</v>
      </c>
      <c r="E88" s="1019">
        <f t="shared" si="3"/>
        <v>0</v>
      </c>
      <c r="F88" s="279">
        <f>FISCinyear!II642</f>
        <v>0</v>
      </c>
      <c r="G88" s="279">
        <f>FISCinyear!IK642</f>
        <v>0</v>
      </c>
      <c r="H88" s="1019">
        <f t="shared" si="4"/>
        <v>0</v>
      </c>
      <c r="I88" s="279">
        <f>FISCinyear!IL642</f>
        <v>0</v>
      </c>
      <c r="J88" s="279">
        <f>FISCinyear!IN642</f>
        <v>0</v>
      </c>
      <c r="K88" s="1019">
        <f t="shared" si="5"/>
        <v>0</v>
      </c>
      <c r="L88" s="279">
        <f>FISCinyear!IO642</f>
        <v>0</v>
      </c>
      <c r="M88" s="279">
        <f>FISCinyear!IP642</f>
        <v>0</v>
      </c>
      <c r="N88" s="279">
        <f>FISCinyear!IQ642</f>
        <v>0</v>
      </c>
      <c r="O88" s="279">
        <f>FISCinyear!IR642</f>
        <v>0</v>
      </c>
      <c r="P88" s="279">
        <f>FISCinyear!IS642</f>
        <v>0</v>
      </c>
      <c r="Q88" s="279">
        <f>FISCinyear!IT642</f>
        <v>5</v>
      </c>
      <c r="R88" s="279">
        <f>FISCinyear!IU642</f>
        <v>5</v>
      </c>
      <c r="S88" s="279">
        <f>FISCinyear!IV642</f>
        <v>10</v>
      </c>
      <c r="T88" s="279">
        <f>FISCinyear!IY642</f>
        <v>7.5194208804500002</v>
      </c>
      <c r="U88" s="1015"/>
      <c r="V88" s="1015"/>
      <c r="W88" s="1015"/>
      <c r="X88" s="1015"/>
    </row>
    <row r="89" spans="1:24" ht="15.3">
      <c r="A89" s="328" t="s">
        <v>954</v>
      </c>
      <c r="B89" s="279"/>
      <c r="C89" s="279">
        <f>FISCinyear!IF643</f>
        <v>-2.0337204000000001E-2</v>
      </c>
      <c r="D89" s="279">
        <f>FISCinyear!IH643</f>
        <v>-1.190265855</v>
      </c>
      <c r="E89" s="1019">
        <f t="shared" si="3"/>
        <v>-1.2106030590000001</v>
      </c>
      <c r="F89" s="279">
        <f>FISCinyear!II643</f>
        <v>-0.28379643199999999</v>
      </c>
      <c r="G89" s="279">
        <f>FISCinyear!IK643</f>
        <v>0</v>
      </c>
      <c r="H89" s="1019">
        <f t="shared" si="4"/>
        <v>-0.28379643199999999</v>
      </c>
      <c r="I89" s="279">
        <f>FISCinyear!IL643</f>
        <v>-9.0864968659999992</v>
      </c>
      <c r="J89" s="279">
        <f>FISCinyear!IN643</f>
        <v>0</v>
      </c>
      <c r="K89" s="1019">
        <f t="shared" si="5"/>
        <v>-9.0864968659999992</v>
      </c>
      <c r="L89" s="279">
        <f>FISCinyear!IO643</f>
        <v>-0.98998876200000008</v>
      </c>
      <c r="M89" s="279">
        <f>FISCinyear!IP643</f>
        <v>-0.98998876200000008</v>
      </c>
      <c r="N89" s="279">
        <f>FISCinyear!IQ643</f>
        <v>-0.27783086600000001</v>
      </c>
      <c r="O89" s="279">
        <f>FISCinyear!IR643</f>
        <v>0</v>
      </c>
      <c r="P89" s="279">
        <f>FISCinyear!IS643</f>
        <v>-0.27783086600000001</v>
      </c>
      <c r="Q89" s="279">
        <f>FISCinyear!IT643</f>
        <v>0</v>
      </c>
      <c r="R89" s="279">
        <f>FISCinyear!IU643</f>
        <v>0</v>
      </c>
      <c r="S89" s="279">
        <f>FISCinyear!IV643</f>
        <v>0</v>
      </c>
      <c r="T89" s="279">
        <f>FISCinyear!IY643</f>
        <v>0</v>
      </c>
      <c r="U89" s="1015"/>
      <c r="V89" s="1015"/>
      <c r="W89" s="1015"/>
      <c r="X89" s="1015"/>
    </row>
    <row r="90" spans="1:24" ht="15.3">
      <c r="A90" s="328" t="s">
        <v>805</v>
      </c>
      <c r="B90" s="279"/>
      <c r="C90" s="279">
        <f>FISCinyear!IF644</f>
        <v>0</v>
      </c>
      <c r="D90" s="279">
        <f>FISCinyear!IH644</f>
        <v>0</v>
      </c>
      <c r="E90" s="1019">
        <f t="shared" si="3"/>
        <v>0</v>
      </c>
      <c r="F90" s="279">
        <f>FISCinyear!II644</f>
        <v>0</v>
      </c>
      <c r="G90" s="279">
        <f>FISCinyear!IK644</f>
        <v>0</v>
      </c>
      <c r="H90" s="1019">
        <f t="shared" si="4"/>
        <v>0</v>
      </c>
      <c r="I90" s="279">
        <f>FISCinyear!IL644</f>
        <v>11.5</v>
      </c>
      <c r="J90" s="279">
        <f>FISCinyear!IN644</f>
        <v>9.6253578439999998</v>
      </c>
      <c r="K90" s="1019">
        <f t="shared" si="5"/>
        <v>21.125357844</v>
      </c>
      <c r="L90" s="279">
        <f>FISCinyear!IO644</f>
        <v>0</v>
      </c>
      <c r="M90" s="279">
        <f>FISCinyear!IP644</f>
        <v>9.6253578439999998</v>
      </c>
      <c r="N90" s="279">
        <f>FISCinyear!IQ644</f>
        <v>5</v>
      </c>
      <c r="O90" s="279">
        <f>FISCinyear!IR644</f>
        <v>0</v>
      </c>
      <c r="P90" s="279">
        <f>FISCinyear!IS644</f>
        <v>5</v>
      </c>
      <c r="Q90" s="279">
        <f>FISCinyear!IT644</f>
        <v>0</v>
      </c>
      <c r="R90" s="279">
        <f>FISCinyear!IU644</f>
        <v>0</v>
      </c>
      <c r="S90" s="279">
        <f>FISCinyear!IV644</f>
        <v>0</v>
      </c>
      <c r="T90" s="279">
        <f>FISCinyear!IY644</f>
        <v>0</v>
      </c>
      <c r="U90" s="1015"/>
      <c r="V90" s="1015"/>
      <c r="W90" s="1015"/>
      <c r="X90" s="1015"/>
    </row>
    <row r="91" spans="1:24" ht="15.3">
      <c r="A91" s="328" t="s">
        <v>150</v>
      </c>
      <c r="B91" s="279"/>
      <c r="C91" s="279">
        <f>FISCinyear!IF645</f>
        <v>0</v>
      </c>
      <c r="D91" s="279">
        <f>FISCinyear!IH645</f>
        <v>0</v>
      </c>
      <c r="E91" s="1019">
        <f t="shared" si="3"/>
        <v>0</v>
      </c>
      <c r="F91" s="279">
        <f>FISCinyear!II645</f>
        <v>0</v>
      </c>
      <c r="G91" s="279">
        <f>FISCinyear!IK645</f>
        <v>0</v>
      </c>
      <c r="H91" s="1019">
        <f t="shared" si="4"/>
        <v>0</v>
      </c>
      <c r="I91" s="279">
        <f>FISCinyear!IL645</f>
        <v>0</v>
      </c>
      <c r="J91" s="279">
        <f>FISCinyear!IN645</f>
        <v>0</v>
      </c>
      <c r="K91" s="1019">
        <f t="shared" si="5"/>
        <v>0</v>
      </c>
      <c r="L91" s="279">
        <f>FISCinyear!IO645</f>
        <v>0</v>
      </c>
      <c r="M91" s="279">
        <f>FISCinyear!IP645</f>
        <v>0</v>
      </c>
      <c r="N91" s="279">
        <f>FISCinyear!IQ645</f>
        <v>0</v>
      </c>
      <c r="O91" s="279">
        <f>FISCinyear!IR645</f>
        <v>0</v>
      </c>
      <c r="P91" s="279">
        <f>FISCinyear!IS645</f>
        <v>0</v>
      </c>
      <c r="Q91" s="279">
        <f>FISCinyear!IT645</f>
        <v>0</v>
      </c>
      <c r="R91" s="279">
        <f>FISCinyear!IU645</f>
        <v>0</v>
      </c>
      <c r="S91" s="279">
        <f>FISCinyear!IV645</f>
        <v>0</v>
      </c>
      <c r="T91" s="279">
        <f>FISCinyear!IY645</f>
        <v>0</v>
      </c>
      <c r="U91" s="1015"/>
      <c r="V91" s="1015"/>
      <c r="W91" s="1015"/>
      <c r="X91" s="1015"/>
    </row>
    <row r="92" spans="1:24" ht="15.3">
      <c r="A92" s="328" t="s">
        <v>1083</v>
      </c>
      <c r="B92" s="279"/>
      <c r="C92" s="279">
        <f>FISCinyear!IF646</f>
        <v>0</v>
      </c>
      <c r="D92" s="279">
        <f>FISCinyear!IH646</f>
        <v>15.346579886000001</v>
      </c>
      <c r="E92" s="1019">
        <f t="shared" si="3"/>
        <v>15.346579886000001</v>
      </c>
      <c r="F92" s="279">
        <f>FISCinyear!II646</f>
        <v>4</v>
      </c>
      <c r="G92" s="279">
        <f>FISCinyear!IK646</f>
        <v>0</v>
      </c>
      <c r="H92" s="1019">
        <f t="shared" si="4"/>
        <v>4</v>
      </c>
      <c r="I92" s="279">
        <f>FISCinyear!IL646</f>
        <v>0</v>
      </c>
      <c r="J92" s="279">
        <f>FISCinyear!IN646</f>
        <v>6.9843766939999998</v>
      </c>
      <c r="K92" s="1019">
        <f t="shared" si="5"/>
        <v>6.9843766939999998</v>
      </c>
      <c r="L92" s="279">
        <f>FISCinyear!IO646</f>
        <v>4.1423668280000001</v>
      </c>
      <c r="M92" s="279">
        <f>FISCinyear!IP646</f>
        <v>11.126743522</v>
      </c>
      <c r="N92" s="279">
        <f>FISCinyear!IQ646</f>
        <v>8.890239266</v>
      </c>
      <c r="O92" s="279">
        <f>FISCinyear!IR646</f>
        <v>8.7035184660000002</v>
      </c>
      <c r="P92" s="279">
        <f>FISCinyear!IS646</f>
        <v>17.593757732</v>
      </c>
      <c r="Q92" s="279">
        <f>FISCinyear!IT646</f>
        <v>8.8817248469999992</v>
      </c>
      <c r="R92" s="279">
        <f>FISCinyear!IU646</f>
        <v>0.15428301113949949</v>
      </c>
      <c r="S92" s="279">
        <f>FISCinyear!IV646</f>
        <v>9.0360078581394987</v>
      </c>
      <c r="T92" s="279">
        <f>FISCinyear!IY646</f>
        <v>16.028132310064361</v>
      </c>
      <c r="U92" s="1015"/>
      <c r="V92" s="1015"/>
      <c r="W92" s="1015"/>
      <c r="X92" s="1015"/>
    </row>
    <row r="93" spans="1:24" ht="15.3">
      <c r="A93" s="328" t="s">
        <v>1110</v>
      </c>
      <c r="B93" s="279"/>
      <c r="C93" s="279">
        <f>FISCinyear!IF647</f>
        <v>0</v>
      </c>
      <c r="D93" s="279">
        <f>FISCinyear!IH647</f>
        <v>0</v>
      </c>
      <c r="E93" s="1019">
        <f t="shared" si="3"/>
        <v>0</v>
      </c>
      <c r="F93" s="279">
        <f>FISCinyear!II647</f>
        <v>0</v>
      </c>
      <c r="G93" s="279">
        <f>FISCinyear!IK647</f>
        <v>0</v>
      </c>
      <c r="H93" s="1019">
        <f t="shared" si="4"/>
        <v>0</v>
      </c>
      <c r="I93" s="279">
        <f>FISCinyear!IL647</f>
        <v>0</v>
      </c>
      <c r="J93" s="279">
        <f>FISCinyear!IN647</f>
        <v>2.4750000000000001</v>
      </c>
      <c r="K93" s="1019">
        <f t="shared" si="5"/>
        <v>2.4750000000000001</v>
      </c>
      <c r="L93" s="279">
        <f>FISCinyear!IO647</f>
        <v>4.9500000000000011</v>
      </c>
      <c r="M93" s="279">
        <f>FISCinyear!IP647</f>
        <v>7.4250000000000007</v>
      </c>
      <c r="N93" s="279">
        <f>FISCinyear!IQ647</f>
        <v>7.4250000000000007</v>
      </c>
      <c r="O93" s="279">
        <f>FISCinyear!IR647</f>
        <v>4.95</v>
      </c>
      <c r="P93" s="279">
        <f>FISCinyear!IS647</f>
        <v>12.375</v>
      </c>
      <c r="Q93" s="279">
        <f>FISCinyear!IT647</f>
        <v>0</v>
      </c>
      <c r="R93" s="279">
        <f>FISCinyear!IU647</f>
        <v>0</v>
      </c>
      <c r="S93" s="279">
        <f>FISCinyear!IV637</f>
        <v>80</v>
      </c>
      <c r="T93" s="279">
        <f>FISCinyear!IY647</f>
        <v>0</v>
      </c>
      <c r="U93" s="1015"/>
      <c r="V93" s="1015"/>
      <c r="W93" s="1015"/>
      <c r="X93" s="1015"/>
    </row>
    <row r="94" spans="1:24" ht="15.3">
      <c r="A94" s="328" t="s">
        <v>151</v>
      </c>
      <c r="B94" s="279"/>
      <c r="C94" s="279">
        <f>FISCinyear!IF649</f>
        <v>3.444240545</v>
      </c>
      <c r="D94" s="279">
        <f>FISCinyear!IH649</f>
        <v>2.6560249119999999</v>
      </c>
      <c r="E94" s="1019">
        <f t="shared" si="3"/>
        <v>6.1002654569999999</v>
      </c>
      <c r="F94" s="279">
        <f>FISCinyear!II649</f>
        <v>23.055988538999998</v>
      </c>
      <c r="G94" s="279">
        <f>FISCinyear!IK649</f>
        <v>3.1717466289999998</v>
      </c>
      <c r="H94" s="1019">
        <f t="shared" si="4"/>
        <v>26.227735167999999</v>
      </c>
      <c r="I94" s="279">
        <f>FISCinyear!IL649</f>
        <v>22.664826832999999</v>
      </c>
      <c r="J94" s="279">
        <f>FISCinyear!IN649</f>
        <v>15.168700407999999</v>
      </c>
      <c r="K94" s="1019">
        <f t="shared" si="5"/>
        <v>37.833527240999999</v>
      </c>
      <c r="L94" s="279">
        <f>FISCinyear!IO649</f>
        <v>19.529041560000003</v>
      </c>
      <c r="M94" s="279">
        <f>FISCinyear!IP649</f>
        <v>34.697741968000003</v>
      </c>
      <c r="N94" s="279">
        <f>FISCinyear!IQ649</f>
        <v>7.8730464859999998</v>
      </c>
      <c r="O94" s="279">
        <f>FISCinyear!IR649</f>
        <v>31.684040584999998</v>
      </c>
      <c r="P94" s="279">
        <f>FISCinyear!IS649</f>
        <v>39.557087070999998</v>
      </c>
      <c r="Q94" s="279">
        <f>FISCinyear!IT649</f>
        <v>16.639381263000001</v>
      </c>
      <c r="R94" s="279">
        <f>FISCinyear!IU649</f>
        <v>87.670076218525296</v>
      </c>
      <c r="S94" s="279">
        <f>FISCinyear!IV649</f>
        <v>104.3094574815253</v>
      </c>
      <c r="T94" s="279">
        <f>FISCinyear!IY649</f>
        <v>92.283989137760699</v>
      </c>
      <c r="U94" s="1015"/>
      <c r="V94" s="1015"/>
      <c r="W94" s="1015"/>
      <c r="X94" s="1015"/>
    </row>
    <row r="95" spans="1:24" ht="15.3">
      <c r="A95" s="328" t="s">
        <v>152</v>
      </c>
      <c r="B95" s="279"/>
      <c r="C95" s="279">
        <f>FISCinyear!IF650</f>
        <v>0</v>
      </c>
      <c r="D95" s="279">
        <f>FISCinyear!IH650</f>
        <v>0</v>
      </c>
      <c r="E95" s="1019">
        <f t="shared" si="3"/>
        <v>0</v>
      </c>
      <c r="F95" s="279">
        <f>FISCinyear!II650</f>
        <v>0</v>
      </c>
      <c r="G95" s="279">
        <f>FISCinyear!IK650</f>
        <v>0</v>
      </c>
      <c r="H95" s="1019">
        <f t="shared" si="4"/>
        <v>0</v>
      </c>
      <c r="I95" s="279">
        <f>FISCinyear!IL650</f>
        <v>0</v>
      </c>
      <c r="J95" s="279">
        <f>FISCinyear!IN650</f>
        <v>0</v>
      </c>
      <c r="K95" s="1019">
        <f t="shared" si="5"/>
        <v>0</v>
      </c>
      <c r="L95" s="279">
        <f>FISCinyear!IO650</f>
        <v>0</v>
      </c>
      <c r="M95" s="279">
        <f>FISCinyear!IP650</f>
        <v>0</v>
      </c>
      <c r="N95" s="279">
        <f>FISCinyear!IQ650</f>
        <v>0</v>
      </c>
      <c r="O95" s="279">
        <f>FISCinyear!IR650</f>
        <v>0</v>
      </c>
      <c r="P95" s="279">
        <f>FISCinyear!IS650</f>
        <v>0</v>
      </c>
      <c r="Q95" s="279">
        <f>FISCinyear!IT650</f>
        <v>0</v>
      </c>
      <c r="R95" s="279">
        <f>FISCinyear!IU650</f>
        <v>0</v>
      </c>
      <c r="S95" s="279">
        <f>FISCinyear!IV650</f>
        <v>0</v>
      </c>
      <c r="T95" s="279">
        <f>FISCinyear!IY650</f>
        <v>0</v>
      </c>
      <c r="U95" s="1015"/>
      <c r="V95" s="1015"/>
      <c r="W95" s="1015"/>
      <c r="X95" s="1015"/>
    </row>
    <row r="96" spans="1:24" ht="15.3">
      <c r="A96" s="328" t="s">
        <v>153</v>
      </c>
      <c r="B96" s="279"/>
      <c r="C96" s="279">
        <f>FISCinyear!IF651</f>
        <v>0</v>
      </c>
      <c r="D96" s="279">
        <f>FISCinyear!IH651</f>
        <v>0</v>
      </c>
      <c r="E96" s="1019">
        <f t="shared" si="3"/>
        <v>0</v>
      </c>
      <c r="F96" s="279">
        <f>FISCinyear!II651</f>
        <v>0</v>
      </c>
      <c r="G96" s="279">
        <f>FISCinyear!IK651</f>
        <v>0</v>
      </c>
      <c r="H96" s="1019">
        <f t="shared" si="4"/>
        <v>0</v>
      </c>
      <c r="I96" s="279">
        <f>FISCinyear!IL651</f>
        <v>0</v>
      </c>
      <c r="J96" s="279">
        <f>FISCinyear!IN651</f>
        <v>0</v>
      </c>
      <c r="K96" s="1019">
        <f t="shared" si="5"/>
        <v>0</v>
      </c>
      <c r="L96" s="279">
        <f>FISCinyear!IO651</f>
        <v>0</v>
      </c>
      <c r="M96" s="279">
        <f>FISCinyear!IP651</f>
        <v>0</v>
      </c>
      <c r="N96" s="279">
        <f>FISCinyear!IQ651</f>
        <v>0</v>
      </c>
      <c r="O96" s="279">
        <f>FISCinyear!IR651</f>
        <v>0</v>
      </c>
      <c r="P96" s="279">
        <f>FISCinyear!IS651</f>
        <v>0</v>
      </c>
      <c r="Q96" s="279">
        <f>FISCinyear!IT651</f>
        <v>0</v>
      </c>
      <c r="R96" s="279">
        <f>FISCinyear!IU651</f>
        <v>0</v>
      </c>
      <c r="S96" s="279">
        <f>FISCinyear!IV651</f>
        <v>0</v>
      </c>
      <c r="T96" s="279">
        <f>FISCinyear!IY651</f>
        <v>0</v>
      </c>
      <c r="U96" s="1015"/>
      <c r="V96" s="1015"/>
      <c r="W96" s="1015"/>
      <c r="X96" s="1015"/>
    </row>
    <row r="97" spans="1:24" ht="15.3">
      <c r="A97" s="322" t="s">
        <v>218</v>
      </c>
      <c r="B97" s="279"/>
      <c r="C97" s="279">
        <f>FISCinyear!IF652</f>
        <v>-193.09285482600353</v>
      </c>
      <c r="D97" s="279">
        <f>FISCinyear!IH652</f>
        <v>-138.48131323169991</v>
      </c>
      <c r="E97" s="1019">
        <f t="shared" si="3"/>
        <v>-331.57416805770345</v>
      </c>
      <c r="F97" s="279">
        <f>FISCinyear!II652</f>
        <v>-143.6371817973</v>
      </c>
      <c r="G97" s="279">
        <f>FISCinyear!IK652</f>
        <v>-147.63057691197284</v>
      </c>
      <c r="H97" s="1019">
        <f t="shared" si="4"/>
        <v>-291.26775870927281</v>
      </c>
      <c r="I97" s="279">
        <f>FISCinyear!IL652</f>
        <v>-153.76685753546994</v>
      </c>
      <c r="J97" s="279">
        <f>FISCinyear!IN652</f>
        <v>-72.724644029329937</v>
      </c>
      <c r="K97" s="1019">
        <f t="shared" si="5"/>
        <v>-226.49150156479988</v>
      </c>
      <c r="L97" s="279">
        <f>FISCinyear!IO652</f>
        <v>-14.629766555173916</v>
      </c>
      <c r="M97" s="279">
        <f>FISCinyear!IP652</f>
        <v>-87.354410584503853</v>
      </c>
      <c r="N97" s="279">
        <f>FISCinyear!IQ652</f>
        <v>-169.27099253366993</v>
      </c>
      <c r="O97" s="279">
        <f>FISCinyear!IR652</f>
        <v>-176.19264425695471</v>
      </c>
      <c r="P97" s="279">
        <f>FISCinyear!IS652</f>
        <v>-345.46363679062461</v>
      </c>
      <c r="Q97" s="279" t="e">
        <f>FISCinyear!IT652</f>
        <v>#REF!</v>
      </c>
      <c r="R97" s="279" t="e">
        <f>FISCinyear!IU652</f>
        <v>#REF!</v>
      </c>
      <c r="S97" s="279">
        <f>FISCinyear!IV652</f>
        <v>-503.7175289549682</v>
      </c>
      <c r="T97" s="279">
        <f>FISCinyear!IY652</f>
        <v>-343.04299687633659</v>
      </c>
      <c r="U97" s="1015"/>
      <c r="V97" s="1015"/>
      <c r="W97" s="1015"/>
      <c r="X97" s="1015"/>
    </row>
    <row r="98" spans="1:24" ht="15.3">
      <c r="A98" s="322" t="s">
        <v>154</v>
      </c>
      <c r="B98" s="279"/>
      <c r="C98" s="279">
        <f>FISCinyear!IF653</f>
        <v>-93.979052119003541</v>
      </c>
      <c r="D98" s="279">
        <f>FISCinyear!IH653</f>
        <v>-61.483185684699947</v>
      </c>
      <c r="E98" s="1019">
        <f t="shared" si="3"/>
        <v>-155.46223780370349</v>
      </c>
      <c r="F98" s="279">
        <f>FISCinyear!II653</f>
        <v>-61.423322720300007</v>
      </c>
      <c r="G98" s="279">
        <f>FISCinyear!IK653</f>
        <v>-44.251920004972789</v>
      </c>
      <c r="H98" s="1019">
        <f t="shared" si="4"/>
        <v>-105.6752427252728</v>
      </c>
      <c r="I98" s="279">
        <f>FISCinyear!IL653</f>
        <v>-97.791631400469925</v>
      </c>
      <c r="J98" s="279">
        <f>FISCinyear!IN653</f>
        <v>0</v>
      </c>
      <c r="K98" s="1019">
        <f t="shared" si="5"/>
        <v>-97.791631400469925</v>
      </c>
      <c r="L98" s="279">
        <f>FISCinyear!IO653</f>
        <v>0</v>
      </c>
      <c r="M98" s="279">
        <f>FISCinyear!IP653</f>
        <v>94.484711920496125</v>
      </c>
      <c r="N98" s="279">
        <f>FISCinyear!IQ653</f>
        <v>-57.300928589669965</v>
      </c>
      <c r="O98" s="279">
        <f>FISCinyear!IR653</f>
        <v>-50.463530725954712</v>
      </c>
      <c r="P98" s="279">
        <f>FISCinyear!IS653</f>
        <v>-107.76445931562468</v>
      </c>
      <c r="Q98" s="279" t="e">
        <f>FISCinyear!IT653</f>
        <v>#REF!</v>
      </c>
      <c r="R98" s="279" t="e">
        <f>FISCinyear!IU653</f>
        <v>#REF!</v>
      </c>
      <c r="S98" s="279">
        <f>FISCinyear!IV653</f>
        <v>-273.35751798031038</v>
      </c>
      <c r="T98" s="279">
        <f>FISCinyear!IY653</f>
        <v>-158.27257145308249</v>
      </c>
      <c r="U98" s="1015"/>
      <c r="V98" s="1015"/>
      <c r="W98" s="1015"/>
      <c r="X98" s="1015"/>
    </row>
    <row r="99" spans="1:24" ht="15.3">
      <c r="A99" s="328" t="s">
        <v>219</v>
      </c>
      <c r="B99" s="279"/>
      <c r="C99" s="279">
        <f>FISCinyear!IF654</f>
        <v>-157.23948159929029</v>
      </c>
      <c r="D99" s="279">
        <f>FISCinyear!IH654</f>
        <v>-139.65192258455568</v>
      </c>
      <c r="E99" s="1019">
        <f t="shared" si="3"/>
        <v>-296.89140418384596</v>
      </c>
      <c r="F99" s="279">
        <f>FISCinyear!II654</f>
        <v>-155.3544069789406</v>
      </c>
      <c r="G99" s="279">
        <f>FISCinyear!IK654</f>
        <v>-135.88688585294673</v>
      </c>
      <c r="H99" s="1019">
        <f t="shared" si="4"/>
        <v>-291.24129283188734</v>
      </c>
      <c r="I99" s="279">
        <f>FISCinyear!IL654</f>
        <v>-226.05968663976336</v>
      </c>
      <c r="J99" s="279">
        <f>FISCinyear!IN654</f>
        <v>0</v>
      </c>
      <c r="K99" s="1019">
        <f t="shared" si="5"/>
        <v>-226.05968663976336</v>
      </c>
      <c r="L99" s="279">
        <f>FISCinyear!IO654</f>
        <v>0</v>
      </c>
      <c r="M99" s="279">
        <f>FISCinyear!IP654</f>
        <v>-189.57230382755449</v>
      </c>
      <c r="N99" s="279">
        <f>FISCinyear!IQ654</f>
        <v>-218.25017666844039</v>
      </c>
      <c r="O99" s="279">
        <f>FISCinyear!IR654</f>
        <v>-210.79226813039307</v>
      </c>
      <c r="P99" s="279">
        <f>FISCinyear!IS654</f>
        <v>-429.04244479883346</v>
      </c>
      <c r="Q99" s="279" t="e">
        <f>FISCinyear!IT654</f>
        <v>#REF!</v>
      </c>
      <c r="R99" s="279" t="e">
        <f>FISCinyear!IU654</f>
        <v>#REF!</v>
      </c>
      <c r="S99" s="279">
        <f>FISCinyear!IV654</f>
        <v>-863.60372409370552</v>
      </c>
      <c r="T99" s="279">
        <f>FISCinyear!IY654</f>
        <v>-691.713745608419</v>
      </c>
      <c r="U99" s="1015"/>
      <c r="V99" s="1015"/>
      <c r="W99" s="1015"/>
      <c r="X99" s="1015"/>
    </row>
    <row r="100" spans="1:24" ht="15.3">
      <c r="A100" s="328"/>
      <c r="B100" s="279"/>
      <c r="C100" s="279">
        <f>FISCinyear!IF655</f>
        <v>0</v>
      </c>
      <c r="D100" s="279">
        <f>FISCinyear!IH655</f>
        <v>0</v>
      </c>
      <c r="E100" s="1019">
        <f t="shared" si="3"/>
        <v>0</v>
      </c>
      <c r="F100" s="279">
        <f>FISCinyear!II655</f>
        <v>0</v>
      </c>
      <c r="G100" s="279">
        <f>FISCinyear!IK655</f>
        <v>0</v>
      </c>
      <c r="H100" s="1019">
        <f t="shared" si="4"/>
        <v>0</v>
      </c>
      <c r="I100" s="279">
        <f>FISCinyear!IL655</f>
        <v>0</v>
      </c>
      <c r="J100" s="279">
        <f>FISCinyear!IN655</f>
        <v>0</v>
      </c>
      <c r="K100" s="1019">
        <f t="shared" si="5"/>
        <v>0</v>
      </c>
      <c r="L100" s="279">
        <f>FISCinyear!IO655</f>
        <v>0</v>
      </c>
      <c r="M100" s="279">
        <f>FISCinyear!IP655</f>
        <v>0</v>
      </c>
      <c r="N100" s="279">
        <f>FISCinyear!IQ655</f>
        <v>0</v>
      </c>
      <c r="O100" s="279">
        <f>FISCinyear!IR655</f>
        <v>0</v>
      </c>
      <c r="P100" s="279">
        <f>FISCinyear!IS655</f>
        <v>0</v>
      </c>
      <c r="Q100" s="279">
        <f>FISCinyear!IT655</f>
        <v>0</v>
      </c>
      <c r="R100" s="279">
        <f>FISCinyear!IU655</f>
        <v>0</v>
      </c>
      <c r="S100" s="279">
        <f>FISCinyear!IV655</f>
        <v>0</v>
      </c>
      <c r="T100" s="279">
        <f>FISCinyear!IY655</f>
        <v>0</v>
      </c>
      <c r="U100" s="1015"/>
      <c r="V100" s="1015"/>
      <c r="W100" s="1015"/>
      <c r="X100" s="1015"/>
    </row>
    <row r="101" spans="1:24" ht="15.3">
      <c r="A101" s="322" t="s">
        <v>155</v>
      </c>
      <c r="B101" s="279"/>
      <c r="C101" s="279">
        <f>FISCinyear!IF656</f>
        <v>0</v>
      </c>
      <c r="D101" s="279">
        <f>FISCinyear!IH656</f>
        <v>0</v>
      </c>
      <c r="E101" s="1019">
        <f t="shared" si="3"/>
        <v>0</v>
      </c>
      <c r="F101" s="279">
        <f>FISCinyear!II656</f>
        <v>0</v>
      </c>
      <c r="G101" s="279">
        <f>FISCinyear!IK656</f>
        <v>0</v>
      </c>
      <c r="H101" s="1019">
        <f t="shared" si="4"/>
        <v>0</v>
      </c>
      <c r="I101" s="279">
        <f>FISCinyear!IL656</f>
        <v>0</v>
      </c>
      <c r="J101" s="279">
        <f>FISCinyear!IN656</f>
        <v>0</v>
      </c>
      <c r="K101" s="1019">
        <f t="shared" si="5"/>
        <v>0</v>
      </c>
      <c r="L101" s="279">
        <f>FISCinyear!IO656</f>
        <v>0</v>
      </c>
      <c r="M101" s="279">
        <f>FISCinyear!IP656</f>
        <v>0</v>
      </c>
      <c r="N101" s="279">
        <f>FISCinyear!IQ656</f>
        <v>0</v>
      </c>
      <c r="O101" s="279">
        <f>FISCinyear!IR656</f>
        <v>0</v>
      </c>
      <c r="P101" s="279">
        <f>FISCinyear!IS656</f>
        <v>0</v>
      </c>
      <c r="Q101" s="279">
        <f>FISCinyear!IT656</f>
        <v>0</v>
      </c>
      <c r="R101" s="279">
        <f>FISCinyear!IU656</f>
        <v>0</v>
      </c>
      <c r="S101" s="279">
        <f>FISCinyear!IV656</f>
        <v>0</v>
      </c>
      <c r="T101" s="279">
        <f>FISCinyear!IY656</f>
        <v>0</v>
      </c>
      <c r="U101" s="1015"/>
      <c r="V101" s="1015"/>
      <c r="W101" s="1015"/>
      <c r="X101" s="1015"/>
    </row>
    <row r="102" spans="1:24" ht="15.3">
      <c r="A102" s="328" t="s">
        <v>156</v>
      </c>
      <c r="B102" s="279"/>
      <c r="C102" s="279">
        <f>FISCinyear!IF657</f>
        <v>-189.63157950187679</v>
      </c>
      <c r="D102" s="279">
        <f>FISCinyear!IH657</f>
        <v>-110.98632621914237</v>
      </c>
      <c r="E102" s="1019">
        <f t="shared" si="3"/>
        <v>-300.61790572101916</v>
      </c>
      <c r="F102" s="279">
        <f>FISCinyear!II657</f>
        <v>-140.18926420380353</v>
      </c>
      <c r="G102" s="279">
        <f>FISCinyear!IK657</f>
        <v>-177.83396231617735</v>
      </c>
      <c r="H102" s="1019">
        <f t="shared" si="4"/>
        <v>-318.02322651998088</v>
      </c>
      <c r="I102" s="279">
        <f>FISCinyear!IL657</f>
        <v>-235.01173744018183</v>
      </c>
      <c r="J102" s="279">
        <f>FISCinyear!IN657</f>
        <v>-167.4713859075822</v>
      </c>
      <c r="K102" s="1019">
        <f t="shared" si="5"/>
        <v>-402.48312334776404</v>
      </c>
      <c r="L102" s="279">
        <f>FISCinyear!IO657</f>
        <v>-199.65596218942187</v>
      </c>
      <c r="M102" s="279">
        <f>FISCinyear!IP657</f>
        <v>-367.12734809700419</v>
      </c>
      <c r="N102" s="279">
        <f>FISCinyear!IQ657</f>
        <v>-251.28455471786654</v>
      </c>
      <c r="O102" s="279">
        <f>FISCinyear!IR657</f>
        <v>-359.99879663738722</v>
      </c>
      <c r="P102" s="279">
        <f>FISCinyear!IS657</f>
        <v>-611.28335135525379</v>
      </c>
      <c r="Q102" s="279" t="e">
        <f>FISCinyear!IT657</f>
        <v>#REF!</v>
      </c>
      <c r="R102" s="279" t="e">
        <f>FISCinyear!IU657</f>
        <v>#REF!</v>
      </c>
      <c r="S102" s="279">
        <f>FISCinyear!IV657</f>
        <v>-1171.0971334578217</v>
      </c>
      <c r="T102" s="279">
        <f>FISCinyear!IY657</f>
        <v>-938.72910155907584</v>
      </c>
      <c r="U102" s="1015"/>
      <c r="V102" s="1015"/>
      <c r="W102" s="1015"/>
      <c r="X102" s="1015"/>
    </row>
    <row r="103" spans="1:24" ht="15.3">
      <c r="A103" s="328" t="s">
        <v>157</v>
      </c>
      <c r="B103" s="279"/>
      <c r="C103" s="279">
        <f>FISCinyear!IF658</f>
        <v>-402.12024712793533</v>
      </c>
      <c r="D103" s="279">
        <f>FISCinyear!IH658</f>
        <v>-353.39072561678267</v>
      </c>
      <c r="E103" s="1019">
        <f t="shared" si="3"/>
        <v>-755.51097274471795</v>
      </c>
      <c r="F103" s="279">
        <f>FISCinyear!II658</f>
        <v>-345.65627923734655</v>
      </c>
      <c r="G103" s="279">
        <f>FISCinyear!IK658</f>
        <v>-327.73210215673362</v>
      </c>
      <c r="H103" s="1019">
        <f t="shared" si="4"/>
        <v>-673.38838139408017</v>
      </c>
      <c r="I103" s="279">
        <f>FISCinyear!IL658</f>
        <v>-383.27009171301074</v>
      </c>
      <c r="J103" s="279">
        <f>FISCinyear!IN658</f>
        <v>-362.23600502257068</v>
      </c>
      <c r="K103" s="1019">
        <f t="shared" si="5"/>
        <v>-745.50609673558142</v>
      </c>
      <c r="L103" s="279">
        <f>FISCinyear!IO658</f>
        <v>-363.80001994314387</v>
      </c>
      <c r="M103" s="279">
        <f>FISCinyear!IP658</f>
        <v>-726.03602496571466</v>
      </c>
      <c r="N103" s="279">
        <f>FISCinyear!IQ658</f>
        <v>-517.32005783729005</v>
      </c>
      <c r="O103" s="279">
        <f>FISCinyear!IR658</f>
        <v>-575.14260051432507</v>
      </c>
      <c r="P103" s="279">
        <f>FISCinyear!IS658</f>
        <v>-1092.4626583516151</v>
      </c>
      <c r="Q103" s="279" t="e">
        <f>FISCinyear!IT658</f>
        <v>#REF!</v>
      </c>
      <c r="R103" s="279" t="e">
        <f>FISCinyear!IU658</f>
        <v>#REF!</v>
      </c>
      <c r="S103" s="279">
        <f>FISCinyear!IV658</f>
        <v>-1603.1794113359817</v>
      </c>
      <c r="T103" s="279">
        <f>FISCinyear!IY658</f>
        <v>-1431.0527865498161</v>
      </c>
      <c r="U103" s="1015"/>
      <c r="V103" s="1015"/>
      <c r="W103" s="1015"/>
      <c r="X103" s="1015"/>
    </row>
    <row r="104" spans="1:24" ht="15.3">
      <c r="A104" s="328"/>
      <c r="B104" s="279"/>
      <c r="C104" s="279">
        <f>FISCinyear!IF659</f>
        <v>0</v>
      </c>
      <c r="D104" s="279">
        <f>FISCinyear!IH659</f>
        <v>0</v>
      </c>
      <c r="E104" s="1019">
        <f t="shared" si="3"/>
        <v>0</v>
      </c>
      <c r="F104" s="279">
        <f>FISCinyear!II659</f>
        <v>0</v>
      </c>
      <c r="G104" s="279">
        <f>FISCinyear!IK659</f>
        <v>0</v>
      </c>
      <c r="H104" s="1019">
        <f t="shared" si="4"/>
        <v>0</v>
      </c>
      <c r="I104" s="279">
        <f>FISCinyear!IL659</f>
        <v>0</v>
      </c>
      <c r="J104" s="279">
        <f>FISCinyear!IN659</f>
        <v>0</v>
      </c>
      <c r="K104" s="1019">
        <f t="shared" si="5"/>
        <v>0</v>
      </c>
      <c r="L104" s="279">
        <f>FISCinyear!IO659</f>
        <v>0</v>
      </c>
      <c r="M104" s="279">
        <f>FISCinyear!IP659</f>
        <v>-371.40946294800415</v>
      </c>
      <c r="N104" s="279">
        <f>FISCinyear!IQ659</f>
        <v>0</v>
      </c>
      <c r="O104" s="279">
        <f>FISCinyear!IR659</f>
        <v>0</v>
      </c>
      <c r="P104" s="279">
        <f>FISCinyear!IS659</f>
        <v>0</v>
      </c>
      <c r="Q104" s="279">
        <f>FISCinyear!IT659</f>
        <v>0</v>
      </c>
      <c r="R104" s="279">
        <f>FISCinyear!IU659</f>
        <v>0</v>
      </c>
      <c r="S104" s="279">
        <f>FISCinyear!IV659</f>
        <v>-1156.104743164371</v>
      </c>
      <c r="T104" s="279">
        <f>FISCinyear!IY659</f>
        <v>-944.94633527590759</v>
      </c>
      <c r="U104" s="1015"/>
      <c r="V104" s="1015"/>
      <c r="W104" s="1015"/>
      <c r="X104" s="1015"/>
    </row>
    <row r="105" spans="1:24" ht="15.3">
      <c r="A105" s="328" t="s">
        <v>158</v>
      </c>
      <c r="B105" s="279"/>
      <c r="C105" s="279">
        <f>FISCinyear!IF660</f>
        <v>-26.171756391999992</v>
      </c>
      <c r="D105" s="279">
        <f>FISCinyear!IH660</f>
        <v>14.820665974999997</v>
      </c>
      <c r="E105" s="1019">
        <f t="shared" si="3"/>
        <v>-11.351090416999995</v>
      </c>
      <c r="F105" s="279">
        <f>FISCinyear!II660</f>
        <v>-42.43869152900001</v>
      </c>
      <c r="G105" s="279">
        <f>FISCinyear!IK660</f>
        <v>-12.182844620999987</v>
      </c>
      <c r="H105" s="1019">
        <f t="shared" si="4"/>
        <v>-54.621536149999997</v>
      </c>
      <c r="I105" s="279">
        <f>FISCinyear!IL660</f>
        <v>52.148074446999999</v>
      </c>
      <c r="J105" s="279">
        <f>FISCinyear!IN660</f>
        <v>34.976006456</v>
      </c>
      <c r="K105" s="1019">
        <f t="shared" si="5"/>
        <v>87.124080902999992</v>
      </c>
      <c r="L105" s="279">
        <f>FISCinyear!IO660</f>
        <v>-60.037238744000014</v>
      </c>
      <c r="M105" s="279">
        <f>FISCinyear!IP660</f>
        <v>-25.061232288000014</v>
      </c>
      <c r="N105" s="279">
        <f>FISCinyear!IQ660</f>
        <v>52.259514259000056</v>
      </c>
      <c r="O105" s="279">
        <f>FISCinyear!IR660</f>
        <v>2.8631059329999857</v>
      </c>
      <c r="P105" s="279">
        <f>FISCinyear!IS660</f>
        <v>55.122620192000042</v>
      </c>
      <c r="Q105" s="279">
        <f>FISCinyear!IT660</f>
        <v>66.228221879000003</v>
      </c>
      <c r="R105" s="279">
        <f>FISCinyear!IU660</f>
        <v>-121.32822187900001</v>
      </c>
      <c r="S105" s="279">
        <f>FISCinyear!IV660</f>
        <v>-55.1</v>
      </c>
      <c r="T105" s="279">
        <f>FISCinyear!IY660</f>
        <v>-35.228921278959099</v>
      </c>
      <c r="U105" s="1015"/>
      <c r="V105" s="1015"/>
      <c r="W105" s="1015"/>
      <c r="X105" s="1015"/>
    </row>
    <row r="106" spans="1:24" ht="15.3">
      <c r="A106" s="328" t="s">
        <v>35</v>
      </c>
      <c r="B106" s="279"/>
      <c r="C106" s="279">
        <f>FISCinyear!IF661</f>
        <v>-26.171756391999992</v>
      </c>
      <c r="D106" s="279">
        <f>FISCinyear!IH661</f>
        <v>14.820665974999997</v>
      </c>
      <c r="E106" s="1019">
        <f t="shared" si="3"/>
        <v>-11.351090416999995</v>
      </c>
      <c r="F106" s="279">
        <f>FISCinyear!II661</f>
        <v>-42.43869152900001</v>
      </c>
      <c r="G106" s="279">
        <f>FISCinyear!IK661</f>
        <v>-12.182844620999987</v>
      </c>
      <c r="H106" s="1019">
        <f t="shared" si="4"/>
        <v>-54.621536149999997</v>
      </c>
      <c r="I106" s="279">
        <f>FISCinyear!IL661</f>
        <v>52.148074446999999</v>
      </c>
      <c r="J106" s="279">
        <f>FISCinyear!IN661</f>
        <v>34.976006456</v>
      </c>
      <c r="K106" s="1019">
        <f t="shared" si="5"/>
        <v>87.124080902999992</v>
      </c>
      <c r="L106" s="279">
        <f>FISCinyear!IO661</f>
        <v>-60.037238744000014</v>
      </c>
      <c r="M106" s="279">
        <f>FISCinyear!IP661</f>
        <v>-25.061232288000014</v>
      </c>
      <c r="N106" s="279">
        <f>FISCinyear!IQ661</f>
        <v>52.259514259000056</v>
      </c>
      <c r="O106" s="279">
        <f>FISCinyear!IR661</f>
        <v>2.8631059329999857</v>
      </c>
      <c r="P106" s="279">
        <f>FISCinyear!IS661</f>
        <v>55.122620192000042</v>
      </c>
      <c r="Q106" s="279">
        <f>FISCinyear!IT661</f>
        <v>66.228221879000003</v>
      </c>
      <c r="R106" s="279">
        <f>FISCinyear!IU661</f>
        <v>-121.32822187900001</v>
      </c>
      <c r="S106" s="279">
        <f>FISCinyear!IV661</f>
        <v>-55.1</v>
      </c>
      <c r="T106" s="279">
        <f>FISCinyear!IY661</f>
        <v>-35.228921278959099</v>
      </c>
      <c r="U106" s="1015"/>
      <c r="V106" s="1015"/>
      <c r="W106" s="1015"/>
      <c r="X106" s="1015"/>
    </row>
    <row r="107" spans="1:24" ht="15.3">
      <c r="A107" s="330"/>
      <c r="B107" s="279"/>
      <c r="C107" s="279">
        <f>FISCinyear!IF662</f>
        <v>0</v>
      </c>
      <c r="D107" s="279">
        <f>FISCinyear!IH662</f>
        <v>0</v>
      </c>
      <c r="E107" s="1019">
        <f t="shared" si="3"/>
        <v>0</v>
      </c>
      <c r="F107" s="279">
        <f>FISCinyear!II662</f>
        <v>0</v>
      </c>
      <c r="G107" s="279">
        <f>FISCinyear!IK662</f>
        <v>0</v>
      </c>
      <c r="H107" s="1019">
        <f t="shared" si="4"/>
        <v>0</v>
      </c>
      <c r="I107" s="279">
        <f>FISCinyear!IL662</f>
        <v>0</v>
      </c>
      <c r="J107" s="279">
        <f>FISCinyear!IN662</f>
        <v>0</v>
      </c>
      <c r="K107" s="1019">
        <f t="shared" si="5"/>
        <v>0</v>
      </c>
      <c r="L107" s="279">
        <f>FISCinyear!IO662</f>
        <v>0</v>
      </c>
      <c r="M107" s="279">
        <f>FISCinyear!IP662</f>
        <v>0</v>
      </c>
      <c r="N107" s="279">
        <f>FISCinyear!IQ662</f>
        <v>0</v>
      </c>
      <c r="O107" s="279">
        <f>FISCinyear!IR662</f>
        <v>0</v>
      </c>
      <c r="P107" s="279">
        <f>FISCinyear!IS662</f>
        <v>0</v>
      </c>
      <c r="Q107" s="279">
        <f>FISCinyear!IT662</f>
        <v>0</v>
      </c>
      <c r="R107" s="279">
        <f>FISCinyear!IU662</f>
        <v>0</v>
      </c>
      <c r="S107" s="279">
        <f>FISCinyear!IV662</f>
        <v>0</v>
      </c>
      <c r="T107" s="279">
        <f>FISCinyear!IY662</f>
        <v>0</v>
      </c>
      <c r="U107" s="1015"/>
      <c r="V107" s="1015"/>
      <c r="W107" s="1015"/>
      <c r="X107" s="1015"/>
    </row>
    <row r="108" spans="1:24" ht="15.3">
      <c r="A108" s="322" t="s">
        <v>159</v>
      </c>
      <c r="B108" s="279"/>
      <c r="C108" s="279">
        <f>FISCinyear!IF663</f>
        <v>0</v>
      </c>
      <c r="D108" s="279">
        <f>FISCinyear!IH663</f>
        <v>0</v>
      </c>
      <c r="E108" s="1019">
        <f t="shared" si="3"/>
        <v>0</v>
      </c>
      <c r="F108" s="279">
        <f>FISCinyear!II663</f>
        <v>0</v>
      </c>
      <c r="G108" s="279">
        <f>FISCinyear!IK663</f>
        <v>0</v>
      </c>
      <c r="H108" s="1019">
        <f t="shared" si="4"/>
        <v>0</v>
      </c>
      <c r="I108" s="279">
        <f>FISCinyear!IL663</f>
        <v>0</v>
      </c>
      <c r="J108" s="279">
        <f>FISCinyear!IN663</f>
        <v>0</v>
      </c>
      <c r="K108" s="1019">
        <f t="shared" si="5"/>
        <v>0</v>
      </c>
      <c r="L108" s="279">
        <f>FISCinyear!IO663</f>
        <v>0</v>
      </c>
      <c r="M108" s="279">
        <f>FISCinyear!IP663</f>
        <v>0</v>
      </c>
      <c r="N108" s="279">
        <f>FISCinyear!IQ663</f>
        <v>0</v>
      </c>
      <c r="O108" s="279">
        <f>FISCinyear!IR663</f>
        <v>0</v>
      </c>
      <c r="P108" s="279">
        <f>FISCinyear!IS663</f>
        <v>0</v>
      </c>
      <c r="Q108" s="279">
        <f>FISCinyear!IT663</f>
        <v>0</v>
      </c>
      <c r="R108" s="279">
        <f>FISCinyear!IU663</f>
        <v>0</v>
      </c>
      <c r="S108" s="279">
        <f>FISCinyear!IV663</f>
        <v>0</v>
      </c>
      <c r="T108" s="279">
        <f>FISCinyear!IY663</f>
        <v>0</v>
      </c>
      <c r="U108" s="1015"/>
      <c r="V108" s="1015"/>
      <c r="W108" s="1015"/>
      <c r="X108" s="1015"/>
    </row>
    <row r="109" spans="1:24" ht="15.3">
      <c r="A109" s="328" t="s">
        <v>156</v>
      </c>
      <c r="B109" s="279"/>
      <c r="C109" s="279">
        <f>FISCinyear!IF664</f>
        <v>-215.80333589387678</v>
      </c>
      <c r="D109" s="279">
        <f>FISCinyear!IH664</f>
        <v>-96.165660244142373</v>
      </c>
      <c r="E109" s="1019">
        <f t="shared" si="3"/>
        <v>-311.96899613801918</v>
      </c>
      <c r="F109" s="279">
        <f>FISCinyear!II664</f>
        <v>-182.62795573280354</v>
      </c>
      <c r="G109" s="279">
        <f>FISCinyear!IK664</f>
        <v>-190.01680693717734</v>
      </c>
      <c r="H109" s="1019">
        <f t="shared" si="4"/>
        <v>-372.64476266998088</v>
      </c>
      <c r="I109" s="279">
        <f>FISCinyear!IL664</f>
        <v>-182.86366299318183</v>
      </c>
      <c r="J109" s="279">
        <f>FISCinyear!IN664</f>
        <v>-132.49537945158221</v>
      </c>
      <c r="K109" s="1019">
        <f t="shared" si="5"/>
        <v>-315.35904244476404</v>
      </c>
      <c r="L109" s="279">
        <f>FISCinyear!IO664</f>
        <v>-259.69320093342191</v>
      </c>
      <c r="M109" s="279">
        <f>FISCinyear!IP664</f>
        <v>-392.18858038500423</v>
      </c>
      <c r="N109" s="279">
        <f>FISCinyear!IQ664</f>
        <v>-199.0250404588665</v>
      </c>
      <c r="O109" s="279">
        <f>FISCinyear!IR664</f>
        <v>-357.13569070438723</v>
      </c>
      <c r="P109" s="279">
        <f>FISCinyear!IS664</f>
        <v>-556.16073116325379</v>
      </c>
      <c r="Q109" s="279" t="e">
        <f>FISCinyear!IT664</f>
        <v>#REF!</v>
      </c>
      <c r="R109" s="279" t="e">
        <f>FISCinyear!IU664</f>
        <v>#REF!</v>
      </c>
      <c r="S109" s="279">
        <f>FISCinyear!IV664</f>
        <v>-1226.1971334578216</v>
      </c>
      <c r="T109" s="279">
        <f>FISCinyear!IY664</f>
        <v>-973.95802283803494</v>
      </c>
      <c r="U109" s="1015"/>
      <c r="V109" s="1015"/>
      <c r="W109" s="1015"/>
      <c r="X109" s="1015"/>
    </row>
    <row r="110" spans="1:24" ht="15.3">
      <c r="A110" s="328" t="s">
        <v>157</v>
      </c>
      <c r="B110" s="279"/>
      <c r="C110" s="279">
        <f>FISCinyear!IF665</f>
        <v>-428.29200351993529</v>
      </c>
      <c r="D110" s="279">
        <f>FISCinyear!IH665</f>
        <v>-338.57005964178268</v>
      </c>
      <c r="E110" s="1019">
        <f t="shared" si="3"/>
        <v>-766.86206316171797</v>
      </c>
      <c r="F110" s="279">
        <f>FISCinyear!II665</f>
        <v>-388.09497076634659</v>
      </c>
      <c r="G110" s="279">
        <f>FISCinyear!IK665</f>
        <v>-339.91494677773358</v>
      </c>
      <c r="H110" s="1019">
        <f t="shared" si="4"/>
        <v>-728.00991754408017</v>
      </c>
      <c r="I110" s="279">
        <f>FISCinyear!IL665</f>
        <v>-331.12201726601074</v>
      </c>
      <c r="J110" s="279">
        <f>FISCinyear!IN665</f>
        <v>-327.25999856657069</v>
      </c>
      <c r="K110" s="1019">
        <f t="shared" si="5"/>
        <v>-658.38201583258137</v>
      </c>
      <c r="L110" s="279">
        <f>FISCinyear!IO665</f>
        <v>-423.8372586871439</v>
      </c>
      <c r="M110" s="279">
        <f>FISCinyear!IP665</f>
        <v>-751.0972572537147</v>
      </c>
      <c r="N110" s="279">
        <f>FISCinyear!IQ665</f>
        <v>-465.06054357828992</v>
      </c>
      <c r="O110" s="279">
        <f>FISCinyear!IR665</f>
        <v>-572.27949458132503</v>
      </c>
      <c r="P110" s="279">
        <f>FISCinyear!IS665</f>
        <v>-1037.340038159615</v>
      </c>
      <c r="Q110" s="279" t="e">
        <f>FISCinyear!IT665</f>
        <v>#REF!</v>
      </c>
      <c r="R110" s="279" t="e">
        <f>FISCinyear!IU665</f>
        <v>#REF!</v>
      </c>
      <c r="S110" s="279">
        <f>FISCinyear!IV665</f>
        <v>-1658.2794113359816</v>
      </c>
      <c r="T110" s="279">
        <f>FISCinyear!IY665</f>
        <v>-1466.2817078287753</v>
      </c>
      <c r="U110" s="1015"/>
      <c r="V110" s="1015"/>
      <c r="W110" s="1015"/>
      <c r="X110" s="1015"/>
    </row>
    <row r="111" spans="1:24" ht="15.3">
      <c r="A111" s="328"/>
      <c r="B111" s="279"/>
      <c r="C111" s="279">
        <f>FISCinyear!IF666</f>
        <v>0</v>
      </c>
      <c r="D111" s="279">
        <f>FISCinyear!IH666</f>
        <v>0</v>
      </c>
      <c r="E111" s="1019">
        <f t="shared" si="3"/>
        <v>0</v>
      </c>
      <c r="F111" s="279">
        <f>FISCinyear!II666</f>
        <v>0</v>
      </c>
      <c r="G111" s="279">
        <f>FISCinyear!IK666</f>
        <v>0</v>
      </c>
      <c r="H111" s="1019">
        <f t="shared" si="4"/>
        <v>0</v>
      </c>
      <c r="I111" s="279">
        <f>FISCinyear!IL666</f>
        <v>0</v>
      </c>
      <c r="J111" s="279">
        <f>FISCinyear!IN666</f>
        <v>0</v>
      </c>
      <c r="K111" s="1019">
        <f t="shared" si="5"/>
        <v>0</v>
      </c>
      <c r="L111" s="279">
        <f>FISCinyear!IO666</f>
        <v>0</v>
      </c>
      <c r="M111" s="279">
        <f>FISCinyear!IP666</f>
        <v>0</v>
      </c>
      <c r="N111" s="279">
        <f>FISCinyear!IQ666</f>
        <v>0</v>
      </c>
      <c r="O111" s="279">
        <f>FISCinyear!IR666</f>
        <v>0</v>
      </c>
      <c r="P111" s="279">
        <f>FISCinyear!IS666</f>
        <v>0</v>
      </c>
      <c r="Q111" s="279">
        <f>FISCinyear!IT666</f>
        <v>0</v>
      </c>
      <c r="R111" s="279">
        <f>FISCinyear!IU666</f>
        <v>0</v>
      </c>
      <c r="S111" s="279">
        <f>FISCinyear!IV666</f>
        <v>0</v>
      </c>
      <c r="T111" s="279">
        <f>FISCinyear!IY666</f>
        <v>0</v>
      </c>
      <c r="U111" s="1015"/>
      <c r="V111" s="1015"/>
      <c r="W111" s="1015"/>
      <c r="X111" s="1015"/>
    </row>
    <row r="112" spans="1:24" ht="15.3">
      <c r="A112" s="322" t="s">
        <v>160</v>
      </c>
      <c r="B112" s="279"/>
      <c r="C112" s="279">
        <f>FISCinyear!IF667</f>
        <v>215.80333589387678</v>
      </c>
      <c r="D112" s="279">
        <f>FISCinyear!IH667</f>
        <v>88.946084624420351</v>
      </c>
      <c r="E112" s="1019">
        <f t="shared" si="3"/>
        <v>304.74942051829714</v>
      </c>
      <c r="F112" s="279">
        <f>FISCinyear!II667</f>
        <v>185.26414525406443</v>
      </c>
      <c r="G112" s="279">
        <f>FISCinyear!IK667</f>
        <v>141.44686963431135</v>
      </c>
      <c r="H112" s="1019">
        <f t="shared" si="4"/>
        <v>326.71101488837576</v>
      </c>
      <c r="I112" s="279">
        <f>FISCinyear!IL667</f>
        <v>237.35986063043688</v>
      </c>
      <c r="J112" s="279">
        <f>FISCinyear!IN667</f>
        <v>132.49537945158221</v>
      </c>
      <c r="K112" s="1019">
        <f t="shared" si="5"/>
        <v>369.85524008201912</v>
      </c>
      <c r="L112" s="279">
        <f>FISCinyear!IO667</f>
        <v>259.69320093342191</v>
      </c>
      <c r="M112" s="279">
        <f>FISCinyear!IP667</f>
        <v>398.9867656101726</v>
      </c>
      <c r="N112" s="279">
        <f>FISCinyear!IQ667</f>
        <v>115.02023433401757</v>
      </c>
      <c r="O112" s="279">
        <f>FISCinyear!IR667</f>
        <v>407.43501568864747</v>
      </c>
      <c r="P112" s="279">
        <f>FISCinyear!IS667</f>
        <v>522.45525002266504</v>
      </c>
      <c r="Q112" s="279" t="e">
        <f>FISCinyear!IT667</f>
        <v>#REF!</v>
      </c>
      <c r="R112" s="279" t="e">
        <f>FISCinyear!IU667</f>
        <v>#REF!</v>
      </c>
      <c r="S112" s="279">
        <f>FISCinyear!IV667</f>
        <v>1226.1509467500846</v>
      </c>
      <c r="T112" s="279">
        <f>FISCinyear!IY667</f>
        <v>973.99842550595372</v>
      </c>
      <c r="U112" s="1015"/>
      <c r="V112" s="1015"/>
      <c r="W112" s="1015"/>
      <c r="X112" s="1015"/>
    </row>
    <row r="113" spans="1:24" ht="15.3">
      <c r="A113" s="328"/>
      <c r="B113" s="279"/>
      <c r="C113" s="279">
        <f>FISCinyear!IF668</f>
        <v>0</v>
      </c>
      <c r="D113" s="279">
        <f>FISCinyear!IH668</f>
        <v>0</v>
      </c>
      <c r="E113" s="1019">
        <f t="shared" si="3"/>
        <v>0</v>
      </c>
      <c r="F113" s="279">
        <f>FISCinyear!II668</f>
        <v>0</v>
      </c>
      <c r="G113" s="279">
        <f>FISCinyear!IK668</f>
        <v>0</v>
      </c>
      <c r="H113" s="1019">
        <f t="shared" si="4"/>
        <v>0</v>
      </c>
      <c r="I113" s="279">
        <f>FISCinyear!IL668</f>
        <v>0</v>
      </c>
      <c r="J113" s="279">
        <f>FISCinyear!IN668</f>
        <v>0</v>
      </c>
      <c r="K113" s="1019">
        <f t="shared" si="5"/>
        <v>0</v>
      </c>
      <c r="L113" s="279">
        <f>FISCinyear!IO668</f>
        <v>0</v>
      </c>
      <c r="M113" s="279">
        <f>FISCinyear!IP668</f>
        <v>0</v>
      </c>
      <c r="N113" s="279">
        <f>FISCinyear!IQ668</f>
        <v>0</v>
      </c>
      <c r="O113" s="279">
        <f>FISCinyear!IR668</f>
        <v>0</v>
      </c>
      <c r="P113" s="279">
        <f>FISCinyear!IS668</f>
        <v>0</v>
      </c>
      <c r="Q113" s="279">
        <f>FISCinyear!IT668</f>
        <v>0</v>
      </c>
      <c r="R113" s="279">
        <f>FISCinyear!IU668</f>
        <v>0</v>
      </c>
      <c r="S113" s="279" t="str">
        <f>FISCinyear!IV668</f>
        <v xml:space="preserve"> </v>
      </c>
      <c r="T113" s="279">
        <f>FISCinyear!IY668</f>
        <v>0</v>
      </c>
      <c r="U113" s="1015"/>
      <c r="V113" s="1015"/>
      <c r="W113" s="1015"/>
      <c r="X113" s="1015"/>
    </row>
    <row r="114" spans="1:24" ht="15.3">
      <c r="A114" s="322" t="s">
        <v>161</v>
      </c>
      <c r="B114" s="279"/>
      <c r="C114" s="279">
        <f>FISCinyear!IF669</f>
        <v>84.73452708826801</v>
      </c>
      <c r="D114" s="279">
        <f>FISCinyear!IH669</f>
        <v>166.51489885055659</v>
      </c>
      <c r="E114" s="1019">
        <f t="shared" si="3"/>
        <v>251.2494259388246</v>
      </c>
      <c r="F114" s="279">
        <f>FISCinyear!II669</f>
        <v>57.893228809132779</v>
      </c>
      <c r="G114" s="279">
        <f>FISCinyear!IK669</f>
        <v>216.81219738131307</v>
      </c>
      <c r="H114" s="1019">
        <f t="shared" si="4"/>
        <v>274.70542619044585</v>
      </c>
      <c r="I114" s="279">
        <f>FISCinyear!IL669</f>
        <v>106.17673701005819</v>
      </c>
      <c r="J114" s="279">
        <f>FISCinyear!IN669</f>
        <v>209.00894326395954</v>
      </c>
      <c r="K114" s="1019">
        <f t="shared" si="5"/>
        <v>315.18568027401773</v>
      </c>
      <c r="L114" s="279">
        <f>FISCinyear!IO669</f>
        <v>147.02018761326696</v>
      </c>
      <c r="M114" s="279">
        <f>FISCinyear!IP669</f>
        <v>356.02913087722652</v>
      </c>
      <c r="N114" s="279">
        <f>FISCinyear!IQ669</f>
        <v>258.76863174697695</v>
      </c>
      <c r="O114" s="279">
        <f>FISCinyear!IR669</f>
        <v>189.54333489676651</v>
      </c>
      <c r="P114" s="279">
        <f>FISCinyear!IS669</f>
        <v>448.31196664374346</v>
      </c>
      <c r="Q114" s="279">
        <f>FISCinyear!IT669</f>
        <v>432.88968834181458</v>
      </c>
      <c r="R114" s="279">
        <f>FISCinyear!IU669</f>
        <v>704.60893334524667</v>
      </c>
      <c r="S114" s="279">
        <f>FISCinyear!IV669</f>
        <v>1137.4986216870611</v>
      </c>
      <c r="T114" s="279">
        <f>FISCinyear!IY669</f>
        <v>708.41842834695376</v>
      </c>
      <c r="U114" s="1015"/>
      <c r="V114" s="1015"/>
      <c r="W114" s="1015"/>
      <c r="X114" s="1015"/>
    </row>
    <row r="115" spans="1:24" ht="15.3">
      <c r="A115" s="569" t="s">
        <v>162</v>
      </c>
      <c r="B115" s="279"/>
      <c r="C115" s="279">
        <f>FISCinyear!IF670</f>
        <v>92.621132323234661</v>
      </c>
      <c r="D115" s="279">
        <f>FISCinyear!IH670</f>
        <v>174.17673368599714</v>
      </c>
      <c r="E115" s="1019">
        <f t="shared" si="3"/>
        <v>266.79786600923183</v>
      </c>
      <c r="F115" s="279">
        <f>FISCinyear!II670</f>
        <v>67.352848918405982</v>
      </c>
      <c r="G115" s="279">
        <f>FISCinyear!IK670</f>
        <v>227.18335127502195</v>
      </c>
      <c r="H115" s="1019">
        <f t="shared" si="4"/>
        <v>294.53620019342793</v>
      </c>
      <c r="I115" s="279">
        <f>FISCinyear!IL670</f>
        <v>117.38616403445856</v>
      </c>
      <c r="J115" s="279">
        <f>FISCinyear!IN670</f>
        <v>221.472406917173</v>
      </c>
      <c r="K115" s="1019">
        <f t="shared" si="5"/>
        <v>338.85857095163158</v>
      </c>
      <c r="L115" s="279">
        <f>FISCinyear!IO670</f>
        <v>160.37448244597002</v>
      </c>
      <c r="M115" s="279">
        <f>FISCinyear!IP670</f>
        <v>381.84688936314302</v>
      </c>
      <c r="N115" s="279">
        <f>FISCinyear!IQ670</f>
        <v>272.06780849639836</v>
      </c>
      <c r="O115" s="279">
        <f>FISCinyear!IR670</f>
        <v>204.90916444539539</v>
      </c>
      <c r="P115" s="279">
        <f>FISCinyear!IS670</f>
        <v>476.97697294179375</v>
      </c>
      <c r="Q115" s="279">
        <f>FISCinyear!IT670</f>
        <v>451.54193455558487</v>
      </c>
      <c r="R115" s="279">
        <f>FISCinyear!IU670</f>
        <v>742.31398899936721</v>
      </c>
      <c r="S115" s="279">
        <f>FISCinyear!IV670</f>
        <v>1193.8559235549519</v>
      </c>
      <c r="T115" s="279">
        <f>FISCinyear!IY670</f>
        <v>783.40935593640756</v>
      </c>
      <c r="U115" s="1015"/>
      <c r="V115" s="1015"/>
      <c r="W115" s="1015"/>
      <c r="X115" s="1015"/>
    </row>
    <row r="116" spans="1:24" ht="15.3">
      <c r="A116" s="322" t="s">
        <v>1056</v>
      </c>
      <c r="B116" s="279"/>
      <c r="C116" s="279">
        <f>FISCinyear!IF671</f>
        <v>46.908105421953671</v>
      </c>
      <c r="D116" s="279">
        <f>FISCinyear!IH671</f>
        <v>122.61289918077014</v>
      </c>
      <c r="E116" s="1019">
        <f t="shared" si="3"/>
        <v>169.52100460272382</v>
      </c>
      <c r="F116" s="279">
        <f>FISCinyear!II671</f>
        <v>16.048668081999999</v>
      </c>
      <c r="G116" s="279">
        <f>FISCinyear!IK671</f>
        <v>157.86086170024294</v>
      </c>
      <c r="H116" s="1019">
        <f t="shared" si="4"/>
        <v>173.90952978224294</v>
      </c>
      <c r="I116" s="279">
        <f>FISCinyear!IL671</f>
        <v>25.959476439408562</v>
      </c>
      <c r="J116" s="279">
        <f>FISCinyear!IN671</f>
        <v>154.230397481983</v>
      </c>
      <c r="K116" s="1019">
        <f t="shared" si="5"/>
        <v>180.18987392139155</v>
      </c>
      <c r="L116" s="279">
        <f>FISCinyear!IO671</f>
        <v>57.266076375000011</v>
      </c>
      <c r="M116" s="279">
        <f>FISCinyear!IP671</f>
        <v>211.49647385698302</v>
      </c>
      <c r="N116" s="279">
        <f>FISCinyear!IQ671</f>
        <v>198.60637392869535</v>
      </c>
      <c r="O116" s="279">
        <f>FISCinyear!IR671</f>
        <v>63.442134773486394</v>
      </c>
      <c r="P116" s="279">
        <f>FISCinyear!IS671</f>
        <v>262.04850870218172</v>
      </c>
      <c r="Q116" s="279">
        <f>FISCinyear!IT671</f>
        <v>314.72003730731018</v>
      </c>
      <c r="R116" s="279">
        <f>FISCinyear!IU671</f>
        <v>591.16483555152558</v>
      </c>
      <c r="S116" s="279">
        <f>FISCinyear!IV671</f>
        <v>905.88487285883571</v>
      </c>
      <c r="T116" s="279">
        <f>FISCinyear!IY671</f>
        <v>343.07164259517788</v>
      </c>
      <c r="U116" s="1015"/>
      <c r="V116" s="1015"/>
      <c r="W116" s="1015"/>
      <c r="X116" s="1015"/>
    </row>
    <row r="117" spans="1:24" ht="15.3">
      <c r="A117" s="328" t="s">
        <v>163</v>
      </c>
      <c r="B117" s="279"/>
      <c r="C117" s="279">
        <f>FISCinyear!IF673</f>
        <v>0</v>
      </c>
      <c r="D117" s="279">
        <f>FISCinyear!IH673</f>
        <v>0</v>
      </c>
      <c r="E117" s="1019">
        <f t="shared" si="3"/>
        <v>0</v>
      </c>
      <c r="F117" s="279">
        <f>FISCinyear!II673</f>
        <v>0</v>
      </c>
      <c r="G117" s="279">
        <f>FISCinyear!IK673</f>
        <v>40.211763817859129</v>
      </c>
      <c r="H117" s="1019">
        <f t="shared" si="4"/>
        <v>40.211763817859129</v>
      </c>
      <c r="I117" s="279">
        <f>FISCinyear!IL673</f>
        <v>0</v>
      </c>
      <c r="J117" s="279">
        <f>FISCinyear!IN673</f>
        <v>0</v>
      </c>
      <c r="K117" s="1019">
        <f t="shared" si="5"/>
        <v>0</v>
      </c>
      <c r="L117" s="279">
        <f>FISCinyear!IO673</f>
        <v>0</v>
      </c>
      <c r="M117" s="279">
        <f>FISCinyear!IP673</f>
        <v>54.065289391982986</v>
      </c>
      <c r="N117" s="279">
        <f>FISCinyear!IQ673</f>
        <v>76.131426722094361</v>
      </c>
      <c r="O117" s="279">
        <f>FISCinyear!IR673</f>
        <v>46.932652862980397</v>
      </c>
      <c r="P117" s="279">
        <f>FISCinyear!IS673</f>
        <v>123.06407958507475</v>
      </c>
      <c r="Q117" s="279">
        <f>FISCinyear!IT673</f>
        <v>0</v>
      </c>
      <c r="R117" s="279">
        <f>FISCinyear!IU673</f>
        <v>0</v>
      </c>
      <c r="S117" s="279">
        <f>FISCinyear!IV673</f>
        <v>86.43933586343168</v>
      </c>
      <c r="T117" s="279">
        <f>FISCinyear!IY673</f>
        <v>112.28298244284116</v>
      </c>
      <c r="U117" s="1015"/>
      <c r="V117" s="1015"/>
      <c r="W117" s="1015"/>
      <c r="X117" s="1015"/>
    </row>
    <row r="118" spans="1:24" ht="15.3">
      <c r="A118" s="328" t="s">
        <v>164</v>
      </c>
      <c r="B118" s="279"/>
      <c r="C118" s="279">
        <f>FISCinyear!IF674</f>
        <v>46.908105421953671</v>
      </c>
      <c r="D118" s="279">
        <f>FISCinyear!IH674</f>
        <v>0</v>
      </c>
      <c r="E118" s="1019">
        <f t="shared" si="3"/>
        <v>46.908105421953671</v>
      </c>
      <c r="F118" s="279">
        <f>FISCinyear!II674</f>
        <v>0</v>
      </c>
      <c r="G118" s="279">
        <f>FISCinyear!IK674</f>
        <v>117.64909788238378</v>
      </c>
      <c r="H118" s="1019">
        <f t="shared" si="4"/>
        <v>117.64909788238378</v>
      </c>
      <c r="I118" s="279">
        <f>FISCinyear!IL674</f>
        <v>25.959476439408562</v>
      </c>
      <c r="J118" s="279">
        <f>FISCinyear!IN674</f>
        <v>154.230397481983</v>
      </c>
      <c r="K118" s="1019">
        <f t="shared" si="5"/>
        <v>180.18987392139155</v>
      </c>
      <c r="L118" s="279">
        <f>FISCinyear!IO674</f>
        <v>0</v>
      </c>
      <c r="M118" s="279">
        <f>FISCinyear!IP674</f>
        <v>157.43118446500003</v>
      </c>
      <c r="N118" s="279">
        <f>FISCinyear!IQ674</f>
        <v>122.474947206601</v>
      </c>
      <c r="O118" s="279">
        <f>FISCinyear!IR674</f>
        <v>16.20009202</v>
      </c>
      <c r="P118" s="279">
        <f>FISCinyear!IS674</f>
        <v>138.675039226601</v>
      </c>
      <c r="Q118" s="279">
        <f>FISCinyear!IT674</f>
        <v>0</v>
      </c>
      <c r="R118" s="279">
        <f>FISCinyear!IU674</f>
        <v>0</v>
      </c>
      <c r="S118" s="279">
        <f>FISCinyear!IV674</f>
        <v>1</v>
      </c>
      <c r="T118" s="279">
        <f>FISCinyear!IY674</f>
        <v>2</v>
      </c>
      <c r="U118" s="1015"/>
      <c r="V118" s="1015"/>
      <c r="W118" s="1015"/>
      <c r="X118" s="1015"/>
    </row>
    <row r="119" spans="1:24" ht="15.3">
      <c r="A119" s="328" t="s">
        <v>743</v>
      </c>
      <c r="B119" s="279"/>
      <c r="C119" s="279">
        <f>FISCinyear!IF675</f>
        <v>0</v>
      </c>
      <c r="D119" s="279">
        <f>FISCinyear!IH675</f>
        <v>0</v>
      </c>
      <c r="E119" s="1019">
        <f t="shared" si="3"/>
        <v>0</v>
      </c>
      <c r="F119" s="279">
        <f>FISCinyear!II675</f>
        <v>0</v>
      </c>
      <c r="G119" s="279">
        <f>FISCinyear!IK675</f>
        <v>0</v>
      </c>
      <c r="H119" s="1019">
        <f t="shared" si="4"/>
        <v>0</v>
      </c>
      <c r="I119" s="279">
        <f>FISCinyear!IL675</f>
        <v>0</v>
      </c>
      <c r="J119" s="279">
        <f>FISCinyear!IN675</f>
        <v>0</v>
      </c>
      <c r="K119" s="1019">
        <f t="shared" si="5"/>
        <v>0</v>
      </c>
      <c r="L119" s="279">
        <f>FISCinyear!IO675</f>
        <v>0</v>
      </c>
      <c r="M119" s="279">
        <f>FISCinyear!IP675</f>
        <v>0</v>
      </c>
      <c r="N119" s="279">
        <f>FISCinyear!IQ675</f>
        <v>0</v>
      </c>
      <c r="O119" s="279">
        <f>FISCinyear!IR675</f>
        <v>0</v>
      </c>
      <c r="P119" s="279">
        <f>FISCinyear!IS675</f>
        <v>0</v>
      </c>
      <c r="Q119" s="279">
        <f>FISCinyear!IW675</f>
        <v>0</v>
      </c>
      <c r="R119" s="279">
        <f>FISCinyear!IX675</f>
        <v>0</v>
      </c>
      <c r="S119" s="279">
        <f>FISCinyear!IY675</f>
        <v>0</v>
      </c>
      <c r="T119" s="279">
        <f>FISCinyear!JB675</f>
        <v>0</v>
      </c>
      <c r="U119" s="1015"/>
      <c r="V119" s="1015"/>
      <c r="W119" s="1015"/>
      <c r="X119" s="1015"/>
    </row>
    <row r="120" spans="1:24" ht="15.3">
      <c r="A120" s="322" t="s">
        <v>165</v>
      </c>
      <c r="B120" s="279"/>
      <c r="C120" s="279">
        <f>FISCinyear!IF676</f>
        <v>45.713026901280998</v>
      </c>
      <c r="D120" s="279">
        <f>FISCinyear!IH676</f>
        <v>51.563834505227</v>
      </c>
      <c r="E120" s="1019">
        <f t="shared" si="3"/>
        <v>97.276861406508004</v>
      </c>
      <c r="F120" s="279">
        <f>FISCinyear!II676</f>
        <v>51.30418083640599</v>
      </c>
      <c r="G120" s="279">
        <f>FISCinyear!IK676</f>
        <v>69.322489574778999</v>
      </c>
      <c r="H120" s="1019">
        <f t="shared" si="4"/>
        <v>120.62667041118499</v>
      </c>
      <c r="I120" s="279">
        <f>FISCinyear!IL676</f>
        <v>91.426687595049998</v>
      </c>
      <c r="J120" s="279">
        <f>FISCinyear!IN676</f>
        <v>67.242009435189999</v>
      </c>
      <c r="K120" s="1019">
        <f t="shared" si="5"/>
        <v>158.66869703024</v>
      </c>
      <c r="L120" s="279">
        <f>FISCinyear!IO676</f>
        <v>103.10840607097001</v>
      </c>
      <c r="M120" s="279">
        <f>FISCinyear!IP676</f>
        <v>170.35041550616</v>
      </c>
      <c r="N120" s="279">
        <f>FISCinyear!IQ676</f>
        <v>73.46143456770298</v>
      </c>
      <c r="O120" s="279">
        <f>FISCinyear!IR676</f>
        <v>141.46702967190902</v>
      </c>
      <c r="P120" s="279">
        <f>FISCinyear!IS676</f>
        <v>214.928464239612</v>
      </c>
      <c r="Q120" s="279">
        <f>FISCinyear!IT676</f>
        <v>136.82189724827469</v>
      </c>
      <c r="R120" s="279">
        <f>FISCinyear!IU676</f>
        <v>151.14915344784163</v>
      </c>
      <c r="S120" s="279">
        <f>FISCinyear!IV676</f>
        <v>287.97105069611632</v>
      </c>
      <c r="T120" s="279">
        <f>FISCinyear!IY676</f>
        <v>390.57003784890901</v>
      </c>
      <c r="U120" s="1015"/>
      <c r="V120" s="1015"/>
      <c r="W120" s="1015"/>
      <c r="X120" s="1015"/>
    </row>
    <row r="121" spans="1:24" ht="15.3">
      <c r="A121" s="328" t="s">
        <v>166</v>
      </c>
      <c r="B121" s="279"/>
      <c r="C121" s="279">
        <f>FISCinyear!IF677</f>
        <v>0</v>
      </c>
      <c r="D121" s="279">
        <f>FISCinyear!IH677</f>
        <v>0</v>
      </c>
      <c r="E121" s="1019">
        <f t="shared" si="3"/>
        <v>0</v>
      </c>
      <c r="F121" s="279">
        <f>FISCinyear!II677</f>
        <v>0</v>
      </c>
      <c r="G121" s="279">
        <f>FISCinyear!IK677</f>
        <v>0</v>
      </c>
      <c r="H121" s="1019">
        <f t="shared" si="4"/>
        <v>0</v>
      </c>
      <c r="I121" s="279">
        <f>FISCinyear!IL677</f>
        <v>0</v>
      </c>
      <c r="J121" s="279">
        <f>FISCinyear!IN677</f>
        <v>0</v>
      </c>
      <c r="K121" s="1019">
        <f t="shared" si="5"/>
        <v>0</v>
      </c>
      <c r="L121" s="279">
        <f>FISCinyear!IO677</f>
        <v>0</v>
      </c>
      <c r="M121" s="279">
        <f>FISCinyear!IP677</f>
        <v>0</v>
      </c>
      <c r="N121" s="279">
        <f>FISCinyear!IQ677</f>
        <v>0</v>
      </c>
      <c r="O121" s="279">
        <f>FISCinyear!IR677</f>
        <v>0</v>
      </c>
      <c r="P121" s="279">
        <f>FISCinyear!IS677</f>
        <v>0</v>
      </c>
      <c r="Q121" s="279">
        <f>FISCinyear!IT677</f>
        <v>0</v>
      </c>
      <c r="R121" s="279">
        <f>FISCinyear!IU677</f>
        <v>0</v>
      </c>
      <c r="S121" s="279">
        <f>FISCinyear!IV677</f>
        <v>0</v>
      </c>
      <c r="T121" s="279">
        <f>FISCinyear!IY677</f>
        <v>0</v>
      </c>
      <c r="U121" s="1015"/>
      <c r="V121" s="1015"/>
      <c r="W121" s="1015"/>
      <c r="X121" s="1015"/>
    </row>
    <row r="122" spans="1:24" ht="15.3">
      <c r="A122" s="328" t="s">
        <v>167</v>
      </c>
      <c r="B122" s="279"/>
      <c r="C122" s="279">
        <f>FISCinyear!IF678</f>
        <v>0</v>
      </c>
      <c r="D122" s="279">
        <f>FISCinyear!IH678</f>
        <v>0</v>
      </c>
      <c r="E122" s="1019">
        <f t="shared" si="3"/>
        <v>0</v>
      </c>
      <c r="F122" s="279">
        <f>FISCinyear!II678</f>
        <v>0</v>
      </c>
      <c r="G122" s="279">
        <f>FISCinyear!IK678</f>
        <v>0</v>
      </c>
      <c r="H122" s="1019">
        <f t="shared" si="4"/>
        <v>0</v>
      </c>
      <c r="I122" s="279">
        <f>FISCinyear!IL678</f>
        <v>0</v>
      </c>
      <c r="J122" s="279">
        <f>FISCinyear!IN678</f>
        <v>0</v>
      </c>
      <c r="K122" s="1019">
        <f t="shared" si="5"/>
        <v>0</v>
      </c>
      <c r="L122" s="279">
        <f>FISCinyear!IO678</f>
        <v>0</v>
      </c>
      <c r="M122" s="279">
        <f>FISCinyear!IP678</f>
        <v>0</v>
      </c>
      <c r="N122" s="279">
        <f>FISCinyear!IQ678</f>
        <v>0</v>
      </c>
      <c r="O122" s="279">
        <f>FISCinyear!IR678</f>
        <v>0</v>
      </c>
      <c r="P122" s="279">
        <f>FISCinyear!IS678</f>
        <v>0</v>
      </c>
      <c r="Q122" s="279">
        <f>FISCinyear!IT678</f>
        <v>0</v>
      </c>
      <c r="R122" s="279">
        <f>FISCinyear!IU678</f>
        <v>0</v>
      </c>
      <c r="S122" s="279">
        <f>FISCinyear!IV678</f>
        <v>0</v>
      </c>
      <c r="T122" s="279">
        <f>FISCinyear!IY678</f>
        <v>0</v>
      </c>
      <c r="U122" s="1015"/>
      <c r="V122" s="1015"/>
      <c r="W122" s="1015"/>
      <c r="X122" s="1015"/>
    </row>
    <row r="123" spans="1:24" ht="15.3">
      <c r="A123" s="328" t="s">
        <v>168</v>
      </c>
      <c r="B123" s="279"/>
      <c r="C123" s="279">
        <f>FISCinyear!IF679</f>
        <v>0</v>
      </c>
      <c r="D123" s="279">
        <f>FISCinyear!IH679</f>
        <v>0</v>
      </c>
      <c r="E123" s="1019">
        <f t="shared" si="3"/>
        <v>0</v>
      </c>
      <c r="F123" s="279">
        <f>FISCinyear!II679</f>
        <v>0</v>
      </c>
      <c r="G123" s="279">
        <f>FISCinyear!IK679</f>
        <v>0</v>
      </c>
      <c r="H123" s="1019">
        <f t="shared" si="4"/>
        <v>0</v>
      </c>
      <c r="I123" s="279">
        <f>FISCinyear!IL679</f>
        <v>0</v>
      </c>
      <c r="J123" s="279">
        <f>FISCinyear!IN679</f>
        <v>0</v>
      </c>
      <c r="K123" s="1019">
        <f t="shared" si="5"/>
        <v>0</v>
      </c>
      <c r="L123" s="279">
        <f>FISCinyear!IO679</f>
        <v>0</v>
      </c>
      <c r="M123" s="279">
        <f>FISCinyear!IP679</f>
        <v>0</v>
      </c>
      <c r="N123" s="279">
        <f>FISCinyear!IQ679</f>
        <v>0</v>
      </c>
      <c r="O123" s="279">
        <f>FISCinyear!IR679</f>
        <v>0</v>
      </c>
      <c r="P123" s="279">
        <f>FISCinyear!IS679</f>
        <v>0</v>
      </c>
      <c r="Q123" s="279">
        <f>FISCinyear!IT679</f>
        <v>0</v>
      </c>
      <c r="R123" s="279">
        <f>FISCinyear!IU679</f>
        <v>0</v>
      </c>
      <c r="S123" s="279">
        <f>FISCinyear!IV679</f>
        <v>0</v>
      </c>
      <c r="T123" s="279">
        <f>FISCinyear!IY679</f>
        <v>0</v>
      </c>
      <c r="U123" s="1015"/>
      <c r="V123" s="1015"/>
      <c r="W123" s="1015"/>
      <c r="X123" s="1015"/>
    </row>
    <row r="124" spans="1:24" ht="15.3">
      <c r="A124" s="328" t="s">
        <v>169</v>
      </c>
      <c r="B124" s="279"/>
      <c r="C124" s="279">
        <f>FISCinyear!IF680</f>
        <v>-7.8866052349666589</v>
      </c>
      <c r="D124" s="279">
        <f>FISCinyear!IH680</f>
        <v>-7.6618348354405335</v>
      </c>
      <c r="E124" s="1019">
        <f t="shared" si="3"/>
        <v>-15.548440070407192</v>
      </c>
      <c r="F124" s="279">
        <f>FISCinyear!II680</f>
        <v>-9.4596201092731995</v>
      </c>
      <c r="G124" s="279">
        <f>FISCinyear!IK680</f>
        <v>-10.371153893708872</v>
      </c>
      <c r="H124" s="1019">
        <f t="shared" si="4"/>
        <v>-19.830774002982071</v>
      </c>
      <c r="I124" s="279">
        <f>FISCinyear!IL680</f>
        <v>-11.209427024400362</v>
      </c>
      <c r="J124" s="279">
        <f>FISCinyear!IN680</f>
        <v>-12.463463653213461</v>
      </c>
      <c r="K124" s="1019">
        <f t="shared" si="5"/>
        <v>-23.672890677613822</v>
      </c>
      <c r="L124" s="279">
        <f>FISCinyear!IO680</f>
        <v>-13.354294832703053</v>
      </c>
      <c r="M124" s="279">
        <f>FISCinyear!IP680</f>
        <v>-25.817758485916514</v>
      </c>
      <c r="N124" s="279">
        <f>FISCinyear!IQ680</f>
        <v>-13.299176749421351</v>
      </c>
      <c r="O124" s="279">
        <f>FISCinyear!IR680</f>
        <v>-15.365829548628913</v>
      </c>
      <c r="P124" s="279">
        <f>FISCinyear!IS680</f>
        <v>-28.665006298050265</v>
      </c>
      <c r="Q124" s="279">
        <f>FISCinyear!IT680</f>
        <v>-18.652246213770301</v>
      </c>
      <c r="R124" s="279">
        <f>FISCinyear!IU680</f>
        <v>-37.705055654120514</v>
      </c>
      <c r="S124" s="279">
        <f>FISCinyear!IV680</f>
        <v>-56.357301867890811</v>
      </c>
      <c r="T124" s="279">
        <f>FISCinyear!IY680</f>
        <v>76.369240314600148</v>
      </c>
      <c r="U124" s="1015"/>
      <c r="V124" s="1015"/>
      <c r="W124" s="1015"/>
      <c r="X124" s="1015"/>
    </row>
    <row r="125" spans="1:24" ht="15.3">
      <c r="A125" s="553" t="s">
        <v>828</v>
      </c>
      <c r="B125" s="279"/>
      <c r="C125" s="279">
        <f>FISCinyear!IF681</f>
        <v>131.06880880560877</v>
      </c>
      <c r="D125" s="279">
        <f>FISCinyear!IH681</f>
        <v>-77.56881422613624</v>
      </c>
      <c r="E125" s="1019">
        <f t="shared" si="3"/>
        <v>53.499994579472528</v>
      </c>
      <c r="F125" s="279">
        <f>FISCinyear!II681</f>
        <v>127.37091644493165</v>
      </c>
      <c r="G125" s="279">
        <f>FISCinyear!IK681</f>
        <v>-75.365327747001714</v>
      </c>
      <c r="H125" s="1019">
        <f t="shared" si="4"/>
        <v>52.005588697929937</v>
      </c>
      <c r="I125" s="279">
        <f>FISCinyear!IL681</f>
        <v>131.18312362037869</v>
      </c>
      <c r="J125" s="279">
        <f>FISCinyear!IN681</f>
        <v>-76.513563812377328</v>
      </c>
      <c r="K125" s="1019">
        <f t="shared" si="5"/>
        <v>54.669559808001367</v>
      </c>
      <c r="L125" s="279">
        <f>FISCinyear!IO681</f>
        <v>112.67301332015495</v>
      </c>
      <c r="M125" s="279">
        <f>FISCinyear!IP681</f>
        <v>42.957634732946076</v>
      </c>
      <c r="N125" s="279">
        <f>FISCinyear!IQ681</f>
        <v>-143.74839741295938</v>
      </c>
      <c r="O125" s="279">
        <f>FISCinyear!IR681</f>
        <v>217.89168079188099</v>
      </c>
      <c r="P125" s="279">
        <f>FISCinyear!IS681</f>
        <v>74.143283378921609</v>
      </c>
      <c r="Q125" s="279" t="e">
        <f>FISCinyear!IT681</f>
        <v>#REF!</v>
      </c>
      <c r="R125" s="279" t="e">
        <f>FISCinyear!IU681</f>
        <v>#REF!</v>
      </c>
      <c r="S125" s="279">
        <f>FISCinyear!IV681</f>
        <v>88.652325063023426</v>
      </c>
      <c r="T125" s="279">
        <f>FISCinyear!IY681</f>
        <v>265.5799971589999</v>
      </c>
      <c r="U125" s="1015"/>
      <c r="V125" s="1015"/>
      <c r="W125" s="1015"/>
      <c r="X125" s="1015"/>
    </row>
    <row r="126" spans="1:24" ht="15.3">
      <c r="A126" s="328" t="s">
        <v>833</v>
      </c>
      <c r="B126" s="279"/>
      <c r="C126" s="279">
        <f>FISCinyear!IF682</f>
        <v>146.46521094149634</v>
      </c>
      <c r="D126" s="279">
        <f>FISCinyear!IH682</f>
        <v>-84.930197692731696</v>
      </c>
      <c r="E126" s="1019">
        <f t="shared" si="3"/>
        <v>61.535013248764642</v>
      </c>
      <c r="F126" s="279">
        <f>FISCinyear!II682</f>
        <v>87.014940512036674</v>
      </c>
      <c r="G126" s="279">
        <f>FISCinyear!IK682</f>
        <v>-114.88601400629895</v>
      </c>
      <c r="H126" s="1019">
        <f t="shared" si="4"/>
        <v>-27.871073494262276</v>
      </c>
      <c r="I126" s="279">
        <f>FISCinyear!IL682</f>
        <v>129.51397008959785</v>
      </c>
      <c r="J126" s="279">
        <f>FISCinyear!IN682</f>
        <v>-83.333111696434202</v>
      </c>
      <c r="K126" s="1019">
        <f t="shared" si="5"/>
        <v>46.180858393163646</v>
      </c>
      <c r="L126" s="279">
        <f>FISCinyear!IO682</f>
        <v>132.16387338195821</v>
      </c>
      <c r="M126" s="279">
        <f>FISCinyear!IP682</f>
        <v>48.83076168552401</v>
      </c>
      <c r="N126" s="279">
        <f>FISCinyear!IQ682</f>
        <v>-189.84915272795936</v>
      </c>
      <c r="O126" s="279">
        <f>FISCinyear!IR682</f>
        <v>197.08576101588096</v>
      </c>
      <c r="P126" s="279">
        <f>FISCinyear!IS682</f>
        <v>7.236608287921598</v>
      </c>
      <c r="Q126" s="279" t="e">
        <f>FISCinyear!IT682</f>
        <v>#REF!</v>
      </c>
      <c r="R126" s="279" t="e">
        <f>FISCinyear!IU682</f>
        <v>#REF!</v>
      </c>
      <c r="S126" s="279">
        <f>FISCinyear!IV682</f>
        <v>88.652325063023426</v>
      </c>
      <c r="T126" s="279">
        <f>FISCinyear!IY682</f>
        <v>265.5799971589999</v>
      </c>
      <c r="U126" s="1015"/>
      <c r="V126" s="1015"/>
      <c r="W126" s="1015"/>
      <c r="X126" s="1015"/>
    </row>
    <row r="127" spans="1:24" ht="15.3">
      <c r="A127" s="328" t="s">
        <v>834</v>
      </c>
      <c r="B127" s="279"/>
      <c r="C127" s="279">
        <f>FISCinyear!IF683</f>
        <v>130.64977267549634</v>
      </c>
      <c r="D127" s="279">
        <f>FISCinyear!IH683</f>
        <v>-94.804403588731702</v>
      </c>
      <c r="E127" s="1019">
        <f t="shared" si="3"/>
        <v>35.845369086764634</v>
      </c>
      <c r="F127" s="279">
        <f>FISCinyear!II683</f>
        <v>84.82181102203667</v>
      </c>
      <c r="G127" s="279">
        <f>FISCinyear!IK683</f>
        <v>-104.74535862629895</v>
      </c>
      <c r="H127" s="1019">
        <f t="shared" si="4"/>
        <v>-19.923547604262282</v>
      </c>
      <c r="I127" s="279">
        <f>FISCinyear!IL683</f>
        <v>140.23457688459786</v>
      </c>
      <c r="J127" s="279">
        <f>FISCinyear!IN683</f>
        <v>-28.560000000000002</v>
      </c>
      <c r="K127" s="1019">
        <f t="shared" si="5"/>
        <v>111.67457688459785</v>
      </c>
      <c r="L127" s="279">
        <f>FISCinyear!IO683</f>
        <v>68.929999999999993</v>
      </c>
      <c r="M127" s="279">
        <f>FISCinyear!IP683</f>
        <v>40.36999999999999</v>
      </c>
      <c r="N127" s="279">
        <f>FISCinyear!IQ683</f>
        <v>-186.83570870995936</v>
      </c>
      <c r="O127" s="279">
        <f>FISCinyear!IR683</f>
        <v>200.47662621788095</v>
      </c>
      <c r="P127" s="279">
        <f>FISCinyear!IS683</f>
        <v>13.640917507921586</v>
      </c>
      <c r="Q127" s="279">
        <f>FISCinyear!IT683</f>
        <v>82.3</v>
      </c>
      <c r="R127" s="279">
        <f>FISCinyear!IU683</f>
        <v>29.100000000000094</v>
      </c>
      <c r="S127" s="279">
        <f>FISCinyear!IV683</f>
        <v>111.40000000000009</v>
      </c>
      <c r="T127" s="279">
        <f>FISCinyear!IY683</f>
        <v>284.39999999999992</v>
      </c>
      <c r="U127" s="1015"/>
      <c r="V127" s="1015"/>
      <c r="W127" s="1015"/>
      <c r="X127" s="1015"/>
    </row>
    <row r="128" spans="1:24" ht="15.3">
      <c r="A128" s="657" t="s">
        <v>786</v>
      </c>
      <c r="B128" s="279"/>
      <c r="C128" s="279">
        <f>FISCinyear!IF684</f>
        <v>0</v>
      </c>
      <c r="D128" s="279">
        <f>FISCinyear!IH684</f>
        <v>0</v>
      </c>
      <c r="E128" s="1019">
        <f t="shared" si="3"/>
        <v>0</v>
      </c>
      <c r="F128" s="279">
        <f>FISCinyear!II684</f>
        <v>0</v>
      </c>
      <c r="G128" s="279">
        <f>FISCinyear!IK684</f>
        <v>0</v>
      </c>
      <c r="H128" s="1019">
        <f t="shared" si="4"/>
        <v>0</v>
      </c>
      <c r="I128" s="279">
        <f>FISCinyear!IL684</f>
        <v>0</v>
      </c>
      <c r="J128" s="279">
        <f>FISCinyear!IN684</f>
        <v>0</v>
      </c>
      <c r="K128" s="1019">
        <f t="shared" si="5"/>
        <v>0</v>
      </c>
      <c r="L128" s="279">
        <f>FISCinyear!IO684</f>
        <v>40.36999999999999</v>
      </c>
      <c r="M128" s="279">
        <f>FISCinyear!IP684</f>
        <v>40.36999999999999</v>
      </c>
      <c r="N128" s="279">
        <f>FISCinyear!IQ684</f>
        <v>0</v>
      </c>
      <c r="O128" s="279">
        <f>FISCinyear!IR684</f>
        <v>0</v>
      </c>
      <c r="P128" s="279">
        <f>FISCinyear!IS684</f>
        <v>0</v>
      </c>
      <c r="Q128" s="279">
        <f>FISCinyear!IT684</f>
        <v>55.700000000000045</v>
      </c>
      <c r="R128" s="279">
        <f>FISCinyear!IU684</f>
        <v>55.700000000000045</v>
      </c>
      <c r="S128" s="279">
        <f>FISCinyear!IV684</f>
        <v>111.40000000000009</v>
      </c>
      <c r="T128" s="279">
        <f>FISCinyear!IY684</f>
        <v>284.39999999999992</v>
      </c>
      <c r="U128" s="1015"/>
      <c r="V128" s="1015"/>
      <c r="W128" s="1015"/>
      <c r="X128" s="1015"/>
    </row>
    <row r="129" spans="1:24" ht="15.3">
      <c r="A129" s="328" t="s">
        <v>835</v>
      </c>
      <c r="B129" s="279"/>
      <c r="C129" s="279">
        <f>FISCinyear!IF685</f>
        <v>0</v>
      </c>
      <c r="D129" s="279">
        <f>FISCinyear!IH685</f>
        <v>15.346579886000001</v>
      </c>
      <c r="E129" s="1019">
        <f t="shared" si="3"/>
        <v>15.346579886000001</v>
      </c>
      <c r="F129" s="279">
        <f>FISCinyear!II685</f>
        <v>4</v>
      </c>
      <c r="G129" s="279">
        <f>FISCinyear!IK685</f>
        <v>0</v>
      </c>
      <c r="H129" s="1019">
        <f t="shared" si="4"/>
        <v>4</v>
      </c>
      <c r="I129" s="279">
        <f>FISCinyear!IL685</f>
        <v>0</v>
      </c>
      <c r="J129" s="279">
        <f>FISCinyear!IN685</f>
        <v>0</v>
      </c>
      <c r="K129" s="1019">
        <f t="shared" si="5"/>
        <v>0</v>
      </c>
      <c r="L129" s="279">
        <f>FISCinyear!IO685</f>
        <v>0</v>
      </c>
      <c r="M129" s="279">
        <f>FISCinyear!IP685</f>
        <v>0</v>
      </c>
      <c r="N129" s="279">
        <f>FISCinyear!IQ685</f>
        <v>8.890239266</v>
      </c>
      <c r="O129" s="279">
        <f>FISCinyear!IR685</f>
        <v>8.7035184660000002</v>
      </c>
      <c r="P129" s="279">
        <f>FISCinyear!IS685</f>
        <v>17.593757732</v>
      </c>
      <c r="Q129" s="279">
        <f>FISCinyear!IT685</f>
        <v>0</v>
      </c>
      <c r="R129" s="279">
        <f>FISCinyear!IU685</f>
        <v>0</v>
      </c>
      <c r="S129" s="279">
        <f>FISCinyear!IV685</f>
        <v>0</v>
      </c>
      <c r="T129" s="279">
        <f>FISCinyear!IY685</f>
        <v>0</v>
      </c>
      <c r="U129" s="1015"/>
      <c r="V129" s="1015"/>
      <c r="W129" s="1015"/>
      <c r="X129" s="1015"/>
    </row>
    <row r="130" spans="1:24" ht="15.3">
      <c r="A130" s="328" t="s">
        <v>1115</v>
      </c>
      <c r="B130" s="279"/>
      <c r="C130" s="279">
        <f>FISCinyear!IF686</f>
        <v>15.815438266000001</v>
      </c>
      <c r="D130" s="279">
        <f>FISCinyear!IH686</f>
        <v>3.2776260099999996</v>
      </c>
      <c r="E130" s="1019">
        <f t="shared" si="3"/>
        <v>19.093064276</v>
      </c>
      <c r="F130" s="279">
        <f>FISCinyear!II686</f>
        <v>6.9431294900000005</v>
      </c>
      <c r="G130" s="279">
        <f>FISCinyear!IK686</f>
        <v>0</v>
      </c>
      <c r="H130" s="1019">
        <f t="shared" si="4"/>
        <v>6.9431294900000005</v>
      </c>
      <c r="I130" s="279">
        <f>FISCinyear!IL686</f>
        <v>0</v>
      </c>
      <c r="J130" s="279">
        <f>FISCinyear!IN686</f>
        <v>0</v>
      </c>
      <c r="K130" s="1019">
        <f t="shared" si="5"/>
        <v>0</v>
      </c>
      <c r="L130" s="279">
        <f>FISCinyear!IO686</f>
        <v>3.8466942869999912</v>
      </c>
      <c r="M130" s="279">
        <f>FISCinyear!IP686</f>
        <v>3.8466942869999912</v>
      </c>
      <c r="N130" s="279">
        <f>FISCinyear!IQ686</f>
        <v>0</v>
      </c>
      <c r="O130" s="279">
        <f>FISCinyear!IR686</f>
        <v>0</v>
      </c>
      <c r="P130" s="279">
        <f>FISCinyear!IS686</f>
        <v>0</v>
      </c>
      <c r="Q130" s="279">
        <f>FISCinyear!IT686</f>
        <v>0</v>
      </c>
      <c r="R130" s="279">
        <f>FISCinyear!IU686</f>
        <v>0</v>
      </c>
      <c r="S130" s="279">
        <f>FISCinyear!IV686</f>
        <v>0</v>
      </c>
      <c r="T130" s="279">
        <f>FISCinyear!IY686</f>
        <v>0</v>
      </c>
      <c r="U130" s="1015"/>
      <c r="V130" s="1015"/>
      <c r="W130" s="1015"/>
      <c r="X130" s="1015"/>
    </row>
    <row r="131" spans="1:24" ht="15.3">
      <c r="A131" s="328" t="s">
        <v>837</v>
      </c>
      <c r="B131" s="279"/>
      <c r="C131" s="279">
        <f>FISCinyear!IF687</f>
        <v>0</v>
      </c>
      <c r="D131" s="279">
        <f>FISCinyear!IH687</f>
        <v>0</v>
      </c>
      <c r="E131" s="1019">
        <f t="shared" si="3"/>
        <v>0</v>
      </c>
      <c r="F131" s="279">
        <f>FISCinyear!II687</f>
        <v>0</v>
      </c>
      <c r="G131" s="279">
        <f>FISCinyear!IK687</f>
        <v>0</v>
      </c>
      <c r="H131" s="1019">
        <f t="shared" si="4"/>
        <v>0</v>
      </c>
      <c r="I131" s="279">
        <f>FISCinyear!IL687</f>
        <v>0</v>
      </c>
      <c r="J131" s="279">
        <f>FISCinyear!IN687</f>
        <v>0</v>
      </c>
      <c r="K131" s="1019">
        <f t="shared" si="5"/>
        <v>0</v>
      </c>
      <c r="L131" s="279">
        <f>FISCinyear!IO687</f>
        <v>0</v>
      </c>
      <c r="M131" s="279">
        <f>FISCinyear!IP687</f>
        <v>0</v>
      </c>
      <c r="N131" s="279">
        <f>FISCinyear!IQ687</f>
        <v>0</v>
      </c>
      <c r="O131" s="279">
        <f>FISCinyear!IR687</f>
        <v>0</v>
      </c>
      <c r="P131" s="279">
        <f>FISCinyear!IS687</f>
        <v>0</v>
      </c>
      <c r="Q131" s="279">
        <f>FISCinyear!IT687</f>
        <v>0</v>
      </c>
      <c r="R131" s="279">
        <f>FISCinyear!IU687</f>
        <v>0</v>
      </c>
      <c r="S131" s="279">
        <f>FISCinyear!IV687</f>
        <v>0</v>
      </c>
      <c r="T131" s="279">
        <f>FISCinyear!IY687</f>
        <v>0</v>
      </c>
      <c r="U131" s="1015"/>
      <c r="V131" s="1015"/>
      <c r="W131" s="1015"/>
      <c r="X131" s="1015"/>
    </row>
    <row r="132" spans="1:24" ht="15.3">
      <c r="A132" s="328" t="s">
        <v>838</v>
      </c>
      <c r="B132" s="279"/>
      <c r="C132" s="279">
        <f>FISCinyear!IF690</f>
        <v>0</v>
      </c>
      <c r="D132" s="279">
        <f>FISCinyear!IH690</f>
        <v>0</v>
      </c>
      <c r="E132" s="1019">
        <f t="shared" si="3"/>
        <v>0</v>
      </c>
      <c r="F132" s="279">
        <f>FISCinyear!II690</f>
        <v>0</v>
      </c>
      <c r="G132" s="279">
        <f>FISCinyear!IK690</f>
        <v>0</v>
      </c>
      <c r="H132" s="1019">
        <f t="shared" si="4"/>
        <v>0</v>
      </c>
      <c r="I132" s="279">
        <f>FISCinyear!IL690</f>
        <v>0</v>
      </c>
      <c r="J132" s="279">
        <f>FISCinyear!IN690</f>
        <v>0</v>
      </c>
      <c r="K132" s="1019">
        <f t="shared" si="5"/>
        <v>0</v>
      </c>
      <c r="L132" s="279">
        <f>FISCinyear!IO690</f>
        <v>0</v>
      </c>
      <c r="M132" s="279">
        <f>FISCinyear!IP690</f>
        <v>0</v>
      </c>
      <c r="N132" s="279">
        <f>FISCinyear!IQ690</f>
        <v>0</v>
      </c>
      <c r="O132" s="279">
        <f>FISCinyear!IR690</f>
        <v>0</v>
      </c>
      <c r="P132" s="279">
        <f>FISCinyear!IS690</f>
        <v>0</v>
      </c>
      <c r="Q132" s="279">
        <f>FISCinyear!IT690</f>
        <v>0</v>
      </c>
      <c r="R132" s="279">
        <f>FISCinyear!IU690</f>
        <v>0</v>
      </c>
      <c r="S132" s="279">
        <f>FISCinyear!IV690</f>
        <v>0</v>
      </c>
      <c r="T132" s="279">
        <f>FISCinyear!IY690</f>
        <v>0</v>
      </c>
      <c r="U132" s="1015"/>
      <c r="V132" s="1015"/>
      <c r="W132" s="1015"/>
      <c r="X132" s="1015"/>
    </row>
    <row r="133" spans="1:24" ht="15.3">
      <c r="A133" s="657" t="s">
        <v>776</v>
      </c>
      <c r="B133" s="279"/>
      <c r="C133" s="279">
        <f>FISCinyear!IF691</f>
        <v>0</v>
      </c>
      <c r="D133" s="279">
        <f>FISCinyear!IH691</f>
        <v>0</v>
      </c>
      <c r="E133" s="1019">
        <f t="shared" si="3"/>
        <v>0</v>
      </c>
      <c r="F133" s="279">
        <f>FISCinyear!II691</f>
        <v>0</v>
      </c>
      <c r="G133" s="279">
        <f>FISCinyear!IK691</f>
        <v>0</v>
      </c>
      <c r="H133" s="1019">
        <f t="shared" si="4"/>
        <v>0</v>
      </c>
      <c r="I133" s="279">
        <f>FISCinyear!IL691</f>
        <v>0</v>
      </c>
      <c r="J133" s="279">
        <f>FISCinyear!IN691</f>
        <v>0</v>
      </c>
      <c r="K133" s="1019">
        <f t="shared" si="5"/>
        <v>0</v>
      </c>
      <c r="L133" s="279">
        <f>FISCinyear!IO691</f>
        <v>0</v>
      </c>
      <c r="M133" s="279">
        <f>FISCinyear!IP691</f>
        <v>0</v>
      </c>
      <c r="N133" s="279">
        <f>FISCinyear!IQ691</f>
        <v>0</v>
      </c>
      <c r="O133" s="279">
        <f>FISCinyear!IR691</f>
        <v>0</v>
      </c>
      <c r="P133" s="279">
        <f>FISCinyear!IS691</f>
        <v>0</v>
      </c>
      <c r="Q133" s="279">
        <f>FISCinyear!IT691</f>
        <v>0</v>
      </c>
      <c r="R133" s="279">
        <f>FISCinyear!IU691</f>
        <v>0</v>
      </c>
      <c r="S133" s="279">
        <f>FISCinyear!IV691</f>
        <v>0</v>
      </c>
      <c r="T133" s="279">
        <f>FISCinyear!IY691</f>
        <v>0</v>
      </c>
      <c r="U133" s="1015"/>
      <c r="V133" s="1015"/>
      <c r="W133" s="1015"/>
      <c r="X133" s="1015"/>
    </row>
    <row r="134" spans="1:24" ht="15.3">
      <c r="A134" s="657" t="s">
        <v>778</v>
      </c>
      <c r="B134" s="279"/>
      <c r="C134" s="279">
        <f>FISCinyear!IF692</f>
        <v>0</v>
      </c>
      <c r="D134" s="279">
        <f>FISCinyear!IH692</f>
        <v>0</v>
      </c>
      <c r="E134" s="1019">
        <f t="shared" ref="E134:E142" si="6">C134+D134</f>
        <v>0</v>
      </c>
      <c r="F134" s="279">
        <f>FISCinyear!II692</f>
        <v>0</v>
      </c>
      <c r="G134" s="279">
        <f>FISCinyear!IK692</f>
        <v>0</v>
      </c>
      <c r="H134" s="1019">
        <f t="shared" ref="H134:H142" si="7">F134+G134</f>
        <v>0</v>
      </c>
      <c r="I134" s="279">
        <f>FISCinyear!IL692</f>
        <v>0</v>
      </c>
      <c r="J134" s="279">
        <f>FISCinyear!IN692</f>
        <v>0</v>
      </c>
      <c r="K134" s="1019">
        <f t="shared" ref="K134:K142" si="8">I134+J134</f>
        <v>0</v>
      </c>
      <c r="L134" s="279">
        <f>FISCinyear!IO692</f>
        <v>0</v>
      </c>
      <c r="M134" s="279">
        <f>FISCinyear!IP692</f>
        <v>0</v>
      </c>
      <c r="N134" s="279">
        <f>FISCinyear!IQ692</f>
        <v>0</v>
      </c>
      <c r="O134" s="279">
        <f>FISCinyear!IR692</f>
        <v>0</v>
      </c>
      <c r="P134" s="279">
        <f>FISCinyear!IS692</f>
        <v>0</v>
      </c>
      <c r="Q134" s="279">
        <f>FISCinyear!IT692</f>
        <v>0</v>
      </c>
      <c r="R134" s="279">
        <f>FISCinyear!IU692</f>
        <v>0</v>
      </c>
      <c r="S134" s="279">
        <f>FISCinyear!IV692</f>
        <v>0</v>
      </c>
      <c r="T134" s="279">
        <f>FISCinyear!IY692</f>
        <v>0</v>
      </c>
      <c r="U134" s="1015"/>
      <c r="V134" s="1015"/>
      <c r="W134" s="1015"/>
      <c r="X134" s="1015"/>
    </row>
    <row r="135" spans="1:24" ht="15.3">
      <c r="A135" s="328" t="s">
        <v>839</v>
      </c>
      <c r="B135" s="279"/>
      <c r="C135" s="279">
        <f>FISCinyear!IF693</f>
        <v>0</v>
      </c>
      <c r="D135" s="279">
        <f>FISCinyear!IH693</f>
        <v>-4.3499999999999996</v>
      </c>
      <c r="E135" s="1019">
        <f t="shared" si="6"/>
        <v>-4.3499999999999996</v>
      </c>
      <c r="F135" s="279">
        <f>FISCinyear!II693</f>
        <v>-4.3499999999999996</v>
      </c>
      <c r="G135" s="279">
        <f>FISCinyear!IK693</f>
        <v>-4.9875074160000006</v>
      </c>
      <c r="H135" s="1019">
        <f t="shared" si="7"/>
        <v>-9.3375074160000011</v>
      </c>
      <c r="I135" s="279">
        <f>FISCinyear!IL693</f>
        <v>-5.2536406659999999</v>
      </c>
      <c r="J135" s="279">
        <f>FISCinyear!IN693</f>
        <v>1.143047465</v>
      </c>
      <c r="K135" s="1019">
        <f t="shared" si="8"/>
        <v>-4.1105932010000004</v>
      </c>
      <c r="L135" s="279">
        <f>FISCinyear!IO693</f>
        <v>2.1898058840000005</v>
      </c>
      <c r="M135" s="279">
        <f>FISCinyear!IP693</f>
        <v>3.3328533490000005</v>
      </c>
      <c r="N135" s="279">
        <f>FISCinyear!IQ693</f>
        <v>-5.4140903420000006</v>
      </c>
      <c r="O135" s="279">
        <f>FISCinyear!IR693</f>
        <v>-5.57002519</v>
      </c>
      <c r="P135" s="279">
        <f>FISCinyear!IS693</f>
        <v>-10.984115532000001</v>
      </c>
      <c r="Q135" s="279" t="e">
        <f>FISCinyear!IT693</f>
        <v>#REF!</v>
      </c>
      <c r="R135" s="279" t="e">
        <f>FISCinyear!IU693</f>
        <v>#REF!</v>
      </c>
      <c r="S135" s="279">
        <f>FISCinyear!IV693</f>
        <v>-0.88282153700000165</v>
      </c>
      <c r="T135" s="279">
        <f>FISCinyear!IY693</f>
        <v>-3.3520687910000007</v>
      </c>
      <c r="U135" s="1015"/>
      <c r="V135" s="1015"/>
      <c r="W135" s="1015"/>
      <c r="X135" s="1015"/>
    </row>
    <row r="136" spans="1:24" ht="15.3">
      <c r="A136" s="328" t="s">
        <v>840</v>
      </c>
      <c r="B136" s="279"/>
      <c r="C136" s="279">
        <f>FISCinyear!IF694</f>
        <v>0</v>
      </c>
      <c r="D136" s="279">
        <f>FISCinyear!IH694</f>
        <v>-4.4000000000000004</v>
      </c>
      <c r="E136" s="1019">
        <f t="shared" si="6"/>
        <v>-4.4000000000000004</v>
      </c>
      <c r="F136" s="279">
        <f>FISCinyear!II694</f>
        <v>-4.4000000000000004</v>
      </c>
      <c r="G136" s="279">
        <f>FISCinyear!IK694</f>
        <v>-5.1531479639999995</v>
      </c>
      <c r="H136" s="1019">
        <f t="shared" si="7"/>
        <v>-9.5531479640000008</v>
      </c>
      <c r="I136" s="279">
        <f>FISCinyear!IL694</f>
        <v>-5.4669661290000002</v>
      </c>
      <c r="J136" s="279">
        <f>FISCinyear!IN694</f>
        <v>-5.7065401065000003</v>
      </c>
      <c r="K136" s="1019">
        <f t="shared" si="8"/>
        <v>-11.1735062355</v>
      </c>
      <c r="L136" s="279">
        <f>FISCinyear!IO694</f>
        <v>-5.7065401065000003</v>
      </c>
      <c r="M136" s="279">
        <f>FISCinyear!IP694</f>
        <v>-11.413080213000001</v>
      </c>
      <c r="N136" s="279">
        <f>FISCinyear!IQ694</f>
        <v>-6.4895929419999998</v>
      </c>
      <c r="O136" s="279">
        <f>FISCinyear!IR694</f>
        <v>-6.5243584779999999</v>
      </c>
      <c r="P136" s="279">
        <f>FISCinyear!IS694</f>
        <v>-13.01395142</v>
      </c>
      <c r="Q136" s="279" t="e">
        <f>FISCinyear!IT694</f>
        <v>#REF!</v>
      </c>
      <c r="R136" s="279" t="e">
        <f>FISCinyear!IU694</f>
        <v>#REF!</v>
      </c>
      <c r="S136" s="279">
        <f>FISCinyear!IV694</f>
        <v>-14.332764489999999</v>
      </c>
      <c r="T136" s="279">
        <f>FISCinyear!IY694</f>
        <v>-15.46793405</v>
      </c>
      <c r="U136" s="1015"/>
      <c r="V136" s="1015"/>
      <c r="W136" s="1015"/>
      <c r="X136" s="1015"/>
    </row>
    <row r="137" spans="1:24" ht="15.3">
      <c r="A137" s="322" t="s">
        <v>831</v>
      </c>
      <c r="B137" s="279"/>
      <c r="C137" s="279">
        <f>FISCinyear!IF695</f>
        <v>10.669626043163671</v>
      </c>
      <c r="D137" s="279">
        <f>FISCinyear!IH695</f>
        <v>7.3613834665954556</v>
      </c>
      <c r="E137" s="1019">
        <f t="shared" si="6"/>
        <v>18.031009509759127</v>
      </c>
      <c r="F137" s="279">
        <f>FISCinyear!II695</f>
        <v>40.355975932894978</v>
      </c>
      <c r="G137" s="279">
        <f>FISCinyear!IK695</f>
        <v>39.520686259297236</v>
      </c>
      <c r="H137" s="1019">
        <f t="shared" si="7"/>
        <v>79.876662192192214</v>
      </c>
      <c r="I137" s="279">
        <f>FISCinyear!IL695</f>
        <v>1.6691535307808563</v>
      </c>
      <c r="J137" s="279">
        <f>FISCinyear!IN695</f>
        <v>-24.621827508577802</v>
      </c>
      <c r="K137" s="1019">
        <f t="shared" si="8"/>
        <v>-22.952673977796945</v>
      </c>
      <c r="L137" s="279">
        <f>FISCinyear!IO695</f>
        <v>18.748700555999868</v>
      </c>
      <c r="M137" s="279">
        <f>FISCinyear!IP695</f>
        <v>-5.8731269525779339</v>
      </c>
      <c r="N137" s="279">
        <f>FISCinyear!IQ695</f>
        <v>46.100755314999986</v>
      </c>
      <c r="O137" s="279">
        <f>FISCinyear!IR695</f>
        <v>20.805919776000003</v>
      </c>
      <c r="P137" s="279">
        <f>FISCinyear!IS695</f>
        <v>66.906675090999983</v>
      </c>
      <c r="Q137" s="279">
        <f>FISCinyear!IT695</f>
        <v>0.22709999999995034</v>
      </c>
      <c r="R137" s="279">
        <f>FISCinyear!IU695</f>
        <v>-0.22709999999995034</v>
      </c>
      <c r="S137" s="279">
        <f>FISCinyear!IV695</f>
        <v>0</v>
      </c>
      <c r="T137" s="279">
        <f>FISCinyear!IY695</f>
        <v>0</v>
      </c>
      <c r="U137" s="1015"/>
      <c r="V137" s="1015"/>
      <c r="W137" s="1015"/>
      <c r="X137" s="1015"/>
    </row>
    <row r="138" spans="1:24" ht="15.3">
      <c r="A138" s="328" t="s">
        <v>832</v>
      </c>
      <c r="B138" s="279"/>
      <c r="C138" s="279">
        <f>FISCinyear!IF696</f>
        <v>12.880599999999996</v>
      </c>
      <c r="D138" s="279">
        <f>FISCinyear!IH696</f>
        <v>16.802700000000005</v>
      </c>
      <c r="E138" s="1019">
        <f t="shared" si="6"/>
        <v>29.683300000000003</v>
      </c>
      <c r="F138" s="279">
        <f>FISCinyear!II696</f>
        <v>42.454099999999983</v>
      </c>
      <c r="G138" s="279">
        <f>FISCinyear!IK696</f>
        <v>44.544243921577923</v>
      </c>
      <c r="H138" s="1019">
        <f t="shared" si="7"/>
        <v>86.998343921577913</v>
      </c>
      <c r="I138" s="279">
        <f>FISCinyear!IL696</f>
        <v>8.4030000000000058</v>
      </c>
      <c r="J138" s="279">
        <f>FISCinyear!IN696</f>
        <v>-12.653143921577801</v>
      </c>
      <c r="K138" s="1019">
        <f t="shared" si="8"/>
        <v>-4.250143921577795</v>
      </c>
      <c r="L138" s="279">
        <f>FISCinyear!IO696</f>
        <v>29.125483031000002</v>
      </c>
      <c r="M138" s="279">
        <f>FISCinyear!IP696</f>
        <v>23.252356078422068</v>
      </c>
      <c r="N138" s="279">
        <f>FISCinyear!IQ696</f>
        <v>63.684599999999989</v>
      </c>
      <c r="O138" s="279">
        <f>FISCinyear!IR696</f>
        <v>51.732900000000001</v>
      </c>
      <c r="P138" s="279">
        <f>FISCinyear!IS696</f>
        <v>115.41749999999999</v>
      </c>
      <c r="Q138" s="279">
        <f>FISCinyear!IT696</f>
        <v>5.2270999999999503</v>
      </c>
      <c r="R138" s="279">
        <f>FISCinyear!IU696</f>
        <v>44.565886081200048</v>
      </c>
      <c r="S138" s="279">
        <f>FISCinyear!IV696</f>
        <v>49.792986081199999</v>
      </c>
      <c r="T138" s="279">
        <f>FISCinyear!IY696</f>
        <v>57.334954867739597</v>
      </c>
      <c r="U138" s="1015"/>
      <c r="V138" s="1015"/>
      <c r="W138" s="1015"/>
      <c r="X138" s="1015"/>
    </row>
    <row r="139" spans="1:24" ht="15.3">
      <c r="A139" s="328" t="s">
        <v>171</v>
      </c>
      <c r="B139" s="279"/>
      <c r="C139" s="279">
        <f>FISCinyear!IF697</f>
        <v>-2.8145000000000007</v>
      </c>
      <c r="D139" s="279">
        <f>FISCinyear!IH697</f>
        <v>2.8942000000000005</v>
      </c>
      <c r="E139" s="1019">
        <f t="shared" si="6"/>
        <v>7.9699999999999882E-2</v>
      </c>
      <c r="F139" s="279">
        <f>FISCinyear!II697</f>
        <v>26.736300000000004</v>
      </c>
      <c r="G139" s="279">
        <f>FISCinyear!IK697</f>
        <v>22.475243921577921</v>
      </c>
      <c r="H139" s="1019">
        <f t="shared" si="7"/>
        <v>49.211543921577928</v>
      </c>
      <c r="I139" s="279">
        <f>FISCinyear!IL697</f>
        <v>-1.109099999999998</v>
      </c>
      <c r="J139" s="279">
        <f>FISCinyear!IN697</f>
        <v>0</v>
      </c>
      <c r="K139" s="1019">
        <f t="shared" si="8"/>
        <v>-1.109099999999998</v>
      </c>
      <c r="L139" s="279">
        <f>FISCinyear!IO697</f>
        <v>14.562741515500001</v>
      </c>
      <c r="M139" s="279">
        <f>FISCinyear!IP697</f>
        <v>14.562741515500001</v>
      </c>
      <c r="N139" s="279">
        <f>FISCinyear!IQ697</f>
        <v>37.564099999999996</v>
      </c>
      <c r="O139" s="279">
        <f>FISCinyear!IR697</f>
        <v>16.226699999999994</v>
      </c>
      <c r="P139" s="279">
        <f>FISCinyear!IS697</f>
        <v>53.79079999999999</v>
      </c>
      <c r="Q139" s="279">
        <f>FISCinyear!IT697</f>
        <v>5.2270999999999503</v>
      </c>
      <c r="R139" s="279">
        <f>FISCinyear!IU697</f>
        <v>19.669393040600049</v>
      </c>
      <c r="S139" s="279">
        <f>FISCinyear!IV697</f>
        <v>24.896493040599999</v>
      </c>
      <c r="T139" s="279">
        <f>FISCinyear!IY697</f>
        <v>28.667477433869799</v>
      </c>
      <c r="U139" s="1015"/>
      <c r="V139" s="1015"/>
      <c r="W139" s="1015"/>
      <c r="X139" s="1015"/>
    </row>
    <row r="140" spans="1:24" ht="15.3">
      <c r="A140" s="328" t="s">
        <v>172</v>
      </c>
      <c r="B140" s="279"/>
      <c r="C140" s="279">
        <f>FISCinyear!IF698</f>
        <v>15.695099999999996</v>
      </c>
      <c r="D140" s="279">
        <f>FISCinyear!IH698</f>
        <v>13.908500000000004</v>
      </c>
      <c r="E140" s="1019">
        <f t="shared" si="6"/>
        <v>29.6036</v>
      </c>
      <c r="F140" s="279">
        <f>FISCinyear!II698</f>
        <v>15.717799999999983</v>
      </c>
      <c r="G140" s="279">
        <f>FISCinyear!IK698</f>
        <v>22.069000000000003</v>
      </c>
      <c r="H140" s="1019">
        <f t="shared" si="7"/>
        <v>37.786799999999985</v>
      </c>
      <c r="I140" s="279">
        <f>FISCinyear!IL698</f>
        <v>9.5121000000000038</v>
      </c>
      <c r="J140" s="279">
        <f>FISCinyear!IN698</f>
        <v>0</v>
      </c>
      <c r="K140" s="1019">
        <f t="shared" si="8"/>
        <v>9.5121000000000038</v>
      </c>
      <c r="L140" s="279">
        <f>FISCinyear!IO698</f>
        <v>14.562741515500001</v>
      </c>
      <c r="M140" s="279">
        <f>FISCinyear!IP698</f>
        <v>14.562741515500001</v>
      </c>
      <c r="N140" s="279">
        <f>FISCinyear!IQ698</f>
        <v>26.120499999999993</v>
      </c>
      <c r="O140" s="279">
        <f>FISCinyear!IR698</f>
        <v>35.506200000000007</v>
      </c>
      <c r="P140" s="279">
        <f>FISCinyear!IS698</f>
        <v>61.6267</v>
      </c>
      <c r="Q140" s="279">
        <f>FISCinyear!IT698</f>
        <v>0</v>
      </c>
      <c r="R140" s="279">
        <f>FISCinyear!IU698</f>
        <v>24.896493040599999</v>
      </c>
      <c r="S140" s="279">
        <f>FISCinyear!IV698</f>
        <v>24.896493040599999</v>
      </c>
      <c r="T140" s="279">
        <f>FISCinyear!IY698</f>
        <v>28.667477433869799</v>
      </c>
      <c r="U140" s="1015"/>
      <c r="V140" s="1015"/>
      <c r="W140" s="1015"/>
      <c r="X140" s="1015"/>
    </row>
    <row r="141" spans="1:24" ht="15.3">
      <c r="A141" s="328" t="s">
        <v>1059</v>
      </c>
      <c r="B141" s="279"/>
      <c r="C141" s="279">
        <f>FISCinyear!IF699</f>
        <v>-2.2109739568363254</v>
      </c>
      <c r="D141" s="279">
        <f>FISCinyear!IH699</f>
        <v>-9.4413165334045495</v>
      </c>
      <c r="E141" s="1019">
        <f t="shared" si="6"/>
        <v>-11.652290490240874</v>
      </c>
      <c r="F141" s="279">
        <f>FISCinyear!II699</f>
        <v>-2.098124067105005</v>
      </c>
      <c r="G141" s="279">
        <f>FISCinyear!IK699</f>
        <v>-5.0235576622806848</v>
      </c>
      <c r="H141" s="1019">
        <f t="shared" si="7"/>
        <v>-7.1216817293856902</v>
      </c>
      <c r="I141" s="279">
        <f>FISCinyear!IL699</f>
        <v>-6.7338464692191495</v>
      </c>
      <c r="J141" s="279">
        <f>FISCinyear!IN699</f>
        <v>-11.968683586999999</v>
      </c>
      <c r="K141" s="1019">
        <f t="shared" si="8"/>
        <v>-18.70253005621915</v>
      </c>
      <c r="L141" s="279">
        <f>FISCinyear!IO699</f>
        <v>-17.156799444000001</v>
      </c>
      <c r="M141" s="279">
        <f>FISCinyear!IP699</f>
        <v>-29.125483031000002</v>
      </c>
      <c r="N141" s="279">
        <f>FISCinyear!IQ699</f>
        <v>-17.583844684999999</v>
      </c>
      <c r="O141" s="279">
        <f>FISCinyear!IR699</f>
        <v>-30.926980223999998</v>
      </c>
      <c r="P141" s="279">
        <f>FISCinyear!IS699</f>
        <v>-48.510824908999993</v>
      </c>
      <c r="Q141" s="279">
        <f>FISCinyear!IT699</f>
        <v>-5</v>
      </c>
      <c r="R141" s="279">
        <f>FISCinyear!IU699</f>
        <v>-44.792986081199999</v>
      </c>
      <c r="S141" s="279">
        <f>FISCinyear!IV699</f>
        <v>-49.792986081199999</v>
      </c>
      <c r="T141" s="279">
        <f>FISCinyear!IY699</f>
        <v>-57.334954867739597</v>
      </c>
      <c r="U141" s="1015"/>
      <c r="V141" s="1015"/>
      <c r="W141" s="1015"/>
      <c r="X141" s="1015"/>
    </row>
    <row r="142" spans="1:24" ht="15.3">
      <c r="A142" s="328" t="s">
        <v>325</v>
      </c>
      <c r="B142" s="279"/>
      <c r="C142" s="279">
        <f>FISCinyear!IF700</f>
        <v>-26.066028179051241</v>
      </c>
      <c r="D142" s="279">
        <f>FISCinyear!IH700</f>
        <v>7.2195756197222636</v>
      </c>
      <c r="E142" s="1019">
        <f t="shared" si="6"/>
        <v>-18.846452559328977</v>
      </c>
      <c r="F142" s="279">
        <f>FISCinyear!II700</f>
        <v>-2.6361895212608246</v>
      </c>
      <c r="G142" s="279">
        <f>FISCinyear!IK700</f>
        <v>48.569937302865981</v>
      </c>
      <c r="H142" s="1019">
        <f t="shared" si="7"/>
        <v>45.933747781605156</v>
      </c>
      <c r="I142" s="279">
        <f>FISCinyear!IL700</f>
        <v>-54.496197637255051</v>
      </c>
      <c r="J142" s="279">
        <f>FISCinyear!IN700</f>
        <v>31.441375392634676</v>
      </c>
      <c r="K142" s="1019">
        <f t="shared" si="8"/>
        <v>-23.054822244620375</v>
      </c>
      <c r="L142" s="279">
        <f>FISCinyear!IO700</f>
        <v>-38.239560617803129</v>
      </c>
      <c r="M142" s="279">
        <f>FISCinyear!IP700</f>
        <v>-6.7981852251683677</v>
      </c>
      <c r="N142" s="279" t="e">
        <f>FISCinyear!IQ700</f>
        <v>#REF!</v>
      </c>
      <c r="O142" s="279">
        <f>FISCinyear!IR700</f>
        <v>-50.299324984260238</v>
      </c>
      <c r="P142" s="279" t="e">
        <f>FISCinyear!IS700</f>
        <v>#REF!</v>
      </c>
      <c r="Q142" s="279" t="e">
        <f>FISCinyear!IT700</f>
        <v>#REF!</v>
      </c>
      <c r="R142" s="279" t="e">
        <f>FISCinyear!IU700</f>
        <v>#REF!</v>
      </c>
      <c r="S142" s="279">
        <f>FISCinyear!IV700</f>
        <v>4.618670773697886E-2</v>
      </c>
      <c r="T142" s="279">
        <f>FISCinyear!IY700</f>
        <v>-4.0402667918783663E-2</v>
      </c>
      <c r="U142" s="1015"/>
      <c r="V142" s="1015"/>
      <c r="W142" s="1015"/>
      <c r="X142" s="1015"/>
    </row>
    <row r="145" spans="1:1">
      <c r="A145" t="s">
        <v>868</v>
      </c>
    </row>
    <row r="146" spans="1:1">
      <c r="A146" t="s">
        <v>814</v>
      </c>
    </row>
    <row r="148" spans="1:1">
      <c r="A148" s="104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2:O157"/>
  <sheetViews>
    <sheetView topLeftCell="A124" workbookViewId="0">
      <selection activeCell="X126" sqref="X126"/>
    </sheetView>
  </sheetViews>
  <sheetFormatPr defaultRowHeight="14.4"/>
  <cols>
    <col min="2" max="2" width="74.7890625" bestFit="1" customWidth="1"/>
  </cols>
  <sheetData>
    <row r="2" spans="2:14">
      <c r="C2" s="350">
        <v>2016</v>
      </c>
      <c r="D2" s="350"/>
      <c r="E2" s="350">
        <v>2017</v>
      </c>
      <c r="F2" s="350"/>
      <c r="G2" s="350">
        <v>2018</v>
      </c>
      <c r="H2" s="350"/>
      <c r="I2" s="350"/>
      <c r="J2" s="350">
        <v>2019</v>
      </c>
      <c r="K2" s="350"/>
      <c r="L2" s="350">
        <v>2020</v>
      </c>
      <c r="M2" s="350"/>
      <c r="N2" s="350">
        <v>2021</v>
      </c>
    </row>
    <row r="3" spans="2:14" ht="15.6">
      <c r="B3" s="748" t="s">
        <v>888</v>
      </c>
      <c r="C3" s="681" t="s">
        <v>178</v>
      </c>
      <c r="D3" s="3197" t="s">
        <v>179</v>
      </c>
      <c r="E3" s="3198"/>
      <c r="F3" s="3198" t="s">
        <v>180</v>
      </c>
      <c r="G3" s="3198"/>
      <c r="H3" s="1055"/>
      <c r="I3" s="3198" t="s">
        <v>181</v>
      </c>
      <c r="J3" s="3198"/>
      <c r="K3" s="3198" t="s">
        <v>182</v>
      </c>
      <c r="L3" s="3198"/>
      <c r="M3" s="3198" t="s">
        <v>1062</v>
      </c>
      <c r="N3" s="3198"/>
    </row>
    <row r="4" spans="2:14" ht="31.8">
      <c r="B4" s="106"/>
      <c r="C4" s="120"/>
      <c r="D4" s="1046" t="s">
        <v>1124</v>
      </c>
      <c r="E4" s="1046" t="s">
        <v>1128</v>
      </c>
      <c r="F4" s="1046" t="s">
        <v>1124</v>
      </c>
      <c r="G4" s="1046" t="s">
        <v>1127</v>
      </c>
      <c r="H4" s="1046"/>
      <c r="I4" s="1046" t="s">
        <v>1124</v>
      </c>
      <c r="J4" s="1046" t="s">
        <v>1127</v>
      </c>
      <c r="K4" s="1046" t="s">
        <v>1124</v>
      </c>
      <c r="L4" s="1046" t="s">
        <v>1127</v>
      </c>
      <c r="M4" s="1046" t="s">
        <v>1124</v>
      </c>
      <c r="N4" s="1046" t="s">
        <v>1127</v>
      </c>
    </row>
    <row r="5" spans="2:14" ht="15" customHeight="1">
      <c r="B5" s="104" t="s">
        <v>620</v>
      </c>
      <c r="C5" s="120"/>
      <c r="D5" s="1045"/>
      <c r="E5" s="1008"/>
      <c r="F5" s="1045"/>
      <c r="G5" s="351"/>
      <c r="H5" s="351"/>
      <c r="I5" s="1045"/>
      <c r="J5" s="351"/>
      <c r="K5" s="1045"/>
      <c r="L5" s="351"/>
      <c r="M5" s="1045"/>
      <c r="N5" s="351"/>
    </row>
    <row r="6" spans="2:14" ht="15" customHeight="1">
      <c r="B6" s="104" t="s">
        <v>114</v>
      </c>
      <c r="C6" s="120">
        <v>1541.6572083762826</v>
      </c>
      <c r="D6" s="1015">
        <v>1598.5392411444034</v>
      </c>
      <c r="E6" s="1008">
        <v>1615.7619294919559</v>
      </c>
      <c r="F6" s="1015">
        <v>1771.5152556855039</v>
      </c>
      <c r="G6" s="105">
        <f>FISC!AC743</f>
        <v>1820.4124327910465</v>
      </c>
      <c r="H6" s="105">
        <f>G6-F6</f>
        <v>48.897177105542596</v>
      </c>
      <c r="I6" s="1015">
        <v>1929.1584714882906</v>
      </c>
      <c r="J6" s="105">
        <v>1902.4502184177475</v>
      </c>
      <c r="K6" s="1015">
        <v>2227.9665336612379</v>
      </c>
      <c r="L6" s="105">
        <v>2188.4379314146263</v>
      </c>
      <c r="M6" s="1015">
        <v>2433.8147519082545</v>
      </c>
      <c r="N6" s="105">
        <v>2613.5678422466726</v>
      </c>
    </row>
    <row r="7" spans="2:14" ht="15" customHeight="1">
      <c r="B7" s="106"/>
      <c r="C7" s="682"/>
      <c r="D7" s="1015"/>
      <c r="E7" s="1008"/>
      <c r="F7" s="1015"/>
      <c r="G7" s="105">
        <f>FISC!AC744</f>
        <v>0</v>
      </c>
      <c r="H7" s="105">
        <f t="shared" ref="H7:H70" si="0">G7-F7</f>
        <v>0</v>
      </c>
      <c r="I7" s="1015"/>
      <c r="J7" s="105"/>
      <c r="K7" s="1015"/>
      <c r="L7" s="105"/>
      <c r="M7" s="1015"/>
      <c r="N7" s="105"/>
    </row>
    <row r="8" spans="2:14">
      <c r="B8" s="107" t="s">
        <v>116</v>
      </c>
      <c r="C8" s="120">
        <v>1167.9101980985556</v>
      </c>
      <c r="D8" s="1015">
        <v>1265.3580729117375</v>
      </c>
      <c r="E8" s="1008">
        <v>1285.5798455454374</v>
      </c>
      <c r="F8" s="1015">
        <v>1414.8318506519786</v>
      </c>
      <c r="G8" s="105">
        <f>FISC!AC745</f>
        <v>1461.503755922336</v>
      </c>
      <c r="H8" s="105">
        <f t="shared" si="0"/>
        <v>46.671905270357456</v>
      </c>
      <c r="I8" s="1015">
        <v>1543.0001074928862</v>
      </c>
      <c r="J8" s="105">
        <v>1537.2076497146127</v>
      </c>
      <c r="K8" s="1015">
        <v>1796.7225313209719</v>
      </c>
      <c r="L8" s="105">
        <v>1789.9069807073029</v>
      </c>
      <c r="M8" s="1015">
        <v>2032.61401626777</v>
      </c>
      <c r="N8" s="105">
        <v>2217.3623138778808</v>
      </c>
    </row>
    <row r="9" spans="2:14">
      <c r="B9" s="677" t="s">
        <v>117</v>
      </c>
      <c r="C9" s="105">
        <v>1000.3139498321091</v>
      </c>
      <c r="D9" s="1015">
        <v>1101.4000000000001</v>
      </c>
      <c r="E9" s="1008">
        <v>1104.143145074856</v>
      </c>
      <c r="F9" s="1015">
        <v>1229.852523997391</v>
      </c>
      <c r="G9" s="105">
        <f>FISC!AC746</f>
        <v>1252.8836310898428</v>
      </c>
      <c r="H9" s="105">
        <f t="shared" si="0"/>
        <v>23.031107092451748</v>
      </c>
      <c r="I9" s="1015">
        <v>1356.3394189763394</v>
      </c>
      <c r="J9" s="105">
        <v>1356.2387215889808</v>
      </c>
      <c r="K9" s="1015">
        <v>1593.3094701140981</v>
      </c>
      <c r="L9" s="105">
        <v>1593.3188121205901</v>
      </c>
      <c r="M9" s="1015">
        <v>1824.4285410898426</v>
      </c>
      <c r="N9" s="105">
        <v>1951.3388667051358</v>
      </c>
    </row>
    <row r="10" spans="2:14">
      <c r="B10" s="109" t="s">
        <v>118</v>
      </c>
      <c r="C10" s="134"/>
      <c r="D10" s="1015"/>
      <c r="E10" s="1008"/>
      <c r="F10" s="1015"/>
      <c r="G10" s="133">
        <f>FISC!AC747</f>
        <v>0</v>
      </c>
      <c r="H10" s="105">
        <f t="shared" si="0"/>
        <v>0</v>
      </c>
      <c r="I10" s="1015"/>
      <c r="J10" s="133"/>
      <c r="K10" s="1015"/>
      <c r="L10" s="133"/>
      <c r="M10" s="1015"/>
      <c r="N10" s="133"/>
    </row>
    <row r="11" spans="2:14">
      <c r="B11" s="678" t="s">
        <v>119</v>
      </c>
      <c r="C11" s="652">
        <v>406.15890469125247</v>
      </c>
      <c r="D11" s="1015">
        <v>448.6</v>
      </c>
      <c r="E11" s="1008">
        <v>468.38349499953603</v>
      </c>
      <c r="F11" s="1015">
        <v>518.4274289</v>
      </c>
      <c r="G11" s="548">
        <f>FISC!AC748</f>
        <v>538.69490139370396</v>
      </c>
      <c r="H11" s="105">
        <f t="shared" si="0"/>
        <v>20.267472493703963</v>
      </c>
      <c r="I11" s="1015">
        <v>587.13040421934295</v>
      </c>
      <c r="J11" s="548">
        <v>587.09365041830199</v>
      </c>
      <c r="K11" s="1015">
        <v>669.78943160999461</v>
      </c>
      <c r="L11" s="548">
        <v>669.88334829931182</v>
      </c>
      <c r="M11" s="1015">
        <v>790.38470655673939</v>
      </c>
      <c r="N11" s="105">
        <v>838.53802580804017</v>
      </c>
    </row>
    <row r="12" spans="2:14">
      <c r="B12" s="109" t="s">
        <v>928</v>
      </c>
      <c r="C12" s="652">
        <v>13.641704387109074</v>
      </c>
      <c r="D12" s="1015">
        <v>20</v>
      </c>
      <c r="E12" s="1008">
        <v>17.44054101961876</v>
      </c>
      <c r="F12" s="1015">
        <v>29.3</v>
      </c>
      <c r="G12" s="105">
        <f>FISC!AC749</f>
        <v>18.831114429223977</v>
      </c>
      <c r="H12" s="105">
        <f t="shared" si="0"/>
        <v>-10.468885570776024</v>
      </c>
      <c r="I12" s="1015">
        <v>42.133917105027997</v>
      </c>
      <c r="J12" s="105">
        <v>42.032520234786688</v>
      </c>
      <c r="K12" s="1015">
        <v>59.612278625087647</v>
      </c>
      <c r="L12" s="105">
        <v>46.836508349635196</v>
      </c>
      <c r="M12" s="1015">
        <v>80.767937256125066</v>
      </c>
      <c r="N12" s="105">
        <v>67.169495726523749</v>
      </c>
    </row>
    <row r="13" spans="2:14">
      <c r="B13" s="109" t="s">
        <v>324</v>
      </c>
      <c r="C13" s="652">
        <v>0</v>
      </c>
      <c r="D13" s="1015"/>
      <c r="E13" s="1008">
        <v>7.9125338029999996</v>
      </c>
      <c r="F13" s="1015"/>
      <c r="G13" s="105">
        <f>FISC!AC750</f>
        <v>0</v>
      </c>
      <c r="H13" s="105">
        <f t="shared" si="0"/>
        <v>0</v>
      </c>
      <c r="I13" s="1015"/>
      <c r="J13" s="105"/>
      <c r="K13" s="1015"/>
      <c r="L13" s="105"/>
      <c r="M13" s="1015"/>
      <c r="N13" s="105"/>
    </row>
    <row r="14" spans="2:14">
      <c r="B14" s="678" t="s">
        <v>121</v>
      </c>
      <c r="C14" s="652">
        <v>510.26995810122003</v>
      </c>
      <c r="D14" s="1015">
        <v>560.29999999999995</v>
      </c>
      <c r="E14" s="1008">
        <v>544.55577678631994</v>
      </c>
      <c r="F14" s="1015">
        <v>602.98421894458897</v>
      </c>
      <c r="G14" s="548">
        <f>FISC!AC751</f>
        <v>616.05744956113881</v>
      </c>
      <c r="H14" s="105">
        <f t="shared" si="0"/>
        <v>13.073230616549836</v>
      </c>
      <c r="I14" s="1015">
        <v>672.08548500686845</v>
      </c>
      <c r="J14" s="548">
        <v>672.07162236782654</v>
      </c>
      <c r="K14" s="1015">
        <v>801.72367295330127</v>
      </c>
      <c r="L14" s="548">
        <v>801.70532389973869</v>
      </c>
      <c r="M14" s="1015">
        <v>878.39017659325236</v>
      </c>
      <c r="N14" s="548">
        <v>929.39776034387501</v>
      </c>
    </row>
    <row r="15" spans="2:14">
      <c r="B15" s="933" t="s">
        <v>1082</v>
      </c>
      <c r="C15" s="652">
        <v>11.710118264066224</v>
      </c>
      <c r="D15" s="1015">
        <v>20</v>
      </c>
      <c r="E15" s="1008">
        <v>0</v>
      </c>
      <c r="F15" s="1015">
        <v>27.8313025123575</v>
      </c>
      <c r="G15" s="142">
        <f>FISC!AC752</f>
        <v>0</v>
      </c>
      <c r="H15" s="105">
        <f t="shared" si="0"/>
        <v>-27.8313025123575</v>
      </c>
      <c r="I15" s="1015">
        <v>27.8313025123575</v>
      </c>
      <c r="J15" s="142">
        <v>27.8313025123575</v>
      </c>
      <c r="K15" s="1015">
        <v>27.8313025123575</v>
      </c>
      <c r="L15" s="142">
        <v>27.8313025123575</v>
      </c>
      <c r="M15" s="1015">
        <v>27.8313025123575</v>
      </c>
      <c r="N15" s="142">
        <v>27.8313025123575</v>
      </c>
    </row>
    <row r="16" spans="2:14">
      <c r="B16" s="233" t="s">
        <v>305</v>
      </c>
      <c r="C16" s="652">
        <v>284.67799529972336</v>
      </c>
      <c r="D16" s="1015">
        <v>342.03288283523972</v>
      </c>
      <c r="E16" s="1008">
        <v>316.51472917152</v>
      </c>
      <c r="F16" s="1015">
        <v>362.62450475529744</v>
      </c>
      <c r="G16" s="1011">
        <f>FISC!AC753</f>
        <v>367.84438556264797</v>
      </c>
      <c r="H16" s="105">
        <f t="shared" si="0"/>
        <v>5.2198808073505347</v>
      </c>
      <c r="I16" s="1015">
        <v>439.44747725838545</v>
      </c>
      <c r="J16" s="1011">
        <v>445.40696900673191</v>
      </c>
      <c r="K16" s="1015">
        <v>529.33614822351126</v>
      </c>
      <c r="L16" s="1011">
        <v>532.88749954819127</v>
      </c>
      <c r="M16" s="1015">
        <v>553.86335872278153</v>
      </c>
      <c r="N16" s="139">
        <v>566.19698618480254</v>
      </c>
    </row>
    <row r="17" spans="2:14">
      <c r="B17" s="109" t="s">
        <v>234</v>
      </c>
      <c r="C17" s="652">
        <v>109.09405979749671</v>
      </c>
      <c r="D17" s="1015">
        <v>125</v>
      </c>
      <c r="E17" s="1008">
        <v>124.07125879180001</v>
      </c>
      <c r="F17" s="1015">
        <v>141.02930383700746</v>
      </c>
      <c r="G17" s="1011">
        <f>FISC!AC754</f>
        <v>142.49295850171748</v>
      </c>
      <c r="H17" s="105">
        <f t="shared" si="0"/>
        <v>1.4636546647100204</v>
      </c>
      <c r="I17" s="1015">
        <v>126.31089191452922</v>
      </c>
      <c r="J17" s="1011">
        <v>126.24576074462023</v>
      </c>
      <c r="K17" s="1015">
        <v>158.39835726985189</v>
      </c>
      <c r="L17" s="1011">
        <v>158.31222965153668</v>
      </c>
      <c r="M17" s="1015">
        <v>202.4303731003528</v>
      </c>
      <c r="N17" s="139">
        <v>238.51899477035877</v>
      </c>
    </row>
    <row r="18" spans="2:14">
      <c r="B18" s="109" t="s">
        <v>804</v>
      </c>
      <c r="C18" s="652">
        <v>70.537819522999996</v>
      </c>
      <c r="D18" s="1015">
        <v>45.177133977636473</v>
      </c>
      <c r="E18" s="1008">
        <v>49.161149705</v>
      </c>
      <c r="F18" s="1015">
        <v>48.114098440626748</v>
      </c>
      <c r="G18" s="128">
        <f>FISC!AC755</f>
        <v>45.414855609714145</v>
      </c>
      <c r="H18" s="105">
        <f t="shared" si="0"/>
        <v>-2.6992428309126026</v>
      </c>
      <c r="I18" s="1015">
        <v>51.50319323154941</v>
      </c>
      <c r="J18" s="128">
        <v>47.939339374624097</v>
      </c>
      <c r="K18" s="1015">
        <v>55.166132859557749</v>
      </c>
      <c r="L18" s="128">
        <v>52.754666667668197</v>
      </c>
      <c r="M18" s="1015">
        <v>59.141609725414021</v>
      </c>
      <c r="N18" s="140">
        <v>59.522286894517713</v>
      </c>
    </row>
    <row r="19" spans="2:14">
      <c r="B19" s="109" t="s">
        <v>803</v>
      </c>
      <c r="C19" s="652">
        <v>45.960083481000005</v>
      </c>
      <c r="D19" s="1015">
        <v>48.089983187123792</v>
      </c>
      <c r="E19" s="1008">
        <v>54.808639118000002</v>
      </c>
      <c r="F19" s="1015">
        <v>51.216311911657272</v>
      </c>
      <c r="G19" s="128">
        <f>FISC!AC756</f>
        <v>57.706738912999995</v>
      </c>
      <c r="H19" s="105">
        <f t="shared" si="0"/>
        <v>6.4904270013427237</v>
      </c>
      <c r="I19" s="1015">
        <v>54.823922602404465</v>
      </c>
      <c r="J19" s="128">
        <v>52.479553241850354</v>
      </c>
      <c r="K19" s="1015">
        <v>58.72303460038043</v>
      </c>
      <c r="L19" s="128">
        <v>57.750928032342529</v>
      </c>
      <c r="M19" s="1015">
        <v>62.954835044704005</v>
      </c>
      <c r="N19" s="140">
        <v>65.159492494195987</v>
      </c>
    </row>
    <row r="20" spans="2:14">
      <c r="B20" s="109"/>
      <c r="C20" s="652"/>
      <c r="D20" s="1015"/>
      <c r="E20" s="1008"/>
      <c r="F20" s="1015"/>
      <c r="G20" s="140">
        <f>FISC!AC757</f>
        <v>0</v>
      </c>
      <c r="H20" s="105">
        <f t="shared" si="0"/>
        <v>0</v>
      </c>
      <c r="I20" s="1015"/>
      <c r="J20" s="140"/>
      <c r="K20" s="1015"/>
      <c r="L20" s="140"/>
      <c r="M20" s="1015"/>
      <c r="N20" s="140"/>
    </row>
    <row r="21" spans="2:14">
      <c r="B21" s="678" t="s">
        <v>123</v>
      </c>
      <c r="C21" s="676">
        <v>83.885087039636574</v>
      </c>
      <c r="D21" s="1015">
        <v>92.5</v>
      </c>
      <c r="E21" s="1008">
        <v>91.203873289000001</v>
      </c>
      <c r="F21" s="1015">
        <v>108.44087615280206</v>
      </c>
      <c r="G21" s="548">
        <f>FISC!AC758</f>
        <v>98.131280134999997</v>
      </c>
      <c r="H21" s="105">
        <f t="shared" si="0"/>
        <v>-10.309596017802065</v>
      </c>
      <c r="I21" s="1015">
        <v>97.123529750127958</v>
      </c>
      <c r="J21" s="548">
        <v>97.073448802852269</v>
      </c>
      <c r="K21" s="1015">
        <v>121.79636555080214</v>
      </c>
      <c r="L21" s="105">
        <v>121.73013992153965</v>
      </c>
      <c r="M21" s="1015">
        <v>155.65365793985094</v>
      </c>
      <c r="N21" s="142">
        <v>183.40308055322069</v>
      </c>
    </row>
    <row r="22" spans="2:14">
      <c r="B22" s="109" t="s">
        <v>122</v>
      </c>
      <c r="C22" s="652">
        <v>8.7529764315177125</v>
      </c>
      <c r="D22" s="1015">
        <v>15.428946572326799</v>
      </c>
      <c r="E22" s="1008">
        <v>0</v>
      </c>
      <c r="F22" s="1015">
        <v>18</v>
      </c>
      <c r="G22" s="128">
        <f>FISC!AC759</f>
        <v>0</v>
      </c>
      <c r="H22" s="105">
        <f t="shared" si="0"/>
        <v>-18</v>
      </c>
      <c r="I22" s="1015"/>
      <c r="J22" s="128"/>
      <c r="K22" s="1015"/>
      <c r="L22" s="128"/>
      <c r="M22" s="1015"/>
      <c r="N22" s="128"/>
    </row>
    <row r="23" spans="2:14">
      <c r="B23" s="109" t="s">
        <v>282</v>
      </c>
      <c r="C23" s="652">
        <v>8.8000000000000007</v>
      </c>
      <c r="D23" s="1015">
        <v>10.7</v>
      </c>
      <c r="E23" s="1008">
        <v>10.620114093</v>
      </c>
      <c r="F23" s="1015">
        <v>11.3</v>
      </c>
      <c r="G23" s="105">
        <f>FISC!AC760</f>
        <v>11.43527939</v>
      </c>
      <c r="H23" s="105">
        <f t="shared" si="0"/>
        <v>0.13527938999999911</v>
      </c>
      <c r="I23" s="1015">
        <v>10.7</v>
      </c>
      <c r="J23" s="105">
        <v>10.7</v>
      </c>
      <c r="K23" s="1015">
        <v>12.293340450198169</v>
      </c>
      <c r="L23" s="105">
        <v>12.754566417714031</v>
      </c>
      <c r="M23" s="1015">
        <v>14.282434012779554</v>
      </c>
      <c r="N23" s="105">
        <v>15.927473027274898</v>
      </c>
    </row>
    <row r="24" spans="2:14">
      <c r="B24" s="109" t="s">
        <v>813</v>
      </c>
      <c r="C24" s="676"/>
      <c r="D24" s="1015"/>
      <c r="E24" s="1008"/>
      <c r="F24" s="1015"/>
      <c r="G24" s="105">
        <f>FISC!AC761</f>
        <v>0</v>
      </c>
      <c r="H24" s="105">
        <f t="shared" si="0"/>
        <v>0</v>
      </c>
      <c r="I24" s="1015"/>
      <c r="J24" s="105"/>
      <c r="K24" s="1015"/>
      <c r="L24" s="105"/>
      <c r="M24" s="1015"/>
      <c r="N24" s="105"/>
    </row>
    <row r="25" spans="2:14">
      <c r="B25" s="677" t="s">
        <v>124</v>
      </c>
      <c r="C25" s="105">
        <v>167.59624826644659</v>
      </c>
      <c r="D25" s="1015">
        <v>163.95807291173753</v>
      </c>
      <c r="E25" s="1008">
        <v>181.4367004705814</v>
      </c>
      <c r="F25" s="1015">
        <v>184.97932665458748</v>
      </c>
      <c r="G25" s="105">
        <f>FISC!AC763</f>
        <v>208.62012483249333</v>
      </c>
      <c r="H25" s="105">
        <f t="shared" si="0"/>
        <v>23.64079817790585</v>
      </c>
      <c r="I25" s="1015">
        <v>186.66068851654674</v>
      </c>
      <c r="J25" s="105">
        <v>180.968928125632</v>
      </c>
      <c r="K25" s="1015">
        <v>203.41306120687381</v>
      </c>
      <c r="L25" s="105">
        <v>196.58816858671275</v>
      </c>
      <c r="M25" s="1015">
        <v>208.1854751779274</v>
      </c>
      <c r="N25" s="105">
        <v>266.02344717274497</v>
      </c>
    </row>
    <row r="26" spans="2:14">
      <c r="B26" s="110" t="s">
        <v>784</v>
      </c>
      <c r="C26" s="652">
        <v>122.87648755655565</v>
      </c>
      <c r="D26" s="1015">
        <v>109.75807291173751</v>
      </c>
      <c r="E26" s="1008">
        <v>128.49930055706017</v>
      </c>
      <c r="F26" s="1015">
        <v>116.37932665458749</v>
      </c>
      <c r="G26" s="548">
        <f>FISC!AC764</f>
        <v>150.05275337</v>
      </c>
      <c r="H26" s="105">
        <f t="shared" si="0"/>
        <v>33.673426715412518</v>
      </c>
      <c r="I26" s="1015">
        <v>110.36068851654674</v>
      </c>
      <c r="J26" s="548">
        <v>104.66892812563201</v>
      </c>
      <c r="K26" s="1015">
        <v>117.49618221536507</v>
      </c>
      <c r="L26" s="959">
        <v>108.85568525065729</v>
      </c>
      <c r="M26" s="1015">
        <v>123.92216375355385</v>
      </c>
      <c r="N26" s="548">
        <v>113.20991266068357</v>
      </c>
    </row>
    <row r="27" spans="2:14">
      <c r="B27" s="110" t="s">
        <v>1013</v>
      </c>
      <c r="C27" s="652">
        <v>44.719760709890934</v>
      </c>
      <c r="D27" s="1015">
        <v>54.2</v>
      </c>
      <c r="E27" s="1008">
        <v>52.937399913521233</v>
      </c>
      <c r="F27" s="1015">
        <v>68.599999999999994</v>
      </c>
      <c r="G27" s="142">
        <f>FISC!AC765</f>
        <v>58.567371462493327</v>
      </c>
      <c r="H27" s="105">
        <f t="shared" si="0"/>
        <v>-10.032628537506667</v>
      </c>
      <c r="I27" s="1015">
        <v>76.3</v>
      </c>
      <c r="J27" s="142">
        <v>76.3</v>
      </c>
      <c r="K27" s="1015">
        <v>85.916878991508725</v>
      </c>
      <c r="L27" s="105">
        <v>87.732483336055452</v>
      </c>
      <c r="M27" s="1015">
        <v>84.263311424373541</v>
      </c>
      <c r="N27" s="548">
        <v>152.81353451206138</v>
      </c>
    </row>
    <row r="28" spans="2:14">
      <c r="B28" s="110" t="s">
        <v>326</v>
      </c>
      <c r="C28" s="652">
        <v>26.746760709890932</v>
      </c>
      <c r="D28" s="1015">
        <v>34.200000000000003</v>
      </c>
      <c r="E28" s="1008">
        <v>30.447338092201235</v>
      </c>
      <c r="F28" s="1015">
        <v>45.9</v>
      </c>
      <c r="G28" s="142">
        <f>FISC!AC766</f>
        <v>34.951589472616007</v>
      </c>
      <c r="H28" s="105">
        <f t="shared" si="0"/>
        <v>-10.948410527383992</v>
      </c>
      <c r="I28" s="1015">
        <v>50.6</v>
      </c>
      <c r="J28" s="142">
        <v>50.6</v>
      </c>
      <c r="K28" s="1015">
        <v>56.916878991508732</v>
      </c>
      <c r="L28" s="128">
        <v>58.732483336055445</v>
      </c>
      <c r="M28" s="1015">
        <v>64.263311424373541</v>
      </c>
      <c r="N28" s="128">
        <v>70.191527710954105</v>
      </c>
    </row>
    <row r="29" spans="2:14">
      <c r="B29" s="107" t="s">
        <v>125</v>
      </c>
      <c r="C29" s="105">
        <v>373.7470102777271</v>
      </c>
      <c r="D29" s="1015">
        <v>333.18116823266587</v>
      </c>
      <c r="E29" s="1008">
        <v>330.18208394651856</v>
      </c>
      <c r="F29" s="1015">
        <v>356.68340503352533</v>
      </c>
      <c r="G29" s="142">
        <f>FISC!AC772</f>
        <v>358.90867686871047</v>
      </c>
      <c r="H29" s="105">
        <f t="shared" si="0"/>
        <v>2.2252718351851399</v>
      </c>
      <c r="I29" s="1015">
        <v>386.15836399540433</v>
      </c>
      <c r="J29" s="142">
        <v>365.24256870313474</v>
      </c>
      <c r="K29" s="1015">
        <v>431.24400234026575</v>
      </c>
      <c r="L29" s="125">
        <v>398.5309507073232</v>
      </c>
      <c r="M29" s="1015">
        <v>401.20073564048448</v>
      </c>
      <c r="N29" s="125">
        <v>396.20552836879182</v>
      </c>
    </row>
    <row r="30" spans="2:14">
      <c r="B30" s="108" t="s">
        <v>126</v>
      </c>
      <c r="C30" s="105">
        <v>204.80701027772713</v>
      </c>
      <c r="D30" s="1015">
        <v>187.21197792679084</v>
      </c>
      <c r="E30" s="1008">
        <v>184.18208394651853</v>
      </c>
      <c r="F30" s="1015">
        <v>180.92683372355032</v>
      </c>
      <c r="G30" s="548">
        <f>FISC!AC773</f>
        <v>190.19867686871044</v>
      </c>
      <c r="H30" s="105">
        <f t="shared" si="0"/>
        <v>9.2718431451601191</v>
      </c>
      <c r="I30" s="1015">
        <v>193.96241916362163</v>
      </c>
      <c r="J30" s="548">
        <v>183.95896929790271</v>
      </c>
      <c r="K30" s="1015">
        <v>215.0709416711492</v>
      </c>
      <c r="L30" s="548">
        <v>199.25493996225799</v>
      </c>
      <c r="M30" s="1015">
        <v>153.88150204758676</v>
      </c>
      <c r="N30" s="548">
        <v>183.7527361704266</v>
      </c>
    </row>
    <row r="31" spans="2:14">
      <c r="B31" s="110" t="s">
        <v>783</v>
      </c>
      <c r="C31" s="652">
        <v>134.42464376967689</v>
      </c>
      <c r="D31" s="1015">
        <v>133.36394997192056</v>
      </c>
      <c r="E31" s="1008">
        <v>130.1286413031597</v>
      </c>
      <c r="F31" s="1015">
        <v>117.34830267837864</v>
      </c>
      <c r="G31" s="105">
        <f>FISC!AC774</f>
        <v>119.21034259571046</v>
      </c>
      <c r="H31" s="105">
        <f t="shared" si="0"/>
        <v>1.8620399173318134</v>
      </c>
      <c r="I31" s="1015">
        <v>128.46984871603263</v>
      </c>
      <c r="J31" s="105">
        <v>121.84412350375213</v>
      </c>
      <c r="K31" s="1015">
        <v>114.89822213894043</v>
      </c>
      <c r="L31" s="105">
        <v>106.44877534906843</v>
      </c>
      <c r="M31" s="1015">
        <v>48.862719205591958</v>
      </c>
      <c r="N31" s="105">
        <v>44.638860443315423</v>
      </c>
    </row>
    <row r="32" spans="2:14" ht="14.7" thickBot="1">
      <c r="B32" s="110" t="s">
        <v>129</v>
      </c>
      <c r="C32" s="652">
        <v>70.382366508050239</v>
      </c>
      <c r="D32" s="1015">
        <v>53.848027954870275</v>
      </c>
      <c r="E32" s="1008">
        <v>54.053442643358835</v>
      </c>
      <c r="F32" s="1015">
        <v>63.578531045171673</v>
      </c>
      <c r="G32" s="105">
        <f>FISC!AC775</f>
        <v>69.571653854000004</v>
      </c>
      <c r="H32" s="105">
        <f t="shared" si="0"/>
        <v>5.9931228088283319</v>
      </c>
      <c r="I32" s="1015">
        <v>65.492570447589017</v>
      </c>
      <c r="J32" s="105">
        <v>62.114845794150582</v>
      </c>
      <c r="K32" s="1015">
        <v>69.727065810293468</v>
      </c>
      <c r="L32" s="105">
        <v>64.599439625916602</v>
      </c>
      <c r="M32" s="1015">
        <v>0</v>
      </c>
      <c r="N32" s="125">
        <v>0</v>
      </c>
    </row>
    <row r="33" spans="2:14" ht="14.7" thickBot="1">
      <c r="B33" s="110" t="s">
        <v>743</v>
      </c>
      <c r="C33" s="652">
        <v>0</v>
      </c>
      <c r="D33" s="1015"/>
      <c r="E33" s="1008">
        <v>0</v>
      </c>
      <c r="F33" s="1015">
        <v>0</v>
      </c>
      <c r="G33" s="598">
        <f>FISC!AC778</f>
        <v>0</v>
      </c>
      <c r="H33" s="105">
        <f t="shared" si="0"/>
        <v>0</v>
      </c>
      <c r="I33" s="1015">
        <v>0</v>
      </c>
      <c r="J33" s="598">
        <v>0</v>
      </c>
      <c r="K33" s="1015">
        <v>30.445653721915313</v>
      </c>
      <c r="L33" s="598">
        <v>28.206724987272967</v>
      </c>
      <c r="M33" s="1015">
        <v>105.01878284199479</v>
      </c>
      <c r="N33" s="598">
        <v>139.11387572711118</v>
      </c>
    </row>
    <row r="34" spans="2:14">
      <c r="B34" s="108" t="s">
        <v>127</v>
      </c>
      <c r="C34" s="105">
        <v>168.94</v>
      </c>
      <c r="D34" s="1015">
        <v>145.96919030587503</v>
      </c>
      <c r="E34" s="1008">
        <v>146.00000000000003</v>
      </c>
      <c r="F34" s="1015">
        <v>175.75657130997499</v>
      </c>
      <c r="G34" s="142">
        <f>FISC!AC779</f>
        <v>168.71</v>
      </c>
      <c r="H34" s="105">
        <f t="shared" si="0"/>
        <v>-7.0465713099749792</v>
      </c>
      <c r="I34" s="1015">
        <v>192.1959448317827</v>
      </c>
      <c r="J34" s="142">
        <v>181.28359940523202</v>
      </c>
      <c r="K34" s="1015">
        <v>216.17306066911658</v>
      </c>
      <c r="L34" s="105">
        <v>199.27601074506524</v>
      </c>
      <c r="M34" s="1015">
        <v>247.31923359289775</v>
      </c>
      <c r="N34" s="125">
        <v>212.45279219836522</v>
      </c>
    </row>
    <row r="35" spans="2:14">
      <c r="B35" s="110" t="s">
        <v>128</v>
      </c>
      <c r="C35" s="652">
        <v>168.94</v>
      </c>
      <c r="D35" s="1015">
        <v>145.96919030587503</v>
      </c>
      <c r="E35" s="1008">
        <v>146.00000000000003</v>
      </c>
      <c r="F35" s="1015">
        <v>175.75657130997499</v>
      </c>
      <c r="G35" s="676">
        <f>FISC!AC780</f>
        <v>168.71</v>
      </c>
      <c r="H35" s="105">
        <f t="shared" si="0"/>
        <v>-7.0465713099749792</v>
      </c>
      <c r="I35" s="1015">
        <v>192.1959448317827</v>
      </c>
      <c r="J35" s="676">
        <v>181.28359940523202</v>
      </c>
      <c r="K35" s="1015">
        <v>216.17306066911658</v>
      </c>
      <c r="L35" s="676">
        <v>199.27601074506524</v>
      </c>
      <c r="M35" s="1015">
        <v>247.31923359289775</v>
      </c>
      <c r="N35" s="125">
        <v>212.45279219836522</v>
      </c>
    </row>
    <row r="36" spans="2:14">
      <c r="B36" s="551" t="s">
        <v>773</v>
      </c>
      <c r="C36" s="549"/>
      <c r="D36" s="1015"/>
      <c r="E36" s="1008"/>
      <c r="F36" s="1015"/>
      <c r="G36" s="548">
        <f>FISC!AC781</f>
        <v>0</v>
      </c>
      <c r="H36" s="105">
        <f t="shared" si="0"/>
        <v>0</v>
      </c>
      <c r="I36" s="1015"/>
      <c r="J36" s="548"/>
      <c r="K36" s="1015"/>
      <c r="L36" s="548"/>
      <c r="M36" s="1015"/>
      <c r="N36" s="548"/>
    </row>
    <row r="37" spans="2:14">
      <c r="B37" s="551" t="s">
        <v>775</v>
      </c>
      <c r="C37" s="549"/>
      <c r="D37" s="1015"/>
      <c r="E37" s="1008"/>
      <c r="F37" s="1015"/>
      <c r="G37" s="548">
        <f>FISC!AC782</f>
        <v>0</v>
      </c>
      <c r="H37" s="105">
        <f t="shared" si="0"/>
        <v>0</v>
      </c>
      <c r="I37" s="1015"/>
      <c r="J37" s="548"/>
      <c r="K37" s="1015"/>
      <c r="L37" s="548"/>
      <c r="M37" s="1015"/>
      <c r="N37" s="548"/>
    </row>
    <row r="38" spans="2:14">
      <c r="B38" s="110" t="s">
        <v>129</v>
      </c>
      <c r="C38" s="120"/>
      <c r="D38" s="1015">
        <v>0</v>
      </c>
      <c r="E38" s="1008"/>
      <c r="F38" s="1015">
        <v>0</v>
      </c>
      <c r="G38" s="105">
        <f>FISC!AC783</f>
        <v>0</v>
      </c>
      <c r="H38" s="105">
        <f t="shared" si="0"/>
        <v>0</v>
      </c>
      <c r="I38" s="1015"/>
      <c r="J38" s="105"/>
      <c r="K38" s="1015"/>
      <c r="L38" s="105"/>
      <c r="M38" s="1015"/>
      <c r="N38" s="105"/>
    </row>
    <row r="39" spans="2:14">
      <c r="B39" s="106" t="s">
        <v>115</v>
      </c>
      <c r="C39" s="120"/>
      <c r="D39" s="1015"/>
      <c r="E39" s="1008"/>
      <c r="F39" s="1015"/>
      <c r="G39" s="105">
        <f>FISC!AC785</f>
        <v>0</v>
      </c>
      <c r="H39" s="105">
        <f t="shared" si="0"/>
        <v>0</v>
      </c>
      <c r="I39" s="1015"/>
      <c r="J39" s="105"/>
      <c r="K39" s="1015"/>
      <c r="L39" s="105"/>
      <c r="M39" s="1015"/>
      <c r="N39" s="105"/>
    </row>
    <row r="40" spans="2:14">
      <c r="B40" s="104" t="s">
        <v>130</v>
      </c>
      <c r="C40" s="105">
        <v>1757.6597972453751</v>
      </c>
      <c r="D40" s="1015">
        <v>1854.7059365140583</v>
      </c>
      <c r="E40" s="1008">
        <v>1913.6941026959162</v>
      </c>
      <c r="F40" s="1015">
        <v>2069.4611421754248</v>
      </c>
      <c r="G40" s="105">
        <f>FISC!AC786</f>
        <v>2187.5397808880507</v>
      </c>
      <c r="H40" s="105">
        <f t="shared" si="0"/>
        <v>118.07863871262589</v>
      </c>
      <c r="I40" s="1015">
        <v>2281.3684727543227</v>
      </c>
      <c r="J40" s="105">
        <v>2310.2698491777419</v>
      </c>
      <c r="K40" s="1015">
        <v>2601.778934506764</v>
      </c>
      <c r="L40" s="105">
        <v>2636.1461768913991</v>
      </c>
      <c r="M40" s="1015">
        <v>2990.5931056642967</v>
      </c>
      <c r="N40" s="105">
        <v>3288.9804111458675</v>
      </c>
    </row>
    <row r="41" spans="2:14">
      <c r="B41" s="106" t="s">
        <v>115</v>
      </c>
      <c r="C41" s="120"/>
      <c r="D41" s="1015" t="s">
        <v>115</v>
      </c>
      <c r="E41" s="1008"/>
      <c r="F41" s="1015" t="s">
        <v>115</v>
      </c>
      <c r="G41" s="105" t="str">
        <f>FISC!AC787</f>
        <v/>
      </c>
      <c r="H41" s="105"/>
      <c r="I41" s="1015" t="s">
        <v>115</v>
      </c>
      <c r="J41" s="105" t="s">
        <v>115</v>
      </c>
      <c r="K41" s="1015" t="s">
        <v>115</v>
      </c>
      <c r="L41" s="105" t="s">
        <v>115</v>
      </c>
      <c r="M41" s="1015" t="s">
        <v>115</v>
      </c>
      <c r="N41" s="105" t="s">
        <v>115</v>
      </c>
    </row>
    <row r="42" spans="2:14">
      <c r="B42" s="107" t="s">
        <v>131</v>
      </c>
      <c r="C42" s="105">
        <v>947.5320695517421</v>
      </c>
      <c r="D42" s="1015">
        <v>1063.7364019510196</v>
      </c>
      <c r="E42" s="1008">
        <v>1074.9321727050874</v>
      </c>
      <c r="F42" s="1015">
        <v>1136.364713297834</v>
      </c>
      <c r="G42" s="105">
        <f>FISC!AC788</f>
        <v>1177.2772642778905</v>
      </c>
      <c r="H42" s="105">
        <f t="shared" si="0"/>
        <v>40.912550980056494</v>
      </c>
      <c r="I42" s="1015">
        <v>1276.4168752240155</v>
      </c>
      <c r="J42" s="105">
        <v>1273.2386851306239</v>
      </c>
      <c r="K42" s="1015">
        <v>1435.4780123845687</v>
      </c>
      <c r="L42" s="105">
        <v>1421.8647117233972</v>
      </c>
      <c r="M42" s="1015">
        <v>1568.9133828061945</v>
      </c>
      <c r="N42" s="105">
        <v>1622.8804783858095</v>
      </c>
    </row>
    <row r="43" spans="2:14">
      <c r="B43" s="108" t="s">
        <v>80</v>
      </c>
      <c r="C43" s="652">
        <v>242.33523719200002</v>
      </c>
      <c r="D43" s="1015">
        <v>258.3</v>
      </c>
      <c r="E43" s="1008">
        <v>295.75537904600003</v>
      </c>
      <c r="F43" s="1015">
        <v>301.10000000000002</v>
      </c>
      <c r="G43" s="105">
        <f>FISC!AC789</f>
        <v>324.290467019</v>
      </c>
      <c r="H43" s="105">
        <f t="shared" si="0"/>
        <v>23.190467018999982</v>
      </c>
      <c r="I43" s="1015">
        <v>341.44</v>
      </c>
      <c r="J43" s="105">
        <v>342.43414692278003</v>
      </c>
      <c r="K43" s="1015">
        <v>384</v>
      </c>
      <c r="L43" s="105">
        <v>384.98048115834303</v>
      </c>
      <c r="M43" s="1015">
        <v>415.33440000000007</v>
      </c>
      <c r="N43" s="105">
        <v>432.56406862951428</v>
      </c>
    </row>
    <row r="44" spans="2:14">
      <c r="B44" s="110" t="s">
        <v>132</v>
      </c>
      <c r="C44" s="120">
        <v>0</v>
      </c>
      <c r="D44" s="1015">
        <v>0</v>
      </c>
      <c r="E44" s="1008">
        <v>0</v>
      </c>
      <c r="F44" s="1015">
        <v>0</v>
      </c>
      <c r="G44" s="105">
        <f>FISC!AC790</f>
        <v>0</v>
      </c>
      <c r="H44" s="105">
        <f t="shared" si="0"/>
        <v>0</v>
      </c>
      <c r="I44" s="1015"/>
      <c r="J44" s="105"/>
      <c r="K44" s="1015"/>
      <c r="L44" s="105"/>
      <c r="M44" s="1015"/>
      <c r="N44" s="105"/>
    </row>
    <row r="45" spans="2:14">
      <c r="B45" s="109" t="s">
        <v>118</v>
      </c>
      <c r="C45" s="120">
        <v>0</v>
      </c>
      <c r="D45" s="1015">
        <v>0</v>
      </c>
      <c r="E45" s="1008">
        <v>0</v>
      </c>
      <c r="F45" s="1015">
        <v>0</v>
      </c>
      <c r="G45" s="105">
        <f>FISC!AC791</f>
        <v>0</v>
      </c>
      <c r="H45" s="105">
        <f t="shared" si="0"/>
        <v>0</v>
      </c>
      <c r="I45" s="1015"/>
      <c r="J45" s="105"/>
      <c r="K45" s="1015"/>
      <c r="L45" s="105"/>
      <c r="M45" s="1015"/>
      <c r="N45" s="105"/>
    </row>
    <row r="46" spans="2:14">
      <c r="B46" s="110" t="s">
        <v>133</v>
      </c>
      <c r="C46" s="120">
        <v>0</v>
      </c>
      <c r="D46" s="1015">
        <v>0</v>
      </c>
      <c r="E46" s="1008">
        <v>0</v>
      </c>
      <c r="F46" s="1015">
        <v>0</v>
      </c>
      <c r="G46" s="105">
        <f>FISC!AC792</f>
        <v>0</v>
      </c>
      <c r="H46" s="105">
        <f t="shared" si="0"/>
        <v>0</v>
      </c>
      <c r="I46" s="1015"/>
      <c r="J46" s="105"/>
      <c r="K46" s="1015"/>
      <c r="L46" s="105"/>
      <c r="M46" s="1015"/>
      <c r="N46" s="105"/>
    </row>
    <row r="47" spans="2:14">
      <c r="B47" s="108" t="s">
        <v>81</v>
      </c>
      <c r="C47" s="652">
        <v>180.62141281000001</v>
      </c>
      <c r="D47" s="1015">
        <v>207.4</v>
      </c>
      <c r="E47" s="1008">
        <v>194.10476785</v>
      </c>
      <c r="F47" s="1015">
        <v>218</v>
      </c>
      <c r="G47" s="548">
        <f>FISC!AC793</f>
        <v>216.28066140199999</v>
      </c>
      <c r="H47" s="105">
        <f t="shared" si="0"/>
        <v>-1.7193385980000073</v>
      </c>
      <c r="I47" s="1015">
        <v>240.74</v>
      </c>
      <c r="J47" s="548">
        <v>243.19396327811938</v>
      </c>
      <c r="K47" s="1015">
        <v>270.73375489167944</v>
      </c>
      <c r="L47" s="548">
        <v>274.22854940278614</v>
      </c>
      <c r="M47" s="1015">
        <v>305.67817336382069</v>
      </c>
      <c r="N47" s="552">
        <v>327.83911942904291</v>
      </c>
    </row>
    <row r="48" spans="2:14">
      <c r="B48" s="110" t="s">
        <v>132</v>
      </c>
      <c r="C48" s="120"/>
      <c r="D48" s="1015"/>
      <c r="E48" s="1008">
        <v>0</v>
      </c>
      <c r="F48" s="1015"/>
      <c r="G48" s="228">
        <f>FISC!AC794</f>
        <v>0</v>
      </c>
      <c r="H48" s="105">
        <f t="shared" si="0"/>
        <v>0</v>
      </c>
      <c r="I48" s="1015"/>
      <c r="J48" s="228"/>
      <c r="K48" s="1015"/>
      <c r="L48" s="105"/>
      <c r="M48" s="1015"/>
      <c r="N48" s="105"/>
    </row>
    <row r="49" spans="2:14">
      <c r="B49" s="111" t="s">
        <v>870</v>
      </c>
      <c r="C49" s="120"/>
      <c r="D49" s="1015">
        <v>42.5</v>
      </c>
      <c r="E49" s="1008">
        <v>44.567491036</v>
      </c>
      <c r="F49" s="1015">
        <v>48.7</v>
      </c>
      <c r="G49" s="105">
        <f>FISC!AC797</f>
        <v>47.517446686</v>
      </c>
      <c r="H49" s="105">
        <f t="shared" si="0"/>
        <v>-1.1825533140000033</v>
      </c>
      <c r="I49" s="1015">
        <v>51.7</v>
      </c>
      <c r="J49" s="105">
        <v>51.7</v>
      </c>
      <c r="K49" s="1015">
        <v>51.7</v>
      </c>
      <c r="L49" s="105">
        <v>58.1</v>
      </c>
      <c r="M49" s="1015">
        <v>51.7</v>
      </c>
      <c r="N49" s="105">
        <v>58.1</v>
      </c>
    </row>
    <row r="50" spans="2:14">
      <c r="B50" s="110" t="s">
        <v>133</v>
      </c>
      <c r="C50" s="120"/>
      <c r="D50" s="1015"/>
      <c r="E50" s="1008">
        <v>0</v>
      </c>
      <c r="F50" s="1015"/>
      <c r="G50" s="105">
        <f>FISC!AC800</f>
        <v>0</v>
      </c>
      <c r="H50" s="105">
        <f t="shared" si="0"/>
        <v>0</v>
      </c>
      <c r="I50" s="1015"/>
      <c r="J50" s="105"/>
      <c r="K50" s="1015"/>
      <c r="L50" s="105"/>
      <c r="M50" s="1015"/>
      <c r="N50" s="105"/>
    </row>
    <row r="51" spans="2:14">
      <c r="B51" s="108" t="s">
        <v>134</v>
      </c>
      <c r="C51" s="105">
        <v>56.6986134594964</v>
      </c>
      <c r="D51" s="1015">
        <v>77.452369388595883</v>
      </c>
      <c r="E51" s="1036">
        <v>77.526676452267324</v>
      </c>
      <c r="F51" s="1015">
        <v>92.99079547089255</v>
      </c>
      <c r="G51" s="105">
        <f>FISC!AC801</f>
        <v>91.578582652050613</v>
      </c>
      <c r="H51" s="105">
        <f t="shared" si="0"/>
        <v>-1.4122128188419367</v>
      </c>
      <c r="I51" s="1015">
        <v>105.35437112353274</v>
      </c>
      <c r="J51" s="105">
        <v>104.35537737825308</v>
      </c>
      <c r="K51" s="1015">
        <v>118.5217899620508</v>
      </c>
      <c r="L51" s="105">
        <v>115.50098140509272</v>
      </c>
      <c r="M51" s="1015">
        <v>129.90157149063833</v>
      </c>
      <c r="N51" s="105">
        <v>127.87695219690636</v>
      </c>
    </row>
    <row r="52" spans="2:14">
      <c r="B52" s="110" t="s">
        <v>135</v>
      </c>
      <c r="C52" s="652">
        <v>25.351373894877149</v>
      </c>
      <c r="D52" s="1015">
        <v>40.6</v>
      </c>
      <c r="E52" s="1008">
        <v>40.588057049071665</v>
      </c>
      <c r="F52" s="1015">
        <v>50.15</v>
      </c>
      <c r="G52" s="105">
        <f>FISC!AC802</f>
        <v>48.900012528000005</v>
      </c>
      <c r="H52" s="105">
        <f t="shared" si="0"/>
        <v>-1.2499874719999937</v>
      </c>
      <c r="I52" s="1015">
        <v>56.9</v>
      </c>
      <c r="J52" s="105">
        <v>58.4</v>
      </c>
      <c r="K52" s="1015">
        <v>63.972569606341011</v>
      </c>
      <c r="L52" s="105">
        <v>64.5</v>
      </c>
      <c r="M52" s="1015">
        <v>66.811592044058514</v>
      </c>
      <c r="N52" s="548">
        <v>70.240684022023132</v>
      </c>
    </row>
    <row r="53" spans="2:14">
      <c r="B53" s="111" t="s">
        <v>136</v>
      </c>
      <c r="C53" s="652">
        <v>0</v>
      </c>
      <c r="D53" s="1015">
        <v>0</v>
      </c>
      <c r="E53" s="1008">
        <v>19.177960055898797</v>
      </c>
      <c r="F53" s="1015">
        <v>0</v>
      </c>
      <c r="G53" s="105">
        <f>FISC!AC803</f>
        <v>0</v>
      </c>
      <c r="H53" s="105">
        <f t="shared" si="0"/>
        <v>0</v>
      </c>
      <c r="I53" s="1015"/>
      <c r="J53" s="105"/>
      <c r="K53" s="1015"/>
      <c r="L53" s="105"/>
      <c r="M53" s="1015"/>
      <c r="N53" s="105"/>
    </row>
    <row r="54" spans="2:14">
      <c r="B54" s="110" t="s">
        <v>137</v>
      </c>
      <c r="C54" s="652">
        <v>31.347239564619255</v>
      </c>
      <c r="D54" s="1015">
        <v>36.852369388595875</v>
      </c>
      <c r="E54" s="1008">
        <v>36.938619403195652</v>
      </c>
      <c r="F54" s="1015">
        <v>42.840795470892544</v>
      </c>
      <c r="G54" s="105">
        <f>FISC!AC805</f>
        <v>42.678570124050616</v>
      </c>
      <c r="H54" s="105">
        <f t="shared" si="0"/>
        <v>-0.1622253468419288</v>
      </c>
      <c r="I54" s="1015">
        <v>48.454371123532745</v>
      </c>
      <c r="J54" s="105">
        <v>45.95537737825309</v>
      </c>
      <c r="K54" s="1015">
        <v>54.549220355709785</v>
      </c>
      <c r="L54" s="105">
        <v>51.000981405092723</v>
      </c>
      <c r="M54" s="1015">
        <v>63.089979446579825</v>
      </c>
      <c r="N54" s="105">
        <v>57.636268174883234</v>
      </c>
    </row>
    <row r="55" spans="2:14">
      <c r="B55" s="111" t="s">
        <v>138</v>
      </c>
      <c r="C55" s="652">
        <v>20.186515674500001</v>
      </c>
      <c r="D55" s="1015">
        <v>21.597898063125001</v>
      </c>
      <c r="E55" s="1008">
        <v>21.95511308775</v>
      </c>
      <c r="F55" s="1015">
        <v>23.188362077793748</v>
      </c>
      <c r="G55" s="105">
        <f>FISC!AC807</f>
        <v>22.681567922749998</v>
      </c>
      <c r="H55" s="105">
        <f t="shared" si="0"/>
        <v>-0.50679415504374958</v>
      </c>
      <c r="I55" s="1015">
        <v>24.784391912614311</v>
      </c>
      <c r="J55" s="105">
        <v>23.506157587536002</v>
      </c>
      <c r="K55" s="1015">
        <v>26.386854480569276</v>
      </c>
      <c r="L55" s="105">
        <v>24.446403891037441</v>
      </c>
      <c r="M55" s="1015">
        <v>27.82997745312862</v>
      </c>
      <c r="N55" s="105">
        <v>25.424260046678942</v>
      </c>
    </row>
    <row r="56" spans="2:14">
      <c r="B56" s="108" t="s">
        <v>82</v>
      </c>
      <c r="C56" s="652">
        <v>308.66481946624555</v>
      </c>
      <c r="D56" s="1015">
        <v>360.29160514918601</v>
      </c>
      <c r="E56" s="1008">
        <v>348.19146631481999</v>
      </c>
      <c r="F56" s="1015">
        <v>400.20779059396011</v>
      </c>
      <c r="G56" s="105">
        <f>FISC!AC808</f>
        <v>363.28843069983998</v>
      </c>
      <c r="H56" s="105">
        <f t="shared" si="0"/>
        <v>-36.919359894120134</v>
      </c>
      <c r="I56" s="1015">
        <v>436.61892547567481</v>
      </c>
      <c r="J56" s="105">
        <v>438.0862694258393</v>
      </c>
      <c r="K56" s="1015">
        <v>490.95138177470824</v>
      </c>
      <c r="L56" s="105">
        <v>492.7090145065182</v>
      </c>
      <c r="M56" s="1015">
        <v>551.7270741981813</v>
      </c>
      <c r="N56" s="105">
        <v>579.04042546966252</v>
      </c>
    </row>
    <row r="57" spans="2:14">
      <c r="B57" s="141" t="s">
        <v>245</v>
      </c>
      <c r="C57" s="652">
        <v>212.17635436924556</v>
      </c>
      <c r="D57" s="1015">
        <v>186.5</v>
      </c>
      <c r="E57" s="1008">
        <v>185.60358720299996</v>
      </c>
      <c r="F57" s="1015">
        <v>167.6</v>
      </c>
      <c r="G57" s="105">
        <f>FISC!AC809</f>
        <v>192.49014827558653</v>
      </c>
      <c r="H57" s="105">
        <f t="shared" si="0"/>
        <v>24.89014827558654</v>
      </c>
      <c r="I57" s="1015">
        <v>185.8</v>
      </c>
      <c r="J57" s="105">
        <v>212.65076593260125</v>
      </c>
      <c r="K57" s="1015">
        <v>196.63214913957756</v>
      </c>
      <c r="L57" s="105">
        <v>238.01043149143442</v>
      </c>
      <c r="M57" s="1015">
        <v>214.39808037763589</v>
      </c>
      <c r="N57" s="105">
        <v>272.46683415643651</v>
      </c>
    </row>
    <row r="58" spans="2:14">
      <c r="B58" s="109" t="s">
        <v>139</v>
      </c>
      <c r="C58" s="676">
        <v>40.388465097000008</v>
      </c>
      <c r="D58" s="1015">
        <v>54.2</v>
      </c>
      <c r="E58" s="1008">
        <v>47.887879111819991</v>
      </c>
      <c r="F58" s="1015">
        <v>75.2</v>
      </c>
      <c r="G58" s="105">
        <f>FISC!AC810</f>
        <v>53.86308627244</v>
      </c>
      <c r="H58" s="105">
        <f t="shared" si="0"/>
        <v>-21.336913727560002</v>
      </c>
      <c r="I58" s="1015">
        <v>92.733917105027999</v>
      </c>
      <c r="J58" s="105">
        <v>92.632520234786682</v>
      </c>
      <c r="K58" s="1015">
        <v>116.52915761659638</v>
      </c>
      <c r="L58" s="105">
        <v>104.1</v>
      </c>
      <c r="M58" s="1015">
        <v>145.03124868049861</v>
      </c>
      <c r="N58" s="105">
        <v>137.36102343747785</v>
      </c>
    </row>
    <row r="59" spans="2:14">
      <c r="B59" s="935" t="s">
        <v>1113</v>
      </c>
      <c r="C59" s="652"/>
      <c r="D59" s="1015"/>
      <c r="E59" s="1008">
        <v>0</v>
      </c>
      <c r="F59" s="1015">
        <v>18</v>
      </c>
      <c r="G59" s="105">
        <f>FISC!AC815</f>
        <v>0</v>
      </c>
      <c r="H59" s="105">
        <f t="shared" si="0"/>
        <v>-18</v>
      </c>
      <c r="I59" s="1015"/>
      <c r="J59" s="105"/>
      <c r="K59" s="1015"/>
      <c r="L59" s="105"/>
      <c r="M59" s="1015"/>
      <c r="N59" s="105"/>
    </row>
    <row r="60" spans="2:14">
      <c r="B60" s="109" t="s">
        <v>140</v>
      </c>
      <c r="C60" s="550">
        <v>112.19999999999999</v>
      </c>
      <c r="D60" s="1015">
        <v>119.59160514918599</v>
      </c>
      <c r="E60" s="1008">
        <v>114.7</v>
      </c>
      <c r="F60" s="1015">
        <v>139.40779059396013</v>
      </c>
      <c r="G60" s="548">
        <f>FISC!AC816</f>
        <v>116.93519615181343</v>
      </c>
      <c r="H60" s="105">
        <f t="shared" si="0"/>
        <v>-22.472594442146701</v>
      </c>
      <c r="I60" s="1015">
        <v>158.08500837064676</v>
      </c>
      <c r="J60" s="548">
        <v>132.80298325845135</v>
      </c>
      <c r="K60" s="1015">
        <v>177.79007501853434</v>
      </c>
      <c r="L60" s="548">
        <v>150.59858301508385</v>
      </c>
      <c r="M60" s="1015">
        <v>192.29774514004677</v>
      </c>
      <c r="N60" s="1009">
        <v>169.21256787574822</v>
      </c>
    </row>
    <row r="61" spans="2:14">
      <c r="B61" s="109" t="s">
        <v>118</v>
      </c>
      <c r="C61" s="120">
        <v>0</v>
      </c>
      <c r="D61" s="1015"/>
      <c r="E61" s="1008">
        <v>0</v>
      </c>
      <c r="F61" s="1015"/>
      <c r="G61" s="105">
        <f>FISC!AC817</f>
        <v>0</v>
      </c>
      <c r="H61" s="105">
        <f t="shared" si="0"/>
        <v>0</v>
      </c>
      <c r="I61" s="1015"/>
      <c r="J61" s="105"/>
      <c r="K61" s="1015"/>
      <c r="L61" s="105"/>
      <c r="M61" s="1015"/>
      <c r="N61" s="105"/>
    </row>
    <row r="62" spans="2:14">
      <c r="B62" s="108" t="s">
        <v>141</v>
      </c>
      <c r="C62" s="105">
        <v>159.21198662399999</v>
      </c>
      <c r="D62" s="1015">
        <v>160.29242741323753</v>
      </c>
      <c r="E62" s="1008">
        <v>159.35388304200001</v>
      </c>
      <c r="F62" s="1015">
        <v>124.06612723298124</v>
      </c>
      <c r="G62" s="142">
        <f>FISC!AC818</f>
        <v>181.83912250499998</v>
      </c>
      <c r="H62" s="105">
        <f t="shared" si="0"/>
        <v>57.772995272018733</v>
      </c>
      <c r="I62" s="1015">
        <v>152.26357862480793</v>
      </c>
      <c r="J62" s="142">
        <v>145.16892812563202</v>
      </c>
      <c r="K62" s="1015">
        <v>171.27108575613033</v>
      </c>
      <c r="L62" s="142">
        <v>154.44568525065728</v>
      </c>
      <c r="M62" s="1015">
        <v>166.27216375355385</v>
      </c>
      <c r="N62" s="105">
        <v>155.55991266068358</v>
      </c>
    </row>
    <row r="63" spans="2:14">
      <c r="B63" s="110" t="s">
        <v>142</v>
      </c>
      <c r="C63" s="652">
        <v>26.979326674999996</v>
      </c>
      <c r="D63" s="1015">
        <v>27.9</v>
      </c>
      <c r="E63" s="1008">
        <v>28.539423423000002</v>
      </c>
      <c r="F63" s="1015">
        <v>22.7</v>
      </c>
      <c r="G63" s="105">
        <f>FISC!AC819</f>
        <v>32.435816873</v>
      </c>
      <c r="H63" s="105">
        <f t="shared" si="0"/>
        <v>9.735816873000001</v>
      </c>
      <c r="I63" s="1015">
        <v>33.799999999999997</v>
      </c>
      <c r="J63" s="105">
        <v>33.799999999999997</v>
      </c>
      <c r="K63" s="1015">
        <v>37.950000000000003</v>
      </c>
      <c r="L63" s="105">
        <v>37.950000000000003</v>
      </c>
      <c r="M63" s="1015">
        <v>37.950000000000003</v>
      </c>
      <c r="N63" s="105">
        <v>37.950000000000003</v>
      </c>
    </row>
    <row r="64" spans="2:14">
      <c r="B64" s="110" t="s">
        <v>285</v>
      </c>
      <c r="C64" s="652">
        <v>4.3759362910000004</v>
      </c>
      <c r="D64" s="1015">
        <v>3.4</v>
      </c>
      <c r="E64" s="1008">
        <v>2.6629975549999996</v>
      </c>
      <c r="F64" s="1015">
        <v>3.8</v>
      </c>
      <c r="G64" s="105">
        <f>FISC!AC820</f>
        <v>3.6326671129999997</v>
      </c>
      <c r="H64" s="105">
        <f t="shared" si="0"/>
        <v>-0.16733288700000015</v>
      </c>
      <c r="I64" s="1015">
        <v>6.7</v>
      </c>
      <c r="J64" s="105">
        <v>6.7</v>
      </c>
      <c r="K64" s="1015">
        <v>7.64</v>
      </c>
      <c r="L64" s="105">
        <v>7.64</v>
      </c>
      <c r="M64" s="1015">
        <v>4.4000000000000004</v>
      </c>
      <c r="N64" s="105">
        <v>4.4000000000000004</v>
      </c>
    </row>
    <row r="65" spans="2:14">
      <c r="B65" s="110" t="s">
        <v>143</v>
      </c>
      <c r="C65" s="653">
        <v>127.85672365799999</v>
      </c>
      <c r="D65" s="1015">
        <v>128.99242741323752</v>
      </c>
      <c r="E65" s="1008">
        <v>128.15146206400001</v>
      </c>
      <c r="F65" s="1015">
        <v>97.566127232981245</v>
      </c>
      <c r="G65" s="599">
        <f>FISC!AC821</f>
        <v>145.77063851899999</v>
      </c>
      <c r="H65" s="105">
        <f t="shared" si="0"/>
        <v>48.204511286018743</v>
      </c>
      <c r="I65" s="1015">
        <v>111.76357862480793</v>
      </c>
      <c r="J65" s="599">
        <v>104.66892812563201</v>
      </c>
      <c r="K65" s="1015">
        <v>125.68108575613033</v>
      </c>
      <c r="L65" s="599">
        <v>108.85568525065729</v>
      </c>
      <c r="M65" s="1015">
        <v>123.92216375355385</v>
      </c>
      <c r="N65" s="599">
        <v>113.20991266068357</v>
      </c>
    </row>
    <row r="66" spans="2:14">
      <c r="B66" s="110" t="s">
        <v>1030</v>
      </c>
      <c r="C66" s="120"/>
      <c r="D66" s="1015"/>
      <c r="E66" s="1008">
        <v>0</v>
      </c>
      <c r="F66" s="1015"/>
      <c r="G66" s="105">
        <f>FISC!AC822</f>
        <v>0</v>
      </c>
      <c r="H66" s="105">
        <f t="shared" si="0"/>
        <v>0</v>
      </c>
      <c r="I66" s="1015"/>
      <c r="J66" s="105"/>
      <c r="K66" s="1015"/>
      <c r="L66" s="105"/>
      <c r="M66" s="1015"/>
      <c r="N66" s="105"/>
    </row>
    <row r="67" spans="2:14">
      <c r="B67" s="110" t="s">
        <v>1121</v>
      </c>
      <c r="C67" s="120"/>
      <c r="D67" s="1015">
        <v>19.2343545015</v>
      </c>
      <c r="E67" s="1008">
        <v>-0.34783849306015213</v>
      </c>
      <c r="F67" s="1015">
        <v>-18.813199421606249</v>
      </c>
      <c r="G67" s="931">
        <f>FISC!AC823</f>
        <v>0</v>
      </c>
      <c r="H67" s="105">
        <f t="shared" si="0"/>
        <v>18.813199421606249</v>
      </c>
      <c r="I67" s="1015">
        <v>1.4028901082611873</v>
      </c>
      <c r="J67" s="931"/>
      <c r="K67" s="1015">
        <v>8.1849035407652622</v>
      </c>
      <c r="L67" s="931"/>
      <c r="M67" s="1015"/>
      <c r="N67" s="105"/>
    </row>
    <row r="68" spans="2:14">
      <c r="B68" s="108" t="s">
        <v>742</v>
      </c>
      <c r="C68" s="120"/>
      <c r="D68" s="1015"/>
      <c r="E68" s="1008">
        <v>0</v>
      </c>
      <c r="F68" s="1015"/>
      <c r="G68" s="105">
        <f>FISC!AC824</f>
        <v>0</v>
      </c>
      <c r="H68" s="105">
        <f t="shared" si="0"/>
        <v>0</v>
      </c>
      <c r="I68" s="1015"/>
      <c r="J68" s="105"/>
      <c r="K68" s="1015"/>
      <c r="L68" s="105"/>
      <c r="M68" s="1015"/>
      <c r="N68" s="105"/>
    </row>
    <row r="69" spans="2:14">
      <c r="B69" s="107" t="s">
        <v>144</v>
      </c>
      <c r="C69" s="105">
        <v>721.70584666963293</v>
      </c>
      <c r="D69" s="1015">
        <v>675.16953456303861</v>
      </c>
      <c r="E69" s="1008">
        <v>724.92500877882901</v>
      </c>
      <c r="F69" s="1015">
        <v>773.99655281597825</v>
      </c>
      <c r="G69" s="105">
        <f>FISC!AC825</f>
        <v>850.21990038716001</v>
      </c>
      <c r="H69" s="105">
        <f t="shared" si="0"/>
        <v>76.223347571181762</v>
      </c>
      <c r="I69" s="1015">
        <v>835.16335319250948</v>
      </c>
      <c r="J69" s="105">
        <v>848.38016552097179</v>
      </c>
      <c r="K69" s="1015">
        <v>981.4448636964778</v>
      </c>
      <c r="L69" s="105">
        <v>1011.5415722484473</v>
      </c>
      <c r="M69" s="1015">
        <v>1269.2377164218915</v>
      </c>
      <c r="N69" s="105">
        <v>1489.7390447766131</v>
      </c>
    </row>
    <row r="70" spans="2:14">
      <c r="B70" s="108" t="s">
        <v>35</v>
      </c>
      <c r="C70" s="652">
        <v>446.87751730499997</v>
      </c>
      <c r="D70" s="1015">
        <v>398</v>
      </c>
      <c r="E70" s="1008">
        <v>418.175831609</v>
      </c>
      <c r="F70" s="1015">
        <v>461.53970305881637</v>
      </c>
      <c r="G70" s="105">
        <f>FISC!AC826</f>
        <v>463.15948488100003</v>
      </c>
      <c r="H70" s="105">
        <f t="shared" si="0"/>
        <v>1.6197818221836542</v>
      </c>
      <c r="I70" s="1015">
        <v>455.76514508494336</v>
      </c>
      <c r="J70" s="105">
        <v>456.80691071683265</v>
      </c>
      <c r="K70" s="1015">
        <v>522.6538407424456</v>
      </c>
      <c r="L70" s="105">
        <v>523.61771854631172</v>
      </c>
      <c r="M70" s="1015">
        <v>563.13014086457088</v>
      </c>
      <c r="N70" s="105">
        <v>779.01976914468696</v>
      </c>
    </row>
    <row r="71" spans="2:14">
      <c r="B71" s="109" t="s">
        <v>118</v>
      </c>
      <c r="C71" s="652">
        <v>0</v>
      </c>
      <c r="D71" s="1015">
        <v>0</v>
      </c>
      <c r="E71" s="1008">
        <v>0</v>
      </c>
      <c r="F71" s="1015">
        <v>0</v>
      </c>
      <c r="G71" s="105">
        <f>FISC!AC829</f>
        <v>0</v>
      </c>
      <c r="H71" s="105">
        <f t="shared" ref="H71:H134" si="1">G71-F71</f>
        <v>0</v>
      </c>
      <c r="I71" s="1015"/>
      <c r="J71" s="105"/>
      <c r="K71" s="1015"/>
      <c r="L71" s="105"/>
      <c r="M71" s="1015"/>
      <c r="N71" s="105"/>
    </row>
    <row r="72" spans="2:14">
      <c r="B72" s="110" t="s">
        <v>636</v>
      </c>
      <c r="C72" s="652">
        <v>0</v>
      </c>
      <c r="D72" s="1015">
        <v>0</v>
      </c>
      <c r="E72" s="1008">
        <v>0</v>
      </c>
      <c r="F72" s="1015">
        <v>0</v>
      </c>
      <c r="G72" s="105">
        <f>FISC!AC830</f>
        <v>0</v>
      </c>
      <c r="H72" s="105">
        <f t="shared" si="1"/>
        <v>0</v>
      </c>
      <c r="I72" s="1015"/>
      <c r="J72" s="105"/>
      <c r="K72" s="1015"/>
      <c r="L72" s="105"/>
      <c r="M72" s="1015"/>
      <c r="N72" s="105"/>
    </row>
    <row r="73" spans="2:14">
      <c r="B73" s="110" t="s">
        <v>635</v>
      </c>
      <c r="C73" s="652">
        <v>2.9366451320000002</v>
      </c>
      <c r="D73" s="1015"/>
      <c r="E73" s="1008">
        <v>0.49947828100000002</v>
      </c>
      <c r="F73" s="1015"/>
      <c r="G73" s="105">
        <f>FISC!AC831</f>
        <v>0</v>
      </c>
      <c r="H73" s="105">
        <f t="shared" si="1"/>
        <v>0</v>
      </c>
      <c r="I73" s="1015"/>
      <c r="J73" s="105"/>
      <c r="K73" s="1015"/>
      <c r="L73" s="105"/>
      <c r="M73" s="1015"/>
      <c r="N73" s="105"/>
    </row>
    <row r="74" spans="2:14">
      <c r="B74" s="110" t="s">
        <v>634</v>
      </c>
      <c r="C74" s="652">
        <v>70.382366508050239</v>
      </c>
      <c r="D74" s="1015">
        <v>74.498027954870281</v>
      </c>
      <c r="E74" s="548">
        <v>73.253442643358838</v>
      </c>
      <c r="F74" s="1015">
        <v>63.578531045171673</v>
      </c>
      <c r="G74" s="105">
        <f>FISC!AC832</f>
        <v>73.418348140999996</v>
      </c>
      <c r="H74" s="105">
        <f t="shared" si="1"/>
        <v>9.8398170958283231</v>
      </c>
      <c r="I74" s="1015">
        <v>65.492570447589017</v>
      </c>
      <c r="J74" s="105">
        <v>62.114845794150582</v>
      </c>
      <c r="K74" s="1015">
        <v>69.727065810293468</v>
      </c>
      <c r="L74" s="105">
        <v>64.599439625916602</v>
      </c>
      <c r="M74" s="1015">
        <v>0</v>
      </c>
      <c r="N74" s="105">
        <v>0</v>
      </c>
    </row>
    <row r="75" spans="2:14">
      <c r="B75" s="110" t="s">
        <v>633</v>
      </c>
      <c r="C75" s="652">
        <v>10.220755499999999</v>
      </c>
      <c r="D75" s="1015"/>
      <c r="E75" s="1008">
        <v>0</v>
      </c>
      <c r="F75" s="1015"/>
      <c r="G75" s="105">
        <f>FISC!AC833</f>
        <v>0</v>
      </c>
      <c r="H75" s="105">
        <f t="shared" si="1"/>
        <v>0</v>
      </c>
      <c r="I75" s="1015"/>
      <c r="J75" s="105"/>
      <c r="K75" s="1015"/>
      <c r="L75" s="105"/>
      <c r="M75" s="1015"/>
      <c r="N75" s="105"/>
    </row>
    <row r="76" spans="2:14">
      <c r="B76" s="108" t="s">
        <v>145</v>
      </c>
      <c r="C76" s="652">
        <v>274.82832936463296</v>
      </c>
      <c r="D76" s="1015">
        <v>277.16953456303861</v>
      </c>
      <c r="E76" s="1008">
        <v>306.74917716982901</v>
      </c>
      <c r="F76" s="1015">
        <v>312.45684975716182</v>
      </c>
      <c r="G76" s="105">
        <f>FISC!AC834</f>
        <v>387.06041550615998</v>
      </c>
      <c r="H76" s="105">
        <f t="shared" si="1"/>
        <v>74.603565748998165</v>
      </c>
      <c r="I76" s="1015">
        <v>379.39820810756606</v>
      </c>
      <c r="J76" s="105">
        <v>391.57325480413908</v>
      </c>
      <c r="K76" s="1015">
        <v>458.7910229540322</v>
      </c>
      <c r="L76" s="105">
        <v>487.9238537021356</v>
      </c>
      <c r="M76" s="1015">
        <v>706.1075755573205</v>
      </c>
      <c r="N76" s="105">
        <v>710.71927563192617</v>
      </c>
    </row>
    <row r="77" spans="2:14">
      <c r="B77" s="656" t="s">
        <v>773</v>
      </c>
      <c r="C77" s="549"/>
      <c r="D77" s="1015"/>
      <c r="E77" s="1008">
        <v>0</v>
      </c>
      <c r="F77" s="1015"/>
      <c r="G77" s="548">
        <f>FISC!AC835</f>
        <v>0</v>
      </c>
      <c r="H77" s="105">
        <f t="shared" si="1"/>
        <v>0</v>
      </c>
      <c r="I77" s="1015"/>
      <c r="J77" s="548"/>
      <c r="K77" s="1015"/>
      <c r="L77" s="548"/>
      <c r="M77" s="1015"/>
      <c r="N77" s="548"/>
    </row>
    <row r="78" spans="2:14">
      <c r="B78" s="656" t="s">
        <v>775</v>
      </c>
      <c r="C78" s="549"/>
      <c r="D78" s="1015"/>
      <c r="E78" s="1008">
        <v>0</v>
      </c>
      <c r="F78" s="1015"/>
      <c r="G78" s="548">
        <f>FISC!AC836</f>
        <v>0</v>
      </c>
      <c r="H78" s="105">
        <f t="shared" si="1"/>
        <v>0</v>
      </c>
      <c r="I78" s="1015"/>
      <c r="J78" s="548"/>
      <c r="K78" s="1015"/>
      <c r="L78" s="548"/>
      <c r="M78" s="1015"/>
      <c r="N78" s="548"/>
    </row>
    <row r="79" spans="2:14">
      <c r="B79" s="110" t="s">
        <v>634</v>
      </c>
      <c r="C79" s="652">
        <v>0</v>
      </c>
      <c r="D79" s="1015">
        <v>0</v>
      </c>
      <c r="E79" s="1008">
        <v>0</v>
      </c>
      <c r="F79" s="1015">
        <v>0</v>
      </c>
      <c r="G79" s="105">
        <f>FISC!AC837</f>
        <v>0</v>
      </c>
      <c r="H79" s="105">
        <f t="shared" si="1"/>
        <v>0</v>
      </c>
      <c r="I79" s="1015"/>
      <c r="J79" s="105"/>
      <c r="K79" s="1015"/>
      <c r="L79" s="105"/>
      <c r="M79" s="1015"/>
      <c r="N79" s="105"/>
    </row>
    <row r="80" spans="2:14">
      <c r="B80" s="110" t="s">
        <v>637</v>
      </c>
      <c r="C80" s="652">
        <v>0</v>
      </c>
      <c r="D80" s="1015">
        <v>0</v>
      </c>
      <c r="E80" s="1008">
        <v>0</v>
      </c>
      <c r="F80" s="1015">
        <v>0</v>
      </c>
      <c r="G80" s="105">
        <f>FISC!AC838</f>
        <v>0</v>
      </c>
      <c r="H80" s="105">
        <f t="shared" si="1"/>
        <v>0</v>
      </c>
      <c r="I80" s="1015"/>
      <c r="J80" s="105"/>
      <c r="K80" s="1015"/>
      <c r="L80" s="105"/>
      <c r="M80" s="1015"/>
      <c r="N80" s="105"/>
    </row>
    <row r="81" spans="2:14">
      <c r="B81" s="110" t="s">
        <v>633</v>
      </c>
      <c r="C81" s="652">
        <v>0</v>
      </c>
      <c r="D81" s="1015">
        <v>0</v>
      </c>
      <c r="E81" s="1008">
        <v>0</v>
      </c>
      <c r="F81" s="1015">
        <v>0</v>
      </c>
      <c r="G81" s="105">
        <f>FISC!AC839</f>
        <v>0</v>
      </c>
      <c r="H81" s="105">
        <f t="shared" si="1"/>
        <v>0</v>
      </c>
      <c r="I81" s="1015"/>
      <c r="J81" s="105"/>
      <c r="K81" s="1015"/>
      <c r="L81" s="105"/>
      <c r="M81" s="1015"/>
      <c r="N81" s="105"/>
    </row>
    <row r="82" spans="2:14">
      <c r="B82" s="110" t="s">
        <v>638</v>
      </c>
      <c r="C82" s="652">
        <v>0</v>
      </c>
      <c r="D82" s="1015">
        <v>0</v>
      </c>
      <c r="E82" s="1008">
        <v>0</v>
      </c>
      <c r="F82" s="1015">
        <v>0</v>
      </c>
      <c r="G82" s="105">
        <f>FISC!AC840</f>
        <v>48</v>
      </c>
      <c r="H82" s="105">
        <f t="shared" si="1"/>
        <v>48</v>
      </c>
      <c r="I82" s="1015"/>
      <c r="J82" s="105"/>
      <c r="K82" s="1015"/>
      <c r="L82" s="105"/>
      <c r="M82" s="1015"/>
      <c r="N82" s="105"/>
    </row>
    <row r="83" spans="2:14">
      <c r="B83" s="107" t="s">
        <v>146</v>
      </c>
      <c r="C83" s="105">
        <v>88.421881023999987</v>
      </c>
      <c r="D83" s="1015">
        <v>115.8</v>
      </c>
      <c r="E83" s="1008">
        <v>113.83692121199999</v>
      </c>
      <c r="F83" s="1015">
        <v>159.09987606161249</v>
      </c>
      <c r="G83" s="142">
        <f>FISC!AC842</f>
        <v>160.04261622299998</v>
      </c>
      <c r="H83" s="105">
        <f t="shared" si="1"/>
        <v>0.94274016138749062</v>
      </c>
      <c r="I83" s="1015">
        <v>169.78824433779812</v>
      </c>
      <c r="J83" s="142">
        <v>188.65099852614637</v>
      </c>
      <c r="K83" s="1015">
        <v>184.85605842571761</v>
      </c>
      <c r="L83" s="142">
        <v>202.73989291955462</v>
      </c>
      <c r="M83" s="1015">
        <v>152.4420064362109</v>
      </c>
      <c r="N83" s="142">
        <v>176.36088798344508</v>
      </c>
    </row>
    <row r="84" spans="2:14">
      <c r="B84" s="108" t="s">
        <v>815</v>
      </c>
      <c r="C84" s="652">
        <v>3</v>
      </c>
      <c r="D84" s="1015"/>
      <c r="E84" s="1008">
        <v>2.15</v>
      </c>
      <c r="F84" s="1015"/>
      <c r="G84" s="105">
        <f>FISC!AC843</f>
        <v>0</v>
      </c>
      <c r="H84" s="105">
        <f t="shared" si="1"/>
        <v>0</v>
      </c>
      <c r="I84" s="1015"/>
      <c r="J84" s="105"/>
      <c r="K84" s="1015"/>
      <c r="L84" s="105"/>
      <c r="M84" s="1015"/>
      <c r="N84" s="105"/>
    </row>
    <row r="85" spans="2:14">
      <c r="B85" s="110" t="s">
        <v>485</v>
      </c>
      <c r="C85" s="652">
        <v>1.7461280180000001</v>
      </c>
      <c r="D85" s="1015">
        <v>0</v>
      </c>
      <c r="E85" s="1008">
        <v>2.5751055630000002</v>
      </c>
      <c r="F85" s="1015">
        <v>0</v>
      </c>
      <c r="G85" s="105">
        <f>FISC!AC844</f>
        <v>2.8757046859999997</v>
      </c>
      <c r="H85" s="105">
        <f t="shared" si="1"/>
        <v>2.8757046859999997</v>
      </c>
      <c r="I85" s="1015"/>
      <c r="J85" s="105"/>
      <c r="K85" s="1015"/>
      <c r="L85" s="105"/>
      <c r="M85" s="1015"/>
      <c r="N85" s="105"/>
    </row>
    <row r="86" spans="2:14">
      <c r="B86" s="110" t="s">
        <v>147</v>
      </c>
      <c r="C86" s="652">
        <v>0</v>
      </c>
      <c r="D86" s="1015">
        <v>4</v>
      </c>
      <c r="E86" s="1008">
        <v>0</v>
      </c>
      <c r="F86" s="1015">
        <v>7.85</v>
      </c>
      <c r="G86" s="105">
        <f>FISC!AC845</f>
        <v>0</v>
      </c>
      <c r="H86" s="105">
        <f t="shared" si="1"/>
        <v>-7.85</v>
      </c>
      <c r="I86" s="1015">
        <v>10</v>
      </c>
      <c r="J86" s="105">
        <v>10</v>
      </c>
      <c r="K86" s="1015">
        <v>10</v>
      </c>
      <c r="L86" s="105">
        <v>10</v>
      </c>
      <c r="M86" s="1015">
        <v>0</v>
      </c>
      <c r="N86" s="105">
        <v>0</v>
      </c>
    </row>
    <row r="87" spans="2:14">
      <c r="B87" s="110" t="s">
        <v>148</v>
      </c>
      <c r="C87" s="652">
        <v>40.091221955999998</v>
      </c>
      <c r="D87" s="1015">
        <v>73.55</v>
      </c>
      <c r="E87" s="1008">
        <v>80.861739053000008</v>
      </c>
      <c r="F87" s="1015">
        <v>78.45</v>
      </c>
      <c r="G87" s="105">
        <f>FISC!AC846</f>
        <v>95.282056964999995</v>
      </c>
      <c r="H87" s="105">
        <f t="shared" si="1"/>
        <v>16.832056964999992</v>
      </c>
      <c r="I87" s="1015">
        <v>98.037245811651786</v>
      </c>
      <c r="J87" s="105">
        <v>107</v>
      </c>
      <c r="K87" s="1015">
        <v>118.991731671163</v>
      </c>
      <c r="L87" s="105">
        <v>119.3</v>
      </c>
      <c r="M87" s="1015">
        <v>124.50984305893358</v>
      </c>
      <c r="N87" s="105">
        <v>148.42872460616778</v>
      </c>
    </row>
    <row r="88" spans="2:14">
      <c r="B88" s="110" t="s">
        <v>611</v>
      </c>
      <c r="C88" s="652">
        <v>0</v>
      </c>
      <c r="D88" s="1015">
        <v>0</v>
      </c>
      <c r="E88" s="1008">
        <v>0</v>
      </c>
      <c r="F88" s="1015">
        <v>0</v>
      </c>
      <c r="G88" s="105">
        <f>FISC!AC847</f>
        <v>0</v>
      </c>
      <c r="H88" s="105">
        <f t="shared" si="1"/>
        <v>0</v>
      </c>
      <c r="I88" s="1015">
        <v>0</v>
      </c>
      <c r="J88" s="105">
        <v>0</v>
      </c>
      <c r="K88" s="1015">
        <v>0</v>
      </c>
      <c r="L88" s="105">
        <v>0</v>
      </c>
      <c r="M88" s="1015">
        <v>0</v>
      </c>
      <c r="N88" s="105">
        <v>0</v>
      </c>
    </row>
    <row r="89" spans="2:14">
      <c r="B89" s="110" t="s">
        <v>149</v>
      </c>
      <c r="C89" s="652">
        <v>0</v>
      </c>
      <c r="D89" s="1015">
        <v>7</v>
      </c>
      <c r="E89" s="1008">
        <v>0</v>
      </c>
      <c r="F89" s="1015">
        <v>7.95</v>
      </c>
      <c r="G89" s="105">
        <f>FISC!AC848</f>
        <v>0</v>
      </c>
      <c r="H89" s="105">
        <f t="shared" si="1"/>
        <v>-7.95</v>
      </c>
      <c r="I89" s="1015">
        <v>0</v>
      </c>
      <c r="J89" s="105">
        <v>0</v>
      </c>
      <c r="K89" s="1015">
        <v>0</v>
      </c>
      <c r="L89" s="105">
        <v>8.7379999999999995</v>
      </c>
      <c r="M89" s="1015">
        <v>0</v>
      </c>
      <c r="N89" s="105">
        <v>0</v>
      </c>
    </row>
    <row r="90" spans="2:14">
      <c r="B90" s="110" t="s">
        <v>954</v>
      </c>
      <c r="C90" s="652">
        <v>-1.474062287</v>
      </c>
      <c r="D90" s="1015">
        <v>-11.510210297499999</v>
      </c>
      <c r="E90" s="1008">
        <v>-9.0864968659999992</v>
      </c>
      <c r="F90" s="1015">
        <v>0</v>
      </c>
      <c r="G90" s="105">
        <f>FISC!AC852</f>
        <v>-0.98998876200000008</v>
      </c>
      <c r="H90" s="105">
        <f t="shared" si="1"/>
        <v>-0.98998876200000008</v>
      </c>
      <c r="I90" s="1015">
        <v>0</v>
      </c>
      <c r="J90" s="105">
        <v>0</v>
      </c>
      <c r="K90" s="1015">
        <v>0</v>
      </c>
      <c r="L90" s="105">
        <v>0</v>
      </c>
      <c r="M90" s="1015">
        <v>0</v>
      </c>
      <c r="N90" s="105">
        <v>0</v>
      </c>
    </row>
    <row r="91" spans="2:14">
      <c r="B91" s="110" t="s">
        <v>805</v>
      </c>
      <c r="C91" s="652"/>
      <c r="D91" s="1015">
        <v>11.510210297499999</v>
      </c>
      <c r="E91" s="1008">
        <v>11.5</v>
      </c>
      <c r="F91" s="1015">
        <v>9.6253578436124982</v>
      </c>
      <c r="G91" s="105">
        <f>FISC!AC853</f>
        <v>9.6253578439999998</v>
      </c>
      <c r="H91" s="105">
        <f t="shared" si="1"/>
        <v>3.8750158637412824E-10</v>
      </c>
      <c r="I91" s="1015">
        <v>0</v>
      </c>
      <c r="J91" s="105">
        <v>0</v>
      </c>
      <c r="K91" s="1015">
        <v>0</v>
      </c>
      <c r="L91" s="105">
        <v>0</v>
      </c>
      <c r="M91" s="1015">
        <v>0</v>
      </c>
      <c r="N91" s="105">
        <v>0</v>
      </c>
    </row>
    <row r="92" spans="2:14">
      <c r="B92" s="110" t="s">
        <v>1123</v>
      </c>
      <c r="C92" s="652">
        <v>0</v>
      </c>
      <c r="D92" s="1015">
        <v>0</v>
      </c>
      <c r="E92" s="1008">
        <v>0</v>
      </c>
      <c r="F92" s="1015">
        <v>0</v>
      </c>
      <c r="G92" s="105">
        <f>FISC!AC854</f>
        <v>0</v>
      </c>
      <c r="H92" s="105">
        <f t="shared" si="1"/>
        <v>0</v>
      </c>
      <c r="I92" s="1015">
        <v>0</v>
      </c>
      <c r="J92" s="105">
        <v>0</v>
      </c>
      <c r="K92" s="1015">
        <v>0</v>
      </c>
      <c r="L92" s="105">
        <v>0</v>
      </c>
      <c r="M92" s="1015">
        <v>0</v>
      </c>
      <c r="N92" s="105">
        <v>0</v>
      </c>
    </row>
    <row r="93" spans="2:14">
      <c r="B93" s="110" t="s">
        <v>1083</v>
      </c>
      <c r="C93" s="652">
        <v>19.346579886000001</v>
      </c>
      <c r="D93" s="1015">
        <v>0</v>
      </c>
      <c r="E93" s="1008">
        <v>0</v>
      </c>
      <c r="F93" s="1015">
        <v>11.464518217999998</v>
      </c>
      <c r="G93" s="142">
        <f>FISC!AC855</f>
        <v>11.126743522</v>
      </c>
      <c r="H93" s="105">
        <f t="shared" si="1"/>
        <v>-0.33777469599999854</v>
      </c>
      <c r="I93" s="1015">
        <v>12.076627862</v>
      </c>
      <c r="J93" s="142">
        <v>12.076627862</v>
      </c>
      <c r="K93" s="1015">
        <v>0</v>
      </c>
      <c r="L93" s="105">
        <v>0</v>
      </c>
      <c r="M93" s="1015">
        <v>0</v>
      </c>
      <c r="N93" s="105">
        <v>0</v>
      </c>
    </row>
    <row r="94" spans="2:14">
      <c r="B94" s="1038" t="s">
        <v>1122</v>
      </c>
      <c r="C94" s="676"/>
      <c r="D94" s="1015"/>
      <c r="E94" s="1008">
        <v>0</v>
      </c>
      <c r="F94" s="1015"/>
      <c r="G94" s="931">
        <f>FISC!AC857</f>
        <v>7.4250000000000007</v>
      </c>
      <c r="H94" s="105">
        <f t="shared" si="1"/>
        <v>7.4250000000000007</v>
      </c>
      <c r="I94" s="1015"/>
      <c r="J94" s="931">
        <v>9.9</v>
      </c>
      <c r="K94" s="1015"/>
      <c r="L94" s="931">
        <v>8.8375661650000001</v>
      </c>
      <c r="M94" s="1015"/>
      <c r="N94" s="105"/>
    </row>
    <row r="95" spans="2:14">
      <c r="B95" s="110" t="s">
        <v>151</v>
      </c>
      <c r="C95" s="652">
        <v>25.712013450999997</v>
      </c>
      <c r="D95" s="1015">
        <v>31.25</v>
      </c>
      <c r="E95" s="1008">
        <v>25.836573462</v>
      </c>
      <c r="F95" s="1015">
        <v>43.76</v>
      </c>
      <c r="G95" s="142">
        <f>FISC!AC859</f>
        <v>34.697741968000003</v>
      </c>
      <c r="H95" s="105">
        <f t="shared" si="1"/>
        <v>-9.0622580319999955</v>
      </c>
      <c r="I95" s="1015">
        <v>49.674370664146352</v>
      </c>
      <c r="J95" s="142">
        <v>49.674370664146352</v>
      </c>
      <c r="K95" s="1015">
        <v>55.864326754554618</v>
      </c>
      <c r="L95" s="105">
        <v>55.864326754554618</v>
      </c>
      <c r="M95" s="1015">
        <v>27.932163377277309</v>
      </c>
      <c r="N95" s="105">
        <v>27.932163377277309</v>
      </c>
    </row>
    <row r="96" spans="2:14">
      <c r="B96" s="109" t="s">
        <v>152</v>
      </c>
      <c r="C96" s="652">
        <v>0</v>
      </c>
      <c r="D96" s="1015"/>
      <c r="E96" s="1008">
        <v>0</v>
      </c>
      <c r="F96" s="1015"/>
      <c r="G96" s="105">
        <f>FISC!AC860</f>
        <v>0</v>
      </c>
      <c r="H96" s="105">
        <f t="shared" si="1"/>
        <v>0</v>
      </c>
      <c r="I96" s="1015"/>
      <c r="J96" s="105"/>
      <c r="K96" s="1015"/>
      <c r="L96" s="105"/>
      <c r="M96" s="1015"/>
      <c r="N96" s="105"/>
    </row>
    <row r="97" spans="2:14">
      <c r="B97" s="109" t="s">
        <v>153</v>
      </c>
      <c r="C97" s="652">
        <v>0</v>
      </c>
      <c r="D97" s="1015"/>
      <c r="E97" s="1008">
        <v>0</v>
      </c>
      <c r="F97" s="1015"/>
      <c r="G97" s="105">
        <f>FISC!AC861</f>
        <v>0</v>
      </c>
      <c r="H97" s="105">
        <f t="shared" si="1"/>
        <v>0</v>
      </c>
      <c r="I97" s="1015"/>
      <c r="J97" s="105"/>
      <c r="K97" s="1015"/>
      <c r="L97" s="105"/>
      <c r="M97" s="1015"/>
      <c r="N97" s="105"/>
    </row>
    <row r="98" spans="2:14">
      <c r="B98" s="106" t="s">
        <v>218</v>
      </c>
      <c r="C98" s="865">
        <v>-169.80077529869004</v>
      </c>
      <c r="D98" s="1015">
        <v>-118.9259596506862</v>
      </c>
      <c r="E98" s="1008">
        <v>-130.00148231638258</v>
      </c>
      <c r="F98" s="1015">
        <v>-90.081770233779253</v>
      </c>
      <c r="G98" s="105">
        <f>FISC!AC862</f>
        <v>-87.354410584503853</v>
      </c>
      <c r="H98" s="105">
        <f t="shared" si="1"/>
        <v>2.7273596492753995</v>
      </c>
      <c r="I98" s="1015">
        <v>-83.82754169253991</v>
      </c>
      <c r="J98" s="105">
        <v>-88.482568754590829</v>
      </c>
      <c r="K98" s="1015">
        <v>-42.88753184399161</v>
      </c>
      <c r="L98" s="105">
        <v>-40.07446815731339</v>
      </c>
      <c r="M98" s="1015">
        <v>30.472064087643048</v>
      </c>
      <c r="N98" s="105">
        <v>-56.660981455709361</v>
      </c>
    </row>
    <row r="99" spans="2:14">
      <c r="B99" s="106" t="s">
        <v>154</v>
      </c>
      <c r="C99" s="652">
        <v>-10.588788674690022</v>
      </c>
      <c r="D99" s="1015">
        <v>41.366467762551338</v>
      </c>
      <c r="E99" s="1008">
        <v>29.352400725617485</v>
      </c>
      <c r="F99" s="1015">
        <v>5.6221689038613931</v>
      </c>
      <c r="G99" s="548">
        <f>FISC!AC863</f>
        <v>94.484711920496125</v>
      </c>
      <c r="H99" s="105">
        <f t="shared" si="1"/>
        <v>88.862543016634731</v>
      </c>
      <c r="I99" s="1015">
        <v>5.6221689038613931</v>
      </c>
      <c r="J99" s="548">
        <v>5.6221689038613931</v>
      </c>
      <c r="K99" s="1015">
        <v>5.6221689038613931</v>
      </c>
      <c r="L99" s="548">
        <v>5.6221689038613931</v>
      </c>
      <c r="M99" s="1015">
        <v>5.6221689038613931</v>
      </c>
      <c r="N99" s="128">
        <v>98.898931204974218</v>
      </c>
    </row>
    <row r="100" spans="2:14">
      <c r="B100" s="106" t="s">
        <v>219</v>
      </c>
      <c r="C100" s="120">
        <v>-182.68860983318646</v>
      </c>
      <c r="D100" s="1015">
        <v>-179.78590162604468</v>
      </c>
      <c r="E100" s="1008">
        <v>-190.55062036164981</v>
      </c>
      <c r="F100" s="1015">
        <v>-179.27783109613901</v>
      </c>
      <c r="G100" s="105">
        <f>FISC!AC864</f>
        <v>-189.57230382755449</v>
      </c>
      <c r="H100" s="105">
        <f t="shared" si="1"/>
        <v>-10.294472731415482</v>
      </c>
      <c r="I100" s="1015">
        <v>-179.27783109613867</v>
      </c>
      <c r="J100" s="105">
        <v>-179.27783109613867</v>
      </c>
      <c r="K100" s="1015">
        <v>-179.27783109613867</v>
      </c>
      <c r="L100" s="105">
        <v>-179.27783109613867</v>
      </c>
      <c r="M100" s="1015">
        <v>-179.27783109613867</v>
      </c>
      <c r="N100" s="128">
        <v>-243.28890897537713</v>
      </c>
    </row>
    <row r="101" spans="2:14">
      <c r="B101" s="106" t="s">
        <v>115</v>
      </c>
      <c r="C101" s="120"/>
      <c r="D101" s="1015"/>
      <c r="E101" s="1008">
        <v>0</v>
      </c>
      <c r="F101" s="1015"/>
      <c r="G101" s="105" t="e">
        <f>FISC!#REF!</f>
        <v>#REF!</v>
      </c>
      <c r="H101" s="105" t="e">
        <f t="shared" si="1"/>
        <v>#REF!</v>
      </c>
      <c r="I101" s="1015"/>
      <c r="J101" s="105"/>
      <c r="K101" s="1015"/>
      <c r="L101" s="105"/>
      <c r="M101" s="1015"/>
      <c r="N101" s="105"/>
    </row>
    <row r="102" spans="2:14">
      <c r="B102" s="106" t="s">
        <v>155</v>
      </c>
      <c r="C102" s="120"/>
      <c r="D102" s="1015"/>
      <c r="E102" s="1008">
        <v>0</v>
      </c>
      <c r="F102" s="1015"/>
      <c r="G102" s="105">
        <f>FISC!AC865</f>
        <v>0</v>
      </c>
      <c r="H102" s="105">
        <f t="shared" si="1"/>
        <v>0</v>
      </c>
      <c r="I102" s="1015"/>
      <c r="J102" s="105"/>
      <c r="K102" s="1015"/>
      <c r="L102" s="105"/>
      <c r="M102" s="1015"/>
      <c r="N102" s="105"/>
    </row>
    <row r="103" spans="2:14">
      <c r="B103" s="112" t="s">
        <v>156</v>
      </c>
      <c r="C103" s="120">
        <v>-216.00258886909251</v>
      </c>
      <c r="D103" s="1015">
        <v>-256.16669536965492</v>
      </c>
      <c r="E103" s="1008">
        <v>-297.93217320396036</v>
      </c>
      <c r="F103" s="1015">
        <v>-297.94588648992089</v>
      </c>
      <c r="G103" s="105">
        <f>FISC!AC866</f>
        <v>-367.12734809700419</v>
      </c>
      <c r="H103" s="105">
        <f t="shared" si="1"/>
        <v>-69.181461607083293</v>
      </c>
      <c r="I103" s="1015">
        <v>-352.21000126603212</v>
      </c>
      <c r="J103" s="105">
        <v>-407.81963075999442</v>
      </c>
      <c r="K103" s="1015">
        <v>-373.8124008455261</v>
      </c>
      <c r="L103" s="105">
        <v>-447.70824547677284</v>
      </c>
      <c r="M103" s="1015">
        <v>-556.77835375604218</v>
      </c>
      <c r="N103" s="105">
        <v>-675.41256889919487</v>
      </c>
    </row>
    <row r="104" spans="2:14">
      <c r="B104" s="112" t="s">
        <v>157</v>
      </c>
      <c r="C104" s="120">
        <v>-589.74959914681949</v>
      </c>
      <c r="D104" s="1015">
        <v>-589.34786360232079</v>
      </c>
      <c r="E104" s="1008">
        <v>-628.11425715047892</v>
      </c>
      <c r="F104" s="1015">
        <v>-654.62929152344623</v>
      </c>
      <c r="G104" s="105">
        <f>FISC!AC867</f>
        <v>-726.03602496571466</v>
      </c>
      <c r="H104" s="105">
        <f t="shared" si="1"/>
        <v>-71.406733442268433</v>
      </c>
      <c r="I104" s="1015">
        <v>-738.36836526143657</v>
      </c>
      <c r="J104" s="105">
        <v>-773.06219946312922</v>
      </c>
      <c r="K104" s="1015">
        <v>-805.05640318579208</v>
      </c>
      <c r="L104" s="105">
        <v>-846.23919618409627</v>
      </c>
      <c r="M104" s="1015">
        <v>-957.97908939652666</v>
      </c>
      <c r="N104" s="105">
        <v>-1071.6180972679867</v>
      </c>
    </row>
    <row r="105" spans="2:14">
      <c r="B105" s="106" t="s">
        <v>115</v>
      </c>
      <c r="C105" s="120"/>
      <c r="D105" s="1015"/>
      <c r="E105" s="1008">
        <v>0</v>
      </c>
      <c r="F105" s="1015"/>
      <c r="G105" s="105">
        <f>FISC!AC868</f>
        <v>-371.40946294800415</v>
      </c>
      <c r="H105" s="105">
        <f t="shared" si="1"/>
        <v>-371.40946294800415</v>
      </c>
      <c r="I105" s="1015"/>
      <c r="J105" s="105"/>
      <c r="K105" s="1015"/>
      <c r="L105" s="105"/>
      <c r="M105" s="1015"/>
      <c r="N105" s="105"/>
    </row>
    <row r="106" spans="2:14">
      <c r="B106" s="106" t="s">
        <v>158</v>
      </c>
      <c r="C106" s="120">
        <v>-27.618025554000013</v>
      </c>
      <c r="D106" s="1015">
        <v>-20</v>
      </c>
      <c r="E106" s="1008">
        <v>-20.115283078999965</v>
      </c>
      <c r="F106" s="1015">
        <v>-24.2</v>
      </c>
      <c r="G106" s="105">
        <f>FISC!AC872</f>
        <v>-25.061232288000014</v>
      </c>
      <c r="H106" s="105">
        <f t="shared" si="1"/>
        <v>-0.86123228800001428</v>
      </c>
      <c r="I106" s="1015">
        <v>-37.475999999999999</v>
      </c>
      <c r="J106" s="105">
        <v>-27.2039452994782</v>
      </c>
      <c r="K106" s="1015">
        <v>-42.145909076705699</v>
      </c>
      <c r="L106" s="105">
        <v>-30.594829819704</v>
      </c>
      <c r="M106" s="1015">
        <v>0</v>
      </c>
      <c r="N106" s="105">
        <v>0</v>
      </c>
    </row>
    <row r="107" spans="2:14">
      <c r="B107" s="112" t="s">
        <v>35</v>
      </c>
      <c r="C107" s="652">
        <v>-27.618025554000013</v>
      </c>
      <c r="D107" s="1015">
        <v>-20</v>
      </c>
      <c r="E107" s="1008">
        <v>-20.115283078999965</v>
      </c>
      <c r="F107" s="1015">
        <v>-24.2</v>
      </c>
      <c r="G107" s="142">
        <f>FISC!AC873</f>
        <v>-25.061232288000014</v>
      </c>
      <c r="H107" s="105">
        <f t="shared" si="1"/>
        <v>-0.86123228800001428</v>
      </c>
      <c r="I107" s="1015">
        <v>-37.475999999999999</v>
      </c>
      <c r="J107" s="142">
        <v>-27.2039452994782</v>
      </c>
      <c r="K107" s="1015">
        <v>-42.145909076705699</v>
      </c>
      <c r="L107" s="142">
        <v>-30.594829819704</v>
      </c>
      <c r="M107" s="1015">
        <v>0</v>
      </c>
      <c r="N107" s="125">
        <v>0</v>
      </c>
    </row>
    <row r="108" spans="2:14">
      <c r="B108" s="112"/>
      <c r="C108" s="120"/>
      <c r="D108" s="1015"/>
      <c r="E108" s="1008">
        <v>0</v>
      </c>
      <c r="F108" s="1015"/>
      <c r="G108" s="105">
        <f>FISC!AC874</f>
        <v>0</v>
      </c>
      <c r="H108" s="105">
        <f t="shared" si="1"/>
        <v>0</v>
      </c>
      <c r="I108" s="1015"/>
      <c r="J108" s="105"/>
      <c r="K108" s="1015"/>
      <c r="L108" s="105"/>
      <c r="M108" s="1015"/>
      <c r="N108" s="105"/>
    </row>
    <row r="109" spans="2:14">
      <c r="B109" s="106" t="s">
        <v>159</v>
      </c>
      <c r="C109" s="120"/>
      <c r="D109" s="1015"/>
      <c r="E109" s="1008">
        <v>0</v>
      </c>
      <c r="F109" s="1015"/>
      <c r="G109" s="105">
        <f>FISC!AC875</f>
        <v>0</v>
      </c>
      <c r="H109" s="105">
        <f t="shared" si="1"/>
        <v>0</v>
      </c>
      <c r="I109" s="1015"/>
      <c r="J109" s="105"/>
      <c r="K109" s="1015"/>
      <c r="L109" s="105"/>
      <c r="M109" s="1015"/>
      <c r="N109" s="105"/>
    </row>
    <row r="110" spans="2:14">
      <c r="B110" s="112" t="s">
        <v>156</v>
      </c>
      <c r="C110" s="105">
        <v>-243.62061442309252</v>
      </c>
      <c r="D110" s="1015">
        <v>-276.16669536965492</v>
      </c>
      <c r="E110" s="1008">
        <v>-318.0474562829603</v>
      </c>
      <c r="F110" s="1015">
        <v>-322.14588648992088</v>
      </c>
      <c r="G110" s="105">
        <f>FISC!AC876</f>
        <v>-392.18858038500423</v>
      </c>
      <c r="H110" s="105">
        <f t="shared" si="1"/>
        <v>-70.042693895083346</v>
      </c>
      <c r="I110" s="1015">
        <v>-389.68600126603212</v>
      </c>
      <c r="J110" s="105">
        <v>-435.02357605947265</v>
      </c>
      <c r="K110" s="1015">
        <v>-415.95830992223182</v>
      </c>
      <c r="L110" s="105">
        <v>-478.30307529647683</v>
      </c>
      <c r="M110" s="1015">
        <v>-556.77835375604218</v>
      </c>
      <c r="N110" s="105">
        <v>-675.41256889919487</v>
      </c>
    </row>
    <row r="111" spans="2:14">
      <c r="B111" s="112" t="s">
        <v>157</v>
      </c>
      <c r="C111" s="120">
        <v>-597.22220111559091</v>
      </c>
      <c r="D111" s="1015">
        <v>-609.34786360232079</v>
      </c>
      <c r="E111" s="1008">
        <v>-648.22954022947886</v>
      </c>
      <c r="F111" s="1015">
        <v>-678.82929152344627</v>
      </c>
      <c r="G111" s="105">
        <f>FISC!AC877</f>
        <v>-751.0972572537147</v>
      </c>
      <c r="H111" s="105">
        <f t="shared" si="1"/>
        <v>-72.267965730268429</v>
      </c>
      <c r="I111" s="1015">
        <v>-775.84436526143656</v>
      </c>
      <c r="J111" s="105">
        <v>-1546.1243989262584</v>
      </c>
      <c r="K111" s="1015">
        <v>-847.2023122624978</v>
      </c>
      <c r="L111" s="105">
        <v>-1692.4783923681925</v>
      </c>
      <c r="M111" s="1015">
        <v>-957.97908939652666</v>
      </c>
      <c r="N111" s="105">
        <v>-1071.6180972679867</v>
      </c>
    </row>
    <row r="112" spans="2:14">
      <c r="B112" s="106"/>
      <c r="C112" s="120"/>
      <c r="D112" s="1015"/>
      <c r="E112" s="1008">
        <v>0</v>
      </c>
      <c r="F112" s="1015"/>
      <c r="G112" s="105">
        <f>FISC!AC878</f>
        <v>0</v>
      </c>
      <c r="H112" s="105">
        <f t="shared" si="1"/>
        <v>0</v>
      </c>
      <c r="I112" s="1015"/>
      <c r="J112" s="105"/>
      <c r="K112" s="1015"/>
      <c r="L112" s="105"/>
      <c r="M112" s="1015"/>
      <c r="N112" s="105"/>
    </row>
    <row r="113" spans="2:14">
      <c r="B113" s="104" t="s">
        <v>160</v>
      </c>
      <c r="C113" s="105">
        <v>274.51528458581475</v>
      </c>
      <c r="D113" s="1015">
        <v>276.16291363358272</v>
      </c>
      <c r="E113" s="1008">
        <v>387.00846340597525</v>
      </c>
      <c r="F113" s="1015">
        <v>322.18408177040249</v>
      </c>
      <c r="G113" s="125">
        <f>FISC!AC879</f>
        <v>398.9867656101726</v>
      </c>
      <c r="H113" s="105">
        <f t="shared" si="1"/>
        <v>76.802683839770111</v>
      </c>
      <c r="I113" s="1015">
        <v>389.6813169486893</v>
      </c>
      <c r="J113" s="125">
        <v>434.98296024389822</v>
      </c>
      <c r="K113" s="1015">
        <v>415.94360454934349</v>
      </c>
      <c r="L113" s="125">
        <v>478.32759268203426</v>
      </c>
      <c r="M113" s="1015">
        <v>556.74206375284268</v>
      </c>
      <c r="N113" s="125">
        <v>675.45086196915963</v>
      </c>
    </row>
    <row r="114" spans="2:14">
      <c r="B114" s="106"/>
      <c r="C114" s="105"/>
      <c r="D114" s="1015"/>
      <c r="E114" s="1008">
        <v>0</v>
      </c>
      <c r="F114" s="1015"/>
      <c r="G114" s="125">
        <f>FISC!AC880</f>
        <v>0</v>
      </c>
      <c r="H114" s="105">
        <f t="shared" si="1"/>
        <v>0</v>
      </c>
      <c r="I114" s="1015"/>
      <c r="J114" s="125"/>
      <c r="K114" s="1015"/>
      <c r="L114" s="125"/>
      <c r="M114" s="1015"/>
      <c r="N114" s="125"/>
    </row>
    <row r="115" spans="2:14">
      <c r="B115" s="112" t="s">
        <v>161</v>
      </c>
      <c r="C115" s="105">
        <v>227.42844168268942</v>
      </c>
      <c r="D115" s="1015">
        <v>292.21291363358273</v>
      </c>
      <c r="E115" s="1008">
        <v>322.68615213850569</v>
      </c>
      <c r="F115" s="1015">
        <v>336.9140817704025</v>
      </c>
      <c r="G115" s="105">
        <f>FISC!AC881</f>
        <v>356.02913087722652</v>
      </c>
      <c r="H115" s="105">
        <f t="shared" si="1"/>
        <v>19.115049106824017</v>
      </c>
      <c r="I115" s="1015">
        <v>343.98131694868931</v>
      </c>
      <c r="J115" s="105">
        <v>358.98296024389816</v>
      </c>
      <c r="K115" s="1015">
        <v>382.58576522232846</v>
      </c>
      <c r="L115" s="105">
        <v>417.30351127740244</v>
      </c>
      <c r="M115" s="1015">
        <v>566.81998170354927</v>
      </c>
      <c r="N115" s="105">
        <v>694.33921574600618</v>
      </c>
    </row>
    <row r="116" spans="2:14">
      <c r="B116" s="108" t="s">
        <v>162</v>
      </c>
      <c r="C116" s="105">
        <v>244.54989662740314</v>
      </c>
      <c r="D116" s="1015">
        <v>314.59502433883858</v>
      </c>
      <c r="E116" s="1008">
        <v>344.56951530948049</v>
      </c>
      <c r="F116" s="1015">
        <v>362.81612229547233</v>
      </c>
      <c r="G116" s="105">
        <f>FISC!AC882</f>
        <v>381.84688936314302</v>
      </c>
      <c r="H116" s="105">
        <f t="shared" si="1"/>
        <v>19.030767067670695</v>
      </c>
      <c r="I116" s="1015">
        <v>374.4453045803499</v>
      </c>
      <c r="J116" s="105">
        <v>387.87579314209398</v>
      </c>
      <c r="K116" s="1015">
        <v>425.30411315747432</v>
      </c>
      <c r="L116" s="105">
        <v>457.89952215279465</v>
      </c>
      <c r="M116" s="1015">
        <v>633.02500457757628</v>
      </c>
      <c r="N116" s="105">
        <v>754.8212524555388</v>
      </c>
    </row>
    <row r="117" spans="2:14">
      <c r="B117" s="110" t="s">
        <v>1056</v>
      </c>
      <c r="C117" s="652">
        <v>138.66156726277015</v>
      </c>
      <c r="D117" s="1015">
        <v>183.39468008167501</v>
      </c>
      <c r="E117" s="1008">
        <v>183.82033813965148</v>
      </c>
      <c r="F117" s="1015">
        <v>226.11584384828549</v>
      </c>
      <c r="G117" s="548">
        <f>FISC!AC883</f>
        <v>211.49647385698302</v>
      </c>
      <c r="H117" s="105">
        <f t="shared" si="1"/>
        <v>-14.619369991302477</v>
      </c>
      <c r="I117" s="1015">
        <v>187.24304130456656</v>
      </c>
      <c r="J117" s="548">
        <v>177.58613774318695</v>
      </c>
      <c r="K117" s="1015">
        <v>182.68615087255867</v>
      </c>
      <c r="L117" s="548">
        <v>169.25167919572431</v>
      </c>
      <c r="M117" s="1015">
        <v>174.23666261315356</v>
      </c>
      <c r="N117" s="548">
        <v>256.5547690219779</v>
      </c>
    </row>
    <row r="118" spans="2:14">
      <c r="B118" s="111" t="s">
        <v>163</v>
      </c>
      <c r="C118" s="652">
        <v>0</v>
      </c>
      <c r="D118" s="1015">
        <v>0</v>
      </c>
      <c r="E118" s="1008">
        <v>40.211763817859129</v>
      </c>
      <c r="F118" s="1015">
        <v>0</v>
      </c>
      <c r="G118" s="548">
        <f>FISC!AC885</f>
        <v>54.065289391982986</v>
      </c>
      <c r="H118" s="105">
        <f t="shared" si="1"/>
        <v>54.065289391982986</v>
      </c>
      <c r="I118" s="1015"/>
      <c r="J118" s="548"/>
      <c r="K118" s="1015"/>
      <c r="L118" s="105"/>
      <c r="M118" s="1015"/>
      <c r="N118" s="105"/>
    </row>
    <row r="119" spans="2:14" ht="14.7" thickBot="1">
      <c r="B119" s="111" t="s">
        <v>164</v>
      </c>
      <c r="C119" s="652">
        <v>0</v>
      </c>
      <c r="D119" s="1015">
        <v>0</v>
      </c>
      <c r="E119" s="1008">
        <v>143.60857432179233</v>
      </c>
      <c r="F119" s="1015">
        <v>0</v>
      </c>
      <c r="G119" s="548">
        <f>FISC!AC886</f>
        <v>157.43118446500003</v>
      </c>
      <c r="H119" s="105">
        <f t="shared" si="1"/>
        <v>157.43118446500003</v>
      </c>
      <c r="I119" s="1015"/>
      <c r="J119" s="548"/>
      <c r="K119" s="1015"/>
      <c r="L119" s="105"/>
      <c r="M119" s="1015"/>
      <c r="N119" s="105"/>
    </row>
    <row r="120" spans="2:14" ht="14.7" thickBot="1">
      <c r="B120" s="111" t="s">
        <v>755</v>
      </c>
      <c r="C120" s="652"/>
      <c r="D120" s="1015"/>
      <c r="E120" s="1008">
        <v>0</v>
      </c>
      <c r="F120" s="1015">
        <v>0</v>
      </c>
      <c r="G120" s="598">
        <f>FISC!AC891</f>
        <v>0</v>
      </c>
      <c r="H120" s="105">
        <f t="shared" si="1"/>
        <v>0</v>
      </c>
      <c r="I120" s="1015">
        <v>0</v>
      </c>
      <c r="J120" s="598"/>
      <c r="K120" s="1015">
        <v>0</v>
      </c>
      <c r="L120" s="598"/>
      <c r="M120" s="1015">
        <v>105.01878284199479</v>
      </c>
      <c r="N120" s="601">
        <v>193.32031695870967</v>
      </c>
    </row>
    <row r="121" spans="2:14">
      <c r="B121" s="110" t="s">
        <v>165</v>
      </c>
      <c r="C121" s="652">
        <v>105.88832936463299</v>
      </c>
      <c r="D121" s="1015">
        <v>131.20034425716355</v>
      </c>
      <c r="E121" s="1008">
        <v>160.74917716982901</v>
      </c>
      <c r="F121" s="1015">
        <v>136.70027844718683</v>
      </c>
      <c r="G121" s="105">
        <f>FISC!AC894</f>
        <v>170.35041550616</v>
      </c>
      <c r="H121" s="105">
        <f t="shared" si="1"/>
        <v>33.650137058973172</v>
      </c>
      <c r="I121" s="1015">
        <v>187.20226327578337</v>
      </c>
      <c r="J121" s="105">
        <v>210.28965539890703</v>
      </c>
      <c r="K121" s="1015">
        <v>242.61796228491565</v>
      </c>
      <c r="L121" s="105">
        <v>288.64784295707034</v>
      </c>
      <c r="M121" s="1015">
        <v>458.78834196442273</v>
      </c>
      <c r="N121" s="125">
        <v>498.26648343356095</v>
      </c>
    </row>
    <row r="122" spans="2:14">
      <c r="B122" s="111" t="s">
        <v>166</v>
      </c>
      <c r="C122" s="652">
        <v>0</v>
      </c>
      <c r="D122" s="1015">
        <v>0</v>
      </c>
      <c r="E122" s="1008">
        <v>0</v>
      </c>
      <c r="F122" s="1015">
        <v>0</v>
      </c>
      <c r="G122" s="105">
        <f>FISC!AC895</f>
        <v>0</v>
      </c>
      <c r="H122" s="105">
        <f t="shared" si="1"/>
        <v>0</v>
      </c>
      <c r="I122" s="1015"/>
      <c r="J122" s="105"/>
      <c r="K122" s="1015"/>
      <c r="L122" s="105"/>
      <c r="M122" s="1015"/>
      <c r="N122" s="105"/>
    </row>
    <row r="123" spans="2:14">
      <c r="B123" s="111" t="s">
        <v>167</v>
      </c>
      <c r="C123" s="652">
        <v>0</v>
      </c>
      <c r="D123" s="1015">
        <v>0</v>
      </c>
      <c r="E123" s="1008">
        <v>0</v>
      </c>
      <c r="F123" s="1015">
        <v>0</v>
      </c>
      <c r="G123" s="105">
        <f>FISC!AC896</f>
        <v>0</v>
      </c>
      <c r="H123" s="105">
        <f t="shared" si="1"/>
        <v>0</v>
      </c>
      <c r="I123" s="1015"/>
      <c r="J123" s="105"/>
      <c r="K123" s="1015"/>
      <c r="L123" s="105"/>
      <c r="M123" s="1015"/>
      <c r="N123" s="105"/>
    </row>
    <row r="124" spans="2:14">
      <c r="B124" s="111" t="s">
        <v>168</v>
      </c>
      <c r="C124" s="652">
        <v>0</v>
      </c>
      <c r="D124" s="1015">
        <v>0</v>
      </c>
      <c r="E124" s="1008">
        <v>0</v>
      </c>
      <c r="F124" s="1015">
        <v>0</v>
      </c>
      <c r="G124" s="105">
        <f>FISC!AC897</f>
        <v>0</v>
      </c>
      <c r="H124" s="105">
        <f t="shared" si="1"/>
        <v>0</v>
      </c>
      <c r="I124" s="1015"/>
      <c r="J124" s="105"/>
      <c r="K124" s="1015"/>
      <c r="L124" s="105"/>
      <c r="M124" s="1015"/>
      <c r="N124" s="105"/>
    </row>
    <row r="125" spans="2:14">
      <c r="B125" s="108" t="s">
        <v>169</v>
      </c>
      <c r="C125" s="652">
        <v>-17.121454944713733</v>
      </c>
      <c r="D125" s="1015">
        <v>-22.382110705255826</v>
      </c>
      <c r="E125" s="1008">
        <v>-21.883363170974814</v>
      </c>
      <c r="F125" s="1015">
        <v>-25.902040525069797</v>
      </c>
      <c r="G125" s="105">
        <f>FISC!AC898</f>
        <v>-25.817758485916514</v>
      </c>
      <c r="H125" s="105">
        <f t="shared" si="1"/>
        <v>8.428203915328325E-2</v>
      </c>
      <c r="I125" s="1015">
        <v>-30.463987631660565</v>
      </c>
      <c r="J125" s="105">
        <v>-28.89283289819581</v>
      </c>
      <c r="K125" s="1015">
        <v>-42.71834793514585</v>
      </c>
      <c r="L125" s="105">
        <v>-40.59601087539221</v>
      </c>
      <c r="M125" s="1015">
        <v>-66.205022874027023</v>
      </c>
      <c r="N125" s="105">
        <v>-60.482036709532629</v>
      </c>
    </row>
    <row r="126" spans="2:14">
      <c r="B126" s="112" t="s">
        <v>828</v>
      </c>
      <c r="C126" s="120">
        <v>47.086842903125344</v>
      </c>
      <c r="D126" s="1015">
        <v>-16.04999999999999</v>
      </c>
      <c r="E126" s="1008">
        <v>64.322311267469587</v>
      </c>
      <c r="F126" s="1015">
        <v>-14.73</v>
      </c>
      <c r="G126" s="105">
        <f>FISC!AC900</f>
        <v>42.957634732946076</v>
      </c>
      <c r="H126" s="105">
        <f t="shared" si="1"/>
        <v>57.68763473294608</v>
      </c>
      <c r="I126" s="1015">
        <v>45.700000000000017</v>
      </c>
      <c r="J126" s="105">
        <v>76.000000000000028</v>
      </c>
      <c r="K126" s="1015">
        <v>33.357839327015057</v>
      </c>
      <c r="L126" s="105">
        <v>61.024081404631815</v>
      </c>
      <c r="M126" s="1015">
        <v>-10.077917950706562</v>
      </c>
      <c r="N126" s="105">
        <v>-18.8883537768466</v>
      </c>
    </row>
    <row r="127" spans="2:14">
      <c r="B127" s="108" t="s">
        <v>833</v>
      </c>
      <c r="C127" s="652">
        <v>-0.63051649636508955</v>
      </c>
      <c r="D127" s="1015">
        <v>-16.04999999999999</v>
      </c>
      <c r="E127" s="1008">
        <v>17.34321539896942</v>
      </c>
      <c r="F127" s="1015">
        <v>-14.73</v>
      </c>
      <c r="G127" s="105">
        <f>FISC!AC901</f>
        <v>48.83076168552401</v>
      </c>
      <c r="H127" s="105">
        <f t="shared" si="1"/>
        <v>63.560761685524014</v>
      </c>
      <c r="I127" s="1015">
        <v>45.700000000000017</v>
      </c>
      <c r="J127" s="105">
        <v>76.000000000000028</v>
      </c>
      <c r="K127" s="1015">
        <v>33.357839327015057</v>
      </c>
      <c r="L127" s="105">
        <v>61.024081404631815</v>
      </c>
      <c r="M127" s="1015">
        <v>-10.077917950706562</v>
      </c>
      <c r="N127" s="105">
        <v>-18.8883537768466</v>
      </c>
    </row>
    <row r="128" spans="2:14">
      <c r="B128" s="110" t="s">
        <v>834</v>
      </c>
      <c r="C128" s="652">
        <v>-12.6978518823651</v>
      </c>
      <c r="D128" s="1015">
        <v>-16.299999999999997</v>
      </c>
      <c r="E128" s="1008">
        <v>38.204477573969427</v>
      </c>
      <c r="F128" s="1015">
        <v>7.87</v>
      </c>
      <c r="G128" s="125">
        <f>FISC!AC902</f>
        <v>40.36999999999999</v>
      </c>
      <c r="H128" s="105">
        <f t="shared" si="1"/>
        <v>32.499999999999993</v>
      </c>
      <c r="I128" s="1015">
        <v>68.500000000000014</v>
      </c>
      <c r="J128" s="125">
        <v>98.800000000000026</v>
      </c>
      <c r="K128" s="1015">
        <v>57.399999999999991</v>
      </c>
      <c r="L128" s="125">
        <v>85</v>
      </c>
      <c r="M128" s="1015">
        <v>16.79999999999999</v>
      </c>
      <c r="N128" s="127">
        <v>9.7000000000000011</v>
      </c>
    </row>
    <row r="129" spans="2:14">
      <c r="B129" s="110" t="s">
        <v>786</v>
      </c>
      <c r="C129" s="652"/>
      <c r="D129" s="1015">
        <v>-16.299999999999997</v>
      </c>
      <c r="E129" s="1008">
        <v>0</v>
      </c>
      <c r="F129" s="1015">
        <v>7.87</v>
      </c>
      <c r="G129" s="685">
        <f>FISC!AC903</f>
        <v>40.36999999999999</v>
      </c>
      <c r="H129" s="105">
        <f t="shared" si="1"/>
        <v>32.499999999999993</v>
      </c>
      <c r="I129" s="1015">
        <v>68.500000000000014</v>
      </c>
      <c r="J129" s="685">
        <v>98.800000000000026</v>
      </c>
      <c r="K129" s="1015">
        <v>57.399999999999991</v>
      </c>
      <c r="L129" s="685">
        <v>85</v>
      </c>
      <c r="M129" s="1015">
        <v>16.79999999999999</v>
      </c>
      <c r="N129" s="685">
        <v>9.7000000000000011</v>
      </c>
    </row>
    <row r="130" spans="2:14">
      <c r="B130" s="110" t="s">
        <v>835</v>
      </c>
      <c r="C130" s="652">
        <v>19.346579886000001</v>
      </c>
      <c r="D130" s="1015">
        <v>0</v>
      </c>
      <c r="E130" s="1008">
        <v>0</v>
      </c>
      <c r="F130" s="1015">
        <v>0</v>
      </c>
      <c r="G130" s="105">
        <f>FISC!AC904</f>
        <v>0</v>
      </c>
      <c r="H130" s="105">
        <f t="shared" si="1"/>
        <v>0</v>
      </c>
      <c r="I130" s="1015"/>
      <c r="J130" s="105">
        <v>0</v>
      </c>
      <c r="K130" s="1015"/>
      <c r="L130" s="105">
        <v>0</v>
      </c>
      <c r="M130" s="1015"/>
      <c r="N130" s="105"/>
    </row>
    <row r="131" spans="2:14">
      <c r="B131" s="551" t="s">
        <v>1115</v>
      </c>
      <c r="C131" s="652">
        <v>10.220755499999999</v>
      </c>
      <c r="D131" s="1015">
        <v>20.650000000000006</v>
      </c>
      <c r="E131" s="1008">
        <v>19.200000000000003</v>
      </c>
      <c r="F131" s="1015">
        <v>0</v>
      </c>
      <c r="G131" s="105">
        <f>FISC!AC905</f>
        <v>3.8466942869999912</v>
      </c>
      <c r="H131" s="105">
        <f t="shared" si="1"/>
        <v>3.8466942869999912</v>
      </c>
      <c r="I131" s="1015"/>
      <c r="J131" s="105">
        <v>0</v>
      </c>
      <c r="K131" s="1015"/>
      <c r="L131" s="105">
        <v>0</v>
      </c>
      <c r="M131" s="1015"/>
      <c r="N131" s="105"/>
    </row>
    <row r="132" spans="2:14">
      <c r="B132" s="110" t="s">
        <v>837</v>
      </c>
      <c r="C132" s="652">
        <v>0</v>
      </c>
      <c r="D132" s="1015"/>
      <c r="E132" s="1008">
        <v>0</v>
      </c>
      <c r="F132" s="1015"/>
      <c r="G132" s="105">
        <f>FISC!AC906</f>
        <v>0</v>
      </c>
      <c r="H132" s="105">
        <f t="shared" si="1"/>
        <v>0</v>
      </c>
      <c r="I132" s="1015"/>
      <c r="J132" s="105"/>
      <c r="K132" s="1015"/>
      <c r="L132" s="105"/>
      <c r="M132" s="1015"/>
      <c r="N132" s="105"/>
    </row>
    <row r="133" spans="2:14">
      <c r="B133" s="110" t="s">
        <v>838</v>
      </c>
      <c r="C133" s="652">
        <v>0</v>
      </c>
      <c r="D133" s="1015"/>
      <c r="E133" s="1008">
        <v>0</v>
      </c>
      <c r="F133" s="1015"/>
      <c r="G133" s="105">
        <f>FISC!AC909</f>
        <v>0</v>
      </c>
      <c r="H133" s="105">
        <f t="shared" si="1"/>
        <v>0</v>
      </c>
      <c r="I133" s="1015"/>
      <c r="J133" s="105"/>
      <c r="K133" s="1015"/>
      <c r="L133" s="105"/>
      <c r="M133" s="1015"/>
      <c r="N133" s="105"/>
    </row>
    <row r="134" spans="2:14">
      <c r="B134" s="551" t="s">
        <v>776</v>
      </c>
      <c r="C134" s="548"/>
      <c r="D134" s="1015"/>
      <c r="E134" s="1008">
        <v>0</v>
      </c>
      <c r="F134" s="1015"/>
      <c r="G134" s="548">
        <f>FISC!AC910</f>
        <v>0</v>
      </c>
      <c r="H134" s="105">
        <f t="shared" si="1"/>
        <v>0</v>
      </c>
      <c r="I134" s="1015"/>
      <c r="J134" s="548"/>
      <c r="K134" s="1015"/>
      <c r="L134" s="548"/>
      <c r="M134" s="1015"/>
      <c r="N134" s="548"/>
    </row>
    <row r="135" spans="2:14">
      <c r="B135" s="551" t="s">
        <v>777</v>
      </c>
      <c r="C135" s="548"/>
      <c r="D135" s="1015"/>
      <c r="E135" s="1008">
        <v>0</v>
      </c>
      <c r="F135" s="1015"/>
      <c r="G135" s="548">
        <f>FISC!AC911</f>
        <v>0</v>
      </c>
      <c r="H135" s="105">
        <f t="shared" ref="H135:H148" si="2">G135-F135</f>
        <v>0</v>
      </c>
      <c r="I135" s="1015"/>
      <c r="J135" s="548"/>
      <c r="K135" s="1015"/>
      <c r="L135" s="548"/>
      <c r="M135" s="1015"/>
      <c r="N135" s="548"/>
    </row>
    <row r="136" spans="2:14">
      <c r="B136" s="110" t="s">
        <v>839</v>
      </c>
      <c r="C136" s="652">
        <v>-8.6999999999999993</v>
      </c>
      <c r="D136" s="1015">
        <v>-9.6999999999999993</v>
      </c>
      <c r="E136" s="1008">
        <v>-10.241148082</v>
      </c>
      <c r="F136" s="1015">
        <v>-11.3</v>
      </c>
      <c r="G136" s="105">
        <f>FISC!AC912</f>
        <v>3.3328533490000005</v>
      </c>
      <c r="H136" s="105">
        <f t="shared" si="2"/>
        <v>14.632853349000001</v>
      </c>
      <c r="I136" s="1015">
        <v>-12.1</v>
      </c>
      <c r="J136" s="105">
        <v>-12.1</v>
      </c>
      <c r="K136" s="1015">
        <v>-11.748820222786758</v>
      </c>
      <c r="L136" s="105">
        <v>-11.221352177654161</v>
      </c>
      <c r="M136" s="1015">
        <v>-12.595483937926998</v>
      </c>
      <c r="N136" s="105">
        <v>-12.660880749571701</v>
      </c>
    </row>
    <row r="137" spans="2:14">
      <c r="B137" s="110" t="s">
        <v>840</v>
      </c>
      <c r="C137" s="652">
        <v>-8.8000000000000007</v>
      </c>
      <c r="D137" s="1015">
        <v>-10.7</v>
      </c>
      <c r="E137" s="1008">
        <v>-10.620114093</v>
      </c>
      <c r="F137" s="1015">
        <v>-11.3</v>
      </c>
      <c r="G137" s="105">
        <f>FISC!AC914</f>
        <v>-11.413080213000001</v>
      </c>
      <c r="H137" s="105">
        <f t="shared" si="2"/>
        <v>-0.11308021299999993</v>
      </c>
      <c r="I137" s="1015">
        <v>-10.7</v>
      </c>
      <c r="J137" s="105">
        <v>-10.7</v>
      </c>
      <c r="K137" s="1015">
        <v>-12.293340450198169</v>
      </c>
      <c r="L137" s="105">
        <v>-12.754566417714031</v>
      </c>
      <c r="M137" s="1015">
        <v>-14.282434012779554</v>
      </c>
      <c r="N137" s="105">
        <v>-15.927473027274898</v>
      </c>
    </row>
    <row r="138" spans="2:14">
      <c r="B138" s="108" t="s">
        <v>831</v>
      </c>
      <c r="C138" s="105">
        <v>47.717359399490434</v>
      </c>
      <c r="D138" s="1015">
        <v>0</v>
      </c>
      <c r="E138" s="1008">
        <v>46.979095868500167</v>
      </c>
      <c r="F138" s="1015">
        <v>0</v>
      </c>
      <c r="G138" s="105">
        <f>FISC!AC915</f>
        <v>-5.8731269525779339</v>
      </c>
      <c r="H138" s="105">
        <f t="shared" si="2"/>
        <v>-5.8731269525779339</v>
      </c>
      <c r="I138" s="1015">
        <v>0</v>
      </c>
      <c r="J138" s="105">
        <v>0</v>
      </c>
      <c r="K138" s="1015">
        <v>0</v>
      </c>
      <c r="L138" s="105">
        <v>0</v>
      </c>
      <c r="M138" s="1015">
        <v>0</v>
      </c>
      <c r="N138" s="105">
        <v>0</v>
      </c>
    </row>
    <row r="139" spans="2:14">
      <c r="B139" s="110" t="s">
        <v>832</v>
      </c>
      <c r="C139" s="120">
        <v>59.256799999999984</v>
      </c>
      <c r="D139" s="1015">
        <v>34</v>
      </c>
      <c r="E139" s="1008">
        <v>58.736500000000007</v>
      </c>
      <c r="F139" s="1015">
        <v>36</v>
      </c>
      <c r="G139" s="105">
        <f>FISC!AC916</f>
        <v>23.252356078422068</v>
      </c>
      <c r="H139" s="105">
        <f t="shared" si="2"/>
        <v>-12.747643921577932</v>
      </c>
      <c r="I139" s="1015">
        <v>43.8</v>
      </c>
      <c r="J139" s="105">
        <v>2.3756446790000001</v>
      </c>
      <c r="K139" s="1015">
        <v>43.8</v>
      </c>
      <c r="L139" s="105">
        <v>0</v>
      </c>
      <c r="M139" s="1015">
        <v>43.7</v>
      </c>
      <c r="N139" s="105">
        <v>0</v>
      </c>
    </row>
    <row r="140" spans="2:14">
      <c r="B140" s="111" t="s">
        <v>171</v>
      </c>
      <c r="C140" s="652">
        <v>29.630500000000005</v>
      </c>
      <c r="D140" s="1015">
        <v>17</v>
      </c>
      <c r="E140" s="1008">
        <v>27.1554</v>
      </c>
      <c r="F140" s="1015">
        <v>18</v>
      </c>
      <c r="G140" s="105">
        <f>FISC!AC917</f>
        <v>14.562741515500001</v>
      </c>
      <c r="H140" s="105">
        <f t="shared" si="2"/>
        <v>-3.4372584844999992</v>
      </c>
      <c r="I140" s="1015">
        <v>21.9</v>
      </c>
      <c r="J140" s="105">
        <v>1.1878223395</v>
      </c>
      <c r="K140" s="1015">
        <v>21.9</v>
      </c>
      <c r="L140" s="105">
        <v>0</v>
      </c>
      <c r="M140" s="1015">
        <v>21.85</v>
      </c>
      <c r="N140" s="105">
        <v>0</v>
      </c>
    </row>
    <row r="141" spans="2:14">
      <c r="B141" s="111" t="s">
        <v>172</v>
      </c>
      <c r="C141" s="652">
        <v>29.626299999999986</v>
      </c>
      <c r="D141" s="1015">
        <v>17</v>
      </c>
      <c r="E141" s="1008">
        <v>31.581100000000006</v>
      </c>
      <c r="F141" s="1015">
        <v>18</v>
      </c>
      <c r="G141" s="105">
        <f>FISC!AC918</f>
        <v>14.562741515500001</v>
      </c>
      <c r="H141" s="105">
        <f t="shared" si="2"/>
        <v>-3.4372584844999992</v>
      </c>
      <c r="I141" s="1015">
        <v>21.9</v>
      </c>
      <c r="J141" s="105">
        <v>1.1878223395</v>
      </c>
      <c r="K141" s="1015">
        <v>21.9</v>
      </c>
      <c r="L141" s="105">
        <v>0</v>
      </c>
      <c r="M141" s="1015">
        <v>21.85</v>
      </c>
      <c r="N141" s="105">
        <v>0</v>
      </c>
    </row>
    <row r="142" spans="2:14">
      <c r="B142" s="110" t="s">
        <v>1059</v>
      </c>
      <c r="C142" s="652">
        <v>-11.539440600509554</v>
      </c>
      <c r="D142" s="1015">
        <v>-34</v>
      </c>
      <c r="E142" s="1008">
        <v>-11.757404131499834</v>
      </c>
      <c r="F142" s="1015">
        <v>-36</v>
      </c>
      <c r="G142" s="548">
        <f>FISC!AC919</f>
        <v>-29.125483031000002</v>
      </c>
      <c r="H142" s="105">
        <f t="shared" si="2"/>
        <v>6.8745169689999983</v>
      </c>
      <c r="I142" s="1015">
        <v>-43.8</v>
      </c>
      <c r="J142" s="548">
        <v>-2.3756446790000001</v>
      </c>
      <c r="K142" s="1015">
        <v>-43.8</v>
      </c>
      <c r="L142" s="548">
        <v>0</v>
      </c>
      <c r="M142" s="1015">
        <v>-43.7</v>
      </c>
      <c r="N142" s="105">
        <v>0</v>
      </c>
    </row>
    <row r="143" spans="2:14">
      <c r="B143" s="108" t="s">
        <v>325</v>
      </c>
      <c r="C143" s="652">
        <v>-30.894670162722527</v>
      </c>
      <c r="D143" s="1015">
        <v>3.7817360721987825E-3</v>
      </c>
      <c r="E143" s="1008">
        <v>-68.961007123014952</v>
      </c>
      <c r="F143" s="1015">
        <v>-3.8195280481602367E-2</v>
      </c>
      <c r="G143" s="956">
        <f>FISC!AC920</f>
        <v>-6.7981852251683677</v>
      </c>
      <c r="H143" s="105">
        <f t="shared" si="2"/>
        <v>-6.7599899446867653</v>
      </c>
      <c r="I143" s="1015">
        <v>4.6843173428214868E-3</v>
      </c>
      <c r="J143" s="956">
        <v>4.0615815574426506E-2</v>
      </c>
      <c r="K143" s="1015">
        <v>1.4705372888329293E-2</v>
      </c>
      <c r="L143" s="956">
        <v>-2.4517385557430771E-2</v>
      </c>
      <c r="M143" s="1015">
        <v>3.6290003199496823E-2</v>
      </c>
      <c r="N143" s="1006">
        <v>-3.8293069964765891E-2</v>
      </c>
    </row>
    <row r="144" spans="2:14">
      <c r="B144" s="658" t="s">
        <v>1057</v>
      </c>
      <c r="C144" s="105">
        <v>0</v>
      </c>
      <c r="D144" s="1015">
        <v>-19.234354501500007</v>
      </c>
      <c r="E144" s="1010">
        <v>0.34783849306015213</v>
      </c>
      <c r="F144" s="1015">
        <v>18.813199421606242</v>
      </c>
      <c r="G144" s="1010">
        <f>FISC!AC921</f>
        <v>4.2821148510000171</v>
      </c>
      <c r="H144" s="105">
        <f t="shared" si="2"/>
        <v>-14.531084570606225</v>
      </c>
      <c r="I144" s="1015">
        <v>-1.4028901082611895</v>
      </c>
      <c r="J144" s="1010">
        <v>0</v>
      </c>
      <c r="K144" s="1015">
        <v>-8.1849035407652622</v>
      </c>
      <c r="L144" s="1010">
        <v>0</v>
      </c>
      <c r="M144" s="1015">
        <v>0</v>
      </c>
      <c r="N144" s="105">
        <v>0</v>
      </c>
    </row>
    <row r="145" spans="2:15">
      <c r="B145" s="658" t="s">
        <v>1058</v>
      </c>
      <c r="C145" s="105"/>
      <c r="D145" s="1015"/>
      <c r="E145" s="1008" t="s">
        <v>115</v>
      </c>
      <c r="F145" s="1015"/>
      <c r="G145" s="548">
        <f>FISC!AC922</f>
        <v>0</v>
      </c>
      <c r="H145" s="105">
        <f t="shared" si="2"/>
        <v>0</v>
      </c>
      <c r="I145" s="1015"/>
      <c r="J145" s="548"/>
      <c r="K145" s="1015"/>
      <c r="L145" s="548"/>
      <c r="M145" s="1015"/>
      <c r="N145" s="105"/>
    </row>
    <row r="146" spans="2:15">
      <c r="B146" s="131" t="s">
        <v>808</v>
      </c>
      <c r="C146" s="105"/>
      <c r="D146" s="1015">
        <v>0</v>
      </c>
      <c r="E146" s="1008">
        <v>0</v>
      </c>
      <c r="F146" s="1015">
        <v>0</v>
      </c>
      <c r="G146" s="602">
        <f>FISC!AC924</f>
        <v>0</v>
      </c>
      <c r="H146" s="105">
        <f t="shared" si="2"/>
        <v>0</v>
      </c>
      <c r="I146" s="1015">
        <v>0</v>
      </c>
      <c r="J146" s="602">
        <v>0</v>
      </c>
      <c r="K146" s="1015">
        <v>30.445653721915313</v>
      </c>
      <c r="L146" s="1037">
        <v>28.206724987272967</v>
      </c>
      <c r="M146" s="1015">
        <v>210.03756568398958</v>
      </c>
      <c r="N146" s="602">
        <v>332.43419268582085</v>
      </c>
    </row>
    <row r="147" spans="2:15">
      <c r="B147" s="246" t="s">
        <v>248</v>
      </c>
      <c r="C147" s="105"/>
      <c r="D147" s="1015"/>
      <c r="E147" s="1008">
        <v>0</v>
      </c>
      <c r="F147" s="1015">
        <v>0</v>
      </c>
      <c r="G147" s="125">
        <f>FISC!AC925</f>
        <v>0</v>
      </c>
      <c r="H147" s="105">
        <f t="shared" si="2"/>
        <v>0</v>
      </c>
      <c r="I147" s="1015">
        <v>0</v>
      </c>
      <c r="J147" s="125">
        <v>0</v>
      </c>
      <c r="K147" s="1015">
        <v>0.91336961165745933</v>
      </c>
      <c r="L147" s="125">
        <v>0.84620174961818895</v>
      </c>
      <c r="M147" s="1015">
        <v>6.3011269705196868</v>
      </c>
      <c r="N147" s="125">
        <v>9.9730257805746252</v>
      </c>
    </row>
    <row r="148" spans="2:15">
      <c r="B148" s="944" t="s">
        <v>1126</v>
      </c>
      <c r="C148" s="953">
        <v>46.558948117634898</v>
      </c>
      <c r="D148" s="1015">
        <v>17.700000000000003</v>
      </c>
      <c r="E148" s="74"/>
      <c r="F148" s="1015">
        <v>43.87</v>
      </c>
      <c r="G148" s="953">
        <f>FISC!AC926</f>
        <v>63.622356078422058</v>
      </c>
      <c r="H148" s="105">
        <f t="shared" si="2"/>
        <v>19.752356078422061</v>
      </c>
      <c r="I148" s="1015">
        <v>112.30000000000001</v>
      </c>
      <c r="J148" s="953">
        <v>101.17564467900003</v>
      </c>
      <c r="K148" s="1015">
        <v>101.19999999999999</v>
      </c>
      <c r="L148" s="953">
        <v>85</v>
      </c>
      <c r="M148" s="1015">
        <v>60.499999999999993</v>
      </c>
      <c r="N148" s="953">
        <v>9.7000000000000011</v>
      </c>
    </row>
    <row r="150" spans="2:15">
      <c r="B150" s="1047" t="s">
        <v>868</v>
      </c>
      <c r="F150" s="1048">
        <v>875.03253123749994</v>
      </c>
      <c r="G150" s="1049">
        <v>852.90847559999997</v>
      </c>
      <c r="H150" s="1049"/>
      <c r="I150" s="1048">
        <v>935.26007217412496</v>
      </c>
      <c r="J150" s="1049">
        <v>887.0248146240001</v>
      </c>
      <c r="K150" s="1048">
        <v>995.73035775733115</v>
      </c>
      <c r="L150" s="1049">
        <v>922.50580720896005</v>
      </c>
      <c r="M150" s="1048">
        <v>1050.1878284199479</v>
      </c>
      <c r="N150" s="1049">
        <v>959.40603949731849</v>
      </c>
    </row>
    <row r="151" spans="2:15">
      <c r="B151" s="1047" t="s">
        <v>814</v>
      </c>
      <c r="F151" s="1050">
        <v>8025.8688269003096</v>
      </c>
      <c r="G151" s="1051">
        <v>7861.5195080270241</v>
      </c>
      <c r="H151" s="1051"/>
      <c r="I151" s="1050">
        <v>9023.7224540408861</v>
      </c>
      <c r="J151" s="1051">
        <v>8880.1558086941004</v>
      </c>
      <c r="K151" s="1050">
        <v>10150.239505328169</v>
      </c>
      <c r="L151" s="1051">
        <v>10307.383459598857</v>
      </c>
      <c r="M151" s="1050">
        <v>11460.361388757741</v>
      </c>
      <c r="N151" s="1051">
        <v>12318.413093350633</v>
      </c>
    </row>
    <row r="156" spans="2:15" ht="15.3">
      <c r="E156" s="1042"/>
      <c r="F156" s="1041"/>
      <c r="G156" s="1041"/>
      <c r="H156" s="1041"/>
      <c r="I156" s="1041"/>
      <c r="J156" s="1041"/>
      <c r="L156" s="1041"/>
      <c r="M156" s="1041"/>
      <c r="O156" s="1041"/>
    </row>
    <row r="157" spans="2:15" ht="15.3">
      <c r="C157" s="454">
        <v>0</v>
      </c>
      <c r="D157" s="454">
        <v>0</v>
      </c>
      <c r="E157" s="454">
        <v>0</v>
      </c>
      <c r="F157" s="454">
        <v>0</v>
      </c>
      <c r="G157" s="454">
        <v>0</v>
      </c>
      <c r="H157" s="454">
        <v>0</v>
      </c>
      <c r="I157" s="454">
        <v>0</v>
      </c>
      <c r="J157" s="454">
        <v>0</v>
      </c>
      <c r="K157" s="454">
        <v>0</v>
      </c>
      <c r="L157" s="454">
        <v>0.91167791899999995</v>
      </c>
      <c r="M157" s="454">
        <v>0</v>
      </c>
      <c r="N157" s="454">
        <v>0.50500250000000002</v>
      </c>
    </row>
  </sheetData>
  <mergeCells count="5">
    <mergeCell ref="D3:E3"/>
    <mergeCell ref="F3:G3"/>
    <mergeCell ref="I3:J3"/>
    <mergeCell ref="K3:L3"/>
    <mergeCell ref="M3:N3"/>
  </mergeCells>
  <pageMargins left="0.7" right="0.7" top="0.75" bottom="0.75" header="0.3" footer="0.3"/>
  <pageSetup paperSize="9" scale="46" fitToHeight="0" orientation="portrait" horizontalDpi="4294967294" verticalDpi="4294967294"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
  <sheetViews>
    <sheetView workbookViewId="0">
      <selection activeCell="X126" sqref="X126"/>
    </sheetView>
  </sheetViews>
  <sheetFormatPr defaultRowHeight="14.4"/>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B888"/>
  <sheetViews>
    <sheetView topLeftCell="A733" workbookViewId="0">
      <selection activeCell="B719" sqref="B719"/>
    </sheetView>
  </sheetViews>
  <sheetFormatPr defaultRowHeight="14.4"/>
  <cols>
    <col min="1" max="1" width="11.47265625" bestFit="1" customWidth="1"/>
    <col min="2" max="2" width="128.734375" bestFit="1" customWidth="1"/>
  </cols>
  <sheetData>
    <row r="1" spans="1:2">
      <c r="A1" s="1122" t="s">
        <v>1215</v>
      </c>
      <c r="B1" s="1122" t="s">
        <v>1216</v>
      </c>
    </row>
    <row r="2" spans="1:2">
      <c r="A2" s="1123">
        <v>1</v>
      </c>
      <c r="B2" s="1124" t="s">
        <v>1217</v>
      </c>
    </row>
    <row r="3" spans="1:2">
      <c r="A3" s="1123">
        <v>11</v>
      </c>
      <c r="B3" s="1124" t="s">
        <v>1218</v>
      </c>
    </row>
    <row r="4" spans="1:2">
      <c r="A4" s="1123">
        <v>111</v>
      </c>
      <c r="B4" s="1124" t="s">
        <v>1219</v>
      </c>
    </row>
    <row r="5" spans="1:2">
      <c r="A5" s="1123">
        <v>1111</v>
      </c>
      <c r="B5" s="1124" t="s">
        <v>1220</v>
      </c>
    </row>
    <row r="6" spans="1:2">
      <c r="A6" s="1123">
        <v>1112</v>
      </c>
      <c r="B6" s="1124" t="s">
        <v>1221</v>
      </c>
    </row>
    <row r="7" spans="1:2">
      <c r="A7" s="1123">
        <v>1113</v>
      </c>
      <c r="B7" s="1124" t="s">
        <v>1222</v>
      </c>
    </row>
    <row r="8" spans="1:2">
      <c r="A8" s="1123">
        <v>112</v>
      </c>
      <c r="B8" s="1124" t="s">
        <v>467</v>
      </c>
    </row>
    <row r="9" spans="1:2">
      <c r="A9" s="1123">
        <v>113</v>
      </c>
      <c r="B9" s="1124" t="s">
        <v>1223</v>
      </c>
    </row>
    <row r="10" spans="1:2">
      <c r="A10" s="1123">
        <v>1131</v>
      </c>
      <c r="B10" s="1124" t="s">
        <v>1224</v>
      </c>
    </row>
    <row r="11" spans="1:2">
      <c r="A11" s="1123">
        <v>1132</v>
      </c>
      <c r="B11" s="1124" t="s">
        <v>1225</v>
      </c>
    </row>
    <row r="12" spans="1:2">
      <c r="A12" s="1123">
        <v>1133</v>
      </c>
      <c r="B12" s="1124" t="s">
        <v>1226</v>
      </c>
    </row>
    <row r="13" spans="1:2">
      <c r="A13" s="1123">
        <v>1135</v>
      </c>
      <c r="B13" s="1124" t="s">
        <v>1227</v>
      </c>
    </row>
    <row r="14" spans="1:2">
      <c r="A14" s="1123">
        <v>1136</v>
      </c>
      <c r="B14" s="1124" t="s">
        <v>1228</v>
      </c>
    </row>
    <row r="15" spans="1:2">
      <c r="A15" s="1123">
        <v>114</v>
      </c>
      <c r="B15" s="1124" t="s">
        <v>475</v>
      </c>
    </row>
    <row r="16" spans="1:2">
      <c r="A16" s="1123">
        <v>1141</v>
      </c>
      <c r="B16" s="1124" t="s">
        <v>1229</v>
      </c>
    </row>
    <row r="17" spans="1:2">
      <c r="A17" s="1123">
        <v>11411</v>
      </c>
      <c r="B17" s="1124" t="s">
        <v>1230</v>
      </c>
    </row>
    <row r="18" spans="1:2">
      <c r="A18" s="1123">
        <v>11412</v>
      </c>
      <c r="B18" s="1124" t="s">
        <v>1231</v>
      </c>
    </row>
    <row r="19" spans="1:2">
      <c r="A19" s="1123">
        <v>11413</v>
      </c>
      <c r="B19" s="1124" t="s">
        <v>1232</v>
      </c>
    </row>
    <row r="20" spans="1:2">
      <c r="A20" s="1123">
        <v>11414</v>
      </c>
      <c r="B20" s="1124" t="s">
        <v>1233</v>
      </c>
    </row>
    <row r="21" spans="1:2">
      <c r="A21" s="1123">
        <v>1142</v>
      </c>
      <c r="B21" s="1124" t="s">
        <v>1234</v>
      </c>
    </row>
    <row r="22" spans="1:2">
      <c r="A22" s="1123">
        <v>1143</v>
      </c>
      <c r="B22" s="1124" t="s">
        <v>1235</v>
      </c>
    </row>
    <row r="23" spans="1:2">
      <c r="A23" s="1123">
        <v>1144</v>
      </c>
      <c r="B23" s="1124" t="s">
        <v>1236</v>
      </c>
    </row>
    <row r="24" spans="1:2">
      <c r="A24" s="1123">
        <v>1145</v>
      </c>
      <c r="B24" s="1124" t="s">
        <v>1237</v>
      </c>
    </row>
    <row r="25" spans="1:2">
      <c r="A25" s="1123">
        <v>11451</v>
      </c>
      <c r="B25" s="1124" t="s">
        <v>1238</v>
      </c>
    </row>
    <row r="26" spans="1:2">
      <c r="A26" s="1123">
        <v>11452</v>
      </c>
      <c r="B26" s="1124" t="s">
        <v>1239</v>
      </c>
    </row>
    <row r="27" spans="1:2">
      <c r="A27" s="1123">
        <v>1146</v>
      </c>
      <c r="B27" s="1124" t="s">
        <v>1240</v>
      </c>
    </row>
    <row r="28" spans="1:2">
      <c r="A28" s="1123">
        <v>115</v>
      </c>
      <c r="B28" s="1124" t="s">
        <v>1241</v>
      </c>
    </row>
    <row r="29" spans="1:2">
      <c r="A29" s="1123">
        <v>1151</v>
      </c>
      <c r="B29" s="1124" t="s">
        <v>1242</v>
      </c>
    </row>
    <row r="30" spans="1:2">
      <c r="A30" s="1123">
        <v>1152</v>
      </c>
      <c r="B30" s="1124" t="s">
        <v>1243</v>
      </c>
    </row>
    <row r="31" spans="1:2">
      <c r="A31" s="1123">
        <v>1153</v>
      </c>
      <c r="B31" s="1124" t="s">
        <v>1244</v>
      </c>
    </row>
    <row r="32" spans="1:2">
      <c r="A32" s="1123">
        <v>1154</v>
      </c>
      <c r="B32" s="1124" t="s">
        <v>1245</v>
      </c>
    </row>
    <row r="33" spans="1:2">
      <c r="A33" s="1123">
        <v>1155</v>
      </c>
      <c r="B33" s="1124" t="s">
        <v>1246</v>
      </c>
    </row>
    <row r="34" spans="1:2">
      <c r="A34" s="1123">
        <v>1156</v>
      </c>
      <c r="B34" s="1124" t="s">
        <v>1247</v>
      </c>
    </row>
    <row r="35" spans="1:2">
      <c r="A35" s="1123">
        <v>116</v>
      </c>
      <c r="B35" s="1124" t="s">
        <v>494</v>
      </c>
    </row>
    <row r="36" spans="1:2">
      <c r="A36" s="1123">
        <v>12</v>
      </c>
      <c r="B36" s="1124" t="s">
        <v>1248</v>
      </c>
    </row>
    <row r="37" spans="1:2">
      <c r="A37" s="1123">
        <v>121</v>
      </c>
      <c r="B37" s="1124" t="s">
        <v>1249</v>
      </c>
    </row>
    <row r="38" spans="1:2">
      <c r="A38" s="1123">
        <v>1211</v>
      </c>
      <c r="B38" s="1124" t="s">
        <v>1250</v>
      </c>
    </row>
    <row r="39" spans="1:2">
      <c r="A39" s="1123">
        <v>1212</v>
      </c>
      <c r="B39" s="1124" t="s">
        <v>1251</v>
      </c>
    </row>
    <row r="40" spans="1:2">
      <c r="A40" s="1123">
        <v>1213</v>
      </c>
      <c r="B40" s="1124" t="s">
        <v>1252</v>
      </c>
    </row>
    <row r="41" spans="1:2">
      <c r="A41" s="1123">
        <v>1214</v>
      </c>
      <c r="B41" s="1124" t="s">
        <v>1253</v>
      </c>
    </row>
    <row r="42" spans="1:2">
      <c r="A42" s="1123">
        <v>122</v>
      </c>
      <c r="B42" s="1124" t="s">
        <v>1254</v>
      </c>
    </row>
    <row r="43" spans="1:2">
      <c r="A43" s="1123">
        <v>1221</v>
      </c>
      <c r="B43" s="1124" t="s">
        <v>1255</v>
      </c>
    </row>
    <row r="44" spans="1:2">
      <c r="A44" s="1123">
        <v>1222</v>
      </c>
      <c r="B44" s="1124" t="s">
        <v>1256</v>
      </c>
    </row>
    <row r="45" spans="1:2">
      <c r="A45" s="1123">
        <v>1223</v>
      </c>
      <c r="B45" s="1124" t="s">
        <v>1257</v>
      </c>
    </row>
    <row r="46" spans="1:2">
      <c r="A46" s="1123">
        <v>13</v>
      </c>
      <c r="B46" s="1124" t="s">
        <v>1258</v>
      </c>
    </row>
    <row r="47" spans="1:2">
      <c r="A47" s="1123">
        <v>131</v>
      </c>
      <c r="B47" s="1124" t="s">
        <v>1259</v>
      </c>
    </row>
    <row r="48" spans="1:2">
      <c r="A48" s="1123">
        <v>1311</v>
      </c>
      <c r="B48" s="1124" t="s">
        <v>1260</v>
      </c>
    </row>
    <row r="49" spans="1:2">
      <c r="A49" s="1123">
        <v>1312</v>
      </c>
      <c r="B49" s="1124" t="s">
        <v>1261</v>
      </c>
    </row>
    <row r="50" spans="1:2">
      <c r="A50" s="1123">
        <v>132</v>
      </c>
      <c r="B50" s="1124" t="s">
        <v>1262</v>
      </c>
    </row>
    <row r="51" spans="1:2">
      <c r="A51" s="1123">
        <v>1321</v>
      </c>
      <c r="B51" s="1124" t="s">
        <v>1263</v>
      </c>
    </row>
    <row r="52" spans="1:2">
      <c r="A52" s="1123">
        <v>1322</v>
      </c>
      <c r="B52" s="1124" t="s">
        <v>1264</v>
      </c>
    </row>
    <row r="53" spans="1:2">
      <c r="A53" s="1123">
        <v>133</v>
      </c>
      <c r="B53" s="1124" t="s">
        <v>1265</v>
      </c>
    </row>
    <row r="54" spans="1:2">
      <c r="A54" s="1123">
        <v>1331</v>
      </c>
      <c r="B54" s="1124" t="s">
        <v>1266</v>
      </c>
    </row>
    <row r="55" spans="1:2">
      <c r="A55" s="1123">
        <v>1332</v>
      </c>
      <c r="B55" s="1124" t="s">
        <v>1267</v>
      </c>
    </row>
    <row r="56" spans="1:2">
      <c r="A56" s="1123">
        <v>14</v>
      </c>
      <c r="B56" s="1124" t="s">
        <v>1268</v>
      </c>
    </row>
    <row r="57" spans="1:2">
      <c r="A57" s="1123">
        <v>141</v>
      </c>
      <c r="B57" s="1124" t="s">
        <v>1269</v>
      </c>
    </row>
    <row r="58" spans="1:2">
      <c r="A58" s="1123">
        <v>1411</v>
      </c>
      <c r="B58" s="1124" t="s">
        <v>1270</v>
      </c>
    </row>
    <row r="59" spans="1:2">
      <c r="A59" s="1123">
        <v>14111</v>
      </c>
      <c r="B59" s="1124" t="s">
        <v>1271</v>
      </c>
    </row>
    <row r="60" spans="1:2">
      <c r="A60" s="1123">
        <v>14112</v>
      </c>
      <c r="B60" s="1124" t="s">
        <v>1272</v>
      </c>
    </row>
    <row r="61" spans="1:2">
      <c r="A61" s="1123">
        <v>14113</v>
      </c>
      <c r="B61" s="1124" t="s">
        <v>1273</v>
      </c>
    </row>
    <row r="62" spans="1:2">
      <c r="A62" s="1123">
        <v>1412</v>
      </c>
      <c r="B62" s="1124" t="s">
        <v>1274</v>
      </c>
    </row>
    <row r="63" spans="1:2">
      <c r="A63" s="1123">
        <v>1413</v>
      </c>
      <c r="B63" s="1124" t="s">
        <v>1275</v>
      </c>
    </row>
    <row r="64" spans="1:2">
      <c r="A64" s="1123">
        <v>1414</v>
      </c>
      <c r="B64" s="1124" t="s">
        <v>1276</v>
      </c>
    </row>
    <row r="65" spans="1:2">
      <c r="A65" s="1123">
        <v>1415</v>
      </c>
      <c r="B65" s="1124" t="s">
        <v>1277</v>
      </c>
    </row>
    <row r="66" spans="1:2">
      <c r="A66" s="1123">
        <v>1416</v>
      </c>
      <c r="B66" s="1124" t="s">
        <v>1278</v>
      </c>
    </row>
    <row r="67" spans="1:2">
      <c r="A67" s="1123">
        <v>142</v>
      </c>
      <c r="B67" s="1124" t="s">
        <v>1279</v>
      </c>
    </row>
    <row r="68" spans="1:2">
      <c r="A68" s="1123">
        <v>1421</v>
      </c>
      <c r="B68" s="1124" t="s">
        <v>1280</v>
      </c>
    </row>
    <row r="69" spans="1:2">
      <c r="A69" s="1123">
        <v>1422</v>
      </c>
      <c r="B69" s="1124" t="s">
        <v>1281</v>
      </c>
    </row>
    <row r="70" spans="1:2">
      <c r="A70" s="1123">
        <v>1423</v>
      </c>
      <c r="B70" s="1124" t="s">
        <v>1282</v>
      </c>
    </row>
    <row r="71" spans="1:2">
      <c r="A71" s="1123">
        <v>1424</v>
      </c>
      <c r="B71" s="1124" t="s">
        <v>1283</v>
      </c>
    </row>
    <row r="72" spans="1:2">
      <c r="A72" s="1123">
        <v>143</v>
      </c>
      <c r="B72" s="1124" t="s">
        <v>1284</v>
      </c>
    </row>
    <row r="73" spans="1:2">
      <c r="A73" s="1123">
        <v>144</v>
      </c>
      <c r="B73" s="1124" t="s">
        <v>1285</v>
      </c>
    </row>
    <row r="74" spans="1:2">
      <c r="A74" s="1123">
        <v>1441</v>
      </c>
      <c r="B74" s="1124" t="s">
        <v>1286</v>
      </c>
    </row>
    <row r="75" spans="1:2">
      <c r="A75" s="1123">
        <v>14411</v>
      </c>
      <c r="B75" s="1124" t="s">
        <v>1287</v>
      </c>
    </row>
    <row r="76" spans="1:2">
      <c r="A76" s="1123">
        <v>14412</v>
      </c>
      <c r="B76" s="1124" t="s">
        <v>1288</v>
      </c>
    </row>
    <row r="77" spans="1:2">
      <c r="A77" s="1123">
        <v>1442</v>
      </c>
      <c r="B77" s="1124" t="s">
        <v>1289</v>
      </c>
    </row>
    <row r="78" spans="1:2">
      <c r="A78" s="1123">
        <v>145</v>
      </c>
      <c r="B78" s="1124" t="s">
        <v>1290</v>
      </c>
    </row>
    <row r="79" spans="1:2">
      <c r="A79" s="1123">
        <v>1451</v>
      </c>
      <c r="B79" s="1124" t="s">
        <v>1291</v>
      </c>
    </row>
    <row r="80" spans="1:2">
      <c r="A80" s="1123">
        <v>14511</v>
      </c>
      <c r="B80" s="1124" t="s">
        <v>1292</v>
      </c>
    </row>
    <row r="81" spans="1:2">
      <c r="A81" s="1123">
        <v>14512</v>
      </c>
      <c r="B81" s="1124" t="s">
        <v>1293</v>
      </c>
    </row>
    <row r="82" spans="1:2">
      <c r="A82" s="1123">
        <v>14513</v>
      </c>
      <c r="B82" s="1124" t="s">
        <v>1294</v>
      </c>
    </row>
    <row r="83" spans="1:2">
      <c r="A83" s="1123">
        <v>1452</v>
      </c>
      <c r="B83" s="1124" t="s">
        <v>1295</v>
      </c>
    </row>
    <row r="84" spans="1:2">
      <c r="A84" s="1123">
        <v>2</v>
      </c>
      <c r="B84" s="1124" t="s">
        <v>1296</v>
      </c>
    </row>
    <row r="85" spans="1:2">
      <c r="A85" s="1123">
        <v>21</v>
      </c>
      <c r="B85" s="1124" t="s">
        <v>1297</v>
      </c>
    </row>
    <row r="86" spans="1:2">
      <c r="A86" s="1123">
        <v>211</v>
      </c>
      <c r="B86" s="1124" t="s">
        <v>1298</v>
      </c>
    </row>
    <row r="87" spans="1:2">
      <c r="A87" s="1123">
        <v>212</v>
      </c>
      <c r="B87" s="1124" t="s">
        <v>1299</v>
      </c>
    </row>
    <row r="88" spans="1:2">
      <c r="A88" s="1123">
        <v>2121</v>
      </c>
      <c r="B88" s="1124" t="s">
        <v>1300</v>
      </c>
    </row>
    <row r="89" spans="1:2">
      <c r="A89" s="1123">
        <v>2122</v>
      </c>
      <c r="B89" s="1124" t="s">
        <v>1301</v>
      </c>
    </row>
    <row r="90" spans="1:2">
      <c r="A90" s="1123">
        <v>22</v>
      </c>
      <c r="B90" s="1124" t="s">
        <v>528</v>
      </c>
    </row>
    <row r="91" spans="1:2">
      <c r="A91" s="1123">
        <v>23</v>
      </c>
      <c r="B91" s="1124" t="s">
        <v>529</v>
      </c>
    </row>
    <row r="92" spans="1:2">
      <c r="A92" s="1123">
        <v>24</v>
      </c>
      <c r="B92" s="1124" t="s">
        <v>1302</v>
      </c>
    </row>
    <row r="93" spans="1:2">
      <c r="A93" s="1123">
        <v>241</v>
      </c>
      <c r="B93" s="1124" t="s">
        <v>1303</v>
      </c>
    </row>
    <row r="94" spans="1:2">
      <c r="A94" s="1123">
        <v>242</v>
      </c>
      <c r="B94" s="1124" t="s">
        <v>1304</v>
      </c>
    </row>
    <row r="95" spans="1:2">
      <c r="A95" s="1123">
        <v>243</v>
      </c>
      <c r="B95" s="1124" t="s">
        <v>1305</v>
      </c>
    </row>
    <row r="96" spans="1:2">
      <c r="A96" s="1123">
        <v>25</v>
      </c>
      <c r="B96" s="1124" t="s">
        <v>1306</v>
      </c>
    </row>
    <row r="97" spans="1:2">
      <c r="A97" s="1123">
        <v>251</v>
      </c>
      <c r="B97" s="1124" t="s">
        <v>1307</v>
      </c>
    </row>
    <row r="98" spans="1:2">
      <c r="A98" s="1123">
        <v>252</v>
      </c>
      <c r="B98" s="1124" t="s">
        <v>1308</v>
      </c>
    </row>
    <row r="99" spans="1:2">
      <c r="A99" s="1123">
        <v>26</v>
      </c>
      <c r="B99" s="1124" t="s">
        <v>1309</v>
      </c>
    </row>
    <row r="100" spans="1:2">
      <c r="A100" s="1123">
        <v>261</v>
      </c>
      <c r="B100" s="1124" t="s">
        <v>1310</v>
      </c>
    </row>
    <row r="101" spans="1:2">
      <c r="A101" s="1123">
        <v>2611</v>
      </c>
      <c r="B101" s="1124" t="s">
        <v>1311</v>
      </c>
    </row>
    <row r="102" spans="1:2">
      <c r="A102" s="1123">
        <v>2612</v>
      </c>
      <c r="B102" s="1124" t="s">
        <v>1312</v>
      </c>
    </row>
    <row r="103" spans="1:2">
      <c r="A103" s="1123">
        <v>262</v>
      </c>
      <c r="B103" s="1124" t="s">
        <v>1313</v>
      </c>
    </row>
    <row r="104" spans="1:2">
      <c r="A104" s="1123">
        <v>2621</v>
      </c>
      <c r="B104" s="1124" t="s">
        <v>1314</v>
      </c>
    </row>
    <row r="105" spans="1:2">
      <c r="A105" s="1123">
        <v>2622</v>
      </c>
      <c r="B105" s="1124" t="s">
        <v>1315</v>
      </c>
    </row>
    <row r="106" spans="1:2">
      <c r="A106" s="1123">
        <v>263</v>
      </c>
      <c r="B106" s="1124" t="s">
        <v>1316</v>
      </c>
    </row>
    <row r="107" spans="1:2">
      <c r="A107" s="1123">
        <v>2631</v>
      </c>
      <c r="B107" s="1124" t="s">
        <v>1317</v>
      </c>
    </row>
    <row r="108" spans="1:2">
      <c r="A108" s="1123">
        <v>2632</v>
      </c>
      <c r="B108" s="1124" t="s">
        <v>1318</v>
      </c>
    </row>
    <row r="109" spans="1:2">
      <c r="A109" s="1123">
        <v>27</v>
      </c>
      <c r="B109" s="1124" t="s">
        <v>1319</v>
      </c>
    </row>
    <row r="110" spans="1:2">
      <c r="A110" s="1123">
        <v>271</v>
      </c>
      <c r="B110" s="1124" t="s">
        <v>1320</v>
      </c>
    </row>
    <row r="111" spans="1:2">
      <c r="A111" s="1123">
        <v>272</v>
      </c>
      <c r="B111" s="1124" t="s">
        <v>1321</v>
      </c>
    </row>
    <row r="112" spans="1:2">
      <c r="A112" s="1123">
        <v>273</v>
      </c>
      <c r="B112" s="1124" t="s">
        <v>1322</v>
      </c>
    </row>
    <row r="113" spans="1:2">
      <c r="A113" s="1123">
        <v>28</v>
      </c>
      <c r="B113" s="1124" t="s">
        <v>1323</v>
      </c>
    </row>
    <row r="114" spans="1:2">
      <c r="A114" s="1123">
        <v>281</v>
      </c>
      <c r="B114" s="1124" t="s">
        <v>1324</v>
      </c>
    </row>
    <row r="115" spans="1:2">
      <c r="A115" s="1123">
        <v>2811</v>
      </c>
      <c r="B115" s="1124" t="s">
        <v>1325</v>
      </c>
    </row>
    <row r="116" spans="1:2">
      <c r="A116" s="1123">
        <v>2812</v>
      </c>
      <c r="B116" s="1124" t="s">
        <v>1326</v>
      </c>
    </row>
    <row r="117" spans="1:2">
      <c r="A117" s="1123">
        <v>2813</v>
      </c>
      <c r="B117" s="1124" t="s">
        <v>1327</v>
      </c>
    </row>
    <row r="118" spans="1:2">
      <c r="A118" s="1123">
        <v>2814</v>
      </c>
      <c r="B118" s="1124" t="s">
        <v>1328</v>
      </c>
    </row>
    <row r="119" spans="1:2">
      <c r="A119" s="1123">
        <v>2815</v>
      </c>
      <c r="B119" s="1124" t="s">
        <v>1329</v>
      </c>
    </row>
    <row r="120" spans="1:2">
      <c r="A120" s="1123">
        <v>282</v>
      </c>
      <c r="B120" s="1124" t="s">
        <v>1330</v>
      </c>
    </row>
    <row r="121" spans="1:2">
      <c r="A121" s="1123">
        <v>2821</v>
      </c>
      <c r="B121" s="1124" t="s">
        <v>1331</v>
      </c>
    </row>
    <row r="122" spans="1:2">
      <c r="A122" s="1123">
        <v>2822</v>
      </c>
      <c r="B122" s="1124" t="s">
        <v>1332</v>
      </c>
    </row>
    <row r="123" spans="1:2">
      <c r="A123" s="1123">
        <v>283</v>
      </c>
      <c r="B123" s="1124" t="s">
        <v>1333</v>
      </c>
    </row>
    <row r="124" spans="1:2">
      <c r="A124" s="1123">
        <v>2831</v>
      </c>
      <c r="B124" s="1124" t="s">
        <v>1334</v>
      </c>
    </row>
    <row r="125" spans="1:2">
      <c r="A125" s="1123">
        <v>28311</v>
      </c>
      <c r="B125" s="1124" t="s">
        <v>1335</v>
      </c>
    </row>
    <row r="126" spans="1:2">
      <c r="A126" s="1123">
        <v>28312</v>
      </c>
      <c r="B126" s="1124" t="s">
        <v>1336</v>
      </c>
    </row>
    <row r="127" spans="1:2">
      <c r="A127" s="1123">
        <v>28313</v>
      </c>
      <c r="B127" s="1124" t="s">
        <v>1337</v>
      </c>
    </row>
    <row r="128" spans="1:2">
      <c r="A128" s="1123">
        <v>2832</v>
      </c>
      <c r="B128" s="1124" t="s">
        <v>1338</v>
      </c>
    </row>
    <row r="129" spans="1:2">
      <c r="A129" s="1123">
        <v>3</v>
      </c>
      <c r="B129" s="1124" t="s">
        <v>1339</v>
      </c>
    </row>
    <row r="130" spans="1:2">
      <c r="A130" s="1123">
        <v>31</v>
      </c>
      <c r="B130" s="1124" t="s">
        <v>1340</v>
      </c>
    </row>
    <row r="131" spans="1:2">
      <c r="A131" s="1123">
        <v>311</v>
      </c>
      <c r="B131" s="1124" t="s">
        <v>1341</v>
      </c>
    </row>
    <row r="132" spans="1:2">
      <c r="A132" s="1123" t="s">
        <v>1342</v>
      </c>
      <c r="B132" s="1124" t="s">
        <v>1343</v>
      </c>
    </row>
    <row r="133" spans="1:2">
      <c r="A133" s="1123" t="s">
        <v>1344</v>
      </c>
      <c r="B133" s="1124" t="s">
        <v>1345</v>
      </c>
    </row>
    <row r="134" spans="1:2">
      <c r="A134" s="1123" t="s">
        <v>1346</v>
      </c>
      <c r="B134" s="1124" t="s">
        <v>1347</v>
      </c>
    </row>
    <row r="135" spans="1:2">
      <c r="A135" s="1123">
        <v>3111</v>
      </c>
      <c r="B135" s="1124" t="s">
        <v>1348</v>
      </c>
    </row>
    <row r="136" spans="1:2">
      <c r="A136" s="1123" t="s">
        <v>1349</v>
      </c>
      <c r="B136" s="1124" t="s">
        <v>1350</v>
      </c>
    </row>
    <row r="137" spans="1:2">
      <c r="A137" s="1123" t="s">
        <v>1351</v>
      </c>
      <c r="B137" s="1124" t="s">
        <v>1352</v>
      </c>
    </row>
    <row r="138" spans="1:2">
      <c r="A138" s="1123" t="s">
        <v>1353</v>
      </c>
      <c r="B138" s="1124" t="s">
        <v>1354</v>
      </c>
    </row>
    <row r="139" spans="1:2">
      <c r="A139" s="1123">
        <v>3112</v>
      </c>
      <c r="B139" s="1124" t="s">
        <v>1355</v>
      </c>
    </row>
    <row r="140" spans="1:2">
      <c r="A140" s="1123" t="s">
        <v>1356</v>
      </c>
      <c r="B140" s="1124" t="s">
        <v>1357</v>
      </c>
    </row>
    <row r="141" spans="1:2">
      <c r="A141" s="1123" t="s">
        <v>1358</v>
      </c>
      <c r="B141" s="1124" t="s">
        <v>1359</v>
      </c>
    </row>
    <row r="142" spans="1:2">
      <c r="A142" s="1123" t="s">
        <v>1360</v>
      </c>
      <c r="B142" s="1124" t="s">
        <v>1361</v>
      </c>
    </row>
    <row r="143" spans="1:2">
      <c r="A143" s="1123">
        <v>3113</v>
      </c>
      <c r="B143" s="1124" t="s">
        <v>1362</v>
      </c>
    </row>
    <row r="144" spans="1:2">
      <c r="A144" s="1123" t="s">
        <v>1363</v>
      </c>
      <c r="B144" s="1124" t="s">
        <v>1364</v>
      </c>
    </row>
    <row r="145" spans="1:2">
      <c r="A145" s="1123" t="s">
        <v>1365</v>
      </c>
      <c r="B145" s="1124" t="s">
        <v>1366</v>
      </c>
    </row>
    <row r="146" spans="1:2">
      <c r="A146" s="1123" t="s">
        <v>1367</v>
      </c>
      <c r="B146" s="1124" t="s">
        <v>1368</v>
      </c>
    </row>
    <row r="147" spans="1:2">
      <c r="A147" s="1123">
        <v>3114</v>
      </c>
      <c r="B147" s="1124" t="s">
        <v>1369</v>
      </c>
    </row>
    <row r="148" spans="1:2">
      <c r="A148" s="1123" t="s">
        <v>1370</v>
      </c>
      <c r="B148" s="1124" t="s">
        <v>1371</v>
      </c>
    </row>
    <row r="149" spans="1:2">
      <c r="A149" s="1123" t="s">
        <v>1372</v>
      </c>
      <c r="B149" s="1124" t="s">
        <v>1373</v>
      </c>
    </row>
    <row r="150" spans="1:2">
      <c r="A150" s="1123" t="s">
        <v>1374</v>
      </c>
      <c r="B150" s="1124" t="s">
        <v>1375</v>
      </c>
    </row>
    <row r="151" spans="1:2">
      <c r="A151" s="1123">
        <v>312</v>
      </c>
      <c r="B151" s="1124" t="s">
        <v>1376</v>
      </c>
    </row>
    <row r="152" spans="1:2">
      <c r="A152" s="1123" t="s">
        <v>1377</v>
      </c>
      <c r="B152" s="1124" t="s">
        <v>1378</v>
      </c>
    </row>
    <row r="153" spans="1:2">
      <c r="A153" s="1123" t="s">
        <v>1379</v>
      </c>
      <c r="B153" s="1124" t="s">
        <v>1380</v>
      </c>
    </row>
    <row r="154" spans="1:2">
      <c r="A154" s="1123">
        <v>313</v>
      </c>
      <c r="B154" s="1124" t="s">
        <v>1381</v>
      </c>
    </row>
    <row r="155" spans="1:2">
      <c r="A155" s="1123" t="s">
        <v>1382</v>
      </c>
      <c r="B155" s="1124" t="s">
        <v>1383</v>
      </c>
    </row>
    <row r="156" spans="1:2">
      <c r="A156" s="1123" t="s">
        <v>1384</v>
      </c>
      <c r="B156" s="1124" t="s">
        <v>1385</v>
      </c>
    </row>
    <row r="157" spans="1:2">
      <c r="A157" s="1123">
        <v>314</v>
      </c>
      <c r="B157" s="1124" t="s">
        <v>1386</v>
      </c>
    </row>
    <row r="158" spans="1:2">
      <c r="A158" s="1123" t="s">
        <v>1387</v>
      </c>
      <c r="B158" s="1124" t="s">
        <v>1388</v>
      </c>
    </row>
    <row r="159" spans="1:2">
      <c r="A159" s="1123" t="s">
        <v>1389</v>
      </c>
      <c r="B159" s="1124" t="s">
        <v>1390</v>
      </c>
    </row>
    <row r="160" spans="1:2">
      <c r="A160" s="1123">
        <v>3141</v>
      </c>
      <c r="B160" s="1124" t="s">
        <v>1391</v>
      </c>
    </row>
    <row r="161" spans="1:2">
      <c r="A161" s="1123" t="s">
        <v>1392</v>
      </c>
      <c r="B161" s="1124" t="s">
        <v>1393</v>
      </c>
    </row>
    <row r="162" spans="1:2">
      <c r="A162" s="1123" t="s">
        <v>1394</v>
      </c>
      <c r="B162" s="1124" t="s">
        <v>1395</v>
      </c>
    </row>
    <row r="163" spans="1:2">
      <c r="A163" s="1123">
        <v>3142</v>
      </c>
      <c r="B163" s="1124" t="s">
        <v>1396</v>
      </c>
    </row>
    <row r="164" spans="1:2">
      <c r="A164" s="1123" t="s">
        <v>1397</v>
      </c>
      <c r="B164" s="1124" t="s">
        <v>1398</v>
      </c>
    </row>
    <row r="165" spans="1:2">
      <c r="A165" s="1123" t="s">
        <v>1399</v>
      </c>
      <c r="B165" s="1124" t="s">
        <v>1400</v>
      </c>
    </row>
    <row r="166" spans="1:2">
      <c r="A166" s="1123">
        <v>3143</v>
      </c>
      <c r="B166" s="1124" t="s">
        <v>1401</v>
      </c>
    </row>
    <row r="167" spans="1:2">
      <c r="A167" s="1123" t="s">
        <v>1402</v>
      </c>
      <c r="B167" s="1124" t="s">
        <v>1403</v>
      </c>
    </row>
    <row r="168" spans="1:2">
      <c r="A168" s="1123" t="s">
        <v>1404</v>
      </c>
      <c r="B168" s="1124" t="s">
        <v>1405</v>
      </c>
    </row>
    <row r="169" spans="1:2">
      <c r="A169" s="1123">
        <v>3144</v>
      </c>
      <c r="B169" s="1124" t="s">
        <v>1406</v>
      </c>
    </row>
    <row r="170" spans="1:2">
      <c r="A170" s="1123" t="s">
        <v>1407</v>
      </c>
      <c r="B170" s="1124" t="s">
        <v>1408</v>
      </c>
    </row>
    <row r="171" spans="1:2">
      <c r="A171" s="1123" t="s">
        <v>1409</v>
      </c>
      <c r="B171" s="1124" t="s">
        <v>1410</v>
      </c>
    </row>
    <row r="172" spans="1:2">
      <c r="A172" s="1123">
        <v>32</v>
      </c>
      <c r="B172" s="1124" t="s">
        <v>1411</v>
      </c>
    </row>
    <row r="173" spans="1:2">
      <c r="A173" s="1123" t="s">
        <v>1412</v>
      </c>
      <c r="B173" s="1124" t="s">
        <v>1413</v>
      </c>
    </row>
    <row r="174" spans="1:2">
      <c r="A174" s="1123" t="s">
        <v>1414</v>
      </c>
      <c r="B174" s="1124" t="s">
        <v>1415</v>
      </c>
    </row>
    <row r="175" spans="1:2">
      <c r="A175" s="1123">
        <v>3201</v>
      </c>
      <c r="B175" s="1124" t="s">
        <v>1416</v>
      </c>
    </row>
    <row r="176" spans="1:2">
      <c r="A176" s="1123">
        <v>3202</v>
      </c>
      <c r="B176" s="1124" t="s">
        <v>1417</v>
      </c>
    </row>
    <row r="177" spans="1:2">
      <c r="A177" s="1123" t="s">
        <v>1418</v>
      </c>
      <c r="B177" s="1124" t="s">
        <v>1419</v>
      </c>
    </row>
    <row r="178" spans="1:2">
      <c r="A178" s="1123" t="s">
        <v>1420</v>
      </c>
      <c r="B178" s="1124" t="s">
        <v>1421</v>
      </c>
    </row>
    <row r="179" spans="1:2">
      <c r="A179" s="1123">
        <v>3203</v>
      </c>
      <c r="B179" s="1124" t="s">
        <v>1422</v>
      </c>
    </row>
    <row r="180" spans="1:2">
      <c r="A180" s="1123" t="s">
        <v>1423</v>
      </c>
      <c r="B180" s="1124" t="s">
        <v>1424</v>
      </c>
    </row>
    <row r="181" spans="1:2">
      <c r="A181" s="1123" t="s">
        <v>1425</v>
      </c>
      <c r="B181" s="1124" t="s">
        <v>1426</v>
      </c>
    </row>
    <row r="182" spans="1:2">
      <c r="A182" s="1123">
        <v>3204</v>
      </c>
      <c r="B182" s="1124" t="s">
        <v>1427</v>
      </c>
    </row>
    <row r="183" spans="1:2">
      <c r="A183" s="1123" t="s">
        <v>1428</v>
      </c>
      <c r="B183" s="1124" t="s">
        <v>1429</v>
      </c>
    </row>
    <row r="184" spans="1:2">
      <c r="A184" s="1123" t="s">
        <v>1430</v>
      </c>
      <c r="B184" s="1124" t="s">
        <v>1431</v>
      </c>
    </row>
    <row r="185" spans="1:2">
      <c r="A185" s="1123">
        <v>3205</v>
      </c>
      <c r="B185" s="1124" t="s">
        <v>1432</v>
      </c>
    </row>
    <row r="186" spans="1:2">
      <c r="A186" s="1123" t="s">
        <v>1433</v>
      </c>
      <c r="B186" s="1124" t="s">
        <v>1434</v>
      </c>
    </row>
    <row r="187" spans="1:2">
      <c r="A187" s="1123" t="s">
        <v>1435</v>
      </c>
      <c r="B187" s="1124" t="s">
        <v>1436</v>
      </c>
    </row>
    <row r="188" spans="1:2">
      <c r="A188" s="1123">
        <v>3206</v>
      </c>
      <c r="B188" s="1124" t="s">
        <v>1437</v>
      </c>
    </row>
    <row r="189" spans="1:2">
      <c r="A189" s="1123" t="s">
        <v>1438</v>
      </c>
      <c r="B189" s="1124" t="s">
        <v>1439</v>
      </c>
    </row>
    <row r="190" spans="1:2">
      <c r="A190" s="1123" t="s">
        <v>1440</v>
      </c>
      <c r="B190" s="1124" t="s">
        <v>1441</v>
      </c>
    </row>
    <row r="191" spans="1:2">
      <c r="A191" s="1123">
        <v>3207</v>
      </c>
      <c r="B191" s="1124" t="s">
        <v>1442</v>
      </c>
    </row>
    <row r="192" spans="1:2">
      <c r="A192" s="1123" t="s">
        <v>1443</v>
      </c>
      <c r="B192" s="1124" t="s">
        <v>1444</v>
      </c>
    </row>
    <row r="193" spans="1:2">
      <c r="A193" s="1123" t="s">
        <v>1445</v>
      </c>
      <c r="B193" s="1124" t="s">
        <v>1446</v>
      </c>
    </row>
    <row r="194" spans="1:2">
      <c r="A194" s="1123">
        <v>3208</v>
      </c>
      <c r="B194" s="1124" t="s">
        <v>1447</v>
      </c>
    </row>
    <row r="195" spans="1:2">
      <c r="A195" s="1123" t="s">
        <v>1448</v>
      </c>
      <c r="B195" s="1124" t="s">
        <v>1449</v>
      </c>
    </row>
    <row r="196" spans="1:2">
      <c r="A196" s="1123" t="s">
        <v>1450</v>
      </c>
      <c r="B196" s="1124" t="s">
        <v>1451</v>
      </c>
    </row>
    <row r="197" spans="1:2">
      <c r="A197" s="1123">
        <v>321</v>
      </c>
      <c r="B197" s="1124" t="s">
        <v>1452</v>
      </c>
    </row>
    <row r="198" spans="1:2">
      <c r="A198" s="1123" t="s">
        <v>1453</v>
      </c>
      <c r="B198" s="1124" t="s">
        <v>1454</v>
      </c>
    </row>
    <row r="199" spans="1:2">
      <c r="A199" s="1123" t="s">
        <v>1455</v>
      </c>
      <c r="B199" s="1124" t="s">
        <v>1456</v>
      </c>
    </row>
    <row r="200" spans="1:2">
      <c r="A200" s="1123">
        <v>3212</v>
      </c>
      <c r="B200" s="1124" t="s">
        <v>1457</v>
      </c>
    </row>
    <row r="201" spans="1:2">
      <c r="A201" s="1123" t="s">
        <v>1458</v>
      </c>
      <c r="B201" s="1124" t="s">
        <v>1459</v>
      </c>
    </row>
    <row r="202" spans="1:2">
      <c r="A202" s="1123" t="s">
        <v>1460</v>
      </c>
      <c r="B202" s="1124" t="s">
        <v>1461</v>
      </c>
    </row>
    <row r="203" spans="1:2">
      <c r="A203" s="1123">
        <v>3213</v>
      </c>
      <c r="B203" s="1124" t="s">
        <v>1462</v>
      </c>
    </row>
    <row r="204" spans="1:2">
      <c r="A204" s="1123" t="s">
        <v>1463</v>
      </c>
      <c r="B204" s="1124" t="s">
        <v>1464</v>
      </c>
    </row>
    <row r="205" spans="1:2">
      <c r="A205" s="1123" t="s">
        <v>1465</v>
      </c>
      <c r="B205" s="1124" t="s">
        <v>1466</v>
      </c>
    </row>
    <row r="206" spans="1:2">
      <c r="A206" s="1123">
        <v>3214</v>
      </c>
      <c r="B206" s="1124" t="s">
        <v>1467</v>
      </c>
    </row>
    <row r="207" spans="1:2">
      <c r="A207" s="1123" t="s">
        <v>1468</v>
      </c>
      <c r="B207" s="1124" t="s">
        <v>1469</v>
      </c>
    </row>
    <row r="208" spans="1:2">
      <c r="A208" s="1123" t="s">
        <v>1470</v>
      </c>
      <c r="B208" s="1124" t="s">
        <v>1471</v>
      </c>
    </row>
    <row r="209" spans="1:2">
      <c r="A209" s="1123">
        <v>3215</v>
      </c>
      <c r="B209" s="1124" t="s">
        <v>1472</v>
      </c>
    </row>
    <row r="210" spans="1:2">
      <c r="A210" s="1123" t="s">
        <v>1473</v>
      </c>
      <c r="B210" s="1124" t="s">
        <v>1474</v>
      </c>
    </row>
    <row r="211" spans="1:2">
      <c r="A211" s="1123" t="s">
        <v>1475</v>
      </c>
      <c r="B211" s="1124" t="s">
        <v>1476</v>
      </c>
    </row>
    <row r="212" spans="1:2">
      <c r="A212" s="1123">
        <v>3216</v>
      </c>
      <c r="B212" s="1124" t="s">
        <v>1477</v>
      </c>
    </row>
    <row r="213" spans="1:2">
      <c r="A213" s="1123" t="s">
        <v>1478</v>
      </c>
      <c r="B213" s="1124" t="s">
        <v>1479</v>
      </c>
    </row>
    <row r="214" spans="1:2">
      <c r="A214" s="1123" t="s">
        <v>1480</v>
      </c>
      <c r="B214" s="1124" t="s">
        <v>1481</v>
      </c>
    </row>
    <row r="215" spans="1:2">
      <c r="A215" s="1123">
        <v>3217</v>
      </c>
      <c r="B215" s="1124" t="s">
        <v>1482</v>
      </c>
    </row>
    <row r="216" spans="1:2">
      <c r="A216" s="1123" t="s">
        <v>1483</v>
      </c>
      <c r="B216" s="1124" t="s">
        <v>1484</v>
      </c>
    </row>
    <row r="217" spans="1:2">
      <c r="A217" s="1123" t="s">
        <v>1485</v>
      </c>
      <c r="B217" s="1124" t="s">
        <v>1486</v>
      </c>
    </row>
    <row r="218" spans="1:2">
      <c r="A218" s="1123">
        <v>3218</v>
      </c>
      <c r="B218" s="1124" t="s">
        <v>1487</v>
      </c>
    </row>
    <row r="219" spans="1:2">
      <c r="A219" s="1123" t="s">
        <v>1488</v>
      </c>
      <c r="B219" s="1124" t="s">
        <v>1489</v>
      </c>
    </row>
    <row r="220" spans="1:2">
      <c r="A220" s="1123" t="s">
        <v>1490</v>
      </c>
      <c r="B220" s="1124" t="s">
        <v>1491</v>
      </c>
    </row>
    <row r="221" spans="1:2">
      <c r="A221" s="1123">
        <v>322</v>
      </c>
      <c r="B221" s="1124" t="s">
        <v>1492</v>
      </c>
    </row>
    <row r="222" spans="1:2">
      <c r="A222" s="1123" t="s">
        <v>1493</v>
      </c>
      <c r="B222" s="1124" t="s">
        <v>1494</v>
      </c>
    </row>
    <row r="223" spans="1:2">
      <c r="A223" s="1123" t="s">
        <v>1495</v>
      </c>
      <c r="B223" s="1124" t="s">
        <v>1496</v>
      </c>
    </row>
    <row r="224" spans="1:2">
      <c r="A224" s="1123">
        <v>3221</v>
      </c>
      <c r="B224" s="1124" t="s">
        <v>1497</v>
      </c>
    </row>
    <row r="225" spans="1:2">
      <c r="A225" s="1123">
        <v>3222</v>
      </c>
      <c r="B225" s="1124" t="s">
        <v>1498</v>
      </c>
    </row>
    <row r="226" spans="1:2">
      <c r="A226" s="1123" t="s">
        <v>1499</v>
      </c>
      <c r="B226" s="1124" t="s">
        <v>1500</v>
      </c>
    </row>
    <row r="227" spans="1:2">
      <c r="A227" s="1123" t="s">
        <v>1501</v>
      </c>
      <c r="B227" s="1124" t="s">
        <v>1502</v>
      </c>
    </row>
    <row r="228" spans="1:2">
      <c r="A228" s="1123">
        <v>3223</v>
      </c>
      <c r="B228" s="1124" t="s">
        <v>1503</v>
      </c>
    </row>
    <row r="229" spans="1:2">
      <c r="A229" s="1123" t="s">
        <v>1504</v>
      </c>
      <c r="B229" s="1124" t="s">
        <v>1505</v>
      </c>
    </row>
    <row r="230" spans="1:2">
      <c r="A230" s="1123" t="s">
        <v>1506</v>
      </c>
      <c r="B230" s="1124" t="s">
        <v>1507</v>
      </c>
    </row>
    <row r="231" spans="1:2">
      <c r="A231" s="1123">
        <v>3224</v>
      </c>
      <c r="B231" s="1124" t="s">
        <v>1508</v>
      </c>
    </row>
    <row r="232" spans="1:2">
      <c r="A232" s="1123" t="s">
        <v>1509</v>
      </c>
      <c r="B232" s="1124" t="s">
        <v>1510</v>
      </c>
    </row>
    <row r="233" spans="1:2">
      <c r="A233" s="1123" t="s">
        <v>1511</v>
      </c>
      <c r="B233" s="1124" t="s">
        <v>1512</v>
      </c>
    </row>
    <row r="234" spans="1:2">
      <c r="A234" s="1123">
        <v>3225</v>
      </c>
      <c r="B234" s="1124" t="s">
        <v>1513</v>
      </c>
    </row>
    <row r="235" spans="1:2">
      <c r="A235" s="1123" t="s">
        <v>1514</v>
      </c>
      <c r="B235" s="1124" t="s">
        <v>1515</v>
      </c>
    </row>
    <row r="236" spans="1:2">
      <c r="A236" s="1123" t="s">
        <v>1516</v>
      </c>
      <c r="B236" s="1124" t="s">
        <v>1517</v>
      </c>
    </row>
    <row r="237" spans="1:2">
      <c r="A237" s="1123">
        <v>3226</v>
      </c>
      <c r="B237" s="1124" t="s">
        <v>1518</v>
      </c>
    </row>
    <row r="238" spans="1:2">
      <c r="A238" s="1123" t="s">
        <v>1519</v>
      </c>
      <c r="B238" s="1124" t="s">
        <v>1520</v>
      </c>
    </row>
    <row r="239" spans="1:2">
      <c r="A239" s="1123" t="s">
        <v>1521</v>
      </c>
      <c r="B239" s="1124" t="s">
        <v>1522</v>
      </c>
    </row>
    <row r="240" spans="1:2">
      <c r="A240" s="1123">
        <v>3227</v>
      </c>
      <c r="B240" s="1124" t="s">
        <v>1523</v>
      </c>
    </row>
    <row r="241" spans="1:2">
      <c r="A241" s="1123" t="s">
        <v>1524</v>
      </c>
      <c r="B241" s="1124" t="s">
        <v>1525</v>
      </c>
    </row>
    <row r="242" spans="1:2">
      <c r="A242" s="1123" t="s">
        <v>1526</v>
      </c>
      <c r="B242" s="1124" t="s">
        <v>1527</v>
      </c>
    </row>
    <row r="243" spans="1:2">
      <c r="A243" s="1123">
        <v>3228</v>
      </c>
      <c r="B243" s="1124" t="s">
        <v>1528</v>
      </c>
    </row>
    <row r="244" spans="1:2">
      <c r="A244" s="1123" t="s">
        <v>1529</v>
      </c>
      <c r="B244" s="1124" t="s">
        <v>1530</v>
      </c>
    </row>
    <row r="245" spans="1:2">
      <c r="A245" s="1123" t="s">
        <v>1531</v>
      </c>
      <c r="B245" s="1124" t="s">
        <v>1532</v>
      </c>
    </row>
    <row r="246" spans="1:2">
      <c r="A246" s="1123">
        <v>33</v>
      </c>
      <c r="B246" s="1124" t="s">
        <v>1533</v>
      </c>
    </row>
    <row r="247" spans="1:2">
      <c r="A247" s="1123" t="s">
        <v>1534</v>
      </c>
      <c r="B247" s="1124" t="s">
        <v>1535</v>
      </c>
    </row>
    <row r="248" spans="1:2">
      <c r="A248" s="1123" t="s">
        <v>1536</v>
      </c>
      <c r="B248" s="1124" t="s">
        <v>1537</v>
      </c>
    </row>
    <row r="249" spans="1:2">
      <c r="A249" s="1123">
        <v>3301</v>
      </c>
      <c r="B249" s="1124" t="s">
        <v>1538</v>
      </c>
    </row>
    <row r="250" spans="1:2">
      <c r="A250" s="1123">
        <v>3302</v>
      </c>
      <c r="B250" s="1124" t="s">
        <v>1539</v>
      </c>
    </row>
    <row r="251" spans="1:2">
      <c r="A251" s="1123" t="s">
        <v>1540</v>
      </c>
      <c r="B251" s="1124" t="s">
        <v>1541</v>
      </c>
    </row>
    <row r="252" spans="1:2">
      <c r="A252" s="1123" t="s">
        <v>1542</v>
      </c>
      <c r="B252" s="1124" t="s">
        <v>1543</v>
      </c>
    </row>
    <row r="253" spans="1:2">
      <c r="A253" s="1123">
        <v>3303</v>
      </c>
      <c r="B253" s="1124" t="s">
        <v>1544</v>
      </c>
    </row>
    <row r="254" spans="1:2">
      <c r="A254" s="1123" t="s">
        <v>1545</v>
      </c>
      <c r="B254" s="1124" t="s">
        <v>1546</v>
      </c>
    </row>
    <row r="255" spans="1:2">
      <c r="A255" s="1123" t="s">
        <v>1547</v>
      </c>
      <c r="B255" s="1124" t="s">
        <v>1548</v>
      </c>
    </row>
    <row r="256" spans="1:2">
      <c r="A256" s="1123">
        <v>3304</v>
      </c>
      <c r="B256" s="1124" t="s">
        <v>1549</v>
      </c>
    </row>
    <row r="257" spans="1:2">
      <c r="A257" s="1123" t="s">
        <v>1550</v>
      </c>
      <c r="B257" s="1124" t="s">
        <v>1551</v>
      </c>
    </row>
    <row r="258" spans="1:2">
      <c r="A258" s="1123" t="s">
        <v>1552</v>
      </c>
      <c r="B258" s="1124" t="s">
        <v>1553</v>
      </c>
    </row>
    <row r="259" spans="1:2">
      <c r="A259" s="1123">
        <v>3305</v>
      </c>
      <c r="B259" s="1124" t="s">
        <v>1554</v>
      </c>
    </row>
    <row r="260" spans="1:2">
      <c r="A260" s="1123" t="s">
        <v>1555</v>
      </c>
      <c r="B260" s="1124" t="s">
        <v>1556</v>
      </c>
    </row>
    <row r="261" spans="1:2">
      <c r="A261" s="1123" t="s">
        <v>1557</v>
      </c>
      <c r="B261" s="1124" t="s">
        <v>1558</v>
      </c>
    </row>
    <row r="262" spans="1:2">
      <c r="A262" s="1123">
        <v>3306</v>
      </c>
      <c r="B262" s="1124" t="s">
        <v>1559</v>
      </c>
    </row>
    <row r="263" spans="1:2">
      <c r="A263" s="1123" t="s">
        <v>1560</v>
      </c>
      <c r="B263" s="1124" t="s">
        <v>1561</v>
      </c>
    </row>
    <row r="264" spans="1:2">
      <c r="A264" s="1123" t="s">
        <v>1562</v>
      </c>
      <c r="B264" s="1124" t="s">
        <v>1563</v>
      </c>
    </row>
    <row r="265" spans="1:2">
      <c r="A265" s="1123">
        <v>3307</v>
      </c>
      <c r="B265" s="1124" t="s">
        <v>1564</v>
      </c>
    </row>
    <row r="266" spans="1:2">
      <c r="A266" s="1123" t="s">
        <v>1565</v>
      </c>
      <c r="B266" s="1124" t="s">
        <v>1566</v>
      </c>
    </row>
    <row r="267" spans="1:2">
      <c r="A267" s="1123" t="s">
        <v>1567</v>
      </c>
      <c r="B267" s="1124" t="s">
        <v>1568</v>
      </c>
    </row>
    <row r="268" spans="1:2">
      <c r="A268" s="1123">
        <v>3308</v>
      </c>
      <c r="B268" s="1124" t="s">
        <v>1569</v>
      </c>
    </row>
    <row r="269" spans="1:2">
      <c r="A269" s="1123" t="s">
        <v>1570</v>
      </c>
      <c r="B269" s="1124" t="s">
        <v>1571</v>
      </c>
    </row>
    <row r="270" spans="1:2">
      <c r="A270" s="1123" t="s">
        <v>1572</v>
      </c>
      <c r="B270" s="1124" t="s">
        <v>1573</v>
      </c>
    </row>
    <row r="271" spans="1:2">
      <c r="A271" s="1123">
        <v>331</v>
      </c>
      <c r="B271" s="1124" t="s">
        <v>1574</v>
      </c>
    </row>
    <row r="272" spans="1:2">
      <c r="A272" s="1123" t="s">
        <v>1575</v>
      </c>
      <c r="B272" s="1124" t="s">
        <v>1576</v>
      </c>
    </row>
    <row r="273" spans="1:2">
      <c r="A273" s="1123" t="s">
        <v>1577</v>
      </c>
      <c r="B273" s="1124" t="s">
        <v>1578</v>
      </c>
    </row>
    <row r="274" spans="1:2">
      <c r="A274" s="1123">
        <v>3312</v>
      </c>
      <c r="B274" s="1124" t="s">
        <v>1579</v>
      </c>
    </row>
    <row r="275" spans="1:2">
      <c r="A275" s="1123" t="s">
        <v>1580</v>
      </c>
      <c r="B275" s="1124" t="s">
        <v>1581</v>
      </c>
    </row>
    <row r="276" spans="1:2">
      <c r="A276" s="1123" t="s">
        <v>1582</v>
      </c>
      <c r="B276" s="1124" t="s">
        <v>1583</v>
      </c>
    </row>
    <row r="277" spans="1:2">
      <c r="A277" s="1123">
        <v>3313</v>
      </c>
      <c r="B277" s="1124" t="s">
        <v>1584</v>
      </c>
    </row>
    <row r="278" spans="1:2">
      <c r="A278" s="1123" t="s">
        <v>1585</v>
      </c>
      <c r="B278" s="1124" t="s">
        <v>1586</v>
      </c>
    </row>
    <row r="279" spans="1:2">
      <c r="A279" s="1123" t="s">
        <v>1587</v>
      </c>
      <c r="B279" s="1124" t="s">
        <v>1588</v>
      </c>
    </row>
    <row r="280" spans="1:2">
      <c r="A280" s="1123">
        <v>3314</v>
      </c>
      <c r="B280" s="1124" t="s">
        <v>1589</v>
      </c>
    </row>
    <row r="281" spans="1:2">
      <c r="A281" s="1123" t="s">
        <v>1590</v>
      </c>
      <c r="B281" s="1124" t="s">
        <v>1591</v>
      </c>
    </row>
    <row r="282" spans="1:2">
      <c r="A282" s="1123" t="s">
        <v>1592</v>
      </c>
      <c r="B282" s="1124" t="s">
        <v>1593</v>
      </c>
    </row>
    <row r="283" spans="1:2">
      <c r="A283" s="1123">
        <v>3315</v>
      </c>
      <c r="B283" s="1124" t="s">
        <v>1594</v>
      </c>
    </row>
    <row r="284" spans="1:2">
      <c r="A284" s="1123" t="s">
        <v>1595</v>
      </c>
      <c r="B284" s="1124" t="s">
        <v>1596</v>
      </c>
    </row>
    <row r="285" spans="1:2">
      <c r="A285" s="1123" t="s">
        <v>1597</v>
      </c>
      <c r="B285" s="1124" t="s">
        <v>1598</v>
      </c>
    </row>
    <row r="286" spans="1:2">
      <c r="A286" s="1123">
        <v>3316</v>
      </c>
      <c r="B286" s="1124" t="s">
        <v>1599</v>
      </c>
    </row>
    <row r="287" spans="1:2">
      <c r="A287" s="1123" t="s">
        <v>1600</v>
      </c>
      <c r="B287" s="1124" t="s">
        <v>1601</v>
      </c>
    </row>
    <row r="288" spans="1:2">
      <c r="A288" s="1123" t="s">
        <v>1602</v>
      </c>
      <c r="B288" s="1124" t="s">
        <v>1603</v>
      </c>
    </row>
    <row r="289" spans="1:2">
      <c r="A289" s="1123">
        <v>3317</v>
      </c>
      <c r="B289" s="1124" t="s">
        <v>1604</v>
      </c>
    </row>
    <row r="290" spans="1:2">
      <c r="A290" s="1123" t="s">
        <v>1605</v>
      </c>
      <c r="B290" s="1124" t="s">
        <v>1606</v>
      </c>
    </row>
    <row r="291" spans="1:2">
      <c r="A291" s="1123" t="s">
        <v>1607</v>
      </c>
      <c r="B291" s="1124" t="s">
        <v>1608</v>
      </c>
    </row>
    <row r="292" spans="1:2">
      <c r="A292" s="1123">
        <v>3318</v>
      </c>
      <c r="B292" s="1124" t="s">
        <v>1609</v>
      </c>
    </row>
    <row r="293" spans="1:2">
      <c r="A293" s="1123" t="s">
        <v>1610</v>
      </c>
      <c r="B293" s="1124" t="s">
        <v>1611</v>
      </c>
    </row>
    <row r="294" spans="1:2">
      <c r="A294" s="1123" t="s">
        <v>1612</v>
      </c>
      <c r="B294" s="1124" t="s">
        <v>1613</v>
      </c>
    </row>
    <row r="295" spans="1:2">
      <c r="A295" s="1123">
        <v>332</v>
      </c>
      <c r="B295" s="1124" t="s">
        <v>1614</v>
      </c>
    </row>
    <row r="296" spans="1:2">
      <c r="A296" s="1123" t="s">
        <v>1615</v>
      </c>
      <c r="B296" s="1124" t="s">
        <v>1616</v>
      </c>
    </row>
    <row r="297" spans="1:2">
      <c r="A297" s="1123" t="s">
        <v>1617</v>
      </c>
      <c r="B297" s="1124" t="s">
        <v>1618</v>
      </c>
    </row>
    <row r="298" spans="1:2">
      <c r="A298" s="1123">
        <v>3321</v>
      </c>
      <c r="B298" s="1124" t="s">
        <v>1619</v>
      </c>
    </row>
    <row r="299" spans="1:2">
      <c r="A299" s="1123">
        <v>3322</v>
      </c>
      <c r="B299" s="1124" t="s">
        <v>1620</v>
      </c>
    </row>
    <row r="300" spans="1:2">
      <c r="A300" s="1123" t="s">
        <v>1621</v>
      </c>
      <c r="B300" s="1124" t="s">
        <v>1622</v>
      </c>
    </row>
    <row r="301" spans="1:2">
      <c r="A301" s="1123" t="s">
        <v>1623</v>
      </c>
      <c r="B301" s="1124" t="s">
        <v>1624</v>
      </c>
    </row>
    <row r="302" spans="1:2">
      <c r="A302" s="1123">
        <v>3323</v>
      </c>
      <c r="B302" s="1124" t="s">
        <v>1625</v>
      </c>
    </row>
    <row r="303" spans="1:2">
      <c r="A303" s="1123" t="s">
        <v>1626</v>
      </c>
      <c r="B303" s="1124" t="s">
        <v>1627</v>
      </c>
    </row>
    <row r="304" spans="1:2">
      <c r="A304" s="1123" t="s">
        <v>1628</v>
      </c>
      <c r="B304" s="1124" t="s">
        <v>1629</v>
      </c>
    </row>
    <row r="305" spans="1:2">
      <c r="A305" s="1123">
        <v>3324</v>
      </c>
      <c r="B305" s="1124" t="s">
        <v>1630</v>
      </c>
    </row>
    <row r="306" spans="1:2">
      <c r="A306" s="1123" t="s">
        <v>1631</v>
      </c>
      <c r="B306" s="1124" t="s">
        <v>1632</v>
      </c>
    </row>
    <row r="307" spans="1:2">
      <c r="A307" s="1123" t="s">
        <v>1633</v>
      </c>
      <c r="B307" s="1124" t="s">
        <v>1634</v>
      </c>
    </row>
    <row r="308" spans="1:2">
      <c r="A308" s="1123">
        <v>3325</v>
      </c>
      <c r="B308" s="1124" t="s">
        <v>1635</v>
      </c>
    </row>
    <row r="309" spans="1:2">
      <c r="A309" s="1123" t="s">
        <v>1636</v>
      </c>
      <c r="B309" s="1124" t="s">
        <v>1637</v>
      </c>
    </row>
    <row r="310" spans="1:2">
      <c r="A310" s="1123" t="s">
        <v>1638</v>
      </c>
      <c r="B310" s="1124" t="s">
        <v>1639</v>
      </c>
    </row>
    <row r="311" spans="1:2">
      <c r="A311" s="1123">
        <v>3326</v>
      </c>
      <c r="B311" s="1124" t="s">
        <v>1640</v>
      </c>
    </row>
    <row r="312" spans="1:2">
      <c r="A312" s="1123" t="s">
        <v>1641</v>
      </c>
      <c r="B312" s="1124" t="s">
        <v>1642</v>
      </c>
    </row>
    <row r="313" spans="1:2">
      <c r="A313" s="1123" t="s">
        <v>1643</v>
      </c>
      <c r="B313" s="1124" t="s">
        <v>1644</v>
      </c>
    </row>
    <row r="314" spans="1:2">
      <c r="A314" s="1123">
        <v>3327</v>
      </c>
      <c r="B314" s="1124" t="s">
        <v>1645</v>
      </c>
    </row>
    <row r="315" spans="1:2">
      <c r="A315" s="1123" t="s">
        <v>1646</v>
      </c>
      <c r="B315" s="1124" t="s">
        <v>1647</v>
      </c>
    </row>
    <row r="316" spans="1:2">
      <c r="A316" s="1123" t="s">
        <v>1648</v>
      </c>
      <c r="B316" s="1124" t="s">
        <v>1649</v>
      </c>
    </row>
    <row r="317" spans="1:2">
      <c r="A317" s="1123">
        <v>3328</v>
      </c>
      <c r="B317" s="1124" t="s">
        <v>1650</v>
      </c>
    </row>
    <row r="318" spans="1:2">
      <c r="A318" s="1123" t="s">
        <v>1651</v>
      </c>
      <c r="B318" s="1124" t="s">
        <v>1652</v>
      </c>
    </row>
    <row r="319" spans="1:2">
      <c r="A319" s="1123" t="s">
        <v>1653</v>
      </c>
      <c r="B319" s="1124" t="s">
        <v>1654</v>
      </c>
    </row>
    <row r="320" spans="1:2">
      <c r="A320" s="1123" t="s">
        <v>1655</v>
      </c>
      <c r="B320" s="1124" t="s">
        <v>1656</v>
      </c>
    </row>
    <row r="321" spans="1:2">
      <c r="A321" s="1123" t="s">
        <v>1657</v>
      </c>
      <c r="B321" s="1124" t="s">
        <v>1658</v>
      </c>
    </row>
    <row r="322" spans="1:2">
      <c r="A322" s="1123" t="s">
        <v>1659</v>
      </c>
      <c r="B322" s="1124" t="s">
        <v>1660</v>
      </c>
    </row>
    <row r="323" spans="1:2">
      <c r="A323" s="1123" t="s">
        <v>1661</v>
      </c>
      <c r="B323" s="1124" t="s">
        <v>1662</v>
      </c>
    </row>
    <row r="324" spans="1:2">
      <c r="A324" s="1123" t="s">
        <v>1663</v>
      </c>
      <c r="B324" s="1124" t="s">
        <v>1664</v>
      </c>
    </row>
    <row r="325" spans="1:2">
      <c r="A325" s="1123" t="s">
        <v>1665</v>
      </c>
      <c r="B325" s="1124" t="s">
        <v>1666</v>
      </c>
    </row>
    <row r="326" spans="1:2">
      <c r="A326" s="1123" t="s">
        <v>1667</v>
      </c>
      <c r="B326" s="1124" t="s">
        <v>1668</v>
      </c>
    </row>
    <row r="327" spans="1:2">
      <c r="A327" s="1123">
        <v>4</v>
      </c>
      <c r="B327" s="1124" t="s">
        <v>1669</v>
      </c>
    </row>
    <row r="328" spans="1:2">
      <c r="A328" s="1123">
        <v>41</v>
      </c>
      <c r="B328" s="1124" t="s">
        <v>1670</v>
      </c>
    </row>
    <row r="329" spans="1:2">
      <c r="A329" s="1123">
        <v>411</v>
      </c>
      <c r="B329" s="1124" t="s">
        <v>1671</v>
      </c>
    </row>
    <row r="330" spans="1:2">
      <c r="A330" s="1123">
        <v>4111</v>
      </c>
      <c r="B330" s="1124" t="s">
        <v>1672</v>
      </c>
    </row>
    <row r="331" spans="1:2">
      <c r="A331" s="1123">
        <v>4112</v>
      </c>
      <c r="B331" s="1124" t="s">
        <v>1673</v>
      </c>
    </row>
    <row r="332" spans="1:2">
      <c r="A332" s="1123">
        <v>4113</v>
      </c>
      <c r="B332" s="1124" t="s">
        <v>1674</v>
      </c>
    </row>
    <row r="333" spans="1:2">
      <c r="A333" s="1123">
        <v>4114</v>
      </c>
      <c r="B333" s="1124" t="s">
        <v>1675</v>
      </c>
    </row>
    <row r="334" spans="1:2">
      <c r="A334" s="1123">
        <v>412</v>
      </c>
      <c r="B334" s="1124" t="s">
        <v>1676</v>
      </c>
    </row>
    <row r="335" spans="1:2">
      <c r="A335" s="1123">
        <v>413</v>
      </c>
      <c r="B335" s="1124" t="s">
        <v>1677</v>
      </c>
    </row>
    <row r="336" spans="1:2">
      <c r="A336" s="1123">
        <v>414</v>
      </c>
      <c r="B336" s="1124" t="s">
        <v>1678</v>
      </c>
    </row>
    <row r="337" spans="1:2">
      <c r="A337" s="1123">
        <v>4141</v>
      </c>
      <c r="B337" s="1124" t="s">
        <v>1679</v>
      </c>
    </row>
    <row r="338" spans="1:2">
      <c r="A338" s="1123">
        <v>4142</v>
      </c>
      <c r="B338" s="1124" t="s">
        <v>1680</v>
      </c>
    </row>
    <row r="339" spans="1:2">
      <c r="A339" s="1123">
        <v>4143</v>
      </c>
      <c r="B339" s="1124" t="s">
        <v>1681</v>
      </c>
    </row>
    <row r="340" spans="1:2">
      <c r="A340" s="1123">
        <v>4144</v>
      </c>
      <c r="B340" s="1124" t="s">
        <v>1682</v>
      </c>
    </row>
    <row r="341" spans="1:2">
      <c r="A341" s="1123">
        <v>42</v>
      </c>
      <c r="B341" s="1124" t="s">
        <v>1683</v>
      </c>
    </row>
    <row r="342" spans="1:2">
      <c r="A342" s="1123">
        <v>4201</v>
      </c>
      <c r="B342" s="1124" t="s">
        <v>1684</v>
      </c>
    </row>
    <row r="343" spans="1:2">
      <c r="A343" s="1123">
        <v>4202</v>
      </c>
      <c r="B343" s="1124" t="s">
        <v>1685</v>
      </c>
    </row>
    <row r="344" spans="1:2">
      <c r="A344" s="1123">
        <v>4203</v>
      </c>
      <c r="B344" s="1124" t="s">
        <v>1686</v>
      </c>
    </row>
    <row r="345" spans="1:2">
      <c r="A345" s="1123">
        <v>4204</v>
      </c>
      <c r="B345" s="1124" t="s">
        <v>1687</v>
      </c>
    </row>
    <row r="346" spans="1:2">
      <c r="A346" s="1123">
        <v>4205</v>
      </c>
      <c r="B346" s="1124" t="s">
        <v>1688</v>
      </c>
    </row>
    <row r="347" spans="1:2">
      <c r="A347" s="1123">
        <v>4206</v>
      </c>
      <c r="B347" s="1124" t="s">
        <v>1689</v>
      </c>
    </row>
    <row r="348" spans="1:2">
      <c r="A348" s="1123">
        <v>4207</v>
      </c>
      <c r="B348" s="1124" t="s">
        <v>1690</v>
      </c>
    </row>
    <row r="349" spans="1:2">
      <c r="A349" s="1123">
        <v>4208</v>
      </c>
      <c r="B349" s="1124" t="s">
        <v>1691</v>
      </c>
    </row>
    <row r="350" spans="1:2">
      <c r="A350" s="1123">
        <v>421</v>
      </c>
      <c r="B350" s="1124" t="s">
        <v>1692</v>
      </c>
    </row>
    <row r="351" spans="1:2">
      <c r="A351" s="1123">
        <v>4212</v>
      </c>
      <c r="B351" s="1124" t="s">
        <v>1693</v>
      </c>
    </row>
    <row r="352" spans="1:2">
      <c r="A352" s="1123">
        <v>4213</v>
      </c>
      <c r="B352" s="1124" t="s">
        <v>1694</v>
      </c>
    </row>
    <row r="353" spans="1:2">
      <c r="A353" s="1123">
        <v>4214</v>
      </c>
      <c r="B353" s="1124" t="s">
        <v>1695</v>
      </c>
    </row>
    <row r="354" spans="1:2">
      <c r="A354" s="1123">
        <v>4215</v>
      </c>
      <c r="B354" s="1124" t="s">
        <v>1696</v>
      </c>
    </row>
    <row r="355" spans="1:2">
      <c r="A355" s="1123">
        <v>4216</v>
      </c>
      <c r="B355" s="1124" t="s">
        <v>1697</v>
      </c>
    </row>
    <row r="356" spans="1:2">
      <c r="A356" s="1123">
        <v>4217</v>
      </c>
      <c r="B356" s="1124" t="s">
        <v>1698</v>
      </c>
    </row>
    <row r="357" spans="1:2">
      <c r="A357" s="1123">
        <v>4218</v>
      </c>
      <c r="B357" s="1124" t="s">
        <v>1699</v>
      </c>
    </row>
    <row r="358" spans="1:2">
      <c r="A358" s="1123">
        <v>422</v>
      </c>
      <c r="B358" s="1124" t="s">
        <v>1700</v>
      </c>
    </row>
    <row r="359" spans="1:2">
      <c r="A359" s="1123">
        <v>4221</v>
      </c>
      <c r="B359" s="1124" t="s">
        <v>1701</v>
      </c>
    </row>
    <row r="360" spans="1:2">
      <c r="A360" s="1123">
        <v>4222</v>
      </c>
      <c r="B360" s="1124" t="s">
        <v>1702</v>
      </c>
    </row>
    <row r="361" spans="1:2">
      <c r="A361" s="1123">
        <v>4223</v>
      </c>
      <c r="B361" s="1124" t="s">
        <v>1703</v>
      </c>
    </row>
    <row r="362" spans="1:2">
      <c r="A362" s="1123">
        <v>4224</v>
      </c>
      <c r="B362" s="1124" t="s">
        <v>1704</v>
      </c>
    </row>
    <row r="363" spans="1:2">
      <c r="A363" s="1123">
        <v>4225</v>
      </c>
      <c r="B363" s="1124" t="s">
        <v>1705</v>
      </c>
    </row>
    <row r="364" spans="1:2">
      <c r="A364" s="1123">
        <v>4226</v>
      </c>
      <c r="B364" s="1124" t="s">
        <v>1706</v>
      </c>
    </row>
    <row r="365" spans="1:2">
      <c r="A365" s="1123">
        <v>4227</v>
      </c>
      <c r="B365" s="1124" t="s">
        <v>1707</v>
      </c>
    </row>
    <row r="366" spans="1:2">
      <c r="A366" s="1123">
        <v>4228</v>
      </c>
      <c r="B366" s="1124" t="s">
        <v>1708</v>
      </c>
    </row>
    <row r="367" spans="1:2">
      <c r="A367" s="1123">
        <v>43</v>
      </c>
      <c r="B367" s="1124" t="s">
        <v>1709</v>
      </c>
    </row>
    <row r="368" spans="1:2">
      <c r="A368" s="1123">
        <v>4301</v>
      </c>
      <c r="B368" s="1124" t="s">
        <v>1710</v>
      </c>
    </row>
    <row r="369" spans="1:2">
      <c r="A369" s="1123">
        <v>4302</v>
      </c>
      <c r="B369" s="1124" t="s">
        <v>1711</v>
      </c>
    </row>
    <row r="370" spans="1:2">
      <c r="A370" s="1123">
        <v>4303</v>
      </c>
      <c r="B370" s="1124" t="s">
        <v>1712</v>
      </c>
    </row>
    <row r="371" spans="1:2">
      <c r="A371" s="1123">
        <v>4304</v>
      </c>
      <c r="B371" s="1124" t="s">
        <v>1713</v>
      </c>
    </row>
    <row r="372" spans="1:2">
      <c r="A372" s="1123">
        <v>4305</v>
      </c>
      <c r="B372" s="1124" t="s">
        <v>1714</v>
      </c>
    </row>
    <row r="373" spans="1:2">
      <c r="A373" s="1123">
        <v>4306</v>
      </c>
      <c r="B373" s="1124" t="s">
        <v>1715</v>
      </c>
    </row>
    <row r="374" spans="1:2">
      <c r="A374" s="1123">
        <v>4307</v>
      </c>
      <c r="B374" s="1124" t="s">
        <v>1716</v>
      </c>
    </row>
    <row r="375" spans="1:2">
      <c r="A375" s="1123">
        <v>4308</v>
      </c>
      <c r="B375" s="1124" t="s">
        <v>1717</v>
      </c>
    </row>
    <row r="376" spans="1:2">
      <c r="A376" s="1123">
        <v>431</v>
      </c>
      <c r="B376" s="1124" t="s">
        <v>1718</v>
      </c>
    </row>
    <row r="377" spans="1:2">
      <c r="A377" s="1123">
        <v>4312</v>
      </c>
      <c r="B377" s="1124" t="s">
        <v>1719</v>
      </c>
    </row>
    <row r="378" spans="1:2">
      <c r="A378" s="1123">
        <v>4313</v>
      </c>
      <c r="B378" s="1124" t="s">
        <v>1720</v>
      </c>
    </row>
    <row r="379" spans="1:2">
      <c r="A379" s="1123">
        <v>4314</v>
      </c>
      <c r="B379" s="1124" t="s">
        <v>1721</v>
      </c>
    </row>
    <row r="380" spans="1:2">
      <c r="A380" s="1123">
        <v>4315</v>
      </c>
      <c r="B380" s="1124" t="s">
        <v>1722</v>
      </c>
    </row>
    <row r="381" spans="1:2">
      <c r="A381" s="1123">
        <v>4316</v>
      </c>
      <c r="B381" s="1124" t="s">
        <v>1723</v>
      </c>
    </row>
    <row r="382" spans="1:2">
      <c r="A382" s="1123">
        <v>4317</v>
      </c>
      <c r="B382" s="1124" t="s">
        <v>1724</v>
      </c>
    </row>
    <row r="383" spans="1:2">
      <c r="A383" s="1123">
        <v>4318</v>
      </c>
      <c r="B383" s="1124" t="s">
        <v>1725</v>
      </c>
    </row>
    <row r="384" spans="1:2">
      <c r="A384" s="1123">
        <v>432</v>
      </c>
      <c r="B384" s="1124" t="s">
        <v>1726</v>
      </c>
    </row>
    <row r="385" spans="1:2">
      <c r="A385" s="1123">
        <v>4321</v>
      </c>
      <c r="B385" s="1124" t="s">
        <v>1727</v>
      </c>
    </row>
    <row r="386" spans="1:2">
      <c r="A386" s="1123">
        <v>4322</v>
      </c>
      <c r="B386" s="1124" t="s">
        <v>1728</v>
      </c>
    </row>
    <row r="387" spans="1:2">
      <c r="A387" s="1123">
        <v>4323</v>
      </c>
      <c r="B387" s="1124" t="s">
        <v>1729</v>
      </c>
    </row>
    <row r="388" spans="1:2">
      <c r="A388" s="1123">
        <v>4324</v>
      </c>
      <c r="B388" s="1124" t="s">
        <v>1730</v>
      </c>
    </row>
    <row r="389" spans="1:2">
      <c r="A389" s="1123">
        <v>4325</v>
      </c>
      <c r="B389" s="1124" t="s">
        <v>1731</v>
      </c>
    </row>
    <row r="390" spans="1:2">
      <c r="A390" s="1123">
        <v>4326</v>
      </c>
      <c r="B390" s="1124" t="s">
        <v>1732</v>
      </c>
    </row>
    <row r="391" spans="1:2">
      <c r="A391" s="1123">
        <v>4327</v>
      </c>
      <c r="B391" s="1124" t="s">
        <v>1733</v>
      </c>
    </row>
    <row r="392" spans="1:2">
      <c r="A392" s="1123">
        <v>4328</v>
      </c>
      <c r="B392" s="1124" t="s">
        <v>1734</v>
      </c>
    </row>
    <row r="393" spans="1:2">
      <c r="A393" s="1123" t="s">
        <v>1735</v>
      </c>
      <c r="B393" s="1124" t="s">
        <v>1736</v>
      </c>
    </row>
    <row r="394" spans="1:2">
      <c r="A394" s="1123">
        <v>5</v>
      </c>
      <c r="B394" s="1124" t="s">
        <v>1737</v>
      </c>
    </row>
    <row r="395" spans="1:2">
      <c r="A395" s="1123">
        <v>51</v>
      </c>
      <c r="B395" s="1124" t="s">
        <v>1738</v>
      </c>
    </row>
    <row r="396" spans="1:2">
      <c r="A396" s="1123">
        <v>511</v>
      </c>
      <c r="B396" s="1124" t="s">
        <v>1739</v>
      </c>
    </row>
    <row r="397" spans="1:2">
      <c r="A397" s="1123">
        <v>5111</v>
      </c>
      <c r="B397" s="1124" t="s">
        <v>1740</v>
      </c>
    </row>
    <row r="398" spans="1:2">
      <c r="A398" s="1123">
        <v>5112</v>
      </c>
      <c r="B398" s="1124" t="s">
        <v>1741</v>
      </c>
    </row>
    <row r="399" spans="1:2">
      <c r="A399" s="1123">
        <v>5113</v>
      </c>
      <c r="B399" s="1124" t="s">
        <v>1742</v>
      </c>
    </row>
    <row r="400" spans="1:2">
      <c r="A400" s="1123">
        <v>5114</v>
      </c>
      <c r="B400" s="1124" t="s">
        <v>1743</v>
      </c>
    </row>
    <row r="401" spans="1:2">
      <c r="A401" s="1123">
        <v>512</v>
      </c>
      <c r="B401" s="1124" t="s">
        <v>1744</v>
      </c>
    </row>
    <row r="402" spans="1:2">
      <c r="A402" s="1123">
        <v>513</v>
      </c>
      <c r="B402" s="1124" t="s">
        <v>1745</v>
      </c>
    </row>
    <row r="403" spans="1:2">
      <c r="A403" s="1123">
        <v>514</v>
      </c>
      <c r="B403" s="1124" t="s">
        <v>1746</v>
      </c>
    </row>
    <row r="404" spans="1:2">
      <c r="A404" s="1123">
        <v>5141</v>
      </c>
      <c r="B404" s="1124" t="s">
        <v>1747</v>
      </c>
    </row>
    <row r="405" spans="1:2">
      <c r="A405" s="1123">
        <v>5142</v>
      </c>
      <c r="B405" s="1124" t="s">
        <v>1748</v>
      </c>
    </row>
    <row r="406" spans="1:2">
      <c r="A406" s="1123">
        <v>5143</v>
      </c>
      <c r="B406" s="1124" t="s">
        <v>1749</v>
      </c>
    </row>
    <row r="407" spans="1:2">
      <c r="A407" s="1123">
        <v>5144</v>
      </c>
      <c r="B407" s="1124" t="s">
        <v>1750</v>
      </c>
    </row>
    <row r="408" spans="1:2">
      <c r="A408" s="1123">
        <v>52</v>
      </c>
      <c r="B408" s="1124" t="s">
        <v>1751</v>
      </c>
    </row>
    <row r="409" spans="1:2">
      <c r="A409" s="1123">
        <v>5201</v>
      </c>
      <c r="B409" s="1124" t="s">
        <v>1752</v>
      </c>
    </row>
    <row r="410" spans="1:2">
      <c r="A410" s="1123">
        <v>5202</v>
      </c>
      <c r="B410" s="1124" t="s">
        <v>1753</v>
      </c>
    </row>
    <row r="411" spans="1:2">
      <c r="A411" s="1123">
        <v>5203</v>
      </c>
      <c r="B411" s="1124" t="s">
        <v>1754</v>
      </c>
    </row>
    <row r="412" spans="1:2">
      <c r="A412" s="1123">
        <v>5204</v>
      </c>
      <c r="B412" s="1124" t="s">
        <v>1755</v>
      </c>
    </row>
    <row r="413" spans="1:2">
      <c r="A413" s="1123">
        <v>5205</v>
      </c>
      <c r="B413" s="1124" t="s">
        <v>1756</v>
      </c>
    </row>
    <row r="414" spans="1:2">
      <c r="A414" s="1123">
        <v>5206</v>
      </c>
      <c r="B414" s="1124" t="s">
        <v>1757</v>
      </c>
    </row>
    <row r="415" spans="1:2">
      <c r="A415" s="1123">
        <v>5207</v>
      </c>
      <c r="B415" s="1124" t="s">
        <v>1758</v>
      </c>
    </row>
    <row r="416" spans="1:2">
      <c r="A416" s="1123">
        <v>5208</v>
      </c>
      <c r="B416" s="1124" t="s">
        <v>1759</v>
      </c>
    </row>
    <row r="417" spans="1:2">
      <c r="A417" s="1123">
        <v>521</v>
      </c>
      <c r="B417" s="1124" t="s">
        <v>1760</v>
      </c>
    </row>
    <row r="418" spans="1:2">
      <c r="A418" s="1123">
        <v>5212</v>
      </c>
      <c r="B418" s="1124" t="s">
        <v>1761</v>
      </c>
    </row>
    <row r="419" spans="1:2">
      <c r="A419" s="1123">
        <v>5213</v>
      </c>
      <c r="B419" s="1124" t="s">
        <v>1762</v>
      </c>
    </row>
    <row r="420" spans="1:2">
      <c r="A420" s="1123">
        <v>5214</v>
      </c>
      <c r="B420" s="1124" t="s">
        <v>1763</v>
      </c>
    </row>
    <row r="421" spans="1:2">
      <c r="A421" s="1123">
        <v>5215</v>
      </c>
      <c r="B421" s="1124" t="s">
        <v>1764</v>
      </c>
    </row>
    <row r="422" spans="1:2">
      <c r="A422" s="1123">
        <v>5216</v>
      </c>
      <c r="B422" s="1124" t="s">
        <v>1765</v>
      </c>
    </row>
    <row r="423" spans="1:2">
      <c r="A423" s="1123">
        <v>5217</v>
      </c>
      <c r="B423" s="1124" t="s">
        <v>1766</v>
      </c>
    </row>
    <row r="424" spans="1:2">
      <c r="A424" s="1123">
        <v>5218</v>
      </c>
      <c r="B424" s="1124" t="s">
        <v>1767</v>
      </c>
    </row>
    <row r="425" spans="1:2">
      <c r="A425" s="1123">
        <v>522</v>
      </c>
      <c r="B425" s="1124" t="s">
        <v>1768</v>
      </c>
    </row>
    <row r="426" spans="1:2">
      <c r="A426" s="1123">
        <v>5221</v>
      </c>
      <c r="B426" s="1124" t="s">
        <v>1769</v>
      </c>
    </row>
    <row r="427" spans="1:2">
      <c r="A427" s="1123">
        <v>5222</v>
      </c>
      <c r="B427" s="1124" t="s">
        <v>1770</v>
      </c>
    </row>
    <row r="428" spans="1:2">
      <c r="A428" s="1123">
        <v>5223</v>
      </c>
      <c r="B428" s="1124" t="s">
        <v>1771</v>
      </c>
    </row>
    <row r="429" spans="1:2">
      <c r="A429" s="1123">
        <v>5224</v>
      </c>
      <c r="B429" s="1124" t="s">
        <v>1772</v>
      </c>
    </row>
    <row r="430" spans="1:2">
      <c r="A430" s="1123">
        <v>5225</v>
      </c>
      <c r="B430" s="1124" t="s">
        <v>1773</v>
      </c>
    </row>
    <row r="431" spans="1:2">
      <c r="A431" s="1123">
        <v>5226</v>
      </c>
      <c r="B431" s="1124" t="s">
        <v>1774</v>
      </c>
    </row>
    <row r="432" spans="1:2">
      <c r="A432" s="1123">
        <v>5227</v>
      </c>
      <c r="B432" s="1124" t="s">
        <v>1775</v>
      </c>
    </row>
    <row r="433" spans="1:2">
      <c r="A433" s="1123">
        <v>5228</v>
      </c>
      <c r="B433" s="1124" t="s">
        <v>1776</v>
      </c>
    </row>
    <row r="434" spans="1:2">
      <c r="A434" s="1123">
        <v>53</v>
      </c>
      <c r="B434" s="1124" t="s">
        <v>1777</v>
      </c>
    </row>
    <row r="435" spans="1:2">
      <c r="A435" s="1123">
        <v>5301</v>
      </c>
      <c r="B435" s="1124" t="s">
        <v>1778</v>
      </c>
    </row>
    <row r="436" spans="1:2">
      <c r="A436" s="1123">
        <v>5302</v>
      </c>
      <c r="B436" s="1124" t="s">
        <v>1779</v>
      </c>
    </row>
    <row r="437" spans="1:2">
      <c r="A437" s="1123">
        <v>5303</v>
      </c>
      <c r="B437" s="1124" t="s">
        <v>1780</v>
      </c>
    </row>
    <row r="438" spans="1:2">
      <c r="A438" s="1123">
        <v>5304</v>
      </c>
      <c r="B438" s="1124" t="s">
        <v>1781</v>
      </c>
    </row>
    <row r="439" spans="1:2">
      <c r="A439" s="1123">
        <v>5305</v>
      </c>
      <c r="B439" s="1124" t="s">
        <v>1782</v>
      </c>
    </row>
    <row r="440" spans="1:2">
      <c r="A440" s="1123">
        <v>5306</v>
      </c>
      <c r="B440" s="1124" t="s">
        <v>1783</v>
      </c>
    </row>
    <row r="441" spans="1:2">
      <c r="A441" s="1123">
        <v>5307</v>
      </c>
      <c r="B441" s="1124" t="s">
        <v>1784</v>
      </c>
    </row>
    <row r="442" spans="1:2">
      <c r="A442" s="1123">
        <v>5308</v>
      </c>
      <c r="B442" s="1124" t="s">
        <v>1785</v>
      </c>
    </row>
    <row r="443" spans="1:2">
      <c r="A443" s="1123">
        <v>531</v>
      </c>
      <c r="B443" s="1124" t="s">
        <v>1786</v>
      </c>
    </row>
    <row r="444" spans="1:2">
      <c r="A444" s="1123">
        <v>5312</v>
      </c>
      <c r="B444" s="1124" t="s">
        <v>1787</v>
      </c>
    </row>
    <row r="445" spans="1:2">
      <c r="A445" s="1123">
        <v>5313</v>
      </c>
      <c r="B445" s="1124" t="s">
        <v>1788</v>
      </c>
    </row>
    <row r="446" spans="1:2">
      <c r="A446" s="1123">
        <v>5314</v>
      </c>
      <c r="B446" s="1124" t="s">
        <v>1789</v>
      </c>
    </row>
    <row r="447" spans="1:2">
      <c r="A447" s="1123">
        <v>5315</v>
      </c>
      <c r="B447" s="1124" t="s">
        <v>1790</v>
      </c>
    </row>
    <row r="448" spans="1:2">
      <c r="A448" s="1123">
        <v>5316</v>
      </c>
      <c r="B448" s="1124" t="s">
        <v>1791</v>
      </c>
    </row>
    <row r="449" spans="1:2">
      <c r="A449" s="1123">
        <v>5317</v>
      </c>
      <c r="B449" s="1124" t="s">
        <v>1792</v>
      </c>
    </row>
    <row r="450" spans="1:2">
      <c r="A450" s="1123">
        <v>5318</v>
      </c>
      <c r="B450" s="1124" t="s">
        <v>1793</v>
      </c>
    </row>
    <row r="451" spans="1:2">
      <c r="A451" s="1123">
        <v>532</v>
      </c>
      <c r="B451" s="1124" t="s">
        <v>1794</v>
      </c>
    </row>
    <row r="452" spans="1:2">
      <c r="A452" s="1123">
        <v>5321</v>
      </c>
      <c r="B452" s="1124" t="s">
        <v>1795</v>
      </c>
    </row>
    <row r="453" spans="1:2">
      <c r="A453" s="1123">
        <v>5322</v>
      </c>
      <c r="B453" s="1124" t="s">
        <v>1796</v>
      </c>
    </row>
    <row r="454" spans="1:2">
      <c r="A454" s="1123">
        <v>5323</v>
      </c>
      <c r="B454" s="1124" t="s">
        <v>1797</v>
      </c>
    </row>
    <row r="455" spans="1:2">
      <c r="A455" s="1123">
        <v>5324</v>
      </c>
      <c r="B455" s="1124" t="s">
        <v>1798</v>
      </c>
    </row>
    <row r="456" spans="1:2">
      <c r="A456" s="1123">
        <v>5325</v>
      </c>
      <c r="B456" s="1124" t="s">
        <v>1799</v>
      </c>
    </row>
    <row r="457" spans="1:2">
      <c r="A457" s="1123">
        <v>5326</v>
      </c>
      <c r="B457" s="1124" t="s">
        <v>1800</v>
      </c>
    </row>
    <row r="458" spans="1:2">
      <c r="A458" s="1123">
        <v>5327</v>
      </c>
      <c r="B458" s="1124" t="s">
        <v>1801</v>
      </c>
    </row>
    <row r="459" spans="1:2">
      <c r="A459" s="1123">
        <v>5328</v>
      </c>
      <c r="B459" s="1124" t="s">
        <v>1802</v>
      </c>
    </row>
    <row r="460" spans="1:2">
      <c r="A460" s="1123" t="s">
        <v>1803</v>
      </c>
      <c r="B460" s="1124" t="s">
        <v>1804</v>
      </c>
    </row>
    <row r="461" spans="1:2">
      <c r="A461" s="1123">
        <v>6</v>
      </c>
      <c r="B461" s="1124" t="s">
        <v>1805</v>
      </c>
    </row>
    <row r="462" spans="1:2">
      <c r="A462" s="1123">
        <v>61</v>
      </c>
      <c r="B462" s="1124" t="s">
        <v>1806</v>
      </c>
    </row>
    <row r="463" spans="1:2">
      <c r="A463" s="1123">
        <v>611</v>
      </c>
      <c r="B463" s="1124" t="s">
        <v>1807</v>
      </c>
    </row>
    <row r="464" spans="1:2">
      <c r="A464" s="1123">
        <v>6111</v>
      </c>
      <c r="B464" s="1124" t="s">
        <v>1808</v>
      </c>
    </row>
    <row r="465" spans="1:2">
      <c r="A465" s="1123">
        <v>6112</v>
      </c>
      <c r="B465" s="1124" t="s">
        <v>1809</v>
      </c>
    </row>
    <row r="466" spans="1:2">
      <c r="A466" s="1123">
        <v>6113</v>
      </c>
      <c r="B466" s="1124" t="s">
        <v>1810</v>
      </c>
    </row>
    <row r="467" spans="1:2">
      <c r="A467" s="1123">
        <v>6114</v>
      </c>
      <c r="B467" s="1124" t="s">
        <v>1811</v>
      </c>
    </row>
    <row r="468" spans="1:2">
      <c r="A468" s="1123">
        <v>612</v>
      </c>
      <c r="B468" s="1124" t="s">
        <v>1812</v>
      </c>
    </row>
    <row r="469" spans="1:2">
      <c r="A469" s="1123">
        <v>613</v>
      </c>
      <c r="B469" s="1124" t="s">
        <v>1813</v>
      </c>
    </row>
    <row r="470" spans="1:2">
      <c r="A470" s="1123">
        <v>614</v>
      </c>
      <c r="B470" s="1124" t="s">
        <v>1814</v>
      </c>
    </row>
    <row r="471" spans="1:2">
      <c r="A471" s="1123">
        <v>6141</v>
      </c>
      <c r="B471" s="1124" t="s">
        <v>1815</v>
      </c>
    </row>
    <row r="472" spans="1:2">
      <c r="A472" s="1123">
        <v>6142</v>
      </c>
      <c r="B472" s="1124" t="s">
        <v>1816</v>
      </c>
    </row>
    <row r="473" spans="1:2">
      <c r="A473" s="1123">
        <v>6143</v>
      </c>
      <c r="B473" s="1124" t="s">
        <v>1817</v>
      </c>
    </row>
    <row r="474" spans="1:2">
      <c r="A474" s="1123">
        <v>6144</v>
      </c>
      <c r="B474" s="1124" t="s">
        <v>1818</v>
      </c>
    </row>
    <row r="475" spans="1:2">
      <c r="A475" s="1123">
        <v>62</v>
      </c>
      <c r="B475" s="1124" t="s">
        <v>1819</v>
      </c>
    </row>
    <row r="476" spans="1:2">
      <c r="A476" s="1123">
        <v>6201</v>
      </c>
      <c r="B476" s="1124" t="s">
        <v>1820</v>
      </c>
    </row>
    <row r="477" spans="1:2">
      <c r="A477" s="1123">
        <v>6202</v>
      </c>
      <c r="B477" s="1124" t="s">
        <v>1821</v>
      </c>
    </row>
    <row r="478" spans="1:2">
      <c r="A478" s="1123">
        <v>6203</v>
      </c>
      <c r="B478" s="1124" t="s">
        <v>1822</v>
      </c>
    </row>
    <row r="479" spans="1:2">
      <c r="A479" s="1123">
        <v>6204</v>
      </c>
      <c r="B479" s="1124" t="s">
        <v>1823</v>
      </c>
    </row>
    <row r="480" spans="1:2">
      <c r="A480" s="1123">
        <v>6205</v>
      </c>
      <c r="B480" s="1124" t="s">
        <v>1824</v>
      </c>
    </row>
    <row r="481" spans="1:2">
      <c r="A481" s="1123">
        <v>6206</v>
      </c>
      <c r="B481" s="1124" t="s">
        <v>1825</v>
      </c>
    </row>
    <row r="482" spans="1:2">
      <c r="A482" s="1123">
        <v>6207</v>
      </c>
      <c r="B482" s="1124" t="s">
        <v>1826</v>
      </c>
    </row>
    <row r="483" spans="1:2">
      <c r="A483" s="1123">
        <v>6208</v>
      </c>
      <c r="B483" s="1124" t="s">
        <v>1827</v>
      </c>
    </row>
    <row r="484" spans="1:2">
      <c r="A484" s="1123">
        <v>621</v>
      </c>
      <c r="B484" s="1124" t="s">
        <v>1828</v>
      </c>
    </row>
    <row r="485" spans="1:2">
      <c r="A485" s="1123">
        <v>6212</v>
      </c>
      <c r="B485" s="1124" t="s">
        <v>1829</v>
      </c>
    </row>
    <row r="486" spans="1:2">
      <c r="A486" s="1123">
        <v>6213</v>
      </c>
      <c r="B486" s="1124" t="s">
        <v>1830</v>
      </c>
    </row>
    <row r="487" spans="1:2">
      <c r="A487" s="1123">
        <v>6214</v>
      </c>
      <c r="B487" s="1124" t="s">
        <v>1831</v>
      </c>
    </row>
    <row r="488" spans="1:2">
      <c r="A488" s="1123">
        <v>6215</v>
      </c>
      <c r="B488" s="1124" t="s">
        <v>1832</v>
      </c>
    </row>
    <row r="489" spans="1:2">
      <c r="A489" s="1123">
        <v>6216</v>
      </c>
      <c r="B489" s="1124" t="s">
        <v>1833</v>
      </c>
    </row>
    <row r="490" spans="1:2">
      <c r="A490" s="1123">
        <v>6217</v>
      </c>
      <c r="B490" s="1124" t="s">
        <v>1834</v>
      </c>
    </row>
    <row r="491" spans="1:2">
      <c r="A491" s="1123">
        <v>6218</v>
      </c>
      <c r="B491" s="1124" t="s">
        <v>1835</v>
      </c>
    </row>
    <row r="492" spans="1:2">
      <c r="A492" s="1123">
        <v>622</v>
      </c>
      <c r="B492" s="1124" t="s">
        <v>1836</v>
      </c>
    </row>
    <row r="493" spans="1:2">
      <c r="A493" s="1123">
        <v>6221</v>
      </c>
      <c r="B493" s="1124" t="s">
        <v>1837</v>
      </c>
    </row>
    <row r="494" spans="1:2">
      <c r="A494" s="1123">
        <v>6222</v>
      </c>
      <c r="B494" s="1124" t="s">
        <v>1838</v>
      </c>
    </row>
    <row r="495" spans="1:2">
      <c r="A495" s="1123">
        <v>6223</v>
      </c>
      <c r="B495" s="1124" t="s">
        <v>1839</v>
      </c>
    </row>
    <row r="496" spans="1:2">
      <c r="A496" s="1123">
        <v>6224</v>
      </c>
      <c r="B496" s="1124" t="s">
        <v>1840</v>
      </c>
    </row>
    <row r="497" spans="1:2">
      <c r="A497" s="1123">
        <v>6225</v>
      </c>
      <c r="B497" s="1124" t="s">
        <v>1841</v>
      </c>
    </row>
    <row r="498" spans="1:2">
      <c r="A498" s="1123">
        <v>6226</v>
      </c>
      <c r="B498" s="1124" t="s">
        <v>1842</v>
      </c>
    </row>
    <row r="499" spans="1:2">
      <c r="A499" s="1123">
        <v>6227</v>
      </c>
      <c r="B499" s="1124" t="s">
        <v>1843</v>
      </c>
    </row>
    <row r="500" spans="1:2">
      <c r="A500" s="1123">
        <v>6228</v>
      </c>
      <c r="B500" s="1124" t="s">
        <v>1844</v>
      </c>
    </row>
    <row r="501" spans="1:2">
      <c r="A501" s="1123">
        <v>63</v>
      </c>
      <c r="B501" s="1124" t="s">
        <v>1845</v>
      </c>
    </row>
    <row r="502" spans="1:2">
      <c r="A502" s="1123">
        <v>6301</v>
      </c>
      <c r="B502" s="1124" t="s">
        <v>1846</v>
      </c>
    </row>
    <row r="503" spans="1:2">
      <c r="A503" s="1123">
        <v>6302</v>
      </c>
      <c r="B503" s="1124" t="s">
        <v>1847</v>
      </c>
    </row>
    <row r="504" spans="1:2">
      <c r="A504" s="1123">
        <v>6303</v>
      </c>
      <c r="B504" s="1124" t="s">
        <v>1848</v>
      </c>
    </row>
    <row r="505" spans="1:2">
      <c r="A505" s="1123">
        <v>6304</v>
      </c>
      <c r="B505" s="1124" t="s">
        <v>1849</v>
      </c>
    </row>
    <row r="506" spans="1:2">
      <c r="A506" s="1123">
        <v>6305</v>
      </c>
      <c r="B506" s="1124" t="s">
        <v>1850</v>
      </c>
    </row>
    <row r="507" spans="1:2">
      <c r="A507" s="1123">
        <v>6306</v>
      </c>
      <c r="B507" s="1124" t="s">
        <v>1851</v>
      </c>
    </row>
    <row r="508" spans="1:2">
      <c r="A508" s="1123">
        <v>6307</v>
      </c>
      <c r="B508" s="1124" t="s">
        <v>1852</v>
      </c>
    </row>
    <row r="509" spans="1:2">
      <c r="A509" s="1123">
        <v>6308</v>
      </c>
      <c r="B509" s="1124" t="s">
        <v>1853</v>
      </c>
    </row>
    <row r="510" spans="1:2">
      <c r="A510" s="1123">
        <v>631</v>
      </c>
      <c r="B510" s="1124" t="s">
        <v>1854</v>
      </c>
    </row>
    <row r="511" spans="1:2">
      <c r="A511" s="1123">
        <v>6312</v>
      </c>
      <c r="B511" s="1124" t="s">
        <v>1855</v>
      </c>
    </row>
    <row r="512" spans="1:2">
      <c r="A512" s="1123">
        <v>6313</v>
      </c>
      <c r="B512" s="1124" t="s">
        <v>1856</v>
      </c>
    </row>
    <row r="513" spans="1:2">
      <c r="A513" s="1123">
        <v>6314</v>
      </c>
      <c r="B513" s="1124" t="s">
        <v>1857</v>
      </c>
    </row>
    <row r="514" spans="1:2">
      <c r="A514" s="1123">
        <v>6315</v>
      </c>
      <c r="B514" s="1124" t="s">
        <v>1858</v>
      </c>
    </row>
    <row r="515" spans="1:2">
      <c r="A515" s="1123">
        <v>6316</v>
      </c>
      <c r="B515" s="1124" t="s">
        <v>1859</v>
      </c>
    </row>
    <row r="516" spans="1:2">
      <c r="A516" s="1123">
        <v>6317</v>
      </c>
      <c r="B516" s="1124" t="s">
        <v>1860</v>
      </c>
    </row>
    <row r="517" spans="1:2">
      <c r="A517" s="1123">
        <v>6318</v>
      </c>
      <c r="B517" s="1124" t="s">
        <v>1861</v>
      </c>
    </row>
    <row r="518" spans="1:2">
      <c r="A518" s="1123">
        <v>632</v>
      </c>
      <c r="B518" s="1124" t="s">
        <v>1862</v>
      </c>
    </row>
    <row r="519" spans="1:2">
      <c r="A519" s="1123">
        <v>6321</v>
      </c>
      <c r="B519" s="1124" t="s">
        <v>1863</v>
      </c>
    </row>
    <row r="520" spans="1:2">
      <c r="A520" s="1123">
        <v>6322</v>
      </c>
      <c r="B520" s="1124" t="s">
        <v>1864</v>
      </c>
    </row>
    <row r="521" spans="1:2">
      <c r="A521" s="1123">
        <v>6323</v>
      </c>
      <c r="B521" s="1124" t="s">
        <v>1865</v>
      </c>
    </row>
    <row r="522" spans="1:2">
      <c r="A522" s="1123">
        <v>6324</v>
      </c>
      <c r="B522" s="1124" t="s">
        <v>1866</v>
      </c>
    </row>
    <row r="523" spans="1:2">
      <c r="A523" s="1123">
        <v>6325</v>
      </c>
      <c r="B523" s="1124" t="s">
        <v>1867</v>
      </c>
    </row>
    <row r="524" spans="1:2">
      <c r="A524" s="1123">
        <v>6326</v>
      </c>
      <c r="B524" s="1124" t="s">
        <v>1868</v>
      </c>
    </row>
    <row r="525" spans="1:2">
      <c r="A525" s="1123">
        <v>6327</v>
      </c>
      <c r="B525" s="1124" t="s">
        <v>1869</v>
      </c>
    </row>
    <row r="526" spans="1:2">
      <c r="A526" s="1123">
        <v>6328</v>
      </c>
      <c r="B526" s="1124" t="s">
        <v>1870</v>
      </c>
    </row>
    <row r="527" spans="1:2">
      <c r="A527" s="1123" t="s">
        <v>1871</v>
      </c>
      <c r="B527" s="1124" t="s">
        <v>1872</v>
      </c>
    </row>
    <row r="528" spans="1:2">
      <c r="A528" s="1123" t="s">
        <v>1873</v>
      </c>
      <c r="B528" s="1124" t="s">
        <v>1874</v>
      </c>
    </row>
    <row r="529" spans="1:2">
      <c r="A529" s="1123" t="s">
        <v>1875</v>
      </c>
      <c r="B529" s="1124" t="s">
        <v>1876</v>
      </c>
    </row>
    <row r="530" spans="1:2">
      <c r="A530" s="1123" t="s">
        <v>1877</v>
      </c>
      <c r="B530" s="1124" t="s">
        <v>1878</v>
      </c>
    </row>
    <row r="531" spans="1:2">
      <c r="A531" s="1123" t="s">
        <v>1879</v>
      </c>
      <c r="B531" s="1124" t="s">
        <v>1880</v>
      </c>
    </row>
    <row r="532" spans="1:2">
      <c r="A532" s="1123" t="s">
        <v>1881</v>
      </c>
      <c r="B532" s="1124" t="s">
        <v>1882</v>
      </c>
    </row>
    <row r="533" spans="1:2">
      <c r="A533" s="1123" t="s">
        <v>1883</v>
      </c>
      <c r="B533" s="1124" t="s">
        <v>1884</v>
      </c>
    </row>
    <row r="534" spans="1:2">
      <c r="A534" s="1123">
        <v>7</v>
      </c>
      <c r="B534" s="1124" t="s">
        <v>1885</v>
      </c>
    </row>
    <row r="535" spans="1:2">
      <c r="A535" s="1123">
        <v>701</v>
      </c>
      <c r="B535" s="1124" t="s">
        <v>1886</v>
      </c>
    </row>
    <row r="536" spans="1:2">
      <c r="A536" s="1123">
        <v>7011</v>
      </c>
      <c r="B536" s="1124" t="s">
        <v>1887</v>
      </c>
    </row>
    <row r="537" spans="1:2">
      <c r="A537" s="1123">
        <v>7012</v>
      </c>
      <c r="B537" s="1124" t="s">
        <v>1888</v>
      </c>
    </row>
    <row r="538" spans="1:2">
      <c r="A538" s="1123">
        <v>7013</v>
      </c>
      <c r="B538" s="1124" t="s">
        <v>1889</v>
      </c>
    </row>
    <row r="539" spans="1:2">
      <c r="A539" s="1123">
        <v>7014</v>
      </c>
      <c r="B539" s="1124" t="s">
        <v>1890</v>
      </c>
    </row>
    <row r="540" spans="1:2">
      <c r="A540" s="1123">
        <v>7015</v>
      </c>
      <c r="B540" s="1124" t="s">
        <v>1891</v>
      </c>
    </row>
    <row r="541" spans="1:2">
      <c r="A541" s="1123">
        <v>7016</v>
      </c>
      <c r="B541" s="1124" t="s">
        <v>1892</v>
      </c>
    </row>
    <row r="542" spans="1:2">
      <c r="A542" s="1123">
        <v>7017</v>
      </c>
      <c r="B542" s="1124" t="s">
        <v>1893</v>
      </c>
    </row>
    <row r="543" spans="1:2">
      <c r="A543" s="1123">
        <v>7018</v>
      </c>
      <c r="B543" s="1124" t="s">
        <v>1894</v>
      </c>
    </row>
    <row r="544" spans="1:2">
      <c r="A544" s="1123">
        <v>702</v>
      </c>
      <c r="B544" s="1124" t="s">
        <v>1895</v>
      </c>
    </row>
    <row r="545" spans="1:2">
      <c r="A545" s="1123">
        <v>7021</v>
      </c>
      <c r="B545" s="1124" t="s">
        <v>1896</v>
      </c>
    </row>
    <row r="546" spans="1:2">
      <c r="A546" s="1123">
        <v>7022</v>
      </c>
      <c r="B546" s="1124" t="s">
        <v>1897</v>
      </c>
    </row>
    <row r="547" spans="1:2">
      <c r="A547" s="1123">
        <v>7023</v>
      </c>
      <c r="B547" s="1124" t="s">
        <v>1898</v>
      </c>
    </row>
    <row r="548" spans="1:2">
      <c r="A548" s="1123">
        <v>7024</v>
      </c>
      <c r="B548" s="1124" t="s">
        <v>1899</v>
      </c>
    </row>
    <row r="549" spans="1:2">
      <c r="A549" s="1123">
        <v>7025</v>
      </c>
      <c r="B549" s="1124" t="s">
        <v>1900</v>
      </c>
    </row>
    <row r="550" spans="1:2">
      <c r="A550" s="1123">
        <v>703</v>
      </c>
      <c r="B550" s="1124" t="s">
        <v>1901</v>
      </c>
    </row>
    <row r="551" spans="1:2">
      <c r="A551" s="1123">
        <v>7031</v>
      </c>
      <c r="B551" s="1124" t="s">
        <v>1902</v>
      </c>
    </row>
    <row r="552" spans="1:2">
      <c r="A552" s="1123">
        <v>7032</v>
      </c>
      <c r="B552" s="1124" t="s">
        <v>1903</v>
      </c>
    </row>
    <row r="553" spans="1:2">
      <c r="A553" s="1123">
        <v>7033</v>
      </c>
      <c r="B553" s="1124" t="s">
        <v>1904</v>
      </c>
    </row>
    <row r="554" spans="1:2">
      <c r="A554" s="1123">
        <v>7034</v>
      </c>
      <c r="B554" s="1124" t="s">
        <v>1905</v>
      </c>
    </row>
    <row r="555" spans="1:2">
      <c r="A555" s="1123">
        <v>7035</v>
      </c>
      <c r="B555" s="1124" t="s">
        <v>1906</v>
      </c>
    </row>
    <row r="556" spans="1:2">
      <c r="A556" s="1123">
        <v>7036</v>
      </c>
      <c r="B556" s="1124" t="s">
        <v>1907</v>
      </c>
    </row>
    <row r="557" spans="1:2">
      <c r="A557" s="1123">
        <v>704</v>
      </c>
      <c r="B557" s="1124" t="s">
        <v>1908</v>
      </c>
    </row>
    <row r="558" spans="1:2">
      <c r="A558" s="1123">
        <v>7041</v>
      </c>
      <c r="B558" s="1124" t="s">
        <v>1909</v>
      </c>
    </row>
    <row r="559" spans="1:2">
      <c r="A559" s="1123">
        <v>7042</v>
      </c>
      <c r="B559" s="1124" t="s">
        <v>1910</v>
      </c>
    </row>
    <row r="560" spans="1:2">
      <c r="A560" s="1123">
        <v>7043</v>
      </c>
      <c r="B560" s="1124" t="s">
        <v>1911</v>
      </c>
    </row>
    <row r="561" spans="1:2">
      <c r="A561" s="1123">
        <v>7044</v>
      </c>
      <c r="B561" s="1124" t="s">
        <v>1912</v>
      </c>
    </row>
    <row r="562" spans="1:2">
      <c r="A562" s="1123">
        <v>7045</v>
      </c>
      <c r="B562" s="1124" t="s">
        <v>1913</v>
      </c>
    </row>
    <row r="563" spans="1:2">
      <c r="A563" s="1123">
        <v>7046</v>
      </c>
      <c r="B563" s="1124" t="s">
        <v>1914</v>
      </c>
    </row>
    <row r="564" spans="1:2">
      <c r="A564" s="1123">
        <v>7047</v>
      </c>
      <c r="B564" s="1124" t="s">
        <v>1915</v>
      </c>
    </row>
    <row r="565" spans="1:2">
      <c r="A565" s="1123">
        <v>7048</v>
      </c>
      <c r="B565" s="1124" t="s">
        <v>1916</v>
      </c>
    </row>
    <row r="566" spans="1:2">
      <c r="A566" s="1123">
        <v>7049</v>
      </c>
      <c r="B566" s="1124" t="s">
        <v>1917</v>
      </c>
    </row>
    <row r="567" spans="1:2">
      <c r="A567" s="1123">
        <v>705</v>
      </c>
      <c r="B567" s="1124" t="s">
        <v>1918</v>
      </c>
    </row>
    <row r="568" spans="1:2">
      <c r="A568" s="1123">
        <v>7051</v>
      </c>
      <c r="B568" s="1124" t="s">
        <v>1919</v>
      </c>
    </row>
    <row r="569" spans="1:2">
      <c r="A569" s="1123">
        <v>7052</v>
      </c>
      <c r="B569" s="1124" t="s">
        <v>1920</v>
      </c>
    </row>
    <row r="570" spans="1:2">
      <c r="A570" s="1123">
        <v>7053</v>
      </c>
      <c r="B570" s="1124" t="s">
        <v>1921</v>
      </c>
    </row>
    <row r="571" spans="1:2">
      <c r="A571" s="1123">
        <v>7054</v>
      </c>
      <c r="B571" s="1124" t="s">
        <v>1922</v>
      </c>
    </row>
    <row r="572" spans="1:2">
      <c r="A572" s="1123">
        <v>7055</v>
      </c>
      <c r="B572" s="1124" t="s">
        <v>1923</v>
      </c>
    </row>
    <row r="573" spans="1:2">
      <c r="A573" s="1123">
        <v>7056</v>
      </c>
      <c r="B573" s="1124" t="s">
        <v>1924</v>
      </c>
    </row>
    <row r="574" spans="1:2">
      <c r="A574" s="1123">
        <v>706</v>
      </c>
      <c r="B574" s="1124" t="s">
        <v>1925</v>
      </c>
    </row>
    <row r="575" spans="1:2">
      <c r="A575" s="1123">
        <v>7061</v>
      </c>
      <c r="B575" s="1124" t="s">
        <v>1926</v>
      </c>
    </row>
    <row r="576" spans="1:2">
      <c r="A576" s="1123">
        <v>7062</v>
      </c>
      <c r="B576" s="1124" t="s">
        <v>1927</v>
      </c>
    </row>
    <row r="577" spans="1:2">
      <c r="A577" s="1123">
        <v>7063</v>
      </c>
      <c r="B577" s="1124" t="s">
        <v>1928</v>
      </c>
    </row>
    <row r="578" spans="1:2">
      <c r="A578" s="1123">
        <v>7064</v>
      </c>
      <c r="B578" s="1124" t="s">
        <v>1929</v>
      </c>
    </row>
    <row r="579" spans="1:2">
      <c r="A579" s="1123">
        <v>7065</v>
      </c>
      <c r="B579" s="1124" t="s">
        <v>1930</v>
      </c>
    </row>
    <row r="580" spans="1:2">
      <c r="A580" s="1123">
        <v>7066</v>
      </c>
      <c r="B580" s="1124" t="s">
        <v>1931</v>
      </c>
    </row>
    <row r="581" spans="1:2">
      <c r="A581" s="1123">
        <v>707</v>
      </c>
      <c r="B581" s="1124" t="s">
        <v>1932</v>
      </c>
    </row>
    <row r="582" spans="1:2">
      <c r="A582" s="1123">
        <v>7071</v>
      </c>
      <c r="B582" s="1124" t="s">
        <v>1933</v>
      </c>
    </row>
    <row r="583" spans="1:2">
      <c r="A583" s="1123">
        <v>7072</v>
      </c>
      <c r="B583" s="1124" t="s">
        <v>1934</v>
      </c>
    </row>
    <row r="584" spans="1:2">
      <c r="A584" s="1123">
        <v>7073</v>
      </c>
      <c r="B584" s="1124" t="s">
        <v>1935</v>
      </c>
    </row>
    <row r="585" spans="1:2">
      <c r="A585" s="1123">
        <v>7074</v>
      </c>
      <c r="B585" s="1124" t="s">
        <v>1936</v>
      </c>
    </row>
    <row r="586" spans="1:2">
      <c r="A586" s="1123">
        <v>7075</v>
      </c>
      <c r="B586" s="1124" t="s">
        <v>1937</v>
      </c>
    </row>
    <row r="587" spans="1:2">
      <c r="A587" s="1123">
        <v>7076</v>
      </c>
      <c r="B587" s="1124" t="s">
        <v>1938</v>
      </c>
    </row>
    <row r="588" spans="1:2">
      <c r="A588" s="1123">
        <v>708</v>
      </c>
      <c r="B588" s="1124" t="s">
        <v>1939</v>
      </c>
    </row>
    <row r="589" spans="1:2">
      <c r="A589" s="1123">
        <v>7081</v>
      </c>
      <c r="B589" s="1124" t="s">
        <v>1940</v>
      </c>
    </row>
    <row r="590" spans="1:2">
      <c r="A590" s="1123">
        <v>7082</v>
      </c>
      <c r="B590" s="1124" t="s">
        <v>1941</v>
      </c>
    </row>
    <row r="591" spans="1:2">
      <c r="A591" s="1123">
        <v>7083</v>
      </c>
      <c r="B591" s="1124" t="s">
        <v>1942</v>
      </c>
    </row>
    <row r="592" spans="1:2">
      <c r="A592" s="1123">
        <v>7084</v>
      </c>
      <c r="B592" s="1124" t="s">
        <v>1943</v>
      </c>
    </row>
    <row r="593" spans="1:2">
      <c r="A593" s="1123">
        <v>7085</v>
      </c>
      <c r="B593" s="1124" t="s">
        <v>1944</v>
      </c>
    </row>
    <row r="594" spans="1:2">
      <c r="A594" s="1123">
        <v>7086</v>
      </c>
      <c r="B594" s="1124" t="s">
        <v>1945</v>
      </c>
    </row>
    <row r="595" spans="1:2">
      <c r="A595" s="1123">
        <v>709</v>
      </c>
      <c r="B595" s="1124" t="s">
        <v>1946</v>
      </c>
    </row>
    <row r="596" spans="1:2">
      <c r="A596" s="1123">
        <v>7091</v>
      </c>
      <c r="B596" s="1124" t="s">
        <v>1947</v>
      </c>
    </row>
    <row r="597" spans="1:2">
      <c r="A597" s="1123">
        <v>7092</v>
      </c>
      <c r="B597" s="1124" t="s">
        <v>1948</v>
      </c>
    </row>
    <row r="598" spans="1:2">
      <c r="A598" s="1123">
        <v>7093</v>
      </c>
      <c r="B598" s="1124" t="s">
        <v>1949</v>
      </c>
    </row>
    <row r="599" spans="1:2">
      <c r="A599" s="1123">
        <v>7094</v>
      </c>
      <c r="B599" s="1124" t="s">
        <v>1950</v>
      </c>
    </row>
    <row r="600" spans="1:2">
      <c r="A600" s="1123">
        <v>7095</v>
      </c>
      <c r="B600" s="1124" t="s">
        <v>1951</v>
      </c>
    </row>
    <row r="601" spans="1:2">
      <c r="A601" s="1123">
        <v>7096</v>
      </c>
      <c r="B601" s="1124" t="s">
        <v>1952</v>
      </c>
    </row>
    <row r="602" spans="1:2">
      <c r="A602" s="1123">
        <v>7097</v>
      </c>
      <c r="B602" s="1124" t="s">
        <v>1953</v>
      </c>
    </row>
    <row r="603" spans="1:2">
      <c r="A603" s="1123">
        <v>7098</v>
      </c>
      <c r="B603" s="1124" t="s">
        <v>1954</v>
      </c>
    </row>
    <row r="604" spans="1:2">
      <c r="A604" s="1123">
        <v>710</v>
      </c>
      <c r="B604" s="1124" t="s">
        <v>1955</v>
      </c>
    </row>
    <row r="605" spans="1:2">
      <c r="A605" s="1123">
        <v>7101</v>
      </c>
      <c r="B605" s="1124" t="s">
        <v>1956</v>
      </c>
    </row>
    <row r="606" spans="1:2">
      <c r="A606" s="1123">
        <v>7102</v>
      </c>
      <c r="B606" s="1124" t="s">
        <v>1957</v>
      </c>
    </row>
    <row r="607" spans="1:2">
      <c r="A607" s="1123">
        <v>7103</v>
      </c>
      <c r="B607" s="1124" t="s">
        <v>1958</v>
      </c>
    </row>
    <row r="608" spans="1:2">
      <c r="A608" s="1123">
        <v>7104</v>
      </c>
      <c r="B608" s="1124" t="s">
        <v>1959</v>
      </c>
    </row>
    <row r="609" spans="1:2">
      <c r="A609" s="1123">
        <v>7105</v>
      </c>
      <c r="B609" s="1124" t="s">
        <v>1960</v>
      </c>
    </row>
    <row r="610" spans="1:2">
      <c r="A610" s="1123">
        <v>7106</v>
      </c>
      <c r="B610" s="1124" t="s">
        <v>1961</v>
      </c>
    </row>
    <row r="611" spans="1:2">
      <c r="A611" s="1123">
        <v>7107</v>
      </c>
      <c r="B611" s="1124" t="s">
        <v>1962</v>
      </c>
    </row>
    <row r="612" spans="1:2">
      <c r="A612" s="1123">
        <v>7108</v>
      </c>
      <c r="B612" s="1124" t="s">
        <v>1963</v>
      </c>
    </row>
    <row r="613" spans="1:2">
      <c r="A613" s="1123">
        <v>7109</v>
      </c>
      <c r="B613" s="1124" t="s">
        <v>1964</v>
      </c>
    </row>
    <row r="614" spans="1:2">
      <c r="A614" s="1123">
        <v>8</v>
      </c>
      <c r="B614" s="1124" t="s">
        <v>1965</v>
      </c>
    </row>
    <row r="615" spans="1:2">
      <c r="A615" s="1123">
        <v>82</v>
      </c>
      <c r="B615" s="1124" t="s">
        <v>1966</v>
      </c>
    </row>
    <row r="616" spans="1:2">
      <c r="A616" s="1123">
        <v>821</v>
      </c>
      <c r="B616" s="1124" t="s">
        <v>1967</v>
      </c>
    </row>
    <row r="617" spans="1:2">
      <c r="A617" s="1123">
        <v>8211</v>
      </c>
      <c r="B617" s="1124" t="s">
        <v>1968</v>
      </c>
    </row>
    <row r="618" spans="1:2">
      <c r="A618" s="1123">
        <v>82111</v>
      </c>
      <c r="B618" s="1124" t="s">
        <v>1969</v>
      </c>
    </row>
    <row r="619" spans="1:2">
      <c r="A619" s="1123">
        <v>821111</v>
      </c>
      <c r="B619" s="1124" t="s">
        <v>1970</v>
      </c>
    </row>
    <row r="620" spans="1:2">
      <c r="A620" s="1123">
        <v>821112</v>
      </c>
      <c r="B620" s="1124" t="s">
        <v>1971</v>
      </c>
    </row>
    <row r="621" spans="1:2">
      <c r="A621" s="1123">
        <v>82112</v>
      </c>
      <c r="B621" s="1124" t="s">
        <v>1972</v>
      </c>
    </row>
    <row r="622" spans="1:2">
      <c r="A622" s="1123">
        <v>82113</v>
      </c>
      <c r="B622" s="1124" t="s">
        <v>1973</v>
      </c>
    </row>
    <row r="623" spans="1:2">
      <c r="A623" s="1123">
        <v>82114</v>
      </c>
      <c r="B623" s="1124" t="s">
        <v>1974</v>
      </c>
    </row>
    <row r="624" spans="1:2">
      <c r="A624" s="1123">
        <v>8212</v>
      </c>
      <c r="B624" s="1124" t="s">
        <v>1975</v>
      </c>
    </row>
    <row r="625" spans="1:2">
      <c r="A625" s="1123">
        <v>8213</v>
      </c>
      <c r="B625" s="1124" t="s">
        <v>1976</v>
      </c>
    </row>
    <row r="626" spans="1:2">
      <c r="A626" s="1123">
        <v>8214</v>
      </c>
      <c r="B626" s="1124" t="s">
        <v>1977</v>
      </c>
    </row>
    <row r="627" spans="1:2">
      <c r="A627" s="1123">
        <v>8215</v>
      </c>
      <c r="B627" s="1124" t="s">
        <v>1978</v>
      </c>
    </row>
    <row r="628" spans="1:2">
      <c r="A628" s="1123">
        <v>8216</v>
      </c>
      <c r="B628" s="1124" t="s">
        <v>1979</v>
      </c>
    </row>
    <row r="629" spans="1:2">
      <c r="A629" s="1123">
        <v>822</v>
      </c>
      <c r="B629" s="1124" t="s">
        <v>1980</v>
      </c>
    </row>
    <row r="630" spans="1:2">
      <c r="A630" s="1123">
        <v>8221</v>
      </c>
      <c r="B630" s="1124" t="s">
        <v>1981</v>
      </c>
    </row>
    <row r="631" spans="1:2">
      <c r="A631" s="1123">
        <v>8227</v>
      </c>
      <c r="B631" s="1124" t="s">
        <v>1982</v>
      </c>
    </row>
    <row r="632" spans="1:2">
      <c r="A632" s="1123">
        <v>8228</v>
      </c>
      <c r="B632" s="1124" t="s">
        <v>1983</v>
      </c>
    </row>
    <row r="633" spans="1:2">
      <c r="A633" s="1123">
        <v>8229</v>
      </c>
      <c r="B633" s="1124" t="s">
        <v>1984</v>
      </c>
    </row>
    <row r="634" spans="1:2">
      <c r="A634" s="1123">
        <v>823</v>
      </c>
      <c r="B634" s="1124" t="s">
        <v>1985</v>
      </c>
    </row>
    <row r="635" spans="1:2">
      <c r="A635" s="1123">
        <v>83</v>
      </c>
      <c r="B635" s="1124" t="s">
        <v>1986</v>
      </c>
    </row>
    <row r="636" spans="1:2">
      <c r="A636" s="1123">
        <v>831</v>
      </c>
      <c r="B636" s="1124" t="s">
        <v>1987</v>
      </c>
    </row>
    <row r="637" spans="1:2">
      <c r="A637" s="1123">
        <v>8311</v>
      </c>
      <c r="B637" s="1124" t="s">
        <v>1988</v>
      </c>
    </row>
    <row r="638" spans="1:2">
      <c r="A638" s="1123">
        <v>83111</v>
      </c>
      <c r="B638" s="1124" t="s">
        <v>1989</v>
      </c>
    </row>
    <row r="639" spans="1:2">
      <c r="A639" s="1123">
        <v>831111</v>
      </c>
      <c r="B639" s="1124" t="s">
        <v>1990</v>
      </c>
    </row>
    <row r="640" spans="1:2">
      <c r="A640" s="1123">
        <v>831112</v>
      </c>
      <c r="B640" s="1124" t="s">
        <v>1991</v>
      </c>
    </row>
    <row r="641" spans="1:2">
      <c r="A641" s="1123">
        <v>83112</v>
      </c>
      <c r="B641" s="1124" t="s">
        <v>1992</v>
      </c>
    </row>
    <row r="642" spans="1:2">
      <c r="A642" s="1123">
        <v>83113</v>
      </c>
      <c r="B642" s="1124" t="s">
        <v>1993</v>
      </c>
    </row>
    <row r="643" spans="1:2">
      <c r="A643" s="1123">
        <v>83114</v>
      </c>
      <c r="B643" s="1124" t="s">
        <v>1994</v>
      </c>
    </row>
    <row r="644" spans="1:2">
      <c r="A644" s="1123">
        <v>8312</v>
      </c>
      <c r="B644" s="1124" t="s">
        <v>1995</v>
      </c>
    </row>
    <row r="645" spans="1:2">
      <c r="A645" s="1123">
        <v>8313</v>
      </c>
      <c r="B645" s="1124" t="s">
        <v>1996</v>
      </c>
    </row>
    <row r="646" spans="1:2">
      <c r="A646" s="1123">
        <v>8314</v>
      </c>
      <c r="B646" s="1124" t="s">
        <v>1997</v>
      </c>
    </row>
    <row r="647" spans="1:2">
      <c r="A647" s="1123">
        <v>8315</v>
      </c>
      <c r="B647" s="1124" t="s">
        <v>1998</v>
      </c>
    </row>
    <row r="648" spans="1:2">
      <c r="A648" s="1123">
        <v>8316</v>
      </c>
      <c r="B648" s="1124" t="s">
        <v>1999</v>
      </c>
    </row>
    <row r="649" spans="1:2">
      <c r="A649" s="1123">
        <v>832</v>
      </c>
      <c r="B649" s="1124" t="s">
        <v>2000</v>
      </c>
    </row>
    <row r="650" spans="1:2">
      <c r="A650" s="1123">
        <v>8321</v>
      </c>
      <c r="B650" s="1124" t="s">
        <v>2001</v>
      </c>
    </row>
    <row r="651" spans="1:2">
      <c r="A651" s="1123">
        <v>8327</v>
      </c>
      <c r="B651" s="1124" t="s">
        <v>2002</v>
      </c>
    </row>
    <row r="652" spans="1:2">
      <c r="A652" s="1123">
        <v>8328</v>
      </c>
      <c r="B652" s="1124" t="s">
        <v>2003</v>
      </c>
    </row>
    <row r="653" spans="1:2">
      <c r="A653" s="1123">
        <v>8329</v>
      </c>
      <c r="B653" s="1124" t="s">
        <v>2004</v>
      </c>
    </row>
    <row r="654" spans="1:2">
      <c r="A654" s="1123">
        <v>682</v>
      </c>
      <c r="B654" s="1124" t="s">
        <v>2005</v>
      </c>
    </row>
    <row r="655" spans="1:2">
      <c r="A655" s="1123">
        <v>6821</v>
      </c>
      <c r="B655" s="1124" t="s">
        <v>2006</v>
      </c>
    </row>
    <row r="656" spans="1:2">
      <c r="A656" s="1123">
        <v>68211</v>
      </c>
      <c r="B656" s="1124" t="s">
        <v>2007</v>
      </c>
    </row>
    <row r="657" spans="1:2">
      <c r="A657" s="1123">
        <v>682111</v>
      </c>
      <c r="B657" s="1124" t="s">
        <v>2008</v>
      </c>
    </row>
    <row r="658" spans="1:2">
      <c r="A658" s="1123">
        <v>6821111</v>
      </c>
      <c r="B658" s="1124" t="s">
        <v>2009</v>
      </c>
    </row>
    <row r="659" spans="1:2">
      <c r="A659" s="1123">
        <v>6821112</v>
      </c>
      <c r="B659" s="1124" t="s">
        <v>2010</v>
      </c>
    </row>
    <row r="660" spans="1:2">
      <c r="A660" s="1123">
        <v>682112</v>
      </c>
      <c r="B660" s="1124" t="s">
        <v>2011</v>
      </c>
    </row>
    <row r="661" spans="1:2">
      <c r="A661" s="1123">
        <v>682113</v>
      </c>
      <c r="B661" s="1124" t="s">
        <v>2012</v>
      </c>
    </row>
    <row r="662" spans="1:2">
      <c r="A662" s="1123">
        <v>682114</v>
      </c>
      <c r="B662" s="1124" t="s">
        <v>2013</v>
      </c>
    </row>
    <row r="663" spans="1:2">
      <c r="A663" s="1123">
        <v>68212</v>
      </c>
      <c r="B663" s="1124" t="s">
        <v>2014</v>
      </c>
    </row>
    <row r="664" spans="1:2">
      <c r="A664" s="1123">
        <v>68213</v>
      </c>
      <c r="B664" s="1124" t="s">
        <v>2015</v>
      </c>
    </row>
    <row r="665" spans="1:2">
      <c r="A665" s="1123">
        <v>68214</v>
      </c>
      <c r="B665" s="1124" t="s">
        <v>2016</v>
      </c>
    </row>
    <row r="666" spans="1:2">
      <c r="A666" s="1123">
        <v>68215</v>
      </c>
      <c r="B666" s="1124" t="s">
        <v>2017</v>
      </c>
    </row>
    <row r="667" spans="1:2">
      <c r="A667" s="1123">
        <v>68216</v>
      </c>
      <c r="B667" s="1124" t="s">
        <v>2018</v>
      </c>
    </row>
    <row r="668" spans="1:2">
      <c r="A668" s="1123">
        <v>6822</v>
      </c>
      <c r="B668" s="1124" t="s">
        <v>2019</v>
      </c>
    </row>
    <row r="669" spans="1:2">
      <c r="A669" s="1123">
        <v>68221</v>
      </c>
      <c r="B669" s="1124" t="s">
        <v>2020</v>
      </c>
    </row>
    <row r="670" spans="1:2">
      <c r="A670" s="1123">
        <v>68227</v>
      </c>
      <c r="B670" s="1124" t="s">
        <v>2021</v>
      </c>
    </row>
    <row r="671" spans="1:2">
      <c r="A671" s="1123">
        <v>68228</v>
      </c>
      <c r="B671" s="1124" t="s">
        <v>2022</v>
      </c>
    </row>
    <row r="672" spans="1:2">
      <c r="A672" s="1123">
        <v>68229</v>
      </c>
      <c r="B672" s="1124" t="s">
        <v>2023</v>
      </c>
    </row>
    <row r="673" spans="1:2">
      <c r="A673" s="1123">
        <v>683</v>
      </c>
      <c r="B673" s="1124" t="s">
        <v>2024</v>
      </c>
    </row>
    <row r="674" spans="1:2">
      <c r="A674" s="1123">
        <v>6831</v>
      </c>
      <c r="B674" s="1124" t="s">
        <v>2025</v>
      </c>
    </row>
    <row r="675" spans="1:2">
      <c r="A675" s="1123">
        <v>68311</v>
      </c>
      <c r="B675" s="1124" t="s">
        <v>2026</v>
      </c>
    </row>
    <row r="676" spans="1:2">
      <c r="A676" s="1123">
        <v>683111</v>
      </c>
      <c r="B676" s="1124" t="s">
        <v>2027</v>
      </c>
    </row>
    <row r="677" spans="1:2">
      <c r="A677" s="1123">
        <v>6831111</v>
      </c>
      <c r="B677" s="1124" t="s">
        <v>2028</v>
      </c>
    </row>
    <row r="678" spans="1:2">
      <c r="A678" s="1123">
        <v>6831112</v>
      </c>
      <c r="B678" s="1124" t="s">
        <v>2029</v>
      </c>
    </row>
    <row r="679" spans="1:2">
      <c r="A679" s="1123">
        <v>683112</v>
      </c>
      <c r="B679" s="1124" t="s">
        <v>2030</v>
      </c>
    </row>
    <row r="680" spans="1:2">
      <c r="A680" s="1123">
        <v>683113</v>
      </c>
      <c r="B680" s="1124" t="s">
        <v>2031</v>
      </c>
    </row>
    <row r="681" spans="1:2">
      <c r="A681" s="1123">
        <v>683114</v>
      </c>
      <c r="B681" s="1124" t="s">
        <v>2032</v>
      </c>
    </row>
    <row r="682" spans="1:2">
      <c r="A682" s="1123">
        <v>68312</v>
      </c>
      <c r="B682" s="1124" t="s">
        <v>2033</v>
      </c>
    </row>
    <row r="683" spans="1:2">
      <c r="A683" s="1123">
        <v>68313</v>
      </c>
      <c r="B683" s="1124" t="s">
        <v>2034</v>
      </c>
    </row>
    <row r="684" spans="1:2">
      <c r="A684" s="1123">
        <v>68314</v>
      </c>
      <c r="B684" s="1124" t="s">
        <v>2035</v>
      </c>
    </row>
    <row r="685" spans="1:2">
      <c r="A685" s="1123">
        <v>68315</v>
      </c>
      <c r="B685" s="1124" t="s">
        <v>2036</v>
      </c>
    </row>
    <row r="686" spans="1:2">
      <c r="A686" s="1123">
        <v>68316</v>
      </c>
      <c r="B686" s="1124" t="s">
        <v>2037</v>
      </c>
    </row>
    <row r="687" spans="1:2">
      <c r="A687" s="1123">
        <v>6832</v>
      </c>
      <c r="B687" s="1124" t="s">
        <v>2038</v>
      </c>
    </row>
    <row r="688" spans="1:2">
      <c r="A688" s="1123">
        <v>68321</v>
      </c>
      <c r="B688" s="1124" t="s">
        <v>2039</v>
      </c>
    </row>
    <row r="689" spans="1:2">
      <c r="A689" s="1123">
        <v>68327</v>
      </c>
      <c r="B689" s="1124" t="s">
        <v>2040</v>
      </c>
    </row>
    <row r="690" spans="1:2">
      <c r="A690" s="1123">
        <v>68328</v>
      </c>
      <c r="B690" s="1124" t="s">
        <v>2041</v>
      </c>
    </row>
    <row r="691" spans="1:2">
      <c r="A691" s="1123">
        <v>68329</v>
      </c>
      <c r="B691" s="1124" t="s">
        <v>2042</v>
      </c>
    </row>
    <row r="692" spans="1:2">
      <c r="A692" s="1123" t="s">
        <v>2043</v>
      </c>
      <c r="B692" s="1124" t="s">
        <v>2044</v>
      </c>
    </row>
    <row r="693" spans="1:2">
      <c r="A693" s="1123" t="s">
        <v>2045</v>
      </c>
      <c r="B693" s="1124" t="s">
        <v>2046</v>
      </c>
    </row>
    <row r="694" spans="1:2">
      <c r="A694" s="1123" t="s">
        <v>2047</v>
      </c>
      <c r="B694" s="1124" t="s">
        <v>2048</v>
      </c>
    </row>
    <row r="695" spans="1:2">
      <c r="A695" s="1123" t="s">
        <v>2049</v>
      </c>
      <c r="B695" s="1124" t="s">
        <v>2050</v>
      </c>
    </row>
    <row r="696" spans="1:2">
      <c r="A696" s="1123" t="s">
        <v>2051</v>
      </c>
      <c r="B696" s="1124" t="s">
        <v>2052</v>
      </c>
    </row>
    <row r="697" spans="1:2">
      <c r="A697" s="1123" t="s">
        <v>2053</v>
      </c>
      <c r="B697" s="1124" t="s">
        <v>565</v>
      </c>
    </row>
    <row r="698" spans="1:2">
      <c r="A698" s="1123" t="s">
        <v>2054</v>
      </c>
      <c r="B698" s="1124" t="s">
        <v>2055</v>
      </c>
    </row>
    <row r="699" spans="1:2">
      <c r="A699" s="1123" t="s">
        <v>2056</v>
      </c>
      <c r="B699" s="1124" t="s">
        <v>2046</v>
      </c>
    </row>
    <row r="700" spans="1:2">
      <c r="A700" s="1123" t="s">
        <v>2057</v>
      </c>
      <c r="B700" s="1124" t="s">
        <v>2058</v>
      </c>
    </row>
    <row r="701" spans="1:2">
      <c r="A701" s="1123" t="s">
        <v>2059</v>
      </c>
      <c r="B701" s="1124" t="s">
        <v>2060</v>
      </c>
    </row>
    <row r="702" spans="1:2">
      <c r="A702" s="1123" t="s">
        <v>2061</v>
      </c>
      <c r="B702" s="1124" t="s">
        <v>2048</v>
      </c>
    </row>
    <row r="703" spans="1:2">
      <c r="A703" s="1123" t="s">
        <v>2062</v>
      </c>
      <c r="B703" s="1124" t="s">
        <v>2063</v>
      </c>
    </row>
    <row r="704" spans="1:2">
      <c r="A704" s="1123" t="s">
        <v>2064</v>
      </c>
      <c r="B704" s="1124" t="s">
        <v>2050</v>
      </c>
    </row>
    <row r="705" spans="1:2">
      <c r="A705" s="1123" t="s">
        <v>2065</v>
      </c>
      <c r="B705" s="1124" t="s">
        <v>2066</v>
      </c>
    </row>
    <row r="706" spans="1:2">
      <c r="A706" s="1123" t="s">
        <v>2067</v>
      </c>
      <c r="B706" s="1124" t="s">
        <v>2052</v>
      </c>
    </row>
    <row r="707" spans="1:2">
      <c r="A707" s="1123" t="s">
        <v>2068</v>
      </c>
      <c r="B707" s="1124" t="s">
        <v>2069</v>
      </c>
    </row>
    <row r="708" spans="1:2">
      <c r="A708" s="1123" t="s">
        <v>2070</v>
      </c>
      <c r="B708" s="1124" t="s">
        <v>2055</v>
      </c>
    </row>
    <row r="709" spans="1:2">
      <c r="A709" s="1123" t="s">
        <v>2071</v>
      </c>
      <c r="B709" s="1124" t="s">
        <v>2046</v>
      </c>
    </row>
    <row r="710" spans="1:2">
      <c r="A710" s="1123" t="s">
        <v>2072</v>
      </c>
      <c r="B710" s="1124" t="s">
        <v>2058</v>
      </c>
    </row>
    <row r="711" spans="1:2">
      <c r="A711" s="1123" t="s">
        <v>2073</v>
      </c>
      <c r="B711" s="1124" t="s">
        <v>2074</v>
      </c>
    </row>
    <row r="712" spans="1:2">
      <c r="A712" s="1123" t="s">
        <v>2075</v>
      </c>
      <c r="B712" s="1124" t="s">
        <v>2060</v>
      </c>
    </row>
    <row r="713" spans="1:2">
      <c r="A713" s="1123" t="s">
        <v>2076</v>
      </c>
      <c r="B713" s="1124" t="s">
        <v>2074</v>
      </c>
    </row>
    <row r="714" spans="1:2">
      <c r="A714" s="1123" t="s">
        <v>2077</v>
      </c>
      <c r="B714" s="1124" t="s">
        <v>2048</v>
      </c>
    </row>
    <row r="715" spans="1:2">
      <c r="A715" s="1123" t="s">
        <v>2078</v>
      </c>
      <c r="B715" s="1124" t="s">
        <v>2063</v>
      </c>
    </row>
    <row r="716" spans="1:2">
      <c r="A716" s="1123" t="s">
        <v>2079</v>
      </c>
      <c r="B716" s="1124" t="s">
        <v>2050</v>
      </c>
    </row>
    <row r="717" spans="1:2">
      <c r="A717" s="1123" t="s">
        <v>2080</v>
      </c>
      <c r="B717" s="1124" t="s">
        <v>2066</v>
      </c>
    </row>
    <row r="718" spans="1:2">
      <c r="A718" s="1123" t="s">
        <v>2081</v>
      </c>
      <c r="B718" s="1124" t="s">
        <v>2052</v>
      </c>
    </row>
    <row r="719" spans="1:2">
      <c r="A719" s="1123" t="s">
        <v>2082</v>
      </c>
      <c r="B719" s="1124" t="s">
        <v>2083</v>
      </c>
    </row>
    <row r="720" spans="1:2">
      <c r="A720" s="1123" t="s">
        <v>2084</v>
      </c>
      <c r="B720" s="1124" t="s">
        <v>2055</v>
      </c>
    </row>
    <row r="721" spans="1:2">
      <c r="A721" s="1123" t="s">
        <v>2085</v>
      </c>
      <c r="B721" s="1124" t="s">
        <v>2046</v>
      </c>
    </row>
    <row r="722" spans="1:2">
      <c r="A722" s="1123" t="s">
        <v>2086</v>
      </c>
      <c r="B722" s="1124" t="s">
        <v>2058</v>
      </c>
    </row>
    <row r="723" spans="1:2">
      <c r="A723" s="1123" t="s">
        <v>2087</v>
      </c>
      <c r="B723" s="1124" t="s">
        <v>2074</v>
      </c>
    </row>
    <row r="724" spans="1:2">
      <c r="A724" s="1123" t="s">
        <v>2088</v>
      </c>
      <c r="B724" s="1124" t="s">
        <v>2060</v>
      </c>
    </row>
    <row r="725" spans="1:2">
      <c r="A725" s="1123" t="s">
        <v>2089</v>
      </c>
      <c r="B725" s="1124" t="s">
        <v>2074</v>
      </c>
    </row>
    <row r="726" spans="1:2">
      <c r="A726" s="1123" t="s">
        <v>2090</v>
      </c>
      <c r="B726" s="1124" t="s">
        <v>2048</v>
      </c>
    </row>
    <row r="727" spans="1:2">
      <c r="A727" s="1123" t="s">
        <v>2091</v>
      </c>
      <c r="B727" s="1124" t="s">
        <v>2063</v>
      </c>
    </row>
    <row r="728" spans="1:2">
      <c r="A728" s="1123" t="s">
        <v>2092</v>
      </c>
      <c r="B728" s="1124" t="s">
        <v>2050</v>
      </c>
    </row>
    <row r="729" spans="1:2">
      <c r="A729" s="1123" t="s">
        <v>2093</v>
      </c>
      <c r="B729" s="1124" t="s">
        <v>2066</v>
      </c>
    </row>
    <row r="730" spans="1:2">
      <c r="A730" s="1123" t="s">
        <v>2094</v>
      </c>
      <c r="B730" s="1124" t="s">
        <v>2052</v>
      </c>
    </row>
    <row r="731" spans="1:2">
      <c r="A731" s="1123" t="s">
        <v>2095</v>
      </c>
      <c r="B731" s="1124" t="s">
        <v>568</v>
      </c>
    </row>
    <row r="732" spans="1:2">
      <c r="A732" s="1123" t="s">
        <v>2096</v>
      </c>
      <c r="B732" s="1124" t="s">
        <v>2055</v>
      </c>
    </row>
    <row r="733" spans="1:2">
      <c r="A733" s="1123" t="s">
        <v>2097</v>
      </c>
      <c r="B733" s="1124" t="s">
        <v>2046</v>
      </c>
    </row>
    <row r="734" spans="1:2">
      <c r="A734" s="1123" t="s">
        <v>2098</v>
      </c>
      <c r="B734" s="1124" t="s">
        <v>2058</v>
      </c>
    </row>
    <row r="735" spans="1:2">
      <c r="A735" s="1123" t="s">
        <v>2099</v>
      </c>
      <c r="B735" s="1124" t="s">
        <v>2074</v>
      </c>
    </row>
    <row r="736" spans="1:2">
      <c r="A736" s="1123" t="s">
        <v>2100</v>
      </c>
      <c r="B736" s="1124" t="s">
        <v>2060</v>
      </c>
    </row>
    <row r="737" spans="1:2">
      <c r="A737" s="1123" t="s">
        <v>2101</v>
      </c>
      <c r="B737" s="1124" t="s">
        <v>2074</v>
      </c>
    </row>
    <row r="738" spans="1:2">
      <c r="A738" s="1123" t="s">
        <v>2102</v>
      </c>
      <c r="B738" s="1124" t="s">
        <v>2048</v>
      </c>
    </row>
    <row r="739" spans="1:2">
      <c r="A739" s="1123" t="s">
        <v>2103</v>
      </c>
      <c r="B739" s="1124" t="s">
        <v>2063</v>
      </c>
    </row>
    <row r="740" spans="1:2">
      <c r="A740" s="1123" t="s">
        <v>2104</v>
      </c>
      <c r="B740" s="1124" t="s">
        <v>2050</v>
      </c>
    </row>
    <row r="741" spans="1:2">
      <c r="A741" s="1123" t="s">
        <v>2105</v>
      </c>
      <c r="B741" s="1124" t="s">
        <v>2066</v>
      </c>
    </row>
    <row r="742" spans="1:2">
      <c r="A742" s="1123" t="s">
        <v>2106</v>
      </c>
      <c r="B742" s="1124" t="s">
        <v>2052</v>
      </c>
    </row>
    <row r="743" spans="1:2">
      <c r="A743" s="1123" t="s">
        <v>2107</v>
      </c>
      <c r="B743" s="1124" t="s">
        <v>2108</v>
      </c>
    </row>
    <row r="744" spans="1:2">
      <c r="A744" s="1123" t="s">
        <v>2109</v>
      </c>
      <c r="B744" s="1124" t="s">
        <v>2055</v>
      </c>
    </row>
    <row r="745" spans="1:2">
      <c r="A745" s="1123" t="s">
        <v>2110</v>
      </c>
      <c r="B745" s="1124" t="s">
        <v>2046</v>
      </c>
    </row>
    <row r="746" spans="1:2">
      <c r="A746" s="1123" t="s">
        <v>2111</v>
      </c>
      <c r="B746" s="1124" t="s">
        <v>2058</v>
      </c>
    </row>
    <row r="747" spans="1:2">
      <c r="A747" s="1123" t="s">
        <v>2112</v>
      </c>
      <c r="B747" s="1124" t="s">
        <v>2060</v>
      </c>
    </row>
    <row r="748" spans="1:2">
      <c r="A748" s="1123" t="s">
        <v>2113</v>
      </c>
      <c r="B748" s="1124" t="s">
        <v>2048</v>
      </c>
    </row>
    <row r="749" spans="1:2">
      <c r="A749" s="1123" t="s">
        <v>2114</v>
      </c>
      <c r="B749" s="1124" t="s">
        <v>2063</v>
      </c>
    </row>
    <row r="750" spans="1:2">
      <c r="A750" s="1123" t="s">
        <v>2115</v>
      </c>
      <c r="B750" s="1124" t="s">
        <v>2050</v>
      </c>
    </row>
    <row r="751" spans="1:2">
      <c r="A751" s="1123" t="s">
        <v>2116</v>
      </c>
      <c r="B751" s="1124" t="s">
        <v>2066</v>
      </c>
    </row>
    <row r="752" spans="1:2">
      <c r="A752" s="1123" t="s">
        <v>2117</v>
      </c>
      <c r="B752" s="1124" t="s">
        <v>2052</v>
      </c>
    </row>
    <row r="753" spans="1:2">
      <c r="A753" s="1123" t="s">
        <v>2118</v>
      </c>
      <c r="B753" s="1124" t="s">
        <v>576</v>
      </c>
    </row>
    <row r="754" spans="1:2">
      <c r="A754" s="1123" t="s">
        <v>2119</v>
      </c>
      <c r="B754" s="1124" t="s">
        <v>2055</v>
      </c>
    </row>
    <row r="755" spans="1:2">
      <c r="A755" s="1123" t="s">
        <v>2120</v>
      </c>
      <c r="B755" s="1124" t="s">
        <v>2046</v>
      </c>
    </row>
    <row r="756" spans="1:2">
      <c r="A756" s="1123" t="s">
        <v>2121</v>
      </c>
      <c r="B756" s="1124" t="s">
        <v>2058</v>
      </c>
    </row>
    <row r="757" spans="1:2">
      <c r="A757" s="1123" t="s">
        <v>2122</v>
      </c>
      <c r="B757" s="1124" t="s">
        <v>2060</v>
      </c>
    </row>
    <row r="758" spans="1:2">
      <c r="A758" s="1123" t="s">
        <v>2123</v>
      </c>
      <c r="B758" s="1124" t="s">
        <v>2048</v>
      </c>
    </row>
    <row r="759" spans="1:2">
      <c r="A759" s="1123" t="s">
        <v>2124</v>
      </c>
      <c r="B759" s="1124" t="s">
        <v>2063</v>
      </c>
    </row>
    <row r="760" spans="1:2">
      <c r="A760" s="1123" t="s">
        <v>2125</v>
      </c>
      <c r="B760" s="1124" t="s">
        <v>2050</v>
      </c>
    </row>
    <row r="761" spans="1:2">
      <c r="A761" s="1123" t="s">
        <v>2126</v>
      </c>
      <c r="B761" s="1124" t="s">
        <v>2066</v>
      </c>
    </row>
    <row r="762" spans="1:2">
      <c r="A762" s="1123" t="s">
        <v>2127</v>
      </c>
      <c r="B762" s="1124" t="s">
        <v>2052</v>
      </c>
    </row>
    <row r="763" spans="1:2">
      <c r="A763" s="1123" t="s">
        <v>2128</v>
      </c>
      <c r="B763" s="1124" t="s">
        <v>2044</v>
      </c>
    </row>
    <row r="764" spans="1:2">
      <c r="A764" s="1123" t="s">
        <v>2129</v>
      </c>
      <c r="B764" s="1124" t="s">
        <v>2130</v>
      </c>
    </row>
    <row r="765" spans="1:2">
      <c r="A765" s="1123" t="s">
        <v>2131</v>
      </c>
      <c r="B765" s="1124" t="s">
        <v>2048</v>
      </c>
    </row>
    <row r="766" spans="1:2">
      <c r="A766" s="1123" t="s">
        <v>2132</v>
      </c>
      <c r="B766" s="1124" t="s">
        <v>2133</v>
      </c>
    </row>
    <row r="767" spans="1:2">
      <c r="A767" s="1123" t="s">
        <v>2134</v>
      </c>
      <c r="B767" s="1124" t="s">
        <v>2135</v>
      </c>
    </row>
    <row r="768" spans="1:2">
      <c r="A768" s="1123" t="s">
        <v>2136</v>
      </c>
      <c r="B768" s="1124" t="s">
        <v>2137</v>
      </c>
    </row>
    <row r="769" spans="1:2">
      <c r="A769" s="1123" t="s">
        <v>2138</v>
      </c>
      <c r="B769" s="1124" t="s">
        <v>2139</v>
      </c>
    </row>
    <row r="770" spans="1:2">
      <c r="A770" s="1123" t="s">
        <v>2140</v>
      </c>
      <c r="B770" s="1124" t="s">
        <v>2141</v>
      </c>
    </row>
    <row r="771" spans="1:2">
      <c r="A771" s="1123" t="s">
        <v>2142</v>
      </c>
      <c r="B771" s="1124" t="s">
        <v>2143</v>
      </c>
    </row>
    <row r="772" spans="1:2">
      <c r="A772" s="1123" t="s">
        <v>2144</v>
      </c>
      <c r="B772" s="1124" t="s">
        <v>2145</v>
      </c>
    </row>
    <row r="773" spans="1:2">
      <c r="A773" s="1123" t="s">
        <v>2146</v>
      </c>
      <c r="B773" s="1124" t="s">
        <v>2147</v>
      </c>
    </row>
    <row r="774" spans="1:2">
      <c r="A774" s="1123" t="s">
        <v>2148</v>
      </c>
      <c r="B774" s="1124" t="s">
        <v>2149</v>
      </c>
    </row>
    <row r="775" spans="1:2">
      <c r="A775" s="1123" t="s">
        <v>2150</v>
      </c>
      <c r="B775" s="1124" t="s">
        <v>2151</v>
      </c>
    </row>
    <row r="776" spans="1:2">
      <c r="A776" s="1123" t="s">
        <v>2152</v>
      </c>
      <c r="B776" s="1124" t="s">
        <v>2153</v>
      </c>
    </row>
    <row r="777" spans="1:2">
      <c r="A777" s="1123" t="s">
        <v>2154</v>
      </c>
      <c r="B777" s="1124" t="s">
        <v>2155</v>
      </c>
    </row>
    <row r="778" spans="1:2">
      <c r="A778" s="1123" t="s">
        <v>2156</v>
      </c>
      <c r="B778" s="1124" t="s">
        <v>2157</v>
      </c>
    </row>
    <row r="779" spans="1:2">
      <c r="A779" s="1123" t="s">
        <v>2158</v>
      </c>
      <c r="B779" s="1124" t="s">
        <v>2159</v>
      </c>
    </row>
    <row r="780" spans="1:2">
      <c r="A780" s="1123" t="s">
        <v>2160</v>
      </c>
      <c r="B780" s="1124" t="s">
        <v>2161</v>
      </c>
    </row>
    <row r="781" spans="1:2">
      <c r="A781" s="1123" t="s">
        <v>2162</v>
      </c>
      <c r="B781" s="1124" t="s">
        <v>2163</v>
      </c>
    </row>
    <row r="782" spans="1:2">
      <c r="A782" s="1123" t="s">
        <v>2164</v>
      </c>
      <c r="B782" s="1124" t="s">
        <v>2165</v>
      </c>
    </row>
    <row r="783" spans="1:2">
      <c r="A783" s="1123" t="s">
        <v>2166</v>
      </c>
      <c r="B783" s="1124" t="s">
        <v>2167</v>
      </c>
    </row>
    <row r="784" spans="1:2">
      <c r="A784" s="1123" t="s">
        <v>2168</v>
      </c>
      <c r="B784" s="1124" t="s">
        <v>2165</v>
      </c>
    </row>
    <row r="785" spans="1:2">
      <c r="A785" s="1123" t="s">
        <v>2169</v>
      </c>
      <c r="B785" s="1124" t="s">
        <v>2170</v>
      </c>
    </row>
    <row r="786" spans="1:2">
      <c r="A786" s="1123" t="s">
        <v>2171</v>
      </c>
      <c r="B786" s="1124" t="s">
        <v>2172</v>
      </c>
    </row>
    <row r="787" spans="1:2">
      <c r="A787" s="1123" t="s">
        <v>2173</v>
      </c>
      <c r="B787" s="1124" t="s">
        <v>2174</v>
      </c>
    </row>
    <row r="788" spans="1:2">
      <c r="A788" s="1123" t="s">
        <v>2175</v>
      </c>
      <c r="B788" s="1124" t="s">
        <v>2176</v>
      </c>
    </row>
    <row r="789" spans="1:2">
      <c r="A789" s="1123" t="s">
        <v>2177</v>
      </c>
      <c r="B789" s="1124" t="s">
        <v>2178</v>
      </c>
    </row>
    <row r="790" spans="1:2">
      <c r="A790" s="1123" t="s">
        <v>2179</v>
      </c>
      <c r="B790" s="1124" t="s">
        <v>2180</v>
      </c>
    </row>
    <row r="791" spans="1:2">
      <c r="A791" s="1123" t="s">
        <v>2181</v>
      </c>
      <c r="B791" s="1124" t="s">
        <v>2182</v>
      </c>
    </row>
    <row r="792" spans="1:2">
      <c r="A792" s="1123" t="s">
        <v>2183</v>
      </c>
      <c r="B792" s="1124" t="s">
        <v>2184</v>
      </c>
    </row>
    <row r="793" spans="1:2">
      <c r="A793" s="1123" t="s">
        <v>2185</v>
      </c>
      <c r="B793" s="1124" t="s">
        <v>2186</v>
      </c>
    </row>
    <row r="794" spans="1:2">
      <c r="A794" s="1123" t="s">
        <v>2187</v>
      </c>
      <c r="B794" s="1124" t="s">
        <v>2188</v>
      </c>
    </row>
    <row r="795" spans="1:2">
      <c r="A795" s="1123" t="s">
        <v>2189</v>
      </c>
      <c r="B795" s="1124" t="s">
        <v>2190</v>
      </c>
    </row>
    <row r="796" spans="1:2">
      <c r="A796" s="1123" t="s">
        <v>2191</v>
      </c>
      <c r="B796" s="1124" t="s">
        <v>2188</v>
      </c>
    </row>
    <row r="797" spans="1:2">
      <c r="A797" s="1123" t="s">
        <v>2192</v>
      </c>
      <c r="B797" s="1124" t="s">
        <v>2193</v>
      </c>
    </row>
    <row r="798" spans="1:2">
      <c r="A798" s="1123" t="s">
        <v>2194</v>
      </c>
      <c r="B798" s="1124" t="s">
        <v>2195</v>
      </c>
    </row>
    <row r="799" spans="1:2">
      <c r="A799" s="1123" t="s">
        <v>2196</v>
      </c>
      <c r="B799" s="1124" t="s">
        <v>2197</v>
      </c>
    </row>
    <row r="800" spans="1:2">
      <c r="A800" s="1123" t="s">
        <v>2198</v>
      </c>
      <c r="B800" s="1124" t="s">
        <v>2199</v>
      </c>
    </row>
    <row r="801" spans="1:2">
      <c r="A801" s="1123" t="s">
        <v>2200</v>
      </c>
      <c r="B801" s="1124" t="s">
        <v>2201</v>
      </c>
    </row>
    <row r="802" spans="1:2">
      <c r="A802" s="1123" t="s">
        <v>2202</v>
      </c>
      <c r="B802" s="1124" t="s">
        <v>2203</v>
      </c>
    </row>
    <row r="803" spans="1:2">
      <c r="A803" s="1123" t="s">
        <v>2204</v>
      </c>
      <c r="B803" s="1124" t="s">
        <v>2205</v>
      </c>
    </row>
    <row r="804" spans="1:2">
      <c r="A804" s="1123" t="s">
        <v>2206</v>
      </c>
      <c r="B804" s="1124" t="s">
        <v>2207</v>
      </c>
    </row>
    <row r="805" spans="1:2">
      <c r="A805" s="1123" t="s">
        <v>2208</v>
      </c>
      <c r="B805" s="1124" t="s">
        <v>2209</v>
      </c>
    </row>
    <row r="806" spans="1:2">
      <c r="A806" s="1123" t="s">
        <v>2210</v>
      </c>
      <c r="B806" s="1124" t="s">
        <v>2211</v>
      </c>
    </row>
    <row r="807" spans="1:2">
      <c r="A807" s="1123" t="s">
        <v>2212</v>
      </c>
      <c r="B807" s="1124" t="s">
        <v>2213</v>
      </c>
    </row>
    <row r="808" spans="1:2">
      <c r="A808" s="1123" t="s">
        <v>2214</v>
      </c>
      <c r="B808" s="1124" t="s">
        <v>2215</v>
      </c>
    </row>
    <row r="809" spans="1:2">
      <c r="A809" s="1123" t="s">
        <v>2216</v>
      </c>
      <c r="B809" s="1124" t="s">
        <v>2217</v>
      </c>
    </row>
    <row r="810" spans="1:2">
      <c r="A810" s="1123" t="s">
        <v>2218</v>
      </c>
      <c r="B810" s="1124" t="s">
        <v>2219</v>
      </c>
    </row>
    <row r="811" spans="1:2">
      <c r="A811" s="1123" t="s">
        <v>2220</v>
      </c>
      <c r="B811" s="1124" t="s">
        <v>2221</v>
      </c>
    </row>
    <row r="812" spans="1:2">
      <c r="A812" s="1123" t="s">
        <v>2222</v>
      </c>
      <c r="B812" s="1124" t="s">
        <v>2223</v>
      </c>
    </row>
    <row r="813" spans="1:2">
      <c r="A813" s="1123" t="s">
        <v>2224</v>
      </c>
      <c r="B813" s="1124" t="s">
        <v>2225</v>
      </c>
    </row>
    <row r="814" spans="1:2">
      <c r="A814" s="1123" t="s">
        <v>2226</v>
      </c>
      <c r="B814" s="1124" t="s">
        <v>2227</v>
      </c>
    </row>
    <row r="815" spans="1:2">
      <c r="A815" s="1123" t="s">
        <v>2228</v>
      </c>
      <c r="B815" s="1124" t="s">
        <v>2229</v>
      </c>
    </row>
    <row r="816" spans="1:2">
      <c r="A816" s="1123" t="s">
        <v>2230</v>
      </c>
      <c r="B816" s="1124" t="s">
        <v>2231</v>
      </c>
    </row>
    <row r="817" spans="1:2">
      <c r="A817" s="1123" t="s">
        <v>2232</v>
      </c>
      <c r="B817" s="1124" t="s">
        <v>2233</v>
      </c>
    </row>
    <row r="818" spans="1:2">
      <c r="A818" s="1123" t="s">
        <v>2234</v>
      </c>
      <c r="B818" s="1124" t="s">
        <v>2235</v>
      </c>
    </row>
    <row r="819" spans="1:2">
      <c r="A819" s="1123" t="s">
        <v>2236</v>
      </c>
      <c r="B819" s="1124" t="s">
        <v>2237</v>
      </c>
    </row>
    <row r="820" spans="1:2">
      <c r="A820" s="1123" t="s">
        <v>2238</v>
      </c>
      <c r="B820" s="1124" t="s">
        <v>2239</v>
      </c>
    </row>
    <row r="821" spans="1:2">
      <c r="A821" s="1123" t="s">
        <v>2240</v>
      </c>
      <c r="B821" s="1124" t="s">
        <v>2241</v>
      </c>
    </row>
    <row r="822" spans="1:2">
      <c r="A822" s="1123">
        <v>9</v>
      </c>
      <c r="B822" s="1124" t="s">
        <v>2242</v>
      </c>
    </row>
    <row r="823" spans="1:2">
      <c r="A823" s="1123">
        <v>91</v>
      </c>
      <c r="B823" s="1124" t="s">
        <v>2243</v>
      </c>
    </row>
    <row r="824" spans="1:2">
      <c r="A824" s="1123">
        <v>911</v>
      </c>
      <c r="B824" s="1124" t="s">
        <v>2244</v>
      </c>
    </row>
    <row r="825" spans="1:2">
      <c r="A825" s="1123">
        <v>9111</v>
      </c>
      <c r="B825" s="1124" t="s">
        <v>2245</v>
      </c>
    </row>
    <row r="826" spans="1:2">
      <c r="A826" s="1123">
        <v>9112</v>
      </c>
      <c r="B826" s="1124" t="s">
        <v>2246</v>
      </c>
    </row>
    <row r="827" spans="1:2">
      <c r="A827" s="1123">
        <v>9113</v>
      </c>
      <c r="B827" s="1124" t="s">
        <v>2247</v>
      </c>
    </row>
    <row r="828" spans="1:2">
      <c r="A828" s="1123">
        <v>9114</v>
      </c>
      <c r="B828" s="1124" t="s">
        <v>2248</v>
      </c>
    </row>
    <row r="829" spans="1:2">
      <c r="A829" s="1123">
        <v>912</v>
      </c>
      <c r="B829" s="1124" t="s">
        <v>2249</v>
      </c>
    </row>
    <row r="830" spans="1:2">
      <c r="A830" s="1123">
        <v>913</v>
      </c>
      <c r="B830" s="1124" t="s">
        <v>2250</v>
      </c>
    </row>
    <row r="831" spans="1:2">
      <c r="A831" s="1123">
        <v>914</v>
      </c>
      <c r="B831" s="1124" t="s">
        <v>2251</v>
      </c>
    </row>
    <row r="832" spans="1:2">
      <c r="A832" s="1123">
        <v>9141</v>
      </c>
      <c r="B832" s="1124" t="s">
        <v>2252</v>
      </c>
    </row>
    <row r="833" spans="1:2">
      <c r="A833" s="1123">
        <v>9142</v>
      </c>
      <c r="B833" s="1124" t="s">
        <v>2253</v>
      </c>
    </row>
    <row r="834" spans="1:2">
      <c r="A834" s="1123">
        <v>9143</v>
      </c>
      <c r="B834" s="1124" t="s">
        <v>2254</v>
      </c>
    </row>
    <row r="835" spans="1:2">
      <c r="A835" s="1123">
        <v>9144</v>
      </c>
      <c r="B835" s="1124" t="s">
        <v>2255</v>
      </c>
    </row>
    <row r="836" spans="1:2">
      <c r="A836" s="1123">
        <v>92</v>
      </c>
      <c r="B836" s="1124" t="s">
        <v>2256</v>
      </c>
    </row>
    <row r="837" spans="1:2">
      <c r="A837" s="1123">
        <v>9201</v>
      </c>
      <c r="B837" s="1124" t="s">
        <v>2257</v>
      </c>
    </row>
    <row r="838" spans="1:2">
      <c r="A838" s="1123">
        <v>9202</v>
      </c>
      <c r="B838" s="1124" t="s">
        <v>2258</v>
      </c>
    </row>
    <row r="839" spans="1:2">
      <c r="A839" s="1123">
        <v>9203</v>
      </c>
      <c r="B839" s="1124" t="s">
        <v>2259</v>
      </c>
    </row>
    <row r="840" spans="1:2">
      <c r="A840" s="1123">
        <v>9204</v>
      </c>
      <c r="B840" s="1124" t="s">
        <v>2260</v>
      </c>
    </row>
    <row r="841" spans="1:2">
      <c r="A841" s="1123">
        <v>9205</v>
      </c>
      <c r="B841" s="1124" t="s">
        <v>2261</v>
      </c>
    </row>
    <row r="842" spans="1:2">
      <c r="A842" s="1123">
        <v>9206</v>
      </c>
      <c r="B842" s="1124" t="s">
        <v>2262</v>
      </c>
    </row>
    <row r="843" spans="1:2">
      <c r="A843" s="1123">
        <v>9207</v>
      </c>
      <c r="B843" s="1124" t="s">
        <v>2263</v>
      </c>
    </row>
    <row r="844" spans="1:2">
      <c r="A844" s="1123">
        <v>9208</v>
      </c>
      <c r="B844" s="1124" t="s">
        <v>2264</v>
      </c>
    </row>
    <row r="845" spans="1:2">
      <c r="A845" s="1123">
        <v>921</v>
      </c>
      <c r="B845" s="1124" t="s">
        <v>2265</v>
      </c>
    </row>
    <row r="846" spans="1:2">
      <c r="A846" s="1123">
        <v>9212</v>
      </c>
      <c r="B846" s="1124" t="s">
        <v>2266</v>
      </c>
    </row>
    <row r="847" spans="1:2">
      <c r="A847" s="1123">
        <v>9213</v>
      </c>
      <c r="B847" s="1124" t="s">
        <v>2267</v>
      </c>
    </row>
    <row r="848" spans="1:2">
      <c r="A848" s="1123">
        <v>9214</v>
      </c>
      <c r="B848" s="1124" t="s">
        <v>2268</v>
      </c>
    </row>
    <row r="849" spans="1:2">
      <c r="A849" s="1123">
        <v>9215</v>
      </c>
      <c r="B849" s="1124" t="s">
        <v>2269</v>
      </c>
    </row>
    <row r="850" spans="1:2">
      <c r="A850" s="1123">
        <v>9216</v>
      </c>
      <c r="B850" s="1124" t="s">
        <v>2270</v>
      </c>
    </row>
    <row r="851" spans="1:2">
      <c r="A851" s="1123">
        <v>9217</v>
      </c>
      <c r="B851" s="1124" t="s">
        <v>2271</v>
      </c>
    </row>
    <row r="852" spans="1:2">
      <c r="A852" s="1123">
        <v>9218</v>
      </c>
      <c r="B852" s="1124" t="s">
        <v>2272</v>
      </c>
    </row>
    <row r="853" spans="1:2">
      <c r="A853" s="1123">
        <v>922</v>
      </c>
      <c r="B853" s="1124" t="s">
        <v>2273</v>
      </c>
    </row>
    <row r="854" spans="1:2">
      <c r="A854" s="1123">
        <v>9221</v>
      </c>
      <c r="B854" s="1124" t="s">
        <v>2274</v>
      </c>
    </row>
    <row r="855" spans="1:2">
      <c r="A855" s="1123">
        <v>9222</v>
      </c>
      <c r="B855" s="1124" t="s">
        <v>2275</v>
      </c>
    </row>
    <row r="856" spans="1:2">
      <c r="A856" s="1123">
        <v>9223</v>
      </c>
      <c r="B856" s="1124" t="s">
        <v>2276</v>
      </c>
    </row>
    <row r="857" spans="1:2">
      <c r="A857" s="1123">
        <v>9224</v>
      </c>
      <c r="B857" s="1124" t="s">
        <v>2277</v>
      </c>
    </row>
    <row r="858" spans="1:2">
      <c r="A858" s="1123">
        <v>9225</v>
      </c>
      <c r="B858" s="1124" t="s">
        <v>2278</v>
      </c>
    </row>
    <row r="859" spans="1:2">
      <c r="A859" s="1123">
        <v>9226</v>
      </c>
      <c r="B859" s="1124" t="s">
        <v>2279</v>
      </c>
    </row>
    <row r="860" spans="1:2">
      <c r="A860" s="1123">
        <v>9227</v>
      </c>
      <c r="B860" s="1124" t="s">
        <v>2280</v>
      </c>
    </row>
    <row r="861" spans="1:2">
      <c r="A861" s="1123">
        <v>9228</v>
      </c>
      <c r="B861" s="1124" t="s">
        <v>2281</v>
      </c>
    </row>
    <row r="862" spans="1:2">
      <c r="A862" s="1123">
        <v>93</v>
      </c>
      <c r="B862" s="1124" t="s">
        <v>2282</v>
      </c>
    </row>
    <row r="863" spans="1:2">
      <c r="A863" s="1123">
        <v>9301</v>
      </c>
      <c r="B863" s="1124" t="s">
        <v>2283</v>
      </c>
    </row>
    <row r="864" spans="1:2">
      <c r="A864" s="1123">
        <v>9302</v>
      </c>
      <c r="B864" s="1124" t="s">
        <v>2284</v>
      </c>
    </row>
    <row r="865" spans="1:2">
      <c r="A865" s="1123">
        <v>9303</v>
      </c>
      <c r="B865" s="1124" t="s">
        <v>2285</v>
      </c>
    </row>
    <row r="866" spans="1:2">
      <c r="A866" s="1123">
        <v>9304</v>
      </c>
      <c r="B866" s="1124" t="s">
        <v>2286</v>
      </c>
    </row>
    <row r="867" spans="1:2">
      <c r="A867" s="1123">
        <v>9305</v>
      </c>
      <c r="B867" s="1124" t="s">
        <v>2287</v>
      </c>
    </row>
    <row r="868" spans="1:2">
      <c r="A868" s="1123">
        <v>9306</v>
      </c>
      <c r="B868" s="1124" t="s">
        <v>2288</v>
      </c>
    </row>
    <row r="869" spans="1:2">
      <c r="A869" s="1123">
        <v>9307</v>
      </c>
      <c r="B869" s="1124" t="s">
        <v>2289</v>
      </c>
    </row>
    <row r="870" spans="1:2">
      <c r="A870" s="1123">
        <v>9308</v>
      </c>
      <c r="B870" s="1124" t="s">
        <v>2290</v>
      </c>
    </row>
    <row r="871" spans="1:2">
      <c r="A871" s="1123">
        <v>931</v>
      </c>
      <c r="B871" s="1124" t="s">
        <v>2291</v>
      </c>
    </row>
    <row r="872" spans="1:2">
      <c r="A872" s="1123">
        <v>9312</v>
      </c>
      <c r="B872" s="1124" t="s">
        <v>2292</v>
      </c>
    </row>
    <row r="873" spans="1:2">
      <c r="A873" s="1123">
        <v>9313</v>
      </c>
      <c r="B873" s="1124" t="s">
        <v>2293</v>
      </c>
    </row>
    <row r="874" spans="1:2">
      <c r="A874" s="1123">
        <v>9314</v>
      </c>
      <c r="B874" s="1124" t="s">
        <v>2294</v>
      </c>
    </row>
    <row r="875" spans="1:2">
      <c r="A875" s="1123">
        <v>9315</v>
      </c>
      <c r="B875" s="1124" t="s">
        <v>2295</v>
      </c>
    </row>
    <row r="876" spans="1:2">
      <c r="A876" s="1123">
        <v>9316</v>
      </c>
      <c r="B876" s="1124" t="s">
        <v>2296</v>
      </c>
    </row>
    <row r="877" spans="1:2">
      <c r="A877" s="1123">
        <v>9317</v>
      </c>
      <c r="B877" s="1124" t="s">
        <v>2297</v>
      </c>
    </row>
    <row r="878" spans="1:2">
      <c r="A878" s="1123">
        <v>9318</v>
      </c>
      <c r="B878" s="1124" t="s">
        <v>2298</v>
      </c>
    </row>
    <row r="879" spans="1:2">
      <c r="A879" s="1123">
        <v>932</v>
      </c>
      <c r="B879" s="1124" t="s">
        <v>2299</v>
      </c>
    </row>
    <row r="880" spans="1:2">
      <c r="A880" s="1123">
        <v>9322</v>
      </c>
      <c r="B880" s="1124" t="s">
        <v>2300</v>
      </c>
    </row>
    <row r="881" spans="1:2">
      <c r="A881" s="1123">
        <v>9322</v>
      </c>
      <c r="B881" s="1124" t="s">
        <v>2301</v>
      </c>
    </row>
    <row r="882" spans="1:2">
      <c r="A882" s="1123">
        <v>9323</v>
      </c>
      <c r="B882" s="1124" t="s">
        <v>2302</v>
      </c>
    </row>
    <row r="883" spans="1:2">
      <c r="A883" s="1123">
        <v>9324</v>
      </c>
      <c r="B883" s="1124" t="s">
        <v>2303</v>
      </c>
    </row>
    <row r="884" spans="1:2">
      <c r="A884" s="1123">
        <v>9325</v>
      </c>
      <c r="B884" s="1124" t="s">
        <v>2304</v>
      </c>
    </row>
    <row r="885" spans="1:2">
      <c r="A885" s="1123">
        <v>9326</v>
      </c>
      <c r="B885" s="1124" t="s">
        <v>2305</v>
      </c>
    </row>
    <row r="886" spans="1:2">
      <c r="A886" s="1123">
        <v>9327</v>
      </c>
      <c r="B886" s="1124" t="s">
        <v>2306</v>
      </c>
    </row>
    <row r="887" spans="1:2">
      <c r="A887" s="1123">
        <v>9328</v>
      </c>
      <c r="B887" s="1124" t="s">
        <v>2307</v>
      </c>
    </row>
    <row r="888" spans="1:2">
      <c r="A888" s="1123" t="s">
        <v>2308</v>
      </c>
      <c r="B888" s="1124" t="s">
        <v>2309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55</vt:i4>
      </vt:variant>
    </vt:vector>
  </HeadingPairs>
  <TitlesOfParts>
    <vt:vector size="68" baseType="lpstr">
      <vt:lpstr>TOC</vt:lpstr>
      <vt:lpstr>FISC</vt:lpstr>
      <vt:lpstr>For Comparison</vt:lpstr>
      <vt:lpstr>NCUTI Table</vt:lpstr>
      <vt:lpstr>FISCinyear</vt:lpstr>
      <vt:lpstr>NET LENDING</vt:lpstr>
      <vt:lpstr>ERF Repaym(PSSF Inject)</vt:lpstr>
      <vt:lpstr>PRINCIPAL DOMDEBT</vt:lpstr>
      <vt:lpstr>RRA Tax </vt:lpstr>
      <vt:lpstr>Sheet1</vt:lpstr>
      <vt:lpstr>Sheet2</vt:lpstr>
      <vt:lpstr>Sheet4</vt:lpstr>
      <vt:lpstr>Sheet3</vt:lpstr>
      <vt:lpstr>BNR_OTR_RecPyt_FISCinyear</vt:lpstr>
      <vt:lpstr>BOP_FISC</vt:lpstr>
      <vt:lpstr>BudgetFL_GFS1986</vt:lpstr>
      <vt:lpstr>DMO_DebDisb_FISCinyear</vt:lpstr>
      <vt:lpstr>DOMDEBT_FISC</vt:lpstr>
      <vt:lpstr>EXTDEBT_ALL</vt:lpstr>
      <vt:lpstr>EXTDEBT_PRINT</vt:lpstr>
      <vt:lpstr>EXTFIN_ALL</vt:lpstr>
      <vt:lpstr>EXTFIN_PRINT</vt:lpstr>
      <vt:lpstr>FISC_BOP</vt:lpstr>
      <vt:lpstr>FISC_MON</vt:lpstr>
      <vt:lpstr>FISC_REAL</vt:lpstr>
      <vt:lpstr>FISCAL_annual_DOMDEBT</vt:lpstr>
      <vt:lpstr>FISCAL_assumptions</vt:lpstr>
      <vt:lpstr>FISCAL_DEBT_OUTPUT</vt:lpstr>
      <vt:lpstr>FISCAL_inyear_DOMDEBT1415</vt:lpstr>
      <vt:lpstr>FISCAL_inyear_DOMDEBTproj</vt:lpstr>
      <vt:lpstr>FISCAL_MON_PRINT</vt:lpstr>
      <vt:lpstr>FISCAL_OUTPUT</vt:lpstr>
      <vt:lpstr>FISCAL_OUTPUT_progr_act</vt:lpstr>
      <vt:lpstr>FISCAL_PCI4_may2021</vt:lpstr>
      <vt:lpstr>FISCAL_Rwametric_Mdat</vt:lpstr>
      <vt:lpstr>FISCAL_TOFE_inyear_201415</vt:lpstr>
      <vt:lpstr>FISCAL_TOFE_inyear_201418</vt:lpstr>
      <vt:lpstr>FISCAL1986_TOFE</vt:lpstr>
      <vt:lpstr>FISCAL2014_OUTPUT</vt:lpstr>
      <vt:lpstr>FISCAL2014_OUTPUT_inyear</vt:lpstr>
      <vt:lpstr>FISCAL2014_TOFE</vt:lpstr>
      <vt:lpstr>FISCAL2014_TOFE_inyear</vt:lpstr>
      <vt:lpstr>GEE_ALL</vt:lpstr>
      <vt:lpstr>GEE_PRINT</vt:lpstr>
      <vt:lpstr>guidance_FISC</vt:lpstr>
      <vt:lpstr>IFMIS_DEBT_FISCinyear</vt:lpstr>
      <vt:lpstr>IFMIS_Ex_FISCinyear</vt:lpstr>
      <vt:lpstr>IFMIS_EXP_Ord_FISCinyear</vt:lpstr>
      <vt:lpstr>IFMIS_EXP_Pyt_FISCinyear</vt:lpstr>
      <vt:lpstr>IFMIS_TaxExp_FISCinyear</vt:lpstr>
      <vt:lpstr>MON_MF</vt:lpstr>
      <vt:lpstr>MonSur_FISCinyear</vt:lpstr>
      <vt:lpstr>FISC!Print_Area</vt:lpstr>
      <vt:lpstr>FISCinyear!Print_Area</vt:lpstr>
      <vt:lpstr>'For Comparison'!Print_Area</vt:lpstr>
      <vt:lpstr>'NCUTI Table'!Print_Area</vt:lpstr>
      <vt:lpstr>'For Comparison'!Print_Titles</vt:lpstr>
      <vt:lpstr>Privat_Rec_FISCinyear</vt:lpstr>
      <vt:lpstr>REAL_FISC</vt:lpstr>
      <vt:lpstr>REAL_MF</vt:lpstr>
      <vt:lpstr>RRA_tax_FISCinyear</vt:lpstr>
      <vt:lpstr>RRA_taxDECENTR_FISCinyear</vt:lpstr>
      <vt:lpstr>TAB_FISC_complete</vt:lpstr>
      <vt:lpstr>TOC_guidance</vt:lpstr>
      <vt:lpstr>TreBNR_DomDeb_FISCinyear</vt:lpstr>
      <vt:lpstr>TreBNR_ExtDeb_FISCinyear</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2026-03-19T12:22:11Z</dcterms:modified>
</cp:coreProperties>
</file>